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Default Extension="bin" ContentType="application/vnd.ms-office.vbaPro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Tables/pivotTable1.xml" ContentType="application/vnd.openxmlformats-officedocument.spreadsheetml.pivotTable+xml"/>
  <Override PartName="/xl/pivotCache/pivotCacheDefinition1.xml" ContentType="application/vnd.openxmlformats-officedocument.spreadsheetml.pivotCacheDefinition+xml"/>
  <Override PartName="/xl/pivotTables/pivotTable2.xml" ContentType="application/vnd.openxmlformats-officedocument.spreadsheetml.pivotTable+xml"/>
  <Override PartName="/xl/pivotCache/pivotCacheDefinition2.xml" ContentType="application/vnd.openxmlformats-officedocument.spreadsheetml.pivotCacheDefinition+xml"/>
  <Override PartName="/xl/pivotTables/pivotTable3.xml" ContentType="application/vnd.openxmlformats-officedocument.spreadsheetml.pivotTable+xml"/>
  <Override PartName="/xl/pivotCache/pivotCacheDefinition3.xml" ContentType="application/vnd.openxmlformats-officedocument.spreadsheetml.pivotCacheDefinition+xml"/>
  <Override PartName="/xl/pivotTables/pivotTable4.xml" ContentType="application/vnd.openxmlformats-officedocument.spreadsheetml.pivotTable+xml"/>
  <Override PartName="/xl/pivotCache/pivotCacheDefinition4.xml" ContentType="application/vnd.openxmlformats-officedocument.spreadsheetml.pivotCacheDefinition+xml"/>
  <Override PartName="/xl/worksheets/sheet27.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25" firstSheet="1" activeTab="24"/>
  </bookViews>
  <sheets>
    <sheet name="BS-Details-orgn" sheetId="1" r:id="rId1" state="hidden"/>
    <sheet name="Summary Revised" sheetId="26" r:id="rId2"/>
    <sheet name="Notes" sheetId="3" r:id="rId3" state="hidden"/>
    <sheet name="Yardi" sheetId="25" r:id="rId4"/>
    <sheet name="Yardi TB" sheetId="6" r:id="rId5"/>
    <sheet name="BS-Details" sheetId="7" r:id="rId6"/>
    <sheet name="Bank Closing Balance" sheetId="8" r:id="rId7"/>
    <sheet name="Bank Rec info" sheetId="9" r:id="rId8"/>
    <sheet name="Interco" sheetId="10" r:id="rId9"/>
    <sheet name="InterCO Pivot" sheetId="11" r:id="rId10"/>
    <sheet name="Xref" sheetId="12" r:id="rId11"/>
    <sheet name="BR Details 11-2017" sheetId="13" r:id="rId12" state="hidden"/>
    <sheet name="BR Details 12-2017" sheetId="14" r:id="rId13" state="hidden"/>
    <sheet name="BR Details 01-2018" sheetId="15" r:id="rId14" state="hidden"/>
    <sheet name="BR Details 02-2018" sheetId="16" r:id="rId15" state="hidden"/>
    <sheet name="BR Details 03-2018" sheetId="17" r:id="rId16" state="hidden"/>
    <sheet name="BR Details 04-2018" sheetId="18" r:id="rId17" state="hidden"/>
    <sheet name="BR Details 05-2018" sheetId="19" r:id="rId18" state="hidden"/>
    <sheet name="BR Details 06-2018" sheetId="20" r:id="rId19" state="hidden"/>
    <sheet name="BR Details 07-2018" sheetId="21" r:id="rId20" state="hidden"/>
    <sheet name="Compare NetInc to P&amp;L" sheetId="22" r:id="rId21"/>
    <sheet name="InterCO Comments" sheetId="23" r:id="rId22"/>
    <sheet name="Settings" sheetId="24" r:id="rId23"/>
    <sheet name="BR Details 05-2023" sheetId="2" r:id="rId24"/>
    <sheet name="DestinationSheet" sheetId="27" r:id="rId32"/>
  </sheets>
  <definedNames>
    <definedName hidden="true" localSheetId="0" name="_xlnm._FilterDatabase">'BS-Details-orgn'!$A$1:$M$12729</definedName>
    <definedName hidden="true" localSheetId="1" name="_xlnm._FilterDatabase">'Summary Revised'!$A$7:$CY$291</definedName>
    <definedName hidden="true" localSheetId="3" name="_xlnm._FilterDatabase">Yardi!$A$2:$L$413</definedName>
    <definedName hidden="true" localSheetId="4" name="_xlnm._FilterDatabase">'Yardi TB'!$A$1:$S$16795</definedName>
    <definedName hidden="true" localSheetId="5" name="_xlnm._FilterDatabase">'BS-Details'!$A$1:$U$28891</definedName>
    <definedName hidden="true" localSheetId="6" name="_xlnm._FilterDatabase">'Bank Closing Balance'!$A$1:$O$132</definedName>
    <definedName hidden="true" localSheetId="8" name="_xlnm._FilterDatabase">Interco!$A$1:$N$4772</definedName>
    <definedName hidden="true" localSheetId="9" name="_xlnm._FilterDatabase">'InterCO Pivot'!$A$2:$H$2567</definedName>
    <definedName name="_xlnm._FilterDatabase">'InterCO Pivot'!$A$2:$H$2567</definedName>
  </definedNames>
  <calcPr calcId="144525"/>
  <pivotCaches>
    <pivotCache cacheId="2" r:id="rId28"/>
    <pivotCache cacheId="3" r:id="rId29"/>
    <pivotCache cacheId="4" r:id="rId30"/>
    <pivotCache cacheId="5" r:id="rId31"/>
  </pivotCaches>
</workbook>
</file>

<file path=xl/comments1.xml><?xml version="1.0" encoding="utf-8"?>
<comments xmlns="http://schemas.openxmlformats.org/spreadsheetml/2006/main">
  <authors>
    <author>Author</author>
  </authors>
  <commentList>
    <comment ref="G6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12/31/2021 Adjustment for DIT is added herer from Bank Rec info Tab</t>
        </r>
      </text>
    </comment>
  </commentList>
</comments>
</file>

<file path=xl/comments2.xml><?xml version="1.0" encoding="utf-8"?>
<comments xmlns="http://schemas.openxmlformats.org/spreadsheetml/2006/main">
  <authors>
    <author>Author</author>
  </authors>
  <commentList>
    <comment ref="I31" authorId="0">
      <text>
        <r>
          <rPr>
            <sz val="11"/>
            <color rgb="FF000000"/>
            <rFont val="Calibri"/>
            <charset val="134"/>
          </rPr>
          <t>[Threaded comment]
Your version of Excel allows you to read this threaded comment; however, any edits to it will get removed if the file is opened in a newer version of Excel. Learn more: https://go.microsoft.com/fwlink/?linkid=870924
Comment:
    Diff due to cl. Bal. changed after bank rec</t>
        </r>
      </text>
    </comment>
    <comment ref="BK31" authorId="0">
      <text>
        <r>
          <rPr>
            <sz val="11"/>
            <color rgb="FF000000"/>
            <rFont val="Calibri"/>
            <charset val="134"/>
          </rPr>
          <t>[Threaded comment]
Your version of Excel allows you to read this threaded comment; however, any edits to it will get removed if the file is opened in a newer version of Excel. Learn more: https://go.microsoft.com/fwlink/?linkid=870924
Comment:
    Diff. due to Closing bal. in GP as on 10.31.22 is diff. from Beginning bal. as on 11.01.22</t>
        </r>
      </text>
    </comment>
  </commentList>
</comments>
</file>

<file path=xl/comments3.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 ref="AW4" authorId="0">
      <text>
        <r>
          <rPr>
            <sz val="11"/>
            <color rgb="FF000000"/>
            <rFont val="Calibri"/>
            <charset val="134"/>
          </rPr>
          <t xml:space="preserve">Mark Kniep:
</t>
        </r>
        <r>
          <rPr>
            <sz val="9"/>
            <rFont val="Tahoma"/>
            <charset val="134"/>
          </rPr>
          <t xml:space="preserve">Closed
</t>
        </r>
      </text>
    </comment>
  </commentList>
</comments>
</file>

<file path=xl/comments4.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 ref="AW4" authorId="0">
      <text>
        <r>
          <rPr>
            <sz val="11"/>
            <color rgb="FF000000"/>
            <rFont val="Calibri"/>
            <charset val="134"/>
          </rPr>
          <t xml:space="preserve">Mark Kniep:
</t>
        </r>
        <r>
          <rPr>
            <sz val="9"/>
            <rFont val="Tahoma"/>
            <charset val="134"/>
          </rPr>
          <t xml:space="preserve">Closed
</t>
        </r>
      </text>
    </comment>
  </commentList>
</comments>
</file>

<file path=xl/comments5.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List>
</comments>
</file>

<file path=xl/comments6.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List>
</comments>
</file>

<file path=xl/comments7.xml><?xml version="1.0" encoding="utf-8"?>
<comments xmlns="http://schemas.openxmlformats.org/spreadsheetml/2006/main">
  <authors>
    <author>Author</author>
  </authors>
  <commentList>
    <comment ref="AJ4" authorId="0">
      <text>
        <r>
          <rPr>
            <sz val="11"/>
            <color rgb="FF000000"/>
            <rFont val="Calibri"/>
            <charset val="134"/>
          </rPr>
          <t xml:space="preserve">Mark Kniep:
</t>
        </r>
        <r>
          <rPr>
            <sz val="9"/>
            <rFont val="Tahoma"/>
            <charset val="134"/>
          </rPr>
          <t xml:space="preserve">BR imbalance
</t>
        </r>
      </text>
    </comment>
  </commentList>
</comments>
</file>

<file path=xl/comments8.xml><?xml version="1.0" encoding="utf-8"?>
<comments xmlns="http://schemas.openxmlformats.org/spreadsheetml/2006/main">
  <authors>
    <author>Author</author>
  </authors>
  <commentList>
    <comment ref="AJ4" authorId="0">
      <text>
        <r>
          <rPr>
            <sz val="11"/>
            <color rgb="FF000000"/>
            <rFont val="Calibri"/>
            <charset val="134"/>
          </rPr>
          <t xml:space="preserve">Mark Kniep:
</t>
        </r>
        <r>
          <rPr>
            <sz val="9"/>
            <rFont val="Tahoma"/>
            <charset val="134"/>
          </rPr>
          <t xml:space="preserve">BR imbalance
</t>
        </r>
      </text>
    </comment>
  </commentList>
</comments>
</file>

<file path=xl/comments9.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List>
</comments>
</file>

<file path=xl/comments10.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List>
</comments>
</file>

<file path=xl/comments11.xml><?xml version="1.0" encoding="utf-8"?>
<comments xmlns="http://schemas.openxmlformats.org/spreadsheetml/2006/main">
  <authors>
    <author>Author</author>
  </authors>
  <commentList>
    <comment ref="AK4" authorId="0">
      <text>
        <r>
          <rPr>
            <sz val="11"/>
            <color rgb="FF000000"/>
            <rFont val="Calibri"/>
            <charset val="134"/>
          </rPr>
          <t xml:space="preserve">Mark Kniep:
</t>
        </r>
        <r>
          <rPr>
            <sz val="9"/>
            <rFont val="Tahoma"/>
            <charset val="134"/>
          </rPr>
          <t xml:space="preserve">BR imbalance
</t>
        </r>
      </text>
    </comment>
  </commentList>
</comments>
</file>

<file path=xl/sharedStrings.xml><?xml version="1.0" encoding="utf-8"?>
<sst xmlns="http://schemas.openxmlformats.org/spreadsheetml/2006/main" count="321782" uniqueCount="36897">
  <si>
    <t>Ent - Category</t>
  </si>
  <si>
    <t>Entity</t>
  </si>
  <si>
    <t>GL Code</t>
  </si>
  <si>
    <t>Entity-GLCode</t>
  </si>
  <si>
    <t>GL Description</t>
  </si>
  <si>
    <t>User Defined 1</t>
  </si>
  <si>
    <t>User Defined 3</t>
  </si>
  <si>
    <t>User Defined 4</t>
  </si>
  <si>
    <t>GPCategory</t>
  </si>
  <si>
    <t>Sep</t>
  </si>
  <si>
    <t>YTD</t>
  </si>
  <si>
    <t>Ref</t>
  </si>
  <si>
    <t>Main Acc</t>
  </si>
  <si>
    <t>2SH-10005-0861</t>
  </si>
  <si>
    <t>Cash in Registers</t>
  </si>
  <si>
    <t xml:space="preserve">CJ                   </t>
  </si>
  <si>
    <t xml:space="preserve">Total Current Assets           </t>
  </si>
  <si>
    <t xml:space="preserve">Inventory                      </t>
  </si>
  <si>
    <t xml:space="preserve">Cash and Cash Equivalents                          </t>
  </si>
  <si>
    <t>2SH-10005-0862</t>
  </si>
  <si>
    <t>2SH-10005-0864</t>
  </si>
  <si>
    <t>2SH-10005-0866</t>
  </si>
  <si>
    <t>2SH-10005-7124</t>
  </si>
  <si>
    <t>2SH-10021-0000</t>
  </si>
  <si>
    <t>Cash General - Bank of the West</t>
  </si>
  <si>
    <t xml:space="preserve">Cash                           </t>
  </si>
  <si>
    <t>2SH-10023-0000</t>
  </si>
  <si>
    <t>Cash Depository - Bank of the West</t>
  </si>
  <si>
    <t>2SH-10513-0000</t>
  </si>
  <si>
    <t>Cash-Restricted 2013</t>
  </si>
  <si>
    <t>2SH-10515-0000</t>
  </si>
  <si>
    <t>Cash-Resticted - CBC</t>
  </si>
  <si>
    <t xml:space="preserve">Restricted                     </t>
  </si>
  <si>
    <t>2SH-11100-0000</t>
  </si>
  <si>
    <t>Accounts Receivable</t>
  </si>
  <si>
    <t xml:space="preserve">AR-PPD                         </t>
  </si>
  <si>
    <t xml:space="preserve">Other Receivables                                  </t>
  </si>
  <si>
    <t>2SH-11200-0000</t>
  </si>
  <si>
    <t>Interco SCL</t>
  </si>
  <si>
    <t xml:space="preserve">Intercompany                   </t>
  </si>
  <si>
    <t xml:space="preserve">Due from/(to) Related Parties                      </t>
  </si>
  <si>
    <t>2SH-11218-0000</t>
  </si>
  <si>
    <t>Interco 3SI</t>
  </si>
  <si>
    <t>2SH-11222-0000</t>
  </si>
  <si>
    <t>Interco RCI</t>
  </si>
  <si>
    <t>2SH-11223-0000</t>
  </si>
  <si>
    <t>Interco NWS</t>
  </si>
  <si>
    <t>2SH-11501-0000</t>
  </si>
  <si>
    <t>SH Loan Isidro Camacho</t>
  </si>
  <si>
    <t>2SH-13100-0861</t>
  </si>
  <si>
    <t>Beginning Inventory</t>
  </si>
  <si>
    <t xml:space="preserve">Inventories                                        </t>
  </si>
  <si>
    <t>2SH-13100-0862</t>
  </si>
  <si>
    <t>2SH-13100-0864</t>
  </si>
  <si>
    <t>2SH-13100-0866</t>
  </si>
  <si>
    <t>2SH-15002-0000</t>
  </si>
  <si>
    <t>Prepaid Insurance</t>
  </si>
  <si>
    <t xml:space="preserve">Prepaid Expenses                                   </t>
  </si>
  <si>
    <t>2SH-15005-0000</t>
  </si>
  <si>
    <t>Prepaid Personal Property Tax</t>
  </si>
  <si>
    <t>2SH-16101-0861</t>
  </si>
  <si>
    <t>Restaurant Equipment</t>
  </si>
  <si>
    <t xml:space="preserve">Total Assets                   </t>
  </si>
  <si>
    <t xml:space="preserve">Fixed Assets                   </t>
  </si>
  <si>
    <t xml:space="preserve">Property and Equipment, net                        </t>
  </si>
  <si>
    <t>2SH-16101-0862</t>
  </si>
  <si>
    <t>2SH-16101-0864</t>
  </si>
  <si>
    <t>2SH-16101-0866</t>
  </si>
  <si>
    <t>2SH-16101-7124</t>
  </si>
  <si>
    <t>2SH-16601-0000</t>
  </si>
  <si>
    <t>Leasehold Improvements</t>
  </si>
  <si>
    <t>2SH-16601-0861</t>
  </si>
  <si>
    <t>2SH-16601-0862</t>
  </si>
  <si>
    <t>2SH-16601-0864</t>
  </si>
  <si>
    <t>2SH-16601-0866</t>
  </si>
  <si>
    <t>2SH-16601-7124</t>
  </si>
  <si>
    <t>2SH-16901-0000</t>
  </si>
  <si>
    <t>Accumulated Depreciation</t>
  </si>
  <si>
    <t>2SH-17001-0000</t>
  </si>
  <si>
    <t>Deposit</t>
  </si>
  <si>
    <t xml:space="preserve">Deposits                       </t>
  </si>
  <si>
    <t xml:space="preserve">Other Assets, net                                  </t>
  </si>
  <si>
    <t>2SH-17201-0861</t>
  </si>
  <si>
    <t>Franchise Fee</t>
  </si>
  <si>
    <t>2SH-17201-0862</t>
  </si>
  <si>
    <t>2SH-17201-0864</t>
  </si>
  <si>
    <t>2SH-17201-0866</t>
  </si>
  <si>
    <t>2SH-18501-0000</t>
  </si>
  <si>
    <t>Accumulated Amortization</t>
  </si>
  <si>
    <t>2SH-19901-0861</t>
  </si>
  <si>
    <t>Goodwill</t>
  </si>
  <si>
    <t>2SH-19901-0862</t>
  </si>
  <si>
    <t>2SH-19901-0864</t>
  </si>
  <si>
    <t>2SH-19901-0866</t>
  </si>
  <si>
    <t>2SH-19901-7124</t>
  </si>
  <si>
    <t>2SH-20001-0000</t>
  </si>
  <si>
    <t>Accounts Payable</t>
  </si>
  <si>
    <t xml:space="preserve">Total Current Liabilities      </t>
  </si>
  <si>
    <t xml:space="preserve">AP-Accr Exp                    </t>
  </si>
  <si>
    <t xml:space="preserve">Accounts Payable                                   </t>
  </si>
  <si>
    <t>2SH-21001-0000</t>
  </si>
  <si>
    <t>Payroll Expense Payable</t>
  </si>
  <si>
    <t xml:space="preserve">Other Current Liabilities                          </t>
  </si>
  <si>
    <t>2SH-22001-0000</t>
  </si>
  <si>
    <t>Sales Tax Payable</t>
  </si>
  <si>
    <t xml:space="preserve">Tax Accr                       </t>
  </si>
  <si>
    <t>2SH-23405-0000</t>
  </si>
  <si>
    <t>Accrued Payroll</t>
  </si>
  <si>
    <t>2SH-23406-0000</t>
  </si>
  <si>
    <t>Accrued Vacation</t>
  </si>
  <si>
    <t>2SH-23509-0000</t>
  </si>
  <si>
    <t>Accrued Expense</t>
  </si>
  <si>
    <t>2SH-23909-0000</t>
  </si>
  <si>
    <t>Accrued-CKE Expenses</t>
  </si>
  <si>
    <t>2SH-24400-0000</t>
  </si>
  <si>
    <t>GC Liability</t>
  </si>
  <si>
    <t>2SH-24400-0861</t>
  </si>
  <si>
    <t>2SH-24400-0862</t>
  </si>
  <si>
    <t>2SH-24400-0864</t>
  </si>
  <si>
    <t>2SH-24400-0866</t>
  </si>
  <si>
    <t>2SH-24400-7124</t>
  </si>
  <si>
    <t>2SH-25500-0000</t>
  </si>
  <si>
    <t>Deferred Rent Liab</t>
  </si>
  <si>
    <t xml:space="preserve">Total Long Term Liabilities    </t>
  </si>
  <si>
    <t xml:space="preserve">Deferred Rent                                      </t>
  </si>
  <si>
    <t>2SH-26001-0000</t>
  </si>
  <si>
    <t>Notes Payable Current</t>
  </si>
  <si>
    <t xml:space="preserve">Principal                      </t>
  </si>
  <si>
    <t xml:space="preserve">Current Portion of Notes and Capital Leases        </t>
  </si>
  <si>
    <t>2SH-26500-0000</t>
  </si>
  <si>
    <t>Capital Lease ST</t>
  </si>
  <si>
    <t>2SH-28002-0861</t>
  </si>
  <si>
    <t>Loan-Equipment</t>
  </si>
  <si>
    <t xml:space="preserve">Notes and Capital Lease Payable                    </t>
  </si>
  <si>
    <t>2SH-28002-0862</t>
  </si>
  <si>
    <t>2SH-28002-0864</t>
  </si>
  <si>
    <t>2SH-28002-0866</t>
  </si>
  <si>
    <t>2SH-28002-7124</t>
  </si>
  <si>
    <t>2SH-28004-0000</t>
  </si>
  <si>
    <t>Notes Payable CIT</t>
  </si>
  <si>
    <t>2SH-30001-0000</t>
  </si>
  <si>
    <t>Capital Stock</t>
  </si>
  <si>
    <t xml:space="preserve">Total Equity                   </t>
  </si>
  <si>
    <t xml:space="preserve">SH Dist                        </t>
  </si>
  <si>
    <t xml:space="preserve">Capital Stock                                      </t>
  </si>
  <si>
    <t>2SH-30101-0000</t>
  </si>
  <si>
    <t>Capital Stock - Greg Funkhouser</t>
  </si>
  <si>
    <t>2SH-32000-0000</t>
  </si>
  <si>
    <t>Retained Earnings - Prior Year</t>
  </si>
  <si>
    <t xml:space="preserve">Retained Earnings              </t>
  </si>
  <si>
    <t xml:space="preserve">Accumulated Earnings-Prior Year                    </t>
  </si>
  <si>
    <t>2SH-37002-0000</t>
  </si>
  <si>
    <t>SH Dist - Harshad Dharod</t>
  </si>
  <si>
    <t>2SH-37003-0000</t>
  </si>
  <si>
    <t>SH Dist Greg Funkhouser</t>
  </si>
  <si>
    <t>2SH-37006-0000</t>
  </si>
  <si>
    <t>SH Dist Isidro Camacho</t>
  </si>
  <si>
    <t>2SH-37007-0000</t>
  </si>
  <si>
    <t>SH Dist Shawn Rezaei</t>
  </si>
  <si>
    <t>2SH-37008-0000</t>
  </si>
  <si>
    <t>SH Dist Van Tran</t>
  </si>
  <si>
    <t>3SI-10005-0863</t>
  </si>
  <si>
    <t>3SI-10005-0865</t>
  </si>
  <si>
    <t>3SI-10005-7466</t>
  </si>
  <si>
    <t>3SI-10005-7780</t>
  </si>
  <si>
    <t>3SI-10021-0000</t>
  </si>
  <si>
    <t>3SI-10023-0000</t>
  </si>
  <si>
    <t>3SI-10025-0000</t>
  </si>
  <si>
    <t>Cash Depository - Chase</t>
  </si>
  <si>
    <t>3SI-11100-0000</t>
  </si>
  <si>
    <t>3SI-11200-0000</t>
  </si>
  <si>
    <t>3SI-11217-0000</t>
  </si>
  <si>
    <t>Interco 2SH</t>
  </si>
  <si>
    <t>3SI-11222-0000</t>
  </si>
  <si>
    <t>3SI-11223-0000</t>
  </si>
  <si>
    <t>3SI-11501-0000</t>
  </si>
  <si>
    <t>3SI-13100-0863</t>
  </si>
  <si>
    <t>3SI-13100-7466</t>
  </si>
  <si>
    <t>3SI-13100-7780</t>
  </si>
  <si>
    <t>3SI-15002-0000</t>
  </si>
  <si>
    <t>3SI-15005-0000</t>
  </si>
  <si>
    <t>3SI-16101-0863</t>
  </si>
  <si>
    <t>3SI-16101-0865</t>
  </si>
  <si>
    <t>3SI-16101-7466</t>
  </si>
  <si>
    <t>3SI-16101-7780</t>
  </si>
  <si>
    <t>3SI-16601-0863</t>
  </si>
  <si>
    <t>3SI-16601-0865</t>
  </si>
  <si>
    <t>3SI-16601-7466</t>
  </si>
  <si>
    <t>3SI-16601-7780</t>
  </si>
  <si>
    <t>3SI-16691-0000</t>
  </si>
  <si>
    <t>3SI-16901-0000</t>
  </si>
  <si>
    <t>3SI-17001-0000</t>
  </si>
  <si>
    <t>3SI-17201-0863</t>
  </si>
  <si>
    <t>3SI-17201-0865</t>
  </si>
  <si>
    <t>3SI-17201-7466</t>
  </si>
  <si>
    <t>3SI-17201-7780</t>
  </si>
  <si>
    <t>3SI-18501-0000</t>
  </si>
  <si>
    <t>3SI-19901-0863</t>
  </si>
  <si>
    <t>3SI-19901-0865</t>
  </si>
  <si>
    <t>3SI-19901-7466</t>
  </si>
  <si>
    <t>3SI-19901-7780</t>
  </si>
  <si>
    <t>3SI-20001-0000</t>
  </si>
  <si>
    <t>3SI-21001-0000</t>
  </si>
  <si>
    <t>3SI-22001-0000</t>
  </si>
  <si>
    <t>3SI-23405-0000</t>
  </si>
  <si>
    <t>3SI-23406-0000</t>
  </si>
  <si>
    <t>3SI-23509-0000</t>
  </si>
  <si>
    <t>3SI-23909-0000</t>
  </si>
  <si>
    <t>3SI-24400-0000</t>
  </si>
  <si>
    <t>3SI-24400-0863</t>
  </si>
  <si>
    <t>3SI-24400-0865</t>
  </si>
  <si>
    <t>3SI-24400-7466</t>
  </si>
  <si>
    <t>3SI-24400-7780</t>
  </si>
  <si>
    <t>3SI-25500-0000</t>
  </si>
  <si>
    <t>3SI-26001-0000</t>
  </si>
  <si>
    <t>3SI-26500-0000</t>
  </si>
  <si>
    <t>3SI-28002-0000</t>
  </si>
  <si>
    <t>3SI-28002-0863</t>
  </si>
  <si>
    <t>3SI-28002-0865</t>
  </si>
  <si>
    <t>3SI-28002-7466</t>
  </si>
  <si>
    <t>3SI-28002-7780</t>
  </si>
  <si>
    <t>3SI-28004-0000</t>
  </si>
  <si>
    <t>3SI-30001-0000</t>
  </si>
  <si>
    <t>3SI-30101-0000</t>
  </si>
  <si>
    <t>3SI-32000-0000</t>
  </si>
  <si>
    <t>3SI-37002-0000</t>
  </si>
  <si>
    <t>3SI-37003-0000</t>
  </si>
  <si>
    <t>3SI-37006-0000</t>
  </si>
  <si>
    <t>3SI-37007-0000</t>
  </si>
  <si>
    <t>AKA-20001-0000</t>
  </si>
  <si>
    <t xml:space="preserve">RE                   </t>
  </si>
  <si>
    <t>AKA-24800-0000</t>
  </si>
  <si>
    <t>Tenent Sec Deposits</t>
  </si>
  <si>
    <t>AKA-32000-0000</t>
  </si>
  <si>
    <t>Retained Earnings</t>
  </si>
  <si>
    <t xml:space="preserve">Accumulated Earnings-Current                       </t>
  </si>
  <si>
    <t>AKC-20001-0000</t>
  </si>
  <si>
    <t>AKC-24800-0000</t>
  </si>
  <si>
    <t>AKC-32000-0000</t>
  </si>
  <si>
    <t>AKG-10001-0000</t>
  </si>
  <si>
    <t>General Checking</t>
  </si>
  <si>
    <t>AKG-11216-0000</t>
  </si>
  <si>
    <t>Interco-SIL</t>
  </si>
  <si>
    <t>AKG-11301-0000</t>
  </si>
  <si>
    <t>Interco-CRE</t>
  </si>
  <si>
    <t>AKG-11302-0000</t>
  </si>
  <si>
    <t>Interco-CHA</t>
  </si>
  <si>
    <t>AKG-11303-0000</t>
  </si>
  <si>
    <t>Interco-DIA</t>
  </si>
  <si>
    <t>AKG-11304-0000</t>
  </si>
  <si>
    <t>Interco-EAG</t>
  </si>
  <si>
    <t>AKG-11305-0000</t>
  </si>
  <si>
    <t>Interco-NEW</t>
  </si>
  <si>
    <t>AKG-11309-0000</t>
  </si>
  <si>
    <t>Interco-GPI</t>
  </si>
  <si>
    <t>AKG-11310-0000</t>
  </si>
  <si>
    <t>Interco-ALP</t>
  </si>
  <si>
    <t>AKG-11311-0000</t>
  </si>
  <si>
    <t>Interco-BET</t>
  </si>
  <si>
    <t>AKG-11313-0000</t>
  </si>
  <si>
    <t>Interco-DOL</t>
  </si>
  <si>
    <t>AKG-11315-0000</t>
  </si>
  <si>
    <t>Interco-PUR</t>
  </si>
  <si>
    <t>AKG-11316-0000</t>
  </si>
  <si>
    <t>Interco-VAL</t>
  </si>
  <si>
    <t>AKG-11319-0000</t>
  </si>
  <si>
    <t>Interco GST</t>
  </si>
  <si>
    <t>AKG-11321-0000</t>
  </si>
  <si>
    <t>Interco-OVA</t>
  </si>
  <si>
    <t>AKG-11322-0000</t>
  </si>
  <si>
    <t>Interco-WOO</t>
  </si>
  <si>
    <t>AKG-11324-0000</t>
  </si>
  <si>
    <t>Interco-NET</t>
  </si>
  <si>
    <t>AKG-11325-0000</t>
  </si>
  <si>
    <t>Interco-DPI</t>
  </si>
  <si>
    <t>AKG-11326-0000</t>
  </si>
  <si>
    <t>Interco-SEK</t>
  </si>
  <si>
    <t>AKG-11328-0000</t>
  </si>
  <si>
    <t>Interco-LOM</t>
  </si>
  <si>
    <t>AKG-11330-0000</t>
  </si>
  <si>
    <t>Interco-MAR</t>
  </si>
  <si>
    <t>AKG-11332-0000</t>
  </si>
  <si>
    <t>Inteco - STO</t>
  </si>
  <si>
    <t>AKG-11333-0000</t>
  </si>
  <si>
    <t>Interco-ANG</t>
  </si>
  <si>
    <t>AKG-11334-0000</t>
  </si>
  <si>
    <t>Interco BRU</t>
  </si>
  <si>
    <t>AKG-11335-0000</t>
  </si>
  <si>
    <t>Interco-VEN</t>
  </si>
  <si>
    <t>AKG-11336-0000</t>
  </si>
  <si>
    <t>Interco-SAT</t>
  </si>
  <si>
    <t>AKG-11337-0000</t>
  </si>
  <si>
    <t>Interco-NEP</t>
  </si>
  <si>
    <t>AKG-12200-0000</t>
  </si>
  <si>
    <t>Escrow Account</t>
  </si>
  <si>
    <t>AKG-12201-0000</t>
  </si>
  <si>
    <t>Escrow Acct - JLL</t>
  </si>
  <si>
    <t>AKG-14000-0000</t>
  </si>
  <si>
    <t>Land</t>
  </si>
  <si>
    <t>AKG-15000-0000</t>
  </si>
  <si>
    <t>Build, Furn, &amp; Equip</t>
  </si>
  <si>
    <t>AKG-15500-0000</t>
  </si>
  <si>
    <t>Building Enhancements</t>
  </si>
  <si>
    <t>AKG-16000-0000</t>
  </si>
  <si>
    <t>Loan Fees</t>
  </si>
  <si>
    <t>AKG-17000-0000</t>
  </si>
  <si>
    <t>Accum Depr</t>
  </si>
  <si>
    <t>AKG-18000-0000</t>
  </si>
  <si>
    <t>Accum Amort</t>
  </si>
  <si>
    <t>AKG-20000-0000</t>
  </si>
  <si>
    <t>AKG-20001-0000</t>
  </si>
  <si>
    <t>AKG-23509-0000</t>
  </si>
  <si>
    <t>AKG-24800-0000</t>
  </si>
  <si>
    <t>AKG-25000-0000</t>
  </si>
  <si>
    <t>Notes Payable D7</t>
  </si>
  <si>
    <t xml:space="preserve">InterCo Notes                  </t>
  </si>
  <si>
    <t>AKG-28005-0000</t>
  </si>
  <si>
    <t>Loan - JLL</t>
  </si>
  <si>
    <t>AKG-30700-0000</t>
  </si>
  <si>
    <t>Members Draw</t>
  </si>
  <si>
    <t>AKG-32000-0000</t>
  </si>
  <si>
    <t>AKG-36001-0000</t>
  </si>
  <si>
    <t>Stockholder Distribution</t>
  </si>
  <si>
    <t>AKS-10001-0000</t>
  </si>
  <si>
    <t>AKS-11216-0000</t>
  </si>
  <si>
    <t>AKS-11310-0000</t>
  </si>
  <si>
    <t>AKS-11311-0000</t>
  </si>
  <si>
    <t>AKS-11320-0000</t>
  </si>
  <si>
    <t>Interco-HDN</t>
  </si>
  <si>
    <t>AKS-11322-0000</t>
  </si>
  <si>
    <t>AKS-11332-0000</t>
  </si>
  <si>
    <t>Interco-STO</t>
  </si>
  <si>
    <t>AKS-11334-0000</t>
  </si>
  <si>
    <t>Interco-BRU</t>
  </si>
  <si>
    <t>AKS-11337-0000</t>
  </si>
  <si>
    <t>AKS-15500-0000</t>
  </si>
  <si>
    <t>AKS-15600-0000</t>
  </si>
  <si>
    <t>Blg Purchase Closing Cost</t>
  </si>
  <si>
    <t>AKS-16000-0000</t>
  </si>
  <si>
    <t>AKS-17000-0000</t>
  </si>
  <si>
    <t>AKS-18000-0000</t>
  </si>
  <si>
    <t>AKS-19000-0000</t>
  </si>
  <si>
    <t>Deposit-Other/Fees</t>
  </si>
  <si>
    <t>AKS-19001-0000</t>
  </si>
  <si>
    <t>Deposit-Utility</t>
  </si>
  <si>
    <t>AKS-20001-0000</t>
  </si>
  <si>
    <t>AKS-23509-0000</t>
  </si>
  <si>
    <t>AKS-24800-0000</t>
  </si>
  <si>
    <t>AKS-26800-0000</t>
  </si>
  <si>
    <t>Current Liability-EILD</t>
  </si>
  <si>
    <t xml:space="preserve">Total Current Liability        </t>
  </si>
  <si>
    <t>AKS-28001-0000</t>
  </si>
  <si>
    <t>Loan - Chase</t>
  </si>
  <si>
    <t>AKS-30700-0000</t>
  </si>
  <si>
    <t>AKS-32000-0000</t>
  </si>
  <si>
    <t>ALP-10001-0000</t>
  </si>
  <si>
    <t>ALP-10003-0000</t>
  </si>
  <si>
    <t>General CK - BoC</t>
  </si>
  <si>
    <t xml:space="preserve">CASH                           </t>
  </si>
  <si>
    <t>ALP-11000-0000</t>
  </si>
  <si>
    <t>ALP-11216-0000</t>
  </si>
  <si>
    <t>ALP-11305-0000</t>
  </si>
  <si>
    <t xml:space="preserve">Total Current Asset            </t>
  </si>
  <si>
    <t>ALP-11311-0000</t>
  </si>
  <si>
    <t>ALP-11314-0000</t>
  </si>
  <si>
    <t>Interco-GRI</t>
  </si>
  <si>
    <t>ALP-11316-0000</t>
  </si>
  <si>
    <t>ALP-11317-0000</t>
  </si>
  <si>
    <t>Interco-AKG</t>
  </si>
  <si>
    <t>ALP-11319-0000</t>
  </si>
  <si>
    <t>Interco-GST</t>
  </si>
  <si>
    <t>ALP-11321-0000</t>
  </si>
  <si>
    <t>ALP-11324-0000</t>
  </si>
  <si>
    <t>ALP-11325-0000</t>
  </si>
  <si>
    <t>ALP-11326-0000</t>
  </si>
  <si>
    <t>ALP-11328-0000</t>
  </si>
  <si>
    <t>ALP-11329-0000</t>
  </si>
  <si>
    <t>Interco-AKS</t>
  </si>
  <si>
    <t>ALP-11331-0000</t>
  </si>
  <si>
    <t>Interco-WIL</t>
  </si>
  <si>
    <t>ALP-11332-0000</t>
  </si>
  <si>
    <t>ALP-11334-0000</t>
  </si>
  <si>
    <t>ALP-11337-0000</t>
  </si>
  <si>
    <t>ALP-11342-0000</t>
  </si>
  <si>
    <t>Interco-EAS</t>
  </si>
  <si>
    <t>ALP-12200-0000</t>
  </si>
  <si>
    <t>ALP-12300-0000</t>
  </si>
  <si>
    <t>CapEx Reserve</t>
  </si>
  <si>
    <t xml:space="preserve">Total  Assets                  </t>
  </si>
  <si>
    <t>ALP-14000-0000</t>
  </si>
  <si>
    <t>ALP-15000-0000</t>
  </si>
  <si>
    <t>ALP-15500-0000</t>
  </si>
  <si>
    <t>ALP-16000-0000</t>
  </si>
  <si>
    <t>ALP-17000-0000</t>
  </si>
  <si>
    <t>ALP-18000-0000</t>
  </si>
  <si>
    <t>ALP-20001-0000</t>
  </si>
  <si>
    <t>ALP-23509-0000</t>
  </si>
  <si>
    <t>ALP-24800-0000</t>
  </si>
  <si>
    <t>ALP-24801-0000</t>
  </si>
  <si>
    <t>Pet Deposits</t>
  </si>
  <si>
    <t>ALP-25000-0000</t>
  </si>
  <si>
    <t>ALP-26800-0000</t>
  </si>
  <si>
    <t>Current Liabilities-EILD</t>
  </si>
  <si>
    <t>ALP-28004-0000</t>
  </si>
  <si>
    <t>Loan - Greystone</t>
  </si>
  <si>
    <t xml:space="preserve">Re                   </t>
  </si>
  <si>
    <t>ALP-30700-0000</t>
  </si>
  <si>
    <t>ALP-32000-0000</t>
  </si>
  <si>
    <t>ANG-10001-0000</t>
  </si>
  <si>
    <t>ANG-11000-0000</t>
  </si>
  <si>
    <t>ANG-11216-0000</t>
  </si>
  <si>
    <t>ANG-11301-0000</t>
  </si>
  <si>
    <t>ANG-11302-0000</t>
  </si>
  <si>
    <t>Interco - CHA</t>
  </si>
  <si>
    <t>ANG-11304-0000</t>
  </si>
  <si>
    <t>ANG-11313-0000</t>
  </si>
  <si>
    <t>ANG-11317-0000</t>
  </si>
  <si>
    <t>ANG-14000-0000</t>
  </si>
  <si>
    <t>ANG-15000-0000</t>
  </si>
  <si>
    <t>ANG-15500-0000</t>
  </si>
  <si>
    <t>ANG-15600-0000</t>
  </si>
  <si>
    <t>ANG-16000-0000</t>
  </si>
  <si>
    <t>ANG-17000-0000</t>
  </si>
  <si>
    <t>ANG-18000-0000</t>
  </si>
  <si>
    <t>ANG-19001-0000</t>
  </si>
  <si>
    <t>ANG-20001-0000</t>
  </si>
  <si>
    <t>ANG-23509-0000</t>
  </si>
  <si>
    <t>ANG-24800-0000</t>
  </si>
  <si>
    <t>ANG-24801-0000</t>
  </si>
  <si>
    <t>ANG-25100-0000</t>
  </si>
  <si>
    <t>Note Payable-DFLP</t>
  </si>
  <si>
    <t>ANG-26800-0000</t>
  </si>
  <si>
    <t>ANG-28001-0000</t>
  </si>
  <si>
    <t>Loan - FFB</t>
  </si>
  <si>
    <t>REFIN - PENDING IN DEPOSIT</t>
  </si>
  <si>
    <t>ANG-30700-0000</t>
  </si>
  <si>
    <t>ANG-32000-0000</t>
  </si>
  <si>
    <t>API-10001-0000</t>
  </si>
  <si>
    <t>API-10003-0000</t>
  </si>
  <si>
    <t>Gen CK-CAPEX</t>
  </si>
  <si>
    <t>API-10027-0000</t>
  </si>
  <si>
    <t>General Checking-BOW</t>
  </si>
  <si>
    <t>API-11000-0000</t>
  </si>
  <si>
    <t>API-11216-0000</t>
  </si>
  <si>
    <t>API-12200-0000</t>
  </si>
  <si>
    <t>API-12210-0000</t>
  </si>
  <si>
    <t>Debt Serv Reserve</t>
  </si>
  <si>
    <t>API-14000-0000</t>
  </si>
  <si>
    <t>API-15000-0000</t>
  </si>
  <si>
    <t>API-15500-0000</t>
  </si>
  <si>
    <t>API-17000-0000</t>
  </si>
  <si>
    <t>API-18000-0000</t>
  </si>
  <si>
    <t>API-20001-0000</t>
  </si>
  <si>
    <t>API-23509-0000</t>
  </si>
  <si>
    <t>Accrued Expenses</t>
  </si>
  <si>
    <t>API-24800-0000</t>
  </si>
  <si>
    <t>API-24801-0000</t>
  </si>
  <si>
    <t>API-25100-0000</t>
  </si>
  <si>
    <t>Note Payable DFLP</t>
  </si>
  <si>
    <t>API-28003-0000</t>
  </si>
  <si>
    <t>API-28004-0000</t>
  </si>
  <si>
    <t>Loan - Harbor Group</t>
  </si>
  <si>
    <t>API-30700-0000</t>
  </si>
  <si>
    <t>API-31006-0000</t>
  </si>
  <si>
    <t>Contribution - Josh Bowman</t>
  </si>
  <si>
    <t>API-31007-0000</t>
  </si>
  <si>
    <t>Capital Contribution-CBowen</t>
  </si>
  <si>
    <t>API-32000-0000</t>
  </si>
  <si>
    <t>BET-10001-0000</t>
  </si>
  <si>
    <t>BET-11216-0000</t>
  </si>
  <si>
    <t>BET-11303-0000</t>
  </si>
  <si>
    <t>BET-11308-0000</t>
  </si>
  <si>
    <t>Interco-Laguna</t>
  </si>
  <si>
    <t>BET-11310-0000</t>
  </si>
  <si>
    <t>BET-11313-0000</t>
  </si>
  <si>
    <t>BET-11317-0000</t>
  </si>
  <si>
    <t>Inteco-AKG</t>
  </si>
  <si>
    <t>BET-11318-0000</t>
  </si>
  <si>
    <t>Interco-FIR</t>
  </si>
  <si>
    <t>BET-11319-0000</t>
  </si>
  <si>
    <t>BET-11321-0000</t>
  </si>
  <si>
    <t>BET-11322-0000</t>
  </si>
  <si>
    <t>BET-11323-0000</t>
  </si>
  <si>
    <t>Interco - SPI</t>
  </si>
  <si>
    <t>BET-11324-0000</t>
  </si>
  <si>
    <t>BET-11328-0000</t>
  </si>
  <si>
    <t>BET-11329-0000</t>
  </si>
  <si>
    <t>BET-11332-0000</t>
  </si>
  <si>
    <t>Interco - STO</t>
  </si>
  <si>
    <t>BET-11335-0000</t>
  </si>
  <si>
    <t>BET-11336-0000</t>
  </si>
  <si>
    <t>BET-11337-0000</t>
  </si>
  <si>
    <t>BET-11342-0000</t>
  </si>
  <si>
    <t>BET-12200-0000</t>
  </si>
  <si>
    <t>BET-12300-0000</t>
  </si>
  <si>
    <t>BET-14000-0000</t>
  </si>
  <si>
    <t>BET-15000-0000</t>
  </si>
  <si>
    <t>BET-15500-0000</t>
  </si>
  <si>
    <t>BET-16000-0000</t>
  </si>
  <si>
    <t>BET-17000-0000</t>
  </si>
  <si>
    <t>BET-18000-0000</t>
  </si>
  <si>
    <t>BET-20001-0000</t>
  </si>
  <si>
    <t>BET-22002-0000</t>
  </si>
  <si>
    <t>Rabobank</t>
  </si>
  <si>
    <t>BET-22017-0000</t>
  </si>
  <si>
    <t>Notes Payable</t>
  </si>
  <si>
    <t>BET-23509-0000</t>
  </si>
  <si>
    <t>BET-24800-0000</t>
  </si>
  <si>
    <t>BET-25000-0000</t>
  </si>
  <si>
    <t>BET-28003-0000</t>
  </si>
  <si>
    <t>Loan - Sabal</t>
  </si>
  <si>
    <t>BET-28004-0000</t>
  </si>
  <si>
    <t>BET-30700-0000</t>
  </si>
  <si>
    <t>BET-32000-0000</t>
  </si>
  <si>
    <t>BRU-10001-0000</t>
  </si>
  <si>
    <t>BRU-11000-0000</t>
  </si>
  <si>
    <t>BRU-11216-0000</t>
  </si>
  <si>
    <t>BRU-11310-0000</t>
  </si>
  <si>
    <t>BRU-11316-0000</t>
  </si>
  <si>
    <t>BRU-11317-0000</t>
  </si>
  <si>
    <t>Interco AKG</t>
  </si>
  <si>
    <t>BRU-11325-0000</t>
  </si>
  <si>
    <t>BRU-11329-0000</t>
  </si>
  <si>
    <t>BRU-11330-0000</t>
  </si>
  <si>
    <t>BRU-11331-0000</t>
  </si>
  <si>
    <t>BRU-11332-0000</t>
  </si>
  <si>
    <t>BRU-11336-0000</t>
  </si>
  <si>
    <t>BRU-12200-0000</t>
  </si>
  <si>
    <t>BRU-14000-0000</t>
  </si>
  <si>
    <t>BRU-15000-0000</t>
  </si>
  <si>
    <t>BRU-15500-0000</t>
  </si>
  <si>
    <t>BRU-15600-0000</t>
  </si>
  <si>
    <t>BRU-17000-0000</t>
  </si>
  <si>
    <t>BRU-18000-0000</t>
  </si>
  <si>
    <t>BRU-19001-0000</t>
  </si>
  <si>
    <t>BRU-20001-0000</t>
  </si>
  <si>
    <t>BRU-23509-0000</t>
  </si>
  <si>
    <t>Accrue Expenses</t>
  </si>
  <si>
    <t>BRU-24800-0000</t>
  </si>
  <si>
    <t>BRU-24801-0000</t>
  </si>
  <si>
    <t>BRU-25100-0000</t>
  </si>
  <si>
    <t>BRU-26800-0000</t>
  </si>
  <si>
    <t>BRU-28003-0000</t>
  </si>
  <si>
    <t>BRU-30700-0000</t>
  </si>
  <si>
    <t>BRU-32000-0000</t>
  </si>
  <si>
    <t>BVI-10021-0000</t>
  </si>
  <si>
    <t>BOW General</t>
  </si>
  <si>
    <t xml:space="preserve">Fee                  </t>
  </si>
  <si>
    <t>BVI-11231-0000</t>
  </si>
  <si>
    <t>Interco SC1</t>
  </si>
  <si>
    <t>BVI-16401-0862</t>
  </si>
  <si>
    <t>Building</t>
  </si>
  <si>
    <t>BVI-16401-7780</t>
  </si>
  <si>
    <t>BVI-16491-0000</t>
  </si>
  <si>
    <t>Accum. Deprec.</t>
  </si>
  <si>
    <t>BVI-16501-0862</t>
  </si>
  <si>
    <t>BVI-16501-7780</t>
  </si>
  <si>
    <t>BVI-18502-0000</t>
  </si>
  <si>
    <t>BVI-20100-0000</t>
  </si>
  <si>
    <t>BVI-24501-0000</t>
  </si>
  <si>
    <t>Accrued Interest</t>
  </si>
  <si>
    <t>BVI-25500-0000</t>
  </si>
  <si>
    <t xml:space="preserve">FEE                  </t>
  </si>
  <si>
    <t>BVI-26001-0000</t>
  </si>
  <si>
    <t>BVI-28003-0000</t>
  </si>
  <si>
    <t>Notes Payable-BOW</t>
  </si>
  <si>
    <t>BVI-28801-0000</t>
  </si>
  <si>
    <t>Interest Rate Swap Contract</t>
  </si>
  <si>
    <t>BVI-28802-0000</t>
  </si>
  <si>
    <t>Acc .Other Inc - Interest Swap</t>
  </si>
  <si>
    <t>BVI-32000-0000</t>
  </si>
  <si>
    <t>BVI-37001-0000</t>
  </si>
  <si>
    <t>Shareholder Dist</t>
  </si>
  <si>
    <t>CDP-10021-0000</t>
  </si>
  <si>
    <t xml:space="preserve">CDP                  </t>
  </si>
  <si>
    <t>CDP-11202-0000</t>
  </si>
  <si>
    <t>Interco FFC</t>
  </si>
  <si>
    <t>CDP-11215-0000</t>
  </si>
  <si>
    <t>Interco-CDP</t>
  </si>
  <si>
    <t xml:space="preserve">                     </t>
  </si>
  <si>
    <t xml:space="preserve">                               </t>
  </si>
  <si>
    <t>CDP-20001-0000</t>
  </si>
  <si>
    <t>CDP-21310-0000</t>
  </si>
  <si>
    <t>Income Taxes Payable</t>
  </si>
  <si>
    <t>CDP-21500-0000</t>
  </si>
  <si>
    <t>CDP-26700-0000</t>
  </si>
  <si>
    <t>urrent Liabilities-CBC-PPP</t>
  </si>
  <si>
    <t>CDP-32000-0000</t>
  </si>
  <si>
    <t>CDP-36001-0000</t>
  </si>
  <si>
    <t>SH Distribution</t>
  </si>
  <si>
    <t>CHA-10001-0000</t>
  </si>
  <si>
    <t>CHA-10003-0000</t>
  </si>
  <si>
    <t>CHA-11216-0000</t>
  </si>
  <si>
    <t>CHA-11305-0000</t>
  </si>
  <si>
    <t>Interco-Newport</t>
  </si>
  <si>
    <t>CHA-11317-0000</t>
  </si>
  <si>
    <t>CHA-11321-0000</t>
  </si>
  <si>
    <t>CHA-11333-0000</t>
  </si>
  <si>
    <t>Interco - ANG</t>
  </si>
  <si>
    <t>CHA-11343-0000</t>
  </si>
  <si>
    <t>Interco-GRA</t>
  </si>
  <si>
    <t>CHA-12200-0000</t>
  </si>
  <si>
    <t>CHA-14000-0000</t>
  </si>
  <si>
    <t>CHA-15000-0000</t>
  </si>
  <si>
    <t>CHA-15500-0000</t>
  </si>
  <si>
    <t>CHA-16000-0000</t>
  </si>
  <si>
    <t>CHA-17000-0000</t>
  </si>
  <si>
    <t>CHA-18000-0000</t>
  </si>
  <si>
    <t>CHA-19000-0000</t>
  </si>
  <si>
    <t>CHA-20001-0000</t>
  </si>
  <si>
    <t>CHA-23509-0000</t>
  </si>
  <si>
    <t>CHA-24800-0000</t>
  </si>
  <si>
    <t>CHA-24801-0000</t>
  </si>
  <si>
    <t>CHA-26800-0000</t>
  </si>
  <si>
    <t>CHA-28003-0000</t>
  </si>
  <si>
    <t>Loan - BoC</t>
  </si>
  <si>
    <t>CHA-30700-0000</t>
  </si>
  <si>
    <t>CHA-32000-0000</t>
  </si>
  <si>
    <t>CLI-10021-0000</t>
  </si>
  <si>
    <t>CLI-11200-0000</t>
  </si>
  <si>
    <t>Interco-SCL</t>
  </si>
  <si>
    <t>CLI-16401-7368</t>
  </si>
  <si>
    <t>CLI-16501-7368</t>
  </si>
  <si>
    <t>CLI-25500-0000</t>
  </si>
  <si>
    <t>CLI-30501-0000</t>
  </si>
  <si>
    <t>Paid In Capital</t>
  </si>
  <si>
    <t>CLI-32000-0000</t>
  </si>
  <si>
    <t>CLI-37001-0000</t>
  </si>
  <si>
    <t>CPI-10001-0000</t>
  </si>
  <si>
    <t>CPI-11000-0000</t>
  </si>
  <si>
    <t>CPI-11216-0000</t>
  </si>
  <si>
    <t>CPI-14000-0000</t>
  </si>
  <si>
    <t>CPI-15000-0000</t>
  </si>
  <si>
    <t>CPI-15500-0000</t>
  </si>
  <si>
    <t>CPI-15600-0000</t>
  </si>
  <si>
    <t>CPI-16000-0000</t>
  </si>
  <si>
    <t>CPI-17000-0000</t>
  </si>
  <si>
    <t>CPI-18000-0000</t>
  </si>
  <si>
    <t>CPI-19001-0000</t>
  </si>
  <si>
    <t>CPI-20001-0000</t>
  </si>
  <si>
    <t>CPI-23509-0000</t>
  </si>
  <si>
    <t>CPI-24800-0000</t>
  </si>
  <si>
    <t>CPI-26800-0000</t>
  </si>
  <si>
    <t>CPI-28001-0000</t>
  </si>
  <si>
    <t>CPI-30700-0000</t>
  </si>
  <si>
    <t>CPI-30800-0000</t>
  </si>
  <si>
    <t>Member Draw-Frank Rosen</t>
  </si>
  <si>
    <t>CPI-32000-0000</t>
  </si>
  <si>
    <t>CRE-10001-0000</t>
  </si>
  <si>
    <t>CRE-10003-0000</t>
  </si>
  <si>
    <t>CRE-11000-0000</t>
  </si>
  <si>
    <t>CRE-11216-0000</t>
  </si>
  <si>
    <t>CRE-11309-0000</t>
  </si>
  <si>
    <t>CRE-11313-0000</t>
  </si>
  <si>
    <t>CRE-11316-0000</t>
  </si>
  <si>
    <t>CRE-11317-0000</t>
  </si>
  <si>
    <t>CRE-11331-0000</t>
  </si>
  <si>
    <t>CRE-11333-0000</t>
  </si>
  <si>
    <t>CRE-11343-0000</t>
  </si>
  <si>
    <t>CRE-11401-0000</t>
  </si>
  <si>
    <t>Notes Receivable-BET</t>
  </si>
  <si>
    <t>CRE-11402-0000</t>
  </si>
  <si>
    <t>Note Receivable-DON</t>
  </si>
  <si>
    <t>CRE-14000-0000</t>
  </si>
  <si>
    <t>CRE-15000-0000</t>
  </si>
  <si>
    <t>CRE-15500-0000</t>
  </si>
  <si>
    <t>CRE-17000-0000</t>
  </si>
  <si>
    <t>CRE-18000-0000</t>
  </si>
  <si>
    <t>CRE-19001-0000</t>
  </si>
  <si>
    <t>CRE-20001-0000</t>
  </si>
  <si>
    <t>CRE-23509-0000</t>
  </si>
  <si>
    <t>CRE-24800-0000</t>
  </si>
  <si>
    <t>CRE-24801-0000</t>
  </si>
  <si>
    <t>Pet-Deposits</t>
  </si>
  <si>
    <t>CRE-28003-0000</t>
  </si>
  <si>
    <t>CRE-30700-0000</t>
  </si>
  <si>
    <t>CRE-32000-0000</t>
  </si>
  <si>
    <t>CST-10021-0000</t>
  </si>
  <si>
    <t>BOW Gen</t>
  </si>
  <si>
    <t xml:space="preserve">Admin                </t>
  </si>
  <si>
    <t>CST-15300-0000</t>
  </si>
  <si>
    <t xml:space="preserve">ADMIN                </t>
  </si>
  <si>
    <t>CST-16300-0000</t>
  </si>
  <si>
    <t>Accum. deprec. - Leasehold Imp</t>
  </si>
  <si>
    <t>CST-20001-0000</t>
  </si>
  <si>
    <t>CST-24001-0000</t>
  </si>
  <si>
    <t>Accrued Taxes</t>
  </si>
  <si>
    <t>CST-26700-0000</t>
  </si>
  <si>
    <t>Current Liabilities-CBC-PPP</t>
  </si>
  <si>
    <t>CST-32000-0000</t>
  </si>
  <si>
    <t>CST-36001-0000</t>
  </si>
  <si>
    <t>D7R-11010-0000</t>
  </si>
  <si>
    <t>Notes Receivable LPI</t>
  </si>
  <si>
    <t>D7R-11020-0000</t>
  </si>
  <si>
    <t>Notes Receivable GPI</t>
  </si>
  <si>
    <t>D7R-11040-0000</t>
  </si>
  <si>
    <t>Notes Receivable DOL</t>
  </si>
  <si>
    <t>D7R-11043-0000</t>
  </si>
  <si>
    <t>Notes Receivable GST</t>
  </si>
  <si>
    <t>D7R-11044-0000</t>
  </si>
  <si>
    <t>Notes Receivable HDN</t>
  </si>
  <si>
    <t>D7R-11045-0000</t>
  </si>
  <si>
    <t>Notes Receivable FIR</t>
  </si>
  <si>
    <t>D7R-11046-0000</t>
  </si>
  <si>
    <t>Notes Receivable OVA</t>
  </si>
  <si>
    <t>D7R-11049-0000</t>
  </si>
  <si>
    <t>Notes Receivable WOO</t>
  </si>
  <si>
    <t>D7R-11050-0000</t>
  </si>
  <si>
    <t>Notes Receivable SPI</t>
  </si>
  <si>
    <t>D7R-11051-0000</t>
  </si>
  <si>
    <t>Notes Receivable NET</t>
  </si>
  <si>
    <t>D7R-11052-0000</t>
  </si>
  <si>
    <t>Notes Receivable DON</t>
  </si>
  <si>
    <t>D7R-11059-0000</t>
  </si>
  <si>
    <t>Notes Receivable VEN</t>
  </si>
  <si>
    <t>D7R-11060-0000</t>
  </si>
  <si>
    <t>Notes Receivable SAT</t>
  </si>
  <si>
    <t>D7R-11072-0000</t>
  </si>
  <si>
    <t>Notes Receivable JUP</t>
  </si>
  <si>
    <t>D7R-11074-0000</t>
  </si>
  <si>
    <t>Notes Receivable GRA</t>
  </si>
  <si>
    <t xml:space="preserve">Interco Notes                  </t>
  </si>
  <si>
    <t>D7R-11216-0000</t>
  </si>
  <si>
    <t>Interco SIL</t>
  </si>
  <si>
    <t>D7R-11304-0000</t>
  </si>
  <si>
    <t>Interco EAG</t>
  </si>
  <si>
    <t>D7R-11310-0000</t>
  </si>
  <si>
    <t>D7R-11311-0000</t>
  </si>
  <si>
    <t>D7R-11317-0000</t>
  </si>
  <si>
    <t>D7R-24001-0000</t>
  </si>
  <si>
    <t>D7R-30100-0000</t>
  </si>
  <si>
    <t>Capital Contribution</t>
  </si>
  <si>
    <t>D7R-32000-0000</t>
  </si>
  <si>
    <t>D7R-36001-0000</t>
  </si>
  <si>
    <t>Stockholder Dist</t>
  </si>
  <si>
    <t>DEL-10001-0000</t>
  </si>
  <si>
    <t>DEL-11216-0000</t>
  </si>
  <si>
    <t>DEL-11335-0000</t>
  </si>
  <si>
    <t>DEL-11346-0000</t>
  </si>
  <si>
    <t>Interco-DPH</t>
  </si>
  <si>
    <t>DEL-11402-0000</t>
  </si>
  <si>
    <t>DEL-15500-0000</t>
  </si>
  <si>
    <t>DEL-16000-0000</t>
  </si>
  <si>
    <t>DEL-17000-0000</t>
  </si>
  <si>
    <t>DEL-18000-0000</t>
  </si>
  <si>
    <t>DEL-20000-0000</t>
  </si>
  <si>
    <t>DEL-23509-0000</t>
  </si>
  <si>
    <t>DEL-24001-0000</t>
  </si>
  <si>
    <t>Accrued Income Taxes</t>
  </si>
  <si>
    <t>DEL-26800-0000</t>
  </si>
  <si>
    <t>DEL-30700-0000</t>
  </si>
  <si>
    <t>DEL-32000-0000</t>
  </si>
  <si>
    <t>DEL-36001-0000</t>
  </si>
  <si>
    <t>DF2-10005-7367</t>
  </si>
  <si>
    <t>DF2-10005-7392</t>
  </si>
  <si>
    <t>DF2-10005-7487</t>
  </si>
  <si>
    <t>DF2-10005-7488</t>
  </si>
  <si>
    <t>DF2-10005-7495</t>
  </si>
  <si>
    <t>DF2-10021-0000</t>
  </si>
  <si>
    <t>DF2-10022-0000</t>
  </si>
  <si>
    <t>Cash Payroll - Bank of the West</t>
  </si>
  <si>
    <t>DF2-10023-0000</t>
  </si>
  <si>
    <t>DF2-11001-0000</t>
  </si>
  <si>
    <t>DF2-11200-0000</t>
  </si>
  <si>
    <t>DF2-11201-0000</t>
  </si>
  <si>
    <t>Interco SG</t>
  </si>
  <si>
    <t>DF2-11203-0000</t>
  </si>
  <si>
    <t>Interco HN</t>
  </si>
  <si>
    <t>DF2-11212-0000</t>
  </si>
  <si>
    <t>Interco FRM</t>
  </si>
  <si>
    <t>DF2-11224-0000</t>
  </si>
  <si>
    <t>Interco FSH</t>
  </si>
  <si>
    <t>DF2-11985-0000</t>
  </si>
  <si>
    <t>Intercompany - Purchase Debt</t>
  </si>
  <si>
    <t>DF2-13100-7367</t>
  </si>
  <si>
    <t>DF2-13100-7392</t>
  </si>
  <si>
    <t>DF2-13100-7487</t>
  </si>
  <si>
    <t>DF2-13100-7488</t>
  </si>
  <si>
    <t>DF2-13100-7495</t>
  </si>
  <si>
    <t>DF2-15002-0000</t>
  </si>
  <si>
    <t>DF2-15005-0000</t>
  </si>
  <si>
    <t>DF2-16101-7367</t>
  </si>
  <si>
    <t>DF2-16101-7392</t>
  </si>
  <si>
    <t>DF2-16101-7487</t>
  </si>
  <si>
    <t>DF2-16101-7488</t>
  </si>
  <si>
    <t>DF2-16101-7495</t>
  </si>
  <si>
    <t>DF2-16601-7367</t>
  </si>
  <si>
    <t>DF2-16601-7392</t>
  </si>
  <si>
    <t>DF2-16601-7487</t>
  </si>
  <si>
    <t>DF2-16601-7488</t>
  </si>
  <si>
    <t>DF2-16601-7495</t>
  </si>
  <si>
    <t>DF2-16901-0000</t>
  </si>
  <si>
    <t>DF2-17201-7367</t>
  </si>
  <si>
    <t>DF2-17201-7392</t>
  </si>
  <si>
    <t>DF2-17201-7487</t>
  </si>
  <si>
    <t>DF2-17201-7488</t>
  </si>
  <si>
    <t>DF2-17201-7495</t>
  </si>
  <si>
    <t>DF2-17501-7367</t>
  </si>
  <si>
    <t>Aquisition cost</t>
  </si>
  <si>
    <t>DF2-17501-7392</t>
  </si>
  <si>
    <t>DF2-17501-7487</t>
  </si>
  <si>
    <t>DF2-17501-7488</t>
  </si>
  <si>
    <t>DF2-17501-7495</t>
  </si>
  <si>
    <t>DF2-18501-0000</t>
  </si>
  <si>
    <t>DF2-20001-0000</t>
  </si>
  <si>
    <t>DF2-21001-0000</t>
  </si>
  <si>
    <t>DF2-22001-0000</t>
  </si>
  <si>
    <t>DF2-23405-0000</t>
  </si>
  <si>
    <t>DF2-23406-0000</t>
  </si>
  <si>
    <t>DF2-23509-0000</t>
  </si>
  <si>
    <t>DF2-23905-0000</t>
  </si>
  <si>
    <t>Accrued-W/C Insurance</t>
  </si>
  <si>
    <t>DF2-23909-0000</t>
  </si>
  <si>
    <t>DF2-24400-0000</t>
  </si>
  <si>
    <t>DF2-24400-7367</t>
  </si>
  <si>
    <t>DF2-24400-7392</t>
  </si>
  <si>
    <t>DF2-24400-7487</t>
  </si>
  <si>
    <t>DF2-24400-7488</t>
  </si>
  <si>
    <t>DF2-24400-7495</t>
  </si>
  <si>
    <t>DF2-26700-0000</t>
  </si>
  <si>
    <t>DF2-30001-0000</t>
  </si>
  <si>
    <t>DF2-30501-0000</t>
  </si>
  <si>
    <t>Paid-In Capital</t>
  </si>
  <si>
    <t>DF2-32000-0000</t>
  </si>
  <si>
    <t>DF2-36001-0000</t>
  </si>
  <si>
    <t>DFL-10021-0000</t>
  </si>
  <si>
    <t>General - Bank of the West</t>
  </si>
  <si>
    <t>DFL-10500-0000</t>
  </si>
  <si>
    <t>Cash Investment - Union Bank</t>
  </si>
  <si>
    <t>DFL-10501-0000</t>
  </si>
  <si>
    <t>Union Bk Stock Investment Acc</t>
  </si>
  <si>
    <t>DFL-10502-0000</t>
  </si>
  <si>
    <t>LPL Stock Acct</t>
  </si>
  <si>
    <t>DFL-10515-0000</t>
  </si>
  <si>
    <t>Cash-Restricted-CBC</t>
  </si>
  <si>
    <t>DFL-11020-0000</t>
  </si>
  <si>
    <t>DFL-11050-0000</t>
  </si>
  <si>
    <t>DFL-11051-0000</t>
  </si>
  <si>
    <t>DFL-11053-0000</t>
  </si>
  <si>
    <t>Notes Receivable SEK</t>
  </si>
  <si>
    <t>DFL-11054-0000</t>
  </si>
  <si>
    <t xml:space="preserve">Total Current  Assets          </t>
  </si>
  <si>
    <t>DFL-11056-0000</t>
  </si>
  <si>
    <t>Note Receivable-STO</t>
  </si>
  <si>
    <t>DFL-11057-0000</t>
  </si>
  <si>
    <t>Notes Receivable ANG</t>
  </si>
  <si>
    <t>DFL-11058-0000</t>
  </si>
  <si>
    <t>Notes Receivable BRU</t>
  </si>
  <si>
    <t>DFL-11059-0000</t>
  </si>
  <si>
    <t>DFL-11060-0000</t>
  </si>
  <si>
    <t>Notes Receivable-SAT</t>
  </si>
  <si>
    <t>DFL-11071-0000</t>
  </si>
  <si>
    <t>Notes Receivable NEP</t>
  </si>
  <si>
    <t>DFL-11072-0000</t>
  </si>
  <si>
    <t>DFL-11073-0000</t>
  </si>
  <si>
    <t>Notes Receivable API</t>
  </si>
  <si>
    <t>DFL-11074-0000</t>
  </si>
  <si>
    <t>Notes Receivable DPH</t>
  </si>
  <si>
    <t>DFL-11110-0000</t>
  </si>
  <si>
    <t>Loan to Emp--Shawn Rezaei</t>
  </si>
  <si>
    <t>DFL-11200-0000</t>
  </si>
  <si>
    <t>DFL-11202-0000</t>
  </si>
  <si>
    <t>DFL-18100-0000</t>
  </si>
  <si>
    <t>Deposits</t>
  </si>
  <si>
    <t>DFL-25602-0000</t>
  </si>
  <si>
    <t>Line of Credit</t>
  </si>
  <si>
    <t xml:space="preserve">LOC                            </t>
  </si>
  <si>
    <t xml:space="preserve">Lines of Credit                                    </t>
  </si>
  <si>
    <t>DFL-25604-0000</t>
  </si>
  <si>
    <t>Line of Credit-UB</t>
  </si>
  <si>
    <t>DFL-25606-0000</t>
  </si>
  <si>
    <t>Line of Credit-CBC</t>
  </si>
  <si>
    <t>DFL-25607-0000</t>
  </si>
  <si>
    <t>Line of Credit-LPL GS</t>
  </si>
  <si>
    <t>DFL-28006-0000</t>
  </si>
  <si>
    <t>Loan-DWO</t>
  </si>
  <si>
    <t xml:space="preserve">Current Liabilities            </t>
  </si>
  <si>
    <t>DFL-28007-0000</t>
  </si>
  <si>
    <t>Loan-SCL</t>
  </si>
  <si>
    <t>DFL-32000-0000</t>
  </si>
  <si>
    <t>DFL-36001-0000</t>
  </si>
  <si>
    <t>DIA-10001-0000</t>
  </si>
  <si>
    <t>DIA-11216-0000</t>
  </si>
  <si>
    <t>DIA-11305-0000</t>
  </si>
  <si>
    <t>DIA-11311-0000</t>
  </si>
  <si>
    <t>DIA-11317-0000</t>
  </si>
  <si>
    <t>DIA-11324-0000</t>
  </si>
  <si>
    <t>DIA-11325-0000</t>
  </si>
  <si>
    <t>Intercom-DPI</t>
  </si>
  <si>
    <t>DIA-11326-0000</t>
  </si>
  <si>
    <t>DIA-11332-0000</t>
  </si>
  <si>
    <t>DIA-11402-0000</t>
  </si>
  <si>
    <t>DIA-14000-0000</t>
  </si>
  <si>
    <t>DIA-15000-0000</t>
  </si>
  <si>
    <t>DIA-15500-0000</t>
  </si>
  <si>
    <t>DIA-16000-0000</t>
  </si>
  <si>
    <t>DIA-17000-0000</t>
  </si>
  <si>
    <t>DIA-18000-0000</t>
  </si>
  <si>
    <t>DIA-20001-0000</t>
  </si>
  <si>
    <t>DIA-23509-0000</t>
  </si>
  <si>
    <t>DIA-24800-0000</t>
  </si>
  <si>
    <t>DIA-24801-0000</t>
  </si>
  <si>
    <t>DIA-28001-0000</t>
  </si>
  <si>
    <t>DIA-30700-0000</t>
  </si>
  <si>
    <t>DIA-32000-0000</t>
  </si>
  <si>
    <t>DOL-10001-0000</t>
  </si>
  <si>
    <t>DOL-10002-0000</t>
  </si>
  <si>
    <t>Security Deposit</t>
  </si>
  <si>
    <t>DOL-11216-0000</t>
  </si>
  <si>
    <t>DOL-11301-0000</t>
  </si>
  <si>
    <t>DOL-11311-0000</t>
  </si>
  <si>
    <t>DOL-11315-0000</t>
  </si>
  <si>
    <t>DOL-11317-0000</t>
  </si>
  <si>
    <t>DOL-11324-0000</t>
  </si>
  <si>
    <t>DOL-11325-0000</t>
  </si>
  <si>
    <t>DOL-11326-0000</t>
  </si>
  <si>
    <t>DOL-11333-0000</t>
  </si>
  <si>
    <t>DOL-11337-0000</t>
  </si>
  <si>
    <t>DOL-14000-0000</t>
  </si>
  <si>
    <t>DOL-15000-0000</t>
  </si>
  <si>
    <t>DOL-15500-0000</t>
  </si>
  <si>
    <t>DOL-17000-0000</t>
  </si>
  <si>
    <t>DOL-18000-0000</t>
  </si>
  <si>
    <t>DOL-19000-0000</t>
  </si>
  <si>
    <t>DOL-19001-0000</t>
  </si>
  <si>
    <t>DOL-20001-0000</t>
  </si>
  <si>
    <t>DOL-23509-0000</t>
  </si>
  <si>
    <t>DOL-24800-0000</t>
  </si>
  <si>
    <t>DOL-25000-0000</t>
  </si>
  <si>
    <t>DOL-28001-0000</t>
  </si>
  <si>
    <t>DOL-30700-0000</t>
  </si>
  <si>
    <t>DOL-32000-0000</t>
  </si>
  <si>
    <t>DPH-10001-0000</t>
  </si>
  <si>
    <t>DPH-11216-0000</t>
  </si>
  <si>
    <t>DPH-11312-0000</t>
  </si>
  <si>
    <t>Interco-DEL</t>
  </si>
  <si>
    <t>DPH-11331-0000</t>
  </si>
  <si>
    <t>DPH-15500-0000</t>
  </si>
  <si>
    <t>DPH-17000-0000</t>
  </si>
  <si>
    <t>DPH-18000-0000</t>
  </si>
  <si>
    <t>DPH-19000-0000</t>
  </si>
  <si>
    <t>DPH-19001-0000</t>
  </si>
  <si>
    <t>DPH-20001-0000</t>
  </si>
  <si>
    <t>DPH-23509-0000</t>
  </si>
  <si>
    <t>DPH-24800-0000</t>
  </si>
  <si>
    <t>DPH-25100-0000</t>
  </si>
  <si>
    <t>DPH-30700-0000</t>
  </si>
  <si>
    <t>DPH-32000-0000</t>
  </si>
  <si>
    <t>DPI-10001-0000</t>
  </si>
  <si>
    <t>DPI-11216-0000</t>
  </si>
  <si>
    <t>DPI-11303-0000</t>
  </si>
  <si>
    <t>DPI-11305-0000</t>
  </si>
  <si>
    <t>DPI-11310-0000</t>
  </si>
  <si>
    <t>DPI-11313-0000</t>
  </si>
  <si>
    <t>DPI-11317-0000</t>
  </si>
  <si>
    <t>DPI-11334-0000</t>
  </si>
  <si>
    <t>DPI-11336-0000</t>
  </si>
  <si>
    <t>DPI-11337-0000</t>
  </si>
  <si>
    <t>DPI-11402-0000</t>
  </si>
  <si>
    <t>DPI-14000-0000</t>
  </si>
  <si>
    <t>DPI-15000-0000</t>
  </si>
  <si>
    <t>DPI-15500-0000</t>
  </si>
  <si>
    <t>DPI-17000-0000</t>
  </si>
  <si>
    <t>DPI-18000-0000</t>
  </si>
  <si>
    <t>DPI-19001-0000</t>
  </si>
  <si>
    <t>DPI-20001-0000</t>
  </si>
  <si>
    <t>DPI-23509-0000</t>
  </si>
  <si>
    <t>DPI-24800-0000</t>
  </si>
  <si>
    <t>DPI-24801-0000</t>
  </si>
  <si>
    <t>DPI-25000-0000</t>
  </si>
  <si>
    <t>DPI-26800-0000</t>
  </si>
  <si>
    <t>DPI-28001-0000</t>
  </si>
  <si>
    <t>DPI-30700-0000</t>
  </si>
  <si>
    <t>DPI-30900-0000</t>
  </si>
  <si>
    <t>Members Draw 41st St</t>
  </si>
  <si>
    <t>DPI-32000-0000</t>
  </si>
  <si>
    <t>DPM-24800-0000</t>
  </si>
  <si>
    <t>DPM-32000-0000</t>
  </si>
  <si>
    <t>DWO-10021-0000</t>
  </si>
  <si>
    <t>DWO-10515-0000</t>
  </si>
  <si>
    <t>DWO-11025-0000</t>
  </si>
  <si>
    <t>A/R HC</t>
  </si>
  <si>
    <t>DWO-11026-0000</t>
  </si>
  <si>
    <t>N/R - DFL</t>
  </si>
  <si>
    <t>DWO-11225-0000</t>
  </si>
  <si>
    <t>Due From DWO</t>
  </si>
  <si>
    <t>DWO-16401-7863</t>
  </si>
  <si>
    <t>Building:7863</t>
  </si>
  <si>
    <t>DWO-16501-7863</t>
  </si>
  <si>
    <t>Land:7863</t>
  </si>
  <si>
    <t>DWO-16601-7863</t>
  </si>
  <si>
    <t>Leasehold Improvement:7863</t>
  </si>
  <si>
    <t>DWO-16901-0000</t>
  </si>
  <si>
    <t>Acc. Depreciation</t>
  </si>
  <si>
    <t>DWO-18501-0000</t>
  </si>
  <si>
    <t>DWO-23953-0000</t>
  </si>
  <si>
    <t>Loan from Member</t>
  </si>
  <si>
    <t xml:space="preserve">SH Receivable                  </t>
  </si>
  <si>
    <t>DWO-25605-0000</t>
  </si>
  <si>
    <t>Other Liability</t>
  </si>
  <si>
    <t>DWO-25606-0000</t>
  </si>
  <si>
    <t>DWO-31001-0000</t>
  </si>
  <si>
    <t>Capital Contribution - Class A (Dharod)</t>
  </si>
  <si>
    <t>DWO-31101-0000</t>
  </si>
  <si>
    <t>Capital Contribution - Class B (Shah)</t>
  </si>
  <si>
    <t>DWO-31102-0000</t>
  </si>
  <si>
    <t>Capital Contribution - Class B (Hoffert)</t>
  </si>
  <si>
    <t>DWO-31201-0000</t>
  </si>
  <si>
    <t>Capital Contribution - Class C (Carrick)</t>
  </si>
  <si>
    <t>DWO-31202-0000</t>
  </si>
  <si>
    <t>Capital Contribution - Class C (Ilagan)</t>
  </si>
  <si>
    <t>DWO-31204-0000</t>
  </si>
  <si>
    <t>Capital Contribution - Class C (Tran)</t>
  </si>
  <si>
    <t>DWO-31301-0000</t>
  </si>
  <si>
    <t>Capital Contribution - Class D (Carrick)</t>
  </si>
  <si>
    <t>DWO-31302-0000</t>
  </si>
  <si>
    <t>Capital Contribution - Class D (Ly)</t>
  </si>
  <si>
    <t>DWO-32000-0000</t>
  </si>
  <si>
    <t>DWO-37001-0000</t>
  </si>
  <si>
    <t>Shareholder Dist - Class A (Dharod)</t>
  </si>
  <si>
    <t>DWO-37101-0000</t>
  </si>
  <si>
    <t>Stockholder Dist - Class B (Shah)</t>
  </si>
  <si>
    <t>DWO-37102-0000</t>
  </si>
  <si>
    <t>Stockholder Dist - Class B (Hoffert)</t>
  </si>
  <si>
    <t>DWO-37201-0000</t>
  </si>
  <si>
    <t>Stockholder Dist - Class C (Carrick)</t>
  </si>
  <si>
    <t>DWO-37202-0000</t>
  </si>
  <si>
    <t>Stockholder Dist - Class C (Ilagan)</t>
  </si>
  <si>
    <t>DWO-37203-0000</t>
  </si>
  <si>
    <t>Stockholder Dist - Class C (Harris)</t>
  </si>
  <si>
    <t>DWO-37204-0000</t>
  </si>
  <si>
    <t>Stockholder Dist - Class C (Tran)</t>
  </si>
  <si>
    <t>DWO-37301-0000</t>
  </si>
  <si>
    <t>Stockholder Dist - Class D (Carrick)</t>
  </si>
  <si>
    <t>DWO-37302-0000</t>
  </si>
  <si>
    <t>Stockholder Dist - Class D (Ly)</t>
  </si>
  <si>
    <t>DWO-38102-0000</t>
  </si>
  <si>
    <t>SH Dist - Tax Pmt - Class B (Hoffert)</t>
  </si>
  <si>
    <t>DWO-38202-0000</t>
  </si>
  <si>
    <t>SH Dist - Tax Pmt - Class C (Ilagan)</t>
  </si>
  <si>
    <t>DWO-38204-0000</t>
  </si>
  <si>
    <t>SH Dist - Tax Pmt - Class C (Tran)</t>
  </si>
  <si>
    <t>DWO-38301-0000</t>
  </si>
  <si>
    <t>SH Dist - Tax Pmt - Class D (Carrick)</t>
  </si>
  <si>
    <t>DWO-38302-0000</t>
  </si>
  <si>
    <t>SH Dist - Tax Pmt - Class D (Ly)</t>
  </si>
  <si>
    <t>DWO-38303-0000</t>
  </si>
  <si>
    <t>SH Dist - Tax Pmt - Class D (Shah)</t>
  </si>
  <si>
    <t>EAG-10001-0000</t>
  </si>
  <si>
    <t>EAG-10003-0000</t>
  </si>
  <si>
    <t>EAG-11000-0000</t>
  </si>
  <si>
    <t>EAG-11214-0000</t>
  </si>
  <si>
    <t>Interco-D7R</t>
  </si>
  <si>
    <t xml:space="preserve">Intercompany D7                </t>
  </si>
  <si>
    <t>EAG-11216-0000</t>
  </si>
  <si>
    <t>EAG-11305-0000</t>
  </si>
  <si>
    <t>EAG-11317-0000</t>
  </si>
  <si>
    <t>EAG-11332-0000</t>
  </si>
  <si>
    <t>EAG-11333-0000</t>
  </si>
  <si>
    <t>EAG-11335-0000</t>
  </si>
  <si>
    <t>EAG-11343-0000</t>
  </si>
  <si>
    <t>EAG-11402-0000</t>
  </si>
  <si>
    <t>Notes Receivable-DON</t>
  </si>
  <si>
    <t>EAG-12200-0000</t>
  </si>
  <si>
    <t>EAG-14000-0000</t>
  </si>
  <si>
    <t>EAG-15000-0000</t>
  </si>
  <si>
    <t>EAG-15500-0000</t>
  </si>
  <si>
    <t>EAG-16000-0000</t>
  </si>
  <si>
    <t>EAG-17000-0000</t>
  </si>
  <si>
    <t>EAG-18000-0000</t>
  </si>
  <si>
    <t>EAG-19000-0000</t>
  </si>
  <si>
    <t>EAG-20000-0000</t>
  </si>
  <si>
    <t>EAG-20001-0000</t>
  </si>
  <si>
    <t>EAG-23509-0000</t>
  </si>
  <si>
    <t>EAG-24800-0000</t>
  </si>
  <si>
    <t>EAG-24801-0000</t>
  </si>
  <si>
    <t>EAG-26800-0000</t>
  </si>
  <si>
    <t>EAG-28001-0000</t>
  </si>
  <si>
    <t>EAG-28003-0000</t>
  </si>
  <si>
    <t>EAG-30700-0000</t>
  </si>
  <si>
    <t>EAG-32000-0000</t>
  </si>
  <si>
    <t>EAL-24800-0000</t>
  </si>
  <si>
    <t>EAL-24801-0000</t>
  </si>
  <si>
    <t>EAL-32000-0000</t>
  </si>
  <si>
    <t>EAM-10001-0000</t>
  </si>
  <si>
    <t>EAM-11342-0000</t>
  </si>
  <si>
    <t>EAM-14000-0000</t>
  </si>
  <si>
    <t>EAM-15000-0000</t>
  </si>
  <si>
    <t>EAM-17000-0000</t>
  </si>
  <si>
    <t>EAM-20001-0000</t>
  </si>
  <si>
    <t>EAM-24800-0000</t>
  </si>
  <si>
    <t>EAM-24801-0000</t>
  </si>
  <si>
    <t>EAM-28003-0000</t>
  </si>
  <si>
    <t>Loan - Fidelity</t>
  </si>
  <si>
    <t xml:space="preserve">Total Long Term Liability      </t>
  </si>
  <si>
    <t>EAM-30700-0000</t>
  </si>
  <si>
    <t>EAM-32000-0000</t>
  </si>
  <si>
    <t>EAS-10001-0000</t>
  </si>
  <si>
    <t>EAS-11216-0000</t>
  </si>
  <si>
    <t>EAS-11310-0000</t>
  </si>
  <si>
    <t>Interco-Alp</t>
  </si>
  <si>
    <t>EAS-11311-0000</t>
  </si>
  <si>
    <t>EAS-11314-0000</t>
  </si>
  <si>
    <t>EAS-11316-0000</t>
  </si>
  <si>
    <t>EAS-11337-0000</t>
  </si>
  <si>
    <t>EAS-11343-0000</t>
  </si>
  <si>
    <t>EAS-11348-0000</t>
  </si>
  <si>
    <t>Interco-EAM</t>
  </si>
  <si>
    <t>EAS-15500-0000</t>
  </si>
  <si>
    <t>EAS-17000-0000</t>
  </si>
  <si>
    <t>EAS-18000-0000</t>
  </si>
  <si>
    <t>EAS-19000-0000</t>
  </si>
  <si>
    <t>EAS-19001-0000</t>
  </si>
  <si>
    <t>EAS-23509-0000</t>
  </si>
  <si>
    <t>EAS-26800-0000</t>
  </si>
  <si>
    <t>EAS-30700-0000</t>
  </si>
  <si>
    <t>EAS-32000-0000</t>
  </si>
  <si>
    <t>EAS-38101-0000</t>
  </si>
  <si>
    <t>SH Dividend-Josh Bowman</t>
  </si>
  <si>
    <t>FFC-10021-0000</t>
  </si>
  <si>
    <t xml:space="preserve">FFC                  </t>
  </si>
  <si>
    <t>FFC-11050-0000</t>
  </si>
  <si>
    <t>Loans to Employees</t>
  </si>
  <si>
    <t>FFC-11200-0000</t>
  </si>
  <si>
    <t>FFC-11207-0000</t>
  </si>
  <si>
    <t>Interco-DFL</t>
  </si>
  <si>
    <t>FFC-11212-0000</t>
  </si>
  <si>
    <t>Intercompany Receivable - FRM</t>
  </si>
  <si>
    <t>FFC-11222-0000</t>
  </si>
  <si>
    <t>Intercompany Receivable - RCI</t>
  </si>
  <si>
    <t>FFC-12000-0000</t>
  </si>
  <si>
    <t>FFC-15200-0000</t>
  </si>
  <si>
    <t>Furniture &amp; Fixtures</t>
  </si>
  <si>
    <t>FFC-15300-0000</t>
  </si>
  <si>
    <t>FFC-15400-0000</t>
  </si>
  <si>
    <t>Motor Vehicles</t>
  </si>
  <si>
    <t>FFC-15500-0000</t>
  </si>
  <si>
    <t>Computer Equipment &amp; Software</t>
  </si>
  <si>
    <t>FFC-16200-0000</t>
  </si>
  <si>
    <t>Accum. deprec. - Furn. &amp; Fixt.</t>
  </si>
  <si>
    <t>FFC-16300-0000</t>
  </si>
  <si>
    <t>FFC-16400-0000</t>
  </si>
  <si>
    <t>Accum. deprec. Motor Vehicles</t>
  </si>
  <si>
    <t>FFC-16500-0000</t>
  </si>
  <si>
    <t>Accum. deprec. - Computer Eqpt</t>
  </si>
  <si>
    <t>FFC-18101-0000</t>
  </si>
  <si>
    <t>BOW CD</t>
  </si>
  <si>
    <t>FFC-20001-0000</t>
  </si>
  <si>
    <t>FFC-20100-0000</t>
  </si>
  <si>
    <t>FFC-21100-0000</t>
  </si>
  <si>
    <t>FFC-21200-0000</t>
  </si>
  <si>
    <t>YE Accr Audit Fees</t>
  </si>
  <si>
    <t>FFC-21302-0000</t>
  </si>
  <si>
    <t>State Payroll Taxes Payable</t>
  </si>
  <si>
    <t>FFC-21304-0000</t>
  </si>
  <si>
    <t>Accrued SUI &amp; FUTA</t>
  </si>
  <si>
    <t>FFC-21305-0000</t>
  </si>
  <si>
    <t>Accrued SDI</t>
  </si>
  <si>
    <t>FFC-21310-0000</t>
  </si>
  <si>
    <t>Accrued Franchise Tax</t>
  </si>
  <si>
    <t>FFC-21500-0000</t>
  </si>
  <si>
    <t>FFC-22100-0000</t>
  </si>
  <si>
    <t>Income Tax Payable - State</t>
  </si>
  <si>
    <t>FFC-26700-0000</t>
  </si>
  <si>
    <t>Current Liabilities-CB- ST</t>
  </si>
  <si>
    <t>FFC-30300-0000</t>
  </si>
  <si>
    <t>Additional Paid-In Capital</t>
  </si>
  <si>
    <t>FFC-31101-0000</t>
  </si>
  <si>
    <t>Capital Contribution (Vinaya)</t>
  </si>
  <si>
    <t>FFC-32000-0000</t>
  </si>
  <si>
    <t>Retained Earnings-Prior Years</t>
  </si>
  <si>
    <t>FFC-36001-0000</t>
  </si>
  <si>
    <t>FIR-10001-0000</t>
  </si>
  <si>
    <t>FIR-11000-0000</t>
  </si>
  <si>
    <t>FIR-11216-0000</t>
  </si>
  <si>
    <t>FIR-11311-0000</t>
  </si>
  <si>
    <t>FIR-11331-0000</t>
  </si>
  <si>
    <t>FIR-11336-0000</t>
  </si>
  <si>
    <t>FIR-11337-0000</t>
  </si>
  <si>
    <t>FIR-14000-0000</t>
  </si>
  <si>
    <t>FIR-15000-0000</t>
  </si>
  <si>
    <t>FIR-15500-0000</t>
  </si>
  <si>
    <t>FIR-17000-0000</t>
  </si>
  <si>
    <t>FIR-18000-0000</t>
  </si>
  <si>
    <t>FIR-19001-0000</t>
  </si>
  <si>
    <t>FIR-20001-0000</t>
  </si>
  <si>
    <t>FIR-23509-0000</t>
  </si>
  <si>
    <t>FIR-24800-0000</t>
  </si>
  <si>
    <t>FIR-25000-0000</t>
  </si>
  <si>
    <t>FIR-26800-0000</t>
  </si>
  <si>
    <t>FIR-28001-0000</t>
  </si>
  <si>
    <t>FIR-30700-0000</t>
  </si>
  <si>
    <t>FIR-32000-0000</t>
  </si>
  <si>
    <t>FRM-10021-0000</t>
  </si>
  <si>
    <t>Bank of the West - General Checking</t>
  </si>
  <si>
    <t xml:space="preserve">FRM                  </t>
  </si>
  <si>
    <t>FRM-11200-0000</t>
  </si>
  <si>
    <t>FRM-11202-0000</t>
  </si>
  <si>
    <t>Interco-FFC</t>
  </si>
  <si>
    <t>FRM-11204-0000</t>
  </si>
  <si>
    <t>Intercompany Recble - DFG</t>
  </si>
  <si>
    <t>FRM-12000-0000</t>
  </si>
  <si>
    <t>FRM-13110-0000</t>
  </si>
  <si>
    <t>Inventory Parts</t>
  </si>
  <si>
    <t>FRM-13110-1003</t>
  </si>
  <si>
    <t>FRM-13110-1011</t>
  </si>
  <si>
    <t>FRM-13110-1016</t>
  </si>
  <si>
    <t>FRM-13110-1017</t>
  </si>
  <si>
    <t>FRM-13110-2002</t>
  </si>
  <si>
    <t>FRM-13110-3001</t>
  </si>
  <si>
    <t>FRM-13110-3014</t>
  </si>
  <si>
    <t xml:space="preserve">Totsl Current Assets           </t>
  </si>
  <si>
    <t>FRM-13110-4005</t>
  </si>
  <si>
    <t>FRM-20001-0000</t>
  </si>
  <si>
    <t>FRM-20100-0000</t>
  </si>
  <si>
    <t>FRM-21100-0000</t>
  </si>
  <si>
    <t>FRM-21500-0000</t>
  </si>
  <si>
    <t>FRM-23001-0000</t>
  </si>
  <si>
    <t>Fed PR Taxes Payable</t>
  </si>
  <si>
    <t>FRM-23004-0000</t>
  </si>
  <si>
    <t>Accr SUI &amp; FUTA</t>
  </si>
  <si>
    <t>FRM-26700-0000</t>
  </si>
  <si>
    <t>FRM-30101-0000</t>
  </si>
  <si>
    <t>FRM-32000-0000</t>
  </si>
  <si>
    <t>FRM-36001-0000</t>
  </si>
  <si>
    <t>Stockholder Distributions</t>
  </si>
  <si>
    <t>FSH-10005-8213</t>
  </si>
  <si>
    <t>FSH-10022-0000</t>
  </si>
  <si>
    <t>FSH-10023-0000</t>
  </si>
  <si>
    <t>FSH-10030-0000</t>
  </si>
  <si>
    <t>FSH-11001-0000</t>
  </si>
  <si>
    <t>FSH-11200-0000</t>
  </si>
  <si>
    <t>FSH-11201-0000</t>
  </si>
  <si>
    <t>FSH-11204-0000</t>
  </si>
  <si>
    <t>Interco DFG</t>
  </si>
  <si>
    <t>FSH-13100-8213</t>
  </si>
  <si>
    <t>FSH-16101-8213</t>
  </si>
  <si>
    <t>FSH-16901-0000</t>
  </si>
  <si>
    <t>FSH-17201-8213</t>
  </si>
  <si>
    <t>FSH-18501-0000</t>
  </si>
  <si>
    <t>FSH-20001-0000</t>
  </si>
  <si>
    <t>FSH-21001-0000</t>
  </si>
  <si>
    <t>FSH-22001-0000</t>
  </si>
  <si>
    <t>FSH-23405-0000</t>
  </si>
  <si>
    <t>FSH-23406-0000</t>
  </si>
  <si>
    <t>FSH-23509-0000</t>
  </si>
  <si>
    <t>FSH-23909-0000</t>
  </si>
  <si>
    <t>FSH-24400-0000</t>
  </si>
  <si>
    <t>FSH-24400-8213</t>
  </si>
  <si>
    <t>FSH-25500-0000</t>
  </si>
  <si>
    <t>FSH-26700-0000</t>
  </si>
  <si>
    <t>FSH-30501-0000</t>
  </si>
  <si>
    <t>FSH-30505-0000</t>
  </si>
  <si>
    <t>Paid in Capital - Jay Gala</t>
  </si>
  <si>
    <t>FSH-32000-0000</t>
  </si>
  <si>
    <t>FSH-37001-0000</t>
  </si>
  <si>
    <t>GPI-10001-0000</t>
  </si>
  <si>
    <t>GPI-11000-0000</t>
  </si>
  <si>
    <t>GPI-11214-0000</t>
  </si>
  <si>
    <t>GPI-11216-0000</t>
  </si>
  <si>
    <t>GPI-11301-0000</t>
  </si>
  <si>
    <t>GPI-11305-0000</t>
  </si>
  <si>
    <t>GPI-11308-0000</t>
  </si>
  <si>
    <t>GPI-11317-0000</t>
  </si>
  <si>
    <t>GPI-11402-0000</t>
  </si>
  <si>
    <t>GPI-15500-0000</t>
  </si>
  <si>
    <t>GPI-16000-0000</t>
  </si>
  <si>
    <t>GPI-17000-0000</t>
  </si>
  <si>
    <t>GPI-18000-0000</t>
  </si>
  <si>
    <t>GPI-19000-0000</t>
  </si>
  <si>
    <t>GPI-19001-0000</t>
  </si>
  <si>
    <t>GPI-23509-0000</t>
  </si>
  <si>
    <t>GPI-24001-0000</t>
  </si>
  <si>
    <t>GPI-25100-0000</t>
  </si>
  <si>
    <t>Note Payable - DFLP</t>
  </si>
  <si>
    <t>GPI-26800-0000</t>
  </si>
  <si>
    <t>GPI-30700-0000</t>
  </si>
  <si>
    <t>GPI-31001-0000</t>
  </si>
  <si>
    <t>Capital Contribution - DFT</t>
  </si>
  <si>
    <t>GPI-31002-0000</t>
  </si>
  <si>
    <t>Capital Contribtuion - Kevin Whitton</t>
  </si>
  <si>
    <t>GPI-31003-0000</t>
  </si>
  <si>
    <t>Capital Contribution - Amna Khatoon</t>
  </si>
  <si>
    <t xml:space="preserve">Sh dist                        </t>
  </si>
  <si>
    <t>GPI-31004-0000</t>
  </si>
  <si>
    <t>Capital Contribution-Brajesh Goyal</t>
  </si>
  <si>
    <t>GPI-31005-0000</t>
  </si>
  <si>
    <t>Capital Contribution-Shawn Rezaei</t>
  </si>
  <si>
    <t>GPI-32000-0000</t>
  </si>
  <si>
    <t>GPI-36001-0000</t>
  </si>
  <si>
    <t>Shareholder Dist - DFT</t>
  </si>
  <si>
    <t>GPI-36002-0000</t>
  </si>
  <si>
    <t>Shareholder Dist - Kevin Whitton</t>
  </si>
  <si>
    <t>GPI-36003-0000</t>
  </si>
  <si>
    <t>Shareholder Dist - Amna Khatoon</t>
  </si>
  <si>
    <t>GPI-36004-0000</t>
  </si>
  <si>
    <t>Shareholder Dist - Brajesh Goyal</t>
  </si>
  <si>
    <t xml:space="preserve">SH dist                        </t>
  </si>
  <si>
    <t>GPI-36005-0000</t>
  </si>
  <si>
    <t>Shareholder Dist - Shawn Rezaei</t>
  </si>
  <si>
    <t>GRA-10001-0000</t>
  </si>
  <si>
    <t>GRA-11216-0000</t>
  </si>
  <si>
    <t>GRA-11301-0000</t>
  </si>
  <si>
    <t>GRA-11302-0000</t>
  </si>
  <si>
    <t>GRA-11304-0000</t>
  </si>
  <si>
    <t>GRA-11310-0000</t>
  </si>
  <si>
    <t>GRA-11314-0000</t>
  </si>
  <si>
    <t>GRA-11316-0000</t>
  </si>
  <si>
    <t>GRA-11322-0000</t>
  </si>
  <si>
    <t>GRA-11324-0000</t>
  </si>
  <si>
    <t>GRA-11337-0000</t>
  </si>
  <si>
    <t>GRA-11342-0000</t>
  </si>
  <si>
    <t>GRA-12200-0000</t>
  </si>
  <si>
    <t>GRA-14000-0000</t>
  </si>
  <si>
    <t>GRA-15000-0000</t>
  </si>
  <si>
    <t>GRA-15500-0000</t>
  </si>
  <si>
    <t>GRA-17000-0000</t>
  </si>
  <si>
    <t>GRA-18000-0000</t>
  </si>
  <si>
    <t>GRA-19000-0000</t>
  </si>
  <si>
    <t>GRA-19001-0000</t>
  </si>
  <si>
    <t>GRA-20001-0000</t>
  </si>
  <si>
    <t>GRA-22001-0000</t>
  </si>
  <si>
    <t>Rent Tax Payable</t>
  </si>
  <si>
    <t>GRA-23509-0000</t>
  </si>
  <si>
    <t>GRA-24800-0000</t>
  </si>
  <si>
    <t>GRA-25000-0000</t>
  </si>
  <si>
    <t>GRA-28001-0000</t>
  </si>
  <si>
    <t>Loan - Berkadia</t>
  </si>
  <si>
    <t>GRA-30700-0000</t>
  </si>
  <si>
    <t>GRA-32000-0000</t>
  </si>
  <si>
    <t>GRI-10001-0000</t>
  </si>
  <si>
    <t>GRI-11216-0000</t>
  </si>
  <si>
    <t>GRI-11342-0000</t>
  </si>
  <si>
    <t>GRI-11343-0000</t>
  </si>
  <si>
    <t>GRI-12200-0000</t>
  </si>
  <si>
    <t>GRI-19000-0000</t>
  </si>
  <si>
    <t>GRI-20001-0000</t>
  </si>
  <si>
    <t>GRI-24001-0000</t>
  </si>
  <si>
    <t>GRI-24800-0000</t>
  </si>
  <si>
    <t>GRI-24801-0000</t>
  </si>
  <si>
    <t>GRI-30700-0000</t>
  </si>
  <si>
    <t>GRI-32000-0000</t>
  </si>
  <si>
    <t>GSM-24800-0000</t>
  </si>
  <si>
    <t>GSM-32000-0000</t>
  </si>
  <si>
    <t>GST-10001-0000</t>
  </si>
  <si>
    <t>GST-11216-0000</t>
  </si>
  <si>
    <t>GST-11310-0000</t>
  </si>
  <si>
    <t>GST-11311-0000</t>
  </si>
  <si>
    <t>GST-11317-0000</t>
  </si>
  <si>
    <t>GST-14000-0000</t>
  </si>
  <si>
    <t>GST-15000-0000</t>
  </si>
  <si>
    <t>GST-15500-0000</t>
  </si>
  <si>
    <t>GST-16000-0000</t>
  </si>
  <si>
    <t>GST-17000-0000</t>
  </si>
  <si>
    <t>GST-18000-0000</t>
  </si>
  <si>
    <t>GST-19001-0000</t>
  </si>
  <si>
    <t>GST-23509-0000</t>
  </si>
  <si>
    <t>GST-24800-0000</t>
  </si>
  <si>
    <t>GST-25000-0000</t>
  </si>
  <si>
    <t>GST-28001-0000</t>
  </si>
  <si>
    <t>GST-30700-0000</t>
  </si>
  <si>
    <t>GST-32000-0000</t>
  </si>
  <si>
    <t>GST-37007-0000</t>
  </si>
  <si>
    <t>SH Dist Neel Pujara</t>
  </si>
  <si>
    <t>HDM-24800-0000</t>
  </si>
  <si>
    <t>HDM-24801-0000</t>
  </si>
  <si>
    <t>HDM-32000-0000</t>
  </si>
  <si>
    <t>HDN-10001-0000</t>
  </si>
  <si>
    <t>HDN-11216-0000</t>
  </si>
  <si>
    <t>HDN-11315-0000</t>
  </si>
  <si>
    <t>Interco PUR</t>
  </si>
  <si>
    <t>HDN-11321-0000</t>
  </si>
  <si>
    <t>HDN-11322-0000</t>
  </si>
  <si>
    <t>HDN-11329-0000</t>
  </si>
  <si>
    <t>HDN-11332-0000</t>
  </si>
  <si>
    <t>HDN-11336-0000</t>
  </si>
  <si>
    <t>HDN-12200-0000</t>
  </si>
  <si>
    <t>HDN-14000-0000</t>
  </si>
  <si>
    <t>HDN-15000-0000</t>
  </si>
  <si>
    <t>HDN-15500-0000</t>
  </si>
  <si>
    <t>HDN-16000-0000</t>
  </si>
  <si>
    <t>HDN-17000-0000</t>
  </si>
  <si>
    <t>HDN-18000-0000</t>
  </si>
  <si>
    <t>HDN-19001-0000</t>
  </si>
  <si>
    <t>HDN-20001-0000</t>
  </si>
  <si>
    <t>HDN-23509-0000</t>
  </si>
  <si>
    <t>HDN-24800-0000</t>
  </si>
  <si>
    <t>HDN-25000-0000</t>
  </si>
  <si>
    <t>HDN-26800-0000</t>
  </si>
  <si>
    <t>HDN-28001-0001</t>
  </si>
  <si>
    <t>Loan - CAPITAL ONE: WG</t>
  </si>
  <si>
    <t>HDN-30700-0000</t>
  </si>
  <si>
    <t>HDN-32000-0000</t>
  </si>
  <si>
    <t>HDR-24800-0000</t>
  </si>
  <si>
    <t>HDR-32000-0000</t>
  </si>
  <si>
    <t>HN2-10005-7358</t>
  </si>
  <si>
    <t>HN2-10005-7372</t>
  </si>
  <si>
    <t>HN2-10005-7384</t>
  </si>
  <si>
    <t>HN2-10005-7626</t>
  </si>
  <si>
    <t>HN2-10021-0000</t>
  </si>
  <si>
    <t>HN2-10023-0000</t>
  </si>
  <si>
    <t>HN2-11001-0000</t>
  </si>
  <si>
    <t>HN2-11200-0000</t>
  </si>
  <si>
    <t>HN2-11201-0000</t>
  </si>
  <si>
    <t>HN2-11204-0000</t>
  </si>
  <si>
    <t>HN2-11985-0000</t>
  </si>
  <si>
    <t>HN2-13100-7358</t>
  </si>
  <si>
    <t>HN2-13100-7372</t>
  </si>
  <si>
    <t>HN2-13100-7384</t>
  </si>
  <si>
    <t>HN2-13100-7626</t>
  </si>
  <si>
    <t>HN2-15002-0000</t>
  </si>
  <si>
    <t>HN2-15005-0000</t>
  </si>
  <si>
    <t>HN2-16101-0000</t>
  </si>
  <si>
    <t>HN2-16101-7358</t>
  </si>
  <si>
    <t>HN2-16101-7372</t>
  </si>
  <si>
    <t>HN2-16101-7384</t>
  </si>
  <si>
    <t>HN2-16101-7626</t>
  </si>
  <si>
    <t>HN2-16601-7358</t>
  </si>
  <si>
    <t>HN2-16601-7372</t>
  </si>
  <si>
    <t>HN2-16601-7384</t>
  </si>
  <si>
    <t>HN2-16601-7626</t>
  </si>
  <si>
    <t>HN2-16901-0000</t>
  </si>
  <si>
    <t>HN2-17001-0000</t>
  </si>
  <si>
    <t>HN2-17201-7358</t>
  </si>
  <si>
    <t>HN2-17201-7372</t>
  </si>
  <si>
    <t>HN2-17201-7384</t>
  </si>
  <si>
    <t>HN2-17201-7626</t>
  </si>
  <si>
    <t>HN2-17501-7358</t>
  </si>
  <si>
    <t>HN2-17501-7372</t>
  </si>
  <si>
    <t>HN2-18501-0000</t>
  </si>
  <si>
    <t>HN2-20001-0000</t>
  </si>
  <si>
    <t>HN2-21001-0000</t>
  </si>
  <si>
    <t>HN2-22001-0000</t>
  </si>
  <si>
    <t>HN2-23405-0000</t>
  </si>
  <si>
    <t>HN2-23406-0000</t>
  </si>
  <si>
    <t>HN2-23509-0000</t>
  </si>
  <si>
    <t>HN2-23905-0000</t>
  </si>
  <si>
    <t>HN2-23909-0000</t>
  </si>
  <si>
    <t>HN2-23920-0000</t>
  </si>
  <si>
    <t>Deferred Rent Liability</t>
  </si>
  <si>
    <t>HN2-24400-0000</t>
  </si>
  <si>
    <t>HN2-24400-7358</t>
  </si>
  <si>
    <t>HN2-24400-7372</t>
  </si>
  <si>
    <t>HN2-24400-7384</t>
  </si>
  <si>
    <t>HN2-24400-7626</t>
  </si>
  <si>
    <t>HN2-30001-0000</t>
  </si>
  <si>
    <t>HN2-30501-0000</t>
  </si>
  <si>
    <t>HN2-32000-0000</t>
  </si>
  <si>
    <t>HN2-37001-0000</t>
  </si>
  <si>
    <t>HOM-10021-0000</t>
  </si>
  <si>
    <t>HO Bank Acct</t>
  </si>
  <si>
    <t>HOM-20100-0000</t>
  </si>
  <si>
    <t>HOM-30100-0000</t>
  </si>
  <si>
    <t>Deposits to Home Office Account</t>
  </si>
  <si>
    <t>HOM-32000-0000</t>
  </si>
  <si>
    <t>HOS-10021-0000</t>
  </si>
  <si>
    <t>HOS-20001-0000</t>
  </si>
  <si>
    <t>HOS-30100-0000</t>
  </si>
  <si>
    <t>Deposits to HO</t>
  </si>
  <si>
    <t>HOS-32000-0000</t>
  </si>
  <si>
    <t>JUP-10001-0000</t>
  </si>
  <si>
    <t>JUP-11216-0000</t>
  </si>
  <si>
    <t>JUP-14000-0000</t>
  </si>
  <si>
    <t>JUP-15000-0000</t>
  </si>
  <si>
    <t>JUP-15500-0000</t>
  </si>
  <si>
    <t>JUP-15600-0000</t>
  </si>
  <si>
    <t>JUP-16000-0000</t>
  </si>
  <si>
    <t>JUP-17000-0000</t>
  </si>
  <si>
    <t>JUP-18000-0000</t>
  </si>
  <si>
    <t>JUP-19001-0000</t>
  </si>
  <si>
    <t>JUP-20001-0000</t>
  </si>
  <si>
    <t>JUP-23509-0000</t>
  </si>
  <si>
    <t>JUP-24800-0000</t>
  </si>
  <si>
    <t>JUP-25000-0000</t>
  </si>
  <si>
    <t>JUP-25100-0000</t>
  </si>
  <si>
    <t>JUP-26800-0000</t>
  </si>
  <si>
    <t>JUP-28001-0000</t>
  </si>
  <si>
    <t>JUP-30700-0000</t>
  </si>
  <si>
    <t>JUP-32000-0000</t>
  </si>
  <si>
    <t>KLP-20000-0000</t>
  </si>
  <si>
    <t>KLP-24800-0000</t>
  </si>
  <si>
    <t>KLP-24801-0000</t>
  </si>
  <si>
    <t>KLP-32000-0000</t>
  </si>
  <si>
    <t>LAN-10021-0000</t>
  </si>
  <si>
    <t>LAN-11231-0000</t>
  </si>
  <si>
    <t>LAN-16101-0000</t>
  </si>
  <si>
    <t>Furniture-Fixtures</t>
  </si>
  <si>
    <t>LAN-16191-0000</t>
  </si>
  <si>
    <t>A/D Equip</t>
  </si>
  <si>
    <t>LAN-16401-0000</t>
  </si>
  <si>
    <t>LAN-16491-0000</t>
  </si>
  <si>
    <t>LAN-16501-0000</t>
  </si>
  <si>
    <t>LAN-18502-0000</t>
  </si>
  <si>
    <t>LAN-20100-0000</t>
  </si>
  <si>
    <t>LAN-24501-0000</t>
  </si>
  <si>
    <t>LAN-25500-0000</t>
  </si>
  <si>
    <t>LAN-26001-0000</t>
  </si>
  <si>
    <t>LAN-28003-0000</t>
  </si>
  <si>
    <t>LAN-28801-0000</t>
  </si>
  <si>
    <t>LAN-28802-0000</t>
  </si>
  <si>
    <t>LAN-30501-0000</t>
  </si>
  <si>
    <t>LAN-32000-0000</t>
  </si>
  <si>
    <t>LAN-37001-0000</t>
  </si>
  <si>
    <t>LCP-10001-0000</t>
  </si>
  <si>
    <t>LCP-11000-0000</t>
  </si>
  <si>
    <t>LCP-11216-0000</t>
  </si>
  <si>
    <t>LCP-11341-0000</t>
  </si>
  <si>
    <t>Interco-NOR</t>
  </si>
  <si>
    <t>LCP-12200-0000</t>
  </si>
  <si>
    <t>LCP-12300-0000</t>
  </si>
  <si>
    <t>LCP-14000-0000</t>
  </si>
  <si>
    <t>LCP-15000-0000</t>
  </si>
  <si>
    <t>LCP-15500-0000</t>
  </si>
  <si>
    <t>LCP-17000-0000</t>
  </si>
  <si>
    <t>LCP-18000-0000</t>
  </si>
  <si>
    <t>LCP-19001-0000</t>
  </si>
  <si>
    <t>LCP-20001-0000</t>
  </si>
  <si>
    <t>LCP-23509-0000</t>
  </si>
  <si>
    <t>LCP-24800-0000</t>
  </si>
  <si>
    <t>LCP-24801-0000</t>
  </si>
  <si>
    <t>LCP-28003-0000</t>
  </si>
  <si>
    <t>LCP-30700-0000</t>
  </si>
  <si>
    <t>LCP-31001-0000</t>
  </si>
  <si>
    <t>Capital Contribution - DFLP</t>
  </si>
  <si>
    <t>LCP-31002-0000</t>
  </si>
  <si>
    <t>Capital Contribution - D7R</t>
  </si>
  <si>
    <t>LCP-31003-0000</t>
  </si>
  <si>
    <t>Capital Contribution - Sunny Dharod</t>
  </si>
  <si>
    <t>LCP-31005-0000</t>
  </si>
  <si>
    <t>Capital Contribution - DFT(CNB)</t>
  </si>
  <si>
    <t>LCP-31008-0000</t>
  </si>
  <si>
    <t>Capital Contribution - AJ</t>
  </si>
  <si>
    <t>LCP-32000-0000</t>
  </si>
  <si>
    <t>LCP-36001-0000</t>
  </si>
  <si>
    <t>Shareholder Dist - North Prop</t>
  </si>
  <si>
    <t>LOM-10001-0000</t>
  </si>
  <si>
    <t>LOM-11216-0000</t>
  </si>
  <si>
    <t>LOM-11310-0000</t>
  </si>
  <si>
    <t>LOM-11311-0000</t>
  </si>
  <si>
    <t>LOM-11317-0000</t>
  </si>
  <si>
    <t>LOM-11326-0000</t>
  </si>
  <si>
    <t>Interco - SEK</t>
  </si>
  <si>
    <t>LOM-11331-0000</t>
  </si>
  <si>
    <t>Interco - WIL</t>
  </si>
  <si>
    <t>LOM-14000-0000</t>
  </si>
  <si>
    <t>LOM-15000-0000</t>
  </si>
  <si>
    <t>LOM-15500-0000</t>
  </si>
  <si>
    <t>LOM-15600-0000</t>
  </si>
  <si>
    <t>LOM-16000-0000</t>
  </si>
  <si>
    <t>LOM-17000-0000</t>
  </si>
  <si>
    <t>LOM-18000-0000</t>
  </si>
  <si>
    <t>LOM-19001-0000</t>
  </si>
  <si>
    <t>LOM-20001-0000</t>
  </si>
  <si>
    <t>LOM-23509-0000</t>
  </si>
  <si>
    <t>LOM-24800-0000</t>
  </si>
  <si>
    <t>LOM-26800-0000</t>
  </si>
  <si>
    <t>LOM-28001-0000</t>
  </si>
  <si>
    <t>LOM-30700-0000</t>
  </si>
  <si>
    <t>LOM-32000-0000</t>
  </si>
  <si>
    <t>LPI-10001-0000</t>
  </si>
  <si>
    <t>LPI-11214-0000</t>
  </si>
  <si>
    <t>LPI-11216-0000</t>
  </si>
  <si>
    <t>LPI-11309-0000</t>
  </si>
  <si>
    <t>LPI-11311-0000</t>
  </si>
  <si>
    <t>LPI-11402-0000</t>
  </si>
  <si>
    <t>LPI-12200-0001</t>
  </si>
  <si>
    <t>Impound Account-Lemon</t>
  </si>
  <si>
    <t>LPI-12200-0002</t>
  </si>
  <si>
    <t>Impound Account-WY VN</t>
  </si>
  <si>
    <t>LPI-12200-0003</t>
  </si>
  <si>
    <t>Impound Account-WY Reseda</t>
  </si>
  <si>
    <t>LPI-12200-0004</t>
  </si>
  <si>
    <t>Impound Account-Schoolcraft</t>
  </si>
  <si>
    <t>LPI-12200-0005</t>
  </si>
  <si>
    <t>Impound Account-Appalachian</t>
  </si>
  <si>
    <t>LPI-14000-0001</t>
  </si>
  <si>
    <t>Land - Lemon</t>
  </si>
  <si>
    <t>LPI-14000-0002</t>
  </si>
  <si>
    <t>Land-14655 Wyandotte</t>
  </si>
  <si>
    <t>LPI-14000-0003</t>
  </si>
  <si>
    <t>Land-19420 Wyandotte</t>
  </si>
  <si>
    <t>LPI-14000-0004</t>
  </si>
  <si>
    <t>Land-22148 Schoolcraft</t>
  </si>
  <si>
    <t>LPI-14000-0005</t>
  </si>
  <si>
    <t>Land-64310 Appalachian</t>
  </si>
  <si>
    <t>LPI-15000-0001</t>
  </si>
  <si>
    <t>Bldg-Lemon</t>
  </si>
  <si>
    <t>LPI-15000-0002</t>
  </si>
  <si>
    <t>Bldg-14655 Wyandotte</t>
  </si>
  <si>
    <t>LPI-15000-0003</t>
  </si>
  <si>
    <t>Bldg-19420 Wyandotte</t>
  </si>
  <si>
    <t>LPI-15000-0004</t>
  </si>
  <si>
    <t>Bldg-22148 Schoolcraft</t>
  </si>
  <si>
    <t>LPI-15000-0005</t>
  </si>
  <si>
    <t>Bldg-64310 Appalachian</t>
  </si>
  <si>
    <t>LPI-15500-0001</t>
  </si>
  <si>
    <t>LPI-15500-0002</t>
  </si>
  <si>
    <t>LPI-15500-0003</t>
  </si>
  <si>
    <t>LPI-15500-0004</t>
  </si>
  <si>
    <t>LPI-15500-0005</t>
  </si>
  <si>
    <t>LPI-16000-0000</t>
  </si>
  <si>
    <t>LPI-17000-0000</t>
  </si>
  <si>
    <t>LPI-17000-0001</t>
  </si>
  <si>
    <t>LPI-17000-0002</t>
  </si>
  <si>
    <t>LPI-17000-0003</t>
  </si>
  <si>
    <t>LPI-17000-0004</t>
  </si>
  <si>
    <t>LPI-17000-0005</t>
  </si>
  <si>
    <t>LPI-18000-0000</t>
  </si>
  <si>
    <t>LPI-19000-0000</t>
  </si>
  <si>
    <t>LPI-20000-0000</t>
  </si>
  <si>
    <t>LPI-20001-0000</t>
  </si>
  <si>
    <t>LPI-23509-0000</t>
  </si>
  <si>
    <t>LPI-24800-0000</t>
  </si>
  <si>
    <t>LPI-24800-0002</t>
  </si>
  <si>
    <t>LPI-24800-0003</t>
  </si>
  <si>
    <t>LPI-24800-0004</t>
  </si>
  <si>
    <t>LPI-24800-0005</t>
  </si>
  <si>
    <t>LPI-24801-0005</t>
  </si>
  <si>
    <t>LPI-26800-0000</t>
  </si>
  <si>
    <t>LPI-28001-0001</t>
  </si>
  <si>
    <t>Loan-Flagstar-Lemon</t>
  </si>
  <si>
    <t>LPI-28001-0002</t>
  </si>
  <si>
    <t>Loan-Flagstar-WY VN</t>
  </si>
  <si>
    <t>LPI-28001-0003</t>
  </si>
  <si>
    <t>Loan-Flagstar-WY Reseda</t>
  </si>
  <si>
    <t>LPI-28001-0004</t>
  </si>
  <si>
    <t>Loan-Flagstar-Schoolcraft</t>
  </si>
  <si>
    <t>LPI-28001-0005</t>
  </si>
  <si>
    <t>Loan-Flagstar-Appalachian</t>
  </si>
  <si>
    <t>LPI-30700-0000</t>
  </si>
  <si>
    <t>LPI-32000-0000</t>
  </si>
  <si>
    <t>LPI-36001-0000</t>
  </si>
  <si>
    <t>MAR-10001-0000</t>
  </si>
  <si>
    <t>MAR-11000-0000</t>
  </si>
  <si>
    <t>MAR-11216-0000</t>
  </si>
  <si>
    <t>MAR-11317-0000</t>
  </si>
  <si>
    <t xml:space="preserve">intercompany                   </t>
  </si>
  <si>
    <t>MAR-11334-0000</t>
  </si>
  <si>
    <t>MAR-11344-0000</t>
  </si>
  <si>
    <t>Interco-SOU</t>
  </si>
  <si>
    <t>MAR-12200-0000</t>
  </si>
  <si>
    <t>MAR-14000-0000</t>
  </si>
  <si>
    <t>MAR-15000-0000</t>
  </si>
  <si>
    <t>MAR-15500-0000</t>
  </si>
  <si>
    <t>MAR-15600-0000</t>
  </si>
  <si>
    <t>MAR-17000-0000</t>
  </si>
  <si>
    <t>MAR-18000-0000</t>
  </si>
  <si>
    <t>MAR-19001-0000</t>
  </si>
  <si>
    <t>MAR-20001-0000</t>
  </si>
  <si>
    <t>MAR-23509-0000</t>
  </si>
  <si>
    <t>Accured Expenses</t>
  </si>
  <si>
    <t>MAR-24800-0000</t>
  </si>
  <si>
    <t>MAR-25100-0000</t>
  </si>
  <si>
    <t>MAR-26800-0000</t>
  </si>
  <si>
    <t>MAR-28003-0000</t>
  </si>
  <si>
    <t>MAR-30700-0000</t>
  </si>
  <si>
    <t>MAR-32000-0000</t>
  </si>
  <si>
    <t>NCE-10006-0000</t>
  </si>
  <si>
    <t>Change Fund</t>
  </si>
  <si>
    <t>NCE-10007-0000</t>
  </si>
  <si>
    <t>Cash</t>
  </si>
  <si>
    <t>NCE-10010-0000</t>
  </si>
  <si>
    <t>Money Market Account</t>
  </si>
  <si>
    <t>NCE-10021-0000</t>
  </si>
  <si>
    <t>NCE-10024-0000</t>
  </si>
  <si>
    <t>CNB General</t>
  </si>
  <si>
    <t>NCE-11001-0000</t>
  </si>
  <si>
    <t>NCE-11060-0000</t>
  </si>
  <si>
    <t>NCE-17000-0000</t>
  </si>
  <si>
    <t>NCE-23004-0000</t>
  </si>
  <si>
    <t>NCE-23405-0000</t>
  </si>
  <si>
    <t>NCE-23700-0000</t>
  </si>
  <si>
    <t>NCE-30000-0000</t>
  </si>
  <si>
    <t>Capital Investment</t>
  </si>
  <si>
    <t>NCE-32000-0000</t>
  </si>
  <si>
    <t>NCE-36001-0000</t>
  </si>
  <si>
    <t xml:space="preserve">NCEB                 </t>
  </si>
  <si>
    <t>NCE-36100-0000</t>
  </si>
  <si>
    <t>NEH-10021-0000</t>
  </si>
  <si>
    <t>NEH-14000-0000</t>
  </si>
  <si>
    <t>NEH-15000-0000</t>
  </si>
  <si>
    <t>NEH-16901-0000</t>
  </si>
  <si>
    <t>NEH-30100-0000</t>
  </si>
  <si>
    <t>NEH-32000-0000</t>
  </si>
  <si>
    <t>NEH-36001-0000</t>
  </si>
  <si>
    <t>NEP-10001-0000</t>
  </si>
  <si>
    <t>NEP-11216-0000</t>
  </si>
  <si>
    <t>NEP-11310-0000</t>
  </si>
  <si>
    <t>NEP-11311-0000</t>
  </si>
  <si>
    <t>NEP-11313-0000</t>
  </si>
  <si>
    <t>NEP-11317-0000</t>
  </si>
  <si>
    <t>NEP-11318-0000</t>
  </si>
  <si>
    <t>NEP-11325-0000</t>
  </si>
  <si>
    <t>NEP-11329-0000</t>
  </si>
  <si>
    <t>NEP-11332-0000</t>
  </si>
  <si>
    <t>NEP-11342-0000</t>
  </si>
  <si>
    <t>NEP-11343-0000</t>
  </si>
  <si>
    <t>NEP-14000-0000</t>
  </si>
  <si>
    <t>NEP-15000-0000</t>
  </si>
  <si>
    <t>NEP-15500-0000</t>
  </si>
  <si>
    <t>NEP-15600-0000</t>
  </si>
  <si>
    <t>NEP-16000-0000</t>
  </si>
  <si>
    <t>NEP-17000-0000</t>
  </si>
  <si>
    <t>NEP-18000-0000</t>
  </si>
  <si>
    <t>NEP-19001-0000</t>
  </si>
  <si>
    <t>NEP-20001-0000</t>
  </si>
  <si>
    <t>NEP-23509-0000</t>
  </si>
  <si>
    <t>NEP-24800-0000</t>
  </si>
  <si>
    <t>NEP-24801-0000</t>
  </si>
  <si>
    <t>NEP-25100-0000</t>
  </si>
  <si>
    <t>NEP-26800-0000</t>
  </si>
  <si>
    <t>NEP-28001-0000</t>
  </si>
  <si>
    <t>NEP-30700-0000</t>
  </si>
  <si>
    <t>NEP-32000-0000</t>
  </si>
  <si>
    <t>NES-10021-0000</t>
  </si>
  <si>
    <t>General - BOW</t>
  </si>
  <si>
    <t>NES-11216-0000</t>
  </si>
  <si>
    <t>NES-20001-0000</t>
  </si>
  <si>
    <t>NES-32000-0000</t>
  </si>
  <si>
    <t>NES-36001-0000</t>
  </si>
  <si>
    <t>NET-10001-0000</t>
  </si>
  <si>
    <t>NET-11216-0000</t>
  </si>
  <si>
    <t>NET-11303-0000</t>
  </si>
  <si>
    <t>NET-11305-0000</t>
  </si>
  <si>
    <t>NET-11310-0000</t>
  </si>
  <si>
    <t>NET-11311-0000</t>
  </si>
  <si>
    <t>NET-11313-0000</t>
  </si>
  <si>
    <t>NET-11317-0000</t>
  </si>
  <si>
    <t>NET-11326-0000</t>
  </si>
  <si>
    <t>NET-11336-0000</t>
  </si>
  <si>
    <t>NET-11343-0000</t>
  </si>
  <si>
    <t>NET-14000-0000</t>
  </si>
  <si>
    <t>NET-15000-0000</t>
  </si>
  <si>
    <t>NET-15500-0000</t>
  </si>
  <si>
    <t>NET-17000-0000</t>
  </si>
  <si>
    <t>NET-18000-0000</t>
  </si>
  <si>
    <t>NET-19001-0000</t>
  </si>
  <si>
    <t>NET-20001-0000</t>
  </si>
  <si>
    <t>NET-23509-0000</t>
  </si>
  <si>
    <t>NET-24800-0000</t>
  </si>
  <si>
    <t>NET-24801-0000</t>
  </si>
  <si>
    <t>NET-25000-0000</t>
  </si>
  <si>
    <t>NET-25100-0000</t>
  </si>
  <si>
    <t>NET-26800-0000</t>
  </si>
  <si>
    <t>NET-28001-0000</t>
  </si>
  <si>
    <t>NET-30700-0000</t>
  </si>
  <si>
    <t>NET-32000-0000</t>
  </si>
  <si>
    <t>NEW-10001-0000</t>
  </si>
  <si>
    <t>NEW-11000-0000</t>
  </si>
  <si>
    <t>NEW-11216-0000</t>
  </si>
  <si>
    <t>NEW-11302-0000</t>
  </si>
  <si>
    <t>Interco-Champion</t>
  </si>
  <si>
    <t>NEW-11303-0000</t>
  </si>
  <si>
    <t>NEW-11304-0000</t>
  </si>
  <si>
    <t>NEW-11309-0000</t>
  </si>
  <si>
    <t>NEW-11310-0000</t>
  </si>
  <si>
    <t>NEW-11315-0000</t>
  </si>
  <si>
    <t>Interco - PUR</t>
  </si>
  <si>
    <t>NEW-11317-0000</t>
  </si>
  <si>
    <t>NEW-11324-0000</t>
  </si>
  <si>
    <t>NEW-11325-0000</t>
  </si>
  <si>
    <t>NEW-11402-0000</t>
  </si>
  <si>
    <t>NEW-14000-0001</t>
  </si>
  <si>
    <t>NEW-15000-0001</t>
  </si>
  <si>
    <t>Build, Furn, &amp; Equip:SA</t>
  </si>
  <si>
    <t>NEW-15500-0001</t>
  </si>
  <si>
    <t>NEW-17000-0000</t>
  </si>
  <si>
    <t>NEW-17000-0001</t>
  </si>
  <si>
    <t>NEW-18000-0000</t>
  </si>
  <si>
    <t>NEW-19000-0000</t>
  </si>
  <si>
    <t>NEW-20001-0000</t>
  </si>
  <si>
    <t>NEW-23509-0000</t>
  </si>
  <si>
    <t>NEW-24800-0000</t>
  </si>
  <si>
    <t>NEW-24800-0001</t>
  </si>
  <si>
    <t>Tenent Sec Deposits:SA</t>
  </si>
  <si>
    <t>NEW-24800-0002</t>
  </si>
  <si>
    <t>Tenent Sec Deposits:SP</t>
  </si>
  <si>
    <t>NEW-24801-0000</t>
  </si>
  <si>
    <t>Tenant Pet Deposits</t>
  </si>
  <si>
    <t xml:space="preserve">Total Current Liabilites       </t>
  </si>
  <si>
    <t>NEW-26800-0000</t>
  </si>
  <si>
    <t>NEW-28001-0000</t>
  </si>
  <si>
    <t>NEW-28001-0001</t>
  </si>
  <si>
    <t>Loan - Chase:SA</t>
  </si>
  <si>
    <t>NEW-28003-0000</t>
  </si>
  <si>
    <t>NEW-30700-0000</t>
  </si>
  <si>
    <t>NEW-32000-0000</t>
  </si>
  <si>
    <t>NEW-36001-0000</t>
  </si>
  <si>
    <t>NOR-11340-0000</t>
  </si>
  <si>
    <t>Interco-LCP</t>
  </si>
  <si>
    <t>NOR-20001-0000</t>
  </si>
  <si>
    <t>NOR-30700-0000</t>
  </si>
  <si>
    <t>NOR-32000-0000</t>
  </si>
  <si>
    <t>NWS-10021-0000</t>
  </si>
  <si>
    <t xml:space="preserve">PR                   </t>
  </si>
  <si>
    <t>NWS-11217-0000</t>
  </si>
  <si>
    <t>NWS-11218-0000</t>
  </si>
  <si>
    <t>NWS-20001-0000</t>
  </si>
  <si>
    <t>NWS-20100-0000</t>
  </si>
  <si>
    <t>NWS-26700-0000</t>
  </si>
  <si>
    <t>NWS-32000-0000</t>
  </si>
  <si>
    <t>NWS-36001-0000</t>
  </si>
  <si>
    <t>OLD-32000-0000</t>
  </si>
  <si>
    <t>OLD-39999-0001</t>
  </si>
  <si>
    <t>Net P&amp;L Activity:Alpha</t>
  </si>
  <si>
    <t>OLD-39999-0002</t>
  </si>
  <si>
    <t>Net P&amp;L Activity:Beta</t>
  </si>
  <si>
    <t>OLD-39999-0003</t>
  </si>
  <si>
    <t>Net P&amp;L Activity:Gold</t>
  </si>
  <si>
    <t>OLD-39999-0005</t>
  </si>
  <si>
    <t>Net P&amp;L Activity:Griffin</t>
  </si>
  <si>
    <t>OLD-39999-0006</t>
  </si>
  <si>
    <t>Net P&amp;L Activity:Purple</t>
  </si>
  <si>
    <t>OLD-39999-0007</t>
  </si>
  <si>
    <t>Net P&amp;L Activity:Valley</t>
  </si>
  <si>
    <t>OLD-39999-0008</t>
  </si>
  <si>
    <t>Net P&amp;L Activity:AKGC</t>
  </si>
  <si>
    <t>OLD-39999-0009</t>
  </si>
  <si>
    <t>Net P&amp;L Activity:DOL</t>
  </si>
  <si>
    <t>OLD-39999-0010</t>
  </si>
  <si>
    <t>Net P&amp;L Activity:FIR</t>
  </si>
  <si>
    <t>OLD-39999-0011</t>
  </si>
  <si>
    <t>Net P&amp;L Activity:GreenStrom</t>
  </si>
  <si>
    <t>OLD-39999-0012</t>
  </si>
  <si>
    <t>Net P&amp;L Activity:HDNC</t>
  </si>
  <si>
    <t>OLD-39999-0013</t>
  </si>
  <si>
    <t>Net P&amp;L Activity:OVAL</t>
  </si>
  <si>
    <t>OLD-39999-0014</t>
  </si>
  <si>
    <t>Net P&amp;L Activity:WOO</t>
  </si>
  <si>
    <t>OLD-39999-0015</t>
  </si>
  <si>
    <t>Net P&amp;L Activity:SPI</t>
  </si>
  <si>
    <t>OLD-39999-0016</t>
  </si>
  <si>
    <t>Net P&amp;L Activity:NET</t>
  </si>
  <si>
    <t>OLD-39999-0017</t>
  </si>
  <si>
    <t>Net P&amp;L Activity:DPI</t>
  </si>
  <si>
    <t>OLD-39999-0018</t>
  </si>
  <si>
    <t>Net P&amp;L Activity:SEK</t>
  </si>
  <si>
    <t>OLD-39999-0019</t>
  </si>
  <si>
    <t>Net P&amp;L Activity</t>
  </si>
  <si>
    <t>OLD-39999-0020</t>
  </si>
  <si>
    <t>OLD-39999-0021</t>
  </si>
  <si>
    <t>OLD-39999-0022</t>
  </si>
  <si>
    <t>OLD-39999-0023</t>
  </si>
  <si>
    <t>OLD-39999-0024</t>
  </si>
  <si>
    <t>OLD-39999-0025</t>
  </si>
  <si>
    <t>OLD-39999-0026</t>
  </si>
  <si>
    <t>OLD-39999-0027</t>
  </si>
  <si>
    <t>Net P&amp;L ActivitY</t>
  </si>
  <si>
    <t>OLD-39999-0028</t>
  </si>
  <si>
    <t>OLD-39999-0029</t>
  </si>
  <si>
    <t>OLD-39999-0030</t>
  </si>
  <si>
    <t>OLD-39999-0031</t>
  </si>
  <si>
    <t>OLD-39999-0032</t>
  </si>
  <si>
    <t>OLD-39999-0033</t>
  </si>
  <si>
    <t>OLD-39999-0034</t>
  </si>
  <si>
    <t>OLD-39999-0035</t>
  </si>
  <si>
    <t xml:space="preserve">Retain Earnings                </t>
  </si>
  <si>
    <t>OLD-39999-0036</t>
  </si>
  <si>
    <t>OLD-39999-0037</t>
  </si>
  <si>
    <t>OLD-39999-0038</t>
  </si>
  <si>
    <t>OLD-39999-0039</t>
  </si>
  <si>
    <t>OLD-39999-0040</t>
  </si>
  <si>
    <t>OLD-39999-0041</t>
  </si>
  <si>
    <t>OLD-39999-0042</t>
  </si>
  <si>
    <t>OLD-39999-0043</t>
  </si>
  <si>
    <t>OLD-39999-0044</t>
  </si>
  <si>
    <t>OLD-39999-0045</t>
  </si>
  <si>
    <t>OLD-39999-0046</t>
  </si>
  <si>
    <t>OLD-39999-0047</t>
  </si>
  <si>
    <t>OLD-39999-0048</t>
  </si>
  <si>
    <t>OLD-39999-0049</t>
  </si>
  <si>
    <t>OLD-39999-0050</t>
  </si>
  <si>
    <t>OLD-61023-0048</t>
  </si>
  <si>
    <t>Outside Services</t>
  </si>
  <si>
    <t xml:space="preserve">Total Noncpmtrollable Expenses </t>
  </si>
  <si>
    <t xml:space="preserve">CGS                            </t>
  </si>
  <si>
    <t xml:space="preserve">Outside Services                                   </t>
  </si>
  <si>
    <t>OVA-10001-0000</t>
  </si>
  <si>
    <t>OVA-11216-0000</t>
  </si>
  <si>
    <t>OVA-11302-0000</t>
  </si>
  <si>
    <t>OVA-11310-0000</t>
  </si>
  <si>
    <t>OVA-11311-0000</t>
  </si>
  <si>
    <t>OVA-11317-0000</t>
  </si>
  <si>
    <t>OVA-11320-0000</t>
  </si>
  <si>
    <t>OVA-11332-0000</t>
  </si>
  <si>
    <t>OVA-14000-0000</t>
  </si>
  <si>
    <t>OVA-15000-0000</t>
  </si>
  <si>
    <t>OVA-15500-0000</t>
  </si>
  <si>
    <t>OVA-15600-0000</t>
  </si>
  <si>
    <t>OVA-16000-0000</t>
  </si>
  <si>
    <t>OVA-17000-0000</t>
  </si>
  <si>
    <t>OVA-18000-0000</t>
  </si>
  <si>
    <t>OVA-19001-0000</t>
  </si>
  <si>
    <t>OVA-20001-0000</t>
  </si>
  <si>
    <t>OVA-23509-0000</t>
  </si>
  <si>
    <t>OVA-24800-0000</t>
  </si>
  <si>
    <t>OVA-25000-0000</t>
  </si>
  <si>
    <t>OVA-28001-0000</t>
  </si>
  <si>
    <t>OVA-30700-0000</t>
  </si>
  <si>
    <t>OVA-32000-0000</t>
  </si>
  <si>
    <t>PGP-10001-0000</t>
  </si>
  <si>
    <t>PGP-11000-0000</t>
  </si>
  <si>
    <t>PGP-14000-0000</t>
  </si>
  <si>
    <t>PGP-20001-0000</t>
  </si>
  <si>
    <t>PGP-28003-0000</t>
  </si>
  <si>
    <t>Loan - TS Ag</t>
  </si>
  <si>
    <t>PGP-30700-0000</t>
  </si>
  <si>
    <t>PGP-32000-0000</t>
  </si>
  <si>
    <t>PUR-10001-0000</t>
  </si>
  <si>
    <t>PUR-11216-0000</t>
  </si>
  <si>
    <t>PUR-11305-0000</t>
  </si>
  <si>
    <t>Interco - NEW</t>
  </si>
  <si>
    <t>PUR-11313-0000</t>
  </si>
  <si>
    <t>PUR-11317-0000</t>
  </si>
  <si>
    <t>PUR-11320-0000</t>
  </si>
  <si>
    <t>Interco HDN</t>
  </si>
  <si>
    <t>PUR-11332-0000</t>
  </si>
  <si>
    <t>PUR-11402-0000</t>
  </si>
  <si>
    <t>PUR-12200-0000</t>
  </si>
  <si>
    <t>PUR-14000-0000</t>
  </si>
  <si>
    <t>PUR-15000-0000</t>
  </si>
  <si>
    <t>PUR-15500-0000</t>
  </si>
  <si>
    <t>PUR-16000-0000</t>
  </si>
  <si>
    <t>PUR-17000-0000</t>
  </si>
  <si>
    <t>PUR-18000-0000</t>
  </si>
  <si>
    <t>PUR-20000-0000</t>
  </si>
  <si>
    <t>PUR-20001-0000</t>
  </si>
  <si>
    <t>PUR-23509-0000</t>
  </si>
  <si>
    <t>PUR-24001-0000</t>
  </si>
  <si>
    <t>PUR-24800-0000</t>
  </si>
  <si>
    <t>PUR-26800-0000</t>
  </si>
  <si>
    <t>PUR-28001-0000</t>
  </si>
  <si>
    <t>Loan - WF</t>
  </si>
  <si>
    <t>PUR-28002-0000</t>
  </si>
  <si>
    <t>Loan - Capital One</t>
  </si>
  <si>
    <t>PUR-30700-0000</t>
  </si>
  <si>
    <t>PUR-32000-0000</t>
  </si>
  <si>
    <t>RCI-10021-0000</t>
  </si>
  <si>
    <t>RCI-11202-0000</t>
  </si>
  <si>
    <t>RCI-11217-0000</t>
  </si>
  <si>
    <t>RCI-11218-0000</t>
  </si>
  <si>
    <t>RCI-24001-0000</t>
  </si>
  <si>
    <t>FTB Payable</t>
  </si>
  <si>
    <t>RCI-26700-0000</t>
  </si>
  <si>
    <t>RCI-32000-0000</t>
  </si>
  <si>
    <t>RCI-36001-0000</t>
  </si>
  <si>
    <t>SAT-10001-0000</t>
  </si>
  <si>
    <t>SAT-11000-0000</t>
  </si>
  <si>
    <t>SAT-11216-0000</t>
  </si>
  <si>
    <t>SAT-11311-0000</t>
  </si>
  <si>
    <t>SAT-11317-0000</t>
  </si>
  <si>
    <t>SAT-11318-0000</t>
  </si>
  <si>
    <t>SAT-11320-0000</t>
  </si>
  <si>
    <t>SAT-11324-0000</t>
  </si>
  <si>
    <t>SAT-11325-0000</t>
  </si>
  <si>
    <t>SAT-11332-0000</t>
  </si>
  <si>
    <t>SAT-11334-0000</t>
  </si>
  <si>
    <t>SAT-14000-0000</t>
  </si>
  <si>
    <t>SAT-15000-0000</t>
  </si>
  <si>
    <t>SAT-15500-0000</t>
  </si>
  <si>
    <t>SAT-15600-0000</t>
  </si>
  <si>
    <t>SAT-16000-0000</t>
  </si>
  <si>
    <t>SAT-17000-0000</t>
  </si>
  <si>
    <t>SAT-18000-0000</t>
  </si>
  <si>
    <t>SAT-19001-0000</t>
  </si>
  <si>
    <t>SAT-20001-0000</t>
  </si>
  <si>
    <t>SAT-23509-0000</t>
  </si>
  <si>
    <t>SAT-24800-0000</t>
  </si>
  <si>
    <t>SAT-25000-0000</t>
  </si>
  <si>
    <t>SAT-25100-0000</t>
  </si>
  <si>
    <t>SAT-25200-0000</t>
  </si>
  <si>
    <t>Note Payable-NCEB</t>
  </si>
  <si>
    <t>SAT-26800-0000</t>
  </si>
  <si>
    <t>SAT-28001-0000</t>
  </si>
  <si>
    <t>SAT-30700-0000</t>
  </si>
  <si>
    <t>SAT-32000-0000</t>
  </si>
  <si>
    <t>SC1-10021-0000</t>
  </si>
  <si>
    <t>SC1-11200-0000</t>
  </si>
  <si>
    <t>SC1-11219-0000</t>
  </si>
  <si>
    <t>Interco BVI</t>
  </si>
  <si>
    <t>SC1-11221-0000</t>
  </si>
  <si>
    <t>Interco LAN</t>
  </si>
  <si>
    <t>SC1-11232-0000</t>
  </si>
  <si>
    <t>Interco SC2</t>
  </si>
  <si>
    <t>SC1-11233-0000</t>
  </si>
  <si>
    <t>Interco SC3</t>
  </si>
  <si>
    <t>SC1-11234-0000</t>
  </si>
  <si>
    <t>Interco SC4</t>
  </si>
  <si>
    <t>SC1-16401-7352</t>
  </si>
  <si>
    <t>SC1-16401-7361</t>
  </si>
  <si>
    <t>SC1-16401-7365</t>
  </si>
  <si>
    <t>SC1-16501-7352</t>
  </si>
  <si>
    <t>SC1-16501-7361</t>
  </si>
  <si>
    <t>SC1-16501-7365</t>
  </si>
  <si>
    <t>SC1-16601-7352</t>
  </si>
  <si>
    <t>Leasehold Improvement</t>
  </si>
  <si>
    <t>SC1-16601-7365</t>
  </si>
  <si>
    <t>SC1-16901-0000</t>
  </si>
  <si>
    <t>SC1-18502-0000</t>
  </si>
  <si>
    <t>SC1-20001-0000</t>
  </si>
  <si>
    <t>SC1-20100-0000</t>
  </si>
  <si>
    <t>SC1-24001-0000</t>
  </si>
  <si>
    <t>SC1-24501-0000</t>
  </si>
  <si>
    <t>SC1-25500-0000</t>
  </si>
  <si>
    <t>SC1-26001-0000</t>
  </si>
  <si>
    <t>SC1-28001-0000</t>
  </si>
  <si>
    <t>SC1-28003-0000</t>
  </si>
  <si>
    <t>SC1-28801-0000</t>
  </si>
  <si>
    <t>SC1-28802-0000</t>
  </si>
  <si>
    <t>SC1-32000-0000</t>
  </si>
  <si>
    <t>SC1-37001-0000</t>
  </si>
  <si>
    <t>SC2-10021-0000</t>
  </si>
  <si>
    <t>SC2-11231-0000</t>
  </si>
  <si>
    <t>SC2-16401-7364</t>
  </si>
  <si>
    <t>SC2-16401-7489</t>
  </si>
  <si>
    <t>SC2-16401-7493</t>
  </si>
  <si>
    <t>SC2-16501-7364</t>
  </si>
  <si>
    <t>SC2-16501-7489</t>
  </si>
  <si>
    <t>SC2-16501-7493</t>
  </si>
  <si>
    <t>SC2-16601-7364</t>
  </si>
  <si>
    <t>SC2-16601-7489</t>
  </si>
  <si>
    <t>SC2-16601-7493</t>
  </si>
  <si>
    <t>SC2-16901-0000</t>
  </si>
  <si>
    <t>SC2-18502-0000</t>
  </si>
  <si>
    <t>SC2-20001-0000</t>
  </si>
  <si>
    <t>SC2-24001-0000</t>
  </si>
  <si>
    <t>SC2-24501-0000</t>
  </si>
  <si>
    <t>SC2-25500-0000</t>
  </si>
  <si>
    <t>SC2-26001-0000</t>
  </si>
  <si>
    <t>SC2-28003-0000</t>
  </si>
  <si>
    <t>SC2-28801-0000</t>
  </si>
  <si>
    <t>SC2-28802-0000</t>
  </si>
  <si>
    <t>SC2-32000-0000</t>
  </si>
  <si>
    <t>SC2-37001-0000</t>
  </si>
  <si>
    <t>SC3-10021-0000</t>
  </si>
  <si>
    <t>SC3-11231-0000</t>
  </si>
  <si>
    <t>SC3-16401-7494</t>
  </si>
  <si>
    <t>SC3-16401-7625</t>
  </si>
  <si>
    <t>SC3-16501-7494</t>
  </si>
  <si>
    <t>SC3-16501-7625</t>
  </si>
  <si>
    <t>SC3-16601-7494</t>
  </si>
  <si>
    <t>CC DEPOSIT - ASK TO RECONCILE</t>
  </si>
  <si>
    <t>SC3-16601-7625</t>
  </si>
  <si>
    <t>SC3-16901-0000</t>
  </si>
  <si>
    <t>SC3-18502-0000</t>
  </si>
  <si>
    <t>SC3-20001-0000</t>
  </si>
  <si>
    <t>SC3-24001-0000</t>
  </si>
  <si>
    <t>SC3-24501-0000</t>
  </si>
  <si>
    <t>SC3-25500-0000</t>
  </si>
  <si>
    <t>SC3-26001-0000</t>
  </si>
  <si>
    <t>SC3-28003-0000</t>
  </si>
  <si>
    <t>SC3-28801-0000</t>
  </si>
  <si>
    <t>SC3-28802-0000</t>
  </si>
  <si>
    <t>SC3-32000-0000</t>
  </si>
  <si>
    <t>SC3-37001-0000</t>
  </si>
  <si>
    <t>SC4-10021-0000</t>
  </si>
  <si>
    <t>SC4-11231-0000</t>
  </si>
  <si>
    <t>SC4-16401-7355</t>
  </si>
  <si>
    <t>SC4-16401-7400</t>
  </si>
  <si>
    <t>SC4-16501-7355</t>
  </si>
  <si>
    <t>SC4-16501-7400</t>
  </si>
  <si>
    <t>SC4-16601-7355</t>
  </si>
  <si>
    <t>SC4-16601-7400</t>
  </si>
  <si>
    <t>SC4-16901-0000</t>
  </si>
  <si>
    <t>SC4-18502-0000</t>
  </si>
  <si>
    <t>SC4-20001-0000</t>
  </si>
  <si>
    <t>SC4-24001-0000</t>
  </si>
  <si>
    <t>SC4-24501-0000</t>
  </si>
  <si>
    <t>SC4-25500-0000</t>
  </si>
  <si>
    <t>SC4-26001-0000</t>
  </si>
  <si>
    <t>SC4-28003-0000</t>
  </si>
  <si>
    <t>SC4-28801-0000</t>
  </si>
  <si>
    <t>SC4-28802-0000</t>
  </si>
  <si>
    <t>SC4-32000-0000</t>
  </si>
  <si>
    <t>SC4-37001-0000</t>
  </si>
  <si>
    <t>SCL-10005-7351</t>
  </si>
  <si>
    <t>SCL-10005-7352</t>
  </si>
  <si>
    <t>SCL-10005-7355</t>
  </si>
  <si>
    <t>SCL-10005-7356</t>
  </si>
  <si>
    <t>SCL-10005-7359</t>
  </si>
  <si>
    <t>SCL-10005-7360</t>
  </si>
  <si>
    <t>SCL-10005-7361</t>
  </si>
  <si>
    <t>SCL-10005-7362</t>
  </si>
  <si>
    <t>SCL-10005-7363</t>
  </si>
  <si>
    <t>SCL-10005-7364</t>
  </si>
  <si>
    <t>SCL-10005-7365</t>
  </si>
  <si>
    <t>SCL-10005-7366</t>
  </si>
  <si>
    <t>SCL-10005-7368</t>
  </si>
  <si>
    <t>SCL-10005-7369</t>
  </si>
  <si>
    <t>SCL-10005-7370</t>
  </si>
  <si>
    <t>SCL-10005-7371</t>
  </si>
  <si>
    <t>SCL-10005-7374</t>
  </si>
  <si>
    <t>SCL-10005-7375</t>
  </si>
  <si>
    <t>SCL-10005-7376</t>
  </si>
  <si>
    <t>SCL-10005-7377</t>
  </si>
  <si>
    <t>SCL-10005-7378</t>
  </si>
  <si>
    <t>SCL-10005-7379</t>
  </si>
  <si>
    <t>SCL-10005-7380</t>
  </si>
  <si>
    <t>SCL-10005-7381</t>
  </si>
  <si>
    <t>SCL-10005-7383</t>
  </si>
  <si>
    <t>SCL-10005-7385</t>
  </si>
  <si>
    <t>SCL-10005-7386</t>
  </si>
  <si>
    <t>SCL-10005-7387</t>
  </si>
  <si>
    <t>SCL-10005-7388</t>
  </si>
  <si>
    <t>SCL-10005-7389</t>
  </si>
  <si>
    <t>SCL-10005-7391</t>
  </si>
  <si>
    <t>SCL-10005-7393</t>
  </si>
  <si>
    <t>SCL-10005-7394</t>
  </si>
  <si>
    <t>SCL-10005-7396</t>
  </si>
  <si>
    <t>SCL-10005-7397</t>
  </si>
  <si>
    <t>SCL-10005-7398</t>
  </si>
  <si>
    <t>SCL-10005-7400</t>
  </si>
  <si>
    <t>SCL-10005-7401</t>
  </si>
  <si>
    <t>SCL-10005-7402</t>
  </si>
  <si>
    <t>SCL-10005-7403</t>
  </si>
  <si>
    <t>SCL-10005-7405</t>
  </si>
  <si>
    <t>SCL-10005-7406</t>
  </si>
  <si>
    <t>SCL-10005-7489</t>
  </si>
  <si>
    <t>SCL-10005-7490</t>
  </si>
  <si>
    <t>SCL-10005-7491</t>
  </si>
  <si>
    <t>SCL-10005-7492</t>
  </si>
  <si>
    <t>SCL-10005-7493</t>
  </si>
  <si>
    <t>SCL-10005-7494</t>
  </si>
  <si>
    <t>SCL-10005-7625</t>
  </si>
  <si>
    <t>SCL-10005-8150</t>
  </si>
  <si>
    <t>SCL-10021-0000</t>
  </si>
  <si>
    <t>SCL-10023-0000</t>
  </si>
  <si>
    <t>SCL-10513-0000</t>
  </si>
  <si>
    <t>Cash-Restricted</t>
  </si>
  <si>
    <t>SCL-10515-0000</t>
  </si>
  <si>
    <t>SCL-11001-0000</t>
  </si>
  <si>
    <t>SCL-11103-0000</t>
  </si>
  <si>
    <t>N/R - DFLLC</t>
  </si>
  <si>
    <t>SCL-11201-0000</t>
  </si>
  <si>
    <t>SCL-11202-0000</t>
  </si>
  <si>
    <t>SCL-11203-0000</t>
  </si>
  <si>
    <t>SCL-11204-0000</t>
  </si>
  <si>
    <t>SCL-11206-0000</t>
  </si>
  <si>
    <t>Interco DFLP</t>
  </si>
  <si>
    <t>SCL-11212-0000</t>
  </si>
  <si>
    <t>SCL-11217-0000</t>
  </si>
  <si>
    <t>SCL-11218-0000</t>
  </si>
  <si>
    <t>SCL-11220-0000</t>
  </si>
  <si>
    <t>SCL-11224-0000</t>
  </si>
  <si>
    <t>SCL-11228-0000</t>
  </si>
  <si>
    <t>Interco-CLI</t>
  </si>
  <si>
    <t>SCL-11231-0000</t>
  </si>
  <si>
    <t>SCL-11985-0000</t>
  </si>
  <si>
    <t>SCL-13100-7351</t>
  </si>
  <si>
    <t>SCL-13100-7352</t>
  </si>
  <si>
    <t>SCL-13100-7355</t>
  </si>
  <si>
    <t>SCL-13100-7356</t>
  </si>
  <si>
    <t>SCL-13100-7359</t>
  </si>
  <si>
    <t>SCL-13100-7360</t>
  </si>
  <si>
    <t>SCL-13100-7361</t>
  </si>
  <si>
    <t>SCL-13100-7362</t>
  </si>
  <si>
    <t>SCL-13100-7363</t>
  </si>
  <si>
    <t>SCL-13100-7364</t>
  </si>
  <si>
    <t>SCL-13100-7365</t>
  </si>
  <si>
    <t>SCL-13100-7366</t>
  </si>
  <si>
    <t>SCL-13100-7368</t>
  </si>
  <si>
    <t>SCL-13100-7369</t>
  </si>
  <si>
    <t>SCL-13100-7370</t>
  </si>
  <si>
    <t>SCL-13100-7371</t>
  </si>
  <si>
    <t>SCL-13100-7374</t>
  </si>
  <si>
    <t>SCL-13100-7375</t>
  </si>
  <si>
    <t>SCL-13100-7376</t>
  </si>
  <si>
    <t>SCL-13100-7377</t>
  </si>
  <si>
    <t>SCL-13100-7378</t>
  </si>
  <si>
    <t>SCL-13100-7379</t>
  </si>
  <si>
    <t>SCL-13100-7380</t>
  </si>
  <si>
    <t>SCL-13100-7381</t>
  </si>
  <si>
    <t>SCL-13100-7383</t>
  </si>
  <si>
    <t>SCL-13100-7385</t>
  </si>
  <si>
    <t>SCL-13100-7386</t>
  </si>
  <si>
    <t>SCL-13100-7387</t>
  </si>
  <si>
    <t>SCL-13100-7389</t>
  </si>
  <si>
    <t>SCL-13100-7391</t>
  </si>
  <si>
    <t>SCL-13100-7393</t>
  </si>
  <si>
    <t>SCL-13100-7394</t>
  </si>
  <si>
    <t>SCL-13100-7396</t>
  </si>
  <si>
    <t>SCL-13100-7397</t>
  </si>
  <si>
    <t>SCL-13100-7398</t>
  </si>
  <si>
    <t>SCL-13100-7400</t>
  </si>
  <si>
    <t>SCL-13100-7401</t>
  </si>
  <si>
    <t>SCL-13100-7402</t>
  </si>
  <si>
    <t>SCL-13100-7403</t>
  </si>
  <si>
    <t>SCL-13100-7405</t>
  </si>
  <si>
    <t>SCL-13100-7406</t>
  </si>
  <si>
    <t>SCL-13100-7489</t>
  </si>
  <si>
    <t>SCL-13100-7491</t>
  </si>
  <si>
    <t>SCL-13100-7492</t>
  </si>
  <si>
    <t>SCL-13100-7493</t>
  </si>
  <si>
    <t>SCL-13100-7494</t>
  </si>
  <si>
    <t>SCL-13100-7625</t>
  </si>
  <si>
    <t>SCL-13100-8150</t>
  </si>
  <si>
    <t>SCL-15004-0000</t>
  </si>
  <si>
    <t>Prepaid Expense</t>
  </si>
  <si>
    <t>SCL-15005-0000</t>
  </si>
  <si>
    <t>SCL-16001-0000</t>
  </si>
  <si>
    <t>Office Furniture &amp; Fixture</t>
  </si>
  <si>
    <t>SCL-16001-7366</t>
  </si>
  <si>
    <t>SCL-16001-7377</t>
  </si>
  <si>
    <t>SCL-16001-7397</t>
  </si>
  <si>
    <t>SCL-16101-0000</t>
  </si>
  <si>
    <t>SCL-16101-7351</t>
  </si>
  <si>
    <t>SCL-16101-7352</t>
  </si>
  <si>
    <t>SCL-16101-7355</t>
  </si>
  <si>
    <t>SCL-16101-7356</t>
  </si>
  <si>
    <t>SCL-16101-7359</t>
  </si>
  <si>
    <t>SCL-16101-7360</t>
  </si>
  <si>
    <t>SCL-16101-7361</t>
  </si>
  <si>
    <t>SCL-16101-7362</t>
  </si>
  <si>
    <t>SCL-16101-7363</t>
  </si>
  <si>
    <t>SCL-16101-7364</t>
  </si>
  <si>
    <t>SCL-16101-7365</t>
  </si>
  <si>
    <t>SCL-16101-7366</t>
  </si>
  <si>
    <t>SCL-16101-7368</t>
  </si>
  <si>
    <t>SCL-16101-7369</t>
  </si>
  <si>
    <t>SCL-16101-7370</t>
  </si>
  <si>
    <t>SCL-16101-7371</t>
  </si>
  <si>
    <t>SCL-16101-7374</t>
  </si>
  <si>
    <t>SCL-16101-7375</t>
  </si>
  <si>
    <t>SCL-16101-7376</t>
  </si>
  <si>
    <t>SCL-16101-7377</t>
  </si>
  <si>
    <t>SCL-16101-7378</t>
  </si>
  <si>
    <t>SCL-16101-7379</t>
  </si>
  <si>
    <t>SCL-16101-7380</t>
  </si>
  <si>
    <t>SCL-16101-7381</t>
  </si>
  <si>
    <t>SCL-16101-7383</t>
  </si>
  <si>
    <t>SCL-16101-7385</t>
  </si>
  <si>
    <t>SCL-16101-7386</t>
  </si>
  <si>
    <t>SCL-16101-7387</t>
  </si>
  <si>
    <t>SCL-16101-7389</t>
  </si>
  <si>
    <t>SCL-16101-7391</t>
  </si>
  <si>
    <t>SCL-16101-7393</t>
  </si>
  <si>
    <t>SCL-16101-7394</t>
  </si>
  <si>
    <t>SCL-16101-7396</t>
  </si>
  <si>
    <t>SCL-16101-7397</t>
  </si>
  <si>
    <t>SCL-16101-7398</t>
  </si>
  <si>
    <t>SCL-16101-7400</t>
  </si>
  <si>
    <t>SCL-16101-7401</t>
  </si>
  <si>
    <t>SCL-16101-7402</t>
  </si>
  <si>
    <t>SCL-16101-7403</t>
  </si>
  <si>
    <t>SCL-16101-7404</t>
  </si>
  <si>
    <t>SCL-16101-7405</t>
  </si>
  <si>
    <t>SCL-16101-7406</t>
  </si>
  <si>
    <t>SCL-16101-7489</t>
  </si>
  <si>
    <t>SCL-16101-7490</t>
  </si>
  <si>
    <t>SCL-16101-7491</t>
  </si>
  <si>
    <t>SCL-16101-7492</t>
  </si>
  <si>
    <t>SCL-16101-7493</t>
  </si>
  <si>
    <t>SCL-16101-7494</t>
  </si>
  <si>
    <t>SCL-16101-7625</t>
  </si>
  <si>
    <t>SCL-16101-8150</t>
  </si>
  <si>
    <t>SCL-16201-0000</t>
  </si>
  <si>
    <t>Computer Equipment</t>
  </si>
  <si>
    <t>SCL-16201-7355</t>
  </si>
  <si>
    <t>SCL-16201-7381</t>
  </si>
  <si>
    <t>SCL-16201-7387</t>
  </si>
  <si>
    <t>SCL-16201-7402</t>
  </si>
  <si>
    <t>SCL-16301-0000</t>
  </si>
  <si>
    <t>Vehicles</t>
  </si>
  <si>
    <t>SCL-16601-7351</t>
  </si>
  <si>
    <t>SCL-16601-7352</t>
  </si>
  <si>
    <t>SCL-16601-7355</t>
  </si>
  <si>
    <t>SCL-16601-7356</t>
  </si>
  <si>
    <t>SCL-16601-7359</t>
  </si>
  <si>
    <t>SCL-16601-7360</t>
  </si>
  <si>
    <t>SCL-16601-7361</t>
  </si>
  <si>
    <t>SCL-16601-7362</t>
  </si>
  <si>
    <t>SCL-16601-7363</t>
  </si>
  <si>
    <t>SCL-16601-7364</t>
  </si>
  <si>
    <t>SCL-16601-7365</t>
  </si>
  <si>
    <t>SCL-16601-7366</t>
  </si>
  <si>
    <t>SCL-16601-7368</t>
  </si>
  <si>
    <t>SCL-16601-7369</t>
  </si>
  <si>
    <t>SCL-16601-7370</t>
  </si>
  <si>
    <t>SCL-16601-7371</t>
  </si>
  <si>
    <t>SCL-16601-7374</t>
  </si>
  <si>
    <t>SCL-16601-7375</t>
  </si>
  <si>
    <t>SCL-16601-7376</t>
  </si>
  <si>
    <t>SCL-16601-7377</t>
  </si>
  <si>
    <t>SCL-16601-7378</t>
  </si>
  <si>
    <t>SCL-16601-7379</t>
  </si>
  <si>
    <t>SCL-16601-7380</t>
  </si>
  <si>
    <t>SCL-16601-7381</t>
  </si>
  <si>
    <t>SCL-16601-7383</t>
  </si>
  <si>
    <t>SCL-16601-7385</t>
  </si>
  <si>
    <t>SCL-16601-7386</t>
  </si>
  <si>
    <t>SCL-16601-7387</t>
  </si>
  <si>
    <t>SCL-16601-7389</t>
  </si>
  <si>
    <t>SCL-16601-7391</t>
  </si>
  <si>
    <t>SCL-16601-7393</t>
  </si>
  <si>
    <t>SCL-16601-7394</t>
  </si>
  <si>
    <t>SCL-16601-7396</t>
  </si>
  <si>
    <t>SCL-16601-7397</t>
  </si>
  <si>
    <t>SCL-16601-7398</t>
  </si>
  <si>
    <t>SCL-16601-7400</t>
  </si>
  <si>
    <t>SCL-16601-7401</t>
  </si>
  <si>
    <t>SCL-16601-7402</t>
  </si>
  <si>
    <t>SCL-16601-7403</t>
  </si>
  <si>
    <t>SCL-16601-7404</t>
  </si>
  <si>
    <t>SCL-16601-7405</t>
  </si>
  <si>
    <t>SCL-16601-7406</t>
  </si>
  <si>
    <t>SCL-16601-7489</t>
  </si>
  <si>
    <t>SCL-16601-7490</t>
  </si>
  <si>
    <t>SCL-16601-7491</t>
  </si>
  <si>
    <t>SCL-16601-7492</t>
  </si>
  <si>
    <t>SCL-16601-7493</t>
  </si>
  <si>
    <t>SCL-16601-7494</t>
  </si>
  <si>
    <t>SCL-16601-7625</t>
  </si>
  <si>
    <t>SCL-16601-8150</t>
  </si>
  <si>
    <t>SCL-16901-0000</t>
  </si>
  <si>
    <t>SCL-17000-7374</t>
  </si>
  <si>
    <t>Utility Deposit</t>
  </si>
  <si>
    <t>SCL-17000-7391</t>
  </si>
  <si>
    <t>SCL-17000-7398</t>
  </si>
  <si>
    <t>SCL-17001-0000</t>
  </si>
  <si>
    <t>SCL-17001-7391</t>
  </si>
  <si>
    <t>SCL-17001-7398</t>
  </si>
  <si>
    <t>SCL-17001-8150</t>
  </si>
  <si>
    <t>SCL-17101-7351</t>
  </si>
  <si>
    <t>Development Fee</t>
  </si>
  <si>
    <t>SCL-17101-7356</t>
  </si>
  <si>
    <t>SCL-17101-7359</t>
  </si>
  <si>
    <t>SCL-17101-7360</t>
  </si>
  <si>
    <t>SCL-17101-7362</t>
  </si>
  <si>
    <t>SCL-17101-7363</t>
  </si>
  <si>
    <t>SCL-17101-7366</t>
  </si>
  <si>
    <t>SCL-17101-7368</t>
  </si>
  <si>
    <t>SCL-17101-7369</t>
  </si>
  <si>
    <t>SCL-17101-7370</t>
  </si>
  <si>
    <t>SCL-17101-7371</t>
  </si>
  <si>
    <t>SCL-17101-7374</t>
  </si>
  <si>
    <t>SCL-17101-7375</t>
  </si>
  <si>
    <t>SCL-17101-7376</t>
  </si>
  <si>
    <t>SCL-17101-7377</t>
  </si>
  <si>
    <t>SCL-17101-7378</t>
  </si>
  <si>
    <t>SCL-17101-7379</t>
  </si>
  <si>
    <t>SCL-17101-7380</t>
  </si>
  <si>
    <t>SCL-17101-7381</t>
  </si>
  <si>
    <t>SCL-17101-7383</t>
  </si>
  <si>
    <t>SCL-17101-7385</t>
  </si>
  <si>
    <t>SCL-17101-7386</t>
  </si>
  <si>
    <t>SCL-17101-7387</t>
  </si>
  <si>
    <t>SCL-17101-7389</t>
  </si>
  <si>
    <t>SCL-17101-7391</t>
  </si>
  <si>
    <t>SCL-17101-7393</t>
  </si>
  <si>
    <t>SCL-17101-7394</t>
  </si>
  <si>
    <t>SCL-17101-7396</t>
  </si>
  <si>
    <t>SCL-17101-7397</t>
  </si>
  <si>
    <t>SCL-17101-7398</t>
  </si>
  <si>
    <t>SCL-17101-7401</t>
  </si>
  <si>
    <t>SCL-17101-7402</t>
  </si>
  <si>
    <t>SCL-17101-7403</t>
  </si>
  <si>
    <t>SCL-17101-7404</t>
  </si>
  <si>
    <t>SCL-17101-7405</t>
  </si>
  <si>
    <t>SCL-17101-7406</t>
  </si>
  <si>
    <t>SCL-17101-7491</t>
  </si>
  <si>
    <t>SCL-17101-7492</t>
  </si>
  <si>
    <t>SCL-17201-7351</t>
  </si>
  <si>
    <t>SCL-17201-7352</t>
  </si>
  <si>
    <t>SCL-17201-7355</t>
  </si>
  <si>
    <t>SCL-17201-7356</t>
  </si>
  <si>
    <t>SCL-17201-7359</t>
  </si>
  <si>
    <t>SCL-17201-7360</t>
  </si>
  <si>
    <t>SCL-17201-7361</t>
  </si>
  <si>
    <t>SCL-17201-7362</t>
  </si>
  <si>
    <t>SCL-17201-7363</t>
  </si>
  <si>
    <t>SCL-17201-7364</t>
  </si>
  <si>
    <t>SCL-17201-7365</t>
  </si>
  <si>
    <t>SCL-17201-7366</t>
  </si>
  <si>
    <t>SCL-17201-7368</t>
  </si>
  <si>
    <t>SCL-17201-7369</t>
  </si>
  <si>
    <t>SCL-17201-7371</t>
  </si>
  <si>
    <t>SCL-17201-7374</t>
  </si>
  <si>
    <t>SCL-17201-7375</t>
  </si>
  <si>
    <t>SCL-17201-7376</t>
  </si>
  <si>
    <t>SCL-17201-7377</t>
  </si>
  <si>
    <t>SCL-17201-7378</t>
  </si>
  <si>
    <t>SCL-17201-7379</t>
  </si>
  <si>
    <t>SCL-17201-7380</t>
  </si>
  <si>
    <t>SCL-17201-7381</t>
  </si>
  <si>
    <t>SCL-17201-7383</t>
  </si>
  <si>
    <t>SCL-17201-7385</t>
  </si>
  <si>
    <t>SCL-17201-7386</t>
  </si>
  <si>
    <t>SCL-17201-7387</t>
  </si>
  <si>
    <t>SCL-17201-7389</t>
  </si>
  <si>
    <t>SCL-17201-7391</t>
  </si>
  <si>
    <t>SCL-17201-7393</t>
  </si>
  <si>
    <t>SCL-17201-7394</t>
  </si>
  <si>
    <t>SCL-17201-7396</t>
  </si>
  <si>
    <t>SCL-17201-7397</t>
  </si>
  <si>
    <t>SCL-17201-7398</t>
  </si>
  <si>
    <t>SCL-17201-7400</t>
  </si>
  <si>
    <t>SCL-17201-7401</t>
  </si>
  <si>
    <t>SCL-17201-7402</t>
  </si>
  <si>
    <t>SCL-17201-7403</t>
  </si>
  <si>
    <t>SCL-17201-7406</t>
  </si>
  <si>
    <t>SCL-17201-7489</t>
  </si>
  <si>
    <t>SCL-17201-7491</t>
  </si>
  <si>
    <t>SCL-17201-7492</t>
  </si>
  <si>
    <t>SCL-17201-7493</t>
  </si>
  <si>
    <t>SCL-17201-7494</t>
  </si>
  <si>
    <t>SCL-17201-7625</t>
  </si>
  <si>
    <t>SCL-17201-8150</t>
  </si>
  <si>
    <t>SCL-17701-0000</t>
  </si>
  <si>
    <t>Closing Costs</t>
  </si>
  <si>
    <t>SCL-18501-0000</t>
  </si>
  <si>
    <t>SCL-20001-0000</t>
  </si>
  <si>
    <t>SCL-21001-0000</t>
  </si>
  <si>
    <t>SCL-22001-0000</t>
  </si>
  <si>
    <t>SCL-23405-0000</t>
  </si>
  <si>
    <t>SCL-23406-0000</t>
  </si>
  <si>
    <t>SCL-23509-0000</t>
  </si>
  <si>
    <t>SCL-23909-0000</t>
  </si>
  <si>
    <t>SCL-23915-0000</t>
  </si>
  <si>
    <t>Accr W/C Settlements</t>
  </si>
  <si>
    <t>SCL-24400-0000</t>
  </si>
  <si>
    <t>SCL-24400-7351</t>
  </si>
  <si>
    <t>SCL-24400-7352</t>
  </si>
  <si>
    <t>SCL-24400-7353</t>
  </si>
  <si>
    <t>SCL-24400-7354</t>
  </si>
  <si>
    <t>SCL-24400-7355</t>
  </si>
  <si>
    <t>SCL-24400-7356</t>
  </si>
  <si>
    <t>SCL-24400-7359</t>
  </si>
  <si>
    <t>SCL-24400-7360</t>
  </si>
  <si>
    <t>SCL-24400-7361</t>
  </si>
  <si>
    <t>SCL-24400-7362</t>
  </si>
  <si>
    <t>SCL-24400-7363</t>
  </si>
  <si>
    <t>SCL-24400-7364</t>
  </si>
  <si>
    <t>SCL-24400-7365</t>
  </si>
  <si>
    <t>SCL-24400-7366</t>
  </si>
  <si>
    <t>SCL-24400-7368</t>
  </si>
  <si>
    <t>SCL-24400-7369</t>
  </si>
  <si>
    <t>SCL-24400-7370</t>
  </si>
  <si>
    <t>SCL-24400-7371</t>
  </si>
  <si>
    <t>SCL-24400-7374</t>
  </si>
  <si>
    <t>SCL-24400-7375</t>
  </si>
  <si>
    <t>SCL-24400-7376</t>
  </si>
  <si>
    <t>SCL-24400-7377</t>
  </si>
  <si>
    <t>SCL-24400-7378</t>
  </si>
  <si>
    <t>SCL-24400-7379</t>
  </si>
  <si>
    <t>SCL-24400-7380</t>
  </si>
  <si>
    <t>SCL-24400-7381</t>
  </si>
  <si>
    <t>SCL-24400-7383</t>
  </si>
  <si>
    <t>SCL-24400-7385</t>
  </si>
  <si>
    <t>SCL-24400-7386</t>
  </si>
  <si>
    <t>SCL-24400-7387</t>
  </si>
  <si>
    <t>SCL-24400-7388</t>
  </si>
  <si>
    <t>SCL-24400-7389</t>
  </si>
  <si>
    <t>SCL-24400-7391</t>
  </si>
  <si>
    <t>SCL-24400-7393</t>
  </si>
  <si>
    <t>SCL-24400-7394</t>
  </si>
  <si>
    <t>SCL-24400-7395</t>
  </si>
  <si>
    <t>SCL-24400-7396</t>
  </si>
  <si>
    <t>SCL-24400-7397</t>
  </si>
  <si>
    <t>SCL-24400-7398</t>
  </si>
  <si>
    <t>SCL-24400-7400</t>
  </si>
  <si>
    <t>SCL-24400-7401</t>
  </si>
  <si>
    <t>SCL-24400-7402</t>
  </si>
  <si>
    <t>SCL-24400-7403</t>
  </si>
  <si>
    <t>SCL-24400-7404</t>
  </si>
  <si>
    <t>SCL-24400-7405</t>
  </si>
  <si>
    <t>SCL-24400-7406</t>
  </si>
  <si>
    <t>SCL-24400-7489</t>
  </si>
  <si>
    <t>SCL-24400-7490</t>
  </si>
  <si>
    <t>SCL-24400-7491</t>
  </si>
  <si>
    <t>SCL-24400-7492</t>
  </si>
  <si>
    <t>SCL-24400-7493</t>
  </si>
  <si>
    <t>SCL-24400-7494</t>
  </si>
  <si>
    <t>SCL-24400-7625</t>
  </si>
  <si>
    <t>SCL-24400-8150</t>
  </si>
  <si>
    <t>SCL-25500-0000</t>
  </si>
  <si>
    <t>SCL-26001-0000</t>
  </si>
  <si>
    <t>SCL-26500-0000</t>
  </si>
  <si>
    <t>SCL-28482-0000</t>
  </si>
  <si>
    <t>SCL-28500-0000</t>
  </si>
  <si>
    <t>Capital Lease LT</t>
  </si>
  <si>
    <t>SCL-32000-0000</t>
  </si>
  <si>
    <t>SCL-36001-0000</t>
  </si>
  <si>
    <t>SEA-10001-0000</t>
  </si>
  <si>
    <t>SEA-14000-0000</t>
  </si>
  <si>
    <t>SEA-15000-0000</t>
  </si>
  <si>
    <t>SEA-17000-0000</t>
  </si>
  <si>
    <t>SEA-24800-0000</t>
  </si>
  <si>
    <t>SEA-28003-0000</t>
  </si>
  <si>
    <t>Loan - Fidelity Bancorp</t>
  </si>
  <si>
    <t>SEA-30700-0000</t>
  </si>
  <si>
    <t>SEA-32000-0000</t>
  </si>
  <si>
    <t>SEK-10001-0000</t>
  </si>
  <si>
    <t>SEK-11216-0000</t>
  </si>
  <si>
    <t>SEK-11303-0000</t>
  </si>
  <si>
    <t>SEK-11310-0000</t>
  </si>
  <si>
    <t>Interco - ALP</t>
  </si>
  <si>
    <t>SEK-11313-0000</t>
  </si>
  <si>
    <t>SEK-11317-0000</t>
  </si>
  <si>
    <t>SEK-11324-0000</t>
  </si>
  <si>
    <t>SEK-11328-0000</t>
  </si>
  <si>
    <t>Interco - LOM</t>
  </si>
  <si>
    <t>SEK-11332-0000</t>
  </si>
  <si>
    <t>SEK-14000-0000</t>
  </si>
  <si>
    <t>SEK-15000-0000</t>
  </si>
  <si>
    <t>SEK-15500-0000</t>
  </si>
  <si>
    <t>SEK-15600-0000</t>
  </si>
  <si>
    <t>SEK-16000-0000</t>
  </si>
  <si>
    <t>SEK-17000-0000</t>
  </si>
  <si>
    <t>SEK-18000-0000</t>
  </si>
  <si>
    <t>SEK-19001-0000</t>
  </si>
  <si>
    <t>SEK-20001-0000</t>
  </si>
  <si>
    <t>SEK-23509-0000</t>
  </si>
  <si>
    <t>SEK-24800-0000</t>
  </si>
  <si>
    <t>SEK-25100-0000</t>
  </si>
  <si>
    <t>SEK-26800-0000</t>
  </si>
  <si>
    <t>SEK-28001-0000</t>
  </si>
  <si>
    <t>SEK-30700-0000</t>
  </si>
  <si>
    <t>SEK-32000-0000</t>
  </si>
  <si>
    <t>SG2-10005-7373</t>
  </si>
  <si>
    <t>SG2-10005-7382</t>
  </si>
  <si>
    <t>SG2-10021-0000</t>
  </si>
  <si>
    <t>SG2-10023-0000</t>
  </si>
  <si>
    <t>SG2-10029-0000</t>
  </si>
  <si>
    <t>SG2-11001-0000</t>
  </si>
  <si>
    <t>SG2-11200-0000</t>
  </si>
  <si>
    <t>SG2-11203-0000</t>
  </si>
  <si>
    <t>SG2-11204-0000</t>
  </si>
  <si>
    <t>SG2-11224-0000</t>
  </si>
  <si>
    <t>SG2-11985-0000</t>
  </si>
  <si>
    <t>SG2-13100-7373</t>
  </si>
  <si>
    <t>SG2-13100-7382</t>
  </si>
  <si>
    <t>SG2-15002-0000</t>
  </si>
  <si>
    <t>SG2-15005-0000</t>
  </si>
  <si>
    <t>SG2-16101-7373</t>
  </si>
  <si>
    <t>SG2-16101-7382</t>
  </si>
  <si>
    <t>SG2-16601-7373</t>
  </si>
  <si>
    <t>SG2-16601-7382</t>
  </si>
  <si>
    <t>SG2-16901-0000</t>
  </si>
  <si>
    <t>SG2-17101-7373</t>
  </si>
  <si>
    <t>SG2-17101-7382</t>
  </si>
  <si>
    <t>SG2-17201-7373</t>
  </si>
  <si>
    <t>SG2-17201-7382</t>
  </si>
  <si>
    <t>SG2-17501-7373</t>
  </si>
  <si>
    <t>SG2-17501-7382</t>
  </si>
  <si>
    <t>SG2-18501-0000</t>
  </si>
  <si>
    <t>SG2-20001-0000</t>
  </si>
  <si>
    <t>SG2-21001-0000</t>
  </si>
  <si>
    <t>SG2-22001-0000</t>
  </si>
  <si>
    <t>SG2-23405-0000</t>
  </si>
  <si>
    <t>SG2-23406-0000</t>
  </si>
  <si>
    <t>SG2-23509-0000</t>
  </si>
  <si>
    <t>SG2-23905-0000</t>
  </si>
  <si>
    <t>SG2-23909-0000</t>
  </si>
  <si>
    <t>SG2-24400-0000</t>
  </si>
  <si>
    <t>SG2-24400-7373</t>
  </si>
  <si>
    <t>SG2-24400-7382</t>
  </si>
  <si>
    <t>SG2-24400-7390</t>
  </si>
  <si>
    <t>SG2-26700-0000</t>
  </si>
  <si>
    <t>SG2-30001-0000</t>
  </si>
  <si>
    <t>SG2-30501-0000</t>
  </si>
  <si>
    <t>SG2-32000-0000</t>
  </si>
  <si>
    <t>SG2-36001-0000</t>
  </si>
  <si>
    <t>SHO-10021-0000</t>
  </si>
  <si>
    <t>Gen Acct-BOW</t>
  </si>
  <si>
    <t>SHO-22100-0000</t>
  </si>
  <si>
    <t>SHO-32000-0000</t>
  </si>
  <si>
    <t>SIL-10001-0000</t>
  </si>
  <si>
    <t>SIL-11200-0000</t>
  </si>
  <si>
    <t>SIL-11214-0000</t>
  </si>
  <si>
    <t>SIL-11301-0000</t>
  </si>
  <si>
    <t>Interco-Crestview</t>
  </si>
  <si>
    <t>SIL-11302-0000</t>
  </si>
  <si>
    <t>SIL-11303-0000</t>
  </si>
  <si>
    <t>Interco-Diamond</t>
  </si>
  <si>
    <t>SIL-11304-0000</t>
  </si>
  <si>
    <t>SIL-11305-0000</t>
  </si>
  <si>
    <t>SIL-11307-0000</t>
  </si>
  <si>
    <t>Interco-NES</t>
  </si>
  <si>
    <t>SIL-11308-0000</t>
  </si>
  <si>
    <t>SIL-11309-0000</t>
  </si>
  <si>
    <t>SIL-11310-0000</t>
  </si>
  <si>
    <t>SIL-11311-0000</t>
  </si>
  <si>
    <t>SIL-11312-0000</t>
  </si>
  <si>
    <t>SIL-11313-0000</t>
  </si>
  <si>
    <t>SIL-11314-0000</t>
  </si>
  <si>
    <t>SIL-11315-0000</t>
  </si>
  <si>
    <t>SIL-11316-0000</t>
  </si>
  <si>
    <t>SIL-11317-0000</t>
  </si>
  <si>
    <t>SIL-11318-0000</t>
  </si>
  <si>
    <t>SIL-11319-0000</t>
  </si>
  <si>
    <t>SIL-11320-0000</t>
  </si>
  <si>
    <t>SIL-11321-0000</t>
  </si>
  <si>
    <t>SIL-11322-0000</t>
  </si>
  <si>
    <t>SIL-11323-0000</t>
  </si>
  <si>
    <t>Interco-SPI</t>
  </si>
  <si>
    <t>SIL-11324-0000</t>
  </si>
  <si>
    <t>SIL-11325-0000</t>
  </si>
  <si>
    <t>SIL-11326-0000</t>
  </si>
  <si>
    <t>SIL-11327-0000</t>
  </si>
  <si>
    <t>Interco-CPI</t>
  </si>
  <si>
    <t>SIL-11328-0000</t>
  </si>
  <si>
    <t>SIL-11329-0000</t>
  </si>
  <si>
    <t>SIL-11330-0000</t>
  </si>
  <si>
    <t>SIL-11331-0000</t>
  </si>
  <si>
    <t>SIL-11332-0000</t>
  </si>
  <si>
    <t>SIL-11333-0000</t>
  </si>
  <si>
    <t>SIL-11334-0000</t>
  </si>
  <si>
    <t>SIL-11335-0000</t>
  </si>
  <si>
    <t>SIL-11336-0000</t>
  </si>
  <si>
    <t>SIL-11337-0000</t>
  </si>
  <si>
    <t>SIL-11338-0000</t>
  </si>
  <si>
    <t>Interco-JUP</t>
  </si>
  <si>
    <t>SIL-11339-0000</t>
  </si>
  <si>
    <t>Interco-WES</t>
  </si>
  <si>
    <t>SIL-11340-0000</t>
  </si>
  <si>
    <t>SIL-11342-0000</t>
  </si>
  <si>
    <t>Intercom-EAS</t>
  </si>
  <si>
    <t>SIL-11343-0000</t>
  </si>
  <si>
    <t>SIL-11345-0000</t>
  </si>
  <si>
    <t>Interco-API</t>
  </si>
  <si>
    <t>SIL-11346-0000</t>
  </si>
  <si>
    <t>SIL-11347-0000</t>
  </si>
  <si>
    <t>Interco-ZPI</t>
  </si>
  <si>
    <t>SIL-12200-0002</t>
  </si>
  <si>
    <t>Impound Account-CY</t>
  </si>
  <si>
    <t>SIL-14000-0001</t>
  </si>
  <si>
    <t>Land:LA HOUSE</t>
  </si>
  <si>
    <t>SIL-14000-0002</t>
  </si>
  <si>
    <t>Land:CY HOUSE</t>
  </si>
  <si>
    <t>SIL-15000-0001</t>
  </si>
  <si>
    <t>Build, Furn, &amp; Equip:LA HOUSE</t>
  </si>
  <si>
    <t>SIL-15000-0002</t>
  </si>
  <si>
    <t>Build, Furn, &amp; Equip:CY HOUSE</t>
  </si>
  <si>
    <t>SIL-15500-0002</t>
  </si>
  <si>
    <t>SIL-15501-0000</t>
  </si>
  <si>
    <t>Computer and Software</t>
  </si>
  <si>
    <t>SIL-16000-0000</t>
  </si>
  <si>
    <t>SIL-16000-0002</t>
  </si>
  <si>
    <t>Loan Fees:CY HOUSE</t>
  </si>
  <si>
    <t>SIL-17000-0000</t>
  </si>
  <si>
    <t>SIL-17000-0001</t>
  </si>
  <si>
    <t>Accum Depr:LA HOUSE</t>
  </si>
  <si>
    <t>SIL-17000-0002</t>
  </si>
  <si>
    <t>Accum Depr:CY HOUSE</t>
  </si>
  <si>
    <t>SIL-18000-0000</t>
  </si>
  <si>
    <t>SIL-19000-0000</t>
  </si>
  <si>
    <t>SIL-20000-0000</t>
  </si>
  <si>
    <t>SIL-20001-0000</t>
  </si>
  <si>
    <t>SIL-22003-0000</t>
  </si>
  <si>
    <t>Midland Loan-BC</t>
  </si>
  <si>
    <t>SIL-22005-0000</t>
  </si>
  <si>
    <t>Wachovia-SAt</t>
  </si>
  <si>
    <t>SIL-22008-0000</t>
  </si>
  <si>
    <t>GMAC-Portofino</t>
  </si>
  <si>
    <t>SIL-22009-0000</t>
  </si>
  <si>
    <t>WF-LA House</t>
  </si>
  <si>
    <t>SIL-23509-0000</t>
  </si>
  <si>
    <t>SIL-24500-0000</t>
  </si>
  <si>
    <t>SUI &amp; FUTA</t>
  </si>
  <si>
    <t>SIL-24800-0000</t>
  </si>
  <si>
    <t>SIL-26700-0000</t>
  </si>
  <si>
    <t>SIL-28001-0002</t>
  </si>
  <si>
    <t>Loan-Flagstar-Cypress</t>
  </si>
  <si>
    <t>SIL-30700-0000</t>
  </si>
  <si>
    <t>SIL-32000-0000</t>
  </si>
  <si>
    <t>SOF-24800-0000</t>
  </si>
  <si>
    <t>SOF-24801-0000</t>
  </si>
  <si>
    <t>SOF-32000-0000</t>
  </si>
  <si>
    <t>SOU-10021-0000</t>
  </si>
  <si>
    <t>SOU-11330-0000</t>
  </si>
  <si>
    <t>Interco MAR</t>
  </si>
  <si>
    <t>SOU-32000-0000</t>
  </si>
  <si>
    <t>SOU-36001-0000</t>
  </si>
  <si>
    <t>SPA-24800-0000</t>
  </si>
  <si>
    <t>SPA-32000-0000</t>
  </si>
  <si>
    <t>SPI-10001-0000</t>
  </si>
  <si>
    <t>SPI-11000-0000</t>
  </si>
  <si>
    <t>SPI-11216-0000</t>
  </si>
  <si>
    <t>SPI-11311-0000</t>
  </si>
  <si>
    <t>SPI-14000-0000</t>
  </si>
  <si>
    <t>SPI-15000-0000</t>
  </si>
  <si>
    <t>SPI-15500-0000</t>
  </si>
  <si>
    <t>SPI-17000-0000</t>
  </si>
  <si>
    <t>SPI-18000-0000</t>
  </si>
  <si>
    <t>SPI-19001-0000</t>
  </si>
  <si>
    <t>SPI-20001-0000</t>
  </si>
  <si>
    <t>SPI-23509-0000</t>
  </si>
  <si>
    <t>SPI-24800-0000</t>
  </si>
  <si>
    <t>SPI-25000-0000</t>
  </si>
  <si>
    <t>SPI-25100-0000</t>
  </si>
  <si>
    <t>SPI-26800-0000</t>
  </si>
  <si>
    <t>SPI-28003-0000</t>
  </si>
  <si>
    <t>SPI-30700-0000</t>
  </si>
  <si>
    <t>SPI-32000-0000</t>
  </si>
  <si>
    <t>SPR-10021-0000</t>
  </si>
  <si>
    <t xml:space="preserve">SPR                  </t>
  </si>
  <si>
    <t>SPR-20001-0000</t>
  </si>
  <si>
    <t>SPR-32000-0000</t>
  </si>
  <si>
    <t>SPR-36001-0000</t>
  </si>
  <si>
    <t>STO-10001-0000</t>
  </si>
  <si>
    <t>STO-11216-0000</t>
  </si>
  <si>
    <t>STO-11303-0000</t>
  </si>
  <si>
    <t>STO-11304-0000</t>
  </si>
  <si>
    <t>STO-11310-0000</t>
  </si>
  <si>
    <t>STO-11311-0000</t>
  </si>
  <si>
    <t>Interco - BET</t>
  </si>
  <si>
    <t>STO-11315-0000</t>
  </si>
  <si>
    <t>STO-11317-0000</t>
  </si>
  <si>
    <t>Interco - AKG</t>
  </si>
  <si>
    <t>STO-11320-0000</t>
  </si>
  <si>
    <t>STO-11321-0000</t>
  </si>
  <si>
    <t>STO-11326-0000</t>
  </si>
  <si>
    <t>STO-11329-0000</t>
  </si>
  <si>
    <t>STO-11334-0000</t>
  </si>
  <si>
    <t>STO-11335-0000</t>
  </si>
  <si>
    <t>STO-11336-0000</t>
  </si>
  <si>
    <t>STO-11337-0000</t>
  </si>
  <si>
    <t>STO-14000-0000</t>
  </si>
  <si>
    <t>STO-15000-0000</t>
  </si>
  <si>
    <t>STO-15500-0000</t>
  </si>
  <si>
    <t>STO-15600-0000</t>
  </si>
  <si>
    <t>STO-17000-0000</t>
  </si>
  <si>
    <t>STO-18000-0000</t>
  </si>
  <si>
    <t>STO-19001-0000</t>
  </si>
  <si>
    <t>STO-20001-0000</t>
  </si>
  <si>
    <t>STO-23509-0000</t>
  </si>
  <si>
    <t>STO-24800-0000</t>
  </si>
  <si>
    <t>STO-25100-0000</t>
  </si>
  <si>
    <t>STO-26800-0000</t>
  </si>
  <si>
    <t>STO-30700-0000</t>
  </si>
  <si>
    <t>STO-32000-0000</t>
  </si>
  <si>
    <t>TPI-20001-0000</t>
  </si>
  <si>
    <t>TPI-24800-0000</t>
  </si>
  <si>
    <t>TPI-24801-0000</t>
  </si>
  <si>
    <t>TPI-32000-0000</t>
  </si>
  <si>
    <t>VAL-10001-0000</t>
  </si>
  <si>
    <t>VAL-11216-0000</t>
  </si>
  <si>
    <t>VAL-11301-0000</t>
  </si>
  <si>
    <t>VAL-11310-0000</t>
  </si>
  <si>
    <t>VAL-11317-0000</t>
  </si>
  <si>
    <t>VAL-11331-0000</t>
  </si>
  <si>
    <t>VAL-11334-0000</t>
  </si>
  <si>
    <t>VAL-11342-0000</t>
  </si>
  <si>
    <t>VAL-11343-0000</t>
  </si>
  <si>
    <t>VAL-11402-0000</t>
  </si>
  <si>
    <t>VAL-14000-0000</t>
  </si>
  <si>
    <t>VAL-15000-0000</t>
  </si>
  <si>
    <t>VAL-15500-0000</t>
  </si>
  <si>
    <t>VAL-16000-0000</t>
  </si>
  <si>
    <t>VAL-17000-0000</t>
  </si>
  <si>
    <t>VAL-18000-0000</t>
  </si>
  <si>
    <t>VAL-19001-0000</t>
  </si>
  <si>
    <t>VAL-20001-0000</t>
  </si>
  <si>
    <t>VAL-23509-0000</t>
  </si>
  <si>
    <t>VAL-24800-0000</t>
  </si>
  <si>
    <t>VAL-26800-0000</t>
  </si>
  <si>
    <t>VAL-28001-0000</t>
  </si>
  <si>
    <t>VAL-30700-0000</t>
  </si>
  <si>
    <t>VAL-32000-0000</t>
  </si>
  <si>
    <t>VEN-10001-0000</t>
  </si>
  <si>
    <t>VEN-11216-0000</t>
  </si>
  <si>
    <t>VEN-11304-0000</t>
  </si>
  <si>
    <t>VEN-11311-0000</t>
  </si>
  <si>
    <t xml:space="preserve">Total Current Asstes           </t>
  </si>
  <si>
    <t>VEN-11312-0000</t>
  </si>
  <si>
    <t>VEN-11317-0000</t>
  </si>
  <si>
    <t>VEN-11331-0000</t>
  </si>
  <si>
    <t>VEN-11332-0000</t>
  </si>
  <si>
    <t>VEN-14000-0000</t>
  </si>
  <si>
    <t>VEN-15000-0000</t>
  </si>
  <si>
    <t>VEN-15500-0000</t>
  </si>
  <si>
    <t>VEN-17000-0000</t>
  </si>
  <si>
    <t>VEN-18000-0000</t>
  </si>
  <si>
    <t>VEN-19000-0000</t>
  </si>
  <si>
    <t>VEN-19001-0000</t>
  </si>
  <si>
    <t>VEN-23509-0000</t>
  </si>
  <si>
    <t>VEN-24800-0000</t>
  </si>
  <si>
    <t>VEN-24801-0000</t>
  </si>
  <si>
    <t>VEN-25000-0000</t>
  </si>
  <si>
    <t>VEN-25100-0000</t>
  </si>
  <si>
    <t>VEN-26800-0000</t>
  </si>
  <si>
    <t>VEN-28003-0000</t>
  </si>
  <si>
    <t>VEN-30700-0000</t>
  </si>
  <si>
    <t>VEN-32000-0000</t>
  </si>
  <si>
    <t>WES-10004-0000</t>
  </si>
  <si>
    <t>Gen CK - UB</t>
  </si>
  <si>
    <t>WES-11216-0000</t>
  </si>
  <si>
    <t>WES-12200-0002</t>
  </si>
  <si>
    <t>WES-15500-0000</t>
  </si>
  <si>
    <t>WES-23509-0000</t>
  </si>
  <si>
    <t>WES-24800-0000</t>
  </si>
  <si>
    <t>WES-24801-0000</t>
  </si>
  <si>
    <t>Pet Deposit</t>
  </si>
  <si>
    <t>WES-26800-0000</t>
  </si>
  <si>
    <t>WES-28001-0000</t>
  </si>
  <si>
    <t>CY LOAN-FLAGSTAR</t>
  </si>
  <si>
    <t>WES-30700-0000</t>
  </si>
  <si>
    <t>WES-32000-0000</t>
  </si>
  <si>
    <t>WIL-10001-0000</t>
  </si>
  <si>
    <t>WIL-11216-0000</t>
  </si>
  <si>
    <t>WIL-11301-0000</t>
  </si>
  <si>
    <t>WIL-11310-0000</t>
  </si>
  <si>
    <t>WIL-11316-0000</t>
  </si>
  <si>
    <t>WIL-11318-0000</t>
  </si>
  <si>
    <t>WIL-11328-0000</t>
  </si>
  <si>
    <t>WIL-11334-0000</t>
  </si>
  <si>
    <t>WIL-11335-0000</t>
  </si>
  <si>
    <t>WIL-11346-0000</t>
  </si>
  <si>
    <t>WIL-15000-0000</t>
  </si>
  <si>
    <t>WIL-15500-0000</t>
  </si>
  <si>
    <t>WIL-17000-0000</t>
  </si>
  <si>
    <t>WIL-18000-0000</t>
  </si>
  <si>
    <t>WIL-19001-0000</t>
  </si>
  <si>
    <t>WIL-20001-0000</t>
  </si>
  <si>
    <t>WIL-26800-0000</t>
  </si>
  <si>
    <t>WIL-30700-0000</t>
  </si>
  <si>
    <t>Members Draw Harshad</t>
  </si>
  <si>
    <t>WIL-30801-0000</t>
  </si>
  <si>
    <t>Members Draw - Paul Knot</t>
  </si>
  <si>
    <t>WIL-32000-0000</t>
  </si>
  <si>
    <t>WOO-10001-0000</t>
  </si>
  <si>
    <t>WOO-11000-0000</t>
  </si>
  <si>
    <t>WOO-11216-0000</t>
  </si>
  <si>
    <t>WOO-11311-0000</t>
  </si>
  <si>
    <t>WOO-11317-0000</t>
  </si>
  <si>
    <t>WOO-11320-0000</t>
  </si>
  <si>
    <t>WOO-11329-0000</t>
  </si>
  <si>
    <t>WOO-11343-0000</t>
  </si>
  <si>
    <t>WOO-14000-0000</t>
  </si>
  <si>
    <t>WOO-15000-0000</t>
  </si>
  <si>
    <t>WOO-15500-0000</t>
  </si>
  <si>
    <t>WOO-15600-0000</t>
  </si>
  <si>
    <t>WOO-16000-0000</t>
  </si>
  <si>
    <t>WOO-17000-0000</t>
  </si>
  <si>
    <t>WOO-18000-0000</t>
  </si>
  <si>
    <t>WOO-19001-0000</t>
  </si>
  <si>
    <t>WOO-20000-0000</t>
  </si>
  <si>
    <t>WOO-23509-0000</t>
  </si>
  <si>
    <t>WOO-24800-0000</t>
  </si>
  <si>
    <t>WOO-24801-0000</t>
  </si>
  <si>
    <t>WOO-25000-0000</t>
  </si>
  <si>
    <t>WOO-26800-0000</t>
  </si>
  <si>
    <t>WOO-28001-0000</t>
  </si>
  <si>
    <t>Loan - Luther Burbank</t>
  </si>
  <si>
    <t>WOO-30700-0000</t>
  </si>
  <si>
    <t>WOO-32000-0000</t>
  </si>
  <si>
    <t>ZPI-10001-0000</t>
  </si>
  <si>
    <t>ZPI-10023-0000</t>
  </si>
  <si>
    <t>Depository-WF</t>
  </si>
  <si>
    <t>ZPI-11000-0000</t>
  </si>
  <si>
    <t>ZPI-11216-0000</t>
  </si>
  <si>
    <t>ZPI-12200-0000</t>
  </si>
  <si>
    <t>ZPI-12300-0000</t>
  </si>
  <si>
    <t>ZPI-14000-0000</t>
  </si>
  <si>
    <t>ZPI-15000-0000</t>
  </si>
  <si>
    <t>ZPI-15500-0000</t>
  </si>
  <si>
    <t>ZPI-17000-0000</t>
  </si>
  <si>
    <t>ZPI-18000-0000</t>
  </si>
  <si>
    <t>ZPI-20001-0000</t>
  </si>
  <si>
    <t>ZPI-23509-0000</t>
  </si>
  <si>
    <t>ZPI-24800-0000</t>
  </si>
  <si>
    <t>ZPI-24801-0000</t>
  </si>
  <si>
    <t>ZPI-28003-0000</t>
  </si>
  <si>
    <t>Loan - LoanCore</t>
  </si>
  <si>
    <t>ZPI-31001-0000</t>
  </si>
  <si>
    <t>Capital Contribution - GPI</t>
  </si>
  <si>
    <t>ZPI-32000-0000</t>
  </si>
  <si>
    <t>ZPI-36000-0000</t>
  </si>
  <si>
    <t>2SH-40001-0861</t>
  </si>
  <si>
    <t>Full Retail Sales</t>
  </si>
  <si>
    <t xml:space="preserve">Net Sales                      </t>
  </si>
  <si>
    <t xml:space="preserve">Revenue                        </t>
  </si>
  <si>
    <t xml:space="preserve">Full Retail Sales                                  </t>
  </si>
  <si>
    <t>2SH-40001-0862</t>
  </si>
  <si>
    <t>2SH-40001-0864</t>
  </si>
  <si>
    <t>2SH-40001-0866</t>
  </si>
  <si>
    <t>2SH-40002-0861</t>
  </si>
  <si>
    <t>Non Taxable Sales</t>
  </si>
  <si>
    <t>2SH-40002-0862</t>
  </si>
  <si>
    <t>2SH-40002-0864</t>
  </si>
  <si>
    <t>2SH-40002-0866</t>
  </si>
  <si>
    <t>2SH-40091-0861</t>
  </si>
  <si>
    <t>Sales Discounts</t>
  </si>
  <si>
    <t xml:space="preserve">Less Sales Discounts                               </t>
  </si>
  <si>
    <t>2SH-40091-0862</t>
  </si>
  <si>
    <t>2SH-40091-0864</t>
  </si>
  <si>
    <t>2SH-40091-0866</t>
  </si>
  <si>
    <t>2SH-50003-0861</t>
  </si>
  <si>
    <t>Bakery</t>
  </si>
  <si>
    <t xml:space="preserve">Total Direct Cost of Sales     </t>
  </si>
  <si>
    <t xml:space="preserve">Food                                               </t>
  </si>
  <si>
    <t>2SH-50003-0862</t>
  </si>
  <si>
    <t>2SH-50003-0864</t>
  </si>
  <si>
    <t>2SH-50003-0866</t>
  </si>
  <si>
    <t>2SH-50007-0861</t>
  </si>
  <si>
    <t>Other Food Items</t>
  </si>
  <si>
    <t>2SH-50007-0862</t>
  </si>
  <si>
    <t>2SH-50007-0864</t>
  </si>
  <si>
    <t>2SH-50007-0866</t>
  </si>
  <si>
    <t>2SH-50099-0861</t>
  </si>
  <si>
    <t>Contra Ideal Food</t>
  </si>
  <si>
    <t xml:space="preserve">Ideal Food Cost-Contra                             </t>
  </si>
  <si>
    <t>2SH-50099-0862</t>
  </si>
  <si>
    <t>2SH-50099-0864</t>
  </si>
  <si>
    <t>2SH-50099-0866</t>
  </si>
  <si>
    <t>2SH-50099-7124</t>
  </si>
  <si>
    <t>2SH-50100-0861</t>
  </si>
  <si>
    <t>Ideal Food Cost</t>
  </si>
  <si>
    <t xml:space="preserve">Ideal Food Cost                                    </t>
  </si>
  <si>
    <t>2SH-50100-0862</t>
  </si>
  <si>
    <t>2SH-50100-0864</t>
  </si>
  <si>
    <t>2SH-50100-0866</t>
  </si>
  <si>
    <t>2SH-50100-7124</t>
  </si>
  <si>
    <t>2SH-51001-0861</t>
  </si>
  <si>
    <t>Paper</t>
  </si>
  <si>
    <t xml:space="preserve">Paper (Including Newspaper and Kids Meals)         </t>
  </si>
  <si>
    <t>2SH-51001-0862</t>
  </si>
  <si>
    <t>2SH-51001-0864</t>
  </si>
  <si>
    <t>2SH-51001-0866</t>
  </si>
  <si>
    <t>2SH-52001-0861</t>
  </si>
  <si>
    <t>Counter Person thru Crew Lead</t>
  </si>
  <si>
    <t xml:space="preserve">Total Actual Direct Labor      </t>
  </si>
  <si>
    <t xml:space="preserve">Lead/Counter Person                                </t>
  </si>
  <si>
    <t>2SH-52001-0862</t>
  </si>
  <si>
    <t>2SH-52001-0864</t>
  </si>
  <si>
    <t>2SH-52001-0866</t>
  </si>
  <si>
    <t>2SH-52002-0861</t>
  </si>
  <si>
    <t>Shift Supervisors- Asst Mgr</t>
  </si>
  <si>
    <t xml:space="preserve">Shift Supervisor                                   </t>
  </si>
  <si>
    <t>2SH-52002-0862</t>
  </si>
  <si>
    <t>2SH-52002-0864</t>
  </si>
  <si>
    <t>2SH-52002-0866</t>
  </si>
  <si>
    <t>2SH-52003-0861</t>
  </si>
  <si>
    <t>Lead Counter Person OT</t>
  </si>
  <si>
    <t xml:space="preserve">Lead/Counter Person OT                             </t>
  </si>
  <si>
    <t>2SH-52003-0862</t>
  </si>
  <si>
    <t>2SH-52003-0864</t>
  </si>
  <si>
    <t>2SH-52003-0866</t>
  </si>
  <si>
    <t>2SH-52004-0861</t>
  </si>
  <si>
    <t>Shift Leader/Asst Mgr/Night Mgr - OT</t>
  </si>
  <si>
    <t xml:space="preserve">Shift Supervisor /Asst Mgr/Night Mgr OT            </t>
  </si>
  <si>
    <t>2SH-52004-0862</t>
  </si>
  <si>
    <t>2SH-52004-0864</t>
  </si>
  <si>
    <t>2SH-52004-0866</t>
  </si>
  <si>
    <t>2SH-52005-0861</t>
  </si>
  <si>
    <t>Sick Time</t>
  </si>
  <si>
    <t xml:space="preserve">Sick/Vacation/Holiday                              </t>
  </si>
  <si>
    <t>2SH-52005-0862</t>
  </si>
  <si>
    <t>2SH-52005-0864</t>
  </si>
  <si>
    <t>2SH-52005-0866</t>
  </si>
  <si>
    <t>2SH-53002-0866</t>
  </si>
  <si>
    <t>Night Manager (Salaries)</t>
  </si>
  <si>
    <t xml:space="preserve">Night Manager                                      </t>
  </si>
  <si>
    <t>2SH-53003-0861</t>
  </si>
  <si>
    <t>Managers</t>
  </si>
  <si>
    <t xml:space="preserve">Managers Salary                                    </t>
  </si>
  <si>
    <t>2SH-53003-0862</t>
  </si>
  <si>
    <t>2SH-53003-0864</t>
  </si>
  <si>
    <t>2SH-53003-0866</t>
  </si>
  <si>
    <t>2SH-53004-0861</t>
  </si>
  <si>
    <t>Manager OT</t>
  </si>
  <si>
    <t xml:space="preserve">Managers OT                                        </t>
  </si>
  <si>
    <t>2SH-53004-0862</t>
  </si>
  <si>
    <t>2SH-53004-0864</t>
  </si>
  <si>
    <t>2SH-53004-0866</t>
  </si>
  <si>
    <t>2SH-53005-0861</t>
  </si>
  <si>
    <t>Vacation</t>
  </si>
  <si>
    <t>2SH-53005-0864</t>
  </si>
  <si>
    <t>2SH-53005-0866</t>
  </si>
  <si>
    <t>2SH-53006-0861</t>
  </si>
  <si>
    <t>Holiday</t>
  </si>
  <si>
    <t>2SH-53006-0862</t>
  </si>
  <si>
    <t>2SH-53006-0864</t>
  </si>
  <si>
    <t>2SH-53006-0866</t>
  </si>
  <si>
    <t>2SH-54001-0861</t>
  </si>
  <si>
    <t>Management Bonus</t>
  </si>
  <si>
    <t xml:space="preserve">Total Labor and Benefits       </t>
  </si>
  <si>
    <t xml:space="preserve">Managers Bonus                                     </t>
  </si>
  <si>
    <t>2SH-54001-0862</t>
  </si>
  <si>
    <t>2SH-54001-0864</t>
  </si>
  <si>
    <t>2SH-54001-0866</t>
  </si>
  <si>
    <t>2SH-54099-0861</t>
  </si>
  <si>
    <t>Contra Standard Labor</t>
  </si>
  <si>
    <t xml:space="preserve">Labor Matrix-Contra                                </t>
  </si>
  <si>
    <t>2SH-54099-0862</t>
  </si>
  <si>
    <t>2SH-54099-0864</t>
  </si>
  <si>
    <t>2SH-54099-0866</t>
  </si>
  <si>
    <t>2SH-54099-7124</t>
  </si>
  <si>
    <t>2SH-54100-0861</t>
  </si>
  <si>
    <t>Standard Labor</t>
  </si>
  <si>
    <t xml:space="preserve">Labor Matrix                                       </t>
  </si>
  <si>
    <t>2SH-54100-0862</t>
  </si>
  <si>
    <t>2SH-54100-0864</t>
  </si>
  <si>
    <t>2SH-54100-0866</t>
  </si>
  <si>
    <t>2SH-54100-7124</t>
  </si>
  <si>
    <t>2SH-55001-0861</t>
  </si>
  <si>
    <t>W/Comp Insurance</t>
  </si>
  <si>
    <t xml:space="preserve">Workers Compensation Ins. Premium etc              </t>
  </si>
  <si>
    <t>2SH-55001-0862</t>
  </si>
  <si>
    <t>2SH-55001-0864</t>
  </si>
  <si>
    <t>2SH-55001-0866</t>
  </si>
  <si>
    <t>2SH-56001-0000</t>
  </si>
  <si>
    <t>Payroll Tax Expenses- Direct</t>
  </si>
  <si>
    <t xml:space="preserve">Payroll Taxes                                      </t>
  </si>
  <si>
    <t>2SH-56001-0861</t>
  </si>
  <si>
    <t>2SH-56001-0862</t>
  </si>
  <si>
    <t>2SH-56001-0864</t>
  </si>
  <si>
    <t>2SH-56001-0866</t>
  </si>
  <si>
    <t>2SH-56002-0000</t>
  </si>
  <si>
    <t>Employee Awards &amp; Benefits</t>
  </si>
  <si>
    <t xml:space="preserve">Employees Benefits(Award and Insurance)            </t>
  </si>
  <si>
    <t>2SH-56002-0861</t>
  </si>
  <si>
    <t>2SH-56002-0862</t>
  </si>
  <si>
    <t>2SH-56002-0864</t>
  </si>
  <si>
    <t>2SH-56002-0866</t>
  </si>
  <si>
    <t>2SH-56050-0000</t>
  </si>
  <si>
    <t>Discount Earned</t>
  </si>
  <si>
    <t xml:space="preserve">Total General and Admin        </t>
  </si>
  <si>
    <t xml:space="preserve">Interest Income / Discount Earned                  </t>
  </si>
  <si>
    <t>2SH-60001-0861</t>
  </si>
  <si>
    <t>Cash Over/ (Short)</t>
  </si>
  <si>
    <t xml:space="preserve">Total Controllables            </t>
  </si>
  <si>
    <t xml:space="preserve">Operating Expense              </t>
  </si>
  <si>
    <t xml:space="preserve">Cash Over/Short                                    </t>
  </si>
  <si>
    <t>2SH-60001-0862</t>
  </si>
  <si>
    <t>2SH-60001-0864</t>
  </si>
  <si>
    <t>2SH-60001-0866</t>
  </si>
  <si>
    <t>2SH-60003-0861</t>
  </si>
  <si>
    <t>Over/Short - CC</t>
  </si>
  <si>
    <t xml:space="preserve">Credit Card Over/Short                             </t>
  </si>
  <si>
    <t>2SH-60003-0862</t>
  </si>
  <si>
    <t>2SH-60003-0864</t>
  </si>
  <si>
    <t>2SH-60003-0866</t>
  </si>
  <si>
    <t>2SH-60503-0861</t>
  </si>
  <si>
    <t>R&amp;M-Kit Equip (DM)</t>
  </si>
  <si>
    <t xml:space="preserve">Total Repair and Maintenance   </t>
  </si>
  <si>
    <t xml:space="preserve">RandM-Kitchen Equipment (Excl New Prod)            </t>
  </si>
  <si>
    <t>2SH-60503-0862</t>
  </si>
  <si>
    <t>2SH-60503-0864</t>
  </si>
  <si>
    <t>2SH-60503-0866</t>
  </si>
  <si>
    <t>2SH-60504-0861</t>
  </si>
  <si>
    <t>Kitchen Equip (DM)</t>
  </si>
  <si>
    <t>2SH-60505-0861</t>
  </si>
  <si>
    <t>Computer / POS Supplies</t>
  </si>
  <si>
    <t xml:space="preserve">Total Other Unit Overhead      </t>
  </si>
  <si>
    <t xml:space="preserve">Equipment Leases/Rental                            </t>
  </si>
  <si>
    <t>2SH-60505-0862</t>
  </si>
  <si>
    <t>2SH-60505-0864</t>
  </si>
  <si>
    <t>2SH-60505-0866</t>
  </si>
  <si>
    <t>2SH-60507-0861</t>
  </si>
  <si>
    <t>Miscellaneous Supplies</t>
  </si>
  <si>
    <t xml:space="preserve">Operating Supplies (Excl New Prod)                 </t>
  </si>
  <si>
    <t>2SH-60507-0862</t>
  </si>
  <si>
    <t>2SH-60507-0864</t>
  </si>
  <si>
    <t>2SH-60507-0866</t>
  </si>
  <si>
    <t>2SH-60509-0000</t>
  </si>
  <si>
    <t>CO2</t>
  </si>
  <si>
    <t>2SH-60509-0861</t>
  </si>
  <si>
    <t>2SH-60509-0862</t>
  </si>
  <si>
    <t>2SH-60509-0864</t>
  </si>
  <si>
    <t>2SH-60509-0866</t>
  </si>
  <si>
    <t>2SH-61001-0861</t>
  </si>
  <si>
    <t>New Uniforms</t>
  </si>
  <si>
    <t xml:space="preserve">Uniforms and Laundry                               </t>
  </si>
  <si>
    <t>2SH-61001-0862</t>
  </si>
  <si>
    <t>2SH-61001-0866</t>
  </si>
  <si>
    <t>2SH-61002-0000</t>
  </si>
  <si>
    <t>Coke R&amp;M</t>
  </si>
  <si>
    <t>2SH-61002-0861</t>
  </si>
  <si>
    <t>2SH-61002-0862</t>
  </si>
  <si>
    <t>2SH-61002-0864</t>
  </si>
  <si>
    <t>2SH-61002-0866</t>
  </si>
  <si>
    <t>2SH-61201-0861</t>
  </si>
  <si>
    <t>Maintenance Allocation</t>
  </si>
  <si>
    <t xml:space="preserve">RandM-Point of Sale Equipment                      </t>
  </si>
  <si>
    <t>2SH-61201-0862</t>
  </si>
  <si>
    <t>2SH-61201-0864</t>
  </si>
  <si>
    <t>2SH-61201-0866</t>
  </si>
  <si>
    <t>2SH-61501-0861</t>
  </si>
  <si>
    <t>R&amp;M - Kitchen Equip.</t>
  </si>
  <si>
    <t>2SH-61501-0862</t>
  </si>
  <si>
    <t>2SH-61501-0864</t>
  </si>
  <si>
    <t>2SH-61501-0866</t>
  </si>
  <si>
    <t>2SH-61502-0861</t>
  </si>
  <si>
    <t>R&amp;M-Kit Equip (Tech)</t>
  </si>
  <si>
    <t>2SH-61502-0862</t>
  </si>
  <si>
    <t>2SH-62001-0000</t>
  </si>
  <si>
    <t>Register/Computer/Printer Rep.</t>
  </si>
  <si>
    <t>2SH-62001-0861</t>
  </si>
  <si>
    <t>2SH-62002-0861</t>
  </si>
  <si>
    <t>Drive-thru Equipment</t>
  </si>
  <si>
    <t>2SH-62002-0862</t>
  </si>
  <si>
    <t>2SH-62002-0864</t>
  </si>
  <si>
    <t>2SH-62002-0866</t>
  </si>
  <si>
    <t>2SH-62097-0861</t>
  </si>
  <si>
    <t>Major Project-POS/DT</t>
  </si>
  <si>
    <t xml:space="preserve">RandM-Major Projects                               </t>
  </si>
  <si>
    <t>2SH-62097-0862</t>
  </si>
  <si>
    <t>2SH-62097-0864</t>
  </si>
  <si>
    <t>2SH-62097-0866</t>
  </si>
  <si>
    <t>2SH-62501-0861</t>
  </si>
  <si>
    <t>Plumbling/Sewage</t>
  </si>
  <si>
    <t xml:space="preserve">RandM-Building Interior                            </t>
  </si>
  <si>
    <t>2SH-62501-0862</t>
  </si>
  <si>
    <t>2SH-62501-0866</t>
  </si>
  <si>
    <t>2SH-62502-0861</t>
  </si>
  <si>
    <t>HVAC,Refrigeration&amp; Salad Bar</t>
  </si>
  <si>
    <t>2SH-62502-0862</t>
  </si>
  <si>
    <t>2SH-62502-0864</t>
  </si>
  <si>
    <t>2SH-62502-0866</t>
  </si>
  <si>
    <t>2SH-62510-0861</t>
  </si>
  <si>
    <t>Pest Control</t>
  </si>
  <si>
    <t>2SH-62510-0862</t>
  </si>
  <si>
    <t>2SH-62510-0864</t>
  </si>
  <si>
    <t>2SH-62510-0866</t>
  </si>
  <si>
    <t>2SH-62511-0861</t>
  </si>
  <si>
    <t>Fire/Ansul System</t>
  </si>
  <si>
    <t>2SH-62511-0862</t>
  </si>
  <si>
    <t>2SH-62511-0864</t>
  </si>
  <si>
    <t>2SH-62511-0866</t>
  </si>
  <si>
    <t>2SH-62512-0861</t>
  </si>
  <si>
    <t>Air Cleaning/Freshen</t>
  </si>
  <si>
    <t>2SH-62512-0864</t>
  </si>
  <si>
    <t>2SH-62513-0861</t>
  </si>
  <si>
    <t>Misc. R &amp; M- Bldg. Interior</t>
  </si>
  <si>
    <t>2SH-62513-0862</t>
  </si>
  <si>
    <t>2SH-62513-0864</t>
  </si>
  <si>
    <t>2SH-62513-0866</t>
  </si>
  <si>
    <t>2SH-62550-0862</t>
  </si>
  <si>
    <t>R&amp;M - In-House (Labor)</t>
  </si>
  <si>
    <t xml:space="preserve">RandM                                              </t>
  </si>
  <si>
    <t>2SH-62551-0862</t>
  </si>
  <si>
    <t>R&amp;M - In-House (Parts)</t>
  </si>
  <si>
    <t>2SH-63001-0861</t>
  </si>
  <si>
    <t>Steam Cleaning</t>
  </si>
  <si>
    <t>2SH-63001-0862</t>
  </si>
  <si>
    <t>2SH-63001-0864</t>
  </si>
  <si>
    <t>2SH-63001-0866</t>
  </si>
  <si>
    <t>2SH-63004-0000</t>
  </si>
  <si>
    <t>Gardening/Landscaping</t>
  </si>
  <si>
    <t xml:space="preserve">RandM-Building Exterior                            </t>
  </si>
  <si>
    <t>2SH-63004-0861</t>
  </si>
  <si>
    <t>2SH-63004-0862</t>
  </si>
  <si>
    <t>2SH-63004-0864</t>
  </si>
  <si>
    <t>2SH-63004-0866</t>
  </si>
  <si>
    <t>2SH-63006-0861</t>
  </si>
  <si>
    <t>Grease Trap Pumping</t>
  </si>
  <si>
    <t>2SH-63006-0862</t>
  </si>
  <si>
    <t>2SH-63006-0864</t>
  </si>
  <si>
    <t>2SH-63006-0866</t>
  </si>
  <si>
    <t>2SH-63007-0861</t>
  </si>
  <si>
    <t>Light - Spare Parts</t>
  </si>
  <si>
    <t>2SH-63007-0862</t>
  </si>
  <si>
    <t>2SH-63007-0866</t>
  </si>
  <si>
    <t>2SH-63009-0861</t>
  </si>
  <si>
    <t>Misc. R &amp; M Exterior</t>
  </si>
  <si>
    <t>2SH-63009-0864</t>
  </si>
  <si>
    <t>2SH-63009-0866</t>
  </si>
  <si>
    <t>2SH-63501-0000</t>
  </si>
  <si>
    <t>Telephone</t>
  </si>
  <si>
    <t xml:space="preserve">Total Utilities                </t>
  </si>
  <si>
    <t xml:space="preserve">Telephone                                          </t>
  </si>
  <si>
    <t>2SH-63501-0861</t>
  </si>
  <si>
    <t>2SH-63501-0862</t>
  </si>
  <si>
    <t>2SH-63501-0864</t>
  </si>
  <si>
    <t>2SH-63501-0866</t>
  </si>
  <si>
    <t>2SH-63502-0000</t>
  </si>
  <si>
    <t>Electricity</t>
  </si>
  <si>
    <t xml:space="preserve">Electricity                                        </t>
  </si>
  <si>
    <t>2SH-63502-0861</t>
  </si>
  <si>
    <t>2SH-63502-0862</t>
  </si>
  <si>
    <t>2SH-63502-0864</t>
  </si>
  <si>
    <t>2SH-63502-0866</t>
  </si>
  <si>
    <t>2SH-63503-0000</t>
  </si>
  <si>
    <t>Gas</t>
  </si>
  <si>
    <t xml:space="preserve">Gas                                                </t>
  </si>
  <si>
    <t>2SH-63503-0861</t>
  </si>
  <si>
    <t>2SH-63503-0862</t>
  </si>
  <si>
    <t>2SH-63503-0864</t>
  </si>
  <si>
    <t>2SH-63503-0866</t>
  </si>
  <si>
    <t>2SH-63504-0000</t>
  </si>
  <si>
    <t>Water</t>
  </si>
  <si>
    <t xml:space="preserve">Water                                              </t>
  </si>
  <si>
    <t>2SH-63504-0861</t>
  </si>
  <si>
    <t>2SH-63504-0862</t>
  </si>
  <si>
    <t>2SH-63504-0864</t>
  </si>
  <si>
    <t>2SH-63504-0866</t>
  </si>
  <si>
    <t>2SH-64501-0861</t>
  </si>
  <si>
    <t>ATM Charges</t>
  </si>
  <si>
    <t xml:space="preserve">CC/ATM Charges                                     </t>
  </si>
  <si>
    <t>2SH-64501-0862</t>
  </si>
  <si>
    <t>2SH-64501-0864</t>
  </si>
  <si>
    <t>2SH-64501-0866</t>
  </si>
  <si>
    <t>2SH-64501-7124</t>
  </si>
  <si>
    <t>2SH-64502-0000</t>
  </si>
  <si>
    <t>Bank Charges</t>
  </si>
  <si>
    <t xml:space="preserve">Banking Charges                                    </t>
  </si>
  <si>
    <t>2SH-64502-0861</t>
  </si>
  <si>
    <t>2SH-64502-0862</t>
  </si>
  <si>
    <t>2SH-64502-0864</t>
  </si>
  <si>
    <t>2SH-64502-0866</t>
  </si>
  <si>
    <t>2SH-64503-0861</t>
  </si>
  <si>
    <t>Delivery Charges</t>
  </si>
  <si>
    <t>2SH-64503-0862</t>
  </si>
  <si>
    <t>2SH-64503-0864</t>
  </si>
  <si>
    <t>2SH-64503-0866</t>
  </si>
  <si>
    <t>2SH-65001-0864</t>
  </si>
  <si>
    <t>Equipment Lease/Rental</t>
  </si>
  <si>
    <t>2SH-65002-0861</t>
  </si>
  <si>
    <t>Computer Lease/Rental</t>
  </si>
  <si>
    <t>2SH-65002-0862</t>
  </si>
  <si>
    <t>2SH-65002-0864</t>
  </si>
  <si>
    <t>2SH-65002-0866</t>
  </si>
  <si>
    <t>2SH-65501-0861</t>
  </si>
  <si>
    <t>Trash/Refuse Service</t>
  </si>
  <si>
    <t xml:space="preserve">Trash/Refuse Service                               </t>
  </si>
  <si>
    <t>2SH-65501-0862</t>
  </si>
  <si>
    <t>2SH-65501-0864</t>
  </si>
  <si>
    <t>2SH-65501-0866</t>
  </si>
  <si>
    <t>2SH-66001-0861</t>
  </si>
  <si>
    <t>Mileage Expense</t>
  </si>
  <si>
    <t xml:space="preserve">Mileage and Miscellaneous                          </t>
  </si>
  <si>
    <t>2SH-66001-0862</t>
  </si>
  <si>
    <t>2SH-66001-0864</t>
  </si>
  <si>
    <t>2SH-66001-0866</t>
  </si>
  <si>
    <t>2SH-66002-0861</t>
  </si>
  <si>
    <t>Miscellaneous</t>
  </si>
  <si>
    <t>2SH-66002-0862</t>
  </si>
  <si>
    <t>2SH-66002-0864</t>
  </si>
  <si>
    <t>2SH-66002-0866</t>
  </si>
  <si>
    <t>2SH-66501-0861</t>
  </si>
  <si>
    <t>Promotions- Childrens Meals</t>
  </si>
  <si>
    <t>2SH-66501-0862</t>
  </si>
  <si>
    <t>2SH-66501-0864</t>
  </si>
  <si>
    <t>2SH-66501-0866</t>
  </si>
  <si>
    <t>2SH-66701-0861</t>
  </si>
  <si>
    <t>Training</t>
  </si>
  <si>
    <t xml:space="preserve">Training                                           </t>
  </si>
  <si>
    <t>2SH-66701-0862</t>
  </si>
  <si>
    <t>2SH-66701-0864</t>
  </si>
  <si>
    <t>2SH-66701-0866</t>
  </si>
  <si>
    <t>2SH-67001-0861</t>
  </si>
  <si>
    <t>Royalties</t>
  </si>
  <si>
    <t xml:space="preserve">Royalties                                          </t>
  </si>
  <si>
    <t>2SH-67001-0862</t>
  </si>
  <si>
    <t>2SH-67001-0864</t>
  </si>
  <si>
    <t>2SH-67001-0866</t>
  </si>
  <si>
    <t>2SH-67501-0861</t>
  </si>
  <si>
    <t>Advertising</t>
  </si>
  <si>
    <t xml:space="preserve">Advertising                                        </t>
  </si>
  <si>
    <t>2SH-67501-0862</t>
  </si>
  <si>
    <t>2SH-67501-0864</t>
  </si>
  <si>
    <t>2SH-67501-0866</t>
  </si>
  <si>
    <t>2SH-68000-0861</t>
  </si>
  <si>
    <t>Local Store Marketing - Discretionary</t>
  </si>
  <si>
    <t xml:space="preserve">Local Store Marketing                              </t>
  </si>
  <si>
    <t>2SH-68000-0862</t>
  </si>
  <si>
    <t>2SH-68000-0864</t>
  </si>
  <si>
    <t>2SH-68000-0866</t>
  </si>
  <si>
    <t>2SH-68001-0861</t>
  </si>
  <si>
    <t>Local Store Marketing - Force Shipped</t>
  </si>
  <si>
    <t>2SH-68001-0862</t>
  </si>
  <si>
    <t>2SH-68001-0864</t>
  </si>
  <si>
    <t>2SH-68001-0866</t>
  </si>
  <si>
    <t>2SH-70001-0861</t>
  </si>
  <si>
    <t>Rent</t>
  </si>
  <si>
    <t xml:space="preserve">Total Facility Costs           </t>
  </si>
  <si>
    <t xml:space="preserve">Facility                       </t>
  </si>
  <si>
    <t xml:space="preserve">Rent                                               </t>
  </si>
  <si>
    <t>2SH-70001-0864</t>
  </si>
  <si>
    <t>2SH-70001-0866</t>
  </si>
  <si>
    <t>2SH-70002-0862</t>
  </si>
  <si>
    <t>Rent - Internal</t>
  </si>
  <si>
    <t>2SH-71001-0862</t>
  </si>
  <si>
    <t>Common Area Maintenance</t>
  </si>
  <si>
    <t xml:space="preserve">Common Area Maintenance                            </t>
  </si>
  <si>
    <t>2SH-71001-0864</t>
  </si>
  <si>
    <t>2SH-71001-0866</t>
  </si>
  <si>
    <t>2SH-72001-0861</t>
  </si>
  <si>
    <t>Property Taxes</t>
  </si>
  <si>
    <t xml:space="preserve">Property Taxes                                     </t>
  </si>
  <si>
    <t>2SH-72001-0862</t>
  </si>
  <si>
    <t>2SH-72001-0864</t>
  </si>
  <si>
    <t>2SH-72001-0866</t>
  </si>
  <si>
    <t>2SH-74001-0000</t>
  </si>
  <si>
    <t>Property Insurance</t>
  </si>
  <si>
    <t xml:space="preserve">Property and Liability Insurance                   </t>
  </si>
  <si>
    <t>2SH-74001-0861</t>
  </si>
  <si>
    <t>Liability Insurance</t>
  </si>
  <si>
    <t>2SH-74001-0862</t>
  </si>
  <si>
    <t>2SH-74001-0864</t>
  </si>
  <si>
    <t>2SH-74001-0866</t>
  </si>
  <si>
    <t>2SH-75001-0861</t>
  </si>
  <si>
    <t>Licenses &amp; Permits</t>
  </si>
  <si>
    <t xml:space="preserve">Licenses and Permits                               </t>
  </si>
  <si>
    <t>2SH-75001-0862</t>
  </si>
  <si>
    <t>2SH-75001-0864</t>
  </si>
  <si>
    <t>2SH-75001-0866</t>
  </si>
  <si>
    <t>2SH-80001-0861</t>
  </si>
  <si>
    <t>Bad Debts</t>
  </si>
  <si>
    <t xml:space="preserve">Other Income/Expense           </t>
  </si>
  <si>
    <t>2SH-80001-0862</t>
  </si>
  <si>
    <t>2SH-80001-0864</t>
  </si>
  <si>
    <t>2SH-80001-0866</t>
  </si>
  <si>
    <t>2SH-80001-7124</t>
  </si>
  <si>
    <t>2SH-90002-0000</t>
  </si>
  <si>
    <t>District Manager Salaries</t>
  </si>
  <si>
    <t xml:space="preserve">District Manager Salary                            </t>
  </si>
  <si>
    <t>2SH-90013-0000</t>
  </si>
  <si>
    <t>DM Vacation</t>
  </si>
  <si>
    <t>2SH-90014-0000</t>
  </si>
  <si>
    <t>DM Bonus</t>
  </si>
  <si>
    <t>2SH-90202-0000</t>
  </si>
  <si>
    <t>Employee Benefits- Admin.</t>
  </si>
  <si>
    <t>2SH-90601-0000</t>
  </si>
  <si>
    <t>Auto Expenses</t>
  </si>
  <si>
    <t xml:space="preserve">Auto Expenses                                      </t>
  </si>
  <si>
    <t>2SH-91801-0861</t>
  </si>
  <si>
    <t>Dues &amp; Subscriptions</t>
  </si>
  <si>
    <t xml:space="preserve">Dues and Subscriptions                             </t>
  </si>
  <si>
    <t>2SH-91801-0862</t>
  </si>
  <si>
    <t>2SH-91801-0864</t>
  </si>
  <si>
    <t>2SH-91801-0866</t>
  </si>
  <si>
    <t xml:space="preserve">Total Gernal and Admin         </t>
  </si>
  <si>
    <t>2SH-92401-0861</t>
  </si>
  <si>
    <t>Interest Expense</t>
  </si>
  <si>
    <t xml:space="preserve">Net Income                     </t>
  </si>
  <si>
    <t xml:space="preserve">Interest Expense               </t>
  </si>
  <si>
    <t xml:space="preserve">Interest Expense                                   </t>
  </si>
  <si>
    <t>2SH-92401-0862</t>
  </si>
  <si>
    <t>2SH-92401-0864</t>
  </si>
  <si>
    <t>2SH-92401-0866</t>
  </si>
  <si>
    <t>2SH-92901-0861</t>
  </si>
  <si>
    <t>Management Fee Expense</t>
  </si>
  <si>
    <t xml:space="preserve">Management Fees                                    </t>
  </si>
  <si>
    <t>2SH-92901-0862</t>
  </si>
  <si>
    <t>2SH-92901-0864</t>
  </si>
  <si>
    <t>2SH-92901-0866</t>
  </si>
  <si>
    <t>2SH-93001-0000</t>
  </si>
  <si>
    <t>Meals and Entertainment</t>
  </si>
  <si>
    <t xml:space="preserve">Meals and Entertainment                            </t>
  </si>
  <si>
    <t>2SH-93201-0000</t>
  </si>
  <si>
    <t xml:space="preserve">Miscellaneous                                      </t>
  </si>
  <si>
    <t>2SH-93601-0861</t>
  </si>
  <si>
    <t>Office Supplies</t>
  </si>
  <si>
    <t xml:space="preserve">Office Supplies                                    </t>
  </si>
  <si>
    <t>2SH-93601-0862</t>
  </si>
  <si>
    <t>2SH-93601-0864</t>
  </si>
  <si>
    <t>2SH-93601-0866</t>
  </si>
  <si>
    <t>2SH-94001-0000</t>
  </si>
  <si>
    <t>Postage</t>
  </si>
  <si>
    <t xml:space="preserve">Postage                                            </t>
  </si>
  <si>
    <t>2SH-94201-0000</t>
  </si>
  <si>
    <t>Professional Services</t>
  </si>
  <si>
    <t xml:space="preserve">Professional Fees                                  </t>
  </si>
  <si>
    <t>2SH-94201-0861</t>
  </si>
  <si>
    <t>2SH-94201-0862</t>
  </si>
  <si>
    <t>2SH-94201-0864</t>
  </si>
  <si>
    <t>2SH-94201-0866</t>
  </si>
  <si>
    <t>2SH-94401-0000</t>
  </si>
  <si>
    <t>Rebates</t>
  </si>
  <si>
    <t xml:space="preserve">Rebates                                            </t>
  </si>
  <si>
    <t>2SH-94401-0861</t>
  </si>
  <si>
    <t>2SH-94401-0862</t>
  </si>
  <si>
    <t>2SH-94401-0864</t>
  </si>
  <si>
    <t>2SH-94401-0866</t>
  </si>
  <si>
    <t>2SH-95201-0000</t>
  </si>
  <si>
    <t>Travel &amp; Entertainment</t>
  </si>
  <si>
    <t xml:space="preserve">Travel and Entertainment                           </t>
  </si>
  <si>
    <t>2SH-99001-0000</t>
  </si>
  <si>
    <t>Other Income / Expense</t>
  </si>
  <si>
    <t xml:space="preserve">Miscellenous Income                                </t>
  </si>
  <si>
    <t>2SH-99001-0861</t>
  </si>
  <si>
    <t>2SH-99001-0862</t>
  </si>
  <si>
    <t>2SH-99001-0864</t>
  </si>
  <si>
    <t>2SH-99001-0866</t>
  </si>
  <si>
    <t>2SH-99901-0000</t>
  </si>
  <si>
    <t>Provision for Income Taxes</t>
  </si>
  <si>
    <t xml:space="preserve">Income Tax                     </t>
  </si>
  <si>
    <t xml:space="preserve">Provision for Income Taxes                         </t>
  </si>
  <si>
    <t>3SI-11218-0000</t>
  </si>
  <si>
    <t>3SI-11502-0000</t>
  </si>
  <si>
    <t>3SI-13100-0865</t>
  </si>
  <si>
    <t>3SI-40001-0863</t>
  </si>
  <si>
    <t>3SI-40001-7466</t>
  </si>
  <si>
    <t>3SI-40001-7780</t>
  </si>
  <si>
    <t>3SI-40002-0863</t>
  </si>
  <si>
    <t>3SI-40002-7466</t>
  </si>
  <si>
    <t>3SI-40002-7780</t>
  </si>
  <si>
    <t>3SI-40091-0863</t>
  </si>
  <si>
    <t>3SI-40091-7466</t>
  </si>
  <si>
    <t>3SI-40091-7780</t>
  </si>
  <si>
    <t>3SI-50003-0863</t>
  </si>
  <si>
    <t>3SI-50003-7466</t>
  </si>
  <si>
    <t>3SI-50003-7780</t>
  </si>
  <si>
    <t>3SI-50007-0863</t>
  </si>
  <si>
    <t>3SI-50007-0865</t>
  </si>
  <si>
    <t>3SI-50007-7466</t>
  </si>
  <si>
    <t>3SI-50007-7780</t>
  </si>
  <si>
    <t>3SI-50099-0863</t>
  </si>
  <si>
    <t>3SI-50099-0865</t>
  </si>
  <si>
    <t>3SI-50099-7466</t>
  </si>
  <si>
    <t>3SI-50099-7780</t>
  </si>
  <si>
    <t>3SI-50100-0863</t>
  </si>
  <si>
    <t>3SI-50100-0865</t>
  </si>
  <si>
    <t>3SI-50100-7466</t>
  </si>
  <si>
    <t>3SI-50100-7780</t>
  </si>
  <si>
    <t>3SI-51001-0863</t>
  </si>
  <si>
    <t>3SI-51001-7466</t>
  </si>
  <si>
    <t>3SI-51001-7780</t>
  </si>
  <si>
    <t>3SI-52001-0863</t>
  </si>
  <si>
    <t>3SI-52001-7466</t>
  </si>
  <si>
    <t>3SI-52001-7780</t>
  </si>
  <si>
    <t>3SI-52002-0863</t>
  </si>
  <si>
    <t>3SI-52002-7466</t>
  </si>
  <si>
    <t>3SI-52002-7780</t>
  </si>
  <si>
    <t>3SI-52003-0863</t>
  </si>
  <si>
    <t>3SI-52003-7466</t>
  </si>
  <si>
    <t>3SI-52003-7780</t>
  </si>
  <si>
    <t>3SI-52004-0863</t>
  </si>
  <si>
    <t>3SI-52004-7466</t>
  </si>
  <si>
    <t>3SI-52004-7780</t>
  </si>
  <si>
    <t>3SI-52005-0863</t>
  </si>
  <si>
    <t>3SI-52005-7466</t>
  </si>
  <si>
    <t>3SI-52005-7780</t>
  </si>
  <si>
    <t>3SI-53001-0863</t>
  </si>
  <si>
    <t>Assistant Managers (Salaried)</t>
  </si>
  <si>
    <t xml:space="preserve">Assistant Manager                                  </t>
  </si>
  <si>
    <t>3SI-53003-0863</t>
  </si>
  <si>
    <t>3SI-53003-7466</t>
  </si>
  <si>
    <t>3SI-53003-7780</t>
  </si>
  <si>
    <t>3SI-53004-0863</t>
  </si>
  <si>
    <t>3SI-53004-7466</t>
  </si>
  <si>
    <t>3SI-53004-7780</t>
  </si>
  <si>
    <t>3SI-53005-0863</t>
  </si>
  <si>
    <t>3SI-53005-7466</t>
  </si>
  <si>
    <t>3SI-53005-7780</t>
  </si>
  <si>
    <t>3SI-53006-0863</t>
  </si>
  <si>
    <t>3SI-53006-7466</t>
  </si>
  <si>
    <t>3SI-53006-7780</t>
  </si>
  <si>
    <t>3SI-54001-0863</t>
  </si>
  <si>
    <t>3SI-54001-7466</t>
  </si>
  <si>
    <t>3SI-54001-7780</t>
  </si>
  <si>
    <t>3SI-54099-0863</t>
  </si>
  <si>
    <t>3SI-54099-0865</t>
  </si>
  <si>
    <t>3SI-54099-7466</t>
  </si>
  <si>
    <t>3SI-54099-7780</t>
  </si>
  <si>
    <t>3SI-54100-0863</t>
  </si>
  <si>
    <t>3SI-54100-0865</t>
  </si>
  <si>
    <t>3SI-54100-7466</t>
  </si>
  <si>
    <t>3SI-54100-7780</t>
  </si>
  <si>
    <t>3SI-55001-0863</t>
  </si>
  <si>
    <t>3SI-55001-0865</t>
  </si>
  <si>
    <t>3SI-55001-7466</t>
  </si>
  <si>
    <t>3SI-55001-7780</t>
  </si>
  <si>
    <t>3SI-56001-0000</t>
  </si>
  <si>
    <t>3SI-56001-0863</t>
  </si>
  <si>
    <t>3SI-56001-7466</t>
  </si>
  <si>
    <t>3SI-56001-7780</t>
  </si>
  <si>
    <t>3SI-56002-0000</t>
  </si>
  <si>
    <t>3SI-56002-0863</t>
  </si>
  <si>
    <t>3SI-56002-0865</t>
  </si>
  <si>
    <t>3SI-56002-7466</t>
  </si>
  <si>
    <t>3SI-56002-7780</t>
  </si>
  <si>
    <t>3SI-56050-0000</t>
  </si>
  <si>
    <t>3SI-60001-0863</t>
  </si>
  <si>
    <t>3SI-60001-7466</t>
  </si>
  <si>
    <t>3SI-60001-7780</t>
  </si>
  <si>
    <t>3SI-60003-0863</t>
  </si>
  <si>
    <t>3SI-60003-7466</t>
  </si>
  <si>
    <t>3SI-60003-7780</t>
  </si>
  <si>
    <t>3SI-60503-0863</t>
  </si>
  <si>
    <t>3SI-60503-0865</t>
  </si>
  <si>
    <t>3SI-60503-7466</t>
  </si>
  <si>
    <t>3SI-60503-7780</t>
  </si>
  <si>
    <t>3SI-60504-0863</t>
  </si>
  <si>
    <t>3SI-60505-0863</t>
  </si>
  <si>
    <t>3SI-60505-7466</t>
  </si>
  <si>
    <t>3SI-60505-7780</t>
  </si>
  <si>
    <t>3SI-60507-0863</t>
  </si>
  <si>
    <t>3SI-60507-0865</t>
  </si>
  <si>
    <t>3SI-60507-7466</t>
  </si>
  <si>
    <t>3SI-60507-7780</t>
  </si>
  <si>
    <t>3SI-60509-0863</t>
  </si>
  <si>
    <t>3SI-60509-0865</t>
  </si>
  <si>
    <t>3SI-60509-7466</t>
  </si>
  <si>
    <t>3SI-60509-7780</t>
  </si>
  <si>
    <t>3SI-61001-0863</t>
  </si>
  <si>
    <t>3SI-61001-7466</t>
  </si>
  <si>
    <t>3SI-61001-7780</t>
  </si>
  <si>
    <t>3SI-61002-0000</t>
  </si>
  <si>
    <t>3SI-61002-7466</t>
  </si>
  <si>
    <t>3SI-61002-7780</t>
  </si>
  <si>
    <t>3SI-61201-0863</t>
  </si>
  <si>
    <t>3SI-61201-0865</t>
  </si>
  <si>
    <t>3SI-61201-7466</t>
  </si>
  <si>
    <t>3SI-61201-7780</t>
  </si>
  <si>
    <t>3SI-61501-0863</t>
  </si>
  <si>
    <t>3SI-61501-7466</t>
  </si>
  <si>
    <t>3SI-61501-7780</t>
  </si>
  <si>
    <t>3SI-61502-7780</t>
  </si>
  <si>
    <t>3SI-62001-0000</t>
  </si>
  <si>
    <t>3SI-62002-0863</t>
  </si>
  <si>
    <t>3SI-62002-7466</t>
  </si>
  <si>
    <t>3SI-62002-7780</t>
  </si>
  <si>
    <t>3SI-62097-0863</t>
  </si>
  <si>
    <t>3SI-62097-0865</t>
  </si>
  <si>
    <t>3SI-62097-7466</t>
  </si>
  <si>
    <t>3SI-62097-7780</t>
  </si>
  <si>
    <t>3SI-62501-0863</t>
  </si>
  <si>
    <t>3SI-62501-0865</t>
  </si>
  <si>
    <t>3SI-62502-0863</t>
  </si>
  <si>
    <t>3SI-62502-7466</t>
  </si>
  <si>
    <t>3SI-62502-7780</t>
  </si>
  <si>
    <t>3SI-62510-0863</t>
  </si>
  <si>
    <t>3SI-62510-7466</t>
  </si>
  <si>
    <t>3SI-62510-7780</t>
  </si>
  <si>
    <t>3SI-62511-0863</t>
  </si>
  <si>
    <t>3SI-62511-7466</t>
  </si>
  <si>
    <t>3SI-62511-7780</t>
  </si>
  <si>
    <t>3SI-62512-0863</t>
  </si>
  <si>
    <t>3SI-62513-0863</t>
  </si>
  <si>
    <t>3SI-62513-0865</t>
  </si>
  <si>
    <t>3SI-62513-7466</t>
  </si>
  <si>
    <t>3SI-62513-7780</t>
  </si>
  <si>
    <t>3SI-63001-0863</t>
  </si>
  <si>
    <t>3SI-63001-7466</t>
  </si>
  <si>
    <t>3SI-63001-7780</t>
  </si>
  <si>
    <t>3SI-63004-0000</t>
  </si>
  <si>
    <t>3SI-63004-0863</t>
  </si>
  <si>
    <t>3SI-63004-7466</t>
  </si>
  <si>
    <t>3SI-63004-7780</t>
  </si>
  <si>
    <t>3SI-63006-0863</t>
  </si>
  <si>
    <t>3SI-63006-7466</t>
  </si>
  <si>
    <t>3SI-63006-7780</t>
  </si>
  <si>
    <t>3SI-63007-0863</t>
  </si>
  <si>
    <t>3SI-63009-0865</t>
  </si>
  <si>
    <t>3SI-63501-0000</t>
  </si>
  <si>
    <t>3SI-63501-0863</t>
  </si>
  <si>
    <t>3SI-63501-0865</t>
  </si>
  <si>
    <t>3SI-63501-7466</t>
  </si>
  <si>
    <t>3SI-63501-7780</t>
  </si>
  <si>
    <t>3SI-63502-0863</t>
  </si>
  <si>
    <t>3SI-63502-0865</t>
  </si>
  <si>
    <t>3SI-63502-7466</t>
  </si>
  <si>
    <t>3SI-63502-7780</t>
  </si>
  <si>
    <t>3SI-63503-0863</t>
  </si>
  <si>
    <t>3SI-63503-0865</t>
  </si>
  <si>
    <t>3SI-63503-7466</t>
  </si>
  <si>
    <t>3SI-63503-7780</t>
  </si>
  <si>
    <t>3SI-63504-0000</t>
  </si>
  <si>
    <t>3SI-63504-0863</t>
  </si>
  <si>
    <t>3SI-63504-0865</t>
  </si>
  <si>
    <t>3SI-63504-7466</t>
  </si>
  <si>
    <t>3SI-63504-7780</t>
  </si>
  <si>
    <t>3SI-64501-0863</t>
  </si>
  <si>
    <t>3SI-64501-0865</t>
  </si>
  <si>
    <t>3SI-64501-7466</t>
  </si>
  <si>
    <t>3SI-64501-7780</t>
  </si>
  <si>
    <t>3SI-64502-0863</t>
  </si>
  <si>
    <t>3SI-64502-0865</t>
  </si>
  <si>
    <t>3SI-64502-7466</t>
  </si>
  <si>
    <t>3SI-64502-7780</t>
  </si>
  <si>
    <t>3SI-64503-0863</t>
  </si>
  <si>
    <t>3SI-64503-7466</t>
  </si>
  <si>
    <t>3SI-64503-7780</t>
  </si>
  <si>
    <t>3SI-65001-0865</t>
  </si>
  <si>
    <t>3SI-65001-7466</t>
  </si>
  <si>
    <t>3SI-65001-7780</t>
  </si>
  <si>
    <t>3SI-65002-0863</t>
  </si>
  <si>
    <t>3SI-65002-0865</t>
  </si>
  <si>
    <t>3SI-65002-7466</t>
  </si>
  <si>
    <t>3SI-65002-7780</t>
  </si>
  <si>
    <t>3SI-65501-0863</t>
  </si>
  <si>
    <t>3SI-65501-0865</t>
  </si>
  <si>
    <t>3SI-65501-7466</t>
  </si>
  <si>
    <t>3SI-65501-7780</t>
  </si>
  <si>
    <t>3SI-66001-0863</t>
  </si>
  <si>
    <t>3SI-66001-7466</t>
  </si>
  <si>
    <t>3SI-66001-7780</t>
  </si>
  <si>
    <t>3SI-66002-0863</t>
  </si>
  <si>
    <t>3SI-66002-0865</t>
  </si>
  <si>
    <t>3SI-66002-7466</t>
  </si>
  <si>
    <t>3SI-66002-7780</t>
  </si>
  <si>
    <t>3SI-66501-0863</t>
  </si>
  <si>
    <t>3SI-66501-7466</t>
  </si>
  <si>
    <t>3SI-66501-7780</t>
  </si>
  <si>
    <t>3SI-66701-0863</t>
  </si>
  <si>
    <t>3SI-66701-0865</t>
  </si>
  <si>
    <t>3SI-66701-7466</t>
  </si>
  <si>
    <t>3SI-66701-7780</t>
  </si>
  <si>
    <t>3SI-67001-0863</t>
  </si>
  <si>
    <t>3SI-67001-0865</t>
  </si>
  <si>
    <t>3SI-67001-7466</t>
  </si>
  <si>
    <t>3SI-67001-7780</t>
  </si>
  <si>
    <t>3SI-67501-0863</t>
  </si>
  <si>
    <t>3SI-67501-0865</t>
  </si>
  <si>
    <t>3SI-67501-7466</t>
  </si>
  <si>
    <t>3SI-67501-7780</t>
  </si>
  <si>
    <t>3SI-68000-0863</t>
  </si>
  <si>
    <t>3SI-68000-7466</t>
  </si>
  <si>
    <t>3SI-68000-7780</t>
  </si>
  <si>
    <t>3SI-68001-0863</t>
  </si>
  <si>
    <t>3SI-68001-0865</t>
  </si>
  <si>
    <t>3SI-68001-7466</t>
  </si>
  <si>
    <t>3SI-68001-7780</t>
  </si>
  <si>
    <t>3SI-70001-0863</t>
  </si>
  <si>
    <t>3SI-70001-0865</t>
  </si>
  <si>
    <t>3SI-70001-7466</t>
  </si>
  <si>
    <t>3SI-70002-7780</t>
  </si>
  <si>
    <t>3SI-71001-0863</t>
  </si>
  <si>
    <t>3SI-71001-0865</t>
  </si>
  <si>
    <t>3SI-71001-7466</t>
  </si>
  <si>
    <t>3SI-72001-0863</t>
  </si>
  <si>
    <t>3SI-72001-0865</t>
  </si>
  <si>
    <t>3SI-72001-7466</t>
  </si>
  <si>
    <t>3SI-72001-7780</t>
  </si>
  <si>
    <t>3SI-74001-0000</t>
  </si>
  <si>
    <t>3SI-74001-0863</t>
  </si>
  <si>
    <t>3SI-74001-0865</t>
  </si>
  <si>
    <t>3SI-74001-7466</t>
  </si>
  <si>
    <t>3SI-74001-7780</t>
  </si>
  <si>
    <t>3SI-75001-0863</t>
  </si>
  <si>
    <t>3SI-75001-7466</t>
  </si>
  <si>
    <t>3SI-75001-7780</t>
  </si>
  <si>
    <t>3SI-80001-0863</t>
  </si>
  <si>
    <t>3SI-80001-0865</t>
  </si>
  <si>
    <t>3SI-80001-7466</t>
  </si>
  <si>
    <t>3SI-80001-7780</t>
  </si>
  <si>
    <t>3SI-90601-0000</t>
  </si>
  <si>
    <t>3SI-91801-0863</t>
  </si>
  <si>
    <t>3SI-91801-7466</t>
  </si>
  <si>
    <t>3SI-91801-7780</t>
  </si>
  <si>
    <t>3SI-92401-0863</t>
  </si>
  <si>
    <t>3SI-92401-0865</t>
  </si>
  <si>
    <t>3SI-92401-7466</t>
  </si>
  <si>
    <t>3SI-92401-7780</t>
  </si>
  <si>
    <t>3SI-92901-0863</t>
  </si>
  <si>
    <t>3SI-92901-0865</t>
  </si>
  <si>
    <t>3SI-92901-7466</t>
  </si>
  <si>
    <t>3SI-92901-7780</t>
  </si>
  <si>
    <t>3SI-93001-0000</t>
  </si>
  <si>
    <t>3SI-93201-0000</t>
  </si>
  <si>
    <t>3SI-93601-0863</t>
  </si>
  <si>
    <t>3SI-93601-7466</t>
  </si>
  <si>
    <t>3SI-93601-7780</t>
  </si>
  <si>
    <t>3SI-94001-0000</t>
  </si>
  <si>
    <t>3SI-94201-0000</t>
  </si>
  <si>
    <t>3SI-94201-0863</t>
  </si>
  <si>
    <t>3SI-94201-0865</t>
  </si>
  <si>
    <t>3SI-94201-7466</t>
  </si>
  <si>
    <t>3SI-94201-7780</t>
  </si>
  <si>
    <t>3SI-94401-0000</t>
  </si>
  <si>
    <t>3SI-94401-0863</t>
  </si>
  <si>
    <t>3SI-94401-0865</t>
  </si>
  <si>
    <t>3SI-94401-7466</t>
  </si>
  <si>
    <t>3SI-94401-7780</t>
  </si>
  <si>
    <t>3SI-95201-0000</t>
  </si>
  <si>
    <t>3SI-99001-0000</t>
  </si>
  <si>
    <t>3SI-99001-0863</t>
  </si>
  <si>
    <t>3SI-99001-0865</t>
  </si>
  <si>
    <t>3SI-99001-7466</t>
  </si>
  <si>
    <t>3SI-99001-7780</t>
  </si>
  <si>
    <t>3SI-99901-0000</t>
  </si>
  <si>
    <t>AKA-10001-0000</t>
  </si>
  <si>
    <t>AKA-11000-0000</t>
  </si>
  <si>
    <t>AKA-11216-0000</t>
  </si>
  <si>
    <t>AKA-11329-0000</t>
  </si>
  <si>
    <t>AKA-11343-0000</t>
  </si>
  <si>
    <t>AKA-14000-0000</t>
  </si>
  <si>
    <t>AKA-15000-0000</t>
  </si>
  <si>
    <t>AKA-15501-0000</t>
  </si>
  <si>
    <t>AKA-19001-0000</t>
  </si>
  <si>
    <t>AKA-22001-0000</t>
  </si>
  <si>
    <t>AKA-23509-0000</t>
  </si>
  <si>
    <t>AKA-25100-0000</t>
  </si>
  <si>
    <t>AKA-25300-0000</t>
  </si>
  <si>
    <t>Prepaid Income</t>
  </si>
  <si>
    <t xml:space="preserve">Other Current Liabilities      </t>
  </si>
  <si>
    <t>AKA-28006-0000</t>
  </si>
  <si>
    <t>Loan - Arixa Institutional</t>
  </si>
  <si>
    <t>AKA-30700-0000</t>
  </si>
  <si>
    <t>AKA-40110-0000</t>
  </si>
  <si>
    <t>Baseline Rents</t>
  </si>
  <si>
    <t xml:space="preserve">Gross Scheduled Rent           </t>
  </si>
  <si>
    <t xml:space="preserve">Baseline Rents                                     </t>
  </si>
  <si>
    <t>AKA-40120-0000</t>
  </si>
  <si>
    <t>New Tenant Increases</t>
  </si>
  <si>
    <t xml:space="preserve">New Tenants                                        </t>
  </si>
  <si>
    <t>AKA-40130-0000</t>
  </si>
  <si>
    <t>Rent Increases</t>
  </si>
  <si>
    <t xml:space="preserve">Increases                                          </t>
  </si>
  <si>
    <t>AKA-41110-0000</t>
  </si>
  <si>
    <t>Vacancy Loss</t>
  </si>
  <si>
    <t xml:space="preserve">Net Collected Rent             </t>
  </si>
  <si>
    <t xml:space="preserve">Vacancy Loss                                       </t>
  </si>
  <si>
    <t>AKA-41121-0000</t>
  </si>
  <si>
    <t>Uncollected Current Month Rent</t>
  </si>
  <si>
    <t xml:space="preserve">Uncollected This Month                             </t>
  </si>
  <si>
    <t>AKA-41122-0000</t>
  </si>
  <si>
    <t>Past Due Collections</t>
  </si>
  <si>
    <t xml:space="preserve">Past Due Collections                               </t>
  </si>
  <si>
    <t>AKA-41130-0000</t>
  </si>
  <si>
    <t>Promotion</t>
  </si>
  <si>
    <t xml:space="preserve">Promotion                                          </t>
  </si>
  <si>
    <t>AKA-41140-0000</t>
  </si>
  <si>
    <t>Eviction</t>
  </si>
  <si>
    <t xml:space="preserve">Eviction                                           </t>
  </si>
  <si>
    <t>AKA-41150-0000</t>
  </si>
  <si>
    <t>Manager Units</t>
  </si>
  <si>
    <t xml:space="preserve">Manager/Ast Mgr Units                              </t>
  </si>
  <si>
    <t>AKA-41999-0000</t>
  </si>
  <si>
    <t>Contra-Collected Ren</t>
  </si>
  <si>
    <t xml:space="preserve">Contra                         </t>
  </si>
  <si>
    <t xml:space="preserve">Check Figure Gross Scheduled S/B zero              </t>
  </si>
  <si>
    <t>AKA-47400-0000</t>
  </si>
  <si>
    <t>Rental Income</t>
  </si>
  <si>
    <t xml:space="preserve">Total Actual Income            </t>
  </si>
  <si>
    <t xml:space="preserve">Rental Income                                      </t>
  </si>
  <si>
    <t>AKA-47440-0000</t>
  </si>
  <si>
    <t>Other Income</t>
  </si>
  <si>
    <t xml:space="preserve">Misc Income                                        </t>
  </si>
  <si>
    <t>AKA-47450-0000</t>
  </si>
  <si>
    <t>Parking</t>
  </si>
  <si>
    <t xml:space="preserve">Parking                                            </t>
  </si>
  <si>
    <t>AKA-47460-0000</t>
  </si>
  <si>
    <t>Late Fee</t>
  </si>
  <si>
    <t xml:space="preserve">Late Fee/NSF Charge                                </t>
  </si>
  <si>
    <t>AKA-47480-0000</t>
  </si>
  <si>
    <t>Application Fees</t>
  </si>
  <si>
    <t>AKA-47490-0000</t>
  </si>
  <si>
    <t>Pet Rent</t>
  </si>
  <si>
    <t>AKA-47491-0000</t>
  </si>
  <si>
    <t>RUBS</t>
  </si>
  <si>
    <t xml:space="preserve">RUBS                                               </t>
  </si>
  <si>
    <t>AKA-47492-0000</t>
  </si>
  <si>
    <t>Insurance-Tenant</t>
  </si>
  <si>
    <t xml:space="preserve">Insurance-Tenant                                   </t>
  </si>
  <si>
    <t>AKA-51006-0000</t>
  </si>
  <si>
    <t>Gen-Repair-Electric</t>
  </si>
  <si>
    <t xml:space="preserve">Total Gen Maint/Business Exp   </t>
  </si>
  <si>
    <t xml:space="preserve">Repair-Electrical                                  </t>
  </si>
  <si>
    <t>AKA-51008-0000</t>
  </si>
  <si>
    <t>Gen-Repair-General</t>
  </si>
  <si>
    <t xml:space="preserve">Repair-General                                     </t>
  </si>
  <si>
    <t>AKA-51009-0000</t>
  </si>
  <si>
    <t>Gen-Repair-Plumbing</t>
  </si>
  <si>
    <t xml:space="preserve">Repair-Plumbing                                    </t>
  </si>
  <si>
    <t>AKA-51011-0000</t>
  </si>
  <si>
    <t>Gen-Landscaping</t>
  </si>
  <si>
    <t xml:space="preserve">Landscaping                                        </t>
  </si>
  <si>
    <t>AKA-51012-0000</t>
  </si>
  <si>
    <t>Gen-Pest Control</t>
  </si>
  <si>
    <t xml:space="preserve">Pest Control                                       </t>
  </si>
  <si>
    <t>AKA-51015-0000</t>
  </si>
  <si>
    <t>Gen-Auto Expense</t>
  </si>
  <si>
    <t xml:space="preserve">Automobile Expense                                 </t>
  </si>
  <si>
    <t>AKA-51017-0000</t>
  </si>
  <si>
    <t>Gen-Comp &amp; Internet</t>
  </si>
  <si>
    <t xml:space="preserve">Computer and Internet Expenses                     </t>
  </si>
  <si>
    <t>AKA-51019-0000</t>
  </si>
  <si>
    <t>Gen-Meals&amp;Ent</t>
  </si>
  <si>
    <t>AKA-51020-0000</t>
  </si>
  <si>
    <t>Gen-Office Supplies</t>
  </si>
  <si>
    <t>AKA-51024-0000</t>
  </si>
  <si>
    <t>Gen-Travel Expense</t>
  </si>
  <si>
    <t xml:space="preserve">Travel Expense                                     </t>
  </si>
  <si>
    <t>AKA-52001-0000</t>
  </si>
  <si>
    <t>RR-Adv and Promo</t>
  </si>
  <si>
    <t xml:space="preserve">Total Rent Ready               </t>
  </si>
  <si>
    <t xml:space="preserve">Advertising and Promotion                          </t>
  </si>
  <si>
    <t>AKA-52003-0000</t>
  </si>
  <si>
    <t>RR-Cleaning</t>
  </si>
  <si>
    <t xml:space="preserve">Cleaning                                           </t>
  </si>
  <si>
    <t>AKA-52004-0000</t>
  </si>
  <si>
    <t>RR-Painting</t>
  </si>
  <si>
    <t xml:space="preserve">Painting                                           </t>
  </si>
  <si>
    <t>AKA-52006-0000</t>
  </si>
  <si>
    <t>RR-Unit Rennovations</t>
  </si>
  <si>
    <t xml:space="preserve">Unit Renovations                                   </t>
  </si>
  <si>
    <t>AKA-53001-0000</t>
  </si>
  <si>
    <t>Utils-Telephone Exp</t>
  </si>
  <si>
    <t xml:space="preserve">Telephone Expense                                  </t>
  </si>
  <si>
    <t>AKA-53002-0000</t>
  </si>
  <si>
    <t>Utils-Trash</t>
  </si>
  <si>
    <t xml:space="preserve">Trash                                              </t>
  </si>
  <si>
    <t>AKA-53003-0000</t>
  </si>
  <si>
    <t>Utils-Electric</t>
  </si>
  <si>
    <t xml:space="preserve">Utils - Electric                                   </t>
  </si>
  <si>
    <t>AKA-53004-0000</t>
  </si>
  <si>
    <t>Utils-Gas</t>
  </si>
  <si>
    <t xml:space="preserve">Utils - Gas                                        </t>
  </si>
  <si>
    <t>AKA-53005-0000</t>
  </si>
  <si>
    <t>Utils-Sewer</t>
  </si>
  <si>
    <t xml:space="preserve">Utils - Sewer                                      </t>
  </si>
  <si>
    <t>AKA-53006-0000</t>
  </si>
  <si>
    <t>Utils-Water</t>
  </si>
  <si>
    <t xml:space="preserve">Utils - Water                                      </t>
  </si>
  <si>
    <t>AKA-54002-0000</t>
  </si>
  <si>
    <t>Mgr Bonus</t>
  </si>
  <si>
    <t xml:space="preserve">Total Payroll                  </t>
  </si>
  <si>
    <t xml:space="preserve">Mgr Bonus                                          </t>
  </si>
  <si>
    <t>AKA-54003-0000</t>
  </si>
  <si>
    <t>Payroll Exp-Admin</t>
  </si>
  <si>
    <t xml:space="preserve">Payroll Exp-Admin                                  </t>
  </si>
  <si>
    <t>AKA-54004-0000</t>
  </si>
  <si>
    <t>Payroll Exp-Res Mgrs</t>
  </si>
  <si>
    <t xml:space="preserve">Payroll Exp-Res Mgrs                               </t>
  </si>
  <si>
    <t>AKA-54005-0000</t>
  </si>
  <si>
    <t>Payroll Fee</t>
  </si>
  <si>
    <t xml:space="preserve">Payroll Fee                                        </t>
  </si>
  <si>
    <t>AKA-54006-0000</t>
  </si>
  <si>
    <t>Payroll Taxes</t>
  </si>
  <si>
    <t>AKA-54007-0000</t>
  </si>
  <si>
    <t>Payroll Exp-Prop Asst</t>
  </si>
  <si>
    <t xml:space="preserve">Payroll Exp-Maint                                  </t>
  </si>
  <si>
    <t>AKA-55501-0000</t>
  </si>
  <si>
    <t>PM - Landscape</t>
  </si>
  <si>
    <t xml:space="preserve">Total Image Enh/PM Expenses    </t>
  </si>
  <si>
    <t xml:space="preserve">PM Expenses                    </t>
  </si>
  <si>
    <t xml:space="preserve">PM - Landscape                                     </t>
  </si>
  <si>
    <t>AKA-55502-0000</t>
  </si>
  <si>
    <t>PM - Electrical</t>
  </si>
  <si>
    <t xml:space="preserve">PM - Electrical                                    </t>
  </si>
  <si>
    <t>AKA-55503-0000</t>
  </si>
  <si>
    <t>PM - Plumming</t>
  </si>
  <si>
    <t xml:space="preserve">PM - Plumming                                      </t>
  </si>
  <si>
    <t>AKA-55505-0000</t>
  </si>
  <si>
    <t>PM - General</t>
  </si>
  <si>
    <t xml:space="preserve">PM - General                                       </t>
  </si>
  <si>
    <t>AKA-55506-0000</t>
  </si>
  <si>
    <t>PM - Rent Ready</t>
  </si>
  <si>
    <t xml:space="preserve">PM - Rent Ready                                    </t>
  </si>
  <si>
    <t>AKA-55507-0000</t>
  </si>
  <si>
    <t>PM - Pool</t>
  </si>
  <si>
    <t xml:space="preserve">PM - Pool                                          </t>
  </si>
  <si>
    <t>AKA-60002-0000</t>
  </si>
  <si>
    <t>Bank Service Charges</t>
  </si>
  <si>
    <t xml:space="preserve">Total Noncontrollable Expenses </t>
  </si>
  <si>
    <t xml:space="preserve">Bank Service Charges                               </t>
  </si>
  <si>
    <t>AKA-60005-0000</t>
  </si>
  <si>
    <t>Insurance</t>
  </si>
  <si>
    <t xml:space="preserve">Insurance Expense                                  </t>
  </si>
  <si>
    <t>AKA-60006-0000</t>
  </si>
  <si>
    <t xml:space="preserve">Total Int Tax DeprAmort/OffSal </t>
  </si>
  <si>
    <t>AKA-60007-0000</t>
  </si>
  <si>
    <t>Prof- Accounting</t>
  </si>
  <si>
    <t xml:space="preserve">Professional-Accounting                            </t>
  </si>
  <si>
    <t>AKA-60008-0000</t>
  </si>
  <si>
    <t>Prof-Legal</t>
  </si>
  <si>
    <t xml:space="preserve">Professional-Legal                                 </t>
  </si>
  <si>
    <t>AKA-60012-0000</t>
  </si>
  <si>
    <t>Taxes-Property</t>
  </si>
  <si>
    <t xml:space="preserve">Taxes-Property                                     </t>
  </si>
  <si>
    <t>AKA-60014-0000</t>
  </si>
  <si>
    <t>Mgt Fee-SSRE</t>
  </si>
  <si>
    <t xml:space="preserve">Mgmt Fee-SSRE                                      </t>
  </si>
  <si>
    <t>AKA-60015-0000</t>
  </si>
  <si>
    <t>License &amp; Permit</t>
  </si>
  <si>
    <t xml:space="preserve">License And Permit                                 </t>
  </si>
  <si>
    <t>AKA-61016-0000</t>
  </si>
  <si>
    <t>Referral</t>
  </si>
  <si>
    <t xml:space="preserve">Referral                                           </t>
  </si>
  <si>
    <t>AKA-61018-0000</t>
  </si>
  <si>
    <t>Other Expenses</t>
  </si>
  <si>
    <t xml:space="preserve">Other Expenses                 </t>
  </si>
  <si>
    <t xml:space="preserve">Other Expenses                                     </t>
  </si>
  <si>
    <t>AKA-61023-0000</t>
  </si>
  <si>
    <t>Outside Services-Outside Services-</t>
  </si>
  <si>
    <t>AKC-10001-0000</t>
  </si>
  <si>
    <t>AKC-11000-0000</t>
  </si>
  <si>
    <t>AKC-11216-0000</t>
  </si>
  <si>
    <t>AKC-11329-0000</t>
  </si>
  <si>
    <t>AKC-11343-0000</t>
  </si>
  <si>
    <t>AKC-14000-0000</t>
  </si>
  <si>
    <t>AKC-15000-0000</t>
  </si>
  <si>
    <t>AKC-15501-0000</t>
  </si>
  <si>
    <t>AKC-19001-0000</t>
  </si>
  <si>
    <t>AKC-22001-0000</t>
  </si>
  <si>
    <t>AKC-23509-0000</t>
  </si>
  <si>
    <t>AKC-25300-0000</t>
  </si>
  <si>
    <t xml:space="preserve">Prepaid Income                 </t>
  </si>
  <si>
    <t>AKC-28001-0000</t>
  </si>
  <si>
    <t>Loan - Fidelity Bridge Loan</t>
  </si>
  <si>
    <t>AKC-40110-0000</t>
  </si>
  <si>
    <t>AKC-40120-0000</t>
  </si>
  <si>
    <t>AKC-40130-0000</t>
  </si>
  <si>
    <t>AKC-41110-0000</t>
  </si>
  <si>
    <t>AKC-41121-0000</t>
  </si>
  <si>
    <t>AKC-41122-0000</t>
  </si>
  <si>
    <t>AKC-41130-0000</t>
  </si>
  <si>
    <t>AKC-41140-0000</t>
  </si>
  <si>
    <t>AKC-41150-0000</t>
  </si>
  <si>
    <t>AKC-41999-0000</t>
  </si>
  <si>
    <t>AKC-46000-0000</t>
  </si>
  <si>
    <t>Interest Income</t>
  </si>
  <si>
    <t>AKC-47400-0000</t>
  </si>
  <si>
    <t>AKC-47440-0000</t>
  </si>
  <si>
    <t>AKC-47450-0000</t>
  </si>
  <si>
    <t>AKC-47460-0000</t>
  </si>
  <si>
    <t>AKC-47480-0000</t>
  </si>
  <si>
    <t>AKC-47490-0000</t>
  </si>
  <si>
    <t>AKC-47491-0000</t>
  </si>
  <si>
    <t>AKC-47492-0000</t>
  </si>
  <si>
    <t>AKC-51006-0000</t>
  </si>
  <si>
    <t>AKC-51008-0000</t>
  </si>
  <si>
    <t>AKC-51009-0000</t>
  </si>
  <si>
    <t>AKC-51011-0000</t>
  </si>
  <si>
    <t>AKC-51012-0000</t>
  </si>
  <si>
    <t>AKC-51015-0000</t>
  </si>
  <si>
    <t>AKC-51019-0000</t>
  </si>
  <si>
    <t>AKC-51020-0000</t>
  </si>
  <si>
    <t>AKC-52003-0000</t>
  </si>
  <si>
    <t>AKC-52005-0000</t>
  </si>
  <si>
    <t>RR-Small Tools &amp; Eq</t>
  </si>
  <si>
    <t xml:space="preserve">Small Tools and Equipment                          </t>
  </si>
  <si>
    <t>AKC-53001-0000</t>
  </si>
  <si>
    <t>AKC-53002-0000</t>
  </si>
  <si>
    <t>AKC-53003-0000</t>
  </si>
  <si>
    <t>AKC-53005-0000</t>
  </si>
  <si>
    <t>AKC-53006-0000</t>
  </si>
  <si>
    <t>AKC-54002-0000</t>
  </si>
  <si>
    <t>AKC-54003-0000</t>
  </si>
  <si>
    <t>AKC-54004-0000</t>
  </si>
  <si>
    <t>AKC-54005-0000</t>
  </si>
  <si>
    <t>AKC-54006-0000</t>
  </si>
  <si>
    <t>AKC-54007-0000</t>
  </si>
  <si>
    <t>AKC-55502-0000</t>
  </si>
  <si>
    <t>AKC-55503-0000</t>
  </si>
  <si>
    <t>AKC-55505-0000</t>
  </si>
  <si>
    <t>AKC-55506-0000</t>
  </si>
  <si>
    <t>AKC-55507-0000</t>
  </si>
  <si>
    <t>AKC-60002-0000</t>
  </si>
  <si>
    <t>AKC-60005-0000</t>
  </si>
  <si>
    <t>AKC-60006-0000</t>
  </si>
  <si>
    <t>AKC-60012-0000</t>
  </si>
  <si>
    <t>AKC-60014-0000</t>
  </si>
  <si>
    <t>AKC-60015-0000</t>
  </si>
  <si>
    <t>AKC-61016-0000</t>
  </si>
  <si>
    <t>AKC-61018-0000</t>
  </si>
  <si>
    <t>AKC-61023-0000</t>
  </si>
  <si>
    <t>AKG-11000-0000</t>
  </si>
  <si>
    <t>AKG-15501-0000</t>
  </si>
  <si>
    <t>AKG-25300-0000</t>
  </si>
  <si>
    <t>AKG-40110-0000</t>
  </si>
  <si>
    <t>AKG-40120-0000</t>
  </si>
  <si>
    <t>AKG-40130-0000</t>
  </si>
  <si>
    <t>AKG-40140-0000</t>
  </si>
  <si>
    <t>Under Baseline Rents</t>
  </si>
  <si>
    <t xml:space="preserve">Under Baseline Rents                               </t>
  </si>
  <si>
    <t>AKG-41110-0000</t>
  </si>
  <si>
    <t>AKG-41121-0000</t>
  </si>
  <si>
    <t>AKG-41122-0000</t>
  </si>
  <si>
    <t>AKG-41130-0000</t>
  </si>
  <si>
    <t>AKG-41140-0000</t>
  </si>
  <si>
    <t>AKG-41150-0000</t>
  </si>
  <si>
    <t>AKG-41160-0000</t>
  </si>
  <si>
    <t>Rental Assistance</t>
  </si>
  <si>
    <t>AKG-41999-0000</t>
  </si>
  <si>
    <t>AKG-47400-0000</t>
  </si>
  <si>
    <t>AKG-47440-0000</t>
  </si>
  <si>
    <t>AKG-47450-0000</t>
  </si>
  <si>
    <t>AKG-47460-0000</t>
  </si>
  <si>
    <t>AKG-47480-0000</t>
  </si>
  <si>
    <t>AKG-47490-0000</t>
  </si>
  <si>
    <t>AKG-47491-0000</t>
  </si>
  <si>
    <t>AKG-47492-0000</t>
  </si>
  <si>
    <t>AKG-51005-0000</t>
  </si>
  <si>
    <t>Gen-Repair-Doors</t>
  </si>
  <si>
    <t xml:space="preserve">Repair-Doors                                       </t>
  </si>
  <si>
    <t>AKG-51006-0000</t>
  </si>
  <si>
    <t>AKG-51007-0000</t>
  </si>
  <si>
    <t>Gen-Repair-Gate</t>
  </si>
  <si>
    <t xml:space="preserve">Repair-Gate                                        </t>
  </si>
  <si>
    <t>AKG-51008-0000</t>
  </si>
  <si>
    <t>AKG-51009-0000</t>
  </si>
  <si>
    <t>AKG-51011-0000</t>
  </si>
  <si>
    <t>AKG-51012-0000</t>
  </si>
  <si>
    <t>AKG-51013-0000</t>
  </si>
  <si>
    <t>Gen-Pool</t>
  </si>
  <si>
    <t xml:space="preserve">Pool                                               </t>
  </si>
  <si>
    <t>AKG-51015-0000</t>
  </si>
  <si>
    <t>AKG-51017-0000</t>
  </si>
  <si>
    <t>AKG-51018-0000</t>
  </si>
  <si>
    <t>Gen-Dues &amp; Subscr</t>
  </si>
  <si>
    <t>AKG-51019-0000</t>
  </si>
  <si>
    <t>AKG-51020-0000</t>
  </si>
  <si>
    <t>AKG-51025-0000</t>
  </si>
  <si>
    <t>Gen-W/C Ins Expense</t>
  </si>
  <si>
    <t xml:space="preserve">W/C Insurance Expense                              </t>
  </si>
  <si>
    <t>AKG-51028-0000</t>
  </si>
  <si>
    <t xml:space="preserve">Tenant Insurance Payments                          </t>
  </si>
  <si>
    <t>AKG-51029-0000</t>
  </si>
  <si>
    <t>Gen-Security/Patrol</t>
  </si>
  <si>
    <t xml:space="preserve">Security/Patrol Services                           </t>
  </si>
  <si>
    <t>AKG-52001-0000</t>
  </si>
  <si>
    <t>AKG-52002-0000</t>
  </si>
  <si>
    <t>RR-Carpet</t>
  </si>
  <si>
    <t xml:space="preserve">Carpet                                             </t>
  </si>
  <si>
    <t>AKG-52003-0000</t>
  </si>
  <si>
    <t>AKG-52004-0000</t>
  </si>
  <si>
    <t>AKG-52006-0000</t>
  </si>
  <si>
    <t>AKG-53001-0000</t>
  </si>
  <si>
    <t>AKG-53002-0000</t>
  </si>
  <si>
    <t>AKG-53003-0000</t>
  </si>
  <si>
    <t>AKG-53004-0000</t>
  </si>
  <si>
    <t>AKG-53006-0000</t>
  </si>
  <si>
    <t>AKG-54001-0000</t>
  </si>
  <si>
    <t>Health Insurance</t>
  </si>
  <si>
    <t xml:space="preserve">Health Insurance                                   </t>
  </si>
  <si>
    <t>AKG-54002-0000</t>
  </si>
  <si>
    <t>AKG-54003-0000</t>
  </si>
  <si>
    <t>AKG-54004-0000</t>
  </si>
  <si>
    <t>AKG-54005-0000</t>
  </si>
  <si>
    <t>AKG-54006-0000</t>
  </si>
  <si>
    <t>AKG-54007-0000</t>
  </si>
  <si>
    <t>AKG-54008-0000</t>
  </si>
  <si>
    <t>Emp Benefits</t>
  </si>
  <si>
    <t xml:space="preserve">Emp Benefits                                       </t>
  </si>
  <si>
    <t>AKG-55000-0000</t>
  </si>
  <si>
    <t>Build Image Enhance</t>
  </si>
  <si>
    <t xml:space="preserve">Capital-Remodel                </t>
  </si>
  <si>
    <t xml:space="preserve">Bldg Image Enhancement                             </t>
  </si>
  <si>
    <t>AKG-55501-0000</t>
  </si>
  <si>
    <t>AKG-55502-0000</t>
  </si>
  <si>
    <t>AKG-55503-0000</t>
  </si>
  <si>
    <t>AKG-55504-0000</t>
  </si>
  <si>
    <t>PM - Gate</t>
  </si>
  <si>
    <t xml:space="preserve">PM - Gate                                          </t>
  </si>
  <si>
    <t>AKG-55505-0000</t>
  </si>
  <si>
    <t>AKG-55506-0000</t>
  </si>
  <si>
    <t>AKG-55507-0000</t>
  </si>
  <si>
    <t>AKG-60002-0000</t>
  </si>
  <si>
    <t>AKG-60005-0000</t>
  </si>
  <si>
    <t>AKG-60006-0000</t>
  </si>
  <si>
    <t>AKG-60007-0000</t>
  </si>
  <si>
    <t>AKG-60012-0000</t>
  </si>
  <si>
    <t>AKG-60014-0000</t>
  </si>
  <si>
    <t>AKG-60015-0000</t>
  </si>
  <si>
    <t>AKG-61018-0000</t>
  </si>
  <si>
    <t>AKG-61019-0000</t>
  </si>
  <si>
    <t>Taxes-CA FTB</t>
  </si>
  <si>
    <t xml:space="preserve">Taxes-CA FTB                                       </t>
  </si>
  <si>
    <t>AKG-61023-0000</t>
  </si>
  <si>
    <t xml:space="preserve">Total NonControllable Expenses </t>
  </si>
  <si>
    <t>AKS-11353-0000</t>
  </si>
  <si>
    <t>Interco-AKC</t>
  </si>
  <si>
    <t>AKS-11354-0000</t>
  </si>
  <si>
    <t>Interco-AKA</t>
  </si>
  <si>
    <t>AKS-41122-0000</t>
  </si>
  <si>
    <t>AKS-41999-0000</t>
  </si>
  <si>
    <t>AKS-47400-0000</t>
  </si>
  <si>
    <t>AKS-47430-0000</t>
  </si>
  <si>
    <t>Laundry Income</t>
  </si>
  <si>
    <t xml:space="preserve">Laundry Income                                     </t>
  </si>
  <si>
    <t>AKS-51011-0000</t>
  </si>
  <si>
    <t>AKS-51012-0000</t>
  </si>
  <si>
    <t>AKS-51020-0000</t>
  </si>
  <si>
    <t>AKS-53003-0000</t>
  </si>
  <si>
    <t>AKS-53006-0000</t>
  </si>
  <si>
    <t>AKS-60002-0000</t>
  </si>
  <si>
    <t>AKS-60005-0000</t>
  </si>
  <si>
    <t>AKS-60007-0000</t>
  </si>
  <si>
    <t>AKS-61018-0000</t>
  </si>
  <si>
    <t>AKS-61019-0000</t>
  </si>
  <si>
    <t>ALP-15501-0000</t>
  </si>
  <si>
    <t>ALP-25300-0000</t>
  </si>
  <si>
    <t>ALP-40110-0000</t>
  </si>
  <si>
    <t>ALP-40120-0000</t>
  </si>
  <si>
    <t>ALP-40130-0000</t>
  </si>
  <si>
    <t>ALP-40140-0000</t>
  </si>
  <si>
    <t>ALP-41110-0000</t>
  </si>
  <si>
    <t>ALP-41121-0000</t>
  </si>
  <si>
    <t>ALP-41122-0000</t>
  </si>
  <si>
    <t>ALP-41130-0000</t>
  </si>
  <si>
    <t>ALP-41150-0000</t>
  </si>
  <si>
    <t>ALP-41999-0000</t>
  </si>
  <si>
    <t>ALP-47400-0000</t>
  </si>
  <si>
    <t>ALP-47430-0000</t>
  </si>
  <si>
    <t>ALP-47440-0000</t>
  </si>
  <si>
    <t>ALP-47450-0000</t>
  </si>
  <si>
    <t>ALP-47460-0000</t>
  </si>
  <si>
    <t>ALP-47480-0000</t>
  </si>
  <si>
    <t>ALP-47491-0000</t>
  </si>
  <si>
    <t>ALP-47492-0000</t>
  </si>
  <si>
    <t>ALP-51002-0000</t>
  </si>
  <si>
    <t>Gen-Maint Labor</t>
  </si>
  <si>
    <t xml:space="preserve">Maintenance Labor                                  </t>
  </si>
  <si>
    <t>ALP-51005-0000</t>
  </si>
  <si>
    <t>ALP-51006-0000</t>
  </si>
  <si>
    <t>ALP-51007-0000</t>
  </si>
  <si>
    <t>ALP-51008-0000</t>
  </si>
  <si>
    <t>ALP-51009-0000</t>
  </si>
  <si>
    <t>ALP-51011-0000</t>
  </si>
  <si>
    <t>ALP-51012-0000</t>
  </si>
  <si>
    <t>ALP-51013-0000</t>
  </si>
  <si>
    <t>ALP-51015-0000</t>
  </si>
  <si>
    <t>ALP-51017-0000</t>
  </si>
  <si>
    <t>ALP-51020-0000</t>
  </si>
  <si>
    <t>ALP-51025-0000</t>
  </si>
  <si>
    <t>ALP-51029-0000</t>
  </si>
  <si>
    <t>ALP-52001-0000</t>
  </si>
  <si>
    <t>ALP-52002-0000</t>
  </si>
  <si>
    <t>ALP-52003-0000</t>
  </si>
  <si>
    <t>ALP-52004-0000</t>
  </si>
  <si>
    <t>ALP-52006-0000</t>
  </si>
  <si>
    <t>ALP-53001-0000</t>
  </si>
  <si>
    <t>ALP-53002-0000</t>
  </si>
  <si>
    <t>ALP-53003-0000</t>
  </si>
  <si>
    <t>ALP-53004-0000</t>
  </si>
  <si>
    <t>ALP-53005-0000</t>
  </si>
  <si>
    <t>ALP-53006-0000</t>
  </si>
  <si>
    <t>ALP-54001-0000</t>
  </si>
  <si>
    <t>ALP-54002-0000</t>
  </si>
  <si>
    <t>ALP-54003-0000</t>
  </si>
  <si>
    <t>ALP-54004-0000</t>
  </si>
  <si>
    <t>ALP-54005-0000</t>
  </si>
  <si>
    <t>ALP-54006-0000</t>
  </si>
  <si>
    <t>ALP-54007-0000</t>
  </si>
  <si>
    <t>ALP-55501-0000</t>
  </si>
  <si>
    <t>PM-Landscape</t>
  </si>
  <si>
    <t>ALP-55502-0000</t>
  </si>
  <si>
    <t>ALP-55503-0000</t>
  </si>
  <si>
    <t>ALP-55504-0000</t>
  </si>
  <si>
    <t>ALP-55505-0000</t>
  </si>
  <si>
    <t>ALP-55506-0000</t>
  </si>
  <si>
    <t>ALP-55507-0000</t>
  </si>
  <si>
    <t>ALP-60002-0000</t>
  </si>
  <si>
    <t>ALP-60005-0000</t>
  </si>
  <si>
    <t>ALP-60006-0000</t>
  </si>
  <si>
    <t>ALP-60007-0000</t>
  </si>
  <si>
    <t>ALP-60008-0000</t>
  </si>
  <si>
    <t>ALP-60012-0000</t>
  </si>
  <si>
    <t>ALP-60014-0000</t>
  </si>
  <si>
    <t>ALP-60015-0000</t>
  </si>
  <si>
    <t>ALP-61016-0000</t>
  </si>
  <si>
    <t>ALP-61018-0000</t>
  </si>
  <si>
    <t>ALP-61019-0000</t>
  </si>
  <si>
    <t>ALP-61023-0000</t>
  </si>
  <si>
    <t>ANG-15501-0000</t>
  </si>
  <si>
    <t>ANG-25300-0000</t>
  </si>
  <si>
    <t>ANG-40110-0000</t>
  </si>
  <si>
    <t>ANG-40120-0000</t>
  </si>
  <si>
    <t>ANG-40130-0000</t>
  </si>
  <si>
    <t>ANG-41110-0000</t>
  </si>
  <si>
    <t>ANG-41121-0000</t>
  </si>
  <si>
    <t>Uncollected Curr Mo</t>
  </si>
  <si>
    <t>ANG-41122-0000</t>
  </si>
  <si>
    <t>ANG-41130-0000</t>
  </si>
  <si>
    <t>ANG-41140-0000</t>
  </si>
  <si>
    <t>ANG-41150-0000</t>
  </si>
  <si>
    <t>ANG-41999-0000</t>
  </si>
  <si>
    <t>ANG-47400-0000</t>
  </si>
  <si>
    <t>ANG-47420-0000</t>
  </si>
  <si>
    <t>Systematic Code Enf</t>
  </si>
  <si>
    <t xml:space="preserve">Systematic Code Enforcement                        </t>
  </si>
  <si>
    <t>ANG-47430-0000</t>
  </si>
  <si>
    <t>ANG-47440-0000</t>
  </si>
  <si>
    <t>ANG-47450-0000</t>
  </si>
  <si>
    <t>ANG-47460-0000</t>
  </si>
  <si>
    <t>ANG-47480-0000</t>
  </si>
  <si>
    <t>ANG-47490-0000</t>
  </si>
  <si>
    <t>ANG-47491-0000</t>
  </si>
  <si>
    <t>ANG-47492-0000</t>
  </si>
  <si>
    <t>ANG-51005-0000</t>
  </si>
  <si>
    <t>ANG-51006-0000</t>
  </si>
  <si>
    <t>ANG-51008-0000</t>
  </si>
  <si>
    <t>ANG-51009-0000</t>
  </si>
  <si>
    <t>ANG-51011-0000</t>
  </si>
  <si>
    <t>ANG-51012-0000</t>
  </si>
  <si>
    <t>ANG-51013-0000</t>
  </si>
  <si>
    <t>ANG-51020-0000</t>
  </si>
  <si>
    <t>ANG-53001-0000</t>
  </si>
  <si>
    <t>ANG-53002-0000</t>
  </si>
  <si>
    <t>ANG-53003-0000</t>
  </si>
  <si>
    <t>ANG-53004-0000</t>
  </si>
  <si>
    <t>ANG-53005-0000</t>
  </si>
  <si>
    <t>ANG-53006-0000</t>
  </si>
  <si>
    <t>ANG-54003-0000</t>
  </si>
  <si>
    <t>ANG-54004-0000</t>
  </si>
  <si>
    <t>ANG-54006-0000</t>
  </si>
  <si>
    <t>ANG-54007-0000</t>
  </si>
  <si>
    <t>Payroll Exp-Prop Ass</t>
  </si>
  <si>
    <t>ANG-55000-0000</t>
  </si>
  <si>
    <t>ANG-55501-0000</t>
  </si>
  <si>
    <t>ANG-55502-0000</t>
  </si>
  <si>
    <t>ANG-55503-0000</t>
  </si>
  <si>
    <t>ANG-55504-0000</t>
  </si>
  <si>
    <t>ANG-55505-0000</t>
  </si>
  <si>
    <t>ANG-55506-0000</t>
  </si>
  <si>
    <t>ANG-55507-0000</t>
  </si>
  <si>
    <t>ANG-60001-0000</t>
  </si>
  <si>
    <t>Annual Systematic Fe</t>
  </si>
  <si>
    <t xml:space="preserve">Annual Systematic Fee                              </t>
  </si>
  <si>
    <t>ANG-60002-0000</t>
  </si>
  <si>
    <t>ANG-60005-0000</t>
  </si>
  <si>
    <t>ANG-60006-0000</t>
  </si>
  <si>
    <t>ANG-60007-0000</t>
  </si>
  <si>
    <t>ANG-60011-0000</t>
  </si>
  <si>
    <t>Taxes-Business</t>
  </si>
  <si>
    <t xml:space="preserve">Taxes-Business                                     </t>
  </si>
  <si>
    <t>ANG-60012-0000</t>
  </si>
  <si>
    <t>ANG-60014-0000</t>
  </si>
  <si>
    <t>ANG-60015-0000</t>
  </si>
  <si>
    <t>ANG-61019-0000</t>
  </si>
  <si>
    <t>API-15501-0000</t>
  </si>
  <si>
    <t>API-25300-0000</t>
  </si>
  <si>
    <t>API-40110-0000</t>
  </si>
  <si>
    <t>API-40120-0000</t>
  </si>
  <si>
    <t>API-40130-0000</t>
  </si>
  <si>
    <t>API-40140-0000</t>
  </si>
  <si>
    <t>API-41110-0000</t>
  </si>
  <si>
    <t>API-41121-0000</t>
  </si>
  <si>
    <t>API-41122-0000</t>
  </si>
  <si>
    <t>API-41130-0000</t>
  </si>
  <si>
    <t>API-41140-0000</t>
  </si>
  <si>
    <t>API-41150-0000</t>
  </si>
  <si>
    <t>API-41160-0000</t>
  </si>
  <si>
    <t>API-41999-0000</t>
  </si>
  <si>
    <t>API-47400-0000</t>
  </si>
  <si>
    <t>API-47430-0000</t>
  </si>
  <si>
    <t>API-47440-0000</t>
  </si>
  <si>
    <t>API-47450-0000</t>
  </si>
  <si>
    <t>API-47460-0000</t>
  </si>
  <si>
    <t>API-47480-0000</t>
  </si>
  <si>
    <t>API-47490-0000</t>
  </si>
  <si>
    <t>API-47491-0000</t>
  </si>
  <si>
    <t>API-47492-0000</t>
  </si>
  <si>
    <t>API-47493-0000</t>
  </si>
  <si>
    <t>Cable Income</t>
  </si>
  <si>
    <t xml:space="preserve">Cable Income                                       </t>
  </si>
  <si>
    <t>API-51003-0000</t>
  </si>
  <si>
    <t>Gen Rep-Common Area</t>
  </si>
  <si>
    <t xml:space="preserve">Common Area Repl/Rep                               </t>
  </si>
  <si>
    <t>API-51005-0000</t>
  </si>
  <si>
    <t>API-51006-0000</t>
  </si>
  <si>
    <t>API-51007-0000</t>
  </si>
  <si>
    <t>API-51008-0000</t>
  </si>
  <si>
    <t>API-51009-0000</t>
  </si>
  <si>
    <t>API-51011-0000</t>
  </si>
  <si>
    <t>API-51012-0000</t>
  </si>
  <si>
    <t>API-51013-0000</t>
  </si>
  <si>
    <t>API-51015-0000</t>
  </si>
  <si>
    <t>API-51017-0000</t>
  </si>
  <si>
    <t>API-51019-0000</t>
  </si>
  <si>
    <t>API-51020-0000</t>
  </si>
  <si>
    <t>API-51024-0000</t>
  </si>
  <si>
    <t>API-51025-0000</t>
  </si>
  <si>
    <t>API-51029-0000</t>
  </si>
  <si>
    <t>API-52001-0000</t>
  </si>
  <si>
    <t>API-52002-0000</t>
  </si>
  <si>
    <t>API-52003-0000</t>
  </si>
  <si>
    <t>API-52004-0000</t>
  </si>
  <si>
    <t>API-52006-0000</t>
  </si>
  <si>
    <t>API-53001-0000</t>
  </si>
  <si>
    <t>API-53002-0000</t>
  </si>
  <si>
    <t>API-53003-0000</t>
  </si>
  <si>
    <t>API-53004-0000</t>
  </si>
  <si>
    <t>API-53005-0000</t>
  </si>
  <si>
    <t>API-53006-0000</t>
  </si>
  <si>
    <t>API-54001-0000</t>
  </si>
  <si>
    <t>API-54002-0000</t>
  </si>
  <si>
    <t>API-54003-0000</t>
  </si>
  <si>
    <t>API-54004-0000</t>
  </si>
  <si>
    <t>API-54005-0000</t>
  </si>
  <si>
    <t>API-54006-0000</t>
  </si>
  <si>
    <t>API-54007-0000</t>
  </si>
  <si>
    <t>API-54008-0000</t>
  </si>
  <si>
    <t>API-55501-0000</t>
  </si>
  <si>
    <t>API-55502-0000</t>
  </si>
  <si>
    <t>API-55503-0000</t>
  </si>
  <si>
    <t>API-55504-0000</t>
  </si>
  <si>
    <t>API-55505-0000</t>
  </si>
  <si>
    <t>API-55506-0000</t>
  </si>
  <si>
    <t>API-55507-0000</t>
  </si>
  <si>
    <t>API-60002-0000</t>
  </si>
  <si>
    <t>API-60005-0000</t>
  </si>
  <si>
    <t>API-60006-0000</t>
  </si>
  <si>
    <t>API-60007-0000</t>
  </si>
  <si>
    <t>API-60008-0000</t>
  </si>
  <si>
    <t>API-60012-0000</t>
  </si>
  <si>
    <t>API-60014-0000</t>
  </si>
  <si>
    <t>API-60015-0000</t>
  </si>
  <si>
    <t>API-61018-0000</t>
  </si>
  <si>
    <t>API-61019-0000</t>
  </si>
  <si>
    <t>API-61022-0000</t>
  </si>
  <si>
    <t>Software Expenses</t>
  </si>
  <si>
    <t xml:space="preserve">Software Expenses                                  </t>
  </si>
  <si>
    <t>API-61023-0000</t>
  </si>
  <si>
    <t>BET-15501-0000</t>
  </si>
  <si>
    <t>BET-25300-0000</t>
  </si>
  <si>
    <t>BET-40110-0000</t>
  </si>
  <si>
    <t>BET-40120-0000</t>
  </si>
  <si>
    <t>BET-40130-0000</t>
  </si>
  <si>
    <t>BET-40140-0000</t>
  </si>
  <si>
    <t>BET-41110-0000</t>
  </si>
  <si>
    <t>BET-41121-0000</t>
  </si>
  <si>
    <t>BET-41122-0000</t>
  </si>
  <si>
    <t>BET-41130-0000</t>
  </si>
  <si>
    <t>BET-41150-0000</t>
  </si>
  <si>
    <t>BET-41160-0000</t>
  </si>
  <si>
    <t>BET-41999-0000</t>
  </si>
  <si>
    <t>BET-47400-0000</t>
  </si>
  <si>
    <t>BET-47430-0000</t>
  </si>
  <si>
    <t>BET-47440-0000</t>
  </si>
  <si>
    <t>BET-47450-0000</t>
  </si>
  <si>
    <t>BET-47460-0000</t>
  </si>
  <si>
    <t>BET-47480-0000</t>
  </si>
  <si>
    <t>BET-47491-0000</t>
  </si>
  <si>
    <t>BET-47492-0000</t>
  </si>
  <si>
    <t>BET-51005-0000</t>
  </si>
  <si>
    <t>BET-51006-0000</t>
  </si>
  <si>
    <t>BET-51007-0000</t>
  </si>
  <si>
    <t>BET-51008-0000</t>
  </si>
  <si>
    <t>BET-51009-0000</t>
  </si>
  <si>
    <t>BET-51011-0000</t>
  </si>
  <si>
    <t>BET-51012-0000</t>
  </si>
  <si>
    <t>BET-51013-0000</t>
  </si>
  <si>
    <t>BET-51015-0000</t>
  </si>
  <si>
    <t>BET-51017-0000</t>
  </si>
  <si>
    <t>BET-51018-0000</t>
  </si>
  <si>
    <t>BET-51019-0000</t>
  </si>
  <si>
    <t>BET-51020-0000</t>
  </si>
  <si>
    <t>BET-51025-0000</t>
  </si>
  <si>
    <t>BET-51029-0000</t>
  </si>
  <si>
    <t>BET-52001-0000</t>
  </si>
  <si>
    <t>BET-52002-0000</t>
  </si>
  <si>
    <t>BET-52003-0000</t>
  </si>
  <si>
    <t>BET-52004-0000</t>
  </si>
  <si>
    <t>BET-52006-0000</t>
  </si>
  <si>
    <t>BET-53001-0000</t>
  </si>
  <si>
    <t>BET-53002-0000</t>
  </si>
  <si>
    <t>BET-53003-0000</t>
  </si>
  <si>
    <t>BET-53004-0000</t>
  </si>
  <si>
    <t>BET-53006-0000</t>
  </si>
  <si>
    <t>BET-54001-0000</t>
  </si>
  <si>
    <t>BET-54002-0000</t>
  </si>
  <si>
    <t>BET-54003-0000</t>
  </si>
  <si>
    <t>BET-54004-0000</t>
  </si>
  <si>
    <t>BET-54005-0000</t>
  </si>
  <si>
    <t>BET-54006-0000</t>
  </si>
  <si>
    <t>BET-54007-0000</t>
  </si>
  <si>
    <t>BET-55000-0000</t>
  </si>
  <si>
    <t>BET-55501-0000</t>
  </si>
  <si>
    <t>BET-55502-0000</t>
  </si>
  <si>
    <t>BET-55503-0000</t>
  </si>
  <si>
    <t>BET-55504-0000</t>
  </si>
  <si>
    <t>BET-55505-0000</t>
  </si>
  <si>
    <t>BET-55506-0000</t>
  </si>
  <si>
    <t>BET-55507-0000</t>
  </si>
  <si>
    <t>BET-55508-0000</t>
  </si>
  <si>
    <t>PM - Roof</t>
  </si>
  <si>
    <t xml:space="preserve">PM - Roof                                          </t>
  </si>
  <si>
    <t>BET-57700-0000</t>
  </si>
  <si>
    <t>Professional Fees</t>
  </si>
  <si>
    <t xml:space="preserve">Total In Tax DeprAmort/OffSal  </t>
  </si>
  <si>
    <t>BET-60002-0000</t>
  </si>
  <si>
    <t>BET-60005-0000</t>
  </si>
  <si>
    <t>BET-60006-0000</t>
  </si>
  <si>
    <t>BET-60007-0000</t>
  </si>
  <si>
    <t>BET-60008-0000</t>
  </si>
  <si>
    <t>BET-60012-0000</t>
  </si>
  <si>
    <t>BET-60014-0000</t>
  </si>
  <si>
    <t>BET-60015-0000</t>
  </si>
  <si>
    <t>BET-61018-0000</t>
  </si>
  <si>
    <t>BET-61019-0000</t>
  </si>
  <si>
    <t>BET-61023-0000</t>
  </si>
  <si>
    <t>Outside Services-</t>
  </si>
  <si>
    <t>BRU-15501-0000</t>
  </si>
  <si>
    <t>BRU-25300-0000</t>
  </si>
  <si>
    <t>BRU-40110-0000</t>
  </si>
  <si>
    <t>BRU-40120-0000</t>
  </si>
  <si>
    <t>BRU-40130-0000</t>
  </si>
  <si>
    <t>BRU-41110-0000</t>
  </si>
  <si>
    <t>BRU-41121-0000</t>
  </si>
  <si>
    <t>BRU-41122-0000</t>
  </si>
  <si>
    <t>BRU-41130-0000</t>
  </si>
  <si>
    <t>BRU-41140-0000</t>
  </si>
  <si>
    <t>BRU-41150-0000</t>
  </si>
  <si>
    <t>BRU-41160-0000</t>
  </si>
  <si>
    <t>BRU-41999-0000</t>
  </si>
  <si>
    <t>BRU-47400-0000</t>
  </si>
  <si>
    <t>BRU-47420-0000</t>
  </si>
  <si>
    <t>BRU-47460-0000</t>
  </si>
  <si>
    <t>BRU-47480-0000</t>
  </si>
  <si>
    <t>BRU-47492-0000</t>
  </si>
  <si>
    <t>BRU-51006-0000</t>
  </si>
  <si>
    <t>BRU-51008-0000</t>
  </si>
  <si>
    <t>BRU-51009-0000</t>
  </si>
  <si>
    <t>BRU-51011-0000</t>
  </si>
  <si>
    <t>BRU-51012-0000</t>
  </si>
  <si>
    <t>BRU-51013-0000</t>
  </si>
  <si>
    <t>BRU-51020-0000</t>
  </si>
  <si>
    <t>BRU-52001-0000</t>
  </si>
  <si>
    <t>BRU-52003-0000</t>
  </si>
  <si>
    <t>BRU-52006-0000</t>
  </si>
  <si>
    <t>BRU-53001-0000</t>
  </si>
  <si>
    <t>BRU-53002-0000</t>
  </si>
  <si>
    <t>BRU-53003-0000</t>
  </si>
  <si>
    <t>BRU-53005-0000</t>
  </si>
  <si>
    <t>BRU-53006-0000</t>
  </si>
  <si>
    <t>BRU-54003-0000</t>
  </si>
  <si>
    <t>BRU-54004-0000</t>
  </si>
  <si>
    <t>BRU-54006-0000</t>
  </si>
  <si>
    <t>BRU-54007-0000</t>
  </si>
  <si>
    <t>BRU-55502-0000</t>
  </si>
  <si>
    <t>BRU-55503-0000</t>
  </si>
  <si>
    <t>BRU-55505-0000</t>
  </si>
  <si>
    <t>BRU-55506-0000</t>
  </si>
  <si>
    <t>BRU-55507-0000</t>
  </si>
  <si>
    <t>BRU-60001-0000</t>
  </si>
  <si>
    <t>BRU-60002-0000</t>
  </si>
  <si>
    <t>BRU-60005-0000</t>
  </si>
  <si>
    <t>BRU-60006-0000</t>
  </si>
  <si>
    <t>BRU-60007-0000</t>
  </si>
  <si>
    <t>BRU-60011-0000</t>
  </si>
  <si>
    <t>BRU-60012-0000</t>
  </si>
  <si>
    <t>BRU-60014-0000</t>
  </si>
  <si>
    <t>BRU-60015-0000</t>
  </si>
  <si>
    <t>BRU-61019-0000</t>
  </si>
  <si>
    <t>BVI-20001-0000</t>
  </si>
  <si>
    <t>BVI-40700-0862</t>
  </si>
  <si>
    <t xml:space="preserve">Rental Revenue                                     </t>
  </si>
  <si>
    <t>BVI-40700-7780</t>
  </si>
  <si>
    <t>BVI-57900-0000</t>
  </si>
  <si>
    <t>Professional Fees: Accounting</t>
  </si>
  <si>
    <t xml:space="preserve">Total Operating Expenses       </t>
  </si>
  <si>
    <t xml:space="preserve">Professional Fees - Accounting                     </t>
  </si>
  <si>
    <t>BVI-75001-0000</t>
  </si>
  <si>
    <t>Licenses and Permits</t>
  </si>
  <si>
    <t xml:space="preserve">Total Operating Costs          </t>
  </si>
  <si>
    <t>BVI-91001-0000</t>
  </si>
  <si>
    <t>Misc Bank Charges</t>
  </si>
  <si>
    <t xml:space="preserve">Miscellaneous Bank Charges                         </t>
  </si>
  <si>
    <t>BVI-92401-0862</t>
  </si>
  <si>
    <t>BVI-92401-7780</t>
  </si>
  <si>
    <t>BVI-99001-0000</t>
  </si>
  <si>
    <t>Other Inc/Exp</t>
  </si>
  <si>
    <t xml:space="preserve">Other Income/Expense                               </t>
  </si>
  <si>
    <t>BVI-99901-0000</t>
  </si>
  <si>
    <t>Prov for Income Tax</t>
  </si>
  <si>
    <t>CDP-12000-0000</t>
  </si>
  <si>
    <t>CDP-20100-0000</t>
  </si>
  <si>
    <t>CDP-23509-0000</t>
  </si>
  <si>
    <t xml:space="preserve">Total Curent Liabilities       </t>
  </si>
  <si>
    <t>CDP-40300-0000</t>
  </si>
  <si>
    <t>Fees Revenue</t>
  </si>
  <si>
    <t xml:space="preserve">Total Revenue                  </t>
  </si>
  <si>
    <t xml:space="preserve">Insurance Fees                                     </t>
  </si>
  <si>
    <t>CDP-50100-0000</t>
  </si>
  <si>
    <t>Insurance Premiums</t>
  </si>
  <si>
    <t xml:space="preserve">Insurance Premiums                                 </t>
  </si>
  <si>
    <t>CDP-51010-0000</t>
  </si>
  <si>
    <t>Medical Cost Paid</t>
  </si>
  <si>
    <t xml:space="preserve">Medical Claims Paid                                </t>
  </si>
  <si>
    <t>CDP-51010-0001</t>
  </si>
  <si>
    <t>Medical Cost Paid:Medical</t>
  </si>
  <si>
    <t>CDP-51020-0000</t>
  </si>
  <si>
    <t>Litigation Cost</t>
  </si>
  <si>
    <t xml:space="preserve">Litigated Claims Paid                              </t>
  </si>
  <si>
    <t>CDP-51020-0001</t>
  </si>
  <si>
    <t>Litigation Cost:Medical</t>
  </si>
  <si>
    <t>CDP-51020-0003</t>
  </si>
  <si>
    <t>Litigation Cost:Legal Cost</t>
  </si>
  <si>
    <t>CDP-51030-0000</t>
  </si>
  <si>
    <t>Claims Admin Fee/LCF</t>
  </si>
  <si>
    <t xml:space="preserve">Claims Admin Fees (LCF)                            </t>
  </si>
  <si>
    <t>CDP-51040-0000</t>
  </si>
  <si>
    <t>Indemnity-lost wages</t>
  </si>
  <si>
    <t xml:space="preserve">Indemnity (lost wages)                             </t>
  </si>
  <si>
    <t>CDP-51050-0000</t>
  </si>
  <si>
    <t>Bill Review</t>
  </si>
  <si>
    <t xml:space="preserve">Bill Review                                        </t>
  </si>
  <si>
    <t>CDP-52010-0000</t>
  </si>
  <si>
    <t>First Aid Cost</t>
  </si>
  <si>
    <t xml:space="preserve">First Aid Costs                                    </t>
  </si>
  <si>
    <t>CDP-57900-0000</t>
  </si>
  <si>
    <t>CDP-64510-0000</t>
  </si>
  <si>
    <t>Bank Fees - Accts</t>
  </si>
  <si>
    <t xml:space="preserve">Bank Fees (Other)                                  </t>
  </si>
  <si>
    <t>CDP-64520-0000</t>
  </si>
  <si>
    <t>Bank Fees - L/C</t>
  </si>
  <si>
    <t xml:space="preserve">Bank Fees (L/C)                                    </t>
  </si>
  <si>
    <t>CDP-64530-0000</t>
  </si>
  <si>
    <t>Bank Fees - PR Fees</t>
  </si>
  <si>
    <t>CDP-66010-0000</t>
  </si>
  <si>
    <t>Misc Expense</t>
  </si>
  <si>
    <t xml:space="preserve">Miscellaneous Expense                              </t>
  </si>
  <si>
    <t>CDP-90010-0000</t>
  </si>
  <si>
    <t>Salaries &amp; Wages</t>
  </si>
  <si>
    <t xml:space="preserve">Total Gen and Admin Expenses   </t>
  </si>
  <si>
    <t xml:space="preserve">Salaries                                           </t>
  </si>
  <si>
    <t>CDP-90110-0000</t>
  </si>
  <si>
    <t>Payroll Tax Expense</t>
  </si>
  <si>
    <t xml:space="preserve">Payroll Tax                                        </t>
  </si>
  <si>
    <t>CDP-90120-0000</t>
  </si>
  <si>
    <t>Employee Benefits</t>
  </si>
  <si>
    <t xml:space="preserve">Employee Benefits                                  </t>
  </si>
  <si>
    <t>CDP-90200-0000</t>
  </si>
  <si>
    <t>CDP-91010-0000</t>
  </si>
  <si>
    <t>Auto Expense</t>
  </si>
  <si>
    <t xml:space="preserve">Auto Expense                                       </t>
  </si>
  <si>
    <t>CDP-91020-0000</t>
  </si>
  <si>
    <t>Meals &amp; Entertain</t>
  </si>
  <si>
    <t>CDP-91040-0000</t>
  </si>
  <si>
    <t>CDP-91050-0000</t>
  </si>
  <si>
    <t>Travel Expense</t>
  </si>
  <si>
    <t xml:space="preserve">Travel                                             </t>
  </si>
  <si>
    <t>CDP-94601-0000</t>
  </si>
  <si>
    <t>Tax &amp; License</t>
  </si>
  <si>
    <t xml:space="preserve">Tax and License Expense                            </t>
  </si>
  <si>
    <t>CHA-15501-0000</t>
  </si>
  <si>
    <t>CHA-25300-0000</t>
  </si>
  <si>
    <t>CHA-40110-0000</t>
  </si>
  <si>
    <t>CHA-40120-0000</t>
  </si>
  <si>
    <t>CHA-40130-0000</t>
  </si>
  <si>
    <t>CHA-40140-0000</t>
  </si>
  <si>
    <t>CHA-41110-0000</t>
  </si>
  <si>
    <t>CHA-41121-0000</t>
  </si>
  <si>
    <t>CHA-41122-0000</t>
  </si>
  <si>
    <t>CHA-41130-0000</t>
  </si>
  <si>
    <t>CHA-41140-0000</t>
  </si>
  <si>
    <t>CHA-41150-0000</t>
  </si>
  <si>
    <t>CHA-41160-0000</t>
  </si>
  <si>
    <t>CHA-41999-0000</t>
  </si>
  <si>
    <t>CHA-47400-0000</t>
  </si>
  <si>
    <t>CHA-47420-0000</t>
  </si>
  <si>
    <t>CHA-47430-0000</t>
  </si>
  <si>
    <t>CHA-47440-0000</t>
  </si>
  <si>
    <t>CHA-47450-0000</t>
  </si>
  <si>
    <t>CHA-47460-0000</t>
  </si>
  <si>
    <t>CHA-47480-0000</t>
  </si>
  <si>
    <t>CHA-47490-0000</t>
  </si>
  <si>
    <t>CHA-47491-0000</t>
  </si>
  <si>
    <t>CHA-47492-0000</t>
  </si>
  <si>
    <t>CHA-51001-0000</t>
  </si>
  <si>
    <t>Gen-Bldg Supplies</t>
  </si>
  <si>
    <t xml:space="preserve">Building Supplies                                  </t>
  </si>
  <si>
    <t>CHA-51002-0000</t>
  </si>
  <si>
    <t>CHA-51005-0000</t>
  </si>
  <si>
    <t>CHA-51006-0000</t>
  </si>
  <si>
    <t>CHA-51007-0000</t>
  </si>
  <si>
    <t>CHA-51008-0000</t>
  </si>
  <si>
    <t>CHA-51009-0000</t>
  </si>
  <si>
    <t>CHA-51011-0000</t>
  </si>
  <si>
    <t>CHA-51012-0000</t>
  </si>
  <si>
    <t>CHA-51013-0000</t>
  </si>
  <si>
    <t>CHA-51015-0000</t>
  </si>
  <si>
    <t>CHA-51018-0000</t>
  </si>
  <si>
    <t>CHA-51020-0000</t>
  </si>
  <si>
    <t>CHA-51025-0000</t>
  </si>
  <si>
    <t>CHA-52001-0000</t>
  </si>
  <si>
    <t>CHA-52003-0000</t>
  </si>
  <si>
    <t>CHA-52004-0000</t>
  </si>
  <si>
    <t>CHA-52006-0000</t>
  </si>
  <si>
    <t>CHA-53001-0000</t>
  </si>
  <si>
    <t>CHA-53002-0000</t>
  </si>
  <si>
    <t>CHA-53003-0000</t>
  </si>
  <si>
    <t>CHA-53004-0000</t>
  </si>
  <si>
    <t>CHA-53005-0000</t>
  </si>
  <si>
    <t>CHA-53006-0000</t>
  </si>
  <si>
    <t>CHA-54001-0000</t>
  </si>
  <si>
    <t>CHA-54002-0000</t>
  </si>
  <si>
    <t>CHA-54003-0000</t>
  </si>
  <si>
    <t>CHA-54004-0000</t>
  </si>
  <si>
    <t>CHA-54005-0000</t>
  </si>
  <si>
    <t>CHA-54006-0000</t>
  </si>
  <si>
    <t>CHA-54007-0000</t>
  </si>
  <si>
    <t>CHA-55501-0000</t>
  </si>
  <si>
    <t>CHA-55502-0000</t>
  </si>
  <si>
    <t>CHA-55503-0000</t>
  </si>
  <si>
    <t>CHA-55504-0000</t>
  </si>
  <si>
    <t>CHA-55505-0000</t>
  </si>
  <si>
    <t>CHA-55506-0000</t>
  </si>
  <si>
    <t>CHA-55507-0000</t>
  </si>
  <si>
    <t>CHA-60001-0000</t>
  </si>
  <si>
    <t>CHA-60002-0000</t>
  </si>
  <si>
    <t>CHA-60005-0000</t>
  </si>
  <si>
    <t>CHA-60006-0000</t>
  </si>
  <si>
    <t>CHA-60007-0000</t>
  </si>
  <si>
    <t>CHA-60008-0000</t>
  </si>
  <si>
    <t>CHA-60011-0000</t>
  </si>
  <si>
    <t>CHA-60012-0000</t>
  </si>
  <si>
    <t>CHA-60014-0000</t>
  </si>
  <si>
    <t>CHA-60015-0000</t>
  </si>
  <si>
    <t>CHA-61016-0000</t>
  </si>
  <si>
    <t>CHA-61018-0000</t>
  </si>
  <si>
    <t>CHA-61019-0000</t>
  </si>
  <si>
    <t>CLI-20001-0000</t>
  </si>
  <si>
    <t>CLI-40700-7368</t>
  </si>
  <si>
    <t>CLI-91001-0000</t>
  </si>
  <si>
    <t>CLI-94201-0000</t>
  </si>
  <si>
    <t>CLI-99901-0000</t>
  </si>
  <si>
    <t>CPI-15501-0000</t>
  </si>
  <si>
    <t>CPI-40110-0000</t>
  </si>
  <si>
    <t>CPI-40120-0000</t>
  </si>
  <si>
    <t>CPI-40130-0000</t>
  </si>
  <si>
    <t>CPI-40140-0000</t>
  </si>
  <si>
    <t>CPI-41110-0000</t>
  </si>
  <si>
    <t>CPI-41121-0000</t>
  </si>
  <si>
    <t>CPI-41122-0000</t>
  </si>
  <si>
    <t>CPI-41130-0000</t>
  </si>
  <si>
    <t>CPI-41140-0000</t>
  </si>
  <si>
    <t>CPI-41150-0000</t>
  </si>
  <si>
    <t>CPI-41160-0000</t>
  </si>
  <si>
    <t>CPI-41999-0000</t>
  </si>
  <si>
    <t>CPI-47400-0000</t>
  </si>
  <si>
    <t>CPI-47420-0000</t>
  </si>
  <si>
    <t>CPI-47430-0000</t>
  </si>
  <si>
    <t>CPI-47440-0000</t>
  </si>
  <si>
    <t>CPI-47450-0000</t>
  </si>
  <si>
    <t>CPI-47460-0000</t>
  </si>
  <si>
    <t>CPI-47480-0000</t>
  </si>
  <si>
    <t>CPI-47490-0000</t>
  </si>
  <si>
    <t>CPI-47492-0000</t>
  </si>
  <si>
    <t>CPI-51005-0000</t>
  </si>
  <si>
    <t>CPI-51006-0000</t>
  </si>
  <si>
    <t>CPI-51007-0000</t>
  </si>
  <si>
    <t>CPI-51008-0000</t>
  </si>
  <si>
    <t>CPI-51009-0000</t>
  </si>
  <si>
    <t>CPI-51011-0000</t>
  </si>
  <si>
    <t>CPI-51012-0000</t>
  </si>
  <si>
    <t>CPI-51013-0000</t>
  </si>
  <si>
    <t>CPI-51015-0000</t>
  </si>
  <si>
    <t>CPI-51020-0000</t>
  </si>
  <si>
    <t>CPI-51025-0000</t>
  </si>
  <si>
    <t>CPI-53001-0000</t>
  </si>
  <si>
    <t>CPI-53002-0000</t>
  </si>
  <si>
    <t>CPI-53003-0000</t>
  </si>
  <si>
    <t>CPI-53004-0000</t>
  </si>
  <si>
    <t>CPI-53005-0000</t>
  </si>
  <si>
    <t>CPI-53006-0000</t>
  </si>
  <si>
    <t>CPI-54002-0000</t>
  </si>
  <si>
    <t>CPI-54003-0000</t>
  </si>
  <si>
    <t>CPI-54004-0000</t>
  </si>
  <si>
    <t>CPI-54005-0000</t>
  </si>
  <si>
    <t>CPI-54006-0000</t>
  </si>
  <si>
    <t>CPI-54007-0000</t>
  </si>
  <si>
    <t>CPI-55501-0000</t>
  </si>
  <si>
    <t>CPI-55502-0000</t>
  </si>
  <si>
    <t>CPI-55503-0000</t>
  </si>
  <si>
    <t>CPI-55505-0000</t>
  </si>
  <si>
    <t>CPI-55506-0000</t>
  </si>
  <si>
    <t>CPI-55507-0000</t>
  </si>
  <si>
    <t>CPI-60001-0000</t>
  </si>
  <si>
    <t>CPI-60002-0000</t>
  </si>
  <si>
    <t>CPI-60005-0000</t>
  </si>
  <si>
    <t>CPI-60006-0000</t>
  </si>
  <si>
    <t>CPI-60007-0000</t>
  </si>
  <si>
    <t>CPI-60011-0000</t>
  </si>
  <si>
    <t>CPI-60012-0000</t>
  </si>
  <si>
    <t>CPI-60014-0000</t>
  </si>
  <si>
    <t>CPI-61018-0000</t>
  </si>
  <si>
    <t>CPI-61019-0000</t>
  </si>
  <si>
    <t>CRE-15501-0000</t>
  </si>
  <si>
    <t>CRE-25300-0000</t>
  </si>
  <si>
    <t>CRE-40110-0000</t>
  </si>
  <si>
    <t>CRE-40120-0000</t>
  </si>
  <si>
    <t>CRE-40130-0000</t>
  </si>
  <si>
    <t>CRE-40140-0000</t>
  </si>
  <si>
    <t>CRE-41110-0000</t>
  </si>
  <si>
    <t>CRE-41121-0000</t>
  </si>
  <si>
    <t>CRE-41122-0000</t>
  </si>
  <si>
    <t>CRE-41130-0000</t>
  </si>
  <si>
    <t>CRE-41140-0000</t>
  </si>
  <si>
    <t>CRE-41150-0000</t>
  </si>
  <si>
    <t>CRE-41160-0000</t>
  </si>
  <si>
    <t>CRE-41999-0000</t>
  </si>
  <si>
    <t>CRE-47400-0000</t>
  </si>
  <si>
    <t>CRE-47420-0000</t>
  </si>
  <si>
    <t>CRE-47430-0000</t>
  </si>
  <si>
    <t>CRE-47440-0000</t>
  </si>
  <si>
    <t>CRE-47450-0000</t>
  </si>
  <si>
    <t>CRE-47460-0000</t>
  </si>
  <si>
    <t>CRE-47480-0000</t>
  </si>
  <si>
    <t>CRE-47490-0000</t>
  </si>
  <si>
    <t>CRE-47491-0000</t>
  </si>
  <si>
    <t>CRE-47492-0000</t>
  </si>
  <si>
    <t>CRE-51001-0000</t>
  </si>
  <si>
    <t>CRE-51006-0000</t>
  </si>
  <si>
    <t>CRE-51007-0000</t>
  </si>
  <si>
    <t>CRE-51008-0000</t>
  </si>
  <si>
    <t>CRE-51009-0000</t>
  </si>
  <si>
    <t>CRE-51011-0000</t>
  </si>
  <si>
    <t>CRE-51012-0000</t>
  </si>
  <si>
    <t>CRE-51013-0000</t>
  </si>
  <si>
    <t>CRE-51015-0000</t>
  </si>
  <si>
    <t>CRE-51019-0000</t>
  </si>
  <si>
    <t>CRE-51020-0000</t>
  </si>
  <si>
    <t>CRE-51025-0000</t>
  </si>
  <si>
    <t>CRE-52001-0000</t>
  </si>
  <si>
    <t>CRE-52002-0000</t>
  </si>
  <si>
    <t>CRE-52003-0000</t>
  </si>
  <si>
    <t>CRE-52004-0000</t>
  </si>
  <si>
    <t>CRE-52006-0000</t>
  </si>
  <si>
    <t>CRE-53001-0000</t>
  </si>
  <si>
    <t>CRE-53002-0000</t>
  </si>
  <si>
    <t>CRE-53003-0000</t>
  </si>
  <si>
    <t>CRE-53004-0000</t>
  </si>
  <si>
    <t>CRE-53005-0000</t>
  </si>
  <si>
    <t>CRE-53006-0000</t>
  </si>
  <si>
    <t>CRE-54002-0000</t>
  </si>
  <si>
    <t>CRE-54003-0000</t>
  </si>
  <si>
    <t>CRE-54004-0000</t>
  </si>
  <si>
    <t>CRE-54005-0000</t>
  </si>
  <si>
    <t>CRE-54006-0000</t>
  </si>
  <si>
    <t>CRE-54007-0000</t>
  </si>
  <si>
    <t>CRE-54008-0000</t>
  </si>
  <si>
    <t>CRE-55501-0000</t>
  </si>
  <si>
    <t>CRE-55502-0000</t>
  </si>
  <si>
    <t>CRE-55503-0000</t>
  </si>
  <si>
    <t>CRE-55504-0000</t>
  </si>
  <si>
    <t>CRE-55505-0000</t>
  </si>
  <si>
    <t>CRE-55506-0000</t>
  </si>
  <si>
    <t>CRE-55507-0000</t>
  </si>
  <si>
    <t>CRE-55508-0000</t>
  </si>
  <si>
    <t>CRE-60001-0000</t>
  </si>
  <si>
    <t>CRE-60002-0000</t>
  </si>
  <si>
    <t>CRE-60005-0000</t>
  </si>
  <si>
    <t>CRE-60006-0000</t>
  </si>
  <si>
    <t>CRE-60007-0000</t>
  </si>
  <si>
    <t>CRE-60008-0000</t>
  </si>
  <si>
    <t>CRE-60011-0000</t>
  </si>
  <si>
    <t>CRE-60012-0000</t>
  </si>
  <si>
    <t>CRE-60014-0000</t>
  </si>
  <si>
    <t>CRE-60015-0000</t>
  </si>
  <si>
    <t>CRE-61016-0000</t>
  </si>
  <si>
    <t>CRE-61018-0000</t>
  </si>
  <si>
    <t>CRE-61019-0000</t>
  </si>
  <si>
    <t>CST-20100-0000</t>
  </si>
  <si>
    <t>CST-40300-0000</t>
  </si>
  <si>
    <t>Revenue - Admin Fees</t>
  </si>
  <si>
    <t xml:space="preserve">Revenue Fee Management                             </t>
  </si>
  <si>
    <t>CST-51400-0000</t>
  </si>
  <si>
    <t>Computer Expenses</t>
  </si>
  <si>
    <t xml:space="preserve">Computer Exp                                       </t>
  </si>
  <si>
    <t>CST-52001-0000</t>
  </si>
  <si>
    <t>Labor Expense</t>
  </si>
  <si>
    <t xml:space="preserve">Salaries and Wages                                 </t>
  </si>
  <si>
    <t>CST-55400-0000</t>
  </si>
  <si>
    <t>Meeting Expenses</t>
  </si>
  <si>
    <t xml:space="preserve">CST                  </t>
  </si>
  <si>
    <t xml:space="preserve">Conference/Meetings                                </t>
  </si>
  <si>
    <t>CST-56001-0000</t>
  </si>
  <si>
    <t>CST-56002-0000</t>
  </si>
  <si>
    <t>CST-56900-0000</t>
  </si>
  <si>
    <t>CST-57900-0000</t>
  </si>
  <si>
    <t>CST-58100-0000</t>
  </si>
  <si>
    <t>Professional Fees:Legal Fees</t>
  </si>
  <si>
    <t xml:space="preserve">Professional Fees - Legal                          </t>
  </si>
  <si>
    <t>CST-58400-0000</t>
  </si>
  <si>
    <t>Landscaping</t>
  </si>
  <si>
    <t xml:space="preserve">Repairs And Maintenance                            </t>
  </si>
  <si>
    <t>CST-58500-0000</t>
  </si>
  <si>
    <t>Repairs</t>
  </si>
  <si>
    <t>CST-59750-0000</t>
  </si>
  <si>
    <t xml:space="preserve">T and E - Travel                                   </t>
  </si>
  <si>
    <t>CST-64502-0000</t>
  </si>
  <si>
    <t>CST-64530-0000</t>
  </si>
  <si>
    <t>Payroll Fees</t>
  </si>
  <si>
    <t xml:space="preserve">Payroll Fees                                       </t>
  </si>
  <si>
    <t>CST-70100-0000</t>
  </si>
  <si>
    <t>Other Expenses/Income</t>
  </si>
  <si>
    <t xml:space="preserve">Misc Income/Expense - H                            </t>
  </si>
  <si>
    <t>CST-75001-0000</t>
  </si>
  <si>
    <t>License and Permits</t>
  </si>
  <si>
    <t>CST-90601-0000</t>
  </si>
  <si>
    <t>CST-94001-0000</t>
  </si>
  <si>
    <t>Postage/Delivery</t>
  </si>
  <si>
    <t>CST-94801-0000</t>
  </si>
  <si>
    <t>Phone Expense</t>
  </si>
  <si>
    <t xml:space="preserve">Telephone - GandA                                  </t>
  </si>
  <si>
    <t>DEL-20001-0000</t>
  </si>
  <si>
    <t>DEL-60002-0000</t>
  </si>
  <si>
    <t>DF2-40001-7367</t>
  </si>
  <si>
    <t>DF2-40001-7392</t>
  </si>
  <si>
    <t>DF2-40001-7487</t>
  </si>
  <si>
    <t>DF2-40001-7488</t>
  </si>
  <si>
    <t>DF2-40001-7495</t>
  </si>
  <si>
    <t>DF2-40002-7367</t>
  </si>
  <si>
    <t>DF2-40002-7392</t>
  </si>
  <si>
    <t>DF2-40002-7487</t>
  </si>
  <si>
    <t>DF2-40002-7488</t>
  </si>
  <si>
    <t>DF2-40002-7495</t>
  </si>
  <si>
    <t>DF2-40091-7367</t>
  </si>
  <si>
    <t>DF2-40091-7392</t>
  </si>
  <si>
    <t>DF2-40091-7487</t>
  </si>
  <si>
    <t>DF2-40091-7488</t>
  </si>
  <si>
    <t>DF2-40091-7495</t>
  </si>
  <si>
    <t>DF2-50003-7367</t>
  </si>
  <si>
    <t>DF2-50003-7392</t>
  </si>
  <si>
    <t>DF2-50003-7487</t>
  </si>
  <si>
    <t>DF2-50003-7488</t>
  </si>
  <si>
    <t>DF2-50003-7495</t>
  </si>
  <si>
    <t>DF2-50007-7367</t>
  </si>
  <si>
    <t>DF2-50007-7392</t>
  </si>
  <si>
    <t>DF2-50007-7487</t>
  </si>
  <si>
    <t>DF2-50007-7488</t>
  </si>
  <si>
    <t>DF2-50007-7495</t>
  </si>
  <si>
    <t>DF2-50099-7367</t>
  </si>
  <si>
    <t>DF2-50099-7392</t>
  </si>
  <si>
    <t>DF2-50099-7487</t>
  </si>
  <si>
    <t>DF2-50099-7488</t>
  </si>
  <si>
    <t>DF2-50099-7495</t>
  </si>
  <si>
    <t>DF2-50100-7367</t>
  </si>
  <si>
    <t>DF2-50100-7392</t>
  </si>
  <si>
    <t>DF2-50100-7487</t>
  </si>
  <si>
    <t>DF2-50100-7488</t>
  </si>
  <si>
    <t>DF2-50100-7495</t>
  </si>
  <si>
    <t>DF2-51001-7367</t>
  </si>
  <si>
    <t>DF2-51001-7392</t>
  </si>
  <si>
    <t>DF2-51001-7487</t>
  </si>
  <si>
    <t>DF2-51001-7488</t>
  </si>
  <si>
    <t>DF2-51001-7495</t>
  </si>
  <si>
    <t>DF2-52001-0000</t>
  </si>
  <si>
    <t>DF2-52001-7367</t>
  </si>
  <si>
    <t>DF2-52001-7392</t>
  </si>
  <si>
    <t>DF2-52001-7487</t>
  </si>
  <si>
    <t>DF2-52001-7488</t>
  </si>
  <si>
    <t>DF2-52001-7495</t>
  </si>
  <si>
    <t>DF2-52002-7367</t>
  </si>
  <si>
    <t>DF2-52002-7392</t>
  </si>
  <si>
    <t>DF2-52002-7487</t>
  </si>
  <si>
    <t>DF2-52002-7488</t>
  </si>
  <si>
    <t>DF2-52002-7495</t>
  </si>
  <si>
    <t>DF2-52003-7367</t>
  </si>
  <si>
    <t>DF2-52003-7392</t>
  </si>
  <si>
    <t>DF2-52003-7487</t>
  </si>
  <si>
    <t>DF2-52003-7488</t>
  </si>
  <si>
    <t>DF2-52003-7495</t>
  </si>
  <si>
    <t>DF2-52004-7367</t>
  </si>
  <si>
    <t>DF2-52004-7392</t>
  </si>
  <si>
    <t>DF2-52004-7487</t>
  </si>
  <si>
    <t>DF2-52004-7488</t>
  </si>
  <si>
    <t>DF2-52004-7495</t>
  </si>
  <si>
    <t>DF2-52005-7367</t>
  </si>
  <si>
    <t>DF2-52005-7392</t>
  </si>
  <si>
    <t>DF2-52005-7487</t>
  </si>
  <si>
    <t>DF2-52005-7488</t>
  </si>
  <si>
    <t>DF2-52005-7495</t>
  </si>
  <si>
    <t>DF2-53001-7392</t>
  </si>
  <si>
    <t>DF2-53003-0000</t>
  </si>
  <si>
    <t>DF2-53003-7367</t>
  </si>
  <si>
    <t>DF2-53003-7392</t>
  </si>
  <si>
    <t>DF2-53003-7487</t>
  </si>
  <si>
    <t>DF2-53003-7488</t>
  </si>
  <si>
    <t>DF2-53003-7495</t>
  </si>
  <si>
    <t>DF2-53004-7367</t>
  </si>
  <si>
    <t>DF2-53004-7392</t>
  </si>
  <si>
    <t>DF2-53004-7487</t>
  </si>
  <si>
    <t>DF2-53004-7488</t>
  </si>
  <si>
    <t>DF2-53004-7495</t>
  </si>
  <si>
    <t>DF2-53005-7392</t>
  </si>
  <si>
    <t>DF2-53005-7487</t>
  </si>
  <si>
    <t>DF2-53005-7495</t>
  </si>
  <si>
    <t>DF2-53006-7367</t>
  </si>
  <si>
    <t>DF2-53006-7392</t>
  </si>
  <si>
    <t>DF2-53006-7487</t>
  </si>
  <si>
    <t>DF2-53006-7488</t>
  </si>
  <si>
    <t>DF2-53006-7495</t>
  </si>
  <si>
    <t>DF2-54001-0000</t>
  </si>
  <si>
    <t>DF2-54001-7367</t>
  </si>
  <si>
    <t>DF2-54001-7392</t>
  </si>
  <si>
    <t>DF2-54001-7487</t>
  </si>
  <si>
    <t>DF2-54001-7488</t>
  </si>
  <si>
    <t>DF2-54001-7495</t>
  </si>
  <si>
    <t>DF2-54099-7367</t>
  </si>
  <si>
    <t>DF2-54099-7392</t>
  </si>
  <si>
    <t>DF2-54099-7487</t>
  </si>
  <si>
    <t>DF2-54099-7488</t>
  </si>
  <si>
    <t>DF2-54099-7495</t>
  </si>
  <si>
    <t>DF2-54100-7367</t>
  </si>
  <si>
    <t>DF2-54100-7392</t>
  </si>
  <si>
    <t>DF2-54100-7487</t>
  </si>
  <si>
    <t>DF2-54100-7488</t>
  </si>
  <si>
    <t>DF2-54100-7495</t>
  </si>
  <si>
    <t>DF2-55001-7367</t>
  </si>
  <si>
    <t>DF2-55001-7392</t>
  </si>
  <si>
    <t>DF2-55001-7487</t>
  </si>
  <si>
    <t>DF2-55001-7488</t>
  </si>
  <si>
    <t>DF2-55001-7495</t>
  </si>
  <si>
    <t>DF2-56001-0000</t>
  </si>
  <si>
    <t>DF2-56001-7367</t>
  </si>
  <si>
    <t>DF2-56001-7392</t>
  </si>
  <si>
    <t>DF2-56001-7487</t>
  </si>
  <si>
    <t>DF2-56001-7488</t>
  </si>
  <si>
    <t>DF2-56001-7495</t>
  </si>
  <si>
    <t>DF2-56002-0000</t>
  </si>
  <si>
    <t>DF2-56002-7367</t>
  </si>
  <si>
    <t>DF2-56002-7392</t>
  </si>
  <si>
    <t>DF2-56002-7487</t>
  </si>
  <si>
    <t>DF2-56002-7488</t>
  </si>
  <si>
    <t>DF2-56050-0000</t>
  </si>
  <si>
    <t>DF2-60001-7367</t>
  </si>
  <si>
    <t>DF2-60001-7392</t>
  </si>
  <si>
    <t>DF2-60001-7487</t>
  </si>
  <si>
    <t>DF2-60001-7488</t>
  </si>
  <si>
    <t>DF2-60001-7495</t>
  </si>
  <si>
    <t>DF2-60503-7367</t>
  </si>
  <si>
    <t>DF2-60503-7392</t>
  </si>
  <si>
    <t>DF2-60503-7487</t>
  </si>
  <si>
    <t>DF2-60503-7488</t>
  </si>
  <si>
    <t>DF2-60503-7495</t>
  </si>
  <si>
    <t>DF2-60505-7367</t>
  </si>
  <si>
    <t>DF2-60505-7392</t>
  </si>
  <si>
    <t>DF2-60505-7495</t>
  </si>
  <si>
    <t>DF2-60507-7367</t>
  </si>
  <si>
    <t>DF2-60507-7392</t>
  </si>
  <si>
    <t>DF2-60507-7487</t>
  </si>
  <si>
    <t>DF2-60507-7488</t>
  </si>
  <si>
    <t>DF2-60507-7495</t>
  </si>
  <si>
    <t>DF2-60509-7367</t>
  </si>
  <si>
    <t>DF2-60509-7392</t>
  </si>
  <si>
    <t>DF2-60509-7487</t>
  </si>
  <si>
    <t>DF2-60509-7488</t>
  </si>
  <si>
    <t>DF2-60509-7495</t>
  </si>
  <si>
    <t>DF2-61001-0000</t>
  </si>
  <si>
    <t>DF2-61001-7392</t>
  </si>
  <si>
    <t>DF2-61001-7487</t>
  </si>
  <si>
    <t>DF2-61001-7495</t>
  </si>
  <si>
    <t>DF2-61002-0000</t>
  </si>
  <si>
    <t>DF2-61002-7392</t>
  </si>
  <si>
    <t>DF2-61002-7487</t>
  </si>
  <si>
    <t>DF2-61002-7495</t>
  </si>
  <si>
    <t>DF2-61201-7367</t>
  </si>
  <si>
    <t>DF2-61201-7392</t>
  </si>
  <si>
    <t>DF2-61201-7487</t>
  </si>
  <si>
    <t>DF2-61201-7488</t>
  </si>
  <si>
    <t>DF2-61201-7495</t>
  </si>
  <si>
    <t>DF2-61501-7392</t>
  </si>
  <si>
    <t>DF2-61501-7487</t>
  </si>
  <si>
    <t>DF2-61501-7495</t>
  </si>
  <si>
    <t>DF2-61502-7487</t>
  </si>
  <si>
    <t>DF2-61505-7367</t>
  </si>
  <si>
    <t>Computer Contract Services</t>
  </si>
  <si>
    <t>DF2-61505-7392</t>
  </si>
  <si>
    <t>DF2-61505-7487</t>
  </si>
  <si>
    <t>DF2-61505-7488</t>
  </si>
  <si>
    <t>DF2-61505-7495</t>
  </si>
  <si>
    <t>DF2-62001-7495</t>
  </si>
  <si>
    <t>DF2-62002-7367</t>
  </si>
  <si>
    <t>DF2-62002-7392</t>
  </si>
  <si>
    <t>DF2-62002-7487</t>
  </si>
  <si>
    <t>DF2-62002-7488</t>
  </si>
  <si>
    <t>DF2-62002-7495</t>
  </si>
  <si>
    <t>DF2-62097-7367</t>
  </si>
  <si>
    <t>DF2-62097-7392</t>
  </si>
  <si>
    <t>DF2-62097-7487</t>
  </si>
  <si>
    <t>DF2-62097-7488</t>
  </si>
  <si>
    <t>DF2-62097-7495</t>
  </si>
  <si>
    <t>DF2-62501-7367</t>
  </si>
  <si>
    <t>DF2-62501-7392</t>
  </si>
  <si>
    <t>DF2-62501-7487</t>
  </si>
  <si>
    <t>DF2-62501-7488</t>
  </si>
  <si>
    <t>DF2-62501-7495</t>
  </si>
  <si>
    <t>DF2-62510-7367</t>
  </si>
  <si>
    <t>DF2-62510-7392</t>
  </si>
  <si>
    <t>DF2-62510-7487</t>
  </si>
  <si>
    <t>DF2-62510-7488</t>
  </si>
  <si>
    <t>DF2-62510-7495</t>
  </si>
  <si>
    <t>DF2-62511-7367</t>
  </si>
  <si>
    <t>DF2-62511-7392</t>
  </si>
  <si>
    <t>DF2-62511-7487</t>
  </si>
  <si>
    <t>DF2-62511-7488</t>
  </si>
  <si>
    <t>DF2-62511-7495</t>
  </si>
  <si>
    <t>DF2-62512-7392</t>
  </si>
  <si>
    <t>DF2-62512-7495</t>
  </si>
  <si>
    <t>DF2-62513-7367</t>
  </si>
  <si>
    <t>DF2-62513-7392</t>
  </si>
  <si>
    <t>DF2-62513-7487</t>
  </si>
  <si>
    <t>DF2-62513-7488</t>
  </si>
  <si>
    <t>DF2-62513-7495</t>
  </si>
  <si>
    <t>DF2-62550-7367</t>
  </si>
  <si>
    <t>DF2-62550-7392</t>
  </si>
  <si>
    <t>DF2-62550-7487</t>
  </si>
  <si>
    <t>DF2-62550-7488</t>
  </si>
  <si>
    <t>DF2-62550-7495</t>
  </si>
  <si>
    <t>DF2-62551-7367</t>
  </si>
  <si>
    <t>DF2-62551-7392</t>
  </si>
  <si>
    <t>DF2-62551-7487</t>
  </si>
  <si>
    <t>DF2-62551-7488</t>
  </si>
  <si>
    <t>DF2-62551-7495</t>
  </si>
  <si>
    <t>DF2-63001-7367</t>
  </si>
  <si>
    <t>DF2-63001-7392</t>
  </si>
  <si>
    <t>DF2-63001-7487</t>
  </si>
  <si>
    <t>DF2-63001-7488</t>
  </si>
  <si>
    <t>DF2-63001-7495</t>
  </si>
  <si>
    <t>DF2-63003-7487</t>
  </si>
  <si>
    <t>Electric Repairs</t>
  </si>
  <si>
    <t>DF2-63003-7488</t>
  </si>
  <si>
    <t>DF2-63003-7495</t>
  </si>
  <si>
    <t>DF2-63004-7367</t>
  </si>
  <si>
    <t>DF2-63004-7392</t>
  </si>
  <si>
    <t>DF2-63004-7487</t>
  </si>
  <si>
    <t>DF2-63004-7495</t>
  </si>
  <si>
    <t>DF2-63005-7367</t>
  </si>
  <si>
    <t>Exhaust Cleaning</t>
  </si>
  <si>
    <t>DF2-63005-7392</t>
  </si>
  <si>
    <t>DF2-63005-7487</t>
  </si>
  <si>
    <t>DF2-63005-7488</t>
  </si>
  <si>
    <t>DF2-63005-7495</t>
  </si>
  <si>
    <t>DF2-63006-7392</t>
  </si>
  <si>
    <t>DF2-63006-7488</t>
  </si>
  <si>
    <t>DF2-63006-7495</t>
  </si>
  <si>
    <t>DF2-63007-7392</t>
  </si>
  <si>
    <t>DF2-63007-7495</t>
  </si>
  <si>
    <t>DF2-63009-7367</t>
  </si>
  <si>
    <t>DF2-63009-7392</t>
  </si>
  <si>
    <t>DF2-63009-7495</t>
  </si>
  <si>
    <t>DF2-63501-0000</t>
  </si>
  <si>
    <t>DF2-63501-7367</t>
  </si>
  <si>
    <t>DF2-63501-7392</t>
  </si>
  <si>
    <t>DF2-63501-7487</t>
  </si>
  <si>
    <t>DF2-63501-7488</t>
  </si>
  <si>
    <t>DF2-63501-7495</t>
  </si>
  <si>
    <t>DF2-63502-7367</t>
  </si>
  <si>
    <t>DF2-63502-7392</t>
  </si>
  <si>
    <t>DF2-63502-7487</t>
  </si>
  <si>
    <t>DF2-63502-7488</t>
  </si>
  <si>
    <t>DF2-63502-7495</t>
  </si>
  <si>
    <t>DF2-63503-7367</t>
  </si>
  <si>
    <t>DF2-63503-7392</t>
  </si>
  <si>
    <t>DF2-63503-7487</t>
  </si>
  <si>
    <t>DF2-63503-7488</t>
  </si>
  <si>
    <t>DF2-63503-7495</t>
  </si>
  <si>
    <t>DF2-63504-7367</t>
  </si>
  <si>
    <t>DF2-63504-7392</t>
  </si>
  <si>
    <t>DF2-63504-7487</t>
  </si>
  <si>
    <t>DF2-63504-7488</t>
  </si>
  <si>
    <t>DF2-63504-7495</t>
  </si>
  <si>
    <t>DF2-64001-7367</t>
  </si>
  <si>
    <t>Armored Transport</t>
  </si>
  <si>
    <t xml:space="preserve">Armored Transport and Security                     </t>
  </si>
  <si>
    <t>DF2-64001-7392</t>
  </si>
  <si>
    <t>DF2-64001-7487</t>
  </si>
  <si>
    <t>DF2-64001-7488</t>
  </si>
  <si>
    <t>DF2-64001-7495</t>
  </si>
  <si>
    <t>DF2-64501-7367</t>
  </si>
  <si>
    <t>DF2-64501-7392</t>
  </si>
  <si>
    <t>DF2-64501-7487</t>
  </si>
  <si>
    <t>DF2-64501-7488</t>
  </si>
  <si>
    <t>DF2-64501-7495</t>
  </si>
  <si>
    <t>DF2-64502-0000</t>
  </si>
  <si>
    <t>DF2-64502-7357</t>
  </si>
  <si>
    <t>DF2-64502-7367</t>
  </si>
  <si>
    <t>DF2-64502-7392</t>
  </si>
  <si>
    <t>DF2-64502-7487</t>
  </si>
  <si>
    <t>DF2-64502-7488</t>
  </si>
  <si>
    <t>DF2-64502-7495</t>
  </si>
  <si>
    <t>DF2-64503-7367</t>
  </si>
  <si>
    <t>DF2-64503-7392</t>
  </si>
  <si>
    <t>DF2-64503-7487</t>
  </si>
  <si>
    <t>DF2-64503-7488</t>
  </si>
  <si>
    <t>DF2-64503-7495</t>
  </si>
  <si>
    <t>DF2-65002-7367</t>
  </si>
  <si>
    <t>DF2-65002-7392</t>
  </si>
  <si>
    <t>DF2-65002-7487</t>
  </si>
  <si>
    <t>DF2-65002-7488</t>
  </si>
  <si>
    <t>DF2-65002-7495</t>
  </si>
  <si>
    <t>DF2-65501-0000</t>
  </si>
  <si>
    <t>DF2-65501-7367</t>
  </si>
  <si>
    <t>DF2-65501-7392</t>
  </si>
  <si>
    <t>DF2-65501-7487</t>
  </si>
  <si>
    <t>DF2-65501-7488</t>
  </si>
  <si>
    <t>DF2-65501-7495</t>
  </si>
  <si>
    <t>DF2-66001-7367</t>
  </si>
  <si>
    <t>DF2-66001-7392</t>
  </si>
  <si>
    <t>DF2-66001-7488</t>
  </si>
  <si>
    <t>DF2-66001-7495</t>
  </si>
  <si>
    <t>DF2-66501-7367</t>
  </si>
  <si>
    <t>DF2-66501-7392</t>
  </si>
  <si>
    <t>DF2-66501-7487</t>
  </si>
  <si>
    <t>DF2-66501-7488</t>
  </si>
  <si>
    <t>DF2-66501-7495</t>
  </si>
  <si>
    <t>DF2-66701-7367</t>
  </si>
  <si>
    <t>DF2-66701-7392</t>
  </si>
  <si>
    <t>DF2-66701-7487</t>
  </si>
  <si>
    <t>DF2-66701-7488</t>
  </si>
  <si>
    <t>DF2-66701-7495</t>
  </si>
  <si>
    <t>DF2-67001-7367</t>
  </si>
  <si>
    <t>DF2-67001-7392</t>
  </si>
  <si>
    <t>DF2-67001-7487</t>
  </si>
  <si>
    <t>DF2-67001-7488</t>
  </si>
  <si>
    <t>DF2-67001-7495</t>
  </si>
  <si>
    <t>DF2-67501-7367</t>
  </si>
  <si>
    <t>DF2-67501-7392</t>
  </si>
  <si>
    <t>DF2-67501-7487</t>
  </si>
  <si>
    <t>DF2-67501-7488</t>
  </si>
  <si>
    <t>DF2-67501-7495</t>
  </si>
  <si>
    <t>DF2-68000-7367</t>
  </si>
  <si>
    <t>DF2-68000-7392</t>
  </si>
  <si>
    <t>DF2-68000-7487</t>
  </si>
  <si>
    <t>DF2-68000-7488</t>
  </si>
  <si>
    <t>DF2-68000-7495</t>
  </si>
  <si>
    <t>DF2-68001-7367</t>
  </si>
  <si>
    <t>DF2-68001-7392</t>
  </si>
  <si>
    <t>DF2-68001-7487</t>
  </si>
  <si>
    <t>DF2-68001-7488</t>
  </si>
  <si>
    <t>DF2-68001-7495</t>
  </si>
  <si>
    <t>DF2-70001-7367</t>
  </si>
  <si>
    <t>DF2-70001-7392</t>
  </si>
  <si>
    <t>DF2-70001-7487</t>
  </si>
  <si>
    <t>DF2-70001-7488</t>
  </si>
  <si>
    <t>DF2-70001-7495</t>
  </si>
  <si>
    <t>DF2-71001-7367</t>
  </si>
  <si>
    <t>DF2-71001-7392</t>
  </si>
  <si>
    <t>DF2-71001-7487</t>
  </si>
  <si>
    <t>DF2-71001-7488</t>
  </si>
  <si>
    <t>DF2-71001-7495</t>
  </si>
  <si>
    <t>DF2-72001-7367</t>
  </si>
  <si>
    <t>DF2-72001-7392</t>
  </si>
  <si>
    <t>DF2-72001-7487</t>
  </si>
  <si>
    <t>DF2-72001-7488</t>
  </si>
  <si>
    <t>DF2-72001-7495</t>
  </si>
  <si>
    <t>DF2-73001-7495</t>
  </si>
  <si>
    <t>DF2-74001-0000</t>
  </si>
  <si>
    <t>DF2-74001-7367</t>
  </si>
  <si>
    <t>DF2-74001-7392</t>
  </si>
  <si>
    <t>DF2-74001-7487</t>
  </si>
  <si>
    <t>DF2-74001-7488</t>
  </si>
  <si>
    <t>DF2-74001-7495</t>
  </si>
  <si>
    <t>DF2-75001-0000</t>
  </si>
  <si>
    <t>DF2-75001-7367</t>
  </si>
  <si>
    <t>DF2-75001-7392</t>
  </si>
  <si>
    <t>DF2-75001-7487</t>
  </si>
  <si>
    <t>DF2-75001-7488</t>
  </si>
  <si>
    <t>DF2-75001-7495</t>
  </si>
  <si>
    <t>DF2-80001-7367</t>
  </si>
  <si>
    <t>DF2-80001-7392</t>
  </si>
  <si>
    <t>DF2-80001-7487</t>
  </si>
  <si>
    <t>DF2-80001-7488</t>
  </si>
  <si>
    <t>DF2-80001-7495</t>
  </si>
  <si>
    <t>DF2-90002-0000</t>
  </si>
  <si>
    <t>DF2-90002-7495</t>
  </si>
  <si>
    <t>DF2-90013-0000</t>
  </si>
  <si>
    <t>DF2-90014-0000</t>
  </si>
  <si>
    <t>DF2-90015-0000</t>
  </si>
  <si>
    <t>DM Sick</t>
  </si>
  <si>
    <t xml:space="preserve">Maintenance Inventory Expense                      </t>
  </si>
  <si>
    <t>DF2-90201-0000</t>
  </si>
  <si>
    <t>Payroll Tax Expenses-Admin.</t>
  </si>
  <si>
    <t xml:space="preserve">Payroll Tax and Benefits (Admin)                   </t>
  </si>
  <si>
    <t>DF2-90202-0000</t>
  </si>
  <si>
    <t>DF2-90601-0000</t>
  </si>
  <si>
    <t>DF2-91801-7367</t>
  </si>
  <si>
    <t>DF2-91801-7392</t>
  </si>
  <si>
    <t>DF2-91801-7487</t>
  </si>
  <si>
    <t>DF2-91801-7488</t>
  </si>
  <si>
    <t>DF2-91801-7495</t>
  </si>
  <si>
    <t>DF2-92401-7367</t>
  </si>
  <si>
    <t>DF2-92401-7392</t>
  </si>
  <si>
    <t>DF2-92401-7487</t>
  </si>
  <si>
    <t>DF2-92401-7488</t>
  </si>
  <si>
    <t>DF2-92401-7495</t>
  </si>
  <si>
    <t>DF2-92801-0000</t>
  </si>
  <si>
    <t>Legal Expense</t>
  </si>
  <si>
    <t xml:space="preserve">Legal expense                                      </t>
  </si>
  <si>
    <t>DF2-92802-0000</t>
  </si>
  <si>
    <t>Legal Settlement</t>
  </si>
  <si>
    <t xml:space="preserve">Legal Settlement               </t>
  </si>
  <si>
    <t xml:space="preserve">Legal Settlements                                  </t>
  </si>
  <si>
    <t>DF2-92901-7367</t>
  </si>
  <si>
    <t>DF2-92901-7392</t>
  </si>
  <si>
    <t>DF2-92901-7487</t>
  </si>
  <si>
    <t>DF2-92901-7488</t>
  </si>
  <si>
    <t>DF2-92901-7495</t>
  </si>
  <si>
    <t>DF2-93001-0000</t>
  </si>
  <si>
    <t>DF2-93001-7367</t>
  </si>
  <si>
    <t>DF2-93001-7392</t>
  </si>
  <si>
    <t>DF2-93001-7487</t>
  </si>
  <si>
    <t>DF2-93001-7488</t>
  </si>
  <si>
    <t>DF2-93001-7495</t>
  </si>
  <si>
    <t>DF2-93201-7367</t>
  </si>
  <si>
    <t>DF2-93201-7392</t>
  </si>
  <si>
    <t>DF2-93201-7487</t>
  </si>
  <si>
    <t>DF2-93201-7488</t>
  </si>
  <si>
    <t>DF2-93201-7495</t>
  </si>
  <si>
    <t>DF2-93601-7367</t>
  </si>
  <si>
    <t>DF2-93601-7392</t>
  </si>
  <si>
    <t>DF2-93601-7487</t>
  </si>
  <si>
    <t>DF2-93601-7488</t>
  </si>
  <si>
    <t>DF2-93601-7495</t>
  </si>
  <si>
    <t>DF2-93801-0000</t>
  </si>
  <si>
    <t>Payroll Service</t>
  </si>
  <si>
    <t xml:space="preserve">Payroll Services                                   </t>
  </si>
  <si>
    <t>DF2-93801-7367</t>
  </si>
  <si>
    <t>DF2-93801-7392</t>
  </si>
  <si>
    <t>DF2-93801-7487</t>
  </si>
  <si>
    <t>DF2-93801-7488</t>
  </si>
  <si>
    <t>DF2-93801-7495</t>
  </si>
  <si>
    <t>DF2-94001-0000</t>
  </si>
  <si>
    <t>DF2-94201-0000</t>
  </si>
  <si>
    <t>DF2-94201-7367</t>
  </si>
  <si>
    <t>DF2-94201-7392</t>
  </si>
  <si>
    <t>DF2-94201-7487</t>
  </si>
  <si>
    <t>DF2-94201-7488</t>
  </si>
  <si>
    <t>DF2-94201-7495</t>
  </si>
  <si>
    <t>DF2-94401-0000</t>
  </si>
  <si>
    <t>DF2-94401-7367</t>
  </si>
  <si>
    <t>DF2-94401-7392</t>
  </si>
  <si>
    <t>DF2-94401-7487</t>
  </si>
  <si>
    <t>DF2-94401-7488</t>
  </si>
  <si>
    <t>DF2-94401-7495</t>
  </si>
  <si>
    <t>DF2-94801-0000</t>
  </si>
  <si>
    <t>DF2-99001-7367</t>
  </si>
  <si>
    <t>DF2-99001-7392</t>
  </si>
  <si>
    <t>DF2-99001-7487</t>
  </si>
  <si>
    <t>DF2-99001-7488</t>
  </si>
  <si>
    <t>DF2-99001-7495</t>
  </si>
  <si>
    <t>DF2-99901-0000</t>
  </si>
  <si>
    <t>DFL-10503-0000</t>
  </si>
  <si>
    <t>TriArtisan Investment</t>
  </si>
  <si>
    <t>DFL-11031-0000</t>
  </si>
  <si>
    <t>Notes Receivable AKA</t>
  </si>
  <si>
    <t>DFL-11032-0000</t>
  </si>
  <si>
    <t>Notes Receivable KLP</t>
  </si>
  <si>
    <t>DFL-11033-0000</t>
  </si>
  <si>
    <t>Notes Receivable SPA</t>
  </si>
  <si>
    <t>DFL-11075-0000</t>
  </si>
  <si>
    <t>Notes Receivable DPM</t>
  </si>
  <si>
    <t>DFL-11077-0000</t>
  </si>
  <si>
    <t>Notes Receivable-ZPI</t>
  </si>
  <si>
    <t>DFL-11360-0000</t>
  </si>
  <si>
    <t>Interco-SCR</t>
  </si>
  <si>
    <t xml:space="preserve">DFL                  </t>
  </si>
  <si>
    <t>DFL-11403-0000</t>
  </si>
  <si>
    <t>Note Receivable - SEA</t>
  </si>
  <si>
    <t>DFL-20001-0000</t>
  </si>
  <si>
    <t>DFL-28008-0000</t>
  </si>
  <si>
    <t>Loan-2SH</t>
  </si>
  <si>
    <t>DFL-40400-0000</t>
  </si>
  <si>
    <t xml:space="preserve">Interest Income                                    </t>
  </si>
  <si>
    <t>DFL-50400-0000</t>
  </si>
  <si>
    <t xml:space="preserve">Bank Charges                                       </t>
  </si>
  <si>
    <t>DFL-54500-0000</t>
  </si>
  <si>
    <t xml:space="preserve">Net Income (Loss)              </t>
  </si>
  <si>
    <t xml:space="preserve">Interest Exp                                       </t>
  </si>
  <si>
    <t>DFL-57700-0000</t>
  </si>
  <si>
    <t>DFL-93202-0000</t>
  </si>
  <si>
    <t>Misc. Expenses</t>
  </si>
  <si>
    <t>DFL-94201-0000</t>
  </si>
  <si>
    <t>Professional Sevices</t>
  </si>
  <si>
    <t xml:space="preserve">Other INcome/Expense           </t>
  </si>
  <si>
    <t>DFL-99901-0000</t>
  </si>
  <si>
    <t>Prov for Inc.Tax</t>
  </si>
  <si>
    <t xml:space="preserve">Tax (Fed and State Income Tax)                     </t>
  </si>
  <si>
    <t>DIA-15501-0000</t>
  </si>
  <si>
    <t>DIA-25300-0000</t>
  </si>
  <si>
    <t>DIA-40110-0000</t>
  </si>
  <si>
    <t>DIA-40120-0000</t>
  </si>
  <si>
    <t>DIA-40130-0000</t>
  </si>
  <si>
    <t>DIA-40140-0000</t>
  </si>
  <si>
    <t>DIA-41110-0000</t>
  </si>
  <si>
    <t>DIA-41121-0000</t>
  </si>
  <si>
    <t>DIA-41122-0000</t>
  </si>
  <si>
    <t>DIA-41130-0000</t>
  </si>
  <si>
    <t>DIA-41140-0000</t>
  </si>
  <si>
    <t>DIA-41150-0000</t>
  </si>
  <si>
    <t>DIA-41160-0000</t>
  </si>
  <si>
    <t>DIA-41999-0000</t>
  </si>
  <si>
    <t>DIA-47400-0000</t>
  </si>
  <si>
    <t>DIA-47420-0000</t>
  </si>
  <si>
    <t>DIA-47430-0000</t>
  </si>
  <si>
    <t>DIA-47440-0000</t>
  </si>
  <si>
    <t>DIA-47450-0000</t>
  </si>
  <si>
    <t>DIA-47460-0000</t>
  </si>
  <si>
    <t>DIA-47480-0000</t>
  </si>
  <si>
    <t>DIA-47490-0000</t>
  </si>
  <si>
    <t>DIA-47492-0000</t>
  </si>
  <si>
    <t>DIA-51005-0000</t>
  </si>
  <si>
    <t>DIA-51006-0000</t>
  </si>
  <si>
    <t>DIA-51007-0000</t>
  </si>
  <si>
    <t>DIA-51008-0000</t>
  </si>
  <si>
    <t>DIA-51009-0000</t>
  </si>
  <si>
    <t>DIA-51011-0000</t>
  </si>
  <si>
    <t>DIA-51012-0000</t>
  </si>
  <si>
    <t>DIA-51015-0000</t>
  </si>
  <si>
    <t>DIA-51020-0000</t>
  </si>
  <si>
    <t>DIA-51023-0000</t>
  </si>
  <si>
    <t>Systematic Code Fees</t>
  </si>
  <si>
    <t xml:space="preserve">Systematic Code Compliance                         </t>
  </si>
  <si>
    <t>DIA-51025-0000</t>
  </si>
  <si>
    <t>DIA-52001-0000</t>
  </si>
  <si>
    <t>DIA-52003-0000</t>
  </si>
  <si>
    <t>DIA-52004-0000</t>
  </si>
  <si>
    <t>DIA-52006-0000</t>
  </si>
  <si>
    <t>DIA-53001-0000</t>
  </si>
  <si>
    <t>DIA-53002-0000</t>
  </si>
  <si>
    <t>DIA-53003-0000</t>
  </si>
  <si>
    <t>DIA-53004-0000</t>
  </si>
  <si>
    <t>DIA-53005-0000</t>
  </si>
  <si>
    <t>DIA-53006-0000</t>
  </si>
  <si>
    <t>DIA-54001-0000</t>
  </si>
  <si>
    <t>DIA-54002-0000</t>
  </si>
  <si>
    <t>DIA-54003-0000</t>
  </si>
  <si>
    <t>DIA-54004-0000</t>
  </si>
  <si>
    <t>DIA-54005-0000</t>
  </si>
  <si>
    <t>DIA-54006-0000</t>
  </si>
  <si>
    <t>DIA-54007-0000</t>
  </si>
  <si>
    <t>DIA-54008-0000</t>
  </si>
  <si>
    <t>DIA-55501-0000</t>
  </si>
  <si>
    <t>DIA-55502-0000</t>
  </si>
  <si>
    <t>DIA-55503-0000</t>
  </si>
  <si>
    <t>DIA-55504-0000</t>
  </si>
  <si>
    <t>DIA-55505-0000</t>
  </si>
  <si>
    <t>DIA-55506-0000</t>
  </si>
  <si>
    <t>DIA-60001-0000</t>
  </si>
  <si>
    <t>DIA-60002-0000</t>
  </si>
  <si>
    <t>DIA-60005-0000</t>
  </si>
  <si>
    <t>DIA-60006-0000</t>
  </si>
  <si>
    <t>DIA-60007-0000</t>
  </si>
  <si>
    <t>DIA-60011-0000</t>
  </si>
  <si>
    <t>DIA-60012-0000</t>
  </si>
  <si>
    <t>DIA-60014-0000</t>
  </si>
  <si>
    <t>DIA-60015-0000</t>
  </si>
  <si>
    <t>DIA-61018-0000</t>
  </si>
  <si>
    <t>DIA-61019-0000</t>
  </si>
  <si>
    <t>DOL-15501-0000</t>
  </si>
  <si>
    <t>DOL-25300-0000</t>
  </si>
  <si>
    <t>DOL-40110-0000</t>
  </si>
  <si>
    <t>DOL-40120-0000</t>
  </si>
  <si>
    <t>DOL-40130-0000</t>
  </si>
  <si>
    <t>DOL-40140-0000</t>
  </si>
  <si>
    <t>DOL-41110-0000</t>
  </si>
  <si>
    <t>DOL-41121-0000</t>
  </si>
  <si>
    <t>DOL-41122-0000</t>
  </si>
  <si>
    <t>DOL-41130-0000</t>
  </si>
  <si>
    <t>DOL-41140-0000</t>
  </si>
  <si>
    <t>DOL-41150-0000</t>
  </si>
  <si>
    <t>DOL-41999-0000</t>
  </si>
  <si>
    <t>DOL-47400-0000</t>
  </si>
  <si>
    <t>DOL-47420-0000</t>
  </si>
  <si>
    <t>DOL-47430-0000</t>
  </si>
  <si>
    <t>DOL-47450-0000</t>
  </si>
  <si>
    <t>DOL-47460-0000</t>
  </si>
  <si>
    <t>DOL-47480-0000</t>
  </si>
  <si>
    <t>DOL-47490-0000</t>
  </si>
  <si>
    <t>DOL-47491-0000</t>
  </si>
  <si>
    <t>DOL-47492-0000</t>
  </si>
  <si>
    <t>DOL-51005-0000</t>
  </si>
  <si>
    <t>DOL-51006-0000</t>
  </si>
  <si>
    <t>DOL-51008-0000</t>
  </si>
  <si>
    <t>DOL-51009-0000</t>
  </si>
  <si>
    <t>DOL-51011-0000</t>
  </si>
  <si>
    <t>DOL-51012-0000</t>
  </si>
  <si>
    <t>DOL-51013-0000</t>
  </si>
  <si>
    <t>DOL-51015-0000</t>
  </si>
  <si>
    <t>DOL-51017-0000</t>
  </si>
  <si>
    <t>DOL-51018-0000</t>
  </si>
  <si>
    <t>DOL-51020-0000</t>
  </si>
  <si>
    <t>DOL-51025-0000</t>
  </si>
  <si>
    <t>DOL-52001-0000</t>
  </si>
  <si>
    <t>DOL-52003-0000</t>
  </si>
  <si>
    <t>DOL-52004-0000</t>
  </si>
  <si>
    <t>DOL-52006-0000</t>
  </si>
  <si>
    <t>DOL-53001-0000</t>
  </si>
  <si>
    <t>DOL-53002-0000</t>
  </si>
  <si>
    <t>DOL-53003-0000</t>
  </si>
  <si>
    <t>DOL-53004-0000</t>
  </si>
  <si>
    <t>DOL-53005-0000</t>
  </si>
  <si>
    <t>DOL-53006-0000</t>
  </si>
  <si>
    <t>DOL-54001-0000</t>
  </si>
  <si>
    <t>DOL-54002-0000</t>
  </si>
  <si>
    <t>DOL-54003-0000</t>
  </si>
  <si>
    <t>DOL-54004-0000</t>
  </si>
  <si>
    <t>DOL-54005-0000</t>
  </si>
  <si>
    <t>DOL-54006-0000</t>
  </si>
  <si>
    <t>DOL-54007-0000</t>
  </si>
  <si>
    <t>DOL-54008-0000</t>
  </si>
  <si>
    <t>DOL-55501-0000</t>
  </si>
  <si>
    <t>DOL-55502-0000</t>
  </si>
  <si>
    <t>DOL-55503-0000</t>
  </si>
  <si>
    <t>DOL-55504-0000</t>
  </si>
  <si>
    <t>DOL-55505-0000</t>
  </si>
  <si>
    <t>DOL-55506-0000</t>
  </si>
  <si>
    <t>DOL-55507-0000</t>
  </si>
  <si>
    <t>DOL-60001-0000</t>
  </si>
  <si>
    <t>DOL-60002-0000</t>
  </si>
  <si>
    <t>DOL-60005-0000</t>
  </si>
  <si>
    <t>DOL-60006-0000</t>
  </si>
  <si>
    <t>DOL-60007-0000</t>
  </si>
  <si>
    <t>DOL-60011-0000</t>
  </si>
  <si>
    <t>DOL-60012-0000</t>
  </si>
  <si>
    <t>DOL-60014-0000</t>
  </si>
  <si>
    <t>DOL-60015-0000</t>
  </si>
  <si>
    <t>DOL-61018-0000</t>
  </si>
  <si>
    <t>DOL-61019-0000</t>
  </si>
  <si>
    <t>DPH-11350-0000</t>
  </si>
  <si>
    <t>Interco-EAL</t>
  </si>
  <si>
    <t>DPH-11351-0000</t>
  </si>
  <si>
    <t>Interco-WEP</t>
  </si>
  <si>
    <t>DPH-11358-0000</t>
  </si>
  <si>
    <t>Interco-DPM</t>
  </si>
  <si>
    <t>DPH-41122-0000</t>
  </si>
  <si>
    <t>DPH-41160-0000</t>
  </si>
  <si>
    <t>DPH-41999-0000</t>
  </si>
  <si>
    <t>DPH-47400-0000</t>
  </si>
  <si>
    <t>DPH-47430-0000</t>
  </si>
  <si>
    <t>DPH-51007-0000</t>
  </si>
  <si>
    <t>DPH-51011-0000</t>
  </si>
  <si>
    <t>DPH-51012-0000</t>
  </si>
  <si>
    <t>DPH-51015-0000</t>
  </si>
  <si>
    <t>DPH-53001-0000</t>
  </si>
  <si>
    <t>DPH-53002-0000</t>
  </si>
  <si>
    <t>DPH-53004-0000</t>
  </si>
  <si>
    <t>DPH-54004-0000</t>
  </si>
  <si>
    <t>DPH-54005-0000</t>
  </si>
  <si>
    <t>DPH-54006-0000</t>
  </si>
  <si>
    <t>DPH-55501-0000</t>
  </si>
  <si>
    <t>DPH-55502-0000</t>
  </si>
  <si>
    <t>DPH-60002-0000</t>
  </si>
  <si>
    <t>DPH-60005-0000</t>
  </si>
  <si>
    <t>DPH-60006-0000</t>
  </si>
  <si>
    <t>DPH-60007-0000</t>
  </si>
  <si>
    <t>DPH-60015-0000</t>
  </si>
  <si>
    <t>DPH-61019-0000</t>
  </si>
  <si>
    <t>DPI-15501-0000</t>
  </si>
  <si>
    <t>DPI-25300-0000</t>
  </si>
  <si>
    <t>Donovan Property Investments- -</t>
  </si>
  <si>
    <t>DPI-40110-0000</t>
  </si>
  <si>
    <t>DPI-40120-0000</t>
  </si>
  <si>
    <t>DPI-40130-0000</t>
  </si>
  <si>
    <t>DPI-40140-0000</t>
  </si>
  <si>
    <t>DPI-41110-0000</t>
  </si>
  <si>
    <t>DPI-41121-0000</t>
  </si>
  <si>
    <t>DPI-41122-0000</t>
  </si>
  <si>
    <t>DPI-41130-0000</t>
  </si>
  <si>
    <t>DPI-41140-0000</t>
  </si>
  <si>
    <t>DPI-41150-0000</t>
  </si>
  <si>
    <t>DPI-41160-0000</t>
  </si>
  <si>
    <t>DPI-41999-0000</t>
  </si>
  <si>
    <t>DPI-47400-0000</t>
  </si>
  <si>
    <t>DPI-47420-0000</t>
  </si>
  <si>
    <t>DPI-47440-0000</t>
  </si>
  <si>
    <t>DPI-47450-0000</t>
  </si>
  <si>
    <t>DPI-47460-0000</t>
  </si>
  <si>
    <t>DPI-47480-0000</t>
  </si>
  <si>
    <t>DPI-47490-0000</t>
  </si>
  <si>
    <t>DPI-47492-0000</t>
  </si>
  <si>
    <t>DPI-51002-0000</t>
  </si>
  <si>
    <t>DPI-51005-0000</t>
  </si>
  <si>
    <t>DPI-51006-0000</t>
  </si>
  <si>
    <t>DPI-51007-0000</t>
  </si>
  <si>
    <t>DPI-51008-0000</t>
  </si>
  <si>
    <t>DPI-51009-0000</t>
  </si>
  <si>
    <t>DPI-51011-0000</t>
  </si>
  <si>
    <t>DPI-51012-0000</t>
  </si>
  <si>
    <t>DPI-51013-0000</t>
  </si>
  <si>
    <t>DPI-51020-0000</t>
  </si>
  <si>
    <t>DPI-52001-0000</t>
  </si>
  <si>
    <t>DPI-52003-0000</t>
  </si>
  <si>
    <t>DPI-52006-0000</t>
  </si>
  <si>
    <t>DPI-53001-0000</t>
  </si>
  <si>
    <t>DPI-53002-0000</t>
  </si>
  <si>
    <t>DPI-53003-0000</t>
  </si>
  <si>
    <t>DPI-53004-0000</t>
  </si>
  <si>
    <t>DPI-53005-0000</t>
  </si>
  <si>
    <t>DPI-53006-0000</t>
  </si>
  <si>
    <t>DPI-54003-0000</t>
  </si>
  <si>
    <t>DPI-54004-0000</t>
  </si>
  <si>
    <t>DPI-54006-0000</t>
  </si>
  <si>
    <t>DPI-54007-0000</t>
  </si>
  <si>
    <t>DPI-55501-0000</t>
  </si>
  <si>
    <t>DPI-55502-0000</t>
  </si>
  <si>
    <t>DPI-55503-0000</t>
  </si>
  <si>
    <t>DPI-55505-0000</t>
  </si>
  <si>
    <t>DPI-55506-0000</t>
  </si>
  <si>
    <t>DPI-55507-0000</t>
  </si>
  <si>
    <t>DPI-60001-0000</t>
  </si>
  <si>
    <t>DPI-60002-0000</t>
  </si>
  <si>
    <t>DPI-60005-0000</t>
  </si>
  <si>
    <t>DPI-60006-0000</t>
  </si>
  <si>
    <t>DPI-60007-0000</t>
  </si>
  <si>
    <t>DPI-60011-0000</t>
  </si>
  <si>
    <t>DPI-60012-0000</t>
  </si>
  <si>
    <t>DPI-60014-0000</t>
  </si>
  <si>
    <t>DPI-60015-0000</t>
  </si>
  <si>
    <t>DPI-61019-0000</t>
  </si>
  <si>
    <t>DPM-10001-0000</t>
  </si>
  <si>
    <t>DPM-11000-0000</t>
  </si>
  <si>
    <t>DPM-11216-0000</t>
  </si>
  <si>
    <t>DPM-11343-0000</t>
  </si>
  <si>
    <t>DPM-11346-0000</t>
  </si>
  <si>
    <t>DPM-14000-0000</t>
  </si>
  <si>
    <t>DPM-15000-0000</t>
  </si>
  <si>
    <t>DPM-15501-0000</t>
  </si>
  <si>
    <t>DPM-19001-0000</t>
  </si>
  <si>
    <t>DPM-20001-0000</t>
  </si>
  <si>
    <t>DPM-22001-0000</t>
  </si>
  <si>
    <t>DPM-23509-0000</t>
  </si>
  <si>
    <t>DPM-25100-0000</t>
  </si>
  <si>
    <t>DPM-25300-0000</t>
  </si>
  <si>
    <t>DPM-28001-0000</t>
  </si>
  <si>
    <t>DPM-30700-0000</t>
  </si>
  <si>
    <t>DPM-40110-0000</t>
  </si>
  <si>
    <t>DPM-40120-0000</t>
  </si>
  <si>
    <t>DPM-40130-0000</t>
  </si>
  <si>
    <t>DPM-41110-0000</t>
  </si>
  <si>
    <t>DPM-41121-0000</t>
  </si>
  <si>
    <t>DPM-41122-0000</t>
  </si>
  <si>
    <t>DPM-41130-0000</t>
  </si>
  <si>
    <t>DPM-41140-0000</t>
  </si>
  <si>
    <t>DPM-41150-0000</t>
  </si>
  <si>
    <t>DPM-41999-0000</t>
  </si>
  <si>
    <t>DPM-46000-0000</t>
  </si>
  <si>
    <t>DPM-47400-0000</t>
  </si>
  <si>
    <t>DPM-47430-0000</t>
  </si>
  <si>
    <t>DPM-47440-0000</t>
  </si>
  <si>
    <t>DPM-47450-0000</t>
  </si>
  <si>
    <t>DPM-47460-0000</t>
  </si>
  <si>
    <t>DPM-47480-0000</t>
  </si>
  <si>
    <t>DPM-47490-0000</t>
  </si>
  <si>
    <t>DPM-47491-0000</t>
  </si>
  <si>
    <t>DPM-47492-0000</t>
  </si>
  <si>
    <t>DPM-51006-0000</t>
  </si>
  <si>
    <t>DPM-51008-0000</t>
  </si>
  <si>
    <t>DPM-51009-0000</t>
  </si>
  <si>
    <t>DPM-51011-0000</t>
  </si>
  <si>
    <t>DPM-51012-0000</t>
  </si>
  <si>
    <t>DPM-51015-0000</t>
  </si>
  <si>
    <t>DPM-51017-0000</t>
  </si>
  <si>
    <t>DPM-51018-0000</t>
  </si>
  <si>
    <t>DPM-51019-0000</t>
  </si>
  <si>
    <t>DPM-51020-0000</t>
  </si>
  <si>
    <t>DPM-51029-0000</t>
  </si>
  <si>
    <t>DPM-52001-0000</t>
  </si>
  <si>
    <t>DPM-52003-0000</t>
  </si>
  <si>
    <t>DPM-52004-0000</t>
  </si>
  <si>
    <t>DPM-53001-0000</t>
  </si>
  <si>
    <t>DPM-53002-0000</t>
  </si>
  <si>
    <t>DPM-53003-0000</t>
  </si>
  <si>
    <t>DPM-53004-0000</t>
  </si>
  <si>
    <t>DPM-53005-0000</t>
  </si>
  <si>
    <t>DPM-53006-0000</t>
  </si>
  <si>
    <t>DPM-54001-0000</t>
  </si>
  <si>
    <t>DPM-54002-0000</t>
  </si>
  <si>
    <t>DPM-54003-0000</t>
  </si>
  <si>
    <t>DPM-54004-0000</t>
  </si>
  <si>
    <t>DPM-54005-0000</t>
  </si>
  <si>
    <t>DPM-54006-0000</t>
  </si>
  <si>
    <t>DPM-54007-0000</t>
  </si>
  <si>
    <t>DPM-55501-0000</t>
  </si>
  <si>
    <t>DPM-55502-0000</t>
  </si>
  <si>
    <t>DPM-55503-0000</t>
  </si>
  <si>
    <t>DPM-55505-0000</t>
  </si>
  <si>
    <t>DPM-55506-0000</t>
  </si>
  <si>
    <t>DPM-60002-0000</t>
  </si>
  <si>
    <t>DPM-60005-0000</t>
  </si>
  <si>
    <t>DPM-60006-0000</t>
  </si>
  <si>
    <t>DPM-60007-0000</t>
  </si>
  <si>
    <t>DPM-60008-0000</t>
  </si>
  <si>
    <t>DPM-60012-0000</t>
  </si>
  <si>
    <t>DPM-60014-0000</t>
  </si>
  <si>
    <t>DPM-60015-0000</t>
  </si>
  <si>
    <t>DPM-61018-0000</t>
  </si>
  <si>
    <t>DPM-61019-0000</t>
  </si>
  <si>
    <t>DPM-61023-0000</t>
  </si>
  <si>
    <t>DWO-20001-0000</t>
  </si>
  <si>
    <t>DWO-40700-7863</t>
  </si>
  <si>
    <t>Rental Income:7863</t>
  </si>
  <si>
    <t>DWO-64502-0000</t>
  </si>
  <si>
    <t>DWO-92901-7863</t>
  </si>
  <si>
    <t>Management Fee Expen:7863</t>
  </si>
  <si>
    <t>DWO-94201-0000</t>
  </si>
  <si>
    <t>Professional Service</t>
  </si>
  <si>
    <t>DWO-99001-0000</t>
  </si>
  <si>
    <t>EAG-15501-0000</t>
  </si>
  <si>
    <t>EAG-25300-0000</t>
  </si>
  <si>
    <t>EAG-40110-0000</t>
  </si>
  <si>
    <t>EAG-40120-0000</t>
  </si>
  <si>
    <t>EAG-40130-0000</t>
  </si>
  <si>
    <t>EAG-40140-0000</t>
  </si>
  <si>
    <t>EAG-41110-0000</t>
  </si>
  <si>
    <t>EAG-41121-0000</t>
  </si>
  <si>
    <t>EAG-41122-0000</t>
  </si>
  <si>
    <t>EAG-41130-0000</t>
  </si>
  <si>
    <t>EAG-41140-0000</t>
  </si>
  <si>
    <t>EAG-41150-0000</t>
  </si>
  <si>
    <t>EAG-41999-0000</t>
  </si>
  <si>
    <t>EAG-47400-0000</t>
  </si>
  <si>
    <t>EAG-47420-0000</t>
  </si>
  <si>
    <t>EAG-47430-0000</t>
  </si>
  <si>
    <t>EAG-47450-0000</t>
  </si>
  <si>
    <t>EAG-47460-0000</t>
  </si>
  <si>
    <t>EAG-47480-0000</t>
  </si>
  <si>
    <t>EAG-47490-0000</t>
  </si>
  <si>
    <t>EAG-47491-0000</t>
  </si>
  <si>
    <t>EAG-47492-0000</t>
  </si>
  <si>
    <t>EAG-51006-0000</t>
  </si>
  <si>
    <t>EAG-51007-0000</t>
  </si>
  <si>
    <t>EAG-51008-0000</t>
  </si>
  <si>
    <t>EAG-51009-0000</t>
  </si>
  <si>
    <t>EAG-51011-0000</t>
  </si>
  <si>
    <t>EAG-51012-0000</t>
  </si>
  <si>
    <t>EAG-51013-0000</t>
  </si>
  <si>
    <t>EAG-51015-0000</t>
  </si>
  <si>
    <t>EAG-51017-0000</t>
  </si>
  <si>
    <t>EAG-51020-0000</t>
  </si>
  <si>
    <t>EAG-51025-0000</t>
  </si>
  <si>
    <t>EAG-52001-0000</t>
  </si>
  <si>
    <t>EAG-52002-0000</t>
  </si>
  <si>
    <t>EAG-52003-0000</t>
  </si>
  <si>
    <t>EAG-52004-0000</t>
  </si>
  <si>
    <t>EAG-52006-0000</t>
  </si>
  <si>
    <t>EAG-53001-0000</t>
  </si>
  <si>
    <t>EAG-53002-0000</t>
  </si>
  <si>
    <t>EAG-53003-0000</t>
  </si>
  <si>
    <t>EAG-53004-0000</t>
  </si>
  <si>
    <t>EAG-53005-0000</t>
  </si>
  <si>
    <t>EAG-53006-0000</t>
  </si>
  <si>
    <t>EAG-54002-0000</t>
  </si>
  <si>
    <t>EAG-54003-0000</t>
  </si>
  <si>
    <t>EAG-54004-0000</t>
  </si>
  <si>
    <t>EAG-54005-0000</t>
  </si>
  <si>
    <t>EAG-54006-0000</t>
  </si>
  <si>
    <t>EAG-54007-0000</t>
  </si>
  <si>
    <t>EAG-55501-0000</t>
  </si>
  <si>
    <t>EAG-55502-0000</t>
  </si>
  <si>
    <t>EAG-55503-0000</t>
  </si>
  <si>
    <t>EAG-55504-0000</t>
  </si>
  <si>
    <t>EAG-55505-0000</t>
  </si>
  <si>
    <t>EAG-55506-0000</t>
  </si>
  <si>
    <t>EAG-55507-0000</t>
  </si>
  <si>
    <t>EAG-60002-0000</t>
  </si>
  <si>
    <t>EAG-60005-0000</t>
  </si>
  <si>
    <t>EAG-60006-0000</t>
  </si>
  <si>
    <t>EAG-60007-0000</t>
  </si>
  <si>
    <t>EAG-60012-0000</t>
  </si>
  <si>
    <t>EAG-60014-0000</t>
  </si>
  <si>
    <t>EAG-60015-0000</t>
  </si>
  <si>
    <t>EAG-61016-0000</t>
  </si>
  <si>
    <t>EAG-61018-0000</t>
  </si>
  <si>
    <t>EAG-61019-0000</t>
  </si>
  <si>
    <t>EAL-10001-0000</t>
  </si>
  <si>
    <t>EAL-11216-0000</t>
  </si>
  <si>
    <t>EAL-11342-0000</t>
  </si>
  <si>
    <t>EAL-11346-0000</t>
  </si>
  <si>
    <t>EAL-14000-0000</t>
  </si>
  <si>
    <t>EAL-15000-0000</t>
  </si>
  <si>
    <t>EAL-15501-0000</t>
  </si>
  <si>
    <t>EAL-19001-0000</t>
  </si>
  <si>
    <t>EAL-20001-0000</t>
  </si>
  <si>
    <t>EAL-23509-0000</t>
  </si>
  <si>
    <t>EAL-25300-0000</t>
  </si>
  <si>
    <t>EAL-28000-0000</t>
  </si>
  <si>
    <t>Loan - SkyOne</t>
  </si>
  <si>
    <t>EAL-30700-0000</t>
  </si>
  <si>
    <t>EAL-40110-0000</t>
  </si>
  <si>
    <t>EAL-40120-0000</t>
  </si>
  <si>
    <t>EAL-40130-0000</t>
  </si>
  <si>
    <t>EAL-40140-0000</t>
  </si>
  <si>
    <t xml:space="preserve">Gross Schedule Rent            </t>
  </si>
  <si>
    <t>EAL-41110-0000</t>
  </si>
  <si>
    <t>EAL-41121-0000</t>
  </si>
  <si>
    <t>Uncollected Current Month</t>
  </si>
  <si>
    <t>EAL-41122-0000</t>
  </si>
  <si>
    <t>EAL-41130-0000</t>
  </si>
  <si>
    <t>EAL-41140-0000</t>
  </si>
  <si>
    <t>EAL-41150-0000</t>
  </si>
  <si>
    <t>EAL-41999-0000</t>
  </si>
  <si>
    <t>EAL-47400-0000</t>
  </si>
  <si>
    <t>EAL-47440-0000</t>
  </si>
  <si>
    <t>EAL-47450-0000</t>
  </si>
  <si>
    <t>EAL-47460-0000</t>
  </si>
  <si>
    <t>EAL-47480-0000</t>
  </si>
  <si>
    <t>EAL-47490-0000</t>
  </si>
  <si>
    <t>EAL-47492-0000</t>
  </si>
  <si>
    <t>EAL-51006-0000</t>
  </si>
  <si>
    <t>EAL-51008-0000</t>
  </si>
  <si>
    <t>EAL-51009-0000</t>
  </si>
  <si>
    <t>EAL-51011-0000</t>
  </si>
  <si>
    <t>EAL-51012-0000</t>
  </si>
  <si>
    <t>EAL-51015-0000</t>
  </si>
  <si>
    <t>EAL-51020-0000</t>
  </si>
  <si>
    <t>EAL-51025-0000</t>
  </si>
  <si>
    <t>EAL-51029-0000</t>
  </si>
  <si>
    <t>EAL-52001-0000</t>
  </si>
  <si>
    <t>EAL-52003-0000</t>
  </si>
  <si>
    <t>EAL-52006-0000</t>
  </si>
  <si>
    <t>EAL-53001-0000</t>
  </si>
  <si>
    <t>EAL-53002-0000</t>
  </si>
  <si>
    <t>EAL-53003-0000</t>
  </si>
  <si>
    <t>EAL-53004-0000</t>
  </si>
  <si>
    <t>EAL-53005-0000</t>
  </si>
  <si>
    <t>EAL-53006-0000</t>
  </si>
  <si>
    <t>EAL-54001-0000</t>
  </si>
  <si>
    <t>EAL-54002-0000</t>
  </si>
  <si>
    <t>EAL-54003-0000</t>
  </si>
  <si>
    <t>EAL-54004-0000</t>
  </si>
  <si>
    <t>EAL-54005-0000</t>
  </si>
  <si>
    <t>EAL-54006-0000</t>
  </si>
  <si>
    <t>EAL-54007-0000</t>
  </si>
  <si>
    <t>EAL-55501-0000</t>
  </si>
  <si>
    <t>EAL-55502-0000</t>
  </si>
  <si>
    <t>EAL-55503-0000</t>
  </si>
  <si>
    <t>EAL-55505-0000</t>
  </si>
  <si>
    <t>EAL-55506-0000</t>
  </si>
  <si>
    <t>EAL-60002-0000</t>
  </si>
  <si>
    <t>EAL-60005-0000</t>
  </si>
  <si>
    <t>EAL-60006-0000</t>
  </si>
  <si>
    <t>EAL-60007-0000</t>
  </si>
  <si>
    <t>EAL-60008-0000</t>
  </si>
  <si>
    <t>EAL-60011-0000</t>
  </si>
  <si>
    <t>EAL-60012-0000</t>
  </si>
  <si>
    <t>EAL-60014-0000</t>
  </si>
  <si>
    <t>EAL-60015-0000</t>
  </si>
  <si>
    <t>EAL-61018-0000</t>
  </si>
  <si>
    <t>EAL-61019-0000</t>
  </si>
  <si>
    <t>EAM-11216-0000</t>
  </si>
  <si>
    <t>EAM-15501-0000</t>
  </si>
  <si>
    <t>EAM-23509-0000</t>
  </si>
  <si>
    <t>EAM-25300-0000</t>
  </si>
  <si>
    <t>EAM-40110-0000</t>
  </si>
  <si>
    <t>EAM-40120-0000</t>
  </si>
  <si>
    <t>EAM-40130-0000</t>
  </si>
  <si>
    <t>EAM-40140-0000</t>
  </si>
  <si>
    <t>EAM-41110-0000</t>
  </si>
  <si>
    <t>EAM-41121-0000</t>
  </si>
  <si>
    <t>EAM-41122-0000</t>
  </si>
  <si>
    <t>EAM-41130-0000</t>
  </si>
  <si>
    <t>EAM-41140-0000</t>
  </si>
  <si>
    <t>EAM-41150-0000</t>
  </si>
  <si>
    <t>EAM-41999-0000</t>
  </si>
  <si>
    <t>EAM-47400-0000</t>
  </si>
  <si>
    <t>EAM-47430-0000</t>
  </si>
  <si>
    <t>EAM-47440-0000</t>
  </si>
  <si>
    <t>EAM-47450-0000</t>
  </si>
  <si>
    <t>EAM-47460-0000</t>
  </si>
  <si>
    <t>EAM-47480-0000</t>
  </si>
  <si>
    <t>EAM-47490-0000</t>
  </si>
  <si>
    <t>EAM-47491-0000</t>
  </si>
  <si>
    <t>EAM-47492-0000</t>
  </si>
  <si>
    <t>EAM-47493-0000</t>
  </si>
  <si>
    <t>EAM-51001-0000</t>
  </si>
  <si>
    <t>EAM-51002-0000</t>
  </si>
  <si>
    <t>EAM-51005-0000</t>
  </si>
  <si>
    <t>EAM-51006-0000</t>
  </si>
  <si>
    <t>EAM-51008-0000</t>
  </si>
  <si>
    <t>EAM-51009-0000</t>
  </si>
  <si>
    <t>EAM-51011-0000</t>
  </si>
  <si>
    <t>EAM-51012-0000</t>
  </si>
  <si>
    <t>EAM-51015-0000</t>
  </si>
  <si>
    <t>EAM-51017-0000</t>
  </si>
  <si>
    <t>EAM-51019-0000</t>
  </si>
  <si>
    <t>EAM-51020-0000</t>
  </si>
  <si>
    <t>EAM-51024-0000</t>
  </si>
  <si>
    <t>EAM-51025-0000</t>
  </si>
  <si>
    <t>EAM-52001-0000</t>
  </si>
  <si>
    <t>EAM-52002-0000</t>
  </si>
  <si>
    <t>EAM-52003-0000</t>
  </si>
  <si>
    <t>EAM-52004-0000</t>
  </si>
  <si>
    <t>EAM-52006-0000</t>
  </si>
  <si>
    <t>EAM-53001-0000</t>
  </si>
  <si>
    <t>EAM-53002-0000</t>
  </si>
  <si>
    <t>EAM-53003-0000</t>
  </si>
  <si>
    <t>EAM-53004-0000</t>
  </si>
  <si>
    <t>EAM-53005-0000</t>
  </si>
  <si>
    <t>EAM-53006-0000</t>
  </si>
  <si>
    <t>EAM-54001-0000</t>
  </si>
  <si>
    <t>EAM-54002-0000</t>
  </si>
  <si>
    <t>EAM-54003-0000</t>
  </si>
  <si>
    <t>EAM-54004-0000</t>
  </si>
  <si>
    <t>EAM-54005-0000</t>
  </si>
  <si>
    <t>EAM-54006-0000</t>
  </si>
  <si>
    <t>EAM-54007-0000</t>
  </si>
  <si>
    <t>EAM-55501-0000</t>
  </si>
  <si>
    <t>EAM-55503-0000</t>
  </si>
  <si>
    <t>EAM-55504-0000</t>
  </si>
  <si>
    <t>EAM-55505-0000</t>
  </si>
  <si>
    <t>EAM-55506-0000</t>
  </si>
  <si>
    <t>EAM-60002-0000</t>
  </si>
  <si>
    <t>EAM-60005-0000</t>
  </si>
  <si>
    <t>EAM-60006-0000</t>
  </si>
  <si>
    <t>EAM-60014-0000</t>
  </si>
  <si>
    <t>EAM-60015-0000</t>
  </si>
  <si>
    <t>EAM-61018-0000</t>
  </si>
  <si>
    <t>EAM-61019-0000</t>
  </si>
  <si>
    <t>EAM-61023-0000</t>
  </si>
  <si>
    <t>EAS-11350-0000</t>
  </si>
  <si>
    <t>EAS-20001-0000</t>
  </si>
  <si>
    <t>EAS-41122-0000</t>
  </si>
  <si>
    <t>EAS-41999-0000</t>
  </si>
  <si>
    <t>EAS-47400-0000</t>
  </si>
  <si>
    <t>EAS-60002-0000</t>
  </si>
  <si>
    <t>EAS-60007-0000</t>
  </si>
  <si>
    <t>EAS-61019-0000</t>
  </si>
  <si>
    <t>FFC-23509-0000</t>
  </si>
  <si>
    <t>FFC-40300-0000</t>
  </si>
  <si>
    <t>Fees Management</t>
  </si>
  <si>
    <t>FFC-40600-0000</t>
  </si>
  <si>
    <t xml:space="preserve">Revenue Fee                                        </t>
  </si>
  <si>
    <t>FFC-50000-0000</t>
  </si>
  <si>
    <t>Copier Lease</t>
  </si>
  <si>
    <t xml:space="preserve">Copier Lease/Printing                              </t>
  </si>
  <si>
    <t>FFC-50100-0000</t>
  </si>
  <si>
    <t xml:space="preserve">Misc Exp/Dues                                      </t>
  </si>
  <si>
    <t>FFC-50300-0000</t>
  </si>
  <si>
    <t>Automobile</t>
  </si>
  <si>
    <t xml:space="preserve">Automobile                                         </t>
  </si>
  <si>
    <t>FFC-50400-0000</t>
  </si>
  <si>
    <t>FFC-51400-0000</t>
  </si>
  <si>
    <t>FFC-52300-0000</t>
  </si>
  <si>
    <t>Dues and Subscriptions</t>
  </si>
  <si>
    <t>FFC-52400-0000</t>
  </si>
  <si>
    <t>Employee Incentive</t>
  </si>
  <si>
    <t xml:space="preserve">Emp Incentive                                      </t>
  </si>
  <si>
    <t>FFC-52500-0000</t>
  </si>
  <si>
    <t>FFC-52600-0000</t>
  </si>
  <si>
    <t>Employee Meals</t>
  </si>
  <si>
    <t xml:space="preserve">T and E - Meal                                     </t>
  </si>
  <si>
    <t>FFC-53500-0000</t>
  </si>
  <si>
    <t xml:space="preserve">Insurance                                          </t>
  </si>
  <si>
    <t>FFC-53900-0000</t>
  </si>
  <si>
    <t>FFC-54500-0000</t>
  </si>
  <si>
    <t>FFC-55100-0000</t>
  </si>
  <si>
    <t>FFC-55400-0000</t>
  </si>
  <si>
    <t>FFC-55500-0000</t>
  </si>
  <si>
    <t>FFC-56100-0000</t>
  </si>
  <si>
    <t xml:space="preserve">Office Supplies/Expense                            </t>
  </si>
  <si>
    <t>FFC-56900-0000</t>
  </si>
  <si>
    <t>FFC-56950-0000</t>
  </si>
  <si>
    <t>FFC-57000-0000</t>
  </si>
  <si>
    <t>FFC-57100-0000</t>
  </si>
  <si>
    <t>Postage and Delivery</t>
  </si>
  <si>
    <t xml:space="preserve">Postage And Delivery                               </t>
  </si>
  <si>
    <t>FFC-57500-0000</t>
  </si>
  <si>
    <t>Professional Development</t>
  </si>
  <si>
    <t>FFC-57700-0000</t>
  </si>
  <si>
    <t>FFC-57900-0000</t>
  </si>
  <si>
    <t>Professional Fees:Accounting</t>
  </si>
  <si>
    <t>FFC-58100-0000</t>
  </si>
  <si>
    <t>FFC-58300-0000</t>
  </si>
  <si>
    <t>Recruiting</t>
  </si>
  <si>
    <t xml:space="preserve">Recruiting                                         </t>
  </si>
  <si>
    <t>FFC-58400-0000</t>
  </si>
  <si>
    <t>FFC-58450-0000</t>
  </si>
  <si>
    <t>Rent - Storage Space</t>
  </si>
  <si>
    <t>FFC-58500-0000</t>
  </si>
  <si>
    <t>FFC-59100-0000</t>
  </si>
  <si>
    <t>FFC-59200-0000</t>
  </si>
  <si>
    <t>Taxes</t>
  </si>
  <si>
    <t xml:space="preserve">Tax (Local and Property)                           </t>
  </si>
  <si>
    <t>FFC-59400-0000</t>
  </si>
  <si>
    <t>Taxes:State</t>
  </si>
  <si>
    <t>FFC-59500-0000</t>
  </si>
  <si>
    <t>FFC-59600-0000</t>
  </si>
  <si>
    <t>Entertainment</t>
  </si>
  <si>
    <t xml:space="preserve">Entertainment                                      </t>
  </si>
  <si>
    <t>FFC-59700-0000</t>
  </si>
  <si>
    <t>Meals Expense</t>
  </si>
  <si>
    <t>FFC-59750-0000</t>
  </si>
  <si>
    <t>FFC-62550-0000</t>
  </si>
  <si>
    <t>FFC-70100-0000</t>
  </si>
  <si>
    <t>FFC-91601-0000</t>
  </si>
  <si>
    <t>Donations</t>
  </si>
  <si>
    <t xml:space="preserve">Donations                                          </t>
  </si>
  <si>
    <t>FIR-11359-0000</t>
  </si>
  <si>
    <t>Interco-TPI</t>
  </si>
  <si>
    <t>FIR-19000-0000</t>
  </si>
  <si>
    <t>FIR-24801-0000</t>
  </si>
  <si>
    <t>FIR-40110-0000</t>
  </si>
  <si>
    <t>FIR-40120-0000</t>
  </si>
  <si>
    <t>FIR-40130-0000</t>
  </si>
  <si>
    <t>FIR-40140-0000</t>
  </si>
  <si>
    <t>FIR-41110-0000</t>
  </si>
  <si>
    <t>FIR-41121-0000</t>
  </si>
  <si>
    <t>FIR-41122-0000</t>
  </si>
  <si>
    <t>FIR-41130-0000</t>
  </si>
  <si>
    <t>FIR-41140-0000</t>
  </si>
  <si>
    <t>FIR-41150-0000</t>
  </si>
  <si>
    <t>FIR-41160-0000</t>
  </si>
  <si>
    <t>FIR-41999-0000</t>
  </si>
  <si>
    <t>FIR-47400-0000</t>
  </si>
  <si>
    <t>FIR-47430-0000</t>
  </si>
  <si>
    <t>FIR-47440-0000</t>
  </si>
  <si>
    <t>FIR-47450-0000</t>
  </si>
  <si>
    <t>FIR-47460-0000</t>
  </si>
  <si>
    <t>FIR-47480-0000</t>
  </si>
  <si>
    <t>FIR-47490-0000</t>
  </si>
  <si>
    <t>FIR-47492-0000</t>
  </si>
  <si>
    <t>FIR-51005-0000</t>
  </si>
  <si>
    <t>FIR-51006-0000</t>
  </si>
  <si>
    <t>FIR-51008-0000</t>
  </si>
  <si>
    <t>FIR-51009-0000</t>
  </si>
  <si>
    <t>FIR-51011-0000</t>
  </si>
  <si>
    <t>FIR-51012-0000</t>
  </si>
  <si>
    <t>FIR-51013-0000</t>
  </si>
  <si>
    <t>FIR-51015-0000</t>
  </si>
  <si>
    <t>FIR-51017-0000</t>
  </si>
  <si>
    <t>FIR-51020-0000</t>
  </si>
  <si>
    <t>FIR-51025-0000</t>
  </si>
  <si>
    <t>FIR-52003-0000</t>
  </si>
  <si>
    <t>FIR-53001-0000</t>
  </si>
  <si>
    <t>FIR-53003-0000</t>
  </si>
  <si>
    <t>FIR-53004-0000</t>
  </si>
  <si>
    <t>FIR-53005-0000</t>
  </si>
  <si>
    <t>FIR-53006-0000</t>
  </si>
  <si>
    <t>FIR-54002-0000</t>
  </si>
  <si>
    <t>FIR-54003-0000</t>
  </si>
  <si>
    <t>FIR-54004-0000</t>
  </si>
  <si>
    <t>FIR-54005-0000</t>
  </si>
  <si>
    <t>FIR-54006-0000</t>
  </si>
  <si>
    <t>FIR-54007-0000</t>
  </si>
  <si>
    <t>FIR-54008-0000</t>
  </si>
  <si>
    <t>FIR-55501-0000</t>
  </si>
  <si>
    <t>FIR-55502-0000</t>
  </si>
  <si>
    <t>FIR-55503-0000</t>
  </si>
  <si>
    <t>FIR-55505-0000</t>
  </si>
  <si>
    <t>FIR-55506-0000</t>
  </si>
  <si>
    <t>FIR-55507-0000</t>
  </si>
  <si>
    <t>FIR-60002-0000</t>
  </si>
  <si>
    <t>FIR-60005-0000</t>
  </si>
  <si>
    <t>FIR-60006-0000</t>
  </si>
  <si>
    <t>FIR-60007-0000</t>
  </si>
  <si>
    <t>FIR-60012-0000</t>
  </si>
  <si>
    <t>FIR-60014-0000</t>
  </si>
  <si>
    <t>FIR-60015-0000</t>
  </si>
  <si>
    <t>FIR-61018-0000</t>
  </si>
  <si>
    <t>FIR-61019-0000</t>
  </si>
  <si>
    <t>FIR-99700-0000</t>
  </si>
  <si>
    <t>Gain/Loss on Disp</t>
  </si>
  <si>
    <t xml:space="preserve">Gain/Loss on Disp              </t>
  </si>
  <si>
    <t xml:space="preserve">Gain/Loss On Assets Disposal                       </t>
  </si>
  <si>
    <t>FRM-13110-3016</t>
  </si>
  <si>
    <t>FRM-43200-1003</t>
  </si>
  <si>
    <t>Revenue</t>
  </si>
  <si>
    <t xml:space="preserve">Revenue - WO Tech                                  </t>
  </si>
  <si>
    <t>FRM-43200-1011</t>
  </si>
  <si>
    <t>FRM-43200-1017</t>
  </si>
  <si>
    <t>FRM-43200-3001</t>
  </si>
  <si>
    <t>FRM-43200-3014</t>
  </si>
  <si>
    <t>FRM-43200-3016</t>
  </si>
  <si>
    <t>FRM-43300-1003</t>
  </si>
  <si>
    <t xml:space="preserve">Revenue - Parts                                    </t>
  </si>
  <si>
    <t>FRM-43300-1011</t>
  </si>
  <si>
    <t>FRM-43300-1017</t>
  </si>
  <si>
    <t>FRM-43300-3001</t>
  </si>
  <si>
    <t>FRM-43300-3014</t>
  </si>
  <si>
    <t>FRM-43300-3016</t>
  </si>
  <si>
    <t>FRM-50300-0000</t>
  </si>
  <si>
    <t xml:space="preserve">Total Expenses                 </t>
  </si>
  <si>
    <t xml:space="preserve">Vehicle Expenses                                   </t>
  </si>
  <si>
    <t>FRM-50300-1003</t>
  </si>
  <si>
    <t>FRM-50300-1011</t>
  </si>
  <si>
    <t>FRM-50300-1017</t>
  </si>
  <si>
    <t>FRM-50300-3001</t>
  </si>
  <si>
    <t>FRM-50300-3014</t>
  </si>
  <si>
    <t>FRM-50350-0000</t>
  </si>
  <si>
    <t>Parts &amp; Supplies</t>
  </si>
  <si>
    <t xml:space="preserve">Parts and Supplies                                 </t>
  </si>
  <si>
    <t>FRM-50350-1003</t>
  </si>
  <si>
    <t>FRM-50350-1011</t>
  </si>
  <si>
    <t>FRM-50350-1016</t>
  </si>
  <si>
    <t>FRM-50350-1017</t>
  </si>
  <si>
    <t>FRM-50350-2002</t>
  </si>
  <si>
    <t>FRM-50350-3001</t>
  </si>
  <si>
    <t>FRM-50350-3014</t>
  </si>
  <si>
    <t>FRM-50350-3016</t>
  </si>
  <si>
    <t>FRM-50350-4005</t>
  </si>
  <si>
    <t>FRM-50400-0000</t>
  </si>
  <si>
    <t>FRM-52520-0000</t>
  </si>
  <si>
    <t xml:space="preserve">Group Insurance                                    </t>
  </si>
  <si>
    <t>FRM-52520-1003</t>
  </si>
  <si>
    <t>FRM-52520-1011</t>
  </si>
  <si>
    <t>FRM-52520-1017</t>
  </si>
  <si>
    <t>FRM-52520-3001</t>
  </si>
  <si>
    <t>FRM-52530-0000</t>
  </si>
  <si>
    <t>FRM-52530-1003</t>
  </si>
  <si>
    <t>FRM-52530-1011</t>
  </si>
  <si>
    <t>FRM-52530-3001</t>
  </si>
  <si>
    <t>FRM-53500-0000</t>
  </si>
  <si>
    <t xml:space="preserve">Liability Insurance                                </t>
  </si>
  <si>
    <t>FRM-53905-0000</t>
  </si>
  <si>
    <t>Insurance WC Exp</t>
  </si>
  <si>
    <t xml:space="preserve">Workers Comp Expense                               </t>
  </si>
  <si>
    <t>FRM-55500-0000</t>
  </si>
  <si>
    <t xml:space="preserve">Office Expenses                                    </t>
  </si>
  <si>
    <t>FRM-56100-0000</t>
  </si>
  <si>
    <t>Office Supplies &amp; Expense</t>
  </si>
  <si>
    <t>FRM-56900-0000</t>
  </si>
  <si>
    <t xml:space="preserve">Labor                                              </t>
  </si>
  <si>
    <t>FRM-56950-0000</t>
  </si>
  <si>
    <t>FRM-57000-0000</t>
  </si>
  <si>
    <t>FRM-57000-1003</t>
  </si>
  <si>
    <t>FRM-57000-1011</t>
  </si>
  <si>
    <t>FRM-57000-3001</t>
  </si>
  <si>
    <t>FRM-57000-3014</t>
  </si>
  <si>
    <t>FRM-57000-3016</t>
  </si>
  <si>
    <t>FRM-57000-4005</t>
  </si>
  <si>
    <t>FRM-57900-0000</t>
  </si>
  <si>
    <t>FRM-59100-0000</t>
  </si>
  <si>
    <t>FRM-59100-1003</t>
  </si>
  <si>
    <t>FRM-59100-1011</t>
  </si>
  <si>
    <t>FRM-59100-3001</t>
  </si>
  <si>
    <t>FRM-59100-3014</t>
  </si>
  <si>
    <t>FRM-59100-3016</t>
  </si>
  <si>
    <t>FRM-59100-4005</t>
  </si>
  <si>
    <t>FRM-59120-1003</t>
  </si>
  <si>
    <t>Salaries Overtime</t>
  </si>
  <si>
    <t xml:space="preserve">Overtime                                           </t>
  </si>
  <si>
    <t>FRM-59120-1011</t>
  </si>
  <si>
    <t>FRM-59120-3001</t>
  </si>
  <si>
    <t>FRM-59120-3014</t>
  </si>
  <si>
    <t>FRM-59120-3016</t>
  </si>
  <si>
    <t>FRM-59120-4005</t>
  </si>
  <si>
    <t>FRM-59160-0000</t>
  </si>
  <si>
    <t>Auto Reimbursement</t>
  </si>
  <si>
    <t>FRM-59160-1003</t>
  </si>
  <si>
    <t>FRM-59160-1011</t>
  </si>
  <si>
    <t>FRM-59160-3001</t>
  </si>
  <si>
    <t>FRM-59160-3014</t>
  </si>
  <si>
    <t>FRM-59180-1003</t>
  </si>
  <si>
    <t>Other Pay</t>
  </si>
  <si>
    <t xml:space="preserve">Vacation Pay                                       </t>
  </si>
  <si>
    <t>FRM-59180-1011</t>
  </si>
  <si>
    <t>FRM-59180-3001</t>
  </si>
  <si>
    <t>FRM-59180-3014</t>
  </si>
  <si>
    <t>FRM-59180-3016</t>
  </si>
  <si>
    <t>FRM-59500-0000</t>
  </si>
  <si>
    <t>FRM-59500-1003</t>
  </si>
  <si>
    <t>FRM-59500-1011</t>
  </si>
  <si>
    <t>FRM-59500-3001</t>
  </si>
  <si>
    <t>FRM-59500-3014</t>
  </si>
  <si>
    <t>FRM-70100-0000</t>
  </si>
  <si>
    <t>Other Expenses/Incomes</t>
  </si>
  <si>
    <t>FRM-99901-0000</t>
  </si>
  <si>
    <t>Income Tax</t>
  </si>
  <si>
    <t xml:space="preserve">Provision for Income Tax                           </t>
  </si>
  <si>
    <t>FSH-40001-8213</t>
  </si>
  <si>
    <t>FSH-40002-8213</t>
  </si>
  <si>
    <t>FSH-40091-8213</t>
  </si>
  <si>
    <t>FSH-50003-8213</t>
  </si>
  <si>
    <t>FSH-50007-8213</t>
  </si>
  <si>
    <t>FSH-50099-8213</t>
  </si>
  <si>
    <t>FSH-50100-8213</t>
  </si>
  <si>
    <t>FSH-51001-8213</t>
  </si>
  <si>
    <t>FSH-52001-8213</t>
  </si>
  <si>
    <t>FSH-52002-8213</t>
  </si>
  <si>
    <t>FSH-52003-8213</t>
  </si>
  <si>
    <t>FSH-52004-8213</t>
  </si>
  <si>
    <t>FSH-52005-8213</t>
  </si>
  <si>
    <t>FSH-53003-8213</t>
  </si>
  <si>
    <t>FSH-53004-8213</t>
  </si>
  <si>
    <t>FSH-53005-8213</t>
  </si>
  <si>
    <t>FSH-53006-8213</t>
  </si>
  <si>
    <t>FSH-54001-8213</t>
  </si>
  <si>
    <t>FSH-54099-8213</t>
  </si>
  <si>
    <t>FSH-54100-8213</t>
  </si>
  <si>
    <t>FSH-55001-8213</t>
  </si>
  <si>
    <t>FSH-56001-0000</t>
  </si>
  <si>
    <t>FSH-56001-8213</t>
  </si>
  <si>
    <t>FSH-56002-8213</t>
  </si>
  <si>
    <t>FSH-56050-0000</t>
  </si>
  <si>
    <t>FSH-60001-8213</t>
  </si>
  <si>
    <t>FSH-60503-8213</t>
  </si>
  <si>
    <t>FSH-60505-8213</t>
  </si>
  <si>
    <t>FSH-60507-8213</t>
  </si>
  <si>
    <t>FSH-60509-8213</t>
  </si>
  <si>
    <t>FSH-61001-8213</t>
  </si>
  <si>
    <t>FSH-61002-8213</t>
  </si>
  <si>
    <t>FSH-61201-8213</t>
  </si>
  <si>
    <t>FSH-61501-8213</t>
  </si>
  <si>
    <t>FSH-61505-8213</t>
  </si>
  <si>
    <t>FSH-62001-8213</t>
  </si>
  <si>
    <t>FSH-62002-8213</t>
  </si>
  <si>
    <t>FSH-62097-8213</t>
  </si>
  <si>
    <t>FSH-62501-8213</t>
  </si>
  <si>
    <t>FSH-62510-8213</t>
  </si>
  <si>
    <t>FSH-62511-8213</t>
  </si>
  <si>
    <t>FSH-62512-8213</t>
  </si>
  <si>
    <t>FSH-62513-8213</t>
  </si>
  <si>
    <t>FSH-62550-8213</t>
  </si>
  <si>
    <t>FSH-62551-8213</t>
  </si>
  <si>
    <t>FSH-63001-8213</t>
  </si>
  <si>
    <t>FSH-63004-8213</t>
  </si>
  <si>
    <t>FSH-63005-8213</t>
  </si>
  <si>
    <t>FSH-63006-8213</t>
  </si>
  <si>
    <t>FSH-63501-8213</t>
  </si>
  <si>
    <t>FSH-63502-8213</t>
  </si>
  <si>
    <t>FSH-63503-8213</t>
  </si>
  <si>
    <t>FSH-63504-8213</t>
  </si>
  <si>
    <t>FSH-64001-8213</t>
  </si>
  <si>
    <t>FSH-64501-8213</t>
  </si>
  <si>
    <t>FSH-64502-8213</t>
  </si>
  <si>
    <t>FSH-64503-8213</t>
  </si>
  <si>
    <t>FSH-65002-8213</t>
  </si>
  <si>
    <t>FSH-65501-8213</t>
  </si>
  <si>
    <t>FSH-66001-8213</t>
  </si>
  <si>
    <t>FSH-66501-8213</t>
  </si>
  <si>
    <t>FSH-66701-8213</t>
  </si>
  <si>
    <t>FSH-67001-8213</t>
  </si>
  <si>
    <t>FSH-67501-8213</t>
  </si>
  <si>
    <t>FSH-68000-8213</t>
  </si>
  <si>
    <t>FSH-68001-8213</t>
  </si>
  <si>
    <t>FSH-70001-8213</t>
  </si>
  <si>
    <t>FSH-71001-8213</t>
  </si>
  <si>
    <t>FSH-72001-8213</t>
  </si>
  <si>
    <t>FSH-74001-8213</t>
  </si>
  <si>
    <t>FSH-75001-8213</t>
  </si>
  <si>
    <t>FSH-80001-8213</t>
  </si>
  <si>
    <t>FSH-90201-8213</t>
  </si>
  <si>
    <t>FSH-91801-8213</t>
  </si>
  <si>
    <t>FSH-92401-8213</t>
  </si>
  <si>
    <t>FSH-92801-8213</t>
  </si>
  <si>
    <t>FSH-92901-8213</t>
  </si>
  <si>
    <t>FSH-93001-8213</t>
  </si>
  <si>
    <t>FSH-93201-8213</t>
  </si>
  <si>
    <t>FSH-93601-8213</t>
  </si>
  <si>
    <t>FSH-93801-8213</t>
  </si>
  <si>
    <t>FSH-94201-0000</t>
  </si>
  <si>
    <t>FSH-94401-0000</t>
  </si>
  <si>
    <t>FSH-94401-8213</t>
  </si>
  <si>
    <t>FSH-95201-8213</t>
  </si>
  <si>
    <t>FSH-99001-0000</t>
  </si>
  <si>
    <t>FSH-99001-8213</t>
  </si>
  <si>
    <t>FSH-99901-8213</t>
  </si>
  <si>
    <t>GPI-20001-0000</t>
  </si>
  <si>
    <t>GPI-41122-0000</t>
  </si>
  <si>
    <t>GPI-41999-0000</t>
  </si>
  <si>
    <t>GPI-47400-0000</t>
  </si>
  <si>
    <t>GPI-47430-0000</t>
  </si>
  <si>
    <t>GPI-60002-0000</t>
  </si>
  <si>
    <t>GPI-60007-0000</t>
  </si>
  <si>
    <t>GPI-60015-0000</t>
  </si>
  <si>
    <t>GPI-61019-0000</t>
  </si>
  <si>
    <t>GRA-11000-0000</t>
  </si>
  <si>
    <t>GRA-11352-0000</t>
  </si>
  <si>
    <t>Interco-KLP</t>
  </si>
  <si>
    <t>GRA-11353-0000</t>
  </si>
  <si>
    <t>GRA-11354-0000</t>
  </si>
  <si>
    <t>GRA-11355-0000</t>
  </si>
  <si>
    <t>Interco-SPA</t>
  </si>
  <si>
    <t>GRA-11356-0000</t>
  </si>
  <si>
    <t>Interco-HDM</t>
  </si>
  <si>
    <t>GRA-11357-0000</t>
  </si>
  <si>
    <t>Interco-HDR</t>
  </si>
  <si>
    <t>GRA-11358-0000</t>
  </si>
  <si>
    <t>GRA-11359-0000</t>
  </si>
  <si>
    <t>GRA-11363-0000</t>
  </si>
  <si>
    <t>Interco-SOF</t>
  </si>
  <si>
    <t>GRA-15501-0000</t>
  </si>
  <si>
    <t>GRA-20000-0000</t>
  </si>
  <si>
    <t>GRA-25300-0000</t>
  </si>
  <si>
    <t>GRA-40110-0000</t>
  </si>
  <si>
    <t>GRA-40120-0000</t>
  </si>
  <si>
    <t>GRA-40130-0000</t>
  </si>
  <si>
    <t>GRA-40140-0000</t>
  </si>
  <si>
    <t>GRA-41110-0000</t>
  </si>
  <si>
    <t>GRA-41121-0000</t>
  </si>
  <si>
    <t>GRA-41122-0000</t>
  </si>
  <si>
    <t>GRA-41130-0000</t>
  </si>
  <si>
    <t>GRA-41140-0000</t>
  </si>
  <si>
    <t>GRA-41150-0000</t>
  </si>
  <si>
    <t>GRA-41999-0000</t>
  </si>
  <si>
    <t>GRA-47400-0000</t>
  </si>
  <si>
    <t>GRA-47430-0000</t>
  </si>
  <si>
    <t>GRA-47440-0000</t>
  </si>
  <si>
    <t>GRA-47450-0000</t>
  </si>
  <si>
    <t>GRA-47460-0000</t>
  </si>
  <si>
    <t>GRA-47480-0000</t>
  </si>
  <si>
    <t>GRA-47490-0000</t>
  </si>
  <si>
    <t>GRA-47491-0000</t>
  </si>
  <si>
    <t>GRA-47492-0000</t>
  </si>
  <si>
    <t>GRA-47493-0000</t>
  </si>
  <si>
    <t>GRA-51005-0000</t>
  </si>
  <si>
    <t>GRA-51006-0000</t>
  </si>
  <si>
    <t>GRA-51007-0000</t>
  </si>
  <si>
    <t>GRA-51008-0000</t>
  </si>
  <si>
    <t>GRA-51009-0000</t>
  </si>
  <si>
    <t>GRA-51011-0000</t>
  </si>
  <si>
    <t>GRA-51012-0000</t>
  </si>
  <si>
    <t>GRA-51013-0000</t>
  </si>
  <si>
    <t>GRA-51015-0000</t>
  </si>
  <si>
    <t>GRA-51017-0000</t>
  </si>
  <si>
    <t>GRA-51018-0000</t>
  </si>
  <si>
    <t>GRA-51019-0000</t>
  </si>
  <si>
    <t>GRA-51020-0000</t>
  </si>
  <si>
    <t>GRA-51025-0000</t>
  </si>
  <si>
    <t>GRA-51029-0000</t>
  </si>
  <si>
    <t>GRA-51030-0000</t>
  </si>
  <si>
    <t>GRA-52001-0000</t>
  </si>
  <si>
    <t>GRA-52003-0000</t>
  </si>
  <si>
    <t>GRA-52004-0000</t>
  </si>
  <si>
    <t>GRA-52006-0000</t>
  </si>
  <si>
    <t>GRA-53001-0000</t>
  </si>
  <si>
    <t>GRA-53002-0000</t>
  </si>
  <si>
    <t>GRA-53003-0000</t>
  </si>
  <si>
    <t>GRA-53004-0000</t>
  </si>
  <si>
    <t>GRA-53005-0000</t>
  </si>
  <si>
    <t>GRA-53006-0000</t>
  </si>
  <si>
    <t>GRA-54001-0000</t>
  </si>
  <si>
    <t>GRA-54002-0000</t>
  </si>
  <si>
    <t>GRA-54003-0000</t>
  </si>
  <si>
    <t>GRA-54004-0000</t>
  </si>
  <si>
    <t>GRA-54005-0000</t>
  </si>
  <si>
    <t>GRA-54006-0000</t>
  </si>
  <si>
    <t>GRA-54007-0000</t>
  </si>
  <si>
    <t>GRA-55501-0000</t>
  </si>
  <si>
    <t>GRA-55502-0000</t>
  </si>
  <si>
    <t>GRA-55503-0000</t>
  </si>
  <si>
    <t>GRA-55505-0000</t>
  </si>
  <si>
    <t>GRA-55506-0000</t>
  </si>
  <si>
    <t>GRA-55507-0000</t>
  </si>
  <si>
    <t>GRA-57700-0000</t>
  </si>
  <si>
    <t>Professional Fee</t>
  </si>
  <si>
    <t xml:space="preserve">Total Int TaxDeprAmort/OffSal  </t>
  </si>
  <si>
    <t>GRA-60002-0000</t>
  </si>
  <si>
    <t>GRA-60005-0000</t>
  </si>
  <si>
    <t>GRA-60006-0000</t>
  </si>
  <si>
    <t>GRA-60007-0000</t>
  </si>
  <si>
    <t>GRA-60008-0000</t>
  </si>
  <si>
    <t>GRA-60012-0000</t>
  </si>
  <si>
    <t>GRA-60014-0000</t>
  </si>
  <si>
    <t>GRA-60015-0000</t>
  </si>
  <si>
    <t>GRA-61016-0000</t>
  </si>
  <si>
    <t>GRA-61018-0000</t>
  </si>
  <si>
    <t>GRA-61019-0000</t>
  </si>
  <si>
    <t>GRA-61022-0000</t>
  </si>
  <si>
    <t>GRA-61023-0000</t>
  </si>
  <si>
    <t>GRI-61019-0000</t>
  </si>
  <si>
    <t>GSM-10001-0000</t>
  </si>
  <si>
    <t>GSM-11216-0000</t>
  </si>
  <si>
    <t>GSM-11319-0000</t>
  </si>
  <si>
    <t>GSM-12200-0000</t>
  </si>
  <si>
    <t>GSM-12300-0000</t>
  </si>
  <si>
    <t>GSM-14000-0000</t>
  </si>
  <si>
    <t>GSM-15000-0000</t>
  </si>
  <si>
    <t>GSM-15501-0000</t>
  </si>
  <si>
    <t>GSM-19001-0000</t>
  </si>
  <si>
    <t>GSM-20001-0000</t>
  </si>
  <si>
    <t>GSM-23509-0000</t>
  </si>
  <si>
    <t>GSM-24801-0000</t>
  </si>
  <si>
    <t>GSM-25300-0000</t>
  </si>
  <si>
    <t>GSM-28023-0000</t>
  </si>
  <si>
    <t>Loan-MF1 Capital LLC</t>
  </si>
  <si>
    <t>GSM-30700-0000</t>
  </si>
  <si>
    <t>GSM-40110-0000</t>
  </si>
  <si>
    <t>GSM-40120-0000</t>
  </si>
  <si>
    <t>GSM-40130-0000</t>
  </si>
  <si>
    <t>GSM-40140-0000</t>
  </si>
  <si>
    <t>GSM-41110-0000</t>
  </si>
  <si>
    <t>GSM-41121-0000</t>
  </si>
  <si>
    <t>GSM-41122-0000</t>
  </si>
  <si>
    <t>GSM-41130-0000</t>
  </si>
  <si>
    <t>GSM-41140-0000</t>
  </si>
  <si>
    <t>GSM-41150-0000</t>
  </si>
  <si>
    <t>GSM-41160-0000</t>
  </si>
  <si>
    <t>GSM-41999-0000</t>
  </si>
  <si>
    <t>GSM-47400-0000</t>
  </si>
  <si>
    <t>GSM-47420-0000</t>
  </si>
  <si>
    <t>GSM-47440-0000</t>
  </si>
  <si>
    <t>GSM-47450-0000</t>
  </si>
  <si>
    <t>GSM-47460-0000</t>
  </si>
  <si>
    <t>GSM-47480-0000</t>
  </si>
  <si>
    <t>GSM-47490-0000</t>
  </si>
  <si>
    <t>GSM-47491-0000</t>
  </si>
  <si>
    <t>GSM-47492-0000</t>
  </si>
  <si>
    <t>GSM-51008-0000</t>
  </si>
  <si>
    <t>GSM-51015-0000</t>
  </si>
  <si>
    <t>GSM-51017-0000</t>
  </si>
  <si>
    <t>GSM-51018-0000</t>
  </si>
  <si>
    <t>GSM-51020-0000</t>
  </si>
  <si>
    <t>GSM-53001-0000</t>
  </si>
  <si>
    <t>GSM-53002-0000</t>
  </si>
  <si>
    <t>GSM-53003-0000</t>
  </si>
  <si>
    <t>GSM-53004-0000</t>
  </si>
  <si>
    <t>GSM-53006-0000</t>
  </si>
  <si>
    <t>GSM-54001-0000</t>
  </si>
  <si>
    <t>GSM-54002-0000</t>
  </si>
  <si>
    <t>GSM-54003-0000</t>
  </si>
  <si>
    <t>GSM-54004-0000</t>
  </si>
  <si>
    <t>GSM-54005-0000</t>
  </si>
  <si>
    <t>GSM-54006-0000</t>
  </si>
  <si>
    <t>GSM-54007-0000</t>
  </si>
  <si>
    <t>GSM-54008-0000</t>
  </si>
  <si>
    <t>GSM-55501-0000</t>
  </si>
  <si>
    <t>GSM-55502-0000</t>
  </si>
  <si>
    <t>GSM-55503-0000</t>
  </si>
  <si>
    <t>GSM-55504-0000</t>
  </si>
  <si>
    <t>GSM-55505-0000</t>
  </si>
  <si>
    <t>GSM-55506-0000</t>
  </si>
  <si>
    <t>GSM-60005-0000</t>
  </si>
  <si>
    <t>GSM-60006-0000</t>
  </si>
  <si>
    <t>GSM-60008-0000</t>
  </si>
  <si>
    <t>GSM-60012-0000</t>
  </si>
  <si>
    <t>GSM-60014-0000</t>
  </si>
  <si>
    <t>GSM-60015-0000</t>
  </si>
  <si>
    <t>GSM-61018-0000</t>
  </si>
  <si>
    <t>GSM-61022-0000</t>
  </si>
  <si>
    <t>GST-11361-0000</t>
  </si>
  <si>
    <t>Interco-GSM</t>
  </si>
  <si>
    <t>GST-19000-0000</t>
  </si>
  <si>
    <t>GST-20001-0000</t>
  </si>
  <si>
    <t>GST-40110-0000</t>
  </si>
  <si>
    <t>GST-40120-0000</t>
  </si>
  <si>
    <t>GST-40130-0000</t>
  </si>
  <si>
    <t>GST-40140-0000</t>
  </si>
  <si>
    <t>GST-41110-0000</t>
  </si>
  <si>
    <t>GST-41121-0000</t>
  </si>
  <si>
    <t>GST-41122-0000</t>
  </si>
  <si>
    <t>GST-41130-0000</t>
  </si>
  <si>
    <t>GST-41140-0000</t>
  </si>
  <si>
    <t>GST-41150-0000</t>
  </si>
  <si>
    <t>GST-41160-0000</t>
  </si>
  <si>
    <t>GST-41999-0000</t>
  </si>
  <si>
    <t>GST-47400-0000</t>
  </si>
  <si>
    <t>GST-47430-0000</t>
  </si>
  <si>
    <t>GST-47450-0000</t>
  </si>
  <si>
    <t>GST-47460-0000</t>
  </si>
  <si>
    <t>GST-47480-0000</t>
  </si>
  <si>
    <t>GST-47490-0000</t>
  </si>
  <si>
    <t>GST-47492-0000</t>
  </si>
  <si>
    <t>GST-51005-0000</t>
  </si>
  <si>
    <t>GST-51008-0000</t>
  </si>
  <si>
    <t>GST-51009-0000</t>
  </si>
  <si>
    <t>GST-51012-0000</t>
  </si>
  <si>
    <t>GST-51015-0000</t>
  </si>
  <si>
    <t>GST-53001-0000</t>
  </si>
  <si>
    <t>GST-53003-0000</t>
  </si>
  <si>
    <t>GST-53004-0000</t>
  </si>
  <si>
    <t>GST-53005-0000</t>
  </si>
  <si>
    <t>GST-53006-0000</t>
  </si>
  <si>
    <t>GST-54003-0000</t>
  </si>
  <si>
    <t>GST-54004-0000</t>
  </si>
  <si>
    <t>GST-54005-0000</t>
  </si>
  <si>
    <t>GST-54006-0000</t>
  </si>
  <si>
    <t>GST-54007-0000</t>
  </si>
  <si>
    <t>GST-54008-0000</t>
  </si>
  <si>
    <t>GST-60002-0000</t>
  </si>
  <si>
    <t>GST-60005-0000</t>
  </si>
  <si>
    <t>GST-60006-0000</t>
  </si>
  <si>
    <t>GST-60007-0000</t>
  </si>
  <si>
    <t>GST-60011-0000</t>
  </si>
  <si>
    <t>GST-60012-0000</t>
  </si>
  <si>
    <t>GST-60014-0000</t>
  </si>
  <si>
    <t>GST-60015-0000</t>
  </si>
  <si>
    <t>GST-61018-0000</t>
  </si>
  <si>
    <t>GST-61019-0000</t>
  </si>
  <si>
    <t>GST-99700-0000</t>
  </si>
  <si>
    <t>HDM-10001-0000</t>
  </si>
  <si>
    <t>HDM-11000-0000</t>
  </si>
  <si>
    <t>HDM-11216-0000</t>
  </si>
  <si>
    <t>HDM-11320-0000</t>
  </si>
  <si>
    <t>HDM-11343-0000</t>
  </si>
  <si>
    <t>HDM-12200-0000</t>
  </si>
  <si>
    <t>HDM-14000-0000</t>
  </si>
  <si>
    <t>HDM-15000-0000</t>
  </si>
  <si>
    <t>HDM-15501-0000</t>
  </si>
  <si>
    <t>HDM-19001-0000</t>
  </si>
  <si>
    <t>HDM-20001-0000</t>
  </si>
  <si>
    <t>HDM-22001-0000</t>
  </si>
  <si>
    <t>HDM-23509-0000</t>
  </si>
  <si>
    <t>HDM-25300-0000</t>
  </si>
  <si>
    <t>HDM-28001-0000</t>
  </si>
  <si>
    <t>HDM-30700-0000</t>
  </si>
  <si>
    <t>HDM-40110-0000</t>
  </si>
  <si>
    <t>HDM-40120-0000</t>
  </si>
  <si>
    <t>HDM-40130-0000</t>
  </si>
  <si>
    <t>HDM-41110-0000</t>
  </si>
  <si>
    <t>HDM-41121-0000</t>
  </si>
  <si>
    <t>HDM-41122-0000</t>
  </si>
  <si>
    <t>HDM-41130-0000</t>
  </si>
  <si>
    <t>HDM-41140-0000</t>
  </si>
  <si>
    <t>HDM-41150-0000</t>
  </si>
  <si>
    <t>HDM-41999-0000</t>
  </si>
  <si>
    <t>HDM-47400-0000</t>
  </si>
  <si>
    <t>HDM-47440-0000</t>
  </si>
  <si>
    <t>HDM-47450-0000</t>
  </si>
  <si>
    <t>HDM-47460-0000</t>
  </si>
  <si>
    <t>HDM-47480-0000</t>
  </si>
  <si>
    <t>HDM-47490-0000</t>
  </si>
  <si>
    <t>HDM-47491-0000</t>
  </si>
  <si>
    <t>HDM-47492-0000</t>
  </si>
  <si>
    <t>HDM-51006-0000</t>
  </si>
  <si>
    <t>HDM-51008-0000</t>
  </si>
  <si>
    <t>HDM-51009-0000</t>
  </si>
  <si>
    <t>HDM-51011-0000</t>
  </si>
  <si>
    <t>HDM-51012-0000</t>
  </si>
  <si>
    <t>HDM-51018-0000</t>
  </si>
  <si>
    <t>HDM-51019-0000</t>
  </si>
  <si>
    <t>HDM-51020-0000</t>
  </si>
  <si>
    <t>HDM-52001-0000</t>
  </si>
  <si>
    <t>HDM-52003-0000</t>
  </si>
  <si>
    <t>HDM-52006-0000</t>
  </si>
  <si>
    <t>HDM-53001-0000</t>
  </si>
  <si>
    <t>HDM-53002-0000</t>
  </si>
  <si>
    <t>HDM-53003-0000</t>
  </si>
  <si>
    <t>HDM-53005-0000</t>
  </si>
  <si>
    <t>HDM-53006-0000</t>
  </si>
  <si>
    <t>HDM-54006-0000</t>
  </si>
  <si>
    <t>HDM-54007-0000</t>
  </si>
  <si>
    <t>HDM-55502-0000</t>
  </si>
  <si>
    <t>HDM-55503-0000</t>
  </si>
  <si>
    <t>HDM-55505-0000</t>
  </si>
  <si>
    <t>HDM-55506-0000</t>
  </si>
  <si>
    <t>HDM-60002-0000</t>
  </si>
  <si>
    <t>HDM-60005-0000</t>
  </si>
  <si>
    <t>HDM-60006-0000</t>
  </si>
  <si>
    <t>HDM-60007-0000</t>
  </si>
  <si>
    <t>HDM-60008-0000</t>
  </si>
  <si>
    <t>HDM-60012-0000</t>
  </si>
  <si>
    <t>HDM-60014-0000</t>
  </si>
  <si>
    <t>HDM-60015-0000</t>
  </si>
  <si>
    <t>HDM-61018-0000</t>
  </si>
  <si>
    <t>HDM-61019-0000</t>
  </si>
  <si>
    <t>HDM-61023-0000</t>
  </si>
  <si>
    <t>HDN-11356-0000</t>
  </si>
  <si>
    <t>Interco HDM</t>
  </si>
  <si>
    <t>HDN-11357-0000</t>
  </si>
  <si>
    <t>HDN-19000-0000</t>
  </si>
  <si>
    <t>HDN-40110-0000</t>
  </si>
  <si>
    <t>HDN-40120-0000</t>
  </si>
  <si>
    <t>HDN-40130-0000</t>
  </si>
  <si>
    <t>HDN-40140-0000</t>
  </si>
  <si>
    <t>HDN-41110-0000</t>
  </si>
  <si>
    <t>HDN-41121-0000</t>
  </si>
  <si>
    <t>HDN-41122-0000</t>
  </si>
  <si>
    <t>HDN-41130-0000</t>
  </si>
  <si>
    <t>HDN-41150-0000</t>
  </si>
  <si>
    <t>HDN-41160-0000</t>
  </si>
  <si>
    <t>HDN-41999-0000</t>
  </si>
  <si>
    <t>HDN-47400-0000</t>
  </si>
  <si>
    <t>HDN-47420-0000</t>
  </si>
  <si>
    <t>HDN-47430-0000</t>
  </si>
  <si>
    <t>HDN-47440-0000</t>
  </si>
  <si>
    <t>HDN-47450-0000</t>
  </si>
  <si>
    <t>HDN-47460-0000</t>
  </si>
  <si>
    <t>HDN-47480-0000</t>
  </si>
  <si>
    <t>HDN-47490-0000</t>
  </si>
  <si>
    <t>HDN-47495-0000</t>
  </si>
  <si>
    <t>Capital Improvement</t>
  </si>
  <si>
    <t xml:space="preserve">Capital Improvement                                </t>
  </si>
  <si>
    <t>HDN-51004-0000</t>
  </si>
  <si>
    <t>Gen-Elev Maint&amp;Rep</t>
  </si>
  <si>
    <t xml:space="preserve">Elevator Maint and Repair                          </t>
  </si>
  <si>
    <t>HDN-51006-0000</t>
  </si>
  <si>
    <t>HDN-51008-0000</t>
  </si>
  <si>
    <t>HDN-51009-0000</t>
  </si>
  <si>
    <t>HDN-51011-0000</t>
  </si>
  <si>
    <t>HDN-51012-0000</t>
  </si>
  <si>
    <t>HDN-51013-0000</t>
  </si>
  <si>
    <t>HDN-51020-0000</t>
  </si>
  <si>
    <t>HDN-51025-0000</t>
  </si>
  <si>
    <t>HDN-53001-0000</t>
  </si>
  <si>
    <t>HDN-53002-0000</t>
  </si>
  <si>
    <t>HDN-53003-0000</t>
  </si>
  <si>
    <t>HDN-53004-0000</t>
  </si>
  <si>
    <t>HDN-53005-0000</t>
  </si>
  <si>
    <t>HDN-53006-0000</t>
  </si>
  <si>
    <t>HDN-54002-0000</t>
  </si>
  <si>
    <t>HDN-54003-0000</t>
  </si>
  <si>
    <t>HDN-54004-0000</t>
  </si>
  <si>
    <t>HDN-54005-0000</t>
  </si>
  <si>
    <t>HDN-54006-0000</t>
  </si>
  <si>
    <t>HDN-54007-0000</t>
  </si>
  <si>
    <t>HDN-54008-0000</t>
  </si>
  <si>
    <t>HDN-55504-0000</t>
  </si>
  <si>
    <t>HDN-55505-0000</t>
  </si>
  <si>
    <t>HDN-55508-0000</t>
  </si>
  <si>
    <t>HDN-60002-0000</t>
  </si>
  <si>
    <t>HDN-60006-0000</t>
  </si>
  <si>
    <t>HDN-60007-0000</t>
  </si>
  <si>
    <t>HDN-60012-0000</t>
  </si>
  <si>
    <t>HDN-60014-0000</t>
  </si>
  <si>
    <t>HDN-60015-0000</t>
  </si>
  <si>
    <t>HDN-61018-0000</t>
  </si>
  <si>
    <t>HDN-61019-0000</t>
  </si>
  <si>
    <t>HDN-99700-0000</t>
  </si>
  <si>
    <t>HDR-10001-0000</t>
  </si>
  <si>
    <t>HDR-11000-0000</t>
  </si>
  <si>
    <t>HDR-11216-0000</t>
  </si>
  <si>
    <t>HDR-11320-0000</t>
  </si>
  <si>
    <t>HDR-11343-0000</t>
  </si>
  <si>
    <t>HDR-12200-0000</t>
  </si>
  <si>
    <t>HDR-14000-0000</t>
  </si>
  <si>
    <t>HDR-15000-0000</t>
  </si>
  <si>
    <t>HDR-15501-0000</t>
  </si>
  <si>
    <t>HDR-19001-0000</t>
  </si>
  <si>
    <t>HDR-20001-0000</t>
  </si>
  <si>
    <t>HDR-22001-0000</t>
  </si>
  <si>
    <t>HDR-23509-0000</t>
  </si>
  <si>
    <t>HDR-25300-0000</t>
  </si>
  <si>
    <t>HDR-28001-0000</t>
  </si>
  <si>
    <t>HDR-40110-0000</t>
  </si>
  <si>
    <t>HDR-40120-0000</t>
  </si>
  <si>
    <t>HDR-40130-0000</t>
  </si>
  <si>
    <t>HDR-41110-0000</t>
  </si>
  <si>
    <t>HDR-41121-0000</t>
  </si>
  <si>
    <t>HDR-41122-0000</t>
  </si>
  <si>
    <t>HDR-41130-0000</t>
  </si>
  <si>
    <t>HDR-41140-0000</t>
  </si>
  <si>
    <t>HDR-41150-0000</t>
  </si>
  <si>
    <t>HDR-41999-0000</t>
  </si>
  <si>
    <t>HDR-47400-0000</t>
  </si>
  <si>
    <t>HDR-47440-0000</t>
  </si>
  <si>
    <t>HDR-47450-0000</t>
  </si>
  <si>
    <t>HDR-47460-0000</t>
  </si>
  <si>
    <t>HDR-47480-0000</t>
  </si>
  <si>
    <t>HDR-47490-0000</t>
  </si>
  <si>
    <t>HDR-47491-0000</t>
  </si>
  <si>
    <t>HDR-47492-0000</t>
  </si>
  <si>
    <t>HDR-51006-0000</t>
  </si>
  <si>
    <t>HDR-51008-0000</t>
  </si>
  <si>
    <t>HDR-51011-0000</t>
  </si>
  <si>
    <t>HDR-51012-0000</t>
  </si>
  <si>
    <t>HDR-51015-0000</t>
  </si>
  <si>
    <t>HDR-51018-0000</t>
  </si>
  <si>
    <t>HDR-51019-0000</t>
  </si>
  <si>
    <t>HDR-51020-0000</t>
  </si>
  <si>
    <t>HDR-52003-0000</t>
  </si>
  <si>
    <t>HDR-52004-0000</t>
  </si>
  <si>
    <t>HDR-52006-0000</t>
  </si>
  <si>
    <t>HDR-53001-0000</t>
  </si>
  <si>
    <t>HDR-53002-0000</t>
  </si>
  <si>
    <t>HDR-53003-0000</t>
  </si>
  <si>
    <t>HDR-53005-0000</t>
  </si>
  <si>
    <t>HDR-53006-0000</t>
  </si>
  <si>
    <t>HDR-54002-0000</t>
  </si>
  <si>
    <t>HDR-54004-0000</t>
  </si>
  <si>
    <t>HDR-54005-0000</t>
  </si>
  <si>
    <t>HDR-54006-0000</t>
  </si>
  <si>
    <t>HDR-54007-0000</t>
  </si>
  <si>
    <t>HDR-55502-0000</t>
  </si>
  <si>
    <t>HDR-55503-0000</t>
  </si>
  <si>
    <t>HDR-55505-0000</t>
  </si>
  <si>
    <t>HDR-55506-0000</t>
  </si>
  <si>
    <t>HDR-60002-0000</t>
  </si>
  <si>
    <t>HDR-60005-0000</t>
  </si>
  <si>
    <t>HDR-60006-0000</t>
  </si>
  <si>
    <t>HDR-60007-0000</t>
  </si>
  <si>
    <t>HDR-60012-0000</t>
  </si>
  <si>
    <t>HDR-60014-0000</t>
  </si>
  <si>
    <t>HDR-61016-0000</t>
  </si>
  <si>
    <t>HDR-61018-0000</t>
  </si>
  <si>
    <t>HDR-61019-0000</t>
  </si>
  <si>
    <t>HDR-61023-0000</t>
  </si>
  <si>
    <t>HN2-40001-7358</t>
  </si>
  <si>
    <t>HN2-40001-7372</t>
  </si>
  <si>
    <t>HN2-40001-7384</t>
  </si>
  <si>
    <t>HN2-40001-7626</t>
  </si>
  <si>
    <t>HN2-40002-7358</t>
  </si>
  <si>
    <t>HN2-40002-7372</t>
  </si>
  <si>
    <t>HN2-40002-7384</t>
  </si>
  <si>
    <t>HN2-40002-7626</t>
  </si>
  <si>
    <t>HN2-40091-7358</t>
  </si>
  <si>
    <t>HN2-40091-7372</t>
  </si>
  <si>
    <t>HN2-40091-7384</t>
  </si>
  <si>
    <t>HN2-40091-7626</t>
  </si>
  <si>
    <t>HN2-50003-7358</t>
  </si>
  <si>
    <t>HN2-50003-7372</t>
  </si>
  <si>
    <t>HN2-50003-7384</t>
  </si>
  <si>
    <t>HN2-50003-7626</t>
  </si>
  <si>
    <t>HN2-50007-7358</t>
  </si>
  <si>
    <t>HN2-50007-7372</t>
  </si>
  <si>
    <t>HN2-50007-7384</t>
  </si>
  <si>
    <t>HN2-50007-7626</t>
  </si>
  <si>
    <t>HN2-50099-7358</t>
  </si>
  <si>
    <t>HN2-50099-7372</t>
  </si>
  <si>
    <t>HN2-50099-7384</t>
  </si>
  <si>
    <t>HN2-50099-7626</t>
  </si>
  <si>
    <t>HN2-50100-7358</t>
  </si>
  <si>
    <t>HN2-50100-7372</t>
  </si>
  <si>
    <t>HN2-50100-7384</t>
  </si>
  <si>
    <t>HN2-50100-7626</t>
  </si>
  <si>
    <t>HN2-51001-7358</t>
  </si>
  <si>
    <t>HN2-51001-7372</t>
  </si>
  <si>
    <t>HN2-51001-7384</t>
  </si>
  <si>
    <t>HN2-51001-7626</t>
  </si>
  <si>
    <t>HN2-52001-7358</t>
  </si>
  <si>
    <t>HN2-52001-7372</t>
  </si>
  <si>
    <t>HN2-52001-7384</t>
  </si>
  <si>
    <t>HN2-52001-7626</t>
  </si>
  <si>
    <t>HN2-52002-7358</t>
  </si>
  <si>
    <t>HN2-52002-7372</t>
  </si>
  <si>
    <t>HN2-52002-7384</t>
  </si>
  <si>
    <t>HN2-52002-7626</t>
  </si>
  <si>
    <t>HN2-52003-7358</t>
  </si>
  <si>
    <t>HN2-52003-7372</t>
  </si>
  <si>
    <t>HN2-52003-7384</t>
  </si>
  <si>
    <t>HN2-52003-7626</t>
  </si>
  <si>
    <t>HN2-52004-7358</t>
  </si>
  <si>
    <t>HN2-52004-7372</t>
  </si>
  <si>
    <t>HN2-52004-7384</t>
  </si>
  <si>
    <t>HN2-52004-7626</t>
  </si>
  <si>
    <t>HN2-52005-7358</t>
  </si>
  <si>
    <t>HN2-52005-7372</t>
  </si>
  <si>
    <t>HN2-52005-7384</t>
  </si>
  <si>
    <t>HN2-52005-7626</t>
  </si>
  <si>
    <t>HN2-53001-7372</t>
  </si>
  <si>
    <t>HN2-53003-7358</t>
  </si>
  <si>
    <t>HN2-53003-7372</t>
  </si>
  <si>
    <t>HN2-53003-7384</t>
  </si>
  <si>
    <t>HN2-53003-7626</t>
  </si>
  <si>
    <t>HN2-53004-7358</t>
  </si>
  <si>
    <t>HN2-53004-7372</t>
  </si>
  <si>
    <t>HN2-53004-7384</t>
  </si>
  <si>
    <t>HN2-53004-7626</t>
  </si>
  <si>
    <t>HN2-53005-7372</t>
  </si>
  <si>
    <t>HN2-53005-7626</t>
  </si>
  <si>
    <t>HN2-53006-7358</t>
  </si>
  <si>
    <t>HN2-53006-7372</t>
  </si>
  <si>
    <t>HN2-53006-7384</t>
  </si>
  <si>
    <t>HN2-53006-7626</t>
  </si>
  <si>
    <t>HN2-54001-7358</t>
  </si>
  <si>
    <t>HN2-54001-7384</t>
  </si>
  <si>
    <t>HN2-54001-7626</t>
  </si>
  <si>
    <t>HN2-54099-7358</t>
  </si>
  <si>
    <t>HN2-54099-7372</t>
  </si>
  <si>
    <t>HN2-54099-7384</t>
  </si>
  <si>
    <t>HN2-54099-7626</t>
  </si>
  <si>
    <t>HN2-54100-7358</t>
  </si>
  <si>
    <t>HN2-54100-7372</t>
  </si>
  <si>
    <t>HN2-54100-7384</t>
  </si>
  <si>
    <t>HN2-54100-7626</t>
  </si>
  <si>
    <t>HN2-55001-7358</t>
  </si>
  <si>
    <t>HN2-55001-7372</t>
  </si>
  <si>
    <t>HN2-55001-7384</t>
  </si>
  <si>
    <t>HN2-55001-7626</t>
  </si>
  <si>
    <t>HN2-56001-7358</t>
  </si>
  <si>
    <t>HN2-56001-7372</t>
  </si>
  <si>
    <t>HN2-56001-7384</t>
  </si>
  <si>
    <t>HN2-56001-7626</t>
  </si>
  <si>
    <t>HN2-56002-7358</t>
  </si>
  <si>
    <t>HN2-56002-7372</t>
  </si>
  <si>
    <t>HN2-56002-7384</t>
  </si>
  <si>
    <t>HN2-56002-7626</t>
  </si>
  <si>
    <t>HN2-56050-0000</t>
  </si>
  <si>
    <t>HN2-60001-7358</t>
  </si>
  <si>
    <t>HN2-60001-7372</t>
  </si>
  <si>
    <t>HN2-60001-7384</t>
  </si>
  <si>
    <t>HN2-60001-7626</t>
  </si>
  <si>
    <t>HN2-60503-7358</t>
  </si>
  <si>
    <t>HN2-60503-7372</t>
  </si>
  <si>
    <t>HN2-60503-7384</t>
  </si>
  <si>
    <t>HN2-60503-7626</t>
  </si>
  <si>
    <t>HN2-60505-7372</t>
  </si>
  <si>
    <t>HN2-60505-7384</t>
  </si>
  <si>
    <t>HN2-60505-7626</t>
  </si>
  <si>
    <t>HN2-60507-7358</t>
  </si>
  <si>
    <t>HN2-60507-7372</t>
  </si>
  <si>
    <t>HN2-60507-7384</t>
  </si>
  <si>
    <t>HN2-60507-7626</t>
  </si>
  <si>
    <t>HN2-60509-7358</t>
  </si>
  <si>
    <t>HN2-60509-7372</t>
  </si>
  <si>
    <t>HN2-60509-7384</t>
  </si>
  <si>
    <t>HN2-60509-7626</t>
  </si>
  <si>
    <t>HN2-61001-7372</t>
  </si>
  <si>
    <t>HN2-61001-7384</t>
  </si>
  <si>
    <t>HN2-61001-7626</t>
  </si>
  <si>
    <t>HN2-61002-0000</t>
  </si>
  <si>
    <t>HN2-61002-7358</t>
  </si>
  <si>
    <t>HN2-61002-7372</t>
  </si>
  <si>
    <t>HN2-61002-7384</t>
  </si>
  <si>
    <t>HN2-61002-7626</t>
  </si>
  <si>
    <t>HN2-61201-7358</t>
  </si>
  <si>
    <t>HN2-61201-7372</t>
  </si>
  <si>
    <t>HN2-61201-7384</t>
  </si>
  <si>
    <t>HN2-61201-7626</t>
  </si>
  <si>
    <t>HN2-61501-7358</t>
  </si>
  <si>
    <t>HN2-61501-7372</t>
  </si>
  <si>
    <t>HN2-61501-7626</t>
  </si>
  <si>
    <t>HN2-61502-7358</t>
  </si>
  <si>
    <t>HN2-61505-7358</t>
  </si>
  <si>
    <t>HN2-61505-7372</t>
  </si>
  <si>
    <t>HN2-61505-7384</t>
  </si>
  <si>
    <t>HN2-61505-7626</t>
  </si>
  <si>
    <t>HN2-62001-7372</t>
  </si>
  <si>
    <t>HN2-62002-7358</t>
  </si>
  <si>
    <t>HN2-62002-7372</t>
  </si>
  <si>
    <t>HN2-62002-7384</t>
  </si>
  <si>
    <t>HN2-62002-7626</t>
  </si>
  <si>
    <t>HN2-62097-7358</t>
  </si>
  <si>
    <t>HN2-62097-7372</t>
  </si>
  <si>
    <t>HN2-62097-7384</t>
  </si>
  <si>
    <t>HN2-62097-7626</t>
  </si>
  <si>
    <t>HN2-62501-7358</t>
  </si>
  <si>
    <t>HN2-62501-7372</t>
  </si>
  <si>
    <t>HN2-62501-7384</t>
  </si>
  <si>
    <t>HN2-62501-7626</t>
  </si>
  <si>
    <t>HN2-62502-7384</t>
  </si>
  <si>
    <t>HN2-62510-7358</t>
  </si>
  <si>
    <t>HN2-62510-7372</t>
  </si>
  <si>
    <t>HN2-62510-7384</t>
  </si>
  <si>
    <t>HN2-62510-7626</t>
  </si>
  <si>
    <t>HN2-62511-7358</t>
  </si>
  <si>
    <t>HN2-62511-7372</t>
  </si>
  <si>
    <t>HN2-62511-7384</t>
  </si>
  <si>
    <t>HN2-62511-7626</t>
  </si>
  <si>
    <t>HN2-62512-7372</t>
  </si>
  <si>
    <t>HN2-62512-7626</t>
  </si>
  <si>
    <t>HN2-62513-7358</t>
  </si>
  <si>
    <t>HN2-62513-7372</t>
  </si>
  <si>
    <t>HN2-62513-7384</t>
  </si>
  <si>
    <t>HN2-62513-7626</t>
  </si>
  <si>
    <t>HN2-62550-7358</t>
  </si>
  <si>
    <t>HN2-62550-7372</t>
  </si>
  <si>
    <t>HN2-62550-7384</t>
  </si>
  <si>
    <t>HN2-62550-7626</t>
  </si>
  <si>
    <t>HN2-62551-7358</t>
  </si>
  <si>
    <t>HN2-62551-7372</t>
  </si>
  <si>
    <t>HN2-62551-7384</t>
  </si>
  <si>
    <t>HN2-62551-7626</t>
  </si>
  <si>
    <t>HN2-63001-7358</t>
  </si>
  <si>
    <t>HN2-63001-7372</t>
  </si>
  <si>
    <t>HN2-63001-7384</t>
  </si>
  <si>
    <t>HN2-63001-7626</t>
  </si>
  <si>
    <t>HN2-63003-7358</t>
  </si>
  <si>
    <t>HN2-63004-7358</t>
  </si>
  <si>
    <t>HN2-63004-7372</t>
  </si>
  <si>
    <t>HN2-63004-7384</t>
  </si>
  <si>
    <t>HN2-63004-7626</t>
  </si>
  <si>
    <t>HN2-63005-7358</t>
  </si>
  <si>
    <t>HN2-63005-7372</t>
  </si>
  <si>
    <t>HN2-63005-7384</t>
  </si>
  <si>
    <t>HN2-63005-7626</t>
  </si>
  <si>
    <t>HN2-63006-7372</t>
  </si>
  <si>
    <t>HN2-63006-7384</t>
  </si>
  <si>
    <t>HN2-63006-7626</t>
  </si>
  <si>
    <t>HN2-63007-7372</t>
  </si>
  <si>
    <t>HN2-63007-7626</t>
  </si>
  <si>
    <t>HN2-63009-7358</t>
  </si>
  <si>
    <t>HN2-63009-7384</t>
  </si>
  <si>
    <t>HN2-63009-7626</t>
  </si>
  <si>
    <t>HN2-63501-0000</t>
  </si>
  <si>
    <t>HN2-63501-7358</t>
  </si>
  <si>
    <t>HN2-63501-7372</t>
  </si>
  <si>
    <t>HN2-63501-7384</t>
  </si>
  <si>
    <t>HN2-63501-7626</t>
  </si>
  <si>
    <t>HN2-63502-7358</t>
  </si>
  <si>
    <t>HN2-63502-7372</t>
  </si>
  <si>
    <t>HN2-63502-7384</t>
  </si>
  <si>
    <t>HN2-63502-7626</t>
  </si>
  <si>
    <t>HN2-63503-7358</t>
  </si>
  <si>
    <t>HN2-63503-7372</t>
  </si>
  <si>
    <t>HN2-63503-7384</t>
  </si>
  <si>
    <t>HN2-63503-7626</t>
  </si>
  <si>
    <t>HN2-63504-7358</t>
  </si>
  <si>
    <t>HN2-63504-7372</t>
  </si>
  <si>
    <t>HN2-63504-7384</t>
  </si>
  <si>
    <t>HN2-63504-7626</t>
  </si>
  <si>
    <t>HN2-64001-7358</t>
  </si>
  <si>
    <t>HN2-64001-7372</t>
  </si>
  <si>
    <t>HN2-64001-7384</t>
  </si>
  <si>
    <t>HN2-64001-7626</t>
  </si>
  <si>
    <t>HN2-64501-7358</t>
  </si>
  <si>
    <t>HN2-64501-7372</t>
  </si>
  <si>
    <t>HN2-64501-7384</t>
  </si>
  <si>
    <t>HN2-64501-7626</t>
  </si>
  <si>
    <t>HN2-64502-0000</t>
  </si>
  <si>
    <t>HN2-64502-7358</t>
  </si>
  <si>
    <t>HN2-64502-7372</t>
  </si>
  <si>
    <t>HN2-64502-7384</t>
  </si>
  <si>
    <t>HN2-64502-7626</t>
  </si>
  <si>
    <t>HN2-64503-7358</t>
  </si>
  <si>
    <t>HN2-64503-7372</t>
  </si>
  <si>
    <t>HN2-64503-7384</t>
  </si>
  <si>
    <t>HN2-64503-7626</t>
  </si>
  <si>
    <t>HN2-65001-7358</t>
  </si>
  <si>
    <t>HN2-65002-7358</t>
  </si>
  <si>
    <t>HN2-65002-7372</t>
  </si>
  <si>
    <t>HN2-65002-7384</t>
  </si>
  <si>
    <t>HN2-65002-7626</t>
  </si>
  <si>
    <t>HN2-65501-0000</t>
  </si>
  <si>
    <t>HN2-65501-7358</t>
  </si>
  <si>
    <t>HN2-65501-7372</t>
  </si>
  <si>
    <t>HN2-65501-7384</t>
  </si>
  <si>
    <t>HN2-65501-7626</t>
  </si>
  <si>
    <t>HN2-66001-7358</t>
  </si>
  <si>
    <t>HN2-66001-7372</t>
  </si>
  <si>
    <t>HN2-66001-7384</t>
  </si>
  <si>
    <t>HN2-66001-7626</t>
  </si>
  <si>
    <t>HN2-66501-7358</t>
  </si>
  <si>
    <t>HN2-66501-7372</t>
  </si>
  <si>
    <t>HN2-66501-7384</t>
  </si>
  <si>
    <t>HN2-66501-7626</t>
  </si>
  <si>
    <t>HN2-66701-7358</t>
  </si>
  <si>
    <t>HN2-66701-7372</t>
  </si>
  <si>
    <t>HN2-66701-7384</t>
  </si>
  <si>
    <t>HN2-66701-7626</t>
  </si>
  <si>
    <t>HN2-67001-7358</t>
  </si>
  <si>
    <t>HN2-67001-7372</t>
  </si>
  <si>
    <t>HN2-67001-7384</t>
  </si>
  <si>
    <t>HN2-67001-7626</t>
  </si>
  <si>
    <t>HN2-67501-7358</t>
  </si>
  <si>
    <t>HN2-67501-7372</t>
  </si>
  <si>
    <t>HN2-67501-7384</t>
  </si>
  <si>
    <t>HN2-67501-7626</t>
  </si>
  <si>
    <t>HN2-68000-7358</t>
  </si>
  <si>
    <t>HN2-68000-7372</t>
  </si>
  <si>
    <t>HN2-68000-7384</t>
  </si>
  <si>
    <t>HN2-68000-7626</t>
  </si>
  <si>
    <t>HN2-68001-7358</t>
  </si>
  <si>
    <t>HN2-68001-7372</t>
  </si>
  <si>
    <t>HN2-68001-7384</t>
  </si>
  <si>
    <t>HN2-68001-7626</t>
  </si>
  <si>
    <t>HN2-70001-7358</t>
  </si>
  <si>
    <t>HN2-70001-7372</t>
  </si>
  <si>
    <t>HN2-70001-7384</t>
  </si>
  <si>
    <t>HN2-70001-7626</t>
  </si>
  <si>
    <t>HN2-70010-7358</t>
  </si>
  <si>
    <t>Percentage Rent</t>
  </si>
  <si>
    <t xml:space="preserve">Percentage Rent                                    </t>
  </si>
  <si>
    <t>HN2-72001-7358</t>
  </si>
  <si>
    <t>HN2-72001-7372</t>
  </si>
  <si>
    <t>HN2-72001-7384</t>
  </si>
  <si>
    <t>HN2-72001-7626</t>
  </si>
  <si>
    <t>HN2-74001-0000</t>
  </si>
  <si>
    <t>HN2-74001-7358</t>
  </si>
  <si>
    <t>HN2-74001-7372</t>
  </si>
  <si>
    <t>HN2-74001-7384</t>
  </si>
  <si>
    <t>HN2-74001-7626</t>
  </si>
  <si>
    <t>HN2-75001-0000</t>
  </si>
  <si>
    <t>HN2-75001-7358</t>
  </si>
  <si>
    <t>HN2-75001-7372</t>
  </si>
  <si>
    <t>HN2-75001-7384</t>
  </si>
  <si>
    <t>HN2-75001-7626</t>
  </si>
  <si>
    <t>HN2-80001-7358</t>
  </si>
  <si>
    <t>HN2-80001-7372</t>
  </si>
  <si>
    <t>HN2-80001-7384</t>
  </si>
  <si>
    <t>HN2-80001-7626</t>
  </si>
  <si>
    <t>HN2-90601-0000</t>
  </si>
  <si>
    <t>HN2-91002-7372</t>
  </si>
  <si>
    <t>Robbery / Theft</t>
  </si>
  <si>
    <t xml:space="preserve">Robbery/ Theft Expense                             </t>
  </si>
  <si>
    <t>HN2-91801-7358</t>
  </si>
  <si>
    <t>HN2-91801-7372</t>
  </si>
  <si>
    <t>HN2-91801-7384</t>
  </si>
  <si>
    <t>HN2-91801-7626</t>
  </si>
  <si>
    <t>HN2-92401-7358</t>
  </si>
  <si>
    <t>HN2-92401-7372</t>
  </si>
  <si>
    <t>HN2-92401-7384</t>
  </si>
  <si>
    <t>HN2-92401-7626</t>
  </si>
  <si>
    <t>HN2-92801-0000</t>
  </si>
  <si>
    <t>HN2-92802-7626</t>
  </si>
  <si>
    <t>HN2-92901-7358</t>
  </si>
  <si>
    <t>HN2-92901-7372</t>
  </si>
  <si>
    <t>HN2-92901-7384</t>
  </si>
  <si>
    <t>HN2-92901-7626</t>
  </si>
  <si>
    <t>HN2-93001-7358</t>
  </si>
  <si>
    <t>HN2-93001-7372</t>
  </si>
  <si>
    <t>HN2-93001-7384</t>
  </si>
  <si>
    <t>HN2-93001-7626</t>
  </si>
  <si>
    <t>HN2-93201-7358</t>
  </si>
  <si>
    <t>HN2-93201-7372</t>
  </si>
  <si>
    <t>HN2-93201-7384</t>
  </si>
  <si>
    <t>HN2-93201-7626</t>
  </si>
  <si>
    <t>HN2-93601-7358</t>
  </si>
  <si>
    <t>HN2-93601-7372</t>
  </si>
  <si>
    <t>HN2-93601-7384</t>
  </si>
  <si>
    <t>HN2-93601-7626</t>
  </si>
  <si>
    <t>HN2-93801-7358</t>
  </si>
  <si>
    <t>HN2-93801-7372</t>
  </si>
  <si>
    <t>HN2-93801-7384</t>
  </si>
  <si>
    <t>HN2-93801-7626</t>
  </si>
  <si>
    <t>HN2-94201-0000</t>
  </si>
  <si>
    <t>HN2-94201-7358</t>
  </si>
  <si>
    <t>HN2-94201-7372</t>
  </si>
  <si>
    <t>HN2-94201-7384</t>
  </si>
  <si>
    <t>HN2-94201-7626</t>
  </si>
  <si>
    <t>HN2-94401-0000</t>
  </si>
  <si>
    <t>HN2-94401-7358</t>
  </si>
  <si>
    <t>HN2-94401-7372</t>
  </si>
  <si>
    <t>HN2-94401-7384</t>
  </si>
  <si>
    <t>HN2-94401-7626</t>
  </si>
  <si>
    <t>HN2-99001-7358</t>
  </si>
  <si>
    <t>HN2-99001-7372</t>
  </si>
  <si>
    <t>HN2-99001-7384</t>
  </si>
  <si>
    <t>HN2-99001-7626</t>
  </si>
  <si>
    <t>HN2-99901-0000</t>
  </si>
  <si>
    <t>HOM-20001-0000</t>
  </si>
  <si>
    <t>HOM-55005-0000</t>
  </si>
  <si>
    <t>Medical Expenses</t>
  </si>
  <si>
    <t>HOM-58490-0000</t>
  </si>
  <si>
    <t>Common Area Maint</t>
  </si>
  <si>
    <t>HOM-59500-0000</t>
  </si>
  <si>
    <t>HOM-59850-0000</t>
  </si>
  <si>
    <t>Utilities - Electric</t>
  </si>
  <si>
    <t xml:space="preserve">Utilities                                          </t>
  </si>
  <si>
    <t>HOM-59860-0000</t>
  </si>
  <si>
    <t>Utilities - Gas</t>
  </si>
  <si>
    <t>HOM-59870-0000</t>
  </si>
  <si>
    <t>Utilities - TV</t>
  </si>
  <si>
    <t>HOM-59900-0000</t>
  </si>
  <si>
    <t>Utilities - Water</t>
  </si>
  <si>
    <t>HOM-62510-0000</t>
  </si>
  <si>
    <t>HOM-70100-0000</t>
  </si>
  <si>
    <t>Other Expense</t>
  </si>
  <si>
    <t>HOS-50300-0000</t>
  </si>
  <si>
    <t>HOS-56900-0000</t>
  </si>
  <si>
    <t>HOS-58490-0000</t>
  </si>
  <si>
    <t>HOS-58500-0000</t>
  </si>
  <si>
    <t>HOS-58600-0000</t>
  </si>
  <si>
    <t>HOS-60012-0000</t>
  </si>
  <si>
    <t>HOS-70100-0000</t>
  </si>
  <si>
    <t>JUP-11000-0000</t>
  </si>
  <si>
    <t>JUP-15501-0000</t>
  </si>
  <si>
    <t>JUP-25300-0000</t>
  </si>
  <si>
    <t>JUP-40110-0000</t>
  </si>
  <si>
    <t>JUP-40120-0000</t>
  </si>
  <si>
    <t>JUP-40130-0000</t>
  </si>
  <si>
    <t>JUP-41110-0000</t>
  </si>
  <si>
    <t>JUP-41121-0000</t>
  </si>
  <si>
    <t>JUP-41122-0000</t>
  </si>
  <si>
    <t>JUP-41130-0000</t>
  </si>
  <si>
    <t>JUP-41150-0000</t>
  </si>
  <si>
    <t>JUP-41160-0000</t>
  </si>
  <si>
    <t>JUP-41999-0000</t>
  </si>
  <si>
    <t>JUP-47400-0000</t>
  </si>
  <si>
    <t>JUP-47420-0000</t>
  </si>
  <si>
    <t>JUP-47430-0000</t>
  </si>
  <si>
    <t>JUP-47450-0000</t>
  </si>
  <si>
    <t>JUP-47460-0000</t>
  </si>
  <si>
    <t>JUP-47480-0000</t>
  </si>
  <si>
    <t>JUP-47490-0000</t>
  </si>
  <si>
    <t>JUP-47492-0000</t>
  </si>
  <si>
    <t>JUP-51005-0000</t>
  </si>
  <si>
    <t>JUP-51006-0000</t>
  </si>
  <si>
    <t>JUP-51007-0000</t>
  </si>
  <si>
    <t>JUP-51008-0000</t>
  </si>
  <si>
    <t>JUP-51009-0000</t>
  </si>
  <si>
    <t>JUP-51011-0000</t>
  </si>
  <si>
    <t>JUP-51012-0000</t>
  </si>
  <si>
    <t>JUP-51013-0000</t>
  </si>
  <si>
    <t>JUP-51015-0000</t>
  </si>
  <si>
    <t>JUP-51017-0000</t>
  </si>
  <si>
    <t>JUP-51020-0000</t>
  </si>
  <si>
    <t>JUP-51025-0000</t>
  </si>
  <si>
    <t>JUP-52001-0000</t>
  </si>
  <si>
    <t>JUP-52003-0000</t>
  </si>
  <si>
    <t>JUP-52006-0000</t>
  </si>
  <si>
    <t>JUP-53001-0000</t>
  </si>
  <si>
    <t>JUP-53002-0000</t>
  </si>
  <si>
    <t>JUP-53003-0000</t>
  </si>
  <si>
    <t>JUP-53004-0000</t>
  </si>
  <si>
    <t>JUP-53005-0000</t>
  </si>
  <si>
    <t>JUP-53006-0000</t>
  </si>
  <si>
    <t>JUP-54001-0000</t>
  </si>
  <si>
    <t>JUP-54002-0000</t>
  </si>
  <si>
    <t>JUP-54003-0000</t>
  </si>
  <si>
    <t>JUP-54004-0000</t>
  </si>
  <si>
    <t>JUP-54005-0000</t>
  </si>
  <si>
    <t>JUP-54006-0000</t>
  </si>
  <si>
    <t>JUP-54007-0000</t>
  </si>
  <si>
    <t>JUP-54008-0000</t>
  </si>
  <si>
    <t>JUP-55501-0000</t>
  </si>
  <si>
    <t>JUP-55502-0000</t>
  </si>
  <si>
    <t>JUP-55503-0000</t>
  </si>
  <si>
    <t>JUP-55505-0000</t>
  </si>
  <si>
    <t>JUP-55506-0000</t>
  </si>
  <si>
    <t>JUP-55507-0000</t>
  </si>
  <si>
    <t>JUP-55508-0000</t>
  </si>
  <si>
    <t>JUP-60001-0000</t>
  </si>
  <si>
    <t>JUP-60002-0000</t>
  </si>
  <si>
    <t>JUP-60005-0000</t>
  </si>
  <si>
    <t>JUP-60006-0000</t>
  </si>
  <si>
    <t>JUP-60007-0000</t>
  </si>
  <si>
    <t>JUP-60011-0000</t>
  </si>
  <si>
    <t>JUP-60012-0000</t>
  </si>
  <si>
    <t>JUP-60014-0000</t>
  </si>
  <si>
    <t>JUP-61019-0000</t>
  </si>
  <si>
    <t>KLP-10001-0000</t>
  </si>
  <si>
    <t>KLP-11216-0000</t>
  </si>
  <si>
    <t>KLP-11343-0000</t>
  </si>
  <si>
    <t>KLP-12200-0000</t>
  </si>
  <si>
    <t>KLP-12300-0000</t>
  </si>
  <si>
    <t>KLP-14000-0000</t>
  </si>
  <si>
    <t>KLP-15000-0000</t>
  </si>
  <si>
    <t>KLP-15501-0000</t>
  </si>
  <si>
    <t>KLP-19000-0000</t>
  </si>
  <si>
    <t>KLP-19001-0000</t>
  </si>
  <si>
    <t>KLP-20001-0000</t>
  </si>
  <si>
    <t>KLP-22001-0000</t>
  </si>
  <si>
    <t>KLP-23509-0000</t>
  </si>
  <si>
    <t>KLP-25100-0000</t>
  </si>
  <si>
    <t>KLP-25300-0000</t>
  </si>
  <si>
    <t>KLP-28001-0000</t>
  </si>
  <si>
    <t>Loan - EMG</t>
  </si>
  <si>
    <t>KLP-30700-0000</t>
  </si>
  <si>
    <t>KLP-31001-0000</t>
  </si>
  <si>
    <t>Capital Contribution - Tim Tankka</t>
  </si>
  <si>
    <t>KLP-31002-0000</t>
  </si>
  <si>
    <t>Capital Contribution - Nisha Agarwal</t>
  </si>
  <si>
    <t>KLP-40110-0000</t>
  </si>
  <si>
    <t>KLP-40120-0000</t>
  </si>
  <si>
    <t>KLP-40130-0000</t>
  </si>
  <si>
    <t>KLP-40140-0000</t>
  </si>
  <si>
    <t>KLP-41110-0000</t>
  </si>
  <si>
    <t>KLP-41121-0000</t>
  </si>
  <si>
    <t>KLP-41122-0000</t>
  </si>
  <si>
    <t>KLP-41130-0000</t>
  </si>
  <si>
    <t>KLP-41140-0000</t>
  </si>
  <si>
    <t>KLP-41150-0000</t>
  </si>
  <si>
    <t>KLP-41160-0000</t>
  </si>
  <si>
    <t>KLP-41999-0000</t>
  </si>
  <si>
    <t>KLP-47400-0000</t>
  </si>
  <si>
    <t>KLP-47430-0000</t>
  </si>
  <si>
    <t>KLP-47440-0000</t>
  </si>
  <si>
    <t>KLP-47450-0000</t>
  </si>
  <si>
    <t>KLP-47460-0000</t>
  </si>
  <si>
    <t>KLP-47480-0000</t>
  </si>
  <si>
    <t>KLP-47490-0000</t>
  </si>
  <si>
    <t>KLP-47491-0000</t>
  </si>
  <si>
    <t>KLP-47492-0000</t>
  </si>
  <si>
    <t>KLP-51001-0000</t>
  </si>
  <si>
    <t>KLP-51005-0000</t>
  </si>
  <si>
    <t>KLP-51006-0000</t>
  </si>
  <si>
    <t>KLP-51007-0000</t>
  </si>
  <si>
    <t>KLP-51008-0000</t>
  </si>
  <si>
    <t>KLP-51009-0000</t>
  </si>
  <si>
    <t>KLP-51011-0000</t>
  </si>
  <si>
    <t>KLP-51012-0000</t>
  </si>
  <si>
    <t>KLP-51015-0000</t>
  </si>
  <si>
    <t>KLP-51017-0000</t>
  </si>
  <si>
    <t>KLP-51018-0000</t>
  </si>
  <si>
    <t>KLP-51019-0000</t>
  </si>
  <si>
    <t>KLP-51020-0000</t>
  </si>
  <si>
    <t>KLP-51024-0000</t>
  </si>
  <si>
    <t>KLP-51025-0000</t>
  </si>
  <si>
    <t>KLP-51029-0000</t>
  </si>
  <si>
    <t>KLP-52001-0000</t>
  </si>
  <si>
    <t>KLP-52003-0000</t>
  </si>
  <si>
    <t>KLP-52004-0000</t>
  </si>
  <si>
    <t>KLP-52006-0000</t>
  </si>
  <si>
    <t>KLP-53001-0000</t>
  </si>
  <si>
    <t>KLP-53002-0000</t>
  </si>
  <si>
    <t>KLP-53003-0000</t>
  </si>
  <si>
    <t>KLP-53004-0000</t>
  </si>
  <si>
    <t>KLP-53005-0000</t>
  </si>
  <si>
    <t>KLP-53006-0000</t>
  </si>
  <si>
    <t>KLP-54001-0000</t>
  </si>
  <si>
    <t>KLP-54002-0000</t>
  </si>
  <si>
    <t>KLP-54003-0000</t>
  </si>
  <si>
    <t>KLP-54004-0000</t>
  </si>
  <si>
    <t>KLP-54005-0000</t>
  </si>
  <si>
    <t>KLP-54006-0000</t>
  </si>
  <si>
    <t>KLP-54007-0000</t>
  </si>
  <si>
    <t>KLP-55501-0000</t>
  </si>
  <si>
    <t>KLP-55502-0000</t>
  </si>
  <si>
    <t>KLP-55503-0000</t>
  </si>
  <si>
    <t>KLP-55504-0000</t>
  </si>
  <si>
    <t>KLP-55505-0000</t>
  </si>
  <si>
    <t>KLP-55506-0000</t>
  </si>
  <si>
    <t>KLP-60002-0000</t>
  </si>
  <si>
    <t>KLP-60005-0000</t>
  </si>
  <si>
    <t>KLP-60006-0000</t>
  </si>
  <si>
    <t>KLP-60008-0000</t>
  </si>
  <si>
    <t>KLP-60012-0000</t>
  </si>
  <si>
    <t>KLP-60014-0000</t>
  </si>
  <si>
    <t>KLP-60015-0000</t>
  </si>
  <si>
    <t>KLP-61018-0000</t>
  </si>
  <si>
    <t>KLP-61019-0000</t>
  </si>
  <si>
    <t>KLP-61023-0000</t>
  </si>
  <si>
    <t>LAN-20001-0000</t>
  </si>
  <si>
    <t>LAN-40700-8150</t>
  </si>
  <si>
    <t>LAN-75001-0000</t>
  </si>
  <si>
    <t>LAN-91001-0000</t>
  </si>
  <si>
    <t>LAN-92401-8150</t>
  </si>
  <si>
    <t>LAN-94201-0000</t>
  </si>
  <si>
    <t>LAN-99901-0000</t>
  </si>
  <si>
    <t>LCP-10003-0000</t>
  </si>
  <si>
    <t>General CK - CBC</t>
  </si>
  <si>
    <t>LCP-10024-0000</t>
  </si>
  <si>
    <t>cash dep - signature banK</t>
  </si>
  <si>
    <t xml:space="preserve">re                   </t>
  </si>
  <si>
    <t xml:space="preserve">total curreNt asseT            </t>
  </si>
  <si>
    <t xml:space="preserve">cash                           </t>
  </si>
  <si>
    <t>LCP-15501-0000</t>
  </si>
  <si>
    <t>LCP-19000-0000</t>
  </si>
  <si>
    <t>LCP-28005-0000</t>
  </si>
  <si>
    <t>LCP-36003-0000</t>
  </si>
  <si>
    <t>Shareholder Dist - AJ</t>
  </si>
  <si>
    <t>LCP-40110-0000</t>
  </si>
  <si>
    <t>LCP-40120-0000</t>
  </si>
  <si>
    <t>LCP-40130-0000</t>
  </si>
  <si>
    <t>LCP-41110-0000</t>
  </si>
  <si>
    <t>LCP-41121-0000</t>
  </si>
  <si>
    <t>LCP-41122-0000</t>
  </si>
  <si>
    <t>LCP-41130-0000</t>
  </si>
  <si>
    <t>LCP-41140-0000</t>
  </si>
  <si>
    <t>LCP-41150-0000</t>
  </si>
  <si>
    <t>LCP-41160-0000</t>
  </si>
  <si>
    <t>LCP-41999-0000</t>
  </si>
  <si>
    <t>LCP-47400-0000</t>
  </si>
  <si>
    <t>LCP-47430-0000</t>
  </si>
  <si>
    <t>LCP-47440-0000</t>
  </si>
  <si>
    <t>LCP-47450-0000</t>
  </si>
  <si>
    <t>LCP-47460-0000</t>
  </si>
  <si>
    <t>LCP-47480-0000</t>
  </si>
  <si>
    <t>LCP-47490-0000</t>
  </si>
  <si>
    <t>LCP-47491-0000</t>
  </si>
  <si>
    <t>LCP-47492-0000</t>
  </si>
  <si>
    <t>LCP-51001-0000</t>
  </si>
  <si>
    <t>LCP-51002-0000</t>
  </si>
  <si>
    <t>LCP-51006-0000</t>
  </si>
  <si>
    <t>LCP-51007-0000</t>
  </si>
  <si>
    <t>LCP-51008-0000</t>
  </si>
  <si>
    <t>LCP-51009-0000</t>
  </si>
  <si>
    <t>LCP-51011-0000</t>
  </si>
  <si>
    <t>LCP-51012-0000</t>
  </si>
  <si>
    <t>LCP-51013-0000</t>
  </si>
  <si>
    <t>LCP-51015-0000</t>
  </si>
  <si>
    <t>LCP-51017-0000</t>
  </si>
  <si>
    <t>LCP-51018-0000</t>
  </si>
  <si>
    <t>LCP-51019-0000</t>
  </si>
  <si>
    <t>LCP-51020-0000</t>
  </si>
  <si>
    <t>LCP-51021-0000</t>
  </si>
  <si>
    <t>Gen-Repairs &amp; Maint</t>
  </si>
  <si>
    <t>LCP-51025-0000</t>
  </si>
  <si>
    <t>LCP-51029-0000</t>
  </si>
  <si>
    <t>LCP-51030-0000</t>
  </si>
  <si>
    <t>LCP-52001-0000</t>
  </si>
  <si>
    <t>LCP-52002-0000</t>
  </si>
  <si>
    <t>LCP-52003-0000</t>
  </si>
  <si>
    <t>LCP-52004-0000</t>
  </si>
  <si>
    <t>LCP-52006-0000</t>
  </si>
  <si>
    <t>LCP-53001-0000</t>
  </si>
  <si>
    <t>LCP-53002-0000</t>
  </si>
  <si>
    <t>LCP-53003-0000</t>
  </si>
  <si>
    <t>LCP-53004-0000</t>
  </si>
  <si>
    <t>LCP-53005-0000</t>
  </si>
  <si>
    <t>LCP-53006-0000</t>
  </si>
  <si>
    <t>LCP-54001-0000</t>
  </si>
  <si>
    <t>LCP-54002-0000</t>
  </si>
  <si>
    <t>LCP-54003-0000</t>
  </si>
  <si>
    <t>LCP-54004-0000</t>
  </si>
  <si>
    <t>LCP-54005-0000</t>
  </si>
  <si>
    <t>LCP-54006-0000</t>
  </si>
  <si>
    <t>LCP-54007-0000</t>
  </si>
  <si>
    <t>LCP-54008-0000</t>
  </si>
  <si>
    <t>LCP-55501-0000</t>
  </si>
  <si>
    <t>LCP-55502-0000</t>
  </si>
  <si>
    <t>LCP-55503-0000</t>
  </si>
  <si>
    <t>LCP-55505-0000</t>
  </si>
  <si>
    <t>LCP-55506-0000</t>
  </si>
  <si>
    <t>LCP-55507-0000</t>
  </si>
  <si>
    <t>LCP-55508-0000</t>
  </si>
  <si>
    <t>LCP-57700-0000</t>
  </si>
  <si>
    <t>LCP-60002-0000</t>
  </si>
  <si>
    <t>LCP-60004-0000</t>
  </si>
  <si>
    <t>Impound Prop Tax</t>
  </si>
  <si>
    <t xml:space="preserve">Impound Expense                                    </t>
  </si>
  <si>
    <t>LCP-60005-0000</t>
  </si>
  <si>
    <t>LCP-60006-0000</t>
  </si>
  <si>
    <t>LCP-60007-0000</t>
  </si>
  <si>
    <t>LCP-60008-0000</t>
  </si>
  <si>
    <t>LCP-60011-0000</t>
  </si>
  <si>
    <t>LCP-60014-0000</t>
  </si>
  <si>
    <t>LCP-60015-0000</t>
  </si>
  <si>
    <t>LCP-60041-0000</t>
  </si>
  <si>
    <t>Impound-Insurance</t>
  </si>
  <si>
    <t>LCP-60042-0000</t>
  </si>
  <si>
    <t>Impound Reserved</t>
  </si>
  <si>
    <t>LCP-61018-0000</t>
  </si>
  <si>
    <t>LCP-61019-0000</t>
  </si>
  <si>
    <t>LCP-61022-0000</t>
  </si>
  <si>
    <t>LCP-61023-0000</t>
  </si>
  <si>
    <t>LCP-70100-0000</t>
  </si>
  <si>
    <t>LCP-70400-0000</t>
  </si>
  <si>
    <t xml:space="preserve">Legal Settlement                                   </t>
  </si>
  <si>
    <t>LOM-15501-0000</t>
  </si>
  <si>
    <t>LOM-40110-0000</t>
  </si>
  <si>
    <t>LOM-40120-0000</t>
  </si>
  <si>
    <t>LOM-40130-0000</t>
  </si>
  <si>
    <t>LOM-40140-0000</t>
  </si>
  <si>
    <t>LOM-41110-0000</t>
  </si>
  <si>
    <t>LOM-41121-0000</t>
  </si>
  <si>
    <t>LOM-41122-0000</t>
  </si>
  <si>
    <t>LOM-41130-0000</t>
  </si>
  <si>
    <t>LOM-41150-0000</t>
  </si>
  <si>
    <t>LOM-41160-0000</t>
  </si>
  <si>
    <t>LOM-41999-0000</t>
  </si>
  <si>
    <t>LOM-47400-0000</t>
  </si>
  <si>
    <t>LOM-47420-0000</t>
  </si>
  <si>
    <t>LOM-47430-0000</t>
  </si>
  <si>
    <t>LOM-47440-0000</t>
  </si>
  <si>
    <t>LOM-47450-0000</t>
  </si>
  <si>
    <t>LOM-47460-0000</t>
  </si>
  <si>
    <t>LOM-47480-0000</t>
  </si>
  <si>
    <t>LOM-47492-0000</t>
  </si>
  <si>
    <t>LOM-51005-0000</t>
  </si>
  <si>
    <t>LOM-51006-0000</t>
  </si>
  <si>
    <t>LOM-51007-0000</t>
  </si>
  <si>
    <t>LOM-51008-0000</t>
  </si>
  <si>
    <t>LOM-51009-0000</t>
  </si>
  <si>
    <t>LOM-51011-0000</t>
  </si>
  <si>
    <t>LOM-51012-0000</t>
  </si>
  <si>
    <t>LOM-51015-0000</t>
  </si>
  <si>
    <t>LOM-51019-0000</t>
  </si>
  <si>
    <t>LOM-51020-0000</t>
  </si>
  <si>
    <t>LOM-51025-0000</t>
  </si>
  <si>
    <t>LOM-52001-0000</t>
  </si>
  <si>
    <t>LOM-52002-0000</t>
  </si>
  <si>
    <t>LOM-52003-0000</t>
  </si>
  <si>
    <t>LOM-52004-0000</t>
  </si>
  <si>
    <t>LOM-52006-0000</t>
  </si>
  <si>
    <t>LOM-53001-0000</t>
  </si>
  <si>
    <t>LOM-53002-0000</t>
  </si>
  <si>
    <t>LOM-53003-0000</t>
  </si>
  <si>
    <t>LOM-53004-0000</t>
  </si>
  <si>
    <t>LOM-53005-0000</t>
  </si>
  <si>
    <t>LOM-53006-0000</t>
  </si>
  <si>
    <t>LOM-54002-0000</t>
  </si>
  <si>
    <t>LOM-54003-0000</t>
  </si>
  <si>
    <t>LOM-54004-0000</t>
  </si>
  <si>
    <t>LOM-54005-0000</t>
  </si>
  <si>
    <t>LOM-54006-0000</t>
  </si>
  <si>
    <t>LOM-54007-0000</t>
  </si>
  <si>
    <t>LOM-55501-0000</t>
  </si>
  <si>
    <t>LOM-55502-0000</t>
  </si>
  <si>
    <t>LOM-55503-0000</t>
  </si>
  <si>
    <t>LOM-55504-0000</t>
  </si>
  <si>
    <t>LOM-55505-0000</t>
  </si>
  <si>
    <t>LOM-55506-0000</t>
  </si>
  <si>
    <t>LOM-60001-0000</t>
  </si>
  <si>
    <t>LOM-60002-0000</t>
  </si>
  <si>
    <t>LOM-60005-0000</t>
  </si>
  <si>
    <t>LOM-60006-0000</t>
  </si>
  <si>
    <t>LOM-60007-0000</t>
  </si>
  <si>
    <t>LOM-60011-0000</t>
  </si>
  <si>
    <t>LOM-60012-0000</t>
  </si>
  <si>
    <t>LOM-60014-0000</t>
  </si>
  <si>
    <t>LOM-61016-0000</t>
  </si>
  <si>
    <t>LOM-61019-0000</t>
  </si>
  <si>
    <t>LPI-40110-0001</t>
  </si>
  <si>
    <t>LPI-40110-0002</t>
  </si>
  <si>
    <t>LPI-40110-0003</t>
  </si>
  <si>
    <t>LPI-40110-0004</t>
  </si>
  <si>
    <t>LPI-40110-0005</t>
  </si>
  <si>
    <t>LPI-40120-0002</t>
  </si>
  <si>
    <t>LPI-40130-0001</t>
  </si>
  <si>
    <t>LPI-40130-0004</t>
  </si>
  <si>
    <t>LPI-41110-0002</t>
  </si>
  <si>
    <t>LPI-41121-0002</t>
  </si>
  <si>
    <t>LPI-41121-0003</t>
  </si>
  <si>
    <t>LPI-41121-0004</t>
  </si>
  <si>
    <t>LPI-41121-0005</t>
  </si>
  <si>
    <t>LPI-41122-0001</t>
  </si>
  <si>
    <t>LPI-41122-0002</t>
  </si>
  <si>
    <t>LPI-41122-0003</t>
  </si>
  <si>
    <t>LPI-41122-0004</t>
  </si>
  <si>
    <t>LPI-41122-0005</t>
  </si>
  <si>
    <t>LPI-41130-0004</t>
  </si>
  <si>
    <t>LPI-41130-0005</t>
  </si>
  <si>
    <t>LPI-41999-0001</t>
  </si>
  <si>
    <t>Contra-Collected Rent</t>
  </si>
  <si>
    <t>LPI-41999-0002</t>
  </si>
  <si>
    <t>LPI-41999-0003</t>
  </si>
  <si>
    <t>LPI-41999-0004</t>
  </si>
  <si>
    <t>LPI-41999-0005</t>
  </si>
  <si>
    <t>LPI-47400-0001</t>
  </si>
  <si>
    <t>LPI-47400-0002</t>
  </si>
  <si>
    <t>LPI-47400-0003</t>
  </si>
  <si>
    <t>LPI-47400-0004</t>
  </si>
  <si>
    <t>LPI-47400-0005</t>
  </si>
  <si>
    <t>LPI-47460-0001</t>
  </si>
  <si>
    <t>LPI-47480-0000</t>
  </si>
  <si>
    <t>LPI-51008-0002</t>
  </si>
  <si>
    <t>Gen-Repair General</t>
  </si>
  <si>
    <t>LPI-51008-0003</t>
  </si>
  <si>
    <t>LPI-51008-0004</t>
  </si>
  <si>
    <t>LPI-51009-0002</t>
  </si>
  <si>
    <t>LPI-51009-0004</t>
  </si>
  <si>
    <t>LPI-51009-0005</t>
  </si>
  <si>
    <t>LPI-51027-0005</t>
  </si>
  <si>
    <t>HOA</t>
  </si>
  <si>
    <t>LPI-52003-0000</t>
  </si>
  <si>
    <t>LPI-52006-0000</t>
  </si>
  <si>
    <t>LPI-53003-0000</t>
  </si>
  <si>
    <t>LPI-53003-0002</t>
  </si>
  <si>
    <t>LPI-53005-0002</t>
  </si>
  <si>
    <t>LPI-53006-0002</t>
  </si>
  <si>
    <t>LPI-54003-0000</t>
  </si>
  <si>
    <t>LPI-54004-0000</t>
  </si>
  <si>
    <t>LPI-54006-0000</t>
  </si>
  <si>
    <t>LPI-54007-0000</t>
  </si>
  <si>
    <t>LPI-55501-0002</t>
  </si>
  <si>
    <t>LPI-55502-0002</t>
  </si>
  <si>
    <t>LPI-55502-0004</t>
  </si>
  <si>
    <t>LPI-55502-0005</t>
  </si>
  <si>
    <t>LPI-55503-0002</t>
  </si>
  <si>
    <t>LPI-55503-0003</t>
  </si>
  <si>
    <t>LPI-55505-0001</t>
  </si>
  <si>
    <t>LPI-55505-0002</t>
  </si>
  <si>
    <t>LPI-55505-0004</t>
  </si>
  <si>
    <t>LPI-55505-0005</t>
  </si>
  <si>
    <t>LPI-55506-0002</t>
  </si>
  <si>
    <t>LPI-60002-0000</t>
  </si>
  <si>
    <t>LPI-60005-0000</t>
  </si>
  <si>
    <t>LPI-60005-0001</t>
  </si>
  <si>
    <t>LPI-60005-0002</t>
  </si>
  <si>
    <t>LPI-60005-0003</t>
  </si>
  <si>
    <t>LPI-60005-0004</t>
  </si>
  <si>
    <t>LPI-60005-0005</t>
  </si>
  <si>
    <t>LPI-60006-0001</t>
  </si>
  <si>
    <t>Interest Expense-Lemon</t>
  </si>
  <si>
    <t>LPI-60006-0002</t>
  </si>
  <si>
    <t>Interest Expense-WY VN</t>
  </si>
  <si>
    <t>LPI-60006-0003</t>
  </si>
  <si>
    <t>Interest Expense-WY Reseda</t>
  </si>
  <si>
    <t>LPI-60006-0004</t>
  </si>
  <si>
    <t>Interest Expense-Schoolcraft</t>
  </si>
  <si>
    <t>LPI-60006-0005</t>
  </si>
  <si>
    <t>Interest Expense-Appalachian</t>
  </si>
  <si>
    <t>LPI-60007-0000</t>
  </si>
  <si>
    <t>LPI-60012-0001</t>
  </si>
  <si>
    <t>LPI-60012-0002</t>
  </si>
  <si>
    <t>LPI-60012-0003</t>
  </si>
  <si>
    <t>LPI-60012-0004</t>
  </si>
  <si>
    <t>LPI-60012-0005</t>
  </si>
  <si>
    <t>LPI-60014-0000</t>
  </si>
  <si>
    <t>LPI-60014-0001</t>
  </si>
  <si>
    <t>LPI-60014-0002</t>
  </si>
  <si>
    <t>LPI-60014-0003</t>
  </si>
  <si>
    <t>LPI-60014-0004</t>
  </si>
  <si>
    <t>LPI-60014-0005</t>
  </si>
  <si>
    <t>LPI-60015-0000</t>
  </si>
  <si>
    <t>LPI-61019-0000</t>
  </si>
  <si>
    <t>MAR-15501-0000</t>
  </si>
  <si>
    <t>MAR-25300-0000</t>
  </si>
  <si>
    <t>MAR-40110-0000</t>
  </si>
  <si>
    <t>MAR-40120-0000</t>
  </si>
  <si>
    <t>MAR-40130-0000</t>
  </si>
  <si>
    <t>MAR-40140-0000</t>
  </si>
  <si>
    <t>MAR-41110-0000</t>
  </si>
  <si>
    <t>MAR-41121-0000</t>
  </si>
  <si>
    <t>MAR-41122-0000</t>
  </si>
  <si>
    <t>MAR-41130-0000</t>
  </si>
  <si>
    <t>MAR-41140-0000</t>
  </si>
  <si>
    <t>MAR-41150-0000</t>
  </si>
  <si>
    <t>MAR-41160-0000</t>
  </si>
  <si>
    <t>MAR-41999-0000</t>
  </si>
  <si>
    <t>MAR-47400-0000</t>
  </si>
  <si>
    <t>MAR-47420-0000</t>
  </si>
  <si>
    <t>MAR-47430-0000</t>
  </si>
  <si>
    <t>MAR-47460-0000</t>
  </si>
  <si>
    <t>MAR-47480-0000</t>
  </si>
  <si>
    <t>MAR-47492-0000</t>
  </si>
  <si>
    <t>MAR-51005-0000</t>
  </si>
  <si>
    <t>MAR-51006-0000</t>
  </si>
  <si>
    <t>MAR-51007-0000</t>
  </si>
  <si>
    <t>MAR-51008-0000</t>
  </si>
  <si>
    <t>MAR-51009-0000</t>
  </si>
  <si>
    <t>MAR-51011-0000</t>
  </si>
  <si>
    <t>MAR-51012-0000</t>
  </si>
  <si>
    <t>MAR-51015-0000</t>
  </si>
  <si>
    <t>MAR-51025-0000</t>
  </si>
  <si>
    <t>MAR-52003-0000</t>
  </si>
  <si>
    <t>MAR-52006-0000</t>
  </si>
  <si>
    <t>MAR-53001-0000</t>
  </si>
  <si>
    <t>MAR-53002-0000</t>
  </si>
  <si>
    <t>MAR-53003-0000</t>
  </si>
  <si>
    <t>MAR-53004-0000</t>
  </si>
  <si>
    <t>MAR-53005-0000</t>
  </si>
  <si>
    <t>MAR-53006-0000</t>
  </si>
  <si>
    <t>MAR-54001-0000</t>
  </si>
  <si>
    <t>MAR-54002-0000</t>
  </si>
  <si>
    <t>MAR-54003-0000</t>
  </si>
  <si>
    <t>MAR-54004-0000</t>
  </si>
  <si>
    <t>MAR-54005-0000</t>
  </si>
  <si>
    <t>MAR-54006-0000</t>
  </si>
  <si>
    <t>MAR-54007-0000</t>
  </si>
  <si>
    <t>MAR-55501-0000</t>
  </si>
  <si>
    <t>MAR-55502-0000</t>
  </si>
  <si>
    <t>MAR-55503-0000</t>
  </si>
  <si>
    <t>MAR-55504-0000</t>
  </si>
  <si>
    <t>MAR-55505-0000</t>
  </si>
  <si>
    <t>MAR-55506-0000</t>
  </si>
  <si>
    <t>MAR-60001-0000</t>
  </si>
  <si>
    <t>MAR-60002-0000</t>
  </si>
  <si>
    <t>MAR-60005-0000</t>
  </si>
  <si>
    <t>MAR-60006-0000</t>
  </si>
  <si>
    <t>MAR-60007-0000</t>
  </si>
  <si>
    <t>MAR-60008-0000</t>
  </si>
  <si>
    <t>MAR-60011-0000</t>
  </si>
  <si>
    <t>MAR-60012-0000</t>
  </si>
  <si>
    <t>MAR-60014-0000</t>
  </si>
  <si>
    <t>MAR-60015-0000</t>
  </si>
  <si>
    <t>MAR-61018-0000</t>
  </si>
  <si>
    <t>MAR-61019-0000</t>
  </si>
  <si>
    <t>NEH-20001-0000</t>
  </si>
  <si>
    <t>NEH-50400-0000</t>
  </si>
  <si>
    <t>NEH-57900-0000</t>
  </si>
  <si>
    <t>NEH-58600-0000</t>
  </si>
  <si>
    <t>NEH-59400-0000</t>
  </si>
  <si>
    <t>Taxes - State</t>
  </si>
  <si>
    <t>NEH-60012-0000</t>
  </si>
  <si>
    <t>NEP-11000-0000</t>
  </si>
  <si>
    <t>NEP-15501-0000</t>
  </si>
  <si>
    <t>NEP-25300-0000</t>
  </si>
  <si>
    <t>NEP-40110-0000</t>
  </si>
  <si>
    <t>NEP-40120-0000</t>
  </si>
  <si>
    <t>NEP-40130-0000</t>
  </si>
  <si>
    <t>NEP-40140-0000</t>
  </si>
  <si>
    <t>NEP-41110-0000</t>
  </si>
  <si>
    <t>NEP-41121-0000</t>
  </si>
  <si>
    <t>NEP-41122-0000</t>
  </si>
  <si>
    <t>NEP-41130-0000</t>
  </si>
  <si>
    <t>NEP-41140-0000</t>
  </si>
  <si>
    <t>NEP-41150-0000</t>
  </si>
  <si>
    <t>NEP-41160-0000</t>
  </si>
  <si>
    <t>NEP-41999-0000</t>
  </si>
  <si>
    <t>NEP-47400-0000</t>
  </si>
  <si>
    <t>NEP-47420-0000</t>
  </si>
  <si>
    <t>NEP-47430-0000</t>
  </si>
  <si>
    <t>NEP-47440-0000</t>
  </si>
  <si>
    <t>NEP-47460-0000</t>
  </si>
  <si>
    <t>NEP-47480-0000</t>
  </si>
  <si>
    <t>NEP-47490-0000</t>
  </si>
  <si>
    <t>NEP-47492-0000</t>
  </si>
  <si>
    <t>NEP-51004-0000</t>
  </si>
  <si>
    <t>NEP-51006-0000</t>
  </si>
  <si>
    <t>NEP-51007-0000</t>
  </si>
  <si>
    <t>NEP-51008-0000</t>
  </si>
  <si>
    <t>NEP-51009-0000</t>
  </si>
  <si>
    <t>NEP-51011-0000</t>
  </si>
  <si>
    <t>NEP-51012-0000</t>
  </si>
  <si>
    <t>NEP-51015-0000</t>
  </si>
  <si>
    <t>NEP-51020-0000</t>
  </si>
  <si>
    <t>NEP-51023-0000</t>
  </si>
  <si>
    <t>NEP-51025-0000</t>
  </si>
  <si>
    <t>NEP-52001-0000</t>
  </si>
  <si>
    <t>NEP-52002-0000</t>
  </si>
  <si>
    <t>NEP-52003-0000</t>
  </si>
  <si>
    <t>NEP-52004-0000</t>
  </si>
  <si>
    <t>NEP-52006-0000</t>
  </si>
  <si>
    <t>NEP-53001-0000</t>
  </si>
  <si>
    <t>NEP-53002-0000</t>
  </si>
  <si>
    <t>NEP-53003-0000</t>
  </si>
  <si>
    <t>NEP-53004-0000</t>
  </si>
  <si>
    <t>NEP-53005-0000</t>
  </si>
  <si>
    <t>NEP-53006-0000</t>
  </si>
  <si>
    <t>NEP-54002-0000</t>
  </si>
  <si>
    <t>NEP-54003-0000</t>
  </si>
  <si>
    <t>NEP-54004-0000</t>
  </si>
  <si>
    <t>NEP-54005-0000</t>
  </si>
  <si>
    <t>NEP-54006-0000</t>
  </si>
  <si>
    <t>NEP-54007-0000</t>
  </si>
  <si>
    <t>NEP-55501-0000</t>
  </si>
  <si>
    <t>NEP-55502-0000</t>
  </si>
  <si>
    <t>NEP-55503-0000</t>
  </si>
  <si>
    <t>NEP-55504-0000</t>
  </si>
  <si>
    <t>NEP-55505-0000</t>
  </si>
  <si>
    <t>NEP-55506-0000</t>
  </si>
  <si>
    <t>NEP-60001-0000</t>
  </si>
  <si>
    <t>NEP-60002-0000</t>
  </si>
  <si>
    <t>NEP-60005-0000</t>
  </si>
  <si>
    <t>NEP-60006-0000</t>
  </si>
  <si>
    <t>NEP-60007-0000</t>
  </si>
  <si>
    <t>NEP-60011-0000</t>
  </si>
  <si>
    <t>NEP-60012-0000</t>
  </si>
  <si>
    <t>NEP-60014-0000</t>
  </si>
  <si>
    <t>NEP-60015-0000</t>
  </si>
  <si>
    <t>NEP-61016-0000</t>
  </si>
  <si>
    <t>NEP-61019-0000</t>
  </si>
  <si>
    <t>NEP-70400-0000</t>
  </si>
  <si>
    <t>NES-50400-0000</t>
  </si>
  <si>
    <t>Bank Fees</t>
  </si>
  <si>
    <t>NES-51008-0000</t>
  </si>
  <si>
    <t>Gen-Repairs</t>
  </si>
  <si>
    <t>NES-51400-0000</t>
  </si>
  <si>
    <t>NES-53500-0000</t>
  </si>
  <si>
    <t>NES-54500-0000</t>
  </si>
  <si>
    <t>NES-54900-0000</t>
  </si>
  <si>
    <t>Internet Expenses</t>
  </si>
  <si>
    <t>NES-55100-0000</t>
  </si>
  <si>
    <t>NES-56900-0000</t>
  </si>
  <si>
    <t>NES-57700-0000</t>
  </si>
  <si>
    <t>NES-58490-0000</t>
  </si>
  <si>
    <t>NES-58500-0000</t>
  </si>
  <si>
    <t>NES-59500-0000</t>
  </si>
  <si>
    <t>NES-59800-0000</t>
  </si>
  <si>
    <t>Utilities</t>
  </si>
  <si>
    <t>NES-59850-0000</t>
  </si>
  <si>
    <t>Utilities:Gas &amp; Electric</t>
  </si>
  <si>
    <t>NES-59870-0000</t>
  </si>
  <si>
    <t>NES-59900-0000</t>
  </si>
  <si>
    <t>Utilities:Water</t>
  </si>
  <si>
    <t>NES-60012-0000</t>
  </si>
  <si>
    <t>NES-62510-0000</t>
  </si>
  <si>
    <t>NES-70100-0000</t>
  </si>
  <si>
    <t>NET-15501-0000</t>
  </si>
  <si>
    <t>NET-25300-0000</t>
  </si>
  <si>
    <t>NET-40110-0000</t>
  </si>
  <si>
    <t>NET-40120-0000</t>
  </si>
  <si>
    <t>NET-40130-0000</t>
  </si>
  <si>
    <t>NET-40140-0000</t>
  </si>
  <si>
    <t>NET-41110-0000</t>
  </si>
  <si>
    <t>NET-41121-0000</t>
  </si>
  <si>
    <t>NET-41122-0000</t>
  </si>
  <si>
    <t>NET-41130-0000</t>
  </si>
  <si>
    <t>NET-41140-0000</t>
  </si>
  <si>
    <t>NET-41150-0000</t>
  </si>
  <si>
    <t>NET-41160-0000</t>
  </si>
  <si>
    <t>NET-41999-0000</t>
  </si>
  <si>
    <t>NET-47400-0000</t>
  </si>
  <si>
    <t>NET-47420-0000</t>
  </si>
  <si>
    <t>NET-47430-0000</t>
  </si>
  <si>
    <t>NET-47450-0000</t>
  </si>
  <si>
    <t>NET-47460-0000</t>
  </si>
  <si>
    <t>NET-47480-0000</t>
  </si>
  <si>
    <t>NET-47490-0000</t>
  </si>
  <si>
    <t>NET-47491-0000</t>
  </si>
  <si>
    <t>NET-47492-0000</t>
  </si>
  <si>
    <t>NET-51004-0000</t>
  </si>
  <si>
    <t>NET-51005-0000</t>
  </si>
  <si>
    <t>NET-51006-0000</t>
  </si>
  <si>
    <t>NET-51008-0000</t>
  </si>
  <si>
    <t>NET-51009-0000</t>
  </si>
  <si>
    <t>NET-51010-0000</t>
  </si>
  <si>
    <t>Gen-Repair-Roof</t>
  </si>
  <si>
    <t xml:space="preserve">Repair-Roof                                        </t>
  </si>
  <si>
    <t>NET-51011-0000</t>
  </si>
  <si>
    <t>NET-51012-0000</t>
  </si>
  <si>
    <t>NET-51013-0000</t>
  </si>
  <si>
    <t>NET-51015-0000</t>
  </si>
  <si>
    <t>NET-51017-0000</t>
  </si>
  <si>
    <t>NET-51018-0000</t>
  </si>
  <si>
    <t>NET-51019-0000</t>
  </si>
  <si>
    <t>NET-51020-0000</t>
  </si>
  <si>
    <t>NET-51025-0000</t>
  </si>
  <si>
    <t>NET-52001-0000</t>
  </si>
  <si>
    <t>NET-52003-0000</t>
  </si>
  <si>
    <t>NET-52004-0000</t>
  </si>
  <si>
    <t>NET-52006-0000</t>
  </si>
  <si>
    <t>NET-53001-0000</t>
  </si>
  <si>
    <t>NET-53002-0000</t>
  </si>
  <si>
    <t>NET-53003-0000</t>
  </si>
  <si>
    <t>NET-53004-0000</t>
  </si>
  <si>
    <t>NET-53005-0000</t>
  </si>
  <si>
    <t>NET-53006-0000</t>
  </si>
  <si>
    <t>NET-54001-0000</t>
  </si>
  <si>
    <t>NET-54002-0000</t>
  </si>
  <si>
    <t>NET-54003-0000</t>
  </si>
  <si>
    <t>NET-54004-0000</t>
  </si>
  <si>
    <t>NET-54005-0000</t>
  </si>
  <si>
    <t>NET-54006-0000</t>
  </si>
  <si>
    <t>NET-54007-0000</t>
  </si>
  <si>
    <t>NET-54008-0000</t>
  </si>
  <si>
    <t>NET-55501-0000</t>
  </si>
  <si>
    <t>NET-55502-0000</t>
  </si>
  <si>
    <t>NET-55503-0000</t>
  </si>
  <si>
    <t>NET-55505-0000</t>
  </si>
  <si>
    <t>NET-55506-0000</t>
  </si>
  <si>
    <t>NET-55507-0000</t>
  </si>
  <si>
    <t>NET-57700-0000</t>
  </si>
  <si>
    <t>NET-60001-0000</t>
  </si>
  <si>
    <t>NET-60002-0000</t>
  </si>
  <si>
    <t>NET-60005-0000</t>
  </si>
  <si>
    <t>NET-60006-0000</t>
  </si>
  <si>
    <t>NET-60007-0000</t>
  </si>
  <si>
    <t>NET-60008-0000</t>
  </si>
  <si>
    <t>NET-60011-0000</t>
  </si>
  <si>
    <t>NET-60012-0000</t>
  </si>
  <si>
    <t>NET-60014-0000</t>
  </si>
  <si>
    <t>NET-60015-0000</t>
  </si>
  <si>
    <t>NET-61018-0000</t>
  </si>
  <si>
    <t>NET-61019-0000</t>
  </si>
  <si>
    <t>NET-70400-0000</t>
  </si>
  <si>
    <t>NEW-15501-0000</t>
  </si>
  <si>
    <t>NEW-25300-0000</t>
  </si>
  <si>
    <t>NEW-40110-0001</t>
  </si>
  <si>
    <t>Baseline Rents:SA</t>
  </si>
  <si>
    <t>NEW-40120-0001</t>
  </si>
  <si>
    <t>New Tenant Increases:SA</t>
  </si>
  <si>
    <t>NEW-40130-0001</t>
  </si>
  <si>
    <t>Rent Increases:SA</t>
  </si>
  <si>
    <t>NEW-40140-0001</t>
  </si>
  <si>
    <t>Under Baseline Rents:SA</t>
  </si>
  <si>
    <t>NEW-41110-0001</t>
  </si>
  <si>
    <t>Vacancy Loss:SA</t>
  </si>
  <si>
    <t>NEW-41121-0000</t>
  </si>
  <si>
    <t>NEW-41121-0001</t>
  </si>
  <si>
    <t>NEW-41122-0000</t>
  </si>
  <si>
    <t>NEW-41122-0001</t>
  </si>
  <si>
    <t>Past Due Collections:SA</t>
  </si>
  <si>
    <t>NEW-41130-0001</t>
  </si>
  <si>
    <t>Promotion:SA</t>
  </si>
  <si>
    <t>NEW-41140-0001</t>
  </si>
  <si>
    <t>Eviction:SA</t>
  </si>
  <si>
    <t>NEW-41150-0001</t>
  </si>
  <si>
    <t>Manager Units:SA</t>
  </si>
  <si>
    <t>NEW-41160-0000</t>
  </si>
  <si>
    <t>NEW-41999-0000</t>
  </si>
  <si>
    <t>NEW-41999-0001</t>
  </si>
  <si>
    <t>Contra-Collected Ren:SA</t>
  </si>
  <si>
    <t>NEW-47400-0000</t>
  </si>
  <si>
    <t>NEW-47400-0001</t>
  </si>
  <si>
    <t>Rental Income:SA</t>
  </si>
  <si>
    <t>NEW-47420-0001</t>
  </si>
  <si>
    <t>Systematic Code Enf:SA</t>
  </si>
  <si>
    <t>NEW-47430-0000</t>
  </si>
  <si>
    <t>NEW-47430-0001</t>
  </si>
  <si>
    <t>Laundry Income:SA</t>
  </si>
  <si>
    <t>NEW-47440-0001</t>
  </si>
  <si>
    <t>Other Income:SA</t>
  </si>
  <si>
    <t>NEW-47450-0001</t>
  </si>
  <si>
    <t>Parking:SA</t>
  </si>
  <si>
    <t>NEW-47460-0001</t>
  </si>
  <si>
    <t>Late Fee:SA</t>
  </si>
  <si>
    <t>NEW-47480-0001</t>
  </si>
  <si>
    <t>Application Fees:SA</t>
  </si>
  <si>
    <t>NEW-47490-0001</t>
  </si>
  <si>
    <t>Pet Rent:SA</t>
  </si>
  <si>
    <t>NEW-47492-0000</t>
  </si>
  <si>
    <t>NEW-47495-0001</t>
  </si>
  <si>
    <t>NEW-51005-0001</t>
  </si>
  <si>
    <t>Gen-Repair-Doors:SA</t>
  </si>
  <si>
    <t>NEW-51006-0000</t>
  </si>
  <si>
    <t>NEW-51006-0001</t>
  </si>
  <si>
    <t>Gen-Repair-Electric:SA</t>
  </si>
  <si>
    <t>NEW-51008-0000</t>
  </si>
  <si>
    <t>NEW-51008-0001</t>
  </si>
  <si>
    <t>Gen-Repair-General:SA</t>
  </si>
  <si>
    <t>NEW-51008-0002</t>
  </si>
  <si>
    <t>Gen-Repair-General:SP</t>
  </si>
  <si>
    <t>NEW-51009-0000</t>
  </si>
  <si>
    <t>NEW-51009-0001</t>
  </si>
  <si>
    <t>Gen-Repair-Plumbing:SA</t>
  </si>
  <si>
    <t>NEW-51011-0001</t>
  </si>
  <si>
    <t>Gen-Landscaping:SA</t>
  </si>
  <si>
    <t>NEW-51012-0000</t>
  </si>
  <si>
    <t>NEW-51012-0001</t>
  </si>
  <si>
    <t>Gen-Pest Control:SA</t>
  </si>
  <si>
    <t>NEW-51013-0001</t>
  </si>
  <si>
    <t>Gen-Pool:SA</t>
  </si>
  <si>
    <t>NEW-51015-0001</t>
  </si>
  <si>
    <t>Gen-Auto Expense:SA</t>
  </si>
  <si>
    <t>NEW-51017-0001</t>
  </si>
  <si>
    <t>Gen-Comp &amp; Internet:SA</t>
  </si>
  <si>
    <t>NEW-51018-0001</t>
  </si>
  <si>
    <t>Gen-Dues &amp; Subscr:SA</t>
  </si>
  <si>
    <t>NEW-51019-0001</t>
  </si>
  <si>
    <t>Gen-Meals&amp;Ent:SA</t>
  </si>
  <si>
    <t>NEW-51020-0000</t>
  </si>
  <si>
    <t>NEW-51020-0001</t>
  </si>
  <si>
    <t>Gen-Office Supplies:SA</t>
  </si>
  <si>
    <t>NEW-51025-0000</t>
  </si>
  <si>
    <t>NEW-51025-0001</t>
  </si>
  <si>
    <t>Gen-W/C Ins Expense:SA</t>
  </si>
  <si>
    <t>NEW-52001-0001</t>
  </si>
  <si>
    <t>RR-Adv and Promo:SA</t>
  </si>
  <si>
    <t>NEW-52003-0001</t>
  </si>
  <si>
    <t>RR-Cleaning:SA</t>
  </si>
  <si>
    <t>NEW-52004-0001</t>
  </si>
  <si>
    <t>RR-Painting:SA</t>
  </si>
  <si>
    <t>NEW-52006-0001</t>
  </si>
  <si>
    <t>RR-Unit Rennovations:SA</t>
  </si>
  <si>
    <t>NEW-53001-0001</t>
  </si>
  <si>
    <t>Utils-Telephone Exp:SA</t>
  </si>
  <si>
    <t>NEW-53002-0000</t>
  </si>
  <si>
    <t>NEW-53002-0001</t>
  </si>
  <si>
    <t>Utils-Trash:SA</t>
  </si>
  <si>
    <t>NEW-53003-0000</t>
  </si>
  <si>
    <t>NEW-53003-0001</t>
  </si>
  <si>
    <t>Utils-Electric:SA</t>
  </si>
  <si>
    <t>NEW-53004-0000</t>
  </si>
  <si>
    <t>NEW-53004-0001</t>
  </si>
  <si>
    <t>Utils-Gas:SA</t>
  </si>
  <si>
    <t>NEW-53005-0000</t>
  </si>
  <si>
    <t>NEW-53005-0001</t>
  </si>
  <si>
    <t>Utils-Sewer:SA</t>
  </si>
  <si>
    <t>NEW-53006-0000</t>
  </si>
  <si>
    <t>NEW-53006-0001</t>
  </si>
  <si>
    <t>Utils-Water:SA</t>
  </si>
  <si>
    <t>NEW-54002-0001</t>
  </si>
  <si>
    <t>Mgr Bonus:SA</t>
  </si>
  <si>
    <t>NEW-54003-0000</t>
  </si>
  <si>
    <t>NEW-54003-0001</t>
  </si>
  <si>
    <t>Payroll Exp-Admin:SA</t>
  </si>
  <si>
    <t>NEW-54004-0000</t>
  </si>
  <si>
    <t>NEW-54004-0001</t>
  </si>
  <si>
    <t>Payroll Exp-Res Mgrs:SA</t>
  </si>
  <si>
    <t>NEW-54005-0001</t>
  </si>
  <si>
    <t>Payroll Fee:SA</t>
  </si>
  <si>
    <t>NEW-54006-0000</t>
  </si>
  <si>
    <t>NEW-54006-0001</t>
  </si>
  <si>
    <t>Payroll Taxes:SA</t>
  </si>
  <si>
    <t>NEW-54007-0000</t>
  </si>
  <si>
    <t>NEW-54007-0001</t>
  </si>
  <si>
    <t>Payroll Exp-Prop Asst:SA</t>
  </si>
  <si>
    <t>NEW-55000-0001</t>
  </si>
  <si>
    <t>Build Image Enhance:SA</t>
  </si>
  <si>
    <t>NEW-55501-0001</t>
  </si>
  <si>
    <t>PM - Landscape:SA</t>
  </si>
  <si>
    <t>NEW-55502-0001</t>
  </si>
  <si>
    <t>PM - Electrical:SA</t>
  </si>
  <si>
    <t>NEW-55503-0001</t>
  </si>
  <si>
    <t>PM - Plumming:SA</t>
  </si>
  <si>
    <t>NEW-55504-0001</t>
  </si>
  <si>
    <t>PM - Gate:SA</t>
  </si>
  <si>
    <t>NEW-55505-0001</t>
  </si>
  <si>
    <t>PM - General:SA</t>
  </si>
  <si>
    <t>NEW-55506-0000</t>
  </si>
  <si>
    <t>NEW-55506-0001</t>
  </si>
  <si>
    <t>PM - Rent Ready:SA</t>
  </si>
  <si>
    <t>NEW-55507-0001</t>
  </si>
  <si>
    <t>PM - Pool:SA</t>
  </si>
  <si>
    <t>NEW-60001-0001</t>
  </si>
  <si>
    <t>Annual Systematic Fe:SA</t>
  </si>
  <si>
    <t>NEW-60002-0000</t>
  </si>
  <si>
    <t>NEW-60002-0001</t>
  </si>
  <si>
    <t>Bank Service Charges:SA</t>
  </si>
  <si>
    <t>NEW-60005-0001</t>
  </si>
  <si>
    <t>Insurance:SA</t>
  </si>
  <si>
    <t>NEW-60006-0001</t>
  </si>
  <si>
    <t>Interest Expense:SA</t>
  </si>
  <si>
    <t>NEW-60007-0000</t>
  </si>
  <si>
    <t>NEW-60007-0001</t>
  </si>
  <si>
    <t>Prof- Accounting:SA</t>
  </si>
  <si>
    <t>NEW-60008-0001</t>
  </si>
  <si>
    <t>Prof-Legal:SA</t>
  </si>
  <si>
    <t>NEW-60011-0000</t>
  </si>
  <si>
    <t>NEW-60011-0001</t>
  </si>
  <si>
    <t>Taxes-Business:SA</t>
  </si>
  <si>
    <t>NEW-60012-0001</t>
  </si>
  <si>
    <t>Taxes-Property:SA</t>
  </si>
  <si>
    <t>NEW-60014-0000</t>
  </si>
  <si>
    <t>NEW-60014-0001</t>
  </si>
  <si>
    <t>Mgt Fee-SSRE:SA</t>
  </si>
  <si>
    <t>NEW-60015-0000</t>
  </si>
  <si>
    <t>NEW-60015-0001</t>
  </si>
  <si>
    <t>License &amp; Permit:SA</t>
  </si>
  <si>
    <t>NEW-61016-0001</t>
  </si>
  <si>
    <t>Referral:SA</t>
  </si>
  <si>
    <t>NEW-61018-0000</t>
  </si>
  <si>
    <t>NEW-61019-0000</t>
  </si>
  <si>
    <t>NWS-40300-1200</t>
  </si>
  <si>
    <t>Revenue - EE Leasing CJNC</t>
  </si>
  <si>
    <t>NWS-40400-1200</t>
  </si>
  <si>
    <t>Revenue - Cost Reimb CJNC</t>
  </si>
  <si>
    <t xml:space="preserve">Revenue Cost Reimbursement                         </t>
  </si>
  <si>
    <t>NWS-52001-1200</t>
  </si>
  <si>
    <t>Labor Expense CJNC</t>
  </si>
  <si>
    <t xml:space="preserve">Labor Expense                                      </t>
  </si>
  <si>
    <t>NWS-55001-0000</t>
  </si>
  <si>
    <t>Workers comp</t>
  </si>
  <si>
    <t xml:space="preserve">Workers Comp                                       </t>
  </si>
  <si>
    <t>NWS-56001-1200</t>
  </si>
  <si>
    <t>Payroll Tax Expense CJNC</t>
  </si>
  <si>
    <t xml:space="preserve">Payroll Tax Expense                                </t>
  </si>
  <si>
    <t>NWS-56002-0000</t>
  </si>
  <si>
    <t>NWS-57900-0000</t>
  </si>
  <si>
    <t>NWS-64502-0000</t>
  </si>
  <si>
    <t>NWS-64530-0000</t>
  </si>
  <si>
    <t>NWS-90601-0000</t>
  </si>
  <si>
    <t>NWS-99901-0000</t>
  </si>
  <si>
    <t>OLD-40110-0040</t>
  </si>
  <si>
    <t>OLD-40110-0041</t>
  </si>
  <si>
    <t>OLD-40110-0042</t>
  </si>
  <si>
    <t>OLD-40110-0043</t>
  </si>
  <si>
    <t>OLD-40110-0044</t>
  </si>
  <si>
    <t>OLD-40110-0045</t>
  </si>
  <si>
    <t>OLD-40110-0046</t>
  </si>
  <si>
    <t>OLD-40110-0048</t>
  </si>
  <si>
    <t>OLD-40110-0049</t>
  </si>
  <si>
    <t>OLD-40110-0050</t>
  </si>
  <si>
    <t>OLD-40140-0050</t>
  </si>
  <si>
    <t>OLD-41110-0041</t>
  </si>
  <si>
    <t>OLD-41110-0042</t>
  </si>
  <si>
    <t>OLD-41110-0043</t>
  </si>
  <si>
    <t>OLD-41110-0044</t>
  </si>
  <si>
    <t>OLD-41110-0045</t>
  </si>
  <si>
    <t>OLD-41110-0046</t>
  </si>
  <si>
    <t>OLD-41110-0048</t>
  </si>
  <si>
    <t>OLD-41110-0049</t>
  </si>
  <si>
    <t>OLD-41110-0050</t>
  </si>
  <si>
    <t>OLD-41120-0044</t>
  </si>
  <si>
    <t>OLD-41121-0041</t>
  </si>
  <si>
    <t>Uncollected This Month</t>
  </si>
  <si>
    <t>OLD-41121-0042</t>
  </si>
  <si>
    <t>OLD-41121-0043</t>
  </si>
  <si>
    <t>OLD-41121-0044</t>
  </si>
  <si>
    <t>OLD-41121-0045</t>
  </si>
  <si>
    <t>OLD-41121-0046</t>
  </si>
  <si>
    <t>OLD-41121-0049</t>
  </si>
  <si>
    <t>OLD-41121-0050</t>
  </si>
  <si>
    <t>OLD-41122-0050</t>
  </si>
  <si>
    <t>OLD-41130-0041</t>
  </si>
  <si>
    <t>OLD-41130-0042</t>
  </si>
  <si>
    <t>OLD-41130-0043</t>
  </si>
  <si>
    <t>OLD-41130-0044</t>
  </si>
  <si>
    <t>OLD-41130-0045</t>
  </si>
  <si>
    <t>OLD-41130-0046</t>
  </si>
  <si>
    <t>OLD-41130-0048</t>
  </si>
  <si>
    <t>OLD-41130-0049</t>
  </si>
  <si>
    <t>OLD-41130-0050</t>
  </si>
  <si>
    <t>OLD-41150-0043</t>
  </si>
  <si>
    <t>OLD-41150-0044</t>
  </si>
  <si>
    <t>OLD-41150-0045</t>
  </si>
  <si>
    <t>OLD-41150-0048</t>
  </si>
  <si>
    <t>OLD-41150-0049</t>
  </si>
  <si>
    <t>OLD-41999-0040</t>
  </si>
  <si>
    <t>OLD-41999-0041</t>
  </si>
  <si>
    <t>OLD-41999-0042</t>
  </si>
  <si>
    <t>OLD-41999-0043</t>
  </si>
  <si>
    <t>OLD-41999-0044</t>
  </si>
  <si>
    <t>OLD-41999-0045</t>
  </si>
  <si>
    <t>OLD-41999-0046</t>
  </si>
  <si>
    <t>OLD-41999-0048</t>
  </si>
  <si>
    <t>OLD-41999-0049</t>
  </si>
  <si>
    <t>OLD-41999-0050</t>
  </si>
  <si>
    <t>OLD-47400-0040</t>
  </si>
  <si>
    <t>Rental Income:AKGC</t>
  </si>
  <si>
    <t>OLD-47400-0041</t>
  </si>
  <si>
    <t>OLD-47400-0042</t>
  </si>
  <si>
    <t>OLD-47400-0043</t>
  </si>
  <si>
    <t>OLD-47400-0044</t>
  </si>
  <si>
    <t>OLD-47400-0045</t>
  </si>
  <si>
    <t>OLD-47400-0046</t>
  </si>
  <si>
    <t>OLD-47400-0048</t>
  </si>
  <si>
    <t>OLD-47400-0049</t>
  </si>
  <si>
    <t>OLD-47400-0050</t>
  </si>
  <si>
    <t>OLD-47410-0049</t>
  </si>
  <si>
    <t>NSF Fee:AKGC</t>
  </si>
  <si>
    <t>OLD-47410-0050</t>
  </si>
  <si>
    <t>OLD-47430-0043</t>
  </si>
  <si>
    <t>OLD-47430-0044</t>
  </si>
  <si>
    <t>OLD-47430-0045</t>
  </si>
  <si>
    <t>OLD-47430-0046</t>
  </si>
  <si>
    <t>OLD-47430-0049</t>
  </si>
  <si>
    <t>OLD-47430-0050</t>
  </si>
  <si>
    <t>OLD-47440-0040</t>
  </si>
  <si>
    <t>Other Income:AKGC</t>
  </si>
  <si>
    <t>OLD-47440-0041</t>
  </si>
  <si>
    <t>OLD-47440-0042</t>
  </si>
  <si>
    <t>OLD-47440-0043</t>
  </si>
  <si>
    <t>OLD-47440-0044</t>
  </si>
  <si>
    <t>OLD-47440-0045</t>
  </si>
  <si>
    <t>OLD-47440-0046</t>
  </si>
  <si>
    <t>OLD-47440-0048</t>
  </si>
  <si>
    <t>OLD-47440-0049</t>
  </si>
  <si>
    <t>OLD-47440-0050</t>
  </si>
  <si>
    <t>OLD-47450-0048</t>
  </si>
  <si>
    <t>OLD-47450-0049</t>
  </si>
  <si>
    <t>OLD-47460-0040</t>
  </si>
  <si>
    <t>Late Fee:AKGC</t>
  </si>
  <si>
    <t>OLD-47460-0041</t>
  </si>
  <si>
    <t>OLD-47460-0042</t>
  </si>
  <si>
    <t>OLD-47460-0043</t>
  </si>
  <si>
    <t>OLD-47460-0044</t>
  </si>
  <si>
    <t>OLD-47460-0045</t>
  </si>
  <si>
    <t>OLD-47460-0046</t>
  </si>
  <si>
    <t>OLD-47460-0048</t>
  </si>
  <si>
    <t>OLD-47470-0049</t>
  </si>
  <si>
    <t>Cleaning Income:AKGC</t>
  </si>
  <si>
    <t>OLD-47480-0040</t>
  </si>
  <si>
    <t>Application Fees:AKGC</t>
  </si>
  <si>
    <t>OLD-47480-0048</t>
  </si>
  <si>
    <t>OLD-47490-0040</t>
  </si>
  <si>
    <t>Pet Rent:AKGC</t>
  </si>
  <si>
    <t>OLD-47490-0048</t>
  </si>
  <si>
    <t>OLD-47491-0040</t>
  </si>
  <si>
    <t>RUBS:AKGC</t>
  </si>
  <si>
    <t>OLD-47491-0041</t>
  </si>
  <si>
    <t>OLD-47491-0042</t>
  </si>
  <si>
    <t>OLD-47491-0043</t>
  </si>
  <si>
    <t>OLD-47491-0044</t>
  </si>
  <si>
    <t>OLD-47491-0045</t>
  </si>
  <si>
    <t>OLD-47491-0046</t>
  </si>
  <si>
    <t>OLD-47491-0048</t>
  </si>
  <si>
    <t>OLD-47491-0049</t>
  </si>
  <si>
    <t>OLD-47491-0050</t>
  </si>
  <si>
    <t>OLD-47492-0043</t>
  </si>
  <si>
    <t>OLD-47492-0044</t>
  </si>
  <si>
    <t>OLD-47492-0045</t>
  </si>
  <si>
    <t>OLD-47492-0046</t>
  </si>
  <si>
    <t>OLD-47492-0048</t>
  </si>
  <si>
    <t>OLD-47492-0049</t>
  </si>
  <si>
    <t>OLD-47492-0050</t>
  </si>
  <si>
    <t>OLD-47493-0043</t>
  </si>
  <si>
    <t>OLD-47493-0044</t>
  </si>
  <si>
    <t>OLD-47493-0045</t>
  </si>
  <si>
    <t>OLD-47493-0046</t>
  </si>
  <si>
    <t>OLD-47493-0050</t>
  </si>
  <si>
    <t>OLD-51001-0042</t>
  </si>
  <si>
    <t>OLD-51001-0044</t>
  </si>
  <si>
    <t>OLD-51002-0041</t>
  </si>
  <si>
    <t>OLD-51002-0042</t>
  </si>
  <si>
    <t>OLD-51002-0043</t>
  </si>
  <si>
    <t>OLD-51002-0044</t>
  </si>
  <si>
    <t>OLD-51002-0045</t>
  </si>
  <si>
    <t>OLD-51002-0046</t>
  </si>
  <si>
    <t>OLD-51003-0048</t>
  </si>
  <si>
    <t>Gen-Rep-Common Area</t>
  </si>
  <si>
    <t>OLD-51006-0040</t>
  </si>
  <si>
    <t>Gen-Repair-Electric:AKGC</t>
  </si>
  <si>
    <t>OLD-51006-0041</t>
  </si>
  <si>
    <t>OLD-51006-0042</t>
  </si>
  <si>
    <t>OLD-51006-0043</t>
  </si>
  <si>
    <t>OLD-51006-0044</t>
  </si>
  <si>
    <t>OLD-51006-0045</t>
  </si>
  <si>
    <t>OLD-51006-0046</t>
  </si>
  <si>
    <t>OLD-51006-0049</t>
  </si>
  <si>
    <t>OLD-51007-0048</t>
  </si>
  <si>
    <t>OLD-51008-0040</t>
  </si>
  <si>
    <t>Gen-Repair-General:AKGC</t>
  </si>
  <si>
    <t>OLD-51008-0042</t>
  </si>
  <si>
    <t>OLD-51008-0043</t>
  </si>
  <si>
    <t>OLD-51008-0044</t>
  </si>
  <si>
    <t>OLD-51008-0045</t>
  </si>
  <si>
    <t>OLD-51008-0046</t>
  </si>
  <si>
    <t>OLD-51008-0048</t>
  </si>
  <si>
    <t>OLD-51008-0049</t>
  </si>
  <si>
    <t>OLD-51008-0050</t>
  </si>
  <si>
    <t>OLD-51009-0040</t>
  </si>
  <si>
    <t>Gen-Repair-Plumbing:AKGC</t>
  </si>
  <si>
    <t>OLD-51009-0041</t>
  </si>
  <si>
    <t>OLD-51009-0042</t>
  </si>
  <si>
    <t>OLD-51009-0043</t>
  </si>
  <si>
    <t>OLD-51009-0044</t>
  </si>
  <si>
    <t>OLD-51009-0045</t>
  </si>
  <si>
    <t>OLD-51009-0046</t>
  </si>
  <si>
    <t>OLD-51009-0049</t>
  </si>
  <si>
    <t>OLD-51010-0042</t>
  </si>
  <si>
    <t>OLD-51010-0043</t>
  </si>
  <si>
    <t>OLD-51010-0044</t>
  </si>
  <si>
    <t>OLD-51010-0045</t>
  </si>
  <si>
    <t>OLD-51010-0046</t>
  </si>
  <si>
    <t>OLD-51010-0048</t>
  </si>
  <si>
    <t>OLD-51011-0040</t>
  </si>
  <si>
    <t>Gen-Landscaping:AKGC</t>
  </si>
  <si>
    <t>OLD-51011-0043</t>
  </si>
  <si>
    <t>OLD-51011-0044</t>
  </si>
  <si>
    <t>OLD-51011-0045</t>
  </si>
  <si>
    <t>OLD-51011-0046</t>
  </si>
  <si>
    <t>OLD-51011-0048</t>
  </si>
  <si>
    <t>OLD-51011-0049</t>
  </si>
  <si>
    <t>OLD-51011-0050</t>
  </si>
  <si>
    <t>OLD-51012-0040</t>
  </si>
  <si>
    <t>Gen-Pest Control:AKGC</t>
  </si>
  <si>
    <t>OLD-51012-0041</t>
  </si>
  <si>
    <t>OLD-51012-0042</t>
  </si>
  <si>
    <t>OLD-51012-0043</t>
  </si>
  <si>
    <t>OLD-51012-0044</t>
  </si>
  <si>
    <t>OLD-51012-0045</t>
  </si>
  <si>
    <t>OLD-51012-0046</t>
  </si>
  <si>
    <t>OLD-51012-0048</t>
  </si>
  <si>
    <t>OLD-51012-0049</t>
  </si>
  <si>
    <t>OLD-51013-0041</t>
  </si>
  <si>
    <t>Gen-Pool:AKGC</t>
  </si>
  <si>
    <t>OLD-51013-0042</t>
  </si>
  <si>
    <t>OLD-51013-0043</t>
  </si>
  <si>
    <t>OLD-51013-0044</t>
  </si>
  <si>
    <t>OLD-51013-0045</t>
  </si>
  <si>
    <t>OLD-51013-0046</t>
  </si>
  <si>
    <t>OLD-51013-0048</t>
  </si>
  <si>
    <t>OLD-51013-0049</t>
  </si>
  <si>
    <t>OLD-51013-0050</t>
  </si>
  <si>
    <t>OLD-51017-0040</t>
  </si>
  <si>
    <t>Gen-Comp &amp; Internet:AKGC</t>
  </si>
  <si>
    <t>OLD-51017-0041</t>
  </si>
  <si>
    <t>OLD-51017-0042</t>
  </si>
  <si>
    <t>OLD-51017-0043</t>
  </si>
  <si>
    <t>OLD-51017-0044</t>
  </si>
  <si>
    <t>OLD-51017-0045</t>
  </si>
  <si>
    <t>OLD-51017-0046</t>
  </si>
  <si>
    <t>OLD-51017-0048</t>
  </si>
  <si>
    <t>OLD-51017-0049</t>
  </si>
  <si>
    <t>OLD-51017-0050</t>
  </si>
  <si>
    <t>OLD-51018-0044</t>
  </si>
  <si>
    <t>Gen-Dues &amp; Subscr:AKGC</t>
  </si>
  <si>
    <t>OLD-51018-0046</t>
  </si>
  <si>
    <t>OLD-51018-0049</t>
  </si>
  <si>
    <t>OLD-51018-0050</t>
  </si>
  <si>
    <t>OLD-51020-0041</t>
  </si>
  <si>
    <t>Gen-Office Supplies:AKGC</t>
  </si>
  <si>
    <t>OLD-51020-0042</t>
  </si>
  <si>
    <t>OLD-51020-0043</t>
  </si>
  <si>
    <t>OLD-51020-0044</t>
  </si>
  <si>
    <t>OLD-51020-0045</t>
  </si>
  <si>
    <t>OLD-51020-0046</t>
  </si>
  <si>
    <t>OLD-51020-0048</t>
  </si>
  <si>
    <t>OLD-51020-0049</t>
  </si>
  <si>
    <t>OLD-51020-0050</t>
  </si>
  <si>
    <t>OLD-51021-0040</t>
  </si>
  <si>
    <t>OLD-51021-0041</t>
  </si>
  <si>
    <t>OLD-51021-0042</t>
  </si>
  <si>
    <t>OLD-51021-0043</t>
  </si>
  <si>
    <t>OLD-51021-0044</t>
  </si>
  <si>
    <t>OLD-51021-0045</t>
  </si>
  <si>
    <t>OLD-51021-0046</t>
  </si>
  <si>
    <t>OLD-51021-0048</t>
  </si>
  <si>
    <t>OLD-51024-0048</t>
  </si>
  <si>
    <t xml:space="preserve">Total Gen Main/Business Exp    </t>
  </si>
  <si>
    <t>OLD-51024-0049</t>
  </si>
  <si>
    <t>OLD-51025-0043</t>
  </si>
  <si>
    <t>Gen-W/C Ins Expense:AKGC</t>
  </si>
  <si>
    <t>OLD-51025-0044</t>
  </si>
  <si>
    <t>OLD-51025-0045</t>
  </si>
  <si>
    <t>OLD-51025-0046</t>
  </si>
  <si>
    <t>OLD-51025-0048</t>
  </si>
  <si>
    <t>OLD-51028-0042</t>
  </si>
  <si>
    <t>OLD-51029-0043</t>
  </si>
  <si>
    <t>OLD-51029-0044</t>
  </si>
  <si>
    <t>OLD-51029-0045</t>
  </si>
  <si>
    <t>OLD-51029-0046</t>
  </si>
  <si>
    <t>OLD-51029-0050</t>
  </si>
  <si>
    <t>OLD-52001-0040</t>
  </si>
  <si>
    <t>RR-Adv and Promo:AKGC</t>
  </si>
  <si>
    <t>OLD-52001-0041</t>
  </si>
  <si>
    <t>OLD-52001-0042</t>
  </si>
  <si>
    <t>OLD-52001-0043</t>
  </si>
  <si>
    <t>OLD-52001-0044</t>
  </si>
  <si>
    <t>OLD-52001-0045</t>
  </si>
  <si>
    <t>OLD-52001-0046</t>
  </si>
  <si>
    <t>OLD-52001-0048</t>
  </si>
  <si>
    <t>OLD-52001-0049</t>
  </si>
  <si>
    <t>OLD-52001-0050</t>
  </si>
  <si>
    <t>OLD-52002-0043</t>
  </si>
  <si>
    <t>OLD-52002-0044</t>
  </si>
  <si>
    <t>OLD-52002-0045</t>
  </si>
  <si>
    <t>OLD-52002-0046</t>
  </si>
  <si>
    <t>OLD-52002-0048</t>
  </si>
  <si>
    <t>OLD-52002-0049</t>
  </si>
  <si>
    <t>OLD-52002-0050</t>
  </si>
  <si>
    <t>OLD-52003-0040</t>
  </si>
  <si>
    <t>OLD-52003-0041</t>
  </si>
  <si>
    <t>OLD-52003-0042</t>
  </si>
  <si>
    <t>OLD-52003-0043</t>
  </si>
  <si>
    <t>OLD-52003-0044</t>
  </si>
  <si>
    <t>OLD-52003-0045</t>
  </si>
  <si>
    <t>OLD-52003-0046</t>
  </si>
  <si>
    <t>OLD-52003-0048</t>
  </si>
  <si>
    <t>OLD-52003-0049</t>
  </si>
  <si>
    <t>OLD-52003-0050</t>
  </si>
  <si>
    <t>OLD-52004-0048</t>
  </si>
  <si>
    <t>OLD-52007-0041</t>
  </si>
  <si>
    <t>RR-Unit Conversion</t>
  </si>
  <si>
    <t xml:space="preserve">Unit Conversion                                    </t>
  </si>
  <si>
    <t>OLD-52007-0043</t>
  </si>
  <si>
    <t>OLD-52007-0044</t>
  </si>
  <si>
    <t>OLD-52007-0045</t>
  </si>
  <si>
    <t>OLD-52007-0046</t>
  </si>
  <si>
    <t>OLD-52007-0048</t>
  </si>
  <si>
    <t>OLD-52007-0049</t>
  </si>
  <si>
    <t>OLD-52007-0050</t>
  </si>
  <si>
    <t>OLD-53001-0041</t>
  </si>
  <si>
    <t>Utils-Telephone Exp:AKGC</t>
  </si>
  <si>
    <t>OLD-53001-0042</t>
  </si>
  <si>
    <t>OLD-53001-0043</t>
  </si>
  <si>
    <t>OLD-53001-0044</t>
  </si>
  <si>
    <t>OLD-53001-0045</t>
  </si>
  <si>
    <t>OLD-53001-0046</t>
  </si>
  <si>
    <t>OLD-53001-0048</t>
  </si>
  <si>
    <t>OLD-53001-0050</t>
  </si>
  <si>
    <t>OLD-53002-0040</t>
  </si>
  <si>
    <t>Utils-Trash:AKGC</t>
  </si>
  <si>
    <t>OLD-53002-0041</t>
  </si>
  <si>
    <t>OLD-53002-0042</t>
  </si>
  <si>
    <t>OLD-53002-0043</t>
  </si>
  <si>
    <t>OLD-53002-0044</t>
  </si>
  <si>
    <t>OLD-53002-0045</t>
  </si>
  <si>
    <t>OLD-53002-0046</t>
  </si>
  <si>
    <t>OLD-53002-0048</t>
  </si>
  <si>
    <t>OLD-53002-0049</t>
  </si>
  <si>
    <t>OLD-53003-0040</t>
  </si>
  <si>
    <t>Utils-Electric:AKGC</t>
  </si>
  <si>
    <t>OLD-53003-0041</t>
  </si>
  <si>
    <t>OLD-53003-0042</t>
  </si>
  <si>
    <t>OLD-53003-0043</t>
  </si>
  <si>
    <t>OLD-53003-0044</t>
  </si>
  <si>
    <t>OLD-53003-0045</t>
  </si>
  <si>
    <t>OLD-53003-0046</t>
  </si>
  <si>
    <t>OLD-53003-0048</t>
  </si>
  <si>
    <t>OLD-53003-0049</t>
  </si>
  <si>
    <t>OLD-53003-0050</t>
  </si>
  <si>
    <t>OLD-53004-0041</t>
  </si>
  <si>
    <t>Utils-Gas:AKGC</t>
  </si>
  <si>
    <t>OLD-53004-0042</t>
  </si>
  <si>
    <t>OLD-53004-0043</t>
  </si>
  <si>
    <t>OLD-53004-0044</t>
  </si>
  <si>
    <t>OLD-53004-0045</t>
  </si>
  <si>
    <t>OLD-53004-0046</t>
  </si>
  <si>
    <t>OLD-53004-0048</t>
  </si>
  <si>
    <t>OLD-53004-0049</t>
  </si>
  <si>
    <t>OLD-53004-0050</t>
  </si>
  <si>
    <t>OLD-53005-0040</t>
  </si>
  <si>
    <t>OLD-53005-0041</t>
  </si>
  <si>
    <t>OLD-53005-0042</t>
  </si>
  <si>
    <t>OLD-53005-0043</t>
  </si>
  <si>
    <t>OLD-53005-0044</t>
  </si>
  <si>
    <t>OLD-53005-0045</t>
  </si>
  <si>
    <t>OLD-53005-0046</t>
  </si>
  <si>
    <t>OLD-53005-0048</t>
  </si>
  <si>
    <t>OLD-53006-0040</t>
  </si>
  <si>
    <t>Utils-Water:AKGC</t>
  </si>
  <si>
    <t>OLD-53006-0041</t>
  </si>
  <si>
    <t>OLD-53006-0042</t>
  </si>
  <si>
    <t>OLD-53006-0043</t>
  </si>
  <si>
    <t>OLD-53006-0044</t>
  </si>
  <si>
    <t>OLD-53006-0045</t>
  </si>
  <si>
    <t>OLD-53006-0046</t>
  </si>
  <si>
    <t>OLD-53006-0048</t>
  </si>
  <si>
    <t>OLD-53006-0049</t>
  </si>
  <si>
    <t>OLD-53006-0050</t>
  </si>
  <si>
    <t>OLD-54001-0043</t>
  </si>
  <si>
    <t>Health Insurance:AKGC</t>
  </si>
  <si>
    <t>OLD-54001-0044</t>
  </si>
  <si>
    <t>OLD-54001-0045</t>
  </si>
  <si>
    <t>OLD-54001-0046</t>
  </si>
  <si>
    <t>OLD-54001-0048</t>
  </si>
  <si>
    <t>OLD-54001-0049</t>
  </si>
  <si>
    <t>OLD-54001-0050</t>
  </si>
  <si>
    <t>OLD-54002-0043</t>
  </si>
  <si>
    <t>Mgr Bonus:AKGC</t>
  </si>
  <si>
    <t>OLD-54002-0044</t>
  </si>
  <si>
    <t>OLD-54002-0045</t>
  </si>
  <si>
    <t>OLD-54002-0046</t>
  </si>
  <si>
    <t>OLD-54002-0048</t>
  </si>
  <si>
    <t>OLD-54002-0049</t>
  </si>
  <si>
    <t>OLD-54002-0050</t>
  </si>
  <si>
    <t>OLD-54003-0043</t>
  </si>
  <si>
    <t>Payroll Exp-Admin:AKGC</t>
  </si>
  <si>
    <t>OLD-54003-0044</t>
  </si>
  <si>
    <t>OLD-54003-0045</t>
  </si>
  <si>
    <t>OLD-54003-0046</t>
  </si>
  <si>
    <t>OLD-54003-0048</t>
  </si>
  <si>
    <t>OLD-54003-0049</t>
  </si>
  <si>
    <t>OLD-54003-0050</t>
  </si>
  <si>
    <t>OLD-54004-0043</t>
  </si>
  <si>
    <t>OLD-54004-0044</t>
  </si>
  <si>
    <t>OLD-54004-0045</t>
  </si>
  <si>
    <t>OLD-54004-0046</t>
  </si>
  <si>
    <t>OLD-54004-0048</t>
  </si>
  <si>
    <t>OLD-54004-0049</t>
  </si>
  <si>
    <t>OLD-54004-0050</t>
  </si>
  <si>
    <t>OLD-54005-0043</t>
  </si>
  <si>
    <t>OLD-54005-0044</t>
  </si>
  <si>
    <t>OLD-54005-0045</t>
  </si>
  <si>
    <t>OLD-54005-0046</t>
  </si>
  <si>
    <t>OLD-54006-0043</t>
  </si>
  <si>
    <t>OLD-54006-0044</t>
  </si>
  <si>
    <t>OLD-54006-0045</t>
  </si>
  <si>
    <t>OLD-54006-0046</t>
  </si>
  <si>
    <t>OLD-54006-0048</t>
  </si>
  <si>
    <t>OLD-54007-0043</t>
  </si>
  <si>
    <t>Payroll Exp-Prop Asst:AKGC</t>
  </si>
  <si>
    <t>OLD-54007-0044</t>
  </si>
  <si>
    <t>OLD-54007-0045</t>
  </si>
  <si>
    <t>OLD-54007-0046</t>
  </si>
  <si>
    <t>OLD-54007-0048</t>
  </si>
  <si>
    <t>OLD-54007-0049</t>
  </si>
  <si>
    <t>OLD-54007-0050</t>
  </si>
  <si>
    <t>OLD-55506-0040</t>
  </si>
  <si>
    <t>OLD-60002-0041</t>
  </si>
  <si>
    <t>Bank Service Charges:AKGC</t>
  </si>
  <si>
    <t>OLD-60002-0042</t>
  </si>
  <si>
    <t>OLD-60002-0043</t>
  </si>
  <si>
    <t>OLD-60002-0044</t>
  </si>
  <si>
    <t>OLD-60002-0045</t>
  </si>
  <si>
    <t>OLD-60002-0046</t>
  </si>
  <si>
    <t>OLD-60002-0048</t>
  </si>
  <si>
    <t>OLD-60002-0049</t>
  </si>
  <si>
    <t>OLD-60005-0041</t>
  </si>
  <si>
    <t>Insurance:AKGC</t>
  </si>
  <si>
    <t>OLD-60005-0042</t>
  </si>
  <si>
    <t>OLD-60005-0043</t>
  </si>
  <si>
    <t>OLD-60005-0044</t>
  </si>
  <si>
    <t>OLD-60005-0045</t>
  </si>
  <si>
    <t>OLD-60005-0046</t>
  </si>
  <si>
    <t>OLD-60005-0048</t>
  </si>
  <si>
    <t>OLD-60005-0049</t>
  </si>
  <si>
    <t>OLD-60005-0050</t>
  </si>
  <si>
    <t>OLD-60006-0040</t>
  </si>
  <si>
    <t>Interest Expense:AKGC</t>
  </si>
  <si>
    <t>OLD-60006-0048</t>
  </si>
  <si>
    <t>OLD-60008-0040</t>
  </si>
  <si>
    <t>Prof-Legal:AKGC</t>
  </si>
  <si>
    <t>OLD-60008-0041</t>
  </si>
  <si>
    <t>OLD-60008-0042</t>
  </si>
  <si>
    <t>OLD-60008-0043</t>
  </si>
  <si>
    <t>OLD-60008-0044</t>
  </si>
  <si>
    <t>OLD-60008-0045</t>
  </si>
  <si>
    <t>OLD-60008-0046</t>
  </si>
  <si>
    <t>OLD-60008-0048</t>
  </si>
  <si>
    <t>OLD-60008-0049</t>
  </si>
  <si>
    <t>OLD-60008-0050</t>
  </si>
  <si>
    <t>OLD-60012-0041</t>
  </si>
  <si>
    <t>Taxes-Property:AKGC</t>
  </si>
  <si>
    <t>OLD-60012-0042</t>
  </si>
  <si>
    <t>OLD-60012-0043</t>
  </si>
  <si>
    <t>OLD-60012-0044</t>
  </si>
  <si>
    <t>OLD-60012-0045</t>
  </si>
  <si>
    <t>OLD-60012-0046</t>
  </si>
  <si>
    <t>OLD-60012-0048</t>
  </si>
  <si>
    <t>OLD-60012-0049</t>
  </si>
  <si>
    <t>OLD-60012-0050</t>
  </si>
  <si>
    <t>OLD-60014-0040</t>
  </si>
  <si>
    <t>Mgt Fee-SSRE:AKGC</t>
  </si>
  <si>
    <t>OLD-60014-0041</t>
  </si>
  <si>
    <t>OLD-60014-0042</t>
  </si>
  <si>
    <t>OLD-60014-0043</t>
  </si>
  <si>
    <t>OLD-60014-0044</t>
  </si>
  <si>
    <t>OLD-60014-0045</t>
  </si>
  <si>
    <t>OLD-60014-0046</t>
  </si>
  <si>
    <t>OLD-60014-0049</t>
  </si>
  <si>
    <t>OLD-60014-0050</t>
  </si>
  <si>
    <t>OLD-60015-0040</t>
  </si>
  <si>
    <t>License &amp; Permit:AKGC</t>
  </si>
  <si>
    <t>OLD-60015-0042</t>
  </si>
  <si>
    <t>OLD-60015-0043</t>
  </si>
  <si>
    <t>OLD-60015-0044</t>
  </si>
  <si>
    <t>OLD-60015-0045</t>
  </si>
  <si>
    <t>OLD-60015-0046</t>
  </si>
  <si>
    <t>OLD-60015-0048</t>
  </si>
  <si>
    <t>OLD-60015-0049</t>
  </si>
  <si>
    <t>OLD-60015-0050</t>
  </si>
  <si>
    <t>OLD-61016-0048</t>
  </si>
  <si>
    <t>OLD-61018-0048</t>
  </si>
  <si>
    <t>Other Expenses:AKGC</t>
  </si>
  <si>
    <t>OLD-61022-0046</t>
  </si>
  <si>
    <t>OLD-61022-0050</t>
  </si>
  <si>
    <t>OVA-15501-0000</t>
  </si>
  <si>
    <t>OVA-25300-0000</t>
  </si>
  <si>
    <t>OVA-40110-0000</t>
  </si>
  <si>
    <t>OVA-40120-0000</t>
  </si>
  <si>
    <t>OVA-40130-0000</t>
  </si>
  <si>
    <t>OVA-40140-0000</t>
  </si>
  <si>
    <t>OVA-41110-0000</t>
  </si>
  <si>
    <t>OVA-41121-0000</t>
  </si>
  <si>
    <t>OVA-41122-0000</t>
  </si>
  <si>
    <t>OVA-41130-0000</t>
  </si>
  <si>
    <t>OVA-41140-0000</t>
  </si>
  <si>
    <t>OVA-41150-0000</t>
  </si>
  <si>
    <t>OVA-41160-0000</t>
  </si>
  <si>
    <t>OVA-41999-0000</t>
  </si>
  <si>
    <t>OVA-47400-0000</t>
  </si>
  <si>
    <t>OVA-47420-0000</t>
  </si>
  <si>
    <t>OVA-47430-0000</t>
  </si>
  <si>
    <t>OVA-47440-0000</t>
  </si>
  <si>
    <t>OVA-47450-0000</t>
  </si>
  <si>
    <t>OVA-47460-0000</t>
  </si>
  <si>
    <t>OVA-47480-0000</t>
  </si>
  <si>
    <t>OVA-47492-0000</t>
  </si>
  <si>
    <t>OVA-47495-0000</t>
  </si>
  <si>
    <t>OVAL CLOUD-Capital Improvement-</t>
  </si>
  <si>
    <t>OVA-51001-0000</t>
  </si>
  <si>
    <t>OVA-51002-0000</t>
  </si>
  <si>
    <t>OVA-51005-0000</t>
  </si>
  <si>
    <t>OVA-51006-0000</t>
  </si>
  <si>
    <t>OVA-51008-0000</t>
  </si>
  <si>
    <t>OVA-51009-0000</t>
  </si>
  <si>
    <t>OVA-51011-0000</t>
  </si>
  <si>
    <t>OVA-51012-0000</t>
  </si>
  <si>
    <t>OVA-51013-0000</t>
  </si>
  <si>
    <t>OVA-51020-0000</t>
  </si>
  <si>
    <t>OVA-51025-0000</t>
  </si>
  <si>
    <t>OVA-52001-0000</t>
  </si>
  <si>
    <t>OVA-52003-0000</t>
  </si>
  <si>
    <t>OVA-52004-0000</t>
  </si>
  <si>
    <t>OVA-53001-0000</t>
  </si>
  <si>
    <t>OVA-53002-0000</t>
  </si>
  <si>
    <t>OVA-53003-0000</t>
  </si>
  <si>
    <t>OVA-53004-0000</t>
  </si>
  <si>
    <t>OVA-53005-0000</t>
  </si>
  <si>
    <t>OVA-53006-0000</t>
  </si>
  <si>
    <t>OVA-54002-0000</t>
  </si>
  <si>
    <t>OVA-54003-0000</t>
  </si>
  <si>
    <t>OVA-54004-0000</t>
  </si>
  <si>
    <t>OVA-54005-0000</t>
  </si>
  <si>
    <t>OVA-54006-0000</t>
  </si>
  <si>
    <t>OVA-54007-0000</t>
  </si>
  <si>
    <t>OVA-55501-0000</t>
  </si>
  <si>
    <t>OVA-55502-0000</t>
  </si>
  <si>
    <t>OVA-55503-0000</t>
  </si>
  <si>
    <t>OVA-55505-0000</t>
  </si>
  <si>
    <t>OVA-55506-0000</t>
  </si>
  <si>
    <t>OVA-55507-0000</t>
  </si>
  <si>
    <t>OVA-60001-0000</t>
  </si>
  <si>
    <t>OVA-60002-0000</t>
  </si>
  <si>
    <t>OVA-60005-0000</t>
  </si>
  <si>
    <t>OVA-60006-0000</t>
  </si>
  <si>
    <t>OVA-60007-0000</t>
  </si>
  <si>
    <t>OVA-60008-0000</t>
  </si>
  <si>
    <t>OVA-60011-0000</t>
  </si>
  <si>
    <t>OVA-60012-0000</t>
  </si>
  <si>
    <t>OVA-60014-0000</t>
  </si>
  <si>
    <t>OVA-60015-0000</t>
  </si>
  <si>
    <t>OVA-61016-0000</t>
  </si>
  <si>
    <t>OVA-61018-0000</t>
  </si>
  <si>
    <t>OVA-61019-0000</t>
  </si>
  <si>
    <t>PGP-15600-0000</t>
  </si>
  <si>
    <t>PGP-51008-0000</t>
  </si>
  <si>
    <t>PGP-51015-0000</t>
  </si>
  <si>
    <t>PGP-51019-0000</t>
  </si>
  <si>
    <t>PGP-53003-0000</t>
  </si>
  <si>
    <t>PGP-53006-0000</t>
  </si>
  <si>
    <t>PGP-55000-0000</t>
  </si>
  <si>
    <t>PGP-55501-0000</t>
  </si>
  <si>
    <t>PGP-55505-0000</t>
  </si>
  <si>
    <t>PGP-60005-0000</t>
  </si>
  <si>
    <t>PGP-60006-0000</t>
  </si>
  <si>
    <t>PGP-60007-0000</t>
  </si>
  <si>
    <t>PGP-60012-0000</t>
  </si>
  <si>
    <t>PGP-60015-0000</t>
  </si>
  <si>
    <t>PGP-61018-0000</t>
  </si>
  <si>
    <t>PGP-61019-0000</t>
  </si>
  <si>
    <t>PUR-15501-0000</t>
  </si>
  <si>
    <t>PUR-25300-0000</t>
  </si>
  <si>
    <t>PUR-40110-0000</t>
  </si>
  <si>
    <t>PUR-40120-0000</t>
  </si>
  <si>
    <t>PUR-40130-0000</t>
  </si>
  <si>
    <t>PUR-40140-0000</t>
  </si>
  <si>
    <t>PUR-41110-0000</t>
  </si>
  <si>
    <t>PUR-41121-0000</t>
  </si>
  <si>
    <t>PUR-41122-0000</t>
  </si>
  <si>
    <t>PUR-41130-0000</t>
  </si>
  <si>
    <t>PUR-41140-0000</t>
  </si>
  <si>
    <t>PUR-41150-0000</t>
  </si>
  <si>
    <t>PUR-41160-0000</t>
  </si>
  <si>
    <t>PUR-41999-0000</t>
  </si>
  <si>
    <t>PUR-47400-0000</t>
  </si>
  <si>
    <t>PUR-47420-0000</t>
  </si>
  <si>
    <t>PUR-47430-0000</t>
  </si>
  <si>
    <t>PUR-47460-0000</t>
  </si>
  <si>
    <t>PUR-47480-0000</t>
  </si>
  <si>
    <t>PUR-47492-0000</t>
  </si>
  <si>
    <t>PUR-51005-0000</t>
  </si>
  <si>
    <t>PUR-51006-0000</t>
  </si>
  <si>
    <t>PUR-51007-0000</t>
  </si>
  <si>
    <t>PUR-51008-0000</t>
  </si>
  <si>
    <t>PUR-51009-0000</t>
  </si>
  <si>
    <t>PUR-51010-0000</t>
  </si>
  <si>
    <t>PUR-51011-0000</t>
  </si>
  <si>
    <t>PUR-51012-0000</t>
  </si>
  <si>
    <t>PUR-51013-0000</t>
  </si>
  <si>
    <t>PUR-51015-0000</t>
  </si>
  <si>
    <t>PUR-51018-0000</t>
  </si>
  <si>
    <t>PUR-51020-0000</t>
  </si>
  <si>
    <t>PUR-51025-0000</t>
  </si>
  <si>
    <t>PUR-52001-0000</t>
  </si>
  <si>
    <t>PUR-52003-0000</t>
  </si>
  <si>
    <t>PUR-53001-0000</t>
  </si>
  <si>
    <t>PUR-53002-0000</t>
  </si>
  <si>
    <t>PUR-53003-0000</t>
  </si>
  <si>
    <t>PUR-53004-0000</t>
  </si>
  <si>
    <t>PUR-53005-0000</t>
  </si>
  <si>
    <t>PUR-53006-0000</t>
  </si>
  <si>
    <t>PUR-54002-0000</t>
  </si>
  <si>
    <t>PUR-54003-0000</t>
  </si>
  <si>
    <t>PUR-54004-0000</t>
  </si>
  <si>
    <t>PUR-54005-0000</t>
  </si>
  <si>
    <t>PUR-54006-0000</t>
  </si>
  <si>
    <t>PUR-54007-0000</t>
  </si>
  <si>
    <t>PUR-55501-0000</t>
  </si>
  <si>
    <t>PUR-55502-0000</t>
  </si>
  <si>
    <t>PUR-55503-0000</t>
  </si>
  <si>
    <t>PUR-55504-0000</t>
  </si>
  <si>
    <t>PUR-55505-0000</t>
  </si>
  <si>
    <t>PUR-55506-0000</t>
  </si>
  <si>
    <t>PUR-55507-0000</t>
  </si>
  <si>
    <t>PUR-60001-0000</t>
  </si>
  <si>
    <t>PUR-60002-0000</t>
  </si>
  <si>
    <t>PUR-60005-0000</t>
  </si>
  <si>
    <t>PUR-60006-0000</t>
  </si>
  <si>
    <t>PUR-60007-0000</t>
  </si>
  <si>
    <t>PUR-60008-0000</t>
  </si>
  <si>
    <t>PUR-60011-0000</t>
  </si>
  <si>
    <t>PUR-60012-0000</t>
  </si>
  <si>
    <t>PUR-60014-0000</t>
  </si>
  <si>
    <t>PUR-60015-0000</t>
  </si>
  <si>
    <t>PUR-61016-0000</t>
  </si>
  <si>
    <t>PUR-61019-0000</t>
  </si>
  <si>
    <t>RCI-20001-0000</t>
  </si>
  <si>
    <t>RCI-40300-1200</t>
  </si>
  <si>
    <t>RCI-40400-1200</t>
  </si>
  <si>
    <t>RCI-40400-1300</t>
  </si>
  <si>
    <t>Revenue - Cost Reimb FFC</t>
  </si>
  <si>
    <t>RCI-52001-1200</t>
  </si>
  <si>
    <t>RCI-52001-1300</t>
  </si>
  <si>
    <t>Labor Expense FFC</t>
  </si>
  <si>
    <t>RCI-55001-0000</t>
  </si>
  <si>
    <t>RCI-56001-0000</t>
  </si>
  <si>
    <t>RCI-56001-1200</t>
  </si>
  <si>
    <t>Payroll Tax ExpenseCJNC</t>
  </si>
  <si>
    <t>RCI-56001-1300</t>
  </si>
  <si>
    <t>Payroll Tax ExpenseFFC</t>
  </si>
  <si>
    <t>RCI-64502-0000</t>
  </si>
  <si>
    <t>RCI-64530-0000</t>
  </si>
  <si>
    <t>RCI-75001-0000</t>
  </si>
  <si>
    <t>RCI-94201-0000</t>
  </si>
  <si>
    <t>Prof Fee</t>
  </si>
  <si>
    <t>RCI-99001-0000</t>
  </si>
  <si>
    <t>Other Income/Expense</t>
  </si>
  <si>
    <t xml:space="preserve">Other Income                                       </t>
  </si>
  <si>
    <t>RCI-99901-0000</t>
  </si>
  <si>
    <t>Provision for Income Tax</t>
  </si>
  <si>
    <t>SAT-15501-0000</t>
  </si>
  <si>
    <t>SAT-19000-0000</t>
  </si>
  <si>
    <t>SAT-40110-0000</t>
  </si>
  <si>
    <t>SAT-40120-0000</t>
  </si>
  <si>
    <t>SAT-40130-0000</t>
  </si>
  <si>
    <t>SAT-40140-0000</t>
  </si>
  <si>
    <t>SAT-41110-0000</t>
  </si>
  <si>
    <t>SAT-41121-0000</t>
  </si>
  <si>
    <t>SAT-41122-0000</t>
  </si>
  <si>
    <t>SAT-41130-0000</t>
  </si>
  <si>
    <t>SAT-41140-0000</t>
  </si>
  <si>
    <t>SAT-41150-0000</t>
  </si>
  <si>
    <t>SAT-41160-0000</t>
  </si>
  <si>
    <t>SAT-41999-0000</t>
  </si>
  <si>
    <t>SAT-47400-0000</t>
  </si>
  <si>
    <t>SAT-47420-0000</t>
  </si>
  <si>
    <t>SAT-47450-0000</t>
  </si>
  <si>
    <t>SAT-47460-0000</t>
  </si>
  <si>
    <t>SAT-47480-0000</t>
  </si>
  <si>
    <t>SAT-47494-0000</t>
  </si>
  <si>
    <t>Surcharge fr Prop Tax</t>
  </si>
  <si>
    <t xml:space="preserve">Surcharge fr Prop Tax                              </t>
  </si>
  <si>
    <t>SAT-51006-0000</t>
  </si>
  <si>
    <t>SAT-51007-0000</t>
  </si>
  <si>
    <t>SAT-51008-0000</t>
  </si>
  <si>
    <t>SAT-51009-0000</t>
  </si>
  <si>
    <t>SAT-51011-0000</t>
  </si>
  <si>
    <t>SAT-52001-0000</t>
  </si>
  <si>
    <t>SAT-52002-0000</t>
  </si>
  <si>
    <t>SAT-52003-0000</t>
  </si>
  <si>
    <t>SAT-52004-0000</t>
  </si>
  <si>
    <t>SAT-52006-0000</t>
  </si>
  <si>
    <t>SAT-53002-0000</t>
  </si>
  <si>
    <t>SAT-53003-0000</t>
  </si>
  <si>
    <t>SAT-53006-0000</t>
  </si>
  <si>
    <t>SAT-54003-0000</t>
  </si>
  <si>
    <t>SAT-54004-0000</t>
  </si>
  <si>
    <t>SAT-54006-0000</t>
  </si>
  <si>
    <t>SAT-54007-0000</t>
  </si>
  <si>
    <t>SAT-55502-0000</t>
  </si>
  <si>
    <t>SAT-55503-0000</t>
  </si>
  <si>
    <t>SAT-55505-0000</t>
  </si>
  <si>
    <t>SAT-55506-0000</t>
  </si>
  <si>
    <t>SAT-60001-0000</t>
  </si>
  <si>
    <t>SAT-60002-0000</t>
  </si>
  <si>
    <t>SAT-60005-0000</t>
  </si>
  <si>
    <t>SAT-60006-0000</t>
  </si>
  <si>
    <t>SAT-60007-0000</t>
  </si>
  <si>
    <t>SAT-60008-0000</t>
  </si>
  <si>
    <t>SAT-60012-0000</t>
  </si>
  <si>
    <t>SAT-60014-0000</t>
  </si>
  <si>
    <t>SAT-60015-0000</t>
  </si>
  <si>
    <t>SAT-61018-0000</t>
  </si>
  <si>
    <t>SAT-61019-0000</t>
  </si>
  <si>
    <t>SAT-99700-0000</t>
  </si>
  <si>
    <t>SC1-40700-7352</t>
  </si>
  <si>
    <t>SC1-40700-7361</t>
  </si>
  <si>
    <t>SC1-40700-7365</t>
  </si>
  <si>
    <t>SC1-91001-0000</t>
  </si>
  <si>
    <t>SC1-92401-7352</t>
  </si>
  <si>
    <t>SC1-92401-7361</t>
  </si>
  <si>
    <t>SC1-92401-7365</t>
  </si>
  <si>
    <t>SC1-94201-0000</t>
  </si>
  <si>
    <t>SC1-99901-0000</t>
  </si>
  <si>
    <t>SC2-11363-7364</t>
  </si>
  <si>
    <t>SC2-19000-0000</t>
  </si>
  <si>
    <t>SC2-19000-7364</t>
  </si>
  <si>
    <t>Deposit Other/Fees</t>
  </si>
  <si>
    <t>SC2-40700-7364</t>
  </si>
  <si>
    <t>SC2-40700-7489</t>
  </si>
  <si>
    <t>SC2-40700-7493</t>
  </si>
  <si>
    <t>SC2-61018-0000</t>
  </si>
  <si>
    <t>SC2-61018-7364</t>
  </si>
  <si>
    <t>SC2-91001-0000</t>
  </si>
  <si>
    <t>SC2-92401-7364</t>
  </si>
  <si>
    <t>SC2-92401-7489</t>
  </si>
  <si>
    <t>SC2-92401-7493</t>
  </si>
  <si>
    <t>SC2-94201-0000</t>
  </si>
  <si>
    <t>SC2-99700-0000</t>
  </si>
  <si>
    <t xml:space="preserve">Gain/Loss on Disposal          </t>
  </si>
  <si>
    <t>SC2-99700-7364</t>
  </si>
  <si>
    <t>SC2-99901-0000</t>
  </si>
  <si>
    <t>SC3-40700-7494</t>
  </si>
  <si>
    <t>SC3-40700-7625</t>
  </si>
  <si>
    <t>SC3-91001-0000</t>
  </si>
  <si>
    <t>SC3-92401-7494</t>
  </si>
  <si>
    <t>SC3-92401-7625</t>
  </si>
  <si>
    <t>SC3-94201-0000</t>
  </si>
  <si>
    <t>SC3-99901-0000</t>
  </si>
  <si>
    <t>SC4-40700-7355</t>
  </si>
  <si>
    <t>SC4-40700-7400</t>
  </si>
  <si>
    <t>SC4-91001-0000</t>
  </si>
  <si>
    <t>SC4-92401-7355</t>
  </si>
  <si>
    <t>SC4-92401-7400</t>
  </si>
  <si>
    <t>SC4-94201-0000</t>
  </si>
  <si>
    <t>SC4-99901-0000</t>
  </si>
  <si>
    <t>SCL-10020-0000</t>
  </si>
  <si>
    <t>Cash-PRT Holding</t>
  </si>
  <si>
    <t>SCL-10022-0000</t>
  </si>
  <si>
    <t>SCL-15002-0000</t>
  </si>
  <si>
    <t>SCL-25606-0000</t>
  </si>
  <si>
    <t>SCL-40001-7351</t>
  </si>
  <si>
    <t>SCL-40001-7352</t>
  </si>
  <si>
    <t>SCL-40001-7355</t>
  </si>
  <si>
    <t>SCL-40001-7356</t>
  </si>
  <si>
    <t>SCL-40001-7359</t>
  </si>
  <si>
    <t>SCL-40001-7360</t>
  </si>
  <si>
    <t>SCL-40001-7361</t>
  </si>
  <si>
    <t>SCL-40001-7362</t>
  </si>
  <si>
    <t>SCL-40001-7363</t>
  </si>
  <si>
    <t>SCL-40001-7364</t>
  </si>
  <si>
    <t>SCL-40001-7365</t>
  </si>
  <si>
    <t>SCL-40001-7366</t>
  </si>
  <si>
    <t>SCL-40001-7368</t>
  </si>
  <si>
    <t>SCL-40001-7369</t>
  </si>
  <si>
    <t>SCL-40001-7370</t>
  </si>
  <si>
    <t>SCL-40001-7371</t>
  </si>
  <si>
    <t>SCL-40001-7374</t>
  </si>
  <si>
    <t>SCL-40001-7375</t>
  </si>
  <si>
    <t>SCL-40001-7376</t>
  </si>
  <si>
    <t>SCL-40001-7377</t>
  </si>
  <si>
    <t>SCL-40001-7378</t>
  </si>
  <si>
    <t>SCL-40001-7379</t>
  </si>
  <si>
    <t>SCL-40001-7380</t>
  </si>
  <si>
    <t>SCL-40001-7381</t>
  </si>
  <si>
    <t>SCL-40001-7383</t>
  </si>
  <si>
    <t>SCL-40001-7385</t>
  </si>
  <si>
    <t>SCL-40001-7386</t>
  </si>
  <si>
    <t>SCL-40001-7387</t>
  </si>
  <si>
    <t>SCL-40001-7389</t>
  </si>
  <si>
    <t>SCL-40001-7391</t>
  </si>
  <si>
    <t>SCL-40001-7393</t>
  </si>
  <si>
    <t>SCL-40001-7394</t>
  </si>
  <si>
    <t>SCL-40001-7396</t>
  </si>
  <si>
    <t>SCL-40001-7397</t>
  </si>
  <si>
    <t>SCL-40001-7398</t>
  </si>
  <si>
    <t>SCL-40001-7400</t>
  </si>
  <si>
    <t>SCL-40001-7401</t>
  </si>
  <si>
    <t>SCL-40001-7402</t>
  </si>
  <si>
    <t>SCL-40001-7403</t>
  </si>
  <si>
    <t>SCL-40001-7404</t>
  </si>
  <si>
    <t>SCL-40001-7405</t>
  </si>
  <si>
    <t>SCL-40001-7406</t>
  </si>
  <si>
    <t>SCL-40001-7489</t>
  </si>
  <si>
    <t>SCL-40001-7490</t>
  </si>
  <si>
    <t>SCL-40001-7491</t>
  </si>
  <si>
    <t>SCL-40001-7492</t>
  </si>
  <si>
    <t>SCL-40001-7493</t>
  </si>
  <si>
    <t>SCL-40001-7494</t>
  </si>
  <si>
    <t>SCL-40001-7625</t>
  </si>
  <si>
    <t>SCL-40001-8150</t>
  </si>
  <si>
    <t>SCL-40002-7351</t>
  </si>
  <si>
    <t>SCL-40002-7352</t>
  </si>
  <si>
    <t>SCL-40002-7355</t>
  </si>
  <si>
    <t>SCL-40002-7356</t>
  </si>
  <si>
    <t>SCL-40002-7359</t>
  </si>
  <si>
    <t>SCL-40002-7360</t>
  </si>
  <si>
    <t>SCL-40002-7361</t>
  </si>
  <si>
    <t>SCL-40002-7362</t>
  </si>
  <si>
    <t>SCL-40002-7363</t>
  </si>
  <si>
    <t>SCL-40002-7364</t>
  </si>
  <si>
    <t>SCL-40002-7365</t>
  </si>
  <si>
    <t>SCL-40002-7366</t>
  </si>
  <si>
    <t>SCL-40002-7368</t>
  </si>
  <si>
    <t>SCL-40002-7369</t>
  </si>
  <si>
    <t>SCL-40002-7370</t>
  </si>
  <si>
    <t>SCL-40002-7371</t>
  </si>
  <si>
    <t>SCL-40002-7374</t>
  </si>
  <si>
    <t>SCL-40002-7375</t>
  </si>
  <si>
    <t>SCL-40002-7376</t>
  </si>
  <si>
    <t>SCL-40002-7377</t>
  </si>
  <si>
    <t>SCL-40002-7378</t>
  </si>
  <si>
    <t>SCL-40002-7379</t>
  </si>
  <si>
    <t>SCL-40002-7380</t>
  </si>
  <si>
    <t>SCL-40002-7381</t>
  </si>
  <si>
    <t>SCL-40002-7383</t>
  </si>
  <si>
    <t>SCL-40002-7385</t>
  </si>
  <si>
    <t>SCL-40002-7386</t>
  </si>
  <si>
    <t>SCL-40002-7387</t>
  </si>
  <si>
    <t>SCL-40002-7389</t>
  </si>
  <si>
    <t>SCL-40002-7391</t>
  </si>
  <si>
    <t>SCL-40002-7393</t>
  </si>
  <si>
    <t>SCL-40002-7394</t>
  </si>
  <si>
    <t>SCL-40002-7396</t>
  </si>
  <si>
    <t>SCL-40002-7397</t>
  </si>
  <si>
    <t>SCL-40002-7398</t>
  </si>
  <si>
    <t>SCL-40002-7400</t>
  </si>
  <si>
    <t>SCL-40002-7401</t>
  </si>
  <si>
    <t>SCL-40002-7402</t>
  </si>
  <si>
    <t>SCL-40002-7403</t>
  </si>
  <si>
    <t>SCL-40002-7404</t>
  </si>
  <si>
    <t>SCL-40002-7405</t>
  </si>
  <si>
    <t>SCL-40002-7406</t>
  </si>
  <si>
    <t>SCL-40002-7489</t>
  </si>
  <si>
    <t>SCL-40002-7490</t>
  </si>
  <si>
    <t>SCL-40002-7491</t>
  </si>
  <si>
    <t>SCL-40002-7492</t>
  </si>
  <si>
    <t>SCL-40002-7493</t>
  </si>
  <si>
    <t>SCL-40002-7494</t>
  </si>
  <si>
    <t>SCL-40002-7625</t>
  </si>
  <si>
    <t>SCL-40002-8150</t>
  </si>
  <si>
    <t>SCL-40091-7351</t>
  </si>
  <si>
    <t>SCL-40091-7352</t>
  </si>
  <si>
    <t>SCL-40091-7355</t>
  </si>
  <si>
    <t>SCL-40091-7356</t>
  </si>
  <si>
    <t>SCL-40091-7359</t>
  </si>
  <si>
    <t>SCL-40091-7360</t>
  </si>
  <si>
    <t>SCL-40091-7361</t>
  </si>
  <si>
    <t>SCL-40091-7362</t>
  </si>
  <si>
    <t>SCL-40091-7363</t>
  </si>
  <si>
    <t>SCL-40091-7364</t>
  </si>
  <si>
    <t>SCL-40091-7365</t>
  </si>
  <si>
    <t>SCL-40091-7366</t>
  </si>
  <si>
    <t>SCL-40091-7368</t>
  </si>
  <si>
    <t>SCL-40091-7369</t>
  </si>
  <si>
    <t>SCL-40091-7370</t>
  </si>
  <si>
    <t>SCL-40091-7371</t>
  </si>
  <si>
    <t>SCL-40091-7374</t>
  </si>
  <si>
    <t>SCL-40091-7375</t>
  </si>
  <si>
    <t>SCL-40091-7376</t>
  </si>
  <si>
    <t>SCL-40091-7377</t>
  </si>
  <si>
    <t>SCL-40091-7378</t>
  </si>
  <si>
    <t>SCL-40091-7379</t>
  </si>
  <si>
    <t>SCL-40091-7380</t>
  </si>
  <si>
    <t>SCL-40091-7381</t>
  </si>
  <si>
    <t>SCL-40091-7383</t>
  </si>
  <si>
    <t>SCL-40091-7385</t>
  </si>
  <si>
    <t>SCL-40091-7386</t>
  </si>
  <si>
    <t>SCL-40091-7387</t>
  </si>
  <si>
    <t>SCL-40091-7389</t>
  </si>
  <si>
    <t>SCL-40091-7391</t>
  </si>
  <si>
    <t>SCL-40091-7393</t>
  </si>
  <si>
    <t>SCL-40091-7394</t>
  </si>
  <si>
    <t>SCL-40091-7396</t>
  </si>
  <si>
    <t>SCL-40091-7397</t>
  </si>
  <si>
    <t>SCL-40091-7398</t>
  </si>
  <si>
    <t>SCL-40091-7400</t>
  </si>
  <si>
    <t>SCL-40091-7401</t>
  </si>
  <si>
    <t>SCL-40091-7402</t>
  </si>
  <si>
    <t>SCL-40091-7403</t>
  </si>
  <si>
    <t>SCL-40091-7404</t>
  </si>
  <si>
    <t>SCL-40091-7405</t>
  </si>
  <si>
    <t>SCL-40091-7406</t>
  </si>
  <si>
    <t>SCL-40091-7489</t>
  </si>
  <si>
    <t>SCL-40091-7490</t>
  </si>
  <si>
    <t>SCL-40091-7491</t>
  </si>
  <si>
    <t>SCL-40091-7492</t>
  </si>
  <si>
    <t>SCL-40091-7493</t>
  </si>
  <si>
    <t>SCL-40091-7494</t>
  </si>
  <si>
    <t>SCL-40091-7625</t>
  </si>
  <si>
    <t>SCL-40091-8150</t>
  </si>
  <si>
    <t>SCL-50003-0000</t>
  </si>
  <si>
    <t>SCL-50003-7351</t>
  </si>
  <si>
    <t>SCL-50003-7352</t>
  </si>
  <si>
    <t>SCL-50003-7355</t>
  </si>
  <si>
    <t>SCL-50003-7356</t>
  </si>
  <si>
    <t>SCL-50003-7359</t>
  </si>
  <si>
    <t>SCL-50003-7360</t>
  </si>
  <si>
    <t>SCL-50003-7361</t>
  </si>
  <si>
    <t>SCL-50003-7362</t>
  </si>
  <si>
    <t>SCL-50003-7363</t>
  </si>
  <si>
    <t>SCL-50003-7364</t>
  </si>
  <si>
    <t>SCL-50003-7365</t>
  </si>
  <si>
    <t>SCL-50003-7366</t>
  </si>
  <si>
    <t>SCL-50003-7368</t>
  </si>
  <si>
    <t>SCL-50003-7369</t>
  </si>
  <si>
    <t>SCL-50003-7370</t>
  </si>
  <si>
    <t>SCL-50003-7371</t>
  </si>
  <si>
    <t>SCL-50003-7374</t>
  </si>
  <si>
    <t>SCL-50003-7375</t>
  </si>
  <si>
    <t>SCL-50003-7376</t>
  </si>
  <si>
    <t>SCL-50003-7377</t>
  </si>
  <si>
    <t>SCL-50003-7378</t>
  </si>
  <si>
    <t>SCL-50003-7379</t>
  </si>
  <si>
    <t>SCL-50003-7380</t>
  </si>
  <si>
    <t>SCL-50003-7381</t>
  </si>
  <si>
    <t>SCL-50003-7383</t>
  </si>
  <si>
    <t>SCL-50003-7385</t>
  </si>
  <si>
    <t>SCL-50003-7386</t>
  </si>
  <si>
    <t>SCL-50003-7387</t>
  </si>
  <si>
    <t>SCL-50003-7389</t>
  </si>
  <si>
    <t>SCL-50003-7391</t>
  </si>
  <si>
    <t>SCL-50003-7393</t>
  </si>
  <si>
    <t>SCL-50003-7394</t>
  </si>
  <si>
    <t>SCL-50003-7396</t>
  </si>
  <si>
    <t>SCL-50003-7397</t>
  </si>
  <si>
    <t>SCL-50003-7398</t>
  </si>
  <si>
    <t>SCL-50003-7400</t>
  </si>
  <si>
    <t>SCL-50003-7401</t>
  </si>
  <si>
    <t>SCL-50003-7402</t>
  </si>
  <si>
    <t>SCL-50003-7403</t>
  </si>
  <si>
    <t>SCL-50003-7405</t>
  </si>
  <si>
    <t>SCL-50003-7406</t>
  </si>
  <si>
    <t>SCL-50003-7489</t>
  </si>
  <si>
    <t>SCL-50003-7491</t>
  </si>
  <si>
    <t>SCL-50003-7492</t>
  </si>
  <si>
    <t>SCL-50003-7493</t>
  </si>
  <si>
    <t>SCL-50003-7494</t>
  </si>
  <si>
    <t>SCL-50003-7625</t>
  </si>
  <si>
    <t>SCL-50003-8150</t>
  </si>
  <si>
    <t>SCL-50007-7351</t>
  </si>
  <si>
    <t>SCL-50007-7352</t>
  </si>
  <si>
    <t>SCL-50007-7355</t>
  </si>
  <si>
    <t>SCL-50007-7356</t>
  </si>
  <si>
    <t>SCL-50007-7359</t>
  </si>
  <si>
    <t>SCL-50007-7360</t>
  </si>
  <si>
    <t>SCL-50007-7361</t>
  </si>
  <si>
    <t>SCL-50007-7362</t>
  </si>
  <si>
    <t>SCL-50007-7363</t>
  </si>
  <si>
    <t>SCL-50007-7364</t>
  </si>
  <si>
    <t>SCL-50007-7365</t>
  </si>
  <si>
    <t>SCL-50007-7366</t>
  </si>
  <si>
    <t>SCL-50007-7368</t>
  </si>
  <si>
    <t>SCL-50007-7369</t>
  </si>
  <si>
    <t>SCL-50007-7371</t>
  </si>
  <si>
    <t>SCL-50007-7374</t>
  </si>
  <si>
    <t>SCL-50007-7375</t>
  </si>
  <si>
    <t>SCL-50007-7376</t>
  </si>
  <si>
    <t>SCL-50007-7377</t>
  </si>
  <si>
    <t>SCL-50007-7378</t>
  </si>
  <si>
    <t>SCL-50007-7379</t>
  </si>
  <si>
    <t>SCL-50007-7380</t>
  </si>
  <si>
    <t>SCL-50007-7381</t>
  </si>
  <si>
    <t>SCL-50007-7383</t>
  </si>
  <si>
    <t>SCL-50007-7385</t>
  </si>
  <si>
    <t>SCL-50007-7386</t>
  </si>
  <si>
    <t>SCL-50007-7387</t>
  </si>
  <si>
    <t>SCL-50007-7389</t>
  </si>
  <si>
    <t>SCL-50007-7391</t>
  </si>
  <si>
    <t>SCL-50007-7393</t>
  </si>
  <si>
    <t>SCL-50007-7394</t>
  </si>
  <si>
    <t>SCL-50007-7396</t>
  </si>
  <si>
    <t>SCL-50007-7397</t>
  </si>
  <si>
    <t>SCL-50007-7398</t>
  </si>
  <si>
    <t>SCL-50007-7400</t>
  </si>
  <si>
    <t>SCL-50007-7401</t>
  </si>
  <si>
    <t>SCL-50007-7402</t>
  </si>
  <si>
    <t>SCL-50007-7403</t>
  </si>
  <si>
    <t>SCL-50007-7489</t>
  </si>
  <si>
    <t>SCL-50007-7491</t>
  </si>
  <si>
    <t>SCL-50007-7492</t>
  </si>
  <si>
    <t>SCL-50007-7493</t>
  </si>
  <si>
    <t>SCL-50007-7494</t>
  </si>
  <si>
    <t>SCL-50007-7625</t>
  </si>
  <si>
    <t>SCL-50007-8150</t>
  </si>
  <si>
    <t>SCL-50099-7351</t>
  </si>
  <si>
    <t>SCL-50099-7352</t>
  </si>
  <si>
    <t>SCL-50099-7355</t>
  </si>
  <si>
    <t>SCL-50099-7356</t>
  </si>
  <si>
    <t>SCL-50099-7359</t>
  </si>
  <si>
    <t>SCL-50099-7360</t>
  </si>
  <si>
    <t>SCL-50099-7361</t>
  </si>
  <si>
    <t>SCL-50099-7362</t>
  </si>
  <si>
    <t>SCL-50099-7363</t>
  </si>
  <si>
    <t>SCL-50099-7364</t>
  </si>
  <si>
    <t>SCL-50099-7365</t>
  </si>
  <si>
    <t>SCL-50099-7366</t>
  </si>
  <si>
    <t>SCL-50099-7368</t>
  </si>
  <si>
    <t>SCL-50099-7369</t>
  </si>
  <si>
    <t>SCL-50099-7371</t>
  </si>
  <si>
    <t>SCL-50099-7374</t>
  </si>
  <si>
    <t>SCL-50099-7375</t>
  </si>
  <si>
    <t>SCL-50099-7376</t>
  </si>
  <si>
    <t>SCL-50099-7377</t>
  </si>
  <si>
    <t>SCL-50099-7378</t>
  </si>
  <si>
    <t>SCL-50099-7379</t>
  </si>
  <si>
    <t>SCL-50099-7380</t>
  </si>
  <si>
    <t>SCL-50099-7381</t>
  </si>
  <si>
    <t>SCL-50099-7383</t>
  </si>
  <si>
    <t>SCL-50099-7385</t>
  </si>
  <si>
    <t>SCL-50099-7386</t>
  </si>
  <si>
    <t>SCL-50099-7387</t>
  </si>
  <si>
    <t>SCL-50099-7389</t>
  </si>
  <si>
    <t>SCL-50099-7391</t>
  </si>
  <si>
    <t>SCL-50099-7393</t>
  </si>
  <si>
    <t>SCL-50099-7394</t>
  </si>
  <si>
    <t>SCL-50099-7396</t>
  </si>
  <si>
    <t>SCL-50099-7397</t>
  </si>
  <si>
    <t>SCL-50099-7398</t>
  </si>
  <si>
    <t>SCL-50099-7400</t>
  </si>
  <si>
    <t>SCL-50099-7401</t>
  </si>
  <si>
    <t>SCL-50099-7402</t>
  </si>
  <si>
    <t>SCL-50099-7403</t>
  </si>
  <si>
    <t>SCL-50099-7489</t>
  </si>
  <si>
    <t>SCL-50099-7491</t>
  </si>
  <si>
    <t>SCL-50099-7492</t>
  </si>
  <si>
    <t>SCL-50099-7493</t>
  </si>
  <si>
    <t>SCL-50099-7494</t>
  </si>
  <si>
    <t>SCL-50099-7625</t>
  </si>
  <si>
    <t>SCL-50099-8150</t>
  </si>
  <si>
    <t>SCL-50100-7351</t>
  </si>
  <si>
    <t>SCL-50100-7352</t>
  </si>
  <si>
    <t>SCL-50100-7355</t>
  </si>
  <si>
    <t>SCL-50100-7356</t>
  </si>
  <si>
    <t>SCL-50100-7359</t>
  </si>
  <si>
    <t>SCL-50100-7360</t>
  </si>
  <si>
    <t>SCL-50100-7361</t>
  </si>
  <si>
    <t>SCL-50100-7362</t>
  </si>
  <si>
    <t>SCL-50100-7363</t>
  </si>
  <si>
    <t>SCL-50100-7364</t>
  </si>
  <si>
    <t>SCL-50100-7365</t>
  </si>
  <si>
    <t>SCL-50100-7366</t>
  </si>
  <si>
    <t>SCL-50100-7368</t>
  </si>
  <si>
    <t>SCL-50100-7369</t>
  </si>
  <si>
    <t>SCL-50100-7371</t>
  </si>
  <si>
    <t>SCL-50100-7374</t>
  </si>
  <si>
    <t>SCL-50100-7375</t>
  </si>
  <si>
    <t>SCL-50100-7376</t>
  </si>
  <si>
    <t>SCL-50100-7377</t>
  </si>
  <si>
    <t>SCL-50100-7378</t>
  </si>
  <si>
    <t>SCL-50100-7379</t>
  </si>
  <si>
    <t>SCL-50100-7380</t>
  </si>
  <si>
    <t>SCL-50100-7381</t>
  </si>
  <si>
    <t>SCL-50100-7383</t>
  </si>
  <si>
    <t>SCL-50100-7385</t>
  </si>
  <si>
    <t>SCL-50100-7386</t>
  </si>
  <si>
    <t>SCL-50100-7387</t>
  </si>
  <si>
    <t>SCL-50100-7389</t>
  </si>
  <si>
    <t>SCL-50100-7391</t>
  </si>
  <si>
    <t>SCL-50100-7393</t>
  </si>
  <si>
    <t>SCL-50100-7394</t>
  </si>
  <si>
    <t>SCL-50100-7396</t>
  </si>
  <si>
    <t>SCL-50100-7397</t>
  </si>
  <si>
    <t>SCL-50100-7398</t>
  </si>
  <si>
    <t>SCL-50100-7400</t>
  </si>
  <si>
    <t>SCL-50100-7401</t>
  </si>
  <si>
    <t>SCL-50100-7402</t>
  </si>
  <si>
    <t>SCL-50100-7403</t>
  </si>
  <si>
    <t>SCL-50100-7489</t>
  </si>
  <si>
    <t>SCL-50100-7491</t>
  </si>
  <si>
    <t>SCL-50100-7492</t>
  </si>
  <si>
    <t>SCL-50100-7493</t>
  </si>
  <si>
    <t>SCL-50100-7494</t>
  </si>
  <si>
    <t>SCL-50100-7625</t>
  </si>
  <si>
    <t>SCL-50100-8150</t>
  </si>
  <si>
    <t>SCL-51001-7351</t>
  </si>
  <si>
    <t>SCL-51001-7352</t>
  </si>
  <si>
    <t>SCL-51001-7355</t>
  </si>
  <si>
    <t>SCL-51001-7356</t>
  </si>
  <si>
    <t>SCL-51001-7359</t>
  </si>
  <si>
    <t>SCL-51001-7360</t>
  </si>
  <si>
    <t>SCL-51001-7361</t>
  </si>
  <si>
    <t>SCL-51001-7362</t>
  </si>
  <si>
    <t>SCL-51001-7363</t>
  </si>
  <si>
    <t>SCL-51001-7364</t>
  </si>
  <si>
    <t>SCL-51001-7365</t>
  </si>
  <si>
    <t>SCL-51001-7366</t>
  </si>
  <si>
    <t>SCL-51001-7368</t>
  </si>
  <si>
    <t>SCL-51001-7369</t>
  </si>
  <si>
    <t>SCL-51001-7371</t>
  </si>
  <si>
    <t>SCL-51001-7374</t>
  </si>
  <si>
    <t>SCL-51001-7375</t>
  </si>
  <si>
    <t>SCL-51001-7376</t>
  </si>
  <si>
    <t>SCL-51001-7377</t>
  </si>
  <si>
    <t>SCL-51001-7378</t>
  </si>
  <si>
    <t>SCL-51001-7379</t>
  </si>
  <si>
    <t>SCL-51001-7380</t>
  </si>
  <si>
    <t>SCL-51001-7381</t>
  </si>
  <si>
    <t>SCL-51001-7383</t>
  </si>
  <si>
    <t>SCL-51001-7385</t>
  </si>
  <si>
    <t>SCL-51001-7386</t>
  </si>
  <si>
    <t>SCL-51001-7387</t>
  </si>
  <si>
    <t>SCL-51001-7389</t>
  </si>
  <si>
    <t>SCL-51001-7391</t>
  </si>
  <si>
    <t>SCL-51001-7393</t>
  </si>
  <si>
    <t>SCL-51001-7394</t>
  </si>
  <si>
    <t>SCL-51001-7396</t>
  </si>
  <si>
    <t>SCL-51001-7397</t>
  </si>
  <si>
    <t>SCL-51001-7398</t>
  </si>
  <si>
    <t>SCL-51001-7400</t>
  </si>
  <si>
    <t>SCL-51001-7401</t>
  </si>
  <si>
    <t>SCL-51001-7402</t>
  </si>
  <si>
    <t>SCL-51001-7403</t>
  </si>
  <si>
    <t>SCL-51001-7489</t>
  </si>
  <si>
    <t>SCL-51001-7491</t>
  </si>
  <si>
    <t>SCL-51001-7492</t>
  </si>
  <si>
    <t>SCL-51001-7493</t>
  </si>
  <si>
    <t>SCL-51001-7494</t>
  </si>
  <si>
    <t>SCL-51001-7625</t>
  </si>
  <si>
    <t>SCL-51001-8150</t>
  </si>
  <si>
    <t>SCL-52001-7351</t>
  </si>
  <si>
    <t>SCL-52001-7352</t>
  </si>
  <si>
    <t>SCL-52001-7355</t>
  </si>
  <si>
    <t>SCL-52001-7356</t>
  </si>
  <si>
    <t>SCL-52001-7359</t>
  </si>
  <si>
    <t>SCL-52001-7360</t>
  </si>
  <si>
    <t>SCL-52001-7361</t>
  </si>
  <si>
    <t>SCL-52001-7362</t>
  </si>
  <si>
    <t>SCL-52001-7363</t>
  </si>
  <si>
    <t>SCL-52001-7364</t>
  </si>
  <si>
    <t>SCL-52001-7365</t>
  </si>
  <si>
    <t>SCL-52001-7366</t>
  </si>
  <si>
    <t>SCL-52001-7368</t>
  </si>
  <si>
    <t>SCL-52001-7369</t>
  </si>
  <si>
    <t>SCL-52001-7370</t>
  </si>
  <si>
    <t>SCL-52001-7371</t>
  </si>
  <si>
    <t>SCL-52001-7374</t>
  </si>
  <si>
    <t>SCL-52001-7375</t>
  </si>
  <si>
    <t>SCL-52001-7376</t>
  </si>
  <si>
    <t>SCL-52001-7377</t>
  </si>
  <si>
    <t>SCL-52001-7378</t>
  </si>
  <si>
    <t>SCL-52001-7379</t>
  </si>
  <si>
    <t>SCL-52001-7380</t>
  </si>
  <si>
    <t>SCL-52001-7381</t>
  </si>
  <si>
    <t>SCL-52001-7383</t>
  </si>
  <si>
    <t>SCL-52001-7385</t>
  </si>
  <si>
    <t>SCL-52001-7386</t>
  </si>
  <si>
    <t>SCL-52001-7387</t>
  </si>
  <si>
    <t>SCL-52001-7389</t>
  </si>
  <si>
    <t>SCL-52001-7391</t>
  </si>
  <si>
    <t>SCL-52001-7393</t>
  </si>
  <si>
    <t>SCL-52001-7394</t>
  </si>
  <si>
    <t>SCL-52001-7396</t>
  </si>
  <si>
    <t>SCL-52001-7397</t>
  </si>
  <si>
    <t>SCL-52001-7398</t>
  </si>
  <si>
    <t>SCL-52001-7400</t>
  </si>
  <si>
    <t>SCL-52001-7401</t>
  </si>
  <si>
    <t>SCL-52001-7402</t>
  </si>
  <si>
    <t>SCL-52001-7403</t>
  </si>
  <si>
    <t>SCL-52001-7489</t>
  </si>
  <si>
    <t>SCL-52001-7491</t>
  </si>
  <si>
    <t>SCL-52001-7492</t>
  </si>
  <si>
    <t>SCL-52001-7493</t>
  </si>
  <si>
    <t>SCL-52001-7494</t>
  </si>
  <si>
    <t>SCL-52001-7625</t>
  </si>
  <si>
    <t>SCL-52001-8150</t>
  </si>
  <si>
    <t>SCL-52002-7351</t>
  </si>
  <si>
    <t>SCL-52002-7352</t>
  </si>
  <si>
    <t>SCL-52002-7355</t>
  </si>
  <si>
    <t>SCL-52002-7356</t>
  </si>
  <si>
    <t>SCL-52002-7359</t>
  </si>
  <si>
    <t>SCL-52002-7360</t>
  </si>
  <si>
    <t>SCL-52002-7361</t>
  </si>
  <si>
    <t>SCL-52002-7362</t>
  </si>
  <si>
    <t>SCL-52002-7363</t>
  </si>
  <si>
    <t>SCL-52002-7364</t>
  </si>
  <si>
    <t>SCL-52002-7365</t>
  </si>
  <si>
    <t>SCL-52002-7366</t>
  </si>
  <si>
    <t>SCL-52002-7368</t>
  </si>
  <si>
    <t>SCL-52002-7369</t>
  </si>
  <si>
    <t>SCL-52002-7371</t>
  </si>
  <si>
    <t>SCL-52002-7374</t>
  </si>
  <si>
    <t>SCL-52002-7375</t>
  </si>
  <si>
    <t>SCL-52002-7376</t>
  </si>
  <si>
    <t>SCL-52002-7377</t>
  </si>
  <si>
    <t>SCL-52002-7378</t>
  </si>
  <si>
    <t>SCL-52002-7379</t>
  </si>
  <si>
    <t>SCL-52002-7380</t>
  </si>
  <si>
    <t>SCL-52002-7381</t>
  </si>
  <si>
    <t>SCL-52002-7383</t>
  </si>
  <si>
    <t>SCL-52002-7385</t>
  </si>
  <si>
    <t>SCL-52002-7386</t>
  </si>
  <si>
    <t>SCL-52002-7387</t>
  </si>
  <si>
    <t>SCL-52002-7389</t>
  </si>
  <si>
    <t>SCL-52002-7391</t>
  </si>
  <si>
    <t>SCL-52002-7393</t>
  </si>
  <si>
    <t>SCL-52002-7394</t>
  </si>
  <si>
    <t>SCL-52002-7396</t>
  </si>
  <si>
    <t>SCL-52002-7397</t>
  </si>
  <si>
    <t>SCL-52002-7398</t>
  </si>
  <si>
    <t>SCL-52002-7400</t>
  </si>
  <si>
    <t>SCL-52002-7401</t>
  </si>
  <si>
    <t>SCL-52002-7402</t>
  </si>
  <si>
    <t>SCL-52002-7403</t>
  </si>
  <si>
    <t>SCL-52002-7489</t>
  </si>
  <si>
    <t>SCL-52002-7491</t>
  </si>
  <si>
    <t>SCL-52002-7492</t>
  </si>
  <si>
    <t>SCL-52002-7493</t>
  </si>
  <si>
    <t>SCL-52002-7494</t>
  </si>
  <si>
    <t>SCL-52002-7625</t>
  </si>
  <si>
    <t>SCL-52002-8150</t>
  </si>
  <si>
    <t>SCL-52003-7351</t>
  </si>
  <si>
    <t>SCL-52003-7352</t>
  </si>
  <si>
    <t>SCL-52003-7355</t>
  </si>
  <si>
    <t>SCL-52003-7356</t>
  </si>
  <si>
    <t>SCL-52003-7359</t>
  </si>
  <si>
    <t>SCL-52003-7360</t>
  </si>
  <si>
    <t>SCL-52003-7361</t>
  </si>
  <si>
    <t>SCL-52003-7362</t>
  </si>
  <si>
    <t>SCL-52003-7363</t>
  </si>
  <si>
    <t>SCL-52003-7364</t>
  </si>
  <si>
    <t>SCL-52003-7365</t>
  </si>
  <si>
    <t>SCL-52003-7366</t>
  </si>
  <si>
    <t>SCL-52003-7368</t>
  </si>
  <si>
    <t>SCL-52003-7369</t>
  </si>
  <si>
    <t>SCL-52003-7371</t>
  </si>
  <si>
    <t>SCL-52003-7374</t>
  </si>
  <si>
    <t>SCL-52003-7375</t>
  </si>
  <si>
    <t>SCL-52003-7376</t>
  </si>
  <si>
    <t>SCL-52003-7377</t>
  </si>
  <si>
    <t>SCL-52003-7378</t>
  </si>
  <si>
    <t>SCL-52003-7379</t>
  </si>
  <si>
    <t>SCL-52003-7380</t>
  </si>
  <si>
    <t>SCL-52003-7381</t>
  </si>
  <si>
    <t>SCL-52003-7383</t>
  </si>
  <si>
    <t>SCL-52003-7385</t>
  </si>
  <si>
    <t>SCL-52003-7386</t>
  </si>
  <si>
    <t>SCL-52003-7387</t>
  </si>
  <si>
    <t>SCL-52003-7389</t>
  </si>
  <si>
    <t>SCL-52003-7391</t>
  </si>
  <si>
    <t>SCL-52003-7393</t>
  </si>
  <si>
    <t>SCL-52003-7394</t>
  </si>
  <si>
    <t>SCL-52003-7396</t>
  </si>
  <si>
    <t>SCL-52003-7397</t>
  </si>
  <si>
    <t>SCL-52003-7398</t>
  </si>
  <si>
    <t>SCL-52003-7400</t>
  </si>
  <si>
    <t>SCL-52003-7401</t>
  </si>
  <si>
    <t>SCL-52003-7402</t>
  </si>
  <si>
    <t>SCL-52003-7403</t>
  </si>
  <si>
    <t>SCL-52003-7489</t>
  </si>
  <si>
    <t>SCL-52003-7491</t>
  </si>
  <si>
    <t>SCL-52003-7492</t>
  </si>
  <si>
    <t>SCL-52003-7493</t>
  </si>
  <si>
    <t>SCL-52003-7494</t>
  </si>
  <si>
    <t>SCL-52003-7625</t>
  </si>
  <si>
    <t>SCL-52003-8150</t>
  </si>
  <si>
    <t>SCL-52004-7351</t>
  </si>
  <si>
    <t>SCL-52004-7352</t>
  </si>
  <si>
    <t>SCL-52004-7355</t>
  </si>
  <si>
    <t>SCL-52004-7356</t>
  </si>
  <si>
    <t>SCL-52004-7359</t>
  </si>
  <si>
    <t>SCL-52004-7360</t>
  </si>
  <si>
    <t>SCL-52004-7361</t>
  </si>
  <si>
    <t>SCL-52004-7362</t>
  </si>
  <si>
    <t>SCL-52004-7363</t>
  </si>
  <si>
    <t>SCL-52004-7364</t>
  </si>
  <si>
    <t>SCL-52004-7365</t>
  </si>
  <si>
    <t>SCL-52004-7366</t>
  </si>
  <si>
    <t>SCL-52004-7368</t>
  </si>
  <si>
    <t>SCL-52004-7369</t>
  </si>
  <si>
    <t>SCL-52004-7371</t>
  </si>
  <si>
    <t>SCL-52004-7374</t>
  </si>
  <si>
    <t>SCL-52004-7375</t>
  </si>
  <si>
    <t>SCL-52004-7376</t>
  </si>
  <si>
    <t>SCL-52004-7377</t>
  </si>
  <si>
    <t>SCL-52004-7378</t>
  </si>
  <si>
    <t>SCL-52004-7379</t>
  </si>
  <si>
    <t>SCL-52004-7380</t>
  </si>
  <si>
    <t>SCL-52004-7381</t>
  </si>
  <si>
    <t>SCL-52004-7383</t>
  </si>
  <si>
    <t>SCL-52004-7385</t>
  </si>
  <si>
    <t>SCL-52004-7386</t>
  </si>
  <si>
    <t>SCL-52004-7387</t>
  </si>
  <si>
    <t>SCL-52004-7389</t>
  </si>
  <si>
    <t>SCL-52004-7391</t>
  </si>
  <si>
    <t>SCL-52004-7393</t>
  </si>
  <si>
    <t>SCL-52004-7394</t>
  </si>
  <si>
    <t>SCL-52004-7396</t>
  </si>
  <si>
    <t>SCL-52004-7397</t>
  </si>
  <si>
    <t>SCL-52004-7398</t>
  </si>
  <si>
    <t>SCL-52004-7400</t>
  </si>
  <si>
    <t>SCL-52004-7401</t>
  </si>
  <si>
    <t>SCL-52004-7402</t>
  </si>
  <si>
    <t>SCL-52004-7403</t>
  </si>
  <si>
    <t>SCL-52004-7489</t>
  </si>
  <si>
    <t>SCL-52004-7491</t>
  </si>
  <si>
    <t>SCL-52004-7492</t>
  </si>
  <si>
    <t>SCL-52004-7493</t>
  </si>
  <si>
    <t>SCL-52004-7494</t>
  </si>
  <si>
    <t>SCL-52004-7625</t>
  </si>
  <si>
    <t>SCL-52004-8150</t>
  </si>
  <si>
    <t>SCL-52005-7351</t>
  </si>
  <si>
    <t>SCL-52005-7352</t>
  </si>
  <si>
    <t>SCL-52005-7355</t>
  </si>
  <si>
    <t>SCL-52005-7356</t>
  </si>
  <si>
    <t>SCL-52005-7359</t>
  </si>
  <si>
    <t>SCL-52005-7360</t>
  </si>
  <si>
    <t>SCL-52005-7361</t>
  </si>
  <si>
    <t>SCL-52005-7362</t>
  </si>
  <si>
    <t>SCL-52005-7363</t>
  </si>
  <si>
    <t>SCL-52005-7364</t>
  </si>
  <si>
    <t>SCL-52005-7365</t>
  </si>
  <si>
    <t>SCL-52005-7366</t>
  </si>
  <si>
    <t>SCL-52005-7368</t>
  </si>
  <si>
    <t>SCL-52005-7369</t>
  </si>
  <si>
    <t>SCL-52005-7371</t>
  </si>
  <si>
    <t>SCL-52005-7374</t>
  </si>
  <si>
    <t>SCL-52005-7375</t>
  </si>
  <si>
    <t>SCL-52005-7376</t>
  </si>
  <si>
    <t>SCL-52005-7377</t>
  </si>
  <si>
    <t>SCL-52005-7378</t>
  </si>
  <si>
    <t>SCL-52005-7379</t>
  </si>
  <si>
    <t>SCL-52005-7380</t>
  </si>
  <si>
    <t>SCL-52005-7381</t>
  </si>
  <si>
    <t>SCL-52005-7383</t>
  </si>
  <si>
    <t>SCL-52005-7385</t>
  </si>
  <si>
    <t>SCL-52005-7386</t>
  </si>
  <si>
    <t>SCL-52005-7387</t>
  </si>
  <si>
    <t>SCL-52005-7389</t>
  </si>
  <si>
    <t>SCL-52005-7391</t>
  </si>
  <si>
    <t>SCL-52005-7393</t>
  </si>
  <si>
    <t>SCL-52005-7394</t>
  </si>
  <si>
    <t>SCL-52005-7396</t>
  </si>
  <si>
    <t>SCL-52005-7397</t>
  </si>
  <si>
    <t>SCL-52005-7398</t>
  </si>
  <si>
    <t>SCL-52005-7400</t>
  </si>
  <si>
    <t>SCL-52005-7401</t>
  </si>
  <si>
    <t>SCL-52005-7402</t>
  </si>
  <si>
    <t>SCL-52005-7403</t>
  </si>
  <si>
    <t>SCL-52005-7489</t>
  </si>
  <si>
    <t>SCL-52005-7491</t>
  </si>
  <si>
    <t>SCL-52005-7492</t>
  </si>
  <si>
    <t>SCL-52005-7493</t>
  </si>
  <si>
    <t>SCL-52005-7494</t>
  </si>
  <si>
    <t>SCL-52005-7625</t>
  </si>
  <si>
    <t>SCL-52005-8150</t>
  </si>
  <si>
    <t>SCL-53001-7351</t>
  </si>
  <si>
    <t>SCL-53001-7359</t>
  </si>
  <si>
    <t>SCL-53001-7366</t>
  </si>
  <si>
    <t>SCL-53001-7492</t>
  </si>
  <si>
    <t>SCL-53002-7352</t>
  </si>
  <si>
    <t>SCL-53002-7360</t>
  </si>
  <si>
    <t>SCL-53002-7366</t>
  </si>
  <si>
    <t>SCL-53002-7376</t>
  </si>
  <si>
    <t>SCL-53002-7389</t>
  </si>
  <si>
    <t>SCL-53002-7394</t>
  </si>
  <si>
    <t>SCL-53002-7401</t>
  </si>
  <si>
    <t>SCL-53002-7489</t>
  </si>
  <si>
    <t>SCL-53002-7625</t>
  </si>
  <si>
    <t>SCL-53003-7351</t>
  </si>
  <si>
    <t>SCL-53003-7352</t>
  </si>
  <si>
    <t>SCL-53003-7355</t>
  </si>
  <si>
    <t>SCL-53003-7356</t>
  </si>
  <si>
    <t>SCL-53003-7359</t>
  </si>
  <si>
    <t>SCL-53003-7360</t>
  </si>
  <si>
    <t>SCL-53003-7361</t>
  </si>
  <si>
    <t>SCL-53003-7362</t>
  </si>
  <si>
    <t>SCL-53003-7363</t>
  </si>
  <si>
    <t>SCL-53003-7364</t>
  </si>
  <si>
    <t>SCL-53003-7365</t>
  </si>
  <si>
    <t>SCL-53003-7366</t>
  </si>
  <si>
    <t>SCL-53003-7368</t>
  </si>
  <si>
    <t>SCL-53003-7369</t>
  </si>
  <si>
    <t>SCL-53003-7371</t>
  </si>
  <si>
    <t>SCL-53003-7374</t>
  </si>
  <si>
    <t>SCL-53003-7375</t>
  </si>
  <si>
    <t>SCL-53003-7376</t>
  </si>
  <si>
    <t>SCL-53003-7377</t>
  </si>
  <si>
    <t>SCL-53003-7378</t>
  </si>
  <si>
    <t>SCL-53003-7379</t>
  </si>
  <si>
    <t>SCL-53003-7380</t>
  </si>
  <si>
    <t>SCL-53003-7381</t>
  </si>
  <si>
    <t>SCL-53003-7383</t>
  </si>
  <si>
    <t>SCL-53003-7385</t>
  </si>
  <si>
    <t>SCL-53003-7386</t>
  </si>
  <si>
    <t>SCL-53003-7387</t>
  </si>
  <si>
    <t>SCL-53003-7389</t>
  </si>
  <si>
    <t>SCL-53003-7391</t>
  </si>
  <si>
    <t>SCL-53003-7393</t>
  </si>
  <si>
    <t>SCL-53003-7394</t>
  </si>
  <si>
    <t>SCL-53003-7396</t>
  </si>
  <si>
    <t>SCL-53003-7397</t>
  </si>
  <si>
    <t>SCL-53003-7398</t>
  </si>
  <si>
    <t>SCL-53003-7400</t>
  </si>
  <si>
    <t>SCL-53003-7401</t>
  </si>
  <si>
    <t>SCL-53003-7402</t>
  </si>
  <si>
    <t>SCL-53003-7403</t>
  </si>
  <si>
    <t>SCL-53003-7489</t>
  </si>
  <si>
    <t>SCL-53003-7491</t>
  </si>
  <si>
    <t>SCL-53003-7492</t>
  </si>
  <si>
    <t>SCL-53003-7493</t>
  </si>
  <si>
    <t>SCL-53003-7494</t>
  </si>
  <si>
    <t>SCL-53003-7625</t>
  </si>
  <si>
    <t>SCL-53003-8150</t>
  </si>
  <si>
    <t>SCL-53004-7351</t>
  </si>
  <si>
    <t>SCL-53004-7352</t>
  </si>
  <si>
    <t>SCL-53004-7355</t>
  </si>
  <si>
    <t>SCL-53004-7356</t>
  </si>
  <si>
    <t>SCL-53004-7359</t>
  </si>
  <si>
    <t>SCL-53004-7360</t>
  </si>
  <si>
    <t>SCL-53004-7361</t>
  </si>
  <si>
    <t>SCL-53004-7362</t>
  </si>
  <si>
    <t>SCL-53004-7363</t>
  </si>
  <si>
    <t>SCL-53004-7364</t>
  </si>
  <si>
    <t>SCL-53004-7365</t>
  </si>
  <si>
    <t>SCL-53004-7366</t>
  </si>
  <si>
    <t>SCL-53004-7368</t>
  </si>
  <si>
    <t>SCL-53004-7369</t>
  </si>
  <si>
    <t>SCL-53004-7371</t>
  </si>
  <si>
    <t>SCL-53004-7374</t>
  </si>
  <si>
    <t>SCL-53004-7375</t>
  </si>
  <si>
    <t>SCL-53004-7376</t>
  </si>
  <si>
    <t>SCL-53004-7377</t>
  </si>
  <si>
    <t>SCL-53004-7378</t>
  </si>
  <si>
    <t>SCL-53004-7379</t>
  </si>
  <si>
    <t>SCL-53004-7380</t>
  </si>
  <si>
    <t>SCL-53004-7381</t>
  </si>
  <si>
    <t>SCL-53004-7383</t>
  </si>
  <si>
    <t>SCL-53004-7385</t>
  </si>
  <si>
    <t>SCL-53004-7386</t>
  </si>
  <si>
    <t>SCL-53004-7387</t>
  </si>
  <si>
    <t>SCL-53004-7389</t>
  </si>
  <si>
    <t>SCL-53004-7391</t>
  </si>
  <si>
    <t>SCL-53004-7393</t>
  </si>
  <si>
    <t>SCL-53004-7394</t>
  </si>
  <si>
    <t>SCL-53004-7396</t>
  </si>
  <si>
    <t>SCL-53004-7397</t>
  </si>
  <si>
    <t>SCL-53004-7398</t>
  </si>
  <si>
    <t>SCL-53004-7400</t>
  </si>
  <si>
    <t>SCL-53004-7401</t>
  </si>
  <si>
    <t>SCL-53004-7402</t>
  </si>
  <si>
    <t>SCL-53004-7403</t>
  </si>
  <si>
    <t>SCL-53004-7489</t>
  </si>
  <si>
    <t>SCL-53004-7491</t>
  </si>
  <si>
    <t>SCL-53004-7492</t>
  </si>
  <si>
    <t>SCL-53004-7493</t>
  </si>
  <si>
    <t>SCL-53004-7494</t>
  </si>
  <si>
    <t>SCL-53004-7625</t>
  </si>
  <si>
    <t>SCL-53004-8150</t>
  </si>
  <si>
    <t>SCL-53005-7351</t>
  </si>
  <si>
    <t>SCL-53005-7355</t>
  </si>
  <si>
    <t>SCL-53005-7356</t>
  </si>
  <si>
    <t>SCL-53005-7360</t>
  </si>
  <si>
    <t>SCL-53005-7361</t>
  </si>
  <si>
    <t>SCL-53005-7362</t>
  </si>
  <si>
    <t>SCL-53005-7364</t>
  </si>
  <si>
    <t>SCL-53005-7365</t>
  </si>
  <si>
    <t>SCL-53005-7366</t>
  </si>
  <si>
    <t>SCL-53005-7368</t>
  </si>
  <si>
    <t>SCL-53005-7369</t>
  </si>
  <si>
    <t>SCL-53005-7371</t>
  </si>
  <si>
    <t>SCL-53005-7374</t>
  </si>
  <si>
    <t>SCL-53005-7376</t>
  </si>
  <si>
    <t>SCL-53005-7377</t>
  </si>
  <si>
    <t>SCL-53005-7379</t>
  </si>
  <si>
    <t>SCL-53005-7380</t>
  </si>
  <si>
    <t>SCL-53005-7381</t>
  </si>
  <si>
    <t>SCL-53005-7383</t>
  </si>
  <si>
    <t>SCL-53005-7385</t>
  </si>
  <si>
    <t>SCL-53005-7387</t>
  </si>
  <si>
    <t>SCL-53005-7389</t>
  </si>
  <si>
    <t>SCL-53005-7391</t>
  </si>
  <si>
    <t>SCL-53005-7393</t>
  </si>
  <si>
    <t>SCL-53005-7394</t>
  </si>
  <si>
    <t>SCL-53005-7397</t>
  </si>
  <si>
    <t>SCL-53005-7398</t>
  </si>
  <si>
    <t>SCL-53005-7400</t>
  </si>
  <si>
    <t>SCL-53005-7403</t>
  </si>
  <si>
    <t>SCL-53005-7489</t>
  </si>
  <si>
    <t>SCL-53005-7493</t>
  </si>
  <si>
    <t>SCL-53006-7351</t>
  </si>
  <si>
    <t>SCL-53006-7352</t>
  </si>
  <si>
    <t>SCL-53006-7355</t>
  </si>
  <si>
    <t>SCL-53006-7356</t>
  </si>
  <si>
    <t>SCL-53006-7359</t>
  </si>
  <si>
    <t>SCL-53006-7360</t>
  </si>
  <si>
    <t>SCL-53006-7361</t>
  </si>
  <si>
    <t>SCL-53006-7362</t>
  </si>
  <si>
    <t>SCL-53006-7363</t>
  </si>
  <si>
    <t>SCL-53006-7364</t>
  </si>
  <si>
    <t>SCL-53006-7365</t>
  </si>
  <si>
    <t>SCL-53006-7366</t>
  </si>
  <si>
    <t>SCL-53006-7368</t>
  </si>
  <si>
    <t>SCL-53006-7369</t>
  </si>
  <si>
    <t>SCL-53006-7371</t>
  </si>
  <si>
    <t>SCL-53006-7374</t>
  </si>
  <si>
    <t>SCL-53006-7375</t>
  </si>
  <si>
    <t>SCL-53006-7376</t>
  </si>
  <si>
    <t>SCL-53006-7377</t>
  </si>
  <si>
    <t>SCL-53006-7378</t>
  </si>
  <si>
    <t>SCL-53006-7379</t>
  </si>
  <si>
    <t>SCL-53006-7380</t>
  </si>
  <si>
    <t>SCL-53006-7381</t>
  </si>
  <si>
    <t>SCL-53006-7383</t>
  </si>
  <si>
    <t>SCL-53006-7385</t>
  </si>
  <si>
    <t>SCL-53006-7386</t>
  </si>
  <si>
    <t>SCL-53006-7387</t>
  </si>
  <si>
    <t>SCL-53006-7389</t>
  </si>
  <si>
    <t>SCL-53006-7391</t>
  </si>
  <si>
    <t>SCL-53006-7393</t>
  </si>
  <si>
    <t>SCL-53006-7394</t>
  </si>
  <si>
    <t>SCL-53006-7396</t>
  </si>
  <si>
    <t>SCL-53006-7397</t>
  </si>
  <si>
    <t>SCL-53006-7398</t>
  </si>
  <si>
    <t>SCL-53006-7400</t>
  </si>
  <si>
    <t>SCL-53006-7401</t>
  </si>
  <si>
    <t>SCL-53006-7402</t>
  </si>
  <si>
    <t>SCL-53006-7403</t>
  </si>
  <si>
    <t>SCL-53006-7489</t>
  </si>
  <si>
    <t>SCL-53006-7491</t>
  </si>
  <si>
    <t>SCL-53006-7492</t>
  </si>
  <si>
    <t>SCL-53006-7493</t>
  </si>
  <si>
    <t>SCL-53006-7494</t>
  </si>
  <si>
    <t>SCL-53006-7625</t>
  </si>
  <si>
    <t>SCL-53006-8150</t>
  </si>
  <si>
    <t>SCL-54001-7351</t>
  </si>
  <si>
    <t>SCL-54001-7352</t>
  </si>
  <si>
    <t>SCL-54001-7355</t>
  </si>
  <si>
    <t>SCL-54001-7359</t>
  </si>
  <si>
    <t>SCL-54001-7360</t>
  </si>
  <si>
    <t>SCL-54001-7361</t>
  </si>
  <si>
    <t>SCL-54001-7362</t>
  </si>
  <si>
    <t>SCL-54001-7363</t>
  </si>
  <si>
    <t>SCL-54001-7364</t>
  </si>
  <si>
    <t>SCL-54001-7365</t>
  </si>
  <si>
    <t>SCL-54001-7366</t>
  </si>
  <si>
    <t>SCL-54001-7368</t>
  </si>
  <si>
    <t>SCL-54001-7371</t>
  </si>
  <si>
    <t>SCL-54001-7374</t>
  </si>
  <si>
    <t>SCL-54001-7375</t>
  </si>
  <si>
    <t>SCL-54001-7376</t>
  </si>
  <si>
    <t>SCL-54001-7377</t>
  </si>
  <si>
    <t>SCL-54001-7378</t>
  </si>
  <si>
    <t>SCL-54001-7379</t>
  </si>
  <si>
    <t>SCL-54001-7380</t>
  </si>
  <si>
    <t>SCL-54001-7381</t>
  </si>
  <si>
    <t>SCL-54001-7383</t>
  </si>
  <si>
    <t>SCL-54001-7385</t>
  </si>
  <si>
    <t>SCL-54001-7386</t>
  </si>
  <si>
    <t>SCL-54001-7387</t>
  </si>
  <si>
    <t>SCL-54001-7389</t>
  </si>
  <si>
    <t>SCL-54001-7391</t>
  </si>
  <si>
    <t>SCL-54001-7393</t>
  </si>
  <si>
    <t>SCL-54001-7394</t>
  </si>
  <si>
    <t>SCL-54001-7396</t>
  </si>
  <si>
    <t>SCL-54001-7397</t>
  </si>
  <si>
    <t>SCL-54001-7398</t>
  </si>
  <si>
    <t>SCL-54001-7400</t>
  </si>
  <si>
    <t>SCL-54001-7401</t>
  </si>
  <si>
    <t>SCL-54001-7402</t>
  </si>
  <si>
    <t>SCL-54001-7403</t>
  </si>
  <si>
    <t>SCL-54001-7489</t>
  </si>
  <si>
    <t>SCL-54001-7491</t>
  </si>
  <si>
    <t>SCL-54001-7492</t>
  </si>
  <si>
    <t>SCL-54001-7493</t>
  </si>
  <si>
    <t>SCL-54001-7494</t>
  </si>
  <si>
    <t>SCL-54001-7625</t>
  </si>
  <si>
    <t>SCL-54001-8150</t>
  </si>
  <si>
    <t>SCL-54099-7351</t>
  </si>
  <si>
    <t>SCL-54099-7352</t>
  </si>
  <si>
    <t>SCL-54099-7355</t>
  </si>
  <si>
    <t>SCL-54099-7356</t>
  </si>
  <si>
    <t>SCL-54099-7359</t>
  </si>
  <si>
    <t>SCL-54099-7360</t>
  </si>
  <si>
    <t>SCL-54099-7361</t>
  </si>
  <si>
    <t>SCL-54099-7362</t>
  </si>
  <si>
    <t>SCL-54099-7363</t>
  </si>
  <si>
    <t>SCL-54099-7364</t>
  </si>
  <si>
    <t>SCL-54099-7365</t>
  </si>
  <si>
    <t>SCL-54099-7366</t>
  </si>
  <si>
    <t>SCL-54099-7368</t>
  </si>
  <si>
    <t>SCL-54099-7369</t>
  </si>
  <si>
    <t>SCL-54099-7371</t>
  </si>
  <si>
    <t>SCL-54099-7374</t>
  </si>
  <si>
    <t>SCL-54099-7375</t>
  </si>
  <si>
    <t>SCL-54099-7376</t>
  </si>
  <si>
    <t>SCL-54099-7377</t>
  </si>
  <si>
    <t>SCL-54099-7378</t>
  </si>
  <si>
    <t>SCL-54099-7379</t>
  </si>
  <si>
    <t>SCL-54099-7380</t>
  </si>
  <si>
    <t>SCL-54099-7381</t>
  </si>
  <si>
    <t>SCL-54099-7383</t>
  </si>
  <si>
    <t>SCL-54099-7385</t>
  </si>
  <si>
    <t>SCL-54099-7386</t>
  </si>
  <si>
    <t>SCL-54099-7387</t>
  </si>
  <si>
    <t>SCL-54099-7389</t>
  </si>
  <si>
    <t>SCL-54099-7391</t>
  </si>
  <si>
    <t>SCL-54099-7393</t>
  </si>
  <si>
    <t>SCL-54099-7394</t>
  </si>
  <si>
    <t>SCL-54099-7396</t>
  </si>
  <si>
    <t>SCL-54099-7397</t>
  </si>
  <si>
    <t>SCL-54099-7398</t>
  </si>
  <si>
    <t>SCL-54099-7400</t>
  </si>
  <si>
    <t>SCL-54099-7401</t>
  </si>
  <si>
    <t>SCL-54099-7402</t>
  </si>
  <si>
    <t>SCL-54099-7403</t>
  </si>
  <si>
    <t>SCL-54099-7489</t>
  </si>
  <si>
    <t>SCL-54099-7491</t>
  </si>
  <si>
    <t>SCL-54099-7492</t>
  </si>
  <si>
    <t>SCL-54099-7493</t>
  </si>
  <si>
    <t>SCL-54099-7494</t>
  </si>
  <si>
    <t>SCL-54099-7625</t>
  </si>
  <si>
    <t>SCL-54099-8150</t>
  </si>
  <si>
    <t>SCL-54100-7351</t>
  </si>
  <si>
    <t>SCL-54100-7352</t>
  </si>
  <si>
    <t>SCL-54100-7355</t>
  </si>
  <si>
    <t>SCL-54100-7356</t>
  </si>
  <si>
    <t>SCL-54100-7359</t>
  </si>
  <si>
    <t>SCL-54100-7360</t>
  </si>
  <si>
    <t>SCL-54100-7361</t>
  </si>
  <si>
    <t>SCL-54100-7362</t>
  </si>
  <si>
    <t>SCL-54100-7363</t>
  </si>
  <si>
    <t>SCL-54100-7364</t>
  </si>
  <si>
    <t>SCL-54100-7365</t>
  </si>
  <si>
    <t>SCL-54100-7366</t>
  </si>
  <si>
    <t>SCL-54100-7368</t>
  </si>
  <si>
    <t>SCL-54100-7369</t>
  </si>
  <si>
    <t>SCL-54100-7371</t>
  </si>
  <si>
    <t>SCL-54100-7374</t>
  </si>
  <si>
    <t>SCL-54100-7375</t>
  </si>
  <si>
    <t>SCL-54100-7376</t>
  </si>
  <si>
    <t>SCL-54100-7377</t>
  </si>
  <si>
    <t>SCL-54100-7378</t>
  </si>
  <si>
    <t>SCL-54100-7379</t>
  </si>
  <si>
    <t>SCL-54100-7380</t>
  </si>
  <si>
    <t>SCL-54100-7381</t>
  </si>
  <si>
    <t>SCL-54100-7383</t>
  </si>
  <si>
    <t>SCL-54100-7385</t>
  </si>
  <si>
    <t>SCL-54100-7386</t>
  </si>
  <si>
    <t>SCL-54100-7387</t>
  </si>
  <si>
    <t>SCL-54100-7389</t>
  </si>
  <si>
    <t>SCL-54100-7391</t>
  </si>
  <si>
    <t>SCL-54100-7393</t>
  </si>
  <si>
    <t>SCL-54100-7394</t>
  </si>
  <si>
    <t>SCL-54100-7396</t>
  </si>
  <si>
    <t>SCL-54100-7397</t>
  </si>
  <si>
    <t>SCL-54100-7398</t>
  </si>
  <si>
    <t>SCL-54100-7400</t>
  </si>
  <si>
    <t>SCL-54100-7401</t>
  </si>
  <si>
    <t>SCL-54100-7402</t>
  </si>
  <si>
    <t>SCL-54100-7403</t>
  </si>
  <si>
    <t>SCL-54100-7489</t>
  </si>
  <si>
    <t>SCL-54100-7491</t>
  </si>
  <si>
    <t>SCL-54100-7492</t>
  </si>
  <si>
    <t>SCL-54100-7493</t>
  </si>
  <si>
    <t>SCL-54100-7494</t>
  </si>
  <si>
    <t>SCL-54100-7625</t>
  </si>
  <si>
    <t>SCL-54100-8150</t>
  </si>
  <si>
    <t>SCL-55001-0000</t>
  </si>
  <si>
    <t>SCL-55001-7351</t>
  </si>
  <si>
    <t>SCL-55001-7352</t>
  </si>
  <si>
    <t>SCL-55001-7355</t>
  </si>
  <si>
    <t>SCL-55001-7356</t>
  </si>
  <si>
    <t>SCL-55001-7359</t>
  </si>
  <si>
    <t>SCL-55001-7360</t>
  </si>
  <si>
    <t>SCL-55001-7362</t>
  </si>
  <si>
    <t>SCL-55001-7363</t>
  </si>
  <si>
    <t>SCL-55001-7364</t>
  </si>
  <si>
    <t>SCL-55001-7365</t>
  </si>
  <si>
    <t>SCL-55001-7366</t>
  </si>
  <si>
    <t>SCL-55001-7368</t>
  </si>
  <si>
    <t>SCL-55001-7369</t>
  </si>
  <si>
    <t>SCL-55001-7371</t>
  </si>
  <si>
    <t>SCL-55001-7374</t>
  </si>
  <si>
    <t>SCL-55001-7375</t>
  </si>
  <si>
    <t>SCL-55001-7376</t>
  </si>
  <si>
    <t>SCL-55001-7377</t>
  </si>
  <si>
    <t>SCL-55001-7378</t>
  </si>
  <si>
    <t>SCL-55001-7379</t>
  </si>
  <si>
    <t>SCL-55001-7380</t>
  </si>
  <si>
    <t>SCL-55001-7381</t>
  </si>
  <si>
    <t>SCL-55001-7383</t>
  </si>
  <si>
    <t>SCL-55001-7385</t>
  </si>
  <si>
    <t>SCL-55001-7386</t>
  </si>
  <si>
    <t>SCL-55001-7387</t>
  </si>
  <si>
    <t>SCL-55001-7389</t>
  </si>
  <si>
    <t>SCL-55001-7391</t>
  </si>
  <si>
    <t>SCL-55001-7393</t>
  </si>
  <si>
    <t>SCL-55001-7394</t>
  </si>
  <si>
    <t>SCL-55001-7396</t>
  </si>
  <si>
    <t>SCL-55001-7397</t>
  </si>
  <si>
    <t>SCL-55001-7398</t>
  </si>
  <si>
    <t>SCL-55001-7400</t>
  </si>
  <si>
    <t>SCL-55001-7401</t>
  </si>
  <si>
    <t>SCL-55001-7402</t>
  </si>
  <si>
    <t>SCL-55001-7403</t>
  </si>
  <si>
    <t>SCL-55001-7489</t>
  </si>
  <si>
    <t>SCL-55001-7491</t>
  </si>
  <si>
    <t>SCL-55001-7492</t>
  </si>
  <si>
    <t>SCL-55001-7493</t>
  </si>
  <si>
    <t>SCL-55001-7494</t>
  </si>
  <si>
    <t>SCL-55001-7625</t>
  </si>
  <si>
    <t>SCL-55001-8150</t>
  </si>
  <si>
    <t>SCL-56001-7351</t>
  </si>
  <si>
    <t>SCL-56001-7352</t>
  </si>
  <si>
    <t>SCL-56001-7355</t>
  </si>
  <si>
    <t>SCL-56001-7356</t>
  </si>
  <si>
    <t>SCL-56001-7359</t>
  </si>
  <si>
    <t>SCL-56001-7360</t>
  </si>
  <si>
    <t>SCL-56001-7361</t>
  </si>
  <si>
    <t>SCL-56001-7362</t>
  </si>
  <si>
    <t>SCL-56001-7363</t>
  </si>
  <si>
    <t>SCL-56001-7364</t>
  </si>
  <si>
    <t>SCL-56001-7365</t>
  </si>
  <si>
    <t>SCL-56001-7366</t>
  </si>
  <si>
    <t>SCL-56001-7368</t>
  </si>
  <si>
    <t>SCL-56001-7369</t>
  </si>
  <si>
    <t>SCL-56001-7371</t>
  </si>
  <si>
    <t>SCL-56001-7374</t>
  </si>
  <si>
    <t>SCL-56001-7375</t>
  </si>
  <si>
    <t>SCL-56001-7376</t>
  </si>
  <si>
    <t>SCL-56001-7377</t>
  </si>
  <si>
    <t>SCL-56001-7378</t>
  </si>
  <si>
    <t>SCL-56001-7379</t>
  </si>
  <si>
    <t>SCL-56001-7380</t>
  </si>
  <si>
    <t>SCL-56001-7381</t>
  </si>
  <si>
    <t>SCL-56001-7383</t>
  </si>
  <si>
    <t>SCL-56001-7385</t>
  </si>
  <si>
    <t>SCL-56001-7386</t>
  </si>
  <si>
    <t>SCL-56001-7387</t>
  </si>
  <si>
    <t>SCL-56001-7389</t>
  </si>
  <si>
    <t>SCL-56001-7391</t>
  </si>
  <si>
    <t>SCL-56001-7393</t>
  </si>
  <si>
    <t>SCL-56001-7394</t>
  </si>
  <si>
    <t>SCL-56001-7396</t>
  </si>
  <si>
    <t>SCL-56001-7397</t>
  </si>
  <si>
    <t>SCL-56001-7398</t>
  </si>
  <si>
    <t>SCL-56001-7400</t>
  </si>
  <si>
    <t>SCL-56001-7401</t>
  </si>
  <si>
    <t>SCL-56001-7402</t>
  </si>
  <si>
    <t>SCL-56001-7403</t>
  </si>
  <si>
    <t>SCL-56001-7404</t>
  </si>
  <si>
    <t>SCL-56001-7489</t>
  </si>
  <si>
    <t>SCL-56001-7491</t>
  </si>
  <si>
    <t>SCL-56001-7492</t>
  </si>
  <si>
    <t>SCL-56001-7493</t>
  </si>
  <si>
    <t>SCL-56001-7494</t>
  </si>
  <si>
    <t>SCL-56001-7625</t>
  </si>
  <si>
    <t>SCL-56001-8150</t>
  </si>
  <si>
    <t>SCL-56002-0000</t>
  </si>
  <si>
    <t>SCL-56002-7351</t>
  </si>
  <si>
    <t>SCL-56002-7352</t>
  </si>
  <si>
    <t>SCL-56002-7355</t>
  </si>
  <si>
    <t>SCL-56002-7356</t>
  </si>
  <si>
    <t>SCL-56002-7359</t>
  </si>
  <si>
    <t>SCL-56002-7360</t>
  </si>
  <si>
    <t>SCL-56002-7361</t>
  </si>
  <si>
    <t>SCL-56002-7362</t>
  </si>
  <si>
    <t>SCL-56002-7363</t>
  </si>
  <si>
    <t>SCL-56002-7364</t>
  </si>
  <si>
    <t>SCL-56002-7365</t>
  </si>
  <si>
    <t>SCL-56002-7366</t>
  </si>
  <si>
    <t>SCL-56002-7368</t>
  </si>
  <si>
    <t>SCL-56002-7369</t>
  </si>
  <si>
    <t>SCL-56002-7371</t>
  </si>
  <si>
    <t>SCL-56002-7374</t>
  </si>
  <si>
    <t>SCL-56002-7375</t>
  </si>
  <si>
    <t>SCL-56002-7376</t>
  </si>
  <si>
    <t>SCL-56002-7377</t>
  </si>
  <si>
    <t>SCL-56002-7378</t>
  </si>
  <si>
    <t>SCL-56002-7380</t>
  </si>
  <si>
    <t>SCL-56002-7381</t>
  </si>
  <si>
    <t>SCL-56002-7383</t>
  </si>
  <si>
    <t>SCL-56002-7385</t>
  </si>
  <si>
    <t>SCL-56002-7386</t>
  </si>
  <si>
    <t>SCL-56002-7387</t>
  </si>
  <si>
    <t>SCL-56002-7389</t>
  </si>
  <si>
    <t>SCL-56002-7391</t>
  </si>
  <si>
    <t>SCL-56002-7393</t>
  </si>
  <si>
    <t>SCL-56002-7394</t>
  </si>
  <si>
    <t>SCL-56002-7396</t>
  </si>
  <si>
    <t>SCL-56002-7397</t>
  </si>
  <si>
    <t>SCL-56002-7398</t>
  </si>
  <si>
    <t>SCL-56002-7400</t>
  </si>
  <si>
    <t>SCL-56002-7401</t>
  </si>
  <si>
    <t>SCL-56002-7402</t>
  </si>
  <si>
    <t>SCL-56002-7403</t>
  </si>
  <si>
    <t>SCL-56002-7489</t>
  </si>
  <si>
    <t>SCL-56002-7491</t>
  </si>
  <si>
    <t>SCL-56002-7492</t>
  </si>
  <si>
    <t>SCL-56002-7493</t>
  </si>
  <si>
    <t>SCL-56002-7494</t>
  </si>
  <si>
    <t>SCL-56002-7625</t>
  </si>
  <si>
    <t>SCL-56002-8150</t>
  </si>
  <si>
    <t>SCL-56050-0000</t>
  </si>
  <si>
    <t>SCL-60001-7351</t>
  </si>
  <si>
    <t>SCL-60001-7352</t>
  </si>
  <si>
    <t>SCL-60001-7355</t>
  </si>
  <si>
    <t>SCL-60001-7356</t>
  </si>
  <si>
    <t>SCL-60001-7359</t>
  </si>
  <si>
    <t>SCL-60001-7360</t>
  </si>
  <si>
    <t>SCL-60001-7361</t>
  </si>
  <si>
    <t>SCL-60001-7362</t>
  </si>
  <si>
    <t>SCL-60001-7363</t>
  </si>
  <si>
    <t>SCL-60001-7364</t>
  </si>
  <si>
    <t>SCL-60001-7365</t>
  </si>
  <si>
    <t>SCL-60001-7366</t>
  </si>
  <si>
    <t>SCL-60001-7368</t>
  </si>
  <si>
    <t>SCL-60001-7369</t>
  </si>
  <si>
    <t>SCL-60001-7370</t>
  </si>
  <si>
    <t>SCL-60001-7371</t>
  </si>
  <si>
    <t>SCL-60001-7374</t>
  </si>
  <si>
    <t>SCL-60001-7375</t>
  </si>
  <si>
    <t>SCL-60001-7376</t>
  </si>
  <si>
    <t>SCL-60001-7377</t>
  </si>
  <si>
    <t>SCL-60001-7378</t>
  </si>
  <si>
    <t>SCL-60001-7379</t>
  </si>
  <si>
    <t>SCL-60001-7380</t>
  </si>
  <si>
    <t>SCL-60001-7381</t>
  </si>
  <si>
    <t>SCL-60001-7383</t>
  </si>
  <si>
    <t>SCL-60001-7385</t>
  </si>
  <si>
    <t>SCL-60001-7386</t>
  </si>
  <si>
    <t>SCL-60001-7387</t>
  </si>
  <si>
    <t>SCL-60001-7389</t>
  </si>
  <si>
    <t>SCL-60001-7391</t>
  </si>
  <si>
    <t>SCL-60001-7393</t>
  </si>
  <si>
    <t>SCL-60001-7394</t>
  </si>
  <si>
    <t>SCL-60001-7396</t>
  </si>
  <si>
    <t>SCL-60001-7397</t>
  </si>
  <si>
    <t>SCL-60001-7398</t>
  </si>
  <si>
    <t>SCL-60001-7400</t>
  </si>
  <si>
    <t>SCL-60001-7401</t>
  </si>
  <si>
    <t>SCL-60001-7402</t>
  </si>
  <si>
    <t>SCL-60001-7403</t>
  </si>
  <si>
    <t>SCL-60001-7404</t>
  </si>
  <si>
    <t>SCL-60001-7405</t>
  </si>
  <si>
    <t>SCL-60001-7406</t>
  </si>
  <si>
    <t>SCL-60001-7489</t>
  </si>
  <si>
    <t>SCL-60001-7490</t>
  </si>
  <si>
    <t>SCL-60001-7491</t>
  </si>
  <si>
    <t>SCL-60001-7492</t>
  </si>
  <si>
    <t>SCL-60001-7493</t>
  </si>
  <si>
    <t>SCL-60001-7494</t>
  </si>
  <si>
    <t>SCL-60001-7625</t>
  </si>
  <si>
    <t>SCL-60001-8150</t>
  </si>
  <si>
    <t>SCL-60503-0000</t>
  </si>
  <si>
    <t>SCL-60503-7351</t>
  </si>
  <si>
    <t>SCL-60503-7352</t>
  </si>
  <si>
    <t>SCL-60503-7355</t>
  </si>
  <si>
    <t>SCL-60503-7356</t>
  </si>
  <si>
    <t>SCL-60503-7359</t>
  </si>
  <si>
    <t>SCL-60503-7360</t>
  </si>
  <si>
    <t>SCL-60503-7361</t>
  </si>
  <si>
    <t>SCL-60503-7362</t>
  </si>
  <si>
    <t>SCL-60503-7363</t>
  </si>
  <si>
    <t>SCL-60503-7364</t>
  </si>
  <si>
    <t>SCL-60503-7365</t>
  </si>
  <si>
    <t>SCL-60503-7366</t>
  </si>
  <si>
    <t>SCL-60503-7368</t>
  </si>
  <si>
    <t>SCL-60503-7369</t>
  </si>
  <si>
    <t>SCL-60503-7371</t>
  </si>
  <si>
    <t>SCL-60503-7374</t>
  </si>
  <si>
    <t>SCL-60503-7375</t>
  </si>
  <si>
    <t>SCL-60503-7376</t>
  </si>
  <si>
    <t>SCL-60503-7377</t>
  </si>
  <si>
    <t>SCL-60503-7378</t>
  </si>
  <si>
    <t>SCL-60503-7379</t>
  </si>
  <si>
    <t>SCL-60503-7380</t>
  </si>
  <si>
    <t>SCL-60503-7381</t>
  </si>
  <si>
    <t>SCL-60503-7383</t>
  </si>
  <si>
    <t>SCL-60503-7385</t>
  </si>
  <si>
    <t>SCL-60503-7386</t>
  </si>
  <si>
    <t>SCL-60503-7387</t>
  </si>
  <si>
    <t>SCL-60503-7389</t>
  </si>
  <si>
    <t>SCL-60503-7391</t>
  </si>
  <si>
    <t>SCL-60503-7393</t>
  </si>
  <si>
    <t>SCL-60503-7394</t>
  </si>
  <si>
    <t>SCL-60503-7396</t>
  </si>
  <si>
    <t>SCL-60503-7397</t>
  </si>
  <si>
    <t>SCL-60503-7398</t>
  </si>
  <si>
    <t>SCL-60503-7400</t>
  </si>
  <si>
    <t>SCL-60503-7401</t>
  </si>
  <si>
    <t>SCL-60503-7402</t>
  </si>
  <si>
    <t>SCL-60503-7403</t>
  </si>
  <si>
    <t>SCL-60503-7489</t>
  </si>
  <si>
    <t>SCL-60503-7491</t>
  </si>
  <si>
    <t>SCL-60503-7492</t>
  </si>
  <si>
    <t>SCL-60503-7493</t>
  </si>
  <si>
    <t>SCL-60503-7494</t>
  </si>
  <si>
    <t>SCL-60503-7625</t>
  </si>
  <si>
    <t>SCL-60503-8150</t>
  </si>
  <si>
    <t>SCL-60504-7375</t>
  </si>
  <si>
    <t>SCL-60504-7378</t>
  </si>
  <si>
    <t>SCL-60504-7402</t>
  </si>
  <si>
    <t>SCL-60505-0000</t>
  </si>
  <si>
    <t>SCL-60505-7355</t>
  </si>
  <si>
    <t>SCL-60505-7359</t>
  </si>
  <si>
    <t>SCL-60505-7361</t>
  </si>
  <si>
    <t>SCL-60505-7362</t>
  </si>
  <si>
    <t>SCL-60505-7366</t>
  </si>
  <si>
    <t>SCL-60505-7368</t>
  </si>
  <si>
    <t>SCL-60505-7374</t>
  </si>
  <si>
    <t>SCL-60505-7375</t>
  </si>
  <si>
    <t>SCL-60505-7376</t>
  </si>
  <si>
    <t>SCL-60505-7377</t>
  </si>
  <si>
    <t>SCL-60505-7379</t>
  </si>
  <si>
    <t>SCL-60505-7380</t>
  </si>
  <si>
    <t>SCL-60505-7381</t>
  </si>
  <si>
    <t>SCL-60505-7383</t>
  </si>
  <si>
    <t>SCL-60505-7386</t>
  </si>
  <si>
    <t>SCL-60505-7391</t>
  </si>
  <si>
    <t>SCL-60505-7393</t>
  </si>
  <si>
    <t>SCL-60505-7394</t>
  </si>
  <si>
    <t>SCL-60505-7396</t>
  </si>
  <si>
    <t>SCL-60505-7489</t>
  </si>
  <si>
    <t>SCL-60505-7491</t>
  </si>
  <si>
    <t>SCL-60505-7492</t>
  </si>
  <si>
    <t>SCL-60507-0000</t>
  </si>
  <si>
    <t>SCL-60507-7351</t>
  </si>
  <si>
    <t>SCL-60507-7352</t>
  </si>
  <si>
    <t>SCL-60507-7355</t>
  </si>
  <si>
    <t>SCL-60507-7356</t>
  </si>
  <si>
    <t>SCL-60507-7359</t>
  </si>
  <si>
    <t>SCL-60507-7360</t>
  </si>
  <si>
    <t>SCL-60507-7361</t>
  </si>
  <si>
    <t>SCL-60507-7362</t>
  </si>
  <si>
    <t>SCL-60507-7363</t>
  </si>
  <si>
    <t>SCL-60507-7364</t>
  </si>
  <si>
    <t>SCL-60507-7365</t>
  </si>
  <si>
    <t>SCL-60507-7366</t>
  </si>
  <si>
    <t>SCL-60507-7368</t>
  </si>
  <si>
    <t>SCL-60507-7369</t>
  </si>
  <si>
    <t>SCL-60507-7370</t>
  </si>
  <si>
    <t>SCL-60507-7371</t>
  </si>
  <si>
    <t>SCL-60507-7374</t>
  </si>
  <si>
    <t>SCL-60507-7375</t>
  </si>
  <si>
    <t>SCL-60507-7376</t>
  </si>
  <si>
    <t>SCL-60507-7377</t>
  </si>
  <si>
    <t>SCL-60507-7378</t>
  </si>
  <si>
    <t>SCL-60507-7379</t>
  </si>
  <si>
    <t>SCL-60507-7380</t>
  </si>
  <si>
    <t>SCL-60507-7381</t>
  </si>
  <si>
    <t>SCL-60507-7383</t>
  </si>
  <si>
    <t>SCL-60507-7385</t>
  </si>
  <si>
    <t>SCL-60507-7386</t>
  </si>
  <si>
    <t>SCL-60507-7387</t>
  </si>
  <si>
    <t>SCL-60507-7389</t>
  </si>
  <si>
    <t>SCL-60507-7391</t>
  </si>
  <si>
    <t>SCL-60507-7393</t>
  </si>
  <si>
    <t>SCL-60507-7394</t>
  </si>
  <si>
    <t>SCL-60507-7396</t>
  </si>
  <si>
    <t>SCL-60507-7397</t>
  </si>
  <si>
    <t>SCL-60507-7398</t>
  </si>
  <si>
    <t>SCL-60507-7400</t>
  </si>
  <si>
    <t>SCL-60507-7401</t>
  </si>
  <si>
    <t>SCL-60507-7402</t>
  </si>
  <si>
    <t>SCL-60507-7403</t>
  </si>
  <si>
    <t>SCL-60507-7404</t>
  </si>
  <si>
    <t>SCL-60507-7405</t>
  </si>
  <si>
    <t>SCL-60507-7406</t>
  </si>
  <si>
    <t>SCL-60507-7489</t>
  </si>
  <si>
    <t>SCL-60507-7490</t>
  </si>
  <si>
    <t>SCL-60507-7491</t>
  </si>
  <si>
    <t>SCL-60507-7492</t>
  </si>
  <si>
    <t>SCL-60507-7493</t>
  </si>
  <si>
    <t>SCL-60507-7494</t>
  </si>
  <si>
    <t>SCL-60507-7625</t>
  </si>
  <si>
    <t>SCL-60507-8150</t>
  </si>
  <si>
    <t>SCL-60509-0000</t>
  </si>
  <si>
    <t>SCL-60509-7351</t>
  </si>
  <si>
    <t>SCL-60509-7352</t>
  </si>
  <si>
    <t>SCL-60509-7355</t>
  </si>
  <si>
    <t>SCL-60509-7356</t>
  </si>
  <si>
    <t>SCL-60509-7359</t>
  </si>
  <si>
    <t>SCL-60509-7360</t>
  </si>
  <si>
    <t>SCL-60509-7361</t>
  </si>
  <si>
    <t>SCL-60509-7362</t>
  </si>
  <si>
    <t>SCL-60509-7363</t>
  </si>
  <si>
    <t>SCL-60509-7364</t>
  </si>
  <si>
    <t>SCL-60509-7365</t>
  </si>
  <si>
    <t>SCL-60509-7366</t>
  </si>
  <si>
    <t>SCL-60509-7368</t>
  </si>
  <si>
    <t>SCL-60509-7369</t>
  </si>
  <si>
    <t>SCL-60509-7371</t>
  </si>
  <si>
    <t>SCL-60509-7374</t>
  </si>
  <si>
    <t>SCL-60509-7375</t>
  </si>
  <si>
    <t>SCL-60509-7376</t>
  </si>
  <si>
    <t>SCL-60509-7377</t>
  </si>
  <si>
    <t>SCL-60509-7378</t>
  </si>
  <si>
    <t>SCL-60509-7379</t>
  </si>
  <si>
    <t>SCL-60509-7380</t>
  </si>
  <si>
    <t>SCL-60509-7381</t>
  </si>
  <si>
    <t>SCL-60509-7383</t>
  </si>
  <si>
    <t>SCL-60509-7385</t>
  </si>
  <si>
    <t>SCL-60509-7386</t>
  </si>
  <si>
    <t>SCL-60509-7387</t>
  </si>
  <si>
    <t>SCL-60509-7389</t>
  </si>
  <si>
    <t>SCL-60509-7391</t>
  </si>
  <si>
    <t>SCL-60509-7393</t>
  </si>
  <si>
    <t>SCL-60509-7394</t>
  </si>
  <si>
    <t>SCL-60509-7396</t>
  </si>
  <si>
    <t>SCL-60509-7397</t>
  </si>
  <si>
    <t>SCL-60509-7398</t>
  </si>
  <si>
    <t>SCL-60509-7400</t>
  </si>
  <si>
    <t>SCL-60509-7401</t>
  </si>
  <si>
    <t>SCL-60509-7402</t>
  </si>
  <si>
    <t>SCL-60509-7403</t>
  </si>
  <si>
    <t>SCL-60509-7489</t>
  </si>
  <si>
    <t>SCL-60509-7491</t>
  </si>
  <si>
    <t>SCL-60509-7492</t>
  </si>
  <si>
    <t>SCL-60509-7493</t>
  </si>
  <si>
    <t>SCL-60509-7494</t>
  </si>
  <si>
    <t>SCL-60509-7625</t>
  </si>
  <si>
    <t>SCL-60509-8150</t>
  </si>
  <si>
    <t>SCL-61001-7351</t>
  </si>
  <si>
    <t>SCL-61001-7352</t>
  </si>
  <si>
    <t>SCL-61001-7359</t>
  </si>
  <si>
    <t>SCL-61001-7360</t>
  </si>
  <si>
    <t>SCL-61001-7364</t>
  </si>
  <si>
    <t>SCL-61001-7365</t>
  </si>
  <si>
    <t>SCL-61001-7366</t>
  </si>
  <si>
    <t>SCL-61001-7368</t>
  </si>
  <si>
    <t>SCL-61001-7369</t>
  </si>
  <si>
    <t>SCL-61001-7371</t>
  </si>
  <si>
    <t>SCL-61001-7375</t>
  </si>
  <si>
    <t>SCL-61001-7376</t>
  </si>
  <si>
    <t>SCL-61001-7378</t>
  </si>
  <si>
    <t>SCL-61001-7379</t>
  </si>
  <si>
    <t>SCL-61001-7383</t>
  </si>
  <si>
    <t>SCL-61001-7385</t>
  </si>
  <si>
    <t>SCL-61001-7386</t>
  </si>
  <si>
    <t>SCL-61001-7387</t>
  </si>
  <si>
    <t>SCL-61001-7389</t>
  </si>
  <si>
    <t>SCL-61001-7391</t>
  </si>
  <si>
    <t>SCL-61001-7393</t>
  </si>
  <si>
    <t>SCL-61001-7394</t>
  </si>
  <si>
    <t>SCL-61001-7396</t>
  </si>
  <si>
    <t>SCL-61001-7397</t>
  </si>
  <si>
    <t>SCL-61001-7400</t>
  </si>
  <si>
    <t>SCL-61001-7401</t>
  </si>
  <si>
    <t>SCL-61001-7402</t>
  </si>
  <si>
    <t>SCL-61001-7403</t>
  </si>
  <si>
    <t>SCL-61001-7489</t>
  </si>
  <si>
    <t>SCL-61001-7491</t>
  </si>
  <si>
    <t>SCL-61001-7492</t>
  </si>
  <si>
    <t>SCL-61001-7493</t>
  </si>
  <si>
    <t>SCL-61001-7625</t>
  </si>
  <si>
    <t>SCL-61002-0000</t>
  </si>
  <si>
    <t>SCL-61002-7352</t>
  </si>
  <si>
    <t>SCL-61002-7356</t>
  </si>
  <si>
    <t>SCL-61002-7359</t>
  </si>
  <si>
    <t>SCL-61002-7360</t>
  </si>
  <si>
    <t>SCL-61002-7362</t>
  </si>
  <si>
    <t>SCL-61002-7364</t>
  </si>
  <si>
    <t>SCL-61002-7365</t>
  </si>
  <si>
    <t>SCL-61002-7366</t>
  </si>
  <si>
    <t>SCL-61002-7369</t>
  </si>
  <si>
    <t>SCL-61002-7371</t>
  </si>
  <si>
    <t>SCL-61002-7374</t>
  </si>
  <si>
    <t>SCL-61002-7375</t>
  </si>
  <si>
    <t>SCL-61002-7376</t>
  </si>
  <si>
    <t>SCL-61002-7377</t>
  </si>
  <si>
    <t>SCL-61002-7378</t>
  </si>
  <si>
    <t>SCL-61002-7379</t>
  </si>
  <si>
    <t>SCL-61002-7381</t>
  </si>
  <si>
    <t>SCL-61002-7383</t>
  </si>
  <si>
    <t>SCL-61002-7385</t>
  </si>
  <si>
    <t>SCL-61002-7386</t>
  </si>
  <si>
    <t>SCL-61002-7387</t>
  </si>
  <si>
    <t>SCL-61002-7389</t>
  </si>
  <si>
    <t>SCL-61002-7391</t>
  </si>
  <si>
    <t>SCL-61002-7394</t>
  </si>
  <si>
    <t>SCL-61002-7396</t>
  </si>
  <si>
    <t>SCL-61002-7397</t>
  </si>
  <si>
    <t>SCL-61002-7400</t>
  </si>
  <si>
    <t>SCL-61002-7401</t>
  </si>
  <si>
    <t>SCL-61002-7489</t>
  </si>
  <si>
    <t>SCL-61002-7491</t>
  </si>
  <si>
    <t>SCL-61002-7492</t>
  </si>
  <si>
    <t>SCL-61002-7493</t>
  </si>
  <si>
    <t>SCL-61002-7494</t>
  </si>
  <si>
    <t>SCL-61002-7625</t>
  </si>
  <si>
    <t>SCL-61002-8150</t>
  </si>
  <si>
    <t>SCL-61201-7351</t>
  </si>
  <si>
    <t>SCL-61201-7352</t>
  </si>
  <si>
    <t>SCL-61201-7355</t>
  </si>
  <si>
    <t>SCL-61201-7356</t>
  </si>
  <si>
    <t>SCL-61201-7359</t>
  </si>
  <si>
    <t>SCL-61201-7360</t>
  </si>
  <si>
    <t>SCL-61201-7361</t>
  </si>
  <si>
    <t>SCL-61201-7362</t>
  </si>
  <si>
    <t>SCL-61201-7363</t>
  </si>
  <si>
    <t>SCL-61201-7364</t>
  </si>
  <si>
    <t>SCL-61201-7365</t>
  </si>
  <si>
    <t>SCL-61201-7366</t>
  </si>
  <si>
    <t>SCL-61201-7368</t>
  </si>
  <si>
    <t>SCL-61201-7369</t>
  </si>
  <si>
    <t>SCL-61201-7371</t>
  </si>
  <si>
    <t>SCL-61201-7374</t>
  </si>
  <si>
    <t>SCL-61201-7375</t>
  </si>
  <si>
    <t>SCL-61201-7376</t>
  </si>
  <si>
    <t>SCL-61201-7377</t>
  </si>
  <si>
    <t>SCL-61201-7378</t>
  </si>
  <si>
    <t>SCL-61201-7379</t>
  </si>
  <si>
    <t>SCL-61201-7380</t>
  </si>
  <si>
    <t>SCL-61201-7381</t>
  </si>
  <si>
    <t>SCL-61201-7383</t>
  </si>
  <si>
    <t>SCL-61201-7385</t>
  </si>
  <si>
    <t>SCL-61201-7386</t>
  </si>
  <si>
    <t>SCL-61201-7387</t>
  </si>
  <si>
    <t>SCL-61201-7389</t>
  </si>
  <si>
    <t>SCL-61201-7391</t>
  </si>
  <si>
    <t>SCL-61201-7393</t>
  </si>
  <si>
    <t>SCL-61201-7394</t>
  </si>
  <si>
    <t>SCL-61201-7396</t>
  </si>
  <si>
    <t>SCL-61201-7397</t>
  </si>
  <si>
    <t>SCL-61201-7398</t>
  </si>
  <si>
    <t>SCL-61201-7400</t>
  </si>
  <si>
    <t>SCL-61201-7401</t>
  </si>
  <si>
    <t>SCL-61201-7402</t>
  </si>
  <si>
    <t>SCL-61201-7403</t>
  </si>
  <si>
    <t>SCL-61201-7489</t>
  </si>
  <si>
    <t>SCL-61201-7491</t>
  </si>
  <si>
    <t>SCL-61201-7492</t>
  </si>
  <si>
    <t>SCL-61201-7493</t>
  </si>
  <si>
    <t>SCL-61201-7494</t>
  </si>
  <si>
    <t>SCL-61201-7625</t>
  </si>
  <si>
    <t>SCL-61201-8150</t>
  </si>
  <si>
    <t>SCL-61501-0000</t>
  </si>
  <si>
    <t>SCL-61501-7352</t>
  </si>
  <si>
    <t>SCL-61501-7356</t>
  </si>
  <si>
    <t>SCL-61501-7359</t>
  </si>
  <si>
    <t>SCL-61501-7360</t>
  </si>
  <si>
    <t>SCL-61501-7362</t>
  </si>
  <si>
    <t>SCL-61501-7365</t>
  </si>
  <si>
    <t>SCL-61501-7368</t>
  </si>
  <si>
    <t>SCL-61501-7369</t>
  </si>
  <si>
    <t>SCL-61501-7371</t>
  </si>
  <si>
    <t>SCL-61501-7375</t>
  </si>
  <si>
    <t>SCL-61501-7376</t>
  </si>
  <si>
    <t>SCL-61501-7378</t>
  </si>
  <si>
    <t>SCL-61501-7385</t>
  </si>
  <si>
    <t>SCL-61501-7387</t>
  </si>
  <si>
    <t>SCL-61501-7391</t>
  </si>
  <si>
    <t>SCL-61501-7394</t>
  </si>
  <si>
    <t>SCL-61501-7396</t>
  </si>
  <si>
    <t>SCL-61501-7397</t>
  </si>
  <si>
    <t>SCL-61501-7398</t>
  </si>
  <si>
    <t>SCL-61501-7402</t>
  </si>
  <si>
    <t>SCL-61501-7403</t>
  </si>
  <si>
    <t>SCL-61501-7489</t>
  </si>
  <si>
    <t>SCL-61501-7491</t>
  </si>
  <si>
    <t>SCL-61501-7492</t>
  </si>
  <si>
    <t>SCL-61501-7625</t>
  </si>
  <si>
    <t>SCL-61502-7359</t>
  </si>
  <si>
    <t>SCL-61502-7385</t>
  </si>
  <si>
    <t>SCL-61502-7491</t>
  </si>
  <si>
    <t>SCL-61505-7351</t>
  </si>
  <si>
    <t>SCL-61505-7352</t>
  </si>
  <si>
    <t>SCL-61505-7355</t>
  </si>
  <si>
    <t>SCL-61505-7356</t>
  </si>
  <si>
    <t>SCL-61505-7359</t>
  </si>
  <si>
    <t>SCL-61505-7360</t>
  </si>
  <si>
    <t>SCL-61505-7361</t>
  </si>
  <si>
    <t>SCL-61505-7362</t>
  </si>
  <si>
    <t>SCL-61505-7363</t>
  </si>
  <si>
    <t>SCL-61505-7364</t>
  </si>
  <si>
    <t>SCL-61505-7365</t>
  </si>
  <si>
    <t>SCL-61505-7366</t>
  </si>
  <si>
    <t>SCL-61505-7368</t>
  </si>
  <si>
    <t>SCL-61505-7369</t>
  </si>
  <si>
    <t>SCL-61505-7371</t>
  </si>
  <si>
    <t>SCL-61505-7374</t>
  </si>
  <si>
    <t>SCL-61505-7375</t>
  </si>
  <si>
    <t>SCL-61505-7376</t>
  </si>
  <si>
    <t>SCL-61505-7377</t>
  </si>
  <si>
    <t>SCL-61505-7378</t>
  </si>
  <si>
    <t>SCL-61505-7379</t>
  </si>
  <si>
    <t>SCL-61505-7380</t>
  </si>
  <si>
    <t>SCL-61505-7381</t>
  </si>
  <si>
    <t>SCL-61505-7383</t>
  </si>
  <si>
    <t>SCL-61505-7385</t>
  </si>
  <si>
    <t>SCL-61505-7386</t>
  </si>
  <si>
    <t>SCL-61505-7387</t>
  </si>
  <si>
    <t>SCL-61505-7389</t>
  </si>
  <si>
    <t>SCL-61505-7391</t>
  </si>
  <si>
    <t>SCL-61505-7393</t>
  </si>
  <si>
    <t>SCL-61505-7394</t>
  </si>
  <si>
    <t>SCL-61505-7396</t>
  </si>
  <si>
    <t>SCL-61505-7397</t>
  </si>
  <si>
    <t>SCL-61505-7398</t>
  </si>
  <si>
    <t>SCL-61505-7400</t>
  </si>
  <si>
    <t>SCL-61505-7401</t>
  </si>
  <si>
    <t>SCL-61505-7402</t>
  </si>
  <si>
    <t>SCL-61505-7403</t>
  </si>
  <si>
    <t>SCL-61505-7489</t>
  </si>
  <si>
    <t>SCL-61505-7491</t>
  </si>
  <si>
    <t>SCL-61505-7492</t>
  </si>
  <si>
    <t>SCL-61505-7493</t>
  </si>
  <si>
    <t>SCL-61505-7494</t>
  </si>
  <si>
    <t>SCL-61505-7625</t>
  </si>
  <si>
    <t>SCL-61505-8150</t>
  </si>
  <si>
    <t>SCL-62001-0000</t>
  </si>
  <si>
    <t>SCL-62001-7362</t>
  </si>
  <si>
    <t>SCL-62001-7374</t>
  </si>
  <si>
    <t>SCL-62001-7376</t>
  </si>
  <si>
    <t>SCL-62001-7380</t>
  </si>
  <si>
    <t>SCL-62001-7386</t>
  </si>
  <si>
    <t>SCL-62001-7394</t>
  </si>
  <si>
    <t>SCL-62001-7396</t>
  </si>
  <si>
    <t>SCL-62001-7397</t>
  </si>
  <si>
    <t>SCL-62001-7402</t>
  </si>
  <si>
    <t>SCL-62001-7491</t>
  </si>
  <si>
    <t>SCL-62002-0000</t>
  </si>
  <si>
    <t>SCL-62002-7351</t>
  </si>
  <si>
    <t>SCL-62002-7352</t>
  </si>
  <si>
    <t>SCL-62002-7355</t>
  </si>
  <si>
    <t>SCL-62002-7359</t>
  </si>
  <si>
    <t>SCL-62002-7360</t>
  </si>
  <si>
    <t>SCL-62002-7361</t>
  </si>
  <si>
    <t>SCL-62002-7362</t>
  </si>
  <si>
    <t>SCL-62002-7363</t>
  </si>
  <si>
    <t>SCL-62002-7364</t>
  </si>
  <si>
    <t>SCL-62002-7365</t>
  </si>
  <si>
    <t>SCL-62002-7366</t>
  </si>
  <si>
    <t>SCL-62002-7368</t>
  </si>
  <si>
    <t>SCL-62002-7369</t>
  </si>
  <si>
    <t>SCL-62002-7371</t>
  </si>
  <si>
    <t>SCL-62002-7374</t>
  </si>
  <si>
    <t>SCL-62002-7375</t>
  </si>
  <si>
    <t>SCL-62002-7376</t>
  </si>
  <si>
    <t>SCL-62002-7377</t>
  </si>
  <si>
    <t>SCL-62002-7378</t>
  </si>
  <si>
    <t>SCL-62002-7379</t>
  </si>
  <si>
    <t>SCL-62002-7380</t>
  </si>
  <si>
    <t>SCL-62002-7381</t>
  </si>
  <si>
    <t>SCL-62002-7383</t>
  </si>
  <si>
    <t>SCL-62002-7385</t>
  </si>
  <si>
    <t>SCL-62002-7386</t>
  </si>
  <si>
    <t>SCL-62002-7387</t>
  </si>
  <si>
    <t>SCL-62002-7389</t>
  </si>
  <si>
    <t>SCL-62002-7391</t>
  </si>
  <si>
    <t>SCL-62002-7393</t>
  </si>
  <si>
    <t>SCL-62002-7394</t>
  </si>
  <si>
    <t>SCL-62002-7396</t>
  </si>
  <si>
    <t>SCL-62002-7397</t>
  </si>
  <si>
    <t>SCL-62002-7398</t>
  </si>
  <si>
    <t>SCL-62002-7400</t>
  </si>
  <si>
    <t>SCL-62002-7401</t>
  </si>
  <si>
    <t>SCL-62002-7402</t>
  </si>
  <si>
    <t>SCL-62002-7403</t>
  </si>
  <si>
    <t>SCL-62002-7489</t>
  </si>
  <si>
    <t>SCL-62002-7491</t>
  </si>
  <si>
    <t>SCL-62002-7492</t>
  </si>
  <si>
    <t>SCL-62002-7493</t>
  </si>
  <si>
    <t>SCL-62002-7494</t>
  </si>
  <si>
    <t>SCL-62002-7625</t>
  </si>
  <si>
    <t>SCL-62002-8150</t>
  </si>
  <si>
    <t>SCL-62097-7351</t>
  </si>
  <si>
    <t>SCL-62097-7352</t>
  </si>
  <si>
    <t>SCL-62097-7355</t>
  </si>
  <si>
    <t>SCL-62097-7356</t>
  </si>
  <si>
    <t>SCL-62097-7359</t>
  </si>
  <si>
    <t>SCL-62097-7360</t>
  </si>
  <si>
    <t>SCL-62097-7361</t>
  </si>
  <si>
    <t>SCL-62097-7362</t>
  </si>
  <si>
    <t>SCL-62097-7363</t>
  </si>
  <si>
    <t>SCL-62097-7364</t>
  </si>
  <si>
    <t>SCL-62097-7365</t>
  </si>
  <si>
    <t>SCL-62097-7366</t>
  </si>
  <si>
    <t>SCL-62097-7368</t>
  </si>
  <si>
    <t>SCL-62097-7369</t>
  </si>
  <si>
    <t>SCL-62097-7371</t>
  </si>
  <si>
    <t>SCL-62097-7374</t>
  </si>
  <si>
    <t>SCL-62097-7375</t>
  </si>
  <si>
    <t>SCL-62097-7376</t>
  </si>
  <si>
    <t>SCL-62097-7377</t>
  </si>
  <si>
    <t>SCL-62097-7378</t>
  </si>
  <si>
    <t>SCL-62097-7379</t>
  </si>
  <si>
    <t>SCL-62097-7380</t>
  </si>
  <si>
    <t>SCL-62097-7381</t>
  </si>
  <si>
    <t>SCL-62097-7383</t>
  </si>
  <si>
    <t>SCL-62097-7385</t>
  </si>
  <si>
    <t>SCL-62097-7386</t>
  </si>
  <si>
    <t>SCL-62097-7387</t>
  </si>
  <si>
    <t>SCL-62097-7389</t>
  </si>
  <si>
    <t>SCL-62097-7391</t>
  </si>
  <si>
    <t>SCL-62097-7393</t>
  </si>
  <si>
    <t>SCL-62097-7394</t>
  </si>
  <si>
    <t>SCL-62097-7396</t>
  </si>
  <si>
    <t>SCL-62097-7397</t>
  </si>
  <si>
    <t>SCL-62097-7398</t>
  </si>
  <si>
    <t>SCL-62097-7400</t>
  </si>
  <si>
    <t>SCL-62097-7401</t>
  </si>
  <si>
    <t>SCL-62097-7402</t>
  </si>
  <si>
    <t>SCL-62097-7403</t>
  </si>
  <si>
    <t>SCL-62097-7489</t>
  </si>
  <si>
    <t>SCL-62097-7491</t>
  </si>
  <si>
    <t>SCL-62097-7492</t>
  </si>
  <si>
    <t>SCL-62097-7493</t>
  </si>
  <si>
    <t>SCL-62097-7494</t>
  </si>
  <si>
    <t>SCL-62097-7625</t>
  </si>
  <si>
    <t>SCL-62097-8150</t>
  </si>
  <si>
    <t>SCL-62501-0000</t>
  </si>
  <si>
    <t>SCL-62501-7351</t>
  </si>
  <si>
    <t>SCL-62501-7352</t>
  </si>
  <si>
    <t>SCL-62501-7355</t>
  </si>
  <si>
    <t>SCL-62501-7359</t>
  </si>
  <si>
    <t>SCL-62501-7360</t>
  </si>
  <si>
    <t>SCL-62501-7361</t>
  </si>
  <si>
    <t>SCL-62501-7362</t>
  </si>
  <si>
    <t>SCL-62501-7363</t>
  </si>
  <si>
    <t>SCL-62501-7364</t>
  </si>
  <si>
    <t>SCL-62501-7365</t>
  </si>
  <si>
    <t>SCL-62501-7368</t>
  </si>
  <si>
    <t>SCL-62501-7369</t>
  </si>
  <si>
    <t>SCL-62501-7371</t>
  </si>
  <si>
    <t>SCL-62501-7374</t>
  </si>
  <si>
    <t>SCL-62501-7375</t>
  </si>
  <si>
    <t>SCL-62501-7376</t>
  </si>
  <si>
    <t>SCL-62501-7377</t>
  </si>
  <si>
    <t>SCL-62501-7378</t>
  </si>
  <si>
    <t>SCL-62501-7379</t>
  </si>
  <si>
    <t>SCL-62501-7380</t>
  </si>
  <si>
    <t>SCL-62501-7381</t>
  </si>
  <si>
    <t>SCL-62501-7383</t>
  </si>
  <si>
    <t>SCL-62501-7385</t>
  </si>
  <si>
    <t>SCL-62501-7386</t>
  </si>
  <si>
    <t>SCL-62501-7387</t>
  </si>
  <si>
    <t>SCL-62501-7389</t>
  </si>
  <si>
    <t>SCL-62501-7391</t>
  </si>
  <si>
    <t>SCL-62501-7393</t>
  </si>
  <si>
    <t>SCL-62501-7394</t>
  </si>
  <si>
    <t>SCL-62501-7396</t>
  </si>
  <si>
    <t>SCL-62501-7397</t>
  </si>
  <si>
    <t>SCL-62501-7398</t>
  </si>
  <si>
    <t>SCL-62501-7400</t>
  </si>
  <si>
    <t>SCL-62501-7401</t>
  </si>
  <si>
    <t>SCL-62501-7402</t>
  </si>
  <si>
    <t>SCL-62501-7489</t>
  </si>
  <si>
    <t>SCL-62501-7491</t>
  </si>
  <si>
    <t>SCL-62501-7492</t>
  </si>
  <si>
    <t>SCL-62501-7493</t>
  </si>
  <si>
    <t>SCL-62501-7494</t>
  </si>
  <si>
    <t>SCL-62501-7625</t>
  </si>
  <si>
    <t>SCL-62501-8150</t>
  </si>
  <si>
    <t>SCL-62502-7351</t>
  </si>
  <si>
    <t>SCL-62502-7355</t>
  </si>
  <si>
    <t>SCL-62502-7359</t>
  </si>
  <si>
    <t>SCL-62502-7366</t>
  </si>
  <si>
    <t>SCL-62502-7368</t>
  </si>
  <si>
    <t>SCL-62502-7376</t>
  </si>
  <si>
    <t>SCL-62502-7378</t>
  </si>
  <si>
    <t>SCL-62502-7383</t>
  </si>
  <si>
    <t>SCL-62502-7387</t>
  </si>
  <si>
    <t>SCL-62502-7389</t>
  </si>
  <si>
    <t>SCL-62502-7393</t>
  </si>
  <si>
    <t>SCL-62502-7400</t>
  </si>
  <si>
    <t>SCL-62502-7402</t>
  </si>
  <si>
    <t>SCL-62502-7491</t>
  </si>
  <si>
    <t>SCL-62502-8150</t>
  </si>
  <si>
    <t>SCL-62504-7351</t>
  </si>
  <si>
    <t>Carpet Cleaning</t>
  </si>
  <si>
    <t>SCL-62504-7356</t>
  </si>
  <si>
    <t>SCL-62504-7363</t>
  </si>
  <si>
    <t>SCL-62504-7364</t>
  </si>
  <si>
    <t>SCL-62504-7369</t>
  </si>
  <si>
    <t>SCL-62504-7371</t>
  </si>
  <si>
    <t>SCL-62504-7377</t>
  </si>
  <si>
    <t>SCL-62504-7379</t>
  </si>
  <si>
    <t>SCL-62504-7383</t>
  </si>
  <si>
    <t>SCL-62504-7389</t>
  </si>
  <si>
    <t>SCL-62504-7396</t>
  </si>
  <si>
    <t>SCL-62504-7400</t>
  </si>
  <si>
    <t>SCL-62504-7401</t>
  </si>
  <si>
    <t>SCL-62504-7491</t>
  </si>
  <si>
    <t>SCL-62504-7492</t>
  </si>
  <si>
    <t>SCL-62510-7351</t>
  </si>
  <si>
    <t>SCL-62510-7352</t>
  </si>
  <si>
    <t>SCL-62510-7355</t>
  </si>
  <si>
    <t>SCL-62510-7356</t>
  </si>
  <si>
    <t>SCL-62510-7359</t>
  </si>
  <si>
    <t>SCL-62510-7360</t>
  </si>
  <si>
    <t>SCL-62510-7361</t>
  </si>
  <si>
    <t>SCL-62510-7362</t>
  </si>
  <si>
    <t>SCL-62510-7363</t>
  </si>
  <si>
    <t>SCL-62510-7364</t>
  </si>
  <si>
    <t>SCL-62510-7365</t>
  </si>
  <si>
    <t>SCL-62510-7366</t>
  </si>
  <si>
    <t>SCL-62510-7368</t>
  </si>
  <si>
    <t>SCL-62510-7369</t>
  </si>
  <si>
    <t>SCL-62510-7371</t>
  </si>
  <si>
    <t>SCL-62510-7374</t>
  </si>
  <si>
    <t>SCL-62510-7375</t>
  </si>
  <si>
    <t>SCL-62510-7376</t>
  </si>
  <si>
    <t>SCL-62510-7377</t>
  </si>
  <si>
    <t>SCL-62510-7378</t>
  </si>
  <si>
    <t>SCL-62510-7379</t>
  </si>
  <si>
    <t>SCL-62510-7380</t>
  </si>
  <si>
    <t>SCL-62510-7381</t>
  </si>
  <si>
    <t>SCL-62510-7383</t>
  </si>
  <si>
    <t>SCL-62510-7385</t>
  </si>
  <si>
    <t>SCL-62510-7386</t>
  </si>
  <si>
    <t>SCL-62510-7387</t>
  </si>
  <si>
    <t>SCL-62510-7389</t>
  </si>
  <si>
    <t>SCL-62510-7391</t>
  </si>
  <si>
    <t>SCL-62510-7393</t>
  </si>
  <si>
    <t>SCL-62510-7394</t>
  </si>
  <si>
    <t>SCL-62510-7396</t>
  </si>
  <si>
    <t>SCL-62510-7397</t>
  </si>
  <si>
    <t>SCL-62510-7398</t>
  </si>
  <si>
    <t>SCL-62510-7400</t>
  </si>
  <si>
    <t>SCL-62510-7401</t>
  </si>
  <si>
    <t>SCL-62510-7402</t>
  </si>
  <si>
    <t>SCL-62510-7403</t>
  </si>
  <si>
    <t>SCL-62510-7489</t>
  </si>
  <si>
    <t>SCL-62510-7491</t>
  </si>
  <si>
    <t>SCL-62510-7492</t>
  </si>
  <si>
    <t>SCL-62510-7493</t>
  </si>
  <si>
    <t>SCL-62510-7494</t>
  </si>
  <si>
    <t>SCL-62510-7625</t>
  </si>
  <si>
    <t>SCL-62510-8150</t>
  </si>
  <si>
    <t>SCL-62511-7351</t>
  </si>
  <si>
    <t>SCL-62511-7355</t>
  </si>
  <si>
    <t>SCL-62511-7356</t>
  </si>
  <si>
    <t>SCL-62511-7359</t>
  </si>
  <si>
    <t>SCL-62511-7360</t>
  </si>
  <si>
    <t>SCL-62511-7361</t>
  </si>
  <si>
    <t>SCL-62511-7362</t>
  </si>
  <si>
    <t>SCL-62511-7363</t>
  </si>
  <si>
    <t>SCL-62511-7364</t>
  </si>
  <si>
    <t>SCL-62511-7365</t>
  </si>
  <si>
    <t>SCL-62511-7366</t>
  </si>
  <si>
    <t>SCL-62511-7368</t>
  </si>
  <si>
    <t>SCL-62511-7369</t>
  </si>
  <si>
    <t>SCL-62511-7371</t>
  </si>
  <si>
    <t>SCL-62511-7374</t>
  </si>
  <si>
    <t>SCL-62511-7375</t>
  </si>
  <si>
    <t>SCL-62511-7376</t>
  </si>
  <si>
    <t>SCL-62511-7377</t>
  </si>
  <si>
    <t>SCL-62511-7378</t>
  </si>
  <si>
    <t>SCL-62511-7379</t>
  </si>
  <si>
    <t>SCL-62511-7380</t>
  </si>
  <si>
    <t>SCL-62511-7381</t>
  </si>
  <si>
    <t>SCL-62511-7383</t>
  </si>
  <si>
    <t>SCL-62511-7385</t>
  </si>
  <si>
    <t>SCL-62511-7386</t>
  </si>
  <si>
    <t>SCL-62511-7387</t>
  </si>
  <si>
    <t>SCL-62511-7389</t>
  </si>
  <si>
    <t>SCL-62511-7391</t>
  </si>
  <si>
    <t>SCL-62511-7393</t>
  </si>
  <si>
    <t>SCL-62511-7394</t>
  </si>
  <si>
    <t>SCL-62511-7396</t>
  </si>
  <si>
    <t>SCL-62511-7397</t>
  </si>
  <si>
    <t>SCL-62511-7398</t>
  </si>
  <si>
    <t>SCL-62511-7400</t>
  </si>
  <si>
    <t>SCL-62511-7401</t>
  </si>
  <si>
    <t>SCL-62511-7402</t>
  </si>
  <si>
    <t>SCL-62511-7403</t>
  </si>
  <si>
    <t>SCL-62511-7489</t>
  </si>
  <si>
    <t>SCL-62511-7491</t>
  </si>
  <si>
    <t>SCL-62511-7492</t>
  </si>
  <si>
    <t>SCL-62511-7493</t>
  </si>
  <si>
    <t>SCL-62511-7494</t>
  </si>
  <si>
    <t>SCL-62511-7625</t>
  </si>
  <si>
    <t>SCL-62511-8150</t>
  </si>
  <si>
    <t>SCL-62512-7369</t>
  </si>
  <si>
    <t>SCL-62512-7374</t>
  </si>
  <si>
    <t>SCL-62512-7375</t>
  </si>
  <si>
    <t>SCL-62512-7381</t>
  </si>
  <si>
    <t>SCL-62512-7396</t>
  </si>
  <si>
    <t>SCL-62512-7398</t>
  </si>
  <si>
    <t>SCL-62512-7489</t>
  </si>
  <si>
    <t>SCL-62512-7491</t>
  </si>
  <si>
    <t>SCL-62512-7494</t>
  </si>
  <si>
    <t>SCL-62512-7625</t>
  </si>
  <si>
    <t>SCL-62513-0000</t>
  </si>
  <si>
    <t>SCL-62513-7351</t>
  </si>
  <si>
    <t>SCL-62513-7352</t>
  </si>
  <si>
    <t>SCL-62513-7355</t>
  </si>
  <si>
    <t>SCL-62513-7359</t>
  </si>
  <si>
    <t>SCL-62513-7360</t>
  </si>
  <si>
    <t>SCL-62513-7361</t>
  </si>
  <si>
    <t>SCL-62513-7362</t>
  </si>
  <si>
    <t>SCL-62513-7364</t>
  </si>
  <si>
    <t>SCL-62513-7365</t>
  </si>
  <si>
    <t>SCL-62513-7366</t>
  </si>
  <si>
    <t>SCL-62513-7368</t>
  </si>
  <si>
    <t>SCL-62513-7369</t>
  </si>
  <si>
    <t>SCL-62513-7371</t>
  </si>
  <si>
    <t>SCL-62513-7374</t>
  </si>
  <si>
    <t>SCL-62513-7375</t>
  </si>
  <si>
    <t>SCL-62513-7376</t>
  </si>
  <si>
    <t>SCL-62513-7377</t>
  </si>
  <si>
    <t>SCL-62513-7378</t>
  </si>
  <si>
    <t>SCL-62513-7379</t>
  </si>
  <si>
    <t>SCL-62513-7380</t>
  </si>
  <si>
    <t>SCL-62513-7381</t>
  </si>
  <si>
    <t>SCL-62513-7383</t>
  </si>
  <si>
    <t>SCL-62513-7385</t>
  </si>
  <si>
    <t>SCL-62513-7386</t>
  </si>
  <si>
    <t>SCL-62513-7387</t>
  </si>
  <si>
    <t>SCL-62513-7389</t>
  </si>
  <si>
    <t>SCL-62513-7391</t>
  </si>
  <si>
    <t>SCL-62513-7393</t>
  </si>
  <si>
    <t>SCL-62513-7394</t>
  </si>
  <si>
    <t>SCL-62513-7396</t>
  </si>
  <si>
    <t>SCL-62513-7397</t>
  </si>
  <si>
    <t>SCL-62513-7398</t>
  </si>
  <si>
    <t>SCL-62513-7400</t>
  </si>
  <si>
    <t>SCL-62513-7401</t>
  </si>
  <si>
    <t>SCL-62513-7402</t>
  </si>
  <si>
    <t>SCL-62513-7403</t>
  </si>
  <si>
    <t>SCL-62513-7489</t>
  </si>
  <si>
    <t>SCL-62513-7491</t>
  </si>
  <si>
    <t>SCL-62513-7492</t>
  </si>
  <si>
    <t>SCL-62513-7493</t>
  </si>
  <si>
    <t>SCL-62513-7494</t>
  </si>
  <si>
    <t>SCL-62513-7625</t>
  </si>
  <si>
    <t>SCL-62513-8150</t>
  </si>
  <si>
    <t>SCL-62550-0000</t>
  </si>
  <si>
    <t>SCL-62550-7351</t>
  </si>
  <si>
    <t>SCL-62550-7352</t>
  </si>
  <si>
    <t>SCL-62550-7355</t>
  </si>
  <si>
    <t>SCL-62550-7356</t>
  </si>
  <si>
    <t>SCL-62550-7359</t>
  </si>
  <si>
    <t>SCL-62550-7360</t>
  </si>
  <si>
    <t>SCL-62550-7361</t>
  </si>
  <si>
    <t>SCL-62550-7362</t>
  </si>
  <si>
    <t>SCL-62550-7363</t>
  </si>
  <si>
    <t>SCL-62550-7364</t>
  </si>
  <si>
    <t>SCL-62550-7365</t>
  </si>
  <si>
    <t>SCL-62550-7366</t>
  </si>
  <si>
    <t>SCL-62550-7368</t>
  </si>
  <si>
    <t>SCL-62550-7369</t>
  </si>
  <si>
    <t>SCL-62550-7371</t>
  </si>
  <si>
    <t>SCL-62550-7374</t>
  </si>
  <si>
    <t>SCL-62550-7375</t>
  </si>
  <si>
    <t>SCL-62550-7376</t>
  </si>
  <si>
    <t>SCL-62550-7377</t>
  </si>
  <si>
    <t>SCL-62550-7378</t>
  </si>
  <si>
    <t>SCL-62550-7379</t>
  </si>
  <si>
    <t>SCL-62550-7380</t>
  </si>
  <si>
    <t>SCL-62550-7381</t>
  </si>
  <si>
    <t>SCL-62550-7383</t>
  </si>
  <si>
    <t>SCL-62550-7385</t>
  </si>
  <si>
    <t>SCL-62550-7386</t>
  </si>
  <si>
    <t>SCL-62550-7387</t>
  </si>
  <si>
    <t>SCL-62550-7389</t>
  </si>
  <si>
    <t>SCL-62550-7391</t>
  </si>
  <si>
    <t>SCL-62550-7393</t>
  </si>
  <si>
    <t>SCL-62550-7394</t>
  </si>
  <si>
    <t>SCL-62550-7396</t>
  </si>
  <si>
    <t>SCL-62550-7397</t>
  </si>
  <si>
    <t>SCL-62550-7398</t>
  </si>
  <si>
    <t>SCL-62550-7400</t>
  </si>
  <si>
    <t>SCL-62550-7401</t>
  </si>
  <si>
    <t>SCL-62550-7402</t>
  </si>
  <si>
    <t>SCL-62550-7403</t>
  </si>
  <si>
    <t>SCL-62550-7489</t>
  </si>
  <si>
    <t>SCL-62550-7491</t>
  </si>
  <si>
    <t>SCL-62550-7492</t>
  </si>
  <si>
    <t>SCL-62550-7493</t>
  </si>
  <si>
    <t>SCL-62550-7494</t>
  </si>
  <si>
    <t>SCL-62550-7625</t>
  </si>
  <si>
    <t>SCL-62550-8150</t>
  </si>
  <si>
    <t>SCL-62551-7351</t>
  </si>
  <si>
    <t>SCL-62551-7352</t>
  </si>
  <si>
    <t>SCL-62551-7355</t>
  </si>
  <si>
    <t>SCL-62551-7356</t>
  </si>
  <si>
    <t>SCL-62551-7359</t>
  </si>
  <si>
    <t>SCL-62551-7360</t>
  </si>
  <si>
    <t>SCL-62551-7361</t>
  </si>
  <si>
    <t>SCL-62551-7362</t>
  </si>
  <si>
    <t>SCL-62551-7363</t>
  </si>
  <si>
    <t>SCL-62551-7364</t>
  </si>
  <si>
    <t>SCL-62551-7365</t>
  </si>
  <si>
    <t>SCL-62551-7366</t>
  </si>
  <si>
    <t>SCL-62551-7368</t>
  </si>
  <si>
    <t>SCL-62551-7369</t>
  </si>
  <si>
    <t>SCL-62551-7371</t>
  </si>
  <si>
    <t>SCL-62551-7374</t>
  </si>
  <si>
    <t>SCL-62551-7375</t>
  </si>
  <si>
    <t>SCL-62551-7376</t>
  </si>
  <si>
    <t>SCL-62551-7377</t>
  </si>
  <si>
    <t>SCL-62551-7378</t>
  </si>
  <si>
    <t>SCL-62551-7379</t>
  </si>
  <si>
    <t>SCL-62551-7380</t>
  </si>
  <si>
    <t>SCL-62551-7381</t>
  </si>
  <si>
    <t>SCL-62551-7383</t>
  </si>
  <si>
    <t>SCL-62551-7385</t>
  </si>
  <si>
    <t>SCL-62551-7386</t>
  </si>
  <si>
    <t>SCL-62551-7387</t>
  </si>
  <si>
    <t>SCL-62551-7389</t>
  </si>
  <si>
    <t>SCL-62551-7391</t>
  </si>
  <si>
    <t>SCL-62551-7393</t>
  </si>
  <si>
    <t>SCL-62551-7394</t>
  </si>
  <si>
    <t>SCL-62551-7396</t>
  </si>
  <si>
    <t>SCL-62551-7397</t>
  </si>
  <si>
    <t>SCL-62551-7398</t>
  </si>
  <si>
    <t>SCL-62551-7400</t>
  </si>
  <si>
    <t>SCL-62551-7401</t>
  </si>
  <si>
    <t>SCL-62551-7402</t>
  </si>
  <si>
    <t>SCL-62551-7403</t>
  </si>
  <si>
    <t>SCL-62551-7489</t>
  </si>
  <si>
    <t>SCL-62551-7491</t>
  </si>
  <si>
    <t>SCL-62551-7492</t>
  </si>
  <si>
    <t>SCL-62551-7493</t>
  </si>
  <si>
    <t>SCL-62551-7494</t>
  </si>
  <si>
    <t>SCL-62551-7625</t>
  </si>
  <si>
    <t>SCL-62551-8150</t>
  </si>
  <si>
    <t>SCL-63001-7351</t>
  </si>
  <si>
    <t>SCL-63001-7352</t>
  </si>
  <si>
    <t>SCL-63001-7355</t>
  </si>
  <si>
    <t>SCL-63001-7359</t>
  </si>
  <si>
    <t>SCL-63001-7360</t>
  </si>
  <si>
    <t>SCL-63001-7361</t>
  </si>
  <si>
    <t>SCL-63001-7362</t>
  </si>
  <si>
    <t>SCL-63001-7363</t>
  </si>
  <si>
    <t>SCL-63001-7364</t>
  </si>
  <si>
    <t>SCL-63001-7365</t>
  </si>
  <si>
    <t>SCL-63001-7366</t>
  </si>
  <si>
    <t>SCL-63001-7368</t>
  </si>
  <si>
    <t>SCL-63001-7369</t>
  </si>
  <si>
    <t>SCL-63001-7371</t>
  </si>
  <si>
    <t>SCL-63001-7374</t>
  </si>
  <si>
    <t>SCL-63001-7375</t>
  </si>
  <si>
    <t>SCL-63001-7376</t>
  </si>
  <si>
    <t>SCL-63001-7377</t>
  </si>
  <si>
    <t>SCL-63001-7378</t>
  </si>
  <si>
    <t>SCL-63001-7379</t>
  </si>
  <si>
    <t>SCL-63001-7380</t>
  </si>
  <si>
    <t>SCL-63001-7381</t>
  </si>
  <si>
    <t>SCL-63001-7383</t>
  </si>
  <si>
    <t>SCL-63001-7385</t>
  </si>
  <si>
    <t>SCL-63001-7386</t>
  </si>
  <si>
    <t>SCL-63001-7387</t>
  </si>
  <si>
    <t>SCL-63001-7389</t>
  </si>
  <si>
    <t>SCL-63001-7391</t>
  </si>
  <si>
    <t>SCL-63001-7393</t>
  </si>
  <si>
    <t>SCL-63001-7394</t>
  </si>
  <si>
    <t>SCL-63001-7396</t>
  </si>
  <si>
    <t>SCL-63001-7397</t>
  </si>
  <si>
    <t>SCL-63001-7398</t>
  </si>
  <si>
    <t>SCL-63001-7400</t>
  </si>
  <si>
    <t>SCL-63001-7401</t>
  </si>
  <si>
    <t>SCL-63001-7402</t>
  </si>
  <si>
    <t>SCL-63001-7403</t>
  </si>
  <si>
    <t>SCL-63001-7489</t>
  </si>
  <si>
    <t>SCL-63001-7491</t>
  </si>
  <si>
    <t>SCL-63001-7492</t>
  </si>
  <si>
    <t>SCL-63001-7493</t>
  </si>
  <si>
    <t>SCL-63001-7494</t>
  </si>
  <si>
    <t>SCL-63001-7625</t>
  </si>
  <si>
    <t>SCL-63001-8150</t>
  </si>
  <si>
    <t>SCL-63003-7351</t>
  </si>
  <si>
    <t>SCL-63003-7355</t>
  </si>
  <si>
    <t>SCL-63003-7356</t>
  </si>
  <si>
    <t>SCL-63003-7359</t>
  </si>
  <si>
    <t>SCL-63003-7360</t>
  </si>
  <si>
    <t>SCL-63003-7361</t>
  </si>
  <si>
    <t>SCL-63003-7362</t>
  </si>
  <si>
    <t>SCL-63003-7363</t>
  </si>
  <si>
    <t>SCL-63003-7369</t>
  </si>
  <si>
    <t>SCL-63003-7376</t>
  </si>
  <si>
    <t>SCL-63003-7377</t>
  </si>
  <si>
    <t>SCL-63003-7381</t>
  </si>
  <si>
    <t>SCL-63003-7396</t>
  </si>
  <si>
    <t>SCL-63003-7397</t>
  </si>
  <si>
    <t>SCL-63003-7398</t>
  </si>
  <si>
    <t>SCL-63003-7402</t>
  </si>
  <si>
    <t>SCL-63003-7489</t>
  </si>
  <si>
    <t>SCL-63004-0000</t>
  </si>
  <si>
    <t>SCL-63004-7351</t>
  </si>
  <si>
    <t>SCL-63004-7352</t>
  </si>
  <si>
    <t>SCL-63004-7356</t>
  </si>
  <si>
    <t>SCL-63004-7359</t>
  </si>
  <si>
    <t>SCL-63004-7360</t>
  </si>
  <si>
    <t>SCL-63004-7361</t>
  </si>
  <si>
    <t>SCL-63004-7362</t>
  </si>
  <si>
    <t>SCL-63004-7363</t>
  </si>
  <si>
    <t>SCL-63004-7365</t>
  </si>
  <si>
    <t>SCL-63004-7369</t>
  </si>
  <si>
    <t>SCL-63004-7371</t>
  </si>
  <si>
    <t>SCL-63004-7374</t>
  </si>
  <si>
    <t>SCL-63004-7375</t>
  </si>
  <si>
    <t>SCL-63004-7376</t>
  </si>
  <si>
    <t>SCL-63004-7377</t>
  </si>
  <si>
    <t>SCL-63004-7378</t>
  </si>
  <si>
    <t>SCL-63004-7379</t>
  </si>
  <si>
    <t>SCL-63004-7380</t>
  </si>
  <si>
    <t>SCL-63004-7381</t>
  </si>
  <si>
    <t>SCL-63004-7383</t>
  </si>
  <si>
    <t>SCL-63004-7386</t>
  </si>
  <si>
    <t>SCL-63004-7387</t>
  </si>
  <si>
    <t>SCL-63004-7389</t>
  </si>
  <si>
    <t>SCL-63004-7391</t>
  </si>
  <si>
    <t>SCL-63004-7394</t>
  </si>
  <si>
    <t>SCL-63004-7396</t>
  </si>
  <si>
    <t>SCL-63004-7397</t>
  </si>
  <si>
    <t>SCL-63004-7398</t>
  </si>
  <si>
    <t>SCL-63004-7400</t>
  </si>
  <si>
    <t>SCL-63004-7401</t>
  </si>
  <si>
    <t>SCL-63004-7402</t>
  </si>
  <si>
    <t>SCL-63004-7403</t>
  </si>
  <si>
    <t>SCL-63004-7489</t>
  </si>
  <si>
    <t>SCL-63004-7491</t>
  </si>
  <si>
    <t>SCL-63004-7492</t>
  </si>
  <si>
    <t>SCL-63004-7494</t>
  </si>
  <si>
    <t>SCL-63004-7625</t>
  </si>
  <si>
    <t>SCL-63004-8150</t>
  </si>
  <si>
    <t>SCL-63005-7351</t>
  </si>
  <si>
    <t>SCL-63005-7352</t>
  </si>
  <si>
    <t>SCL-63005-7355</t>
  </si>
  <si>
    <t>SCL-63005-7359</t>
  </si>
  <si>
    <t>SCL-63005-7360</t>
  </si>
  <si>
    <t>SCL-63005-7361</t>
  </si>
  <si>
    <t>SCL-63005-7362</t>
  </si>
  <si>
    <t>SCL-63005-7363</t>
  </si>
  <si>
    <t>SCL-63005-7364</t>
  </si>
  <si>
    <t>SCL-63005-7365</t>
  </si>
  <si>
    <t>SCL-63005-7366</t>
  </si>
  <si>
    <t>SCL-63005-7368</t>
  </si>
  <si>
    <t>SCL-63005-7369</t>
  </si>
  <si>
    <t>SCL-63005-7371</t>
  </si>
  <si>
    <t>SCL-63005-7374</t>
  </si>
  <si>
    <t>SCL-63005-7375</t>
  </si>
  <si>
    <t>SCL-63005-7377</t>
  </si>
  <si>
    <t>SCL-63005-7378</t>
  </si>
  <si>
    <t>SCL-63005-7379</t>
  </si>
  <si>
    <t>SCL-63005-7380</t>
  </si>
  <si>
    <t>SCL-63005-7381</t>
  </si>
  <si>
    <t>SCL-63005-7383</t>
  </si>
  <si>
    <t>SCL-63005-7385</t>
  </si>
  <si>
    <t>SCL-63005-7386</t>
  </si>
  <si>
    <t>SCL-63005-7387</t>
  </si>
  <si>
    <t>SCL-63005-7389</t>
  </si>
  <si>
    <t>SCL-63005-7391</t>
  </si>
  <si>
    <t>SCL-63005-7393</t>
  </si>
  <si>
    <t>SCL-63005-7394</t>
  </si>
  <si>
    <t>SCL-63005-7396</t>
  </si>
  <si>
    <t>SCL-63005-7397</t>
  </si>
  <si>
    <t>SCL-63005-7398</t>
  </si>
  <si>
    <t>SCL-63005-7400</t>
  </si>
  <si>
    <t>SCL-63005-7401</t>
  </si>
  <si>
    <t>SCL-63005-7402</t>
  </si>
  <si>
    <t>SCL-63005-7403</t>
  </si>
  <si>
    <t>SCL-63005-7489</t>
  </si>
  <si>
    <t>SCL-63005-7491</t>
  </si>
  <si>
    <t>SCL-63005-7492</t>
  </si>
  <si>
    <t>SCL-63005-7493</t>
  </si>
  <si>
    <t>SCL-63005-7494</t>
  </si>
  <si>
    <t>SCL-63005-7625</t>
  </si>
  <si>
    <t>SCL-63006-7352</t>
  </si>
  <si>
    <t>SCL-63006-7355</t>
  </si>
  <si>
    <t>SCL-63006-7359</t>
  </si>
  <si>
    <t>SCL-63006-7361</t>
  </si>
  <si>
    <t>SCL-63006-7363</t>
  </si>
  <si>
    <t>SCL-63006-7374</t>
  </si>
  <si>
    <t>SCL-63006-7375</t>
  </si>
  <si>
    <t>SCL-63006-7376</t>
  </si>
  <si>
    <t>SCL-63006-7380</t>
  </si>
  <si>
    <t>SCL-63006-7381</t>
  </si>
  <si>
    <t>SCL-63006-7383</t>
  </si>
  <si>
    <t>SCL-63006-7385</t>
  </si>
  <si>
    <t>SCL-63006-7386</t>
  </si>
  <si>
    <t>SCL-63006-7387</t>
  </si>
  <si>
    <t>SCL-63006-7393</t>
  </si>
  <si>
    <t>SCL-63006-7394</t>
  </si>
  <si>
    <t>SCL-63006-7397</t>
  </si>
  <si>
    <t>SCL-63006-7489</t>
  </si>
  <si>
    <t>SCL-63006-7491</t>
  </si>
  <si>
    <t>SCL-63006-7493</t>
  </si>
  <si>
    <t>SCL-63006-7494</t>
  </si>
  <si>
    <t>SCL-63006-7625</t>
  </si>
  <si>
    <t>SCL-63006-8150</t>
  </si>
  <si>
    <t>SCL-63007-7352</t>
  </si>
  <si>
    <t>SCL-63007-7360</t>
  </si>
  <si>
    <t>SCL-63007-7375</t>
  </si>
  <si>
    <t>SCL-63007-7397</t>
  </si>
  <si>
    <t>SCL-63007-7489</t>
  </si>
  <si>
    <t>SCL-63007-7492</t>
  </si>
  <si>
    <t>SCL-63007-7625</t>
  </si>
  <si>
    <t>SCL-63009-7351</t>
  </si>
  <si>
    <t>SCL-63009-7359</t>
  </si>
  <si>
    <t>SCL-63009-7360</t>
  </si>
  <si>
    <t>SCL-63009-7361</t>
  </si>
  <si>
    <t>SCL-63009-7363</t>
  </si>
  <si>
    <t>SCL-63009-7364</t>
  </si>
  <si>
    <t>SCL-63009-7366</t>
  </si>
  <si>
    <t>SCL-63009-7368</t>
  </si>
  <si>
    <t>SCL-63009-7371</t>
  </si>
  <si>
    <t>SCL-63009-7374</t>
  </si>
  <si>
    <t>SCL-63009-7376</t>
  </si>
  <si>
    <t>SCL-63009-7378</t>
  </si>
  <si>
    <t>SCL-63009-7383</t>
  </si>
  <si>
    <t>SCL-63009-7389</t>
  </si>
  <si>
    <t>SCL-63009-7391</t>
  </si>
  <si>
    <t>SCL-63009-7396</t>
  </si>
  <si>
    <t>SCL-63009-7398</t>
  </si>
  <si>
    <t>SCL-63009-7400</t>
  </si>
  <si>
    <t>SCL-63009-7401</t>
  </si>
  <si>
    <t>SCL-63009-7403</t>
  </si>
  <si>
    <t>SCL-63009-7491</t>
  </si>
  <si>
    <t>SCL-63501-0000</t>
  </si>
  <si>
    <t>SCL-63501-7351</t>
  </si>
  <si>
    <t>SCL-63501-7352</t>
  </si>
  <si>
    <t>SCL-63501-7355</t>
  </si>
  <si>
    <t>SCL-63501-7356</t>
  </si>
  <si>
    <t>SCL-63501-7359</t>
  </si>
  <si>
    <t>SCL-63501-7360</t>
  </si>
  <si>
    <t>SCL-63501-7361</t>
  </si>
  <si>
    <t>SCL-63501-7362</t>
  </si>
  <si>
    <t>SCL-63501-7363</t>
  </si>
  <si>
    <t>SCL-63501-7364</t>
  </si>
  <si>
    <t>SCL-63501-7365</t>
  </si>
  <si>
    <t>SCL-63501-7366</t>
  </si>
  <si>
    <t>SCL-63501-7368</t>
  </si>
  <si>
    <t>SCL-63501-7369</t>
  </si>
  <si>
    <t>SCL-63501-7371</t>
  </si>
  <si>
    <t>SCL-63501-7374</t>
  </si>
  <si>
    <t>SCL-63501-7375</t>
  </si>
  <si>
    <t>SCL-63501-7376</t>
  </si>
  <si>
    <t>SCL-63501-7377</t>
  </si>
  <si>
    <t>SCL-63501-7378</t>
  </si>
  <si>
    <t>SCL-63501-7379</t>
  </si>
  <si>
    <t>SCL-63501-7380</t>
  </si>
  <si>
    <t>SCL-63501-7381</t>
  </si>
  <si>
    <t>SCL-63501-7383</t>
  </si>
  <si>
    <t>SCL-63501-7385</t>
  </si>
  <si>
    <t>SCL-63501-7386</t>
  </si>
  <si>
    <t>SCL-63501-7387</t>
  </si>
  <si>
    <t>SCL-63501-7389</t>
  </si>
  <si>
    <t>SCL-63501-7391</t>
  </si>
  <si>
    <t>SCL-63501-7393</t>
  </si>
  <si>
    <t>SCL-63501-7394</t>
  </si>
  <si>
    <t>SCL-63501-7396</t>
  </si>
  <si>
    <t>SCL-63501-7397</t>
  </si>
  <si>
    <t>SCL-63501-7398</t>
  </si>
  <si>
    <t>SCL-63501-7400</t>
  </si>
  <si>
    <t>SCL-63501-7401</t>
  </si>
  <si>
    <t>SCL-63501-7402</t>
  </si>
  <si>
    <t>SCL-63501-7403</t>
  </si>
  <si>
    <t>SCL-63501-7489</t>
  </si>
  <si>
    <t>SCL-63501-7491</t>
  </si>
  <si>
    <t>SCL-63501-7492</t>
  </si>
  <si>
    <t>SCL-63501-7493</t>
  </si>
  <si>
    <t>SCL-63501-7494</t>
  </si>
  <si>
    <t>SCL-63501-7625</t>
  </si>
  <si>
    <t>SCL-63501-8150</t>
  </si>
  <si>
    <t>SCL-63502-0000</t>
  </si>
  <si>
    <t>SCL-63502-7351</t>
  </si>
  <si>
    <t>SCL-63502-7352</t>
  </si>
  <si>
    <t>SCL-63502-7355</t>
  </si>
  <si>
    <t>SCL-63502-7356</t>
  </si>
  <si>
    <t>SCL-63502-7359</t>
  </si>
  <si>
    <t>SCL-63502-7360</t>
  </si>
  <si>
    <t>SCL-63502-7361</t>
  </si>
  <si>
    <t>SCL-63502-7362</t>
  </si>
  <si>
    <t>SCL-63502-7363</t>
  </si>
  <si>
    <t>SCL-63502-7364</t>
  </si>
  <si>
    <t>SCL-63502-7365</t>
  </si>
  <si>
    <t>SCL-63502-7366</t>
  </si>
  <si>
    <t>SCL-63502-7368</t>
  </si>
  <si>
    <t>SCL-63502-7369</t>
  </si>
  <si>
    <t>SCL-63502-7371</t>
  </si>
  <si>
    <t>SCL-63502-7374</t>
  </si>
  <si>
    <t>SCL-63502-7375</t>
  </si>
  <si>
    <t>SCL-63502-7376</t>
  </si>
  <si>
    <t>SCL-63502-7377</t>
  </si>
  <si>
    <t>SCL-63502-7378</t>
  </si>
  <si>
    <t>SCL-63502-7379</t>
  </si>
  <si>
    <t>SCL-63502-7380</t>
  </si>
  <si>
    <t>SCL-63502-7381</t>
  </si>
  <si>
    <t>SCL-63502-7383</t>
  </si>
  <si>
    <t>SCL-63502-7385</t>
  </si>
  <si>
    <t>SCL-63502-7386</t>
  </si>
  <si>
    <t>SCL-63502-7387</t>
  </si>
  <si>
    <t>SCL-63502-7389</t>
  </si>
  <si>
    <t>SCL-63502-7391</t>
  </si>
  <si>
    <t>SCL-63502-7393</t>
  </si>
  <si>
    <t>SCL-63502-7394</t>
  </si>
  <si>
    <t>SCL-63502-7396</t>
  </si>
  <si>
    <t>SCL-63502-7397</t>
  </si>
  <si>
    <t>SCL-63502-7398</t>
  </si>
  <si>
    <t>SCL-63502-7400</t>
  </si>
  <si>
    <t>SCL-63502-7401</t>
  </si>
  <si>
    <t>SCL-63502-7402</t>
  </si>
  <si>
    <t>SCL-63502-7403</t>
  </si>
  <si>
    <t>SCL-63502-7489</t>
  </si>
  <si>
    <t>SCL-63502-7491</t>
  </si>
  <si>
    <t>SCL-63502-7492</t>
  </si>
  <si>
    <t>SCL-63502-7493</t>
  </si>
  <si>
    <t>SCL-63502-7494</t>
  </si>
  <si>
    <t>SCL-63502-7625</t>
  </si>
  <si>
    <t>SCL-63502-8150</t>
  </si>
  <si>
    <t>SCL-63503-7351</t>
  </si>
  <si>
    <t>SCL-63503-7352</t>
  </si>
  <si>
    <t>SCL-63503-7355</t>
  </si>
  <si>
    <t>SCL-63503-7356</t>
  </si>
  <si>
    <t>SCL-63503-7359</t>
  </si>
  <si>
    <t>SCL-63503-7360</t>
  </si>
  <si>
    <t>SCL-63503-7361</t>
  </si>
  <si>
    <t>SCL-63503-7362</t>
  </si>
  <si>
    <t>SCL-63503-7363</t>
  </si>
  <si>
    <t>SCL-63503-7364</t>
  </si>
  <si>
    <t>SCL-63503-7365</t>
  </si>
  <si>
    <t>SCL-63503-7366</t>
  </si>
  <si>
    <t>SCL-63503-7368</t>
  </si>
  <si>
    <t>SCL-63503-7369</t>
  </si>
  <si>
    <t>SCL-63503-7371</t>
  </si>
  <si>
    <t>SCL-63503-7374</t>
  </si>
  <si>
    <t>SCL-63503-7375</t>
  </si>
  <si>
    <t>SCL-63503-7376</t>
  </si>
  <si>
    <t>SCL-63503-7377</t>
  </si>
  <si>
    <t>SCL-63503-7378</t>
  </si>
  <si>
    <t>SCL-63503-7379</t>
  </si>
  <si>
    <t>SCL-63503-7380</t>
  </si>
  <si>
    <t>SCL-63503-7381</t>
  </si>
  <si>
    <t>SCL-63503-7383</t>
  </si>
  <si>
    <t>SCL-63503-7385</t>
  </si>
  <si>
    <t>SCL-63503-7386</t>
  </si>
  <si>
    <t>SCL-63503-7387</t>
  </si>
  <si>
    <t>SCL-63503-7389</t>
  </si>
  <si>
    <t>SCL-63503-7391</t>
  </si>
  <si>
    <t>SCL-63503-7393</t>
  </si>
  <si>
    <t>SCL-63503-7394</t>
  </si>
  <si>
    <t>SCL-63503-7396</t>
  </si>
  <si>
    <t>SCL-63503-7397</t>
  </si>
  <si>
    <t>SCL-63503-7398</t>
  </si>
  <si>
    <t>SCL-63503-7400</t>
  </si>
  <si>
    <t>SCL-63503-7401</t>
  </si>
  <si>
    <t>SCL-63503-7402</t>
  </si>
  <si>
    <t>SCL-63503-7403</t>
  </si>
  <si>
    <t>SCL-63503-7489</t>
  </si>
  <si>
    <t>SCL-63503-7491</t>
  </si>
  <si>
    <t>SCL-63503-7492</t>
  </si>
  <si>
    <t>SCL-63503-7493</t>
  </si>
  <si>
    <t>SCL-63503-7494</t>
  </si>
  <si>
    <t>SCL-63503-7625</t>
  </si>
  <si>
    <t>SCL-63503-8150</t>
  </si>
  <si>
    <t>SCL-63504-0000</t>
  </si>
  <si>
    <t>SCL-63504-7351</t>
  </si>
  <si>
    <t>SCL-63504-7352</t>
  </si>
  <si>
    <t>SCL-63504-7355</t>
  </si>
  <si>
    <t>SCL-63504-7356</t>
  </si>
  <si>
    <t>SCL-63504-7359</t>
  </si>
  <si>
    <t>SCL-63504-7360</t>
  </si>
  <si>
    <t>SCL-63504-7361</t>
  </si>
  <si>
    <t>SCL-63504-7362</t>
  </si>
  <si>
    <t>SCL-63504-7363</t>
  </si>
  <si>
    <t>SCL-63504-7364</t>
  </si>
  <si>
    <t>SCL-63504-7365</t>
  </si>
  <si>
    <t>SCL-63504-7366</t>
  </si>
  <si>
    <t>SCL-63504-7368</t>
  </si>
  <si>
    <t>SCL-63504-7369</t>
  </si>
  <si>
    <t>SCL-63504-7371</t>
  </si>
  <si>
    <t>SCL-63504-7374</t>
  </si>
  <si>
    <t>SCL-63504-7375</t>
  </si>
  <si>
    <t>SCL-63504-7376</t>
  </si>
  <si>
    <t>SCL-63504-7377</t>
  </si>
  <si>
    <t>SCL-63504-7378</t>
  </si>
  <si>
    <t>SCL-63504-7379</t>
  </si>
  <si>
    <t>SCL-63504-7380</t>
  </si>
  <si>
    <t>SCL-63504-7381</t>
  </si>
  <si>
    <t>SCL-63504-7383</t>
  </si>
  <si>
    <t>SCL-63504-7385</t>
  </si>
  <si>
    <t>SCL-63504-7386</t>
  </si>
  <si>
    <t>SCL-63504-7387</t>
  </si>
  <si>
    <t>SCL-63504-7389</t>
  </si>
  <si>
    <t>SCL-63504-7391</t>
  </si>
  <si>
    <t>SCL-63504-7393</t>
  </si>
  <si>
    <t>SCL-63504-7394</t>
  </si>
  <si>
    <t>SCL-63504-7396</t>
  </si>
  <si>
    <t>SCL-63504-7397</t>
  </si>
  <si>
    <t>SCL-63504-7398</t>
  </si>
  <si>
    <t>SCL-63504-7400</t>
  </si>
  <si>
    <t>SCL-63504-7401</t>
  </si>
  <si>
    <t>SCL-63504-7402</t>
  </si>
  <si>
    <t>SCL-63504-7403</t>
  </si>
  <si>
    <t>SCL-63504-7489</t>
  </si>
  <si>
    <t>SCL-63504-7491</t>
  </si>
  <si>
    <t>SCL-63504-7492</t>
  </si>
  <si>
    <t>SCL-63504-7493</t>
  </si>
  <si>
    <t>SCL-63504-7494</t>
  </si>
  <si>
    <t>SCL-63504-7625</t>
  </si>
  <si>
    <t>SCL-63504-8150</t>
  </si>
  <si>
    <t>SCL-64001-7351</t>
  </si>
  <si>
    <t>SCL-64001-7352</t>
  </si>
  <si>
    <t>SCL-64001-7355</t>
  </si>
  <si>
    <t>SCL-64001-7356</t>
  </si>
  <si>
    <t>SCL-64001-7359</t>
  </si>
  <si>
    <t>SCL-64001-7360</t>
  </si>
  <si>
    <t>SCL-64001-7361</t>
  </si>
  <si>
    <t>SCL-64001-7362</t>
  </si>
  <si>
    <t>SCL-64001-7363</t>
  </si>
  <si>
    <t>SCL-64001-7364</t>
  </si>
  <si>
    <t>SCL-64001-7365</t>
  </si>
  <si>
    <t>SCL-64001-7366</t>
  </si>
  <si>
    <t>SCL-64001-7368</t>
  </si>
  <si>
    <t>SCL-64001-7369</t>
  </si>
  <si>
    <t>SCL-64001-7371</t>
  </si>
  <si>
    <t>SCL-64001-7374</t>
  </si>
  <si>
    <t>SCL-64001-7375</t>
  </si>
  <si>
    <t>SCL-64001-7376</t>
  </si>
  <si>
    <t>SCL-64001-7377</t>
  </si>
  <si>
    <t>SCL-64001-7378</t>
  </si>
  <si>
    <t>SCL-64001-7379</t>
  </si>
  <si>
    <t>SCL-64001-7380</t>
  </si>
  <si>
    <t>SCL-64001-7381</t>
  </si>
  <si>
    <t>SCL-64001-7383</t>
  </si>
  <si>
    <t>SCL-64001-7385</t>
  </si>
  <si>
    <t>SCL-64001-7386</t>
  </si>
  <si>
    <t>SCL-64001-7387</t>
  </si>
  <si>
    <t>SCL-64001-7389</t>
  </si>
  <si>
    <t>SCL-64001-7391</t>
  </si>
  <si>
    <t>SCL-64001-7393</t>
  </si>
  <si>
    <t>SCL-64001-7394</t>
  </si>
  <si>
    <t>SCL-64001-7396</t>
  </si>
  <si>
    <t>SCL-64001-7397</t>
  </si>
  <si>
    <t>SCL-64001-7398</t>
  </si>
  <si>
    <t>SCL-64001-7400</t>
  </si>
  <si>
    <t>SCL-64001-7401</t>
  </si>
  <si>
    <t>SCL-64001-7402</t>
  </si>
  <si>
    <t>SCL-64001-7403</t>
  </si>
  <si>
    <t>SCL-64001-7489</t>
  </si>
  <si>
    <t>SCL-64001-7491</t>
  </si>
  <si>
    <t>SCL-64001-7492</t>
  </si>
  <si>
    <t>SCL-64001-7493</t>
  </si>
  <si>
    <t>SCL-64001-7494</t>
  </si>
  <si>
    <t>SCL-64001-7625</t>
  </si>
  <si>
    <t>SCL-64001-8150</t>
  </si>
  <si>
    <t>SCL-64003-7362</t>
  </si>
  <si>
    <t>Alarms</t>
  </si>
  <si>
    <t>SCL-64501-0000</t>
  </si>
  <si>
    <t>SCL-64501-7351</t>
  </si>
  <si>
    <t>SCL-64501-7352</t>
  </si>
  <si>
    <t>SCL-64501-7355</t>
  </si>
  <si>
    <t>SCL-64501-7356</t>
  </si>
  <si>
    <t>SCL-64501-7359</t>
  </si>
  <si>
    <t>SCL-64501-7360</t>
  </si>
  <si>
    <t>SCL-64501-7361</t>
  </si>
  <si>
    <t>SCL-64501-7362</t>
  </si>
  <si>
    <t>SCL-64501-7363</t>
  </si>
  <si>
    <t>SCL-64501-7364</t>
  </si>
  <si>
    <t>SCL-64501-7365</t>
  </si>
  <si>
    <t>SCL-64501-7366</t>
  </si>
  <si>
    <t>SCL-64501-7368</t>
  </si>
  <si>
    <t>SCL-64501-7369</t>
  </si>
  <si>
    <t>SCL-64501-7370</t>
  </si>
  <si>
    <t>SCL-64501-7371</t>
  </si>
  <si>
    <t>SCL-64501-7374</t>
  </si>
  <si>
    <t>SCL-64501-7375</t>
  </si>
  <si>
    <t>SCL-64501-7376</t>
  </si>
  <si>
    <t>SCL-64501-7377</t>
  </si>
  <si>
    <t>SCL-64501-7378</t>
  </si>
  <si>
    <t>SCL-64501-7379</t>
  </si>
  <si>
    <t>SCL-64501-7380</t>
  </si>
  <si>
    <t>SCL-64501-7381</t>
  </si>
  <si>
    <t>SCL-64501-7383</t>
  </si>
  <si>
    <t>SCL-64501-7385</t>
  </si>
  <si>
    <t>SCL-64501-7386</t>
  </si>
  <si>
    <t>SCL-64501-7387</t>
  </si>
  <si>
    <t>SCL-64501-7389</t>
  </si>
  <si>
    <t>SCL-64501-7391</t>
  </si>
  <si>
    <t>SCL-64501-7393</t>
  </si>
  <si>
    <t>SCL-64501-7394</t>
  </si>
  <si>
    <t>SCL-64501-7396</t>
  </si>
  <si>
    <t>SCL-64501-7397</t>
  </si>
  <si>
    <t>SCL-64501-7398</t>
  </si>
  <si>
    <t>SCL-64501-7400</t>
  </si>
  <si>
    <t>SCL-64501-7401</t>
  </si>
  <si>
    <t>SCL-64501-7402</t>
  </si>
  <si>
    <t>SCL-64501-7403</t>
  </si>
  <si>
    <t>SCL-64501-7404</t>
  </si>
  <si>
    <t>SCL-64501-7405</t>
  </si>
  <si>
    <t>SCL-64501-7406</t>
  </si>
  <si>
    <t>SCL-64501-7489</t>
  </si>
  <si>
    <t>SCL-64501-7490</t>
  </si>
  <si>
    <t>SCL-64501-7491</t>
  </si>
  <si>
    <t>SCL-64501-7492</t>
  </si>
  <si>
    <t>SCL-64501-7493</t>
  </si>
  <si>
    <t>SCL-64501-7494</t>
  </si>
  <si>
    <t>SCL-64501-7625</t>
  </si>
  <si>
    <t>SCL-64501-8150</t>
  </si>
  <si>
    <t>SCL-64502-0000</t>
  </si>
  <si>
    <t>SCL-64502-7351</t>
  </si>
  <si>
    <t>SCL-64502-7352</t>
  </si>
  <si>
    <t>SCL-64502-7355</t>
  </si>
  <si>
    <t>SCL-64502-7356</t>
  </si>
  <si>
    <t>SCL-64502-7359</t>
  </si>
  <si>
    <t>SCL-64502-7360</t>
  </si>
  <si>
    <t>SCL-64502-7361</t>
  </si>
  <si>
    <t>SCL-64502-7362</t>
  </si>
  <si>
    <t>SCL-64502-7363</t>
  </si>
  <si>
    <t>SCL-64502-7364</t>
  </si>
  <si>
    <t>SCL-64502-7365</t>
  </si>
  <si>
    <t>SCL-64502-7366</t>
  </si>
  <si>
    <t>SCL-64502-7368</t>
  </si>
  <si>
    <t>SCL-64502-7369</t>
  </si>
  <si>
    <t>SCL-64502-7371</t>
  </si>
  <si>
    <t>SCL-64502-7374</t>
  </si>
  <si>
    <t>SCL-64502-7375</t>
  </si>
  <si>
    <t>SCL-64502-7376</t>
  </si>
  <si>
    <t>SCL-64502-7377</t>
  </si>
  <si>
    <t>SCL-64502-7378</t>
  </si>
  <si>
    <t>SCL-64502-7379</t>
  </si>
  <si>
    <t>SCL-64502-7380</t>
  </si>
  <si>
    <t>SCL-64502-7381</t>
  </si>
  <si>
    <t>SCL-64502-7383</t>
  </si>
  <si>
    <t>SCL-64502-7385</t>
  </si>
  <si>
    <t>SCL-64502-7386</t>
  </si>
  <si>
    <t>SCL-64502-7387</t>
  </si>
  <si>
    <t>SCL-64502-7389</t>
  </si>
  <si>
    <t>SCL-64502-7391</t>
  </si>
  <si>
    <t>SCL-64502-7393</t>
  </si>
  <si>
    <t>SCL-64502-7394</t>
  </si>
  <si>
    <t>SCL-64502-7396</t>
  </si>
  <si>
    <t>SCL-64502-7397</t>
  </si>
  <si>
    <t>SCL-64502-7398</t>
  </si>
  <si>
    <t>SCL-64502-7400</t>
  </si>
  <si>
    <t>SCL-64502-7401</t>
  </si>
  <si>
    <t>SCL-64502-7402</t>
  </si>
  <si>
    <t>SCL-64502-7403</t>
  </si>
  <si>
    <t>SCL-64502-7405</t>
  </si>
  <si>
    <t>SCL-64502-7489</t>
  </si>
  <si>
    <t>SCL-64502-7490</t>
  </si>
  <si>
    <t>SCL-64502-7491</t>
  </si>
  <si>
    <t>SCL-64502-7492</t>
  </si>
  <si>
    <t>SCL-64502-7493</t>
  </si>
  <si>
    <t>SCL-64502-7494</t>
  </si>
  <si>
    <t>SCL-64502-7625</t>
  </si>
  <si>
    <t>SCL-64502-8150</t>
  </si>
  <si>
    <t>SCL-64503-7351</t>
  </si>
  <si>
    <t>SCL-64503-7352</t>
  </si>
  <si>
    <t>SCL-64503-7353</t>
  </si>
  <si>
    <t>SCL-64503-7354</t>
  </si>
  <si>
    <t>SCL-64503-7355</t>
  </si>
  <si>
    <t>SCL-64503-7356</t>
  </si>
  <si>
    <t>SCL-64503-7359</t>
  </si>
  <si>
    <t>SCL-64503-7360</t>
  </si>
  <si>
    <t>SCL-64503-7361</t>
  </si>
  <si>
    <t>SCL-64503-7362</t>
  </si>
  <si>
    <t>SCL-64503-7363</t>
  </si>
  <si>
    <t>SCL-64503-7364</t>
  </si>
  <si>
    <t>SCL-64503-7365</t>
  </si>
  <si>
    <t>SCL-64503-7366</t>
  </si>
  <si>
    <t>SCL-64503-7368</t>
  </si>
  <si>
    <t>SCL-64503-7369</t>
  </si>
  <si>
    <t>SCL-64503-7371</t>
  </si>
  <si>
    <t>SCL-64503-7374</t>
  </si>
  <si>
    <t>SCL-64503-7375</t>
  </si>
  <si>
    <t>SCL-64503-7376</t>
  </si>
  <si>
    <t>SCL-64503-7377</t>
  </si>
  <si>
    <t>SCL-64503-7378</t>
  </si>
  <si>
    <t>SCL-64503-7379</t>
  </si>
  <si>
    <t>SCL-64503-7380</t>
  </si>
  <si>
    <t>SCL-64503-7381</t>
  </si>
  <si>
    <t>SCL-64503-7383</t>
  </si>
  <si>
    <t>SCL-64503-7385</t>
  </si>
  <si>
    <t>SCL-64503-7386</t>
  </si>
  <si>
    <t>SCL-64503-7387</t>
  </si>
  <si>
    <t>SCL-64503-7389</t>
  </si>
  <si>
    <t>SCL-64503-7391</t>
  </si>
  <si>
    <t>SCL-64503-7393</t>
  </si>
  <si>
    <t>SCL-64503-7394</t>
  </si>
  <si>
    <t>SCL-64503-7396</t>
  </si>
  <si>
    <t>SCL-64503-7397</t>
  </si>
  <si>
    <t>SCL-64503-7398</t>
  </si>
  <si>
    <t>SCL-64503-7400</t>
  </si>
  <si>
    <t>SCL-64503-7401</t>
  </si>
  <si>
    <t>SCL-64503-7402</t>
  </si>
  <si>
    <t>SCL-64503-7403</t>
  </si>
  <si>
    <t>SCL-64503-7406</t>
  </si>
  <si>
    <t>SCL-64503-7489</t>
  </si>
  <si>
    <t>SCL-64503-7491</t>
  </si>
  <si>
    <t>SCL-64503-7492</t>
  </si>
  <si>
    <t>SCL-64503-7493</t>
  </si>
  <si>
    <t>SCL-64503-7494</t>
  </si>
  <si>
    <t>SCL-64503-7625</t>
  </si>
  <si>
    <t>SCL-64503-8150</t>
  </si>
  <si>
    <t>SCL-65001-0000</t>
  </si>
  <si>
    <t>SCL-65001-7360</t>
  </si>
  <si>
    <t>SCL-65001-7365</t>
  </si>
  <si>
    <t>SCL-65001-7369</t>
  </si>
  <si>
    <t>SCL-65001-7385</t>
  </si>
  <si>
    <t>SCL-65001-7391</t>
  </si>
  <si>
    <t>SCL-65001-7394</t>
  </si>
  <si>
    <t>SCL-65001-7398</t>
  </si>
  <si>
    <t>SCL-65001-7491</t>
  </si>
  <si>
    <t>SCL-65001-7493</t>
  </si>
  <si>
    <t>SCL-65002-7351</t>
  </si>
  <si>
    <t>SCL-65002-7352</t>
  </si>
  <si>
    <t>SCL-65002-7355</t>
  </si>
  <si>
    <t>SCL-65002-7356</t>
  </si>
  <si>
    <t>SCL-65002-7359</t>
  </si>
  <si>
    <t>SCL-65002-7360</t>
  </si>
  <si>
    <t>SCL-65002-7361</t>
  </si>
  <si>
    <t>SCL-65002-7362</t>
  </si>
  <si>
    <t>SCL-65002-7363</t>
  </si>
  <si>
    <t>SCL-65002-7364</t>
  </si>
  <si>
    <t>SCL-65002-7365</t>
  </si>
  <si>
    <t>SCL-65002-7366</t>
  </si>
  <si>
    <t>SCL-65002-7368</t>
  </si>
  <si>
    <t>SCL-65002-7369</t>
  </si>
  <si>
    <t>SCL-65002-7371</t>
  </si>
  <si>
    <t>SCL-65002-7374</t>
  </si>
  <si>
    <t>SCL-65002-7375</t>
  </si>
  <si>
    <t>SCL-65002-7376</t>
  </si>
  <si>
    <t>SCL-65002-7377</t>
  </si>
  <si>
    <t>SCL-65002-7378</t>
  </si>
  <si>
    <t>SCL-65002-7379</t>
  </si>
  <si>
    <t>SCL-65002-7380</t>
  </si>
  <si>
    <t>SCL-65002-7381</t>
  </si>
  <si>
    <t>SCL-65002-7383</t>
  </si>
  <si>
    <t>SCL-65002-7385</t>
  </si>
  <si>
    <t>SCL-65002-7386</t>
  </si>
  <si>
    <t>SCL-65002-7387</t>
  </si>
  <si>
    <t>SCL-65002-7389</t>
  </si>
  <si>
    <t>SCL-65002-7391</t>
  </si>
  <si>
    <t>SCL-65002-7393</t>
  </si>
  <si>
    <t>SCL-65002-7394</t>
  </si>
  <si>
    <t>SCL-65002-7396</t>
  </si>
  <si>
    <t>SCL-65002-7397</t>
  </si>
  <si>
    <t>SCL-65002-7398</t>
  </si>
  <si>
    <t>SCL-65002-7400</t>
  </si>
  <si>
    <t>SCL-65002-7401</t>
  </si>
  <si>
    <t>SCL-65002-7402</t>
  </si>
  <si>
    <t>SCL-65002-7403</t>
  </si>
  <si>
    <t>SCL-65002-7489</t>
  </si>
  <si>
    <t>SCL-65002-7491</t>
  </si>
  <si>
    <t>SCL-65002-7492</t>
  </si>
  <si>
    <t>SCL-65002-7493</t>
  </si>
  <si>
    <t>SCL-65002-7494</t>
  </si>
  <si>
    <t>SCL-65002-7625</t>
  </si>
  <si>
    <t>SCL-65002-8150</t>
  </si>
  <si>
    <t>SCL-65501-0000</t>
  </si>
  <si>
    <t>SCL-65501-7351</t>
  </si>
  <si>
    <t>SCL-65501-7352</t>
  </si>
  <si>
    <t>SCL-65501-7355</t>
  </si>
  <si>
    <t>SCL-65501-7356</t>
  </si>
  <si>
    <t>SCL-65501-7359</t>
  </si>
  <si>
    <t>SCL-65501-7360</t>
  </si>
  <si>
    <t>SCL-65501-7361</t>
  </si>
  <si>
    <t>SCL-65501-7362</t>
  </si>
  <si>
    <t>SCL-65501-7363</t>
  </si>
  <si>
    <t>SCL-65501-7364</t>
  </si>
  <si>
    <t>SCL-65501-7365</t>
  </si>
  <si>
    <t>SCL-65501-7366</t>
  </si>
  <si>
    <t>SCL-65501-7368</t>
  </si>
  <si>
    <t>SCL-65501-7369</t>
  </si>
  <si>
    <t>SCL-65501-7371</t>
  </si>
  <si>
    <t>SCL-65501-7374</t>
  </si>
  <si>
    <t>SCL-65501-7375</t>
  </si>
  <si>
    <t>SCL-65501-7376</t>
  </si>
  <si>
    <t>SCL-65501-7377</t>
  </si>
  <si>
    <t>SCL-65501-7378</t>
  </si>
  <si>
    <t>SCL-65501-7379</t>
  </si>
  <si>
    <t>SCL-65501-7380</t>
  </si>
  <si>
    <t>SCL-65501-7381</t>
  </si>
  <si>
    <t>SCL-65501-7383</t>
  </si>
  <si>
    <t>SCL-65501-7385</t>
  </si>
  <si>
    <t>SCL-65501-7386</t>
  </si>
  <si>
    <t>SCL-65501-7387</t>
  </si>
  <si>
    <t>SCL-65501-7389</t>
  </si>
  <si>
    <t>SCL-65501-7391</t>
  </si>
  <si>
    <t>SCL-65501-7393</t>
  </si>
  <si>
    <t>SCL-65501-7394</t>
  </si>
  <si>
    <t>SCL-65501-7396</t>
  </si>
  <si>
    <t>SCL-65501-7397</t>
  </si>
  <si>
    <t>SCL-65501-7398</t>
  </si>
  <si>
    <t>SCL-65501-7400</t>
  </si>
  <si>
    <t>SCL-65501-7401</t>
  </si>
  <si>
    <t>SCL-65501-7402</t>
  </si>
  <si>
    <t>SCL-65501-7403</t>
  </si>
  <si>
    <t>SCL-65501-7489</t>
  </si>
  <si>
    <t>SCL-65501-7491</t>
  </si>
  <si>
    <t>SCL-65501-7492</t>
  </si>
  <si>
    <t>SCL-65501-7493</t>
  </si>
  <si>
    <t>SCL-65501-7494</t>
  </si>
  <si>
    <t>SCL-65501-7625</t>
  </si>
  <si>
    <t>SCL-65501-8150</t>
  </si>
  <si>
    <t>SCL-66001-7351</t>
  </si>
  <si>
    <t>SCL-66001-7355</t>
  </si>
  <si>
    <t>SCL-66001-7356</t>
  </si>
  <si>
    <t>SCL-66001-7359</t>
  </si>
  <si>
    <t>SCL-66001-7360</t>
  </si>
  <si>
    <t>SCL-66001-7361</t>
  </si>
  <si>
    <t>SCL-66001-7362</t>
  </si>
  <si>
    <t>SCL-66001-7363</t>
  </si>
  <si>
    <t>SCL-66001-7364</t>
  </si>
  <si>
    <t>SCL-66001-7365</t>
  </si>
  <si>
    <t>SCL-66001-7366</t>
  </si>
  <si>
    <t>SCL-66001-7368</t>
  </si>
  <si>
    <t>SCL-66001-7369</t>
  </si>
  <si>
    <t>SCL-66001-7371</t>
  </si>
  <si>
    <t>SCL-66001-7374</t>
  </si>
  <si>
    <t>SCL-66001-7375</t>
  </si>
  <si>
    <t>SCL-66001-7376</t>
  </si>
  <si>
    <t>SCL-66001-7377</t>
  </si>
  <si>
    <t>SCL-66001-7378</t>
  </si>
  <si>
    <t>SCL-66001-7379</t>
  </si>
  <si>
    <t>SCL-66001-7380</t>
  </si>
  <si>
    <t>SCL-66001-7381</t>
  </si>
  <si>
    <t>SCL-66001-7383</t>
  </si>
  <si>
    <t>SCL-66001-7385</t>
  </si>
  <si>
    <t>SCL-66001-7386</t>
  </si>
  <si>
    <t>SCL-66001-7387</t>
  </si>
  <si>
    <t>SCL-66001-7389</t>
  </si>
  <si>
    <t>SCL-66001-7391</t>
  </si>
  <si>
    <t>SCL-66001-7393</t>
  </si>
  <si>
    <t>SCL-66001-7394</t>
  </si>
  <si>
    <t>SCL-66001-7396</t>
  </si>
  <si>
    <t>SCL-66001-7397</t>
  </si>
  <si>
    <t>SCL-66001-7398</t>
  </si>
  <si>
    <t>SCL-66001-7400</t>
  </si>
  <si>
    <t>SCL-66001-7401</t>
  </si>
  <si>
    <t>SCL-66001-7403</t>
  </si>
  <si>
    <t>SCL-66001-7489</t>
  </si>
  <si>
    <t>SCL-66001-7491</t>
  </si>
  <si>
    <t>SCL-66001-7492</t>
  </si>
  <si>
    <t>SCL-66001-7493</t>
  </si>
  <si>
    <t>SCL-66001-7494</t>
  </si>
  <si>
    <t>SCL-66001-7625</t>
  </si>
  <si>
    <t>SCL-66001-8150</t>
  </si>
  <si>
    <t>SCL-66002-7389</t>
  </si>
  <si>
    <t>SCL-66002-7397</t>
  </si>
  <si>
    <t>SCL-66501-7351</t>
  </si>
  <si>
    <t>SCL-66501-7352</t>
  </si>
  <si>
    <t>SCL-66501-7355</t>
  </si>
  <si>
    <t>SCL-66501-7356</t>
  </si>
  <si>
    <t>SCL-66501-7359</t>
  </si>
  <si>
    <t>SCL-66501-7360</t>
  </si>
  <si>
    <t>SCL-66501-7361</t>
  </si>
  <si>
    <t>SCL-66501-7362</t>
  </si>
  <si>
    <t>SCL-66501-7363</t>
  </si>
  <si>
    <t>SCL-66501-7364</t>
  </si>
  <si>
    <t>SCL-66501-7365</t>
  </si>
  <si>
    <t>SCL-66501-7366</t>
  </si>
  <si>
    <t>SCL-66501-7368</t>
  </si>
  <si>
    <t>SCL-66501-7369</t>
  </si>
  <si>
    <t>SCL-66501-7371</t>
  </si>
  <si>
    <t>SCL-66501-7374</t>
  </si>
  <si>
    <t>SCL-66501-7375</t>
  </si>
  <si>
    <t>SCL-66501-7376</t>
  </si>
  <si>
    <t>SCL-66501-7377</t>
  </si>
  <si>
    <t>SCL-66501-7378</t>
  </si>
  <si>
    <t>SCL-66501-7379</t>
  </si>
  <si>
    <t>SCL-66501-7380</t>
  </si>
  <si>
    <t>SCL-66501-7381</t>
  </si>
  <si>
    <t>SCL-66501-7383</t>
  </si>
  <si>
    <t>SCL-66501-7385</t>
  </si>
  <si>
    <t>SCL-66501-7386</t>
  </si>
  <si>
    <t>SCL-66501-7387</t>
  </si>
  <si>
    <t>SCL-66501-7389</t>
  </si>
  <si>
    <t>SCL-66501-7391</t>
  </si>
  <si>
    <t>SCL-66501-7393</t>
  </si>
  <si>
    <t>SCL-66501-7394</t>
  </si>
  <si>
    <t>SCL-66501-7396</t>
  </si>
  <si>
    <t>SCL-66501-7397</t>
  </si>
  <si>
    <t>SCL-66501-7398</t>
  </si>
  <si>
    <t>SCL-66501-7400</t>
  </si>
  <si>
    <t>SCL-66501-7401</t>
  </si>
  <si>
    <t>SCL-66501-7402</t>
  </si>
  <si>
    <t>SCL-66501-7403</t>
  </si>
  <si>
    <t>SCL-66501-7489</t>
  </si>
  <si>
    <t>SCL-66501-7491</t>
  </si>
  <si>
    <t>SCL-66501-7492</t>
  </si>
  <si>
    <t>SCL-66501-7493</t>
  </si>
  <si>
    <t>SCL-66501-7494</t>
  </si>
  <si>
    <t>SCL-66501-7625</t>
  </si>
  <si>
    <t>SCL-66501-8150</t>
  </si>
  <si>
    <t>SCL-66502-0000</t>
  </si>
  <si>
    <t>Promotions- Other</t>
  </si>
  <si>
    <t xml:space="preserve">Promotions - Other                                 </t>
  </si>
  <si>
    <t>SCL-66502-7352</t>
  </si>
  <si>
    <t>SCL-66502-7396</t>
  </si>
  <si>
    <t>SCL-66701-7351</t>
  </si>
  <si>
    <t>SCL-66701-7352</t>
  </si>
  <si>
    <t>SCL-66701-7355</t>
  </si>
  <si>
    <t>SCL-66701-7356</t>
  </si>
  <si>
    <t>SCL-66701-7359</t>
  </si>
  <si>
    <t>SCL-66701-7360</t>
  </si>
  <si>
    <t>SCL-66701-7361</t>
  </si>
  <si>
    <t>SCL-66701-7362</t>
  </si>
  <si>
    <t>SCL-66701-7363</t>
  </si>
  <si>
    <t>SCL-66701-7364</t>
  </si>
  <si>
    <t>SCL-66701-7365</t>
  </si>
  <si>
    <t>SCL-66701-7366</t>
  </si>
  <si>
    <t>SCL-66701-7368</t>
  </si>
  <si>
    <t>SCL-66701-7369</t>
  </si>
  <si>
    <t>SCL-66701-7371</t>
  </si>
  <si>
    <t>SCL-66701-7374</t>
  </si>
  <si>
    <t>SCL-66701-7375</t>
  </si>
  <si>
    <t>SCL-66701-7376</t>
  </si>
  <si>
    <t>SCL-66701-7377</t>
  </si>
  <si>
    <t>SCL-66701-7378</t>
  </si>
  <si>
    <t>SCL-66701-7379</t>
  </si>
  <si>
    <t>SCL-66701-7380</t>
  </si>
  <si>
    <t>SCL-66701-7381</t>
  </si>
  <si>
    <t>SCL-66701-7383</t>
  </si>
  <si>
    <t>SCL-66701-7385</t>
  </si>
  <si>
    <t>SCL-66701-7386</t>
  </si>
  <si>
    <t>SCL-66701-7387</t>
  </si>
  <si>
    <t>SCL-66701-7389</t>
  </si>
  <si>
    <t>SCL-66701-7391</t>
  </si>
  <si>
    <t>SCL-66701-7393</t>
  </si>
  <si>
    <t>SCL-66701-7394</t>
  </si>
  <si>
    <t>SCL-66701-7396</t>
  </si>
  <si>
    <t>SCL-66701-7397</t>
  </si>
  <si>
    <t>SCL-66701-7398</t>
  </si>
  <si>
    <t>SCL-66701-7400</t>
  </si>
  <si>
    <t>SCL-66701-7401</t>
  </si>
  <si>
    <t>SCL-66701-7402</t>
  </si>
  <si>
    <t>SCL-66701-7403</t>
  </si>
  <si>
    <t>SCL-66701-7489</t>
  </si>
  <si>
    <t>SCL-66701-7491</t>
  </si>
  <si>
    <t>SCL-66701-7492</t>
  </si>
  <si>
    <t>SCL-66701-7493</t>
  </si>
  <si>
    <t>SCL-66701-7494</t>
  </si>
  <si>
    <t>SCL-66701-7625</t>
  </si>
  <si>
    <t>SCL-66701-8150</t>
  </si>
  <si>
    <t>SCL-67001-7351</t>
  </si>
  <si>
    <t>SCL-67001-7352</t>
  </si>
  <si>
    <t>SCL-67001-7355</t>
  </si>
  <si>
    <t>SCL-67001-7356</t>
  </si>
  <si>
    <t>SCL-67001-7359</t>
  </si>
  <si>
    <t>SCL-67001-7360</t>
  </si>
  <si>
    <t>SCL-67001-7361</t>
  </si>
  <si>
    <t>SCL-67001-7362</t>
  </si>
  <si>
    <t>SCL-67001-7363</t>
  </si>
  <si>
    <t>SCL-67001-7364</t>
  </si>
  <si>
    <t>SCL-67001-7365</t>
  </si>
  <si>
    <t>SCL-67001-7366</t>
  </si>
  <si>
    <t>SCL-67001-7368</t>
  </si>
  <si>
    <t>SCL-67001-7369</t>
  </si>
  <si>
    <t>SCL-67001-7371</t>
  </si>
  <si>
    <t>SCL-67001-7374</t>
  </si>
  <si>
    <t>SCL-67001-7375</t>
  </si>
  <si>
    <t>SCL-67001-7376</t>
  </si>
  <si>
    <t>SCL-67001-7377</t>
  </si>
  <si>
    <t>SCL-67001-7378</t>
  </si>
  <si>
    <t>SCL-67001-7379</t>
  </si>
  <si>
    <t>SCL-67001-7380</t>
  </si>
  <si>
    <t>SCL-67001-7381</t>
  </si>
  <si>
    <t>SCL-67001-7383</t>
  </si>
  <si>
    <t>SCL-67001-7385</t>
  </si>
  <si>
    <t>SCL-67001-7386</t>
  </si>
  <si>
    <t>SCL-67001-7387</t>
  </si>
  <si>
    <t>SCL-67001-7389</t>
  </si>
  <si>
    <t>SCL-67001-7391</t>
  </si>
  <si>
    <t>SCL-67001-7393</t>
  </si>
  <si>
    <t>SCL-67001-7394</t>
  </si>
  <si>
    <t>SCL-67001-7396</t>
  </si>
  <si>
    <t>SCL-67001-7397</t>
  </si>
  <si>
    <t>SCL-67001-7398</t>
  </si>
  <si>
    <t>SCL-67001-7400</t>
  </si>
  <si>
    <t>SCL-67001-7401</t>
  </si>
  <si>
    <t>SCL-67001-7402</t>
  </si>
  <si>
    <t>SCL-67001-7403</t>
  </si>
  <si>
    <t>SCL-67001-7489</t>
  </si>
  <si>
    <t>SCL-67001-7491</t>
  </si>
  <si>
    <t>SCL-67001-7492</t>
  </si>
  <si>
    <t>SCL-67001-7493</t>
  </si>
  <si>
    <t>SCL-67001-7494</t>
  </si>
  <si>
    <t>SCL-67001-7625</t>
  </si>
  <si>
    <t>SCL-67001-8150</t>
  </si>
  <si>
    <t>SCL-67501-7351</t>
  </si>
  <si>
    <t>SCL-67501-7352</t>
  </si>
  <si>
    <t>SCL-67501-7355</t>
  </si>
  <si>
    <t>SCL-67501-7356</t>
  </si>
  <si>
    <t>SCL-67501-7359</t>
  </si>
  <si>
    <t>SCL-67501-7360</t>
  </si>
  <si>
    <t>SCL-67501-7361</t>
  </si>
  <si>
    <t>SCL-67501-7362</t>
  </si>
  <si>
    <t>SCL-67501-7363</t>
  </si>
  <si>
    <t>SCL-67501-7364</t>
  </si>
  <si>
    <t>SCL-67501-7365</t>
  </si>
  <si>
    <t>SCL-67501-7366</t>
  </si>
  <si>
    <t>SCL-67501-7368</t>
  </si>
  <si>
    <t>SCL-67501-7369</t>
  </si>
  <si>
    <t>SCL-67501-7371</t>
  </si>
  <si>
    <t>SCL-67501-7374</t>
  </si>
  <si>
    <t>SCL-67501-7375</t>
  </si>
  <si>
    <t>SCL-67501-7376</t>
  </si>
  <si>
    <t>SCL-67501-7377</t>
  </si>
  <si>
    <t>SCL-67501-7378</t>
  </si>
  <si>
    <t>SCL-67501-7379</t>
  </si>
  <si>
    <t>SCL-67501-7380</t>
  </si>
  <si>
    <t>SCL-67501-7381</t>
  </si>
  <si>
    <t>SCL-67501-7383</t>
  </si>
  <si>
    <t>SCL-67501-7385</t>
  </si>
  <si>
    <t>SCL-67501-7386</t>
  </si>
  <si>
    <t>SCL-67501-7387</t>
  </si>
  <si>
    <t>SCL-67501-7389</t>
  </si>
  <si>
    <t>SCL-67501-7391</t>
  </si>
  <si>
    <t>SCL-67501-7393</t>
  </si>
  <si>
    <t>SCL-67501-7394</t>
  </si>
  <si>
    <t>SCL-67501-7396</t>
  </si>
  <si>
    <t>SCL-67501-7397</t>
  </si>
  <si>
    <t>SCL-67501-7398</t>
  </si>
  <si>
    <t>SCL-67501-7400</t>
  </si>
  <si>
    <t>SCL-67501-7401</t>
  </si>
  <si>
    <t>SCL-67501-7402</t>
  </si>
  <si>
    <t>SCL-67501-7403</t>
  </si>
  <si>
    <t>SCL-67501-7489</t>
  </si>
  <si>
    <t>SCL-67501-7491</t>
  </si>
  <si>
    <t>SCL-67501-7492</t>
  </si>
  <si>
    <t>SCL-67501-7493</t>
  </si>
  <si>
    <t>SCL-67501-7494</t>
  </si>
  <si>
    <t>SCL-67501-7625</t>
  </si>
  <si>
    <t>SCL-67501-8150</t>
  </si>
  <si>
    <t>SCL-68000-7351</t>
  </si>
  <si>
    <t>SCL-68000-7352</t>
  </si>
  <si>
    <t>SCL-68000-7355</t>
  </si>
  <si>
    <t>SCL-68000-7359</t>
  </si>
  <si>
    <t>SCL-68000-7360</t>
  </si>
  <si>
    <t>SCL-68000-7361</t>
  </si>
  <si>
    <t>SCL-68000-7362</t>
  </si>
  <si>
    <t>SCL-68000-7363</t>
  </si>
  <si>
    <t>SCL-68000-7364</t>
  </si>
  <si>
    <t>SCL-68000-7365</t>
  </si>
  <si>
    <t>SCL-68000-7366</t>
  </si>
  <si>
    <t>SCL-68000-7368</t>
  </si>
  <si>
    <t>SCL-68000-7369</t>
  </si>
  <si>
    <t>SCL-68000-7371</t>
  </si>
  <si>
    <t>SCL-68000-7374</t>
  </si>
  <si>
    <t>SCL-68000-7375</t>
  </si>
  <si>
    <t>SCL-68000-7376</t>
  </si>
  <si>
    <t>SCL-68000-7377</t>
  </si>
  <si>
    <t>SCL-68000-7378</t>
  </si>
  <si>
    <t>SCL-68000-7379</t>
  </si>
  <si>
    <t>SCL-68000-7380</t>
  </si>
  <si>
    <t>SCL-68000-7381</t>
  </si>
  <si>
    <t>SCL-68000-7383</t>
  </si>
  <si>
    <t>SCL-68000-7385</t>
  </si>
  <si>
    <t>SCL-68000-7386</t>
  </si>
  <si>
    <t>SCL-68000-7387</t>
  </si>
  <si>
    <t>SCL-68000-7389</t>
  </si>
  <si>
    <t>SCL-68000-7391</t>
  </si>
  <si>
    <t>SCL-68000-7393</t>
  </si>
  <si>
    <t>SCL-68000-7394</t>
  </si>
  <si>
    <t>SCL-68000-7396</t>
  </si>
  <si>
    <t>SCL-68000-7397</t>
  </si>
  <si>
    <t>SCL-68000-7398</t>
  </si>
  <si>
    <t>SCL-68000-7400</t>
  </si>
  <si>
    <t>SCL-68000-7401</t>
  </si>
  <si>
    <t>SCL-68000-7402</t>
  </si>
  <si>
    <t>SCL-68000-7403</t>
  </si>
  <si>
    <t>SCL-68000-7489</t>
  </si>
  <si>
    <t>SCL-68000-7491</t>
  </si>
  <si>
    <t>SCL-68000-7492</t>
  </si>
  <si>
    <t>SCL-68000-7493</t>
  </si>
  <si>
    <t>SCL-68000-7494</t>
  </si>
  <si>
    <t>SCL-68000-7625</t>
  </si>
  <si>
    <t>SCL-68000-8150</t>
  </si>
  <si>
    <t>SCL-68001-7351</t>
  </si>
  <si>
    <t>SCL-68001-7352</t>
  </si>
  <si>
    <t>SCL-68001-7355</t>
  </si>
  <si>
    <t>SCL-68001-7356</t>
  </si>
  <si>
    <t>SCL-68001-7359</t>
  </si>
  <si>
    <t>SCL-68001-7360</t>
  </si>
  <si>
    <t>SCL-68001-7361</t>
  </si>
  <si>
    <t>SCL-68001-7362</t>
  </si>
  <si>
    <t>SCL-68001-7363</t>
  </si>
  <si>
    <t>SCL-68001-7364</t>
  </si>
  <si>
    <t>SCL-68001-7365</t>
  </si>
  <si>
    <t>SCL-68001-7366</t>
  </si>
  <si>
    <t>SCL-68001-7368</t>
  </si>
  <si>
    <t>SCL-68001-7369</t>
  </si>
  <si>
    <t>SCL-68001-7371</t>
  </si>
  <si>
    <t>SCL-68001-7374</t>
  </si>
  <si>
    <t>SCL-68001-7375</t>
  </si>
  <si>
    <t>SCL-68001-7376</t>
  </si>
  <si>
    <t>SCL-68001-7377</t>
  </si>
  <si>
    <t>SCL-68001-7378</t>
  </si>
  <si>
    <t>SCL-68001-7379</t>
  </si>
  <si>
    <t>SCL-68001-7380</t>
  </si>
  <si>
    <t>SCL-68001-7381</t>
  </si>
  <si>
    <t>SCL-68001-7383</t>
  </si>
  <si>
    <t>SCL-68001-7385</t>
  </si>
  <si>
    <t>SCL-68001-7386</t>
  </si>
  <si>
    <t>SCL-68001-7387</t>
  </si>
  <si>
    <t>SCL-68001-7389</t>
  </si>
  <si>
    <t>SCL-68001-7391</t>
  </si>
  <si>
    <t>SCL-68001-7393</t>
  </si>
  <si>
    <t>SCL-68001-7394</t>
  </si>
  <si>
    <t>SCL-68001-7396</t>
  </si>
  <si>
    <t>SCL-68001-7397</t>
  </si>
  <si>
    <t>SCL-68001-7398</t>
  </si>
  <si>
    <t>SCL-68001-7400</t>
  </si>
  <si>
    <t>SCL-68001-7401</t>
  </si>
  <si>
    <t>SCL-68001-7402</t>
  </si>
  <si>
    <t>SCL-68001-7403</t>
  </si>
  <si>
    <t>SCL-68001-7489</t>
  </si>
  <si>
    <t>SCL-68001-7491</t>
  </si>
  <si>
    <t>SCL-68001-7492</t>
  </si>
  <si>
    <t>SCL-68001-7493</t>
  </si>
  <si>
    <t>SCL-68001-7494</t>
  </si>
  <si>
    <t>SCL-68001-7625</t>
  </si>
  <si>
    <t>SCL-68001-8150</t>
  </si>
  <si>
    <t>SCL-70001-7351</t>
  </si>
  <si>
    <t>SCL-70001-7356</t>
  </si>
  <si>
    <t>SCL-70001-7359</t>
  </si>
  <si>
    <t>SCL-70001-7360</t>
  </si>
  <si>
    <t>SCL-70001-7362</t>
  </si>
  <si>
    <t>SCL-70001-7363</t>
  </si>
  <si>
    <t>SCL-70001-7364</t>
  </si>
  <si>
    <t>SCL-70001-7366</t>
  </si>
  <si>
    <t>SCL-70001-7369</t>
  </si>
  <si>
    <t>SCL-70001-7371</t>
  </si>
  <si>
    <t>SCL-70001-7374</t>
  </si>
  <si>
    <t>SCL-70001-7375</t>
  </si>
  <si>
    <t>SCL-70001-7376</t>
  </si>
  <si>
    <t>SCL-70001-7377</t>
  </si>
  <si>
    <t>SCL-70001-7378</t>
  </si>
  <si>
    <t>SCL-70001-7379</t>
  </si>
  <si>
    <t>SCL-70001-7380</t>
  </si>
  <si>
    <t>SCL-70001-7381</t>
  </si>
  <si>
    <t>SCL-70001-7383</t>
  </si>
  <si>
    <t>SCL-70001-7385</t>
  </si>
  <si>
    <t>SCL-70001-7386</t>
  </si>
  <si>
    <t>SCL-70001-7387</t>
  </si>
  <si>
    <t>SCL-70001-7389</t>
  </si>
  <si>
    <t>SCL-70001-7391</t>
  </si>
  <si>
    <t>SCL-70001-7393</t>
  </si>
  <si>
    <t>SCL-70001-7394</t>
  </si>
  <si>
    <t>SCL-70001-7396</t>
  </si>
  <si>
    <t>SCL-70001-7397</t>
  </si>
  <si>
    <t>SCL-70001-7398</t>
  </si>
  <si>
    <t>SCL-70001-7401</t>
  </si>
  <si>
    <t>SCL-70001-7402</t>
  </si>
  <si>
    <t>SCL-70001-7403</t>
  </si>
  <si>
    <t>SCL-70001-7491</t>
  </si>
  <si>
    <t>SCL-70001-7492</t>
  </si>
  <si>
    <t>SCL-70002-7352</t>
  </si>
  <si>
    <t>SCL-70002-7355</t>
  </si>
  <si>
    <t>SCL-70002-7361</t>
  </si>
  <si>
    <t>SCL-70002-7364</t>
  </si>
  <si>
    <t>SCL-70002-7365</t>
  </si>
  <si>
    <t>SCL-70002-7368</t>
  </si>
  <si>
    <t>SCL-70002-7400</t>
  </si>
  <si>
    <t>SCL-70002-7489</t>
  </si>
  <si>
    <t>SCL-70002-7493</t>
  </si>
  <si>
    <t>SCL-70002-7494</t>
  </si>
  <si>
    <t>SCL-70002-7625</t>
  </si>
  <si>
    <t>SCL-70002-8150</t>
  </si>
  <si>
    <t>SCL-70010-7359</t>
  </si>
  <si>
    <t>SCL-70010-7376</t>
  </si>
  <si>
    <t>SCL-70010-7402</t>
  </si>
  <si>
    <t>SCL-71001-7351</t>
  </si>
  <si>
    <t>SCL-71001-7360</t>
  </si>
  <si>
    <t>SCL-71001-7362</t>
  </si>
  <si>
    <t>SCL-71001-7363</t>
  </si>
  <si>
    <t>SCL-71001-7366</t>
  </si>
  <si>
    <t>SCL-71001-7369</t>
  </si>
  <si>
    <t>SCL-71001-7371</t>
  </si>
  <si>
    <t>SCL-71001-7374</t>
  </si>
  <si>
    <t>SCL-71001-7375</t>
  </si>
  <si>
    <t>SCL-71001-7376</t>
  </si>
  <si>
    <t>SCL-71001-7377</t>
  </si>
  <si>
    <t>SCL-71001-7378</t>
  </si>
  <si>
    <t>SCL-71001-7379</t>
  </si>
  <si>
    <t>SCL-71001-7381</t>
  </si>
  <si>
    <t>SCL-71001-7383</t>
  </si>
  <si>
    <t>SCL-71001-7385</t>
  </si>
  <si>
    <t>SCL-71001-7386</t>
  </si>
  <si>
    <t>SCL-71001-7387</t>
  </si>
  <si>
    <t>SCL-71001-7389</t>
  </si>
  <si>
    <t>SCL-71001-7391</t>
  </si>
  <si>
    <t>SCL-71001-7393</t>
  </si>
  <si>
    <t>SCL-71001-7394</t>
  </si>
  <si>
    <t>SCL-71001-7396</t>
  </si>
  <si>
    <t>SCL-71001-7398</t>
  </si>
  <si>
    <t>SCL-71001-7401</t>
  </si>
  <si>
    <t>SCL-71001-7402</t>
  </si>
  <si>
    <t>SCL-71001-7403</t>
  </si>
  <si>
    <t>SCL-71001-7491</t>
  </si>
  <si>
    <t>SCL-71001-7492</t>
  </si>
  <si>
    <t>SCL-71001-7493</t>
  </si>
  <si>
    <t>SCL-71001-7494</t>
  </si>
  <si>
    <t>SCL-72001-7351</t>
  </si>
  <si>
    <t>SCL-72001-7352</t>
  </si>
  <si>
    <t>SCL-72001-7355</t>
  </si>
  <si>
    <t>SCL-72001-7356</t>
  </si>
  <si>
    <t>SCL-72001-7359</t>
  </si>
  <si>
    <t>SCL-72001-7360</t>
  </si>
  <si>
    <t>SCL-72001-7361</t>
  </si>
  <si>
    <t>SCL-72001-7362</t>
  </si>
  <si>
    <t>SCL-72001-7363</t>
  </si>
  <si>
    <t>SCL-72001-7364</t>
  </si>
  <si>
    <t>SCL-72001-7365</t>
  </si>
  <si>
    <t>SCL-72001-7366</t>
  </si>
  <si>
    <t>SCL-72001-7368</t>
  </si>
  <si>
    <t>SCL-72001-7369</t>
  </si>
  <si>
    <t>SCL-72001-7371</t>
  </si>
  <si>
    <t>SCL-72001-7374</t>
  </si>
  <si>
    <t>SCL-72001-7375</t>
  </si>
  <si>
    <t>SCL-72001-7376</t>
  </si>
  <si>
    <t>SCL-72001-7377</t>
  </si>
  <si>
    <t>SCL-72001-7378</t>
  </si>
  <si>
    <t>SCL-72001-7379</t>
  </si>
  <si>
    <t>SCL-72001-7380</t>
  </si>
  <si>
    <t>SCL-72001-7381</t>
  </si>
  <si>
    <t>SCL-72001-7383</t>
  </si>
  <si>
    <t>SCL-72001-7385</t>
  </si>
  <si>
    <t>SCL-72001-7386</t>
  </si>
  <si>
    <t>SCL-72001-7387</t>
  </si>
  <si>
    <t>SCL-72001-7389</t>
  </si>
  <si>
    <t>SCL-72001-7391</t>
  </si>
  <si>
    <t>SCL-72001-7393</t>
  </si>
  <si>
    <t>SCL-72001-7394</t>
  </si>
  <si>
    <t>SCL-72001-7396</t>
  </si>
  <si>
    <t>SCL-72001-7397</t>
  </si>
  <si>
    <t>SCL-72001-7398</t>
  </si>
  <si>
    <t>SCL-72001-7400</t>
  </si>
  <si>
    <t>SCL-72001-7401</t>
  </si>
  <si>
    <t>SCL-72001-7402</t>
  </si>
  <si>
    <t>SCL-72001-7403</t>
  </si>
  <si>
    <t>SCL-72001-7489</t>
  </si>
  <si>
    <t>SCL-72001-7491</t>
  </si>
  <si>
    <t>SCL-72001-7492</t>
  </si>
  <si>
    <t>SCL-72001-7493</t>
  </si>
  <si>
    <t>SCL-72001-7494</t>
  </si>
  <si>
    <t>SCL-72001-7625</t>
  </si>
  <si>
    <t>SCL-72001-8150</t>
  </si>
  <si>
    <t>SCL-73001-7374</t>
  </si>
  <si>
    <t>SCL-73001-7386</t>
  </si>
  <si>
    <t>SCL-73001-7387</t>
  </si>
  <si>
    <t>SCL-73001-7403</t>
  </si>
  <si>
    <t>SCL-74001-0000</t>
  </si>
  <si>
    <t>SCL-74001-7351</t>
  </si>
  <si>
    <t>SCL-74001-7352</t>
  </si>
  <si>
    <t>SCL-74001-7355</t>
  </si>
  <si>
    <t>SCL-74001-7356</t>
  </si>
  <si>
    <t>SCL-74001-7359</t>
  </si>
  <si>
    <t>SCL-74001-7360</t>
  </si>
  <si>
    <t>SCL-74001-7361</t>
  </si>
  <si>
    <t>SCL-74001-7362</t>
  </si>
  <si>
    <t>SCL-74001-7363</t>
  </si>
  <si>
    <t>SCL-74001-7364</t>
  </si>
  <si>
    <t>SCL-74001-7365</t>
  </si>
  <si>
    <t>SCL-74001-7366</t>
  </si>
  <si>
    <t>SCL-74001-7368</t>
  </si>
  <si>
    <t>SCL-74001-7369</t>
  </si>
  <si>
    <t>SCL-74001-7371</t>
  </si>
  <si>
    <t>SCL-74001-7374</t>
  </si>
  <si>
    <t>SCL-74001-7375</t>
  </si>
  <si>
    <t>SCL-74001-7376</t>
  </si>
  <si>
    <t>SCL-74001-7377</t>
  </si>
  <si>
    <t>SCL-74001-7378</t>
  </si>
  <si>
    <t>SCL-74001-7379</t>
  </si>
  <si>
    <t>SCL-74001-7380</t>
  </si>
  <si>
    <t>SCL-74001-7381</t>
  </si>
  <si>
    <t>SCL-74001-7383</t>
  </si>
  <si>
    <t>SCL-74001-7385</t>
  </si>
  <si>
    <t>SCL-74001-7386</t>
  </si>
  <si>
    <t>SCL-74001-7387</t>
  </si>
  <si>
    <t>SCL-74001-7389</t>
  </si>
  <si>
    <t>SCL-74001-7391</t>
  </si>
  <si>
    <t>SCL-74001-7393</t>
  </si>
  <si>
    <t>SCL-74001-7394</t>
  </si>
  <si>
    <t>SCL-74001-7396</t>
  </si>
  <si>
    <t>SCL-74001-7397</t>
  </si>
  <si>
    <t>SCL-74001-7398</t>
  </si>
  <si>
    <t>SCL-74001-7400</t>
  </si>
  <si>
    <t>SCL-74001-7401</t>
  </si>
  <si>
    <t>SCL-74001-7402</t>
  </si>
  <si>
    <t>SCL-74001-7403</t>
  </si>
  <si>
    <t>SCL-74001-7489</t>
  </si>
  <si>
    <t>SCL-74001-7491</t>
  </si>
  <si>
    <t>SCL-74001-7492</t>
  </si>
  <si>
    <t>SCL-74001-7493</t>
  </si>
  <si>
    <t>SCL-74001-7494</t>
  </si>
  <si>
    <t>SCL-74001-7625</t>
  </si>
  <si>
    <t>SCL-74001-8150</t>
  </si>
  <si>
    <t>SCL-75001-0000</t>
  </si>
  <si>
    <t>SCL-75001-7351</t>
  </si>
  <si>
    <t>SCL-75001-7352</t>
  </si>
  <si>
    <t>SCL-75001-7355</t>
  </si>
  <si>
    <t>SCL-75001-7356</t>
  </si>
  <si>
    <t>SCL-75001-7359</t>
  </si>
  <si>
    <t>SCL-75001-7360</t>
  </si>
  <si>
    <t>SCL-75001-7361</t>
  </si>
  <si>
    <t>SCL-75001-7362</t>
  </si>
  <si>
    <t>SCL-75001-7363</t>
  </si>
  <si>
    <t>SCL-75001-7364</t>
  </si>
  <si>
    <t>SCL-75001-7365</t>
  </si>
  <si>
    <t>SCL-75001-7366</t>
  </si>
  <si>
    <t>SCL-75001-7368</t>
  </si>
  <si>
    <t>SCL-75001-7369</t>
  </si>
  <si>
    <t>SCL-75001-7371</t>
  </si>
  <si>
    <t>SCL-75001-7374</t>
  </si>
  <si>
    <t>SCL-75001-7375</t>
  </si>
  <si>
    <t>SCL-75001-7376</t>
  </si>
  <si>
    <t>SCL-75001-7377</t>
  </si>
  <si>
    <t>SCL-75001-7378</t>
  </si>
  <si>
    <t>SCL-75001-7379</t>
  </si>
  <si>
    <t>SCL-75001-7380</t>
  </si>
  <si>
    <t>SCL-75001-7381</t>
  </si>
  <si>
    <t>SCL-75001-7383</t>
  </si>
  <si>
    <t>SCL-75001-7385</t>
  </si>
  <si>
    <t>SCL-75001-7386</t>
  </si>
  <si>
    <t>SCL-75001-7387</t>
  </si>
  <si>
    <t>SCL-75001-7389</t>
  </si>
  <si>
    <t>SCL-75001-7391</t>
  </si>
  <si>
    <t>SCL-75001-7393</t>
  </si>
  <si>
    <t>SCL-75001-7394</t>
  </si>
  <si>
    <t>SCL-75001-7396</t>
  </si>
  <si>
    <t>SCL-75001-7397</t>
  </si>
  <si>
    <t>SCL-75001-7398</t>
  </si>
  <si>
    <t>SCL-75001-7400</t>
  </si>
  <si>
    <t>SCL-75001-7401</t>
  </si>
  <si>
    <t>SCL-75001-7402</t>
  </si>
  <si>
    <t>SCL-75001-7403</t>
  </si>
  <si>
    <t>SCL-75001-7489</t>
  </si>
  <si>
    <t>SCL-75001-7491</t>
  </si>
  <si>
    <t>SCL-75001-7492</t>
  </si>
  <si>
    <t>SCL-75001-7493</t>
  </si>
  <si>
    <t>SCL-75001-7494</t>
  </si>
  <si>
    <t>SCL-75001-7625</t>
  </si>
  <si>
    <t>SCL-75001-8150</t>
  </si>
  <si>
    <t>SCL-80001-7351</t>
  </si>
  <si>
    <t>SCL-80001-7352</t>
  </si>
  <si>
    <t>SCL-80001-7355</t>
  </si>
  <si>
    <t>SCL-80001-7356</t>
  </si>
  <si>
    <t>SCL-80001-7359</t>
  </si>
  <si>
    <t>SCL-80001-7360</t>
  </si>
  <si>
    <t>SCL-80001-7361</t>
  </si>
  <si>
    <t>SCL-80001-7362</t>
  </si>
  <si>
    <t>SCL-80001-7363</t>
  </si>
  <si>
    <t>SCL-80001-7364</t>
  </si>
  <si>
    <t>SCL-80001-7365</t>
  </si>
  <si>
    <t>SCL-80001-7366</t>
  </si>
  <si>
    <t>SCL-80001-7368</t>
  </si>
  <si>
    <t>SCL-80001-7369</t>
  </si>
  <si>
    <t>SCL-80001-7370</t>
  </si>
  <si>
    <t>SCL-80001-7371</t>
  </si>
  <si>
    <t>SCL-80001-7374</t>
  </si>
  <si>
    <t>SCL-80001-7375</t>
  </si>
  <si>
    <t>SCL-80001-7376</t>
  </si>
  <si>
    <t>SCL-80001-7377</t>
  </si>
  <si>
    <t>SCL-80001-7378</t>
  </si>
  <si>
    <t>SCL-80001-7379</t>
  </si>
  <si>
    <t>SCL-80001-7380</t>
  </si>
  <si>
    <t>SCL-80001-7381</t>
  </si>
  <si>
    <t>SCL-80001-7383</t>
  </si>
  <si>
    <t>SCL-80001-7385</t>
  </si>
  <si>
    <t>SCL-80001-7386</t>
  </si>
  <si>
    <t>SCL-80001-7387</t>
  </si>
  <si>
    <t>SCL-80001-7388</t>
  </si>
  <si>
    <t>SCL-80001-7389</t>
  </si>
  <si>
    <t>SCL-80001-7391</t>
  </si>
  <si>
    <t>SCL-80001-7393</t>
  </si>
  <si>
    <t>SCL-80001-7394</t>
  </si>
  <si>
    <t>SCL-80001-7396</t>
  </si>
  <si>
    <t>SCL-80001-7397</t>
  </si>
  <si>
    <t>SCL-80001-7398</t>
  </si>
  <si>
    <t>SCL-80001-7400</t>
  </si>
  <si>
    <t>SCL-80001-7401</t>
  </si>
  <si>
    <t>SCL-80001-7402</t>
  </si>
  <si>
    <t>SCL-80001-7403</t>
  </si>
  <si>
    <t>SCL-80001-7404</t>
  </si>
  <si>
    <t>SCL-80001-7405</t>
  </si>
  <si>
    <t>SCL-80001-7406</t>
  </si>
  <si>
    <t>SCL-80001-7489</t>
  </si>
  <si>
    <t>SCL-80001-7490</t>
  </si>
  <si>
    <t>SCL-80001-7491</t>
  </si>
  <si>
    <t>SCL-80001-7492</t>
  </si>
  <si>
    <t>SCL-80001-7493</t>
  </si>
  <si>
    <t>SCL-80001-7494</t>
  </si>
  <si>
    <t>SCL-80001-7625</t>
  </si>
  <si>
    <t>SCL-80001-8150</t>
  </si>
  <si>
    <t>SCL-90002-0000</t>
  </si>
  <si>
    <t>SCL-90002-7351</t>
  </si>
  <si>
    <t>SCL-90002-7361</t>
  </si>
  <si>
    <t>SCL-90002-7374</t>
  </si>
  <si>
    <t>SCL-90002-7376</t>
  </si>
  <si>
    <t>SCL-90002-7387</t>
  </si>
  <si>
    <t>SCL-90002-7389</t>
  </si>
  <si>
    <t>SCL-90002-7391</t>
  </si>
  <si>
    <t>SCL-90002-7397</t>
  </si>
  <si>
    <t xml:space="preserve">Tptal General and Admin        </t>
  </si>
  <si>
    <t>SCL-90002-7401</t>
  </si>
  <si>
    <t>SCL-90002-7494</t>
  </si>
  <si>
    <t>SCL-90601-0000</t>
  </si>
  <si>
    <t>SCL-91002-7489</t>
  </si>
  <si>
    <t>SCL-91401-0000</t>
  </si>
  <si>
    <t>Conference &amp; Seminars</t>
  </si>
  <si>
    <t xml:space="preserve">Conferences and Seminars                           </t>
  </si>
  <si>
    <t>SCL-91801-0000</t>
  </si>
  <si>
    <t>SCL-91801-7351</t>
  </si>
  <si>
    <t>SCL-91801-7352</t>
  </si>
  <si>
    <t>SCL-91801-7355</t>
  </si>
  <si>
    <t>SCL-91801-7356</t>
  </si>
  <si>
    <t>SCL-91801-7359</t>
  </si>
  <si>
    <t>SCL-91801-7360</t>
  </si>
  <si>
    <t>SCL-91801-7361</t>
  </si>
  <si>
    <t>SCL-91801-7362</t>
  </si>
  <si>
    <t>SCL-91801-7363</t>
  </si>
  <si>
    <t>SCL-91801-7364</t>
  </si>
  <si>
    <t>SCL-91801-7365</t>
  </si>
  <si>
    <t>SCL-91801-7366</t>
  </si>
  <si>
    <t>SCL-91801-7368</t>
  </si>
  <si>
    <t>SCL-91801-7369</t>
  </si>
  <si>
    <t>SCL-91801-7371</t>
  </si>
  <si>
    <t>SCL-91801-7374</t>
  </si>
  <si>
    <t>SCL-91801-7375</t>
  </si>
  <si>
    <t>SCL-91801-7376</t>
  </si>
  <si>
    <t>SCL-91801-7377</t>
  </si>
  <si>
    <t>SCL-91801-7378</t>
  </si>
  <si>
    <t>SCL-91801-7379</t>
  </si>
  <si>
    <t>SCL-91801-7380</t>
  </si>
  <si>
    <t>SCL-91801-7381</t>
  </si>
  <si>
    <t>SCL-91801-7383</t>
  </si>
  <si>
    <t>SCL-91801-7385</t>
  </si>
  <si>
    <t>SCL-91801-7386</t>
  </si>
  <si>
    <t>SCL-91801-7387</t>
  </si>
  <si>
    <t>SCL-91801-7389</t>
  </si>
  <si>
    <t>SCL-91801-7391</t>
  </si>
  <si>
    <t>SCL-91801-7393</t>
  </si>
  <si>
    <t>SCL-91801-7394</t>
  </si>
  <si>
    <t>SCL-91801-7396</t>
  </si>
  <si>
    <t>SCL-91801-7397</t>
  </si>
  <si>
    <t>SCL-91801-7398</t>
  </si>
  <si>
    <t>SCL-91801-7400</t>
  </si>
  <si>
    <t>SCL-91801-7401</t>
  </si>
  <si>
    <t>SCL-91801-7402</t>
  </si>
  <si>
    <t>SCL-91801-7403</t>
  </si>
  <si>
    <t>SCL-91801-7489</t>
  </si>
  <si>
    <t>SCL-91801-7491</t>
  </si>
  <si>
    <t>SCL-91801-7492</t>
  </si>
  <si>
    <t>SCL-91801-7493</t>
  </si>
  <si>
    <t>SCL-91801-7494</t>
  </si>
  <si>
    <t>SCL-91801-7625</t>
  </si>
  <si>
    <t>SCL-91801-8150</t>
  </si>
  <si>
    <t>SCL-92401-0000</t>
  </si>
  <si>
    <t>SCL-92401-7351</t>
  </si>
  <si>
    <t>SCL-92401-7352</t>
  </si>
  <si>
    <t>SCL-92401-7355</t>
  </si>
  <si>
    <t>SCL-92401-7356</t>
  </si>
  <si>
    <t>SCL-92401-7359</t>
  </si>
  <si>
    <t>SCL-92401-7360</t>
  </si>
  <si>
    <t>SCL-92401-7361</t>
  </si>
  <si>
    <t>SCL-92401-7362</t>
  </si>
  <si>
    <t>SCL-92401-7363</t>
  </si>
  <si>
    <t>SCL-92401-7364</t>
  </si>
  <si>
    <t>SCL-92401-7365</t>
  </si>
  <si>
    <t>SCL-92401-7366</t>
  </si>
  <si>
    <t>SCL-92401-7368</t>
  </si>
  <si>
    <t>SCL-92401-7369</t>
  </si>
  <si>
    <t>SCL-92401-7371</t>
  </si>
  <si>
    <t>SCL-92401-7374</t>
  </si>
  <si>
    <t>SCL-92401-7375</t>
  </si>
  <si>
    <t>SCL-92401-7376</t>
  </si>
  <si>
    <t>SCL-92401-7377</t>
  </si>
  <si>
    <t>SCL-92401-7378</t>
  </si>
  <si>
    <t>SCL-92401-7379</t>
  </si>
  <si>
    <t>SCL-92401-7380</t>
  </si>
  <si>
    <t>SCL-92401-7381</t>
  </si>
  <si>
    <t>SCL-92401-7383</t>
  </si>
  <si>
    <t>SCL-92401-7385</t>
  </si>
  <si>
    <t>SCL-92401-7386</t>
  </si>
  <si>
    <t>SCL-92401-7387</t>
  </si>
  <si>
    <t>SCL-92401-7389</t>
  </si>
  <si>
    <t>SCL-92401-7391</t>
  </si>
  <si>
    <t>SCL-92401-7393</t>
  </si>
  <si>
    <t>SCL-92401-7394</t>
  </si>
  <si>
    <t>SCL-92401-7396</t>
  </si>
  <si>
    <t>SCL-92401-7397</t>
  </si>
  <si>
    <t>SCL-92401-7398</t>
  </si>
  <si>
    <t>SCL-92401-7400</t>
  </si>
  <si>
    <t>SCL-92401-7401</t>
  </si>
  <si>
    <t>SCL-92401-7402</t>
  </si>
  <si>
    <t>SCL-92401-7403</t>
  </si>
  <si>
    <t>SCL-92401-7489</t>
  </si>
  <si>
    <t>SCL-92401-7491</t>
  </si>
  <si>
    <t>SCL-92401-7492</t>
  </si>
  <si>
    <t>SCL-92401-7493</t>
  </si>
  <si>
    <t>SCL-92401-7494</t>
  </si>
  <si>
    <t>SCL-92401-7625</t>
  </si>
  <si>
    <t>SCL-92401-8150</t>
  </si>
  <si>
    <t>SCL-92801-0000</t>
  </si>
  <si>
    <t>SCL-92901-0000</t>
  </si>
  <si>
    <t>SCL-92901-7351</t>
  </si>
  <si>
    <t>SCL-92901-7352</t>
  </si>
  <si>
    <t>SCL-92901-7355</t>
  </si>
  <si>
    <t>SCL-92901-7356</t>
  </si>
  <si>
    <t>SCL-92901-7359</t>
  </si>
  <si>
    <t>SCL-92901-7360</t>
  </si>
  <si>
    <t>SCL-92901-7361</t>
  </si>
  <si>
    <t>SCL-92901-7362</t>
  </si>
  <si>
    <t>SCL-92901-7363</t>
  </si>
  <si>
    <t>SCL-92901-7364</t>
  </si>
  <si>
    <t>SCL-92901-7365</t>
  </si>
  <si>
    <t>SCL-92901-7366</t>
  </si>
  <si>
    <t>SCL-92901-7368</t>
  </si>
  <si>
    <t>SCL-92901-7369</t>
  </si>
  <si>
    <t>SCL-92901-7371</t>
  </si>
  <si>
    <t>SCL-92901-7374</t>
  </si>
  <si>
    <t>SCL-92901-7375</t>
  </si>
  <si>
    <t>SCL-92901-7376</t>
  </si>
  <si>
    <t>SCL-92901-7377</t>
  </si>
  <si>
    <t>SCL-92901-7378</t>
  </si>
  <si>
    <t>SCL-92901-7379</t>
  </si>
  <si>
    <t>SCL-92901-7380</t>
  </si>
  <si>
    <t>SCL-92901-7381</t>
  </si>
  <si>
    <t>SCL-92901-7383</t>
  </si>
  <si>
    <t>SCL-92901-7385</t>
  </si>
  <si>
    <t>SCL-92901-7386</t>
  </si>
  <si>
    <t>SCL-92901-7387</t>
  </si>
  <si>
    <t>SCL-92901-7389</t>
  </si>
  <si>
    <t>SCL-92901-7391</t>
  </si>
  <si>
    <t>SCL-92901-7393</t>
  </si>
  <si>
    <t>SCL-92901-7394</t>
  </si>
  <si>
    <t>SCL-92901-7396</t>
  </si>
  <si>
    <t>SCL-92901-7397</t>
  </si>
  <si>
    <t>SCL-92901-7398</t>
  </si>
  <si>
    <t>SCL-92901-7400</t>
  </si>
  <si>
    <t>SCL-92901-7401</t>
  </si>
  <si>
    <t>SCL-92901-7402</t>
  </si>
  <si>
    <t>SCL-92901-7403</t>
  </si>
  <si>
    <t>SCL-92901-7489</t>
  </si>
  <si>
    <t>SCL-92901-7491</t>
  </si>
  <si>
    <t>SCL-92901-7492</t>
  </si>
  <si>
    <t>SCL-92901-7493</t>
  </si>
  <si>
    <t>SCL-92901-7494</t>
  </si>
  <si>
    <t>SCL-92901-7625</t>
  </si>
  <si>
    <t>SCL-92901-8150</t>
  </si>
  <si>
    <t>SCL-93001-0000</t>
  </si>
  <si>
    <t>SCL-93001-7351</t>
  </si>
  <si>
    <t>SCL-93001-7352</t>
  </si>
  <si>
    <t>SCL-93001-7355</t>
  </si>
  <si>
    <t>SCL-93001-7359</t>
  </si>
  <si>
    <t>SCL-93001-7360</t>
  </si>
  <si>
    <t>SCL-93001-7361</t>
  </si>
  <si>
    <t>SCL-93001-7362</t>
  </si>
  <si>
    <t>SCL-93001-7363</t>
  </si>
  <si>
    <t>SCL-93001-7364</t>
  </si>
  <si>
    <t>SCL-93001-7365</t>
  </si>
  <si>
    <t>SCL-93001-7366</t>
  </si>
  <si>
    <t>SCL-93001-7368</t>
  </si>
  <si>
    <t>SCL-93001-7369</t>
  </si>
  <si>
    <t>SCL-93001-7371</t>
  </si>
  <si>
    <t>SCL-93001-7374</t>
  </si>
  <si>
    <t>SCL-93001-7375</t>
  </si>
  <si>
    <t>SCL-93001-7376</t>
  </si>
  <si>
    <t>SCL-93001-7377</t>
  </si>
  <si>
    <t>SCL-93001-7378</t>
  </si>
  <si>
    <t>SCL-93001-7379</t>
  </si>
  <si>
    <t>SCL-93001-7380</t>
  </si>
  <si>
    <t>SCL-93001-7381</t>
  </si>
  <si>
    <t>SCL-93001-7383</t>
  </si>
  <si>
    <t>SCL-93001-7385</t>
  </si>
  <si>
    <t>SCL-93001-7386</t>
  </si>
  <si>
    <t>SCL-93001-7387</t>
  </si>
  <si>
    <t>SCL-93001-7389</t>
  </si>
  <si>
    <t>SCL-93001-7391</t>
  </si>
  <si>
    <t>SCL-93001-7393</t>
  </si>
  <si>
    <t>SCL-93001-7394</t>
  </si>
  <si>
    <t>SCL-93001-7396</t>
  </si>
  <si>
    <t>SCL-93001-7397</t>
  </si>
  <si>
    <t>SCL-93001-7398</t>
  </si>
  <si>
    <t>SCL-93001-7400</t>
  </si>
  <si>
    <t>SCL-93001-7401</t>
  </si>
  <si>
    <t>SCL-93001-7402</t>
  </si>
  <si>
    <t>SCL-93001-7403</t>
  </si>
  <si>
    <t>SCL-93001-7489</t>
  </si>
  <si>
    <t>SCL-93001-7491</t>
  </si>
  <si>
    <t>SCL-93001-7492</t>
  </si>
  <si>
    <t>SCL-93001-7493</t>
  </si>
  <si>
    <t>SCL-93001-7494</t>
  </si>
  <si>
    <t>SCL-93001-7625</t>
  </si>
  <si>
    <t>SCL-93001-8150</t>
  </si>
  <si>
    <t>SCL-93201-0000</t>
  </si>
  <si>
    <t>SCL-93201-7351</t>
  </si>
  <si>
    <t>SCL-93201-7352</t>
  </si>
  <si>
    <t>SCL-93201-7355</t>
  </si>
  <si>
    <t>SCL-93201-7356</t>
  </si>
  <si>
    <t>SCL-93201-7359</t>
  </si>
  <si>
    <t>SCL-93201-7360</t>
  </si>
  <si>
    <t>SCL-93201-7361</t>
  </si>
  <si>
    <t>SCL-93201-7362</t>
  </si>
  <si>
    <t>SCL-93201-7363</t>
  </si>
  <si>
    <t>SCL-93201-7364</t>
  </si>
  <si>
    <t>SCL-93201-7365</t>
  </si>
  <si>
    <t>SCL-93201-7366</t>
  </si>
  <si>
    <t>SCL-93201-7368</t>
  </si>
  <si>
    <t>SCL-93201-7369</t>
  </si>
  <si>
    <t>SCL-93201-7371</t>
  </si>
  <si>
    <t>SCL-93201-7374</t>
  </si>
  <si>
    <t>SCL-93201-7375</t>
  </si>
  <si>
    <t>SCL-93201-7376</t>
  </si>
  <si>
    <t>SCL-93201-7377</t>
  </si>
  <si>
    <t>SCL-93201-7378</t>
  </si>
  <si>
    <t>SCL-93201-7379</t>
  </si>
  <si>
    <t>SCL-93201-7380</t>
  </si>
  <si>
    <t>SCL-93201-7381</t>
  </si>
  <si>
    <t>SCL-93201-7383</t>
  </si>
  <si>
    <t>SCL-93201-7385</t>
  </si>
  <si>
    <t>SCL-93201-7386</t>
  </si>
  <si>
    <t>SCL-93201-7387</t>
  </si>
  <si>
    <t>SCL-93201-7389</t>
  </si>
  <si>
    <t>SCL-93201-7391</t>
  </si>
  <si>
    <t>SCL-93201-7393</t>
  </si>
  <si>
    <t>SCL-93201-7394</t>
  </si>
  <si>
    <t>SCL-93201-7396</t>
  </si>
  <si>
    <t>SCL-93201-7397</t>
  </si>
  <si>
    <t>SCL-93201-7398</t>
  </si>
  <si>
    <t>SCL-93201-7400</t>
  </si>
  <si>
    <t>SCL-93201-7401</t>
  </si>
  <si>
    <t>SCL-93201-7402</t>
  </si>
  <si>
    <t>SCL-93201-7403</t>
  </si>
  <si>
    <t>SCL-93201-7489</t>
  </si>
  <si>
    <t>SCL-93201-7491</t>
  </si>
  <si>
    <t>SCL-93201-7492</t>
  </si>
  <si>
    <t>SCL-93201-7493</t>
  </si>
  <si>
    <t>SCL-93201-7494</t>
  </si>
  <si>
    <t>SCL-93201-7625</t>
  </si>
  <si>
    <t>SCL-93201-8150</t>
  </si>
  <si>
    <t>SCL-93202-8150</t>
  </si>
  <si>
    <t>Misc. Expense</t>
  </si>
  <si>
    <t>SCL-93401-0000</t>
  </si>
  <si>
    <t>Mystery Shopper Service</t>
  </si>
  <si>
    <t xml:space="preserve">QandA Expenses                                     </t>
  </si>
  <si>
    <t>SCL-93601-0000</t>
  </si>
  <si>
    <t>SCL-93601-7351</t>
  </si>
  <si>
    <t>SCL-93601-7352</t>
  </si>
  <si>
    <t>SCL-93601-7355</t>
  </si>
  <si>
    <t>SCL-93601-7359</t>
  </si>
  <si>
    <t>SCL-93601-7360</t>
  </si>
  <si>
    <t>SCL-93601-7362</t>
  </si>
  <si>
    <t>SCL-93601-7364</t>
  </si>
  <si>
    <t>SCL-93601-7365</t>
  </si>
  <si>
    <t>SCL-93601-7366</t>
  </si>
  <si>
    <t>SCL-93601-7368</t>
  </si>
  <si>
    <t>SCL-93601-7369</t>
  </si>
  <si>
    <t>SCL-93601-7371</t>
  </si>
  <si>
    <t>SCL-93601-7374</t>
  </si>
  <si>
    <t>SCL-93601-7375</t>
  </si>
  <si>
    <t>SCL-93601-7376</t>
  </si>
  <si>
    <t>SCL-93601-7377</t>
  </si>
  <si>
    <t>SCL-93601-7378</t>
  </si>
  <si>
    <t>SCL-93601-7379</t>
  </si>
  <si>
    <t>SCL-93601-7380</t>
  </si>
  <si>
    <t>SCL-93601-7381</t>
  </si>
  <si>
    <t>SCL-93601-7383</t>
  </si>
  <si>
    <t>SCL-93601-7385</t>
  </si>
  <si>
    <t>SCL-93601-7386</t>
  </si>
  <si>
    <t>SCL-93601-7387</t>
  </si>
  <si>
    <t>SCL-93601-7389</t>
  </si>
  <si>
    <t>SCL-93601-7391</t>
  </si>
  <si>
    <t>SCL-93601-7393</t>
  </si>
  <si>
    <t>SCL-93601-7394</t>
  </si>
  <si>
    <t>SCL-93601-7396</t>
  </si>
  <si>
    <t>SCL-93601-7397</t>
  </si>
  <si>
    <t>SCL-93601-7398</t>
  </si>
  <si>
    <t>SCL-93601-7400</t>
  </si>
  <si>
    <t>SCL-93601-7401</t>
  </si>
  <si>
    <t>SCL-93601-7402</t>
  </si>
  <si>
    <t>SCL-93601-7403</t>
  </si>
  <si>
    <t>SCL-93601-7489</t>
  </si>
  <si>
    <t>SCL-93601-7491</t>
  </si>
  <si>
    <t>SCL-93601-7492</t>
  </si>
  <si>
    <t>SCL-93601-7493</t>
  </si>
  <si>
    <t>SCL-93601-7625</t>
  </si>
  <si>
    <t>SCL-93601-8150</t>
  </si>
  <si>
    <t>SCL-93801-7351</t>
  </si>
  <si>
    <t>SCL-93801-7352</t>
  </si>
  <si>
    <t>SCL-93801-7355</t>
  </si>
  <si>
    <t>SCL-93801-7356</t>
  </si>
  <si>
    <t>SCL-93801-7359</t>
  </si>
  <si>
    <t>SCL-93801-7360</t>
  </si>
  <si>
    <t>SCL-93801-7361</t>
  </si>
  <si>
    <t>SCL-93801-7362</t>
  </si>
  <si>
    <t>SCL-93801-7363</t>
  </si>
  <si>
    <t>SCL-93801-7364</t>
  </si>
  <si>
    <t>SCL-93801-7365</t>
  </si>
  <si>
    <t>SCL-93801-7366</t>
  </si>
  <si>
    <t>SCL-93801-7368</t>
  </si>
  <si>
    <t>SCL-93801-7369</t>
  </si>
  <si>
    <t>SCL-93801-7371</t>
  </si>
  <si>
    <t>SCL-93801-7374</t>
  </si>
  <si>
    <t>SCL-93801-7375</t>
  </si>
  <si>
    <t>SCL-93801-7376</t>
  </si>
  <si>
    <t>SCL-93801-7377</t>
  </si>
  <si>
    <t>SCL-93801-7378</t>
  </si>
  <si>
    <t>SCL-93801-7379</t>
  </si>
  <si>
    <t>SCL-93801-7380</t>
  </si>
  <si>
    <t>SCL-93801-7381</t>
  </si>
  <si>
    <t>SCL-93801-7383</t>
  </si>
  <si>
    <t>SCL-93801-7385</t>
  </si>
  <si>
    <t>SCL-93801-7386</t>
  </si>
  <si>
    <t>SCL-93801-7387</t>
  </si>
  <si>
    <t>SCL-93801-7389</t>
  </si>
  <si>
    <t>SCL-93801-7391</t>
  </si>
  <si>
    <t>SCL-93801-7393</t>
  </si>
  <si>
    <t>SCL-93801-7394</t>
  </si>
  <si>
    <t>SCL-93801-7396</t>
  </si>
  <si>
    <t>SCL-93801-7397</t>
  </si>
  <si>
    <t>SCL-93801-7398</t>
  </si>
  <si>
    <t>SCL-93801-7400</t>
  </si>
  <si>
    <t>SCL-93801-7401</t>
  </si>
  <si>
    <t>SCL-93801-7402</t>
  </si>
  <si>
    <t>SCL-93801-7403</t>
  </si>
  <si>
    <t>SCL-93801-7404</t>
  </si>
  <si>
    <t>SCL-93801-7489</t>
  </si>
  <si>
    <t>SCL-93801-7491</t>
  </si>
  <si>
    <t>SCL-93801-7492</t>
  </si>
  <si>
    <t>SCL-93801-7493</t>
  </si>
  <si>
    <t>SCL-93801-7494</t>
  </si>
  <si>
    <t>SCL-93801-7625</t>
  </si>
  <si>
    <t>SCL-93801-8150</t>
  </si>
  <si>
    <t>SCL-94001-0000</t>
  </si>
  <si>
    <t>SCL-94201-0000</t>
  </si>
  <si>
    <t>SCL-94201-7351</t>
  </si>
  <si>
    <t>SCL-94201-7352</t>
  </si>
  <si>
    <t>SCL-94201-7355</t>
  </si>
  <si>
    <t>SCL-94201-7359</t>
  </si>
  <si>
    <t>SCL-94201-7360</t>
  </si>
  <si>
    <t>SCL-94201-7361</t>
  </si>
  <si>
    <t>SCL-94201-7362</t>
  </si>
  <si>
    <t>SCL-94201-7363</t>
  </si>
  <si>
    <t>SCL-94201-7364</t>
  </si>
  <si>
    <t>SCL-94201-7365</t>
  </si>
  <si>
    <t>SCL-94201-7366</t>
  </si>
  <si>
    <t>SCL-94201-7368</t>
  </si>
  <si>
    <t>SCL-94201-7369</t>
  </si>
  <si>
    <t>SCL-94201-7371</t>
  </si>
  <si>
    <t>SCL-94201-7374</t>
  </si>
  <si>
    <t>SCL-94201-7375</t>
  </si>
  <si>
    <t>SCL-94201-7376</t>
  </si>
  <si>
    <t>SCL-94201-7377</t>
  </si>
  <si>
    <t>SCL-94201-7378</t>
  </si>
  <si>
    <t>SCL-94201-7379</t>
  </si>
  <si>
    <t>SCL-94201-7380</t>
  </si>
  <si>
    <t>SCL-94201-7381</t>
  </si>
  <si>
    <t>SCL-94201-7383</t>
  </si>
  <si>
    <t>SCL-94201-7385</t>
  </si>
  <si>
    <t>SCL-94201-7386</t>
  </si>
  <si>
    <t>SCL-94201-7387</t>
  </si>
  <si>
    <t>SCL-94201-7389</t>
  </si>
  <si>
    <t>SCL-94201-7391</t>
  </si>
  <si>
    <t>SCL-94201-7393</t>
  </si>
  <si>
    <t>SCL-94201-7394</t>
  </si>
  <si>
    <t>SCL-94201-7396</t>
  </si>
  <si>
    <t>SCL-94201-7397</t>
  </si>
  <si>
    <t>SCL-94201-7398</t>
  </si>
  <si>
    <t>SCL-94201-7400</t>
  </si>
  <si>
    <t>SCL-94201-7401</t>
  </si>
  <si>
    <t>SCL-94201-7402</t>
  </si>
  <si>
    <t>SCL-94201-7403</t>
  </si>
  <si>
    <t>SCL-94201-7489</t>
  </si>
  <si>
    <t>SCL-94201-7491</t>
  </si>
  <si>
    <t>SCL-94201-7492</t>
  </si>
  <si>
    <t>SCL-94201-7493</t>
  </si>
  <si>
    <t>SCL-94201-7494</t>
  </si>
  <si>
    <t>SCL-94201-7625</t>
  </si>
  <si>
    <t>SCL-94201-8150</t>
  </si>
  <si>
    <t>SCL-94401-0000</t>
  </si>
  <si>
    <t>SCL-94401-7351</t>
  </si>
  <si>
    <t>SCL-94401-7352</t>
  </si>
  <si>
    <t>SCL-94401-7355</t>
  </si>
  <si>
    <t>SCL-94401-7356</t>
  </si>
  <si>
    <t>SCL-94401-7359</t>
  </si>
  <si>
    <t>SCL-94401-7360</t>
  </si>
  <si>
    <t>SCL-94401-7361</t>
  </si>
  <si>
    <t>SCL-94401-7362</t>
  </si>
  <si>
    <t>SCL-94401-7363</t>
  </si>
  <si>
    <t>SCL-94401-7364</t>
  </si>
  <si>
    <t>SCL-94401-7365</t>
  </si>
  <si>
    <t>SCL-94401-7366</t>
  </si>
  <si>
    <t>SCL-94401-7368</t>
  </si>
  <si>
    <t>SCL-94401-7369</t>
  </si>
  <si>
    <t>SCL-94401-7371</t>
  </si>
  <si>
    <t>SCL-94401-7374</t>
  </si>
  <si>
    <t>SCL-94401-7375</t>
  </si>
  <si>
    <t>SCL-94401-7376</t>
  </si>
  <si>
    <t>SCL-94401-7377</t>
  </si>
  <si>
    <t>SCL-94401-7378</t>
  </si>
  <si>
    <t>SCL-94401-7379</t>
  </si>
  <si>
    <t>SCL-94401-7380</t>
  </si>
  <si>
    <t>SCL-94401-7381</t>
  </si>
  <si>
    <t>SCL-94401-7383</t>
  </si>
  <si>
    <t>SCL-94401-7385</t>
  </si>
  <si>
    <t>SCL-94401-7386</t>
  </si>
  <si>
    <t>SCL-94401-7387</t>
  </si>
  <si>
    <t>SCL-94401-7389</t>
  </si>
  <si>
    <t>SCL-94401-7391</t>
  </si>
  <si>
    <t>SCL-94401-7393</t>
  </si>
  <si>
    <t>SCL-94401-7394</t>
  </si>
  <si>
    <t>SCL-94401-7396</t>
  </si>
  <si>
    <t>SCL-94401-7397</t>
  </si>
  <si>
    <t>SCL-94401-7398</t>
  </si>
  <si>
    <t>SCL-94401-7400</t>
  </si>
  <si>
    <t>SCL-94401-7401</t>
  </si>
  <si>
    <t>SCL-94401-7402</t>
  </si>
  <si>
    <t>SCL-94401-7403</t>
  </si>
  <si>
    <t>SCL-94401-7406</t>
  </si>
  <si>
    <t>SCL-94401-7489</t>
  </si>
  <si>
    <t>SCL-94401-7491</t>
  </si>
  <si>
    <t>SCL-94401-7492</t>
  </si>
  <si>
    <t>SCL-94401-7493</t>
  </si>
  <si>
    <t>SCL-94401-7494</t>
  </si>
  <si>
    <t>SCL-94401-7625</t>
  </si>
  <si>
    <t>SCL-94401-8150</t>
  </si>
  <si>
    <t>SCL-94501-7360</t>
  </si>
  <si>
    <t>R &amp; M Operations</t>
  </si>
  <si>
    <t xml:space="preserve">R and M - Operations                               </t>
  </si>
  <si>
    <t>SCL-94501-7362</t>
  </si>
  <si>
    <t>SCL-94501-7492</t>
  </si>
  <si>
    <t>SCL-95001-0000</t>
  </si>
  <si>
    <t>SCL-95201-0000</t>
  </si>
  <si>
    <t>SCL-95201-7362</t>
  </si>
  <si>
    <t>SCL-95201-7380</t>
  </si>
  <si>
    <t>SCL-95201-7386</t>
  </si>
  <si>
    <t>SCL-95201-7393</t>
  </si>
  <si>
    <t>SCL-95201-7396</t>
  </si>
  <si>
    <t>SCL-99001-0000</t>
  </si>
  <si>
    <t>SCL-99001-7351</t>
  </si>
  <si>
    <t>SCL-99001-7352</t>
  </si>
  <si>
    <t>SCL-99001-7355</t>
  </si>
  <si>
    <t>SCL-99001-7356</t>
  </si>
  <si>
    <t>SCL-99001-7359</t>
  </si>
  <si>
    <t>SCL-99001-7360</t>
  </si>
  <si>
    <t>SCL-99001-7361</t>
  </si>
  <si>
    <t>SCL-99001-7362</t>
  </si>
  <si>
    <t>SCL-99001-7363</t>
  </si>
  <si>
    <t>SCL-99001-7364</t>
  </si>
  <si>
    <t>SCL-99001-7365</t>
  </si>
  <si>
    <t>SCL-99001-7366</t>
  </si>
  <si>
    <t>SCL-99001-7368</t>
  </si>
  <si>
    <t>SCL-99001-7369</t>
  </si>
  <si>
    <t>SCL-99001-7371</t>
  </si>
  <si>
    <t>SCL-99001-7374</t>
  </si>
  <si>
    <t>SCL-99001-7375</t>
  </si>
  <si>
    <t>SCL-99001-7376</t>
  </si>
  <si>
    <t>SCL-99001-7377</t>
  </si>
  <si>
    <t>SCL-99001-7378</t>
  </si>
  <si>
    <t>SCL-99001-7379</t>
  </si>
  <si>
    <t>SCL-99001-7380</t>
  </si>
  <si>
    <t>SCL-99001-7381</t>
  </si>
  <si>
    <t>SCL-99001-7383</t>
  </si>
  <si>
    <t>SCL-99001-7385</t>
  </si>
  <si>
    <t>SCL-99001-7386</t>
  </si>
  <si>
    <t>SCL-99001-7387</t>
  </si>
  <si>
    <t>SCL-99001-7389</t>
  </si>
  <si>
    <t>SCL-99001-7391</t>
  </si>
  <si>
    <t>SCL-99001-7393</t>
  </si>
  <si>
    <t>SCL-99001-7394</t>
  </si>
  <si>
    <t>SCL-99001-7396</t>
  </si>
  <si>
    <t>SCL-99001-7397</t>
  </si>
  <si>
    <t>SCL-99001-7398</t>
  </si>
  <si>
    <t>SCL-99001-7400</t>
  </si>
  <si>
    <t>SCL-99001-7401</t>
  </si>
  <si>
    <t>SCL-99001-7402</t>
  </si>
  <si>
    <t>SCL-99001-7403</t>
  </si>
  <si>
    <t>SCL-99001-7406</t>
  </si>
  <si>
    <t>SCL-99001-7489</t>
  </si>
  <si>
    <t>SCL-99001-7491</t>
  </si>
  <si>
    <t>SCL-99001-7492</t>
  </si>
  <si>
    <t>SCL-99001-7493</t>
  </si>
  <si>
    <t>SCL-99001-7494</t>
  </si>
  <si>
    <t>SCL-99001-7625</t>
  </si>
  <si>
    <t>SCL-99001-8150</t>
  </si>
  <si>
    <t>SCL-99901-0000</t>
  </si>
  <si>
    <t>SCR-10503-0000</t>
  </si>
  <si>
    <t>SCR-10515-0000</t>
  </si>
  <si>
    <t>SCR-11207-0000</t>
  </si>
  <si>
    <t>SCR-50400-0000</t>
  </si>
  <si>
    <t>SEA-11216-0000</t>
  </si>
  <si>
    <t>SEA-15501-0000</t>
  </si>
  <si>
    <t>SEA-19001-0000</t>
  </si>
  <si>
    <t>SEA-20001-0000</t>
  </si>
  <si>
    <t>SEA-23509-0000</t>
  </si>
  <si>
    <t>SEA-25100-0000</t>
  </si>
  <si>
    <t>Note Payable - DFL</t>
  </si>
  <si>
    <t>SEA-25300-0000</t>
  </si>
  <si>
    <t>SEA-40110-0000</t>
  </si>
  <si>
    <t>SEA-40120-0000</t>
  </si>
  <si>
    <t>SEA-40130-0000</t>
  </si>
  <si>
    <t>SEA-40140-0000</t>
  </si>
  <si>
    <t>SEA-41110-0000</t>
  </si>
  <si>
    <t>SEA-41121-0000</t>
  </si>
  <si>
    <t>SEA-41122-0000</t>
  </si>
  <si>
    <t>SEA-41130-0000</t>
  </si>
  <si>
    <t>SEA-41140-0000</t>
  </si>
  <si>
    <t>SEA-41150-0000</t>
  </si>
  <si>
    <t>SEA-41999-0000</t>
  </si>
  <si>
    <t>SEA-47400-0000</t>
  </si>
  <si>
    <t>SEA-47440-0000</t>
  </si>
  <si>
    <t>SEA-47450-0000</t>
  </si>
  <si>
    <t>SEA-47460-0000</t>
  </si>
  <si>
    <t>SEA-47480-0000</t>
  </si>
  <si>
    <t>SEA-47490-0000</t>
  </si>
  <si>
    <t>SEA-47492-0000</t>
  </si>
  <si>
    <t>SEA-51006-0000</t>
  </si>
  <si>
    <t xml:space="preserve">Total Gen/Maint/Business Exp   </t>
  </si>
  <si>
    <t>SEA-51008-0000</t>
  </si>
  <si>
    <t>SEA-51009-0000</t>
  </si>
  <si>
    <t>SEA-51011-0000</t>
  </si>
  <si>
    <t>SEA-51013-0000</t>
  </si>
  <si>
    <t>SEA-51019-0000</t>
  </si>
  <si>
    <t>SEA-51020-0000</t>
  </si>
  <si>
    <t>SEA-52001-0000</t>
  </si>
  <si>
    <t>SEA-52003-0000</t>
  </si>
  <si>
    <t>SEA-52006-0000</t>
  </si>
  <si>
    <t>SEA-53002-0000</t>
  </si>
  <si>
    <t>SEA-53003-0000</t>
  </si>
  <si>
    <t>SEA-53004-0000</t>
  </si>
  <si>
    <t>SEA-53005-0000</t>
  </si>
  <si>
    <t>SEA-53006-0000</t>
  </si>
  <si>
    <t>SEA-54003-0000</t>
  </si>
  <si>
    <t>SEA-54004-0000</t>
  </si>
  <si>
    <t>SEA-54006-0000</t>
  </si>
  <si>
    <t>SEA-54007-0000</t>
  </si>
  <si>
    <t>SEA-55501-0000</t>
  </si>
  <si>
    <t>SEA-55502-0000</t>
  </si>
  <si>
    <t>SEA-55503-0000</t>
  </si>
  <si>
    <t>SEA-55505-0000</t>
  </si>
  <si>
    <t>SEA-55506-0000</t>
  </si>
  <si>
    <t>SEA-55507-0000</t>
  </si>
  <si>
    <t>SEA-60005-0000</t>
  </si>
  <si>
    <t>SEA-60006-0000</t>
  </si>
  <si>
    <t xml:space="preserve">Total Int Tax DepAmort/OffSal  </t>
  </si>
  <si>
    <t>SEA-60007-0000</t>
  </si>
  <si>
    <t xml:space="preserve">Total Noncontrollable Expense  </t>
  </si>
  <si>
    <t>SEA-60011-0000</t>
  </si>
  <si>
    <t>SEA-60012-0000</t>
  </si>
  <si>
    <t>SEA-60014-0000</t>
  </si>
  <si>
    <t>SEA-60015-0000</t>
  </si>
  <si>
    <t xml:space="preserve">Total NonControllable Expense  </t>
  </si>
  <si>
    <t>SEA-61019-0000</t>
  </si>
  <si>
    <t>SEK-15501-0000</t>
  </si>
  <si>
    <t>SEK-22001-0000</t>
  </si>
  <si>
    <t xml:space="preserve">Taax Accr                      </t>
  </si>
  <si>
    <t>SEK-40110-0000</t>
  </si>
  <si>
    <t>SEK-40120-0000</t>
  </si>
  <si>
    <t>SEK-40130-0000</t>
  </si>
  <si>
    <t>SEK-40140-0000</t>
  </si>
  <si>
    <t>SEK-41110-0000</t>
  </si>
  <si>
    <t>SEK-41121-0000</t>
  </si>
  <si>
    <t>SEK-41122-0000</t>
  </si>
  <si>
    <t>SEK-41130-0000</t>
  </si>
  <si>
    <t>SEK-41140-0000</t>
  </si>
  <si>
    <t>SEK-41150-0000</t>
  </si>
  <si>
    <t>SEK-41160-0000</t>
  </si>
  <si>
    <t>SEK-41999-0000</t>
  </si>
  <si>
    <t>SEK-47400-0000</t>
  </si>
  <si>
    <t>SEK-47420-0000</t>
  </si>
  <si>
    <t>SEK-47430-0000</t>
  </si>
  <si>
    <t>SEK-47440-0000</t>
  </si>
  <si>
    <t>SEK-47460-0000</t>
  </si>
  <si>
    <t>SEK-47480-0000</t>
  </si>
  <si>
    <t>SEK-47494-0000</t>
  </si>
  <si>
    <t>SEK-51005-0000</t>
  </si>
  <si>
    <t>SEK-51006-0000</t>
  </si>
  <si>
    <t>SEK-51008-0000</t>
  </si>
  <si>
    <t>SEK-51009-0000</t>
  </si>
  <si>
    <t>SEK-51011-0000</t>
  </si>
  <si>
    <t>SEK-52001-0000</t>
  </si>
  <si>
    <t>SEK-53002-0000</t>
  </si>
  <si>
    <t>SEK-53003-0000</t>
  </si>
  <si>
    <t>SEK-53004-0000</t>
  </si>
  <si>
    <t>SEK-53005-0000</t>
  </si>
  <si>
    <t>SEK-53006-0000</t>
  </si>
  <si>
    <t>SEK-54002-0000</t>
  </si>
  <si>
    <t>SEK-54003-0000</t>
  </si>
  <si>
    <t>SEK-54004-0000</t>
  </si>
  <si>
    <t>SEK-54006-0000</t>
  </si>
  <si>
    <t>SEK-54007-0000</t>
  </si>
  <si>
    <t>SEK-55502-0000</t>
  </si>
  <si>
    <t>SEK-55503-0000</t>
  </si>
  <si>
    <t>SEK-55505-0000</t>
  </si>
  <si>
    <t>SEK-55506-0000</t>
  </si>
  <si>
    <t>SEK-60001-0000</t>
  </si>
  <si>
    <t>SEK-60002-0000</t>
  </si>
  <si>
    <t>SEK-60005-0000</t>
  </si>
  <si>
    <t>SEK-60006-0000</t>
  </si>
  <si>
    <t>SEK-60007-0000</t>
  </si>
  <si>
    <t>SEK-60010-0000</t>
  </si>
  <si>
    <t>Rent Control Fee</t>
  </si>
  <si>
    <t xml:space="preserve">Rent Control Fee                                   </t>
  </si>
  <si>
    <t>SEK-60012-0000</t>
  </si>
  <si>
    <t>SEK-60014-0000</t>
  </si>
  <si>
    <t>SEK-60015-0000</t>
  </si>
  <si>
    <t>SEK-61019-0000</t>
  </si>
  <si>
    <t>SG2-10022-0000</t>
  </si>
  <si>
    <t>SG2-11218-0000</t>
  </si>
  <si>
    <t>SG2-40001-7373</t>
  </si>
  <si>
    <t>SG2-40001-7382</t>
  </si>
  <si>
    <t>SG2-40002-7373</t>
  </si>
  <si>
    <t>SG2-40002-7382</t>
  </si>
  <si>
    <t>SG2-40091-7373</t>
  </si>
  <si>
    <t>SG2-40091-7382</t>
  </si>
  <si>
    <t>SG2-50003-7373</t>
  </si>
  <si>
    <t>SG2-50003-7382</t>
  </si>
  <si>
    <t>SG2-50007-7373</t>
  </si>
  <si>
    <t>SG2-50007-7382</t>
  </si>
  <si>
    <t>SG2-50099-7373</t>
  </si>
  <si>
    <t>SG2-50099-7382</t>
  </si>
  <si>
    <t>SG2-50100-7373</t>
  </si>
  <si>
    <t>SG2-50100-7382</t>
  </si>
  <si>
    <t>SG2-51001-7373</t>
  </si>
  <si>
    <t>SG2-51001-7382</t>
  </si>
  <si>
    <t>SG2-52001-0000</t>
  </si>
  <si>
    <t>SG2-52001-7373</t>
  </si>
  <si>
    <t>SG2-52001-7382</t>
  </si>
  <si>
    <t>SG2-52002-7373</t>
  </si>
  <si>
    <t>SG2-52002-7382</t>
  </si>
  <si>
    <t>SG2-52003-7373</t>
  </si>
  <si>
    <t>SG2-52003-7382</t>
  </si>
  <si>
    <t>SG2-52004-7373</t>
  </si>
  <si>
    <t>SG2-52004-7382</t>
  </si>
  <si>
    <t>SG2-52005-7373</t>
  </si>
  <si>
    <t>SG2-52005-7382</t>
  </si>
  <si>
    <t>SG2-53003-0000</t>
  </si>
  <si>
    <t>SG2-53003-7373</t>
  </si>
  <si>
    <t>SG2-53003-7382</t>
  </si>
  <si>
    <t>SG2-53004-7373</t>
  </si>
  <si>
    <t>SG2-53004-7382</t>
  </si>
  <si>
    <t>SG2-53005-7373</t>
  </si>
  <si>
    <t>SG2-53005-7382</t>
  </si>
  <si>
    <t>SG2-53006-7373</t>
  </si>
  <si>
    <t>SG2-53006-7382</t>
  </si>
  <si>
    <t>SG2-54001-7373</t>
  </si>
  <si>
    <t>SG2-54001-7382</t>
  </si>
  <si>
    <t>SG2-54099-7373</t>
  </si>
  <si>
    <t>SG2-54099-7382</t>
  </si>
  <si>
    <t>SG2-54100-7373</t>
  </si>
  <si>
    <t>SG2-54100-7382</t>
  </si>
  <si>
    <t>SG2-55001-7373</t>
  </si>
  <si>
    <t>SG2-55001-7382</t>
  </si>
  <si>
    <t>SG2-56001-0000</t>
  </si>
  <si>
    <t>SG2-56001-7373</t>
  </si>
  <si>
    <t>SG2-56001-7382</t>
  </si>
  <si>
    <t>SG2-56002-0000</t>
  </si>
  <si>
    <t>SG2-56002-7373</t>
  </si>
  <si>
    <t>SG2-56002-7382</t>
  </si>
  <si>
    <t>SG2-56050-0000</t>
  </si>
  <si>
    <t>SG2-60001-7373</t>
  </si>
  <si>
    <t>SG2-60001-7382</t>
  </si>
  <si>
    <t>SG2-60503-7373</t>
  </si>
  <si>
    <t>SG2-60503-7382</t>
  </si>
  <si>
    <t>SG2-60505-7373</t>
  </si>
  <si>
    <t>SG2-60505-7382</t>
  </si>
  <si>
    <t>SG2-60507-7373</t>
  </si>
  <si>
    <t>SG2-60507-7382</t>
  </si>
  <si>
    <t>SG2-60509-7373</t>
  </si>
  <si>
    <t>SG2-60509-7382</t>
  </si>
  <si>
    <t>SG2-61001-7382</t>
  </si>
  <si>
    <t>SG2-61002-0000</t>
  </si>
  <si>
    <t>SG2-61201-7373</t>
  </si>
  <si>
    <t>SG2-61201-7382</t>
  </si>
  <si>
    <t>SG2-61501-7382</t>
  </si>
  <si>
    <t>SG2-61502-7373</t>
  </si>
  <si>
    <t>SG2-61505-7373</t>
  </si>
  <si>
    <t>SG2-62002-7373</t>
  </si>
  <si>
    <t>SG2-62002-7382</t>
  </si>
  <si>
    <t>SG2-62097-7373</t>
  </si>
  <si>
    <t>SG2-62097-7382</t>
  </si>
  <si>
    <t>SG2-62501-7373</t>
  </si>
  <si>
    <t>SG2-62501-7382</t>
  </si>
  <si>
    <t>SG2-62504-7382</t>
  </si>
  <si>
    <t>SG2-62510-7373</t>
  </si>
  <si>
    <t>SG2-62510-7382</t>
  </si>
  <si>
    <t>SG2-62511-7373</t>
  </si>
  <si>
    <t>SG2-62511-7382</t>
  </si>
  <si>
    <t>SG2-62512-7382</t>
  </si>
  <si>
    <t>SG2-62513-7373</t>
  </si>
  <si>
    <t>SG2-62513-7382</t>
  </si>
  <si>
    <t>SG2-62550-7373</t>
  </si>
  <si>
    <t>SG2-62550-7382</t>
  </si>
  <si>
    <t>SG2-62551-7373</t>
  </si>
  <si>
    <t>SG2-62551-7382</t>
  </si>
  <si>
    <t>SG2-63001-7373</t>
  </si>
  <si>
    <t>SG2-63001-7382</t>
  </si>
  <si>
    <t>SG2-63003-7373</t>
  </si>
  <si>
    <t>SG2-63003-7382</t>
  </si>
  <si>
    <t>SG2-63004-7373</t>
  </si>
  <si>
    <t>SG2-63004-7382</t>
  </si>
  <si>
    <t>SG2-63005-7373</t>
  </si>
  <si>
    <t>SG2-63005-7382</t>
  </si>
  <si>
    <t>SG2-63006-7373</t>
  </si>
  <si>
    <t>SG2-63006-7382</t>
  </si>
  <si>
    <t>SG2-63007-7382</t>
  </si>
  <si>
    <t>SG2-63009-7373</t>
  </si>
  <si>
    <t>SG2-63501-0000</t>
  </si>
  <si>
    <t>SG2-63501-7373</t>
  </si>
  <si>
    <t>SG2-63501-7382</t>
  </si>
  <si>
    <t>SG2-63502-7373</t>
  </si>
  <si>
    <t>SG2-63502-7382</t>
  </si>
  <si>
    <t>SG2-63503-7373</t>
  </si>
  <si>
    <t>SG2-63503-7382</t>
  </si>
  <si>
    <t>SG2-63504-7373</t>
  </si>
  <si>
    <t>SG2-63504-7382</t>
  </si>
  <si>
    <t>SG2-64001-7373</t>
  </si>
  <si>
    <t>SG2-64001-7382</t>
  </si>
  <si>
    <t>SG2-64501-7373</t>
  </si>
  <si>
    <t>SG2-64501-7382</t>
  </si>
  <si>
    <t>SG2-64502-0000</t>
  </si>
  <si>
    <t>SG2-64502-7373</t>
  </si>
  <si>
    <t>SG2-64502-7382</t>
  </si>
  <si>
    <t>SG2-64503-7373</t>
  </si>
  <si>
    <t>SG2-64503-7382</t>
  </si>
  <si>
    <t>SG2-65002-7373</t>
  </si>
  <si>
    <t>SG2-65002-7382</t>
  </si>
  <si>
    <t>SG2-65501-7373</t>
  </si>
  <si>
    <t>SG2-65501-7382</t>
  </si>
  <si>
    <t>SG2-66001-7373</t>
  </si>
  <si>
    <t>SG2-66001-7382</t>
  </si>
  <si>
    <t>SG2-66501-7373</t>
  </si>
  <si>
    <t>SG2-66501-7382</t>
  </si>
  <si>
    <t>SG2-66701-7373</t>
  </si>
  <si>
    <t>SG2-66701-7382</t>
  </si>
  <si>
    <t>SG2-67001-7373</t>
  </si>
  <si>
    <t>SG2-67001-7382</t>
  </si>
  <si>
    <t>SG2-67501-7373</t>
  </si>
  <si>
    <t>SG2-67501-7382</t>
  </si>
  <si>
    <t>SG2-68000-7373</t>
  </si>
  <si>
    <t>SG2-68000-7382</t>
  </si>
  <si>
    <t>SG2-68001-7373</t>
  </si>
  <si>
    <t>SG2-68001-7382</t>
  </si>
  <si>
    <t>SG2-70001-7373</t>
  </si>
  <si>
    <t>SG2-70001-7382</t>
  </si>
  <si>
    <t>SG2-70010-7373</t>
  </si>
  <si>
    <t>SG2-71001-7373</t>
  </si>
  <si>
    <t>SG2-71001-7382</t>
  </si>
  <si>
    <t>SG2-72001-7373</t>
  </si>
  <si>
    <t>SG2-72001-7382</t>
  </si>
  <si>
    <t>SG2-74001-0000</t>
  </si>
  <si>
    <t>SG2-74001-7373</t>
  </si>
  <si>
    <t>SG2-74001-7382</t>
  </si>
  <si>
    <t>SG2-75001-7373</t>
  </si>
  <si>
    <t>SG2-75001-7382</t>
  </si>
  <si>
    <t>SG2-80001-7373</t>
  </si>
  <si>
    <t>SG2-80001-7382</t>
  </si>
  <si>
    <t>SG2-90601-0000</t>
  </si>
  <si>
    <t>SG2-91801-7373</t>
  </si>
  <si>
    <t>SG2-91801-7382</t>
  </si>
  <si>
    <t>SG2-92401-7373</t>
  </si>
  <si>
    <t>SG2-92401-7382</t>
  </si>
  <si>
    <t>SG2-92801-0000</t>
  </si>
  <si>
    <t>SG2-92901-7373</t>
  </si>
  <si>
    <t>SG2-92901-7382</t>
  </si>
  <si>
    <t>SG2-93001-7373</t>
  </si>
  <si>
    <t>SG2-93001-7382</t>
  </si>
  <si>
    <t>SG2-93201-0000</t>
  </si>
  <si>
    <t>SG2-93201-7373</t>
  </si>
  <si>
    <t>SG2-93201-7382</t>
  </si>
  <si>
    <t>SG2-93601-7373</t>
  </si>
  <si>
    <t>SG2-93601-7382</t>
  </si>
  <si>
    <t>SG2-93801-0000</t>
  </si>
  <si>
    <t>SG2-93801-7373</t>
  </si>
  <si>
    <t>SG2-93801-7382</t>
  </si>
  <si>
    <t>SG2-94001-7373</t>
  </si>
  <si>
    <t>SG2-94201-0000</t>
  </si>
  <si>
    <t>SG2-94201-7373</t>
  </si>
  <si>
    <t>SG2-94201-7382</t>
  </si>
  <si>
    <t>SG2-94401-0000</t>
  </si>
  <si>
    <t>SG2-94401-7373</t>
  </si>
  <si>
    <t>SG2-94401-7382</t>
  </si>
  <si>
    <t>SG2-99001-0000</t>
  </si>
  <si>
    <t>SG2-99001-7373</t>
  </si>
  <si>
    <t>SG2-99001-7382</t>
  </si>
  <si>
    <t>SG2-99901-0000</t>
  </si>
  <si>
    <t>SIL-11000-0000</t>
  </si>
  <si>
    <t>SIL-11348-0000</t>
  </si>
  <si>
    <t>SIL-11349-0000</t>
  </si>
  <si>
    <t>Interco-SEA</t>
  </si>
  <si>
    <t>SIL-11350-0000</t>
  </si>
  <si>
    <t>SIL-11352-0000</t>
  </si>
  <si>
    <t>SIL-11353-0000</t>
  </si>
  <si>
    <t>SIL-11354-0000</t>
  </si>
  <si>
    <t>SIL-11355-0000</t>
  </si>
  <si>
    <t>SIL-11356-0000</t>
  </si>
  <si>
    <t>SIL-11357-0000</t>
  </si>
  <si>
    <t xml:space="preserve">Total Currrent Assets          </t>
  </si>
  <si>
    <t>SIL-11358-0000</t>
  </si>
  <si>
    <t>SIL-11359-0000</t>
  </si>
  <si>
    <t>SIL-11361-0000</t>
  </si>
  <si>
    <t>SIL-11363-0000</t>
  </si>
  <si>
    <t>SIL-40110-0001</t>
  </si>
  <si>
    <t>Baseline Rents:LA</t>
  </si>
  <si>
    <t>SIL-41999-0001</t>
  </si>
  <si>
    <t>Contra-Collected Ren:LA</t>
  </si>
  <si>
    <t>SIL-47300-0000</t>
  </si>
  <si>
    <t>Management Fee</t>
  </si>
  <si>
    <t xml:space="preserve">Management Inc                                     </t>
  </si>
  <si>
    <t>SIL-47400-0000</t>
  </si>
  <si>
    <t>SIL-47400-0001</t>
  </si>
  <si>
    <t>Rental Income:LA</t>
  </si>
  <si>
    <t>SIL-47440-0000</t>
  </si>
  <si>
    <t>SIL-51001-0000</t>
  </si>
  <si>
    <t>SIL-51004-0000</t>
  </si>
  <si>
    <t>SIL-51007-0000</t>
  </si>
  <si>
    <t>SIL-51008-0000</t>
  </si>
  <si>
    <t>SIL-51009-0000</t>
  </si>
  <si>
    <t>SIL-51015-0000</t>
  </si>
  <si>
    <t>SIL-51017-0000</t>
  </si>
  <si>
    <t>SIL-51018-0000</t>
  </si>
  <si>
    <t>SIL-51019-0000</t>
  </si>
  <si>
    <t>SIL-51020-0000</t>
  </si>
  <si>
    <t>SIL-51024-0000</t>
  </si>
  <si>
    <t>SIL-51025-0000</t>
  </si>
  <si>
    <t>SIL-52001-0000</t>
  </si>
  <si>
    <t>SIL-53001-0000</t>
  </si>
  <si>
    <t>SIL-53002-0000</t>
  </si>
  <si>
    <t>SIL-53003-0000</t>
  </si>
  <si>
    <t>SIL-53004-0000</t>
  </si>
  <si>
    <t>SIL-53005-0000</t>
  </si>
  <si>
    <t>SIL-53006-0000</t>
  </si>
  <si>
    <t>SIL-54001-0000</t>
  </si>
  <si>
    <t>SIL-54002-0000</t>
  </si>
  <si>
    <t>SIL-54003-0000</t>
  </si>
  <si>
    <t>SIL-54004-0000</t>
  </si>
  <si>
    <t>SIL-54005-0000</t>
  </si>
  <si>
    <t>SIL-54006-0000</t>
  </si>
  <si>
    <t>SIL-54007-0000</t>
  </si>
  <si>
    <t>SIL-54008-0000</t>
  </si>
  <si>
    <t>SIL-57700-0000</t>
  </si>
  <si>
    <t>SIL-60002-0000</t>
  </si>
  <si>
    <t>SIL-60005-0000</t>
  </si>
  <si>
    <t>SIL-60006-0000</t>
  </si>
  <si>
    <t>SIL-60007-0000</t>
  </si>
  <si>
    <t>SIL-60008-0000</t>
  </si>
  <si>
    <t>SIL-60011-0000</t>
  </si>
  <si>
    <t>SIL-60012-0000</t>
  </si>
  <si>
    <t>SIL-60014-0001</t>
  </si>
  <si>
    <t>Mgt Fee-SSRE:LA</t>
  </si>
  <si>
    <t>SIL-60015-0000</t>
  </si>
  <si>
    <t>SIL-61018-0000</t>
  </si>
  <si>
    <t>SIL-61019-0000</t>
  </si>
  <si>
    <t>SIL-61022-0000</t>
  </si>
  <si>
    <t>SIL-61023-0000</t>
  </si>
  <si>
    <t>SIL-70100-0000</t>
  </si>
  <si>
    <t>SOF-10001-0000</t>
  </si>
  <si>
    <t>SOF-11216-0000</t>
  </si>
  <si>
    <t>SOF-11232-0000</t>
  </si>
  <si>
    <t>Interco-SC2</t>
  </si>
  <si>
    <t>SOF-11323-0000</t>
  </si>
  <si>
    <t>SOF-11343-0000</t>
  </si>
  <si>
    <t>SOF-12200-0000</t>
  </si>
  <si>
    <t>SOF-12300-0000</t>
  </si>
  <si>
    <t>SOF-14000-0000</t>
  </si>
  <si>
    <t>SOF-15000-0000</t>
  </si>
  <si>
    <t>SOF-15501-0000</t>
  </si>
  <si>
    <t>SOF-19001-0000</t>
  </si>
  <si>
    <t>SOF-20001-0000</t>
  </si>
  <si>
    <t>SOF-22001-0000</t>
  </si>
  <si>
    <t>SOF-23509-0000</t>
  </si>
  <si>
    <t>SOF-28023-0000</t>
  </si>
  <si>
    <t>Loan - MF1 Capital LLC</t>
  </si>
  <si>
    <t>SOF-30700-0000</t>
  </si>
  <si>
    <t>SOF-40110-0000</t>
  </si>
  <si>
    <t>SOF-40120-0000</t>
  </si>
  <si>
    <t>SOF-40130-0000</t>
  </si>
  <si>
    <t>SOF-40140-0000</t>
  </si>
  <si>
    <t>SOF-41110-0000</t>
  </si>
  <si>
    <t>SOF-41121-0000</t>
  </si>
  <si>
    <t>SOF-41122-0000</t>
  </si>
  <si>
    <t>SOF-41130-0000</t>
  </si>
  <si>
    <t>SOF-41140-0000</t>
  </si>
  <si>
    <t>SOF-41150-0000</t>
  </si>
  <si>
    <t>SOF-41160-0000</t>
  </si>
  <si>
    <t>SOF-41999-0000</t>
  </si>
  <si>
    <t>SOF-46000-0000</t>
  </si>
  <si>
    <t>SOF-47400-0000</t>
  </si>
  <si>
    <t>SOF-47430-0000</t>
  </si>
  <si>
    <t>SOF-47440-0000</t>
  </si>
  <si>
    <t>SOF-47450-0000</t>
  </si>
  <si>
    <t>SOF-47460-0000</t>
  </si>
  <si>
    <t>SOF-47480-0000</t>
  </si>
  <si>
    <t>SOF-47490-0000</t>
  </si>
  <si>
    <t>SOF-47491-0000</t>
  </si>
  <si>
    <t>SOF-47492-0000</t>
  </si>
  <si>
    <t>SOF-47493-0000</t>
  </si>
  <si>
    <t>SOF-51006-0000</t>
  </si>
  <si>
    <t>SOF-51008-0000</t>
  </si>
  <si>
    <t>SOF-51009-0000</t>
  </si>
  <si>
    <t>SOF-51011-0000</t>
  </si>
  <si>
    <t>SOF-51012-0000</t>
  </si>
  <si>
    <t>SOF-51015-0000</t>
  </si>
  <si>
    <t>SOF-51020-0000</t>
  </si>
  <si>
    <t>SOF-51028-0000</t>
  </si>
  <si>
    <t>SOF-51029-0000</t>
  </si>
  <si>
    <t>SOF-52001-0000</t>
  </si>
  <si>
    <t>SOF-52003-0000</t>
  </si>
  <si>
    <t>SOF-53001-0000</t>
  </si>
  <si>
    <t>SOF-53002-0000</t>
  </si>
  <si>
    <t>SOF-53003-0000</t>
  </si>
  <si>
    <t>SOF-53004-0000</t>
  </si>
  <si>
    <t>SOF-53005-0000</t>
  </si>
  <si>
    <t>SOF-53006-0000</t>
  </si>
  <si>
    <t>SOF-54002-0000</t>
  </si>
  <si>
    <t>SOF-54003-0000</t>
  </si>
  <si>
    <t>SOF-54004-0000</t>
  </si>
  <si>
    <t>SOF-54005-0000</t>
  </si>
  <si>
    <t>SOF-54006-0000</t>
  </si>
  <si>
    <t>SOF-54007-0000</t>
  </si>
  <si>
    <t>SOF-55503-0000</t>
  </si>
  <si>
    <t>SOF-55505-0000</t>
  </si>
  <si>
    <t>SOF-55506-0000</t>
  </si>
  <si>
    <t>SOF-60002-0000</t>
  </si>
  <si>
    <t>SOF-60006-0000</t>
  </si>
  <si>
    <t>SOF-60008-0000</t>
  </si>
  <si>
    <t>SOF-60012-0000</t>
  </si>
  <si>
    <t>SOF-60014-0000</t>
  </si>
  <si>
    <t>SOF-60015-0000</t>
  </si>
  <si>
    <t>SOF-61016-0000</t>
  </si>
  <si>
    <t>SOF-61018-0000</t>
  </si>
  <si>
    <t>SOU-10001-0000</t>
  </si>
  <si>
    <t>General CK-Manual</t>
  </si>
  <si>
    <t>SOU-20001-0000</t>
  </si>
  <si>
    <t>SOU-43200-0000</t>
  </si>
  <si>
    <t>SOU-50400-0000</t>
  </si>
  <si>
    <t>SOU-51002-0000</t>
  </si>
  <si>
    <t>SOU-51008-0000</t>
  </si>
  <si>
    <t>SOU-55506-0000</t>
  </si>
  <si>
    <t>SOU-60007-0000</t>
  </si>
  <si>
    <t>Prof-Accounting</t>
  </si>
  <si>
    <t>SOU-61019-0000</t>
  </si>
  <si>
    <t>SPA-10001-0000</t>
  </si>
  <si>
    <t>SPA-11000-0000</t>
  </si>
  <si>
    <t>SPA-11216-0000</t>
  </si>
  <si>
    <t>SPA-11323-0000</t>
  </si>
  <si>
    <t>SPA-11343-0000</t>
  </si>
  <si>
    <t>SPA-14000-0000</t>
  </si>
  <si>
    <t>SPA-15000-0000</t>
  </si>
  <si>
    <t>SPA-15501-0000</t>
  </si>
  <si>
    <t>SPA-19001-0000</t>
  </si>
  <si>
    <t>SPA-20001-0000</t>
  </si>
  <si>
    <t>SPA-22001-0000</t>
  </si>
  <si>
    <t>SPA-23509-0000</t>
  </si>
  <si>
    <t>SPA-25100-0000</t>
  </si>
  <si>
    <t>SPA-25300-0000</t>
  </si>
  <si>
    <t>SPA-28006-0000</t>
  </si>
  <si>
    <t>Loan - Arixa Institution</t>
  </si>
  <si>
    <t xml:space="preserve">Total Long Term Disabilities   </t>
  </si>
  <si>
    <t>SPA-30700-0000</t>
  </si>
  <si>
    <t>SPA-40110-0000</t>
  </si>
  <si>
    <t>SPA-40120-0000</t>
  </si>
  <si>
    <t>SPA-40130-0000</t>
  </si>
  <si>
    <t>SPA-41110-0000</t>
  </si>
  <si>
    <t>SPA-41121-0000</t>
  </si>
  <si>
    <t>SPA-41122-0000</t>
  </si>
  <si>
    <t>SPA-41130-0000</t>
  </si>
  <si>
    <t>SPA-41140-0000</t>
  </si>
  <si>
    <t>SPA-41150-0000</t>
  </si>
  <si>
    <t>SPA-41999-0000</t>
  </si>
  <si>
    <t>SPA-47400-0000</t>
  </si>
  <si>
    <t>SPA-47440-0000</t>
  </si>
  <si>
    <t>SPA-47450-0000</t>
  </si>
  <si>
    <t>SPA-47460-0000</t>
  </si>
  <si>
    <t>SPA-47480-0000</t>
  </si>
  <si>
    <t>SPA-47490-0000</t>
  </si>
  <si>
    <t>SPA-47491-0000</t>
  </si>
  <si>
    <t>SPA-47492-0000</t>
  </si>
  <si>
    <t>SPA-51006-0000</t>
  </si>
  <si>
    <t>SPA-51008-0000</t>
  </si>
  <si>
    <t>SPA-51009-0000</t>
  </si>
  <si>
    <t>SPA-51011-0000</t>
  </si>
  <si>
    <t>SPA-51012-0000</t>
  </si>
  <si>
    <t>SPA-51015-0000</t>
  </si>
  <si>
    <t>SPA-51018-0000</t>
  </si>
  <si>
    <t>SPA-51019-0000</t>
  </si>
  <si>
    <t>SPA-51020-0000</t>
  </si>
  <si>
    <t>SPA-52001-0000</t>
  </si>
  <si>
    <t>SPA-52003-0000</t>
  </si>
  <si>
    <t>SPA-52004-0000</t>
  </si>
  <si>
    <t>SPA-52006-0000</t>
  </si>
  <si>
    <t>SPA-53001-0000</t>
  </si>
  <si>
    <t>SPA-53002-0000</t>
  </si>
  <si>
    <t>SPA-53003-0000</t>
  </si>
  <si>
    <t>SPA-53004-0000</t>
  </si>
  <si>
    <t>SPA-53005-0000</t>
  </si>
  <si>
    <t>SPA-53006-0000</t>
  </si>
  <si>
    <t>SPA-54002-0000</t>
  </si>
  <si>
    <t>SPA-54003-0000</t>
  </si>
  <si>
    <t>SPA-54004-0000</t>
  </si>
  <si>
    <t>SPA-54005-0000</t>
  </si>
  <si>
    <t>SPA-54006-0000</t>
  </si>
  <si>
    <t>SPA-54007-0000</t>
  </si>
  <si>
    <t>SPA-55501-0000</t>
  </si>
  <si>
    <t>SPA-55502-0000</t>
  </si>
  <si>
    <t>SPA-55503-0000</t>
  </si>
  <si>
    <t>SPA-55504-0000</t>
  </si>
  <si>
    <t>SPA-55505-0000</t>
  </si>
  <si>
    <t>SPA-55506-0000</t>
  </si>
  <si>
    <t>SPA-60002-0000</t>
  </si>
  <si>
    <t>SPA-60005-0000</t>
  </si>
  <si>
    <t>SPA-60006-0000</t>
  </si>
  <si>
    <t>SPA-60007-0000</t>
  </si>
  <si>
    <t>SPA-60008-0000</t>
  </si>
  <si>
    <t>SPA-60012-0000</t>
  </si>
  <si>
    <t>SPA-60014-0000</t>
  </si>
  <si>
    <t>SPA-61016-0000</t>
  </si>
  <si>
    <t>SPA-61018-0000</t>
  </si>
  <si>
    <t>SPA-61019-0000</t>
  </si>
  <si>
    <t>SPA-61023-0000</t>
  </si>
  <si>
    <t>SPI-11355-0000</t>
  </si>
  <si>
    <t>SPI-11363-0000</t>
  </si>
  <si>
    <t>SPI-19000-0000</t>
  </si>
  <si>
    <t>SPI-40110-0000</t>
  </si>
  <si>
    <t>SPI-40120-0000</t>
  </si>
  <si>
    <t>SPI-40130-0000</t>
  </si>
  <si>
    <t>SPI-40140-0000</t>
  </si>
  <si>
    <t>SPI-41110-0000</t>
  </si>
  <si>
    <t>SPI-41121-0000</t>
  </si>
  <si>
    <t>SPI-41122-0000</t>
  </si>
  <si>
    <t>SPI-41130-0000</t>
  </si>
  <si>
    <t>SPI-41140-0000</t>
  </si>
  <si>
    <t>SPI-41150-0000</t>
  </si>
  <si>
    <t>SPI-41160-0000</t>
  </si>
  <si>
    <t>SPI-41999-0000</t>
  </si>
  <si>
    <t>SPI-47400-0000</t>
  </si>
  <si>
    <t>SPI-47430-0000</t>
  </si>
  <si>
    <t>SPI-47440-0000</t>
  </si>
  <si>
    <t>SPI-47450-0000</t>
  </si>
  <si>
    <t>SPI-47460-0000</t>
  </si>
  <si>
    <t>SPI-47480-0000</t>
  </si>
  <si>
    <t>SPI-51001-0000</t>
  </si>
  <si>
    <t>SPI-51008-0000</t>
  </si>
  <si>
    <t>SPI-51009-0000</t>
  </si>
  <si>
    <t>SPI-51012-0000</t>
  </si>
  <si>
    <t>SPI-51015-0000</t>
  </si>
  <si>
    <t>SPI-51017-0000</t>
  </si>
  <si>
    <t>SPI-51020-0000</t>
  </si>
  <si>
    <t>SPI-51025-0000</t>
  </si>
  <si>
    <t>SPI-52006-0000</t>
  </si>
  <si>
    <t>SPI-53001-0000</t>
  </si>
  <si>
    <t>SPI-53002-0000</t>
  </si>
  <si>
    <t>SPI-53003-0000</t>
  </si>
  <si>
    <t>SPI-53004-0000</t>
  </si>
  <si>
    <t>SPI-53005-0000</t>
  </si>
  <si>
    <t>SPI-53006-0000</t>
  </si>
  <si>
    <t>SPI-54001-0000</t>
  </si>
  <si>
    <t>SPI-54002-0000</t>
  </si>
  <si>
    <t>SPI-54003-0000</t>
  </si>
  <si>
    <t>SPI-54004-0000</t>
  </si>
  <si>
    <t>SPI-54005-0000</t>
  </si>
  <si>
    <t>SPI-54006-0000</t>
  </si>
  <si>
    <t>SPI-54007-0000</t>
  </si>
  <si>
    <t>SPI-54008-0000</t>
  </si>
  <si>
    <t>SPI-55501-0000</t>
  </si>
  <si>
    <t>SPI-55503-0000</t>
  </si>
  <si>
    <t>SPI-55505-0000</t>
  </si>
  <si>
    <t>SPI-55506-0000</t>
  </si>
  <si>
    <t>SPI-60002-0000</t>
  </si>
  <si>
    <t>SPI-60005-0000</t>
  </si>
  <si>
    <t>SPI-60006-0000</t>
  </si>
  <si>
    <t>SPI-60007-0000</t>
  </si>
  <si>
    <t>SPI-60008-0000</t>
  </si>
  <si>
    <t>SPI-60011-0000</t>
  </si>
  <si>
    <t>SPI-60012-0000</t>
  </si>
  <si>
    <t>SPI-60014-0000</t>
  </si>
  <si>
    <t>SPI-60015-0000</t>
  </si>
  <si>
    <t>SPI-61018-0000</t>
  </si>
  <si>
    <t>SPI-61019-0000</t>
  </si>
  <si>
    <t>SPI-99700-0000</t>
  </si>
  <si>
    <t>SPR-23509-0000</t>
  </si>
  <si>
    <t>SPR-43200-0000</t>
  </si>
  <si>
    <t>SPR-50300-0000</t>
  </si>
  <si>
    <t>SPR-50350-0000</t>
  </si>
  <si>
    <t>SPR-50400-0000</t>
  </si>
  <si>
    <t>SPR-51002-0000</t>
  </si>
  <si>
    <t>Gen Maint Labor</t>
  </si>
  <si>
    <t>SPR-55100-0000</t>
  </si>
  <si>
    <t>SPR-55501-0000</t>
  </si>
  <si>
    <t xml:space="preserve">Total Unage Enh/PM Expenses    </t>
  </si>
  <si>
    <t>SPR-57900-0000</t>
  </si>
  <si>
    <t>SPR-59160-0000</t>
  </si>
  <si>
    <t>SPR-70100-0000</t>
  </si>
  <si>
    <t>SPR-99901-0000</t>
  </si>
  <si>
    <t>STO-15501-0000</t>
  </si>
  <si>
    <t>STO-25300-0000</t>
  </si>
  <si>
    <t>STO-40110-0000</t>
  </si>
  <si>
    <t>STO-40120-0000</t>
  </si>
  <si>
    <t>STO-40130-0000</t>
  </si>
  <si>
    <t>STO-40140-0000</t>
  </si>
  <si>
    <t>STO-41110-0000</t>
  </si>
  <si>
    <t>STO-41121-0000</t>
  </si>
  <si>
    <t>STO-41122-0000</t>
  </si>
  <si>
    <t>STO-41130-0000</t>
  </si>
  <si>
    <t>STO-41140-0000</t>
  </si>
  <si>
    <t>STO-41150-0000</t>
  </si>
  <si>
    <t>STO-41160-0000</t>
  </si>
  <si>
    <t>STO-41999-0000</t>
  </si>
  <si>
    <t>STO-47400-0000</t>
  </si>
  <si>
    <t>STO-47410-0000</t>
  </si>
  <si>
    <t>NSF Fee</t>
  </si>
  <si>
    <t>STO-47420-0000</t>
  </si>
  <si>
    <t>STO-47430-0000</t>
  </si>
  <si>
    <t>STO-47480-0000</t>
  </si>
  <si>
    <t>STO-51005-0000</t>
  </si>
  <si>
    <t>STO-51006-0000</t>
  </si>
  <si>
    <t>STO-51008-0000</t>
  </si>
  <si>
    <t>STO-51009-0000</t>
  </si>
  <si>
    <t>STO-51011-0000</t>
  </si>
  <si>
    <t>STO-51012-0000</t>
  </si>
  <si>
    <t>STO-51020-0000</t>
  </si>
  <si>
    <t>STO-51025-0000</t>
  </si>
  <si>
    <t>STO-52003-0000</t>
  </si>
  <si>
    <t>STO-52006-0000</t>
  </si>
  <si>
    <t>STO-53001-0000</t>
  </si>
  <si>
    <t>STO-53002-0000</t>
  </si>
  <si>
    <t>STO-53003-0000</t>
  </si>
  <si>
    <t>STO-53004-0000</t>
  </si>
  <si>
    <t>STO-53005-0000</t>
  </si>
  <si>
    <t>STO-53006-0000</t>
  </si>
  <si>
    <t>STO-54001-0000</t>
  </si>
  <si>
    <t>STO-54002-0000</t>
  </si>
  <si>
    <t>STO-54003-0000</t>
  </si>
  <si>
    <t>STO-54004-0000</t>
  </si>
  <si>
    <t>STO-54005-0000</t>
  </si>
  <si>
    <t>STO-54006-0000</t>
  </si>
  <si>
    <t>STO-54007-0000</t>
  </si>
  <si>
    <t>STO-55501-0000</t>
  </si>
  <si>
    <t>STO-55502-0000</t>
  </si>
  <si>
    <t>STO-55503-0000</t>
  </si>
  <si>
    <t>STO-55504-0000</t>
  </si>
  <si>
    <t>STO-55505-0000</t>
  </si>
  <si>
    <t>STO-55506-0000</t>
  </si>
  <si>
    <t>STO-55508-0000</t>
  </si>
  <si>
    <t>STO-60001-0000</t>
  </si>
  <si>
    <t>STO-60002-0000</t>
  </si>
  <si>
    <t>STO-60005-0000</t>
  </si>
  <si>
    <t>STO-60007-0000</t>
  </si>
  <si>
    <t>STO-60011-0000</t>
  </si>
  <si>
    <t>STO-60012-0000</t>
  </si>
  <si>
    <t>STO-60014-0000</t>
  </si>
  <si>
    <t>STO-60015-0000</t>
  </si>
  <si>
    <t>STO-61019-0000</t>
  </si>
  <si>
    <t>TPI-10001-0000</t>
  </si>
  <si>
    <t>TPI-11000-0000</t>
  </si>
  <si>
    <t>TPI-11216-0000</t>
  </si>
  <si>
    <t>TPI-11318-0000</t>
  </si>
  <si>
    <t>TPI-11343-0000</t>
  </si>
  <si>
    <t>TPI-12200-0000</t>
  </si>
  <si>
    <t>TPI-14000-0000</t>
  </si>
  <si>
    <t>TPI-15000-0000</t>
  </si>
  <si>
    <t>TPI-15501-0000</t>
  </si>
  <si>
    <t>TPI-19001-0000</t>
  </si>
  <si>
    <t>TPI-22001-0000</t>
  </si>
  <si>
    <t>TPI-23509-0000</t>
  </si>
  <si>
    <t>TPI-25300-0000</t>
  </si>
  <si>
    <t>TPI-28001-0000</t>
  </si>
  <si>
    <t>Loan - Bridge Debt Strategies</t>
  </si>
  <si>
    <t>TPI-30700-0000</t>
  </si>
  <si>
    <t>TPI-40110-0000</t>
  </si>
  <si>
    <t>TPI-40120-0000</t>
  </si>
  <si>
    <t>TPI-40130-0000</t>
  </si>
  <si>
    <t>TPI-41110-0000</t>
  </si>
  <si>
    <t>TPI-41121-0000</t>
  </si>
  <si>
    <t>TPI-41122-0000</t>
  </si>
  <si>
    <t>TPI-41130-0000</t>
  </si>
  <si>
    <t>TPI-41140-0000</t>
  </si>
  <si>
    <t>TPI-41150-0000</t>
  </si>
  <si>
    <t>TPI-41999-0000</t>
  </si>
  <si>
    <t>TPI-47400-0000</t>
  </si>
  <si>
    <t>TPI-47430-0000</t>
  </si>
  <si>
    <t>TPI-47440-0000</t>
  </si>
  <si>
    <t>TPI-47450-0000</t>
  </si>
  <si>
    <t>TPI-47460-0000</t>
  </si>
  <si>
    <t>TPI-47480-0000</t>
  </si>
  <si>
    <t>TPI-47490-0000</t>
  </si>
  <si>
    <t>TPI-47491-0000</t>
  </si>
  <si>
    <t>TPI-47492-0000</t>
  </si>
  <si>
    <t>TPI-51006-0000</t>
  </si>
  <si>
    <t>TPI-51008-0000</t>
  </si>
  <si>
    <t>TPI-51009-0000</t>
  </si>
  <si>
    <t>TPI-51011-0000</t>
  </si>
  <si>
    <t>TPI-51012-0000</t>
  </si>
  <si>
    <t>TPI-51015-0000</t>
  </si>
  <si>
    <t>TPI-51017-0000</t>
  </si>
  <si>
    <t>TPI-51019-0000</t>
  </si>
  <si>
    <t>TPI-51020-0000</t>
  </si>
  <si>
    <t>TPI-52001-0000</t>
  </si>
  <si>
    <t>TPI-52002-0000</t>
  </si>
  <si>
    <t>TPI-52003-0000</t>
  </si>
  <si>
    <t>TPI-52004-0000</t>
  </si>
  <si>
    <t>TPI-52006-0000</t>
  </si>
  <si>
    <t>TPI-53001-0000</t>
  </si>
  <si>
    <t>TPI-53002-0000</t>
  </si>
  <si>
    <t>TPI-53003-0000</t>
  </si>
  <si>
    <t>TPI-53004-0000</t>
  </si>
  <si>
    <t>TPI-53005-0000</t>
  </si>
  <si>
    <t>TPI-53006-0000</t>
  </si>
  <si>
    <t>TPI-54002-0000</t>
  </si>
  <si>
    <t>TPI-54003-0000</t>
  </si>
  <si>
    <t>TPI-54004-0000</t>
  </si>
  <si>
    <t>TPI-54005-0000</t>
  </si>
  <si>
    <t>TPI-54006-0000</t>
  </si>
  <si>
    <t>TPI-54007-0000</t>
  </si>
  <si>
    <t>TPI-55501-0000</t>
  </si>
  <si>
    <t>TPI-55502-0000</t>
  </si>
  <si>
    <t>TPI-55503-0000</t>
  </si>
  <si>
    <t>TPI-55505-0000</t>
  </si>
  <si>
    <t>TPI-55506-0000</t>
  </si>
  <si>
    <t>TPI-55507-0000</t>
  </si>
  <si>
    <t>TPI-60002-0000</t>
  </si>
  <si>
    <t>TPI-60005-0000</t>
  </si>
  <si>
    <t>TPI-60006-0000</t>
  </si>
  <si>
    <t>TPI-60008-0000</t>
  </si>
  <si>
    <t>TPI-60012-0000</t>
  </si>
  <si>
    <t>TPI-60014-0000</t>
  </si>
  <si>
    <t>TPI-60015-0000</t>
  </si>
  <si>
    <t>TPI-61018-0000</t>
  </si>
  <si>
    <t>TPI-61019-0000</t>
  </si>
  <si>
    <t>TPI-61023-0000</t>
  </si>
  <si>
    <t>VAL-11000-0000</t>
  </si>
  <si>
    <t>VAL-15501-0000</t>
  </si>
  <si>
    <t>VAL-24801-0000</t>
  </si>
  <si>
    <t>VAL-40110-0000</t>
  </si>
  <si>
    <t>VAL-40120-0000</t>
  </si>
  <si>
    <t>VAL-40130-0000</t>
  </si>
  <si>
    <t>VAL-40140-0000</t>
  </si>
  <si>
    <t>VAL-41110-0000</t>
  </si>
  <si>
    <t>VAL-41121-0000</t>
  </si>
  <si>
    <t>VAL-41122-0000</t>
  </si>
  <si>
    <t>VAL-41130-0000</t>
  </si>
  <si>
    <t>VAL-41140-0000</t>
  </si>
  <si>
    <t>VAL-41150-0000</t>
  </si>
  <si>
    <t>VAL-41999-0000</t>
  </si>
  <si>
    <t>VAL-47400-0000</t>
  </si>
  <si>
    <t>VAL-47430-0000</t>
  </si>
  <si>
    <t>VAL-47440-0000</t>
  </si>
  <si>
    <t>VAL-47450-0000</t>
  </si>
  <si>
    <t>VAL-47460-0000</t>
  </si>
  <si>
    <t>VAL-47480-0000</t>
  </si>
  <si>
    <t>VAL-47492-0000</t>
  </si>
  <si>
    <t>VAL-51006-0000</t>
  </si>
  <si>
    <t>VAL-51008-0000</t>
  </si>
  <si>
    <t>VAL-51009-0000</t>
  </si>
  <si>
    <t>VAL-51011-0000</t>
  </si>
  <si>
    <t>VAL-51012-0000</t>
  </si>
  <si>
    <t>VAL-51017-0000</t>
  </si>
  <si>
    <t>VAL-51020-0000</t>
  </si>
  <si>
    <t>VAL-52003-0000</t>
  </si>
  <si>
    <t>VAL-52004-0000</t>
  </si>
  <si>
    <t>VAL-52006-0000</t>
  </si>
  <si>
    <t>VAL-53003-0000</t>
  </si>
  <si>
    <t>VAL-53004-0000</t>
  </si>
  <si>
    <t>VAL-53006-0000</t>
  </si>
  <si>
    <t>VAL-54003-0000</t>
  </si>
  <si>
    <t>VAL-54004-0000</t>
  </si>
  <si>
    <t>VAL-54006-0000</t>
  </si>
  <si>
    <t>VAL-54007-0000</t>
  </si>
  <si>
    <t>VAL-55501-0000</t>
  </si>
  <si>
    <t>VAL-55502-0000</t>
  </si>
  <si>
    <t>VAL-55503-0000</t>
  </si>
  <si>
    <t>PM - Plumbing</t>
  </si>
  <si>
    <t>VAL-55505-0000</t>
  </si>
  <si>
    <t>VAL-55506-0000</t>
  </si>
  <si>
    <t>VAL-60002-0000</t>
  </si>
  <si>
    <t>VAL-60005-0000</t>
  </si>
  <si>
    <t>VAL-60006-0000</t>
  </si>
  <si>
    <t>VAL-60007-0000</t>
  </si>
  <si>
    <t>VAL-60012-0000</t>
  </si>
  <si>
    <t>VAL-60014-0000</t>
  </si>
  <si>
    <t>VAL-60015-0000</t>
  </si>
  <si>
    <t>VAL-61019-0000</t>
  </si>
  <si>
    <t>VEN-15501-0000</t>
  </si>
  <si>
    <t>VEN-20001-0000</t>
  </si>
  <si>
    <t>VEN-25300-0000</t>
  </si>
  <si>
    <t>VEN-40110-0000</t>
  </si>
  <si>
    <t>VEN-40120-0000</t>
  </si>
  <si>
    <t>VEN-40130-0000</t>
  </si>
  <si>
    <t>VEN-40140-0000</t>
  </si>
  <si>
    <t>VEN-41110-0000</t>
  </si>
  <si>
    <t>VEN-41121-0000</t>
  </si>
  <si>
    <t>VEN-41122-0000</t>
  </si>
  <si>
    <t>VEN-41130-0000</t>
  </si>
  <si>
    <t>VEN-41150-0000</t>
  </si>
  <si>
    <t>VEN-41999-0000</t>
  </si>
  <si>
    <t>VEN-47400-0000</t>
  </si>
  <si>
    <t>VEN-47420-0000</t>
  </si>
  <si>
    <t>VEN-47430-0000</t>
  </si>
  <si>
    <t>VEN-47440-0000</t>
  </si>
  <si>
    <t>VEN-47460-0000</t>
  </si>
  <si>
    <t>VEN-47480-0000</t>
  </si>
  <si>
    <t>VEN-47490-0000</t>
  </si>
  <si>
    <t>VEN-47492-0000</t>
  </si>
  <si>
    <t>VEN-51006-0000</t>
  </si>
  <si>
    <t>VEN-51008-0000</t>
  </si>
  <si>
    <t>VEN-51009-0000</t>
  </si>
  <si>
    <t>VEN-51011-0000</t>
  </si>
  <si>
    <t>VEN-51012-0000</t>
  </si>
  <si>
    <t>VEN-51020-0000</t>
  </si>
  <si>
    <t>VEN-53001-0000</t>
  </si>
  <si>
    <t>VEN-53002-0000</t>
  </si>
  <si>
    <t>VEN-53003-0000</t>
  </si>
  <si>
    <t>VEN-53004-0000</t>
  </si>
  <si>
    <t>VEN-53005-0000</t>
  </si>
  <si>
    <t>VEN-53006-0000</t>
  </si>
  <si>
    <t>VEN-54003-0000</t>
  </si>
  <si>
    <t>VEN-54004-0000</t>
  </si>
  <si>
    <t>VEN-54006-0000</t>
  </si>
  <si>
    <t>VEN-54007-0000</t>
  </si>
  <si>
    <t>VEN-55501-0000</t>
  </si>
  <si>
    <t>VEN-55502-0000</t>
  </si>
  <si>
    <t>VEN-55503-0000</t>
  </si>
  <si>
    <t>VEN-55505-0000</t>
  </si>
  <si>
    <t>VEN-55506-0000</t>
  </si>
  <si>
    <t>VEN-60001-0000</t>
  </si>
  <si>
    <t>VEN-60002-0000</t>
  </si>
  <si>
    <t>VEN-60005-0000</t>
  </si>
  <si>
    <t>VEN-60006-0000</t>
  </si>
  <si>
    <t>VEN-60007-0000</t>
  </si>
  <si>
    <t>VEN-60008-0000</t>
  </si>
  <si>
    <t>VEN-60011-0000</t>
  </si>
  <si>
    <t>VEN-60012-0000</t>
  </si>
  <si>
    <t>VEN-60014-0000</t>
  </si>
  <si>
    <t>VEN-61018-0000</t>
  </si>
  <si>
    <t>VEN-61019-0000</t>
  </si>
  <si>
    <t>WEP-10001-0000</t>
  </si>
  <si>
    <t>WEP-10009-0000</t>
  </si>
  <si>
    <t>General Checking - 3rd Party</t>
  </si>
  <si>
    <t>WEP-10010-0000</t>
  </si>
  <si>
    <t>Security Deposit - 3rd Party</t>
  </si>
  <si>
    <t>WEP-11346-0000</t>
  </si>
  <si>
    <t>WEP-14000-0000</t>
  </si>
  <si>
    <t>WEP-15000-0000</t>
  </si>
  <si>
    <t>WEP-19001-0000</t>
  </si>
  <si>
    <t>WEP-22002-0000</t>
  </si>
  <si>
    <t>Unclaimed Property Payable</t>
  </si>
  <si>
    <t>WEP-22003-0000</t>
  </si>
  <si>
    <t>Tenant Refund Payable</t>
  </si>
  <si>
    <t>WEP-24800-0000</t>
  </si>
  <si>
    <t>WEP-28001-0000</t>
  </si>
  <si>
    <t>Loan - FBL</t>
  </si>
  <si>
    <t>WEP-30700-0000</t>
  </si>
  <si>
    <t>WEP-40110-0000</t>
  </si>
  <si>
    <t>WEP-40120-0000</t>
  </si>
  <si>
    <t>WEP-40130-0000</t>
  </si>
  <si>
    <t>WEP-40140-0000</t>
  </si>
  <si>
    <t>WEP-41110-0000</t>
  </si>
  <si>
    <t>WEP-41121-0000</t>
  </si>
  <si>
    <t>WEP-41122-0000</t>
  </si>
  <si>
    <t>WEP-41130-0000</t>
  </si>
  <si>
    <t>WEP-41140-0000</t>
  </si>
  <si>
    <t>WEP-41150-0000</t>
  </si>
  <si>
    <t>WEP-41999-0000</t>
  </si>
  <si>
    <t>WEP-45000-0000</t>
  </si>
  <si>
    <t>Enhancement Income</t>
  </si>
  <si>
    <t xml:space="preserve">Enhancement Inc                                    </t>
  </si>
  <si>
    <t>WEP-47400-0000</t>
  </si>
  <si>
    <t>WEP-47440-0000</t>
  </si>
  <si>
    <t>WEP-47450-0000</t>
  </si>
  <si>
    <t>WEP-47460-0000</t>
  </si>
  <si>
    <t>WEP-47480-0000</t>
  </si>
  <si>
    <t>WEP-47490-0000</t>
  </si>
  <si>
    <t>WEP-47491-0000</t>
  </si>
  <si>
    <t>WEP-47492-0000</t>
  </si>
  <si>
    <t>WEP-51005-0000</t>
  </si>
  <si>
    <t>WEP-51006-0000</t>
  </si>
  <si>
    <t>WEP-51008-0000</t>
  </si>
  <si>
    <t>WEP-51009-0000</t>
  </si>
  <si>
    <t>WEP-51011-0000</t>
  </si>
  <si>
    <t>WEP-51012-0000</t>
  </si>
  <si>
    <t>WEP-51013-0000</t>
  </si>
  <si>
    <t>WEP-51017-0000</t>
  </si>
  <si>
    <t>WEP-51018-0000</t>
  </si>
  <si>
    <t>WEP-51020-0000</t>
  </si>
  <si>
    <t>WEP-51021-0000</t>
  </si>
  <si>
    <t>WEP-51024-0000</t>
  </si>
  <si>
    <t>WEP-51025-0000</t>
  </si>
  <si>
    <t>WEP-51028-0000</t>
  </si>
  <si>
    <t>WEP-51029-0000</t>
  </si>
  <si>
    <t>WEP-52001-0000</t>
  </si>
  <si>
    <t>WEP-52002-0000</t>
  </si>
  <si>
    <t>WEP-53001-0000</t>
  </si>
  <si>
    <t>WEP-53002-0000</t>
  </si>
  <si>
    <t>WEP-53003-0000</t>
  </si>
  <si>
    <t>WEP-53004-0000</t>
  </si>
  <si>
    <t>WEP-53005-0000</t>
  </si>
  <si>
    <t>WEP-53006-0000</t>
  </si>
  <si>
    <t>WEP-54001-0000</t>
  </si>
  <si>
    <t>WEP-54002-0000</t>
  </si>
  <si>
    <t>WEP-54003-0000</t>
  </si>
  <si>
    <t>WEP-54004-0000</t>
  </si>
  <si>
    <t>WEP-54006-0000</t>
  </si>
  <si>
    <t>WEP-54007-0000</t>
  </si>
  <si>
    <t>WEP-55000-0000</t>
  </si>
  <si>
    <t>WEP-55502-0000</t>
  </si>
  <si>
    <t>WEP-55504-0000</t>
  </si>
  <si>
    <t>WEP-55505-0000</t>
  </si>
  <si>
    <t>WEP-55506-0000</t>
  </si>
  <si>
    <t>WEP-60002-0000</t>
  </si>
  <si>
    <t>WEP-60005-0000</t>
  </si>
  <si>
    <t>WEP-60006-0000</t>
  </si>
  <si>
    <t>WEP-60008-0000</t>
  </si>
  <si>
    <t>WEP-60012-0000</t>
  </si>
  <si>
    <t>WEP-60015-0000</t>
  </si>
  <si>
    <t>WEP-61018-0000</t>
  </si>
  <si>
    <t>WEP-61022-0000</t>
  </si>
  <si>
    <t>WEP-61023-0000</t>
  </si>
  <si>
    <t>WES-20001-0000</t>
  </si>
  <si>
    <t>WES-40110-0002</t>
  </si>
  <si>
    <t>Baseline Rents:CY</t>
  </si>
  <si>
    <t>WES-40120-0000</t>
  </si>
  <si>
    <t>WES-40130-0000</t>
  </si>
  <si>
    <t>WES-41110-0002</t>
  </si>
  <si>
    <t>Vacancy Loss - CY</t>
  </si>
  <si>
    <t>WES-41121-0000</t>
  </si>
  <si>
    <t>WES-41122-0000</t>
  </si>
  <si>
    <t>WES-41130-0000</t>
  </si>
  <si>
    <t>WES-41999-0002</t>
  </si>
  <si>
    <t>Contra-Collected Ren:CY</t>
  </si>
  <si>
    <t>WES-47400-0002</t>
  </si>
  <si>
    <t>Rental Income:CY</t>
  </si>
  <si>
    <t>WES-47460-0000</t>
  </si>
  <si>
    <t>WES-47480-0000</t>
  </si>
  <si>
    <t>WES-47490-0000</t>
  </si>
  <si>
    <t>WES-51013-0000</t>
  </si>
  <si>
    <t>WES-60002-0000</t>
  </si>
  <si>
    <t>WES-60005-0000</t>
  </si>
  <si>
    <t>WES-60006-0002</t>
  </si>
  <si>
    <t>Interest Expense:CY</t>
  </si>
  <si>
    <t>WES-60007-0000</t>
  </si>
  <si>
    <t>WES-60012-0002</t>
  </si>
  <si>
    <t>Taxes-Property:CY</t>
  </si>
  <si>
    <t>WES-60014-0000</t>
  </si>
  <si>
    <t>WES-60014-0002</t>
  </si>
  <si>
    <t>Mgt Fee-SSRE:CY</t>
  </si>
  <si>
    <t>WES-61019-0000</t>
  </si>
  <si>
    <t>WIC-10001-0000</t>
  </si>
  <si>
    <t>WIC-30700-0000</t>
  </si>
  <si>
    <t>WIL-60002-0000</t>
  </si>
  <si>
    <t>WIL-60007-0000</t>
  </si>
  <si>
    <t>WIL-60015-0000</t>
  </si>
  <si>
    <t>WIL-61018-0000</t>
  </si>
  <si>
    <t>WIL-61019-0000</t>
  </si>
  <si>
    <t>WOO-15501-0000</t>
  </si>
  <si>
    <t>WOO-20001-0000</t>
  </si>
  <si>
    <t>WOO-25300-0000</t>
  </si>
  <si>
    <t>WOO-40110-0000</t>
  </si>
  <si>
    <t>WOO-40120-0000</t>
  </si>
  <si>
    <t>WOO-40130-0000</t>
  </si>
  <si>
    <t>WOO-40140-0000</t>
  </si>
  <si>
    <t>WOO-41110-0000</t>
  </si>
  <si>
    <t>WOO-41121-0000</t>
  </si>
  <si>
    <t>WOO-41122-0000</t>
  </si>
  <si>
    <t>WOO-41130-0000</t>
  </si>
  <si>
    <t>WOO-41140-0000</t>
  </si>
  <si>
    <t>WOO-41150-0000</t>
  </si>
  <si>
    <t>WOO-41160-0000</t>
  </si>
  <si>
    <t>WOO-41999-0000</t>
  </si>
  <si>
    <t>WOO-47400-0000</t>
  </si>
  <si>
    <t>WOO-47420-0000</t>
  </si>
  <si>
    <t>WOO-47430-0000</t>
  </si>
  <si>
    <t>WOO-47450-0000</t>
  </si>
  <si>
    <t>WOO-47460-0000</t>
  </si>
  <si>
    <t>WOO-47480-0000</t>
  </si>
  <si>
    <t>WOO-47490-0000</t>
  </si>
  <si>
    <t>WOO-47492-0000</t>
  </si>
  <si>
    <t>WOO-51006-0000</t>
  </si>
  <si>
    <t>WOO-51008-0000</t>
  </si>
  <si>
    <t>WOO-51009-0000</t>
  </si>
  <si>
    <t>WOO-51011-0000</t>
  </si>
  <si>
    <t>WOO-51012-0000</t>
  </si>
  <si>
    <t>WOO-51015-0000</t>
  </si>
  <si>
    <t>WOO-51020-0000</t>
  </si>
  <si>
    <t>WOO-51025-0000</t>
  </si>
  <si>
    <t>WOO-53001-0000</t>
  </si>
  <si>
    <t>WOO-53002-0000</t>
  </si>
  <si>
    <t>WOO-53003-0000</t>
  </si>
  <si>
    <t>WOO-53004-0000</t>
  </si>
  <si>
    <t>WOO-53005-0000</t>
  </si>
  <si>
    <t>WOO-53006-0000</t>
  </si>
  <si>
    <t>WOO-54001-0000</t>
  </si>
  <si>
    <t>WOO-54002-0000</t>
  </si>
  <si>
    <t>WOO-54003-0000</t>
  </si>
  <si>
    <t>WOO-54004-0000</t>
  </si>
  <si>
    <t>WOO-54005-0000</t>
  </si>
  <si>
    <t>WOO-54006-0000</t>
  </si>
  <si>
    <t>WOO-54007-0000</t>
  </si>
  <si>
    <t>WOO-54008-0000</t>
  </si>
  <si>
    <t>WOO-55000-0000</t>
  </si>
  <si>
    <t>WOO-55501-0000</t>
  </si>
  <si>
    <t>WOO-55502-0000</t>
  </si>
  <si>
    <t>WOO-55503-0000</t>
  </si>
  <si>
    <t>WOO-55505-0000</t>
  </si>
  <si>
    <t>WOO-55506-0000</t>
  </si>
  <si>
    <t>WOO-55508-0000</t>
  </si>
  <si>
    <t>WOO-60001-0000</t>
  </si>
  <si>
    <t>WOO-60002-0000</t>
  </si>
  <si>
    <t>WOO-60005-0000</t>
  </si>
  <si>
    <t>WOO-60006-0000</t>
  </si>
  <si>
    <t>WOO-60007-0000</t>
  </si>
  <si>
    <t>WOO-60008-0000</t>
  </si>
  <si>
    <t>WOO-60011-0000</t>
  </si>
  <si>
    <t>WOO-60012-0000</t>
  </si>
  <si>
    <t>WOO-60014-0000</t>
  </si>
  <si>
    <t>WOO-60015-0000</t>
  </si>
  <si>
    <t>WOO-61019-0000</t>
  </si>
  <si>
    <t>WOO-70400-0000</t>
  </si>
  <si>
    <t>ZPI-15501-0000</t>
  </si>
  <si>
    <t>ZPI-40110-0000</t>
  </si>
  <si>
    <t>ZPI-40120-0000</t>
  </si>
  <si>
    <t>ZPI-40130-0000</t>
  </si>
  <si>
    <t>ZPI-40140-0000</t>
  </si>
  <si>
    <t>ZPI-41110-0000</t>
  </si>
  <si>
    <t>ZPI-41121-0000</t>
  </si>
  <si>
    <t>ZPI-41122-0000</t>
  </si>
  <si>
    <t>ZPI-41130-0000</t>
  </si>
  <si>
    <t>ZPI-41150-0000</t>
  </si>
  <si>
    <t>ZPI-41160-0000</t>
  </si>
  <si>
    <t>ZPI-41999-0000</t>
  </si>
  <si>
    <t>ZPI-47400-0000</t>
  </si>
  <si>
    <t>ZPI-47420-0000</t>
  </si>
  <si>
    <t>ZPI-47430-0000</t>
  </si>
  <si>
    <t>ZPI-47440-0000</t>
  </si>
  <si>
    <t>ZPI-47450-0000</t>
  </si>
  <si>
    <t>ZPI-47460-0000</t>
  </si>
  <si>
    <t>ZPI-47480-0000</t>
  </si>
  <si>
    <t>ZPI-47490-0000</t>
  </si>
  <si>
    <t>ZPI-47491-0000</t>
  </si>
  <si>
    <t>ZPI-47492-0000</t>
  </si>
  <si>
    <t>ZPI-47493-0000</t>
  </si>
  <si>
    <t>ZPI-51001-0000</t>
  </si>
  <si>
    <t>ZPI-51003-0000</t>
  </si>
  <si>
    <t>ZPI-51005-0000</t>
  </si>
  <si>
    <t>ZPI-51006-0000</t>
  </si>
  <si>
    <t>ZPI-51008-0000</t>
  </si>
  <si>
    <t>ZPI-51009-0000</t>
  </si>
  <si>
    <t>ZPI-51011-0000</t>
  </si>
  <si>
    <t>ZPI-51012-0000</t>
  </si>
  <si>
    <t>ZPI-51013-0000</t>
  </si>
  <si>
    <t>ZPI-51015-0000</t>
  </si>
  <si>
    <t>ZPI-51017-0000</t>
  </si>
  <si>
    <t>ZPI-51019-0000</t>
  </si>
  <si>
    <t>ZPI-51020-0000</t>
  </si>
  <si>
    <t>ZPI-51021-0000</t>
  </si>
  <si>
    <t>ZPI-51025-0000</t>
  </si>
  <si>
    <t>ZPI-52001-0000</t>
  </si>
  <si>
    <t>ZPI-52002-0000</t>
  </si>
  <si>
    <t>ZPI-52003-0000</t>
  </si>
  <si>
    <t>ZPI-52004-0000</t>
  </si>
  <si>
    <t>ZPI-52006-0000</t>
  </si>
  <si>
    <t>ZPI-53001-0000</t>
  </si>
  <si>
    <t>ZPI-53002-0000</t>
  </si>
  <si>
    <t>ZPI-53003-0000</t>
  </si>
  <si>
    <t>ZPI-53004-0000</t>
  </si>
  <si>
    <t>ZPI-53005-0000</t>
  </si>
  <si>
    <t>ZPI-53006-0000</t>
  </si>
  <si>
    <t>ZPI-54001-0000</t>
  </si>
  <si>
    <t>ZPI-54002-0000</t>
  </si>
  <si>
    <t>ZPI-54003-0000</t>
  </si>
  <si>
    <t>ZPI-54004-0000</t>
  </si>
  <si>
    <t>ZPI-54005-0000</t>
  </si>
  <si>
    <t>ZPI-54006-0000</t>
  </si>
  <si>
    <t>ZPI-54007-0000</t>
  </si>
  <si>
    <t>ZPI-54008-0000</t>
  </si>
  <si>
    <t>ZPI-55501-0000</t>
  </si>
  <si>
    <t>ZPI-55502-0000</t>
  </si>
  <si>
    <t>ZPI-55503-0000</t>
  </si>
  <si>
    <t>ZPI-55505-0000</t>
  </si>
  <si>
    <t>ZPI-55506-0000</t>
  </si>
  <si>
    <t>ZPI-55507-0000</t>
  </si>
  <si>
    <t>PM Pool</t>
  </si>
  <si>
    <t>ZPI-60001-0000</t>
  </si>
  <si>
    <t>ZPI-60002-0000</t>
  </si>
  <si>
    <t>ZPI-60005-0000</t>
  </si>
  <si>
    <t>ZPI-60006-0000</t>
  </si>
  <si>
    <t>ZPI-60007-0000</t>
  </si>
  <si>
    <t>ZPI-60008-0000</t>
  </si>
  <si>
    <t>ZPI-60012-0000</t>
  </si>
  <si>
    <t>ZPI-60014-0000</t>
  </si>
  <si>
    <t>ZPI-60015-0000</t>
  </si>
  <si>
    <t>ZPI-61018-0000</t>
  </si>
  <si>
    <t>ZPI-61019-0000</t>
  </si>
  <si>
    <t>ZPI-61022-0000</t>
  </si>
  <si>
    <t>ZPI-61023-0000</t>
  </si>
  <si>
    <t>General Checking  - BOW</t>
  </si>
  <si>
    <t>AKG-10006-0000</t>
  </si>
  <si>
    <t>General Checking - BofA</t>
  </si>
  <si>
    <t>Interco  SIL</t>
  </si>
  <si>
    <t>Interco  CRE</t>
  </si>
  <si>
    <t>Interco  CHA</t>
  </si>
  <si>
    <t>Interco  DIA</t>
  </si>
  <si>
    <t>Interco  EAG</t>
  </si>
  <si>
    <t>Interco  NEW</t>
  </si>
  <si>
    <t>Interco  GPI</t>
  </si>
  <si>
    <t>Interco  ALP</t>
  </si>
  <si>
    <t>Interco  BET</t>
  </si>
  <si>
    <t>Interco  DOL</t>
  </si>
  <si>
    <t>Interco  PUR</t>
  </si>
  <si>
    <t>Interco  VAL</t>
  </si>
  <si>
    <t>IntercoOVA</t>
  </si>
  <si>
    <t>IntercoWOO</t>
  </si>
  <si>
    <t>IntercoNET</t>
  </si>
  <si>
    <t>Interco  DPI</t>
  </si>
  <si>
    <t>Interco  SEK</t>
  </si>
  <si>
    <t>Interco  LOM</t>
  </si>
  <si>
    <t>Interco  MAR</t>
  </si>
  <si>
    <t>Inteco  STO</t>
  </si>
  <si>
    <t>Interco  ANG</t>
  </si>
  <si>
    <t>Interco  BRU</t>
  </si>
  <si>
    <t>Interco  VEN</t>
  </si>
  <si>
    <t>Interco  SAT</t>
  </si>
  <si>
    <t>Interco  NEP</t>
  </si>
  <si>
    <t>AKG-12100-0000</t>
  </si>
  <si>
    <t>AKG-13810-0000</t>
  </si>
  <si>
    <t>AKG-14100-0000</t>
  </si>
  <si>
    <t>Build Furn - Equip</t>
  </si>
  <si>
    <t>AKG-15700-0000</t>
  </si>
  <si>
    <t>AKG-22000-0000</t>
  </si>
  <si>
    <t>AKG-22800-0000</t>
  </si>
  <si>
    <t>Tenant Sec Deposits</t>
  </si>
  <si>
    <t>AKG-22905-0000</t>
  </si>
  <si>
    <t>Prepaid Rent</t>
  </si>
  <si>
    <t>AKG-25600-0000</t>
  </si>
  <si>
    <t>Loan  JLL</t>
  </si>
  <si>
    <t>AKG-36000-0000</t>
  </si>
  <si>
    <t>SH Dist</t>
  </si>
  <si>
    <t>AKG-36005-0000</t>
  </si>
  <si>
    <t>SH Dist  DFT</t>
  </si>
  <si>
    <t>AKG-38100-0000</t>
  </si>
  <si>
    <t>AKG-41120-0000</t>
  </si>
  <si>
    <t>Loss/Gain to Lease</t>
  </si>
  <si>
    <t>AKG-42110-0000</t>
  </si>
  <si>
    <t>Less Vacancy Loss</t>
  </si>
  <si>
    <t>AKG-42150-0000</t>
  </si>
  <si>
    <t>Less Manager Units</t>
  </si>
  <si>
    <t>AKG-42160-0000</t>
  </si>
  <si>
    <t>AKG-43120-0000</t>
  </si>
  <si>
    <t>AKG-43121-0000</t>
  </si>
  <si>
    <t>AKG-43410-0000</t>
  </si>
  <si>
    <t>NSF Charge/Late Fee</t>
  </si>
  <si>
    <t>AKG-43440-0000</t>
  </si>
  <si>
    <t>Misc Income</t>
  </si>
  <si>
    <t>AKG-43480-0000</t>
  </si>
  <si>
    <t>Application Income</t>
  </si>
  <si>
    <t>AKG-43490-0000</t>
  </si>
  <si>
    <t>Pet Income</t>
  </si>
  <si>
    <t>AKG-43491-0000</t>
  </si>
  <si>
    <t>AKG-43492-0000</t>
  </si>
  <si>
    <t>InsuranceTenant</t>
  </si>
  <si>
    <t>AKG-49500-9999</t>
  </si>
  <si>
    <t>Gen  RepairDoors</t>
  </si>
  <si>
    <t>Gen  RepairElectric</t>
  </si>
  <si>
    <t>Gen  RepairGate</t>
  </si>
  <si>
    <t>Gen  RepairGeneral</t>
  </si>
  <si>
    <t>Gen  RepairPlumbing</t>
  </si>
  <si>
    <t>Gen  Landscaping</t>
  </si>
  <si>
    <t>Gen  Pest Control</t>
  </si>
  <si>
    <t>Gen  Pool</t>
  </si>
  <si>
    <t>Gen  Auto Expense</t>
  </si>
  <si>
    <t>Gen  Dues - Subscr</t>
  </si>
  <si>
    <t>Gen  Meals-Ent</t>
  </si>
  <si>
    <t>Gen  Office Supplies</t>
  </si>
  <si>
    <t>Insurance  W-C Expense</t>
  </si>
  <si>
    <t>CGS</t>
  </si>
  <si>
    <t>Insurance  Tenant</t>
  </si>
  <si>
    <t>Security-Patrol</t>
  </si>
  <si>
    <t>RR  Advertising and Promotion</t>
  </si>
  <si>
    <t>RR  Carpet</t>
  </si>
  <si>
    <t>RR  Cleaning</t>
  </si>
  <si>
    <t>Utils  Telephone Exp</t>
  </si>
  <si>
    <t>Utils  Trash</t>
  </si>
  <si>
    <t>Utils  Electric</t>
  </si>
  <si>
    <t>Utils  Gas</t>
  </si>
  <si>
    <t>Utils  Water</t>
  </si>
  <si>
    <t>AKG-53011-0000</t>
  </si>
  <si>
    <t>Utils  Comp - Internet</t>
  </si>
  <si>
    <t>Utils - Comp -Internet</t>
  </si>
  <si>
    <t>Payroll ExpRes Mgrs</t>
  </si>
  <si>
    <t>Payroll ExpProp Ass</t>
  </si>
  <si>
    <t>AKG-61002-0000</t>
  </si>
  <si>
    <t>AKG-61005-0000</t>
  </si>
  <si>
    <t>AKG-61007-0000</t>
  </si>
  <si>
    <t>Professional   Accounting</t>
  </si>
  <si>
    <t>AKG-61012-0000</t>
  </si>
  <si>
    <t>Taxes  Property</t>
  </si>
  <si>
    <t>AKG-61014-0000</t>
  </si>
  <si>
    <t>Management Fee  SSRE</t>
  </si>
  <si>
    <t>AKG-61015-0000</t>
  </si>
  <si>
    <t>License - Permit</t>
  </si>
  <si>
    <t>AKG-71010-0000</t>
  </si>
  <si>
    <t>AKG-71020-0000</t>
  </si>
  <si>
    <t>PM  Landscape</t>
  </si>
  <si>
    <t>AKG-71030-0000</t>
  </si>
  <si>
    <t>PM  Electrical</t>
  </si>
  <si>
    <t>AKG-71040-0000</t>
  </si>
  <si>
    <t>PM  Plumbing</t>
  </si>
  <si>
    <t>AKG-71050-0000</t>
  </si>
  <si>
    <t>PM  Gate</t>
  </si>
  <si>
    <t>AKG-71060-0000</t>
  </si>
  <si>
    <t>PM  General</t>
  </si>
  <si>
    <t>AKG-71070-0000</t>
  </si>
  <si>
    <t>PM  Rent Ready</t>
  </si>
  <si>
    <t>AKG-71080-0000</t>
  </si>
  <si>
    <t>PM  Pool</t>
  </si>
  <si>
    <t>AKG-71100-0000</t>
  </si>
  <si>
    <t>RR  Painting</t>
  </si>
  <si>
    <t>AKG-71110-0000</t>
  </si>
  <si>
    <t>RR  Unit Rennovations</t>
  </si>
  <si>
    <t>AKG-80006-0000</t>
  </si>
  <si>
    <t>AKG-81019-0000</t>
  </si>
  <si>
    <t>Taxes  CA FTB</t>
  </si>
  <si>
    <t>AKG-81228-0000</t>
  </si>
  <si>
    <t>General Checking - BOC</t>
  </si>
  <si>
    <t>ALP-10006-0000</t>
  </si>
  <si>
    <t>Interco  GRI</t>
  </si>
  <si>
    <t>IntecoAKG</t>
  </si>
  <si>
    <t>Interco  AKS</t>
  </si>
  <si>
    <t>Interco  WIL</t>
  </si>
  <si>
    <t>Interco  EAS</t>
  </si>
  <si>
    <t>ALP-12100-0000</t>
  </si>
  <si>
    <t>ALP-13810-0000</t>
  </si>
  <si>
    <t>ALP-13820-0000</t>
  </si>
  <si>
    <t>ALP-14100-0000</t>
  </si>
  <si>
    <t>ALP-15700-0000</t>
  </si>
  <si>
    <t>ALP-22000-0000</t>
  </si>
  <si>
    <t>ALP-22800-0000</t>
  </si>
  <si>
    <t>ALP-22905-0000</t>
  </si>
  <si>
    <t>ALP-23800-0000</t>
  </si>
  <si>
    <t>EILD Loan</t>
  </si>
  <si>
    <t>ALP-25600-0000</t>
  </si>
  <si>
    <t>Loan  COHEN</t>
  </si>
  <si>
    <t>ALP-28017-0000</t>
  </si>
  <si>
    <t>ALP-36000-0000</t>
  </si>
  <si>
    <t>ALP-38100-0000</t>
  </si>
  <si>
    <t>ALP-41120-0000</t>
  </si>
  <si>
    <t>ALP-42110-0000</t>
  </si>
  <si>
    <t>ALP-42130-0000</t>
  </si>
  <si>
    <t>Less Promotion</t>
  </si>
  <si>
    <t>ALP-42150-0000</t>
  </si>
  <si>
    <t>ALP-43120-0000</t>
  </si>
  <si>
    <t>ALP-43121-0000</t>
  </si>
  <si>
    <t>ALP-43410-0000</t>
  </si>
  <si>
    <t>ALP-43430-0000</t>
  </si>
  <si>
    <t>ALP-43440-0000</t>
  </si>
  <si>
    <t>ALP-43450-0000</t>
  </si>
  <si>
    <t>ALP-43480-0000</t>
  </si>
  <si>
    <t>ALP-43491-0000</t>
  </si>
  <si>
    <t>ALP-43492-0000</t>
  </si>
  <si>
    <t>ALP-49500-9999</t>
  </si>
  <si>
    <t>Gen  Maint Labor</t>
  </si>
  <si>
    <t>ALP-52007-0000</t>
  </si>
  <si>
    <t>RR  Unit Conversion</t>
  </si>
  <si>
    <t>Utils  Sewer</t>
  </si>
  <si>
    <t>ALP-53011-0000</t>
  </si>
  <si>
    <t>ALP-61002-0000</t>
  </si>
  <si>
    <t>ALP-61005-0000</t>
  </si>
  <si>
    <t>ALP-61007-0000</t>
  </si>
  <si>
    <t>ALP-61008-0000</t>
  </si>
  <si>
    <t>Professional  Legal</t>
  </si>
  <si>
    <t>Professional- Legal</t>
  </si>
  <si>
    <t>ALP-61012-0000</t>
  </si>
  <si>
    <t>ALP-61014-0000</t>
  </si>
  <si>
    <t>ALP-61015-0000</t>
  </si>
  <si>
    <t>ALP-71020-0000</t>
  </si>
  <si>
    <t>ALP-71030-0000</t>
  </si>
  <si>
    <t>ALP-71040-0000</t>
  </si>
  <si>
    <t>ALP-71050-0000</t>
  </si>
  <si>
    <t>ALP-71060-0000</t>
  </si>
  <si>
    <t>ALP-71070-0000</t>
  </si>
  <si>
    <t>ALP-71080-0000</t>
  </si>
  <si>
    <t>ALP-71100-0000</t>
  </si>
  <si>
    <t>ALP-71110-0000</t>
  </si>
  <si>
    <t>ALP-80006-0000</t>
  </si>
  <si>
    <t>ALP-81019-0000</t>
  </si>
  <si>
    <t>ALP-81228-0000</t>
  </si>
  <si>
    <t>API-10005-0000</t>
  </si>
  <si>
    <t>General Checking - CBC</t>
  </si>
  <si>
    <t>API-10011-0000</t>
  </si>
  <si>
    <t>General Checking - CAPEX</t>
  </si>
  <si>
    <t>General Checking - Rabo Bank</t>
  </si>
  <si>
    <t>API-12100-0000</t>
  </si>
  <si>
    <t>API-13810-0000</t>
  </si>
  <si>
    <t>API-13821-0000</t>
  </si>
  <si>
    <t>API-14100-0000</t>
  </si>
  <si>
    <t>API-15700-0000</t>
  </si>
  <si>
    <t>API-22000-0000</t>
  </si>
  <si>
    <t>API-22800-0000</t>
  </si>
  <si>
    <t>API-22905-0000</t>
  </si>
  <si>
    <t>API-25602-0000</t>
  </si>
  <si>
    <t>Note Payable  DFLP</t>
  </si>
  <si>
    <t>API-28005-0000</t>
  </si>
  <si>
    <t>API-28018-0000</t>
  </si>
  <si>
    <t>Capital Contribution  CBowen</t>
  </si>
  <si>
    <t>API-31900-0000</t>
  </si>
  <si>
    <t>Capital Contribution  Josh Bowman</t>
  </si>
  <si>
    <t>API-36000-0000</t>
  </si>
  <si>
    <t>API-38100-0000</t>
  </si>
  <si>
    <t>API-41120-0000</t>
  </si>
  <si>
    <t>API-42110-0000</t>
  </si>
  <si>
    <t>API-42130-0000</t>
  </si>
  <si>
    <t>API-42150-0000</t>
  </si>
  <si>
    <t>API-42160-0000</t>
  </si>
  <si>
    <t>API-43120-0000</t>
  </si>
  <si>
    <t>API-43121-0000</t>
  </si>
  <si>
    <t>API-43410-0000</t>
  </si>
  <si>
    <t>API-43430-0000</t>
  </si>
  <si>
    <t>API-43440-0000</t>
  </si>
  <si>
    <t>API-43450-0000</t>
  </si>
  <si>
    <t>API-43480-0000</t>
  </si>
  <si>
    <t>API-43490-0000</t>
  </si>
  <si>
    <t>API-43491-0000</t>
  </si>
  <si>
    <t>API-43492-0000</t>
  </si>
  <si>
    <t>API-43493-0000</t>
  </si>
  <si>
    <t>API-49500-9999</t>
  </si>
  <si>
    <t>Gen  RepCommon Area</t>
  </si>
  <si>
    <t>API-52007-0000</t>
  </si>
  <si>
    <t>API-53011-0000</t>
  </si>
  <si>
    <t>API-61002-0000</t>
  </si>
  <si>
    <t>API-61005-0000</t>
  </si>
  <si>
    <t>API-61007-0000</t>
  </si>
  <si>
    <t>API-61008-0000</t>
  </si>
  <si>
    <t>API-61012-0000</t>
  </si>
  <si>
    <t>API-61014-0000</t>
  </si>
  <si>
    <t>API-61015-0000</t>
  </si>
  <si>
    <t>API-61017-0000</t>
  </si>
  <si>
    <t>Insurance Expense</t>
  </si>
  <si>
    <t>API-71020-0000</t>
  </si>
  <si>
    <t>API-71030-0000</t>
  </si>
  <si>
    <t>API-71040-0000</t>
  </si>
  <si>
    <t>API-71050-0000</t>
  </si>
  <si>
    <t>API-71060-0000</t>
  </si>
  <si>
    <t>API-71070-0000</t>
  </si>
  <si>
    <t>API-71080-0000</t>
  </si>
  <si>
    <t>API-71100-0000</t>
  </si>
  <si>
    <t>API-71110-0000</t>
  </si>
  <si>
    <t>API-80006-0000</t>
  </si>
  <si>
    <t>API-81019-0000</t>
  </si>
  <si>
    <t>API-81228-0000</t>
  </si>
  <si>
    <t>BET-10006-0000</t>
  </si>
  <si>
    <t>Interco  Laguna</t>
  </si>
  <si>
    <t>IntercoFIR</t>
  </si>
  <si>
    <t>Interco  SPI</t>
  </si>
  <si>
    <t>BET-12100-0000</t>
  </si>
  <si>
    <t>BET-13810-0000</t>
  </si>
  <si>
    <t>BET-13820-0000</t>
  </si>
  <si>
    <t>BET-14100-0000</t>
  </si>
  <si>
    <t>BET-15700-0000</t>
  </si>
  <si>
    <t>BET-22000-0000</t>
  </si>
  <si>
    <t>BET-22800-0000</t>
  </si>
  <si>
    <t>BET-22900-0000</t>
  </si>
  <si>
    <t>BET-22905-0000</t>
  </si>
  <si>
    <t>BET-25600-0000</t>
  </si>
  <si>
    <t>BET-25604-0000</t>
  </si>
  <si>
    <t>Note Payable</t>
  </si>
  <si>
    <t>BET-28005-0000</t>
  </si>
  <si>
    <t>BET-28014-0000</t>
  </si>
  <si>
    <t>Loan - Rabobank</t>
  </si>
  <si>
    <t>BET-28019-0000</t>
  </si>
  <si>
    <t>BET-36000-0000</t>
  </si>
  <si>
    <t>BET-38100-0000</t>
  </si>
  <si>
    <t>BET-41120-0000</t>
  </si>
  <si>
    <t>BET-42110-0000</t>
  </si>
  <si>
    <t>BET-42130-0000</t>
  </si>
  <si>
    <t>BET-42150-0000</t>
  </si>
  <si>
    <t>BET-42160-0000</t>
  </si>
  <si>
    <t>BET-43120-0000</t>
  </si>
  <si>
    <t>BET-43121-0000</t>
  </si>
  <si>
    <t>BET-43410-0000</t>
  </si>
  <si>
    <t>BET-43430-0000</t>
  </si>
  <si>
    <t>BET-43440-0000</t>
  </si>
  <si>
    <t>BET-43480-0000</t>
  </si>
  <si>
    <t>BET-43491-0000</t>
  </si>
  <si>
    <t>BET-43492-0000</t>
  </si>
  <si>
    <t>BET-49500-9999</t>
  </si>
  <si>
    <t>BET-53011-0000</t>
  </si>
  <si>
    <t>BET-61002-0000</t>
  </si>
  <si>
    <t>BET-61005-0000</t>
  </si>
  <si>
    <t>BET-61007-0000</t>
  </si>
  <si>
    <t>BET-61008-0000</t>
  </si>
  <si>
    <t>BET-61012-0000</t>
  </si>
  <si>
    <t>BET-61013-0000</t>
  </si>
  <si>
    <t>BET-61014-0000</t>
  </si>
  <si>
    <t>BET-61015-0000</t>
  </si>
  <si>
    <t>BET-71010-0000</t>
  </si>
  <si>
    <t>BET-71020-0000</t>
  </si>
  <si>
    <t>BET-71030-0000</t>
  </si>
  <si>
    <t>BET-71040-0000</t>
  </si>
  <si>
    <t>BET-71050-0000</t>
  </si>
  <si>
    <t>BET-71060-0000</t>
  </si>
  <si>
    <t>BET-71070-0000</t>
  </si>
  <si>
    <t>BET-71080-0000</t>
  </si>
  <si>
    <t>BET-71090-0000</t>
  </si>
  <si>
    <t>PM  Roof</t>
  </si>
  <si>
    <t>BET-71100-0000</t>
  </si>
  <si>
    <t>BET-71110-0000</t>
  </si>
  <si>
    <t>BET-80006-0000</t>
  </si>
  <si>
    <t>BET-81019-0000</t>
  </si>
  <si>
    <t>BET-81228-0000</t>
  </si>
  <si>
    <t>GRA-10006-0000</t>
  </si>
  <si>
    <t>Interco  KLP</t>
  </si>
  <si>
    <t>Interco  AKC</t>
  </si>
  <si>
    <t>Interco  AKA</t>
  </si>
  <si>
    <t>Interco  SPA</t>
  </si>
  <si>
    <t>Interco   HDM</t>
  </si>
  <si>
    <t>Interco  HDR</t>
  </si>
  <si>
    <t>Interco  DPM</t>
  </si>
  <si>
    <t>Interco  TPI</t>
  </si>
  <si>
    <t>Interco - SOF</t>
  </si>
  <si>
    <t>GRA-12100-0000</t>
  </si>
  <si>
    <t>GRA-13610-0000</t>
  </si>
  <si>
    <t>Deposit  Utility</t>
  </si>
  <si>
    <t>GRA-13810-0000</t>
  </si>
  <si>
    <t>GRA-14100-0000</t>
  </si>
  <si>
    <t>GRA-15700-0000</t>
  </si>
  <si>
    <t>GRA-22800-0000</t>
  </si>
  <si>
    <t>GRA-22905-0000</t>
  </si>
  <si>
    <t>GRA-25600-0000</t>
  </si>
  <si>
    <t>GRA-28003-0000</t>
  </si>
  <si>
    <t>Loan  Berkadia</t>
  </si>
  <si>
    <t>GRA-36000-0000</t>
  </si>
  <si>
    <t>GRA-38100-0000</t>
  </si>
  <si>
    <t>GRA-41120-0000</t>
  </si>
  <si>
    <t>GRA-42110-0000</t>
  </si>
  <si>
    <t>GRA-42130-0000</t>
  </si>
  <si>
    <t>GRA-42150-0000</t>
  </si>
  <si>
    <t>GRA-43120-0000</t>
  </si>
  <si>
    <t>GRA-43121-0000</t>
  </si>
  <si>
    <t>GRA-43410-0000</t>
  </si>
  <si>
    <t>GRA-43440-0000</t>
  </si>
  <si>
    <t>GRA-43450-0000</t>
  </si>
  <si>
    <t>GRA-43480-0000</t>
  </si>
  <si>
    <t>GRA-43490-0000</t>
  </si>
  <si>
    <t>GRA-43491-0000</t>
  </si>
  <si>
    <t>GRA-43492-0000</t>
  </si>
  <si>
    <t>GRA-43493-0000</t>
  </si>
  <si>
    <t>GRA-49500-9999</t>
  </si>
  <si>
    <t>GRA-52002-0000</t>
  </si>
  <si>
    <t>GRA-52007-0000</t>
  </si>
  <si>
    <t>GRA-53011-0000</t>
  </si>
  <si>
    <t>Payroll ExpAdmin</t>
  </si>
  <si>
    <t>GRA-61002-0000</t>
  </si>
  <si>
    <t>GRA-61005-0000</t>
  </si>
  <si>
    <t>GRA-61007-0000</t>
  </si>
  <si>
    <t>GRA-61008-0000</t>
  </si>
  <si>
    <t>GRA-61012-0000</t>
  </si>
  <si>
    <t>GRA-61013-0000</t>
  </si>
  <si>
    <t>GRA-61014-0000</t>
  </si>
  <si>
    <t>GRA-61015-0000</t>
  </si>
  <si>
    <t>GRA-71020-0000</t>
  </si>
  <si>
    <t>GRA-71030-0000</t>
  </si>
  <si>
    <t>GRA-71060-0000</t>
  </si>
  <si>
    <t>GRA-71070-0000</t>
  </si>
  <si>
    <t>GRA-71080-0000</t>
  </si>
  <si>
    <t>GRA-71100-0000</t>
  </si>
  <si>
    <t>GRA-71110-0000</t>
  </si>
  <si>
    <t>GRA-80006-0000</t>
  </si>
  <si>
    <t>GRA-81019-0000</t>
  </si>
  <si>
    <t>GRA-81228-0000</t>
  </si>
  <si>
    <t>GSM-10005-0000</t>
  </si>
  <si>
    <t>GSM-12100-0000</t>
  </si>
  <si>
    <t>GSM-13610-0000</t>
  </si>
  <si>
    <t>GSM-13810-0000</t>
  </si>
  <si>
    <t>GSM-13820-0000</t>
  </si>
  <si>
    <t>GSM-14100-0000</t>
  </si>
  <si>
    <t>GSM-15700-0000</t>
  </si>
  <si>
    <t>GSM-22000-0000</t>
  </si>
  <si>
    <t>GSM-22800-0000</t>
  </si>
  <si>
    <t>GSM-22905-0000</t>
  </si>
  <si>
    <t>GSM-36000-0000</t>
  </si>
  <si>
    <t>GSM-38100-0000</t>
  </si>
  <si>
    <t>GSM-41120-0000</t>
  </si>
  <si>
    <t>GSM-42110-0000</t>
  </si>
  <si>
    <t>GSM-42140-0000</t>
  </si>
  <si>
    <t>Less Eviction</t>
  </si>
  <si>
    <t>GSM-42150-0000</t>
  </si>
  <si>
    <t>GSM-43120-0000</t>
  </si>
  <si>
    <t>GSM-43121-0000</t>
  </si>
  <si>
    <t>GSM-43410-0000</t>
  </si>
  <si>
    <t>GSM-43440-0000</t>
  </si>
  <si>
    <t>GSM-43450-0000</t>
  </si>
  <si>
    <t>GSM-43480-0000</t>
  </si>
  <si>
    <t>GSM-43490-0000</t>
  </si>
  <si>
    <t>GSM-43491-0000</t>
  </si>
  <si>
    <t>GSM-43492-0000</t>
  </si>
  <si>
    <t>GSM-49500-9999</t>
  </si>
  <si>
    <t>GSM-52007-0000</t>
  </si>
  <si>
    <t>GSM-53011-0000</t>
  </si>
  <si>
    <t>GSM-61005-0000</t>
  </si>
  <si>
    <t>GSM-61008-0000</t>
  </si>
  <si>
    <t>GSM-61012-0000</t>
  </si>
  <si>
    <t>GSM-61014-0000</t>
  </si>
  <si>
    <t>GSM-61015-0000</t>
  </si>
  <si>
    <t>GSM-71020-0000</t>
  </si>
  <si>
    <t>GSM-71030-0000</t>
  </si>
  <si>
    <t>GSM-71040-0000</t>
  </si>
  <si>
    <t>GSM-71050-0000</t>
  </si>
  <si>
    <t>GSM-71060-0000</t>
  </si>
  <si>
    <t>GSM-71070-0000</t>
  </si>
  <si>
    <t>GSM-80006-0000</t>
  </si>
  <si>
    <t>GSM-81228-0000</t>
  </si>
  <si>
    <t>LCP-10005-0000</t>
  </si>
  <si>
    <t>General Checking - Signature Bank</t>
  </si>
  <si>
    <t>Interco  NOR</t>
  </si>
  <si>
    <t>LCP-12100-0000</t>
  </si>
  <si>
    <t>LCP-13610-0000</t>
  </si>
  <si>
    <t>LCP-13620-0000</t>
  </si>
  <si>
    <t>Deposit  Other-Fees</t>
  </si>
  <si>
    <t>LCP-13810-0000</t>
  </si>
  <si>
    <t>LCP-13820-0000</t>
  </si>
  <si>
    <t>LCP-14100-0000</t>
  </si>
  <si>
    <t>LCP-15700-0000</t>
  </si>
  <si>
    <t>LCP-22000-0000</t>
  </si>
  <si>
    <t>LCP-22800-0000</t>
  </si>
  <si>
    <t>LCP-22905-0000</t>
  </si>
  <si>
    <t>LCP-28015-0000</t>
  </si>
  <si>
    <t>Capital Contribution  DFLP</t>
  </si>
  <si>
    <t>Capital Contribution  AJ</t>
  </si>
  <si>
    <t>LCP-31009-0000</t>
  </si>
  <si>
    <t>Capital Contribution  DFT</t>
  </si>
  <si>
    <t>LCP-31012-0000</t>
  </si>
  <si>
    <t>Capital Contribution  D7R</t>
  </si>
  <si>
    <t>LCP-31015-0000</t>
  </si>
  <si>
    <t>Capital Contribution  Sunny Dharod</t>
  </si>
  <si>
    <t>LCP-36000-0000</t>
  </si>
  <si>
    <t>LCP-36005-0000</t>
  </si>
  <si>
    <t>LCP-36008-0000</t>
  </si>
  <si>
    <t>SH Dist  AJ</t>
  </si>
  <si>
    <t>LCP-38100-0000</t>
  </si>
  <si>
    <t>LCP-41120-0000</t>
  </si>
  <si>
    <t>LCP-42110-0000</t>
  </si>
  <si>
    <t>LCP-42130-0000</t>
  </si>
  <si>
    <t>LCP-42140-0000</t>
  </si>
  <si>
    <t>LCP-42150-0000</t>
  </si>
  <si>
    <t>LCP-42160-0000</t>
  </si>
  <si>
    <t>LCP-43120-0000</t>
  </si>
  <si>
    <t>LCP-43121-0000</t>
  </si>
  <si>
    <t>LCP-43410-0000</t>
  </si>
  <si>
    <t>LCP-43430-0000</t>
  </si>
  <si>
    <t>LCP-43440-0000</t>
  </si>
  <si>
    <t>LCP-43480-0000</t>
  </si>
  <si>
    <t>LCP-43490-0000</t>
  </si>
  <si>
    <t>LCP-43491-0000</t>
  </si>
  <si>
    <t>LCP-43492-0000</t>
  </si>
  <si>
    <t>LCP-49500-9999</t>
  </si>
  <si>
    <t>Gen  Bldg Supplies</t>
  </si>
  <si>
    <t>Gen  Repairs - Maint</t>
  </si>
  <si>
    <t>LCP-52007-0000</t>
  </si>
  <si>
    <t>LCP-53011-0000</t>
  </si>
  <si>
    <t>LCP-61002-0000</t>
  </si>
  <si>
    <t>LCP-61005-0000</t>
  </si>
  <si>
    <t>LCP-61007-0000</t>
  </si>
  <si>
    <t>LCP-61008-0000</t>
  </si>
  <si>
    <t>LCP-61011-0000</t>
  </si>
  <si>
    <t>Taxes  Business</t>
  </si>
  <si>
    <t>LCP-61013-0000</t>
  </si>
  <si>
    <t>LCP-61014-0000</t>
  </si>
  <si>
    <t>LCP-61015-0000</t>
  </si>
  <si>
    <t>LCP-71020-0000</t>
  </si>
  <si>
    <t>LCP-71030-0000</t>
  </si>
  <si>
    <t>LCP-71040-0000</t>
  </si>
  <si>
    <t>LCP-71060-0000</t>
  </si>
  <si>
    <t>LCP-71070-0000</t>
  </si>
  <si>
    <t>LCP-71080-0000</t>
  </si>
  <si>
    <t>LCP-71090-0000</t>
  </si>
  <si>
    <t>LCP-71100-0000</t>
  </si>
  <si>
    <t>LCP-71110-0000</t>
  </si>
  <si>
    <t>LCP-80006-0000</t>
  </si>
  <si>
    <t>LCP-81019-0000</t>
  </si>
  <si>
    <t>LCP-81228-0000</t>
  </si>
  <si>
    <t>LCP-81400-0000</t>
  </si>
  <si>
    <t>ZPI-10005-0000</t>
  </si>
  <si>
    <t>Depository  WF</t>
  </si>
  <si>
    <t>ZPI-12100-0000</t>
  </si>
  <si>
    <t>ZPI-13810-0000</t>
  </si>
  <si>
    <t>ZPI-13820-0000</t>
  </si>
  <si>
    <t>ZPI-14100-0000</t>
  </si>
  <si>
    <t>ZPI-15700-0000</t>
  </si>
  <si>
    <t>ZPI-22000-0000</t>
  </si>
  <si>
    <t>ZPI-22800-0000</t>
  </si>
  <si>
    <t>ZPI-22905-0000</t>
  </si>
  <si>
    <t>ZPI-28015-0000</t>
  </si>
  <si>
    <t>ZPI-31010-0000</t>
  </si>
  <si>
    <t>Capital Contribution  GPI</t>
  </si>
  <si>
    <t>ZPI-38100-0000</t>
  </si>
  <si>
    <t>ZPI-41120-0000</t>
  </si>
  <si>
    <t>ZPI-42110-0000</t>
  </si>
  <si>
    <t>ZPI-42130-0000</t>
  </si>
  <si>
    <t>ZPI-42150-0000</t>
  </si>
  <si>
    <t>ZPI-42160-0000</t>
  </si>
  <si>
    <t>ZPI-43120-0000</t>
  </si>
  <si>
    <t>ZPI-43121-0000</t>
  </si>
  <si>
    <t>ZPI-43410-0000</t>
  </si>
  <si>
    <t>ZPI-43440-0000</t>
  </si>
  <si>
    <t>ZPI-43450-0000</t>
  </si>
  <si>
    <t>ZPI-43480-0000</t>
  </si>
  <si>
    <t>ZPI-43490-0000</t>
  </si>
  <si>
    <t>ZPI-43491-0000</t>
  </si>
  <si>
    <t>ZPI-43492-0000</t>
  </si>
  <si>
    <t>ZPI-43493-0000</t>
  </si>
  <si>
    <t>ZPI-47300-0000</t>
  </si>
  <si>
    <t>ZPI-49500-9999</t>
  </si>
  <si>
    <t>ZPI-52007-0000</t>
  </si>
  <si>
    <t>ZPI-53011-0000</t>
  </si>
  <si>
    <t>ZPI-61001-0000</t>
  </si>
  <si>
    <t>ZPI-61002-0000</t>
  </si>
  <si>
    <t>ZPI-61005-0000</t>
  </si>
  <si>
    <t>ZPI-61007-0000</t>
  </si>
  <si>
    <t>ZPI-61008-0000</t>
  </si>
  <si>
    <t>ZPI-61012-0000</t>
  </si>
  <si>
    <t>ZPI-61014-0000</t>
  </si>
  <si>
    <t>ZPI-61015-0000</t>
  </si>
  <si>
    <t>ZPI-71020-0000</t>
  </si>
  <si>
    <t>ZPI-71030-0000</t>
  </si>
  <si>
    <t>ZPI-71040-0000</t>
  </si>
  <si>
    <t>ZPI-71060-0000</t>
  </si>
  <si>
    <t>ZPI-71070-0000</t>
  </si>
  <si>
    <t>ZPI-71080-0000</t>
  </si>
  <si>
    <t>ZPI-71100-0000</t>
  </si>
  <si>
    <t>ZPI-71110-0000</t>
  </si>
  <si>
    <t>ZPI-80006-0000</t>
  </si>
  <si>
    <t>ZPI-81019-0000</t>
  </si>
  <si>
    <t>ZPI-81228-0000</t>
  </si>
  <si>
    <t>Carl's Jr</t>
  </si>
  <si>
    <t>CJNC</t>
  </si>
  <si>
    <t>Fee Property</t>
  </si>
  <si>
    <t>PR Entity</t>
  </si>
  <si>
    <t>SSRE</t>
  </si>
  <si>
    <t>RE-NEW</t>
  </si>
  <si>
    <t>RE-ALL</t>
  </si>
  <si>
    <t>Type</t>
  </si>
  <si>
    <t>Category</t>
  </si>
  <si>
    <t>Description</t>
  </si>
  <si>
    <t>Total</t>
  </si>
  <si>
    <t>Same</t>
  </si>
  <si>
    <t>SCL</t>
  </si>
  <si>
    <t>DF2</t>
  </si>
  <si>
    <t>SG2</t>
  </si>
  <si>
    <t>HN2</t>
  </si>
  <si>
    <t>FSH</t>
  </si>
  <si>
    <t>CJ-South</t>
  </si>
  <si>
    <t>2SH</t>
  </si>
  <si>
    <t>3SI</t>
  </si>
  <si>
    <t>CJ-North</t>
  </si>
  <si>
    <t>SC1</t>
  </si>
  <si>
    <t>SC2</t>
  </si>
  <si>
    <t>SC3</t>
  </si>
  <si>
    <t>SC4</t>
  </si>
  <si>
    <t>LAN</t>
  </si>
  <si>
    <t>CLI</t>
  </si>
  <si>
    <t>Fee-Prop</t>
  </si>
  <si>
    <t>BVI</t>
  </si>
  <si>
    <t>DWO</t>
  </si>
  <si>
    <t>Fee-All</t>
  </si>
  <si>
    <t>RCI</t>
  </si>
  <si>
    <t>NWS</t>
  </si>
  <si>
    <t>PR-Entity</t>
  </si>
  <si>
    <t>FRM</t>
  </si>
  <si>
    <t>CDP</t>
  </si>
  <si>
    <t>FFC</t>
  </si>
  <si>
    <t>CHA</t>
  </si>
  <si>
    <t>CRE</t>
  </si>
  <si>
    <t>DIA</t>
  </si>
  <si>
    <t>EAG</t>
  </si>
  <si>
    <t>NEW</t>
  </si>
  <si>
    <t>SIL</t>
  </si>
  <si>
    <t>GPI</t>
  </si>
  <si>
    <t>ALP</t>
  </si>
  <si>
    <t>BET</t>
  </si>
  <si>
    <t>DEL</t>
  </si>
  <si>
    <t>AKG</t>
  </si>
  <si>
    <t>GRI</t>
  </si>
  <si>
    <t>PUR</t>
  </si>
  <si>
    <t>VAL</t>
  </si>
  <si>
    <t>LPI</t>
  </si>
  <si>
    <t>DOL</t>
  </si>
  <si>
    <t>FIR</t>
  </si>
  <si>
    <t>GST</t>
  </si>
  <si>
    <t>HDN</t>
  </si>
  <si>
    <t>OVA</t>
  </si>
  <si>
    <t>WOO</t>
  </si>
  <si>
    <t>SPI</t>
  </si>
  <si>
    <t>NET</t>
  </si>
  <si>
    <t>DPI</t>
  </si>
  <si>
    <t>SEK</t>
  </si>
  <si>
    <t>CPI</t>
  </si>
  <si>
    <t>LOM</t>
  </si>
  <si>
    <t>AKS</t>
  </si>
  <si>
    <t>MAR</t>
  </si>
  <si>
    <t>WIL</t>
  </si>
  <si>
    <t>STO</t>
  </si>
  <si>
    <t>ANG</t>
  </si>
  <si>
    <t>BRU</t>
  </si>
  <si>
    <t>VEN</t>
  </si>
  <si>
    <t>SAT</t>
  </si>
  <si>
    <t>NEP</t>
  </si>
  <si>
    <t>JUP</t>
  </si>
  <si>
    <t>LCP</t>
  </si>
  <si>
    <t>WES</t>
  </si>
  <si>
    <t>NOR</t>
  </si>
  <si>
    <t>SOU</t>
  </si>
  <si>
    <t>EAS</t>
  </si>
  <si>
    <t>GRA</t>
  </si>
  <si>
    <t>API</t>
  </si>
  <si>
    <t>DPH</t>
  </si>
  <si>
    <t>ZPI</t>
  </si>
  <si>
    <t>PGP</t>
  </si>
  <si>
    <t>EAM</t>
  </si>
  <si>
    <t>SEA</t>
  </si>
  <si>
    <t>EAL</t>
  </si>
  <si>
    <t>KLP</t>
  </si>
  <si>
    <t>WEP</t>
  </si>
  <si>
    <t>AKC</t>
  </si>
  <si>
    <t>AKA</t>
  </si>
  <si>
    <t>SPA</t>
  </si>
  <si>
    <t>DPM</t>
  </si>
  <si>
    <t>HDM</t>
  </si>
  <si>
    <t>HDR</t>
  </si>
  <si>
    <t>TPI</t>
  </si>
  <si>
    <t>GSM</t>
  </si>
  <si>
    <t>SOF</t>
  </si>
  <si>
    <t>Subtotal</t>
  </si>
  <si>
    <t>New/Closed</t>
  </si>
  <si>
    <t>NCE</t>
  </si>
  <si>
    <t>CST</t>
  </si>
  <si>
    <t>NES</t>
  </si>
  <si>
    <t>SPR</t>
  </si>
  <si>
    <t>PJP/SCR</t>
  </si>
  <si>
    <t>D7R</t>
  </si>
  <si>
    <t>DFL</t>
  </si>
  <si>
    <t>Trial Balances</t>
  </si>
  <si>
    <t>Restricted</t>
  </si>
  <si>
    <t>I/C</t>
  </si>
  <si>
    <t>Intercompany</t>
  </si>
  <si>
    <t>WC</t>
  </si>
  <si>
    <t>AR-PPD</t>
  </si>
  <si>
    <t>Property Tax Reserve</t>
  </si>
  <si>
    <t>Escrow Property Tax Payment</t>
  </si>
  <si>
    <t>Insurance Reserve</t>
  </si>
  <si>
    <t>Interest Expense - EIDL</t>
  </si>
  <si>
    <t>Replacement Reserve</t>
  </si>
  <si>
    <t>Interest Reserve Draw</t>
  </si>
  <si>
    <t>Interest Rate Cap Reserve</t>
  </si>
  <si>
    <t>Inventory</t>
  </si>
  <si>
    <t>Capital</t>
  </si>
  <si>
    <t>Fixed Assets</t>
  </si>
  <si>
    <t>SH Receivable</t>
  </si>
  <si>
    <t>AP-Accr Exp</t>
  </si>
  <si>
    <t>Tax Accr</t>
  </si>
  <si>
    <t>LOC</t>
  </si>
  <si>
    <t>Principal</t>
  </si>
  <si>
    <t>SH Payable</t>
  </si>
  <si>
    <t>SH Loan</t>
  </si>
  <si>
    <t>InterCo Notes</t>
  </si>
  <si>
    <t>Net Income</t>
  </si>
  <si>
    <t>Interest Income on Escrow</t>
  </si>
  <si>
    <t>Operating Expense</t>
  </si>
  <si>
    <t>Facility</t>
  </si>
  <si>
    <t>Deprec and Amort</t>
  </si>
  <si>
    <t>Deprec &amp; Amort</t>
  </si>
  <si>
    <t>Capital-New Product</t>
  </si>
  <si>
    <t>Capital-New Store</t>
  </si>
  <si>
    <t>Capital-Remodel</t>
  </si>
  <si>
    <t>PM Expenses</t>
  </si>
  <si>
    <t>Net Trial Balance</t>
  </si>
  <si>
    <t>Internal DIT Adjustments</t>
  </si>
  <si>
    <t>Beginning Deposits in Transit</t>
  </si>
  <si>
    <t>Ending Deposits in Transit/Credits</t>
  </si>
  <si>
    <t>Beginning Bank Balance</t>
  </si>
  <si>
    <t>Beginning Outstanding Checks</t>
  </si>
  <si>
    <t>Ending Outstanding Checks/Debits</t>
  </si>
  <si>
    <t>Calculated Bank Balance</t>
  </si>
  <si>
    <t>Actual Ending Bank Cash Balance</t>
  </si>
  <si>
    <t>Variance</t>
  </si>
  <si>
    <t>Depr</t>
  </si>
  <si>
    <t>Depreciation</t>
  </si>
  <si>
    <t>Gain/Loss on Disposal of Assets</t>
  </si>
  <si>
    <t>Interest</t>
  </si>
  <si>
    <t>Income Tax Expensed</t>
  </si>
  <si>
    <t>Other Excludable from EBITDA</t>
  </si>
  <si>
    <t>Non-Cash/Accounting Adjustments</t>
  </si>
  <si>
    <t>Reserve Payment to Prop Taxes</t>
  </si>
  <si>
    <t>Prop Tax Adj for Escrow</t>
  </si>
  <si>
    <t>Settlement or one time expenses</t>
  </si>
  <si>
    <t>Remodel &amp; IE - Add Back</t>
  </si>
  <si>
    <t>New Product - Add Back</t>
  </si>
  <si>
    <t>New Store Cost - Add Back</t>
  </si>
  <si>
    <t>PM Expenses - Add Back</t>
  </si>
  <si>
    <t>Reserve Payment to Insurance</t>
  </si>
  <si>
    <t>Shareholder Tax Payments - Add Back</t>
  </si>
  <si>
    <t>Shareholder &amp; Family Payroll - Add Back</t>
  </si>
  <si>
    <t>2023 Operating EBITDA</t>
  </si>
  <si>
    <t>Remodel &amp; IE</t>
  </si>
  <si>
    <t>New Product</t>
  </si>
  <si>
    <t>New Site</t>
  </si>
  <si>
    <t>Other Capital</t>
  </si>
  <si>
    <t>Total Capital Expenditures</t>
  </si>
  <si>
    <t>Legal Settlements</t>
  </si>
  <si>
    <t>SH Dist (Recurring Sched Pay to Investors)</t>
  </si>
  <si>
    <t>Investor Interest Expense (Nisha $1M Loan)</t>
  </si>
  <si>
    <t>Shortage Reserve</t>
  </si>
  <si>
    <t>Interest Expense - Preferred Equity</t>
  </si>
  <si>
    <t>Interest Rate Cap Reimbursement</t>
  </si>
  <si>
    <t>Loan Principal Payments</t>
  </si>
  <si>
    <t>Net Debt Service</t>
  </si>
  <si>
    <t>Operating Cashflow Pre-Tax (Due to Restricted)</t>
  </si>
  <si>
    <t>Tax</t>
  </si>
  <si>
    <t>Company Income Tax Expenses Paid</t>
  </si>
  <si>
    <t>Income Taxes Paid Through Payroll</t>
  </si>
  <si>
    <t>Owner Tax Payments Coded to Income Tax Expense</t>
  </si>
  <si>
    <t>SH Distn</t>
  </si>
  <si>
    <t>Owner Tax Payments coded to distributions</t>
  </si>
  <si>
    <t>Total Income Tax Payments</t>
  </si>
  <si>
    <t>Operating Cashflow After Tax</t>
  </si>
  <si>
    <t>Incoming:</t>
  </si>
  <si>
    <t>Reimbursement of Deposit</t>
  </si>
  <si>
    <t>Loan Funding Against Assets</t>
  </si>
  <si>
    <t>Line of Credit Advance</t>
  </si>
  <si>
    <t>Acquisition Deposit Received from Buyer</t>
  </si>
  <si>
    <t>Asset Sale / Divestiture Proceeds</t>
  </si>
  <si>
    <t>Total Incoming: Divestiture / Financing</t>
  </si>
  <si>
    <t>Outgoing:</t>
  </si>
  <si>
    <t>Loan</t>
  </si>
  <si>
    <t>Loan PayOff</t>
  </si>
  <si>
    <t>Acquisition Deposit Paid to Seller</t>
  </si>
  <si>
    <t>Acquisition Purchase Price</t>
  </si>
  <si>
    <t>LOC-Adv</t>
  </si>
  <si>
    <t>Credit Line (Payback)</t>
  </si>
  <si>
    <t>Total Outgoing: Acquisition / Loan Repay</t>
  </si>
  <si>
    <t>Net Cash Flow before transfers</t>
  </si>
  <si>
    <t>Incoming: Transfers / Equity from (needs to be only going out of the company)</t>
  </si>
  <si>
    <t>Restricted&amp;SH Distn</t>
  </si>
  <si>
    <t>Investment from Partner</t>
  </si>
  <si>
    <t>Incoming: Transfers / Equity from</t>
  </si>
  <si>
    <t>Outgoing: Transfers / Equity to</t>
  </si>
  <si>
    <t>SH Distn to HD Personal (outgoing)</t>
  </si>
  <si>
    <t>SH Distn to Minortity SH</t>
  </si>
  <si>
    <t>Repay SH Loan (outgoing)</t>
  </si>
  <si>
    <t>Working Capital Incr/(Decr)</t>
  </si>
  <si>
    <t>Intercompany Transfers (never ever do it without H permission)</t>
  </si>
  <si>
    <t>Beginning Deposits in Transit/Credits</t>
  </si>
  <si>
    <t>Beginning Outstanding Checks/Debits</t>
  </si>
  <si>
    <t>Total Change in Cash</t>
  </si>
  <si>
    <t>LOC Available at Beginning of Period</t>
  </si>
  <si>
    <t>Amount Paid Down</t>
  </si>
  <si>
    <t>Amount Drawn (Operations)</t>
  </si>
  <si>
    <t>Amount Drawn (Acquisitions)</t>
  </si>
  <si>
    <t>Amount Drawn (Stocks / Shareholder uses)</t>
  </si>
  <si>
    <t>LOC Available at Period End</t>
  </si>
  <si>
    <t>LOC Incr/Decr</t>
  </si>
  <si>
    <t>Beginning Bank Cash Balance (Operating)</t>
  </si>
  <si>
    <t>Calculated Ending Bank Cash Balance</t>
  </si>
  <si>
    <t>Actual Ending Bank Cash Balance (Oper)</t>
  </si>
  <si>
    <t>Beginning Cash + LOC Available</t>
  </si>
  <si>
    <t>Actual Ending Cash + LOC</t>
  </si>
  <si>
    <t>Total Transfers Distributions and Investments</t>
  </si>
  <si>
    <t>Check</t>
  </si>
  <si>
    <t>DFG</t>
  </si>
  <si>
    <t>SunGir</t>
  </si>
  <si>
    <t>H&amp;N</t>
  </si>
  <si>
    <t>1st Star</t>
  </si>
  <si>
    <t>2nd Star</t>
  </si>
  <si>
    <t>3rd Star</t>
  </si>
  <si>
    <t>RCIH</t>
  </si>
  <si>
    <t>Silverstar</t>
  </si>
  <si>
    <t>Depreciation/Amortization</t>
  </si>
  <si>
    <t>Operating EBITDA</t>
  </si>
  <si>
    <t>Total Loan Payments</t>
  </si>
  <si>
    <t>Diposits from utilities</t>
  </si>
  <si>
    <t>Acquisition Deposit Refund</t>
  </si>
  <si>
    <t>Acquisition Other Costs</t>
  </si>
  <si>
    <t>Divestiture Proceeds</t>
  </si>
  <si>
    <t>Acquisition loans from 3rd parties</t>
  </si>
  <si>
    <t>Net Acquisition/Divestiture</t>
  </si>
  <si>
    <t>Loan Funding Against Assets ( Other than Apartments)</t>
  </si>
  <si>
    <t>Loan (Payoff) ( Other than Apartments)</t>
  </si>
  <si>
    <t>Refin Apartments</t>
  </si>
  <si>
    <t>Total Borrowing</t>
  </si>
  <si>
    <t>Shareholder Distribution from Operating (Out of CF Entities)</t>
  </si>
  <si>
    <t>SH Distn with Minortity SH</t>
  </si>
  <si>
    <t>From Ops To Restricted :</t>
  </si>
  <si>
    <t>SH Distn to HD Personal</t>
  </si>
  <si>
    <t>Repay SH Loan</t>
  </si>
  <si>
    <t>Transfers (to) restricted (CF Transfers)</t>
  </si>
  <si>
    <t>Transfers (to) restricted for prior year</t>
  </si>
  <si>
    <t>New CJ Loans</t>
  </si>
  <si>
    <t>SH Loan for New Acqn</t>
  </si>
  <si>
    <t>Intercompany Transfers</t>
  </si>
  <si>
    <t>z1</t>
  </si>
  <si>
    <t>Transfers from Restricted</t>
  </si>
  <si>
    <t>z2</t>
  </si>
  <si>
    <t>Transfer to Restricted</t>
  </si>
  <si>
    <t>check</t>
  </si>
  <si>
    <t>DFL - Deposits</t>
  </si>
  <si>
    <t>18100-0000</t>
  </si>
  <si>
    <t>BS</t>
  </si>
  <si>
    <t>DFL - LOC</t>
  </si>
  <si>
    <t>25604-0000</t>
  </si>
  <si>
    <t>25606-0000</t>
  </si>
  <si>
    <t>H</t>
  </si>
  <si>
    <t>10000-0000</t>
  </si>
  <si>
    <t>ASSETS</t>
  </si>
  <si>
    <t>No</t>
  </si>
  <si>
    <t>RE</t>
  </si>
  <si>
    <t>10000-1000</t>
  </si>
  <si>
    <t>CURRENT ASSETS</t>
  </si>
  <si>
    <t>10000-5000</t>
  </si>
  <si>
    <t>CASH AND CASH EQUIVALENT</t>
  </si>
  <si>
    <t>R</t>
  </si>
  <si>
    <t>10001-0000</t>
  </si>
  <si>
    <t>10003-0000</t>
  </si>
  <si>
    <t>10004-0000</t>
  </si>
  <si>
    <t>General Checking - UB</t>
  </si>
  <si>
    <t>10005-0000</t>
  </si>
  <si>
    <t>10006-0000</t>
  </si>
  <si>
    <t>10009-0000</t>
  </si>
  <si>
    <t>General Checking  3rd Party</t>
  </si>
  <si>
    <t>10010-0000</t>
  </si>
  <si>
    <t>Cash Restricted Account</t>
  </si>
  <si>
    <t>10011-0000</t>
  </si>
  <si>
    <t>General Checking - CAPEX BofA</t>
  </si>
  <si>
    <t>10012-0000</t>
  </si>
  <si>
    <t>General Checking - CAPEX CBC</t>
  </si>
  <si>
    <t>10023-0000</t>
  </si>
  <si>
    <t>10024-0000</t>
  </si>
  <si>
    <t>10027-0000</t>
  </si>
  <si>
    <t>10050-0000</t>
  </si>
  <si>
    <t>T</t>
  </si>
  <si>
    <t>10199-0000</t>
  </si>
  <si>
    <t>TOTAL CASH AND CASH EQUIVALENT</t>
  </si>
  <si>
    <t>11000-0000</t>
  </si>
  <si>
    <t>INTERCOMPANY</t>
  </si>
  <si>
    <t>11200-0000</t>
  </si>
  <si>
    <t>Interco  SCL</t>
  </si>
  <si>
    <t>11201-0000</t>
  </si>
  <si>
    <t>Interco  SG</t>
  </si>
  <si>
    <t>11202-0000</t>
  </si>
  <si>
    <t>Interco  FFC</t>
  </si>
  <si>
    <t>11203-0000</t>
  </si>
  <si>
    <t>Interco  H-N</t>
  </si>
  <si>
    <t>11204-0000</t>
  </si>
  <si>
    <t>Interco  DFG</t>
  </si>
  <si>
    <t>11208-0000</t>
  </si>
  <si>
    <t>Interco  SRE</t>
  </si>
  <si>
    <t>11210-0000</t>
  </si>
  <si>
    <t>Interco  REM</t>
  </si>
  <si>
    <t>11212-0000</t>
  </si>
  <si>
    <t>Interco  FRM</t>
  </si>
  <si>
    <t>11214-0000</t>
  </si>
  <si>
    <t>Interco D7R</t>
  </si>
  <si>
    <t>11215-0000</t>
  </si>
  <si>
    <t>Interco  CDP</t>
  </si>
  <si>
    <t>11216-0000</t>
  </si>
  <si>
    <t>11232-0000</t>
  </si>
  <si>
    <t>11301-0000</t>
  </si>
  <si>
    <t>11302-0000</t>
  </si>
  <si>
    <t>11303-0000</t>
  </si>
  <si>
    <t>11304-0000</t>
  </si>
  <si>
    <t>11305-0000</t>
  </si>
  <si>
    <t>11307-0000</t>
  </si>
  <si>
    <t>Interco  NES</t>
  </si>
  <si>
    <t>11308-0000</t>
  </si>
  <si>
    <t>11309-0000</t>
  </si>
  <si>
    <t>11310-0000</t>
  </si>
  <si>
    <t>11311-0000</t>
  </si>
  <si>
    <t>11312-0000</t>
  </si>
  <si>
    <t>Interco  DEL</t>
  </si>
  <si>
    <t>11313-0000</t>
  </si>
  <si>
    <t>11314-0000</t>
  </si>
  <si>
    <t>11315-0000</t>
  </si>
  <si>
    <t>11316-0000</t>
  </si>
  <si>
    <t>11317-0000</t>
  </si>
  <si>
    <t>11318-0000</t>
  </si>
  <si>
    <t>11319-0000</t>
  </si>
  <si>
    <t>11320-0000</t>
  </si>
  <si>
    <t>Interco  HDN</t>
  </si>
  <si>
    <t>11321-0000</t>
  </si>
  <si>
    <t>11322-0000</t>
  </si>
  <si>
    <t>11323-0000</t>
  </si>
  <si>
    <t>11324-0000</t>
  </si>
  <si>
    <t>11325-0000</t>
  </si>
  <si>
    <t>11326-0000</t>
  </si>
  <si>
    <t>11327-0000</t>
  </si>
  <si>
    <t>Interco  CPI</t>
  </si>
  <si>
    <t>11328-0000</t>
  </si>
  <si>
    <t>11329-0000</t>
  </si>
  <si>
    <t>11330-0000</t>
  </si>
  <si>
    <t>11331-0000</t>
  </si>
  <si>
    <t>11332-0000</t>
  </si>
  <si>
    <t>11333-0000</t>
  </si>
  <si>
    <t>11334-0000</t>
  </si>
  <si>
    <t>11335-0000</t>
  </si>
  <si>
    <t>11336-0000</t>
  </si>
  <si>
    <t>11337-0000</t>
  </si>
  <si>
    <t>11338-0000</t>
  </si>
  <si>
    <t>Interco  JUP</t>
  </si>
  <si>
    <t>11339-0000</t>
  </si>
  <si>
    <t>Interco  WES</t>
  </si>
  <si>
    <t>11340-0000</t>
  </si>
  <si>
    <t>Interco  LCP</t>
  </si>
  <si>
    <t>11341-0000</t>
  </si>
  <si>
    <t>11342-0000</t>
  </si>
  <si>
    <t>11343-0000</t>
  </si>
  <si>
    <t>Interco  GRA</t>
  </si>
  <si>
    <t>11344-0000</t>
  </si>
  <si>
    <t>Interco  SOU</t>
  </si>
  <si>
    <t>11345-0000</t>
  </si>
  <si>
    <t>Interco  API</t>
  </si>
  <si>
    <t>11346-0000</t>
  </si>
  <si>
    <t>IntercoDPH</t>
  </si>
  <si>
    <t>11347-0000</t>
  </si>
  <si>
    <t>Interco  ZPI</t>
  </si>
  <si>
    <t>11348-0000</t>
  </si>
  <si>
    <t>Interco  EAM</t>
  </si>
  <si>
    <t>11349-0000</t>
  </si>
  <si>
    <t>Interco  SEA</t>
  </si>
  <si>
    <t>11350-0000</t>
  </si>
  <si>
    <t>Interco  EAL</t>
  </si>
  <si>
    <t>11351-0000</t>
  </si>
  <si>
    <t>Interco  WEP</t>
  </si>
  <si>
    <t>11352-0000</t>
  </si>
  <si>
    <t>11353-0000</t>
  </si>
  <si>
    <t>11354-0000</t>
  </si>
  <si>
    <t>11355-0000</t>
  </si>
  <si>
    <t>11356-0000</t>
  </si>
  <si>
    <t>11357-0000</t>
  </si>
  <si>
    <t>11358-0000</t>
  </si>
  <si>
    <t>11359-0000</t>
  </si>
  <si>
    <t>11361-0000</t>
  </si>
  <si>
    <t>Interco - GSM</t>
  </si>
  <si>
    <t>11363-0000</t>
  </si>
  <si>
    <t>11364-0000</t>
  </si>
  <si>
    <t>Interco - NEH</t>
  </si>
  <si>
    <t>11365-0000</t>
  </si>
  <si>
    <t>Interco - PGP</t>
  </si>
  <si>
    <t>11366-0000</t>
  </si>
  <si>
    <t>Interco - WIC</t>
  </si>
  <si>
    <t>11402-0000</t>
  </si>
  <si>
    <t>Interco  DON</t>
  </si>
  <si>
    <t>11403-0000</t>
  </si>
  <si>
    <t>Interco - SPR</t>
  </si>
  <si>
    <t>11990-9999</t>
  </si>
  <si>
    <t>TOTAL INTERCOMPANY</t>
  </si>
  <si>
    <t>12000-0000</t>
  </si>
  <si>
    <t>OTHER RECEIVABLE</t>
  </si>
  <si>
    <t>12100-0000</t>
  </si>
  <si>
    <t>12105-0000</t>
  </si>
  <si>
    <t>A/R Other</t>
  </si>
  <si>
    <t>12400-0000</t>
  </si>
  <si>
    <t>Due To-From</t>
  </si>
  <si>
    <t>12401-0000</t>
  </si>
  <si>
    <t>Note Receivable - BET</t>
  </si>
  <si>
    <t>12402-0000</t>
  </si>
  <si>
    <t>Note Receivable  DON</t>
  </si>
  <si>
    <t>12403-0000</t>
  </si>
  <si>
    <t>12501-0000</t>
  </si>
  <si>
    <t>Note Receivable  Neel</t>
  </si>
  <si>
    <t>12510-0000</t>
  </si>
  <si>
    <t>Loans  Short Term</t>
  </si>
  <si>
    <t>12990-9999</t>
  </si>
  <si>
    <t>TOTAL OTHER RECEIVABLE</t>
  </si>
  <si>
    <t>13000-0000</t>
  </si>
  <si>
    <t>PREPAID</t>
  </si>
  <si>
    <t>13010-0000</t>
  </si>
  <si>
    <t>13050-0000</t>
  </si>
  <si>
    <t>13590-9999</t>
  </si>
  <si>
    <t>TOTAL PREPAID</t>
  </si>
  <si>
    <t>13600-0000</t>
  </si>
  <si>
    <t>OTHER ASSETS</t>
  </si>
  <si>
    <t>13610-0000</t>
  </si>
  <si>
    <t>13620-0000</t>
  </si>
  <si>
    <t>13800-0000</t>
  </si>
  <si>
    <t>LENDER ESCROW ACCOUNT</t>
  </si>
  <si>
    <t>13810-0000</t>
  </si>
  <si>
    <t>13811-0000</t>
  </si>
  <si>
    <t>Property Tax Escrow</t>
  </si>
  <si>
    <t>13811-1000</t>
  </si>
  <si>
    <t>Property Tax Disbursement</t>
  </si>
  <si>
    <t>13812-0000</t>
  </si>
  <si>
    <t>Property Insurance Escrow Account</t>
  </si>
  <si>
    <t>13812-1000</t>
  </si>
  <si>
    <t>Property Insurance Disbursement</t>
  </si>
  <si>
    <t>Insurance Reserve Payment</t>
  </si>
  <si>
    <t>13813-0000</t>
  </si>
  <si>
    <t>Interest Rate Cap Escrow Account</t>
  </si>
  <si>
    <t>13813-1000</t>
  </si>
  <si>
    <t>Interest Rate Cap Reserve Disbursement</t>
  </si>
  <si>
    <t>13820-0000</t>
  </si>
  <si>
    <t>13820-1000</t>
  </si>
  <si>
    <t>Capex Reserve Disbursement</t>
  </si>
  <si>
    <t>13821-0000</t>
  </si>
  <si>
    <t>Interest Reserve</t>
  </si>
  <si>
    <t>13821-1000</t>
  </si>
  <si>
    <t>Interest Reserve Disbursement</t>
  </si>
  <si>
    <t>13822-0000</t>
  </si>
  <si>
    <t>13822-1000</t>
  </si>
  <si>
    <t>Replacement Reserve Disbursement</t>
  </si>
  <si>
    <t>13899-9999</t>
  </si>
  <si>
    <t>TOTAL LENDER ESCROW ACCOUNT</t>
  </si>
  <si>
    <t>13990-9999</t>
  </si>
  <si>
    <t>TOTAL OTHER ASSETS</t>
  </si>
  <si>
    <t>13999-9999</t>
  </si>
  <si>
    <t>TOTAL CURRENT ASSETS</t>
  </si>
  <si>
    <t>14000-0000</t>
  </si>
  <si>
    <t>LAND PROPERTY - EQUIPMENT</t>
  </si>
  <si>
    <t>Y</t>
  </si>
  <si>
    <t>14100-0000</t>
  </si>
  <si>
    <t>15000-0000</t>
  </si>
  <si>
    <t>15500-0000</t>
  </si>
  <si>
    <t>15600-0000</t>
  </si>
  <si>
    <t>15700-0000</t>
  </si>
  <si>
    <t>15800-0000</t>
  </si>
  <si>
    <t>Vehicle</t>
  </si>
  <si>
    <t>16000-0000</t>
  </si>
  <si>
    <t>17000-0000</t>
  </si>
  <si>
    <t>18000-0000</t>
  </si>
  <si>
    <t>18990-9999</t>
  </si>
  <si>
    <t>TOTAL LAND PROPERTY - EQUIPMENT</t>
  </si>
  <si>
    <t>19999-9999</t>
  </si>
  <si>
    <t>TOTAL ASSETS</t>
  </si>
  <si>
    <t>20000-0000</t>
  </si>
  <si>
    <t>LIABILITIES AND CAPITAL</t>
  </si>
  <si>
    <t>21000-0000</t>
  </si>
  <si>
    <t>LIABILITIES</t>
  </si>
  <si>
    <t>21100-0000</t>
  </si>
  <si>
    <t>CURRENT LIABILITIES</t>
  </si>
  <si>
    <t>22000-0000</t>
  </si>
  <si>
    <t>22001-0000</t>
  </si>
  <si>
    <t>22003-0000</t>
  </si>
  <si>
    <t>22005-0000</t>
  </si>
  <si>
    <t>22310-0000</t>
  </si>
  <si>
    <t>Income Tax Payable</t>
  </si>
  <si>
    <t>22800-0000</t>
  </si>
  <si>
    <t>22801-0000</t>
  </si>
  <si>
    <t>22810-0000</t>
  </si>
  <si>
    <t>Security Deposit Clearing</t>
  </si>
  <si>
    <t>22900-0000</t>
  </si>
  <si>
    <t>22905-0000</t>
  </si>
  <si>
    <t>22906-0000</t>
  </si>
  <si>
    <t>23000-0000</t>
  </si>
  <si>
    <t>Payroll Liabilities</t>
  </si>
  <si>
    <t>23100-0000</t>
  </si>
  <si>
    <t>Garnishment</t>
  </si>
  <si>
    <t>23500-0000</t>
  </si>
  <si>
    <t>23501-0000</t>
  </si>
  <si>
    <t>23509-0000</t>
  </si>
  <si>
    <t>23700-0000</t>
  </si>
  <si>
    <t>PPP Loan</t>
  </si>
  <si>
    <t>23800-0000</t>
  </si>
  <si>
    <t>23999-9999</t>
  </si>
  <si>
    <t>TOTAL CURRENT LIABILITIES</t>
  </si>
  <si>
    <t>24000-0000</t>
  </si>
  <si>
    <t>TAX LIABILITIES</t>
  </si>
  <si>
    <t>24200-0000</t>
  </si>
  <si>
    <t>Federal Witholding Payable</t>
  </si>
  <si>
    <t>24300-0000</t>
  </si>
  <si>
    <t>State Witholding Payable</t>
  </si>
  <si>
    <t>24400-0000</t>
  </si>
  <si>
    <t>FICA - Medicare Payable</t>
  </si>
  <si>
    <t>24500-0000</t>
  </si>
  <si>
    <t>SUI - FUTA Tax Payable</t>
  </si>
  <si>
    <t>24600-0000</t>
  </si>
  <si>
    <t>State Disability  SDI</t>
  </si>
  <si>
    <t>24999-9999</t>
  </si>
  <si>
    <t>TOTAL TAX LIABILITIES</t>
  </si>
  <si>
    <t>25000-0000</t>
  </si>
  <si>
    <t>LONGTERM LIABILITIES</t>
  </si>
  <si>
    <t>25005-0000</t>
  </si>
  <si>
    <t>Wachovia-SAT</t>
  </si>
  <si>
    <t>25009-0000</t>
  </si>
  <si>
    <t>25600-0000</t>
  </si>
  <si>
    <t>25601-0000</t>
  </si>
  <si>
    <t>Discount Notes Pay</t>
  </si>
  <si>
    <t>25602-0000</t>
  </si>
  <si>
    <t>25603-0000</t>
  </si>
  <si>
    <t>Note Payable  NCEB</t>
  </si>
  <si>
    <t>28000-0000</t>
  </si>
  <si>
    <t>Loan  Flagstar</t>
  </si>
  <si>
    <t>28001-0000</t>
  </si>
  <si>
    <t>Loan  SkyOne</t>
  </si>
  <si>
    <t>28002-0000</t>
  </si>
  <si>
    <t>Loan  Capital One</t>
  </si>
  <si>
    <t>28003-0000</t>
  </si>
  <si>
    <t>28004-0000</t>
  </si>
  <si>
    <t>28005-0000</t>
  </si>
  <si>
    <t>28006-0000</t>
  </si>
  <si>
    <t>Loan  Arixa Institution</t>
  </si>
  <si>
    <t>28007-0000</t>
  </si>
  <si>
    <t>Loan  ChaseSP</t>
  </si>
  <si>
    <t>28008-0000</t>
  </si>
  <si>
    <t>28009-0000</t>
  </si>
  <si>
    <t>Loan - EMG Transfer Agent</t>
  </si>
  <si>
    <t>28010-0000</t>
  </si>
  <si>
    <t>28011-0000</t>
  </si>
  <si>
    <t>Loan - First Foundation Bank</t>
  </si>
  <si>
    <t>28012-0000</t>
  </si>
  <si>
    <t>Loan - Luthern Bank</t>
  </si>
  <si>
    <t>28013-0000</t>
  </si>
  <si>
    <t>Loan - Wells Fargo</t>
  </si>
  <si>
    <t>28014-0000</t>
  </si>
  <si>
    <t>28015-0000</t>
  </si>
  <si>
    <t>28016-0000</t>
  </si>
  <si>
    <t>28017-0000</t>
  </si>
  <si>
    <t>28018-0000</t>
  </si>
  <si>
    <t>28019-0000</t>
  </si>
  <si>
    <t>28020-0000</t>
  </si>
  <si>
    <t>Loan - GMAC Portofino</t>
  </si>
  <si>
    <t>28021-0000</t>
  </si>
  <si>
    <t>Loan to Harshad</t>
  </si>
  <si>
    <t>28022-0000</t>
  </si>
  <si>
    <t>Loan - Midland Loan BC</t>
  </si>
  <si>
    <t>28023-0000</t>
  </si>
  <si>
    <t>28024-0000</t>
  </si>
  <si>
    <t>Loan - TS AG Finance</t>
  </si>
  <si>
    <t>28990-9999</t>
  </si>
  <si>
    <t>TOTAL LONGTERM LIABILITIES</t>
  </si>
  <si>
    <t>29999-9999</t>
  </si>
  <si>
    <t>TOTAL LIABILITIES</t>
  </si>
  <si>
    <t>30000-0000</t>
  </si>
  <si>
    <t>CAPITAL</t>
  </si>
  <si>
    <t>30101-0000</t>
  </si>
  <si>
    <t>30501-0000</t>
  </si>
  <si>
    <t>31001-0000</t>
  </si>
  <si>
    <t>31002-0000</t>
  </si>
  <si>
    <t>Capital Contribtuion  Kevin Whitton</t>
  </si>
  <si>
    <t>31003-0000</t>
  </si>
  <si>
    <t>Capital Contribution  Amna Khatoon</t>
  </si>
  <si>
    <t>31005-0000</t>
  </si>
  <si>
    <t>Capital Contribution  DFTCNB</t>
  </si>
  <si>
    <t>31007-0000</t>
  </si>
  <si>
    <t>31008-0000</t>
  </si>
  <si>
    <t>31009-0000</t>
  </si>
  <si>
    <t>31010-0000</t>
  </si>
  <si>
    <t>31012-0000</t>
  </si>
  <si>
    <t>31015-0000</t>
  </si>
  <si>
    <t>31016-0000</t>
  </si>
  <si>
    <t>Capital Contribution  RFM</t>
  </si>
  <si>
    <t>31018-0000</t>
  </si>
  <si>
    <t>Capital ContributionShawn Rezaei</t>
  </si>
  <si>
    <t>31801-0000</t>
  </si>
  <si>
    <t>Capital Contribution  Tim Tankka</t>
  </si>
  <si>
    <t>31802-0000</t>
  </si>
  <si>
    <t>Capital Contribution  Nisha Agarwal</t>
  </si>
  <si>
    <t>31803-0000</t>
  </si>
  <si>
    <t>Capital Contribution  Rima Rafeh</t>
  </si>
  <si>
    <t>31804-0000</t>
  </si>
  <si>
    <t>Capital Contribution  Brajesh Goyal</t>
  </si>
  <si>
    <t>31900-0000</t>
  </si>
  <si>
    <t>36000-0000</t>
  </si>
  <si>
    <t>36002-0000</t>
  </si>
  <si>
    <t>SH Dist  Kevin Whitton</t>
  </si>
  <si>
    <t>36003-0000</t>
  </si>
  <si>
    <t>SH Dist - Amna Khatoon</t>
  </si>
  <si>
    <t>36004-0000</t>
  </si>
  <si>
    <t>SH Dist  Frank Rosen</t>
  </si>
  <si>
    <t>36005-0000</t>
  </si>
  <si>
    <t>36006-0000</t>
  </si>
  <si>
    <t>SH Dist  Neel Pujara</t>
  </si>
  <si>
    <t>36008-0000</t>
  </si>
  <si>
    <t>36018-0000</t>
  </si>
  <si>
    <t>SH Dist  Shawn Rezaei</t>
  </si>
  <si>
    <t>36801-0000</t>
  </si>
  <si>
    <t>SH Dist  Tim Tankka</t>
  </si>
  <si>
    <t>36802-0000</t>
  </si>
  <si>
    <t>SH DIst  Nisha Agarwal</t>
  </si>
  <si>
    <t>36803-0000</t>
  </si>
  <si>
    <t>SH Dist  Rima Rafeh</t>
  </si>
  <si>
    <t>36804-0000</t>
  </si>
  <si>
    <t>SH Dist  Brajesh Goyal</t>
  </si>
  <si>
    <t>36900-0000</t>
  </si>
  <si>
    <t>SH Dist  Josh Bowman</t>
  </si>
  <si>
    <t>36901-0000</t>
  </si>
  <si>
    <t>SH Dist  - 41st Street Investment</t>
  </si>
  <si>
    <t>38100-0000</t>
  </si>
  <si>
    <t>38100-1000</t>
  </si>
  <si>
    <t>Retained Earnings - Current Year</t>
  </si>
  <si>
    <t>38990-9999</t>
  </si>
  <si>
    <t>TOTAL CAPITAL</t>
  </si>
  <si>
    <t>39999-9999</t>
  </si>
  <si>
    <t>TOTAL LIABILITIES - CAPITAL</t>
  </si>
  <si>
    <t>40000-0000</t>
  </si>
  <si>
    <t>NET INCOME</t>
  </si>
  <si>
    <t>40001-0000</t>
  </si>
  <si>
    <t>NET OPERATING INCOME</t>
  </si>
  <si>
    <t>40005-0000</t>
  </si>
  <si>
    <t>OPERATING EXPENSES</t>
  </si>
  <si>
    <t>40010-0000</t>
  </si>
  <si>
    <t>INCOME</t>
  </si>
  <si>
    <t>40050-0000</t>
  </si>
  <si>
    <t>RENTAL INCOME</t>
  </si>
  <si>
    <t>40100-0000</t>
  </si>
  <si>
    <t>GROSS POTENTIAL RENT</t>
  </si>
  <si>
    <t>40110-0000</t>
  </si>
  <si>
    <t>40120-0000</t>
  </si>
  <si>
    <t>40130-0000</t>
  </si>
  <si>
    <t>40140-0000</t>
  </si>
  <si>
    <t>40990-9999</t>
  </si>
  <si>
    <t>TOTAL GROSS SCHEDULED RENT</t>
  </si>
  <si>
    <t>41000-0000</t>
  </si>
  <si>
    <t>NET RENTAL INCOME</t>
  </si>
  <si>
    <t>41110-0000</t>
  </si>
  <si>
    <t>41112-0000</t>
  </si>
  <si>
    <t>S8-HUD Rent</t>
  </si>
  <si>
    <t>41120-0000</t>
  </si>
  <si>
    <t>41999-9999</t>
  </si>
  <si>
    <t>TOTAL NET RENTAL INCOME</t>
  </si>
  <si>
    <t>42000-0000</t>
  </si>
  <si>
    <t>NET COLLECTED RENT</t>
  </si>
  <si>
    <t>42110-0000</t>
  </si>
  <si>
    <t>42130-0000</t>
  </si>
  <si>
    <t>42140-0000</t>
  </si>
  <si>
    <t>42150-0000</t>
  </si>
  <si>
    <t>42160-0000</t>
  </si>
  <si>
    <t>42405-0000</t>
  </si>
  <si>
    <t>Less Bad Debt</t>
  </si>
  <si>
    <t>43120-0000</t>
  </si>
  <si>
    <t>43121-0000</t>
  </si>
  <si>
    <t>43159-9999</t>
  </si>
  <si>
    <t>TOTAL NET COLLECTED RENT</t>
  </si>
  <si>
    <t>43199-9999</t>
  </si>
  <si>
    <t>OTHER INCOME</t>
  </si>
  <si>
    <t>43200-0000</t>
  </si>
  <si>
    <t>43410-0000</t>
  </si>
  <si>
    <t>43420-0000</t>
  </si>
  <si>
    <t>43430-0000</t>
  </si>
  <si>
    <t>43440-0000</t>
  </si>
  <si>
    <t>43450-0000</t>
  </si>
  <si>
    <t>43480-0000</t>
  </si>
  <si>
    <t>43490-0000</t>
  </si>
  <si>
    <t>43491-0000</t>
  </si>
  <si>
    <t>43492-0000</t>
  </si>
  <si>
    <t>43493-0000</t>
  </si>
  <si>
    <t>43494-0000</t>
  </si>
  <si>
    <t>43495-0000</t>
  </si>
  <si>
    <t>Capital Improvememt</t>
  </si>
  <si>
    <t>44000-0000</t>
  </si>
  <si>
    <t>46000-0000</t>
  </si>
  <si>
    <t>47300-0000</t>
  </si>
  <si>
    <t>47550-0000</t>
  </si>
  <si>
    <t>No Increase Loss</t>
  </si>
  <si>
    <t>49500-9999</t>
  </si>
  <si>
    <t>49990-9999</t>
  </si>
  <si>
    <t>TOTAL OTHER INCOME</t>
  </si>
  <si>
    <t>49999-9999</t>
  </si>
  <si>
    <t>TOTAL ACTUAL INCOME</t>
  </si>
  <si>
    <t>50000-0000</t>
  </si>
  <si>
    <t>EXPENSES</t>
  </si>
  <si>
    <t>51000-0000</t>
  </si>
  <si>
    <t>GENERAL MAINT-BUSINESS EXP</t>
  </si>
  <si>
    <t>51001-0000</t>
  </si>
  <si>
    <t>51002-0000</t>
  </si>
  <si>
    <t>51003-0000</t>
  </si>
  <si>
    <t>51004-0000</t>
  </si>
  <si>
    <t>Gen  Elev Maint-Rep</t>
  </si>
  <si>
    <t>Add New in ategory</t>
  </si>
  <si>
    <t>51005-0000</t>
  </si>
  <si>
    <t>51006-0000</t>
  </si>
  <si>
    <t>51007-0000</t>
  </si>
  <si>
    <t>51008-0000</t>
  </si>
  <si>
    <t>51009-0000</t>
  </si>
  <si>
    <t>51010-0000</t>
  </si>
  <si>
    <t>Gen  RepairRoof</t>
  </si>
  <si>
    <t>51011-0000</t>
  </si>
  <si>
    <t>51012-0000</t>
  </si>
  <si>
    <t>51013-0000</t>
  </si>
  <si>
    <t>51014-0000</t>
  </si>
  <si>
    <t>Gen  Solar</t>
  </si>
  <si>
    <t>Solar</t>
  </si>
  <si>
    <t>51015-0000</t>
  </si>
  <si>
    <t>51018-0000</t>
  </si>
  <si>
    <t>51019-0000</t>
  </si>
  <si>
    <t>51020-0000</t>
  </si>
  <si>
    <t>51021-0000</t>
  </si>
  <si>
    <t>51022-0000</t>
  </si>
  <si>
    <t>Gen  Sec Dep Refund</t>
  </si>
  <si>
    <t>Sec Dep Refund</t>
  </si>
  <si>
    <t>51023-0000</t>
  </si>
  <si>
    <t>Gen  Systematic Code Fees</t>
  </si>
  <si>
    <t>Systamatic Code fees</t>
  </si>
  <si>
    <t>51024-0000</t>
  </si>
  <si>
    <t>Gen  Travel Expense</t>
  </si>
  <si>
    <t>Travel expenses</t>
  </si>
  <si>
    <t>51025-0000</t>
  </si>
  <si>
    <t>51026-0000</t>
  </si>
  <si>
    <t>Fine - Penalty</t>
  </si>
  <si>
    <t>51027-0000</t>
  </si>
  <si>
    <t>HOA Fee</t>
  </si>
  <si>
    <t>51028-0000</t>
  </si>
  <si>
    <t>51029-0000</t>
  </si>
  <si>
    <t>51030-0000</t>
  </si>
  <si>
    <t>51350-0000</t>
  </si>
  <si>
    <t>51990-0000</t>
  </si>
  <si>
    <t>51990-9999</t>
  </si>
  <si>
    <t>TOTAL GENERAL MAINT/BUSINESS EXP</t>
  </si>
  <si>
    <t>52000-0000</t>
  </si>
  <si>
    <t>RENT READY</t>
  </si>
  <si>
    <t>52001-0000</t>
  </si>
  <si>
    <t>52002-0000</t>
  </si>
  <si>
    <t>52003-0000</t>
  </si>
  <si>
    <t>52005-0000</t>
  </si>
  <si>
    <t>RR  Small Tools - Eq</t>
  </si>
  <si>
    <t>52007-0000</t>
  </si>
  <si>
    <t>52008-0000</t>
  </si>
  <si>
    <t>RR  Unit Renov Lab</t>
  </si>
  <si>
    <t>52990-9999</t>
  </si>
  <si>
    <t>TOTAL RENT READY</t>
  </si>
  <si>
    <t>53000-0000</t>
  </si>
  <si>
    <t>UTILITIES</t>
  </si>
  <si>
    <t>53001-0000</t>
  </si>
  <si>
    <t>53002-0000</t>
  </si>
  <si>
    <t>53003-0000</t>
  </si>
  <si>
    <t>53004-0000</t>
  </si>
  <si>
    <t>53005-0000</t>
  </si>
  <si>
    <t>53006-0000</t>
  </si>
  <si>
    <t>53007-0000</t>
  </si>
  <si>
    <t>Utils  Security</t>
  </si>
  <si>
    <t>Utils - Security</t>
  </si>
  <si>
    <t>53011-0000</t>
  </si>
  <si>
    <t>53990-9999</t>
  </si>
  <si>
    <t>TOTAL UTILITIES</t>
  </si>
  <si>
    <t>54000-0000</t>
  </si>
  <si>
    <t>PAYROLL</t>
  </si>
  <si>
    <t>54001-0000</t>
  </si>
  <si>
    <t>54002-0000</t>
  </si>
  <si>
    <t>54003-0000</t>
  </si>
  <si>
    <t>54004-0000</t>
  </si>
  <si>
    <t>54005-0000</t>
  </si>
  <si>
    <t>54006-0000</t>
  </si>
  <si>
    <t>54007-0000</t>
  </si>
  <si>
    <t>54100-0000</t>
  </si>
  <si>
    <t>54990-9999</t>
  </si>
  <si>
    <t>TOTAL PAYROLL</t>
  </si>
  <si>
    <t>59990-9999</t>
  </si>
  <si>
    <t>TOTAL CONTROLLABLE EXPENSES</t>
  </si>
  <si>
    <t>61000-0000</t>
  </si>
  <si>
    <t>NONCONTROLLABLE EXPENSES</t>
  </si>
  <si>
    <t>61001-0000</t>
  </si>
  <si>
    <t>61002-0000</t>
  </si>
  <si>
    <t>61003-0000</t>
  </si>
  <si>
    <t>Impound  Insurance</t>
  </si>
  <si>
    <t>61004-0000</t>
  </si>
  <si>
    <t>Impound  Prop Tax</t>
  </si>
  <si>
    <t>61005-0000</t>
  </si>
  <si>
    <t>61006-0000</t>
  </si>
  <si>
    <t>Impound  Reserved</t>
  </si>
  <si>
    <t>61007-0000</t>
  </si>
  <si>
    <t>61008-0000</t>
  </si>
  <si>
    <t>61009-0000</t>
  </si>
  <si>
    <t>Cash Over-Short</t>
  </si>
  <si>
    <t>61010-0000</t>
  </si>
  <si>
    <t>61011-0000</t>
  </si>
  <si>
    <t>61012-0000</t>
  </si>
  <si>
    <t>61013-0000</t>
  </si>
  <si>
    <t>61014-0000</t>
  </si>
  <si>
    <t>61015-0000</t>
  </si>
  <si>
    <t>61016-0000</t>
  </si>
  <si>
    <t>61017-0000</t>
  </si>
  <si>
    <t>61021-0000</t>
  </si>
  <si>
    <t>Rent-Office Exp</t>
  </si>
  <si>
    <t>Rent office Exp</t>
  </si>
  <si>
    <t>61022-0000</t>
  </si>
  <si>
    <t>61023-0000</t>
  </si>
  <si>
    <t>61024-0000</t>
  </si>
  <si>
    <t>61025-0000</t>
  </si>
  <si>
    <t>Late Fees</t>
  </si>
  <si>
    <t>69900-9999</t>
  </si>
  <si>
    <t>TOTAL NONCONTROLLABLE EXPENSES</t>
  </si>
  <si>
    <t>69990-9999</t>
  </si>
  <si>
    <t>TOTAL OPERATING EXPENSES</t>
  </si>
  <si>
    <t>69999-9999</t>
  </si>
  <si>
    <t>70000-0000</t>
  </si>
  <si>
    <t>NON OPERATING EXPENSES</t>
  </si>
  <si>
    <t>71000-0000</t>
  </si>
  <si>
    <t>IMAGE ENHANCEMENT-PM EXPENSES</t>
  </si>
  <si>
    <t>71010-0000</t>
  </si>
  <si>
    <t>71020-0000</t>
  </si>
  <si>
    <t>71030-0000</t>
  </si>
  <si>
    <t>71040-0000</t>
  </si>
  <si>
    <t>71050-0000</t>
  </si>
  <si>
    <t>71060-0000</t>
  </si>
  <si>
    <t>71070-0000</t>
  </si>
  <si>
    <t>71080-0000</t>
  </si>
  <si>
    <t>71090-0000</t>
  </si>
  <si>
    <t>71100-0000</t>
  </si>
  <si>
    <t>71110-0000</t>
  </si>
  <si>
    <t>72990-9999</t>
  </si>
  <si>
    <t>TOTAL IMAGE ENHANCEMENT/PM EXPENSES</t>
  </si>
  <si>
    <t>73101-0000</t>
  </si>
  <si>
    <t>Write-Off</t>
  </si>
  <si>
    <t>73103-0000</t>
  </si>
  <si>
    <t>Recovery from Past Resident</t>
  </si>
  <si>
    <t>73105-0000</t>
  </si>
  <si>
    <t>Recovery from Collection Agency</t>
  </si>
  <si>
    <t>73990-9999</t>
  </si>
  <si>
    <t>TOTAL WRITE-OFF AND RECOVERY</t>
  </si>
  <si>
    <t>80000-0000</t>
  </si>
  <si>
    <t>INTEREST TAX DEPR-AMORT-OFFICE SALARY</t>
  </si>
  <si>
    <t>80006-0000</t>
  </si>
  <si>
    <t>80061-0000</t>
  </si>
  <si>
    <t>Interest  Related Cohen</t>
  </si>
  <si>
    <t>81019-0000</t>
  </si>
  <si>
    <t>81220-0000</t>
  </si>
  <si>
    <t>Officer Salary</t>
  </si>
  <si>
    <t>81228-0000</t>
  </si>
  <si>
    <t>81400-0000</t>
  </si>
  <si>
    <t>82900-0000</t>
  </si>
  <si>
    <t>Gain-Loss on Disp</t>
  </si>
  <si>
    <t>85500-0000</t>
  </si>
  <si>
    <t>Depreciation Expense</t>
  </si>
  <si>
    <t>85700-0000</t>
  </si>
  <si>
    <t>Amortization Expense</t>
  </si>
  <si>
    <t>89900-9999</t>
  </si>
  <si>
    <t>TOTAL INTEREST TAX DEPR-AMORT-OFFICE SALARY</t>
  </si>
  <si>
    <t>89990-9999</t>
  </si>
  <si>
    <t>TOTAL NONOPERATING EXPENSES</t>
  </si>
  <si>
    <t>89999-9999</t>
  </si>
  <si>
    <t>TOTAL NET INCOME</t>
  </si>
  <si>
    <t>99999-9999</t>
  </si>
  <si>
    <t>TOTAL OF ALL</t>
  </si>
  <si>
    <t>Forward</t>
  </si>
  <si>
    <t>+</t>
  </si>
  <si>
    <t>-</t>
  </si>
  <si>
    <t>Ending</t>
  </si>
  <si>
    <t>Current Month DR + , CR -</t>
  </si>
  <si>
    <t>Balance</t>
  </si>
  <si>
    <t>Debit</t>
  </si>
  <si>
    <t>Credit</t>
  </si>
  <si>
    <t>LPI0001</t>
  </si>
  <si>
    <t>LPI0002</t>
  </si>
  <si>
    <t>LPI0003</t>
  </si>
  <si>
    <t>LPI0004</t>
  </si>
  <si>
    <t>LPI0005</t>
  </si>
  <si>
    <t>WIC</t>
  </si>
  <si>
    <t>Jan</t>
  </si>
  <si>
    <t>No Delete</t>
  </si>
  <si>
    <t>No delete</t>
  </si>
  <si>
    <t>Total Current Assets</t>
  </si>
  <si>
    <t>Cash and Cash Equivalents</t>
  </si>
  <si>
    <t>AKA-10003-0000</t>
  </si>
  <si>
    <t>AKA-10004-0000</t>
  </si>
  <si>
    <t>AKA-10005-0000</t>
  </si>
  <si>
    <t>AKA-10006-0000</t>
  </si>
  <si>
    <t>AKA-10009-0000</t>
  </si>
  <si>
    <t>AKA-10010-0000</t>
  </si>
  <si>
    <t>AKA-10011-0000</t>
  </si>
  <si>
    <t>CASH</t>
  </si>
  <si>
    <t>AKA-10012-0000</t>
  </si>
  <si>
    <t>AKA-10023-0000</t>
  </si>
  <si>
    <t>AKA-10024-0000</t>
  </si>
  <si>
    <t>AKA-10027-0000</t>
  </si>
  <si>
    <t>AKA-10050-0000</t>
  </si>
  <si>
    <t>Total Current Liabilities</t>
  </si>
  <si>
    <t>Other Current Liabilities</t>
  </si>
  <si>
    <t>AKA-11200-0000</t>
  </si>
  <si>
    <t>Due from/(to) Related Parties</t>
  </si>
  <si>
    <t>AKA-11201-0000</t>
  </si>
  <si>
    <t>AKA-11202-0000</t>
  </si>
  <si>
    <t>AKA-11203-0000</t>
  </si>
  <si>
    <t>AKA-11204-0000</t>
  </si>
  <si>
    <t>AKA-11208-0000</t>
  </si>
  <si>
    <t>AKA-11210-0000</t>
  </si>
  <si>
    <t>AKA-11212-0000</t>
  </si>
  <si>
    <t>AKA-11214-0000</t>
  </si>
  <si>
    <t>AKA-11215-0000</t>
  </si>
  <si>
    <t>AKA-11232-0000</t>
  </si>
  <si>
    <t>AKA-11301-0000</t>
  </si>
  <si>
    <t>AKA-11302-0000</t>
  </si>
  <si>
    <t>AKA-11303-0000</t>
  </si>
  <si>
    <t>AKA-11304-0000</t>
  </si>
  <si>
    <t>AKA-11305-0000</t>
  </si>
  <si>
    <t>AKA-11307-0000</t>
  </si>
  <si>
    <t>AKA-11308-0000</t>
  </si>
  <si>
    <t>AKA-11309-0000</t>
  </si>
  <si>
    <t>AKA-11310-0000</t>
  </si>
  <si>
    <t>AKA-11311-0000</t>
  </si>
  <si>
    <t>AKA-11312-0000</t>
  </si>
  <si>
    <t>AKA-11313-0000</t>
  </si>
  <si>
    <t>AKA-11314-0000</t>
  </si>
  <si>
    <t>AKA-11315-0000</t>
  </si>
  <si>
    <t>AKA-11316-0000</t>
  </si>
  <si>
    <t>AKA-11317-0000</t>
  </si>
  <si>
    <t>AKA-11318-0000</t>
  </si>
  <si>
    <t>AKA-11319-0000</t>
  </si>
  <si>
    <t>AKA-11320-0000</t>
  </si>
  <si>
    <t>AKA-11321-0000</t>
  </si>
  <si>
    <t>AKA-11322-0000</t>
  </si>
  <si>
    <t>AKA-11323-0000</t>
  </si>
  <si>
    <t>AKA-11324-0000</t>
  </si>
  <si>
    <t>AKA-11325-0000</t>
  </si>
  <si>
    <t>AKA-11326-0000</t>
  </si>
  <si>
    <t>AKA-11327-0000</t>
  </si>
  <si>
    <t>AKA-11328-0000</t>
  </si>
  <si>
    <t>AKA-11330-0000</t>
  </si>
  <si>
    <t>AKA-11331-0000</t>
  </si>
  <si>
    <t>AKA-11332-0000</t>
  </si>
  <si>
    <t>AKA-11333-0000</t>
  </si>
  <si>
    <t>AKA-11334-0000</t>
  </si>
  <si>
    <t>AKA-11335-0000</t>
  </si>
  <si>
    <t>AKA-11336-0000</t>
  </si>
  <si>
    <t>AKA-11337-0000</t>
  </si>
  <si>
    <t>AKA-11338-0000</t>
  </si>
  <si>
    <t>AKA-11339-0000</t>
  </si>
  <si>
    <t>AKA-11340-0000</t>
  </si>
  <si>
    <t>AKA-11341-0000</t>
  </si>
  <si>
    <t>AKA-11342-0000</t>
  </si>
  <si>
    <t>AKA-11344-0000</t>
  </si>
  <si>
    <t>AKA-11345-0000</t>
  </si>
  <si>
    <t>AKA-11346-0000</t>
  </si>
  <si>
    <t>AKA-11347-0000</t>
  </si>
  <si>
    <t>AKA-11348-0000</t>
  </si>
  <si>
    <t>AKA-11349-0000</t>
  </si>
  <si>
    <t>AKA-11350-0000</t>
  </si>
  <si>
    <t>AKA-11351-0000</t>
  </si>
  <si>
    <t>AKA-11352-0000</t>
  </si>
  <si>
    <t>AKA-11353-0000</t>
  </si>
  <si>
    <t>AKA-11354-0000</t>
  </si>
  <si>
    <t>AKA-11355-0000</t>
  </si>
  <si>
    <t>AKA-11356-0000</t>
  </si>
  <si>
    <t>AKA-11357-0000</t>
  </si>
  <si>
    <t>AKA-11358-0000</t>
  </si>
  <si>
    <t>AKA-11359-0000</t>
  </si>
  <si>
    <t>AKA-11361-0000</t>
  </si>
  <si>
    <t>AKA-11363-0000</t>
  </si>
  <si>
    <t>AKA-11364-0000</t>
  </si>
  <si>
    <t>AKA-11365-0000</t>
  </si>
  <si>
    <t>AKA-11366-0000</t>
  </si>
  <si>
    <t>AKA-11402-0000</t>
  </si>
  <si>
    <t>AKA-11403-0000</t>
  </si>
  <si>
    <t>AKA-12100-0000</t>
  </si>
  <si>
    <t>Other Receivables</t>
  </si>
  <si>
    <t>AKA-12105-0000</t>
  </si>
  <si>
    <t>AKA-12400-0000</t>
  </si>
  <si>
    <t>AKA-12401-0000</t>
  </si>
  <si>
    <t>AKA-12402-0000</t>
  </si>
  <si>
    <t>AKA-12403-0000</t>
  </si>
  <si>
    <t>AKA-12501-0000</t>
  </si>
  <si>
    <t>AKA-12510-0000</t>
  </si>
  <si>
    <t>AKA-13010-0000</t>
  </si>
  <si>
    <t>Prepaid Expenses</t>
  </si>
  <si>
    <t>AKA-13050-0000</t>
  </si>
  <si>
    <t>AKA-13610-0000</t>
  </si>
  <si>
    <t>Total Assets</t>
  </si>
  <si>
    <t>Other Assets, net</t>
  </si>
  <si>
    <t>AKA-13620-0000</t>
  </si>
  <si>
    <t>AKA-13810-0000</t>
  </si>
  <si>
    <t>Property and Equipment, net</t>
  </si>
  <si>
    <t>AKA-13811-0000</t>
  </si>
  <si>
    <t>AKA-13811-1000</t>
  </si>
  <si>
    <t>AKA-13812-0000</t>
  </si>
  <si>
    <t>AKA-13812-1000</t>
  </si>
  <si>
    <t>AKA-13813-0000</t>
  </si>
  <si>
    <t>AKA-13813-1000</t>
  </si>
  <si>
    <t>AKA-13820-0000</t>
  </si>
  <si>
    <t>Total  Assets</t>
  </si>
  <si>
    <t>AKA-13820-1000</t>
  </si>
  <si>
    <t>AKA-13821-0000</t>
  </si>
  <si>
    <t>AKA-13821-1000</t>
  </si>
  <si>
    <t>AKA-13822-0000</t>
  </si>
  <si>
    <t>AKA-13822-1000</t>
  </si>
  <si>
    <t>AKA-14100-0000</t>
  </si>
  <si>
    <t>AKA-15500-0000</t>
  </si>
  <si>
    <t>AKA-15600-0000</t>
  </si>
  <si>
    <t>AKA-15700-0000</t>
  </si>
  <si>
    <t>AKA-15800-0000</t>
  </si>
  <si>
    <t>AKA-16000-0000</t>
  </si>
  <si>
    <t>AKA-17000-0000</t>
  </si>
  <si>
    <t>AKA-18000-0000</t>
  </si>
  <si>
    <t>AKA-22000-0000</t>
  </si>
  <si>
    <t>AKA-22003-0000</t>
  </si>
  <si>
    <t>AKA-22005-0000</t>
  </si>
  <si>
    <t>AKA-22310-0000</t>
  </si>
  <si>
    <t>AKA-22800-0000</t>
  </si>
  <si>
    <t>AKA-22801-0000</t>
  </si>
  <si>
    <t>AKA-22810-0000</t>
  </si>
  <si>
    <t>AKA-22900-0000</t>
  </si>
  <si>
    <t>AKA-22905-0000</t>
  </si>
  <si>
    <t>AKA-22906-0000</t>
  </si>
  <si>
    <t>AKA-23000-0000</t>
  </si>
  <si>
    <t>AKA-23100-0000</t>
  </si>
  <si>
    <t>AKA-23500-0000</t>
  </si>
  <si>
    <t>AKA-23501-0000</t>
  </si>
  <si>
    <t>AKA-23700-0000</t>
  </si>
  <si>
    <t>Total Long Term Liabilities</t>
  </si>
  <si>
    <t>Notes and Capital Lease Payable</t>
  </si>
  <si>
    <t>AKA-23800-0000</t>
  </si>
  <si>
    <t>AKA-24200-0000</t>
  </si>
  <si>
    <t>AKA-24300-0000</t>
  </si>
  <si>
    <t>AKA-24400-0000</t>
  </si>
  <si>
    <t>AKA-24500-0000</t>
  </si>
  <si>
    <t>AKA-24600-0000</t>
  </si>
  <si>
    <t>AKA-25005-0000</t>
  </si>
  <si>
    <t>AKA-25009-0000</t>
  </si>
  <si>
    <t>AKA-25600-0000</t>
  </si>
  <si>
    <t>AKA-25601-0000</t>
  </si>
  <si>
    <t>AKA-25602-0000</t>
  </si>
  <si>
    <t>AKA-25603-0000</t>
  </si>
  <si>
    <t>Total Current Asset</t>
  </si>
  <si>
    <t>AKA-25604-0000</t>
  </si>
  <si>
    <t>AKA-28000-0000</t>
  </si>
  <si>
    <t>AKA-28001-0000</t>
  </si>
  <si>
    <t>AKA-28002-0000</t>
  </si>
  <si>
    <t>AKA-28003-0000</t>
  </si>
  <si>
    <t>AKA-28004-0000</t>
  </si>
  <si>
    <t>AKA-28005-0000</t>
  </si>
  <si>
    <t>AKA-28007-0000</t>
  </si>
  <si>
    <t>AKA-28008-0000</t>
  </si>
  <si>
    <t>AKA-28009-0000</t>
  </si>
  <si>
    <t>AKA-28010-0000</t>
  </si>
  <si>
    <t>AKA-28011-0000</t>
  </si>
  <si>
    <t>AKA-28012-0000</t>
  </si>
  <si>
    <t>AKA-28013-0000</t>
  </si>
  <si>
    <t>AKA-28014-0000</t>
  </si>
  <si>
    <t>AKA-28015-0000</t>
  </si>
  <si>
    <t>AKA-28016-0000</t>
  </si>
  <si>
    <t>AKA-28017-0000</t>
  </si>
  <si>
    <t>AKA-28018-0000</t>
  </si>
  <si>
    <t>AKA-28019-0000</t>
  </si>
  <si>
    <t>AKA-28020-0000</t>
  </si>
  <si>
    <t>AKA-28021-0000</t>
  </si>
  <si>
    <t>AKA-28022-0000</t>
  </si>
  <si>
    <t>AKA-28023-0000</t>
  </si>
  <si>
    <t>AKA-28024-0000</t>
  </si>
  <si>
    <t>AKA-30101-0000</t>
  </si>
  <si>
    <t>Total Equity</t>
  </si>
  <si>
    <t>AKA-30501-0000</t>
  </si>
  <si>
    <t>AKA-31001-0000</t>
  </si>
  <si>
    <t>AKA-31002-0000</t>
  </si>
  <si>
    <t>AKA-31003-0000</t>
  </si>
  <si>
    <t>AKA-31005-0000</t>
  </si>
  <si>
    <t>AKA-31007-0000</t>
  </si>
  <si>
    <t>AKA-31008-0000</t>
  </si>
  <si>
    <t>AKA-31009-0000</t>
  </si>
  <si>
    <t>AKA-31010-0000</t>
  </si>
  <si>
    <t>AKA-31012-0000</t>
  </si>
  <si>
    <t>AKA-31015-0000</t>
  </si>
  <si>
    <t>AKA-31016-0000</t>
  </si>
  <si>
    <t>AKA-31018-0000</t>
  </si>
  <si>
    <t>AKA-31801-0000</t>
  </si>
  <si>
    <t>AKA-31802-0000</t>
  </si>
  <si>
    <t>AKA-31803-0000</t>
  </si>
  <si>
    <t>AKA-31804-0000</t>
  </si>
  <si>
    <t>AKA-31900-0000</t>
  </si>
  <si>
    <t>AKA-36000-0000</t>
  </si>
  <si>
    <t>AKA-36002-0000</t>
  </si>
  <si>
    <t>AKA-36003-0000</t>
  </si>
  <si>
    <t>AKA-36004-0000</t>
  </si>
  <si>
    <t>AKA-36005-0000</t>
  </si>
  <si>
    <t>AKA-36006-0000</t>
  </si>
  <si>
    <t>AKA-36008-0000</t>
  </si>
  <si>
    <t>AKA-36018-0000</t>
  </si>
  <si>
    <t>AKA-36801-0000</t>
  </si>
  <si>
    <t>AKA-36802-0000</t>
  </si>
  <si>
    <t>AKA-36803-0000</t>
  </si>
  <si>
    <t>AKA-36804-0000</t>
  </si>
  <si>
    <t>AKA-36900-0000</t>
  </si>
  <si>
    <t>AKA-36901-0000</t>
  </si>
  <si>
    <t>AKA-38100-0000</t>
  </si>
  <si>
    <t>Accumulated Earnings-Current</t>
  </si>
  <si>
    <t>AKA-38100-1000</t>
  </si>
  <si>
    <t>Gross Scheduled Rent</t>
  </si>
  <si>
    <t>New Tenants</t>
  </si>
  <si>
    <t>AKA-40140-0000</t>
  </si>
  <si>
    <t>Total Actual Income</t>
  </si>
  <si>
    <t>AKA-41112-0000</t>
  </si>
  <si>
    <t>AKA-41120-0000</t>
  </si>
  <si>
    <t>AKA-42110-0000</t>
  </si>
  <si>
    <t>Net Collected Rent</t>
  </si>
  <si>
    <t>AKA-42130-0000</t>
  </si>
  <si>
    <t>AKA-42140-0000</t>
  </si>
  <si>
    <t>AKA-42150-0000</t>
  </si>
  <si>
    <t>Manager/Ast Mgr Units</t>
  </si>
  <si>
    <t>AKA-42160-0000</t>
  </si>
  <si>
    <t>AKA-42405-0000</t>
  </si>
  <si>
    <t>AKA-43120-0000</t>
  </si>
  <si>
    <t>AKA-43121-0000</t>
  </si>
  <si>
    <t>AKA-43200-0000</t>
  </si>
  <si>
    <t>Net Sales</t>
  </si>
  <si>
    <t>Revenue - WO Tech</t>
  </si>
  <si>
    <t>AKA-43410-0000</t>
  </si>
  <si>
    <t>Late Fee/NSF Charge</t>
  </si>
  <si>
    <t>AKA-43420-0000</t>
  </si>
  <si>
    <t>Systematic Code Enforcement</t>
  </si>
  <si>
    <t>AKA-43430-0000</t>
  </si>
  <si>
    <t>AKA-43440-0000</t>
  </si>
  <si>
    <t>AKA-43450-0000</t>
  </si>
  <si>
    <t>AKA-43480-0000</t>
  </si>
  <si>
    <t>AKA-43490-0000</t>
  </si>
  <si>
    <t>AKA-43491-0000</t>
  </si>
  <si>
    <t>AKA-43492-0000</t>
  </si>
  <si>
    <t>AKA-43493-0000</t>
  </si>
  <si>
    <t>AKA-43494-0000</t>
  </si>
  <si>
    <t>AKA-43495-0000</t>
  </si>
  <si>
    <t>AKA-44000-0000</t>
  </si>
  <si>
    <t>Enhancement Inc</t>
  </si>
  <si>
    <t>AKA-46000-0000</t>
  </si>
  <si>
    <t>AKA-47300-0000</t>
  </si>
  <si>
    <t>Management Inc</t>
  </si>
  <si>
    <t>AKA-47550-0000</t>
  </si>
  <si>
    <t>AKA-49500-9999</t>
  </si>
  <si>
    <t>Contra</t>
  </si>
  <si>
    <t>Check Figure Gross Scheduled S/B zero</t>
  </si>
  <si>
    <t>AKA-51001-0000</t>
  </si>
  <si>
    <t>Total Gen Maint/Business Exp</t>
  </si>
  <si>
    <t>Building Supplies</t>
  </si>
  <si>
    <t>AKA-51002-0000</t>
  </si>
  <si>
    <t>Total Expenses</t>
  </si>
  <si>
    <t>Maintenance Labor</t>
  </si>
  <si>
    <t>AKA-51003-0000</t>
  </si>
  <si>
    <t>Common Area Repl/Rep</t>
  </si>
  <si>
    <t>AKA-51004-0000</t>
  </si>
  <si>
    <t>Elevator Maint and Repair</t>
  </si>
  <si>
    <t>AKA-51005-0000</t>
  </si>
  <si>
    <t>Repair-Doors</t>
  </si>
  <si>
    <t>Repair-Electrical</t>
  </si>
  <si>
    <t>AKA-51007-0000</t>
  </si>
  <si>
    <t>Repair-Gate</t>
  </si>
  <si>
    <t>Repair-General</t>
  </si>
  <si>
    <t>Repair-Plumbing</t>
  </si>
  <si>
    <t>AKA-51010-0000</t>
  </si>
  <si>
    <t>Repair-Roof</t>
  </si>
  <si>
    <t>AKA-51013-0000</t>
  </si>
  <si>
    <t>Pool</t>
  </si>
  <si>
    <t>AKA-51014-0000</t>
  </si>
  <si>
    <t>Automobile Expense</t>
  </si>
  <si>
    <t>AKA-51018-0000</t>
  </si>
  <si>
    <t>AKA-51021-0000</t>
  </si>
  <si>
    <t>Repairs And Maintenance</t>
  </si>
  <si>
    <t>AKA-51022-0000</t>
  </si>
  <si>
    <t>AKA-51023-0000</t>
  </si>
  <si>
    <t>AKA-51025-0000</t>
  </si>
  <si>
    <t>AKA-51026-0000</t>
  </si>
  <si>
    <t>AKA-51027-0000</t>
  </si>
  <si>
    <t>AKA-51028-0000</t>
  </si>
  <si>
    <t>AKA-51029-0000</t>
  </si>
  <si>
    <t>AKA-51030-0000</t>
  </si>
  <si>
    <t>Total Operating Expenses</t>
  </si>
  <si>
    <t>Copier Lease/Printing</t>
  </si>
  <si>
    <t>AKA-51350-0000</t>
  </si>
  <si>
    <t>Total Rent Ready</t>
  </si>
  <si>
    <t>Advertising and Promotion</t>
  </si>
  <si>
    <t>AKA-52002-0000</t>
  </si>
  <si>
    <t>Carpet</t>
  </si>
  <si>
    <t>Cleaning</t>
  </si>
  <si>
    <t>AKA-52005-0000</t>
  </si>
  <si>
    <t>Small Tools and Equipment</t>
  </si>
  <si>
    <t>AKA-52007-0000</t>
  </si>
  <si>
    <t>Unit Conversion</t>
  </si>
  <si>
    <t>AKA-52008-0000</t>
  </si>
  <si>
    <t/>
  </si>
  <si>
    <t>Total Utilities</t>
  </si>
  <si>
    <t>Telephone Expense</t>
  </si>
  <si>
    <t>Trash</t>
  </si>
  <si>
    <t>Utils - Sewer</t>
  </si>
  <si>
    <t>Utils - Water</t>
  </si>
  <si>
    <t>AKA-53007-0000</t>
  </si>
  <si>
    <t>AKA-53011-0000</t>
  </si>
  <si>
    <t>AKA-54001-0000</t>
  </si>
  <si>
    <t>Total Payroll</t>
  </si>
  <si>
    <t>Payroll Exp-Maint</t>
  </si>
  <si>
    <t>AKA-54100-0000</t>
  </si>
  <si>
    <t>Salaries</t>
  </si>
  <si>
    <t>AKA-61001-0000</t>
  </si>
  <si>
    <t>Total Noncontrollable Expenses</t>
  </si>
  <si>
    <t>Annual Systematic Fee</t>
  </si>
  <si>
    <t>AKA-61002-0000</t>
  </si>
  <si>
    <t>AKA-61003-0000</t>
  </si>
  <si>
    <t>Impound Expense</t>
  </si>
  <si>
    <t>AKA-61004-0000</t>
  </si>
  <si>
    <t>AKA-61005-0000</t>
  </si>
  <si>
    <t>AKA-61006-0000</t>
  </si>
  <si>
    <t>AKA-61007-0000</t>
  </si>
  <si>
    <t>Professional-Accounting</t>
  </si>
  <si>
    <t>AKA-61008-0000</t>
  </si>
  <si>
    <t>AKA-61009-0000</t>
  </si>
  <si>
    <t>Total Controllables</t>
  </si>
  <si>
    <t>Cash Over/Short</t>
  </si>
  <si>
    <t>AKA-61010-0000</t>
  </si>
  <si>
    <t>AKA-61011-0000</t>
  </si>
  <si>
    <t>AKA-61012-0000</t>
  </si>
  <si>
    <t>AKA-61013-0000</t>
  </si>
  <si>
    <t>Total Int TaxDeprAmort/OffSal</t>
  </si>
  <si>
    <t>AKA-61014-0000</t>
  </si>
  <si>
    <t>AKA-61015-0000</t>
  </si>
  <si>
    <t>License And Permit</t>
  </si>
  <si>
    <t>AKA-61017-0000</t>
  </si>
  <si>
    <t>AKA-61021-0000</t>
  </si>
  <si>
    <t>AKA-61022-0000</t>
  </si>
  <si>
    <t>AKA-61024-0000</t>
  </si>
  <si>
    <t>AKA-61025-0000</t>
  </si>
  <si>
    <t>AKA-71010-0000</t>
  </si>
  <si>
    <t>Total Image Enh/PM Expenses</t>
  </si>
  <si>
    <t>Bldg Image Enhancement</t>
  </si>
  <si>
    <t>AKA-71020-0000</t>
  </si>
  <si>
    <t>AKA-71030-0000</t>
  </si>
  <si>
    <t>AKA-71040-0000</t>
  </si>
  <si>
    <t>AKA-71050-0000</t>
  </si>
  <si>
    <t>AKA-71060-0000</t>
  </si>
  <si>
    <t>AKA-71070-0000</t>
  </si>
  <si>
    <t>AKA-71080-0000</t>
  </si>
  <si>
    <t>AKA-71090-0000</t>
  </si>
  <si>
    <t>AKA-71100-0000</t>
  </si>
  <si>
    <t>Painting</t>
  </si>
  <si>
    <t>AKA-71110-0000</t>
  </si>
  <si>
    <t>Unit Renovations</t>
  </si>
  <si>
    <t>AKA-73101-0000</t>
  </si>
  <si>
    <t>AKA-73103-0000</t>
  </si>
  <si>
    <t>AKA-73105-0000</t>
  </si>
  <si>
    <t>AKA-80006-0000</t>
  </si>
  <si>
    <t>AKA-80061-0000</t>
  </si>
  <si>
    <t>AKA-81019-0000</t>
  </si>
  <si>
    <t>Total Int Tax DeprAmort/OffSal</t>
  </si>
  <si>
    <t>AKA-81220-0000</t>
  </si>
  <si>
    <t>Total Gen and Admin Expenses</t>
  </si>
  <si>
    <t>AKA-81228-0000</t>
  </si>
  <si>
    <t>AKA-81400-0000</t>
  </si>
  <si>
    <t>AKA-82900-0000</t>
  </si>
  <si>
    <t>AKA-85500-0000</t>
  </si>
  <si>
    <t>AKA-85700-0000</t>
  </si>
  <si>
    <t>AKC-10003-0000</t>
  </si>
  <si>
    <t>AKC-10004-0000</t>
  </si>
  <si>
    <t>AKC-10005-0000</t>
  </si>
  <si>
    <t>AKC-10006-0000</t>
  </si>
  <si>
    <t>AKC-10009-0000</t>
  </si>
  <si>
    <t>AKC-10010-0000</t>
  </si>
  <si>
    <t>AKC-10011-0000</t>
  </si>
  <si>
    <t>AKC-10012-0000</t>
  </si>
  <si>
    <t>AKC-10023-0000</t>
  </si>
  <si>
    <t>AKC-10024-0000</t>
  </si>
  <si>
    <t>AKC-10027-0000</t>
  </si>
  <si>
    <t>AKC-10050-0000</t>
  </si>
  <si>
    <t>AKC-11200-0000</t>
  </si>
  <si>
    <t>AKC-11201-0000</t>
  </si>
  <si>
    <t>AKC-11202-0000</t>
  </si>
  <si>
    <t>AKC-11203-0000</t>
  </si>
  <si>
    <t>AKC-11204-0000</t>
  </si>
  <si>
    <t>AKC-11208-0000</t>
  </si>
  <si>
    <t>AKC-11210-0000</t>
  </si>
  <si>
    <t>AKC-11212-0000</t>
  </si>
  <si>
    <t>AKC-11214-0000</t>
  </si>
  <si>
    <t>AKC-11215-0000</t>
  </si>
  <si>
    <t>AKC-11232-0000</t>
  </si>
  <si>
    <t>AKC-11301-0000</t>
  </si>
  <si>
    <t>AKC-11302-0000</t>
  </si>
  <si>
    <t>AKC-11303-0000</t>
  </si>
  <si>
    <t>AKC-11304-0000</t>
  </si>
  <si>
    <t>AKC-11305-0000</t>
  </si>
  <si>
    <t>AKC-11307-0000</t>
  </si>
  <si>
    <t>AKC-11308-0000</t>
  </si>
  <si>
    <t>AKC-11309-0000</t>
  </si>
  <si>
    <t>AKC-11310-0000</t>
  </si>
  <si>
    <t>AKC-11311-0000</t>
  </si>
  <si>
    <t>AKC-11312-0000</t>
  </si>
  <si>
    <t>AKC-11313-0000</t>
  </si>
  <si>
    <t>AKC-11314-0000</t>
  </si>
  <si>
    <t>AKC-11315-0000</t>
  </si>
  <si>
    <t>AKC-11316-0000</t>
  </si>
  <si>
    <t>AKC-11317-0000</t>
  </si>
  <si>
    <t>AKC-11318-0000</t>
  </si>
  <si>
    <t>AKC-11319-0000</t>
  </si>
  <si>
    <t>AKC-11320-0000</t>
  </si>
  <si>
    <t>AKC-11321-0000</t>
  </si>
  <si>
    <t>AKC-11322-0000</t>
  </si>
  <si>
    <t>AKC-11323-0000</t>
  </si>
  <si>
    <t>AKC-11324-0000</t>
  </si>
  <si>
    <t>AKC-11325-0000</t>
  </si>
  <si>
    <t>AKC-11326-0000</t>
  </si>
  <si>
    <t>AKC-11327-0000</t>
  </si>
  <si>
    <t>AKC-11328-0000</t>
  </si>
  <si>
    <t>AKC-11330-0000</t>
  </si>
  <si>
    <t>AKC-11331-0000</t>
  </si>
  <si>
    <t>AKC-11332-0000</t>
  </si>
  <si>
    <t>AKC-11333-0000</t>
  </si>
  <si>
    <t>AKC-11334-0000</t>
  </si>
  <si>
    <t>AKC-11335-0000</t>
  </si>
  <si>
    <t>AKC-11336-0000</t>
  </si>
  <si>
    <t>AKC-11337-0000</t>
  </si>
  <si>
    <t>AKC-11338-0000</t>
  </si>
  <si>
    <t>AKC-11339-0000</t>
  </si>
  <si>
    <t>AKC-11340-0000</t>
  </si>
  <si>
    <t>AKC-11341-0000</t>
  </si>
  <si>
    <t>AKC-11342-0000</t>
  </si>
  <si>
    <t>AKC-11344-0000</t>
  </si>
  <si>
    <t>AKC-11345-0000</t>
  </si>
  <si>
    <t>AKC-11346-0000</t>
  </si>
  <si>
    <t>AKC-11347-0000</t>
  </si>
  <si>
    <t>AKC-11348-0000</t>
  </si>
  <si>
    <t>AKC-11349-0000</t>
  </si>
  <si>
    <t>AKC-11350-0000</t>
  </si>
  <si>
    <t>AKC-11351-0000</t>
  </si>
  <si>
    <t>AKC-11352-0000</t>
  </si>
  <si>
    <t>AKC-11353-0000</t>
  </si>
  <si>
    <t>AKC-11354-0000</t>
  </si>
  <si>
    <t>AKC-11355-0000</t>
  </si>
  <si>
    <t>AKC-11356-0000</t>
  </si>
  <si>
    <t>AKC-11357-0000</t>
  </si>
  <si>
    <t>AKC-11358-0000</t>
  </si>
  <si>
    <t>AKC-11359-0000</t>
  </si>
  <si>
    <t>AKC-11361-0000</t>
  </si>
  <si>
    <t>AKC-11363-0000</t>
  </si>
  <si>
    <t>AKC-11364-0000</t>
  </si>
  <si>
    <t>AKC-11365-0000</t>
  </si>
  <si>
    <t>AKC-11366-0000</t>
  </si>
  <si>
    <t>AKC-11402-0000</t>
  </si>
  <si>
    <t>AKC-11403-0000</t>
  </si>
  <si>
    <t>AKC-12100-0000</t>
  </si>
  <si>
    <t>AKC-12105-0000</t>
  </si>
  <si>
    <t>AKC-12400-0000</t>
  </si>
  <si>
    <t>AKC-12401-0000</t>
  </si>
  <si>
    <t>AKC-12402-0000</t>
  </si>
  <si>
    <t>AKC-12403-0000</t>
  </si>
  <si>
    <t>AKC-12501-0000</t>
  </si>
  <si>
    <t>AKC-12510-0000</t>
  </si>
  <si>
    <t>AKC-13010-0000</t>
  </si>
  <si>
    <t>AKC-13050-0000</t>
  </si>
  <si>
    <t>AKC-13610-0000</t>
  </si>
  <si>
    <t>AKC-13620-0000</t>
  </si>
  <si>
    <t>AKC-13810-0000</t>
  </si>
  <si>
    <t>AKC-13811-0000</t>
  </si>
  <si>
    <t>AKC-13811-1000</t>
  </si>
  <si>
    <t>AKC-13812-0000</t>
  </si>
  <si>
    <t>AKC-13812-1000</t>
  </si>
  <si>
    <t>AKC-13813-0000</t>
  </si>
  <si>
    <t>AKC-13813-1000</t>
  </si>
  <si>
    <t>AKC-13820-0000</t>
  </si>
  <si>
    <t>AKC-13820-1000</t>
  </si>
  <si>
    <t>AKC-13821-0000</t>
  </si>
  <si>
    <t>AKC-13821-1000</t>
  </si>
  <si>
    <t>AKC-13822-0000</t>
  </si>
  <si>
    <t>AKC-13822-1000</t>
  </si>
  <si>
    <t>AKC-14100-0000</t>
  </si>
  <si>
    <t>AKC-15500-0000</t>
  </si>
  <si>
    <t>AKC-15600-0000</t>
  </si>
  <si>
    <t>AKC-15700-0000</t>
  </si>
  <si>
    <t>AKC-15800-0000</t>
  </si>
  <si>
    <t>AKC-16000-0000</t>
  </si>
  <si>
    <t>AKC-17000-0000</t>
  </si>
  <si>
    <t>AKC-18000-0000</t>
  </si>
  <si>
    <t>AKC-22000-0000</t>
  </si>
  <si>
    <t>AKC-22003-0000</t>
  </si>
  <si>
    <t>AKC-22005-0000</t>
  </si>
  <si>
    <t>AKC-22310-0000</t>
  </si>
  <si>
    <t>AKC-22800-0000</t>
  </si>
  <si>
    <t>AKC-22801-0000</t>
  </si>
  <si>
    <t>AKC-22810-0000</t>
  </si>
  <si>
    <t>AKC-22900-0000</t>
  </si>
  <si>
    <t>AKC-22905-0000</t>
  </si>
  <si>
    <t>AKC-22906-0000</t>
  </si>
  <si>
    <t>AKC-23000-0000</t>
  </si>
  <si>
    <t>AKC-23100-0000</t>
  </si>
  <si>
    <t>AKC-23500-0000</t>
  </si>
  <si>
    <t>AKC-23501-0000</t>
  </si>
  <si>
    <t>AKC-23700-0000</t>
  </si>
  <si>
    <t>AKC-23800-0000</t>
  </si>
  <si>
    <t>AKC-24200-0000</t>
  </si>
  <si>
    <t>AKC-24300-0000</t>
  </si>
  <si>
    <t>AKC-24400-0000</t>
  </si>
  <si>
    <t>AKC-24500-0000</t>
  </si>
  <si>
    <t>AKC-24600-0000</t>
  </si>
  <si>
    <t>AKC-25005-0000</t>
  </si>
  <si>
    <t>AKC-25009-0000</t>
  </si>
  <si>
    <t>AKC-25600-0000</t>
  </si>
  <si>
    <t>AKC-25601-0000</t>
  </si>
  <si>
    <t>AKC-25602-0000</t>
  </si>
  <si>
    <t>AKC-25603-0000</t>
  </si>
  <si>
    <t>AKC-25604-0000</t>
  </si>
  <si>
    <t>AKC-28000-0000</t>
  </si>
  <si>
    <t>AKC-28002-0000</t>
  </si>
  <si>
    <t>AKC-28003-0000</t>
  </si>
  <si>
    <t>AKC-28004-0000</t>
  </si>
  <si>
    <t>AKC-28005-0000</t>
  </si>
  <si>
    <t>AKC-28006-0000</t>
  </si>
  <si>
    <t>AKC-28007-0000</t>
  </si>
  <si>
    <t>AKC-28008-0000</t>
  </si>
  <si>
    <t>AKC-28009-0000</t>
  </si>
  <si>
    <t>AKC-28010-0000</t>
  </si>
  <si>
    <t>AKC-28011-0000</t>
  </si>
  <si>
    <t>AKC-28012-0000</t>
  </si>
  <si>
    <t>AKC-28013-0000</t>
  </si>
  <si>
    <t>AKC-28014-0000</t>
  </si>
  <si>
    <t>AKC-28015-0000</t>
  </si>
  <si>
    <t>AKC-28016-0000</t>
  </si>
  <si>
    <t>AKC-28017-0000</t>
  </si>
  <si>
    <t>AKC-28018-0000</t>
  </si>
  <si>
    <t>AKC-28019-0000</t>
  </si>
  <si>
    <t>AKC-28020-0000</t>
  </si>
  <si>
    <t>AKC-28021-0000</t>
  </si>
  <si>
    <t>AKC-28022-0000</t>
  </si>
  <si>
    <t>AKC-28023-0000</t>
  </si>
  <si>
    <t>AKC-28024-0000</t>
  </si>
  <si>
    <t>AKC-30101-0000</t>
  </si>
  <si>
    <t>AKC-30501-0000</t>
  </si>
  <si>
    <t>AKC-31001-0000</t>
  </si>
  <si>
    <t>AKC-31002-0000</t>
  </si>
  <si>
    <t>AKC-31003-0000</t>
  </si>
  <si>
    <t>AKC-31005-0000</t>
  </si>
  <si>
    <t>AKC-31007-0000</t>
  </si>
  <si>
    <t>AKC-31008-0000</t>
  </si>
  <si>
    <t>AKC-31009-0000</t>
  </si>
  <si>
    <t>AKC-31010-0000</t>
  </si>
  <si>
    <t>AKC-31012-0000</t>
  </si>
  <si>
    <t>AKC-31015-0000</t>
  </si>
  <si>
    <t>AKC-31016-0000</t>
  </si>
  <si>
    <t>AKC-31018-0000</t>
  </si>
  <si>
    <t>AKC-31801-0000</t>
  </si>
  <si>
    <t>AKC-31802-0000</t>
  </si>
  <si>
    <t>AKC-31803-0000</t>
  </si>
  <si>
    <t>AKC-31804-0000</t>
  </si>
  <si>
    <t>AKC-31900-0000</t>
  </si>
  <si>
    <t>AKC-36000-0000</t>
  </si>
  <si>
    <t>AKC-36002-0000</t>
  </si>
  <si>
    <t>AKC-36003-0000</t>
  </si>
  <si>
    <t>AKC-36004-0000</t>
  </si>
  <si>
    <t>AKC-36005-0000</t>
  </si>
  <si>
    <t>AKC-36006-0000</t>
  </si>
  <si>
    <t>AKC-36008-0000</t>
  </si>
  <si>
    <t>AKC-36018-0000</t>
  </si>
  <si>
    <t>AKC-36801-0000</t>
  </si>
  <si>
    <t>AKC-36802-0000</t>
  </si>
  <si>
    <t>AKC-36803-0000</t>
  </si>
  <si>
    <t>AKC-36804-0000</t>
  </si>
  <si>
    <t>AKC-36900-0000</t>
  </si>
  <si>
    <t>AKC-36901-0000</t>
  </si>
  <si>
    <t>AKC-38100-0000</t>
  </si>
  <si>
    <t>AKC-38100-1000</t>
  </si>
  <si>
    <t>AKC-40140-0000</t>
  </si>
  <si>
    <t>AKC-41112-0000</t>
  </si>
  <si>
    <t>AKC-41120-0000</t>
  </si>
  <si>
    <t>AKC-42110-0000</t>
  </si>
  <si>
    <t>AKC-42130-0000</t>
  </si>
  <si>
    <t>AKC-42140-0000</t>
  </si>
  <si>
    <t>AKC-42150-0000</t>
  </si>
  <si>
    <t>AKC-42160-0000</t>
  </si>
  <si>
    <t>AKC-42405-0000</t>
  </si>
  <si>
    <t>AKC-43120-0000</t>
  </si>
  <si>
    <t>AKC-43121-0000</t>
  </si>
  <si>
    <t>AKC-43200-0000</t>
  </si>
  <si>
    <t>AKC-43410-0000</t>
  </si>
  <si>
    <t>AKC-43420-0000</t>
  </si>
  <si>
    <t>AKC-43430-0000</t>
  </si>
  <si>
    <t>AKC-43440-0000</t>
  </si>
  <si>
    <t>AKC-43450-0000</t>
  </si>
  <si>
    <t>AKC-43480-0000</t>
  </si>
  <si>
    <t>AKC-43490-0000</t>
  </si>
  <si>
    <t>AKC-43491-0000</t>
  </si>
  <si>
    <t>AKC-43492-0000</t>
  </si>
  <si>
    <t>AKC-43493-0000</t>
  </si>
  <si>
    <t>AKC-43494-0000</t>
  </si>
  <si>
    <t>AKC-43495-0000</t>
  </si>
  <si>
    <t>AKC-44000-0000</t>
  </si>
  <si>
    <t>AKC-47300-0000</t>
  </si>
  <si>
    <t>AKC-47550-0000</t>
  </si>
  <si>
    <t>AKC-49500-9999</t>
  </si>
  <si>
    <t>AKC-51001-0000</t>
  </si>
  <si>
    <t>AKC-51002-0000</t>
  </si>
  <si>
    <t>AKC-51003-0000</t>
  </si>
  <si>
    <t>AKC-51004-0000</t>
  </si>
  <si>
    <t>AKC-51005-0000</t>
  </si>
  <si>
    <t>AKC-51007-0000</t>
  </si>
  <si>
    <t>AKC-51010-0000</t>
  </si>
  <si>
    <t>AKC-51013-0000</t>
  </si>
  <si>
    <t>AKC-51014-0000</t>
  </si>
  <si>
    <t>AKC-51018-0000</t>
  </si>
  <si>
    <t>AKC-51021-0000</t>
  </si>
  <si>
    <t>AKC-51022-0000</t>
  </si>
  <si>
    <t>AKC-51023-0000</t>
  </si>
  <si>
    <t>AKC-51024-0000</t>
  </si>
  <si>
    <t>AKC-51025-0000</t>
  </si>
  <si>
    <t>AKC-51026-0000</t>
  </si>
  <si>
    <t>AKC-51027-0000</t>
  </si>
  <si>
    <t>AKC-51028-0000</t>
  </si>
  <si>
    <t>AKC-51029-0000</t>
  </si>
  <si>
    <t>AKC-51030-0000</t>
  </si>
  <si>
    <t>AKC-51350-0000</t>
  </si>
  <si>
    <t>AKC-52001-0000</t>
  </si>
  <si>
    <t>AKC-52002-0000</t>
  </si>
  <si>
    <t>AKC-52007-0000</t>
  </si>
  <si>
    <t>AKC-52008-0000</t>
  </si>
  <si>
    <t>AKC-53004-0000</t>
  </si>
  <si>
    <t>AKC-53007-0000</t>
  </si>
  <si>
    <t>AKC-53011-0000</t>
  </si>
  <si>
    <t>AKC-54001-0000</t>
  </si>
  <si>
    <t>AKC-54100-0000</t>
  </si>
  <si>
    <t>AKC-61001-0000</t>
  </si>
  <si>
    <t>AKC-61002-0000</t>
  </si>
  <si>
    <t>AKC-61003-0000</t>
  </si>
  <si>
    <t>AKC-61004-0000</t>
  </si>
  <si>
    <t>AKC-61005-0000</t>
  </si>
  <si>
    <t>AKC-61006-0000</t>
  </si>
  <si>
    <t>AKC-61007-0000</t>
  </si>
  <si>
    <t>AKC-61008-0000</t>
  </si>
  <si>
    <t>AKC-61009-0000</t>
  </si>
  <si>
    <t>AKC-61010-0000</t>
  </si>
  <si>
    <t>AKC-61011-0000</t>
  </si>
  <si>
    <t>AKC-61012-0000</t>
  </si>
  <si>
    <t>AKC-61013-0000</t>
  </si>
  <si>
    <t>AKC-61014-0000</t>
  </si>
  <si>
    <t>AKC-61015-0000</t>
  </si>
  <si>
    <t>AKC-61017-0000</t>
  </si>
  <si>
    <t>AKC-61021-0000</t>
  </si>
  <si>
    <t>AKC-61022-0000</t>
  </si>
  <si>
    <t>AKC-61024-0000</t>
  </si>
  <si>
    <t>AKC-61025-0000</t>
  </si>
  <si>
    <t>AKC-71010-0000</t>
  </si>
  <si>
    <t>AKC-71020-0000</t>
  </si>
  <si>
    <t>AKC-71030-0000</t>
  </si>
  <si>
    <t>AKC-71040-0000</t>
  </si>
  <si>
    <t>AKC-71050-0000</t>
  </si>
  <si>
    <t>AKC-71060-0000</t>
  </si>
  <si>
    <t>AKC-71070-0000</t>
  </si>
  <si>
    <t>AKC-71080-0000</t>
  </si>
  <si>
    <t>AKC-71090-0000</t>
  </si>
  <si>
    <t>AKC-71100-0000</t>
  </si>
  <si>
    <t>AKC-71110-0000</t>
  </si>
  <si>
    <t>AKC-73101-0000</t>
  </si>
  <si>
    <t>AKC-73103-0000</t>
  </si>
  <si>
    <t>AKC-73105-0000</t>
  </si>
  <si>
    <t>AKC-80006-0000</t>
  </si>
  <si>
    <t>AKC-80061-0000</t>
  </si>
  <si>
    <t>AKC-81019-0000</t>
  </si>
  <si>
    <t>AKC-81220-0000</t>
  </si>
  <si>
    <t>AKC-81228-0000</t>
  </si>
  <si>
    <t>AKC-81400-0000</t>
  </si>
  <si>
    <t>AKC-82900-0000</t>
  </si>
  <si>
    <t>AKC-85500-0000</t>
  </si>
  <si>
    <t>AKC-85700-0000</t>
  </si>
  <si>
    <t>AKG-10003-0000</t>
  </si>
  <si>
    <t>AKG-10004-0000</t>
  </si>
  <si>
    <t>AKG-10005-0000</t>
  </si>
  <si>
    <t>AKG-10009-0000</t>
  </si>
  <si>
    <t>AKG-10010-0000</t>
  </si>
  <si>
    <t>AKG-10011-0000</t>
  </si>
  <si>
    <t>AKG-10012-0000</t>
  </si>
  <si>
    <t>AKG-10023-0000</t>
  </si>
  <si>
    <t>AKG-10024-0000</t>
  </si>
  <si>
    <t>AKG-10027-0000</t>
  </si>
  <si>
    <t>AKG-10050-0000</t>
  </si>
  <si>
    <t>AKG-11200-0000</t>
  </si>
  <si>
    <t>AKG-11201-0000</t>
  </si>
  <si>
    <t>AKG-11202-0000</t>
  </si>
  <si>
    <t>AKG-11203-0000</t>
  </si>
  <si>
    <t>AKG-11204-0000</t>
  </si>
  <si>
    <t>AKG-11208-0000</t>
  </si>
  <si>
    <t>AKG-11210-0000</t>
  </si>
  <si>
    <t>AKG-11212-0000</t>
  </si>
  <si>
    <t>AKG-11214-0000</t>
  </si>
  <si>
    <t>AKG-11215-0000</t>
  </si>
  <si>
    <t>AKG-11232-0000</t>
  </si>
  <si>
    <t>AKG-11307-0000</t>
  </si>
  <si>
    <t>AKG-11308-0000</t>
  </si>
  <si>
    <t>AKG-11312-0000</t>
  </si>
  <si>
    <t>AKG-11314-0000</t>
  </si>
  <si>
    <t>AKG-11317-0000</t>
  </si>
  <si>
    <t>AKG-11318-0000</t>
  </si>
  <si>
    <t>AKG-11320-0000</t>
  </si>
  <si>
    <t>AKG-11323-0000</t>
  </si>
  <si>
    <t>AKG-11327-0000</t>
  </si>
  <si>
    <t>AKG-11329-0000</t>
  </si>
  <si>
    <t>AKG-11331-0000</t>
  </si>
  <si>
    <t>AKG-11338-0000</t>
  </si>
  <si>
    <t>AKG-11339-0000</t>
  </si>
  <si>
    <t>AKG-11340-0000</t>
  </si>
  <si>
    <t>AKG-11341-0000</t>
  </si>
  <si>
    <t>AKG-11342-0000</t>
  </si>
  <si>
    <t>AKG-11343-0000</t>
  </si>
  <si>
    <t>AKG-11344-0000</t>
  </si>
  <si>
    <t>AKG-11345-0000</t>
  </si>
  <si>
    <t>AKG-11346-0000</t>
  </si>
  <si>
    <t>AKG-11347-0000</t>
  </si>
  <si>
    <t>AKG-11348-0000</t>
  </si>
  <si>
    <t>AKG-11349-0000</t>
  </si>
  <si>
    <t>AKG-11350-0000</t>
  </si>
  <si>
    <t>AKG-11351-0000</t>
  </si>
  <si>
    <t>AKG-11352-0000</t>
  </si>
  <si>
    <t>AKG-11353-0000</t>
  </si>
  <si>
    <t>AKG-11354-0000</t>
  </si>
  <si>
    <t>AKG-11355-0000</t>
  </si>
  <si>
    <t>AKG-11356-0000</t>
  </si>
  <si>
    <t>AKG-11357-0000</t>
  </si>
  <si>
    <t>AKG-11358-0000</t>
  </si>
  <si>
    <t>AKG-11359-0000</t>
  </si>
  <si>
    <t>AKG-11361-0000</t>
  </si>
  <si>
    <t>AKG-11363-0000</t>
  </si>
  <si>
    <t>AKG-11364-0000</t>
  </si>
  <si>
    <t>AKG-11365-0000</t>
  </si>
  <si>
    <t>AKG-11366-0000</t>
  </si>
  <si>
    <t>AKG-11402-0000</t>
  </si>
  <si>
    <t>AKG-11403-0000</t>
  </si>
  <si>
    <t>AKG-12105-0000</t>
  </si>
  <si>
    <t>AKG-12400-0000</t>
  </si>
  <si>
    <t>AKG-12401-0000</t>
  </si>
  <si>
    <t>AKG-12402-0000</t>
  </si>
  <si>
    <t>AKG-12403-0000</t>
  </si>
  <si>
    <t>AKG-12501-0000</t>
  </si>
  <si>
    <t>AKG-12510-0000</t>
  </si>
  <si>
    <t>AKG-13010-0000</t>
  </si>
  <si>
    <t>AKG-13050-0000</t>
  </si>
  <si>
    <t>AKG-13610-0000</t>
  </si>
  <si>
    <t>AKG-13620-0000</t>
  </si>
  <si>
    <t>AKG-13811-0000</t>
  </si>
  <si>
    <t>AKG-13811-1000</t>
  </si>
  <si>
    <t>AKG-13812-0000</t>
  </si>
  <si>
    <t>AKG-13812-1000</t>
  </si>
  <si>
    <t>AKG-13813-0000</t>
  </si>
  <si>
    <t>AKG-13813-1000</t>
  </si>
  <si>
    <t>AKG-13820-0000</t>
  </si>
  <si>
    <t>AKG-13820-1000</t>
  </si>
  <si>
    <t>AKG-13821-0000</t>
  </si>
  <si>
    <t>AKG-13821-1000</t>
  </si>
  <si>
    <t>AKG-13822-0000</t>
  </si>
  <si>
    <t>AKG-13822-1000</t>
  </si>
  <si>
    <t>AKG-15600-0000</t>
  </si>
  <si>
    <t>AKG-15800-0000</t>
  </si>
  <si>
    <t>AKG-22001-0000</t>
  </si>
  <si>
    <t>AKG-22003-0000</t>
  </si>
  <si>
    <t>AKG-22005-0000</t>
  </si>
  <si>
    <t>AKG-22310-0000</t>
  </si>
  <si>
    <t>AKG-22801-0000</t>
  </si>
  <si>
    <t>AKG-22810-0000</t>
  </si>
  <si>
    <t>AKG-22900-0000</t>
  </si>
  <si>
    <t>AKG-22906-0000</t>
  </si>
  <si>
    <t>AKG-23000-0000</t>
  </si>
  <si>
    <t>AKG-23100-0000</t>
  </si>
  <si>
    <t>AKG-23500-0000</t>
  </si>
  <si>
    <t>AKG-23501-0000</t>
  </si>
  <si>
    <t>AKG-23700-0000</t>
  </si>
  <si>
    <t>AKG-23800-0000</t>
  </si>
  <si>
    <t>AKG-24200-0000</t>
  </si>
  <si>
    <t>AKG-24300-0000</t>
  </si>
  <si>
    <t>AKG-24400-0000</t>
  </si>
  <si>
    <t>AKG-24500-0000</t>
  </si>
  <si>
    <t>AKG-24600-0000</t>
  </si>
  <si>
    <t>AKG-25005-0000</t>
  </si>
  <si>
    <t>AKG-25009-0000</t>
  </si>
  <si>
    <t>AKG-25601-0000</t>
  </si>
  <si>
    <t>AKG-25602-0000</t>
  </si>
  <si>
    <t>AKG-25603-0000</t>
  </si>
  <si>
    <t>AKG-25604-0000</t>
  </si>
  <si>
    <t>AKG-28000-0000</t>
  </si>
  <si>
    <t>AKG-28001-0000</t>
  </si>
  <si>
    <t>AKG-28002-0000</t>
  </si>
  <si>
    <t>AKG-28003-0000</t>
  </si>
  <si>
    <t>AKG-28004-0000</t>
  </si>
  <si>
    <t>AKG-28006-0000</t>
  </si>
  <si>
    <t>AKG-28007-0000</t>
  </si>
  <si>
    <t>AKG-28008-0000</t>
  </si>
  <si>
    <t>AKG-28009-0000</t>
  </si>
  <si>
    <t>AKG-28010-0000</t>
  </si>
  <si>
    <t>AKG-28011-0000</t>
  </si>
  <si>
    <t>AKG-28012-0000</t>
  </si>
  <si>
    <t>AKG-28013-0000</t>
  </si>
  <si>
    <t>AKG-28014-0000</t>
  </si>
  <si>
    <t>AKG-28015-0000</t>
  </si>
  <si>
    <t>AKG-28016-0000</t>
  </si>
  <si>
    <t>AKG-28017-0000</t>
  </si>
  <si>
    <t>AKG-28018-0000</t>
  </si>
  <si>
    <t>AKG-28019-0000</t>
  </si>
  <si>
    <t>AKG-28020-0000</t>
  </si>
  <si>
    <t>AKG-28021-0000</t>
  </si>
  <si>
    <t>AKG-28022-0000</t>
  </si>
  <si>
    <t>AKG-28023-0000</t>
  </si>
  <si>
    <t>AKG-28024-0000</t>
  </si>
  <si>
    <t>AKG-30101-0000</t>
  </si>
  <si>
    <t>AKG-30501-0000</t>
  </si>
  <si>
    <t>AKG-31001-0000</t>
  </si>
  <si>
    <t>AKG-31002-0000</t>
  </si>
  <si>
    <t>AKG-31003-0000</t>
  </si>
  <si>
    <t>AKG-31005-0000</t>
  </si>
  <si>
    <t>AKG-31007-0000</t>
  </si>
  <si>
    <t>AKG-31008-0000</t>
  </si>
  <si>
    <t>AKG-31009-0000</t>
  </si>
  <si>
    <t>AKG-31010-0000</t>
  </si>
  <si>
    <t>AKG-31012-0000</t>
  </si>
  <si>
    <t>AKG-31015-0000</t>
  </si>
  <si>
    <t>AKG-31016-0000</t>
  </si>
  <si>
    <t>AKG-31018-0000</t>
  </si>
  <si>
    <t>AKG-31801-0000</t>
  </si>
  <si>
    <t>AKG-31802-0000</t>
  </si>
  <si>
    <t>AKG-31803-0000</t>
  </si>
  <si>
    <t>AKG-31804-0000</t>
  </si>
  <si>
    <t>AKG-31900-0000</t>
  </si>
  <si>
    <t>AKG-36002-0000</t>
  </si>
  <si>
    <t>AKG-36003-0000</t>
  </si>
  <si>
    <t>AKG-36004-0000</t>
  </si>
  <si>
    <t>AKG-36006-0000</t>
  </si>
  <si>
    <t>AKG-36008-0000</t>
  </si>
  <si>
    <t>AKG-36018-0000</t>
  </si>
  <si>
    <t>AKG-36801-0000</t>
  </si>
  <si>
    <t>AKG-36802-0000</t>
  </si>
  <si>
    <t>AKG-36803-0000</t>
  </si>
  <si>
    <t>AKG-36804-0000</t>
  </si>
  <si>
    <t>AKG-36900-0000</t>
  </si>
  <si>
    <t>AKG-36901-0000</t>
  </si>
  <si>
    <t>AKG-38100-1000</t>
  </si>
  <si>
    <t>AKG-41112-0000</t>
  </si>
  <si>
    <t>AKG-42130-0000</t>
  </si>
  <si>
    <t>AKG-42140-0000</t>
  </si>
  <si>
    <t>AKG-42405-0000</t>
  </si>
  <si>
    <t>AKG-43200-0000</t>
  </si>
  <si>
    <t>AKG-43420-0000</t>
  </si>
  <si>
    <t>AKG-43430-0000</t>
  </si>
  <si>
    <t>AKG-43450-0000</t>
  </si>
  <si>
    <t>AKG-43493-0000</t>
  </si>
  <si>
    <t>AKG-43494-0000</t>
  </si>
  <si>
    <t>AKG-43495-0000</t>
  </si>
  <si>
    <t>AKG-44000-0000</t>
  </si>
  <si>
    <t>AKG-46000-0000</t>
  </si>
  <si>
    <t>AKG-47300-0000</t>
  </si>
  <si>
    <t>AKG-47550-0000</t>
  </si>
  <si>
    <t>AKG-51001-0000</t>
  </si>
  <si>
    <t>AKG-51002-0000</t>
  </si>
  <si>
    <t>AKG-51003-0000</t>
  </si>
  <si>
    <t>AKG-51004-0000</t>
  </si>
  <si>
    <t>AKG-51010-0000</t>
  </si>
  <si>
    <t>AKG-51014-0000</t>
  </si>
  <si>
    <t>AKG-51021-0000</t>
  </si>
  <si>
    <t>AKG-51022-0000</t>
  </si>
  <si>
    <t>AKG-51023-0000</t>
  </si>
  <si>
    <t>AKG-51024-0000</t>
  </si>
  <si>
    <t>AKG-51026-0000</t>
  </si>
  <si>
    <t>AKG-51027-0000</t>
  </si>
  <si>
    <t>AKG-51030-0000</t>
  </si>
  <si>
    <t>AKG-51350-0000</t>
  </si>
  <si>
    <t>AKG-52005-0000</t>
  </si>
  <si>
    <t>AKG-52007-0000</t>
  </si>
  <si>
    <t>AKG-52008-0000</t>
  </si>
  <si>
    <t>AKG-53005-0000</t>
  </si>
  <si>
    <t>AKG-53007-0000</t>
  </si>
  <si>
    <t>AKG-54100-0000</t>
  </si>
  <si>
    <t>AKG-61001-0000</t>
  </si>
  <si>
    <t>AKG-61003-0000</t>
  </si>
  <si>
    <t>AKG-61004-0000</t>
  </si>
  <si>
    <t>AKG-61006-0000</t>
  </si>
  <si>
    <t>AKG-61008-0000</t>
  </si>
  <si>
    <t>AKG-61009-0000</t>
  </si>
  <si>
    <t>AKG-61010-0000</t>
  </si>
  <si>
    <t>AKG-61011-0000</t>
  </si>
  <si>
    <t>AKG-61013-0000</t>
  </si>
  <si>
    <t>AKG-61016-0000</t>
  </si>
  <si>
    <t>AKG-61017-0000</t>
  </si>
  <si>
    <t>AKG-61021-0000</t>
  </si>
  <si>
    <t>AKG-61022-0000</t>
  </si>
  <si>
    <t>AKG-61024-0000</t>
  </si>
  <si>
    <t>AKG-61025-0000</t>
  </si>
  <si>
    <t>AKG-71090-0000</t>
  </si>
  <si>
    <t>AKG-73101-0000</t>
  </si>
  <si>
    <t>AKG-73103-0000</t>
  </si>
  <si>
    <t>AKG-73105-0000</t>
  </si>
  <si>
    <t>AKG-80061-0000</t>
  </si>
  <si>
    <t>AKG-81220-0000</t>
  </si>
  <si>
    <t>AKG-81400-0000</t>
  </si>
  <si>
    <t>AKG-82900-0000</t>
  </si>
  <si>
    <t>AKG-85500-0000</t>
  </si>
  <si>
    <t>AKG-85700-0000</t>
  </si>
  <si>
    <t>ALP-10004-0000</t>
  </si>
  <si>
    <t>ALP-10005-0000</t>
  </si>
  <si>
    <t>ALP-10009-0000</t>
  </si>
  <si>
    <t>ALP-10010-0000</t>
  </si>
  <si>
    <t>ALP-10011-0000</t>
  </si>
  <si>
    <t>ALP-10012-0000</t>
  </si>
  <si>
    <t>ALP-10023-0000</t>
  </si>
  <si>
    <t>ALP-10024-0000</t>
  </si>
  <si>
    <t>ALP-10027-0000</t>
  </si>
  <si>
    <t>ALP-10050-0000</t>
  </si>
  <si>
    <t>ALP-11200-0000</t>
  </si>
  <si>
    <t>ALP-11201-0000</t>
  </si>
  <si>
    <t>ALP-11202-0000</t>
  </si>
  <si>
    <t>ALP-11203-0000</t>
  </si>
  <si>
    <t>ALP-11204-0000</t>
  </si>
  <si>
    <t>ALP-11208-0000</t>
  </si>
  <si>
    <t>ALP-11210-0000</t>
  </si>
  <si>
    <t>ALP-11212-0000</t>
  </si>
  <si>
    <t>ALP-11214-0000</t>
  </si>
  <si>
    <t>ALP-11215-0000</t>
  </si>
  <si>
    <t>ALP-11232-0000</t>
  </si>
  <si>
    <t>ALP-11301-0000</t>
  </si>
  <si>
    <t>ALP-11302-0000</t>
  </si>
  <si>
    <t>ALP-11303-0000</t>
  </si>
  <si>
    <t>ALP-11304-0000</t>
  </si>
  <si>
    <t>ALP-11307-0000</t>
  </si>
  <si>
    <t>ALP-11308-0000</t>
  </si>
  <si>
    <t>ALP-11309-0000</t>
  </si>
  <si>
    <t>ALP-11310-0000</t>
  </si>
  <si>
    <t>ALP-11312-0000</t>
  </si>
  <si>
    <t>ALP-11313-0000</t>
  </si>
  <si>
    <t>ALP-11315-0000</t>
  </si>
  <si>
    <t>ALP-11318-0000</t>
  </si>
  <si>
    <t>ALP-11320-0000</t>
  </si>
  <si>
    <t>ALP-11322-0000</t>
  </si>
  <si>
    <t>ALP-11323-0000</t>
  </si>
  <si>
    <t>ALP-11327-0000</t>
  </si>
  <si>
    <t>ALP-11330-0000</t>
  </si>
  <si>
    <t>ALP-11333-0000</t>
  </si>
  <si>
    <t>ALP-11335-0000</t>
  </si>
  <si>
    <t>ALP-11336-0000</t>
  </si>
  <si>
    <t>ALP-11338-0000</t>
  </si>
  <si>
    <t>ALP-11339-0000</t>
  </si>
  <si>
    <t>ALP-11340-0000</t>
  </si>
  <si>
    <t>ALP-11341-0000</t>
  </si>
  <si>
    <t>ALP-11343-0000</t>
  </si>
  <si>
    <t>ALP-11344-0000</t>
  </si>
  <si>
    <t>ALP-11345-0000</t>
  </si>
  <si>
    <t>ALP-11346-0000</t>
  </si>
  <si>
    <t>ALP-11347-0000</t>
  </si>
  <si>
    <t>ALP-11348-0000</t>
  </si>
  <si>
    <t>ALP-11349-0000</t>
  </si>
  <si>
    <t>ALP-11350-0000</t>
  </si>
  <si>
    <t>ALP-11351-0000</t>
  </si>
  <si>
    <t>ALP-11352-0000</t>
  </si>
  <si>
    <t>ALP-11353-0000</t>
  </si>
  <si>
    <t>ALP-11354-0000</t>
  </si>
  <si>
    <t>ALP-11355-0000</t>
  </si>
  <si>
    <t>ALP-11356-0000</t>
  </si>
  <si>
    <t>ALP-11357-0000</t>
  </si>
  <si>
    <t>ALP-11358-0000</t>
  </si>
  <si>
    <t>ALP-11359-0000</t>
  </si>
  <si>
    <t>ALP-11361-0000</t>
  </si>
  <si>
    <t>ALP-11363-0000</t>
  </si>
  <si>
    <t>ALP-11364-0000</t>
  </si>
  <si>
    <t>ALP-11365-0000</t>
  </si>
  <si>
    <t>ALP-11366-0000</t>
  </si>
  <si>
    <t>ALP-11402-0000</t>
  </si>
  <si>
    <t>ALP-11403-0000</t>
  </si>
  <si>
    <t>ALP-12105-0000</t>
  </si>
  <si>
    <t>ALP-12400-0000</t>
  </si>
  <si>
    <t>ALP-12401-0000</t>
  </si>
  <si>
    <t>ALP-12402-0000</t>
  </si>
  <si>
    <t>ALP-12403-0000</t>
  </si>
  <si>
    <t>ALP-12501-0000</t>
  </si>
  <si>
    <t>ALP-12510-0000</t>
  </si>
  <si>
    <t>ALP-13010-0000</t>
  </si>
  <si>
    <t>ALP-13050-0000</t>
  </si>
  <si>
    <t>ALP-13610-0000</t>
  </si>
  <si>
    <t>ALP-13620-0000</t>
  </si>
  <si>
    <t>ALP-13811-0000</t>
  </si>
  <si>
    <t>ALP-13811-1000</t>
  </si>
  <si>
    <t>ALP-13812-0000</t>
  </si>
  <si>
    <t>ALP-13812-1000</t>
  </si>
  <si>
    <t>ALP-13813-0000</t>
  </si>
  <si>
    <t>ALP-13813-1000</t>
  </si>
  <si>
    <t>ALP-13820-1000</t>
  </si>
  <si>
    <t>ALP-13821-0000</t>
  </si>
  <si>
    <t>ALP-13821-1000</t>
  </si>
  <si>
    <t>ALP-13822-0000</t>
  </si>
  <si>
    <t>ALP-13822-1000</t>
  </si>
  <si>
    <t>ALP-15600-0000</t>
  </si>
  <si>
    <t>ALP-15800-0000</t>
  </si>
  <si>
    <t>ALP-22001-0000</t>
  </si>
  <si>
    <t>ALP-22003-0000</t>
  </si>
  <si>
    <t>ALP-22005-0000</t>
  </si>
  <si>
    <t>ALP-22310-0000</t>
  </si>
  <si>
    <t>ALP-22801-0000</t>
  </si>
  <si>
    <t>ALP-22810-0000</t>
  </si>
  <si>
    <t>ALP-22900-0000</t>
  </si>
  <si>
    <t>ALP-22906-0000</t>
  </si>
  <si>
    <t>ALP-23000-0000</t>
  </si>
  <si>
    <t>ALP-23100-0000</t>
  </si>
  <si>
    <t>ALP-23500-0000</t>
  </si>
  <si>
    <t>ALP-23501-0000</t>
  </si>
  <si>
    <t>ALP-23700-0000</t>
  </si>
  <si>
    <t>ALP-24200-0000</t>
  </si>
  <si>
    <t>ALP-24300-0000</t>
  </si>
  <si>
    <t>ALP-24400-0000</t>
  </si>
  <si>
    <t>ALP-24500-0000</t>
  </si>
  <si>
    <t>ALP-24600-0000</t>
  </si>
  <si>
    <t>ALP-25005-0000</t>
  </si>
  <si>
    <t>ALP-25009-0000</t>
  </si>
  <si>
    <t>ALP-25601-0000</t>
  </si>
  <si>
    <t>ALP-25602-0000</t>
  </si>
  <si>
    <t>ALP-25603-0000</t>
  </si>
  <si>
    <t>ALP-25604-0000</t>
  </si>
  <si>
    <t>ALP-28000-0000</t>
  </si>
  <si>
    <t>ALP-28001-0000</t>
  </si>
  <si>
    <t>ALP-28002-0000</t>
  </si>
  <si>
    <t>ALP-28003-0000</t>
  </si>
  <si>
    <t>ALP-28005-0000</t>
  </si>
  <si>
    <t>ALP-28006-0000</t>
  </si>
  <si>
    <t>ALP-28007-0000</t>
  </si>
  <si>
    <t>ALP-28008-0000</t>
  </si>
  <si>
    <t>ALP-28009-0000</t>
  </si>
  <si>
    <t>ALP-28010-0000</t>
  </si>
  <si>
    <t>ALP-28011-0000</t>
  </si>
  <si>
    <t>ALP-28012-0000</t>
  </si>
  <si>
    <t>ALP-28013-0000</t>
  </si>
  <si>
    <t>ALP-28014-0000</t>
  </si>
  <si>
    <t>ALP-28015-0000</t>
  </si>
  <si>
    <t>ALP-28016-0000</t>
  </si>
  <si>
    <t>ALP-28018-0000</t>
  </si>
  <si>
    <t>ALP-28019-0000</t>
  </si>
  <si>
    <t>ALP-28020-0000</t>
  </si>
  <si>
    <t>ALP-28021-0000</t>
  </si>
  <si>
    <t>ALP-28022-0000</t>
  </si>
  <si>
    <t>ALP-28023-0000</t>
  </si>
  <si>
    <t>ALP-28024-0000</t>
  </si>
  <si>
    <t>ALP-30101-0000</t>
  </si>
  <si>
    <t>ALP-30501-0000</t>
  </si>
  <si>
    <t>ALP-31001-0000</t>
  </si>
  <si>
    <t>ALP-31002-0000</t>
  </si>
  <si>
    <t>ALP-31003-0000</t>
  </si>
  <si>
    <t>ALP-31005-0000</t>
  </si>
  <si>
    <t>ALP-31007-0000</t>
  </si>
  <si>
    <t>ALP-31008-0000</t>
  </si>
  <si>
    <t>ALP-31009-0000</t>
  </si>
  <si>
    <t>ALP-31010-0000</t>
  </si>
  <si>
    <t>ALP-31012-0000</t>
  </si>
  <si>
    <t>ALP-31015-0000</t>
  </si>
  <si>
    <t>ALP-31016-0000</t>
  </si>
  <si>
    <t>ALP-31018-0000</t>
  </si>
  <si>
    <t>ALP-31801-0000</t>
  </si>
  <si>
    <t>ALP-31802-0000</t>
  </si>
  <si>
    <t>ALP-31803-0000</t>
  </si>
  <si>
    <t>ALP-31804-0000</t>
  </si>
  <si>
    <t>ALP-31900-0000</t>
  </si>
  <si>
    <t>ALP-36002-0000</t>
  </si>
  <si>
    <t>ALP-36003-0000</t>
  </si>
  <si>
    <t>ALP-36004-0000</t>
  </si>
  <si>
    <t>ALP-36005-0000</t>
  </si>
  <si>
    <t>ALP-36006-0000</t>
  </si>
  <si>
    <t>ALP-36008-0000</t>
  </si>
  <si>
    <t>ALP-36018-0000</t>
  </si>
  <si>
    <t>ALP-36801-0000</t>
  </si>
  <si>
    <t>ALP-36802-0000</t>
  </si>
  <si>
    <t>ALP-36803-0000</t>
  </si>
  <si>
    <t>ALP-36804-0000</t>
  </si>
  <si>
    <t>ALP-36900-0000</t>
  </si>
  <si>
    <t>ALP-36901-0000</t>
  </si>
  <si>
    <t>ALP-38100-1000</t>
  </si>
  <si>
    <t>ALP-41112-0000</t>
  </si>
  <si>
    <t>ALP-42140-0000</t>
  </si>
  <si>
    <t>ALP-42160-0000</t>
  </si>
  <si>
    <t>ALP-42405-0000</t>
  </si>
  <si>
    <t>ALP-43200-0000</t>
  </si>
  <si>
    <t>ALP-43420-0000</t>
  </si>
  <si>
    <t>ALP-43490-0000</t>
  </si>
  <si>
    <t>ALP-43493-0000</t>
  </si>
  <si>
    <t>ALP-43494-0000</t>
  </si>
  <si>
    <t>ALP-43495-0000</t>
  </si>
  <si>
    <t>ALP-44000-0000</t>
  </si>
  <si>
    <t>ALP-46000-0000</t>
  </si>
  <si>
    <t>ALP-47300-0000</t>
  </si>
  <si>
    <t>ALP-47550-0000</t>
  </si>
  <si>
    <t>ALP-51001-0000</t>
  </si>
  <si>
    <t>ALP-51003-0000</t>
  </si>
  <si>
    <t>ALP-51004-0000</t>
  </si>
  <si>
    <t>ALP-51010-0000</t>
  </si>
  <si>
    <t>ALP-51014-0000</t>
  </si>
  <si>
    <t>ALP-51018-0000</t>
  </si>
  <si>
    <t>ALP-51019-0000</t>
  </si>
  <si>
    <t>ALP-51021-0000</t>
  </si>
  <si>
    <t>ALP-51022-0000</t>
  </si>
  <si>
    <t>ALP-51023-0000</t>
  </si>
  <si>
    <t>ALP-51024-0000</t>
  </si>
  <si>
    <t>ALP-51026-0000</t>
  </si>
  <si>
    <t>ALP-51027-0000</t>
  </si>
  <si>
    <t>ALP-51028-0000</t>
  </si>
  <si>
    <t>ALP-51030-0000</t>
  </si>
  <si>
    <t>ALP-51350-0000</t>
  </si>
  <si>
    <t>ALP-52005-0000</t>
  </si>
  <si>
    <t>ALP-52008-0000</t>
  </si>
  <si>
    <t>ALP-53007-0000</t>
  </si>
  <si>
    <t>ALP-54100-0000</t>
  </si>
  <si>
    <t>ALP-61001-0000</t>
  </si>
  <si>
    <t>ALP-61003-0000</t>
  </si>
  <si>
    <t>ALP-61004-0000</t>
  </si>
  <si>
    <t>ALP-61006-0000</t>
  </si>
  <si>
    <t>ALP-61009-0000</t>
  </si>
  <si>
    <t>ALP-61010-0000</t>
  </si>
  <si>
    <t>ALP-61011-0000</t>
  </si>
  <si>
    <t>ALP-61013-0000</t>
  </si>
  <si>
    <t>ALP-61017-0000</t>
  </si>
  <si>
    <t>ALP-61021-0000</t>
  </si>
  <si>
    <t>ALP-61022-0000</t>
  </si>
  <si>
    <t>ALP-61024-0000</t>
  </si>
  <si>
    <t>ALP-61025-0000</t>
  </si>
  <si>
    <t>ALP-71010-0000</t>
  </si>
  <si>
    <t>ALP-71090-0000</t>
  </si>
  <si>
    <t>ALP-73101-0000</t>
  </si>
  <si>
    <t>ALP-73103-0000</t>
  </si>
  <si>
    <t>ALP-73105-0000</t>
  </si>
  <si>
    <t>ALP-80061-0000</t>
  </si>
  <si>
    <t>ALP-81220-0000</t>
  </si>
  <si>
    <t>ALP-81400-0000</t>
  </si>
  <si>
    <t>ALP-82900-0000</t>
  </si>
  <si>
    <t>ALP-85500-0000</t>
  </si>
  <si>
    <t>ALP-85700-0000</t>
  </si>
  <si>
    <t>ANG-10003-0000</t>
  </si>
  <si>
    <t>ANG-10004-0000</t>
  </si>
  <si>
    <t>ANG-10005-0000</t>
  </si>
  <si>
    <t>ANG-10006-0000</t>
  </si>
  <si>
    <t>ANG-10009-0000</t>
  </si>
  <si>
    <t>ANG-10010-0000</t>
  </si>
  <si>
    <t>ANG-10011-0000</t>
  </si>
  <si>
    <t>ANG-10012-0000</t>
  </si>
  <si>
    <t>ANG-10023-0000</t>
  </si>
  <si>
    <t>ANG-10024-0000</t>
  </si>
  <si>
    <t>ANG-10027-0000</t>
  </si>
  <si>
    <t>ANG-10050-0000</t>
  </si>
  <si>
    <t>ANG-11200-0000</t>
  </si>
  <si>
    <t>ANG-11201-0000</t>
  </si>
  <si>
    <t>ANG-11202-0000</t>
  </si>
  <si>
    <t>ANG-11203-0000</t>
  </si>
  <si>
    <t>ANG-11204-0000</t>
  </si>
  <si>
    <t>ANG-11208-0000</t>
  </si>
  <si>
    <t>ANG-11210-0000</t>
  </si>
  <si>
    <t>ANG-11212-0000</t>
  </si>
  <si>
    <t>ANG-11214-0000</t>
  </si>
  <si>
    <t>ANG-11215-0000</t>
  </si>
  <si>
    <t>ANG-11232-0000</t>
  </si>
  <si>
    <t>ANG-11303-0000</t>
  </si>
  <si>
    <t>ANG-11305-0000</t>
  </si>
  <si>
    <t>ANG-11307-0000</t>
  </si>
  <si>
    <t>ANG-11308-0000</t>
  </si>
  <si>
    <t>ANG-11309-0000</t>
  </si>
  <si>
    <t>ANG-11310-0000</t>
  </si>
  <si>
    <t>ANG-11311-0000</t>
  </si>
  <si>
    <t>ANG-11312-0000</t>
  </si>
  <si>
    <t>ANG-11314-0000</t>
  </si>
  <si>
    <t>ANG-11315-0000</t>
  </si>
  <si>
    <t>ANG-11316-0000</t>
  </si>
  <si>
    <t>ANG-11318-0000</t>
  </si>
  <si>
    <t>ANG-11319-0000</t>
  </si>
  <si>
    <t>ANG-11320-0000</t>
  </si>
  <si>
    <t>ANG-11321-0000</t>
  </si>
  <si>
    <t>ANG-11322-0000</t>
  </si>
  <si>
    <t>ANG-11323-0000</t>
  </si>
  <si>
    <t>ANG-11324-0000</t>
  </si>
  <si>
    <t>ANG-11325-0000</t>
  </si>
  <si>
    <t>ANG-11326-0000</t>
  </si>
  <si>
    <t>ANG-11327-0000</t>
  </si>
  <si>
    <t>ANG-11328-0000</t>
  </si>
  <si>
    <t>ANG-11329-0000</t>
  </si>
  <si>
    <t>ANG-11330-0000</t>
  </si>
  <si>
    <t>ANG-11331-0000</t>
  </si>
  <si>
    <t>ANG-11332-0000</t>
  </si>
  <si>
    <t>ANG-11333-0000</t>
  </si>
  <si>
    <t>ANG-11334-0000</t>
  </si>
  <si>
    <t>ANG-11335-0000</t>
  </si>
  <si>
    <t>ANG-11336-0000</t>
  </si>
  <si>
    <t>ANG-11337-0000</t>
  </si>
  <si>
    <t>ANG-11338-0000</t>
  </si>
  <si>
    <t>ANG-11339-0000</t>
  </si>
  <si>
    <t>ANG-11340-0000</t>
  </si>
  <si>
    <t>ANG-11341-0000</t>
  </si>
  <si>
    <t>ANG-11342-0000</t>
  </si>
  <si>
    <t>ANG-11343-0000</t>
  </si>
  <si>
    <t>ANG-11344-0000</t>
  </si>
  <si>
    <t>ANG-11345-0000</t>
  </si>
  <si>
    <t>ANG-11346-0000</t>
  </si>
  <si>
    <t>ANG-11347-0000</t>
  </si>
  <si>
    <t>ANG-11348-0000</t>
  </si>
  <si>
    <t>ANG-11349-0000</t>
  </si>
  <si>
    <t>ANG-11350-0000</t>
  </si>
  <si>
    <t>ANG-11351-0000</t>
  </si>
  <si>
    <t>ANG-11352-0000</t>
  </si>
  <si>
    <t>ANG-11353-0000</t>
  </si>
  <si>
    <t>ANG-11354-0000</t>
  </si>
  <si>
    <t>ANG-11355-0000</t>
  </si>
  <si>
    <t>ANG-11356-0000</t>
  </si>
  <si>
    <t>ANG-11357-0000</t>
  </si>
  <si>
    <t>ANG-11358-0000</t>
  </si>
  <si>
    <t>ANG-11359-0000</t>
  </si>
  <si>
    <t>ANG-11361-0000</t>
  </si>
  <si>
    <t>ANG-11363-0000</t>
  </si>
  <si>
    <t>ANG-11364-0000</t>
  </si>
  <si>
    <t>ANG-11365-0000</t>
  </si>
  <si>
    <t>ANG-11366-0000</t>
  </si>
  <si>
    <t>ANG-11402-0000</t>
  </si>
  <si>
    <t>ANG-11403-0000</t>
  </si>
  <si>
    <t>ANG-12100-0000</t>
  </si>
  <si>
    <t>ANG-12105-0000</t>
  </si>
  <si>
    <t>ANG-12400-0000</t>
  </si>
  <si>
    <t>ANG-12401-0000</t>
  </si>
  <si>
    <t>ANG-12402-0000</t>
  </si>
  <si>
    <t>ANG-12403-0000</t>
  </si>
  <si>
    <t>ANG-12501-0000</t>
  </si>
  <si>
    <t>ANG-12510-0000</t>
  </si>
  <si>
    <t>ANG-13010-0000</t>
  </si>
  <si>
    <t>ANG-13050-0000</t>
  </si>
  <si>
    <t>ANG-13610-0000</t>
  </si>
  <si>
    <t>ANG-13620-0000</t>
  </si>
  <si>
    <t>ANG-13810-0000</t>
  </si>
  <si>
    <t>ANG-13811-0000</t>
  </si>
  <si>
    <t>ANG-13811-1000</t>
  </si>
  <si>
    <t>ANG-13812-0000</t>
  </si>
  <si>
    <t>ANG-13812-1000</t>
  </si>
  <si>
    <t>ANG-13813-0000</t>
  </si>
  <si>
    <t>ANG-13813-1000</t>
  </si>
  <si>
    <t>ANG-13820-0000</t>
  </si>
  <si>
    <t>ANG-13820-1000</t>
  </si>
  <si>
    <t>ANG-13821-0000</t>
  </si>
  <si>
    <t>ANG-13821-1000</t>
  </si>
  <si>
    <t>ANG-13822-0000</t>
  </si>
  <si>
    <t>ANG-13822-1000</t>
  </si>
  <si>
    <t>ANG-14100-0000</t>
  </si>
  <si>
    <t>ANG-15700-0000</t>
  </si>
  <si>
    <t>ANG-15800-0000</t>
  </si>
  <si>
    <t>ANG-22000-0000</t>
  </si>
  <si>
    <t>ANG-22001-0000</t>
  </si>
  <si>
    <t>ANG-22003-0000</t>
  </si>
  <si>
    <t>ANG-22005-0000</t>
  </si>
  <si>
    <t>ANG-22310-0000</t>
  </si>
  <si>
    <t>ANG-22800-0000</t>
  </si>
  <si>
    <t>ANG-22801-0000</t>
  </si>
  <si>
    <t>ANG-22810-0000</t>
  </si>
  <si>
    <t>ANG-22900-0000</t>
  </si>
  <si>
    <t>ANG-22905-0000</t>
  </si>
  <si>
    <t>ANG-22906-0000</t>
  </si>
  <si>
    <t>ANG-23000-0000</t>
  </si>
  <si>
    <t>ANG-23100-0000</t>
  </si>
  <si>
    <t>ANG-23500-0000</t>
  </si>
  <si>
    <t>ANG-23501-0000</t>
  </si>
  <si>
    <t>ANG-23700-0000</t>
  </si>
  <si>
    <t>ANG-23800-0000</t>
  </si>
  <si>
    <t>ANG-24200-0000</t>
  </si>
  <si>
    <t>ANG-24300-0000</t>
  </si>
  <si>
    <t>ANG-24400-0000</t>
  </si>
  <si>
    <t>ANG-24500-0000</t>
  </si>
  <si>
    <t>ANG-24600-0000</t>
  </si>
  <si>
    <t>ANG-25005-0000</t>
  </si>
  <si>
    <t>ANG-25009-0000</t>
  </si>
  <si>
    <t>ANG-25600-0000</t>
  </si>
  <si>
    <t>ANG-25601-0000</t>
  </si>
  <si>
    <t>ANG-25602-0000</t>
  </si>
  <si>
    <t>ANG-25603-0000</t>
  </si>
  <si>
    <t>ANG-25604-0000</t>
  </si>
  <si>
    <t>ANG-28000-0000</t>
  </si>
  <si>
    <t>ANG-28002-0000</t>
  </si>
  <si>
    <t>ANG-28003-0000</t>
  </si>
  <si>
    <t>ANG-28004-0000</t>
  </si>
  <si>
    <t>ANG-28005-0000</t>
  </si>
  <si>
    <t>ANG-28006-0000</t>
  </si>
  <si>
    <t>ANG-28007-0000</t>
  </si>
  <si>
    <t>ANG-28008-0000</t>
  </si>
  <si>
    <t>ANG-28009-0000</t>
  </si>
  <si>
    <t>ANG-28010-0000</t>
  </si>
  <si>
    <t>ANG-28011-0000</t>
  </si>
  <si>
    <t>ANG-28012-0000</t>
  </si>
  <si>
    <t>ANG-28013-0000</t>
  </si>
  <si>
    <t>ANG-28014-0000</t>
  </si>
  <si>
    <t>ANG-28015-0000</t>
  </si>
  <si>
    <t>ANG-28016-0000</t>
  </si>
  <si>
    <t>ANG-28017-0000</t>
  </si>
  <si>
    <t>ANG-28018-0000</t>
  </si>
  <si>
    <t>ANG-28019-0000</t>
  </si>
  <si>
    <t>ANG-28020-0000</t>
  </si>
  <si>
    <t>ANG-28021-0000</t>
  </si>
  <si>
    <t>ANG-28022-0000</t>
  </si>
  <si>
    <t>ANG-28023-0000</t>
  </si>
  <si>
    <t>ANG-28024-0000</t>
  </si>
  <si>
    <t>ANG-30101-0000</t>
  </si>
  <si>
    <t>ANG-30501-0000</t>
  </si>
  <si>
    <t>ANG-31001-0000</t>
  </si>
  <si>
    <t>ANG-31002-0000</t>
  </si>
  <si>
    <t>ANG-31003-0000</t>
  </si>
  <si>
    <t>ANG-31005-0000</t>
  </si>
  <si>
    <t>ANG-31007-0000</t>
  </si>
  <si>
    <t>ANG-31008-0000</t>
  </si>
  <si>
    <t>ANG-31009-0000</t>
  </si>
  <si>
    <t>ANG-31010-0000</t>
  </si>
  <si>
    <t>ANG-31012-0000</t>
  </si>
  <si>
    <t>ANG-31015-0000</t>
  </si>
  <si>
    <t>ANG-31016-0000</t>
  </si>
  <si>
    <t>ANG-31018-0000</t>
  </si>
  <si>
    <t>ANG-31801-0000</t>
  </si>
  <si>
    <t>ANG-31802-0000</t>
  </si>
  <si>
    <t>ANG-31803-0000</t>
  </si>
  <si>
    <t>ANG-31804-0000</t>
  </si>
  <si>
    <t>ANG-31900-0000</t>
  </si>
  <si>
    <t>ANG-36000-0000</t>
  </si>
  <si>
    <t>ANG-36002-0000</t>
  </si>
  <si>
    <t>ANG-36003-0000</t>
  </si>
  <si>
    <t>ANG-36004-0000</t>
  </si>
  <si>
    <t>ANG-36005-0000</t>
  </si>
  <si>
    <t>ANG-36006-0000</t>
  </si>
  <si>
    <t>ANG-36008-0000</t>
  </si>
  <si>
    <t>ANG-36018-0000</t>
  </si>
  <si>
    <t>ANG-36801-0000</t>
  </si>
  <si>
    <t>ANG-36802-0000</t>
  </si>
  <si>
    <t>ANG-36803-0000</t>
  </si>
  <si>
    <t>ANG-36804-0000</t>
  </si>
  <si>
    <t>ANG-36900-0000</t>
  </si>
  <si>
    <t>ANG-36901-0000</t>
  </si>
  <si>
    <t>ANG-38100-0000</t>
  </si>
  <si>
    <t>ANG-38100-1000</t>
  </si>
  <si>
    <t>ANG-40140-0000</t>
  </si>
  <si>
    <t>ANG-41112-0000</t>
  </si>
  <si>
    <t>ANG-41120-0000</t>
  </si>
  <si>
    <t>ANG-42110-0000</t>
  </si>
  <si>
    <t>ANG-42130-0000</t>
  </si>
  <si>
    <t>ANG-42140-0000</t>
  </si>
  <si>
    <t>ANG-42150-0000</t>
  </si>
  <si>
    <t>ANG-42160-0000</t>
  </si>
  <si>
    <t>ANG-42405-0000</t>
  </si>
  <si>
    <t>ANG-43120-0000</t>
  </si>
  <si>
    <t>ANG-43121-0000</t>
  </si>
  <si>
    <t>ANG-43200-0000</t>
  </si>
  <si>
    <t>ANG-43410-0000</t>
  </si>
  <si>
    <t>ANG-43420-0000</t>
  </si>
  <si>
    <t>ANG-43430-0000</t>
  </si>
  <si>
    <t>ANG-43440-0000</t>
  </si>
  <si>
    <t>ANG-43450-0000</t>
  </si>
  <si>
    <t>ANG-43480-0000</t>
  </si>
  <si>
    <t>ANG-43490-0000</t>
  </si>
  <si>
    <t>ANG-43491-0000</t>
  </si>
  <si>
    <t>ANG-43492-0000</t>
  </si>
  <si>
    <t>ANG-43493-0000</t>
  </si>
  <si>
    <t>ANG-43494-0000</t>
  </si>
  <si>
    <t>ANG-43495-0000</t>
  </si>
  <si>
    <t>ANG-44000-0000</t>
  </si>
  <si>
    <t>ANG-46000-0000</t>
  </si>
  <si>
    <t>ANG-47300-0000</t>
  </si>
  <si>
    <t>ANG-47550-0000</t>
  </si>
  <si>
    <t>ANG-49500-9999</t>
  </si>
  <si>
    <t>ANG-51001-0000</t>
  </si>
  <si>
    <t>ANG-51002-0000</t>
  </si>
  <si>
    <t>ANG-51003-0000</t>
  </si>
  <si>
    <t>ANG-51004-0000</t>
  </si>
  <si>
    <t>ANG-51007-0000</t>
  </si>
  <si>
    <t>ANG-51010-0000</t>
  </si>
  <si>
    <t>ANG-51014-0000</t>
  </si>
  <si>
    <t>ANG-51015-0000</t>
  </si>
  <si>
    <t>ANG-51018-0000</t>
  </si>
  <si>
    <t>ANG-51019-0000</t>
  </si>
  <si>
    <t>ANG-51021-0000</t>
  </si>
  <si>
    <t>ANG-51022-0000</t>
  </si>
  <si>
    <t>ANG-51023-0000</t>
  </si>
  <si>
    <t>ANG-51024-0000</t>
  </si>
  <si>
    <t>ANG-51025-0000</t>
  </si>
  <si>
    <t>ANG-51026-0000</t>
  </si>
  <si>
    <t>ANG-51027-0000</t>
  </si>
  <si>
    <t>ANG-51028-0000</t>
  </si>
  <si>
    <t>ANG-51029-0000</t>
  </si>
  <si>
    <t>ANG-51030-0000</t>
  </si>
  <si>
    <t>ANG-51350-0000</t>
  </si>
  <si>
    <t>ANG-52001-0000</t>
  </si>
  <si>
    <t>ANG-52002-0000</t>
  </si>
  <si>
    <t>ANG-52003-0000</t>
  </si>
  <si>
    <t>ANG-52005-0000</t>
  </si>
  <si>
    <t>ANG-52007-0000</t>
  </si>
  <si>
    <t>ANG-52008-0000</t>
  </si>
  <si>
    <t>ANG-53007-0000</t>
  </si>
  <si>
    <t>ANG-53011-0000</t>
  </si>
  <si>
    <t>ANG-54001-0000</t>
  </si>
  <si>
    <t>ANG-54002-0000</t>
  </si>
  <si>
    <t>ANG-54005-0000</t>
  </si>
  <si>
    <t>ANG-54100-0000</t>
  </si>
  <si>
    <t>ANG-61001-0000</t>
  </si>
  <si>
    <t>ANG-61002-0000</t>
  </si>
  <si>
    <t>ANG-61003-0000</t>
  </si>
  <si>
    <t>ANG-61004-0000</t>
  </si>
  <si>
    <t>ANG-61005-0000</t>
  </si>
  <si>
    <t>ANG-61006-0000</t>
  </si>
  <si>
    <t>ANG-61007-0000</t>
  </si>
  <si>
    <t>ANG-61008-0000</t>
  </si>
  <si>
    <t>ANG-61009-0000</t>
  </si>
  <si>
    <t>ANG-61010-0000</t>
  </si>
  <si>
    <t>ANG-61011-0000</t>
  </si>
  <si>
    <t>ANG-61012-0000</t>
  </si>
  <si>
    <t>ANG-61013-0000</t>
  </si>
  <si>
    <t>ANG-61014-0000</t>
  </si>
  <si>
    <t>ANG-61015-0000</t>
  </si>
  <si>
    <t>ANG-61016-0000</t>
  </si>
  <si>
    <t>ANG-61017-0000</t>
  </si>
  <si>
    <t>ANG-61021-0000</t>
  </si>
  <si>
    <t>ANG-61022-0000</t>
  </si>
  <si>
    <t>ANG-61023-0000</t>
  </si>
  <si>
    <t>ANG-61024-0000</t>
  </si>
  <si>
    <t>ANG-61025-0000</t>
  </si>
  <si>
    <t>ANG-71010-0000</t>
  </si>
  <si>
    <t>ANG-71020-0000</t>
  </si>
  <si>
    <t>ANG-71030-0000</t>
  </si>
  <si>
    <t>ANG-71040-0000</t>
  </si>
  <si>
    <t>ANG-71050-0000</t>
  </si>
  <si>
    <t>ANG-71060-0000</t>
  </si>
  <si>
    <t>ANG-71070-0000</t>
  </si>
  <si>
    <t>ANG-71080-0000</t>
  </si>
  <si>
    <t>ANG-71090-0000</t>
  </si>
  <si>
    <t>ANG-71100-0000</t>
  </si>
  <si>
    <t>ANG-71110-0000</t>
  </si>
  <si>
    <t>ANG-73101-0000</t>
  </si>
  <si>
    <t>ANG-73103-0000</t>
  </si>
  <si>
    <t>ANG-73105-0000</t>
  </si>
  <si>
    <t>ANG-80006-0000</t>
  </si>
  <si>
    <t>ANG-80061-0000</t>
  </si>
  <si>
    <t>ANG-81019-0000</t>
  </si>
  <si>
    <t>ANG-81220-0000</t>
  </si>
  <si>
    <t>ANG-81228-0000</t>
  </si>
  <si>
    <t>ANG-81400-0000</t>
  </si>
  <si>
    <t>ANG-82900-0000</t>
  </si>
  <si>
    <t>ANG-85500-0000</t>
  </si>
  <si>
    <t>ANG-85700-0000</t>
  </si>
  <si>
    <t>API-10004-0000</t>
  </si>
  <si>
    <t>API-10006-0000</t>
  </si>
  <si>
    <t>API-10009-0000</t>
  </si>
  <si>
    <t>API-10010-0000</t>
  </si>
  <si>
    <t>API-10012-0000</t>
  </si>
  <si>
    <t>API-10023-0000</t>
  </si>
  <si>
    <t>API-10024-0000</t>
  </si>
  <si>
    <t>API-10050-0000</t>
  </si>
  <si>
    <t>API-11200-0000</t>
  </si>
  <si>
    <t>API-11201-0000</t>
  </si>
  <si>
    <t>API-11202-0000</t>
  </si>
  <si>
    <t>API-11203-0000</t>
  </si>
  <si>
    <t>API-11204-0000</t>
  </si>
  <si>
    <t>API-11208-0000</t>
  </si>
  <si>
    <t>API-11210-0000</t>
  </si>
  <si>
    <t>API-11212-0000</t>
  </si>
  <si>
    <t>API-11214-0000</t>
  </si>
  <si>
    <t>API-11215-0000</t>
  </si>
  <si>
    <t>API-11232-0000</t>
  </si>
  <si>
    <t>API-11301-0000</t>
  </si>
  <si>
    <t>API-11302-0000</t>
  </si>
  <si>
    <t>API-11303-0000</t>
  </si>
  <si>
    <t>API-11304-0000</t>
  </si>
  <si>
    <t>API-11305-0000</t>
  </si>
  <si>
    <t>API-11307-0000</t>
  </si>
  <si>
    <t>API-11308-0000</t>
  </si>
  <si>
    <t>API-11309-0000</t>
  </si>
  <si>
    <t>API-11310-0000</t>
  </si>
  <si>
    <t>API-11311-0000</t>
  </si>
  <si>
    <t>API-11312-0000</t>
  </si>
  <si>
    <t>API-11313-0000</t>
  </si>
  <si>
    <t>API-11314-0000</t>
  </si>
  <si>
    <t>API-11315-0000</t>
  </si>
  <si>
    <t>API-11316-0000</t>
  </si>
  <si>
    <t>API-11317-0000</t>
  </si>
  <si>
    <t>API-11318-0000</t>
  </si>
  <si>
    <t>API-11319-0000</t>
  </si>
  <si>
    <t>API-11320-0000</t>
  </si>
  <si>
    <t>API-11321-0000</t>
  </si>
  <si>
    <t>API-11322-0000</t>
  </si>
  <si>
    <t>API-11323-0000</t>
  </si>
  <si>
    <t>API-11324-0000</t>
  </si>
  <si>
    <t>API-11325-0000</t>
  </si>
  <si>
    <t>API-11326-0000</t>
  </si>
  <si>
    <t>API-11327-0000</t>
  </si>
  <si>
    <t>API-11328-0000</t>
  </si>
  <si>
    <t>API-11329-0000</t>
  </si>
  <si>
    <t>API-11330-0000</t>
  </si>
  <si>
    <t>API-11331-0000</t>
  </si>
  <si>
    <t>API-11332-0000</t>
  </si>
  <si>
    <t>API-11333-0000</t>
  </si>
  <si>
    <t>API-11334-0000</t>
  </si>
  <si>
    <t>API-11335-0000</t>
  </si>
  <si>
    <t>API-11336-0000</t>
  </si>
  <si>
    <t>API-11337-0000</t>
  </si>
  <si>
    <t>API-11338-0000</t>
  </si>
  <si>
    <t>API-11339-0000</t>
  </si>
  <si>
    <t>API-11340-0000</t>
  </si>
  <si>
    <t>API-11341-0000</t>
  </si>
  <si>
    <t>API-11342-0000</t>
  </si>
  <si>
    <t>API-11343-0000</t>
  </si>
  <si>
    <t>API-11344-0000</t>
  </si>
  <si>
    <t>API-11345-0000</t>
  </si>
  <si>
    <t>API-11346-0000</t>
  </si>
  <si>
    <t>API-11347-0000</t>
  </si>
  <si>
    <t>API-11348-0000</t>
  </si>
  <si>
    <t>API-11349-0000</t>
  </si>
  <si>
    <t>API-11350-0000</t>
  </si>
  <si>
    <t>API-11351-0000</t>
  </si>
  <si>
    <t>API-11352-0000</t>
  </si>
  <si>
    <t>API-11353-0000</t>
  </si>
  <si>
    <t>API-11354-0000</t>
  </si>
  <si>
    <t>API-11355-0000</t>
  </si>
  <si>
    <t>API-11356-0000</t>
  </si>
  <si>
    <t>API-11357-0000</t>
  </si>
  <si>
    <t>API-11358-0000</t>
  </si>
  <si>
    <t>API-11359-0000</t>
  </si>
  <si>
    <t>API-11361-0000</t>
  </si>
  <si>
    <t>API-11363-0000</t>
  </si>
  <si>
    <t>API-11364-0000</t>
  </si>
  <si>
    <t>API-11365-0000</t>
  </si>
  <si>
    <t>API-11366-0000</t>
  </si>
  <si>
    <t>API-11402-0000</t>
  </si>
  <si>
    <t>API-11403-0000</t>
  </si>
  <si>
    <t>API-12105-0000</t>
  </si>
  <si>
    <t>API-12400-0000</t>
  </si>
  <si>
    <t>API-12401-0000</t>
  </si>
  <si>
    <t>API-12402-0000</t>
  </si>
  <si>
    <t>API-12403-0000</t>
  </si>
  <si>
    <t>API-12501-0000</t>
  </si>
  <si>
    <t>API-12510-0000</t>
  </si>
  <si>
    <t>API-13010-0000</t>
  </si>
  <si>
    <t>API-13050-0000</t>
  </si>
  <si>
    <t>API-13610-0000</t>
  </si>
  <si>
    <t>API-13620-0000</t>
  </si>
  <si>
    <t>API-13811-0000</t>
  </si>
  <si>
    <t>API-13811-1000</t>
  </si>
  <si>
    <t>API-13812-0000</t>
  </si>
  <si>
    <t>API-13812-1000</t>
  </si>
  <si>
    <t>API-13813-0000</t>
  </si>
  <si>
    <t>API-13813-1000</t>
  </si>
  <si>
    <t>API-13820-0000</t>
  </si>
  <si>
    <t>API-13820-1000</t>
  </si>
  <si>
    <t>API-13821-1000</t>
  </si>
  <si>
    <t>API-13822-0000</t>
  </si>
  <si>
    <t>API-13822-1000</t>
  </si>
  <si>
    <t>API-15600-0000</t>
  </si>
  <si>
    <t>API-15800-0000</t>
  </si>
  <si>
    <t>API-16000-0000</t>
  </si>
  <si>
    <t>API-22001-0000</t>
  </si>
  <si>
    <t>API-22003-0000</t>
  </si>
  <si>
    <t>API-22005-0000</t>
  </si>
  <si>
    <t>API-22310-0000</t>
  </si>
  <si>
    <t>API-22801-0000</t>
  </si>
  <si>
    <t>API-22810-0000</t>
  </si>
  <si>
    <t>API-22900-0000</t>
  </si>
  <si>
    <t>API-22906-0000</t>
  </si>
  <si>
    <t>API-23000-0000</t>
  </si>
  <si>
    <t>API-23100-0000</t>
  </si>
  <si>
    <t>API-23500-0000</t>
  </si>
  <si>
    <t>API-23501-0000</t>
  </si>
  <si>
    <t>API-23700-0000</t>
  </si>
  <si>
    <t>API-23800-0000</t>
  </si>
  <si>
    <t>API-24200-0000</t>
  </si>
  <si>
    <t>API-24300-0000</t>
  </si>
  <si>
    <t>API-24400-0000</t>
  </si>
  <si>
    <t>API-24500-0000</t>
  </si>
  <si>
    <t>API-24600-0000</t>
  </si>
  <si>
    <t>API-25005-0000</t>
  </si>
  <si>
    <t>API-25009-0000</t>
  </si>
  <si>
    <t>API-25600-0000</t>
  </si>
  <si>
    <t>API-25601-0000</t>
  </si>
  <si>
    <t>API-25603-0000</t>
  </si>
  <si>
    <t>API-25604-0000</t>
  </si>
  <si>
    <t>API-28000-0000</t>
  </si>
  <si>
    <t>API-28001-0000</t>
  </si>
  <si>
    <t>API-28002-0000</t>
  </si>
  <si>
    <t>API-28006-0000</t>
  </si>
  <si>
    <t>API-28007-0000</t>
  </si>
  <si>
    <t>API-28008-0000</t>
  </si>
  <si>
    <t>API-28009-0000</t>
  </si>
  <si>
    <t>API-28010-0000</t>
  </si>
  <si>
    <t>API-28011-0000</t>
  </si>
  <si>
    <t>API-28012-0000</t>
  </si>
  <si>
    <t>API-28013-0000</t>
  </si>
  <si>
    <t>API-28014-0000</t>
  </si>
  <si>
    <t>API-28015-0000</t>
  </si>
  <si>
    <t>API-28016-0000</t>
  </si>
  <si>
    <t>API-28017-0000</t>
  </si>
  <si>
    <t>API-28019-0000</t>
  </si>
  <si>
    <t>API-28020-0000</t>
  </si>
  <si>
    <t>API-28021-0000</t>
  </si>
  <si>
    <t>API-28022-0000</t>
  </si>
  <si>
    <t>API-28023-0000</t>
  </si>
  <si>
    <t>API-28024-0000</t>
  </si>
  <si>
    <t>API-30101-0000</t>
  </si>
  <si>
    <t>API-30501-0000</t>
  </si>
  <si>
    <t>API-31001-0000</t>
  </si>
  <si>
    <t>API-31002-0000</t>
  </si>
  <si>
    <t>API-31003-0000</t>
  </si>
  <si>
    <t>API-31005-0000</t>
  </si>
  <si>
    <t>API-31008-0000</t>
  </si>
  <si>
    <t>API-31009-0000</t>
  </si>
  <si>
    <t>API-31010-0000</t>
  </si>
  <si>
    <t>API-31012-0000</t>
  </si>
  <si>
    <t>API-31015-0000</t>
  </si>
  <si>
    <t>API-31016-0000</t>
  </si>
  <si>
    <t>API-31018-0000</t>
  </si>
  <si>
    <t>API-31801-0000</t>
  </si>
  <si>
    <t>API-31802-0000</t>
  </si>
  <si>
    <t>API-31803-0000</t>
  </si>
  <si>
    <t>API-31804-0000</t>
  </si>
  <si>
    <t>API-36002-0000</t>
  </si>
  <si>
    <t>API-36003-0000</t>
  </si>
  <si>
    <t>API-36004-0000</t>
  </si>
  <si>
    <t>API-36005-0000</t>
  </si>
  <si>
    <t>API-36006-0000</t>
  </si>
  <si>
    <t>API-36008-0000</t>
  </si>
  <si>
    <t>API-36018-0000</t>
  </si>
  <si>
    <t>API-36801-0000</t>
  </si>
  <si>
    <t>API-36802-0000</t>
  </si>
  <si>
    <t>API-36803-0000</t>
  </si>
  <si>
    <t>API-36804-0000</t>
  </si>
  <si>
    <t>API-36900-0000</t>
  </si>
  <si>
    <t>API-36901-0000</t>
  </si>
  <si>
    <t>API-38100-1000</t>
  </si>
  <si>
    <t>API-41112-0000</t>
  </si>
  <si>
    <t>API-42140-0000</t>
  </si>
  <si>
    <t>API-42405-0000</t>
  </si>
  <si>
    <t>API-43200-0000</t>
  </si>
  <si>
    <t>API-43420-0000</t>
  </si>
  <si>
    <t>API-43494-0000</t>
  </si>
  <si>
    <t>API-43495-0000</t>
  </si>
  <si>
    <t>API-44000-0000</t>
  </si>
  <si>
    <t>API-46000-0000</t>
  </si>
  <si>
    <t>API-47300-0000</t>
  </si>
  <si>
    <t>API-47550-0000</t>
  </si>
  <si>
    <t>API-51001-0000</t>
  </si>
  <si>
    <t>API-51002-0000</t>
  </si>
  <si>
    <t>API-51004-0000</t>
  </si>
  <si>
    <t>API-51010-0000</t>
  </si>
  <si>
    <t>API-51014-0000</t>
  </si>
  <si>
    <t>API-51018-0000</t>
  </si>
  <si>
    <t>API-51021-0000</t>
  </si>
  <si>
    <t>API-51022-0000</t>
  </si>
  <si>
    <t>API-51023-0000</t>
  </si>
  <si>
    <t>API-51026-0000</t>
  </si>
  <si>
    <t>API-51027-0000</t>
  </si>
  <si>
    <t>API-51028-0000</t>
  </si>
  <si>
    <t>API-51030-0000</t>
  </si>
  <si>
    <t>API-51350-0000</t>
  </si>
  <si>
    <t>API-52005-0000</t>
  </si>
  <si>
    <t>API-52008-0000</t>
  </si>
  <si>
    <t>API-53007-0000</t>
  </si>
  <si>
    <t>API-54100-0000</t>
  </si>
  <si>
    <t>API-61001-0000</t>
  </si>
  <si>
    <t>API-61003-0000</t>
  </si>
  <si>
    <t>API-61004-0000</t>
  </si>
  <si>
    <t>API-61006-0000</t>
  </si>
  <si>
    <t>API-61009-0000</t>
  </si>
  <si>
    <t>API-61010-0000</t>
  </si>
  <si>
    <t>API-61011-0000</t>
  </si>
  <si>
    <t>API-61013-0000</t>
  </si>
  <si>
    <t>API-61016-0000</t>
  </si>
  <si>
    <t>API-61021-0000</t>
  </si>
  <si>
    <t>API-61024-0000</t>
  </si>
  <si>
    <t>API-61025-0000</t>
  </si>
  <si>
    <t>API-71010-0000</t>
  </si>
  <si>
    <t>API-71090-0000</t>
  </si>
  <si>
    <t>API-73101-0000</t>
  </si>
  <si>
    <t>API-73103-0000</t>
  </si>
  <si>
    <t>API-73105-0000</t>
  </si>
  <si>
    <t>API-80061-0000</t>
  </si>
  <si>
    <t>API-81220-0000</t>
  </si>
  <si>
    <t>API-81400-0000</t>
  </si>
  <si>
    <t>API-82900-0000</t>
  </si>
  <si>
    <t>API-85500-0000</t>
  </si>
  <si>
    <t>API-85700-0000</t>
  </si>
  <si>
    <t>BET-10003-0000</t>
  </si>
  <si>
    <t>BET-10004-0000</t>
  </si>
  <si>
    <t>BET-10005-0000</t>
  </si>
  <si>
    <t>BET-10009-0000</t>
  </si>
  <si>
    <t>BET-10010-0000</t>
  </si>
  <si>
    <t>BET-10011-0000</t>
  </si>
  <si>
    <t>BET-10012-0000</t>
  </si>
  <si>
    <t>BET-10023-0000</t>
  </si>
  <si>
    <t>BET-10024-0000</t>
  </si>
  <si>
    <t>BET-10027-0000</t>
  </si>
  <si>
    <t>BET-10050-0000</t>
  </si>
  <si>
    <t>BET-11200-0000</t>
  </si>
  <si>
    <t>BET-11201-0000</t>
  </si>
  <si>
    <t>BET-11202-0000</t>
  </si>
  <si>
    <t>BET-11203-0000</t>
  </si>
  <si>
    <t>BET-11204-0000</t>
  </si>
  <si>
    <t>BET-11208-0000</t>
  </si>
  <si>
    <t>BET-11210-0000</t>
  </si>
  <si>
    <t>BET-11212-0000</t>
  </si>
  <si>
    <t>BET-11214-0000</t>
  </si>
  <si>
    <t>BET-11215-0000</t>
  </si>
  <si>
    <t>BET-11232-0000</t>
  </si>
  <si>
    <t>BET-11301-0000</t>
  </si>
  <si>
    <t>BET-11302-0000</t>
  </si>
  <si>
    <t>BET-11304-0000</t>
  </si>
  <si>
    <t>BET-11305-0000</t>
  </si>
  <si>
    <t>BET-11307-0000</t>
  </si>
  <si>
    <t>BET-11309-0000</t>
  </si>
  <si>
    <t>BET-11311-0000</t>
  </si>
  <si>
    <t>BET-11312-0000</t>
  </si>
  <si>
    <t>BET-11314-0000</t>
  </si>
  <si>
    <t>BET-11315-0000</t>
  </si>
  <si>
    <t>BET-11316-0000</t>
  </si>
  <si>
    <t>BET-11320-0000</t>
  </si>
  <si>
    <t>BET-11325-0000</t>
  </si>
  <si>
    <t>BET-11326-0000</t>
  </si>
  <si>
    <t>BET-11327-0000</t>
  </si>
  <si>
    <t>BET-11330-0000</t>
  </si>
  <si>
    <t>BET-11331-0000</t>
  </si>
  <si>
    <t>BET-11333-0000</t>
  </si>
  <si>
    <t>BET-11334-0000</t>
  </si>
  <si>
    <t>BET-11338-0000</t>
  </si>
  <si>
    <t>BET-11339-0000</t>
  </si>
  <si>
    <t>BET-11340-0000</t>
  </si>
  <si>
    <t>BET-11341-0000</t>
  </si>
  <si>
    <t>BET-11343-0000</t>
  </si>
  <si>
    <t>BET-11344-0000</t>
  </si>
  <si>
    <t>BET-11345-0000</t>
  </si>
  <si>
    <t>BET-11346-0000</t>
  </si>
  <si>
    <t>BET-11347-0000</t>
  </si>
  <si>
    <t>BET-11348-0000</t>
  </si>
  <si>
    <t>BET-11349-0000</t>
  </si>
  <si>
    <t>BET-11350-0000</t>
  </si>
  <si>
    <t>BET-11351-0000</t>
  </si>
  <si>
    <t>BET-11352-0000</t>
  </si>
  <si>
    <t>BET-11353-0000</t>
  </si>
  <si>
    <t>BET-11354-0000</t>
  </si>
  <si>
    <t>BET-11355-0000</t>
  </si>
  <si>
    <t>BET-11356-0000</t>
  </si>
  <si>
    <t>BET-11357-0000</t>
  </si>
  <si>
    <t>BET-11358-0000</t>
  </si>
  <si>
    <t>BET-11359-0000</t>
  </si>
  <si>
    <t>BET-11361-0000</t>
  </si>
  <si>
    <t>BET-11363-0000</t>
  </si>
  <si>
    <t>BET-11364-0000</t>
  </si>
  <si>
    <t>BET-11365-0000</t>
  </si>
  <si>
    <t>BET-11366-0000</t>
  </si>
  <si>
    <t>BET-11402-0000</t>
  </si>
  <si>
    <t>BET-11403-0000</t>
  </si>
  <si>
    <t>BET-12105-0000</t>
  </si>
  <si>
    <t>BET-12400-0000</t>
  </si>
  <si>
    <t>BET-12401-0000</t>
  </si>
  <si>
    <t>BET-12402-0000</t>
  </si>
  <si>
    <t>BET-12403-0000</t>
  </si>
  <si>
    <t>BET-12501-0000</t>
  </si>
  <si>
    <t>BET-12510-0000</t>
  </si>
  <si>
    <t>BET-13010-0000</t>
  </si>
  <si>
    <t>BET-13050-0000</t>
  </si>
  <si>
    <t>BET-13610-0000</t>
  </si>
  <si>
    <t>BET-13620-0000</t>
  </si>
  <si>
    <t>BET-13811-0000</t>
  </si>
  <si>
    <t>BET-13811-1000</t>
  </si>
  <si>
    <t>BET-13812-0000</t>
  </si>
  <si>
    <t>BET-13812-1000</t>
  </si>
  <si>
    <t>BET-13813-0000</t>
  </si>
  <si>
    <t>BET-13813-1000</t>
  </si>
  <si>
    <t>BET-13820-1000</t>
  </si>
  <si>
    <t>BET-13821-0000</t>
  </si>
  <si>
    <t>BET-13821-1000</t>
  </si>
  <si>
    <t>BET-13822-0000</t>
  </si>
  <si>
    <t>BET-13822-1000</t>
  </si>
  <si>
    <t>BET-15600-0000</t>
  </si>
  <si>
    <t>BET-15800-0000</t>
  </si>
  <si>
    <t>BET-22001-0000</t>
  </si>
  <si>
    <t>BET-22003-0000</t>
  </si>
  <si>
    <t>BET-22005-0000</t>
  </si>
  <si>
    <t>BET-22310-0000</t>
  </si>
  <si>
    <t>BET-22801-0000</t>
  </si>
  <si>
    <t>BET-22810-0000</t>
  </si>
  <si>
    <t>BET-22906-0000</t>
  </si>
  <si>
    <t>BET-23000-0000</t>
  </si>
  <si>
    <t>BET-23100-0000</t>
  </si>
  <si>
    <t>BET-23500-0000</t>
  </si>
  <si>
    <t>BET-23501-0000</t>
  </si>
  <si>
    <t>BET-23700-0000</t>
  </si>
  <si>
    <t>BET-23800-0000</t>
  </si>
  <si>
    <t>BET-24200-0000</t>
  </si>
  <si>
    <t>BET-24300-0000</t>
  </si>
  <si>
    <t>BET-24400-0000</t>
  </si>
  <si>
    <t>BET-24500-0000</t>
  </si>
  <si>
    <t>BET-24600-0000</t>
  </si>
  <si>
    <t>BET-25005-0000</t>
  </si>
  <si>
    <t>BET-25009-0000</t>
  </si>
  <si>
    <t>BET-25601-0000</t>
  </si>
  <si>
    <t>BET-25602-0000</t>
  </si>
  <si>
    <t>BET-25603-0000</t>
  </si>
  <si>
    <t>BET-28000-0000</t>
  </si>
  <si>
    <t>BET-28001-0000</t>
  </si>
  <si>
    <t>BET-28002-0000</t>
  </si>
  <si>
    <t>BET-28006-0000</t>
  </si>
  <si>
    <t>BET-28007-0000</t>
  </si>
  <si>
    <t>BET-28008-0000</t>
  </si>
  <si>
    <t>BET-28009-0000</t>
  </si>
  <si>
    <t>BET-28010-0000</t>
  </si>
  <si>
    <t>BET-28011-0000</t>
  </si>
  <si>
    <t>BET-28012-0000</t>
  </si>
  <si>
    <t>BET-28013-0000</t>
  </si>
  <si>
    <t>BET-28015-0000</t>
  </si>
  <si>
    <t>BET-28016-0000</t>
  </si>
  <si>
    <t>BET-28017-0000</t>
  </si>
  <si>
    <t>BET-28018-0000</t>
  </si>
  <si>
    <t>BET-28020-0000</t>
  </si>
  <si>
    <t>BET-28021-0000</t>
  </si>
  <si>
    <t>BET-28022-0000</t>
  </si>
  <si>
    <t>BET-28023-0000</t>
  </si>
  <si>
    <t>BET-28024-0000</t>
  </si>
  <si>
    <t>BET-30101-0000</t>
  </si>
  <si>
    <t>BET-30501-0000</t>
  </si>
  <si>
    <t>BET-31001-0000</t>
  </si>
  <si>
    <t>BET-31002-0000</t>
  </si>
  <si>
    <t>BET-31003-0000</t>
  </si>
  <si>
    <t>BET-31005-0000</t>
  </si>
  <si>
    <t>BET-31007-0000</t>
  </si>
  <si>
    <t>BET-31008-0000</t>
  </si>
  <si>
    <t>BET-31009-0000</t>
  </si>
  <si>
    <t>BET-31010-0000</t>
  </si>
  <si>
    <t>BET-31012-0000</t>
  </si>
  <si>
    <t>BET-31015-0000</t>
  </si>
  <si>
    <t>BET-31016-0000</t>
  </si>
  <si>
    <t>BET-31018-0000</t>
  </si>
  <si>
    <t>BET-31801-0000</t>
  </si>
  <si>
    <t>BET-31802-0000</t>
  </si>
  <si>
    <t>BET-31803-0000</t>
  </si>
  <si>
    <t>BET-31804-0000</t>
  </si>
  <si>
    <t>BET-31900-0000</t>
  </si>
  <si>
    <t>BET-36002-0000</t>
  </si>
  <si>
    <t>BET-36003-0000</t>
  </si>
  <si>
    <t>BET-36004-0000</t>
  </si>
  <si>
    <t>BET-36005-0000</t>
  </si>
  <si>
    <t>BET-36006-0000</t>
  </si>
  <si>
    <t>BET-36008-0000</t>
  </si>
  <si>
    <t>BET-36018-0000</t>
  </si>
  <si>
    <t>BET-36801-0000</t>
  </si>
  <si>
    <t>BET-36802-0000</t>
  </si>
  <si>
    <t>BET-36803-0000</t>
  </si>
  <si>
    <t>BET-36804-0000</t>
  </si>
  <si>
    <t>BET-36900-0000</t>
  </si>
  <si>
    <t>BET-36901-0000</t>
  </si>
  <si>
    <t>BET-38100-1000</t>
  </si>
  <si>
    <t>BET-41112-0000</t>
  </si>
  <si>
    <t>BET-42140-0000</t>
  </si>
  <si>
    <t>BET-42405-0000</t>
  </si>
  <si>
    <t>BET-43200-0000</t>
  </si>
  <si>
    <t>BET-43420-0000</t>
  </si>
  <si>
    <t>BET-43450-0000</t>
  </si>
  <si>
    <t>BET-43490-0000</t>
  </si>
  <si>
    <t>BET-43493-0000</t>
  </si>
  <si>
    <t>BET-43494-0000</t>
  </si>
  <si>
    <t>BET-43495-0000</t>
  </si>
  <si>
    <t>BET-44000-0000</t>
  </si>
  <si>
    <t>BET-46000-0000</t>
  </si>
  <si>
    <t>BET-47300-0000</t>
  </si>
  <si>
    <t>BET-47550-0000</t>
  </si>
  <si>
    <t>BET-51001-0000</t>
  </si>
  <si>
    <t>BET-51002-0000</t>
  </si>
  <si>
    <t>BET-51003-0000</t>
  </si>
  <si>
    <t>BET-51004-0000</t>
  </si>
  <si>
    <t>BET-51010-0000</t>
  </si>
  <si>
    <t>BET-51014-0000</t>
  </si>
  <si>
    <t>BET-51021-0000</t>
  </si>
  <si>
    <t>BET-51022-0000</t>
  </si>
  <si>
    <t>BET-51023-0000</t>
  </si>
  <si>
    <t>BET-51024-0000</t>
  </si>
  <si>
    <t>BET-51026-0000</t>
  </si>
  <si>
    <t>BET-51027-0000</t>
  </si>
  <si>
    <t>BET-51028-0000</t>
  </si>
  <si>
    <t>BET-51030-0000</t>
  </si>
  <si>
    <t>BET-51350-0000</t>
  </si>
  <si>
    <t>BET-52005-0000</t>
  </si>
  <si>
    <t>BET-52007-0000</t>
  </si>
  <si>
    <t>BET-52008-0000</t>
  </si>
  <si>
    <t>BET-53005-0000</t>
  </si>
  <si>
    <t>BET-53007-0000</t>
  </si>
  <si>
    <t>BET-54100-0000</t>
  </si>
  <si>
    <t>BET-61001-0000</t>
  </si>
  <si>
    <t>BET-61003-0000</t>
  </si>
  <si>
    <t>BET-61004-0000</t>
  </si>
  <si>
    <t>BET-61006-0000</t>
  </si>
  <si>
    <t>BET-61009-0000</t>
  </si>
  <si>
    <t>BET-61010-0000</t>
  </si>
  <si>
    <t>BET-61011-0000</t>
  </si>
  <si>
    <t>BET-61016-0000</t>
  </si>
  <si>
    <t>BET-61017-0000</t>
  </si>
  <si>
    <t>BET-61021-0000</t>
  </si>
  <si>
    <t>BET-61022-0000</t>
  </si>
  <si>
    <t>BET-61024-0000</t>
  </si>
  <si>
    <t>BET-61025-0000</t>
  </si>
  <si>
    <t>BET-73101-0000</t>
  </si>
  <si>
    <t>BET-73103-0000</t>
  </si>
  <si>
    <t>BET-73105-0000</t>
  </si>
  <si>
    <t>BET-80061-0000</t>
  </si>
  <si>
    <t>BET-81220-0000</t>
  </si>
  <si>
    <t>BET-81400-0000</t>
  </si>
  <si>
    <t>BET-82900-0000</t>
  </si>
  <si>
    <t>BET-85500-0000</t>
  </si>
  <si>
    <t>BET-85700-0000</t>
  </si>
  <si>
    <t>BRU-10003-0000</t>
  </si>
  <si>
    <t>BRU-10004-0000</t>
  </si>
  <si>
    <t>BRU-10005-0000</t>
  </si>
  <si>
    <t>BRU-10006-0000</t>
  </si>
  <si>
    <t>BRU-10009-0000</t>
  </si>
  <si>
    <t>BRU-10010-0000</t>
  </si>
  <si>
    <t>BRU-10011-0000</t>
  </si>
  <si>
    <t>BRU-10012-0000</t>
  </si>
  <si>
    <t>BRU-10023-0000</t>
  </si>
  <si>
    <t>BRU-10024-0000</t>
  </si>
  <si>
    <t>BRU-10027-0000</t>
  </si>
  <si>
    <t>BRU-10050-0000</t>
  </si>
  <si>
    <t>BRU-11200-0000</t>
  </si>
  <si>
    <t>BRU-11201-0000</t>
  </si>
  <si>
    <t>BRU-11202-0000</t>
  </si>
  <si>
    <t>BRU-11203-0000</t>
  </si>
  <si>
    <t>BRU-11204-0000</t>
  </si>
  <si>
    <t>BRU-11208-0000</t>
  </si>
  <si>
    <t>BRU-11210-0000</t>
  </si>
  <si>
    <t>BRU-11212-0000</t>
  </si>
  <si>
    <t>BRU-11214-0000</t>
  </si>
  <si>
    <t>BRU-11215-0000</t>
  </si>
  <si>
    <t>BRU-11232-0000</t>
  </si>
  <si>
    <t>BRU-11301-0000</t>
  </si>
  <si>
    <t>BRU-11302-0000</t>
  </si>
  <si>
    <t>BRU-11303-0000</t>
  </si>
  <si>
    <t>BRU-11304-0000</t>
  </si>
  <si>
    <t>BRU-11305-0000</t>
  </si>
  <si>
    <t>BRU-11307-0000</t>
  </si>
  <si>
    <t>BRU-11308-0000</t>
  </si>
  <si>
    <t>BRU-11309-0000</t>
  </si>
  <si>
    <t>BRU-11311-0000</t>
  </si>
  <si>
    <t>BRU-11312-0000</t>
  </si>
  <si>
    <t>BRU-11313-0000</t>
  </si>
  <si>
    <t>BRU-11314-0000</t>
  </si>
  <si>
    <t>BRU-11315-0000</t>
  </si>
  <si>
    <t>BRU-11318-0000</t>
  </si>
  <si>
    <t>BRU-11319-0000</t>
  </si>
  <si>
    <t>BRU-11320-0000</t>
  </si>
  <si>
    <t>BRU-11321-0000</t>
  </si>
  <si>
    <t>BRU-11322-0000</t>
  </si>
  <si>
    <t>BRU-11323-0000</t>
  </si>
  <si>
    <t>BRU-11324-0000</t>
  </si>
  <si>
    <t>BRU-11326-0000</t>
  </si>
  <si>
    <t>BRU-11327-0000</t>
  </si>
  <si>
    <t>BRU-11328-0000</t>
  </si>
  <si>
    <t>BRU-11333-0000</t>
  </si>
  <si>
    <t>BRU-11334-0000</t>
  </si>
  <si>
    <t>BRU-11335-0000</t>
  </si>
  <si>
    <t>BRU-11337-0000</t>
  </si>
  <si>
    <t>BRU-11338-0000</t>
  </si>
  <si>
    <t>BRU-11339-0000</t>
  </si>
  <si>
    <t>BRU-11340-0000</t>
  </si>
  <si>
    <t>BRU-11341-0000</t>
  </si>
  <si>
    <t>BRU-11342-0000</t>
  </si>
  <si>
    <t>BRU-11343-0000</t>
  </si>
  <si>
    <t>BRU-11344-0000</t>
  </si>
  <si>
    <t>BRU-11345-0000</t>
  </si>
  <si>
    <t>BRU-11346-0000</t>
  </si>
  <si>
    <t>BRU-11347-0000</t>
  </si>
  <si>
    <t>BRU-11348-0000</t>
  </si>
  <si>
    <t>BRU-11349-0000</t>
  </si>
  <si>
    <t>BRU-11350-0000</t>
  </si>
  <si>
    <t>BRU-11351-0000</t>
  </si>
  <si>
    <t>BRU-11352-0000</t>
  </si>
  <si>
    <t>BRU-11353-0000</t>
  </si>
  <si>
    <t>BRU-11354-0000</t>
  </si>
  <si>
    <t>BRU-11355-0000</t>
  </si>
  <si>
    <t>BRU-11356-0000</t>
  </si>
  <si>
    <t>BRU-11357-0000</t>
  </si>
  <si>
    <t>BRU-11358-0000</t>
  </si>
  <si>
    <t>BRU-11359-0000</t>
  </si>
  <si>
    <t>BRU-11361-0000</t>
  </si>
  <si>
    <t>BRU-11363-0000</t>
  </si>
  <si>
    <t>BRU-11364-0000</t>
  </si>
  <si>
    <t>BRU-11365-0000</t>
  </si>
  <si>
    <t>BRU-11366-0000</t>
  </si>
  <si>
    <t>BRU-11402-0000</t>
  </si>
  <si>
    <t>BRU-11403-0000</t>
  </si>
  <si>
    <t>BRU-12100-0000</t>
  </si>
  <si>
    <t>BRU-12105-0000</t>
  </si>
  <si>
    <t>BRU-12400-0000</t>
  </si>
  <si>
    <t>BRU-12401-0000</t>
  </si>
  <si>
    <t>BRU-12402-0000</t>
  </si>
  <si>
    <t>BRU-12403-0000</t>
  </si>
  <si>
    <t>BRU-12501-0000</t>
  </si>
  <si>
    <t>BRU-12510-0000</t>
  </si>
  <si>
    <t>BRU-13010-0000</t>
  </si>
  <si>
    <t>BRU-13050-0000</t>
  </si>
  <si>
    <t>BRU-13610-0000</t>
  </si>
  <si>
    <t>BRU-13620-0000</t>
  </si>
  <si>
    <t>BRU-13810-0000</t>
  </si>
  <si>
    <t>BRU-13811-0000</t>
  </si>
  <si>
    <t>BRU-13811-1000</t>
  </si>
  <si>
    <t>BRU-13812-0000</t>
  </si>
  <si>
    <t>BRU-13812-1000</t>
  </si>
  <si>
    <t>BRU-13813-0000</t>
  </si>
  <si>
    <t>BRU-13813-1000</t>
  </si>
  <si>
    <t>BRU-13820-0000</t>
  </si>
  <si>
    <t>BRU-13820-1000</t>
  </si>
  <si>
    <t>BRU-13821-0000</t>
  </si>
  <si>
    <t>BRU-13821-1000</t>
  </si>
  <si>
    <t>BRU-13822-0000</t>
  </si>
  <si>
    <t>BRU-13822-1000</t>
  </si>
  <si>
    <t>BRU-14100-0000</t>
  </si>
  <si>
    <t>BRU-15700-0000</t>
  </si>
  <si>
    <t>BRU-15800-0000</t>
  </si>
  <si>
    <t>BRU-16000-0000</t>
  </si>
  <si>
    <t>BRU-22000-0000</t>
  </si>
  <si>
    <t>BRU-22001-0000</t>
  </si>
  <si>
    <t>BRU-22003-0000</t>
  </si>
  <si>
    <t>BRU-22005-0000</t>
  </si>
  <si>
    <t>BRU-22310-0000</t>
  </si>
  <si>
    <t>BRU-22800-0000</t>
  </si>
  <si>
    <t>BRU-22801-0000</t>
  </si>
  <si>
    <t>BRU-22810-0000</t>
  </si>
  <si>
    <t>BRU-22900-0000</t>
  </si>
  <si>
    <t>BRU-22905-0000</t>
  </si>
  <si>
    <t>BRU-22906-0000</t>
  </si>
  <si>
    <t>BRU-23000-0000</t>
  </si>
  <si>
    <t>BRU-23100-0000</t>
  </si>
  <si>
    <t>BRU-23500-0000</t>
  </si>
  <si>
    <t>BRU-23501-0000</t>
  </si>
  <si>
    <t>BRU-23700-0000</t>
  </si>
  <si>
    <t>BRU-23800-0000</t>
  </si>
  <si>
    <t>BRU-24200-0000</t>
  </si>
  <si>
    <t>BRU-24300-0000</t>
  </si>
  <si>
    <t>BRU-24400-0000</t>
  </si>
  <si>
    <t>BRU-24500-0000</t>
  </si>
  <si>
    <t>BRU-24600-0000</t>
  </si>
  <si>
    <t>BRU-25005-0000</t>
  </si>
  <si>
    <t>BRU-25009-0000</t>
  </si>
  <si>
    <t>BRU-25600-0000</t>
  </si>
  <si>
    <t>BRU-25601-0000</t>
  </si>
  <si>
    <t>BRU-25602-0000</t>
  </si>
  <si>
    <t>BRU-25603-0000</t>
  </si>
  <si>
    <t>BRU-25604-0000</t>
  </si>
  <si>
    <t>BRU-28000-0000</t>
  </si>
  <si>
    <t>BRU-28001-0000</t>
  </si>
  <si>
    <t>BRU-28002-0000</t>
  </si>
  <si>
    <t>BRU-28004-0000</t>
  </si>
  <si>
    <t>BRU-28005-0000</t>
  </si>
  <si>
    <t>BRU-28006-0000</t>
  </si>
  <si>
    <t>BRU-28007-0000</t>
  </si>
  <si>
    <t>BRU-28008-0000</t>
  </si>
  <si>
    <t>BRU-28009-0000</t>
  </si>
  <si>
    <t>BRU-28010-0000</t>
  </si>
  <si>
    <t>BRU-28011-0000</t>
  </si>
  <si>
    <t>BRU-28012-0000</t>
  </si>
  <si>
    <t>BRU-28013-0000</t>
  </si>
  <si>
    <t>BRU-28014-0000</t>
  </si>
  <si>
    <t>BRU-28015-0000</t>
  </si>
  <si>
    <t>BRU-28016-0000</t>
  </si>
  <si>
    <t>BRU-28017-0000</t>
  </si>
  <si>
    <t>BRU-28018-0000</t>
  </si>
  <si>
    <t>BRU-28019-0000</t>
  </si>
  <si>
    <t>BRU-28020-0000</t>
  </si>
  <si>
    <t>BRU-28021-0000</t>
  </si>
  <si>
    <t>BRU-28022-0000</t>
  </si>
  <si>
    <t>BRU-28023-0000</t>
  </si>
  <si>
    <t>BRU-28024-0000</t>
  </si>
  <si>
    <t>BRU-30101-0000</t>
  </si>
  <si>
    <t>BRU-30501-0000</t>
  </si>
  <si>
    <t>BRU-31001-0000</t>
  </si>
  <si>
    <t>BRU-31002-0000</t>
  </si>
  <si>
    <t>BRU-31003-0000</t>
  </si>
  <si>
    <t>BRU-31005-0000</t>
  </si>
  <si>
    <t>BRU-31007-0000</t>
  </si>
  <si>
    <t>BRU-31008-0000</t>
  </si>
  <si>
    <t>BRU-31009-0000</t>
  </si>
  <si>
    <t>BRU-31010-0000</t>
  </si>
  <si>
    <t>BRU-31012-0000</t>
  </si>
  <si>
    <t>BRU-31015-0000</t>
  </si>
  <si>
    <t>BRU-31016-0000</t>
  </si>
  <si>
    <t>BRU-31018-0000</t>
  </si>
  <si>
    <t>BRU-31801-0000</t>
  </si>
  <si>
    <t>BRU-31802-0000</t>
  </si>
  <si>
    <t>BRU-31803-0000</t>
  </si>
  <si>
    <t>BRU-31804-0000</t>
  </si>
  <si>
    <t>BRU-31900-0000</t>
  </si>
  <si>
    <t>BRU-36000-0000</t>
  </si>
  <si>
    <t>BRU-36002-0000</t>
  </si>
  <si>
    <t>BRU-36003-0000</t>
  </si>
  <si>
    <t>BRU-36004-0000</t>
  </si>
  <si>
    <t>BRU-36005-0000</t>
  </si>
  <si>
    <t>BRU-36006-0000</t>
  </si>
  <si>
    <t>BRU-36008-0000</t>
  </si>
  <si>
    <t>BRU-36018-0000</t>
  </si>
  <si>
    <t>BRU-36801-0000</t>
  </si>
  <si>
    <t>BRU-36802-0000</t>
  </si>
  <si>
    <t>BRU-36803-0000</t>
  </si>
  <si>
    <t>BRU-36804-0000</t>
  </si>
  <si>
    <t>BRU-36900-0000</t>
  </si>
  <si>
    <t>BRU-36901-0000</t>
  </si>
  <si>
    <t>BRU-38100-0000</t>
  </si>
  <si>
    <t>BRU-38100-1000</t>
  </si>
  <si>
    <t>BRU-40140-0000</t>
  </si>
  <si>
    <t>BRU-41112-0000</t>
  </si>
  <si>
    <t>BRU-41120-0000</t>
  </si>
  <si>
    <t>BRU-42110-0000</t>
  </si>
  <si>
    <t>BRU-42130-0000</t>
  </si>
  <si>
    <t>BRU-42140-0000</t>
  </si>
  <si>
    <t>BRU-42150-0000</t>
  </si>
  <si>
    <t>BRU-42160-0000</t>
  </si>
  <si>
    <t>BRU-42405-0000</t>
  </si>
  <si>
    <t>BRU-43120-0000</t>
  </si>
  <si>
    <t>BRU-43121-0000</t>
  </si>
  <si>
    <t>BRU-43200-0000</t>
  </si>
  <si>
    <t>BRU-43410-0000</t>
  </si>
  <si>
    <t>BRU-43420-0000</t>
  </si>
  <si>
    <t>BRU-43430-0000</t>
  </si>
  <si>
    <t>BRU-43440-0000</t>
  </si>
  <si>
    <t>BRU-43450-0000</t>
  </si>
  <si>
    <t>BRU-43480-0000</t>
  </si>
  <si>
    <t>BRU-43490-0000</t>
  </si>
  <si>
    <t>BRU-43491-0000</t>
  </si>
  <si>
    <t>BRU-43492-0000</t>
  </si>
  <si>
    <t>BRU-43493-0000</t>
  </si>
  <si>
    <t>BRU-43494-0000</t>
  </si>
  <si>
    <t>BRU-43495-0000</t>
  </si>
  <si>
    <t>BRU-44000-0000</t>
  </si>
  <si>
    <t>BRU-46000-0000</t>
  </si>
  <si>
    <t>BRU-47300-0000</t>
  </si>
  <si>
    <t>BRU-47550-0000</t>
  </si>
  <si>
    <t>BRU-49500-9999</t>
  </si>
  <si>
    <t>BRU-51001-0000</t>
  </si>
  <si>
    <t>BRU-51002-0000</t>
  </si>
  <si>
    <t>BRU-51003-0000</t>
  </si>
  <si>
    <t>BRU-51004-0000</t>
  </si>
  <si>
    <t>BRU-51005-0000</t>
  </si>
  <si>
    <t>BRU-51007-0000</t>
  </si>
  <si>
    <t>BRU-51010-0000</t>
  </si>
  <si>
    <t>BRU-51014-0000</t>
  </si>
  <si>
    <t>BRU-51015-0000</t>
  </si>
  <si>
    <t>BRU-51018-0000</t>
  </si>
  <si>
    <t>BRU-51019-0000</t>
  </si>
  <si>
    <t>BRU-51021-0000</t>
  </si>
  <si>
    <t>BRU-51022-0000</t>
  </si>
  <si>
    <t>BRU-51023-0000</t>
  </si>
  <si>
    <t>BRU-51024-0000</t>
  </si>
  <si>
    <t>BRU-51025-0000</t>
  </si>
  <si>
    <t>BRU-51026-0000</t>
  </si>
  <si>
    <t>BRU-51027-0000</t>
  </si>
  <si>
    <t>BRU-51028-0000</t>
  </si>
  <si>
    <t>BRU-51029-0000</t>
  </si>
  <si>
    <t>BRU-51030-0000</t>
  </si>
  <si>
    <t>BRU-51350-0000</t>
  </si>
  <si>
    <t>BRU-52002-0000</t>
  </si>
  <si>
    <t>BRU-52005-0000</t>
  </si>
  <si>
    <t>BRU-52007-0000</t>
  </si>
  <si>
    <t>BRU-52008-0000</t>
  </si>
  <si>
    <t>BRU-53004-0000</t>
  </si>
  <si>
    <t>BRU-53007-0000</t>
  </si>
  <si>
    <t>BRU-53011-0000</t>
  </si>
  <si>
    <t>BRU-54001-0000</t>
  </si>
  <si>
    <t>BRU-54002-0000</t>
  </si>
  <si>
    <t>BRU-54005-0000</t>
  </si>
  <si>
    <t>BRU-54100-0000</t>
  </si>
  <si>
    <t>BRU-61001-0000</t>
  </si>
  <si>
    <t>BRU-61002-0000</t>
  </si>
  <si>
    <t>BRU-61003-0000</t>
  </si>
  <si>
    <t>BRU-61004-0000</t>
  </si>
  <si>
    <t>BRU-61005-0000</t>
  </si>
  <si>
    <t>BRU-61006-0000</t>
  </si>
  <si>
    <t>BRU-61007-0000</t>
  </si>
  <si>
    <t>BRU-61008-0000</t>
  </si>
  <si>
    <t>BRU-61009-0000</t>
  </si>
  <si>
    <t>BRU-61010-0000</t>
  </si>
  <si>
    <t>BRU-61011-0000</t>
  </si>
  <si>
    <t>BRU-61012-0000</t>
  </si>
  <si>
    <t>BRU-61013-0000</t>
  </si>
  <si>
    <t>BRU-61014-0000</t>
  </si>
  <si>
    <t>BRU-61015-0000</t>
  </si>
  <si>
    <t>BRU-61016-0000</t>
  </si>
  <si>
    <t>BRU-61017-0000</t>
  </si>
  <si>
    <t>BRU-61021-0000</t>
  </si>
  <si>
    <t>BRU-61022-0000</t>
  </si>
  <si>
    <t>BRU-61023-0000</t>
  </si>
  <si>
    <t>BRU-61024-0000</t>
  </si>
  <si>
    <t>BRU-61025-0000</t>
  </si>
  <si>
    <t>BRU-71010-0000</t>
  </si>
  <si>
    <t>BRU-71020-0000</t>
  </si>
  <si>
    <t>BRU-71030-0000</t>
  </si>
  <si>
    <t>BRU-71040-0000</t>
  </si>
  <si>
    <t>BRU-71050-0000</t>
  </si>
  <si>
    <t>BRU-71060-0000</t>
  </si>
  <si>
    <t>BRU-71070-0000</t>
  </si>
  <si>
    <t>BRU-71080-0000</t>
  </si>
  <si>
    <t>BRU-71090-0000</t>
  </si>
  <si>
    <t>BRU-71100-0000</t>
  </si>
  <si>
    <t>BRU-71110-0000</t>
  </si>
  <si>
    <t>BRU-73101-0000</t>
  </si>
  <si>
    <t>BRU-73103-0000</t>
  </si>
  <si>
    <t>BRU-73105-0000</t>
  </si>
  <si>
    <t>BRU-80006-0000</t>
  </si>
  <si>
    <t>BRU-80061-0000</t>
  </si>
  <si>
    <t>BRU-81019-0000</t>
  </si>
  <si>
    <t>BRU-81220-0000</t>
  </si>
  <si>
    <t>BRU-81228-0000</t>
  </si>
  <si>
    <t>BRU-81400-0000</t>
  </si>
  <si>
    <t>BRU-82900-0000</t>
  </si>
  <si>
    <t>BRU-85500-0000</t>
  </si>
  <si>
    <t>BRU-85700-0000</t>
  </si>
  <si>
    <t>CHA-10004-0000</t>
  </si>
  <si>
    <t>CHA-10005-0000</t>
  </si>
  <si>
    <t>CHA-10006-0000</t>
  </si>
  <si>
    <t>CHA-10009-0000</t>
  </si>
  <si>
    <t>CHA-10010-0000</t>
  </si>
  <si>
    <t>CHA-10011-0000</t>
  </si>
  <si>
    <t>CHA-10012-0000</t>
  </si>
  <si>
    <t>CHA-10023-0000</t>
  </si>
  <si>
    <t>CHA-10024-0000</t>
  </si>
  <si>
    <t>CHA-10027-0000</t>
  </si>
  <si>
    <t>CHA-10050-0000</t>
  </si>
  <si>
    <t>CHA-11200-0000</t>
  </si>
  <si>
    <t>CHA-11201-0000</t>
  </si>
  <si>
    <t>CHA-11202-0000</t>
  </si>
  <si>
    <t>CHA-11203-0000</t>
  </si>
  <si>
    <t>CHA-11204-0000</t>
  </si>
  <si>
    <t>CHA-11208-0000</t>
  </si>
  <si>
    <t>CHA-11210-0000</t>
  </si>
  <si>
    <t>CHA-11212-0000</t>
  </si>
  <si>
    <t>CHA-11214-0000</t>
  </si>
  <si>
    <t>CHA-11215-0000</t>
  </si>
  <si>
    <t>CHA-11232-0000</t>
  </si>
  <si>
    <t>CHA-11301-0000</t>
  </si>
  <si>
    <t>CHA-11302-0000</t>
  </si>
  <si>
    <t>CHA-11303-0000</t>
  </si>
  <si>
    <t>CHA-11304-0000</t>
  </si>
  <si>
    <t>CHA-11307-0000</t>
  </si>
  <si>
    <t>CHA-11308-0000</t>
  </si>
  <si>
    <t>CHA-11309-0000</t>
  </si>
  <si>
    <t>CHA-11310-0000</t>
  </si>
  <si>
    <t>CHA-11311-0000</t>
  </si>
  <si>
    <t>CHA-11312-0000</t>
  </si>
  <si>
    <t>CHA-11313-0000</t>
  </si>
  <si>
    <t>CHA-11314-0000</t>
  </si>
  <si>
    <t>CHA-11315-0000</t>
  </si>
  <si>
    <t>CHA-11316-0000</t>
  </si>
  <si>
    <t>CHA-11318-0000</t>
  </si>
  <si>
    <t>CHA-11319-0000</t>
  </si>
  <si>
    <t>CHA-11320-0000</t>
  </si>
  <si>
    <t>CHA-11322-0000</t>
  </si>
  <si>
    <t>CHA-11323-0000</t>
  </si>
  <si>
    <t>CHA-11324-0000</t>
  </si>
  <si>
    <t>CHA-11325-0000</t>
  </si>
  <si>
    <t>CHA-11326-0000</t>
  </si>
  <si>
    <t>CHA-11327-0000</t>
  </si>
  <si>
    <t>CHA-11328-0000</t>
  </si>
  <si>
    <t>CHA-11329-0000</t>
  </si>
  <si>
    <t>CHA-11330-0000</t>
  </si>
  <si>
    <t>CHA-11331-0000</t>
  </si>
  <si>
    <t>CHA-11332-0000</t>
  </si>
  <si>
    <t>CHA-11334-0000</t>
  </si>
  <si>
    <t>CHA-11335-0000</t>
  </si>
  <si>
    <t>CHA-11336-0000</t>
  </si>
  <si>
    <t>CHA-11337-0000</t>
  </si>
  <si>
    <t>CHA-11338-0000</t>
  </si>
  <si>
    <t>CHA-11339-0000</t>
  </si>
  <si>
    <t>CHA-11340-0000</t>
  </si>
  <si>
    <t>CHA-11341-0000</t>
  </si>
  <si>
    <t>CHA-11342-0000</t>
  </si>
  <si>
    <t>CHA-11344-0000</t>
  </si>
  <si>
    <t>CHA-11345-0000</t>
  </si>
  <si>
    <t>CHA-11346-0000</t>
  </si>
  <si>
    <t>CHA-11347-0000</t>
  </si>
  <si>
    <t>CHA-11348-0000</t>
  </si>
  <si>
    <t>CHA-11349-0000</t>
  </si>
  <si>
    <t>CHA-11350-0000</t>
  </si>
  <si>
    <t>CHA-11351-0000</t>
  </si>
  <si>
    <t>CHA-11352-0000</t>
  </si>
  <si>
    <t>CHA-11353-0000</t>
  </si>
  <si>
    <t>CHA-11354-0000</t>
  </si>
  <si>
    <t>CHA-11355-0000</t>
  </si>
  <si>
    <t>CHA-11356-0000</t>
  </si>
  <si>
    <t>CHA-11357-0000</t>
  </si>
  <si>
    <t>CHA-11358-0000</t>
  </si>
  <si>
    <t>CHA-11359-0000</t>
  </si>
  <si>
    <t>CHA-11361-0000</t>
  </si>
  <si>
    <t>CHA-11363-0000</t>
  </si>
  <si>
    <t>CHA-11364-0000</t>
  </si>
  <si>
    <t>CHA-11365-0000</t>
  </si>
  <si>
    <t>CHA-11366-0000</t>
  </si>
  <si>
    <t>CHA-11402-0000</t>
  </si>
  <si>
    <t>CHA-11403-0000</t>
  </si>
  <si>
    <t>CHA-12100-0000</t>
  </si>
  <si>
    <t>CHA-12105-0000</t>
  </si>
  <si>
    <t>CHA-12400-0000</t>
  </si>
  <si>
    <t>CHA-12401-0000</t>
  </si>
  <si>
    <t>CHA-12402-0000</t>
  </si>
  <si>
    <t>CHA-12403-0000</t>
  </si>
  <si>
    <t>CHA-12501-0000</t>
  </si>
  <si>
    <t>CHA-12510-0000</t>
  </si>
  <si>
    <t>CHA-13010-0000</t>
  </si>
  <si>
    <t>CHA-13050-0000</t>
  </si>
  <si>
    <t>CHA-13610-0000</t>
  </si>
  <si>
    <t>CHA-13620-0000</t>
  </si>
  <si>
    <t>CHA-13810-0000</t>
  </si>
  <si>
    <t>CHA-13811-0000</t>
  </si>
  <si>
    <t>CHA-13811-1000</t>
  </si>
  <si>
    <t>CHA-13812-0000</t>
  </si>
  <si>
    <t>CHA-13812-1000</t>
  </si>
  <si>
    <t>CHA-13813-0000</t>
  </si>
  <si>
    <t>CHA-13813-1000</t>
  </si>
  <si>
    <t>CHA-13820-0000</t>
  </si>
  <si>
    <t>CHA-13820-1000</t>
  </si>
  <si>
    <t>CHA-13821-0000</t>
  </si>
  <si>
    <t>CHA-13821-1000</t>
  </si>
  <si>
    <t>CHA-13822-0000</t>
  </si>
  <si>
    <t>CHA-13822-1000</t>
  </si>
  <si>
    <t>CHA-14100-0000</t>
  </si>
  <si>
    <t>CHA-15600-0000</t>
  </si>
  <si>
    <t>CHA-15700-0000</t>
  </si>
  <si>
    <t>CHA-15800-0000</t>
  </si>
  <si>
    <t>CHA-22000-0000</t>
  </si>
  <si>
    <t>CHA-22001-0000</t>
  </si>
  <si>
    <t>CHA-22003-0000</t>
  </si>
  <si>
    <t>CHA-22005-0000</t>
  </si>
  <si>
    <t>CHA-22310-0000</t>
  </si>
  <si>
    <t>CHA-22800-0000</t>
  </si>
  <si>
    <t>CHA-22801-0000</t>
  </si>
  <si>
    <t>CHA-22810-0000</t>
  </si>
  <si>
    <t>CHA-22900-0000</t>
  </si>
  <si>
    <t>CHA-22905-0000</t>
  </si>
  <si>
    <t>CHA-22906-0000</t>
  </si>
  <si>
    <t>CHA-23000-0000</t>
  </si>
  <si>
    <t>CHA-23100-0000</t>
  </si>
  <si>
    <t>CHA-23500-0000</t>
  </si>
  <si>
    <t>CHA-23501-0000</t>
  </si>
  <si>
    <t>CHA-23700-0000</t>
  </si>
  <si>
    <t>CHA-23800-0000</t>
  </si>
  <si>
    <t>CHA-24200-0000</t>
  </si>
  <si>
    <t>CHA-24300-0000</t>
  </si>
  <si>
    <t>CHA-24400-0000</t>
  </si>
  <si>
    <t>CHA-24500-0000</t>
  </si>
  <si>
    <t>CHA-24600-0000</t>
  </si>
  <si>
    <t>CHA-25005-0000</t>
  </si>
  <si>
    <t>CHA-25009-0000</t>
  </si>
  <si>
    <t>CHA-25600-0000</t>
  </si>
  <si>
    <t>CHA-25601-0000</t>
  </si>
  <si>
    <t>CHA-25602-0000</t>
  </si>
  <si>
    <t>CHA-25603-0000</t>
  </si>
  <si>
    <t>CHA-25604-0000</t>
  </si>
  <si>
    <t>CHA-28000-0000</t>
  </si>
  <si>
    <t>CHA-28001-0000</t>
  </si>
  <si>
    <t>CHA-28002-0000</t>
  </si>
  <si>
    <t>CHA-28004-0000</t>
  </si>
  <si>
    <t>CHA-28005-0000</t>
  </si>
  <si>
    <t>CHA-28006-0000</t>
  </si>
  <si>
    <t>CHA-28007-0000</t>
  </si>
  <si>
    <t>CHA-28008-0000</t>
  </si>
  <si>
    <t>CHA-28009-0000</t>
  </si>
  <si>
    <t>CHA-28010-0000</t>
  </si>
  <si>
    <t>CHA-28011-0000</t>
  </si>
  <si>
    <t>CHA-28012-0000</t>
  </si>
  <si>
    <t>CHA-28013-0000</t>
  </si>
  <si>
    <t>CHA-28014-0000</t>
  </si>
  <si>
    <t>CHA-28015-0000</t>
  </si>
  <si>
    <t>CHA-28016-0000</t>
  </si>
  <si>
    <t>CHA-28017-0000</t>
  </si>
  <si>
    <t>CHA-28018-0000</t>
  </si>
  <si>
    <t>CHA-28019-0000</t>
  </si>
  <si>
    <t>CHA-28020-0000</t>
  </si>
  <si>
    <t>CHA-28021-0000</t>
  </si>
  <si>
    <t>CHA-28022-0000</t>
  </si>
  <si>
    <t>CHA-28023-0000</t>
  </si>
  <si>
    <t>CHA-28024-0000</t>
  </si>
  <si>
    <t>CHA-30101-0000</t>
  </si>
  <si>
    <t>CHA-30501-0000</t>
  </si>
  <si>
    <t>CHA-31001-0000</t>
  </si>
  <si>
    <t>CHA-31002-0000</t>
  </si>
  <si>
    <t>CHA-31003-0000</t>
  </si>
  <si>
    <t>CHA-31005-0000</t>
  </si>
  <si>
    <t>CHA-31007-0000</t>
  </si>
  <si>
    <t>CHA-31008-0000</t>
  </si>
  <si>
    <t>CHA-31009-0000</t>
  </si>
  <si>
    <t>CHA-31010-0000</t>
  </si>
  <si>
    <t>CHA-31012-0000</t>
  </si>
  <si>
    <t>CHA-31015-0000</t>
  </si>
  <si>
    <t>CHA-31016-0000</t>
  </si>
  <si>
    <t>CHA-31018-0000</t>
  </si>
  <si>
    <t>CHA-31801-0000</t>
  </si>
  <si>
    <t>CHA-31802-0000</t>
  </si>
  <si>
    <t>CHA-31803-0000</t>
  </si>
  <si>
    <t>CHA-31804-0000</t>
  </si>
  <si>
    <t>CHA-31900-0000</t>
  </si>
  <si>
    <t>CHA-36000-0000</t>
  </si>
  <si>
    <t>CHA-36002-0000</t>
  </si>
  <si>
    <t>CHA-36003-0000</t>
  </si>
  <si>
    <t>CHA-36004-0000</t>
  </si>
  <si>
    <t>CHA-36005-0000</t>
  </si>
  <si>
    <t>CHA-36006-0000</t>
  </si>
  <si>
    <t>CHA-36008-0000</t>
  </si>
  <si>
    <t>CHA-36018-0000</t>
  </si>
  <si>
    <t>CHA-36801-0000</t>
  </si>
  <si>
    <t>CHA-36802-0000</t>
  </si>
  <si>
    <t>CHA-36803-0000</t>
  </si>
  <si>
    <t>CHA-36804-0000</t>
  </si>
  <si>
    <t>CHA-36900-0000</t>
  </si>
  <si>
    <t>CHA-36901-0000</t>
  </si>
  <si>
    <t>CHA-38100-0000</t>
  </si>
  <si>
    <t>CHA-38100-1000</t>
  </si>
  <si>
    <t>CHA-41112-0000</t>
  </si>
  <si>
    <t>CHA-41120-0000</t>
  </si>
  <si>
    <t>CHA-42110-0000</t>
  </si>
  <si>
    <t>CHA-42130-0000</t>
  </si>
  <si>
    <t>CHA-42140-0000</t>
  </si>
  <si>
    <t>CHA-42150-0000</t>
  </si>
  <si>
    <t>CHA-42160-0000</t>
  </si>
  <si>
    <t>CHA-42405-0000</t>
  </si>
  <si>
    <t>CHA-43120-0000</t>
  </si>
  <si>
    <t>CHA-43121-0000</t>
  </si>
  <si>
    <t>CHA-43200-0000</t>
  </si>
  <si>
    <t>CHA-43410-0000</t>
  </si>
  <si>
    <t>CHA-43420-0000</t>
  </si>
  <si>
    <t>CHA-43430-0000</t>
  </si>
  <si>
    <t>CHA-43440-0000</t>
  </si>
  <si>
    <t>CHA-43450-0000</t>
  </si>
  <si>
    <t>CHA-43480-0000</t>
  </si>
  <si>
    <t>CHA-43490-0000</t>
  </si>
  <si>
    <t>CHA-43491-0000</t>
  </si>
  <si>
    <t>CHA-43492-0000</t>
  </si>
  <si>
    <t>CHA-43493-0000</t>
  </si>
  <si>
    <t>CHA-43494-0000</t>
  </si>
  <si>
    <t>CHA-43495-0000</t>
  </si>
  <si>
    <t>CHA-44000-0000</t>
  </si>
  <si>
    <t>CHA-46000-0000</t>
  </si>
  <si>
    <t>CHA-47300-0000</t>
  </si>
  <si>
    <t>CHA-47550-0000</t>
  </si>
  <si>
    <t>CHA-49500-9999</t>
  </si>
  <si>
    <t>CHA-51003-0000</t>
  </si>
  <si>
    <t>CHA-51004-0000</t>
  </si>
  <si>
    <t>CHA-51010-0000</t>
  </si>
  <si>
    <t>CHA-51014-0000</t>
  </si>
  <si>
    <t>CHA-51019-0000</t>
  </si>
  <si>
    <t>CHA-51021-0000</t>
  </si>
  <si>
    <t>CHA-51022-0000</t>
  </si>
  <si>
    <t>CHA-51023-0000</t>
  </si>
  <si>
    <t>CHA-51024-0000</t>
  </si>
  <si>
    <t>CHA-51026-0000</t>
  </si>
  <si>
    <t>CHA-51027-0000</t>
  </si>
  <si>
    <t>CHA-51028-0000</t>
  </si>
  <si>
    <t>CHA-51029-0000</t>
  </si>
  <si>
    <t>CHA-51030-0000</t>
  </si>
  <si>
    <t>CHA-51350-0000</t>
  </si>
  <si>
    <t>CHA-52002-0000</t>
  </si>
  <si>
    <t>CHA-52005-0000</t>
  </si>
  <si>
    <t>CHA-52007-0000</t>
  </si>
  <si>
    <t>CHA-52008-0000</t>
  </si>
  <si>
    <t>CHA-53007-0000</t>
  </si>
  <si>
    <t>CHA-53011-0000</t>
  </si>
  <si>
    <t>CHA-54100-0000</t>
  </si>
  <si>
    <t>CHA-61001-0000</t>
  </si>
  <si>
    <t>CHA-61002-0000</t>
  </si>
  <si>
    <t>CHA-61003-0000</t>
  </si>
  <si>
    <t>CHA-61004-0000</t>
  </si>
  <si>
    <t>CHA-61005-0000</t>
  </si>
  <si>
    <t>CHA-61006-0000</t>
  </si>
  <si>
    <t>CHA-61007-0000</t>
  </si>
  <si>
    <t>CHA-61008-0000</t>
  </si>
  <si>
    <t>CHA-61009-0000</t>
  </si>
  <si>
    <t>CHA-61010-0000</t>
  </si>
  <si>
    <t>CHA-61011-0000</t>
  </si>
  <si>
    <t>CHA-61012-0000</t>
  </si>
  <si>
    <t>CHA-61013-0000</t>
  </si>
  <si>
    <t>CHA-61014-0000</t>
  </si>
  <si>
    <t>CHA-61015-0000</t>
  </si>
  <si>
    <t>CHA-61017-0000</t>
  </si>
  <si>
    <t>CHA-61021-0000</t>
  </si>
  <si>
    <t>CHA-61022-0000</t>
  </si>
  <si>
    <t>CHA-61023-0000</t>
  </si>
  <si>
    <t>CHA-61024-0000</t>
  </si>
  <si>
    <t>CHA-61025-0000</t>
  </si>
  <si>
    <t>CHA-71010-0000</t>
  </si>
  <si>
    <t>CHA-71020-0000</t>
  </si>
  <si>
    <t>CHA-71030-0000</t>
  </si>
  <si>
    <t>CHA-71040-0000</t>
  </si>
  <si>
    <t>CHA-71050-0000</t>
  </si>
  <si>
    <t>CHA-71060-0000</t>
  </si>
  <si>
    <t>CHA-71070-0000</t>
  </si>
  <si>
    <t>CHA-71080-0000</t>
  </si>
  <si>
    <t>CHA-71090-0000</t>
  </si>
  <si>
    <t>CHA-71100-0000</t>
  </si>
  <si>
    <t>CHA-71110-0000</t>
  </si>
  <si>
    <t>CHA-73101-0000</t>
  </si>
  <si>
    <t>CHA-73103-0000</t>
  </si>
  <si>
    <t>CHA-73105-0000</t>
  </si>
  <si>
    <t>CHA-80006-0000</t>
  </si>
  <si>
    <t>CHA-80061-0000</t>
  </si>
  <si>
    <t>CHA-81019-0000</t>
  </si>
  <si>
    <t>CHA-81220-0000</t>
  </si>
  <si>
    <t>CHA-81228-0000</t>
  </si>
  <si>
    <t>CHA-81400-0000</t>
  </si>
  <si>
    <t>CHA-82900-0000</t>
  </si>
  <si>
    <t>CHA-85500-0000</t>
  </si>
  <si>
    <t>CHA-85700-0000</t>
  </si>
  <si>
    <t>CPI-10003-0000</t>
  </si>
  <si>
    <t>CPI-10004-0000</t>
  </si>
  <si>
    <t>CPI-10005-0000</t>
  </si>
  <si>
    <t>CPI-10006-0000</t>
  </si>
  <si>
    <t>CPI-10009-0000</t>
  </si>
  <si>
    <t>CPI-10010-0000</t>
  </si>
  <si>
    <t>CPI-10011-0000</t>
  </si>
  <si>
    <t>CPI-10012-0000</t>
  </si>
  <si>
    <t>CPI-10023-0000</t>
  </si>
  <si>
    <t>CPI-10024-0000</t>
  </si>
  <si>
    <t>CPI-10027-0000</t>
  </si>
  <si>
    <t>CPI-10050-0000</t>
  </si>
  <si>
    <t>CPI-11200-0000</t>
  </si>
  <si>
    <t>CPI-11201-0000</t>
  </si>
  <si>
    <t>CPI-11202-0000</t>
  </si>
  <si>
    <t>CPI-11203-0000</t>
  </si>
  <si>
    <t>CPI-11204-0000</t>
  </si>
  <si>
    <t>CPI-11208-0000</t>
  </si>
  <si>
    <t>CPI-11210-0000</t>
  </si>
  <si>
    <t>CPI-11212-0000</t>
  </si>
  <si>
    <t>CPI-11214-0000</t>
  </si>
  <si>
    <t>CPI-11215-0000</t>
  </si>
  <si>
    <t>CPI-11232-0000</t>
  </si>
  <si>
    <t>CPI-11301-0000</t>
  </si>
  <si>
    <t>CPI-11302-0000</t>
  </si>
  <si>
    <t>CPI-11303-0000</t>
  </si>
  <si>
    <t>CPI-11304-0000</t>
  </si>
  <si>
    <t>CPI-11305-0000</t>
  </si>
  <si>
    <t>CPI-11307-0000</t>
  </si>
  <si>
    <t>CPI-11308-0000</t>
  </si>
  <si>
    <t>CPI-11309-0000</t>
  </si>
  <si>
    <t>CPI-11310-0000</t>
  </si>
  <si>
    <t>CPI-11311-0000</t>
  </si>
  <si>
    <t>CPI-11312-0000</t>
  </si>
  <si>
    <t>CPI-11313-0000</t>
  </si>
  <si>
    <t>CPI-11314-0000</t>
  </si>
  <si>
    <t>CPI-11315-0000</t>
  </si>
  <si>
    <t>CPI-11316-0000</t>
  </si>
  <si>
    <t>CPI-11317-0000</t>
  </si>
  <si>
    <t>CPI-11318-0000</t>
  </si>
  <si>
    <t>CPI-11319-0000</t>
  </si>
  <si>
    <t>CPI-11320-0000</t>
  </si>
  <si>
    <t>CPI-11321-0000</t>
  </si>
  <si>
    <t>CPI-11322-0000</t>
  </si>
  <si>
    <t>CPI-11323-0000</t>
  </si>
  <si>
    <t>CPI-11324-0000</t>
  </si>
  <si>
    <t>CPI-11325-0000</t>
  </si>
  <si>
    <t>CPI-11326-0000</t>
  </si>
  <si>
    <t>CPI-11327-0000</t>
  </si>
  <si>
    <t>CPI-11328-0000</t>
  </si>
  <si>
    <t>CPI-11329-0000</t>
  </si>
  <si>
    <t>CPI-11330-0000</t>
  </si>
  <si>
    <t>CPI-11331-0000</t>
  </si>
  <si>
    <t>CPI-11332-0000</t>
  </si>
  <si>
    <t>CPI-11333-0000</t>
  </si>
  <si>
    <t>CPI-11334-0000</t>
  </si>
  <si>
    <t>CPI-11335-0000</t>
  </si>
  <si>
    <t>CPI-11336-0000</t>
  </si>
  <si>
    <t>CPI-11337-0000</t>
  </si>
  <si>
    <t>CPI-11338-0000</t>
  </si>
  <si>
    <t>CPI-11339-0000</t>
  </si>
  <si>
    <t>CPI-11340-0000</t>
  </si>
  <si>
    <t>CPI-11341-0000</t>
  </si>
  <si>
    <t>CPI-11342-0000</t>
  </si>
  <si>
    <t>CPI-11343-0000</t>
  </si>
  <si>
    <t>CPI-11344-0000</t>
  </si>
  <si>
    <t>CPI-11345-0000</t>
  </si>
  <si>
    <t>CPI-11346-0000</t>
  </si>
  <si>
    <t>CPI-11347-0000</t>
  </si>
  <si>
    <t>CPI-11348-0000</t>
  </si>
  <si>
    <t>CPI-11349-0000</t>
  </si>
  <si>
    <t>CPI-11350-0000</t>
  </si>
  <si>
    <t>CPI-11351-0000</t>
  </si>
  <si>
    <t>CPI-11352-0000</t>
  </si>
  <si>
    <t>CPI-11353-0000</t>
  </si>
  <si>
    <t>CPI-11354-0000</t>
  </si>
  <si>
    <t>CPI-11355-0000</t>
  </si>
  <si>
    <t>CPI-11356-0000</t>
  </si>
  <si>
    <t>CPI-11357-0000</t>
  </si>
  <si>
    <t>CPI-11358-0000</t>
  </si>
  <si>
    <t>CPI-11359-0000</t>
  </si>
  <si>
    <t>CPI-11361-0000</t>
  </si>
  <si>
    <t>CPI-11363-0000</t>
  </si>
  <si>
    <t>CPI-11364-0000</t>
  </si>
  <si>
    <t>CPI-11365-0000</t>
  </si>
  <si>
    <t>CPI-11366-0000</t>
  </si>
  <si>
    <t>CPI-11402-0000</t>
  </si>
  <si>
    <t>CPI-11403-0000</t>
  </si>
  <si>
    <t>CPI-12100-0000</t>
  </si>
  <si>
    <t>CPI-12105-0000</t>
  </si>
  <si>
    <t>CPI-12400-0000</t>
  </si>
  <si>
    <t>CPI-12401-0000</t>
  </si>
  <si>
    <t>CPI-12402-0000</t>
  </si>
  <si>
    <t>CPI-12403-0000</t>
  </si>
  <si>
    <t>CPI-12501-0000</t>
  </si>
  <si>
    <t>CPI-12510-0000</t>
  </si>
  <si>
    <t>CPI-13010-0000</t>
  </si>
  <si>
    <t>CPI-13050-0000</t>
  </si>
  <si>
    <t>CPI-13610-0000</t>
  </si>
  <si>
    <t>CPI-13620-0000</t>
  </si>
  <si>
    <t>CPI-13810-0000</t>
  </si>
  <si>
    <t>CPI-13811-0000</t>
  </si>
  <si>
    <t>CPI-13811-1000</t>
  </si>
  <si>
    <t>CPI-13812-0000</t>
  </si>
  <si>
    <t>CPI-13812-1000</t>
  </si>
  <si>
    <t>CPI-13813-0000</t>
  </si>
  <si>
    <t>CPI-13813-1000</t>
  </si>
  <si>
    <t>CPI-13820-0000</t>
  </si>
  <si>
    <t>CPI-13820-1000</t>
  </si>
  <si>
    <t>CPI-13821-0000</t>
  </si>
  <si>
    <t>CPI-13821-1000</t>
  </si>
  <si>
    <t>CPI-13822-0000</t>
  </si>
  <si>
    <t>CPI-13822-1000</t>
  </si>
  <si>
    <t>CPI-14100-0000</t>
  </si>
  <si>
    <t>CPI-15700-0000</t>
  </si>
  <si>
    <t>CPI-15800-0000</t>
  </si>
  <si>
    <t>CPI-22000-0000</t>
  </si>
  <si>
    <t>CPI-22001-0000</t>
  </si>
  <si>
    <t>CPI-22003-0000</t>
  </si>
  <si>
    <t>CPI-22005-0000</t>
  </si>
  <si>
    <t>CPI-22310-0000</t>
  </si>
  <si>
    <t>CPI-22800-0000</t>
  </si>
  <si>
    <t>CPI-22801-0000</t>
  </si>
  <si>
    <t>CPI-22810-0000</t>
  </si>
  <si>
    <t>CPI-22900-0000</t>
  </si>
  <si>
    <t>CPI-22905-0000</t>
  </si>
  <si>
    <t>CPI-22906-0000</t>
  </si>
  <si>
    <t>CPI-23000-0000</t>
  </si>
  <si>
    <t>CPI-23100-0000</t>
  </si>
  <si>
    <t>CPI-23500-0000</t>
  </si>
  <si>
    <t>CPI-23501-0000</t>
  </si>
  <si>
    <t>CPI-23700-0000</t>
  </si>
  <si>
    <t>CPI-23800-0000</t>
  </si>
  <si>
    <t>CPI-24200-0000</t>
  </si>
  <si>
    <t>CPI-24300-0000</t>
  </si>
  <si>
    <t>CPI-24400-0000</t>
  </si>
  <si>
    <t>CPI-24500-0000</t>
  </si>
  <si>
    <t>CPI-24600-0000</t>
  </si>
  <si>
    <t>CPI-25005-0000</t>
  </si>
  <si>
    <t>CPI-25009-0000</t>
  </si>
  <si>
    <t>CPI-25600-0000</t>
  </si>
  <si>
    <t>CPI-25601-0000</t>
  </si>
  <si>
    <t>CPI-25602-0000</t>
  </si>
  <si>
    <t>CPI-25603-0000</t>
  </si>
  <si>
    <t>CPI-25604-0000</t>
  </si>
  <si>
    <t>CPI-28000-0000</t>
  </si>
  <si>
    <t>CPI-28002-0000</t>
  </si>
  <si>
    <t>CPI-28003-0000</t>
  </si>
  <si>
    <t>CPI-28004-0000</t>
  </si>
  <si>
    <t>CPI-28005-0000</t>
  </si>
  <si>
    <t>CPI-28006-0000</t>
  </si>
  <si>
    <t>CPI-28007-0000</t>
  </si>
  <si>
    <t>CPI-28008-0000</t>
  </si>
  <si>
    <t>CPI-28009-0000</t>
  </si>
  <si>
    <t>CPI-28010-0000</t>
  </si>
  <si>
    <t>CPI-28011-0000</t>
  </si>
  <si>
    <t>CPI-28012-0000</t>
  </si>
  <si>
    <t>CPI-28013-0000</t>
  </si>
  <si>
    <t>CPI-28014-0000</t>
  </si>
  <si>
    <t>CPI-28015-0000</t>
  </si>
  <si>
    <t>CPI-28016-0000</t>
  </si>
  <si>
    <t>CPI-28017-0000</t>
  </si>
  <si>
    <t>CPI-28018-0000</t>
  </si>
  <si>
    <t>CPI-28019-0000</t>
  </si>
  <si>
    <t>CPI-28020-0000</t>
  </si>
  <si>
    <t>CPI-28021-0000</t>
  </si>
  <si>
    <t>CPI-28022-0000</t>
  </si>
  <si>
    <t>CPI-28023-0000</t>
  </si>
  <si>
    <t>CPI-28024-0000</t>
  </si>
  <si>
    <t>CPI-30101-0000</t>
  </si>
  <si>
    <t>CPI-30501-0000</t>
  </si>
  <si>
    <t>CPI-31001-0000</t>
  </si>
  <si>
    <t>CPI-31002-0000</t>
  </si>
  <si>
    <t>CPI-31003-0000</t>
  </si>
  <si>
    <t>CPI-31005-0000</t>
  </si>
  <si>
    <t>CPI-31007-0000</t>
  </si>
  <si>
    <t>CPI-31008-0000</t>
  </si>
  <si>
    <t>CPI-31009-0000</t>
  </si>
  <si>
    <t>CPI-31010-0000</t>
  </si>
  <si>
    <t>CPI-31012-0000</t>
  </si>
  <si>
    <t>CPI-31015-0000</t>
  </si>
  <si>
    <t>CPI-31016-0000</t>
  </si>
  <si>
    <t>CPI-31018-0000</t>
  </si>
  <si>
    <t>CPI-31801-0000</t>
  </si>
  <si>
    <t>CPI-31802-0000</t>
  </si>
  <si>
    <t>CPI-31803-0000</t>
  </si>
  <si>
    <t>CPI-31804-0000</t>
  </si>
  <si>
    <t>CPI-31900-0000</t>
  </si>
  <si>
    <t>CPI-36000-0000</t>
  </si>
  <si>
    <t>CPI-36002-0000</t>
  </si>
  <si>
    <t>CPI-36003-0000</t>
  </si>
  <si>
    <t>CPI-36004-0000</t>
  </si>
  <si>
    <t>CPI-36005-0000</t>
  </si>
  <si>
    <t>CPI-36006-0000</t>
  </si>
  <si>
    <t>CPI-36008-0000</t>
  </si>
  <si>
    <t>CPI-36018-0000</t>
  </si>
  <si>
    <t>CPI-36801-0000</t>
  </si>
  <si>
    <t>CPI-36802-0000</t>
  </si>
  <si>
    <t>CPI-36803-0000</t>
  </si>
  <si>
    <t>CPI-36804-0000</t>
  </si>
  <si>
    <t>CPI-36900-0000</t>
  </si>
  <si>
    <t>CPI-36901-0000</t>
  </si>
  <si>
    <t>CPI-38100-0000</t>
  </si>
  <si>
    <t>CPI-38100-1000</t>
  </si>
  <si>
    <t>CPI-41112-0000</t>
  </si>
  <si>
    <t>CPI-41120-0000</t>
  </si>
  <si>
    <t>CPI-42110-0000</t>
  </si>
  <si>
    <t>CPI-42130-0000</t>
  </si>
  <si>
    <t>CPI-42140-0000</t>
  </si>
  <si>
    <t>CPI-42150-0000</t>
  </si>
  <si>
    <t>CPI-42160-0000</t>
  </si>
  <si>
    <t>CPI-42405-0000</t>
  </si>
  <si>
    <t>CPI-43120-0000</t>
  </si>
  <si>
    <t>CPI-43121-0000</t>
  </si>
  <si>
    <t>CPI-43200-0000</t>
  </si>
  <si>
    <t>CPI-43410-0000</t>
  </si>
  <si>
    <t>CPI-43420-0000</t>
  </si>
  <si>
    <t>CPI-43430-0000</t>
  </si>
  <si>
    <t>CPI-43440-0000</t>
  </si>
  <si>
    <t>CPI-43450-0000</t>
  </si>
  <si>
    <t>CPI-43480-0000</t>
  </si>
  <si>
    <t>CPI-43490-0000</t>
  </si>
  <si>
    <t>CPI-43491-0000</t>
  </si>
  <si>
    <t>CPI-43492-0000</t>
  </si>
  <si>
    <t>CPI-43493-0000</t>
  </si>
  <si>
    <t>CPI-43494-0000</t>
  </si>
  <si>
    <t>CPI-43495-0000</t>
  </si>
  <si>
    <t>CPI-44000-0000</t>
  </si>
  <si>
    <t>CPI-46000-0000</t>
  </si>
  <si>
    <t>CPI-47300-0000</t>
  </si>
  <si>
    <t>CPI-47550-0000</t>
  </si>
  <si>
    <t>CPI-49500-9999</t>
  </si>
  <si>
    <t>CPI-51001-0000</t>
  </si>
  <si>
    <t>CPI-51002-0000</t>
  </si>
  <si>
    <t>CPI-51003-0000</t>
  </si>
  <si>
    <t>CPI-51004-0000</t>
  </si>
  <si>
    <t>CPI-51010-0000</t>
  </si>
  <si>
    <t>CPI-51014-0000</t>
  </si>
  <si>
    <t>CPI-51018-0000</t>
  </si>
  <si>
    <t>CPI-51019-0000</t>
  </si>
  <si>
    <t>CPI-51021-0000</t>
  </si>
  <si>
    <t>CPI-51022-0000</t>
  </si>
  <si>
    <t>CPI-51023-0000</t>
  </si>
  <si>
    <t>CPI-51024-0000</t>
  </si>
  <si>
    <t>CPI-51026-0000</t>
  </si>
  <si>
    <t>CPI-51027-0000</t>
  </si>
  <si>
    <t>CPI-51028-0000</t>
  </si>
  <si>
    <t>CPI-51029-0000</t>
  </si>
  <si>
    <t>CPI-51030-0000</t>
  </si>
  <si>
    <t>CPI-51350-0000</t>
  </si>
  <si>
    <t>CPI-52001-0000</t>
  </si>
  <si>
    <t>CPI-52002-0000</t>
  </si>
  <si>
    <t>CPI-52003-0000</t>
  </si>
  <si>
    <t>CPI-52005-0000</t>
  </si>
  <si>
    <t>CPI-52007-0000</t>
  </si>
  <si>
    <t>CPI-52008-0000</t>
  </si>
  <si>
    <t>CPI-53007-0000</t>
  </si>
  <si>
    <t>CPI-53011-0000</t>
  </si>
  <si>
    <t>CPI-54001-0000</t>
  </si>
  <si>
    <t>CPI-54100-0000</t>
  </si>
  <si>
    <t>CPI-61001-0000</t>
  </si>
  <si>
    <t>CPI-61002-0000</t>
  </si>
  <si>
    <t>CPI-61003-0000</t>
  </si>
  <si>
    <t>CPI-61004-0000</t>
  </si>
  <si>
    <t>CPI-61005-0000</t>
  </si>
  <si>
    <t>CPI-61006-0000</t>
  </si>
  <si>
    <t>CPI-61007-0000</t>
  </si>
  <si>
    <t>CPI-61008-0000</t>
  </si>
  <si>
    <t>CPI-61009-0000</t>
  </si>
  <si>
    <t>CPI-61010-0000</t>
  </si>
  <si>
    <t>CPI-61011-0000</t>
  </si>
  <si>
    <t>CPI-61012-0000</t>
  </si>
  <si>
    <t>CPI-61013-0000</t>
  </si>
  <si>
    <t>CPI-61014-0000</t>
  </si>
  <si>
    <t>CPI-61015-0000</t>
  </si>
  <si>
    <t>CPI-61016-0000</t>
  </si>
  <si>
    <t>CPI-61017-0000</t>
  </si>
  <si>
    <t>CPI-61021-0000</t>
  </si>
  <si>
    <t>CPI-61022-0000</t>
  </si>
  <si>
    <t>CPI-61023-0000</t>
  </si>
  <si>
    <t>CPI-61024-0000</t>
  </si>
  <si>
    <t>CPI-61025-0000</t>
  </si>
  <si>
    <t>CPI-71010-0000</t>
  </si>
  <si>
    <t>CPI-71020-0000</t>
  </si>
  <si>
    <t>CPI-71030-0000</t>
  </si>
  <si>
    <t>CPI-71040-0000</t>
  </si>
  <si>
    <t>CPI-71050-0000</t>
  </si>
  <si>
    <t>CPI-71060-0000</t>
  </si>
  <si>
    <t>CPI-71070-0000</t>
  </si>
  <si>
    <t>CPI-71080-0000</t>
  </si>
  <si>
    <t>CPI-71090-0000</t>
  </si>
  <si>
    <t>CPI-71100-0000</t>
  </si>
  <si>
    <t>CPI-71110-0000</t>
  </si>
  <si>
    <t>CPI-73101-0000</t>
  </si>
  <si>
    <t>CPI-73103-0000</t>
  </si>
  <si>
    <t>CPI-73105-0000</t>
  </si>
  <si>
    <t>CPI-80006-0000</t>
  </si>
  <si>
    <t>CPI-80061-0000</t>
  </si>
  <si>
    <t>CPI-81019-0000</t>
  </si>
  <si>
    <t>CPI-81220-0000</t>
  </si>
  <si>
    <t>CPI-81228-0000</t>
  </si>
  <si>
    <t>CPI-81400-0000</t>
  </si>
  <si>
    <t>CPI-82900-0000</t>
  </si>
  <si>
    <t>CPI-85500-0000</t>
  </si>
  <si>
    <t>CPI-85700-0000</t>
  </si>
  <si>
    <t>CRE-10004-0000</t>
  </si>
  <si>
    <t>CRE-10005-0000</t>
  </si>
  <si>
    <t>CRE-10006-0000</t>
  </si>
  <si>
    <t>CRE-10009-0000</t>
  </si>
  <si>
    <t>CRE-10010-0000</t>
  </si>
  <si>
    <t>CRE-10011-0000</t>
  </si>
  <si>
    <t>CRE-10012-0000</t>
  </si>
  <si>
    <t>CRE-10023-0000</t>
  </si>
  <si>
    <t>CRE-10024-0000</t>
  </si>
  <si>
    <t>CRE-10027-0000</t>
  </si>
  <si>
    <t>CRE-10050-0000</t>
  </si>
  <si>
    <t>CRE-11200-0000</t>
  </si>
  <si>
    <t>CRE-11201-0000</t>
  </si>
  <si>
    <t>CRE-11202-0000</t>
  </si>
  <si>
    <t>CRE-11203-0000</t>
  </si>
  <si>
    <t>CRE-11204-0000</t>
  </si>
  <si>
    <t>CRE-11208-0000</t>
  </si>
  <si>
    <t>CRE-11210-0000</t>
  </si>
  <si>
    <t>CRE-11212-0000</t>
  </si>
  <si>
    <t>CRE-11214-0000</t>
  </si>
  <si>
    <t>CRE-11215-0000</t>
  </si>
  <si>
    <t>CRE-11232-0000</t>
  </si>
  <si>
    <t>CRE-11301-0000</t>
  </si>
  <si>
    <t>CRE-11302-0000</t>
  </si>
  <si>
    <t>CRE-11303-0000</t>
  </si>
  <si>
    <t>CRE-11304-0000</t>
  </si>
  <si>
    <t>CRE-11305-0000</t>
  </si>
  <si>
    <t>CRE-11307-0000</t>
  </si>
  <si>
    <t>CRE-11308-0000</t>
  </si>
  <si>
    <t>CRE-11310-0000</t>
  </si>
  <si>
    <t>CRE-11311-0000</t>
  </si>
  <si>
    <t>CRE-11312-0000</t>
  </si>
  <si>
    <t>CRE-11314-0000</t>
  </si>
  <si>
    <t>CRE-11315-0000</t>
  </si>
  <si>
    <t>CRE-11318-0000</t>
  </si>
  <si>
    <t>CRE-11319-0000</t>
  </si>
  <si>
    <t>CRE-11320-0000</t>
  </si>
  <si>
    <t>CRE-11321-0000</t>
  </si>
  <si>
    <t>CRE-11322-0000</t>
  </si>
  <si>
    <t>CRE-11323-0000</t>
  </si>
  <si>
    <t>CRE-11324-0000</t>
  </si>
  <si>
    <t>CRE-11325-0000</t>
  </si>
  <si>
    <t>CRE-11326-0000</t>
  </si>
  <si>
    <t>CRE-11327-0000</t>
  </si>
  <si>
    <t>CRE-11328-0000</t>
  </si>
  <si>
    <t>CRE-11329-0000</t>
  </si>
  <si>
    <t>CRE-11330-0000</t>
  </si>
  <si>
    <t>CRE-11332-0000</t>
  </si>
  <si>
    <t>CRE-11334-0000</t>
  </si>
  <si>
    <t>CRE-11335-0000</t>
  </si>
  <si>
    <t>CRE-11336-0000</t>
  </si>
  <si>
    <t>CRE-11337-0000</t>
  </si>
  <si>
    <t>CRE-11338-0000</t>
  </si>
  <si>
    <t>CRE-11339-0000</t>
  </si>
  <si>
    <t>CRE-11340-0000</t>
  </si>
  <si>
    <t>CRE-11341-0000</t>
  </si>
  <si>
    <t>CRE-11342-0000</t>
  </si>
  <si>
    <t>CRE-11344-0000</t>
  </si>
  <si>
    <t>CRE-11345-0000</t>
  </si>
  <si>
    <t>CRE-11346-0000</t>
  </si>
  <si>
    <t>CRE-11347-0000</t>
  </si>
  <si>
    <t>CRE-11348-0000</t>
  </si>
  <si>
    <t>CRE-11349-0000</t>
  </si>
  <si>
    <t>CRE-11350-0000</t>
  </si>
  <si>
    <t>CRE-11351-0000</t>
  </si>
  <si>
    <t>CRE-11352-0000</t>
  </si>
  <si>
    <t>CRE-11353-0000</t>
  </si>
  <si>
    <t>CRE-11354-0000</t>
  </si>
  <si>
    <t>CRE-11355-0000</t>
  </si>
  <si>
    <t>CRE-11356-0000</t>
  </si>
  <si>
    <t>CRE-11357-0000</t>
  </si>
  <si>
    <t>CRE-11358-0000</t>
  </si>
  <si>
    <t>CRE-11359-0000</t>
  </si>
  <si>
    <t>CRE-11361-0000</t>
  </si>
  <si>
    <t>CRE-11363-0000</t>
  </si>
  <si>
    <t>CRE-11364-0000</t>
  </si>
  <si>
    <t>CRE-11365-0000</t>
  </si>
  <si>
    <t>CRE-11366-0000</t>
  </si>
  <si>
    <t>CRE-11403-0000</t>
  </si>
  <si>
    <t>CRE-12100-0000</t>
  </si>
  <si>
    <t>CRE-12105-0000</t>
  </si>
  <si>
    <t>CRE-12400-0000</t>
  </si>
  <si>
    <t>CRE-12401-0000</t>
  </si>
  <si>
    <t>CRE-12402-0000</t>
  </si>
  <si>
    <t>CRE-12403-0000</t>
  </si>
  <si>
    <t>CRE-12501-0000</t>
  </si>
  <si>
    <t>CRE-12510-0000</t>
  </si>
  <si>
    <t>CRE-13010-0000</t>
  </si>
  <si>
    <t>CRE-13050-0000</t>
  </si>
  <si>
    <t>CRE-13610-0000</t>
  </si>
  <si>
    <t>CRE-13620-0000</t>
  </si>
  <si>
    <t>CRE-13810-0000</t>
  </si>
  <si>
    <t>CRE-13811-0000</t>
  </si>
  <si>
    <t>CRE-13811-1000</t>
  </si>
  <si>
    <t>CRE-13812-0000</t>
  </si>
  <si>
    <t>CRE-13812-1000</t>
  </si>
  <si>
    <t>CRE-13813-0000</t>
  </si>
  <si>
    <t>CRE-13813-1000</t>
  </si>
  <si>
    <t>CRE-13820-0000</t>
  </si>
  <si>
    <t>CRE-13820-1000</t>
  </si>
  <si>
    <t>CRE-13821-0000</t>
  </si>
  <si>
    <t>CRE-13821-1000</t>
  </si>
  <si>
    <t>CRE-13822-0000</t>
  </si>
  <si>
    <t>CRE-13822-1000</t>
  </si>
  <si>
    <t>CRE-14100-0000</t>
  </si>
  <si>
    <t>CRE-15600-0000</t>
  </si>
  <si>
    <t>CRE-15700-0000</t>
  </si>
  <si>
    <t>CRE-15800-0000</t>
  </si>
  <si>
    <t>CRE-16000-0000</t>
  </si>
  <si>
    <t>CRE-22000-0000</t>
  </si>
  <si>
    <t>CRE-22001-0000</t>
  </si>
  <si>
    <t>CRE-22003-0000</t>
  </si>
  <si>
    <t>CRE-22005-0000</t>
  </si>
  <si>
    <t>CRE-22310-0000</t>
  </si>
  <si>
    <t>CRE-22800-0000</t>
  </si>
  <si>
    <t>CRE-22801-0000</t>
  </si>
  <si>
    <t>CRE-22810-0000</t>
  </si>
  <si>
    <t>CRE-22900-0000</t>
  </si>
  <si>
    <t>CRE-22905-0000</t>
  </si>
  <si>
    <t>CRE-22906-0000</t>
  </si>
  <si>
    <t>CRE-23000-0000</t>
  </si>
  <si>
    <t>CRE-23100-0000</t>
  </si>
  <si>
    <t>CRE-23500-0000</t>
  </si>
  <si>
    <t>CRE-23501-0000</t>
  </si>
  <si>
    <t>CRE-23700-0000</t>
  </si>
  <si>
    <t>CRE-23800-0000</t>
  </si>
  <si>
    <t>CRE-24200-0000</t>
  </si>
  <si>
    <t>CRE-24300-0000</t>
  </si>
  <si>
    <t>CRE-24400-0000</t>
  </si>
  <si>
    <t>CRE-24500-0000</t>
  </si>
  <si>
    <t>CRE-24600-0000</t>
  </si>
  <si>
    <t>CRE-25005-0000</t>
  </si>
  <si>
    <t>CRE-25009-0000</t>
  </si>
  <si>
    <t>CRE-25600-0000</t>
  </si>
  <si>
    <t>CRE-25601-0000</t>
  </si>
  <si>
    <t>CRE-25602-0000</t>
  </si>
  <si>
    <t>CRE-25603-0000</t>
  </si>
  <si>
    <t>CRE-25604-0000</t>
  </si>
  <si>
    <t>CRE-28000-0000</t>
  </si>
  <si>
    <t>CRE-28001-0000</t>
  </si>
  <si>
    <t>CRE-28002-0000</t>
  </si>
  <si>
    <t>CRE-28004-0000</t>
  </si>
  <si>
    <t>CRE-28005-0000</t>
  </si>
  <si>
    <t>CRE-28006-0000</t>
  </si>
  <si>
    <t>CRE-28007-0000</t>
  </si>
  <si>
    <t>CRE-28008-0000</t>
  </si>
  <si>
    <t>CRE-28009-0000</t>
  </si>
  <si>
    <t>CRE-28010-0000</t>
  </si>
  <si>
    <t>CRE-28011-0000</t>
  </si>
  <si>
    <t>CRE-28012-0000</t>
  </si>
  <si>
    <t>CRE-28013-0000</t>
  </si>
  <si>
    <t>CRE-28014-0000</t>
  </si>
  <si>
    <t>CRE-28015-0000</t>
  </si>
  <si>
    <t>CRE-28016-0000</t>
  </si>
  <si>
    <t>CRE-28017-0000</t>
  </si>
  <si>
    <t>CRE-28018-0000</t>
  </si>
  <si>
    <t>CRE-28019-0000</t>
  </si>
  <si>
    <t>CRE-28020-0000</t>
  </si>
  <si>
    <t>CRE-28021-0000</t>
  </si>
  <si>
    <t>CRE-28022-0000</t>
  </si>
  <si>
    <t>CRE-28023-0000</t>
  </si>
  <si>
    <t>CRE-28024-0000</t>
  </si>
  <si>
    <t>CRE-30101-0000</t>
  </si>
  <si>
    <t>CRE-30501-0000</t>
  </si>
  <si>
    <t>CRE-31001-0000</t>
  </si>
  <si>
    <t>CRE-31002-0000</t>
  </si>
  <si>
    <t>CRE-31003-0000</t>
  </si>
  <si>
    <t>CRE-31005-0000</t>
  </si>
  <si>
    <t>CRE-31007-0000</t>
  </si>
  <si>
    <t>CRE-31008-0000</t>
  </si>
  <si>
    <t>CRE-31009-0000</t>
  </si>
  <si>
    <t>CRE-31010-0000</t>
  </si>
  <si>
    <t>CRE-31012-0000</t>
  </si>
  <si>
    <t>CRE-31015-0000</t>
  </si>
  <si>
    <t>CRE-31016-0000</t>
  </si>
  <si>
    <t>CRE-31018-0000</t>
  </si>
  <si>
    <t>CRE-31801-0000</t>
  </si>
  <si>
    <t>CRE-31802-0000</t>
  </si>
  <si>
    <t>CRE-31803-0000</t>
  </si>
  <si>
    <t>CRE-31804-0000</t>
  </si>
  <si>
    <t>CRE-31900-0000</t>
  </si>
  <si>
    <t>CRE-36000-0000</t>
  </si>
  <si>
    <t>CRE-36002-0000</t>
  </si>
  <si>
    <t>CRE-36003-0000</t>
  </si>
  <si>
    <t>CRE-36004-0000</t>
  </si>
  <si>
    <t>CRE-36005-0000</t>
  </si>
  <si>
    <t>CRE-36006-0000</t>
  </si>
  <si>
    <t>CRE-36008-0000</t>
  </si>
  <si>
    <t>CRE-36018-0000</t>
  </si>
  <si>
    <t>CRE-36801-0000</t>
  </si>
  <si>
    <t>CRE-36802-0000</t>
  </si>
  <si>
    <t>CRE-36803-0000</t>
  </si>
  <si>
    <t>CRE-36804-0000</t>
  </si>
  <si>
    <t>CRE-36900-0000</t>
  </si>
  <si>
    <t>CRE-36901-0000</t>
  </si>
  <si>
    <t>CRE-38100-0000</t>
  </si>
  <si>
    <t>CRE-38100-1000</t>
  </si>
  <si>
    <t>CRE-41112-0000</t>
  </si>
  <si>
    <t>CRE-41120-0000</t>
  </si>
  <si>
    <t>CRE-42110-0000</t>
  </si>
  <si>
    <t>CRE-42130-0000</t>
  </si>
  <si>
    <t>CRE-42140-0000</t>
  </si>
  <si>
    <t>CRE-42150-0000</t>
  </si>
  <si>
    <t>CRE-42160-0000</t>
  </si>
  <si>
    <t>CRE-42405-0000</t>
  </si>
  <si>
    <t>CRE-43120-0000</t>
  </si>
  <si>
    <t>CRE-43121-0000</t>
  </si>
  <si>
    <t>CRE-43200-0000</t>
  </si>
  <si>
    <t>CRE-43410-0000</t>
  </si>
  <si>
    <t>CRE-43420-0000</t>
  </si>
  <si>
    <t>CRE-43430-0000</t>
  </si>
  <si>
    <t>CRE-43440-0000</t>
  </si>
  <si>
    <t>CRE-43450-0000</t>
  </si>
  <si>
    <t>CRE-43480-0000</t>
  </si>
  <si>
    <t>CRE-43490-0000</t>
  </si>
  <si>
    <t>CRE-43491-0000</t>
  </si>
  <si>
    <t>CRE-43492-0000</t>
  </si>
  <si>
    <t>CRE-43493-0000</t>
  </si>
  <si>
    <t>CRE-43494-0000</t>
  </si>
  <si>
    <t>CRE-43495-0000</t>
  </si>
  <si>
    <t>CRE-44000-0000</t>
  </si>
  <si>
    <t>CRE-46000-0000</t>
  </si>
  <si>
    <t>CRE-47300-0000</t>
  </si>
  <si>
    <t>CRE-47550-0000</t>
  </si>
  <si>
    <t>CRE-49500-9999</t>
  </si>
  <si>
    <t>CRE-51002-0000</t>
  </si>
  <si>
    <t>CRE-51003-0000</t>
  </si>
  <si>
    <t>CRE-51004-0000</t>
  </si>
  <si>
    <t>CRE-51005-0000</t>
  </si>
  <si>
    <t>CRE-51010-0000</t>
  </si>
  <si>
    <t>CRE-51014-0000</t>
  </si>
  <si>
    <t>CRE-51018-0000</t>
  </si>
  <si>
    <t>CRE-51021-0000</t>
  </si>
  <si>
    <t>CRE-51022-0000</t>
  </si>
  <si>
    <t>CRE-51023-0000</t>
  </si>
  <si>
    <t>CRE-51024-0000</t>
  </si>
  <si>
    <t>CRE-51026-0000</t>
  </si>
  <si>
    <t>CRE-51027-0000</t>
  </si>
  <si>
    <t>CRE-51028-0000</t>
  </si>
  <si>
    <t>CRE-51029-0000</t>
  </si>
  <si>
    <t>CRE-51030-0000</t>
  </si>
  <si>
    <t>CRE-51350-0000</t>
  </si>
  <si>
    <t>CRE-52005-0000</t>
  </si>
  <si>
    <t>CRE-52007-0000</t>
  </si>
  <si>
    <t>CRE-52008-0000</t>
  </si>
  <si>
    <t>CRE-53007-0000</t>
  </si>
  <si>
    <t>CRE-53011-0000</t>
  </si>
  <si>
    <t>CRE-54001-0000</t>
  </si>
  <si>
    <t>CRE-54100-0000</t>
  </si>
  <si>
    <t>CRE-61001-0000</t>
  </si>
  <si>
    <t>CRE-61002-0000</t>
  </si>
  <si>
    <t>CRE-61003-0000</t>
  </si>
  <si>
    <t>CRE-61004-0000</t>
  </si>
  <si>
    <t>CRE-61005-0000</t>
  </si>
  <si>
    <t>CRE-61006-0000</t>
  </si>
  <si>
    <t>CRE-61007-0000</t>
  </si>
  <si>
    <t>CRE-61008-0000</t>
  </si>
  <si>
    <t>CRE-61009-0000</t>
  </si>
  <si>
    <t>CRE-61010-0000</t>
  </si>
  <si>
    <t>CRE-61011-0000</t>
  </si>
  <si>
    <t>CRE-61012-0000</t>
  </si>
  <si>
    <t>CRE-61013-0000</t>
  </si>
  <si>
    <t>CRE-61014-0000</t>
  </si>
  <si>
    <t>CRE-61015-0000</t>
  </si>
  <si>
    <t>CRE-61017-0000</t>
  </si>
  <si>
    <t>CRE-61021-0000</t>
  </si>
  <si>
    <t>CRE-61022-0000</t>
  </si>
  <si>
    <t>CRE-61023-0000</t>
  </si>
  <si>
    <t>CRE-61024-0000</t>
  </si>
  <si>
    <t>CRE-61025-0000</t>
  </si>
  <si>
    <t>CRE-71010-0000</t>
  </si>
  <si>
    <t>CRE-71020-0000</t>
  </si>
  <si>
    <t>CRE-71030-0000</t>
  </si>
  <si>
    <t>CRE-71040-0000</t>
  </si>
  <si>
    <t>CRE-71050-0000</t>
  </si>
  <si>
    <t>CRE-71060-0000</t>
  </si>
  <si>
    <t>CRE-71070-0000</t>
  </si>
  <si>
    <t>CRE-71080-0000</t>
  </si>
  <si>
    <t>CRE-71090-0000</t>
  </si>
  <si>
    <t>CRE-71100-0000</t>
  </si>
  <si>
    <t>CRE-71110-0000</t>
  </si>
  <si>
    <t>CRE-73101-0000</t>
  </si>
  <si>
    <t>CRE-73103-0000</t>
  </si>
  <si>
    <t>CRE-73105-0000</t>
  </si>
  <si>
    <t>CRE-80006-0000</t>
  </si>
  <si>
    <t>CRE-80061-0000</t>
  </si>
  <si>
    <t>CRE-81019-0000</t>
  </si>
  <si>
    <t>CRE-81220-0000</t>
  </si>
  <si>
    <t>CRE-81228-0000</t>
  </si>
  <si>
    <t>CRE-81400-0000</t>
  </si>
  <si>
    <t>CRE-82900-0000</t>
  </si>
  <si>
    <t>CRE-85500-0000</t>
  </si>
  <si>
    <t>CRE-85700-0000</t>
  </si>
  <si>
    <t>DIA-10003-0000</t>
  </si>
  <si>
    <t>DIA-10004-0000</t>
  </si>
  <si>
    <t>DIA-10005-0000</t>
  </si>
  <si>
    <t>DIA-10006-0000</t>
  </si>
  <si>
    <t>DIA-10009-0000</t>
  </si>
  <si>
    <t>DIA-10010-0000</t>
  </si>
  <si>
    <t>DIA-10011-0000</t>
  </si>
  <si>
    <t>DIA-10012-0000</t>
  </si>
  <si>
    <t>DIA-10023-0000</t>
  </si>
  <si>
    <t>DIA-10024-0000</t>
  </si>
  <si>
    <t>DIA-10027-0000</t>
  </si>
  <si>
    <t>DIA-10050-0000</t>
  </si>
  <si>
    <t>DIA-11200-0000</t>
  </si>
  <si>
    <t>DIA-11201-0000</t>
  </si>
  <si>
    <t>DIA-11202-0000</t>
  </si>
  <si>
    <t>DIA-11203-0000</t>
  </si>
  <si>
    <t>DIA-11204-0000</t>
  </si>
  <si>
    <t>DIA-11208-0000</t>
  </si>
  <si>
    <t>DIA-11210-0000</t>
  </si>
  <si>
    <t>DIA-11212-0000</t>
  </si>
  <si>
    <t>DIA-11214-0000</t>
  </si>
  <si>
    <t>DIA-11215-0000</t>
  </si>
  <si>
    <t>DIA-11232-0000</t>
  </si>
  <si>
    <t>DIA-11301-0000</t>
  </si>
  <si>
    <t>DIA-11302-0000</t>
  </si>
  <si>
    <t>DIA-11303-0000</t>
  </si>
  <si>
    <t>DIA-11304-0000</t>
  </si>
  <si>
    <t>DIA-11307-0000</t>
  </si>
  <si>
    <t>DIA-11308-0000</t>
  </si>
  <si>
    <t>DIA-11309-0000</t>
  </si>
  <si>
    <t>DIA-11310-0000</t>
  </si>
  <si>
    <t>DIA-11312-0000</t>
  </si>
  <si>
    <t>DIA-11313-0000</t>
  </si>
  <si>
    <t>DIA-11314-0000</t>
  </si>
  <si>
    <t>DIA-11315-0000</t>
  </si>
  <si>
    <t>DIA-11316-0000</t>
  </si>
  <si>
    <t>DIA-11318-0000</t>
  </si>
  <si>
    <t>DIA-11319-0000</t>
  </si>
  <si>
    <t>DIA-11320-0000</t>
  </si>
  <si>
    <t>DIA-11321-0000</t>
  </si>
  <si>
    <t>DIA-11322-0000</t>
  </si>
  <si>
    <t>DIA-11323-0000</t>
  </si>
  <si>
    <t>DIA-11327-0000</t>
  </si>
  <si>
    <t>DIA-11328-0000</t>
  </si>
  <si>
    <t>DIA-11329-0000</t>
  </si>
  <si>
    <t>DIA-11330-0000</t>
  </si>
  <si>
    <t>DIA-11331-0000</t>
  </si>
  <si>
    <t>DIA-11333-0000</t>
  </si>
  <si>
    <t>DIA-11334-0000</t>
  </si>
  <si>
    <t>DIA-11335-0000</t>
  </si>
  <si>
    <t>DIA-11336-0000</t>
  </si>
  <si>
    <t>DIA-11337-0000</t>
  </si>
  <si>
    <t>DIA-11338-0000</t>
  </si>
  <si>
    <t>DIA-11339-0000</t>
  </si>
  <si>
    <t>DIA-11340-0000</t>
  </si>
  <si>
    <t>DIA-11341-0000</t>
  </si>
  <si>
    <t>DIA-11342-0000</t>
  </si>
  <si>
    <t>DIA-11343-0000</t>
  </si>
  <si>
    <t>DIA-11344-0000</t>
  </si>
  <si>
    <t>DIA-11345-0000</t>
  </si>
  <si>
    <t>DIA-11346-0000</t>
  </si>
  <si>
    <t>DIA-11347-0000</t>
  </si>
  <si>
    <t>DIA-11348-0000</t>
  </si>
  <si>
    <t>DIA-11349-0000</t>
  </si>
  <si>
    <t>DIA-11350-0000</t>
  </si>
  <si>
    <t>DIA-11351-0000</t>
  </si>
  <si>
    <t>DIA-11352-0000</t>
  </si>
  <si>
    <t>DIA-11353-0000</t>
  </si>
  <si>
    <t>DIA-11354-0000</t>
  </si>
  <si>
    <t>DIA-11355-0000</t>
  </si>
  <si>
    <t>DIA-11356-0000</t>
  </si>
  <si>
    <t>DIA-11357-0000</t>
  </si>
  <si>
    <t>DIA-11358-0000</t>
  </si>
  <si>
    <t>DIA-11359-0000</t>
  </si>
  <si>
    <t>DIA-11361-0000</t>
  </si>
  <si>
    <t>DIA-11363-0000</t>
  </si>
  <si>
    <t>DIA-11364-0000</t>
  </si>
  <si>
    <t>DIA-11365-0000</t>
  </si>
  <si>
    <t>DIA-11366-0000</t>
  </si>
  <si>
    <t>DIA-11403-0000</t>
  </si>
  <si>
    <t>DIA-12100-0000</t>
  </si>
  <si>
    <t>DIA-12105-0000</t>
  </si>
  <si>
    <t>DIA-12400-0000</t>
  </si>
  <si>
    <t>DIA-12401-0000</t>
  </si>
  <si>
    <t>DIA-12402-0000</t>
  </si>
  <si>
    <t>DIA-12403-0000</t>
  </si>
  <si>
    <t>DIA-12501-0000</t>
  </si>
  <si>
    <t>DIA-12510-0000</t>
  </si>
  <si>
    <t>DIA-13010-0000</t>
  </si>
  <si>
    <t>DIA-13050-0000</t>
  </si>
  <si>
    <t>DIA-13610-0000</t>
  </si>
  <si>
    <t>DIA-13620-0000</t>
  </si>
  <si>
    <t>DIA-13810-0000</t>
  </si>
  <si>
    <t>DIA-13811-0000</t>
  </si>
  <si>
    <t>DIA-13811-1000</t>
  </si>
  <si>
    <t>DIA-13812-0000</t>
  </si>
  <si>
    <t>DIA-13812-1000</t>
  </si>
  <si>
    <t>DIA-13813-0000</t>
  </si>
  <si>
    <t>DIA-13813-1000</t>
  </si>
  <si>
    <t>DIA-13820-0000</t>
  </si>
  <si>
    <t>DIA-13820-1000</t>
  </si>
  <si>
    <t>DIA-13821-0000</t>
  </si>
  <si>
    <t>DIA-13821-1000</t>
  </si>
  <si>
    <t>DIA-13822-0000</t>
  </si>
  <si>
    <t>DIA-13822-1000</t>
  </si>
  <si>
    <t>DIA-14100-0000</t>
  </si>
  <si>
    <t>DIA-15600-0000</t>
  </si>
  <si>
    <t>DIA-15700-0000</t>
  </si>
  <si>
    <t>DIA-15800-0000</t>
  </si>
  <si>
    <t>DIA-22000-0000</t>
  </si>
  <si>
    <t>DIA-22001-0000</t>
  </si>
  <si>
    <t>DIA-22003-0000</t>
  </si>
  <si>
    <t>DIA-22005-0000</t>
  </si>
  <si>
    <t>DIA-22310-0000</t>
  </si>
  <si>
    <t>DIA-22800-0000</t>
  </si>
  <si>
    <t>DIA-22801-0000</t>
  </si>
  <si>
    <t>DIA-22810-0000</t>
  </si>
  <si>
    <t>DIA-22900-0000</t>
  </si>
  <si>
    <t>DIA-22905-0000</t>
  </si>
  <si>
    <t>DIA-22906-0000</t>
  </si>
  <si>
    <t>DIA-23000-0000</t>
  </si>
  <si>
    <t>DIA-23100-0000</t>
  </si>
  <si>
    <t>DIA-23500-0000</t>
  </si>
  <si>
    <t>DIA-23501-0000</t>
  </si>
  <si>
    <t>DIA-23700-0000</t>
  </si>
  <si>
    <t>DIA-23800-0000</t>
  </si>
  <si>
    <t>DIA-24200-0000</t>
  </si>
  <si>
    <t>DIA-24300-0000</t>
  </si>
  <si>
    <t>DIA-24400-0000</t>
  </si>
  <si>
    <t>DIA-24500-0000</t>
  </si>
  <si>
    <t>DIA-24600-0000</t>
  </si>
  <si>
    <t>DIA-25005-0000</t>
  </si>
  <si>
    <t>DIA-25009-0000</t>
  </si>
  <si>
    <t>DIA-25600-0000</t>
  </si>
  <si>
    <t>DIA-25601-0000</t>
  </si>
  <si>
    <t>DIA-25602-0000</t>
  </si>
  <si>
    <t>DIA-25603-0000</t>
  </si>
  <si>
    <t>DIA-25604-0000</t>
  </si>
  <si>
    <t>DIA-28000-0000</t>
  </si>
  <si>
    <t>DIA-28002-0000</t>
  </si>
  <si>
    <t>DIA-28003-0000</t>
  </si>
  <si>
    <t>DIA-28004-0000</t>
  </si>
  <si>
    <t>DIA-28005-0000</t>
  </si>
  <si>
    <t>DIA-28006-0000</t>
  </si>
  <si>
    <t>DIA-28007-0000</t>
  </si>
  <si>
    <t>DIA-28008-0000</t>
  </si>
  <si>
    <t>DIA-28009-0000</t>
  </si>
  <si>
    <t>DIA-28010-0000</t>
  </si>
  <si>
    <t>DIA-28011-0000</t>
  </si>
  <si>
    <t>DIA-28012-0000</t>
  </si>
  <si>
    <t>DIA-28013-0000</t>
  </si>
  <si>
    <t>DIA-28014-0000</t>
  </si>
  <si>
    <t>DIA-28015-0000</t>
  </si>
  <si>
    <t>DIA-28016-0000</t>
  </si>
  <si>
    <t>DIA-28017-0000</t>
  </si>
  <si>
    <t>DIA-28018-0000</t>
  </si>
  <si>
    <t>DIA-28019-0000</t>
  </si>
  <si>
    <t>DIA-28020-0000</t>
  </si>
  <si>
    <t>DIA-28021-0000</t>
  </si>
  <si>
    <t>DIA-28022-0000</t>
  </si>
  <si>
    <t>DIA-28023-0000</t>
  </si>
  <si>
    <t>DIA-28024-0000</t>
  </si>
  <si>
    <t>DIA-30101-0000</t>
  </si>
  <si>
    <t>DIA-30501-0000</t>
  </si>
  <si>
    <t>DIA-31001-0000</t>
  </si>
  <si>
    <t>DIA-31002-0000</t>
  </si>
  <si>
    <t>DIA-31003-0000</t>
  </si>
  <si>
    <t>DIA-31005-0000</t>
  </si>
  <si>
    <t>DIA-31007-0000</t>
  </si>
  <si>
    <t>DIA-31008-0000</t>
  </si>
  <si>
    <t>DIA-31009-0000</t>
  </si>
  <si>
    <t>DIA-31010-0000</t>
  </si>
  <si>
    <t>DIA-31012-0000</t>
  </si>
  <si>
    <t>DIA-31015-0000</t>
  </si>
  <si>
    <t>DIA-31016-0000</t>
  </si>
  <si>
    <t>DIA-31018-0000</t>
  </si>
  <si>
    <t>DIA-31801-0000</t>
  </si>
  <si>
    <t>DIA-31802-0000</t>
  </si>
  <si>
    <t>DIA-31803-0000</t>
  </si>
  <si>
    <t>DIA-31804-0000</t>
  </si>
  <si>
    <t>DIA-31900-0000</t>
  </si>
  <si>
    <t>DIA-36000-0000</t>
  </si>
  <si>
    <t>DIA-36002-0000</t>
  </si>
  <si>
    <t>DIA-36003-0000</t>
  </si>
  <si>
    <t>DIA-36004-0000</t>
  </si>
  <si>
    <t>DIA-36005-0000</t>
  </si>
  <si>
    <t>DIA-36006-0000</t>
  </si>
  <si>
    <t>DIA-36008-0000</t>
  </si>
  <si>
    <t>DIA-36018-0000</t>
  </si>
  <si>
    <t>DIA-36801-0000</t>
  </si>
  <si>
    <t>DIA-36802-0000</t>
  </si>
  <si>
    <t>DIA-36803-0000</t>
  </si>
  <si>
    <t>DIA-36804-0000</t>
  </si>
  <si>
    <t>DIA-36900-0000</t>
  </si>
  <si>
    <t>DIA-36901-0000</t>
  </si>
  <si>
    <t>DIA-38100-0000</t>
  </si>
  <si>
    <t>DIA-38100-1000</t>
  </si>
  <si>
    <t>DIA-41112-0000</t>
  </si>
  <si>
    <t>DIA-41120-0000</t>
  </si>
  <si>
    <t>DIA-42110-0000</t>
  </si>
  <si>
    <t>DIA-42130-0000</t>
  </si>
  <si>
    <t>DIA-42140-0000</t>
  </si>
  <si>
    <t>DIA-42150-0000</t>
  </si>
  <si>
    <t>DIA-42160-0000</t>
  </si>
  <si>
    <t>DIA-42405-0000</t>
  </si>
  <si>
    <t>DIA-43120-0000</t>
  </si>
  <si>
    <t>DIA-43121-0000</t>
  </si>
  <si>
    <t>DIA-43200-0000</t>
  </si>
  <si>
    <t>DIA-43410-0000</t>
  </si>
  <si>
    <t>DIA-43420-0000</t>
  </si>
  <si>
    <t>DIA-43430-0000</t>
  </si>
  <si>
    <t>DIA-43440-0000</t>
  </si>
  <si>
    <t>DIA-43450-0000</t>
  </si>
  <si>
    <t>DIA-43480-0000</t>
  </si>
  <si>
    <t>DIA-43490-0000</t>
  </si>
  <si>
    <t>DIA-43491-0000</t>
  </si>
  <si>
    <t>DIA-43492-0000</t>
  </si>
  <si>
    <t>DIA-43493-0000</t>
  </si>
  <si>
    <t>DIA-43494-0000</t>
  </si>
  <si>
    <t>DIA-43495-0000</t>
  </si>
  <si>
    <t>DIA-44000-0000</t>
  </si>
  <si>
    <t>DIA-46000-0000</t>
  </si>
  <si>
    <t>DIA-47300-0000</t>
  </si>
  <si>
    <t>DIA-47550-0000</t>
  </si>
  <si>
    <t>DIA-49500-9999</t>
  </si>
  <si>
    <t>DIA-51001-0000</t>
  </si>
  <si>
    <t>DIA-51002-0000</t>
  </si>
  <si>
    <t>DIA-51003-0000</t>
  </si>
  <si>
    <t>DIA-51004-0000</t>
  </si>
  <si>
    <t>DIA-51010-0000</t>
  </si>
  <si>
    <t>DIA-51013-0000</t>
  </si>
  <si>
    <t>DIA-51014-0000</t>
  </si>
  <si>
    <t>DIA-51018-0000</t>
  </si>
  <si>
    <t>DIA-51019-0000</t>
  </si>
  <si>
    <t>DIA-51021-0000</t>
  </si>
  <si>
    <t>DIA-51022-0000</t>
  </si>
  <si>
    <t>DIA-51024-0000</t>
  </si>
  <si>
    <t>DIA-51026-0000</t>
  </si>
  <si>
    <t>DIA-51027-0000</t>
  </si>
  <si>
    <t>DIA-51028-0000</t>
  </si>
  <si>
    <t>DIA-51029-0000</t>
  </si>
  <si>
    <t>DIA-51030-0000</t>
  </si>
  <si>
    <t>DIA-51350-0000</t>
  </si>
  <si>
    <t>DIA-52002-0000</t>
  </si>
  <si>
    <t>DIA-52005-0000</t>
  </si>
  <si>
    <t>DIA-52007-0000</t>
  </si>
  <si>
    <t>DIA-52008-0000</t>
  </si>
  <si>
    <t>DIA-53007-0000</t>
  </si>
  <si>
    <t>DIA-53011-0000</t>
  </si>
  <si>
    <t>DIA-54100-0000</t>
  </si>
  <si>
    <t>DIA-61001-0000</t>
  </si>
  <si>
    <t>DIA-61002-0000</t>
  </si>
  <si>
    <t>DIA-61003-0000</t>
  </si>
  <si>
    <t>DIA-61004-0000</t>
  </si>
  <si>
    <t>DIA-61005-0000</t>
  </si>
  <si>
    <t>DIA-61006-0000</t>
  </si>
  <si>
    <t>DIA-61007-0000</t>
  </si>
  <si>
    <t>DIA-61008-0000</t>
  </si>
  <si>
    <t>DIA-61009-0000</t>
  </si>
  <si>
    <t>DIA-61010-0000</t>
  </si>
  <si>
    <t>DIA-61011-0000</t>
  </si>
  <si>
    <t>DIA-61012-0000</t>
  </si>
  <si>
    <t>DIA-61013-0000</t>
  </si>
  <si>
    <t>DIA-61014-0000</t>
  </si>
  <si>
    <t>DIA-61015-0000</t>
  </si>
  <si>
    <t>DIA-61016-0000</t>
  </si>
  <si>
    <t>DIA-61017-0000</t>
  </si>
  <si>
    <t>DIA-61021-0000</t>
  </si>
  <si>
    <t>DIA-61022-0000</t>
  </si>
  <si>
    <t>DIA-61023-0000</t>
  </si>
  <si>
    <t>DIA-61024-0000</t>
  </si>
  <si>
    <t>DIA-61025-0000</t>
  </si>
  <si>
    <t>DIA-71010-0000</t>
  </si>
  <si>
    <t>DIA-71020-0000</t>
  </si>
  <si>
    <t>DIA-71030-0000</t>
  </si>
  <si>
    <t>DIA-71040-0000</t>
  </si>
  <si>
    <t>DIA-71050-0000</t>
  </si>
  <si>
    <t>DIA-71060-0000</t>
  </si>
  <si>
    <t>DIA-71070-0000</t>
  </si>
  <si>
    <t>DIA-71080-0000</t>
  </si>
  <si>
    <t>DIA-71090-0000</t>
  </si>
  <si>
    <t>DIA-71100-0000</t>
  </si>
  <si>
    <t>DIA-71110-0000</t>
  </si>
  <si>
    <t>DIA-73101-0000</t>
  </si>
  <si>
    <t>DIA-73103-0000</t>
  </si>
  <si>
    <t>DIA-73105-0000</t>
  </si>
  <si>
    <t>DIA-80006-0000</t>
  </si>
  <si>
    <t>DIA-80061-0000</t>
  </si>
  <si>
    <t>DIA-81019-0000</t>
  </si>
  <si>
    <t>DIA-81220-0000</t>
  </si>
  <si>
    <t>DIA-81228-0000</t>
  </si>
  <si>
    <t>DIA-81400-0000</t>
  </si>
  <si>
    <t>DIA-82900-0000</t>
  </si>
  <si>
    <t>DIA-85500-0000</t>
  </si>
  <si>
    <t>DIA-85700-0000</t>
  </si>
  <si>
    <t>DOL-10003-0000</t>
  </si>
  <si>
    <t>DOL-10004-0000</t>
  </si>
  <si>
    <t>DOL-10005-0000</t>
  </si>
  <si>
    <t>DOL-10006-0000</t>
  </si>
  <si>
    <t>DOL-10009-0000</t>
  </si>
  <si>
    <t>DOL-10010-0000</t>
  </si>
  <si>
    <t>DOL-10011-0000</t>
  </si>
  <si>
    <t>DOL-10012-0000</t>
  </si>
  <si>
    <t>DOL-10023-0000</t>
  </si>
  <si>
    <t>DOL-10024-0000</t>
  </si>
  <si>
    <t>DOL-10027-0000</t>
  </si>
  <si>
    <t>DOL-10050-0000</t>
  </si>
  <si>
    <t>DOL-11200-0000</t>
  </si>
  <si>
    <t>DOL-11201-0000</t>
  </si>
  <si>
    <t>DOL-11202-0000</t>
  </si>
  <si>
    <t>DOL-11203-0000</t>
  </si>
  <si>
    <t>DOL-11204-0000</t>
  </si>
  <si>
    <t>DOL-11208-0000</t>
  </si>
  <si>
    <t>DOL-11210-0000</t>
  </si>
  <si>
    <t>DOL-11212-0000</t>
  </si>
  <si>
    <t>DOL-11214-0000</t>
  </si>
  <si>
    <t>DOL-11215-0000</t>
  </si>
  <si>
    <t>DOL-11232-0000</t>
  </si>
  <si>
    <t>DOL-11302-0000</t>
  </si>
  <si>
    <t>DOL-11303-0000</t>
  </si>
  <si>
    <t>DOL-11304-0000</t>
  </si>
  <si>
    <t>DOL-11305-0000</t>
  </si>
  <si>
    <t>DOL-11307-0000</t>
  </si>
  <si>
    <t>DOL-11308-0000</t>
  </si>
  <si>
    <t>DOL-11309-0000</t>
  </si>
  <si>
    <t>DOL-11310-0000</t>
  </si>
  <si>
    <t>DOL-11312-0000</t>
  </si>
  <si>
    <t>DOL-11313-0000</t>
  </si>
  <si>
    <t>DOL-11314-0000</t>
  </si>
  <si>
    <t>DOL-11316-0000</t>
  </si>
  <si>
    <t>DOL-11318-0000</t>
  </si>
  <si>
    <t>DOL-11319-0000</t>
  </si>
  <si>
    <t>DOL-11320-0000</t>
  </si>
  <si>
    <t>DOL-11321-0000</t>
  </si>
  <si>
    <t>DOL-11322-0000</t>
  </si>
  <si>
    <t>DOL-11323-0000</t>
  </si>
  <si>
    <t>DOL-11327-0000</t>
  </si>
  <si>
    <t>DOL-11328-0000</t>
  </si>
  <si>
    <t>DOL-11329-0000</t>
  </si>
  <si>
    <t>DOL-11330-0000</t>
  </si>
  <si>
    <t>DOL-11331-0000</t>
  </si>
  <si>
    <t>DOL-11332-0000</t>
  </si>
  <si>
    <t>DOL-11334-0000</t>
  </si>
  <si>
    <t>DOL-11335-0000</t>
  </si>
  <si>
    <t>DOL-11336-0000</t>
  </si>
  <si>
    <t>DOL-11338-0000</t>
  </si>
  <si>
    <t>DOL-11339-0000</t>
  </si>
  <si>
    <t>DOL-11340-0000</t>
  </si>
  <si>
    <t>DOL-11341-0000</t>
  </si>
  <si>
    <t>DOL-11342-0000</t>
  </si>
  <si>
    <t>DOL-11343-0000</t>
  </si>
  <si>
    <t>DOL-11344-0000</t>
  </si>
  <si>
    <t>DOL-11345-0000</t>
  </si>
  <si>
    <t>DOL-11346-0000</t>
  </si>
  <si>
    <t>DOL-11347-0000</t>
  </si>
  <si>
    <t>DOL-11348-0000</t>
  </si>
  <si>
    <t>DOL-11349-0000</t>
  </si>
  <si>
    <t>DOL-11350-0000</t>
  </si>
  <si>
    <t>DOL-11351-0000</t>
  </si>
  <si>
    <t>DOL-11352-0000</t>
  </si>
  <si>
    <t>DOL-11353-0000</t>
  </si>
  <si>
    <t>DOL-11354-0000</t>
  </si>
  <si>
    <t>DOL-11355-0000</t>
  </si>
  <si>
    <t>DOL-11356-0000</t>
  </si>
  <si>
    <t>DOL-11357-0000</t>
  </si>
  <si>
    <t>DOL-11358-0000</t>
  </si>
  <si>
    <t>DOL-11359-0000</t>
  </si>
  <si>
    <t>DOL-11361-0000</t>
  </si>
  <si>
    <t>DOL-11363-0000</t>
  </si>
  <si>
    <t>DOL-11364-0000</t>
  </si>
  <si>
    <t>DOL-11365-0000</t>
  </si>
  <si>
    <t>DOL-11366-0000</t>
  </si>
  <si>
    <t>DOL-11402-0000</t>
  </si>
  <si>
    <t>DOL-11403-0000</t>
  </si>
  <si>
    <t>DOL-12100-0000</t>
  </si>
  <si>
    <t>DOL-12105-0000</t>
  </si>
  <si>
    <t>DOL-12400-0000</t>
  </si>
  <si>
    <t>DOL-12401-0000</t>
  </si>
  <si>
    <t>DOL-12402-0000</t>
  </si>
  <si>
    <t>DOL-12403-0000</t>
  </si>
  <si>
    <t>DOL-12501-0000</t>
  </si>
  <si>
    <t>DOL-12510-0000</t>
  </si>
  <si>
    <t>DOL-13010-0000</t>
  </si>
  <si>
    <t>DOL-13050-0000</t>
  </si>
  <si>
    <t>DOL-13610-0000</t>
  </si>
  <si>
    <t>DOL-13620-0000</t>
  </si>
  <si>
    <t>DOL-13810-0000</t>
  </si>
  <si>
    <t>DOL-13811-0000</t>
  </si>
  <si>
    <t>DOL-13811-1000</t>
  </si>
  <si>
    <t>DOL-13812-0000</t>
  </si>
  <si>
    <t>DOL-13812-1000</t>
  </si>
  <si>
    <t>DOL-13813-0000</t>
  </si>
  <si>
    <t>DOL-13813-1000</t>
  </si>
  <si>
    <t>DOL-13820-0000</t>
  </si>
  <si>
    <t>DOL-13820-1000</t>
  </si>
  <si>
    <t>DOL-13821-0000</t>
  </si>
  <si>
    <t>DOL-13821-1000</t>
  </si>
  <si>
    <t>DOL-13822-0000</t>
  </si>
  <si>
    <t>DOL-13822-1000</t>
  </si>
  <si>
    <t>DOL-14100-0000</t>
  </si>
  <si>
    <t>DOL-15600-0000</t>
  </si>
  <si>
    <t>DOL-15700-0000</t>
  </si>
  <si>
    <t>DOL-15800-0000</t>
  </si>
  <si>
    <t>DOL-16000-0000</t>
  </si>
  <si>
    <t>DOL-22000-0000</t>
  </si>
  <si>
    <t>DOL-22001-0000</t>
  </si>
  <si>
    <t>DOL-22003-0000</t>
  </si>
  <si>
    <t>DOL-22005-0000</t>
  </si>
  <si>
    <t>DOL-22310-0000</t>
  </si>
  <si>
    <t>DOL-22800-0000</t>
  </si>
  <si>
    <t>DOL-22801-0000</t>
  </si>
  <si>
    <t>DOL-22810-0000</t>
  </si>
  <si>
    <t>DOL-22900-0000</t>
  </si>
  <si>
    <t>DOL-22905-0000</t>
  </si>
  <si>
    <t>DOL-22906-0000</t>
  </si>
  <si>
    <t>DOL-23000-0000</t>
  </si>
  <si>
    <t>DOL-23100-0000</t>
  </si>
  <si>
    <t>DOL-23500-0000</t>
  </si>
  <si>
    <t>DOL-23501-0000</t>
  </si>
  <si>
    <t>DOL-23700-0000</t>
  </si>
  <si>
    <t>DOL-23800-0000</t>
  </si>
  <si>
    <t>DOL-24200-0000</t>
  </si>
  <si>
    <t>DOL-24300-0000</t>
  </si>
  <si>
    <t>DOL-24400-0000</t>
  </si>
  <si>
    <t>DOL-24500-0000</t>
  </si>
  <si>
    <t>DOL-24600-0000</t>
  </si>
  <si>
    <t>DOL-25005-0000</t>
  </si>
  <si>
    <t>DOL-25009-0000</t>
  </si>
  <si>
    <t>DOL-25600-0000</t>
  </si>
  <si>
    <t>DOL-25601-0000</t>
  </si>
  <si>
    <t>DOL-25602-0000</t>
  </si>
  <si>
    <t>DOL-25603-0000</t>
  </si>
  <si>
    <t>DOL-25604-0000</t>
  </si>
  <si>
    <t>DOL-28000-0000</t>
  </si>
  <si>
    <t>DOL-28002-0000</t>
  </si>
  <si>
    <t>DOL-28003-0000</t>
  </si>
  <si>
    <t>DOL-28004-0000</t>
  </si>
  <si>
    <t>DOL-28005-0000</t>
  </si>
  <si>
    <t>DOL-28006-0000</t>
  </si>
  <si>
    <t>DOL-28007-0000</t>
  </si>
  <si>
    <t>DOL-28008-0000</t>
  </si>
  <si>
    <t>DOL-28009-0000</t>
  </si>
  <si>
    <t>DOL-28010-0000</t>
  </si>
  <si>
    <t>DOL-28011-0000</t>
  </si>
  <si>
    <t>DOL-28012-0000</t>
  </si>
  <si>
    <t>DOL-28013-0000</t>
  </si>
  <si>
    <t>DOL-28014-0000</t>
  </si>
  <si>
    <t>DOL-28015-0000</t>
  </si>
  <si>
    <t>DOL-28016-0000</t>
  </si>
  <si>
    <t>DOL-28017-0000</t>
  </si>
  <si>
    <t>DOL-28018-0000</t>
  </si>
  <si>
    <t>DOL-28019-0000</t>
  </si>
  <si>
    <t>DOL-28020-0000</t>
  </si>
  <si>
    <t>DOL-28021-0000</t>
  </si>
  <si>
    <t>DOL-28022-0000</t>
  </si>
  <si>
    <t>DOL-28023-0000</t>
  </si>
  <si>
    <t>DOL-28024-0000</t>
  </si>
  <si>
    <t>DOL-30101-0000</t>
  </si>
  <si>
    <t>DOL-30501-0000</t>
  </si>
  <si>
    <t>DOL-31001-0000</t>
  </si>
  <si>
    <t>DOL-31002-0000</t>
  </si>
  <si>
    <t>DOL-31003-0000</t>
  </si>
  <si>
    <t>DOL-31005-0000</t>
  </si>
  <si>
    <t>DOL-31007-0000</t>
  </si>
  <si>
    <t>DOL-31008-0000</t>
  </si>
  <si>
    <t>DOL-31009-0000</t>
  </si>
  <si>
    <t>DOL-31010-0000</t>
  </si>
  <si>
    <t>DOL-31012-0000</t>
  </si>
  <si>
    <t>DOL-31015-0000</t>
  </si>
  <si>
    <t>DOL-31016-0000</t>
  </si>
  <si>
    <t>DOL-31018-0000</t>
  </si>
  <si>
    <t>DOL-31801-0000</t>
  </si>
  <si>
    <t>DOL-31802-0000</t>
  </si>
  <si>
    <t>DOL-31803-0000</t>
  </si>
  <si>
    <t>DOL-31804-0000</t>
  </si>
  <si>
    <t>DOL-31900-0000</t>
  </si>
  <si>
    <t>DOL-36000-0000</t>
  </si>
  <si>
    <t>DOL-36002-0000</t>
  </si>
  <si>
    <t>DOL-36003-0000</t>
  </si>
  <si>
    <t>DOL-36004-0000</t>
  </si>
  <si>
    <t>DOL-36005-0000</t>
  </si>
  <si>
    <t>DOL-36006-0000</t>
  </si>
  <si>
    <t>DOL-36008-0000</t>
  </si>
  <si>
    <t>DOL-36018-0000</t>
  </si>
  <si>
    <t>DOL-36801-0000</t>
  </si>
  <si>
    <t>DOL-36802-0000</t>
  </si>
  <si>
    <t>DOL-36803-0000</t>
  </si>
  <si>
    <t>DOL-36804-0000</t>
  </si>
  <si>
    <t>DOL-36900-0000</t>
  </si>
  <si>
    <t>DOL-36901-0000</t>
  </si>
  <si>
    <t>DOL-38100-0000</t>
  </si>
  <si>
    <t>DOL-38100-1000</t>
  </si>
  <si>
    <t>DOL-41112-0000</t>
  </si>
  <si>
    <t>DOL-41120-0000</t>
  </si>
  <si>
    <t>DOL-42110-0000</t>
  </si>
  <si>
    <t>DOL-42130-0000</t>
  </si>
  <si>
    <t>DOL-42140-0000</t>
  </si>
  <si>
    <t>DOL-42150-0000</t>
  </si>
  <si>
    <t>DOL-42160-0000</t>
  </si>
  <si>
    <t>DOL-42405-0000</t>
  </si>
  <si>
    <t>DOL-43120-0000</t>
  </si>
  <si>
    <t>DOL-43121-0000</t>
  </si>
  <si>
    <t>DOL-43200-0000</t>
  </si>
  <si>
    <t>DOL-43410-0000</t>
  </si>
  <si>
    <t>DOL-43420-0000</t>
  </si>
  <si>
    <t>DOL-43430-0000</t>
  </si>
  <si>
    <t>DOL-43440-0000</t>
  </si>
  <si>
    <t>DOL-43450-0000</t>
  </si>
  <si>
    <t>DOL-43480-0000</t>
  </si>
  <si>
    <t>DOL-43490-0000</t>
  </si>
  <si>
    <t>DOL-43491-0000</t>
  </si>
  <si>
    <t>DOL-43492-0000</t>
  </si>
  <si>
    <t>DOL-43493-0000</t>
  </si>
  <si>
    <t>DOL-43494-0000</t>
  </si>
  <si>
    <t>DOL-43495-0000</t>
  </si>
  <si>
    <t>DOL-44000-0000</t>
  </si>
  <si>
    <t>DOL-46000-0000</t>
  </si>
  <si>
    <t>DOL-47300-0000</t>
  </si>
  <si>
    <t>DOL-47550-0000</t>
  </si>
  <si>
    <t>DOL-49500-9999</t>
  </si>
  <si>
    <t>DOL-51001-0000</t>
  </si>
  <si>
    <t>DOL-51002-0000</t>
  </si>
  <si>
    <t>DOL-51003-0000</t>
  </si>
  <si>
    <t>DOL-51004-0000</t>
  </si>
  <si>
    <t>DOL-51007-0000</t>
  </si>
  <si>
    <t>DOL-51010-0000</t>
  </si>
  <si>
    <t>DOL-51014-0000</t>
  </si>
  <si>
    <t>DOL-51019-0000</t>
  </si>
  <si>
    <t>DOL-51021-0000</t>
  </si>
  <si>
    <t>DOL-51022-0000</t>
  </si>
  <si>
    <t>DOL-51023-0000</t>
  </si>
  <si>
    <t>DOL-51024-0000</t>
  </si>
  <si>
    <t>DOL-51026-0000</t>
  </si>
  <si>
    <t>DOL-51027-0000</t>
  </si>
  <si>
    <t>DOL-51028-0000</t>
  </si>
  <si>
    <t>DOL-51029-0000</t>
  </si>
  <si>
    <t>DOL-51030-0000</t>
  </si>
  <si>
    <t>DOL-51350-0000</t>
  </si>
  <si>
    <t>DOL-52002-0000</t>
  </si>
  <si>
    <t>DOL-52005-0000</t>
  </si>
  <si>
    <t>DOL-52007-0000</t>
  </si>
  <si>
    <t>DOL-52008-0000</t>
  </si>
  <si>
    <t>DOL-53007-0000</t>
  </si>
  <si>
    <t>DOL-53011-0000</t>
  </si>
  <si>
    <t>DOL-54100-0000</t>
  </si>
  <si>
    <t>DOL-61001-0000</t>
  </si>
  <si>
    <t>DOL-61002-0000</t>
  </si>
  <si>
    <t>DOL-61003-0000</t>
  </si>
  <si>
    <t>DOL-61004-0000</t>
  </si>
  <si>
    <t>DOL-61005-0000</t>
  </si>
  <si>
    <t>DOL-61006-0000</t>
  </si>
  <si>
    <t>DOL-61007-0000</t>
  </si>
  <si>
    <t>DOL-61008-0000</t>
  </si>
  <si>
    <t>DOL-61009-0000</t>
  </si>
  <si>
    <t>DOL-61010-0000</t>
  </si>
  <si>
    <t>DOL-61011-0000</t>
  </si>
  <si>
    <t>DOL-61012-0000</t>
  </si>
  <si>
    <t>DOL-61013-0000</t>
  </si>
  <si>
    <t>DOL-61014-0000</t>
  </si>
  <si>
    <t>DOL-61015-0000</t>
  </si>
  <si>
    <t>DOL-61016-0000</t>
  </si>
  <si>
    <t>DOL-61017-0000</t>
  </si>
  <si>
    <t>DOL-61021-0000</t>
  </si>
  <si>
    <t>DOL-61022-0000</t>
  </si>
  <si>
    <t>DOL-61023-0000</t>
  </si>
  <si>
    <t>DOL-61024-0000</t>
  </si>
  <si>
    <t>DOL-61025-0000</t>
  </si>
  <si>
    <t>DOL-71010-0000</t>
  </si>
  <si>
    <t>DOL-71020-0000</t>
  </si>
  <si>
    <t>DOL-71030-0000</t>
  </si>
  <si>
    <t>DOL-71040-0000</t>
  </si>
  <si>
    <t>DOL-71050-0000</t>
  </si>
  <si>
    <t>DOL-71060-0000</t>
  </si>
  <si>
    <t>DOL-71070-0000</t>
  </si>
  <si>
    <t>DOL-71080-0000</t>
  </si>
  <si>
    <t>DOL-71090-0000</t>
  </si>
  <si>
    <t>DOL-71100-0000</t>
  </si>
  <si>
    <t>DOL-71110-0000</t>
  </si>
  <si>
    <t>DOL-73101-0000</t>
  </si>
  <si>
    <t>DOL-73103-0000</t>
  </si>
  <si>
    <t>DOL-73105-0000</t>
  </si>
  <si>
    <t>DOL-80006-0000</t>
  </si>
  <si>
    <t>DOL-80061-0000</t>
  </si>
  <si>
    <t>DOL-81019-0000</t>
  </si>
  <si>
    <t>DOL-81220-0000</t>
  </si>
  <si>
    <t>DOL-81228-0000</t>
  </si>
  <si>
    <t>DOL-81400-0000</t>
  </si>
  <si>
    <t>DOL-82900-0000</t>
  </si>
  <si>
    <t>DOL-85500-0000</t>
  </si>
  <si>
    <t>DOL-85700-0000</t>
  </si>
  <si>
    <t>DPI-10003-0000</t>
  </si>
  <si>
    <t>DPI-10004-0000</t>
  </si>
  <si>
    <t>DPI-10005-0000</t>
  </si>
  <si>
    <t>DPI-10006-0000</t>
  </si>
  <si>
    <t>DPI-10009-0000</t>
  </si>
  <si>
    <t>DPI-10010-0000</t>
  </si>
  <si>
    <t>DPI-10011-0000</t>
  </si>
  <si>
    <t>DPI-10012-0000</t>
  </si>
  <si>
    <t>DPI-10023-0000</t>
  </si>
  <si>
    <t>DPI-10024-0000</t>
  </si>
  <si>
    <t>DPI-10027-0000</t>
  </si>
  <si>
    <t>DPI-10050-0000</t>
  </si>
  <si>
    <t>DPI-11200-0000</t>
  </si>
  <si>
    <t>DPI-11201-0000</t>
  </si>
  <si>
    <t>DPI-11202-0000</t>
  </si>
  <si>
    <t>DPI-11203-0000</t>
  </si>
  <si>
    <t>DPI-11204-0000</t>
  </si>
  <si>
    <t>DPI-11208-0000</t>
  </si>
  <si>
    <t>DPI-11210-0000</t>
  </si>
  <si>
    <t>DPI-11212-0000</t>
  </si>
  <si>
    <t>DPI-11214-0000</t>
  </si>
  <si>
    <t>DPI-11215-0000</t>
  </si>
  <si>
    <t>DPI-11232-0000</t>
  </si>
  <si>
    <t>DPI-11301-0000</t>
  </si>
  <si>
    <t>DPI-11302-0000</t>
  </si>
  <si>
    <t>DPI-11304-0000</t>
  </si>
  <si>
    <t>DPI-11307-0000</t>
  </si>
  <si>
    <t>DPI-11308-0000</t>
  </si>
  <si>
    <t>DPI-11309-0000</t>
  </si>
  <si>
    <t>DPI-11311-0000</t>
  </si>
  <si>
    <t>DPI-11312-0000</t>
  </si>
  <si>
    <t>DPI-11314-0000</t>
  </si>
  <si>
    <t>DPI-11315-0000</t>
  </si>
  <si>
    <t>DPI-11316-0000</t>
  </si>
  <si>
    <t>DPI-11318-0000</t>
  </si>
  <si>
    <t>DPI-11319-0000</t>
  </si>
  <si>
    <t>DPI-11320-0000</t>
  </si>
  <si>
    <t>DPI-11321-0000</t>
  </si>
  <si>
    <t>DPI-11322-0000</t>
  </si>
  <si>
    <t>DPI-11323-0000</t>
  </si>
  <si>
    <t>DPI-11324-0000</t>
  </si>
  <si>
    <t>DPI-11325-0000</t>
  </si>
  <si>
    <t>DPI-11326-0000</t>
  </si>
  <si>
    <t>DPI-11327-0000</t>
  </si>
  <si>
    <t>DPI-11328-0000</t>
  </si>
  <si>
    <t>DPI-11329-0000</t>
  </si>
  <si>
    <t>DPI-11330-0000</t>
  </si>
  <si>
    <t>DPI-11331-0000</t>
  </si>
  <si>
    <t>DPI-11332-0000</t>
  </si>
  <si>
    <t>DPI-11333-0000</t>
  </si>
  <si>
    <t>DPI-11335-0000</t>
  </si>
  <si>
    <t>DPI-11338-0000</t>
  </si>
  <si>
    <t>DPI-11339-0000</t>
  </si>
  <si>
    <t>DPI-11340-0000</t>
  </si>
  <si>
    <t>DPI-11341-0000</t>
  </si>
  <si>
    <t>DPI-11342-0000</t>
  </si>
  <si>
    <t>DPI-11343-0000</t>
  </si>
  <si>
    <t>DPI-11344-0000</t>
  </si>
  <si>
    <t>DPI-11345-0000</t>
  </si>
  <si>
    <t>DPI-11346-0000</t>
  </si>
  <si>
    <t>DPI-11347-0000</t>
  </si>
  <si>
    <t>DPI-11348-0000</t>
  </si>
  <si>
    <t>DPI-11349-0000</t>
  </si>
  <si>
    <t>DPI-11350-0000</t>
  </si>
  <si>
    <t>DPI-11351-0000</t>
  </si>
  <si>
    <t>DPI-11352-0000</t>
  </si>
  <si>
    <t>DPI-11353-0000</t>
  </si>
  <si>
    <t>DPI-11354-0000</t>
  </si>
  <si>
    <t>DPI-11355-0000</t>
  </si>
  <si>
    <t>DPI-11356-0000</t>
  </si>
  <si>
    <t>DPI-11357-0000</t>
  </si>
  <si>
    <t>DPI-11358-0000</t>
  </si>
  <si>
    <t>DPI-11359-0000</t>
  </si>
  <si>
    <t>DPI-11361-0000</t>
  </si>
  <si>
    <t>DPI-11363-0000</t>
  </si>
  <si>
    <t>DPI-11364-0000</t>
  </si>
  <si>
    <t>DPI-11365-0000</t>
  </si>
  <si>
    <t>DPI-11366-0000</t>
  </si>
  <si>
    <t>DPI-11403-0000</t>
  </si>
  <si>
    <t>DPI-12100-0000</t>
  </si>
  <si>
    <t>DPI-12105-0000</t>
  </si>
  <si>
    <t>DPI-12400-0000</t>
  </si>
  <si>
    <t>DPI-12401-0000</t>
  </si>
  <si>
    <t>DPI-12402-0000</t>
  </si>
  <si>
    <t>DPI-12403-0000</t>
  </si>
  <si>
    <t>DPI-12501-0000</t>
  </si>
  <si>
    <t>DPI-12510-0000</t>
  </si>
  <si>
    <t>DPI-13010-0000</t>
  </si>
  <si>
    <t>DPI-13050-0000</t>
  </si>
  <si>
    <t>DPI-13610-0000</t>
  </si>
  <si>
    <t>DPI-13620-0000</t>
  </si>
  <si>
    <t>DPI-13810-0000</t>
  </si>
  <si>
    <t>DPI-13811-0000</t>
  </si>
  <si>
    <t>DPI-13811-1000</t>
  </si>
  <si>
    <t>DPI-13812-0000</t>
  </si>
  <si>
    <t>DPI-13812-1000</t>
  </si>
  <si>
    <t>DPI-13813-0000</t>
  </si>
  <si>
    <t>DPI-13813-1000</t>
  </si>
  <si>
    <t>DPI-13820-0000</t>
  </si>
  <si>
    <t>DPI-13820-1000</t>
  </si>
  <si>
    <t>DPI-13821-0000</t>
  </si>
  <si>
    <t>DPI-13821-1000</t>
  </si>
  <si>
    <t>DPI-13822-0000</t>
  </si>
  <si>
    <t>DPI-13822-1000</t>
  </si>
  <si>
    <t>DPI-14100-0000</t>
  </si>
  <si>
    <t>DPI-15600-0000</t>
  </si>
  <si>
    <t>DPI-15700-0000</t>
  </si>
  <si>
    <t>DPI-15800-0000</t>
  </si>
  <si>
    <t>DPI-16000-0000</t>
  </si>
  <si>
    <t>DPI-22000-0000</t>
  </si>
  <si>
    <t>DPI-22001-0000</t>
  </si>
  <si>
    <t>DPI-22003-0000</t>
  </si>
  <si>
    <t>DPI-22005-0000</t>
  </si>
  <si>
    <t>DPI-22310-0000</t>
  </si>
  <si>
    <t>DPI-22800-0000</t>
  </si>
  <si>
    <t>DPI-22801-0000</t>
  </si>
  <si>
    <t>DPI-22810-0000</t>
  </si>
  <si>
    <t>DPI-22900-0000</t>
  </si>
  <si>
    <t>DPI-22905-0000</t>
  </si>
  <si>
    <t>DPI-22906-0000</t>
  </si>
  <si>
    <t>DPI-23000-0000</t>
  </si>
  <si>
    <t>DPI-23100-0000</t>
  </si>
  <si>
    <t>DPI-23500-0000</t>
  </si>
  <si>
    <t>DPI-23501-0000</t>
  </si>
  <si>
    <t>DPI-23700-0000</t>
  </si>
  <si>
    <t>DPI-23800-0000</t>
  </si>
  <si>
    <t>DPI-24200-0000</t>
  </si>
  <si>
    <t>DPI-24300-0000</t>
  </si>
  <si>
    <t>DPI-24400-0000</t>
  </si>
  <si>
    <t>DPI-24500-0000</t>
  </si>
  <si>
    <t>DPI-24600-0000</t>
  </si>
  <si>
    <t>DPI-25005-0000</t>
  </si>
  <si>
    <t>DPI-25009-0000</t>
  </si>
  <si>
    <t>DPI-25600-0000</t>
  </si>
  <si>
    <t>DPI-25601-0000</t>
  </si>
  <si>
    <t>DPI-25602-0000</t>
  </si>
  <si>
    <t>DPI-25603-0000</t>
  </si>
  <si>
    <t>DPI-25604-0000</t>
  </si>
  <si>
    <t>DPI-28000-0000</t>
  </si>
  <si>
    <t>DPI-28002-0000</t>
  </si>
  <si>
    <t>DPI-28003-0000</t>
  </si>
  <si>
    <t>DPI-28004-0000</t>
  </si>
  <si>
    <t>DPI-28005-0000</t>
  </si>
  <si>
    <t>DPI-28006-0000</t>
  </si>
  <si>
    <t>DPI-28007-0000</t>
  </si>
  <si>
    <t>DPI-28008-0000</t>
  </si>
  <si>
    <t>DPI-28009-0000</t>
  </si>
  <si>
    <t>DPI-28010-0000</t>
  </si>
  <si>
    <t>DPI-28011-0000</t>
  </si>
  <si>
    <t>DPI-28012-0000</t>
  </si>
  <si>
    <t>DPI-28013-0000</t>
  </si>
  <si>
    <t>DPI-28014-0000</t>
  </si>
  <si>
    <t>DPI-28015-0000</t>
  </si>
  <si>
    <t>DPI-28016-0000</t>
  </si>
  <si>
    <t>DPI-28017-0000</t>
  </si>
  <si>
    <t>DPI-28018-0000</t>
  </si>
  <si>
    <t>DPI-28019-0000</t>
  </si>
  <si>
    <t>DPI-28020-0000</t>
  </si>
  <si>
    <t>DPI-28021-0000</t>
  </si>
  <si>
    <t>DPI-28022-0000</t>
  </si>
  <si>
    <t>DPI-28023-0000</t>
  </si>
  <si>
    <t>DPI-28024-0000</t>
  </si>
  <si>
    <t>DPI-30101-0000</t>
  </si>
  <si>
    <t>DPI-30501-0000</t>
  </si>
  <si>
    <t>DPI-31001-0000</t>
  </si>
  <si>
    <t>DPI-31002-0000</t>
  </si>
  <si>
    <t>DPI-31003-0000</t>
  </si>
  <si>
    <t>DPI-31005-0000</t>
  </si>
  <si>
    <t>DPI-31007-0000</t>
  </si>
  <si>
    <t>DPI-31008-0000</t>
  </si>
  <si>
    <t>DPI-31009-0000</t>
  </si>
  <si>
    <t>DPI-31010-0000</t>
  </si>
  <si>
    <t>DPI-31012-0000</t>
  </si>
  <si>
    <t>DPI-31015-0000</t>
  </si>
  <si>
    <t>DPI-31016-0000</t>
  </si>
  <si>
    <t>DPI-31018-0000</t>
  </si>
  <si>
    <t>DPI-31801-0000</t>
  </si>
  <si>
    <t>DPI-31802-0000</t>
  </si>
  <si>
    <t>DPI-31803-0000</t>
  </si>
  <si>
    <t>DPI-31804-0000</t>
  </si>
  <si>
    <t>DPI-31900-0000</t>
  </si>
  <si>
    <t>DPI-36000-0000</t>
  </si>
  <si>
    <t>DPI-36002-0000</t>
  </si>
  <si>
    <t>DPI-36003-0000</t>
  </si>
  <si>
    <t>DPI-36004-0000</t>
  </si>
  <si>
    <t>DPI-36005-0000</t>
  </si>
  <si>
    <t>DPI-36006-0000</t>
  </si>
  <si>
    <t>DPI-36008-0000</t>
  </si>
  <si>
    <t>DPI-36018-0000</t>
  </si>
  <si>
    <t>DPI-36801-0000</t>
  </si>
  <si>
    <t>DPI-36802-0000</t>
  </si>
  <si>
    <t>DPI-36803-0000</t>
  </si>
  <si>
    <t>DPI-36804-0000</t>
  </si>
  <si>
    <t>DPI-36900-0000</t>
  </si>
  <si>
    <t>DPI-36901-0000</t>
  </si>
  <si>
    <t>DPI-38100-0000</t>
  </si>
  <si>
    <t>DPI-38100-1000</t>
  </si>
  <si>
    <t>DPI-41112-0000</t>
  </si>
  <si>
    <t>DPI-41120-0000</t>
  </si>
  <si>
    <t>DPI-42110-0000</t>
  </si>
  <si>
    <t>DPI-42130-0000</t>
  </si>
  <si>
    <t>DPI-42140-0000</t>
  </si>
  <si>
    <t>DPI-42150-0000</t>
  </si>
  <si>
    <t>DPI-42160-0000</t>
  </si>
  <si>
    <t>DPI-42405-0000</t>
  </si>
  <si>
    <t>DPI-43120-0000</t>
  </si>
  <si>
    <t>DPI-43121-0000</t>
  </si>
  <si>
    <t>DPI-43200-0000</t>
  </si>
  <si>
    <t>DPI-43410-0000</t>
  </si>
  <si>
    <t>DPI-43420-0000</t>
  </si>
  <si>
    <t>DPI-43430-0000</t>
  </si>
  <si>
    <t>DPI-43440-0000</t>
  </si>
  <si>
    <t>DPI-43450-0000</t>
  </si>
  <si>
    <t>DPI-43480-0000</t>
  </si>
  <si>
    <t>DPI-43490-0000</t>
  </si>
  <si>
    <t>DPI-43491-0000</t>
  </si>
  <si>
    <t>DPI-43492-0000</t>
  </si>
  <si>
    <t>DPI-43493-0000</t>
  </si>
  <si>
    <t>DPI-43494-0000</t>
  </si>
  <si>
    <t>DPI-43495-0000</t>
  </si>
  <si>
    <t>DPI-44000-0000</t>
  </si>
  <si>
    <t>DPI-46000-0000</t>
  </si>
  <si>
    <t>DPI-47300-0000</t>
  </si>
  <si>
    <t>DPI-47550-0000</t>
  </si>
  <si>
    <t>DPI-49500-9999</t>
  </si>
  <si>
    <t>DPI-51001-0000</t>
  </si>
  <si>
    <t>DPI-51003-0000</t>
  </si>
  <si>
    <t>DPI-51004-0000</t>
  </si>
  <si>
    <t>DPI-51010-0000</t>
  </si>
  <si>
    <t>DPI-51014-0000</t>
  </si>
  <si>
    <t>DPI-51015-0000</t>
  </si>
  <si>
    <t>DPI-51018-0000</t>
  </si>
  <si>
    <t>DPI-51019-0000</t>
  </si>
  <si>
    <t>DPI-51021-0000</t>
  </si>
  <si>
    <t>DPI-51022-0000</t>
  </si>
  <si>
    <t>DPI-51023-0000</t>
  </si>
  <si>
    <t>DPI-51024-0000</t>
  </si>
  <si>
    <t>DPI-51025-0000</t>
  </si>
  <si>
    <t>DPI-51026-0000</t>
  </si>
  <si>
    <t>DPI-51027-0000</t>
  </si>
  <si>
    <t>DPI-51028-0000</t>
  </si>
  <si>
    <t>DPI-51029-0000</t>
  </si>
  <si>
    <t>DPI-51030-0000</t>
  </si>
  <si>
    <t>DPI-51350-0000</t>
  </si>
  <si>
    <t>DPI-52002-0000</t>
  </si>
  <si>
    <t>DPI-52005-0000</t>
  </si>
  <si>
    <t>DPI-52007-0000</t>
  </si>
  <si>
    <t>DPI-52008-0000</t>
  </si>
  <si>
    <t>DPI-53007-0000</t>
  </si>
  <si>
    <t>DPI-53011-0000</t>
  </si>
  <si>
    <t>DPI-54001-0000</t>
  </si>
  <si>
    <t>DPI-54002-0000</t>
  </si>
  <si>
    <t>DPI-54005-0000</t>
  </si>
  <si>
    <t>DPI-54100-0000</t>
  </si>
  <si>
    <t>DPI-61001-0000</t>
  </si>
  <si>
    <t>DPI-61002-0000</t>
  </si>
  <si>
    <t>DPI-61003-0000</t>
  </si>
  <si>
    <t>DPI-61004-0000</t>
  </si>
  <si>
    <t>DPI-61005-0000</t>
  </si>
  <si>
    <t>DPI-61006-0000</t>
  </si>
  <si>
    <t>DPI-61007-0000</t>
  </si>
  <si>
    <t>DPI-61008-0000</t>
  </si>
  <si>
    <t>DPI-61009-0000</t>
  </si>
  <si>
    <t>DPI-61010-0000</t>
  </si>
  <si>
    <t>DPI-61011-0000</t>
  </si>
  <si>
    <t>DPI-61012-0000</t>
  </si>
  <si>
    <t>DPI-61013-0000</t>
  </si>
  <si>
    <t>DPI-61014-0000</t>
  </si>
  <si>
    <t>DPI-61015-0000</t>
  </si>
  <si>
    <t>DPI-61016-0000</t>
  </si>
  <si>
    <t>DPI-61017-0000</t>
  </si>
  <si>
    <t>DPI-61021-0000</t>
  </si>
  <si>
    <t>DPI-61022-0000</t>
  </si>
  <si>
    <t>DPI-61023-0000</t>
  </si>
  <si>
    <t>DPI-61024-0000</t>
  </si>
  <si>
    <t>DPI-61025-0000</t>
  </si>
  <si>
    <t>DPI-71010-0000</t>
  </si>
  <si>
    <t>DPI-71020-0000</t>
  </si>
  <si>
    <t>DPI-71030-0000</t>
  </si>
  <si>
    <t>DPI-71040-0000</t>
  </si>
  <si>
    <t>DPI-71050-0000</t>
  </si>
  <si>
    <t>DPI-71060-0000</t>
  </si>
  <si>
    <t>DPI-71070-0000</t>
  </si>
  <si>
    <t>DPI-71080-0000</t>
  </si>
  <si>
    <t>DPI-71090-0000</t>
  </si>
  <si>
    <t>DPI-71100-0000</t>
  </si>
  <si>
    <t>DPI-71110-0000</t>
  </si>
  <si>
    <t>DPI-73101-0000</t>
  </si>
  <si>
    <t>DPI-73103-0000</t>
  </si>
  <si>
    <t>DPI-73105-0000</t>
  </si>
  <si>
    <t>DPI-80006-0000</t>
  </si>
  <si>
    <t>DPI-80061-0000</t>
  </si>
  <si>
    <t>DPI-81019-0000</t>
  </si>
  <si>
    <t>DPI-81220-0000</t>
  </si>
  <si>
    <t>DPI-81228-0000</t>
  </si>
  <si>
    <t>DPI-81400-0000</t>
  </si>
  <si>
    <t>DPI-82900-0000</t>
  </si>
  <si>
    <t>DPI-85500-0000</t>
  </si>
  <si>
    <t>DPI-85700-0000</t>
  </si>
  <si>
    <t>DPM-10003-0000</t>
  </si>
  <si>
    <t>DPM-10004-0000</t>
  </si>
  <si>
    <t>DPM-10005-0000</t>
  </si>
  <si>
    <t>DPM-10006-0000</t>
  </si>
  <si>
    <t>DPM-10009-0000</t>
  </si>
  <si>
    <t>DPM-10010-0000</t>
  </si>
  <si>
    <t>DPM-10011-0000</t>
  </si>
  <si>
    <t>DPM-10012-0000</t>
  </si>
  <si>
    <t>DPM-10023-0000</t>
  </si>
  <si>
    <t>DPM-10024-0000</t>
  </si>
  <si>
    <t>DPM-10027-0000</t>
  </si>
  <si>
    <t>DPM-10050-0000</t>
  </si>
  <si>
    <t>DPM-11200-0000</t>
  </si>
  <si>
    <t>DPM-11201-0000</t>
  </si>
  <si>
    <t>DPM-11202-0000</t>
  </si>
  <si>
    <t>DPM-11203-0000</t>
  </si>
  <si>
    <t>DPM-11204-0000</t>
  </si>
  <si>
    <t>DPM-11208-0000</t>
  </si>
  <si>
    <t>DPM-11210-0000</t>
  </si>
  <si>
    <t>DPM-11212-0000</t>
  </si>
  <si>
    <t>DPM-11214-0000</t>
  </si>
  <si>
    <t>DPM-11215-0000</t>
  </si>
  <si>
    <t>DPM-11232-0000</t>
  </si>
  <si>
    <t>DPM-11301-0000</t>
  </si>
  <si>
    <t>DPM-11302-0000</t>
  </si>
  <si>
    <t>DPM-11303-0000</t>
  </si>
  <si>
    <t>DPM-11304-0000</t>
  </si>
  <si>
    <t>DPM-11305-0000</t>
  </si>
  <si>
    <t>DPM-11307-0000</t>
  </si>
  <si>
    <t>DPM-11308-0000</t>
  </si>
  <si>
    <t>DPM-11309-0000</t>
  </si>
  <si>
    <t>DPM-11310-0000</t>
  </si>
  <si>
    <t>DPM-11311-0000</t>
  </si>
  <si>
    <t>DPM-11312-0000</t>
  </si>
  <si>
    <t>DPM-11313-0000</t>
  </si>
  <si>
    <t>DPM-11314-0000</t>
  </si>
  <si>
    <t>DPM-11315-0000</t>
  </si>
  <si>
    <t>DPM-11316-0000</t>
  </si>
  <si>
    <t>DPM-11317-0000</t>
  </si>
  <si>
    <t>DPM-11318-0000</t>
  </si>
  <si>
    <t>DPM-11319-0000</t>
  </si>
  <si>
    <t>DPM-11320-0000</t>
  </si>
  <si>
    <t>DPM-11321-0000</t>
  </si>
  <si>
    <t>DPM-11322-0000</t>
  </si>
  <si>
    <t>DPM-11323-0000</t>
  </si>
  <si>
    <t>DPM-11324-0000</t>
  </si>
  <si>
    <t>DPM-11325-0000</t>
  </si>
  <si>
    <t>DPM-11326-0000</t>
  </si>
  <si>
    <t>DPM-11327-0000</t>
  </si>
  <si>
    <t>DPM-11328-0000</t>
  </si>
  <si>
    <t>DPM-11329-0000</t>
  </si>
  <si>
    <t>DPM-11330-0000</t>
  </si>
  <si>
    <t>DPM-11331-0000</t>
  </si>
  <si>
    <t>DPM-11332-0000</t>
  </si>
  <si>
    <t>DPM-11333-0000</t>
  </si>
  <si>
    <t>DPM-11334-0000</t>
  </si>
  <si>
    <t>DPM-11335-0000</t>
  </si>
  <si>
    <t>DPM-11336-0000</t>
  </si>
  <si>
    <t>DPM-11337-0000</t>
  </si>
  <si>
    <t>DPM-11338-0000</t>
  </si>
  <si>
    <t>DPM-11339-0000</t>
  </si>
  <si>
    <t>DPM-11340-0000</t>
  </si>
  <si>
    <t>DPM-11341-0000</t>
  </si>
  <si>
    <t>DPM-11342-0000</t>
  </si>
  <si>
    <t>DPM-11344-0000</t>
  </si>
  <si>
    <t>DPM-11345-0000</t>
  </si>
  <si>
    <t>DPM-11347-0000</t>
  </si>
  <si>
    <t>DPM-11348-0000</t>
  </si>
  <si>
    <t>DPM-11349-0000</t>
  </si>
  <si>
    <t>DPM-11350-0000</t>
  </si>
  <si>
    <t>DPM-11351-0000</t>
  </si>
  <si>
    <t>DPM-11352-0000</t>
  </si>
  <si>
    <t>DPM-11353-0000</t>
  </si>
  <si>
    <t>DPM-11354-0000</t>
  </si>
  <si>
    <t>DPM-11355-0000</t>
  </si>
  <si>
    <t>DPM-11356-0000</t>
  </si>
  <si>
    <t>DPM-11357-0000</t>
  </si>
  <si>
    <t>DPM-11358-0000</t>
  </si>
  <si>
    <t>DPM-11359-0000</t>
  </si>
  <si>
    <t>DPM-11361-0000</t>
  </si>
  <si>
    <t>DPM-11363-0000</t>
  </si>
  <si>
    <t>DPM-11364-0000</t>
  </si>
  <si>
    <t>DPM-11365-0000</t>
  </si>
  <si>
    <t>DPM-11366-0000</t>
  </si>
  <si>
    <t>DPM-11402-0000</t>
  </si>
  <si>
    <t>DPM-11403-0000</t>
  </si>
  <si>
    <t>DPM-12100-0000</t>
  </si>
  <si>
    <t>DPM-12105-0000</t>
  </si>
  <si>
    <t>DPM-12400-0000</t>
  </si>
  <si>
    <t>DPM-12401-0000</t>
  </si>
  <si>
    <t>DPM-12402-0000</t>
  </si>
  <si>
    <t>DPM-12403-0000</t>
  </si>
  <si>
    <t>DPM-12501-0000</t>
  </si>
  <si>
    <t>DPM-12510-0000</t>
  </si>
  <si>
    <t>DPM-13010-0000</t>
  </si>
  <si>
    <t>DPM-13050-0000</t>
  </si>
  <si>
    <t>DPM-13610-0000</t>
  </si>
  <si>
    <t>DPM-13620-0000</t>
  </si>
  <si>
    <t>DPM-13810-0000</t>
  </si>
  <si>
    <t>DPM-13811-0000</t>
  </si>
  <si>
    <t>DPM-13811-1000</t>
  </si>
  <si>
    <t>DPM-13812-0000</t>
  </si>
  <si>
    <t>DPM-13812-1000</t>
  </si>
  <si>
    <t>DPM-13813-0000</t>
  </si>
  <si>
    <t>DPM-13813-1000</t>
  </si>
  <si>
    <t>DPM-13820-0000</t>
  </si>
  <si>
    <t>DPM-13820-1000</t>
  </si>
  <si>
    <t>DPM-13821-0000</t>
  </si>
  <si>
    <t>DPM-13821-1000</t>
  </si>
  <si>
    <t>DPM-13822-0000</t>
  </si>
  <si>
    <t>DPM-13822-1000</t>
  </si>
  <si>
    <t>DPM-14100-0000</t>
  </si>
  <si>
    <t>DPM-15500-0000</t>
  </si>
  <si>
    <t>DPM-15600-0000</t>
  </si>
  <si>
    <t>DPM-15700-0000</t>
  </si>
  <si>
    <t>DPM-15800-0000</t>
  </si>
  <si>
    <t>DPM-16000-0000</t>
  </si>
  <si>
    <t>DPM-17000-0000</t>
  </si>
  <si>
    <t>DPM-18000-0000</t>
  </si>
  <si>
    <t>DPM-22000-0000</t>
  </si>
  <si>
    <t>DPM-22003-0000</t>
  </si>
  <si>
    <t>DPM-22005-0000</t>
  </si>
  <si>
    <t>DPM-22310-0000</t>
  </si>
  <si>
    <t>DPM-22800-0000</t>
  </si>
  <si>
    <t>DPM-22801-0000</t>
  </si>
  <si>
    <t>DPM-22810-0000</t>
  </si>
  <si>
    <t>DPM-22900-0000</t>
  </si>
  <si>
    <t>DPM-22905-0000</t>
  </si>
  <si>
    <t>DPM-22906-0000</t>
  </si>
  <si>
    <t>DPM-23000-0000</t>
  </si>
  <si>
    <t>DPM-23100-0000</t>
  </si>
  <si>
    <t>DPM-23500-0000</t>
  </si>
  <si>
    <t>DPM-23501-0000</t>
  </si>
  <si>
    <t>DPM-23700-0000</t>
  </si>
  <si>
    <t>DPM-23800-0000</t>
  </si>
  <si>
    <t>DPM-24200-0000</t>
  </si>
  <si>
    <t>DPM-24300-0000</t>
  </si>
  <si>
    <t>DPM-24400-0000</t>
  </si>
  <si>
    <t>DPM-24500-0000</t>
  </si>
  <si>
    <t>DPM-24600-0000</t>
  </si>
  <si>
    <t>DPM-25005-0000</t>
  </si>
  <si>
    <t>DPM-25009-0000</t>
  </si>
  <si>
    <t>DPM-25600-0000</t>
  </si>
  <si>
    <t>DPM-25601-0000</t>
  </si>
  <si>
    <t>DPM-25602-0000</t>
  </si>
  <si>
    <t>DPM-25603-0000</t>
  </si>
  <si>
    <t>DPM-25604-0000</t>
  </si>
  <si>
    <t>DPM-28000-0000</t>
  </si>
  <si>
    <t>DPM-28002-0000</t>
  </si>
  <si>
    <t>DPM-28003-0000</t>
  </si>
  <si>
    <t>DPM-28004-0000</t>
  </si>
  <si>
    <t>DPM-28005-0000</t>
  </si>
  <si>
    <t>DPM-28006-0000</t>
  </si>
  <si>
    <t>DPM-28007-0000</t>
  </si>
  <si>
    <t>DPM-28008-0000</t>
  </si>
  <si>
    <t>DPM-28009-0000</t>
  </si>
  <si>
    <t>DPM-28010-0000</t>
  </si>
  <si>
    <t>DPM-28011-0000</t>
  </si>
  <si>
    <t>DPM-28012-0000</t>
  </si>
  <si>
    <t>DPM-28013-0000</t>
  </si>
  <si>
    <t>DPM-28014-0000</t>
  </si>
  <si>
    <t>DPM-28015-0000</t>
  </si>
  <si>
    <t>DPM-28016-0000</t>
  </si>
  <si>
    <t>DPM-28017-0000</t>
  </si>
  <si>
    <t>DPM-28018-0000</t>
  </si>
  <si>
    <t>DPM-28019-0000</t>
  </si>
  <si>
    <t>DPM-28020-0000</t>
  </si>
  <si>
    <t>DPM-28021-0000</t>
  </si>
  <si>
    <t>DPM-28022-0000</t>
  </si>
  <si>
    <t>DPM-28023-0000</t>
  </si>
  <si>
    <t>DPM-28024-0000</t>
  </si>
  <si>
    <t>DPM-30101-0000</t>
  </si>
  <si>
    <t>DPM-30501-0000</t>
  </si>
  <si>
    <t>DPM-31001-0000</t>
  </si>
  <si>
    <t>DPM-31002-0000</t>
  </si>
  <si>
    <t>DPM-31003-0000</t>
  </si>
  <si>
    <t>DPM-31005-0000</t>
  </si>
  <si>
    <t>DPM-31007-0000</t>
  </si>
  <si>
    <t>DPM-31008-0000</t>
  </si>
  <si>
    <t>DPM-31009-0000</t>
  </si>
  <si>
    <t>DPM-31010-0000</t>
  </si>
  <si>
    <t>DPM-31012-0000</t>
  </si>
  <si>
    <t>DPM-31015-0000</t>
  </si>
  <si>
    <t>DPM-31016-0000</t>
  </si>
  <si>
    <t>DPM-31018-0000</t>
  </si>
  <si>
    <t>DPM-31801-0000</t>
  </si>
  <si>
    <t>DPM-31802-0000</t>
  </si>
  <si>
    <t>DPM-31803-0000</t>
  </si>
  <si>
    <t>DPM-31804-0000</t>
  </si>
  <si>
    <t>DPM-31900-0000</t>
  </si>
  <si>
    <t>DPM-36000-0000</t>
  </si>
  <si>
    <t>DPM-36002-0000</t>
  </si>
  <si>
    <t>DPM-36003-0000</t>
  </si>
  <si>
    <t>DPM-36004-0000</t>
  </si>
  <si>
    <t>DPM-36005-0000</t>
  </si>
  <si>
    <t>DPM-36006-0000</t>
  </si>
  <si>
    <t>DPM-36008-0000</t>
  </si>
  <si>
    <t>DPM-36018-0000</t>
  </si>
  <si>
    <t>DPM-36801-0000</t>
  </si>
  <si>
    <t>DPM-36802-0000</t>
  </si>
  <si>
    <t>DPM-36803-0000</t>
  </si>
  <si>
    <t>DPM-36804-0000</t>
  </si>
  <si>
    <t>DPM-36900-0000</t>
  </si>
  <si>
    <t>DPM-36901-0000</t>
  </si>
  <si>
    <t>DPM-38100-0000</t>
  </si>
  <si>
    <t>DPM-38100-1000</t>
  </si>
  <si>
    <t>DPM-40140-0000</t>
  </si>
  <si>
    <t>DPM-41112-0000</t>
  </si>
  <si>
    <t>DPM-41120-0000</t>
  </si>
  <si>
    <t>DPM-42110-0000</t>
  </si>
  <si>
    <t>DPM-42130-0000</t>
  </si>
  <si>
    <t>DPM-42140-0000</t>
  </si>
  <si>
    <t>DPM-42150-0000</t>
  </si>
  <si>
    <t>DPM-42160-0000</t>
  </si>
  <si>
    <t>DPM-42405-0000</t>
  </si>
  <si>
    <t>DPM-43120-0000</t>
  </si>
  <si>
    <t>DPM-43121-0000</t>
  </si>
  <si>
    <t>DPM-43200-0000</t>
  </si>
  <si>
    <t>DPM-43410-0000</t>
  </si>
  <si>
    <t>DPM-43420-0000</t>
  </si>
  <si>
    <t>DPM-43430-0000</t>
  </si>
  <si>
    <t>DPM-43440-0000</t>
  </si>
  <si>
    <t>DPM-43450-0000</t>
  </si>
  <si>
    <t>DPM-43480-0000</t>
  </si>
  <si>
    <t>DPM-43490-0000</t>
  </si>
  <si>
    <t>DPM-43491-0000</t>
  </si>
  <si>
    <t>DPM-43492-0000</t>
  </si>
  <si>
    <t>DPM-43493-0000</t>
  </si>
  <si>
    <t>DPM-43494-0000</t>
  </si>
  <si>
    <t>DPM-43495-0000</t>
  </si>
  <si>
    <t>DPM-44000-0000</t>
  </si>
  <si>
    <t>DPM-47300-0000</t>
  </si>
  <si>
    <t>DPM-47550-0000</t>
  </si>
  <si>
    <t>DPM-49500-9999</t>
  </si>
  <si>
    <t>DPM-51001-0000</t>
  </si>
  <si>
    <t>DPM-51002-0000</t>
  </si>
  <si>
    <t>DPM-51003-0000</t>
  </si>
  <si>
    <t>DPM-51004-0000</t>
  </si>
  <si>
    <t>DPM-51005-0000</t>
  </si>
  <si>
    <t>DPM-51007-0000</t>
  </si>
  <si>
    <t>DPM-51010-0000</t>
  </si>
  <si>
    <t>DPM-51013-0000</t>
  </si>
  <si>
    <t>DPM-51014-0000</t>
  </si>
  <si>
    <t>DPM-51021-0000</t>
  </si>
  <si>
    <t>DPM-51022-0000</t>
  </si>
  <si>
    <t>DPM-51023-0000</t>
  </si>
  <si>
    <t>DPM-51024-0000</t>
  </si>
  <si>
    <t>DPM-51025-0000</t>
  </si>
  <si>
    <t>DPM-51026-0000</t>
  </si>
  <si>
    <t>DPM-51027-0000</t>
  </si>
  <si>
    <t>DPM-51028-0000</t>
  </si>
  <si>
    <t>DPM-51030-0000</t>
  </si>
  <si>
    <t>DPM-51350-0000</t>
  </si>
  <si>
    <t>DPM-52002-0000</t>
  </si>
  <si>
    <t>DPM-52005-0000</t>
  </si>
  <si>
    <t>DPM-52007-0000</t>
  </si>
  <si>
    <t>DPM-52008-0000</t>
  </si>
  <si>
    <t>DPM-53007-0000</t>
  </si>
  <si>
    <t>DPM-53011-0000</t>
  </si>
  <si>
    <t>DPM-54100-0000</t>
  </si>
  <si>
    <t>DPM-61001-0000</t>
  </si>
  <si>
    <t>DPM-61002-0000</t>
  </si>
  <si>
    <t>DPM-61003-0000</t>
  </si>
  <si>
    <t>DPM-61004-0000</t>
  </si>
  <si>
    <t>DPM-61005-0000</t>
  </si>
  <si>
    <t>DPM-61006-0000</t>
  </si>
  <si>
    <t>DPM-61007-0000</t>
  </si>
  <si>
    <t>DPM-61008-0000</t>
  </si>
  <si>
    <t>DPM-61009-0000</t>
  </si>
  <si>
    <t>DPM-61010-0000</t>
  </si>
  <si>
    <t>DPM-61011-0000</t>
  </si>
  <si>
    <t>DPM-61012-0000</t>
  </si>
  <si>
    <t>DPM-61013-0000</t>
  </si>
  <si>
    <t>DPM-61014-0000</t>
  </si>
  <si>
    <t>DPM-61015-0000</t>
  </si>
  <si>
    <t>DPM-61016-0000</t>
  </si>
  <si>
    <t>DPM-61017-0000</t>
  </si>
  <si>
    <t>DPM-61021-0000</t>
  </si>
  <si>
    <t>DPM-61022-0000</t>
  </si>
  <si>
    <t>DPM-61024-0000</t>
  </si>
  <si>
    <t>DPM-61025-0000</t>
  </si>
  <si>
    <t>DPM-71010-0000</t>
  </si>
  <si>
    <t>DPM-71020-0000</t>
  </si>
  <si>
    <t>DPM-71030-0000</t>
  </si>
  <si>
    <t>DPM-71040-0000</t>
  </si>
  <si>
    <t>DPM-71050-0000</t>
  </si>
  <si>
    <t>DPM-71060-0000</t>
  </si>
  <si>
    <t>DPM-71070-0000</t>
  </si>
  <si>
    <t>DPM-71080-0000</t>
  </si>
  <si>
    <t>DPM-71090-0000</t>
  </si>
  <si>
    <t>DPM-71100-0000</t>
  </si>
  <si>
    <t>DPM-71110-0000</t>
  </si>
  <si>
    <t>DPM-73101-0000</t>
  </si>
  <si>
    <t>DPM-73103-0000</t>
  </si>
  <si>
    <t>DPM-73105-0000</t>
  </si>
  <si>
    <t>DPM-80006-0000</t>
  </si>
  <si>
    <t>DPM-80061-0000</t>
  </si>
  <si>
    <t>DPM-81019-0000</t>
  </si>
  <si>
    <t>DPM-81220-0000</t>
  </si>
  <si>
    <t>DPM-81228-0000</t>
  </si>
  <si>
    <t>DPM-81400-0000</t>
  </si>
  <si>
    <t>DPM-82900-0000</t>
  </si>
  <si>
    <t>DPM-85500-0000</t>
  </si>
  <si>
    <t>DPM-85700-0000</t>
  </si>
  <si>
    <t>EAG-10004-0000</t>
  </si>
  <si>
    <t>EAG-10005-0000</t>
  </si>
  <si>
    <t>EAG-10006-0000</t>
  </si>
  <si>
    <t>EAG-10009-0000</t>
  </si>
  <si>
    <t>EAG-10010-0000</t>
  </si>
  <si>
    <t>EAG-10011-0000</t>
  </si>
  <si>
    <t>EAG-10012-0000</t>
  </si>
  <si>
    <t>EAG-10023-0000</t>
  </si>
  <si>
    <t>EAG-10024-0000</t>
  </si>
  <si>
    <t>EAG-10027-0000</t>
  </si>
  <si>
    <t>EAG-10050-0000</t>
  </si>
  <si>
    <t>EAG-11200-0000</t>
  </si>
  <si>
    <t>EAG-11201-0000</t>
  </si>
  <si>
    <t>EAG-11202-0000</t>
  </si>
  <si>
    <t>EAG-11203-0000</t>
  </si>
  <si>
    <t>EAG-11204-0000</t>
  </si>
  <si>
    <t>EAG-11208-0000</t>
  </si>
  <si>
    <t>EAG-11210-0000</t>
  </si>
  <si>
    <t>EAG-11212-0000</t>
  </si>
  <si>
    <t>EAG-11215-0000</t>
  </si>
  <si>
    <t>EAG-11232-0000</t>
  </si>
  <si>
    <t>EAG-11301-0000</t>
  </si>
  <si>
    <t>EAG-11302-0000</t>
  </si>
  <si>
    <t>EAG-11303-0000</t>
  </si>
  <si>
    <t>EAG-11304-0000</t>
  </si>
  <si>
    <t>EAG-11307-0000</t>
  </si>
  <si>
    <t>EAG-11308-0000</t>
  </si>
  <si>
    <t>EAG-11309-0000</t>
  </si>
  <si>
    <t>EAG-11310-0000</t>
  </si>
  <si>
    <t>EAG-11311-0000</t>
  </si>
  <si>
    <t>EAG-11312-0000</t>
  </si>
  <si>
    <t>EAG-11313-0000</t>
  </si>
  <si>
    <t>EAG-11314-0000</t>
  </si>
  <si>
    <t>EAG-11315-0000</t>
  </si>
  <si>
    <t>EAG-11316-0000</t>
  </si>
  <si>
    <t>EAG-11318-0000</t>
  </si>
  <si>
    <t>EAG-11319-0000</t>
  </si>
  <si>
    <t>EAG-11320-0000</t>
  </si>
  <si>
    <t>EAG-11321-0000</t>
  </si>
  <si>
    <t>EAG-11322-0000</t>
  </si>
  <si>
    <t>EAG-11323-0000</t>
  </si>
  <si>
    <t>EAG-11324-0000</t>
  </si>
  <si>
    <t>EAG-11325-0000</t>
  </si>
  <si>
    <t>EAG-11326-0000</t>
  </si>
  <si>
    <t>EAG-11327-0000</t>
  </si>
  <si>
    <t>EAG-11328-0000</t>
  </si>
  <si>
    <t>EAG-11329-0000</t>
  </si>
  <si>
    <t>EAG-11330-0000</t>
  </si>
  <si>
    <t>EAG-11331-0000</t>
  </si>
  <si>
    <t>EAG-11334-0000</t>
  </si>
  <si>
    <t>EAG-11336-0000</t>
  </si>
  <si>
    <t>EAG-11337-0000</t>
  </si>
  <si>
    <t>EAG-11338-0000</t>
  </si>
  <si>
    <t>EAG-11339-0000</t>
  </si>
  <si>
    <t>EAG-11340-0000</t>
  </si>
  <si>
    <t>EAG-11341-0000</t>
  </si>
  <si>
    <t>EAG-11342-0000</t>
  </si>
  <si>
    <t>EAG-11344-0000</t>
  </si>
  <si>
    <t>EAG-11345-0000</t>
  </si>
  <si>
    <t>EAG-11346-0000</t>
  </si>
  <si>
    <t>EAG-11347-0000</t>
  </si>
  <si>
    <t>EAG-11348-0000</t>
  </si>
  <si>
    <t>EAG-11349-0000</t>
  </si>
  <si>
    <t>EAG-11350-0000</t>
  </si>
  <si>
    <t>EAG-11351-0000</t>
  </si>
  <si>
    <t>EAG-11352-0000</t>
  </si>
  <si>
    <t>EAG-11353-0000</t>
  </si>
  <si>
    <t>EAG-11354-0000</t>
  </si>
  <si>
    <t>EAG-11355-0000</t>
  </si>
  <si>
    <t>EAG-11356-0000</t>
  </si>
  <si>
    <t>EAG-11357-0000</t>
  </si>
  <si>
    <t>EAG-11358-0000</t>
  </si>
  <si>
    <t>EAG-11359-0000</t>
  </si>
  <si>
    <t>EAG-11361-0000</t>
  </si>
  <si>
    <t>EAG-11363-0000</t>
  </si>
  <si>
    <t>EAG-11364-0000</t>
  </si>
  <si>
    <t>EAG-11365-0000</t>
  </si>
  <si>
    <t>EAG-11366-0000</t>
  </si>
  <si>
    <t>EAG-11403-0000</t>
  </si>
  <si>
    <t>EAG-12100-0000</t>
  </si>
  <si>
    <t>EAG-12105-0000</t>
  </si>
  <si>
    <t>EAG-12400-0000</t>
  </si>
  <si>
    <t>EAG-12401-0000</t>
  </si>
  <si>
    <t>EAG-12402-0000</t>
  </si>
  <si>
    <t>EAG-12403-0000</t>
  </si>
  <si>
    <t>EAG-12501-0000</t>
  </si>
  <si>
    <t>EAG-12510-0000</t>
  </si>
  <si>
    <t>EAG-13010-0000</t>
  </si>
  <si>
    <t>EAG-13050-0000</t>
  </si>
  <si>
    <t>EAG-13610-0000</t>
  </si>
  <si>
    <t>EAG-13620-0000</t>
  </si>
  <si>
    <t>EAG-13810-0000</t>
  </si>
  <si>
    <t>EAG-13811-0000</t>
  </si>
  <si>
    <t>EAG-13811-1000</t>
  </si>
  <si>
    <t>EAG-13812-0000</t>
  </si>
  <si>
    <t>EAG-13812-1000</t>
  </si>
  <si>
    <t>EAG-13813-0000</t>
  </si>
  <si>
    <t>EAG-13813-1000</t>
  </si>
  <si>
    <t>EAG-13820-0000</t>
  </si>
  <si>
    <t>EAG-13820-1000</t>
  </si>
  <si>
    <t>EAG-13821-0000</t>
  </si>
  <si>
    <t>EAG-13821-1000</t>
  </si>
  <si>
    <t>EAG-13822-0000</t>
  </si>
  <si>
    <t>EAG-13822-1000</t>
  </si>
  <si>
    <t>EAG-14100-0000</t>
  </si>
  <si>
    <t>EAG-15600-0000</t>
  </si>
  <si>
    <t>EAG-15700-0000</t>
  </si>
  <si>
    <t>EAG-15800-0000</t>
  </si>
  <si>
    <t>EAG-22000-0000</t>
  </si>
  <si>
    <t>EAG-22001-0000</t>
  </si>
  <si>
    <t>EAG-22003-0000</t>
  </si>
  <si>
    <t>EAG-22005-0000</t>
  </si>
  <si>
    <t>EAG-22310-0000</t>
  </si>
  <si>
    <t>EAG-22800-0000</t>
  </si>
  <si>
    <t>EAG-22801-0000</t>
  </si>
  <si>
    <t>EAG-22810-0000</t>
  </si>
  <si>
    <t>EAG-22900-0000</t>
  </si>
  <si>
    <t>EAG-22905-0000</t>
  </si>
  <si>
    <t>EAG-22906-0000</t>
  </si>
  <si>
    <t>EAG-23000-0000</t>
  </si>
  <si>
    <t>EAG-23100-0000</t>
  </si>
  <si>
    <t>EAG-23500-0000</t>
  </si>
  <si>
    <t>EAG-23501-0000</t>
  </si>
  <si>
    <t>EAG-23700-0000</t>
  </si>
  <si>
    <t>EAG-23800-0000</t>
  </si>
  <si>
    <t>EAG-24200-0000</t>
  </si>
  <si>
    <t>EAG-24300-0000</t>
  </si>
  <si>
    <t>EAG-24400-0000</t>
  </si>
  <si>
    <t>EAG-24500-0000</t>
  </si>
  <si>
    <t>EAG-24600-0000</t>
  </si>
  <si>
    <t>EAG-25005-0000</t>
  </si>
  <si>
    <t>EAG-25009-0000</t>
  </si>
  <si>
    <t>EAG-25600-0000</t>
  </si>
  <si>
    <t>EAG-25601-0000</t>
  </si>
  <si>
    <t>EAG-25602-0000</t>
  </si>
  <si>
    <t>EAG-25603-0000</t>
  </si>
  <si>
    <t>EAG-25604-0000</t>
  </si>
  <si>
    <t>EAG-28000-0000</t>
  </si>
  <si>
    <t>EAG-28002-0000</t>
  </si>
  <si>
    <t>EAG-28004-0000</t>
  </si>
  <si>
    <t>EAG-28005-0000</t>
  </si>
  <si>
    <t>EAG-28006-0000</t>
  </si>
  <si>
    <t>EAG-28007-0000</t>
  </si>
  <si>
    <t>EAG-28008-0000</t>
  </si>
  <si>
    <t>EAG-28009-0000</t>
  </si>
  <si>
    <t>EAG-28010-0000</t>
  </si>
  <si>
    <t>EAG-28011-0000</t>
  </si>
  <si>
    <t>EAG-28012-0000</t>
  </si>
  <si>
    <t>EAG-28013-0000</t>
  </si>
  <si>
    <t>EAG-28014-0000</t>
  </si>
  <si>
    <t>EAG-28015-0000</t>
  </si>
  <si>
    <t>EAG-28016-0000</t>
  </si>
  <si>
    <t>EAG-28017-0000</t>
  </si>
  <si>
    <t>EAG-28018-0000</t>
  </si>
  <si>
    <t>EAG-28019-0000</t>
  </si>
  <si>
    <t>EAG-28020-0000</t>
  </si>
  <si>
    <t>EAG-28021-0000</t>
  </si>
  <si>
    <t>EAG-28022-0000</t>
  </si>
  <si>
    <t>EAG-28023-0000</t>
  </si>
  <si>
    <t>EAG-28024-0000</t>
  </si>
  <si>
    <t>EAG-30101-0000</t>
  </si>
  <si>
    <t>EAG-30501-0000</t>
  </si>
  <si>
    <t>EAG-31001-0000</t>
  </si>
  <si>
    <t>EAG-31002-0000</t>
  </si>
  <si>
    <t>EAG-31003-0000</t>
  </si>
  <si>
    <t>EAG-31005-0000</t>
  </si>
  <si>
    <t>EAG-31007-0000</t>
  </si>
  <si>
    <t>EAG-31008-0000</t>
  </si>
  <si>
    <t>EAG-31009-0000</t>
  </si>
  <si>
    <t>EAG-31010-0000</t>
  </si>
  <si>
    <t>EAG-31012-0000</t>
  </si>
  <si>
    <t>EAG-31015-0000</t>
  </si>
  <si>
    <t>EAG-31016-0000</t>
  </si>
  <si>
    <t>EAG-31018-0000</t>
  </si>
  <si>
    <t>EAG-31801-0000</t>
  </si>
  <si>
    <t>EAG-31802-0000</t>
  </si>
  <si>
    <t>EAG-31803-0000</t>
  </si>
  <si>
    <t>EAG-31804-0000</t>
  </si>
  <si>
    <t>EAG-31900-0000</t>
  </si>
  <si>
    <t>EAG-36000-0000</t>
  </si>
  <si>
    <t>EAG-36002-0000</t>
  </si>
  <si>
    <t>EAG-36003-0000</t>
  </si>
  <si>
    <t>EAG-36004-0000</t>
  </si>
  <si>
    <t>EAG-36005-0000</t>
  </si>
  <si>
    <t>EAG-36006-0000</t>
  </si>
  <si>
    <t>EAG-36008-0000</t>
  </si>
  <si>
    <t>EAG-36018-0000</t>
  </si>
  <si>
    <t>EAG-36801-0000</t>
  </si>
  <si>
    <t>EAG-36802-0000</t>
  </si>
  <si>
    <t>EAG-36803-0000</t>
  </si>
  <si>
    <t>EAG-36804-0000</t>
  </si>
  <si>
    <t>EAG-36900-0000</t>
  </si>
  <si>
    <t>EAG-36901-0000</t>
  </si>
  <si>
    <t>EAG-38100-0000</t>
  </si>
  <si>
    <t>EAG-38100-1000</t>
  </si>
  <si>
    <t>EAG-41112-0000</t>
  </si>
  <si>
    <t>EAG-41120-0000</t>
  </si>
  <si>
    <t>EAG-42110-0000</t>
  </si>
  <si>
    <t>EAG-42130-0000</t>
  </si>
  <si>
    <t>EAG-42140-0000</t>
  </si>
  <si>
    <t>EAG-42150-0000</t>
  </si>
  <si>
    <t>EAG-42160-0000</t>
  </si>
  <si>
    <t>EAG-42405-0000</t>
  </si>
  <si>
    <t>EAG-43120-0000</t>
  </si>
  <si>
    <t>EAG-43121-0000</t>
  </si>
  <si>
    <t>EAG-43200-0000</t>
  </si>
  <si>
    <t>EAG-43410-0000</t>
  </si>
  <si>
    <t>EAG-43420-0000</t>
  </si>
  <si>
    <t>EAG-43430-0000</t>
  </si>
  <si>
    <t>EAG-43440-0000</t>
  </si>
  <si>
    <t>EAG-43450-0000</t>
  </si>
  <si>
    <t>EAG-43480-0000</t>
  </si>
  <si>
    <t>EAG-43490-0000</t>
  </si>
  <si>
    <t>EAG-43491-0000</t>
  </si>
  <si>
    <t>EAG-43492-0000</t>
  </si>
  <si>
    <t>EAG-43493-0000</t>
  </si>
  <si>
    <t>EAG-43494-0000</t>
  </si>
  <si>
    <t>EAG-43495-0000</t>
  </si>
  <si>
    <t>EAG-44000-0000</t>
  </si>
  <si>
    <t>EAG-46000-0000</t>
  </si>
  <si>
    <t>EAG-47300-0000</t>
  </si>
  <si>
    <t>EAG-47550-0000</t>
  </si>
  <si>
    <t>EAG-49500-9999</t>
  </si>
  <si>
    <t>EAG-51001-0000</t>
  </si>
  <si>
    <t>EAG-51002-0000</t>
  </si>
  <si>
    <t>EAG-51003-0000</t>
  </si>
  <si>
    <t>EAG-51004-0000</t>
  </si>
  <si>
    <t>EAG-51005-0000</t>
  </si>
  <si>
    <t>EAG-51010-0000</t>
  </si>
  <si>
    <t>EAG-51014-0000</t>
  </si>
  <si>
    <t>EAG-51018-0000</t>
  </si>
  <si>
    <t>EAG-51019-0000</t>
  </si>
  <si>
    <t>EAG-51021-0000</t>
  </si>
  <si>
    <t>EAG-51022-0000</t>
  </si>
  <si>
    <t>EAG-51023-0000</t>
  </si>
  <si>
    <t>EAG-51024-0000</t>
  </si>
  <si>
    <t>EAG-51026-0000</t>
  </si>
  <si>
    <t>EAG-51027-0000</t>
  </si>
  <si>
    <t>EAG-51028-0000</t>
  </si>
  <si>
    <t>EAG-51029-0000</t>
  </si>
  <si>
    <t>EAG-51030-0000</t>
  </si>
  <si>
    <t>EAG-51350-0000</t>
  </si>
  <si>
    <t>EAG-52005-0000</t>
  </si>
  <si>
    <t>EAG-52007-0000</t>
  </si>
  <si>
    <t>EAG-52008-0000</t>
  </si>
  <si>
    <t>EAG-53007-0000</t>
  </si>
  <si>
    <t>EAG-53011-0000</t>
  </si>
  <si>
    <t>EAG-54001-0000</t>
  </si>
  <si>
    <t>EAG-54100-0000</t>
  </si>
  <si>
    <t>EAG-61001-0000</t>
  </si>
  <si>
    <t>EAG-61002-0000</t>
  </si>
  <si>
    <t>EAG-61003-0000</t>
  </si>
  <si>
    <t>EAG-61004-0000</t>
  </si>
  <si>
    <t>EAG-61005-0000</t>
  </si>
  <si>
    <t>EAG-61006-0000</t>
  </si>
  <si>
    <t>EAG-61007-0000</t>
  </si>
  <si>
    <t>EAG-61008-0000</t>
  </si>
  <si>
    <t>EAG-61009-0000</t>
  </si>
  <si>
    <t>EAG-61010-0000</t>
  </si>
  <si>
    <t>EAG-61011-0000</t>
  </si>
  <si>
    <t>EAG-61012-0000</t>
  </si>
  <si>
    <t>EAG-61013-0000</t>
  </si>
  <si>
    <t>EAG-61014-0000</t>
  </si>
  <si>
    <t>EAG-61015-0000</t>
  </si>
  <si>
    <t>EAG-61017-0000</t>
  </si>
  <si>
    <t>EAG-61021-0000</t>
  </si>
  <si>
    <t>EAG-61022-0000</t>
  </si>
  <si>
    <t>EAG-61023-0000</t>
  </si>
  <si>
    <t>EAG-61024-0000</t>
  </si>
  <si>
    <t>EAG-61025-0000</t>
  </si>
  <si>
    <t>EAG-71010-0000</t>
  </si>
  <si>
    <t>EAG-71020-0000</t>
  </si>
  <si>
    <t>EAG-71030-0000</t>
  </si>
  <si>
    <t>EAG-71040-0000</t>
  </si>
  <si>
    <t>EAG-71050-0000</t>
  </si>
  <si>
    <t>EAG-71060-0000</t>
  </si>
  <si>
    <t>EAG-71070-0000</t>
  </si>
  <si>
    <t>EAG-71080-0000</t>
  </si>
  <si>
    <t>EAG-71090-0000</t>
  </si>
  <si>
    <t>EAG-71100-0000</t>
  </si>
  <si>
    <t>EAG-71110-0000</t>
  </si>
  <si>
    <t>EAG-73101-0000</t>
  </si>
  <si>
    <t>EAG-73103-0000</t>
  </si>
  <si>
    <t>EAG-73105-0000</t>
  </si>
  <si>
    <t>EAG-80006-0000</t>
  </si>
  <si>
    <t>EAG-80061-0000</t>
  </si>
  <si>
    <t>EAG-81019-0000</t>
  </si>
  <si>
    <t>EAG-81220-0000</t>
  </si>
  <si>
    <t>EAG-81228-0000</t>
  </si>
  <si>
    <t>EAG-81400-0000</t>
  </si>
  <si>
    <t>EAG-82900-0000</t>
  </si>
  <si>
    <t>EAG-85500-0000</t>
  </si>
  <si>
    <t>EAG-85700-0000</t>
  </si>
  <si>
    <t>EAL-10003-0000</t>
  </si>
  <si>
    <t>EAL-10004-0000</t>
  </si>
  <si>
    <t>EAL-10005-0000</t>
  </si>
  <si>
    <t>EAL-10006-0000</t>
  </si>
  <si>
    <t>EAL-10009-0000</t>
  </si>
  <si>
    <t>EAL-10010-0000</t>
  </si>
  <si>
    <t>EAL-10011-0000</t>
  </si>
  <si>
    <t>EAL-10012-0000</t>
  </si>
  <si>
    <t>EAL-10023-0000</t>
  </si>
  <si>
    <t>EAL-10024-0000</t>
  </si>
  <si>
    <t>EAL-10027-0000</t>
  </si>
  <si>
    <t>EAL-10050-0000</t>
  </si>
  <si>
    <t>EAL-11200-0000</t>
  </si>
  <si>
    <t>EAL-11201-0000</t>
  </si>
  <si>
    <t>EAL-11202-0000</t>
  </si>
  <si>
    <t>EAL-11203-0000</t>
  </si>
  <si>
    <t>EAL-11204-0000</t>
  </si>
  <si>
    <t>EAL-11208-0000</t>
  </si>
  <si>
    <t>EAL-11210-0000</t>
  </si>
  <si>
    <t>EAL-11212-0000</t>
  </si>
  <si>
    <t>EAL-11214-0000</t>
  </si>
  <si>
    <t>EAL-11215-0000</t>
  </si>
  <si>
    <t>EAL-11232-0000</t>
  </si>
  <si>
    <t>EAL-11301-0000</t>
  </si>
  <si>
    <t>EAL-11302-0000</t>
  </si>
  <si>
    <t>EAL-11303-0000</t>
  </si>
  <si>
    <t>EAL-11304-0000</t>
  </si>
  <si>
    <t>EAL-11305-0000</t>
  </si>
  <si>
    <t>EAL-11307-0000</t>
  </si>
  <si>
    <t>EAL-11308-0000</t>
  </si>
  <si>
    <t>EAL-11309-0000</t>
  </si>
  <si>
    <t>EAL-11310-0000</t>
  </si>
  <si>
    <t>EAL-11311-0000</t>
  </si>
  <si>
    <t>EAL-11312-0000</t>
  </si>
  <si>
    <t>EAL-11313-0000</t>
  </si>
  <si>
    <t>EAL-11314-0000</t>
  </si>
  <si>
    <t>EAL-11315-0000</t>
  </si>
  <si>
    <t>EAL-11316-0000</t>
  </si>
  <si>
    <t>EAL-11317-0000</t>
  </si>
  <si>
    <t>EAL-11318-0000</t>
  </si>
  <si>
    <t>EAL-11319-0000</t>
  </si>
  <si>
    <t>EAL-11320-0000</t>
  </si>
  <si>
    <t>EAL-11321-0000</t>
  </si>
  <si>
    <t>EAL-11322-0000</t>
  </si>
  <si>
    <t>EAL-11323-0000</t>
  </si>
  <si>
    <t>EAL-11324-0000</t>
  </si>
  <si>
    <t>EAL-11325-0000</t>
  </si>
  <si>
    <t>EAL-11326-0000</t>
  </si>
  <si>
    <t>EAL-11327-0000</t>
  </si>
  <si>
    <t>EAL-11328-0000</t>
  </si>
  <si>
    <t>EAL-11329-0000</t>
  </si>
  <si>
    <t>EAL-11330-0000</t>
  </si>
  <si>
    <t>EAL-11331-0000</t>
  </si>
  <si>
    <t>EAL-11332-0000</t>
  </si>
  <si>
    <t>EAL-11333-0000</t>
  </si>
  <si>
    <t>EAL-11334-0000</t>
  </si>
  <si>
    <t>EAL-11335-0000</t>
  </si>
  <si>
    <t>EAL-11336-0000</t>
  </si>
  <si>
    <t>EAL-11337-0000</t>
  </si>
  <si>
    <t>EAL-11338-0000</t>
  </si>
  <si>
    <t>EAL-11339-0000</t>
  </si>
  <si>
    <t>EAL-11340-0000</t>
  </si>
  <si>
    <t>EAL-11341-0000</t>
  </si>
  <si>
    <t>EAL-11343-0000</t>
  </si>
  <si>
    <t>EAL-11344-0000</t>
  </si>
  <si>
    <t>EAL-11345-0000</t>
  </si>
  <si>
    <t>EAL-11347-0000</t>
  </si>
  <si>
    <t>EAL-11348-0000</t>
  </si>
  <si>
    <t>EAL-11349-0000</t>
  </si>
  <si>
    <t>EAL-11350-0000</t>
  </si>
  <si>
    <t>EAL-11351-0000</t>
  </si>
  <si>
    <t>EAL-11352-0000</t>
  </si>
  <si>
    <t>EAL-11353-0000</t>
  </si>
  <si>
    <t>EAL-11354-0000</t>
  </si>
  <si>
    <t>EAL-11355-0000</t>
  </si>
  <si>
    <t>EAL-11356-0000</t>
  </si>
  <si>
    <t>EAL-11357-0000</t>
  </si>
  <si>
    <t>EAL-11358-0000</t>
  </si>
  <si>
    <t>EAL-11359-0000</t>
  </si>
  <si>
    <t>EAL-11361-0000</t>
  </si>
  <si>
    <t>EAL-11363-0000</t>
  </si>
  <si>
    <t>EAL-11364-0000</t>
  </si>
  <si>
    <t>EAL-11365-0000</t>
  </si>
  <si>
    <t>EAL-11366-0000</t>
  </si>
  <si>
    <t>EAL-11402-0000</t>
  </si>
  <si>
    <t>EAL-11403-0000</t>
  </si>
  <si>
    <t>EAL-12100-0000</t>
  </si>
  <si>
    <t>EAL-12105-0000</t>
  </si>
  <si>
    <t>EAL-12400-0000</t>
  </si>
  <si>
    <t>EAL-12401-0000</t>
  </si>
  <si>
    <t>EAL-12402-0000</t>
  </si>
  <si>
    <t>EAL-12403-0000</t>
  </si>
  <si>
    <t>EAL-12501-0000</t>
  </si>
  <si>
    <t>EAL-12510-0000</t>
  </si>
  <si>
    <t>EAL-13010-0000</t>
  </si>
  <si>
    <t>EAL-13050-0000</t>
  </si>
  <si>
    <t>EAL-13610-0000</t>
  </si>
  <si>
    <t>EAL-13620-0000</t>
  </si>
  <si>
    <t>EAL-13810-0000</t>
  </si>
  <si>
    <t>EAL-13811-0000</t>
  </si>
  <si>
    <t>EAL-13811-1000</t>
  </si>
  <si>
    <t>EAL-13812-0000</t>
  </si>
  <si>
    <t>EAL-13812-1000</t>
  </si>
  <si>
    <t>EAL-13813-0000</t>
  </si>
  <si>
    <t>EAL-13813-1000</t>
  </si>
  <si>
    <t>EAL-13820-0000</t>
  </si>
  <si>
    <t>EAL-13820-1000</t>
  </si>
  <si>
    <t>EAL-13821-0000</t>
  </si>
  <si>
    <t>EAL-13821-1000</t>
  </si>
  <si>
    <t>EAL-13822-0000</t>
  </si>
  <si>
    <t>EAL-13822-1000</t>
  </si>
  <si>
    <t>EAL-14100-0000</t>
  </si>
  <si>
    <t>EAL-15500-0000</t>
  </si>
  <si>
    <t>EAL-15600-0000</t>
  </si>
  <si>
    <t>EAL-15700-0000</t>
  </si>
  <si>
    <t>EAL-15800-0000</t>
  </si>
  <si>
    <t>EAL-16000-0000</t>
  </si>
  <si>
    <t>EAL-17000-0000</t>
  </si>
  <si>
    <t>EAL-18000-0000</t>
  </si>
  <si>
    <t>EAL-22000-0000</t>
  </si>
  <si>
    <t>EAL-22001-0000</t>
  </si>
  <si>
    <t>EAL-22003-0000</t>
  </si>
  <si>
    <t>EAL-22005-0000</t>
  </si>
  <si>
    <t>EAL-22310-0000</t>
  </si>
  <si>
    <t>EAL-22800-0000</t>
  </si>
  <si>
    <t>EAL-22801-0000</t>
  </si>
  <si>
    <t>EAL-22810-0000</t>
  </si>
  <si>
    <t>EAL-22900-0000</t>
  </si>
  <si>
    <t>EAL-22905-0000</t>
  </si>
  <si>
    <t>EAL-22906-0000</t>
  </si>
  <si>
    <t>EAL-23000-0000</t>
  </si>
  <si>
    <t>EAL-23100-0000</t>
  </si>
  <si>
    <t>EAL-23500-0000</t>
  </si>
  <si>
    <t>EAL-23501-0000</t>
  </si>
  <si>
    <t>EAL-23700-0000</t>
  </si>
  <si>
    <t>EAL-23800-0000</t>
  </si>
  <si>
    <t>EAL-24200-0000</t>
  </si>
  <si>
    <t>EAL-24300-0000</t>
  </si>
  <si>
    <t>EAL-24400-0000</t>
  </si>
  <si>
    <t>EAL-24500-0000</t>
  </si>
  <si>
    <t>EAL-24600-0000</t>
  </si>
  <si>
    <t>EAL-25005-0000</t>
  </si>
  <si>
    <t>EAL-25009-0000</t>
  </si>
  <si>
    <t>EAL-25600-0000</t>
  </si>
  <si>
    <t>EAL-25601-0000</t>
  </si>
  <si>
    <t>EAL-25602-0000</t>
  </si>
  <si>
    <t>EAL-25603-0000</t>
  </si>
  <si>
    <t>EAL-25604-0000</t>
  </si>
  <si>
    <t>EAL-28001-0000</t>
  </si>
  <si>
    <t>EAL-28002-0000</t>
  </si>
  <si>
    <t>EAL-28003-0000</t>
  </si>
  <si>
    <t>EAL-28004-0000</t>
  </si>
  <si>
    <t>EAL-28005-0000</t>
  </si>
  <si>
    <t>EAL-28006-0000</t>
  </si>
  <si>
    <t>EAL-28007-0000</t>
  </si>
  <si>
    <t>EAL-28008-0000</t>
  </si>
  <si>
    <t>EAL-28009-0000</t>
  </si>
  <si>
    <t>EAL-28010-0000</t>
  </si>
  <si>
    <t>EAL-28011-0000</t>
  </si>
  <si>
    <t>EAL-28012-0000</t>
  </si>
  <si>
    <t>EAL-28013-0000</t>
  </si>
  <si>
    <t>EAL-28014-0000</t>
  </si>
  <si>
    <t>EAL-28015-0000</t>
  </si>
  <si>
    <t>EAL-28016-0000</t>
  </si>
  <si>
    <t>EAL-28017-0000</t>
  </si>
  <si>
    <t>EAL-28018-0000</t>
  </si>
  <si>
    <t>EAL-28019-0000</t>
  </si>
  <si>
    <t>EAL-28020-0000</t>
  </si>
  <si>
    <t>EAL-28021-0000</t>
  </si>
  <si>
    <t>EAL-28022-0000</t>
  </si>
  <si>
    <t>EAL-28023-0000</t>
  </si>
  <si>
    <t>EAL-28024-0000</t>
  </si>
  <si>
    <t>EAL-30101-0000</t>
  </si>
  <si>
    <t>EAL-30501-0000</t>
  </si>
  <si>
    <t>EAL-31001-0000</t>
  </si>
  <si>
    <t>EAL-31002-0000</t>
  </si>
  <si>
    <t>EAL-31003-0000</t>
  </si>
  <si>
    <t>EAL-31005-0000</t>
  </si>
  <si>
    <t>EAL-31007-0000</t>
  </si>
  <si>
    <t>EAL-31008-0000</t>
  </si>
  <si>
    <t>EAL-31009-0000</t>
  </si>
  <si>
    <t>EAL-31010-0000</t>
  </si>
  <si>
    <t>EAL-31012-0000</t>
  </si>
  <si>
    <t>EAL-31015-0000</t>
  </si>
  <si>
    <t>EAL-31016-0000</t>
  </si>
  <si>
    <t>EAL-31018-0000</t>
  </si>
  <si>
    <t>EAL-31801-0000</t>
  </si>
  <si>
    <t>EAL-31802-0000</t>
  </si>
  <si>
    <t>EAL-31803-0000</t>
  </si>
  <si>
    <t>EAL-31804-0000</t>
  </si>
  <si>
    <t>EAL-31900-0000</t>
  </si>
  <si>
    <t>EAL-36000-0000</t>
  </si>
  <si>
    <t>EAL-36002-0000</t>
  </si>
  <si>
    <t>EAL-36003-0000</t>
  </si>
  <si>
    <t>EAL-36004-0000</t>
  </si>
  <si>
    <t>EAL-36005-0000</t>
  </si>
  <si>
    <t>EAL-36006-0000</t>
  </si>
  <si>
    <t>EAL-36008-0000</t>
  </si>
  <si>
    <t>EAL-36018-0000</t>
  </si>
  <si>
    <t>EAL-36801-0000</t>
  </si>
  <si>
    <t>EAL-36802-0000</t>
  </si>
  <si>
    <t>EAL-36803-0000</t>
  </si>
  <si>
    <t>EAL-36804-0000</t>
  </si>
  <si>
    <t>EAL-36900-0000</t>
  </si>
  <si>
    <t>EAL-36901-0000</t>
  </si>
  <si>
    <t>EAL-38100-0000</t>
  </si>
  <si>
    <t>EAL-38100-1000</t>
  </si>
  <si>
    <t>EAL-41112-0000</t>
  </si>
  <si>
    <t>EAL-41120-0000</t>
  </si>
  <si>
    <t>EAL-42110-0000</t>
  </si>
  <si>
    <t>EAL-42130-0000</t>
  </si>
  <si>
    <t>EAL-42140-0000</t>
  </si>
  <si>
    <t>EAL-42150-0000</t>
  </si>
  <si>
    <t>EAL-42160-0000</t>
  </si>
  <si>
    <t>EAL-42405-0000</t>
  </si>
  <si>
    <t>EAL-43120-0000</t>
  </si>
  <si>
    <t>EAL-43121-0000</t>
  </si>
  <si>
    <t>EAL-43200-0000</t>
  </si>
  <si>
    <t>EAL-43410-0000</t>
  </si>
  <si>
    <t>EAL-43420-0000</t>
  </si>
  <si>
    <t>EAL-43430-0000</t>
  </si>
  <si>
    <t>EAL-43440-0000</t>
  </si>
  <si>
    <t>EAL-43450-0000</t>
  </si>
  <si>
    <t>EAL-43480-0000</t>
  </si>
  <si>
    <t>EAL-43490-0000</t>
  </si>
  <si>
    <t>EAL-43491-0000</t>
  </si>
  <si>
    <t>EAL-43492-0000</t>
  </si>
  <si>
    <t>EAL-43493-0000</t>
  </si>
  <si>
    <t>EAL-43494-0000</t>
  </si>
  <si>
    <t>EAL-43495-0000</t>
  </si>
  <si>
    <t>EAL-44000-0000</t>
  </si>
  <si>
    <t>EAL-46000-0000</t>
  </si>
  <si>
    <t>EAL-47300-0000</t>
  </si>
  <si>
    <t>EAL-47550-0000</t>
  </si>
  <si>
    <t>EAL-49500-9999</t>
  </si>
  <si>
    <t>EAL-51001-0000</t>
  </si>
  <si>
    <t>EAL-51002-0000</t>
  </si>
  <si>
    <t>EAL-51003-0000</t>
  </si>
  <si>
    <t>EAL-51004-0000</t>
  </si>
  <si>
    <t>EAL-51005-0000</t>
  </si>
  <si>
    <t>EAL-51007-0000</t>
  </si>
  <si>
    <t>EAL-51010-0000</t>
  </si>
  <si>
    <t>EAL-51013-0000</t>
  </si>
  <si>
    <t>EAL-51014-0000</t>
  </si>
  <si>
    <t>EAL-51018-0000</t>
  </si>
  <si>
    <t>EAL-51019-0000</t>
  </si>
  <si>
    <t>EAL-51021-0000</t>
  </si>
  <si>
    <t>EAL-51022-0000</t>
  </si>
  <si>
    <t>EAL-51023-0000</t>
  </si>
  <si>
    <t>EAL-51024-0000</t>
  </si>
  <si>
    <t>EAL-51026-0000</t>
  </si>
  <si>
    <t>EAL-51027-0000</t>
  </si>
  <si>
    <t>EAL-51028-0000</t>
  </si>
  <si>
    <t>EAL-51030-0000</t>
  </si>
  <si>
    <t>EAL-51350-0000</t>
  </si>
  <si>
    <t>EAL-52002-0000</t>
  </si>
  <si>
    <t>EAL-52005-0000</t>
  </si>
  <si>
    <t>EAL-52007-0000</t>
  </si>
  <si>
    <t>EAL-52008-0000</t>
  </si>
  <si>
    <t>EAL-53007-0000</t>
  </si>
  <si>
    <t>EAL-53011-0000</t>
  </si>
  <si>
    <t>EAL-54100-0000</t>
  </si>
  <si>
    <t>EAL-61001-0000</t>
  </si>
  <si>
    <t>EAL-61002-0000</t>
  </si>
  <si>
    <t>EAL-61003-0000</t>
  </si>
  <si>
    <t>EAL-61004-0000</t>
  </si>
  <si>
    <t>EAL-61005-0000</t>
  </si>
  <si>
    <t>EAL-61006-0000</t>
  </si>
  <si>
    <t>EAL-61007-0000</t>
  </si>
  <si>
    <t>EAL-61008-0000</t>
  </si>
  <si>
    <t>EAL-61009-0000</t>
  </si>
  <si>
    <t>EAL-61010-0000</t>
  </si>
  <si>
    <t>EAL-61011-0000</t>
  </si>
  <si>
    <t>EAL-61012-0000</t>
  </si>
  <si>
    <t>EAL-61013-0000</t>
  </si>
  <si>
    <t>EAL-61014-0000</t>
  </si>
  <si>
    <t>EAL-61015-0000</t>
  </si>
  <si>
    <t>EAL-61016-0000</t>
  </si>
  <si>
    <t>EAL-61017-0000</t>
  </si>
  <si>
    <t>EAL-61021-0000</t>
  </si>
  <si>
    <t>EAL-61022-0000</t>
  </si>
  <si>
    <t>EAL-61023-0000</t>
  </si>
  <si>
    <t>EAL-61024-0000</t>
  </si>
  <si>
    <t>EAL-61025-0000</t>
  </si>
  <si>
    <t>EAL-71010-0000</t>
  </si>
  <si>
    <t>EAL-71020-0000</t>
  </si>
  <si>
    <t>EAL-71030-0000</t>
  </si>
  <si>
    <t>EAL-71040-0000</t>
  </si>
  <si>
    <t>EAL-71050-0000</t>
  </si>
  <si>
    <t>EAL-71060-0000</t>
  </si>
  <si>
    <t>EAL-71070-0000</t>
  </si>
  <si>
    <t>EAL-71080-0000</t>
  </si>
  <si>
    <t>EAL-71090-0000</t>
  </si>
  <si>
    <t>EAL-71100-0000</t>
  </si>
  <si>
    <t>EAL-71110-0000</t>
  </si>
  <si>
    <t>EAL-73101-0000</t>
  </si>
  <si>
    <t>EAL-73103-0000</t>
  </si>
  <si>
    <t>EAL-73105-0000</t>
  </si>
  <si>
    <t>EAL-80006-0000</t>
  </si>
  <si>
    <t>EAL-80061-0000</t>
  </si>
  <si>
    <t>EAL-81019-0000</t>
  </si>
  <si>
    <t>EAL-81220-0000</t>
  </si>
  <si>
    <t>EAL-81228-0000</t>
  </si>
  <si>
    <t>EAL-81400-0000</t>
  </si>
  <si>
    <t>EAL-82900-0000</t>
  </si>
  <si>
    <t>EAL-85500-0000</t>
  </si>
  <si>
    <t>EAL-85700-0000</t>
  </si>
  <si>
    <t>EAM-10003-0000</t>
  </si>
  <si>
    <t>EAM-10004-0000</t>
  </si>
  <si>
    <t>EAM-10005-0000</t>
  </si>
  <si>
    <t>EAM-10006-0000</t>
  </si>
  <si>
    <t>EAM-10009-0000</t>
  </si>
  <si>
    <t>EAM-10010-0000</t>
  </si>
  <si>
    <t>EAM-10011-0000</t>
  </si>
  <si>
    <t>EAM-10012-0000</t>
  </si>
  <si>
    <t>EAM-10023-0000</t>
  </si>
  <si>
    <t>EAM-10024-0000</t>
  </si>
  <si>
    <t>EAM-10027-0000</t>
  </si>
  <si>
    <t>EAM-10050-0000</t>
  </si>
  <si>
    <t>EAM-11200-0000</t>
  </si>
  <si>
    <t>EAM-11201-0000</t>
  </si>
  <si>
    <t>EAM-11202-0000</t>
  </si>
  <si>
    <t>EAM-11203-0000</t>
  </si>
  <si>
    <t>EAM-11204-0000</t>
  </si>
  <si>
    <t>EAM-11208-0000</t>
  </si>
  <si>
    <t>EAM-11210-0000</t>
  </si>
  <si>
    <t>EAM-11212-0000</t>
  </si>
  <si>
    <t>EAM-11214-0000</t>
  </si>
  <si>
    <t>EAM-11215-0000</t>
  </si>
  <si>
    <t>EAM-11232-0000</t>
  </si>
  <si>
    <t>EAM-11301-0000</t>
  </si>
  <si>
    <t>EAM-11302-0000</t>
  </si>
  <si>
    <t>EAM-11303-0000</t>
  </si>
  <si>
    <t>EAM-11304-0000</t>
  </si>
  <si>
    <t>EAM-11305-0000</t>
  </si>
  <si>
    <t>EAM-11307-0000</t>
  </si>
  <si>
    <t>EAM-11308-0000</t>
  </si>
  <si>
    <t>EAM-11309-0000</t>
  </si>
  <si>
    <t>EAM-11310-0000</t>
  </si>
  <si>
    <t>EAM-11311-0000</t>
  </si>
  <si>
    <t>EAM-11312-0000</t>
  </si>
  <si>
    <t>EAM-11313-0000</t>
  </si>
  <si>
    <t>EAM-11314-0000</t>
  </si>
  <si>
    <t>EAM-11315-0000</t>
  </si>
  <si>
    <t>EAM-11316-0000</t>
  </si>
  <si>
    <t>EAM-11317-0000</t>
  </si>
  <si>
    <t>EAM-11318-0000</t>
  </si>
  <si>
    <t>EAM-11319-0000</t>
  </si>
  <si>
    <t>EAM-11320-0000</t>
  </si>
  <si>
    <t>EAM-11321-0000</t>
  </si>
  <si>
    <t>EAM-11322-0000</t>
  </si>
  <si>
    <t>EAM-11323-0000</t>
  </si>
  <si>
    <t>EAM-11324-0000</t>
  </si>
  <si>
    <t>EAM-11325-0000</t>
  </si>
  <si>
    <t>EAM-11326-0000</t>
  </si>
  <si>
    <t>EAM-11327-0000</t>
  </si>
  <si>
    <t>EAM-11328-0000</t>
  </si>
  <si>
    <t>EAM-11329-0000</t>
  </si>
  <si>
    <t>EAM-11330-0000</t>
  </si>
  <si>
    <t>EAM-11331-0000</t>
  </si>
  <si>
    <t>EAM-11332-0000</t>
  </si>
  <si>
    <t>EAM-11333-0000</t>
  </si>
  <si>
    <t>EAM-11334-0000</t>
  </si>
  <si>
    <t>EAM-11335-0000</t>
  </si>
  <si>
    <t>EAM-11336-0000</t>
  </si>
  <si>
    <t>EAM-11337-0000</t>
  </si>
  <si>
    <t>EAM-11338-0000</t>
  </si>
  <si>
    <t>EAM-11339-0000</t>
  </si>
  <si>
    <t>EAM-11340-0000</t>
  </si>
  <si>
    <t>EAM-11341-0000</t>
  </si>
  <si>
    <t>EAM-11343-0000</t>
  </si>
  <si>
    <t>EAM-11344-0000</t>
  </si>
  <si>
    <t>EAM-11345-0000</t>
  </si>
  <si>
    <t>EAM-11346-0000</t>
  </si>
  <si>
    <t>EAM-11347-0000</t>
  </si>
  <si>
    <t>EAM-11348-0000</t>
  </si>
  <si>
    <t>EAM-11349-0000</t>
  </si>
  <si>
    <t>EAM-11350-0000</t>
  </si>
  <si>
    <t>EAM-11351-0000</t>
  </si>
  <si>
    <t>EAM-11352-0000</t>
  </si>
  <si>
    <t>EAM-11353-0000</t>
  </si>
  <si>
    <t>EAM-11354-0000</t>
  </si>
  <si>
    <t>EAM-11355-0000</t>
  </si>
  <si>
    <t>EAM-11356-0000</t>
  </si>
  <si>
    <t>EAM-11357-0000</t>
  </si>
  <si>
    <t>EAM-11358-0000</t>
  </si>
  <si>
    <t>EAM-11359-0000</t>
  </si>
  <si>
    <t>EAM-11361-0000</t>
  </si>
  <si>
    <t>EAM-11363-0000</t>
  </si>
  <si>
    <t>EAM-11364-0000</t>
  </si>
  <si>
    <t>EAM-11365-0000</t>
  </si>
  <si>
    <t>EAM-11366-0000</t>
  </si>
  <si>
    <t>EAM-11402-0000</t>
  </si>
  <si>
    <t>EAM-11403-0000</t>
  </si>
  <si>
    <t>EAM-12100-0000</t>
  </si>
  <si>
    <t>EAM-12105-0000</t>
  </si>
  <si>
    <t>EAM-12400-0000</t>
  </si>
  <si>
    <t>EAM-12401-0000</t>
  </si>
  <si>
    <t>EAM-12402-0000</t>
  </si>
  <si>
    <t>EAM-12403-0000</t>
  </si>
  <si>
    <t>EAM-12501-0000</t>
  </si>
  <si>
    <t>EAM-12510-0000</t>
  </si>
  <si>
    <t>EAM-13010-0000</t>
  </si>
  <si>
    <t>EAM-13050-0000</t>
  </si>
  <si>
    <t>EAM-13610-0000</t>
  </si>
  <si>
    <t>EAM-13620-0000</t>
  </si>
  <si>
    <t>EAM-13810-0000</t>
  </si>
  <si>
    <t>EAM-13811-0000</t>
  </si>
  <si>
    <t>EAM-13811-1000</t>
  </si>
  <si>
    <t>EAM-13812-0000</t>
  </si>
  <si>
    <t>EAM-13812-1000</t>
  </si>
  <si>
    <t>EAM-13813-0000</t>
  </si>
  <si>
    <t>EAM-13813-1000</t>
  </si>
  <si>
    <t>EAM-13820-0000</t>
  </si>
  <si>
    <t>EAM-13820-1000</t>
  </si>
  <si>
    <t>EAM-13821-0000</t>
  </si>
  <si>
    <t>EAM-13821-1000</t>
  </si>
  <si>
    <t>EAM-13822-0000</t>
  </si>
  <si>
    <t>EAM-13822-1000</t>
  </si>
  <si>
    <t>EAM-14100-0000</t>
  </si>
  <si>
    <t>EAM-15500-0000</t>
  </si>
  <si>
    <t>EAM-15600-0000</t>
  </si>
  <si>
    <t>EAM-15700-0000</t>
  </si>
  <si>
    <t>EAM-15800-0000</t>
  </si>
  <si>
    <t>EAM-16000-0000</t>
  </si>
  <si>
    <t>EAM-18000-0000</t>
  </si>
  <si>
    <t>EAM-22000-0000</t>
  </si>
  <si>
    <t>EAM-22001-0000</t>
  </si>
  <si>
    <t>EAM-22003-0000</t>
  </si>
  <si>
    <t>EAM-22005-0000</t>
  </si>
  <si>
    <t>EAM-22310-0000</t>
  </si>
  <si>
    <t>EAM-22800-0000</t>
  </si>
  <si>
    <t>EAM-22801-0000</t>
  </si>
  <si>
    <t>EAM-22810-0000</t>
  </si>
  <si>
    <t>EAM-22900-0000</t>
  </si>
  <si>
    <t>EAM-22905-0000</t>
  </si>
  <si>
    <t>EAM-22906-0000</t>
  </si>
  <si>
    <t>EAM-23000-0000</t>
  </si>
  <si>
    <t>EAM-23100-0000</t>
  </si>
  <si>
    <t>EAM-23500-0000</t>
  </si>
  <si>
    <t>EAM-23501-0000</t>
  </si>
  <si>
    <t>EAM-23700-0000</t>
  </si>
  <si>
    <t>EAM-23800-0000</t>
  </si>
  <si>
    <t>EAM-24200-0000</t>
  </si>
  <si>
    <t>EAM-24300-0000</t>
  </si>
  <si>
    <t>EAM-24400-0000</t>
  </si>
  <si>
    <t>EAM-24500-0000</t>
  </si>
  <si>
    <t>EAM-24600-0000</t>
  </si>
  <si>
    <t>EAM-25005-0000</t>
  </si>
  <si>
    <t>EAM-25009-0000</t>
  </si>
  <si>
    <t>EAM-25600-0000</t>
  </si>
  <si>
    <t>EAM-25601-0000</t>
  </si>
  <si>
    <t>EAM-25602-0000</t>
  </si>
  <si>
    <t>EAM-25603-0000</t>
  </si>
  <si>
    <t>EAM-25604-0000</t>
  </si>
  <si>
    <t>EAM-28000-0000</t>
  </si>
  <si>
    <t>EAM-28001-0000</t>
  </si>
  <si>
    <t>EAM-28002-0000</t>
  </si>
  <si>
    <t>EAM-28004-0000</t>
  </si>
  <si>
    <t>EAM-28005-0000</t>
  </si>
  <si>
    <t>EAM-28006-0000</t>
  </si>
  <si>
    <t>EAM-28007-0000</t>
  </si>
  <si>
    <t>EAM-28008-0000</t>
  </si>
  <si>
    <t>EAM-28009-0000</t>
  </si>
  <si>
    <t>EAM-28010-0000</t>
  </si>
  <si>
    <t>EAM-28011-0000</t>
  </si>
  <si>
    <t>EAM-28012-0000</t>
  </si>
  <si>
    <t>EAM-28013-0000</t>
  </si>
  <si>
    <t>EAM-28014-0000</t>
  </si>
  <si>
    <t>EAM-28015-0000</t>
  </si>
  <si>
    <t>EAM-28016-0000</t>
  </si>
  <si>
    <t>EAM-28017-0000</t>
  </si>
  <si>
    <t>EAM-28018-0000</t>
  </si>
  <si>
    <t>EAM-28019-0000</t>
  </si>
  <si>
    <t>EAM-28020-0000</t>
  </si>
  <si>
    <t>EAM-28021-0000</t>
  </si>
  <si>
    <t>EAM-28022-0000</t>
  </si>
  <si>
    <t>EAM-28023-0000</t>
  </si>
  <si>
    <t>EAM-28024-0000</t>
  </si>
  <si>
    <t>EAM-30101-0000</t>
  </si>
  <si>
    <t>EAM-30501-0000</t>
  </si>
  <si>
    <t>EAM-31001-0000</t>
  </si>
  <si>
    <t>EAM-31002-0000</t>
  </si>
  <si>
    <t>EAM-31003-0000</t>
  </si>
  <si>
    <t>EAM-31005-0000</t>
  </si>
  <si>
    <t>EAM-31007-0000</t>
  </si>
  <si>
    <t>EAM-31008-0000</t>
  </si>
  <si>
    <t>EAM-31009-0000</t>
  </si>
  <si>
    <t>EAM-31010-0000</t>
  </si>
  <si>
    <t>EAM-31012-0000</t>
  </si>
  <si>
    <t>EAM-31015-0000</t>
  </si>
  <si>
    <t>EAM-31016-0000</t>
  </si>
  <si>
    <t>EAM-31018-0000</t>
  </si>
  <si>
    <t>EAM-31801-0000</t>
  </si>
  <si>
    <t>EAM-31802-0000</t>
  </si>
  <si>
    <t>EAM-31803-0000</t>
  </si>
  <si>
    <t>EAM-31804-0000</t>
  </si>
  <si>
    <t>EAM-31900-0000</t>
  </si>
  <si>
    <t>EAM-36000-0000</t>
  </si>
  <si>
    <t>EAM-36002-0000</t>
  </si>
  <si>
    <t>EAM-36003-0000</t>
  </si>
  <si>
    <t>EAM-36004-0000</t>
  </si>
  <si>
    <t>EAM-36005-0000</t>
  </si>
  <si>
    <t>EAM-36006-0000</t>
  </si>
  <si>
    <t>EAM-36008-0000</t>
  </si>
  <si>
    <t>EAM-36018-0000</t>
  </si>
  <si>
    <t>EAM-36801-0000</t>
  </si>
  <si>
    <t>EAM-36802-0000</t>
  </si>
  <si>
    <t>EAM-36803-0000</t>
  </si>
  <si>
    <t>EAM-36804-0000</t>
  </si>
  <si>
    <t>EAM-36900-0000</t>
  </si>
  <si>
    <t>EAM-36901-0000</t>
  </si>
  <si>
    <t>EAM-38100-0000</t>
  </si>
  <si>
    <t>EAM-38100-1000</t>
  </si>
  <si>
    <t>EAM-41112-0000</t>
  </si>
  <si>
    <t>EAM-41120-0000</t>
  </si>
  <si>
    <t>EAM-42110-0000</t>
  </si>
  <si>
    <t>EAM-42130-0000</t>
  </si>
  <si>
    <t>EAM-42140-0000</t>
  </si>
  <si>
    <t>EAM-42150-0000</t>
  </si>
  <si>
    <t>EAM-42160-0000</t>
  </si>
  <si>
    <t>EAM-42405-0000</t>
  </si>
  <si>
    <t>EAM-43120-0000</t>
  </si>
  <si>
    <t>EAM-43121-0000</t>
  </si>
  <si>
    <t>EAM-43200-0000</t>
  </si>
  <si>
    <t>EAM-43410-0000</t>
  </si>
  <si>
    <t>EAM-43420-0000</t>
  </si>
  <si>
    <t>EAM-43430-0000</t>
  </si>
  <si>
    <t>EAM-43440-0000</t>
  </si>
  <si>
    <t>EAM-43450-0000</t>
  </si>
  <si>
    <t>EAM-43480-0000</t>
  </si>
  <si>
    <t>EAM-43490-0000</t>
  </si>
  <si>
    <t>EAM-43491-0000</t>
  </si>
  <si>
    <t>EAM-43492-0000</t>
  </si>
  <si>
    <t>EAM-43493-0000</t>
  </si>
  <si>
    <t>EAM-43494-0000</t>
  </si>
  <si>
    <t>EAM-43495-0000</t>
  </si>
  <si>
    <t>EAM-44000-0000</t>
  </si>
  <si>
    <t>EAM-46000-0000</t>
  </si>
  <si>
    <t>EAM-47300-0000</t>
  </si>
  <si>
    <t>EAM-47550-0000</t>
  </si>
  <si>
    <t>EAM-49500-9999</t>
  </si>
  <si>
    <t>EAM-51003-0000</t>
  </si>
  <si>
    <t>EAM-51004-0000</t>
  </si>
  <si>
    <t>EAM-51007-0000</t>
  </si>
  <si>
    <t>EAM-51010-0000</t>
  </si>
  <si>
    <t>EAM-51013-0000</t>
  </si>
  <si>
    <t>EAM-51014-0000</t>
  </si>
  <si>
    <t>EAM-51018-0000</t>
  </si>
  <si>
    <t>EAM-51021-0000</t>
  </si>
  <si>
    <t>EAM-51022-0000</t>
  </si>
  <si>
    <t>EAM-51023-0000</t>
  </si>
  <si>
    <t>EAM-51026-0000</t>
  </si>
  <si>
    <t>EAM-51027-0000</t>
  </si>
  <si>
    <t>EAM-51028-0000</t>
  </si>
  <si>
    <t>EAM-51029-0000</t>
  </si>
  <si>
    <t>EAM-51030-0000</t>
  </si>
  <si>
    <t>EAM-51350-0000</t>
  </si>
  <si>
    <t>EAM-52005-0000</t>
  </si>
  <si>
    <t>EAM-52007-0000</t>
  </si>
  <si>
    <t>EAM-52008-0000</t>
  </si>
  <si>
    <t>EAM-53007-0000</t>
  </si>
  <si>
    <t>EAM-53011-0000</t>
  </si>
  <si>
    <t>EAM-54100-0000</t>
  </si>
  <si>
    <t>EAM-61001-0000</t>
  </si>
  <si>
    <t>EAM-61002-0000</t>
  </si>
  <si>
    <t>EAM-61003-0000</t>
  </si>
  <si>
    <t>EAM-61004-0000</t>
  </si>
  <si>
    <t>EAM-61005-0000</t>
  </si>
  <si>
    <t>EAM-61006-0000</t>
  </si>
  <si>
    <t>EAM-61007-0000</t>
  </si>
  <si>
    <t>EAM-61008-0000</t>
  </si>
  <si>
    <t>EAM-61009-0000</t>
  </si>
  <si>
    <t>EAM-61010-0000</t>
  </si>
  <si>
    <t>EAM-61011-0000</t>
  </si>
  <si>
    <t>EAM-61012-0000</t>
  </si>
  <si>
    <t>EAM-61013-0000</t>
  </si>
  <si>
    <t>EAM-61014-0000</t>
  </si>
  <si>
    <t>EAM-61015-0000</t>
  </si>
  <si>
    <t>EAM-61016-0000</t>
  </si>
  <si>
    <t>EAM-61017-0000</t>
  </si>
  <si>
    <t>EAM-61021-0000</t>
  </si>
  <si>
    <t>EAM-61022-0000</t>
  </si>
  <si>
    <t>EAM-61024-0000</t>
  </si>
  <si>
    <t>EAM-61025-0000</t>
  </si>
  <si>
    <t>EAM-71010-0000</t>
  </si>
  <si>
    <t>EAM-71020-0000</t>
  </si>
  <si>
    <t>EAM-71030-0000</t>
  </si>
  <si>
    <t>EAM-71040-0000</t>
  </si>
  <si>
    <t>EAM-71050-0000</t>
  </si>
  <si>
    <t>EAM-71060-0000</t>
  </si>
  <si>
    <t>EAM-71070-0000</t>
  </si>
  <si>
    <t>EAM-71080-0000</t>
  </si>
  <si>
    <t>EAM-71090-0000</t>
  </si>
  <si>
    <t>EAM-71100-0000</t>
  </si>
  <si>
    <t>EAM-71110-0000</t>
  </si>
  <si>
    <t>EAM-73101-0000</t>
  </si>
  <si>
    <t>EAM-73103-0000</t>
  </si>
  <si>
    <t>EAM-73105-0000</t>
  </si>
  <si>
    <t>EAM-80006-0000</t>
  </si>
  <si>
    <t>EAM-80061-0000</t>
  </si>
  <si>
    <t>EAM-81019-0000</t>
  </si>
  <si>
    <t>EAM-81220-0000</t>
  </si>
  <si>
    <t>EAM-81228-0000</t>
  </si>
  <si>
    <t>EAM-81400-0000</t>
  </si>
  <si>
    <t>EAM-82900-0000</t>
  </si>
  <si>
    <t>EAM-85500-0000</t>
  </si>
  <si>
    <t>EAM-85700-0000</t>
  </si>
  <si>
    <t>GPI-10003-0000</t>
  </si>
  <si>
    <t>GPI-10004-0000</t>
  </si>
  <si>
    <t>GPI-10005-0000</t>
  </si>
  <si>
    <t>GPI-10006-0000</t>
  </si>
  <si>
    <t>GPI-10009-0000</t>
  </si>
  <si>
    <t>GPI-10010-0000</t>
  </si>
  <si>
    <t>GPI-10011-0000</t>
  </si>
  <si>
    <t>GPI-10012-0000</t>
  </si>
  <si>
    <t>GPI-10023-0000</t>
  </si>
  <si>
    <t>GPI-10024-0000</t>
  </si>
  <si>
    <t>GPI-10027-0000</t>
  </si>
  <si>
    <t>GPI-10050-0000</t>
  </si>
  <si>
    <t>GPI-11200-0000</t>
  </si>
  <si>
    <t>GPI-11201-0000</t>
  </si>
  <si>
    <t>GPI-11202-0000</t>
  </si>
  <si>
    <t>GPI-11203-0000</t>
  </si>
  <si>
    <t>GPI-11204-0000</t>
  </si>
  <si>
    <t>GPI-11208-0000</t>
  </si>
  <si>
    <t>GPI-11210-0000</t>
  </si>
  <si>
    <t>GPI-11212-0000</t>
  </si>
  <si>
    <t>GPI-11215-0000</t>
  </si>
  <si>
    <t>GPI-11232-0000</t>
  </si>
  <si>
    <t>GPI-11302-0000</t>
  </si>
  <si>
    <t>GPI-11303-0000</t>
  </si>
  <si>
    <t>GPI-11304-0000</t>
  </si>
  <si>
    <t>GPI-11307-0000</t>
  </si>
  <si>
    <t>GPI-11309-0000</t>
  </si>
  <si>
    <t>GPI-11310-0000</t>
  </si>
  <si>
    <t>GPI-11311-0000</t>
  </si>
  <si>
    <t>GPI-11312-0000</t>
  </si>
  <si>
    <t>GPI-11313-0000</t>
  </si>
  <si>
    <t>GPI-11314-0000</t>
  </si>
  <si>
    <t>GPI-11315-0000</t>
  </si>
  <si>
    <t>GPI-11316-0000</t>
  </si>
  <si>
    <t>GPI-11318-0000</t>
  </si>
  <si>
    <t>GPI-11319-0000</t>
  </si>
  <si>
    <t>GPI-11320-0000</t>
  </si>
  <si>
    <t>GPI-11321-0000</t>
  </si>
  <si>
    <t>GPI-11322-0000</t>
  </si>
  <si>
    <t>GPI-11323-0000</t>
  </si>
  <si>
    <t>GPI-11324-0000</t>
  </si>
  <si>
    <t>GPI-11325-0000</t>
  </si>
  <si>
    <t>GPI-11326-0000</t>
  </si>
  <si>
    <t>GPI-11327-0000</t>
  </si>
  <si>
    <t>GPI-11328-0000</t>
  </si>
  <si>
    <t>GPI-11329-0000</t>
  </si>
  <si>
    <t>GPI-11330-0000</t>
  </si>
  <si>
    <t>GPI-11331-0000</t>
  </si>
  <si>
    <t>GPI-11332-0000</t>
  </si>
  <si>
    <t>GPI-11333-0000</t>
  </si>
  <si>
    <t>GPI-11334-0000</t>
  </si>
  <si>
    <t>GPI-11335-0000</t>
  </si>
  <si>
    <t>GPI-11336-0000</t>
  </si>
  <si>
    <t>GPI-11337-0000</t>
  </si>
  <si>
    <t>GPI-11338-0000</t>
  </si>
  <si>
    <t>GPI-11339-0000</t>
  </si>
  <si>
    <t>GPI-11340-0000</t>
  </si>
  <si>
    <t>GPI-11341-0000</t>
  </si>
  <si>
    <t>GPI-11342-0000</t>
  </si>
  <si>
    <t>GPI-11343-0000</t>
  </si>
  <si>
    <t>GPI-11344-0000</t>
  </si>
  <si>
    <t>GPI-11345-0000</t>
  </si>
  <si>
    <t>GPI-11346-0000</t>
  </si>
  <si>
    <t>GPI-11347-0000</t>
  </si>
  <si>
    <t>GPI-11348-0000</t>
  </si>
  <si>
    <t>GPI-11349-0000</t>
  </si>
  <si>
    <t>GPI-11350-0000</t>
  </si>
  <si>
    <t>GPI-11351-0000</t>
  </si>
  <si>
    <t>GPI-11352-0000</t>
  </si>
  <si>
    <t>GPI-11353-0000</t>
  </si>
  <si>
    <t>GPI-11354-0000</t>
  </si>
  <si>
    <t>GPI-11355-0000</t>
  </si>
  <si>
    <t>GPI-11356-0000</t>
  </si>
  <si>
    <t>GPI-11357-0000</t>
  </si>
  <si>
    <t>GPI-11358-0000</t>
  </si>
  <si>
    <t>GPI-11359-0000</t>
  </si>
  <si>
    <t>GPI-11361-0000</t>
  </si>
  <si>
    <t>GPI-11363-0000</t>
  </si>
  <si>
    <t>GPI-11364-0000</t>
  </si>
  <si>
    <t>GPI-11365-0000</t>
  </si>
  <si>
    <t>GPI-11366-0000</t>
  </si>
  <si>
    <t>GPI-11403-0000</t>
  </si>
  <si>
    <t>GPI-12100-0000</t>
  </si>
  <si>
    <t>GPI-12105-0000</t>
  </si>
  <si>
    <t>GPI-12400-0000</t>
  </si>
  <si>
    <t>GPI-12401-0000</t>
  </si>
  <si>
    <t>GPI-12402-0000</t>
  </si>
  <si>
    <t>GPI-12403-0000</t>
  </si>
  <si>
    <t>GPI-12501-0000</t>
  </si>
  <si>
    <t>GPI-12510-0000</t>
  </si>
  <si>
    <t>GPI-13010-0000</t>
  </si>
  <si>
    <t>GPI-13050-0000</t>
  </si>
  <si>
    <t>GPI-13610-0000</t>
  </si>
  <si>
    <t>GPI-13620-0000</t>
  </si>
  <si>
    <t>GPI-13810-0000</t>
  </si>
  <si>
    <t>GPI-13811-0000</t>
  </si>
  <si>
    <t>GPI-13811-1000</t>
  </si>
  <si>
    <t>GPI-13812-0000</t>
  </si>
  <si>
    <t>GPI-13812-1000</t>
  </si>
  <si>
    <t>GPI-13813-0000</t>
  </si>
  <si>
    <t>GPI-13813-1000</t>
  </si>
  <si>
    <t>GPI-13820-0000</t>
  </si>
  <si>
    <t>GPI-13820-1000</t>
  </si>
  <si>
    <t>GPI-13821-0000</t>
  </si>
  <si>
    <t>GPI-13821-1000</t>
  </si>
  <si>
    <t>GPI-13822-0000</t>
  </si>
  <si>
    <t>GPI-13822-1000</t>
  </si>
  <si>
    <t>GPI-14100-0000</t>
  </si>
  <si>
    <t>GPI-15000-0000</t>
  </si>
  <si>
    <t>GPI-15600-0000</t>
  </si>
  <si>
    <t>GPI-15700-0000</t>
  </si>
  <si>
    <t>GPI-15800-0000</t>
  </si>
  <si>
    <t>GPI-22000-0000</t>
  </si>
  <si>
    <t>GPI-22001-0000</t>
  </si>
  <si>
    <t>GPI-22003-0000</t>
  </si>
  <si>
    <t>GPI-22005-0000</t>
  </si>
  <si>
    <t>GPI-22310-0000</t>
  </si>
  <si>
    <t>GPI-22800-0000</t>
  </si>
  <si>
    <t>GPI-22801-0000</t>
  </si>
  <si>
    <t>GPI-22810-0000</t>
  </si>
  <si>
    <t>GPI-22900-0000</t>
  </si>
  <si>
    <t>GPI-22905-0000</t>
  </si>
  <si>
    <t>GPI-22906-0000</t>
  </si>
  <si>
    <t>GPI-23000-0000</t>
  </si>
  <si>
    <t>GPI-23100-0000</t>
  </si>
  <si>
    <t>GPI-23500-0000</t>
  </si>
  <si>
    <t>GPI-23501-0000</t>
  </si>
  <si>
    <t>GPI-23700-0000</t>
  </si>
  <si>
    <t>GPI-23800-0000</t>
  </si>
  <si>
    <t>GPI-24200-0000</t>
  </si>
  <si>
    <t>GPI-24300-0000</t>
  </si>
  <si>
    <t>GPI-24400-0000</t>
  </si>
  <si>
    <t>GPI-24500-0000</t>
  </si>
  <si>
    <t>GPI-24600-0000</t>
  </si>
  <si>
    <t>GPI-25005-0000</t>
  </si>
  <si>
    <t>GPI-25009-0000</t>
  </si>
  <si>
    <t>GPI-25600-0000</t>
  </si>
  <si>
    <t>GPI-25601-0000</t>
  </si>
  <si>
    <t>GPI-25602-0000</t>
  </si>
  <si>
    <t>GPI-25603-0000</t>
  </si>
  <si>
    <t>GPI-25604-0000</t>
  </si>
  <si>
    <t>GPI-28000-0000</t>
  </si>
  <si>
    <t>GPI-28001-0000</t>
  </si>
  <si>
    <t>GPI-28002-0000</t>
  </si>
  <si>
    <t>GPI-28003-0000</t>
  </si>
  <si>
    <t>GPI-28004-0000</t>
  </si>
  <si>
    <t>GPI-28005-0000</t>
  </si>
  <si>
    <t>GPI-28006-0000</t>
  </si>
  <si>
    <t>GPI-28007-0000</t>
  </si>
  <si>
    <t>GPI-28008-0000</t>
  </si>
  <si>
    <t>GPI-28009-0000</t>
  </si>
  <si>
    <t>GPI-28010-0000</t>
  </si>
  <si>
    <t>GPI-28011-0000</t>
  </si>
  <si>
    <t>GPI-28012-0000</t>
  </si>
  <si>
    <t>GPI-28013-0000</t>
  </si>
  <si>
    <t>GPI-28014-0000</t>
  </si>
  <si>
    <t>GPI-28015-0000</t>
  </si>
  <si>
    <t>GPI-28016-0000</t>
  </si>
  <si>
    <t>GPI-28017-0000</t>
  </si>
  <si>
    <t>GPI-28018-0000</t>
  </si>
  <si>
    <t>GPI-28019-0000</t>
  </si>
  <si>
    <t>GPI-28020-0000</t>
  </si>
  <si>
    <t>GPI-28021-0000</t>
  </si>
  <si>
    <t>GPI-28022-0000</t>
  </si>
  <si>
    <t>GPI-28023-0000</t>
  </si>
  <si>
    <t>GPI-28024-0000</t>
  </si>
  <si>
    <t>GPI-30101-0000</t>
  </si>
  <si>
    <t>GPI-30501-0000</t>
  </si>
  <si>
    <t>GPI-31007-0000</t>
  </si>
  <si>
    <t>GPI-31008-0000</t>
  </si>
  <si>
    <t>GPI-31009-0000</t>
  </si>
  <si>
    <t>GPI-31010-0000</t>
  </si>
  <si>
    <t>GPI-31012-0000</t>
  </si>
  <si>
    <t>GPI-31015-0000</t>
  </si>
  <si>
    <t>GPI-31016-0000</t>
  </si>
  <si>
    <t>GPI-31018-0000</t>
  </si>
  <si>
    <t>GPI-31801-0000</t>
  </si>
  <si>
    <t>GPI-31802-0000</t>
  </si>
  <si>
    <t>GPI-31803-0000</t>
  </si>
  <si>
    <t>GPI-31804-0000</t>
  </si>
  <si>
    <t>GPI-31900-0000</t>
  </si>
  <si>
    <t>GPI-36000-0000</t>
  </si>
  <si>
    <t>GPI-36006-0000</t>
  </si>
  <si>
    <t>GPI-36008-0000</t>
  </si>
  <si>
    <t>GPI-36018-0000</t>
  </si>
  <si>
    <t>GPI-36801-0000</t>
  </si>
  <si>
    <t>GPI-36802-0000</t>
  </si>
  <si>
    <t>GPI-36803-0000</t>
  </si>
  <si>
    <t>GPI-36804-0000</t>
  </si>
  <si>
    <t>GPI-36900-0000</t>
  </si>
  <si>
    <t>GPI-36901-0000</t>
  </si>
  <si>
    <t>GPI-38100-0000</t>
  </si>
  <si>
    <t>GPI-38100-1000</t>
  </si>
  <si>
    <t>GPI-40110-0000</t>
  </si>
  <si>
    <t>GPI-40120-0000</t>
  </si>
  <si>
    <t>GPI-40130-0000</t>
  </si>
  <si>
    <t>GPI-40140-0000</t>
  </si>
  <si>
    <t>GPI-41110-0000</t>
  </si>
  <si>
    <t>GPI-41112-0000</t>
  </si>
  <si>
    <t>GPI-41120-0000</t>
  </si>
  <si>
    <t>GPI-42110-0000</t>
  </si>
  <si>
    <t>GPI-42130-0000</t>
  </si>
  <si>
    <t>GPI-42140-0000</t>
  </si>
  <si>
    <t>GPI-42150-0000</t>
  </si>
  <si>
    <t>GPI-42160-0000</t>
  </si>
  <si>
    <t>GPI-42405-0000</t>
  </si>
  <si>
    <t>GPI-43120-0000</t>
  </si>
  <si>
    <t>GPI-43121-0000</t>
  </si>
  <si>
    <t>GPI-43200-0000</t>
  </si>
  <si>
    <t>GPI-43410-0000</t>
  </si>
  <si>
    <t>GPI-43420-0000</t>
  </si>
  <si>
    <t>GPI-43430-0000</t>
  </si>
  <si>
    <t>GPI-43440-0000</t>
  </si>
  <si>
    <t>GPI-43450-0000</t>
  </si>
  <si>
    <t>GPI-43480-0000</t>
  </si>
  <si>
    <t>GPI-43490-0000</t>
  </si>
  <si>
    <t>GPI-43491-0000</t>
  </si>
  <si>
    <t>GPI-43492-0000</t>
  </si>
  <si>
    <t>GPI-43493-0000</t>
  </si>
  <si>
    <t>GPI-43494-0000</t>
  </si>
  <si>
    <t>GPI-43495-0000</t>
  </si>
  <si>
    <t>GPI-44000-0000</t>
  </si>
  <si>
    <t>GPI-46000-0000</t>
  </si>
  <si>
    <t>GPI-47300-0000</t>
  </si>
  <si>
    <t>GPI-47550-0000</t>
  </si>
  <si>
    <t>GPI-49500-9999</t>
  </si>
  <si>
    <t>GPI-51001-0000</t>
  </si>
  <si>
    <t>GPI-51002-0000</t>
  </si>
  <si>
    <t>GPI-51003-0000</t>
  </si>
  <si>
    <t>GPI-51004-0000</t>
  </si>
  <si>
    <t>GPI-51005-0000</t>
  </si>
  <si>
    <t>GPI-51006-0000</t>
  </si>
  <si>
    <t>GPI-51007-0000</t>
  </si>
  <si>
    <t>GPI-51008-0000</t>
  </si>
  <si>
    <t>GPI-51009-0000</t>
  </si>
  <si>
    <t>GPI-51010-0000</t>
  </si>
  <si>
    <t>GPI-51011-0000</t>
  </si>
  <si>
    <t>GPI-51012-0000</t>
  </si>
  <si>
    <t>GPI-51013-0000</t>
  </si>
  <si>
    <t>GPI-51014-0000</t>
  </si>
  <si>
    <t>GPI-51015-0000</t>
  </si>
  <si>
    <t>GPI-51018-0000</t>
  </si>
  <si>
    <t>GPI-51019-0000</t>
  </si>
  <si>
    <t>GPI-51020-0000</t>
  </si>
  <si>
    <t>GPI-51021-0000</t>
  </si>
  <si>
    <t>GPI-51022-0000</t>
  </si>
  <si>
    <t>GPI-51023-0000</t>
  </si>
  <si>
    <t>GPI-51024-0000</t>
  </si>
  <si>
    <t>GPI-51025-0000</t>
  </si>
  <si>
    <t>GPI-51026-0000</t>
  </si>
  <si>
    <t>GPI-51027-0000</t>
  </si>
  <si>
    <t>GPI-51028-0000</t>
  </si>
  <si>
    <t>GPI-51029-0000</t>
  </si>
  <si>
    <t>GPI-51030-0000</t>
  </si>
  <si>
    <t>GPI-51350-0000</t>
  </si>
  <si>
    <t>GPI-52001-0000</t>
  </si>
  <si>
    <t>GPI-52002-0000</t>
  </si>
  <si>
    <t>GPI-52003-0000</t>
  </si>
  <si>
    <t>GPI-52005-0000</t>
  </si>
  <si>
    <t>GPI-52007-0000</t>
  </si>
  <si>
    <t>GPI-52008-0000</t>
  </si>
  <si>
    <t>GPI-53001-0000</t>
  </si>
  <si>
    <t>GPI-53002-0000</t>
  </si>
  <si>
    <t>GPI-53003-0000</t>
  </si>
  <si>
    <t>GPI-53004-0000</t>
  </si>
  <si>
    <t>GPI-53005-0000</t>
  </si>
  <si>
    <t>GPI-53006-0000</t>
  </si>
  <si>
    <t>GPI-53007-0000</t>
  </si>
  <si>
    <t>GPI-53011-0000</t>
  </si>
  <si>
    <t>GPI-54001-0000</t>
  </si>
  <si>
    <t>GPI-54002-0000</t>
  </si>
  <si>
    <t>GPI-54003-0000</t>
  </si>
  <si>
    <t>GPI-54004-0000</t>
  </si>
  <si>
    <t>GPI-54005-0000</t>
  </si>
  <si>
    <t>GPI-54006-0000</t>
  </si>
  <si>
    <t>GPI-54007-0000</t>
  </si>
  <si>
    <t>GPI-54100-0000</t>
  </si>
  <si>
    <t>GPI-61001-0000</t>
  </si>
  <si>
    <t>GPI-61002-0000</t>
  </si>
  <si>
    <t>GPI-61003-0000</t>
  </si>
  <si>
    <t>GPI-61004-0000</t>
  </si>
  <si>
    <t>GPI-61005-0000</t>
  </si>
  <si>
    <t>GPI-61006-0000</t>
  </si>
  <si>
    <t>GPI-61007-0000</t>
  </si>
  <si>
    <t>GPI-61008-0000</t>
  </si>
  <si>
    <t>GPI-61009-0000</t>
  </si>
  <si>
    <t>GPI-61010-0000</t>
  </si>
  <si>
    <t>GPI-61011-0000</t>
  </si>
  <si>
    <t>GPI-61012-0000</t>
  </si>
  <si>
    <t>GPI-61013-0000</t>
  </si>
  <si>
    <t>GPI-61014-0000</t>
  </si>
  <si>
    <t>GPI-61015-0000</t>
  </si>
  <si>
    <t>GPI-61016-0000</t>
  </si>
  <si>
    <t>GPI-61017-0000</t>
  </si>
  <si>
    <t>GPI-61021-0000</t>
  </si>
  <si>
    <t>GPI-61022-0000</t>
  </si>
  <si>
    <t>GPI-61023-0000</t>
  </si>
  <si>
    <t>GPI-61024-0000</t>
  </si>
  <si>
    <t>GPI-61025-0000</t>
  </si>
  <si>
    <t>GPI-71010-0000</t>
  </si>
  <si>
    <t>GPI-71020-0000</t>
  </si>
  <si>
    <t>GPI-71030-0000</t>
  </si>
  <si>
    <t>GPI-71040-0000</t>
  </si>
  <si>
    <t>GPI-71050-0000</t>
  </si>
  <si>
    <t>GPI-71060-0000</t>
  </si>
  <si>
    <t>GPI-71070-0000</t>
  </si>
  <si>
    <t>GPI-71080-0000</t>
  </si>
  <si>
    <t>GPI-71090-0000</t>
  </si>
  <si>
    <t>GPI-71100-0000</t>
  </si>
  <si>
    <t>GPI-71110-0000</t>
  </si>
  <si>
    <t>GPI-73101-0000</t>
  </si>
  <si>
    <t>GPI-73103-0000</t>
  </si>
  <si>
    <t>GPI-73105-0000</t>
  </si>
  <si>
    <t>GPI-80006-0000</t>
  </si>
  <si>
    <t>GPI-80061-0000</t>
  </si>
  <si>
    <t>GPI-81019-0000</t>
  </si>
  <si>
    <t>GPI-81220-0000</t>
  </si>
  <si>
    <t>GPI-81228-0000</t>
  </si>
  <si>
    <t>GPI-81400-0000</t>
  </si>
  <si>
    <t>GPI-82900-0000</t>
  </si>
  <si>
    <t>GPI-85500-0000</t>
  </si>
  <si>
    <t>GPI-85700-0000</t>
  </si>
  <si>
    <t>GRA-10003-0000</t>
  </si>
  <si>
    <t>GRA-10004-0000</t>
  </si>
  <si>
    <t>GRA-10005-0000</t>
  </si>
  <si>
    <t>GRA-10009-0000</t>
  </si>
  <si>
    <t>GRA-10010-0000</t>
  </si>
  <si>
    <t>GRA-10011-0000</t>
  </si>
  <si>
    <t>GRA-10012-0000</t>
  </si>
  <si>
    <t>GRA-10023-0000</t>
  </si>
  <si>
    <t>GRA-10024-0000</t>
  </si>
  <si>
    <t>GRA-10027-0000</t>
  </si>
  <si>
    <t>GRA-10050-0000</t>
  </si>
  <si>
    <t>GRA-11200-0000</t>
  </si>
  <si>
    <t>GRA-11201-0000</t>
  </si>
  <si>
    <t>GRA-11202-0000</t>
  </si>
  <si>
    <t>GRA-11203-0000</t>
  </si>
  <si>
    <t>GRA-11204-0000</t>
  </si>
  <si>
    <t>GRA-11208-0000</t>
  </si>
  <si>
    <t>GRA-11210-0000</t>
  </si>
  <si>
    <t>GRA-11212-0000</t>
  </si>
  <si>
    <t>GRA-11214-0000</t>
  </si>
  <si>
    <t>GRA-11215-0000</t>
  </si>
  <si>
    <t>GRA-11232-0000</t>
  </si>
  <si>
    <t>GRA-11303-0000</t>
  </si>
  <si>
    <t>GRA-11305-0000</t>
  </si>
  <si>
    <t>GRA-11307-0000</t>
  </si>
  <si>
    <t>GRA-11308-0000</t>
  </si>
  <si>
    <t>GRA-11309-0000</t>
  </si>
  <si>
    <t>GRA-11311-0000</t>
  </si>
  <si>
    <t>GRA-11312-0000</t>
  </si>
  <si>
    <t>GRA-11313-0000</t>
  </si>
  <si>
    <t>GRA-11315-0000</t>
  </si>
  <si>
    <t>GRA-11317-0000</t>
  </si>
  <si>
    <t>GRA-11318-0000</t>
  </si>
  <si>
    <t>GRA-11319-0000</t>
  </si>
  <si>
    <t>GRA-11320-0000</t>
  </si>
  <si>
    <t>GRA-11321-0000</t>
  </si>
  <si>
    <t>GRA-11323-0000</t>
  </si>
  <si>
    <t>GRA-11325-0000</t>
  </si>
  <si>
    <t>GRA-11326-0000</t>
  </si>
  <si>
    <t>GRA-11327-0000</t>
  </si>
  <si>
    <t>GRA-11328-0000</t>
  </si>
  <si>
    <t>GRA-11329-0000</t>
  </si>
  <si>
    <t>GRA-11330-0000</t>
  </si>
  <si>
    <t>GRA-11331-0000</t>
  </si>
  <si>
    <t>GRA-11332-0000</t>
  </si>
  <si>
    <t>GRA-11333-0000</t>
  </si>
  <si>
    <t>GRA-11334-0000</t>
  </si>
  <si>
    <t>GRA-11335-0000</t>
  </si>
  <si>
    <t>GRA-11336-0000</t>
  </si>
  <si>
    <t>GRA-11338-0000</t>
  </si>
  <si>
    <t>GRA-11339-0000</t>
  </si>
  <si>
    <t>GRA-11340-0000</t>
  </si>
  <si>
    <t>GRA-11341-0000</t>
  </si>
  <si>
    <t>GRA-11343-0000</t>
  </si>
  <si>
    <t>GRA-11344-0000</t>
  </si>
  <si>
    <t>GRA-11345-0000</t>
  </si>
  <si>
    <t>GRA-11346-0000</t>
  </si>
  <si>
    <t>GRA-11347-0000</t>
  </si>
  <si>
    <t>GRA-11348-0000</t>
  </si>
  <si>
    <t>GRA-11349-0000</t>
  </si>
  <si>
    <t>GRA-11350-0000</t>
  </si>
  <si>
    <t>GRA-11351-0000</t>
  </si>
  <si>
    <t>GRA-11361-0000</t>
  </si>
  <si>
    <t>GRA-11364-0000</t>
  </si>
  <si>
    <t>GRA-11365-0000</t>
  </si>
  <si>
    <t>GRA-11366-0000</t>
  </si>
  <si>
    <t>GRA-11402-0000</t>
  </si>
  <si>
    <t>GRA-11403-0000</t>
  </si>
  <si>
    <t>GRA-12105-0000</t>
  </si>
  <si>
    <t>GRA-12400-0000</t>
  </si>
  <si>
    <t>GRA-12401-0000</t>
  </si>
  <si>
    <t>GRA-12402-0000</t>
  </si>
  <si>
    <t>GRA-12403-0000</t>
  </si>
  <si>
    <t>GRA-12501-0000</t>
  </si>
  <si>
    <t>GRA-12510-0000</t>
  </si>
  <si>
    <t>GRA-13010-0000</t>
  </si>
  <si>
    <t>GRA-13050-0000</t>
  </si>
  <si>
    <t>GRA-13620-0000</t>
  </si>
  <si>
    <t>GRA-13811-0000</t>
  </si>
  <si>
    <t>GRA-13811-1000</t>
  </si>
  <si>
    <t>GRA-13812-0000</t>
  </si>
  <si>
    <t>GRA-13812-1000</t>
  </si>
  <si>
    <t>GRA-13813-0000</t>
  </si>
  <si>
    <t>GRA-13813-1000</t>
  </si>
  <si>
    <t>GRA-13820-0000</t>
  </si>
  <si>
    <t>GRA-13820-1000</t>
  </si>
  <si>
    <t>GRA-13821-0000</t>
  </si>
  <si>
    <t>GRA-13821-1000</t>
  </si>
  <si>
    <t>GRA-13822-0000</t>
  </si>
  <si>
    <t>GRA-13822-1000</t>
  </si>
  <si>
    <t>GRA-15600-0000</t>
  </si>
  <si>
    <t>GRA-15800-0000</t>
  </si>
  <si>
    <t>GRA-16000-0000</t>
  </si>
  <si>
    <t>GRA-22000-0000</t>
  </si>
  <si>
    <t>GRA-22003-0000</t>
  </si>
  <si>
    <t>GRA-22005-0000</t>
  </si>
  <si>
    <t>GRA-22310-0000</t>
  </si>
  <si>
    <t>GRA-22801-0000</t>
  </si>
  <si>
    <t>GRA-22810-0000</t>
  </si>
  <si>
    <t>GRA-22900-0000</t>
  </si>
  <si>
    <t>GRA-22906-0000</t>
  </si>
  <si>
    <t>GRA-23000-0000</t>
  </si>
  <si>
    <t>GRA-23100-0000</t>
  </si>
  <si>
    <t>GRA-23500-0000</t>
  </si>
  <si>
    <t>GRA-23501-0000</t>
  </si>
  <si>
    <t>GRA-23700-0000</t>
  </si>
  <si>
    <t>GRA-23800-0000</t>
  </si>
  <si>
    <t>GRA-24200-0000</t>
  </si>
  <si>
    <t>GRA-24300-0000</t>
  </si>
  <si>
    <t>GRA-24400-0000</t>
  </si>
  <si>
    <t>GRA-24500-0000</t>
  </si>
  <si>
    <t>GRA-24600-0000</t>
  </si>
  <si>
    <t>GRA-25005-0000</t>
  </si>
  <si>
    <t>GRA-25009-0000</t>
  </si>
  <si>
    <t>GRA-25601-0000</t>
  </si>
  <si>
    <t>GRA-25602-0000</t>
  </si>
  <si>
    <t>GRA-25603-0000</t>
  </si>
  <si>
    <t>GRA-25604-0000</t>
  </si>
  <si>
    <t>GRA-28000-0000</t>
  </si>
  <si>
    <t>GRA-28002-0000</t>
  </si>
  <si>
    <t>GRA-28004-0000</t>
  </si>
  <si>
    <t>GRA-28005-0000</t>
  </si>
  <si>
    <t>GRA-28006-0000</t>
  </si>
  <si>
    <t>GRA-28007-0000</t>
  </si>
  <si>
    <t>GRA-28008-0000</t>
  </si>
  <si>
    <t>GRA-28009-0000</t>
  </si>
  <si>
    <t>GRA-28010-0000</t>
  </si>
  <si>
    <t>GRA-28011-0000</t>
  </si>
  <si>
    <t>GRA-28012-0000</t>
  </si>
  <si>
    <t>GRA-28013-0000</t>
  </si>
  <si>
    <t>GRA-28014-0000</t>
  </si>
  <si>
    <t>GRA-28015-0000</t>
  </si>
  <si>
    <t>GRA-28016-0000</t>
  </si>
  <si>
    <t>GRA-28017-0000</t>
  </si>
  <si>
    <t>GRA-28018-0000</t>
  </si>
  <si>
    <t>GRA-28019-0000</t>
  </si>
  <si>
    <t>GRA-28020-0000</t>
  </si>
  <si>
    <t>GRA-28021-0000</t>
  </si>
  <si>
    <t>GRA-28022-0000</t>
  </si>
  <si>
    <t>GRA-28023-0000</t>
  </si>
  <si>
    <t>GRA-28024-0000</t>
  </si>
  <si>
    <t>GRA-30101-0000</t>
  </si>
  <si>
    <t>GRA-30501-0000</t>
  </si>
  <si>
    <t>GRA-31001-0000</t>
  </si>
  <si>
    <t>GRA-31002-0000</t>
  </si>
  <si>
    <t>GRA-31003-0000</t>
  </si>
  <si>
    <t>GRA-31005-0000</t>
  </si>
  <si>
    <t>GRA-31007-0000</t>
  </si>
  <si>
    <t>GRA-31008-0000</t>
  </si>
  <si>
    <t>GRA-31009-0000</t>
  </si>
  <si>
    <t>GRA-31010-0000</t>
  </si>
  <si>
    <t>GRA-31012-0000</t>
  </si>
  <si>
    <t>GRA-31015-0000</t>
  </si>
  <si>
    <t>GRA-31016-0000</t>
  </si>
  <si>
    <t>GRA-31018-0000</t>
  </si>
  <si>
    <t>GRA-31801-0000</t>
  </si>
  <si>
    <t>GRA-31802-0000</t>
  </si>
  <si>
    <t>GRA-31803-0000</t>
  </si>
  <si>
    <t>GRA-31804-0000</t>
  </si>
  <si>
    <t>GRA-31900-0000</t>
  </si>
  <si>
    <t>GRA-36002-0000</t>
  </si>
  <si>
    <t>GRA-36003-0000</t>
  </si>
  <si>
    <t>GRA-36004-0000</t>
  </si>
  <si>
    <t>GRA-36005-0000</t>
  </si>
  <si>
    <t>GRA-36006-0000</t>
  </si>
  <si>
    <t>GRA-36008-0000</t>
  </si>
  <si>
    <t>GRA-36018-0000</t>
  </si>
  <si>
    <t>GRA-36801-0000</t>
  </si>
  <si>
    <t>GRA-36802-0000</t>
  </si>
  <si>
    <t>GRA-36803-0000</t>
  </si>
  <si>
    <t>GRA-36804-0000</t>
  </si>
  <si>
    <t>GRA-36900-0000</t>
  </si>
  <si>
    <t>GRA-36901-0000</t>
  </si>
  <si>
    <t>GRA-38100-1000</t>
  </si>
  <si>
    <t>GRA-41112-0000</t>
  </si>
  <si>
    <t>GRA-42140-0000</t>
  </si>
  <si>
    <t>GRA-42160-0000</t>
  </si>
  <si>
    <t>GRA-42405-0000</t>
  </si>
  <si>
    <t>GRA-43200-0000</t>
  </si>
  <si>
    <t>GRA-43420-0000</t>
  </si>
  <si>
    <t>GRA-43430-0000</t>
  </si>
  <si>
    <t>GRA-43494-0000</t>
  </si>
  <si>
    <t>GRA-43495-0000</t>
  </si>
  <si>
    <t>GRA-44000-0000</t>
  </si>
  <si>
    <t>GRA-46000-0000</t>
  </si>
  <si>
    <t>GRA-47300-0000</t>
  </si>
  <si>
    <t>GRA-47550-0000</t>
  </si>
  <si>
    <t>GRA-51001-0000</t>
  </si>
  <si>
    <t>GRA-51002-0000</t>
  </si>
  <si>
    <t>GRA-51003-0000</t>
  </si>
  <si>
    <t>GRA-51004-0000</t>
  </si>
  <si>
    <t>GRA-51010-0000</t>
  </si>
  <si>
    <t>GRA-51014-0000</t>
  </si>
  <si>
    <t>GRA-51021-0000</t>
  </si>
  <si>
    <t>GRA-51022-0000</t>
  </si>
  <si>
    <t>GRA-51023-0000</t>
  </si>
  <si>
    <t>GRA-51024-0000</t>
  </si>
  <si>
    <t>GRA-51026-0000</t>
  </si>
  <si>
    <t>GRA-51027-0000</t>
  </si>
  <si>
    <t>GRA-51028-0000</t>
  </si>
  <si>
    <t>GRA-51350-0000</t>
  </si>
  <si>
    <t>GRA-52005-0000</t>
  </si>
  <si>
    <t>GRA-52008-0000</t>
  </si>
  <si>
    <t>GRA-53007-0000</t>
  </si>
  <si>
    <t>GRA-54100-0000</t>
  </si>
  <si>
    <t>GRA-61001-0000</t>
  </si>
  <si>
    <t>GRA-61003-0000</t>
  </si>
  <si>
    <t>GRA-61004-0000</t>
  </si>
  <si>
    <t>GRA-61006-0000</t>
  </si>
  <si>
    <t>GRA-61009-0000</t>
  </si>
  <si>
    <t>GRA-61010-0000</t>
  </si>
  <si>
    <t>GRA-61011-0000</t>
  </si>
  <si>
    <t>GRA-61017-0000</t>
  </si>
  <si>
    <t>GRA-61021-0000</t>
  </si>
  <si>
    <t>GRA-61024-0000</t>
  </si>
  <si>
    <t>GRA-61025-0000</t>
  </si>
  <si>
    <t>GRA-71010-0000</t>
  </si>
  <si>
    <t>GRA-71040-0000</t>
  </si>
  <si>
    <t>GRA-71050-0000</t>
  </si>
  <si>
    <t>GRA-71090-0000</t>
  </si>
  <si>
    <t>GRA-73101-0000</t>
  </si>
  <si>
    <t>GRA-73103-0000</t>
  </si>
  <si>
    <t>GRA-73105-0000</t>
  </si>
  <si>
    <t>GRA-80061-0000</t>
  </si>
  <si>
    <t>GRA-81220-0000</t>
  </si>
  <si>
    <t>GRA-81400-0000</t>
  </si>
  <si>
    <t>GRA-82900-0000</t>
  </si>
  <si>
    <t>GRA-85500-0000</t>
  </si>
  <si>
    <t>GRA-85700-0000</t>
  </si>
  <si>
    <t>GSM-10003-0000</t>
  </si>
  <si>
    <t>GSM-10004-0000</t>
  </si>
  <si>
    <t>GSM-10006-0000</t>
  </si>
  <si>
    <t>GSM-10009-0000</t>
  </si>
  <si>
    <t>GSM-10010-0000</t>
  </si>
  <si>
    <t>GSM-10011-0000</t>
  </si>
  <si>
    <t>GSM-10012-0000</t>
  </si>
  <si>
    <t>GSM-10023-0000</t>
  </si>
  <si>
    <t>GSM-10024-0000</t>
  </si>
  <si>
    <t>GSM-10027-0000</t>
  </si>
  <si>
    <t>GSM-10050-0000</t>
  </si>
  <si>
    <t>GSM-11200-0000</t>
  </si>
  <si>
    <t>GSM-11201-0000</t>
  </si>
  <si>
    <t>GSM-11202-0000</t>
  </si>
  <si>
    <t>GSM-11203-0000</t>
  </si>
  <si>
    <t>GSM-11204-0000</t>
  </si>
  <si>
    <t>GSM-11208-0000</t>
  </si>
  <si>
    <t>GSM-11210-0000</t>
  </si>
  <si>
    <t>GSM-11212-0000</t>
  </si>
  <si>
    <t>GSM-11214-0000</t>
  </si>
  <si>
    <t>GSM-11215-0000</t>
  </si>
  <si>
    <t>GSM-11232-0000</t>
  </si>
  <si>
    <t>GSM-11301-0000</t>
  </si>
  <si>
    <t>GSM-11302-0000</t>
  </si>
  <si>
    <t>GSM-11303-0000</t>
  </si>
  <si>
    <t>GSM-11304-0000</t>
  </si>
  <si>
    <t>GSM-11305-0000</t>
  </si>
  <si>
    <t>GSM-11307-0000</t>
  </si>
  <si>
    <t>GSM-11308-0000</t>
  </si>
  <si>
    <t>GSM-11309-0000</t>
  </si>
  <si>
    <t>GSM-11310-0000</t>
  </si>
  <si>
    <t>GSM-11311-0000</t>
  </si>
  <si>
    <t>GSM-11312-0000</t>
  </si>
  <si>
    <t>GSM-11313-0000</t>
  </si>
  <si>
    <t>GSM-11314-0000</t>
  </si>
  <si>
    <t>GSM-11315-0000</t>
  </si>
  <si>
    <t>GSM-11316-0000</t>
  </si>
  <si>
    <t>GSM-11317-0000</t>
  </si>
  <si>
    <t>GSM-11318-0000</t>
  </si>
  <si>
    <t>GSM-11320-0000</t>
  </si>
  <si>
    <t>GSM-11321-0000</t>
  </si>
  <si>
    <t>GSM-11322-0000</t>
  </si>
  <si>
    <t>GSM-11323-0000</t>
  </si>
  <si>
    <t>GSM-11324-0000</t>
  </si>
  <si>
    <t>GSM-11325-0000</t>
  </si>
  <si>
    <t>GSM-11326-0000</t>
  </si>
  <si>
    <t>GSM-11327-0000</t>
  </si>
  <si>
    <t>GSM-11328-0000</t>
  </si>
  <si>
    <t>GSM-11329-0000</t>
  </si>
  <si>
    <t>GSM-11330-0000</t>
  </si>
  <si>
    <t>GSM-11331-0000</t>
  </si>
  <si>
    <t>GSM-11332-0000</t>
  </si>
  <si>
    <t>GSM-11333-0000</t>
  </si>
  <si>
    <t>GSM-11334-0000</t>
  </si>
  <si>
    <t>GSM-11335-0000</t>
  </si>
  <si>
    <t>GSM-11336-0000</t>
  </si>
  <si>
    <t>GSM-11337-0000</t>
  </si>
  <si>
    <t>GSM-11338-0000</t>
  </si>
  <si>
    <t>GSM-11339-0000</t>
  </si>
  <si>
    <t>GSM-11340-0000</t>
  </si>
  <si>
    <t>GSM-11341-0000</t>
  </si>
  <si>
    <t>GSM-11342-0000</t>
  </si>
  <si>
    <t>GSM-11343-0000</t>
  </si>
  <si>
    <t>GSM-11344-0000</t>
  </si>
  <si>
    <t>GSM-11345-0000</t>
  </si>
  <si>
    <t>GSM-11346-0000</t>
  </si>
  <si>
    <t>GSM-11347-0000</t>
  </si>
  <si>
    <t>GSM-11348-0000</t>
  </si>
  <si>
    <t>GSM-11349-0000</t>
  </si>
  <si>
    <t>GSM-11350-0000</t>
  </si>
  <si>
    <t>GSM-11351-0000</t>
  </si>
  <si>
    <t>GSM-11352-0000</t>
  </si>
  <si>
    <t>GSM-11353-0000</t>
  </si>
  <si>
    <t>GSM-11354-0000</t>
  </si>
  <si>
    <t>GSM-11355-0000</t>
  </si>
  <si>
    <t>GSM-11356-0000</t>
  </si>
  <si>
    <t>GSM-11357-0000</t>
  </si>
  <si>
    <t>GSM-11358-0000</t>
  </si>
  <si>
    <t>GSM-11359-0000</t>
  </si>
  <si>
    <t>GSM-11361-0000</t>
  </si>
  <si>
    <t>GSM-11363-0000</t>
  </si>
  <si>
    <t>GSM-11364-0000</t>
  </si>
  <si>
    <t>GSM-11365-0000</t>
  </si>
  <si>
    <t>GSM-11366-0000</t>
  </si>
  <si>
    <t>GSM-11402-0000</t>
  </si>
  <si>
    <t>GSM-11403-0000</t>
  </si>
  <si>
    <t>GSM-12105-0000</t>
  </si>
  <si>
    <t>GSM-12400-0000</t>
  </si>
  <si>
    <t>GSM-12401-0000</t>
  </si>
  <si>
    <t>GSM-12402-0000</t>
  </si>
  <si>
    <t>GSM-12403-0000</t>
  </si>
  <si>
    <t>GSM-12501-0000</t>
  </si>
  <si>
    <t>GSM-12510-0000</t>
  </si>
  <si>
    <t>GSM-13010-0000</t>
  </si>
  <si>
    <t>GSM-13050-0000</t>
  </si>
  <si>
    <t>GSM-13620-0000</t>
  </si>
  <si>
    <t>GSM-13811-0000</t>
  </si>
  <si>
    <t>GSM-13811-1000</t>
  </si>
  <si>
    <t>GSM-13812-0000</t>
  </si>
  <si>
    <t>GSM-13812-1000</t>
  </si>
  <si>
    <t>GSM-13813-0000</t>
  </si>
  <si>
    <t>GSM-13813-1000</t>
  </si>
  <si>
    <t>GSM-13820-1000</t>
  </si>
  <si>
    <t>GSM-13821-0000</t>
  </si>
  <si>
    <t>GSM-13821-1000</t>
  </si>
  <si>
    <t>GSM-13822-0000</t>
  </si>
  <si>
    <t>GSM-13822-1000</t>
  </si>
  <si>
    <t>GSM-15500-0000</t>
  </si>
  <si>
    <t>GSM-15600-0000</t>
  </si>
  <si>
    <t>GSM-15800-0000</t>
  </si>
  <si>
    <t>GSM-16000-0000</t>
  </si>
  <si>
    <t>GSM-17000-0000</t>
  </si>
  <si>
    <t>GSM-18000-0000</t>
  </si>
  <si>
    <t>GSM-22001-0000</t>
  </si>
  <si>
    <t>GSM-22003-0000</t>
  </si>
  <si>
    <t>GSM-22005-0000</t>
  </si>
  <si>
    <t>GSM-22310-0000</t>
  </si>
  <si>
    <t>GSM-22801-0000</t>
  </si>
  <si>
    <t>GSM-22810-0000</t>
  </si>
  <si>
    <t>GSM-22900-0000</t>
  </si>
  <si>
    <t>GSM-22906-0000</t>
  </si>
  <si>
    <t>GSM-23000-0000</t>
  </si>
  <si>
    <t>GSM-23100-0000</t>
  </si>
  <si>
    <t>GSM-23500-0000</t>
  </si>
  <si>
    <t>GSM-23501-0000</t>
  </si>
  <si>
    <t>GSM-23700-0000</t>
  </si>
  <si>
    <t>GSM-23800-0000</t>
  </si>
  <si>
    <t>GSM-24200-0000</t>
  </si>
  <si>
    <t>GSM-24300-0000</t>
  </si>
  <si>
    <t>GSM-24400-0000</t>
  </si>
  <si>
    <t>GSM-24500-0000</t>
  </si>
  <si>
    <t>GSM-24600-0000</t>
  </si>
  <si>
    <t>GSM-25005-0000</t>
  </si>
  <si>
    <t>GSM-25009-0000</t>
  </si>
  <si>
    <t>GSM-25600-0000</t>
  </si>
  <si>
    <t>GSM-25601-0000</t>
  </si>
  <si>
    <t>GSM-25602-0000</t>
  </si>
  <si>
    <t>GSM-25603-0000</t>
  </si>
  <si>
    <t>GSM-25604-0000</t>
  </si>
  <si>
    <t>GSM-28000-0000</t>
  </si>
  <si>
    <t>GSM-28001-0000</t>
  </si>
  <si>
    <t>GSM-28002-0000</t>
  </si>
  <si>
    <t>GSM-28003-0000</t>
  </si>
  <si>
    <t>GSM-28004-0000</t>
  </si>
  <si>
    <t>GSM-28005-0000</t>
  </si>
  <si>
    <t>GSM-28006-0000</t>
  </si>
  <si>
    <t>GSM-28007-0000</t>
  </si>
  <si>
    <t>GSM-28008-0000</t>
  </si>
  <si>
    <t>GSM-28009-0000</t>
  </si>
  <si>
    <t>GSM-28010-0000</t>
  </si>
  <si>
    <t>GSM-28011-0000</t>
  </si>
  <si>
    <t>GSM-28012-0000</t>
  </si>
  <si>
    <t>GSM-28013-0000</t>
  </si>
  <si>
    <t>GSM-28014-0000</t>
  </si>
  <si>
    <t>GSM-28015-0000</t>
  </si>
  <si>
    <t>GSM-28016-0000</t>
  </si>
  <si>
    <t>GSM-28017-0000</t>
  </si>
  <si>
    <t>GSM-28018-0000</t>
  </si>
  <si>
    <t>GSM-28019-0000</t>
  </si>
  <si>
    <t>GSM-28020-0000</t>
  </si>
  <si>
    <t>GSM-28021-0000</t>
  </si>
  <si>
    <t>GSM-28022-0000</t>
  </si>
  <si>
    <t>GSM-28024-0000</t>
  </si>
  <si>
    <t>GSM-30101-0000</t>
  </si>
  <si>
    <t>GSM-30501-0000</t>
  </si>
  <si>
    <t>GSM-31001-0000</t>
  </si>
  <si>
    <t>GSM-31002-0000</t>
  </si>
  <si>
    <t>GSM-31003-0000</t>
  </si>
  <si>
    <t>GSM-31005-0000</t>
  </si>
  <si>
    <t>GSM-31007-0000</t>
  </si>
  <si>
    <t>GSM-31008-0000</t>
  </si>
  <si>
    <t>GSM-31009-0000</t>
  </si>
  <si>
    <t>GSM-31010-0000</t>
  </si>
  <si>
    <t>GSM-31012-0000</t>
  </si>
  <si>
    <t>GSM-31015-0000</t>
  </si>
  <si>
    <t>GSM-31016-0000</t>
  </si>
  <si>
    <t>GSM-31018-0000</t>
  </si>
  <si>
    <t>GSM-31801-0000</t>
  </si>
  <si>
    <t>GSM-31802-0000</t>
  </si>
  <si>
    <t>GSM-31803-0000</t>
  </si>
  <si>
    <t>GSM-31804-0000</t>
  </si>
  <si>
    <t>GSM-31900-0000</t>
  </si>
  <si>
    <t>GSM-36002-0000</t>
  </si>
  <si>
    <t>GSM-36003-0000</t>
  </si>
  <si>
    <t>GSM-36004-0000</t>
  </si>
  <si>
    <t>GSM-36005-0000</t>
  </si>
  <si>
    <t>GSM-36006-0000</t>
  </si>
  <si>
    <t>GSM-36008-0000</t>
  </si>
  <si>
    <t>GSM-36018-0000</t>
  </si>
  <si>
    <t>GSM-36801-0000</t>
  </si>
  <si>
    <t>GSM-36802-0000</t>
  </si>
  <si>
    <t>GSM-36803-0000</t>
  </si>
  <si>
    <t>GSM-36804-0000</t>
  </si>
  <si>
    <t>GSM-36900-0000</t>
  </si>
  <si>
    <t>GSM-36901-0000</t>
  </si>
  <si>
    <t>GSM-38100-1000</t>
  </si>
  <si>
    <t>GSM-41112-0000</t>
  </si>
  <si>
    <t>GSM-42130-0000</t>
  </si>
  <si>
    <t>GSM-42160-0000</t>
  </si>
  <si>
    <t>GSM-42405-0000</t>
  </si>
  <si>
    <t>GSM-43200-0000</t>
  </si>
  <si>
    <t>GSM-43420-0000</t>
  </si>
  <si>
    <t>GSM-43430-0000</t>
  </si>
  <si>
    <t>GSM-43493-0000</t>
  </si>
  <si>
    <t>GSM-43494-0000</t>
  </si>
  <si>
    <t>GSM-43495-0000</t>
  </si>
  <si>
    <t>GSM-44000-0000</t>
  </si>
  <si>
    <t>GSM-46000-0000</t>
  </si>
  <si>
    <t>GSM-47300-0000</t>
  </si>
  <si>
    <t>GSM-47550-0000</t>
  </si>
  <si>
    <t>GSM-51001-0000</t>
  </si>
  <si>
    <t>GSM-51002-0000</t>
  </si>
  <si>
    <t>GSM-51003-0000</t>
  </si>
  <si>
    <t>GSM-51004-0000</t>
  </si>
  <si>
    <t>GSM-51005-0000</t>
  </si>
  <si>
    <t>GSM-51006-0000</t>
  </si>
  <si>
    <t>GSM-51007-0000</t>
  </si>
  <si>
    <t>GSM-51009-0000</t>
  </si>
  <si>
    <t>GSM-51010-0000</t>
  </si>
  <si>
    <t>GSM-51011-0000</t>
  </si>
  <si>
    <t>GSM-51012-0000</t>
  </si>
  <si>
    <t>GSM-51013-0000</t>
  </si>
  <si>
    <t>GSM-51014-0000</t>
  </si>
  <si>
    <t>GSM-51019-0000</t>
  </si>
  <si>
    <t>GSM-51021-0000</t>
  </si>
  <si>
    <t>GSM-51022-0000</t>
  </si>
  <si>
    <t>GSM-51023-0000</t>
  </si>
  <si>
    <t>GSM-51024-0000</t>
  </si>
  <si>
    <t>GSM-51025-0000</t>
  </si>
  <si>
    <t>GSM-51026-0000</t>
  </si>
  <si>
    <t>GSM-51027-0000</t>
  </si>
  <si>
    <t>GSM-51028-0000</t>
  </si>
  <si>
    <t>GSM-51029-0000</t>
  </si>
  <si>
    <t>GSM-51030-0000</t>
  </si>
  <si>
    <t>GSM-51350-0000</t>
  </si>
  <si>
    <t>GSM-52001-0000</t>
  </si>
  <si>
    <t>GSM-52002-0000</t>
  </si>
  <si>
    <t>GSM-52003-0000</t>
  </si>
  <si>
    <t>GSM-52005-0000</t>
  </si>
  <si>
    <t>GSM-52008-0000</t>
  </si>
  <si>
    <t>GSM-53005-0000</t>
  </si>
  <si>
    <t>GSM-53007-0000</t>
  </si>
  <si>
    <t>GSM-54100-0000</t>
  </si>
  <si>
    <t>GSM-61001-0000</t>
  </si>
  <si>
    <t>GSM-61002-0000</t>
  </si>
  <si>
    <t>GSM-61003-0000</t>
  </si>
  <si>
    <t>GSM-61004-0000</t>
  </si>
  <si>
    <t>GSM-61006-0000</t>
  </si>
  <si>
    <t>GSM-61007-0000</t>
  </si>
  <si>
    <t>GSM-61009-0000</t>
  </si>
  <si>
    <t>GSM-61010-0000</t>
  </si>
  <si>
    <t>GSM-61011-0000</t>
  </si>
  <si>
    <t>GSM-61013-0000</t>
  </si>
  <si>
    <t>GSM-61016-0000</t>
  </si>
  <si>
    <t>GSM-61017-0000</t>
  </si>
  <si>
    <t>GSM-61021-0000</t>
  </si>
  <si>
    <t>GSM-61023-0000</t>
  </si>
  <si>
    <t>GSM-61024-0000</t>
  </si>
  <si>
    <t>GSM-61025-0000</t>
  </si>
  <si>
    <t>GSM-71010-0000</t>
  </si>
  <si>
    <t>GSM-71080-0000</t>
  </si>
  <si>
    <t>GSM-71090-0000</t>
  </si>
  <si>
    <t>GSM-71100-0000</t>
  </si>
  <si>
    <t>GSM-71110-0000</t>
  </si>
  <si>
    <t>GSM-73101-0000</t>
  </si>
  <si>
    <t>GSM-73103-0000</t>
  </si>
  <si>
    <t>GSM-73105-0000</t>
  </si>
  <si>
    <t>GSM-80061-0000</t>
  </si>
  <si>
    <t>GSM-81019-0000</t>
  </si>
  <si>
    <t>GSM-81220-0000</t>
  </si>
  <si>
    <t>GSM-81400-0000</t>
  </si>
  <si>
    <t>GSM-82900-0000</t>
  </si>
  <si>
    <t>GSM-85500-0000</t>
  </si>
  <si>
    <t>GSM-85700-0000</t>
  </si>
  <si>
    <t>HDM-10003-0000</t>
  </si>
  <si>
    <t>HDM-10004-0000</t>
  </si>
  <si>
    <t>HDM-10005-0000</t>
  </si>
  <si>
    <t>HDM-10006-0000</t>
  </si>
  <si>
    <t>HDM-10009-0000</t>
  </si>
  <si>
    <t>HDM-10010-0000</t>
  </si>
  <si>
    <t>HDM-10011-0000</t>
  </si>
  <si>
    <t>HDM-10012-0000</t>
  </si>
  <si>
    <t>HDM-10023-0000</t>
  </si>
  <si>
    <t>HDM-10024-0000</t>
  </si>
  <si>
    <t>HDM-10027-0000</t>
  </si>
  <si>
    <t>HDM-10050-0000</t>
  </si>
  <si>
    <t>HDM-11200-0000</t>
  </si>
  <si>
    <t>HDM-11201-0000</t>
  </si>
  <si>
    <t>HDM-11202-0000</t>
  </si>
  <si>
    <t>HDM-11203-0000</t>
  </si>
  <si>
    <t>HDM-11204-0000</t>
  </si>
  <si>
    <t>HDM-11208-0000</t>
  </si>
  <si>
    <t>HDM-11210-0000</t>
  </si>
  <si>
    <t>HDM-11212-0000</t>
  </si>
  <si>
    <t>HDM-11214-0000</t>
  </si>
  <si>
    <t>HDM-11215-0000</t>
  </si>
  <si>
    <t>HDM-11232-0000</t>
  </si>
  <si>
    <t>HDM-11301-0000</t>
  </si>
  <si>
    <t>HDM-11302-0000</t>
  </si>
  <si>
    <t>HDM-11303-0000</t>
  </si>
  <si>
    <t>HDM-11304-0000</t>
  </si>
  <si>
    <t>HDM-11305-0000</t>
  </si>
  <si>
    <t>HDM-11307-0000</t>
  </si>
  <si>
    <t>HDM-11308-0000</t>
  </si>
  <si>
    <t>HDM-11309-0000</t>
  </si>
  <si>
    <t>HDM-11310-0000</t>
  </si>
  <si>
    <t>HDM-11311-0000</t>
  </si>
  <si>
    <t>HDM-11312-0000</t>
  </si>
  <si>
    <t>HDM-11313-0000</t>
  </si>
  <si>
    <t>HDM-11314-0000</t>
  </si>
  <si>
    <t>HDM-11315-0000</t>
  </si>
  <si>
    <t>HDM-11316-0000</t>
  </si>
  <si>
    <t>HDM-11317-0000</t>
  </si>
  <si>
    <t>HDM-11318-0000</t>
  </si>
  <si>
    <t>HDM-11319-0000</t>
  </si>
  <si>
    <t>HDM-11321-0000</t>
  </si>
  <si>
    <t>HDM-11322-0000</t>
  </si>
  <si>
    <t>HDM-11323-0000</t>
  </si>
  <si>
    <t>HDM-11324-0000</t>
  </si>
  <si>
    <t>HDM-11325-0000</t>
  </si>
  <si>
    <t>HDM-11326-0000</t>
  </si>
  <si>
    <t>HDM-11327-0000</t>
  </si>
  <si>
    <t>HDM-11328-0000</t>
  </si>
  <si>
    <t>HDM-11329-0000</t>
  </si>
  <si>
    <t>HDM-11330-0000</t>
  </si>
  <si>
    <t>HDM-11331-0000</t>
  </si>
  <si>
    <t>HDM-11332-0000</t>
  </si>
  <si>
    <t>HDM-11333-0000</t>
  </si>
  <si>
    <t>HDM-11334-0000</t>
  </si>
  <si>
    <t>HDM-11335-0000</t>
  </si>
  <si>
    <t>HDM-11336-0000</t>
  </si>
  <si>
    <t>HDM-11337-0000</t>
  </si>
  <si>
    <t>HDM-11338-0000</t>
  </si>
  <si>
    <t>HDM-11339-0000</t>
  </si>
  <si>
    <t>HDM-11340-0000</t>
  </si>
  <si>
    <t>HDM-11341-0000</t>
  </si>
  <si>
    <t>HDM-11342-0000</t>
  </si>
  <si>
    <t>HDM-11344-0000</t>
  </si>
  <si>
    <t>HDM-11345-0000</t>
  </si>
  <si>
    <t>HDM-11346-0000</t>
  </si>
  <si>
    <t>HDM-11347-0000</t>
  </si>
  <si>
    <t>HDM-11348-0000</t>
  </si>
  <si>
    <t>HDM-11349-0000</t>
  </si>
  <si>
    <t>HDM-11350-0000</t>
  </si>
  <si>
    <t>HDM-11351-0000</t>
  </si>
  <si>
    <t>HDM-11352-0000</t>
  </si>
  <si>
    <t>HDM-11353-0000</t>
  </si>
  <si>
    <t>HDM-11354-0000</t>
  </si>
  <si>
    <t>HDM-11355-0000</t>
  </si>
  <si>
    <t>HDM-11356-0000</t>
  </si>
  <si>
    <t>HDM-11357-0000</t>
  </si>
  <si>
    <t>HDM-11358-0000</t>
  </si>
  <si>
    <t>HDM-11359-0000</t>
  </si>
  <si>
    <t>HDM-11361-0000</t>
  </si>
  <si>
    <t>HDM-11363-0000</t>
  </si>
  <si>
    <t>HDM-11364-0000</t>
  </si>
  <si>
    <t>HDM-11365-0000</t>
  </si>
  <si>
    <t>HDM-11366-0000</t>
  </si>
  <si>
    <t>HDM-11402-0000</t>
  </si>
  <si>
    <t>HDM-11403-0000</t>
  </si>
  <si>
    <t>HDM-12100-0000</t>
  </si>
  <si>
    <t>HDM-12105-0000</t>
  </si>
  <si>
    <t>HDM-12400-0000</t>
  </si>
  <si>
    <t>HDM-12401-0000</t>
  </si>
  <si>
    <t>HDM-12402-0000</t>
  </si>
  <si>
    <t>HDM-12403-0000</t>
  </si>
  <si>
    <t>HDM-12501-0000</t>
  </si>
  <si>
    <t>HDM-12510-0000</t>
  </si>
  <si>
    <t>HDM-13010-0000</t>
  </si>
  <si>
    <t>HDM-13050-0000</t>
  </si>
  <si>
    <t>HDM-13610-0000</t>
  </si>
  <si>
    <t>HDM-13620-0000</t>
  </si>
  <si>
    <t>HDM-13810-0000</t>
  </si>
  <si>
    <t>HDM-13811-0000</t>
  </si>
  <si>
    <t>HDM-13811-1000</t>
  </si>
  <si>
    <t>HDM-13812-0000</t>
  </si>
  <si>
    <t>HDM-13812-1000</t>
  </si>
  <si>
    <t>HDM-13813-0000</t>
  </si>
  <si>
    <t>HDM-13813-1000</t>
  </si>
  <si>
    <t>HDM-13820-0000</t>
  </si>
  <si>
    <t>HDM-13820-1000</t>
  </si>
  <si>
    <t>HDM-13821-0000</t>
  </si>
  <si>
    <t>HDM-13821-1000</t>
  </si>
  <si>
    <t>HDM-13822-0000</t>
  </si>
  <si>
    <t>HDM-13822-1000</t>
  </si>
  <si>
    <t>HDM-14100-0000</t>
  </si>
  <si>
    <t>HDM-15500-0000</t>
  </si>
  <si>
    <t>HDM-15600-0000</t>
  </si>
  <si>
    <t>HDM-15700-0000</t>
  </si>
  <si>
    <t>HDM-15800-0000</t>
  </si>
  <si>
    <t>HDM-16000-0000</t>
  </si>
  <si>
    <t>HDM-17000-0000</t>
  </si>
  <si>
    <t>HDM-18000-0000</t>
  </si>
  <si>
    <t>HDM-22000-0000</t>
  </si>
  <si>
    <t>HDM-22003-0000</t>
  </si>
  <si>
    <t>HDM-22005-0000</t>
  </si>
  <si>
    <t>HDM-22310-0000</t>
  </si>
  <si>
    <t>HDM-22800-0000</t>
  </si>
  <si>
    <t>HDM-22801-0000</t>
  </si>
  <si>
    <t>HDM-22810-0000</t>
  </si>
  <si>
    <t>HDM-22900-0000</t>
  </si>
  <si>
    <t>HDM-22905-0000</t>
  </si>
  <si>
    <t>HDM-22906-0000</t>
  </si>
  <si>
    <t>HDM-23000-0000</t>
  </si>
  <si>
    <t>HDM-23100-0000</t>
  </si>
  <si>
    <t>HDM-23500-0000</t>
  </si>
  <si>
    <t>HDM-23501-0000</t>
  </si>
  <si>
    <t>HDM-23700-0000</t>
  </si>
  <si>
    <t>HDM-23800-0000</t>
  </si>
  <si>
    <t>HDM-24200-0000</t>
  </si>
  <si>
    <t>HDM-24300-0000</t>
  </si>
  <si>
    <t>HDM-24400-0000</t>
  </si>
  <si>
    <t>HDM-24500-0000</t>
  </si>
  <si>
    <t>HDM-24600-0000</t>
  </si>
  <si>
    <t>HDM-25005-0000</t>
  </si>
  <si>
    <t>HDM-25009-0000</t>
  </si>
  <si>
    <t>HDM-25600-0000</t>
  </si>
  <si>
    <t>HDM-25601-0000</t>
  </si>
  <si>
    <t>HDM-25602-0000</t>
  </si>
  <si>
    <t>HDM-25603-0000</t>
  </si>
  <si>
    <t>HDM-25604-0000</t>
  </si>
  <si>
    <t>HDM-28000-0000</t>
  </si>
  <si>
    <t>HDM-28002-0000</t>
  </si>
  <si>
    <t>HDM-28003-0000</t>
  </si>
  <si>
    <t>HDM-28004-0000</t>
  </si>
  <si>
    <t>HDM-28005-0000</t>
  </si>
  <si>
    <t>HDM-28006-0000</t>
  </si>
  <si>
    <t>HDM-28007-0000</t>
  </si>
  <si>
    <t>HDM-28008-0000</t>
  </si>
  <si>
    <t>HDM-28009-0000</t>
  </si>
  <si>
    <t>HDM-28010-0000</t>
  </si>
  <si>
    <t>HDM-28011-0000</t>
  </si>
  <si>
    <t>HDM-28012-0000</t>
  </si>
  <si>
    <t>HDM-28013-0000</t>
  </si>
  <si>
    <t>HDM-28014-0000</t>
  </si>
  <si>
    <t>HDM-28015-0000</t>
  </si>
  <si>
    <t>HDM-28016-0000</t>
  </si>
  <si>
    <t>HDM-28017-0000</t>
  </si>
  <si>
    <t>HDM-28018-0000</t>
  </si>
  <si>
    <t>HDM-28019-0000</t>
  </si>
  <si>
    <t>HDM-28020-0000</t>
  </si>
  <si>
    <t>HDM-28021-0000</t>
  </si>
  <si>
    <t>HDM-28022-0000</t>
  </si>
  <si>
    <t>HDM-28023-0000</t>
  </si>
  <si>
    <t>HDM-28024-0000</t>
  </si>
  <si>
    <t>HDM-30101-0000</t>
  </si>
  <si>
    <t>HDM-30501-0000</t>
  </si>
  <si>
    <t>HDM-31001-0000</t>
  </si>
  <si>
    <t>HDM-31002-0000</t>
  </si>
  <si>
    <t>HDM-31003-0000</t>
  </si>
  <si>
    <t>HDM-31005-0000</t>
  </si>
  <si>
    <t>HDM-31007-0000</t>
  </si>
  <si>
    <t>HDM-31008-0000</t>
  </si>
  <si>
    <t>HDM-31009-0000</t>
  </si>
  <si>
    <t>HDM-31010-0000</t>
  </si>
  <si>
    <t>HDM-31012-0000</t>
  </si>
  <si>
    <t>HDM-31015-0000</t>
  </si>
  <si>
    <t>HDM-31016-0000</t>
  </si>
  <si>
    <t>HDM-31018-0000</t>
  </si>
  <si>
    <t>HDM-31801-0000</t>
  </si>
  <si>
    <t>HDM-31802-0000</t>
  </si>
  <si>
    <t>HDM-31803-0000</t>
  </si>
  <si>
    <t>HDM-31804-0000</t>
  </si>
  <si>
    <t>HDM-31900-0000</t>
  </si>
  <si>
    <t>HDM-36000-0000</t>
  </si>
  <si>
    <t>HDM-36002-0000</t>
  </si>
  <si>
    <t>HDM-36003-0000</t>
  </si>
  <si>
    <t>HDM-36004-0000</t>
  </si>
  <si>
    <t>HDM-36005-0000</t>
  </si>
  <si>
    <t>HDM-36006-0000</t>
  </si>
  <si>
    <t>HDM-36008-0000</t>
  </si>
  <si>
    <t>HDM-36018-0000</t>
  </si>
  <si>
    <t>HDM-36801-0000</t>
  </si>
  <si>
    <t>HDM-36802-0000</t>
  </si>
  <si>
    <t>HDM-36803-0000</t>
  </si>
  <si>
    <t>HDM-36804-0000</t>
  </si>
  <si>
    <t>HDM-36900-0000</t>
  </si>
  <si>
    <t>HDM-36901-0000</t>
  </si>
  <si>
    <t>HDM-38100-0000</t>
  </si>
  <si>
    <t>HDM-38100-1000</t>
  </si>
  <si>
    <t>HDM-40140-0000</t>
  </si>
  <si>
    <t>HDM-41112-0000</t>
  </si>
  <si>
    <t>HDM-41120-0000</t>
  </si>
  <si>
    <t>HDM-42110-0000</t>
  </si>
  <si>
    <t>HDM-42130-0000</t>
  </si>
  <si>
    <t>HDM-42140-0000</t>
  </si>
  <si>
    <t>HDM-42150-0000</t>
  </si>
  <si>
    <t>HDM-42160-0000</t>
  </si>
  <si>
    <t>HDM-42405-0000</t>
  </si>
  <si>
    <t>HDM-43120-0000</t>
  </si>
  <si>
    <t>HDM-43121-0000</t>
  </si>
  <si>
    <t>HDM-43200-0000</t>
  </si>
  <si>
    <t>HDM-43410-0000</t>
  </si>
  <si>
    <t>HDM-43420-0000</t>
  </si>
  <si>
    <t>HDM-43430-0000</t>
  </si>
  <si>
    <t>HDM-43440-0000</t>
  </si>
  <si>
    <t>HDM-43450-0000</t>
  </si>
  <si>
    <t>HDM-43480-0000</t>
  </si>
  <si>
    <t>HDM-43490-0000</t>
  </si>
  <si>
    <t>HDM-43491-0000</t>
  </si>
  <si>
    <t>HDM-43492-0000</t>
  </si>
  <si>
    <t>HDM-43493-0000</t>
  </si>
  <si>
    <t>HDM-43494-0000</t>
  </si>
  <si>
    <t>HDM-43495-0000</t>
  </si>
  <si>
    <t>HDM-44000-0000</t>
  </si>
  <si>
    <t>HDM-46000-0000</t>
  </si>
  <si>
    <t>HDM-47300-0000</t>
  </si>
  <si>
    <t>HDM-47550-0000</t>
  </si>
  <si>
    <t>HDM-49500-9999</t>
  </si>
  <si>
    <t>HDM-51001-0000</t>
  </si>
  <si>
    <t>HDM-51002-0000</t>
  </si>
  <si>
    <t>HDM-51003-0000</t>
  </si>
  <si>
    <t>HDM-51004-0000</t>
  </si>
  <si>
    <t>HDM-51005-0000</t>
  </si>
  <si>
    <t>HDM-51007-0000</t>
  </si>
  <si>
    <t>HDM-51010-0000</t>
  </si>
  <si>
    <t>HDM-51013-0000</t>
  </si>
  <si>
    <t>HDM-51014-0000</t>
  </si>
  <si>
    <t>HDM-51015-0000</t>
  </si>
  <si>
    <t>HDM-51021-0000</t>
  </si>
  <si>
    <t>HDM-51022-0000</t>
  </si>
  <si>
    <t>HDM-51023-0000</t>
  </si>
  <si>
    <t>HDM-51024-0000</t>
  </si>
  <si>
    <t>HDM-51025-0000</t>
  </si>
  <si>
    <t>HDM-51026-0000</t>
  </si>
  <si>
    <t>HDM-51027-0000</t>
  </si>
  <si>
    <t>HDM-51028-0000</t>
  </si>
  <si>
    <t>HDM-51029-0000</t>
  </si>
  <si>
    <t>HDM-51030-0000</t>
  </si>
  <si>
    <t>HDM-51350-0000</t>
  </si>
  <si>
    <t>HDM-52002-0000</t>
  </si>
  <si>
    <t>HDM-52005-0000</t>
  </si>
  <si>
    <t>HDM-52007-0000</t>
  </si>
  <si>
    <t>HDM-52008-0000</t>
  </si>
  <si>
    <t>HDM-53004-0000</t>
  </si>
  <si>
    <t>HDM-53007-0000</t>
  </si>
  <si>
    <t>HDM-53011-0000</t>
  </si>
  <si>
    <t>HDM-54001-0000</t>
  </si>
  <si>
    <t>HDM-54002-0000</t>
  </si>
  <si>
    <t>HDM-54003-0000</t>
  </si>
  <si>
    <t>HDM-54004-0000</t>
  </si>
  <si>
    <t>HDM-54005-0000</t>
  </si>
  <si>
    <t>HDM-54100-0000</t>
  </si>
  <si>
    <t>HDM-61001-0000</t>
  </si>
  <si>
    <t>HDM-61002-0000</t>
  </si>
  <si>
    <t>HDM-61003-0000</t>
  </si>
  <si>
    <t>HDM-61004-0000</t>
  </si>
  <si>
    <t>HDM-61005-0000</t>
  </si>
  <si>
    <t>HDM-61006-0000</t>
  </si>
  <si>
    <t>HDM-61007-0000</t>
  </si>
  <si>
    <t>HDM-61008-0000</t>
  </si>
  <si>
    <t>HDM-61009-0000</t>
  </si>
  <si>
    <t>HDM-61010-0000</t>
  </si>
  <si>
    <t>HDM-61011-0000</t>
  </si>
  <si>
    <t>HDM-61012-0000</t>
  </si>
  <si>
    <t>HDM-61013-0000</t>
  </si>
  <si>
    <t>HDM-61014-0000</t>
  </si>
  <si>
    <t>HDM-61015-0000</t>
  </si>
  <si>
    <t>HDM-61016-0000</t>
  </si>
  <si>
    <t>HDM-61017-0000</t>
  </si>
  <si>
    <t>HDM-61021-0000</t>
  </si>
  <si>
    <t>HDM-61022-0000</t>
  </si>
  <si>
    <t>HDM-61024-0000</t>
  </si>
  <si>
    <t>HDM-61025-0000</t>
  </si>
  <si>
    <t>HDM-71010-0000</t>
  </si>
  <si>
    <t>HDM-71020-0000</t>
  </si>
  <si>
    <t>HDM-71030-0000</t>
  </si>
  <si>
    <t>HDM-71040-0000</t>
  </si>
  <si>
    <t>HDM-71050-0000</t>
  </si>
  <si>
    <t>HDM-71060-0000</t>
  </si>
  <si>
    <t>HDM-71070-0000</t>
  </si>
  <si>
    <t>HDM-71080-0000</t>
  </si>
  <si>
    <t>HDM-71090-0000</t>
  </si>
  <si>
    <t>HDM-71100-0000</t>
  </si>
  <si>
    <t>HDM-71110-0000</t>
  </si>
  <si>
    <t>HDM-73101-0000</t>
  </si>
  <si>
    <t>HDM-73103-0000</t>
  </si>
  <si>
    <t>HDM-73105-0000</t>
  </si>
  <si>
    <t>HDM-80006-0000</t>
  </si>
  <si>
    <t>HDM-80061-0000</t>
  </si>
  <si>
    <t>HDM-81019-0000</t>
  </si>
  <si>
    <t>HDM-81220-0000</t>
  </si>
  <si>
    <t>HDM-81228-0000</t>
  </si>
  <si>
    <t>HDM-81400-0000</t>
  </si>
  <si>
    <t>HDM-82900-0000</t>
  </si>
  <si>
    <t>HDM-85500-0000</t>
  </si>
  <si>
    <t>HDM-85700-0000</t>
  </si>
  <si>
    <t>HDR-10003-0000</t>
  </si>
  <si>
    <t>HDR-10004-0000</t>
  </si>
  <si>
    <t>HDR-10005-0000</t>
  </si>
  <si>
    <t>HDR-10006-0000</t>
  </si>
  <si>
    <t>HDR-10009-0000</t>
  </si>
  <si>
    <t>HDR-10010-0000</t>
  </si>
  <si>
    <t>HDR-10011-0000</t>
  </si>
  <si>
    <t>HDR-10012-0000</t>
  </si>
  <si>
    <t>HDR-10023-0000</t>
  </si>
  <si>
    <t>HDR-10024-0000</t>
  </si>
  <si>
    <t>HDR-10027-0000</t>
  </si>
  <si>
    <t>HDR-10050-0000</t>
  </si>
  <si>
    <t>HDR-11200-0000</t>
  </si>
  <si>
    <t>HDR-11201-0000</t>
  </si>
  <si>
    <t>HDR-11202-0000</t>
  </si>
  <si>
    <t>HDR-11203-0000</t>
  </si>
  <si>
    <t>HDR-11204-0000</t>
  </si>
  <si>
    <t>HDR-11208-0000</t>
  </si>
  <si>
    <t>HDR-11210-0000</t>
  </si>
  <si>
    <t>HDR-11212-0000</t>
  </si>
  <si>
    <t>HDR-11214-0000</t>
  </si>
  <si>
    <t>HDR-11215-0000</t>
  </si>
  <si>
    <t>HDR-11232-0000</t>
  </si>
  <si>
    <t>HDR-11301-0000</t>
  </si>
  <si>
    <t>HDR-11302-0000</t>
  </si>
  <si>
    <t>HDR-11303-0000</t>
  </si>
  <si>
    <t>HDR-11304-0000</t>
  </si>
  <si>
    <t>HDR-11305-0000</t>
  </si>
  <si>
    <t>HDR-11307-0000</t>
  </si>
  <si>
    <t>HDR-11308-0000</t>
  </si>
  <si>
    <t>HDR-11309-0000</t>
  </si>
  <si>
    <t>HDR-11310-0000</t>
  </si>
  <si>
    <t>HDR-11311-0000</t>
  </si>
  <si>
    <t>HDR-11312-0000</t>
  </si>
  <si>
    <t>HDR-11313-0000</t>
  </si>
  <si>
    <t>HDR-11314-0000</t>
  </si>
  <si>
    <t>HDR-11315-0000</t>
  </si>
  <si>
    <t>HDR-11316-0000</t>
  </si>
  <si>
    <t>HDR-11317-0000</t>
  </si>
  <si>
    <t>HDR-11318-0000</t>
  </si>
  <si>
    <t>HDR-11319-0000</t>
  </si>
  <si>
    <t>HDR-11321-0000</t>
  </si>
  <si>
    <t>HDR-11322-0000</t>
  </si>
  <si>
    <t>HDR-11323-0000</t>
  </si>
  <si>
    <t>HDR-11324-0000</t>
  </si>
  <si>
    <t>HDR-11325-0000</t>
  </si>
  <si>
    <t>HDR-11326-0000</t>
  </si>
  <si>
    <t>HDR-11327-0000</t>
  </si>
  <si>
    <t>HDR-11328-0000</t>
  </si>
  <si>
    <t>HDR-11329-0000</t>
  </si>
  <si>
    <t>HDR-11330-0000</t>
  </si>
  <si>
    <t>HDR-11331-0000</t>
  </si>
  <si>
    <t>HDR-11332-0000</t>
  </si>
  <si>
    <t>HDR-11333-0000</t>
  </si>
  <si>
    <t>HDR-11334-0000</t>
  </si>
  <si>
    <t>HDR-11335-0000</t>
  </si>
  <si>
    <t>HDR-11336-0000</t>
  </si>
  <si>
    <t>HDR-11337-0000</t>
  </si>
  <si>
    <t>HDR-11338-0000</t>
  </si>
  <si>
    <t>HDR-11339-0000</t>
  </si>
  <si>
    <t>HDR-11340-0000</t>
  </si>
  <si>
    <t>HDR-11341-0000</t>
  </si>
  <si>
    <t>HDR-11342-0000</t>
  </si>
  <si>
    <t>HDR-11344-0000</t>
  </si>
  <si>
    <t>HDR-11345-0000</t>
  </si>
  <si>
    <t>HDR-11346-0000</t>
  </si>
  <si>
    <t>HDR-11347-0000</t>
  </si>
  <si>
    <t>HDR-11348-0000</t>
  </si>
  <si>
    <t>HDR-11349-0000</t>
  </si>
  <si>
    <t>HDR-11350-0000</t>
  </si>
  <si>
    <t>HDR-11351-0000</t>
  </si>
  <si>
    <t>HDR-11352-0000</t>
  </si>
  <si>
    <t>HDR-11353-0000</t>
  </si>
  <si>
    <t>HDR-11354-0000</t>
  </si>
  <si>
    <t>HDR-11355-0000</t>
  </si>
  <si>
    <t>HDR-11356-0000</t>
  </si>
  <si>
    <t>HDR-11357-0000</t>
  </si>
  <si>
    <t>HDR-11358-0000</t>
  </si>
  <si>
    <t>HDR-11359-0000</t>
  </si>
  <si>
    <t>HDR-11361-0000</t>
  </si>
  <si>
    <t>HDR-11363-0000</t>
  </si>
  <si>
    <t>HDR-11364-0000</t>
  </si>
  <si>
    <t>HDR-11365-0000</t>
  </si>
  <si>
    <t>HDR-11366-0000</t>
  </si>
  <si>
    <t>HDR-11402-0000</t>
  </si>
  <si>
    <t>HDR-11403-0000</t>
  </si>
  <si>
    <t>HDR-12100-0000</t>
  </si>
  <si>
    <t>HDR-12105-0000</t>
  </si>
  <si>
    <t>HDR-12400-0000</t>
  </si>
  <si>
    <t>HDR-12401-0000</t>
  </si>
  <si>
    <t>HDR-12402-0000</t>
  </si>
  <si>
    <t>HDR-12403-0000</t>
  </si>
  <si>
    <t>HDR-12501-0000</t>
  </si>
  <si>
    <t>HDR-12510-0000</t>
  </si>
  <si>
    <t>HDR-13010-0000</t>
  </si>
  <si>
    <t>HDR-13050-0000</t>
  </si>
  <si>
    <t>HDR-13610-0000</t>
  </si>
  <si>
    <t>HDR-13620-0000</t>
  </si>
  <si>
    <t>HDR-13810-0000</t>
  </si>
  <si>
    <t>HDR-13811-0000</t>
  </si>
  <si>
    <t>HDR-13811-1000</t>
  </si>
  <si>
    <t>HDR-13812-0000</t>
  </si>
  <si>
    <t>HDR-13812-1000</t>
  </si>
  <si>
    <t>HDR-13813-0000</t>
  </si>
  <si>
    <t>HDR-13813-1000</t>
  </si>
  <si>
    <t>HDR-13820-0000</t>
  </si>
  <si>
    <t>HDR-13820-1000</t>
  </si>
  <si>
    <t>HDR-13821-0000</t>
  </si>
  <si>
    <t>HDR-13821-1000</t>
  </si>
  <si>
    <t>HDR-13822-0000</t>
  </si>
  <si>
    <t>HDR-13822-1000</t>
  </si>
  <si>
    <t>HDR-14100-0000</t>
  </si>
  <si>
    <t>HDR-15500-0000</t>
  </si>
  <si>
    <t>HDR-15600-0000</t>
  </si>
  <si>
    <t>HDR-15700-0000</t>
  </si>
  <si>
    <t>HDR-15800-0000</t>
  </si>
  <si>
    <t>HDR-16000-0000</t>
  </si>
  <si>
    <t>HDR-17000-0000</t>
  </si>
  <si>
    <t>HDR-18000-0000</t>
  </si>
  <si>
    <t>HDR-22000-0000</t>
  </si>
  <si>
    <t>HDR-22003-0000</t>
  </si>
  <si>
    <t>HDR-22005-0000</t>
  </si>
  <si>
    <t>HDR-22310-0000</t>
  </si>
  <si>
    <t>HDR-22800-0000</t>
  </si>
  <si>
    <t>HDR-22801-0000</t>
  </si>
  <si>
    <t>HDR-22810-0000</t>
  </si>
  <si>
    <t>HDR-22900-0000</t>
  </si>
  <si>
    <t>HDR-22905-0000</t>
  </si>
  <si>
    <t>HDR-22906-0000</t>
  </si>
  <si>
    <t>HDR-23000-0000</t>
  </si>
  <si>
    <t>HDR-23100-0000</t>
  </si>
  <si>
    <t>HDR-23500-0000</t>
  </si>
  <si>
    <t>HDR-23501-0000</t>
  </si>
  <si>
    <t>HDR-23700-0000</t>
  </si>
  <si>
    <t>HDR-23800-0000</t>
  </si>
  <si>
    <t>HDR-24200-0000</t>
  </si>
  <si>
    <t>HDR-24300-0000</t>
  </si>
  <si>
    <t>HDR-24400-0000</t>
  </si>
  <si>
    <t>HDR-24500-0000</t>
  </si>
  <si>
    <t>HDR-24600-0000</t>
  </si>
  <si>
    <t>HDR-25005-0000</t>
  </si>
  <si>
    <t>HDR-25009-0000</t>
  </si>
  <si>
    <t>HDR-25600-0000</t>
  </si>
  <si>
    <t>HDR-25601-0000</t>
  </si>
  <si>
    <t>HDR-25602-0000</t>
  </si>
  <si>
    <t>HDR-25603-0000</t>
  </si>
  <si>
    <t>HDR-25604-0000</t>
  </si>
  <si>
    <t>HDR-28000-0000</t>
  </si>
  <si>
    <t>HDR-28002-0000</t>
  </si>
  <si>
    <t>HDR-28003-0000</t>
  </si>
  <si>
    <t>HDR-28004-0000</t>
  </si>
  <si>
    <t>HDR-28005-0000</t>
  </si>
  <si>
    <t>HDR-28006-0000</t>
  </si>
  <si>
    <t>HDR-28007-0000</t>
  </si>
  <si>
    <t>HDR-28008-0000</t>
  </si>
  <si>
    <t>HDR-28009-0000</t>
  </si>
  <si>
    <t>HDR-28010-0000</t>
  </si>
  <si>
    <t>HDR-28011-0000</t>
  </si>
  <si>
    <t>HDR-28012-0000</t>
  </si>
  <si>
    <t>HDR-28013-0000</t>
  </si>
  <si>
    <t>HDR-28014-0000</t>
  </si>
  <si>
    <t>HDR-28015-0000</t>
  </si>
  <si>
    <t>HDR-28016-0000</t>
  </si>
  <si>
    <t>HDR-28017-0000</t>
  </si>
  <si>
    <t>HDR-28018-0000</t>
  </si>
  <si>
    <t>HDR-28019-0000</t>
  </si>
  <si>
    <t>HDR-28020-0000</t>
  </si>
  <si>
    <t>HDR-28021-0000</t>
  </si>
  <si>
    <t>HDR-28022-0000</t>
  </si>
  <si>
    <t>HDR-28023-0000</t>
  </si>
  <si>
    <t>HDR-28024-0000</t>
  </si>
  <si>
    <t>HDR-30101-0000</t>
  </si>
  <si>
    <t>HDR-30501-0000</t>
  </si>
  <si>
    <t>HDR-31001-0000</t>
  </si>
  <si>
    <t>HDR-31002-0000</t>
  </si>
  <si>
    <t>HDR-31003-0000</t>
  </si>
  <si>
    <t>HDR-31005-0000</t>
  </si>
  <si>
    <t>HDR-31007-0000</t>
  </si>
  <si>
    <t>HDR-31008-0000</t>
  </si>
  <si>
    <t>HDR-31009-0000</t>
  </si>
  <si>
    <t>HDR-31010-0000</t>
  </si>
  <si>
    <t>HDR-31012-0000</t>
  </si>
  <si>
    <t>HDR-31015-0000</t>
  </si>
  <si>
    <t>HDR-31016-0000</t>
  </si>
  <si>
    <t>HDR-31018-0000</t>
  </si>
  <si>
    <t>HDR-31801-0000</t>
  </si>
  <si>
    <t>HDR-31802-0000</t>
  </si>
  <si>
    <t>HDR-31803-0000</t>
  </si>
  <si>
    <t>HDR-31804-0000</t>
  </si>
  <si>
    <t>HDR-31900-0000</t>
  </si>
  <si>
    <t>HDR-36000-0000</t>
  </si>
  <si>
    <t>HDR-36002-0000</t>
  </si>
  <si>
    <t>HDR-36003-0000</t>
  </si>
  <si>
    <t>HDR-36004-0000</t>
  </si>
  <si>
    <t>HDR-36005-0000</t>
  </si>
  <si>
    <t>HDR-36006-0000</t>
  </si>
  <si>
    <t>HDR-36008-0000</t>
  </si>
  <si>
    <t>HDR-36018-0000</t>
  </si>
  <si>
    <t>HDR-36801-0000</t>
  </si>
  <si>
    <t>HDR-36802-0000</t>
  </si>
  <si>
    <t>HDR-36803-0000</t>
  </si>
  <si>
    <t>HDR-36804-0000</t>
  </si>
  <si>
    <t>HDR-36900-0000</t>
  </si>
  <si>
    <t>HDR-36901-0000</t>
  </si>
  <si>
    <t>HDR-38100-0000</t>
  </si>
  <si>
    <t>HDR-38100-1000</t>
  </si>
  <si>
    <t>HDR-40140-0000</t>
  </si>
  <si>
    <t>HDR-41112-0000</t>
  </si>
  <si>
    <t>HDR-41120-0000</t>
  </si>
  <si>
    <t>HDR-42110-0000</t>
  </si>
  <si>
    <t>HDR-42130-0000</t>
  </si>
  <si>
    <t>HDR-42140-0000</t>
  </si>
  <si>
    <t>HDR-42150-0000</t>
  </si>
  <si>
    <t>HDR-42160-0000</t>
  </si>
  <si>
    <t>HDR-42405-0000</t>
  </si>
  <si>
    <t>HDR-43120-0000</t>
  </si>
  <si>
    <t>HDR-43121-0000</t>
  </si>
  <si>
    <t>HDR-43200-0000</t>
  </si>
  <si>
    <t>HDR-43410-0000</t>
  </si>
  <si>
    <t>HDR-43420-0000</t>
  </si>
  <si>
    <t>HDR-43430-0000</t>
  </si>
  <si>
    <t>HDR-43440-0000</t>
  </si>
  <si>
    <t>HDR-43450-0000</t>
  </si>
  <si>
    <t>HDR-43480-0000</t>
  </si>
  <si>
    <t>HDR-43490-0000</t>
  </si>
  <si>
    <t>HDR-43491-0000</t>
  </si>
  <si>
    <t>HDR-43492-0000</t>
  </si>
  <si>
    <t>HDR-43493-0000</t>
  </si>
  <si>
    <t>HDR-43494-0000</t>
  </si>
  <si>
    <t>HDR-43495-0000</t>
  </si>
  <si>
    <t>HDR-44000-0000</t>
  </si>
  <si>
    <t>HDR-46000-0000</t>
  </si>
  <si>
    <t>HDR-47300-0000</t>
  </si>
  <si>
    <t>HDR-47550-0000</t>
  </si>
  <si>
    <t>HDR-49500-9999</t>
  </si>
  <si>
    <t>HDR-51001-0000</t>
  </si>
  <si>
    <t>HDR-51002-0000</t>
  </si>
  <si>
    <t>HDR-51003-0000</t>
  </si>
  <si>
    <t>HDR-51004-0000</t>
  </si>
  <si>
    <t>HDR-51005-0000</t>
  </si>
  <si>
    <t>HDR-51007-0000</t>
  </si>
  <si>
    <t>HDR-51009-0000</t>
  </si>
  <si>
    <t>HDR-51010-0000</t>
  </si>
  <si>
    <t>HDR-51013-0000</t>
  </si>
  <si>
    <t>HDR-51014-0000</t>
  </si>
  <si>
    <t>HDR-51021-0000</t>
  </si>
  <si>
    <t>HDR-51022-0000</t>
  </si>
  <si>
    <t>HDR-51023-0000</t>
  </si>
  <si>
    <t>HDR-51024-0000</t>
  </si>
  <si>
    <t>HDR-51025-0000</t>
  </si>
  <si>
    <t>HDR-51026-0000</t>
  </si>
  <si>
    <t>HDR-51027-0000</t>
  </si>
  <si>
    <t>HDR-51028-0000</t>
  </si>
  <si>
    <t>HDR-51029-0000</t>
  </si>
  <si>
    <t>HDR-51030-0000</t>
  </si>
  <si>
    <t>HDR-51350-0000</t>
  </si>
  <si>
    <t>HDR-52001-0000</t>
  </si>
  <si>
    <t>HDR-52002-0000</t>
  </si>
  <si>
    <t>HDR-52005-0000</t>
  </si>
  <si>
    <t>HDR-52007-0000</t>
  </si>
  <si>
    <t>HDR-52008-0000</t>
  </si>
  <si>
    <t>HDR-53004-0000</t>
  </si>
  <si>
    <t>HDR-53007-0000</t>
  </si>
  <si>
    <t>HDR-53011-0000</t>
  </si>
  <si>
    <t>HDR-54001-0000</t>
  </si>
  <si>
    <t>HDR-54003-0000</t>
  </si>
  <si>
    <t>HDR-54100-0000</t>
  </si>
  <si>
    <t>HDR-61001-0000</t>
  </si>
  <si>
    <t>HDR-61002-0000</t>
  </si>
  <si>
    <t>HDR-61003-0000</t>
  </si>
  <si>
    <t>HDR-61004-0000</t>
  </si>
  <si>
    <t>HDR-61005-0000</t>
  </si>
  <si>
    <t>HDR-61006-0000</t>
  </si>
  <si>
    <t>HDR-61007-0000</t>
  </si>
  <si>
    <t>HDR-61008-0000</t>
  </si>
  <si>
    <t>HDR-61009-0000</t>
  </si>
  <si>
    <t>HDR-61010-0000</t>
  </si>
  <si>
    <t>HDR-61011-0000</t>
  </si>
  <si>
    <t>HDR-61012-0000</t>
  </si>
  <si>
    <t>HDR-61013-0000</t>
  </si>
  <si>
    <t>HDR-61014-0000</t>
  </si>
  <si>
    <t>HDR-61015-0000</t>
  </si>
  <si>
    <t>HDR-61017-0000</t>
  </si>
  <si>
    <t>HDR-61021-0000</t>
  </si>
  <si>
    <t>HDR-61022-0000</t>
  </si>
  <si>
    <t>HDR-61024-0000</t>
  </si>
  <si>
    <t>HDR-61025-0000</t>
  </si>
  <si>
    <t>HDR-71010-0000</t>
  </si>
  <si>
    <t>HDR-71020-0000</t>
  </si>
  <si>
    <t>HDR-71030-0000</t>
  </si>
  <si>
    <t>HDR-71040-0000</t>
  </si>
  <si>
    <t>HDR-71050-0000</t>
  </si>
  <si>
    <t>HDR-71060-0000</t>
  </si>
  <si>
    <t>HDR-71070-0000</t>
  </si>
  <si>
    <t>HDR-71080-0000</t>
  </si>
  <si>
    <t>HDR-71090-0000</t>
  </si>
  <si>
    <t>HDR-71100-0000</t>
  </si>
  <si>
    <t>HDR-71110-0000</t>
  </si>
  <si>
    <t>HDR-73101-0000</t>
  </si>
  <si>
    <t>HDR-73103-0000</t>
  </si>
  <si>
    <t>HDR-73105-0000</t>
  </si>
  <si>
    <t>HDR-80006-0000</t>
  </si>
  <si>
    <t>HDR-80061-0000</t>
  </si>
  <si>
    <t>HDR-81019-0000</t>
  </si>
  <si>
    <t>HDR-81220-0000</t>
  </si>
  <si>
    <t>HDR-81228-0000</t>
  </si>
  <si>
    <t>HDR-81400-0000</t>
  </si>
  <si>
    <t>HDR-82900-0000</t>
  </si>
  <si>
    <t>HDR-85500-0000</t>
  </si>
  <si>
    <t>HDR-85700-0000</t>
  </si>
  <si>
    <t>JUP-10003-0000</t>
  </si>
  <si>
    <t>JUP-10004-0000</t>
  </si>
  <si>
    <t>JUP-10005-0000</t>
  </si>
  <si>
    <t>JUP-10006-0000</t>
  </si>
  <si>
    <t>JUP-10009-0000</t>
  </si>
  <si>
    <t>JUP-10010-0000</t>
  </si>
  <si>
    <t>JUP-10011-0000</t>
  </si>
  <si>
    <t>JUP-10012-0000</t>
  </si>
  <si>
    <t>JUP-10023-0000</t>
  </si>
  <si>
    <t>JUP-10024-0000</t>
  </si>
  <si>
    <t>JUP-10027-0000</t>
  </si>
  <si>
    <t>JUP-10050-0000</t>
  </si>
  <si>
    <t>JUP-11200-0000</t>
  </si>
  <si>
    <t>JUP-11201-0000</t>
  </si>
  <si>
    <t>JUP-11202-0000</t>
  </si>
  <si>
    <t>JUP-11203-0000</t>
  </si>
  <si>
    <t>JUP-11204-0000</t>
  </si>
  <si>
    <t>JUP-11208-0000</t>
  </si>
  <si>
    <t>JUP-11210-0000</t>
  </si>
  <si>
    <t>JUP-11212-0000</t>
  </si>
  <si>
    <t>JUP-11214-0000</t>
  </si>
  <si>
    <t>JUP-11215-0000</t>
  </si>
  <si>
    <t>JUP-11232-0000</t>
  </si>
  <si>
    <t>JUP-11301-0000</t>
  </si>
  <si>
    <t>JUP-11302-0000</t>
  </si>
  <si>
    <t>JUP-11303-0000</t>
  </si>
  <si>
    <t>JUP-11304-0000</t>
  </si>
  <si>
    <t>JUP-11305-0000</t>
  </si>
  <si>
    <t>JUP-11307-0000</t>
  </si>
  <si>
    <t>JUP-11308-0000</t>
  </si>
  <si>
    <t>JUP-11309-0000</t>
  </si>
  <si>
    <t>JUP-11310-0000</t>
  </si>
  <si>
    <t>JUP-11311-0000</t>
  </si>
  <si>
    <t>JUP-11312-0000</t>
  </si>
  <si>
    <t>JUP-11313-0000</t>
  </si>
  <si>
    <t>JUP-11314-0000</t>
  </si>
  <si>
    <t>JUP-11315-0000</t>
  </si>
  <si>
    <t>JUP-11316-0000</t>
  </si>
  <si>
    <t>JUP-11317-0000</t>
  </si>
  <si>
    <t>JUP-11318-0000</t>
  </si>
  <si>
    <t>JUP-11319-0000</t>
  </si>
  <si>
    <t>JUP-11320-0000</t>
  </si>
  <si>
    <t>JUP-11321-0000</t>
  </si>
  <si>
    <t>JUP-11322-0000</t>
  </si>
  <si>
    <t>JUP-11323-0000</t>
  </si>
  <si>
    <t>JUP-11324-0000</t>
  </si>
  <si>
    <t>JUP-11325-0000</t>
  </si>
  <si>
    <t>JUP-11326-0000</t>
  </si>
  <si>
    <t>JUP-11327-0000</t>
  </si>
  <si>
    <t>JUP-11328-0000</t>
  </si>
  <si>
    <t>JUP-11329-0000</t>
  </si>
  <si>
    <t>JUP-11330-0000</t>
  </si>
  <si>
    <t>JUP-11331-0000</t>
  </si>
  <si>
    <t>JUP-11332-0000</t>
  </si>
  <si>
    <t>JUP-11333-0000</t>
  </si>
  <si>
    <t>JUP-11334-0000</t>
  </si>
  <si>
    <t>JUP-11335-0000</t>
  </si>
  <si>
    <t>JUP-11336-0000</t>
  </si>
  <si>
    <t>JUP-11337-0000</t>
  </si>
  <si>
    <t>JUP-11338-0000</t>
  </si>
  <si>
    <t>JUP-11339-0000</t>
  </si>
  <si>
    <t>JUP-11340-0000</t>
  </si>
  <si>
    <t>JUP-11341-0000</t>
  </si>
  <si>
    <t>JUP-11342-0000</t>
  </si>
  <si>
    <t>JUP-11343-0000</t>
  </si>
  <si>
    <t>JUP-11344-0000</t>
  </si>
  <si>
    <t>JUP-11345-0000</t>
  </si>
  <si>
    <t>JUP-11346-0000</t>
  </si>
  <si>
    <t>JUP-11347-0000</t>
  </si>
  <si>
    <t>JUP-11348-0000</t>
  </si>
  <si>
    <t>JUP-11349-0000</t>
  </si>
  <si>
    <t>JUP-11350-0000</t>
  </si>
  <si>
    <t>JUP-11351-0000</t>
  </si>
  <si>
    <t>JUP-11352-0000</t>
  </si>
  <si>
    <t>JUP-11353-0000</t>
  </si>
  <si>
    <t>JUP-11354-0000</t>
  </si>
  <si>
    <t>JUP-11355-0000</t>
  </si>
  <si>
    <t>JUP-11356-0000</t>
  </si>
  <si>
    <t>JUP-11357-0000</t>
  </si>
  <si>
    <t>JUP-11358-0000</t>
  </si>
  <si>
    <t>JUP-11359-0000</t>
  </si>
  <si>
    <t>JUP-11361-0000</t>
  </si>
  <si>
    <t>JUP-11363-0000</t>
  </si>
  <si>
    <t>JUP-11364-0000</t>
  </si>
  <si>
    <t>JUP-11365-0000</t>
  </si>
  <si>
    <t>JUP-11366-0000</t>
  </si>
  <si>
    <t>JUP-11402-0000</t>
  </si>
  <si>
    <t>JUP-11403-0000</t>
  </si>
  <si>
    <t>JUP-12100-0000</t>
  </si>
  <si>
    <t>JUP-12105-0000</t>
  </si>
  <si>
    <t>JUP-12400-0000</t>
  </si>
  <si>
    <t>JUP-12401-0000</t>
  </si>
  <si>
    <t>JUP-12402-0000</t>
  </si>
  <si>
    <t>JUP-12403-0000</t>
  </si>
  <si>
    <t>JUP-12501-0000</t>
  </si>
  <si>
    <t>JUP-12510-0000</t>
  </si>
  <si>
    <t>JUP-13010-0000</t>
  </si>
  <si>
    <t>JUP-13050-0000</t>
  </si>
  <si>
    <t>JUP-13610-0000</t>
  </si>
  <si>
    <t>JUP-13620-0000</t>
  </si>
  <si>
    <t>JUP-13810-0000</t>
  </si>
  <si>
    <t>JUP-13811-0000</t>
  </si>
  <si>
    <t>JUP-13811-1000</t>
  </si>
  <si>
    <t>JUP-13812-0000</t>
  </si>
  <si>
    <t>JUP-13812-1000</t>
  </si>
  <si>
    <t>JUP-13813-0000</t>
  </si>
  <si>
    <t>JUP-13813-1000</t>
  </si>
  <si>
    <t>JUP-13820-0000</t>
  </si>
  <si>
    <t>JUP-13820-1000</t>
  </si>
  <si>
    <t>JUP-13821-0000</t>
  </si>
  <si>
    <t>JUP-13821-1000</t>
  </si>
  <si>
    <t>JUP-13822-0000</t>
  </si>
  <si>
    <t>JUP-13822-1000</t>
  </si>
  <si>
    <t>JUP-14100-0000</t>
  </si>
  <si>
    <t>JUP-15700-0000</t>
  </si>
  <si>
    <t>JUP-15800-0000</t>
  </si>
  <si>
    <t>JUP-22000-0000</t>
  </si>
  <si>
    <t>JUP-22001-0000</t>
  </si>
  <si>
    <t>JUP-22003-0000</t>
  </si>
  <si>
    <t>JUP-22005-0000</t>
  </si>
  <si>
    <t>JUP-22310-0000</t>
  </si>
  <si>
    <t>JUP-22800-0000</t>
  </si>
  <si>
    <t>JUP-22801-0000</t>
  </si>
  <si>
    <t>JUP-22810-0000</t>
  </si>
  <si>
    <t>JUP-22900-0000</t>
  </si>
  <si>
    <t>JUP-22905-0000</t>
  </si>
  <si>
    <t>JUP-22906-0000</t>
  </si>
  <si>
    <t>JUP-23000-0000</t>
  </si>
  <si>
    <t>JUP-23100-0000</t>
  </si>
  <si>
    <t>JUP-23500-0000</t>
  </si>
  <si>
    <t>JUP-23501-0000</t>
  </si>
  <si>
    <t>JUP-23700-0000</t>
  </si>
  <si>
    <t>JUP-23800-0000</t>
  </si>
  <si>
    <t>JUP-24200-0000</t>
  </si>
  <si>
    <t>JUP-24300-0000</t>
  </si>
  <si>
    <t>JUP-24400-0000</t>
  </si>
  <si>
    <t>JUP-24500-0000</t>
  </si>
  <si>
    <t>JUP-24600-0000</t>
  </si>
  <si>
    <t>JUP-25005-0000</t>
  </si>
  <si>
    <t>JUP-25009-0000</t>
  </si>
  <si>
    <t>JUP-25600-0000</t>
  </si>
  <si>
    <t>JUP-25601-0000</t>
  </si>
  <si>
    <t>JUP-25602-0000</t>
  </si>
  <si>
    <t>JUP-25603-0000</t>
  </si>
  <si>
    <t>JUP-25604-0000</t>
  </si>
  <si>
    <t>JUP-28000-0000</t>
  </si>
  <si>
    <t>JUP-28002-0000</t>
  </si>
  <si>
    <t>JUP-28003-0000</t>
  </si>
  <si>
    <t>JUP-28004-0000</t>
  </si>
  <si>
    <t>JUP-28005-0000</t>
  </si>
  <si>
    <t>JUP-28006-0000</t>
  </si>
  <si>
    <t>JUP-28007-0000</t>
  </si>
  <si>
    <t>JUP-28008-0000</t>
  </si>
  <si>
    <t>JUP-28009-0000</t>
  </si>
  <si>
    <t>JUP-28010-0000</t>
  </si>
  <si>
    <t>JUP-28011-0000</t>
  </si>
  <si>
    <t>JUP-28012-0000</t>
  </si>
  <si>
    <t>JUP-28013-0000</t>
  </si>
  <si>
    <t>JUP-28014-0000</t>
  </si>
  <si>
    <t>JUP-28015-0000</t>
  </si>
  <si>
    <t>JUP-28016-0000</t>
  </si>
  <si>
    <t>JUP-28017-0000</t>
  </si>
  <si>
    <t>JUP-28018-0000</t>
  </si>
  <si>
    <t>JUP-28019-0000</t>
  </si>
  <si>
    <t>JUP-28020-0000</t>
  </si>
  <si>
    <t>JUP-28021-0000</t>
  </si>
  <si>
    <t>JUP-28022-0000</t>
  </si>
  <si>
    <t>JUP-28023-0000</t>
  </si>
  <si>
    <t>JUP-28024-0000</t>
  </si>
  <si>
    <t>JUP-30101-0000</t>
  </si>
  <si>
    <t>JUP-30501-0000</t>
  </si>
  <si>
    <t>JUP-31001-0000</t>
  </si>
  <si>
    <t>JUP-31002-0000</t>
  </si>
  <si>
    <t>JUP-31003-0000</t>
  </si>
  <si>
    <t>JUP-31005-0000</t>
  </si>
  <si>
    <t>JUP-31007-0000</t>
  </si>
  <si>
    <t>JUP-31008-0000</t>
  </si>
  <si>
    <t>JUP-31009-0000</t>
  </si>
  <si>
    <t>JUP-31010-0000</t>
  </si>
  <si>
    <t>JUP-31012-0000</t>
  </si>
  <si>
    <t>JUP-31015-0000</t>
  </si>
  <si>
    <t>JUP-31016-0000</t>
  </si>
  <si>
    <t>JUP-31018-0000</t>
  </si>
  <si>
    <t>JUP-31801-0000</t>
  </si>
  <si>
    <t>JUP-31802-0000</t>
  </si>
  <si>
    <t>JUP-31803-0000</t>
  </si>
  <si>
    <t>JUP-31804-0000</t>
  </si>
  <si>
    <t>JUP-31900-0000</t>
  </si>
  <si>
    <t>JUP-36000-0000</t>
  </si>
  <si>
    <t>JUP-36002-0000</t>
  </si>
  <si>
    <t>JUP-36003-0000</t>
  </si>
  <si>
    <t>JUP-36004-0000</t>
  </si>
  <si>
    <t>JUP-36005-0000</t>
  </si>
  <si>
    <t>JUP-36006-0000</t>
  </si>
  <si>
    <t>JUP-36008-0000</t>
  </si>
  <si>
    <t>JUP-36018-0000</t>
  </si>
  <si>
    <t>JUP-36801-0000</t>
  </si>
  <si>
    <t>JUP-36802-0000</t>
  </si>
  <si>
    <t>JUP-36803-0000</t>
  </si>
  <si>
    <t>JUP-36804-0000</t>
  </si>
  <si>
    <t>JUP-36900-0000</t>
  </si>
  <si>
    <t>JUP-36901-0000</t>
  </si>
  <si>
    <t>JUP-38100-0000</t>
  </si>
  <si>
    <t>JUP-38100-1000</t>
  </si>
  <si>
    <t>JUP-40140-0000</t>
  </si>
  <si>
    <t>JUP-41112-0000</t>
  </si>
  <si>
    <t>JUP-41120-0000</t>
  </si>
  <si>
    <t>JUP-42110-0000</t>
  </si>
  <si>
    <t>JUP-42130-0000</t>
  </si>
  <si>
    <t>JUP-42140-0000</t>
  </si>
  <si>
    <t>JUP-42150-0000</t>
  </si>
  <si>
    <t>JUP-42160-0000</t>
  </si>
  <si>
    <t>JUP-42405-0000</t>
  </si>
  <si>
    <t>JUP-43120-0000</t>
  </si>
  <si>
    <t>JUP-43121-0000</t>
  </si>
  <si>
    <t>JUP-43200-0000</t>
  </si>
  <si>
    <t>JUP-43410-0000</t>
  </si>
  <si>
    <t>JUP-43420-0000</t>
  </si>
  <si>
    <t>JUP-43430-0000</t>
  </si>
  <si>
    <t>JUP-43440-0000</t>
  </si>
  <si>
    <t>JUP-43450-0000</t>
  </si>
  <si>
    <t>JUP-43480-0000</t>
  </si>
  <si>
    <t>JUP-43490-0000</t>
  </si>
  <si>
    <t>JUP-43491-0000</t>
  </si>
  <si>
    <t>JUP-43492-0000</t>
  </si>
  <si>
    <t>JUP-43493-0000</t>
  </si>
  <si>
    <t>JUP-43494-0000</t>
  </si>
  <si>
    <t>JUP-43495-0000</t>
  </si>
  <si>
    <t>JUP-44000-0000</t>
  </si>
  <si>
    <t>JUP-46000-0000</t>
  </si>
  <si>
    <t>JUP-47300-0000</t>
  </si>
  <si>
    <t>JUP-47550-0000</t>
  </si>
  <si>
    <t>JUP-49500-9999</t>
  </si>
  <si>
    <t>JUP-51001-0000</t>
  </si>
  <si>
    <t>JUP-51002-0000</t>
  </si>
  <si>
    <t>JUP-51003-0000</t>
  </si>
  <si>
    <t>JUP-51004-0000</t>
  </si>
  <si>
    <t>JUP-51010-0000</t>
  </si>
  <si>
    <t>JUP-51014-0000</t>
  </si>
  <si>
    <t>JUP-51018-0000</t>
  </si>
  <si>
    <t>JUP-51019-0000</t>
  </si>
  <si>
    <t>JUP-51021-0000</t>
  </si>
  <si>
    <t>JUP-51022-0000</t>
  </si>
  <si>
    <t>JUP-51023-0000</t>
  </si>
  <si>
    <t>JUP-51024-0000</t>
  </si>
  <si>
    <t>JUP-51026-0000</t>
  </si>
  <si>
    <t>JUP-51027-0000</t>
  </si>
  <si>
    <t>JUP-51028-0000</t>
  </si>
  <si>
    <t>JUP-51029-0000</t>
  </si>
  <si>
    <t>JUP-51030-0000</t>
  </si>
  <si>
    <t>JUP-51350-0000</t>
  </si>
  <si>
    <t>JUP-52002-0000</t>
  </si>
  <si>
    <t>JUP-52005-0000</t>
  </si>
  <si>
    <t>JUP-52007-0000</t>
  </si>
  <si>
    <t>JUP-52008-0000</t>
  </si>
  <si>
    <t>JUP-53007-0000</t>
  </si>
  <si>
    <t>JUP-53011-0000</t>
  </si>
  <si>
    <t>JUP-54100-0000</t>
  </si>
  <si>
    <t>JUP-61001-0000</t>
  </si>
  <si>
    <t>JUP-61002-0000</t>
  </si>
  <si>
    <t>JUP-61003-0000</t>
  </si>
  <si>
    <t>JUP-61004-0000</t>
  </si>
  <si>
    <t>JUP-61005-0000</t>
  </si>
  <si>
    <t>JUP-61006-0000</t>
  </si>
  <si>
    <t>JUP-61007-0000</t>
  </si>
  <si>
    <t>JUP-61008-0000</t>
  </si>
  <si>
    <t>JUP-61009-0000</t>
  </si>
  <si>
    <t>JUP-61010-0000</t>
  </si>
  <si>
    <t>JUP-61011-0000</t>
  </si>
  <si>
    <t>JUP-61012-0000</t>
  </si>
  <si>
    <t>JUP-61013-0000</t>
  </si>
  <si>
    <t>JUP-61014-0000</t>
  </si>
  <si>
    <t>JUP-61015-0000</t>
  </si>
  <si>
    <t>JUP-61016-0000</t>
  </si>
  <si>
    <t>JUP-61017-0000</t>
  </si>
  <si>
    <t>JUP-61021-0000</t>
  </si>
  <si>
    <t>JUP-61022-0000</t>
  </si>
  <si>
    <t>JUP-61023-0000</t>
  </si>
  <si>
    <t>JUP-61024-0000</t>
  </si>
  <si>
    <t>JUP-61025-0000</t>
  </si>
  <si>
    <t>JUP-71010-0000</t>
  </si>
  <si>
    <t>JUP-71020-0000</t>
  </si>
  <si>
    <t>JUP-71030-0000</t>
  </si>
  <si>
    <t>JUP-71040-0000</t>
  </si>
  <si>
    <t>JUP-71050-0000</t>
  </si>
  <si>
    <t>JUP-71060-0000</t>
  </si>
  <si>
    <t>JUP-71070-0000</t>
  </si>
  <si>
    <t>JUP-71080-0000</t>
  </si>
  <si>
    <t>JUP-71090-0000</t>
  </si>
  <si>
    <t>JUP-71100-0000</t>
  </si>
  <si>
    <t>JUP-71110-0000</t>
  </si>
  <si>
    <t>JUP-73101-0000</t>
  </si>
  <si>
    <t>JUP-73103-0000</t>
  </si>
  <si>
    <t>JUP-73105-0000</t>
  </si>
  <si>
    <t>JUP-80006-0000</t>
  </si>
  <si>
    <t>JUP-80061-0000</t>
  </si>
  <si>
    <t>JUP-81019-0000</t>
  </si>
  <si>
    <t>JUP-81220-0000</t>
  </si>
  <si>
    <t>JUP-81228-0000</t>
  </si>
  <si>
    <t>JUP-81400-0000</t>
  </si>
  <si>
    <t>JUP-82900-0000</t>
  </si>
  <si>
    <t>JUP-85500-0000</t>
  </si>
  <si>
    <t>JUP-85700-0000</t>
  </si>
  <si>
    <t>KLP-10003-0000</t>
  </si>
  <si>
    <t>KLP-10004-0000</t>
  </si>
  <si>
    <t>KLP-10005-0000</t>
  </si>
  <si>
    <t>KLP-10006-0000</t>
  </si>
  <si>
    <t>KLP-10009-0000</t>
  </si>
  <si>
    <t>KLP-10010-0000</t>
  </si>
  <si>
    <t>KLP-10011-0000</t>
  </si>
  <si>
    <t>KLP-10012-0000</t>
  </si>
  <si>
    <t>KLP-10023-0000</t>
  </si>
  <si>
    <t>KLP-10024-0000</t>
  </si>
  <si>
    <t>KLP-10027-0000</t>
  </si>
  <si>
    <t>KLP-10050-0000</t>
  </si>
  <si>
    <t>KLP-11200-0000</t>
  </si>
  <si>
    <t>KLP-11201-0000</t>
  </si>
  <si>
    <t>KLP-11202-0000</t>
  </si>
  <si>
    <t>KLP-11203-0000</t>
  </si>
  <si>
    <t>KLP-11204-0000</t>
  </si>
  <si>
    <t>KLP-11208-0000</t>
  </si>
  <si>
    <t>KLP-11210-0000</t>
  </si>
  <si>
    <t>KLP-11212-0000</t>
  </si>
  <si>
    <t>KLP-11214-0000</t>
  </si>
  <si>
    <t>KLP-11215-0000</t>
  </si>
  <si>
    <t>KLP-11232-0000</t>
  </si>
  <si>
    <t>KLP-11301-0000</t>
  </si>
  <si>
    <t>KLP-11302-0000</t>
  </si>
  <si>
    <t>KLP-11303-0000</t>
  </si>
  <si>
    <t>KLP-11304-0000</t>
  </si>
  <si>
    <t>KLP-11305-0000</t>
  </si>
  <si>
    <t>KLP-11307-0000</t>
  </si>
  <si>
    <t>KLP-11308-0000</t>
  </si>
  <si>
    <t>KLP-11309-0000</t>
  </si>
  <si>
    <t>KLP-11310-0000</t>
  </si>
  <si>
    <t>KLP-11311-0000</t>
  </si>
  <si>
    <t>KLP-11312-0000</t>
  </si>
  <si>
    <t>KLP-11313-0000</t>
  </si>
  <si>
    <t>KLP-11314-0000</t>
  </si>
  <si>
    <t>KLP-11315-0000</t>
  </si>
  <si>
    <t>KLP-11316-0000</t>
  </si>
  <si>
    <t>KLP-11317-0000</t>
  </si>
  <si>
    <t>KLP-11318-0000</t>
  </si>
  <si>
    <t>KLP-11319-0000</t>
  </si>
  <si>
    <t>KLP-11320-0000</t>
  </si>
  <si>
    <t>KLP-11321-0000</t>
  </si>
  <si>
    <t>KLP-11322-0000</t>
  </si>
  <si>
    <t>KLP-11323-0000</t>
  </si>
  <si>
    <t>KLP-11324-0000</t>
  </si>
  <si>
    <t>KLP-11325-0000</t>
  </si>
  <si>
    <t>KLP-11326-0000</t>
  </si>
  <si>
    <t>KLP-11327-0000</t>
  </si>
  <si>
    <t>KLP-11328-0000</t>
  </si>
  <si>
    <t>KLP-11329-0000</t>
  </si>
  <si>
    <t>KLP-11330-0000</t>
  </si>
  <si>
    <t>KLP-11331-0000</t>
  </si>
  <si>
    <t>KLP-11332-0000</t>
  </si>
  <si>
    <t>KLP-11333-0000</t>
  </si>
  <si>
    <t>KLP-11334-0000</t>
  </si>
  <si>
    <t>KLP-11335-0000</t>
  </si>
  <si>
    <t>KLP-11336-0000</t>
  </si>
  <si>
    <t>KLP-11337-0000</t>
  </si>
  <si>
    <t>KLP-11338-0000</t>
  </si>
  <si>
    <t>KLP-11339-0000</t>
  </si>
  <si>
    <t>KLP-11340-0000</t>
  </si>
  <si>
    <t>KLP-11341-0000</t>
  </si>
  <si>
    <t>KLP-11342-0000</t>
  </si>
  <si>
    <t>KLP-11344-0000</t>
  </si>
  <si>
    <t>KLP-11345-0000</t>
  </si>
  <si>
    <t>KLP-11346-0000</t>
  </si>
  <si>
    <t>KLP-11347-0000</t>
  </si>
  <si>
    <t>KLP-11348-0000</t>
  </si>
  <si>
    <t>KLP-11349-0000</t>
  </si>
  <si>
    <t>KLP-11350-0000</t>
  </si>
  <si>
    <t>KLP-11351-0000</t>
  </si>
  <si>
    <t>KLP-11352-0000</t>
  </si>
  <si>
    <t>KLP-11353-0000</t>
  </si>
  <si>
    <t>KLP-11354-0000</t>
  </si>
  <si>
    <t>KLP-11355-0000</t>
  </si>
  <si>
    <t>KLP-11356-0000</t>
  </si>
  <si>
    <t>KLP-11357-0000</t>
  </si>
  <si>
    <t>KLP-11358-0000</t>
  </si>
  <si>
    <t>KLP-11359-0000</t>
  </si>
  <si>
    <t>KLP-11361-0000</t>
  </si>
  <si>
    <t>KLP-11363-0000</t>
  </si>
  <si>
    <t>KLP-11364-0000</t>
  </si>
  <si>
    <t>KLP-11365-0000</t>
  </si>
  <si>
    <t>KLP-11366-0000</t>
  </si>
  <si>
    <t>KLP-11402-0000</t>
  </si>
  <si>
    <t>KLP-11403-0000</t>
  </si>
  <si>
    <t>KLP-12100-0000</t>
  </si>
  <si>
    <t>KLP-12105-0000</t>
  </si>
  <si>
    <t>KLP-12400-0000</t>
  </si>
  <si>
    <t>KLP-12401-0000</t>
  </si>
  <si>
    <t>KLP-12402-0000</t>
  </si>
  <si>
    <t>KLP-12403-0000</t>
  </si>
  <si>
    <t>KLP-12501-0000</t>
  </si>
  <si>
    <t>KLP-12510-0000</t>
  </si>
  <si>
    <t>KLP-13010-0000</t>
  </si>
  <si>
    <t>KLP-13050-0000</t>
  </si>
  <si>
    <t>KLP-13610-0000</t>
  </si>
  <si>
    <t>KLP-13620-0000</t>
  </si>
  <si>
    <t>KLP-13810-0000</t>
  </si>
  <si>
    <t>KLP-13811-0000</t>
  </si>
  <si>
    <t>KLP-13811-1000</t>
  </si>
  <si>
    <t>KLP-13812-0000</t>
  </si>
  <si>
    <t>KLP-13812-1000</t>
  </si>
  <si>
    <t>KLP-13813-0000</t>
  </si>
  <si>
    <t>KLP-13813-1000</t>
  </si>
  <si>
    <t>KLP-13820-0000</t>
  </si>
  <si>
    <t>KLP-13820-1000</t>
  </si>
  <si>
    <t>KLP-13821-0000</t>
  </si>
  <si>
    <t>KLP-13821-1000</t>
  </si>
  <si>
    <t>KLP-13822-0000</t>
  </si>
  <si>
    <t>KLP-13822-1000</t>
  </si>
  <si>
    <t>KLP-14100-0000</t>
  </si>
  <si>
    <t>KLP-15500-0000</t>
  </si>
  <si>
    <t>KLP-15600-0000</t>
  </si>
  <si>
    <t>KLP-15700-0000</t>
  </si>
  <si>
    <t>KLP-15800-0000</t>
  </si>
  <si>
    <t>KLP-16000-0000</t>
  </si>
  <si>
    <t>KLP-17000-0000</t>
  </si>
  <si>
    <t>KLP-18000-0000</t>
  </si>
  <si>
    <t>KLP-22000-0000</t>
  </si>
  <si>
    <t>KLP-22003-0000</t>
  </si>
  <si>
    <t>KLP-22005-0000</t>
  </si>
  <si>
    <t>KLP-22310-0000</t>
  </si>
  <si>
    <t>KLP-22800-0000</t>
  </si>
  <si>
    <t>KLP-22801-0000</t>
  </si>
  <si>
    <t>KLP-22810-0000</t>
  </si>
  <si>
    <t>KLP-22900-0000</t>
  </si>
  <si>
    <t>KLP-22905-0000</t>
  </si>
  <si>
    <t>KLP-22906-0000</t>
  </si>
  <si>
    <t>KLP-23000-0000</t>
  </si>
  <si>
    <t>KLP-23100-0000</t>
  </si>
  <si>
    <t>KLP-23500-0000</t>
  </si>
  <si>
    <t>KLP-23501-0000</t>
  </si>
  <si>
    <t>KLP-23700-0000</t>
  </si>
  <si>
    <t>KLP-23800-0000</t>
  </si>
  <si>
    <t>KLP-24200-0000</t>
  </si>
  <si>
    <t>KLP-24300-0000</t>
  </si>
  <si>
    <t>KLP-24400-0000</t>
  </si>
  <si>
    <t>KLP-24500-0000</t>
  </si>
  <si>
    <t>KLP-24600-0000</t>
  </si>
  <si>
    <t>KLP-25005-0000</t>
  </si>
  <si>
    <t>KLP-25009-0000</t>
  </si>
  <si>
    <t>KLP-25600-0000</t>
  </si>
  <si>
    <t>KLP-25601-0000</t>
  </si>
  <si>
    <t>KLP-25602-0000</t>
  </si>
  <si>
    <t>KLP-25603-0000</t>
  </si>
  <si>
    <t>KLP-25604-0000</t>
  </si>
  <si>
    <t>KLP-28000-0000</t>
  </si>
  <si>
    <t>KLP-28002-0000</t>
  </si>
  <si>
    <t>KLP-28003-0000</t>
  </si>
  <si>
    <t>KLP-28004-0000</t>
  </si>
  <si>
    <t>KLP-28005-0000</t>
  </si>
  <si>
    <t>KLP-28006-0000</t>
  </si>
  <si>
    <t>KLP-28007-0000</t>
  </si>
  <si>
    <t>KLP-28008-0000</t>
  </si>
  <si>
    <t>KLP-28009-0000</t>
  </si>
  <si>
    <t>KLP-28010-0000</t>
  </si>
  <si>
    <t>KLP-28011-0000</t>
  </si>
  <si>
    <t>KLP-28012-0000</t>
  </si>
  <si>
    <t>KLP-28013-0000</t>
  </si>
  <si>
    <t>KLP-28014-0000</t>
  </si>
  <si>
    <t>KLP-28015-0000</t>
  </si>
  <si>
    <t>KLP-28016-0000</t>
  </si>
  <si>
    <t>KLP-28017-0000</t>
  </si>
  <si>
    <t>KLP-28018-0000</t>
  </si>
  <si>
    <t>KLP-28019-0000</t>
  </si>
  <si>
    <t>KLP-28020-0000</t>
  </si>
  <si>
    <t>KLP-28021-0000</t>
  </si>
  <si>
    <t>KLP-28022-0000</t>
  </si>
  <si>
    <t>KLP-28023-0000</t>
  </si>
  <si>
    <t>KLP-28024-0000</t>
  </si>
  <si>
    <t>KLP-30101-0000</t>
  </si>
  <si>
    <t>KLP-30501-0000</t>
  </si>
  <si>
    <t>KLP-31003-0000</t>
  </si>
  <si>
    <t>KLP-31005-0000</t>
  </si>
  <si>
    <t>KLP-31007-0000</t>
  </si>
  <si>
    <t>KLP-31008-0000</t>
  </si>
  <si>
    <t>KLP-31009-0000</t>
  </si>
  <si>
    <t>KLP-31010-0000</t>
  </si>
  <si>
    <t>KLP-31012-0000</t>
  </si>
  <si>
    <t>KLP-31015-0000</t>
  </si>
  <si>
    <t>KLP-31016-0000</t>
  </si>
  <si>
    <t>KLP-31018-0000</t>
  </si>
  <si>
    <t>KLP-31801-0000</t>
  </si>
  <si>
    <t>KLP-31802-0000</t>
  </si>
  <si>
    <t>KLP-31803-0000</t>
  </si>
  <si>
    <t>KLP-31804-0000</t>
  </si>
  <si>
    <t>KLP-31900-0000</t>
  </si>
  <si>
    <t>KLP-36000-0000</t>
  </si>
  <si>
    <t>KLP-36002-0000</t>
  </si>
  <si>
    <t>KLP-36003-0000</t>
  </si>
  <si>
    <t>KLP-36004-0000</t>
  </si>
  <si>
    <t>KLP-36005-0000</t>
  </si>
  <si>
    <t>KLP-36006-0000</t>
  </si>
  <si>
    <t>KLP-36008-0000</t>
  </si>
  <si>
    <t>KLP-36018-0000</t>
  </si>
  <si>
    <t>KLP-36801-0000</t>
  </si>
  <si>
    <t>KLP-36802-0000</t>
  </si>
  <si>
    <t>KLP-36803-0000</t>
  </si>
  <si>
    <t>KLP-36804-0000</t>
  </si>
  <si>
    <t>KLP-36900-0000</t>
  </si>
  <si>
    <t>KLP-36901-0000</t>
  </si>
  <si>
    <t>KLP-38100-0000</t>
  </si>
  <si>
    <t>KLP-38100-1000</t>
  </si>
  <si>
    <t>KLP-41112-0000</t>
  </si>
  <si>
    <t>KLP-41120-0000</t>
  </si>
  <si>
    <t>KLP-42110-0000</t>
  </si>
  <si>
    <t>KLP-42130-0000</t>
  </si>
  <si>
    <t>KLP-42140-0000</t>
  </si>
  <si>
    <t>KLP-42150-0000</t>
  </si>
  <si>
    <t>KLP-42160-0000</t>
  </si>
  <si>
    <t>KLP-42405-0000</t>
  </si>
  <si>
    <t>KLP-43120-0000</t>
  </si>
  <si>
    <t>KLP-43121-0000</t>
  </si>
  <si>
    <t>KLP-43200-0000</t>
  </si>
  <si>
    <t>KLP-43410-0000</t>
  </si>
  <si>
    <t>KLP-43420-0000</t>
  </si>
  <si>
    <t>KLP-43430-0000</t>
  </si>
  <si>
    <t>KLP-43440-0000</t>
  </si>
  <si>
    <t>KLP-43450-0000</t>
  </si>
  <si>
    <t>KLP-43480-0000</t>
  </si>
  <si>
    <t>KLP-43490-0000</t>
  </si>
  <si>
    <t>KLP-43491-0000</t>
  </si>
  <si>
    <t>KLP-43492-0000</t>
  </si>
  <si>
    <t>KLP-43493-0000</t>
  </si>
  <si>
    <t>KLP-43494-0000</t>
  </si>
  <si>
    <t>KLP-43495-0000</t>
  </si>
  <si>
    <t>KLP-44000-0000</t>
  </si>
  <si>
    <t>KLP-46000-0000</t>
  </si>
  <si>
    <t>KLP-47300-0000</t>
  </si>
  <si>
    <t>KLP-47550-0000</t>
  </si>
  <si>
    <t>KLP-49500-9999</t>
  </si>
  <si>
    <t>KLP-51002-0000</t>
  </si>
  <si>
    <t>KLP-51003-0000</t>
  </si>
  <si>
    <t>KLP-51004-0000</t>
  </si>
  <si>
    <t>KLP-51010-0000</t>
  </si>
  <si>
    <t>KLP-51013-0000</t>
  </si>
  <si>
    <t>KLP-51014-0000</t>
  </si>
  <si>
    <t>KLP-51021-0000</t>
  </si>
  <si>
    <t>KLP-51022-0000</t>
  </si>
  <si>
    <t>KLP-51023-0000</t>
  </si>
  <si>
    <t>KLP-51026-0000</t>
  </si>
  <si>
    <t>KLP-51027-0000</t>
  </si>
  <si>
    <t>KLP-51028-0000</t>
  </si>
  <si>
    <t>KLP-51030-0000</t>
  </si>
  <si>
    <t>KLP-51350-0000</t>
  </si>
  <si>
    <t>KLP-52002-0000</t>
  </si>
  <si>
    <t>KLP-52005-0000</t>
  </si>
  <si>
    <t>KLP-52007-0000</t>
  </si>
  <si>
    <t>KLP-52008-0000</t>
  </si>
  <si>
    <t>KLP-53007-0000</t>
  </si>
  <si>
    <t>KLP-53011-0000</t>
  </si>
  <si>
    <t>KLP-54100-0000</t>
  </si>
  <si>
    <t>KLP-61001-0000</t>
  </si>
  <si>
    <t>KLP-61002-0000</t>
  </si>
  <si>
    <t>KLP-61003-0000</t>
  </si>
  <si>
    <t>KLP-61004-0000</t>
  </si>
  <si>
    <t>KLP-61005-0000</t>
  </si>
  <si>
    <t>KLP-61006-0000</t>
  </si>
  <si>
    <t>KLP-61007-0000</t>
  </si>
  <si>
    <t>KLP-61008-0000</t>
  </si>
  <si>
    <t>KLP-61009-0000</t>
  </si>
  <si>
    <t>KLP-61010-0000</t>
  </si>
  <si>
    <t>KLP-61011-0000</t>
  </si>
  <si>
    <t>KLP-61012-0000</t>
  </si>
  <si>
    <t>KLP-61013-0000</t>
  </si>
  <si>
    <t>KLP-61014-0000</t>
  </si>
  <si>
    <t>KLP-61015-0000</t>
  </si>
  <si>
    <t>KLP-61016-0000</t>
  </si>
  <si>
    <t>KLP-61017-0000</t>
  </si>
  <si>
    <t>KLP-61021-0000</t>
  </si>
  <si>
    <t>KLP-61022-0000</t>
  </si>
  <si>
    <t>KLP-61024-0000</t>
  </si>
  <si>
    <t>KLP-61025-0000</t>
  </si>
  <si>
    <t>KLP-71010-0000</t>
  </si>
  <si>
    <t>KLP-71020-0000</t>
  </si>
  <si>
    <t>KLP-71030-0000</t>
  </si>
  <si>
    <t>KLP-71040-0000</t>
  </si>
  <si>
    <t>KLP-71050-0000</t>
  </si>
  <si>
    <t>KLP-71060-0000</t>
  </si>
  <si>
    <t>KLP-71070-0000</t>
  </si>
  <si>
    <t>KLP-71080-0000</t>
  </si>
  <si>
    <t>KLP-71090-0000</t>
  </si>
  <si>
    <t>KLP-71100-0000</t>
  </si>
  <si>
    <t>KLP-71110-0000</t>
  </si>
  <si>
    <t>KLP-73101-0000</t>
  </si>
  <si>
    <t>KLP-73103-0000</t>
  </si>
  <si>
    <t>KLP-73105-0000</t>
  </si>
  <si>
    <t>KLP-80006-0000</t>
  </si>
  <si>
    <t>KLP-80061-0000</t>
  </si>
  <si>
    <t>KLP-81019-0000</t>
  </si>
  <si>
    <t>KLP-81220-0000</t>
  </si>
  <si>
    <t>KLP-81228-0000</t>
  </si>
  <si>
    <t>KLP-81400-0000</t>
  </si>
  <si>
    <t>KLP-82900-0000</t>
  </si>
  <si>
    <t>KLP-85500-0000</t>
  </si>
  <si>
    <t>KLP-85700-0000</t>
  </si>
  <si>
    <t>LCP-10004-0000</t>
  </si>
  <si>
    <t>LCP-10006-0000</t>
  </si>
  <si>
    <t>LCP-10009-0000</t>
  </si>
  <si>
    <t>LCP-10010-0000</t>
  </si>
  <si>
    <t>LCP-10011-0000</t>
  </si>
  <si>
    <t>LCP-10012-0000</t>
  </si>
  <si>
    <t>LCP-10023-0000</t>
  </si>
  <si>
    <t>LCP-10027-0000</t>
  </si>
  <si>
    <t>LCP-10050-0000</t>
  </si>
  <si>
    <t>LCP-11200-0000</t>
  </si>
  <si>
    <t>LCP-11201-0000</t>
  </si>
  <si>
    <t>LCP-11202-0000</t>
  </si>
  <si>
    <t>LCP-11203-0000</t>
  </si>
  <si>
    <t>LCP-11204-0000</t>
  </si>
  <si>
    <t>LCP-11208-0000</t>
  </si>
  <si>
    <t>LCP-11210-0000</t>
  </si>
  <si>
    <t>LCP-11212-0000</t>
  </si>
  <si>
    <t>LCP-11214-0000</t>
  </si>
  <si>
    <t>LCP-11215-0000</t>
  </si>
  <si>
    <t>LCP-11232-0000</t>
  </si>
  <si>
    <t>LCP-11301-0000</t>
  </si>
  <si>
    <t>LCP-11302-0000</t>
  </si>
  <si>
    <t>LCP-11303-0000</t>
  </si>
  <si>
    <t>LCP-11304-0000</t>
  </si>
  <si>
    <t>LCP-11305-0000</t>
  </si>
  <si>
    <t>LCP-11307-0000</t>
  </si>
  <si>
    <t>LCP-11308-0000</t>
  </si>
  <si>
    <t>LCP-11309-0000</t>
  </si>
  <si>
    <t>LCP-11310-0000</t>
  </si>
  <si>
    <t>LCP-11311-0000</t>
  </si>
  <si>
    <t>LCP-11312-0000</t>
  </si>
  <si>
    <t>LCP-11313-0000</t>
  </si>
  <si>
    <t>LCP-11314-0000</t>
  </si>
  <si>
    <t>LCP-11315-0000</t>
  </si>
  <si>
    <t>LCP-11316-0000</t>
  </si>
  <si>
    <t>LCP-11317-0000</t>
  </si>
  <si>
    <t>LCP-11318-0000</t>
  </si>
  <si>
    <t>LCP-11319-0000</t>
  </si>
  <si>
    <t>LCP-11320-0000</t>
  </si>
  <si>
    <t>LCP-11321-0000</t>
  </si>
  <si>
    <t>LCP-11322-0000</t>
  </si>
  <si>
    <t>LCP-11323-0000</t>
  </si>
  <si>
    <t>LCP-11324-0000</t>
  </si>
  <si>
    <t>LCP-11325-0000</t>
  </si>
  <si>
    <t>LCP-11326-0000</t>
  </si>
  <si>
    <t>LCP-11327-0000</t>
  </si>
  <si>
    <t>LCP-11328-0000</t>
  </si>
  <si>
    <t>LCP-11329-0000</t>
  </si>
  <si>
    <t>LCP-11330-0000</t>
  </si>
  <si>
    <t>LCP-11331-0000</t>
  </si>
  <si>
    <t>LCP-11332-0000</t>
  </si>
  <si>
    <t>LCP-11333-0000</t>
  </si>
  <si>
    <t>LCP-11334-0000</t>
  </si>
  <si>
    <t>LCP-11335-0000</t>
  </si>
  <si>
    <t>LCP-11336-0000</t>
  </si>
  <si>
    <t>LCP-11337-0000</t>
  </si>
  <si>
    <t>LCP-11338-0000</t>
  </si>
  <si>
    <t>LCP-11339-0000</t>
  </si>
  <si>
    <t>LCP-11340-0000</t>
  </si>
  <si>
    <t>LCP-11342-0000</t>
  </si>
  <si>
    <t>LCP-11343-0000</t>
  </si>
  <si>
    <t>LCP-11344-0000</t>
  </si>
  <si>
    <t>LCP-11345-0000</t>
  </si>
  <si>
    <t>LCP-11346-0000</t>
  </si>
  <si>
    <t>LCP-11347-0000</t>
  </si>
  <si>
    <t>LCP-11348-0000</t>
  </si>
  <si>
    <t>LCP-11349-0000</t>
  </si>
  <si>
    <t>LCP-11350-0000</t>
  </si>
  <si>
    <t>LCP-11351-0000</t>
  </si>
  <si>
    <t>LCP-11352-0000</t>
  </si>
  <si>
    <t>LCP-11353-0000</t>
  </si>
  <si>
    <t>LCP-11354-0000</t>
  </si>
  <si>
    <t>LCP-11355-0000</t>
  </si>
  <si>
    <t>LCP-11356-0000</t>
  </si>
  <si>
    <t>LCP-11357-0000</t>
  </si>
  <si>
    <t>LCP-11358-0000</t>
  </si>
  <si>
    <t>LCP-11359-0000</t>
  </si>
  <si>
    <t>LCP-11361-0000</t>
  </si>
  <si>
    <t>LCP-11363-0000</t>
  </si>
  <si>
    <t>LCP-11364-0000</t>
  </si>
  <si>
    <t>LCP-11365-0000</t>
  </si>
  <si>
    <t>LCP-11366-0000</t>
  </si>
  <si>
    <t>LCP-11402-0000</t>
  </si>
  <si>
    <t>LCP-11403-0000</t>
  </si>
  <si>
    <t>LCP-12105-0000</t>
  </si>
  <si>
    <t>LCP-12400-0000</t>
  </si>
  <si>
    <t>LCP-12401-0000</t>
  </si>
  <si>
    <t>LCP-12402-0000</t>
  </si>
  <si>
    <t>LCP-12403-0000</t>
  </si>
  <si>
    <t>LCP-12501-0000</t>
  </si>
  <si>
    <t>LCP-12510-0000</t>
  </si>
  <si>
    <t>LCP-13010-0000</t>
  </si>
  <si>
    <t>LCP-13050-0000</t>
  </si>
  <si>
    <t>LCP-13811-0000</t>
  </si>
  <si>
    <t>LCP-13811-1000</t>
  </si>
  <si>
    <t>LCP-13812-0000</t>
  </si>
  <si>
    <t>LCP-13812-1000</t>
  </si>
  <si>
    <t>LCP-13813-0000</t>
  </si>
  <si>
    <t>LCP-13813-1000</t>
  </si>
  <si>
    <t>LCP-13820-1000</t>
  </si>
  <si>
    <t>LCP-13821-0000</t>
  </si>
  <si>
    <t>LCP-13821-1000</t>
  </si>
  <si>
    <t>LCP-13822-0000</t>
  </si>
  <si>
    <t>LCP-13822-1000</t>
  </si>
  <si>
    <t>LCP-15600-0000</t>
  </si>
  <si>
    <t>LCP-15800-0000</t>
  </si>
  <si>
    <t>LCP-16000-0000</t>
  </si>
  <si>
    <t>LCP-22001-0000</t>
  </si>
  <si>
    <t>LCP-22003-0000</t>
  </si>
  <si>
    <t>LCP-22005-0000</t>
  </si>
  <si>
    <t>LCP-22310-0000</t>
  </si>
  <si>
    <t>LCP-22801-0000</t>
  </si>
  <si>
    <t>LCP-22810-0000</t>
  </si>
  <si>
    <t>LCP-22900-0000</t>
  </si>
  <si>
    <t>LCP-22906-0000</t>
  </si>
  <si>
    <t>LCP-23000-0000</t>
  </si>
  <si>
    <t>LCP-23100-0000</t>
  </si>
  <si>
    <t>LCP-23500-0000</t>
  </si>
  <si>
    <t>LCP-23501-0000</t>
  </si>
  <si>
    <t>LCP-23700-0000</t>
  </si>
  <si>
    <t>LCP-23800-0000</t>
  </si>
  <si>
    <t>LCP-24200-0000</t>
  </si>
  <si>
    <t>LCP-24300-0000</t>
  </si>
  <si>
    <t>LCP-24400-0000</t>
  </si>
  <si>
    <t>LCP-24500-0000</t>
  </si>
  <si>
    <t>LCP-24600-0000</t>
  </si>
  <si>
    <t>LCP-25005-0000</t>
  </si>
  <si>
    <t>LCP-25009-0000</t>
  </si>
  <si>
    <t>LCP-25600-0000</t>
  </si>
  <si>
    <t>LCP-25601-0000</t>
  </si>
  <si>
    <t>LCP-25602-0000</t>
  </si>
  <si>
    <t>LCP-25603-0000</t>
  </si>
  <si>
    <t>LCP-25604-0000</t>
  </si>
  <si>
    <t>LCP-28000-0000</t>
  </si>
  <si>
    <t>LCP-28001-0000</t>
  </si>
  <si>
    <t>LCP-28002-0000</t>
  </si>
  <si>
    <t>LCP-28004-0000</t>
  </si>
  <si>
    <t>LCP-28006-0000</t>
  </si>
  <si>
    <t>LCP-28007-0000</t>
  </si>
  <si>
    <t>LCP-28008-0000</t>
  </si>
  <si>
    <t>LCP-28009-0000</t>
  </si>
  <si>
    <t>LCP-28010-0000</t>
  </si>
  <si>
    <t>LCP-28011-0000</t>
  </si>
  <si>
    <t>LCP-28012-0000</t>
  </si>
  <si>
    <t>LCP-28013-0000</t>
  </si>
  <si>
    <t>LCP-28014-0000</t>
  </si>
  <si>
    <t>LCP-28016-0000</t>
  </si>
  <si>
    <t>LCP-28017-0000</t>
  </si>
  <si>
    <t>LCP-28018-0000</t>
  </si>
  <si>
    <t>LCP-28019-0000</t>
  </si>
  <si>
    <t>LCP-28020-0000</t>
  </si>
  <si>
    <t>LCP-28021-0000</t>
  </si>
  <si>
    <t>LCP-28022-0000</t>
  </si>
  <si>
    <t>LCP-28023-0000</t>
  </si>
  <si>
    <t>LCP-28024-0000</t>
  </si>
  <si>
    <t>LCP-30101-0000</t>
  </si>
  <si>
    <t>LCP-30501-0000</t>
  </si>
  <si>
    <t>LCP-31007-0000</t>
  </si>
  <si>
    <t>LCP-31010-0000</t>
  </si>
  <si>
    <t>LCP-31016-0000</t>
  </si>
  <si>
    <t>LCP-31018-0000</t>
  </si>
  <si>
    <t>LCP-31801-0000</t>
  </si>
  <si>
    <t>LCP-31802-0000</t>
  </si>
  <si>
    <t>LCP-31803-0000</t>
  </si>
  <si>
    <t>LCP-31804-0000</t>
  </si>
  <si>
    <t>LCP-31900-0000</t>
  </si>
  <si>
    <t>LCP-36002-0000</t>
  </si>
  <si>
    <t>LCP-36004-0000</t>
  </si>
  <si>
    <t>LCP-36006-0000</t>
  </si>
  <si>
    <t>LCP-36018-0000</t>
  </si>
  <si>
    <t>LCP-36801-0000</t>
  </si>
  <si>
    <t>LCP-36802-0000</t>
  </si>
  <si>
    <t>LCP-36803-0000</t>
  </si>
  <si>
    <t>LCP-36804-0000</t>
  </si>
  <si>
    <t>LCP-36900-0000</t>
  </si>
  <si>
    <t>LCP-36901-0000</t>
  </si>
  <si>
    <t>LCP-38100-1000</t>
  </si>
  <si>
    <t>LCP-40140-0000</t>
  </si>
  <si>
    <t>LCP-41112-0000</t>
  </si>
  <si>
    <t>LCP-42405-0000</t>
  </si>
  <si>
    <t>LCP-43200-0000</t>
  </si>
  <si>
    <t>LCP-43420-0000</t>
  </si>
  <si>
    <t>LCP-43450-0000</t>
  </si>
  <si>
    <t>LCP-43493-0000</t>
  </si>
  <si>
    <t>LCP-43494-0000</t>
  </si>
  <si>
    <t>LCP-43495-0000</t>
  </si>
  <si>
    <t>LCP-44000-0000</t>
  </si>
  <si>
    <t>LCP-46000-0000</t>
  </si>
  <si>
    <t>LCP-47300-0000</t>
  </si>
  <si>
    <t>LCP-47550-0000</t>
  </si>
  <si>
    <t>LCP-51003-0000</t>
  </si>
  <si>
    <t>LCP-51004-0000</t>
  </si>
  <si>
    <t>LCP-51005-0000</t>
  </si>
  <si>
    <t>LCP-51010-0000</t>
  </si>
  <si>
    <t>LCP-51014-0000</t>
  </si>
  <si>
    <t>LCP-51022-0000</t>
  </si>
  <si>
    <t>LCP-51023-0000</t>
  </si>
  <si>
    <t>LCP-51024-0000</t>
  </si>
  <si>
    <t>LCP-51026-0000</t>
  </si>
  <si>
    <t>LCP-51027-0000</t>
  </si>
  <si>
    <t>LCP-51028-0000</t>
  </si>
  <si>
    <t>LCP-51350-0000</t>
  </si>
  <si>
    <t>LCP-52005-0000</t>
  </si>
  <si>
    <t>LCP-52008-0000</t>
  </si>
  <si>
    <t>LCP-53007-0000</t>
  </si>
  <si>
    <t>LCP-54100-0000</t>
  </si>
  <si>
    <t>LCP-61001-0000</t>
  </si>
  <si>
    <t>LCP-61003-0000</t>
  </si>
  <si>
    <t>LCP-61004-0000</t>
  </si>
  <si>
    <t>LCP-61006-0000</t>
  </si>
  <si>
    <t>LCP-61009-0000</t>
  </si>
  <si>
    <t>LCP-61010-0000</t>
  </si>
  <si>
    <t>LCP-61012-0000</t>
  </si>
  <si>
    <t>LCP-61016-0000</t>
  </si>
  <si>
    <t>LCP-61017-0000</t>
  </si>
  <si>
    <t>LCP-61021-0000</t>
  </si>
  <si>
    <t>LCP-61024-0000</t>
  </si>
  <si>
    <t>LCP-61025-0000</t>
  </si>
  <si>
    <t>LCP-71010-0000</t>
  </si>
  <si>
    <t>LCP-71050-0000</t>
  </si>
  <si>
    <t>LCP-73101-0000</t>
  </si>
  <si>
    <t>LCP-73103-0000</t>
  </si>
  <si>
    <t>LCP-73105-0000</t>
  </si>
  <si>
    <t>LCP-80061-0000</t>
  </si>
  <si>
    <t>LCP-81220-0000</t>
  </si>
  <si>
    <t>LCP-82900-0000</t>
  </si>
  <si>
    <t>LCP-85500-0000</t>
  </si>
  <si>
    <t>LCP-85700-0000</t>
  </si>
  <si>
    <t>LOM-10003-0000</t>
  </si>
  <si>
    <t>LOM-10004-0000</t>
  </si>
  <si>
    <t>LOM-10005-0000</t>
  </si>
  <si>
    <t>LOM-10006-0000</t>
  </si>
  <si>
    <t>LOM-10009-0000</t>
  </si>
  <si>
    <t>LOM-10010-0000</t>
  </si>
  <si>
    <t>LOM-10011-0000</t>
  </si>
  <si>
    <t>LOM-10012-0000</t>
  </si>
  <si>
    <t>LOM-10023-0000</t>
  </si>
  <si>
    <t>LOM-10024-0000</t>
  </si>
  <si>
    <t>LOM-10027-0000</t>
  </si>
  <si>
    <t>LOM-10050-0000</t>
  </si>
  <si>
    <t>LOM-11200-0000</t>
  </si>
  <si>
    <t>LOM-11201-0000</t>
  </si>
  <si>
    <t>LOM-11202-0000</t>
  </si>
  <si>
    <t>LOM-11203-0000</t>
  </si>
  <si>
    <t>LOM-11204-0000</t>
  </si>
  <si>
    <t>LOM-11208-0000</t>
  </si>
  <si>
    <t>LOM-11210-0000</t>
  </si>
  <si>
    <t>LOM-11212-0000</t>
  </si>
  <si>
    <t>LOM-11214-0000</t>
  </si>
  <si>
    <t>LOM-11215-0000</t>
  </si>
  <si>
    <t>LOM-11232-0000</t>
  </si>
  <si>
    <t>LOM-11301-0000</t>
  </si>
  <si>
    <t>LOM-11302-0000</t>
  </si>
  <si>
    <t>LOM-11303-0000</t>
  </si>
  <si>
    <t>LOM-11304-0000</t>
  </si>
  <si>
    <t>LOM-11305-0000</t>
  </si>
  <si>
    <t>LOM-11307-0000</t>
  </si>
  <si>
    <t>LOM-11308-0000</t>
  </si>
  <si>
    <t>LOM-11309-0000</t>
  </si>
  <si>
    <t>LOM-11312-0000</t>
  </si>
  <si>
    <t>LOM-11313-0000</t>
  </si>
  <si>
    <t>LOM-11314-0000</t>
  </si>
  <si>
    <t>LOM-11315-0000</t>
  </si>
  <si>
    <t>LOM-11316-0000</t>
  </si>
  <si>
    <t>LOM-11318-0000</t>
  </si>
  <si>
    <t>LOM-11319-0000</t>
  </si>
  <si>
    <t>LOM-11320-0000</t>
  </si>
  <si>
    <t>LOM-11321-0000</t>
  </si>
  <si>
    <t>LOM-11322-0000</t>
  </si>
  <si>
    <t>LOM-11323-0000</t>
  </si>
  <si>
    <t>LOM-11324-0000</t>
  </si>
  <si>
    <t>LOM-11325-0000</t>
  </si>
  <si>
    <t>LOM-11327-0000</t>
  </si>
  <si>
    <t>LOM-11328-0000</t>
  </si>
  <si>
    <t>LOM-11329-0000</t>
  </si>
  <si>
    <t>LOM-11330-0000</t>
  </si>
  <si>
    <t>LOM-11332-0000</t>
  </si>
  <si>
    <t>LOM-11333-0000</t>
  </si>
  <si>
    <t>LOM-11334-0000</t>
  </si>
  <si>
    <t>LOM-11335-0000</t>
  </si>
  <si>
    <t>LOM-11336-0000</t>
  </si>
  <si>
    <t>LOM-11337-0000</t>
  </si>
  <si>
    <t>LOM-11338-0000</t>
  </si>
  <si>
    <t>LOM-11339-0000</t>
  </si>
  <si>
    <t>LOM-11340-0000</t>
  </si>
  <si>
    <t>LOM-11341-0000</t>
  </si>
  <si>
    <t>LOM-11342-0000</t>
  </si>
  <si>
    <t>LOM-11343-0000</t>
  </si>
  <si>
    <t>LOM-11344-0000</t>
  </si>
  <si>
    <t>LOM-11345-0000</t>
  </si>
  <si>
    <t>LOM-11346-0000</t>
  </si>
  <si>
    <t>LOM-11347-0000</t>
  </si>
  <si>
    <t>LOM-11348-0000</t>
  </si>
  <si>
    <t>LOM-11349-0000</t>
  </si>
  <si>
    <t>LOM-11350-0000</t>
  </si>
  <si>
    <t>LOM-11351-0000</t>
  </si>
  <si>
    <t>LOM-11352-0000</t>
  </si>
  <si>
    <t>LOM-11353-0000</t>
  </si>
  <si>
    <t>LOM-11354-0000</t>
  </si>
  <si>
    <t>LOM-11355-0000</t>
  </si>
  <si>
    <t>LOM-11356-0000</t>
  </si>
  <si>
    <t>LOM-11357-0000</t>
  </si>
  <si>
    <t>LOM-11358-0000</t>
  </si>
  <si>
    <t>LOM-11359-0000</t>
  </si>
  <si>
    <t>LOM-11361-0000</t>
  </si>
  <si>
    <t>LOM-11363-0000</t>
  </si>
  <si>
    <t>LOM-11364-0000</t>
  </si>
  <si>
    <t>LOM-11365-0000</t>
  </si>
  <si>
    <t>LOM-11366-0000</t>
  </si>
  <si>
    <t>LOM-11402-0000</t>
  </si>
  <si>
    <t>LOM-11403-0000</t>
  </si>
  <si>
    <t>LOM-12100-0000</t>
  </si>
  <si>
    <t>LOM-12105-0000</t>
  </si>
  <si>
    <t>LOM-12400-0000</t>
  </si>
  <si>
    <t>LOM-12401-0000</t>
  </si>
  <si>
    <t>LOM-12402-0000</t>
  </si>
  <si>
    <t>LOM-12403-0000</t>
  </si>
  <si>
    <t>LOM-12501-0000</t>
  </si>
  <si>
    <t>LOM-12510-0000</t>
  </si>
  <si>
    <t>LOM-13010-0000</t>
  </si>
  <si>
    <t>LOM-13050-0000</t>
  </si>
  <si>
    <t>LOM-13610-0000</t>
  </si>
  <si>
    <t>LOM-13620-0000</t>
  </si>
  <si>
    <t>LOM-13810-0000</t>
  </si>
  <si>
    <t>LOM-13811-0000</t>
  </si>
  <si>
    <t>LOM-13811-1000</t>
  </si>
  <si>
    <t>LOM-13812-0000</t>
  </si>
  <si>
    <t>LOM-13812-1000</t>
  </si>
  <si>
    <t>LOM-13813-0000</t>
  </si>
  <si>
    <t>LOM-13813-1000</t>
  </si>
  <si>
    <t>LOM-13820-0000</t>
  </si>
  <si>
    <t>LOM-13820-1000</t>
  </si>
  <si>
    <t>LOM-13821-0000</t>
  </si>
  <si>
    <t>LOM-13821-1000</t>
  </si>
  <si>
    <t>LOM-13822-0000</t>
  </si>
  <si>
    <t>LOM-13822-1000</t>
  </si>
  <si>
    <t>LOM-14100-0000</t>
  </si>
  <si>
    <t>LOM-15700-0000</t>
  </si>
  <si>
    <t>LOM-15800-0000</t>
  </si>
  <si>
    <t>LOM-22000-0000</t>
  </si>
  <si>
    <t>LOM-22001-0000</t>
  </si>
  <si>
    <t>LOM-22003-0000</t>
  </si>
  <si>
    <t>LOM-22005-0000</t>
  </si>
  <si>
    <t>LOM-22310-0000</t>
  </si>
  <si>
    <t>LOM-22800-0000</t>
  </si>
  <si>
    <t>LOM-22801-0000</t>
  </si>
  <si>
    <t>LOM-22810-0000</t>
  </si>
  <si>
    <t>LOM-22900-0000</t>
  </si>
  <si>
    <t>LOM-22905-0000</t>
  </si>
  <si>
    <t>LOM-22906-0000</t>
  </si>
  <si>
    <t>LOM-23000-0000</t>
  </si>
  <si>
    <t>LOM-23100-0000</t>
  </si>
  <si>
    <t>LOM-23500-0000</t>
  </si>
  <si>
    <t>LOM-23501-0000</t>
  </si>
  <si>
    <t>LOM-23700-0000</t>
  </si>
  <si>
    <t>LOM-23800-0000</t>
  </si>
  <si>
    <t>LOM-24200-0000</t>
  </si>
  <si>
    <t>LOM-24300-0000</t>
  </si>
  <si>
    <t>LOM-24400-0000</t>
  </si>
  <si>
    <t>LOM-24500-0000</t>
  </si>
  <si>
    <t>LOM-24600-0000</t>
  </si>
  <si>
    <t>LOM-25005-0000</t>
  </si>
  <si>
    <t>LOM-25009-0000</t>
  </si>
  <si>
    <t>LOM-25600-0000</t>
  </si>
  <si>
    <t>LOM-25601-0000</t>
  </si>
  <si>
    <t>LOM-25602-0000</t>
  </si>
  <si>
    <t>LOM-25603-0000</t>
  </si>
  <si>
    <t>LOM-25604-0000</t>
  </si>
  <si>
    <t>LOM-28000-0000</t>
  </si>
  <si>
    <t>LOM-28002-0000</t>
  </si>
  <si>
    <t>LOM-28003-0000</t>
  </si>
  <si>
    <t>LOM-28004-0000</t>
  </si>
  <si>
    <t>LOM-28005-0000</t>
  </si>
  <si>
    <t>LOM-28006-0000</t>
  </si>
  <si>
    <t>LOM-28007-0000</t>
  </si>
  <si>
    <t>LOM-28008-0000</t>
  </si>
  <si>
    <t>LOM-28009-0000</t>
  </si>
  <si>
    <t>LOM-28010-0000</t>
  </si>
  <si>
    <t>LOM-28011-0000</t>
  </si>
  <si>
    <t>LOM-28012-0000</t>
  </si>
  <si>
    <t>LOM-28013-0000</t>
  </si>
  <si>
    <t>LOM-28014-0000</t>
  </si>
  <si>
    <t>LOM-28015-0000</t>
  </si>
  <si>
    <t>LOM-28016-0000</t>
  </si>
  <si>
    <t>LOM-28017-0000</t>
  </si>
  <si>
    <t>LOM-28018-0000</t>
  </si>
  <si>
    <t>LOM-28019-0000</t>
  </si>
  <si>
    <t>LOM-28020-0000</t>
  </si>
  <si>
    <t>LOM-28021-0000</t>
  </si>
  <si>
    <t>LOM-28022-0000</t>
  </si>
  <si>
    <t>LOM-28023-0000</t>
  </si>
  <si>
    <t>LOM-28024-0000</t>
  </si>
  <si>
    <t>LOM-30101-0000</t>
  </si>
  <si>
    <t>LOM-30501-0000</t>
  </si>
  <si>
    <t>LOM-31001-0000</t>
  </si>
  <si>
    <t>LOM-31002-0000</t>
  </si>
  <si>
    <t>LOM-31003-0000</t>
  </si>
  <si>
    <t>LOM-31005-0000</t>
  </si>
  <si>
    <t>LOM-31007-0000</t>
  </si>
  <si>
    <t>LOM-31008-0000</t>
  </si>
  <si>
    <t>LOM-31009-0000</t>
  </si>
  <si>
    <t>LOM-31010-0000</t>
  </si>
  <si>
    <t>LOM-31012-0000</t>
  </si>
  <si>
    <t>LOM-31015-0000</t>
  </si>
  <si>
    <t>LOM-31016-0000</t>
  </si>
  <si>
    <t>LOM-31018-0000</t>
  </si>
  <si>
    <t>LOM-31801-0000</t>
  </si>
  <si>
    <t>LOM-31802-0000</t>
  </si>
  <si>
    <t>LOM-31803-0000</t>
  </si>
  <si>
    <t>LOM-31804-0000</t>
  </si>
  <si>
    <t>LOM-31900-0000</t>
  </si>
  <si>
    <t>LOM-36000-0000</t>
  </si>
  <si>
    <t>LOM-36002-0000</t>
  </si>
  <si>
    <t>LOM-36003-0000</t>
  </si>
  <si>
    <t>LOM-36004-0000</t>
  </si>
  <si>
    <t>LOM-36005-0000</t>
  </si>
  <si>
    <t>LOM-36006-0000</t>
  </si>
  <si>
    <t>LOM-36008-0000</t>
  </si>
  <si>
    <t>LOM-36018-0000</t>
  </si>
  <si>
    <t>LOM-36801-0000</t>
  </si>
  <si>
    <t>LOM-36802-0000</t>
  </si>
  <si>
    <t>LOM-36803-0000</t>
  </si>
  <si>
    <t>LOM-36804-0000</t>
  </si>
  <si>
    <t>LOM-36900-0000</t>
  </si>
  <si>
    <t>LOM-36901-0000</t>
  </si>
  <si>
    <t>LOM-38100-0000</t>
  </si>
  <si>
    <t>LOM-38100-1000</t>
  </si>
  <si>
    <t>LOM-41112-0000</t>
  </si>
  <si>
    <t>LOM-41120-0000</t>
  </si>
  <si>
    <t>LOM-42110-0000</t>
  </si>
  <si>
    <t>LOM-42130-0000</t>
  </si>
  <si>
    <t>LOM-42140-0000</t>
  </si>
  <si>
    <t>LOM-42150-0000</t>
  </si>
  <si>
    <t>LOM-42160-0000</t>
  </si>
  <si>
    <t>LOM-42405-0000</t>
  </si>
  <si>
    <t>LOM-43120-0000</t>
  </si>
  <si>
    <t>LOM-43121-0000</t>
  </si>
  <si>
    <t>LOM-43200-0000</t>
  </si>
  <si>
    <t>LOM-43410-0000</t>
  </si>
  <si>
    <t>LOM-43420-0000</t>
  </si>
  <si>
    <t>LOM-43430-0000</t>
  </si>
  <si>
    <t>LOM-43440-0000</t>
  </si>
  <si>
    <t>LOM-43450-0000</t>
  </si>
  <si>
    <t>LOM-43480-0000</t>
  </si>
  <si>
    <t>LOM-43490-0000</t>
  </si>
  <si>
    <t>LOM-43491-0000</t>
  </si>
  <si>
    <t>LOM-43492-0000</t>
  </si>
  <si>
    <t>LOM-43493-0000</t>
  </si>
  <si>
    <t>LOM-43494-0000</t>
  </si>
  <si>
    <t>LOM-43495-0000</t>
  </si>
  <si>
    <t>LOM-44000-0000</t>
  </si>
  <si>
    <t>LOM-46000-0000</t>
  </si>
  <si>
    <t>LOM-47300-0000</t>
  </si>
  <si>
    <t>LOM-47550-0000</t>
  </si>
  <si>
    <t>LOM-49500-9999</t>
  </si>
  <si>
    <t>LOM-51001-0000</t>
  </si>
  <si>
    <t>LOM-51002-0000</t>
  </si>
  <si>
    <t>LOM-51003-0000</t>
  </si>
  <si>
    <t>LOM-51004-0000</t>
  </si>
  <si>
    <t>LOM-51010-0000</t>
  </si>
  <si>
    <t>LOM-51013-0000</t>
  </si>
  <si>
    <t>LOM-51014-0000</t>
  </si>
  <si>
    <t>LOM-51018-0000</t>
  </si>
  <si>
    <t>LOM-51021-0000</t>
  </si>
  <si>
    <t>LOM-51022-0000</t>
  </si>
  <si>
    <t>LOM-51023-0000</t>
  </si>
  <si>
    <t>LOM-51024-0000</t>
  </si>
  <si>
    <t>LOM-51026-0000</t>
  </si>
  <si>
    <t>LOM-51027-0000</t>
  </si>
  <si>
    <t>LOM-51028-0000</t>
  </si>
  <si>
    <t>LOM-51029-0000</t>
  </si>
  <si>
    <t>LOM-51030-0000</t>
  </si>
  <si>
    <t>LOM-51350-0000</t>
  </si>
  <si>
    <t>LOM-52005-0000</t>
  </si>
  <si>
    <t>LOM-52007-0000</t>
  </si>
  <si>
    <t>LOM-52008-0000</t>
  </si>
  <si>
    <t>LOM-53007-0000</t>
  </si>
  <si>
    <t>LOM-53011-0000</t>
  </si>
  <si>
    <t>LOM-54001-0000</t>
  </si>
  <si>
    <t>LOM-54100-0000</t>
  </si>
  <si>
    <t>LOM-61001-0000</t>
  </si>
  <si>
    <t>LOM-61002-0000</t>
  </si>
  <si>
    <t>LOM-61003-0000</t>
  </si>
  <si>
    <t>LOM-61004-0000</t>
  </si>
  <si>
    <t>LOM-61005-0000</t>
  </si>
  <si>
    <t>LOM-61006-0000</t>
  </si>
  <si>
    <t>LOM-61007-0000</t>
  </si>
  <si>
    <t>LOM-61008-0000</t>
  </si>
  <si>
    <t>LOM-61009-0000</t>
  </si>
  <si>
    <t>LOM-61010-0000</t>
  </si>
  <si>
    <t>LOM-61011-0000</t>
  </si>
  <si>
    <t>LOM-61012-0000</t>
  </si>
  <si>
    <t>LOM-61013-0000</t>
  </si>
  <si>
    <t>LOM-61014-0000</t>
  </si>
  <si>
    <t>LOM-61015-0000</t>
  </si>
  <si>
    <t>LOM-61017-0000</t>
  </si>
  <si>
    <t>LOM-61021-0000</t>
  </si>
  <si>
    <t>LOM-61022-0000</t>
  </si>
  <si>
    <t>LOM-61023-0000</t>
  </si>
  <si>
    <t>LOM-61024-0000</t>
  </si>
  <si>
    <t>LOM-61025-0000</t>
  </si>
  <si>
    <t>LOM-71010-0000</t>
  </si>
  <si>
    <t>LOM-71020-0000</t>
  </si>
  <si>
    <t>LOM-71030-0000</t>
  </si>
  <si>
    <t>LOM-71040-0000</t>
  </si>
  <si>
    <t>LOM-71050-0000</t>
  </si>
  <si>
    <t>LOM-71060-0000</t>
  </si>
  <si>
    <t>LOM-71070-0000</t>
  </si>
  <si>
    <t>LOM-71080-0000</t>
  </si>
  <si>
    <t>LOM-71090-0000</t>
  </si>
  <si>
    <t>LOM-71100-0000</t>
  </si>
  <si>
    <t>LOM-71110-0000</t>
  </si>
  <si>
    <t>LOM-73101-0000</t>
  </si>
  <si>
    <t>LOM-73103-0000</t>
  </si>
  <si>
    <t>LOM-73105-0000</t>
  </si>
  <si>
    <t>LOM-80006-0000</t>
  </si>
  <si>
    <t>LOM-80061-0000</t>
  </si>
  <si>
    <t>LOM-81019-0000</t>
  </si>
  <si>
    <t>LOM-81220-0000</t>
  </si>
  <si>
    <t>LOM-81228-0000</t>
  </si>
  <si>
    <t>LOM-81400-0000</t>
  </si>
  <si>
    <t>LOM-82900-0000</t>
  </si>
  <si>
    <t>LOM-85500-0000</t>
  </si>
  <si>
    <t>LOM-85700-0000</t>
  </si>
  <si>
    <t>LPI0001-10001-0000</t>
  </si>
  <si>
    <t>LPI0001-10003-0000</t>
  </si>
  <si>
    <t>LPI0001-10004-0000</t>
  </si>
  <si>
    <t>LPI0001-10005-0000</t>
  </si>
  <si>
    <t>LPI0001-10006-0000</t>
  </si>
  <si>
    <t>LPI0001-10009-0000</t>
  </si>
  <si>
    <t>LPI0001-10010-0000</t>
  </si>
  <si>
    <t>LPI0001-10011-0000</t>
  </si>
  <si>
    <t>LPI0001-10012-0000</t>
  </si>
  <si>
    <t>LPI0001-10023-0000</t>
  </si>
  <si>
    <t>LPI0001-10024-0000</t>
  </si>
  <si>
    <t>LPI0001-10027-0000</t>
  </si>
  <si>
    <t>LPI0001-10050-0000</t>
  </si>
  <si>
    <t>LPI0001-11200-0000</t>
  </si>
  <si>
    <t>LPI0001-11201-0000</t>
  </si>
  <si>
    <t>LPI0001-11202-0000</t>
  </si>
  <si>
    <t>LPI0001-11203-0000</t>
  </si>
  <si>
    <t>LPI0001-11204-0000</t>
  </si>
  <si>
    <t>LPI0001-11208-0000</t>
  </si>
  <si>
    <t>LPI0001-11210-0000</t>
  </si>
  <si>
    <t>LPI0001-11212-0000</t>
  </si>
  <si>
    <t>LPI0001-11214-0000</t>
  </si>
  <si>
    <t>LPI0001-11215-0000</t>
  </si>
  <si>
    <t>LPI0001-11216-0000</t>
  </si>
  <si>
    <t>LPI0001-11232-0000</t>
  </si>
  <si>
    <t>LPI0001-11301-0000</t>
  </si>
  <si>
    <t>LPI0001-11302-0000</t>
  </si>
  <si>
    <t>LPI0001-11303-0000</t>
  </si>
  <si>
    <t>LPI0001-11304-0000</t>
  </si>
  <si>
    <t>LPI0001-11305-0000</t>
  </si>
  <si>
    <t>LPI0001-11307-0000</t>
  </si>
  <si>
    <t>LPI0001-11308-0000</t>
  </si>
  <si>
    <t>LPI0001-11309-0000</t>
  </si>
  <si>
    <t>LPI0001-11310-0000</t>
  </si>
  <si>
    <t>LPI0001-11311-0000</t>
  </si>
  <si>
    <t>LPI0001-11312-0000</t>
  </si>
  <si>
    <t>LPI0001-11313-0000</t>
  </si>
  <si>
    <t>LPI0001-11314-0000</t>
  </si>
  <si>
    <t>LPI0001-11315-0000</t>
  </si>
  <si>
    <t>LPI0001-11316-0000</t>
  </si>
  <si>
    <t>LPI0001-11317-0000</t>
  </si>
  <si>
    <t>LPI0001-11318-0000</t>
  </si>
  <si>
    <t>LPI0001-11319-0000</t>
  </si>
  <si>
    <t>LPI0001-11320-0000</t>
  </si>
  <si>
    <t>LPI0001-11321-0000</t>
  </si>
  <si>
    <t>LPI0001-11322-0000</t>
  </si>
  <si>
    <t>LPI0001-11323-0000</t>
  </si>
  <si>
    <t>LPI0001-11324-0000</t>
  </si>
  <si>
    <t>LPI0001-11325-0000</t>
  </si>
  <si>
    <t>LPI0001-11326-0000</t>
  </si>
  <si>
    <t>LPI0001-11327-0000</t>
  </si>
  <si>
    <t>LPI0001-11328-0000</t>
  </si>
  <si>
    <t>LPI0001-11329-0000</t>
  </si>
  <si>
    <t>LPI0001-11330-0000</t>
  </si>
  <si>
    <t>LPI0001-11331-0000</t>
  </si>
  <si>
    <t>LPI0001-11332-0000</t>
  </si>
  <si>
    <t>LPI0001-11333-0000</t>
  </si>
  <si>
    <t>LPI0001-11334-0000</t>
  </si>
  <si>
    <t>LPI0001-11335-0000</t>
  </si>
  <si>
    <t>LPI0001-11336-0000</t>
  </si>
  <si>
    <t>LPI0001-11337-0000</t>
  </si>
  <si>
    <t>LPI0001-11338-0000</t>
  </si>
  <si>
    <t>LPI0001-11339-0000</t>
  </si>
  <si>
    <t>LPI0001-11340-0000</t>
  </si>
  <si>
    <t>LPI0001-11341-0000</t>
  </si>
  <si>
    <t>LPI0001-11342-0000</t>
  </si>
  <si>
    <t>LPI0001-11343-0000</t>
  </si>
  <si>
    <t>LPI0001-11344-0000</t>
  </si>
  <si>
    <t>LPI0001-11345-0000</t>
  </si>
  <si>
    <t>LPI0001-11346-0000</t>
  </si>
  <si>
    <t>LPI0001-11347-0000</t>
  </si>
  <si>
    <t>LPI0001-11348-0000</t>
  </si>
  <si>
    <t>LPI0001-11349-0000</t>
  </si>
  <si>
    <t>LPI0001-11350-0000</t>
  </si>
  <si>
    <t>LPI0001-11351-0000</t>
  </si>
  <si>
    <t>LPI0001-11352-0000</t>
  </si>
  <si>
    <t>LPI0001-11353-0000</t>
  </si>
  <si>
    <t>LPI0001-11354-0000</t>
  </si>
  <si>
    <t>LPI0001-11355-0000</t>
  </si>
  <si>
    <t>LPI0001-11356-0000</t>
  </si>
  <si>
    <t>LPI0001-11357-0000</t>
  </si>
  <si>
    <t>LPI0001-11358-0000</t>
  </si>
  <si>
    <t>LPI0001-11359-0000</t>
  </si>
  <si>
    <t>LPI0001-11361-0000</t>
  </si>
  <si>
    <t>LPI0001-11363-0000</t>
  </si>
  <si>
    <t>LPI0001-11364-0000</t>
  </si>
  <si>
    <t>LPI0001-11365-0000</t>
  </si>
  <si>
    <t>LPI0001-11366-0000</t>
  </si>
  <si>
    <t>LPI0001-11402-0000</t>
  </si>
  <si>
    <t>LPI0001-11403-0000</t>
  </si>
  <si>
    <t>LPI0001-12100-0000</t>
  </si>
  <si>
    <t>LPI0001-12105-0000</t>
  </si>
  <si>
    <t>LPI0001-12400-0000</t>
  </si>
  <si>
    <t>LPI0001-12401-0000</t>
  </si>
  <si>
    <t>LPI0001-12402-0000</t>
  </si>
  <si>
    <t>LPI0001-12403-0000</t>
  </si>
  <si>
    <t>LPI0001-12501-0000</t>
  </si>
  <si>
    <t>LPI0001-12510-0000</t>
  </si>
  <si>
    <t>LPI0001-13010-0000</t>
  </si>
  <si>
    <t>LPI0001-13050-0000</t>
  </si>
  <si>
    <t>LPI0001-13610-0000</t>
  </si>
  <si>
    <t>LPI0001-13620-0000</t>
  </si>
  <si>
    <t>LPI0001-13810-0000</t>
  </si>
  <si>
    <t>LPI0001-13811-0000</t>
  </si>
  <si>
    <t>LPI0001-13811-1000</t>
  </si>
  <si>
    <t>LPI0001-13812-0000</t>
  </si>
  <si>
    <t>LPI0001-13812-1000</t>
  </si>
  <si>
    <t>LPI0001-13813-0000</t>
  </si>
  <si>
    <t>LPI0001-13813-1000</t>
  </si>
  <si>
    <t>LPI0001-13820-0000</t>
  </si>
  <si>
    <t>LPI0001-13820-1000</t>
  </si>
  <si>
    <t>LPI0001-13821-0000</t>
  </si>
  <si>
    <t>LPI0001-13821-1000</t>
  </si>
  <si>
    <t>LPI0001-13822-0000</t>
  </si>
  <si>
    <t>LPI0001-13822-1000</t>
  </si>
  <si>
    <t>LPI0001-14100-0000</t>
  </si>
  <si>
    <t>LPI0001-15000-0000</t>
  </si>
  <si>
    <t>LPI0001-15500-0000</t>
  </si>
  <si>
    <t>LPI0001-15600-0000</t>
  </si>
  <si>
    <t>LPI0001-15700-0000</t>
  </si>
  <si>
    <t>LPI0001-15800-0000</t>
  </si>
  <si>
    <t>LPI0001-16000-0000</t>
  </si>
  <si>
    <t>LPI0001-17000-0000</t>
  </si>
  <si>
    <t>LPI0001-18000-0000</t>
  </si>
  <si>
    <t>LPI0001-22000-0000</t>
  </si>
  <si>
    <t>LPI0001-22001-0000</t>
  </si>
  <si>
    <t>LPI0001-22003-0000</t>
  </si>
  <si>
    <t>LPI0001-22005-0000</t>
  </si>
  <si>
    <t>LPI0001-22310-0000</t>
  </si>
  <si>
    <t>LPI0001-22800-0000</t>
  </si>
  <si>
    <t>LPI0001-22801-0000</t>
  </si>
  <si>
    <t>LPI0001-22810-0000</t>
  </si>
  <si>
    <t>LPI0001-22900-0000</t>
  </si>
  <si>
    <t>LPI0001-22905-0000</t>
  </si>
  <si>
    <t>LPI0001-22906-0000</t>
  </si>
  <si>
    <t>LPI0001-23000-0000</t>
  </si>
  <si>
    <t>LPI0001-23100-0000</t>
  </si>
  <si>
    <t>LPI0001-23500-0000</t>
  </si>
  <si>
    <t>LPI0001-23501-0000</t>
  </si>
  <si>
    <t>LPI0001-23509-0000</t>
  </si>
  <si>
    <t>LPI0001-23700-0000</t>
  </si>
  <si>
    <t>LPI0001-23800-0000</t>
  </si>
  <si>
    <t>LPI0001-24200-0000</t>
  </si>
  <si>
    <t>LPI0001-24300-0000</t>
  </si>
  <si>
    <t>LPI0001-24400-0000</t>
  </si>
  <si>
    <t>LPI0001-24500-0000</t>
  </si>
  <si>
    <t>LPI0001-24600-0000</t>
  </si>
  <si>
    <t>LPI0001-25005-0000</t>
  </si>
  <si>
    <t>LPI0001-25009-0000</t>
  </si>
  <si>
    <t>LPI0001-25600-0000</t>
  </si>
  <si>
    <t>LPI0001-25601-0000</t>
  </si>
  <si>
    <t>LPI0001-25602-0000</t>
  </si>
  <si>
    <t>LPI0001-25603-0000</t>
  </si>
  <si>
    <t>LPI0001-25604-0000</t>
  </si>
  <si>
    <t>LPI0001-28000-0000</t>
  </si>
  <si>
    <t>LPI0001-28001-0000</t>
  </si>
  <si>
    <t>LPI0001-28002-0000</t>
  </si>
  <si>
    <t>LPI0001-28003-0000</t>
  </si>
  <si>
    <t>LPI0001-28004-0000</t>
  </si>
  <si>
    <t>LPI0001-28005-0000</t>
  </si>
  <si>
    <t>LPI0001-28006-0000</t>
  </si>
  <si>
    <t>LPI0001-28007-0000</t>
  </si>
  <si>
    <t>LPI0001-28008-0000</t>
  </si>
  <si>
    <t>LPI0001-28009-0000</t>
  </si>
  <si>
    <t>LPI0001-28010-0000</t>
  </si>
  <si>
    <t>LPI0001-28011-0000</t>
  </si>
  <si>
    <t>LPI0001-28012-0000</t>
  </si>
  <si>
    <t>LPI0001-28013-0000</t>
  </si>
  <si>
    <t>LPI0001-28014-0000</t>
  </si>
  <si>
    <t>LPI0001-28015-0000</t>
  </si>
  <si>
    <t>LPI0001-28016-0000</t>
  </si>
  <si>
    <t>LPI0001-28017-0000</t>
  </si>
  <si>
    <t>LPI0001-28018-0000</t>
  </si>
  <si>
    <t>LPI0001-28019-0000</t>
  </si>
  <si>
    <t>LPI0001-28020-0000</t>
  </si>
  <si>
    <t>LPI0001-28021-0000</t>
  </si>
  <si>
    <t>LPI0001-28022-0000</t>
  </si>
  <si>
    <t>LPI0001-28023-0000</t>
  </si>
  <si>
    <t>LPI0001-28024-0000</t>
  </si>
  <si>
    <t>LPI0001-30101-0000</t>
  </si>
  <si>
    <t>LPI0001-30501-0000</t>
  </si>
  <si>
    <t>LPI0001-31001-0000</t>
  </si>
  <si>
    <t>LPI0001-31002-0000</t>
  </si>
  <si>
    <t>LPI0001-31003-0000</t>
  </si>
  <si>
    <t>LPI0001-31005-0000</t>
  </si>
  <si>
    <t>LPI0001-31007-0000</t>
  </si>
  <si>
    <t>LPI0001-31008-0000</t>
  </si>
  <si>
    <t>LPI0001-31009-0000</t>
  </si>
  <si>
    <t>LPI0001-31010-0000</t>
  </si>
  <si>
    <t>LPI0001-31012-0000</t>
  </si>
  <si>
    <t>LPI0001-31015-0000</t>
  </si>
  <si>
    <t>LPI0001-31016-0000</t>
  </si>
  <si>
    <t>LPI0001-31018-0000</t>
  </si>
  <si>
    <t>LPI0001-31801-0000</t>
  </si>
  <si>
    <t>LPI0001-31802-0000</t>
  </si>
  <si>
    <t>LPI0001-31803-0000</t>
  </si>
  <si>
    <t>LPI0001-31804-0000</t>
  </si>
  <si>
    <t>LPI0001-31900-0000</t>
  </si>
  <si>
    <t>LPI0001-36000-0000</t>
  </si>
  <si>
    <t>LPI0001-36002-0000</t>
  </si>
  <si>
    <t>LPI0001-36003-0000</t>
  </si>
  <si>
    <t>LPI0001-36004-0000</t>
  </si>
  <si>
    <t>LPI0001-36005-0000</t>
  </si>
  <si>
    <t>LPI0001-36006-0000</t>
  </si>
  <si>
    <t>LPI0001-36008-0000</t>
  </si>
  <si>
    <t>LPI0001-36018-0000</t>
  </si>
  <si>
    <t>LPI0001-36801-0000</t>
  </si>
  <si>
    <t>LPI0001-36802-0000</t>
  </si>
  <si>
    <t>LPI0001-36803-0000</t>
  </si>
  <si>
    <t>LPI0001-36804-0000</t>
  </si>
  <si>
    <t>LPI0001-36900-0000</t>
  </si>
  <si>
    <t>LPI0001-36901-0000</t>
  </si>
  <si>
    <t>LPI0001-38100-0000</t>
  </si>
  <si>
    <t>LPI0001-38100-1000</t>
  </si>
  <si>
    <t>LPI0001-40110-0000</t>
  </si>
  <si>
    <t>LPI0001-40120-0000</t>
  </si>
  <si>
    <t>LPI0001-40130-0000</t>
  </si>
  <si>
    <t>LPI0001-40140-0000</t>
  </si>
  <si>
    <t>LPI0001-41110-0000</t>
  </si>
  <si>
    <t>LPI0001-41112-0000</t>
  </si>
  <si>
    <t>LPI0001-41120-0000</t>
  </si>
  <si>
    <t>LPI0001-42110-0000</t>
  </si>
  <si>
    <t>LPI0001-42130-0000</t>
  </si>
  <si>
    <t>LPI0001-42140-0000</t>
  </si>
  <si>
    <t>LPI0001-42150-0000</t>
  </si>
  <si>
    <t>LPI0001-42160-0000</t>
  </si>
  <si>
    <t>LPI0001-42405-0000</t>
  </si>
  <si>
    <t>LPI0001-43120-0000</t>
  </si>
  <si>
    <t>LPI0001-43121-0000</t>
  </si>
  <si>
    <t>LPI0001-43200-0000</t>
  </si>
  <si>
    <t>LPI0001-43410-0000</t>
  </si>
  <si>
    <t>LPI0001-43420-0000</t>
  </si>
  <si>
    <t>LPI0001-43430-0000</t>
  </si>
  <si>
    <t>LPI0001-43440-0000</t>
  </si>
  <si>
    <t>LPI0001-43450-0000</t>
  </si>
  <si>
    <t>LPI0001-43480-0000</t>
  </si>
  <si>
    <t>LPI0001-43490-0000</t>
  </si>
  <si>
    <t>LPI0001-43491-0000</t>
  </si>
  <si>
    <t>LPI0001-43492-0000</t>
  </si>
  <si>
    <t>LPI0001-43493-0000</t>
  </si>
  <si>
    <t>LPI0001-43494-0000</t>
  </si>
  <si>
    <t>LPI0001-43495-0000</t>
  </si>
  <si>
    <t>LPI0001-44000-0000</t>
  </si>
  <si>
    <t>LPI0001-46000-0000</t>
  </si>
  <si>
    <t>LPI0001-47300-0000</t>
  </si>
  <si>
    <t>LPI0001-47550-0000</t>
  </si>
  <si>
    <t>LPI0001-49500-9999</t>
  </si>
  <si>
    <t>LPI0001-51001-0000</t>
  </si>
  <si>
    <t>LPI0001-51002-0000</t>
  </si>
  <si>
    <t>LPI0001-51003-0000</t>
  </si>
  <si>
    <t>LPI0001-51004-0000</t>
  </si>
  <si>
    <t>LPI0001-51005-0000</t>
  </si>
  <si>
    <t>LPI0001-51006-0000</t>
  </si>
  <si>
    <t>LPI0001-51007-0000</t>
  </si>
  <si>
    <t>LPI0001-51008-0000</t>
  </si>
  <si>
    <t>LPI0001-51009-0000</t>
  </si>
  <si>
    <t>LPI0001-51010-0000</t>
  </si>
  <si>
    <t>LPI0001-51011-0000</t>
  </si>
  <si>
    <t>LPI0001-51012-0000</t>
  </si>
  <si>
    <t>LPI0001-51013-0000</t>
  </si>
  <si>
    <t>LPI0001-51014-0000</t>
  </si>
  <si>
    <t>LPI0001-51015-0000</t>
  </si>
  <si>
    <t>LPI0001-51018-0000</t>
  </si>
  <si>
    <t>LPI0001-51019-0000</t>
  </si>
  <si>
    <t>LPI0001-51020-0000</t>
  </si>
  <si>
    <t>LPI0001-51021-0000</t>
  </si>
  <si>
    <t>LPI0001-51022-0000</t>
  </si>
  <si>
    <t>LPI0001-51023-0000</t>
  </si>
  <si>
    <t>LPI0001-51024-0000</t>
  </si>
  <si>
    <t>LPI0001-51025-0000</t>
  </si>
  <si>
    <t>LPI0001-51026-0000</t>
  </si>
  <si>
    <t>LPI0001-51027-0000</t>
  </si>
  <si>
    <t>LPI0001-51028-0000</t>
  </si>
  <si>
    <t>LPI0001-51029-0000</t>
  </si>
  <si>
    <t>LPI0001-51030-0000</t>
  </si>
  <si>
    <t>LPI0001-51350-0000</t>
  </si>
  <si>
    <t>LPI0001-52001-0000</t>
  </si>
  <si>
    <t>LPI0001-52002-0000</t>
  </si>
  <si>
    <t>LPI0001-52003-0000</t>
  </si>
  <si>
    <t>LPI0001-52005-0000</t>
  </si>
  <si>
    <t>LPI0001-52007-0000</t>
  </si>
  <si>
    <t>LPI0001-52008-0000</t>
  </si>
  <si>
    <t>LPI0001-53001-0000</t>
  </si>
  <si>
    <t>LPI0001-53002-0000</t>
  </si>
  <si>
    <t>LPI0001-53003-0000</t>
  </si>
  <si>
    <t>LPI0001-53004-0000</t>
  </si>
  <si>
    <t>LPI0001-53005-0000</t>
  </si>
  <si>
    <t>LPI0001-53006-0000</t>
  </si>
  <si>
    <t>LPI0001-53007-0000</t>
  </si>
  <si>
    <t>LPI0001-53011-0000</t>
  </si>
  <si>
    <t>LPI0001-54001-0000</t>
  </si>
  <si>
    <t>LPI0001-54002-0000</t>
  </si>
  <si>
    <t>LPI0001-54003-0000</t>
  </si>
  <si>
    <t>LPI0001-54004-0000</t>
  </si>
  <si>
    <t>LPI0001-54005-0000</t>
  </si>
  <si>
    <t>LPI0001-54006-0000</t>
  </si>
  <si>
    <t>LPI0001-54007-0000</t>
  </si>
  <si>
    <t>LPI0001-54100-0000</t>
  </si>
  <si>
    <t>LPI0001-61001-0000</t>
  </si>
  <si>
    <t>LPI0001-61002-0000</t>
  </si>
  <si>
    <t>LPI0001-61003-0000</t>
  </si>
  <si>
    <t>LPI0001-61004-0000</t>
  </si>
  <si>
    <t>LPI0001-61005-0000</t>
  </si>
  <si>
    <t>LPI0001-61006-0000</t>
  </si>
  <si>
    <t>LPI0001-61007-0000</t>
  </si>
  <si>
    <t>LPI0001-61008-0000</t>
  </si>
  <si>
    <t>LPI0001-61009-0000</t>
  </si>
  <si>
    <t>LPI0001-61010-0000</t>
  </si>
  <si>
    <t>LPI0001-61011-0000</t>
  </si>
  <si>
    <t>LPI0001-61012-0000</t>
  </si>
  <si>
    <t>LPI0001-61013-0000</t>
  </si>
  <si>
    <t>LPI0001-61014-0000</t>
  </si>
  <si>
    <t>LPI0001-61015-0000</t>
  </si>
  <si>
    <t>LPI0001-61016-0000</t>
  </si>
  <si>
    <t>LPI0001-61017-0000</t>
  </si>
  <si>
    <t>LPI0001-61021-0000</t>
  </si>
  <si>
    <t>LPI0001-61022-0000</t>
  </si>
  <si>
    <t>LPI0001-61023-0000</t>
  </si>
  <si>
    <t>LPI0001-61024-0000</t>
  </si>
  <si>
    <t>LPI0001-61025-0000</t>
  </si>
  <si>
    <t>LPI0001-71010-0000</t>
  </si>
  <si>
    <t>LPI0001-71020-0000</t>
  </si>
  <si>
    <t>LPI0001-71030-0000</t>
  </si>
  <si>
    <t>LPI0001-71040-0000</t>
  </si>
  <si>
    <t>LPI0001-71050-0000</t>
  </si>
  <si>
    <t>LPI0001-71060-0000</t>
  </si>
  <si>
    <t>LPI0001-71070-0000</t>
  </si>
  <si>
    <t>LPI0001-71080-0000</t>
  </si>
  <si>
    <t>LPI0001-71090-0000</t>
  </si>
  <si>
    <t>LPI0001-71100-0000</t>
  </si>
  <si>
    <t>LPI0001-71110-0000</t>
  </si>
  <si>
    <t>LPI0001-73101-0000</t>
  </si>
  <si>
    <t>LPI0001-73103-0000</t>
  </si>
  <si>
    <t>LPI0001-73105-0000</t>
  </si>
  <si>
    <t>LPI0001-80006-0000</t>
  </si>
  <si>
    <t>LPI0001-80061-0000</t>
  </si>
  <si>
    <t>LPI0001-81019-0000</t>
  </si>
  <si>
    <t>LPI0001-81220-0000</t>
  </si>
  <si>
    <t>LPI0001-81228-0000</t>
  </si>
  <si>
    <t>LPI0001-81400-0000</t>
  </si>
  <si>
    <t>LPI0001-82900-0000</t>
  </si>
  <si>
    <t>LPI0001-85500-0000</t>
  </si>
  <si>
    <t>LPI0001-85700-0000</t>
  </si>
  <si>
    <t>LPI0002-10001-0000</t>
  </si>
  <si>
    <t>LPI0002-10003-0000</t>
  </si>
  <si>
    <t>LPI0002-10004-0000</t>
  </si>
  <si>
    <t>LPI0002-10005-0000</t>
  </si>
  <si>
    <t>LPI0002-10006-0000</t>
  </si>
  <si>
    <t>LPI0002-10009-0000</t>
  </si>
  <si>
    <t>LPI0002-10010-0000</t>
  </si>
  <si>
    <t>LPI0002-10011-0000</t>
  </si>
  <si>
    <t>LPI0002-10012-0000</t>
  </si>
  <si>
    <t>LPI0002-10023-0000</t>
  </si>
  <si>
    <t>LPI0002-10024-0000</t>
  </si>
  <si>
    <t>LPI0002-10027-0000</t>
  </si>
  <si>
    <t>LPI0002-10050-0000</t>
  </si>
  <si>
    <t>LPI0002-11200-0000</t>
  </si>
  <si>
    <t>LPI0002-11201-0000</t>
  </si>
  <si>
    <t>LPI0002-11202-0000</t>
  </si>
  <si>
    <t>LPI0002-11203-0000</t>
  </si>
  <si>
    <t>LPI0002-11204-0000</t>
  </si>
  <si>
    <t>LPI0002-11208-0000</t>
  </si>
  <si>
    <t>LPI0002-11210-0000</t>
  </si>
  <si>
    <t>LPI0002-11212-0000</t>
  </si>
  <si>
    <t>LPI0002-11214-0000</t>
  </si>
  <si>
    <t>LPI0002-11215-0000</t>
  </si>
  <si>
    <t>LPI0002-11216-0000</t>
  </si>
  <si>
    <t>LPI0002-11232-0000</t>
  </si>
  <si>
    <t>LPI0002-11301-0000</t>
  </si>
  <si>
    <t>LPI0002-11302-0000</t>
  </si>
  <si>
    <t>LPI0002-11303-0000</t>
  </si>
  <si>
    <t>LPI0002-11304-0000</t>
  </si>
  <si>
    <t>LPI0002-11305-0000</t>
  </si>
  <si>
    <t>LPI0002-11307-0000</t>
  </si>
  <si>
    <t>LPI0002-11308-0000</t>
  </si>
  <si>
    <t>LPI0002-11309-0000</t>
  </si>
  <si>
    <t>LPI0002-11310-0000</t>
  </si>
  <si>
    <t>LPI0002-11311-0000</t>
  </si>
  <si>
    <t>LPI0002-11312-0000</t>
  </si>
  <si>
    <t>LPI0002-11313-0000</t>
  </si>
  <si>
    <t>LPI0002-11314-0000</t>
  </si>
  <si>
    <t>LPI0002-11315-0000</t>
  </si>
  <si>
    <t>LPI0002-11316-0000</t>
  </si>
  <si>
    <t>LPI0002-11317-0000</t>
  </si>
  <si>
    <t>LPI0002-11318-0000</t>
  </si>
  <si>
    <t>LPI0002-11319-0000</t>
  </si>
  <si>
    <t>LPI0002-11320-0000</t>
  </si>
  <si>
    <t>LPI0002-11321-0000</t>
  </si>
  <si>
    <t>LPI0002-11322-0000</t>
  </si>
  <si>
    <t>LPI0002-11323-0000</t>
  </si>
  <si>
    <t>LPI0002-11324-0000</t>
  </si>
  <si>
    <t>LPI0002-11325-0000</t>
  </si>
  <si>
    <t>LPI0002-11326-0000</t>
  </si>
  <si>
    <t>LPI0002-11327-0000</t>
  </si>
  <si>
    <t>LPI0002-11328-0000</t>
  </si>
  <si>
    <t>LPI0002-11329-0000</t>
  </si>
  <si>
    <t>LPI0002-11330-0000</t>
  </si>
  <si>
    <t>LPI0002-11331-0000</t>
  </si>
  <si>
    <t>LPI0002-11332-0000</t>
  </si>
  <si>
    <t>LPI0002-11333-0000</t>
  </si>
  <si>
    <t>LPI0002-11334-0000</t>
  </si>
  <si>
    <t>LPI0002-11335-0000</t>
  </si>
  <si>
    <t>LPI0002-11336-0000</t>
  </si>
  <si>
    <t>LPI0002-11337-0000</t>
  </si>
  <si>
    <t>LPI0002-11338-0000</t>
  </si>
  <si>
    <t>LPI0002-11339-0000</t>
  </si>
  <si>
    <t>LPI0002-11340-0000</t>
  </si>
  <si>
    <t>LPI0002-11341-0000</t>
  </si>
  <si>
    <t>LPI0002-11342-0000</t>
  </si>
  <si>
    <t>LPI0002-11343-0000</t>
  </si>
  <si>
    <t>LPI0002-11344-0000</t>
  </si>
  <si>
    <t>LPI0002-11345-0000</t>
  </si>
  <si>
    <t>LPI0002-11346-0000</t>
  </si>
  <si>
    <t>LPI0002-11347-0000</t>
  </si>
  <si>
    <t>LPI0002-11348-0000</t>
  </si>
  <si>
    <t>LPI0002-11349-0000</t>
  </si>
  <si>
    <t>LPI0002-11350-0000</t>
  </si>
  <si>
    <t>LPI0002-11351-0000</t>
  </si>
  <si>
    <t>LPI0002-11352-0000</t>
  </si>
  <si>
    <t>LPI0002-11353-0000</t>
  </si>
  <si>
    <t>LPI0002-11354-0000</t>
  </si>
  <si>
    <t>LPI0002-11355-0000</t>
  </si>
  <si>
    <t>LPI0002-11356-0000</t>
  </si>
  <si>
    <t>LPI0002-11357-0000</t>
  </si>
  <si>
    <t>LPI0002-11358-0000</t>
  </si>
  <si>
    <t>LPI0002-11359-0000</t>
  </si>
  <si>
    <t>LPI0002-11361-0000</t>
  </si>
  <si>
    <t>LPI0002-11363-0000</t>
  </si>
  <si>
    <t>LPI0002-11364-0000</t>
  </si>
  <si>
    <t>LPI0002-11365-0000</t>
  </si>
  <si>
    <t>LPI0002-11366-0000</t>
  </si>
  <si>
    <t>LPI0002-11402-0000</t>
  </si>
  <si>
    <t>LPI0002-11403-0000</t>
  </si>
  <si>
    <t>LPI0002-12100-0000</t>
  </si>
  <si>
    <t>LPI0002-12105-0000</t>
  </si>
  <si>
    <t>LPI0002-12400-0000</t>
  </si>
  <si>
    <t>LPI0002-12401-0000</t>
  </si>
  <si>
    <t>LPI0002-12402-0000</t>
  </si>
  <si>
    <t>LPI0002-12403-0000</t>
  </si>
  <si>
    <t>LPI0002-12501-0000</t>
  </si>
  <si>
    <t>LPI0002-12510-0000</t>
  </si>
  <si>
    <t>LPI0002-13010-0000</t>
  </si>
  <si>
    <t>LPI0002-13050-0000</t>
  </si>
  <si>
    <t>LPI0002-13610-0000</t>
  </si>
  <si>
    <t>LPI0002-13620-0000</t>
  </si>
  <si>
    <t>LPI0002-13810-0000</t>
  </si>
  <si>
    <t>LPI0002-13811-0000</t>
  </si>
  <si>
    <t>LPI0002-13811-1000</t>
  </si>
  <si>
    <t>LPI0002-13812-0000</t>
  </si>
  <si>
    <t>LPI0002-13812-1000</t>
  </si>
  <si>
    <t>LPI0002-13813-0000</t>
  </si>
  <si>
    <t>LPI0002-13813-1000</t>
  </si>
  <si>
    <t>LPI0002-13820-0000</t>
  </si>
  <si>
    <t>LPI0002-13820-1000</t>
  </si>
  <si>
    <t>LPI0002-13821-0000</t>
  </si>
  <si>
    <t>LPI0002-13821-1000</t>
  </si>
  <si>
    <t>LPI0002-13822-0000</t>
  </si>
  <si>
    <t>LPI0002-13822-1000</t>
  </si>
  <si>
    <t>LPI0002-14100-0000</t>
  </si>
  <si>
    <t>LPI0002-15000-0000</t>
  </si>
  <si>
    <t>LPI0002-15500-0000</t>
  </si>
  <si>
    <t>LPI0002-15600-0000</t>
  </si>
  <si>
    <t>LPI0002-15700-0000</t>
  </si>
  <si>
    <t>LPI0002-15800-0000</t>
  </si>
  <si>
    <t>LPI0002-16000-0000</t>
  </si>
  <si>
    <t>LPI0002-17000-0000</t>
  </si>
  <si>
    <t>LPI0002-18000-0000</t>
  </si>
  <si>
    <t>LPI0002-22000-0000</t>
  </si>
  <si>
    <t>LPI0002-22001-0000</t>
  </si>
  <si>
    <t>LPI0002-22003-0000</t>
  </si>
  <si>
    <t>LPI0002-22005-0000</t>
  </si>
  <si>
    <t>LPI0002-22310-0000</t>
  </si>
  <si>
    <t>LPI0002-22800-0000</t>
  </si>
  <si>
    <t>LPI0002-22801-0000</t>
  </si>
  <si>
    <t>LPI0002-22810-0000</t>
  </si>
  <si>
    <t>LPI0002-22900-0000</t>
  </si>
  <si>
    <t>LPI0002-22905-0000</t>
  </si>
  <si>
    <t>LPI0002-22906-0000</t>
  </si>
  <si>
    <t>LPI0002-23000-0000</t>
  </si>
  <si>
    <t>LPI0002-23100-0000</t>
  </si>
  <si>
    <t>LPI0002-23500-0000</t>
  </si>
  <si>
    <t>LPI0002-23501-0000</t>
  </si>
  <si>
    <t>LPI0002-23509-0000</t>
  </si>
  <si>
    <t>LPI0002-23700-0000</t>
  </si>
  <si>
    <t>LPI0002-23800-0000</t>
  </si>
  <si>
    <t>LPI0002-24200-0000</t>
  </si>
  <si>
    <t>LPI0002-24300-0000</t>
  </si>
  <si>
    <t>LPI0002-24400-0000</t>
  </si>
  <si>
    <t>LPI0002-24500-0000</t>
  </si>
  <si>
    <t>LPI0002-24600-0000</t>
  </si>
  <si>
    <t>LPI0002-25005-0000</t>
  </si>
  <si>
    <t>LPI0002-25009-0000</t>
  </si>
  <si>
    <t>LPI0002-25600-0000</t>
  </si>
  <si>
    <t>LPI0002-25601-0000</t>
  </si>
  <si>
    <t>LPI0002-25602-0000</t>
  </si>
  <si>
    <t>LPI0002-25603-0000</t>
  </si>
  <si>
    <t>LPI0002-25604-0000</t>
  </si>
  <si>
    <t>LPI0002-28000-0000</t>
  </si>
  <si>
    <t>LPI0002-28001-0000</t>
  </si>
  <si>
    <t>LPI0002-28002-0000</t>
  </si>
  <si>
    <t>LPI0002-28003-0000</t>
  </si>
  <si>
    <t>LPI0002-28004-0000</t>
  </si>
  <si>
    <t>LPI0002-28005-0000</t>
  </si>
  <si>
    <t>LPI0002-28006-0000</t>
  </si>
  <si>
    <t>LPI0002-28007-0000</t>
  </si>
  <si>
    <t>LPI0002-28008-0000</t>
  </si>
  <si>
    <t>LPI0002-28009-0000</t>
  </si>
  <si>
    <t>LPI0002-28010-0000</t>
  </si>
  <si>
    <t>LPI0002-28011-0000</t>
  </si>
  <si>
    <t>LPI0002-28012-0000</t>
  </si>
  <si>
    <t>LPI0002-28013-0000</t>
  </si>
  <si>
    <t>LPI0002-28014-0000</t>
  </si>
  <si>
    <t>LPI0002-28015-0000</t>
  </si>
  <si>
    <t>LPI0002-28016-0000</t>
  </si>
  <si>
    <t>LPI0002-28017-0000</t>
  </si>
  <si>
    <t>LPI0002-28018-0000</t>
  </si>
  <si>
    <t>LPI0002-28019-0000</t>
  </si>
  <si>
    <t>LPI0002-28020-0000</t>
  </si>
  <si>
    <t>LPI0002-28021-0000</t>
  </si>
  <si>
    <t>LPI0002-28022-0000</t>
  </si>
  <si>
    <t>LPI0002-28023-0000</t>
  </si>
  <si>
    <t>LPI0002-28024-0000</t>
  </si>
  <si>
    <t>LPI0002-30101-0000</t>
  </si>
  <si>
    <t>LPI0002-30501-0000</t>
  </si>
  <si>
    <t>LPI0002-31001-0000</t>
  </si>
  <si>
    <t>LPI0002-31002-0000</t>
  </si>
  <si>
    <t>LPI0002-31003-0000</t>
  </si>
  <si>
    <t>LPI0002-31005-0000</t>
  </si>
  <si>
    <t>LPI0002-31007-0000</t>
  </si>
  <si>
    <t>LPI0002-31008-0000</t>
  </si>
  <si>
    <t>LPI0002-31009-0000</t>
  </si>
  <si>
    <t>LPI0002-31010-0000</t>
  </si>
  <si>
    <t>LPI0002-31012-0000</t>
  </si>
  <si>
    <t>LPI0002-31015-0000</t>
  </si>
  <si>
    <t>LPI0002-31016-0000</t>
  </si>
  <si>
    <t>LPI0002-31018-0000</t>
  </si>
  <si>
    <t>LPI0002-31801-0000</t>
  </si>
  <si>
    <t>LPI0002-31802-0000</t>
  </si>
  <si>
    <t>LPI0002-31803-0000</t>
  </si>
  <si>
    <t>LPI0002-31804-0000</t>
  </si>
  <si>
    <t>LPI0002-31900-0000</t>
  </si>
  <si>
    <t>LPI0002-36000-0000</t>
  </si>
  <si>
    <t>LPI0002-36002-0000</t>
  </si>
  <si>
    <t>LPI0002-36003-0000</t>
  </si>
  <si>
    <t>LPI0002-36004-0000</t>
  </si>
  <si>
    <t>LPI0002-36005-0000</t>
  </si>
  <si>
    <t>LPI0002-36006-0000</t>
  </si>
  <si>
    <t>LPI0002-36008-0000</t>
  </si>
  <si>
    <t>LPI0002-36018-0000</t>
  </si>
  <si>
    <t>LPI0002-36801-0000</t>
  </si>
  <si>
    <t>LPI0002-36802-0000</t>
  </si>
  <si>
    <t>LPI0002-36803-0000</t>
  </si>
  <si>
    <t>LPI0002-36804-0000</t>
  </si>
  <si>
    <t>LPI0002-36900-0000</t>
  </si>
  <si>
    <t>LPI0002-36901-0000</t>
  </si>
  <si>
    <t>LPI0002-38100-0000</t>
  </si>
  <si>
    <t>LPI0002-38100-1000</t>
  </si>
  <si>
    <t>LPI0002-40110-0000</t>
  </si>
  <si>
    <t>LPI0002-40120-0000</t>
  </si>
  <si>
    <t>LPI0002-40130-0000</t>
  </si>
  <si>
    <t>LPI0002-40140-0000</t>
  </si>
  <si>
    <t>LPI0002-41110-0000</t>
  </si>
  <si>
    <t>LPI0002-41112-0000</t>
  </si>
  <si>
    <t>LPI0002-41120-0000</t>
  </si>
  <si>
    <t>LPI0002-42110-0000</t>
  </si>
  <si>
    <t>LPI0002-42130-0000</t>
  </si>
  <si>
    <t>LPI0002-42140-0000</t>
  </si>
  <si>
    <t>LPI0002-42150-0000</t>
  </si>
  <si>
    <t>LPI0002-42160-0000</t>
  </si>
  <si>
    <t>LPI0002-42405-0000</t>
  </si>
  <si>
    <t>LPI0002-43120-0000</t>
  </si>
  <si>
    <t>LPI0002-43121-0000</t>
  </si>
  <si>
    <t>LPI0002-43200-0000</t>
  </si>
  <si>
    <t>LPI0002-43410-0000</t>
  </si>
  <si>
    <t>LPI0002-43420-0000</t>
  </si>
  <si>
    <t>LPI0002-43430-0000</t>
  </si>
  <si>
    <t>LPI0002-43440-0000</t>
  </si>
  <si>
    <t>LPI0002-43450-0000</t>
  </si>
  <si>
    <t>LPI0002-43480-0000</t>
  </si>
  <si>
    <t>LPI0002-43490-0000</t>
  </si>
  <si>
    <t>LPI0002-43491-0000</t>
  </si>
  <si>
    <t>LPI0002-43492-0000</t>
  </si>
  <si>
    <t>LPI0002-43493-0000</t>
  </si>
  <si>
    <t>LPI0002-43494-0000</t>
  </si>
  <si>
    <t>LPI0002-43495-0000</t>
  </si>
  <si>
    <t>LPI0002-44000-0000</t>
  </si>
  <si>
    <t>LPI0002-46000-0000</t>
  </si>
  <si>
    <t>LPI0002-47300-0000</t>
  </si>
  <si>
    <t>LPI0002-47550-0000</t>
  </si>
  <si>
    <t>LPI0002-49500-9999</t>
  </si>
  <si>
    <t>LPI0002-51001-0000</t>
  </si>
  <si>
    <t>LPI0002-51002-0000</t>
  </si>
  <si>
    <t>LPI0002-51003-0000</t>
  </si>
  <si>
    <t>LPI0002-51004-0000</t>
  </si>
  <si>
    <t>LPI0002-51005-0000</t>
  </si>
  <si>
    <t>LPI0002-51006-0000</t>
  </si>
  <si>
    <t>LPI0002-51007-0000</t>
  </si>
  <si>
    <t>LPI0002-51008-0000</t>
  </si>
  <si>
    <t>LPI0002-51009-0000</t>
  </si>
  <si>
    <t>LPI0002-51010-0000</t>
  </si>
  <si>
    <t>LPI0002-51011-0000</t>
  </si>
  <si>
    <t>LPI0002-51012-0000</t>
  </si>
  <si>
    <t>LPI0002-51013-0000</t>
  </si>
  <si>
    <t>LPI0002-51014-0000</t>
  </si>
  <si>
    <t>LPI0002-51015-0000</t>
  </si>
  <si>
    <t>LPI0002-51018-0000</t>
  </si>
  <si>
    <t>LPI0002-51019-0000</t>
  </si>
  <si>
    <t>LPI0002-51020-0000</t>
  </si>
  <si>
    <t>LPI0002-51021-0000</t>
  </si>
  <si>
    <t>LPI0002-51022-0000</t>
  </si>
  <si>
    <t>LPI0002-51023-0000</t>
  </si>
  <si>
    <t>LPI0002-51024-0000</t>
  </si>
  <si>
    <t>LPI0002-51025-0000</t>
  </si>
  <si>
    <t>LPI0002-51026-0000</t>
  </si>
  <si>
    <t>LPI0002-51027-0000</t>
  </si>
  <si>
    <t>LPI0002-51028-0000</t>
  </si>
  <si>
    <t>LPI0002-51029-0000</t>
  </si>
  <si>
    <t>LPI0002-51030-0000</t>
  </si>
  <si>
    <t>LPI0002-51350-0000</t>
  </si>
  <si>
    <t>LPI0002-52001-0000</t>
  </si>
  <si>
    <t>LPI0002-52002-0000</t>
  </si>
  <si>
    <t>LPI0002-52003-0000</t>
  </si>
  <si>
    <t>LPI0002-52005-0000</t>
  </si>
  <si>
    <t>LPI0002-52007-0000</t>
  </si>
  <si>
    <t>LPI0002-52008-0000</t>
  </si>
  <si>
    <t>LPI0002-53001-0000</t>
  </si>
  <si>
    <t>LPI0002-53002-0000</t>
  </si>
  <si>
    <t>LPI0002-53003-0000</t>
  </si>
  <si>
    <t>LPI0002-53004-0000</t>
  </si>
  <si>
    <t>LPI0002-53005-0000</t>
  </si>
  <si>
    <t>LPI0002-53006-0000</t>
  </si>
  <si>
    <t>LPI0002-53007-0000</t>
  </si>
  <si>
    <t>LPI0002-53011-0000</t>
  </si>
  <si>
    <t>LPI0002-54001-0000</t>
  </si>
  <si>
    <t>LPI0002-54002-0000</t>
  </si>
  <si>
    <t>LPI0002-54003-0000</t>
  </si>
  <si>
    <t>LPI0002-54004-0000</t>
  </si>
  <si>
    <t>LPI0002-54005-0000</t>
  </si>
  <si>
    <t>LPI0002-54006-0000</t>
  </si>
  <si>
    <t>LPI0002-54007-0000</t>
  </si>
  <si>
    <t>LPI0002-54100-0000</t>
  </si>
  <si>
    <t>LPI0002-61001-0000</t>
  </si>
  <si>
    <t>LPI0002-61002-0000</t>
  </si>
  <si>
    <t>LPI0002-61003-0000</t>
  </si>
  <si>
    <t>LPI0002-61004-0000</t>
  </si>
  <si>
    <t>LPI0002-61005-0000</t>
  </si>
  <si>
    <t>LPI0002-61006-0000</t>
  </si>
  <si>
    <t>LPI0002-61007-0000</t>
  </si>
  <si>
    <t>LPI0002-61008-0000</t>
  </si>
  <si>
    <t>LPI0002-61009-0000</t>
  </si>
  <si>
    <t>LPI0002-61010-0000</t>
  </si>
  <si>
    <t>LPI0002-61011-0000</t>
  </si>
  <si>
    <t>LPI0002-61012-0000</t>
  </si>
  <si>
    <t>LPI0002-61013-0000</t>
  </si>
  <si>
    <t>LPI0002-61014-0000</t>
  </si>
  <si>
    <t>LPI0002-61015-0000</t>
  </si>
  <si>
    <t>LPI0002-61016-0000</t>
  </si>
  <si>
    <t>LPI0002-61017-0000</t>
  </si>
  <si>
    <t>LPI0002-61021-0000</t>
  </si>
  <si>
    <t>LPI0002-61022-0000</t>
  </si>
  <si>
    <t>LPI0002-61023-0000</t>
  </si>
  <si>
    <t>LPI0002-61024-0000</t>
  </si>
  <si>
    <t>LPI0002-61025-0000</t>
  </si>
  <si>
    <t>LPI0002-71010-0000</t>
  </si>
  <si>
    <t>LPI0002-71020-0000</t>
  </si>
  <si>
    <t>LPI0002-71030-0000</t>
  </si>
  <si>
    <t>LPI0002-71040-0000</t>
  </si>
  <si>
    <t>LPI0002-71050-0000</t>
  </si>
  <si>
    <t>LPI0002-71060-0000</t>
  </si>
  <si>
    <t>LPI0002-71070-0000</t>
  </si>
  <si>
    <t>LPI0002-71080-0000</t>
  </si>
  <si>
    <t>LPI0002-71090-0000</t>
  </si>
  <si>
    <t>LPI0002-71100-0000</t>
  </si>
  <si>
    <t>LPI0002-71110-0000</t>
  </si>
  <si>
    <t>LPI0002-73101-0000</t>
  </si>
  <si>
    <t>LPI0002-73103-0000</t>
  </si>
  <si>
    <t>LPI0002-73105-0000</t>
  </si>
  <si>
    <t>LPI0002-80006-0000</t>
  </si>
  <si>
    <t>LPI0002-80061-0000</t>
  </si>
  <si>
    <t>LPI0002-81019-0000</t>
  </si>
  <si>
    <t>LPI0002-81220-0000</t>
  </si>
  <si>
    <t>LPI0002-81228-0000</t>
  </si>
  <si>
    <t>LPI0002-81400-0000</t>
  </si>
  <si>
    <t>LPI0002-82900-0000</t>
  </si>
  <si>
    <t>LPI0002-85500-0000</t>
  </si>
  <si>
    <t>LPI0002-85700-0000</t>
  </si>
  <si>
    <t>LPI0003-10001-0000</t>
  </si>
  <si>
    <t>LPI0003-10003-0000</t>
  </si>
  <si>
    <t>LPI0003-10004-0000</t>
  </si>
  <si>
    <t>LPI0003-10005-0000</t>
  </si>
  <si>
    <t>LPI0003-10006-0000</t>
  </si>
  <si>
    <t>LPI0003-10009-0000</t>
  </si>
  <si>
    <t>LPI0003-10010-0000</t>
  </si>
  <si>
    <t>LPI0003-10011-0000</t>
  </si>
  <si>
    <t>LPI0003-10012-0000</t>
  </si>
  <si>
    <t>LPI0003-10023-0000</t>
  </si>
  <si>
    <t>LPI0003-10024-0000</t>
  </si>
  <si>
    <t>LPI0003-10027-0000</t>
  </si>
  <si>
    <t>LPI0003-10050-0000</t>
  </si>
  <si>
    <t>LPI0003-11200-0000</t>
  </si>
  <si>
    <t>LPI0003-11201-0000</t>
  </si>
  <si>
    <t>LPI0003-11202-0000</t>
  </si>
  <si>
    <t>LPI0003-11203-0000</t>
  </si>
  <si>
    <t>LPI0003-11204-0000</t>
  </si>
  <si>
    <t>LPI0003-11208-0000</t>
  </si>
  <si>
    <t>LPI0003-11210-0000</t>
  </si>
  <si>
    <t>LPI0003-11212-0000</t>
  </si>
  <si>
    <t>LPI0003-11214-0000</t>
  </si>
  <si>
    <t>LPI0003-11215-0000</t>
  </si>
  <si>
    <t>LPI0003-11216-0000</t>
  </si>
  <si>
    <t>LPI0003-11232-0000</t>
  </si>
  <si>
    <t>LPI0003-11301-0000</t>
  </si>
  <si>
    <t>LPI0003-11302-0000</t>
  </si>
  <si>
    <t>LPI0003-11303-0000</t>
  </si>
  <si>
    <t>LPI0003-11304-0000</t>
  </si>
  <si>
    <t>LPI0003-11305-0000</t>
  </si>
  <si>
    <t>LPI0003-11307-0000</t>
  </si>
  <si>
    <t>LPI0003-11308-0000</t>
  </si>
  <si>
    <t>LPI0003-11309-0000</t>
  </si>
  <si>
    <t>LPI0003-11310-0000</t>
  </si>
  <si>
    <t>LPI0003-11311-0000</t>
  </si>
  <si>
    <t>LPI0003-11312-0000</t>
  </si>
  <si>
    <t>LPI0003-11313-0000</t>
  </si>
  <si>
    <t>LPI0003-11314-0000</t>
  </si>
  <si>
    <t>LPI0003-11315-0000</t>
  </si>
  <si>
    <t>LPI0003-11316-0000</t>
  </si>
  <si>
    <t>LPI0003-11317-0000</t>
  </si>
  <si>
    <t>LPI0003-11318-0000</t>
  </si>
  <si>
    <t>LPI0003-11319-0000</t>
  </si>
  <si>
    <t>LPI0003-11320-0000</t>
  </si>
  <si>
    <t>LPI0003-11321-0000</t>
  </si>
  <si>
    <t>LPI0003-11322-0000</t>
  </si>
  <si>
    <t>LPI0003-11323-0000</t>
  </si>
  <si>
    <t>LPI0003-11324-0000</t>
  </si>
  <si>
    <t>LPI0003-11325-0000</t>
  </si>
  <si>
    <t>LPI0003-11326-0000</t>
  </si>
  <si>
    <t>LPI0003-11327-0000</t>
  </si>
  <si>
    <t>LPI0003-11328-0000</t>
  </si>
  <si>
    <t>LPI0003-11329-0000</t>
  </si>
  <si>
    <t>LPI0003-11330-0000</t>
  </si>
  <si>
    <t>LPI0003-11331-0000</t>
  </si>
  <si>
    <t>LPI0003-11332-0000</t>
  </si>
  <si>
    <t>LPI0003-11333-0000</t>
  </si>
  <si>
    <t>LPI0003-11334-0000</t>
  </si>
  <si>
    <t>LPI0003-11335-0000</t>
  </si>
  <si>
    <t>LPI0003-11336-0000</t>
  </si>
  <si>
    <t>LPI0003-11337-0000</t>
  </si>
  <si>
    <t>LPI0003-11338-0000</t>
  </si>
  <si>
    <t>LPI0003-11339-0000</t>
  </si>
  <si>
    <t>LPI0003-11340-0000</t>
  </si>
  <si>
    <t>LPI0003-11341-0000</t>
  </si>
  <si>
    <t>LPI0003-11342-0000</t>
  </si>
  <si>
    <t>LPI0003-11343-0000</t>
  </si>
  <si>
    <t>LPI0003-11344-0000</t>
  </si>
  <si>
    <t>LPI0003-11345-0000</t>
  </si>
  <si>
    <t>LPI0003-11346-0000</t>
  </si>
  <si>
    <t>LPI0003-11347-0000</t>
  </si>
  <si>
    <t>LPI0003-11348-0000</t>
  </si>
  <si>
    <t>LPI0003-11349-0000</t>
  </si>
  <si>
    <t>LPI0003-11350-0000</t>
  </si>
  <si>
    <t>LPI0003-11351-0000</t>
  </si>
  <si>
    <t>LPI0003-11352-0000</t>
  </si>
  <si>
    <t>LPI0003-11353-0000</t>
  </si>
  <si>
    <t>LPI0003-11354-0000</t>
  </si>
  <si>
    <t>LPI0003-11355-0000</t>
  </si>
  <si>
    <t>LPI0003-11356-0000</t>
  </si>
  <si>
    <t>LPI0003-11357-0000</t>
  </si>
  <si>
    <t>LPI0003-11358-0000</t>
  </si>
  <si>
    <t>LPI0003-11359-0000</t>
  </si>
  <si>
    <t>LPI0003-11361-0000</t>
  </si>
  <si>
    <t>LPI0003-11363-0000</t>
  </si>
  <si>
    <t>LPI0003-11364-0000</t>
  </si>
  <si>
    <t>LPI0003-11365-0000</t>
  </si>
  <si>
    <t>LPI0003-11366-0000</t>
  </si>
  <si>
    <t>LPI0003-11402-0000</t>
  </si>
  <si>
    <t>LPI0003-11403-0000</t>
  </si>
  <si>
    <t>LPI0003-12100-0000</t>
  </si>
  <si>
    <t>LPI0003-12105-0000</t>
  </si>
  <si>
    <t>LPI0003-12400-0000</t>
  </si>
  <si>
    <t>LPI0003-12401-0000</t>
  </si>
  <si>
    <t>LPI0003-12402-0000</t>
  </si>
  <si>
    <t>LPI0003-12403-0000</t>
  </si>
  <si>
    <t>LPI0003-12501-0000</t>
  </si>
  <si>
    <t>LPI0003-12510-0000</t>
  </si>
  <si>
    <t>LPI0003-13010-0000</t>
  </si>
  <si>
    <t>LPI0003-13050-0000</t>
  </si>
  <si>
    <t>LPI0003-13610-0000</t>
  </si>
  <si>
    <t>LPI0003-13620-0000</t>
  </si>
  <si>
    <t>LPI0003-13810-0000</t>
  </si>
  <si>
    <t>LPI0003-13811-0000</t>
  </si>
  <si>
    <t>LPI0003-13811-1000</t>
  </si>
  <si>
    <t>LPI0003-13812-0000</t>
  </si>
  <si>
    <t>LPI0003-13812-1000</t>
  </si>
  <si>
    <t>LPI0003-13813-0000</t>
  </si>
  <si>
    <t>LPI0003-13813-1000</t>
  </si>
  <si>
    <t>LPI0003-13820-0000</t>
  </si>
  <si>
    <t>LPI0003-13820-1000</t>
  </si>
  <si>
    <t>LPI0003-13821-0000</t>
  </si>
  <si>
    <t>LPI0003-13821-1000</t>
  </si>
  <si>
    <t>LPI0003-13822-0000</t>
  </si>
  <si>
    <t>LPI0003-13822-1000</t>
  </si>
  <si>
    <t>LPI0003-14100-0000</t>
  </si>
  <si>
    <t>LPI0003-15000-0000</t>
  </si>
  <si>
    <t>LPI0003-15500-0000</t>
  </si>
  <si>
    <t>LPI0003-15600-0000</t>
  </si>
  <si>
    <t>LPI0003-15700-0000</t>
  </si>
  <si>
    <t>LPI0003-15800-0000</t>
  </si>
  <si>
    <t>LPI0003-16000-0000</t>
  </si>
  <si>
    <t>LPI0003-17000-0000</t>
  </si>
  <si>
    <t>LPI0003-18000-0000</t>
  </si>
  <si>
    <t>LPI0003-22000-0000</t>
  </si>
  <si>
    <t>LPI0003-22001-0000</t>
  </si>
  <si>
    <t>LPI0003-22003-0000</t>
  </si>
  <si>
    <t>LPI0003-22005-0000</t>
  </si>
  <si>
    <t>LPI0003-22310-0000</t>
  </si>
  <si>
    <t>LPI0003-22800-0000</t>
  </si>
  <si>
    <t>LPI0003-22801-0000</t>
  </si>
  <si>
    <t>LPI0003-22810-0000</t>
  </si>
  <si>
    <t>LPI0003-22900-0000</t>
  </si>
  <si>
    <t>LPI0003-22905-0000</t>
  </si>
  <si>
    <t>LPI0003-22906-0000</t>
  </si>
  <si>
    <t>LPI0003-23000-0000</t>
  </si>
  <si>
    <t>LPI0003-23100-0000</t>
  </si>
  <si>
    <t>LPI0003-23500-0000</t>
  </si>
  <si>
    <t>LPI0003-23501-0000</t>
  </si>
  <si>
    <t>LPI0003-23509-0000</t>
  </si>
  <si>
    <t>LPI0003-23700-0000</t>
  </si>
  <si>
    <t>LPI0003-23800-0000</t>
  </si>
  <si>
    <t>LPI0003-24200-0000</t>
  </si>
  <si>
    <t>LPI0003-24300-0000</t>
  </si>
  <si>
    <t>LPI0003-24400-0000</t>
  </si>
  <si>
    <t>LPI0003-24500-0000</t>
  </si>
  <si>
    <t>LPI0003-24600-0000</t>
  </si>
  <si>
    <t>LPI0003-25005-0000</t>
  </si>
  <si>
    <t>LPI0003-25009-0000</t>
  </si>
  <si>
    <t>LPI0003-25600-0000</t>
  </si>
  <si>
    <t>LPI0003-25601-0000</t>
  </si>
  <si>
    <t>LPI0003-25602-0000</t>
  </si>
  <si>
    <t>LPI0003-25603-0000</t>
  </si>
  <si>
    <t>LPI0003-25604-0000</t>
  </si>
  <si>
    <t>LPI0003-28000-0000</t>
  </si>
  <si>
    <t>LPI0003-28001-0000</t>
  </si>
  <si>
    <t>LPI0003-28002-0000</t>
  </si>
  <si>
    <t>LPI0003-28003-0000</t>
  </si>
  <si>
    <t>LPI0003-28004-0000</t>
  </si>
  <si>
    <t>LPI0003-28005-0000</t>
  </si>
  <si>
    <t>LPI0003-28006-0000</t>
  </si>
  <si>
    <t>LPI0003-28007-0000</t>
  </si>
  <si>
    <t>LPI0003-28008-0000</t>
  </si>
  <si>
    <t>LPI0003-28009-0000</t>
  </si>
  <si>
    <t>LPI0003-28010-0000</t>
  </si>
  <si>
    <t>LPI0003-28011-0000</t>
  </si>
  <si>
    <t>LPI0003-28012-0000</t>
  </si>
  <si>
    <t>LPI0003-28013-0000</t>
  </si>
  <si>
    <t>LPI0003-28014-0000</t>
  </si>
  <si>
    <t>LPI0003-28015-0000</t>
  </si>
  <si>
    <t>LPI0003-28016-0000</t>
  </si>
  <si>
    <t>LPI0003-28017-0000</t>
  </si>
  <si>
    <t>LPI0003-28018-0000</t>
  </si>
  <si>
    <t>LPI0003-28019-0000</t>
  </si>
  <si>
    <t>LPI0003-28020-0000</t>
  </si>
  <si>
    <t>LPI0003-28021-0000</t>
  </si>
  <si>
    <t>LPI0003-28022-0000</t>
  </si>
  <si>
    <t>LPI0003-28023-0000</t>
  </si>
  <si>
    <t>LPI0003-28024-0000</t>
  </si>
  <si>
    <t>LPI0003-30101-0000</t>
  </si>
  <si>
    <t>LPI0003-30501-0000</t>
  </si>
  <si>
    <t>LPI0003-31001-0000</t>
  </si>
  <si>
    <t>LPI0003-31002-0000</t>
  </si>
  <si>
    <t>LPI0003-31003-0000</t>
  </si>
  <si>
    <t>LPI0003-31005-0000</t>
  </si>
  <si>
    <t>LPI0003-31007-0000</t>
  </si>
  <si>
    <t>LPI0003-31008-0000</t>
  </si>
  <si>
    <t>LPI0003-31009-0000</t>
  </si>
  <si>
    <t>LPI0003-31010-0000</t>
  </si>
  <si>
    <t>LPI0003-31012-0000</t>
  </si>
  <si>
    <t>LPI0003-31015-0000</t>
  </si>
  <si>
    <t>LPI0003-31016-0000</t>
  </si>
  <si>
    <t>LPI0003-31018-0000</t>
  </si>
  <si>
    <t>LPI0003-31801-0000</t>
  </si>
  <si>
    <t>LPI0003-31802-0000</t>
  </si>
  <si>
    <t>LPI0003-31803-0000</t>
  </si>
  <si>
    <t>LPI0003-31804-0000</t>
  </si>
  <si>
    <t>LPI0003-31900-0000</t>
  </si>
  <si>
    <t>LPI0003-36000-0000</t>
  </si>
  <si>
    <t>LPI0003-36002-0000</t>
  </si>
  <si>
    <t>LPI0003-36003-0000</t>
  </si>
  <si>
    <t>LPI0003-36004-0000</t>
  </si>
  <si>
    <t>LPI0003-36005-0000</t>
  </si>
  <si>
    <t>LPI0003-36006-0000</t>
  </si>
  <si>
    <t>LPI0003-36008-0000</t>
  </si>
  <si>
    <t>LPI0003-36018-0000</t>
  </si>
  <si>
    <t>LPI0003-36801-0000</t>
  </si>
  <si>
    <t>LPI0003-36802-0000</t>
  </si>
  <si>
    <t>LPI0003-36803-0000</t>
  </si>
  <si>
    <t>LPI0003-36804-0000</t>
  </si>
  <si>
    <t>LPI0003-36900-0000</t>
  </si>
  <si>
    <t>LPI0003-36901-0000</t>
  </si>
  <si>
    <t>LPI0003-38100-0000</t>
  </si>
  <si>
    <t>LPI0003-38100-1000</t>
  </si>
  <si>
    <t>LPI0003-40110-0000</t>
  </si>
  <si>
    <t>LPI0003-40120-0000</t>
  </si>
  <si>
    <t>LPI0003-40130-0000</t>
  </si>
  <si>
    <t>LPI0003-40140-0000</t>
  </si>
  <si>
    <t>LPI0003-41110-0000</t>
  </si>
  <si>
    <t>LPI0003-41112-0000</t>
  </si>
  <si>
    <t>LPI0003-41120-0000</t>
  </si>
  <si>
    <t>LPI0003-42110-0000</t>
  </si>
  <si>
    <t>LPI0003-42130-0000</t>
  </si>
  <si>
    <t>LPI0003-42140-0000</t>
  </si>
  <si>
    <t>LPI0003-42150-0000</t>
  </si>
  <si>
    <t>LPI0003-42160-0000</t>
  </si>
  <si>
    <t>LPI0003-42405-0000</t>
  </si>
  <si>
    <t>LPI0003-43120-0000</t>
  </si>
  <si>
    <t>LPI0003-43121-0000</t>
  </si>
  <si>
    <t>LPI0003-43200-0000</t>
  </si>
  <si>
    <t>LPI0003-43410-0000</t>
  </si>
  <si>
    <t>LPI0003-43420-0000</t>
  </si>
  <si>
    <t>LPI0003-43430-0000</t>
  </si>
  <si>
    <t>LPI0003-43440-0000</t>
  </si>
  <si>
    <t>LPI0003-43450-0000</t>
  </si>
  <si>
    <t>LPI0003-43480-0000</t>
  </si>
  <si>
    <t>LPI0003-43490-0000</t>
  </si>
  <si>
    <t>LPI0003-43491-0000</t>
  </si>
  <si>
    <t>LPI0003-43492-0000</t>
  </si>
  <si>
    <t>LPI0003-43493-0000</t>
  </si>
  <si>
    <t>LPI0003-43494-0000</t>
  </si>
  <si>
    <t>LPI0003-43495-0000</t>
  </si>
  <si>
    <t>LPI0003-44000-0000</t>
  </si>
  <si>
    <t>LPI0003-46000-0000</t>
  </si>
  <si>
    <t>LPI0003-47300-0000</t>
  </si>
  <si>
    <t>LPI0003-47550-0000</t>
  </si>
  <si>
    <t>LPI0003-49500-9999</t>
  </si>
  <si>
    <t>LPI0003-51001-0000</t>
  </si>
  <si>
    <t>LPI0003-51002-0000</t>
  </si>
  <si>
    <t>LPI0003-51003-0000</t>
  </si>
  <si>
    <t>LPI0003-51004-0000</t>
  </si>
  <si>
    <t>LPI0003-51005-0000</t>
  </si>
  <si>
    <t>LPI0003-51006-0000</t>
  </si>
  <si>
    <t>LPI0003-51007-0000</t>
  </si>
  <si>
    <t>LPI0003-51008-0000</t>
  </si>
  <si>
    <t>LPI0003-51009-0000</t>
  </si>
  <si>
    <t>LPI0003-51010-0000</t>
  </si>
  <si>
    <t>LPI0003-51011-0000</t>
  </si>
  <si>
    <t>LPI0003-51012-0000</t>
  </si>
  <si>
    <t>LPI0003-51013-0000</t>
  </si>
  <si>
    <t>LPI0003-51014-0000</t>
  </si>
  <si>
    <t>LPI0003-51015-0000</t>
  </si>
  <si>
    <t>LPI0003-51018-0000</t>
  </si>
  <si>
    <t>LPI0003-51019-0000</t>
  </si>
  <si>
    <t>LPI0003-51020-0000</t>
  </si>
  <si>
    <t>LPI0003-51021-0000</t>
  </si>
  <si>
    <t>LPI0003-51022-0000</t>
  </si>
  <si>
    <t>LPI0003-51023-0000</t>
  </si>
  <si>
    <t>LPI0003-51024-0000</t>
  </si>
  <si>
    <t>LPI0003-51025-0000</t>
  </si>
  <si>
    <t>LPI0003-51026-0000</t>
  </si>
  <si>
    <t>LPI0003-51027-0000</t>
  </si>
  <si>
    <t>LPI0003-51028-0000</t>
  </si>
  <si>
    <t>LPI0003-51029-0000</t>
  </si>
  <si>
    <t>LPI0003-51030-0000</t>
  </si>
  <si>
    <t>LPI0003-51350-0000</t>
  </si>
  <si>
    <t>LPI0003-52001-0000</t>
  </si>
  <si>
    <t>LPI0003-52002-0000</t>
  </si>
  <si>
    <t>LPI0003-52003-0000</t>
  </si>
  <si>
    <t>LPI0003-52005-0000</t>
  </si>
  <si>
    <t>LPI0003-52007-0000</t>
  </si>
  <si>
    <t>LPI0003-52008-0000</t>
  </si>
  <si>
    <t>LPI0003-53001-0000</t>
  </si>
  <si>
    <t>LPI0003-53002-0000</t>
  </si>
  <si>
    <t>LPI0003-53003-0000</t>
  </si>
  <si>
    <t>LPI0003-53004-0000</t>
  </si>
  <si>
    <t>LPI0003-53005-0000</t>
  </si>
  <si>
    <t>LPI0003-53006-0000</t>
  </si>
  <si>
    <t>LPI0003-53007-0000</t>
  </si>
  <si>
    <t>LPI0003-53011-0000</t>
  </si>
  <si>
    <t>LPI0003-54001-0000</t>
  </si>
  <si>
    <t>LPI0003-54002-0000</t>
  </si>
  <si>
    <t>LPI0003-54003-0000</t>
  </si>
  <si>
    <t>LPI0003-54004-0000</t>
  </si>
  <si>
    <t>LPI0003-54005-0000</t>
  </si>
  <si>
    <t>LPI0003-54006-0000</t>
  </si>
  <si>
    <t>LPI0003-54007-0000</t>
  </si>
  <si>
    <t>LPI0003-54100-0000</t>
  </si>
  <si>
    <t>LPI0003-61001-0000</t>
  </si>
  <si>
    <t>LPI0003-61002-0000</t>
  </si>
  <si>
    <t>LPI0003-61003-0000</t>
  </si>
  <si>
    <t>LPI0003-61004-0000</t>
  </si>
  <si>
    <t>LPI0003-61005-0000</t>
  </si>
  <si>
    <t>LPI0003-61006-0000</t>
  </si>
  <si>
    <t>LPI0003-61007-0000</t>
  </si>
  <si>
    <t>LPI0003-61008-0000</t>
  </si>
  <si>
    <t>LPI0003-61009-0000</t>
  </si>
  <si>
    <t>LPI0003-61010-0000</t>
  </si>
  <si>
    <t>LPI0003-61011-0000</t>
  </si>
  <si>
    <t>LPI0003-61012-0000</t>
  </si>
  <si>
    <t>LPI0003-61013-0000</t>
  </si>
  <si>
    <t>LPI0003-61014-0000</t>
  </si>
  <si>
    <t>LPI0003-61015-0000</t>
  </si>
  <si>
    <t>LPI0003-61016-0000</t>
  </si>
  <si>
    <t>LPI0003-61017-0000</t>
  </si>
  <si>
    <t>LPI0003-61021-0000</t>
  </si>
  <si>
    <t>LPI0003-61022-0000</t>
  </si>
  <si>
    <t>LPI0003-61023-0000</t>
  </si>
  <si>
    <t>LPI0003-61024-0000</t>
  </si>
  <si>
    <t>LPI0003-61025-0000</t>
  </si>
  <si>
    <t>LPI0003-71010-0000</t>
  </si>
  <si>
    <t>LPI0003-71020-0000</t>
  </si>
  <si>
    <t>LPI0003-71030-0000</t>
  </si>
  <si>
    <t>LPI0003-71040-0000</t>
  </si>
  <si>
    <t>LPI0003-71050-0000</t>
  </si>
  <si>
    <t>LPI0003-71060-0000</t>
  </si>
  <si>
    <t>LPI0003-71070-0000</t>
  </si>
  <si>
    <t>LPI0003-71080-0000</t>
  </si>
  <si>
    <t>LPI0003-71090-0000</t>
  </si>
  <si>
    <t>LPI0003-71100-0000</t>
  </si>
  <si>
    <t>LPI0003-71110-0000</t>
  </si>
  <si>
    <t>LPI0003-73101-0000</t>
  </si>
  <si>
    <t>LPI0003-73103-0000</t>
  </si>
  <si>
    <t>LPI0003-73105-0000</t>
  </si>
  <si>
    <t>LPI0003-80006-0000</t>
  </si>
  <si>
    <t>LPI0003-80061-0000</t>
  </si>
  <si>
    <t>LPI0003-81019-0000</t>
  </si>
  <si>
    <t>LPI0003-81220-0000</t>
  </si>
  <si>
    <t>LPI0003-81228-0000</t>
  </si>
  <si>
    <t>LPI0003-81400-0000</t>
  </si>
  <si>
    <t>LPI0003-82900-0000</t>
  </si>
  <si>
    <t>LPI0003-85500-0000</t>
  </si>
  <si>
    <t>LPI0003-85700-0000</t>
  </si>
  <si>
    <t>LPI0004-10001-0000</t>
  </si>
  <si>
    <t>LPI0004-10003-0000</t>
  </si>
  <si>
    <t>LPI0004-10004-0000</t>
  </si>
  <si>
    <t>LPI0004-10005-0000</t>
  </si>
  <si>
    <t>LPI0004-10006-0000</t>
  </si>
  <si>
    <t>LPI0004-10009-0000</t>
  </si>
  <si>
    <t>LPI0004-10010-0000</t>
  </si>
  <si>
    <t>LPI0004-10011-0000</t>
  </si>
  <si>
    <t>LPI0004-10012-0000</t>
  </si>
  <si>
    <t>LPI0004-10023-0000</t>
  </si>
  <si>
    <t>LPI0004-10024-0000</t>
  </si>
  <si>
    <t>LPI0004-10027-0000</t>
  </si>
  <si>
    <t>LPI0004-10050-0000</t>
  </si>
  <si>
    <t>LPI0004-11200-0000</t>
  </si>
  <si>
    <t>LPI0004-11201-0000</t>
  </si>
  <si>
    <t>LPI0004-11202-0000</t>
  </si>
  <si>
    <t>LPI0004-11203-0000</t>
  </si>
  <si>
    <t>LPI0004-11204-0000</t>
  </si>
  <si>
    <t>LPI0004-11208-0000</t>
  </si>
  <si>
    <t>LPI0004-11210-0000</t>
  </si>
  <si>
    <t>LPI0004-11212-0000</t>
  </si>
  <si>
    <t>LPI0004-11214-0000</t>
  </si>
  <si>
    <t>LPI0004-11215-0000</t>
  </si>
  <si>
    <t>LPI0004-11216-0000</t>
  </si>
  <si>
    <t>LPI0004-11232-0000</t>
  </si>
  <si>
    <t>LPI0004-11301-0000</t>
  </si>
  <si>
    <t>LPI0004-11302-0000</t>
  </si>
  <si>
    <t>LPI0004-11303-0000</t>
  </si>
  <si>
    <t>LPI0004-11304-0000</t>
  </si>
  <si>
    <t>LPI0004-11305-0000</t>
  </si>
  <si>
    <t>LPI0004-11307-0000</t>
  </si>
  <si>
    <t>LPI0004-11308-0000</t>
  </si>
  <si>
    <t>LPI0004-11309-0000</t>
  </si>
  <si>
    <t>LPI0004-11310-0000</t>
  </si>
  <si>
    <t>LPI0004-11311-0000</t>
  </si>
  <si>
    <t>LPI0004-11312-0000</t>
  </si>
  <si>
    <t>LPI0004-11313-0000</t>
  </si>
  <si>
    <t>LPI0004-11314-0000</t>
  </si>
  <si>
    <t>LPI0004-11315-0000</t>
  </si>
  <si>
    <t>LPI0004-11316-0000</t>
  </si>
  <si>
    <t>LPI0004-11317-0000</t>
  </si>
  <si>
    <t>LPI0004-11318-0000</t>
  </si>
  <si>
    <t>LPI0004-11319-0000</t>
  </si>
  <si>
    <t>LPI0004-11320-0000</t>
  </si>
  <si>
    <t>LPI0004-11321-0000</t>
  </si>
  <si>
    <t>LPI0004-11322-0000</t>
  </si>
  <si>
    <t>LPI0004-11323-0000</t>
  </si>
  <si>
    <t>LPI0004-11324-0000</t>
  </si>
  <si>
    <t>LPI0004-11325-0000</t>
  </si>
  <si>
    <t>LPI0004-11326-0000</t>
  </si>
  <si>
    <t>LPI0004-11327-0000</t>
  </si>
  <si>
    <t>LPI0004-11328-0000</t>
  </si>
  <si>
    <t>LPI0004-11329-0000</t>
  </si>
  <si>
    <t>LPI0004-11330-0000</t>
  </si>
  <si>
    <t>LPI0004-11331-0000</t>
  </si>
  <si>
    <t>LPI0004-11332-0000</t>
  </si>
  <si>
    <t>LPI0004-11333-0000</t>
  </si>
  <si>
    <t>LPI0004-11334-0000</t>
  </si>
  <si>
    <t>LPI0004-11335-0000</t>
  </si>
  <si>
    <t>LPI0004-11336-0000</t>
  </si>
  <si>
    <t>LPI0004-11337-0000</t>
  </si>
  <si>
    <t>LPI0004-11338-0000</t>
  </si>
  <si>
    <t>LPI0004-11339-0000</t>
  </si>
  <si>
    <t>LPI0004-11340-0000</t>
  </si>
  <si>
    <t>LPI0004-11341-0000</t>
  </si>
  <si>
    <t>LPI0004-11342-0000</t>
  </si>
  <si>
    <t>LPI0004-11343-0000</t>
  </si>
  <si>
    <t>LPI0004-11344-0000</t>
  </si>
  <si>
    <t>LPI0004-11345-0000</t>
  </si>
  <si>
    <t>LPI0004-11346-0000</t>
  </si>
  <si>
    <t>LPI0004-11347-0000</t>
  </si>
  <si>
    <t>LPI0004-11348-0000</t>
  </si>
  <si>
    <t>LPI0004-11349-0000</t>
  </si>
  <si>
    <t>LPI0004-11350-0000</t>
  </si>
  <si>
    <t>LPI0004-11351-0000</t>
  </si>
  <si>
    <t>LPI0004-11352-0000</t>
  </si>
  <si>
    <t>LPI0004-11353-0000</t>
  </si>
  <si>
    <t>LPI0004-11354-0000</t>
  </si>
  <si>
    <t>LPI0004-11355-0000</t>
  </si>
  <si>
    <t>LPI0004-11356-0000</t>
  </si>
  <si>
    <t>LPI0004-11357-0000</t>
  </si>
  <si>
    <t>LPI0004-11358-0000</t>
  </si>
  <si>
    <t>LPI0004-11359-0000</t>
  </si>
  <si>
    <t>LPI0004-11361-0000</t>
  </si>
  <si>
    <t>LPI0004-11363-0000</t>
  </si>
  <si>
    <t>LPI0004-11364-0000</t>
  </si>
  <si>
    <t>LPI0004-11365-0000</t>
  </si>
  <si>
    <t>LPI0004-11366-0000</t>
  </si>
  <si>
    <t>LPI0004-11402-0000</t>
  </si>
  <si>
    <t>LPI0004-11403-0000</t>
  </si>
  <si>
    <t>LPI0004-12100-0000</t>
  </si>
  <si>
    <t>LPI0004-12105-0000</t>
  </si>
  <si>
    <t>LPI0004-12400-0000</t>
  </si>
  <si>
    <t>LPI0004-12401-0000</t>
  </si>
  <si>
    <t>LPI0004-12402-0000</t>
  </si>
  <si>
    <t>LPI0004-12403-0000</t>
  </si>
  <si>
    <t>LPI0004-12501-0000</t>
  </si>
  <si>
    <t>LPI0004-12510-0000</t>
  </si>
  <si>
    <t>LPI0004-13010-0000</t>
  </si>
  <si>
    <t>LPI0004-13050-0000</t>
  </si>
  <si>
    <t>LPI0004-13610-0000</t>
  </si>
  <si>
    <t>LPI0004-13620-0000</t>
  </si>
  <si>
    <t>LPI0004-13810-0000</t>
  </si>
  <si>
    <t>LPI0004-13811-0000</t>
  </si>
  <si>
    <t>LPI0004-13811-1000</t>
  </si>
  <si>
    <t>LPI0004-13812-0000</t>
  </si>
  <si>
    <t>LPI0004-13812-1000</t>
  </si>
  <si>
    <t>LPI0004-13813-0000</t>
  </si>
  <si>
    <t>LPI0004-13813-1000</t>
  </si>
  <si>
    <t>LPI0004-13820-0000</t>
  </si>
  <si>
    <t>LPI0004-13820-1000</t>
  </si>
  <si>
    <t>LPI0004-13821-0000</t>
  </si>
  <si>
    <t>LPI0004-13821-1000</t>
  </si>
  <si>
    <t>LPI0004-13822-0000</t>
  </si>
  <si>
    <t>LPI0004-13822-1000</t>
  </si>
  <si>
    <t>LPI0004-14100-0000</t>
  </si>
  <si>
    <t>LPI0004-15000-0000</t>
  </si>
  <si>
    <t>LPI0004-15500-0000</t>
  </si>
  <si>
    <t>LPI0004-15600-0000</t>
  </si>
  <si>
    <t>LPI0004-15700-0000</t>
  </si>
  <si>
    <t>LPI0004-15800-0000</t>
  </si>
  <si>
    <t>LPI0004-16000-0000</t>
  </si>
  <si>
    <t>LPI0004-17000-0000</t>
  </si>
  <si>
    <t>LPI0004-18000-0000</t>
  </si>
  <si>
    <t>LPI0004-22000-0000</t>
  </si>
  <si>
    <t>LPI0004-22001-0000</t>
  </si>
  <si>
    <t>LPI0004-22003-0000</t>
  </si>
  <si>
    <t>LPI0004-22005-0000</t>
  </si>
  <si>
    <t>LPI0004-22310-0000</t>
  </si>
  <si>
    <t>LPI0004-22800-0000</t>
  </si>
  <si>
    <t>LPI0004-22801-0000</t>
  </si>
  <si>
    <t>LPI0004-22810-0000</t>
  </si>
  <si>
    <t>LPI0004-22900-0000</t>
  </si>
  <si>
    <t>LPI0004-22905-0000</t>
  </si>
  <si>
    <t>LPI0004-22906-0000</t>
  </si>
  <si>
    <t>LPI0004-23000-0000</t>
  </si>
  <si>
    <t>LPI0004-23100-0000</t>
  </si>
  <si>
    <t>LPI0004-23500-0000</t>
  </si>
  <si>
    <t>LPI0004-23501-0000</t>
  </si>
  <si>
    <t>LPI0004-23509-0000</t>
  </si>
  <si>
    <t>LPI0004-23700-0000</t>
  </si>
  <si>
    <t>LPI0004-23800-0000</t>
  </si>
  <si>
    <t>LPI0004-24200-0000</t>
  </si>
  <si>
    <t>LPI0004-24300-0000</t>
  </si>
  <si>
    <t>LPI0004-24400-0000</t>
  </si>
  <si>
    <t>LPI0004-24500-0000</t>
  </si>
  <si>
    <t>LPI0004-24600-0000</t>
  </si>
  <si>
    <t>LPI0004-25005-0000</t>
  </si>
  <si>
    <t>LPI0004-25009-0000</t>
  </si>
  <si>
    <t>LPI0004-25600-0000</t>
  </si>
  <si>
    <t>LPI0004-25601-0000</t>
  </si>
  <si>
    <t>LPI0004-25602-0000</t>
  </si>
  <si>
    <t>LPI0004-25603-0000</t>
  </si>
  <si>
    <t>LPI0004-25604-0000</t>
  </si>
  <si>
    <t>LPI0004-28000-0000</t>
  </si>
  <si>
    <t>LPI0004-28001-0000</t>
  </si>
  <si>
    <t>LPI0004-28002-0000</t>
  </si>
  <si>
    <t>LPI0004-28003-0000</t>
  </si>
  <si>
    <t>LPI0004-28004-0000</t>
  </si>
  <si>
    <t>LPI0004-28005-0000</t>
  </si>
  <si>
    <t>LPI0004-28006-0000</t>
  </si>
  <si>
    <t>LPI0004-28007-0000</t>
  </si>
  <si>
    <t>LPI0004-28008-0000</t>
  </si>
  <si>
    <t>LPI0004-28009-0000</t>
  </si>
  <si>
    <t>LPI0004-28010-0000</t>
  </si>
  <si>
    <t>LPI0004-28011-0000</t>
  </si>
  <si>
    <t>LPI0004-28012-0000</t>
  </si>
  <si>
    <t>LPI0004-28013-0000</t>
  </si>
  <si>
    <t>LPI0004-28014-0000</t>
  </si>
  <si>
    <t>LPI0004-28015-0000</t>
  </si>
  <si>
    <t>LPI0004-28016-0000</t>
  </si>
  <si>
    <t>LPI0004-28017-0000</t>
  </si>
  <si>
    <t>LPI0004-28018-0000</t>
  </si>
  <si>
    <t>LPI0004-28019-0000</t>
  </si>
  <si>
    <t>LPI0004-28020-0000</t>
  </si>
  <si>
    <t>LPI0004-28021-0000</t>
  </si>
  <si>
    <t>LPI0004-28022-0000</t>
  </si>
  <si>
    <t>LPI0004-28023-0000</t>
  </si>
  <si>
    <t>LPI0004-28024-0000</t>
  </si>
  <si>
    <t>LPI0004-30101-0000</t>
  </si>
  <si>
    <t>LPI0004-30501-0000</t>
  </si>
  <si>
    <t>LPI0004-31001-0000</t>
  </si>
  <si>
    <t>LPI0004-31002-0000</t>
  </si>
  <si>
    <t>LPI0004-31003-0000</t>
  </si>
  <si>
    <t>LPI0004-31005-0000</t>
  </si>
  <si>
    <t>LPI0004-31007-0000</t>
  </si>
  <si>
    <t>LPI0004-31008-0000</t>
  </si>
  <si>
    <t>LPI0004-31009-0000</t>
  </si>
  <si>
    <t>LPI0004-31010-0000</t>
  </si>
  <si>
    <t>LPI0004-31012-0000</t>
  </si>
  <si>
    <t>LPI0004-31015-0000</t>
  </si>
  <si>
    <t>LPI0004-31016-0000</t>
  </si>
  <si>
    <t>LPI0004-31018-0000</t>
  </si>
  <si>
    <t>LPI0004-31801-0000</t>
  </si>
  <si>
    <t>LPI0004-31802-0000</t>
  </si>
  <si>
    <t>LPI0004-31803-0000</t>
  </si>
  <si>
    <t>LPI0004-31804-0000</t>
  </si>
  <si>
    <t>LPI0004-31900-0000</t>
  </si>
  <si>
    <t>LPI0004-36000-0000</t>
  </si>
  <si>
    <t>LPI0004-36002-0000</t>
  </si>
  <si>
    <t>LPI0004-36003-0000</t>
  </si>
  <si>
    <t>LPI0004-36004-0000</t>
  </si>
  <si>
    <t>LPI0004-36005-0000</t>
  </si>
  <si>
    <t>LPI0004-36006-0000</t>
  </si>
  <si>
    <t>LPI0004-36008-0000</t>
  </si>
  <si>
    <t>LPI0004-36018-0000</t>
  </si>
  <si>
    <t>LPI0004-36801-0000</t>
  </si>
  <si>
    <t>LPI0004-36802-0000</t>
  </si>
  <si>
    <t>LPI0004-36803-0000</t>
  </si>
  <si>
    <t>LPI0004-36804-0000</t>
  </si>
  <si>
    <t>LPI0004-36900-0000</t>
  </si>
  <si>
    <t>LPI0004-36901-0000</t>
  </si>
  <si>
    <t>LPI0004-38100-0000</t>
  </si>
  <si>
    <t>LPI0004-38100-1000</t>
  </si>
  <si>
    <t>LPI0004-40110-0000</t>
  </si>
  <si>
    <t>LPI0004-40120-0000</t>
  </si>
  <si>
    <t>LPI0004-40130-0000</t>
  </si>
  <si>
    <t>LPI0004-40140-0000</t>
  </si>
  <si>
    <t>LPI0004-41110-0000</t>
  </si>
  <si>
    <t>LPI0004-41112-0000</t>
  </si>
  <si>
    <t>LPI0004-41120-0000</t>
  </si>
  <si>
    <t>LPI0004-42110-0000</t>
  </si>
  <si>
    <t>LPI0004-42130-0000</t>
  </si>
  <si>
    <t>LPI0004-42140-0000</t>
  </si>
  <si>
    <t>LPI0004-42150-0000</t>
  </si>
  <si>
    <t>LPI0004-42160-0000</t>
  </si>
  <si>
    <t>LPI0004-42405-0000</t>
  </si>
  <si>
    <t>LPI0004-43120-0000</t>
  </si>
  <si>
    <t>LPI0004-43121-0000</t>
  </si>
  <si>
    <t>LPI0004-43200-0000</t>
  </si>
  <si>
    <t>LPI0004-43410-0000</t>
  </si>
  <si>
    <t>LPI0004-43420-0000</t>
  </si>
  <si>
    <t>LPI0004-43430-0000</t>
  </si>
  <si>
    <t>LPI0004-43440-0000</t>
  </si>
  <si>
    <t>LPI0004-43450-0000</t>
  </si>
  <si>
    <t>LPI0004-43480-0000</t>
  </si>
  <si>
    <t>LPI0004-43490-0000</t>
  </si>
  <si>
    <t>LPI0004-43491-0000</t>
  </si>
  <si>
    <t>LPI0004-43492-0000</t>
  </si>
  <si>
    <t>LPI0004-43493-0000</t>
  </si>
  <si>
    <t>LPI0004-43494-0000</t>
  </si>
  <si>
    <t>LPI0004-43495-0000</t>
  </si>
  <si>
    <t>LPI0004-44000-0000</t>
  </si>
  <si>
    <t>LPI0004-46000-0000</t>
  </si>
  <si>
    <t>LPI0004-47300-0000</t>
  </si>
  <si>
    <t>LPI0004-47550-0000</t>
  </si>
  <si>
    <t>LPI0004-49500-9999</t>
  </si>
  <si>
    <t>LPI0004-51001-0000</t>
  </si>
  <si>
    <t>LPI0004-51002-0000</t>
  </si>
  <si>
    <t>LPI0004-51003-0000</t>
  </si>
  <si>
    <t>LPI0004-51004-0000</t>
  </si>
  <si>
    <t>LPI0004-51005-0000</t>
  </si>
  <si>
    <t>LPI0004-51006-0000</t>
  </si>
  <si>
    <t>LPI0004-51007-0000</t>
  </si>
  <si>
    <t>LPI0004-51008-0000</t>
  </si>
  <si>
    <t>LPI0004-51009-0000</t>
  </si>
  <si>
    <t>LPI0004-51010-0000</t>
  </si>
  <si>
    <t>LPI0004-51011-0000</t>
  </si>
  <si>
    <t>LPI0004-51012-0000</t>
  </si>
  <si>
    <t>LPI0004-51013-0000</t>
  </si>
  <si>
    <t>LPI0004-51014-0000</t>
  </si>
  <si>
    <t>LPI0004-51015-0000</t>
  </si>
  <si>
    <t>LPI0004-51018-0000</t>
  </si>
  <si>
    <t>LPI0004-51019-0000</t>
  </si>
  <si>
    <t>LPI0004-51020-0000</t>
  </si>
  <si>
    <t>LPI0004-51021-0000</t>
  </si>
  <si>
    <t>LPI0004-51022-0000</t>
  </si>
  <si>
    <t>LPI0004-51023-0000</t>
  </si>
  <si>
    <t>LPI0004-51024-0000</t>
  </si>
  <si>
    <t>LPI0004-51025-0000</t>
  </si>
  <si>
    <t>LPI0004-51026-0000</t>
  </si>
  <si>
    <t>LPI0004-51027-0000</t>
  </si>
  <si>
    <t>LPI0004-51028-0000</t>
  </si>
  <si>
    <t>LPI0004-51029-0000</t>
  </si>
  <si>
    <t>LPI0004-51030-0000</t>
  </si>
  <si>
    <t>LPI0004-51350-0000</t>
  </si>
  <si>
    <t>LPI0004-52001-0000</t>
  </si>
  <si>
    <t>LPI0004-52002-0000</t>
  </si>
  <si>
    <t>LPI0004-52003-0000</t>
  </si>
  <si>
    <t>LPI0004-52005-0000</t>
  </si>
  <si>
    <t>LPI0004-52007-0000</t>
  </si>
  <si>
    <t>LPI0004-52008-0000</t>
  </si>
  <si>
    <t>LPI0004-53001-0000</t>
  </si>
  <si>
    <t>LPI0004-53002-0000</t>
  </si>
  <si>
    <t>LPI0004-53003-0000</t>
  </si>
  <si>
    <t>LPI0004-53004-0000</t>
  </si>
  <si>
    <t>LPI0004-53005-0000</t>
  </si>
  <si>
    <t>LPI0004-53006-0000</t>
  </si>
  <si>
    <t>LPI0004-53007-0000</t>
  </si>
  <si>
    <t>LPI0004-53011-0000</t>
  </si>
  <si>
    <t>LPI0004-54001-0000</t>
  </si>
  <si>
    <t>LPI0004-54002-0000</t>
  </si>
  <si>
    <t>LPI0004-54003-0000</t>
  </si>
  <si>
    <t>LPI0004-54004-0000</t>
  </si>
  <si>
    <t>LPI0004-54005-0000</t>
  </si>
  <si>
    <t>LPI0004-54006-0000</t>
  </si>
  <si>
    <t>LPI0004-54007-0000</t>
  </si>
  <si>
    <t>LPI0004-54100-0000</t>
  </si>
  <si>
    <t>LPI0004-61001-0000</t>
  </si>
  <si>
    <t>LPI0004-61002-0000</t>
  </si>
  <si>
    <t>LPI0004-61003-0000</t>
  </si>
  <si>
    <t>LPI0004-61004-0000</t>
  </si>
  <si>
    <t>LPI0004-61005-0000</t>
  </si>
  <si>
    <t>LPI0004-61006-0000</t>
  </si>
  <si>
    <t>LPI0004-61007-0000</t>
  </si>
  <si>
    <t>LPI0004-61008-0000</t>
  </si>
  <si>
    <t>LPI0004-61009-0000</t>
  </si>
  <si>
    <t>LPI0004-61010-0000</t>
  </si>
  <si>
    <t>LPI0004-61011-0000</t>
  </si>
  <si>
    <t>LPI0004-61012-0000</t>
  </si>
  <si>
    <t>LPI0004-61013-0000</t>
  </si>
  <si>
    <t>LPI0004-61014-0000</t>
  </si>
  <si>
    <t>LPI0004-61015-0000</t>
  </si>
  <si>
    <t>LPI0004-61016-0000</t>
  </si>
  <si>
    <t>LPI0004-61017-0000</t>
  </si>
  <si>
    <t>LPI0004-61021-0000</t>
  </si>
  <si>
    <t>LPI0004-61022-0000</t>
  </si>
  <si>
    <t>LPI0004-61023-0000</t>
  </si>
  <si>
    <t>LPI0004-61024-0000</t>
  </si>
  <si>
    <t>LPI0004-61025-0000</t>
  </si>
  <si>
    <t>LPI0004-71010-0000</t>
  </si>
  <si>
    <t>LPI0004-71020-0000</t>
  </si>
  <si>
    <t>LPI0004-71030-0000</t>
  </si>
  <si>
    <t>LPI0004-71040-0000</t>
  </si>
  <si>
    <t>LPI0004-71050-0000</t>
  </si>
  <si>
    <t>LPI0004-71060-0000</t>
  </si>
  <si>
    <t>LPI0004-71070-0000</t>
  </si>
  <si>
    <t>LPI0004-71080-0000</t>
  </si>
  <si>
    <t>LPI0004-71090-0000</t>
  </si>
  <si>
    <t>LPI0004-71100-0000</t>
  </si>
  <si>
    <t>LPI0004-71110-0000</t>
  </si>
  <si>
    <t>LPI0004-73101-0000</t>
  </si>
  <si>
    <t>LPI0004-73103-0000</t>
  </si>
  <si>
    <t>LPI0004-73105-0000</t>
  </si>
  <si>
    <t>LPI0004-80006-0000</t>
  </si>
  <si>
    <t>LPI0004-80061-0000</t>
  </si>
  <si>
    <t>LPI0004-81019-0000</t>
  </si>
  <si>
    <t>LPI0004-81220-0000</t>
  </si>
  <si>
    <t>LPI0004-81228-0000</t>
  </si>
  <si>
    <t>LPI0004-81400-0000</t>
  </si>
  <si>
    <t>LPI0004-82900-0000</t>
  </si>
  <si>
    <t>LPI0004-85500-0000</t>
  </si>
  <si>
    <t>LPI0004-85700-0000</t>
  </si>
  <si>
    <t>LPI0005-10001-0000</t>
  </si>
  <si>
    <t>LPI0005-10003-0000</t>
  </si>
  <si>
    <t>LPI0005-10004-0000</t>
  </si>
  <si>
    <t>LPI0005-10005-0000</t>
  </si>
  <si>
    <t>LPI0005-10006-0000</t>
  </si>
  <si>
    <t>LPI0005-10009-0000</t>
  </si>
  <si>
    <t>LPI0005-10010-0000</t>
  </si>
  <si>
    <t>LPI0005-10011-0000</t>
  </si>
  <si>
    <t>LPI0005-10012-0000</t>
  </si>
  <si>
    <t>LPI0005-10023-0000</t>
  </si>
  <si>
    <t>LPI0005-10024-0000</t>
  </si>
  <si>
    <t>LPI0005-10027-0000</t>
  </si>
  <si>
    <t>LPI0005-10050-0000</t>
  </si>
  <si>
    <t>LPI0005-11200-0000</t>
  </si>
  <si>
    <t>LPI0005-11201-0000</t>
  </si>
  <si>
    <t>LPI0005-11202-0000</t>
  </si>
  <si>
    <t>LPI0005-11203-0000</t>
  </si>
  <si>
    <t>LPI0005-11204-0000</t>
  </si>
  <si>
    <t>LPI0005-11208-0000</t>
  </si>
  <si>
    <t>LPI0005-11210-0000</t>
  </si>
  <si>
    <t>LPI0005-11212-0000</t>
  </si>
  <si>
    <t>LPI0005-11214-0000</t>
  </si>
  <si>
    <t>LPI0005-11215-0000</t>
  </si>
  <si>
    <t>LPI0005-11216-0000</t>
  </si>
  <si>
    <t>LPI0005-11232-0000</t>
  </si>
  <si>
    <t>LPI0005-11301-0000</t>
  </si>
  <si>
    <t>LPI0005-11302-0000</t>
  </si>
  <si>
    <t>LPI0005-11303-0000</t>
  </si>
  <si>
    <t>LPI0005-11304-0000</t>
  </si>
  <si>
    <t>LPI0005-11305-0000</t>
  </si>
  <si>
    <t>LPI0005-11307-0000</t>
  </si>
  <si>
    <t>LPI0005-11308-0000</t>
  </si>
  <si>
    <t>LPI0005-11309-0000</t>
  </si>
  <si>
    <t>LPI0005-11310-0000</t>
  </si>
  <si>
    <t>LPI0005-11311-0000</t>
  </si>
  <si>
    <t>LPI0005-11312-0000</t>
  </si>
  <si>
    <t>LPI0005-11313-0000</t>
  </si>
  <si>
    <t>LPI0005-11314-0000</t>
  </si>
  <si>
    <t>LPI0005-11315-0000</t>
  </si>
  <si>
    <t>LPI0005-11316-0000</t>
  </si>
  <si>
    <t>LPI0005-11317-0000</t>
  </si>
  <si>
    <t>LPI0005-11318-0000</t>
  </si>
  <si>
    <t>LPI0005-11319-0000</t>
  </si>
  <si>
    <t>LPI0005-11320-0000</t>
  </si>
  <si>
    <t>LPI0005-11321-0000</t>
  </si>
  <si>
    <t>LPI0005-11322-0000</t>
  </si>
  <si>
    <t>LPI0005-11323-0000</t>
  </si>
  <si>
    <t>LPI0005-11324-0000</t>
  </si>
  <si>
    <t>LPI0005-11325-0000</t>
  </si>
  <si>
    <t>LPI0005-11326-0000</t>
  </si>
  <si>
    <t>LPI0005-11327-0000</t>
  </si>
  <si>
    <t>LPI0005-11328-0000</t>
  </si>
  <si>
    <t>LPI0005-11329-0000</t>
  </si>
  <si>
    <t>LPI0005-11330-0000</t>
  </si>
  <si>
    <t>LPI0005-11331-0000</t>
  </si>
  <si>
    <t>LPI0005-11332-0000</t>
  </si>
  <si>
    <t>LPI0005-11333-0000</t>
  </si>
  <si>
    <t>LPI0005-11334-0000</t>
  </si>
  <si>
    <t>LPI0005-11335-0000</t>
  </si>
  <si>
    <t>LPI0005-11336-0000</t>
  </si>
  <si>
    <t>LPI0005-11337-0000</t>
  </si>
  <si>
    <t>LPI0005-11338-0000</t>
  </si>
  <si>
    <t>LPI0005-11339-0000</t>
  </si>
  <si>
    <t>LPI0005-11340-0000</t>
  </si>
  <si>
    <t>LPI0005-11341-0000</t>
  </si>
  <si>
    <t>LPI0005-11342-0000</t>
  </si>
  <si>
    <t>LPI0005-11343-0000</t>
  </si>
  <si>
    <t>LPI0005-11344-0000</t>
  </si>
  <si>
    <t>LPI0005-11345-0000</t>
  </si>
  <si>
    <t>LPI0005-11346-0000</t>
  </si>
  <si>
    <t>LPI0005-11347-0000</t>
  </si>
  <si>
    <t>LPI0005-11348-0000</t>
  </si>
  <si>
    <t>LPI0005-11349-0000</t>
  </si>
  <si>
    <t>LPI0005-11350-0000</t>
  </si>
  <si>
    <t>LPI0005-11351-0000</t>
  </si>
  <si>
    <t>LPI0005-11352-0000</t>
  </si>
  <si>
    <t>LPI0005-11353-0000</t>
  </si>
  <si>
    <t>LPI0005-11354-0000</t>
  </si>
  <si>
    <t>LPI0005-11355-0000</t>
  </si>
  <si>
    <t>LPI0005-11356-0000</t>
  </si>
  <si>
    <t>LPI0005-11357-0000</t>
  </si>
  <si>
    <t>LPI0005-11358-0000</t>
  </si>
  <si>
    <t>LPI0005-11359-0000</t>
  </si>
  <si>
    <t>LPI0005-11361-0000</t>
  </si>
  <si>
    <t>LPI0005-11363-0000</t>
  </si>
  <si>
    <t>LPI0005-11364-0000</t>
  </si>
  <si>
    <t>LPI0005-11365-0000</t>
  </si>
  <si>
    <t>LPI0005-11366-0000</t>
  </si>
  <si>
    <t>LPI0005-11402-0000</t>
  </si>
  <si>
    <t>LPI0005-11403-0000</t>
  </si>
  <si>
    <t>LPI0005-12100-0000</t>
  </si>
  <si>
    <t>LPI0005-12105-0000</t>
  </si>
  <si>
    <t>LPI0005-12400-0000</t>
  </si>
  <si>
    <t>LPI0005-12401-0000</t>
  </si>
  <si>
    <t>LPI0005-12402-0000</t>
  </si>
  <si>
    <t>LPI0005-12403-0000</t>
  </si>
  <si>
    <t>LPI0005-12501-0000</t>
  </si>
  <si>
    <t>LPI0005-12510-0000</t>
  </si>
  <si>
    <t>LPI0005-13010-0000</t>
  </si>
  <si>
    <t>LPI0005-13050-0000</t>
  </si>
  <si>
    <t>LPI0005-13610-0000</t>
  </si>
  <si>
    <t>LPI0005-13620-0000</t>
  </si>
  <si>
    <t>LPI0005-13810-0000</t>
  </si>
  <si>
    <t>LPI0005-13811-0000</t>
  </si>
  <si>
    <t>LPI0005-13811-1000</t>
  </si>
  <si>
    <t>LPI0005-13812-0000</t>
  </si>
  <si>
    <t>LPI0005-13812-1000</t>
  </si>
  <si>
    <t>LPI0005-13813-0000</t>
  </si>
  <si>
    <t>LPI0005-13813-1000</t>
  </si>
  <si>
    <t>LPI0005-13820-0000</t>
  </si>
  <si>
    <t>LPI0005-13820-1000</t>
  </si>
  <si>
    <t>LPI0005-13821-0000</t>
  </si>
  <si>
    <t>LPI0005-13821-1000</t>
  </si>
  <si>
    <t>LPI0005-13822-0000</t>
  </si>
  <si>
    <t>LPI0005-13822-1000</t>
  </si>
  <si>
    <t>LPI0005-14100-0000</t>
  </si>
  <si>
    <t>LPI0005-15000-0000</t>
  </si>
  <si>
    <t>LPI0005-15500-0000</t>
  </si>
  <si>
    <t>LPI0005-15600-0000</t>
  </si>
  <si>
    <t>LPI0005-15700-0000</t>
  </si>
  <si>
    <t>LPI0005-15800-0000</t>
  </si>
  <si>
    <t>LPI0005-16000-0000</t>
  </si>
  <si>
    <t>LPI0005-17000-0000</t>
  </si>
  <si>
    <t>LPI0005-18000-0000</t>
  </si>
  <si>
    <t>LPI0005-22000-0000</t>
  </si>
  <si>
    <t>LPI0005-22001-0000</t>
  </si>
  <si>
    <t>LPI0005-22003-0000</t>
  </si>
  <si>
    <t>LPI0005-22005-0000</t>
  </si>
  <si>
    <t>LPI0005-22310-0000</t>
  </si>
  <si>
    <t>LPI0005-22800-0000</t>
  </si>
  <si>
    <t>LPI0005-22801-0000</t>
  </si>
  <si>
    <t>LPI0005-22810-0000</t>
  </si>
  <si>
    <t>LPI0005-22900-0000</t>
  </si>
  <si>
    <t>LPI0005-22905-0000</t>
  </si>
  <si>
    <t>LPI0005-22906-0000</t>
  </si>
  <si>
    <t>LPI0005-23000-0000</t>
  </si>
  <si>
    <t>LPI0005-23100-0000</t>
  </si>
  <si>
    <t>LPI0005-23500-0000</t>
  </si>
  <si>
    <t>LPI0005-23501-0000</t>
  </si>
  <si>
    <t>LPI0005-23509-0000</t>
  </si>
  <si>
    <t>LPI0005-23700-0000</t>
  </si>
  <si>
    <t>LPI0005-23800-0000</t>
  </si>
  <si>
    <t>LPI0005-24200-0000</t>
  </si>
  <si>
    <t>LPI0005-24300-0000</t>
  </si>
  <si>
    <t>LPI0005-24400-0000</t>
  </si>
  <si>
    <t>LPI0005-24500-0000</t>
  </si>
  <si>
    <t>LPI0005-24600-0000</t>
  </si>
  <si>
    <t>LPI0005-25005-0000</t>
  </si>
  <si>
    <t>LPI0005-25009-0000</t>
  </si>
  <si>
    <t>LPI0005-25600-0000</t>
  </si>
  <si>
    <t>LPI0005-25601-0000</t>
  </si>
  <si>
    <t>LPI0005-25602-0000</t>
  </si>
  <si>
    <t>LPI0005-25603-0000</t>
  </si>
  <si>
    <t>LPI0005-25604-0000</t>
  </si>
  <si>
    <t>LPI0005-28000-0000</t>
  </si>
  <si>
    <t>LPI0005-28001-0000</t>
  </si>
  <si>
    <t>LPI0005-28002-0000</t>
  </si>
  <si>
    <t>LPI0005-28003-0000</t>
  </si>
  <si>
    <t>LPI0005-28004-0000</t>
  </si>
  <si>
    <t>LPI0005-28005-0000</t>
  </si>
  <si>
    <t>LPI0005-28006-0000</t>
  </si>
  <si>
    <t>LPI0005-28007-0000</t>
  </si>
  <si>
    <t>LPI0005-28008-0000</t>
  </si>
  <si>
    <t>LPI0005-28009-0000</t>
  </si>
  <si>
    <t>LPI0005-28010-0000</t>
  </si>
  <si>
    <t>LPI0005-28011-0000</t>
  </si>
  <si>
    <t>LPI0005-28012-0000</t>
  </si>
  <si>
    <t>LPI0005-28013-0000</t>
  </si>
  <si>
    <t>LPI0005-28014-0000</t>
  </si>
  <si>
    <t>LPI0005-28015-0000</t>
  </si>
  <si>
    <t>LPI0005-28016-0000</t>
  </si>
  <si>
    <t>LPI0005-28017-0000</t>
  </si>
  <si>
    <t>LPI0005-28018-0000</t>
  </si>
  <si>
    <t>LPI0005-28019-0000</t>
  </si>
  <si>
    <t>LPI0005-28020-0000</t>
  </si>
  <si>
    <t>LPI0005-28021-0000</t>
  </si>
  <si>
    <t>LPI0005-28022-0000</t>
  </si>
  <si>
    <t>LPI0005-28023-0000</t>
  </si>
  <si>
    <t>LPI0005-28024-0000</t>
  </si>
  <si>
    <t>LPI0005-30101-0000</t>
  </si>
  <si>
    <t>LPI0005-30501-0000</t>
  </si>
  <si>
    <t>LPI0005-31001-0000</t>
  </si>
  <si>
    <t>LPI0005-31002-0000</t>
  </si>
  <si>
    <t>LPI0005-31003-0000</t>
  </si>
  <si>
    <t>LPI0005-31005-0000</t>
  </si>
  <si>
    <t>LPI0005-31007-0000</t>
  </si>
  <si>
    <t>LPI0005-31008-0000</t>
  </si>
  <si>
    <t>LPI0005-31009-0000</t>
  </si>
  <si>
    <t>LPI0005-31010-0000</t>
  </si>
  <si>
    <t>LPI0005-31012-0000</t>
  </si>
  <si>
    <t>LPI0005-31015-0000</t>
  </si>
  <si>
    <t>LPI0005-31016-0000</t>
  </si>
  <si>
    <t>LPI0005-31018-0000</t>
  </si>
  <si>
    <t>LPI0005-31801-0000</t>
  </si>
  <si>
    <t>LPI0005-31802-0000</t>
  </si>
  <si>
    <t>LPI0005-31803-0000</t>
  </si>
  <si>
    <t>LPI0005-31804-0000</t>
  </si>
  <si>
    <t>LPI0005-31900-0000</t>
  </si>
  <si>
    <t>LPI0005-36000-0000</t>
  </si>
  <si>
    <t>LPI0005-36002-0000</t>
  </si>
  <si>
    <t>LPI0005-36003-0000</t>
  </si>
  <si>
    <t>LPI0005-36004-0000</t>
  </si>
  <si>
    <t>LPI0005-36005-0000</t>
  </si>
  <si>
    <t>LPI0005-36006-0000</t>
  </si>
  <si>
    <t>LPI0005-36008-0000</t>
  </si>
  <si>
    <t>LPI0005-36018-0000</t>
  </si>
  <si>
    <t>LPI0005-36801-0000</t>
  </si>
  <si>
    <t>LPI0005-36802-0000</t>
  </si>
  <si>
    <t>LPI0005-36803-0000</t>
  </si>
  <si>
    <t>LPI0005-36804-0000</t>
  </si>
  <si>
    <t>LPI0005-36900-0000</t>
  </si>
  <si>
    <t>LPI0005-36901-0000</t>
  </si>
  <si>
    <t>LPI0005-38100-0000</t>
  </si>
  <si>
    <t>LPI0005-38100-1000</t>
  </si>
  <si>
    <t>LPI0005-40110-0000</t>
  </si>
  <si>
    <t>LPI0005-40120-0000</t>
  </si>
  <si>
    <t>LPI0005-40130-0000</t>
  </si>
  <si>
    <t>LPI0005-40140-0000</t>
  </si>
  <si>
    <t>LPI0005-41110-0000</t>
  </si>
  <si>
    <t>LPI0005-41112-0000</t>
  </si>
  <si>
    <t>LPI0005-41120-0000</t>
  </si>
  <si>
    <t>LPI0005-42110-0000</t>
  </si>
  <si>
    <t>LPI0005-42130-0000</t>
  </si>
  <si>
    <t>LPI0005-42140-0000</t>
  </si>
  <si>
    <t>LPI0005-42150-0000</t>
  </si>
  <si>
    <t>LPI0005-42160-0000</t>
  </si>
  <si>
    <t>LPI0005-42405-0000</t>
  </si>
  <si>
    <t>LPI0005-43120-0000</t>
  </si>
  <si>
    <t>LPI0005-43121-0000</t>
  </si>
  <si>
    <t>LPI0005-43200-0000</t>
  </si>
  <si>
    <t>LPI0005-43410-0000</t>
  </si>
  <si>
    <t>LPI0005-43420-0000</t>
  </si>
  <si>
    <t>LPI0005-43430-0000</t>
  </si>
  <si>
    <t>LPI0005-43440-0000</t>
  </si>
  <si>
    <t>LPI0005-43450-0000</t>
  </si>
  <si>
    <t>LPI0005-43480-0000</t>
  </si>
  <si>
    <t>LPI0005-43490-0000</t>
  </si>
  <si>
    <t>LPI0005-43491-0000</t>
  </si>
  <si>
    <t>LPI0005-43492-0000</t>
  </si>
  <si>
    <t>LPI0005-43493-0000</t>
  </si>
  <si>
    <t>LPI0005-43494-0000</t>
  </si>
  <si>
    <t>LPI0005-43495-0000</t>
  </si>
  <si>
    <t>LPI0005-44000-0000</t>
  </si>
  <si>
    <t>LPI0005-46000-0000</t>
  </si>
  <si>
    <t>LPI0005-47300-0000</t>
  </si>
  <si>
    <t>LPI0005-47550-0000</t>
  </si>
  <si>
    <t>LPI0005-49500-9999</t>
  </si>
  <si>
    <t>LPI0005-51001-0000</t>
  </si>
  <si>
    <t>LPI0005-51002-0000</t>
  </si>
  <si>
    <t>LPI0005-51003-0000</t>
  </si>
  <si>
    <t>LPI0005-51004-0000</t>
  </si>
  <si>
    <t>LPI0005-51005-0000</t>
  </si>
  <si>
    <t>LPI0005-51006-0000</t>
  </si>
  <si>
    <t>LPI0005-51007-0000</t>
  </si>
  <si>
    <t>LPI0005-51008-0000</t>
  </si>
  <si>
    <t>LPI0005-51009-0000</t>
  </si>
  <si>
    <t>LPI0005-51010-0000</t>
  </si>
  <si>
    <t>LPI0005-51011-0000</t>
  </si>
  <si>
    <t>LPI0005-51012-0000</t>
  </si>
  <si>
    <t>LPI0005-51013-0000</t>
  </si>
  <si>
    <t>LPI0005-51014-0000</t>
  </si>
  <si>
    <t>LPI0005-51015-0000</t>
  </si>
  <si>
    <t>LPI0005-51018-0000</t>
  </si>
  <si>
    <t>LPI0005-51019-0000</t>
  </si>
  <si>
    <t>LPI0005-51020-0000</t>
  </si>
  <si>
    <t>LPI0005-51021-0000</t>
  </si>
  <si>
    <t>LPI0005-51022-0000</t>
  </si>
  <si>
    <t>LPI0005-51023-0000</t>
  </si>
  <si>
    <t>LPI0005-51024-0000</t>
  </si>
  <si>
    <t>LPI0005-51025-0000</t>
  </si>
  <si>
    <t>LPI0005-51026-0000</t>
  </si>
  <si>
    <t>LPI0005-51027-0000</t>
  </si>
  <si>
    <t>LPI0005-51028-0000</t>
  </si>
  <si>
    <t>LPI0005-51029-0000</t>
  </si>
  <si>
    <t>LPI0005-51030-0000</t>
  </si>
  <si>
    <t>LPI0005-51350-0000</t>
  </si>
  <si>
    <t>LPI0005-52001-0000</t>
  </si>
  <si>
    <t>LPI0005-52002-0000</t>
  </si>
  <si>
    <t>LPI0005-52003-0000</t>
  </si>
  <si>
    <t>LPI0005-52005-0000</t>
  </si>
  <si>
    <t>LPI0005-52007-0000</t>
  </si>
  <si>
    <t>LPI0005-52008-0000</t>
  </si>
  <si>
    <t>LPI0005-53001-0000</t>
  </si>
  <si>
    <t>LPI0005-53002-0000</t>
  </si>
  <si>
    <t>LPI0005-53003-0000</t>
  </si>
  <si>
    <t>LPI0005-53004-0000</t>
  </si>
  <si>
    <t>LPI0005-53005-0000</t>
  </si>
  <si>
    <t>LPI0005-53006-0000</t>
  </si>
  <si>
    <t>LPI0005-53007-0000</t>
  </si>
  <si>
    <t>LPI0005-53011-0000</t>
  </si>
  <si>
    <t>LPI0005-54001-0000</t>
  </si>
  <si>
    <t>LPI0005-54002-0000</t>
  </si>
  <si>
    <t>LPI0005-54003-0000</t>
  </si>
  <si>
    <t>LPI0005-54004-0000</t>
  </si>
  <si>
    <t>LPI0005-54005-0000</t>
  </si>
  <si>
    <t>LPI0005-54006-0000</t>
  </si>
  <si>
    <t>LPI0005-54007-0000</t>
  </si>
  <si>
    <t>LPI0005-54100-0000</t>
  </si>
  <si>
    <t>LPI0005-61001-0000</t>
  </si>
  <si>
    <t>LPI0005-61002-0000</t>
  </si>
  <si>
    <t>LPI0005-61003-0000</t>
  </si>
  <si>
    <t>LPI0005-61004-0000</t>
  </si>
  <si>
    <t>LPI0005-61005-0000</t>
  </si>
  <si>
    <t>LPI0005-61006-0000</t>
  </si>
  <si>
    <t>LPI0005-61007-0000</t>
  </si>
  <si>
    <t>LPI0005-61008-0000</t>
  </si>
  <si>
    <t>LPI0005-61009-0000</t>
  </si>
  <si>
    <t>LPI0005-61010-0000</t>
  </si>
  <si>
    <t>LPI0005-61011-0000</t>
  </si>
  <si>
    <t>LPI0005-61012-0000</t>
  </si>
  <si>
    <t>LPI0005-61013-0000</t>
  </si>
  <si>
    <t>LPI0005-61014-0000</t>
  </si>
  <si>
    <t>LPI0005-61015-0000</t>
  </si>
  <si>
    <t>LPI0005-61016-0000</t>
  </si>
  <si>
    <t>LPI0005-61017-0000</t>
  </si>
  <si>
    <t>LPI0005-61021-0000</t>
  </si>
  <si>
    <t>LPI0005-61022-0000</t>
  </si>
  <si>
    <t>LPI0005-61023-0000</t>
  </si>
  <si>
    <t>LPI0005-61024-0000</t>
  </si>
  <si>
    <t>LPI0005-61025-0000</t>
  </si>
  <si>
    <t>LPI0005-71010-0000</t>
  </si>
  <si>
    <t>LPI0005-71020-0000</t>
  </si>
  <si>
    <t>LPI0005-71030-0000</t>
  </si>
  <si>
    <t>LPI0005-71040-0000</t>
  </si>
  <si>
    <t>LPI0005-71050-0000</t>
  </si>
  <si>
    <t>LPI0005-71060-0000</t>
  </si>
  <si>
    <t>LPI0005-71070-0000</t>
  </si>
  <si>
    <t>LPI0005-71080-0000</t>
  </si>
  <si>
    <t>LPI0005-71090-0000</t>
  </si>
  <si>
    <t>LPI0005-71100-0000</t>
  </si>
  <si>
    <t>LPI0005-71110-0000</t>
  </si>
  <si>
    <t>LPI0005-73101-0000</t>
  </si>
  <si>
    <t>LPI0005-73103-0000</t>
  </si>
  <si>
    <t>LPI0005-73105-0000</t>
  </si>
  <si>
    <t>LPI0005-80006-0000</t>
  </si>
  <si>
    <t>LPI0005-80061-0000</t>
  </si>
  <si>
    <t>LPI0005-81019-0000</t>
  </si>
  <si>
    <t>LPI0005-81220-0000</t>
  </si>
  <si>
    <t>LPI0005-81228-0000</t>
  </si>
  <si>
    <t>LPI0005-81400-0000</t>
  </si>
  <si>
    <t>LPI0005-82900-0000</t>
  </si>
  <si>
    <t>LPI0005-85500-0000</t>
  </si>
  <si>
    <t>LPI0005-85700-0000</t>
  </si>
  <si>
    <t>MAR-10003-0000</t>
  </si>
  <si>
    <t>MAR-10004-0000</t>
  </si>
  <si>
    <t>MAR-10005-0000</t>
  </si>
  <si>
    <t>MAR-10006-0000</t>
  </si>
  <si>
    <t>MAR-10009-0000</t>
  </si>
  <si>
    <t>MAR-10010-0000</t>
  </si>
  <si>
    <t>MAR-10011-0000</t>
  </si>
  <si>
    <t>MAR-10012-0000</t>
  </si>
  <si>
    <t>MAR-10023-0000</t>
  </si>
  <si>
    <t>MAR-10024-0000</t>
  </si>
  <si>
    <t>MAR-10027-0000</t>
  </si>
  <si>
    <t>MAR-10050-0000</t>
  </si>
  <si>
    <t>MAR-11200-0000</t>
  </si>
  <si>
    <t>MAR-11201-0000</t>
  </si>
  <si>
    <t>MAR-11202-0000</t>
  </si>
  <si>
    <t>MAR-11203-0000</t>
  </si>
  <si>
    <t>MAR-11204-0000</t>
  </si>
  <si>
    <t>MAR-11208-0000</t>
  </si>
  <si>
    <t>MAR-11210-0000</t>
  </si>
  <si>
    <t>MAR-11212-0000</t>
  </si>
  <si>
    <t>MAR-11214-0000</t>
  </si>
  <si>
    <t>MAR-11215-0000</t>
  </si>
  <si>
    <t>MAR-11232-0000</t>
  </si>
  <si>
    <t>MAR-11301-0000</t>
  </si>
  <si>
    <t>MAR-11302-0000</t>
  </si>
  <si>
    <t>MAR-11303-0000</t>
  </si>
  <si>
    <t>MAR-11304-0000</t>
  </si>
  <si>
    <t>MAR-11305-0000</t>
  </si>
  <si>
    <t>MAR-11307-0000</t>
  </si>
  <si>
    <t>MAR-11308-0000</t>
  </si>
  <si>
    <t>MAR-11309-0000</t>
  </si>
  <si>
    <t>MAR-11310-0000</t>
  </si>
  <si>
    <t>MAR-11311-0000</t>
  </si>
  <si>
    <t>MAR-11312-0000</t>
  </si>
  <si>
    <t>MAR-11313-0000</t>
  </si>
  <si>
    <t>MAR-11314-0000</t>
  </si>
  <si>
    <t>MAR-11315-0000</t>
  </si>
  <si>
    <t>MAR-11316-0000</t>
  </si>
  <si>
    <t>MAR-11318-0000</t>
  </si>
  <si>
    <t>MAR-11319-0000</t>
  </si>
  <si>
    <t>MAR-11320-0000</t>
  </si>
  <si>
    <t>MAR-11321-0000</t>
  </si>
  <si>
    <t>MAR-11322-0000</t>
  </si>
  <si>
    <t>MAR-11323-0000</t>
  </si>
  <si>
    <t>MAR-11324-0000</t>
  </si>
  <si>
    <t>MAR-11325-0000</t>
  </si>
  <si>
    <t>MAR-11326-0000</t>
  </si>
  <si>
    <t>MAR-11327-0000</t>
  </si>
  <si>
    <t>MAR-11328-0000</t>
  </si>
  <si>
    <t>MAR-11329-0000</t>
  </si>
  <si>
    <t>MAR-11330-0000</t>
  </si>
  <si>
    <t>MAR-11331-0000</t>
  </si>
  <si>
    <t>MAR-11332-0000</t>
  </si>
  <si>
    <t>MAR-11333-0000</t>
  </si>
  <si>
    <t>MAR-11335-0000</t>
  </si>
  <si>
    <t>MAR-11336-0000</t>
  </si>
  <si>
    <t>MAR-11337-0000</t>
  </si>
  <si>
    <t>MAR-11338-0000</t>
  </si>
  <si>
    <t>MAR-11339-0000</t>
  </si>
  <si>
    <t>MAR-11340-0000</t>
  </si>
  <si>
    <t>MAR-11341-0000</t>
  </si>
  <si>
    <t>MAR-11342-0000</t>
  </si>
  <si>
    <t>MAR-11343-0000</t>
  </si>
  <si>
    <t>MAR-11345-0000</t>
  </si>
  <si>
    <t>MAR-11346-0000</t>
  </si>
  <si>
    <t>MAR-11347-0000</t>
  </si>
  <si>
    <t>MAR-11348-0000</t>
  </si>
  <si>
    <t>MAR-11349-0000</t>
  </si>
  <si>
    <t>MAR-11350-0000</t>
  </si>
  <si>
    <t>MAR-11351-0000</t>
  </si>
  <si>
    <t>MAR-11352-0000</t>
  </si>
  <si>
    <t>MAR-11353-0000</t>
  </si>
  <si>
    <t>MAR-11354-0000</t>
  </si>
  <si>
    <t>MAR-11355-0000</t>
  </si>
  <si>
    <t>MAR-11356-0000</t>
  </si>
  <si>
    <t>MAR-11357-0000</t>
  </si>
  <si>
    <t>MAR-11358-0000</t>
  </si>
  <si>
    <t>MAR-11359-0000</t>
  </si>
  <si>
    <t>MAR-11361-0000</t>
  </si>
  <si>
    <t>MAR-11363-0000</t>
  </si>
  <si>
    <t>MAR-11364-0000</t>
  </si>
  <si>
    <t>MAR-11365-0000</t>
  </si>
  <si>
    <t>MAR-11366-0000</t>
  </si>
  <si>
    <t>MAR-11402-0000</t>
  </si>
  <si>
    <t>MAR-11403-0000</t>
  </si>
  <si>
    <t>MAR-12100-0000</t>
  </si>
  <si>
    <t>MAR-12105-0000</t>
  </si>
  <si>
    <t>MAR-12400-0000</t>
  </si>
  <si>
    <t>MAR-12401-0000</t>
  </si>
  <si>
    <t>MAR-12402-0000</t>
  </si>
  <si>
    <t>MAR-12403-0000</t>
  </si>
  <si>
    <t>MAR-12501-0000</t>
  </si>
  <si>
    <t>MAR-12510-0000</t>
  </si>
  <si>
    <t>MAR-13010-0000</t>
  </si>
  <si>
    <t>MAR-13050-0000</t>
  </si>
  <si>
    <t>MAR-13610-0000</t>
  </si>
  <si>
    <t>MAR-13620-0000</t>
  </si>
  <si>
    <t>MAR-13810-0000</t>
  </si>
  <si>
    <t>MAR-13811-0000</t>
  </si>
  <si>
    <t>MAR-13811-1000</t>
  </si>
  <si>
    <t>MAR-13812-0000</t>
  </si>
  <si>
    <t>MAR-13812-1000</t>
  </si>
  <si>
    <t>MAR-13813-0000</t>
  </si>
  <si>
    <t>MAR-13813-1000</t>
  </si>
  <si>
    <t>MAR-13820-0000</t>
  </si>
  <si>
    <t>MAR-13820-1000</t>
  </si>
  <si>
    <t>MAR-13821-0000</t>
  </si>
  <si>
    <t>MAR-13821-1000</t>
  </si>
  <si>
    <t>MAR-13822-0000</t>
  </si>
  <si>
    <t>MAR-13822-1000</t>
  </si>
  <si>
    <t>MAR-14100-0000</t>
  </si>
  <si>
    <t>MAR-15700-0000</t>
  </si>
  <si>
    <t>MAR-15800-0000</t>
  </si>
  <si>
    <t>MAR-16000-0000</t>
  </si>
  <si>
    <t>MAR-22000-0000</t>
  </si>
  <si>
    <t>MAR-22001-0000</t>
  </si>
  <si>
    <t>MAR-22003-0000</t>
  </si>
  <si>
    <t>MAR-22005-0000</t>
  </si>
  <si>
    <t>MAR-22310-0000</t>
  </si>
  <si>
    <t>MAR-22800-0000</t>
  </si>
  <si>
    <t>MAR-22801-0000</t>
  </si>
  <si>
    <t>MAR-22810-0000</t>
  </si>
  <si>
    <t>MAR-22900-0000</t>
  </si>
  <si>
    <t>MAR-22905-0000</t>
  </si>
  <si>
    <t>MAR-22906-0000</t>
  </si>
  <si>
    <t>MAR-23000-0000</t>
  </si>
  <si>
    <t>MAR-23100-0000</t>
  </si>
  <si>
    <t>MAR-23500-0000</t>
  </si>
  <si>
    <t>MAR-23501-0000</t>
  </si>
  <si>
    <t>MAR-23700-0000</t>
  </si>
  <si>
    <t>MAR-23800-0000</t>
  </si>
  <si>
    <t>MAR-24200-0000</t>
  </si>
  <si>
    <t>MAR-24300-0000</t>
  </si>
  <si>
    <t>MAR-24400-0000</t>
  </si>
  <si>
    <t>MAR-24500-0000</t>
  </si>
  <si>
    <t>MAR-24600-0000</t>
  </si>
  <si>
    <t>MAR-25005-0000</t>
  </si>
  <si>
    <t>MAR-25009-0000</t>
  </si>
  <si>
    <t>MAR-25600-0000</t>
  </si>
  <si>
    <t>MAR-25601-0000</t>
  </si>
  <si>
    <t>MAR-25602-0000</t>
  </si>
  <si>
    <t>MAR-25603-0000</t>
  </si>
  <si>
    <t>MAR-25604-0000</t>
  </si>
  <si>
    <t>MAR-28000-0000</t>
  </si>
  <si>
    <t>MAR-28001-0000</t>
  </si>
  <si>
    <t>MAR-28002-0000</t>
  </si>
  <si>
    <t>MAR-28004-0000</t>
  </si>
  <si>
    <t>MAR-28005-0000</t>
  </si>
  <si>
    <t>MAR-28006-0000</t>
  </si>
  <si>
    <t>MAR-28007-0000</t>
  </si>
  <si>
    <t>MAR-28008-0000</t>
  </si>
  <si>
    <t>MAR-28009-0000</t>
  </si>
  <si>
    <t>MAR-28010-0000</t>
  </si>
  <si>
    <t>MAR-28011-0000</t>
  </si>
  <si>
    <t>MAR-28012-0000</t>
  </si>
  <si>
    <t>MAR-28013-0000</t>
  </si>
  <si>
    <t>MAR-28014-0000</t>
  </si>
  <si>
    <t>MAR-28015-0000</t>
  </si>
  <si>
    <t>MAR-28016-0000</t>
  </si>
  <si>
    <t>MAR-28017-0000</t>
  </si>
  <si>
    <t>MAR-28018-0000</t>
  </si>
  <si>
    <t>MAR-28019-0000</t>
  </si>
  <si>
    <t>MAR-28020-0000</t>
  </si>
  <si>
    <t>MAR-28021-0000</t>
  </si>
  <si>
    <t>MAR-28022-0000</t>
  </si>
  <si>
    <t>MAR-28023-0000</t>
  </si>
  <si>
    <t>MAR-28024-0000</t>
  </si>
  <si>
    <t>MAR-30101-0000</t>
  </si>
  <si>
    <t>MAR-30501-0000</t>
  </si>
  <si>
    <t>MAR-31001-0000</t>
  </si>
  <si>
    <t>MAR-31002-0000</t>
  </si>
  <si>
    <t>MAR-31003-0000</t>
  </si>
  <si>
    <t>MAR-31005-0000</t>
  </si>
  <si>
    <t>MAR-31007-0000</t>
  </si>
  <si>
    <t>MAR-31008-0000</t>
  </si>
  <si>
    <t>MAR-31009-0000</t>
  </si>
  <si>
    <t>MAR-31010-0000</t>
  </si>
  <si>
    <t>MAR-31012-0000</t>
  </si>
  <si>
    <t>MAR-31015-0000</t>
  </si>
  <si>
    <t>MAR-31016-0000</t>
  </si>
  <si>
    <t>MAR-31018-0000</t>
  </si>
  <si>
    <t>MAR-31801-0000</t>
  </si>
  <si>
    <t>MAR-31802-0000</t>
  </si>
  <si>
    <t>MAR-31803-0000</t>
  </si>
  <si>
    <t>MAR-31804-0000</t>
  </si>
  <si>
    <t>MAR-31900-0000</t>
  </si>
  <si>
    <t>MAR-36000-0000</t>
  </si>
  <si>
    <t>MAR-36002-0000</t>
  </si>
  <si>
    <t>MAR-36003-0000</t>
  </si>
  <si>
    <t>MAR-36004-0000</t>
  </si>
  <si>
    <t>MAR-36005-0000</t>
  </si>
  <si>
    <t>MAR-36006-0000</t>
  </si>
  <si>
    <t>MAR-36008-0000</t>
  </si>
  <si>
    <t>MAR-36018-0000</t>
  </si>
  <si>
    <t>MAR-36801-0000</t>
  </si>
  <si>
    <t>MAR-36802-0000</t>
  </si>
  <si>
    <t>MAR-36803-0000</t>
  </si>
  <si>
    <t>MAR-36804-0000</t>
  </si>
  <si>
    <t>MAR-36900-0000</t>
  </si>
  <si>
    <t>MAR-36901-0000</t>
  </si>
  <si>
    <t>MAR-38100-0000</t>
  </si>
  <si>
    <t>MAR-38100-1000</t>
  </si>
  <si>
    <t>MAR-41112-0000</t>
  </si>
  <si>
    <t>MAR-41120-0000</t>
  </si>
  <si>
    <t>MAR-42110-0000</t>
  </si>
  <si>
    <t>MAR-42130-0000</t>
  </si>
  <si>
    <t>MAR-42140-0000</t>
  </si>
  <si>
    <t>MAR-42150-0000</t>
  </si>
  <si>
    <t>MAR-42160-0000</t>
  </si>
  <si>
    <t>MAR-42405-0000</t>
  </si>
  <si>
    <t>MAR-43120-0000</t>
  </si>
  <si>
    <t>MAR-43121-0000</t>
  </si>
  <si>
    <t>MAR-43200-0000</t>
  </si>
  <si>
    <t>MAR-43410-0000</t>
  </si>
  <si>
    <t>MAR-43420-0000</t>
  </si>
  <si>
    <t>MAR-43430-0000</t>
  </si>
  <si>
    <t>MAR-43440-0000</t>
  </si>
  <si>
    <t>MAR-43450-0000</t>
  </si>
  <si>
    <t>MAR-43480-0000</t>
  </si>
  <si>
    <t>MAR-43490-0000</t>
  </si>
  <si>
    <t>MAR-43491-0000</t>
  </si>
  <si>
    <t>MAR-43492-0000</t>
  </si>
  <si>
    <t>MAR-43493-0000</t>
  </si>
  <si>
    <t>MAR-43494-0000</t>
  </si>
  <si>
    <t>MAR-43495-0000</t>
  </si>
  <si>
    <t>MAR-44000-0000</t>
  </si>
  <si>
    <t>MAR-46000-0000</t>
  </si>
  <si>
    <t>MAR-47300-0000</t>
  </si>
  <si>
    <t>MAR-47550-0000</t>
  </si>
  <si>
    <t>MAR-49500-9999</t>
  </si>
  <si>
    <t>MAR-51001-0000</t>
  </si>
  <si>
    <t>MAR-51002-0000</t>
  </si>
  <si>
    <t>MAR-51003-0000</t>
  </si>
  <si>
    <t>MAR-51004-0000</t>
  </si>
  <si>
    <t>MAR-51010-0000</t>
  </si>
  <si>
    <t>MAR-51013-0000</t>
  </si>
  <si>
    <t>MAR-51014-0000</t>
  </si>
  <si>
    <t>MAR-51018-0000</t>
  </si>
  <si>
    <t>MAR-51019-0000</t>
  </si>
  <si>
    <t>MAR-51020-0000</t>
  </si>
  <si>
    <t>MAR-51021-0000</t>
  </si>
  <si>
    <t>MAR-51022-0000</t>
  </si>
  <si>
    <t>MAR-51023-0000</t>
  </si>
  <si>
    <t>MAR-51024-0000</t>
  </si>
  <si>
    <t>MAR-51026-0000</t>
  </si>
  <si>
    <t>MAR-51027-0000</t>
  </si>
  <si>
    <t>MAR-51028-0000</t>
  </si>
  <si>
    <t>MAR-51029-0000</t>
  </si>
  <si>
    <t>MAR-51030-0000</t>
  </si>
  <si>
    <t>MAR-51350-0000</t>
  </si>
  <si>
    <t>MAR-52001-0000</t>
  </si>
  <si>
    <t>MAR-52002-0000</t>
  </si>
  <si>
    <t>MAR-52005-0000</t>
  </si>
  <si>
    <t>MAR-52007-0000</t>
  </si>
  <si>
    <t>MAR-52008-0000</t>
  </si>
  <si>
    <t>MAR-53007-0000</t>
  </si>
  <si>
    <t>MAR-53011-0000</t>
  </si>
  <si>
    <t>MAR-54100-0000</t>
  </si>
  <si>
    <t>MAR-61001-0000</t>
  </si>
  <si>
    <t>MAR-61002-0000</t>
  </si>
  <si>
    <t>MAR-61003-0000</t>
  </si>
  <si>
    <t>MAR-61004-0000</t>
  </si>
  <si>
    <t>MAR-61005-0000</t>
  </si>
  <si>
    <t>MAR-61006-0000</t>
  </si>
  <si>
    <t>MAR-61007-0000</t>
  </si>
  <si>
    <t>MAR-61008-0000</t>
  </si>
  <si>
    <t>MAR-61009-0000</t>
  </si>
  <si>
    <t>MAR-61010-0000</t>
  </si>
  <si>
    <t>MAR-61011-0000</t>
  </si>
  <si>
    <t>MAR-61012-0000</t>
  </si>
  <si>
    <t>MAR-61013-0000</t>
  </si>
  <si>
    <t>MAR-61014-0000</t>
  </si>
  <si>
    <t>MAR-61015-0000</t>
  </si>
  <si>
    <t>MAR-61016-0000</t>
  </si>
  <si>
    <t>MAR-61017-0000</t>
  </si>
  <si>
    <t>MAR-61021-0000</t>
  </si>
  <si>
    <t>MAR-61022-0000</t>
  </si>
  <si>
    <t>MAR-61023-0000</t>
  </si>
  <si>
    <t>MAR-61024-0000</t>
  </si>
  <si>
    <t>MAR-61025-0000</t>
  </si>
  <si>
    <t>MAR-71010-0000</t>
  </si>
  <si>
    <t>MAR-71020-0000</t>
  </si>
  <si>
    <t>MAR-71030-0000</t>
  </si>
  <si>
    <t>MAR-71040-0000</t>
  </si>
  <si>
    <t>MAR-71050-0000</t>
  </si>
  <si>
    <t>MAR-71060-0000</t>
  </si>
  <si>
    <t>MAR-71070-0000</t>
  </si>
  <si>
    <t>MAR-71080-0000</t>
  </si>
  <si>
    <t>MAR-71090-0000</t>
  </si>
  <si>
    <t>MAR-71100-0000</t>
  </si>
  <si>
    <t>MAR-71110-0000</t>
  </si>
  <si>
    <t>MAR-73101-0000</t>
  </si>
  <si>
    <t>MAR-73103-0000</t>
  </si>
  <si>
    <t>MAR-73105-0000</t>
  </si>
  <si>
    <t>MAR-80006-0000</t>
  </si>
  <si>
    <t>MAR-80061-0000</t>
  </si>
  <si>
    <t>MAR-81019-0000</t>
  </si>
  <si>
    <t>MAR-81220-0000</t>
  </si>
  <si>
    <t>MAR-81228-0000</t>
  </si>
  <si>
    <t>MAR-81400-0000</t>
  </si>
  <si>
    <t>MAR-82900-0000</t>
  </si>
  <si>
    <t>MAR-85500-0000</t>
  </si>
  <si>
    <t>MAR-85700-0000</t>
  </si>
  <si>
    <t>NEP-10003-0000</t>
  </si>
  <si>
    <t>NEP-10004-0000</t>
  </si>
  <si>
    <t>NEP-10005-0000</t>
  </si>
  <si>
    <t>NEP-10006-0000</t>
  </si>
  <si>
    <t>NEP-10009-0000</t>
  </si>
  <si>
    <t>NEP-10010-0000</t>
  </si>
  <si>
    <t>NEP-10011-0000</t>
  </si>
  <si>
    <t>NEP-10012-0000</t>
  </si>
  <si>
    <t>NEP-10023-0000</t>
  </si>
  <si>
    <t>NEP-10024-0000</t>
  </si>
  <si>
    <t>NEP-10027-0000</t>
  </si>
  <si>
    <t>NEP-10050-0000</t>
  </si>
  <si>
    <t>NEP-11200-0000</t>
  </si>
  <si>
    <t>NEP-11201-0000</t>
  </si>
  <si>
    <t>NEP-11202-0000</t>
  </si>
  <si>
    <t>NEP-11203-0000</t>
  </si>
  <si>
    <t>NEP-11204-0000</t>
  </si>
  <si>
    <t>NEP-11208-0000</t>
  </si>
  <si>
    <t>NEP-11210-0000</t>
  </si>
  <si>
    <t>NEP-11212-0000</t>
  </si>
  <si>
    <t>NEP-11214-0000</t>
  </si>
  <si>
    <t>NEP-11215-0000</t>
  </si>
  <si>
    <t>NEP-11232-0000</t>
  </si>
  <si>
    <t>NEP-11301-0000</t>
  </si>
  <si>
    <t>NEP-11302-0000</t>
  </si>
  <si>
    <t>NEP-11303-0000</t>
  </si>
  <si>
    <t>NEP-11304-0000</t>
  </si>
  <si>
    <t>NEP-11305-0000</t>
  </si>
  <si>
    <t>NEP-11307-0000</t>
  </si>
  <si>
    <t>NEP-11308-0000</t>
  </si>
  <si>
    <t>NEP-11309-0000</t>
  </si>
  <si>
    <t>NEP-11312-0000</t>
  </si>
  <si>
    <t>NEP-11314-0000</t>
  </si>
  <si>
    <t>NEP-11315-0000</t>
  </si>
  <si>
    <t>NEP-11316-0000</t>
  </si>
  <si>
    <t>NEP-11319-0000</t>
  </si>
  <si>
    <t>NEP-11320-0000</t>
  </si>
  <si>
    <t>NEP-11321-0000</t>
  </si>
  <si>
    <t>NEP-11322-0000</t>
  </si>
  <si>
    <t>NEP-11323-0000</t>
  </si>
  <si>
    <t>NEP-11324-0000</t>
  </si>
  <si>
    <t>NEP-11326-0000</t>
  </si>
  <si>
    <t>NEP-11327-0000</t>
  </si>
  <si>
    <t>NEP-11328-0000</t>
  </si>
  <si>
    <t>NEP-11330-0000</t>
  </si>
  <si>
    <t>NEP-11331-0000</t>
  </si>
  <si>
    <t>NEP-11333-0000</t>
  </si>
  <si>
    <t>NEP-11334-0000</t>
  </si>
  <si>
    <t>NEP-11335-0000</t>
  </si>
  <si>
    <t>NEP-11336-0000</t>
  </si>
  <si>
    <t>NEP-11337-0000</t>
  </si>
  <si>
    <t>NEP-11338-0000</t>
  </si>
  <si>
    <t>NEP-11339-0000</t>
  </si>
  <si>
    <t>NEP-11340-0000</t>
  </si>
  <si>
    <t>NEP-11341-0000</t>
  </si>
  <si>
    <t>NEP-11344-0000</t>
  </si>
  <si>
    <t>NEP-11345-0000</t>
  </si>
  <si>
    <t>NEP-11346-0000</t>
  </si>
  <si>
    <t>NEP-11347-0000</t>
  </si>
  <si>
    <t>NEP-11348-0000</t>
  </si>
  <si>
    <t>NEP-11349-0000</t>
  </si>
  <si>
    <t>NEP-11350-0000</t>
  </si>
  <si>
    <t>NEP-11351-0000</t>
  </si>
  <si>
    <t>NEP-11352-0000</t>
  </si>
  <si>
    <t>NEP-11353-0000</t>
  </si>
  <si>
    <t>NEP-11354-0000</t>
  </si>
  <si>
    <t>NEP-11355-0000</t>
  </si>
  <si>
    <t>NEP-11356-0000</t>
  </si>
  <si>
    <t>NEP-11357-0000</t>
  </si>
  <si>
    <t>NEP-11358-0000</t>
  </si>
  <si>
    <t>NEP-11359-0000</t>
  </si>
  <si>
    <t>NEP-11361-0000</t>
  </si>
  <si>
    <t>NEP-11363-0000</t>
  </si>
  <si>
    <t>NEP-11364-0000</t>
  </si>
  <si>
    <t>NEP-11365-0000</t>
  </si>
  <si>
    <t>NEP-11366-0000</t>
  </si>
  <si>
    <t>NEP-11402-0000</t>
  </si>
  <si>
    <t>NEP-11403-0000</t>
  </si>
  <si>
    <t>NEP-12100-0000</t>
  </si>
  <si>
    <t>NEP-12105-0000</t>
  </si>
  <si>
    <t>NEP-12400-0000</t>
  </si>
  <si>
    <t>NEP-12401-0000</t>
  </si>
  <si>
    <t>NEP-12402-0000</t>
  </si>
  <si>
    <t>NEP-12403-0000</t>
  </si>
  <si>
    <t>NEP-12501-0000</t>
  </si>
  <si>
    <t>NEP-12510-0000</t>
  </si>
  <si>
    <t>NEP-13010-0000</t>
  </si>
  <si>
    <t>NEP-13050-0000</t>
  </si>
  <si>
    <t>NEP-13610-0000</t>
  </si>
  <si>
    <t>NEP-13620-0000</t>
  </si>
  <si>
    <t>NEP-13810-0000</t>
  </si>
  <si>
    <t>NEP-13811-0000</t>
  </si>
  <si>
    <t>NEP-13811-1000</t>
  </si>
  <si>
    <t>NEP-13812-0000</t>
  </si>
  <si>
    <t>NEP-13812-1000</t>
  </si>
  <si>
    <t>NEP-13813-0000</t>
  </si>
  <si>
    <t>NEP-13813-1000</t>
  </si>
  <si>
    <t>NEP-13820-0000</t>
  </si>
  <si>
    <t>NEP-13820-1000</t>
  </si>
  <si>
    <t>NEP-13821-0000</t>
  </si>
  <si>
    <t>NEP-13821-1000</t>
  </si>
  <si>
    <t>NEP-13822-0000</t>
  </si>
  <si>
    <t>NEP-13822-1000</t>
  </si>
  <si>
    <t>NEP-14100-0000</t>
  </si>
  <si>
    <t>NEP-15700-0000</t>
  </si>
  <si>
    <t>NEP-15800-0000</t>
  </si>
  <si>
    <t>NEP-22000-0000</t>
  </si>
  <si>
    <t>NEP-22001-0000</t>
  </si>
  <si>
    <t>NEP-22003-0000</t>
  </si>
  <si>
    <t>NEP-22005-0000</t>
  </si>
  <si>
    <t>NEP-22310-0000</t>
  </si>
  <si>
    <t>NEP-22800-0000</t>
  </si>
  <si>
    <t>NEP-22801-0000</t>
  </si>
  <si>
    <t>NEP-22810-0000</t>
  </si>
  <si>
    <t>NEP-22900-0000</t>
  </si>
  <si>
    <t>NEP-22905-0000</t>
  </si>
  <si>
    <t>NEP-22906-0000</t>
  </si>
  <si>
    <t>NEP-23000-0000</t>
  </si>
  <si>
    <t>NEP-23100-0000</t>
  </si>
  <si>
    <t>NEP-23500-0000</t>
  </si>
  <si>
    <t>NEP-23501-0000</t>
  </si>
  <si>
    <t>NEP-23700-0000</t>
  </si>
  <si>
    <t>NEP-23800-0000</t>
  </si>
  <si>
    <t>NEP-24200-0000</t>
  </si>
  <si>
    <t>NEP-24300-0000</t>
  </si>
  <si>
    <t>NEP-24400-0000</t>
  </si>
  <si>
    <t>NEP-24500-0000</t>
  </si>
  <si>
    <t>NEP-24600-0000</t>
  </si>
  <si>
    <t>NEP-25005-0000</t>
  </si>
  <si>
    <t>NEP-25009-0000</t>
  </si>
  <si>
    <t>NEP-25600-0000</t>
  </si>
  <si>
    <t>NEP-25601-0000</t>
  </si>
  <si>
    <t>NEP-25602-0000</t>
  </si>
  <si>
    <t>NEP-25603-0000</t>
  </si>
  <si>
    <t>NEP-25604-0000</t>
  </si>
  <si>
    <t>NEP-28000-0000</t>
  </si>
  <si>
    <t>NEP-28002-0000</t>
  </si>
  <si>
    <t>NEP-28003-0000</t>
  </si>
  <si>
    <t>NEP-28004-0000</t>
  </si>
  <si>
    <t>NEP-28005-0000</t>
  </si>
  <si>
    <t>NEP-28006-0000</t>
  </si>
  <si>
    <t>NEP-28007-0000</t>
  </si>
  <si>
    <t>NEP-28008-0000</t>
  </si>
  <si>
    <t>NEP-28009-0000</t>
  </si>
  <si>
    <t>NEP-28010-0000</t>
  </si>
  <si>
    <t>NEP-28011-0000</t>
  </si>
  <si>
    <t>NEP-28012-0000</t>
  </si>
  <si>
    <t>NEP-28013-0000</t>
  </si>
  <si>
    <t>NEP-28014-0000</t>
  </si>
  <si>
    <t>NEP-28015-0000</t>
  </si>
  <si>
    <t>NEP-28016-0000</t>
  </si>
  <si>
    <t>NEP-28017-0000</t>
  </si>
  <si>
    <t>NEP-28018-0000</t>
  </si>
  <si>
    <t>NEP-28019-0000</t>
  </si>
  <si>
    <t>NEP-28020-0000</t>
  </si>
  <si>
    <t>NEP-28021-0000</t>
  </si>
  <si>
    <t>NEP-28022-0000</t>
  </si>
  <si>
    <t>NEP-28023-0000</t>
  </si>
  <si>
    <t>NEP-28024-0000</t>
  </si>
  <si>
    <t>NEP-30101-0000</t>
  </si>
  <si>
    <t>NEP-30501-0000</t>
  </si>
  <si>
    <t>NEP-31001-0000</t>
  </si>
  <si>
    <t>NEP-31002-0000</t>
  </si>
  <si>
    <t>NEP-31003-0000</t>
  </si>
  <si>
    <t>NEP-31005-0000</t>
  </si>
  <si>
    <t>NEP-31007-0000</t>
  </si>
  <si>
    <t>NEP-31008-0000</t>
  </si>
  <si>
    <t>NEP-31009-0000</t>
  </si>
  <si>
    <t>NEP-31010-0000</t>
  </si>
  <si>
    <t>NEP-31012-0000</t>
  </si>
  <si>
    <t>NEP-31015-0000</t>
  </si>
  <si>
    <t>NEP-31016-0000</t>
  </si>
  <si>
    <t>NEP-31018-0000</t>
  </si>
  <si>
    <t>NEP-31801-0000</t>
  </si>
  <si>
    <t>NEP-31802-0000</t>
  </si>
  <si>
    <t>NEP-31803-0000</t>
  </si>
  <si>
    <t>NEP-31804-0000</t>
  </si>
  <si>
    <t>NEP-31900-0000</t>
  </si>
  <si>
    <t>NEP-36000-0000</t>
  </si>
  <si>
    <t>NEP-36002-0000</t>
  </si>
  <si>
    <t>NEP-36003-0000</t>
  </si>
  <si>
    <t>NEP-36004-0000</t>
  </si>
  <si>
    <t>NEP-36005-0000</t>
  </si>
  <si>
    <t>NEP-36006-0000</t>
  </si>
  <si>
    <t>NEP-36008-0000</t>
  </si>
  <si>
    <t>NEP-36018-0000</t>
  </si>
  <si>
    <t>NEP-36801-0000</t>
  </si>
  <si>
    <t>NEP-36802-0000</t>
  </si>
  <si>
    <t>NEP-36803-0000</t>
  </si>
  <si>
    <t>NEP-36804-0000</t>
  </si>
  <si>
    <t>NEP-36900-0000</t>
  </si>
  <si>
    <t>NEP-36901-0000</t>
  </si>
  <si>
    <t>NEP-38100-0000</t>
  </si>
  <si>
    <t>NEP-38100-1000</t>
  </si>
  <si>
    <t>NEP-41112-0000</t>
  </si>
  <si>
    <t>NEP-41120-0000</t>
  </si>
  <si>
    <t>NEP-42110-0000</t>
  </si>
  <si>
    <t>NEP-42130-0000</t>
  </si>
  <si>
    <t>NEP-42140-0000</t>
  </si>
  <si>
    <t>NEP-42150-0000</t>
  </si>
  <si>
    <t>NEP-42160-0000</t>
  </si>
  <si>
    <t>NEP-42405-0000</t>
  </si>
  <si>
    <t>NEP-43120-0000</t>
  </si>
  <si>
    <t>NEP-43121-0000</t>
  </si>
  <si>
    <t>NEP-43200-0000</t>
  </si>
  <si>
    <t>NEP-43410-0000</t>
  </si>
  <si>
    <t>NEP-43420-0000</t>
  </si>
  <si>
    <t>NEP-43430-0000</t>
  </si>
  <si>
    <t>NEP-43440-0000</t>
  </si>
  <si>
    <t>NEP-43450-0000</t>
  </si>
  <si>
    <t>NEP-43480-0000</t>
  </si>
  <si>
    <t>NEP-43490-0000</t>
  </si>
  <si>
    <t>NEP-43491-0000</t>
  </si>
  <si>
    <t>NEP-43492-0000</t>
  </si>
  <si>
    <t>NEP-43493-0000</t>
  </si>
  <si>
    <t>NEP-43494-0000</t>
  </si>
  <si>
    <t>NEP-43495-0000</t>
  </si>
  <si>
    <t>NEP-44000-0000</t>
  </si>
  <si>
    <t>NEP-46000-0000</t>
  </si>
  <si>
    <t>NEP-47300-0000</t>
  </si>
  <si>
    <t>NEP-47550-0000</t>
  </si>
  <si>
    <t>NEP-49500-9999</t>
  </si>
  <si>
    <t>NEP-51001-0000</t>
  </si>
  <si>
    <t>NEP-51002-0000</t>
  </si>
  <si>
    <t>NEP-51003-0000</t>
  </si>
  <si>
    <t>NEP-51005-0000</t>
  </si>
  <si>
    <t>NEP-51010-0000</t>
  </si>
  <si>
    <t>NEP-51013-0000</t>
  </si>
  <si>
    <t>NEP-51014-0000</t>
  </si>
  <si>
    <t>NEP-51018-0000</t>
  </si>
  <si>
    <t>NEP-51019-0000</t>
  </si>
  <si>
    <t>NEP-51021-0000</t>
  </si>
  <si>
    <t>NEP-51022-0000</t>
  </si>
  <si>
    <t>NEP-51024-0000</t>
  </si>
  <si>
    <t>NEP-51026-0000</t>
  </si>
  <si>
    <t>NEP-51027-0000</t>
  </si>
  <si>
    <t>NEP-51028-0000</t>
  </si>
  <si>
    <t>NEP-51029-0000</t>
  </si>
  <si>
    <t>NEP-51030-0000</t>
  </si>
  <si>
    <t>NEP-51350-0000</t>
  </si>
  <si>
    <t>NEP-52005-0000</t>
  </si>
  <si>
    <t>NEP-52007-0000</t>
  </si>
  <si>
    <t>NEP-52008-0000</t>
  </si>
  <si>
    <t>NEP-53007-0000</t>
  </si>
  <si>
    <t>NEP-53011-0000</t>
  </si>
  <si>
    <t>NEP-54001-0000</t>
  </si>
  <si>
    <t>NEP-54100-0000</t>
  </si>
  <si>
    <t>NEP-61001-0000</t>
  </si>
  <si>
    <t>NEP-61002-0000</t>
  </si>
  <si>
    <t>NEP-61003-0000</t>
  </si>
  <si>
    <t>NEP-61004-0000</t>
  </si>
  <si>
    <t>NEP-61005-0000</t>
  </si>
  <si>
    <t>NEP-61006-0000</t>
  </si>
  <si>
    <t>NEP-61007-0000</t>
  </si>
  <si>
    <t>NEP-61008-0000</t>
  </si>
  <si>
    <t>NEP-61009-0000</t>
  </si>
  <si>
    <t>NEP-61010-0000</t>
  </si>
  <si>
    <t>NEP-61011-0000</t>
  </si>
  <si>
    <t>NEP-61012-0000</t>
  </si>
  <si>
    <t>NEP-61013-0000</t>
  </si>
  <si>
    <t>NEP-61014-0000</t>
  </si>
  <si>
    <t>NEP-61015-0000</t>
  </si>
  <si>
    <t>NEP-61017-0000</t>
  </si>
  <si>
    <t>NEP-61021-0000</t>
  </si>
  <si>
    <t>NEP-61022-0000</t>
  </si>
  <si>
    <t>NEP-61023-0000</t>
  </si>
  <si>
    <t>NEP-61024-0000</t>
  </si>
  <si>
    <t>NEP-61025-0000</t>
  </si>
  <si>
    <t>NEP-71010-0000</t>
  </si>
  <si>
    <t>NEP-71020-0000</t>
  </si>
  <si>
    <t>NEP-71030-0000</t>
  </si>
  <si>
    <t>NEP-71040-0000</t>
  </si>
  <si>
    <t>NEP-71050-0000</t>
  </si>
  <si>
    <t>NEP-71060-0000</t>
  </si>
  <si>
    <t>NEP-71070-0000</t>
  </si>
  <si>
    <t>NEP-71080-0000</t>
  </si>
  <si>
    <t>NEP-71090-0000</t>
  </si>
  <si>
    <t>NEP-71100-0000</t>
  </si>
  <si>
    <t>NEP-71110-0000</t>
  </si>
  <si>
    <t>NEP-73101-0000</t>
  </si>
  <si>
    <t>NEP-73103-0000</t>
  </si>
  <si>
    <t>NEP-73105-0000</t>
  </si>
  <si>
    <t>NEP-80006-0000</t>
  </si>
  <si>
    <t>NEP-80061-0000</t>
  </si>
  <si>
    <t>NEP-81019-0000</t>
  </si>
  <si>
    <t>NEP-81220-0000</t>
  </si>
  <si>
    <t>NEP-81228-0000</t>
  </si>
  <si>
    <t>NEP-81400-0000</t>
  </si>
  <si>
    <t>NEP-82900-0000</t>
  </si>
  <si>
    <t>NEP-85500-0000</t>
  </si>
  <si>
    <t>NEP-85700-0000</t>
  </si>
  <si>
    <t>NET-10003-0000</t>
  </si>
  <si>
    <t>NET-10004-0000</t>
  </si>
  <si>
    <t>NET-10005-0000</t>
  </si>
  <si>
    <t>NET-10006-0000</t>
  </si>
  <si>
    <t>NET-10009-0000</t>
  </si>
  <si>
    <t>NET-10010-0000</t>
  </si>
  <si>
    <t>NET-10011-0000</t>
  </si>
  <si>
    <t>NET-10012-0000</t>
  </si>
  <si>
    <t>NET-10023-0000</t>
  </si>
  <si>
    <t>NET-10024-0000</t>
  </si>
  <si>
    <t>NET-10027-0000</t>
  </si>
  <si>
    <t>NET-10050-0000</t>
  </si>
  <si>
    <t>NET-11200-0000</t>
  </si>
  <si>
    <t>NET-11201-0000</t>
  </si>
  <si>
    <t>NET-11202-0000</t>
  </si>
  <si>
    <t>NET-11203-0000</t>
  </si>
  <si>
    <t>NET-11204-0000</t>
  </si>
  <si>
    <t>NET-11208-0000</t>
  </si>
  <si>
    <t>NET-11210-0000</t>
  </si>
  <si>
    <t>NET-11212-0000</t>
  </si>
  <si>
    <t>NET-11214-0000</t>
  </si>
  <si>
    <t>NET-11215-0000</t>
  </si>
  <si>
    <t>NET-11232-0000</t>
  </si>
  <si>
    <t>NET-11301-0000</t>
  </si>
  <si>
    <t>NET-11302-0000</t>
  </si>
  <si>
    <t>NET-11304-0000</t>
  </si>
  <si>
    <t>NET-11307-0000</t>
  </si>
  <si>
    <t>NET-11308-0000</t>
  </si>
  <si>
    <t>NET-11309-0000</t>
  </si>
  <si>
    <t>NET-11312-0000</t>
  </si>
  <si>
    <t>NET-11314-0000</t>
  </si>
  <si>
    <t>NET-11315-0000</t>
  </si>
  <si>
    <t>NET-11316-0000</t>
  </si>
  <si>
    <t>NET-11318-0000</t>
  </si>
  <si>
    <t>NET-11319-0000</t>
  </si>
  <si>
    <t>NET-11320-0000</t>
  </si>
  <si>
    <t>NET-11321-0000</t>
  </si>
  <si>
    <t>NET-11322-0000</t>
  </si>
  <si>
    <t>NET-11323-0000</t>
  </si>
  <si>
    <t>NET-11324-0000</t>
  </si>
  <si>
    <t>NET-11325-0000</t>
  </si>
  <si>
    <t>NET-11327-0000</t>
  </si>
  <si>
    <t>NET-11328-0000</t>
  </si>
  <si>
    <t>NET-11329-0000</t>
  </si>
  <si>
    <t>NET-11330-0000</t>
  </si>
  <si>
    <t>NET-11331-0000</t>
  </si>
  <si>
    <t>NET-11332-0000</t>
  </si>
  <si>
    <t>NET-11333-0000</t>
  </si>
  <si>
    <t>NET-11334-0000</t>
  </si>
  <si>
    <t>NET-11335-0000</t>
  </si>
  <si>
    <t>NET-11337-0000</t>
  </si>
  <si>
    <t>NET-11338-0000</t>
  </si>
  <si>
    <t>NET-11339-0000</t>
  </si>
  <si>
    <t>NET-11340-0000</t>
  </si>
  <si>
    <t>NET-11341-0000</t>
  </si>
  <si>
    <t>NET-11342-0000</t>
  </si>
  <si>
    <t>NET-11344-0000</t>
  </si>
  <si>
    <t>NET-11345-0000</t>
  </si>
  <si>
    <t>NET-11346-0000</t>
  </si>
  <si>
    <t>NET-11347-0000</t>
  </si>
  <si>
    <t>NET-11348-0000</t>
  </si>
  <si>
    <t>NET-11349-0000</t>
  </si>
  <si>
    <t>NET-11350-0000</t>
  </si>
  <si>
    <t>NET-11351-0000</t>
  </si>
  <si>
    <t>NET-11352-0000</t>
  </si>
  <si>
    <t>NET-11353-0000</t>
  </si>
  <si>
    <t>NET-11354-0000</t>
  </si>
  <si>
    <t>NET-11355-0000</t>
  </si>
  <si>
    <t>NET-11356-0000</t>
  </si>
  <si>
    <t>NET-11357-0000</t>
  </si>
  <si>
    <t>NET-11358-0000</t>
  </si>
  <si>
    <t>NET-11359-0000</t>
  </si>
  <si>
    <t>NET-11361-0000</t>
  </si>
  <si>
    <t>NET-11363-0000</t>
  </si>
  <si>
    <t>NET-11364-0000</t>
  </si>
  <si>
    <t>NET-11365-0000</t>
  </si>
  <si>
    <t>NET-11366-0000</t>
  </si>
  <si>
    <t>NET-11402-0000</t>
  </si>
  <si>
    <t>NET-11403-0000</t>
  </si>
  <si>
    <t>NET-12100-0000</t>
  </si>
  <si>
    <t>NET-12105-0000</t>
  </si>
  <si>
    <t>NET-12400-0000</t>
  </si>
  <si>
    <t>NET-12401-0000</t>
  </si>
  <si>
    <t>NET-12402-0000</t>
  </si>
  <si>
    <t>NET-12403-0000</t>
  </si>
  <si>
    <t>NET-12501-0000</t>
  </si>
  <si>
    <t>NET-12510-0000</t>
  </si>
  <si>
    <t>NET-13010-0000</t>
  </si>
  <si>
    <t>NET-13050-0000</t>
  </si>
  <si>
    <t>NET-13610-0000</t>
  </si>
  <si>
    <t>NET-13620-0000</t>
  </si>
  <si>
    <t>NET-13810-0000</t>
  </si>
  <si>
    <t>NET-13811-0000</t>
  </si>
  <si>
    <t>NET-13811-1000</t>
  </si>
  <si>
    <t>NET-13812-0000</t>
  </si>
  <si>
    <t>NET-13812-1000</t>
  </si>
  <si>
    <t>NET-13813-0000</t>
  </si>
  <si>
    <t>NET-13813-1000</t>
  </si>
  <si>
    <t>NET-13820-0000</t>
  </si>
  <si>
    <t>NET-13820-1000</t>
  </si>
  <si>
    <t>NET-13821-0000</t>
  </si>
  <si>
    <t>NET-13821-1000</t>
  </si>
  <si>
    <t>NET-13822-0000</t>
  </si>
  <si>
    <t>NET-13822-1000</t>
  </si>
  <si>
    <t>NET-14100-0000</t>
  </si>
  <si>
    <t>NET-15600-0000</t>
  </si>
  <si>
    <t>NET-15700-0000</t>
  </si>
  <si>
    <t>NET-15800-0000</t>
  </si>
  <si>
    <t>NET-16000-0000</t>
  </si>
  <si>
    <t>NET-22000-0000</t>
  </si>
  <si>
    <t>NET-22001-0000</t>
  </si>
  <si>
    <t>NET-22003-0000</t>
  </si>
  <si>
    <t>NET-22005-0000</t>
  </si>
  <si>
    <t>NET-22310-0000</t>
  </si>
  <si>
    <t>NET-22800-0000</t>
  </si>
  <si>
    <t>NET-22801-0000</t>
  </si>
  <si>
    <t>NET-22810-0000</t>
  </si>
  <si>
    <t>NET-22900-0000</t>
  </si>
  <si>
    <t>NET-22905-0000</t>
  </si>
  <si>
    <t>NET-22906-0000</t>
  </si>
  <si>
    <t>NET-23000-0000</t>
  </si>
  <si>
    <t>NET-23100-0000</t>
  </si>
  <si>
    <t>NET-23500-0000</t>
  </si>
  <si>
    <t>NET-23501-0000</t>
  </si>
  <si>
    <t>NET-23700-0000</t>
  </si>
  <si>
    <t>NET-23800-0000</t>
  </si>
  <si>
    <t>NET-24200-0000</t>
  </si>
  <si>
    <t>NET-24300-0000</t>
  </si>
  <si>
    <t>NET-24400-0000</t>
  </si>
  <si>
    <t>NET-24500-0000</t>
  </si>
  <si>
    <t>NET-24600-0000</t>
  </si>
  <si>
    <t>NET-25005-0000</t>
  </si>
  <si>
    <t>NET-25009-0000</t>
  </si>
  <si>
    <t>NET-25600-0000</t>
  </si>
  <si>
    <t>NET-25601-0000</t>
  </si>
  <si>
    <t>NET-25602-0000</t>
  </si>
  <si>
    <t>NET-25603-0000</t>
  </si>
  <si>
    <t>NET-25604-0000</t>
  </si>
  <si>
    <t>NET-28000-0000</t>
  </si>
  <si>
    <t>NET-28002-0000</t>
  </si>
  <si>
    <t>NET-28003-0000</t>
  </si>
  <si>
    <t>NET-28004-0000</t>
  </si>
  <si>
    <t>NET-28005-0000</t>
  </si>
  <si>
    <t>NET-28006-0000</t>
  </si>
  <si>
    <t>NET-28007-0000</t>
  </si>
  <si>
    <t>NET-28008-0000</t>
  </si>
  <si>
    <t>NET-28009-0000</t>
  </si>
  <si>
    <t>NET-28010-0000</t>
  </si>
  <si>
    <t>NET-28011-0000</t>
  </si>
  <si>
    <t>NET-28012-0000</t>
  </si>
  <si>
    <t>NET-28013-0000</t>
  </si>
  <si>
    <t>NET-28014-0000</t>
  </si>
  <si>
    <t>NET-28015-0000</t>
  </si>
  <si>
    <t>NET-28016-0000</t>
  </si>
  <si>
    <t>NET-28017-0000</t>
  </si>
  <si>
    <t>NET-28018-0000</t>
  </si>
  <si>
    <t>NET-28019-0000</t>
  </si>
  <si>
    <t>NET-28020-0000</t>
  </si>
  <si>
    <t>NET-28021-0000</t>
  </si>
  <si>
    <t>NET-28022-0000</t>
  </si>
  <si>
    <t>NET-28023-0000</t>
  </si>
  <si>
    <t>NET-28024-0000</t>
  </si>
  <si>
    <t>NET-30101-0000</t>
  </si>
  <si>
    <t>NET-30501-0000</t>
  </si>
  <si>
    <t>NET-31001-0000</t>
  </si>
  <si>
    <t>NET-31002-0000</t>
  </si>
  <si>
    <t>NET-31003-0000</t>
  </si>
  <si>
    <t>NET-31005-0000</t>
  </si>
  <si>
    <t>NET-31007-0000</t>
  </si>
  <si>
    <t>NET-31008-0000</t>
  </si>
  <si>
    <t>NET-31009-0000</t>
  </si>
  <si>
    <t>NET-31010-0000</t>
  </si>
  <si>
    <t>NET-31012-0000</t>
  </si>
  <si>
    <t>NET-31015-0000</t>
  </si>
  <si>
    <t>NET-31016-0000</t>
  </si>
  <si>
    <t>NET-31018-0000</t>
  </si>
  <si>
    <t>NET-31801-0000</t>
  </si>
  <si>
    <t>NET-31802-0000</t>
  </si>
  <si>
    <t>NET-31803-0000</t>
  </si>
  <si>
    <t>NET-31804-0000</t>
  </si>
  <si>
    <t>NET-31900-0000</t>
  </si>
  <si>
    <t>NET-36000-0000</t>
  </si>
  <si>
    <t>NET-36002-0000</t>
  </si>
  <si>
    <t>NET-36003-0000</t>
  </si>
  <si>
    <t>NET-36004-0000</t>
  </si>
  <si>
    <t>NET-36005-0000</t>
  </si>
  <si>
    <t>NET-36006-0000</t>
  </si>
  <si>
    <t>NET-36008-0000</t>
  </si>
  <si>
    <t>NET-36018-0000</t>
  </si>
  <si>
    <t>NET-36801-0000</t>
  </si>
  <si>
    <t>NET-36802-0000</t>
  </si>
  <si>
    <t>NET-36803-0000</t>
  </si>
  <si>
    <t>NET-36804-0000</t>
  </si>
  <si>
    <t>NET-36900-0000</t>
  </si>
  <si>
    <t>NET-36901-0000</t>
  </si>
  <si>
    <t>NET-38100-0000</t>
  </si>
  <si>
    <t>NET-38100-1000</t>
  </si>
  <si>
    <t>NET-41112-0000</t>
  </si>
  <si>
    <t>NET-41120-0000</t>
  </si>
  <si>
    <t>NET-42110-0000</t>
  </si>
  <si>
    <t>NET-42130-0000</t>
  </si>
  <si>
    <t>NET-42140-0000</t>
  </si>
  <si>
    <t>NET-42150-0000</t>
  </si>
  <si>
    <t>NET-42160-0000</t>
  </si>
  <si>
    <t>NET-42405-0000</t>
  </si>
  <si>
    <t>NET-43120-0000</t>
  </si>
  <si>
    <t>NET-43121-0000</t>
  </si>
  <si>
    <t>NET-43200-0000</t>
  </si>
  <si>
    <t>NET-43410-0000</t>
  </si>
  <si>
    <t>NET-43420-0000</t>
  </si>
  <si>
    <t>NET-43430-0000</t>
  </si>
  <si>
    <t>NET-43440-0000</t>
  </si>
  <si>
    <t>NET-43450-0000</t>
  </si>
  <si>
    <t>NET-43480-0000</t>
  </si>
  <si>
    <t>NET-43490-0000</t>
  </si>
  <si>
    <t>NET-43491-0000</t>
  </si>
  <si>
    <t>NET-43492-0000</t>
  </si>
  <si>
    <t>NET-43493-0000</t>
  </si>
  <si>
    <t>NET-43494-0000</t>
  </si>
  <si>
    <t>NET-43495-0000</t>
  </si>
  <si>
    <t>NET-44000-0000</t>
  </si>
  <si>
    <t>NET-46000-0000</t>
  </si>
  <si>
    <t>NET-47300-0000</t>
  </si>
  <si>
    <t>NET-47550-0000</t>
  </si>
  <si>
    <t>NET-49500-9999</t>
  </si>
  <si>
    <t>NET-51001-0000</t>
  </si>
  <si>
    <t>NET-51002-0000</t>
  </si>
  <si>
    <t>NET-51003-0000</t>
  </si>
  <si>
    <t>NET-51007-0000</t>
  </si>
  <si>
    <t>NET-51014-0000</t>
  </si>
  <si>
    <t>NET-51021-0000</t>
  </si>
  <si>
    <t>NET-51022-0000</t>
  </si>
  <si>
    <t>NET-51023-0000</t>
  </si>
  <si>
    <t>NET-51024-0000</t>
  </si>
  <si>
    <t>NET-51026-0000</t>
  </si>
  <si>
    <t>NET-51027-0000</t>
  </si>
  <si>
    <t>NET-51028-0000</t>
  </si>
  <si>
    <t>NET-51029-0000</t>
  </si>
  <si>
    <t>NET-51030-0000</t>
  </si>
  <si>
    <t>NET-51350-0000</t>
  </si>
  <si>
    <t>NET-52002-0000</t>
  </si>
  <si>
    <t>NET-52005-0000</t>
  </si>
  <si>
    <t>NET-52007-0000</t>
  </si>
  <si>
    <t>NET-52008-0000</t>
  </si>
  <si>
    <t>NET-53007-0000</t>
  </si>
  <si>
    <t>NET-53011-0000</t>
  </si>
  <si>
    <t>NET-54100-0000</t>
  </si>
  <si>
    <t>NET-61001-0000</t>
  </si>
  <si>
    <t>NET-61002-0000</t>
  </si>
  <si>
    <t>NET-61003-0000</t>
  </si>
  <si>
    <t>NET-61004-0000</t>
  </si>
  <si>
    <t>NET-61005-0000</t>
  </si>
  <si>
    <t>NET-61006-0000</t>
  </si>
  <si>
    <t>NET-61007-0000</t>
  </si>
  <si>
    <t>NET-61008-0000</t>
  </si>
  <si>
    <t>NET-61009-0000</t>
  </si>
  <si>
    <t>NET-61010-0000</t>
  </si>
  <si>
    <t>NET-61011-0000</t>
  </si>
  <si>
    <t>NET-61012-0000</t>
  </si>
  <si>
    <t>NET-61013-0000</t>
  </si>
  <si>
    <t>NET-61014-0000</t>
  </si>
  <si>
    <t>NET-61015-0000</t>
  </si>
  <si>
    <t>NET-61016-0000</t>
  </si>
  <si>
    <t>NET-61017-0000</t>
  </si>
  <si>
    <t>NET-61021-0000</t>
  </si>
  <si>
    <t>NET-61022-0000</t>
  </si>
  <si>
    <t>NET-61023-0000</t>
  </si>
  <si>
    <t>NET-61024-0000</t>
  </si>
  <si>
    <t>NET-61025-0000</t>
  </si>
  <si>
    <t>NET-71010-0000</t>
  </si>
  <si>
    <t>NET-71020-0000</t>
  </si>
  <si>
    <t>NET-71030-0000</t>
  </si>
  <si>
    <t>NET-71040-0000</t>
  </si>
  <si>
    <t>NET-71050-0000</t>
  </si>
  <si>
    <t>NET-71060-0000</t>
  </si>
  <si>
    <t>NET-71070-0000</t>
  </si>
  <si>
    <t>NET-71080-0000</t>
  </si>
  <si>
    <t>NET-71090-0000</t>
  </si>
  <si>
    <t>NET-71100-0000</t>
  </si>
  <si>
    <t>NET-71110-0000</t>
  </si>
  <si>
    <t>NET-73101-0000</t>
  </si>
  <si>
    <t>NET-73103-0000</t>
  </si>
  <si>
    <t>NET-73105-0000</t>
  </si>
  <si>
    <t>NET-80006-0000</t>
  </si>
  <si>
    <t>NET-80061-0000</t>
  </si>
  <si>
    <t>NET-81019-0000</t>
  </si>
  <si>
    <t>NET-81220-0000</t>
  </si>
  <si>
    <t>NET-81228-0000</t>
  </si>
  <si>
    <t>NET-81400-0000</t>
  </si>
  <si>
    <t>NET-82900-0000</t>
  </si>
  <si>
    <t>NET-85500-0000</t>
  </si>
  <si>
    <t>NET-85700-0000</t>
  </si>
  <si>
    <t>NEW-10003-0000</t>
  </si>
  <si>
    <t>NEW-10004-0000</t>
  </si>
  <si>
    <t>NEW-10005-0000</t>
  </si>
  <si>
    <t>NEW-10006-0000</t>
  </si>
  <si>
    <t>NEW-10009-0000</t>
  </si>
  <si>
    <t>NEW-10010-0000</t>
  </si>
  <si>
    <t>NEW-10011-0000</t>
  </si>
  <si>
    <t>NEW-10012-0000</t>
  </si>
  <si>
    <t>NEW-10023-0000</t>
  </si>
  <si>
    <t>NEW-10024-0000</t>
  </si>
  <si>
    <t>NEW-10027-0000</t>
  </si>
  <si>
    <t>NEW-10050-0000</t>
  </si>
  <si>
    <t>NEW-11200-0000</t>
  </si>
  <si>
    <t>NEW-11201-0000</t>
  </si>
  <si>
    <t>NEW-11202-0000</t>
  </si>
  <si>
    <t>NEW-11203-0000</t>
  </si>
  <si>
    <t>NEW-11204-0000</t>
  </si>
  <si>
    <t>NEW-11208-0000</t>
  </si>
  <si>
    <t>NEW-11210-0000</t>
  </si>
  <si>
    <t>NEW-11212-0000</t>
  </si>
  <si>
    <t>NEW-11214-0000</t>
  </si>
  <si>
    <t>NEW-11215-0000</t>
  </si>
  <si>
    <t>NEW-11232-0000</t>
  </si>
  <si>
    <t>NEW-11301-0000</t>
  </si>
  <si>
    <t>NEW-11305-0000</t>
  </si>
  <si>
    <t>NEW-11307-0000</t>
  </si>
  <si>
    <t>NEW-11308-0000</t>
  </si>
  <si>
    <t>NEW-11311-0000</t>
  </si>
  <si>
    <t>NEW-11312-0000</t>
  </si>
  <si>
    <t>NEW-11313-0000</t>
  </si>
  <si>
    <t>NEW-11314-0000</t>
  </si>
  <si>
    <t>NEW-11316-0000</t>
  </si>
  <si>
    <t>NEW-11318-0000</t>
  </si>
  <si>
    <t>NEW-11319-0000</t>
  </si>
  <si>
    <t>NEW-11320-0000</t>
  </si>
  <si>
    <t>NEW-11321-0000</t>
  </si>
  <si>
    <t>NEW-11322-0000</t>
  </si>
  <si>
    <t>NEW-11323-0000</t>
  </si>
  <si>
    <t>NEW-11326-0000</t>
  </si>
  <si>
    <t>NEW-11327-0000</t>
  </si>
  <si>
    <t>NEW-11328-0000</t>
  </si>
  <si>
    <t>NEW-11329-0000</t>
  </si>
  <si>
    <t>NEW-11330-0000</t>
  </si>
  <si>
    <t>NEW-11331-0000</t>
  </si>
  <si>
    <t>NEW-11332-0000</t>
  </si>
  <si>
    <t>NEW-11333-0000</t>
  </si>
  <si>
    <t>NEW-11334-0000</t>
  </si>
  <si>
    <t>NEW-11335-0000</t>
  </si>
  <si>
    <t>NEW-11336-0000</t>
  </si>
  <si>
    <t>NEW-11337-0000</t>
  </si>
  <si>
    <t>NEW-11338-0000</t>
  </si>
  <si>
    <t>NEW-11339-0000</t>
  </si>
  <si>
    <t>NEW-11340-0000</t>
  </si>
  <si>
    <t>NEW-11341-0000</t>
  </si>
  <si>
    <t>NEW-11342-0000</t>
  </si>
  <si>
    <t>NEW-11343-0000</t>
  </si>
  <si>
    <t>NEW-11344-0000</t>
  </si>
  <si>
    <t>NEW-11345-0000</t>
  </si>
  <si>
    <t>NEW-11346-0000</t>
  </si>
  <si>
    <t>NEW-11347-0000</t>
  </si>
  <si>
    <t>NEW-11348-0000</t>
  </si>
  <si>
    <t>NEW-11349-0000</t>
  </si>
  <si>
    <t>NEW-11350-0000</t>
  </si>
  <si>
    <t>NEW-11351-0000</t>
  </si>
  <si>
    <t>NEW-11352-0000</t>
  </si>
  <si>
    <t>NEW-11353-0000</t>
  </si>
  <si>
    <t>NEW-11354-0000</t>
  </si>
  <si>
    <t>NEW-11355-0000</t>
  </si>
  <si>
    <t>NEW-11356-0000</t>
  </si>
  <si>
    <t>NEW-11357-0000</t>
  </si>
  <si>
    <t>NEW-11358-0000</t>
  </si>
  <si>
    <t>NEW-11359-0000</t>
  </si>
  <si>
    <t>NEW-11361-0000</t>
  </si>
  <si>
    <t>NEW-11363-0000</t>
  </si>
  <si>
    <t>NEW-11364-0000</t>
  </si>
  <si>
    <t>NEW-11365-0000</t>
  </si>
  <si>
    <t>NEW-11366-0000</t>
  </si>
  <si>
    <t>NEW-11403-0000</t>
  </si>
  <si>
    <t>NEW-12100-0000</t>
  </si>
  <si>
    <t>NEW-12105-0000</t>
  </si>
  <si>
    <t>NEW-12400-0000</t>
  </si>
  <si>
    <t>NEW-12401-0000</t>
  </si>
  <si>
    <t>NEW-12402-0000</t>
  </si>
  <si>
    <t>NEW-12403-0000</t>
  </si>
  <si>
    <t>NEW-12501-0000</t>
  </si>
  <si>
    <t>NEW-12510-0000</t>
  </si>
  <si>
    <t>NEW-13010-0000</t>
  </si>
  <si>
    <t>NEW-13050-0000</t>
  </si>
  <si>
    <t>NEW-13610-0000</t>
  </si>
  <si>
    <t>NEW-13620-0000</t>
  </si>
  <si>
    <t>NEW-13810-0000</t>
  </si>
  <si>
    <t>NEW-13811-0000</t>
  </si>
  <si>
    <t>NEW-13811-1000</t>
  </si>
  <si>
    <t>NEW-13812-0000</t>
  </si>
  <si>
    <t>NEW-13812-1000</t>
  </si>
  <si>
    <t>NEW-13813-0000</t>
  </si>
  <si>
    <t>NEW-13813-1000</t>
  </si>
  <si>
    <t>NEW-13820-0000</t>
  </si>
  <si>
    <t>NEW-13820-1000</t>
  </si>
  <si>
    <t>NEW-13821-0000</t>
  </si>
  <si>
    <t>NEW-13821-1000</t>
  </si>
  <si>
    <t>NEW-13822-0000</t>
  </si>
  <si>
    <t>NEW-13822-1000</t>
  </si>
  <si>
    <t>NEW-14100-0000</t>
  </si>
  <si>
    <t>NEW-15000-0000</t>
  </si>
  <si>
    <t>NEW-15500-0000</t>
  </si>
  <si>
    <t>NEW-15600-0000</t>
  </si>
  <si>
    <t>NEW-15700-0000</t>
  </si>
  <si>
    <t>NEW-15800-0000</t>
  </si>
  <si>
    <t>NEW-16000-0000</t>
  </si>
  <si>
    <t>NEW-22000-0000</t>
  </si>
  <si>
    <t>NEW-22001-0000</t>
  </si>
  <si>
    <t>NEW-22003-0000</t>
  </si>
  <si>
    <t>NEW-22005-0000</t>
  </si>
  <si>
    <t>NEW-22310-0000</t>
  </si>
  <si>
    <t>NEW-22800-0000</t>
  </si>
  <si>
    <t>NEW-22801-0000</t>
  </si>
  <si>
    <t>NEW-22810-0000</t>
  </si>
  <si>
    <t>NEW-22900-0000</t>
  </si>
  <si>
    <t>NEW-22905-0000</t>
  </si>
  <si>
    <t>NEW-22906-0000</t>
  </si>
  <si>
    <t>NEW-23000-0000</t>
  </si>
  <si>
    <t>NEW-23100-0000</t>
  </si>
  <si>
    <t>NEW-23500-0000</t>
  </si>
  <si>
    <t>NEW-23501-0000</t>
  </si>
  <si>
    <t>NEW-23700-0000</t>
  </si>
  <si>
    <t>NEW-23800-0000</t>
  </si>
  <si>
    <t>NEW-24200-0000</t>
  </si>
  <si>
    <t>NEW-24300-0000</t>
  </si>
  <si>
    <t>NEW-24400-0000</t>
  </si>
  <si>
    <t>NEW-24500-0000</t>
  </si>
  <si>
    <t>NEW-24600-0000</t>
  </si>
  <si>
    <t>NEW-25005-0000</t>
  </si>
  <si>
    <t>NEW-25009-0000</t>
  </si>
  <si>
    <t>NEW-25600-0000</t>
  </si>
  <si>
    <t>NEW-25601-0000</t>
  </si>
  <si>
    <t>NEW-25602-0000</t>
  </si>
  <si>
    <t>NEW-25603-0000</t>
  </si>
  <si>
    <t>NEW-25604-0000</t>
  </si>
  <si>
    <t>NEW-28000-0000</t>
  </si>
  <si>
    <t>NEW-28002-0000</t>
  </si>
  <si>
    <t>NEW-28004-0000</t>
  </si>
  <si>
    <t>NEW-28005-0000</t>
  </si>
  <si>
    <t>NEW-28006-0000</t>
  </si>
  <si>
    <t>NEW-28007-0000</t>
  </si>
  <si>
    <t>NEW-28008-0000</t>
  </si>
  <si>
    <t>NEW-28009-0000</t>
  </si>
  <si>
    <t>NEW-28010-0000</t>
  </si>
  <si>
    <t>NEW-28011-0000</t>
  </si>
  <si>
    <t>NEW-28012-0000</t>
  </si>
  <si>
    <t>NEW-28013-0000</t>
  </si>
  <si>
    <t>NEW-28014-0000</t>
  </si>
  <si>
    <t>NEW-28015-0000</t>
  </si>
  <si>
    <t>NEW-28016-0000</t>
  </si>
  <si>
    <t>NEW-28017-0000</t>
  </si>
  <si>
    <t>NEW-28018-0000</t>
  </si>
  <si>
    <t>NEW-28019-0000</t>
  </si>
  <si>
    <t>NEW-28020-0000</t>
  </si>
  <si>
    <t>NEW-28021-0000</t>
  </si>
  <si>
    <t>NEW-28022-0000</t>
  </si>
  <si>
    <t>NEW-28023-0000</t>
  </si>
  <si>
    <t>NEW-28024-0000</t>
  </si>
  <si>
    <t>NEW-30101-0000</t>
  </si>
  <si>
    <t>NEW-30501-0000</t>
  </si>
  <si>
    <t>NEW-31001-0000</t>
  </si>
  <si>
    <t>NEW-31002-0000</t>
  </si>
  <si>
    <t>NEW-31003-0000</t>
  </si>
  <si>
    <t>NEW-31005-0000</t>
  </si>
  <si>
    <t>NEW-31007-0000</t>
  </si>
  <si>
    <t>NEW-31008-0000</t>
  </si>
  <si>
    <t>NEW-31009-0000</t>
  </si>
  <si>
    <t>NEW-31010-0000</t>
  </si>
  <si>
    <t>NEW-31012-0000</t>
  </si>
  <si>
    <t>NEW-31015-0000</t>
  </si>
  <si>
    <t>NEW-31016-0000</t>
  </si>
  <si>
    <t>NEW-31018-0000</t>
  </si>
  <si>
    <t>NEW-31801-0000</t>
  </si>
  <si>
    <t>NEW-31802-0000</t>
  </si>
  <si>
    <t>NEW-31803-0000</t>
  </si>
  <si>
    <t>NEW-31804-0000</t>
  </si>
  <si>
    <t>NEW-31900-0000</t>
  </si>
  <si>
    <t>NEW-36000-0000</t>
  </si>
  <si>
    <t>NEW-36002-0000</t>
  </si>
  <si>
    <t>NEW-36003-0000</t>
  </si>
  <si>
    <t>NEW-36004-0000</t>
  </si>
  <si>
    <t>NEW-36005-0000</t>
  </si>
  <si>
    <t>NEW-36006-0000</t>
  </si>
  <si>
    <t>NEW-36008-0000</t>
  </si>
  <si>
    <t>NEW-36018-0000</t>
  </si>
  <si>
    <t>NEW-36801-0000</t>
  </si>
  <si>
    <t>NEW-36802-0000</t>
  </si>
  <si>
    <t>NEW-36803-0000</t>
  </si>
  <si>
    <t>NEW-36804-0000</t>
  </si>
  <si>
    <t>NEW-36900-0000</t>
  </si>
  <si>
    <t>NEW-36901-0000</t>
  </si>
  <si>
    <t>NEW-38100-0000</t>
  </si>
  <si>
    <t>NEW-38100-1000</t>
  </si>
  <si>
    <t>NEW-40110-0000</t>
  </si>
  <si>
    <t>NEW-40120-0000</t>
  </si>
  <si>
    <t>NEW-40130-0000</t>
  </si>
  <si>
    <t>NEW-40140-0000</t>
  </si>
  <si>
    <t>NEW-41110-0000</t>
  </si>
  <si>
    <t>NEW-41112-0000</t>
  </si>
  <si>
    <t>NEW-41120-0000</t>
  </si>
  <si>
    <t>NEW-42110-0000</t>
  </si>
  <si>
    <t>NEW-42130-0000</t>
  </si>
  <si>
    <t>NEW-42140-0000</t>
  </si>
  <si>
    <t>NEW-42150-0000</t>
  </si>
  <si>
    <t>NEW-42160-0000</t>
  </si>
  <si>
    <t>NEW-42405-0000</t>
  </si>
  <si>
    <t>NEW-43120-0000</t>
  </si>
  <si>
    <t>NEW-43121-0000</t>
  </si>
  <si>
    <t>NEW-43200-0000</t>
  </si>
  <si>
    <t>NEW-43410-0000</t>
  </si>
  <si>
    <t>NEW-43420-0000</t>
  </si>
  <si>
    <t>NEW-43430-0000</t>
  </si>
  <si>
    <t>NEW-43440-0000</t>
  </si>
  <si>
    <t>NEW-43450-0000</t>
  </si>
  <si>
    <t>NEW-43480-0000</t>
  </si>
  <si>
    <t>NEW-43490-0000</t>
  </si>
  <si>
    <t>NEW-43491-0000</t>
  </si>
  <si>
    <t>NEW-43492-0000</t>
  </si>
  <si>
    <t>NEW-43493-0000</t>
  </si>
  <si>
    <t>NEW-43494-0000</t>
  </si>
  <si>
    <t>NEW-43495-0000</t>
  </si>
  <si>
    <t>NEW-44000-0000</t>
  </si>
  <si>
    <t>NEW-46000-0000</t>
  </si>
  <si>
    <t>NEW-47300-0000</t>
  </si>
  <si>
    <t>NEW-47550-0000</t>
  </si>
  <si>
    <t>NEW-49500-9999</t>
  </si>
  <si>
    <t>NEW-51001-0000</t>
  </si>
  <si>
    <t>NEW-51002-0000</t>
  </si>
  <si>
    <t>NEW-51003-0000</t>
  </si>
  <si>
    <t>NEW-51004-0000</t>
  </si>
  <si>
    <t>NEW-51005-0000</t>
  </si>
  <si>
    <t>NEW-51007-0000</t>
  </si>
  <si>
    <t>NEW-51010-0000</t>
  </si>
  <si>
    <t>NEW-51011-0000</t>
  </si>
  <si>
    <t>NEW-51013-0000</t>
  </si>
  <si>
    <t>NEW-51014-0000</t>
  </si>
  <si>
    <t>NEW-51015-0000</t>
  </si>
  <si>
    <t>NEW-51018-0000</t>
  </si>
  <si>
    <t>NEW-51019-0000</t>
  </si>
  <si>
    <t>NEW-51021-0000</t>
  </si>
  <si>
    <t>NEW-51022-0000</t>
  </si>
  <si>
    <t>NEW-51023-0000</t>
  </si>
  <si>
    <t>NEW-51024-0000</t>
  </si>
  <si>
    <t>NEW-51026-0000</t>
  </si>
  <si>
    <t>NEW-51027-0000</t>
  </si>
  <si>
    <t>NEW-51028-0000</t>
  </si>
  <si>
    <t>NEW-51029-0000</t>
  </si>
  <si>
    <t>NEW-51030-0000</t>
  </si>
  <si>
    <t>NEW-51350-0000</t>
  </si>
  <si>
    <t>NEW-52001-0000</t>
  </si>
  <si>
    <t>NEW-52002-0000</t>
  </si>
  <si>
    <t>NEW-52003-0000</t>
  </si>
  <si>
    <t>NEW-52005-0000</t>
  </si>
  <si>
    <t>NEW-52007-0000</t>
  </si>
  <si>
    <t>NEW-52008-0000</t>
  </si>
  <si>
    <t>NEW-53001-0000</t>
  </si>
  <si>
    <t>NEW-53007-0000</t>
  </si>
  <si>
    <t>NEW-53011-0000</t>
  </si>
  <si>
    <t>NEW-54001-0000</t>
  </si>
  <si>
    <t>NEW-54002-0000</t>
  </si>
  <si>
    <t>NEW-54005-0000</t>
  </si>
  <si>
    <t>NEW-54100-0000</t>
  </si>
  <si>
    <t>NEW-61001-0000</t>
  </si>
  <si>
    <t>NEW-61002-0000</t>
  </si>
  <si>
    <t>NEW-61003-0000</t>
  </si>
  <si>
    <t>NEW-61004-0000</t>
  </si>
  <si>
    <t>NEW-61005-0000</t>
  </si>
  <si>
    <t>NEW-61006-0000</t>
  </si>
  <si>
    <t>NEW-61007-0000</t>
  </si>
  <si>
    <t>NEW-61008-0000</t>
  </si>
  <si>
    <t>NEW-61009-0000</t>
  </si>
  <si>
    <t>NEW-61010-0000</t>
  </si>
  <si>
    <t>NEW-61011-0000</t>
  </si>
  <si>
    <t>NEW-61012-0000</t>
  </si>
  <si>
    <t>NEW-61013-0000</t>
  </si>
  <si>
    <t>NEW-61014-0000</t>
  </si>
  <si>
    <t>NEW-61015-0000</t>
  </si>
  <si>
    <t>NEW-61016-0000</t>
  </si>
  <si>
    <t>NEW-61017-0000</t>
  </si>
  <si>
    <t>NEW-61021-0000</t>
  </si>
  <si>
    <t>NEW-61022-0000</t>
  </si>
  <si>
    <t>NEW-61023-0000</t>
  </si>
  <si>
    <t>NEW-61024-0000</t>
  </si>
  <si>
    <t>NEW-61025-0000</t>
  </si>
  <si>
    <t>NEW-71010-0000</t>
  </si>
  <si>
    <t>NEW-71020-0000</t>
  </si>
  <si>
    <t>NEW-71030-0000</t>
  </si>
  <si>
    <t>NEW-71040-0000</t>
  </si>
  <si>
    <t>NEW-71050-0000</t>
  </si>
  <si>
    <t>NEW-71060-0000</t>
  </si>
  <si>
    <t>NEW-71070-0000</t>
  </si>
  <si>
    <t>NEW-71080-0000</t>
  </si>
  <si>
    <t>NEW-71090-0000</t>
  </si>
  <si>
    <t>NEW-71100-0000</t>
  </si>
  <si>
    <t>NEW-71110-0000</t>
  </si>
  <si>
    <t>NEW-73101-0000</t>
  </si>
  <si>
    <t>NEW-73103-0000</t>
  </si>
  <si>
    <t>NEW-73105-0000</t>
  </si>
  <si>
    <t>NEW-80006-0000</t>
  </si>
  <si>
    <t>NEW-80061-0000</t>
  </si>
  <si>
    <t>NEW-81019-0000</t>
  </si>
  <si>
    <t>NEW-81220-0000</t>
  </si>
  <si>
    <t>NEW-81228-0000</t>
  </si>
  <si>
    <t>NEW-81400-0000</t>
  </si>
  <si>
    <t>NEW-82900-0000</t>
  </si>
  <si>
    <t>NEW-85500-0000</t>
  </si>
  <si>
    <t>NEW-85700-0000</t>
  </si>
  <si>
    <t>OVA-10003-0000</t>
  </si>
  <si>
    <t>OVA-10004-0000</t>
  </si>
  <si>
    <t>OVA-10005-0000</t>
  </si>
  <si>
    <t>OVA-10006-0000</t>
  </si>
  <si>
    <t>OVA-10009-0000</t>
  </si>
  <si>
    <t>OVA-10010-0000</t>
  </si>
  <si>
    <t>OVA-10011-0000</t>
  </si>
  <si>
    <t>OVA-10012-0000</t>
  </si>
  <si>
    <t>OVA-10023-0000</t>
  </si>
  <si>
    <t>OVA-10024-0000</t>
  </si>
  <si>
    <t>OVA-10027-0000</t>
  </si>
  <si>
    <t>OVA-10050-0000</t>
  </si>
  <si>
    <t>OVA-11200-0000</t>
  </si>
  <si>
    <t>OVA-11201-0000</t>
  </si>
  <si>
    <t>OVA-11202-0000</t>
  </si>
  <si>
    <t>OVA-11203-0000</t>
  </si>
  <si>
    <t>OVA-11204-0000</t>
  </si>
  <si>
    <t>OVA-11208-0000</t>
  </si>
  <si>
    <t>OVA-11210-0000</t>
  </si>
  <si>
    <t>OVA-11212-0000</t>
  </si>
  <si>
    <t>OVA-11214-0000</t>
  </si>
  <si>
    <t>OVA-11215-0000</t>
  </si>
  <si>
    <t>OVA-11232-0000</t>
  </si>
  <si>
    <t>OVA-11301-0000</t>
  </si>
  <si>
    <t>OVA-11303-0000</t>
  </si>
  <si>
    <t>OVA-11304-0000</t>
  </si>
  <si>
    <t>OVA-11305-0000</t>
  </si>
  <si>
    <t>OVA-11307-0000</t>
  </si>
  <si>
    <t>OVA-11308-0000</t>
  </si>
  <si>
    <t>OVA-11309-0000</t>
  </si>
  <si>
    <t>OVA-11312-0000</t>
  </si>
  <si>
    <t>OVA-11313-0000</t>
  </si>
  <si>
    <t>OVA-11314-0000</t>
  </si>
  <si>
    <t>OVA-11315-0000</t>
  </si>
  <si>
    <t>OVA-11316-0000</t>
  </si>
  <si>
    <t>OVA-11318-0000</t>
  </si>
  <si>
    <t>OVA-11319-0000</t>
  </si>
  <si>
    <t>OVA-11321-0000</t>
  </si>
  <si>
    <t>OVA-11322-0000</t>
  </si>
  <si>
    <t>OVA-11323-0000</t>
  </si>
  <si>
    <t>OVA-11324-0000</t>
  </si>
  <si>
    <t>OVA-11325-0000</t>
  </si>
  <si>
    <t>OVA-11326-0000</t>
  </si>
  <si>
    <t>OVA-11327-0000</t>
  </si>
  <si>
    <t>OVA-11328-0000</t>
  </si>
  <si>
    <t>OVA-11329-0000</t>
  </si>
  <si>
    <t>OVA-11330-0000</t>
  </si>
  <si>
    <t>OVA-11331-0000</t>
  </si>
  <si>
    <t>OVA-11333-0000</t>
  </si>
  <si>
    <t>OVA-11334-0000</t>
  </si>
  <si>
    <t>OVA-11335-0000</t>
  </si>
  <si>
    <t>OVA-11336-0000</t>
  </si>
  <si>
    <t>OVA-11337-0000</t>
  </si>
  <si>
    <t>OVA-11338-0000</t>
  </si>
  <si>
    <t>OVA-11339-0000</t>
  </si>
  <si>
    <t>OVA-11340-0000</t>
  </si>
  <si>
    <t>OVA-11341-0000</t>
  </si>
  <si>
    <t>OVA-11342-0000</t>
  </si>
  <si>
    <t>OVA-11343-0000</t>
  </si>
  <si>
    <t>OVA-11344-0000</t>
  </si>
  <si>
    <t>OVA-11345-0000</t>
  </si>
  <si>
    <t>OVA-11346-0000</t>
  </si>
  <si>
    <t>OVA-11347-0000</t>
  </si>
  <si>
    <t>OVA-11348-0000</t>
  </si>
  <si>
    <t>OVA-11349-0000</t>
  </si>
  <si>
    <t>OVA-11350-0000</t>
  </si>
  <si>
    <t>OVA-11351-0000</t>
  </si>
  <si>
    <t>OVA-11352-0000</t>
  </si>
  <si>
    <t>OVA-11353-0000</t>
  </si>
  <si>
    <t>OVA-11354-0000</t>
  </si>
  <si>
    <t>OVA-11355-0000</t>
  </si>
  <si>
    <t>OVA-11356-0000</t>
  </si>
  <si>
    <t>OVA-11357-0000</t>
  </si>
  <si>
    <t>OVA-11358-0000</t>
  </si>
  <si>
    <t>OVA-11359-0000</t>
  </si>
  <si>
    <t>OVA-11361-0000</t>
  </si>
  <si>
    <t>OVA-11363-0000</t>
  </si>
  <si>
    <t>OVA-11364-0000</t>
  </si>
  <si>
    <t>OVA-11365-0000</t>
  </si>
  <si>
    <t>OVA-11366-0000</t>
  </si>
  <si>
    <t>OVA-11402-0000</t>
  </si>
  <si>
    <t>OVA-11403-0000</t>
  </si>
  <si>
    <t>OVA-12100-0000</t>
  </si>
  <si>
    <t>OVA-12105-0000</t>
  </si>
  <si>
    <t>OVA-12400-0000</t>
  </si>
  <si>
    <t>OVA-12401-0000</t>
  </si>
  <si>
    <t>OVA-12402-0000</t>
  </si>
  <si>
    <t>OVA-12403-0000</t>
  </si>
  <si>
    <t>OVA-12501-0000</t>
  </si>
  <si>
    <t>OVA-12510-0000</t>
  </si>
  <si>
    <t>OVA-13010-0000</t>
  </si>
  <si>
    <t>OVA-13050-0000</t>
  </si>
  <si>
    <t>OVA-13610-0000</t>
  </si>
  <si>
    <t>OVA-13620-0000</t>
  </si>
  <si>
    <t>OVA-13810-0000</t>
  </si>
  <si>
    <t>OVA-13811-0000</t>
  </si>
  <si>
    <t>OVA-13811-1000</t>
  </si>
  <si>
    <t>OVA-13812-0000</t>
  </si>
  <si>
    <t>OVA-13812-1000</t>
  </si>
  <si>
    <t>OVA-13813-0000</t>
  </si>
  <si>
    <t>OVA-13813-1000</t>
  </si>
  <si>
    <t>OVA-13820-0000</t>
  </si>
  <si>
    <t>OVA-13820-1000</t>
  </si>
  <si>
    <t>OVA-13821-0000</t>
  </si>
  <si>
    <t>OVA-13821-1000</t>
  </si>
  <si>
    <t>OVA-13822-0000</t>
  </si>
  <si>
    <t>OVA-13822-1000</t>
  </si>
  <si>
    <t>OVA-14100-0000</t>
  </si>
  <si>
    <t>OVA-15700-0000</t>
  </si>
  <si>
    <t>OVA-15800-0000</t>
  </si>
  <si>
    <t>OVA-22000-0000</t>
  </si>
  <si>
    <t>OVA-22001-0000</t>
  </si>
  <si>
    <t>OVA-22003-0000</t>
  </si>
  <si>
    <t>OVA-22005-0000</t>
  </si>
  <si>
    <t>OVA-22310-0000</t>
  </si>
  <si>
    <t>OVA-22800-0000</t>
  </si>
  <si>
    <t>OVA-22801-0000</t>
  </si>
  <si>
    <t>OVA-22810-0000</t>
  </si>
  <si>
    <t>OVA-22900-0000</t>
  </si>
  <si>
    <t>OVA-22905-0000</t>
  </si>
  <si>
    <t>OVA-22906-0000</t>
  </si>
  <si>
    <t>OVA-23000-0000</t>
  </si>
  <si>
    <t>OVA-23100-0000</t>
  </si>
  <si>
    <t>OVA-23500-0000</t>
  </si>
  <si>
    <t>OVA-23501-0000</t>
  </si>
  <si>
    <t>OVA-23700-0000</t>
  </si>
  <si>
    <t>OVA-23800-0000</t>
  </si>
  <si>
    <t>OVA-24200-0000</t>
  </si>
  <si>
    <t>OVA-24300-0000</t>
  </si>
  <si>
    <t>OVA-24400-0000</t>
  </si>
  <si>
    <t>OVA-24500-0000</t>
  </si>
  <si>
    <t>OVA-24600-0000</t>
  </si>
  <si>
    <t>OVA-25005-0000</t>
  </si>
  <si>
    <t>OVA-25009-0000</t>
  </si>
  <si>
    <t>OVA-25600-0000</t>
  </si>
  <si>
    <t>OVA-25601-0000</t>
  </si>
  <si>
    <t>OVA-25602-0000</t>
  </si>
  <si>
    <t>OVA-25603-0000</t>
  </si>
  <si>
    <t>OVA-25604-0000</t>
  </si>
  <si>
    <t>OVA-28000-0000</t>
  </si>
  <si>
    <t>OVA-28002-0000</t>
  </si>
  <si>
    <t>OVA-28003-0000</t>
  </si>
  <si>
    <t>OVA-28004-0000</t>
  </si>
  <si>
    <t>OVA-28005-0000</t>
  </si>
  <si>
    <t>OVA-28006-0000</t>
  </si>
  <si>
    <t>OVA-28007-0000</t>
  </si>
  <si>
    <t>OVA-28008-0000</t>
  </si>
  <si>
    <t>OVA-28009-0000</t>
  </si>
  <si>
    <t>OVA-28010-0000</t>
  </si>
  <si>
    <t>OVA-28011-0000</t>
  </si>
  <si>
    <t>OVA-28012-0000</t>
  </si>
  <si>
    <t>OVA-28013-0000</t>
  </si>
  <si>
    <t>OVA-28014-0000</t>
  </si>
  <si>
    <t>OVA-28015-0000</t>
  </si>
  <si>
    <t>OVA-28016-0000</t>
  </si>
  <si>
    <t>OVA-28017-0000</t>
  </si>
  <si>
    <t>OVA-28018-0000</t>
  </si>
  <si>
    <t>OVA-28019-0000</t>
  </si>
  <si>
    <t>OVA-28020-0000</t>
  </si>
  <si>
    <t>OVA-28021-0000</t>
  </si>
  <si>
    <t>OVA-28022-0000</t>
  </si>
  <si>
    <t>OVA-28023-0000</t>
  </si>
  <si>
    <t>OVA-28024-0000</t>
  </si>
  <si>
    <t>OVA-30101-0000</t>
  </si>
  <si>
    <t>OVA-30501-0000</t>
  </si>
  <si>
    <t>OVA-31001-0000</t>
  </si>
  <si>
    <t>OVA-31002-0000</t>
  </si>
  <si>
    <t>OVA-31003-0000</t>
  </si>
  <si>
    <t>OVA-31005-0000</t>
  </si>
  <si>
    <t>OVA-31007-0000</t>
  </si>
  <si>
    <t>OVA-31008-0000</t>
  </si>
  <si>
    <t>OVA-31009-0000</t>
  </si>
  <si>
    <t>OVA-31010-0000</t>
  </si>
  <si>
    <t>OVA-31012-0000</t>
  </si>
  <si>
    <t>OVA-31015-0000</t>
  </si>
  <si>
    <t>OVA-31016-0000</t>
  </si>
  <si>
    <t>OVA-31018-0000</t>
  </si>
  <si>
    <t>OVA-31801-0000</t>
  </si>
  <si>
    <t>OVA-31802-0000</t>
  </si>
  <si>
    <t>OVA-31803-0000</t>
  </si>
  <si>
    <t>OVA-31804-0000</t>
  </si>
  <si>
    <t>OVA-31900-0000</t>
  </si>
  <si>
    <t>OVA-36000-0000</t>
  </si>
  <si>
    <t>OVA-36002-0000</t>
  </si>
  <si>
    <t>OVA-36003-0000</t>
  </si>
  <si>
    <t>OVA-36004-0000</t>
  </si>
  <si>
    <t>OVA-36005-0000</t>
  </si>
  <si>
    <t>OVA-36006-0000</t>
  </si>
  <si>
    <t>OVA-36008-0000</t>
  </si>
  <si>
    <t>OVA-36018-0000</t>
  </si>
  <si>
    <t>OVA-36801-0000</t>
  </si>
  <si>
    <t>OVA-36802-0000</t>
  </si>
  <si>
    <t>OVA-36803-0000</t>
  </si>
  <si>
    <t>OVA-36804-0000</t>
  </si>
  <si>
    <t>OVA-36900-0000</t>
  </si>
  <si>
    <t>OVA-36901-0000</t>
  </si>
  <si>
    <t>OVA-38100-0000</t>
  </si>
  <si>
    <t>OVA-38100-1000</t>
  </si>
  <si>
    <t>OVA-41112-0000</t>
  </si>
  <si>
    <t>OVA-41120-0000</t>
  </si>
  <si>
    <t>OVA-42110-0000</t>
  </si>
  <si>
    <t>OVA-42130-0000</t>
  </si>
  <si>
    <t>OVA-42140-0000</t>
  </si>
  <si>
    <t>OVA-42150-0000</t>
  </si>
  <si>
    <t>OVA-42160-0000</t>
  </si>
  <si>
    <t>OVA-42405-0000</t>
  </si>
  <si>
    <t>OVA-43120-0000</t>
  </si>
  <si>
    <t>OVA-43121-0000</t>
  </si>
  <si>
    <t>OVA-43200-0000</t>
  </si>
  <si>
    <t>OVA-43410-0000</t>
  </si>
  <si>
    <t>OVA-43420-0000</t>
  </si>
  <si>
    <t>OVA-43430-0000</t>
  </si>
  <si>
    <t>OVA-43440-0000</t>
  </si>
  <si>
    <t>OVA-43450-0000</t>
  </si>
  <si>
    <t>OVA-43480-0000</t>
  </si>
  <si>
    <t>OVA-43490-0000</t>
  </si>
  <si>
    <t>OVA-43491-0000</t>
  </si>
  <si>
    <t>OVA-43492-0000</t>
  </si>
  <si>
    <t>OVA-43493-0000</t>
  </si>
  <si>
    <t>OVA-43494-0000</t>
  </si>
  <si>
    <t>OVA-43495-0000</t>
  </si>
  <si>
    <t>OVA-44000-0000</t>
  </si>
  <si>
    <t>OVA-46000-0000</t>
  </si>
  <si>
    <t>OVA-47300-0000</t>
  </si>
  <si>
    <t>OVA-47550-0000</t>
  </si>
  <si>
    <t>OVA-49500-9999</t>
  </si>
  <si>
    <t>OVA-51003-0000</t>
  </si>
  <si>
    <t>OVA-51004-0000</t>
  </si>
  <si>
    <t>OVA-51007-0000</t>
  </si>
  <si>
    <t>OVA-51010-0000</t>
  </si>
  <si>
    <t>OVA-51014-0000</t>
  </si>
  <si>
    <t>OVA-51015-0000</t>
  </si>
  <si>
    <t>OVA-51018-0000</t>
  </si>
  <si>
    <t>OVA-51019-0000</t>
  </si>
  <si>
    <t>OVA-51021-0000</t>
  </si>
  <si>
    <t>OVA-51022-0000</t>
  </si>
  <si>
    <t>OVA-51023-0000</t>
  </si>
  <si>
    <t>OVA-51024-0000</t>
  </si>
  <si>
    <t>OVA-51026-0000</t>
  </si>
  <si>
    <t>OVA-51027-0000</t>
  </si>
  <si>
    <t>OVA-51028-0000</t>
  </si>
  <si>
    <t>OVA-51029-0000</t>
  </si>
  <si>
    <t>OVA-51030-0000</t>
  </si>
  <si>
    <t>OVA-51350-0000</t>
  </si>
  <si>
    <t>OVA-52002-0000</t>
  </si>
  <si>
    <t>OVA-52005-0000</t>
  </si>
  <si>
    <t>OVA-52007-0000</t>
  </si>
  <si>
    <t>OVA-52008-0000</t>
  </si>
  <si>
    <t>OVA-53007-0000</t>
  </si>
  <si>
    <t>OVA-53011-0000</t>
  </si>
  <si>
    <t>OVA-54001-0000</t>
  </si>
  <si>
    <t>OVA-54100-0000</t>
  </si>
  <si>
    <t>OVA-61001-0000</t>
  </si>
  <si>
    <t>OVA-61002-0000</t>
  </si>
  <si>
    <t>OVA-61003-0000</t>
  </si>
  <si>
    <t>OVA-61004-0000</t>
  </si>
  <si>
    <t>OVA-61005-0000</t>
  </si>
  <si>
    <t>OVA-61006-0000</t>
  </si>
  <si>
    <t>OVA-61007-0000</t>
  </si>
  <si>
    <t>OVA-61008-0000</t>
  </si>
  <si>
    <t>OVA-61009-0000</t>
  </si>
  <si>
    <t>OVA-61010-0000</t>
  </si>
  <si>
    <t>OVA-61011-0000</t>
  </si>
  <si>
    <t>OVA-61012-0000</t>
  </si>
  <si>
    <t>OVA-61013-0000</t>
  </si>
  <si>
    <t>OVA-61014-0000</t>
  </si>
  <si>
    <t>OVA-61015-0000</t>
  </si>
  <si>
    <t>OVA-61017-0000</t>
  </si>
  <si>
    <t>OVA-61021-0000</t>
  </si>
  <si>
    <t>OVA-61022-0000</t>
  </si>
  <si>
    <t>OVA-61023-0000</t>
  </si>
  <si>
    <t>OVA-61024-0000</t>
  </si>
  <si>
    <t>OVA-61025-0000</t>
  </si>
  <si>
    <t>OVA-71010-0000</t>
  </si>
  <si>
    <t>OVA-71020-0000</t>
  </si>
  <si>
    <t>OVA-71030-0000</t>
  </si>
  <si>
    <t>OVA-71040-0000</t>
  </si>
  <si>
    <t>OVA-71050-0000</t>
  </si>
  <si>
    <t>OVA-71060-0000</t>
  </si>
  <si>
    <t>OVA-71070-0000</t>
  </si>
  <si>
    <t>OVA-71080-0000</t>
  </si>
  <si>
    <t>OVA-71090-0000</t>
  </si>
  <si>
    <t>OVA-71100-0000</t>
  </si>
  <si>
    <t>OVA-71110-0000</t>
  </si>
  <si>
    <t>OVA-73101-0000</t>
  </si>
  <si>
    <t>OVA-73103-0000</t>
  </si>
  <si>
    <t>OVA-73105-0000</t>
  </si>
  <si>
    <t>OVA-80006-0000</t>
  </si>
  <si>
    <t>OVA-80061-0000</t>
  </si>
  <si>
    <t>OVA-81019-0000</t>
  </si>
  <si>
    <t>OVA-81220-0000</t>
  </si>
  <si>
    <t>OVA-81228-0000</t>
  </si>
  <si>
    <t>OVA-81400-0000</t>
  </si>
  <si>
    <t>OVA-82900-0000</t>
  </si>
  <si>
    <t>OVA-85500-0000</t>
  </si>
  <si>
    <t>OVA-85700-0000</t>
  </si>
  <si>
    <t>PGP-10003-0000</t>
  </si>
  <si>
    <t>PGP-10004-0000</t>
  </si>
  <si>
    <t>PGP-10005-0000</t>
  </si>
  <si>
    <t>PGP-10006-0000</t>
  </si>
  <si>
    <t>PGP-10009-0000</t>
  </si>
  <si>
    <t>PGP-10010-0000</t>
  </si>
  <si>
    <t>PGP-10011-0000</t>
  </si>
  <si>
    <t>PGP-10012-0000</t>
  </si>
  <si>
    <t>PGP-10023-0000</t>
  </si>
  <si>
    <t>PGP-10024-0000</t>
  </si>
  <si>
    <t>PGP-10027-0000</t>
  </si>
  <si>
    <t>PGP-10050-0000</t>
  </si>
  <si>
    <t>PGP-11200-0000</t>
  </si>
  <si>
    <t>PGP-11201-0000</t>
  </si>
  <si>
    <t>PGP-11202-0000</t>
  </si>
  <si>
    <t>PGP-11203-0000</t>
  </si>
  <si>
    <t>PGP-11204-0000</t>
  </si>
  <si>
    <t>PGP-11208-0000</t>
  </si>
  <si>
    <t>PGP-11210-0000</t>
  </si>
  <si>
    <t>PGP-11212-0000</t>
  </si>
  <si>
    <t>PGP-11214-0000</t>
  </si>
  <si>
    <t>PGP-11215-0000</t>
  </si>
  <si>
    <t>PGP-11216-0000</t>
  </si>
  <si>
    <t>PGP-11232-0000</t>
  </si>
  <si>
    <t>PGP-11301-0000</t>
  </si>
  <si>
    <t>PGP-11302-0000</t>
  </si>
  <si>
    <t>PGP-11303-0000</t>
  </si>
  <si>
    <t>PGP-11304-0000</t>
  </si>
  <si>
    <t>PGP-11305-0000</t>
  </si>
  <si>
    <t>PGP-11307-0000</t>
  </si>
  <si>
    <t>PGP-11308-0000</t>
  </si>
  <si>
    <t>PGP-11309-0000</t>
  </si>
  <si>
    <t>PGP-11310-0000</t>
  </si>
  <si>
    <t>PGP-11311-0000</t>
  </si>
  <si>
    <t>PGP-11312-0000</t>
  </si>
  <si>
    <t>PGP-11313-0000</t>
  </si>
  <si>
    <t>PGP-11314-0000</t>
  </si>
  <si>
    <t>PGP-11315-0000</t>
  </si>
  <si>
    <t>PGP-11316-0000</t>
  </si>
  <si>
    <t>PGP-11317-0000</t>
  </si>
  <si>
    <t>PGP-11318-0000</t>
  </si>
  <si>
    <t>PGP-11319-0000</t>
  </si>
  <si>
    <t>PGP-11320-0000</t>
  </si>
  <si>
    <t>PGP-11321-0000</t>
  </si>
  <si>
    <t>PGP-11322-0000</t>
  </si>
  <si>
    <t>PGP-11323-0000</t>
  </si>
  <si>
    <t>PGP-11324-0000</t>
  </si>
  <si>
    <t>PGP-11325-0000</t>
  </si>
  <si>
    <t>PGP-11326-0000</t>
  </si>
  <si>
    <t>PGP-11327-0000</t>
  </si>
  <si>
    <t>PGP-11328-0000</t>
  </si>
  <si>
    <t>PGP-11329-0000</t>
  </si>
  <si>
    <t>PGP-11330-0000</t>
  </si>
  <si>
    <t>PGP-11331-0000</t>
  </si>
  <si>
    <t>PGP-11332-0000</t>
  </si>
  <si>
    <t>PGP-11333-0000</t>
  </si>
  <si>
    <t>PGP-11334-0000</t>
  </si>
  <si>
    <t>PGP-11335-0000</t>
  </si>
  <si>
    <t>PGP-11336-0000</t>
  </si>
  <si>
    <t>PGP-11337-0000</t>
  </si>
  <si>
    <t>PGP-11338-0000</t>
  </si>
  <si>
    <t>PGP-11339-0000</t>
  </si>
  <si>
    <t>PGP-11340-0000</t>
  </si>
  <si>
    <t>PGP-11341-0000</t>
  </si>
  <si>
    <t>PGP-11342-0000</t>
  </si>
  <si>
    <t>PGP-11343-0000</t>
  </si>
  <si>
    <t>PGP-11344-0000</t>
  </si>
  <si>
    <t>PGP-11345-0000</t>
  </si>
  <si>
    <t>PGP-11346-0000</t>
  </si>
  <si>
    <t>PGP-11347-0000</t>
  </si>
  <si>
    <t>PGP-11348-0000</t>
  </si>
  <si>
    <t>PGP-11349-0000</t>
  </si>
  <si>
    <t>PGP-11350-0000</t>
  </si>
  <si>
    <t>PGP-11351-0000</t>
  </si>
  <si>
    <t>PGP-11352-0000</t>
  </si>
  <si>
    <t>PGP-11353-0000</t>
  </si>
  <si>
    <t>PGP-11354-0000</t>
  </si>
  <si>
    <t>PGP-11355-0000</t>
  </si>
  <si>
    <t>PGP-11356-0000</t>
  </si>
  <si>
    <t>PGP-11357-0000</t>
  </si>
  <si>
    <t>PGP-11358-0000</t>
  </si>
  <si>
    <t>PGP-11359-0000</t>
  </si>
  <si>
    <t>PGP-11361-0000</t>
  </si>
  <si>
    <t>PGP-11363-0000</t>
  </si>
  <si>
    <t>PGP-11364-0000</t>
  </si>
  <si>
    <t>PGP-11365-0000</t>
  </si>
  <si>
    <t>PGP-11366-0000</t>
  </si>
  <si>
    <t>PGP-11402-0000</t>
  </si>
  <si>
    <t>PGP-11403-0000</t>
  </si>
  <si>
    <t>PGP-12100-0000</t>
  </si>
  <si>
    <t>PGP-12105-0000</t>
  </si>
  <si>
    <t>PGP-12400-0000</t>
  </si>
  <si>
    <t>PGP-12401-0000</t>
  </si>
  <si>
    <t>PGP-12402-0000</t>
  </si>
  <si>
    <t>PGP-12403-0000</t>
  </si>
  <si>
    <t>PGP-12501-0000</t>
  </si>
  <si>
    <t>PGP-12510-0000</t>
  </si>
  <si>
    <t>PGP-13010-0000</t>
  </si>
  <si>
    <t>PGP-13050-0000</t>
  </si>
  <si>
    <t>PGP-13610-0000</t>
  </si>
  <si>
    <t>PGP-13620-0000</t>
  </si>
  <si>
    <t>PGP-13810-0000</t>
  </si>
  <si>
    <t>PGP-13811-0000</t>
  </si>
  <si>
    <t>PGP-13811-1000</t>
  </si>
  <si>
    <t>PGP-13812-0000</t>
  </si>
  <si>
    <t>PGP-13812-1000</t>
  </si>
  <si>
    <t>PGP-13813-0000</t>
  </si>
  <si>
    <t>PGP-13813-1000</t>
  </si>
  <si>
    <t>PGP-13820-0000</t>
  </si>
  <si>
    <t>PGP-13820-1000</t>
  </si>
  <si>
    <t>PGP-13821-0000</t>
  </si>
  <si>
    <t>PGP-13821-1000</t>
  </si>
  <si>
    <t>PGP-13822-0000</t>
  </si>
  <si>
    <t>PGP-13822-1000</t>
  </si>
  <si>
    <t>PGP-14100-0000</t>
  </si>
  <si>
    <t>PGP-15000-0000</t>
  </si>
  <si>
    <t>PGP-15500-0000</t>
  </si>
  <si>
    <t>PGP-15700-0000</t>
  </si>
  <si>
    <t>PGP-15800-0000</t>
  </si>
  <si>
    <t>PGP-16000-0000</t>
  </si>
  <si>
    <t>PGP-17000-0000</t>
  </si>
  <si>
    <t>PGP-18000-0000</t>
  </si>
  <si>
    <t>PGP-22000-0000</t>
  </si>
  <si>
    <t>PGP-22001-0000</t>
  </si>
  <si>
    <t>PGP-22003-0000</t>
  </si>
  <si>
    <t>PGP-22005-0000</t>
  </si>
  <si>
    <t>PGP-22310-0000</t>
  </si>
  <si>
    <t>PGP-22800-0000</t>
  </si>
  <si>
    <t>PGP-22801-0000</t>
  </si>
  <si>
    <t>PGP-22810-0000</t>
  </si>
  <si>
    <t>PGP-22900-0000</t>
  </si>
  <si>
    <t>PGP-22905-0000</t>
  </si>
  <si>
    <t>PGP-22906-0000</t>
  </si>
  <si>
    <t>PGP-23000-0000</t>
  </si>
  <si>
    <t>PGP-23100-0000</t>
  </si>
  <si>
    <t>PGP-23500-0000</t>
  </si>
  <si>
    <t>PGP-23501-0000</t>
  </si>
  <si>
    <t>PGP-23509-0000</t>
  </si>
  <si>
    <t>PGP-23700-0000</t>
  </si>
  <si>
    <t>PGP-23800-0000</t>
  </si>
  <si>
    <t>PGP-24200-0000</t>
  </si>
  <si>
    <t>PGP-24300-0000</t>
  </si>
  <si>
    <t>PGP-24400-0000</t>
  </si>
  <si>
    <t>PGP-24500-0000</t>
  </si>
  <si>
    <t>PGP-24600-0000</t>
  </si>
  <si>
    <t>PGP-25005-0000</t>
  </si>
  <si>
    <t>PGP-25009-0000</t>
  </si>
  <si>
    <t>PGP-25600-0000</t>
  </si>
  <si>
    <t>PGP-25601-0000</t>
  </si>
  <si>
    <t>PGP-25602-0000</t>
  </si>
  <si>
    <t>PGP-25603-0000</t>
  </si>
  <si>
    <t>PGP-25604-0000</t>
  </si>
  <si>
    <t>PGP-28000-0000</t>
  </si>
  <si>
    <t>PGP-28001-0000</t>
  </si>
  <si>
    <t>PGP-28002-0000</t>
  </si>
  <si>
    <t>PGP-28004-0000</t>
  </si>
  <si>
    <t>PGP-28005-0000</t>
  </si>
  <si>
    <t>PGP-28006-0000</t>
  </si>
  <si>
    <t>PGP-28007-0000</t>
  </si>
  <si>
    <t>PGP-28008-0000</t>
  </si>
  <si>
    <t>PGP-28009-0000</t>
  </si>
  <si>
    <t>PGP-28010-0000</t>
  </si>
  <si>
    <t>PGP-28011-0000</t>
  </si>
  <si>
    <t>PGP-28012-0000</t>
  </si>
  <si>
    <t>PGP-28013-0000</t>
  </si>
  <si>
    <t>PGP-28014-0000</t>
  </si>
  <si>
    <t>PGP-28015-0000</t>
  </si>
  <si>
    <t>PGP-28016-0000</t>
  </si>
  <si>
    <t>PGP-28017-0000</t>
  </si>
  <si>
    <t>PGP-28018-0000</t>
  </si>
  <si>
    <t>PGP-28019-0000</t>
  </si>
  <si>
    <t>PGP-28020-0000</t>
  </si>
  <si>
    <t>PGP-28021-0000</t>
  </si>
  <si>
    <t>PGP-28022-0000</t>
  </si>
  <si>
    <t>PGP-28023-0000</t>
  </si>
  <si>
    <t>PGP-28024-0000</t>
  </si>
  <si>
    <t>PGP-30101-0000</t>
  </si>
  <si>
    <t>PGP-30501-0000</t>
  </si>
  <si>
    <t>PGP-31001-0000</t>
  </si>
  <si>
    <t>PGP-31002-0000</t>
  </si>
  <si>
    <t>PGP-31003-0000</t>
  </si>
  <si>
    <t>PGP-31005-0000</t>
  </si>
  <si>
    <t>PGP-31007-0000</t>
  </si>
  <si>
    <t>PGP-31008-0000</t>
  </si>
  <si>
    <t>PGP-31009-0000</t>
  </si>
  <si>
    <t>PGP-31010-0000</t>
  </si>
  <si>
    <t>PGP-31012-0000</t>
  </si>
  <si>
    <t>PGP-31015-0000</t>
  </si>
  <si>
    <t>PGP-31016-0000</t>
  </si>
  <si>
    <t>PGP-31018-0000</t>
  </si>
  <si>
    <t>PGP-31801-0000</t>
  </si>
  <si>
    <t>PGP-31802-0000</t>
  </si>
  <si>
    <t>PGP-31803-0000</t>
  </si>
  <si>
    <t>PGP-31804-0000</t>
  </si>
  <si>
    <t>PGP-31900-0000</t>
  </si>
  <si>
    <t>PGP-36000-0000</t>
  </si>
  <si>
    <t>PGP-36002-0000</t>
  </si>
  <si>
    <t>PGP-36003-0000</t>
  </si>
  <si>
    <t>PGP-36004-0000</t>
  </si>
  <si>
    <t>PGP-36005-0000</t>
  </si>
  <si>
    <t>PGP-36006-0000</t>
  </si>
  <si>
    <t>PGP-36008-0000</t>
  </si>
  <si>
    <t>PGP-36018-0000</t>
  </si>
  <si>
    <t>PGP-36801-0000</t>
  </si>
  <si>
    <t>PGP-36802-0000</t>
  </si>
  <si>
    <t>PGP-36803-0000</t>
  </si>
  <si>
    <t>PGP-36804-0000</t>
  </si>
  <si>
    <t>PGP-36900-0000</t>
  </si>
  <si>
    <t>PGP-36901-0000</t>
  </si>
  <si>
    <t>PGP-38100-0000</t>
  </si>
  <si>
    <t>PGP-38100-1000</t>
  </si>
  <si>
    <t>PGP-40110-0000</t>
  </si>
  <si>
    <t>PGP-40120-0000</t>
  </si>
  <si>
    <t>PGP-40130-0000</t>
  </si>
  <si>
    <t>PGP-40140-0000</t>
  </si>
  <si>
    <t>PGP-41110-0000</t>
  </si>
  <si>
    <t>PGP-41112-0000</t>
  </si>
  <si>
    <t>PGP-41120-0000</t>
  </si>
  <si>
    <t>PGP-42110-0000</t>
  </si>
  <si>
    <t>PGP-42130-0000</t>
  </si>
  <si>
    <t>PGP-42140-0000</t>
  </si>
  <si>
    <t>PGP-42150-0000</t>
  </si>
  <si>
    <t>PGP-42160-0000</t>
  </si>
  <si>
    <t>PGP-42405-0000</t>
  </si>
  <si>
    <t>PGP-43120-0000</t>
  </si>
  <si>
    <t>PGP-43121-0000</t>
  </si>
  <si>
    <t>PGP-43200-0000</t>
  </si>
  <si>
    <t>PGP-43410-0000</t>
  </si>
  <si>
    <t>PGP-43420-0000</t>
  </si>
  <si>
    <t>PGP-43430-0000</t>
  </si>
  <si>
    <t>PGP-43440-0000</t>
  </si>
  <si>
    <t>PGP-43450-0000</t>
  </si>
  <si>
    <t>PGP-43480-0000</t>
  </si>
  <si>
    <t>PGP-43490-0000</t>
  </si>
  <si>
    <t>PGP-43491-0000</t>
  </si>
  <si>
    <t>PGP-43492-0000</t>
  </si>
  <si>
    <t>PGP-43493-0000</t>
  </si>
  <si>
    <t>PGP-43494-0000</t>
  </si>
  <si>
    <t>PGP-43495-0000</t>
  </si>
  <si>
    <t>PGP-44000-0000</t>
  </si>
  <si>
    <t>PGP-46000-0000</t>
  </si>
  <si>
    <t>PGP-47300-0000</t>
  </si>
  <si>
    <t>PGP-47550-0000</t>
  </si>
  <si>
    <t>PGP-49500-9999</t>
  </si>
  <si>
    <t>PGP-51001-0000</t>
  </si>
  <si>
    <t>PGP-51002-0000</t>
  </si>
  <si>
    <t>PGP-51003-0000</t>
  </si>
  <si>
    <t>PGP-51004-0000</t>
  </si>
  <si>
    <t>PGP-51005-0000</t>
  </si>
  <si>
    <t>PGP-51006-0000</t>
  </si>
  <si>
    <t>PGP-51007-0000</t>
  </si>
  <si>
    <t>PGP-51009-0000</t>
  </si>
  <si>
    <t>PGP-51010-0000</t>
  </si>
  <si>
    <t>PGP-51011-0000</t>
  </si>
  <si>
    <t>PGP-51012-0000</t>
  </si>
  <si>
    <t>PGP-51013-0000</t>
  </si>
  <si>
    <t>PGP-51014-0000</t>
  </si>
  <si>
    <t>PGP-51018-0000</t>
  </si>
  <si>
    <t>PGP-51020-0000</t>
  </si>
  <si>
    <t>PGP-51021-0000</t>
  </si>
  <si>
    <t>PGP-51022-0000</t>
  </si>
  <si>
    <t>PGP-51023-0000</t>
  </si>
  <si>
    <t>PGP-51024-0000</t>
  </si>
  <si>
    <t>PGP-51025-0000</t>
  </si>
  <si>
    <t>PGP-51026-0000</t>
  </si>
  <si>
    <t>PGP-51027-0000</t>
  </si>
  <si>
    <t>PGP-51028-0000</t>
  </si>
  <si>
    <t>PGP-51029-0000</t>
  </si>
  <si>
    <t>PGP-51030-0000</t>
  </si>
  <si>
    <t>PGP-51350-0000</t>
  </si>
  <si>
    <t>PGP-52001-0000</t>
  </si>
  <si>
    <t>PGP-52002-0000</t>
  </si>
  <si>
    <t>PGP-52003-0000</t>
  </si>
  <si>
    <t>PGP-52005-0000</t>
  </si>
  <si>
    <t>PGP-52007-0000</t>
  </si>
  <si>
    <t>PGP-52008-0000</t>
  </si>
  <si>
    <t>PGP-53001-0000</t>
  </si>
  <si>
    <t>PGP-53002-0000</t>
  </si>
  <si>
    <t>PGP-53004-0000</t>
  </si>
  <si>
    <t>PGP-53005-0000</t>
  </si>
  <si>
    <t>PGP-53007-0000</t>
  </si>
  <si>
    <t>PGP-53011-0000</t>
  </si>
  <si>
    <t>PGP-54001-0000</t>
  </si>
  <si>
    <t>PGP-54002-0000</t>
  </si>
  <si>
    <t>PGP-54003-0000</t>
  </si>
  <si>
    <t>PGP-54004-0000</t>
  </si>
  <si>
    <t>PGP-54005-0000</t>
  </si>
  <si>
    <t>PGP-54006-0000</t>
  </si>
  <si>
    <t>PGP-54007-0000</t>
  </si>
  <si>
    <t>PGP-54100-0000</t>
  </si>
  <si>
    <t>PGP-61001-0000</t>
  </si>
  <si>
    <t>PGP-61002-0000</t>
  </si>
  <si>
    <t>PGP-61003-0000</t>
  </si>
  <si>
    <t>PGP-61004-0000</t>
  </si>
  <si>
    <t>PGP-61005-0000</t>
  </si>
  <si>
    <t>PGP-61006-0000</t>
  </si>
  <si>
    <t>PGP-61007-0000</t>
  </si>
  <si>
    <t>PGP-61008-0000</t>
  </si>
  <si>
    <t>PGP-61009-0000</t>
  </si>
  <si>
    <t>PGP-61010-0000</t>
  </si>
  <si>
    <t>PGP-61011-0000</t>
  </si>
  <si>
    <t>PGP-61012-0000</t>
  </si>
  <si>
    <t>PGP-61013-0000</t>
  </si>
  <si>
    <t>PGP-61014-0000</t>
  </si>
  <si>
    <t>PGP-61015-0000</t>
  </si>
  <si>
    <t>PGP-61016-0000</t>
  </si>
  <si>
    <t>PGP-61017-0000</t>
  </si>
  <si>
    <t>PGP-61021-0000</t>
  </si>
  <si>
    <t>PGP-61022-0000</t>
  </si>
  <si>
    <t>PGP-61023-0000</t>
  </si>
  <si>
    <t>PGP-61024-0000</t>
  </si>
  <si>
    <t>PGP-61025-0000</t>
  </si>
  <si>
    <t>PGP-71010-0000</t>
  </si>
  <si>
    <t>PGP-71020-0000</t>
  </si>
  <si>
    <t>PGP-71030-0000</t>
  </si>
  <si>
    <t>PGP-71040-0000</t>
  </si>
  <si>
    <t>PGP-71050-0000</t>
  </si>
  <si>
    <t>PGP-71060-0000</t>
  </si>
  <si>
    <t>PGP-71070-0000</t>
  </si>
  <si>
    <t>PGP-71080-0000</t>
  </si>
  <si>
    <t>PGP-71090-0000</t>
  </si>
  <si>
    <t>PGP-71100-0000</t>
  </si>
  <si>
    <t>PGP-71110-0000</t>
  </si>
  <si>
    <t>PGP-73101-0000</t>
  </si>
  <si>
    <t>PGP-73103-0000</t>
  </si>
  <si>
    <t>PGP-73105-0000</t>
  </si>
  <si>
    <t>PGP-80006-0000</t>
  </si>
  <si>
    <t>PGP-80061-0000</t>
  </si>
  <si>
    <t>PGP-81019-0000</t>
  </si>
  <si>
    <t>PGP-81220-0000</t>
  </si>
  <si>
    <t>PGP-81228-0000</t>
  </si>
  <si>
    <t>PGP-81400-0000</t>
  </si>
  <si>
    <t>PGP-82900-0000</t>
  </si>
  <si>
    <t>PGP-85500-0000</t>
  </si>
  <si>
    <t>PGP-85700-0000</t>
  </si>
  <si>
    <t>PUR-10003-0000</t>
  </si>
  <si>
    <t>PUR-10004-0000</t>
  </si>
  <si>
    <t>PUR-10005-0000</t>
  </si>
  <si>
    <t>PUR-10006-0000</t>
  </si>
  <si>
    <t>PUR-10009-0000</t>
  </si>
  <si>
    <t>PUR-10010-0000</t>
  </si>
  <si>
    <t>PUR-10011-0000</t>
  </si>
  <si>
    <t>PUR-10012-0000</t>
  </si>
  <si>
    <t>PUR-10023-0000</t>
  </si>
  <si>
    <t>PUR-10024-0000</t>
  </si>
  <si>
    <t>PUR-10027-0000</t>
  </si>
  <si>
    <t>PUR-10050-0000</t>
  </si>
  <si>
    <t>PUR-11200-0000</t>
  </si>
  <si>
    <t>PUR-11201-0000</t>
  </si>
  <si>
    <t>PUR-11202-0000</t>
  </si>
  <si>
    <t>PUR-11203-0000</t>
  </si>
  <si>
    <t>PUR-11204-0000</t>
  </si>
  <si>
    <t>PUR-11208-0000</t>
  </si>
  <si>
    <t>PUR-11210-0000</t>
  </si>
  <si>
    <t>PUR-11212-0000</t>
  </si>
  <si>
    <t>PUR-11214-0000</t>
  </si>
  <si>
    <t>PUR-11215-0000</t>
  </si>
  <si>
    <t>PUR-11232-0000</t>
  </si>
  <si>
    <t>PUR-11301-0000</t>
  </si>
  <si>
    <t>PUR-11302-0000</t>
  </si>
  <si>
    <t>PUR-11303-0000</t>
  </si>
  <si>
    <t>PUR-11304-0000</t>
  </si>
  <si>
    <t>PUR-11307-0000</t>
  </si>
  <si>
    <t>PUR-11308-0000</t>
  </si>
  <si>
    <t>PUR-11309-0000</t>
  </si>
  <si>
    <t>PUR-11310-0000</t>
  </si>
  <si>
    <t>PUR-11311-0000</t>
  </si>
  <si>
    <t>PUR-11312-0000</t>
  </si>
  <si>
    <t>PUR-11314-0000</t>
  </si>
  <si>
    <t>PUR-11315-0000</t>
  </si>
  <si>
    <t>PUR-11316-0000</t>
  </si>
  <si>
    <t>PUR-11318-0000</t>
  </si>
  <si>
    <t>PUR-11319-0000</t>
  </si>
  <si>
    <t>PUR-11321-0000</t>
  </si>
  <si>
    <t>PUR-11322-0000</t>
  </si>
  <si>
    <t>PUR-11323-0000</t>
  </si>
  <si>
    <t>PUR-11324-0000</t>
  </si>
  <si>
    <t>PUR-11325-0000</t>
  </si>
  <si>
    <t>PUR-11326-0000</t>
  </si>
  <si>
    <t>PUR-11327-0000</t>
  </si>
  <si>
    <t>PUR-11328-0000</t>
  </si>
  <si>
    <t>PUR-11329-0000</t>
  </si>
  <si>
    <t>PUR-11330-0000</t>
  </si>
  <si>
    <t>PUR-11331-0000</t>
  </si>
  <si>
    <t>PUR-11333-0000</t>
  </si>
  <si>
    <t>PUR-11334-0000</t>
  </si>
  <si>
    <t>PUR-11335-0000</t>
  </si>
  <si>
    <t>PUR-11336-0000</t>
  </si>
  <si>
    <t>PUR-11337-0000</t>
  </si>
  <si>
    <t>PUR-11338-0000</t>
  </si>
  <si>
    <t>PUR-11339-0000</t>
  </si>
  <si>
    <t>PUR-11340-0000</t>
  </si>
  <si>
    <t>PUR-11341-0000</t>
  </si>
  <si>
    <t>PUR-11342-0000</t>
  </si>
  <si>
    <t>PUR-11343-0000</t>
  </si>
  <si>
    <t>PUR-11344-0000</t>
  </si>
  <si>
    <t>PUR-11345-0000</t>
  </si>
  <si>
    <t>PUR-11346-0000</t>
  </si>
  <si>
    <t>PUR-11347-0000</t>
  </si>
  <si>
    <t>PUR-11348-0000</t>
  </si>
  <si>
    <t>PUR-11349-0000</t>
  </si>
  <si>
    <t>PUR-11350-0000</t>
  </si>
  <si>
    <t>PUR-11351-0000</t>
  </si>
  <si>
    <t>PUR-11352-0000</t>
  </si>
  <si>
    <t>PUR-11353-0000</t>
  </si>
  <si>
    <t>PUR-11354-0000</t>
  </si>
  <si>
    <t>PUR-11355-0000</t>
  </si>
  <si>
    <t>PUR-11356-0000</t>
  </si>
  <si>
    <t>PUR-11357-0000</t>
  </si>
  <si>
    <t>PUR-11358-0000</t>
  </si>
  <si>
    <t>PUR-11359-0000</t>
  </si>
  <si>
    <t>PUR-11361-0000</t>
  </si>
  <si>
    <t>PUR-11363-0000</t>
  </si>
  <si>
    <t>PUR-11364-0000</t>
  </si>
  <si>
    <t>PUR-11365-0000</t>
  </si>
  <si>
    <t>PUR-11366-0000</t>
  </si>
  <si>
    <t>PUR-11403-0000</t>
  </si>
  <si>
    <t>PUR-12100-0000</t>
  </si>
  <si>
    <t>PUR-12105-0000</t>
  </si>
  <si>
    <t>PUR-12400-0000</t>
  </si>
  <si>
    <t>PUR-12401-0000</t>
  </si>
  <si>
    <t>PUR-12402-0000</t>
  </si>
  <si>
    <t>PUR-12403-0000</t>
  </si>
  <si>
    <t>PUR-12501-0000</t>
  </si>
  <si>
    <t>PUR-12510-0000</t>
  </si>
  <si>
    <t>PUR-13010-0000</t>
  </si>
  <si>
    <t>PUR-13050-0000</t>
  </si>
  <si>
    <t>PUR-13610-0000</t>
  </si>
  <si>
    <t>PUR-13620-0000</t>
  </si>
  <si>
    <t>PUR-13810-0000</t>
  </si>
  <si>
    <t>PUR-13811-0000</t>
  </si>
  <si>
    <t>PUR-13811-1000</t>
  </si>
  <si>
    <t>PUR-13812-0000</t>
  </si>
  <si>
    <t>PUR-13812-1000</t>
  </si>
  <si>
    <t>PUR-13813-0000</t>
  </si>
  <si>
    <t>PUR-13813-1000</t>
  </si>
  <si>
    <t>PUR-13820-0000</t>
  </si>
  <si>
    <t>PUR-13820-1000</t>
  </si>
  <si>
    <t>PUR-13821-0000</t>
  </si>
  <si>
    <t>PUR-13821-1000</t>
  </si>
  <si>
    <t>PUR-13822-0000</t>
  </si>
  <si>
    <t>PUR-13822-1000</t>
  </si>
  <si>
    <t>PUR-14100-0000</t>
  </si>
  <si>
    <t>PUR-15600-0000</t>
  </si>
  <si>
    <t>PUR-15700-0000</t>
  </si>
  <si>
    <t>PUR-15800-0000</t>
  </si>
  <si>
    <t>PUR-22000-0000</t>
  </si>
  <si>
    <t>PUR-22001-0000</t>
  </si>
  <si>
    <t>PUR-22003-0000</t>
  </si>
  <si>
    <t>PUR-22005-0000</t>
  </si>
  <si>
    <t>PUR-22310-0000</t>
  </si>
  <si>
    <t>PUR-22800-0000</t>
  </si>
  <si>
    <t>PUR-22801-0000</t>
  </si>
  <si>
    <t>PUR-22810-0000</t>
  </si>
  <si>
    <t>PUR-22900-0000</t>
  </si>
  <si>
    <t>PUR-22905-0000</t>
  </si>
  <si>
    <t>PUR-22906-0000</t>
  </si>
  <si>
    <t>PUR-23000-0000</t>
  </si>
  <si>
    <t>PUR-23100-0000</t>
  </si>
  <si>
    <t>PUR-23500-0000</t>
  </si>
  <si>
    <t>PUR-23501-0000</t>
  </si>
  <si>
    <t>PUR-23700-0000</t>
  </si>
  <si>
    <t>PUR-23800-0000</t>
  </si>
  <si>
    <t>PUR-24200-0000</t>
  </si>
  <si>
    <t>PUR-24300-0000</t>
  </si>
  <si>
    <t>PUR-24400-0000</t>
  </si>
  <si>
    <t>PUR-24500-0000</t>
  </si>
  <si>
    <t>PUR-24600-0000</t>
  </si>
  <si>
    <t>PUR-25005-0000</t>
  </si>
  <si>
    <t>PUR-25009-0000</t>
  </si>
  <si>
    <t>PUR-25600-0000</t>
  </si>
  <si>
    <t>PUR-25601-0000</t>
  </si>
  <si>
    <t>PUR-25602-0000</t>
  </si>
  <si>
    <t>PUR-25603-0000</t>
  </si>
  <si>
    <t>PUR-25604-0000</t>
  </si>
  <si>
    <t>PUR-28000-0000</t>
  </si>
  <si>
    <t>PUR-28003-0000</t>
  </si>
  <si>
    <t>PUR-28004-0000</t>
  </si>
  <si>
    <t>PUR-28005-0000</t>
  </si>
  <si>
    <t>PUR-28006-0000</t>
  </si>
  <si>
    <t>PUR-28007-0000</t>
  </si>
  <si>
    <t>PUR-28008-0000</t>
  </si>
  <si>
    <t>PUR-28009-0000</t>
  </si>
  <si>
    <t>PUR-28010-0000</t>
  </si>
  <si>
    <t>PUR-28011-0000</t>
  </si>
  <si>
    <t>PUR-28012-0000</t>
  </si>
  <si>
    <t>PUR-28013-0000</t>
  </si>
  <si>
    <t>PUR-28014-0000</t>
  </si>
  <si>
    <t>PUR-28015-0000</t>
  </si>
  <si>
    <t>PUR-28016-0000</t>
  </si>
  <si>
    <t>PUR-28017-0000</t>
  </si>
  <si>
    <t>PUR-28018-0000</t>
  </si>
  <si>
    <t>PUR-28019-0000</t>
  </si>
  <si>
    <t>PUR-28020-0000</t>
  </si>
  <si>
    <t>PUR-28021-0000</t>
  </si>
  <si>
    <t>PUR-28022-0000</t>
  </si>
  <si>
    <t>PUR-28023-0000</t>
  </si>
  <si>
    <t>PUR-28024-0000</t>
  </si>
  <si>
    <t>PUR-30101-0000</t>
  </si>
  <si>
    <t>PUR-30501-0000</t>
  </si>
  <si>
    <t>PUR-31001-0000</t>
  </si>
  <si>
    <t>PUR-31002-0000</t>
  </si>
  <si>
    <t>PUR-31003-0000</t>
  </si>
  <si>
    <t>PUR-31005-0000</t>
  </si>
  <si>
    <t>PUR-31007-0000</t>
  </si>
  <si>
    <t>PUR-31008-0000</t>
  </si>
  <si>
    <t>PUR-31009-0000</t>
  </si>
  <si>
    <t>PUR-31010-0000</t>
  </si>
  <si>
    <t>PUR-31012-0000</t>
  </si>
  <si>
    <t>PUR-31015-0000</t>
  </si>
  <si>
    <t>PUR-31016-0000</t>
  </si>
  <si>
    <t>PUR-31018-0000</t>
  </si>
  <si>
    <t>PUR-31801-0000</t>
  </si>
  <si>
    <t>PUR-31802-0000</t>
  </si>
  <si>
    <t>PUR-31803-0000</t>
  </si>
  <si>
    <t>PUR-31804-0000</t>
  </si>
  <si>
    <t>PUR-31900-0000</t>
  </si>
  <si>
    <t>PUR-36000-0000</t>
  </si>
  <si>
    <t>PUR-36002-0000</t>
  </si>
  <si>
    <t>PUR-36003-0000</t>
  </si>
  <si>
    <t>PUR-36004-0000</t>
  </si>
  <si>
    <t>PUR-36005-0000</t>
  </si>
  <si>
    <t>PUR-36006-0000</t>
  </si>
  <si>
    <t>PUR-36008-0000</t>
  </si>
  <si>
    <t>PUR-36018-0000</t>
  </si>
  <si>
    <t>PUR-36801-0000</t>
  </si>
  <si>
    <t>PUR-36802-0000</t>
  </si>
  <si>
    <t>PUR-36803-0000</t>
  </si>
  <si>
    <t>PUR-36804-0000</t>
  </si>
  <si>
    <t>PUR-36900-0000</t>
  </si>
  <si>
    <t>PUR-36901-0000</t>
  </si>
  <si>
    <t>PUR-38100-0000</t>
  </si>
  <si>
    <t>PUR-38100-1000</t>
  </si>
  <si>
    <t>PUR-41112-0000</t>
  </si>
  <si>
    <t>PUR-41120-0000</t>
  </si>
  <si>
    <t>PUR-42110-0000</t>
  </si>
  <si>
    <t>PUR-42130-0000</t>
  </si>
  <si>
    <t>PUR-42140-0000</t>
  </si>
  <si>
    <t>PUR-42150-0000</t>
  </si>
  <si>
    <t>PUR-42160-0000</t>
  </si>
  <si>
    <t>PUR-42405-0000</t>
  </si>
  <si>
    <t>PUR-43120-0000</t>
  </si>
  <si>
    <t>PUR-43121-0000</t>
  </si>
  <si>
    <t>PUR-43200-0000</t>
  </si>
  <si>
    <t>PUR-43410-0000</t>
  </si>
  <si>
    <t>PUR-43420-0000</t>
  </si>
  <si>
    <t>PUR-43430-0000</t>
  </si>
  <si>
    <t>PUR-43440-0000</t>
  </si>
  <si>
    <t>PUR-43450-0000</t>
  </si>
  <si>
    <t>PUR-43480-0000</t>
  </si>
  <si>
    <t>PUR-43490-0000</t>
  </si>
  <si>
    <t>PUR-43491-0000</t>
  </si>
  <si>
    <t>PUR-43492-0000</t>
  </si>
  <si>
    <t>PUR-43493-0000</t>
  </si>
  <si>
    <t>PUR-43494-0000</t>
  </si>
  <si>
    <t>PUR-43495-0000</t>
  </si>
  <si>
    <t>PUR-44000-0000</t>
  </si>
  <si>
    <t>PUR-46000-0000</t>
  </si>
  <si>
    <t>PUR-47300-0000</t>
  </si>
  <si>
    <t>PUR-47550-0000</t>
  </si>
  <si>
    <t>PUR-49500-9999</t>
  </si>
  <si>
    <t>PUR-51001-0000</t>
  </si>
  <si>
    <t>PUR-51002-0000</t>
  </si>
  <si>
    <t>PUR-51003-0000</t>
  </si>
  <si>
    <t>PUR-51004-0000</t>
  </si>
  <si>
    <t>PUR-51014-0000</t>
  </si>
  <si>
    <t>PUR-51019-0000</t>
  </si>
  <si>
    <t>PUR-51021-0000</t>
  </si>
  <si>
    <t>PUR-51022-0000</t>
  </si>
  <si>
    <t>PUR-51023-0000</t>
  </si>
  <si>
    <t>PUR-51024-0000</t>
  </si>
  <si>
    <t>PUR-51026-0000</t>
  </si>
  <si>
    <t>PUR-51027-0000</t>
  </si>
  <si>
    <t>PUR-51028-0000</t>
  </si>
  <si>
    <t>PUR-51029-0000</t>
  </si>
  <si>
    <t>PUR-51030-0000</t>
  </si>
  <si>
    <t>PUR-51350-0000</t>
  </si>
  <si>
    <t>PUR-52002-0000</t>
  </si>
  <si>
    <t>PUR-52005-0000</t>
  </si>
  <si>
    <t>PUR-52007-0000</t>
  </si>
  <si>
    <t>PUR-52008-0000</t>
  </si>
  <si>
    <t>PUR-53007-0000</t>
  </si>
  <si>
    <t>PUR-53011-0000</t>
  </si>
  <si>
    <t>PUR-54001-0000</t>
  </si>
  <si>
    <t>PUR-54100-0000</t>
  </si>
  <si>
    <t>PUR-61001-0000</t>
  </si>
  <si>
    <t>PUR-61002-0000</t>
  </si>
  <si>
    <t>PUR-61003-0000</t>
  </si>
  <si>
    <t>PUR-61004-0000</t>
  </si>
  <si>
    <t>PUR-61005-0000</t>
  </si>
  <si>
    <t>PUR-61006-0000</t>
  </si>
  <si>
    <t>PUR-61007-0000</t>
  </si>
  <si>
    <t>PUR-61008-0000</t>
  </si>
  <si>
    <t>PUR-61009-0000</t>
  </si>
  <si>
    <t>PUR-61010-0000</t>
  </si>
  <si>
    <t>PUR-61011-0000</t>
  </si>
  <si>
    <t>PUR-61012-0000</t>
  </si>
  <si>
    <t>PUR-61013-0000</t>
  </si>
  <si>
    <t>PUR-61014-0000</t>
  </si>
  <si>
    <t>PUR-61015-0000</t>
  </si>
  <si>
    <t>PUR-61017-0000</t>
  </si>
  <si>
    <t>PUR-61021-0000</t>
  </si>
  <si>
    <t>PUR-61022-0000</t>
  </si>
  <si>
    <t>PUR-61023-0000</t>
  </si>
  <si>
    <t>PUR-61024-0000</t>
  </si>
  <si>
    <t>PUR-61025-0000</t>
  </si>
  <si>
    <t>PUR-71010-0000</t>
  </si>
  <si>
    <t>PUR-71020-0000</t>
  </si>
  <si>
    <t>PUR-71030-0000</t>
  </si>
  <si>
    <t>PUR-71040-0000</t>
  </si>
  <si>
    <t>PUR-71050-0000</t>
  </si>
  <si>
    <t>PUR-71060-0000</t>
  </si>
  <si>
    <t>PUR-71070-0000</t>
  </si>
  <si>
    <t>PUR-71080-0000</t>
  </si>
  <si>
    <t>PUR-71090-0000</t>
  </si>
  <si>
    <t>PUR-71100-0000</t>
  </si>
  <si>
    <t>PUR-71110-0000</t>
  </si>
  <si>
    <t>PUR-73101-0000</t>
  </si>
  <si>
    <t>PUR-73103-0000</t>
  </si>
  <si>
    <t>PUR-73105-0000</t>
  </si>
  <si>
    <t>PUR-80006-0000</t>
  </si>
  <si>
    <t>PUR-80061-0000</t>
  </si>
  <si>
    <t>PUR-81019-0000</t>
  </si>
  <si>
    <t>PUR-81220-0000</t>
  </si>
  <si>
    <t>PUR-81228-0000</t>
  </si>
  <si>
    <t>PUR-81400-0000</t>
  </si>
  <si>
    <t>PUR-82900-0000</t>
  </si>
  <si>
    <t>PUR-85500-0000</t>
  </si>
  <si>
    <t>PUR-85700-0000</t>
  </si>
  <si>
    <t>SEA-10003-0000</t>
  </si>
  <si>
    <t>SEA-10004-0000</t>
  </si>
  <si>
    <t>SEA-10005-0000</t>
  </si>
  <si>
    <t>SEA-10006-0000</t>
  </si>
  <si>
    <t>SEA-10009-0000</t>
  </si>
  <si>
    <t>SEA-10010-0000</t>
  </si>
  <si>
    <t>SEA-10011-0000</t>
  </si>
  <si>
    <t>SEA-10012-0000</t>
  </si>
  <si>
    <t>SEA-10023-0000</t>
  </si>
  <si>
    <t>SEA-10024-0000</t>
  </si>
  <si>
    <t>SEA-10027-0000</t>
  </si>
  <si>
    <t>SEA-10050-0000</t>
  </si>
  <si>
    <t>SEA-11200-0000</t>
  </si>
  <si>
    <t>SEA-11201-0000</t>
  </si>
  <si>
    <t>SEA-11202-0000</t>
  </si>
  <si>
    <t>SEA-11203-0000</t>
  </si>
  <si>
    <t>SEA-11204-0000</t>
  </si>
  <si>
    <t>SEA-11208-0000</t>
  </si>
  <si>
    <t>SEA-11210-0000</t>
  </si>
  <si>
    <t>SEA-11212-0000</t>
  </si>
  <si>
    <t>SEA-11214-0000</t>
  </si>
  <si>
    <t>SEA-11215-0000</t>
  </si>
  <si>
    <t>SEA-11232-0000</t>
  </si>
  <si>
    <t>SEA-11301-0000</t>
  </si>
  <si>
    <t>SEA-11302-0000</t>
  </si>
  <si>
    <t>SEA-11303-0000</t>
  </si>
  <si>
    <t>SEA-11304-0000</t>
  </si>
  <si>
    <t>SEA-11305-0000</t>
  </si>
  <si>
    <t>SEA-11307-0000</t>
  </si>
  <si>
    <t>SEA-11308-0000</t>
  </si>
  <si>
    <t>SEA-11309-0000</t>
  </si>
  <si>
    <t>SEA-11310-0000</t>
  </si>
  <si>
    <t>SEA-11311-0000</t>
  </si>
  <si>
    <t>SEA-11312-0000</t>
  </si>
  <si>
    <t>SEA-11313-0000</t>
  </si>
  <si>
    <t>SEA-11314-0000</t>
  </si>
  <si>
    <t>SEA-11315-0000</t>
  </si>
  <si>
    <t>SEA-11316-0000</t>
  </si>
  <si>
    <t>SEA-11317-0000</t>
  </si>
  <si>
    <t>SEA-11318-0000</t>
  </si>
  <si>
    <t>SEA-11319-0000</t>
  </si>
  <si>
    <t>SEA-11320-0000</t>
  </si>
  <si>
    <t>SEA-11321-0000</t>
  </si>
  <si>
    <t>SEA-11322-0000</t>
  </si>
  <si>
    <t>SEA-11323-0000</t>
  </si>
  <si>
    <t>SEA-11324-0000</t>
  </si>
  <si>
    <t>SEA-11325-0000</t>
  </si>
  <si>
    <t>SEA-11326-0000</t>
  </si>
  <si>
    <t>SEA-11327-0000</t>
  </si>
  <si>
    <t>SEA-11328-0000</t>
  </si>
  <si>
    <t>SEA-11329-0000</t>
  </si>
  <si>
    <t>SEA-11330-0000</t>
  </si>
  <si>
    <t>SEA-11331-0000</t>
  </si>
  <si>
    <t>SEA-11332-0000</t>
  </si>
  <si>
    <t>SEA-11333-0000</t>
  </si>
  <si>
    <t>SEA-11334-0000</t>
  </si>
  <si>
    <t>SEA-11335-0000</t>
  </si>
  <si>
    <t>SEA-11336-0000</t>
  </si>
  <si>
    <t>SEA-11337-0000</t>
  </si>
  <si>
    <t>SEA-11338-0000</t>
  </si>
  <si>
    <t>SEA-11339-0000</t>
  </si>
  <si>
    <t>SEA-11340-0000</t>
  </si>
  <si>
    <t>SEA-11341-0000</t>
  </si>
  <si>
    <t>SEA-11342-0000</t>
  </si>
  <si>
    <t>SEA-11343-0000</t>
  </si>
  <si>
    <t>SEA-11344-0000</t>
  </si>
  <si>
    <t>SEA-11345-0000</t>
  </si>
  <si>
    <t>SEA-11346-0000</t>
  </si>
  <si>
    <t>SEA-11347-0000</t>
  </si>
  <si>
    <t>SEA-11348-0000</t>
  </si>
  <si>
    <t>SEA-11349-0000</t>
  </si>
  <si>
    <t>SEA-11350-0000</t>
  </si>
  <si>
    <t>SEA-11351-0000</t>
  </si>
  <si>
    <t>SEA-11352-0000</t>
  </si>
  <si>
    <t>SEA-11353-0000</t>
  </si>
  <si>
    <t>SEA-11354-0000</t>
  </si>
  <si>
    <t>SEA-11355-0000</t>
  </si>
  <si>
    <t>SEA-11356-0000</t>
  </si>
  <si>
    <t>SEA-11357-0000</t>
  </si>
  <si>
    <t>SEA-11358-0000</t>
  </si>
  <si>
    <t>SEA-11359-0000</t>
  </si>
  <si>
    <t>SEA-11361-0000</t>
  </si>
  <si>
    <t>SEA-11363-0000</t>
  </si>
  <si>
    <t>SEA-11364-0000</t>
  </si>
  <si>
    <t>SEA-11365-0000</t>
  </si>
  <si>
    <t>SEA-11366-0000</t>
  </si>
  <si>
    <t>SEA-11402-0000</t>
  </si>
  <si>
    <t>SEA-11403-0000</t>
  </si>
  <si>
    <t>SEA-12100-0000</t>
  </si>
  <si>
    <t>SEA-12105-0000</t>
  </si>
  <si>
    <t>SEA-12400-0000</t>
  </si>
  <si>
    <t>SEA-12401-0000</t>
  </si>
  <si>
    <t>SEA-12402-0000</t>
  </si>
  <si>
    <t>SEA-12403-0000</t>
  </si>
  <si>
    <t>SEA-12501-0000</t>
  </si>
  <si>
    <t>SEA-12510-0000</t>
  </si>
  <si>
    <t>SEA-13010-0000</t>
  </si>
  <si>
    <t>SEA-13050-0000</t>
  </si>
  <si>
    <t>SEA-13610-0000</t>
  </si>
  <si>
    <t>SEA-13620-0000</t>
  </si>
  <si>
    <t>SEA-13810-0000</t>
  </si>
  <si>
    <t>SEA-13811-0000</t>
  </si>
  <si>
    <t>SEA-13811-1000</t>
  </si>
  <si>
    <t>SEA-13812-0000</t>
  </si>
  <si>
    <t>SEA-13812-1000</t>
  </si>
  <si>
    <t>SEA-13813-0000</t>
  </si>
  <si>
    <t>SEA-13813-1000</t>
  </si>
  <si>
    <t>SEA-13820-0000</t>
  </si>
  <si>
    <t>SEA-13820-1000</t>
  </si>
  <si>
    <t>SEA-13821-0000</t>
  </si>
  <si>
    <t>SEA-13821-1000</t>
  </si>
  <si>
    <t>SEA-13822-0000</t>
  </si>
  <si>
    <t>SEA-13822-1000</t>
  </si>
  <si>
    <t>SEA-14100-0000</t>
  </si>
  <si>
    <t>SEA-15500-0000</t>
  </si>
  <si>
    <t>SEA-15600-0000</t>
  </si>
  <si>
    <t>SEA-15700-0000</t>
  </si>
  <si>
    <t>SEA-15800-0000</t>
  </si>
  <si>
    <t>SEA-16000-0000</t>
  </si>
  <si>
    <t>SEA-18000-0000</t>
  </si>
  <si>
    <t>SEA-22000-0000</t>
  </si>
  <si>
    <t>SEA-22001-0000</t>
  </si>
  <si>
    <t>SEA-22003-0000</t>
  </si>
  <si>
    <t>SEA-22005-0000</t>
  </si>
  <si>
    <t>SEA-22310-0000</t>
  </si>
  <si>
    <t>SEA-22800-0000</t>
  </si>
  <si>
    <t>SEA-22801-0000</t>
  </si>
  <si>
    <t>SEA-22810-0000</t>
  </si>
  <si>
    <t>SEA-22900-0000</t>
  </si>
  <si>
    <t>SEA-22905-0000</t>
  </si>
  <si>
    <t>SEA-22906-0000</t>
  </si>
  <si>
    <t>SEA-23000-0000</t>
  </si>
  <si>
    <t>SEA-23100-0000</t>
  </si>
  <si>
    <t>SEA-23500-0000</t>
  </si>
  <si>
    <t>SEA-23501-0000</t>
  </si>
  <si>
    <t>SEA-23700-0000</t>
  </si>
  <si>
    <t>SEA-23800-0000</t>
  </si>
  <si>
    <t>SEA-24200-0000</t>
  </si>
  <si>
    <t>SEA-24300-0000</t>
  </si>
  <si>
    <t>SEA-24400-0000</t>
  </si>
  <si>
    <t>SEA-24500-0000</t>
  </si>
  <si>
    <t>SEA-24600-0000</t>
  </si>
  <si>
    <t>SEA-25005-0000</t>
  </si>
  <si>
    <t>SEA-25009-0000</t>
  </si>
  <si>
    <t>SEA-25600-0000</t>
  </si>
  <si>
    <t>SEA-25601-0000</t>
  </si>
  <si>
    <t>SEA-25602-0000</t>
  </si>
  <si>
    <t>SEA-25603-0000</t>
  </si>
  <si>
    <t>SEA-25604-0000</t>
  </si>
  <si>
    <t>SEA-28000-0000</t>
  </si>
  <si>
    <t>SEA-28001-0000</t>
  </si>
  <si>
    <t>SEA-28002-0000</t>
  </si>
  <si>
    <t>SEA-28004-0000</t>
  </si>
  <si>
    <t>SEA-28005-0000</t>
  </si>
  <si>
    <t>SEA-28006-0000</t>
  </si>
  <si>
    <t>SEA-28007-0000</t>
  </si>
  <si>
    <t>SEA-28008-0000</t>
  </si>
  <si>
    <t>SEA-28009-0000</t>
  </si>
  <si>
    <t>SEA-28010-0000</t>
  </si>
  <si>
    <t>SEA-28011-0000</t>
  </si>
  <si>
    <t>SEA-28012-0000</t>
  </si>
  <si>
    <t>SEA-28013-0000</t>
  </si>
  <si>
    <t>SEA-28014-0000</t>
  </si>
  <si>
    <t>SEA-28015-0000</t>
  </si>
  <si>
    <t>SEA-28016-0000</t>
  </si>
  <si>
    <t>SEA-28017-0000</t>
  </si>
  <si>
    <t>SEA-28018-0000</t>
  </si>
  <si>
    <t>SEA-28019-0000</t>
  </si>
  <si>
    <t>SEA-28020-0000</t>
  </si>
  <si>
    <t>SEA-28021-0000</t>
  </si>
  <si>
    <t>SEA-28022-0000</t>
  </si>
  <si>
    <t>SEA-28023-0000</t>
  </si>
  <si>
    <t>SEA-28024-0000</t>
  </si>
  <si>
    <t>SEA-30101-0000</t>
  </si>
  <si>
    <t>SEA-30501-0000</t>
  </si>
  <si>
    <t>SEA-31001-0000</t>
  </si>
  <si>
    <t>SEA-31002-0000</t>
  </si>
  <si>
    <t>SEA-31003-0000</t>
  </si>
  <si>
    <t>SEA-31005-0000</t>
  </si>
  <si>
    <t>SEA-31007-0000</t>
  </si>
  <si>
    <t>SEA-31008-0000</t>
  </si>
  <si>
    <t>SEA-31009-0000</t>
  </si>
  <si>
    <t>SEA-31010-0000</t>
  </si>
  <si>
    <t>SEA-31012-0000</t>
  </si>
  <si>
    <t>SEA-31015-0000</t>
  </si>
  <si>
    <t>SEA-31016-0000</t>
  </si>
  <si>
    <t>SEA-31018-0000</t>
  </si>
  <si>
    <t>SEA-31801-0000</t>
  </si>
  <si>
    <t>SEA-31802-0000</t>
  </si>
  <si>
    <t>SEA-31803-0000</t>
  </si>
  <si>
    <t>SEA-31804-0000</t>
  </si>
  <si>
    <t>SEA-31900-0000</t>
  </si>
  <si>
    <t>SEA-36000-0000</t>
  </si>
  <si>
    <t>SEA-36002-0000</t>
  </si>
  <si>
    <t>SEA-36003-0000</t>
  </si>
  <si>
    <t>SEA-36004-0000</t>
  </si>
  <si>
    <t>SEA-36005-0000</t>
  </si>
  <si>
    <t>SEA-36006-0000</t>
  </si>
  <si>
    <t>SEA-36008-0000</t>
  </si>
  <si>
    <t>SEA-36018-0000</t>
  </si>
  <si>
    <t>SEA-36801-0000</t>
  </si>
  <si>
    <t>SEA-36802-0000</t>
  </si>
  <si>
    <t>SEA-36803-0000</t>
  </si>
  <si>
    <t>SEA-36804-0000</t>
  </si>
  <si>
    <t>SEA-36900-0000</t>
  </si>
  <si>
    <t>SEA-36901-0000</t>
  </si>
  <si>
    <t>SEA-38100-0000</t>
  </si>
  <si>
    <t>SEA-38100-1000</t>
  </si>
  <si>
    <t>SEA-41112-0000</t>
  </si>
  <si>
    <t>SEA-41120-0000</t>
  </si>
  <si>
    <t>SEA-42110-0000</t>
  </si>
  <si>
    <t>SEA-42130-0000</t>
  </si>
  <si>
    <t>SEA-42140-0000</t>
  </si>
  <si>
    <t>SEA-42150-0000</t>
  </si>
  <si>
    <t>SEA-42160-0000</t>
  </si>
  <si>
    <t>SEA-42405-0000</t>
  </si>
  <si>
    <t>SEA-43120-0000</t>
  </si>
  <si>
    <t>SEA-43121-0000</t>
  </si>
  <si>
    <t>SEA-43200-0000</t>
  </si>
  <si>
    <t>SEA-43410-0000</t>
  </si>
  <si>
    <t>SEA-43420-0000</t>
  </si>
  <si>
    <t>SEA-43430-0000</t>
  </si>
  <si>
    <t>SEA-43440-0000</t>
  </si>
  <si>
    <t>SEA-43450-0000</t>
  </si>
  <si>
    <t>SEA-43480-0000</t>
  </si>
  <si>
    <t>SEA-43490-0000</t>
  </si>
  <si>
    <t>SEA-43491-0000</t>
  </si>
  <si>
    <t>SEA-43492-0000</t>
  </si>
  <si>
    <t>SEA-43493-0000</t>
  </si>
  <si>
    <t>SEA-43494-0000</t>
  </si>
  <si>
    <t>SEA-43495-0000</t>
  </si>
  <si>
    <t>SEA-44000-0000</t>
  </si>
  <si>
    <t>SEA-46000-0000</t>
  </si>
  <si>
    <t>SEA-47300-0000</t>
  </si>
  <si>
    <t>SEA-47550-0000</t>
  </si>
  <si>
    <t>SEA-49500-9999</t>
  </si>
  <si>
    <t>SEA-51001-0000</t>
  </si>
  <si>
    <t>SEA-51002-0000</t>
  </si>
  <si>
    <t>SEA-51003-0000</t>
  </si>
  <si>
    <t>SEA-51004-0000</t>
  </si>
  <si>
    <t>SEA-51005-0000</t>
  </si>
  <si>
    <t>SEA-51007-0000</t>
  </si>
  <si>
    <t>SEA-51010-0000</t>
  </si>
  <si>
    <t>SEA-51012-0000</t>
  </si>
  <si>
    <t>SEA-51014-0000</t>
  </si>
  <si>
    <t>SEA-51015-0000</t>
  </si>
  <si>
    <t>SEA-51018-0000</t>
  </si>
  <si>
    <t>SEA-51021-0000</t>
  </si>
  <si>
    <t>SEA-51022-0000</t>
  </si>
  <si>
    <t>SEA-51023-0000</t>
  </si>
  <si>
    <t>SEA-51024-0000</t>
  </si>
  <si>
    <t>SEA-51025-0000</t>
  </si>
  <si>
    <t>SEA-51026-0000</t>
  </si>
  <si>
    <t>SEA-51027-0000</t>
  </si>
  <si>
    <t>SEA-51028-0000</t>
  </si>
  <si>
    <t>SEA-51029-0000</t>
  </si>
  <si>
    <t>SEA-51030-0000</t>
  </si>
  <si>
    <t>SEA-51350-0000</t>
  </si>
  <si>
    <t>SEA-52002-0000</t>
  </si>
  <si>
    <t>SEA-52005-0000</t>
  </si>
  <si>
    <t>SEA-52007-0000</t>
  </si>
  <si>
    <t>SEA-52008-0000</t>
  </si>
  <si>
    <t>SEA-53001-0000</t>
  </si>
  <si>
    <t>SEA-53007-0000</t>
  </si>
  <si>
    <t>SEA-53011-0000</t>
  </si>
  <si>
    <t>SEA-54001-0000</t>
  </si>
  <si>
    <t>SEA-54002-0000</t>
  </si>
  <si>
    <t>SEA-54005-0000</t>
  </si>
  <si>
    <t>SEA-54100-0000</t>
  </si>
  <si>
    <t>SEA-61001-0000</t>
  </si>
  <si>
    <t>SEA-61002-0000</t>
  </si>
  <si>
    <t>SEA-61003-0000</t>
  </si>
  <si>
    <t>SEA-61004-0000</t>
  </si>
  <si>
    <t>SEA-61005-0000</t>
  </si>
  <si>
    <t>SEA-61006-0000</t>
  </si>
  <si>
    <t>SEA-61007-0000</t>
  </si>
  <si>
    <t>SEA-61008-0000</t>
  </si>
  <si>
    <t>SEA-61009-0000</t>
  </si>
  <si>
    <t>SEA-61010-0000</t>
  </si>
  <si>
    <t>SEA-61011-0000</t>
  </si>
  <si>
    <t>SEA-61012-0000</t>
  </si>
  <si>
    <t>SEA-61013-0000</t>
  </si>
  <si>
    <t>SEA-61014-0000</t>
  </si>
  <si>
    <t>SEA-61015-0000</t>
  </si>
  <si>
    <t>SEA-61016-0000</t>
  </si>
  <si>
    <t>SEA-61017-0000</t>
  </si>
  <si>
    <t>SEA-61021-0000</t>
  </si>
  <si>
    <t>SEA-61022-0000</t>
  </si>
  <si>
    <t>SEA-61023-0000</t>
  </si>
  <si>
    <t>SEA-61024-0000</t>
  </si>
  <si>
    <t>SEA-61025-0000</t>
  </si>
  <si>
    <t>SEA-71010-0000</t>
  </si>
  <si>
    <t>SEA-71020-0000</t>
  </si>
  <si>
    <t>SEA-71030-0000</t>
  </si>
  <si>
    <t>SEA-71040-0000</t>
  </si>
  <si>
    <t>SEA-71050-0000</t>
  </si>
  <si>
    <t>SEA-71060-0000</t>
  </si>
  <si>
    <t>SEA-71070-0000</t>
  </si>
  <si>
    <t>SEA-71080-0000</t>
  </si>
  <si>
    <t>SEA-71090-0000</t>
  </si>
  <si>
    <t>SEA-71100-0000</t>
  </si>
  <si>
    <t>SEA-71110-0000</t>
  </si>
  <si>
    <t>SEA-73101-0000</t>
  </si>
  <si>
    <t>SEA-73103-0000</t>
  </si>
  <si>
    <t>SEA-73105-0000</t>
  </si>
  <si>
    <t>SEA-80006-0000</t>
  </si>
  <si>
    <t>SEA-80061-0000</t>
  </si>
  <si>
    <t>SEA-81019-0000</t>
  </si>
  <si>
    <t>SEA-81220-0000</t>
  </si>
  <si>
    <t>SEA-81228-0000</t>
  </si>
  <si>
    <t>SEA-81400-0000</t>
  </si>
  <si>
    <t>SEA-82900-0000</t>
  </si>
  <si>
    <t>SEA-85500-0000</t>
  </si>
  <si>
    <t>SEA-85700-0000</t>
  </si>
  <si>
    <t>SEK-10003-0000</t>
  </si>
  <si>
    <t>SEK-10004-0000</t>
  </si>
  <si>
    <t>SEK-10005-0000</t>
  </si>
  <si>
    <t>SEK-10006-0000</t>
  </si>
  <si>
    <t>SEK-10009-0000</t>
  </si>
  <si>
    <t>SEK-10010-0000</t>
  </si>
  <si>
    <t>SEK-10011-0000</t>
  </si>
  <si>
    <t>SEK-10012-0000</t>
  </si>
  <si>
    <t>SEK-10023-0000</t>
  </si>
  <si>
    <t>SEK-10024-0000</t>
  </si>
  <si>
    <t>SEK-10027-0000</t>
  </si>
  <si>
    <t>SEK-10050-0000</t>
  </si>
  <si>
    <t>SEK-11200-0000</t>
  </si>
  <si>
    <t>SEK-11201-0000</t>
  </si>
  <si>
    <t>SEK-11202-0000</t>
  </si>
  <si>
    <t>SEK-11203-0000</t>
  </si>
  <si>
    <t>SEK-11204-0000</t>
  </si>
  <si>
    <t>SEK-11208-0000</t>
  </si>
  <si>
    <t>SEK-11210-0000</t>
  </si>
  <si>
    <t>SEK-11212-0000</t>
  </si>
  <si>
    <t>SEK-11214-0000</t>
  </si>
  <si>
    <t>SEK-11215-0000</t>
  </si>
  <si>
    <t>SEK-11232-0000</t>
  </si>
  <si>
    <t>SEK-11301-0000</t>
  </si>
  <si>
    <t>SEK-11302-0000</t>
  </si>
  <si>
    <t>SEK-11304-0000</t>
  </si>
  <si>
    <t>SEK-11305-0000</t>
  </si>
  <si>
    <t>SEK-11307-0000</t>
  </si>
  <si>
    <t>SEK-11308-0000</t>
  </si>
  <si>
    <t>SEK-11309-0000</t>
  </si>
  <si>
    <t>SEK-11311-0000</t>
  </si>
  <si>
    <t>SEK-11312-0000</t>
  </si>
  <si>
    <t>SEK-11314-0000</t>
  </si>
  <si>
    <t>SEK-11315-0000</t>
  </si>
  <si>
    <t>SEK-11316-0000</t>
  </si>
  <si>
    <t>SEK-11318-0000</t>
  </si>
  <si>
    <t>SEK-11319-0000</t>
  </si>
  <si>
    <t>SEK-11320-0000</t>
  </si>
  <si>
    <t>SEK-11321-0000</t>
  </si>
  <si>
    <t>SEK-11322-0000</t>
  </si>
  <si>
    <t>SEK-11323-0000</t>
  </si>
  <si>
    <t>SEK-11325-0000</t>
  </si>
  <si>
    <t>SEK-11326-0000</t>
  </si>
  <si>
    <t>SEK-11327-0000</t>
  </si>
  <si>
    <t>SEK-11329-0000</t>
  </si>
  <si>
    <t>SEK-11330-0000</t>
  </si>
  <si>
    <t>SEK-11331-0000</t>
  </si>
  <si>
    <t>SEK-11333-0000</t>
  </si>
  <si>
    <t>SEK-11334-0000</t>
  </si>
  <si>
    <t>SEK-11335-0000</t>
  </si>
  <si>
    <t>SEK-11336-0000</t>
  </si>
  <si>
    <t>SEK-11337-0000</t>
  </si>
  <si>
    <t>SEK-11338-0000</t>
  </si>
  <si>
    <t>SEK-11339-0000</t>
  </si>
  <si>
    <t>SEK-11340-0000</t>
  </si>
  <si>
    <t>SEK-11341-0000</t>
  </si>
  <si>
    <t>SEK-11342-0000</t>
  </si>
  <si>
    <t>SEK-11343-0000</t>
  </si>
  <si>
    <t>SEK-11344-0000</t>
  </si>
  <si>
    <t>SEK-11345-0000</t>
  </si>
  <si>
    <t>SEK-11346-0000</t>
  </si>
  <si>
    <t>SEK-11347-0000</t>
  </si>
  <si>
    <t>SEK-11348-0000</t>
  </si>
  <si>
    <t>SEK-11349-0000</t>
  </si>
  <si>
    <t>SEK-11350-0000</t>
  </si>
  <si>
    <t>SEK-11351-0000</t>
  </si>
  <si>
    <t>SEK-11352-0000</t>
  </si>
  <si>
    <t>SEK-11353-0000</t>
  </si>
  <si>
    <t>SEK-11354-0000</t>
  </si>
  <si>
    <t>SEK-11355-0000</t>
  </si>
  <si>
    <t>SEK-11356-0000</t>
  </si>
  <si>
    <t>SEK-11357-0000</t>
  </si>
  <si>
    <t>SEK-11358-0000</t>
  </si>
  <si>
    <t>SEK-11359-0000</t>
  </si>
  <si>
    <t>SEK-11361-0000</t>
  </si>
  <si>
    <t>SEK-11363-0000</t>
  </si>
  <si>
    <t>SEK-11364-0000</t>
  </si>
  <si>
    <t>SEK-11365-0000</t>
  </si>
  <si>
    <t>SEK-11366-0000</t>
  </si>
  <si>
    <t>SEK-11402-0000</t>
  </si>
  <si>
    <t>SEK-11403-0000</t>
  </si>
  <si>
    <t>SEK-12100-0000</t>
  </si>
  <si>
    <t>SEK-12105-0000</t>
  </si>
  <si>
    <t>SEK-12400-0000</t>
  </si>
  <si>
    <t>SEK-12401-0000</t>
  </si>
  <si>
    <t>SEK-12402-0000</t>
  </si>
  <si>
    <t>SEK-12403-0000</t>
  </si>
  <si>
    <t>SEK-12501-0000</t>
  </si>
  <si>
    <t>SEK-12510-0000</t>
  </si>
  <si>
    <t>SEK-13010-0000</t>
  </si>
  <si>
    <t>SEK-13050-0000</t>
  </si>
  <si>
    <t>SEK-13610-0000</t>
  </si>
  <si>
    <t>SEK-13620-0000</t>
  </si>
  <si>
    <t>SEK-13810-0000</t>
  </si>
  <si>
    <t>SEK-13811-0000</t>
  </si>
  <si>
    <t>SEK-13811-1000</t>
  </si>
  <si>
    <t>SEK-13812-0000</t>
  </si>
  <si>
    <t>SEK-13812-1000</t>
  </si>
  <si>
    <t>SEK-13813-0000</t>
  </si>
  <si>
    <t>SEK-13813-1000</t>
  </si>
  <si>
    <t>SEK-13820-0000</t>
  </si>
  <si>
    <t>SEK-13820-1000</t>
  </si>
  <si>
    <t>SEK-13821-0000</t>
  </si>
  <si>
    <t>SEK-13821-1000</t>
  </si>
  <si>
    <t>SEK-13822-0000</t>
  </si>
  <si>
    <t>SEK-13822-1000</t>
  </si>
  <si>
    <t>SEK-14100-0000</t>
  </si>
  <si>
    <t>SEK-15700-0000</t>
  </si>
  <si>
    <t>SEK-15800-0000</t>
  </si>
  <si>
    <t>SEK-22000-0000</t>
  </si>
  <si>
    <t>SEK-22003-0000</t>
  </si>
  <si>
    <t>SEK-22005-0000</t>
  </si>
  <si>
    <t>SEK-22310-0000</t>
  </si>
  <si>
    <t>SEK-22800-0000</t>
  </si>
  <si>
    <t>SEK-22801-0000</t>
  </si>
  <si>
    <t>SEK-22810-0000</t>
  </si>
  <si>
    <t>SEK-22900-0000</t>
  </si>
  <si>
    <t>SEK-22905-0000</t>
  </si>
  <si>
    <t>SEK-22906-0000</t>
  </si>
  <si>
    <t>SEK-23000-0000</t>
  </si>
  <si>
    <t>SEK-23100-0000</t>
  </si>
  <si>
    <t>SEK-23500-0000</t>
  </si>
  <si>
    <t>SEK-23501-0000</t>
  </si>
  <si>
    <t>SEK-23700-0000</t>
  </si>
  <si>
    <t>SEK-23800-0000</t>
  </si>
  <si>
    <t>SEK-24200-0000</t>
  </si>
  <si>
    <t>SEK-24300-0000</t>
  </si>
  <si>
    <t>SEK-24400-0000</t>
  </si>
  <si>
    <t>SEK-24500-0000</t>
  </si>
  <si>
    <t>SEK-24600-0000</t>
  </si>
  <si>
    <t>SEK-25005-0000</t>
  </si>
  <si>
    <t>SEK-25009-0000</t>
  </si>
  <si>
    <t>SEK-25600-0000</t>
  </si>
  <si>
    <t>SEK-25601-0000</t>
  </si>
  <si>
    <t>SEK-25602-0000</t>
  </si>
  <si>
    <t>SEK-25603-0000</t>
  </si>
  <si>
    <t>SEK-25604-0000</t>
  </si>
  <si>
    <t>SEK-28000-0000</t>
  </si>
  <si>
    <t>SEK-28002-0000</t>
  </si>
  <si>
    <t>SEK-28003-0000</t>
  </si>
  <si>
    <t>SEK-28004-0000</t>
  </si>
  <si>
    <t>SEK-28005-0000</t>
  </si>
  <si>
    <t>SEK-28006-0000</t>
  </si>
  <si>
    <t>SEK-28007-0000</t>
  </si>
  <si>
    <t>SEK-28008-0000</t>
  </si>
  <si>
    <t>SEK-28009-0000</t>
  </si>
  <si>
    <t>SEK-28010-0000</t>
  </si>
  <si>
    <t>SEK-28011-0000</t>
  </si>
  <si>
    <t>SEK-28012-0000</t>
  </si>
  <si>
    <t>SEK-28013-0000</t>
  </si>
  <si>
    <t>SEK-28014-0000</t>
  </si>
  <si>
    <t>SEK-28015-0000</t>
  </si>
  <si>
    <t>SEK-28016-0000</t>
  </si>
  <si>
    <t>SEK-28017-0000</t>
  </si>
  <si>
    <t>SEK-28018-0000</t>
  </si>
  <si>
    <t>SEK-28019-0000</t>
  </si>
  <si>
    <t>SEK-28020-0000</t>
  </si>
  <si>
    <t>SEK-28021-0000</t>
  </si>
  <si>
    <t>SEK-28022-0000</t>
  </si>
  <si>
    <t>SEK-28023-0000</t>
  </si>
  <si>
    <t>SEK-28024-0000</t>
  </si>
  <si>
    <t>SEK-30101-0000</t>
  </si>
  <si>
    <t>SEK-30501-0000</t>
  </si>
  <si>
    <t>SEK-31001-0000</t>
  </si>
  <si>
    <t>SEK-31002-0000</t>
  </si>
  <si>
    <t>SEK-31003-0000</t>
  </si>
  <si>
    <t>SEK-31005-0000</t>
  </si>
  <si>
    <t>SEK-31007-0000</t>
  </si>
  <si>
    <t>SEK-31008-0000</t>
  </si>
  <si>
    <t>SEK-31009-0000</t>
  </si>
  <si>
    <t>SEK-31010-0000</t>
  </si>
  <si>
    <t>SEK-31012-0000</t>
  </si>
  <si>
    <t>SEK-31015-0000</t>
  </si>
  <si>
    <t>SEK-31016-0000</t>
  </si>
  <si>
    <t>SEK-31018-0000</t>
  </si>
  <si>
    <t>SEK-31801-0000</t>
  </si>
  <si>
    <t>SEK-31802-0000</t>
  </si>
  <si>
    <t>SEK-31803-0000</t>
  </si>
  <si>
    <t>SEK-31804-0000</t>
  </si>
  <si>
    <t>SEK-31900-0000</t>
  </si>
  <si>
    <t>SEK-36000-0000</t>
  </si>
  <si>
    <t>SEK-36002-0000</t>
  </si>
  <si>
    <t>SEK-36003-0000</t>
  </si>
  <si>
    <t>SEK-36004-0000</t>
  </si>
  <si>
    <t>SEK-36005-0000</t>
  </si>
  <si>
    <t>SEK-36006-0000</t>
  </si>
  <si>
    <t>SEK-36008-0000</t>
  </si>
  <si>
    <t>SEK-36018-0000</t>
  </si>
  <si>
    <t>SEK-36801-0000</t>
  </si>
  <si>
    <t>SEK-36802-0000</t>
  </si>
  <si>
    <t>SEK-36803-0000</t>
  </si>
  <si>
    <t>SEK-36804-0000</t>
  </si>
  <si>
    <t>SEK-36900-0000</t>
  </si>
  <si>
    <t>SEK-36901-0000</t>
  </si>
  <si>
    <t>SEK-38100-0000</t>
  </si>
  <si>
    <t>SEK-38100-1000</t>
  </si>
  <si>
    <t>SEK-41112-0000</t>
  </si>
  <si>
    <t>SEK-41120-0000</t>
  </si>
  <si>
    <t>SEK-42110-0000</t>
  </si>
  <si>
    <t>SEK-42130-0000</t>
  </si>
  <si>
    <t>SEK-42140-0000</t>
  </si>
  <si>
    <t>SEK-42150-0000</t>
  </si>
  <si>
    <t>SEK-42160-0000</t>
  </si>
  <si>
    <t>SEK-42405-0000</t>
  </si>
  <si>
    <t>SEK-43120-0000</t>
  </si>
  <si>
    <t>SEK-43121-0000</t>
  </si>
  <si>
    <t>SEK-43200-0000</t>
  </si>
  <si>
    <t>SEK-43410-0000</t>
  </si>
  <si>
    <t>SEK-43420-0000</t>
  </si>
  <si>
    <t>SEK-43430-0000</t>
  </si>
  <si>
    <t>SEK-43440-0000</t>
  </si>
  <si>
    <t>SEK-43450-0000</t>
  </si>
  <si>
    <t>SEK-43480-0000</t>
  </si>
  <si>
    <t>SEK-43490-0000</t>
  </si>
  <si>
    <t>SEK-43491-0000</t>
  </si>
  <si>
    <t>SEK-43492-0000</t>
  </si>
  <si>
    <t>SEK-43493-0000</t>
  </si>
  <si>
    <t>SEK-43494-0000</t>
  </si>
  <si>
    <t>SEK-43495-0000</t>
  </si>
  <si>
    <t>SEK-44000-0000</t>
  </si>
  <si>
    <t>SEK-46000-0000</t>
  </si>
  <si>
    <t>SEK-47300-0000</t>
  </si>
  <si>
    <t>SEK-47550-0000</t>
  </si>
  <si>
    <t>SEK-49500-9999</t>
  </si>
  <si>
    <t>SEK-51001-0000</t>
  </si>
  <si>
    <t>SEK-51002-0000</t>
  </si>
  <si>
    <t>SEK-51003-0000</t>
  </si>
  <si>
    <t>SEK-51004-0000</t>
  </si>
  <si>
    <t>SEK-51007-0000</t>
  </si>
  <si>
    <t>SEK-51010-0000</t>
  </si>
  <si>
    <t>SEK-51012-0000</t>
  </si>
  <si>
    <t>SEK-51013-0000</t>
  </si>
  <si>
    <t>SEK-51014-0000</t>
  </si>
  <si>
    <t>SEK-51015-0000</t>
  </si>
  <si>
    <t>SEK-51018-0000</t>
  </si>
  <si>
    <t>SEK-51019-0000</t>
  </si>
  <si>
    <t>SEK-51020-0000</t>
  </si>
  <si>
    <t>SEK-51021-0000</t>
  </si>
  <si>
    <t>SEK-51022-0000</t>
  </si>
  <si>
    <t>SEK-51023-0000</t>
  </si>
  <si>
    <t>SEK-51024-0000</t>
  </si>
  <si>
    <t>SEK-51025-0000</t>
  </si>
  <si>
    <t>SEK-51026-0000</t>
  </si>
  <si>
    <t>SEK-51027-0000</t>
  </si>
  <si>
    <t>SEK-51028-0000</t>
  </si>
  <si>
    <t>SEK-51029-0000</t>
  </si>
  <si>
    <t>SEK-51030-0000</t>
  </si>
  <si>
    <t>SEK-51350-0000</t>
  </si>
  <si>
    <t>SEK-52002-0000</t>
  </si>
  <si>
    <t>SEK-52003-0000</t>
  </si>
  <si>
    <t>SEK-52005-0000</t>
  </si>
  <si>
    <t>SEK-52007-0000</t>
  </si>
  <si>
    <t>SEK-52008-0000</t>
  </si>
  <si>
    <t>SEK-53001-0000</t>
  </si>
  <si>
    <t>SEK-53007-0000</t>
  </si>
  <si>
    <t>SEK-53011-0000</t>
  </si>
  <si>
    <t>SEK-54001-0000</t>
  </si>
  <si>
    <t>SEK-54005-0000</t>
  </si>
  <si>
    <t>SEK-54100-0000</t>
  </si>
  <si>
    <t>SEK-61001-0000</t>
  </si>
  <si>
    <t>SEK-61002-0000</t>
  </si>
  <si>
    <t>SEK-61003-0000</t>
  </si>
  <si>
    <t>SEK-61004-0000</t>
  </si>
  <si>
    <t>SEK-61005-0000</t>
  </si>
  <si>
    <t>SEK-61006-0000</t>
  </si>
  <si>
    <t>SEK-61007-0000</t>
  </si>
  <si>
    <t>SEK-61008-0000</t>
  </si>
  <si>
    <t>SEK-61009-0000</t>
  </si>
  <si>
    <t>SEK-61010-0000</t>
  </si>
  <si>
    <t>SEK-61011-0000</t>
  </si>
  <si>
    <t>SEK-61012-0000</t>
  </si>
  <si>
    <t>SEK-61013-0000</t>
  </si>
  <si>
    <t>SEK-61014-0000</t>
  </si>
  <si>
    <t>SEK-61015-0000</t>
  </si>
  <si>
    <t>SEK-61016-0000</t>
  </si>
  <si>
    <t>SEK-61017-0000</t>
  </si>
  <si>
    <t>SEK-61021-0000</t>
  </si>
  <si>
    <t>SEK-61022-0000</t>
  </si>
  <si>
    <t>SEK-61023-0000</t>
  </si>
  <si>
    <t>SEK-61024-0000</t>
  </si>
  <si>
    <t>SEK-61025-0000</t>
  </si>
  <si>
    <t>SEK-71010-0000</t>
  </si>
  <si>
    <t>SEK-71020-0000</t>
  </si>
  <si>
    <t>SEK-71030-0000</t>
  </si>
  <si>
    <t>SEK-71040-0000</t>
  </si>
  <si>
    <t>SEK-71050-0000</t>
  </si>
  <si>
    <t>SEK-71060-0000</t>
  </si>
  <si>
    <t>SEK-71070-0000</t>
  </si>
  <si>
    <t>SEK-71080-0000</t>
  </si>
  <si>
    <t>SEK-71090-0000</t>
  </si>
  <si>
    <t>SEK-71100-0000</t>
  </si>
  <si>
    <t>SEK-71110-0000</t>
  </si>
  <si>
    <t>SEK-73101-0000</t>
  </si>
  <si>
    <t>SEK-73103-0000</t>
  </si>
  <si>
    <t>SEK-73105-0000</t>
  </si>
  <si>
    <t>SEK-80006-0000</t>
  </si>
  <si>
    <t>SEK-80061-0000</t>
  </si>
  <si>
    <t>SEK-81019-0000</t>
  </si>
  <si>
    <t>SEK-81220-0000</t>
  </si>
  <si>
    <t>SEK-81228-0000</t>
  </si>
  <si>
    <t>SEK-81400-0000</t>
  </si>
  <si>
    <t>SEK-82900-0000</t>
  </si>
  <si>
    <t>SEK-85500-0000</t>
  </si>
  <si>
    <t>SEK-85700-0000</t>
  </si>
  <si>
    <t>SIL-10003-0000</t>
  </si>
  <si>
    <t>SIL-10004-0000</t>
  </si>
  <si>
    <t>SIL-10005-0000</t>
  </si>
  <si>
    <t>SIL-10006-0000</t>
  </si>
  <si>
    <t>SIL-10009-0000</t>
  </si>
  <si>
    <t>SIL-10010-0000</t>
  </si>
  <si>
    <t>SIL-10011-0000</t>
  </si>
  <si>
    <t>SIL-10012-0000</t>
  </si>
  <si>
    <t>SIL-10023-0000</t>
  </si>
  <si>
    <t>SIL-10024-0000</t>
  </si>
  <si>
    <t>SIL-10027-0000</t>
  </si>
  <si>
    <t>SIL-10050-0000</t>
  </si>
  <si>
    <t>SIL-11201-0000</t>
  </si>
  <si>
    <t>SIL-11202-0000</t>
  </si>
  <si>
    <t>SIL-11203-0000</t>
  </si>
  <si>
    <t>SIL-11204-0000</t>
  </si>
  <si>
    <t>SIL-11208-0000</t>
  </si>
  <si>
    <t>SIL-11210-0000</t>
  </si>
  <si>
    <t>SIL-11212-0000</t>
  </si>
  <si>
    <t>SIL-11215-0000</t>
  </si>
  <si>
    <t>SIL-11216-0000</t>
  </si>
  <si>
    <t>SIL-11232-0000</t>
  </si>
  <si>
    <t>SIL-11341-0000</t>
  </si>
  <si>
    <t>SIL-11344-0000</t>
  </si>
  <si>
    <t>SIL-11351-0000</t>
  </si>
  <si>
    <t>SIL-11364-0000</t>
  </si>
  <si>
    <t>SIL-11365-0000</t>
  </si>
  <si>
    <t>SIL-11366-0000</t>
  </si>
  <si>
    <t>SIL-11402-0000</t>
  </si>
  <si>
    <t>SIL-11403-0000</t>
  </si>
  <si>
    <t>SIL-12100-0000</t>
  </si>
  <si>
    <t>SIL-12105-0000</t>
  </si>
  <si>
    <t>SIL-12400-0000</t>
  </si>
  <si>
    <t>SIL-12401-0000</t>
  </si>
  <si>
    <t>SIL-12402-0000</t>
  </si>
  <si>
    <t>SIL-12403-0000</t>
  </si>
  <si>
    <t>SIL-12501-0000</t>
  </si>
  <si>
    <t>SIL-12510-0000</t>
  </si>
  <si>
    <t>SIL-13010-0000</t>
  </si>
  <si>
    <t>SIL-13050-0000</t>
  </si>
  <si>
    <t>SIL-13610-0000</t>
  </si>
  <si>
    <t>SIL-13620-0000</t>
  </si>
  <si>
    <t>SIL-13810-0000</t>
  </si>
  <si>
    <t>SIL-13811-0000</t>
  </si>
  <si>
    <t>SIL-13811-1000</t>
  </si>
  <si>
    <t>SIL-13812-0000</t>
  </si>
  <si>
    <t>SIL-13812-1000</t>
  </si>
  <si>
    <t>SIL-13813-0000</t>
  </si>
  <si>
    <t>SIL-13813-1000</t>
  </si>
  <si>
    <t>SIL-13820-0000</t>
  </si>
  <si>
    <t>SIL-13820-1000</t>
  </si>
  <si>
    <t>SIL-13821-0000</t>
  </si>
  <si>
    <t>SIL-13821-1000</t>
  </si>
  <si>
    <t>SIL-13822-0000</t>
  </si>
  <si>
    <t>SIL-13822-1000</t>
  </si>
  <si>
    <t>SIL-14100-0000</t>
  </si>
  <si>
    <t>SIL-15000-0000</t>
  </si>
  <si>
    <t>SIL-15500-0000</t>
  </si>
  <si>
    <t>SIL-15600-0000</t>
  </si>
  <si>
    <t>SIL-15700-0000</t>
  </si>
  <si>
    <t>SIL-15800-0000</t>
  </si>
  <si>
    <t>SIL-22000-0000</t>
  </si>
  <si>
    <t>SIL-22001-0000</t>
  </si>
  <si>
    <t>SIL-22310-0000</t>
  </si>
  <si>
    <t>SIL-22800-0000</t>
  </si>
  <si>
    <t>SIL-22801-0000</t>
  </si>
  <si>
    <t>SIL-22810-0000</t>
  </si>
  <si>
    <t>SIL-22900-0000</t>
  </si>
  <si>
    <t>SIL-22905-0000</t>
  </si>
  <si>
    <t>SIL-22906-0000</t>
  </si>
  <si>
    <t>SIL-23000-0000</t>
  </si>
  <si>
    <t>SIL-23100-0000</t>
  </si>
  <si>
    <t>SIL-23500-0000</t>
  </si>
  <si>
    <t>SIL-23501-0000</t>
  </si>
  <si>
    <t>SIL-23700-0000</t>
  </si>
  <si>
    <t>SIL-23800-0000</t>
  </si>
  <si>
    <t>SIL-24200-0000</t>
  </si>
  <si>
    <t>SIL-24300-0000</t>
  </si>
  <si>
    <t>SIL-24400-0000</t>
  </si>
  <si>
    <t>SIL-24600-0000</t>
  </si>
  <si>
    <t>SIL-25005-0000</t>
  </si>
  <si>
    <t>SIL-25009-0000</t>
  </si>
  <si>
    <t>SIL-25600-0000</t>
  </si>
  <si>
    <t>SIL-25601-0000</t>
  </si>
  <si>
    <t>SIL-25602-0000</t>
  </si>
  <si>
    <t>SIL-25603-0000</t>
  </si>
  <si>
    <t>SIL-25604-0000</t>
  </si>
  <si>
    <t>SIL-28000-0000</t>
  </si>
  <si>
    <t>SIL-28001-0000</t>
  </si>
  <si>
    <t>SIL-28002-0000</t>
  </si>
  <si>
    <t>SIL-28003-0000</t>
  </si>
  <si>
    <t>SIL-28004-0000</t>
  </si>
  <si>
    <t>SIL-28005-0000</t>
  </si>
  <si>
    <t>SIL-28006-0000</t>
  </si>
  <si>
    <t>SIL-28007-0000</t>
  </si>
  <si>
    <t>SIL-28008-0000</t>
  </si>
  <si>
    <t>SIL-28009-0000</t>
  </si>
  <si>
    <t>SIL-28010-0000</t>
  </si>
  <si>
    <t>SIL-28011-0000</t>
  </si>
  <si>
    <t>SIL-28012-0000</t>
  </si>
  <si>
    <t>SIL-28013-0000</t>
  </si>
  <si>
    <t>SIL-28014-0000</t>
  </si>
  <si>
    <t>SIL-28015-0000</t>
  </si>
  <si>
    <t>SIL-28016-0000</t>
  </si>
  <si>
    <t>SIL-28017-0000</t>
  </si>
  <si>
    <t>SIL-28018-0000</t>
  </si>
  <si>
    <t>SIL-28019-0000</t>
  </si>
  <si>
    <t>SIL-28020-0000</t>
  </si>
  <si>
    <t>SIL-28021-0000</t>
  </si>
  <si>
    <t>SIL-28022-0000</t>
  </si>
  <si>
    <t>SIL-28023-0000</t>
  </si>
  <si>
    <t>SIL-28024-0000</t>
  </si>
  <si>
    <t>SIL-30101-0000</t>
  </si>
  <si>
    <t>SIL-30501-0000</t>
  </si>
  <si>
    <t>SIL-31001-0000</t>
  </si>
  <si>
    <t>SIL-31002-0000</t>
  </si>
  <si>
    <t>SIL-31003-0000</t>
  </si>
  <si>
    <t>SIL-31005-0000</t>
  </si>
  <si>
    <t>SIL-31007-0000</t>
  </si>
  <si>
    <t>SIL-31008-0000</t>
  </si>
  <si>
    <t>SIL-31009-0000</t>
  </si>
  <si>
    <t>SIL-31010-0000</t>
  </si>
  <si>
    <t>SIL-31012-0000</t>
  </si>
  <si>
    <t>SIL-31015-0000</t>
  </si>
  <si>
    <t>SIL-31016-0000</t>
  </si>
  <si>
    <t>SIL-31018-0000</t>
  </si>
  <si>
    <t>SIL-31801-0000</t>
  </si>
  <si>
    <t>SIL-31802-0000</t>
  </si>
  <si>
    <t>SIL-31803-0000</t>
  </si>
  <si>
    <t>SIL-31804-0000</t>
  </si>
  <si>
    <t>SIL-31900-0000</t>
  </si>
  <si>
    <t>SIL-36000-0000</t>
  </si>
  <si>
    <t>SIL-36002-0000</t>
  </si>
  <si>
    <t>SIL-36003-0000</t>
  </si>
  <si>
    <t>SIL-36004-0000</t>
  </si>
  <si>
    <t>SIL-36005-0000</t>
  </si>
  <si>
    <t>SIL-36006-0000</t>
  </si>
  <si>
    <t>SIL-36008-0000</t>
  </si>
  <si>
    <t>SIL-36018-0000</t>
  </si>
  <si>
    <t>SIL-36801-0000</t>
  </si>
  <si>
    <t>SIL-36802-0000</t>
  </si>
  <si>
    <t>SIL-36803-0000</t>
  </si>
  <si>
    <t>SIL-36804-0000</t>
  </si>
  <si>
    <t>SIL-36900-0000</t>
  </si>
  <si>
    <t>SIL-36901-0000</t>
  </si>
  <si>
    <t>SIL-38100-0000</t>
  </si>
  <si>
    <t>SIL-38100-1000</t>
  </si>
  <si>
    <t>SIL-40110-0000</t>
  </si>
  <si>
    <t>SIL-40120-0000</t>
  </si>
  <si>
    <t>SIL-40130-0000</t>
  </si>
  <si>
    <t>SIL-40140-0000</t>
  </si>
  <si>
    <t>SIL-41110-0000</t>
  </si>
  <si>
    <t>SIL-41112-0000</t>
  </si>
  <si>
    <t>SIL-41120-0000</t>
  </si>
  <si>
    <t>SIL-42110-0000</t>
  </si>
  <si>
    <t>SIL-42130-0000</t>
  </si>
  <si>
    <t>SIL-42140-0000</t>
  </si>
  <si>
    <t>SIL-42150-0000</t>
  </si>
  <si>
    <t>SIL-42160-0000</t>
  </si>
  <si>
    <t>SIL-42405-0000</t>
  </si>
  <si>
    <t>SIL-43120-0000</t>
  </si>
  <si>
    <t>SIL-43121-0000</t>
  </si>
  <si>
    <t>SIL-43200-0000</t>
  </si>
  <si>
    <t>SIL-43410-0000</t>
  </si>
  <si>
    <t>SIL-43420-0000</t>
  </si>
  <si>
    <t>SIL-43430-0000</t>
  </si>
  <si>
    <t>SIL-43440-0000</t>
  </si>
  <si>
    <t>SIL-43450-0000</t>
  </si>
  <si>
    <t>SIL-43480-0000</t>
  </si>
  <si>
    <t>SIL-43490-0000</t>
  </si>
  <si>
    <t>SIL-43491-0000</t>
  </si>
  <si>
    <t>SIL-43492-0000</t>
  </si>
  <si>
    <t>SIL-43493-0000</t>
  </si>
  <si>
    <t>SIL-43494-0000</t>
  </si>
  <si>
    <t>SIL-43495-0000</t>
  </si>
  <si>
    <t>SIL-44000-0000</t>
  </si>
  <si>
    <t>SIL-46000-0000</t>
  </si>
  <si>
    <t>SIL-47550-0000</t>
  </si>
  <si>
    <t>SIL-49500-9999</t>
  </si>
  <si>
    <t>SIL-51002-0000</t>
  </si>
  <si>
    <t>SIL-51003-0000</t>
  </si>
  <si>
    <t>SIL-51005-0000</t>
  </si>
  <si>
    <t>SIL-51006-0000</t>
  </si>
  <si>
    <t>SIL-51010-0000</t>
  </si>
  <si>
    <t>SIL-51011-0000</t>
  </si>
  <si>
    <t>SIL-51012-0000</t>
  </si>
  <si>
    <t>SIL-51013-0000</t>
  </si>
  <si>
    <t>SIL-51014-0000</t>
  </si>
  <si>
    <t>SIL-51021-0000</t>
  </si>
  <si>
    <t>SIL-51022-0000</t>
  </si>
  <si>
    <t>SIL-51023-0000</t>
  </si>
  <si>
    <t>SIL-51026-0000</t>
  </si>
  <si>
    <t>SIL-51027-0000</t>
  </si>
  <si>
    <t>SIL-51028-0000</t>
  </si>
  <si>
    <t>SIL-51029-0000</t>
  </si>
  <si>
    <t>SIL-51030-0000</t>
  </si>
  <si>
    <t>SIL-51350-0000</t>
  </si>
  <si>
    <t>SIL-52002-0000</t>
  </si>
  <si>
    <t>SIL-52003-0000</t>
  </si>
  <si>
    <t>SIL-52005-0000</t>
  </si>
  <si>
    <t>SIL-52007-0000</t>
  </si>
  <si>
    <t>SIL-52008-0000</t>
  </si>
  <si>
    <t>SIL-53007-0000</t>
  </si>
  <si>
    <t>SIL-53011-0000</t>
  </si>
  <si>
    <t>SIL-54100-0000</t>
  </si>
  <si>
    <t>SIL-61001-0000</t>
  </si>
  <si>
    <t>SIL-61002-0000</t>
  </si>
  <si>
    <t>SIL-61003-0000</t>
  </si>
  <si>
    <t>SIL-61004-0000</t>
  </si>
  <si>
    <t>SIL-61005-0000</t>
  </si>
  <si>
    <t>SIL-61006-0000</t>
  </si>
  <si>
    <t>SIL-61007-0000</t>
  </si>
  <si>
    <t>SIL-61008-0000</t>
  </si>
  <si>
    <t>SIL-61009-0000</t>
  </si>
  <si>
    <t>SIL-61010-0000</t>
  </si>
  <si>
    <t>SIL-61011-0000</t>
  </si>
  <si>
    <t>SIL-61012-0000</t>
  </si>
  <si>
    <t>SIL-61013-0000</t>
  </si>
  <si>
    <t>SIL-61014-0000</t>
  </si>
  <si>
    <t>SIL-61015-0000</t>
  </si>
  <si>
    <t>SIL-61016-0000</t>
  </si>
  <si>
    <t>SIL-61017-0000</t>
  </si>
  <si>
    <t>SIL-61021-0000</t>
  </si>
  <si>
    <t>SIL-61024-0000</t>
  </si>
  <si>
    <t>SIL-61025-0000</t>
  </si>
  <si>
    <t>SIL-71010-0000</t>
  </si>
  <si>
    <t>SIL-71020-0000</t>
  </si>
  <si>
    <t>SIL-71030-0000</t>
  </si>
  <si>
    <t>SIL-71040-0000</t>
  </si>
  <si>
    <t>SIL-71050-0000</t>
  </si>
  <si>
    <t>SIL-71060-0000</t>
  </si>
  <si>
    <t>SIL-71070-0000</t>
  </si>
  <si>
    <t>SIL-71080-0000</t>
  </si>
  <si>
    <t>SIL-71090-0000</t>
  </si>
  <si>
    <t>SIL-71100-0000</t>
  </si>
  <si>
    <t>SIL-71110-0000</t>
  </si>
  <si>
    <t>SIL-73101-0000</t>
  </si>
  <si>
    <t>SIL-73103-0000</t>
  </si>
  <si>
    <t>SIL-73105-0000</t>
  </si>
  <si>
    <t>SIL-80006-0000</t>
  </si>
  <si>
    <t>SIL-80061-0000</t>
  </si>
  <si>
    <t>SIL-81019-0000</t>
  </si>
  <si>
    <t>SIL-81220-0000</t>
  </si>
  <si>
    <t>SIL-81228-0000</t>
  </si>
  <si>
    <t>SIL-81400-0000</t>
  </si>
  <si>
    <t>SIL-82900-0000</t>
  </si>
  <si>
    <t>SIL-85500-0000</t>
  </si>
  <si>
    <t>SIL-85700-0000</t>
  </si>
  <si>
    <t>SOF-10003-0000</t>
  </si>
  <si>
    <t>SOF-10004-0000</t>
  </si>
  <si>
    <t>SOF-10005-0000</t>
  </si>
  <si>
    <t>SOF-10006-0000</t>
  </si>
  <si>
    <t>SOF-10009-0000</t>
  </si>
  <si>
    <t>SOF-10010-0000</t>
  </si>
  <si>
    <t>SOF-10011-0000</t>
  </si>
  <si>
    <t>SOF-10012-0000</t>
  </si>
  <si>
    <t>SOF-10023-0000</t>
  </si>
  <si>
    <t>SOF-10024-0000</t>
  </si>
  <si>
    <t>SOF-10027-0000</t>
  </si>
  <si>
    <t>SOF-10050-0000</t>
  </si>
  <si>
    <t>SOF-11200-0000</t>
  </si>
  <si>
    <t>SOF-11201-0000</t>
  </si>
  <si>
    <t>SOF-11202-0000</t>
  </si>
  <si>
    <t>SOF-11203-0000</t>
  </si>
  <si>
    <t>SOF-11204-0000</t>
  </si>
  <si>
    <t>SOF-11208-0000</t>
  </si>
  <si>
    <t>SOF-11210-0000</t>
  </si>
  <si>
    <t>SOF-11212-0000</t>
  </si>
  <si>
    <t>SOF-11214-0000</t>
  </si>
  <si>
    <t>SOF-11215-0000</t>
  </si>
  <si>
    <t>SOF-11301-0000</t>
  </si>
  <si>
    <t>SOF-11302-0000</t>
  </si>
  <si>
    <t>SOF-11303-0000</t>
  </si>
  <si>
    <t>SOF-11304-0000</t>
  </si>
  <si>
    <t>SOF-11305-0000</t>
  </si>
  <si>
    <t>SOF-11307-0000</t>
  </si>
  <si>
    <t>SOF-11308-0000</t>
  </si>
  <si>
    <t>SOF-11309-0000</t>
  </si>
  <si>
    <t>SOF-11310-0000</t>
  </si>
  <si>
    <t>SOF-11311-0000</t>
  </si>
  <si>
    <t>SOF-11312-0000</t>
  </si>
  <si>
    <t>SOF-11313-0000</t>
  </si>
  <si>
    <t>SOF-11314-0000</t>
  </si>
  <si>
    <t>SOF-11315-0000</t>
  </si>
  <si>
    <t>SOF-11316-0000</t>
  </si>
  <si>
    <t>SOF-11317-0000</t>
  </si>
  <si>
    <t>SOF-11318-0000</t>
  </si>
  <si>
    <t>SOF-11319-0000</t>
  </si>
  <si>
    <t>SOF-11320-0000</t>
  </si>
  <si>
    <t>SOF-11321-0000</t>
  </si>
  <si>
    <t>SOF-11322-0000</t>
  </si>
  <si>
    <t>SOF-11324-0000</t>
  </si>
  <si>
    <t>SOF-11325-0000</t>
  </si>
  <si>
    <t>SOF-11326-0000</t>
  </si>
  <si>
    <t>SOF-11327-0000</t>
  </si>
  <si>
    <t>SOF-11328-0000</t>
  </si>
  <si>
    <t>SOF-11329-0000</t>
  </si>
  <si>
    <t>SOF-11330-0000</t>
  </si>
  <si>
    <t>SOF-11331-0000</t>
  </si>
  <si>
    <t>SOF-11332-0000</t>
  </si>
  <si>
    <t>SOF-11333-0000</t>
  </si>
  <si>
    <t>SOF-11334-0000</t>
  </si>
  <si>
    <t>SOF-11335-0000</t>
  </si>
  <si>
    <t>SOF-11336-0000</t>
  </si>
  <si>
    <t>SOF-11337-0000</t>
  </si>
  <si>
    <t>SOF-11338-0000</t>
  </si>
  <si>
    <t>SOF-11339-0000</t>
  </si>
  <si>
    <t>SOF-11340-0000</t>
  </si>
  <si>
    <t>SOF-11341-0000</t>
  </si>
  <si>
    <t>SOF-11342-0000</t>
  </si>
  <si>
    <t>SOF-11344-0000</t>
  </si>
  <si>
    <t>SOF-11345-0000</t>
  </si>
  <si>
    <t>SOF-11346-0000</t>
  </si>
  <si>
    <t>SOF-11347-0000</t>
  </si>
  <si>
    <t>SOF-11348-0000</t>
  </si>
  <si>
    <t>SOF-11349-0000</t>
  </si>
  <si>
    <t>SOF-11350-0000</t>
  </si>
  <si>
    <t>SOF-11351-0000</t>
  </si>
  <si>
    <t>SOF-11352-0000</t>
  </si>
  <si>
    <t>SOF-11353-0000</t>
  </si>
  <si>
    <t>SOF-11354-0000</t>
  </si>
  <si>
    <t>SOF-11355-0000</t>
  </si>
  <si>
    <t>SOF-11356-0000</t>
  </si>
  <si>
    <t>SOF-11357-0000</t>
  </si>
  <si>
    <t>SOF-11358-0000</t>
  </si>
  <si>
    <t>SOF-11359-0000</t>
  </si>
  <si>
    <t>SOF-11361-0000</t>
  </si>
  <si>
    <t>SOF-11363-0000</t>
  </si>
  <si>
    <t>SOF-11364-0000</t>
  </si>
  <si>
    <t>SOF-11365-0000</t>
  </si>
  <si>
    <t>SOF-11366-0000</t>
  </si>
  <si>
    <t>SOF-11402-0000</t>
  </si>
  <si>
    <t>SOF-11403-0000</t>
  </si>
  <si>
    <t>SOF-12100-0000</t>
  </si>
  <si>
    <t>SOF-12105-0000</t>
  </si>
  <si>
    <t>SOF-12400-0000</t>
  </si>
  <si>
    <t>SOF-12401-0000</t>
  </si>
  <si>
    <t>SOF-12402-0000</t>
  </si>
  <si>
    <t>SOF-12403-0000</t>
  </si>
  <si>
    <t>SOF-12501-0000</t>
  </si>
  <si>
    <t>SOF-12510-0000</t>
  </si>
  <si>
    <t>SOF-13010-0000</t>
  </si>
  <si>
    <t>SOF-13050-0000</t>
  </si>
  <si>
    <t>SOF-13610-0000</t>
  </si>
  <si>
    <t>SOF-13620-0000</t>
  </si>
  <si>
    <t>SOF-13810-0000</t>
  </si>
  <si>
    <t>SOF-13811-0000</t>
  </si>
  <si>
    <t>SOF-13811-1000</t>
  </si>
  <si>
    <t>SOF-13812-0000</t>
  </si>
  <si>
    <t>SOF-13812-1000</t>
  </si>
  <si>
    <t>SOF-13813-0000</t>
  </si>
  <si>
    <t>SOF-13813-1000</t>
  </si>
  <si>
    <t>SOF-13820-0000</t>
  </si>
  <si>
    <t>SOF-13820-1000</t>
  </si>
  <si>
    <t>SOF-13821-0000</t>
  </si>
  <si>
    <t>SOF-13821-1000</t>
  </si>
  <si>
    <t>SOF-13822-0000</t>
  </si>
  <si>
    <t>SOF-13822-1000</t>
  </si>
  <si>
    <t>SOF-14100-0000</t>
  </si>
  <si>
    <t>SOF-15500-0000</t>
  </si>
  <si>
    <t>SOF-15600-0000</t>
  </si>
  <si>
    <t>SOF-15700-0000</t>
  </si>
  <si>
    <t>SOF-15800-0000</t>
  </si>
  <si>
    <t>SOF-16000-0000</t>
  </si>
  <si>
    <t>SOF-17000-0000</t>
  </si>
  <si>
    <t>SOF-18000-0000</t>
  </si>
  <si>
    <t>SOF-22000-0000</t>
  </si>
  <si>
    <t>SOF-22003-0000</t>
  </si>
  <si>
    <t>SOF-22005-0000</t>
  </si>
  <si>
    <t>SOF-22310-0000</t>
  </si>
  <si>
    <t>SOF-22800-0000</t>
  </si>
  <si>
    <t>SOF-22801-0000</t>
  </si>
  <si>
    <t>SOF-22810-0000</t>
  </si>
  <si>
    <t>SOF-22900-0000</t>
  </si>
  <si>
    <t>SOF-22905-0000</t>
  </si>
  <si>
    <t>SOF-22906-0000</t>
  </si>
  <si>
    <t>SOF-23000-0000</t>
  </si>
  <si>
    <t>SOF-23100-0000</t>
  </si>
  <si>
    <t>SOF-23500-0000</t>
  </si>
  <si>
    <t>SOF-23501-0000</t>
  </si>
  <si>
    <t>SOF-23700-0000</t>
  </si>
  <si>
    <t>SOF-23800-0000</t>
  </si>
  <si>
    <t>SOF-24200-0000</t>
  </si>
  <si>
    <t>SOF-24300-0000</t>
  </si>
  <si>
    <t>SOF-24400-0000</t>
  </si>
  <si>
    <t>SOF-24500-0000</t>
  </si>
  <si>
    <t>SOF-24600-0000</t>
  </si>
  <si>
    <t>SOF-25005-0000</t>
  </si>
  <si>
    <t>SOF-25009-0000</t>
  </si>
  <si>
    <t>SOF-25600-0000</t>
  </si>
  <si>
    <t>SOF-25601-0000</t>
  </si>
  <si>
    <t>SOF-25602-0000</t>
  </si>
  <si>
    <t>SOF-25603-0000</t>
  </si>
  <si>
    <t>SOF-25604-0000</t>
  </si>
  <si>
    <t>SOF-28000-0000</t>
  </si>
  <si>
    <t>SOF-28001-0000</t>
  </si>
  <si>
    <t>SOF-28002-0000</t>
  </si>
  <si>
    <t>SOF-28003-0000</t>
  </si>
  <si>
    <t>SOF-28004-0000</t>
  </si>
  <si>
    <t>SOF-28005-0000</t>
  </si>
  <si>
    <t>SOF-28006-0000</t>
  </si>
  <si>
    <t>SOF-28007-0000</t>
  </si>
  <si>
    <t>SOF-28008-0000</t>
  </si>
  <si>
    <t>SOF-28009-0000</t>
  </si>
  <si>
    <t>SOF-28010-0000</t>
  </si>
  <si>
    <t>SOF-28011-0000</t>
  </si>
  <si>
    <t>SOF-28012-0000</t>
  </si>
  <si>
    <t>SOF-28013-0000</t>
  </si>
  <si>
    <t>SOF-28014-0000</t>
  </si>
  <si>
    <t>SOF-28015-0000</t>
  </si>
  <si>
    <t>SOF-28016-0000</t>
  </si>
  <si>
    <t>SOF-28017-0000</t>
  </si>
  <si>
    <t>SOF-28018-0000</t>
  </si>
  <si>
    <t>SOF-28019-0000</t>
  </si>
  <si>
    <t>SOF-28020-0000</t>
  </si>
  <si>
    <t>SOF-28021-0000</t>
  </si>
  <si>
    <t>SOF-28022-0000</t>
  </si>
  <si>
    <t>SOF-28024-0000</t>
  </si>
  <si>
    <t>SOF-30101-0000</t>
  </si>
  <si>
    <t>SOF-30501-0000</t>
  </si>
  <si>
    <t>SOF-31001-0000</t>
  </si>
  <si>
    <t>SOF-31002-0000</t>
  </si>
  <si>
    <t>SOF-31003-0000</t>
  </si>
  <si>
    <t>SOF-31005-0000</t>
  </si>
  <si>
    <t>SOF-31007-0000</t>
  </si>
  <si>
    <t>SOF-31008-0000</t>
  </si>
  <si>
    <t>SOF-31009-0000</t>
  </si>
  <si>
    <t>SOF-31010-0000</t>
  </si>
  <si>
    <t>SOF-31012-0000</t>
  </si>
  <si>
    <t>SOF-31015-0000</t>
  </si>
  <si>
    <t>SOF-31016-0000</t>
  </si>
  <si>
    <t>SOF-31018-0000</t>
  </si>
  <si>
    <t>SOF-31801-0000</t>
  </si>
  <si>
    <t>SOF-31802-0000</t>
  </si>
  <si>
    <t>SOF-31803-0000</t>
  </si>
  <si>
    <t>SOF-31804-0000</t>
  </si>
  <si>
    <t>SOF-31900-0000</t>
  </si>
  <si>
    <t>SOF-36000-0000</t>
  </si>
  <si>
    <t>SOF-36002-0000</t>
  </si>
  <si>
    <t>SOF-36003-0000</t>
  </si>
  <si>
    <t>SOF-36004-0000</t>
  </si>
  <si>
    <t>SOF-36005-0000</t>
  </si>
  <si>
    <t>SOF-36006-0000</t>
  </si>
  <si>
    <t>SOF-36008-0000</t>
  </si>
  <si>
    <t>SOF-36018-0000</t>
  </si>
  <si>
    <t>SOF-36801-0000</t>
  </si>
  <si>
    <t>SOF-36802-0000</t>
  </si>
  <si>
    <t>SOF-36803-0000</t>
  </si>
  <si>
    <t>SOF-36804-0000</t>
  </si>
  <si>
    <t>SOF-36900-0000</t>
  </si>
  <si>
    <t>SOF-36901-0000</t>
  </si>
  <si>
    <t>SOF-38100-0000</t>
  </si>
  <si>
    <t>SOF-38100-1000</t>
  </si>
  <si>
    <t>SOF-41112-0000</t>
  </si>
  <si>
    <t>SOF-41120-0000</t>
  </si>
  <si>
    <t>SOF-42110-0000</t>
  </si>
  <si>
    <t>SOF-42130-0000</t>
  </si>
  <si>
    <t>SOF-42140-0000</t>
  </si>
  <si>
    <t>SOF-42150-0000</t>
  </si>
  <si>
    <t>SOF-42160-0000</t>
  </si>
  <si>
    <t>SOF-42405-0000</t>
  </si>
  <si>
    <t>SOF-43120-0000</t>
  </si>
  <si>
    <t>SOF-43121-0000</t>
  </si>
  <si>
    <t>SOF-43200-0000</t>
  </si>
  <si>
    <t>SOF-43410-0000</t>
  </si>
  <si>
    <t>SOF-43420-0000</t>
  </si>
  <si>
    <t>SOF-43430-0000</t>
  </si>
  <si>
    <t>SOF-43440-0000</t>
  </si>
  <si>
    <t>SOF-43450-0000</t>
  </si>
  <si>
    <t>SOF-43480-0000</t>
  </si>
  <si>
    <t>SOF-43490-0000</t>
  </si>
  <si>
    <t>SOF-43491-0000</t>
  </si>
  <si>
    <t>SOF-43492-0000</t>
  </si>
  <si>
    <t>SOF-43493-0000</t>
  </si>
  <si>
    <t>SOF-43494-0000</t>
  </si>
  <si>
    <t>SOF-43495-0000</t>
  </si>
  <si>
    <t>SOF-44000-0000</t>
  </si>
  <si>
    <t>SOF-47300-0000</t>
  </si>
  <si>
    <t>SOF-47550-0000</t>
  </si>
  <si>
    <t>SOF-49500-9999</t>
  </si>
  <si>
    <t>SOF-51001-0000</t>
  </si>
  <si>
    <t>SOF-51002-0000</t>
  </si>
  <si>
    <t>SOF-51003-0000</t>
  </si>
  <si>
    <t>SOF-51004-0000</t>
  </si>
  <si>
    <t>SOF-51005-0000</t>
  </si>
  <si>
    <t>SOF-51007-0000</t>
  </si>
  <si>
    <t>SOF-51010-0000</t>
  </si>
  <si>
    <t>SOF-51013-0000</t>
  </si>
  <si>
    <t>SOF-51014-0000</t>
  </si>
  <si>
    <t>SOF-51018-0000</t>
  </si>
  <si>
    <t>SOF-51019-0000</t>
  </si>
  <si>
    <t>SOF-51021-0000</t>
  </si>
  <si>
    <t>SOF-51022-0000</t>
  </si>
  <si>
    <t>SOF-51023-0000</t>
  </si>
  <si>
    <t>SOF-51024-0000</t>
  </si>
  <si>
    <t>SOF-51025-0000</t>
  </si>
  <si>
    <t>SOF-51026-0000</t>
  </si>
  <si>
    <t>SOF-51027-0000</t>
  </si>
  <si>
    <t>SOF-51030-0000</t>
  </si>
  <si>
    <t>SOF-51350-0000</t>
  </si>
  <si>
    <t>SOF-52002-0000</t>
  </si>
  <si>
    <t>SOF-52005-0000</t>
  </si>
  <si>
    <t>SOF-52007-0000</t>
  </si>
  <si>
    <t>SOF-52008-0000</t>
  </si>
  <si>
    <t>SOF-53007-0000</t>
  </si>
  <si>
    <t>SOF-53011-0000</t>
  </si>
  <si>
    <t>SOF-54001-0000</t>
  </si>
  <si>
    <t>SOF-54100-0000</t>
  </si>
  <si>
    <t>SOF-61001-0000</t>
  </si>
  <si>
    <t>SOF-61002-0000</t>
  </si>
  <si>
    <t>SOF-61003-0000</t>
  </si>
  <si>
    <t>SOF-61004-0000</t>
  </si>
  <si>
    <t>SOF-61005-0000</t>
  </si>
  <si>
    <t>SOF-61006-0000</t>
  </si>
  <si>
    <t>SOF-61007-0000</t>
  </si>
  <si>
    <t>SOF-61008-0000</t>
  </si>
  <si>
    <t>SOF-61009-0000</t>
  </si>
  <si>
    <t>SOF-61010-0000</t>
  </si>
  <si>
    <t>SOF-61011-0000</t>
  </si>
  <si>
    <t>SOF-61012-0000</t>
  </si>
  <si>
    <t>SOF-61013-0000</t>
  </si>
  <si>
    <t>SOF-61014-0000</t>
  </si>
  <si>
    <t>SOF-61015-0000</t>
  </si>
  <si>
    <t>SOF-61017-0000</t>
  </si>
  <si>
    <t>SOF-61021-0000</t>
  </si>
  <si>
    <t>SOF-61022-0000</t>
  </si>
  <si>
    <t>SOF-61023-0000</t>
  </si>
  <si>
    <t>SOF-61024-0000</t>
  </si>
  <si>
    <t>SOF-61025-0000</t>
  </si>
  <si>
    <t>SOF-71010-0000</t>
  </si>
  <si>
    <t>SOF-71020-0000</t>
  </si>
  <si>
    <t>SOF-71030-0000</t>
  </si>
  <si>
    <t>SOF-71040-0000</t>
  </si>
  <si>
    <t>SOF-71050-0000</t>
  </si>
  <si>
    <t>SOF-71060-0000</t>
  </si>
  <si>
    <t>SOF-71070-0000</t>
  </si>
  <si>
    <t>SOF-71080-0000</t>
  </si>
  <si>
    <t>SOF-71090-0000</t>
  </si>
  <si>
    <t>SOF-71100-0000</t>
  </si>
  <si>
    <t>SOF-71110-0000</t>
  </si>
  <si>
    <t>SOF-73101-0000</t>
  </si>
  <si>
    <t>SOF-73103-0000</t>
  </si>
  <si>
    <t>SOF-73105-0000</t>
  </si>
  <si>
    <t>SOF-80006-0000</t>
  </si>
  <si>
    <t>SOF-80061-0000</t>
  </si>
  <si>
    <t>SOF-81019-0000</t>
  </si>
  <si>
    <t>SOF-81220-0000</t>
  </si>
  <si>
    <t>SOF-81228-0000</t>
  </si>
  <si>
    <t>SOF-81400-0000</t>
  </si>
  <si>
    <t>SOF-82900-0000</t>
  </si>
  <si>
    <t>SOF-85500-0000</t>
  </si>
  <si>
    <t>SOF-85700-0000</t>
  </si>
  <si>
    <t>SOU-10003-0000</t>
  </si>
  <si>
    <t>SOU-10004-0000</t>
  </si>
  <si>
    <t>SOU-10005-0000</t>
  </si>
  <si>
    <t>SOU-10006-0000</t>
  </si>
  <si>
    <t>SOU-10009-0000</t>
  </si>
  <si>
    <t>SOU-10010-0000</t>
  </si>
  <si>
    <t>SOU-10011-0000</t>
  </si>
  <si>
    <t>SOU-10012-0000</t>
  </si>
  <si>
    <t>SOU-10023-0000</t>
  </si>
  <si>
    <t>SOU-10024-0000</t>
  </si>
  <si>
    <t>SOU-10027-0000</t>
  </si>
  <si>
    <t>SOU-10050-0000</t>
  </si>
  <si>
    <t>SOU-11200-0000</t>
  </si>
  <si>
    <t>SOU-11201-0000</t>
  </si>
  <si>
    <t>SOU-11202-0000</t>
  </si>
  <si>
    <t>SOU-11203-0000</t>
  </si>
  <si>
    <t>SOU-11204-0000</t>
  </si>
  <si>
    <t>SOU-11208-0000</t>
  </si>
  <si>
    <t>SOU-11210-0000</t>
  </si>
  <si>
    <t>SOU-11212-0000</t>
  </si>
  <si>
    <t>SOU-11214-0000</t>
  </si>
  <si>
    <t>SOU-11215-0000</t>
  </si>
  <si>
    <t>SOU-11216-0000</t>
  </si>
  <si>
    <t>SOU-11232-0000</t>
  </si>
  <si>
    <t>SOU-11301-0000</t>
  </si>
  <si>
    <t>SOU-11302-0000</t>
  </si>
  <si>
    <t>SOU-11303-0000</t>
  </si>
  <si>
    <t>SOU-11304-0000</t>
  </si>
  <si>
    <t>SOU-11305-0000</t>
  </si>
  <si>
    <t>SOU-11307-0000</t>
  </si>
  <si>
    <t>SOU-11308-0000</t>
  </si>
  <si>
    <t>SOU-11309-0000</t>
  </si>
  <si>
    <t>SOU-11310-0000</t>
  </si>
  <si>
    <t>SOU-11311-0000</t>
  </si>
  <si>
    <t>SOU-11312-0000</t>
  </si>
  <si>
    <t>SOU-11313-0000</t>
  </si>
  <si>
    <t>SOU-11314-0000</t>
  </si>
  <si>
    <t>SOU-11315-0000</t>
  </si>
  <si>
    <t>SOU-11316-0000</t>
  </si>
  <si>
    <t>SOU-11317-0000</t>
  </si>
  <si>
    <t>SOU-11318-0000</t>
  </si>
  <si>
    <t>SOU-11319-0000</t>
  </si>
  <si>
    <t>SOU-11320-0000</t>
  </si>
  <si>
    <t>SOU-11321-0000</t>
  </si>
  <si>
    <t>SOU-11322-0000</t>
  </si>
  <si>
    <t>SOU-11323-0000</t>
  </si>
  <si>
    <t>SOU-11324-0000</t>
  </si>
  <si>
    <t>SOU-11325-0000</t>
  </si>
  <si>
    <t>SOU-11326-0000</t>
  </si>
  <si>
    <t>SOU-11327-0000</t>
  </si>
  <si>
    <t>SOU-11328-0000</t>
  </si>
  <si>
    <t>SOU-11329-0000</t>
  </si>
  <si>
    <t>SOU-11331-0000</t>
  </si>
  <si>
    <t>SOU-11332-0000</t>
  </si>
  <si>
    <t>SOU-11333-0000</t>
  </si>
  <si>
    <t>SOU-11334-0000</t>
  </si>
  <si>
    <t>SOU-11335-0000</t>
  </si>
  <si>
    <t>SOU-11336-0000</t>
  </si>
  <si>
    <t>SOU-11337-0000</t>
  </si>
  <si>
    <t>SOU-11338-0000</t>
  </si>
  <si>
    <t>SOU-11339-0000</t>
  </si>
  <si>
    <t>SOU-11340-0000</t>
  </si>
  <si>
    <t>SOU-11341-0000</t>
  </si>
  <si>
    <t>SOU-11342-0000</t>
  </si>
  <si>
    <t>SOU-11343-0000</t>
  </si>
  <si>
    <t>SOU-11344-0000</t>
  </si>
  <si>
    <t>SOU-11345-0000</t>
  </si>
  <si>
    <t>SOU-11346-0000</t>
  </si>
  <si>
    <t>SOU-11347-0000</t>
  </si>
  <si>
    <t>SOU-11348-0000</t>
  </si>
  <si>
    <t>SOU-11349-0000</t>
  </si>
  <si>
    <t>SOU-11350-0000</t>
  </si>
  <si>
    <t>SOU-11351-0000</t>
  </si>
  <si>
    <t>SOU-11352-0000</t>
  </si>
  <si>
    <t>SOU-11353-0000</t>
  </si>
  <si>
    <t>SOU-11354-0000</t>
  </si>
  <si>
    <t>SOU-11355-0000</t>
  </si>
  <si>
    <t>SOU-11356-0000</t>
  </si>
  <si>
    <t>SOU-11357-0000</t>
  </si>
  <si>
    <t>SOU-11358-0000</t>
  </si>
  <si>
    <t>SOU-11359-0000</t>
  </si>
  <si>
    <t>SOU-11361-0000</t>
  </si>
  <si>
    <t>SOU-11363-0000</t>
  </si>
  <si>
    <t>SOU-11364-0000</t>
  </si>
  <si>
    <t>SOU-11365-0000</t>
  </si>
  <si>
    <t>SOU-11366-0000</t>
  </si>
  <si>
    <t>SOU-11402-0000</t>
  </si>
  <si>
    <t>SOU-11403-0000</t>
  </si>
  <si>
    <t>SOU-12100-0000</t>
  </si>
  <si>
    <t>SOU-12105-0000</t>
  </si>
  <si>
    <t>SOU-12400-0000</t>
  </si>
  <si>
    <t>SOU-12401-0000</t>
  </si>
  <si>
    <t>SOU-12402-0000</t>
  </si>
  <si>
    <t>SOU-12403-0000</t>
  </si>
  <si>
    <t>SOU-12501-0000</t>
  </si>
  <si>
    <t>SOU-12510-0000</t>
  </si>
  <si>
    <t>SOU-13010-0000</t>
  </si>
  <si>
    <t>SOU-13050-0000</t>
  </si>
  <si>
    <t>SOU-13610-0000</t>
  </si>
  <si>
    <t>SOU-13620-0000</t>
  </si>
  <si>
    <t>SOU-13810-0000</t>
  </si>
  <si>
    <t>SOU-13811-0000</t>
  </si>
  <si>
    <t>SOU-13811-1000</t>
  </si>
  <si>
    <t>SOU-13812-0000</t>
  </si>
  <si>
    <t>SOU-13812-1000</t>
  </si>
  <si>
    <t>SOU-13813-0000</t>
  </si>
  <si>
    <t>SOU-13813-1000</t>
  </si>
  <si>
    <t>SOU-13820-0000</t>
  </si>
  <si>
    <t>SOU-13820-1000</t>
  </si>
  <si>
    <t>SOU-13821-0000</t>
  </si>
  <si>
    <t>SOU-13821-1000</t>
  </si>
  <si>
    <t>SOU-13822-0000</t>
  </si>
  <si>
    <t>SOU-13822-1000</t>
  </si>
  <si>
    <t>SOU-14100-0000</t>
  </si>
  <si>
    <t>SOU-15000-0000</t>
  </si>
  <si>
    <t>SOU-15500-0000</t>
  </si>
  <si>
    <t>SOU-15600-0000</t>
  </si>
  <si>
    <t>SOU-15700-0000</t>
  </si>
  <si>
    <t>SOU-15800-0000</t>
  </si>
  <si>
    <t>SOU-16000-0000</t>
  </si>
  <si>
    <t>SOU-17000-0000</t>
  </si>
  <si>
    <t>SOU-18000-0000</t>
  </si>
  <si>
    <t>SOU-22000-0000</t>
  </si>
  <si>
    <t>SOU-22001-0000</t>
  </si>
  <si>
    <t>SOU-22003-0000</t>
  </si>
  <si>
    <t>SOU-22005-0000</t>
  </si>
  <si>
    <t>SOU-22310-0000</t>
  </si>
  <si>
    <t>SOU-22800-0000</t>
  </si>
  <si>
    <t>SOU-22801-0000</t>
  </si>
  <si>
    <t>SOU-22810-0000</t>
  </si>
  <si>
    <t>SOU-22900-0000</t>
  </si>
  <si>
    <t>SOU-22905-0000</t>
  </si>
  <si>
    <t>SOU-22906-0000</t>
  </si>
  <si>
    <t>SOU-23000-0000</t>
  </si>
  <si>
    <t>SOU-23100-0000</t>
  </si>
  <si>
    <t>SOU-23500-0000</t>
  </si>
  <si>
    <t>SOU-23501-0000</t>
  </si>
  <si>
    <t>SOU-23509-0000</t>
  </si>
  <si>
    <t>SOU-23700-0000</t>
  </si>
  <si>
    <t>SOU-23800-0000</t>
  </si>
  <si>
    <t>SOU-24200-0000</t>
  </si>
  <si>
    <t>SOU-24300-0000</t>
  </si>
  <si>
    <t>SOU-24400-0000</t>
  </si>
  <si>
    <t>SOU-24500-0000</t>
  </si>
  <si>
    <t>SOU-24600-0000</t>
  </si>
  <si>
    <t>SOU-25005-0000</t>
  </si>
  <si>
    <t>SOU-25009-0000</t>
  </si>
  <si>
    <t>SOU-25600-0000</t>
  </si>
  <si>
    <t>SOU-25601-0000</t>
  </si>
  <si>
    <t>SOU-25602-0000</t>
  </si>
  <si>
    <t>SOU-25603-0000</t>
  </si>
  <si>
    <t>SOU-25604-0000</t>
  </si>
  <si>
    <t>SOU-28000-0000</t>
  </si>
  <si>
    <t>SOU-28001-0000</t>
  </si>
  <si>
    <t>SOU-28002-0000</t>
  </si>
  <si>
    <t>SOU-28003-0000</t>
  </si>
  <si>
    <t>SOU-28004-0000</t>
  </si>
  <si>
    <t>SOU-28005-0000</t>
  </si>
  <si>
    <t>SOU-28006-0000</t>
  </si>
  <si>
    <t>SOU-28007-0000</t>
  </si>
  <si>
    <t>SOU-28008-0000</t>
  </si>
  <si>
    <t>SOU-28009-0000</t>
  </si>
  <si>
    <t>SOU-28010-0000</t>
  </si>
  <si>
    <t>SOU-28011-0000</t>
  </si>
  <si>
    <t>SOU-28012-0000</t>
  </si>
  <si>
    <t>SOU-28013-0000</t>
  </si>
  <si>
    <t>SOU-28014-0000</t>
  </si>
  <si>
    <t>SOU-28015-0000</t>
  </si>
  <si>
    <t>SOU-28016-0000</t>
  </si>
  <si>
    <t>SOU-28017-0000</t>
  </si>
  <si>
    <t>SOU-28018-0000</t>
  </si>
  <si>
    <t>SOU-28019-0000</t>
  </si>
  <si>
    <t>SOU-28020-0000</t>
  </si>
  <si>
    <t>SOU-28021-0000</t>
  </si>
  <si>
    <t>SOU-28022-0000</t>
  </si>
  <si>
    <t>SOU-28023-0000</t>
  </si>
  <si>
    <t>SOU-28024-0000</t>
  </si>
  <si>
    <t>SOU-30101-0000</t>
  </si>
  <si>
    <t>SOU-30501-0000</t>
  </si>
  <si>
    <t>SOU-31001-0000</t>
  </si>
  <si>
    <t>SOU-31002-0000</t>
  </si>
  <si>
    <t>SOU-31003-0000</t>
  </si>
  <si>
    <t>SOU-31005-0000</t>
  </si>
  <si>
    <t>SOU-31007-0000</t>
  </si>
  <si>
    <t>SOU-31008-0000</t>
  </si>
  <si>
    <t>SOU-31009-0000</t>
  </si>
  <si>
    <t>SOU-31010-0000</t>
  </si>
  <si>
    <t>SOU-31012-0000</t>
  </si>
  <si>
    <t>SOU-31015-0000</t>
  </si>
  <si>
    <t>SOU-31016-0000</t>
  </si>
  <si>
    <t>SOU-31018-0000</t>
  </si>
  <si>
    <t>SOU-31801-0000</t>
  </si>
  <si>
    <t>SOU-31802-0000</t>
  </si>
  <si>
    <t>SOU-31803-0000</t>
  </si>
  <si>
    <t>SOU-31804-0000</t>
  </si>
  <si>
    <t>SOU-31900-0000</t>
  </si>
  <si>
    <t>SOU-36000-0000</t>
  </si>
  <si>
    <t>SOU-36002-0000</t>
  </si>
  <si>
    <t>SOU-36003-0000</t>
  </si>
  <si>
    <t>SOU-36004-0000</t>
  </si>
  <si>
    <t>SOU-36005-0000</t>
  </si>
  <si>
    <t>SOU-36006-0000</t>
  </si>
  <si>
    <t>SOU-36008-0000</t>
  </si>
  <si>
    <t>SOU-36018-0000</t>
  </si>
  <si>
    <t>SOU-36801-0000</t>
  </si>
  <si>
    <t>SOU-36802-0000</t>
  </si>
  <si>
    <t>SOU-36803-0000</t>
  </si>
  <si>
    <t>SOU-36804-0000</t>
  </si>
  <si>
    <t>SOU-36900-0000</t>
  </si>
  <si>
    <t>SOU-36901-0000</t>
  </si>
  <si>
    <t>SOU-38100-0000</t>
  </si>
  <si>
    <t>SOU-38100-1000</t>
  </si>
  <si>
    <t>SOU-40110-0000</t>
  </si>
  <si>
    <t>SOU-40120-0000</t>
  </si>
  <si>
    <t>SOU-40130-0000</t>
  </si>
  <si>
    <t>SOU-40140-0000</t>
  </si>
  <si>
    <t>SOU-41110-0000</t>
  </si>
  <si>
    <t>SOU-41112-0000</t>
  </si>
  <si>
    <t>SOU-41120-0000</t>
  </si>
  <si>
    <t>SOU-42110-0000</t>
  </si>
  <si>
    <t>SOU-42130-0000</t>
  </si>
  <si>
    <t>SOU-42140-0000</t>
  </si>
  <si>
    <t>SOU-42150-0000</t>
  </si>
  <si>
    <t>SOU-42160-0000</t>
  </si>
  <si>
    <t>SOU-42405-0000</t>
  </si>
  <si>
    <t>SOU-43120-0000</t>
  </si>
  <si>
    <t>SOU-43121-0000</t>
  </si>
  <si>
    <t>SOU-43410-0000</t>
  </si>
  <si>
    <t>SOU-43420-0000</t>
  </si>
  <si>
    <t>SOU-43430-0000</t>
  </si>
  <si>
    <t>SOU-43440-0000</t>
  </si>
  <si>
    <t>SOU-43450-0000</t>
  </si>
  <si>
    <t>SOU-43480-0000</t>
  </si>
  <si>
    <t>SOU-43490-0000</t>
  </si>
  <si>
    <t>SOU-43491-0000</t>
  </si>
  <si>
    <t>SOU-43492-0000</t>
  </si>
  <si>
    <t>SOU-43493-0000</t>
  </si>
  <si>
    <t>SOU-43494-0000</t>
  </si>
  <si>
    <t>SOU-43495-0000</t>
  </si>
  <si>
    <t>SOU-44000-0000</t>
  </si>
  <si>
    <t>SOU-46000-0000</t>
  </si>
  <si>
    <t>SOU-47300-0000</t>
  </si>
  <si>
    <t>SOU-47550-0000</t>
  </si>
  <si>
    <t>SOU-49500-9999</t>
  </si>
  <si>
    <t>SOU-51001-0000</t>
  </si>
  <si>
    <t>SOU-51003-0000</t>
  </si>
  <si>
    <t>SOU-51004-0000</t>
  </si>
  <si>
    <t>SOU-51005-0000</t>
  </si>
  <si>
    <t>SOU-51006-0000</t>
  </si>
  <si>
    <t>SOU-51007-0000</t>
  </si>
  <si>
    <t>SOU-51009-0000</t>
  </si>
  <si>
    <t>SOU-51010-0000</t>
  </si>
  <si>
    <t>SOU-51011-0000</t>
  </si>
  <si>
    <t>SOU-51012-0000</t>
  </si>
  <si>
    <t>SOU-51013-0000</t>
  </si>
  <si>
    <t>SOU-51014-0000</t>
  </si>
  <si>
    <t>SOU-51015-0000</t>
  </si>
  <si>
    <t>SOU-51018-0000</t>
  </si>
  <si>
    <t>SOU-51019-0000</t>
  </si>
  <si>
    <t>SOU-51020-0000</t>
  </si>
  <si>
    <t>SOU-51021-0000</t>
  </si>
  <si>
    <t>SOU-51022-0000</t>
  </si>
  <si>
    <t>SOU-51023-0000</t>
  </si>
  <si>
    <t>SOU-51024-0000</t>
  </si>
  <si>
    <t>SOU-51025-0000</t>
  </si>
  <si>
    <t>SOU-51026-0000</t>
  </si>
  <si>
    <t>SOU-51027-0000</t>
  </si>
  <si>
    <t>SOU-51028-0000</t>
  </si>
  <si>
    <t>SOU-51029-0000</t>
  </si>
  <si>
    <t>SOU-51030-0000</t>
  </si>
  <si>
    <t>SOU-51350-0000</t>
  </si>
  <si>
    <t>SOU-52001-0000</t>
  </si>
  <si>
    <t>SOU-52002-0000</t>
  </si>
  <si>
    <t>SOU-52003-0000</t>
  </si>
  <si>
    <t>SOU-52005-0000</t>
  </si>
  <si>
    <t>SOU-52007-0000</t>
  </si>
  <si>
    <t>SOU-52008-0000</t>
  </si>
  <si>
    <t>SOU-53001-0000</t>
  </si>
  <si>
    <t>SOU-53002-0000</t>
  </si>
  <si>
    <t>SOU-53003-0000</t>
  </si>
  <si>
    <t>SOU-53004-0000</t>
  </si>
  <si>
    <t>SOU-53005-0000</t>
  </si>
  <si>
    <t>SOU-53006-0000</t>
  </si>
  <si>
    <t>SOU-53007-0000</t>
  </si>
  <si>
    <t>SOU-53011-0000</t>
  </si>
  <si>
    <t>SOU-54001-0000</t>
  </si>
  <si>
    <t>SOU-54002-0000</t>
  </si>
  <si>
    <t>SOU-54003-0000</t>
  </si>
  <si>
    <t>SOU-54004-0000</t>
  </si>
  <si>
    <t>SOU-54005-0000</t>
  </si>
  <si>
    <t>SOU-54006-0000</t>
  </si>
  <si>
    <t>SOU-54007-0000</t>
  </si>
  <si>
    <t>SOU-54100-0000</t>
  </si>
  <si>
    <t>SOU-61001-0000</t>
  </si>
  <si>
    <t>SOU-61002-0000</t>
  </si>
  <si>
    <t>SOU-61003-0000</t>
  </si>
  <si>
    <t>SOU-61004-0000</t>
  </si>
  <si>
    <t>SOU-61005-0000</t>
  </si>
  <si>
    <t>SOU-61006-0000</t>
  </si>
  <si>
    <t>SOU-61007-0000</t>
  </si>
  <si>
    <t>SOU-61008-0000</t>
  </si>
  <si>
    <t>SOU-61009-0000</t>
  </si>
  <si>
    <t>SOU-61010-0000</t>
  </si>
  <si>
    <t>SOU-61011-0000</t>
  </si>
  <si>
    <t>SOU-61012-0000</t>
  </si>
  <si>
    <t>SOU-61013-0000</t>
  </si>
  <si>
    <t>SOU-61014-0000</t>
  </si>
  <si>
    <t>SOU-61015-0000</t>
  </si>
  <si>
    <t>SOU-61016-0000</t>
  </si>
  <si>
    <t>SOU-61017-0000</t>
  </si>
  <si>
    <t>SOU-61021-0000</t>
  </si>
  <si>
    <t>SOU-61022-0000</t>
  </si>
  <si>
    <t>SOU-61023-0000</t>
  </si>
  <si>
    <t>SOU-61024-0000</t>
  </si>
  <si>
    <t>SOU-61025-0000</t>
  </si>
  <si>
    <t>SOU-71010-0000</t>
  </si>
  <si>
    <t>SOU-71020-0000</t>
  </si>
  <si>
    <t>SOU-71030-0000</t>
  </si>
  <si>
    <t>SOU-71040-0000</t>
  </si>
  <si>
    <t>SOU-71050-0000</t>
  </si>
  <si>
    <t>SOU-71060-0000</t>
  </si>
  <si>
    <t>SOU-71070-0000</t>
  </si>
  <si>
    <t>SOU-71080-0000</t>
  </si>
  <si>
    <t>SOU-71090-0000</t>
  </si>
  <si>
    <t>SOU-71100-0000</t>
  </si>
  <si>
    <t>SOU-71110-0000</t>
  </si>
  <si>
    <t>SOU-73101-0000</t>
  </si>
  <si>
    <t>SOU-73103-0000</t>
  </si>
  <si>
    <t>SOU-73105-0000</t>
  </si>
  <si>
    <t>SOU-80006-0000</t>
  </si>
  <si>
    <t>SOU-80061-0000</t>
  </si>
  <si>
    <t>SOU-81019-0000</t>
  </si>
  <si>
    <t>SOU-81220-0000</t>
  </si>
  <si>
    <t>SOU-81228-0000</t>
  </si>
  <si>
    <t>SOU-81400-0000</t>
  </si>
  <si>
    <t>SOU-82900-0000</t>
  </si>
  <si>
    <t>SOU-85500-0000</t>
  </si>
  <si>
    <t>SOU-85700-0000</t>
  </si>
  <si>
    <t>SPA-10003-0000</t>
  </si>
  <si>
    <t>SPA-10004-0000</t>
  </si>
  <si>
    <t>SPA-10005-0000</t>
  </si>
  <si>
    <t>SPA-10006-0000</t>
  </si>
  <si>
    <t>SPA-10009-0000</t>
  </si>
  <si>
    <t>SPA-10010-0000</t>
  </si>
  <si>
    <t>SPA-10011-0000</t>
  </si>
  <si>
    <t>SPA-10012-0000</t>
  </si>
  <si>
    <t>SPA-10023-0000</t>
  </si>
  <si>
    <t>SPA-10024-0000</t>
  </si>
  <si>
    <t>SPA-10027-0000</t>
  </si>
  <si>
    <t>SPA-10050-0000</t>
  </si>
  <si>
    <t>SPA-11200-0000</t>
  </si>
  <si>
    <t>SPA-11201-0000</t>
  </si>
  <si>
    <t>SPA-11202-0000</t>
  </si>
  <si>
    <t>SPA-11203-0000</t>
  </si>
  <si>
    <t>SPA-11204-0000</t>
  </si>
  <si>
    <t>SPA-11208-0000</t>
  </si>
  <si>
    <t>SPA-11210-0000</t>
  </si>
  <si>
    <t>SPA-11212-0000</t>
  </si>
  <si>
    <t>SPA-11214-0000</t>
  </si>
  <si>
    <t>SPA-11215-0000</t>
  </si>
  <si>
    <t>SPA-11232-0000</t>
  </si>
  <si>
    <t>SPA-11301-0000</t>
  </si>
  <si>
    <t>SPA-11302-0000</t>
  </si>
  <si>
    <t>SPA-11303-0000</t>
  </si>
  <si>
    <t>SPA-11304-0000</t>
  </si>
  <si>
    <t>SPA-11305-0000</t>
  </si>
  <si>
    <t>SPA-11307-0000</t>
  </si>
  <si>
    <t>SPA-11308-0000</t>
  </si>
  <si>
    <t>SPA-11309-0000</t>
  </si>
  <si>
    <t>SPA-11310-0000</t>
  </si>
  <si>
    <t>SPA-11311-0000</t>
  </si>
  <si>
    <t>SPA-11312-0000</t>
  </si>
  <si>
    <t>SPA-11313-0000</t>
  </si>
  <si>
    <t>SPA-11314-0000</t>
  </si>
  <si>
    <t>SPA-11315-0000</t>
  </si>
  <si>
    <t>SPA-11316-0000</t>
  </si>
  <si>
    <t>SPA-11317-0000</t>
  </si>
  <si>
    <t>SPA-11318-0000</t>
  </si>
  <si>
    <t>SPA-11319-0000</t>
  </si>
  <si>
    <t>SPA-11320-0000</t>
  </si>
  <si>
    <t>SPA-11321-0000</t>
  </si>
  <si>
    <t>SPA-11322-0000</t>
  </si>
  <si>
    <t>SPA-11324-0000</t>
  </si>
  <si>
    <t>SPA-11325-0000</t>
  </si>
  <si>
    <t>SPA-11326-0000</t>
  </si>
  <si>
    <t>SPA-11327-0000</t>
  </si>
  <si>
    <t>SPA-11328-0000</t>
  </si>
  <si>
    <t>SPA-11329-0000</t>
  </si>
  <si>
    <t>SPA-11330-0000</t>
  </si>
  <si>
    <t>SPA-11331-0000</t>
  </si>
  <si>
    <t>SPA-11332-0000</t>
  </si>
  <si>
    <t>SPA-11333-0000</t>
  </si>
  <si>
    <t>SPA-11334-0000</t>
  </si>
  <si>
    <t>SPA-11335-0000</t>
  </si>
  <si>
    <t>SPA-11336-0000</t>
  </si>
  <si>
    <t>SPA-11337-0000</t>
  </si>
  <si>
    <t>SPA-11338-0000</t>
  </si>
  <si>
    <t>SPA-11339-0000</t>
  </si>
  <si>
    <t>SPA-11340-0000</t>
  </si>
  <si>
    <t>SPA-11341-0000</t>
  </si>
  <si>
    <t>SPA-11342-0000</t>
  </si>
  <si>
    <t>SPA-11344-0000</t>
  </si>
  <si>
    <t>SPA-11345-0000</t>
  </si>
  <si>
    <t>SPA-11346-0000</t>
  </si>
  <si>
    <t>SPA-11347-0000</t>
  </si>
  <si>
    <t>SPA-11348-0000</t>
  </si>
  <si>
    <t>SPA-11349-0000</t>
  </si>
  <si>
    <t>SPA-11350-0000</t>
  </si>
  <si>
    <t>SPA-11351-0000</t>
  </si>
  <si>
    <t>SPA-11352-0000</t>
  </si>
  <si>
    <t>SPA-11353-0000</t>
  </si>
  <si>
    <t>SPA-11354-0000</t>
  </si>
  <si>
    <t>SPA-11355-0000</t>
  </si>
  <si>
    <t>SPA-11356-0000</t>
  </si>
  <si>
    <t>SPA-11357-0000</t>
  </si>
  <si>
    <t>SPA-11358-0000</t>
  </si>
  <si>
    <t>SPA-11359-0000</t>
  </si>
  <si>
    <t>SPA-11361-0000</t>
  </si>
  <si>
    <t>SPA-11363-0000</t>
  </si>
  <si>
    <t>SPA-11364-0000</t>
  </si>
  <si>
    <t>SPA-11365-0000</t>
  </si>
  <si>
    <t>SPA-11366-0000</t>
  </si>
  <si>
    <t>SPA-11402-0000</t>
  </si>
  <si>
    <t>SPA-11403-0000</t>
  </si>
  <si>
    <t>SPA-12100-0000</t>
  </si>
  <si>
    <t>SPA-12105-0000</t>
  </si>
  <si>
    <t>SPA-12400-0000</t>
  </si>
  <si>
    <t>SPA-12401-0000</t>
  </si>
  <si>
    <t>SPA-12402-0000</t>
  </si>
  <si>
    <t>SPA-12403-0000</t>
  </si>
  <si>
    <t>SPA-12501-0000</t>
  </si>
  <si>
    <t>SPA-12510-0000</t>
  </si>
  <si>
    <t>SPA-13010-0000</t>
  </si>
  <si>
    <t>SPA-13050-0000</t>
  </si>
  <si>
    <t>SPA-13610-0000</t>
  </si>
  <si>
    <t>SPA-13620-0000</t>
  </si>
  <si>
    <t>SPA-13810-0000</t>
  </si>
  <si>
    <t>SPA-13811-0000</t>
  </si>
  <si>
    <t>SPA-13811-1000</t>
  </si>
  <si>
    <t>SPA-13812-0000</t>
  </si>
  <si>
    <t>SPA-13812-1000</t>
  </si>
  <si>
    <t>SPA-13813-0000</t>
  </si>
  <si>
    <t>SPA-13813-1000</t>
  </si>
  <si>
    <t>SPA-13820-0000</t>
  </si>
  <si>
    <t>SPA-13820-1000</t>
  </si>
  <si>
    <t>SPA-13821-0000</t>
  </si>
  <si>
    <t>SPA-13821-1000</t>
  </si>
  <si>
    <t>SPA-13822-0000</t>
  </si>
  <si>
    <t>SPA-13822-1000</t>
  </si>
  <si>
    <t>SPA-14100-0000</t>
  </si>
  <si>
    <t>SPA-15500-0000</t>
  </si>
  <si>
    <t>SPA-15600-0000</t>
  </si>
  <si>
    <t>SPA-15700-0000</t>
  </si>
  <si>
    <t>SPA-15800-0000</t>
  </si>
  <si>
    <t>SPA-16000-0000</t>
  </si>
  <si>
    <t>SPA-17000-0000</t>
  </si>
  <si>
    <t>SPA-18000-0000</t>
  </si>
  <si>
    <t>SPA-22000-0000</t>
  </si>
  <si>
    <t>SPA-22003-0000</t>
  </si>
  <si>
    <t>SPA-22005-0000</t>
  </si>
  <si>
    <t>SPA-22310-0000</t>
  </si>
  <si>
    <t>SPA-22800-0000</t>
  </si>
  <si>
    <t>SPA-22801-0000</t>
  </si>
  <si>
    <t>SPA-22810-0000</t>
  </si>
  <si>
    <t>SPA-22900-0000</t>
  </si>
  <si>
    <t>SPA-22905-0000</t>
  </si>
  <si>
    <t>SPA-22906-0000</t>
  </si>
  <si>
    <t>SPA-23000-0000</t>
  </si>
  <si>
    <t>SPA-23100-0000</t>
  </si>
  <si>
    <t>SPA-23500-0000</t>
  </si>
  <si>
    <t>SPA-23501-0000</t>
  </si>
  <si>
    <t>SPA-23700-0000</t>
  </si>
  <si>
    <t>SPA-23800-0000</t>
  </si>
  <si>
    <t>SPA-24200-0000</t>
  </si>
  <si>
    <t>SPA-24300-0000</t>
  </si>
  <si>
    <t>SPA-24400-0000</t>
  </si>
  <si>
    <t>SPA-24500-0000</t>
  </si>
  <si>
    <t>SPA-24600-0000</t>
  </si>
  <si>
    <t>SPA-25005-0000</t>
  </si>
  <si>
    <t>SPA-25009-0000</t>
  </si>
  <si>
    <t>SPA-25600-0000</t>
  </si>
  <si>
    <t>SPA-25601-0000</t>
  </si>
  <si>
    <t>SPA-25602-0000</t>
  </si>
  <si>
    <t>SPA-25603-0000</t>
  </si>
  <si>
    <t>SPA-25604-0000</t>
  </si>
  <si>
    <t>SPA-28000-0000</t>
  </si>
  <si>
    <t>SPA-28001-0000</t>
  </si>
  <si>
    <t>SPA-28002-0000</t>
  </si>
  <si>
    <t>SPA-28003-0000</t>
  </si>
  <si>
    <t>SPA-28004-0000</t>
  </si>
  <si>
    <t>SPA-28005-0000</t>
  </si>
  <si>
    <t>SPA-28007-0000</t>
  </si>
  <si>
    <t>SPA-28008-0000</t>
  </si>
  <si>
    <t>SPA-28009-0000</t>
  </si>
  <si>
    <t>SPA-28010-0000</t>
  </si>
  <si>
    <t>SPA-28011-0000</t>
  </si>
  <si>
    <t>SPA-28012-0000</t>
  </si>
  <si>
    <t>SPA-28013-0000</t>
  </si>
  <si>
    <t>SPA-28014-0000</t>
  </si>
  <si>
    <t>SPA-28015-0000</t>
  </si>
  <si>
    <t>SPA-28016-0000</t>
  </si>
  <si>
    <t>SPA-28017-0000</t>
  </si>
  <si>
    <t>SPA-28018-0000</t>
  </si>
  <si>
    <t>SPA-28019-0000</t>
  </si>
  <si>
    <t>SPA-28020-0000</t>
  </si>
  <si>
    <t>SPA-28021-0000</t>
  </si>
  <si>
    <t>SPA-28022-0000</t>
  </si>
  <si>
    <t>SPA-28023-0000</t>
  </si>
  <si>
    <t>SPA-28024-0000</t>
  </si>
  <si>
    <t>SPA-30101-0000</t>
  </si>
  <si>
    <t>SPA-30501-0000</t>
  </si>
  <si>
    <t>SPA-31001-0000</t>
  </si>
  <si>
    <t>SPA-31002-0000</t>
  </si>
  <si>
    <t>SPA-31003-0000</t>
  </si>
  <si>
    <t>SPA-31005-0000</t>
  </si>
  <si>
    <t>SPA-31007-0000</t>
  </si>
  <si>
    <t>SPA-31008-0000</t>
  </si>
  <si>
    <t>SPA-31009-0000</t>
  </si>
  <si>
    <t>SPA-31010-0000</t>
  </si>
  <si>
    <t>SPA-31012-0000</t>
  </si>
  <si>
    <t>SPA-31015-0000</t>
  </si>
  <si>
    <t>SPA-31016-0000</t>
  </si>
  <si>
    <t>SPA-31018-0000</t>
  </si>
  <si>
    <t>SPA-31801-0000</t>
  </si>
  <si>
    <t>SPA-31802-0000</t>
  </si>
  <si>
    <t>SPA-31803-0000</t>
  </si>
  <si>
    <t>SPA-31804-0000</t>
  </si>
  <si>
    <t>SPA-31900-0000</t>
  </si>
  <si>
    <t>SPA-36000-0000</t>
  </si>
  <si>
    <t>SPA-36002-0000</t>
  </si>
  <si>
    <t>SPA-36003-0000</t>
  </si>
  <si>
    <t>SPA-36004-0000</t>
  </si>
  <si>
    <t>SPA-36005-0000</t>
  </si>
  <si>
    <t>SPA-36006-0000</t>
  </si>
  <si>
    <t>SPA-36008-0000</t>
  </si>
  <si>
    <t>SPA-36018-0000</t>
  </si>
  <si>
    <t>SPA-36801-0000</t>
  </si>
  <si>
    <t>SPA-36802-0000</t>
  </si>
  <si>
    <t>SPA-36803-0000</t>
  </si>
  <si>
    <t>SPA-36804-0000</t>
  </si>
  <si>
    <t>SPA-36900-0000</t>
  </si>
  <si>
    <t>SPA-36901-0000</t>
  </si>
  <si>
    <t>SPA-38100-0000</t>
  </si>
  <si>
    <t>SPA-38100-1000</t>
  </si>
  <si>
    <t>SPA-40140-0000</t>
  </si>
  <si>
    <t>SPA-41112-0000</t>
  </si>
  <si>
    <t>SPA-41120-0000</t>
  </si>
  <si>
    <t>SPA-42110-0000</t>
  </si>
  <si>
    <t>SPA-42130-0000</t>
  </si>
  <si>
    <t>SPA-42140-0000</t>
  </si>
  <si>
    <t>SPA-42150-0000</t>
  </si>
  <si>
    <t>SPA-42160-0000</t>
  </si>
  <si>
    <t>SPA-42405-0000</t>
  </si>
  <si>
    <t>SPA-43120-0000</t>
  </si>
  <si>
    <t>SPA-43121-0000</t>
  </si>
  <si>
    <t>SPA-43200-0000</t>
  </si>
  <si>
    <t>SPA-43410-0000</t>
  </si>
  <si>
    <t>SPA-43420-0000</t>
  </si>
  <si>
    <t>SPA-43430-0000</t>
  </si>
  <si>
    <t>SPA-43440-0000</t>
  </si>
  <si>
    <t>SPA-43450-0000</t>
  </si>
  <si>
    <t>SPA-43480-0000</t>
  </si>
  <si>
    <t>SPA-43490-0000</t>
  </si>
  <si>
    <t>SPA-43491-0000</t>
  </si>
  <si>
    <t>SPA-43492-0000</t>
  </si>
  <si>
    <t>SPA-43493-0000</t>
  </si>
  <si>
    <t>SPA-43494-0000</t>
  </si>
  <si>
    <t>SPA-43495-0000</t>
  </si>
  <si>
    <t>SPA-44000-0000</t>
  </si>
  <si>
    <t>SPA-46000-0000</t>
  </si>
  <si>
    <t>SPA-47300-0000</t>
  </si>
  <si>
    <t>SPA-47550-0000</t>
  </si>
  <si>
    <t>SPA-49500-9999</t>
  </si>
  <si>
    <t>SPA-51001-0000</t>
  </si>
  <si>
    <t>SPA-51002-0000</t>
  </si>
  <si>
    <t>SPA-51003-0000</t>
  </si>
  <si>
    <t>SPA-51004-0000</t>
  </si>
  <si>
    <t>SPA-51005-0000</t>
  </si>
  <si>
    <t>SPA-51007-0000</t>
  </si>
  <si>
    <t>SPA-51010-0000</t>
  </si>
  <si>
    <t>SPA-51013-0000</t>
  </si>
  <si>
    <t>SPA-51014-0000</t>
  </si>
  <si>
    <t>SPA-51021-0000</t>
  </si>
  <si>
    <t>SPA-51022-0000</t>
  </si>
  <si>
    <t>SPA-51023-0000</t>
  </si>
  <si>
    <t>SPA-51024-0000</t>
  </si>
  <si>
    <t>SPA-51025-0000</t>
  </si>
  <si>
    <t>SPA-51026-0000</t>
  </si>
  <si>
    <t>SPA-51027-0000</t>
  </si>
  <si>
    <t>SPA-51028-0000</t>
  </si>
  <si>
    <t>SPA-51029-0000</t>
  </si>
  <si>
    <t>SPA-51030-0000</t>
  </si>
  <si>
    <t>SPA-51350-0000</t>
  </si>
  <si>
    <t>SPA-52002-0000</t>
  </si>
  <si>
    <t>SPA-52005-0000</t>
  </si>
  <si>
    <t>SPA-52007-0000</t>
  </si>
  <si>
    <t>SPA-52008-0000</t>
  </si>
  <si>
    <t>SPA-53007-0000</t>
  </si>
  <si>
    <t>SPA-53011-0000</t>
  </si>
  <si>
    <t>SPA-54001-0000</t>
  </si>
  <si>
    <t>SPA-54100-0000</t>
  </si>
  <si>
    <t>SPA-61001-0000</t>
  </si>
  <si>
    <t>SPA-61002-0000</t>
  </si>
  <si>
    <t>SPA-61003-0000</t>
  </si>
  <si>
    <t>SPA-61004-0000</t>
  </si>
  <si>
    <t>SPA-61005-0000</t>
  </si>
  <si>
    <t>SPA-61006-0000</t>
  </si>
  <si>
    <t>SPA-61007-0000</t>
  </si>
  <si>
    <t>SPA-61008-0000</t>
  </si>
  <si>
    <t>SPA-61009-0000</t>
  </si>
  <si>
    <t>SPA-61010-0000</t>
  </si>
  <si>
    <t>SPA-61011-0000</t>
  </si>
  <si>
    <t>SPA-61012-0000</t>
  </si>
  <si>
    <t>SPA-61013-0000</t>
  </si>
  <si>
    <t>SPA-61014-0000</t>
  </si>
  <si>
    <t>SPA-61015-0000</t>
  </si>
  <si>
    <t>SPA-61017-0000</t>
  </si>
  <si>
    <t>SPA-61021-0000</t>
  </si>
  <si>
    <t>SPA-61022-0000</t>
  </si>
  <si>
    <t>SPA-61024-0000</t>
  </si>
  <si>
    <t>SPA-61025-0000</t>
  </si>
  <si>
    <t>SPA-71010-0000</t>
  </si>
  <si>
    <t>SPA-71020-0000</t>
  </si>
  <si>
    <t>SPA-71030-0000</t>
  </si>
  <si>
    <t>SPA-71040-0000</t>
  </si>
  <si>
    <t>SPA-71050-0000</t>
  </si>
  <si>
    <t>SPA-71060-0000</t>
  </si>
  <si>
    <t>SPA-71070-0000</t>
  </si>
  <si>
    <t>SPA-71080-0000</t>
  </si>
  <si>
    <t>SPA-71090-0000</t>
  </si>
  <si>
    <t>SPA-71100-0000</t>
  </si>
  <si>
    <t>SPA-71110-0000</t>
  </si>
  <si>
    <t>SPA-73101-0000</t>
  </si>
  <si>
    <t>SPA-73103-0000</t>
  </si>
  <si>
    <t>SPA-73105-0000</t>
  </si>
  <si>
    <t>SPA-80006-0000</t>
  </si>
  <si>
    <t>SPA-80061-0000</t>
  </si>
  <si>
    <t>SPA-81019-0000</t>
  </si>
  <si>
    <t>SPA-81220-0000</t>
  </si>
  <si>
    <t>SPA-81228-0000</t>
  </si>
  <si>
    <t>SPA-81400-0000</t>
  </si>
  <si>
    <t>SPA-82900-0000</t>
  </si>
  <si>
    <t>SPA-85500-0000</t>
  </si>
  <si>
    <t>SPA-85700-0000</t>
  </si>
  <si>
    <t>STO-10003-0000</t>
  </si>
  <si>
    <t>STO-10004-0000</t>
  </si>
  <si>
    <t>STO-10005-0000</t>
  </si>
  <si>
    <t>STO-10006-0000</t>
  </si>
  <si>
    <t>STO-10009-0000</t>
  </si>
  <si>
    <t>STO-10010-0000</t>
  </si>
  <si>
    <t>STO-10011-0000</t>
  </si>
  <si>
    <t>STO-10012-0000</t>
  </si>
  <si>
    <t>STO-10023-0000</t>
  </si>
  <si>
    <t>STO-10024-0000</t>
  </si>
  <si>
    <t>STO-10027-0000</t>
  </si>
  <si>
    <t>STO-10050-0000</t>
  </si>
  <si>
    <t>STO-11200-0000</t>
  </si>
  <si>
    <t>STO-11201-0000</t>
  </si>
  <si>
    <t>STO-11202-0000</t>
  </si>
  <si>
    <t>STO-11203-0000</t>
  </si>
  <si>
    <t>STO-11204-0000</t>
  </si>
  <si>
    <t>STO-11208-0000</t>
  </si>
  <si>
    <t>STO-11210-0000</t>
  </si>
  <si>
    <t>STO-11212-0000</t>
  </si>
  <si>
    <t>STO-11214-0000</t>
  </si>
  <si>
    <t>STO-11215-0000</t>
  </si>
  <si>
    <t>STO-11232-0000</t>
  </si>
  <si>
    <t>STO-11301-0000</t>
  </si>
  <si>
    <t>STO-11302-0000</t>
  </si>
  <si>
    <t>STO-11305-0000</t>
  </si>
  <si>
    <t>STO-11307-0000</t>
  </si>
  <si>
    <t>STO-11308-0000</t>
  </si>
  <si>
    <t>STO-11309-0000</t>
  </si>
  <si>
    <t>STO-11312-0000</t>
  </si>
  <si>
    <t>STO-11313-0000</t>
  </si>
  <si>
    <t>STO-11314-0000</t>
  </si>
  <si>
    <t>STO-11316-0000</t>
  </si>
  <si>
    <t>STO-11318-0000</t>
  </si>
  <si>
    <t>STO-11319-0000</t>
  </si>
  <si>
    <t>STO-11322-0000</t>
  </si>
  <si>
    <t>STO-11323-0000</t>
  </si>
  <si>
    <t>STO-11324-0000</t>
  </si>
  <si>
    <t>STO-11325-0000</t>
  </si>
  <si>
    <t>STO-11327-0000</t>
  </si>
  <si>
    <t>STO-11328-0000</t>
  </si>
  <si>
    <t>STO-11330-0000</t>
  </si>
  <si>
    <t>STO-11331-0000</t>
  </si>
  <si>
    <t>STO-11332-0000</t>
  </si>
  <si>
    <t>STO-11333-0000</t>
  </si>
  <si>
    <t>STO-11338-0000</t>
  </si>
  <si>
    <t>STO-11339-0000</t>
  </si>
  <si>
    <t>STO-11340-0000</t>
  </si>
  <si>
    <t>STO-11341-0000</t>
  </si>
  <si>
    <t>STO-11342-0000</t>
  </si>
  <si>
    <t>STO-11343-0000</t>
  </si>
  <si>
    <t>STO-11344-0000</t>
  </si>
  <si>
    <t>STO-11345-0000</t>
  </si>
  <si>
    <t>STO-11346-0000</t>
  </si>
  <si>
    <t>STO-11347-0000</t>
  </si>
  <si>
    <t>STO-11348-0000</t>
  </si>
  <si>
    <t>STO-11349-0000</t>
  </si>
  <si>
    <t>STO-11350-0000</t>
  </si>
  <si>
    <t>STO-11351-0000</t>
  </si>
  <si>
    <t>STO-11352-0000</t>
  </si>
  <si>
    <t>STO-11353-0000</t>
  </si>
  <si>
    <t>STO-11354-0000</t>
  </si>
  <si>
    <t>STO-11355-0000</t>
  </si>
  <si>
    <t>STO-11356-0000</t>
  </si>
  <si>
    <t>STO-11357-0000</t>
  </si>
  <si>
    <t>STO-11358-0000</t>
  </si>
  <si>
    <t>STO-11359-0000</t>
  </si>
  <si>
    <t>STO-11361-0000</t>
  </si>
  <si>
    <t>STO-11363-0000</t>
  </si>
  <si>
    <t>STO-11364-0000</t>
  </si>
  <si>
    <t>STO-11365-0000</t>
  </si>
  <si>
    <t>STO-11366-0000</t>
  </si>
  <si>
    <t>STO-11402-0000</t>
  </si>
  <si>
    <t>STO-11403-0000</t>
  </si>
  <si>
    <t>STO-12100-0000</t>
  </si>
  <si>
    <t>STO-12105-0000</t>
  </si>
  <si>
    <t>STO-12400-0000</t>
  </si>
  <si>
    <t>STO-12401-0000</t>
  </si>
  <si>
    <t>STO-12402-0000</t>
  </si>
  <si>
    <t>STO-12403-0000</t>
  </si>
  <si>
    <t>STO-12501-0000</t>
  </si>
  <si>
    <t>STO-12510-0000</t>
  </si>
  <si>
    <t>STO-13010-0000</t>
  </si>
  <si>
    <t>STO-13050-0000</t>
  </si>
  <si>
    <t>STO-13610-0000</t>
  </si>
  <si>
    <t>STO-13620-0000</t>
  </si>
  <si>
    <t>STO-13810-0000</t>
  </si>
  <si>
    <t>STO-13811-0000</t>
  </si>
  <si>
    <t>STO-13811-1000</t>
  </si>
  <si>
    <t>STO-13812-0000</t>
  </si>
  <si>
    <t>STO-13812-1000</t>
  </si>
  <si>
    <t>STO-13813-0000</t>
  </si>
  <si>
    <t>STO-13813-1000</t>
  </si>
  <si>
    <t>STO-13820-0000</t>
  </si>
  <si>
    <t>STO-13820-1000</t>
  </si>
  <si>
    <t>STO-13821-0000</t>
  </si>
  <si>
    <t>STO-13821-1000</t>
  </si>
  <si>
    <t>STO-13822-0000</t>
  </si>
  <si>
    <t>STO-13822-1000</t>
  </si>
  <si>
    <t>STO-14100-0000</t>
  </si>
  <si>
    <t>STO-15700-0000</t>
  </si>
  <si>
    <t>STO-15800-0000</t>
  </si>
  <si>
    <t>STO-16000-0000</t>
  </si>
  <si>
    <t>STO-22000-0000</t>
  </si>
  <si>
    <t>STO-22001-0000</t>
  </si>
  <si>
    <t>STO-22003-0000</t>
  </si>
  <si>
    <t>STO-22005-0000</t>
  </si>
  <si>
    <t>STO-22310-0000</t>
  </si>
  <si>
    <t>STO-22800-0000</t>
  </si>
  <si>
    <t>STO-22801-0000</t>
  </si>
  <si>
    <t>STO-22810-0000</t>
  </si>
  <si>
    <t>STO-22900-0000</t>
  </si>
  <si>
    <t>STO-22905-0000</t>
  </si>
  <si>
    <t>STO-22906-0000</t>
  </si>
  <si>
    <t>STO-23000-0000</t>
  </si>
  <si>
    <t>STO-23100-0000</t>
  </si>
  <si>
    <t>STO-23500-0000</t>
  </si>
  <si>
    <t>STO-23501-0000</t>
  </si>
  <si>
    <t>STO-23700-0000</t>
  </si>
  <si>
    <t>STO-23800-0000</t>
  </si>
  <si>
    <t>STO-24200-0000</t>
  </si>
  <si>
    <t>STO-24300-0000</t>
  </si>
  <si>
    <t>STO-24400-0000</t>
  </si>
  <si>
    <t>STO-24500-0000</t>
  </si>
  <si>
    <t>STO-24600-0000</t>
  </si>
  <si>
    <t>STO-25005-0000</t>
  </si>
  <si>
    <t>STO-25009-0000</t>
  </si>
  <si>
    <t>STO-25600-0000</t>
  </si>
  <si>
    <t>STO-25601-0000</t>
  </si>
  <si>
    <t>STO-25602-0000</t>
  </si>
  <si>
    <t>STO-25603-0000</t>
  </si>
  <si>
    <t>STO-25604-0000</t>
  </si>
  <si>
    <t>STO-28000-0000</t>
  </si>
  <si>
    <t>STO-28001-0000</t>
  </si>
  <si>
    <t>STO-28002-0000</t>
  </si>
  <si>
    <t>STO-28003-0000</t>
  </si>
  <si>
    <t>STO-28004-0000</t>
  </si>
  <si>
    <t>STO-28005-0000</t>
  </si>
  <si>
    <t>STO-28006-0000</t>
  </si>
  <si>
    <t>STO-28007-0000</t>
  </si>
  <si>
    <t>STO-28008-0000</t>
  </si>
  <si>
    <t>STO-28009-0000</t>
  </si>
  <si>
    <t>STO-28010-0000</t>
  </si>
  <si>
    <t>STO-28011-0000</t>
  </si>
  <si>
    <t>STO-28012-0000</t>
  </si>
  <si>
    <t>STO-28013-0000</t>
  </si>
  <si>
    <t>STO-28014-0000</t>
  </si>
  <si>
    <t>STO-28015-0000</t>
  </si>
  <si>
    <t>STO-28016-0000</t>
  </si>
  <si>
    <t>STO-28017-0000</t>
  </si>
  <si>
    <t>STO-28018-0000</t>
  </si>
  <si>
    <t>STO-28019-0000</t>
  </si>
  <si>
    <t>STO-28020-0000</t>
  </si>
  <si>
    <t>STO-28021-0000</t>
  </si>
  <si>
    <t>STO-28022-0000</t>
  </si>
  <si>
    <t>STO-28023-0000</t>
  </si>
  <si>
    <t>STO-28024-0000</t>
  </si>
  <si>
    <t>STO-30101-0000</t>
  </si>
  <si>
    <t>STO-30501-0000</t>
  </si>
  <si>
    <t>STO-31001-0000</t>
  </si>
  <si>
    <t>STO-31002-0000</t>
  </si>
  <si>
    <t>STO-31003-0000</t>
  </si>
  <si>
    <t>STO-31005-0000</t>
  </si>
  <si>
    <t>STO-31007-0000</t>
  </si>
  <si>
    <t>STO-31008-0000</t>
  </si>
  <si>
    <t>STO-31009-0000</t>
  </si>
  <si>
    <t>STO-31010-0000</t>
  </si>
  <si>
    <t>STO-31012-0000</t>
  </si>
  <si>
    <t>STO-31015-0000</t>
  </si>
  <si>
    <t>STO-31016-0000</t>
  </si>
  <si>
    <t>STO-31018-0000</t>
  </si>
  <si>
    <t>STO-31801-0000</t>
  </si>
  <si>
    <t>STO-31802-0000</t>
  </si>
  <si>
    <t>STO-31803-0000</t>
  </si>
  <si>
    <t>STO-31804-0000</t>
  </si>
  <si>
    <t>STO-31900-0000</t>
  </si>
  <si>
    <t>STO-36000-0000</t>
  </si>
  <si>
    <t>STO-36002-0000</t>
  </si>
  <si>
    <t>STO-36003-0000</t>
  </si>
  <si>
    <t>STO-36004-0000</t>
  </si>
  <si>
    <t>STO-36005-0000</t>
  </si>
  <si>
    <t>STO-36006-0000</t>
  </si>
  <si>
    <t>STO-36008-0000</t>
  </si>
  <si>
    <t>STO-36018-0000</t>
  </si>
  <si>
    <t>STO-36801-0000</t>
  </si>
  <si>
    <t>STO-36802-0000</t>
  </si>
  <si>
    <t>STO-36803-0000</t>
  </si>
  <si>
    <t>STO-36804-0000</t>
  </si>
  <si>
    <t>STO-36900-0000</t>
  </si>
  <si>
    <t>STO-36901-0000</t>
  </si>
  <si>
    <t>STO-38100-0000</t>
  </si>
  <si>
    <t>STO-38100-1000</t>
  </si>
  <si>
    <t>STO-41112-0000</t>
  </si>
  <si>
    <t>STO-41120-0000</t>
  </si>
  <si>
    <t>STO-42110-0000</t>
  </si>
  <si>
    <t>STO-42130-0000</t>
  </si>
  <si>
    <t>STO-42140-0000</t>
  </si>
  <si>
    <t>STO-42150-0000</t>
  </si>
  <si>
    <t>STO-42160-0000</t>
  </si>
  <si>
    <t>STO-42405-0000</t>
  </si>
  <si>
    <t>STO-43120-0000</t>
  </si>
  <si>
    <t>STO-43121-0000</t>
  </si>
  <si>
    <t>STO-43200-0000</t>
  </si>
  <si>
    <t>STO-43410-0000</t>
  </si>
  <si>
    <t>STO-43420-0000</t>
  </si>
  <si>
    <t>STO-43430-0000</t>
  </si>
  <si>
    <t>STO-43440-0000</t>
  </si>
  <si>
    <t>STO-43450-0000</t>
  </si>
  <si>
    <t>STO-43480-0000</t>
  </si>
  <si>
    <t>STO-43490-0000</t>
  </si>
  <si>
    <t>STO-43491-0000</t>
  </si>
  <si>
    <t>STO-43492-0000</t>
  </si>
  <si>
    <t>STO-43493-0000</t>
  </si>
  <si>
    <t>STO-43494-0000</t>
  </si>
  <si>
    <t>STO-43495-0000</t>
  </si>
  <si>
    <t>STO-44000-0000</t>
  </si>
  <si>
    <t>STO-46000-0000</t>
  </si>
  <si>
    <t>STO-47300-0000</t>
  </si>
  <si>
    <t>STO-47550-0000</t>
  </si>
  <si>
    <t>STO-49500-9999</t>
  </si>
  <si>
    <t>STO-51001-0000</t>
  </si>
  <si>
    <t>STO-51002-0000</t>
  </si>
  <si>
    <t>STO-51003-0000</t>
  </si>
  <si>
    <t>STO-51004-0000</t>
  </si>
  <si>
    <t>STO-51007-0000</t>
  </si>
  <si>
    <t>STO-51010-0000</t>
  </si>
  <si>
    <t>STO-51013-0000</t>
  </si>
  <si>
    <t>STO-51014-0000</t>
  </si>
  <si>
    <t>STO-51015-0000</t>
  </si>
  <si>
    <t>STO-51018-0000</t>
  </si>
  <si>
    <t>STO-51019-0000</t>
  </si>
  <si>
    <t>STO-51021-0000</t>
  </si>
  <si>
    <t>STO-51022-0000</t>
  </si>
  <si>
    <t>STO-51023-0000</t>
  </si>
  <si>
    <t>STO-51024-0000</t>
  </si>
  <si>
    <t>STO-51026-0000</t>
  </si>
  <si>
    <t>STO-51027-0000</t>
  </si>
  <si>
    <t>STO-51028-0000</t>
  </si>
  <si>
    <t>STO-51029-0000</t>
  </si>
  <si>
    <t>STO-51030-0000</t>
  </si>
  <si>
    <t>STO-51350-0000</t>
  </si>
  <si>
    <t>STO-52001-0000</t>
  </si>
  <si>
    <t>STO-52002-0000</t>
  </si>
  <si>
    <t>STO-52005-0000</t>
  </si>
  <si>
    <t>STO-52007-0000</t>
  </si>
  <si>
    <t>STO-52008-0000</t>
  </si>
  <si>
    <t>STO-53007-0000</t>
  </si>
  <si>
    <t>STO-53011-0000</t>
  </si>
  <si>
    <t>STO-54100-0000</t>
  </si>
  <si>
    <t>STO-61001-0000</t>
  </si>
  <si>
    <t>STO-61002-0000</t>
  </si>
  <si>
    <t>STO-61003-0000</t>
  </si>
  <si>
    <t>STO-61004-0000</t>
  </si>
  <si>
    <t>STO-61005-0000</t>
  </si>
  <si>
    <t>STO-61006-0000</t>
  </si>
  <si>
    <t>STO-61007-0000</t>
  </si>
  <si>
    <t>STO-61008-0000</t>
  </si>
  <si>
    <t>STO-61009-0000</t>
  </si>
  <si>
    <t>STO-61010-0000</t>
  </si>
  <si>
    <t>STO-61011-0000</t>
  </si>
  <si>
    <t>STO-61012-0000</t>
  </si>
  <si>
    <t>STO-61013-0000</t>
  </si>
  <si>
    <t>STO-61014-0000</t>
  </si>
  <si>
    <t>STO-61015-0000</t>
  </si>
  <si>
    <t>STO-61016-0000</t>
  </si>
  <si>
    <t>STO-61017-0000</t>
  </si>
  <si>
    <t>STO-61021-0000</t>
  </si>
  <si>
    <t>STO-61022-0000</t>
  </si>
  <si>
    <t>STO-61023-0000</t>
  </si>
  <si>
    <t>STO-61024-0000</t>
  </si>
  <si>
    <t>STO-61025-0000</t>
  </si>
  <si>
    <t>STO-71010-0000</t>
  </si>
  <si>
    <t>STO-71020-0000</t>
  </si>
  <si>
    <t>STO-71030-0000</t>
  </si>
  <si>
    <t>STO-71040-0000</t>
  </si>
  <si>
    <t>STO-71050-0000</t>
  </si>
  <si>
    <t>STO-71060-0000</t>
  </si>
  <si>
    <t>STO-71070-0000</t>
  </si>
  <si>
    <t>STO-71080-0000</t>
  </si>
  <si>
    <t>STO-71090-0000</t>
  </si>
  <si>
    <t>STO-71100-0000</t>
  </si>
  <si>
    <t>STO-71110-0000</t>
  </si>
  <si>
    <t>STO-73101-0000</t>
  </si>
  <si>
    <t>STO-73103-0000</t>
  </si>
  <si>
    <t>STO-73105-0000</t>
  </si>
  <si>
    <t>STO-80006-0000</t>
  </si>
  <si>
    <t>STO-80061-0000</t>
  </si>
  <si>
    <t>STO-81019-0000</t>
  </si>
  <si>
    <t>STO-81220-0000</t>
  </si>
  <si>
    <t>STO-81228-0000</t>
  </si>
  <si>
    <t>STO-81400-0000</t>
  </si>
  <si>
    <t>STO-82900-0000</t>
  </si>
  <si>
    <t>STO-85500-0000</t>
  </si>
  <si>
    <t>STO-85700-0000</t>
  </si>
  <si>
    <t>TPI-10003-0000</t>
  </si>
  <si>
    <t>TPI-10004-0000</t>
  </si>
  <si>
    <t>TPI-10005-0000</t>
  </si>
  <si>
    <t>TPI-10006-0000</t>
  </si>
  <si>
    <t>TPI-10009-0000</t>
  </si>
  <si>
    <t>TPI-10010-0000</t>
  </si>
  <si>
    <t>TPI-10011-0000</t>
  </si>
  <si>
    <t>TPI-10012-0000</t>
  </si>
  <si>
    <t>TPI-10023-0000</t>
  </si>
  <si>
    <t>TPI-10024-0000</t>
  </si>
  <si>
    <t>TPI-10027-0000</t>
  </si>
  <si>
    <t>TPI-10050-0000</t>
  </si>
  <si>
    <t>TPI-11200-0000</t>
  </si>
  <si>
    <t>TPI-11201-0000</t>
  </si>
  <si>
    <t>TPI-11202-0000</t>
  </si>
  <si>
    <t>TPI-11203-0000</t>
  </si>
  <si>
    <t>TPI-11204-0000</t>
  </si>
  <si>
    <t>TPI-11208-0000</t>
  </si>
  <si>
    <t>TPI-11210-0000</t>
  </si>
  <si>
    <t>TPI-11212-0000</t>
  </si>
  <si>
    <t>TPI-11214-0000</t>
  </si>
  <si>
    <t>TPI-11215-0000</t>
  </si>
  <si>
    <t>TPI-11232-0000</t>
  </si>
  <si>
    <t>TPI-11301-0000</t>
  </si>
  <si>
    <t>TPI-11302-0000</t>
  </si>
  <si>
    <t>TPI-11303-0000</t>
  </si>
  <si>
    <t>TPI-11304-0000</t>
  </si>
  <si>
    <t>TPI-11305-0000</t>
  </si>
  <si>
    <t>TPI-11307-0000</t>
  </si>
  <si>
    <t>TPI-11308-0000</t>
  </si>
  <si>
    <t>TPI-11309-0000</t>
  </si>
  <si>
    <t>TPI-11310-0000</t>
  </si>
  <si>
    <t>TPI-11311-0000</t>
  </si>
  <si>
    <t>TPI-11312-0000</t>
  </si>
  <si>
    <t>TPI-11313-0000</t>
  </si>
  <si>
    <t>TPI-11314-0000</t>
  </si>
  <si>
    <t>TPI-11315-0000</t>
  </si>
  <si>
    <t>TPI-11316-0000</t>
  </si>
  <si>
    <t>TPI-11317-0000</t>
  </si>
  <si>
    <t>TPI-11319-0000</t>
  </si>
  <si>
    <t>TPI-11320-0000</t>
  </si>
  <si>
    <t>TPI-11321-0000</t>
  </si>
  <si>
    <t>TPI-11322-0000</t>
  </si>
  <si>
    <t>TPI-11323-0000</t>
  </si>
  <si>
    <t>TPI-11324-0000</t>
  </si>
  <si>
    <t>TPI-11325-0000</t>
  </si>
  <si>
    <t>TPI-11326-0000</t>
  </si>
  <si>
    <t>TPI-11327-0000</t>
  </si>
  <si>
    <t>TPI-11328-0000</t>
  </si>
  <si>
    <t>TPI-11329-0000</t>
  </si>
  <si>
    <t>TPI-11330-0000</t>
  </si>
  <si>
    <t>TPI-11331-0000</t>
  </si>
  <si>
    <t>TPI-11332-0000</t>
  </si>
  <si>
    <t>TPI-11333-0000</t>
  </si>
  <si>
    <t>TPI-11334-0000</t>
  </si>
  <si>
    <t>TPI-11335-0000</t>
  </si>
  <si>
    <t>TPI-11336-0000</t>
  </si>
  <si>
    <t>TPI-11337-0000</t>
  </si>
  <si>
    <t>TPI-11338-0000</t>
  </si>
  <si>
    <t>TPI-11339-0000</t>
  </si>
  <si>
    <t>TPI-11340-0000</t>
  </si>
  <si>
    <t>TPI-11341-0000</t>
  </si>
  <si>
    <t>TPI-11342-0000</t>
  </si>
  <si>
    <t>TPI-11344-0000</t>
  </si>
  <si>
    <t>TPI-11345-0000</t>
  </si>
  <si>
    <t>TPI-11346-0000</t>
  </si>
  <si>
    <t>TPI-11347-0000</t>
  </si>
  <si>
    <t>TPI-11348-0000</t>
  </si>
  <si>
    <t>TPI-11349-0000</t>
  </si>
  <si>
    <t>TPI-11350-0000</t>
  </si>
  <si>
    <t>TPI-11351-0000</t>
  </si>
  <si>
    <t>TPI-11352-0000</t>
  </si>
  <si>
    <t>TPI-11353-0000</t>
  </si>
  <si>
    <t>TPI-11354-0000</t>
  </si>
  <si>
    <t>TPI-11355-0000</t>
  </si>
  <si>
    <t>TPI-11356-0000</t>
  </si>
  <si>
    <t>TPI-11357-0000</t>
  </si>
  <si>
    <t>TPI-11358-0000</t>
  </si>
  <si>
    <t>TPI-11359-0000</t>
  </si>
  <si>
    <t>TPI-11361-0000</t>
  </si>
  <si>
    <t>TPI-11363-0000</t>
  </si>
  <si>
    <t>TPI-11364-0000</t>
  </si>
  <si>
    <t>TPI-11365-0000</t>
  </si>
  <si>
    <t>TPI-11366-0000</t>
  </si>
  <si>
    <t>TPI-11402-0000</t>
  </si>
  <si>
    <t>TPI-11403-0000</t>
  </si>
  <si>
    <t>TPI-12100-0000</t>
  </si>
  <si>
    <t>TPI-12105-0000</t>
  </si>
  <si>
    <t>TPI-12400-0000</t>
  </si>
  <si>
    <t>TPI-12401-0000</t>
  </si>
  <si>
    <t>TPI-12402-0000</t>
  </si>
  <si>
    <t>TPI-12403-0000</t>
  </si>
  <si>
    <t>TPI-12501-0000</t>
  </si>
  <si>
    <t>TPI-12510-0000</t>
  </si>
  <si>
    <t>TPI-13010-0000</t>
  </si>
  <si>
    <t>TPI-13050-0000</t>
  </si>
  <si>
    <t>TPI-13610-0000</t>
  </si>
  <si>
    <t>TPI-13620-0000</t>
  </si>
  <si>
    <t>TPI-13810-0000</t>
  </si>
  <si>
    <t>TPI-13811-0000</t>
  </si>
  <si>
    <t>TPI-13811-1000</t>
  </si>
  <si>
    <t>TPI-13812-0000</t>
  </si>
  <si>
    <t>TPI-13812-1000</t>
  </si>
  <si>
    <t>TPI-13813-0000</t>
  </si>
  <si>
    <t>TPI-13813-1000</t>
  </si>
  <si>
    <t>TPI-13820-0000</t>
  </si>
  <si>
    <t>TPI-13820-1000</t>
  </si>
  <si>
    <t>TPI-13821-0000</t>
  </si>
  <si>
    <t>TPI-13821-1000</t>
  </si>
  <si>
    <t>TPI-13822-0000</t>
  </si>
  <si>
    <t>TPI-13822-1000</t>
  </si>
  <si>
    <t>TPI-14100-0000</t>
  </si>
  <si>
    <t>TPI-15500-0000</t>
  </si>
  <si>
    <t>TPI-15600-0000</t>
  </si>
  <si>
    <t>TPI-15700-0000</t>
  </si>
  <si>
    <t>TPI-15800-0000</t>
  </si>
  <si>
    <t>TPI-16000-0000</t>
  </si>
  <si>
    <t>TPI-17000-0000</t>
  </si>
  <si>
    <t>TPI-18000-0000</t>
  </si>
  <si>
    <t>TPI-22000-0000</t>
  </si>
  <si>
    <t>TPI-22003-0000</t>
  </si>
  <si>
    <t>TPI-22005-0000</t>
  </si>
  <si>
    <t>TPI-22310-0000</t>
  </si>
  <si>
    <t>TPI-22800-0000</t>
  </si>
  <si>
    <t>TPI-22801-0000</t>
  </si>
  <si>
    <t>TPI-22810-0000</t>
  </si>
  <si>
    <t>TPI-22900-0000</t>
  </si>
  <si>
    <t>TPI-22905-0000</t>
  </si>
  <si>
    <t>TPI-22906-0000</t>
  </si>
  <si>
    <t>TPI-23000-0000</t>
  </si>
  <si>
    <t>TPI-23100-0000</t>
  </si>
  <si>
    <t>TPI-23500-0000</t>
  </si>
  <si>
    <t>TPI-23501-0000</t>
  </si>
  <si>
    <t>TPI-23700-0000</t>
  </si>
  <si>
    <t>TPI-23800-0000</t>
  </si>
  <si>
    <t>TPI-24200-0000</t>
  </si>
  <si>
    <t>TPI-24300-0000</t>
  </si>
  <si>
    <t>TPI-24400-0000</t>
  </si>
  <si>
    <t>TPI-24500-0000</t>
  </si>
  <si>
    <t>TPI-24600-0000</t>
  </si>
  <si>
    <t>TPI-25005-0000</t>
  </si>
  <si>
    <t>TPI-25009-0000</t>
  </si>
  <si>
    <t>TPI-25600-0000</t>
  </si>
  <si>
    <t>TPI-25601-0000</t>
  </si>
  <si>
    <t>TPI-25602-0000</t>
  </si>
  <si>
    <t>TPI-25603-0000</t>
  </si>
  <si>
    <t>TPI-25604-0000</t>
  </si>
  <si>
    <t>TPI-28000-0000</t>
  </si>
  <si>
    <t>TPI-28002-0000</t>
  </si>
  <si>
    <t>TPI-28003-0000</t>
  </si>
  <si>
    <t>TPI-28004-0000</t>
  </si>
  <si>
    <t>TPI-28005-0000</t>
  </si>
  <si>
    <t>TPI-28006-0000</t>
  </si>
  <si>
    <t>TPI-28007-0000</t>
  </si>
  <si>
    <t>TPI-28008-0000</t>
  </si>
  <si>
    <t>TPI-28009-0000</t>
  </si>
  <si>
    <t>TPI-28010-0000</t>
  </si>
  <si>
    <t>TPI-28011-0000</t>
  </si>
  <si>
    <t>TPI-28012-0000</t>
  </si>
  <si>
    <t>TPI-28013-0000</t>
  </si>
  <si>
    <t>TPI-28014-0000</t>
  </si>
  <si>
    <t>TPI-28015-0000</t>
  </si>
  <si>
    <t>TPI-28016-0000</t>
  </si>
  <si>
    <t>TPI-28017-0000</t>
  </si>
  <si>
    <t>TPI-28018-0000</t>
  </si>
  <si>
    <t>TPI-28019-0000</t>
  </si>
  <si>
    <t>TPI-28020-0000</t>
  </si>
  <si>
    <t>TPI-28021-0000</t>
  </si>
  <si>
    <t>TPI-28022-0000</t>
  </si>
  <si>
    <t>TPI-28023-0000</t>
  </si>
  <si>
    <t>TPI-28024-0000</t>
  </si>
  <si>
    <t>TPI-30101-0000</t>
  </si>
  <si>
    <t>TPI-30501-0000</t>
  </si>
  <si>
    <t>TPI-31001-0000</t>
  </si>
  <si>
    <t>TPI-31002-0000</t>
  </si>
  <si>
    <t>TPI-31003-0000</t>
  </si>
  <si>
    <t>TPI-31005-0000</t>
  </si>
  <si>
    <t>TPI-31007-0000</t>
  </si>
  <si>
    <t>TPI-31008-0000</t>
  </si>
  <si>
    <t>TPI-31009-0000</t>
  </si>
  <si>
    <t>TPI-31010-0000</t>
  </si>
  <si>
    <t>TPI-31012-0000</t>
  </si>
  <si>
    <t>TPI-31015-0000</t>
  </si>
  <si>
    <t>TPI-31016-0000</t>
  </si>
  <si>
    <t>TPI-31018-0000</t>
  </si>
  <si>
    <t>TPI-31801-0000</t>
  </si>
  <si>
    <t>TPI-31802-0000</t>
  </si>
  <si>
    <t>TPI-31803-0000</t>
  </si>
  <si>
    <t>TPI-31804-0000</t>
  </si>
  <si>
    <t>TPI-31900-0000</t>
  </si>
  <si>
    <t>TPI-36000-0000</t>
  </si>
  <si>
    <t>TPI-36002-0000</t>
  </si>
  <si>
    <t>TPI-36003-0000</t>
  </si>
  <si>
    <t>TPI-36004-0000</t>
  </si>
  <si>
    <t>TPI-36005-0000</t>
  </si>
  <si>
    <t>TPI-36006-0000</t>
  </si>
  <si>
    <t>TPI-36008-0000</t>
  </si>
  <si>
    <t>TPI-36018-0000</t>
  </si>
  <si>
    <t>TPI-36801-0000</t>
  </si>
  <si>
    <t>TPI-36802-0000</t>
  </si>
  <si>
    <t>TPI-36803-0000</t>
  </si>
  <si>
    <t>TPI-36804-0000</t>
  </si>
  <si>
    <t>TPI-36900-0000</t>
  </si>
  <si>
    <t>TPI-36901-0000</t>
  </si>
  <si>
    <t>TPI-38100-0000</t>
  </si>
  <si>
    <t>TPI-38100-1000</t>
  </si>
  <si>
    <t>TPI-40140-0000</t>
  </si>
  <si>
    <t>TPI-41112-0000</t>
  </si>
  <si>
    <t>TPI-41120-0000</t>
  </si>
  <si>
    <t>TPI-42110-0000</t>
  </si>
  <si>
    <t>TPI-42130-0000</t>
  </si>
  <si>
    <t>TPI-42140-0000</t>
  </si>
  <si>
    <t>TPI-42150-0000</t>
  </si>
  <si>
    <t>TPI-42160-0000</t>
  </si>
  <si>
    <t>TPI-42405-0000</t>
  </si>
  <si>
    <t>TPI-43120-0000</t>
  </si>
  <si>
    <t>TPI-43121-0000</t>
  </si>
  <si>
    <t>TPI-43200-0000</t>
  </si>
  <si>
    <t>TPI-43410-0000</t>
  </si>
  <si>
    <t>TPI-43420-0000</t>
  </si>
  <si>
    <t>TPI-43430-0000</t>
  </si>
  <si>
    <t>TPI-43440-0000</t>
  </si>
  <si>
    <t>TPI-43450-0000</t>
  </si>
  <si>
    <t>TPI-43480-0000</t>
  </si>
  <si>
    <t>TPI-43490-0000</t>
  </si>
  <si>
    <t>TPI-43491-0000</t>
  </si>
  <si>
    <t>TPI-43492-0000</t>
  </si>
  <si>
    <t>TPI-43493-0000</t>
  </si>
  <si>
    <t>TPI-43494-0000</t>
  </si>
  <si>
    <t>TPI-43495-0000</t>
  </si>
  <si>
    <t>TPI-44000-0000</t>
  </si>
  <si>
    <t>TPI-46000-0000</t>
  </si>
  <si>
    <t>TPI-47300-0000</t>
  </si>
  <si>
    <t>TPI-47550-0000</t>
  </si>
  <si>
    <t>TPI-49500-9999</t>
  </si>
  <si>
    <t>TPI-51001-0000</t>
  </si>
  <si>
    <t>TPI-51002-0000</t>
  </si>
  <si>
    <t>TPI-51003-0000</t>
  </si>
  <si>
    <t>TPI-51004-0000</t>
  </si>
  <si>
    <t>TPI-51005-0000</t>
  </si>
  <si>
    <t>TPI-51007-0000</t>
  </si>
  <si>
    <t>TPI-51010-0000</t>
  </si>
  <si>
    <t>TPI-51013-0000</t>
  </si>
  <si>
    <t>TPI-51014-0000</t>
  </si>
  <si>
    <t>TPI-51018-0000</t>
  </si>
  <si>
    <t>TPI-51021-0000</t>
  </si>
  <si>
    <t>TPI-51022-0000</t>
  </si>
  <si>
    <t>TPI-51023-0000</t>
  </si>
  <si>
    <t>TPI-51024-0000</t>
  </si>
  <si>
    <t>TPI-51025-0000</t>
  </si>
  <si>
    <t>TPI-51026-0000</t>
  </si>
  <si>
    <t>TPI-51027-0000</t>
  </si>
  <si>
    <t>TPI-51028-0000</t>
  </si>
  <si>
    <t>TPI-51029-0000</t>
  </si>
  <si>
    <t>TPI-51030-0000</t>
  </si>
  <si>
    <t>TPI-51350-0000</t>
  </si>
  <si>
    <t>TPI-52005-0000</t>
  </si>
  <si>
    <t>TPI-52007-0000</t>
  </si>
  <si>
    <t>TPI-52008-0000</t>
  </si>
  <si>
    <t>TPI-53007-0000</t>
  </si>
  <si>
    <t>TPI-53011-0000</t>
  </si>
  <si>
    <t>TPI-54001-0000</t>
  </si>
  <si>
    <t>TPI-54100-0000</t>
  </si>
  <si>
    <t>TPI-61001-0000</t>
  </si>
  <si>
    <t>TPI-61002-0000</t>
  </si>
  <si>
    <t>TPI-61003-0000</t>
  </si>
  <si>
    <t>TPI-61004-0000</t>
  </si>
  <si>
    <t>TPI-61005-0000</t>
  </si>
  <si>
    <t>TPI-61006-0000</t>
  </si>
  <si>
    <t>TPI-61007-0000</t>
  </si>
  <si>
    <t>TPI-61008-0000</t>
  </si>
  <si>
    <t>TPI-61009-0000</t>
  </si>
  <si>
    <t>TPI-61010-0000</t>
  </si>
  <si>
    <t>TPI-61011-0000</t>
  </si>
  <si>
    <t>TPI-61012-0000</t>
  </si>
  <si>
    <t>TPI-61013-0000</t>
  </si>
  <si>
    <t>TPI-61014-0000</t>
  </si>
  <si>
    <t>TPI-61015-0000</t>
  </si>
  <si>
    <t>TPI-61016-0000</t>
  </si>
  <si>
    <t>TPI-61017-0000</t>
  </si>
  <si>
    <t>TPI-61021-0000</t>
  </si>
  <si>
    <t>TPI-61022-0000</t>
  </si>
  <si>
    <t>TPI-61024-0000</t>
  </si>
  <si>
    <t>TPI-61025-0000</t>
  </si>
  <si>
    <t>TPI-71010-0000</t>
  </si>
  <si>
    <t>TPI-71020-0000</t>
  </si>
  <si>
    <t>TPI-71030-0000</t>
  </si>
  <si>
    <t>TPI-71040-0000</t>
  </si>
  <si>
    <t>TPI-71050-0000</t>
  </si>
  <si>
    <t>TPI-71060-0000</t>
  </si>
  <si>
    <t>TPI-71070-0000</t>
  </si>
  <si>
    <t>TPI-71080-0000</t>
  </si>
  <si>
    <t>TPI-71090-0000</t>
  </si>
  <si>
    <t>TPI-71100-0000</t>
  </si>
  <si>
    <t>TPI-71110-0000</t>
  </si>
  <si>
    <t>TPI-73101-0000</t>
  </si>
  <si>
    <t>TPI-73103-0000</t>
  </si>
  <si>
    <t>TPI-73105-0000</t>
  </si>
  <si>
    <t>TPI-80006-0000</t>
  </si>
  <si>
    <t>TPI-80061-0000</t>
  </si>
  <si>
    <t>TPI-81019-0000</t>
  </si>
  <si>
    <t>TPI-81220-0000</t>
  </si>
  <si>
    <t>TPI-81228-0000</t>
  </si>
  <si>
    <t>TPI-81400-0000</t>
  </si>
  <si>
    <t>TPI-82900-0000</t>
  </si>
  <si>
    <t>TPI-85500-0000</t>
  </si>
  <si>
    <t>TPI-85700-0000</t>
  </si>
  <si>
    <t>VAL-10003-0000</t>
  </si>
  <si>
    <t>VAL-10004-0000</t>
  </si>
  <si>
    <t>VAL-10005-0000</t>
  </si>
  <si>
    <t>VAL-10006-0000</t>
  </si>
  <si>
    <t>VAL-10009-0000</t>
  </si>
  <si>
    <t>VAL-10010-0000</t>
  </si>
  <si>
    <t>VAL-10011-0000</t>
  </si>
  <si>
    <t>VAL-10012-0000</t>
  </si>
  <si>
    <t>VAL-10023-0000</t>
  </si>
  <si>
    <t>VAL-10024-0000</t>
  </si>
  <si>
    <t>VAL-10027-0000</t>
  </si>
  <si>
    <t>VAL-10050-0000</t>
  </si>
  <si>
    <t>VAL-11200-0000</t>
  </si>
  <si>
    <t>VAL-11201-0000</t>
  </si>
  <si>
    <t>VAL-11202-0000</t>
  </si>
  <si>
    <t>VAL-11203-0000</t>
  </si>
  <si>
    <t>VAL-11204-0000</t>
  </si>
  <si>
    <t>VAL-11208-0000</t>
  </si>
  <si>
    <t>VAL-11210-0000</t>
  </si>
  <si>
    <t>VAL-11212-0000</t>
  </si>
  <si>
    <t>VAL-11214-0000</t>
  </si>
  <si>
    <t>VAL-11215-0000</t>
  </si>
  <si>
    <t>VAL-11232-0000</t>
  </si>
  <si>
    <t>VAL-11302-0000</t>
  </si>
  <si>
    <t>VAL-11303-0000</t>
  </si>
  <si>
    <t>VAL-11304-0000</t>
  </si>
  <si>
    <t>VAL-11305-0000</t>
  </si>
  <si>
    <t>VAL-11307-0000</t>
  </si>
  <si>
    <t>VAL-11308-0000</t>
  </si>
  <si>
    <t>VAL-11309-0000</t>
  </si>
  <si>
    <t>VAL-11311-0000</t>
  </si>
  <si>
    <t>VAL-11312-0000</t>
  </si>
  <si>
    <t>VAL-11313-0000</t>
  </si>
  <si>
    <t>VAL-11314-0000</t>
  </si>
  <si>
    <t>VAL-11315-0000</t>
  </si>
  <si>
    <t>VAL-11316-0000</t>
  </si>
  <si>
    <t>VAL-11318-0000</t>
  </si>
  <si>
    <t>VAL-11319-0000</t>
  </si>
  <si>
    <t>VAL-11320-0000</t>
  </si>
  <si>
    <t>VAL-11321-0000</t>
  </si>
  <si>
    <t>VAL-11322-0000</t>
  </si>
  <si>
    <t>VAL-11323-0000</t>
  </si>
  <si>
    <t>VAL-11324-0000</t>
  </si>
  <si>
    <t>VAL-11325-0000</t>
  </si>
  <si>
    <t>VAL-11326-0000</t>
  </si>
  <si>
    <t>VAL-11327-0000</t>
  </si>
  <si>
    <t>VAL-11328-0000</t>
  </si>
  <si>
    <t>VAL-11329-0000</t>
  </si>
  <si>
    <t>VAL-11330-0000</t>
  </si>
  <si>
    <t>VAL-11332-0000</t>
  </si>
  <si>
    <t>VAL-11333-0000</t>
  </si>
  <si>
    <t>VAL-11335-0000</t>
  </si>
  <si>
    <t>VAL-11336-0000</t>
  </si>
  <si>
    <t>VAL-11337-0000</t>
  </si>
  <si>
    <t>VAL-11338-0000</t>
  </si>
  <si>
    <t>VAL-11339-0000</t>
  </si>
  <si>
    <t>VAL-11340-0000</t>
  </si>
  <si>
    <t>VAL-11341-0000</t>
  </si>
  <si>
    <t>VAL-11344-0000</t>
  </si>
  <si>
    <t>VAL-11345-0000</t>
  </si>
  <si>
    <t>VAL-11346-0000</t>
  </si>
  <si>
    <t>VAL-11347-0000</t>
  </si>
  <si>
    <t>VAL-11348-0000</t>
  </si>
  <si>
    <t>VAL-11349-0000</t>
  </si>
  <si>
    <t>VAL-11350-0000</t>
  </si>
  <si>
    <t>VAL-11351-0000</t>
  </si>
  <si>
    <t>VAL-11352-0000</t>
  </si>
  <si>
    <t>VAL-11353-0000</t>
  </si>
  <si>
    <t>VAL-11354-0000</t>
  </si>
  <si>
    <t>VAL-11355-0000</t>
  </si>
  <si>
    <t>VAL-11356-0000</t>
  </si>
  <si>
    <t>VAL-11357-0000</t>
  </si>
  <si>
    <t>VAL-11358-0000</t>
  </si>
  <si>
    <t>VAL-11359-0000</t>
  </si>
  <si>
    <t>VAL-11361-0000</t>
  </si>
  <si>
    <t>VAL-11363-0000</t>
  </si>
  <si>
    <t>VAL-11364-0000</t>
  </si>
  <si>
    <t>VAL-11365-0000</t>
  </si>
  <si>
    <t>VAL-11366-0000</t>
  </si>
  <si>
    <t>VAL-11403-0000</t>
  </si>
  <si>
    <t>VAL-12100-0000</t>
  </si>
  <si>
    <t>VAL-12105-0000</t>
  </si>
  <si>
    <t>VAL-12400-0000</t>
  </si>
  <si>
    <t>VAL-12401-0000</t>
  </si>
  <si>
    <t>VAL-12402-0000</t>
  </si>
  <si>
    <t>VAL-12403-0000</t>
  </si>
  <si>
    <t>VAL-12501-0000</t>
  </si>
  <si>
    <t>VAL-12510-0000</t>
  </si>
  <si>
    <t>VAL-13010-0000</t>
  </si>
  <si>
    <t>VAL-13050-0000</t>
  </si>
  <si>
    <t>VAL-13610-0000</t>
  </si>
  <si>
    <t>VAL-13620-0000</t>
  </si>
  <si>
    <t>VAL-13810-0000</t>
  </si>
  <si>
    <t>VAL-13811-0000</t>
  </si>
  <si>
    <t>VAL-13811-1000</t>
  </si>
  <si>
    <t>VAL-13812-0000</t>
  </si>
  <si>
    <t>VAL-13812-1000</t>
  </si>
  <si>
    <t>VAL-13813-0000</t>
  </si>
  <si>
    <t>VAL-13813-1000</t>
  </si>
  <si>
    <t>VAL-13820-0000</t>
  </si>
  <si>
    <t>VAL-13820-1000</t>
  </si>
  <si>
    <t>VAL-13821-0000</t>
  </si>
  <si>
    <t>VAL-13821-1000</t>
  </si>
  <si>
    <t>VAL-13822-0000</t>
  </si>
  <si>
    <t>VAL-13822-1000</t>
  </si>
  <si>
    <t>VAL-14100-0000</t>
  </si>
  <si>
    <t>VAL-15600-0000</t>
  </si>
  <si>
    <t>VAL-15700-0000</t>
  </si>
  <si>
    <t>VAL-15800-0000</t>
  </si>
  <si>
    <t>VAL-22000-0000</t>
  </si>
  <si>
    <t>VAL-22001-0000</t>
  </si>
  <si>
    <t>VAL-22003-0000</t>
  </si>
  <si>
    <t>VAL-22005-0000</t>
  </si>
  <si>
    <t>VAL-22310-0000</t>
  </si>
  <si>
    <t>VAL-22800-0000</t>
  </si>
  <si>
    <t>VAL-22801-0000</t>
  </si>
  <si>
    <t>VAL-22810-0000</t>
  </si>
  <si>
    <t>VAL-22900-0000</t>
  </si>
  <si>
    <t>VAL-22905-0000</t>
  </si>
  <si>
    <t>VAL-22906-0000</t>
  </si>
  <si>
    <t>VAL-23000-0000</t>
  </si>
  <si>
    <t>VAL-23100-0000</t>
  </si>
  <si>
    <t>VAL-23500-0000</t>
  </si>
  <si>
    <t>VAL-23501-0000</t>
  </si>
  <si>
    <t>VAL-23700-0000</t>
  </si>
  <si>
    <t>VAL-23800-0000</t>
  </si>
  <si>
    <t>VAL-24200-0000</t>
  </si>
  <si>
    <t>VAL-24300-0000</t>
  </si>
  <si>
    <t>VAL-24400-0000</t>
  </si>
  <si>
    <t>VAL-24500-0000</t>
  </si>
  <si>
    <t>VAL-24600-0000</t>
  </si>
  <si>
    <t>VAL-25005-0000</t>
  </si>
  <si>
    <t>VAL-25009-0000</t>
  </si>
  <si>
    <t>VAL-25600-0000</t>
  </si>
  <si>
    <t>VAL-25601-0000</t>
  </si>
  <si>
    <t>VAL-25602-0000</t>
  </si>
  <si>
    <t>VAL-25603-0000</t>
  </si>
  <si>
    <t>VAL-25604-0000</t>
  </si>
  <si>
    <t>VAL-28000-0000</t>
  </si>
  <si>
    <t>VAL-28002-0000</t>
  </si>
  <si>
    <t>VAL-28003-0000</t>
  </si>
  <si>
    <t>VAL-28004-0000</t>
  </si>
  <si>
    <t>VAL-28005-0000</t>
  </si>
  <si>
    <t>VAL-28006-0000</t>
  </si>
  <si>
    <t>VAL-28007-0000</t>
  </si>
  <si>
    <t>VAL-28008-0000</t>
  </si>
  <si>
    <t>VAL-28009-0000</t>
  </si>
  <si>
    <t>VAL-28010-0000</t>
  </si>
  <si>
    <t>VAL-28011-0000</t>
  </si>
  <si>
    <t>VAL-28012-0000</t>
  </si>
  <si>
    <t>VAL-28013-0000</t>
  </si>
  <si>
    <t>VAL-28014-0000</t>
  </si>
  <si>
    <t>VAL-28015-0000</t>
  </si>
  <si>
    <t>VAL-28016-0000</t>
  </si>
  <si>
    <t>VAL-28017-0000</t>
  </si>
  <si>
    <t>VAL-28018-0000</t>
  </si>
  <si>
    <t>VAL-28019-0000</t>
  </si>
  <si>
    <t>VAL-28020-0000</t>
  </si>
  <si>
    <t>VAL-28021-0000</t>
  </si>
  <si>
    <t>VAL-28022-0000</t>
  </si>
  <si>
    <t>VAL-28023-0000</t>
  </si>
  <si>
    <t>VAL-28024-0000</t>
  </si>
  <si>
    <t>VAL-30101-0000</t>
  </si>
  <si>
    <t>VAL-30501-0000</t>
  </si>
  <si>
    <t>VAL-31001-0000</t>
  </si>
  <si>
    <t>VAL-31002-0000</t>
  </si>
  <si>
    <t>VAL-31003-0000</t>
  </si>
  <si>
    <t>VAL-31005-0000</t>
  </si>
  <si>
    <t>VAL-31007-0000</t>
  </si>
  <si>
    <t>VAL-31008-0000</t>
  </si>
  <si>
    <t>VAL-31009-0000</t>
  </si>
  <si>
    <t>VAL-31010-0000</t>
  </si>
  <si>
    <t>VAL-31012-0000</t>
  </si>
  <si>
    <t>VAL-31015-0000</t>
  </si>
  <si>
    <t>VAL-31016-0000</t>
  </si>
  <si>
    <t>VAL-31018-0000</t>
  </si>
  <si>
    <t>VAL-31801-0000</t>
  </si>
  <si>
    <t>VAL-31802-0000</t>
  </si>
  <si>
    <t>VAL-31803-0000</t>
  </si>
  <si>
    <t>VAL-31804-0000</t>
  </si>
  <si>
    <t>VAL-31900-0000</t>
  </si>
  <si>
    <t>VAL-36000-0000</t>
  </si>
  <si>
    <t>VAL-36002-0000</t>
  </si>
  <si>
    <t>VAL-36003-0000</t>
  </si>
  <si>
    <t>VAL-36004-0000</t>
  </si>
  <si>
    <t>VAL-36005-0000</t>
  </si>
  <si>
    <t>VAL-36006-0000</t>
  </si>
  <si>
    <t>VAL-36008-0000</t>
  </si>
  <si>
    <t>VAL-36018-0000</t>
  </si>
  <si>
    <t>VAL-36801-0000</t>
  </si>
  <si>
    <t>VAL-36802-0000</t>
  </si>
  <si>
    <t>VAL-36803-0000</t>
  </si>
  <si>
    <t>VAL-36804-0000</t>
  </si>
  <si>
    <t>VAL-36900-0000</t>
  </si>
  <si>
    <t>VAL-36901-0000</t>
  </si>
  <si>
    <t>VAL-38100-0000</t>
  </si>
  <si>
    <t>VAL-38100-1000</t>
  </si>
  <si>
    <t>VAL-41112-0000</t>
  </si>
  <si>
    <t>VAL-41120-0000</t>
  </si>
  <si>
    <t>VAL-42110-0000</t>
  </si>
  <si>
    <t>VAL-42130-0000</t>
  </si>
  <si>
    <t>VAL-42140-0000</t>
  </si>
  <si>
    <t>VAL-42150-0000</t>
  </si>
  <si>
    <t>VAL-42160-0000</t>
  </si>
  <si>
    <t>VAL-42405-0000</t>
  </si>
  <si>
    <t>VAL-43120-0000</t>
  </si>
  <si>
    <t>VAL-43121-0000</t>
  </si>
  <si>
    <t>VAL-43200-0000</t>
  </si>
  <si>
    <t>VAL-43410-0000</t>
  </si>
  <si>
    <t>VAL-43420-0000</t>
  </si>
  <si>
    <t>VAL-43430-0000</t>
  </si>
  <si>
    <t>VAL-43440-0000</t>
  </si>
  <si>
    <t>VAL-43450-0000</t>
  </si>
  <si>
    <t>VAL-43480-0000</t>
  </si>
  <si>
    <t>VAL-43490-0000</t>
  </si>
  <si>
    <t>VAL-43491-0000</t>
  </si>
  <si>
    <t>VAL-43492-0000</t>
  </si>
  <si>
    <t>VAL-43493-0000</t>
  </si>
  <si>
    <t>VAL-43494-0000</t>
  </si>
  <si>
    <t>VAL-43495-0000</t>
  </si>
  <si>
    <t>VAL-44000-0000</t>
  </si>
  <si>
    <t>VAL-46000-0000</t>
  </si>
  <si>
    <t>VAL-47300-0000</t>
  </si>
  <si>
    <t>VAL-47550-0000</t>
  </si>
  <si>
    <t>VAL-49500-9999</t>
  </si>
  <si>
    <t>VAL-51001-0000</t>
  </si>
  <si>
    <t>VAL-51002-0000</t>
  </si>
  <si>
    <t>VAL-51003-0000</t>
  </si>
  <si>
    <t>VAL-51004-0000</t>
  </si>
  <si>
    <t>VAL-51005-0000</t>
  </si>
  <si>
    <t>VAL-51007-0000</t>
  </si>
  <si>
    <t>VAL-51010-0000</t>
  </si>
  <si>
    <t>VAL-51013-0000</t>
  </si>
  <si>
    <t>VAL-51014-0000</t>
  </si>
  <si>
    <t>VAL-51015-0000</t>
  </si>
  <si>
    <t>VAL-51018-0000</t>
  </si>
  <si>
    <t>VAL-51019-0000</t>
  </si>
  <si>
    <t>VAL-51021-0000</t>
  </si>
  <si>
    <t>VAL-51022-0000</t>
  </si>
  <si>
    <t>VAL-51023-0000</t>
  </si>
  <si>
    <t>VAL-51024-0000</t>
  </si>
  <si>
    <t>VAL-51025-0000</t>
  </si>
  <si>
    <t>VAL-51026-0000</t>
  </si>
  <si>
    <t>VAL-51027-0000</t>
  </si>
  <si>
    <t>VAL-51028-0000</t>
  </si>
  <si>
    <t>VAL-51029-0000</t>
  </si>
  <si>
    <t>VAL-51030-0000</t>
  </si>
  <si>
    <t>VAL-51350-0000</t>
  </si>
  <si>
    <t>VAL-52001-0000</t>
  </si>
  <si>
    <t>VAL-52002-0000</t>
  </si>
  <si>
    <t>VAL-52005-0000</t>
  </si>
  <si>
    <t>VAL-52007-0000</t>
  </si>
  <si>
    <t>VAL-52008-0000</t>
  </si>
  <si>
    <t>VAL-53001-0000</t>
  </si>
  <si>
    <t>VAL-53002-0000</t>
  </si>
  <si>
    <t>VAL-53005-0000</t>
  </si>
  <si>
    <t>VAL-53007-0000</t>
  </si>
  <si>
    <t>VAL-53011-0000</t>
  </si>
  <si>
    <t>VAL-54001-0000</t>
  </si>
  <si>
    <t>VAL-54002-0000</t>
  </si>
  <si>
    <t>VAL-54005-0000</t>
  </si>
  <si>
    <t>VAL-54100-0000</t>
  </si>
  <si>
    <t>VAL-61001-0000</t>
  </si>
  <si>
    <t>VAL-61002-0000</t>
  </si>
  <si>
    <t>VAL-61003-0000</t>
  </si>
  <si>
    <t>VAL-61004-0000</t>
  </si>
  <si>
    <t>VAL-61005-0000</t>
  </si>
  <si>
    <t>VAL-61006-0000</t>
  </si>
  <si>
    <t>VAL-61007-0000</t>
  </si>
  <si>
    <t>VAL-61008-0000</t>
  </si>
  <si>
    <t>VAL-61009-0000</t>
  </si>
  <si>
    <t>VAL-61010-0000</t>
  </si>
  <si>
    <t>VAL-61011-0000</t>
  </si>
  <si>
    <t>VAL-61012-0000</t>
  </si>
  <si>
    <t>VAL-61013-0000</t>
  </si>
  <si>
    <t>VAL-61014-0000</t>
  </si>
  <si>
    <t>VAL-61015-0000</t>
  </si>
  <si>
    <t>VAL-61016-0000</t>
  </si>
  <si>
    <t>VAL-61017-0000</t>
  </si>
  <si>
    <t>VAL-61021-0000</t>
  </si>
  <si>
    <t>VAL-61022-0000</t>
  </si>
  <si>
    <t>VAL-61023-0000</t>
  </si>
  <si>
    <t>VAL-61024-0000</t>
  </si>
  <si>
    <t>VAL-61025-0000</t>
  </si>
  <si>
    <t>VAL-71010-0000</t>
  </si>
  <si>
    <t>VAL-71020-0000</t>
  </si>
  <si>
    <t>VAL-71030-0000</t>
  </si>
  <si>
    <t>VAL-71040-0000</t>
  </si>
  <si>
    <t>VAL-71050-0000</t>
  </si>
  <si>
    <t>VAL-71060-0000</t>
  </si>
  <si>
    <t>VAL-71070-0000</t>
  </si>
  <si>
    <t>VAL-71080-0000</t>
  </si>
  <si>
    <t>VAL-71090-0000</t>
  </si>
  <si>
    <t>VAL-71100-0000</t>
  </si>
  <si>
    <t>VAL-71110-0000</t>
  </si>
  <si>
    <t>VAL-73101-0000</t>
  </si>
  <si>
    <t>VAL-73103-0000</t>
  </si>
  <si>
    <t>VAL-73105-0000</t>
  </si>
  <si>
    <t>VAL-80006-0000</t>
  </si>
  <si>
    <t>VAL-80061-0000</t>
  </si>
  <si>
    <t>VAL-81019-0000</t>
  </si>
  <si>
    <t>VAL-81220-0000</t>
  </si>
  <si>
    <t>VAL-81228-0000</t>
  </si>
  <si>
    <t>VAL-81400-0000</t>
  </si>
  <si>
    <t>VAL-82900-0000</t>
  </si>
  <si>
    <t>VAL-85500-0000</t>
  </si>
  <si>
    <t>VAL-85700-0000</t>
  </si>
  <si>
    <t>VEN-10003-0000</t>
  </si>
  <si>
    <t>VEN-10004-0000</t>
  </si>
  <si>
    <t>VEN-10005-0000</t>
  </si>
  <si>
    <t>VEN-10006-0000</t>
  </si>
  <si>
    <t>VEN-10009-0000</t>
  </si>
  <si>
    <t>VEN-10010-0000</t>
  </si>
  <si>
    <t>VEN-10011-0000</t>
  </si>
  <si>
    <t>VEN-10012-0000</t>
  </si>
  <si>
    <t>VEN-10023-0000</t>
  </si>
  <si>
    <t>VEN-10024-0000</t>
  </si>
  <si>
    <t>VEN-10027-0000</t>
  </si>
  <si>
    <t>VEN-10050-0000</t>
  </si>
  <si>
    <t>VEN-11200-0000</t>
  </si>
  <si>
    <t>VEN-11201-0000</t>
  </si>
  <si>
    <t>VEN-11202-0000</t>
  </si>
  <si>
    <t>VEN-11203-0000</t>
  </si>
  <si>
    <t>VEN-11204-0000</t>
  </si>
  <si>
    <t>VEN-11208-0000</t>
  </si>
  <si>
    <t>VEN-11210-0000</t>
  </si>
  <si>
    <t>VEN-11212-0000</t>
  </si>
  <si>
    <t>VEN-11214-0000</t>
  </si>
  <si>
    <t>VEN-11215-0000</t>
  </si>
  <si>
    <t>VEN-11232-0000</t>
  </si>
  <si>
    <t>VEN-11301-0000</t>
  </si>
  <si>
    <t>VEN-11302-0000</t>
  </si>
  <si>
    <t>VEN-11303-0000</t>
  </si>
  <si>
    <t>VEN-11305-0000</t>
  </si>
  <si>
    <t>VEN-11307-0000</t>
  </si>
  <si>
    <t>VEN-11308-0000</t>
  </si>
  <si>
    <t>VEN-11309-0000</t>
  </si>
  <si>
    <t>VEN-11310-0000</t>
  </si>
  <si>
    <t>VEN-11313-0000</t>
  </si>
  <si>
    <t>VEN-11314-0000</t>
  </si>
  <si>
    <t>VEN-11315-0000</t>
  </si>
  <si>
    <t>VEN-11316-0000</t>
  </si>
  <si>
    <t>VEN-11318-0000</t>
  </si>
  <si>
    <t>VEN-11319-0000</t>
  </si>
  <si>
    <t>VEN-11320-0000</t>
  </si>
  <si>
    <t>VEN-11321-0000</t>
  </si>
  <si>
    <t>VEN-11322-0000</t>
  </si>
  <si>
    <t>VEN-11323-0000</t>
  </si>
  <si>
    <t>VEN-11324-0000</t>
  </si>
  <si>
    <t>VEN-11325-0000</t>
  </si>
  <si>
    <t>VEN-11326-0000</t>
  </si>
  <si>
    <t>VEN-11327-0000</t>
  </si>
  <si>
    <t>VEN-11328-0000</t>
  </si>
  <si>
    <t>VEN-11329-0000</t>
  </si>
  <si>
    <t>VEN-11330-0000</t>
  </si>
  <si>
    <t>VEN-11333-0000</t>
  </si>
  <si>
    <t>VEN-11334-0000</t>
  </si>
  <si>
    <t>VEN-11335-0000</t>
  </si>
  <si>
    <t>VEN-11336-0000</t>
  </si>
  <si>
    <t>VEN-11337-0000</t>
  </si>
  <si>
    <t>VEN-11338-0000</t>
  </si>
  <si>
    <t>VEN-11339-0000</t>
  </si>
  <si>
    <t>VEN-11340-0000</t>
  </si>
  <si>
    <t>VEN-11341-0000</t>
  </si>
  <si>
    <t>VEN-11342-0000</t>
  </si>
  <si>
    <t>VEN-11343-0000</t>
  </si>
  <si>
    <t>VEN-11344-0000</t>
  </si>
  <si>
    <t>VEN-11345-0000</t>
  </si>
  <si>
    <t>VEN-11346-0000</t>
  </si>
  <si>
    <t>VEN-11347-0000</t>
  </si>
  <si>
    <t>VEN-11348-0000</t>
  </si>
  <si>
    <t>VEN-11349-0000</t>
  </si>
  <si>
    <t>VEN-11350-0000</t>
  </si>
  <si>
    <t>VEN-11351-0000</t>
  </si>
  <si>
    <t>VEN-11352-0000</t>
  </si>
  <si>
    <t>VEN-11353-0000</t>
  </si>
  <si>
    <t>VEN-11354-0000</t>
  </si>
  <si>
    <t>VEN-11355-0000</t>
  </si>
  <si>
    <t>VEN-11356-0000</t>
  </si>
  <si>
    <t>VEN-11357-0000</t>
  </si>
  <si>
    <t>VEN-11358-0000</t>
  </si>
  <si>
    <t>VEN-11359-0000</t>
  </si>
  <si>
    <t>VEN-11361-0000</t>
  </si>
  <si>
    <t>VEN-11363-0000</t>
  </si>
  <si>
    <t>VEN-11364-0000</t>
  </si>
  <si>
    <t>VEN-11365-0000</t>
  </si>
  <si>
    <t>VEN-11366-0000</t>
  </si>
  <si>
    <t>VEN-11402-0000</t>
  </si>
  <si>
    <t>VEN-11403-0000</t>
  </si>
  <si>
    <t>VEN-12100-0000</t>
  </si>
  <si>
    <t>VEN-12105-0000</t>
  </si>
  <si>
    <t>VEN-12400-0000</t>
  </si>
  <si>
    <t>VEN-12401-0000</t>
  </si>
  <si>
    <t>VEN-12402-0000</t>
  </si>
  <si>
    <t>VEN-12403-0000</t>
  </si>
  <si>
    <t>VEN-12501-0000</t>
  </si>
  <si>
    <t>VEN-12510-0000</t>
  </si>
  <si>
    <t>VEN-13010-0000</t>
  </si>
  <si>
    <t>VEN-13050-0000</t>
  </si>
  <si>
    <t>VEN-13610-0000</t>
  </si>
  <si>
    <t>VEN-13620-0000</t>
  </si>
  <si>
    <t>VEN-13810-0000</t>
  </si>
  <si>
    <t>VEN-13811-0000</t>
  </si>
  <si>
    <t>VEN-13811-1000</t>
  </si>
  <si>
    <t>VEN-13812-0000</t>
  </si>
  <si>
    <t>VEN-13812-1000</t>
  </si>
  <si>
    <t>VEN-13813-0000</t>
  </si>
  <si>
    <t>VEN-13813-1000</t>
  </si>
  <si>
    <t>VEN-13820-0000</t>
  </si>
  <si>
    <t>VEN-13820-1000</t>
  </si>
  <si>
    <t>VEN-13821-0000</t>
  </si>
  <si>
    <t>VEN-13821-1000</t>
  </si>
  <si>
    <t>VEN-13822-0000</t>
  </si>
  <si>
    <t>VEN-13822-1000</t>
  </si>
  <si>
    <t>VEN-14100-0000</t>
  </si>
  <si>
    <t>VEN-15600-0000</t>
  </si>
  <si>
    <t>VEN-15700-0000</t>
  </si>
  <si>
    <t>VEN-15800-0000</t>
  </si>
  <si>
    <t>VEN-16000-0000</t>
  </si>
  <si>
    <t>VEN-22000-0000</t>
  </si>
  <si>
    <t>VEN-22001-0000</t>
  </si>
  <si>
    <t>VEN-22003-0000</t>
  </si>
  <si>
    <t>VEN-22005-0000</t>
  </si>
  <si>
    <t>VEN-22310-0000</t>
  </si>
  <si>
    <t>VEN-22800-0000</t>
  </si>
  <si>
    <t>VEN-22801-0000</t>
  </si>
  <si>
    <t>VEN-22810-0000</t>
  </si>
  <si>
    <t>VEN-22900-0000</t>
  </si>
  <si>
    <t>VEN-22905-0000</t>
  </si>
  <si>
    <t>VEN-22906-0000</t>
  </si>
  <si>
    <t>VEN-23000-0000</t>
  </si>
  <si>
    <t>VEN-23100-0000</t>
  </si>
  <si>
    <t>VEN-23500-0000</t>
  </si>
  <si>
    <t>VEN-23501-0000</t>
  </si>
  <si>
    <t>VEN-23700-0000</t>
  </si>
  <si>
    <t>VEN-23800-0000</t>
  </si>
  <si>
    <t>VEN-24200-0000</t>
  </si>
  <si>
    <t>VEN-24300-0000</t>
  </si>
  <si>
    <t>VEN-24400-0000</t>
  </si>
  <si>
    <t>VEN-24500-0000</t>
  </si>
  <si>
    <t>VEN-24600-0000</t>
  </si>
  <si>
    <t>VEN-25005-0000</t>
  </si>
  <si>
    <t>VEN-25009-0000</t>
  </si>
  <si>
    <t>VEN-25600-0000</t>
  </si>
  <si>
    <t>VEN-25601-0000</t>
  </si>
  <si>
    <t>VEN-25602-0000</t>
  </si>
  <si>
    <t>VEN-25603-0000</t>
  </si>
  <si>
    <t>VEN-25604-0000</t>
  </si>
  <si>
    <t>VEN-28000-0000</t>
  </si>
  <si>
    <t>VEN-28001-0000</t>
  </si>
  <si>
    <t>VEN-28002-0000</t>
  </si>
  <si>
    <t>VEN-28004-0000</t>
  </si>
  <si>
    <t>VEN-28005-0000</t>
  </si>
  <si>
    <t>VEN-28006-0000</t>
  </si>
  <si>
    <t>VEN-28007-0000</t>
  </si>
  <si>
    <t>VEN-28008-0000</t>
  </si>
  <si>
    <t>VEN-28009-0000</t>
  </si>
  <si>
    <t>VEN-28010-0000</t>
  </si>
  <si>
    <t>VEN-28011-0000</t>
  </si>
  <si>
    <t>VEN-28012-0000</t>
  </si>
  <si>
    <t>VEN-28013-0000</t>
  </si>
  <si>
    <t>VEN-28014-0000</t>
  </si>
  <si>
    <t>VEN-28015-0000</t>
  </si>
  <si>
    <t>VEN-28016-0000</t>
  </si>
  <si>
    <t>VEN-28017-0000</t>
  </si>
  <si>
    <t>VEN-28018-0000</t>
  </si>
  <si>
    <t>VEN-28019-0000</t>
  </si>
  <si>
    <t>VEN-28020-0000</t>
  </si>
  <si>
    <t>VEN-28021-0000</t>
  </si>
  <si>
    <t>VEN-28022-0000</t>
  </si>
  <si>
    <t>VEN-28023-0000</t>
  </si>
  <si>
    <t>VEN-28024-0000</t>
  </si>
  <si>
    <t>VEN-30101-0000</t>
  </si>
  <si>
    <t>VEN-30501-0000</t>
  </si>
  <si>
    <t>VEN-31001-0000</t>
  </si>
  <si>
    <t>VEN-31002-0000</t>
  </si>
  <si>
    <t>VEN-31003-0000</t>
  </si>
  <si>
    <t>VEN-31005-0000</t>
  </si>
  <si>
    <t>VEN-31007-0000</t>
  </si>
  <si>
    <t>VEN-31008-0000</t>
  </si>
  <si>
    <t>VEN-31009-0000</t>
  </si>
  <si>
    <t>VEN-31010-0000</t>
  </si>
  <si>
    <t>VEN-31012-0000</t>
  </si>
  <si>
    <t>VEN-31015-0000</t>
  </si>
  <si>
    <t>VEN-31016-0000</t>
  </si>
  <si>
    <t>VEN-31018-0000</t>
  </si>
  <si>
    <t>VEN-31801-0000</t>
  </si>
  <si>
    <t>VEN-31802-0000</t>
  </si>
  <si>
    <t>VEN-31803-0000</t>
  </si>
  <si>
    <t>VEN-31804-0000</t>
  </si>
  <si>
    <t>VEN-31900-0000</t>
  </si>
  <si>
    <t>VEN-36000-0000</t>
  </si>
  <si>
    <t>VEN-36002-0000</t>
  </si>
  <si>
    <t>VEN-36003-0000</t>
  </si>
  <si>
    <t>VEN-36004-0000</t>
  </si>
  <si>
    <t>VEN-36005-0000</t>
  </si>
  <si>
    <t>VEN-36006-0000</t>
  </si>
  <si>
    <t>VEN-36008-0000</t>
  </si>
  <si>
    <t>VEN-36018-0000</t>
  </si>
  <si>
    <t>VEN-36801-0000</t>
  </si>
  <si>
    <t>VEN-36802-0000</t>
  </si>
  <si>
    <t>VEN-36803-0000</t>
  </si>
  <si>
    <t>VEN-36804-0000</t>
  </si>
  <si>
    <t>VEN-36900-0000</t>
  </si>
  <si>
    <t>VEN-36901-0000</t>
  </si>
  <si>
    <t>VEN-38100-0000</t>
  </si>
  <si>
    <t>VEN-38100-1000</t>
  </si>
  <si>
    <t>VEN-41112-0000</t>
  </si>
  <si>
    <t>VEN-41120-0000</t>
  </si>
  <si>
    <t>VEN-42110-0000</t>
  </si>
  <si>
    <t>VEN-42130-0000</t>
  </si>
  <si>
    <t>VEN-42140-0000</t>
  </si>
  <si>
    <t>VEN-42150-0000</t>
  </si>
  <si>
    <t>VEN-42160-0000</t>
  </si>
  <si>
    <t>VEN-42405-0000</t>
  </si>
  <si>
    <t>VEN-43120-0000</t>
  </si>
  <si>
    <t>VEN-43121-0000</t>
  </si>
  <si>
    <t>VEN-43200-0000</t>
  </si>
  <si>
    <t>VEN-43410-0000</t>
  </si>
  <si>
    <t>VEN-43420-0000</t>
  </si>
  <si>
    <t>VEN-43430-0000</t>
  </si>
  <si>
    <t>VEN-43440-0000</t>
  </si>
  <si>
    <t>VEN-43450-0000</t>
  </si>
  <si>
    <t>VEN-43480-0000</t>
  </si>
  <si>
    <t>VEN-43490-0000</t>
  </si>
  <si>
    <t>VEN-43491-0000</t>
  </si>
  <si>
    <t>VEN-43492-0000</t>
  </si>
  <si>
    <t>VEN-43493-0000</t>
  </si>
  <si>
    <t>VEN-43494-0000</t>
  </si>
  <si>
    <t>VEN-43495-0000</t>
  </si>
  <si>
    <t>VEN-44000-0000</t>
  </si>
  <si>
    <t>VEN-46000-0000</t>
  </si>
  <si>
    <t>VEN-47300-0000</t>
  </si>
  <si>
    <t>VEN-47550-0000</t>
  </si>
  <si>
    <t>VEN-49500-9999</t>
  </si>
  <si>
    <t>VEN-51001-0000</t>
  </si>
  <si>
    <t>VEN-51002-0000</t>
  </si>
  <si>
    <t>VEN-51003-0000</t>
  </si>
  <si>
    <t>VEN-51004-0000</t>
  </si>
  <si>
    <t>VEN-51005-0000</t>
  </si>
  <si>
    <t>VEN-51007-0000</t>
  </si>
  <si>
    <t>VEN-51010-0000</t>
  </si>
  <si>
    <t>VEN-51013-0000</t>
  </si>
  <si>
    <t>VEN-51014-0000</t>
  </si>
  <si>
    <t>VEN-51015-0000</t>
  </si>
  <si>
    <t>VEN-51018-0000</t>
  </si>
  <si>
    <t>VEN-51019-0000</t>
  </si>
  <si>
    <t>VEN-51021-0000</t>
  </si>
  <si>
    <t>VEN-51022-0000</t>
  </si>
  <si>
    <t>VEN-51023-0000</t>
  </si>
  <si>
    <t>VEN-51024-0000</t>
  </si>
  <si>
    <t>VEN-51025-0000</t>
  </si>
  <si>
    <t>VEN-51026-0000</t>
  </si>
  <si>
    <t>VEN-51027-0000</t>
  </si>
  <si>
    <t>VEN-51028-0000</t>
  </si>
  <si>
    <t>VEN-51029-0000</t>
  </si>
  <si>
    <t>VEN-51030-0000</t>
  </si>
  <si>
    <t>VEN-51350-0000</t>
  </si>
  <si>
    <t>VEN-52001-0000</t>
  </si>
  <si>
    <t>VEN-52002-0000</t>
  </si>
  <si>
    <t>VEN-52003-0000</t>
  </si>
  <si>
    <t>VEN-52005-0000</t>
  </si>
  <si>
    <t>VEN-52007-0000</t>
  </si>
  <si>
    <t>VEN-52008-0000</t>
  </si>
  <si>
    <t>VEN-53007-0000</t>
  </si>
  <si>
    <t>VEN-53011-0000</t>
  </si>
  <si>
    <t>VEN-54001-0000</t>
  </si>
  <si>
    <t>VEN-54002-0000</t>
  </si>
  <si>
    <t>VEN-54005-0000</t>
  </si>
  <si>
    <t>VEN-54100-0000</t>
  </si>
  <si>
    <t>VEN-61001-0000</t>
  </si>
  <si>
    <t>VEN-61002-0000</t>
  </si>
  <si>
    <t>VEN-61003-0000</t>
  </si>
  <si>
    <t>VEN-61004-0000</t>
  </si>
  <si>
    <t>VEN-61005-0000</t>
  </si>
  <si>
    <t>VEN-61006-0000</t>
  </si>
  <si>
    <t>VEN-61007-0000</t>
  </si>
  <si>
    <t>VEN-61008-0000</t>
  </si>
  <si>
    <t>VEN-61009-0000</t>
  </si>
  <si>
    <t>VEN-61010-0000</t>
  </si>
  <si>
    <t>VEN-61011-0000</t>
  </si>
  <si>
    <t>VEN-61012-0000</t>
  </si>
  <si>
    <t>VEN-61013-0000</t>
  </si>
  <si>
    <t>VEN-61014-0000</t>
  </si>
  <si>
    <t>VEN-61015-0000</t>
  </si>
  <si>
    <t>VEN-61016-0000</t>
  </si>
  <si>
    <t>VEN-61017-0000</t>
  </si>
  <si>
    <t>VEN-61021-0000</t>
  </si>
  <si>
    <t>VEN-61022-0000</t>
  </si>
  <si>
    <t>VEN-61023-0000</t>
  </si>
  <si>
    <t>VEN-61024-0000</t>
  </si>
  <si>
    <t>VEN-61025-0000</t>
  </si>
  <si>
    <t>VEN-71010-0000</t>
  </si>
  <si>
    <t>VEN-71020-0000</t>
  </si>
  <si>
    <t>VEN-71030-0000</t>
  </si>
  <si>
    <t>VEN-71040-0000</t>
  </si>
  <si>
    <t>VEN-71050-0000</t>
  </si>
  <si>
    <t>VEN-71060-0000</t>
  </si>
  <si>
    <t>VEN-71070-0000</t>
  </si>
  <si>
    <t>VEN-71080-0000</t>
  </si>
  <si>
    <t>VEN-71090-0000</t>
  </si>
  <si>
    <t>VEN-71100-0000</t>
  </si>
  <si>
    <t>VEN-71110-0000</t>
  </si>
  <si>
    <t>VEN-73101-0000</t>
  </si>
  <si>
    <t>VEN-73103-0000</t>
  </si>
  <si>
    <t>VEN-73105-0000</t>
  </si>
  <si>
    <t>VEN-80006-0000</t>
  </si>
  <si>
    <t>VEN-80061-0000</t>
  </si>
  <si>
    <t>VEN-81019-0000</t>
  </si>
  <si>
    <t>VEN-81220-0000</t>
  </si>
  <si>
    <t>VEN-81228-0000</t>
  </si>
  <si>
    <t>VEN-81400-0000</t>
  </si>
  <si>
    <t>VEN-82900-0000</t>
  </si>
  <si>
    <t>VEN-85500-0000</t>
  </si>
  <si>
    <t>VEN-85700-0000</t>
  </si>
  <si>
    <t>WEP-10003-0000</t>
  </si>
  <si>
    <t>WEP-10004-0000</t>
  </si>
  <si>
    <t>WEP-10005-0000</t>
  </si>
  <si>
    <t>WEP-10006-0000</t>
  </si>
  <si>
    <t>WEP-10011-0000</t>
  </si>
  <si>
    <t>WEP-10012-0000</t>
  </si>
  <si>
    <t>WEP-10023-0000</t>
  </si>
  <si>
    <t>WEP-10024-0000</t>
  </si>
  <si>
    <t>WEP-10027-0000</t>
  </si>
  <si>
    <t>WEP-10050-0000</t>
  </si>
  <si>
    <t>WEP-11200-0000</t>
  </si>
  <si>
    <t>WEP-11201-0000</t>
  </si>
  <si>
    <t>WEP-11202-0000</t>
  </si>
  <si>
    <t>WEP-11203-0000</t>
  </si>
  <si>
    <t>WEP-11204-0000</t>
  </si>
  <si>
    <t>WEP-11208-0000</t>
  </si>
  <si>
    <t>WEP-11210-0000</t>
  </si>
  <si>
    <t>WEP-11212-0000</t>
  </si>
  <si>
    <t>WEP-11214-0000</t>
  </si>
  <si>
    <t>WEP-11215-0000</t>
  </si>
  <si>
    <t>WEP-11216-0000</t>
  </si>
  <si>
    <t>WEP-11232-0000</t>
  </si>
  <si>
    <t>WEP-11301-0000</t>
  </si>
  <si>
    <t>WEP-11302-0000</t>
  </si>
  <si>
    <t>WEP-11303-0000</t>
  </si>
  <si>
    <t>WEP-11304-0000</t>
  </si>
  <si>
    <t>WEP-11305-0000</t>
  </si>
  <si>
    <t>WEP-11307-0000</t>
  </si>
  <si>
    <t>WEP-11308-0000</t>
  </si>
  <si>
    <t>WEP-11309-0000</t>
  </si>
  <si>
    <t>WEP-11310-0000</t>
  </si>
  <si>
    <t>WEP-11311-0000</t>
  </si>
  <si>
    <t>WEP-11312-0000</t>
  </si>
  <si>
    <t>WEP-11313-0000</t>
  </si>
  <si>
    <t>WEP-11314-0000</t>
  </si>
  <si>
    <t>WEP-11315-0000</t>
  </si>
  <si>
    <t>WEP-11316-0000</t>
  </si>
  <si>
    <t>WEP-11317-0000</t>
  </si>
  <si>
    <t>WEP-11318-0000</t>
  </si>
  <si>
    <t>WEP-11319-0000</t>
  </si>
  <si>
    <t>WEP-11320-0000</t>
  </si>
  <si>
    <t>WEP-11321-0000</t>
  </si>
  <si>
    <t>WEP-11322-0000</t>
  </si>
  <si>
    <t>WEP-11323-0000</t>
  </si>
  <si>
    <t>WEP-11324-0000</t>
  </si>
  <si>
    <t>WEP-11325-0000</t>
  </si>
  <si>
    <t>WEP-11326-0000</t>
  </si>
  <si>
    <t>WEP-11327-0000</t>
  </si>
  <si>
    <t>WEP-11328-0000</t>
  </si>
  <si>
    <t>WEP-11329-0000</t>
  </si>
  <si>
    <t>WEP-11330-0000</t>
  </si>
  <si>
    <t>WEP-11331-0000</t>
  </si>
  <si>
    <t>WEP-11332-0000</t>
  </si>
  <si>
    <t>WEP-11333-0000</t>
  </si>
  <si>
    <t>WEP-11334-0000</t>
  </si>
  <si>
    <t>WEP-11335-0000</t>
  </si>
  <si>
    <t>WEP-11336-0000</t>
  </si>
  <si>
    <t>WEP-11337-0000</t>
  </si>
  <si>
    <t>WEP-11338-0000</t>
  </si>
  <si>
    <t>WEP-11339-0000</t>
  </si>
  <si>
    <t>WEP-11340-0000</t>
  </si>
  <si>
    <t>WEP-11341-0000</t>
  </si>
  <si>
    <t>WEP-11342-0000</t>
  </si>
  <si>
    <t>WEP-11343-0000</t>
  </si>
  <si>
    <t>WEP-11344-0000</t>
  </si>
  <si>
    <t>WEP-11345-0000</t>
  </si>
  <si>
    <t>WEP-11347-0000</t>
  </si>
  <si>
    <t>WEP-11348-0000</t>
  </si>
  <si>
    <t>WEP-11349-0000</t>
  </si>
  <si>
    <t>WEP-11350-0000</t>
  </si>
  <si>
    <t>WEP-11351-0000</t>
  </si>
  <si>
    <t>WEP-11352-0000</t>
  </si>
  <si>
    <t>WEP-11353-0000</t>
  </si>
  <si>
    <t>WEP-11354-0000</t>
  </si>
  <si>
    <t>WEP-11355-0000</t>
  </si>
  <si>
    <t>WEP-11356-0000</t>
  </si>
  <si>
    <t>WEP-11357-0000</t>
  </si>
  <si>
    <t>WEP-11358-0000</t>
  </si>
  <si>
    <t>WEP-11359-0000</t>
  </si>
  <si>
    <t>WEP-11361-0000</t>
  </si>
  <si>
    <t>WEP-11363-0000</t>
  </si>
  <si>
    <t>WEP-11364-0000</t>
  </si>
  <si>
    <t>WEP-11365-0000</t>
  </si>
  <si>
    <t>WEP-11366-0000</t>
  </si>
  <si>
    <t>WEP-11402-0000</t>
  </si>
  <si>
    <t>WEP-11403-0000</t>
  </si>
  <si>
    <t>WEP-12100-0000</t>
  </si>
  <si>
    <t>WEP-12105-0000</t>
  </si>
  <si>
    <t>WEP-12400-0000</t>
  </si>
  <si>
    <t>WEP-12401-0000</t>
  </si>
  <si>
    <t>WEP-12402-0000</t>
  </si>
  <si>
    <t>WEP-12403-0000</t>
  </si>
  <si>
    <t>WEP-12501-0000</t>
  </si>
  <si>
    <t>WEP-12510-0000</t>
  </si>
  <si>
    <t>WEP-13010-0000</t>
  </si>
  <si>
    <t>WEP-13050-0000</t>
  </si>
  <si>
    <t>WEP-13610-0000</t>
  </si>
  <si>
    <t>WEP-13620-0000</t>
  </si>
  <si>
    <t>WEP-13810-0000</t>
  </si>
  <si>
    <t>WEP-13811-0000</t>
  </si>
  <si>
    <t>WEP-13811-1000</t>
  </si>
  <si>
    <t>WEP-13812-0000</t>
  </si>
  <si>
    <t>WEP-13812-1000</t>
  </si>
  <si>
    <t>WEP-13813-0000</t>
  </si>
  <si>
    <t>WEP-13813-1000</t>
  </si>
  <si>
    <t>WEP-13820-0000</t>
  </si>
  <si>
    <t>WEP-13820-1000</t>
  </si>
  <si>
    <t>WEP-13821-0000</t>
  </si>
  <si>
    <t>WEP-13821-1000</t>
  </si>
  <si>
    <t>WEP-13822-0000</t>
  </si>
  <si>
    <t>WEP-13822-1000</t>
  </si>
  <si>
    <t>WEP-14100-0000</t>
  </si>
  <si>
    <t>WEP-15500-0000</t>
  </si>
  <si>
    <t>WEP-15600-0000</t>
  </si>
  <si>
    <t>WEP-15700-0000</t>
  </si>
  <si>
    <t>WEP-15800-0000</t>
  </si>
  <si>
    <t>WEP-16000-0000</t>
  </si>
  <si>
    <t>WEP-17000-0000</t>
  </si>
  <si>
    <t>WEP-18000-0000</t>
  </si>
  <si>
    <t>WEP-22000-0000</t>
  </si>
  <si>
    <t>WEP-22001-0000</t>
  </si>
  <si>
    <t>WEP-22005-0000</t>
  </si>
  <si>
    <t>WEP-22310-0000</t>
  </si>
  <si>
    <t>WEP-22800-0000</t>
  </si>
  <si>
    <t>WEP-22801-0000</t>
  </si>
  <si>
    <t>WEP-22810-0000</t>
  </si>
  <si>
    <t>WEP-22900-0000</t>
  </si>
  <si>
    <t>WEP-22905-0000</t>
  </si>
  <si>
    <t>WEP-22906-0000</t>
  </si>
  <si>
    <t>WEP-23000-0000</t>
  </si>
  <si>
    <t>WEP-23100-0000</t>
  </si>
  <si>
    <t>WEP-23500-0000</t>
  </si>
  <si>
    <t>WEP-23501-0000</t>
  </si>
  <si>
    <t>WEP-23509-0000</t>
  </si>
  <si>
    <t>WEP-23700-0000</t>
  </si>
  <si>
    <t>WEP-23800-0000</t>
  </si>
  <si>
    <t>WEP-24200-0000</t>
  </si>
  <si>
    <t>WEP-24300-0000</t>
  </si>
  <si>
    <t>WEP-24400-0000</t>
  </si>
  <si>
    <t>WEP-24500-0000</t>
  </si>
  <si>
    <t>WEP-24600-0000</t>
  </si>
  <si>
    <t>WEP-25005-0000</t>
  </si>
  <si>
    <t>WEP-25009-0000</t>
  </si>
  <si>
    <t>WEP-25600-0000</t>
  </si>
  <si>
    <t>WEP-25601-0000</t>
  </si>
  <si>
    <t>WEP-25602-0000</t>
  </si>
  <si>
    <t>WEP-25603-0000</t>
  </si>
  <si>
    <t>WEP-25604-0000</t>
  </si>
  <si>
    <t>WEP-28000-0000</t>
  </si>
  <si>
    <t>WEP-28002-0000</t>
  </si>
  <si>
    <t>WEP-28003-0000</t>
  </si>
  <si>
    <t>WEP-28004-0000</t>
  </si>
  <si>
    <t>WEP-28005-0000</t>
  </si>
  <si>
    <t>WEP-28006-0000</t>
  </si>
  <si>
    <t>WEP-28007-0000</t>
  </si>
  <si>
    <t>WEP-28008-0000</t>
  </si>
  <si>
    <t>WEP-28009-0000</t>
  </si>
  <si>
    <t>WEP-28010-0000</t>
  </si>
  <si>
    <t>WEP-28011-0000</t>
  </si>
  <si>
    <t>WEP-28012-0000</t>
  </si>
  <si>
    <t>WEP-28013-0000</t>
  </si>
  <si>
    <t>WEP-28014-0000</t>
  </si>
  <si>
    <t>WEP-28015-0000</t>
  </si>
  <si>
    <t>WEP-28016-0000</t>
  </si>
  <si>
    <t>WEP-28017-0000</t>
  </si>
  <si>
    <t>WEP-28018-0000</t>
  </si>
  <si>
    <t>WEP-28019-0000</t>
  </si>
  <si>
    <t>WEP-28020-0000</t>
  </si>
  <si>
    <t>WEP-28021-0000</t>
  </si>
  <si>
    <t>WEP-28022-0000</t>
  </si>
  <si>
    <t>WEP-28023-0000</t>
  </si>
  <si>
    <t>WEP-28024-0000</t>
  </si>
  <si>
    <t>WEP-30101-0000</t>
  </si>
  <si>
    <t>WEP-30501-0000</t>
  </si>
  <si>
    <t>WEP-31001-0000</t>
  </si>
  <si>
    <t>WEP-31002-0000</t>
  </si>
  <si>
    <t>WEP-31003-0000</t>
  </si>
  <si>
    <t>WEP-31005-0000</t>
  </si>
  <si>
    <t>WEP-31007-0000</t>
  </si>
  <si>
    <t>WEP-31008-0000</t>
  </si>
  <si>
    <t>WEP-31009-0000</t>
  </si>
  <si>
    <t>WEP-31010-0000</t>
  </si>
  <si>
    <t>WEP-31012-0000</t>
  </si>
  <si>
    <t>WEP-31015-0000</t>
  </si>
  <si>
    <t>WEP-31016-0000</t>
  </si>
  <si>
    <t>WEP-31018-0000</t>
  </si>
  <si>
    <t>WEP-31801-0000</t>
  </si>
  <si>
    <t>WEP-31802-0000</t>
  </si>
  <si>
    <t>WEP-31803-0000</t>
  </si>
  <si>
    <t>WEP-31804-0000</t>
  </si>
  <si>
    <t>WEP-31900-0000</t>
  </si>
  <si>
    <t>WEP-36000-0000</t>
  </si>
  <si>
    <t>WEP-36002-0000</t>
  </si>
  <si>
    <t>WEP-36003-0000</t>
  </si>
  <si>
    <t>WEP-36004-0000</t>
  </si>
  <si>
    <t>WEP-36005-0000</t>
  </si>
  <si>
    <t>WEP-36006-0000</t>
  </si>
  <si>
    <t>WEP-36008-0000</t>
  </si>
  <si>
    <t>WEP-36018-0000</t>
  </si>
  <si>
    <t>WEP-36801-0000</t>
  </si>
  <si>
    <t>WEP-36802-0000</t>
  </si>
  <si>
    <t>WEP-36803-0000</t>
  </si>
  <si>
    <t>WEP-36804-0000</t>
  </si>
  <si>
    <t>WEP-36900-0000</t>
  </si>
  <si>
    <t>WEP-36901-0000</t>
  </si>
  <si>
    <t>WEP-38100-0000</t>
  </si>
  <si>
    <t>WEP-38100-1000</t>
  </si>
  <si>
    <t>WEP-41112-0000</t>
  </si>
  <si>
    <t>WEP-41120-0000</t>
  </si>
  <si>
    <t>WEP-42110-0000</t>
  </si>
  <si>
    <t>WEP-42130-0000</t>
  </si>
  <si>
    <t>WEP-42140-0000</t>
  </si>
  <si>
    <t>WEP-42150-0000</t>
  </si>
  <si>
    <t>WEP-42160-0000</t>
  </si>
  <si>
    <t>WEP-42405-0000</t>
  </si>
  <si>
    <t>WEP-43120-0000</t>
  </si>
  <si>
    <t>WEP-43121-0000</t>
  </si>
  <si>
    <t>WEP-43200-0000</t>
  </si>
  <si>
    <t>WEP-43410-0000</t>
  </si>
  <si>
    <t>WEP-43420-0000</t>
  </si>
  <si>
    <t>WEP-43430-0000</t>
  </si>
  <si>
    <t>WEP-43440-0000</t>
  </si>
  <si>
    <t>WEP-43450-0000</t>
  </si>
  <si>
    <t>WEP-43480-0000</t>
  </si>
  <si>
    <t>WEP-43490-0000</t>
  </si>
  <si>
    <t>WEP-43491-0000</t>
  </si>
  <si>
    <t>WEP-43492-0000</t>
  </si>
  <si>
    <t>WEP-43493-0000</t>
  </si>
  <si>
    <t>WEP-43494-0000</t>
  </si>
  <si>
    <t>WEP-43495-0000</t>
  </si>
  <si>
    <t>WEP-44000-0000</t>
  </si>
  <si>
    <t>WEP-46000-0000</t>
  </si>
  <si>
    <t>WEP-47300-0000</t>
  </si>
  <si>
    <t>WEP-47550-0000</t>
  </si>
  <si>
    <t>WEP-49500-9999</t>
  </si>
  <si>
    <t>WEP-51001-0000</t>
  </si>
  <si>
    <t>WEP-51002-0000</t>
  </si>
  <si>
    <t>WEP-51003-0000</t>
  </si>
  <si>
    <t>WEP-51004-0000</t>
  </si>
  <si>
    <t>WEP-51007-0000</t>
  </si>
  <si>
    <t>WEP-51010-0000</t>
  </si>
  <si>
    <t>WEP-51014-0000</t>
  </si>
  <si>
    <t>WEP-51015-0000</t>
  </si>
  <si>
    <t>WEP-51019-0000</t>
  </si>
  <si>
    <t>WEP-51022-0000</t>
  </si>
  <si>
    <t>WEP-51023-0000</t>
  </si>
  <si>
    <t>WEP-51026-0000</t>
  </si>
  <si>
    <t>WEP-51027-0000</t>
  </si>
  <si>
    <t>WEP-51030-0000</t>
  </si>
  <si>
    <t>WEP-51350-0000</t>
  </si>
  <si>
    <t>WEP-52003-0000</t>
  </si>
  <si>
    <t>WEP-52005-0000</t>
  </si>
  <si>
    <t>WEP-52007-0000</t>
  </si>
  <si>
    <t>WEP-52008-0000</t>
  </si>
  <si>
    <t>WEP-53007-0000</t>
  </si>
  <si>
    <t>WEP-53011-0000</t>
  </si>
  <si>
    <t>WEP-54005-0000</t>
  </si>
  <si>
    <t>WEP-54100-0000</t>
  </si>
  <si>
    <t>WEP-61001-0000</t>
  </si>
  <si>
    <t>WEP-61002-0000</t>
  </si>
  <si>
    <t>WEP-61003-0000</t>
  </si>
  <si>
    <t>WEP-61004-0000</t>
  </si>
  <si>
    <t>WEP-61005-0000</t>
  </si>
  <si>
    <t>WEP-61006-0000</t>
  </si>
  <si>
    <t>WEP-61007-0000</t>
  </si>
  <si>
    <t>WEP-61008-0000</t>
  </si>
  <si>
    <t>WEP-61009-0000</t>
  </si>
  <si>
    <t>WEP-61010-0000</t>
  </si>
  <si>
    <t>WEP-61011-0000</t>
  </si>
  <si>
    <t>WEP-61012-0000</t>
  </si>
  <si>
    <t>WEP-61013-0000</t>
  </si>
  <si>
    <t>WEP-61014-0000</t>
  </si>
  <si>
    <t>WEP-61015-0000</t>
  </si>
  <si>
    <t>WEP-61016-0000</t>
  </si>
  <si>
    <t>WEP-61017-0000</t>
  </si>
  <si>
    <t>WEP-61021-0000</t>
  </si>
  <si>
    <t>WEP-61024-0000</t>
  </si>
  <si>
    <t>WEP-61025-0000</t>
  </si>
  <si>
    <t>WEP-71010-0000</t>
  </si>
  <si>
    <t>WEP-71020-0000</t>
  </si>
  <si>
    <t>WEP-71030-0000</t>
  </si>
  <si>
    <t>WEP-71040-0000</t>
  </si>
  <si>
    <t>WEP-71050-0000</t>
  </si>
  <si>
    <t>WEP-71060-0000</t>
  </si>
  <si>
    <t>WEP-71070-0000</t>
  </si>
  <si>
    <t>WEP-71080-0000</t>
  </si>
  <si>
    <t>WEP-71090-0000</t>
  </si>
  <si>
    <t>WEP-71100-0000</t>
  </si>
  <si>
    <t>WEP-71110-0000</t>
  </si>
  <si>
    <t>WEP-73101-0000</t>
  </si>
  <si>
    <t>WEP-73103-0000</t>
  </si>
  <si>
    <t>WEP-73105-0000</t>
  </si>
  <si>
    <t>WEP-80006-0000</t>
  </si>
  <si>
    <t>WEP-80061-0000</t>
  </si>
  <si>
    <t>WEP-81019-0000</t>
  </si>
  <si>
    <t>WEP-81220-0000</t>
  </si>
  <si>
    <t>WEP-81228-0000</t>
  </si>
  <si>
    <t>WEP-81400-0000</t>
  </si>
  <si>
    <t>WEP-82900-0000</t>
  </si>
  <si>
    <t>WEP-85500-0000</t>
  </si>
  <si>
    <t>WEP-85700-0000</t>
  </si>
  <si>
    <t>WES-10001-0000</t>
  </si>
  <si>
    <t>WES-10003-0000</t>
  </si>
  <si>
    <t>WES-10005-0000</t>
  </si>
  <si>
    <t>WES-10006-0000</t>
  </si>
  <si>
    <t>WES-10009-0000</t>
  </si>
  <si>
    <t>WES-10010-0000</t>
  </si>
  <si>
    <t>WES-10011-0000</t>
  </si>
  <si>
    <t>WES-10012-0000</t>
  </si>
  <si>
    <t>WES-10023-0000</t>
  </si>
  <si>
    <t>WES-10024-0000</t>
  </si>
  <si>
    <t>WES-10027-0000</t>
  </si>
  <si>
    <t>WES-10050-0000</t>
  </si>
  <si>
    <t>WES-11200-0000</t>
  </si>
  <si>
    <t>WES-11201-0000</t>
  </si>
  <si>
    <t>WES-11202-0000</t>
  </si>
  <si>
    <t>WES-11203-0000</t>
  </si>
  <si>
    <t>WES-11204-0000</t>
  </si>
  <si>
    <t>WES-11208-0000</t>
  </si>
  <si>
    <t>WES-11210-0000</t>
  </si>
  <si>
    <t>WES-11212-0000</t>
  </si>
  <si>
    <t>WES-11214-0000</t>
  </si>
  <si>
    <t>WES-11215-0000</t>
  </si>
  <si>
    <t>WES-11232-0000</t>
  </si>
  <si>
    <t>WES-11301-0000</t>
  </si>
  <si>
    <t>WES-11302-0000</t>
  </si>
  <si>
    <t>WES-11303-0000</t>
  </si>
  <si>
    <t>WES-11304-0000</t>
  </si>
  <si>
    <t>WES-11305-0000</t>
  </si>
  <si>
    <t>WES-11307-0000</t>
  </si>
  <si>
    <t>WES-11308-0000</t>
  </si>
  <si>
    <t>WES-11309-0000</t>
  </si>
  <si>
    <t>WES-11310-0000</t>
  </si>
  <si>
    <t>WES-11311-0000</t>
  </si>
  <si>
    <t>WES-11312-0000</t>
  </si>
  <si>
    <t>WES-11313-0000</t>
  </si>
  <si>
    <t>WES-11314-0000</t>
  </si>
  <si>
    <t>WES-11315-0000</t>
  </si>
  <si>
    <t>WES-11316-0000</t>
  </si>
  <si>
    <t>WES-11317-0000</t>
  </si>
  <si>
    <t>WES-11318-0000</t>
  </si>
  <si>
    <t>WES-11319-0000</t>
  </si>
  <si>
    <t>WES-11320-0000</t>
  </si>
  <si>
    <t>WES-11321-0000</t>
  </si>
  <si>
    <t>WES-11322-0000</t>
  </si>
  <si>
    <t>WES-11323-0000</t>
  </si>
  <si>
    <t>WES-11324-0000</t>
  </si>
  <si>
    <t>WES-11325-0000</t>
  </si>
  <si>
    <t>WES-11326-0000</t>
  </si>
  <si>
    <t>WES-11327-0000</t>
  </si>
  <si>
    <t>WES-11328-0000</t>
  </si>
  <si>
    <t>WES-11329-0000</t>
  </si>
  <si>
    <t>WES-11330-0000</t>
  </si>
  <si>
    <t>WES-11331-0000</t>
  </si>
  <si>
    <t>WES-11332-0000</t>
  </si>
  <si>
    <t>WES-11333-0000</t>
  </si>
  <si>
    <t>WES-11334-0000</t>
  </si>
  <si>
    <t>WES-11335-0000</t>
  </si>
  <si>
    <t>WES-11336-0000</t>
  </si>
  <si>
    <t>WES-11337-0000</t>
  </si>
  <si>
    <t>WES-11338-0000</t>
  </si>
  <si>
    <t>WES-11339-0000</t>
  </si>
  <si>
    <t>WES-11340-0000</t>
  </si>
  <si>
    <t>WES-11341-0000</t>
  </si>
  <si>
    <t>WES-11342-0000</t>
  </si>
  <si>
    <t>WES-11343-0000</t>
  </si>
  <si>
    <t>WES-11344-0000</t>
  </si>
  <si>
    <t>WES-11345-0000</t>
  </si>
  <si>
    <t>WES-11346-0000</t>
  </si>
  <si>
    <t>WES-11347-0000</t>
  </si>
  <si>
    <t>WES-11348-0000</t>
  </si>
  <si>
    <t>WES-11349-0000</t>
  </si>
  <si>
    <t>WES-11350-0000</t>
  </si>
  <si>
    <t>WES-11351-0000</t>
  </si>
  <si>
    <t>WES-11352-0000</t>
  </si>
  <si>
    <t>WES-11353-0000</t>
  </si>
  <si>
    <t>WES-11354-0000</t>
  </si>
  <si>
    <t>WES-11355-0000</t>
  </si>
  <si>
    <t>WES-11356-0000</t>
  </si>
  <si>
    <t>WES-11357-0000</t>
  </si>
  <si>
    <t>WES-11358-0000</t>
  </si>
  <si>
    <t>WES-11359-0000</t>
  </si>
  <si>
    <t>WES-11361-0000</t>
  </si>
  <si>
    <t>WES-11363-0000</t>
  </si>
  <si>
    <t>WES-11364-0000</t>
  </si>
  <si>
    <t>WES-11365-0000</t>
  </si>
  <si>
    <t>WES-11366-0000</t>
  </si>
  <si>
    <t>WES-11402-0000</t>
  </si>
  <si>
    <t>WES-11403-0000</t>
  </si>
  <si>
    <t>WES-12100-0000</t>
  </si>
  <si>
    <t>WES-12105-0000</t>
  </si>
  <si>
    <t>WES-12400-0000</t>
  </si>
  <si>
    <t>WES-12401-0000</t>
  </si>
  <si>
    <t>WES-12402-0000</t>
  </si>
  <si>
    <t>WES-12403-0000</t>
  </si>
  <si>
    <t>WES-12501-0000</t>
  </si>
  <si>
    <t>WES-12510-0000</t>
  </si>
  <si>
    <t>WES-13010-0000</t>
  </si>
  <si>
    <t>WES-13050-0000</t>
  </si>
  <si>
    <t>WES-13610-0000</t>
  </si>
  <si>
    <t>WES-13620-0000</t>
  </si>
  <si>
    <t>WES-13810-0000</t>
  </si>
  <si>
    <t>WES-13811-0000</t>
  </si>
  <si>
    <t>WES-13811-1000</t>
  </si>
  <si>
    <t>WES-13812-0000</t>
  </si>
  <si>
    <t>WES-13812-1000</t>
  </si>
  <si>
    <t>WES-13813-0000</t>
  </si>
  <si>
    <t>WES-13813-1000</t>
  </si>
  <si>
    <t>WES-13820-0000</t>
  </si>
  <si>
    <t>WES-13820-1000</t>
  </si>
  <si>
    <t>WES-13821-0000</t>
  </si>
  <si>
    <t>WES-13821-1000</t>
  </si>
  <si>
    <t>WES-13822-0000</t>
  </si>
  <si>
    <t>WES-13822-1000</t>
  </si>
  <si>
    <t>WES-14100-0000</t>
  </si>
  <si>
    <t>WES-15000-0000</t>
  </si>
  <si>
    <t>WES-15600-0000</t>
  </si>
  <si>
    <t>WES-15700-0000</t>
  </si>
  <si>
    <t>WES-15800-0000</t>
  </si>
  <si>
    <t>WES-16000-0000</t>
  </si>
  <si>
    <t>WES-17000-0000</t>
  </si>
  <si>
    <t>WES-18000-0000</t>
  </si>
  <si>
    <t>WES-22000-0000</t>
  </si>
  <si>
    <t>WES-22001-0000</t>
  </si>
  <si>
    <t>WES-22003-0000</t>
  </si>
  <si>
    <t>WES-22005-0000</t>
  </si>
  <si>
    <t>WES-22310-0000</t>
  </si>
  <si>
    <t>WES-22800-0000</t>
  </si>
  <si>
    <t>WES-22801-0000</t>
  </si>
  <si>
    <t>WES-22810-0000</t>
  </si>
  <si>
    <t>WES-22900-0000</t>
  </si>
  <si>
    <t>WES-22905-0000</t>
  </si>
  <si>
    <t>WES-22906-0000</t>
  </si>
  <si>
    <t>WES-23000-0000</t>
  </si>
  <si>
    <t>WES-23100-0000</t>
  </si>
  <si>
    <t>WES-23500-0000</t>
  </si>
  <si>
    <t>WES-23501-0000</t>
  </si>
  <si>
    <t>WES-23700-0000</t>
  </si>
  <si>
    <t>WES-23800-0000</t>
  </si>
  <si>
    <t>WES-24200-0000</t>
  </si>
  <si>
    <t>WES-24300-0000</t>
  </si>
  <si>
    <t>WES-24400-0000</t>
  </si>
  <si>
    <t>WES-24500-0000</t>
  </si>
  <si>
    <t>WES-24600-0000</t>
  </si>
  <si>
    <t>WES-25005-0000</t>
  </si>
  <si>
    <t>WES-25009-0000</t>
  </si>
  <si>
    <t>WES-25600-0000</t>
  </si>
  <si>
    <t>WES-25601-0000</t>
  </si>
  <si>
    <t>WES-25602-0000</t>
  </si>
  <si>
    <t>WES-25603-0000</t>
  </si>
  <si>
    <t>WES-25604-0000</t>
  </si>
  <si>
    <t>WES-28000-0000</t>
  </si>
  <si>
    <t>WES-28002-0000</t>
  </si>
  <si>
    <t>WES-28003-0000</t>
  </si>
  <si>
    <t>WES-28004-0000</t>
  </si>
  <si>
    <t>WES-28005-0000</t>
  </si>
  <si>
    <t>WES-28006-0000</t>
  </si>
  <si>
    <t>WES-28007-0000</t>
  </si>
  <si>
    <t>WES-28008-0000</t>
  </si>
  <si>
    <t>WES-28009-0000</t>
  </si>
  <si>
    <t>WES-28010-0000</t>
  </si>
  <si>
    <t>WES-28011-0000</t>
  </si>
  <si>
    <t>WES-28012-0000</t>
  </si>
  <si>
    <t>WES-28013-0000</t>
  </si>
  <si>
    <t>WES-28014-0000</t>
  </si>
  <si>
    <t>WES-28015-0000</t>
  </si>
  <si>
    <t>WES-28016-0000</t>
  </si>
  <si>
    <t>WES-28017-0000</t>
  </si>
  <si>
    <t>WES-28018-0000</t>
  </si>
  <si>
    <t>WES-28019-0000</t>
  </si>
  <si>
    <t>WES-28020-0000</t>
  </si>
  <si>
    <t>WES-28021-0000</t>
  </si>
  <si>
    <t>WES-28022-0000</t>
  </si>
  <si>
    <t>WES-28023-0000</t>
  </si>
  <si>
    <t>WES-28024-0000</t>
  </si>
  <si>
    <t>WES-30101-0000</t>
  </si>
  <si>
    <t>WES-30501-0000</t>
  </si>
  <si>
    <t>WES-31001-0000</t>
  </si>
  <si>
    <t>WES-31002-0000</t>
  </si>
  <si>
    <t>WES-31003-0000</t>
  </si>
  <si>
    <t>WES-31005-0000</t>
  </si>
  <si>
    <t>WES-31007-0000</t>
  </si>
  <si>
    <t>WES-31008-0000</t>
  </si>
  <si>
    <t>WES-31009-0000</t>
  </si>
  <si>
    <t>WES-31010-0000</t>
  </si>
  <si>
    <t>WES-31012-0000</t>
  </si>
  <si>
    <t>WES-31015-0000</t>
  </si>
  <si>
    <t>WES-31016-0000</t>
  </si>
  <si>
    <t>WES-31018-0000</t>
  </si>
  <si>
    <t>WES-31801-0000</t>
  </si>
  <si>
    <t>WES-31802-0000</t>
  </si>
  <si>
    <t>WES-31803-0000</t>
  </si>
  <si>
    <t>WES-31804-0000</t>
  </si>
  <si>
    <t>WES-31900-0000</t>
  </si>
  <si>
    <t>WES-36000-0000</t>
  </si>
  <si>
    <t>WES-36002-0000</t>
  </si>
  <si>
    <t>WES-36003-0000</t>
  </si>
  <si>
    <t>WES-36004-0000</t>
  </si>
  <si>
    <t>WES-36005-0000</t>
  </si>
  <si>
    <t>WES-36006-0000</t>
  </si>
  <si>
    <t>WES-36008-0000</t>
  </si>
  <si>
    <t>WES-36018-0000</t>
  </si>
  <si>
    <t>WES-36801-0000</t>
  </si>
  <si>
    <t>WES-36802-0000</t>
  </si>
  <si>
    <t>WES-36803-0000</t>
  </si>
  <si>
    <t>WES-36804-0000</t>
  </si>
  <si>
    <t>WES-36900-0000</t>
  </si>
  <si>
    <t>WES-36901-0000</t>
  </si>
  <si>
    <t>WES-38100-0000</t>
  </si>
  <si>
    <t>WES-38100-1000</t>
  </si>
  <si>
    <t>WES-40110-0000</t>
  </si>
  <si>
    <t>WES-40140-0000</t>
  </si>
  <si>
    <t>WES-41110-0000</t>
  </si>
  <si>
    <t>WES-41112-0000</t>
  </si>
  <si>
    <t>WES-41120-0000</t>
  </si>
  <si>
    <t>WES-42110-0000</t>
  </si>
  <si>
    <t>WES-42130-0000</t>
  </si>
  <si>
    <t>WES-42140-0000</t>
  </si>
  <si>
    <t>WES-42150-0000</t>
  </si>
  <si>
    <t>WES-42160-0000</t>
  </si>
  <si>
    <t>WES-42405-0000</t>
  </si>
  <si>
    <t>WES-43120-0000</t>
  </si>
  <si>
    <t>WES-43121-0000</t>
  </si>
  <si>
    <t>WES-43200-0000</t>
  </si>
  <si>
    <t>WES-43410-0000</t>
  </si>
  <si>
    <t>WES-43420-0000</t>
  </si>
  <si>
    <t>WES-43430-0000</t>
  </si>
  <si>
    <t>WES-43440-0000</t>
  </si>
  <si>
    <t>WES-43450-0000</t>
  </si>
  <si>
    <t>WES-43480-0000</t>
  </si>
  <si>
    <t>WES-43490-0000</t>
  </si>
  <si>
    <t>WES-43491-0000</t>
  </si>
  <si>
    <t>WES-43492-0000</t>
  </si>
  <si>
    <t>WES-43493-0000</t>
  </si>
  <si>
    <t>WES-43494-0000</t>
  </si>
  <si>
    <t>WES-43495-0000</t>
  </si>
  <si>
    <t>WES-44000-0000</t>
  </si>
  <si>
    <t>WES-46000-0000</t>
  </si>
  <si>
    <t>WES-47300-0000</t>
  </si>
  <si>
    <t>WES-47550-0000</t>
  </si>
  <si>
    <t>WES-49500-9999</t>
  </si>
  <si>
    <t>WES-51001-0000</t>
  </si>
  <si>
    <t>WES-51002-0000</t>
  </si>
  <si>
    <t>WES-51003-0000</t>
  </si>
  <si>
    <t>WES-51004-0000</t>
  </si>
  <si>
    <t>WES-51005-0000</t>
  </si>
  <si>
    <t>WES-51006-0000</t>
  </si>
  <si>
    <t>WES-51007-0000</t>
  </si>
  <si>
    <t>WES-51008-0000</t>
  </si>
  <si>
    <t>WES-51009-0000</t>
  </si>
  <si>
    <t>WES-51010-0000</t>
  </si>
  <si>
    <t>WES-51011-0000</t>
  </si>
  <si>
    <t>WES-51012-0000</t>
  </si>
  <si>
    <t>WES-51014-0000</t>
  </si>
  <si>
    <t>WES-51015-0000</t>
  </si>
  <si>
    <t>WES-51018-0000</t>
  </si>
  <si>
    <t>WES-51019-0000</t>
  </si>
  <si>
    <t>WES-51020-0000</t>
  </si>
  <si>
    <t>WES-51021-0000</t>
  </si>
  <si>
    <t>WES-51022-0000</t>
  </si>
  <si>
    <t>WES-51023-0000</t>
  </si>
  <si>
    <t>WES-51024-0000</t>
  </si>
  <si>
    <t>WES-51025-0000</t>
  </si>
  <si>
    <t>WES-51026-0000</t>
  </si>
  <si>
    <t>WES-51027-0000</t>
  </si>
  <si>
    <t>WES-51028-0000</t>
  </si>
  <si>
    <t>WES-51029-0000</t>
  </si>
  <si>
    <t>WES-51030-0000</t>
  </si>
  <si>
    <t>WES-51350-0000</t>
  </si>
  <si>
    <t>WES-52001-0000</t>
  </si>
  <si>
    <t>WES-52002-0000</t>
  </si>
  <si>
    <t>WES-52003-0000</t>
  </si>
  <si>
    <t>WES-52005-0000</t>
  </si>
  <si>
    <t>WES-52007-0000</t>
  </si>
  <si>
    <t>WES-52008-0000</t>
  </si>
  <si>
    <t>WES-53001-0000</t>
  </si>
  <si>
    <t>WES-53002-0000</t>
  </si>
  <si>
    <t>WES-53003-0000</t>
  </si>
  <si>
    <t>WES-53004-0000</t>
  </si>
  <si>
    <t>WES-53005-0000</t>
  </si>
  <si>
    <t>WES-53006-0000</t>
  </si>
  <si>
    <t>WES-53007-0000</t>
  </si>
  <si>
    <t>WES-53011-0000</t>
  </si>
  <si>
    <t>WES-54001-0000</t>
  </si>
  <si>
    <t>WES-54002-0000</t>
  </si>
  <si>
    <t>WES-54003-0000</t>
  </si>
  <si>
    <t>WES-54004-0000</t>
  </si>
  <si>
    <t>WES-54005-0000</t>
  </si>
  <si>
    <t>WES-54006-0000</t>
  </si>
  <si>
    <t>WES-54007-0000</t>
  </si>
  <si>
    <t>WES-54100-0000</t>
  </si>
  <si>
    <t>WES-61001-0000</t>
  </si>
  <si>
    <t>WES-61002-0000</t>
  </si>
  <si>
    <t>WES-61003-0000</t>
  </si>
  <si>
    <t>WES-61004-0000</t>
  </si>
  <si>
    <t>WES-61005-0000</t>
  </si>
  <si>
    <t>WES-61006-0000</t>
  </si>
  <si>
    <t>WES-61007-0000</t>
  </si>
  <si>
    <t>WES-61008-0000</t>
  </si>
  <si>
    <t>WES-61009-0000</t>
  </si>
  <si>
    <t>WES-61010-0000</t>
  </si>
  <si>
    <t>WES-61011-0000</t>
  </si>
  <si>
    <t>WES-61012-0000</t>
  </si>
  <si>
    <t>WES-61013-0000</t>
  </si>
  <si>
    <t>WES-61014-0000</t>
  </si>
  <si>
    <t>WES-61015-0000</t>
  </si>
  <si>
    <t>WES-61016-0000</t>
  </si>
  <si>
    <t>WES-61017-0000</t>
  </si>
  <si>
    <t>WES-61021-0000</t>
  </si>
  <si>
    <t>WES-61022-0000</t>
  </si>
  <si>
    <t>WES-61023-0000</t>
  </si>
  <si>
    <t>WES-61024-0000</t>
  </si>
  <si>
    <t>WES-61025-0000</t>
  </si>
  <si>
    <t>WES-71010-0000</t>
  </si>
  <si>
    <t>WES-71020-0000</t>
  </si>
  <si>
    <t>WES-71030-0000</t>
  </si>
  <si>
    <t>WES-71040-0000</t>
  </si>
  <si>
    <t>WES-71050-0000</t>
  </si>
  <si>
    <t>WES-71060-0000</t>
  </si>
  <si>
    <t>WES-71070-0000</t>
  </si>
  <si>
    <t>WES-71080-0000</t>
  </si>
  <si>
    <t>WES-71090-0000</t>
  </si>
  <si>
    <t>WES-71100-0000</t>
  </si>
  <si>
    <t>WES-71110-0000</t>
  </si>
  <si>
    <t>WES-73101-0000</t>
  </si>
  <si>
    <t>WES-73103-0000</t>
  </si>
  <si>
    <t>WES-73105-0000</t>
  </si>
  <si>
    <t>WES-80006-0000</t>
  </si>
  <si>
    <t>WES-80061-0000</t>
  </si>
  <si>
    <t>WES-81019-0000</t>
  </si>
  <si>
    <t>WES-81220-0000</t>
  </si>
  <si>
    <t>WES-81228-0000</t>
  </si>
  <si>
    <t>WES-81400-0000</t>
  </si>
  <si>
    <t>WES-82900-0000</t>
  </si>
  <si>
    <t>WES-85500-0000</t>
  </si>
  <si>
    <t>WES-85700-0000</t>
  </si>
  <si>
    <t>WIC-10003-0000</t>
  </si>
  <si>
    <t>WIC-10004-0000</t>
  </si>
  <si>
    <t>WIC-10005-0000</t>
  </si>
  <si>
    <t>WIC-10006-0000</t>
  </si>
  <si>
    <t>WIC-10009-0000</t>
  </si>
  <si>
    <t>WIC-10010-0000</t>
  </si>
  <si>
    <t>WIC-10011-0000</t>
  </si>
  <si>
    <t>WIC-10012-0000</t>
  </si>
  <si>
    <t>WIC-10023-0000</t>
  </si>
  <si>
    <t>WIC-10024-0000</t>
  </si>
  <si>
    <t>WIC-10027-0000</t>
  </si>
  <si>
    <t>WIC-10050-0000</t>
  </si>
  <si>
    <t>WIC-11200-0000</t>
  </si>
  <si>
    <t>WIC-11201-0000</t>
  </si>
  <si>
    <t>WIC-11202-0000</t>
  </si>
  <si>
    <t>WIC-11203-0000</t>
  </si>
  <si>
    <t>WIC-11204-0000</t>
  </si>
  <si>
    <t>WIC-11208-0000</t>
  </si>
  <si>
    <t>WIC-11210-0000</t>
  </si>
  <si>
    <t>WIC-11212-0000</t>
  </si>
  <si>
    <t>WIC-11214-0000</t>
  </si>
  <si>
    <t>WIC-11215-0000</t>
  </si>
  <si>
    <t>WIC-11216-0000</t>
  </si>
  <si>
    <t>WIC-11232-0000</t>
  </si>
  <si>
    <t>WIC-11301-0000</t>
  </si>
  <si>
    <t>WIC-11302-0000</t>
  </si>
  <si>
    <t>WIC-11303-0000</t>
  </si>
  <si>
    <t>WIC-11304-0000</t>
  </si>
  <si>
    <t>WIC-11305-0000</t>
  </si>
  <si>
    <t>WIC-11307-0000</t>
  </si>
  <si>
    <t>WIC-11308-0000</t>
  </si>
  <si>
    <t>WIC-11309-0000</t>
  </si>
  <si>
    <t>WIC-11310-0000</t>
  </si>
  <si>
    <t>WIC-11311-0000</t>
  </si>
  <si>
    <t>WIC-11312-0000</t>
  </si>
  <si>
    <t>WIC-11313-0000</t>
  </si>
  <si>
    <t>WIC-11314-0000</t>
  </si>
  <si>
    <t>WIC-11315-0000</t>
  </si>
  <si>
    <t>WIC-11316-0000</t>
  </si>
  <si>
    <t>WIC-11317-0000</t>
  </si>
  <si>
    <t>WIC-11318-0000</t>
  </si>
  <si>
    <t>WIC-11319-0000</t>
  </si>
  <si>
    <t>WIC-11320-0000</t>
  </si>
  <si>
    <t>WIC-11321-0000</t>
  </si>
  <si>
    <t>WIC-11322-0000</t>
  </si>
  <si>
    <t>WIC-11323-0000</t>
  </si>
  <si>
    <t>WIC-11324-0000</t>
  </si>
  <si>
    <t>WIC-11325-0000</t>
  </si>
  <si>
    <t>WIC-11326-0000</t>
  </si>
  <si>
    <t>WIC-11327-0000</t>
  </si>
  <si>
    <t>WIC-11328-0000</t>
  </si>
  <si>
    <t>WIC-11329-0000</t>
  </si>
  <si>
    <t>WIC-11330-0000</t>
  </si>
  <si>
    <t>WIC-11331-0000</t>
  </si>
  <si>
    <t>WIC-11332-0000</t>
  </si>
  <si>
    <t>WIC-11333-0000</t>
  </si>
  <si>
    <t>WIC-11334-0000</t>
  </si>
  <si>
    <t>WIC-11335-0000</t>
  </si>
  <si>
    <t>WIC-11336-0000</t>
  </si>
  <si>
    <t>WIC-11337-0000</t>
  </si>
  <si>
    <t>WIC-11338-0000</t>
  </si>
  <si>
    <t>WIC-11339-0000</t>
  </si>
  <si>
    <t>WIC-11340-0000</t>
  </si>
  <si>
    <t>WIC-11341-0000</t>
  </si>
  <si>
    <t>WIC-11342-0000</t>
  </si>
  <si>
    <t>WIC-11343-0000</t>
  </si>
  <si>
    <t>WIC-11344-0000</t>
  </si>
  <si>
    <t>WIC-11345-0000</t>
  </si>
  <si>
    <t>WIC-11346-0000</t>
  </si>
  <si>
    <t>WIC-11347-0000</t>
  </si>
  <si>
    <t>WIC-11348-0000</t>
  </si>
  <si>
    <t>WIC-11349-0000</t>
  </si>
  <si>
    <t>WIC-11350-0000</t>
  </si>
  <si>
    <t>WIC-11351-0000</t>
  </si>
  <si>
    <t>WIC-11352-0000</t>
  </si>
  <si>
    <t>WIC-11353-0000</t>
  </si>
  <si>
    <t>WIC-11354-0000</t>
  </si>
  <si>
    <t>WIC-11355-0000</t>
  </si>
  <si>
    <t>WIC-11356-0000</t>
  </si>
  <si>
    <t>WIC-11357-0000</t>
  </si>
  <si>
    <t>WIC-11358-0000</t>
  </si>
  <si>
    <t>WIC-11359-0000</t>
  </si>
  <si>
    <t>WIC-11361-0000</t>
  </si>
  <si>
    <t>WIC-11363-0000</t>
  </si>
  <si>
    <t>WIC-11364-0000</t>
  </si>
  <si>
    <t>WIC-11365-0000</t>
  </si>
  <si>
    <t>WIC-11366-0000</t>
  </si>
  <si>
    <t>WIC-11402-0000</t>
  </si>
  <si>
    <t>WIC-11403-0000</t>
  </si>
  <si>
    <t>WIC-12100-0000</t>
  </si>
  <si>
    <t>WIC-12105-0000</t>
  </si>
  <si>
    <t>WIC-12400-0000</t>
  </si>
  <si>
    <t>WIC-12401-0000</t>
  </si>
  <si>
    <t>WIC-12402-0000</t>
  </si>
  <si>
    <t>WIC-12403-0000</t>
  </si>
  <si>
    <t>WIC-12501-0000</t>
  </si>
  <si>
    <t>WIC-12510-0000</t>
  </si>
  <si>
    <t>WIC-13010-0000</t>
  </si>
  <si>
    <t>WIC-13050-0000</t>
  </si>
  <si>
    <t>WIC-13610-0000</t>
  </si>
  <si>
    <t>WIC-13620-0000</t>
  </si>
  <si>
    <t>WIC-13810-0000</t>
  </si>
  <si>
    <t>WIC-13811-0000</t>
  </si>
  <si>
    <t>WIC-13811-1000</t>
  </si>
  <si>
    <t>WIC-13812-0000</t>
  </si>
  <si>
    <t>WIC-13812-1000</t>
  </si>
  <si>
    <t>WIC-13813-0000</t>
  </si>
  <si>
    <t>WIC-13813-1000</t>
  </si>
  <si>
    <t>WIC-13820-0000</t>
  </si>
  <si>
    <t>WIC-13820-1000</t>
  </si>
  <si>
    <t>WIC-13821-0000</t>
  </si>
  <si>
    <t>WIC-13821-1000</t>
  </si>
  <si>
    <t>WIC-13822-0000</t>
  </si>
  <si>
    <t>WIC-13822-1000</t>
  </si>
  <si>
    <t>WIC-14100-0000</t>
  </si>
  <si>
    <t>WIC-15000-0000</t>
  </si>
  <si>
    <t>WIC-15500-0000</t>
  </si>
  <si>
    <t>WIC-15600-0000</t>
  </si>
  <si>
    <t>WIC-15700-0000</t>
  </si>
  <si>
    <t>WIC-15800-0000</t>
  </si>
  <si>
    <t>WIC-16000-0000</t>
  </si>
  <si>
    <t>WIC-17000-0000</t>
  </si>
  <si>
    <t>WIC-18000-0000</t>
  </si>
  <si>
    <t>WIC-22000-0000</t>
  </si>
  <si>
    <t>WIC-22001-0000</t>
  </si>
  <si>
    <t>WIC-22003-0000</t>
  </si>
  <si>
    <t>WIC-22005-0000</t>
  </si>
  <si>
    <t>WIC-22310-0000</t>
  </si>
  <si>
    <t>WIC-22800-0000</t>
  </si>
  <si>
    <t>WIC-22801-0000</t>
  </si>
  <si>
    <t>WIC-22810-0000</t>
  </si>
  <si>
    <t>WIC-22900-0000</t>
  </si>
  <si>
    <t>WIC-22905-0000</t>
  </si>
  <si>
    <t>WIC-22906-0000</t>
  </si>
  <si>
    <t>WIC-23000-0000</t>
  </si>
  <si>
    <t>WIC-23100-0000</t>
  </si>
  <si>
    <t>WIC-23500-0000</t>
  </si>
  <si>
    <t>WIC-23501-0000</t>
  </si>
  <si>
    <t>WIC-23509-0000</t>
  </si>
  <si>
    <t>WIC-23700-0000</t>
  </si>
  <si>
    <t>WIC-23800-0000</t>
  </si>
  <si>
    <t>WIC-24200-0000</t>
  </si>
  <si>
    <t>WIC-24300-0000</t>
  </si>
  <si>
    <t>WIC-24400-0000</t>
  </si>
  <si>
    <t>WIC-24500-0000</t>
  </si>
  <si>
    <t>WIC-24600-0000</t>
  </si>
  <si>
    <t>WIC-25005-0000</t>
  </si>
  <si>
    <t>WIC-25009-0000</t>
  </si>
  <si>
    <t>WIC-25600-0000</t>
  </si>
  <si>
    <t>WIC-25601-0000</t>
  </si>
  <si>
    <t>WIC-25602-0000</t>
  </si>
  <si>
    <t>WIC-25603-0000</t>
  </si>
  <si>
    <t>WIC-25604-0000</t>
  </si>
  <si>
    <t>WIC-28000-0000</t>
  </si>
  <si>
    <t>WIC-28001-0000</t>
  </si>
  <si>
    <t>WIC-28002-0000</t>
  </si>
  <si>
    <t>WIC-28003-0000</t>
  </si>
  <si>
    <t>WIC-28004-0000</t>
  </si>
  <si>
    <t>WIC-28005-0000</t>
  </si>
  <si>
    <t>WIC-28006-0000</t>
  </si>
  <si>
    <t>WIC-28007-0000</t>
  </si>
  <si>
    <t>WIC-28008-0000</t>
  </si>
  <si>
    <t>WIC-28009-0000</t>
  </si>
  <si>
    <t>WIC-28010-0000</t>
  </si>
  <si>
    <t>WIC-28011-0000</t>
  </si>
  <si>
    <t>WIC-28012-0000</t>
  </si>
  <si>
    <t>WIC-28013-0000</t>
  </si>
  <si>
    <t>WIC-28014-0000</t>
  </si>
  <si>
    <t>WIC-28015-0000</t>
  </si>
  <si>
    <t>WIC-28016-0000</t>
  </si>
  <si>
    <t>WIC-28017-0000</t>
  </si>
  <si>
    <t>WIC-28018-0000</t>
  </si>
  <si>
    <t>WIC-28019-0000</t>
  </si>
  <si>
    <t>WIC-28020-0000</t>
  </si>
  <si>
    <t>WIC-28021-0000</t>
  </si>
  <si>
    <t>WIC-28022-0000</t>
  </si>
  <si>
    <t>WIC-28023-0000</t>
  </si>
  <si>
    <t>WIC-28024-0000</t>
  </si>
  <si>
    <t>WIC-30101-0000</t>
  </si>
  <si>
    <t>WIC-30501-0000</t>
  </si>
  <si>
    <t>WIC-31001-0000</t>
  </si>
  <si>
    <t>WIC-31002-0000</t>
  </si>
  <si>
    <t>WIC-31003-0000</t>
  </si>
  <si>
    <t>WIC-31005-0000</t>
  </si>
  <si>
    <t>WIC-31007-0000</t>
  </si>
  <si>
    <t>WIC-31008-0000</t>
  </si>
  <si>
    <t>WIC-31009-0000</t>
  </si>
  <si>
    <t>WIC-31010-0000</t>
  </si>
  <si>
    <t>WIC-31012-0000</t>
  </si>
  <si>
    <t>WIC-31015-0000</t>
  </si>
  <si>
    <t>WIC-31016-0000</t>
  </si>
  <si>
    <t>WIC-31018-0000</t>
  </si>
  <si>
    <t>WIC-31801-0000</t>
  </si>
  <si>
    <t>WIC-31802-0000</t>
  </si>
  <si>
    <t>WIC-31803-0000</t>
  </si>
  <si>
    <t>WIC-31804-0000</t>
  </si>
  <si>
    <t>WIC-31900-0000</t>
  </si>
  <si>
    <t>WIC-36000-0000</t>
  </si>
  <si>
    <t>WIC-36002-0000</t>
  </si>
  <si>
    <t>WIC-36003-0000</t>
  </si>
  <si>
    <t>WIC-36004-0000</t>
  </si>
  <si>
    <t>WIC-36005-0000</t>
  </si>
  <si>
    <t>WIC-36006-0000</t>
  </si>
  <si>
    <t>WIC-36008-0000</t>
  </si>
  <si>
    <t>WIC-36018-0000</t>
  </si>
  <si>
    <t>WIC-36801-0000</t>
  </si>
  <si>
    <t>WIC-36802-0000</t>
  </si>
  <si>
    <t>WIC-36803-0000</t>
  </si>
  <si>
    <t>WIC-36804-0000</t>
  </si>
  <si>
    <t>WIC-36900-0000</t>
  </si>
  <si>
    <t>WIC-36901-0000</t>
  </si>
  <si>
    <t>WIC-38100-0000</t>
  </si>
  <si>
    <t>WIC-38100-1000</t>
  </si>
  <si>
    <t>WIC-40110-0000</t>
  </si>
  <si>
    <t>WIC-40120-0000</t>
  </si>
  <si>
    <t>WIC-40130-0000</t>
  </si>
  <si>
    <t>WIC-40140-0000</t>
  </si>
  <si>
    <t>WIC-41110-0000</t>
  </si>
  <si>
    <t>WIC-41112-0000</t>
  </si>
  <si>
    <t>WIC-41120-0000</t>
  </si>
  <si>
    <t>WIC-42110-0000</t>
  </si>
  <si>
    <t>WIC-42130-0000</t>
  </si>
  <si>
    <t>WIC-42140-0000</t>
  </si>
  <si>
    <t>WIC-42150-0000</t>
  </si>
  <si>
    <t>WIC-42160-0000</t>
  </si>
  <si>
    <t>WIC-42405-0000</t>
  </si>
  <si>
    <t>WIC-43120-0000</t>
  </si>
  <si>
    <t>WIC-43121-0000</t>
  </si>
  <si>
    <t>WIC-43200-0000</t>
  </si>
  <si>
    <t>WIC-43410-0000</t>
  </si>
  <si>
    <t>WIC-43420-0000</t>
  </si>
  <si>
    <t>WIC-43430-0000</t>
  </si>
  <si>
    <t>WIC-43440-0000</t>
  </si>
  <si>
    <t>WIC-43450-0000</t>
  </si>
  <si>
    <t>WIC-43480-0000</t>
  </si>
  <si>
    <t>WIC-43490-0000</t>
  </si>
  <si>
    <t>WIC-43491-0000</t>
  </si>
  <si>
    <t>WIC-43492-0000</t>
  </si>
  <si>
    <t>WIC-43493-0000</t>
  </si>
  <si>
    <t>WIC-43494-0000</t>
  </si>
  <si>
    <t>WIC-43495-0000</t>
  </si>
  <si>
    <t>WIC-44000-0000</t>
  </si>
  <si>
    <t>WIC-46000-0000</t>
  </si>
  <si>
    <t>WIC-47300-0000</t>
  </si>
  <si>
    <t>WIC-47550-0000</t>
  </si>
  <si>
    <t>WIC-49500-9999</t>
  </si>
  <si>
    <t>WIC-51001-0000</t>
  </si>
  <si>
    <t>WIC-51002-0000</t>
  </si>
  <si>
    <t>WIC-51003-0000</t>
  </si>
  <si>
    <t>WIC-51004-0000</t>
  </si>
  <si>
    <t>WIC-51005-0000</t>
  </si>
  <si>
    <t>WIC-51006-0000</t>
  </si>
  <si>
    <t>WIC-51007-0000</t>
  </si>
  <si>
    <t>WIC-51008-0000</t>
  </si>
  <si>
    <t>WIC-51009-0000</t>
  </si>
  <si>
    <t>WIC-51010-0000</t>
  </si>
  <si>
    <t>WIC-51011-0000</t>
  </si>
  <si>
    <t>WIC-51012-0000</t>
  </si>
  <si>
    <t>WIC-51013-0000</t>
  </si>
  <si>
    <t>WIC-51014-0000</t>
  </si>
  <si>
    <t>WIC-51015-0000</t>
  </si>
  <si>
    <t>WIC-51018-0000</t>
  </si>
  <si>
    <t>WIC-51019-0000</t>
  </si>
  <si>
    <t>WIC-51020-0000</t>
  </si>
  <si>
    <t>WIC-51021-0000</t>
  </si>
  <si>
    <t>WIC-51022-0000</t>
  </si>
  <si>
    <t>WIC-51023-0000</t>
  </si>
  <si>
    <t>WIC-51024-0000</t>
  </si>
  <si>
    <t>WIC-51025-0000</t>
  </si>
  <si>
    <t>WIC-51026-0000</t>
  </si>
  <si>
    <t>WIC-51027-0000</t>
  </si>
  <si>
    <t>WIC-51028-0000</t>
  </si>
  <si>
    <t>WIC-51029-0000</t>
  </si>
  <si>
    <t>WIC-51030-0000</t>
  </si>
  <si>
    <t>WIC-51350-0000</t>
  </si>
  <si>
    <t>WIC-52001-0000</t>
  </si>
  <si>
    <t>WIC-52002-0000</t>
  </si>
  <si>
    <t>WIC-52003-0000</t>
  </si>
  <si>
    <t>WIC-52005-0000</t>
  </si>
  <si>
    <t>WIC-52007-0000</t>
  </si>
  <si>
    <t>WIC-52008-0000</t>
  </si>
  <si>
    <t>WIC-53001-0000</t>
  </si>
  <si>
    <t>WIC-53002-0000</t>
  </si>
  <si>
    <t>WIC-53003-0000</t>
  </si>
  <si>
    <t>WIC-53004-0000</t>
  </si>
  <si>
    <t>WIC-53005-0000</t>
  </si>
  <si>
    <t>WIC-53006-0000</t>
  </si>
  <si>
    <t>WIC-53007-0000</t>
  </si>
  <si>
    <t>WIC-53011-0000</t>
  </si>
  <si>
    <t>WIC-54001-0000</t>
  </si>
  <si>
    <t>WIC-54002-0000</t>
  </si>
  <si>
    <t>WIC-54003-0000</t>
  </si>
  <si>
    <t>WIC-54004-0000</t>
  </si>
  <si>
    <t>WIC-54005-0000</t>
  </si>
  <si>
    <t>WIC-54006-0000</t>
  </si>
  <si>
    <t>WIC-54007-0000</t>
  </si>
  <si>
    <t>WIC-54100-0000</t>
  </si>
  <si>
    <t>WIC-61001-0000</t>
  </si>
  <si>
    <t>WIC-61002-0000</t>
  </si>
  <si>
    <t>WIC-61003-0000</t>
  </si>
  <si>
    <t>WIC-61004-0000</t>
  </si>
  <si>
    <t>WIC-61005-0000</t>
  </si>
  <si>
    <t>WIC-61006-0000</t>
  </si>
  <si>
    <t>WIC-61007-0000</t>
  </si>
  <si>
    <t>WIC-61008-0000</t>
  </si>
  <si>
    <t>WIC-61009-0000</t>
  </si>
  <si>
    <t>WIC-61010-0000</t>
  </si>
  <si>
    <t>WIC-61011-0000</t>
  </si>
  <si>
    <t>WIC-61012-0000</t>
  </si>
  <si>
    <t>WIC-61013-0000</t>
  </si>
  <si>
    <t>WIC-61014-0000</t>
  </si>
  <si>
    <t>WIC-61015-0000</t>
  </si>
  <si>
    <t>WIC-61016-0000</t>
  </si>
  <si>
    <t>WIC-61017-0000</t>
  </si>
  <si>
    <t>WIC-61021-0000</t>
  </si>
  <si>
    <t>WIC-61022-0000</t>
  </si>
  <si>
    <t>WIC-61023-0000</t>
  </si>
  <si>
    <t>WIC-61024-0000</t>
  </si>
  <si>
    <t>WIC-61025-0000</t>
  </si>
  <si>
    <t>WIC-71010-0000</t>
  </si>
  <si>
    <t>WIC-71020-0000</t>
  </si>
  <si>
    <t>WIC-71030-0000</t>
  </si>
  <si>
    <t>WIC-71040-0000</t>
  </si>
  <si>
    <t>WIC-71050-0000</t>
  </si>
  <si>
    <t>WIC-71060-0000</t>
  </si>
  <si>
    <t>WIC-71070-0000</t>
  </si>
  <si>
    <t>WIC-71080-0000</t>
  </si>
  <si>
    <t>WIC-71090-0000</t>
  </si>
  <si>
    <t>WIC-71100-0000</t>
  </si>
  <si>
    <t>WIC-71110-0000</t>
  </si>
  <si>
    <t>WIC-73101-0000</t>
  </si>
  <si>
    <t>WIC-73103-0000</t>
  </si>
  <si>
    <t>WIC-73105-0000</t>
  </si>
  <si>
    <t>WIC-80006-0000</t>
  </si>
  <si>
    <t>WIC-80061-0000</t>
  </si>
  <si>
    <t>WIC-81019-0000</t>
  </si>
  <si>
    <t>WIC-81220-0000</t>
  </si>
  <si>
    <t>WIC-81228-0000</t>
  </si>
  <si>
    <t>WIC-81400-0000</t>
  </si>
  <si>
    <t>WIC-82900-0000</t>
  </si>
  <si>
    <t>WIC-85500-0000</t>
  </si>
  <si>
    <t>WIC-85700-0000</t>
  </si>
  <si>
    <t>WOO-10003-0000</t>
  </si>
  <si>
    <t>WOO-10004-0000</t>
  </si>
  <si>
    <t>WOO-10005-0000</t>
  </si>
  <si>
    <t>WOO-10006-0000</t>
  </si>
  <si>
    <t>WOO-10009-0000</t>
  </si>
  <si>
    <t>WOO-10010-0000</t>
  </si>
  <si>
    <t>WOO-10011-0000</t>
  </si>
  <si>
    <t>WOO-10012-0000</t>
  </si>
  <si>
    <t>WOO-10023-0000</t>
  </si>
  <si>
    <t>WOO-10024-0000</t>
  </si>
  <si>
    <t>WOO-10027-0000</t>
  </si>
  <si>
    <t>WOO-10050-0000</t>
  </si>
  <si>
    <t>WOO-11200-0000</t>
  </si>
  <si>
    <t>WOO-11201-0000</t>
  </si>
  <si>
    <t>WOO-11202-0000</t>
  </si>
  <si>
    <t>WOO-11203-0000</t>
  </si>
  <si>
    <t>WOO-11204-0000</t>
  </si>
  <si>
    <t>WOO-11208-0000</t>
  </si>
  <si>
    <t>WOO-11210-0000</t>
  </si>
  <si>
    <t>WOO-11212-0000</t>
  </si>
  <si>
    <t>WOO-11214-0000</t>
  </si>
  <si>
    <t>WOO-11215-0000</t>
  </si>
  <si>
    <t>WOO-11232-0000</t>
  </si>
  <si>
    <t>WOO-11301-0000</t>
  </si>
  <si>
    <t>WOO-11302-0000</t>
  </si>
  <si>
    <t>WOO-11303-0000</t>
  </si>
  <si>
    <t>WOO-11304-0000</t>
  </si>
  <si>
    <t>WOO-11305-0000</t>
  </si>
  <si>
    <t>WOO-11307-0000</t>
  </si>
  <si>
    <t>WOO-11308-0000</t>
  </si>
  <si>
    <t>WOO-11309-0000</t>
  </si>
  <si>
    <t>WOO-11310-0000</t>
  </si>
  <si>
    <t>WOO-11312-0000</t>
  </si>
  <si>
    <t>WOO-11313-0000</t>
  </si>
  <si>
    <t>WOO-11314-0000</t>
  </si>
  <si>
    <t>WOO-11315-0000</t>
  </si>
  <si>
    <t>WOO-11316-0000</t>
  </si>
  <si>
    <t>WOO-11318-0000</t>
  </si>
  <si>
    <t>WOO-11319-0000</t>
  </si>
  <si>
    <t>WOO-11321-0000</t>
  </si>
  <si>
    <t>WOO-11322-0000</t>
  </si>
  <si>
    <t>WOO-11323-0000</t>
  </si>
  <si>
    <t>WOO-11324-0000</t>
  </si>
  <si>
    <t>WOO-11325-0000</t>
  </si>
  <si>
    <t>WOO-11326-0000</t>
  </si>
  <si>
    <t>WOO-11327-0000</t>
  </si>
  <si>
    <t>WOO-11328-0000</t>
  </si>
  <si>
    <t>WOO-11330-0000</t>
  </si>
  <si>
    <t>WOO-11331-0000</t>
  </si>
  <si>
    <t>WOO-11332-0000</t>
  </si>
  <si>
    <t>WOO-11333-0000</t>
  </si>
  <si>
    <t>WOO-11334-0000</t>
  </si>
  <si>
    <t>WOO-11335-0000</t>
  </si>
  <si>
    <t>WOO-11336-0000</t>
  </si>
  <si>
    <t>WOO-11337-0000</t>
  </si>
  <si>
    <t>WOO-11338-0000</t>
  </si>
  <si>
    <t>WOO-11339-0000</t>
  </si>
  <si>
    <t>WOO-11340-0000</t>
  </si>
  <si>
    <t>WOO-11341-0000</t>
  </si>
  <si>
    <t>WOO-11342-0000</t>
  </si>
  <si>
    <t>WOO-11344-0000</t>
  </si>
  <si>
    <t>WOO-11345-0000</t>
  </si>
  <si>
    <t>WOO-11346-0000</t>
  </si>
  <si>
    <t>WOO-11347-0000</t>
  </si>
  <si>
    <t>WOO-11348-0000</t>
  </si>
  <si>
    <t>WOO-11349-0000</t>
  </si>
  <si>
    <t>WOO-11350-0000</t>
  </si>
  <si>
    <t>WOO-11351-0000</t>
  </si>
  <si>
    <t>WOO-11352-0000</t>
  </si>
  <si>
    <t>WOO-11353-0000</t>
  </si>
  <si>
    <t>WOO-11354-0000</t>
  </si>
  <si>
    <t>WOO-11355-0000</t>
  </si>
  <si>
    <t>WOO-11356-0000</t>
  </si>
  <si>
    <t>WOO-11357-0000</t>
  </si>
  <si>
    <t>WOO-11358-0000</t>
  </si>
  <si>
    <t>WOO-11359-0000</t>
  </si>
  <si>
    <t>WOO-11361-0000</t>
  </si>
  <si>
    <t>WOO-11363-0000</t>
  </si>
  <si>
    <t>WOO-11364-0000</t>
  </si>
  <si>
    <t>WOO-11365-0000</t>
  </si>
  <si>
    <t>WOO-11366-0000</t>
  </si>
  <si>
    <t>WOO-11402-0000</t>
  </si>
  <si>
    <t>WOO-11403-0000</t>
  </si>
  <si>
    <t>WOO-12100-0000</t>
  </si>
  <si>
    <t>WOO-12105-0000</t>
  </si>
  <si>
    <t>WOO-12400-0000</t>
  </si>
  <si>
    <t>WOO-12401-0000</t>
  </si>
  <si>
    <t>WOO-12402-0000</t>
  </si>
  <si>
    <t>WOO-12403-0000</t>
  </si>
  <si>
    <t>WOO-12501-0000</t>
  </si>
  <si>
    <t>WOO-12510-0000</t>
  </si>
  <si>
    <t>WOO-13010-0000</t>
  </si>
  <si>
    <t>WOO-13050-0000</t>
  </si>
  <si>
    <t>WOO-13610-0000</t>
  </si>
  <si>
    <t>WOO-13620-0000</t>
  </si>
  <si>
    <t>WOO-13810-0000</t>
  </si>
  <si>
    <t>WOO-13811-0000</t>
  </si>
  <si>
    <t>WOO-13811-1000</t>
  </si>
  <si>
    <t>WOO-13812-0000</t>
  </si>
  <si>
    <t>WOO-13812-1000</t>
  </si>
  <si>
    <t>WOO-13813-0000</t>
  </si>
  <si>
    <t>WOO-13813-1000</t>
  </si>
  <si>
    <t>WOO-13820-0000</t>
  </si>
  <si>
    <t>WOO-13820-1000</t>
  </si>
  <si>
    <t>WOO-13821-0000</t>
  </si>
  <si>
    <t>WOO-13821-1000</t>
  </si>
  <si>
    <t>WOO-13822-0000</t>
  </si>
  <si>
    <t>WOO-13822-1000</t>
  </si>
  <si>
    <t>WOO-14100-0000</t>
  </si>
  <si>
    <t>WOO-15700-0000</t>
  </si>
  <si>
    <t>WOO-15800-0000</t>
  </si>
  <si>
    <t>WOO-22000-0000</t>
  </si>
  <si>
    <t>WOO-22001-0000</t>
  </si>
  <si>
    <t>WOO-22003-0000</t>
  </si>
  <si>
    <t>WOO-22005-0000</t>
  </si>
  <si>
    <t>WOO-22310-0000</t>
  </si>
  <si>
    <t>WOO-22800-0000</t>
  </si>
  <si>
    <t>WOO-22801-0000</t>
  </si>
  <si>
    <t>WOO-22810-0000</t>
  </si>
  <si>
    <t>WOO-22900-0000</t>
  </si>
  <si>
    <t>WOO-22905-0000</t>
  </si>
  <si>
    <t>WOO-22906-0000</t>
  </si>
  <si>
    <t>WOO-23000-0000</t>
  </si>
  <si>
    <t>WOO-23100-0000</t>
  </si>
  <si>
    <t>WOO-23500-0000</t>
  </si>
  <si>
    <t>WOO-23501-0000</t>
  </si>
  <si>
    <t>WOO-23700-0000</t>
  </si>
  <si>
    <t>WOO-23800-0000</t>
  </si>
  <si>
    <t>WOO-24200-0000</t>
  </si>
  <si>
    <t>WOO-24300-0000</t>
  </si>
  <si>
    <t>WOO-24400-0000</t>
  </si>
  <si>
    <t>WOO-24500-0000</t>
  </si>
  <si>
    <t>WOO-24600-0000</t>
  </si>
  <si>
    <t>WOO-25005-0000</t>
  </si>
  <si>
    <t>WOO-25009-0000</t>
  </si>
  <si>
    <t>WOO-25600-0000</t>
  </si>
  <si>
    <t>WOO-25601-0000</t>
  </si>
  <si>
    <t>WOO-25602-0000</t>
  </si>
  <si>
    <t>WOO-25603-0000</t>
  </si>
  <si>
    <t>WOO-25604-0000</t>
  </si>
  <si>
    <t>WOO-28000-0000</t>
  </si>
  <si>
    <t>WOO-28002-0000</t>
  </si>
  <si>
    <t>WOO-28003-0000</t>
  </si>
  <si>
    <t>WOO-28004-0000</t>
  </si>
  <si>
    <t>WOO-28005-0000</t>
  </si>
  <si>
    <t>WOO-28006-0000</t>
  </si>
  <si>
    <t>WOO-28007-0000</t>
  </si>
  <si>
    <t>WOO-28008-0000</t>
  </si>
  <si>
    <t>WOO-28009-0000</t>
  </si>
  <si>
    <t>WOO-28010-0000</t>
  </si>
  <si>
    <t>WOO-28011-0000</t>
  </si>
  <si>
    <t>WOO-28012-0000</t>
  </si>
  <si>
    <t>WOO-28013-0000</t>
  </si>
  <si>
    <t>WOO-28014-0000</t>
  </si>
  <si>
    <t>WOO-28015-0000</t>
  </si>
  <si>
    <t>WOO-28016-0000</t>
  </si>
  <si>
    <t>WOO-28017-0000</t>
  </si>
  <si>
    <t>WOO-28018-0000</t>
  </si>
  <si>
    <t>WOO-28019-0000</t>
  </si>
  <si>
    <t>WOO-28020-0000</t>
  </si>
  <si>
    <t>WOO-28021-0000</t>
  </si>
  <si>
    <t>WOO-28022-0000</t>
  </si>
  <si>
    <t>WOO-28023-0000</t>
  </si>
  <si>
    <t>WOO-28024-0000</t>
  </si>
  <si>
    <t>WOO-30101-0000</t>
  </si>
  <si>
    <t>WOO-30501-0000</t>
  </si>
  <si>
    <t>WOO-31001-0000</t>
  </si>
  <si>
    <t>WOO-31002-0000</t>
  </si>
  <si>
    <t>WOO-31003-0000</t>
  </si>
  <si>
    <t>WOO-31005-0000</t>
  </si>
  <si>
    <t>WOO-31007-0000</t>
  </si>
  <si>
    <t>WOO-31008-0000</t>
  </si>
  <si>
    <t>WOO-31009-0000</t>
  </si>
  <si>
    <t>WOO-31010-0000</t>
  </si>
  <si>
    <t>WOO-31012-0000</t>
  </si>
  <si>
    <t>WOO-31015-0000</t>
  </si>
  <si>
    <t>WOO-31016-0000</t>
  </si>
  <si>
    <t>WOO-31018-0000</t>
  </si>
  <si>
    <t>WOO-31801-0000</t>
  </si>
  <si>
    <t>WOO-31802-0000</t>
  </si>
  <si>
    <t>WOO-31803-0000</t>
  </si>
  <si>
    <t>WOO-31804-0000</t>
  </si>
  <si>
    <t>WOO-31900-0000</t>
  </si>
  <si>
    <t>WOO-36000-0000</t>
  </si>
  <si>
    <t>WOO-36002-0000</t>
  </si>
  <si>
    <t>WOO-36003-0000</t>
  </si>
  <si>
    <t>WOO-36004-0000</t>
  </si>
  <si>
    <t>WOO-36005-0000</t>
  </si>
  <si>
    <t>WOO-36006-0000</t>
  </si>
  <si>
    <t>WOO-36008-0000</t>
  </si>
  <si>
    <t>WOO-36018-0000</t>
  </si>
  <si>
    <t>WOO-36801-0000</t>
  </si>
  <si>
    <t>WOO-36802-0000</t>
  </si>
  <si>
    <t>WOO-36803-0000</t>
  </si>
  <si>
    <t>WOO-36804-0000</t>
  </si>
  <si>
    <t>WOO-36900-0000</t>
  </si>
  <si>
    <t>WOO-36901-0000</t>
  </si>
  <si>
    <t>WOO-38100-0000</t>
  </si>
  <si>
    <t>WOO-38100-1000</t>
  </si>
  <si>
    <t>WOO-41112-0000</t>
  </si>
  <si>
    <t>WOO-41120-0000</t>
  </si>
  <si>
    <t>WOO-42110-0000</t>
  </si>
  <si>
    <t>WOO-42130-0000</t>
  </si>
  <si>
    <t>WOO-42140-0000</t>
  </si>
  <si>
    <t>WOO-42150-0000</t>
  </si>
  <si>
    <t>WOO-42160-0000</t>
  </si>
  <si>
    <t>WOO-42405-0000</t>
  </si>
  <si>
    <t>WOO-43120-0000</t>
  </si>
  <si>
    <t>WOO-43121-0000</t>
  </si>
  <si>
    <t>WOO-43200-0000</t>
  </si>
  <si>
    <t>WOO-43410-0000</t>
  </si>
  <si>
    <t>WOO-43420-0000</t>
  </si>
  <si>
    <t>WOO-43430-0000</t>
  </si>
  <si>
    <t>WOO-43440-0000</t>
  </si>
  <si>
    <t>WOO-43450-0000</t>
  </si>
  <si>
    <t>WOO-43480-0000</t>
  </si>
  <si>
    <t>WOO-43490-0000</t>
  </si>
  <si>
    <t>WOO-43491-0000</t>
  </si>
  <si>
    <t>WOO-43492-0000</t>
  </si>
  <si>
    <t>WOO-43493-0000</t>
  </si>
  <si>
    <t>WOO-43494-0000</t>
  </si>
  <si>
    <t>WOO-43495-0000</t>
  </si>
  <si>
    <t>WOO-44000-0000</t>
  </si>
  <si>
    <t>WOO-46000-0000</t>
  </si>
  <si>
    <t>WOO-47300-0000</t>
  </si>
  <si>
    <t>WOO-47550-0000</t>
  </si>
  <si>
    <t>WOO-49500-9999</t>
  </si>
  <si>
    <t>WOO-51001-0000</t>
  </si>
  <si>
    <t>WOO-51002-0000</t>
  </si>
  <si>
    <t>WOO-51003-0000</t>
  </si>
  <si>
    <t>WOO-51004-0000</t>
  </si>
  <si>
    <t>WOO-51005-0000</t>
  </si>
  <si>
    <t>WOO-51007-0000</t>
  </si>
  <si>
    <t>WOO-51010-0000</t>
  </si>
  <si>
    <t>WOO-51013-0000</t>
  </si>
  <si>
    <t>WOO-51014-0000</t>
  </si>
  <si>
    <t>WOO-51018-0000</t>
  </si>
  <si>
    <t>WOO-51019-0000</t>
  </si>
  <si>
    <t>WOO-51021-0000</t>
  </si>
  <si>
    <t>WOO-51022-0000</t>
  </si>
  <si>
    <t>WOO-51023-0000</t>
  </si>
  <si>
    <t>WOO-51024-0000</t>
  </si>
  <si>
    <t>WOO-51026-0000</t>
  </si>
  <si>
    <t>WOO-51027-0000</t>
  </si>
  <si>
    <t>WOO-51028-0000</t>
  </si>
  <si>
    <t>WOO-51029-0000</t>
  </si>
  <si>
    <t>WOO-51030-0000</t>
  </si>
  <si>
    <t>WOO-51350-0000</t>
  </si>
  <si>
    <t>WOO-52001-0000</t>
  </si>
  <si>
    <t>WOO-52002-0000</t>
  </si>
  <si>
    <t>WOO-52003-0000</t>
  </si>
  <si>
    <t>WOO-52005-0000</t>
  </si>
  <si>
    <t>WOO-52007-0000</t>
  </si>
  <si>
    <t>WOO-52008-0000</t>
  </si>
  <si>
    <t>WOO-53007-0000</t>
  </si>
  <si>
    <t>WOO-53011-0000</t>
  </si>
  <si>
    <t>WOO-54100-0000</t>
  </si>
  <si>
    <t>WOO-61001-0000</t>
  </si>
  <si>
    <t>WOO-61002-0000</t>
  </si>
  <si>
    <t>WOO-61003-0000</t>
  </si>
  <si>
    <t>WOO-61004-0000</t>
  </si>
  <si>
    <t>WOO-61005-0000</t>
  </si>
  <si>
    <t>WOO-61006-0000</t>
  </si>
  <si>
    <t>WOO-61007-0000</t>
  </si>
  <si>
    <t>WOO-61008-0000</t>
  </si>
  <si>
    <t>WOO-61009-0000</t>
  </si>
  <si>
    <t>WOO-61010-0000</t>
  </si>
  <si>
    <t>WOO-61011-0000</t>
  </si>
  <si>
    <t>WOO-61012-0000</t>
  </si>
  <si>
    <t>WOO-61013-0000</t>
  </si>
  <si>
    <t>WOO-61014-0000</t>
  </si>
  <si>
    <t>WOO-61015-0000</t>
  </si>
  <si>
    <t>WOO-61016-0000</t>
  </si>
  <si>
    <t>WOO-61017-0000</t>
  </si>
  <si>
    <t>WOO-61021-0000</t>
  </si>
  <si>
    <t>WOO-61022-0000</t>
  </si>
  <si>
    <t>WOO-61023-0000</t>
  </si>
  <si>
    <t>WOO-61024-0000</t>
  </si>
  <si>
    <t>WOO-61025-0000</t>
  </si>
  <si>
    <t>WOO-71010-0000</t>
  </si>
  <si>
    <t>WOO-71020-0000</t>
  </si>
  <si>
    <t>WOO-71030-0000</t>
  </si>
  <si>
    <t>WOO-71040-0000</t>
  </si>
  <si>
    <t>WOO-71050-0000</t>
  </si>
  <si>
    <t>WOO-71060-0000</t>
  </si>
  <si>
    <t>WOO-71070-0000</t>
  </si>
  <si>
    <t>WOO-71080-0000</t>
  </si>
  <si>
    <t>WOO-71090-0000</t>
  </si>
  <si>
    <t>WOO-71100-0000</t>
  </si>
  <si>
    <t>WOO-71110-0000</t>
  </si>
  <si>
    <t>WOO-73101-0000</t>
  </si>
  <si>
    <t>WOO-73103-0000</t>
  </si>
  <si>
    <t>WOO-73105-0000</t>
  </si>
  <si>
    <t>WOO-80006-0000</t>
  </si>
  <si>
    <t>WOO-80061-0000</t>
  </si>
  <si>
    <t>WOO-81019-0000</t>
  </si>
  <si>
    <t>WOO-81220-0000</t>
  </si>
  <si>
    <t>WOO-81228-0000</t>
  </si>
  <si>
    <t>WOO-81400-0000</t>
  </si>
  <si>
    <t>WOO-82900-0000</t>
  </si>
  <si>
    <t>WOO-85500-0000</t>
  </si>
  <si>
    <t>WOO-85700-0000</t>
  </si>
  <si>
    <t>ZPI-10003-0000</t>
  </si>
  <si>
    <t>ZPI-10004-0000</t>
  </si>
  <si>
    <t>ZPI-10006-0000</t>
  </si>
  <si>
    <t>ZPI-10009-0000</t>
  </si>
  <si>
    <t>ZPI-10010-0000</t>
  </si>
  <si>
    <t>ZPI-10011-0000</t>
  </si>
  <si>
    <t>ZPI-10012-0000</t>
  </si>
  <si>
    <t>ZPI-10024-0000</t>
  </si>
  <si>
    <t>ZPI-10027-0000</t>
  </si>
  <si>
    <t>ZPI-10050-0000</t>
  </si>
  <si>
    <t>ZPI-11200-0000</t>
  </si>
  <si>
    <t>ZPI-11201-0000</t>
  </si>
  <si>
    <t>ZPI-11202-0000</t>
  </si>
  <si>
    <t>ZPI-11203-0000</t>
  </si>
  <si>
    <t>ZPI-11204-0000</t>
  </si>
  <si>
    <t>ZPI-11208-0000</t>
  </si>
  <si>
    <t>ZPI-11210-0000</t>
  </si>
  <si>
    <t>ZPI-11212-0000</t>
  </si>
  <si>
    <t>ZPI-11214-0000</t>
  </si>
  <si>
    <t>ZPI-11215-0000</t>
  </si>
  <si>
    <t>ZPI-11232-0000</t>
  </si>
  <si>
    <t>ZPI-11301-0000</t>
  </si>
  <si>
    <t>ZPI-11302-0000</t>
  </si>
  <si>
    <t>ZPI-11303-0000</t>
  </si>
  <si>
    <t>ZPI-11304-0000</t>
  </si>
  <si>
    <t>ZPI-11305-0000</t>
  </si>
  <si>
    <t>ZPI-11307-0000</t>
  </si>
  <si>
    <t>ZPI-11308-0000</t>
  </si>
  <si>
    <t>ZPI-11309-0000</t>
  </si>
  <si>
    <t>ZPI-11310-0000</t>
  </si>
  <si>
    <t>ZPI-11311-0000</t>
  </si>
  <si>
    <t>ZPI-11312-0000</t>
  </si>
  <si>
    <t>ZPI-11313-0000</t>
  </si>
  <si>
    <t>ZPI-11314-0000</t>
  </si>
  <si>
    <t>ZPI-11315-0000</t>
  </si>
  <si>
    <t>ZPI-11316-0000</t>
  </si>
  <si>
    <t>ZPI-11317-0000</t>
  </si>
  <si>
    <t>ZPI-11318-0000</t>
  </si>
  <si>
    <t>ZPI-11319-0000</t>
  </si>
  <si>
    <t>ZPI-11320-0000</t>
  </si>
  <si>
    <t>ZPI-11321-0000</t>
  </si>
  <si>
    <t>ZPI-11322-0000</t>
  </si>
  <si>
    <t>ZPI-11323-0000</t>
  </si>
  <si>
    <t>ZPI-11324-0000</t>
  </si>
  <si>
    <t>ZPI-11325-0000</t>
  </si>
  <si>
    <t>ZPI-11326-0000</t>
  </si>
  <si>
    <t>ZPI-11327-0000</t>
  </si>
  <si>
    <t>ZPI-11328-0000</t>
  </si>
  <si>
    <t>ZPI-11329-0000</t>
  </si>
  <si>
    <t>ZPI-11330-0000</t>
  </si>
  <si>
    <t>ZPI-11331-0000</t>
  </si>
  <si>
    <t>ZPI-11332-0000</t>
  </si>
  <si>
    <t>ZPI-11333-0000</t>
  </si>
  <si>
    <t>ZPI-11334-0000</t>
  </si>
  <si>
    <t>ZPI-11335-0000</t>
  </si>
  <si>
    <t>ZPI-11336-0000</t>
  </si>
  <si>
    <t>ZPI-11337-0000</t>
  </si>
  <si>
    <t>ZPI-11338-0000</t>
  </si>
  <si>
    <t>ZPI-11339-0000</t>
  </si>
  <si>
    <t>ZPI-11340-0000</t>
  </si>
  <si>
    <t>ZPI-11341-0000</t>
  </si>
  <si>
    <t>ZPI-11342-0000</t>
  </si>
  <si>
    <t>ZPI-11343-0000</t>
  </si>
  <si>
    <t>ZPI-11344-0000</t>
  </si>
  <si>
    <t>ZPI-11345-0000</t>
  </si>
  <si>
    <t>ZPI-11346-0000</t>
  </si>
  <si>
    <t>ZPI-11347-0000</t>
  </si>
  <si>
    <t>ZPI-11348-0000</t>
  </si>
  <si>
    <t>ZPI-11349-0000</t>
  </si>
  <si>
    <t>ZPI-11350-0000</t>
  </si>
  <si>
    <t>ZPI-11351-0000</t>
  </si>
  <si>
    <t>ZPI-11352-0000</t>
  </si>
  <si>
    <t>ZPI-11353-0000</t>
  </si>
  <si>
    <t>ZPI-11354-0000</t>
  </si>
  <si>
    <t>ZPI-11355-0000</t>
  </si>
  <si>
    <t>ZPI-11356-0000</t>
  </si>
  <si>
    <t>ZPI-11357-0000</t>
  </si>
  <si>
    <t>ZPI-11358-0000</t>
  </si>
  <si>
    <t>ZPI-11359-0000</t>
  </si>
  <si>
    <t>ZPI-11361-0000</t>
  </si>
  <si>
    <t>ZPI-11363-0000</t>
  </si>
  <si>
    <t>ZPI-11364-0000</t>
  </si>
  <si>
    <t>ZPI-11365-0000</t>
  </si>
  <si>
    <t>ZPI-11366-0000</t>
  </si>
  <si>
    <t>ZPI-11402-0000</t>
  </si>
  <si>
    <t>ZPI-11403-0000</t>
  </si>
  <si>
    <t>ZPI-12105-0000</t>
  </si>
  <si>
    <t>ZPI-12400-0000</t>
  </si>
  <si>
    <t>ZPI-12401-0000</t>
  </si>
  <si>
    <t>ZPI-12402-0000</t>
  </si>
  <si>
    <t>ZPI-12403-0000</t>
  </si>
  <si>
    <t>ZPI-12501-0000</t>
  </si>
  <si>
    <t>ZPI-12510-0000</t>
  </si>
  <si>
    <t>ZPI-13010-0000</t>
  </si>
  <si>
    <t>ZPI-13050-0000</t>
  </si>
  <si>
    <t>ZPI-13610-0000</t>
  </si>
  <si>
    <t>ZPI-13620-0000</t>
  </si>
  <si>
    <t>ZPI-13811-0000</t>
  </si>
  <si>
    <t>ZPI-13811-1000</t>
  </si>
  <si>
    <t>ZPI-13812-0000</t>
  </si>
  <si>
    <t>ZPI-13812-1000</t>
  </si>
  <si>
    <t>ZPI-13813-0000</t>
  </si>
  <si>
    <t>ZPI-13813-1000</t>
  </si>
  <si>
    <t>ZPI-13820-1000</t>
  </si>
  <si>
    <t>ZPI-13821-0000</t>
  </si>
  <si>
    <t>ZPI-13821-1000</t>
  </si>
  <si>
    <t>ZPI-13822-0000</t>
  </si>
  <si>
    <t>ZPI-13822-1000</t>
  </si>
  <si>
    <t>ZPI-15600-0000</t>
  </si>
  <si>
    <t>ZPI-15800-0000</t>
  </si>
  <si>
    <t>ZPI-16000-0000</t>
  </si>
  <si>
    <t>ZPI-22001-0000</t>
  </si>
  <si>
    <t>ZPI-22003-0000</t>
  </si>
  <si>
    <t>ZPI-22005-0000</t>
  </si>
  <si>
    <t>ZPI-22310-0000</t>
  </si>
  <si>
    <t>ZPI-22801-0000</t>
  </si>
  <si>
    <t>ZPI-22810-0000</t>
  </si>
  <si>
    <t>ZPI-22900-0000</t>
  </si>
  <si>
    <t>ZPI-22906-0000</t>
  </si>
  <si>
    <t>ZPI-23000-0000</t>
  </si>
  <si>
    <t>ZPI-23100-0000</t>
  </si>
  <si>
    <t>ZPI-23500-0000</t>
  </si>
  <si>
    <t>ZPI-23501-0000</t>
  </si>
  <si>
    <t>ZPI-23700-0000</t>
  </si>
  <si>
    <t>ZPI-23800-0000</t>
  </si>
  <si>
    <t>ZPI-24200-0000</t>
  </si>
  <si>
    <t>ZPI-24300-0000</t>
  </si>
  <si>
    <t>ZPI-24400-0000</t>
  </si>
  <si>
    <t>ZPI-24500-0000</t>
  </si>
  <si>
    <t>ZPI-24600-0000</t>
  </si>
  <si>
    <t>ZPI-25005-0000</t>
  </si>
  <si>
    <t>ZPI-25009-0000</t>
  </si>
  <si>
    <t>ZPI-25600-0000</t>
  </si>
  <si>
    <t>ZPI-25601-0000</t>
  </si>
  <si>
    <t>ZPI-25602-0000</t>
  </si>
  <si>
    <t>ZPI-25603-0000</t>
  </si>
  <si>
    <t>ZPI-25604-0000</t>
  </si>
  <si>
    <t>ZPI-28000-0000</t>
  </si>
  <si>
    <t>ZPI-28001-0000</t>
  </si>
  <si>
    <t>ZPI-28002-0000</t>
  </si>
  <si>
    <t>ZPI-28004-0000</t>
  </si>
  <si>
    <t>ZPI-28005-0000</t>
  </si>
  <si>
    <t>ZPI-28006-0000</t>
  </si>
  <si>
    <t>ZPI-28007-0000</t>
  </si>
  <si>
    <t>ZPI-28008-0000</t>
  </si>
  <si>
    <t>ZPI-28009-0000</t>
  </si>
  <si>
    <t>ZPI-28010-0000</t>
  </si>
  <si>
    <t>ZPI-28011-0000</t>
  </si>
  <si>
    <t>ZPI-28012-0000</t>
  </si>
  <si>
    <t>ZPI-28013-0000</t>
  </si>
  <si>
    <t>ZPI-28014-0000</t>
  </si>
  <si>
    <t>ZPI-28016-0000</t>
  </si>
  <si>
    <t>ZPI-28017-0000</t>
  </si>
  <si>
    <t>ZPI-28018-0000</t>
  </si>
  <si>
    <t>ZPI-28019-0000</t>
  </si>
  <si>
    <t>ZPI-28020-0000</t>
  </si>
  <si>
    <t>ZPI-28021-0000</t>
  </si>
  <si>
    <t>ZPI-28022-0000</t>
  </si>
  <si>
    <t>ZPI-28023-0000</t>
  </si>
  <si>
    <t>ZPI-28024-0000</t>
  </si>
  <si>
    <t>ZPI-30101-0000</t>
  </si>
  <si>
    <t>ZPI-30501-0000</t>
  </si>
  <si>
    <t>ZPI-31002-0000</t>
  </si>
  <si>
    <t>ZPI-31003-0000</t>
  </si>
  <si>
    <t>ZPI-31005-0000</t>
  </si>
  <si>
    <t>ZPI-31007-0000</t>
  </si>
  <si>
    <t>ZPI-31008-0000</t>
  </si>
  <si>
    <t>ZPI-31009-0000</t>
  </si>
  <si>
    <t>ZPI-31012-0000</t>
  </si>
  <si>
    <t>ZPI-31015-0000</t>
  </si>
  <si>
    <t>ZPI-31016-0000</t>
  </si>
  <si>
    <t>ZPI-31018-0000</t>
  </si>
  <si>
    <t>ZPI-31801-0000</t>
  </si>
  <si>
    <t>ZPI-31802-0000</t>
  </si>
  <si>
    <t>ZPI-31803-0000</t>
  </si>
  <si>
    <t>ZPI-31804-0000</t>
  </si>
  <si>
    <t>ZPI-31900-0000</t>
  </si>
  <si>
    <t>ZPI-36002-0000</t>
  </si>
  <si>
    <t>ZPI-36003-0000</t>
  </si>
  <si>
    <t>ZPI-36004-0000</t>
  </si>
  <si>
    <t>ZPI-36005-0000</t>
  </si>
  <si>
    <t>ZPI-36006-0000</t>
  </si>
  <si>
    <t>ZPI-36008-0000</t>
  </si>
  <si>
    <t>ZPI-36018-0000</t>
  </si>
  <si>
    <t>ZPI-36801-0000</t>
  </si>
  <si>
    <t>ZPI-36802-0000</t>
  </si>
  <si>
    <t>ZPI-36803-0000</t>
  </si>
  <si>
    <t>ZPI-36804-0000</t>
  </si>
  <si>
    <t>ZPI-36900-0000</t>
  </si>
  <si>
    <t>ZPI-36901-0000</t>
  </si>
  <si>
    <t>ZPI-38100-1000</t>
  </si>
  <si>
    <t>ZPI-41112-0000</t>
  </si>
  <si>
    <t>ZPI-42140-0000</t>
  </si>
  <si>
    <t>ZPI-42405-0000</t>
  </si>
  <si>
    <t>ZPI-43200-0000</t>
  </si>
  <si>
    <t>ZPI-43420-0000</t>
  </si>
  <si>
    <t>ZPI-43430-0000</t>
  </si>
  <si>
    <t>ZPI-43494-0000</t>
  </si>
  <si>
    <t>ZPI-43495-0000</t>
  </si>
  <si>
    <t>ZPI-44000-0000</t>
  </si>
  <si>
    <t>ZPI-46000-0000</t>
  </si>
  <si>
    <t>ZPI-47550-0000</t>
  </si>
  <si>
    <t>ZPI-51002-0000</t>
  </si>
  <si>
    <t>ZPI-51004-0000</t>
  </si>
  <si>
    <t>ZPI-51007-0000</t>
  </si>
  <si>
    <t>ZPI-51010-0000</t>
  </si>
  <si>
    <t>ZPI-51014-0000</t>
  </si>
  <si>
    <t>ZPI-51018-0000</t>
  </si>
  <si>
    <t>ZPI-51022-0000</t>
  </si>
  <si>
    <t>ZPI-51023-0000</t>
  </si>
  <si>
    <t>ZPI-51024-0000</t>
  </si>
  <si>
    <t>ZPI-51026-0000</t>
  </si>
  <si>
    <t>ZPI-51027-0000</t>
  </si>
  <si>
    <t>ZPI-51028-0000</t>
  </si>
  <si>
    <t>ZPI-51029-0000</t>
  </si>
  <si>
    <t>ZPI-51030-0000</t>
  </si>
  <si>
    <t>ZPI-51350-0000</t>
  </si>
  <si>
    <t>ZPI-52005-0000</t>
  </si>
  <si>
    <t>ZPI-52008-0000</t>
  </si>
  <si>
    <t>ZPI-53007-0000</t>
  </si>
  <si>
    <t>ZPI-54100-0000</t>
  </si>
  <si>
    <t>ZPI-61003-0000</t>
  </si>
  <si>
    <t>ZPI-61004-0000</t>
  </si>
  <si>
    <t>ZPI-61006-0000</t>
  </si>
  <si>
    <t>ZPI-61009-0000</t>
  </si>
  <si>
    <t>ZPI-61010-0000</t>
  </si>
  <si>
    <t>ZPI-61011-0000</t>
  </si>
  <si>
    <t>ZPI-61013-0000</t>
  </si>
  <si>
    <t>ZPI-61016-0000</t>
  </si>
  <si>
    <t>ZPI-61017-0000</t>
  </si>
  <si>
    <t>ZPI-61021-0000</t>
  </si>
  <si>
    <t>ZPI-61024-0000</t>
  </si>
  <si>
    <t>ZPI-61025-0000</t>
  </si>
  <si>
    <t>ZPI-71010-0000</t>
  </si>
  <si>
    <t>ZPI-71050-0000</t>
  </si>
  <si>
    <t>ZPI-71090-0000</t>
  </si>
  <si>
    <t>ZPI-73101-0000</t>
  </si>
  <si>
    <t>ZPI-73103-0000</t>
  </si>
  <si>
    <t>ZPI-73105-0000</t>
  </si>
  <si>
    <t>ZPI-80061-0000</t>
  </si>
  <si>
    <t>ZPI-81220-0000</t>
  </si>
  <si>
    <t>ZPI-81400-0000</t>
  </si>
  <si>
    <t>ZPI-82900-0000</t>
  </si>
  <si>
    <t>ZPI-85500-0000</t>
  </si>
  <si>
    <t>ZPI-85700-0000</t>
  </si>
  <si>
    <t>CJ</t>
  </si>
  <si>
    <t>2SH-18001-0000</t>
  </si>
  <si>
    <t>Right of Use Asst-Operating Leases</t>
  </si>
  <si>
    <t>2SH-25200-0000</t>
  </si>
  <si>
    <t>Operating Lease Lia-Net of Current Portion</t>
  </si>
  <si>
    <t>2SH-25300-0000</t>
  </si>
  <si>
    <t>Operating Lease Lia-Current Portion</t>
  </si>
  <si>
    <t>3SI-18001-0000</t>
  </si>
  <si>
    <t>3SI-25200-0000</t>
  </si>
  <si>
    <t>3SI-25300-0000</t>
  </si>
  <si>
    <t>Fee</t>
  </si>
  <si>
    <t>FEE</t>
  </si>
  <si>
    <t>Admin</t>
  </si>
  <si>
    <t>ADMIN</t>
  </si>
  <si>
    <t>Interco Notes</t>
  </si>
  <si>
    <t>DF2-18001-0000</t>
  </si>
  <si>
    <t>DF2-25200-0000</t>
  </si>
  <si>
    <t>DF2-25300-0000</t>
  </si>
  <si>
    <t>DFL-11040-0000</t>
  </si>
  <si>
    <t>DFL-11044-0000</t>
  </si>
  <si>
    <t>DFL-11078-0000</t>
  </si>
  <si>
    <t>Note Receivable TPI</t>
  </si>
  <si>
    <t>DFL-11079-0000</t>
  </si>
  <si>
    <t>Note Receivable AKC</t>
  </si>
  <si>
    <t>DWO-23509-0000</t>
  </si>
  <si>
    <t>Cash-Gen-BOW</t>
  </si>
  <si>
    <t>FSH-10032-0000</t>
  </si>
  <si>
    <t>Cash Gen - BofA</t>
  </si>
  <si>
    <t>FSH-10033-0000</t>
  </si>
  <si>
    <t>Cash Dep - BofA</t>
  </si>
  <si>
    <t>FSH-10034-0000</t>
  </si>
  <si>
    <t>Cash Payroll - BofA</t>
  </si>
  <si>
    <t>FSH-16601-8213</t>
  </si>
  <si>
    <t>Lease Hold Improvements</t>
  </si>
  <si>
    <t>FSH-18001-0000</t>
  </si>
  <si>
    <t>FSH-25200-0000</t>
  </si>
  <si>
    <t>FSH-25300-0000</t>
  </si>
  <si>
    <t>HN2-10022-0000</t>
  </si>
  <si>
    <t>HN2-18001-0000</t>
  </si>
  <si>
    <t>HN2-25200-0000</t>
  </si>
  <si>
    <t>HN2-25300-0000</t>
  </si>
  <si>
    <t>NCEB</t>
  </si>
  <si>
    <t>PR</t>
  </si>
  <si>
    <t>SCL-18001-0000</t>
  </si>
  <si>
    <t>SCL-25200-0000</t>
  </si>
  <si>
    <t>Operating Lease Liab-Net of Current Portion</t>
  </si>
  <si>
    <t>SCL-25300-0000</t>
  </si>
  <si>
    <t>SCR-32000-0000</t>
  </si>
  <si>
    <t>SG2-18001-0000</t>
  </si>
  <si>
    <t>SG2-25200-0000</t>
  </si>
  <si>
    <t>SG2-25300-0000</t>
  </si>
  <si>
    <t>SPR-20100-0000</t>
  </si>
  <si>
    <t>2SH-10032-0000</t>
  </si>
  <si>
    <t>2SH-10033-0000</t>
  </si>
  <si>
    <t>2SH-22002-0000</t>
  </si>
  <si>
    <t xml:space="preserve">Total Current Liabiities       </t>
  </si>
  <si>
    <t>2SH-25606-0000</t>
  </si>
  <si>
    <t>2SH-53005-0862</t>
  </si>
  <si>
    <t>2SH-60507-0000</t>
  </si>
  <si>
    <t>2SH-62001-0862</t>
  </si>
  <si>
    <t>2SH-62001-0864</t>
  </si>
  <si>
    <t>2SH-62001-0866</t>
  </si>
  <si>
    <t>2SH-62512-0866</t>
  </si>
  <si>
    <t>2SH-63003-0862</t>
  </si>
  <si>
    <t>2SH-63009-0862</t>
  </si>
  <si>
    <t>2SH-65001-0861</t>
  </si>
  <si>
    <t>2SH-65001-0862</t>
  </si>
  <si>
    <t>2SH-65001-0866</t>
  </si>
  <si>
    <t>2SH-65002-0000</t>
  </si>
  <si>
    <t>2SH-67001-0000</t>
  </si>
  <si>
    <t>2SH-67501-0000</t>
  </si>
  <si>
    <t>3SI-10032-0000</t>
  </si>
  <si>
    <t>3SI-10033-0000</t>
  </si>
  <si>
    <t>3SI-22002-0000</t>
  </si>
  <si>
    <t>3SI-60507-0000</t>
  </si>
  <si>
    <t>3SI-61002-0863</t>
  </si>
  <si>
    <t>3SI-62001-0863</t>
  </si>
  <si>
    <t>3SI-62001-7466</t>
  </si>
  <si>
    <t>3SI-62001-7780</t>
  </si>
  <si>
    <t>3SI-62501-7466</t>
  </si>
  <si>
    <t>3SI-62501-7780</t>
  </si>
  <si>
    <t>3SI-63009-7780</t>
  </si>
  <si>
    <t>3SI-65001-0863</t>
  </si>
  <si>
    <t>3SI-65002-0000</t>
  </si>
  <si>
    <t>3SI-67001-0000</t>
  </si>
  <si>
    <t>3SI-67501-0000</t>
  </si>
  <si>
    <t>3SI-90002-0000</t>
  </si>
  <si>
    <t>BVI-10032-0000</t>
  </si>
  <si>
    <t>Cash-Gen-BOA</t>
  </si>
  <si>
    <t>CDP-10032-0000</t>
  </si>
  <si>
    <t>Cash Gen - BOA</t>
  </si>
  <si>
    <t>CDP-22002-0000</t>
  </si>
  <si>
    <t>CLI-10032-0000</t>
  </si>
  <si>
    <t>CST-10032-0000</t>
  </si>
  <si>
    <t>CST-22002-0000</t>
  </si>
  <si>
    <t>CST-55001-0000</t>
  </si>
  <si>
    <t>DF2-10032-0000</t>
  </si>
  <si>
    <t>DF2-22002-0000</t>
  </si>
  <si>
    <t>DF2-61002-7488</t>
  </si>
  <si>
    <t>DF2-61502-7367</t>
  </si>
  <si>
    <t>DF2-62001-0000</t>
  </si>
  <si>
    <t>DF2-62001-7367</t>
  </si>
  <si>
    <t>DF2-62001-7392</t>
  </si>
  <si>
    <t>DF2-62001-7487</t>
  </si>
  <si>
    <t>DF2-62001-7488</t>
  </si>
  <si>
    <t>DF2-62512-7487</t>
  </si>
  <si>
    <t>DF2-62512-7488</t>
  </si>
  <si>
    <t>DF2-63003-7392</t>
  </si>
  <si>
    <t>DF2-65002-0000</t>
  </si>
  <si>
    <t>DF2-66001-7487</t>
  </si>
  <si>
    <t>DF2-66502-7392</t>
  </si>
  <si>
    <t>DF2-67001-0000</t>
  </si>
  <si>
    <t>DF2-67501-0000</t>
  </si>
  <si>
    <t>DF2-90601-7367</t>
  </si>
  <si>
    <t>DF2-90601-7392</t>
  </si>
  <si>
    <t>DF2-90601-7487</t>
  </si>
  <si>
    <t>DF2-90601-7488</t>
  </si>
  <si>
    <t>DF2-90601-7495</t>
  </si>
  <si>
    <t>DF2-93201-0000</t>
  </si>
  <si>
    <t>DF2-94001-7367</t>
  </si>
  <si>
    <t>DF2-94001-7392</t>
  </si>
  <si>
    <t>DF2-94001-7487</t>
  </si>
  <si>
    <t>DF2-94001-7488</t>
  </si>
  <si>
    <t>DF2-94001-7495</t>
  </si>
  <si>
    <t>DF2-95201-7367</t>
  </si>
  <si>
    <t>DF2-99001-0000</t>
  </si>
  <si>
    <t>DFL-10032-0000</t>
  </si>
  <si>
    <t>Dharod Family LLC-Cash Gen - BofA-</t>
  </si>
  <si>
    <t>DFL-11080-0000</t>
  </si>
  <si>
    <t>Dharod Family LLC-Note Receivable HDM-</t>
  </si>
  <si>
    <t>DFL-11081-0000</t>
  </si>
  <si>
    <t>Dharod Family LLC-Note Receivable LCP-</t>
  </si>
  <si>
    <t>DFL-11082-0000</t>
  </si>
  <si>
    <t>Dharod Family LLC-Note Receivable Cassidy-</t>
  </si>
  <si>
    <t>AR PPD</t>
  </si>
  <si>
    <t>DFL-11083-0000</t>
  </si>
  <si>
    <t>Dharod Family LLC-Notes Receivable HDR-</t>
  </si>
  <si>
    <t>DFL-11084-0000</t>
  </si>
  <si>
    <t>Dharod Family LLC-Note Receivable GSM-</t>
  </si>
  <si>
    <t>InerCo Notes</t>
  </si>
  <si>
    <t>DFL-11085-0000</t>
  </si>
  <si>
    <t>Dharod Family LLC-Notes Receivable SOF</t>
  </si>
  <si>
    <t>DFL-25608-0000</t>
  </si>
  <si>
    <t>Line of Credit-BOA</t>
  </si>
  <si>
    <t>DFL-30100-0000</t>
  </si>
  <si>
    <t>DWO-10032-0000</t>
  </si>
  <si>
    <t>DWO-22002-0000</t>
  </si>
  <si>
    <t>FFC-10032-0000</t>
  </si>
  <si>
    <t>FFC-BOA Gen</t>
  </si>
  <si>
    <t>FFC-22002-0000</t>
  </si>
  <si>
    <t>FRM-10032-0000</t>
  </si>
  <si>
    <t>FRM-43200-0000</t>
  </si>
  <si>
    <t>FRM-59160-3016</t>
  </si>
  <si>
    <t>FSH-10021-0000</t>
  </si>
  <si>
    <t>FSH-22002-0000</t>
  </si>
  <si>
    <t>FSH-63003-8213</t>
  </si>
  <si>
    <t>HN2-10032-0000</t>
  </si>
  <si>
    <t>HN2-22002-0000</t>
  </si>
  <si>
    <t>HN2-53001-7358</t>
  </si>
  <si>
    <t>HN2-53001-7384</t>
  </si>
  <si>
    <t>HN2-53005-7358</t>
  </si>
  <si>
    <t>HN2-53005-7384</t>
  </si>
  <si>
    <t>HN2-54001-7372</t>
  </si>
  <si>
    <t>HN2-61001-7358</t>
  </si>
  <si>
    <t>HN2-61502-7372</t>
  </si>
  <si>
    <t>HN2-62001-7358</t>
  </si>
  <si>
    <t>HN2-62001-7384</t>
  </si>
  <si>
    <t>HN2-62512-7358</t>
  </si>
  <si>
    <t>HN2-63003-7372</t>
  </si>
  <si>
    <t>HN2-63003-7384</t>
  </si>
  <si>
    <t>HN2-63003-7626</t>
  </si>
  <si>
    <t>HN2-65002-0000</t>
  </si>
  <si>
    <t>HN2-90002-7372</t>
  </si>
  <si>
    <t>HN2-90014-0000</t>
  </si>
  <si>
    <t>HN2-90601-7358</t>
  </si>
  <si>
    <t>HN2-90601-7372</t>
  </si>
  <si>
    <t>HN2-90601-7384</t>
  </si>
  <si>
    <t>HN2-94001-7358</t>
  </si>
  <si>
    <t>HN2-94001-7372</t>
  </si>
  <si>
    <t>HN2-94001-7384</t>
  </si>
  <si>
    <t>HOM-52650-0000</t>
  </si>
  <si>
    <t>Medical Insurance</t>
  </si>
  <si>
    <t>HOM-56900-0000</t>
  </si>
  <si>
    <t>HOS-59900-0000</t>
  </si>
  <si>
    <t>LAN-10032-0000</t>
  </si>
  <si>
    <t>NES-20100-0000</t>
  </si>
  <si>
    <t>NES-50300-0000</t>
  </si>
  <si>
    <t>NES-51009-0000</t>
  </si>
  <si>
    <t>NWS-10032-0000</t>
  </si>
  <si>
    <t>RCI-10032-0000</t>
  </si>
  <si>
    <t>RCI-22002-0000</t>
  </si>
  <si>
    <t>AP Accr-Exp</t>
  </si>
  <si>
    <t>RCI-56002-1200</t>
  </si>
  <si>
    <t>Employee Benefits:CJNC</t>
  </si>
  <si>
    <t>SC1-10032-0000</t>
  </si>
  <si>
    <t>SC1-99001-0000</t>
  </si>
  <si>
    <t>SC2-10032-0000</t>
  </si>
  <si>
    <t>SC2-99001-0000</t>
  </si>
  <si>
    <t>SC3-10032-0000</t>
  </si>
  <si>
    <t>SC3-99001-0000</t>
  </si>
  <si>
    <t>SC4-99001-0000</t>
  </si>
  <si>
    <t>SCL-10032-0000</t>
  </si>
  <si>
    <t>SCL-22002-0000</t>
  </si>
  <si>
    <t>SCL-52001-0000</t>
  </si>
  <si>
    <t>SCL-53001-7361</t>
  </si>
  <si>
    <t>SCL-53001-7374</t>
  </si>
  <si>
    <t>SCL-53001-7376</t>
  </si>
  <si>
    <t>SCL-53001-7377</t>
  </si>
  <si>
    <t>SCL-53001-7394</t>
  </si>
  <si>
    <t>SCL-53002-7398</t>
  </si>
  <si>
    <t>SCL-53005-7359</t>
  </si>
  <si>
    <t>SCL-53005-7363</t>
  </si>
  <si>
    <t>SCL-53005-7386</t>
  </si>
  <si>
    <t>SCL-53005-7396</t>
  </si>
  <si>
    <t>SCL-53005-7401</t>
  </si>
  <si>
    <t>SCL-53005-7491</t>
  </si>
  <si>
    <t>SCL-53005-7494</t>
  </si>
  <si>
    <t>SCL-54001-7369</t>
  </si>
  <si>
    <t>SCL-56001-0000</t>
  </si>
  <si>
    <t>SCL-56002-7379</t>
  </si>
  <si>
    <t>SCL-60501-7374</t>
  </si>
  <si>
    <t>Cleaning &amp; Chemicals</t>
  </si>
  <si>
    <t>SCL-60501-7376</t>
  </si>
  <si>
    <t>SCL-60501-7379</t>
  </si>
  <si>
    <t>SCL-60501-7403</t>
  </si>
  <si>
    <t>SCL-60505-7363</t>
  </si>
  <si>
    <t>SCL-60505-7365</t>
  </si>
  <si>
    <t>SCL-60505-7371</t>
  </si>
  <si>
    <t>SCL-60505-7398</t>
  </si>
  <si>
    <t>SCL-60505-7400</t>
  </si>
  <si>
    <t>SCL-60505-7401</t>
  </si>
  <si>
    <t>SCL-60505-7494</t>
  </si>
  <si>
    <t>SCL-61001-7355</t>
  </si>
  <si>
    <t>SCL-61001-7362</t>
  </si>
  <si>
    <t>SCL-61001-7380</t>
  </si>
  <si>
    <t>SCL-61001-8150</t>
  </si>
  <si>
    <t>SCL-61002-7351</t>
  </si>
  <si>
    <t>SCL-61002-7361</t>
  </si>
  <si>
    <t>SCL-61002-7363</t>
  </si>
  <si>
    <t>SCL-61002-7380</t>
  </si>
  <si>
    <t>SCL-61002-7393</t>
  </si>
  <si>
    <t>SCL-61002-7398</t>
  </si>
  <si>
    <t>SCL-61002-7402</t>
  </si>
  <si>
    <t>SCL-61002-7403</t>
  </si>
  <si>
    <t>SCL-61201-7388</t>
  </si>
  <si>
    <t>SCL-61501-7380</t>
  </si>
  <si>
    <t>SCL-61501-7386</t>
  </si>
  <si>
    <t>SCL-62001-7351</t>
  </si>
  <si>
    <t>SCL-62001-7352</t>
  </si>
  <si>
    <t>SCL-62001-7355</t>
  </si>
  <si>
    <t>SCL-62001-7359</t>
  </si>
  <si>
    <t>SCL-62001-7360</t>
  </si>
  <si>
    <t>SCL-62001-7361</t>
  </si>
  <si>
    <t>SCL-62001-7363</t>
  </si>
  <si>
    <t>SCL-62001-7364</t>
  </si>
  <si>
    <t>SCL-62001-7365</t>
  </si>
  <si>
    <t>SCL-62001-7366</t>
  </si>
  <si>
    <t>SCL-62001-7368</t>
  </si>
  <si>
    <t>SCL-62001-7369</t>
  </si>
  <si>
    <t>SCL-62001-7371</t>
  </si>
  <si>
    <t>SCL-62001-7375</t>
  </si>
  <si>
    <t>SCL-62001-7377</t>
  </si>
  <si>
    <t>SCL-62001-7378</t>
  </si>
  <si>
    <t>SCL-62001-7379</t>
  </si>
  <si>
    <t>SCL-62001-7381</t>
  </si>
  <si>
    <t>SCL-62001-7383</t>
  </si>
  <si>
    <t>SCL-62001-7385</t>
  </si>
  <si>
    <t>SCL-62001-7387</t>
  </si>
  <si>
    <t>SCL-62001-7389</t>
  </si>
  <si>
    <t>SCL-62001-7391</t>
  </si>
  <si>
    <t>SCL-62001-7393</t>
  </si>
  <si>
    <t>SCL-62001-7398</t>
  </si>
  <si>
    <t>SCL-62001-7400</t>
  </si>
  <si>
    <t>SCL-62001-7401</t>
  </si>
  <si>
    <t>SCL-62001-7403</t>
  </si>
  <si>
    <t>SCL-62001-7489</t>
  </si>
  <si>
    <t>SCL-62001-7492</t>
  </si>
  <si>
    <t>SCL-62001-7493</t>
  </si>
  <si>
    <t>SCL-62001-7494</t>
  </si>
  <si>
    <t>SCL-62001-7625</t>
  </si>
  <si>
    <t>SCL-62001-8150</t>
  </si>
  <si>
    <t>SCL-62501-7366</t>
  </si>
  <si>
    <t>SCL-62507-7364</t>
  </si>
  <si>
    <t>Exhaust Equipment</t>
  </si>
  <si>
    <t>SCL-62511-7352</t>
  </si>
  <si>
    <t>SCL-62512-7352</t>
  </si>
  <si>
    <t>SCL-62512-7361</t>
  </si>
  <si>
    <t>SCL-62512-7365</t>
  </si>
  <si>
    <t>SCL-62512-7366</t>
  </si>
  <si>
    <t>SCL-62512-7371</t>
  </si>
  <si>
    <t>SCL-62512-7376</t>
  </si>
  <si>
    <t>SCL-62512-7379</t>
  </si>
  <si>
    <t>SCL-62512-7380</t>
  </si>
  <si>
    <t>SCL-62512-7383</t>
  </si>
  <si>
    <t>SCL-62512-7385</t>
  </si>
  <si>
    <t>SCL-62512-7387</t>
  </si>
  <si>
    <t>SCL-62512-7389</t>
  </si>
  <si>
    <t>SCL-62512-7391</t>
  </si>
  <si>
    <t>SCL-62512-7394</t>
  </si>
  <si>
    <t>SCL-62512-7397</t>
  </si>
  <si>
    <t>SCL-62512-7400</t>
  </si>
  <si>
    <t>SCL-62512-7401</t>
  </si>
  <si>
    <t>SCL-62512-7402</t>
  </si>
  <si>
    <t>SCL-62512-7492</t>
  </si>
  <si>
    <t>SCL-62512-7493</t>
  </si>
  <si>
    <t>SCL-62513-7363</t>
  </si>
  <si>
    <t>SCL-63003-7364</t>
  </si>
  <si>
    <t>SCL-63003-7365</t>
  </si>
  <si>
    <t>SCL-63003-7366</t>
  </si>
  <si>
    <t>SCL-63003-7368</t>
  </si>
  <si>
    <t>SCL-63003-7371</t>
  </si>
  <si>
    <t>SCL-63003-7375</t>
  </si>
  <si>
    <t>SCL-63003-7378</t>
  </si>
  <si>
    <t>SCL-63003-7379</t>
  </si>
  <si>
    <t>SCL-63003-7383</t>
  </si>
  <si>
    <t>SCL-63003-7387</t>
  </si>
  <si>
    <t>SCL-63003-7389</t>
  </si>
  <si>
    <t>SCL-63003-7400</t>
  </si>
  <si>
    <t>SCL-63003-7401</t>
  </si>
  <si>
    <t>SCL-63003-7403</t>
  </si>
  <si>
    <t>SCL-63003-7493</t>
  </si>
  <si>
    <t>SCL-63003-8150</t>
  </si>
  <si>
    <t>SCL-63007-7374</t>
  </si>
  <si>
    <t>SCL-63007-7381</t>
  </si>
  <si>
    <t>SCL-65001-7364</t>
  </si>
  <si>
    <t>SCL-65002-0000</t>
  </si>
  <si>
    <t>SCL-66001-7352</t>
  </si>
  <si>
    <t>SCL-66001-7402</t>
  </si>
  <si>
    <t>SCL-66502-7363</t>
  </si>
  <si>
    <t>SCL-66502-7369</t>
  </si>
  <si>
    <t>SCL-66502-7376</t>
  </si>
  <si>
    <t>SCL-66502-7397</t>
  </si>
  <si>
    <t>SCL-67001-0000</t>
  </si>
  <si>
    <t>SCL-67501-0000</t>
  </si>
  <si>
    <t>SCL-73001-7401</t>
  </si>
  <si>
    <t>SCL-90002-7381</t>
  </si>
  <si>
    <t>SCL-90002-7402</t>
  </si>
  <si>
    <t>SCL-90002-7492</t>
  </si>
  <si>
    <t>SCL-90002-7625</t>
  </si>
  <si>
    <t>Other Income/Expenses</t>
  </si>
  <si>
    <t>SCL-90014-0000</t>
  </si>
  <si>
    <t>SCL-90601-7351</t>
  </si>
  <si>
    <t>SCL-90601-7352</t>
  </si>
  <si>
    <t>SCL-90601-7355</t>
  </si>
  <si>
    <t>SCL-90601-7359</t>
  </si>
  <si>
    <t>SCL-90601-7360</t>
  </si>
  <si>
    <t>SCL-90601-7361</t>
  </si>
  <si>
    <t>SCL-90601-7362</t>
  </si>
  <si>
    <t>SCL-90601-7363</t>
  </si>
  <si>
    <t>SCL-90601-7364</t>
  </si>
  <si>
    <t>SCL-90601-7365</t>
  </si>
  <si>
    <t>SCL-90601-7366</t>
  </si>
  <si>
    <t>SCL-90601-7368</t>
  </si>
  <si>
    <t>SCL-90601-7369</t>
  </si>
  <si>
    <t>SCL-90601-7371</t>
  </si>
  <si>
    <t>SCL-90601-7374</t>
  </si>
  <si>
    <t>SCL-90601-7375</t>
  </si>
  <si>
    <t>SCL-90601-7376</t>
  </si>
  <si>
    <t>SCL-90601-7377</t>
  </si>
  <si>
    <t>SCL-90601-7378</t>
  </si>
  <si>
    <t>SCL-90601-7379</t>
  </si>
  <si>
    <t>SCL-90601-7380</t>
  </si>
  <si>
    <t>SCL-90601-7381</t>
  </si>
  <si>
    <t>SCL-90601-7383</t>
  </si>
  <si>
    <t>SCL-90601-7385</t>
  </si>
  <si>
    <t>SCL-90601-7386</t>
  </si>
  <si>
    <t>SCL-90601-7387</t>
  </si>
  <si>
    <t>SCL-90601-7389</t>
  </si>
  <si>
    <t>SCL-90601-7391</t>
  </si>
  <si>
    <t>SCL-90601-7393</t>
  </si>
  <si>
    <t>SCL-90601-7394</t>
  </si>
  <si>
    <t>SCL-90601-7396</t>
  </si>
  <si>
    <t>SCL-90601-7397</t>
  </si>
  <si>
    <t>SCL-90601-7398</t>
  </si>
  <si>
    <t>SCL-90601-7400</t>
  </si>
  <si>
    <t>SCL-90601-7401</t>
  </si>
  <si>
    <t>SCL-90601-7402</t>
  </si>
  <si>
    <t>SCL-90601-7403</t>
  </si>
  <si>
    <t>SCL-90601-7489</t>
  </si>
  <si>
    <t>SCL-90601-7491</t>
  </si>
  <si>
    <t>SCL-90601-7492</t>
  </si>
  <si>
    <t>SCL-90601-7493</t>
  </si>
  <si>
    <t>SCL-90601-7494</t>
  </si>
  <si>
    <t>SCL-90601-7625</t>
  </si>
  <si>
    <t>SCL-90601-8150</t>
  </si>
  <si>
    <t>SCL-93601-7361</t>
  </si>
  <si>
    <t>SCL-93601-7363</t>
  </si>
  <si>
    <t>SCL-93601-7494</t>
  </si>
  <si>
    <t>SCL-93801-0000</t>
  </si>
  <si>
    <t>SG2-10032-0000</t>
  </si>
  <si>
    <t>SG2-22002-0000</t>
  </si>
  <si>
    <t>SG2-60507-0000</t>
  </si>
  <si>
    <t>SG2-61001-7373</t>
  </si>
  <si>
    <t>SG2-62001-7373</t>
  </si>
  <si>
    <t>SG2-62001-7382</t>
  </si>
  <si>
    <t>SG2-65002-0000</t>
  </si>
  <si>
    <t>SG2-65501-0000</t>
  </si>
  <si>
    <t>SG2-67001-0000</t>
  </si>
  <si>
    <t>SG2-67501-0000</t>
  </si>
  <si>
    <t>SG2-90601-7373</t>
  </si>
  <si>
    <t>SG2-90601-7382</t>
  </si>
  <si>
    <t>SG2-94001-7382</t>
  </si>
  <si>
    <t>SPR-10032-0000</t>
  </si>
  <si>
    <t>BOA-General Checking</t>
  </si>
  <si>
    <t>SC4-10032-0000</t>
  </si>
  <si>
    <t>Date</t>
  </si>
  <si>
    <t>Bank ID</t>
  </si>
  <si>
    <t xml:space="preserve"> Account Name</t>
  </si>
  <si>
    <t xml:space="preserve"> Account</t>
  </si>
  <si>
    <t>Closing Balance</t>
  </si>
  <si>
    <t>Diff with BR</t>
  </si>
  <si>
    <t>Diff with TB</t>
  </si>
  <si>
    <t>Cls From TB</t>
  </si>
  <si>
    <t>5/31/2023</t>
  </si>
  <si>
    <t>CBC</t>
  </si>
  <si>
    <t>DWO LLC</t>
  </si>
  <si>
    <t>CLOSING LEDGER BALANCE</t>
  </si>
  <si>
    <t>Green Storm LLC</t>
  </si>
  <si>
    <t>Senior Classic Leasing LLC</t>
  </si>
  <si>
    <t>Second Star Holdings LLC</t>
  </si>
  <si>
    <t>Dharod Family LLC MMA</t>
  </si>
  <si>
    <t>Sofia Property Investments LLC</t>
  </si>
  <si>
    <t>Joint Personal MMA</t>
  </si>
  <si>
    <t>Dharod Family Trust Personal MMA</t>
  </si>
  <si>
    <t>Amber Property Investments LLC</t>
  </si>
  <si>
    <t>Zu Property Investments LLC</t>
  </si>
  <si>
    <t>KL Property Investments LLC</t>
  </si>
  <si>
    <t>Delta Property Investments LLC</t>
  </si>
  <si>
    <t>Willowood Investments LLC</t>
  </si>
  <si>
    <t>Willow Insurance Company LLC</t>
  </si>
  <si>
    <t>AK Star Investments LLC</t>
  </si>
  <si>
    <t>Silver Property Investments LLC</t>
  </si>
  <si>
    <t>HDNC LLC</t>
  </si>
  <si>
    <t>Tiger Property Investments LLC</t>
  </si>
  <si>
    <t>BOW</t>
  </si>
  <si>
    <t>FRIENDLY MAINTENANCE</t>
  </si>
  <si>
    <t>CLOSING LEDGER</t>
  </si>
  <si>
    <t>SNSD SCL SERIES I</t>
  </si>
  <si>
    <t>SNSD SCL SERIES III</t>
  </si>
  <si>
    <t>SNSD SCL SERIES II</t>
  </si>
  <si>
    <t>DHAROD FAMILY LIMITED PARTNERSHIP</t>
  </si>
  <si>
    <t>CDP LEASING LLC</t>
  </si>
  <si>
    <t>RCIH LLC</t>
  </si>
  <si>
    <t>BLUE VALLEY INVESTMENTS LLC</t>
  </si>
  <si>
    <t>2ND STAR HOLDINGS LLC-GENERAL</t>
  </si>
  <si>
    <t>NESHAN INC</t>
  </si>
  <si>
    <t>PJS-10004-0000</t>
  </si>
  <si>
    <t>2ND STAR HOLDINGS LLC-DEPOSITORY</t>
  </si>
  <si>
    <t>PJS-10005-0000</t>
  </si>
  <si>
    <t>THIRD STAR DEPOSITORY</t>
  </si>
  <si>
    <t>PJ2-10004-0000</t>
  </si>
  <si>
    <t>CLIPPER PROPERTY INVESTMENTS LLC</t>
  </si>
  <si>
    <t>PJ2-10005-0000</t>
  </si>
  <si>
    <t>SOUTH PROPERTY INVESTMENTS LLC</t>
  </si>
  <si>
    <t>SPROUT MANAGEMENT LLC</t>
  </si>
  <si>
    <t>DWO-10500-0000</t>
  </si>
  <si>
    <t>CENTRAL STREET MANAGEMENT</t>
  </si>
  <si>
    <t>LANKERSHIM ASSET LLC</t>
  </si>
  <si>
    <t>SNSD SCL SERIES IV</t>
  </si>
  <si>
    <t>NW STAR MANAGEMENT LLC</t>
  </si>
  <si>
    <t>SUN GIR INC PAYROLL</t>
  </si>
  <si>
    <t>DWO LLC GEN ACCT</t>
  </si>
  <si>
    <t>SUN GIR INC DEPOSITORY ACCT</t>
  </si>
  <si>
    <t>SUN GIR GENERAL</t>
  </si>
  <si>
    <t>HARSHAD &amp; NASIR GEN</t>
  </si>
  <si>
    <t>HARSHAD &amp; NASIR DEP</t>
  </si>
  <si>
    <t>FFC GENERAL</t>
  </si>
  <si>
    <t>DFG REST GENERAL</t>
  </si>
  <si>
    <t>DFG REST PAYROLL</t>
  </si>
  <si>
    <t>DFG REST DEP</t>
  </si>
  <si>
    <t>SR CLASSIC LEASE GENERAL</t>
  </si>
  <si>
    <t>SR CLASSIC LEASE DEP</t>
  </si>
  <si>
    <t>LPI-10006-0000</t>
  </si>
  <si>
    <t>THIRD STAR GENERAL</t>
  </si>
  <si>
    <t>GOLD PROPERTIES</t>
  </si>
  <si>
    <t>NEHA'S FOUNDATION CORP</t>
  </si>
  <si>
    <t>SILVER STAR REAL ESTATE LLC</t>
  </si>
  <si>
    <t>5/1/2023</t>
  </si>
  <si>
    <t>Sigature</t>
  </si>
  <si>
    <t>LANDING AT LONG BEACH - DEP</t>
  </si>
  <si>
    <t>CHECKING</t>
  </si>
  <si>
    <t>5/2/2023</t>
  </si>
  <si>
    <t>5/3/2023</t>
  </si>
  <si>
    <t>5/4/2023</t>
  </si>
  <si>
    <t>5/5/2023</t>
  </si>
  <si>
    <t>5/8/2023</t>
  </si>
  <si>
    <t>5/9/2023</t>
  </si>
  <si>
    <t>5/10/2023</t>
  </si>
  <si>
    <t>5/11/2023</t>
  </si>
  <si>
    <t>5/12/2023</t>
  </si>
  <si>
    <t>5/15/2023</t>
  </si>
  <si>
    <t>5/16/2023</t>
  </si>
  <si>
    <t>5/17/2023</t>
  </si>
  <si>
    <t>5/18/2023</t>
  </si>
  <si>
    <t>5/19/2023</t>
  </si>
  <si>
    <t>5/22/2023</t>
  </si>
  <si>
    <t>5/23/2023</t>
  </si>
  <si>
    <t>5/24/2023</t>
  </si>
  <si>
    <t>5/25/2023</t>
  </si>
  <si>
    <t>5/26/2023</t>
  </si>
  <si>
    <t>5/30/2023</t>
  </si>
  <si>
    <t>20230531</t>
  </si>
  <si>
    <t>WF</t>
  </si>
  <si>
    <t>ZU PROPERTY INVESTMENTS LLC</t>
  </si>
  <si>
    <t>WELLS FARGO BANK, N.A.</t>
  </si>
  <si>
    <t>20230530</t>
  </si>
  <si>
    <t>20230526</t>
  </si>
  <si>
    <t>20230525</t>
  </si>
  <si>
    <t>20230524</t>
  </si>
  <si>
    <t>20230523</t>
  </si>
  <si>
    <t>20230522</t>
  </si>
  <si>
    <t>20230519</t>
  </si>
  <si>
    <t>20230518</t>
  </si>
  <si>
    <t>20230517</t>
  </si>
  <si>
    <t>20230516</t>
  </si>
  <si>
    <t>20230515</t>
  </si>
  <si>
    <t>20230512</t>
  </si>
  <si>
    <t>20230511</t>
  </si>
  <si>
    <t>20230510</t>
  </si>
  <si>
    <t>20230509</t>
  </si>
  <si>
    <t>20230508</t>
  </si>
  <si>
    <t>20230505</t>
  </si>
  <si>
    <t>20230504</t>
  </si>
  <si>
    <t>20230503</t>
  </si>
  <si>
    <t>20230502</t>
  </si>
  <si>
    <t>20230501</t>
  </si>
  <si>
    <t>31-May-2023</t>
  </si>
  <si>
    <t>BOA</t>
  </si>
  <si>
    <t>2SH - DEP</t>
  </si>
  <si>
    <t>Bank of America, Northern California</t>
  </si>
  <si>
    <t>2SH - GEN</t>
  </si>
  <si>
    <t>2SH - Restricted</t>
  </si>
  <si>
    <t>3SI - DEP</t>
  </si>
  <si>
    <t>3SI - GEN</t>
  </si>
  <si>
    <t>Blue Valley Investments LLC</t>
  </si>
  <si>
    <t>CDP Leasing LLC</t>
  </si>
  <si>
    <t>Central Street Management LLC</t>
  </si>
  <si>
    <t>Clipper Property Investments LLC</t>
  </si>
  <si>
    <t>DFG - DEP</t>
  </si>
  <si>
    <t>DFG - GEN</t>
  </si>
  <si>
    <t>DFG - PAYROLL</t>
  </si>
  <si>
    <t>Friendly Franchisees Corporation</t>
  </si>
  <si>
    <t>Friendly Maintenance LLC</t>
  </si>
  <si>
    <t>FSH Depository</t>
  </si>
  <si>
    <t>FSH General</t>
  </si>
  <si>
    <t>FSH Payroll</t>
  </si>
  <si>
    <t>NOR-10001-0000</t>
  </si>
  <si>
    <t>HN2 - DEP</t>
  </si>
  <si>
    <t>HN2 - GEN</t>
  </si>
  <si>
    <t>Lankershim Asset LLC</t>
  </si>
  <si>
    <t>SCL - DEP</t>
  </si>
  <si>
    <t>SCL - GEN</t>
  </si>
  <si>
    <t>SCL - Restricted</t>
  </si>
  <si>
    <t>SG2 - DEP</t>
  </si>
  <si>
    <t>SG2 - GEN</t>
  </si>
  <si>
    <t>SG2 - PAYROLL</t>
  </si>
  <si>
    <t>SNSD Investments LLC</t>
  </si>
  <si>
    <t>SNSD Investments LLC SCL Series I</t>
  </si>
  <si>
    <t>SNSD Investments LLC SCL Series II</t>
  </si>
  <si>
    <t>SNSD Investments LLC SCL Series III</t>
  </si>
  <si>
    <t>SNSD Investments LLC SCL Series IV</t>
  </si>
  <si>
    <t>BofA</t>
  </si>
  <si>
    <t>PG Property Investments LLC</t>
  </si>
  <si>
    <t>EAST PROPERTY INVESTMENTS LLC 0887</t>
  </si>
  <si>
    <t>East Property Investments LLC 6470</t>
  </si>
  <si>
    <t>2500 Sea Cliff Way MultiFamily Partners LLC</t>
  </si>
  <si>
    <t>ALPHA PROPERTY INVESTMENTS LLC</t>
  </si>
  <si>
    <t>BETA PROPERTY INVESTMENTS LLC</t>
  </si>
  <si>
    <t>AKGC INVESTMENTS LLC</t>
  </si>
  <si>
    <t>GRIFFIN PROPERTY INVESTMENTS LLC</t>
  </si>
  <si>
    <t>ANGEL PROPERTY INVESTMENTS LLC</t>
  </si>
  <si>
    <t>BRUIN PROPERTY INVESTMENTS LLC</t>
  </si>
  <si>
    <t>CHAMPION PROPERTY INVESTMENTS LLC</t>
  </si>
  <si>
    <t>CORAL PROPERTY INVESTMENTS LLC</t>
  </si>
  <si>
    <t>CRESTVIEW PROPERTY INVESTMENTS LLC</t>
  </si>
  <si>
    <t>DIAMOND PROPERTY INVESTMENTS LLC</t>
  </si>
  <si>
    <t>DOLPHIN PROPERTY INVESTMENTS LLC</t>
  </si>
  <si>
    <t>DONOVAN PROPERTY INVESTMENTS LLC</t>
  </si>
  <si>
    <t>EAGLE PROPERTY INVESTMENTS LLC</t>
  </si>
  <si>
    <t>JUPITER PROPERTY INVESTMENTS LLC</t>
  </si>
  <si>
    <t>LOMARENA PROPERTY INVESTMENTS LLC</t>
  </si>
  <si>
    <t>MARQUIS PROPERTY INVESTMENTS LLC</t>
  </si>
  <si>
    <t>NEPTUNE PROPERTY INVESTMENTS LLC</t>
  </si>
  <si>
    <t>NETTUNO LLC</t>
  </si>
  <si>
    <t>NEWPORT PROPERTY INVESTMENTS LLC</t>
  </si>
  <si>
    <t>OVAL CLOUD LLC</t>
  </si>
  <si>
    <t>PURPLE PEAK INVESTMENTS LLC</t>
  </si>
  <si>
    <t>D7R-10028-0000</t>
  </si>
  <si>
    <t>SEK PROPERTY INVESTMENTS LLC</t>
  </si>
  <si>
    <t xml:space="preserve">	STOCKPORT INVESTMENTS LLC</t>
  </si>
  <si>
    <t>VALLEY STAR PROPERTY INVESTMENTS LLC</t>
  </si>
  <si>
    <t>VENUS PROPERTY INVESTMENTS LLC</t>
  </si>
  <si>
    <t>WOODBURY ACQUISITIONS LLC</t>
  </si>
  <si>
    <t>LAGUNA PROPERTY INVESTMENTS LLC</t>
  </si>
  <si>
    <t>SILVER STAR REAL ESTATE</t>
  </si>
  <si>
    <t>SOUTH PROPERTY INVESTMENTS</t>
  </si>
  <si>
    <t>WEST PROPERTY INVESTMENTS LLC</t>
  </si>
  <si>
    <t>Dharod Family LLC</t>
  </si>
  <si>
    <t>SCL RE LLC</t>
  </si>
  <si>
    <t>Landing Property Investments LLC</t>
  </si>
  <si>
    <t>NEHA S FOUNDATION CORP</t>
  </si>
  <si>
    <t>Curent Month</t>
  </si>
  <si>
    <t>05/2023</t>
  </si>
  <si>
    <t>Current Month</t>
  </si>
  <si>
    <t>Prior Month</t>
  </si>
  <si>
    <t>Fee Properties</t>
  </si>
  <si>
    <t>RE-All</t>
  </si>
  <si>
    <t>Papa Johns</t>
  </si>
  <si>
    <t>RE-New</t>
  </si>
  <si>
    <t>Closed/New</t>
  </si>
  <si>
    <t>PJS</t>
  </si>
  <si>
    <t>PJ2</t>
  </si>
  <si>
    <t>NEH</t>
  </si>
  <si>
    <t>SCR</t>
  </si>
  <si>
    <t>Last Month's Reconciliations</t>
  </si>
  <si>
    <t>Ending Balance Per Bank Last Month</t>
  </si>
  <si>
    <t>Ending GL Balance Last Month</t>
  </si>
  <si>
    <t>Ending DIT Last Month</t>
  </si>
  <si>
    <t>Ending Outstanding Checks Last Month</t>
  </si>
  <si>
    <t>This Month's Reconciliations</t>
  </si>
  <si>
    <t>Per Bank Rec's</t>
  </si>
  <si>
    <t>Ending Bank Balance</t>
  </si>
  <si>
    <t>Ending GL Balance</t>
  </si>
  <si>
    <t>Ending DIT (and Dep Adj)</t>
  </si>
  <si>
    <t>Ending OS Checks (and Ck Adj)</t>
  </si>
  <si>
    <t>Beginning GL Balance per Bank Rec</t>
  </si>
  <si>
    <t>Current Month GL Transactions</t>
  </si>
  <si>
    <t xml:space="preserve">Depository Account Adjusting Entry made for 12/31/2021 </t>
  </si>
  <si>
    <t>Ending Balance Calculated</t>
  </si>
  <si>
    <t>Actual Ending GL Balance per Bank Rec</t>
  </si>
  <si>
    <t>OTHER</t>
  </si>
  <si>
    <t>Interco Entity</t>
  </si>
  <si>
    <t>Row Labels</t>
  </si>
  <si>
    <t>Sum of Sep</t>
  </si>
  <si>
    <t>Sum of YTD</t>
  </si>
  <si>
    <t>2SH-3SI</t>
  </si>
  <si>
    <t>2SH-NWS</t>
  </si>
  <si>
    <t>2SH-RCI</t>
  </si>
  <si>
    <t>2SH-SCL</t>
  </si>
  <si>
    <t>3SI-3SI</t>
  </si>
  <si>
    <t>3SI-NWS</t>
  </si>
  <si>
    <t>3SI-RCI</t>
  </si>
  <si>
    <t>3SI-SCL</t>
  </si>
  <si>
    <t>3SI-SG2</t>
  </si>
  <si>
    <t>AKA-AKS</t>
  </si>
  <si>
    <t>AKA-GRA</t>
  </si>
  <si>
    <t>AKA-SIL</t>
  </si>
  <si>
    <t>AKC-AKS</t>
  </si>
  <si>
    <t>AKC-GRA</t>
  </si>
  <si>
    <t>AKC-SIL</t>
  </si>
  <si>
    <t>AKG-ALP</t>
  </si>
  <si>
    <t>AKG-ANG</t>
  </si>
  <si>
    <t>AKG-BET</t>
  </si>
  <si>
    <t>AKG-BRU</t>
  </si>
  <si>
    <t>AKG-CHA</t>
  </si>
  <si>
    <t>AKG-CRE</t>
  </si>
  <si>
    <t>AKG-D7R</t>
  </si>
  <si>
    <t>AKG-DIA</t>
  </si>
  <si>
    <t>AKG-DOL</t>
  </si>
  <si>
    <t>AKG-DPI</t>
  </si>
  <si>
    <t>AKG-EAG</t>
  </si>
  <si>
    <t>AKG-GPI</t>
  </si>
  <si>
    <t>AKG-GST</t>
  </si>
  <si>
    <t>AKG-LOM</t>
  </si>
  <si>
    <t>AKG-MAR</t>
  </si>
  <si>
    <t>AKG-NEP</t>
  </si>
  <si>
    <t>AKG-NET</t>
  </si>
  <si>
    <t>AKG-NEW</t>
  </si>
  <si>
    <t>AKG-OVA</t>
  </si>
  <si>
    <t>AKG-PUR</t>
  </si>
  <si>
    <t>AKG-SAT</t>
  </si>
  <si>
    <t>AKG-SEK</t>
  </si>
  <si>
    <t>AKG-SIL</t>
  </si>
  <si>
    <t>AKG-STO</t>
  </si>
  <si>
    <t>AKG-VAL</t>
  </si>
  <si>
    <t>AKG-VEN</t>
  </si>
  <si>
    <t>AKG-WOO</t>
  </si>
  <si>
    <t>AKS-ALP</t>
  </si>
  <si>
    <t>AKS-BET</t>
  </si>
  <si>
    <t>AKS-BRU</t>
  </si>
  <si>
    <t>AKS-HDN</t>
  </si>
  <si>
    <t>AKS-NEP</t>
  </si>
  <si>
    <t>AKS-SIL</t>
  </si>
  <si>
    <t>AKS-STO</t>
  </si>
  <si>
    <t>AKS-WOO</t>
  </si>
  <si>
    <t>ALP-BET</t>
  </si>
  <si>
    <t>ALP-BRU</t>
  </si>
  <si>
    <t>ALP-D7R</t>
  </si>
  <si>
    <t>ALP-DPI</t>
  </si>
  <si>
    <t>ALP-EAS</t>
  </si>
  <si>
    <t>ALP-GRA</t>
  </si>
  <si>
    <t>ALP-GRI</t>
  </si>
  <si>
    <t>ALP-GST</t>
  </si>
  <si>
    <t>ALP-LOM</t>
  </si>
  <si>
    <t>ALP-NEP</t>
  </si>
  <si>
    <t>ALP-NET</t>
  </si>
  <si>
    <t>ALP-NEW</t>
  </si>
  <si>
    <t>ALP-OVA</t>
  </si>
  <si>
    <t>ALP-SEK</t>
  </si>
  <si>
    <t>ALP-SIL</t>
  </si>
  <si>
    <t>ALP-STO</t>
  </si>
  <si>
    <t>ALP-VAL</t>
  </si>
  <si>
    <t>ALP-WIL</t>
  </si>
  <si>
    <t>ANG-CHA</t>
  </si>
  <si>
    <t>ANG-CRE</t>
  </si>
  <si>
    <t>ANG-DFL</t>
  </si>
  <si>
    <t>ANG-DOL</t>
  </si>
  <si>
    <t>ANG-EAG</t>
  </si>
  <si>
    <t>ANG-SIL</t>
  </si>
  <si>
    <t>API-DFL</t>
  </si>
  <si>
    <t>API-SIL</t>
  </si>
  <si>
    <t>BET-CRE</t>
  </si>
  <si>
    <t>BET-D7R</t>
  </si>
  <si>
    <t>BET-DIA</t>
  </si>
  <si>
    <t>BET-DOL</t>
  </si>
  <si>
    <t>BET-EAS</t>
  </si>
  <si>
    <t>BET-FIR</t>
  </si>
  <si>
    <t>BET-GST</t>
  </si>
  <si>
    <t>BET-LOM</t>
  </si>
  <si>
    <t>BET-LPI</t>
  </si>
  <si>
    <t>BET-NEP</t>
  </si>
  <si>
    <t>BET-NET</t>
  </si>
  <si>
    <t>BET-OVA</t>
  </si>
  <si>
    <t>BET-SAT</t>
  </si>
  <si>
    <t>BET-SIL</t>
  </si>
  <si>
    <t>BET-SPI</t>
  </si>
  <si>
    <t>BET-STO</t>
  </si>
  <si>
    <t>BET-VEN</t>
  </si>
  <si>
    <t>BET-WOO</t>
  </si>
  <si>
    <t>BRU-DFL</t>
  </si>
  <si>
    <t>BRU-DPI</t>
  </si>
  <si>
    <t>BRU-MAR</t>
  </si>
  <si>
    <t>BRU-SAT</t>
  </si>
  <si>
    <t>BRU-SIL</t>
  </si>
  <si>
    <t>BRU-STO</t>
  </si>
  <si>
    <t>BRU-VAL</t>
  </si>
  <si>
    <t>BRU-WIL</t>
  </si>
  <si>
    <t>BVI-SC1</t>
  </si>
  <si>
    <t>CDP-FFC</t>
  </si>
  <si>
    <t>CHA-GRA</t>
  </si>
  <si>
    <t>CHA-NEW</t>
  </si>
  <si>
    <t>CHA-OVA</t>
  </si>
  <si>
    <t>CHA-SIL</t>
  </si>
  <si>
    <t>CLI-SCL</t>
  </si>
  <si>
    <t>CPI-SIL</t>
  </si>
  <si>
    <t>CRE-DOL</t>
  </si>
  <si>
    <t>CRE-DPI</t>
  </si>
  <si>
    <t>CRE-GPI</t>
  </si>
  <si>
    <t>CRE-GRA</t>
  </si>
  <si>
    <t>CRE-SIL</t>
  </si>
  <si>
    <t>CRE-VAL</t>
  </si>
  <si>
    <t>CRE-WIL</t>
  </si>
  <si>
    <t>D7R-DOL</t>
  </si>
  <si>
    <t>D7R-DPH</t>
  </si>
  <si>
    <t>D7R-DPI</t>
  </si>
  <si>
    <t>D7R-EAG</t>
  </si>
  <si>
    <t>D7R-FIR</t>
  </si>
  <si>
    <t>D7R-GPI</t>
  </si>
  <si>
    <t>D7R-GRA</t>
  </si>
  <si>
    <t>D7R-GST</t>
  </si>
  <si>
    <t>D7R-HDN</t>
  </si>
  <si>
    <t>D7R-JUP</t>
  </si>
  <si>
    <t>D7R-LPI</t>
  </si>
  <si>
    <t>D7R-NET</t>
  </si>
  <si>
    <t>D7R-OVA</t>
  </si>
  <si>
    <t>D7R-SAT</t>
  </si>
  <si>
    <t>D7R-SIL</t>
  </si>
  <si>
    <t>D7R-SPI</t>
  </si>
  <si>
    <t>D7R-VEN</t>
  </si>
  <si>
    <t>D7R-WOO</t>
  </si>
  <si>
    <t>DEL-DPH</t>
  </si>
  <si>
    <t>DEL-DPI</t>
  </si>
  <si>
    <t>DEL-SIL</t>
  </si>
  <si>
    <t>DEL-VEN</t>
  </si>
  <si>
    <t>DF2-FRM</t>
  </si>
  <si>
    <t>DF2-FSH</t>
  </si>
  <si>
    <t>DF2-HN2</t>
  </si>
  <si>
    <t>DF2-SCL</t>
  </si>
  <si>
    <t>DF2-SG2</t>
  </si>
  <si>
    <t>DFL-DPH</t>
  </si>
  <si>
    <t>DFL-DPM</t>
  </si>
  <si>
    <t>DFL-FFC</t>
  </si>
  <si>
    <t>DFL-GPI</t>
  </si>
  <si>
    <t>DFL-JUP</t>
  </si>
  <si>
    <t>DFL-KLP</t>
  </si>
  <si>
    <t>DFL-MAR</t>
  </si>
  <si>
    <t>DFL-NEP</t>
  </si>
  <si>
    <t>DFL-NET</t>
  </si>
  <si>
    <t>DFL-SAT</t>
  </si>
  <si>
    <t>DFL-SCL</t>
  </si>
  <si>
    <t>DFL-SCR</t>
  </si>
  <si>
    <t>DFL-SEK</t>
  </si>
  <si>
    <t>DFL-SPA</t>
  </si>
  <si>
    <t>DFL-SPI</t>
  </si>
  <si>
    <t>DFL-STO</t>
  </si>
  <si>
    <t>DFL-VEN</t>
  </si>
  <si>
    <t>DIA-DPI</t>
  </si>
  <si>
    <t>DIA-NET</t>
  </si>
  <si>
    <t>DIA-NEW</t>
  </si>
  <si>
    <t>DIA-SEK</t>
  </si>
  <si>
    <t>DIA-SIL</t>
  </si>
  <si>
    <t>DIA-STO</t>
  </si>
  <si>
    <t>DOL-DPI</t>
  </si>
  <si>
    <t>DOL-NEP</t>
  </si>
  <si>
    <t>DOL-NET</t>
  </si>
  <si>
    <t>DOL-PUR</t>
  </si>
  <si>
    <t>DOL-SEK</t>
  </si>
  <si>
    <t>DOL-SIL</t>
  </si>
  <si>
    <t>DPH-DPM</t>
  </si>
  <si>
    <t>DPH-EAL</t>
  </si>
  <si>
    <t>DPH-GRA</t>
  </si>
  <si>
    <t>DPH-SIL</t>
  </si>
  <si>
    <t>DPH-WEP</t>
  </si>
  <si>
    <t>DPH-WIL</t>
  </si>
  <si>
    <t>DPI-DPI</t>
  </si>
  <si>
    <t>DPI-EAG</t>
  </si>
  <si>
    <t>DPI-GPI</t>
  </si>
  <si>
    <t>DPI-LPI</t>
  </si>
  <si>
    <t>DPI-NEP</t>
  </si>
  <si>
    <t>DPI-NEW</t>
  </si>
  <si>
    <t>DPI-PUR</t>
  </si>
  <si>
    <t>DPI-SAT</t>
  </si>
  <si>
    <t>DPI-SIL</t>
  </si>
  <si>
    <t>DPI-VAL</t>
  </si>
  <si>
    <t>DPM-GRA</t>
  </si>
  <si>
    <t>DPM-HDN</t>
  </si>
  <si>
    <t>DPM-SIL</t>
  </si>
  <si>
    <t>DWO-DWO</t>
  </si>
  <si>
    <t>EAG-GRA</t>
  </si>
  <si>
    <t>EAG-NEW</t>
  </si>
  <si>
    <t>EAG-SIL</t>
  </si>
  <si>
    <t>EAG-STO</t>
  </si>
  <si>
    <t>EAG-VEN</t>
  </si>
  <si>
    <t>EAL-EAS</t>
  </si>
  <si>
    <t>EAL-SIL</t>
  </si>
  <si>
    <t>EAM-EAS</t>
  </si>
  <si>
    <t>EAM-SIL</t>
  </si>
  <si>
    <t>EAS-GRA</t>
  </si>
  <si>
    <t>EAS-GRI</t>
  </si>
  <si>
    <t>EAS-NEP</t>
  </si>
  <si>
    <t>EAS-SIL</t>
  </si>
  <si>
    <t>EAS-VAL</t>
  </si>
  <si>
    <t>FFC-FRM</t>
  </si>
  <si>
    <t>FFC-RCI</t>
  </si>
  <si>
    <t>FFC-SCL</t>
  </si>
  <si>
    <t>FIR-NEP</t>
  </si>
  <si>
    <t>FIR-SAT</t>
  </si>
  <si>
    <t>FIR-SIL</t>
  </si>
  <si>
    <t>FIR-TPI</t>
  </si>
  <si>
    <t>FIR-WIL</t>
  </si>
  <si>
    <t>FRM-SCL</t>
  </si>
  <si>
    <t>FSH-SCL</t>
  </si>
  <si>
    <t>FSH-SG2</t>
  </si>
  <si>
    <t>GPI-LPI</t>
  </si>
  <si>
    <t>GPI-NEW</t>
  </si>
  <si>
    <t>GPI-SIL</t>
  </si>
  <si>
    <t>GRA-GRA</t>
  </si>
  <si>
    <t>GRA-GRI</t>
  </si>
  <si>
    <t>GRA-HDM</t>
  </si>
  <si>
    <t>GRA-HDR</t>
  </si>
  <si>
    <t>GRA-KLP</t>
  </si>
  <si>
    <t>GRA-NEP</t>
  </si>
  <si>
    <t>GRA-NET</t>
  </si>
  <si>
    <t>GRA-SIL</t>
  </si>
  <si>
    <t>GRA-SOF</t>
  </si>
  <si>
    <t>GRA-SPA</t>
  </si>
  <si>
    <t>GRA-TPI</t>
  </si>
  <si>
    <t>GRA-VAL</t>
  </si>
  <si>
    <t>GRA-WOO</t>
  </si>
  <si>
    <t>GRI-SIL</t>
  </si>
  <si>
    <t>GSM-GST</t>
  </si>
  <si>
    <t>GSM-SIL</t>
  </si>
  <si>
    <t>GST-SIL</t>
  </si>
  <si>
    <t>HDM-HDN</t>
  </si>
  <si>
    <t>HDM-SIL</t>
  </si>
  <si>
    <t>HDN-HDR</t>
  </si>
  <si>
    <t>HDN-OVA</t>
  </si>
  <si>
    <t>HDN-PUR</t>
  </si>
  <si>
    <t>HDN-SAT</t>
  </si>
  <si>
    <t>HDN-SIL</t>
  </si>
  <si>
    <t>HDN-STO</t>
  </si>
  <si>
    <t>HDN-WOO</t>
  </si>
  <si>
    <t>HDR-SIL</t>
  </si>
  <si>
    <t>HN2-SCL</t>
  </si>
  <si>
    <t>HN2-SG2</t>
  </si>
  <si>
    <t>JUP-SIL</t>
  </si>
  <si>
    <t>KLP-SIL</t>
  </si>
  <si>
    <t>LAN-SC1</t>
  </si>
  <si>
    <t>LCP-NOR</t>
  </si>
  <si>
    <t>LCP-SIL</t>
  </si>
  <si>
    <t>LOM-SEK</t>
  </si>
  <si>
    <t>LOM-SIL</t>
  </si>
  <si>
    <t>LOM-WIL</t>
  </si>
  <si>
    <t>LPI-SIL</t>
  </si>
  <si>
    <t>MAR-SIL</t>
  </si>
  <si>
    <t>MAR-SOU</t>
  </si>
  <si>
    <t>NCE-SAT</t>
  </si>
  <si>
    <t>NEP-SIL</t>
  </si>
  <si>
    <t>NEP-STO</t>
  </si>
  <si>
    <t>NES-SIL</t>
  </si>
  <si>
    <t>NET-NEW</t>
  </si>
  <si>
    <t>NET-SAT</t>
  </si>
  <si>
    <t>NET-SEK</t>
  </si>
  <si>
    <t>NET-SIL</t>
  </si>
  <si>
    <t>NEW-PUR</t>
  </si>
  <si>
    <t>NEW-SIL</t>
  </si>
  <si>
    <t>OVA-SIL</t>
  </si>
  <si>
    <t>OVA-STO</t>
  </si>
  <si>
    <t>PUR-SIL</t>
  </si>
  <si>
    <t>PUR-STO</t>
  </si>
  <si>
    <t>SAT-SIL</t>
  </si>
  <si>
    <t>SAT-STO</t>
  </si>
  <si>
    <t>SC1-SC2</t>
  </si>
  <si>
    <t>SC1-SC3</t>
  </si>
  <si>
    <t>SC1-SC4</t>
  </si>
  <si>
    <t>SC1-SCL</t>
  </si>
  <si>
    <t>SC2-SOF</t>
  </si>
  <si>
    <t>SCL-SG2</t>
  </si>
  <si>
    <t>SCL-SIL</t>
  </si>
  <si>
    <t>SEA-SIL</t>
  </si>
  <si>
    <t>SEK-SIL</t>
  </si>
  <si>
    <t>SEK-STO</t>
  </si>
  <si>
    <t>SIL-SOF</t>
  </si>
  <si>
    <t>SIL-SPA</t>
  </si>
  <si>
    <t>SIL-SPI</t>
  </si>
  <si>
    <t>SIL-STO</t>
  </si>
  <si>
    <t>SIL-TPI</t>
  </si>
  <si>
    <t>SIL-VAL</t>
  </si>
  <si>
    <t>SIL-VEN</t>
  </si>
  <si>
    <t>SIL-WES</t>
  </si>
  <si>
    <t>SIL-WIL</t>
  </si>
  <si>
    <t>SIL-WOO</t>
  </si>
  <si>
    <t>SIL-ZPI</t>
  </si>
  <si>
    <t>SOF-SPI</t>
  </si>
  <si>
    <t>SPA-SPI</t>
  </si>
  <si>
    <t>STO-VEN</t>
  </si>
  <si>
    <t>VAL-WIL</t>
  </si>
  <si>
    <t>VEN-WIL</t>
  </si>
  <si>
    <t>AKA-DFL</t>
  </si>
  <si>
    <t>DFL-ZPI</t>
  </si>
  <si>
    <t>DFL-SEA</t>
  </si>
  <si>
    <t>AKG-D7</t>
  </si>
  <si>
    <t>ALP-D7</t>
  </si>
  <si>
    <t>API-DFLP</t>
  </si>
  <si>
    <t>BET-D7</t>
  </si>
  <si>
    <t>0-BET</t>
  </si>
  <si>
    <t>D7-GRA</t>
  </si>
  <si>
    <t>(blank)</t>
  </si>
  <si>
    <t>AKA-SCL</t>
  </si>
  <si>
    <t>AKA-SG2</t>
  </si>
  <si>
    <t>AKA-FFC</t>
  </si>
  <si>
    <t>AKA-HN2</t>
  </si>
  <si>
    <t>AKA-DF2</t>
  </si>
  <si>
    <t>AKA-SRE</t>
  </si>
  <si>
    <t>AKA-REM</t>
  </si>
  <si>
    <t>AKA-FRM</t>
  </si>
  <si>
    <t>AKA-D7R</t>
  </si>
  <si>
    <t>AKA-CDP</t>
  </si>
  <si>
    <t>AKA-SC2</t>
  </si>
  <si>
    <t>AKA-CRE</t>
  </si>
  <si>
    <t>AKA-CHA</t>
  </si>
  <si>
    <t>AKA-DIA</t>
  </si>
  <si>
    <t>AKA-EAG</t>
  </si>
  <si>
    <t>AKA-NEW</t>
  </si>
  <si>
    <t>AKA-NES</t>
  </si>
  <si>
    <t>AKA-LPI</t>
  </si>
  <si>
    <t>AKA-GPI</t>
  </si>
  <si>
    <t>AKA-ALP</t>
  </si>
  <si>
    <t>AKA-BET</t>
  </si>
  <si>
    <t>AKA-DEL</t>
  </si>
  <si>
    <t>AKA-DOL</t>
  </si>
  <si>
    <t>AKA-GRI</t>
  </si>
  <si>
    <t>AKA-PUR</t>
  </si>
  <si>
    <t>AKA-VAL</t>
  </si>
  <si>
    <t>AKA-AKG</t>
  </si>
  <si>
    <t>AKA-FIR</t>
  </si>
  <si>
    <t>AKA-GST</t>
  </si>
  <si>
    <t>AKA-HDN</t>
  </si>
  <si>
    <t>AKA-OVA</t>
  </si>
  <si>
    <t>AKA-WOO</t>
  </si>
  <si>
    <t>AKA-SPI</t>
  </si>
  <si>
    <t>AKA-NET</t>
  </si>
  <si>
    <t>AKA-DPI</t>
  </si>
  <si>
    <t>AKA-SEK</t>
  </si>
  <si>
    <t>AKA-CPI</t>
  </si>
  <si>
    <t>AKA-LOM</t>
  </si>
  <si>
    <t>AKA-MAR</t>
  </si>
  <si>
    <t>AKA-WIL</t>
  </si>
  <si>
    <t>AKA-STO</t>
  </si>
  <si>
    <t>AKA-ANG</t>
  </si>
  <si>
    <t>AKA-BRU</t>
  </si>
  <si>
    <t>AKA-VEN</t>
  </si>
  <si>
    <t>AKA-SAT</t>
  </si>
  <si>
    <t>AKA-NEP</t>
  </si>
  <si>
    <t>AKA-JUP</t>
  </si>
  <si>
    <t>AKA-WES</t>
  </si>
  <si>
    <t>AKA-LCP</t>
  </si>
  <si>
    <t>AKA-NOR</t>
  </si>
  <si>
    <t>AKA-EAS</t>
  </si>
  <si>
    <t>AKA-SOU</t>
  </si>
  <si>
    <t>AKA-API</t>
  </si>
  <si>
    <t>AKA-DPH</t>
  </si>
  <si>
    <t>AKA-ZPI</t>
  </si>
  <si>
    <t>AKA-EAM</t>
  </si>
  <si>
    <t>AKA-SEA</t>
  </si>
  <si>
    <t>AKA-EAL</t>
  </si>
  <si>
    <t>AKA-WEP</t>
  </si>
  <si>
    <t>AKA-KLP</t>
  </si>
  <si>
    <t>AKA-AKC</t>
  </si>
  <si>
    <t>AKA-AKA</t>
  </si>
  <si>
    <t>AKA-SPA</t>
  </si>
  <si>
    <t>AKA-DPM</t>
  </si>
  <si>
    <t>AKA-HDM</t>
  </si>
  <si>
    <t>AKA-TPI</t>
  </si>
  <si>
    <t>AKA-GSM</t>
  </si>
  <si>
    <t>AKA-SOF</t>
  </si>
  <si>
    <t>AKA-D7</t>
  </si>
  <si>
    <t>AKA-DFLP</t>
  </si>
  <si>
    <t>0-AKA</t>
  </si>
  <si>
    <t>AKC-SCL</t>
  </si>
  <si>
    <t>AKC-SG2</t>
  </si>
  <si>
    <t>AKC-FFC</t>
  </si>
  <si>
    <t>AKC-HN2</t>
  </si>
  <si>
    <t>AKC-DF2</t>
  </si>
  <si>
    <t>AKC-SRE</t>
  </si>
  <si>
    <t>AKC-REM</t>
  </si>
  <si>
    <t>AKC-FRM</t>
  </si>
  <si>
    <t>AKC-D7R</t>
  </si>
  <si>
    <t>AKC-CDP</t>
  </si>
  <si>
    <t>AKC-SC2</t>
  </si>
  <si>
    <t>AKC-CRE</t>
  </si>
  <si>
    <t>AKC-CHA</t>
  </si>
  <si>
    <t>AKC-DIA</t>
  </si>
  <si>
    <t>AKC-EAG</t>
  </si>
  <si>
    <t>AKC-NEW</t>
  </si>
  <si>
    <t>AKC-NES</t>
  </si>
  <si>
    <t>AKC-LPI</t>
  </si>
  <si>
    <t>AKC-GPI</t>
  </si>
  <si>
    <t>AKC-ALP</t>
  </si>
  <si>
    <t>AKC-BET</t>
  </si>
  <si>
    <t>AKC-DEL</t>
  </si>
  <si>
    <t>AKC-DOL</t>
  </si>
  <si>
    <t>AKC-GRI</t>
  </si>
  <si>
    <t>AKC-PUR</t>
  </si>
  <si>
    <t>AKC-VAL</t>
  </si>
  <si>
    <t>AKC-AKG</t>
  </si>
  <si>
    <t>AKC-FIR</t>
  </si>
  <si>
    <t>AKC-GST</t>
  </si>
  <si>
    <t>AKC-HDN</t>
  </si>
  <si>
    <t>AKC-OVA</t>
  </si>
  <si>
    <t>AKC-WOO</t>
  </si>
  <si>
    <t>AKC-SPI</t>
  </si>
  <si>
    <t>AKC-NET</t>
  </si>
  <si>
    <t>AKC-DPI</t>
  </si>
  <si>
    <t>AKC-SEK</t>
  </si>
  <si>
    <t>AKC-CPI</t>
  </si>
  <si>
    <t>AKC-LOM</t>
  </si>
  <si>
    <t>AKC-MAR</t>
  </si>
  <si>
    <t>AKC-WIL</t>
  </si>
  <si>
    <t>AKC-STO</t>
  </si>
  <si>
    <t>AKC-ANG</t>
  </si>
  <si>
    <t>AKC-BRU</t>
  </si>
  <si>
    <t>AKC-VEN</t>
  </si>
  <si>
    <t>AKC-SAT</t>
  </si>
  <si>
    <t>AKC-NEP</t>
  </si>
  <si>
    <t>AKC-JUP</t>
  </si>
  <si>
    <t>AKC-WES</t>
  </si>
  <si>
    <t>AKC-LCP</t>
  </si>
  <si>
    <t>AKC-NOR</t>
  </si>
  <si>
    <t>AKC-EAS</t>
  </si>
  <si>
    <t>AKC-SOU</t>
  </si>
  <si>
    <t>AKC-API</t>
  </si>
  <si>
    <t>AKC-DPH</t>
  </si>
  <si>
    <t>AKC-ZPI</t>
  </si>
  <si>
    <t>AKC-EAM</t>
  </si>
  <si>
    <t>AKC-SEA</t>
  </si>
  <si>
    <t>AKC-EAL</t>
  </si>
  <si>
    <t>AKC-WEP</t>
  </si>
  <si>
    <t>AKC-KLP</t>
  </si>
  <si>
    <t>AKC-AKC</t>
  </si>
  <si>
    <t>AKC-SPA</t>
  </si>
  <si>
    <t>AKC-DPM</t>
  </si>
  <si>
    <t>AKC-HDM</t>
  </si>
  <si>
    <t>AKC-TPI</t>
  </si>
  <si>
    <t>AKC-GSM</t>
  </si>
  <si>
    <t>AKC-SOF</t>
  </si>
  <si>
    <t>AKC-D7</t>
  </si>
  <si>
    <t>AKC-DFLP</t>
  </si>
  <si>
    <t>0-AKC</t>
  </si>
  <si>
    <t>AKG-SCL</t>
  </si>
  <si>
    <t>AKG-SG2</t>
  </si>
  <si>
    <t>AKG-FFC</t>
  </si>
  <si>
    <t>AKG-HN2</t>
  </si>
  <si>
    <t>AKG-DF2</t>
  </si>
  <si>
    <t>AKG-SRE</t>
  </si>
  <si>
    <t>AKG-REM</t>
  </si>
  <si>
    <t>AKG-FRM</t>
  </si>
  <si>
    <t>AKG-CDP</t>
  </si>
  <si>
    <t>AKG-SC2</t>
  </si>
  <si>
    <t>AKG-NES</t>
  </si>
  <si>
    <t>AKG-LPI</t>
  </si>
  <si>
    <t>AKG-DEL</t>
  </si>
  <si>
    <t>AKG-GRI</t>
  </si>
  <si>
    <t>AKG-AKG</t>
  </si>
  <si>
    <t>AKG-FIR</t>
  </si>
  <si>
    <t>AKG-HDN</t>
  </si>
  <si>
    <t>AKG-SPI</t>
  </si>
  <si>
    <t>AKG-CPI</t>
  </si>
  <si>
    <t>AKG-AKS</t>
  </si>
  <si>
    <t>AKG-WIL</t>
  </si>
  <si>
    <t>AKG-JUP</t>
  </si>
  <si>
    <t>AKG-WES</t>
  </si>
  <si>
    <t>AKG-LCP</t>
  </si>
  <si>
    <t>AKG-NOR</t>
  </si>
  <si>
    <t>AKG-EAS</t>
  </si>
  <si>
    <t>AKG-GRA</t>
  </si>
  <si>
    <t>AKG-SOU</t>
  </si>
  <si>
    <t>AKG-API</t>
  </si>
  <si>
    <t>AKG-DPH</t>
  </si>
  <si>
    <t>AKG-ZPI</t>
  </si>
  <si>
    <t>AKG-EAM</t>
  </si>
  <si>
    <t>AKG-SEA</t>
  </si>
  <si>
    <t>AKG-EAL</t>
  </si>
  <si>
    <t>AKG-WEP</t>
  </si>
  <si>
    <t>AKG-KLP</t>
  </si>
  <si>
    <t>AKG-SPA</t>
  </si>
  <si>
    <t>AKG-DPM</t>
  </si>
  <si>
    <t>AKG-HDM</t>
  </si>
  <si>
    <t>AKG-TPI</t>
  </si>
  <si>
    <t>AKG-GSM</t>
  </si>
  <si>
    <t>AKG-SOF</t>
  </si>
  <si>
    <t>AKG-DFLP</t>
  </si>
  <si>
    <t>0-AKG</t>
  </si>
  <si>
    <t>ALP-SCL</t>
  </si>
  <si>
    <t>ALP-SG2</t>
  </si>
  <si>
    <t>ALP-FFC</t>
  </si>
  <si>
    <t>ALP-HN2</t>
  </si>
  <si>
    <t>ALP-DF2</t>
  </si>
  <si>
    <t>ALP-SRE</t>
  </si>
  <si>
    <t>ALP-REM</t>
  </si>
  <si>
    <t>ALP-FRM</t>
  </si>
  <si>
    <t>ALP-CDP</t>
  </si>
  <si>
    <t>ALP-SC2</t>
  </si>
  <si>
    <t>ALP-CRE</t>
  </si>
  <si>
    <t>ALP-CHA</t>
  </si>
  <si>
    <t>ALP-DIA</t>
  </si>
  <si>
    <t>ALP-EAG</t>
  </si>
  <si>
    <t>ALP-NES</t>
  </si>
  <si>
    <t>ALP-LPI</t>
  </si>
  <si>
    <t>ALP-GPI</t>
  </si>
  <si>
    <t>ALP-ALP</t>
  </si>
  <si>
    <t>ALP-DEL</t>
  </si>
  <si>
    <t>ALP-DOL</t>
  </si>
  <si>
    <t>ALP-PUR</t>
  </si>
  <si>
    <t>ALP-FIR</t>
  </si>
  <si>
    <t>ALP-HDN</t>
  </si>
  <si>
    <t>ALP-WOO</t>
  </si>
  <si>
    <t>ALP-SPI</t>
  </si>
  <si>
    <t>ALP-CPI</t>
  </si>
  <si>
    <t>ALP-MAR</t>
  </si>
  <si>
    <t>ALP-ANG</t>
  </si>
  <si>
    <t>ALP-VEN</t>
  </si>
  <si>
    <t>ALP-SAT</t>
  </si>
  <si>
    <t>ALP-JUP</t>
  </si>
  <si>
    <t>ALP-WES</t>
  </si>
  <si>
    <t>ALP-LCP</t>
  </si>
  <si>
    <t>ALP-NOR</t>
  </si>
  <si>
    <t>ALP-SOU</t>
  </si>
  <si>
    <t>ALP-API</t>
  </si>
  <si>
    <t>ALP-DPH</t>
  </si>
  <si>
    <t>ALP-ZPI</t>
  </si>
  <si>
    <t>ALP-EAM</t>
  </si>
  <si>
    <t>ALP-SEA</t>
  </si>
  <si>
    <t>ALP-EAL</t>
  </si>
  <si>
    <t>ALP-WEP</t>
  </si>
  <si>
    <t>ALP-KLP</t>
  </si>
  <si>
    <t>ALP-SPA</t>
  </si>
  <si>
    <t>ALP-DPM</t>
  </si>
  <si>
    <t>ALP-HDM</t>
  </si>
  <si>
    <t>ALP-TPI</t>
  </si>
  <si>
    <t>ALP-GSM</t>
  </si>
  <si>
    <t>ALP-SOF</t>
  </si>
  <si>
    <t>ALP-DFLP</t>
  </si>
  <si>
    <t>0-ALP</t>
  </si>
  <si>
    <t>ANG-SCL</t>
  </si>
  <si>
    <t>ANG-SG2</t>
  </si>
  <si>
    <t>ANG-FFC</t>
  </si>
  <si>
    <t>ANG-HN2</t>
  </si>
  <si>
    <t>ANG-DF2</t>
  </si>
  <si>
    <t>ANG-SRE</t>
  </si>
  <si>
    <t>ANG-REM</t>
  </si>
  <si>
    <t>ANG-FRM</t>
  </si>
  <si>
    <t>ANG-D7R</t>
  </si>
  <si>
    <t>ANG-CDP</t>
  </si>
  <si>
    <t>ANG-SC2</t>
  </si>
  <si>
    <t>ANG-DIA</t>
  </si>
  <si>
    <t>ANG-NEW</t>
  </si>
  <si>
    <t>ANG-NES</t>
  </si>
  <si>
    <t>ANG-LPI</t>
  </si>
  <si>
    <t>ANG-GPI</t>
  </si>
  <si>
    <t>ANG-BET</t>
  </si>
  <si>
    <t>ANG-DEL</t>
  </si>
  <si>
    <t>ANG-GRI</t>
  </si>
  <si>
    <t>ANG-PUR</t>
  </si>
  <si>
    <t>ANG-VAL</t>
  </si>
  <si>
    <t>ANG-FIR</t>
  </si>
  <si>
    <t>ANG-GST</t>
  </si>
  <si>
    <t>ANG-HDN</t>
  </si>
  <si>
    <t>ANG-OVA</t>
  </si>
  <si>
    <t>ANG-WOO</t>
  </si>
  <si>
    <t>ANG-SPI</t>
  </si>
  <si>
    <t>ANG-NET</t>
  </si>
  <si>
    <t>ANG-DPI</t>
  </si>
  <si>
    <t>ANG-SEK</t>
  </si>
  <si>
    <t>ANG-CPI</t>
  </si>
  <si>
    <t>ANG-LOM</t>
  </si>
  <si>
    <t>AKS-ANG</t>
  </si>
  <si>
    <t>ANG-MAR</t>
  </si>
  <si>
    <t>ANG-WIL</t>
  </si>
  <si>
    <t>ANG-STO</t>
  </si>
  <si>
    <t>ANG-ANG</t>
  </si>
  <si>
    <t>ANG-BRU</t>
  </si>
  <si>
    <t>ANG-VEN</t>
  </si>
  <si>
    <t>ANG-SAT</t>
  </si>
  <si>
    <t>ANG-NEP</t>
  </si>
  <si>
    <t>ANG-JUP</t>
  </si>
  <si>
    <t>ANG-WES</t>
  </si>
  <si>
    <t>ANG-LCP</t>
  </si>
  <si>
    <t>ANG-NOR</t>
  </si>
  <si>
    <t>ANG-EAS</t>
  </si>
  <si>
    <t>ANG-GRA</t>
  </si>
  <si>
    <t>ANG-SOU</t>
  </si>
  <si>
    <t>ANG-API</t>
  </si>
  <si>
    <t>ANG-DPH</t>
  </si>
  <si>
    <t>ANG-ZPI</t>
  </si>
  <si>
    <t>ANG-EAM</t>
  </si>
  <si>
    <t>ANG-SEA</t>
  </si>
  <si>
    <t>ANG-EAL</t>
  </si>
  <si>
    <t>ANG-WEP</t>
  </si>
  <si>
    <t>ANG-KLP</t>
  </si>
  <si>
    <t>ANG-SPA</t>
  </si>
  <si>
    <t>ANG-DPM</t>
  </si>
  <si>
    <t>ANG-HDM</t>
  </si>
  <si>
    <t>ANG-TPI</t>
  </si>
  <si>
    <t>ANG-GSM</t>
  </si>
  <si>
    <t>ANG-SOF</t>
  </si>
  <si>
    <t>ANG-D7</t>
  </si>
  <si>
    <t>ANG-DFLP</t>
  </si>
  <si>
    <t>0-ANG</t>
  </si>
  <si>
    <t>API-SCL</t>
  </si>
  <si>
    <t>API-SG2</t>
  </si>
  <si>
    <t>API-FFC</t>
  </si>
  <si>
    <t>API-HN2</t>
  </si>
  <si>
    <t>API-DF2</t>
  </si>
  <si>
    <t>API-SRE</t>
  </si>
  <si>
    <t>API-REM</t>
  </si>
  <si>
    <t>API-FRM</t>
  </si>
  <si>
    <t>API-D7R</t>
  </si>
  <si>
    <t>API-CDP</t>
  </si>
  <si>
    <t>API-SC2</t>
  </si>
  <si>
    <t>API-CRE</t>
  </si>
  <si>
    <t>API-CHA</t>
  </si>
  <si>
    <t>API-DIA</t>
  </si>
  <si>
    <t>API-EAG</t>
  </si>
  <si>
    <t>API-NEW</t>
  </si>
  <si>
    <t>API-NES</t>
  </si>
  <si>
    <t>API-LPI</t>
  </si>
  <si>
    <t>API-GPI</t>
  </si>
  <si>
    <t>API-BET</t>
  </si>
  <si>
    <t>API-DEL</t>
  </si>
  <si>
    <t>API-DOL</t>
  </si>
  <si>
    <t>API-GRI</t>
  </si>
  <si>
    <t>API-PUR</t>
  </si>
  <si>
    <t>API-VAL</t>
  </si>
  <si>
    <t>API-FIR</t>
  </si>
  <si>
    <t>API-GST</t>
  </si>
  <si>
    <t>API-HDN</t>
  </si>
  <si>
    <t>API-OVA</t>
  </si>
  <si>
    <t>API-WOO</t>
  </si>
  <si>
    <t>API-SPI</t>
  </si>
  <si>
    <t>API-NET</t>
  </si>
  <si>
    <t>API-DPI</t>
  </si>
  <si>
    <t>API-SEK</t>
  </si>
  <si>
    <t>API-CPI</t>
  </si>
  <si>
    <t>API-LOM</t>
  </si>
  <si>
    <t>AKS-API</t>
  </si>
  <si>
    <t>API-MAR</t>
  </si>
  <si>
    <t>API-WIL</t>
  </si>
  <si>
    <t>API-STO</t>
  </si>
  <si>
    <t>API-BRU</t>
  </si>
  <si>
    <t>API-VEN</t>
  </si>
  <si>
    <t>API-SAT</t>
  </si>
  <si>
    <t>API-NEP</t>
  </si>
  <si>
    <t>API-JUP</t>
  </si>
  <si>
    <t>API-WES</t>
  </si>
  <si>
    <t>API-LCP</t>
  </si>
  <si>
    <t>API-NOR</t>
  </si>
  <si>
    <t>API-EAS</t>
  </si>
  <si>
    <t>API-GRA</t>
  </si>
  <si>
    <t>API-SOU</t>
  </si>
  <si>
    <t>API-API</t>
  </si>
  <si>
    <t>API-DPH</t>
  </si>
  <si>
    <t>API-ZPI</t>
  </si>
  <si>
    <t>API-EAM</t>
  </si>
  <si>
    <t>API-SEA</t>
  </si>
  <si>
    <t>API-EAL</t>
  </si>
  <si>
    <t>API-WEP</t>
  </si>
  <si>
    <t>API-KLP</t>
  </si>
  <si>
    <t>API-SPA</t>
  </si>
  <si>
    <t>API-DPM</t>
  </si>
  <si>
    <t>API-HDM</t>
  </si>
  <si>
    <t>API-TPI</t>
  </si>
  <si>
    <t>API-GSM</t>
  </si>
  <si>
    <t>API-SOF</t>
  </si>
  <si>
    <t>API-D7</t>
  </si>
  <si>
    <t>0-API</t>
  </si>
  <si>
    <t>BET-SCL</t>
  </si>
  <si>
    <t>BET-SG2</t>
  </si>
  <si>
    <t>BET-FFC</t>
  </si>
  <si>
    <t>BET-HN2</t>
  </si>
  <si>
    <t>BET-DF2</t>
  </si>
  <si>
    <t>BET-SRE</t>
  </si>
  <si>
    <t>BET-REM</t>
  </si>
  <si>
    <t>BET-FRM</t>
  </si>
  <si>
    <t>BET-CDP</t>
  </si>
  <si>
    <t>BET-SC2</t>
  </si>
  <si>
    <t>BET-CHA</t>
  </si>
  <si>
    <t>BET-EAG</t>
  </si>
  <si>
    <t>BET-NEW</t>
  </si>
  <si>
    <t>BET-NES</t>
  </si>
  <si>
    <t>BET-GPI</t>
  </si>
  <si>
    <t>BET-BET</t>
  </si>
  <si>
    <t>BET-DEL</t>
  </si>
  <si>
    <t>BET-GRI</t>
  </si>
  <si>
    <t>BET-PUR</t>
  </si>
  <si>
    <t>BET-VAL</t>
  </si>
  <si>
    <t>BET-HDN</t>
  </si>
  <si>
    <t>BET-DPI</t>
  </si>
  <si>
    <t>BET-SEK</t>
  </si>
  <si>
    <t>BET-CPI</t>
  </si>
  <si>
    <t>BET-MAR</t>
  </si>
  <si>
    <t>BET-WIL</t>
  </si>
  <si>
    <t>BET-BRU</t>
  </si>
  <si>
    <t>BET-JUP</t>
  </si>
  <si>
    <t>BET-WES</t>
  </si>
  <si>
    <t>BET-LCP</t>
  </si>
  <si>
    <t>BET-NOR</t>
  </si>
  <si>
    <t>BET-GRA</t>
  </si>
  <si>
    <t>BET-SOU</t>
  </si>
  <si>
    <t>BET-DPH</t>
  </si>
  <si>
    <t>BET-ZPI</t>
  </si>
  <si>
    <t>BET-EAM</t>
  </si>
  <si>
    <t>BET-SEA</t>
  </si>
  <si>
    <t>BET-EAL</t>
  </si>
  <si>
    <t>BET-WEP</t>
  </si>
  <si>
    <t>BET-KLP</t>
  </si>
  <si>
    <t>BET-SPA</t>
  </si>
  <si>
    <t>BET-DPM</t>
  </si>
  <si>
    <t>BET-HDM</t>
  </si>
  <si>
    <t>BET-TPI</t>
  </si>
  <si>
    <t>BET-GSM</t>
  </si>
  <si>
    <t>BET-SOF</t>
  </si>
  <si>
    <t>BET-DFLP</t>
  </si>
  <si>
    <t>BRU-SCL</t>
  </si>
  <si>
    <t>BRU-SG2</t>
  </si>
  <si>
    <t>BRU-FFC</t>
  </si>
  <si>
    <t>BRU-HN2</t>
  </si>
  <si>
    <t>BRU-DF2</t>
  </si>
  <si>
    <t>BRU-SRE</t>
  </si>
  <si>
    <t>BRU-REM</t>
  </si>
  <si>
    <t>BRU-FRM</t>
  </si>
  <si>
    <t>BRU-D7R</t>
  </si>
  <si>
    <t>BRU-CDP</t>
  </si>
  <si>
    <t>BRU-SC2</t>
  </si>
  <si>
    <t>BRU-CRE</t>
  </si>
  <si>
    <t>BRU-CHA</t>
  </si>
  <si>
    <t>BRU-DIA</t>
  </si>
  <si>
    <t>BRU-EAG</t>
  </si>
  <si>
    <t>BRU-NEW</t>
  </si>
  <si>
    <t>BRU-NES</t>
  </si>
  <si>
    <t>BRU-LPI</t>
  </si>
  <si>
    <t>BRU-GPI</t>
  </si>
  <si>
    <t>BRU-DEL</t>
  </si>
  <si>
    <t>BRU-DOL</t>
  </si>
  <si>
    <t>BRU-GRI</t>
  </si>
  <si>
    <t>BRU-PUR</t>
  </si>
  <si>
    <t>BRU-FIR</t>
  </si>
  <si>
    <t>BRU-GST</t>
  </si>
  <si>
    <t>BRU-HDN</t>
  </si>
  <si>
    <t>BRU-OVA</t>
  </si>
  <si>
    <t>BRU-WOO</t>
  </si>
  <si>
    <t>BRU-SPI</t>
  </si>
  <si>
    <t>BRU-NET</t>
  </si>
  <si>
    <t>BRU-SEK</t>
  </si>
  <si>
    <t>BRU-CPI</t>
  </si>
  <si>
    <t>BRU-LOM</t>
  </si>
  <si>
    <t>BRU-BRU</t>
  </si>
  <si>
    <t>BRU-VEN</t>
  </si>
  <si>
    <t>BRU-NEP</t>
  </si>
  <si>
    <t>BRU-JUP</t>
  </si>
  <si>
    <t>BRU-WES</t>
  </si>
  <si>
    <t>BRU-LCP</t>
  </si>
  <si>
    <t>BRU-NOR</t>
  </si>
  <si>
    <t>BRU-EAS</t>
  </si>
  <si>
    <t>BRU-GRA</t>
  </si>
  <si>
    <t>BRU-SOU</t>
  </si>
  <si>
    <t>BRU-DPH</t>
  </si>
  <si>
    <t>BRU-ZPI</t>
  </si>
  <si>
    <t>BRU-EAM</t>
  </si>
  <si>
    <t>BRU-SEA</t>
  </si>
  <si>
    <t>BRU-EAL</t>
  </si>
  <si>
    <t>BRU-WEP</t>
  </si>
  <si>
    <t>BRU-KLP</t>
  </si>
  <si>
    <t>BRU-SPA</t>
  </si>
  <si>
    <t>BRU-DPM</t>
  </si>
  <si>
    <t>BRU-HDM</t>
  </si>
  <si>
    <t>BRU-TPI</t>
  </si>
  <si>
    <t>BRU-GSM</t>
  </si>
  <si>
    <t>BRU-SOF</t>
  </si>
  <si>
    <t>BRU-D7</t>
  </si>
  <si>
    <t>BRU-DFLP</t>
  </si>
  <si>
    <t>0-BRU</t>
  </si>
  <si>
    <t>CHA-SCL</t>
  </si>
  <si>
    <t>CHA-SG2</t>
  </si>
  <si>
    <t>CHA-FFC</t>
  </si>
  <si>
    <t>CHA-HN2</t>
  </si>
  <si>
    <t>CHA-DF2</t>
  </si>
  <si>
    <t>CHA-SRE</t>
  </si>
  <si>
    <t>CHA-REM</t>
  </si>
  <si>
    <t>CHA-FRM</t>
  </si>
  <si>
    <t>CHA-D7R</t>
  </si>
  <si>
    <t>CDP-CHA</t>
  </si>
  <si>
    <t>CHA-SC2</t>
  </si>
  <si>
    <t>CHA-CRE</t>
  </si>
  <si>
    <t>CHA-CHA</t>
  </si>
  <si>
    <t>CHA-DIA</t>
  </si>
  <si>
    <t>CHA-EAG</t>
  </si>
  <si>
    <t>CHA-NES</t>
  </si>
  <si>
    <t>CHA-LPI</t>
  </si>
  <si>
    <t>CHA-GPI</t>
  </si>
  <si>
    <t>CHA-DEL</t>
  </si>
  <si>
    <t>CHA-DOL</t>
  </si>
  <si>
    <t>CHA-GRI</t>
  </si>
  <si>
    <t>CHA-PUR</t>
  </si>
  <si>
    <t>CHA-VAL</t>
  </si>
  <si>
    <t>CHA-FIR</t>
  </si>
  <si>
    <t>CHA-GST</t>
  </si>
  <si>
    <t>CHA-HDN</t>
  </si>
  <si>
    <t>CHA-WOO</t>
  </si>
  <si>
    <t>CHA-SPI</t>
  </si>
  <si>
    <t>CHA-NET</t>
  </si>
  <si>
    <t>CHA-DPI</t>
  </si>
  <si>
    <t>CHA-SEK</t>
  </si>
  <si>
    <t>CHA-CPI</t>
  </si>
  <si>
    <t>CHA-LOM</t>
  </si>
  <si>
    <t>AKS-CHA</t>
  </si>
  <si>
    <t>CHA-MAR</t>
  </si>
  <si>
    <t>CHA-WIL</t>
  </si>
  <si>
    <t>CHA-STO</t>
  </si>
  <si>
    <t>CHA-VEN</t>
  </si>
  <si>
    <t>CHA-SAT</t>
  </si>
  <si>
    <t>CHA-NEP</t>
  </si>
  <si>
    <t>CHA-JUP</t>
  </si>
  <si>
    <t>CHA-WES</t>
  </si>
  <si>
    <t>CHA-LCP</t>
  </si>
  <si>
    <t>CHA-NOR</t>
  </si>
  <si>
    <t>CHA-EAS</t>
  </si>
  <si>
    <t>CHA-SOU</t>
  </si>
  <si>
    <t>CHA-DPH</t>
  </si>
  <si>
    <t>CHA-ZPI</t>
  </si>
  <si>
    <t>CHA-EAM</t>
  </si>
  <si>
    <t>CHA-SEA</t>
  </si>
  <si>
    <t>CHA-EAL</t>
  </si>
  <si>
    <t>CHA-WEP</t>
  </si>
  <si>
    <t>CHA-KLP</t>
  </si>
  <si>
    <t>CHA-SPA</t>
  </si>
  <si>
    <t>CHA-DPM</t>
  </si>
  <si>
    <t>CHA-HDM</t>
  </si>
  <si>
    <t>CHA-TPI</t>
  </si>
  <si>
    <t>CHA-GSM</t>
  </si>
  <si>
    <t>CHA-SOF</t>
  </si>
  <si>
    <t>CHA-D7</t>
  </si>
  <si>
    <t>CHA-DFLP</t>
  </si>
  <si>
    <t>0-CHA</t>
  </si>
  <si>
    <t>CPI-SCL</t>
  </si>
  <si>
    <t>CPI-SG2</t>
  </si>
  <si>
    <t>CPI-FFC</t>
  </si>
  <si>
    <t>CPI-HN2</t>
  </si>
  <si>
    <t>CPI-DF2</t>
  </si>
  <si>
    <t>CPI-SRE</t>
  </si>
  <si>
    <t>CPI-REM</t>
  </si>
  <si>
    <t>CPI-FRM</t>
  </si>
  <si>
    <t>CPI-D7R</t>
  </si>
  <si>
    <t>CDP-CPI</t>
  </si>
  <si>
    <t>CPI-SC2</t>
  </si>
  <si>
    <t>CPI-CRE</t>
  </si>
  <si>
    <t>CPI-DIA</t>
  </si>
  <si>
    <t>CPI-EAG</t>
  </si>
  <si>
    <t>CPI-NEW</t>
  </si>
  <si>
    <t>CPI-NES</t>
  </si>
  <si>
    <t>CPI-LPI</t>
  </si>
  <si>
    <t>CPI-GPI</t>
  </si>
  <si>
    <t>CPI-DEL</t>
  </si>
  <si>
    <t>CPI-DOL</t>
  </si>
  <si>
    <t>CPI-GRI</t>
  </si>
  <si>
    <t>CPI-PUR</t>
  </si>
  <si>
    <t>CPI-VAL</t>
  </si>
  <si>
    <t>CPI-FIR</t>
  </si>
  <si>
    <t>CPI-GST</t>
  </si>
  <si>
    <t>CPI-HDN</t>
  </si>
  <si>
    <t>CPI-OVA</t>
  </si>
  <si>
    <t>CPI-WOO</t>
  </si>
  <si>
    <t>CPI-SPI</t>
  </si>
  <si>
    <t>CPI-NET</t>
  </si>
  <si>
    <t>CPI-DPI</t>
  </si>
  <si>
    <t>CPI-SEK</t>
  </si>
  <si>
    <t>CPI-CPI</t>
  </si>
  <si>
    <t>CPI-LOM</t>
  </si>
  <si>
    <t>AKS-CPI</t>
  </si>
  <si>
    <t>CPI-MAR</t>
  </si>
  <si>
    <t>CPI-WIL</t>
  </si>
  <si>
    <t>CPI-STO</t>
  </si>
  <si>
    <t>CPI-VEN</t>
  </si>
  <si>
    <t>CPI-SAT</t>
  </si>
  <si>
    <t>CPI-NEP</t>
  </si>
  <si>
    <t>CPI-JUP</t>
  </si>
  <si>
    <t>CPI-WES</t>
  </si>
  <si>
    <t>CPI-LCP</t>
  </si>
  <si>
    <t>CPI-NOR</t>
  </si>
  <si>
    <t>CPI-EAS</t>
  </si>
  <si>
    <t>CPI-GRA</t>
  </si>
  <si>
    <t>CPI-SOU</t>
  </si>
  <si>
    <t>CPI-DPH</t>
  </si>
  <si>
    <t>CPI-ZPI</t>
  </si>
  <si>
    <t>CPI-EAM</t>
  </si>
  <si>
    <t>CPI-SEA</t>
  </si>
  <si>
    <t>CPI-EAL</t>
  </si>
  <si>
    <t>CPI-WEP</t>
  </si>
  <si>
    <t>CPI-KLP</t>
  </si>
  <si>
    <t>CPI-SPA</t>
  </si>
  <si>
    <t>CPI-DPM</t>
  </si>
  <si>
    <t>CPI-HDM</t>
  </si>
  <si>
    <t>CPI-TPI</t>
  </si>
  <si>
    <t>CPI-GSM</t>
  </si>
  <si>
    <t>CPI-SOF</t>
  </si>
  <si>
    <t>CPI-D7</t>
  </si>
  <si>
    <t>CPI-DFLP</t>
  </si>
  <si>
    <t>0-CPI</t>
  </si>
  <si>
    <t>CRE-SCL</t>
  </si>
  <si>
    <t>CRE-SG2</t>
  </si>
  <si>
    <t>CRE-FFC</t>
  </si>
  <si>
    <t>CRE-HN2</t>
  </si>
  <si>
    <t>CRE-DF2</t>
  </si>
  <si>
    <t>CRE-SRE</t>
  </si>
  <si>
    <t>CRE-REM</t>
  </si>
  <si>
    <t>CRE-FRM</t>
  </si>
  <si>
    <t>CRE-D7R</t>
  </si>
  <si>
    <t>CDP-CRE</t>
  </si>
  <si>
    <t>CRE-SC2</t>
  </si>
  <si>
    <t>CRE-CRE</t>
  </si>
  <si>
    <t>CRE-DIA</t>
  </si>
  <si>
    <t>CRE-EAG</t>
  </si>
  <si>
    <t>CRE-NEW</t>
  </si>
  <si>
    <t>CRE-NES</t>
  </si>
  <si>
    <t>CRE-LPI</t>
  </si>
  <si>
    <t>CRE-DEL</t>
  </si>
  <si>
    <t>CRE-GRI</t>
  </si>
  <si>
    <t>CRE-PUR</t>
  </si>
  <si>
    <t>CRE-FIR</t>
  </si>
  <si>
    <t>CRE-GST</t>
  </si>
  <si>
    <t>CRE-HDN</t>
  </si>
  <si>
    <t>CRE-OVA</t>
  </si>
  <si>
    <t>CRE-WOO</t>
  </si>
  <si>
    <t>CRE-SPI</t>
  </si>
  <si>
    <t>CRE-NET</t>
  </si>
  <si>
    <t>CRE-SEK</t>
  </si>
  <si>
    <t>CRE-LOM</t>
  </si>
  <si>
    <t>AKS-CRE</t>
  </si>
  <si>
    <t>CRE-MAR</t>
  </si>
  <si>
    <t>CRE-STO</t>
  </si>
  <si>
    <t>CRE-VEN</t>
  </si>
  <si>
    <t>CRE-SAT</t>
  </si>
  <si>
    <t>CRE-NEP</t>
  </si>
  <si>
    <t>CRE-JUP</t>
  </si>
  <si>
    <t>CRE-WES</t>
  </si>
  <si>
    <t>CRE-LCP</t>
  </si>
  <si>
    <t>CRE-NOR</t>
  </si>
  <si>
    <t>CRE-EAS</t>
  </si>
  <si>
    <t>CRE-SOU</t>
  </si>
  <si>
    <t>CRE-DPH</t>
  </si>
  <si>
    <t>CRE-ZPI</t>
  </si>
  <si>
    <t>CRE-EAM</t>
  </si>
  <si>
    <t>CRE-SEA</t>
  </si>
  <si>
    <t>CRE-EAL</t>
  </si>
  <si>
    <t>CRE-WEP</t>
  </si>
  <si>
    <t>CRE-KLP</t>
  </si>
  <si>
    <t>CRE-SPA</t>
  </si>
  <si>
    <t>CRE-DPM</t>
  </si>
  <si>
    <t>CRE-HDM</t>
  </si>
  <si>
    <t>CRE-TPI</t>
  </si>
  <si>
    <t>CRE-GSM</t>
  </si>
  <si>
    <t>CRE-SOF</t>
  </si>
  <si>
    <t>CRE-D7</t>
  </si>
  <si>
    <t>CRE-DFLP</t>
  </si>
  <si>
    <t>0-CRE</t>
  </si>
  <si>
    <t>DIA-SCL</t>
  </si>
  <si>
    <t>DIA-SG2</t>
  </si>
  <si>
    <t>DIA-FFC</t>
  </si>
  <si>
    <t>DIA-HN2</t>
  </si>
  <si>
    <t>DF2-DIA</t>
  </si>
  <si>
    <t>DIA-SRE</t>
  </si>
  <si>
    <t>DIA-REM</t>
  </si>
  <si>
    <t>DIA-FRM</t>
  </si>
  <si>
    <t>D7R-DIA</t>
  </si>
  <si>
    <t>CDP-DIA</t>
  </si>
  <si>
    <t>DIA-SC2</t>
  </si>
  <si>
    <t>DIA-DIA</t>
  </si>
  <si>
    <t>DIA-EAG</t>
  </si>
  <si>
    <t>DIA-NES</t>
  </si>
  <si>
    <t>DIA-LPI</t>
  </si>
  <si>
    <t>DIA-GPI</t>
  </si>
  <si>
    <t>DEL-DIA</t>
  </si>
  <si>
    <t>DIA-DOL</t>
  </si>
  <si>
    <t>DIA-GRI</t>
  </si>
  <si>
    <t>DIA-PUR</t>
  </si>
  <si>
    <t>DIA-VAL</t>
  </si>
  <si>
    <t>DIA-FIR</t>
  </si>
  <si>
    <t>DIA-GST</t>
  </si>
  <si>
    <t>DIA-HDN</t>
  </si>
  <si>
    <t>DIA-OVA</t>
  </si>
  <si>
    <t>DIA-WOO</t>
  </si>
  <si>
    <t>DIA-SPI</t>
  </si>
  <si>
    <t>DIA-LOM</t>
  </si>
  <si>
    <t>AKS-DIA</t>
  </si>
  <si>
    <t>DIA-MAR</t>
  </si>
  <si>
    <t>DIA-WIL</t>
  </si>
  <si>
    <t>DIA-VEN</t>
  </si>
  <si>
    <t>DIA-SAT</t>
  </si>
  <si>
    <t>DIA-NEP</t>
  </si>
  <si>
    <t>DIA-JUP</t>
  </si>
  <si>
    <t>DIA-WES</t>
  </si>
  <si>
    <t>DIA-LCP</t>
  </si>
  <si>
    <t>DIA-NOR</t>
  </si>
  <si>
    <t>DIA-EAS</t>
  </si>
  <si>
    <t>DIA-GRA</t>
  </si>
  <si>
    <t>DIA-SOU</t>
  </si>
  <si>
    <t>DIA-DPH</t>
  </si>
  <si>
    <t>DIA-ZPI</t>
  </si>
  <si>
    <t>DIA-EAM</t>
  </si>
  <si>
    <t>DIA-SEA</t>
  </si>
  <si>
    <t>DIA-EAL</t>
  </si>
  <si>
    <t>DIA-WEP</t>
  </si>
  <si>
    <t>DIA-KLP</t>
  </si>
  <si>
    <t>DIA-SPA</t>
  </si>
  <si>
    <t>DIA-DPM</t>
  </si>
  <si>
    <t>DIA-HDM</t>
  </si>
  <si>
    <t>DIA-TPI</t>
  </si>
  <si>
    <t>DIA-GSM</t>
  </si>
  <si>
    <t>DIA-SOF</t>
  </si>
  <si>
    <t>D7-DIA</t>
  </si>
  <si>
    <t>DFLP-DIA</t>
  </si>
  <si>
    <t>0-DIA</t>
  </si>
  <si>
    <t>DOL-SCL</t>
  </si>
  <si>
    <t>DOL-SG2</t>
  </si>
  <si>
    <t>DOL-FFC</t>
  </si>
  <si>
    <t>DOL-HN2</t>
  </si>
  <si>
    <t>DF2-DOL</t>
  </si>
  <si>
    <t>DOL-SRE</t>
  </si>
  <si>
    <t>DOL-REM</t>
  </si>
  <si>
    <t>DOL-FRM</t>
  </si>
  <si>
    <t>CDP-DOL</t>
  </si>
  <si>
    <t>DOL-SC2</t>
  </si>
  <si>
    <t>DOL-EAG</t>
  </si>
  <si>
    <t>DOL-NEW</t>
  </si>
  <si>
    <t>DOL-NES</t>
  </si>
  <si>
    <t>DOL-LPI</t>
  </si>
  <si>
    <t>DOL-GPI</t>
  </si>
  <si>
    <t>DEL-DOL</t>
  </si>
  <si>
    <t>DOL-DOL</t>
  </si>
  <si>
    <t>DOL-GRI</t>
  </si>
  <si>
    <t>DOL-VAL</t>
  </si>
  <si>
    <t>DOL-FIR</t>
  </si>
  <si>
    <t>DOL-GST</t>
  </si>
  <si>
    <t>DOL-HDN</t>
  </si>
  <si>
    <t>DOL-OVA</t>
  </si>
  <si>
    <t>DOL-WOO</t>
  </si>
  <si>
    <t>DOL-SPI</t>
  </si>
  <si>
    <t>DOL-LOM</t>
  </si>
  <si>
    <t>AKS-DOL</t>
  </si>
  <si>
    <t>DOL-MAR</t>
  </si>
  <si>
    <t>DOL-WIL</t>
  </si>
  <si>
    <t>DOL-STO</t>
  </si>
  <si>
    <t>DOL-VEN</t>
  </si>
  <si>
    <t>DOL-SAT</t>
  </si>
  <si>
    <t>DOL-JUP</t>
  </si>
  <si>
    <t>DOL-WES</t>
  </si>
  <si>
    <t>DOL-LCP</t>
  </si>
  <si>
    <t>DOL-NOR</t>
  </si>
  <si>
    <t>DOL-EAS</t>
  </si>
  <si>
    <t>DOL-GRA</t>
  </si>
  <si>
    <t>DOL-SOU</t>
  </si>
  <si>
    <t>DOL-DPH</t>
  </si>
  <si>
    <t>DOL-ZPI</t>
  </si>
  <si>
    <t>DOL-EAM</t>
  </si>
  <si>
    <t>DOL-SEA</t>
  </si>
  <si>
    <t>DOL-EAL</t>
  </si>
  <si>
    <t>DOL-WEP</t>
  </si>
  <si>
    <t>DOL-KLP</t>
  </si>
  <si>
    <t>DOL-SPA</t>
  </si>
  <si>
    <t>DOL-DPM</t>
  </si>
  <si>
    <t>DOL-HDM</t>
  </si>
  <si>
    <t>DOL-TPI</t>
  </si>
  <si>
    <t>DOL-GSM</t>
  </si>
  <si>
    <t>DOL-SOF</t>
  </si>
  <si>
    <t>D7-DOL</t>
  </si>
  <si>
    <t>DFLP-DOL</t>
  </si>
  <si>
    <t>0-DOL</t>
  </si>
  <si>
    <t>DPI-SCL</t>
  </si>
  <si>
    <t>DPI-SG2</t>
  </si>
  <si>
    <t>DPI-FFC</t>
  </si>
  <si>
    <t>DPI-HN2</t>
  </si>
  <si>
    <t>DF2-DPI</t>
  </si>
  <si>
    <t>DPI-SRE</t>
  </si>
  <si>
    <t>DPI-REM</t>
  </si>
  <si>
    <t>DPI-FRM</t>
  </si>
  <si>
    <t>CDP-DPI</t>
  </si>
  <si>
    <t>DPI-SC2</t>
  </si>
  <si>
    <t>DPI-NES</t>
  </si>
  <si>
    <t>DPI-GRI</t>
  </si>
  <si>
    <t>DPI-FIR</t>
  </si>
  <si>
    <t>DPI-GST</t>
  </si>
  <si>
    <t>DPI-HDN</t>
  </si>
  <si>
    <t>DPI-OVA</t>
  </si>
  <si>
    <t>DPI-WOO</t>
  </si>
  <si>
    <t>DPI-SPI</t>
  </si>
  <si>
    <t>DPI-NET</t>
  </si>
  <si>
    <t>DPI-SEK</t>
  </si>
  <si>
    <t>DPI-LOM</t>
  </si>
  <si>
    <t>AKS-DPI</t>
  </si>
  <si>
    <t>DPI-MAR</t>
  </si>
  <si>
    <t>DPI-WIL</t>
  </si>
  <si>
    <t>DPI-STO</t>
  </si>
  <si>
    <t>DPI-VEN</t>
  </si>
  <si>
    <t>DPI-JUP</t>
  </si>
  <si>
    <t>DPI-WES</t>
  </si>
  <si>
    <t>DPI-LCP</t>
  </si>
  <si>
    <t>DPI-NOR</t>
  </si>
  <si>
    <t>DPI-EAS</t>
  </si>
  <si>
    <t>DPI-GRA</t>
  </si>
  <si>
    <t>DPI-SOU</t>
  </si>
  <si>
    <t>DPH-DPI</t>
  </si>
  <si>
    <t>DPI-ZPI</t>
  </si>
  <si>
    <t>DPI-EAM</t>
  </si>
  <si>
    <t>DPI-SEA</t>
  </si>
  <si>
    <t>DPI-EAL</t>
  </si>
  <si>
    <t>DPI-WEP</t>
  </si>
  <si>
    <t>DPI-KLP</t>
  </si>
  <si>
    <t>DPI-SPA</t>
  </si>
  <si>
    <t>DPI-DPM</t>
  </si>
  <si>
    <t>DPI-HDM</t>
  </si>
  <si>
    <t>DPI-TPI</t>
  </si>
  <si>
    <t>DPI-GSM</t>
  </si>
  <si>
    <t>DPI-SOF</t>
  </si>
  <si>
    <t>D7-DPI</t>
  </si>
  <si>
    <t>DFLP-DPI</t>
  </si>
  <si>
    <t>0-DPI</t>
  </si>
  <si>
    <t>DPM-SCL</t>
  </si>
  <si>
    <t>DPM-SG2</t>
  </si>
  <si>
    <t>DPM-FFC</t>
  </si>
  <si>
    <t>DPM-HN2</t>
  </si>
  <si>
    <t>DF2-DPM</t>
  </si>
  <si>
    <t>DPM-SRE</t>
  </si>
  <si>
    <t>DPM-REM</t>
  </si>
  <si>
    <t>DPM-FRM</t>
  </si>
  <si>
    <t>D7R-DPM</t>
  </si>
  <si>
    <t>CDP-DPM</t>
  </si>
  <si>
    <t>DPM-SC2</t>
  </si>
  <si>
    <t>DPM-EAG</t>
  </si>
  <si>
    <t>DPM-NEW</t>
  </si>
  <si>
    <t>DPM-NES</t>
  </si>
  <si>
    <t>DPM-LPI</t>
  </si>
  <si>
    <t>DPM-GPI</t>
  </si>
  <si>
    <t>DEL-DPM</t>
  </si>
  <si>
    <t>DPM-GRI</t>
  </si>
  <si>
    <t>DPM-PUR</t>
  </si>
  <si>
    <t>DPM-VAL</t>
  </si>
  <si>
    <t>DPM-FIR</t>
  </si>
  <si>
    <t>DPM-GST</t>
  </si>
  <si>
    <t>DPM-OVA</t>
  </si>
  <si>
    <t>DPM-WOO</t>
  </si>
  <si>
    <t>DPM-SPI</t>
  </si>
  <si>
    <t>DPM-NET</t>
  </si>
  <si>
    <t>DPM-SEK</t>
  </si>
  <si>
    <t>DPM-LOM</t>
  </si>
  <si>
    <t>AKS-DPM</t>
  </si>
  <si>
    <t>DPM-MAR</t>
  </si>
  <si>
    <t>DPM-WIL</t>
  </si>
  <si>
    <t>DPM-STO</t>
  </si>
  <si>
    <t>DPM-VEN</t>
  </si>
  <si>
    <t>DPM-SAT</t>
  </si>
  <si>
    <t>DPM-NEP</t>
  </si>
  <si>
    <t>DPM-JUP</t>
  </si>
  <si>
    <t>DPM-WES</t>
  </si>
  <si>
    <t>DPM-LCP</t>
  </si>
  <si>
    <t>DPM-NOR</t>
  </si>
  <si>
    <t>DPM-EAS</t>
  </si>
  <si>
    <t>DPM-SOU</t>
  </si>
  <si>
    <t>DPM-ZPI</t>
  </si>
  <si>
    <t>DPM-EAM</t>
  </si>
  <si>
    <t>DPM-SEA</t>
  </si>
  <si>
    <t>DPM-EAL</t>
  </si>
  <si>
    <t>DPM-WEP</t>
  </si>
  <si>
    <t>DPM-KLP</t>
  </si>
  <si>
    <t>DPM-SPA</t>
  </si>
  <si>
    <t>DPM-DPM</t>
  </si>
  <si>
    <t>DPM-HDM</t>
  </si>
  <si>
    <t>DPM-TPI</t>
  </si>
  <si>
    <t>DPM-GSM</t>
  </si>
  <si>
    <t>DPM-SOF</t>
  </si>
  <si>
    <t>D7-DPM</t>
  </si>
  <si>
    <t>DFLP-DPM</t>
  </si>
  <si>
    <t>0-DPM</t>
  </si>
  <si>
    <t>EAG-SCL</t>
  </si>
  <si>
    <t>EAG-SG2</t>
  </si>
  <si>
    <t>EAG-FFC</t>
  </si>
  <si>
    <t>EAG-HN2</t>
  </si>
  <si>
    <t>DF2-EAG</t>
  </si>
  <si>
    <t>EAG-SRE</t>
  </si>
  <si>
    <t>EAG-REM</t>
  </si>
  <si>
    <t>EAG-FRM</t>
  </si>
  <si>
    <t>CDP-EAG</t>
  </si>
  <si>
    <t>EAG-SC2</t>
  </si>
  <si>
    <t>EAG-EAG</t>
  </si>
  <si>
    <t>EAG-NES</t>
  </si>
  <si>
    <t>EAG-LPI</t>
  </si>
  <si>
    <t>EAG-GPI</t>
  </si>
  <si>
    <t>DEL-EAG</t>
  </si>
  <si>
    <t>EAG-GRI</t>
  </si>
  <si>
    <t>EAG-PUR</t>
  </si>
  <si>
    <t>EAG-VAL</t>
  </si>
  <si>
    <t>EAG-FIR</t>
  </si>
  <si>
    <t>EAG-GST</t>
  </si>
  <si>
    <t>EAG-HDN</t>
  </si>
  <si>
    <t>EAG-OVA</t>
  </si>
  <si>
    <t>EAG-WOO</t>
  </si>
  <si>
    <t>EAG-SPI</t>
  </si>
  <si>
    <t>EAG-NET</t>
  </si>
  <si>
    <t>EAG-SEK</t>
  </si>
  <si>
    <t>EAG-LOM</t>
  </si>
  <si>
    <t>AKS-EAG</t>
  </si>
  <si>
    <t>EAG-MAR</t>
  </si>
  <si>
    <t>EAG-WIL</t>
  </si>
  <si>
    <t>EAG-SAT</t>
  </si>
  <si>
    <t>EAG-NEP</t>
  </si>
  <si>
    <t>EAG-JUP</t>
  </si>
  <si>
    <t>EAG-WES</t>
  </si>
  <si>
    <t>EAG-LCP</t>
  </si>
  <si>
    <t>EAG-NOR</t>
  </si>
  <si>
    <t>EAG-EAS</t>
  </si>
  <si>
    <t>EAG-SOU</t>
  </si>
  <si>
    <t>DPH-EAG</t>
  </si>
  <si>
    <t>EAG-ZPI</t>
  </si>
  <si>
    <t>EAG-EAM</t>
  </si>
  <si>
    <t>EAG-SEA</t>
  </si>
  <si>
    <t>EAG-EAL</t>
  </si>
  <si>
    <t>EAG-WEP</t>
  </si>
  <si>
    <t>EAG-KLP</t>
  </si>
  <si>
    <t>EAG-SPA</t>
  </si>
  <si>
    <t>EAG-HDM</t>
  </si>
  <si>
    <t>EAG-TPI</t>
  </si>
  <si>
    <t>EAG-GSM</t>
  </si>
  <si>
    <t>EAG-SOF</t>
  </si>
  <si>
    <t>D7-EAG</t>
  </si>
  <si>
    <t>DFLP-EAG</t>
  </si>
  <si>
    <t>0-EAG</t>
  </si>
  <si>
    <t>EAL-SCL</t>
  </si>
  <si>
    <t>EAL-SG2</t>
  </si>
  <si>
    <t>EAL-FFC</t>
  </si>
  <si>
    <t>EAL-HN2</t>
  </si>
  <si>
    <t>DF2-EAL</t>
  </si>
  <si>
    <t>EAL-SRE</t>
  </si>
  <si>
    <t>EAL-REM</t>
  </si>
  <si>
    <t>EAL-FRM</t>
  </si>
  <si>
    <t>D7R-EAL</t>
  </si>
  <si>
    <t>CDP-EAL</t>
  </si>
  <si>
    <t>EAL-SC2</t>
  </si>
  <si>
    <t>EAL-NEW</t>
  </si>
  <si>
    <t>EAL-NES</t>
  </si>
  <si>
    <t>EAL-LPI</t>
  </si>
  <si>
    <t>EAL-GPI</t>
  </si>
  <si>
    <t>DEL-EAL</t>
  </si>
  <si>
    <t>EAL-GRI</t>
  </si>
  <si>
    <t>EAL-PUR</t>
  </si>
  <si>
    <t>EAL-VAL</t>
  </si>
  <si>
    <t>EAL-FIR</t>
  </si>
  <si>
    <t>EAL-GST</t>
  </si>
  <si>
    <t>EAL-HDN</t>
  </si>
  <si>
    <t>EAL-OVA</t>
  </si>
  <si>
    <t>EAL-WOO</t>
  </si>
  <si>
    <t>EAL-SPI</t>
  </si>
  <si>
    <t>EAL-NET</t>
  </si>
  <si>
    <t>EAL-SEK</t>
  </si>
  <si>
    <t>EAL-LOM</t>
  </si>
  <si>
    <t>AKS-EAL</t>
  </si>
  <si>
    <t>EAL-MAR</t>
  </si>
  <si>
    <t>EAL-WIL</t>
  </si>
  <si>
    <t>EAL-STO</t>
  </si>
  <si>
    <t>EAL-VEN</t>
  </si>
  <si>
    <t>EAL-SAT</t>
  </si>
  <si>
    <t>EAL-NEP</t>
  </si>
  <si>
    <t>EAL-JUP</t>
  </si>
  <si>
    <t>EAL-WES</t>
  </si>
  <si>
    <t>EAL-LCP</t>
  </si>
  <si>
    <t>EAL-NOR</t>
  </si>
  <si>
    <t>EAL-GRA</t>
  </si>
  <si>
    <t>EAL-SOU</t>
  </si>
  <si>
    <t>EAL-ZPI</t>
  </si>
  <si>
    <t>EAL-EAM</t>
  </si>
  <si>
    <t>EAL-SEA</t>
  </si>
  <si>
    <t>EAL-EAL</t>
  </si>
  <si>
    <t>EAL-WEP</t>
  </si>
  <si>
    <t>EAL-KLP</t>
  </si>
  <si>
    <t>EAL-SPA</t>
  </si>
  <si>
    <t>EAL-HDM</t>
  </si>
  <si>
    <t>EAL-TPI</t>
  </si>
  <si>
    <t>EAL-GSM</t>
  </si>
  <si>
    <t>EAL-SOF</t>
  </si>
  <si>
    <t>D7-EAL</t>
  </si>
  <si>
    <t>DFLP-EAL</t>
  </si>
  <si>
    <t>0-EAL</t>
  </si>
  <si>
    <t>EAM-SCL</t>
  </si>
  <si>
    <t>EAM-SG2</t>
  </si>
  <si>
    <t>EAM-FFC</t>
  </si>
  <si>
    <t>EAM-HN2</t>
  </si>
  <si>
    <t>DF2-EAM</t>
  </si>
  <si>
    <t>EAM-SRE</t>
  </si>
  <si>
    <t>EAM-REM</t>
  </si>
  <si>
    <t>EAM-FRM</t>
  </si>
  <si>
    <t>D7R-EAM</t>
  </si>
  <si>
    <t>CDP-EAM</t>
  </si>
  <si>
    <t>EAM-SC2</t>
  </si>
  <si>
    <t>EAM-NEW</t>
  </si>
  <si>
    <t>EAM-NES</t>
  </si>
  <si>
    <t>EAM-LPI</t>
  </si>
  <si>
    <t>EAM-GPI</t>
  </si>
  <si>
    <t>DEL-EAM</t>
  </si>
  <si>
    <t>EAM-GRI</t>
  </si>
  <si>
    <t>EAM-PUR</t>
  </si>
  <si>
    <t>EAM-VAL</t>
  </si>
  <si>
    <t>EAM-FIR</t>
  </si>
  <si>
    <t>EAM-GST</t>
  </si>
  <si>
    <t>EAM-HDN</t>
  </si>
  <si>
    <t>EAM-OVA</t>
  </si>
  <si>
    <t>EAM-WOO</t>
  </si>
  <si>
    <t>EAM-SPI</t>
  </si>
  <si>
    <t>EAM-NET</t>
  </si>
  <si>
    <t>EAM-SEK</t>
  </si>
  <si>
    <t>EAM-LOM</t>
  </si>
  <si>
    <t>AKS-EAM</t>
  </si>
  <si>
    <t>EAM-MAR</t>
  </si>
  <si>
    <t>EAM-WIL</t>
  </si>
  <si>
    <t>EAM-STO</t>
  </si>
  <si>
    <t>EAM-VEN</t>
  </si>
  <si>
    <t>EAM-SAT</t>
  </si>
  <si>
    <t>EAM-NEP</t>
  </si>
  <si>
    <t>EAM-JUP</t>
  </si>
  <si>
    <t>EAM-WES</t>
  </si>
  <si>
    <t>EAM-LCP</t>
  </si>
  <si>
    <t>EAM-NOR</t>
  </si>
  <si>
    <t>EAM-GRA</t>
  </si>
  <si>
    <t>EAM-SOU</t>
  </si>
  <si>
    <t>DPH-EAM</t>
  </si>
  <si>
    <t>EAM-ZPI</t>
  </si>
  <si>
    <t>EAM-EAM</t>
  </si>
  <si>
    <t>EAM-SEA</t>
  </si>
  <si>
    <t>EAM-WEP</t>
  </si>
  <si>
    <t>EAM-KLP</t>
  </si>
  <si>
    <t>EAM-SPA</t>
  </si>
  <si>
    <t>EAM-HDM</t>
  </si>
  <si>
    <t>EAM-TPI</t>
  </si>
  <si>
    <t>EAM-GSM</t>
  </si>
  <si>
    <t>EAM-SOF</t>
  </si>
  <si>
    <t>D7-EAM</t>
  </si>
  <si>
    <t>DFLP-EAM</t>
  </si>
  <si>
    <t>0-EAM</t>
  </si>
  <si>
    <t>GRA-SCL</t>
  </si>
  <si>
    <t>GRA-SG2</t>
  </si>
  <si>
    <t>FFC-GRA</t>
  </si>
  <si>
    <t>GRA-HN2</t>
  </si>
  <si>
    <t>DF2-GRA</t>
  </si>
  <si>
    <t>GRA-SRE</t>
  </si>
  <si>
    <t>GRA-REM</t>
  </si>
  <si>
    <t>FRM-GRA</t>
  </si>
  <si>
    <t>CDP-GRA</t>
  </si>
  <si>
    <t>GRA-SC2</t>
  </si>
  <si>
    <t>GRA-NEW</t>
  </si>
  <si>
    <t>GRA-NES</t>
  </si>
  <si>
    <t>GRA-LPI</t>
  </si>
  <si>
    <t>GPI-GRA</t>
  </si>
  <si>
    <t>DEL-GRA</t>
  </si>
  <si>
    <t>GRA-PUR</t>
  </si>
  <si>
    <t>FIR-GRA</t>
  </si>
  <si>
    <t>GRA-GST</t>
  </si>
  <si>
    <t>GRA-HDN</t>
  </si>
  <si>
    <t>GRA-OVA</t>
  </si>
  <si>
    <t>GRA-SPI</t>
  </si>
  <si>
    <t>GRA-SEK</t>
  </si>
  <si>
    <t>GRA-LOM</t>
  </si>
  <si>
    <t>AKS-GRA</t>
  </si>
  <si>
    <t>GRA-MAR</t>
  </si>
  <si>
    <t>GRA-WIL</t>
  </si>
  <si>
    <t>GRA-STO</t>
  </si>
  <si>
    <t>GRA-VEN</t>
  </si>
  <si>
    <t>GRA-SAT</t>
  </si>
  <si>
    <t>GRA-JUP</t>
  </si>
  <si>
    <t>GRA-WES</t>
  </si>
  <si>
    <t>GRA-LCP</t>
  </si>
  <si>
    <t>GRA-NOR</t>
  </si>
  <si>
    <t>GRA-SOU</t>
  </si>
  <si>
    <t>GRA-ZPI</t>
  </si>
  <si>
    <t>GRA-SEA</t>
  </si>
  <si>
    <t>GRA-WEP</t>
  </si>
  <si>
    <t>GRA-GSM</t>
  </si>
  <si>
    <t>DFLP-GRA</t>
  </si>
  <si>
    <t>0-GRA</t>
  </si>
  <si>
    <t>GSM-SCL</t>
  </si>
  <si>
    <t>GSM-SG2</t>
  </si>
  <si>
    <t>FFC-GSM</t>
  </si>
  <si>
    <t>GSM-HN2</t>
  </si>
  <si>
    <t>DF2-GSM</t>
  </si>
  <si>
    <t>GSM-SRE</t>
  </si>
  <si>
    <t>GSM-REM</t>
  </si>
  <si>
    <t>FRM-GSM</t>
  </si>
  <si>
    <t>D7R-GSM</t>
  </si>
  <si>
    <t>CDP-GSM</t>
  </si>
  <si>
    <t>GSM-SC2</t>
  </si>
  <si>
    <t>GSM-NEW</t>
  </si>
  <si>
    <t>GSM-NES</t>
  </si>
  <si>
    <t>GSM-LPI</t>
  </si>
  <si>
    <t>GPI-GSM</t>
  </si>
  <si>
    <t>DEL-GSM</t>
  </si>
  <si>
    <t>GRI-GSM</t>
  </si>
  <si>
    <t>GSM-PUR</t>
  </si>
  <si>
    <t>GSM-VAL</t>
  </si>
  <si>
    <t>FIR-GSM</t>
  </si>
  <si>
    <t>GSM-HDN</t>
  </si>
  <si>
    <t>GSM-OVA</t>
  </si>
  <si>
    <t>GSM-WOO</t>
  </si>
  <si>
    <t>GSM-SPI</t>
  </si>
  <si>
    <t>GSM-NET</t>
  </si>
  <si>
    <t>GSM-SEK</t>
  </si>
  <si>
    <t>GSM-LOM</t>
  </si>
  <si>
    <t>AKS-GSM</t>
  </si>
  <si>
    <t>GSM-MAR</t>
  </si>
  <si>
    <t>GSM-WIL</t>
  </si>
  <si>
    <t>GSM-STO</t>
  </si>
  <si>
    <t>GSM-VEN</t>
  </si>
  <si>
    <t>GSM-SAT</t>
  </si>
  <si>
    <t>GSM-NEP</t>
  </si>
  <si>
    <t>GSM-JUP</t>
  </si>
  <si>
    <t>GSM-WES</t>
  </si>
  <si>
    <t>GSM-LCP</t>
  </si>
  <si>
    <t>GSM-NOR</t>
  </si>
  <si>
    <t>EAS-GSM</t>
  </si>
  <si>
    <t>GSM-SOU</t>
  </si>
  <si>
    <t>DPH-GSM</t>
  </si>
  <si>
    <t>GSM-ZPI</t>
  </si>
  <si>
    <t>GSM-SEA</t>
  </si>
  <si>
    <t>GSM-WEP</t>
  </si>
  <si>
    <t>GSM-KLP</t>
  </si>
  <si>
    <t>GSM-SPA</t>
  </si>
  <si>
    <t>GSM-HDM</t>
  </si>
  <si>
    <t>GSM-TPI</t>
  </si>
  <si>
    <t>GSM-GSM</t>
  </si>
  <si>
    <t>GSM-SOF</t>
  </si>
  <si>
    <t>D7-GSM</t>
  </si>
  <si>
    <t>DFLP-GSM</t>
  </si>
  <si>
    <t>0-GSM</t>
  </si>
  <si>
    <t>HDM-SCL</t>
  </si>
  <si>
    <t>HDM-SG2</t>
  </si>
  <si>
    <t>FFC-HDM</t>
  </si>
  <si>
    <t>HDM-HN2</t>
  </si>
  <si>
    <t>DF2-HDM</t>
  </si>
  <si>
    <t>HDM-SRE</t>
  </si>
  <si>
    <t>HDM-REM</t>
  </si>
  <si>
    <t>FRM-HDM</t>
  </si>
  <si>
    <t>D7R-HDM</t>
  </si>
  <si>
    <t>CDP-HDM</t>
  </si>
  <si>
    <t>HDM-SC2</t>
  </si>
  <si>
    <t>HDM-NEW</t>
  </si>
  <si>
    <t>HDM-NES</t>
  </si>
  <si>
    <t>HDM-LPI</t>
  </si>
  <si>
    <t>GPI-HDM</t>
  </si>
  <si>
    <t>DEL-HDM</t>
  </si>
  <si>
    <t>GRI-HDM</t>
  </si>
  <si>
    <t>HDM-PUR</t>
  </si>
  <si>
    <t>HDM-VAL</t>
  </si>
  <si>
    <t>FIR-HDM</t>
  </si>
  <si>
    <t>GST-HDM</t>
  </si>
  <si>
    <t>HDM-OVA</t>
  </si>
  <si>
    <t>HDM-WOO</t>
  </si>
  <si>
    <t>HDM-SPI</t>
  </si>
  <si>
    <t>HDM-NET</t>
  </si>
  <si>
    <t>HDM-SEK</t>
  </si>
  <si>
    <t>HDM-LOM</t>
  </si>
  <si>
    <t>AKS-HDM</t>
  </si>
  <si>
    <t>HDM-MAR</t>
  </si>
  <si>
    <t>HDM-WIL</t>
  </si>
  <si>
    <t>HDM-STO</t>
  </si>
  <si>
    <t>HDM-VEN</t>
  </si>
  <si>
    <t>HDM-SAT</t>
  </si>
  <si>
    <t>HDM-NEP</t>
  </si>
  <si>
    <t>HDM-JUP</t>
  </si>
  <si>
    <t>HDM-WES</t>
  </si>
  <si>
    <t>HDM-LCP</t>
  </si>
  <si>
    <t>HDM-NOR</t>
  </si>
  <si>
    <t>EAS-HDM</t>
  </si>
  <si>
    <t>HDM-SOU</t>
  </si>
  <si>
    <t>DPH-HDM</t>
  </si>
  <si>
    <t>HDM-ZPI</t>
  </si>
  <si>
    <t>HDM-SEA</t>
  </si>
  <si>
    <t>HDM-WEP</t>
  </si>
  <si>
    <t>HDM-KLP</t>
  </si>
  <si>
    <t>HDM-SPA</t>
  </si>
  <si>
    <t>HDM-HDM</t>
  </si>
  <si>
    <t>HDM-TPI</t>
  </si>
  <si>
    <t>HDM-SOF</t>
  </si>
  <si>
    <t>D7-HDM</t>
  </si>
  <si>
    <t>DFLP-HDM</t>
  </si>
  <si>
    <t>0-HDM</t>
  </si>
  <si>
    <t>HDR-SCL</t>
  </si>
  <si>
    <t>HDR-SG2</t>
  </si>
  <si>
    <t>FFC-HDR</t>
  </si>
  <si>
    <t>HDR-HN2</t>
  </si>
  <si>
    <t>DF2-HDR</t>
  </si>
  <si>
    <t>HDR-SRE</t>
  </si>
  <si>
    <t>HDR-REM</t>
  </si>
  <si>
    <t>FRM-HDR</t>
  </si>
  <si>
    <t>D7R-HDR</t>
  </si>
  <si>
    <t>CDP-HDR</t>
  </si>
  <si>
    <t>HDR-SC2</t>
  </si>
  <si>
    <t>CRE-HDR</t>
  </si>
  <si>
    <t>CHA-HDR</t>
  </si>
  <si>
    <t>DIA-HDR</t>
  </si>
  <si>
    <t>EAG-HDR</t>
  </si>
  <si>
    <t>HDR-NEW</t>
  </si>
  <si>
    <t>HDR-NES</t>
  </si>
  <si>
    <t>HDR-LPI</t>
  </si>
  <si>
    <t>GPI-HDR</t>
  </si>
  <si>
    <t>ALP-HDR</t>
  </si>
  <si>
    <t>BET-HDR</t>
  </si>
  <si>
    <t>DEL-HDR</t>
  </si>
  <si>
    <t>DOL-HDR</t>
  </si>
  <si>
    <t>GRI-HDR</t>
  </si>
  <si>
    <t>HDR-PUR</t>
  </si>
  <si>
    <t>HDR-VAL</t>
  </si>
  <si>
    <t>AKG-HDR</t>
  </si>
  <si>
    <t>FIR-HDR</t>
  </si>
  <si>
    <t>GST-HDR</t>
  </si>
  <si>
    <t>HDR-OVA</t>
  </si>
  <si>
    <t>HDR-WOO</t>
  </si>
  <si>
    <t>HDR-SPI</t>
  </si>
  <si>
    <t>HDR-NET</t>
  </si>
  <si>
    <t>DPI-HDR</t>
  </si>
  <si>
    <t>HDR-SEK</t>
  </si>
  <si>
    <t>CPI-HDR</t>
  </si>
  <si>
    <t>HDR-LOM</t>
  </si>
  <si>
    <t>AKS-HDR</t>
  </si>
  <si>
    <t>HDR-MAR</t>
  </si>
  <si>
    <t>HDR-WIL</t>
  </si>
  <si>
    <t>HDR-STO</t>
  </si>
  <si>
    <t>ANG-HDR</t>
  </si>
  <si>
    <t>BRU-HDR</t>
  </si>
  <si>
    <t>HDR-VEN</t>
  </si>
  <si>
    <t>HDR-SAT</t>
  </si>
  <si>
    <t>HDR-NEP</t>
  </si>
  <si>
    <t>HDR-JUP</t>
  </si>
  <si>
    <t>HDR-WES</t>
  </si>
  <si>
    <t>HDR-LCP</t>
  </si>
  <si>
    <t>HDR-NOR</t>
  </si>
  <si>
    <t>EAS-HDR</t>
  </si>
  <si>
    <t>HDR-SOU</t>
  </si>
  <si>
    <t>API-HDR</t>
  </si>
  <si>
    <t>DPH-HDR</t>
  </si>
  <si>
    <t>HDR-ZPI</t>
  </si>
  <si>
    <t>EAM-HDR</t>
  </si>
  <si>
    <t>HDR-SEA</t>
  </si>
  <si>
    <t>EAL-HDR</t>
  </si>
  <si>
    <t>HDR-WEP</t>
  </si>
  <si>
    <t>HDR-KLP</t>
  </si>
  <si>
    <t>AKC-HDR</t>
  </si>
  <si>
    <t>AKA-HDR</t>
  </si>
  <si>
    <t>HDR-SPA</t>
  </si>
  <si>
    <t>DPM-HDR</t>
  </si>
  <si>
    <t>HDM-HDR</t>
  </si>
  <si>
    <t>HDR-TPI</t>
  </si>
  <si>
    <t>GSM-HDR</t>
  </si>
  <si>
    <t>HDR-SOF</t>
  </si>
  <si>
    <t>D7-HDR</t>
  </si>
  <si>
    <t>DFLP-HDR</t>
  </si>
  <si>
    <t>0-HDR</t>
  </si>
  <si>
    <t>JUP-SCL</t>
  </si>
  <si>
    <t>JUP-SG2</t>
  </si>
  <si>
    <t>FFC-JUP</t>
  </si>
  <si>
    <t>HN2-JUP</t>
  </si>
  <si>
    <t>DF2-JUP</t>
  </si>
  <si>
    <t>JUP-SRE</t>
  </si>
  <si>
    <t>JUP-REM</t>
  </si>
  <si>
    <t>FRM-JUP</t>
  </si>
  <si>
    <t>CDP-JUP</t>
  </si>
  <si>
    <t>JUP-SC2</t>
  </si>
  <si>
    <t>JUP-NEW</t>
  </si>
  <si>
    <t>JUP-NES</t>
  </si>
  <si>
    <t>JUP-LPI</t>
  </si>
  <si>
    <t>GPI-JUP</t>
  </si>
  <si>
    <t>DEL-JUP</t>
  </si>
  <si>
    <t>GRI-JUP</t>
  </si>
  <si>
    <t>JUP-PUR</t>
  </si>
  <si>
    <t>JUP-VAL</t>
  </si>
  <si>
    <t>FIR-JUP</t>
  </si>
  <si>
    <t>GST-JUP</t>
  </si>
  <si>
    <t>HDN-JUP</t>
  </si>
  <si>
    <t>JUP-OVA</t>
  </si>
  <si>
    <t>JUP-WOO</t>
  </si>
  <si>
    <t>JUP-SPI</t>
  </si>
  <si>
    <t>JUP-NET</t>
  </si>
  <si>
    <t>JUP-SEK</t>
  </si>
  <si>
    <t>JUP-LOM</t>
  </si>
  <si>
    <t>AKS-JUP</t>
  </si>
  <si>
    <t>JUP-MAR</t>
  </si>
  <si>
    <t>JUP-WIL</t>
  </si>
  <si>
    <t>JUP-STO</t>
  </si>
  <si>
    <t>JUP-VEN</t>
  </si>
  <si>
    <t>JUP-SAT</t>
  </si>
  <si>
    <t>JUP-NEP</t>
  </si>
  <si>
    <t>JUP-JUP</t>
  </si>
  <si>
    <t>JUP-WES</t>
  </si>
  <si>
    <t>JUP-LCP</t>
  </si>
  <si>
    <t>JUP-NOR</t>
  </si>
  <si>
    <t>EAS-JUP</t>
  </si>
  <si>
    <t>JUP-SOU</t>
  </si>
  <si>
    <t>DPH-JUP</t>
  </si>
  <si>
    <t>JUP-ZPI</t>
  </si>
  <si>
    <t>JUP-SEA</t>
  </si>
  <si>
    <t>JUP-WEP</t>
  </si>
  <si>
    <t>JUP-KLP</t>
  </si>
  <si>
    <t>JUP-SPA</t>
  </si>
  <si>
    <t>JUP-TPI</t>
  </si>
  <si>
    <t>JUP-SOF</t>
  </si>
  <si>
    <t>D7-JUP</t>
  </si>
  <si>
    <t>DFLP-JUP</t>
  </si>
  <si>
    <t>0-JUP</t>
  </si>
  <si>
    <t>KLP-SCL</t>
  </si>
  <si>
    <t>KLP-SG2</t>
  </si>
  <si>
    <t>FFC-KLP</t>
  </si>
  <si>
    <t>HN2-KLP</t>
  </si>
  <si>
    <t>DF2-KLP</t>
  </si>
  <si>
    <t>KLP-SRE</t>
  </si>
  <si>
    <t>KLP-REM</t>
  </si>
  <si>
    <t>FRM-KLP</t>
  </si>
  <si>
    <t>D7R-KLP</t>
  </si>
  <si>
    <t>CDP-KLP</t>
  </si>
  <si>
    <t>KLP-SC2</t>
  </si>
  <si>
    <t>KLP-NEW</t>
  </si>
  <si>
    <t>KLP-NES</t>
  </si>
  <si>
    <t>KLP-LPI</t>
  </si>
  <si>
    <t>GPI-KLP</t>
  </si>
  <si>
    <t>DEL-KLP</t>
  </si>
  <si>
    <t>GRI-KLP</t>
  </si>
  <si>
    <t>KLP-PUR</t>
  </si>
  <si>
    <t>KLP-VAL</t>
  </si>
  <si>
    <t>FIR-KLP</t>
  </si>
  <si>
    <t>GST-KLP</t>
  </si>
  <si>
    <t>HDN-KLP</t>
  </si>
  <si>
    <t>KLP-OVA</t>
  </si>
  <si>
    <t>KLP-WOO</t>
  </si>
  <si>
    <t>KLP-SPI</t>
  </si>
  <si>
    <t>KLP-NET</t>
  </si>
  <si>
    <t>KLP-SEK</t>
  </si>
  <si>
    <t>KLP-LOM</t>
  </si>
  <si>
    <t>AKS-KLP</t>
  </si>
  <si>
    <t>KLP-MAR</t>
  </si>
  <si>
    <t>KLP-WIL</t>
  </si>
  <si>
    <t>KLP-STO</t>
  </si>
  <si>
    <t>KLP-VEN</t>
  </si>
  <si>
    <t>KLP-SAT</t>
  </si>
  <si>
    <t>KLP-NEP</t>
  </si>
  <si>
    <t>KLP-WES</t>
  </si>
  <si>
    <t>KLP-LCP</t>
  </si>
  <si>
    <t>KLP-NOR</t>
  </si>
  <si>
    <t>EAS-KLP</t>
  </si>
  <si>
    <t>KLP-SOU</t>
  </si>
  <si>
    <t>DPH-KLP</t>
  </si>
  <si>
    <t>KLP-ZPI</t>
  </si>
  <si>
    <t>KLP-SEA</t>
  </si>
  <si>
    <t>KLP-WEP</t>
  </si>
  <si>
    <t>KLP-KLP</t>
  </si>
  <si>
    <t>KLP-SPA</t>
  </si>
  <si>
    <t>KLP-TPI</t>
  </si>
  <si>
    <t>KLP-SOF</t>
  </si>
  <si>
    <t>D7-KLP</t>
  </si>
  <si>
    <t>DFLP-KLP</t>
  </si>
  <si>
    <t>0-KLP</t>
  </si>
  <si>
    <t>LCP-SCL</t>
  </si>
  <si>
    <t>LCP-SG2</t>
  </si>
  <si>
    <t>FFC-LCP</t>
  </si>
  <si>
    <t>HN2-LCP</t>
  </si>
  <si>
    <t>DF2-LCP</t>
  </si>
  <si>
    <t>LCP-SRE</t>
  </si>
  <si>
    <t>LCP-REM</t>
  </si>
  <si>
    <t>FRM-LCP</t>
  </si>
  <si>
    <t>D7R-LCP</t>
  </si>
  <si>
    <t>CDP-LCP</t>
  </si>
  <si>
    <t>LCP-SC2</t>
  </si>
  <si>
    <t>LCP-NEW</t>
  </si>
  <si>
    <t>LCP-NES</t>
  </si>
  <si>
    <t>LCP-LPI</t>
  </si>
  <si>
    <t>GPI-LCP</t>
  </si>
  <si>
    <t>DEL-LCP</t>
  </si>
  <si>
    <t>GRI-LCP</t>
  </si>
  <si>
    <t>LCP-PUR</t>
  </si>
  <si>
    <t>LCP-VAL</t>
  </si>
  <si>
    <t>FIR-LCP</t>
  </si>
  <si>
    <t>GST-LCP</t>
  </si>
  <si>
    <t>HDN-LCP</t>
  </si>
  <si>
    <t>LCP-OVA</t>
  </si>
  <si>
    <t>LCP-WOO</t>
  </si>
  <si>
    <t>LCP-SPI</t>
  </si>
  <si>
    <t>LCP-NET</t>
  </si>
  <si>
    <t>LCP-SEK</t>
  </si>
  <si>
    <t>LCP-LOM</t>
  </si>
  <si>
    <t>AKS-LCP</t>
  </si>
  <si>
    <t>LCP-MAR</t>
  </si>
  <si>
    <t>LCP-WIL</t>
  </si>
  <si>
    <t>LCP-STO</t>
  </si>
  <si>
    <t>LCP-VEN</t>
  </si>
  <si>
    <t>LCP-SAT</t>
  </si>
  <si>
    <t>LCP-NEP</t>
  </si>
  <si>
    <t>LCP-WES</t>
  </si>
  <si>
    <t>LCP-LCP</t>
  </si>
  <si>
    <t>EAS-LCP</t>
  </si>
  <si>
    <t>LCP-SOU</t>
  </si>
  <si>
    <t>DPH-LCP</t>
  </si>
  <si>
    <t>LCP-ZPI</t>
  </si>
  <si>
    <t>LCP-SEA</t>
  </si>
  <si>
    <t>LCP-WEP</t>
  </si>
  <si>
    <t>LCP-SPA</t>
  </si>
  <si>
    <t>LCP-TPI</t>
  </si>
  <si>
    <t>LCP-SOF</t>
  </si>
  <si>
    <t>D7-LCP</t>
  </si>
  <si>
    <t>DFLP-LCP</t>
  </si>
  <si>
    <t>0-LCP</t>
  </si>
  <si>
    <t>LOM-SCL</t>
  </si>
  <si>
    <t>LOM-SG2</t>
  </si>
  <si>
    <t>FFC-LOM</t>
  </si>
  <si>
    <t>HN2-LOM</t>
  </si>
  <si>
    <t>DF2-LOM</t>
  </si>
  <si>
    <t>LOM-SRE</t>
  </si>
  <si>
    <t>LOM-REM</t>
  </si>
  <si>
    <t>FRM-LOM</t>
  </si>
  <si>
    <t>D7R-LOM</t>
  </si>
  <si>
    <t>CDP-LOM</t>
  </si>
  <si>
    <t>LOM-SC2</t>
  </si>
  <si>
    <t>LOM-NEW</t>
  </si>
  <si>
    <t>LOM-NES</t>
  </si>
  <si>
    <t>LOM-LPI</t>
  </si>
  <si>
    <t>GPI-LOM</t>
  </si>
  <si>
    <t>DEL-LOM</t>
  </si>
  <si>
    <t>GRI-LOM</t>
  </si>
  <si>
    <t>LOM-PUR</t>
  </si>
  <si>
    <t>LOM-VAL</t>
  </si>
  <si>
    <t>FIR-LOM</t>
  </si>
  <si>
    <t>GST-LOM</t>
  </si>
  <si>
    <t>HDN-LOM</t>
  </si>
  <si>
    <t>LOM-OVA</t>
  </si>
  <si>
    <t>LOM-WOO</t>
  </si>
  <si>
    <t>LOM-SPI</t>
  </si>
  <si>
    <t>LOM-NET</t>
  </si>
  <si>
    <t>LOM-LOM</t>
  </si>
  <si>
    <t>AKS-LOM</t>
  </si>
  <si>
    <t>LOM-MAR</t>
  </si>
  <si>
    <t>LOM-STO</t>
  </si>
  <si>
    <t>LOM-VEN</t>
  </si>
  <si>
    <t>LOM-SAT</t>
  </si>
  <si>
    <t>LOM-NEP</t>
  </si>
  <si>
    <t>LOM-WES</t>
  </si>
  <si>
    <t>LOM-NOR</t>
  </si>
  <si>
    <t>EAS-LOM</t>
  </si>
  <si>
    <t>LOM-SOU</t>
  </si>
  <si>
    <t>DPH-LOM</t>
  </si>
  <si>
    <t>LOM-ZPI</t>
  </si>
  <si>
    <t>LOM-SEA</t>
  </si>
  <si>
    <t>LOM-WEP</t>
  </si>
  <si>
    <t>LOM-SPA</t>
  </si>
  <si>
    <t>LOM-TPI</t>
  </si>
  <si>
    <t>LOM-SOF</t>
  </si>
  <si>
    <t>D7-LOM</t>
  </si>
  <si>
    <t>DFLP-LOM</t>
  </si>
  <si>
    <t>0-LOM</t>
  </si>
  <si>
    <t>LPI-SCL</t>
  </si>
  <si>
    <t>LPI-SG2</t>
  </si>
  <si>
    <t>FFC-LPI</t>
  </si>
  <si>
    <t>HN2-LPI</t>
  </si>
  <si>
    <t>DF2-LPI</t>
  </si>
  <si>
    <t>LPI-SRE</t>
  </si>
  <si>
    <t>LPI-REM</t>
  </si>
  <si>
    <t>FRM-LPI</t>
  </si>
  <si>
    <t>CDP-LPI</t>
  </si>
  <si>
    <t>LPI-SC2</t>
  </si>
  <si>
    <t>LPI-NEW</t>
  </si>
  <si>
    <t>LPI-NES</t>
  </si>
  <si>
    <t>LPI-LPI</t>
  </si>
  <si>
    <t>DEL-LPI</t>
  </si>
  <si>
    <t>GRI-LPI</t>
  </si>
  <si>
    <t>LPI-PUR</t>
  </si>
  <si>
    <t>LPI-VAL</t>
  </si>
  <si>
    <t>FIR-LPI</t>
  </si>
  <si>
    <t>GST-LPI</t>
  </si>
  <si>
    <t>HDN-LPI</t>
  </si>
  <si>
    <t>LPI-OVA</t>
  </si>
  <si>
    <t>LPI-WOO</t>
  </si>
  <si>
    <t>LPI-SPI</t>
  </si>
  <si>
    <t>LPI-NET</t>
  </si>
  <si>
    <t>LPI-SEK</t>
  </si>
  <si>
    <t>AKS-LPI</t>
  </si>
  <si>
    <t>LPI-MAR</t>
  </si>
  <si>
    <t>LPI-WIL</t>
  </si>
  <si>
    <t>LPI-STO</t>
  </si>
  <si>
    <t>LPI-VEN</t>
  </si>
  <si>
    <t>LPI-SAT</t>
  </si>
  <si>
    <t>LPI-NEP</t>
  </si>
  <si>
    <t>LPI-WES</t>
  </si>
  <si>
    <t>LPI-NOR</t>
  </si>
  <si>
    <t>EAS-LPI</t>
  </si>
  <si>
    <t>LPI-SOU</t>
  </si>
  <si>
    <t>DPH-LPI</t>
  </si>
  <si>
    <t>LPI-ZPI</t>
  </si>
  <si>
    <t>LPI-SEA</t>
  </si>
  <si>
    <t>LPI-WEP</t>
  </si>
  <si>
    <t>LPI-SPA</t>
  </si>
  <si>
    <t>LPI-TPI</t>
  </si>
  <si>
    <t>LPI-SOF</t>
  </si>
  <si>
    <t>D7-LPI</t>
  </si>
  <si>
    <t>DFLP-LPI</t>
  </si>
  <si>
    <t>0-LPI</t>
  </si>
  <si>
    <t>MAR-SCL</t>
  </si>
  <si>
    <t>MAR-SG2</t>
  </si>
  <si>
    <t>FFC-MAR</t>
  </si>
  <si>
    <t>HN2-MAR</t>
  </si>
  <si>
    <t>DF2-MAR</t>
  </si>
  <si>
    <t>MAR-SRE</t>
  </si>
  <si>
    <t>MAR-REM</t>
  </si>
  <si>
    <t>FRM-MAR</t>
  </si>
  <si>
    <t>D7R-MAR</t>
  </si>
  <si>
    <t>CDP-MAR</t>
  </si>
  <si>
    <t>MAR-SC2</t>
  </si>
  <si>
    <t>MAR-NEW</t>
  </si>
  <si>
    <t>MAR-NES</t>
  </si>
  <si>
    <t>GPI-MAR</t>
  </si>
  <si>
    <t>DEL-MAR</t>
  </si>
  <si>
    <t>GRI-MAR</t>
  </si>
  <si>
    <t>MAR-PUR</t>
  </si>
  <si>
    <t>MAR-VAL</t>
  </si>
  <si>
    <t>FIR-MAR</t>
  </si>
  <si>
    <t>GST-MAR</t>
  </si>
  <si>
    <t>HDN-MAR</t>
  </si>
  <si>
    <t>MAR-OVA</t>
  </si>
  <si>
    <t>MAR-WOO</t>
  </si>
  <si>
    <t>MAR-SPI</t>
  </si>
  <si>
    <t>MAR-NET</t>
  </si>
  <si>
    <t>MAR-SEK</t>
  </si>
  <si>
    <t>AKS-MAR</t>
  </si>
  <si>
    <t>MAR-MAR</t>
  </si>
  <si>
    <t>MAR-WIL</t>
  </si>
  <si>
    <t>MAR-STO</t>
  </si>
  <si>
    <t>MAR-VEN</t>
  </si>
  <si>
    <t>MAR-SAT</t>
  </si>
  <si>
    <t>MAR-NEP</t>
  </si>
  <si>
    <t>MAR-WES</t>
  </si>
  <si>
    <t>MAR-NOR</t>
  </si>
  <si>
    <t>EAS-MAR</t>
  </si>
  <si>
    <t>DPH-MAR</t>
  </si>
  <si>
    <t>MAR-ZPI</t>
  </si>
  <si>
    <t>MAR-SEA</t>
  </si>
  <si>
    <t>MAR-WEP</t>
  </si>
  <si>
    <t>MAR-SPA</t>
  </si>
  <si>
    <t>MAR-TPI</t>
  </si>
  <si>
    <t>MAR-SOF</t>
  </si>
  <si>
    <t>D7-MAR</t>
  </si>
  <si>
    <t>DFLP-MAR</t>
  </si>
  <si>
    <t>0-MAR</t>
  </si>
  <si>
    <t>NEP-SCL</t>
  </si>
  <si>
    <t>NEP-SG2</t>
  </si>
  <si>
    <t>FFC-NEP</t>
  </si>
  <si>
    <t>HN2-NEP</t>
  </si>
  <si>
    <t>DF2-NEP</t>
  </si>
  <si>
    <t>NEP-SRE</t>
  </si>
  <si>
    <t>NEP-REM</t>
  </si>
  <si>
    <t>FRM-NEP</t>
  </si>
  <si>
    <t>D7R-NEP</t>
  </si>
  <si>
    <t>CDP-NEP</t>
  </si>
  <si>
    <t>NEP-SC2</t>
  </si>
  <si>
    <t>NEP-NEW</t>
  </si>
  <si>
    <t>NEP-NES</t>
  </si>
  <si>
    <t>GPI-NEP</t>
  </si>
  <si>
    <t>DEL-NEP</t>
  </si>
  <si>
    <t>GRI-NEP</t>
  </si>
  <si>
    <t>NEP-PUR</t>
  </si>
  <si>
    <t>NEP-VAL</t>
  </si>
  <si>
    <t>GST-NEP</t>
  </si>
  <si>
    <t>HDN-NEP</t>
  </si>
  <si>
    <t>NEP-OVA</t>
  </si>
  <si>
    <t>NEP-WOO</t>
  </si>
  <si>
    <t>NEP-SPI</t>
  </si>
  <si>
    <t>NEP-NET</t>
  </si>
  <si>
    <t>NEP-SEK</t>
  </si>
  <si>
    <t>NEP-WIL</t>
  </si>
  <si>
    <t>NEP-VEN</t>
  </si>
  <si>
    <t>NEP-SAT</t>
  </si>
  <si>
    <t>NEP-NEP</t>
  </si>
  <si>
    <t>NEP-WES</t>
  </si>
  <si>
    <t>NEP-NOR</t>
  </si>
  <si>
    <t>NEP-SOU</t>
  </si>
  <si>
    <t>DPH-NEP</t>
  </si>
  <si>
    <t>NEP-ZPI</t>
  </si>
  <si>
    <t>NEP-SEA</t>
  </si>
  <si>
    <t>NEP-WEP</t>
  </si>
  <si>
    <t>NEP-SPA</t>
  </si>
  <si>
    <t>NEP-TPI</t>
  </si>
  <si>
    <t>NEP-SOF</t>
  </si>
  <si>
    <t>D7-NEP</t>
  </si>
  <si>
    <t>DFLP-NEP</t>
  </si>
  <si>
    <t>0-NEP</t>
  </si>
  <si>
    <t>NET-SCL</t>
  </si>
  <si>
    <t>NET-SG2</t>
  </si>
  <si>
    <t>FFC-NET</t>
  </si>
  <si>
    <t>HN2-NET</t>
  </si>
  <si>
    <t>DF2-NET</t>
  </si>
  <si>
    <t>NET-SRE</t>
  </si>
  <si>
    <t>NET-REM</t>
  </si>
  <si>
    <t>FRM-NET</t>
  </si>
  <si>
    <t>CDP-NET</t>
  </si>
  <si>
    <t>NET-SC2</t>
  </si>
  <si>
    <t>NES-NET</t>
  </si>
  <si>
    <t>GPI-NET</t>
  </si>
  <si>
    <t>DEL-NET</t>
  </si>
  <si>
    <t>GRI-NET</t>
  </si>
  <si>
    <t>NET-PUR</t>
  </si>
  <si>
    <t>NET-VAL</t>
  </si>
  <si>
    <t>FIR-NET</t>
  </si>
  <si>
    <t>GST-NET</t>
  </si>
  <si>
    <t>HDN-NET</t>
  </si>
  <si>
    <t>NET-OVA</t>
  </si>
  <si>
    <t>NET-WOO</t>
  </si>
  <si>
    <t>NET-SPI</t>
  </si>
  <si>
    <t>NET-NET</t>
  </si>
  <si>
    <t>AKS-NET</t>
  </si>
  <si>
    <t>NET-WIL</t>
  </si>
  <si>
    <t>NET-STO</t>
  </si>
  <si>
    <t>NET-VEN</t>
  </si>
  <si>
    <t>NET-WES</t>
  </si>
  <si>
    <t>NET-NOR</t>
  </si>
  <si>
    <t>EAS-NET</t>
  </si>
  <si>
    <t>NET-SOU</t>
  </si>
  <si>
    <t>DPH-NET</t>
  </si>
  <si>
    <t>NET-ZPI</t>
  </si>
  <si>
    <t>NET-SEA</t>
  </si>
  <si>
    <t>NET-WEP</t>
  </si>
  <si>
    <t>NET-SPA</t>
  </si>
  <si>
    <t>NET-TPI</t>
  </si>
  <si>
    <t>NET-SOF</t>
  </si>
  <si>
    <t>D7-NET</t>
  </si>
  <si>
    <t>DFLP-NET</t>
  </si>
  <si>
    <t>0-NET</t>
  </si>
  <si>
    <t>NEW-SCL</t>
  </si>
  <si>
    <t>NEW-SG2</t>
  </si>
  <si>
    <t>FFC-NEW</t>
  </si>
  <si>
    <t>HN2-NEW</t>
  </si>
  <si>
    <t>DF2-NEW</t>
  </si>
  <si>
    <t>NEW-SRE</t>
  </si>
  <si>
    <t>NEW-REM</t>
  </si>
  <si>
    <t>FRM-NEW</t>
  </si>
  <si>
    <t>D7R-NEW</t>
  </si>
  <si>
    <t>CDP-NEW</t>
  </si>
  <si>
    <t>NEW-SC2</t>
  </si>
  <si>
    <t>NEW-NEW</t>
  </si>
  <si>
    <t>NES-NEW</t>
  </si>
  <si>
    <t>DEL-NEW</t>
  </si>
  <si>
    <t>GRI-NEW</t>
  </si>
  <si>
    <t>NEW-VAL</t>
  </si>
  <si>
    <t>FIR-NEW</t>
  </si>
  <si>
    <t>GST-NEW</t>
  </si>
  <si>
    <t>HDN-NEW</t>
  </si>
  <si>
    <t>NEW-OVA</t>
  </si>
  <si>
    <t>NEW-WOO</t>
  </si>
  <si>
    <t>NEW-SPI</t>
  </si>
  <si>
    <t>NEW-SEK</t>
  </si>
  <si>
    <t>AKS-NEW</t>
  </si>
  <si>
    <t>NEW-WIL</t>
  </si>
  <si>
    <t>NEW-STO</t>
  </si>
  <si>
    <t>NEW-VEN</t>
  </si>
  <si>
    <t>NEW-SAT</t>
  </si>
  <si>
    <t>NEW-WES</t>
  </si>
  <si>
    <t>NEW-NOR</t>
  </si>
  <si>
    <t>EAS-NEW</t>
  </si>
  <si>
    <t>NEW-SOU</t>
  </si>
  <si>
    <t>DPH-NEW</t>
  </si>
  <si>
    <t>NEW-ZPI</t>
  </si>
  <si>
    <t>NEW-SEA</t>
  </si>
  <si>
    <t>NEW-WEP</t>
  </si>
  <si>
    <t>NEW-SPA</t>
  </si>
  <si>
    <t>NEW-TPI</t>
  </si>
  <si>
    <t>NEW-SOF</t>
  </si>
  <si>
    <t>D7-NEW</t>
  </si>
  <si>
    <t>DFLP-NEW</t>
  </si>
  <si>
    <t>0-NEW</t>
  </si>
  <si>
    <t>OVA-SCL</t>
  </si>
  <si>
    <t>OVA-SG2</t>
  </si>
  <si>
    <t>FFC-OVA</t>
  </si>
  <si>
    <t>HN2-OVA</t>
  </si>
  <si>
    <t>DF2-OVA</t>
  </si>
  <si>
    <t>OVA-SRE</t>
  </si>
  <si>
    <t>OVA-REM</t>
  </si>
  <si>
    <t>FRM-OVA</t>
  </si>
  <si>
    <t>CDP-OVA</t>
  </si>
  <si>
    <t>OVA-SC2</t>
  </si>
  <si>
    <t>NES-OVA</t>
  </si>
  <si>
    <t>GPI-OVA</t>
  </si>
  <si>
    <t>DEL-OVA</t>
  </si>
  <si>
    <t>GRI-OVA</t>
  </si>
  <si>
    <t>OVA-PUR</t>
  </si>
  <si>
    <t>OVA-VAL</t>
  </si>
  <si>
    <t>FIR-OVA</t>
  </si>
  <si>
    <t>GST-OVA</t>
  </si>
  <si>
    <t>OVA-OVA</t>
  </si>
  <si>
    <t>OVA-WOO</t>
  </si>
  <si>
    <t>OVA-SPI</t>
  </si>
  <si>
    <t>OVA-SEK</t>
  </si>
  <si>
    <t>AKS-OVA</t>
  </si>
  <si>
    <t>OVA-WIL</t>
  </si>
  <si>
    <t>OVA-VEN</t>
  </si>
  <si>
    <t>OVA-SAT</t>
  </si>
  <si>
    <t>OVA-WES</t>
  </si>
  <si>
    <t>NOR-OVA</t>
  </si>
  <si>
    <t>EAS-OVA</t>
  </si>
  <si>
    <t>OVA-SOU</t>
  </si>
  <si>
    <t>DPH-OVA</t>
  </si>
  <si>
    <t>OVA-ZPI</t>
  </si>
  <si>
    <t>OVA-SEA</t>
  </si>
  <si>
    <t>OVA-WEP</t>
  </si>
  <si>
    <t>OVA-SPA</t>
  </si>
  <si>
    <t>OVA-TPI</t>
  </si>
  <si>
    <t>OVA-SOF</t>
  </si>
  <si>
    <t>D7-OVA</t>
  </si>
  <si>
    <t>DFLP-OVA</t>
  </si>
  <si>
    <t>0-OVA</t>
  </si>
  <si>
    <t>PGP-SCL</t>
  </si>
  <si>
    <t>PGP-SG2</t>
  </si>
  <si>
    <t>FFC-PGP</t>
  </si>
  <si>
    <t>HN2-PGP</t>
  </si>
  <si>
    <t>DF2-PGP</t>
  </si>
  <si>
    <t>PGP-SRE</t>
  </si>
  <si>
    <t>PGP-REM</t>
  </si>
  <si>
    <t>FRM-PGP</t>
  </si>
  <si>
    <t>D7R-PGP</t>
  </si>
  <si>
    <t>CDP-PGP</t>
  </si>
  <si>
    <t>PGP-SIL</t>
  </si>
  <si>
    <t>PGP-SC2</t>
  </si>
  <si>
    <t>CRE-PGP</t>
  </si>
  <si>
    <t>CHA-PGP</t>
  </si>
  <si>
    <t>DIA-PGP</t>
  </si>
  <si>
    <t>EAG-PGP</t>
  </si>
  <si>
    <t>NEW-PGP</t>
  </si>
  <si>
    <t>NES-PGP</t>
  </si>
  <si>
    <t>LPI-PGP</t>
  </si>
  <si>
    <t>GPI-PGP</t>
  </si>
  <si>
    <t>ALP-PGP</t>
  </si>
  <si>
    <t>BET-PGP</t>
  </si>
  <si>
    <t>DEL-PGP</t>
  </si>
  <si>
    <t>DOL-PGP</t>
  </si>
  <si>
    <t>GRI-PGP</t>
  </si>
  <si>
    <t>PGP-PUR</t>
  </si>
  <si>
    <t>PGP-VAL</t>
  </si>
  <si>
    <t>AKG-PGP</t>
  </si>
  <si>
    <t>FIR-PGP</t>
  </si>
  <si>
    <t>GST-PGP</t>
  </si>
  <si>
    <t>HDN-PGP</t>
  </si>
  <si>
    <t>OVA-PGP</t>
  </si>
  <si>
    <t>PGP-WOO</t>
  </si>
  <si>
    <t>PGP-SPI</t>
  </si>
  <si>
    <t>NET-PGP</t>
  </si>
  <si>
    <t>DPI-PGP</t>
  </si>
  <si>
    <t>PGP-SEK</t>
  </si>
  <si>
    <t>CPI-PGP</t>
  </si>
  <si>
    <t>LOM-PGP</t>
  </si>
  <si>
    <t>AKS-PGP</t>
  </si>
  <si>
    <t>MAR-PGP</t>
  </si>
  <si>
    <t>PGP-WIL</t>
  </si>
  <si>
    <t>PGP-STO</t>
  </si>
  <si>
    <t>ANG-PGP</t>
  </si>
  <si>
    <t>BRU-PGP</t>
  </si>
  <si>
    <t>PGP-VEN</t>
  </si>
  <si>
    <t>PGP-SAT</t>
  </si>
  <si>
    <t>NEP-PGP</t>
  </si>
  <si>
    <t>JUP-PGP</t>
  </si>
  <si>
    <t>PGP-WES</t>
  </si>
  <si>
    <t>LCP-PGP</t>
  </si>
  <si>
    <t>NOR-PGP</t>
  </si>
  <si>
    <t>EAS-PGP</t>
  </si>
  <si>
    <t>GRA-PGP</t>
  </si>
  <si>
    <t>PGP-SOU</t>
  </si>
  <si>
    <t>API-PGP</t>
  </si>
  <si>
    <t>DPH-PGP</t>
  </si>
  <si>
    <t>PGP-ZPI</t>
  </si>
  <si>
    <t>EAM-PGP</t>
  </si>
  <si>
    <t>PGP-SEA</t>
  </si>
  <si>
    <t>EAL-PGP</t>
  </si>
  <si>
    <t>PGP-WEP</t>
  </si>
  <si>
    <t>KLP-PGP</t>
  </si>
  <si>
    <t>AKC-PGP</t>
  </si>
  <si>
    <t>AKA-PGP</t>
  </si>
  <si>
    <t>PGP-SPA</t>
  </si>
  <si>
    <t>DPM-PGP</t>
  </si>
  <si>
    <t>HDM-PGP</t>
  </si>
  <si>
    <t>PGP-TPI</t>
  </si>
  <si>
    <t>GSM-PGP</t>
  </si>
  <si>
    <t>PGP-SOF</t>
  </si>
  <si>
    <t>D7-PGP</t>
  </si>
  <si>
    <t>DFLP-PGP</t>
  </si>
  <si>
    <t>0-PGP</t>
  </si>
  <si>
    <t>PUR-SCL</t>
  </si>
  <si>
    <t>PUR-SG2</t>
  </si>
  <si>
    <t>FFC-PUR</t>
  </si>
  <si>
    <t>HN2-PUR</t>
  </si>
  <si>
    <t>DF2-PUR</t>
  </si>
  <si>
    <t>PUR-SRE</t>
  </si>
  <si>
    <t>PUR-REM</t>
  </si>
  <si>
    <t>FRM-PUR</t>
  </si>
  <si>
    <t>D7R-PUR</t>
  </si>
  <si>
    <t>CDP-PUR</t>
  </si>
  <si>
    <t>PUR-SC2</t>
  </si>
  <si>
    <t>NES-PUR</t>
  </si>
  <si>
    <t>GPI-PUR</t>
  </si>
  <si>
    <t>DEL-PUR</t>
  </si>
  <si>
    <t>GRI-PUR</t>
  </si>
  <si>
    <t>PUR-PUR</t>
  </si>
  <si>
    <t>PUR-VAL</t>
  </si>
  <si>
    <t>FIR-PUR</t>
  </si>
  <si>
    <t>GST-PUR</t>
  </si>
  <si>
    <t>PUR-WOO</t>
  </si>
  <si>
    <t>PUR-SPI</t>
  </si>
  <si>
    <t>PUR-SEK</t>
  </si>
  <si>
    <t>AKS-PUR</t>
  </si>
  <si>
    <t>PUR-WIL</t>
  </si>
  <si>
    <t>PUR-VEN</t>
  </si>
  <si>
    <t>PUR-SAT</t>
  </si>
  <si>
    <t>PUR-WES</t>
  </si>
  <si>
    <t>NOR-PUR</t>
  </si>
  <si>
    <t>EAS-PUR</t>
  </si>
  <si>
    <t>PUR-SOU</t>
  </si>
  <si>
    <t>DPH-PUR</t>
  </si>
  <si>
    <t>PUR-ZPI</t>
  </si>
  <si>
    <t>PUR-SEA</t>
  </si>
  <si>
    <t>PUR-WEP</t>
  </si>
  <si>
    <t>PUR-SPA</t>
  </si>
  <si>
    <t>PUR-TPI</t>
  </si>
  <si>
    <t>PUR-SOF</t>
  </si>
  <si>
    <t>D7-PUR</t>
  </si>
  <si>
    <t>DFLP-PUR</t>
  </si>
  <si>
    <t>0-PUR</t>
  </si>
  <si>
    <t>SCL-SEA</t>
  </si>
  <si>
    <t>SEA-SG2</t>
  </si>
  <si>
    <t>FFC-SEA</t>
  </si>
  <si>
    <t>HN2-SEA</t>
  </si>
  <si>
    <t>DF2-SEA</t>
  </si>
  <si>
    <t>SEA-SRE</t>
  </si>
  <si>
    <t>REM-SEA</t>
  </si>
  <si>
    <t>FRM-SEA</t>
  </si>
  <si>
    <t>D7R-SEA</t>
  </si>
  <si>
    <t>CDP-SEA</t>
  </si>
  <si>
    <t>SC2-SEA</t>
  </si>
  <si>
    <t>NES-SEA</t>
  </si>
  <si>
    <t>GPI-SEA</t>
  </si>
  <si>
    <t>DEL-SEA</t>
  </si>
  <si>
    <t>GRI-SEA</t>
  </si>
  <si>
    <t>SEA-VAL</t>
  </si>
  <si>
    <t>FIR-SEA</t>
  </si>
  <si>
    <t>GST-SEA</t>
  </si>
  <si>
    <t>HDN-SEA</t>
  </si>
  <si>
    <t>SEA-WOO</t>
  </si>
  <si>
    <t>SEA-SPI</t>
  </si>
  <si>
    <t>SEA-SEK</t>
  </si>
  <si>
    <t>AKS-SEA</t>
  </si>
  <si>
    <t>SEA-WIL</t>
  </si>
  <si>
    <t>SEA-STO</t>
  </si>
  <si>
    <t>SEA-VEN</t>
  </si>
  <si>
    <t>SAT-SEA</t>
  </si>
  <si>
    <t>SEA-WES</t>
  </si>
  <si>
    <t>NOR-SEA</t>
  </si>
  <si>
    <t>EAS-SEA</t>
  </si>
  <si>
    <t>SEA-SOU</t>
  </si>
  <si>
    <t>DPH-SEA</t>
  </si>
  <si>
    <t>SEA-ZPI</t>
  </si>
  <si>
    <t>SEA-SEA</t>
  </si>
  <si>
    <t>SEA-WEP</t>
  </si>
  <si>
    <t>SEA-SPA</t>
  </si>
  <si>
    <t>SEA-TPI</t>
  </si>
  <si>
    <t>SEA-SOF</t>
  </si>
  <si>
    <t>D7-SEA</t>
  </si>
  <si>
    <t>DFLP-SEA</t>
  </si>
  <si>
    <t>0-SEA</t>
  </si>
  <si>
    <t>SCL-SEK</t>
  </si>
  <si>
    <t>SEK-SG2</t>
  </si>
  <si>
    <t>FFC-SEK</t>
  </si>
  <si>
    <t>HN2-SEK</t>
  </si>
  <si>
    <t>DF2-SEK</t>
  </si>
  <si>
    <t>SEK-SRE</t>
  </si>
  <si>
    <t>REM-SEK</t>
  </si>
  <si>
    <t>FRM-SEK</t>
  </si>
  <si>
    <t>D7R-SEK</t>
  </si>
  <si>
    <t>CDP-SEK</t>
  </si>
  <si>
    <t>SC2-SEK</t>
  </si>
  <si>
    <t>NES-SEK</t>
  </si>
  <si>
    <t>GPI-SEK</t>
  </si>
  <si>
    <t>DEL-SEK</t>
  </si>
  <si>
    <t>GRI-SEK</t>
  </si>
  <si>
    <t>SEK-VAL</t>
  </si>
  <si>
    <t>FIR-SEK</t>
  </si>
  <si>
    <t>GST-SEK</t>
  </si>
  <si>
    <t>HDN-SEK</t>
  </si>
  <si>
    <t>SEK-WOO</t>
  </si>
  <si>
    <t>SEK-SPI</t>
  </si>
  <si>
    <t>SEK-SEK</t>
  </si>
  <si>
    <t>AKS-SEK</t>
  </si>
  <si>
    <t>SEK-WIL</t>
  </si>
  <si>
    <t>SEK-VEN</t>
  </si>
  <si>
    <t>SAT-SEK</t>
  </si>
  <si>
    <t>SEK-WES</t>
  </si>
  <si>
    <t>NOR-SEK</t>
  </si>
  <si>
    <t>EAS-SEK</t>
  </si>
  <si>
    <t>SEK-SOU</t>
  </si>
  <si>
    <t>DPH-SEK</t>
  </si>
  <si>
    <t>SEK-ZPI</t>
  </si>
  <si>
    <t>SEK-WEP</t>
  </si>
  <si>
    <t>SEK-SPA</t>
  </si>
  <si>
    <t>SEK-TPI</t>
  </si>
  <si>
    <t>SEK-SOF</t>
  </si>
  <si>
    <t>D7-SEK</t>
  </si>
  <si>
    <t>DFLP-SEK</t>
  </si>
  <si>
    <t>0-SEK</t>
  </si>
  <si>
    <t>SG2-SIL</t>
  </si>
  <si>
    <t>FFC-SIL</t>
  </si>
  <si>
    <t>HN2-SIL</t>
  </si>
  <si>
    <t>DF2-SIL</t>
  </si>
  <si>
    <t>SIL-SRE</t>
  </si>
  <si>
    <t>REM-SIL</t>
  </si>
  <si>
    <t>FRM-SIL</t>
  </si>
  <si>
    <t>CDP-SIL</t>
  </si>
  <si>
    <t>SIL-SIL</t>
  </si>
  <si>
    <t>SC2-SIL</t>
  </si>
  <si>
    <t>NOR-SIL</t>
  </si>
  <si>
    <t>SIL-SOU</t>
  </si>
  <si>
    <t>SIL-WEP</t>
  </si>
  <si>
    <t>D7-SIL</t>
  </si>
  <si>
    <t>DFLP-SIL</t>
  </si>
  <si>
    <t>0-SIL</t>
  </si>
  <si>
    <t>SCL-SOF</t>
  </si>
  <si>
    <t>SG2-SOF</t>
  </si>
  <si>
    <t>FFC-SOF</t>
  </si>
  <si>
    <t>HN2-SOF</t>
  </si>
  <si>
    <t>DF2-SOF</t>
  </si>
  <si>
    <t>SOF-SRE</t>
  </si>
  <si>
    <t>REM-SOF</t>
  </si>
  <si>
    <t>FRM-SOF</t>
  </si>
  <si>
    <t>D7R-SOF</t>
  </si>
  <si>
    <t>CDP-SOF</t>
  </si>
  <si>
    <t>NES-SOF</t>
  </si>
  <si>
    <t>GPI-SOF</t>
  </si>
  <si>
    <t>DEL-SOF</t>
  </si>
  <si>
    <t>GRI-SOF</t>
  </si>
  <si>
    <t>SOF-VAL</t>
  </si>
  <si>
    <t>FIR-SOF</t>
  </si>
  <si>
    <t>GST-SOF</t>
  </si>
  <si>
    <t>HDN-SOF</t>
  </si>
  <si>
    <t>SOF-WOO</t>
  </si>
  <si>
    <t>AKS-SOF</t>
  </si>
  <si>
    <t>SOF-WIL</t>
  </si>
  <si>
    <t>SOF-STO</t>
  </si>
  <si>
    <t>SOF-VEN</t>
  </si>
  <si>
    <t>SAT-SOF</t>
  </si>
  <si>
    <t>SOF-WES</t>
  </si>
  <si>
    <t>NOR-SOF</t>
  </si>
  <si>
    <t>EAS-SOF</t>
  </si>
  <si>
    <t>SOF-SOU</t>
  </si>
  <si>
    <t>DPH-SOF</t>
  </si>
  <si>
    <t>SOF-ZPI</t>
  </si>
  <si>
    <t>SOF-WEP</t>
  </si>
  <si>
    <t>SOF-SPA</t>
  </si>
  <si>
    <t>SOF-TPI</t>
  </si>
  <si>
    <t>SOF-SOF</t>
  </si>
  <si>
    <t>D7-SOF</t>
  </si>
  <si>
    <t>DFLP-SOF</t>
  </si>
  <si>
    <t>0-SOF</t>
  </si>
  <si>
    <t>SCL-SOU</t>
  </si>
  <si>
    <t>SG2-SOU</t>
  </si>
  <si>
    <t>FFC-SOU</t>
  </si>
  <si>
    <t>HN2-SOU</t>
  </si>
  <si>
    <t>DF2-SOU</t>
  </si>
  <si>
    <t>SOU-SRE</t>
  </si>
  <si>
    <t>REM-SOU</t>
  </si>
  <si>
    <t>FRM-SOU</t>
  </si>
  <si>
    <t>D7R-SOU</t>
  </si>
  <si>
    <t>CDP-SOU</t>
  </si>
  <si>
    <t>SC2-SOU</t>
  </si>
  <si>
    <t>NES-SOU</t>
  </si>
  <si>
    <t>GPI-SOU</t>
  </si>
  <si>
    <t>DEL-SOU</t>
  </si>
  <si>
    <t>GRI-SOU</t>
  </si>
  <si>
    <t>SOU-VAL</t>
  </si>
  <si>
    <t>FIR-SOU</t>
  </si>
  <si>
    <t>GST-SOU</t>
  </si>
  <si>
    <t>HDN-SOU</t>
  </si>
  <si>
    <t>SOU-WOO</t>
  </si>
  <si>
    <t>SOU-SPI</t>
  </si>
  <si>
    <t>AKS-SOU</t>
  </si>
  <si>
    <t>SOU-WIL</t>
  </si>
  <si>
    <t>SOU-STO</t>
  </si>
  <si>
    <t>SOU-VEN</t>
  </si>
  <si>
    <t>SAT-SOU</t>
  </si>
  <si>
    <t>SOU-WES</t>
  </si>
  <si>
    <t>NOR-SOU</t>
  </si>
  <si>
    <t>EAS-SOU</t>
  </si>
  <si>
    <t>SOU-SOU</t>
  </si>
  <si>
    <t>DPH-SOU</t>
  </si>
  <si>
    <t>SOU-ZPI</t>
  </si>
  <si>
    <t>SOU-WEP</t>
  </si>
  <si>
    <t>SOU-SPA</t>
  </si>
  <si>
    <t>SOU-TPI</t>
  </si>
  <si>
    <t>D7-SOU</t>
  </si>
  <si>
    <t>DFLP-SOU</t>
  </si>
  <si>
    <t>0-SOU</t>
  </si>
  <si>
    <t>SCL-SPA</t>
  </si>
  <si>
    <t>SG2-SPA</t>
  </si>
  <si>
    <t>FFC-SPA</t>
  </si>
  <si>
    <t>HN2-SPA</t>
  </si>
  <si>
    <t>DF2-SPA</t>
  </si>
  <si>
    <t>SPA-SRE</t>
  </si>
  <si>
    <t>REM-SPA</t>
  </si>
  <si>
    <t>FRM-SPA</t>
  </si>
  <si>
    <t>D7R-SPA</t>
  </si>
  <si>
    <t>CDP-SPA</t>
  </si>
  <si>
    <t>SC2-SPA</t>
  </si>
  <si>
    <t>NES-SPA</t>
  </si>
  <si>
    <t>GPI-SPA</t>
  </si>
  <si>
    <t>DEL-SPA</t>
  </si>
  <si>
    <t>GRI-SPA</t>
  </si>
  <si>
    <t>SPA-VAL</t>
  </si>
  <si>
    <t>FIR-SPA</t>
  </si>
  <si>
    <t>GST-SPA</t>
  </si>
  <si>
    <t>HDN-SPA</t>
  </si>
  <si>
    <t>SPA-WOO</t>
  </si>
  <si>
    <t>AKS-SPA</t>
  </si>
  <si>
    <t>SPA-WIL</t>
  </si>
  <si>
    <t>SPA-STO</t>
  </si>
  <si>
    <t>SPA-VEN</t>
  </si>
  <si>
    <t>SAT-SPA</t>
  </si>
  <si>
    <t>SPA-WES</t>
  </si>
  <si>
    <t>NOR-SPA</t>
  </si>
  <si>
    <t>EAS-SPA</t>
  </si>
  <si>
    <t>DPH-SPA</t>
  </si>
  <si>
    <t>SPA-ZPI</t>
  </si>
  <si>
    <t>SPA-WEP</t>
  </si>
  <si>
    <t>SPA-SPA</t>
  </si>
  <si>
    <t>SPA-TPI</t>
  </si>
  <si>
    <t>D7-SPA</t>
  </si>
  <si>
    <t>DFLP-SPA</t>
  </si>
  <si>
    <t>0-SPA</t>
  </si>
  <si>
    <t>SCL-STO</t>
  </si>
  <si>
    <t>SG2-STO</t>
  </si>
  <si>
    <t>FFC-STO</t>
  </si>
  <si>
    <t>HN2-STO</t>
  </si>
  <si>
    <t>DF2-STO</t>
  </si>
  <si>
    <t>SRE-STO</t>
  </si>
  <si>
    <t>REM-STO</t>
  </si>
  <si>
    <t>FRM-STO</t>
  </si>
  <si>
    <t>D7R-STO</t>
  </si>
  <si>
    <t>CDP-STO</t>
  </si>
  <si>
    <t>SC2-STO</t>
  </si>
  <si>
    <t>NES-STO</t>
  </si>
  <si>
    <t>GPI-STO</t>
  </si>
  <si>
    <t>DEL-STO</t>
  </si>
  <si>
    <t>GRI-STO</t>
  </si>
  <si>
    <t>STO-VAL</t>
  </si>
  <si>
    <t>FIR-STO</t>
  </si>
  <si>
    <t>GST-STO</t>
  </si>
  <si>
    <t>STO-WOO</t>
  </si>
  <si>
    <t>SPI-STO</t>
  </si>
  <si>
    <t>STO-WIL</t>
  </si>
  <si>
    <t>STO-STO</t>
  </si>
  <si>
    <t>STO-WES</t>
  </si>
  <si>
    <t>NOR-STO</t>
  </si>
  <si>
    <t>EAS-STO</t>
  </si>
  <si>
    <t>DPH-STO</t>
  </si>
  <si>
    <t>STO-ZPI</t>
  </si>
  <si>
    <t>STO-WEP</t>
  </si>
  <si>
    <t>STO-TPI</t>
  </si>
  <si>
    <t>D7-STO</t>
  </si>
  <si>
    <t>DFLP-STO</t>
  </si>
  <si>
    <t>0-STO</t>
  </si>
  <si>
    <t>SCL-TPI</t>
  </si>
  <si>
    <t>SG2-TPI</t>
  </si>
  <si>
    <t>FFC-TPI</t>
  </si>
  <si>
    <t>HN2-TPI</t>
  </si>
  <si>
    <t>DF2-TPI</t>
  </si>
  <si>
    <t>SRE-TPI</t>
  </si>
  <si>
    <t>REM-TPI</t>
  </si>
  <si>
    <t>FRM-TPI</t>
  </si>
  <si>
    <t>D7R-TPI</t>
  </si>
  <si>
    <t>CDP-TPI</t>
  </si>
  <si>
    <t>SC2-TPI</t>
  </si>
  <si>
    <t>NES-TPI</t>
  </si>
  <si>
    <t>GPI-TPI</t>
  </si>
  <si>
    <t>DEL-TPI</t>
  </si>
  <si>
    <t>GRI-TPI</t>
  </si>
  <si>
    <t>TPI-VAL</t>
  </si>
  <si>
    <t>GST-TPI</t>
  </si>
  <si>
    <t>HDN-TPI</t>
  </si>
  <si>
    <t>TPI-WOO</t>
  </si>
  <si>
    <t>SPI-TPI</t>
  </si>
  <si>
    <t>AKS-TPI</t>
  </si>
  <si>
    <t>TPI-WIL</t>
  </si>
  <si>
    <t>TPI-VEN</t>
  </si>
  <si>
    <t>SAT-TPI</t>
  </si>
  <si>
    <t>TPI-WES</t>
  </si>
  <si>
    <t>NOR-TPI</t>
  </si>
  <si>
    <t>EAS-TPI</t>
  </si>
  <si>
    <t>DPH-TPI</t>
  </si>
  <si>
    <t>TPI-ZPI</t>
  </si>
  <si>
    <t>TPI-WEP</t>
  </si>
  <si>
    <t>TPI-TPI</t>
  </si>
  <si>
    <t>D7-TPI</t>
  </si>
  <si>
    <t>DFLP-TPI</t>
  </si>
  <si>
    <t>0-TPI</t>
  </si>
  <si>
    <t>SCL-VAL</t>
  </si>
  <si>
    <t>SG2-VAL</t>
  </si>
  <si>
    <t>FFC-VAL</t>
  </si>
  <si>
    <t>HN2-VAL</t>
  </si>
  <si>
    <t>DF2-VAL</t>
  </si>
  <si>
    <t>SRE-VAL</t>
  </si>
  <si>
    <t>REM-VAL</t>
  </si>
  <si>
    <t>FRM-VAL</t>
  </si>
  <si>
    <t>D7R-VAL</t>
  </si>
  <si>
    <t>CDP-VAL</t>
  </si>
  <si>
    <t>SC2-VAL</t>
  </si>
  <si>
    <t>NES-VAL</t>
  </si>
  <si>
    <t>GPI-VAL</t>
  </si>
  <si>
    <t>DEL-VAL</t>
  </si>
  <si>
    <t>GRI-VAL</t>
  </si>
  <si>
    <t>VAL-VAL</t>
  </si>
  <si>
    <t>FIR-VAL</t>
  </si>
  <si>
    <t>GST-VAL</t>
  </si>
  <si>
    <t>HDN-VAL</t>
  </si>
  <si>
    <t>VAL-WOO</t>
  </si>
  <si>
    <t>SPI-VAL</t>
  </si>
  <si>
    <t>AKS-VAL</t>
  </si>
  <si>
    <t>VAL-VEN</t>
  </si>
  <si>
    <t>SAT-VAL</t>
  </si>
  <si>
    <t>VAL-WES</t>
  </si>
  <si>
    <t>NOR-VAL</t>
  </si>
  <si>
    <t>DPH-VAL</t>
  </si>
  <si>
    <t>VAL-ZPI</t>
  </si>
  <si>
    <t>VAL-WEP</t>
  </si>
  <si>
    <t>D7-VAL</t>
  </si>
  <si>
    <t>DFLP-VAL</t>
  </si>
  <si>
    <t>0-VAL</t>
  </si>
  <si>
    <t>SCL-VEN</t>
  </si>
  <si>
    <t>SG2-VEN</t>
  </si>
  <si>
    <t>FFC-VEN</t>
  </si>
  <si>
    <t>HN2-VEN</t>
  </si>
  <si>
    <t>DF2-VEN</t>
  </si>
  <si>
    <t>SRE-VEN</t>
  </si>
  <si>
    <t>REM-VEN</t>
  </si>
  <si>
    <t>FRM-VEN</t>
  </si>
  <si>
    <t>CDP-VEN</t>
  </si>
  <si>
    <t>SC2-VEN</t>
  </si>
  <si>
    <t>NES-VEN</t>
  </si>
  <si>
    <t>GPI-VEN</t>
  </si>
  <si>
    <t>GRI-VEN</t>
  </si>
  <si>
    <t>FIR-VEN</t>
  </si>
  <si>
    <t>GST-VEN</t>
  </si>
  <si>
    <t>HDN-VEN</t>
  </si>
  <si>
    <t>VEN-WOO</t>
  </si>
  <si>
    <t>SPI-VEN</t>
  </si>
  <si>
    <t>AKS-VEN</t>
  </si>
  <si>
    <t>VEN-VEN</t>
  </si>
  <si>
    <t>SAT-VEN</t>
  </si>
  <si>
    <t>VEN-WES</t>
  </si>
  <si>
    <t>NOR-VEN</t>
  </si>
  <si>
    <t>EAS-VEN</t>
  </si>
  <si>
    <t>DPH-VEN</t>
  </si>
  <si>
    <t>VEN-ZPI</t>
  </si>
  <si>
    <t>VEN-WEP</t>
  </si>
  <si>
    <t>D7-VEN</t>
  </si>
  <si>
    <t>DFLP-VEN</t>
  </si>
  <si>
    <t>0-VEN</t>
  </si>
  <si>
    <t>SCL-WES</t>
  </si>
  <si>
    <t>SG2-WES</t>
  </si>
  <si>
    <t>FFC-WES</t>
  </si>
  <si>
    <t>HN2-WES</t>
  </si>
  <si>
    <t>DF2-WES</t>
  </si>
  <si>
    <t>SRE-WES</t>
  </si>
  <si>
    <t>REM-WES</t>
  </si>
  <si>
    <t>FRM-WES</t>
  </si>
  <si>
    <t>D7R-WES</t>
  </si>
  <si>
    <t>CDP-WES</t>
  </si>
  <si>
    <t>SC2-WES</t>
  </si>
  <si>
    <t>NES-WES</t>
  </si>
  <si>
    <t>GPI-WES</t>
  </si>
  <si>
    <t>DEL-WES</t>
  </si>
  <si>
    <t>GRI-WES</t>
  </si>
  <si>
    <t>FIR-WES</t>
  </si>
  <si>
    <t>GST-WES</t>
  </si>
  <si>
    <t>HDN-WES</t>
  </si>
  <si>
    <t>WES-WOO</t>
  </si>
  <si>
    <t>SPI-WES</t>
  </si>
  <si>
    <t>AKS-WES</t>
  </si>
  <si>
    <t>WES-WIL</t>
  </si>
  <si>
    <t>SAT-WES</t>
  </si>
  <si>
    <t>WES-WES</t>
  </si>
  <si>
    <t>NOR-WES</t>
  </si>
  <si>
    <t>EAS-WES</t>
  </si>
  <si>
    <t>DPH-WES</t>
  </si>
  <si>
    <t>WES-ZPI</t>
  </si>
  <si>
    <t>WEP-WES</t>
  </si>
  <si>
    <t>D7-WES</t>
  </si>
  <si>
    <t>DFLP-WES</t>
  </si>
  <si>
    <t>0-WES</t>
  </si>
  <si>
    <t>SCL-WOO</t>
  </si>
  <si>
    <t>SG2-WOO</t>
  </si>
  <si>
    <t>FFC-WOO</t>
  </si>
  <si>
    <t>HN2-WOO</t>
  </si>
  <si>
    <t>DF2-WOO</t>
  </si>
  <si>
    <t>SRE-WOO</t>
  </si>
  <si>
    <t>REM-WOO</t>
  </si>
  <si>
    <t>FRM-WOO</t>
  </si>
  <si>
    <t>CDP-WOO</t>
  </si>
  <si>
    <t>SC2-WOO</t>
  </si>
  <si>
    <t>NES-WOO</t>
  </si>
  <si>
    <t>GPI-WOO</t>
  </si>
  <si>
    <t>DEL-WOO</t>
  </si>
  <si>
    <t>GRI-WOO</t>
  </si>
  <si>
    <t>FIR-WOO</t>
  </si>
  <si>
    <t>GST-WOO</t>
  </si>
  <si>
    <t>WOO-WOO</t>
  </si>
  <si>
    <t>SPI-WOO</t>
  </si>
  <si>
    <t>WIL-WOO</t>
  </si>
  <si>
    <t>SAT-WOO</t>
  </si>
  <si>
    <t>NOR-WOO</t>
  </si>
  <si>
    <t>EAS-WOO</t>
  </si>
  <si>
    <t>DPH-WOO</t>
  </si>
  <si>
    <t>WOO-ZPI</t>
  </si>
  <si>
    <t>WEP-WOO</t>
  </si>
  <si>
    <t>D7-WOO</t>
  </si>
  <si>
    <t>DFLP-WOO</t>
  </si>
  <si>
    <t>0-WOO</t>
  </si>
  <si>
    <t>SCL-ZPI</t>
  </si>
  <si>
    <t>SG2-ZPI</t>
  </si>
  <si>
    <t>FFC-ZPI</t>
  </si>
  <si>
    <t>HN2-ZPI</t>
  </si>
  <si>
    <t>DF2-ZPI</t>
  </si>
  <si>
    <t>SRE-ZPI</t>
  </si>
  <si>
    <t>REM-ZPI</t>
  </si>
  <si>
    <t>FRM-ZPI</t>
  </si>
  <si>
    <t>D7R-ZPI</t>
  </si>
  <si>
    <t>CDP-ZPI</t>
  </si>
  <si>
    <t>SC2-ZPI</t>
  </si>
  <si>
    <t>NES-ZPI</t>
  </si>
  <si>
    <t>GPI-ZPI</t>
  </si>
  <si>
    <t>DEL-ZPI</t>
  </si>
  <si>
    <t>GRI-ZPI</t>
  </si>
  <si>
    <t>FIR-ZPI</t>
  </si>
  <si>
    <t>GST-ZPI</t>
  </si>
  <si>
    <t>HDN-ZPI</t>
  </si>
  <si>
    <t>SPI-ZPI</t>
  </si>
  <si>
    <t>AKS-ZPI</t>
  </si>
  <si>
    <t>WIL-ZPI</t>
  </si>
  <si>
    <t>SAT-ZPI</t>
  </si>
  <si>
    <t>NOR-ZPI</t>
  </si>
  <si>
    <t>EAS-ZPI</t>
  </si>
  <si>
    <t>DPH-ZPI</t>
  </si>
  <si>
    <t>ZPI-ZPI</t>
  </si>
  <si>
    <t>WEP-ZPI</t>
  </si>
  <si>
    <t>D7-ZPI</t>
  </si>
  <si>
    <t>DFLP-ZPI</t>
  </si>
  <si>
    <t>0-ZPI</t>
  </si>
  <si>
    <t>DFL-DOL</t>
  </si>
  <si>
    <t>DFL-HDN</t>
  </si>
  <si>
    <t>Grand Total</t>
  </si>
  <si>
    <t>Inteco Entity</t>
  </si>
  <si>
    <t>NOTES</t>
  </si>
  <si>
    <t>PJP</t>
  </si>
  <si>
    <t>REM</t>
  </si>
  <si>
    <t>SRE</t>
  </si>
  <si>
    <t>D7</t>
  </si>
  <si>
    <t>DFLP</t>
  </si>
  <si>
    <t>aka</t>
  </si>
  <si>
    <t>akc</t>
  </si>
  <si>
    <t>akg</t>
  </si>
  <si>
    <t>alp</t>
  </si>
  <si>
    <t>ang</t>
  </si>
  <si>
    <t>api</t>
  </si>
  <si>
    <t>bet</t>
  </si>
  <si>
    <t>bru</t>
  </si>
  <si>
    <t>cha</t>
  </si>
  <si>
    <t>cpi</t>
  </si>
  <si>
    <t>cre</t>
  </si>
  <si>
    <t>dia</t>
  </si>
  <si>
    <t>dol</t>
  </si>
  <si>
    <t>dpi</t>
  </si>
  <si>
    <t>dpm</t>
  </si>
  <si>
    <t>eag</t>
  </si>
  <si>
    <t>eal</t>
  </si>
  <si>
    <t>eam</t>
  </si>
  <si>
    <t>gra</t>
  </si>
  <si>
    <t>gsm</t>
  </si>
  <si>
    <t>hdm</t>
  </si>
  <si>
    <t>hdr</t>
  </si>
  <si>
    <t>jup</t>
  </si>
  <si>
    <t>klp</t>
  </si>
  <si>
    <t>lcp</t>
  </si>
  <si>
    <t>lom</t>
  </si>
  <si>
    <t>lpi0001</t>
  </si>
  <si>
    <t>lpi0002</t>
  </si>
  <si>
    <t>lpi0003</t>
  </si>
  <si>
    <t>lpi0004</t>
  </si>
  <si>
    <t>lpi0005</t>
  </si>
  <si>
    <t>mar</t>
  </si>
  <si>
    <t>nep</t>
  </si>
  <si>
    <t>net</t>
  </si>
  <si>
    <t>new</t>
  </si>
  <si>
    <t>ova</t>
  </si>
  <si>
    <t>pgp</t>
  </si>
  <si>
    <t>pur</t>
  </si>
  <si>
    <t>sea</t>
  </si>
  <si>
    <t>sek</t>
  </si>
  <si>
    <t>sil</t>
  </si>
  <si>
    <t>sof</t>
  </si>
  <si>
    <t>sou</t>
  </si>
  <si>
    <t>spa</t>
  </si>
  <si>
    <t>sto</t>
  </si>
  <si>
    <t>tpi</t>
  </si>
  <si>
    <t>val</t>
  </si>
  <si>
    <t>ven</t>
  </si>
  <si>
    <t>wes</t>
  </si>
  <si>
    <t>woo</t>
  </si>
  <si>
    <t>zpi</t>
  </si>
  <si>
    <t>Company</t>
  </si>
  <si>
    <t>FPS</t>
  </si>
  <si>
    <t>FFA</t>
  </si>
  <si>
    <t>Account Description</t>
  </si>
  <si>
    <t>Depository</t>
  </si>
  <si>
    <t>General</t>
  </si>
  <si>
    <t>Payroll</t>
  </si>
  <si>
    <t>PRTax Holding</t>
  </si>
  <si>
    <t>Dep - BofA</t>
  </si>
  <si>
    <t>Dep - Chase</t>
  </si>
  <si>
    <t>Payroll (New)</t>
  </si>
  <si>
    <t>Tenant Dep</t>
  </si>
  <si>
    <t>Laguna</t>
  </si>
  <si>
    <t>Gold Prop</t>
  </si>
  <si>
    <t>Alpha-BOW</t>
  </si>
  <si>
    <t>Alpha-RAB</t>
  </si>
  <si>
    <t>Beta-BOW</t>
  </si>
  <si>
    <t>Beta-RAB</t>
  </si>
  <si>
    <t>Delta</t>
  </si>
  <si>
    <t>DOL-BOW</t>
  </si>
  <si>
    <t>Rabo</t>
  </si>
  <si>
    <t>AKG-BOW</t>
  </si>
  <si>
    <t>GRI-RABO</t>
  </si>
  <si>
    <t>PUR-BOW</t>
  </si>
  <si>
    <t>VAL-BOW</t>
  </si>
  <si>
    <t>CHA-BOW</t>
  </si>
  <si>
    <t>CRE-BOW</t>
  </si>
  <si>
    <t>DIA-BOW</t>
  </si>
  <si>
    <t>EAG-BOW</t>
  </si>
  <si>
    <t>NEW-BOW</t>
  </si>
  <si>
    <t>FIR-BOW</t>
  </si>
  <si>
    <t>HDN-BOW</t>
  </si>
  <si>
    <t>HDN-RABO</t>
  </si>
  <si>
    <t>GST-BOW</t>
  </si>
  <si>
    <t>GST-RABO</t>
  </si>
  <si>
    <t>OVA-BOW</t>
  </si>
  <si>
    <t>WOO-BOW</t>
  </si>
  <si>
    <t>SPI-BOW</t>
  </si>
  <si>
    <t>NET-BOW</t>
  </si>
  <si>
    <t>DPI-BOW</t>
  </si>
  <si>
    <t>D7R-RABO</t>
  </si>
  <si>
    <t>D7R-CAP</t>
  </si>
  <si>
    <t>NCE-CNB</t>
  </si>
  <si>
    <t>CST-BOW</t>
  </si>
  <si>
    <t>Bank Acct#</t>
  </si>
  <si>
    <t>748302380</t>
  </si>
  <si>
    <t>748032364</t>
  </si>
  <si>
    <t>748032372</t>
  </si>
  <si>
    <t>748032331</t>
  </si>
  <si>
    <t>748032315</t>
  </si>
  <si>
    <t>748032323</t>
  </si>
  <si>
    <t>748032414</t>
  </si>
  <si>
    <t>748032398</t>
  </si>
  <si>
    <t>748015229</t>
  </si>
  <si>
    <t>748015237</t>
  </si>
  <si>
    <t>325005408609</t>
  </si>
  <si>
    <t>4040011298</t>
  </si>
  <si>
    <t>4040011306</t>
  </si>
  <si>
    <t>4040012122</t>
  </si>
  <si>
    <t>4040012130</t>
  </si>
  <si>
    <t>748-000635</t>
  </si>
  <si>
    <t>748000619</t>
  </si>
  <si>
    <t>011-820506</t>
  </si>
  <si>
    <t>748032349</t>
  </si>
  <si>
    <t>748-045366</t>
  </si>
  <si>
    <t>035398917</t>
  </si>
  <si>
    <t>032845339</t>
  </si>
  <si>
    <t>013-585976</t>
  </si>
  <si>
    <t>0245037613</t>
  </si>
  <si>
    <t>0310425667</t>
  </si>
  <si>
    <t>034950071</t>
  </si>
  <si>
    <t>035223388</t>
  </si>
  <si>
    <t>045-369592</t>
  </si>
  <si>
    <t>046-084117</t>
  </si>
  <si>
    <t>046-339883</t>
  </si>
  <si>
    <t>048-374763</t>
  </si>
  <si>
    <t>045-9579656</t>
  </si>
  <si>
    <t>032-839282</t>
  </si>
  <si>
    <t>GL Acct #</t>
  </si>
  <si>
    <t>10021-0000</t>
  </si>
  <si>
    <t>10022-0000</t>
  </si>
  <si>
    <t>10020-0000</t>
  </si>
  <si>
    <t>10025-0000</t>
  </si>
  <si>
    <t>10100-0000</t>
  </si>
  <si>
    <t>10002-0000</t>
  </si>
  <si>
    <t>10028-0000</t>
  </si>
  <si>
    <t>SSRE-SD</t>
  </si>
  <si>
    <t>CLOSED</t>
  </si>
  <si>
    <t>Bank Balance</t>
  </si>
  <si>
    <t>DIT:</t>
  </si>
  <si>
    <t>Total DIT</t>
  </si>
  <si>
    <t>OS Checks</t>
  </si>
  <si>
    <t>Total OS Checks</t>
  </si>
  <si>
    <t>Adjusted Bank Balance</t>
  </si>
  <si>
    <t>Book Balance</t>
  </si>
  <si>
    <t>Check Figure</t>
  </si>
  <si>
    <t>Deposit Adjustments</t>
  </si>
  <si>
    <t>Total Deposit Adj</t>
  </si>
  <si>
    <t>Check Adjustments</t>
  </si>
  <si>
    <t>Total Check Adjustments</t>
  </si>
  <si>
    <t>Adjusted Book Balance</t>
  </si>
  <si>
    <t>SEK-BOW</t>
  </si>
  <si>
    <t>051834794</t>
  </si>
  <si>
    <t>10029-0000</t>
  </si>
  <si>
    <t>AKS-BOW</t>
  </si>
  <si>
    <t>CPI-BOW</t>
  </si>
  <si>
    <t>LOM-BOW</t>
  </si>
  <si>
    <t>DFL-BOW</t>
  </si>
  <si>
    <t>051-669901</t>
  </si>
  <si>
    <t>MAR-BOW</t>
  </si>
  <si>
    <t>WIL-BOW</t>
  </si>
  <si>
    <t>STO-BOW</t>
  </si>
  <si>
    <t>10030-0000</t>
  </si>
  <si>
    <t>DFL-UB</t>
  </si>
  <si>
    <t>10500-0000</t>
  </si>
  <si>
    <t>Net Income Comparision</t>
  </si>
  <si>
    <t>Sum Revised</t>
  </si>
  <si>
    <t>P&amp;L</t>
  </si>
  <si>
    <t>Summary Tab</t>
  </si>
  <si>
    <t>VAR</t>
  </si>
  <si>
    <t>EBITDA/NOI Comparision</t>
  </si>
  <si>
    <t>Fee North</t>
  </si>
  <si>
    <t>FFC Admin</t>
  </si>
  <si>
    <t>deposit in March 2021</t>
  </si>
  <si>
    <t>Closing Balance Statement</t>
  </si>
  <si>
    <t>Column References</t>
  </si>
  <si>
    <t>Bank</t>
  </si>
  <si>
    <t>Identifier</t>
  </si>
  <si>
    <t>Format</t>
  </si>
  <si>
    <t>Header Row</t>
  </si>
  <si>
    <t xml:space="preserve"> Account Number</t>
  </si>
  <si>
    <t>Filter</t>
  </si>
  <si>
    <t>excel</t>
  </si>
  <si>
    <t>[8]=[Data]</t>
  </si>
  <si>
    <t>csv</t>
  </si>
  <si>
    <t>[12]=[CLOSING LEDGER BALANCE]</t>
  </si>
  <si>
    <t>[7]=[CLOSING LEDGER]</t>
  </si>
  <si>
    <t>Signature</t>
  </si>
  <si>
    <t>A/C Status == &gt;&gt;</t>
  </si>
  <si>
    <t>Closed</t>
  </si>
  <si>
    <t>CLosed</t>
  </si>
  <si>
    <t>GP</t>
  </si>
  <si>
    <t>YD</t>
  </si>
  <si>
    <t>X</t>
  </si>
  <si>
    <t>SKIP</t>
  </si>
  <si>
    <t>Cash-Invest</t>
  </si>
  <si>
    <t>Cash-Rest</t>
  </si>
  <si>
    <t>Laguna-BOW</t>
  </si>
  <si>
    <t>LPI-BOA</t>
  </si>
  <si>
    <t>Gold Prop-BOW</t>
  </si>
  <si>
    <t>ALP-BOA</t>
  </si>
  <si>
    <t>Alpha-BOC</t>
  </si>
  <si>
    <t>BET-BOA</t>
  </si>
  <si>
    <t>Delta-BOW</t>
  </si>
  <si>
    <t>AKG-BOA</t>
  </si>
  <si>
    <t>CHA-BOC</t>
  </si>
  <si>
    <t>CRE-BOC</t>
  </si>
  <si>
    <t>CHA-BOA</t>
  </si>
  <si>
    <t>EAG-BOC</t>
  </si>
  <si>
    <t>EAG-BOA</t>
  </si>
  <si>
    <t>NEW-BOA</t>
  </si>
  <si>
    <t>OVA-BOA</t>
  </si>
  <si>
    <t>NET-BOA</t>
  </si>
  <si>
    <t>SEK-BOA</t>
  </si>
  <si>
    <t>DPI-BOA</t>
  </si>
  <si>
    <t>CPI-BOA</t>
  </si>
  <si>
    <t>LOM-BOA</t>
  </si>
  <si>
    <t>MAR-BOA</t>
  </si>
  <si>
    <t>STO-BOA</t>
  </si>
  <si>
    <t>ANG-BOW</t>
  </si>
  <si>
    <t>ANG-BOA</t>
  </si>
  <si>
    <t>BRU-BOW</t>
  </si>
  <si>
    <t>BRU-BOA</t>
  </si>
  <si>
    <t>VEN-BOW</t>
  </si>
  <si>
    <t>SAT-BOW</t>
  </si>
  <si>
    <t>NEP-BOW</t>
  </si>
  <si>
    <t>NEP-BOA</t>
  </si>
  <si>
    <t>JUP-BOW</t>
  </si>
  <si>
    <t>JUP-BOA</t>
  </si>
  <si>
    <t>NOR-BOW</t>
  </si>
  <si>
    <t>LCP-Restricted</t>
  </si>
  <si>
    <t>LCP-BOW</t>
  </si>
  <si>
    <t>GRA-BOA</t>
  </si>
  <si>
    <t xml:space="preserve">HDM-CBC </t>
  </si>
  <si>
    <t>SOU-BOW</t>
  </si>
  <si>
    <t>SPR-BOW</t>
  </si>
  <si>
    <t>NEH-BOW</t>
  </si>
  <si>
    <t>DFL-LPL</t>
  </si>
  <si>
    <t>DFL-CBC</t>
  </si>
  <si>
    <t>SCR-CBC</t>
  </si>
  <si>
    <t>DFL-TriArtisan</t>
  </si>
  <si>
    <t>RESTRICTED</t>
  </si>
  <si>
    <t>NES-BOW</t>
  </si>
  <si>
    <t>10513-0000</t>
  </si>
  <si>
    <t>10515-0000</t>
  </si>
  <si>
    <t>10034-0000</t>
  </si>
  <si>
    <t>10032-0000</t>
  </si>
  <si>
    <t>10033-0000</t>
  </si>
  <si>
    <t>10501-0000</t>
  </si>
  <si>
    <t>10502-0000</t>
  </si>
  <si>
    <t>10503-0000</t>
  </si>
  <si>
    <t>bank name</t>
  </si>
  <si>
    <t>CHASE</t>
  </si>
  <si>
    <t>UB</t>
  </si>
  <si>
    <t>BOC</t>
  </si>
  <si>
    <t>RABO</t>
  </si>
  <si>
    <t>BTX</t>
  </si>
  <si>
    <t>CAPITAL ONE</t>
  </si>
  <si>
    <t>LPL</t>
  </si>
  <si>
    <t>TriArtisan</t>
  </si>
  <si>
    <t>CNB</t>
  </si>
  <si>
    <t>Adjusted Closing Bank Balanc</t>
  </si>
  <si>
    <t>Total Outstanding GL Deposit</t>
  </si>
  <si>
    <t xml:space="preserve">Total Outstanding GL Checks </t>
  </si>
  <si>
    <t>Difference</t>
  </si>
  <si>
    <t>General Ledger Balance (as on</t>
  </si>
  <si>
    <t>Total Outstanding Bank Depos</t>
  </si>
  <si>
    <t>Total Outstanding Bank Check</t>
  </si>
  <si>
    <t>BL As per From TB</t>
  </si>
  <si>
    <t>Value 1</t>
  </si>
  <si>
    <t>Value 2</t>
  </si>
  <si>
    <t>Value 3</t>
  </si>
  <si>
    <t>Value 4</t>
  </si>
  <si>
    <t>Value 5</t>
  </si>
  <si>
    <t>Value 6</t>
  </si>
  <si>
    <t>Value 7</t>
  </si>
  <si>
    <t>Value 8</t>
  </si>
  <si>
    <t>Value 9</t>
  </si>
  <si>
    <t>Value 10</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</si>
  <si>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</si>
  <si>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</si>
  <si>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</si>
  <si>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</si>
  <si>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</si>
  <si>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</si>
  <si>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</si>
  <si>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</si>
  <si>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</si>
  <si>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</si>
  <si>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</si>
  <si>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</si>
  <si>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</si>
  <si>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</si>
  <si>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</si>
  <si>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</si>
  <si>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</si>
  <si>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</si>
  <si>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</si>
  <si>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</si>
  <si>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</si>
  <si>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</si>
  <si>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</si>
  <si>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</si>
  <si>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</si>
  <si>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</si>
  <si>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</si>
  <si>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</si>
  <si>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</si>
  <si>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</si>
  <si>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</si>
  <si>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</si>
  <si>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</si>
  <si>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</si>
  <si>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</si>
  <si>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</si>
  <si>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</si>
  <si>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</si>
  <si>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</si>
  <si>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</si>
  <si>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Value 51</t>
  </si>
  <si>
    <t>Value 52</t>
  </si>
  <si>
    <t>Value 53</t>
  </si>
  <si>
    <t>Value 54</t>
  </si>
  <si>
    <t>Value 55</t>
  </si>
  <si>
    <t>Value 56</t>
  </si>
  <si>
    <t>Value 57</t>
  </si>
  <si>
    <t>Value 58</t>
  </si>
  <si>
    <t>Value 59</t>
  </si>
  <si>
    <t>Value 60</t>
  </si>
  <si>
    <t>Value 61</t>
  </si>
  <si>
    <t>Value 62</t>
  </si>
  <si>
    <t>Value 63</t>
  </si>
  <si>
    <t>Value 64</t>
  </si>
  <si>
    <t>Value 65</t>
  </si>
  <si>
    <t>Value 66</t>
  </si>
  <si>
    <t>Value 67</t>
  </si>
  <si>
    <t>Value 68</t>
  </si>
  <si>
    <t>Value 69</t>
  </si>
  <si>
    <t>Value 70</t>
  </si>
  <si>
    <t>Value 71</t>
  </si>
  <si>
    <t>Value 72</t>
  </si>
  <si>
    <t>Value 73</t>
  </si>
  <si>
    <t>Value 74</t>
  </si>
  <si>
    <t>Value 75</t>
  </si>
  <si>
    <t>Value 76</t>
  </si>
  <si>
    <t>Value 77</t>
  </si>
  <si>
    <t>Value 78</t>
  </si>
  <si>
    <t>Value 79</t>
  </si>
  <si>
    <t>Value 80</t>
  </si>
  <si>
    <t>Value 81</t>
  </si>
  <si>
    <t>Value 82</t>
  </si>
  <si>
    <t>Value 83</t>
  </si>
  <si>
    <t>Value 84</t>
  </si>
  <si>
    <t>Value 85</t>
  </si>
  <si>
    <t>Value 86</t>
  </si>
  <si>
    <t>Value 87</t>
  </si>
  <si>
    <t>Value 88</t>
  </si>
  <si>
    <t>Value 89</t>
  </si>
  <si>
    <t>Value 90</t>
  </si>
  <si>
    <t>Value 91</t>
  </si>
  <si>
    <t>Value 92</t>
  </si>
  <si>
    <t>Value 93</t>
  </si>
  <si>
    <t>Value 94</t>
  </si>
  <si>
    <t>Value 95</t>
  </si>
  <si>
    <t>Value 96</t>
  </si>
  <si>
    <t>Value 97</t>
  </si>
  <si>
    <t>Value 98</t>
  </si>
  <si>
    <t>Value 99</t>
  </si>
  <si>
    <t>Value 100</t>
  </si>
  <si>
    <t>Value 101</t>
  </si>
  <si>
    <t>Value 102</t>
  </si>
  <si>
    <t>Value 103</t>
  </si>
  <si>
    <t>Value 104</t>
  </si>
  <si>
    <t>Value 105</t>
  </si>
  <si>
    <t>Value 106</t>
  </si>
  <si>
    <t>Value 107</t>
  </si>
  <si>
    <t>Value 108</t>
  </si>
  <si>
    <t>Value 109</t>
  </si>
  <si>
    <t>Value 110</t>
  </si>
  <si>
    <t>Value 111</t>
  </si>
  <si>
    <t>Value 112</t>
  </si>
  <si>
    <t>Value 113</t>
  </si>
  <si>
    <t>Value 114</t>
  </si>
  <si>
    <t>Value 115</t>
  </si>
  <si>
    <t>Value 116</t>
  </si>
  <si>
    <t>Value 117</t>
  </si>
  <si>
    <t>Value 118</t>
  </si>
  <si>
    <t>Value 119</t>
  </si>
  <si>
    <t>Value 120</t>
  </si>
  <si>
    <t>Value 121</t>
  </si>
  <si>
    <t>Value 122</t>
  </si>
  <si>
    <t>Value 123</t>
  </si>
  <si>
    <t>Value 124</t>
  </si>
  <si>
    <t>Value 125</t>
  </si>
  <si>
    <t>Value 126</t>
  </si>
  <si>
    <t>Value 127</t>
  </si>
  <si>
    <t>Value 128</t>
  </si>
  <si>
    <t>Value 129</t>
  </si>
  <si>
    <t>Value 130</t>
  </si>
  <si>
    <t>Value 131</t>
  </si>
  <si>
    <t>Value 132</t>
  </si>
  <si>
    <t>Value 133</t>
  </si>
  <si>
    <t>Value 134</t>
  </si>
  <si>
    <t>Value 135</t>
  </si>
  <si>
    <t>Value 136</t>
  </si>
  <si>
    <t>Value 137</t>
  </si>
  <si>
    <t>Value 138</t>
  </si>
  <si>
    <t>Value 139</t>
  </si>
  <si>
    <t>Value 140</t>
  </si>
  <si>
    <t>Value 141</t>
  </si>
  <si>
    <t>Value 142</t>
  </si>
  <si>
    <t>Value 143</t>
  </si>
  <si>
    <t>Value 144</t>
  </si>
  <si>
    <t>Value 145</t>
  </si>
  <si>
    <t>Value 146</t>
  </si>
  <si>
    <t>Value 147</t>
  </si>
  <si>
    <t>Value 148</t>
  </si>
  <si>
    <t>Value 149</t>
  </si>
  <si>
    <t>Value 150</t>
  </si>
  <si>
    <t>Value 151</t>
  </si>
  <si>
    <t>Value 152</t>
  </si>
  <si>
    <t>Value 153</t>
  </si>
  <si>
    <t>Value 154</t>
  </si>
  <si>
    <t>Value 155</t>
  </si>
  <si>
    <t>Value 156</t>
  </si>
  <si>
    <t>Value 157</t>
  </si>
  <si>
    <t>Value 158</t>
  </si>
  <si>
    <t>Value 159</t>
  </si>
  <si>
    <t>Value 160</t>
  </si>
  <si>
    <t>Value 161</t>
  </si>
  <si>
    <t>Value 162</t>
  </si>
  <si>
    <t>Value 163</t>
  </si>
  <si>
    <t>Value 164</t>
  </si>
  <si>
    <t>Value 165</t>
  </si>
  <si>
    <t>Value 166</t>
  </si>
  <si>
    <t>Value 167</t>
  </si>
  <si>
    <t>Value 168</t>
  </si>
  <si>
    <t>Value 169</t>
  </si>
  <si>
    <t>Value 170</t>
  </si>
  <si>
    <t>Value 171</t>
  </si>
  <si>
    <t>Value 172</t>
  </si>
  <si>
    <t>Value 173</t>
  </si>
  <si>
    <t>Value 174</t>
  </si>
  <si>
    <t>Value 175</t>
  </si>
  <si>
    <t>Value 176</t>
  </si>
  <si>
    <t>Value 177</t>
  </si>
  <si>
    <t>Value 178</t>
  </si>
  <si>
    <t>Value 179</t>
  </si>
  <si>
    <t>Value 180</t>
  </si>
  <si>
    <t>Value 181</t>
  </si>
  <si>
    <t>Value 182</t>
  </si>
  <si>
    <t>Value 183</t>
  </si>
  <si>
    <t>Value 184</t>
  </si>
  <si>
    <t>Value 185</t>
  </si>
  <si>
    <t>Value 186</t>
  </si>
  <si>
    <t>Value 187</t>
  </si>
  <si>
    <t>Value 188</t>
  </si>
  <si>
    <t>Value 189</t>
  </si>
  <si>
    <t>Value 190</t>
  </si>
  <si>
    <t>Value 191</t>
  </si>
  <si>
    <t>Value 192</t>
  </si>
  <si>
    <t>Value 193</t>
  </si>
  <si>
    <t>Value 194</t>
  </si>
  <si>
    <t>Value 195</t>
  </si>
  <si>
    <t>Value 196</t>
  </si>
  <si>
    <t>Value 197</t>
  </si>
  <si>
    <t>Value 198</t>
  </si>
  <si>
    <t>Value 199</t>
  </si>
  <si>
    <t>Value 200</t>
  </si>
  <si>
    <t>Value 201</t>
  </si>
  <si>
    <t>Value 202</t>
  </si>
  <si>
    <t>Value 203</t>
  </si>
  <si>
    <t>Value 204</t>
  </si>
  <si>
    <t>Value 205</t>
  </si>
  <si>
    <t>Value 206</t>
  </si>
  <si>
    <t>Value 207</t>
  </si>
  <si>
    <t>Value 208</t>
  </si>
  <si>
    <t>Value 209</t>
  </si>
  <si>
    <t>Value 210</t>
  </si>
  <si>
    <t>Value 211</t>
  </si>
  <si>
    <t>Value 212</t>
  </si>
  <si>
    <t>Value 213</t>
  </si>
  <si>
    <t>Value 214</t>
  </si>
  <si>
    <t>Value 215</t>
  </si>
  <si>
    <t>Value 216</t>
  </si>
  <si>
    <t>Value 217</t>
  </si>
  <si>
    <t>Value 218</t>
  </si>
  <si>
    <t>Value 219</t>
  </si>
  <si>
    <t>Value 220</t>
  </si>
  <si>
    <t>Value 221</t>
  </si>
  <si>
    <t>Value 222</t>
  </si>
  <si>
    <t>Value 223</t>
  </si>
  <si>
    <t>Value 224</t>
  </si>
  <si>
    <t>Value 225</t>
  </si>
  <si>
    <t>Value 226</t>
  </si>
  <si>
    <t>Value 227</t>
  </si>
  <si>
    <t>Value 228</t>
  </si>
  <si>
    <t>Value 229</t>
  </si>
  <si>
    <t>Value 230</t>
  </si>
  <si>
    <t>Value 231</t>
  </si>
  <si>
    <t>Value 232</t>
  </si>
  <si>
    <t>Value 233</t>
  </si>
  <si>
    <t>Value 234</t>
  </si>
  <si>
    <t>Value 235</t>
  </si>
  <si>
    <t>Value 236</t>
  </si>
  <si>
    <t>Value 237</t>
  </si>
  <si>
    <t>Value 238</t>
  </si>
  <si>
    <t>Value 239</t>
  </si>
  <si>
    <t>Value 240</t>
  </si>
  <si>
    <t>Value 241</t>
  </si>
  <si>
    <t>Value 242</t>
  </si>
  <si>
    <t>Value 243</t>
  </si>
  <si>
    <t>Value 244</t>
  </si>
  <si>
    <t>Value 245</t>
  </si>
  <si>
    <t>Value 246</t>
  </si>
  <si>
    <t>Value 247</t>
  </si>
  <si>
    <t>Value 248</t>
  </si>
  <si>
    <t>Value 249</t>
  </si>
  <si>
    <t>Value 250</t>
  </si>
  <si>
    <t>Value 251</t>
  </si>
  <si>
    <t>Value 252</t>
  </si>
  <si>
    <t>Value 253</t>
  </si>
  <si>
    <t>Value 254</t>
  </si>
  <si>
    <t>Value 255</t>
  </si>
  <si>
    <t>Value 256</t>
  </si>
  <si>
    <t>Value 257</t>
  </si>
  <si>
    <t>Value 258</t>
  </si>
  <si>
    <t>Value 259</t>
  </si>
  <si>
    <t>Value 260</t>
  </si>
  <si>
    <t>Value 261</t>
  </si>
  <si>
    <t>Value 262</t>
  </si>
  <si>
    <t>Value 263</t>
  </si>
  <si>
    <t>Value 264</t>
  </si>
  <si>
    <t>Value 265</t>
  </si>
  <si>
    <t>Value 266</t>
  </si>
  <si>
    <t>Value 267</t>
  </si>
  <si>
    <t>Value 268</t>
  </si>
  <si>
    <t>Value 269</t>
  </si>
  <si>
    <t>Value 270</t>
  </si>
  <si>
    <t>Value 271</t>
  </si>
  <si>
    <t>Value 272</t>
  </si>
  <si>
    <t>Value 273</t>
  </si>
  <si>
    <t>Value 274</t>
  </si>
  <si>
    <t>Value 275</t>
  </si>
  <si>
    <t>Value 276</t>
  </si>
  <si>
    <t>Value 277</t>
  </si>
  <si>
    <t>Value 278</t>
  </si>
  <si>
    <t>Value 279</t>
  </si>
  <si>
    <t>Value 280</t>
  </si>
  <si>
    <t>Value 281</t>
  </si>
  <si>
    <t>Value 282</t>
  </si>
  <si>
    <t>Value 283</t>
  </si>
  <si>
    <t>Value 284</t>
  </si>
  <si>
    <t>Value 285</t>
  </si>
  <si>
    <t>Value 286</t>
  </si>
  <si>
    <t>Value 287</t>
  </si>
  <si>
    <t>Value 288</t>
  </si>
  <si>
    <t>Value 289</t>
  </si>
  <si>
    <t>Value 290</t>
  </si>
  <si>
    <t>Value 291</t>
  </si>
  <si>
    <t>Value 292</t>
  </si>
  <si>
    <t>Value 293</t>
  </si>
  <si>
    <t>Value 294</t>
  </si>
  <si>
    <t>Value 295</t>
  </si>
  <si>
    <t>Value 296</t>
  </si>
  <si>
    <t>Value 297</t>
  </si>
  <si>
    <t>Value 298</t>
  </si>
  <si>
    <t>Value 299</t>
  </si>
  <si>
    <t>Value 300</t>
  </si>
  <si>
    <t>Value 301</t>
  </si>
  <si>
    <t>Value 302</t>
  </si>
  <si>
    <t>Value 303</t>
  </si>
  <si>
    <t>Value 304</t>
  </si>
  <si>
    <t>Value 305</t>
  </si>
  <si>
    <t>Value 306</t>
  </si>
  <si>
    <t>Value 307</t>
  </si>
  <si>
    <t>Value 308</t>
  </si>
  <si>
    <t>Value 309</t>
  </si>
  <si>
    <t>Value 310</t>
  </si>
  <si>
    <t>Value 311</t>
  </si>
  <si>
    <t>Value 312</t>
  </si>
  <si>
    <t>Value 313</t>
  </si>
  <si>
    <t>Value 314</t>
  </si>
  <si>
    <t>Value 315</t>
  </si>
  <si>
    <t>Value 316</t>
  </si>
  <si>
    <t>Value 317</t>
  </si>
  <si>
    <t>Value 318</t>
  </si>
  <si>
    <t>Value 319</t>
  </si>
  <si>
    <t>Value 320</t>
  </si>
  <si>
    <t>Value 321</t>
  </si>
  <si>
    <t>Value 322</t>
  </si>
  <si>
    <t>Value 323</t>
  </si>
  <si>
    <t>Value 324</t>
  </si>
  <si>
    <t>Value 325</t>
  </si>
  <si>
    <t>Value 326</t>
  </si>
  <si>
    <t>Value 327</t>
  </si>
  <si>
    <t>Value 328</t>
  </si>
  <si>
    <t>Value 329</t>
  </si>
  <si>
    <t>Value 330</t>
  </si>
  <si>
    <t>Value 331</t>
  </si>
  <si>
    <t>Value 332</t>
  </si>
  <si>
    <t>Value 333</t>
  </si>
  <si>
    <t>Value 334</t>
  </si>
  <si>
    <t>Value 335</t>
  </si>
  <si>
    <t>Value 336</t>
  </si>
  <si>
    <t>Value 337</t>
  </si>
  <si>
    <t>Value 338</t>
  </si>
  <si>
    <t>Value 339</t>
  </si>
  <si>
    <t>Value 340</t>
  </si>
  <si>
    <t>Value 341</t>
  </si>
  <si>
    <t>Value 342</t>
  </si>
  <si>
    <t>Value 343</t>
  </si>
  <si>
    <t>Value 344</t>
  </si>
  <si>
    <t>Value 345</t>
  </si>
  <si>
    <t>Value 346</t>
  </si>
  <si>
    <t>Value 347</t>
  </si>
  <si>
    <t>Value 348</t>
  </si>
  <si>
    <t>Value 349</t>
  </si>
  <si>
    <t>Value 350</t>
  </si>
  <si>
    <t>Value 351</t>
  </si>
  <si>
    <t>Value 352</t>
  </si>
  <si>
    <t>Value 353</t>
  </si>
  <si>
    <t>Value 354</t>
  </si>
  <si>
    <t>Value 355</t>
  </si>
  <si>
    <t>Value 356</t>
  </si>
  <si>
    <t>Value 357</t>
  </si>
  <si>
    <t>Value 358</t>
  </si>
  <si>
    <t>Value 359</t>
  </si>
  <si>
    <t>Value 360</t>
  </si>
  <si>
    <t>Value 361</t>
  </si>
  <si>
    <t>Value 362</t>
  </si>
  <si>
    <t>Value 363</t>
  </si>
  <si>
    <t>Value 364</t>
  </si>
  <si>
    <t>Value 365</t>
  </si>
  <si>
    <t>Value 366</t>
  </si>
  <si>
    <t>Value 367</t>
  </si>
  <si>
    <t>Value 368</t>
  </si>
  <si>
    <t>Value 369</t>
  </si>
  <si>
    <t>Value 370</t>
  </si>
  <si>
    <t>Value 371</t>
  </si>
  <si>
    <t>Value 372</t>
  </si>
  <si>
    <t>Value 373</t>
  </si>
  <si>
    <t>Value 374</t>
  </si>
  <si>
    <t>Value 375</t>
  </si>
  <si>
    <t>Value 376</t>
  </si>
  <si>
    <t>Value 377</t>
  </si>
  <si>
    <t>Value 378</t>
  </si>
  <si>
    <t>Value 379</t>
  </si>
  <si>
    <t>Value 380</t>
  </si>
  <si>
    <t>Value 381</t>
  </si>
  <si>
    <t>Value 382</t>
  </si>
  <si>
    <t>Value 383</t>
  </si>
  <si>
    <t>Value 384</t>
  </si>
  <si>
    <t>Value 385</t>
  </si>
  <si>
    <t>Value 386</t>
  </si>
  <si>
    <t>Value 387</t>
  </si>
  <si>
    <t>Value 388</t>
  </si>
  <si>
    <t>Value 389</t>
  </si>
  <si>
    <t>Value 390</t>
  </si>
  <si>
    <t>Value 391</t>
  </si>
  <si>
    <t>Value 392</t>
  </si>
  <si>
    <t>Value 393</t>
  </si>
  <si>
    <t>Value 394</t>
  </si>
  <si>
    <t>Value 395</t>
  </si>
  <si>
    <t>Value 396</t>
  </si>
  <si>
    <t>Value 397</t>
  </si>
  <si>
    <t>Value 398</t>
  </si>
  <si>
    <t>Value 399</t>
  </si>
  <si>
    <t>Value 400</t>
  </si>
  <si>
    <t>Value 401</t>
  </si>
  <si>
    <t>Value 402</t>
  </si>
  <si>
    <t>Value 403</t>
  </si>
  <si>
    <t>Value 404</t>
  </si>
  <si>
    <t>Value 405</t>
  </si>
  <si>
    <t>Value 406</t>
  </si>
  <si>
    <t>Value 407</t>
  </si>
  <si>
    <t>Value 408</t>
  </si>
  <si>
    <t>Value 409</t>
  </si>
  <si>
    <t>Value 410</t>
  </si>
  <si>
    <t>Value 411</t>
  </si>
  <si>
    <t>Value 412</t>
  </si>
  <si>
    <t>Value 413</t>
  </si>
  <si>
    <t>Value 414</t>
  </si>
  <si>
    <t>Value 415</t>
  </si>
  <si>
    <t>Value 416</t>
  </si>
  <si>
    <t>Value 417</t>
  </si>
  <si>
    <t>Value 418</t>
  </si>
  <si>
    <t>Value 419</t>
  </si>
  <si>
    <t>Value 420</t>
  </si>
  <si>
    <t>Value 421</t>
  </si>
  <si>
    <t>Value 422</t>
  </si>
  <si>
    <t>Value 423</t>
  </si>
  <si>
    <t>Value 424</t>
  </si>
  <si>
    <t>Value 425</t>
  </si>
  <si>
    <t>Value 426</t>
  </si>
  <si>
    <t>Value 427</t>
  </si>
  <si>
    <t>Value 428</t>
  </si>
  <si>
    <t>Value 429</t>
  </si>
  <si>
    <t>Value 430</t>
  </si>
  <si>
    <t>Value 431</t>
  </si>
  <si>
    <t>Value 432</t>
  </si>
  <si>
    <t>Value 433</t>
  </si>
  <si>
    <t>Value 434</t>
  </si>
  <si>
    <t>Value 435</t>
  </si>
  <si>
    <t>Value 436</t>
  </si>
  <si>
    <t>Value 437</t>
  </si>
  <si>
    <t>Value 438</t>
  </si>
  <si>
    <t>Value 439</t>
  </si>
  <si>
    <t>Value 440</t>
  </si>
  <si>
    <t>Value 441</t>
  </si>
  <si>
    <t>Value 442</t>
  </si>
  <si>
    <t>Value 443</t>
  </si>
  <si>
    <t>Value 444</t>
  </si>
  <si>
    <t>Value 445</t>
  </si>
  <si>
    <t>Value 446</t>
  </si>
  <si>
    <t>Value 447</t>
  </si>
  <si>
    <t>Value 448</t>
  </si>
  <si>
    <t>Value 449</t>
  </si>
  <si>
    <t>Value 450</t>
  </si>
  <si>
    <t>Value 451</t>
  </si>
  <si>
    <t>Value 452</t>
  </si>
  <si>
    <t>Value 453</t>
  </si>
  <si>
    <t>Value 454</t>
  </si>
  <si>
    <t>Value 455</t>
  </si>
  <si>
    <t>Value 456</t>
  </si>
  <si>
    <t>Value 457</t>
  </si>
  <si>
    <t>Value 458</t>
  </si>
  <si>
    <t>Value 459</t>
  </si>
  <si>
    <t>Value 460</t>
  </si>
  <si>
    <t>Value 461</t>
  </si>
  <si>
    <t>Value 462</t>
  </si>
  <si>
    <t>Value 463</t>
  </si>
  <si>
    <t>Value 464</t>
  </si>
  <si>
    <t>Value 465</t>
  </si>
  <si>
    <t>Value 466</t>
  </si>
  <si>
    <t>Value 467</t>
  </si>
  <si>
    <t>Value 468</t>
  </si>
  <si>
    <t>Value 469</t>
  </si>
  <si>
    <t>Value 470</t>
  </si>
  <si>
    <t>Value 471</t>
  </si>
  <si>
    <t>Value 472</t>
  </si>
  <si>
    <t>Value 473</t>
  </si>
  <si>
    <t>Value 474</t>
  </si>
  <si>
    <t>Value 475</t>
  </si>
  <si>
    <t>Value 476</t>
  </si>
  <si>
    <t>Value 477</t>
  </si>
  <si>
    <t>Value 478</t>
  </si>
  <si>
    <t>Value 479</t>
  </si>
  <si>
    <t>Value 480</t>
  </si>
  <si>
    <t>Value 481</t>
  </si>
  <si>
    <t>Value 482</t>
  </si>
  <si>
    <t>Value 483</t>
  </si>
  <si>
    <t>Value 484</t>
  </si>
  <si>
    <t>Value 485</t>
  </si>
  <si>
    <t>Value 486</t>
  </si>
  <si>
    <t>Value 487</t>
  </si>
  <si>
    <t>Value 488</t>
  </si>
  <si>
    <t>Value 489</t>
  </si>
  <si>
    <t>Value 490</t>
  </si>
  <si>
    <t>Value 491</t>
  </si>
  <si>
    <t>Value 492</t>
  </si>
  <si>
    <t>Value 493</t>
  </si>
  <si>
    <t>Value 494</t>
  </si>
  <si>
    <t>Value 495</t>
  </si>
  <si>
    <t>Value 496</t>
  </si>
  <si>
    <t>Value 497</t>
  </si>
  <si>
    <t>Value 498</t>
  </si>
  <si>
    <t>Value 499</t>
  </si>
  <si>
    <t>Value 500</t>
  </si>
  <si>
    <t>Value 501</t>
  </si>
  <si>
    <t>Value 502</t>
  </si>
  <si>
    <t>Value 503</t>
  </si>
  <si>
    <t>Value 504</t>
  </si>
  <si>
    <t>Value 505</t>
  </si>
  <si>
    <t>Value 506</t>
  </si>
  <si>
    <t>Value 507</t>
  </si>
  <si>
    <t>Value 508</t>
  </si>
  <si>
    <t>Value 509</t>
  </si>
  <si>
    <t>Value 510</t>
  </si>
  <si>
    <t>Value 511</t>
  </si>
  <si>
    <t>Value 512</t>
  </si>
  <si>
    <t>Value 513</t>
  </si>
  <si>
    <t>Value 514</t>
  </si>
  <si>
    <t>Value 515</t>
  </si>
  <si>
    <t>Value 516</t>
  </si>
  <si>
    <t>Value 517</t>
  </si>
  <si>
    <t>Value 518</t>
  </si>
  <si>
    <t>Value 519</t>
  </si>
  <si>
    <t>Value 520</t>
  </si>
  <si>
    <t>Value 521</t>
  </si>
  <si>
    <t>Value 522</t>
  </si>
  <si>
    <t>Value 523</t>
  </si>
  <si>
    <t>Value 524</t>
  </si>
  <si>
    <t>Value 525</t>
  </si>
  <si>
    <t>Value 526</t>
  </si>
  <si>
    <t>Value 527</t>
  </si>
  <si>
    <t>Value 528</t>
  </si>
  <si>
    <t>Value 529</t>
  </si>
  <si>
    <t>Value 530</t>
  </si>
  <si>
    <t>Value 531</t>
  </si>
  <si>
    <t>Value 532</t>
  </si>
  <si>
    <t>Value 533</t>
  </si>
  <si>
    <t>Value 534</t>
  </si>
  <si>
    <t>Value 535</t>
  </si>
  <si>
    <t>Value 536</t>
  </si>
  <si>
    <t>Value 537</t>
  </si>
  <si>
    <t>Value 538</t>
  </si>
  <si>
    <t>Value 539</t>
  </si>
  <si>
    <t>Value 540</t>
  </si>
  <si>
    <t>Value 541</t>
  </si>
  <si>
    <t>Value 542</t>
  </si>
  <si>
    <t>Value 543</t>
  </si>
  <si>
    <t>Value 544</t>
  </si>
  <si>
    <t>Value 545</t>
  </si>
  <si>
    <t>Value 546</t>
  </si>
  <si>
    <t>Value 547</t>
  </si>
  <si>
    <t>Value 548</t>
  </si>
  <si>
    <t>Value 549</t>
  </si>
  <si>
    <t>Value 550</t>
  </si>
  <si>
    <t>Value 551</t>
  </si>
  <si>
    <t>Value 552</t>
  </si>
  <si>
    <t>Value 553</t>
  </si>
  <si>
    <t>Value 554</t>
  </si>
  <si>
    <t>Value 555</t>
  </si>
  <si>
    <t>Value 556</t>
  </si>
  <si>
    <t>Value 557</t>
  </si>
  <si>
    <t>Value 558</t>
  </si>
  <si>
    <t>Value 559</t>
  </si>
  <si>
    <t>Value 560</t>
  </si>
  <si>
    <t>Value 561</t>
  </si>
  <si>
    <t>Value 562</t>
  </si>
  <si>
    <t>Value 563</t>
  </si>
  <si>
    <t>Value 564</t>
  </si>
  <si>
    <t>Value 565</t>
  </si>
  <si>
    <t>Value 566</t>
  </si>
  <si>
    <t>Value 567</t>
  </si>
  <si>
    <t>Value 568</t>
  </si>
  <si>
    <t>Value 569</t>
  </si>
  <si>
    <t>Value 570</t>
  </si>
  <si>
    <t>Value 571</t>
  </si>
  <si>
    <t>Value 572</t>
  </si>
  <si>
    <t>Value 573</t>
  </si>
  <si>
    <t>Value 574</t>
  </si>
  <si>
    <t>Value 575</t>
  </si>
  <si>
    <t>Value 576</t>
  </si>
  <si>
    <t>Value 577</t>
  </si>
  <si>
    <t>Value 578</t>
  </si>
  <si>
    <t>Value 579</t>
  </si>
  <si>
    <t>Value 580</t>
  </si>
  <si>
    <t>Value 581</t>
  </si>
  <si>
    <t>Value 582</t>
  </si>
  <si>
    <t>Value 583</t>
  </si>
  <si>
    <t>Value 584</t>
  </si>
  <si>
    <t>Value 585</t>
  </si>
  <si>
    <t>Value 586</t>
  </si>
  <si>
    <t>Value 587</t>
  </si>
  <si>
    <t>Value 588</t>
  </si>
  <si>
    <t>Value 589</t>
  </si>
  <si>
    <t>Value 590</t>
  </si>
  <si>
    <t>Value 591</t>
  </si>
  <si>
    <t>Value 592</t>
  </si>
  <si>
    <t>Value 593</t>
  </si>
  <si>
    <t>Value 594</t>
  </si>
  <si>
    <t>Value 595</t>
  </si>
  <si>
    <t>Value 596</t>
  </si>
  <si>
    <t>Value 597</t>
  </si>
  <si>
    <t>Value 598</t>
  </si>
  <si>
    <t>Value 599</t>
  </si>
  <si>
    <t>Value 600</t>
  </si>
  <si>
    <t>Value 601</t>
  </si>
  <si>
    <t>Value 602</t>
  </si>
  <si>
    <t>Value 603</t>
  </si>
  <si>
    <t>Value 604</t>
  </si>
  <si>
    <t>Value 605</t>
  </si>
  <si>
    <t>Value 606</t>
  </si>
  <si>
    <t>Value 607</t>
  </si>
  <si>
    <t>Value 608</t>
  </si>
  <si>
    <t>Value 609</t>
  </si>
  <si>
    <t>Value 610</t>
  </si>
  <si>
    <t>Value 611</t>
  </si>
  <si>
    <t>Value 612</t>
  </si>
  <si>
    <t>Value 613</t>
  </si>
  <si>
    <t>Value 614</t>
  </si>
  <si>
    <t>Value 615</t>
  </si>
  <si>
    <t>Value 616</t>
  </si>
  <si>
    <t>Value 617</t>
  </si>
  <si>
    <t>Value 618</t>
  </si>
  <si>
    <t>Value 619</t>
  </si>
  <si>
    <t>Value 620</t>
  </si>
  <si>
    <t>Value 621</t>
  </si>
  <si>
    <t>Value 622</t>
  </si>
  <si>
    <t>Value 623</t>
  </si>
  <si>
    <t>Value 624</t>
  </si>
  <si>
    <t>Value 625</t>
  </si>
  <si>
    <t>Value 626</t>
  </si>
  <si>
    <t>Value 627</t>
  </si>
  <si>
    <t>Value 628</t>
  </si>
  <si>
    <t>Value 629</t>
  </si>
  <si>
    <t>Value 630</t>
  </si>
  <si>
    <t>Value 631</t>
  </si>
  <si>
    <t>Value 632</t>
  </si>
  <si>
    <t>Value 633</t>
  </si>
  <si>
    <t>Value 634</t>
  </si>
  <si>
    <t>Value 635</t>
  </si>
  <si>
    <t>Value 636</t>
  </si>
  <si>
    <t>Value 637</t>
  </si>
  <si>
    <t>Value 638</t>
  </si>
  <si>
    <t>Value 639</t>
  </si>
  <si>
    <t>Value 640</t>
  </si>
  <si>
    <t>Value 641</t>
  </si>
  <si>
    <t>Value 642</t>
  </si>
  <si>
    <t>Value 643</t>
  </si>
  <si>
    <t>Value 644</t>
  </si>
  <si>
    <t>Value 645</t>
  </si>
  <si>
    <t>Value 646</t>
  </si>
  <si>
    <t>Value 647</t>
  </si>
  <si>
    <t>Value 648</t>
  </si>
  <si>
    <t>Value 649</t>
  </si>
  <si>
    <t>Value 650</t>
  </si>
  <si>
    <t>Value 651</t>
  </si>
  <si>
    <t>Value 652</t>
  </si>
  <si>
    <t>Value 653</t>
  </si>
  <si>
    <t>Value 654</t>
  </si>
  <si>
    <t>Value 655</t>
  </si>
  <si>
    <t>Value 656</t>
  </si>
  <si>
    <t>Value 657</t>
  </si>
  <si>
    <t>Value 658</t>
  </si>
  <si>
    <t>Value 659</t>
  </si>
  <si>
    <t>Value 660</t>
  </si>
  <si>
    <t>Value 661</t>
  </si>
  <si>
    <t>Value 662</t>
  </si>
  <si>
    <t>Value 663</t>
  </si>
  <si>
    <t>Value 664</t>
  </si>
  <si>
    <t>Value 665</t>
  </si>
  <si>
    <t>Value 666</t>
  </si>
  <si>
    <t>Value 667</t>
  </si>
  <si>
    <t>Value 668</t>
  </si>
  <si>
    <t>Value 669</t>
  </si>
  <si>
    <t>Value 670</t>
  </si>
  <si>
    <t>Value 671</t>
  </si>
  <si>
    <t>Value 672</t>
  </si>
  <si>
    <t>Value 673</t>
  </si>
  <si>
    <t>Value 674</t>
  </si>
  <si>
    <t>Value 675</t>
  </si>
  <si>
    <t>Value 676</t>
  </si>
  <si>
    <t>Value 677</t>
  </si>
  <si>
    <t>Value 678</t>
  </si>
  <si>
    <t>Value 679</t>
  </si>
  <si>
    <t>Value 680</t>
  </si>
  <si>
    <t>Value 681</t>
  </si>
  <si>
    <t>Value 682</t>
  </si>
  <si>
    <t>Value 683</t>
  </si>
  <si>
    <t>Value 684</t>
  </si>
  <si>
    <t>Value 685</t>
  </si>
  <si>
    <t>Value 686</t>
  </si>
  <si>
    <t>Value 687</t>
  </si>
  <si>
    <t>Value 688</t>
  </si>
  <si>
    <t>Value 689</t>
  </si>
  <si>
    <t>Value 690</t>
  </si>
  <si>
    <t>Value 691</t>
  </si>
  <si>
    <t>Value 692</t>
  </si>
  <si>
    <t>Value 693</t>
  </si>
  <si>
    <t>Value 694</t>
  </si>
  <si>
    <t>Value 695</t>
  </si>
  <si>
    <t>Value 696</t>
  </si>
  <si>
    <t>Value 697</t>
  </si>
  <si>
    <t>Value 698</t>
  </si>
  <si>
    <t>Value 699</t>
  </si>
  <si>
    <t>Value 700</t>
  </si>
  <si>
    <t>Value 701</t>
  </si>
  <si>
    <t>Value 702</t>
  </si>
  <si>
    <t>Value 703</t>
  </si>
  <si>
    <t>Value 704</t>
  </si>
  <si>
    <t>Value 705</t>
  </si>
  <si>
    <t>Value 706</t>
  </si>
  <si>
    <t>Value 707</t>
  </si>
  <si>
    <t>Value 708</t>
  </si>
  <si>
    <t>Value 709</t>
  </si>
  <si>
    <t>Value 710</t>
  </si>
  <si>
    <t>Value 711</t>
  </si>
  <si>
    <t>Value 712</t>
  </si>
  <si>
    <t>Value 713</t>
  </si>
  <si>
    <t>Value 714</t>
  </si>
  <si>
    <t>Value 715</t>
  </si>
  <si>
    <t>Value 716</t>
  </si>
  <si>
    <t>Value 717</t>
  </si>
  <si>
    <t>Value 718</t>
  </si>
  <si>
    <t>Value 719</t>
  </si>
  <si>
    <t>Value 720</t>
  </si>
  <si>
    <t>Value 721</t>
  </si>
  <si>
    <t>Value 722</t>
  </si>
  <si>
    <t>Value 723</t>
  </si>
  <si>
    <t>Value 724</t>
  </si>
  <si>
    <t>Value 725</t>
  </si>
  <si>
    <t>Value 726</t>
  </si>
  <si>
    <t>Value 727</t>
  </si>
  <si>
    <t>Value 728</t>
  </si>
  <si>
    <t>Value 729</t>
  </si>
  <si>
    <t>Value 730</t>
  </si>
  <si>
    <t>Value 731</t>
  </si>
  <si>
    <t>Value 732</t>
  </si>
  <si>
    <t>Value 733</t>
  </si>
  <si>
    <t>Value 734</t>
  </si>
  <si>
    <t>Value 735</t>
  </si>
  <si>
    <t>Value 736</t>
  </si>
  <si>
    <t>Value 737</t>
  </si>
  <si>
    <t>Value 738</t>
  </si>
  <si>
    <t>Value 739</t>
  </si>
  <si>
    <t>Value 740</t>
  </si>
  <si>
    <t>Value 741</t>
  </si>
  <si>
    <t>Value 742</t>
  </si>
  <si>
    <t>Value 743</t>
  </si>
  <si>
    <t>Value 744</t>
  </si>
  <si>
    <t>Value 745</t>
  </si>
  <si>
    <t>Value 746</t>
  </si>
  <si>
    <t>Value 747</t>
  </si>
  <si>
    <t>Value 748</t>
  </si>
  <si>
    <t>Value 749</t>
  </si>
  <si>
    <t>Value 750</t>
  </si>
  <si>
    <t>Value 751</t>
  </si>
  <si>
    <t>Value 752</t>
  </si>
  <si>
    <t>Value 753</t>
  </si>
  <si>
    <t>Value 754</t>
  </si>
  <si>
    <t>Value 755</t>
  </si>
  <si>
    <t>Value 756</t>
  </si>
  <si>
    <t>Value 757</t>
  </si>
  <si>
    <t>Value 758</t>
  </si>
  <si>
    <t>Value 759</t>
  </si>
  <si>
    <t>Value 760</t>
  </si>
  <si>
    <t>Value 761</t>
  </si>
  <si>
    <t>Value 762</t>
  </si>
  <si>
    <t>Value 763</t>
  </si>
  <si>
    <t>Value 764</t>
  </si>
  <si>
    <t>Value 765</t>
  </si>
  <si>
    <t>Value 766</t>
  </si>
  <si>
    <t>Value 767</t>
  </si>
  <si>
    <t>Value 768</t>
  </si>
  <si>
    <t>Value 769</t>
  </si>
  <si>
    <t>Value 770</t>
  </si>
  <si>
    <t>Value 771</t>
  </si>
  <si>
    <t>Value 772</t>
  </si>
  <si>
    <t>Value 773</t>
  </si>
  <si>
    <t>Value 774</t>
  </si>
  <si>
    <t>Value 775</t>
  </si>
  <si>
    <t>Value 776</t>
  </si>
  <si>
    <t>Value 777</t>
  </si>
  <si>
    <t>Value 778</t>
  </si>
  <si>
    <t>Value 779</t>
  </si>
  <si>
    <t>Value 780</t>
  </si>
  <si>
    <t>Value 781</t>
  </si>
  <si>
    <t>Value 782</t>
  </si>
  <si>
    <t>Value 783</t>
  </si>
  <si>
    <t>Value 784</t>
  </si>
  <si>
    <t>Value 785</t>
  </si>
  <si>
    <t>Value 786</t>
  </si>
  <si>
    <t>Value 787</t>
  </si>
  <si>
    <t>Value 788</t>
  </si>
  <si>
    <t>Value 789</t>
  </si>
  <si>
    <t>Value 790</t>
  </si>
  <si>
    <t>Value 791</t>
  </si>
  <si>
    <t>Value 792</t>
  </si>
  <si>
    <t>Value 793</t>
  </si>
  <si>
    <t>Value 794</t>
  </si>
  <si>
    <t>Value 795</t>
  </si>
  <si>
    <t>Value 796</t>
  </si>
  <si>
    <t>Value 797</t>
  </si>
  <si>
    <t>Value 798</t>
  </si>
  <si>
    <t>Value 799</t>
  </si>
  <si>
    <t>Value 800</t>
  </si>
  <si>
    <t>Value 801</t>
  </si>
  <si>
    <t>Value 802</t>
  </si>
  <si>
    <t>Value 803</t>
  </si>
  <si>
    <t>Value 804</t>
  </si>
  <si>
    <t>Value 805</t>
  </si>
  <si>
    <t>Value 806</t>
  </si>
  <si>
    <t>Value 807</t>
  </si>
  <si>
    <t>Value 808</t>
  </si>
  <si>
    <t>Value 809</t>
  </si>
  <si>
    <t>Value 810</t>
  </si>
  <si>
    <t>Value 811</t>
  </si>
  <si>
    <t>Value 812</t>
  </si>
  <si>
    <t>Value 813</t>
  </si>
  <si>
    <t>Value 814</t>
  </si>
  <si>
    <t>Value 815</t>
  </si>
  <si>
    <t>Value 816</t>
  </si>
  <si>
    <t>Value 817</t>
  </si>
  <si>
    <t>Value 818</t>
  </si>
  <si>
    <t>Value 819</t>
  </si>
  <si>
    <t>Value 820</t>
  </si>
  <si>
    <t>Value 821</t>
  </si>
  <si>
    <t>Value 822</t>
  </si>
  <si>
    <t>Value 823</t>
  </si>
  <si>
    <t>Value 824</t>
  </si>
  <si>
    <t>Value 825</t>
  </si>
  <si>
    <t>Value 826</t>
  </si>
  <si>
    <t>Value 827</t>
  </si>
  <si>
    <t>Value 828</t>
  </si>
  <si>
    <t>Value 829</t>
  </si>
  <si>
    <t>Value 830</t>
  </si>
  <si>
    <t>Value 831</t>
  </si>
  <si>
    <t>Value 832</t>
  </si>
  <si>
    <t>Value 833</t>
  </si>
  <si>
    <t>Value 834</t>
  </si>
  <si>
    <t>Value 835</t>
  </si>
  <si>
    <t>Value 836</t>
  </si>
  <si>
    <t>Value 837</t>
  </si>
  <si>
    <t>Value 838</t>
  </si>
  <si>
    <t>Value 839</t>
  </si>
  <si>
    <t>Value 840</t>
  </si>
  <si>
    <t>Value 841</t>
  </si>
  <si>
    <t>Value 842</t>
  </si>
  <si>
    <t>Value 843</t>
  </si>
  <si>
    <t>Value 844</t>
  </si>
  <si>
    <t>Value 845</t>
  </si>
  <si>
    <t>Value 846</t>
  </si>
  <si>
    <t>Value 847</t>
  </si>
  <si>
    <t>Value 848</t>
  </si>
  <si>
    <t>Value 849</t>
  </si>
  <si>
    <t>Value 850</t>
  </si>
  <si>
    <t>Value 851</t>
  </si>
  <si>
    <t>Value 852</t>
  </si>
  <si>
    <t>Value 853</t>
  </si>
  <si>
    <t>Value 854</t>
  </si>
  <si>
    <t>Value 855</t>
  </si>
  <si>
    <t>Value 856</t>
  </si>
  <si>
    <t>Value 857</t>
  </si>
  <si>
    <t>Value 858</t>
  </si>
  <si>
    <t>Value 859</t>
  </si>
  <si>
    <t>Value 860</t>
  </si>
  <si>
    <t>Value 861</t>
  </si>
  <si>
    <t>Value 862</t>
  </si>
  <si>
    <t>Value 863</t>
  </si>
  <si>
    <t>Value 864</t>
  </si>
  <si>
    <t>Value 865</t>
  </si>
  <si>
    <t>Value 866</t>
  </si>
  <si>
    <t>Value 867</t>
  </si>
  <si>
    <t>Value 868</t>
  </si>
  <si>
    <t>Value 869</t>
  </si>
  <si>
    <t>Value 870</t>
  </si>
  <si>
    <t>Value 871</t>
  </si>
  <si>
    <t>Value 872</t>
  </si>
  <si>
    <t>Value 873</t>
  </si>
  <si>
    <t>Value 874</t>
  </si>
  <si>
    <t>Value 875</t>
  </si>
  <si>
    <t>Value 876</t>
  </si>
  <si>
    <t>Value 877</t>
  </si>
  <si>
    <t>Value 878</t>
  </si>
  <si>
    <t>Value 879</t>
  </si>
  <si>
    <t>Value 880</t>
  </si>
  <si>
    <t>Value 881</t>
  </si>
  <si>
    <t>Value 882</t>
  </si>
  <si>
    <t>Value 883</t>
  </si>
  <si>
    <t>Value 884</t>
  </si>
  <si>
    <t>Value 885</t>
  </si>
  <si>
    <t>Value 886</t>
  </si>
  <si>
    <t>Value 887</t>
  </si>
  <si>
    <t>Value 888</t>
  </si>
  <si>
    <t>Value 889</t>
  </si>
  <si>
    <t>Value 890</t>
  </si>
  <si>
    <t>Value 891</t>
  </si>
  <si>
    <t>Value 892</t>
  </si>
  <si>
    <t>Value 893</t>
  </si>
  <si>
    <t>Value 894</t>
  </si>
  <si>
    <t>Value 895</t>
  </si>
  <si>
    <t>Value 896</t>
  </si>
  <si>
    <t>Value 897</t>
  </si>
  <si>
    <t>Value 898</t>
  </si>
  <si>
    <t>Value 899</t>
  </si>
  <si>
    <t>Value 900</t>
  </si>
  <si>
    <t>Value 901</t>
  </si>
  <si>
    <t>Value 902</t>
  </si>
  <si>
    <t>Value 903</t>
  </si>
  <si>
    <t>Value 904</t>
  </si>
  <si>
    <t>Value 905</t>
  </si>
  <si>
    <t>Value 906</t>
  </si>
  <si>
    <t>Value 907</t>
  </si>
  <si>
    <t>Value 908</t>
  </si>
  <si>
    <t>Value 909</t>
  </si>
  <si>
    <t>Value 910</t>
  </si>
  <si>
    <t>Value 911</t>
  </si>
  <si>
    <t>Value 912</t>
  </si>
  <si>
    <t>Value 913</t>
  </si>
  <si>
    <t>Value 914</t>
  </si>
  <si>
    <t>Value 915</t>
  </si>
  <si>
    <t>Value 916</t>
  </si>
  <si>
    <t>Value 917</t>
  </si>
  <si>
    <t>Value 918</t>
  </si>
  <si>
    <t>Value 919</t>
  </si>
  <si>
    <t>Value 920</t>
  </si>
  <si>
    <t>Value 921</t>
  </si>
  <si>
    <t>Value 922</t>
  </si>
  <si>
    <t>Value 923</t>
  </si>
  <si>
    <t>Value 924</t>
  </si>
  <si>
    <t>Value 925</t>
  </si>
  <si>
    <t>Value 926</t>
  </si>
  <si>
    <t>Value 927</t>
  </si>
  <si>
    <t>Value 928</t>
  </si>
  <si>
    <t>Value 929</t>
  </si>
  <si>
    <t>Value 930</t>
  </si>
  <si>
    <t>Value 931</t>
  </si>
  <si>
    <t>Value 932</t>
  </si>
  <si>
    <t>Value 933</t>
  </si>
  <si>
    <t>Value 934</t>
  </si>
  <si>
    <t>Value 935</t>
  </si>
  <si>
    <t>Value 936</t>
  </si>
  <si>
    <t>Value 937</t>
  </si>
  <si>
    <t>Value 938</t>
  </si>
  <si>
    <t>Value 939</t>
  </si>
  <si>
    <t>Value 940</t>
  </si>
  <si>
    <t>Value 941</t>
  </si>
  <si>
    <t>Value 942</t>
  </si>
  <si>
    <t>Value 943</t>
  </si>
  <si>
    <t>Value 944</t>
  </si>
  <si>
    <t>Value 945</t>
  </si>
  <si>
    <t>Value 946</t>
  </si>
  <si>
    <t>Value 947</t>
  </si>
  <si>
    <t>Value 948</t>
  </si>
  <si>
    <t>Value 949</t>
  </si>
  <si>
    <t>Value 950</t>
  </si>
  <si>
    <t>Value 951</t>
  </si>
  <si>
    <t>Value 952</t>
  </si>
  <si>
    <t>Value 953</t>
  </si>
  <si>
    <t>Value 954</t>
  </si>
  <si>
    <t>Value 955</t>
  </si>
  <si>
    <t>Value 956</t>
  </si>
  <si>
    <t>Value 957</t>
  </si>
  <si>
    <t>Value 958</t>
  </si>
  <si>
    <t>Value 959</t>
  </si>
  <si>
    <t>Value 960</t>
  </si>
  <si>
    <t>Value 961</t>
  </si>
  <si>
    <t>Value 962</t>
  </si>
  <si>
    <t>Value 963</t>
  </si>
  <si>
    <t>Value 964</t>
  </si>
  <si>
    <t>Value 965</t>
  </si>
  <si>
    <t>Value 966</t>
  </si>
  <si>
    <t>Value 967</t>
  </si>
  <si>
    <t>Value 968</t>
  </si>
  <si>
    <t>Value 969</t>
  </si>
  <si>
    <t>Value 970</t>
  </si>
  <si>
    <t>Value 971</t>
  </si>
  <si>
    <t>Value 972</t>
  </si>
  <si>
    <t>Value 973</t>
  </si>
  <si>
    <t>Value 974</t>
  </si>
  <si>
    <t>Value 975</t>
  </si>
  <si>
    <t>Value 976</t>
  </si>
  <si>
    <t>Value 977</t>
  </si>
  <si>
    <t>Value 978</t>
  </si>
  <si>
    <t>Value 979</t>
  </si>
  <si>
    <t>Value 980</t>
  </si>
  <si>
    <t>Value 981</t>
  </si>
  <si>
    <t>Value 982</t>
  </si>
  <si>
    <t>Value 983</t>
  </si>
  <si>
    <t>Value 984</t>
  </si>
  <si>
    <t>Value 985</t>
  </si>
  <si>
    <t>Value 986</t>
  </si>
  <si>
    <t>Value 987</t>
  </si>
  <si>
    <t>Value 988</t>
  </si>
  <si>
    <t>Value 989</t>
  </si>
  <si>
    <t>Value 990</t>
  </si>
  <si>
    <t>Value 991</t>
  </si>
  <si>
    <t>Value 992</t>
  </si>
  <si>
    <t>Value 993</t>
  </si>
  <si>
    <t>Value 994</t>
  </si>
  <si>
    <t>Value 995</t>
  </si>
  <si>
    <t>Value 996</t>
  </si>
  <si>
    <t>Value 997</t>
  </si>
  <si>
    <t>Value 998</t>
  </si>
  <si>
    <t>Value 999</t>
  </si>
  <si>
    <t>Value 1000</t>
  </si>
  <si>
    <t>Value 1001</t>
  </si>
  <si>
    <t>Value 1002</t>
  </si>
  <si>
    <t>Value 1003</t>
  </si>
  <si>
    <t>Value 1004</t>
  </si>
  <si>
    <t>Value 1005</t>
  </si>
  <si>
    <t>Value 1006</t>
  </si>
  <si>
    <t>Value 1007</t>
  </si>
  <si>
    <t>Value 1008</t>
  </si>
  <si>
    <t>Value 1009</t>
  </si>
  <si>
    <t>Value 1010</t>
  </si>
  <si>
    <t>Value 1011</t>
  </si>
  <si>
    <t>Value 1012</t>
  </si>
  <si>
    <t>Value 1013</t>
  </si>
  <si>
    <t>Value 1014</t>
  </si>
  <si>
    <t>Value 1015</t>
  </si>
  <si>
    <t>Value 1016</t>
  </si>
  <si>
    <t>Value 1017</t>
  </si>
  <si>
    <t>Value 1018</t>
  </si>
  <si>
    <t>Value 1019</t>
  </si>
  <si>
    <t>Value 1020</t>
  </si>
  <si>
    <t>Value 1021</t>
  </si>
  <si>
    <t>Value 1022</t>
  </si>
  <si>
    <t>Value 1023</t>
  </si>
  <si>
    <t>Value 1024</t>
  </si>
  <si>
    <t>Value 1025</t>
  </si>
  <si>
    <t>Value 1026</t>
  </si>
  <si>
    <t>Value 1027</t>
  </si>
  <si>
    <t>Value 1028</t>
  </si>
  <si>
    <t>Value 1029</t>
  </si>
  <si>
    <t>Value 1030</t>
  </si>
  <si>
    <t>Value 1031</t>
  </si>
  <si>
    <t>Value 1032</t>
  </si>
  <si>
    <t>Value 1033</t>
  </si>
  <si>
    <t>Value 1034</t>
  </si>
  <si>
    <t>Value 1035</t>
  </si>
  <si>
    <t>Value 1036</t>
  </si>
  <si>
    <t>Value 1037</t>
  </si>
  <si>
    <t>Value 1038</t>
  </si>
  <si>
    <t>Value 1039</t>
  </si>
  <si>
    <t>Value 1040</t>
  </si>
  <si>
    <t>Value 1041</t>
  </si>
  <si>
    <t>Value 1042</t>
  </si>
  <si>
    <t>Value 1043</t>
  </si>
  <si>
    <t>Value 1044</t>
  </si>
  <si>
    <t>Value 1045</t>
  </si>
  <si>
    <t>Value 1046</t>
  </si>
  <si>
    <t>Value 1047</t>
  </si>
  <si>
    <t>Value 1048</t>
  </si>
  <si>
    <t>Value 1049</t>
  </si>
  <si>
    <t>Value 1050</t>
  </si>
  <si>
    <t>Value 1051</t>
  </si>
  <si>
    <t>Value 1052</t>
  </si>
  <si>
    <t>Value 1053</t>
  </si>
  <si>
    <t>Value 1054</t>
  </si>
  <si>
    <t>Value 1055</t>
  </si>
  <si>
    <t>Value 1056</t>
  </si>
  <si>
    <t>Value 1057</t>
  </si>
  <si>
    <t>Value 1058</t>
  </si>
  <si>
    <t>Value 1059</t>
  </si>
  <si>
    <t>Value 1060</t>
  </si>
  <si>
    <t>Value 1061</t>
  </si>
  <si>
    <t>Value 1062</t>
  </si>
  <si>
    <t>Value 1063</t>
  </si>
  <si>
    <t>Value 1064</t>
  </si>
  <si>
    <t>Value 1065</t>
  </si>
  <si>
    <t>Value 1066</t>
  </si>
  <si>
    <t>Value 1067</t>
  </si>
  <si>
    <t>Value 1068</t>
  </si>
  <si>
    <t>Value 1069</t>
  </si>
  <si>
    <t>Value 1070</t>
  </si>
  <si>
    <t>Value 1071</t>
  </si>
  <si>
    <t>Value 1072</t>
  </si>
  <si>
    <t>Value 1073</t>
  </si>
  <si>
    <t>Value 1074</t>
  </si>
  <si>
    <t>Value 1075</t>
  </si>
  <si>
    <t>Value 1076</t>
  </si>
  <si>
    <t>Value 1077</t>
  </si>
  <si>
    <t>Value 1078</t>
  </si>
  <si>
    <t>Value 1079</t>
  </si>
  <si>
    <t>Value 1080</t>
  </si>
  <si>
    <t>Value 1081</t>
  </si>
  <si>
    <t>Value 1082</t>
  </si>
  <si>
    <t>Value 1083</t>
  </si>
  <si>
    <t>Value 1084</t>
  </si>
  <si>
    <t>Value 1085</t>
  </si>
  <si>
    <t>Value 1086</t>
  </si>
  <si>
    <t>Value 1087</t>
  </si>
  <si>
    <t>Value 1088</t>
  </si>
  <si>
    <t>Value 1089</t>
  </si>
  <si>
    <t>Value 1090</t>
  </si>
  <si>
    <t>Value 1091</t>
  </si>
  <si>
    <t>Value 1092</t>
  </si>
  <si>
    <t>Value 1093</t>
  </si>
  <si>
    <t>Value 1094</t>
  </si>
  <si>
    <t>Value 1095</t>
  </si>
  <si>
    <t>Value 1096</t>
  </si>
  <si>
    <t>Value 1097</t>
  </si>
  <si>
    <t>Value 1098</t>
  </si>
  <si>
    <t>Value 1099</t>
  </si>
  <si>
    <t>Value 1100</t>
  </si>
  <si>
    <t>Value 1101</t>
  </si>
  <si>
    <t>Value 1102</t>
  </si>
  <si>
    <t>Value 1103</t>
  </si>
  <si>
    <t>Value 1104</t>
  </si>
  <si>
    <t>Value 1105</t>
  </si>
  <si>
    <t>Value 1106</t>
  </si>
  <si>
    <t>Value 1107</t>
  </si>
  <si>
    <t>Value 1108</t>
  </si>
  <si>
    <t>Value 1109</t>
  </si>
  <si>
    <t>Value 1110</t>
  </si>
  <si>
    <t>Value 1111</t>
  </si>
  <si>
    <t>Value 1112</t>
  </si>
  <si>
    <t>Value 1113</t>
  </si>
  <si>
    <t>Value 1114</t>
  </si>
  <si>
    <t>Value 1115</t>
  </si>
  <si>
    <t>Value 1116</t>
  </si>
  <si>
    <t>Value 1117</t>
  </si>
  <si>
    <t>Value 1118</t>
  </si>
  <si>
    <t>Value 1119</t>
  </si>
  <si>
    <t>Value 1120</t>
  </si>
  <si>
    <t>Value 1121</t>
  </si>
  <si>
    <t>Value 1122</t>
  </si>
  <si>
    <t>Value 1123</t>
  </si>
  <si>
    <t>Value 1124</t>
  </si>
  <si>
    <t>Value 1125</t>
  </si>
  <si>
    <t>Value 1126</t>
  </si>
  <si>
    <t>Value 1127</t>
  </si>
  <si>
    <t>Value 1128</t>
  </si>
  <si>
    <t>Value 1129</t>
  </si>
  <si>
    <t>Value 1130</t>
  </si>
  <si>
    <t>Value 1131</t>
  </si>
  <si>
    <t>Value 1132</t>
  </si>
  <si>
    <t>Value 1133</t>
  </si>
  <si>
    <t>Value 1134</t>
  </si>
  <si>
    <t>Value 1135</t>
  </si>
  <si>
    <t>Value 1136</t>
  </si>
  <si>
    <t>Value 1137</t>
  </si>
  <si>
    <t>Value 1138</t>
  </si>
  <si>
    <t>Value 1139</t>
  </si>
  <si>
    <t>Value 1140</t>
  </si>
  <si>
    <t>Value 1141</t>
  </si>
  <si>
    <t>Value 1142</t>
  </si>
  <si>
    <t>Value 1143</t>
  </si>
  <si>
    <t>Value 1144</t>
  </si>
  <si>
    <t>Value 1145</t>
  </si>
  <si>
    <t>Value 1146</t>
  </si>
  <si>
    <t>Value 1147</t>
  </si>
  <si>
    <t>Value 1148</t>
  </si>
  <si>
    <t>Value 1149</t>
  </si>
  <si>
    <t>Value 1150</t>
  </si>
  <si>
    <t>Value 1151</t>
  </si>
  <si>
    <t>Value 1152</t>
  </si>
  <si>
    <t>Value 1153</t>
  </si>
  <si>
    <t>Value 1154</t>
  </si>
  <si>
    <t>Value 1155</t>
  </si>
  <si>
    <t>Value 1156</t>
  </si>
  <si>
    <t>Value 1157</t>
  </si>
  <si>
    <t>Value 1158</t>
  </si>
  <si>
    <t>Value 1159</t>
  </si>
  <si>
    <t>Value 1160</t>
  </si>
  <si>
    <t>Value 1161</t>
  </si>
  <si>
    <t>Value 1162</t>
  </si>
  <si>
    <t>Value 1163</t>
  </si>
  <si>
    <t>Value 1164</t>
  </si>
  <si>
    <t>Value 1165</t>
  </si>
  <si>
    <t>Value 1166</t>
  </si>
  <si>
    <t>Value 1167</t>
  </si>
  <si>
    <t>Value 1168</t>
  </si>
  <si>
    <t>Value 1169</t>
  </si>
  <si>
    <t>Value 1170</t>
  </si>
  <si>
    <t>Value 1171</t>
  </si>
  <si>
    <t>Value 1172</t>
  </si>
  <si>
    <t>Value 1173</t>
  </si>
  <si>
    <t>Value 1174</t>
  </si>
  <si>
    <t>Value 1175</t>
  </si>
  <si>
    <t>Value 1176</t>
  </si>
  <si>
    <t>Value 1177</t>
  </si>
  <si>
    <t>Value 1178</t>
  </si>
  <si>
    <t>Value 1179</t>
  </si>
  <si>
    <t>Value 1180</t>
  </si>
  <si>
    <t>Value 1181</t>
  </si>
  <si>
    <t>Value 1182</t>
  </si>
  <si>
    <t>Value 1183</t>
  </si>
  <si>
    <t>Value 1184</t>
  </si>
  <si>
    <t>Value 1185</t>
  </si>
  <si>
    <t>Value 1186</t>
  </si>
  <si>
    <t>Value 1187</t>
  </si>
  <si>
    <t>Value 1188</t>
  </si>
  <si>
    <t>Value 1189</t>
  </si>
  <si>
    <t>Value 1190</t>
  </si>
  <si>
    <t>Value 1191</t>
  </si>
  <si>
    <t>Value 1192</t>
  </si>
  <si>
    <t>Value 1193</t>
  </si>
  <si>
    <t>Value 1194</t>
  </si>
  <si>
    <t>Value 1195</t>
  </si>
  <si>
    <t>Value 1196</t>
  </si>
  <si>
    <t>Value 1197</t>
  </si>
  <si>
    <t>Value 1198</t>
  </si>
  <si>
    <t>Value 1199</t>
  </si>
  <si>
    <t>Value 1200</t>
  </si>
  <si>
    <t>Value 1201</t>
  </si>
  <si>
    <t>Value 1202</t>
  </si>
  <si>
    <t>Value 1203</t>
  </si>
  <si>
    <t>Value 1204</t>
  </si>
  <si>
    <t>Value 1205</t>
  </si>
  <si>
    <t>Value 1206</t>
  </si>
  <si>
    <t>Value 1207</t>
  </si>
  <si>
    <t>Value 1208</t>
  </si>
  <si>
    <t>Value 1209</t>
  </si>
  <si>
    <t>Value 1210</t>
  </si>
  <si>
    <t>Value 1211</t>
  </si>
  <si>
    <t>Value 1212</t>
  </si>
  <si>
    <t>Value 1213</t>
  </si>
  <si>
    <t>Value 1214</t>
  </si>
  <si>
    <t>Value 1215</t>
  </si>
  <si>
    <t>Value 1216</t>
  </si>
  <si>
    <t>Value 1217</t>
  </si>
  <si>
    <t>Value 1218</t>
  </si>
  <si>
    <t>Value 1219</t>
  </si>
  <si>
    <t>Value 1220</t>
  </si>
  <si>
    <t>Value 1221</t>
  </si>
  <si>
    <t>Value 1222</t>
  </si>
  <si>
    <t>Value 1223</t>
  </si>
  <si>
    <t>Value 1224</t>
  </si>
  <si>
    <t>Value 1225</t>
  </si>
  <si>
    <t>Value 1226</t>
  </si>
  <si>
    <t>Value 1227</t>
  </si>
  <si>
    <t>Value 1228</t>
  </si>
  <si>
    <t>Value 1229</t>
  </si>
  <si>
    <t>Value 1230</t>
  </si>
  <si>
    <t>Value 1231</t>
  </si>
  <si>
    <t>Value 1232</t>
  </si>
  <si>
    <t>Value 1233</t>
  </si>
  <si>
    <t>Value 1234</t>
  </si>
  <si>
    <t>Value 1235</t>
  </si>
  <si>
    <t>Value 1236</t>
  </si>
  <si>
    <t>Value 1237</t>
  </si>
  <si>
    <t>Value 1238</t>
  </si>
  <si>
    <t>Value 1239</t>
  </si>
  <si>
    <t>Value 1240</t>
  </si>
  <si>
    <t>Value 1241</t>
  </si>
  <si>
    <t>Value 1242</t>
  </si>
  <si>
    <t>Value 1243</t>
  </si>
  <si>
    <t>Value 1244</t>
  </si>
  <si>
    <t>Value 1245</t>
  </si>
  <si>
    <t>Value 1246</t>
  </si>
  <si>
    <t>Value 1247</t>
  </si>
  <si>
    <t>Value 1248</t>
  </si>
  <si>
    <t>Value 1249</t>
  </si>
  <si>
    <t>Value 1250</t>
  </si>
  <si>
    <t>Value 1251</t>
  </si>
  <si>
    <t>Value 1252</t>
  </si>
  <si>
    <t>Value 1253</t>
  </si>
  <si>
    <t>Value 1254</t>
  </si>
  <si>
    <t>Value 1255</t>
  </si>
  <si>
    <t>Value 1256</t>
  </si>
  <si>
    <t>Value 1257</t>
  </si>
  <si>
    <t>Value 1258</t>
  </si>
  <si>
    <t>Value 1259</t>
  </si>
  <si>
    <t>Value 1260</t>
  </si>
  <si>
    <t>Value 1261</t>
  </si>
  <si>
    <t>Value 1262</t>
  </si>
  <si>
    <t>Value 1263</t>
  </si>
  <si>
    <t>Value 1264</t>
  </si>
  <si>
    <t>Value 1265</t>
  </si>
  <si>
    <t>Value 1266</t>
  </si>
  <si>
    <t>Value 1267</t>
  </si>
  <si>
    <t>Value 1268</t>
  </si>
  <si>
    <t>Value 1269</t>
  </si>
  <si>
    <t>Value 1270</t>
  </si>
  <si>
    <t>Value 1271</t>
  </si>
  <si>
    <t>Value 1272</t>
  </si>
  <si>
    <t>Value 1273</t>
  </si>
  <si>
    <t>Value 1274</t>
  </si>
  <si>
    <t>Value 1275</t>
  </si>
  <si>
    <t>Value 1276</t>
  </si>
  <si>
    <t>Value 1277</t>
  </si>
  <si>
    <t>Value 1278</t>
  </si>
  <si>
    <t>Value 1279</t>
  </si>
  <si>
    <t>Value 1280</t>
  </si>
  <si>
    <t>Value 1281</t>
  </si>
  <si>
    <t>Value 1282</t>
  </si>
  <si>
    <t>Value 1283</t>
  </si>
  <si>
    <t>Value 1284</t>
  </si>
  <si>
    <t>Value 1285</t>
  </si>
  <si>
    <t>Value 1286</t>
  </si>
  <si>
    <t>Value 1287</t>
  </si>
  <si>
    <t>Value 1288</t>
  </si>
  <si>
    <t>Value 1289</t>
  </si>
  <si>
    <t>Value 1290</t>
  </si>
  <si>
    <t>Value 1291</t>
  </si>
  <si>
    <t>Value 1292</t>
  </si>
  <si>
    <t>Value 1293</t>
  </si>
  <si>
    <t>Value 1294</t>
  </si>
  <si>
    <t>Value 1295</t>
  </si>
  <si>
    <t>Value 1296</t>
  </si>
  <si>
    <t>Value 1297</t>
  </si>
  <si>
    <t>Value 1298</t>
  </si>
  <si>
    <t>Value 1299</t>
  </si>
  <si>
    <t>Value 1300</t>
  </si>
  <si>
    <t>Value 1301</t>
  </si>
  <si>
    <t>Value 1302</t>
  </si>
  <si>
    <t>Value 1303</t>
  </si>
  <si>
    <t>Value 1304</t>
  </si>
  <si>
    <t>Value 1305</t>
  </si>
  <si>
    <t>Value 1306</t>
  </si>
  <si>
    <t>Value 1307</t>
  </si>
  <si>
    <t>Value 1308</t>
  </si>
  <si>
    <t>Value 1309</t>
  </si>
  <si>
    <t>Value 1310</t>
  </si>
  <si>
    <t>Value 1311</t>
  </si>
  <si>
    <t>Value 1312</t>
  </si>
  <si>
    <t>Value 1313</t>
  </si>
  <si>
    <t>Value 1314</t>
  </si>
  <si>
    <t>Value 1315</t>
  </si>
  <si>
    <t>Value 1316</t>
  </si>
  <si>
    <t>Value 1317</t>
  </si>
  <si>
    <t>Value 1318</t>
  </si>
  <si>
    <t>Value 1319</t>
  </si>
  <si>
    <t>Value 1320</t>
  </si>
  <si>
    <t>Value 1321</t>
  </si>
  <si>
    <t>Value 1322</t>
  </si>
  <si>
    <t>Value 1323</t>
  </si>
  <si>
    <t>Value 1324</t>
  </si>
  <si>
    <t>Value 1325</t>
  </si>
  <si>
    <t>Value 1326</t>
  </si>
  <si>
    <t>Value 1327</t>
  </si>
  <si>
    <t>Value 1328</t>
  </si>
  <si>
    <t>Value 1329</t>
  </si>
  <si>
    <t>Value 1330</t>
  </si>
  <si>
    <t>Value 1331</t>
  </si>
  <si>
    <t>Value 1332</t>
  </si>
  <si>
    <t>Value 1333</t>
  </si>
  <si>
    <t>Value 1334</t>
  </si>
  <si>
    <t>Value 1335</t>
  </si>
  <si>
    <t>Value 1336</t>
  </si>
  <si>
    <t>Value 1337</t>
  </si>
  <si>
    <t>Value 1338</t>
  </si>
  <si>
    <t>Value 1339</t>
  </si>
  <si>
    <t>Value 1340</t>
  </si>
  <si>
    <t>Value 1341</t>
  </si>
  <si>
    <t>Value 1342</t>
  </si>
  <si>
    <t>Value 1343</t>
  </si>
  <si>
    <t>Value 1344</t>
  </si>
  <si>
    <t>Value 1345</t>
  </si>
  <si>
    <t>Value 1346</t>
  </si>
  <si>
    <t>Value 1347</t>
  </si>
  <si>
    <t>Value 1348</t>
  </si>
  <si>
    <t>Value 1349</t>
  </si>
  <si>
    <t>Value 1350</t>
  </si>
  <si>
    <t>Value 1351</t>
  </si>
  <si>
    <t>Value 1352</t>
  </si>
  <si>
    <t>Value 1353</t>
  </si>
  <si>
    <t>Value 1354</t>
  </si>
  <si>
    <t>Value 1355</t>
  </si>
  <si>
    <t>Value 1356</t>
  </si>
  <si>
    <t>Value 1357</t>
  </si>
  <si>
    <t>Value 1358</t>
  </si>
  <si>
    <t>Value 1359</t>
  </si>
  <si>
    <t>Value 1360</t>
  </si>
  <si>
    <t>Value 1361</t>
  </si>
  <si>
    <t>Value 1362</t>
  </si>
  <si>
    <t>Value 1363</t>
  </si>
  <si>
    <t>Value 1364</t>
  </si>
  <si>
    <t>Value 1365</t>
  </si>
  <si>
    <t>Value 1366</t>
  </si>
  <si>
    <t>Value 1367</t>
  </si>
  <si>
    <t>Value 1368</t>
  </si>
  <si>
    <t>Value 1369</t>
  </si>
  <si>
    <t>Value 1370</t>
  </si>
  <si>
    <t>Value 1371</t>
  </si>
  <si>
    <t>Value 1372</t>
  </si>
  <si>
    <t>Value 1373</t>
  </si>
  <si>
    <t>Value 1374</t>
  </si>
  <si>
    <t>Value 1375</t>
  </si>
  <si>
    <t>Value 1376</t>
  </si>
  <si>
    <t>Value 1377</t>
  </si>
  <si>
    <t>Value 1378</t>
  </si>
  <si>
    <t>Value 1379</t>
  </si>
  <si>
    <t>Value 1380</t>
  </si>
  <si>
    <t>Value 1381</t>
  </si>
  <si>
    <t>Value 1382</t>
  </si>
  <si>
    <t>Value 1383</t>
  </si>
  <si>
    <t>Value 1384</t>
  </si>
  <si>
    <t>Value 1385</t>
  </si>
  <si>
    <t>Value 1386</t>
  </si>
  <si>
    <t>Value 1387</t>
  </si>
  <si>
    <t>Value 1388</t>
  </si>
  <si>
    <t>Value 1389</t>
  </si>
  <si>
    <t>Value 1390</t>
  </si>
  <si>
    <t>Value 1391</t>
  </si>
  <si>
    <t>Value 1392</t>
  </si>
  <si>
    <t>Value 1393</t>
  </si>
  <si>
    <t>Value 1394</t>
  </si>
  <si>
    <t>Value 1395</t>
  </si>
  <si>
    <t>Value 1396</t>
  </si>
  <si>
    <t>Value 1397</t>
  </si>
  <si>
    <t>Value 1398</t>
  </si>
  <si>
    <t>Value 1399</t>
  </si>
  <si>
    <t>Value 1400</t>
  </si>
  <si>
    <t>Value 1401</t>
  </si>
  <si>
    <t>Value 1402</t>
  </si>
  <si>
    <t>Value 1403</t>
  </si>
  <si>
    <t>Value 1404</t>
  </si>
  <si>
    <t>Value 1405</t>
  </si>
  <si>
    <t>Value 1406</t>
  </si>
  <si>
    <t>Value 1407</t>
  </si>
  <si>
    <t>Value 1408</t>
  </si>
  <si>
    <t>Value 1409</t>
  </si>
  <si>
    <t>Value 1410</t>
  </si>
  <si>
    <t>Value 1411</t>
  </si>
  <si>
    <t>Value 1412</t>
  </si>
  <si>
    <t>Value 1413</t>
  </si>
  <si>
    <t>Value 1414</t>
  </si>
  <si>
    <t>Value 1415</t>
  </si>
  <si>
    <t>Value 1416</t>
  </si>
  <si>
    <t>Value 1417</t>
  </si>
  <si>
    <t>Value 1418</t>
  </si>
  <si>
    <t>Value 1419</t>
  </si>
  <si>
    <t>Value 1420</t>
  </si>
  <si>
    <t>Value 1421</t>
  </si>
  <si>
    <t>Value 1422</t>
  </si>
  <si>
    <t>Value 1423</t>
  </si>
  <si>
    <t>Value 1424</t>
  </si>
  <si>
    <t>Value 1425</t>
  </si>
  <si>
    <t>Value 1426</t>
  </si>
  <si>
    <t>Value 1427</t>
  </si>
  <si>
    <t>Value 1428</t>
  </si>
  <si>
    <t>Value 1429</t>
  </si>
  <si>
    <t>Value 1430</t>
  </si>
  <si>
    <t>Value 1431</t>
  </si>
  <si>
    <t>Value 1432</t>
  </si>
  <si>
    <t>Value 1433</t>
  </si>
  <si>
    <t>Value 1434</t>
  </si>
  <si>
    <t>Value 1435</t>
  </si>
  <si>
    <t>Value 1436</t>
  </si>
  <si>
    <t>Value 1437</t>
  </si>
  <si>
    <t>Value 1438</t>
  </si>
  <si>
    <t>Value 1439</t>
  </si>
  <si>
    <t>Value 1440</t>
  </si>
  <si>
    <t>Value 1441</t>
  </si>
  <si>
    <t>Value 1442</t>
  </si>
  <si>
    <t>Value 1443</t>
  </si>
  <si>
    <t>Value 1444</t>
  </si>
  <si>
    <t>Value 1445</t>
  </si>
  <si>
    <t>Value 1446</t>
  </si>
  <si>
    <t>Value 1447</t>
  </si>
  <si>
    <t>Value 1448</t>
  </si>
  <si>
    <t>Value 1449</t>
  </si>
  <si>
    <t>Value 1450</t>
  </si>
  <si>
    <t>Value 1451</t>
  </si>
  <si>
    <t>Value 1452</t>
  </si>
  <si>
    <t>Value 1453</t>
  </si>
  <si>
    <t>Value 1454</t>
  </si>
  <si>
    <t>Value 1455</t>
  </si>
  <si>
    <t>Value 1456</t>
  </si>
  <si>
    <t>Value 1457</t>
  </si>
  <si>
    <t>Value 1458</t>
  </si>
  <si>
    <t>Value 1459</t>
  </si>
  <si>
    <t>Value 1460</t>
  </si>
  <si>
    <t>Value 1461</t>
  </si>
  <si>
    <t>Value 1462</t>
  </si>
  <si>
    <t>Value 1463</t>
  </si>
  <si>
    <t>Value 1464</t>
  </si>
  <si>
    <t>Value 1465</t>
  </si>
  <si>
    <t>Value 1466</t>
  </si>
  <si>
    <t>Value 1467</t>
  </si>
  <si>
    <t>Value 1468</t>
  </si>
  <si>
    <t>Value 1469</t>
  </si>
  <si>
    <t>Value 1470</t>
  </si>
  <si>
    <t>Value 1471</t>
  </si>
  <si>
    <t>Value 1472</t>
  </si>
  <si>
    <t>Value 1473</t>
  </si>
  <si>
    <t>Value 1474</t>
  </si>
  <si>
    <t>Value 1475</t>
  </si>
  <si>
    <t>Value 1476</t>
  </si>
  <si>
    <t>Value 1477</t>
  </si>
  <si>
    <t>Value 1478</t>
  </si>
  <si>
    <t>Value 1479</t>
  </si>
  <si>
    <t>Value 1480</t>
  </si>
  <si>
    <t>Value 1481</t>
  </si>
  <si>
    <t>Value 1482</t>
  </si>
  <si>
    <t>Value 1483</t>
  </si>
  <si>
    <t>Value 1484</t>
  </si>
  <si>
    <t>Value 1485</t>
  </si>
  <si>
    <t>Value 1486</t>
  </si>
  <si>
    <t>Value 1487</t>
  </si>
  <si>
    <t>Value 1488</t>
  </si>
  <si>
    <t>Value 1489</t>
  </si>
  <si>
    <t>Value 1490</t>
  </si>
  <si>
    <t>Value 1491</t>
  </si>
  <si>
    <t>Value 1492</t>
  </si>
  <si>
    <t>Value 1493</t>
  </si>
  <si>
    <t>Value 1494</t>
  </si>
  <si>
    <t>Value 1495</t>
  </si>
  <si>
    <t>Value 1496</t>
  </si>
  <si>
    <t>Value 1497</t>
  </si>
  <si>
    <t>Value 1498</t>
  </si>
  <si>
    <t>Value 1499</t>
  </si>
  <si>
    <t>Value 1500</t>
  </si>
  <si>
    <t>Value 1501</t>
  </si>
  <si>
    <t>Value 1502</t>
  </si>
  <si>
    <t>Value 1503</t>
  </si>
  <si>
    <t>Value 1504</t>
  </si>
  <si>
    <t>Value 1505</t>
  </si>
  <si>
    <t>Value 1506</t>
  </si>
  <si>
    <t>Value 1507</t>
  </si>
  <si>
    <t>Value 1508</t>
  </si>
  <si>
    <t>Value 1509</t>
  </si>
  <si>
    <t>Value 1510</t>
  </si>
  <si>
    <t>Value 1511</t>
  </si>
  <si>
    <t>Value 1512</t>
  </si>
  <si>
    <t>Value 1513</t>
  </si>
  <si>
    <t>Value 1514</t>
  </si>
  <si>
    <t>Value 1515</t>
  </si>
  <si>
    <t>Value 1516</t>
  </si>
  <si>
    <t>Value 1517</t>
  </si>
  <si>
    <t>Value 1518</t>
  </si>
  <si>
    <t>Value 1519</t>
  </si>
  <si>
    <t>Value 1520</t>
  </si>
  <si>
    <t>Value 1521</t>
  </si>
  <si>
    <t>Value 1522</t>
  </si>
  <si>
    <t>Value 1523</t>
  </si>
  <si>
    <t>Value 1524</t>
  </si>
  <si>
    <t>Value 1525</t>
  </si>
  <si>
    <t>Value 1526</t>
  </si>
  <si>
    <t>Value 1527</t>
  </si>
  <si>
    <t>Value 1528</t>
  </si>
  <si>
    <t>Value 1529</t>
  </si>
  <si>
    <t>Value 1530</t>
  </si>
  <si>
    <t>Value 1531</t>
  </si>
  <si>
    <t>Value 1532</t>
  </si>
  <si>
    <t>Value 1533</t>
  </si>
  <si>
    <t>Value 1534</t>
  </si>
  <si>
    <t>Value 1535</t>
  </si>
  <si>
    <t>Value 1536</t>
  </si>
  <si>
    <t>Value 1537</t>
  </si>
  <si>
    <t>Value 1538</t>
  </si>
  <si>
    <t>Value 1539</t>
  </si>
  <si>
    <t>Value 1540</t>
  </si>
  <si>
    <t>Value 1541</t>
  </si>
  <si>
    <t>Value 1542</t>
  </si>
  <si>
    <t>Value 1543</t>
  </si>
  <si>
    <t>Value 1544</t>
  </si>
  <si>
    <t>Value 1545</t>
  </si>
  <si>
    <t>Value 1546</t>
  </si>
  <si>
    <t>Value 1547</t>
  </si>
  <si>
    <t>Value 1548</t>
  </si>
  <si>
    <t>Value 1549</t>
  </si>
  <si>
    <t>Value 1550</t>
  </si>
  <si>
    <t>Value 1551</t>
  </si>
  <si>
    <t>Value 1552</t>
  </si>
  <si>
    <t>Value 1553</t>
  </si>
  <si>
    <t>Value 1554</t>
  </si>
  <si>
    <t>Value 1555</t>
  </si>
  <si>
    <t>Value 1556</t>
  </si>
  <si>
    <t>Value 1557</t>
  </si>
  <si>
    <t>Value 1558</t>
  </si>
  <si>
    <t>Value 1559</t>
  </si>
  <si>
    <t>Value 1560</t>
  </si>
  <si>
    <t>Value 1561</t>
  </si>
  <si>
    <t>Value 1562</t>
  </si>
  <si>
    <t>Value 1563</t>
  </si>
  <si>
    <t>Value 1564</t>
  </si>
  <si>
    <t>Value 1565</t>
  </si>
  <si>
    <t>Value 1566</t>
  </si>
  <si>
    <t>Value 1567</t>
  </si>
  <si>
    <t>Value 1568</t>
  </si>
  <si>
    <t>Value 1569</t>
  </si>
  <si>
    <t>Value 1570</t>
  </si>
  <si>
    <t>Value 1571</t>
  </si>
  <si>
    <t>Value 1572</t>
  </si>
  <si>
    <t>Value 1573</t>
  </si>
  <si>
    <t>Value 1574</t>
  </si>
  <si>
    <t>Value 1575</t>
  </si>
  <si>
    <t>Value 1576</t>
  </si>
  <si>
    <t>Value 1577</t>
  </si>
  <si>
    <t>Value 1578</t>
  </si>
  <si>
    <t>Value 1579</t>
  </si>
  <si>
    <t>Value 1580</t>
  </si>
  <si>
    <t>Value 1581</t>
  </si>
  <si>
    <t>Value 1582</t>
  </si>
  <si>
    <t>Value 1583</t>
  </si>
  <si>
    <t>Value 1584</t>
  </si>
  <si>
    <t>Value 1585</t>
  </si>
  <si>
    <t>Value 1586</t>
  </si>
  <si>
    <t>Value 1587</t>
  </si>
  <si>
    <t>Value 1588</t>
  </si>
  <si>
    <t>Value 1589</t>
  </si>
  <si>
    <t>Value 1590</t>
  </si>
  <si>
    <t>Value 1591</t>
  </si>
  <si>
    <t>Value 1592</t>
  </si>
  <si>
    <t>Value 1593</t>
  </si>
  <si>
    <t>Value 1594</t>
  </si>
  <si>
    <t>Value 1595</t>
  </si>
  <si>
    <t>Value 1596</t>
  </si>
  <si>
    <t>Value 1597</t>
  </si>
  <si>
    <t>Value 1598</t>
  </si>
  <si>
    <t>Value 1599</t>
  </si>
  <si>
    <t>Value 1600</t>
  </si>
  <si>
    <t>Value 1601</t>
  </si>
  <si>
    <t>Value 1602</t>
  </si>
  <si>
    <t>Value 1603</t>
  </si>
  <si>
    <t>Value 1604</t>
  </si>
  <si>
    <t>Value 1605</t>
  </si>
  <si>
    <t>Value 1606</t>
  </si>
  <si>
    <t>Value 1607</t>
  </si>
  <si>
    <t>Value 1608</t>
  </si>
  <si>
    <t>Value 1609</t>
  </si>
  <si>
    <t>Value 1610</t>
  </si>
  <si>
    <t>Value 1611</t>
  </si>
  <si>
    <t>Value 1612</t>
  </si>
  <si>
    <t>Value 1613</t>
  </si>
  <si>
    <t>Value 1614</t>
  </si>
  <si>
    <t>Value 1615</t>
  </si>
  <si>
    <t>Value 1616</t>
  </si>
  <si>
    <t>Value 1617</t>
  </si>
  <si>
    <t>Value 1618</t>
  </si>
  <si>
    <t>Value 1619</t>
  </si>
  <si>
    <t>Value 1620</t>
  </si>
  <si>
    <t>Value 1621</t>
  </si>
  <si>
    <t>Value 1622</t>
  </si>
  <si>
    <t>Value 1623</t>
  </si>
  <si>
    <t>Value 1624</t>
  </si>
  <si>
    <t>Value 1625</t>
  </si>
  <si>
    <t>Value 1626</t>
  </si>
  <si>
    <t>Value 1627</t>
  </si>
  <si>
    <t>Value 1628</t>
  </si>
  <si>
    <t>Value 1629</t>
  </si>
  <si>
    <t>Value 1630</t>
  </si>
  <si>
    <t>Value 1631</t>
  </si>
  <si>
    <t>Value 1632</t>
  </si>
  <si>
    <t>Value 1633</t>
  </si>
  <si>
    <t>Value 1634</t>
  </si>
  <si>
    <t>Value 1635</t>
  </si>
  <si>
    <t>Value 1636</t>
  </si>
  <si>
    <t>Value 1637</t>
  </si>
  <si>
    <t>Value 1638</t>
  </si>
  <si>
    <t>Value 1639</t>
  </si>
  <si>
    <t>Value 1640</t>
  </si>
  <si>
    <t>Value 1641</t>
  </si>
  <si>
    <t>Value 1642</t>
  </si>
  <si>
    <t>Value 1643</t>
  </si>
  <si>
    <t>Value 1644</t>
  </si>
  <si>
    <t>Value 1645</t>
  </si>
  <si>
    <t>Value 1646</t>
  </si>
  <si>
    <t>Value 1647</t>
  </si>
  <si>
    <t>Value 1648</t>
  </si>
  <si>
    <t>Value 1649</t>
  </si>
  <si>
    <t>Value 1650</t>
  </si>
  <si>
    <t>Value 1651</t>
  </si>
  <si>
    <t>Value 1652</t>
  </si>
  <si>
    <t>Value 1653</t>
  </si>
  <si>
    <t>Value 1654</t>
  </si>
  <si>
    <t>Value 1655</t>
  </si>
  <si>
    <t>Value 1656</t>
  </si>
  <si>
    <t>Value 1657</t>
  </si>
  <si>
    <t>Value 1658</t>
  </si>
  <si>
    <t>Value 1659</t>
  </si>
  <si>
    <t>Value 1660</t>
  </si>
  <si>
    <t>Value 1661</t>
  </si>
  <si>
    <t>Value 1662</t>
  </si>
  <si>
    <t>Value 1663</t>
  </si>
  <si>
    <t>Value 1664</t>
  </si>
  <si>
    <t>Value 1665</t>
  </si>
  <si>
    <t>Value 1666</t>
  </si>
  <si>
    <t>Value 1667</t>
  </si>
  <si>
    <t>Value 1668</t>
  </si>
  <si>
    <t>Value 1669</t>
  </si>
  <si>
    <t>Value 1670</t>
  </si>
  <si>
    <t>Value 1671</t>
  </si>
  <si>
    <t>Value 1672</t>
  </si>
  <si>
    <t>Value 1673</t>
  </si>
  <si>
    <t>Value 1674</t>
  </si>
  <si>
    <t>Value 1675</t>
  </si>
  <si>
    <t>Value 1676</t>
  </si>
  <si>
    <t>Value 1677</t>
  </si>
  <si>
    <t>Value 1678</t>
  </si>
  <si>
    <t>Value 1679</t>
  </si>
  <si>
    <t>Value 1680</t>
  </si>
  <si>
    <t>Value 1681</t>
  </si>
  <si>
    <t>Value 1682</t>
  </si>
  <si>
    <t>Value 1683</t>
  </si>
  <si>
    <t>Value 1684</t>
  </si>
  <si>
    <t>Value 1685</t>
  </si>
  <si>
    <t>Value 1686</t>
  </si>
  <si>
    <t>Value 1687</t>
  </si>
  <si>
    <t>Value 1688</t>
  </si>
  <si>
    <t>Value 1689</t>
  </si>
  <si>
    <t>Value 1690</t>
  </si>
  <si>
    <t>Value 1691</t>
  </si>
  <si>
    <t>Value 1692</t>
  </si>
  <si>
    <t>Value 1693</t>
  </si>
  <si>
    <t>Value 1694</t>
  </si>
  <si>
    <t>Value 1695</t>
  </si>
  <si>
    <t>Value 1696</t>
  </si>
  <si>
    <t>Value 1697</t>
  </si>
  <si>
    <t>Value 1698</t>
  </si>
  <si>
    <t>Value 1699</t>
  </si>
  <si>
    <t>Value 1700</t>
  </si>
  <si>
    <t>Value 1701</t>
  </si>
  <si>
    <t>Value 1702</t>
  </si>
  <si>
    <t>Value 1703</t>
  </si>
  <si>
    <t>Value 1704</t>
  </si>
  <si>
    <t>Value 1705</t>
  </si>
  <si>
    <t>Value 1706</t>
  </si>
  <si>
    <t>Value 1707</t>
  </si>
  <si>
    <t>Value 1708</t>
  </si>
  <si>
    <t>Value 1709</t>
  </si>
  <si>
    <t>Value 1710</t>
  </si>
  <si>
    <t>Value 1711</t>
  </si>
  <si>
    <t>Value 1712</t>
  </si>
  <si>
    <t>Value 1713</t>
  </si>
  <si>
    <t>Value 1714</t>
  </si>
  <si>
    <t>Value 1715</t>
  </si>
  <si>
    <t>Value 1716</t>
  </si>
  <si>
    <t>Value 1717</t>
  </si>
  <si>
    <t>Value 1718</t>
  </si>
  <si>
    <t>Value 1719</t>
  </si>
  <si>
    <t>Value 1720</t>
  </si>
  <si>
    <t>Value 1721</t>
  </si>
  <si>
    <t>Value 1722</t>
  </si>
  <si>
    <t>Value 1723</t>
  </si>
  <si>
    <t>Value 1724</t>
  </si>
  <si>
    <t>Value 1725</t>
  </si>
  <si>
    <t>Value 1726</t>
  </si>
  <si>
    <t>Value 1727</t>
  </si>
  <si>
    <t>Value 1728</t>
  </si>
  <si>
    <t>Value 1729</t>
  </si>
  <si>
    <t>Value 1730</t>
  </si>
  <si>
    <t>Value 1731</t>
  </si>
  <si>
    <t>Value 1732</t>
  </si>
  <si>
    <t>Value 1733</t>
  </si>
  <si>
    <t>Value 1734</t>
  </si>
  <si>
    <t>Value 1735</t>
  </si>
  <si>
    <t>Value 1736</t>
  </si>
  <si>
    <t>Value 1737</t>
  </si>
  <si>
    <t>Value 1738</t>
  </si>
  <si>
    <t>Value 1739</t>
  </si>
  <si>
    <t>Value 1740</t>
  </si>
  <si>
    <t>Value 1741</t>
  </si>
  <si>
    <t>Value 1742</t>
  </si>
  <si>
    <t>Value 1743</t>
  </si>
  <si>
    <t>Value 1744</t>
  </si>
  <si>
    <t>Value 1745</t>
  </si>
  <si>
    <t>Value 1746</t>
  </si>
  <si>
    <t>Value 1747</t>
  </si>
  <si>
    <t>Value 1748</t>
  </si>
  <si>
    <t>Value 1749</t>
  </si>
  <si>
    <t>Value 1750</t>
  </si>
  <si>
    <t>Value 1751</t>
  </si>
  <si>
    <t>Value 1752</t>
  </si>
  <si>
    <t>Value 1753</t>
  </si>
  <si>
    <t>Value 1754</t>
  </si>
  <si>
    <t>Value 1755</t>
  </si>
  <si>
    <t>Value 1756</t>
  </si>
  <si>
    <t>Value 1757</t>
  </si>
  <si>
    <t>Value 1758</t>
  </si>
  <si>
    <t>Value 1759</t>
  </si>
  <si>
    <t>Value 1760</t>
  </si>
  <si>
    <t>Value 1761</t>
  </si>
  <si>
    <t>Value 1762</t>
  </si>
  <si>
    <t>Value 1763</t>
  </si>
  <si>
    <t>Value 1764</t>
  </si>
  <si>
    <t>Value 1765</t>
  </si>
  <si>
    <t>Value 1766</t>
  </si>
  <si>
    <t>Value 1767</t>
  </si>
  <si>
    <t>Value 1768</t>
  </si>
  <si>
    <t>Value 1769</t>
  </si>
  <si>
    <t>Value 1770</t>
  </si>
  <si>
    <t>Value 1771</t>
  </si>
  <si>
    <t>Value 1772</t>
  </si>
  <si>
    <t>Value 1773</t>
  </si>
  <si>
    <t>Value 1774</t>
  </si>
  <si>
    <t>Value 1775</t>
  </si>
  <si>
    <t>Value 1776</t>
  </si>
  <si>
    <t>Value 1777</t>
  </si>
  <si>
    <t>Value 1778</t>
  </si>
  <si>
    <t>Value 1779</t>
  </si>
  <si>
    <t>Value 1780</t>
  </si>
  <si>
    <t>Value 1781</t>
  </si>
  <si>
    <t>Value 1782</t>
  </si>
  <si>
    <t>Value 1783</t>
  </si>
  <si>
    <t>Value 1784</t>
  </si>
  <si>
    <t>Value 1785</t>
  </si>
  <si>
    <t>Value 1786</t>
  </si>
  <si>
    <t>Value 1787</t>
  </si>
  <si>
    <t>Value 1788</t>
  </si>
  <si>
    <t>Value 1789</t>
  </si>
  <si>
    <t>Value 1790</t>
  </si>
  <si>
    <t>Value 1791</t>
  </si>
  <si>
    <t>Value 1792</t>
  </si>
  <si>
    <t>Value 1793</t>
  </si>
  <si>
    <t>Value 1794</t>
  </si>
  <si>
    <t>Value 1795</t>
  </si>
  <si>
    <t>Value 1796</t>
  </si>
  <si>
    <t>Value 1797</t>
  </si>
  <si>
    <t>Value 1798</t>
  </si>
  <si>
    <t>Value 1799</t>
  </si>
  <si>
    <t>Value 1800</t>
  </si>
  <si>
    <t>Value 1801</t>
  </si>
  <si>
    <t>Value 1802</t>
  </si>
  <si>
    <t>Value 1803</t>
  </si>
  <si>
    <t>Value 1804</t>
  </si>
  <si>
    <t>Value 1805</t>
  </si>
  <si>
    <t>Value 1806</t>
  </si>
  <si>
    <t>Value 1807</t>
  </si>
  <si>
    <t>Value 1808</t>
  </si>
  <si>
    <t>Value 1809</t>
  </si>
  <si>
    <t>Value 1810</t>
  </si>
  <si>
    <t>Value 1811</t>
  </si>
  <si>
    <t>Value 1812</t>
  </si>
  <si>
    <t>Value 1813</t>
  </si>
  <si>
    <t>Value 1814</t>
  </si>
  <si>
    <t>Value 1815</t>
  </si>
  <si>
    <t>Value 1816</t>
  </si>
  <si>
    <t>Value 1817</t>
  </si>
  <si>
    <t>Value 1818</t>
  </si>
  <si>
    <t>Value 1819</t>
  </si>
  <si>
    <t>Value 1820</t>
  </si>
  <si>
    <t>Value 1821</t>
  </si>
  <si>
    <t>Value 1822</t>
  </si>
  <si>
    <t>Value 1823</t>
  </si>
  <si>
    <t>Value 1824</t>
  </si>
  <si>
    <t>Value 1825</t>
  </si>
  <si>
    <t>Value 1826</t>
  </si>
  <si>
    <t>Value 1827</t>
  </si>
  <si>
    <t>Value 1828</t>
  </si>
  <si>
    <t>Value 1829</t>
  </si>
  <si>
    <t>Value 1830</t>
  </si>
  <si>
    <t>Value 1831</t>
  </si>
  <si>
    <t>Value 1832</t>
  </si>
  <si>
    <t>Value 1833</t>
  </si>
  <si>
    <t>Value 1834</t>
  </si>
  <si>
    <t>Value 1835</t>
  </si>
  <si>
    <t>Value 1836</t>
  </si>
  <si>
    <t>Value 1837</t>
  </si>
  <si>
    <t>Value 1838</t>
  </si>
  <si>
    <t>Value 1839</t>
  </si>
  <si>
    <t>Value 1840</t>
  </si>
  <si>
    <t>Value 1841</t>
  </si>
  <si>
    <t>Value 1842</t>
  </si>
  <si>
    <t>Value 1843</t>
  </si>
  <si>
    <t>Value 1844</t>
  </si>
  <si>
    <t>Value 1845</t>
  </si>
  <si>
    <t>Value 1846</t>
  </si>
  <si>
    <t>Value 1847</t>
  </si>
  <si>
    <t>Value 1848</t>
  </si>
  <si>
    <t>Value 1849</t>
  </si>
  <si>
    <t>Value 1850</t>
  </si>
  <si>
    <t>Value 1851</t>
  </si>
  <si>
    <t>Value 1852</t>
  </si>
  <si>
    <t>Value 1853</t>
  </si>
  <si>
    <t>Value 1854</t>
  </si>
  <si>
    <t>Value 1855</t>
  </si>
  <si>
    <t>Value 1856</t>
  </si>
  <si>
    <t>Value 1857</t>
  </si>
  <si>
    <t>Value 1858</t>
  </si>
  <si>
    <t>Value 1859</t>
  </si>
  <si>
    <t>Value 1860</t>
  </si>
  <si>
    <t>Value 1861</t>
  </si>
  <si>
    <t>Value 1862</t>
  </si>
  <si>
    <t>Value 1863</t>
  </si>
  <si>
    <t>Value 1864</t>
  </si>
  <si>
    <t>Value 1865</t>
  </si>
  <si>
    <t>Value 1866</t>
  </si>
  <si>
    <t>Value 1867</t>
  </si>
  <si>
    <t>Value 1868</t>
  </si>
  <si>
    <t>Value 1869</t>
  </si>
  <si>
    <t>Value 1870</t>
  </si>
  <si>
    <t>Value 1871</t>
  </si>
  <si>
    <t>Value 1872</t>
  </si>
  <si>
    <t>Value 1873</t>
  </si>
  <si>
    <t>Value 1874</t>
  </si>
  <si>
    <t>Value 1875</t>
  </si>
  <si>
    <t>Value 1876</t>
  </si>
  <si>
    <t>Value 1877</t>
  </si>
  <si>
    <t>Value 1878</t>
  </si>
  <si>
    <t>Value 1879</t>
  </si>
  <si>
    <t>Value 1880</t>
  </si>
  <si>
    <t>Value 1881</t>
  </si>
  <si>
    <t>Value 1882</t>
  </si>
  <si>
    <t>Value 1883</t>
  </si>
  <si>
    <t>Value 1884</t>
  </si>
  <si>
    <t>Value 1885</t>
  </si>
  <si>
    <t>Value 1886</t>
  </si>
  <si>
    <t>Value 1887</t>
  </si>
  <si>
    <t>Value 1888</t>
  </si>
  <si>
    <t>Value 1889</t>
  </si>
  <si>
    <t>Value 1890</t>
  </si>
  <si>
    <t>Value 1891</t>
  </si>
  <si>
    <t>Value 1892</t>
  </si>
  <si>
    <t>Value 1893</t>
  </si>
  <si>
    <t>Value 1894</t>
  </si>
  <si>
    <t>Value 1895</t>
  </si>
  <si>
    <t>Value 1896</t>
  </si>
  <si>
    <t>Value 1897</t>
  </si>
  <si>
    <t>Value 1898</t>
  </si>
  <si>
    <t>Value 1899</t>
  </si>
  <si>
    <t>Value 1900</t>
  </si>
  <si>
    <t>Value 1901</t>
  </si>
  <si>
    <t>Value 1902</t>
  </si>
  <si>
    <t>Value 1903</t>
  </si>
  <si>
    <t>Value 1904</t>
  </si>
  <si>
    <t>Value 1905</t>
  </si>
  <si>
    <t>Value 1906</t>
  </si>
  <si>
    <t>Value 1907</t>
  </si>
  <si>
    <t>Value 1908</t>
  </si>
  <si>
    <t>Value 1909</t>
  </si>
  <si>
    <t>Value 1910</t>
  </si>
  <si>
    <t>Value 1911</t>
  </si>
  <si>
    <t>Value 1912</t>
  </si>
  <si>
    <t>Value 1913</t>
  </si>
  <si>
    <t>Value 1914</t>
  </si>
  <si>
    <t>Value 1915</t>
  </si>
  <si>
    <t>Value 1916</t>
  </si>
  <si>
    <t>Value 1917</t>
  </si>
  <si>
    <t>Value 1918</t>
  </si>
  <si>
    <t>Value 1919</t>
  </si>
  <si>
    <t>Value 1920</t>
  </si>
  <si>
    <t>Value 1921</t>
  </si>
  <si>
    <t>Value 1922</t>
  </si>
  <si>
    <t>Value 1923</t>
  </si>
  <si>
    <t>Value 1924</t>
  </si>
  <si>
    <t>Value 1925</t>
  </si>
  <si>
    <t>Value 1926</t>
  </si>
  <si>
    <t>Value 1927</t>
  </si>
  <si>
    <t>Value 1928</t>
  </si>
  <si>
    <t>Value 1929</t>
  </si>
  <si>
    <t>Value 1930</t>
  </si>
  <si>
    <t>Value 1931</t>
  </si>
  <si>
    <t>Value 1932</t>
  </si>
  <si>
    <t>Value 1933</t>
  </si>
  <si>
    <t>Value 1934</t>
  </si>
  <si>
    <t>Value 1935</t>
  </si>
  <si>
    <t>Value 1936</t>
  </si>
  <si>
    <t>Value 1937</t>
  </si>
  <si>
    <t>Value 1938</t>
  </si>
  <si>
    <t>Value 1939</t>
  </si>
  <si>
    <t>Value 1940</t>
  </si>
  <si>
    <t>Value 1941</t>
  </si>
  <si>
    <t>Value 1942</t>
  </si>
  <si>
    <t>Value 1943</t>
  </si>
  <si>
    <t>Value 1944</t>
  </si>
  <si>
    <t>Value 1945</t>
  </si>
  <si>
    <t>Value 1946</t>
  </si>
  <si>
    <t>Value 1947</t>
  </si>
  <si>
    <t>Value 1948</t>
  </si>
  <si>
    <t>Value 1949</t>
  </si>
  <si>
    <t>Value 1950</t>
  </si>
  <si>
    <t>Value 1951</t>
  </si>
  <si>
    <t>Value 1952</t>
  </si>
  <si>
    <t>Value 1953</t>
  </si>
  <si>
    <t>Value 1954</t>
  </si>
  <si>
    <t>Value 1955</t>
  </si>
  <si>
    <t>Value 1956</t>
  </si>
  <si>
    <t>Value 1957</t>
  </si>
  <si>
    <t>Value 1958</t>
  </si>
  <si>
    <t>Value 1959</t>
  </si>
  <si>
    <t>Value 1960</t>
  </si>
  <si>
    <t>Value 1961</t>
  </si>
  <si>
    <t>Value 1962</t>
  </si>
  <si>
    <t>Value 1963</t>
  </si>
  <si>
    <t>Value 1964</t>
  </si>
  <si>
    <t>Value 1965</t>
  </si>
  <si>
    <t>Value 1966</t>
  </si>
  <si>
    <t>Value 1967</t>
  </si>
  <si>
    <t>Value 1968</t>
  </si>
  <si>
    <t>Value 1969</t>
  </si>
  <si>
    <t>Value 1970</t>
  </si>
  <si>
    <t>Value 1971</t>
  </si>
  <si>
    <t>Value 1972</t>
  </si>
  <si>
    <t>Value 1973</t>
  </si>
  <si>
    <t>Value 1974</t>
  </si>
  <si>
    <t>Value 1975</t>
  </si>
  <si>
    <t>Value 1976</t>
  </si>
  <si>
    <t>Value 1977</t>
  </si>
  <si>
    <t>Value 1978</t>
  </si>
  <si>
    <t>Value 1979</t>
  </si>
  <si>
    <t>Value 1980</t>
  </si>
  <si>
    <t>Value 1981</t>
  </si>
  <si>
    <t>Value 1982</t>
  </si>
  <si>
    <t>Value 1983</t>
  </si>
  <si>
    <t>Value 1984</t>
  </si>
  <si>
    <t>Value 1985</t>
  </si>
  <si>
    <t>Value 1986</t>
  </si>
  <si>
    <t>Value 1987</t>
  </si>
  <si>
    <t>Value 1988</t>
  </si>
  <si>
    <t>Value 1989</t>
  </si>
  <si>
    <t>Value 1990</t>
  </si>
  <si>
    <t>Value 1991</t>
  </si>
  <si>
    <t>Value 1992</t>
  </si>
  <si>
    <t>Value 1993</t>
  </si>
  <si>
    <t>Value 1994</t>
  </si>
  <si>
    <t>Value 1995</t>
  </si>
  <si>
    <t>Value 1996</t>
  </si>
  <si>
    <t>Value 1997</t>
  </si>
  <si>
    <t>Value 1998</t>
  </si>
  <si>
    <t>Value 1999</t>
  </si>
  <si>
    <t>Value 2000</t>
  </si>
  <si>
    <t>Value 2001</t>
  </si>
  <si>
    <t>Value 2002</t>
  </si>
  <si>
    <t>Value 2003</t>
  </si>
  <si>
    <t>Value 2004</t>
  </si>
  <si>
    <t>Value 2005</t>
  </si>
  <si>
    <t>Value 2006</t>
  </si>
  <si>
    <t>Value 2007</t>
  </si>
  <si>
    <t>Value 2008</t>
  </si>
  <si>
    <t>Value 2009</t>
  </si>
  <si>
    <t>Value 2010</t>
  </si>
  <si>
    <t>Value 2011</t>
  </si>
  <si>
    <t>Value 2012</t>
  </si>
  <si>
    <t>Value 2013</t>
  </si>
  <si>
    <t>Value 2014</t>
  </si>
  <si>
    <t>Value 2015</t>
  </si>
  <si>
    <t>Value 2016</t>
  </si>
  <si>
    <t>Value 2017</t>
  </si>
  <si>
    <t>Value 2018</t>
  </si>
  <si>
    <t>Value 2019</t>
  </si>
  <si>
    <t>Value 2020</t>
  </si>
  <si>
    <t>Value 2021</t>
  </si>
  <si>
    <t>Value 2022</t>
  </si>
  <si>
    <t>Value 2023</t>
  </si>
  <si>
    <t>Value 2024</t>
  </si>
  <si>
    <t>Value 2025</t>
  </si>
  <si>
    <t>Value 2026</t>
  </si>
  <si>
    <t>Value 2027</t>
  </si>
  <si>
    <t>Value 2028</t>
  </si>
  <si>
    <t>Value 2029</t>
  </si>
  <si>
    <t>Value 2030</t>
  </si>
  <si>
    <t>Value 2031</t>
  </si>
  <si>
    <t>Value 2032</t>
  </si>
  <si>
    <t>Value 2033</t>
  </si>
  <si>
    <t>Value 2034</t>
  </si>
  <si>
    <t>Value 2035</t>
  </si>
  <si>
    <t>Value 2036</t>
  </si>
  <si>
    <t>Value 2037</t>
  </si>
  <si>
    <t>Value 2038</t>
  </si>
  <si>
    <t>Value 2039</t>
  </si>
  <si>
    <t>Value 2040</t>
  </si>
  <si>
    <t>Value 2041</t>
  </si>
  <si>
    <t>Value 2042</t>
  </si>
  <si>
    <t>Value 2043</t>
  </si>
  <si>
    <t>Value 2044</t>
  </si>
  <si>
    <t>Value 2045</t>
  </si>
  <si>
    <t>Value 2046</t>
  </si>
  <si>
    <t>Value 2047</t>
  </si>
  <si>
    <t>Value 2048</t>
  </si>
  <si>
    <t>Value 2049</t>
  </si>
  <si>
    <t>Value 2050</t>
  </si>
  <si>
    <t>Value 2051</t>
  </si>
  <si>
    <t>Value 2052</t>
  </si>
  <si>
    <t>Value 2053</t>
  </si>
  <si>
    <t>Value 2054</t>
  </si>
  <si>
    <t>Value 2055</t>
  </si>
  <si>
    <t>Value 2056</t>
  </si>
  <si>
    <t>Value 2057</t>
  </si>
  <si>
    <t>Value 2058</t>
  </si>
  <si>
    <t>Value 2059</t>
  </si>
  <si>
    <t>Value 2060</t>
  </si>
  <si>
    <t>Value 2061</t>
  </si>
  <si>
    <t>Value 2062</t>
  </si>
  <si>
    <t>Value 2063</t>
  </si>
  <si>
    <t>Value 2064</t>
  </si>
  <si>
    <t>Value 2065</t>
  </si>
  <si>
    <t>Value 2066</t>
  </si>
  <si>
    <t>Value 2067</t>
  </si>
  <si>
    <t>Value 2068</t>
  </si>
  <si>
    <t>Value 2069</t>
  </si>
  <si>
    <t>Value 2070</t>
  </si>
  <si>
    <t>Value 2071</t>
  </si>
  <si>
    <t>Value 2072</t>
  </si>
  <si>
    <t>Value 2073</t>
  </si>
  <si>
    <t>Value 2074</t>
  </si>
  <si>
    <t>Value 2075</t>
  </si>
  <si>
    <t>Value 2076</t>
  </si>
  <si>
    <t>Value 2077</t>
  </si>
  <si>
    <t>Value 2078</t>
  </si>
  <si>
    <t>Value 2079</t>
  </si>
  <si>
    <t>Value 2080</t>
  </si>
  <si>
    <t>Value 2081</t>
  </si>
  <si>
    <t>Value 2082</t>
  </si>
  <si>
    <t>Value 2083</t>
  </si>
  <si>
    <t>Value 2084</t>
  </si>
  <si>
    <t>Value 2085</t>
  </si>
  <si>
    <t>Value 2086</t>
  </si>
  <si>
    <t>Value 2087</t>
  </si>
  <si>
    <t>Value 2088</t>
  </si>
  <si>
    <t>Value 2089</t>
  </si>
  <si>
    <t>Value 2090</t>
  </si>
  <si>
    <t>Value 2091</t>
  </si>
  <si>
    <t>Value 2092</t>
  </si>
  <si>
    <t>Value 2093</t>
  </si>
  <si>
    <t>Value 2094</t>
  </si>
  <si>
    <t>Value 2095</t>
  </si>
  <si>
    <t>Value 2096</t>
  </si>
  <si>
    <t>Value 2097</t>
  </si>
  <si>
    <t>Value 2098</t>
  </si>
  <si>
    <t>Value 2099</t>
  </si>
  <si>
    <t>Value 2100</t>
  </si>
  <si>
    <t>Value 2101</t>
  </si>
  <si>
    <t>Value 2102</t>
  </si>
  <si>
    <t>Value 2103</t>
  </si>
  <si>
    <t>Value 2104</t>
  </si>
  <si>
    <t>Value 2105</t>
  </si>
  <si>
    <t>Value 2106</t>
  </si>
  <si>
    <t>Value 2107</t>
  </si>
  <si>
    <t>Value 2108</t>
  </si>
  <si>
    <t>Value 2109</t>
  </si>
  <si>
    <t>Value 2110</t>
  </si>
  <si>
    <t>Value 2111</t>
  </si>
  <si>
    <t>Value 2112</t>
  </si>
  <si>
    <t>Value 2113</t>
  </si>
  <si>
    <t>Value 2114</t>
  </si>
  <si>
    <t>Value 2115</t>
  </si>
  <si>
    <t>Value 2116</t>
  </si>
  <si>
    <t>Value 2117</t>
  </si>
  <si>
    <t>Value 2118</t>
  </si>
  <si>
    <t>Value 2119</t>
  </si>
  <si>
    <t>Value 2120</t>
  </si>
  <si>
    <t>Value 2121</t>
  </si>
  <si>
    <t>Value 2122</t>
  </si>
  <si>
    <t>Value 2123</t>
  </si>
  <si>
    <t>Value 2124</t>
  </si>
  <si>
    <t>Value 2125</t>
  </si>
  <si>
    <t>Value 2126</t>
  </si>
  <si>
    <t>Value 2127</t>
  </si>
  <si>
    <t>Value 2128</t>
  </si>
  <si>
    <t>Value 2129</t>
  </si>
  <si>
    <t>Value 2130</t>
  </si>
  <si>
    <t>Value 2131</t>
  </si>
  <si>
    <t>Value 2132</t>
  </si>
  <si>
    <t>Value 2133</t>
  </si>
  <si>
    <t>Value 2134</t>
  </si>
  <si>
    <t>Value 2135</t>
  </si>
  <si>
    <t>Value 2136</t>
  </si>
  <si>
    <t>Value 2137</t>
  </si>
  <si>
    <t>Value 2138</t>
  </si>
  <si>
    <t>Value 2139</t>
  </si>
  <si>
    <t>Value 2140</t>
  </si>
  <si>
    <t>Value 2141</t>
  </si>
  <si>
    <t>Value 2142</t>
  </si>
  <si>
    <t>Value 2143</t>
  </si>
  <si>
    <t>Value 2144</t>
  </si>
  <si>
    <t>Value 2145</t>
  </si>
  <si>
    <t>Value 2146</t>
  </si>
  <si>
    <t>Value 2147</t>
  </si>
  <si>
    <t>Value 2148</t>
  </si>
  <si>
    <t>Value 2149</t>
  </si>
  <si>
    <t>Value 2150</t>
  </si>
  <si>
    <t>Value 2151</t>
  </si>
  <si>
    <t>Value 2152</t>
  </si>
  <si>
    <t>Value 2153</t>
  </si>
  <si>
    <t>Value 2154</t>
  </si>
  <si>
    <t>Value 2155</t>
  </si>
  <si>
    <t>Value 2156</t>
  </si>
  <si>
    <t>Value 2157</t>
  </si>
  <si>
    <t>Value 2158</t>
  </si>
  <si>
    <t>Value 2159</t>
  </si>
  <si>
    <t>Value 2160</t>
  </si>
  <si>
    <t>Value 2161</t>
  </si>
  <si>
    <t>Value 2162</t>
  </si>
  <si>
    <t>Value 2163</t>
  </si>
  <si>
    <t>Value 2164</t>
  </si>
  <si>
    <t>Value 2165</t>
  </si>
  <si>
    <t>Value 2166</t>
  </si>
  <si>
    <t>Value 2167</t>
  </si>
  <si>
    <t>Value 2168</t>
  </si>
  <si>
    <t>Value 2169</t>
  </si>
  <si>
    <t>Value 2170</t>
  </si>
  <si>
    <t>Value 2171</t>
  </si>
  <si>
    <t>Value 2172</t>
  </si>
  <si>
    <t>Value 2173</t>
  </si>
  <si>
    <t>Value 2174</t>
  </si>
  <si>
    <t>Value 2175</t>
  </si>
  <si>
    <t>Value 2176</t>
  </si>
  <si>
    <t>Value 2177</t>
  </si>
  <si>
    <t>Value 2178</t>
  </si>
  <si>
    <t>Value 2179</t>
  </si>
  <si>
    <t>Value 2180</t>
  </si>
  <si>
    <t>Value 2181</t>
  </si>
  <si>
    <t>Value 2182</t>
  </si>
  <si>
    <t>Value 2183</t>
  </si>
  <si>
    <t>Value 2184</t>
  </si>
  <si>
    <t>Value 2185</t>
  </si>
  <si>
    <t>Value 2186</t>
  </si>
  <si>
    <t>Value 2187</t>
  </si>
  <si>
    <t>Value 2188</t>
  </si>
  <si>
    <t>Value 2189</t>
  </si>
  <si>
    <t>Value 2190</t>
  </si>
  <si>
    <t>Value 2191</t>
  </si>
  <si>
    <t>Value 2192</t>
  </si>
  <si>
    <t>Value 2193</t>
  </si>
  <si>
    <t>Value 2194</t>
  </si>
  <si>
    <t>Value 2195</t>
  </si>
  <si>
    <t>Value 2196</t>
  </si>
  <si>
    <t>Value 2197</t>
  </si>
  <si>
    <t>Value 2198</t>
  </si>
  <si>
    <t>Value 2199</t>
  </si>
  <si>
    <t>Value 2200</t>
  </si>
  <si>
    <t>Value 2201</t>
  </si>
  <si>
    <t>Value 2202</t>
  </si>
  <si>
    <t>Value 2203</t>
  </si>
  <si>
    <t>Value 2204</t>
  </si>
  <si>
    <t>Value 2205</t>
  </si>
  <si>
    <t>Value 2206</t>
  </si>
  <si>
    <t>Value 2207</t>
  </si>
  <si>
    <t>Value 2208</t>
  </si>
  <si>
    <t>Value 2209</t>
  </si>
  <si>
    <t>Value 2210</t>
  </si>
  <si>
    <t>Value 2211</t>
  </si>
  <si>
    <t>Value 2212</t>
  </si>
  <si>
    <t>Value 2213</t>
  </si>
  <si>
    <t>Value 2214</t>
  </si>
  <si>
    <t>Value 2215</t>
  </si>
  <si>
    <t>Value 2216</t>
  </si>
  <si>
    <t>Value 2217</t>
  </si>
  <si>
    <t>Value 2218</t>
  </si>
  <si>
    <t>Value 2219</t>
  </si>
  <si>
    <t>Value 2220</t>
  </si>
  <si>
    <t>Value 2221</t>
  </si>
  <si>
    <t>Value 2222</t>
  </si>
  <si>
    <t>Value 2223</t>
  </si>
  <si>
    <t>Value 2224</t>
  </si>
  <si>
    <t>Value 2225</t>
  </si>
  <si>
    <t>Value 2226</t>
  </si>
  <si>
    <t>Value 2227</t>
  </si>
  <si>
    <t>Value 2228</t>
  </si>
  <si>
    <t>Value 2229</t>
  </si>
  <si>
    <t>Value 2230</t>
  </si>
  <si>
    <t>Value 2231</t>
  </si>
  <si>
    <t>Value 2232</t>
  </si>
  <si>
    <t>Value 2233</t>
  </si>
  <si>
    <t>Value 2234</t>
  </si>
  <si>
    <t>Value 2235</t>
  </si>
  <si>
    <t>Value 2236</t>
  </si>
  <si>
    <t>Value 2237</t>
  </si>
  <si>
    <t>Value 2238</t>
  </si>
  <si>
    <t>Value 2239</t>
  </si>
  <si>
    <t>Value 2240</t>
  </si>
  <si>
    <t>Value 2241</t>
  </si>
  <si>
    <t>Value 2242</t>
  </si>
  <si>
    <t>Value 2243</t>
  </si>
  <si>
    <t>Value 2244</t>
  </si>
  <si>
    <t>Value 2245</t>
  </si>
  <si>
    <t>Value 2246</t>
  </si>
  <si>
    <t>Value 2247</t>
  </si>
  <si>
    <t>Value 2248</t>
  </si>
  <si>
    <t>Value 2249</t>
  </si>
  <si>
    <t>Value 2250</t>
  </si>
  <si>
    <t>Value 2251</t>
  </si>
  <si>
    <t>Value 2252</t>
  </si>
  <si>
    <t>Value 2253</t>
  </si>
  <si>
    <t>Value 2254</t>
  </si>
  <si>
    <t>Value 2255</t>
  </si>
  <si>
    <t>Value 2256</t>
  </si>
  <si>
    <t>Value 2257</t>
  </si>
  <si>
    <t>Value 2258</t>
  </si>
  <si>
    <t>Value 2259</t>
  </si>
  <si>
    <t>Value 2260</t>
  </si>
  <si>
    <t>Value 2261</t>
  </si>
  <si>
    <t>Value 2262</t>
  </si>
  <si>
    <t>Value 2263</t>
  </si>
  <si>
    <t>Value 2264</t>
  </si>
  <si>
    <t>Value 2265</t>
  </si>
  <si>
    <t>Value 2266</t>
  </si>
  <si>
    <t>Value 2267</t>
  </si>
  <si>
    <t>Value 2268</t>
  </si>
  <si>
    <t>Value 2269</t>
  </si>
  <si>
    <t>Value 2270</t>
  </si>
  <si>
    <t>Value 2271</t>
  </si>
  <si>
    <t>Value 2272</t>
  </si>
  <si>
    <t>Value 2273</t>
  </si>
  <si>
    <t>Value 2274</t>
  </si>
  <si>
    <t>Value 2275</t>
  </si>
  <si>
    <t>Value 2276</t>
  </si>
  <si>
    <t>Value 2277</t>
  </si>
  <si>
    <t>Value 2278</t>
  </si>
  <si>
    <t>Value 2279</t>
  </si>
  <si>
    <t>Value 2280</t>
  </si>
  <si>
    <t>Value 2281</t>
  </si>
  <si>
    <t>Value 2282</t>
  </si>
  <si>
    <t>Value 2283</t>
  </si>
  <si>
    <t>Value 2284</t>
  </si>
  <si>
    <t>Value 2285</t>
  </si>
  <si>
    <t>Value 2286</t>
  </si>
  <si>
    <t>Value 2287</t>
  </si>
  <si>
    <t>Value 2288</t>
  </si>
  <si>
    <t>Value 2289</t>
  </si>
  <si>
    <t>Value 2290</t>
  </si>
  <si>
    <t>Value 2291</t>
  </si>
  <si>
    <t>Value 2292</t>
  </si>
  <si>
    <t>Value 2293</t>
  </si>
  <si>
    <t>Value 2294</t>
  </si>
  <si>
    <t>Value 2295</t>
  </si>
  <si>
    <t>Value 2296</t>
  </si>
  <si>
    <t>Value 2297</t>
  </si>
  <si>
    <t>Value 2298</t>
  </si>
  <si>
    <t>Value 2299</t>
  </si>
  <si>
    <t>Value 2300</t>
  </si>
  <si>
    <t>Value 2301</t>
  </si>
  <si>
    <t>Value 2302</t>
  </si>
  <si>
    <t>Value 2303</t>
  </si>
  <si>
    <t>Value 2304</t>
  </si>
  <si>
    <t>Value 2305</t>
  </si>
  <si>
    <t>Value 2306</t>
  </si>
  <si>
    <t>Value 2307</t>
  </si>
  <si>
    <t>Value 2308</t>
  </si>
  <si>
    <t>Value 2309</t>
  </si>
  <si>
    <t>Value 2310</t>
  </si>
  <si>
    <t>Value 2311</t>
  </si>
  <si>
    <t>Value 2312</t>
  </si>
  <si>
    <t>Value 2313</t>
  </si>
  <si>
    <t>Value 2314</t>
  </si>
  <si>
    <t>Value 2315</t>
  </si>
  <si>
    <t>Value 2316</t>
  </si>
  <si>
    <t>Value 2317</t>
  </si>
  <si>
    <t>Value 2318</t>
  </si>
  <si>
    <t>Value 2319</t>
  </si>
  <si>
    <t>Value 2320</t>
  </si>
  <si>
    <t>Value 2321</t>
  </si>
  <si>
    <t>Value 2322</t>
  </si>
  <si>
    <t>Value 2323</t>
  </si>
  <si>
    <t>Value 2324</t>
  </si>
  <si>
    <t>Value 2325</t>
  </si>
  <si>
    <t>Value 2326</t>
  </si>
  <si>
    <t>Value 2327</t>
  </si>
  <si>
    <t>Value 2328</t>
  </si>
  <si>
    <t>Value 2329</t>
  </si>
  <si>
    <t>Value 2330</t>
  </si>
  <si>
    <t>Value 2331</t>
  </si>
  <si>
    <t>Value 2332</t>
  </si>
  <si>
    <t>Value 2333</t>
  </si>
  <si>
    <t>Value 2334</t>
  </si>
  <si>
    <t>Value 2335</t>
  </si>
  <si>
    <t>Value 2336</t>
  </si>
  <si>
    <t>Value 2337</t>
  </si>
  <si>
    <t>Value 2338</t>
  </si>
  <si>
    <t>Value 2339</t>
  </si>
  <si>
    <t>Value 2340</t>
  </si>
  <si>
    <t>Value 2341</t>
  </si>
  <si>
    <t>Value 2342</t>
  </si>
  <si>
    <t>Value 2343</t>
  </si>
  <si>
    <t>Value 2344</t>
  </si>
  <si>
    <t>Value 2345</t>
  </si>
  <si>
    <t>Value 2346</t>
  </si>
  <si>
    <t>Value 2347</t>
  </si>
  <si>
    <t>Value 2348</t>
  </si>
  <si>
    <t>Value 2349</t>
  </si>
  <si>
    <t>Value 2350</t>
  </si>
  <si>
    <t>Value 2351</t>
  </si>
  <si>
    <t>Value 2352</t>
  </si>
  <si>
    <t>Value 2353</t>
  </si>
  <si>
    <t>Value 2354</t>
  </si>
  <si>
    <t>Value 2355</t>
  </si>
  <si>
    <t>Value 2356</t>
  </si>
  <si>
    <t>Value 2357</t>
  </si>
  <si>
    <t>Value 2358</t>
  </si>
  <si>
    <t>Value 2359</t>
  </si>
  <si>
    <t>Value 2360</t>
  </si>
  <si>
    <t>Value 2361</t>
  </si>
  <si>
    <t>Value 2362</t>
  </si>
  <si>
    <t>Value 2363</t>
  </si>
  <si>
    <t>Value 2364</t>
  </si>
  <si>
    <t>Value 2365</t>
  </si>
  <si>
    <t>Value 2366</t>
  </si>
  <si>
    <t>Value 2367</t>
  </si>
  <si>
    <t>Value 2368</t>
  </si>
  <si>
    <t>Value 2369</t>
  </si>
  <si>
    <t>Value 2370</t>
  </si>
  <si>
    <t>Value 2371</t>
  </si>
  <si>
    <t>Value 2372</t>
  </si>
  <si>
    <t>Value 2373</t>
  </si>
  <si>
    <t>Value 2374</t>
  </si>
  <si>
    <t>Value 2375</t>
  </si>
  <si>
    <t>Value 2376</t>
  </si>
  <si>
    <t>Value 2377</t>
  </si>
  <si>
    <t>Value 2378</t>
  </si>
  <si>
    <t>Value 2379</t>
  </si>
  <si>
    <t>Value 2380</t>
  </si>
  <si>
    <t>Value 2381</t>
  </si>
  <si>
    <t>Value 2382</t>
  </si>
  <si>
    <t>Value 2383</t>
  </si>
  <si>
    <t>Value 2384</t>
  </si>
  <si>
    <t>Value 2385</t>
  </si>
  <si>
    <t>Value 2386</t>
  </si>
  <si>
    <t>Value 2387</t>
  </si>
  <si>
    <t>Value 2388</t>
  </si>
  <si>
    <t>Value 2389</t>
  </si>
  <si>
    <t>Value 2390</t>
  </si>
  <si>
    <t>Value 2391</t>
  </si>
  <si>
    <t>Value 2392</t>
  </si>
  <si>
    <t>Value 2393</t>
  </si>
  <si>
    <t>Value 2394</t>
  </si>
  <si>
    <t>Value 2395</t>
  </si>
  <si>
    <t>Value 2396</t>
  </si>
  <si>
    <t>Value 2397</t>
  </si>
  <si>
    <t>Value 2398</t>
  </si>
  <si>
    <t>Value 2399</t>
  </si>
  <si>
    <t>Value 2400</t>
  </si>
  <si>
    <t>Value 2401</t>
  </si>
  <si>
    <t>Value 2402</t>
  </si>
  <si>
    <t>Value 2403</t>
  </si>
  <si>
    <t>Value 2404</t>
  </si>
  <si>
    <t>Value 2405</t>
  </si>
  <si>
    <t>Value 2406</t>
  </si>
  <si>
    <t>Value 2407</t>
  </si>
  <si>
    <t>Value 2408</t>
  </si>
  <si>
    <t>Value 2409</t>
  </si>
  <si>
    <t>Value 2410</t>
  </si>
  <si>
    <t>Value 2411</t>
  </si>
  <si>
    <t>Value 2412</t>
  </si>
  <si>
    <t>Value 2413</t>
  </si>
  <si>
    <t>Value 2414</t>
  </si>
  <si>
    <t>Value 2415</t>
  </si>
  <si>
    <t>Value 2416</t>
  </si>
  <si>
    <t>Value 2417</t>
  </si>
  <si>
    <t>Value 2418</t>
  </si>
  <si>
    <t>Value 2419</t>
  </si>
  <si>
    <t>Value 2420</t>
  </si>
  <si>
    <t>Value 2421</t>
  </si>
  <si>
    <t>Value 2422</t>
  </si>
  <si>
    <t>Value 2423</t>
  </si>
  <si>
    <t>Value 2424</t>
  </si>
  <si>
    <t>Value 2425</t>
  </si>
  <si>
    <t>Value 2426</t>
  </si>
  <si>
    <t>Value 2427</t>
  </si>
  <si>
    <t>Value 2428</t>
  </si>
  <si>
    <t>Value 2429</t>
  </si>
  <si>
    <t>Value 2430</t>
  </si>
  <si>
    <t>Value 2431</t>
  </si>
  <si>
    <t>Value 2432</t>
  </si>
  <si>
    <t>Value 2433</t>
  </si>
  <si>
    <t>Value 2434</t>
  </si>
  <si>
    <t>Value 2435</t>
  </si>
  <si>
    <t>Value 2436</t>
  </si>
  <si>
    <t>Value 2437</t>
  </si>
  <si>
    <t>Value 2438</t>
  </si>
  <si>
    <t>Value 2439</t>
  </si>
  <si>
    <t>Value 2440</t>
  </si>
  <si>
    <t>Value 2441</t>
  </si>
  <si>
    <t>Value 2442</t>
  </si>
  <si>
    <t>Value 2443</t>
  </si>
  <si>
    <t>Value 2444</t>
  </si>
  <si>
    <t>Value 2445</t>
  </si>
  <si>
    <t>Value 2446</t>
  </si>
  <si>
    <t>Value 2447</t>
  </si>
  <si>
    <t>Value 2448</t>
  </si>
  <si>
    <t>Value 2449</t>
  </si>
  <si>
    <t>Value 2450</t>
  </si>
  <si>
    <t>Value 2451</t>
  </si>
  <si>
    <t>Value 2452</t>
  </si>
  <si>
    <t>Value 2453</t>
  </si>
  <si>
    <t>Value 2454</t>
  </si>
  <si>
    <t>Value 2455</t>
  </si>
  <si>
    <t>Value 2456</t>
  </si>
  <si>
    <t>Value 2457</t>
  </si>
  <si>
    <t>Value 2458</t>
  </si>
  <si>
    <t>Value 2459</t>
  </si>
  <si>
    <t>Value 2460</t>
  </si>
  <si>
    <t>Value 2461</t>
  </si>
  <si>
    <t>Value 2462</t>
  </si>
  <si>
    <t>Value 2463</t>
  </si>
  <si>
    <t>Value 2464</t>
  </si>
  <si>
    <t>Value 2465</t>
  </si>
  <si>
    <t>Value 2466</t>
  </si>
  <si>
    <t>Value 2467</t>
  </si>
  <si>
    <t>Value 2468</t>
  </si>
  <si>
    <t>Value 2469</t>
  </si>
  <si>
    <t>Value 2470</t>
  </si>
  <si>
    <t>Value 2471</t>
  </si>
  <si>
    <t>Value 2472</t>
  </si>
  <si>
    <t>Value 2473</t>
  </si>
  <si>
    <t>Value 2474</t>
  </si>
  <si>
    <t>Value 2475</t>
  </si>
  <si>
    <t>Value 2476</t>
  </si>
  <si>
    <t>Value 2477</t>
  </si>
  <si>
    <t>Value 2478</t>
  </si>
  <si>
    <t>Value 2479</t>
  </si>
  <si>
    <t>Value 2480</t>
  </si>
  <si>
    <t>Value 2481</t>
  </si>
  <si>
    <t>Value 2482</t>
  </si>
  <si>
    <t>Value 2483</t>
  </si>
  <si>
    <t>Value 2484</t>
  </si>
  <si>
    <t>Value 2485</t>
  </si>
  <si>
    <t>Value 2486</t>
  </si>
  <si>
    <t>Value 2487</t>
  </si>
  <si>
    <t>Value 2488</t>
  </si>
  <si>
    <t>Value 2489</t>
  </si>
  <si>
    <t>Value 2490</t>
  </si>
  <si>
    <t>Value 2491</t>
  </si>
  <si>
    <t>Value 2492</t>
  </si>
  <si>
    <t>Value 2493</t>
  </si>
  <si>
    <t>Value 2494</t>
  </si>
  <si>
    <t>Value 2495</t>
  </si>
  <si>
    <t>Value 2496</t>
  </si>
  <si>
    <t>Value 2497</t>
  </si>
  <si>
    <t>Value 2498</t>
  </si>
  <si>
    <t>Value 2499</t>
  </si>
  <si>
    <t>Value 2500</t>
  </si>
  <si>
    <t>Value 2501</t>
  </si>
  <si>
    <t>Value 2502</t>
  </si>
  <si>
    <t>Value 2503</t>
  </si>
  <si>
    <t>Value 2504</t>
  </si>
  <si>
    <t>Value 2505</t>
  </si>
  <si>
    <t>Value 2506</t>
  </si>
  <si>
    <t>Value 2507</t>
  </si>
  <si>
    <t>Value 2508</t>
  </si>
  <si>
    <t>Value 2509</t>
  </si>
  <si>
    <t>Value 2510</t>
  </si>
  <si>
    <t>Value 2511</t>
  </si>
  <si>
    <t>Value 2512</t>
  </si>
  <si>
    <t>Value 2513</t>
  </si>
  <si>
    <t>Value 2514</t>
  </si>
  <si>
    <t>Value 2515</t>
  </si>
  <si>
    <t>Value 2516</t>
  </si>
  <si>
    <t>Value 2517</t>
  </si>
  <si>
    <t>Value 2518</t>
  </si>
  <si>
    <t>Value 2519</t>
  </si>
  <si>
    <t>Value 2520</t>
  </si>
  <si>
    <t>Value 2521</t>
  </si>
  <si>
    <t>Value 2522</t>
  </si>
  <si>
    <t>Value 2523</t>
  </si>
  <si>
    <t>Value 2524</t>
  </si>
  <si>
    <t>Value 2525</t>
  </si>
  <si>
    <t>Value 2526</t>
  </si>
  <si>
    <t>Value 2527</t>
  </si>
  <si>
    <t>Value 2528</t>
  </si>
  <si>
    <t>Value 2529</t>
  </si>
  <si>
    <t>Value 2530</t>
  </si>
  <si>
    <t>Value 2531</t>
  </si>
  <si>
    <t>Value 2532</t>
  </si>
  <si>
    <t>Value 2533</t>
  </si>
  <si>
    <t>Value 2534</t>
  </si>
  <si>
    <t>Value 2535</t>
  </si>
  <si>
    <t>Value 2536</t>
  </si>
  <si>
    <t>Value 2537</t>
  </si>
  <si>
    <t>Value 2538</t>
  </si>
  <si>
    <t>Value 2539</t>
  </si>
  <si>
    <t>Value 2540</t>
  </si>
  <si>
    <t>Value 2541</t>
  </si>
  <si>
    <t>Value 2542</t>
  </si>
  <si>
    <t>Value 2543</t>
  </si>
  <si>
    <t>Value 2544</t>
  </si>
  <si>
    <t>Value 2545</t>
  </si>
  <si>
    <t>Value 2546</t>
  </si>
  <si>
    <t>Value 2547</t>
  </si>
  <si>
    <t>Value 2548</t>
  </si>
  <si>
    <t>Value 2549</t>
  </si>
  <si>
    <t>Value 2550</t>
  </si>
  <si>
    <t>Value 2551</t>
  </si>
  <si>
    <t>Value 2552</t>
  </si>
  <si>
    <t>Value 2553</t>
  </si>
  <si>
    <t>Value 2554</t>
  </si>
  <si>
    <t>Value 2555</t>
  </si>
  <si>
    <t>Value 2556</t>
  </si>
  <si>
    <t>Value 2557</t>
  </si>
  <si>
    <t>Value 2558</t>
  </si>
  <si>
    <t>Value 2559</t>
  </si>
  <si>
    <t>Value 2560</t>
  </si>
  <si>
    <t>Value 2561</t>
  </si>
  <si>
    <t>Value 2562</t>
  </si>
  <si>
    <t>Value 2563</t>
  </si>
  <si>
    <t>Value 2564</t>
  </si>
  <si>
    <t>Value 2565</t>
  </si>
  <si>
    <t>Value 2566</t>
  </si>
  <si>
    <t>Value 2567</t>
  </si>
  <si>
    <t>6</t>
  </si>
  <si>
    <t>7</t>
  </si>
  <si>
    <t>5</t>
  </si>
  <si>
    <t>4</t>
  </si>
  <si>
    <t>11</t>
  </si>
  <si>
    <t>10</t>
  </si>
  <si>
    <t>1</t>
  </si>
  <si>
    <t>2</t>
  </si>
  <si>
    <t>12</t>
  </si>
  <si>
    <t>3</t>
  </si>
  <si>
    <t>8</t>
  </si>
  <si>
    <t>23</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</si>
</sst>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4">
    <numFmt numFmtId="176" formatCode="_(* #,##0.00_);_(* \(#,##0.00\);_(* &quot;-&quot;??_);_(@_)"/>
    <numFmt numFmtId="177" formatCode="_(&quot;$&quot;* #,##0.00_);_(&quot;$&quot;* \(#,##0.00\);_(&quot;$&quot;* &quot;-&quot;??_);_(@_)"/>
    <numFmt numFmtId="178" formatCode="_(* #,##0_);_(* \(#,##0\);_(* &quot;-&quot;??_);_(@_)"/>
    <numFmt numFmtId="179" formatCode="dd/mm/yyyy"/>
    <numFmt numFmtId="180" formatCode="0_);[Red]\(0\)"/>
    <numFmt numFmtId="181" formatCode="_ * #,##0.00_ ;_ * \-#,##0.00_ ;_ * \-??_ ;_ @_ "/>
    <numFmt numFmtId="182" formatCode="&quot;$&quot;#,##0.00_);[Red]&quot;($&quot;#,##0.00\)"/>
    <numFmt numFmtId="183" formatCode="#\ ?/?"/>
    <numFmt numFmtId="184" formatCode="_ * #,##0.00_ ;_ * \-#,##0.00_ ;_ * &quot;-&quot;??_ ;_ @_ "/>
    <numFmt numFmtId="185" formatCode="_ &quot;₹&quot;* #,##0_ ;_ &quot;₹&quot;* \-#,##0_ ;_ &quot;₹&quot;* &quot;-&quot;_ ;_ @_ "/>
    <numFmt numFmtId="186" formatCode="_(* #,##0.00_);_(* \(#,##0.00\);_(* \-??_);_(@_)"/>
    <numFmt numFmtId="187" formatCode="_ &quot;₹&quot;* #,##0.00_ ;_ &quot;₹&quot;* \-#,##0.00_ ;_ &quot;₹&quot;* &quot;-&quot;??_ ;_ @_ "/>
    <numFmt numFmtId="188" formatCode="_ * #,##0_ ;_ * \-#,##0_ ;_ * &quot;-&quot;_ ;_ @_ "/>
    <numFmt numFmtId="189" formatCode="_(&quot;$&quot;* #,##0.00_);_(&quot;$&quot;* \(#,##0.00\);_(&quot;$&quot;* \-??_);_(@_)"/>
  </numFmts>
  <fonts count="62">
    <font>
      <sz val="11"/>
      <color theme="1"/>
      <name val="Calibri"/>
      <charset val="134"/>
      <scheme val="minor"/>
    </font>
    <font>
      <b val="1"/>
      <sz val="10"/>
      <color rgb="FF000000"/>
      <name val="MS Sans Serif"/>
      <charset val="1"/>
    </font>
    <font>
      <b val="1"/>
      <sz val="10"/>
      <color rgb="FF0000FF"/>
      <name val="MS Sans Serif"/>
      <charset val="1"/>
    </font>
    <font>
      <sz val="10"/>
      <color rgb="FF000000"/>
      <name val="MS Sans Serif"/>
      <charset val="1"/>
    </font>
    <font>
      <sz val="11"/>
      <color rgb="FF000000"/>
      <name val="Calibri"/>
      <charset val="134"/>
    </font>
    <font>
      <sz val="10"/>
      <color rgb="FFFF0000"/>
      <name val="MS Sans Serif"/>
      <charset val="1"/>
    </font>
    <font>
      <b val="1"/>
      <sz val="10"/>
      <color rgb="FF00B050"/>
      <name val="MS Sans Serif"/>
      <charset val="1"/>
    </font>
    <font>
      <b val="1"/>
      <sz val="11"/>
      <color rgb="FF000000"/>
      <name val="Calibri"/>
      <charset val="134"/>
    </font>
    <font>
      <b val="1"/>
      <sz val="14"/>
      <color rgb="FF000000"/>
      <name val="Calibri"/>
      <charset val="134"/>
    </font>
    <font>
      <b val="1"/>
      <sz val="11"/>
      <color rgb="FF000000"/>
      <name val="Calibri"/>
      <charset val="1"/>
    </font>
    <font>
      <sz val="11"/>
      <color rgb="FF000000"/>
      <name val="Calibri"/>
      <charset val="1"/>
    </font>
    <font>
      <sz val="10"/>
      <color rgb="FF000000"/>
      <name val="MS Sans Serif"/>
      <charset val="134"/>
    </font>
    <font>
      <b val="1"/>
      <sz val="10"/>
      <color rgb="FF000000"/>
      <name val="MS Sans Serif"/>
      <charset val="134"/>
    </font>
    <font>
      <sz val="10"/>
      <name val="MS Sans Serif"/>
      <charset val="134"/>
    </font>
    <font>
      <u/>
      <sz val="11"/>
      <color rgb="FF0563C1"/>
      <name val="Calibri"/>
      <charset val="134"/>
    </font>
    <font>
      <b val="1"/>
      <sz val="10"/>
      <color rgb="FF0000FF"/>
      <name val="MS Sans Serif"/>
      <charset val="134"/>
    </font>
    <font>
      <sz val="10"/>
      <color rgb="FFFF0000"/>
      <name val="MS Sans Serif"/>
      <charset val="134"/>
    </font>
    <font>
      <sz val="10"/>
      <color rgb="FF000000"/>
      <name val="Arial"/>
      <charset val="134"/>
    </font>
    <font>
      <b val="1"/>
      <sz val="10"/>
      <color rgb="FF000000"/>
      <name val="Arial"/>
      <charset val="134"/>
    </font>
    <font>
      <sz val="11"/>
      <color rgb="FFFF0000"/>
      <name val="Calibri"/>
      <charset val="134"/>
    </font>
    <font>
      <sz val="11"/>
      <name val="Calibri"/>
      <charset val="134"/>
    </font>
    <font>
      <b val="1"/>
      <sz val="8"/>
      <name val="Tahoma"/>
      <charset val="134"/>
    </font>
    <font>
      <sz val="8"/>
      <name val="Tahoma"/>
      <charset val="134"/>
    </font>
    <font>
      <b val="1"/>
      <sz val="10"/>
      <color rgb="FFFF0000"/>
      <name val="MS Sans Serif"/>
      <charset val="134"/>
    </font>
    <font>
      <b val="1"/>
      <sz val="10"/>
      <color rgb="FFFF0000"/>
      <name val="Arial"/>
      <charset val="134"/>
    </font>
    <font>
      <sz val="9"/>
      <color theme="1"/>
      <name val="Calibri"/>
      <charset val="134"/>
      <scheme val="minor"/>
    </font>
    <font>
      <sz val="9"/>
      <name val="Calibri"/>
      <charset val="134"/>
      <scheme val="minor"/>
    </font>
    <font>
      <sz val="9"/>
      <name val="Calibri"/>
      <charset val="134"/>
    </font>
    <font>
      <b val="1"/>
      <sz val="9"/>
      <name val="Arial"/>
      <charset val="134"/>
    </font>
    <font>
      <sz val="9"/>
      <color rgb="FFFF0000"/>
      <name val="Calibri"/>
      <charset val="134"/>
      <scheme val="minor"/>
    </font>
    <font>
      <sz val="11"/>
      <color theme="1"/>
      <name val="Calibri"/>
      <charset val="134"/>
      <scheme val="minor"/>
    </font>
    <font>
      <sz val="10"/>
      <color indexed="8"/>
      <name val="Arial"/>
      <charset val="134"/>
    </font>
    <font>
      <b val="1"/>
      <sz val="10"/>
      <color indexed="8"/>
      <name val="Arial"/>
      <charset val="134"/>
    </font>
    <font>
      <sz val="10"/>
      <color theme="0"/>
      <name val="Arial"/>
      <charset val="134"/>
    </font>
    <font>
      <b val="1"/>
      <sz val="12"/>
      <color indexed="8"/>
      <name val="Arial"/>
      <charset val="134"/>
    </font>
    <font>
      <sz val="12"/>
      <color indexed="8"/>
      <name val="Arial"/>
      <charset val="134"/>
    </font>
    <font>
      <sz val="11"/>
      <color theme="1"/>
      <name val="Calibri"/>
      <charset val="134"/>
    </font>
    <font>
      <sz val="10"/>
      <color rgb="FFFF0000"/>
      <name val="Arial"/>
      <charset val="134"/>
    </font>
    <font>
      <u/>
      <sz val="10"/>
      <color indexed="8"/>
      <name val="Arial"/>
      <charset val="134"/>
    </font>
    <font>
      <b val="1"/>
      <sz val="12"/>
      <color rgb="FFFF0000"/>
      <name val="Arial"/>
      <charset val="134"/>
    </font>
    <font>
      <b val="1"/>
      <sz val="10"/>
      <color theme="0"/>
      <name val="Arial"/>
      <charset val="134"/>
    </font>
    <font>
      <u/>
      <sz val="11"/>
      <color rgb="FF0000FF"/>
      <name val="Calibri"/>
      <charset val="0"/>
      <scheme val="minor"/>
    </font>
    <font>
      <sz val="11"/>
      <color theme="0"/>
      <name val="Calibri"/>
      <charset val="0"/>
      <scheme val="minor"/>
    </font>
    <font>
      <b val="1"/>
      <sz val="13"/>
      <color theme="3"/>
      <name val="Calibri"/>
      <charset val="134"/>
      <scheme val="minor"/>
    </font>
    <font>
      <u/>
      <sz val="11"/>
      <color rgb="FF800080"/>
      <name val="Calibri"/>
      <charset val="0"/>
      <scheme val="minor"/>
    </font>
    <font>
      <sz val="11"/>
      <color theme="1"/>
      <name val="Calibri"/>
      <charset val="0"/>
      <scheme val="minor"/>
    </font>
    <font>
      <sz val="11"/>
      <color rgb="FF006100"/>
      <name val="Calibri"/>
      <charset val="0"/>
      <scheme val="minor"/>
    </font>
    <font>
      <b val="1"/>
      <sz val="11"/>
      <color rgb="FFFA7D00"/>
      <name val="Calibri"/>
      <charset val="0"/>
      <scheme val="minor"/>
    </font>
    <font>
      <b val="1"/>
      <sz val="11"/>
      <color theme="3"/>
      <name val="Calibri"/>
      <charset val="134"/>
      <scheme val="minor"/>
    </font>
    <font>
      <sz val="11"/>
      <color rgb="FF3F3F76"/>
      <name val="Calibri"/>
      <charset val="0"/>
      <scheme val="minor"/>
    </font>
    <font>
      <sz val="11"/>
      <color rgb="FFFF0000"/>
      <name val="Calibri"/>
      <charset val="0"/>
      <scheme val="minor"/>
    </font>
    <font>
      <b val="1"/>
      <sz val="11"/>
      <color rgb="FF3F3F3F"/>
      <name val="Calibri"/>
      <charset val="0"/>
      <scheme val="minor"/>
    </font>
    <font>
      <sz val="11"/>
      <color rgb="FF9C6500"/>
      <name val="Calibri"/>
      <charset val="0"/>
      <scheme val="minor"/>
    </font>
    <font>
      <i val="1"/>
      <sz val="11"/>
      <color rgb="FF7F7F7F"/>
      <name val="Calibri"/>
      <charset val="0"/>
      <scheme val="minor"/>
    </font>
    <font>
      <b val="1"/>
      <sz val="15"/>
      <color theme="3"/>
      <name val="Calibri"/>
      <charset val="134"/>
      <scheme val="minor"/>
    </font>
    <font>
      <b val="1"/>
      <sz val="11"/>
      <color rgb="FFFFFFFF"/>
      <name val="Calibri"/>
      <charset val="0"/>
      <scheme val="minor"/>
    </font>
    <font>
      <sz val="11"/>
      <color rgb="FFFA7D00"/>
      <name val="Calibri"/>
      <charset val="0"/>
      <scheme val="minor"/>
    </font>
    <font>
      <sz val="11"/>
      <color rgb="FF9C0006"/>
      <name val="Calibri"/>
      <charset val="0"/>
      <scheme val="minor"/>
    </font>
    <font>
      <b val="1"/>
      <sz val="11"/>
      <color theme="1"/>
      <name val="Calibri"/>
      <charset val="0"/>
      <scheme val="minor"/>
    </font>
    <font>
      <b val="1"/>
      <sz val="18"/>
      <color theme="3"/>
      <name val="Calibri"/>
      <charset val="134"/>
      <scheme val="minor"/>
    </font>
    <font>
      <sz val="9"/>
      <name val="Tahoma"/>
      <charset val="134"/>
    </font>
    <font>
      <sz val="10"/>
      <name val="SimSun"/>
      <charset val="134"/>
    </font>
  </fonts>
  <fills count="59">
    <fill>
      <patternFill patternType="none"/>
    </fill>
    <fill>
      <patternFill patternType="gray125"/>
    </fill>
    <fill>
      <patternFill patternType="solid">
        <fgColor rgb="FFF4B183"/>
        <bgColor rgb="FFF8CBAD"/>
      </patternFill>
    </fill>
    <fill>
      <patternFill patternType="solid">
        <fgColor rgb="FFFFFF00"/>
        <bgColor rgb="FFFFC000"/>
      </patternFill>
    </fill>
    <fill>
      <patternFill patternType="solid">
        <fgColor rgb="FFFFC000"/>
        <bgColor rgb="FFF4B183"/>
      </patternFill>
    </fill>
    <fill>
      <patternFill patternType="solid">
        <fgColor rgb="FFFFFF99"/>
        <bgColor rgb="FFFFF2CC"/>
      </patternFill>
    </fill>
    <fill>
      <patternFill patternType="solid">
        <fgColor rgb="FF66FFFF"/>
        <bgColor rgb="FFAFEAFF"/>
      </patternFill>
    </fill>
    <fill>
      <patternFill patternType="solid">
        <fgColor rgb="FFBDD7EE"/>
        <bgColor rgb="FFD3D3D3"/>
      </patternFill>
    </fill>
    <fill>
      <patternFill patternType="solid">
        <fgColor rgb="FFC0C0C0"/>
        <bgColor rgb="FFBFBFBF"/>
      </patternFill>
    </fill>
    <fill>
      <patternFill patternType="solid">
        <fgColor rgb="FF92D050"/>
        <bgColor rgb="FFA9D18E"/>
      </patternFill>
    </fill>
    <fill>
      <patternFill patternType="solid">
        <fgColor rgb="FFA6A6A6"/>
        <bgColor rgb="FFBFBFBF"/>
      </patternFill>
    </fill>
    <fill>
      <patternFill patternType="solid">
        <fgColor rgb="FFBFBFBF"/>
        <bgColor rgb="FFC0C0C0"/>
      </patternFill>
    </fill>
    <fill>
      <patternFill patternType="solid">
        <fgColor rgb="FFFF0000"/>
        <bgColor rgb="FF9C0006"/>
      </patternFill>
    </fill>
    <fill>
      <patternFill patternType="solid">
        <fgColor rgb="FFFFF2CC"/>
        <bgColor rgb="FFFBE5D6"/>
      </patternFill>
    </fill>
    <fill>
      <patternFill patternType="solid">
        <fgColor rgb="FFF8CBAD"/>
        <bgColor rgb="FFFFC7CE"/>
      </patternFill>
    </fill>
    <fill>
      <patternFill patternType="solid">
        <fgColor rgb="FFAFEAFF"/>
        <bgColor rgb="FFBDD7EE"/>
      </patternFill>
    </fill>
    <fill>
      <patternFill patternType="solid">
        <fgColor rgb="FFDAE3F3"/>
        <bgColor rgb="FFD3D3D3"/>
      </patternFill>
    </fill>
    <fill>
      <patternFill patternType="solid">
        <fgColor rgb="FFD3D3D3"/>
        <bgColor rgb="FFBDD7EE"/>
      </patternFill>
    </fill>
    <fill>
      <patternFill patternType="solid">
        <fgColor rgb="FFFFFF00"/>
        <bgColor indexed="64"/>
      </patternFill>
    </fill>
    <fill>
      <patternFill patternType="solid">
        <fgColor theme="0"/>
        <bgColor indexed="64"/>
      </patternFill>
    </fill>
    <fill>
      <patternFill patternType="solid">
        <fgColor rgb="FFFFFF99"/>
        <bgColor indexed="64"/>
      </patternFill>
    </fill>
    <fill>
      <patternFill patternType="solid">
        <fgColor rgb="FF7030A0"/>
        <bgColor indexed="64"/>
      </patternFill>
    </fill>
    <fill>
      <patternFill patternType="solid">
        <fgColor indexed="42"/>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1"/>
        <bgColor indexed="64"/>
      </patternFill>
    </fill>
    <fill>
      <patternFill patternType="solid">
        <fgColor rgb="FFCCFF99"/>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7"/>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rgb="FFFFEB9C"/>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
      <patternFill patternType="solid">
        <fgColor rgb="FFFFC7CE"/>
        <bgColor indexed="64"/>
      </patternFill>
    </fill>
    <fill>
      <patternFill patternType="solid">
        <fgColor theme="9"/>
        <bgColor indexed="64"/>
      </patternFill>
    </fill>
    <fill>
      <patternFill patternType="solid">
        <fgColor theme="8" tint="0.799981688894314"/>
        <bgColor indexed="64"/>
      </patternFill>
    </fill>
  </fills>
  <borders count="30">
    <border>
      <left/>
      <right/>
      <top/>
      <bottom/>
      <diagonal/>
    </border>
    <border>
      <left/>
      <right/>
      <top/>
      <bottom style="thin">
        <color auto="true"/>
      </bottom>
      <diagonal/>
    </border>
    <border>
      <left style="medium">
        <color auto="true"/>
      </left>
      <right style="medium">
        <color auto="true"/>
      </right>
      <top style="medium">
        <color auto="true"/>
      </top>
      <bottom style="medium">
        <color auto="true"/>
      </bottom>
      <diagonal/>
    </border>
    <border>
      <left style="medium">
        <color auto="true"/>
      </left>
      <right style="thin">
        <color auto="true"/>
      </right>
      <top/>
      <bottom style="thin">
        <color auto="true"/>
      </bottom>
      <diagonal/>
    </border>
    <border>
      <left style="thin">
        <color auto="true"/>
      </left>
      <right style="thin">
        <color auto="true"/>
      </right>
      <top/>
      <bottom style="thin">
        <color auto="true"/>
      </bottom>
      <diagonal/>
    </border>
    <border>
      <left style="medium">
        <color auto="true"/>
      </left>
      <right style="thin">
        <color auto="true"/>
      </right>
      <top style="thin">
        <color auto="true"/>
      </top>
      <bottom style="thin">
        <color auto="true"/>
      </bottom>
      <diagonal/>
    </border>
    <border>
      <left style="thin">
        <color auto="true"/>
      </left>
      <right style="thin">
        <color auto="true"/>
      </right>
      <top style="thin">
        <color auto="true"/>
      </top>
      <bottom style="thin">
        <color auto="true"/>
      </bottom>
      <diagonal/>
    </border>
    <border>
      <left style="medium">
        <color auto="true"/>
      </left>
      <right style="thin">
        <color auto="true"/>
      </right>
      <top style="thin">
        <color auto="true"/>
      </top>
      <bottom style="medium">
        <color auto="true"/>
      </bottom>
      <diagonal/>
    </border>
    <border>
      <left style="thin">
        <color auto="true"/>
      </left>
      <right style="thin">
        <color auto="true"/>
      </right>
      <top style="thin">
        <color auto="true"/>
      </top>
      <bottom style="medium">
        <color auto="true"/>
      </bottom>
      <diagonal/>
    </border>
    <border>
      <left style="medium">
        <color auto="true"/>
      </left>
      <right style="thin">
        <color auto="true"/>
      </right>
      <top style="medium">
        <color auto="true"/>
      </top>
      <bottom style="thin">
        <color auto="true"/>
      </bottom>
      <diagonal/>
    </border>
    <border>
      <left style="thin">
        <color auto="true"/>
      </left>
      <right style="thin">
        <color auto="true"/>
      </right>
      <top style="medium">
        <color auto="true"/>
      </top>
      <bottom style="thin">
        <color auto="true"/>
      </bottom>
      <diagonal/>
    </border>
    <border>
      <left/>
      <right/>
      <top style="medium">
        <color auto="true"/>
      </top>
      <bottom style="medium">
        <color auto="true"/>
      </bottom>
      <diagonal/>
    </border>
    <border>
      <left/>
      <right/>
      <top style="medium">
        <color auto="true"/>
      </top>
      <bottom/>
      <diagonal/>
    </border>
    <border>
      <left/>
      <right/>
      <top/>
      <bottom style="medium">
        <color auto="true"/>
      </bottom>
      <diagonal/>
    </border>
    <border>
      <left/>
      <right/>
      <top style="thin">
        <color auto="true"/>
      </top>
      <bottom style="thin">
        <color auto="true"/>
      </bottom>
      <diagonal/>
    </border>
    <border>
      <left/>
      <right/>
      <top/>
      <bottom style="thin">
        <color rgb="FF000000"/>
      </bottom>
      <diagonal/>
    </border>
    <border>
      <left style="medium">
        <color auto="true"/>
      </left>
      <right/>
      <top style="medium">
        <color auto="true"/>
      </top>
      <bottom/>
      <diagonal/>
    </border>
    <border>
      <left style="medium">
        <color auto="true"/>
      </left>
      <right/>
      <top/>
      <bottom style="medium">
        <color auto="true"/>
      </bottom>
      <diagonal/>
    </border>
    <border>
      <left style="medium">
        <color auto="true"/>
      </left>
      <right/>
      <top/>
      <bottom/>
      <diagonal/>
    </border>
    <border>
      <left/>
      <right style="medium">
        <color auto="true"/>
      </right>
      <top style="medium">
        <color auto="true"/>
      </top>
      <bottom/>
      <diagonal/>
    </border>
    <border>
      <left/>
      <right style="medium">
        <color auto="true"/>
      </right>
      <top/>
      <bottom style="medium">
        <color auto="true"/>
      </bottom>
      <diagonal/>
    </border>
    <border>
      <left/>
      <right style="medium">
        <color auto="true"/>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42" fillId="45" borderId="0" applyNumberFormat="false" applyBorder="false" applyAlignment="false" applyProtection="false">
      <alignment vertical="center"/>
    </xf>
    <xf numFmtId="0" fontId="45" fillId="51" borderId="0" applyNumberFormat="false" applyBorder="false" applyAlignment="false" applyProtection="false">
      <alignment vertical="center"/>
    </xf>
    <xf numFmtId="0" fontId="42" fillId="30" borderId="0" applyNumberFormat="false" applyBorder="false" applyAlignment="false" applyProtection="false">
      <alignment vertical="center"/>
    </xf>
    <xf numFmtId="0" fontId="42" fillId="57" borderId="0" applyNumberFormat="false" applyBorder="false" applyAlignment="false" applyProtection="false">
      <alignment vertical="center"/>
    </xf>
    <xf numFmtId="0" fontId="45" fillId="42" borderId="0" applyNumberFormat="false" applyBorder="false" applyAlignment="false" applyProtection="false">
      <alignment vertical="center"/>
    </xf>
    <xf numFmtId="0" fontId="45" fillId="58" borderId="0" applyNumberFormat="false" applyBorder="false" applyAlignment="false" applyProtection="false">
      <alignment vertical="center"/>
    </xf>
    <xf numFmtId="0" fontId="42" fillId="39" borderId="0" applyNumberFormat="false" applyBorder="false" applyAlignment="false" applyProtection="false">
      <alignment vertical="center"/>
    </xf>
    <xf numFmtId="0" fontId="42" fillId="54" borderId="0" applyNumberFormat="false" applyBorder="false" applyAlignment="false" applyProtection="false">
      <alignment vertical="center"/>
    </xf>
    <xf numFmtId="0" fontId="45" fillId="31" borderId="0" applyNumberFormat="false" applyBorder="false" applyAlignment="false" applyProtection="false">
      <alignment vertical="center"/>
    </xf>
    <xf numFmtId="0" fontId="42" fillId="34" borderId="0" applyNumberFormat="false" applyBorder="false" applyAlignment="false" applyProtection="false">
      <alignment vertical="center"/>
    </xf>
    <xf numFmtId="0" fontId="56" fillId="0" borderId="28" applyNumberFormat="false" applyFill="false" applyAlignment="false" applyProtection="false">
      <alignment vertical="center"/>
    </xf>
    <xf numFmtId="0" fontId="45" fillId="50" borderId="0" applyNumberFormat="false" applyBorder="false" applyAlignment="false" applyProtection="false">
      <alignment vertical="center"/>
    </xf>
    <xf numFmtId="0" fontId="42" fillId="49" borderId="0" applyNumberFormat="false" applyBorder="false" applyAlignment="false" applyProtection="false">
      <alignment vertical="center"/>
    </xf>
    <xf numFmtId="0" fontId="42" fillId="55" borderId="0" applyNumberFormat="false" applyBorder="false" applyAlignment="false" applyProtection="false">
      <alignment vertical="center"/>
    </xf>
    <xf numFmtId="0" fontId="45" fillId="52" borderId="0" applyNumberFormat="false" applyBorder="false" applyAlignment="false" applyProtection="false">
      <alignment vertical="center"/>
    </xf>
    <xf numFmtId="0" fontId="45" fillId="53" borderId="0" applyNumberFormat="false" applyBorder="false" applyAlignment="false" applyProtection="false">
      <alignment vertical="center"/>
    </xf>
    <xf numFmtId="0" fontId="42" fillId="41" borderId="0" applyNumberFormat="false" applyBorder="false" applyAlignment="false" applyProtection="false">
      <alignment vertical="center"/>
    </xf>
    <xf numFmtId="0" fontId="45" fillId="47" borderId="0" applyNumberFormat="false" applyBorder="false" applyAlignment="false" applyProtection="false">
      <alignment vertical="center"/>
    </xf>
    <xf numFmtId="0" fontId="45" fillId="44" borderId="0" applyNumberFormat="false" applyBorder="false" applyAlignment="false" applyProtection="false">
      <alignment vertical="center"/>
    </xf>
    <xf numFmtId="0" fontId="42" fillId="46" borderId="0" applyNumberFormat="false" applyBorder="false" applyAlignment="false" applyProtection="false">
      <alignment vertical="center"/>
    </xf>
    <xf numFmtId="0" fontId="52" fillId="43" borderId="0" applyNumberFormat="false" applyBorder="false" applyAlignment="false" applyProtection="false">
      <alignment vertical="center"/>
    </xf>
    <xf numFmtId="0" fontId="42" fillId="28" borderId="0" applyNumberFormat="false" applyBorder="false" applyAlignment="false" applyProtection="false">
      <alignment vertical="center"/>
    </xf>
    <xf numFmtId="0" fontId="57" fillId="56" borderId="0" applyNumberFormat="false" applyBorder="false" applyAlignment="false" applyProtection="false">
      <alignment vertical="center"/>
    </xf>
    <xf numFmtId="0" fontId="45" fillId="40" borderId="0" applyNumberFormat="false" applyBorder="false" applyAlignment="false" applyProtection="false">
      <alignment vertical="center"/>
    </xf>
    <xf numFmtId="0" fontId="58" fillId="0" borderId="29" applyNumberFormat="false" applyFill="false" applyAlignment="false" applyProtection="false">
      <alignment vertical="center"/>
    </xf>
    <xf numFmtId="0" fontId="51" fillId="35" borderId="26" applyNumberFormat="false" applyAlignment="false" applyProtection="false">
      <alignment vertical="center"/>
    </xf>
    <xf numFmtId="187" fontId="30" fillId="0" borderId="0" applyFont="false" applyFill="false" applyBorder="false" applyAlignment="false" applyProtection="false">
      <alignment vertical="center"/>
    </xf>
    <xf numFmtId="0" fontId="45" fillId="38" borderId="0" applyNumberFormat="false" applyBorder="false" applyAlignment="false" applyProtection="false">
      <alignment vertical="center"/>
    </xf>
    <xf numFmtId="0" fontId="30" fillId="37" borderId="24" applyNumberFormat="false" applyFont="false" applyAlignment="false" applyProtection="false">
      <alignment vertical="center"/>
    </xf>
    <xf numFmtId="0" fontId="49" fillId="36" borderId="23" applyNumberFormat="false" applyAlignment="false" applyProtection="false">
      <alignment vertical="center"/>
    </xf>
    <xf numFmtId="0" fontId="48" fillId="0" borderId="0" applyNumberFormat="false" applyFill="false" applyBorder="false" applyAlignment="false" applyProtection="false">
      <alignment vertical="center"/>
    </xf>
    <xf numFmtId="0" fontId="47" fillId="35" borderId="23" applyNumberFormat="false" applyAlignment="false" applyProtection="false">
      <alignment vertical="center"/>
    </xf>
    <xf numFmtId="0" fontId="46" fillId="33" borderId="0" applyNumberFormat="false" applyBorder="false" applyAlignment="false" applyProtection="false">
      <alignment vertical="center"/>
    </xf>
    <xf numFmtId="0" fontId="48" fillId="0" borderId="25" applyNumberFormat="false" applyFill="false" applyAlignment="false" applyProtection="false">
      <alignment vertical="center"/>
    </xf>
    <xf numFmtId="0" fontId="53" fillId="0" borderId="0" applyNumberFormat="false" applyFill="false" applyBorder="false" applyAlignment="false" applyProtection="false">
      <alignment vertical="center"/>
    </xf>
    <xf numFmtId="0" fontId="54" fillId="0" borderId="22" applyNumberFormat="false" applyFill="false" applyAlignment="false" applyProtection="false">
      <alignment vertical="center"/>
    </xf>
    <xf numFmtId="188" fontId="30" fillId="0" borderId="0" applyFont="false" applyFill="false" applyBorder="false" applyAlignment="false" applyProtection="false">
      <alignment vertical="center"/>
    </xf>
    <xf numFmtId="0" fontId="45" fillId="32" borderId="0" applyNumberFormat="false" applyBorder="false" applyAlignment="false" applyProtection="false">
      <alignment vertical="center"/>
    </xf>
    <xf numFmtId="0" fontId="59" fillId="0" borderId="0" applyNumberFormat="false" applyFill="false" applyBorder="false" applyAlignment="false" applyProtection="false">
      <alignment vertical="center"/>
    </xf>
    <xf numFmtId="185" fontId="30" fillId="0" borderId="0" applyFont="false" applyFill="false" applyBorder="false" applyAlignment="false" applyProtection="false">
      <alignment vertical="center"/>
    </xf>
    <xf numFmtId="0" fontId="50" fillId="0" borderId="0" applyNumberFormat="false" applyFill="false" applyBorder="false" applyAlignment="false" applyProtection="false">
      <alignment vertical="center"/>
    </xf>
    <xf numFmtId="0" fontId="44" fillId="0" borderId="0" applyNumberFormat="false" applyFill="false" applyBorder="false" applyAlignment="false" applyProtection="false">
      <alignment vertical="center"/>
    </xf>
    <xf numFmtId="0" fontId="43" fillId="0" borderId="22" applyNumberFormat="false" applyFill="false" applyAlignment="false" applyProtection="false">
      <alignment vertical="center"/>
    </xf>
    <xf numFmtId="184" fontId="30" fillId="0" borderId="0" applyFont="false" applyFill="false" applyBorder="false" applyAlignment="false" applyProtection="false">
      <alignment vertical="center"/>
    </xf>
    <xf numFmtId="0" fontId="55" fillId="48" borderId="27" applyNumberFormat="false" applyAlignment="false" applyProtection="false">
      <alignment vertical="center"/>
    </xf>
    <xf numFmtId="0" fontId="42" fillId="29" borderId="0" applyNumberFormat="false" applyBorder="false" applyAlignment="false" applyProtection="false">
      <alignment vertical="center"/>
    </xf>
    <xf numFmtId="9" fontId="30" fillId="0" borderId="0" applyFont="false" applyFill="false" applyBorder="false" applyAlignment="false" applyProtection="false">
      <alignment vertical="center"/>
    </xf>
    <xf numFmtId="0" fontId="41" fillId="0" borderId="0" applyNumberFormat="false" applyFill="false" applyBorder="false" applyAlignment="false" applyProtection="false">
      <alignment vertical="center"/>
    </xf>
  </cellStyleXfs>
  <cellXfs count="285">
    <xf numFmtId="0" fontId="0" fillId="0" borderId="0" xfId="0"/>
    <xf numFmtId="0" fontId="1" fillId="2" borderId="0" xfId="0" applyFont="true" applyFill="true" applyAlignment="true">
      <alignment horizontal="center"/>
    </xf>
    <xf numFmtId="0" fontId="1" fillId="0" borderId="0" xfId="0" applyFont="true" applyAlignment="true">
      <alignment horizontal="left"/>
    </xf>
    <xf numFmtId="186" fontId="1" fillId="3" borderId="0" xfId="0" applyNumberFormat="true" applyFont="true" applyFill="true" applyAlignment="true">
      <alignment horizontal="center"/>
    </xf>
    <xf numFmtId="0" fontId="1" fillId="0" borderId="0" xfId="0" applyFont="true"/>
    <xf numFmtId="0" fontId="2" fillId="0" borderId="0" xfId="0" applyFont="true" applyAlignment="true">
      <alignment horizontal="center"/>
    </xf>
    <xf numFmtId="1" fontId="1" fillId="0" borderId="0" xfId="0" applyNumberFormat="true" applyFont="true"/>
    <xf numFmtId="1" fontId="2" fillId="0" borderId="0" xfId="0" applyNumberFormat="true" applyFont="true" applyAlignment="true">
      <alignment horizontal="center"/>
    </xf>
    <xf numFmtId="0" fontId="3" fillId="0" borderId="0" xfId="0" applyFont="true" applyAlignment="true">
      <alignment horizontal="center"/>
    </xf>
    <xf numFmtId="186" fontId="1" fillId="0" borderId="0" xfId="0" applyNumberFormat="true" applyFont="true"/>
    <xf numFmtId="186" fontId="3" fillId="0" borderId="0" xfId="0" applyNumberFormat="true" applyFont="true"/>
    <xf numFmtId="39" fontId="3" fillId="0" borderId="0" xfId="0" applyNumberFormat="true" applyFont="true"/>
    <xf numFmtId="0" fontId="1" fillId="2" borderId="0" xfId="0" applyFont="true" applyFill="true"/>
    <xf numFmtId="0" fontId="4" fillId="4" borderId="0" xfId="0" applyFont="true" applyFill="true"/>
    <xf numFmtId="0" fontId="1" fillId="0" borderId="0" xfId="0" applyFont="true" applyAlignment="true">
      <alignment horizontal="center"/>
    </xf>
    <xf numFmtId="1" fontId="1" fillId="0" borderId="0" xfId="0" applyNumberFormat="true" applyFont="true" applyAlignment="true">
      <alignment horizontal="center"/>
    </xf>
    <xf numFmtId="186" fontId="3" fillId="3" borderId="0" xfId="0" applyNumberFormat="true" applyFont="true" applyFill="true"/>
    <xf numFmtId="186" fontId="3" fillId="5" borderId="0" xfId="0" applyNumberFormat="true" applyFont="true" applyFill="true"/>
    <xf numFmtId="186" fontId="5" fillId="5" borderId="0" xfId="0" applyNumberFormat="true" applyFont="true" applyFill="true"/>
    <xf numFmtId="1" fontId="3" fillId="0" borderId="0" xfId="0" applyNumberFormat="true" applyFont="true" applyAlignment="true">
      <alignment horizontal="center"/>
    </xf>
    <xf numFmtId="186" fontId="6" fillId="3" borderId="0" xfId="0" applyNumberFormat="true" applyFont="true" applyFill="true" applyAlignment="true">
      <alignment horizontal="center"/>
    </xf>
    <xf numFmtId="181" fontId="4" fillId="0" borderId="0" xfId="0" applyNumberFormat="true" applyFont="true" applyAlignment="true">
      <alignment horizontal="center"/>
    </xf>
    <xf numFmtId="0" fontId="1" fillId="6" borderId="0" xfId="0" applyFont="true" applyFill="true" applyAlignment="true">
      <alignment horizontal="center"/>
    </xf>
    <xf numFmtId="1" fontId="1" fillId="6" borderId="0" xfId="0" applyNumberFormat="true" applyFont="true" applyFill="true" applyAlignment="true">
      <alignment horizontal="center"/>
    </xf>
    <xf numFmtId="0" fontId="3" fillId="6" borderId="0" xfId="0" applyFont="true" applyFill="true" applyAlignment="true">
      <alignment horizontal="center"/>
    </xf>
    <xf numFmtId="0" fontId="4" fillId="5" borderId="0" xfId="0" applyFont="true" applyFill="true"/>
    <xf numFmtId="186" fontId="3" fillId="0" borderId="0" xfId="0" applyNumberFormat="true" applyFont="true" applyAlignment="true">
      <alignment horizontal="center"/>
    </xf>
    <xf numFmtId="1" fontId="4" fillId="0" borderId="0" xfId="0" applyNumberFormat="true" applyFont="true" applyAlignment="true">
      <alignment horizontal="center"/>
    </xf>
    <xf numFmtId="0" fontId="7" fillId="0" borderId="0" xfId="0" applyFont="true"/>
    <xf numFmtId="0" fontId="8" fillId="0" borderId="0" xfId="0" applyFont="true"/>
    <xf numFmtId="0" fontId="9" fillId="0" borderId="0" xfId="0" applyFont="true"/>
    <xf numFmtId="0" fontId="10" fillId="0" borderId="0" xfId="0" applyFont="true"/>
    <xf numFmtId="0" fontId="4" fillId="0" borderId="0" xfId="0" applyFont="true" applyAlignment="true">
      <alignment horizontal="center"/>
    </xf>
    <xf numFmtId="0" fontId="11" fillId="0" borderId="0" xfId="0" applyFont="true"/>
    <xf numFmtId="0" fontId="12" fillId="0" borderId="0" xfId="0" applyFont="true" applyAlignment="true">
      <alignment horizontal="center"/>
    </xf>
    <xf numFmtId="40" fontId="13" fillId="7" borderId="0" xfId="0" applyNumberFormat="true" applyFont="true" applyFill="true"/>
    <xf numFmtId="40" fontId="11" fillId="0" borderId="0" xfId="0" applyNumberFormat="true" applyFont="true"/>
    <xf numFmtId="40" fontId="13" fillId="6" borderId="0" xfId="0" applyNumberFormat="true" applyFont="true" applyFill="true"/>
    <xf numFmtId="40" fontId="13" fillId="0" borderId="0" xfId="0" applyNumberFormat="true" applyFont="true"/>
    <xf numFmtId="186" fontId="11" fillId="0" borderId="0" xfId="0" applyNumberFormat="true" applyFont="true"/>
    <xf numFmtId="38" fontId="11" fillId="0" borderId="0" xfId="0" applyNumberFormat="true" applyFont="true"/>
    <xf numFmtId="0" fontId="14" fillId="0" borderId="0" xfId="0" applyFont="true" applyAlignment="true">
      <alignment horizontal="center"/>
    </xf>
    <xf numFmtId="0" fontId="11" fillId="3" borderId="0" xfId="0" applyFont="true" applyFill="true"/>
    <xf numFmtId="0" fontId="11" fillId="8" borderId="0" xfId="0" applyFont="true" applyFill="true"/>
    <xf numFmtId="186" fontId="11" fillId="9" borderId="0" xfId="0" applyNumberFormat="true" applyFont="true" applyFill="true"/>
    <xf numFmtId="0" fontId="15" fillId="0" borderId="0" xfId="0" applyFont="true"/>
    <xf numFmtId="186" fontId="11" fillId="5" borderId="0" xfId="0" applyNumberFormat="true" applyFont="true" applyFill="true"/>
    <xf numFmtId="39" fontId="11" fillId="0" borderId="0" xfId="0" applyNumberFormat="true" applyFont="true"/>
    <xf numFmtId="0" fontId="12" fillId="0" borderId="0" xfId="0" applyFont="true"/>
    <xf numFmtId="186" fontId="13" fillId="9" borderId="0" xfId="0" applyNumberFormat="true" applyFont="true" applyFill="true"/>
    <xf numFmtId="186" fontId="11" fillId="4" borderId="0" xfId="0" applyNumberFormat="true" applyFont="true" applyFill="true"/>
    <xf numFmtId="186" fontId="11" fillId="8" borderId="0" xfId="0" applyNumberFormat="true" applyFont="true" applyFill="true"/>
    <xf numFmtId="186" fontId="11" fillId="3" borderId="0" xfId="0" applyNumberFormat="true" applyFont="true" applyFill="true"/>
    <xf numFmtId="186" fontId="11" fillId="10" borderId="0" xfId="0" applyNumberFormat="true" applyFont="true" applyFill="true"/>
    <xf numFmtId="186" fontId="11" fillId="11" borderId="0" xfId="0" applyNumberFormat="true" applyFont="true" applyFill="true"/>
    <xf numFmtId="0" fontId="12" fillId="11" borderId="0" xfId="0" applyFont="true" applyFill="true"/>
    <xf numFmtId="0" fontId="11" fillId="11" borderId="0" xfId="0" applyFont="true" applyFill="true"/>
    <xf numFmtId="39" fontId="11" fillId="11" borderId="0" xfId="0" applyNumberFormat="true" applyFont="true" applyFill="true"/>
    <xf numFmtId="186" fontId="11" fillId="12" borderId="0" xfId="0" applyNumberFormat="true" applyFont="true" applyFill="true"/>
    <xf numFmtId="0" fontId="16" fillId="0" borderId="0" xfId="0" applyFont="true"/>
    <xf numFmtId="0" fontId="4" fillId="0" borderId="0" xfId="0" applyFont="true" applyAlignment="true">
      <alignment horizontal="left"/>
    </xf>
    <xf numFmtId="40" fontId="4" fillId="0" borderId="0" xfId="0" applyNumberFormat="true" applyFont="true"/>
    <xf numFmtId="39" fontId="17" fillId="0" borderId="0" xfId="0" applyNumberFormat="true" applyFont="true" applyAlignment="true">
      <alignment horizontal="right"/>
    </xf>
    <xf numFmtId="0" fontId="18" fillId="3" borderId="1" xfId="0" applyFont="true" applyFill="true" applyBorder="true" applyAlignment="true">
      <alignment horizontal="left"/>
    </xf>
    <xf numFmtId="0" fontId="17" fillId="0" borderId="0" xfId="0" applyFont="true" applyAlignment="true">
      <alignment horizontal="left"/>
    </xf>
    <xf numFmtId="0" fontId="18" fillId="3" borderId="0" xfId="0" applyFont="true" applyFill="true" applyAlignment="true">
      <alignment horizontal="left"/>
    </xf>
    <xf numFmtId="0" fontId="18" fillId="3" borderId="1" xfId="0" applyFont="true" applyFill="true" applyBorder="true" applyAlignment="true">
      <alignment horizontal="center"/>
    </xf>
    <xf numFmtId="2" fontId="17" fillId="0" borderId="0" xfId="0" applyNumberFormat="true" applyFont="true" applyAlignment="true">
      <alignment horizontal="right"/>
    </xf>
    <xf numFmtId="0" fontId="4" fillId="0" borderId="0" xfId="0" applyFont="true"/>
    <xf numFmtId="0" fontId="19" fillId="0" borderId="0" xfId="0" applyFont="true"/>
    <xf numFmtId="2" fontId="4" fillId="0" borderId="0" xfId="0" applyNumberFormat="true" applyFont="true"/>
    <xf numFmtId="186" fontId="4" fillId="0" borderId="0" xfId="0" applyNumberFormat="true" applyFont="true"/>
    <xf numFmtId="186" fontId="4" fillId="0" borderId="0" xfId="0" applyNumberFormat="true" applyFont="true" applyAlignment="true">
      <alignment horizontal="center"/>
    </xf>
    <xf numFmtId="37" fontId="4" fillId="0" borderId="0" xfId="0" applyNumberFormat="true" applyFont="true"/>
    <xf numFmtId="186" fontId="4" fillId="0" borderId="0" xfId="0" applyNumberFormat="true" applyFont="true" applyAlignment="true">
      <alignment vertical="center"/>
    </xf>
    <xf numFmtId="179" fontId="12" fillId="5" borderId="0" xfId="0" applyNumberFormat="true" applyFont="true" applyFill="true"/>
    <xf numFmtId="186" fontId="4" fillId="0" borderId="2" xfId="0" applyNumberFormat="true" applyFont="true" applyBorder="true"/>
    <xf numFmtId="186" fontId="4" fillId="0" borderId="3" xfId="0" applyNumberFormat="true" applyFont="true" applyBorder="true" applyAlignment="true">
      <alignment horizontal="center"/>
    </xf>
    <xf numFmtId="186" fontId="4" fillId="0" borderId="4" xfId="0" applyNumberFormat="true" applyFont="true" applyBorder="true" applyAlignment="true">
      <alignment horizontal="center"/>
    </xf>
    <xf numFmtId="37" fontId="4" fillId="0" borderId="5" xfId="0" applyNumberFormat="true" applyFont="true" applyBorder="true"/>
    <xf numFmtId="37" fontId="4" fillId="0" borderId="6" xfId="0" applyNumberFormat="true" applyFont="true" applyBorder="true"/>
    <xf numFmtId="186" fontId="4" fillId="0" borderId="6" xfId="0" applyNumberFormat="true" applyFont="true" applyBorder="true"/>
    <xf numFmtId="186" fontId="4" fillId="0" borderId="7" xfId="0" applyNumberFormat="true" applyFont="true" applyBorder="true"/>
    <xf numFmtId="186" fontId="4" fillId="0" borderId="8" xfId="0" applyNumberFormat="true" applyFont="true" applyBorder="true"/>
    <xf numFmtId="186" fontId="4" fillId="0" borderId="9" xfId="0" applyNumberFormat="true" applyFont="true" applyBorder="true"/>
    <xf numFmtId="186" fontId="4" fillId="0" borderId="10" xfId="0" applyNumberFormat="true" applyFont="true" applyBorder="true"/>
    <xf numFmtId="186" fontId="4" fillId="0" borderId="5" xfId="0" applyNumberFormat="true" applyFont="true" applyBorder="true"/>
    <xf numFmtId="186" fontId="4" fillId="3" borderId="5" xfId="0" applyNumberFormat="true" applyFont="true" applyFill="true" applyBorder="true"/>
    <xf numFmtId="37" fontId="4" fillId="0" borderId="10" xfId="0" applyNumberFormat="true" applyFont="true" applyBorder="true"/>
    <xf numFmtId="186" fontId="4" fillId="0" borderId="5" xfId="0" applyNumberFormat="true" applyFont="true" applyBorder="true" applyAlignment="true">
      <alignment vertical="center" wrapText="true"/>
    </xf>
    <xf numFmtId="37" fontId="4" fillId="0" borderId="6" xfId="0" applyNumberFormat="true" applyFont="true" applyBorder="true" applyAlignment="true">
      <alignment vertical="center"/>
    </xf>
    <xf numFmtId="186" fontId="4" fillId="0" borderId="6" xfId="0" applyNumberFormat="true" applyFont="true" applyBorder="true" applyAlignment="true">
      <alignment vertical="center"/>
    </xf>
    <xf numFmtId="186" fontId="4" fillId="0" borderId="2" xfId="0" applyNumberFormat="true" applyFont="true" applyBorder="true" applyAlignment="true">
      <alignment horizontal="center"/>
    </xf>
    <xf numFmtId="186" fontId="19" fillId="0" borderId="6" xfId="0" applyNumberFormat="true" applyFont="true" applyBorder="true"/>
    <xf numFmtId="186" fontId="4" fillId="5" borderId="6" xfId="0" applyNumberFormat="true" applyFont="true" applyFill="true" applyBorder="true" applyAlignment="true">
      <alignment vertical="center"/>
    </xf>
    <xf numFmtId="186" fontId="4" fillId="0" borderId="4" xfId="0" applyNumberFormat="true" applyFont="true" applyBorder="true"/>
    <xf numFmtId="183" fontId="4" fillId="0" borderId="0" xfId="0" applyNumberFormat="true" applyFont="true"/>
    <xf numFmtId="186" fontId="4" fillId="13" borderId="6" xfId="0" applyNumberFormat="true" applyFont="true" applyFill="true" applyBorder="true"/>
    <xf numFmtId="186" fontId="4" fillId="0" borderId="11" xfId="0" applyNumberFormat="true" applyFont="true" applyBorder="true"/>
    <xf numFmtId="186" fontId="4" fillId="0" borderId="12" xfId="0" applyNumberFormat="true" applyFont="true" applyBorder="true"/>
    <xf numFmtId="186" fontId="4" fillId="0" borderId="13" xfId="0" applyNumberFormat="true" applyFont="true" applyBorder="true"/>
    <xf numFmtId="0" fontId="11" fillId="0" borderId="0" xfId="0" applyFont="true" applyAlignment="true">
      <alignment horizontal="center"/>
    </xf>
    <xf numFmtId="0" fontId="11" fillId="0" borderId="0" xfId="0" applyFont="true" applyAlignment="true">
      <alignment vertical="center"/>
    </xf>
    <xf numFmtId="0" fontId="4" fillId="10" borderId="0" xfId="0" applyFont="true" applyFill="true"/>
    <xf numFmtId="0" fontId="20" fillId="0" borderId="0" xfId="0" applyFont="true"/>
    <xf numFmtId="2" fontId="20" fillId="0" borderId="0" xfId="0" applyNumberFormat="true" applyFont="true"/>
    <xf numFmtId="1" fontId="4" fillId="0" borderId="0" xfId="0" applyNumberFormat="true" applyFont="true"/>
    <xf numFmtId="0" fontId="19" fillId="0" borderId="0" xfId="0" applyFont="true" applyAlignment="true">
      <alignment horizontal="center"/>
    </xf>
    <xf numFmtId="4" fontId="4" fillId="0" borderId="0" xfId="0" applyNumberFormat="true" applyFont="true"/>
    <xf numFmtId="182" fontId="20" fillId="0" borderId="0" xfId="0" applyNumberFormat="true" applyFont="true"/>
    <xf numFmtId="1" fontId="19" fillId="0" borderId="0" xfId="0" applyNumberFormat="true" applyFont="true" applyAlignment="true">
      <alignment horizontal="center"/>
    </xf>
    <xf numFmtId="0" fontId="11" fillId="14" borderId="0" xfId="0" applyFont="true" applyFill="true"/>
    <xf numFmtId="0" fontId="18" fillId="3" borderId="0" xfId="0" applyFont="true" applyFill="true"/>
    <xf numFmtId="2" fontId="18" fillId="3" borderId="1" xfId="0" applyNumberFormat="true" applyFont="true" applyFill="true" applyBorder="true" applyAlignment="true">
      <alignment horizontal="center"/>
    </xf>
    <xf numFmtId="186" fontId="18" fillId="3" borderId="1" xfId="0" applyNumberFormat="true" applyFont="true" applyFill="true" applyBorder="true" applyAlignment="true">
      <alignment horizontal="left"/>
    </xf>
    <xf numFmtId="0" fontId="16" fillId="15" borderId="0" xfId="0" applyFont="true" applyFill="true"/>
    <xf numFmtId="0" fontId="20" fillId="16" borderId="0" xfId="0" applyFont="true" applyFill="true"/>
    <xf numFmtId="186" fontId="20" fillId="0" borderId="0" xfId="0" applyNumberFormat="true" applyFont="true"/>
    <xf numFmtId="0" fontId="4" fillId="16" borderId="0" xfId="0" applyFont="true" applyFill="true"/>
    <xf numFmtId="0" fontId="17" fillId="0" borderId="0" xfId="0" applyFont="true" applyFill="true" applyAlignment="true">
      <alignment horizontal="left"/>
    </xf>
    <xf numFmtId="39" fontId="17" fillId="0" borderId="0" xfId="0" applyNumberFormat="true" applyFont="true" applyFill="true" applyAlignment="true">
      <alignment horizontal="right"/>
    </xf>
    <xf numFmtId="0" fontId="4" fillId="0" borderId="0" xfId="0" applyFont="true" applyAlignment="true">
      <alignment horizontal="center" vertical="center" wrapText="true"/>
    </xf>
    <xf numFmtId="0" fontId="4" fillId="0" borderId="0" xfId="0" applyFont="true" applyAlignment="true">
      <alignment vertical="center" wrapText="true"/>
    </xf>
    <xf numFmtId="0" fontId="21" fillId="17" borderId="1" xfId="0" applyFont="true" applyFill="true" applyBorder="true" applyAlignment="true">
      <alignment horizontal="center" vertical="center" wrapText="true"/>
    </xf>
    <xf numFmtId="0" fontId="21" fillId="17" borderId="14" xfId="0" applyFont="true" applyFill="true" applyBorder="true" applyAlignment="true">
      <alignment vertical="center" wrapText="true"/>
    </xf>
    <xf numFmtId="0" fontId="22" fillId="0" borderId="0" xfId="0" applyFont="true" applyAlignment="true">
      <alignment horizontal="center" vertical="center"/>
    </xf>
    <xf numFmtId="0" fontId="22" fillId="0" borderId="0" xfId="0" applyFont="true" applyAlignment="true">
      <alignment horizontal="left" vertical="center"/>
    </xf>
    <xf numFmtId="4" fontId="22" fillId="0" borderId="0" xfId="0" applyNumberFormat="true" applyFont="true" applyAlignment="true">
      <alignment horizontal="right" vertical="center"/>
    </xf>
    <xf numFmtId="0" fontId="21" fillId="17" borderId="0" xfId="0" applyFont="true" applyFill="true" applyAlignment="true">
      <alignment horizontal="center" vertical="center" wrapText="true"/>
    </xf>
    <xf numFmtId="0" fontId="12" fillId="0" borderId="0" xfId="0" applyFont="true" applyAlignment="true">
      <alignment horizontal="center" vertical="center" wrapText="true"/>
    </xf>
    <xf numFmtId="0" fontId="23" fillId="0" borderId="0" xfId="0" applyFont="true" applyAlignment="true">
      <alignment horizontal="center" vertical="center" wrapText="true"/>
    </xf>
    <xf numFmtId="0" fontId="24" fillId="3" borderId="1" xfId="0" applyFont="true" applyFill="true" applyBorder="true" applyAlignment="true">
      <alignment horizontal="center" vertical="center" wrapText="true"/>
    </xf>
    <xf numFmtId="0" fontId="24" fillId="3" borderId="0" xfId="0" applyFont="true" applyFill="true" applyAlignment="true">
      <alignment horizontal="center" vertical="center" wrapText="true"/>
    </xf>
    <xf numFmtId="2" fontId="24" fillId="3" borderId="1" xfId="0" applyNumberFormat="true" applyFont="true" applyFill="true" applyBorder="true" applyAlignment="true">
      <alignment horizontal="center" vertical="center" wrapText="true"/>
    </xf>
    <xf numFmtId="186" fontId="24" fillId="3" borderId="1" xfId="0" applyNumberFormat="true" applyFont="true" applyFill="true" applyBorder="true" applyAlignment="true">
      <alignment horizontal="center" vertical="center" wrapText="true"/>
    </xf>
    <xf numFmtId="0" fontId="25" fillId="0" borderId="0" xfId="0" applyFont="true" applyAlignment="true">
      <alignment horizontal="center" wrapText="true"/>
    </xf>
    <xf numFmtId="0" fontId="25" fillId="0" borderId="0" xfId="0" applyFont="true"/>
    <xf numFmtId="0" fontId="25" fillId="0" borderId="0" xfId="0" applyFont="true" applyAlignment="true">
      <alignment horizontal="left"/>
    </xf>
    <xf numFmtId="0" fontId="26" fillId="0" borderId="0" xfId="0" applyFont="true" applyAlignment="true">
      <alignment horizontal="left"/>
    </xf>
    <xf numFmtId="0" fontId="27" fillId="0" borderId="0" xfId="0" applyFont="true"/>
    <xf numFmtId="0" fontId="26" fillId="0" borderId="0" xfId="0" applyFont="true" applyAlignment="true">
      <alignment horizontal="center" wrapText="true"/>
    </xf>
    <xf numFmtId="0" fontId="28" fillId="18" borderId="15" xfId="0" applyFont="true" applyFill="true" applyBorder="true" applyAlignment="true">
      <alignment horizontal="left"/>
    </xf>
    <xf numFmtId="0" fontId="28" fillId="18" borderId="15" xfId="0" applyFont="true" applyFill="true" applyBorder="true" applyAlignment="true">
      <alignment horizontal="center"/>
    </xf>
    <xf numFmtId="0" fontId="29" fillId="0" borderId="0" xfId="0" applyFont="true" applyAlignment="true">
      <alignment horizontal="left"/>
    </xf>
    <xf numFmtId="0" fontId="27" fillId="19" borderId="0" xfId="0" applyFont="true" applyFill="true"/>
    <xf numFmtId="0" fontId="30" fillId="0" borderId="0" xfId="0" applyFont="true"/>
    <xf numFmtId="0" fontId="27" fillId="18" borderId="0" xfId="0" applyFont="true" applyFill="true"/>
    <xf numFmtId="189" fontId="4" fillId="0" borderId="0" xfId="0" applyNumberFormat="true" applyFont="true"/>
    <xf numFmtId="0" fontId="31" fillId="20" borderId="0" xfId="0" applyFont="true" applyFill="true"/>
    <xf numFmtId="178" fontId="31" fillId="0" borderId="0" xfId="0" applyNumberFormat="true" applyFont="true"/>
    <xf numFmtId="0" fontId="31" fillId="0" borderId="0" xfId="0" applyFont="true" applyAlignment="true">
      <alignment vertical="center" wrapText="true"/>
    </xf>
    <xf numFmtId="0" fontId="32" fillId="0" borderId="0" xfId="0" applyFont="true"/>
    <xf numFmtId="38" fontId="31" fillId="0" borderId="0" xfId="0" applyNumberFormat="true" applyFont="true"/>
    <xf numFmtId="38" fontId="32" fillId="0" borderId="0" xfId="0" applyNumberFormat="true" applyFont="true"/>
    <xf numFmtId="0" fontId="31" fillId="0" borderId="0" xfId="0" applyFont="true"/>
    <xf numFmtId="0" fontId="33" fillId="0" borderId="0" xfId="0" applyFont="true"/>
    <xf numFmtId="0" fontId="34" fillId="0" borderId="0" xfId="0" applyFont="true"/>
    <xf numFmtId="0" fontId="34" fillId="0" borderId="16" xfId="0" applyFont="true" applyBorder="true"/>
    <xf numFmtId="0" fontId="34" fillId="0" borderId="12" xfId="0" applyFont="true" applyBorder="true"/>
    <xf numFmtId="0" fontId="34" fillId="0" borderId="17" xfId="0" applyFont="true" applyBorder="true"/>
    <xf numFmtId="0" fontId="34" fillId="0" borderId="13" xfId="0" applyFont="true" applyBorder="true"/>
    <xf numFmtId="0" fontId="31" fillId="0" borderId="18" xfId="0" applyFont="true" applyBorder="true"/>
    <xf numFmtId="0" fontId="35" fillId="0" borderId="18" xfId="0" applyFont="true" applyBorder="true"/>
    <xf numFmtId="0" fontId="35" fillId="0" borderId="0" xfId="0" applyFont="true"/>
    <xf numFmtId="0" fontId="36" fillId="0" borderId="0" xfId="0" applyFont="true"/>
    <xf numFmtId="0" fontId="31" fillId="21" borderId="0" xfId="0" applyFont="true" applyFill="true"/>
    <xf numFmtId="0" fontId="31" fillId="21" borderId="18" xfId="0" applyFont="true" applyFill="true" applyBorder="true"/>
    <xf numFmtId="177" fontId="31" fillId="0" borderId="0" xfId="0" applyNumberFormat="true" applyFont="true"/>
    <xf numFmtId="0" fontId="34" fillId="0" borderId="12" xfId="0" applyFont="true" applyBorder="true" applyAlignment="true">
      <alignment horizontal="center"/>
    </xf>
    <xf numFmtId="176" fontId="32" fillId="0" borderId="0" xfId="0" applyNumberFormat="true" applyFont="true"/>
    <xf numFmtId="176" fontId="31" fillId="22" borderId="0" xfId="0" applyNumberFormat="true" applyFont="true" applyFill="true"/>
    <xf numFmtId="176" fontId="31" fillId="0" borderId="0" xfId="0" applyNumberFormat="true" applyFont="true"/>
    <xf numFmtId="176" fontId="37" fillId="22" borderId="0" xfId="0" applyNumberFormat="true" applyFont="true" applyFill="true"/>
    <xf numFmtId="176" fontId="32" fillId="21" borderId="0" xfId="0" applyNumberFormat="true" applyFont="true" applyFill="true"/>
    <xf numFmtId="176" fontId="31" fillId="21" borderId="0" xfId="0" applyNumberFormat="true" applyFont="true" applyFill="true"/>
    <xf numFmtId="0" fontId="34" fillId="0" borderId="19" xfId="0" applyFont="true" applyBorder="true" applyAlignment="true">
      <alignment horizontal="center"/>
    </xf>
    <xf numFmtId="0" fontId="34" fillId="0" borderId="20" xfId="0" applyFont="true" applyBorder="true"/>
    <xf numFmtId="0" fontId="34" fillId="0" borderId="21" xfId="0" applyFont="true" applyBorder="true"/>
    <xf numFmtId="176" fontId="32" fillId="0" borderId="21" xfId="0" applyNumberFormat="true" applyFont="true" applyBorder="true"/>
    <xf numFmtId="176" fontId="32" fillId="21" borderId="21" xfId="0" applyNumberFormat="true" applyFont="true" applyFill="true" applyBorder="true"/>
    <xf numFmtId="176" fontId="31" fillId="18" borderId="0" xfId="0" applyNumberFormat="true" applyFont="true" applyFill="true"/>
    <xf numFmtId="180" fontId="34" fillId="0" borderId="13" xfId="0" applyNumberFormat="true" applyFont="true" applyBorder="true"/>
    <xf numFmtId="176" fontId="31" fillId="23" borderId="0" xfId="0" applyNumberFormat="true" applyFont="true" applyFill="true"/>
    <xf numFmtId="176" fontId="35" fillId="0" borderId="0" xfId="0" applyNumberFormat="true" applyFont="true"/>
    <xf numFmtId="0" fontId="34" fillId="0" borderId="19" xfId="0" applyFont="true" applyBorder="true"/>
    <xf numFmtId="176" fontId="31" fillId="22" borderId="18" xfId="0" applyNumberFormat="true" applyFont="true" applyFill="true" applyBorder="true"/>
    <xf numFmtId="176" fontId="31" fillId="0" borderId="18" xfId="0" applyNumberFormat="true" applyFont="true" applyBorder="true"/>
    <xf numFmtId="176" fontId="31" fillId="21" borderId="18" xfId="0" applyNumberFormat="true" applyFont="true" applyFill="true" applyBorder="true"/>
    <xf numFmtId="0" fontId="35" fillId="0" borderId="21" xfId="0" applyFont="true" applyBorder="true"/>
    <xf numFmtId="176" fontId="31" fillId="22" borderId="21" xfId="0" applyNumberFormat="true" applyFont="true" applyFill="true" applyBorder="true"/>
    <xf numFmtId="176" fontId="31" fillId="0" borderId="21" xfId="0" applyNumberFormat="true" applyFont="true" applyBorder="true"/>
    <xf numFmtId="176" fontId="31" fillId="18" borderId="21" xfId="0" applyNumberFormat="true" applyFont="true" applyFill="true" applyBorder="true"/>
    <xf numFmtId="176" fontId="31" fillId="21" borderId="21" xfId="0" applyNumberFormat="true" applyFont="true" applyFill="true" applyBorder="true"/>
    <xf numFmtId="0" fontId="33" fillId="21" borderId="0" xfId="0" applyFont="true" applyFill="true"/>
    <xf numFmtId="0" fontId="31" fillId="20" borderId="18" xfId="0" applyFont="true" applyFill="true" applyBorder="true"/>
    <xf numFmtId="0" fontId="31" fillId="18" borderId="0" xfId="0" applyFont="true" applyFill="true"/>
    <xf numFmtId="0" fontId="31" fillId="24" borderId="0" xfId="0" applyFont="true" applyFill="true"/>
    <xf numFmtId="0" fontId="31" fillId="24" borderId="18" xfId="0" applyFont="true" applyFill="true" applyBorder="true"/>
    <xf numFmtId="178" fontId="32" fillId="0" borderId="0" xfId="0" applyNumberFormat="true" applyFont="true"/>
    <xf numFmtId="178" fontId="32" fillId="20" borderId="0" xfId="0" applyNumberFormat="true" applyFont="true" applyFill="true"/>
    <xf numFmtId="38" fontId="32" fillId="20" borderId="0" xfId="0" applyNumberFormat="true" applyFont="true" applyFill="true"/>
    <xf numFmtId="38" fontId="31" fillId="20" borderId="0" xfId="0" applyNumberFormat="true" applyFont="true" applyFill="true"/>
    <xf numFmtId="178" fontId="32" fillId="24" borderId="0" xfId="0" applyNumberFormat="true" applyFont="true" applyFill="true"/>
    <xf numFmtId="38" fontId="32" fillId="24" borderId="0" xfId="0" applyNumberFormat="true" applyFont="true" applyFill="true"/>
    <xf numFmtId="40" fontId="31" fillId="24" borderId="0" xfId="0" applyNumberFormat="true" applyFont="true" applyFill="true"/>
    <xf numFmtId="38" fontId="32" fillId="0" borderId="21" xfId="0" applyNumberFormat="true" applyFont="true" applyBorder="true"/>
    <xf numFmtId="38" fontId="32" fillId="20" borderId="21" xfId="0" applyNumberFormat="true" applyFont="true" applyFill="true" applyBorder="true"/>
    <xf numFmtId="38" fontId="32" fillId="24" borderId="21" xfId="0" applyNumberFormat="true" applyFont="true" applyFill="true" applyBorder="true"/>
    <xf numFmtId="40" fontId="31" fillId="24" borderId="21" xfId="0" applyNumberFormat="true" applyFont="true" applyFill="true" applyBorder="true"/>
    <xf numFmtId="38" fontId="31" fillId="0" borderId="18" xfId="0" applyNumberFormat="true" applyFont="true" applyBorder="true"/>
    <xf numFmtId="38" fontId="31" fillId="20" borderId="18" xfId="0" applyNumberFormat="true" applyFont="true" applyFill="true" applyBorder="true"/>
    <xf numFmtId="38" fontId="32" fillId="20" borderId="18" xfId="0" applyNumberFormat="true" applyFont="true" applyFill="true" applyBorder="true"/>
    <xf numFmtId="38" fontId="31" fillId="0" borderId="21" xfId="0" applyNumberFormat="true" applyFont="true" applyBorder="true"/>
    <xf numFmtId="38" fontId="31" fillId="20" borderId="21" xfId="0" applyNumberFormat="true" applyFont="true" applyFill="true" applyBorder="true"/>
    <xf numFmtId="0" fontId="33" fillId="20" borderId="0" xfId="0" applyFont="true" applyFill="true"/>
    <xf numFmtId="38" fontId="31" fillId="24" borderId="0" xfId="0" applyNumberFormat="true" applyFont="true" applyFill="true"/>
    <xf numFmtId="0" fontId="33" fillId="24" borderId="0" xfId="0" applyFont="true" applyFill="true"/>
    <xf numFmtId="0" fontId="38" fillId="0" borderId="0" xfId="0" applyFont="true"/>
    <xf numFmtId="0" fontId="31" fillId="25" borderId="0" xfId="0" applyFont="true" applyFill="true"/>
    <xf numFmtId="0" fontId="31" fillId="25" borderId="18" xfId="0" applyFont="true" applyFill="true" applyBorder="true"/>
    <xf numFmtId="178" fontId="31" fillId="25" borderId="0" xfId="0" applyNumberFormat="true" applyFont="true" applyFill="true"/>
    <xf numFmtId="178" fontId="31" fillId="25" borderId="18" xfId="0" applyNumberFormat="true" applyFont="true" applyFill="true" applyBorder="true"/>
    <xf numFmtId="178" fontId="31" fillId="0" borderId="18" xfId="0" applyNumberFormat="true" applyFont="true" applyBorder="true"/>
    <xf numFmtId="0" fontId="34" fillId="0" borderId="0" xfId="0" applyFont="true" applyAlignment="true">
      <alignment vertical="center" wrapText="true"/>
    </xf>
    <xf numFmtId="0" fontId="34" fillId="0" borderId="17" xfId="0" applyFont="true" applyBorder="true" applyAlignment="true">
      <alignment vertical="center" wrapText="true"/>
    </xf>
    <xf numFmtId="0" fontId="34" fillId="0" borderId="13" xfId="0" applyFont="true" applyBorder="true" applyAlignment="true">
      <alignment vertical="center" wrapText="true"/>
    </xf>
    <xf numFmtId="0" fontId="31" fillId="26" borderId="0" xfId="0" applyFont="true" applyFill="true"/>
    <xf numFmtId="0" fontId="31" fillId="26" borderId="18" xfId="0" applyFont="true" applyFill="true" applyBorder="true"/>
    <xf numFmtId="38" fontId="31" fillId="23" borderId="0" xfId="0" applyNumberFormat="true" applyFont="true" applyFill="true"/>
    <xf numFmtId="178" fontId="32" fillId="25" borderId="0" xfId="0" applyNumberFormat="true" applyFont="true" applyFill="true"/>
    <xf numFmtId="38" fontId="32" fillId="25" borderId="0" xfId="0" applyNumberFormat="true" applyFont="true" applyFill="true"/>
    <xf numFmtId="38" fontId="31" fillId="25" borderId="0" xfId="0" applyNumberFormat="true" applyFont="true" applyFill="true"/>
    <xf numFmtId="176" fontId="32" fillId="25" borderId="0" xfId="0" applyNumberFormat="true" applyFont="true" applyFill="true"/>
    <xf numFmtId="176" fontId="31" fillId="25" borderId="0" xfId="0" applyNumberFormat="true" applyFont="true" applyFill="true"/>
    <xf numFmtId="38" fontId="32" fillId="26" borderId="0" xfId="0" applyNumberFormat="true" applyFont="true" applyFill="true"/>
    <xf numFmtId="38" fontId="31" fillId="26" borderId="0" xfId="0" applyNumberFormat="true" applyFont="true" applyFill="true"/>
    <xf numFmtId="38" fontId="32" fillId="25" borderId="21" xfId="0" applyNumberFormat="true" applyFont="true" applyFill="true" applyBorder="true"/>
    <xf numFmtId="176" fontId="31" fillId="25" borderId="21" xfId="0" applyNumberFormat="true" applyFont="true" applyFill="true" applyBorder="true"/>
    <xf numFmtId="178" fontId="31" fillId="25" borderId="21" xfId="0" applyNumberFormat="true" applyFont="true" applyFill="true" applyBorder="true"/>
    <xf numFmtId="178" fontId="32" fillId="0" borderId="21" xfId="0" applyNumberFormat="true" applyFont="true" applyBorder="true"/>
    <xf numFmtId="0" fontId="34" fillId="0" borderId="20" xfId="0" applyFont="true" applyBorder="true" applyAlignment="true">
      <alignment vertical="center" wrapText="true"/>
    </xf>
    <xf numFmtId="38" fontId="32" fillId="26" borderId="21" xfId="0" applyNumberFormat="true" applyFont="true" applyFill="true" applyBorder="true"/>
    <xf numFmtId="0" fontId="39" fillId="0" borderId="13" xfId="0" applyFont="true" applyBorder="true" applyAlignment="true">
      <alignment horizontal="center" vertical="center" wrapText="true"/>
    </xf>
    <xf numFmtId="180" fontId="39" fillId="0" borderId="13" xfId="0" applyNumberFormat="true" applyFont="true" applyBorder="true" applyAlignment="true">
      <alignment horizontal="center" vertical="center" wrapText="true"/>
    </xf>
    <xf numFmtId="38" fontId="31" fillId="25" borderId="18" xfId="0" applyNumberFormat="true" applyFont="true" applyFill="true" applyBorder="true"/>
    <xf numFmtId="176" fontId="31" fillId="25" borderId="18" xfId="0" applyNumberFormat="true" applyFont="true" applyFill="true" applyBorder="true"/>
    <xf numFmtId="38" fontId="31" fillId="26" borderId="18" xfId="0" applyNumberFormat="true" applyFont="true" applyFill="true" applyBorder="true"/>
    <xf numFmtId="38" fontId="31" fillId="25" borderId="21" xfId="0" applyNumberFormat="true" applyFont="true" applyFill="true" applyBorder="true"/>
    <xf numFmtId="178" fontId="31" fillId="0" borderId="21" xfId="0" applyNumberFormat="true" applyFont="true" applyBorder="true"/>
    <xf numFmtId="38" fontId="31" fillId="26" borderId="21" xfId="0" applyNumberFormat="true" applyFont="true" applyFill="true" applyBorder="true"/>
    <xf numFmtId="176" fontId="31" fillId="20" borderId="21" xfId="0" applyNumberFormat="true" applyFont="true" applyFill="true" applyBorder="true"/>
    <xf numFmtId="0" fontId="33" fillId="25" borderId="0" xfId="0" applyFont="true" applyFill="true"/>
    <xf numFmtId="178" fontId="33" fillId="25" borderId="0" xfId="0" applyNumberFormat="true" applyFont="true" applyFill="true"/>
    <xf numFmtId="178" fontId="33" fillId="21" borderId="0" xfId="0" applyNumberFormat="true" applyFont="true" applyFill="true"/>
    <xf numFmtId="0" fontId="33" fillId="21" borderId="0" xfId="0" applyFont="true" applyFill="true" applyAlignment="true">
      <alignment vertical="center" wrapText="true"/>
    </xf>
    <xf numFmtId="0" fontId="32" fillId="0" borderId="18" xfId="0" applyFont="true" applyBorder="true"/>
    <xf numFmtId="38" fontId="32" fillId="27" borderId="21" xfId="0" applyNumberFormat="true" applyFont="true" applyFill="true" applyBorder="true"/>
    <xf numFmtId="38" fontId="32" fillId="27" borderId="0" xfId="0" applyNumberFormat="true" applyFont="true" applyFill="true"/>
    <xf numFmtId="38" fontId="32" fillId="27" borderId="18" xfId="0" applyNumberFormat="true" applyFont="true" applyFill="true" applyBorder="true"/>
    <xf numFmtId="0" fontId="40" fillId="0" borderId="0" xfId="0" applyFont="true"/>
    <xf numFmtId="38" fontId="33" fillId="0" borderId="0" xfId="0" applyNumberFormat="true" applyFont="true"/>
    <xf numFmtId="0" fontId="31" fillId="18" borderId="18" xfId="0" applyFont="true" applyFill="true" applyBorder="true"/>
    <xf numFmtId="0" fontId="31" fillId="0" borderId="17" xfId="0" applyFont="true" applyBorder="true"/>
    <xf numFmtId="0" fontId="31" fillId="0" borderId="13" xfId="0" applyFont="true" applyBorder="true"/>
    <xf numFmtId="178" fontId="32" fillId="18" borderId="0" xfId="0" applyNumberFormat="true" applyFont="true" applyFill="true"/>
    <xf numFmtId="38" fontId="32" fillId="18" borderId="0" xfId="0" applyNumberFormat="true" applyFont="true" applyFill="true"/>
    <xf numFmtId="38" fontId="31" fillId="18" borderId="0" xfId="0" applyNumberFormat="true" applyFont="true" applyFill="true"/>
    <xf numFmtId="178" fontId="31" fillId="18" borderId="0" xfId="0" applyNumberFormat="true" applyFont="true" applyFill="true"/>
    <xf numFmtId="178" fontId="31" fillId="24" borderId="0" xfId="0" applyNumberFormat="true" applyFont="true" applyFill="true"/>
    <xf numFmtId="176" fontId="31" fillId="24" borderId="0" xfId="0" applyNumberFormat="true" applyFont="true" applyFill="true"/>
    <xf numFmtId="38" fontId="32" fillId="0" borderId="13" xfId="0" applyNumberFormat="true" applyFont="true" applyBorder="true"/>
    <xf numFmtId="38" fontId="31" fillId="0" borderId="13" xfId="0" applyNumberFormat="true" applyFont="true" applyBorder="true"/>
    <xf numFmtId="2" fontId="31" fillId="0" borderId="0" xfId="0" applyNumberFormat="true" applyFont="true"/>
    <xf numFmtId="38" fontId="32" fillId="18" borderId="21" xfId="0" applyNumberFormat="true" applyFont="true" applyFill="true" applyBorder="true"/>
    <xf numFmtId="38" fontId="32" fillId="0" borderId="20" xfId="0" applyNumberFormat="true" applyFont="true" applyBorder="true"/>
    <xf numFmtId="38" fontId="31" fillId="18" borderId="18" xfId="0" applyNumberFormat="true" applyFont="true" applyFill="true" applyBorder="true"/>
    <xf numFmtId="38" fontId="31" fillId="24" borderId="18" xfId="0" applyNumberFormat="true" applyFont="true" applyFill="true" applyBorder="true"/>
    <xf numFmtId="38" fontId="31" fillId="0" borderId="17" xfId="0" applyNumberFormat="true" applyFont="true" applyBorder="true"/>
    <xf numFmtId="38" fontId="31" fillId="18" borderId="21" xfId="0" applyNumberFormat="true" applyFont="true" applyFill="true" applyBorder="true"/>
    <xf numFmtId="38" fontId="31" fillId="24" borderId="21" xfId="0" applyNumberFormat="true" applyFont="true" applyFill="true" applyBorder="true"/>
    <xf numFmtId="38" fontId="31" fillId="0" borderId="20" xfId="0" applyNumberFormat="true" applyFont="true" applyBorder="true"/>
    <xf numFmtId="0" fontId="33" fillId="18" borderId="0" xfId="0" applyFont="true" applyFill="true"/>
    <xf numFmtId="38" fontId="40" fillId="0" borderId="0" xfId="0" applyNumberFormat="true" applyFont="true"/>
    <xf numFmtId="0" fontId="17" fillId="4" borderId="0" xfId="0" applyFont="true" applyFill="true" applyAlignment="true">
      <alignment horizontal="left"/>
    </xf>
    <xf numFmtId="0" fontId="11" fillId="9" borderId="0" xfId="0" applyFont="true" applyFill="true"/>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6">
    <dxf>
      <fill>
        <patternFill patternType="solid">
          <bgColor indexed="10"/>
        </patternFill>
      </fill>
    </dxf>
    <dxf>
      <font>
        <color rgb="FF9C0006"/>
      </font>
      <fill>
        <patternFill patternType="solid">
          <bgColor rgb="FFFFC7CE"/>
        </patternFill>
      </fill>
    </dxf>
    <dxf>
      <font>
        <color rgb="FFFFFFFF"/>
      </font>
      <fill>
        <patternFill patternType="solid">
          <bgColor rgb="FFFF0000"/>
        </patternFill>
      </fill>
    </dxf>
    <dxf>
      <font>
        <b val="1"/>
        <i val="1"/>
        <color rgb="FFFFFFFF"/>
      </font>
      <fill>
        <patternFill patternType="solid">
          <bgColor rgb="FFFF0000"/>
        </patternFill>
      </fill>
    </dxf>
    <dxf>
      <fill>
        <patternFill patternType="solid">
          <bgColor rgb="FFFF0000"/>
        </patternFill>
      </fill>
    </dxf>
    <dxf>
      <font>
        <color rgb="FFFF0000"/>
      </font>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9" Target="worksheets/sheet9.xml" Type="http://schemas.openxmlformats.org/officeDocument/2006/relationships/worksheet"></Relationship><Relationship Id="rId8" Target="worksheets/sheet8.xml" Type="http://schemas.openxmlformats.org/officeDocument/2006/relationships/worksheet"></Relationship><Relationship Id="rId7" Target="worksheets/sheet7.xml" Type="http://schemas.openxmlformats.org/officeDocument/2006/relationships/worksheet"></Relationship><Relationship Id="rId6" Target="worksheets/sheet6.xml" Type="http://schemas.openxmlformats.org/officeDocument/2006/relationships/worksheet"></Relationship><Relationship Id="rId5" Target="worksheets/sheet5.xml" Type="http://schemas.openxmlformats.org/officeDocument/2006/relationships/worksheet"></Relationship><Relationship Id="rId4" Target="worksheets/sheet4.xml" Type="http://schemas.openxmlformats.org/officeDocument/2006/relationships/worksheet"></Relationship><Relationship Id="rId3" Target="worksheets/sheet3.xml" Type="http://schemas.openxmlformats.org/officeDocument/2006/relationships/worksheet"></Relationship><Relationship Id="rId27" Target="/xl/sharedStrings.xml" Type="http://schemas.openxmlformats.org/officeDocument/2006/relationships/sharedStrings"></Relationship><Relationship Id="rId26" Target="styles.xml" Type="http://schemas.openxmlformats.org/officeDocument/2006/relationships/styles"></Relationship><Relationship Id="rId25" Target="theme/theme1.xml" Type="http://schemas.openxmlformats.org/officeDocument/2006/relationships/theme"></Relationship><Relationship Id="rId24" Target="worksheets/sheet24.xml" Type="http://schemas.openxmlformats.org/officeDocument/2006/relationships/worksheet"></Relationship><Relationship Id="rId23" Target="worksheets/sheet23.xml" Type="http://schemas.openxmlformats.org/officeDocument/2006/relationships/worksheet"></Relationship><Relationship Id="rId22" Target="worksheets/sheet22.xml" Type="http://schemas.openxmlformats.org/officeDocument/2006/relationships/worksheet"></Relationship><Relationship Id="rId21" Target="worksheets/sheet21.xml" Type="http://schemas.openxmlformats.org/officeDocument/2006/relationships/worksheet"></Relationship><Relationship Id="rId20" Target="worksheets/sheet20.xml" Type="http://schemas.openxmlformats.org/officeDocument/2006/relationships/worksheet"></Relationship><Relationship Id="rId2" Target="worksheets/sheet2.xml" Type="http://schemas.openxmlformats.org/officeDocument/2006/relationships/worksheet"></Relationship><Relationship Id="rId19" Target="worksheets/sheet19.xml" Type="http://schemas.openxmlformats.org/officeDocument/2006/relationships/worksheet"></Relationship><Relationship Id="rId18" Target="worksheets/sheet18.xml" Type="http://schemas.openxmlformats.org/officeDocument/2006/relationships/worksheet"></Relationship><Relationship Id="rId17" Target="worksheets/sheet17.xml" Type="http://schemas.openxmlformats.org/officeDocument/2006/relationships/worksheet"></Relationship><Relationship Id="rId16" Target="worksheets/sheet16.xml" Type="http://schemas.openxmlformats.org/officeDocument/2006/relationships/worksheet"></Relationship><Relationship Id="rId15" Target="worksheets/sheet15.xml" Type="http://schemas.openxmlformats.org/officeDocument/2006/relationships/worksheet"></Relationship><Relationship Id="rId14" Target="worksheets/sheet14.xml" Type="http://schemas.openxmlformats.org/officeDocument/2006/relationships/worksheet"></Relationship><Relationship Id="rId13" Target="worksheets/sheet13.xml" Type="http://schemas.openxmlformats.org/officeDocument/2006/relationships/worksheet"></Relationship><Relationship Id="rId12" Target="worksheets/sheet12.xml" Type="http://schemas.openxmlformats.org/officeDocument/2006/relationships/worksheet"></Relationship><Relationship Id="rId11" Target="worksheets/sheet11.xml" Type="http://schemas.openxmlformats.org/officeDocument/2006/relationships/worksheet"></Relationship><Relationship Id="rId10" Target="worksheets/sheet10.xml" Type="http://schemas.openxmlformats.org/officeDocument/2006/relationships/worksheet"></Relationship><Relationship Id="rId1" Target="worksheets/sheet1.xml" Type="http://schemas.openxmlformats.org/officeDocument/2006/relationships/worksheet"></Relationship><Relationship Id="rId28" Target="/xl/pivotCache/pivotCacheDefinition1.xml" Type="http://schemas.openxmlformats.org/officeDocument/2006/relationships/pivotCacheDefinition"></Relationship><Relationship Id="rId29" Target="/xl/pivotCache/pivotCacheDefinition2.xml" Type="http://schemas.openxmlformats.org/officeDocument/2006/relationships/pivotCacheDefinition"></Relationship><Relationship Id="rId30" Target="/xl/pivotCache/pivotCacheDefinition3.xml" Type="http://schemas.openxmlformats.org/officeDocument/2006/relationships/pivotCacheDefinition"></Relationship><Relationship Id="rId31" Target="/xl/pivotCache/pivotCacheDefinition4.xml" Type="http://schemas.openxmlformats.org/officeDocument/2006/relationships/pivotCacheDefinition"></Relationship><Relationship Id="rId32" Target="/xl/worksheets/sheet27.xml" Type="http://schemas.openxmlformats.org/officeDocument/2006/relationships/worksheet"></Relationship></Relationships>
</file>

<file path=xl/pivotCache/pivotCacheDefinition1.xml><?xml version="1.0" encoding="utf-8"?>
<pivotCacheDefinition xmlns="http://schemas.openxmlformats.org/spreadsheetml/2006/main" saveData="false" refreshOnLoad="true" backgroundQuery="false" createdVersion="3" refreshedVersion="3" minRefreshableVersion="3">
  <cacheSource type="worksheet">
    <worksheetSource ref="A1:N2567" sheet="Interco Pivot"/>
  </cacheSource>
  <cacheFields count="14">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s>
</pivotCacheDefinition>
</file>

<file path=xl/pivotCache/pivotCacheDefinition2.xml><?xml version="1.0" encoding="utf-8"?>
<pivotCacheDefinition xmlns="http://schemas.openxmlformats.org/spreadsheetml/2006/main" saveData="false" refreshOnLoad="true" backgroundQuery="false" createdVersion="3" refreshedVersion="3" minRefreshableVersion="3">
  <cacheSource type="worksheet">
    <worksheetSource ref="A1:N2567" sheet="Interco Pivot"/>
  </cacheSource>
  <cacheFields count="14">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s>
</pivotCacheDefinition>
</file>

<file path=xl/pivotCache/pivotCacheDefinition3.xml><?xml version="1.0" encoding="utf-8"?>
<pivotCacheDefinition xmlns="http://schemas.openxmlformats.org/spreadsheetml/2006/main" saveData="false" refreshOnLoad="true" backgroundQuery="false" createdVersion="3" refreshedVersion="3" minRefreshableVersion="3">
  <cacheSource type="worksheet">
    <worksheetSource ref="A1:N2567" sheet="Interco Pivot"/>
  </cacheSource>
  <cacheFields count="14">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s>
</pivotCacheDefinition>
</file>

<file path=xl/pivotCache/pivotCacheDefinition4.xml><?xml version="1.0" encoding="utf-8"?>
<pivotCacheDefinition xmlns="http://schemas.openxmlformats.org/spreadsheetml/2006/main" saveData="false" refreshOnLoad="true" backgroundQuery="false" createdVersion="3" refreshedVersion="3" minRefreshableVersion="3">
  <cacheSource type="worksheet">
    <worksheetSource ref="A1:N2567" sheet="Interco Pivot"/>
  </cacheSource>
  <cacheFields count="14">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 name="" numFmtId="0">
      <sharedItems count="0"/>
    </cacheField>
  </cacheFields>
</pivotCacheDefinition>
</file>

<file path=xl/pivotTables/_rels/pivotTable1.xml.rels><?xml version="1.0" encoding="UTF-8"?>
<Relationships xmlns="http://schemas.openxmlformats.org/package/2006/relationships"><Relationship Id="rId1" Target="../pivotCache/pivotCacheDefinition1.xml" Type="http://schemas.openxmlformats.org/officeDocument/2006/relationships/pivotCacheDefinition"></Relationship></Relationships>
</file>

<file path=xl/pivotTables/_rels/pivotTable2.xml.rels><?xml version="1.0" encoding="UTF-8"?>
<Relationships xmlns="http://schemas.openxmlformats.org/package/2006/relationships"><Relationship Id="rId1" Target="../pivotCache/pivotCacheDefinition2.xml" Type="http://schemas.openxmlformats.org/officeDocument/2006/relationships/pivotCacheDefinition"></Relationship></Relationships>
</file>

<file path=xl/pivotTables/_rels/pivotTable3.xml.rels><?xml version="1.0" encoding="UTF-8"?>
<Relationships xmlns="http://schemas.openxmlformats.org/package/2006/relationships"><Relationship Id="rId1" Target="../pivotCache/pivotCacheDefinition3.xml" Type="http://schemas.openxmlformats.org/officeDocument/2006/relationships/pivotCacheDefinition"></Relationship></Relationships>
</file>

<file path=xl/pivotTables/_rels/pivotTable4.xml.rels><?xml version="1.0" encoding="UTF-8"?>
<Relationships xmlns="http://schemas.openxmlformats.org/package/2006/relationships"><Relationship Id="rId1" Target="../pivotCache/pivotCacheDefinition4.xml" Type="http://schemas.openxmlformats.org/officeDocument/2006/relationships/pivotCacheDefinition"></Relationship></Relationships>
</file>

<file path=xl/pivotTables/pivotTable1.xml><?xml version="1.0" encoding="utf-8"?>
<pivotTableDefinition xmlns="http://schemas.openxmlformats.org/spreadsheetml/2006/main" name="Pivot Table1" cacheId="2" dataCaption="Values" showError="false" updatedVersion="3" minRefreshableVersion="3" showDrill="true" useAutoFormatting="false" pageOverThenDown="false" rowGrandTotals="true" colGrandTotals="true" mergeItem="false" createdVersion="3" compactData="false">
  <location ref="A2:O2000" firstHeaderRow="1" firstDataRow="1" firstDataCol="1"/>
  <pivotFields count="14">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s>
  <rowItems count="1">
    <i>
      <x/>
      <x/>
    </i>
  </rowItems>
  <colFields count="1">
    <field x="-2"/>
  </colFields>
  <colItems count="1">
    <i/>
  </colItems>
  <pivotTableStyleInfo name="PivotStyleLight16" showRowHeaders="true" showColHeaders="true" showLastColumn="true"/>
</pivotTableDefinition>
</file>

<file path=xl/pivotTables/pivotTable2.xml><?xml version="1.0" encoding="utf-8"?>
<pivotTableDefinition xmlns="http://schemas.openxmlformats.org/spreadsheetml/2006/main" name="Pivot Table2" cacheId="3" dataCaption="Values" showError="false" updatedVersion="3" minRefreshableVersion="3" showDrill="true" useAutoFormatting="false" pageOverThenDown="false" rowGrandTotals="true" colGrandTotals="true" mergeItem="false" createdVersion="3" compactData="false">
  <location ref="A2:O2000" firstHeaderRow="1" firstDataRow="1" firstDataCol="1"/>
  <pivotFields count="14">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s>
  <rowItems count="1">
    <i>
      <x/>
      <x/>
    </i>
  </rowItems>
  <colFields count="1">
    <field x="-2"/>
  </colFields>
  <colItems count="1">
    <i/>
  </colItems>
  <pivotTableStyleInfo name="PivotStyleLight16" showRowHeaders="true" showColHeaders="true" showLastColumn="true"/>
</pivotTableDefinition>
</file>

<file path=xl/pivotTables/pivotTable3.xml><?xml version="1.0" encoding="utf-8"?>
<pivotTableDefinition xmlns="http://schemas.openxmlformats.org/spreadsheetml/2006/main" name="Pivot Table3" cacheId="4" dataCaption="Values" showError="false" updatedVersion="3" minRefreshableVersion="3" showDrill="true" useAutoFormatting="false" pageOverThenDown="false" rowGrandTotals="true" colGrandTotals="true" mergeItem="false" createdVersion="3" compactData="false">
  <location ref="A2:O2000" firstHeaderRow="1" firstDataRow="1" firstDataCol="1"/>
  <pivotFields count="14">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s>
  <rowItems count="1">
    <i>
      <x/>
      <x/>
    </i>
  </rowItems>
  <colFields count="1">
    <field x="-2"/>
  </colFields>
  <colItems count="1">
    <i/>
  </colItems>
  <pivotTableStyleInfo name="PivotStyleLight16" showRowHeaders="true" showColHeaders="true" showLastColumn="true"/>
</pivotTableDefinition>
</file>

<file path=xl/pivotTables/pivotTable4.xml><?xml version="1.0" encoding="utf-8"?>
<pivotTableDefinition xmlns="http://schemas.openxmlformats.org/spreadsheetml/2006/main" name="Pivot Table4" cacheId="5" dataCaption="Values" showError="false" updatedVersion="3" minRefreshableVersion="3" showDrill="true" useAutoFormatting="false" pageOverThenDown="false" rowGrandTotals="true" colGrandTotals="true" mergeItem="false" createdVersion="3" compactData="false">
  <location ref="A2:O2000" firstHeaderRow="1" firstDataRow="1" firstDataCol="1"/>
  <pivotFields count="14">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 showAll="false"/>
  </pivotFields>
  <rowItems count="1">
    <i>
      <x/>
      <x/>
    </i>
  </rowItems>
  <colFields count="1">
    <field x="-2"/>
  </colFields>
  <colItems count="1">
    <i/>
  </colItems>
  <pivotTableStyleInfo name="PivotStyleLight16" showRowHeaders="true" showColHeaders="true" showLastColumn="true"/>
</pivotTableDefinition>
</file>

<file path=xl/theme/theme1.xml><?xml version="1.0" encoding="utf-8"?>
<theme xmlns="http://schemas.openxmlformats.org/drawingml/2006/main" xmlns:a="http://schemas.openxmlformats.org/drawingml/2006/main" xmlns:r="http://schemas.openxmlformats.org/officeDocument/2006/relationships" name="Offic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0.xml.rels><?xml version="1.0" encoding="UTF-8"?>
<Relationships xmlns="http://schemas.openxmlformats.org/package/2006/relationships"><Relationship Id="rId1" Target="../pivotTables/pivotTable1.xml" Type="http://schemas.openxmlformats.org/officeDocument/2006/relationships/pivotTable"></Relationship><Relationship Id="rId2" Target="../pivotTables/pivotTable2.xml" Type="http://schemas.openxmlformats.org/officeDocument/2006/relationships/pivotTable"></Relationship><Relationship Id="rId3" Target="../pivotTables/pivotTable3.xml" Type="http://schemas.openxmlformats.org/officeDocument/2006/relationships/pivotTable"></Relationship><Relationship Id="rId4" Target="../pivotTables/pivotTable4.xml" Type="http://schemas.openxmlformats.org/officeDocument/2006/relationships/pivotTable"></Relationship></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Q12729"/>
  <sheetViews>
    <sheetView zoomScale="115" zoomScaleNormal="115" workbookViewId="0">
      <pane activePane="bottomRight" state="frozen" topLeftCell="D11896" xSplit="3" ySplit="1"/>
      <selection/>
      <selection pane="topRight"/>
      <selection pane="bottomLeft"/>
      <selection activeCell="A1" pane="bottomRight" sqref="A1"/>
    </sheetView>
  </sheetViews>
  <sheetFormatPr defaultColWidth="9" defaultRowHeight="15"/>
  <cols>
    <col customWidth="true" max="1" min="1" width="19.44"/>
    <col customWidth="true" max="3" min="3" width="12.1066666666667"/>
    <col customWidth="true" max="4" min="4" width="16.3266666666667"/>
    <col customWidth="true" max="5" min="5" width="35"/>
    <col customWidth="true" max="6" min="6" width="7.34"/>
    <col customWidth="true" max="7" min="7" width="30.1133333333333"/>
    <col customWidth="true" max="8" min="8" width="20.6733333333333"/>
    <col customWidth="true" max="9" min="9" width="26.4533333333333"/>
    <col customWidth="true" max="10" min="10" style="70" width="15.5533333333333"/>
    <col customWidth="true" max="11" min="11" style="71" width="15.8933333333333"/>
    <col customWidth="true" max="12" min="12" width="13.1066666666667"/>
    <col customWidth="true" max="14" min="14" width="11.3266666666667"/>
  </cols>
  <sheetData>
    <row r="1" spans="1:13" s="48" customFormat="true" ht="12.75" customHeight="true">
      <c r="A1" s="48" t="s">
        <v>0</v>
      </c>
      <c r="B1" s="48" t="s">
        <v>1</v>
      </c>
      <c r="C1" s="48" t="s">
        <v>2</v>
      </c>
      <c r="D1" s="63" t="s">
        <v>3</v>
      </c>
      <c r="E1" s="63" t="s">
        <v>4</v>
      </c>
      <c r="F1" s="65" t="s">
        <v>5</v>
      </c>
      <c r="G1" s="63" t="s">
        <v>6</v>
      </c>
      <c r="H1" s="63" t="s">
        <v>7</v>
      </c>
      <c r="I1" s="66" t="s">
        <v>8</v>
      </c>
      <c r="J1" s="113" t="s">
        <v>9</v>
      </c>
      <c r="K1" s="114" t="s">
        <v>10</v>
      </c>
      <c r="L1" s="48" t="s">
        <v>11</v>
      </c>
      <c r="M1" s="48" t="s">
        <v>12</v>
      </c>
    </row>
    <row r="2" spans="1:13" s="33" customFormat="true" ht="12.75" customHeight="true">
      <c r="A2" s="33" t="str">
        <f t="shared" ref="A2:A65" si="0">B2&amp;" - "&amp;TRIM(H2)</f>
        <v>2SH - Inventory</v>
      </c>
      <c r="B2" s="33" t="str">
        <f t="shared" ref="B2:B65" si="1">LEFT(D2,3)</f>
        <v>2SH</v>
      </c>
      <c r="C2" s="33" t="str">
        <f t="shared" ref="C2:C65" si="2">RIGHT(D2,10)</f>
        <v>10005-0861</v>
      </c>
      <c r="D2" s="64" t="s">
        <v>13</v>
      </c>
      <c r="E2" s="64" t="s">
        <v>14</v>
      </c>
      <c r="F2" s="64" t="s">
        <v>15</v>
      </c>
      <c r="G2" s="64" t="s">
        <v>16</v>
      </c>
      <c r="H2" s="64" t="s">
        <v>17</v>
      </c>
      <c r="I2" s="64" t="s">
        <v>18</v>
      </c>
      <c r="J2" s="67">
        <v>0</v>
      </c>
      <c r="K2" s="62">
        <v>1200</v>
      </c>
      <c r="L2" s="33" t="e">
        <f>HLOOKUP(B2,#REF!,1,0)</f>
        <v>#REF!</v>
      </c>
      <c r="M2" s="33" t="str">
        <f t="shared" ref="M2:M65" si="3">IF(VALUE(LEFT(C2,5))&gt;40000,"P&amp;L","BS")</f>
        <v>BS</v>
      </c>
    </row>
    <row r="3" spans="1:13" s="33" customFormat="true" ht="12.75" customHeight="true">
      <c r="A3" s="33" t="str">
        <f t="shared" si="0"/>
        <v>2SH - Inventory</v>
      </c>
      <c r="B3" s="33" t="str">
        <f t="shared" si="1"/>
        <v>2SH</v>
      </c>
      <c r="C3" s="33" t="str">
        <f t="shared" si="2"/>
        <v>10005-0862</v>
      </c>
      <c r="D3" s="64" t="s">
        <v>19</v>
      </c>
      <c r="E3" s="64" t="s">
        <v>14</v>
      </c>
      <c r="F3" s="64" t="s">
        <v>15</v>
      </c>
      <c r="G3" s="64" t="s">
        <v>16</v>
      </c>
      <c r="H3" s="64" t="s">
        <v>17</v>
      </c>
      <c r="I3" s="64" t="s">
        <v>18</v>
      </c>
      <c r="J3" s="67">
        <v>0</v>
      </c>
      <c r="K3" s="62">
        <v>1500</v>
      </c>
      <c r="L3" s="33" t="e">
        <f>HLOOKUP(B3,#REF!,1,0)</f>
        <v>#REF!</v>
      </c>
      <c r="M3" s="33" t="str">
        <f t="shared" si="3"/>
        <v>BS</v>
      </c>
    </row>
    <row r="4" spans="1:13" s="33" customFormat="true" ht="12.75" customHeight="true">
      <c r="A4" s="33" t="str">
        <f t="shared" si="0"/>
        <v>2SH - Inventory</v>
      </c>
      <c r="B4" s="33" t="str">
        <f t="shared" si="1"/>
        <v>2SH</v>
      </c>
      <c r="C4" s="33" t="str">
        <f t="shared" si="2"/>
        <v>10005-0864</v>
      </c>
      <c r="D4" s="64" t="s">
        <v>20</v>
      </c>
      <c r="E4" s="64" t="s">
        <v>14</v>
      </c>
      <c r="F4" s="64" t="s">
        <v>15</v>
      </c>
      <c r="G4" s="64" t="s">
        <v>16</v>
      </c>
      <c r="H4" s="64" t="s">
        <v>17</v>
      </c>
      <c r="I4" s="64" t="s">
        <v>18</v>
      </c>
      <c r="J4" s="67">
        <v>0</v>
      </c>
      <c r="K4" s="62">
        <v>1200</v>
      </c>
      <c r="L4" s="33" t="e">
        <f>HLOOKUP(B4,#REF!,1,0)</f>
        <v>#REF!</v>
      </c>
      <c r="M4" s="33" t="str">
        <f t="shared" si="3"/>
        <v>BS</v>
      </c>
    </row>
    <row r="5" spans="1:13" s="33" customFormat="true" ht="12.75" customHeight="true">
      <c r="A5" s="33" t="str">
        <f t="shared" si="0"/>
        <v>2SH - Inventory</v>
      </c>
      <c r="B5" s="33" t="str">
        <f t="shared" si="1"/>
        <v>2SH</v>
      </c>
      <c r="C5" s="33" t="str">
        <f t="shared" si="2"/>
        <v>10005-0866</v>
      </c>
      <c r="D5" s="64" t="s">
        <v>21</v>
      </c>
      <c r="E5" s="64" t="s">
        <v>14</v>
      </c>
      <c r="F5" s="64" t="s">
        <v>15</v>
      </c>
      <c r="G5" s="64" t="s">
        <v>16</v>
      </c>
      <c r="H5" s="64" t="s">
        <v>17</v>
      </c>
      <c r="I5" s="64" t="s">
        <v>18</v>
      </c>
      <c r="J5" s="67">
        <v>0</v>
      </c>
      <c r="K5" s="62">
        <v>1500</v>
      </c>
      <c r="L5" s="33" t="e">
        <f>HLOOKUP(B5,#REF!,1,0)</f>
        <v>#REF!</v>
      </c>
      <c r="M5" s="33" t="str">
        <f t="shared" si="3"/>
        <v>BS</v>
      </c>
    </row>
    <row r="6" spans="1:13" s="33" customFormat="true" ht="12.75" customHeight="true">
      <c r="A6" s="33" t="str">
        <f t="shared" si="0"/>
        <v>2SH - Inventory</v>
      </c>
      <c r="B6" s="33" t="str">
        <f t="shared" si="1"/>
        <v>2SH</v>
      </c>
      <c r="C6" s="33" t="str">
        <f t="shared" si="2"/>
        <v>10005-7124</v>
      </c>
      <c r="D6" s="64" t="s">
        <v>22</v>
      </c>
      <c r="E6" s="64" t="s">
        <v>14</v>
      </c>
      <c r="F6" s="64" t="s">
        <v>15</v>
      </c>
      <c r="G6" s="64" t="s">
        <v>16</v>
      </c>
      <c r="H6" s="64" t="s">
        <v>17</v>
      </c>
      <c r="I6" s="64" t="s">
        <v>18</v>
      </c>
      <c r="J6" s="67">
        <v>0</v>
      </c>
      <c r="K6" s="62">
        <v>-0.14</v>
      </c>
      <c r="L6" s="33" t="e">
        <f>HLOOKUP(B6,#REF!,1,0)</f>
        <v>#REF!</v>
      </c>
      <c r="M6" s="33" t="str">
        <f t="shared" si="3"/>
        <v>BS</v>
      </c>
    </row>
    <row r="7" spans="1:13" s="33" customFormat="true" ht="12.75" customHeight="true">
      <c r="A7" s="33" t="str">
        <f t="shared" si="0"/>
        <v>2SH - Cash</v>
      </c>
      <c r="B7" s="33" t="str">
        <f t="shared" si="1"/>
        <v>2SH</v>
      </c>
      <c r="C7" s="33" t="str">
        <f t="shared" si="2"/>
        <v>10021-0000</v>
      </c>
      <c r="D7" s="64" t="s">
        <v>23</v>
      </c>
      <c r="E7" s="64" t="s">
        <v>24</v>
      </c>
      <c r="F7" s="64" t="s">
        <v>15</v>
      </c>
      <c r="G7" s="64" t="s">
        <v>16</v>
      </c>
      <c r="H7" s="64" t="s">
        <v>25</v>
      </c>
      <c r="I7" s="64" t="s">
        <v>18</v>
      </c>
      <c r="J7" s="67">
        <v>199077.4</v>
      </c>
      <c r="K7" s="62">
        <v>921769.58</v>
      </c>
      <c r="L7" s="33" t="e">
        <f>HLOOKUP(B7,#REF!,1,0)</f>
        <v>#REF!</v>
      </c>
      <c r="M7" s="33" t="str">
        <f t="shared" si="3"/>
        <v>BS</v>
      </c>
    </row>
    <row r="8" spans="1:13" s="33" customFormat="true" ht="12.75" customHeight="true">
      <c r="A8" s="33" t="str">
        <f t="shared" si="0"/>
        <v>2SH - Cash</v>
      </c>
      <c r="B8" s="33" t="str">
        <f t="shared" si="1"/>
        <v>2SH</v>
      </c>
      <c r="C8" s="33" t="str">
        <f t="shared" si="2"/>
        <v>10023-0000</v>
      </c>
      <c r="D8" s="64" t="s">
        <v>26</v>
      </c>
      <c r="E8" s="64" t="s">
        <v>27</v>
      </c>
      <c r="F8" s="64" t="s">
        <v>15</v>
      </c>
      <c r="G8" s="64" t="s">
        <v>16</v>
      </c>
      <c r="H8" s="64" t="s">
        <v>25</v>
      </c>
      <c r="I8" s="64" t="s">
        <v>18</v>
      </c>
      <c r="J8" s="67">
        <v>26.96</v>
      </c>
      <c r="K8" s="62">
        <v>54588.21</v>
      </c>
      <c r="L8" s="33" t="e">
        <f>HLOOKUP(B8,#REF!,1,0)</f>
        <v>#REF!</v>
      </c>
      <c r="M8" s="33" t="str">
        <f t="shared" si="3"/>
        <v>BS</v>
      </c>
    </row>
    <row r="9" spans="1:13" s="33" customFormat="true" ht="12.75" customHeight="true">
      <c r="A9" s="33" t="str">
        <f t="shared" si="0"/>
        <v>2SH - Cash</v>
      </c>
      <c r="B9" s="33" t="str">
        <f t="shared" si="1"/>
        <v>2SH</v>
      </c>
      <c r="C9" s="33" t="str">
        <f t="shared" si="2"/>
        <v>10513-0000</v>
      </c>
      <c r="D9" s="64" t="s">
        <v>28</v>
      </c>
      <c r="E9" s="64" t="s">
        <v>29</v>
      </c>
      <c r="F9" s="64" t="s">
        <v>15</v>
      </c>
      <c r="G9" s="64" t="s">
        <v>16</v>
      </c>
      <c r="H9" s="64" t="s">
        <v>25</v>
      </c>
      <c r="I9" s="64" t="s">
        <v>18</v>
      </c>
      <c r="J9" s="67">
        <v>0</v>
      </c>
      <c r="K9" s="62">
        <v>881.32</v>
      </c>
      <c r="L9" s="33" t="e">
        <f>HLOOKUP(B9,#REF!,1,0)</f>
        <v>#REF!</v>
      </c>
      <c r="M9" s="33" t="str">
        <f t="shared" si="3"/>
        <v>BS</v>
      </c>
    </row>
    <row r="10" spans="1:13" s="33" customFormat="true" ht="12.75" customHeight="true">
      <c r="A10" s="33" t="str">
        <f t="shared" si="0"/>
        <v>2SH - Restricted</v>
      </c>
      <c r="B10" s="33" t="str">
        <f t="shared" si="1"/>
        <v>2SH</v>
      </c>
      <c r="C10" s="33" t="str">
        <f t="shared" si="2"/>
        <v>10515-0000</v>
      </c>
      <c r="D10" s="64" t="s">
        <v>30</v>
      </c>
      <c r="E10" s="64" t="s">
        <v>31</v>
      </c>
      <c r="F10" s="64" t="s">
        <v>15</v>
      </c>
      <c r="G10" s="64" t="s">
        <v>16</v>
      </c>
      <c r="H10" s="64" t="s">
        <v>32</v>
      </c>
      <c r="I10" s="64" t="s">
        <v>18</v>
      </c>
      <c r="J10" s="67">
        <v>-217166.72</v>
      </c>
      <c r="K10" s="62">
        <v>1991796.74</v>
      </c>
      <c r="L10" s="33" t="e">
        <f>HLOOKUP(B10,#REF!,1,0)</f>
        <v>#REF!</v>
      </c>
      <c r="M10" s="33" t="str">
        <f t="shared" si="3"/>
        <v>BS</v>
      </c>
    </row>
    <row r="11" spans="1:13" s="33" customFormat="true" ht="12.75" customHeight="true">
      <c r="A11" s="33" t="str">
        <f t="shared" si="0"/>
        <v>2SH - AR-PPD</v>
      </c>
      <c r="B11" s="33" t="str">
        <f t="shared" si="1"/>
        <v>2SH</v>
      </c>
      <c r="C11" s="33" t="str">
        <f t="shared" si="2"/>
        <v>11100-0000</v>
      </c>
      <c r="D11" s="64" t="s">
        <v>33</v>
      </c>
      <c r="E11" s="64" t="s">
        <v>34</v>
      </c>
      <c r="F11" s="64" t="s">
        <v>15</v>
      </c>
      <c r="G11" s="64" t="s">
        <v>16</v>
      </c>
      <c r="H11" s="64" t="s">
        <v>35</v>
      </c>
      <c r="I11" s="64" t="s">
        <v>36</v>
      </c>
      <c r="J11" s="67">
        <v>0</v>
      </c>
      <c r="K11" s="62">
        <v>37263.19</v>
      </c>
      <c r="L11" s="33" t="e">
        <f>HLOOKUP(B11,#REF!,1,0)</f>
        <v>#REF!</v>
      </c>
      <c r="M11" s="33" t="str">
        <f t="shared" si="3"/>
        <v>BS</v>
      </c>
    </row>
    <row r="12" spans="1:13" s="33" customFormat="true" ht="12.75" customHeight="true">
      <c r="A12" s="33" t="str">
        <f t="shared" si="0"/>
        <v>2SH - Intercompany</v>
      </c>
      <c r="B12" s="33" t="str">
        <f t="shared" si="1"/>
        <v>2SH</v>
      </c>
      <c r="C12" s="33" t="str">
        <f t="shared" si="2"/>
        <v>11200-0000</v>
      </c>
      <c r="D12" s="64" t="s">
        <v>37</v>
      </c>
      <c r="E12" s="64" t="s">
        <v>38</v>
      </c>
      <c r="F12" s="64" t="s">
        <v>15</v>
      </c>
      <c r="G12" s="64" t="s">
        <v>16</v>
      </c>
      <c r="H12" s="64" t="s">
        <v>39</v>
      </c>
      <c r="I12" s="64" t="s">
        <v>40</v>
      </c>
      <c r="J12" s="67">
        <v>0</v>
      </c>
      <c r="K12" s="62">
        <v>-526825.6</v>
      </c>
      <c r="L12" s="33" t="e">
        <f>HLOOKUP(B12,#REF!,1,0)</f>
        <v>#REF!</v>
      </c>
      <c r="M12" s="33" t="str">
        <f t="shared" si="3"/>
        <v>BS</v>
      </c>
    </row>
    <row r="13" spans="1:13" s="33" customFormat="true" ht="12.75" customHeight="true">
      <c r="A13" s="33" t="str">
        <f t="shared" si="0"/>
        <v>2SH - Intercompany</v>
      </c>
      <c r="B13" s="33" t="str">
        <f t="shared" si="1"/>
        <v>2SH</v>
      </c>
      <c r="C13" s="33" t="str">
        <f t="shared" si="2"/>
        <v>11218-0000</v>
      </c>
      <c r="D13" s="64" t="s">
        <v>41</v>
      </c>
      <c r="E13" s="64" t="s">
        <v>42</v>
      </c>
      <c r="F13" s="64" t="s">
        <v>15</v>
      </c>
      <c r="G13" s="64" t="s">
        <v>16</v>
      </c>
      <c r="H13" s="64" t="s">
        <v>39</v>
      </c>
      <c r="I13" s="64" t="s">
        <v>40</v>
      </c>
      <c r="J13" s="67">
        <v>11058.83</v>
      </c>
      <c r="K13" s="62">
        <v>-2827758.4</v>
      </c>
      <c r="L13" s="33" t="e">
        <f>HLOOKUP(B13,#REF!,1,0)</f>
        <v>#REF!</v>
      </c>
      <c r="M13" s="33" t="str">
        <f t="shared" si="3"/>
        <v>BS</v>
      </c>
    </row>
    <row r="14" spans="1:13" s="33" customFormat="true" ht="12.75" customHeight="true">
      <c r="A14" s="33" t="str">
        <f t="shared" si="0"/>
        <v>2SH - Intercompany</v>
      </c>
      <c r="B14" s="33" t="str">
        <f t="shared" si="1"/>
        <v>2SH</v>
      </c>
      <c r="C14" s="33" t="str">
        <f t="shared" si="2"/>
        <v>11222-0000</v>
      </c>
      <c r="D14" s="64" t="s">
        <v>43</v>
      </c>
      <c r="E14" s="64" t="s">
        <v>44</v>
      </c>
      <c r="F14" s="64" t="s">
        <v>15</v>
      </c>
      <c r="G14" s="64" t="s">
        <v>16</v>
      </c>
      <c r="H14" s="64" t="s">
        <v>39</v>
      </c>
      <c r="I14" s="64" t="s">
        <v>40</v>
      </c>
      <c r="J14" s="67">
        <v>-9940.38</v>
      </c>
      <c r="K14" s="62">
        <v>-29432.71</v>
      </c>
      <c r="L14" s="33" t="e">
        <f>HLOOKUP(B14,#REF!,1,0)</f>
        <v>#REF!</v>
      </c>
      <c r="M14" s="33" t="str">
        <f t="shared" si="3"/>
        <v>BS</v>
      </c>
    </row>
    <row r="15" spans="1:13" s="33" customFormat="true" ht="12.75" customHeight="true">
      <c r="A15" s="33" t="str">
        <f t="shared" si="0"/>
        <v>2SH - Intercompany</v>
      </c>
      <c r="B15" s="33" t="str">
        <f t="shared" si="1"/>
        <v>2SH</v>
      </c>
      <c r="C15" s="33" t="str">
        <f t="shared" si="2"/>
        <v>11223-0000</v>
      </c>
      <c r="D15" s="64" t="s">
        <v>45</v>
      </c>
      <c r="E15" s="64" t="s">
        <v>46</v>
      </c>
      <c r="F15" s="64" t="s">
        <v>15</v>
      </c>
      <c r="G15" s="64" t="s">
        <v>16</v>
      </c>
      <c r="H15" s="64" t="s">
        <v>39</v>
      </c>
      <c r="I15" s="64" t="s">
        <v>40</v>
      </c>
      <c r="J15" s="67">
        <v>-47002.91</v>
      </c>
      <c r="K15" s="62">
        <v>-14037.5</v>
      </c>
      <c r="L15" s="33" t="e">
        <f>HLOOKUP(B15,#REF!,1,0)</f>
        <v>#REF!</v>
      </c>
      <c r="M15" s="33" t="str">
        <f t="shared" si="3"/>
        <v>BS</v>
      </c>
    </row>
    <row r="16" spans="1:13" s="33" customFormat="true" ht="12.75" customHeight="true">
      <c r="A16" s="33" t="str">
        <f t="shared" si="0"/>
        <v>2SH - AR-PPD</v>
      </c>
      <c r="B16" s="33" t="str">
        <f t="shared" si="1"/>
        <v>2SH</v>
      </c>
      <c r="C16" s="33" t="str">
        <f t="shared" si="2"/>
        <v>11501-0000</v>
      </c>
      <c r="D16" s="64" t="s">
        <v>47</v>
      </c>
      <c r="E16" s="64" t="s">
        <v>48</v>
      </c>
      <c r="F16" s="64" t="s">
        <v>15</v>
      </c>
      <c r="G16" s="64" t="s">
        <v>16</v>
      </c>
      <c r="H16" s="64" t="s">
        <v>35</v>
      </c>
      <c r="I16" s="64" t="s">
        <v>36</v>
      </c>
      <c r="J16" s="67">
        <v>0</v>
      </c>
      <c r="K16" s="62">
        <v>102778</v>
      </c>
      <c r="L16" s="33" t="e">
        <f>HLOOKUP(B16,#REF!,1,0)</f>
        <v>#REF!</v>
      </c>
      <c r="M16" s="33" t="str">
        <f t="shared" si="3"/>
        <v>BS</v>
      </c>
    </row>
    <row r="17" spans="1:13" s="33" customFormat="true" ht="12.75" customHeight="true">
      <c r="A17" s="33" t="str">
        <f t="shared" si="0"/>
        <v>2SH - Inventory</v>
      </c>
      <c r="B17" s="33" t="str">
        <f t="shared" si="1"/>
        <v>2SH</v>
      </c>
      <c r="C17" s="33" t="str">
        <f t="shared" si="2"/>
        <v>13100-0861</v>
      </c>
      <c r="D17" s="64" t="s">
        <v>49</v>
      </c>
      <c r="E17" s="64" t="s">
        <v>50</v>
      </c>
      <c r="F17" s="64" t="s">
        <v>15</v>
      </c>
      <c r="G17" s="64" t="s">
        <v>16</v>
      </c>
      <c r="H17" s="64" t="s">
        <v>17</v>
      </c>
      <c r="I17" s="64" t="s">
        <v>51</v>
      </c>
      <c r="J17" s="67">
        <v>3171</v>
      </c>
      <c r="K17" s="62">
        <v>8795</v>
      </c>
      <c r="L17" s="33" t="e">
        <f>HLOOKUP(B17,#REF!,1,0)</f>
        <v>#REF!</v>
      </c>
      <c r="M17" s="33" t="str">
        <f t="shared" si="3"/>
        <v>BS</v>
      </c>
    </row>
    <row r="18" spans="1:13" s="33" customFormat="true" ht="12.75" customHeight="true">
      <c r="A18" s="33" t="str">
        <f t="shared" si="0"/>
        <v>2SH - Inventory</v>
      </c>
      <c r="B18" s="33" t="str">
        <f t="shared" si="1"/>
        <v>2SH</v>
      </c>
      <c r="C18" s="33" t="str">
        <f t="shared" si="2"/>
        <v>13100-0862</v>
      </c>
      <c r="D18" s="64" t="s">
        <v>52</v>
      </c>
      <c r="E18" s="64" t="s">
        <v>50</v>
      </c>
      <c r="F18" s="64" t="s">
        <v>15</v>
      </c>
      <c r="G18" s="64" t="s">
        <v>16</v>
      </c>
      <c r="H18" s="64" t="s">
        <v>17</v>
      </c>
      <c r="I18" s="64" t="s">
        <v>51</v>
      </c>
      <c r="J18" s="67">
        <v>-3771</v>
      </c>
      <c r="K18" s="62">
        <v>7743</v>
      </c>
      <c r="L18" s="33" t="e">
        <f>HLOOKUP(B18,#REF!,1,0)</f>
        <v>#REF!</v>
      </c>
      <c r="M18" s="33" t="str">
        <f t="shared" si="3"/>
        <v>BS</v>
      </c>
    </row>
    <row r="19" spans="1:13" s="33" customFormat="true" ht="12.75" customHeight="true">
      <c r="A19" s="33" t="str">
        <f t="shared" si="0"/>
        <v>2SH - Inventory</v>
      </c>
      <c r="B19" s="33" t="str">
        <f t="shared" si="1"/>
        <v>2SH</v>
      </c>
      <c r="C19" s="33" t="str">
        <f t="shared" si="2"/>
        <v>13100-0864</v>
      </c>
      <c r="D19" s="64" t="s">
        <v>53</v>
      </c>
      <c r="E19" s="64" t="s">
        <v>50</v>
      </c>
      <c r="F19" s="64" t="s">
        <v>15</v>
      </c>
      <c r="G19" s="64" t="s">
        <v>16</v>
      </c>
      <c r="H19" s="64" t="s">
        <v>17</v>
      </c>
      <c r="I19" s="64" t="s">
        <v>51</v>
      </c>
      <c r="J19" s="67">
        <v>2717</v>
      </c>
      <c r="K19" s="62">
        <v>9752</v>
      </c>
      <c r="L19" s="33" t="e">
        <f>HLOOKUP(B19,#REF!,1,0)</f>
        <v>#REF!</v>
      </c>
      <c r="M19" s="33" t="str">
        <f t="shared" si="3"/>
        <v>BS</v>
      </c>
    </row>
    <row r="20" spans="1:13" s="33" customFormat="true" ht="12.75" customHeight="true">
      <c r="A20" s="33" t="str">
        <f t="shared" si="0"/>
        <v>2SH - Inventory</v>
      </c>
      <c r="B20" s="33" t="str">
        <f t="shared" si="1"/>
        <v>2SH</v>
      </c>
      <c r="C20" s="33" t="str">
        <f t="shared" si="2"/>
        <v>13100-0866</v>
      </c>
      <c r="D20" s="64" t="s">
        <v>54</v>
      </c>
      <c r="E20" s="64" t="s">
        <v>50</v>
      </c>
      <c r="F20" s="64" t="s">
        <v>15</v>
      </c>
      <c r="G20" s="64" t="s">
        <v>16</v>
      </c>
      <c r="H20" s="64" t="s">
        <v>17</v>
      </c>
      <c r="I20" s="64" t="s">
        <v>51</v>
      </c>
      <c r="J20" s="67">
        <v>-1880</v>
      </c>
      <c r="K20" s="62">
        <v>7393</v>
      </c>
      <c r="L20" s="33" t="e">
        <f>HLOOKUP(B20,#REF!,1,0)</f>
        <v>#REF!</v>
      </c>
      <c r="M20" s="33" t="str">
        <f t="shared" si="3"/>
        <v>BS</v>
      </c>
    </row>
    <row r="21" spans="1:13" s="33" customFormat="true" ht="12.75" customHeight="true">
      <c r="A21" s="33" t="str">
        <f t="shared" si="0"/>
        <v>2SH - AR-PPD</v>
      </c>
      <c r="B21" s="33" t="str">
        <f t="shared" si="1"/>
        <v>2SH</v>
      </c>
      <c r="C21" s="33" t="str">
        <f t="shared" si="2"/>
        <v>15002-0000</v>
      </c>
      <c r="D21" s="64" t="s">
        <v>55</v>
      </c>
      <c r="E21" s="64" t="s">
        <v>56</v>
      </c>
      <c r="F21" s="64" t="s">
        <v>15</v>
      </c>
      <c r="G21" s="64" t="s">
        <v>16</v>
      </c>
      <c r="H21" s="64" t="s">
        <v>35</v>
      </c>
      <c r="I21" s="64" t="s">
        <v>57</v>
      </c>
      <c r="J21" s="67">
        <v>0</v>
      </c>
      <c r="K21" s="62">
        <v>0.27</v>
      </c>
      <c r="L21" s="33" t="e">
        <f>HLOOKUP(B21,#REF!,1,0)</f>
        <v>#REF!</v>
      </c>
      <c r="M21" s="33" t="str">
        <f t="shared" si="3"/>
        <v>BS</v>
      </c>
    </row>
    <row r="22" spans="1:13" s="33" customFormat="true" ht="12.75" customHeight="true">
      <c r="A22" s="33" t="str">
        <f t="shared" si="0"/>
        <v>2SH - AR-PPD</v>
      </c>
      <c r="B22" s="33" t="str">
        <f t="shared" si="1"/>
        <v>2SH</v>
      </c>
      <c r="C22" s="33" t="str">
        <f t="shared" si="2"/>
        <v>15005-0000</v>
      </c>
      <c r="D22" s="64" t="s">
        <v>58</v>
      </c>
      <c r="E22" s="64" t="s">
        <v>59</v>
      </c>
      <c r="F22" s="64" t="s">
        <v>15</v>
      </c>
      <c r="G22" s="64" t="s">
        <v>16</v>
      </c>
      <c r="H22" s="64" t="s">
        <v>35</v>
      </c>
      <c r="I22" s="64" t="s">
        <v>57</v>
      </c>
      <c r="J22" s="67">
        <v>0</v>
      </c>
      <c r="K22" s="62">
        <v>3806.93</v>
      </c>
      <c r="L22" s="33" t="e">
        <f>HLOOKUP(B22,#REF!,1,0)</f>
        <v>#REF!</v>
      </c>
      <c r="M22" s="33" t="str">
        <f t="shared" si="3"/>
        <v>BS</v>
      </c>
    </row>
    <row r="23" spans="1:13" s="33" customFormat="true" ht="12.75" customHeight="true">
      <c r="A23" s="33" t="str">
        <f t="shared" si="0"/>
        <v>2SH - Fixed Assets</v>
      </c>
      <c r="B23" s="33" t="str">
        <f t="shared" si="1"/>
        <v>2SH</v>
      </c>
      <c r="C23" s="33" t="str">
        <f t="shared" si="2"/>
        <v>16101-0861</v>
      </c>
      <c r="D23" s="64" t="s">
        <v>60</v>
      </c>
      <c r="E23" s="64" t="s">
        <v>61</v>
      </c>
      <c r="F23" s="64" t="s">
        <v>15</v>
      </c>
      <c r="G23" s="64" t="s">
        <v>62</v>
      </c>
      <c r="H23" s="64" t="s">
        <v>63</v>
      </c>
      <c r="I23" s="64" t="s">
        <v>64</v>
      </c>
      <c r="J23" s="67">
        <v>0</v>
      </c>
      <c r="K23" s="62">
        <v>175830.81</v>
      </c>
      <c r="L23" s="33" t="e">
        <f>HLOOKUP(B23,#REF!,1,0)</f>
        <v>#REF!</v>
      </c>
      <c r="M23" s="33" t="str">
        <f t="shared" si="3"/>
        <v>BS</v>
      </c>
    </row>
    <row r="24" spans="1:13" s="33" customFormat="true" ht="12.75" customHeight="true">
      <c r="A24" s="33" t="str">
        <f t="shared" si="0"/>
        <v>2SH - Fixed Assets</v>
      </c>
      <c r="B24" s="33" t="str">
        <f t="shared" si="1"/>
        <v>2SH</v>
      </c>
      <c r="C24" s="33" t="str">
        <f t="shared" si="2"/>
        <v>16101-0862</v>
      </c>
      <c r="D24" s="64" t="s">
        <v>65</v>
      </c>
      <c r="E24" s="64" t="s">
        <v>61</v>
      </c>
      <c r="F24" s="64" t="s">
        <v>15</v>
      </c>
      <c r="G24" s="64" t="s">
        <v>62</v>
      </c>
      <c r="H24" s="64" t="s">
        <v>63</v>
      </c>
      <c r="I24" s="64" t="s">
        <v>64</v>
      </c>
      <c r="J24" s="67">
        <v>0</v>
      </c>
      <c r="K24" s="62">
        <v>190527.91</v>
      </c>
      <c r="L24" s="33" t="e">
        <f>HLOOKUP(B24,#REF!,1,0)</f>
        <v>#REF!</v>
      </c>
      <c r="M24" s="33" t="str">
        <f t="shared" si="3"/>
        <v>BS</v>
      </c>
    </row>
    <row r="25" spans="1:13" s="33" customFormat="true" ht="12.75" customHeight="true">
      <c r="A25" s="33" t="str">
        <f t="shared" si="0"/>
        <v>2SH - Fixed Assets</v>
      </c>
      <c r="B25" s="33" t="str">
        <f t="shared" si="1"/>
        <v>2SH</v>
      </c>
      <c r="C25" s="33" t="str">
        <f t="shared" si="2"/>
        <v>16101-0864</v>
      </c>
      <c r="D25" s="64" t="s">
        <v>66</v>
      </c>
      <c r="E25" s="64" t="s">
        <v>61</v>
      </c>
      <c r="F25" s="64" t="s">
        <v>15</v>
      </c>
      <c r="G25" s="64" t="s">
        <v>62</v>
      </c>
      <c r="H25" s="64" t="s">
        <v>63</v>
      </c>
      <c r="I25" s="64" t="s">
        <v>64</v>
      </c>
      <c r="J25" s="67">
        <v>0</v>
      </c>
      <c r="K25" s="62">
        <v>114140.03</v>
      </c>
      <c r="L25" s="33" t="e">
        <f>HLOOKUP(B25,#REF!,1,0)</f>
        <v>#REF!</v>
      </c>
      <c r="M25" s="33" t="str">
        <f t="shared" si="3"/>
        <v>BS</v>
      </c>
    </row>
    <row r="26" spans="1:13" s="33" customFormat="true" ht="12.75" customHeight="true">
      <c r="A26" s="33" t="str">
        <f t="shared" si="0"/>
        <v>2SH - Fixed Assets</v>
      </c>
      <c r="B26" s="33" t="str">
        <f t="shared" si="1"/>
        <v>2SH</v>
      </c>
      <c r="C26" s="33" t="str">
        <f t="shared" si="2"/>
        <v>16101-0866</v>
      </c>
      <c r="D26" s="64" t="s">
        <v>67</v>
      </c>
      <c r="E26" s="64" t="s">
        <v>61</v>
      </c>
      <c r="F26" s="64" t="s">
        <v>15</v>
      </c>
      <c r="G26" s="64" t="s">
        <v>62</v>
      </c>
      <c r="H26" s="64" t="s">
        <v>63</v>
      </c>
      <c r="I26" s="64" t="s">
        <v>64</v>
      </c>
      <c r="J26" s="67">
        <v>0</v>
      </c>
      <c r="K26" s="62">
        <v>129106.35</v>
      </c>
      <c r="L26" s="33" t="e">
        <f>HLOOKUP(B26,#REF!,1,0)</f>
        <v>#REF!</v>
      </c>
      <c r="M26" s="33" t="str">
        <f t="shared" si="3"/>
        <v>BS</v>
      </c>
    </row>
    <row r="27" spans="1:13" s="33" customFormat="true" ht="12.75" customHeight="true">
      <c r="A27" s="33" t="str">
        <f t="shared" si="0"/>
        <v>2SH - Fixed Assets</v>
      </c>
      <c r="B27" s="33" t="str">
        <f t="shared" si="1"/>
        <v>2SH</v>
      </c>
      <c r="C27" s="33" t="str">
        <f t="shared" si="2"/>
        <v>16101-7124</v>
      </c>
      <c r="D27" s="64" t="s">
        <v>68</v>
      </c>
      <c r="E27" s="64" t="s">
        <v>61</v>
      </c>
      <c r="F27" s="64" t="s">
        <v>15</v>
      </c>
      <c r="G27" s="64" t="s">
        <v>62</v>
      </c>
      <c r="H27" s="64" t="s">
        <v>63</v>
      </c>
      <c r="I27" s="64" t="s">
        <v>64</v>
      </c>
      <c r="J27" s="67">
        <v>0</v>
      </c>
      <c r="K27" s="62">
        <v>-0.39</v>
      </c>
      <c r="L27" s="33" t="e">
        <f>HLOOKUP(B27,#REF!,1,0)</f>
        <v>#REF!</v>
      </c>
      <c r="M27" s="33" t="str">
        <f t="shared" si="3"/>
        <v>BS</v>
      </c>
    </row>
    <row r="28" spans="1:13" s="33" customFormat="true" ht="12.75" customHeight="true">
      <c r="A28" s="33" t="str">
        <f t="shared" si="0"/>
        <v>2SH - Fixed Assets</v>
      </c>
      <c r="B28" s="33" t="str">
        <f t="shared" si="1"/>
        <v>2SH</v>
      </c>
      <c r="C28" s="33" t="str">
        <f t="shared" si="2"/>
        <v>16601-0000</v>
      </c>
      <c r="D28" s="64" t="s">
        <v>69</v>
      </c>
      <c r="E28" s="64" t="s">
        <v>70</v>
      </c>
      <c r="F28" s="64" t="s">
        <v>15</v>
      </c>
      <c r="G28" s="64" t="s">
        <v>62</v>
      </c>
      <c r="H28" s="64" t="s">
        <v>63</v>
      </c>
      <c r="I28" s="64" t="s">
        <v>64</v>
      </c>
      <c r="J28" s="67">
        <v>0</v>
      </c>
      <c r="K28" s="62">
        <v>25113.14</v>
      </c>
      <c r="L28" s="33" t="e">
        <f>HLOOKUP(B28,#REF!,1,0)</f>
        <v>#REF!</v>
      </c>
      <c r="M28" s="33" t="str">
        <f t="shared" si="3"/>
        <v>BS</v>
      </c>
    </row>
    <row r="29" spans="1:13" s="33" customFormat="true" ht="12.75" customHeight="true">
      <c r="A29" s="33" t="str">
        <f t="shared" si="0"/>
        <v>2SH - Fixed Assets</v>
      </c>
      <c r="B29" s="33" t="str">
        <f t="shared" si="1"/>
        <v>2SH</v>
      </c>
      <c r="C29" s="33" t="str">
        <f t="shared" si="2"/>
        <v>16601-0861</v>
      </c>
      <c r="D29" s="64" t="s">
        <v>71</v>
      </c>
      <c r="E29" s="64" t="s">
        <v>70</v>
      </c>
      <c r="F29" s="64" t="s">
        <v>15</v>
      </c>
      <c r="G29" s="64" t="s">
        <v>62</v>
      </c>
      <c r="H29" s="64" t="s">
        <v>63</v>
      </c>
      <c r="I29" s="64" t="s">
        <v>64</v>
      </c>
      <c r="J29" s="67">
        <v>0</v>
      </c>
      <c r="K29" s="62">
        <v>245112.4</v>
      </c>
      <c r="L29" s="33" t="e">
        <f>HLOOKUP(B29,#REF!,1,0)</f>
        <v>#REF!</v>
      </c>
      <c r="M29" s="33" t="str">
        <f t="shared" si="3"/>
        <v>BS</v>
      </c>
    </row>
    <row r="30" spans="1:13" s="33" customFormat="true" ht="12.75" customHeight="true">
      <c r="A30" s="33" t="str">
        <f t="shared" si="0"/>
        <v>2SH - Fixed Assets</v>
      </c>
      <c r="B30" s="33" t="str">
        <f t="shared" si="1"/>
        <v>2SH</v>
      </c>
      <c r="C30" s="33" t="str">
        <f t="shared" si="2"/>
        <v>16601-0862</v>
      </c>
      <c r="D30" s="64" t="s">
        <v>72</v>
      </c>
      <c r="E30" s="64" t="s">
        <v>70</v>
      </c>
      <c r="F30" s="64" t="s">
        <v>15</v>
      </c>
      <c r="G30" s="64" t="s">
        <v>62</v>
      </c>
      <c r="H30" s="64" t="s">
        <v>63</v>
      </c>
      <c r="I30" s="64" t="s">
        <v>64</v>
      </c>
      <c r="J30" s="67">
        <v>0</v>
      </c>
      <c r="K30" s="62">
        <v>173193</v>
      </c>
      <c r="L30" s="33" t="e">
        <f>HLOOKUP(B30,#REF!,1,0)</f>
        <v>#REF!</v>
      </c>
      <c r="M30" s="33" t="str">
        <f t="shared" si="3"/>
        <v>BS</v>
      </c>
    </row>
    <row r="31" spans="1:13" s="33" customFormat="true" ht="12.75" customHeight="true">
      <c r="A31" s="33" t="str">
        <f t="shared" si="0"/>
        <v>2SH - Fixed Assets</v>
      </c>
      <c r="B31" s="33" t="str">
        <f t="shared" si="1"/>
        <v>2SH</v>
      </c>
      <c r="C31" s="33" t="str">
        <f t="shared" si="2"/>
        <v>16601-0864</v>
      </c>
      <c r="D31" s="64" t="s">
        <v>73</v>
      </c>
      <c r="E31" s="64" t="s">
        <v>70</v>
      </c>
      <c r="F31" s="64" t="s">
        <v>15</v>
      </c>
      <c r="G31" s="64" t="s">
        <v>62</v>
      </c>
      <c r="H31" s="64" t="s">
        <v>63</v>
      </c>
      <c r="I31" s="64" t="s">
        <v>64</v>
      </c>
      <c r="J31" s="67">
        <v>0</v>
      </c>
      <c r="K31" s="62">
        <v>60694.63</v>
      </c>
      <c r="L31" s="33" t="e">
        <f>HLOOKUP(B31,#REF!,1,0)</f>
        <v>#REF!</v>
      </c>
      <c r="M31" s="33" t="str">
        <f t="shared" si="3"/>
        <v>BS</v>
      </c>
    </row>
    <row r="32" spans="1:13" s="33" customFormat="true" ht="12.75" customHeight="true">
      <c r="A32" s="33" t="str">
        <f t="shared" si="0"/>
        <v>2SH - Fixed Assets</v>
      </c>
      <c r="B32" s="33" t="str">
        <f t="shared" si="1"/>
        <v>2SH</v>
      </c>
      <c r="C32" s="33" t="str">
        <f t="shared" si="2"/>
        <v>16601-0866</v>
      </c>
      <c r="D32" s="64" t="s">
        <v>74</v>
      </c>
      <c r="E32" s="64" t="s">
        <v>70</v>
      </c>
      <c r="F32" s="64" t="s">
        <v>15</v>
      </c>
      <c r="G32" s="64" t="s">
        <v>62</v>
      </c>
      <c r="H32" s="64" t="s">
        <v>63</v>
      </c>
      <c r="I32" s="64" t="s">
        <v>64</v>
      </c>
      <c r="J32" s="67">
        <v>0</v>
      </c>
      <c r="K32" s="62">
        <v>202074.31</v>
      </c>
      <c r="L32" s="33" t="e">
        <f>HLOOKUP(B32,#REF!,1,0)</f>
        <v>#REF!</v>
      </c>
      <c r="M32" s="33" t="str">
        <f t="shared" si="3"/>
        <v>BS</v>
      </c>
    </row>
    <row r="33" spans="1:13" s="33" customFormat="true" ht="12.75" customHeight="true">
      <c r="A33" s="33" t="str">
        <f t="shared" si="0"/>
        <v>2SH - Fixed Assets</v>
      </c>
      <c r="B33" s="33" t="str">
        <f t="shared" si="1"/>
        <v>2SH</v>
      </c>
      <c r="C33" s="33" t="str">
        <f t="shared" si="2"/>
        <v>16601-7124</v>
      </c>
      <c r="D33" s="64" t="s">
        <v>75</v>
      </c>
      <c r="E33" s="64" t="s">
        <v>70</v>
      </c>
      <c r="F33" s="64" t="s">
        <v>15</v>
      </c>
      <c r="G33" s="64" t="s">
        <v>62</v>
      </c>
      <c r="H33" s="64" t="s">
        <v>63</v>
      </c>
      <c r="I33" s="64" t="s">
        <v>64</v>
      </c>
      <c r="J33" s="67">
        <v>0</v>
      </c>
      <c r="K33" s="62">
        <v>0.09</v>
      </c>
      <c r="L33" s="33" t="e">
        <f>HLOOKUP(B33,#REF!,1,0)</f>
        <v>#REF!</v>
      </c>
      <c r="M33" s="33" t="str">
        <f t="shared" si="3"/>
        <v>BS</v>
      </c>
    </row>
    <row r="34" spans="1:13" s="33" customFormat="true" ht="12.75" customHeight="true">
      <c r="A34" s="33" t="str">
        <f t="shared" si="0"/>
        <v>2SH - Fixed Assets</v>
      </c>
      <c r="B34" s="33" t="str">
        <f t="shared" si="1"/>
        <v>2SH</v>
      </c>
      <c r="C34" s="33" t="str">
        <f t="shared" si="2"/>
        <v>16901-0000</v>
      </c>
      <c r="D34" s="64" t="s">
        <v>76</v>
      </c>
      <c r="E34" s="64" t="s">
        <v>77</v>
      </c>
      <c r="F34" s="64" t="s">
        <v>15</v>
      </c>
      <c r="G34" s="64" t="s">
        <v>62</v>
      </c>
      <c r="H34" s="64" t="s">
        <v>63</v>
      </c>
      <c r="I34" s="64" t="s">
        <v>64</v>
      </c>
      <c r="J34" s="67">
        <v>0</v>
      </c>
      <c r="K34" s="62">
        <v>-855177.37</v>
      </c>
      <c r="L34" s="33" t="e">
        <f>HLOOKUP(B34,#REF!,1,0)</f>
        <v>#REF!</v>
      </c>
      <c r="M34" s="33" t="str">
        <f t="shared" si="3"/>
        <v>BS</v>
      </c>
    </row>
    <row r="35" spans="1:13" s="33" customFormat="true" ht="12.75" customHeight="true">
      <c r="A35" s="33" t="str">
        <f t="shared" si="0"/>
        <v>2SH - Deposits</v>
      </c>
      <c r="B35" s="33" t="str">
        <f t="shared" si="1"/>
        <v>2SH</v>
      </c>
      <c r="C35" s="33" t="str">
        <f t="shared" si="2"/>
        <v>17001-0000</v>
      </c>
      <c r="D35" s="64" t="s">
        <v>78</v>
      </c>
      <c r="E35" s="64" t="s">
        <v>79</v>
      </c>
      <c r="F35" s="64" t="s">
        <v>15</v>
      </c>
      <c r="G35" s="64" t="s">
        <v>62</v>
      </c>
      <c r="H35" s="64" t="s">
        <v>80</v>
      </c>
      <c r="I35" s="64" t="s">
        <v>81</v>
      </c>
      <c r="J35" s="67">
        <v>0</v>
      </c>
      <c r="K35" s="62">
        <v>200</v>
      </c>
      <c r="L35" s="33" t="e">
        <f>HLOOKUP(B35,#REF!,1,0)</f>
        <v>#REF!</v>
      </c>
      <c r="M35" s="33" t="str">
        <f t="shared" si="3"/>
        <v>BS</v>
      </c>
    </row>
    <row r="36" spans="1:13" s="33" customFormat="true" ht="12.75" customHeight="true">
      <c r="A36" s="33" t="str">
        <f t="shared" si="0"/>
        <v>2SH - Fixed Assets</v>
      </c>
      <c r="B36" s="33" t="str">
        <f t="shared" si="1"/>
        <v>2SH</v>
      </c>
      <c r="C36" s="33" t="str">
        <f t="shared" si="2"/>
        <v>17201-0861</v>
      </c>
      <c r="D36" s="64" t="s">
        <v>82</v>
      </c>
      <c r="E36" s="64" t="s">
        <v>83</v>
      </c>
      <c r="F36" s="64" t="s">
        <v>15</v>
      </c>
      <c r="G36" s="64" t="s">
        <v>62</v>
      </c>
      <c r="H36" s="64" t="s">
        <v>63</v>
      </c>
      <c r="I36" s="64" t="s">
        <v>81</v>
      </c>
      <c r="J36" s="67">
        <v>0</v>
      </c>
      <c r="K36" s="62">
        <v>26250</v>
      </c>
      <c r="L36" s="33" t="e">
        <f>HLOOKUP(B36,#REF!,1,0)</f>
        <v>#REF!</v>
      </c>
      <c r="M36" s="33" t="str">
        <f t="shared" si="3"/>
        <v>BS</v>
      </c>
    </row>
    <row r="37" spans="1:13" s="33" customFormat="true" ht="12.75" customHeight="true">
      <c r="A37" s="33" t="str">
        <f t="shared" si="0"/>
        <v>2SH - Fixed Assets</v>
      </c>
      <c r="B37" s="33" t="str">
        <f t="shared" si="1"/>
        <v>2SH</v>
      </c>
      <c r="C37" s="33" t="str">
        <f t="shared" si="2"/>
        <v>17201-0862</v>
      </c>
      <c r="D37" s="64" t="s">
        <v>84</v>
      </c>
      <c r="E37" s="64" t="s">
        <v>83</v>
      </c>
      <c r="F37" s="64" t="s">
        <v>15</v>
      </c>
      <c r="G37" s="64" t="s">
        <v>62</v>
      </c>
      <c r="H37" s="64" t="s">
        <v>63</v>
      </c>
      <c r="I37" s="64" t="s">
        <v>81</v>
      </c>
      <c r="J37" s="67">
        <v>0</v>
      </c>
      <c r="K37" s="62">
        <v>26250</v>
      </c>
      <c r="L37" s="33" t="e">
        <f>HLOOKUP(B37,#REF!,1,0)</f>
        <v>#REF!</v>
      </c>
      <c r="M37" s="33" t="str">
        <f t="shared" si="3"/>
        <v>BS</v>
      </c>
    </row>
    <row r="38" spans="1:13" s="33" customFormat="true" ht="12.75" customHeight="true">
      <c r="A38" s="33" t="str">
        <f t="shared" si="0"/>
        <v>2SH - Fixed Assets</v>
      </c>
      <c r="B38" s="33" t="str">
        <f t="shared" si="1"/>
        <v>2SH</v>
      </c>
      <c r="C38" s="33" t="str">
        <f t="shared" si="2"/>
        <v>17201-0864</v>
      </c>
      <c r="D38" s="64" t="s">
        <v>85</v>
      </c>
      <c r="E38" s="64" t="s">
        <v>83</v>
      </c>
      <c r="F38" s="64" t="s">
        <v>15</v>
      </c>
      <c r="G38" s="64" t="s">
        <v>62</v>
      </c>
      <c r="H38" s="64" t="s">
        <v>63</v>
      </c>
      <c r="I38" s="64" t="s">
        <v>81</v>
      </c>
      <c r="J38" s="67">
        <v>0</v>
      </c>
      <c r="K38" s="62">
        <v>26250</v>
      </c>
      <c r="L38" s="33" t="e">
        <f>HLOOKUP(B38,#REF!,1,0)</f>
        <v>#REF!</v>
      </c>
      <c r="M38" s="33" t="str">
        <f t="shared" si="3"/>
        <v>BS</v>
      </c>
    </row>
    <row r="39" spans="1:13" s="33" customFormat="true" ht="12.75" customHeight="true">
      <c r="A39" s="33" t="str">
        <f t="shared" si="0"/>
        <v>2SH - Fixed Assets</v>
      </c>
      <c r="B39" s="33" t="str">
        <f t="shared" si="1"/>
        <v>2SH</v>
      </c>
      <c r="C39" s="33" t="str">
        <f t="shared" si="2"/>
        <v>17201-0866</v>
      </c>
      <c r="D39" s="64" t="s">
        <v>86</v>
      </c>
      <c r="E39" s="64" t="s">
        <v>83</v>
      </c>
      <c r="F39" s="64" t="s">
        <v>15</v>
      </c>
      <c r="G39" s="64" t="s">
        <v>62</v>
      </c>
      <c r="H39" s="64" t="s">
        <v>63</v>
      </c>
      <c r="I39" s="64" t="s">
        <v>81</v>
      </c>
      <c r="J39" s="67">
        <v>0</v>
      </c>
      <c r="K39" s="62">
        <v>26250</v>
      </c>
      <c r="L39" s="33" t="e">
        <f>HLOOKUP(B39,#REF!,1,0)</f>
        <v>#REF!</v>
      </c>
      <c r="M39" s="33" t="str">
        <f t="shared" si="3"/>
        <v>BS</v>
      </c>
    </row>
    <row r="40" spans="1:13" s="33" customFormat="true" ht="12.75" customHeight="true">
      <c r="A40" s="33" t="str">
        <f t="shared" si="0"/>
        <v>2SH - Fixed Assets</v>
      </c>
      <c r="B40" s="33" t="str">
        <f t="shared" si="1"/>
        <v>2SH</v>
      </c>
      <c r="C40" s="33" t="str">
        <f t="shared" si="2"/>
        <v>18501-0000</v>
      </c>
      <c r="D40" s="64" t="s">
        <v>87</v>
      </c>
      <c r="E40" s="64" t="s">
        <v>88</v>
      </c>
      <c r="F40" s="64" t="s">
        <v>15</v>
      </c>
      <c r="G40" s="64" t="s">
        <v>62</v>
      </c>
      <c r="H40" s="64" t="s">
        <v>63</v>
      </c>
      <c r="I40" s="64" t="s">
        <v>81</v>
      </c>
      <c r="J40" s="67">
        <v>0</v>
      </c>
      <c r="K40" s="62">
        <v>-47265.67</v>
      </c>
      <c r="L40" s="33" t="e">
        <f>HLOOKUP(B40,#REF!,1,0)</f>
        <v>#REF!</v>
      </c>
      <c r="M40" s="33" t="str">
        <f t="shared" si="3"/>
        <v>BS</v>
      </c>
    </row>
    <row r="41" spans="1:13" s="33" customFormat="true" ht="12.75" customHeight="true">
      <c r="A41" s="33" t="str">
        <f t="shared" si="0"/>
        <v>2SH - Fixed Assets</v>
      </c>
      <c r="B41" s="33" t="str">
        <f t="shared" si="1"/>
        <v>2SH</v>
      </c>
      <c r="C41" s="33" t="str">
        <f t="shared" si="2"/>
        <v>19901-0861</v>
      </c>
      <c r="D41" s="64" t="s">
        <v>89</v>
      </c>
      <c r="E41" s="64" t="s">
        <v>90</v>
      </c>
      <c r="F41" s="64" t="s">
        <v>15</v>
      </c>
      <c r="G41" s="64" t="s">
        <v>62</v>
      </c>
      <c r="H41" s="64" t="s">
        <v>63</v>
      </c>
      <c r="I41" s="64" t="s">
        <v>81</v>
      </c>
      <c r="J41" s="67">
        <v>0</v>
      </c>
      <c r="K41" s="62">
        <v>758668.25</v>
      </c>
      <c r="L41" s="33" t="e">
        <f>HLOOKUP(B41,#REF!,1,0)</f>
        <v>#REF!</v>
      </c>
      <c r="M41" s="33" t="str">
        <f t="shared" si="3"/>
        <v>BS</v>
      </c>
    </row>
    <row r="42" spans="1:13" s="33" customFormat="true" ht="12.75" customHeight="true">
      <c r="A42" s="33" t="str">
        <f t="shared" si="0"/>
        <v>2SH - Fixed Assets</v>
      </c>
      <c r="B42" s="33" t="str">
        <f t="shared" si="1"/>
        <v>2SH</v>
      </c>
      <c r="C42" s="33" t="str">
        <f t="shared" si="2"/>
        <v>19901-0862</v>
      </c>
      <c r="D42" s="64" t="s">
        <v>91</v>
      </c>
      <c r="E42" s="64" t="s">
        <v>90</v>
      </c>
      <c r="F42" s="64" t="s">
        <v>15</v>
      </c>
      <c r="G42" s="64" t="s">
        <v>62</v>
      </c>
      <c r="H42" s="64" t="s">
        <v>63</v>
      </c>
      <c r="I42" s="64" t="s">
        <v>81</v>
      </c>
      <c r="J42" s="67">
        <v>0</v>
      </c>
      <c r="K42" s="62">
        <v>286864.87</v>
      </c>
      <c r="L42" s="33" t="e">
        <f>HLOOKUP(B42,#REF!,1,0)</f>
        <v>#REF!</v>
      </c>
      <c r="M42" s="33" t="str">
        <f t="shared" si="3"/>
        <v>BS</v>
      </c>
    </row>
    <row r="43" spans="1:13" s="33" customFormat="true" ht="12.75" customHeight="true">
      <c r="A43" s="33" t="str">
        <f t="shared" si="0"/>
        <v>2SH - Fixed Assets</v>
      </c>
      <c r="B43" s="33" t="str">
        <f t="shared" si="1"/>
        <v>2SH</v>
      </c>
      <c r="C43" s="33" t="str">
        <f t="shared" si="2"/>
        <v>19901-0864</v>
      </c>
      <c r="D43" s="64" t="s">
        <v>92</v>
      </c>
      <c r="E43" s="64" t="s">
        <v>90</v>
      </c>
      <c r="F43" s="64" t="s">
        <v>15</v>
      </c>
      <c r="G43" s="64" t="s">
        <v>62</v>
      </c>
      <c r="H43" s="64" t="s">
        <v>63</v>
      </c>
      <c r="I43" s="64" t="s">
        <v>81</v>
      </c>
      <c r="J43" s="67">
        <v>0</v>
      </c>
      <c r="K43" s="62">
        <v>77758.24</v>
      </c>
      <c r="L43" s="33" t="e">
        <f>HLOOKUP(B43,#REF!,1,0)</f>
        <v>#REF!</v>
      </c>
      <c r="M43" s="33" t="str">
        <f t="shared" si="3"/>
        <v>BS</v>
      </c>
    </row>
    <row r="44" spans="1:13" s="33" customFormat="true" ht="12.75" customHeight="true">
      <c r="A44" s="33" t="str">
        <f t="shared" si="0"/>
        <v>2SH - Fixed Assets</v>
      </c>
      <c r="B44" s="33" t="str">
        <f t="shared" si="1"/>
        <v>2SH</v>
      </c>
      <c r="C44" s="33" t="str">
        <f t="shared" si="2"/>
        <v>19901-0866</v>
      </c>
      <c r="D44" s="64" t="s">
        <v>93</v>
      </c>
      <c r="E44" s="64" t="s">
        <v>90</v>
      </c>
      <c r="F44" s="64" t="s">
        <v>15</v>
      </c>
      <c r="G44" s="64" t="s">
        <v>62</v>
      </c>
      <c r="H44" s="64" t="s">
        <v>63</v>
      </c>
      <c r="I44" s="64" t="s">
        <v>81</v>
      </c>
      <c r="J44" s="67">
        <v>0</v>
      </c>
      <c r="K44" s="62">
        <v>295271.16</v>
      </c>
      <c r="L44" s="33" t="e">
        <f>HLOOKUP(B44,#REF!,1,0)</f>
        <v>#REF!</v>
      </c>
      <c r="M44" s="33" t="str">
        <f t="shared" si="3"/>
        <v>BS</v>
      </c>
    </row>
    <row r="45" spans="1:13" s="33" customFormat="true" ht="12.75" customHeight="true">
      <c r="A45" s="33" t="str">
        <f t="shared" si="0"/>
        <v>2SH - Fixed Assets</v>
      </c>
      <c r="B45" s="33" t="str">
        <f t="shared" si="1"/>
        <v>2SH</v>
      </c>
      <c r="C45" s="33" t="str">
        <f t="shared" si="2"/>
        <v>19901-7124</v>
      </c>
      <c r="D45" s="64" t="s">
        <v>94</v>
      </c>
      <c r="E45" s="64" t="s">
        <v>90</v>
      </c>
      <c r="F45" s="64" t="s">
        <v>15</v>
      </c>
      <c r="G45" s="64" t="s">
        <v>62</v>
      </c>
      <c r="H45" s="64" t="s">
        <v>63</v>
      </c>
      <c r="I45" s="64" t="s">
        <v>81</v>
      </c>
      <c r="J45" s="67">
        <v>0</v>
      </c>
      <c r="K45" s="62">
        <v>-0.4</v>
      </c>
      <c r="L45" s="33" t="e">
        <f>HLOOKUP(B45,#REF!,1,0)</f>
        <v>#REF!</v>
      </c>
      <c r="M45" s="33" t="str">
        <f t="shared" si="3"/>
        <v>BS</v>
      </c>
    </row>
    <row r="46" spans="1:13" s="33" customFormat="true" ht="12.75" customHeight="true">
      <c r="A46" s="33" t="str">
        <f t="shared" si="0"/>
        <v>2SH - AP-Accr Exp</v>
      </c>
      <c r="B46" s="33" t="str">
        <f t="shared" si="1"/>
        <v>2SH</v>
      </c>
      <c r="C46" s="33" t="str">
        <f t="shared" si="2"/>
        <v>20001-0000</v>
      </c>
      <c r="D46" s="64" t="s">
        <v>95</v>
      </c>
      <c r="E46" s="64" t="s">
        <v>96</v>
      </c>
      <c r="F46" s="64" t="s">
        <v>15</v>
      </c>
      <c r="G46" s="64" t="s">
        <v>97</v>
      </c>
      <c r="H46" s="64" t="s">
        <v>98</v>
      </c>
      <c r="I46" s="64" t="s">
        <v>99</v>
      </c>
      <c r="J46" s="67">
        <v>-19708.62</v>
      </c>
      <c r="K46" s="62">
        <v>-44730.59</v>
      </c>
      <c r="L46" s="33" t="e">
        <f>HLOOKUP(B46,#REF!,1,0)</f>
        <v>#REF!</v>
      </c>
      <c r="M46" s="33" t="str">
        <f t="shared" si="3"/>
        <v>BS</v>
      </c>
    </row>
    <row r="47" spans="1:13" s="33" customFormat="true" ht="12.75" customHeight="true">
      <c r="A47" s="33" t="str">
        <f t="shared" si="0"/>
        <v>2SH - AP-Accr Exp</v>
      </c>
      <c r="B47" s="33" t="str">
        <f t="shared" si="1"/>
        <v>2SH</v>
      </c>
      <c r="C47" s="33" t="str">
        <f t="shared" si="2"/>
        <v>21001-0000</v>
      </c>
      <c r="D47" s="64" t="s">
        <v>100</v>
      </c>
      <c r="E47" s="64" t="s">
        <v>101</v>
      </c>
      <c r="F47" s="64" t="s">
        <v>15</v>
      </c>
      <c r="G47" s="64" t="s">
        <v>97</v>
      </c>
      <c r="H47" s="64" t="s">
        <v>98</v>
      </c>
      <c r="I47" s="64" t="s">
        <v>102</v>
      </c>
      <c r="J47" s="67">
        <v>0</v>
      </c>
      <c r="K47" s="62">
        <v>-11666</v>
      </c>
      <c r="L47" s="33" t="e">
        <f>HLOOKUP(B47,#REF!,1,0)</f>
        <v>#REF!</v>
      </c>
      <c r="M47" s="33" t="str">
        <f t="shared" si="3"/>
        <v>BS</v>
      </c>
    </row>
    <row r="48" spans="1:13" s="33" customFormat="true" ht="12.75" customHeight="true">
      <c r="A48" s="33" t="str">
        <f t="shared" si="0"/>
        <v>2SH - Tax Accr</v>
      </c>
      <c r="B48" s="33" t="str">
        <f t="shared" si="1"/>
        <v>2SH</v>
      </c>
      <c r="C48" s="33" t="str">
        <f t="shared" si="2"/>
        <v>22001-0000</v>
      </c>
      <c r="D48" s="64" t="s">
        <v>103</v>
      </c>
      <c r="E48" s="64" t="s">
        <v>104</v>
      </c>
      <c r="F48" s="64" t="s">
        <v>15</v>
      </c>
      <c r="G48" s="64" t="s">
        <v>97</v>
      </c>
      <c r="H48" s="64" t="s">
        <v>105</v>
      </c>
      <c r="I48" s="64" t="s">
        <v>102</v>
      </c>
      <c r="J48" s="67">
        <v>-3423.05</v>
      </c>
      <c r="K48" s="62">
        <v>-43521.7</v>
      </c>
      <c r="L48" s="33" t="e">
        <f>HLOOKUP(B48,#REF!,1,0)</f>
        <v>#REF!</v>
      </c>
      <c r="M48" s="33" t="str">
        <f t="shared" si="3"/>
        <v>BS</v>
      </c>
    </row>
    <row r="49" spans="1:13" s="33" customFormat="true" ht="12.75" customHeight="true">
      <c r="A49" s="33" t="str">
        <f t="shared" si="0"/>
        <v>2SH - AP-Accr Exp</v>
      </c>
      <c r="B49" s="33" t="str">
        <f t="shared" si="1"/>
        <v>2SH</v>
      </c>
      <c r="C49" s="33" t="str">
        <f t="shared" si="2"/>
        <v>23405-0000</v>
      </c>
      <c r="D49" s="64" t="s">
        <v>106</v>
      </c>
      <c r="E49" s="64" t="s">
        <v>107</v>
      </c>
      <c r="F49" s="64" t="s">
        <v>15</v>
      </c>
      <c r="G49" s="64" t="s">
        <v>97</v>
      </c>
      <c r="H49" s="64" t="s">
        <v>98</v>
      </c>
      <c r="I49" s="64" t="s">
        <v>102</v>
      </c>
      <c r="J49" s="67">
        <v>10847.15</v>
      </c>
      <c r="K49" s="62">
        <v>0</v>
      </c>
      <c r="L49" s="33" t="e">
        <f>HLOOKUP(B49,#REF!,1,0)</f>
        <v>#REF!</v>
      </c>
      <c r="M49" s="33" t="str">
        <f t="shared" si="3"/>
        <v>BS</v>
      </c>
    </row>
    <row r="50" spans="1:13" s="33" customFormat="true" ht="12.75" customHeight="true">
      <c r="A50" s="33" t="str">
        <f t="shared" si="0"/>
        <v>2SH - AP-Accr Exp</v>
      </c>
      <c r="B50" s="33" t="str">
        <f t="shared" si="1"/>
        <v>2SH</v>
      </c>
      <c r="C50" s="33" t="str">
        <f t="shared" si="2"/>
        <v>23406-0000</v>
      </c>
      <c r="D50" s="64" t="s">
        <v>108</v>
      </c>
      <c r="E50" s="64" t="s">
        <v>109</v>
      </c>
      <c r="F50" s="64" t="s">
        <v>15</v>
      </c>
      <c r="G50" s="64" t="s">
        <v>97</v>
      </c>
      <c r="H50" s="64" t="s">
        <v>98</v>
      </c>
      <c r="I50" s="64" t="s">
        <v>102</v>
      </c>
      <c r="J50" s="67">
        <v>0</v>
      </c>
      <c r="K50" s="62">
        <v>-4264.84</v>
      </c>
      <c r="L50" s="33" t="e">
        <f>HLOOKUP(B50,#REF!,1,0)</f>
        <v>#REF!</v>
      </c>
      <c r="M50" s="33" t="str">
        <f t="shared" si="3"/>
        <v>BS</v>
      </c>
    </row>
    <row r="51" spans="1:13" s="33" customFormat="true" ht="12.75" customHeight="true">
      <c r="A51" s="33" t="str">
        <f t="shared" si="0"/>
        <v>2SH - AP-Accr Exp</v>
      </c>
      <c r="B51" s="33" t="str">
        <f t="shared" si="1"/>
        <v>2SH</v>
      </c>
      <c r="C51" s="33" t="str">
        <f t="shared" si="2"/>
        <v>23509-0000</v>
      </c>
      <c r="D51" s="64" t="s">
        <v>110</v>
      </c>
      <c r="E51" s="64" t="s">
        <v>111</v>
      </c>
      <c r="F51" s="64" t="s">
        <v>15</v>
      </c>
      <c r="G51" s="64" t="s">
        <v>97</v>
      </c>
      <c r="H51" s="64" t="s">
        <v>98</v>
      </c>
      <c r="I51" s="64" t="s">
        <v>102</v>
      </c>
      <c r="J51" s="67">
        <v>0</v>
      </c>
      <c r="K51" s="62">
        <v>0</v>
      </c>
      <c r="L51" s="33" t="e">
        <f>HLOOKUP(B51,#REF!,1,0)</f>
        <v>#REF!</v>
      </c>
      <c r="M51" s="33" t="str">
        <f t="shared" si="3"/>
        <v>BS</v>
      </c>
    </row>
    <row r="52" spans="1:13" s="33" customFormat="true" ht="12.75" customHeight="true">
      <c r="A52" s="33" t="str">
        <f t="shared" si="0"/>
        <v>2SH - AP-Accr Exp</v>
      </c>
      <c r="B52" s="33" t="str">
        <f t="shared" si="1"/>
        <v>2SH</v>
      </c>
      <c r="C52" s="33" t="str">
        <f t="shared" si="2"/>
        <v>23909-0000</v>
      </c>
      <c r="D52" s="64" t="s">
        <v>112</v>
      </c>
      <c r="E52" s="64" t="s">
        <v>113</v>
      </c>
      <c r="F52" s="64" t="s">
        <v>15</v>
      </c>
      <c r="G52" s="64" t="s">
        <v>97</v>
      </c>
      <c r="H52" s="64" t="s">
        <v>98</v>
      </c>
      <c r="I52" s="64" t="s">
        <v>102</v>
      </c>
      <c r="J52" s="67">
        <v>-13803.13</v>
      </c>
      <c r="K52" s="62">
        <v>-101384.44</v>
      </c>
      <c r="L52" s="33" t="e">
        <f>HLOOKUP(B52,#REF!,1,0)</f>
        <v>#REF!</v>
      </c>
      <c r="M52" s="33" t="str">
        <f t="shared" si="3"/>
        <v>BS</v>
      </c>
    </row>
    <row r="53" spans="1:13" s="33" customFormat="true" ht="12.75" customHeight="true">
      <c r="A53" s="33" t="str">
        <f t="shared" si="0"/>
        <v>2SH - AP-Accr Exp</v>
      </c>
      <c r="B53" s="33" t="str">
        <f t="shared" si="1"/>
        <v>2SH</v>
      </c>
      <c r="C53" s="33" t="str">
        <f t="shared" si="2"/>
        <v>24400-0000</v>
      </c>
      <c r="D53" s="64" t="s">
        <v>114</v>
      </c>
      <c r="E53" s="64" t="s">
        <v>115</v>
      </c>
      <c r="F53" s="64" t="s">
        <v>15</v>
      </c>
      <c r="G53" s="64" t="s">
        <v>97</v>
      </c>
      <c r="H53" s="64" t="s">
        <v>98</v>
      </c>
      <c r="I53" s="64" t="s">
        <v>102</v>
      </c>
      <c r="J53" s="67">
        <v>-295.95</v>
      </c>
      <c r="K53" s="62">
        <v>-8551.66</v>
      </c>
      <c r="L53" s="33" t="e">
        <f>HLOOKUP(B53,#REF!,1,0)</f>
        <v>#REF!</v>
      </c>
      <c r="M53" s="33" t="str">
        <f t="shared" si="3"/>
        <v>BS</v>
      </c>
    </row>
    <row r="54" spans="1:13" s="33" customFormat="true" ht="12.75" customHeight="true">
      <c r="A54" s="33" t="str">
        <f t="shared" si="0"/>
        <v>2SH - AP-Accr Exp</v>
      </c>
      <c r="B54" s="33" t="str">
        <f t="shared" si="1"/>
        <v>2SH</v>
      </c>
      <c r="C54" s="33" t="str">
        <f t="shared" si="2"/>
        <v>24400-0861</v>
      </c>
      <c r="D54" s="64" t="s">
        <v>116</v>
      </c>
      <c r="E54" s="64" t="s">
        <v>115</v>
      </c>
      <c r="F54" s="64" t="s">
        <v>15</v>
      </c>
      <c r="G54" s="64" t="s">
        <v>97</v>
      </c>
      <c r="H54" s="64" t="s">
        <v>98</v>
      </c>
      <c r="I54" s="64" t="s">
        <v>102</v>
      </c>
      <c r="J54" s="67">
        <v>92.72</v>
      </c>
      <c r="K54" s="62">
        <v>729.34</v>
      </c>
      <c r="L54" s="33" t="e">
        <f>HLOOKUP(B54,#REF!,1,0)</f>
        <v>#REF!</v>
      </c>
      <c r="M54" s="33" t="str">
        <f t="shared" si="3"/>
        <v>BS</v>
      </c>
    </row>
    <row r="55" spans="1:13" s="33" customFormat="true" ht="12.75" customHeight="true">
      <c r="A55" s="33" t="str">
        <f t="shared" si="0"/>
        <v>2SH - AP-Accr Exp</v>
      </c>
      <c r="B55" s="33" t="str">
        <f t="shared" si="1"/>
        <v>2SH</v>
      </c>
      <c r="C55" s="33" t="str">
        <f t="shared" si="2"/>
        <v>24400-0862</v>
      </c>
      <c r="D55" s="64" t="s">
        <v>117</v>
      </c>
      <c r="E55" s="64" t="s">
        <v>115</v>
      </c>
      <c r="F55" s="64" t="s">
        <v>15</v>
      </c>
      <c r="G55" s="64" t="s">
        <v>97</v>
      </c>
      <c r="H55" s="64" t="s">
        <v>98</v>
      </c>
      <c r="I55" s="64" t="s">
        <v>102</v>
      </c>
      <c r="J55" s="67">
        <v>87.82</v>
      </c>
      <c r="K55" s="62">
        <v>3582.62</v>
      </c>
      <c r="L55" s="33" t="e">
        <f>HLOOKUP(B55,#REF!,1,0)</f>
        <v>#REF!</v>
      </c>
      <c r="M55" s="33" t="str">
        <f t="shared" si="3"/>
        <v>BS</v>
      </c>
    </row>
    <row r="56" spans="1:13" s="33" customFormat="true" ht="12.75" customHeight="true">
      <c r="A56" s="33" t="str">
        <f t="shared" si="0"/>
        <v>2SH - AP-Accr Exp</v>
      </c>
      <c r="B56" s="33" t="str">
        <f t="shared" si="1"/>
        <v>2SH</v>
      </c>
      <c r="C56" s="33" t="str">
        <f t="shared" si="2"/>
        <v>24400-0864</v>
      </c>
      <c r="D56" s="64" t="s">
        <v>118</v>
      </c>
      <c r="E56" s="64" t="s">
        <v>115</v>
      </c>
      <c r="F56" s="64" t="s">
        <v>15</v>
      </c>
      <c r="G56" s="64" t="s">
        <v>97</v>
      </c>
      <c r="H56" s="64" t="s">
        <v>98</v>
      </c>
      <c r="I56" s="64" t="s">
        <v>102</v>
      </c>
      <c r="J56" s="67">
        <v>150.36</v>
      </c>
      <c r="K56" s="62">
        <v>4054.51</v>
      </c>
      <c r="L56" s="33" t="e">
        <f>HLOOKUP(B56,#REF!,1,0)</f>
        <v>#REF!</v>
      </c>
      <c r="M56" s="33" t="str">
        <f t="shared" si="3"/>
        <v>BS</v>
      </c>
    </row>
    <row r="57" spans="1:13" s="33" customFormat="true" ht="12.75" customHeight="true">
      <c r="A57" s="33" t="str">
        <f t="shared" si="0"/>
        <v>2SH - AP-Accr Exp</v>
      </c>
      <c r="B57" s="33" t="str">
        <f t="shared" si="1"/>
        <v>2SH</v>
      </c>
      <c r="C57" s="33" t="str">
        <f t="shared" si="2"/>
        <v>24400-0866</v>
      </c>
      <c r="D57" s="64" t="s">
        <v>119</v>
      </c>
      <c r="E57" s="64" t="s">
        <v>115</v>
      </c>
      <c r="F57" s="64" t="s">
        <v>15</v>
      </c>
      <c r="G57" s="64" t="s">
        <v>97</v>
      </c>
      <c r="H57" s="64" t="s">
        <v>98</v>
      </c>
      <c r="I57" s="64" t="s">
        <v>102</v>
      </c>
      <c r="J57" s="67">
        <v>76.53</v>
      </c>
      <c r="K57" s="62">
        <v>3328.09</v>
      </c>
      <c r="L57" s="33" t="e">
        <f>HLOOKUP(B57,#REF!,1,0)</f>
        <v>#REF!</v>
      </c>
      <c r="M57" s="33" t="str">
        <f t="shared" si="3"/>
        <v>BS</v>
      </c>
    </row>
    <row r="58" spans="1:13" s="33" customFormat="true" ht="12.75" customHeight="true">
      <c r="A58" s="33" t="str">
        <f t="shared" si="0"/>
        <v>2SH - AP-Accr Exp</v>
      </c>
      <c r="B58" s="33" t="str">
        <f t="shared" si="1"/>
        <v>2SH</v>
      </c>
      <c r="C58" s="33" t="str">
        <f t="shared" si="2"/>
        <v>24400-7124</v>
      </c>
      <c r="D58" s="64" t="s">
        <v>120</v>
      </c>
      <c r="E58" s="64" t="s">
        <v>115</v>
      </c>
      <c r="F58" s="64" t="s">
        <v>15</v>
      </c>
      <c r="G58" s="64" t="s">
        <v>97</v>
      </c>
      <c r="H58" s="64" t="s">
        <v>98</v>
      </c>
      <c r="I58" s="64" t="s">
        <v>102</v>
      </c>
      <c r="J58" s="67">
        <v>0</v>
      </c>
      <c r="K58" s="62">
        <v>0.17</v>
      </c>
      <c r="L58" s="33" t="e">
        <f>HLOOKUP(B58,#REF!,1,0)</f>
        <v>#REF!</v>
      </c>
      <c r="M58" s="33" t="str">
        <f t="shared" si="3"/>
        <v>BS</v>
      </c>
    </row>
    <row r="59" spans="1:13" s="33" customFormat="true" ht="12.75" customHeight="true">
      <c r="A59" s="33" t="str">
        <f t="shared" si="0"/>
        <v>2SH - AP-Accr Exp</v>
      </c>
      <c r="B59" s="33" t="str">
        <f t="shared" si="1"/>
        <v>2SH</v>
      </c>
      <c r="C59" s="33" t="str">
        <f t="shared" si="2"/>
        <v>25500-0000</v>
      </c>
      <c r="D59" s="64" t="s">
        <v>121</v>
      </c>
      <c r="E59" s="64" t="s">
        <v>122</v>
      </c>
      <c r="F59" s="64" t="s">
        <v>15</v>
      </c>
      <c r="G59" s="64" t="s">
        <v>123</v>
      </c>
      <c r="H59" s="64" t="s">
        <v>98</v>
      </c>
      <c r="I59" s="64" t="s">
        <v>124</v>
      </c>
      <c r="J59" s="67">
        <v>0</v>
      </c>
      <c r="K59" s="62">
        <v>-99996</v>
      </c>
      <c r="L59" s="33" t="e">
        <f>HLOOKUP(B59,#REF!,1,0)</f>
        <v>#REF!</v>
      </c>
      <c r="M59" s="33" t="str">
        <f t="shared" si="3"/>
        <v>BS</v>
      </c>
    </row>
    <row r="60" spans="1:13" s="33" customFormat="true" ht="12.75" customHeight="true">
      <c r="A60" s="33" t="str">
        <f t="shared" si="0"/>
        <v>2SH - Principal</v>
      </c>
      <c r="B60" s="33" t="str">
        <f t="shared" si="1"/>
        <v>2SH</v>
      </c>
      <c r="C60" s="33" t="str">
        <f t="shared" si="2"/>
        <v>26001-0000</v>
      </c>
      <c r="D60" s="64" t="s">
        <v>125</v>
      </c>
      <c r="E60" s="64" t="s">
        <v>126</v>
      </c>
      <c r="F60" s="64" t="s">
        <v>15</v>
      </c>
      <c r="G60" s="64" t="s">
        <v>97</v>
      </c>
      <c r="H60" s="64" t="s">
        <v>127</v>
      </c>
      <c r="I60" s="64" t="s">
        <v>128</v>
      </c>
      <c r="J60" s="67">
        <v>0</v>
      </c>
      <c r="K60" s="62">
        <v>-0.09</v>
      </c>
      <c r="L60" s="33" t="e">
        <f>HLOOKUP(B60,#REF!,1,0)</f>
        <v>#REF!</v>
      </c>
      <c r="M60" s="33" t="str">
        <f t="shared" si="3"/>
        <v>BS</v>
      </c>
    </row>
    <row r="61" spans="1:13" s="33" customFormat="true" ht="12.75" customHeight="true">
      <c r="A61" s="33" t="str">
        <f t="shared" si="0"/>
        <v>2SH - Principal</v>
      </c>
      <c r="B61" s="33" t="str">
        <f t="shared" si="1"/>
        <v>2SH</v>
      </c>
      <c r="C61" s="33" t="str">
        <f t="shared" si="2"/>
        <v>26500-0000</v>
      </c>
      <c r="D61" s="64" t="s">
        <v>129</v>
      </c>
      <c r="E61" s="64" t="s">
        <v>130</v>
      </c>
      <c r="F61" s="64" t="s">
        <v>15</v>
      </c>
      <c r="G61" s="64" t="s">
        <v>97</v>
      </c>
      <c r="H61" s="64" t="s">
        <v>127</v>
      </c>
      <c r="I61" s="64" t="s">
        <v>128</v>
      </c>
      <c r="J61" s="67">
        <v>0</v>
      </c>
      <c r="K61" s="62">
        <v>0</v>
      </c>
      <c r="L61" s="33" t="e">
        <f>HLOOKUP(B61,#REF!,1,0)</f>
        <v>#REF!</v>
      </c>
      <c r="M61" s="33" t="str">
        <f t="shared" si="3"/>
        <v>BS</v>
      </c>
    </row>
    <row r="62" spans="1:13" s="33" customFormat="true" ht="12.75" customHeight="true">
      <c r="A62" s="33" t="str">
        <f t="shared" si="0"/>
        <v>2SH - Principal</v>
      </c>
      <c r="B62" s="33" t="str">
        <f t="shared" si="1"/>
        <v>2SH</v>
      </c>
      <c r="C62" s="33" t="str">
        <f t="shared" si="2"/>
        <v>28002-0861</v>
      </c>
      <c r="D62" s="64" t="s">
        <v>131</v>
      </c>
      <c r="E62" s="64" t="s">
        <v>132</v>
      </c>
      <c r="F62" s="64" t="s">
        <v>15</v>
      </c>
      <c r="G62" s="64" t="s">
        <v>123</v>
      </c>
      <c r="H62" s="64" t="s">
        <v>127</v>
      </c>
      <c r="I62" s="64" t="s">
        <v>133</v>
      </c>
      <c r="J62" s="67">
        <v>0</v>
      </c>
      <c r="K62" s="62">
        <v>-1688.83</v>
      </c>
      <c r="L62" s="33" t="e">
        <f>HLOOKUP(B62,#REF!,1,0)</f>
        <v>#REF!</v>
      </c>
      <c r="M62" s="33" t="str">
        <f t="shared" si="3"/>
        <v>BS</v>
      </c>
    </row>
    <row r="63" spans="1:13" s="33" customFormat="true" ht="12.75" customHeight="true">
      <c r="A63" s="33" t="str">
        <f t="shared" si="0"/>
        <v>2SH - Principal</v>
      </c>
      <c r="B63" s="33" t="str">
        <f t="shared" si="1"/>
        <v>2SH</v>
      </c>
      <c r="C63" s="33" t="str">
        <f t="shared" si="2"/>
        <v>28002-0862</v>
      </c>
      <c r="D63" s="64" t="s">
        <v>134</v>
      </c>
      <c r="E63" s="64" t="s">
        <v>132</v>
      </c>
      <c r="F63" s="64" t="s">
        <v>15</v>
      </c>
      <c r="G63" s="64" t="s">
        <v>123</v>
      </c>
      <c r="H63" s="64" t="s">
        <v>127</v>
      </c>
      <c r="I63" s="64" t="s">
        <v>133</v>
      </c>
      <c r="J63" s="67">
        <v>0</v>
      </c>
      <c r="K63" s="62">
        <v>-209.61</v>
      </c>
      <c r="L63" s="33" t="e">
        <f>HLOOKUP(B63,#REF!,1,0)</f>
        <v>#REF!</v>
      </c>
      <c r="M63" s="33" t="str">
        <f t="shared" si="3"/>
        <v>BS</v>
      </c>
    </row>
    <row r="64" spans="1:13" s="33" customFormat="true" ht="12.75" customHeight="true">
      <c r="A64" s="33" t="str">
        <f t="shared" si="0"/>
        <v>2SH - Principal</v>
      </c>
      <c r="B64" s="33" t="str">
        <f t="shared" si="1"/>
        <v>2SH</v>
      </c>
      <c r="C64" s="33" t="str">
        <f t="shared" si="2"/>
        <v>28002-0864</v>
      </c>
      <c r="D64" s="64" t="s">
        <v>135</v>
      </c>
      <c r="E64" s="64" t="s">
        <v>132</v>
      </c>
      <c r="F64" s="64" t="s">
        <v>15</v>
      </c>
      <c r="G64" s="64" t="s">
        <v>123</v>
      </c>
      <c r="H64" s="64" t="s">
        <v>127</v>
      </c>
      <c r="I64" s="64" t="s">
        <v>133</v>
      </c>
      <c r="J64" s="67">
        <v>0</v>
      </c>
      <c r="K64" s="62">
        <v>-980.58</v>
      </c>
      <c r="L64" s="33" t="e">
        <f>HLOOKUP(B64,#REF!,1,0)</f>
        <v>#REF!</v>
      </c>
      <c r="M64" s="33" t="str">
        <f t="shared" si="3"/>
        <v>BS</v>
      </c>
    </row>
    <row r="65" spans="1:13" s="33" customFormat="true" ht="12.75" customHeight="true">
      <c r="A65" s="33" t="str">
        <f t="shared" si="0"/>
        <v>2SH - Principal</v>
      </c>
      <c r="B65" s="33" t="str">
        <f t="shared" si="1"/>
        <v>2SH</v>
      </c>
      <c r="C65" s="33" t="str">
        <f t="shared" si="2"/>
        <v>28002-0866</v>
      </c>
      <c r="D65" s="64" t="s">
        <v>136</v>
      </c>
      <c r="E65" s="64" t="s">
        <v>132</v>
      </c>
      <c r="F65" s="64" t="s">
        <v>15</v>
      </c>
      <c r="G65" s="64" t="s">
        <v>123</v>
      </c>
      <c r="H65" s="64" t="s">
        <v>127</v>
      </c>
      <c r="I65" s="64" t="s">
        <v>133</v>
      </c>
      <c r="J65" s="67">
        <v>0</v>
      </c>
      <c r="K65" s="62">
        <v>-1971</v>
      </c>
      <c r="L65" s="33" t="e">
        <f>HLOOKUP(B65,#REF!,1,0)</f>
        <v>#REF!</v>
      </c>
      <c r="M65" s="33" t="str">
        <f t="shared" si="3"/>
        <v>BS</v>
      </c>
    </row>
    <row r="66" spans="1:13" s="33" customFormat="true" ht="12.75" customHeight="true">
      <c r="A66" s="33" t="str">
        <f t="shared" ref="A66:A129" si="4">B66&amp;" - "&amp;TRIM(H66)</f>
        <v>2SH - Principal</v>
      </c>
      <c r="B66" s="33" t="str">
        <f t="shared" ref="B66:B129" si="5">LEFT(D66,3)</f>
        <v>2SH</v>
      </c>
      <c r="C66" s="33" t="str">
        <f t="shared" ref="C66:C129" si="6">RIGHT(D66,10)</f>
        <v>28002-7124</v>
      </c>
      <c r="D66" s="64" t="s">
        <v>137</v>
      </c>
      <c r="E66" s="64" t="s">
        <v>132</v>
      </c>
      <c r="F66" s="64" t="s">
        <v>15</v>
      </c>
      <c r="G66" s="64" t="s">
        <v>123</v>
      </c>
      <c r="H66" s="64" t="s">
        <v>127</v>
      </c>
      <c r="I66" s="64" t="s">
        <v>133</v>
      </c>
      <c r="J66" s="67">
        <v>0</v>
      </c>
      <c r="K66" s="62">
        <v>0.4</v>
      </c>
      <c r="L66" s="33" t="e">
        <f>HLOOKUP(B66,#REF!,1,0)</f>
        <v>#REF!</v>
      </c>
      <c r="M66" s="33" t="str">
        <f t="shared" ref="M66:M129" si="7">IF(VALUE(LEFT(C66,5))&gt;40000,"P&amp;L","BS")</f>
        <v>BS</v>
      </c>
    </row>
    <row r="67" spans="1:13" s="33" customFormat="true" ht="12.75" customHeight="true">
      <c r="A67" s="33" t="str">
        <f t="shared" si="4"/>
        <v>2SH - Principal</v>
      </c>
      <c r="B67" s="33" t="str">
        <f t="shared" si="5"/>
        <v>2SH</v>
      </c>
      <c r="C67" s="33" t="str">
        <f t="shared" si="6"/>
        <v>28004-0000</v>
      </c>
      <c r="D67" s="64" t="s">
        <v>138</v>
      </c>
      <c r="E67" s="64" t="s">
        <v>139</v>
      </c>
      <c r="F67" s="64" t="s">
        <v>15</v>
      </c>
      <c r="G67" s="64" t="s">
        <v>123</v>
      </c>
      <c r="H67" s="64" t="s">
        <v>127</v>
      </c>
      <c r="I67" s="64" t="s">
        <v>133</v>
      </c>
      <c r="J67" s="67">
        <v>13234.29</v>
      </c>
      <c r="K67" s="62">
        <v>125512.63</v>
      </c>
      <c r="L67" s="33" t="e">
        <f>HLOOKUP(B67,#REF!,1,0)</f>
        <v>#REF!</v>
      </c>
      <c r="M67" s="33" t="str">
        <f t="shared" si="7"/>
        <v>BS</v>
      </c>
    </row>
    <row r="68" spans="1:13" s="33" customFormat="true" ht="12.75" customHeight="true">
      <c r="A68" s="33" t="str">
        <f t="shared" si="4"/>
        <v>2SH - SH Dist</v>
      </c>
      <c r="B68" s="33" t="str">
        <f t="shared" si="5"/>
        <v>2SH</v>
      </c>
      <c r="C68" s="33" t="str">
        <f t="shared" si="6"/>
        <v>30001-0000</v>
      </c>
      <c r="D68" s="64" t="s">
        <v>140</v>
      </c>
      <c r="E68" s="64" t="s">
        <v>141</v>
      </c>
      <c r="F68" s="64" t="s">
        <v>15</v>
      </c>
      <c r="G68" s="64" t="s">
        <v>142</v>
      </c>
      <c r="H68" s="64" t="s">
        <v>143</v>
      </c>
      <c r="I68" s="64" t="s">
        <v>144</v>
      </c>
      <c r="J68" s="67">
        <v>220282.45</v>
      </c>
      <c r="K68" s="62">
        <v>-682182.55</v>
      </c>
      <c r="L68" s="33" t="e">
        <f>HLOOKUP(B68,#REF!,1,0)</f>
        <v>#REF!</v>
      </c>
      <c r="M68" s="33" t="str">
        <f t="shared" si="7"/>
        <v>BS</v>
      </c>
    </row>
    <row r="69" spans="1:13" s="33" customFormat="true" ht="12.75" customHeight="true">
      <c r="A69" s="33" t="str">
        <f t="shared" si="4"/>
        <v>2SH - SH Dist</v>
      </c>
      <c r="B69" s="33" t="str">
        <f t="shared" si="5"/>
        <v>2SH</v>
      </c>
      <c r="C69" s="33" t="str">
        <f t="shared" si="6"/>
        <v>30101-0000</v>
      </c>
      <c r="D69" s="64" t="s">
        <v>145</v>
      </c>
      <c r="E69" s="64" t="s">
        <v>146</v>
      </c>
      <c r="F69" s="64" t="s">
        <v>15</v>
      </c>
      <c r="G69" s="64" t="s">
        <v>142</v>
      </c>
      <c r="H69" s="64" t="s">
        <v>143</v>
      </c>
      <c r="I69" s="64" t="s">
        <v>144</v>
      </c>
      <c r="J69" s="67">
        <v>0</v>
      </c>
      <c r="K69" s="62">
        <v>-43260</v>
      </c>
      <c r="L69" s="33" t="e">
        <f>HLOOKUP(B69,#REF!,1,0)</f>
        <v>#REF!</v>
      </c>
      <c r="M69" s="33" t="str">
        <f t="shared" si="7"/>
        <v>BS</v>
      </c>
    </row>
    <row r="70" spans="1:13" s="33" customFormat="true" ht="12.75" customHeight="true">
      <c r="A70" s="33" t="str">
        <f t="shared" si="4"/>
        <v>2SH - Retained Earnings</v>
      </c>
      <c r="B70" s="33" t="str">
        <f t="shared" si="5"/>
        <v>2SH</v>
      </c>
      <c r="C70" s="33" t="str">
        <f t="shared" si="6"/>
        <v>32000-0000</v>
      </c>
      <c r="D70" s="64" t="s">
        <v>147</v>
      </c>
      <c r="E70" s="64" t="s">
        <v>148</v>
      </c>
      <c r="F70" s="64" t="s">
        <v>15</v>
      </c>
      <c r="G70" s="64" t="s">
        <v>142</v>
      </c>
      <c r="H70" s="64" t="s">
        <v>149</v>
      </c>
      <c r="I70" s="64" t="s">
        <v>150</v>
      </c>
      <c r="J70" s="67">
        <v>0</v>
      </c>
      <c r="K70" s="62">
        <v>-742609.66</v>
      </c>
      <c r="L70" s="33" t="e">
        <f>HLOOKUP(B70,#REF!,1,0)</f>
        <v>#REF!</v>
      </c>
      <c r="M70" s="33" t="str">
        <f t="shared" si="7"/>
        <v>BS</v>
      </c>
    </row>
    <row r="71" spans="1:13" s="33" customFormat="true" ht="12.75" customHeight="true">
      <c r="A71" s="33" t="str">
        <f t="shared" si="4"/>
        <v>2SH - SH Dist</v>
      </c>
      <c r="B71" s="33" t="str">
        <f t="shared" si="5"/>
        <v>2SH</v>
      </c>
      <c r="C71" s="33" t="str">
        <f t="shared" si="6"/>
        <v>37002-0000</v>
      </c>
      <c r="D71" s="64" t="s">
        <v>151</v>
      </c>
      <c r="E71" s="64" t="s">
        <v>152</v>
      </c>
      <c r="F71" s="64" t="s">
        <v>15</v>
      </c>
      <c r="G71" s="64" t="s">
        <v>142</v>
      </c>
      <c r="H71" s="64" t="s">
        <v>143</v>
      </c>
      <c r="I71" s="64" t="s">
        <v>144</v>
      </c>
      <c r="J71" s="67">
        <v>-110091.23</v>
      </c>
      <c r="K71" s="62">
        <v>418346.57</v>
      </c>
      <c r="L71" s="33" t="e">
        <f>HLOOKUP(B71,#REF!,1,0)</f>
        <v>#REF!</v>
      </c>
      <c r="M71" s="33" t="str">
        <f t="shared" si="7"/>
        <v>BS</v>
      </c>
    </row>
    <row r="72" spans="1:13" s="33" customFormat="true" ht="12.75" customHeight="true">
      <c r="A72" s="33" t="str">
        <f t="shared" si="4"/>
        <v>2SH - SH Dist</v>
      </c>
      <c r="B72" s="33" t="str">
        <f t="shared" si="5"/>
        <v>2SH</v>
      </c>
      <c r="C72" s="33" t="str">
        <f t="shared" si="6"/>
        <v>37003-0000</v>
      </c>
      <c r="D72" s="64" t="s">
        <v>153</v>
      </c>
      <c r="E72" s="64" t="s">
        <v>154</v>
      </c>
      <c r="F72" s="64" t="s">
        <v>15</v>
      </c>
      <c r="G72" s="64" t="s">
        <v>142</v>
      </c>
      <c r="H72" s="64" t="s">
        <v>143</v>
      </c>
      <c r="I72" s="64" t="s">
        <v>144</v>
      </c>
      <c r="J72" s="67">
        <v>10070.02</v>
      </c>
      <c r="K72" s="62">
        <v>58406.59</v>
      </c>
      <c r="L72" s="33" t="e">
        <f>HLOOKUP(B72,#REF!,1,0)</f>
        <v>#REF!</v>
      </c>
      <c r="M72" s="33" t="str">
        <f t="shared" si="7"/>
        <v>BS</v>
      </c>
    </row>
    <row r="73" spans="1:13" s="33" customFormat="true" ht="12.75" customHeight="true">
      <c r="A73" s="33" t="str">
        <f t="shared" si="4"/>
        <v>2SH - SH Dist</v>
      </c>
      <c r="B73" s="33" t="str">
        <f t="shared" si="5"/>
        <v>2SH</v>
      </c>
      <c r="C73" s="33" t="str">
        <f t="shared" si="6"/>
        <v>37006-0000</v>
      </c>
      <c r="D73" s="64" t="s">
        <v>155</v>
      </c>
      <c r="E73" s="64" t="s">
        <v>156</v>
      </c>
      <c r="F73" s="64" t="s">
        <v>15</v>
      </c>
      <c r="G73" s="64" t="s">
        <v>142</v>
      </c>
      <c r="H73" s="64" t="s">
        <v>143</v>
      </c>
      <c r="I73" s="64" t="s">
        <v>144</v>
      </c>
      <c r="J73" s="67">
        <v>637.5</v>
      </c>
      <c r="K73" s="62">
        <v>-99080.5</v>
      </c>
      <c r="L73" s="33" t="e">
        <f>HLOOKUP(B73,#REF!,1,0)</f>
        <v>#REF!</v>
      </c>
      <c r="M73" s="33" t="str">
        <f t="shared" si="7"/>
        <v>BS</v>
      </c>
    </row>
    <row r="74" spans="1:13" s="33" customFormat="true" ht="12.75" customHeight="true">
      <c r="A74" s="33" t="str">
        <f t="shared" si="4"/>
        <v>2SH - SH Dist</v>
      </c>
      <c r="B74" s="33" t="str">
        <f t="shared" si="5"/>
        <v>2SH</v>
      </c>
      <c r="C74" s="33" t="str">
        <f t="shared" si="6"/>
        <v>37007-0000</v>
      </c>
      <c r="D74" s="64" t="s">
        <v>157</v>
      </c>
      <c r="E74" s="64" t="s">
        <v>158</v>
      </c>
      <c r="F74" s="64" t="s">
        <v>15</v>
      </c>
      <c r="G74" s="64" t="s">
        <v>142</v>
      </c>
      <c r="H74" s="64" t="s">
        <v>143</v>
      </c>
      <c r="I74" s="64" t="s">
        <v>144</v>
      </c>
      <c r="J74" s="67">
        <v>4101.25</v>
      </c>
      <c r="K74" s="62">
        <v>23786.75</v>
      </c>
      <c r="L74" s="33" t="e">
        <f>HLOOKUP(B74,#REF!,1,0)</f>
        <v>#REF!</v>
      </c>
      <c r="M74" s="33" t="str">
        <f t="shared" si="7"/>
        <v>BS</v>
      </c>
    </row>
    <row r="75" spans="1:13" s="33" customFormat="true" ht="12.75" customHeight="true">
      <c r="A75" s="33" t="str">
        <f t="shared" si="4"/>
        <v>2SH - SH Dist</v>
      </c>
      <c r="B75" s="33" t="str">
        <f t="shared" si="5"/>
        <v>2SH</v>
      </c>
      <c r="C75" s="33" t="str">
        <f t="shared" si="6"/>
        <v>37008-0000</v>
      </c>
      <c r="D75" s="64" t="s">
        <v>159</v>
      </c>
      <c r="E75" s="64" t="s">
        <v>160</v>
      </c>
      <c r="F75" s="64" t="s">
        <v>15</v>
      </c>
      <c r="G75" s="64" t="s">
        <v>142</v>
      </c>
      <c r="H75" s="64" t="s">
        <v>143</v>
      </c>
      <c r="I75" s="64" t="s">
        <v>144</v>
      </c>
      <c r="J75" s="67">
        <v>0</v>
      </c>
      <c r="K75" s="62">
        <v>200</v>
      </c>
      <c r="L75" s="33" t="e">
        <f>HLOOKUP(B75,#REF!,1,0)</f>
        <v>#REF!</v>
      </c>
      <c r="M75" s="33" t="str">
        <f t="shared" si="7"/>
        <v>BS</v>
      </c>
    </row>
    <row r="76" spans="1:13" s="33" customFormat="true" ht="12.75" customHeight="true">
      <c r="A76" s="33" t="str">
        <f t="shared" si="4"/>
        <v>3SI - Inventory</v>
      </c>
      <c r="B76" s="33" t="str">
        <f t="shared" si="5"/>
        <v>3SI</v>
      </c>
      <c r="C76" s="33" t="str">
        <f t="shared" si="6"/>
        <v>10005-0863</v>
      </c>
      <c r="D76" s="64" t="s">
        <v>161</v>
      </c>
      <c r="E76" s="64" t="s">
        <v>14</v>
      </c>
      <c r="F76" s="64" t="s">
        <v>15</v>
      </c>
      <c r="G76" s="64" t="s">
        <v>16</v>
      </c>
      <c r="H76" s="64" t="s">
        <v>17</v>
      </c>
      <c r="I76" s="64" t="s">
        <v>18</v>
      </c>
      <c r="J76" s="67">
        <v>0</v>
      </c>
      <c r="K76" s="62">
        <v>1500</v>
      </c>
      <c r="L76" s="33" t="e">
        <f>HLOOKUP(B76,#REF!,1,0)</f>
        <v>#REF!</v>
      </c>
      <c r="M76" s="33" t="str">
        <f t="shared" si="7"/>
        <v>BS</v>
      </c>
    </row>
    <row r="77" spans="1:13" s="33" customFormat="true" ht="12.75" customHeight="true">
      <c r="A77" s="33" t="str">
        <f t="shared" si="4"/>
        <v>3SI - Inventory</v>
      </c>
      <c r="B77" s="33" t="str">
        <f t="shared" si="5"/>
        <v>3SI</v>
      </c>
      <c r="C77" s="33" t="str">
        <f t="shared" si="6"/>
        <v>10005-0865</v>
      </c>
      <c r="D77" s="64" t="s">
        <v>162</v>
      </c>
      <c r="E77" s="64" t="s">
        <v>14</v>
      </c>
      <c r="F77" s="64" t="s">
        <v>15</v>
      </c>
      <c r="G77" s="64" t="s">
        <v>16</v>
      </c>
      <c r="H77" s="64" t="s">
        <v>17</v>
      </c>
      <c r="I77" s="64" t="s">
        <v>18</v>
      </c>
      <c r="J77" s="67">
        <v>0</v>
      </c>
      <c r="K77" s="62">
        <v>0</v>
      </c>
      <c r="L77" s="33" t="e">
        <f>HLOOKUP(B77,#REF!,1,0)</f>
        <v>#REF!</v>
      </c>
      <c r="M77" s="33" t="str">
        <f t="shared" si="7"/>
        <v>BS</v>
      </c>
    </row>
    <row r="78" spans="1:13" s="33" customFormat="true" ht="12.75" customHeight="true">
      <c r="A78" s="33" t="str">
        <f t="shared" si="4"/>
        <v>3SI - Inventory</v>
      </c>
      <c r="B78" s="33" t="str">
        <f t="shared" si="5"/>
        <v>3SI</v>
      </c>
      <c r="C78" s="33" t="str">
        <f t="shared" si="6"/>
        <v>10005-7466</v>
      </c>
      <c r="D78" s="64" t="s">
        <v>163</v>
      </c>
      <c r="E78" s="64" t="s">
        <v>14</v>
      </c>
      <c r="F78" s="64" t="s">
        <v>15</v>
      </c>
      <c r="G78" s="64" t="s">
        <v>16</v>
      </c>
      <c r="H78" s="64" t="s">
        <v>17</v>
      </c>
      <c r="I78" s="64" t="s">
        <v>18</v>
      </c>
      <c r="J78" s="67">
        <v>0</v>
      </c>
      <c r="K78" s="62">
        <v>1000</v>
      </c>
      <c r="L78" s="33" t="e">
        <f>HLOOKUP(B78,#REF!,1,0)</f>
        <v>#REF!</v>
      </c>
      <c r="M78" s="33" t="str">
        <f t="shared" si="7"/>
        <v>BS</v>
      </c>
    </row>
    <row r="79" spans="1:13" s="33" customFormat="true" ht="12.75" customHeight="true">
      <c r="A79" s="33" t="str">
        <f t="shared" si="4"/>
        <v>3SI - Inventory</v>
      </c>
      <c r="B79" s="33" t="str">
        <f t="shared" si="5"/>
        <v>3SI</v>
      </c>
      <c r="C79" s="33" t="str">
        <f t="shared" si="6"/>
        <v>10005-7780</v>
      </c>
      <c r="D79" s="64" t="s">
        <v>164</v>
      </c>
      <c r="E79" s="64" t="s">
        <v>14</v>
      </c>
      <c r="F79" s="64" t="s">
        <v>15</v>
      </c>
      <c r="G79" s="64" t="s">
        <v>16</v>
      </c>
      <c r="H79" s="64" t="s">
        <v>17</v>
      </c>
      <c r="I79" s="64" t="s">
        <v>18</v>
      </c>
      <c r="J79" s="67">
        <v>0</v>
      </c>
      <c r="K79" s="62">
        <v>1400</v>
      </c>
      <c r="L79" s="33" t="e">
        <f>HLOOKUP(B79,#REF!,1,0)</f>
        <v>#REF!</v>
      </c>
      <c r="M79" s="33" t="str">
        <f t="shared" si="7"/>
        <v>BS</v>
      </c>
    </row>
    <row r="80" spans="1:13" s="33" customFormat="true" ht="12.75" customHeight="true">
      <c r="A80" s="33" t="str">
        <f t="shared" si="4"/>
        <v>3SI - Cash</v>
      </c>
      <c r="B80" s="33" t="str">
        <f t="shared" si="5"/>
        <v>3SI</v>
      </c>
      <c r="C80" s="33" t="str">
        <f t="shared" si="6"/>
        <v>10021-0000</v>
      </c>
      <c r="D80" s="64" t="s">
        <v>165</v>
      </c>
      <c r="E80" s="64" t="s">
        <v>24</v>
      </c>
      <c r="F80" s="64" t="s">
        <v>15</v>
      </c>
      <c r="G80" s="64" t="s">
        <v>16</v>
      </c>
      <c r="H80" s="64" t="s">
        <v>25</v>
      </c>
      <c r="I80" s="64" t="s">
        <v>18</v>
      </c>
      <c r="J80" s="67">
        <v>-13257.04</v>
      </c>
      <c r="K80" s="62">
        <v>-23166.43</v>
      </c>
      <c r="L80" s="33" t="e">
        <f>HLOOKUP(B80,#REF!,1,0)</f>
        <v>#REF!</v>
      </c>
      <c r="M80" s="33" t="str">
        <f t="shared" si="7"/>
        <v>BS</v>
      </c>
    </row>
    <row r="81" spans="1:13" s="33" customFormat="true" ht="12.75" customHeight="true">
      <c r="A81" s="33" t="str">
        <f t="shared" si="4"/>
        <v>3SI - Cash</v>
      </c>
      <c r="B81" s="33" t="str">
        <f t="shared" si="5"/>
        <v>3SI</v>
      </c>
      <c r="C81" s="33" t="str">
        <f t="shared" si="6"/>
        <v>10023-0000</v>
      </c>
      <c r="D81" s="64" t="s">
        <v>166</v>
      </c>
      <c r="E81" s="64" t="s">
        <v>27</v>
      </c>
      <c r="F81" s="64" t="s">
        <v>15</v>
      </c>
      <c r="G81" s="64" t="s">
        <v>16</v>
      </c>
      <c r="H81" s="64" t="s">
        <v>25</v>
      </c>
      <c r="I81" s="64" t="s">
        <v>18</v>
      </c>
      <c r="J81" s="67">
        <v>-2655.81</v>
      </c>
      <c r="K81" s="62">
        <v>17452.04</v>
      </c>
      <c r="L81" s="33" t="e">
        <f>HLOOKUP(B81,#REF!,1,0)</f>
        <v>#REF!</v>
      </c>
      <c r="M81" s="33" t="str">
        <f t="shared" si="7"/>
        <v>BS</v>
      </c>
    </row>
    <row r="82" spans="1:13" s="33" customFormat="true" ht="12.75" customHeight="true">
      <c r="A82" s="33" t="str">
        <f t="shared" si="4"/>
        <v>3SI - Cash</v>
      </c>
      <c r="B82" s="33" t="str">
        <f t="shared" si="5"/>
        <v>3SI</v>
      </c>
      <c r="C82" s="33" t="str">
        <f t="shared" si="6"/>
        <v>10025-0000</v>
      </c>
      <c r="D82" s="64" t="s">
        <v>167</v>
      </c>
      <c r="E82" s="64" t="s">
        <v>168</v>
      </c>
      <c r="F82" s="64" t="s">
        <v>15</v>
      </c>
      <c r="G82" s="64" t="s">
        <v>16</v>
      </c>
      <c r="H82" s="64" t="s">
        <v>25</v>
      </c>
      <c r="I82" s="64" t="s">
        <v>18</v>
      </c>
      <c r="J82" s="67">
        <v>0</v>
      </c>
      <c r="K82" s="62">
        <v>1750.14</v>
      </c>
      <c r="L82" s="33" t="e">
        <f>HLOOKUP(B82,#REF!,1,0)</f>
        <v>#REF!</v>
      </c>
      <c r="M82" s="33" t="str">
        <f t="shared" si="7"/>
        <v>BS</v>
      </c>
    </row>
    <row r="83" spans="1:13" s="33" customFormat="true" ht="12.75" customHeight="true">
      <c r="A83" s="33" t="str">
        <f t="shared" si="4"/>
        <v>3SI - AR-PPD</v>
      </c>
      <c r="B83" s="33" t="str">
        <f t="shared" si="5"/>
        <v>3SI</v>
      </c>
      <c r="C83" s="33" t="str">
        <f t="shared" si="6"/>
        <v>11100-0000</v>
      </c>
      <c r="D83" s="64" t="s">
        <v>169</v>
      </c>
      <c r="E83" s="64" t="s">
        <v>34</v>
      </c>
      <c r="F83" s="64" t="s">
        <v>15</v>
      </c>
      <c r="G83" s="64" t="s">
        <v>16</v>
      </c>
      <c r="H83" s="64" t="s">
        <v>35</v>
      </c>
      <c r="I83" s="64" t="s">
        <v>36</v>
      </c>
      <c r="J83" s="67">
        <v>0</v>
      </c>
      <c r="K83" s="62">
        <v>24226.64</v>
      </c>
      <c r="L83" s="33" t="e">
        <f>HLOOKUP(B83,#REF!,1,0)</f>
        <v>#REF!</v>
      </c>
      <c r="M83" s="33" t="str">
        <f t="shared" si="7"/>
        <v>BS</v>
      </c>
    </row>
    <row r="84" spans="1:13" s="33" customFormat="true" ht="12.75" customHeight="true">
      <c r="A84" s="33" t="str">
        <f t="shared" si="4"/>
        <v>3SI - Intercompany</v>
      </c>
      <c r="B84" s="33" t="str">
        <f t="shared" si="5"/>
        <v>3SI</v>
      </c>
      <c r="C84" s="33" t="str">
        <f t="shared" si="6"/>
        <v>11200-0000</v>
      </c>
      <c r="D84" s="64" t="s">
        <v>170</v>
      </c>
      <c r="E84" s="64" t="s">
        <v>38</v>
      </c>
      <c r="F84" s="64" t="s">
        <v>15</v>
      </c>
      <c r="G84" s="64" t="s">
        <v>16</v>
      </c>
      <c r="H84" s="64" t="s">
        <v>39</v>
      </c>
      <c r="I84" s="64" t="s">
        <v>40</v>
      </c>
      <c r="J84" s="67">
        <v>0</v>
      </c>
      <c r="K84" s="62">
        <v>-469200.49</v>
      </c>
      <c r="L84" s="33" t="e">
        <f>HLOOKUP(B84,#REF!,1,0)</f>
        <v>#REF!</v>
      </c>
      <c r="M84" s="33" t="str">
        <f t="shared" si="7"/>
        <v>BS</v>
      </c>
    </row>
    <row r="85" spans="1:13" s="33" customFormat="true" ht="12.75" customHeight="true">
      <c r="A85" s="33" t="str">
        <f t="shared" si="4"/>
        <v>3SI - Intercompany</v>
      </c>
      <c r="B85" s="33" t="str">
        <f t="shared" si="5"/>
        <v>3SI</v>
      </c>
      <c r="C85" s="33" t="str">
        <f t="shared" si="6"/>
        <v>11217-0000</v>
      </c>
      <c r="D85" s="64" t="s">
        <v>171</v>
      </c>
      <c r="E85" s="64" t="s">
        <v>172</v>
      </c>
      <c r="F85" s="64" t="s">
        <v>15</v>
      </c>
      <c r="G85" s="64" t="s">
        <v>16</v>
      </c>
      <c r="H85" s="64" t="s">
        <v>39</v>
      </c>
      <c r="I85" s="64" t="s">
        <v>40</v>
      </c>
      <c r="J85" s="67">
        <v>-11058.83</v>
      </c>
      <c r="K85" s="62">
        <v>2839525.39</v>
      </c>
      <c r="L85" s="33" t="e">
        <f>HLOOKUP(B85,#REF!,1,0)</f>
        <v>#REF!</v>
      </c>
      <c r="M85" s="33" t="str">
        <f t="shared" si="7"/>
        <v>BS</v>
      </c>
    </row>
    <row r="86" spans="1:13" s="33" customFormat="true" ht="12.75" customHeight="true">
      <c r="A86" s="33" t="str">
        <f t="shared" si="4"/>
        <v>3SI - Intercompany</v>
      </c>
      <c r="B86" s="33" t="str">
        <f t="shared" si="5"/>
        <v>3SI</v>
      </c>
      <c r="C86" s="33" t="str">
        <f t="shared" si="6"/>
        <v>11222-0000</v>
      </c>
      <c r="D86" s="64" t="s">
        <v>173</v>
      </c>
      <c r="E86" s="64" t="s">
        <v>44</v>
      </c>
      <c r="F86" s="64" t="s">
        <v>15</v>
      </c>
      <c r="G86" s="64" t="s">
        <v>16</v>
      </c>
      <c r="H86" s="64" t="s">
        <v>39</v>
      </c>
      <c r="I86" s="64" t="s">
        <v>40</v>
      </c>
      <c r="J86" s="67">
        <v>163.75</v>
      </c>
      <c r="K86" s="62">
        <v>18887.44</v>
      </c>
      <c r="L86" s="33" t="e">
        <f>HLOOKUP(B86,#REF!,1,0)</f>
        <v>#REF!</v>
      </c>
      <c r="M86" s="33" t="str">
        <f t="shared" si="7"/>
        <v>BS</v>
      </c>
    </row>
    <row r="87" spans="1:13" s="33" customFormat="true" ht="12.75" customHeight="true">
      <c r="A87" s="33" t="str">
        <f t="shared" si="4"/>
        <v>3SI - Intercompany</v>
      </c>
      <c r="B87" s="33" t="str">
        <f t="shared" si="5"/>
        <v>3SI</v>
      </c>
      <c r="C87" s="33" t="str">
        <f t="shared" si="6"/>
        <v>11223-0000</v>
      </c>
      <c r="D87" s="64" t="s">
        <v>174</v>
      </c>
      <c r="E87" s="64" t="s">
        <v>46</v>
      </c>
      <c r="F87" s="64" t="s">
        <v>15</v>
      </c>
      <c r="G87" s="64" t="s">
        <v>16</v>
      </c>
      <c r="H87" s="64" t="s">
        <v>39</v>
      </c>
      <c r="I87" s="64" t="s">
        <v>40</v>
      </c>
      <c r="J87" s="67">
        <v>-32972.97</v>
      </c>
      <c r="K87" s="62">
        <v>-8746.84</v>
      </c>
      <c r="L87" s="33" t="e">
        <f>HLOOKUP(B87,#REF!,1,0)</f>
        <v>#REF!</v>
      </c>
      <c r="M87" s="33" t="str">
        <f t="shared" si="7"/>
        <v>BS</v>
      </c>
    </row>
    <row r="88" spans="1:13" s="33" customFormat="true" ht="12.75" customHeight="true">
      <c r="A88" s="33" t="str">
        <f t="shared" si="4"/>
        <v>3SI - AR-PPD</v>
      </c>
      <c r="B88" s="33" t="str">
        <f t="shared" si="5"/>
        <v>3SI</v>
      </c>
      <c r="C88" s="33" t="str">
        <f t="shared" si="6"/>
        <v>11501-0000</v>
      </c>
      <c r="D88" s="64" t="s">
        <v>175</v>
      </c>
      <c r="E88" s="64" t="s">
        <v>48</v>
      </c>
      <c r="F88" s="64" t="s">
        <v>15</v>
      </c>
      <c r="G88" s="64" t="s">
        <v>16</v>
      </c>
      <c r="H88" s="64" t="s">
        <v>35</v>
      </c>
      <c r="I88" s="64" t="s">
        <v>36</v>
      </c>
      <c r="J88" s="67">
        <v>0</v>
      </c>
      <c r="K88" s="62">
        <v>82222</v>
      </c>
      <c r="L88" s="33" t="e">
        <f>HLOOKUP(B88,#REF!,1,0)</f>
        <v>#REF!</v>
      </c>
      <c r="M88" s="33" t="str">
        <f t="shared" si="7"/>
        <v>BS</v>
      </c>
    </row>
    <row r="89" spans="1:13" s="33" customFormat="true" ht="12.75" customHeight="true">
      <c r="A89" s="33" t="str">
        <f t="shared" si="4"/>
        <v>3SI - Inventory</v>
      </c>
      <c r="B89" s="33" t="str">
        <f t="shared" si="5"/>
        <v>3SI</v>
      </c>
      <c r="C89" s="33" t="str">
        <f t="shared" si="6"/>
        <v>13100-0863</v>
      </c>
      <c r="D89" s="64" t="s">
        <v>176</v>
      </c>
      <c r="E89" s="64" t="s">
        <v>50</v>
      </c>
      <c r="F89" s="64" t="s">
        <v>15</v>
      </c>
      <c r="G89" s="64" t="s">
        <v>16</v>
      </c>
      <c r="H89" s="64" t="s">
        <v>17</v>
      </c>
      <c r="I89" s="64" t="s">
        <v>51</v>
      </c>
      <c r="J89" s="67">
        <v>-1798</v>
      </c>
      <c r="K89" s="62">
        <v>8968</v>
      </c>
      <c r="L89" s="33" t="e">
        <f>HLOOKUP(B89,#REF!,1,0)</f>
        <v>#REF!</v>
      </c>
      <c r="M89" s="33" t="str">
        <f t="shared" si="7"/>
        <v>BS</v>
      </c>
    </row>
    <row r="90" spans="1:13" s="33" customFormat="true" ht="12.75" customHeight="true">
      <c r="A90" s="33" t="str">
        <f t="shared" si="4"/>
        <v>3SI - Inventory</v>
      </c>
      <c r="B90" s="33" t="str">
        <f t="shared" si="5"/>
        <v>3SI</v>
      </c>
      <c r="C90" s="33" t="str">
        <f t="shared" si="6"/>
        <v>13100-7466</v>
      </c>
      <c r="D90" s="64" t="s">
        <v>177</v>
      </c>
      <c r="E90" s="64" t="s">
        <v>50</v>
      </c>
      <c r="F90" s="64" t="s">
        <v>15</v>
      </c>
      <c r="G90" s="64" t="s">
        <v>16</v>
      </c>
      <c r="H90" s="64" t="s">
        <v>17</v>
      </c>
      <c r="I90" s="64" t="s">
        <v>51</v>
      </c>
      <c r="J90" s="67">
        <v>2442</v>
      </c>
      <c r="K90" s="62">
        <v>9390</v>
      </c>
      <c r="L90" s="33" t="e">
        <f>HLOOKUP(B90,#REF!,1,0)</f>
        <v>#REF!</v>
      </c>
      <c r="M90" s="33" t="str">
        <f t="shared" si="7"/>
        <v>BS</v>
      </c>
    </row>
    <row r="91" spans="1:13" s="33" customFormat="true" ht="12.75" customHeight="true">
      <c r="A91" s="33" t="str">
        <f t="shared" si="4"/>
        <v>3SI - Inventory</v>
      </c>
      <c r="B91" s="33" t="str">
        <f t="shared" si="5"/>
        <v>3SI</v>
      </c>
      <c r="C91" s="33" t="str">
        <f t="shared" si="6"/>
        <v>13100-7780</v>
      </c>
      <c r="D91" s="64" t="s">
        <v>178</v>
      </c>
      <c r="E91" s="64" t="s">
        <v>50</v>
      </c>
      <c r="F91" s="64" t="s">
        <v>15</v>
      </c>
      <c r="G91" s="64" t="s">
        <v>16</v>
      </c>
      <c r="H91" s="64" t="s">
        <v>17</v>
      </c>
      <c r="I91" s="64" t="s">
        <v>51</v>
      </c>
      <c r="J91" s="67">
        <v>-2293</v>
      </c>
      <c r="K91" s="62">
        <v>6754</v>
      </c>
      <c r="L91" s="33" t="e">
        <f>HLOOKUP(B91,#REF!,1,0)</f>
        <v>#REF!</v>
      </c>
      <c r="M91" s="33" t="str">
        <f t="shared" si="7"/>
        <v>BS</v>
      </c>
    </row>
    <row r="92" spans="1:13" s="33" customFormat="true" ht="12.75" customHeight="true">
      <c r="A92" s="33" t="str">
        <f t="shared" si="4"/>
        <v>3SI - AR-PPD</v>
      </c>
      <c r="B92" s="33" t="str">
        <f t="shared" si="5"/>
        <v>3SI</v>
      </c>
      <c r="C92" s="33" t="str">
        <f t="shared" si="6"/>
        <v>15002-0000</v>
      </c>
      <c r="D92" s="64" t="s">
        <v>179</v>
      </c>
      <c r="E92" s="64" t="s">
        <v>56</v>
      </c>
      <c r="F92" s="64" t="s">
        <v>15</v>
      </c>
      <c r="G92" s="64" t="s">
        <v>16</v>
      </c>
      <c r="H92" s="64" t="s">
        <v>35</v>
      </c>
      <c r="I92" s="64" t="s">
        <v>57</v>
      </c>
      <c r="J92" s="67">
        <v>0</v>
      </c>
      <c r="K92" s="62">
        <v>0.42</v>
      </c>
      <c r="L92" s="33" t="e">
        <f>HLOOKUP(B92,#REF!,1,0)</f>
        <v>#REF!</v>
      </c>
      <c r="M92" s="33" t="str">
        <f t="shared" si="7"/>
        <v>BS</v>
      </c>
    </row>
    <row r="93" spans="1:13" s="33" customFormat="true" ht="12.75" customHeight="true">
      <c r="A93" s="33" t="str">
        <f t="shared" si="4"/>
        <v>3SI - AR-PPD</v>
      </c>
      <c r="B93" s="33" t="str">
        <f t="shared" si="5"/>
        <v>3SI</v>
      </c>
      <c r="C93" s="33" t="str">
        <f t="shared" si="6"/>
        <v>15005-0000</v>
      </c>
      <c r="D93" s="64" t="s">
        <v>180</v>
      </c>
      <c r="E93" s="64" t="s">
        <v>59</v>
      </c>
      <c r="F93" s="64" t="s">
        <v>15</v>
      </c>
      <c r="G93" s="64" t="s">
        <v>16</v>
      </c>
      <c r="H93" s="64" t="s">
        <v>35</v>
      </c>
      <c r="I93" s="64" t="s">
        <v>57</v>
      </c>
      <c r="J93" s="67">
        <v>0</v>
      </c>
      <c r="K93" s="62">
        <v>7688.65</v>
      </c>
      <c r="L93" s="33" t="e">
        <f>HLOOKUP(B93,#REF!,1,0)</f>
        <v>#REF!</v>
      </c>
      <c r="M93" s="33" t="str">
        <f t="shared" si="7"/>
        <v>BS</v>
      </c>
    </row>
    <row r="94" spans="1:13" s="33" customFormat="true" ht="12.75" customHeight="true">
      <c r="A94" s="33" t="str">
        <f t="shared" si="4"/>
        <v>3SI - Fixed Assets</v>
      </c>
      <c r="B94" s="33" t="str">
        <f t="shared" si="5"/>
        <v>3SI</v>
      </c>
      <c r="C94" s="33" t="str">
        <f t="shared" si="6"/>
        <v>16101-0863</v>
      </c>
      <c r="D94" s="64" t="s">
        <v>181</v>
      </c>
      <c r="E94" s="64" t="s">
        <v>61</v>
      </c>
      <c r="F94" s="64" t="s">
        <v>15</v>
      </c>
      <c r="G94" s="64" t="s">
        <v>62</v>
      </c>
      <c r="H94" s="64" t="s">
        <v>63</v>
      </c>
      <c r="I94" s="64" t="s">
        <v>64</v>
      </c>
      <c r="J94" s="67">
        <v>0</v>
      </c>
      <c r="K94" s="62">
        <v>134088.16</v>
      </c>
      <c r="L94" s="33" t="e">
        <f>HLOOKUP(B94,#REF!,1,0)</f>
        <v>#REF!</v>
      </c>
      <c r="M94" s="33" t="str">
        <f t="shared" si="7"/>
        <v>BS</v>
      </c>
    </row>
    <row r="95" spans="1:13" s="33" customFormat="true" ht="12.75" customHeight="true">
      <c r="A95" s="33" t="str">
        <f t="shared" si="4"/>
        <v>3SI - Fixed Assets</v>
      </c>
      <c r="B95" s="33" t="str">
        <f t="shared" si="5"/>
        <v>3SI</v>
      </c>
      <c r="C95" s="33" t="str">
        <f t="shared" si="6"/>
        <v>16101-0865</v>
      </c>
      <c r="D95" s="64" t="s">
        <v>182</v>
      </c>
      <c r="E95" s="64" t="s">
        <v>61</v>
      </c>
      <c r="F95" s="64" t="s">
        <v>15</v>
      </c>
      <c r="G95" s="64" t="s">
        <v>62</v>
      </c>
      <c r="H95" s="64" t="s">
        <v>63</v>
      </c>
      <c r="I95" s="64" t="s">
        <v>64</v>
      </c>
      <c r="J95" s="67">
        <v>0</v>
      </c>
      <c r="K95" s="62">
        <v>-0.31</v>
      </c>
      <c r="L95" s="33" t="e">
        <f>HLOOKUP(B95,#REF!,1,0)</f>
        <v>#REF!</v>
      </c>
      <c r="M95" s="33" t="str">
        <f t="shared" si="7"/>
        <v>BS</v>
      </c>
    </row>
    <row r="96" spans="1:13" s="33" customFormat="true" ht="12.75" customHeight="true">
      <c r="A96" s="33" t="str">
        <f t="shared" si="4"/>
        <v>3SI - Fixed Assets</v>
      </c>
      <c r="B96" s="33" t="str">
        <f t="shared" si="5"/>
        <v>3SI</v>
      </c>
      <c r="C96" s="33" t="str">
        <f t="shared" si="6"/>
        <v>16101-7466</v>
      </c>
      <c r="D96" s="64" t="s">
        <v>183</v>
      </c>
      <c r="E96" s="64" t="s">
        <v>61</v>
      </c>
      <c r="F96" s="64" t="s">
        <v>15</v>
      </c>
      <c r="G96" s="64" t="s">
        <v>62</v>
      </c>
      <c r="H96" s="64" t="s">
        <v>63</v>
      </c>
      <c r="I96" s="64" t="s">
        <v>64</v>
      </c>
      <c r="J96" s="67">
        <v>0</v>
      </c>
      <c r="K96" s="62">
        <v>141279.98</v>
      </c>
      <c r="L96" s="33" t="e">
        <f>HLOOKUP(B96,#REF!,1,0)</f>
        <v>#REF!</v>
      </c>
      <c r="M96" s="33" t="str">
        <f t="shared" si="7"/>
        <v>BS</v>
      </c>
    </row>
    <row r="97" spans="1:13" s="33" customFormat="true" ht="12.75" customHeight="true">
      <c r="A97" s="33" t="str">
        <f t="shared" si="4"/>
        <v>3SI - Fixed Assets</v>
      </c>
      <c r="B97" s="33" t="str">
        <f t="shared" si="5"/>
        <v>3SI</v>
      </c>
      <c r="C97" s="33" t="str">
        <f t="shared" si="6"/>
        <v>16101-7780</v>
      </c>
      <c r="D97" s="64" t="s">
        <v>184</v>
      </c>
      <c r="E97" s="64" t="s">
        <v>61</v>
      </c>
      <c r="F97" s="64" t="s">
        <v>15</v>
      </c>
      <c r="G97" s="64" t="s">
        <v>62</v>
      </c>
      <c r="H97" s="64" t="s">
        <v>63</v>
      </c>
      <c r="I97" s="64" t="s">
        <v>64</v>
      </c>
      <c r="J97" s="67">
        <v>0</v>
      </c>
      <c r="K97" s="62">
        <v>177683.6</v>
      </c>
      <c r="L97" s="33" t="e">
        <f>HLOOKUP(B97,#REF!,1,0)</f>
        <v>#REF!</v>
      </c>
      <c r="M97" s="33" t="str">
        <f t="shared" si="7"/>
        <v>BS</v>
      </c>
    </row>
    <row r="98" spans="1:13" s="33" customFormat="true" ht="12.75" customHeight="true">
      <c r="A98" s="33" t="str">
        <f t="shared" si="4"/>
        <v>3SI - Fixed Assets</v>
      </c>
      <c r="B98" s="33" t="str">
        <f t="shared" si="5"/>
        <v>3SI</v>
      </c>
      <c r="C98" s="33" t="str">
        <f t="shared" si="6"/>
        <v>16601-0863</v>
      </c>
      <c r="D98" s="64" t="s">
        <v>185</v>
      </c>
      <c r="E98" s="64" t="s">
        <v>70</v>
      </c>
      <c r="F98" s="64" t="s">
        <v>15</v>
      </c>
      <c r="G98" s="64" t="s">
        <v>62</v>
      </c>
      <c r="H98" s="64" t="s">
        <v>63</v>
      </c>
      <c r="I98" s="64" t="s">
        <v>64</v>
      </c>
      <c r="J98" s="67">
        <v>0</v>
      </c>
      <c r="K98" s="62">
        <v>184487.38</v>
      </c>
      <c r="L98" s="33" t="e">
        <f>HLOOKUP(B98,#REF!,1,0)</f>
        <v>#REF!</v>
      </c>
      <c r="M98" s="33" t="str">
        <f t="shared" si="7"/>
        <v>BS</v>
      </c>
    </row>
    <row r="99" spans="1:13" s="33" customFormat="true" ht="12.75" customHeight="true">
      <c r="A99" s="33" t="str">
        <f t="shared" si="4"/>
        <v>3SI - Fixed Assets</v>
      </c>
      <c r="B99" s="33" t="str">
        <f t="shared" si="5"/>
        <v>3SI</v>
      </c>
      <c r="C99" s="33" t="str">
        <f t="shared" si="6"/>
        <v>16601-0865</v>
      </c>
      <c r="D99" s="64" t="s">
        <v>186</v>
      </c>
      <c r="E99" s="64" t="s">
        <v>70</v>
      </c>
      <c r="F99" s="64" t="s">
        <v>15</v>
      </c>
      <c r="G99" s="64" t="s">
        <v>62</v>
      </c>
      <c r="H99" s="64" t="s">
        <v>63</v>
      </c>
      <c r="I99" s="64" t="s">
        <v>64</v>
      </c>
      <c r="J99" s="67">
        <v>0</v>
      </c>
      <c r="K99" s="62">
        <v>-0.38</v>
      </c>
      <c r="L99" s="33" t="e">
        <f>HLOOKUP(B99,#REF!,1,0)</f>
        <v>#REF!</v>
      </c>
      <c r="M99" s="33" t="str">
        <f t="shared" si="7"/>
        <v>BS</v>
      </c>
    </row>
    <row r="100" spans="1:13" s="33" customFormat="true" ht="12.75" customHeight="true">
      <c r="A100" s="33" t="str">
        <f t="shared" si="4"/>
        <v>3SI - Fixed Assets</v>
      </c>
      <c r="B100" s="33" t="str">
        <f t="shared" si="5"/>
        <v>3SI</v>
      </c>
      <c r="C100" s="33" t="str">
        <f t="shared" si="6"/>
        <v>16601-7466</v>
      </c>
      <c r="D100" s="64" t="s">
        <v>187</v>
      </c>
      <c r="E100" s="64" t="s">
        <v>70</v>
      </c>
      <c r="F100" s="64" t="s">
        <v>15</v>
      </c>
      <c r="G100" s="64" t="s">
        <v>62</v>
      </c>
      <c r="H100" s="64" t="s">
        <v>63</v>
      </c>
      <c r="I100" s="64" t="s">
        <v>64</v>
      </c>
      <c r="J100" s="67">
        <v>0</v>
      </c>
      <c r="K100" s="62">
        <v>686402.56</v>
      </c>
      <c r="L100" s="33" t="e">
        <f>HLOOKUP(B100,#REF!,1,0)</f>
        <v>#REF!</v>
      </c>
      <c r="M100" s="33" t="str">
        <f t="shared" si="7"/>
        <v>BS</v>
      </c>
    </row>
    <row r="101" spans="1:13" s="33" customFormat="true" ht="12.75" customHeight="true">
      <c r="A101" s="33" t="str">
        <f t="shared" si="4"/>
        <v>3SI - Fixed Assets</v>
      </c>
      <c r="B101" s="33" t="str">
        <f t="shared" si="5"/>
        <v>3SI</v>
      </c>
      <c r="C101" s="33" t="str">
        <f t="shared" si="6"/>
        <v>16601-7780</v>
      </c>
      <c r="D101" s="64" t="s">
        <v>188</v>
      </c>
      <c r="E101" s="64" t="s">
        <v>70</v>
      </c>
      <c r="F101" s="64" t="s">
        <v>15</v>
      </c>
      <c r="G101" s="64" t="s">
        <v>62</v>
      </c>
      <c r="H101" s="64" t="s">
        <v>63</v>
      </c>
      <c r="I101" s="64" t="s">
        <v>64</v>
      </c>
      <c r="J101" s="67">
        <v>0</v>
      </c>
      <c r="K101" s="62">
        <v>58916.47</v>
      </c>
      <c r="L101" s="33" t="e">
        <f>HLOOKUP(B101,#REF!,1,0)</f>
        <v>#REF!</v>
      </c>
      <c r="M101" s="33" t="str">
        <f t="shared" si="7"/>
        <v>BS</v>
      </c>
    </row>
    <row r="102" spans="1:13" s="33" customFormat="true" ht="12.75" customHeight="true">
      <c r="A102" s="33" t="str">
        <f t="shared" si="4"/>
        <v>3SI - Fixed Assets</v>
      </c>
      <c r="B102" s="33" t="str">
        <f t="shared" si="5"/>
        <v>3SI</v>
      </c>
      <c r="C102" s="33" t="str">
        <f t="shared" si="6"/>
        <v>16691-0000</v>
      </c>
      <c r="D102" s="64" t="s">
        <v>189</v>
      </c>
      <c r="E102" s="64" t="s">
        <v>77</v>
      </c>
      <c r="F102" s="64" t="s">
        <v>15</v>
      </c>
      <c r="G102" s="64" t="s">
        <v>62</v>
      </c>
      <c r="H102" s="64" t="s">
        <v>63</v>
      </c>
      <c r="I102" s="64" t="s">
        <v>64</v>
      </c>
      <c r="J102" s="67">
        <v>0</v>
      </c>
      <c r="K102" s="62">
        <v>-12255</v>
      </c>
      <c r="L102" s="33" t="e">
        <f>HLOOKUP(B102,#REF!,1,0)</f>
        <v>#REF!</v>
      </c>
      <c r="M102" s="33" t="str">
        <f t="shared" si="7"/>
        <v>BS</v>
      </c>
    </row>
    <row r="103" spans="1:13" s="33" customFormat="true" ht="12.75" customHeight="true">
      <c r="A103" s="33" t="str">
        <f t="shared" si="4"/>
        <v>3SI - Fixed Assets</v>
      </c>
      <c r="B103" s="33" t="str">
        <f t="shared" si="5"/>
        <v>3SI</v>
      </c>
      <c r="C103" s="33" t="str">
        <f t="shared" si="6"/>
        <v>16901-0000</v>
      </c>
      <c r="D103" s="64" t="s">
        <v>190</v>
      </c>
      <c r="E103" s="64" t="s">
        <v>77</v>
      </c>
      <c r="F103" s="64" t="s">
        <v>15</v>
      </c>
      <c r="G103" s="64" t="s">
        <v>62</v>
      </c>
      <c r="H103" s="64" t="s">
        <v>63</v>
      </c>
      <c r="I103" s="64" t="s">
        <v>64</v>
      </c>
      <c r="J103" s="67">
        <v>0</v>
      </c>
      <c r="K103" s="62">
        <v>-813509.93</v>
      </c>
      <c r="L103" s="33" t="e">
        <f>HLOOKUP(B103,#REF!,1,0)</f>
        <v>#REF!</v>
      </c>
      <c r="M103" s="33" t="str">
        <f t="shared" si="7"/>
        <v>BS</v>
      </c>
    </row>
    <row r="104" spans="1:13" s="33" customFormat="true" ht="12.75" customHeight="true">
      <c r="A104" s="33" t="str">
        <f t="shared" si="4"/>
        <v>3SI - Deposits</v>
      </c>
      <c r="B104" s="33" t="str">
        <f t="shared" si="5"/>
        <v>3SI</v>
      </c>
      <c r="C104" s="33" t="str">
        <f t="shared" si="6"/>
        <v>17001-0000</v>
      </c>
      <c r="D104" s="64" t="s">
        <v>191</v>
      </c>
      <c r="E104" s="64" t="s">
        <v>79</v>
      </c>
      <c r="F104" s="64" t="s">
        <v>15</v>
      </c>
      <c r="G104" s="64" t="s">
        <v>62</v>
      </c>
      <c r="H104" s="64" t="s">
        <v>80</v>
      </c>
      <c r="I104" s="64" t="s">
        <v>81</v>
      </c>
      <c r="J104" s="67">
        <v>0</v>
      </c>
      <c r="K104" s="62">
        <v>5386.36</v>
      </c>
      <c r="L104" s="33" t="e">
        <f>HLOOKUP(B104,#REF!,1,0)</f>
        <v>#REF!</v>
      </c>
      <c r="M104" s="33" t="str">
        <f t="shared" si="7"/>
        <v>BS</v>
      </c>
    </row>
    <row r="105" spans="1:13" s="33" customFormat="true" ht="12.75" customHeight="true">
      <c r="A105" s="33" t="str">
        <f t="shared" si="4"/>
        <v>3SI - Fixed Assets</v>
      </c>
      <c r="B105" s="33" t="str">
        <f t="shared" si="5"/>
        <v>3SI</v>
      </c>
      <c r="C105" s="33" t="str">
        <f t="shared" si="6"/>
        <v>17201-0863</v>
      </c>
      <c r="D105" s="64" t="s">
        <v>192</v>
      </c>
      <c r="E105" s="64" t="s">
        <v>83</v>
      </c>
      <c r="F105" s="64" t="s">
        <v>15</v>
      </c>
      <c r="G105" s="64" t="s">
        <v>62</v>
      </c>
      <c r="H105" s="64" t="s">
        <v>63</v>
      </c>
      <c r="I105" s="64" t="s">
        <v>81</v>
      </c>
      <c r="J105" s="67">
        <v>0</v>
      </c>
      <c r="K105" s="62">
        <v>26250</v>
      </c>
      <c r="L105" s="33" t="e">
        <f>HLOOKUP(B105,#REF!,1,0)</f>
        <v>#REF!</v>
      </c>
      <c r="M105" s="33" t="str">
        <f t="shared" si="7"/>
        <v>BS</v>
      </c>
    </row>
    <row r="106" spans="1:13" s="33" customFormat="true" ht="12.75" customHeight="true">
      <c r="A106" s="33" t="str">
        <f t="shared" si="4"/>
        <v>3SI - Fixed Assets</v>
      </c>
      <c r="B106" s="33" t="str">
        <f t="shared" si="5"/>
        <v>3SI</v>
      </c>
      <c r="C106" s="33" t="str">
        <f t="shared" si="6"/>
        <v>17201-0865</v>
      </c>
      <c r="D106" s="64" t="s">
        <v>193</v>
      </c>
      <c r="E106" s="64" t="s">
        <v>83</v>
      </c>
      <c r="F106" s="64" t="s">
        <v>15</v>
      </c>
      <c r="G106" s="64" t="s">
        <v>62</v>
      </c>
      <c r="H106" s="64" t="s">
        <v>63</v>
      </c>
      <c r="I106" s="64" t="s">
        <v>81</v>
      </c>
      <c r="J106" s="67">
        <v>0</v>
      </c>
      <c r="K106" s="62">
        <v>0</v>
      </c>
      <c r="L106" s="33" t="e">
        <f>HLOOKUP(B106,#REF!,1,0)</f>
        <v>#REF!</v>
      </c>
      <c r="M106" s="33" t="str">
        <f t="shared" si="7"/>
        <v>BS</v>
      </c>
    </row>
    <row r="107" spans="1:13" s="33" customFormat="true" ht="12.75" customHeight="true">
      <c r="A107" s="33" t="str">
        <f t="shared" si="4"/>
        <v>3SI - Fixed Assets</v>
      </c>
      <c r="B107" s="33" t="str">
        <f t="shared" si="5"/>
        <v>3SI</v>
      </c>
      <c r="C107" s="33" t="str">
        <f t="shared" si="6"/>
        <v>17201-7466</v>
      </c>
      <c r="D107" s="64" t="s">
        <v>194</v>
      </c>
      <c r="E107" s="64" t="s">
        <v>83</v>
      </c>
      <c r="F107" s="64" t="s">
        <v>15</v>
      </c>
      <c r="G107" s="64" t="s">
        <v>62</v>
      </c>
      <c r="H107" s="64" t="s">
        <v>63</v>
      </c>
      <c r="I107" s="64" t="s">
        <v>81</v>
      </c>
      <c r="J107" s="67">
        <v>0</v>
      </c>
      <c r="K107" s="62">
        <v>11250</v>
      </c>
      <c r="L107" s="33" t="e">
        <f>HLOOKUP(B107,#REF!,1,0)</f>
        <v>#REF!</v>
      </c>
      <c r="M107" s="33" t="str">
        <f t="shared" si="7"/>
        <v>BS</v>
      </c>
    </row>
    <row r="108" spans="1:13" s="33" customFormat="true" ht="12.75" customHeight="true">
      <c r="A108" s="33" t="str">
        <f t="shared" si="4"/>
        <v>3SI - Fixed Assets</v>
      </c>
      <c r="B108" s="33" t="str">
        <f t="shared" si="5"/>
        <v>3SI</v>
      </c>
      <c r="C108" s="33" t="str">
        <f t="shared" si="6"/>
        <v>17201-7780</v>
      </c>
      <c r="D108" s="64" t="s">
        <v>195</v>
      </c>
      <c r="E108" s="64" t="s">
        <v>83</v>
      </c>
      <c r="F108" s="64" t="s">
        <v>15</v>
      </c>
      <c r="G108" s="64" t="s">
        <v>62</v>
      </c>
      <c r="H108" s="64" t="s">
        <v>63</v>
      </c>
      <c r="I108" s="64" t="s">
        <v>81</v>
      </c>
      <c r="J108" s="67">
        <v>0</v>
      </c>
      <c r="K108" s="62">
        <v>1250</v>
      </c>
      <c r="L108" s="33" t="e">
        <f>HLOOKUP(B108,#REF!,1,0)</f>
        <v>#REF!</v>
      </c>
      <c r="M108" s="33" t="str">
        <f t="shared" si="7"/>
        <v>BS</v>
      </c>
    </row>
    <row r="109" spans="1:13" s="33" customFormat="true" ht="12.75" customHeight="true">
      <c r="A109" s="33" t="str">
        <f t="shared" si="4"/>
        <v>3SI - Fixed Assets</v>
      </c>
      <c r="B109" s="33" t="str">
        <f t="shared" si="5"/>
        <v>3SI</v>
      </c>
      <c r="C109" s="33" t="str">
        <f t="shared" si="6"/>
        <v>18501-0000</v>
      </c>
      <c r="D109" s="64" t="s">
        <v>196</v>
      </c>
      <c r="E109" s="64" t="s">
        <v>88</v>
      </c>
      <c r="F109" s="64" t="s">
        <v>15</v>
      </c>
      <c r="G109" s="64" t="s">
        <v>62</v>
      </c>
      <c r="H109" s="64" t="s">
        <v>63</v>
      </c>
      <c r="I109" s="64" t="s">
        <v>81</v>
      </c>
      <c r="J109" s="67">
        <v>0</v>
      </c>
      <c r="K109" s="62">
        <v>-33262.33</v>
      </c>
      <c r="L109" s="33" t="e">
        <f>HLOOKUP(B109,#REF!,1,0)</f>
        <v>#REF!</v>
      </c>
      <c r="M109" s="33" t="str">
        <f t="shared" si="7"/>
        <v>BS</v>
      </c>
    </row>
    <row r="110" spans="1:13" s="33" customFormat="true" ht="12.75" customHeight="true">
      <c r="A110" s="33" t="str">
        <f t="shared" si="4"/>
        <v>3SI - Fixed Assets</v>
      </c>
      <c r="B110" s="33" t="str">
        <f t="shared" si="5"/>
        <v>3SI</v>
      </c>
      <c r="C110" s="33" t="str">
        <f t="shared" si="6"/>
        <v>19901-0863</v>
      </c>
      <c r="D110" s="64" t="s">
        <v>197</v>
      </c>
      <c r="E110" s="64" t="s">
        <v>90</v>
      </c>
      <c r="F110" s="64" t="s">
        <v>15</v>
      </c>
      <c r="G110" s="64" t="s">
        <v>62</v>
      </c>
      <c r="H110" s="64" t="s">
        <v>63</v>
      </c>
      <c r="I110" s="64" t="s">
        <v>81</v>
      </c>
      <c r="J110" s="67">
        <v>0</v>
      </c>
      <c r="K110" s="62">
        <v>104027.92</v>
      </c>
      <c r="L110" s="33" t="e">
        <f>HLOOKUP(B110,#REF!,1,0)</f>
        <v>#REF!</v>
      </c>
      <c r="M110" s="33" t="str">
        <f t="shared" si="7"/>
        <v>BS</v>
      </c>
    </row>
    <row r="111" spans="1:13" s="33" customFormat="true" ht="12.75" customHeight="true">
      <c r="A111" s="33" t="str">
        <f t="shared" si="4"/>
        <v>3SI - Fixed Assets</v>
      </c>
      <c r="B111" s="33" t="str">
        <f t="shared" si="5"/>
        <v>3SI</v>
      </c>
      <c r="C111" s="33" t="str">
        <f t="shared" si="6"/>
        <v>19901-0865</v>
      </c>
      <c r="D111" s="64" t="s">
        <v>198</v>
      </c>
      <c r="E111" s="64" t="s">
        <v>90</v>
      </c>
      <c r="F111" s="64" t="s">
        <v>15</v>
      </c>
      <c r="G111" s="64" t="s">
        <v>62</v>
      </c>
      <c r="H111" s="64" t="s">
        <v>63</v>
      </c>
      <c r="I111" s="64" t="s">
        <v>81</v>
      </c>
      <c r="J111" s="67">
        <v>0</v>
      </c>
      <c r="K111" s="62">
        <v>0.25</v>
      </c>
      <c r="L111" s="33" t="e">
        <f>HLOOKUP(B111,#REF!,1,0)</f>
        <v>#REF!</v>
      </c>
      <c r="M111" s="33" t="str">
        <f t="shared" si="7"/>
        <v>BS</v>
      </c>
    </row>
    <row r="112" spans="1:13" s="33" customFormat="true" ht="12.75" customHeight="true">
      <c r="A112" s="33" t="str">
        <f t="shared" si="4"/>
        <v>3SI - Fixed Assets</v>
      </c>
      <c r="B112" s="33" t="str">
        <f t="shared" si="5"/>
        <v>3SI</v>
      </c>
      <c r="C112" s="33" t="str">
        <f t="shared" si="6"/>
        <v>19901-7466</v>
      </c>
      <c r="D112" s="64" t="s">
        <v>199</v>
      </c>
      <c r="E112" s="64" t="s">
        <v>90</v>
      </c>
      <c r="F112" s="64" t="s">
        <v>15</v>
      </c>
      <c r="G112" s="64" t="s">
        <v>62</v>
      </c>
      <c r="H112" s="64" t="s">
        <v>63</v>
      </c>
      <c r="I112" s="64" t="s">
        <v>81</v>
      </c>
      <c r="J112" s="67">
        <v>0</v>
      </c>
      <c r="K112" s="62">
        <v>223817.64</v>
      </c>
      <c r="L112" s="33" t="e">
        <f>HLOOKUP(B112,#REF!,1,0)</f>
        <v>#REF!</v>
      </c>
      <c r="M112" s="33" t="str">
        <f t="shared" si="7"/>
        <v>BS</v>
      </c>
    </row>
    <row r="113" spans="1:13" s="33" customFormat="true" ht="12.75" customHeight="true">
      <c r="A113" s="33" t="str">
        <f t="shared" si="4"/>
        <v>3SI - Fixed Assets</v>
      </c>
      <c r="B113" s="33" t="str">
        <f t="shared" si="5"/>
        <v>3SI</v>
      </c>
      <c r="C113" s="33" t="str">
        <f t="shared" si="6"/>
        <v>19901-7780</v>
      </c>
      <c r="D113" s="64" t="s">
        <v>200</v>
      </c>
      <c r="E113" s="64" t="s">
        <v>90</v>
      </c>
      <c r="F113" s="64" t="s">
        <v>15</v>
      </c>
      <c r="G113" s="64" t="s">
        <v>62</v>
      </c>
      <c r="H113" s="64" t="s">
        <v>63</v>
      </c>
      <c r="I113" s="64" t="s">
        <v>81</v>
      </c>
      <c r="J113" s="67">
        <v>0</v>
      </c>
      <c r="K113" s="62">
        <v>194395.6</v>
      </c>
      <c r="L113" s="33" t="e">
        <f>HLOOKUP(B113,#REF!,1,0)</f>
        <v>#REF!</v>
      </c>
      <c r="M113" s="33" t="str">
        <f t="shared" si="7"/>
        <v>BS</v>
      </c>
    </row>
    <row r="114" spans="1:13" s="33" customFormat="true" ht="12.75" customHeight="true">
      <c r="A114" s="33" t="str">
        <f t="shared" si="4"/>
        <v>3SI - AP-Accr Exp</v>
      </c>
      <c r="B114" s="33" t="str">
        <f t="shared" si="5"/>
        <v>3SI</v>
      </c>
      <c r="C114" s="33" t="str">
        <f t="shared" si="6"/>
        <v>20001-0000</v>
      </c>
      <c r="D114" s="64" t="s">
        <v>201</v>
      </c>
      <c r="E114" s="64" t="s">
        <v>96</v>
      </c>
      <c r="F114" s="64" t="s">
        <v>15</v>
      </c>
      <c r="G114" s="64" t="s">
        <v>97</v>
      </c>
      <c r="H114" s="64" t="s">
        <v>98</v>
      </c>
      <c r="I114" s="64" t="s">
        <v>99</v>
      </c>
      <c r="J114" s="67">
        <v>-6926.9</v>
      </c>
      <c r="K114" s="62">
        <v>-62727.46</v>
      </c>
      <c r="L114" s="33" t="e">
        <f>HLOOKUP(B114,#REF!,1,0)</f>
        <v>#REF!</v>
      </c>
      <c r="M114" s="33" t="str">
        <f t="shared" si="7"/>
        <v>BS</v>
      </c>
    </row>
    <row r="115" spans="1:13" s="33" customFormat="true" ht="12.75" customHeight="true">
      <c r="A115" s="33" t="str">
        <f t="shared" si="4"/>
        <v>3SI - AP-Accr Exp</v>
      </c>
      <c r="B115" s="33" t="str">
        <f t="shared" si="5"/>
        <v>3SI</v>
      </c>
      <c r="C115" s="33" t="str">
        <f t="shared" si="6"/>
        <v>21001-0000</v>
      </c>
      <c r="D115" s="64" t="s">
        <v>202</v>
      </c>
      <c r="E115" s="64" t="s">
        <v>101</v>
      </c>
      <c r="F115" s="64" t="s">
        <v>15</v>
      </c>
      <c r="G115" s="64" t="s">
        <v>97</v>
      </c>
      <c r="H115" s="64" t="s">
        <v>98</v>
      </c>
      <c r="I115" s="64" t="s">
        <v>102</v>
      </c>
      <c r="J115" s="67">
        <v>0</v>
      </c>
      <c r="K115" s="62">
        <v>-13611</v>
      </c>
      <c r="L115" s="33" t="e">
        <f>HLOOKUP(B115,#REF!,1,0)</f>
        <v>#REF!</v>
      </c>
      <c r="M115" s="33" t="str">
        <f t="shared" si="7"/>
        <v>BS</v>
      </c>
    </row>
    <row r="116" spans="1:13" s="33" customFormat="true" ht="12.75" customHeight="true">
      <c r="A116" s="33" t="str">
        <f t="shared" si="4"/>
        <v>3SI - Tax Accr</v>
      </c>
      <c r="B116" s="33" t="str">
        <f t="shared" si="5"/>
        <v>3SI</v>
      </c>
      <c r="C116" s="33" t="str">
        <f t="shared" si="6"/>
        <v>22001-0000</v>
      </c>
      <c r="D116" s="64" t="s">
        <v>203</v>
      </c>
      <c r="E116" s="64" t="s">
        <v>104</v>
      </c>
      <c r="F116" s="64" t="s">
        <v>15</v>
      </c>
      <c r="G116" s="64" t="s">
        <v>97</v>
      </c>
      <c r="H116" s="64" t="s">
        <v>105</v>
      </c>
      <c r="I116" s="64" t="s">
        <v>102</v>
      </c>
      <c r="J116" s="67">
        <v>-832.77</v>
      </c>
      <c r="K116" s="62">
        <v>-45047.46</v>
      </c>
      <c r="L116" s="33" t="e">
        <f>HLOOKUP(B116,#REF!,1,0)</f>
        <v>#REF!</v>
      </c>
      <c r="M116" s="33" t="str">
        <f t="shared" si="7"/>
        <v>BS</v>
      </c>
    </row>
    <row r="117" spans="1:13" s="33" customFormat="true" ht="12.75" customHeight="true">
      <c r="A117" s="33" t="str">
        <f t="shared" si="4"/>
        <v>3SI - AP-Accr Exp</v>
      </c>
      <c r="B117" s="33" t="str">
        <f t="shared" si="5"/>
        <v>3SI</v>
      </c>
      <c r="C117" s="33" t="str">
        <f t="shared" si="6"/>
        <v>23405-0000</v>
      </c>
      <c r="D117" s="64" t="s">
        <v>204</v>
      </c>
      <c r="E117" s="64" t="s">
        <v>107</v>
      </c>
      <c r="F117" s="64" t="s">
        <v>15</v>
      </c>
      <c r="G117" s="64" t="s">
        <v>97</v>
      </c>
      <c r="H117" s="64" t="s">
        <v>98</v>
      </c>
      <c r="I117" s="64" t="s">
        <v>102</v>
      </c>
      <c r="J117" s="67">
        <v>0</v>
      </c>
      <c r="K117" s="62">
        <v>0</v>
      </c>
      <c r="L117" s="33" t="e">
        <f>HLOOKUP(B117,#REF!,1,0)</f>
        <v>#REF!</v>
      </c>
      <c r="M117" s="33" t="str">
        <f t="shared" si="7"/>
        <v>BS</v>
      </c>
    </row>
    <row r="118" spans="1:13" s="33" customFormat="true" ht="12.75" customHeight="true">
      <c r="A118" s="33" t="str">
        <f t="shared" si="4"/>
        <v>3SI - AP-Accr Exp</v>
      </c>
      <c r="B118" s="33" t="str">
        <f t="shared" si="5"/>
        <v>3SI</v>
      </c>
      <c r="C118" s="33" t="str">
        <f t="shared" si="6"/>
        <v>23406-0000</v>
      </c>
      <c r="D118" s="64" t="s">
        <v>205</v>
      </c>
      <c r="E118" s="64" t="s">
        <v>109</v>
      </c>
      <c r="F118" s="64" t="s">
        <v>15</v>
      </c>
      <c r="G118" s="64" t="s">
        <v>97</v>
      </c>
      <c r="H118" s="64" t="s">
        <v>98</v>
      </c>
      <c r="I118" s="64" t="s">
        <v>102</v>
      </c>
      <c r="J118" s="67">
        <v>0</v>
      </c>
      <c r="K118" s="62">
        <v>-4402.9</v>
      </c>
      <c r="L118" s="33" t="e">
        <f>HLOOKUP(B118,#REF!,1,0)</f>
        <v>#REF!</v>
      </c>
      <c r="M118" s="33" t="str">
        <f t="shared" si="7"/>
        <v>BS</v>
      </c>
    </row>
    <row r="119" spans="1:13" s="33" customFormat="true" ht="12.75" customHeight="true">
      <c r="A119" s="33" t="str">
        <f t="shared" si="4"/>
        <v>3SI - AP-Accr Exp</v>
      </c>
      <c r="B119" s="33" t="str">
        <f t="shared" si="5"/>
        <v>3SI</v>
      </c>
      <c r="C119" s="33" t="str">
        <f t="shared" si="6"/>
        <v>23509-0000</v>
      </c>
      <c r="D119" s="64" t="s">
        <v>206</v>
      </c>
      <c r="E119" s="64" t="s">
        <v>111</v>
      </c>
      <c r="F119" s="64" t="s">
        <v>15</v>
      </c>
      <c r="G119" s="64" t="s">
        <v>97</v>
      </c>
      <c r="H119" s="64" t="s">
        <v>98</v>
      </c>
      <c r="I119" s="64" t="s">
        <v>102</v>
      </c>
      <c r="J119" s="67">
        <v>0</v>
      </c>
      <c r="K119" s="62">
        <v>0</v>
      </c>
      <c r="L119" s="33" t="e">
        <f>HLOOKUP(B119,#REF!,1,0)</f>
        <v>#REF!</v>
      </c>
      <c r="M119" s="33" t="str">
        <f t="shared" si="7"/>
        <v>BS</v>
      </c>
    </row>
    <row r="120" spans="1:13" s="33" customFormat="true" ht="12.75" customHeight="true">
      <c r="A120" s="33" t="str">
        <f t="shared" si="4"/>
        <v>3SI - AP-Accr Exp</v>
      </c>
      <c r="B120" s="33" t="str">
        <f t="shared" si="5"/>
        <v>3SI</v>
      </c>
      <c r="C120" s="33" t="str">
        <f t="shared" si="6"/>
        <v>23909-0000</v>
      </c>
      <c r="D120" s="64" t="s">
        <v>207</v>
      </c>
      <c r="E120" s="64" t="s">
        <v>113</v>
      </c>
      <c r="F120" s="64" t="s">
        <v>15</v>
      </c>
      <c r="G120" s="64" t="s">
        <v>97</v>
      </c>
      <c r="H120" s="64" t="s">
        <v>98</v>
      </c>
      <c r="I120" s="64" t="s">
        <v>102</v>
      </c>
      <c r="J120" s="67">
        <v>-8161</v>
      </c>
      <c r="K120" s="62">
        <v>-78988.21</v>
      </c>
      <c r="L120" s="33" t="e">
        <f>HLOOKUP(B120,#REF!,1,0)</f>
        <v>#REF!</v>
      </c>
      <c r="M120" s="33" t="str">
        <f t="shared" si="7"/>
        <v>BS</v>
      </c>
    </row>
    <row r="121" spans="1:13" s="33" customFormat="true" ht="12.75" customHeight="true">
      <c r="A121" s="33" t="str">
        <f t="shared" si="4"/>
        <v>3SI - AP-Accr Exp</v>
      </c>
      <c r="B121" s="33" t="str">
        <f t="shared" si="5"/>
        <v>3SI</v>
      </c>
      <c r="C121" s="33" t="str">
        <f t="shared" si="6"/>
        <v>24400-0000</v>
      </c>
      <c r="D121" s="64" t="s">
        <v>208</v>
      </c>
      <c r="E121" s="64" t="s">
        <v>115</v>
      </c>
      <c r="F121" s="64" t="s">
        <v>15</v>
      </c>
      <c r="G121" s="64" t="s">
        <v>97</v>
      </c>
      <c r="H121" s="64" t="s">
        <v>98</v>
      </c>
      <c r="I121" s="64" t="s">
        <v>102</v>
      </c>
      <c r="J121" s="67">
        <v>-111.1</v>
      </c>
      <c r="K121" s="62">
        <v>-18405.21</v>
      </c>
      <c r="L121" s="33" t="e">
        <f>HLOOKUP(B121,#REF!,1,0)</f>
        <v>#REF!</v>
      </c>
      <c r="M121" s="33" t="str">
        <f t="shared" si="7"/>
        <v>BS</v>
      </c>
    </row>
    <row r="122" spans="1:13" s="33" customFormat="true" ht="12.75" customHeight="true">
      <c r="A122" s="33" t="str">
        <f t="shared" si="4"/>
        <v>3SI - AP-Accr Exp</v>
      </c>
      <c r="B122" s="33" t="str">
        <f t="shared" si="5"/>
        <v>3SI</v>
      </c>
      <c r="C122" s="33" t="str">
        <f t="shared" si="6"/>
        <v>24400-0863</v>
      </c>
      <c r="D122" s="64" t="s">
        <v>209</v>
      </c>
      <c r="E122" s="64" t="s">
        <v>115</v>
      </c>
      <c r="F122" s="64" t="s">
        <v>15</v>
      </c>
      <c r="G122" s="64" t="s">
        <v>97</v>
      </c>
      <c r="H122" s="64" t="s">
        <v>98</v>
      </c>
      <c r="I122" s="64" t="s">
        <v>102</v>
      </c>
      <c r="J122" s="67">
        <v>27.52</v>
      </c>
      <c r="K122" s="62">
        <v>2371.13</v>
      </c>
      <c r="L122" s="33" t="e">
        <f>HLOOKUP(B122,#REF!,1,0)</f>
        <v>#REF!</v>
      </c>
      <c r="M122" s="33" t="str">
        <f t="shared" si="7"/>
        <v>BS</v>
      </c>
    </row>
    <row r="123" spans="1:13" s="33" customFormat="true" ht="12.75" customHeight="true">
      <c r="A123" s="33" t="str">
        <f t="shared" si="4"/>
        <v>3SI - AP-Accr Exp</v>
      </c>
      <c r="B123" s="33" t="str">
        <f t="shared" si="5"/>
        <v>3SI</v>
      </c>
      <c r="C123" s="33" t="str">
        <f t="shared" si="6"/>
        <v>24400-0865</v>
      </c>
      <c r="D123" s="64" t="s">
        <v>210</v>
      </c>
      <c r="E123" s="64" t="s">
        <v>115</v>
      </c>
      <c r="F123" s="64" t="s">
        <v>15</v>
      </c>
      <c r="G123" s="64" t="s">
        <v>97</v>
      </c>
      <c r="H123" s="64" t="s">
        <v>98</v>
      </c>
      <c r="I123" s="64" t="s">
        <v>102</v>
      </c>
      <c r="J123" s="67">
        <v>0</v>
      </c>
      <c r="K123" s="62">
        <v>2983.59</v>
      </c>
      <c r="L123" s="33" t="e">
        <f>HLOOKUP(B123,#REF!,1,0)</f>
        <v>#REF!</v>
      </c>
      <c r="M123" s="33" t="str">
        <f t="shared" si="7"/>
        <v>BS</v>
      </c>
    </row>
    <row r="124" spans="1:13" s="33" customFormat="true" ht="12.75" customHeight="true">
      <c r="A124" s="33" t="str">
        <f t="shared" si="4"/>
        <v>3SI - AP-Accr Exp</v>
      </c>
      <c r="B124" s="33" t="str">
        <f t="shared" si="5"/>
        <v>3SI</v>
      </c>
      <c r="C124" s="33" t="str">
        <f t="shared" si="6"/>
        <v>24400-7466</v>
      </c>
      <c r="D124" s="64" t="s">
        <v>211</v>
      </c>
      <c r="E124" s="64" t="s">
        <v>115</v>
      </c>
      <c r="F124" s="64" t="s">
        <v>15</v>
      </c>
      <c r="G124" s="64" t="s">
        <v>97</v>
      </c>
      <c r="H124" s="64" t="s">
        <v>98</v>
      </c>
      <c r="I124" s="64" t="s">
        <v>102</v>
      </c>
      <c r="J124" s="67">
        <v>94.85</v>
      </c>
      <c r="K124" s="62">
        <v>2401.37</v>
      </c>
      <c r="L124" s="33" t="e">
        <f>HLOOKUP(B124,#REF!,1,0)</f>
        <v>#REF!</v>
      </c>
      <c r="M124" s="33" t="str">
        <f t="shared" si="7"/>
        <v>BS</v>
      </c>
    </row>
    <row r="125" spans="1:13" s="33" customFormat="true" ht="12.75" customHeight="true">
      <c r="A125" s="33" t="str">
        <f t="shared" si="4"/>
        <v>3SI - AP-Accr Exp</v>
      </c>
      <c r="B125" s="33" t="str">
        <f t="shared" si="5"/>
        <v>3SI</v>
      </c>
      <c r="C125" s="33" t="str">
        <f t="shared" si="6"/>
        <v>24400-7780</v>
      </c>
      <c r="D125" s="64" t="s">
        <v>212</v>
      </c>
      <c r="E125" s="64" t="s">
        <v>115</v>
      </c>
      <c r="F125" s="64" t="s">
        <v>15</v>
      </c>
      <c r="G125" s="64" t="s">
        <v>97</v>
      </c>
      <c r="H125" s="64" t="s">
        <v>98</v>
      </c>
      <c r="I125" s="64" t="s">
        <v>102</v>
      </c>
      <c r="J125" s="67">
        <v>-1076.74</v>
      </c>
      <c r="K125" s="62">
        <v>1916.64</v>
      </c>
      <c r="L125" s="33" t="e">
        <f>HLOOKUP(B125,#REF!,1,0)</f>
        <v>#REF!</v>
      </c>
      <c r="M125" s="33" t="str">
        <f t="shared" si="7"/>
        <v>BS</v>
      </c>
    </row>
    <row r="126" spans="1:13" s="33" customFormat="true" ht="12.75" customHeight="true">
      <c r="A126" s="33" t="str">
        <f t="shared" si="4"/>
        <v>3SI - AP-Accr Exp</v>
      </c>
      <c r="B126" s="33" t="str">
        <f t="shared" si="5"/>
        <v>3SI</v>
      </c>
      <c r="C126" s="33" t="str">
        <f t="shared" si="6"/>
        <v>25500-0000</v>
      </c>
      <c r="D126" s="64" t="s">
        <v>213</v>
      </c>
      <c r="E126" s="64" t="s">
        <v>122</v>
      </c>
      <c r="F126" s="64" t="s">
        <v>15</v>
      </c>
      <c r="G126" s="64" t="s">
        <v>123</v>
      </c>
      <c r="H126" s="64" t="s">
        <v>98</v>
      </c>
      <c r="I126" s="64" t="s">
        <v>124</v>
      </c>
      <c r="J126" s="67">
        <v>0</v>
      </c>
      <c r="K126" s="62">
        <v>-66023</v>
      </c>
      <c r="L126" s="33" t="e">
        <f>HLOOKUP(B126,#REF!,1,0)</f>
        <v>#REF!</v>
      </c>
      <c r="M126" s="33" t="str">
        <f t="shared" si="7"/>
        <v>BS</v>
      </c>
    </row>
    <row r="127" spans="1:13" s="33" customFormat="true" ht="12.75" customHeight="true">
      <c r="A127" s="33" t="str">
        <f t="shared" si="4"/>
        <v>3SI - Principal</v>
      </c>
      <c r="B127" s="33" t="str">
        <f t="shared" si="5"/>
        <v>3SI</v>
      </c>
      <c r="C127" s="33" t="str">
        <f t="shared" si="6"/>
        <v>26001-0000</v>
      </c>
      <c r="D127" s="64" t="s">
        <v>214</v>
      </c>
      <c r="E127" s="64" t="s">
        <v>126</v>
      </c>
      <c r="F127" s="64" t="s">
        <v>15</v>
      </c>
      <c r="G127" s="64" t="s">
        <v>97</v>
      </c>
      <c r="H127" s="64" t="s">
        <v>127</v>
      </c>
      <c r="I127" s="64" t="s">
        <v>128</v>
      </c>
      <c r="J127" s="67">
        <v>0</v>
      </c>
      <c r="K127" s="62">
        <v>0.31</v>
      </c>
      <c r="L127" s="33" t="e">
        <f>HLOOKUP(B127,#REF!,1,0)</f>
        <v>#REF!</v>
      </c>
      <c r="M127" s="33" t="str">
        <f t="shared" si="7"/>
        <v>BS</v>
      </c>
    </row>
    <row r="128" spans="1:13" s="33" customFormat="true" ht="12.75" customHeight="true">
      <c r="A128" s="33" t="str">
        <f t="shared" si="4"/>
        <v>3SI - Principal</v>
      </c>
      <c r="B128" s="33" t="str">
        <f t="shared" si="5"/>
        <v>3SI</v>
      </c>
      <c r="C128" s="33" t="str">
        <f t="shared" si="6"/>
        <v>26500-0000</v>
      </c>
      <c r="D128" s="64" t="s">
        <v>215</v>
      </c>
      <c r="E128" s="64" t="s">
        <v>130</v>
      </c>
      <c r="F128" s="64" t="s">
        <v>15</v>
      </c>
      <c r="G128" s="64" t="s">
        <v>97</v>
      </c>
      <c r="H128" s="64" t="s">
        <v>127</v>
      </c>
      <c r="I128" s="64" t="s">
        <v>128</v>
      </c>
      <c r="J128" s="67">
        <v>0</v>
      </c>
      <c r="K128" s="62">
        <v>0</v>
      </c>
      <c r="L128" s="33" t="e">
        <f>HLOOKUP(B128,#REF!,1,0)</f>
        <v>#REF!</v>
      </c>
      <c r="M128" s="33" t="str">
        <f t="shared" si="7"/>
        <v>BS</v>
      </c>
    </row>
    <row r="129" spans="1:13" s="33" customFormat="true" ht="12.75" customHeight="true">
      <c r="A129" s="33" t="str">
        <f t="shared" si="4"/>
        <v>3SI - Principal</v>
      </c>
      <c r="B129" s="33" t="str">
        <f t="shared" si="5"/>
        <v>3SI</v>
      </c>
      <c r="C129" s="33" t="str">
        <f t="shared" si="6"/>
        <v>28002-0000</v>
      </c>
      <c r="D129" s="64" t="s">
        <v>216</v>
      </c>
      <c r="E129" s="64" t="s">
        <v>132</v>
      </c>
      <c r="F129" s="64" t="s">
        <v>15</v>
      </c>
      <c r="G129" s="64" t="s">
        <v>123</v>
      </c>
      <c r="H129" s="64" t="s">
        <v>127</v>
      </c>
      <c r="I129" s="64" t="s">
        <v>133</v>
      </c>
      <c r="J129" s="67">
        <v>0</v>
      </c>
      <c r="K129" s="62">
        <v>656</v>
      </c>
      <c r="L129" s="33" t="e">
        <f>HLOOKUP(B129,#REF!,1,0)</f>
        <v>#REF!</v>
      </c>
      <c r="M129" s="33" t="str">
        <f t="shared" si="7"/>
        <v>BS</v>
      </c>
    </row>
    <row r="130" spans="1:13" s="33" customFormat="true" ht="12.75" customHeight="true">
      <c r="A130" s="33" t="str">
        <f t="shared" ref="A130:A193" si="8">B130&amp;" - "&amp;TRIM(H130)</f>
        <v>3SI - Principal</v>
      </c>
      <c r="B130" s="33" t="str">
        <f t="shared" ref="B130:B193" si="9">LEFT(D130,3)</f>
        <v>3SI</v>
      </c>
      <c r="C130" s="33" t="str">
        <f t="shared" ref="C130:C193" si="10">RIGHT(D130,10)</f>
        <v>28002-0863</v>
      </c>
      <c r="D130" s="64" t="s">
        <v>217</v>
      </c>
      <c r="E130" s="64" t="s">
        <v>132</v>
      </c>
      <c r="F130" s="64" t="s">
        <v>15</v>
      </c>
      <c r="G130" s="64" t="s">
        <v>123</v>
      </c>
      <c r="H130" s="64" t="s">
        <v>127</v>
      </c>
      <c r="I130" s="64" t="s">
        <v>133</v>
      </c>
      <c r="J130" s="67">
        <v>0</v>
      </c>
      <c r="K130" s="62">
        <v>2090.88</v>
      </c>
      <c r="L130" s="33" t="e">
        <f>HLOOKUP(B130,#REF!,1,0)</f>
        <v>#REF!</v>
      </c>
      <c r="M130" s="33" t="str">
        <f t="shared" ref="M130:M193" si="11">IF(VALUE(LEFT(C130,5))&gt;40000,"P&amp;L","BS")</f>
        <v>BS</v>
      </c>
    </row>
    <row r="131" spans="1:13" s="33" customFormat="true" ht="12.75" customHeight="true">
      <c r="A131" s="33" t="str">
        <f t="shared" si="8"/>
        <v>3SI - Principal</v>
      </c>
      <c r="B131" s="33" t="str">
        <f t="shared" si="9"/>
        <v>3SI</v>
      </c>
      <c r="C131" s="33" t="str">
        <f t="shared" si="10"/>
        <v>28002-0865</v>
      </c>
      <c r="D131" s="64" t="s">
        <v>218</v>
      </c>
      <c r="E131" s="64" t="s">
        <v>132</v>
      </c>
      <c r="F131" s="64" t="s">
        <v>15</v>
      </c>
      <c r="G131" s="64" t="s">
        <v>123</v>
      </c>
      <c r="H131" s="64" t="s">
        <v>127</v>
      </c>
      <c r="I131" s="64" t="s">
        <v>133</v>
      </c>
      <c r="J131" s="67">
        <v>0</v>
      </c>
      <c r="K131" s="62">
        <v>-655.79</v>
      </c>
      <c r="L131" s="33" t="e">
        <f>HLOOKUP(B131,#REF!,1,0)</f>
        <v>#REF!</v>
      </c>
      <c r="M131" s="33" t="str">
        <f t="shared" si="11"/>
        <v>BS</v>
      </c>
    </row>
    <row r="132" spans="1:13" s="33" customFormat="true" ht="12.75" customHeight="true">
      <c r="A132" s="33" t="str">
        <f t="shared" si="8"/>
        <v>3SI - Principal</v>
      </c>
      <c r="B132" s="33" t="str">
        <f t="shared" si="9"/>
        <v>3SI</v>
      </c>
      <c r="C132" s="33" t="str">
        <f t="shared" si="10"/>
        <v>28002-7466</v>
      </c>
      <c r="D132" s="64" t="s">
        <v>219</v>
      </c>
      <c r="E132" s="64" t="s">
        <v>132</v>
      </c>
      <c r="F132" s="64" t="s">
        <v>15</v>
      </c>
      <c r="G132" s="64" t="s">
        <v>123</v>
      </c>
      <c r="H132" s="64" t="s">
        <v>127</v>
      </c>
      <c r="I132" s="64" t="s">
        <v>133</v>
      </c>
      <c r="J132" s="67">
        <v>0</v>
      </c>
      <c r="K132" s="62">
        <v>-4578.98</v>
      </c>
      <c r="L132" s="33" t="e">
        <f>HLOOKUP(B132,#REF!,1,0)</f>
        <v>#REF!</v>
      </c>
      <c r="M132" s="33" t="str">
        <f t="shared" si="11"/>
        <v>BS</v>
      </c>
    </row>
    <row r="133" spans="1:13" s="33" customFormat="true" ht="12.75" customHeight="true">
      <c r="A133" s="33" t="str">
        <f t="shared" si="8"/>
        <v>3SI - Principal</v>
      </c>
      <c r="B133" s="33" t="str">
        <f t="shared" si="9"/>
        <v>3SI</v>
      </c>
      <c r="C133" s="33" t="str">
        <f t="shared" si="10"/>
        <v>28002-7780</v>
      </c>
      <c r="D133" s="64" t="s">
        <v>220</v>
      </c>
      <c r="E133" s="64" t="s">
        <v>132</v>
      </c>
      <c r="F133" s="64" t="s">
        <v>15</v>
      </c>
      <c r="G133" s="64" t="s">
        <v>123</v>
      </c>
      <c r="H133" s="64" t="s">
        <v>127</v>
      </c>
      <c r="I133" s="64" t="s">
        <v>133</v>
      </c>
      <c r="J133" s="67">
        <v>0</v>
      </c>
      <c r="K133" s="62">
        <v>-173.6</v>
      </c>
      <c r="L133" s="33" t="e">
        <f>HLOOKUP(B133,#REF!,1,0)</f>
        <v>#REF!</v>
      </c>
      <c r="M133" s="33" t="str">
        <f t="shared" si="11"/>
        <v>BS</v>
      </c>
    </row>
    <row r="134" spans="1:13" s="33" customFormat="true" ht="12.75" customHeight="true">
      <c r="A134" s="33" t="str">
        <f t="shared" si="8"/>
        <v>3SI - Principal</v>
      </c>
      <c r="B134" s="33" t="str">
        <f t="shared" si="9"/>
        <v>3SI</v>
      </c>
      <c r="C134" s="33" t="str">
        <f t="shared" si="10"/>
        <v>28004-0000</v>
      </c>
      <c r="D134" s="64" t="s">
        <v>221</v>
      </c>
      <c r="E134" s="64" t="s">
        <v>139</v>
      </c>
      <c r="F134" s="64" t="s">
        <v>15</v>
      </c>
      <c r="G134" s="64" t="s">
        <v>123</v>
      </c>
      <c r="H134" s="64" t="s">
        <v>127</v>
      </c>
      <c r="I134" s="64" t="s">
        <v>133</v>
      </c>
      <c r="J134" s="67">
        <v>13234.29</v>
      </c>
      <c r="K134" s="62">
        <v>125512.41</v>
      </c>
      <c r="L134" s="33" t="e">
        <f>HLOOKUP(B134,#REF!,1,0)</f>
        <v>#REF!</v>
      </c>
      <c r="M134" s="33" t="str">
        <f t="shared" si="11"/>
        <v>BS</v>
      </c>
    </row>
    <row r="135" spans="1:13" s="33" customFormat="true" ht="12.75" customHeight="true">
      <c r="A135" s="33" t="str">
        <f t="shared" si="8"/>
        <v>3SI - SH Dist</v>
      </c>
      <c r="B135" s="33" t="str">
        <f t="shared" si="9"/>
        <v>3SI</v>
      </c>
      <c r="C135" s="33" t="str">
        <f t="shared" si="10"/>
        <v>30001-0000</v>
      </c>
      <c r="D135" s="64" t="s">
        <v>222</v>
      </c>
      <c r="E135" s="64" t="s">
        <v>141</v>
      </c>
      <c r="F135" s="64" t="s">
        <v>15</v>
      </c>
      <c r="G135" s="64" t="s">
        <v>142</v>
      </c>
      <c r="H135" s="64" t="s">
        <v>143</v>
      </c>
      <c r="I135" s="64" t="s">
        <v>144</v>
      </c>
      <c r="J135" s="67">
        <v>0</v>
      </c>
      <c r="K135" s="62">
        <v>-904165.17</v>
      </c>
      <c r="L135" s="33" t="e">
        <f>HLOOKUP(B135,#REF!,1,0)</f>
        <v>#REF!</v>
      </c>
      <c r="M135" s="33" t="str">
        <f t="shared" si="11"/>
        <v>BS</v>
      </c>
    </row>
    <row r="136" spans="1:13" s="33" customFormat="true" ht="12.75" customHeight="true">
      <c r="A136" s="33" t="str">
        <f t="shared" si="8"/>
        <v>3SI - SH Dist</v>
      </c>
      <c r="B136" s="33" t="str">
        <f t="shared" si="9"/>
        <v>3SI</v>
      </c>
      <c r="C136" s="33" t="str">
        <f t="shared" si="10"/>
        <v>30101-0000</v>
      </c>
      <c r="D136" s="64" t="s">
        <v>223</v>
      </c>
      <c r="E136" s="64" t="s">
        <v>146</v>
      </c>
      <c r="F136" s="64" t="s">
        <v>15</v>
      </c>
      <c r="G136" s="64" t="s">
        <v>142</v>
      </c>
      <c r="H136" s="64" t="s">
        <v>143</v>
      </c>
      <c r="I136" s="64" t="s">
        <v>144</v>
      </c>
      <c r="J136" s="67">
        <v>0</v>
      </c>
      <c r="K136" s="62">
        <v>-43260</v>
      </c>
      <c r="L136" s="33" t="e">
        <f>HLOOKUP(B136,#REF!,1,0)</f>
        <v>#REF!</v>
      </c>
      <c r="M136" s="33" t="str">
        <f t="shared" si="11"/>
        <v>BS</v>
      </c>
    </row>
    <row r="137" spans="1:13" s="33" customFormat="true" ht="12.75" customHeight="true">
      <c r="A137" s="33" t="str">
        <f t="shared" si="8"/>
        <v>3SI - Retained Earnings</v>
      </c>
      <c r="B137" s="33" t="str">
        <f t="shared" si="9"/>
        <v>3SI</v>
      </c>
      <c r="C137" s="33" t="str">
        <f t="shared" si="10"/>
        <v>32000-0000</v>
      </c>
      <c r="D137" s="64" t="s">
        <v>224</v>
      </c>
      <c r="E137" s="64" t="s">
        <v>148</v>
      </c>
      <c r="F137" s="64" t="s">
        <v>15</v>
      </c>
      <c r="G137" s="64" t="s">
        <v>142</v>
      </c>
      <c r="H137" s="64" t="s">
        <v>149</v>
      </c>
      <c r="I137" s="64" t="s">
        <v>150</v>
      </c>
      <c r="J137" s="67">
        <v>0</v>
      </c>
      <c r="K137" s="62">
        <v>-2606471.14</v>
      </c>
      <c r="L137" s="33" t="e">
        <f>HLOOKUP(B137,#REF!,1,0)</f>
        <v>#REF!</v>
      </c>
      <c r="M137" s="33" t="str">
        <f t="shared" si="11"/>
        <v>BS</v>
      </c>
    </row>
    <row r="138" spans="1:13" s="33" customFormat="true" ht="12.75" customHeight="true">
      <c r="A138" s="33" t="str">
        <f t="shared" si="8"/>
        <v>3SI - SH Dist</v>
      </c>
      <c r="B138" s="33" t="str">
        <f t="shared" si="9"/>
        <v>3SI</v>
      </c>
      <c r="C138" s="33" t="str">
        <f t="shared" si="10"/>
        <v>37002-0000</v>
      </c>
      <c r="D138" s="64" t="s">
        <v>225</v>
      </c>
      <c r="E138" s="64" t="s">
        <v>152</v>
      </c>
      <c r="F138" s="64" t="s">
        <v>15</v>
      </c>
      <c r="G138" s="64" t="s">
        <v>142</v>
      </c>
      <c r="H138" s="64" t="s">
        <v>143</v>
      </c>
      <c r="I138" s="64" t="s">
        <v>144</v>
      </c>
      <c r="J138" s="67">
        <v>110191.23</v>
      </c>
      <c r="K138" s="62">
        <v>638869.48</v>
      </c>
      <c r="L138" s="33" t="e">
        <f>HLOOKUP(B138,#REF!,1,0)</f>
        <v>#REF!</v>
      </c>
      <c r="M138" s="33" t="str">
        <f t="shared" si="11"/>
        <v>BS</v>
      </c>
    </row>
    <row r="139" spans="1:13" s="33" customFormat="true" ht="12.75" customHeight="true">
      <c r="A139" s="33" t="str">
        <f t="shared" si="8"/>
        <v>3SI - SH Dist</v>
      </c>
      <c r="B139" s="33" t="str">
        <f t="shared" si="9"/>
        <v>3SI</v>
      </c>
      <c r="C139" s="33" t="str">
        <f t="shared" si="10"/>
        <v>37003-0000</v>
      </c>
      <c r="D139" s="64" t="s">
        <v>226</v>
      </c>
      <c r="E139" s="64" t="s">
        <v>154</v>
      </c>
      <c r="F139" s="64" t="s">
        <v>15</v>
      </c>
      <c r="G139" s="64" t="s">
        <v>142</v>
      </c>
      <c r="H139" s="64" t="s">
        <v>143</v>
      </c>
      <c r="I139" s="64" t="s">
        <v>144</v>
      </c>
      <c r="J139" s="67">
        <v>10070.02</v>
      </c>
      <c r="K139" s="62">
        <v>58406.59</v>
      </c>
      <c r="L139" s="33" t="e">
        <f>HLOOKUP(B139,#REF!,1,0)</f>
        <v>#REF!</v>
      </c>
      <c r="M139" s="33" t="str">
        <f t="shared" si="11"/>
        <v>BS</v>
      </c>
    </row>
    <row r="140" spans="1:13" s="33" customFormat="true" ht="12.75" customHeight="true">
      <c r="A140" s="33" t="str">
        <f t="shared" si="8"/>
        <v>3SI - SH Dist</v>
      </c>
      <c r="B140" s="33" t="str">
        <f t="shared" si="9"/>
        <v>3SI</v>
      </c>
      <c r="C140" s="33" t="str">
        <f t="shared" si="10"/>
        <v>37006-0000</v>
      </c>
      <c r="D140" s="64" t="s">
        <v>227</v>
      </c>
      <c r="E140" s="64" t="s">
        <v>156</v>
      </c>
      <c r="F140" s="64" t="s">
        <v>15</v>
      </c>
      <c r="G140" s="64" t="s">
        <v>142</v>
      </c>
      <c r="H140" s="64" t="s">
        <v>143</v>
      </c>
      <c r="I140" s="64" t="s">
        <v>144</v>
      </c>
      <c r="J140" s="67">
        <v>637.5</v>
      </c>
      <c r="K140" s="62">
        <v>-78524.5</v>
      </c>
      <c r="L140" s="33" t="e">
        <f>HLOOKUP(B140,#REF!,1,0)</f>
        <v>#REF!</v>
      </c>
      <c r="M140" s="33" t="str">
        <f t="shared" si="11"/>
        <v>BS</v>
      </c>
    </row>
    <row r="141" spans="1:13" s="33" customFormat="true" ht="12.75" customHeight="true">
      <c r="A141" s="33" t="str">
        <f t="shared" si="8"/>
        <v>3SI - SH Dist</v>
      </c>
      <c r="B141" s="33" t="str">
        <f t="shared" si="9"/>
        <v>3SI</v>
      </c>
      <c r="C141" s="33" t="str">
        <f t="shared" si="10"/>
        <v>37007-0000</v>
      </c>
      <c r="D141" s="64" t="s">
        <v>228</v>
      </c>
      <c r="E141" s="64" t="s">
        <v>158</v>
      </c>
      <c r="F141" s="64" t="s">
        <v>15</v>
      </c>
      <c r="G141" s="64" t="s">
        <v>142</v>
      </c>
      <c r="H141" s="64" t="s">
        <v>143</v>
      </c>
      <c r="I141" s="64" t="s">
        <v>144</v>
      </c>
      <c r="J141" s="67">
        <v>4101.25</v>
      </c>
      <c r="K141" s="62">
        <v>23786.75</v>
      </c>
      <c r="L141" s="33" t="e">
        <f>HLOOKUP(B141,#REF!,1,0)</f>
        <v>#REF!</v>
      </c>
      <c r="M141" s="33" t="str">
        <f t="shared" si="11"/>
        <v>BS</v>
      </c>
    </row>
    <row r="142" spans="1:13" s="33" customFormat="true" ht="12.75" customHeight="true">
      <c r="A142" s="33" t="str">
        <f t="shared" si="8"/>
        <v>AKA - AP-Accr Exp</v>
      </c>
      <c r="B142" s="33" t="str">
        <f t="shared" si="9"/>
        <v>AKA</v>
      </c>
      <c r="C142" s="33" t="str">
        <f t="shared" si="10"/>
        <v>20001-0000</v>
      </c>
      <c r="D142" s="64" t="s">
        <v>229</v>
      </c>
      <c r="E142" s="64" t="s">
        <v>96</v>
      </c>
      <c r="F142" s="64" t="s">
        <v>230</v>
      </c>
      <c r="G142" s="64" t="s">
        <v>97</v>
      </c>
      <c r="H142" s="64" t="s">
        <v>98</v>
      </c>
      <c r="I142" s="64" t="s">
        <v>99</v>
      </c>
      <c r="J142" s="67">
        <v>5646.07</v>
      </c>
      <c r="K142" s="62">
        <v>0</v>
      </c>
      <c r="L142" s="33" t="e">
        <f>HLOOKUP(B142,#REF!,1,0)</f>
        <v>#REF!</v>
      </c>
      <c r="M142" s="33" t="str">
        <f t="shared" si="11"/>
        <v>BS</v>
      </c>
    </row>
    <row r="143" spans="1:13" s="33" customFormat="true" ht="12.75" customHeight="true">
      <c r="A143" s="33" t="str">
        <f t="shared" si="8"/>
        <v>AKA - AP-Accr Exp</v>
      </c>
      <c r="B143" s="33" t="str">
        <f t="shared" si="9"/>
        <v>AKA</v>
      </c>
      <c r="C143" s="33" t="str">
        <f t="shared" si="10"/>
        <v>24800-0000</v>
      </c>
      <c r="D143" s="64" t="s">
        <v>231</v>
      </c>
      <c r="E143" s="64" t="s">
        <v>232</v>
      </c>
      <c r="F143" s="64" t="s">
        <v>230</v>
      </c>
      <c r="G143" s="64" t="s">
        <v>97</v>
      </c>
      <c r="H143" s="64" t="s">
        <v>98</v>
      </c>
      <c r="I143" s="64" t="s">
        <v>102</v>
      </c>
      <c r="J143" s="67">
        <v>-599</v>
      </c>
      <c r="K143" s="62">
        <v>-20501.61</v>
      </c>
      <c r="L143" s="33" t="e">
        <f>HLOOKUP(B143,#REF!,1,0)</f>
        <v>#REF!</v>
      </c>
      <c r="M143" s="33" t="str">
        <f t="shared" si="11"/>
        <v>BS</v>
      </c>
    </row>
    <row r="144" spans="1:13" s="33" customFormat="true" ht="12.75" customHeight="true">
      <c r="A144" s="33" t="str">
        <f t="shared" si="8"/>
        <v>AKA - Retained Earnings</v>
      </c>
      <c r="B144" s="33" t="str">
        <f t="shared" si="9"/>
        <v>AKA</v>
      </c>
      <c r="C144" s="33" t="str">
        <f t="shared" si="10"/>
        <v>32000-0000</v>
      </c>
      <c r="D144" s="64" t="s">
        <v>233</v>
      </c>
      <c r="E144" s="64" t="s">
        <v>234</v>
      </c>
      <c r="F144" s="64" t="s">
        <v>230</v>
      </c>
      <c r="G144" s="64" t="s">
        <v>142</v>
      </c>
      <c r="H144" s="64" t="s">
        <v>149</v>
      </c>
      <c r="I144" s="64" t="s">
        <v>235</v>
      </c>
      <c r="J144" s="67">
        <v>0</v>
      </c>
      <c r="K144" s="62">
        <v>-1582.39</v>
      </c>
      <c r="L144" s="33" t="e">
        <f>HLOOKUP(B144,#REF!,1,0)</f>
        <v>#REF!</v>
      </c>
      <c r="M144" s="33" t="str">
        <f t="shared" si="11"/>
        <v>BS</v>
      </c>
    </row>
    <row r="145" spans="1:13" s="33" customFormat="true" ht="12.75" customHeight="true">
      <c r="A145" s="33" t="str">
        <f t="shared" si="8"/>
        <v>AKC - AP-Accr Exp</v>
      </c>
      <c r="B145" s="33" t="str">
        <f t="shared" si="9"/>
        <v>AKC</v>
      </c>
      <c r="C145" s="33" t="str">
        <f t="shared" si="10"/>
        <v>20001-0000</v>
      </c>
      <c r="D145" s="64" t="s">
        <v>236</v>
      </c>
      <c r="E145" s="64" t="s">
        <v>96</v>
      </c>
      <c r="F145" s="64" t="s">
        <v>230</v>
      </c>
      <c r="G145" s="64" t="s">
        <v>97</v>
      </c>
      <c r="H145" s="64" t="s">
        <v>98</v>
      </c>
      <c r="I145" s="64" t="s">
        <v>99</v>
      </c>
      <c r="J145" s="67">
        <v>975.55</v>
      </c>
      <c r="K145" s="62">
        <v>0</v>
      </c>
      <c r="L145" s="33" t="e">
        <f>HLOOKUP(B145,#REF!,1,0)</f>
        <v>#REF!</v>
      </c>
      <c r="M145" s="33" t="str">
        <f t="shared" si="11"/>
        <v>BS</v>
      </c>
    </row>
    <row r="146" spans="1:13" s="33" customFormat="true" ht="12.75" customHeight="true">
      <c r="A146" s="33" t="str">
        <f t="shared" si="8"/>
        <v>AKC - AP-Accr Exp</v>
      </c>
      <c r="B146" s="33" t="str">
        <f t="shared" si="9"/>
        <v>AKC</v>
      </c>
      <c r="C146" s="33" t="str">
        <f t="shared" si="10"/>
        <v>24800-0000</v>
      </c>
      <c r="D146" s="64" t="s">
        <v>237</v>
      </c>
      <c r="E146" s="64" t="s">
        <v>232</v>
      </c>
      <c r="F146" s="64" t="s">
        <v>230</v>
      </c>
      <c r="G146" s="64" t="s">
        <v>97</v>
      </c>
      <c r="H146" s="64" t="s">
        <v>98</v>
      </c>
      <c r="I146" s="64" t="s">
        <v>102</v>
      </c>
      <c r="J146" s="67">
        <v>600</v>
      </c>
      <c r="K146" s="62">
        <v>-7200</v>
      </c>
      <c r="L146" s="33" t="e">
        <f>HLOOKUP(B146,#REF!,1,0)</f>
        <v>#REF!</v>
      </c>
      <c r="M146" s="33" t="str">
        <f t="shared" si="11"/>
        <v>BS</v>
      </c>
    </row>
    <row r="147" spans="1:13" s="33" customFormat="true" ht="12.75" customHeight="true">
      <c r="A147" s="33" t="str">
        <f t="shared" si="8"/>
        <v>AKC - Retained Earnings</v>
      </c>
      <c r="B147" s="33" t="str">
        <f t="shared" si="9"/>
        <v>AKC</v>
      </c>
      <c r="C147" s="33" t="str">
        <f t="shared" si="10"/>
        <v>32000-0000</v>
      </c>
      <c r="D147" s="64" t="s">
        <v>238</v>
      </c>
      <c r="E147" s="64" t="s">
        <v>234</v>
      </c>
      <c r="F147" s="64" t="s">
        <v>230</v>
      </c>
      <c r="G147" s="64" t="s">
        <v>142</v>
      </c>
      <c r="H147" s="64" t="s">
        <v>149</v>
      </c>
      <c r="I147" s="64" t="s">
        <v>235</v>
      </c>
      <c r="J147" s="67">
        <v>0</v>
      </c>
      <c r="K147" s="62">
        <v>-700</v>
      </c>
      <c r="L147" s="33" t="e">
        <f>HLOOKUP(B147,#REF!,1,0)</f>
        <v>#REF!</v>
      </c>
      <c r="M147" s="33" t="str">
        <f t="shared" si="11"/>
        <v>BS</v>
      </c>
    </row>
    <row r="148" spans="1:13" s="33" customFormat="true" ht="12.75" customHeight="true">
      <c r="A148" s="33" t="str">
        <f t="shared" si="8"/>
        <v>AKG - Cash</v>
      </c>
      <c r="B148" s="33" t="str">
        <f t="shared" si="9"/>
        <v>AKG</v>
      </c>
      <c r="C148" s="33" t="str">
        <f t="shared" si="10"/>
        <v>10001-0000</v>
      </c>
      <c r="D148" s="283" t="s">
        <v>239</v>
      </c>
      <c r="E148" s="64" t="s">
        <v>240</v>
      </c>
      <c r="F148" s="64" t="s">
        <v>230</v>
      </c>
      <c r="G148" s="64" t="s">
        <v>16</v>
      </c>
      <c r="H148" s="64" t="s">
        <v>25</v>
      </c>
      <c r="I148" s="64" t="s">
        <v>18</v>
      </c>
      <c r="J148" s="67">
        <v>-1729.38</v>
      </c>
      <c r="K148" s="62">
        <v>30969.6</v>
      </c>
      <c r="L148" s="33" t="e">
        <f>HLOOKUP(B148,#REF!,1,0)</f>
        <v>#REF!</v>
      </c>
      <c r="M148" s="33" t="str">
        <f t="shared" si="11"/>
        <v>BS</v>
      </c>
    </row>
    <row r="149" spans="1:13" s="33" customFormat="true" ht="12.75" customHeight="true">
      <c r="A149" s="33" t="str">
        <f t="shared" si="8"/>
        <v>AKG - Intercompany</v>
      </c>
      <c r="B149" s="33" t="str">
        <f t="shared" si="9"/>
        <v>AKG</v>
      </c>
      <c r="C149" s="33" t="str">
        <f t="shared" si="10"/>
        <v>11216-0000</v>
      </c>
      <c r="D149" s="283" t="s">
        <v>241</v>
      </c>
      <c r="E149" s="64" t="s">
        <v>242</v>
      </c>
      <c r="F149" s="64" t="s">
        <v>230</v>
      </c>
      <c r="G149" s="64" t="s">
        <v>16</v>
      </c>
      <c r="H149" s="64" t="s">
        <v>39</v>
      </c>
      <c r="I149" s="64" t="s">
        <v>40</v>
      </c>
      <c r="J149" s="67">
        <v>0</v>
      </c>
      <c r="K149" s="62">
        <v>379260.92</v>
      </c>
      <c r="L149" s="33" t="e">
        <f>HLOOKUP(B149,#REF!,1,0)</f>
        <v>#REF!</v>
      </c>
      <c r="M149" s="33" t="str">
        <f t="shared" si="11"/>
        <v>BS</v>
      </c>
    </row>
    <row r="150" spans="1:13" s="33" customFormat="true" ht="12.75" customHeight="true">
      <c r="A150" s="33" t="str">
        <f t="shared" si="8"/>
        <v>AKG - Intercompany</v>
      </c>
      <c r="B150" s="33" t="str">
        <f t="shared" si="9"/>
        <v>AKG</v>
      </c>
      <c r="C150" s="33" t="str">
        <f t="shared" si="10"/>
        <v>11301-0000</v>
      </c>
      <c r="D150" s="283" t="s">
        <v>243</v>
      </c>
      <c r="E150" s="64" t="s">
        <v>244</v>
      </c>
      <c r="F150" s="64" t="s">
        <v>230</v>
      </c>
      <c r="G150" s="64" t="s">
        <v>16</v>
      </c>
      <c r="H150" s="64" t="s">
        <v>39</v>
      </c>
      <c r="I150" s="64" t="s">
        <v>40</v>
      </c>
      <c r="J150" s="67">
        <v>0</v>
      </c>
      <c r="K150" s="62">
        <v>40000</v>
      </c>
      <c r="L150" s="33" t="e">
        <f>HLOOKUP(B150,#REF!,1,0)</f>
        <v>#REF!</v>
      </c>
      <c r="M150" s="33" t="str">
        <f t="shared" si="11"/>
        <v>BS</v>
      </c>
    </row>
    <row r="151" spans="1:13" s="33" customFormat="true" ht="12.75" customHeight="true">
      <c r="A151" s="33" t="str">
        <f t="shared" si="8"/>
        <v>AKG - Intercompany</v>
      </c>
      <c r="B151" s="33" t="str">
        <f t="shared" si="9"/>
        <v>AKG</v>
      </c>
      <c r="C151" s="33" t="str">
        <f t="shared" si="10"/>
        <v>11302-0000</v>
      </c>
      <c r="D151" s="283" t="s">
        <v>245</v>
      </c>
      <c r="E151" s="64" t="s">
        <v>246</v>
      </c>
      <c r="F151" s="64" t="s">
        <v>230</v>
      </c>
      <c r="G151" s="64" t="s">
        <v>16</v>
      </c>
      <c r="H151" s="64" t="s">
        <v>39</v>
      </c>
      <c r="I151" s="64" t="s">
        <v>40</v>
      </c>
      <c r="J151" s="67">
        <v>0</v>
      </c>
      <c r="K151" s="62">
        <v>30000</v>
      </c>
      <c r="L151" s="33" t="e">
        <f>HLOOKUP(B151,#REF!,1,0)</f>
        <v>#REF!</v>
      </c>
      <c r="M151" s="33" t="str">
        <f t="shared" si="11"/>
        <v>BS</v>
      </c>
    </row>
    <row r="152" spans="1:13" s="33" customFormat="true" ht="12.75" customHeight="true">
      <c r="A152" s="33" t="str">
        <f t="shared" si="8"/>
        <v>AKG - Intercompany</v>
      </c>
      <c r="B152" s="33" t="str">
        <f t="shared" si="9"/>
        <v>AKG</v>
      </c>
      <c r="C152" s="33" t="str">
        <f t="shared" si="10"/>
        <v>11303-0000</v>
      </c>
      <c r="D152" s="283" t="s">
        <v>247</v>
      </c>
      <c r="E152" s="64" t="s">
        <v>248</v>
      </c>
      <c r="F152" s="64" t="s">
        <v>230</v>
      </c>
      <c r="G152" s="64" t="s">
        <v>16</v>
      </c>
      <c r="H152" s="64" t="s">
        <v>39</v>
      </c>
      <c r="I152" s="64" t="s">
        <v>40</v>
      </c>
      <c r="J152" s="67">
        <v>0</v>
      </c>
      <c r="K152" s="62">
        <v>1000</v>
      </c>
      <c r="L152" s="33" t="e">
        <f>HLOOKUP(B152,#REF!,1,0)</f>
        <v>#REF!</v>
      </c>
      <c r="M152" s="33" t="str">
        <f t="shared" si="11"/>
        <v>BS</v>
      </c>
    </row>
    <row r="153" spans="1:13" s="33" customFormat="true" ht="12.75" customHeight="true">
      <c r="A153" s="33" t="str">
        <f t="shared" si="8"/>
        <v>AKG - Intercompany</v>
      </c>
      <c r="B153" s="33" t="str">
        <f t="shared" si="9"/>
        <v>AKG</v>
      </c>
      <c r="C153" s="33" t="str">
        <f t="shared" si="10"/>
        <v>11304-0000</v>
      </c>
      <c r="D153" s="283" t="s">
        <v>249</v>
      </c>
      <c r="E153" s="64" t="s">
        <v>250</v>
      </c>
      <c r="F153" s="64" t="s">
        <v>230</v>
      </c>
      <c r="G153" s="64" t="s">
        <v>16</v>
      </c>
      <c r="H153" s="64" t="s">
        <v>39</v>
      </c>
      <c r="I153" s="64" t="s">
        <v>40</v>
      </c>
      <c r="J153" s="67">
        <v>0</v>
      </c>
      <c r="K153" s="62">
        <v>25000</v>
      </c>
      <c r="L153" s="33" t="e">
        <f>HLOOKUP(B153,#REF!,1,0)</f>
        <v>#REF!</v>
      </c>
      <c r="M153" s="33" t="str">
        <f t="shared" si="11"/>
        <v>BS</v>
      </c>
    </row>
    <row r="154" spans="1:13" s="33" customFormat="true" ht="12.75" customHeight="true">
      <c r="A154" s="33" t="str">
        <f t="shared" si="8"/>
        <v>AKG - Intercompany</v>
      </c>
      <c r="B154" s="33" t="str">
        <f t="shared" si="9"/>
        <v>AKG</v>
      </c>
      <c r="C154" s="33" t="str">
        <f t="shared" si="10"/>
        <v>11305-0000</v>
      </c>
      <c r="D154" s="283" t="s">
        <v>251</v>
      </c>
      <c r="E154" s="64" t="s">
        <v>252</v>
      </c>
      <c r="F154" s="64" t="s">
        <v>230</v>
      </c>
      <c r="G154" s="64" t="s">
        <v>16</v>
      </c>
      <c r="H154" s="64" t="s">
        <v>39</v>
      </c>
      <c r="I154" s="64" t="s">
        <v>40</v>
      </c>
      <c r="J154" s="67">
        <v>0</v>
      </c>
      <c r="K154" s="62">
        <v>245000</v>
      </c>
      <c r="L154" s="33" t="e">
        <f>HLOOKUP(B154,#REF!,1,0)</f>
        <v>#REF!</v>
      </c>
      <c r="M154" s="33" t="str">
        <f t="shared" si="11"/>
        <v>BS</v>
      </c>
    </row>
    <row r="155" spans="1:13" s="33" customFormat="true" ht="12.75" customHeight="true">
      <c r="A155" s="33" t="str">
        <f t="shared" si="8"/>
        <v>AKG - Intercompany</v>
      </c>
      <c r="B155" s="33" t="str">
        <f t="shared" si="9"/>
        <v>AKG</v>
      </c>
      <c r="C155" s="33" t="str">
        <f t="shared" si="10"/>
        <v>11309-0000</v>
      </c>
      <c r="D155" s="283" t="s">
        <v>253</v>
      </c>
      <c r="E155" s="64" t="s">
        <v>254</v>
      </c>
      <c r="F155" s="64" t="s">
        <v>230</v>
      </c>
      <c r="G155" s="64" t="s">
        <v>16</v>
      </c>
      <c r="H155" s="64" t="s">
        <v>39</v>
      </c>
      <c r="I155" s="64" t="s">
        <v>40</v>
      </c>
      <c r="J155" s="67">
        <v>0</v>
      </c>
      <c r="K155" s="62">
        <v>20000</v>
      </c>
      <c r="L155" s="33" t="e">
        <f>HLOOKUP(B155,#REF!,1,0)</f>
        <v>#REF!</v>
      </c>
      <c r="M155" s="33" t="str">
        <f t="shared" si="11"/>
        <v>BS</v>
      </c>
    </row>
    <row r="156" spans="1:13" s="33" customFormat="true" ht="12.75" customHeight="true">
      <c r="A156" s="33" t="str">
        <f t="shared" si="8"/>
        <v>AKG - Intercompany</v>
      </c>
      <c r="B156" s="33" t="str">
        <f t="shared" si="9"/>
        <v>AKG</v>
      </c>
      <c r="C156" s="33" t="str">
        <f t="shared" si="10"/>
        <v>11310-0000</v>
      </c>
      <c r="D156" s="283" t="s">
        <v>255</v>
      </c>
      <c r="E156" s="64" t="s">
        <v>256</v>
      </c>
      <c r="F156" s="64" t="s">
        <v>230</v>
      </c>
      <c r="G156" s="64" t="s">
        <v>16</v>
      </c>
      <c r="H156" s="64" t="s">
        <v>39</v>
      </c>
      <c r="I156" s="64" t="s">
        <v>40</v>
      </c>
      <c r="J156" s="67">
        <v>0</v>
      </c>
      <c r="K156" s="62">
        <v>125000</v>
      </c>
      <c r="L156" s="33" t="e">
        <f>HLOOKUP(B156,#REF!,1,0)</f>
        <v>#REF!</v>
      </c>
      <c r="M156" s="33" t="str">
        <f t="shared" si="11"/>
        <v>BS</v>
      </c>
    </row>
    <row r="157" spans="1:13" s="33" customFormat="true" ht="12.75" customHeight="true">
      <c r="A157" s="33" t="str">
        <f t="shared" si="8"/>
        <v>AKG - Intercompany</v>
      </c>
      <c r="B157" s="33" t="str">
        <f t="shared" si="9"/>
        <v>AKG</v>
      </c>
      <c r="C157" s="33" t="str">
        <f t="shared" si="10"/>
        <v>11311-0000</v>
      </c>
      <c r="D157" s="283" t="s">
        <v>257</v>
      </c>
      <c r="E157" s="64" t="s">
        <v>258</v>
      </c>
      <c r="F157" s="64" t="s">
        <v>230</v>
      </c>
      <c r="G157" s="64" t="s">
        <v>16</v>
      </c>
      <c r="H157" s="64" t="s">
        <v>39</v>
      </c>
      <c r="I157" s="64" t="s">
        <v>40</v>
      </c>
      <c r="J157" s="67">
        <v>0</v>
      </c>
      <c r="K157" s="62">
        <v>40000</v>
      </c>
      <c r="L157" s="33" t="e">
        <f>HLOOKUP(B157,#REF!,1,0)</f>
        <v>#REF!</v>
      </c>
      <c r="M157" s="33" t="str">
        <f t="shared" si="11"/>
        <v>BS</v>
      </c>
    </row>
    <row r="158" spans="1:13" s="33" customFormat="true" ht="12.75" customHeight="true">
      <c r="A158" s="33" t="str">
        <f t="shared" si="8"/>
        <v>AKG - Intercompany</v>
      </c>
      <c r="B158" s="33" t="str">
        <f t="shared" si="9"/>
        <v>AKG</v>
      </c>
      <c r="C158" s="33" t="str">
        <f t="shared" si="10"/>
        <v>11313-0000</v>
      </c>
      <c r="D158" s="283" t="s">
        <v>259</v>
      </c>
      <c r="E158" s="64" t="s">
        <v>260</v>
      </c>
      <c r="F158" s="64" t="s">
        <v>230</v>
      </c>
      <c r="G158" s="64" t="s">
        <v>16</v>
      </c>
      <c r="H158" s="64" t="s">
        <v>39</v>
      </c>
      <c r="I158" s="64" t="s">
        <v>40</v>
      </c>
      <c r="J158" s="67">
        <v>0</v>
      </c>
      <c r="K158" s="62">
        <v>25000</v>
      </c>
      <c r="L158" s="33" t="e">
        <f>HLOOKUP(B158,#REF!,1,0)</f>
        <v>#REF!</v>
      </c>
      <c r="M158" s="33" t="str">
        <f t="shared" si="11"/>
        <v>BS</v>
      </c>
    </row>
    <row r="159" spans="1:13" s="33" customFormat="true" ht="12.75" customHeight="true">
      <c r="A159" s="33" t="str">
        <f t="shared" si="8"/>
        <v>AKG - Intercompany</v>
      </c>
      <c r="B159" s="33" t="str">
        <f t="shared" si="9"/>
        <v>AKG</v>
      </c>
      <c r="C159" s="33" t="str">
        <f t="shared" si="10"/>
        <v>11315-0000</v>
      </c>
      <c r="D159" s="283" t="s">
        <v>261</v>
      </c>
      <c r="E159" s="64" t="s">
        <v>262</v>
      </c>
      <c r="F159" s="64" t="s">
        <v>230</v>
      </c>
      <c r="G159" s="64" t="s">
        <v>16</v>
      </c>
      <c r="H159" s="64" t="s">
        <v>39</v>
      </c>
      <c r="I159" s="64" t="s">
        <v>40</v>
      </c>
      <c r="J159" s="67">
        <v>0</v>
      </c>
      <c r="K159" s="62">
        <v>20000</v>
      </c>
      <c r="L159" s="33" t="e">
        <f>HLOOKUP(B159,#REF!,1,0)</f>
        <v>#REF!</v>
      </c>
      <c r="M159" s="33" t="str">
        <f t="shared" si="11"/>
        <v>BS</v>
      </c>
    </row>
    <row r="160" spans="1:13" s="33" customFormat="true" ht="12.75" customHeight="true">
      <c r="A160" s="33" t="str">
        <f t="shared" si="8"/>
        <v>AKG - Intercompany</v>
      </c>
      <c r="B160" s="33" t="str">
        <f t="shared" si="9"/>
        <v>AKG</v>
      </c>
      <c r="C160" s="33" t="str">
        <f t="shared" si="10"/>
        <v>11316-0000</v>
      </c>
      <c r="D160" s="283" t="s">
        <v>263</v>
      </c>
      <c r="E160" s="64" t="s">
        <v>264</v>
      </c>
      <c r="F160" s="64" t="s">
        <v>230</v>
      </c>
      <c r="G160" s="64" t="s">
        <v>16</v>
      </c>
      <c r="H160" s="64" t="s">
        <v>39</v>
      </c>
      <c r="I160" s="64" t="s">
        <v>40</v>
      </c>
      <c r="J160" s="67">
        <v>0</v>
      </c>
      <c r="K160" s="62">
        <v>41000</v>
      </c>
      <c r="L160" s="33" t="e">
        <f>HLOOKUP(B160,#REF!,1,0)</f>
        <v>#REF!</v>
      </c>
      <c r="M160" s="33" t="str">
        <f t="shared" si="11"/>
        <v>BS</v>
      </c>
    </row>
    <row r="161" spans="1:13" s="33" customFormat="true" ht="12.75" customHeight="true">
      <c r="A161" s="33" t="str">
        <f t="shared" si="8"/>
        <v>AKG - Intercompany</v>
      </c>
      <c r="B161" s="33" t="str">
        <f t="shared" si="9"/>
        <v>AKG</v>
      </c>
      <c r="C161" s="33" t="str">
        <f t="shared" si="10"/>
        <v>11319-0000</v>
      </c>
      <c r="D161" s="283" t="s">
        <v>265</v>
      </c>
      <c r="E161" s="64" t="s">
        <v>266</v>
      </c>
      <c r="F161" s="64" t="s">
        <v>230</v>
      </c>
      <c r="G161" s="64" t="s">
        <v>16</v>
      </c>
      <c r="H161" s="64" t="s">
        <v>39</v>
      </c>
      <c r="I161" s="64" t="s">
        <v>40</v>
      </c>
      <c r="J161" s="67">
        <v>0</v>
      </c>
      <c r="K161" s="62">
        <v>5000</v>
      </c>
      <c r="L161" s="33" t="e">
        <f>HLOOKUP(B161,#REF!,1,0)</f>
        <v>#REF!</v>
      </c>
      <c r="M161" s="33" t="str">
        <f t="shared" si="11"/>
        <v>BS</v>
      </c>
    </row>
    <row r="162" spans="1:13" s="33" customFormat="true" ht="12.75" customHeight="true">
      <c r="A162" s="33" t="str">
        <f t="shared" si="8"/>
        <v>AKG - Intercompany</v>
      </c>
      <c r="B162" s="33" t="str">
        <f t="shared" si="9"/>
        <v>AKG</v>
      </c>
      <c r="C162" s="33" t="str">
        <f t="shared" si="10"/>
        <v>11321-0000</v>
      </c>
      <c r="D162" s="283" t="s">
        <v>267</v>
      </c>
      <c r="E162" s="64" t="s">
        <v>268</v>
      </c>
      <c r="F162" s="64" t="s">
        <v>230</v>
      </c>
      <c r="G162" s="64" t="s">
        <v>16</v>
      </c>
      <c r="H162" s="64" t="s">
        <v>39</v>
      </c>
      <c r="I162" s="64" t="s">
        <v>40</v>
      </c>
      <c r="J162" s="67">
        <v>0</v>
      </c>
      <c r="K162" s="62">
        <v>130000</v>
      </c>
      <c r="L162" s="33" t="e">
        <f>HLOOKUP(B162,#REF!,1,0)</f>
        <v>#REF!</v>
      </c>
      <c r="M162" s="33" t="str">
        <f t="shared" si="11"/>
        <v>BS</v>
      </c>
    </row>
    <row r="163" spans="1:13" s="33" customFormat="true" ht="12.75" customHeight="true">
      <c r="A163" s="33" t="str">
        <f t="shared" si="8"/>
        <v>AKG - Intercompany</v>
      </c>
      <c r="B163" s="33" t="str">
        <f t="shared" si="9"/>
        <v>AKG</v>
      </c>
      <c r="C163" s="33" t="str">
        <f t="shared" si="10"/>
        <v>11322-0000</v>
      </c>
      <c r="D163" s="283" t="s">
        <v>269</v>
      </c>
      <c r="E163" s="64" t="s">
        <v>270</v>
      </c>
      <c r="F163" s="64" t="s">
        <v>230</v>
      </c>
      <c r="G163" s="64" t="s">
        <v>16</v>
      </c>
      <c r="H163" s="64" t="s">
        <v>39</v>
      </c>
      <c r="I163" s="64" t="s">
        <v>40</v>
      </c>
      <c r="J163" s="67">
        <v>0</v>
      </c>
      <c r="K163" s="62">
        <v>3000</v>
      </c>
      <c r="L163" s="33" t="e">
        <f>HLOOKUP(B163,#REF!,1,0)</f>
        <v>#REF!</v>
      </c>
      <c r="M163" s="33" t="str">
        <f t="shared" si="11"/>
        <v>BS</v>
      </c>
    </row>
    <row r="164" spans="1:13" s="33" customFormat="true" ht="12.75" customHeight="true">
      <c r="A164" s="33" t="str">
        <f t="shared" si="8"/>
        <v>AKG - Intercompany</v>
      </c>
      <c r="B164" s="33" t="str">
        <f t="shared" si="9"/>
        <v>AKG</v>
      </c>
      <c r="C164" s="33" t="str">
        <f t="shared" si="10"/>
        <v>11324-0000</v>
      </c>
      <c r="D164" s="283" t="s">
        <v>271</v>
      </c>
      <c r="E164" s="64" t="s">
        <v>272</v>
      </c>
      <c r="F164" s="64" t="s">
        <v>230</v>
      </c>
      <c r="G164" s="64" t="s">
        <v>16</v>
      </c>
      <c r="H164" s="64" t="s">
        <v>39</v>
      </c>
      <c r="I164" s="64" t="s">
        <v>40</v>
      </c>
      <c r="J164" s="67">
        <v>0</v>
      </c>
      <c r="K164" s="62">
        <v>60000</v>
      </c>
      <c r="L164" s="33" t="e">
        <f>HLOOKUP(B164,#REF!,1,0)</f>
        <v>#REF!</v>
      </c>
      <c r="M164" s="33" t="str">
        <f t="shared" si="11"/>
        <v>BS</v>
      </c>
    </row>
    <row r="165" spans="1:13" s="33" customFormat="true" ht="12.75" customHeight="true">
      <c r="A165" s="33" t="str">
        <f t="shared" si="8"/>
        <v>AKG - Intercompany</v>
      </c>
      <c r="B165" s="33" t="str">
        <f t="shared" si="9"/>
        <v>AKG</v>
      </c>
      <c r="C165" s="33" t="str">
        <f t="shared" si="10"/>
        <v>11325-0000</v>
      </c>
      <c r="D165" s="283" t="s">
        <v>273</v>
      </c>
      <c r="E165" s="64" t="s">
        <v>274</v>
      </c>
      <c r="F165" s="64" t="s">
        <v>230</v>
      </c>
      <c r="G165" s="64" t="s">
        <v>16</v>
      </c>
      <c r="H165" s="64" t="s">
        <v>39</v>
      </c>
      <c r="I165" s="64" t="s">
        <v>40</v>
      </c>
      <c r="J165" s="67">
        <v>0</v>
      </c>
      <c r="K165" s="62">
        <v>20000</v>
      </c>
      <c r="L165" s="33" t="e">
        <f>HLOOKUP(B165,#REF!,1,0)</f>
        <v>#REF!</v>
      </c>
      <c r="M165" s="33" t="str">
        <f t="shared" si="11"/>
        <v>BS</v>
      </c>
    </row>
    <row r="166" spans="1:13" s="33" customFormat="true" ht="12.75" customHeight="true">
      <c r="A166" s="33" t="str">
        <f t="shared" si="8"/>
        <v>AKG - Intercompany</v>
      </c>
      <c r="B166" s="33" t="str">
        <f t="shared" si="9"/>
        <v>AKG</v>
      </c>
      <c r="C166" s="33" t="str">
        <f t="shared" si="10"/>
        <v>11326-0000</v>
      </c>
      <c r="D166" s="283" t="s">
        <v>275</v>
      </c>
      <c r="E166" s="64" t="s">
        <v>276</v>
      </c>
      <c r="F166" s="64" t="s">
        <v>230</v>
      </c>
      <c r="G166" s="64" t="s">
        <v>16</v>
      </c>
      <c r="H166" s="64" t="s">
        <v>39</v>
      </c>
      <c r="I166" s="64" t="s">
        <v>40</v>
      </c>
      <c r="J166" s="67">
        <v>0</v>
      </c>
      <c r="K166" s="62">
        <v>12000</v>
      </c>
      <c r="L166" s="33" t="e">
        <f>HLOOKUP(B166,#REF!,1,0)</f>
        <v>#REF!</v>
      </c>
      <c r="M166" s="33" t="str">
        <f t="shared" si="11"/>
        <v>BS</v>
      </c>
    </row>
    <row r="167" spans="1:13" s="33" customFormat="true" ht="12.75" customHeight="true">
      <c r="A167" s="33" t="str">
        <f t="shared" si="8"/>
        <v>AKG - Intercompany</v>
      </c>
      <c r="B167" s="33" t="str">
        <f t="shared" si="9"/>
        <v>AKG</v>
      </c>
      <c r="C167" s="33" t="str">
        <f t="shared" si="10"/>
        <v>11328-0000</v>
      </c>
      <c r="D167" s="283" t="s">
        <v>277</v>
      </c>
      <c r="E167" s="64" t="s">
        <v>278</v>
      </c>
      <c r="F167" s="64" t="s">
        <v>230</v>
      </c>
      <c r="G167" s="64" t="s">
        <v>16</v>
      </c>
      <c r="H167" s="64" t="s">
        <v>39</v>
      </c>
      <c r="I167" s="64" t="s">
        <v>40</v>
      </c>
      <c r="J167" s="67">
        <v>0</v>
      </c>
      <c r="K167" s="62">
        <v>10000</v>
      </c>
      <c r="L167" s="33" t="e">
        <f>HLOOKUP(B167,#REF!,1,0)</f>
        <v>#REF!</v>
      </c>
      <c r="M167" s="33" t="str">
        <f t="shared" si="11"/>
        <v>BS</v>
      </c>
    </row>
    <row r="168" spans="1:13" s="33" customFormat="true" ht="12.75" customHeight="true">
      <c r="A168" s="33" t="str">
        <f t="shared" si="8"/>
        <v>AKG - Intercompany</v>
      </c>
      <c r="B168" s="33" t="str">
        <f t="shared" si="9"/>
        <v>AKG</v>
      </c>
      <c r="C168" s="33" t="str">
        <f t="shared" si="10"/>
        <v>11330-0000</v>
      </c>
      <c r="D168" s="283" t="s">
        <v>279</v>
      </c>
      <c r="E168" s="64" t="s">
        <v>280</v>
      </c>
      <c r="F168" s="64" t="s">
        <v>230</v>
      </c>
      <c r="G168" s="64" t="s">
        <v>16</v>
      </c>
      <c r="H168" s="64" t="s">
        <v>39</v>
      </c>
      <c r="I168" s="64" t="s">
        <v>40</v>
      </c>
      <c r="J168" s="67">
        <v>0</v>
      </c>
      <c r="K168" s="62">
        <v>10000</v>
      </c>
      <c r="L168" s="33" t="e">
        <f>HLOOKUP(B168,#REF!,1,0)</f>
        <v>#REF!</v>
      </c>
      <c r="M168" s="33" t="str">
        <f t="shared" si="11"/>
        <v>BS</v>
      </c>
    </row>
    <row r="169" spans="1:13" s="33" customFormat="true" ht="12.75" customHeight="true">
      <c r="A169" s="33" t="str">
        <f t="shared" si="8"/>
        <v>AKG - Intercompany</v>
      </c>
      <c r="B169" s="33" t="str">
        <f t="shared" si="9"/>
        <v>AKG</v>
      </c>
      <c r="C169" s="33" t="str">
        <f t="shared" si="10"/>
        <v>11332-0000</v>
      </c>
      <c r="D169" s="283" t="s">
        <v>281</v>
      </c>
      <c r="E169" s="64" t="s">
        <v>282</v>
      </c>
      <c r="F169" s="64" t="s">
        <v>230</v>
      </c>
      <c r="G169" s="64" t="s">
        <v>16</v>
      </c>
      <c r="H169" s="64" t="s">
        <v>39</v>
      </c>
      <c r="I169" s="64" t="s">
        <v>40</v>
      </c>
      <c r="J169" s="67">
        <v>0</v>
      </c>
      <c r="K169" s="62">
        <v>100000</v>
      </c>
      <c r="L169" s="33" t="e">
        <f>HLOOKUP(B169,#REF!,1,0)</f>
        <v>#REF!</v>
      </c>
      <c r="M169" s="33" t="str">
        <f t="shared" si="11"/>
        <v>BS</v>
      </c>
    </row>
    <row r="170" spans="1:13" s="33" customFormat="true" ht="12.75" customHeight="true">
      <c r="A170" s="33" t="str">
        <f t="shared" si="8"/>
        <v>AKG - Intercompany</v>
      </c>
      <c r="B170" s="33" t="str">
        <f t="shared" si="9"/>
        <v>AKG</v>
      </c>
      <c r="C170" s="33" t="str">
        <f t="shared" si="10"/>
        <v>11333-0000</v>
      </c>
      <c r="D170" s="283" t="s">
        <v>283</v>
      </c>
      <c r="E170" s="64" t="s">
        <v>284</v>
      </c>
      <c r="F170" s="64" t="s">
        <v>230</v>
      </c>
      <c r="G170" s="64" t="s">
        <v>16</v>
      </c>
      <c r="H170" s="64" t="s">
        <v>39</v>
      </c>
      <c r="I170" s="64" t="s">
        <v>40</v>
      </c>
      <c r="J170" s="67">
        <v>0</v>
      </c>
      <c r="K170" s="62">
        <v>30000</v>
      </c>
      <c r="L170" s="33" t="e">
        <f>HLOOKUP(B170,#REF!,1,0)</f>
        <v>#REF!</v>
      </c>
      <c r="M170" s="33" t="str">
        <f t="shared" si="11"/>
        <v>BS</v>
      </c>
    </row>
    <row r="171" spans="1:13" s="33" customFormat="true" ht="12.75" customHeight="true">
      <c r="A171" s="33" t="str">
        <f t="shared" si="8"/>
        <v>AKG - Intercompany</v>
      </c>
      <c r="B171" s="33" t="str">
        <f t="shared" si="9"/>
        <v>AKG</v>
      </c>
      <c r="C171" s="33" t="str">
        <f t="shared" si="10"/>
        <v>11334-0000</v>
      </c>
      <c r="D171" s="283" t="s">
        <v>285</v>
      </c>
      <c r="E171" s="64" t="s">
        <v>286</v>
      </c>
      <c r="F171" s="64" t="s">
        <v>230</v>
      </c>
      <c r="G171" s="64" t="s">
        <v>16</v>
      </c>
      <c r="H171" s="64" t="s">
        <v>39</v>
      </c>
      <c r="I171" s="64" t="s">
        <v>40</v>
      </c>
      <c r="J171" s="67">
        <v>0</v>
      </c>
      <c r="K171" s="62">
        <v>32000</v>
      </c>
      <c r="L171" s="33" t="e">
        <f>HLOOKUP(B171,#REF!,1,0)</f>
        <v>#REF!</v>
      </c>
      <c r="M171" s="33" t="str">
        <f t="shared" si="11"/>
        <v>BS</v>
      </c>
    </row>
    <row r="172" spans="1:13" s="33" customFormat="true" ht="12.75" customHeight="true">
      <c r="A172" s="33" t="str">
        <f t="shared" si="8"/>
        <v>AKG - Intercompany</v>
      </c>
      <c r="B172" s="33" t="str">
        <f t="shared" si="9"/>
        <v>AKG</v>
      </c>
      <c r="C172" s="33" t="str">
        <f t="shared" si="10"/>
        <v>11335-0000</v>
      </c>
      <c r="D172" s="283" t="s">
        <v>287</v>
      </c>
      <c r="E172" s="64" t="s">
        <v>288</v>
      </c>
      <c r="F172" s="64" t="s">
        <v>230</v>
      </c>
      <c r="G172" s="64" t="s">
        <v>16</v>
      </c>
      <c r="H172" s="64" t="s">
        <v>39</v>
      </c>
      <c r="I172" s="64" t="s">
        <v>40</v>
      </c>
      <c r="J172" s="67">
        <v>0</v>
      </c>
      <c r="K172" s="62">
        <v>1000</v>
      </c>
      <c r="L172" s="33" t="e">
        <f>HLOOKUP(B172,#REF!,1,0)</f>
        <v>#REF!</v>
      </c>
      <c r="M172" s="33" t="str">
        <f t="shared" si="11"/>
        <v>BS</v>
      </c>
    </row>
    <row r="173" spans="1:13" s="33" customFormat="true" ht="12.75" customHeight="true">
      <c r="A173" s="33" t="str">
        <f t="shared" si="8"/>
        <v>AKG - Intercompany</v>
      </c>
      <c r="B173" s="33" t="str">
        <f t="shared" si="9"/>
        <v>AKG</v>
      </c>
      <c r="C173" s="33" t="str">
        <f t="shared" si="10"/>
        <v>11336-0000</v>
      </c>
      <c r="D173" s="283" t="s">
        <v>289</v>
      </c>
      <c r="E173" s="64" t="s">
        <v>290</v>
      </c>
      <c r="F173" s="64" t="s">
        <v>230</v>
      </c>
      <c r="G173" s="64" t="s">
        <v>16</v>
      </c>
      <c r="H173" s="64" t="s">
        <v>39</v>
      </c>
      <c r="I173" s="64" t="s">
        <v>40</v>
      </c>
      <c r="J173" s="67">
        <v>0</v>
      </c>
      <c r="K173" s="62">
        <v>34000</v>
      </c>
      <c r="L173" s="33" t="e">
        <f>HLOOKUP(B173,#REF!,1,0)</f>
        <v>#REF!</v>
      </c>
      <c r="M173" s="33" t="str">
        <f t="shared" si="11"/>
        <v>BS</v>
      </c>
    </row>
    <row r="174" spans="1:13" s="33" customFormat="true" ht="12.75" customHeight="true">
      <c r="A174" s="33" t="str">
        <f t="shared" si="8"/>
        <v>AKG - Intercompany</v>
      </c>
      <c r="B174" s="33" t="str">
        <f t="shared" si="9"/>
        <v>AKG</v>
      </c>
      <c r="C174" s="33" t="str">
        <f t="shared" si="10"/>
        <v>11337-0000</v>
      </c>
      <c r="D174" s="283" t="s">
        <v>291</v>
      </c>
      <c r="E174" s="64" t="s">
        <v>292</v>
      </c>
      <c r="F174" s="64" t="s">
        <v>230</v>
      </c>
      <c r="G174" s="64" t="s">
        <v>16</v>
      </c>
      <c r="H174" s="64" t="s">
        <v>39</v>
      </c>
      <c r="I174" s="64" t="s">
        <v>40</v>
      </c>
      <c r="J174" s="67">
        <v>0</v>
      </c>
      <c r="K174" s="62">
        <v>5000</v>
      </c>
      <c r="L174" s="33" t="e">
        <f>HLOOKUP(B174,#REF!,1,0)</f>
        <v>#REF!</v>
      </c>
      <c r="M174" s="33" t="str">
        <f t="shared" si="11"/>
        <v>BS</v>
      </c>
    </row>
    <row r="175" spans="1:13" s="33" customFormat="true" ht="12.75" customHeight="true">
      <c r="A175" s="33" t="str">
        <f t="shared" si="8"/>
        <v>AKG - AR-PPD</v>
      </c>
      <c r="B175" s="33" t="str">
        <f t="shared" si="9"/>
        <v>AKG</v>
      </c>
      <c r="C175" s="33" t="str">
        <f t="shared" si="10"/>
        <v>12200-0000</v>
      </c>
      <c r="D175" s="283" t="s">
        <v>293</v>
      </c>
      <c r="E175" s="64" t="s">
        <v>294</v>
      </c>
      <c r="F175" s="64" t="s">
        <v>230</v>
      </c>
      <c r="G175" s="64" t="s">
        <v>62</v>
      </c>
      <c r="H175" s="64" t="s">
        <v>35</v>
      </c>
      <c r="I175" s="64" t="s">
        <v>64</v>
      </c>
      <c r="J175" s="67">
        <v>0</v>
      </c>
      <c r="K175" s="62">
        <v>20688.79</v>
      </c>
      <c r="L175" s="33" t="e">
        <f>HLOOKUP(B175,#REF!,1,0)</f>
        <v>#REF!</v>
      </c>
      <c r="M175" s="33" t="str">
        <f t="shared" si="11"/>
        <v>BS</v>
      </c>
    </row>
    <row r="176" spans="1:13" s="33" customFormat="true" ht="12.75" customHeight="true">
      <c r="A176" s="33" t="str">
        <f t="shared" si="8"/>
        <v>AKG - AR-PPD</v>
      </c>
      <c r="B176" s="33" t="str">
        <f t="shared" si="9"/>
        <v>AKG</v>
      </c>
      <c r="C176" s="33" t="str">
        <f t="shared" si="10"/>
        <v>12201-0000</v>
      </c>
      <c r="D176" s="283" t="s">
        <v>295</v>
      </c>
      <c r="E176" s="64" t="s">
        <v>296</v>
      </c>
      <c r="F176" s="64" t="s">
        <v>230</v>
      </c>
      <c r="G176" s="64" t="s">
        <v>62</v>
      </c>
      <c r="H176" s="64" t="s">
        <v>35</v>
      </c>
      <c r="I176" s="64" t="s">
        <v>64</v>
      </c>
      <c r="J176" s="67">
        <v>0</v>
      </c>
      <c r="K176" s="62">
        <v>149066.91</v>
      </c>
      <c r="L176" s="33" t="e">
        <f>HLOOKUP(B176,#REF!,1,0)</f>
        <v>#REF!</v>
      </c>
      <c r="M176" s="33" t="str">
        <f t="shared" si="11"/>
        <v>BS</v>
      </c>
    </row>
    <row r="177" spans="1:13" s="33" customFormat="true" ht="12.75" customHeight="true">
      <c r="A177" s="33" t="str">
        <f t="shared" si="8"/>
        <v>AKG - Fixed Assets</v>
      </c>
      <c r="B177" s="33" t="str">
        <f t="shared" si="9"/>
        <v>AKG</v>
      </c>
      <c r="C177" s="33" t="str">
        <f t="shared" si="10"/>
        <v>14000-0000</v>
      </c>
      <c r="D177" s="283" t="s">
        <v>297</v>
      </c>
      <c r="E177" s="64" t="s">
        <v>298</v>
      </c>
      <c r="F177" s="64" t="s">
        <v>230</v>
      </c>
      <c r="G177" s="64" t="s">
        <v>62</v>
      </c>
      <c r="H177" s="64" t="s">
        <v>63</v>
      </c>
      <c r="I177" s="64" t="s">
        <v>64</v>
      </c>
      <c r="J177" s="67">
        <v>0</v>
      </c>
      <c r="K177" s="62">
        <v>2666666.67</v>
      </c>
      <c r="L177" s="33" t="e">
        <f>HLOOKUP(B177,#REF!,1,0)</f>
        <v>#REF!</v>
      </c>
      <c r="M177" s="33" t="str">
        <f t="shared" si="11"/>
        <v>BS</v>
      </c>
    </row>
    <row r="178" spans="1:13" s="33" customFormat="true" ht="12.75" customHeight="true">
      <c r="A178" s="33" t="str">
        <f t="shared" si="8"/>
        <v>AKG - Fixed Assets</v>
      </c>
      <c r="B178" s="33" t="str">
        <f t="shared" si="9"/>
        <v>AKG</v>
      </c>
      <c r="C178" s="33" t="str">
        <f t="shared" si="10"/>
        <v>15000-0000</v>
      </c>
      <c r="D178" s="283" t="s">
        <v>299</v>
      </c>
      <c r="E178" s="64" t="s">
        <v>300</v>
      </c>
      <c r="F178" s="64" t="s">
        <v>230</v>
      </c>
      <c r="G178" s="64" t="s">
        <v>62</v>
      </c>
      <c r="H178" s="64" t="s">
        <v>63</v>
      </c>
      <c r="I178" s="64" t="s">
        <v>64</v>
      </c>
      <c r="J178" s="67">
        <v>0</v>
      </c>
      <c r="K178" s="62">
        <v>5333333.33</v>
      </c>
      <c r="L178" s="33" t="e">
        <f>HLOOKUP(B178,#REF!,1,0)</f>
        <v>#REF!</v>
      </c>
      <c r="M178" s="33" t="str">
        <f t="shared" si="11"/>
        <v>BS</v>
      </c>
    </row>
    <row r="179" spans="1:13" s="33" customFormat="true" ht="12.75" customHeight="true">
      <c r="A179" s="33" t="str">
        <f t="shared" si="8"/>
        <v>AKG - Fixed Assets</v>
      </c>
      <c r="B179" s="33" t="str">
        <f t="shared" si="9"/>
        <v>AKG</v>
      </c>
      <c r="C179" s="33" t="str">
        <f t="shared" si="10"/>
        <v>15500-0000</v>
      </c>
      <c r="D179" s="283" t="s">
        <v>301</v>
      </c>
      <c r="E179" s="64" t="s">
        <v>302</v>
      </c>
      <c r="F179" s="64" t="s">
        <v>230</v>
      </c>
      <c r="G179" s="64" t="s">
        <v>62</v>
      </c>
      <c r="H179" s="64" t="s">
        <v>63</v>
      </c>
      <c r="I179" s="64" t="s">
        <v>64</v>
      </c>
      <c r="J179" s="67">
        <v>0</v>
      </c>
      <c r="K179" s="62">
        <v>304645.25</v>
      </c>
      <c r="L179" s="33" t="e">
        <f>HLOOKUP(B179,#REF!,1,0)</f>
        <v>#REF!</v>
      </c>
      <c r="M179" s="33" t="str">
        <f t="shared" si="11"/>
        <v>BS</v>
      </c>
    </row>
    <row r="180" spans="1:13" s="33" customFormat="true" ht="12.75" customHeight="true">
      <c r="A180" s="33" t="str">
        <f t="shared" si="8"/>
        <v>AKG - Fixed Assets</v>
      </c>
      <c r="B180" s="33" t="str">
        <f t="shared" si="9"/>
        <v>AKG</v>
      </c>
      <c r="C180" s="33" t="str">
        <f t="shared" si="10"/>
        <v>16000-0000</v>
      </c>
      <c r="D180" s="283" t="s">
        <v>303</v>
      </c>
      <c r="E180" s="64" t="s">
        <v>304</v>
      </c>
      <c r="F180" s="64" t="s">
        <v>230</v>
      </c>
      <c r="G180" s="64" t="s">
        <v>16</v>
      </c>
      <c r="H180" s="64" t="s">
        <v>63</v>
      </c>
      <c r="I180" s="64" t="s">
        <v>18</v>
      </c>
      <c r="J180" s="67">
        <v>0</v>
      </c>
      <c r="K180" s="62">
        <v>130229.06</v>
      </c>
      <c r="L180" s="33" t="e">
        <f>HLOOKUP(B180,#REF!,1,0)</f>
        <v>#REF!</v>
      </c>
      <c r="M180" s="33" t="str">
        <f t="shared" si="11"/>
        <v>BS</v>
      </c>
    </row>
    <row r="181" spans="1:13" s="33" customFormat="true" ht="12.75" customHeight="true">
      <c r="A181" s="33" t="str">
        <f t="shared" si="8"/>
        <v>AKG - Fixed Assets</v>
      </c>
      <c r="B181" s="33" t="str">
        <f t="shared" si="9"/>
        <v>AKG</v>
      </c>
      <c r="C181" s="33" t="str">
        <f t="shared" si="10"/>
        <v>17000-0000</v>
      </c>
      <c r="D181" s="283" t="s">
        <v>305</v>
      </c>
      <c r="E181" s="64" t="s">
        <v>306</v>
      </c>
      <c r="F181" s="64" t="s">
        <v>230</v>
      </c>
      <c r="G181" s="64" t="s">
        <v>62</v>
      </c>
      <c r="H181" s="64" t="s">
        <v>63</v>
      </c>
      <c r="I181" s="64" t="s">
        <v>64</v>
      </c>
      <c r="J181" s="67">
        <v>0</v>
      </c>
      <c r="K181" s="62">
        <v>-1102728</v>
      </c>
      <c r="L181" s="33" t="e">
        <f>HLOOKUP(B181,#REF!,1,0)</f>
        <v>#REF!</v>
      </c>
      <c r="M181" s="33" t="str">
        <f t="shared" si="11"/>
        <v>BS</v>
      </c>
    </row>
    <row r="182" spans="1:13" s="33" customFormat="true" ht="12.75" customHeight="true">
      <c r="A182" s="33" t="str">
        <f t="shared" si="8"/>
        <v>AKG - Fixed Assets</v>
      </c>
      <c r="B182" s="33" t="str">
        <f t="shared" si="9"/>
        <v>AKG</v>
      </c>
      <c r="C182" s="33" t="str">
        <f t="shared" si="10"/>
        <v>18000-0000</v>
      </c>
      <c r="D182" s="283" t="s">
        <v>307</v>
      </c>
      <c r="E182" s="64" t="s">
        <v>308</v>
      </c>
      <c r="F182" s="64" t="s">
        <v>230</v>
      </c>
      <c r="G182" s="64" t="s">
        <v>62</v>
      </c>
      <c r="H182" s="64" t="s">
        <v>63</v>
      </c>
      <c r="I182" s="64" t="s">
        <v>64</v>
      </c>
      <c r="J182" s="67">
        <v>0</v>
      </c>
      <c r="K182" s="62">
        <v>-226244</v>
      </c>
      <c r="L182" s="33" t="e">
        <f>HLOOKUP(B182,#REF!,1,0)</f>
        <v>#REF!</v>
      </c>
      <c r="M182" s="33" t="str">
        <f t="shared" si="11"/>
        <v>BS</v>
      </c>
    </row>
    <row r="183" spans="1:13" s="33" customFormat="true" ht="12.75" customHeight="true">
      <c r="A183" s="33" t="str">
        <f t="shared" si="8"/>
        <v>AKG - AP-Accr Exp</v>
      </c>
      <c r="B183" s="33" t="str">
        <f t="shared" si="9"/>
        <v>AKG</v>
      </c>
      <c r="C183" s="33" t="str">
        <f t="shared" si="10"/>
        <v>20000-0000</v>
      </c>
      <c r="D183" s="283" t="s">
        <v>309</v>
      </c>
      <c r="E183" s="64" t="s">
        <v>96</v>
      </c>
      <c r="F183" s="64" t="s">
        <v>230</v>
      </c>
      <c r="G183" s="64" t="s">
        <v>97</v>
      </c>
      <c r="H183" s="64" t="s">
        <v>98</v>
      </c>
      <c r="I183" s="64" t="s">
        <v>99</v>
      </c>
      <c r="J183" s="67">
        <v>0</v>
      </c>
      <c r="K183" s="62">
        <v>0</v>
      </c>
      <c r="L183" s="33" t="e">
        <f>HLOOKUP(B183,#REF!,1,0)</f>
        <v>#REF!</v>
      </c>
      <c r="M183" s="33" t="str">
        <f t="shared" si="11"/>
        <v>BS</v>
      </c>
    </row>
    <row r="184" spans="1:13" s="33" customFormat="true" ht="12.75" customHeight="true">
      <c r="A184" s="33" t="str">
        <f t="shared" si="8"/>
        <v>AKG - AP-Accr Exp</v>
      </c>
      <c r="B184" s="33" t="str">
        <f t="shared" si="9"/>
        <v>AKG</v>
      </c>
      <c r="C184" s="33" t="str">
        <f t="shared" si="10"/>
        <v>20001-0000</v>
      </c>
      <c r="D184" s="283" t="s">
        <v>310</v>
      </c>
      <c r="E184" s="64" t="s">
        <v>96</v>
      </c>
      <c r="F184" s="64" t="s">
        <v>230</v>
      </c>
      <c r="G184" s="64" t="s">
        <v>97</v>
      </c>
      <c r="H184" s="64" t="s">
        <v>98</v>
      </c>
      <c r="I184" s="64" t="s">
        <v>99</v>
      </c>
      <c r="J184" s="67">
        <v>0</v>
      </c>
      <c r="K184" s="62">
        <v>0</v>
      </c>
      <c r="L184" s="33" t="e">
        <f>HLOOKUP(B184,#REF!,1,0)</f>
        <v>#REF!</v>
      </c>
      <c r="M184" s="33" t="str">
        <f t="shared" si="11"/>
        <v>BS</v>
      </c>
    </row>
    <row r="185" spans="1:13" s="33" customFormat="true" ht="12.75" customHeight="true">
      <c r="A185" s="33" t="str">
        <f t="shared" si="8"/>
        <v>AKG - AP-Accr Exp</v>
      </c>
      <c r="B185" s="33" t="str">
        <f t="shared" si="9"/>
        <v>AKG</v>
      </c>
      <c r="C185" s="33" t="str">
        <f t="shared" si="10"/>
        <v>23509-0000</v>
      </c>
      <c r="D185" s="283" t="s">
        <v>311</v>
      </c>
      <c r="E185" s="64" t="s">
        <v>111</v>
      </c>
      <c r="F185" s="64" t="s">
        <v>230</v>
      </c>
      <c r="G185" s="64" t="s">
        <v>97</v>
      </c>
      <c r="H185" s="64" t="s">
        <v>98</v>
      </c>
      <c r="I185" s="64" t="s">
        <v>102</v>
      </c>
      <c r="J185" s="67">
        <v>0</v>
      </c>
      <c r="K185" s="62">
        <v>-62.95</v>
      </c>
      <c r="L185" s="33" t="e">
        <f>HLOOKUP(B185,#REF!,1,0)</f>
        <v>#REF!</v>
      </c>
      <c r="M185" s="33" t="str">
        <f t="shared" si="11"/>
        <v>BS</v>
      </c>
    </row>
    <row r="186" spans="1:13" s="33" customFormat="true" ht="12.75" customHeight="true">
      <c r="A186" s="33" t="str">
        <f t="shared" si="8"/>
        <v>AKG - AP-Accr Exp</v>
      </c>
      <c r="B186" s="33" t="str">
        <f t="shared" si="9"/>
        <v>AKG</v>
      </c>
      <c r="C186" s="33" t="str">
        <f t="shared" si="10"/>
        <v>24800-0000</v>
      </c>
      <c r="D186" s="283" t="s">
        <v>312</v>
      </c>
      <c r="E186" s="64" t="s">
        <v>232</v>
      </c>
      <c r="F186" s="64" t="s">
        <v>230</v>
      </c>
      <c r="G186" s="64" t="s">
        <v>97</v>
      </c>
      <c r="H186" s="64" t="s">
        <v>98</v>
      </c>
      <c r="I186" s="64" t="s">
        <v>102</v>
      </c>
      <c r="J186" s="67">
        <v>1200</v>
      </c>
      <c r="K186" s="62">
        <v>-78872</v>
      </c>
      <c r="L186" s="33" t="e">
        <f>HLOOKUP(B186,#REF!,1,0)</f>
        <v>#REF!</v>
      </c>
      <c r="M186" s="33" t="str">
        <f t="shared" si="11"/>
        <v>BS</v>
      </c>
    </row>
    <row r="187" spans="1:13" s="33" customFormat="true" ht="12.75" customHeight="true">
      <c r="A187" s="33" t="str">
        <f t="shared" si="8"/>
        <v>AKG - InterCo Notes</v>
      </c>
      <c r="B187" s="33" t="str">
        <f t="shared" si="9"/>
        <v>AKG</v>
      </c>
      <c r="C187" s="33" t="str">
        <f t="shared" si="10"/>
        <v>25000-0000</v>
      </c>
      <c r="D187" s="283" t="s">
        <v>313</v>
      </c>
      <c r="E187" s="64" t="s">
        <v>314</v>
      </c>
      <c r="F187" s="64" t="s">
        <v>230</v>
      </c>
      <c r="G187" s="64" t="s">
        <v>16</v>
      </c>
      <c r="H187" s="64" t="s">
        <v>315</v>
      </c>
      <c r="I187" s="64" t="s">
        <v>40</v>
      </c>
      <c r="J187" s="67">
        <v>0</v>
      </c>
      <c r="K187" s="62">
        <v>-2005000</v>
      </c>
      <c r="L187" s="33" t="e">
        <f>HLOOKUP(B187,#REF!,1,0)</f>
        <v>#REF!</v>
      </c>
      <c r="M187" s="33" t="str">
        <f t="shared" si="11"/>
        <v>BS</v>
      </c>
    </row>
    <row r="188" spans="1:13" s="33" customFormat="true" ht="12.75" customHeight="true">
      <c r="A188" s="33" t="str">
        <f t="shared" si="8"/>
        <v>AKG - Principal</v>
      </c>
      <c r="B188" s="33" t="str">
        <f t="shared" si="9"/>
        <v>AKG</v>
      </c>
      <c r="C188" s="33" t="str">
        <f t="shared" si="10"/>
        <v>28005-0000</v>
      </c>
      <c r="D188" s="283" t="s">
        <v>316</v>
      </c>
      <c r="E188" s="64" t="s">
        <v>317</v>
      </c>
      <c r="F188" s="64" t="s">
        <v>230</v>
      </c>
      <c r="G188" s="64" t="s">
        <v>123</v>
      </c>
      <c r="H188" s="64" t="s">
        <v>127</v>
      </c>
      <c r="I188" s="64" t="s">
        <v>133</v>
      </c>
      <c r="J188" s="67">
        <v>0</v>
      </c>
      <c r="K188" s="62">
        <v>-12532000</v>
      </c>
      <c r="L188" s="33" t="e">
        <f>HLOOKUP(B188,#REF!,1,0)</f>
        <v>#REF!</v>
      </c>
      <c r="M188" s="33" t="str">
        <f t="shared" si="11"/>
        <v>BS</v>
      </c>
    </row>
    <row r="189" spans="1:13" s="33" customFormat="true" ht="12.75" customHeight="true">
      <c r="A189" s="33" t="str">
        <f t="shared" si="8"/>
        <v>AKG - SH Dist</v>
      </c>
      <c r="B189" s="33" t="str">
        <f t="shared" si="9"/>
        <v>AKG</v>
      </c>
      <c r="C189" s="33" t="str">
        <f t="shared" si="10"/>
        <v>30700-0000</v>
      </c>
      <c r="D189" s="283" t="s">
        <v>318</v>
      </c>
      <c r="E189" s="64" t="s">
        <v>319</v>
      </c>
      <c r="F189" s="64" t="s">
        <v>230</v>
      </c>
      <c r="G189" s="64" t="s">
        <v>142</v>
      </c>
      <c r="H189" s="64" t="s">
        <v>143</v>
      </c>
      <c r="I189" s="64" t="s">
        <v>144</v>
      </c>
      <c r="J189" s="67">
        <v>0</v>
      </c>
      <c r="K189" s="62">
        <v>7459933</v>
      </c>
      <c r="L189" s="33" t="e">
        <f>HLOOKUP(B189,#REF!,1,0)</f>
        <v>#REF!</v>
      </c>
      <c r="M189" s="33" t="str">
        <f t="shared" si="11"/>
        <v>BS</v>
      </c>
    </row>
    <row r="190" spans="1:13" s="33" customFormat="true" ht="12.75" customHeight="true">
      <c r="A190" s="33" t="str">
        <f t="shared" si="8"/>
        <v>AKG - Retained Earnings</v>
      </c>
      <c r="B190" s="33" t="str">
        <f t="shared" si="9"/>
        <v>AKG</v>
      </c>
      <c r="C190" s="33" t="str">
        <f t="shared" si="10"/>
        <v>32000-0000</v>
      </c>
      <c r="D190" s="283" t="s">
        <v>320</v>
      </c>
      <c r="E190" s="64" t="s">
        <v>234</v>
      </c>
      <c r="F190" s="64" t="s">
        <v>230</v>
      </c>
      <c r="G190" s="64" t="s">
        <v>142</v>
      </c>
      <c r="H190" s="64" t="s">
        <v>149</v>
      </c>
      <c r="I190" s="64" t="s">
        <v>235</v>
      </c>
      <c r="J190" s="67">
        <v>0</v>
      </c>
      <c r="K190" s="62">
        <v>-1366447.16</v>
      </c>
      <c r="L190" s="33" t="e">
        <f>HLOOKUP(B190,#REF!,1,0)</f>
        <v>#REF!</v>
      </c>
      <c r="M190" s="33" t="str">
        <f t="shared" si="11"/>
        <v>BS</v>
      </c>
    </row>
    <row r="191" spans="1:13" s="33" customFormat="true" ht="12.75" customHeight="true">
      <c r="A191" s="33" t="str">
        <f t="shared" si="8"/>
        <v>AKG - SH Dist</v>
      </c>
      <c r="B191" s="33" t="str">
        <f t="shared" si="9"/>
        <v>AKG</v>
      </c>
      <c r="C191" s="33" t="str">
        <f t="shared" si="10"/>
        <v>36001-0000</v>
      </c>
      <c r="D191" s="283" t="s">
        <v>321</v>
      </c>
      <c r="E191" s="64" t="s">
        <v>322</v>
      </c>
      <c r="F191" s="64" t="s">
        <v>230</v>
      </c>
      <c r="G191" s="64" t="s">
        <v>142</v>
      </c>
      <c r="H191" s="64" t="s">
        <v>143</v>
      </c>
      <c r="I191" s="64" t="s">
        <v>144</v>
      </c>
      <c r="J191" s="67">
        <v>0</v>
      </c>
      <c r="K191" s="62">
        <v>50000</v>
      </c>
      <c r="L191" s="33" t="e">
        <f>HLOOKUP(B191,#REF!,1,0)</f>
        <v>#REF!</v>
      </c>
      <c r="M191" s="33" t="str">
        <f t="shared" si="11"/>
        <v>BS</v>
      </c>
    </row>
    <row r="192" spans="1:13" s="33" customFormat="true" ht="12.75" customHeight="true">
      <c r="A192" s="33" t="str">
        <f t="shared" si="8"/>
        <v>AKS - Cash</v>
      </c>
      <c r="B192" s="33" t="str">
        <f t="shared" si="9"/>
        <v>AKS</v>
      </c>
      <c r="C192" s="33" t="str">
        <f t="shared" si="10"/>
        <v>10001-0000</v>
      </c>
      <c r="D192" s="64" t="s">
        <v>323</v>
      </c>
      <c r="E192" s="64" t="s">
        <v>240</v>
      </c>
      <c r="F192" s="64" t="s">
        <v>230</v>
      </c>
      <c r="G192" s="64" t="s">
        <v>16</v>
      </c>
      <c r="H192" s="64" t="s">
        <v>25</v>
      </c>
      <c r="I192" s="64" t="s">
        <v>18</v>
      </c>
      <c r="J192" s="67">
        <v>0</v>
      </c>
      <c r="K192" s="62">
        <v>-2621.55</v>
      </c>
      <c r="L192" s="33" t="e">
        <f>HLOOKUP(B192,#REF!,1,0)</f>
        <v>#REF!</v>
      </c>
      <c r="M192" s="33" t="str">
        <f t="shared" si="11"/>
        <v>BS</v>
      </c>
    </row>
    <row r="193" spans="1:13" s="33" customFormat="true" ht="12.75" customHeight="true">
      <c r="A193" s="33" t="str">
        <f t="shared" si="8"/>
        <v>AKS - Intercompany</v>
      </c>
      <c r="B193" s="33" t="str">
        <f t="shared" si="9"/>
        <v>AKS</v>
      </c>
      <c r="C193" s="33" t="str">
        <f t="shared" si="10"/>
        <v>11216-0000</v>
      </c>
      <c r="D193" s="64" t="s">
        <v>324</v>
      </c>
      <c r="E193" s="64" t="s">
        <v>242</v>
      </c>
      <c r="F193" s="64" t="s">
        <v>230</v>
      </c>
      <c r="G193" s="64" t="s">
        <v>16</v>
      </c>
      <c r="H193" s="64" t="s">
        <v>39</v>
      </c>
      <c r="I193" s="64" t="s">
        <v>40</v>
      </c>
      <c r="J193" s="67">
        <v>0</v>
      </c>
      <c r="K193" s="62">
        <v>19000</v>
      </c>
      <c r="L193" s="33" t="e">
        <f>HLOOKUP(B193,#REF!,1,0)</f>
        <v>#REF!</v>
      </c>
      <c r="M193" s="33" t="str">
        <f t="shared" si="11"/>
        <v>BS</v>
      </c>
    </row>
    <row r="194" spans="1:13" s="33" customFormat="true" ht="12.75" customHeight="true">
      <c r="A194" s="33" t="str">
        <f t="shared" ref="A194:A257" si="12">B194&amp;" - "&amp;TRIM(H194)</f>
        <v>AKS - Intercompany</v>
      </c>
      <c r="B194" s="33" t="str">
        <f t="shared" ref="B194:B257" si="13">LEFT(D194,3)</f>
        <v>AKS</v>
      </c>
      <c r="C194" s="33" t="str">
        <f t="shared" ref="C194:C257" si="14">RIGHT(D194,10)</f>
        <v>11310-0000</v>
      </c>
      <c r="D194" s="64" t="s">
        <v>325</v>
      </c>
      <c r="E194" s="64" t="s">
        <v>256</v>
      </c>
      <c r="F194" s="64" t="s">
        <v>230</v>
      </c>
      <c r="G194" s="64" t="s">
        <v>16</v>
      </c>
      <c r="H194" s="64" t="s">
        <v>39</v>
      </c>
      <c r="I194" s="64" t="s">
        <v>40</v>
      </c>
      <c r="J194" s="67">
        <v>0</v>
      </c>
      <c r="K194" s="62">
        <v>-55000</v>
      </c>
      <c r="L194" s="33" t="e">
        <f>HLOOKUP(B194,#REF!,1,0)</f>
        <v>#REF!</v>
      </c>
      <c r="M194" s="33" t="str">
        <f t="shared" ref="M194:M257" si="15">IF(VALUE(LEFT(C194,5))&gt;40000,"P&amp;L","BS")</f>
        <v>BS</v>
      </c>
    </row>
    <row r="195" spans="1:13" s="33" customFormat="true" ht="12.75" customHeight="true">
      <c r="A195" s="33" t="str">
        <f t="shared" si="12"/>
        <v>AKS - Intercompany</v>
      </c>
      <c r="B195" s="33" t="str">
        <f t="shared" si="13"/>
        <v>AKS</v>
      </c>
      <c r="C195" s="33" t="str">
        <f t="shared" si="14"/>
        <v>11311-0000</v>
      </c>
      <c r="D195" s="64" t="s">
        <v>326</v>
      </c>
      <c r="E195" s="64" t="s">
        <v>258</v>
      </c>
      <c r="F195" s="64" t="s">
        <v>230</v>
      </c>
      <c r="G195" s="64" t="s">
        <v>16</v>
      </c>
      <c r="H195" s="64" t="s">
        <v>39</v>
      </c>
      <c r="I195" s="64" t="s">
        <v>40</v>
      </c>
      <c r="J195" s="67">
        <v>0</v>
      </c>
      <c r="K195" s="62">
        <v>-5000</v>
      </c>
      <c r="L195" s="33" t="e">
        <f>HLOOKUP(B195,#REF!,1,0)</f>
        <v>#REF!</v>
      </c>
      <c r="M195" s="33" t="str">
        <f t="shared" si="15"/>
        <v>BS</v>
      </c>
    </row>
    <row r="196" spans="1:13" s="33" customFormat="true" ht="12.75" customHeight="true">
      <c r="A196" s="33" t="str">
        <f t="shared" si="12"/>
        <v>AKS - Intercompany</v>
      </c>
      <c r="B196" s="33" t="str">
        <f t="shared" si="13"/>
        <v>AKS</v>
      </c>
      <c r="C196" s="33" t="str">
        <f t="shared" si="14"/>
        <v>11320-0000</v>
      </c>
      <c r="D196" s="64" t="s">
        <v>327</v>
      </c>
      <c r="E196" s="64" t="s">
        <v>328</v>
      </c>
      <c r="F196" s="64" t="s">
        <v>230</v>
      </c>
      <c r="G196" s="64" t="s">
        <v>16</v>
      </c>
      <c r="H196" s="64" t="s">
        <v>39</v>
      </c>
      <c r="I196" s="64" t="s">
        <v>40</v>
      </c>
      <c r="J196" s="67">
        <v>0</v>
      </c>
      <c r="K196" s="62">
        <v>5000</v>
      </c>
      <c r="L196" s="33" t="e">
        <f>HLOOKUP(B196,#REF!,1,0)</f>
        <v>#REF!</v>
      </c>
      <c r="M196" s="33" t="str">
        <f t="shared" si="15"/>
        <v>BS</v>
      </c>
    </row>
    <row r="197" spans="1:13" s="33" customFormat="true" ht="12.75" customHeight="true">
      <c r="A197" s="33" t="str">
        <f t="shared" si="12"/>
        <v>AKS - Intercompany</v>
      </c>
      <c r="B197" s="33" t="str">
        <f t="shared" si="13"/>
        <v>AKS</v>
      </c>
      <c r="C197" s="33" t="str">
        <f t="shared" si="14"/>
        <v>11322-0000</v>
      </c>
      <c r="D197" s="64" t="s">
        <v>329</v>
      </c>
      <c r="E197" s="64" t="s">
        <v>270</v>
      </c>
      <c r="F197" s="64" t="s">
        <v>230</v>
      </c>
      <c r="G197" s="64" t="s">
        <v>16</v>
      </c>
      <c r="H197" s="64" t="s">
        <v>39</v>
      </c>
      <c r="I197" s="64" t="s">
        <v>40</v>
      </c>
      <c r="J197" s="67">
        <v>0</v>
      </c>
      <c r="K197" s="62">
        <v>5000</v>
      </c>
      <c r="L197" s="33" t="e">
        <f>HLOOKUP(B197,#REF!,1,0)</f>
        <v>#REF!</v>
      </c>
      <c r="M197" s="33" t="str">
        <f t="shared" si="15"/>
        <v>BS</v>
      </c>
    </row>
    <row r="198" spans="1:13" s="33" customFormat="true" ht="12.75" customHeight="true">
      <c r="A198" s="33" t="str">
        <f t="shared" si="12"/>
        <v>AKS - Intercompany</v>
      </c>
      <c r="B198" s="33" t="str">
        <f t="shared" si="13"/>
        <v>AKS</v>
      </c>
      <c r="C198" s="33" t="str">
        <f t="shared" si="14"/>
        <v>11332-0000</v>
      </c>
      <c r="D198" s="64" t="s">
        <v>330</v>
      </c>
      <c r="E198" s="64" t="s">
        <v>331</v>
      </c>
      <c r="F198" s="64" t="s">
        <v>230</v>
      </c>
      <c r="G198" s="64" t="s">
        <v>16</v>
      </c>
      <c r="H198" s="64" t="s">
        <v>39</v>
      </c>
      <c r="I198" s="64" t="s">
        <v>40</v>
      </c>
      <c r="J198" s="67">
        <v>0</v>
      </c>
      <c r="K198" s="62">
        <v>17000</v>
      </c>
      <c r="L198" s="33" t="e">
        <f>HLOOKUP(B198,#REF!,1,0)</f>
        <v>#REF!</v>
      </c>
      <c r="M198" s="33" t="str">
        <f t="shared" si="15"/>
        <v>BS</v>
      </c>
    </row>
    <row r="199" spans="1:13" s="33" customFormat="true" ht="12.75" customHeight="true">
      <c r="A199" s="33" t="str">
        <f t="shared" si="12"/>
        <v>AKS - Intercompany</v>
      </c>
      <c r="B199" s="33" t="str">
        <f t="shared" si="13"/>
        <v>AKS</v>
      </c>
      <c r="C199" s="33" t="str">
        <f t="shared" si="14"/>
        <v>11334-0000</v>
      </c>
      <c r="D199" s="64" t="s">
        <v>332</v>
      </c>
      <c r="E199" s="64" t="s">
        <v>333</v>
      </c>
      <c r="F199" s="64" t="s">
        <v>230</v>
      </c>
      <c r="G199" s="64" t="s">
        <v>16</v>
      </c>
      <c r="H199" s="64" t="s">
        <v>39</v>
      </c>
      <c r="I199" s="64" t="s">
        <v>40</v>
      </c>
      <c r="J199" s="67">
        <v>0</v>
      </c>
      <c r="K199" s="62">
        <v>5000</v>
      </c>
      <c r="L199" s="33" t="e">
        <f>HLOOKUP(B199,#REF!,1,0)</f>
        <v>#REF!</v>
      </c>
      <c r="M199" s="33" t="str">
        <f t="shared" si="15"/>
        <v>BS</v>
      </c>
    </row>
    <row r="200" spans="1:13" s="33" customFormat="true" ht="12.75" customHeight="true">
      <c r="A200" s="33" t="str">
        <f t="shared" si="12"/>
        <v>AKS - Intercompany</v>
      </c>
      <c r="B200" s="33" t="str">
        <f t="shared" si="13"/>
        <v>AKS</v>
      </c>
      <c r="C200" s="33" t="str">
        <f t="shared" si="14"/>
        <v>11337-0000</v>
      </c>
      <c r="D200" s="64" t="s">
        <v>334</v>
      </c>
      <c r="E200" s="64" t="s">
        <v>292</v>
      </c>
      <c r="F200" s="64" t="s">
        <v>230</v>
      </c>
      <c r="G200" s="64" t="s">
        <v>16</v>
      </c>
      <c r="H200" s="64" t="s">
        <v>39</v>
      </c>
      <c r="I200" s="64" t="s">
        <v>40</v>
      </c>
      <c r="J200" s="67">
        <v>0</v>
      </c>
      <c r="K200" s="62">
        <v>-20000</v>
      </c>
      <c r="L200" s="33" t="e">
        <f>HLOOKUP(B200,#REF!,1,0)</f>
        <v>#REF!</v>
      </c>
      <c r="M200" s="33" t="str">
        <f t="shared" si="15"/>
        <v>BS</v>
      </c>
    </row>
    <row r="201" spans="1:13" s="33" customFormat="true" ht="12.75" customHeight="true">
      <c r="A201" s="33" t="str">
        <f t="shared" si="12"/>
        <v>AKS - Total Assets</v>
      </c>
      <c r="B201" s="33" t="str">
        <f t="shared" si="13"/>
        <v>AKS</v>
      </c>
      <c r="C201" s="33" t="str">
        <f t="shared" si="14"/>
        <v>15500-0000</v>
      </c>
      <c r="D201" s="64" t="s">
        <v>335</v>
      </c>
      <c r="E201" s="64" t="s">
        <v>302</v>
      </c>
      <c r="F201" s="64" t="s">
        <v>230</v>
      </c>
      <c r="G201" s="64" t="s">
        <v>62</v>
      </c>
      <c r="H201" s="64" t="s">
        <v>62</v>
      </c>
      <c r="I201" s="64" t="s">
        <v>64</v>
      </c>
      <c r="J201" s="67">
        <v>0</v>
      </c>
      <c r="K201" s="62">
        <v>38531.06</v>
      </c>
      <c r="L201" s="33" t="e">
        <f>HLOOKUP(B201,#REF!,1,0)</f>
        <v>#REF!</v>
      </c>
      <c r="M201" s="33" t="str">
        <f t="shared" si="15"/>
        <v>BS</v>
      </c>
    </row>
    <row r="202" spans="1:13" s="33" customFormat="true" ht="12.75" customHeight="true">
      <c r="A202" s="33" t="str">
        <f t="shared" si="12"/>
        <v>AKS - Fixed Assets</v>
      </c>
      <c r="B202" s="33" t="str">
        <f t="shared" si="13"/>
        <v>AKS</v>
      </c>
      <c r="C202" s="33" t="str">
        <f t="shared" si="14"/>
        <v>15600-0000</v>
      </c>
      <c r="D202" s="64" t="s">
        <v>336</v>
      </c>
      <c r="E202" s="64" t="s">
        <v>337</v>
      </c>
      <c r="F202" s="64" t="s">
        <v>230</v>
      </c>
      <c r="G202" s="64" t="s">
        <v>16</v>
      </c>
      <c r="H202" s="64" t="s">
        <v>63</v>
      </c>
      <c r="I202" s="64" t="s">
        <v>64</v>
      </c>
      <c r="J202" s="67">
        <v>0</v>
      </c>
      <c r="K202" s="62">
        <v>3740.5</v>
      </c>
      <c r="L202" s="33" t="e">
        <f>HLOOKUP(B202,#REF!,1,0)</f>
        <v>#REF!</v>
      </c>
      <c r="M202" s="33" t="str">
        <f t="shared" si="15"/>
        <v>BS</v>
      </c>
    </row>
    <row r="203" spans="1:13" s="33" customFormat="true" ht="12.75" customHeight="true">
      <c r="A203" s="33" t="str">
        <f t="shared" si="12"/>
        <v>AKS - Fixed Assets</v>
      </c>
      <c r="B203" s="33" t="str">
        <f t="shared" si="13"/>
        <v>AKS</v>
      </c>
      <c r="C203" s="33" t="str">
        <f t="shared" si="14"/>
        <v>16000-0000</v>
      </c>
      <c r="D203" s="64" t="s">
        <v>338</v>
      </c>
      <c r="E203" s="64" t="s">
        <v>304</v>
      </c>
      <c r="F203" s="64" t="s">
        <v>230</v>
      </c>
      <c r="G203" s="64" t="s">
        <v>16</v>
      </c>
      <c r="H203" s="64" t="s">
        <v>63</v>
      </c>
      <c r="I203" s="64" t="s">
        <v>18</v>
      </c>
      <c r="J203" s="67">
        <v>0</v>
      </c>
      <c r="K203" s="62">
        <v>2130.25</v>
      </c>
      <c r="L203" s="33" t="e">
        <f>HLOOKUP(B203,#REF!,1,0)</f>
        <v>#REF!</v>
      </c>
      <c r="M203" s="33" t="str">
        <f t="shared" si="15"/>
        <v>BS</v>
      </c>
    </row>
    <row r="204" spans="1:13" s="33" customFormat="true" ht="12.75" customHeight="true">
      <c r="A204" s="33" t="str">
        <f t="shared" si="12"/>
        <v>AKS - Fixed Assets</v>
      </c>
      <c r="B204" s="33" t="str">
        <f t="shared" si="13"/>
        <v>AKS</v>
      </c>
      <c r="C204" s="33" t="str">
        <f t="shared" si="14"/>
        <v>17000-0000</v>
      </c>
      <c r="D204" s="64" t="s">
        <v>339</v>
      </c>
      <c r="E204" s="64" t="s">
        <v>306</v>
      </c>
      <c r="F204" s="64" t="s">
        <v>230</v>
      </c>
      <c r="G204" s="64" t="s">
        <v>62</v>
      </c>
      <c r="H204" s="64" t="s">
        <v>63</v>
      </c>
      <c r="I204" s="64" t="s">
        <v>64</v>
      </c>
      <c r="J204" s="67">
        <v>0</v>
      </c>
      <c r="K204" s="62">
        <v>-131559</v>
      </c>
      <c r="L204" s="33" t="e">
        <f>HLOOKUP(B204,#REF!,1,0)</f>
        <v>#REF!</v>
      </c>
      <c r="M204" s="33" t="str">
        <f t="shared" si="15"/>
        <v>BS</v>
      </c>
    </row>
    <row r="205" spans="1:13" s="33" customFormat="true" ht="12.75" customHeight="true">
      <c r="A205" s="33" t="str">
        <f t="shared" si="12"/>
        <v>AKS - Fixed Assets</v>
      </c>
      <c r="B205" s="33" t="str">
        <f t="shared" si="13"/>
        <v>AKS</v>
      </c>
      <c r="C205" s="33" t="str">
        <f t="shared" si="14"/>
        <v>18000-0000</v>
      </c>
      <c r="D205" s="64" t="s">
        <v>340</v>
      </c>
      <c r="E205" s="64" t="s">
        <v>308</v>
      </c>
      <c r="F205" s="64" t="s">
        <v>230</v>
      </c>
      <c r="G205" s="64" t="s">
        <v>62</v>
      </c>
      <c r="H205" s="64" t="s">
        <v>63</v>
      </c>
      <c r="I205" s="64" t="s">
        <v>64</v>
      </c>
      <c r="J205" s="67">
        <v>0</v>
      </c>
      <c r="K205" s="62">
        <v>-17266</v>
      </c>
      <c r="L205" s="33" t="e">
        <f>HLOOKUP(B205,#REF!,1,0)</f>
        <v>#REF!</v>
      </c>
      <c r="M205" s="33" t="str">
        <f t="shared" si="15"/>
        <v>BS</v>
      </c>
    </row>
    <row r="206" spans="1:13" s="33" customFormat="true" ht="12.75" customHeight="true">
      <c r="A206" s="33" t="str">
        <f t="shared" si="12"/>
        <v>AKS - Deposits</v>
      </c>
      <c r="B206" s="33" t="str">
        <f t="shared" si="13"/>
        <v>AKS</v>
      </c>
      <c r="C206" s="33" t="str">
        <f t="shared" si="14"/>
        <v>19000-0000</v>
      </c>
      <c r="D206" s="64" t="s">
        <v>341</v>
      </c>
      <c r="E206" s="64" t="s">
        <v>342</v>
      </c>
      <c r="F206" s="64" t="s">
        <v>230</v>
      </c>
      <c r="G206" s="64" t="s">
        <v>62</v>
      </c>
      <c r="H206" s="64" t="s">
        <v>80</v>
      </c>
      <c r="I206" s="64" t="s">
        <v>81</v>
      </c>
      <c r="J206" s="67">
        <v>0</v>
      </c>
      <c r="K206" s="62">
        <v>-1713619.09</v>
      </c>
      <c r="L206" s="33" t="e">
        <f>HLOOKUP(B206,#REF!,1,0)</f>
        <v>#REF!</v>
      </c>
      <c r="M206" s="33" t="str">
        <f t="shared" si="15"/>
        <v>BS</v>
      </c>
    </row>
    <row r="207" spans="1:13" s="33" customFormat="true" ht="12.75" customHeight="true">
      <c r="A207" s="33" t="str">
        <f t="shared" si="12"/>
        <v>AKS - Deposits</v>
      </c>
      <c r="B207" s="33" t="str">
        <f t="shared" si="13"/>
        <v>AKS</v>
      </c>
      <c r="C207" s="33" t="str">
        <f t="shared" si="14"/>
        <v>19001-0000</v>
      </c>
      <c r="D207" s="64" t="s">
        <v>343</v>
      </c>
      <c r="E207" s="64" t="s">
        <v>344</v>
      </c>
      <c r="F207" s="64" t="s">
        <v>230</v>
      </c>
      <c r="G207" s="64" t="s">
        <v>62</v>
      </c>
      <c r="H207" s="64" t="s">
        <v>80</v>
      </c>
      <c r="I207" s="64" t="s">
        <v>81</v>
      </c>
      <c r="J207" s="67">
        <v>0</v>
      </c>
      <c r="K207" s="62">
        <v>565</v>
      </c>
      <c r="L207" s="33" t="e">
        <f>HLOOKUP(B207,#REF!,1,0)</f>
        <v>#REF!</v>
      </c>
      <c r="M207" s="33" t="str">
        <f t="shared" si="15"/>
        <v>BS</v>
      </c>
    </row>
    <row r="208" spans="1:13" s="33" customFormat="true" ht="12.75" customHeight="true">
      <c r="A208" s="33" t="str">
        <f t="shared" si="12"/>
        <v>AKS - AP-Accr Exp</v>
      </c>
      <c r="B208" s="33" t="str">
        <f t="shared" si="13"/>
        <v>AKS</v>
      </c>
      <c r="C208" s="33" t="str">
        <f t="shared" si="14"/>
        <v>20001-0000</v>
      </c>
      <c r="D208" s="64" t="s">
        <v>345</v>
      </c>
      <c r="E208" s="64" t="s">
        <v>96</v>
      </c>
      <c r="F208" s="64" t="s">
        <v>230</v>
      </c>
      <c r="G208" s="64" t="s">
        <v>97</v>
      </c>
      <c r="H208" s="64" t="s">
        <v>98</v>
      </c>
      <c r="I208" s="64" t="s">
        <v>99</v>
      </c>
      <c r="J208" s="67">
        <v>50</v>
      </c>
      <c r="K208" s="62">
        <v>0</v>
      </c>
      <c r="L208" s="33" t="e">
        <f>HLOOKUP(B208,#REF!,1,0)</f>
        <v>#REF!</v>
      </c>
      <c r="M208" s="33" t="str">
        <f t="shared" si="15"/>
        <v>BS</v>
      </c>
    </row>
    <row r="209" spans="1:13" s="33" customFormat="true" ht="12.75" customHeight="true">
      <c r="A209" s="33" t="str">
        <f t="shared" si="12"/>
        <v>AKS - AP-Accr Exp</v>
      </c>
      <c r="B209" s="33" t="str">
        <f t="shared" si="13"/>
        <v>AKS</v>
      </c>
      <c r="C209" s="33" t="str">
        <f t="shared" si="14"/>
        <v>23509-0000</v>
      </c>
      <c r="D209" s="64" t="s">
        <v>346</v>
      </c>
      <c r="E209" s="64" t="s">
        <v>111</v>
      </c>
      <c r="F209" s="64" t="s">
        <v>230</v>
      </c>
      <c r="G209" s="64" t="s">
        <v>97</v>
      </c>
      <c r="H209" s="64" t="s">
        <v>98</v>
      </c>
      <c r="I209" s="64" t="s">
        <v>102</v>
      </c>
      <c r="J209" s="67">
        <v>0</v>
      </c>
      <c r="K209" s="62">
        <v>0</v>
      </c>
      <c r="L209" s="33" t="e">
        <f>HLOOKUP(B209,#REF!,1,0)</f>
        <v>#REF!</v>
      </c>
      <c r="M209" s="33" t="str">
        <f t="shared" si="15"/>
        <v>BS</v>
      </c>
    </row>
    <row r="210" spans="1:13" s="33" customFormat="true" ht="12.75" customHeight="true">
      <c r="A210" s="33" t="str">
        <f t="shared" si="12"/>
        <v>AKS - AP-Accr Exp</v>
      </c>
      <c r="B210" s="33" t="str">
        <f t="shared" si="13"/>
        <v>AKS</v>
      </c>
      <c r="C210" s="33" t="str">
        <f t="shared" si="14"/>
        <v>24800-0000</v>
      </c>
      <c r="D210" s="64" t="s">
        <v>347</v>
      </c>
      <c r="E210" s="64" t="s">
        <v>232</v>
      </c>
      <c r="F210" s="64" t="s">
        <v>230</v>
      </c>
      <c r="G210" s="64" t="s">
        <v>97</v>
      </c>
      <c r="H210" s="64" t="s">
        <v>98</v>
      </c>
      <c r="I210" s="64" t="s">
        <v>102</v>
      </c>
      <c r="J210" s="67">
        <v>0</v>
      </c>
      <c r="K210" s="62">
        <v>0</v>
      </c>
      <c r="L210" s="33" t="e">
        <f>HLOOKUP(B210,#REF!,1,0)</f>
        <v>#REF!</v>
      </c>
      <c r="M210" s="33" t="str">
        <f t="shared" si="15"/>
        <v>BS</v>
      </c>
    </row>
    <row r="211" spans="1:13" s="33" customFormat="true" ht="12.75" customHeight="true">
      <c r="A211" s="33" t="str">
        <f t="shared" si="12"/>
        <v>AKS - Principal</v>
      </c>
      <c r="B211" s="33" t="str">
        <f t="shared" si="13"/>
        <v>AKS</v>
      </c>
      <c r="C211" s="33" t="str">
        <f t="shared" si="14"/>
        <v>26800-0000</v>
      </c>
      <c r="D211" s="64" t="s">
        <v>348</v>
      </c>
      <c r="E211" s="64" t="s">
        <v>349</v>
      </c>
      <c r="F211" s="64" t="s">
        <v>230</v>
      </c>
      <c r="G211" s="64" t="s">
        <v>350</v>
      </c>
      <c r="H211" s="64" t="s">
        <v>127</v>
      </c>
      <c r="I211" s="64" t="s">
        <v>128</v>
      </c>
      <c r="J211" s="67">
        <v>0</v>
      </c>
      <c r="K211" s="62">
        <v>-64600</v>
      </c>
      <c r="L211" s="33" t="e">
        <f>HLOOKUP(B211,#REF!,1,0)</f>
        <v>#REF!</v>
      </c>
      <c r="M211" s="33" t="str">
        <f t="shared" si="15"/>
        <v>BS</v>
      </c>
    </row>
    <row r="212" spans="1:13" s="33" customFormat="true" ht="12.75" customHeight="true">
      <c r="A212" s="33" t="str">
        <f t="shared" si="12"/>
        <v>AKS - Principal</v>
      </c>
      <c r="B212" s="33" t="str">
        <f t="shared" si="13"/>
        <v>AKS</v>
      </c>
      <c r="C212" s="33" t="str">
        <f t="shared" si="14"/>
        <v>28001-0000</v>
      </c>
      <c r="D212" s="64" t="s">
        <v>351</v>
      </c>
      <c r="E212" s="64" t="s">
        <v>352</v>
      </c>
      <c r="F212" s="64" t="s">
        <v>230</v>
      </c>
      <c r="G212" s="64" t="s">
        <v>123</v>
      </c>
      <c r="H212" s="64" t="s">
        <v>127</v>
      </c>
      <c r="I212" s="64" t="s">
        <v>133</v>
      </c>
      <c r="J212" s="67">
        <v>0</v>
      </c>
      <c r="K212" s="62">
        <v>0</v>
      </c>
      <c r="L212" s="33" t="e">
        <f>HLOOKUP(B212,#REF!,1,0)</f>
        <v>#REF!</v>
      </c>
      <c r="M212" s="33" t="str">
        <f t="shared" si="15"/>
        <v>BS</v>
      </c>
    </row>
    <row r="213" spans="1:13" s="33" customFormat="true" ht="12.75" customHeight="true">
      <c r="A213" s="33" t="str">
        <f t="shared" si="12"/>
        <v>AKS - SH Dist</v>
      </c>
      <c r="B213" s="33" t="str">
        <f t="shared" si="13"/>
        <v>AKS</v>
      </c>
      <c r="C213" s="33" t="str">
        <f t="shared" si="14"/>
        <v>30700-0000</v>
      </c>
      <c r="D213" s="64" t="s">
        <v>353</v>
      </c>
      <c r="E213" s="64" t="s">
        <v>319</v>
      </c>
      <c r="F213" s="64" t="s">
        <v>230</v>
      </c>
      <c r="G213" s="64" t="s">
        <v>142</v>
      </c>
      <c r="H213" s="64" t="s">
        <v>143</v>
      </c>
      <c r="I213" s="64" t="s">
        <v>144</v>
      </c>
      <c r="J213" s="67">
        <v>0</v>
      </c>
      <c r="K213" s="62">
        <v>-1256309.13</v>
      </c>
      <c r="L213" s="33" t="e">
        <f>HLOOKUP(B213,#REF!,1,0)</f>
        <v>#REF!</v>
      </c>
      <c r="M213" s="33" t="str">
        <f t="shared" si="15"/>
        <v>BS</v>
      </c>
    </row>
    <row r="214" spans="1:13" s="33" customFormat="true" ht="12.75" customHeight="true">
      <c r="A214" s="33" t="str">
        <f t="shared" si="12"/>
        <v>AKS - Retained Earnings</v>
      </c>
      <c r="B214" s="33" t="str">
        <f t="shared" si="13"/>
        <v>AKS</v>
      </c>
      <c r="C214" s="33" t="str">
        <f t="shared" si="14"/>
        <v>32000-0000</v>
      </c>
      <c r="D214" s="64" t="s">
        <v>354</v>
      </c>
      <c r="E214" s="64" t="s">
        <v>234</v>
      </c>
      <c r="F214" s="64" t="s">
        <v>230</v>
      </c>
      <c r="G214" s="64" t="s">
        <v>142</v>
      </c>
      <c r="H214" s="64" t="s">
        <v>149</v>
      </c>
      <c r="I214" s="64" t="s">
        <v>235</v>
      </c>
      <c r="J214" s="67">
        <v>0</v>
      </c>
      <c r="K214" s="62">
        <v>-533531.37</v>
      </c>
      <c r="L214" s="33" t="e">
        <f>HLOOKUP(B214,#REF!,1,0)</f>
        <v>#REF!</v>
      </c>
      <c r="M214" s="33" t="str">
        <f t="shared" si="15"/>
        <v>BS</v>
      </c>
    </row>
    <row r="215" spans="1:13" s="33" customFormat="true" ht="12.75" customHeight="true">
      <c r="A215" s="33" t="str">
        <f t="shared" si="12"/>
        <v>ALP - Cash</v>
      </c>
      <c r="B215" s="33" t="str">
        <f t="shared" si="13"/>
        <v>ALP</v>
      </c>
      <c r="C215" s="33" t="str">
        <f t="shared" si="14"/>
        <v>10001-0000</v>
      </c>
      <c r="D215" s="283" t="s">
        <v>355</v>
      </c>
      <c r="E215" s="64" t="s">
        <v>240</v>
      </c>
      <c r="F215" s="64" t="s">
        <v>230</v>
      </c>
      <c r="G215" s="64" t="s">
        <v>16</v>
      </c>
      <c r="H215" s="64" t="s">
        <v>25</v>
      </c>
      <c r="I215" s="64" t="s">
        <v>18</v>
      </c>
      <c r="J215" s="67">
        <v>-50000</v>
      </c>
      <c r="K215" s="62">
        <v>-25931.81</v>
      </c>
      <c r="L215" s="33" t="e">
        <f>HLOOKUP(B215,#REF!,1,0)</f>
        <v>#REF!</v>
      </c>
      <c r="M215" s="33" t="str">
        <f t="shared" si="15"/>
        <v>BS</v>
      </c>
    </row>
    <row r="216" spans="1:13" s="33" customFormat="true" ht="12.75" customHeight="true">
      <c r="A216" s="33" t="str">
        <f t="shared" si="12"/>
        <v>ALP - CASH</v>
      </c>
      <c r="B216" s="33" t="str">
        <f t="shared" si="13"/>
        <v>ALP</v>
      </c>
      <c r="C216" s="33" t="str">
        <f t="shared" si="14"/>
        <v>10003-0000</v>
      </c>
      <c r="D216" s="283" t="s">
        <v>356</v>
      </c>
      <c r="E216" s="64" t="s">
        <v>357</v>
      </c>
      <c r="F216" s="64" t="s">
        <v>230</v>
      </c>
      <c r="G216" s="64" t="s">
        <v>16</v>
      </c>
      <c r="H216" s="64" t="s">
        <v>358</v>
      </c>
      <c r="I216" s="64" t="s">
        <v>18</v>
      </c>
      <c r="J216" s="67">
        <v>0</v>
      </c>
      <c r="K216" s="62">
        <v>70</v>
      </c>
      <c r="L216" s="33" t="e">
        <f>HLOOKUP(B216,#REF!,1,0)</f>
        <v>#REF!</v>
      </c>
      <c r="M216" s="33" t="str">
        <f t="shared" si="15"/>
        <v>BS</v>
      </c>
    </row>
    <row r="217" spans="1:13" s="33" customFormat="true" ht="12.75" customHeight="true">
      <c r="A217" s="33" t="str">
        <f t="shared" si="12"/>
        <v>ALP - AR-PPD</v>
      </c>
      <c r="B217" s="33" t="str">
        <f t="shared" si="13"/>
        <v>ALP</v>
      </c>
      <c r="C217" s="33" t="str">
        <f t="shared" si="14"/>
        <v>11000-0000</v>
      </c>
      <c r="D217" s="283" t="s">
        <v>359</v>
      </c>
      <c r="E217" s="64" t="s">
        <v>34</v>
      </c>
      <c r="F217" s="64" t="s">
        <v>230</v>
      </c>
      <c r="G217" s="64" t="s">
        <v>16</v>
      </c>
      <c r="H217" s="64" t="s">
        <v>35</v>
      </c>
      <c r="I217" s="64" t="s">
        <v>36</v>
      </c>
      <c r="J217" s="67">
        <v>0</v>
      </c>
      <c r="K217" s="62">
        <v>0</v>
      </c>
      <c r="L217" s="33" t="e">
        <f>HLOOKUP(B217,#REF!,1,0)</f>
        <v>#REF!</v>
      </c>
      <c r="M217" s="33" t="str">
        <f t="shared" si="15"/>
        <v>BS</v>
      </c>
    </row>
    <row r="218" spans="1:13" s="33" customFormat="true" ht="12.75" customHeight="true">
      <c r="A218" s="33" t="str">
        <f t="shared" si="12"/>
        <v>ALP - Intercompany</v>
      </c>
      <c r="B218" s="33" t="str">
        <f t="shared" si="13"/>
        <v>ALP</v>
      </c>
      <c r="C218" s="33" t="str">
        <f t="shared" si="14"/>
        <v>11216-0000</v>
      </c>
      <c r="D218" s="283" t="s">
        <v>360</v>
      </c>
      <c r="E218" s="64" t="s">
        <v>242</v>
      </c>
      <c r="F218" s="64" t="s">
        <v>230</v>
      </c>
      <c r="G218" s="64" t="s">
        <v>16</v>
      </c>
      <c r="H218" s="64" t="s">
        <v>39</v>
      </c>
      <c r="I218" s="64" t="s">
        <v>40</v>
      </c>
      <c r="J218" s="67">
        <v>0</v>
      </c>
      <c r="K218" s="62">
        <v>46139</v>
      </c>
      <c r="L218" s="33" t="e">
        <f>HLOOKUP(B218,#REF!,1,0)</f>
        <v>#REF!</v>
      </c>
      <c r="M218" s="33" t="str">
        <f t="shared" si="15"/>
        <v>BS</v>
      </c>
    </row>
    <row r="219" spans="1:13" s="33" customFormat="true" ht="12.75" customHeight="true">
      <c r="A219" s="33" t="str">
        <f t="shared" si="12"/>
        <v>ALP - Intercompany</v>
      </c>
      <c r="B219" s="33" t="str">
        <f t="shared" si="13"/>
        <v>ALP</v>
      </c>
      <c r="C219" s="33" t="str">
        <f t="shared" si="14"/>
        <v>11305-0000</v>
      </c>
      <c r="D219" s="283" t="s">
        <v>361</v>
      </c>
      <c r="E219" s="64" t="s">
        <v>252</v>
      </c>
      <c r="F219" s="64" t="s">
        <v>230</v>
      </c>
      <c r="G219" s="64" t="s">
        <v>362</v>
      </c>
      <c r="H219" s="64" t="s">
        <v>39</v>
      </c>
      <c r="I219" s="64" t="s">
        <v>40</v>
      </c>
      <c r="J219" s="67">
        <v>0</v>
      </c>
      <c r="K219" s="62">
        <v>135000</v>
      </c>
      <c r="L219" s="33" t="e">
        <f>HLOOKUP(B219,#REF!,1,0)</f>
        <v>#REF!</v>
      </c>
      <c r="M219" s="33" t="str">
        <f t="shared" si="15"/>
        <v>BS</v>
      </c>
    </row>
    <row r="220" spans="1:13" s="33" customFormat="true" ht="12.75" customHeight="true">
      <c r="A220" s="33" t="str">
        <f t="shared" si="12"/>
        <v>ALP - Intercompany</v>
      </c>
      <c r="B220" s="33" t="str">
        <f t="shared" si="13"/>
        <v>ALP</v>
      </c>
      <c r="C220" s="33" t="str">
        <f t="shared" si="14"/>
        <v>11311-0000</v>
      </c>
      <c r="D220" s="283" t="s">
        <v>363</v>
      </c>
      <c r="E220" s="64" t="s">
        <v>258</v>
      </c>
      <c r="F220" s="64" t="s">
        <v>230</v>
      </c>
      <c r="G220" s="64" t="s">
        <v>16</v>
      </c>
      <c r="H220" s="64" t="s">
        <v>39</v>
      </c>
      <c r="I220" s="64" t="s">
        <v>40</v>
      </c>
      <c r="J220" s="67">
        <v>0</v>
      </c>
      <c r="K220" s="62">
        <v>-90000</v>
      </c>
      <c r="L220" s="33" t="e">
        <f>HLOOKUP(B220,#REF!,1,0)</f>
        <v>#REF!</v>
      </c>
      <c r="M220" s="33" t="str">
        <f t="shared" si="15"/>
        <v>BS</v>
      </c>
    </row>
    <row r="221" spans="1:13" s="33" customFormat="true" ht="12.75" customHeight="true">
      <c r="A221" s="33" t="str">
        <f t="shared" si="12"/>
        <v>ALP - Intercompany</v>
      </c>
      <c r="B221" s="33" t="str">
        <f t="shared" si="13"/>
        <v>ALP</v>
      </c>
      <c r="C221" s="33" t="str">
        <f t="shared" si="14"/>
        <v>11314-0000</v>
      </c>
      <c r="D221" s="283" t="s">
        <v>364</v>
      </c>
      <c r="E221" s="64" t="s">
        <v>365</v>
      </c>
      <c r="F221" s="64" t="s">
        <v>230</v>
      </c>
      <c r="G221" s="64" t="s">
        <v>16</v>
      </c>
      <c r="H221" s="64" t="s">
        <v>39</v>
      </c>
      <c r="I221" s="64" t="s">
        <v>40</v>
      </c>
      <c r="J221" s="67">
        <v>0</v>
      </c>
      <c r="K221" s="62">
        <v>249900</v>
      </c>
      <c r="L221" s="33" t="e">
        <f>HLOOKUP(B221,#REF!,1,0)</f>
        <v>#REF!</v>
      </c>
      <c r="M221" s="33" t="str">
        <f t="shared" si="15"/>
        <v>BS</v>
      </c>
    </row>
    <row r="222" spans="1:13" s="33" customFormat="true" ht="12.75" customHeight="true">
      <c r="A222" s="33" t="str">
        <f t="shared" si="12"/>
        <v>ALP - Intercompany</v>
      </c>
      <c r="B222" s="33" t="str">
        <f t="shared" si="13"/>
        <v>ALP</v>
      </c>
      <c r="C222" s="33" t="str">
        <f t="shared" si="14"/>
        <v>11316-0000</v>
      </c>
      <c r="D222" s="283" t="s">
        <v>366</v>
      </c>
      <c r="E222" s="64" t="s">
        <v>264</v>
      </c>
      <c r="F222" s="64" t="s">
        <v>230</v>
      </c>
      <c r="G222" s="64" t="s">
        <v>16</v>
      </c>
      <c r="H222" s="64" t="s">
        <v>39</v>
      </c>
      <c r="I222" s="64" t="s">
        <v>40</v>
      </c>
      <c r="J222" s="67">
        <v>0</v>
      </c>
      <c r="K222" s="62">
        <v>-15000</v>
      </c>
      <c r="L222" s="33" t="e">
        <f>HLOOKUP(B222,#REF!,1,0)</f>
        <v>#REF!</v>
      </c>
      <c r="M222" s="33" t="str">
        <f t="shared" si="15"/>
        <v>BS</v>
      </c>
    </row>
    <row r="223" spans="1:13" s="33" customFormat="true" ht="12.75" customHeight="true">
      <c r="A223" s="33" t="str">
        <f t="shared" si="12"/>
        <v>ALP - Intercompany</v>
      </c>
      <c r="B223" s="33" t="str">
        <f t="shared" si="13"/>
        <v>ALP</v>
      </c>
      <c r="C223" s="33" t="str">
        <f t="shared" si="14"/>
        <v>11317-0000</v>
      </c>
      <c r="D223" s="283" t="s">
        <v>367</v>
      </c>
      <c r="E223" s="64" t="s">
        <v>368</v>
      </c>
      <c r="F223" s="64" t="s">
        <v>230</v>
      </c>
      <c r="G223" s="64" t="s">
        <v>16</v>
      </c>
      <c r="H223" s="64" t="s">
        <v>39</v>
      </c>
      <c r="I223" s="64" t="s">
        <v>40</v>
      </c>
      <c r="J223" s="67">
        <v>0</v>
      </c>
      <c r="K223" s="62">
        <v>-125000</v>
      </c>
      <c r="L223" s="33" t="e">
        <f>HLOOKUP(B223,#REF!,1,0)</f>
        <v>#REF!</v>
      </c>
      <c r="M223" s="33" t="str">
        <f t="shared" si="15"/>
        <v>BS</v>
      </c>
    </row>
    <row r="224" spans="1:13" s="33" customFormat="true" ht="12.75" customHeight="true">
      <c r="A224" s="33" t="str">
        <f t="shared" si="12"/>
        <v>ALP - Intercompany</v>
      </c>
      <c r="B224" s="33" t="str">
        <f t="shared" si="13"/>
        <v>ALP</v>
      </c>
      <c r="C224" s="33" t="str">
        <f t="shared" si="14"/>
        <v>11319-0000</v>
      </c>
      <c r="D224" s="283" t="s">
        <v>369</v>
      </c>
      <c r="E224" s="64" t="s">
        <v>370</v>
      </c>
      <c r="F224" s="64" t="s">
        <v>230</v>
      </c>
      <c r="G224" s="64" t="s">
        <v>16</v>
      </c>
      <c r="H224" s="64" t="s">
        <v>39</v>
      </c>
      <c r="I224" s="64" t="s">
        <v>40</v>
      </c>
      <c r="J224" s="67">
        <v>0</v>
      </c>
      <c r="K224" s="62">
        <v>-35000</v>
      </c>
      <c r="L224" s="33" t="e">
        <f>HLOOKUP(B224,#REF!,1,0)</f>
        <v>#REF!</v>
      </c>
      <c r="M224" s="33" t="str">
        <f t="shared" si="15"/>
        <v>BS</v>
      </c>
    </row>
    <row r="225" spans="1:13" s="33" customFormat="true" ht="12.75" customHeight="true">
      <c r="A225" s="33" t="str">
        <f t="shared" si="12"/>
        <v>ALP - Intercompany</v>
      </c>
      <c r="B225" s="33" t="str">
        <f t="shared" si="13"/>
        <v>ALP</v>
      </c>
      <c r="C225" s="33" t="str">
        <f t="shared" si="14"/>
        <v>11321-0000</v>
      </c>
      <c r="D225" s="283" t="s">
        <v>371</v>
      </c>
      <c r="E225" s="64" t="s">
        <v>268</v>
      </c>
      <c r="F225" s="64" t="s">
        <v>230</v>
      </c>
      <c r="G225" s="64" t="s">
        <v>16</v>
      </c>
      <c r="H225" s="64" t="s">
        <v>39</v>
      </c>
      <c r="I225" s="64" t="s">
        <v>40</v>
      </c>
      <c r="J225" s="67">
        <v>0</v>
      </c>
      <c r="K225" s="62">
        <v>12000</v>
      </c>
      <c r="L225" s="33" t="e">
        <f>HLOOKUP(B225,#REF!,1,0)</f>
        <v>#REF!</v>
      </c>
      <c r="M225" s="33" t="str">
        <f t="shared" si="15"/>
        <v>BS</v>
      </c>
    </row>
    <row r="226" spans="1:13" s="33" customFormat="true" ht="12.75" customHeight="true">
      <c r="A226" s="33" t="str">
        <f t="shared" si="12"/>
        <v>ALP - Intercompany</v>
      </c>
      <c r="B226" s="33" t="str">
        <f t="shared" si="13"/>
        <v>ALP</v>
      </c>
      <c r="C226" s="33" t="str">
        <f t="shared" si="14"/>
        <v>11324-0000</v>
      </c>
      <c r="D226" s="283" t="s">
        <v>372</v>
      </c>
      <c r="E226" s="64" t="s">
        <v>272</v>
      </c>
      <c r="F226" s="64" t="s">
        <v>230</v>
      </c>
      <c r="G226" s="64" t="s">
        <v>16</v>
      </c>
      <c r="H226" s="64" t="s">
        <v>39</v>
      </c>
      <c r="I226" s="64" t="s">
        <v>40</v>
      </c>
      <c r="J226" s="67">
        <v>0</v>
      </c>
      <c r="K226" s="62">
        <v>-40000</v>
      </c>
      <c r="L226" s="33" t="e">
        <f>HLOOKUP(B226,#REF!,1,0)</f>
        <v>#REF!</v>
      </c>
      <c r="M226" s="33" t="str">
        <f t="shared" si="15"/>
        <v>BS</v>
      </c>
    </row>
    <row r="227" spans="1:13" s="33" customFormat="true" ht="12.75" customHeight="true">
      <c r="A227" s="33" t="str">
        <f t="shared" si="12"/>
        <v>ALP - Intercompany</v>
      </c>
      <c r="B227" s="33" t="str">
        <f t="shared" si="13"/>
        <v>ALP</v>
      </c>
      <c r="C227" s="33" t="str">
        <f t="shared" si="14"/>
        <v>11325-0000</v>
      </c>
      <c r="D227" s="283" t="s">
        <v>373</v>
      </c>
      <c r="E227" s="64" t="s">
        <v>274</v>
      </c>
      <c r="F227" s="64" t="s">
        <v>230</v>
      </c>
      <c r="G227" s="64" t="s">
        <v>16</v>
      </c>
      <c r="H227" s="64" t="s">
        <v>39</v>
      </c>
      <c r="I227" s="64" t="s">
        <v>40</v>
      </c>
      <c r="J227" s="67">
        <v>0</v>
      </c>
      <c r="K227" s="62">
        <v>10000</v>
      </c>
      <c r="L227" s="33" t="e">
        <f>HLOOKUP(B227,#REF!,1,0)</f>
        <v>#REF!</v>
      </c>
      <c r="M227" s="33" t="str">
        <f t="shared" si="15"/>
        <v>BS</v>
      </c>
    </row>
    <row r="228" spans="1:13" s="33" customFormat="true" ht="12.75" customHeight="true">
      <c r="A228" s="33" t="str">
        <f t="shared" si="12"/>
        <v>ALP - Intercompany</v>
      </c>
      <c r="B228" s="33" t="str">
        <f t="shared" si="13"/>
        <v>ALP</v>
      </c>
      <c r="C228" s="33" t="str">
        <f t="shared" si="14"/>
        <v>11326-0000</v>
      </c>
      <c r="D228" s="283" t="s">
        <v>374</v>
      </c>
      <c r="E228" s="64" t="s">
        <v>276</v>
      </c>
      <c r="F228" s="64" t="s">
        <v>230</v>
      </c>
      <c r="G228" s="64" t="s">
        <v>362</v>
      </c>
      <c r="H228" s="64" t="s">
        <v>39</v>
      </c>
      <c r="I228" s="64" t="s">
        <v>40</v>
      </c>
      <c r="J228" s="67">
        <v>0</v>
      </c>
      <c r="K228" s="62">
        <v>35000</v>
      </c>
      <c r="L228" s="33" t="e">
        <f>HLOOKUP(B228,#REF!,1,0)</f>
        <v>#REF!</v>
      </c>
      <c r="M228" s="33" t="str">
        <f t="shared" si="15"/>
        <v>BS</v>
      </c>
    </row>
    <row r="229" spans="1:13" s="33" customFormat="true" ht="12.75" customHeight="true">
      <c r="A229" s="33" t="str">
        <f t="shared" si="12"/>
        <v>ALP - Intercompany</v>
      </c>
      <c r="B229" s="33" t="str">
        <f t="shared" si="13"/>
        <v>ALP</v>
      </c>
      <c r="C229" s="33" t="str">
        <f t="shared" si="14"/>
        <v>11328-0000</v>
      </c>
      <c r="D229" s="283" t="s">
        <v>375</v>
      </c>
      <c r="E229" s="64" t="s">
        <v>278</v>
      </c>
      <c r="F229" s="64" t="s">
        <v>230</v>
      </c>
      <c r="G229" s="64" t="s">
        <v>16</v>
      </c>
      <c r="H229" s="64" t="s">
        <v>39</v>
      </c>
      <c r="I229" s="64" t="s">
        <v>40</v>
      </c>
      <c r="J229" s="67">
        <v>0</v>
      </c>
      <c r="K229" s="62">
        <v>10000</v>
      </c>
      <c r="L229" s="33" t="e">
        <f>HLOOKUP(B229,#REF!,1,0)</f>
        <v>#REF!</v>
      </c>
      <c r="M229" s="33" t="str">
        <f t="shared" si="15"/>
        <v>BS</v>
      </c>
    </row>
    <row r="230" spans="1:13" s="33" customFormat="true" ht="12.75" customHeight="true">
      <c r="A230" s="33" t="str">
        <f t="shared" si="12"/>
        <v>ALP - Intercompany</v>
      </c>
      <c r="B230" s="33" t="str">
        <f t="shared" si="13"/>
        <v>ALP</v>
      </c>
      <c r="C230" s="33" t="str">
        <f t="shared" si="14"/>
        <v>11329-0000</v>
      </c>
      <c r="D230" s="283" t="s">
        <v>376</v>
      </c>
      <c r="E230" s="64" t="s">
        <v>377</v>
      </c>
      <c r="F230" s="64" t="s">
        <v>230</v>
      </c>
      <c r="G230" s="64" t="s">
        <v>16</v>
      </c>
      <c r="H230" s="64" t="s">
        <v>39</v>
      </c>
      <c r="I230" s="64" t="s">
        <v>40</v>
      </c>
      <c r="J230" s="67">
        <v>0</v>
      </c>
      <c r="K230" s="62">
        <v>55000</v>
      </c>
      <c r="L230" s="33" t="e">
        <f>HLOOKUP(B230,#REF!,1,0)</f>
        <v>#REF!</v>
      </c>
      <c r="M230" s="33" t="str">
        <f t="shared" si="15"/>
        <v>BS</v>
      </c>
    </row>
    <row r="231" spans="1:13" s="33" customFormat="true" ht="12.75" customHeight="true">
      <c r="A231" s="33" t="str">
        <f t="shared" si="12"/>
        <v>ALP - Intercompany</v>
      </c>
      <c r="B231" s="33" t="str">
        <f t="shared" si="13"/>
        <v>ALP</v>
      </c>
      <c r="C231" s="33" t="str">
        <f t="shared" si="14"/>
        <v>11331-0000</v>
      </c>
      <c r="D231" s="283" t="s">
        <v>378</v>
      </c>
      <c r="E231" s="64" t="s">
        <v>379</v>
      </c>
      <c r="F231" s="64" t="s">
        <v>230</v>
      </c>
      <c r="G231" s="64" t="s">
        <v>362</v>
      </c>
      <c r="H231" s="64" t="s">
        <v>39</v>
      </c>
      <c r="I231" s="64" t="s">
        <v>40</v>
      </c>
      <c r="J231" s="67">
        <v>0</v>
      </c>
      <c r="K231" s="62">
        <v>20000</v>
      </c>
      <c r="L231" s="33" t="e">
        <f>HLOOKUP(B231,#REF!,1,0)</f>
        <v>#REF!</v>
      </c>
      <c r="M231" s="33" t="str">
        <f t="shared" si="15"/>
        <v>BS</v>
      </c>
    </row>
    <row r="232" spans="1:13" s="33" customFormat="true" ht="12.75" customHeight="true">
      <c r="A232" s="33" t="str">
        <f t="shared" si="12"/>
        <v>ALP - Intercompany</v>
      </c>
      <c r="B232" s="33" t="str">
        <f t="shared" si="13"/>
        <v>ALP</v>
      </c>
      <c r="C232" s="33" t="str">
        <f t="shared" si="14"/>
        <v>11332-0000</v>
      </c>
      <c r="D232" s="283" t="s">
        <v>380</v>
      </c>
      <c r="E232" s="64" t="s">
        <v>331</v>
      </c>
      <c r="F232" s="64" t="s">
        <v>230</v>
      </c>
      <c r="G232" s="64" t="s">
        <v>362</v>
      </c>
      <c r="H232" s="64" t="s">
        <v>39</v>
      </c>
      <c r="I232" s="64" t="s">
        <v>40</v>
      </c>
      <c r="J232" s="67">
        <v>0</v>
      </c>
      <c r="K232" s="62">
        <v>70000</v>
      </c>
      <c r="L232" s="33" t="e">
        <f>HLOOKUP(B232,#REF!,1,0)</f>
        <v>#REF!</v>
      </c>
      <c r="M232" s="33" t="str">
        <f t="shared" si="15"/>
        <v>BS</v>
      </c>
    </row>
    <row r="233" spans="1:13" s="33" customFormat="true" ht="12.75" customHeight="true">
      <c r="A233" s="33" t="str">
        <f t="shared" si="12"/>
        <v>ALP - Intercompany</v>
      </c>
      <c r="B233" s="33" t="str">
        <f t="shared" si="13"/>
        <v>ALP</v>
      </c>
      <c r="C233" s="33" t="str">
        <f t="shared" si="14"/>
        <v>11334-0000</v>
      </c>
      <c r="D233" s="283" t="s">
        <v>381</v>
      </c>
      <c r="E233" s="64" t="s">
        <v>333</v>
      </c>
      <c r="F233" s="64" t="s">
        <v>230</v>
      </c>
      <c r="G233" s="64" t="s">
        <v>16</v>
      </c>
      <c r="H233" s="64" t="s">
        <v>39</v>
      </c>
      <c r="I233" s="64" t="s">
        <v>40</v>
      </c>
      <c r="J233" s="67">
        <v>0</v>
      </c>
      <c r="K233" s="62">
        <v>10000</v>
      </c>
      <c r="L233" s="33" t="e">
        <f>HLOOKUP(B233,#REF!,1,0)</f>
        <v>#REF!</v>
      </c>
      <c r="M233" s="33" t="str">
        <f t="shared" si="15"/>
        <v>BS</v>
      </c>
    </row>
    <row r="234" spans="1:13" s="33" customFormat="true" ht="12.75" customHeight="true">
      <c r="A234" s="33" t="str">
        <f t="shared" si="12"/>
        <v>ALP - Intercompany</v>
      </c>
      <c r="B234" s="33" t="str">
        <f t="shared" si="13"/>
        <v>ALP</v>
      </c>
      <c r="C234" s="33" t="str">
        <f t="shared" si="14"/>
        <v>11337-0000</v>
      </c>
      <c r="D234" s="283" t="s">
        <v>382</v>
      </c>
      <c r="E234" s="64" t="s">
        <v>292</v>
      </c>
      <c r="F234" s="64" t="s">
        <v>230</v>
      </c>
      <c r="G234" s="64" t="s">
        <v>16</v>
      </c>
      <c r="H234" s="64" t="s">
        <v>39</v>
      </c>
      <c r="I234" s="64" t="s">
        <v>40</v>
      </c>
      <c r="J234" s="67">
        <v>0</v>
      </c>
      <c r="K234" s="62">
        <v>15000</v>
      </c>
      <c r="L234" s="33" t="e">
        <f>HLOOKUP(B234,#REF!,1,0)</f>
        <v>#REF!</v>
      </c>
      <c r="M234" s="33" t="str">
        <f t="shared" si="15"/>
        <v>BS</v>
      </c>
    </row>
    <row r="235" spans="1:13" s="33" customFormat="true" ht="12.75" customHeight="true">
      <c r="A235" s="33" t="str">
        <f t="shared" si="12"/>
        <v>ALP - Intercompany</v>
      </c>
      <c r="B235" s="33" t="str">
        <f t="shared" si="13"/>
        <v>ALP</v>
      </c>
      <c r="C235" s="33" t="str">
        <f t="shared" si="14"/>
        <v>11342-0000</v>
      </c>
      <c r="D235" s="283" t="s">
        <v>383</v>
      </c>
      <c r="E235" s="64" t="s">
        <v>384</v>
      </c>
      <c r="F235" s="64" t="s">
        <v>230</v>
      </c>
      <c r="G235" s="64" t="s">
        <v>16</v>
      </c>
      <c r="H235" s="64" t="s">
        <v>39</v>
      </c>
      <c r="I235" s="64" t="s">
        <v>40</v>
      </c>
      <c r="J235" s="67">
        <v>0</v>
      </c>
      <c r="K235" s="62">
        <v>70000</v>
      </c>
      <c r="L235" s="33" t="e">
        <f>HLOOKUP(B235,#REF!,1,0)</f>
        <v>#REF!</v>
      </c>
      <c r="M235" s="33" t="str">
        <f t="shared" si="15"/>
        <v>BS</v>
      </c>
    </row>
    <row r="236" spans="1:13" s="33" customFormat="true" ht="12.75" customHeight="true">
      <c r="A236" s="33" t="str">
        <f t="shared" si="12"/>
        <v>ALP - AR-PPD</v>
      </c>
      <c r="B236" s="33" t="str">
        <f t="shared" si="13"/>
        <v>ALP</v>
      </c>
      <c r="C236" s="33" t="str">
        <f t="shared" si="14"/>
        <v>12200-0000</v>
      </c>
      <c r="D236" s="283" t="s">
        <v>385</v>
      </c>
      <c r="E236" s="64" t="s">
        <v>294</v>
      </c>
      <c r="F236" s="64" t="s">
        <v>230</v>
      </c>
      <c r="G236" s="64" t="s">
        <v>62</v>
      </c>
      <c r="H236" s="64" t="s">
        <v>35</v>
      </c>
      <c r="I236" s="64" t="s">
        <v>64</v>
      </c>
      <c r="J236" s="67">
        <v>0</v>
      </c>
      <c r="K236" s="62">
        <v>-4438</v>
      </c>
      <c r="L236" s="33" t="e">
        <f>HLOOKUP(B236,#REF!,1,0)</f>
        <v>#REF!</v>
      </c>
      <c r="M236" s="33" t="str">
        <f t="shared" si="15"/>
        <v>BS</v>
      </c>
    </row>
    <row r="237" spans="1:13" s="33" customFormat="true" ht="12.75" customHeight="true">
      <c r="A237" s="33" t="str">
        <f t="shared" si="12"/>
        <v>ALP - AR-PPD</v>
      </c>
      <c r="B237" s="33" t="str">
        <f t="shared" si="13"/>
        <v>ALP</v>
      </c>
      <c r="C237" s="33" t="str">
        <f t="shared" si="14"/>
        <v>12300-0000</v>
      </c>
      <c r="D237" s="283" t="s">
        <v>386</v>
      </c>
      <c r="E237" s="64" t="s">
        <v>387</v>
      </c>
      <c r="F237" s="64" t="s">
        <v>230</v>
      </c>
      <c r="G237" s="64" t="s">
        <v>388</v>
      </c>
      <c r="H237" s="64" t="s">
        <v>35</v>
      </c>
      <c r="I237" s="64" t="s">
        <v>64</v>
      </c>
      <c r="J237" s="67">
        <v>0</v>
      </c>
      <c r="K237" s="62">
        <v>119022</v>
      </c>
      <c r="L237" s="33" t="e">
        <f>HLOOKUP(B237,#REF!,1,0)</f>
        <v>#REF!</v>
      </c>
      <c r="M237" s="33" t="str">
        <f t="shared" si="15"/>
        <v>BS</v>
      </c>
    </row>
    <row r="238" spans="1:13" s="33" customFormat="true" ht="12.75" customHeight="true">
      <c r="A238" s="33" t="str">
        <f t="shared" si="12"/>
        <v>ALP - Fixed Assets</v>
      </c>
      <c r="B238" s="33" t="str">
        <f t="shared" si="13"/>
        <v>ALP</v>
      </c>
      <c r="C238" s="33" t="str">
        <f t="shared" si="14"/>
        <v>14000-0000</v>
      </c>
      <c r="D238" s="283" t="s">
        <v>389</v>
      </c>
      <c r="E238" s="64" t="s">
        <v>298</v>
      </c>
      <c r="F238" s="64" t="s">
        <v>230</v>
      </c>
      <c r="G238" s="64" t="s">
        <v>62</v>
      </c>
      <c r="H238" s="64" t="s">
        <v>63</v>
      </c>
      <c r="I238" s="64" t="s">
        <v>64</v>
      </c>
      <c r="J238" s="67">
        <v>0</v>
      </c>
      <c r="K238" s="62">
        <v>1811627</v>
      </c>
      <c r="L238" s="33" t="e">
        <f>HLOOKUP(B238,#REF!,1,0)</f>
        <v>#REF!</v>
      </c>
      <c r="M238" s="33" t="str">
        <f t="shared" si="15"/>
        <v>BS</v>
      </c>
    </row>
    <row r="239" spans="1:13" s="33" customFormat="true" ht="12.75" customHeight="true">
      <c r="A239" s="33" t="str">
        <f t="shared" si="12"/>
        <v>ALP - Fixed Assets</v>
      </c>
      <c r="B239" s="33" t="str">
        <f t="shared" si="13"/>
        <v>ALP</v>
      </c>
      <c r="C239" s="33" t="str">
        <f t="shared" si="14"/>
        <v>15000-0000</v>
      </c>
      <c r="D239" s="283" t="s">
        <v>390</v>
      </c>
      <c r="E239" s="64" t="s">
        <v>300</v>
      </c>
      <c r="F239" s="64" t="s">
        <v>230</v>
      </c>
      <c r="G239" s="64" t="s">
        <v>62</v>
      </c>
      <c r="H239" s="64" t="s">
        <v>63</v>
      </c>
      <c r="I239" s="64" t="s">
        <v>64</v>
      </c>
      <c r="J239" s="67">
        <v>0</v>
      </c>
      <c r="K239" s="62">
        <v>7813373</v>
      </c>
      <c r="L239" s="33" t="e">
        <f>HLOOKUP(B239,#REF!,1,0)</f>
        <v>#REF!</v>
      </c>
      <c r="M239" s="33" t="str">
        <f t="shared" si="15"/>
        <v>BS</v>
      </c>
    </row>
    <row r="240" spans="1:13" s="33" customFormat="true" ht="12.75" customHeight="true">
      <c r="A240" s="33" t="str">
        <f t="shared" si="12"/>
        <v>ALP - Fixed Assets</v>
      </c>
      <c r="B240" s="33" t="str">
        <f t="shared" si="13"/>
        <v>ALP</v>
      </c>
      <c r="C240" s="33" t="str">
        <f t="shared" si="14"/>
        <v>15500-0000</v>
      </c>
      <c r="D240" s="283" t="s">
        <v>391</v>
      </c>
      <c r="E240" s="64" t="s">
        <v>302</v>
      </c>
      <c r="F240" s="64" t="s">
        <v>230</v>
      </c>
      <c r="G240" s="64" t="s">
        <v>62</v>
      </c>
      <c r="H240" s="64" t="s">
        <v>63</v>
      </c>
      <c r="I240" s="64" t="s">
        <v>64</v>
      </c>
      <c r="J240" s="67">
        <v>0</v>
      </c>
      <c r="K240" s="62">
        <v>357211.43</v>
      </c>
      <c r="L240" s="33" t="e">
        <f>HLOOKUP(B240,#REF!,1,0)</f>
        <v>#REF!</v>
      </c>
      <c r="M240" s="33" t="str">
        <f t="shared" si="15"/>
        <v>BS</v>
      </c>
    </row>
    <row r="241" spans="1:13" s="33" customFormat="true" ht="12.75" customHeight="true">
      <c r="A241" s="33" t="str">
        <f t="shared" si="12"/>
        <v>ALP - Fixed Assets</v>
      </c>
      <c r="B241" s="33" t="str">
        <f t="shared" si="13"/>
        <v>ALP</v>
      </c>
      <c r="C241" s="33" t="str">
        <f t="shared" si="14"/>
        <v>16000-0000</v>
      </c>
      <c r="D241" s="283" t="s">
        <v>392</v>
      </c>
      <c r="E241" s="64" t="s">
        <v>304</v>
      </c>
      <c r="F241" s="64" t="s">
        <v>230</v>
      </c>
      <c r="G241" s="64" t="s">
        <v>16</v>
      </c>
      <c r="H241" s="64" t="s">
        <v>63</v>
      </c>
      <c r="I241" s="64" t="s">
        <v>18</v>
      </c>
      <c r="J241" s="67">
        <v>0</v>
      </c>
      <c r="K241" s="62">
        <v>122323</v>
      </c>
      <c r="L241" s="33" t="e">
        <f>HLOOKUP(B241,#REF!,1,0)</f>
        <v>#REF!</v>
      </c>
      <c r="M241" s="33" t="str">
        <f t="shared" si="15"/>
        <v>BS</v>
      </c>
    </row>
    <row r="242" spans="1:13" s="33" customFormat="true" ht="12.75" customHeight="true">
      <c r="A242" s="33" t="str">
        <f t="shared" si="12"/>
        <v>ALP - Fixed Assets</v>
      </c>
      <c r="B242" s="33" t="str">
        <f t="shared" si="13"/>
        <v>ALP</v>
      </c>
      <c r="C242" s="33" t="str">
        <f t="shared" si="14"/>
        <v>17000-0000</v>
      </c>
      <c r="D242" s="283" t="s">
        <v>393</v>
      </c>
      <c r="E242" s="64" t="s">
        <v>306</v>
      </c>
      <c r="F242" s="64" t="s">
        <v>230</v>
      </c>
      <c r="G242" s="64" t="s">
        <v>62</v>
      </c>
      <c r="H242" s="64" t="s">
        <v>63</v>
      </c>
      <c r="I242" s="64" t="s">
        <v>64</v>
      </c>
      <c r="J242" s="67">
        <v>0</v>
      </c>
      <c r="K242" s="62">
        <v>-1704321</v>
      </c>
      <c r="L242" s="33" t="e">
        <f>HLOOKUP(B242,#REF!,1,0)</f>
        <v>#REF!</v>
      </c>
      <c r="M242" s="33" t="str">
        <f t="shared" si="15"/>
        <v>BS</v>
      </c>
    </row>
    <row r="243" spans="1:13" s="33" customFormat="true" ht="12.75" customHeight="true">
      <c r="A243" s="33" t="str">
        <f t="shared" si="12"/>
        <v>ALP - Fixed Assets</v>
      </c>
      <c r="B243" s="33" t="str">
        <f t="shared" si="13"/>
        <v>ALP</v>
      </c>
      <c r="C243" s="33" t="str">
        <f t="shared" si="14"/>
        <v>18000-0000</v>
      </c>
      <c r="D243" s="283" t="s">
        <v>394</v>
      </c>
      <c r="E243" s="64" t="s">
        <v>308</v>
      </c>
      <c r="F243" s="64" t="s">
        <v>230</v>
      </c>
      <c r="G243" s="64" t="s">
        <v>62</v>
      </c>
      <c r="H243" s="64" t="s">
        <v>63</v>
      </c>
      <c r="I243" s="64" t="s">
        <v>64</v>
      </c>
      <c r="J243" s="67">
        <v>0</v>
      </c>
      <c r="K243" s="62">
        <v>-101602</v>
      </c>
      <c r="L243" s="33" t="e">
        <f>HLOOKUP(B243,#REF!,1,0)</f>
        <v>#REF!</v>
      </c>
      <c r="M243" s="33" t="str">
        <f t="shared" si="15"/>
        <v>BS</v>
      </c>
    </row>
    <row r="244" spans="1:13" s="33" customFormat="true" ht="12.75" customHeight="true">
      <c r="A244" s="33" t="str">
        <f t="shared" si="12"/>
        <v>ALP - AP-Accr Exp</v>
      </c>
      <c r="B244" s="33" t="str">
        <f t="shared" si="13"/>
        <v>ALP</v>
      </c>
      <c r="C244" s="33" t="str">
        <f t="shared" si="14"/>
        <v>20001-0000</v>
      </c>
      <c r="D244" s="283" t="s">
        <v>395</v>
      </c>
      <c r="E244" s="64" t="s">
        <v>96</v>
      </c>
      <c r="F244" s="64" t="s">
        <v>230</v>
      </c>
      <c r="G244" s="64" t="s">
        <v>97</v>
      </c>
      <c r="H244" s="64" t="s">
        <v>98</v>
      </c>
      <c r="I244" s="64" t="s">
        <v>99</v>
      </c>
      <c r="J244" s="67">
        <v>0</v>
      </c>
      <c r="K244" s="62">
        <v>0</v>
      </c>
      <c r="L244" s="33" t="e">
        <f>HLOOKUP(B244,#REF!,1,0)</f>
        <v>#REF!</v>
      </c>
      <c r="M244" s="33" t="str">
        <f t="shared" si="15"/>
        <v>BS</v>
      </c>
    </row>
    <row r="245" spans="1:13" s="33" customFormat="true" ht="12.75" customHeight="true">
      <c r="A245" s="33" t="str">
        <f t="shared" si="12"/>
        <v>ALP - AP-Accr Exp</v>
      </c>
      <c r="B245" s="33" t="str">
        <f t="shared" si="13"/>
        <v>ALP</v>
      </c>
      <c r="C245" s="33" t="str">
        <f t="shared" si="14"/>
        <v>23509-0000</v>
      </c>
      <c r="D245" s="283" t="s">
        <v>396</v>
      </c>
      <c r="E245" s="64" t="s">
        <v>111</v>
      </c>
      <c r="F245" s="64" t="s">
        <v>230</v>
      </c>
      <c r="G245" s="64" t="s">
        <v>97</v>
      </c>
      <c r="H245" s="64" t="s">
        <v>98</v>
      </c>
      <c r="I245" s="64" t="s">
        <v>102</v>
      </c>
      <c r="J245" s="67">
        <v>0</v>
      </c>
      <c r="K245" s="62">
        <v>2498.85</v>
      </c>
      <c r="L245" s="33" t="e">
        <f>HLOOKUP(B245,#REF!,1,0)</f>
        <v>#REF!</v>
      </c>
      <c r="M245" s="33" t="str">
        <f t="shared" si="15"/>
        <v>BS</v>
      </c>
    </row>
    <row r="246" spans="1:13" s="33" customFormat="true" ht="12.75" customHeight="true">
      <c r="A246" s="33" t="str">
        <f t="shared" si="12"/>
        <v>ALP - AP-Accr Exp</v>
      </c>
      <c r="B246" s="33" t="str">
        <f t="shared" si="13"/>
        <v>ALP</v>
      </c>
      <c r="C246" s="33" t="str">
        <f t="shared" si="14"/>
        <v>24800-0000</v>
      </c>
      <c r="D246" s="283" t="s">
        <v>397</v>
      </c>
      <c r="E246" s="64" t="s">
        <v>232</v>
      </c>
      <c r="F246" s="64" t="s">
        <v>230</v>
      </c>
      <c r="G246" s="64" t="s">
        <v>97</v>
      </c>
      <c r="H246" s="64" t="s">
        <v>98</v>
      </c>
      <c r="I246" s="64" t="s">
        <v>102</v>
      </c>
      <c r="J246" s="67">
        <v>0</v>
      </c>
      <c r="K246" s="62">
        <v>-101693</v>
      </c>
      <c r="L246" s="33" t="e">
        <f>HLOOKUP(B246,#REF!,1,0)</f>
        <v>#REF!</v>
      </c>
      <c r="M246" s="33" t="str">
        <f t="shared" si="15"/>
        <v>BS</v>
      </c>
    </row>
    <row r="247" spans="1:13" s="33" customFormat="true" ht="12.75" customHeight="true">
      <c r="A247" s="33" t="str">
        <f t="shared" si="12"/>
        <v>ALP - AP-Accr Exp</v>
      </c>
      <c r="B247" s="33" t="str">
        <f t="shared" si="13"/>
        <v>ALP</v>
      </c>
      <c r="C247" s="33" t="str">
        <f t="shared" si="14"/>
        <v>24801-0000</v>
      </c>
      <c r="D247" s="283" t="s">
        <v>398</v>
      </c>
      <c r="E247" s="64" t="s">
        <v>399</v>
      </c>
      <c r="F247" s="64" t="s">
        <v>230</v>
      </c>
      <c r="G247" s="64" t="s">
        <v>97</v>
      </c>
      <c r="H247" s="64" t="s">
        <v>98</v>
      </c>
      <c r="I247" s="64" t="s">
        <v>102</v>
      </c>
      <c r="J247" s="67">
        <v>0</v>
      </c>
      <c r="K247" s="62">
        <v>0</v>
      </c>
      <c r="L247" s="33" t="e">
        <f>HLOOKUP(B247,#REF!,1,0)</f>
        <v>#REF!</v>
      </c>
      <c r="M247" s="33" t="str">
        <f t="shared" si="15"/>
        <v>BS</v>
      </c>
    </row>
    <row r="248" spans="1:13" s="33" customFormat="true" ht="12.75" customHeight="true">
      <c r="A248" s="33" t="str">
        <f t="shared" si="12"/>
        <v>ALP - InterCo Notes</v>
      </c>
      <c r="B248" s="33" t="str">
        <f t="shared" si="13"/>
        <v>ALP</v>
      </c>
      <c r="C248" s="33" t="str">
        <f t="shared" si="14"/>
        <v>25000-0000</v>
      </c>
      <c r="D248" s="283" t="s">
        <v>400</v>
      </c>
      <c r="E248" s="64" t="s">
        <v>314</v>
      </c>
      <c r="F248" s="64" t="s">
        <v>230</v>
      </c>
      <c r="G248" s="64" t="s">
        <v>16</v>
      </c>
      <c r="H248" s="64" t="s">
        <v>315</v>
      </c>
      <c r="I248" s="64" t="s">
        <v>40</v>
      </c>
      <c r="J248" s="67">
        <v>0</v>
      </c>
      <c r="K248" s="62">
        <v>-2414000</v>
      </c>
      <c r="L248" s="33" t="e">
        <f>HLOOKUP(B248,#REF!,1,0)</f>
        <v>#REF!</v>
      </c>
      <c r="M248" s="33" t="str">
        <f t="shared" si="15"/>
        <v>BS</v>
      </c>
    </row>
    <row r="249" spans="1:13" s="33" customFormat="true" ht="12.75" customHeight="true">
      <c r="A249" s="33" t="str">
        <f t="shared" si="12"/>
        <v>ALP - Principal</v>
      </c>
      <c r="B249" s="33" t="str">
        <f t="shared" si="13"/>
        <v>ALP</v>
      </c>
      <c r="C249" s="33" t="str">
        <f t="shared" si="14"/>
        <v>26800-0000</v>
      </c>
      <c r="D249" s="283" t="s">
        <v>401</v>
      </c>
      <c r="E249" s="64" t="s">
        <v>402</v>
      </c>
      <c r="F249" s="64" t="s">
        <v>230</v>
      </c>
      <c r="G249" s="64" t="s">
        <v>97</v>
      </c>
      <c r="H249" s="64" t="s">
        <v>127</v>
      </c>
      <c r="I249" s="64" t="s">
        <v>128</v>
      </c>
      <c r="J249" s="67">
        <v>0</v>
      </c>
      <c r="K249" s="62">
        <v>-150000</v>
      </c>
      <c r="L249" s="33" t="e">
        <f>HLOOKUP(B249,#REF!,1,0)</f>
        <v>#REF!</v>
      </c>
      <c r="M249" s="33" t="str">
        <f t="shared" si="15"/>
        <v>BS</v>
      </c>
    </row>
    <row r="250" spans="1:13" s="33" customFormat="true" ht="12.75" customHeight="true">
      <c r="A250" s="33" t="str">
        <f t="shared" si="12"/>
        <v>ALP - Principal</v>
      </c>
      <c r="B250" s="33" t="str">
        <f t="shared" si="13"/>
        <v>ALP</v>
      </c>
      <c r="C250" s="33" t="str">
        <f t="shared" si="14"/>
        <v>28004-0000</v>
      </c>
      <c r="D250" s="283" t="s">
        <v>403</v>
      </c>
      <c r="E250" s="64" t="s">
        <v>404</v>
      </c>
      <c r="F250" s="64" t="s">
        <v>405</v>
      </c>
      <c r="G250" s="64" t="s">
        <v>123</v>
      </c>
      <c r="H250" s="64" t="s">
        <v>127</v>
      </c>
      <c r="I250" s="64" t="s">
        <v>133</v>
      </c>
      <c r="J250" s="67">
        <v>0</v>
      </c>
      <c r="K250" s="62">
        <v>-17669907.47</v>
      </c>
      <c r="L250" s="33" t="e">
        <f>HLOOKUP(B250,#REF!,1,0)</f>
        <v>#REF!</v>
      </c>
      <c r="M250" s="33" t="str">
        <f t="shared" si="15"/>
        <v>BS</v>
      </c>
    </row>
    <row r="251" spans="1:13" s="33" customFormat="true" ht="12.75" customHeight="true">
      <c r="A251" s="33" t="str">
        <f t="shared" si="12"/>
        <v>ALP - SH Dist</v>
      </c>
      <c r="B251" s="33" t="str">
        <f t="shared" si="13"/>
        <v>ALP</v>
      </c>
      <c r="C251" s="33" t="str">
        <f t="shared" si="14"/>
        <v>30700-0000</v>
      </c>
      <c r="D251" s="283" t="s">
        <v>406</v>
      </c>
      <c r="E251" s="64" t="s">
        <v>319</v>
      </c>
      <c r="F251" s="64" t="s">
        <v>230</v>
      </c>
      <c r="G251" s="64" t="s">
        <v>142</v>
      </c>
      <c r="H251" s="64" t="s">
        <v>143</v>
      </c>
      <c r="I251" s="64" t="s">
        <v>144</v>
      </c>
      <c r="J251" s="67">
        <v>0</v>
      </c>
      <c r="K251" s="62">
        <v>10709462.08</v>
      </c>
      <c r="L251" s="33" t="e">
        <f>HLOOKUP(B251,#REF!,1,0)</f>
        <v>#REF!</v>
      </c>
      <c r="M251" s="33" t="str">
        <f t="shared" si="15"/>
        <v>BS</v>
      </c>
    </row>
    <row r="252" spans="1:13" s="33" customFormat="true" ht="12.75" customHeight="true">
      <c r="A252" s="33" t="str">
        <f t="shared" si="12"/>
        <v>ALP - Retained Earnings</v>
      </c>
      <c r="B252" s="33" t="str">
        <f t="shared" si="13"/>
        <v>ALP</v>
      </c>
      <c r="C252" s="33" t="str">
        <f t="shared" si="14"/>
        <v>32000-0000</v>
      </c>
      <c r="D252" s="283" t="s">
        <v>407</v>
      </c>
      <c r="E252" s="64" t="s">
        <v>234</v>
      </c>
      <c r="F252" s="64" t="s">
        <v>230</v>
      </c>
      <c r="G252" s="64" t="s">
        <v>142</v>
      </c>
      <c r="H252" s="64" t="s">
        <v>149</v>
      </c>
      <c r="I252" s="64" t="s">
        <v>235</v>
      </c>
      <c r="J252" s="67">
        <v>0</v>
      </c>
      <c r="K252" s="62">
        <v>617009.48</v>
      </c>
      <c r="L252" s="33" t="e">
        <f>HLOOKUP(B252,#REF!,1,0)</f>
        <v>#REF!</v>
      </c>
      <c r="M252" s="33" t="str">
        <f t="shared" si="15"/>
        <v>BS</v>
      </c>
    </row>
    <row r="253" spans="1:13" s="33" customFormat="true" ht="12.75" customHeight="true">
      <c r="A253" s="33" t="str">
        <f t="shared" si="12"/>
        <v>ANG - Cash</v>
      </c>
      <c r="B253" s="33" t="str">
        <f t="shared" si="13"/>
        <v>ANG</v>
      </c>
      <c r="C253" s="33" t="str">
        <f t="shared" si="14"/>
        <v>10001-0000</v>
      </c>
      <c r="D253" s="64" t="s">
        <v>408</v>
      </c>
      <c r="E253" s="64" t="s">
        <v>240</v>
      </c>
      <c r="F253" s="64" t="s">
        <v>230</v>
      </c>
      <c r="G253" s="64" t="s">
        <v>16</v>
      </c>
      <c r="H253" s="64" t="s">
        <v>25</v>
      </c>
      <c r="I253" s="64" t="s">
        <v>18</v>
      </c>
      <c r="J253" s="67">
        <v>4450.57</v>
      </c>
      <c r="K253" s="62">
        <v>61340.74</v>
      </c>
      <c r="L253" s="33" t="e">
        <f>HLOOKUP(B253,#REF!,1,0)</f>
        <v>#REF!</v>
      </c>
      <c r="M253" s="33" t="str">
        <f t="shared" si="15"/>
        <v>BS</v>
      </c>
    </row>
    <row r="254" spans="1:13" s="33" customFormat="true" ht="12.75" customHeight="true">
      <c r="A254" s="33" t="str">
        <f t="shared" si="12"/>
        <v>ANG - AR-PPD</v>
      </c>
      <c r="B254" s="33" t="str">
        <f t="shared" si="13"/>
        <v>ANG</v>
      </c>
      <c r="C254" s="33" t="str">
        <f t="shared" si="14"/>
        <v>11000-0000</v>
      </c>
      <c r="D254" s="64" t="s">
        <v>409</v>
      </c>
      <c r="E254" s="64" t="s">
        <v>34</v>
      </c>
      <c r="F254" s="64" t="s">
        <v>230</v>
      </c>
      <c r="G254" s="64" t="s">
        <v>16</v>
      </c>
      <c r="H254" s="64" t="s">
        <v>35</v>
      </c>
      <c r="I254" s="64" t="s">
        <v>36</v>
      </c>
      <c r="J254" s="67">
        <v>0</v>
      </c>
      <c r="K254" s="62">
        <v>0</v>
      </c>
      <c r="L254" s="33" t="e">
        <f>HLOOKUP(B254,#REF!,1,0)</f>
        <v>#REF!</v>
      </c>
      <c r="M254" s="33" t="str">
        <f t="shared" si="15"/>
        <v>BS</v>
      </c>
    </row>
    <row r="255" spans="1:13" s="33" customFormat="true" ht="12.75" customHeight="true">
      <c r="A255" s="33" t="str">
        <f t="shared" si="12"/>
        <v>ANG - Intercompany</v>
      </c>
      <c r="B255" s="33" t="str">
        <f t="shared" si="13"/>
        <v>ANG</v>
      </c>
      <c r="C255" s="33" t="str">
        <f t="shared" si="14"/>
        <v>11216-0000</v>
      </c>
      <c r="D255" s="64" t="s">
        <v>410</v>
      </c>
      <c r="E255" s="64" t="s">
        <v>242</v>
      </c>
      <c r="F255" s="64" t="s">
        <v>230</v>
      </c>
      <c r="G255" s="64" t="s">
        <v>16</v>
      </c>
      <c r="H255" s="64" t="s">
        <v>39</v>
      </c>
      <c r="I255" s="64" t="s">
        <v>40</v>
      </c>
      <c r="J255" s="67">
        <v>531.92</v>
      </c>
      <c r="K255" s="62">
        <v>13471.74</v>
      </c>
      <c r="L255" s="33" t="e">
        <f>HLOOKUP(B255,#REF!,1,0)</f>
        <v>#REF!</v>
      </c>
      <c r="M255" s="33" t="str">
        <f t="shared" si="15"/>
        <v>BS</v>
      </c>
    </row>
    <row r="256" spans="1:13" s="33" customFormat="true" ht="12.75" customHeight="true">
      <c r="A256" s="33" t="str">
        <f t="shared" si="12"/>
        <v>ANG - Intercompany</v>
      </c>
      <c r="B256" s="33" t="str">
        <f t="shared" si="13"/>
        <v>ANG</v>
      </c>
      <c r="C256" s="33" t="str">
        <f t="shared" si="14"/>
        <v>11301-0000</v>
      </c>
      <c r="D256" s="64" t="s">
        <v>411</v>
      </c>
      <c r="E256" s="64" t="s">
        <v>244</v>
      </c>
      <c r="F256" s="64" t="s">
        <v>230</v>
      </c>
      <c r="G256" s="64" t="s">
        <v>16</v>
      </c>
      <c r="H256" s="64" t="s">
        <v>39</v>
      </c>
      <c r="I256" s="64" t="s">
        <v>40</v>
      </c>
      <c r="J256" s="67">
        <v>0</v>
      </c>
      <c r="K256" s="62">
        <v>-10000</v>
      </c>
      <c r="L256" s="33" t="e">
        <f>HLOOKUP(B256,#REF!,1,0)</f>
        <v>#REF!</v>
      </c>
      <c r="M256" s="33" t="str">
        <f t="shared" si="15"/>
        <v>BS</v>
      </c>
    </row>
    <row r="257" spans="1:13" s="33" customFormat="true" ht="12.75" customHeight="true">
      <c r="A257" s="33" t="str">
        <f t="shared" si="12"/>
        <v>ANG - Intercompany</v>
      </c>
      <c r="B257" s="33" t="str">
        <f t="shared" si="13"/>
        <v>ANG</v>
      </c>
      <c r="C257" s="33" t="str">
        <f t="shared" si="14"/>
        <v>11302-0000</v>
      </c>
      <c r="D257" s="64" t="s">
        <v>412</v>
      </c>
      <c r="E257" s="64" t="s">
        <v>413</v>
      </c>
      <c r="F257" s="64" t="s">
        <v>230</v>
      </c>
      <c r="G257" s="64" t="s">
        <v>362</v>
      </c>
      <c r="H257" s="64" t="s">
        <v>39</v>
      </c>
      <c r="I257" s="64" t="s">
        <v>40</v>
      </c>
      <c r="J257" s="67">
        <v>0</v>
      </c>
      <c r="K257" s="62">
        <v>-10000</v>
      </c>
      <c r="L257" s="33" t="e">
        <f>HLOOKUP(B257,#REF!,1,0)</f>
        <v>#REF!</v>
      </c>
      <c r="M257" s="33" t="str">
        <f t="shared" si="15"/>
        <v>BS</v>
      </c>
    </row>
    <row r="258" spans="1:13" s="33" customFormat="true" ht="12.75" customHeight="true">
      <c r="A258" s="33" t="str">
        <f t="shared" ref="A258:A321" si="16">B258&amp;" - "&amp;TRIM(H258)</f>
        <v>ANG - Intercompany</v>
      </c>
      <c r="B258" s="33" t="str">
        <f t="shared" ref="B258:B321" si="17">LEFT(D258,3)</f>
        <v>ANG</v>
      </c>
      <c r="C258" s="33" t="str">
        <f t="shared" ref="C258:C321" si="18">RIGHT(D258,10)</f>
        <v>11304-0000</v>
      </c>
      <c r="D258" s="64" t="s">
        <v>414</v>
      </c>
      <c r="E258" s="64" t="s">
        <v>250</v>
      </c>
      <c r="F258" s="64" t="s">
        <v>230</v>
      </c>
      <c r="G258" s="64" t="s">
        <v>16</v>
      </c>
      <c r="H258" s="64" t="s">
        <v>39</v>
      </c>
      <c r="I258" s="64" t="s">
        <v>40</v>
      </c>
      <c r="J258" s="67">
        <v>0</v>
      </c>
      <c r="K258" s="62">
        <v>10000</v>
      </c>
      <c r="L258" s="33" t="e">
        <f>HLOOKUP(B258,#REF!,1,0)</f>
        <v>#REF!</v>
      </c>
      <c r="M258" s="33" t="str">
        <f t="shared" ref="M258:M321" si="19">IF(VALUE(LEFT(C258,5))&gt;40000,"P&amp;L","BS")</f>
        <v>BS</v>
      </c>
    </row>
    <row r="259" spans="1:13" s="33" customFormat="true" ht="12.75" customHeight="true">
      <c r="A259" s="33" t="str">
        <f t="shared" si="16"/>
        <v>ANG - Intercompany</v>
      </c>
      <c r="B259" s="33" t="str">
        <f t="shared" si="17"/>
        <v>ANG</v>
      </c>
      <c r="C259" s="33" t="str">
        <f t="shared" si="18"/>
        <v>11313-0000</v>
      </c>
      <c r="D259" s="64" t="s">
        <v>415</v>
      </c>
      <c r="E259" s="64" t="s">
        <v>260</v>
      </c>
      <c r="F259" s="64" t="s">
        <v>230</v>
      </c>
      <c r="G259" s="64" t="s">
        <v>16</v>
      </c>
      <c r="H259" s="64" t="s">
        <v>39</v>
      </c>
      <c r="I259" s="64" t="s">
        <v>40</v>
      </c>
      <c r="J259" s="67">
        <v>0</v>
      </c>
      <c r="K259" s="62">
        <v>-10000</v>
      </c>
      <c r="L259" s="33" t="e">
        <f>HLOOKUP(B259,#REF!,1,0)</f>
        <v>#REF!</v>
      </c>
      <c r="M259" s="33" t="str">
        <f t="shared" si="19"/>
        <v>BS</v>
      </c>
    </row>
    <row r="260" spans="1:13" s="33" customFormat="true" ht="12.75" customHeight="true">
      <c r="A260" s="33" t="str">
        <f t="shared" si="16"/>
        <v>ANG - Intercompany</v>
      </c>
      <c r="B260" s="33" t="str">
        <f t="shared" si="17"/>
        <v>ANG</v>
      </c>
      <c r="C260" s="33" t="str">
        <f t="shared" si="18"/>
        <v>11317-0000</v>
      </c>
      <c r="D260" s="64" t="s">
        <v>416</v>
      </c>
      <c r="E260" s="64" t="s">
        <v>368</v>
      </c>
      <c r="F260" s="64" t="s">
        <v>230</v>
      </c>
      <c r="G260" s="64" t="s">
        <v>16</v>
      </c>
      <c r="H260" s="64" t="s">
        <v>39</v>
      </c>
      <c r="I260" s="64" t="s">
        <v>40</v>
      </c>
      <c r="J260" s="67">
        <v>0</v>
      </c>
      <c r="K260" s="62">
        <v>-30000</v>
      </c>
      <c r="L260" s="33" t="e">
        <f>HLOOKUP(B260,#REF!,1,0)</f>
        <v>#REF!</v>
      </c>
      <c r="M260" s="33" t="str">
        <f t="shared" si="19"/>
        <v>BS</v>
      </c>
    </row>
    <row r="261" spans="1:13" s="33" customFormat="true" ht="12.75" customHeight="true">
      <c r="A261" s="33" t="str">
        <f t="shared" si="16"/>
        <v>ANG - Fixed Assets</v>
      </c>
      <c r="B261" s="33" t="str">
        <f t="shared" si="17"/>
        <v>ANG</v>
      </c>
      <c r="C261" s="33" t="str">
        <f t="shared" si="18"/>
        <v>14000-0000</v>
      </c>
      <c r="D261" s="64" t="s">
        <v>417</v>
      </c>
      <c r="E261" s="64" t="s">
        <v>298</v>
      </c>
      <c r="F261" s="64" t="s">
        <v>230</v>
      </c>
      <c r="G261" s="64" t="s">
        <v>62</v>
      </c>
      <c r="H261" s="64" t="s">
        <v>63</v>
      </c>
      <c r="I261" s="64" t="s">
        <v>64</v>
      </c>
      <c r="J261" s="67">
        <v>0</v>
      </c>
      <c r="K261" s="62">
        <v>1166666</v>
      </c>
      <c r="L261" s="33" t="e">
        <f>HLOOKUP(B261,#REF!,1,0)</f>
        <v>#REF!</v>
      </c>
      <c r="M261" s="33" t="str">
        <f t="shared" si="19"/>
        <v>BS</v>
      </c>
    </row>
    <row r="262" spans="1:13" s="33" customFormat="true" ht="12.75" customHeight="true">
      <c r="A262" s="33" t="str">
        <f t="shared" si="16"/>
        <v>ANG - Fixed Assets</v>
      </c>
      <c r="B262" s="33" t="str">
        <f t="shared" si="17"/>
        <v>ANG</v>
      </c>
      <c r="C262" s="33" t="str">
        <f t="shared" si="18"/>
        <v>15000-0000</v>
      </c>
      <c r="D262" s="64" t="s">
        <v>418</v>
      </c>
      <c r="E262" s="64" t="s">
        <v>300</v>
      </c>
      <c r="F262" s="64" t="s">
        <v>230</v>
      </c>
      <c r="G262" s="64" t="s">
        <v>62</v>
      </c>
      <c r="H262" s="64" t="s">
        <v>63</v>
      </c>
      <c r="I262" s="64" t="s">
        <v>64</v>
      </c>
      <c r="J262" s="67">
        <v>0</v>
      </c>
      <c r="K262" s="62">
        <v>2333334</v>
      </c>
      <c r="L262" s="33" t="e">
        <f>HLOOKUP(B262,#REF!,1,0)</f>
        <v>#REF!</v>
      </c>
      <c r="M262" s="33" t="str">
        <f t="shared" si="19"/>
        <v>BS</v>
      </c>
    </row>
    <row r="263" spans="1:13" s="33" customFormat="true" ht="12.75" customHeight="true">
      <c r="A263" s="33" t="str">
        <f t="shared" si="16"/>
        <v>ANG - Fixed Assets</v>
      </c>
      <c r="B263" s="33" t="str">
        <f t="shared" si="17"/>
        <v>ANG</v>
      </c>
      <c r="C263" s="33" t="str">
        <f t="shared" si="18"/>
        <v>15500-0000</v>
      </c>
      <c r="D263" s="64" t="s">
        <v>419</v>
      </c>
      <c r="E263" s="64" t="s">
        <v>302</v>
      </c>
      <c r="F263" s="64" t="s">
        <v>230</v>
      </c>
      <c r="G263" s="64" t="s">
        <v>62</v>
      </c>
      <c r="H263" s="64" t="s">
        <v>63</v>
      </c>
      <c r="I263" s="64" t="s">
        <v>64</v>
      </c>
      <c r="J263" s="67">
        <v>0</v>
      </c>
      <c r="K263" s="62">
        <v>72163.35</v>
      </c>
      <c r="L263" s="33" t="e">
        <f>HLOOKUP(B263,#REF!,1,0)</f>
        <v>#REF!</v>
      </c>
      <c r="M263" s="33" t="str">
        <f t="shared" si="19"/>
        <v>BS</v>
      </c>
    </row>
    <row r="264" spans="1:13" s="33" customFormat="true" ht="12.75" customHeight="true">
      <c r="A264" s="33" t="str">
        <f t="shared" si="16"/>
        <v>ANG - Fixed Assets</v>
      </c>
      <c r="B264" s="33" t="str">
        <f t="shared" si="17"/>
        <v>ANG</v>
      </c>
      <c r="C264" s="33" t="str">
        <f t="shared" si="18"/>
        <v>15600-0000</v>
      </c>
      <c r="D264" s="64" t="s">
        <v>420</v>
      </c>
      <c r="E264" s="64" t="s">
        <v>337</v>
      </c>
      <c r="F264" s="64" t="s">
        <v>230</v>
      </c>
      <c r="G264" s="64" t="s">
        <v>16</v>
      </c>
      <c r="H264" s="64" t="s">
        <v>63</v>
      </c>
      <c r="I264" s="64" t="s">
        <v>64</v>
      </c>
      <c r="J264" s="67">
        <v>0</v>
      </c>
      <c r="K264" s="62">
        <v>12789</v>
      </c>
      <c r="L264" s="33" t="e">
        <f>HLOOKUP(B264,#REF!,1,0)</f>
        <v>#REF!</v>
      </c>
      <c r="M264" s="33" t="str">
        <f t="shared" si="19"/>
        <v>BS</v>
      </c>
    </row>
    <row r="265" spans="1:13" s="33" customFormat="true" ht="12.75" customHeight="true">
      <c r="A265" s="33" t="str">
        <f t="shared" si="16"/>
        <v>ANG - Fixed Assets</v>
      </c>
      <c r="B265" s="33" t="str">
        <f t="shared" si="17"/>
        <v>ANG</v>
      </c>
      <c r="C265" s="33" t="str">
        <f t="shared" si="18"/>
        <v>16000-0000</v>
      </c>
      <c r="D265" s="64" t="s">
        <v>421</v>
      </c>
      <c r="E265" s="64" t="s">
        <v>304</v>
      </c>
      <c r="F265" s="64" t="s">
        <v>230</v>
      </c>
      <c r="G265" s="64" t="s">
        <v>16</v>
      </c>
      <c r="H265" s="64" t="s">
        <v>63</v>
      </c>
      <c r="I265" s="64" t="s">
        <v>18</v>
      </c>
      <c r="J265" s="67">
        <v>0</v>
      </c>
      <c r="K265" s="62">
        <v>7477</v>
      </c>
      <c r="L265" s="33" t="e">
        <f>HLOOKUP(B265,#REF!,1,0)</f>
        <v>#REF!</v>
      </c>
      <c r="M265" s="33" t="str">
        <f t="shared" si="19"/>
        <v>BS</v>
      </c>
    </row>
    <row r="266" spans="1:13" s="33" customFormat="true" ht="12.75" customHeight="true">
      <c r="A266" s="33" t="str">
        <f t="shared" si="16"/>
        <v>ANG - Fixed Assets</v>
      </c>
      <c r="B266" s="33" t="str">
        <f t="shared" si="17"/>
        <v>ANG</v>
      </c>
      <c r="C266" s="33" t="str">
        <f t="shared" si="18"/>
        <v>17000-0000</v>
      </c>
      <c r="D266" s="64" t="s">
        <v>422</v>
      </c>
      <c r="E266" s="64" t="s">
        <v>306</v>
      </c>
      <c r="F266" s="64" t="s">
        <v>230</v>
      </c>
      <c r="G266" s="64" t="s">
        <v>62</v>
      </c>
      <c r="H266" s="64" t="s">
        <v>63</v>
      </c>
      <c r="I266" s="64" t="s">
        <v>64</v>
      </c>
      <c r="J266" s="67">
        <v>0</v>
      </c>
      <c r="K266" s="62">
        <v>-217939</v>
      </c>
      <c r="L266" s="33" t="e">
        <f>HLOOKUP(B266,#REF!,1,0)</f>
        <v>#REF!</v>
      </c>
      <c r="M266" s="33" t="str">
        <f t="shared" si="19"/>
        <v>BS</v>
      </c>
    </row>
    <row r="267" spans="1:13" s="33" customFormat="true" ht="12.75" customHeight="true">
      <c r="A267" s="33" t="str">
        <f t="shared" si="16"/>
        <v>ANG - Fixed Assets</v>
      </c>
      <c r="B267" s="33" t="str">
        <f t="shared" si="17"/>
        <v>ANG</v>
      </c>
      <c r="C267" s="33" t="str">
        <f t="shared" si="18"/>
        <v>18000-0000</v>
      </c>
      <c r="D267" s="64" t="s">
        <v>423</v>
      </c>
      <c r="E267" s="64" t="s">
        <v>308</v>
      </c>
      <c r="F267" s="64" t="s">
        <v>230</v>
      </c>
      <c r="G267" s="64" t="s">
        <v>62</v>
      </c>
      <c r="H267" s="64" t="s">
        <v>63</v>
      </c>
      <c r="I267" s="64" t="s">
        <v>64</v>
      </c>
      <c r="J267" s="67">
        <v>0</v>
      </c>
      <c r="K267" s="62">
        <v>-14929</v>
      </c>
      <c r="L267" s="33" t="e">
        <f>HLOOKUP(B267,#REF!,1,0)</f>
        <v>#REF!</v>
      </c>
      <c r="M267" s="33" t="str">
        <f t="shared" si="19"/>
        <v>BS</v>
      </c>
    </row>
    <row r="268" spans="1:13" s="33" customFormat="true" ht="12.75" customHeight="true">
      <c r="A268" s="33" t="str">
        <f t="shared" si="16"/>
        <v>ANG - Deposits</v>
      </c>
      <c r="B268" s="33" t="str">
        <f t="shared" si="17"/>
        <v>ANG</v>
      </c>
      <c r="C268" s="33" t="str">
        <f t="shared" si="18"/>
        <v>19001-0000</v>
      </c>
      <c r="D268" s="64" t="s">
        <v>424</v>
      </c>
      <c r="E268" s="64" t="s">
        <v>344</v>
      </c>
      <c r="F268" s="64" t="s">
        <v>230</v>
      </c>
      <c r="G268" s="64" t="s">
        <v>62</v>
      </c>
      <c r="H268" s="64" t="s">
        <v>80</v>
      </c>
      <c r="I268" s="64" t="s">
        <v>81</v>
      </c>
      <c r="J268" s="67">
        <v>0</v>
      </c>
      <c r="K268" s="62">
        <v>375</v>
      </c>
      <c r="L268" s="33" t="e">
        <f>HLOOKUP(B268,#REF!,1,0)</f>
        <v>#REF!</v>
      </c>
      <c r="M268" s="33" t="str">
        <f t="shared" si="19"/>
        <v>BS</v>
      </c>
    </row>
    <row r="269" spans="1:13" s="33" customFormat="true" ht="12.75" customHeight="true">
      <c r="A269" s="33" t="str">
        <f t="shared" si="16"/>
        <v>ANG - AP-Accr Exp</v>
      </c>
      <c r="B269" s="33" t="str">
        <f t="shared" si="17"/>
        <v>ANG</v>
      </c>
      <c r="C269" s="33" t="str">
        <f t="shared" si="18"/>
        <v>20001-0000</v>
      </c>
      <c r="D269" s="64" t="s">
        <v>425</v>
      </c>
      <c r="E269" s="64" t="s">
        <v>96</v>
      </c>
      <c r="F269" s="64" t="s">
        <v>230</v>
      </c>
      <c r="G269" s="64" t="s">
        <v>97</v>
      </c>
      <c r="H269" s="64" t="s">
        <v>98</v>
      </c>
      <c r="I269" s="64" t="s">
        <v>99</v>
      </c>
      <c r="J269" s="67">
        <v>2683.79</v>
      </c>
      <c r="K269" s="62">
        <v>0</v>
      </c>
      <c r="L269" s="33" t="e">
        <f>HLOOKUP(B269,#REF!,1,0)</f>
        <v>#REF!</v>
      </c>
      <c r="M269" s="33" t="str">
        <f t="shared" si="19"/>
        <v>BS</v>
      </c>
    </row>
    <row r="270" spans="1:13" s="33" customFormat="true" ht="12.75" customHeight="true">
      <c r="A270" s="33" t="str">
        <f t="shared" si="16"/>
        <v>ANG - AP-Accr Exp</v>
      </c>
      <c r="B270" s="33" t="str">
        <f t="shared" si="17"/>
        <v>ANG</v>
      </c>
      <c r="C270" s="33" t="str">
        <f t="shared" si="18"/>
        <v>23509-0000</v>
      </c>
      <c r="D270" s="64" t="s">
        <v>426</v>
      </c>
      <c r="E270" s="64" t="s">
        <v>111</v>
      </c>
      <c r="F270" s="64" t="s">
        <v>230</v>
      </c>
      <c r="G270" s="64" t="s">
        <v>97</v>
      </c>
      <c r="H270" s="64" t="s">
        <v>98</v>
      </c>
      <c r="I270" s="64" t="s">
        <v>102</v>
      </c>
      <c r="J270" s="67">
        <v>0</v>
      </c>
      <c r="K270" s="62">
        <v>0</v>
      </c>
      <c r="L270" s="33" t="e">
        <f>HLOOKUP(B270,#REF!,1,0)</f>
        <v>#REF!</v>
      </c>
      <c r="M270" s="33" t="str">
        <f t="shared" si="19"/>
        <v>BS</v>
      </c>
    </row>
    <row r="271" spans="1:13" s="33" customFormat="true" ht="12.75" customHeight="true">
      <c r="A271" s="33" t="str">
        <f t="shared" si="16"/>
        <v>ANG - AP-Accr Exp</v>
      </c>
      <c r="B271" s="33" t="str">
        <f t="shared" si="17"/>
        <v>ANG</v>
      </c>
      <c r="C271" s="33" t="str">
        <f t="shared" si="18"/>
        <v>24800-0000</v>
      </c>
      <c r="D271" s="64" t="s">
        <v>427</v>
      </c>
      <c r="E271" s="64" t="s">
        <v>232</v>
      </c>
      <c r="F271" s="64" t="s">
        <v>230</v>
      </c>
      <c r="G271" s="64" t="s">
        <v>97</v>
      </c>
      <c r="H271" s="64" t="s">
        <v>98</v>
      </c>
      <c r="I271" s="64" t="s">
        <v>102</v>
      </c>
      <c r="J271" s="67">
        <v>0</v>
      </c>
      <c r="K271" s="62">
        <v>-24485.2</v>
      </c>
      <c r="L271" s="33" t="e">
        <f>HLOOKUP(B271,#REF!,1,0)</f>
        <v>#REF!</v>
      </c>
      <c r="M271" s="33" t="str">
        <f t="shared" si="19"/>
        <v>BS</v>
      </c>
    </row>
    <row r="272" spans="1:13" s="33" customFormat="true" ht="12.75" customHeight="true">
      <c r="A272" s="33" t="str">
        <f t="shared" si="16"/>
        <v>ANG - AP-Accr Exp</v>
      </c>
      <c r="B272" s="33" t="str">
        <f t="shared" si="17"/>
        <v>ANG</v>
      </c>
      <c r="C272" s="33" t="str">
        <f t="shared" si="18"/>
        <v>24801-0000</v>
      </c>
      <c r="D272" s="64" t="s">
        <v>428</v>
      </c>
      <c r="E272" s="64" t="s">
        <v>399</v>
      </c>
      <c r="F272" s="64" t="s">
        <v>230</v>
      </c>
      <c r="G272" s="64" t="s">
        <v>97</v>
      </c>
      <c r="H272" s="64" t="s">
        <v>98</v>
      </c>
      <c r="I272" s="64" t="s">
        <v>102</v>
      </c>
      <c r="J272" s="67">
        <v>0</v>
      </c>
      <c r="K272" s="62">
        <v>0</v>
      </c>
      <c r="L272" s="33" t="e">
        <f>HLOOKUP(B272,#REF!,1,0)</f>
        <v>#REF!</v>
      </c>
      <c r="M272" s="33" t="str">
        <f t="shared" si="19"/>
        <v>BS</v>
      </c>
    </row>
    <row r="273" spans="1:13" s="33" customFormat="true" ht="12.75" customHeight="true">
      <c r="A273" s="33" t="str">
        <f t="shared" si="16"/>
        <v>ANG - InterCo Notes</v>
      </c>
      <c r="B273" s="33" t="str">
        <f t="shared" si="17"/>
        <v>ANG</v>
      </c>
      <c r="C273" s="33" t="str">
        <f t="shared" si="18"/>
        <v>25100-0000</v>
      </c>
      <c r="D273" s="64" t="s">
        <v>429</v>
      </c>
      <c r="E273" s="64" t="s">
        <v>430</v>
      </c>
      <c r="F273" s="64" t="s">
        <v>230</v>
      </c>
      <c r="G273" s="64" t="s">
        <v>16</v>
      </c>
      <c r="H273" s="64" t="s">
        <v>315</v>
      </c>
      <c r="I273" s="64" t="s">
        <v>40</v>
      </c>
      <c r="J273" s="67">
        <v>0</v>
      </c>
      <c r="K273" s="62">
        <v>-1836427.81</v>
      </c>
      <c r="L273" s="33" t="e">
        <f>HLOOKUP(B273,#REF!,1,0)</f>
        <v>#REF!</v>
      </c>
      <c r="M273" s="33" t="str">
        <f t="shared" si="19"/>
        <v>BS</v>
      </c>
    </row>
    <row r="274" spans="1:13" s="33" customFormat="true" ht="12.75" customHeight="true">
      <c r="A274" s="33" t="str">
        <f t="shared" si="16"/>
        <v>ANG - Principal</v>
      </c>
      <c r="B274" s="33" t="str">
        <f t="shared" si="17"/>
        <v>ANG</v>
      </c>
      <c r="C274" s="33" t="str">
        <f t="shared" si="18"/>
        <v>26800-0000</v>
      </c>
      <c r="D274" s="64" t="s">
        <v>431</v>
      </c>
      <c r="E274" s="64" t="s">
        <v>402</v>
      </c>
      <c r="F274" s="64" t="s">
        <v>230</v>
      </c>
      <c r="G274" s="64" t="s">
        <v>97</v>
      </c>
      <c r="H274" s="64" t="s">
        <v>127</v>
      </c>
      <c r="I274" s="64" t="s">
        <v>128</v>
      </c>
      <c r="J274" s="67">
        <v>0</v>
      </c>
      <c r="K274" s="62">
        <v>-110600</v>
      </c>
      <c r="L274" s="33" t="e">
        <f>HLOOKUP(B274,#REF!,1,0)</f>
        <v>#REF!</v>
      </c>
      <c r="M274" s="33" t="str">
        <f t="shared" si="19"/>
        <v>BS</v>
      </c>
    </row>
    <row r="275" spans="1:14" s="111" customFormat="true" ht="12.75" customHeight="true">
      <c r="A275" s="33" t="str">
        <f t="shared" si="16"/>
        <v>ANG - Principal</v>
      </c>
      <c r="B275" s="33" t="str">
        <f t="shared" si="17"/>
        <v>ANG</v>
      </c>
      <c r="C275" s="33" t="str">
        <f t="shared" si="18"/>
        <v>28001-0000</v>
      </c>
      <c r="D275" s="64" t="s">
        <v>432</v>
      </c>
      <c r="E275" s="64" t="s">
        <v>433</v>
      </c>
      <c r="F275" s="64" t="s">
        <v>230</v>
      </c>
      <c r="G275" s="64" t="s">
        <v>123</v>
      </c>
      <c r="H275" s="64" t="s">
        <v>127</v>
      </c>
      <c r="I275" s="64" t="s">
        <v>133</v>
      </c>
      <c r="J275" s="67">
        <v>2567.99</v>
      </c>
      <c r="K275" s="62">
        <v>-1584222.67</v>
      </c>
      <c r="L275" s="111" t="e">
        <f>HLOOKUP(B275,#REF!,1,0)</f>
        <v>#REF!</v>
      </c>
      <c r="M275" s="111" t="str">
        <f t="shared" si="19"/>
        <v>BS</v>
      </c>
      <c r="N275" s="111" t="s">
        <v>434</v>
      </c>
    </row>
    <row r="276" spans="1:13" s="33" customFormat="true" ht="12.75" customHeight="true">
      <c r="A276" s="33" t="str">
        <f t="shared" si="16"/>
        <v>ANG - SH Dist</v>
      </c>
      <c r="B276" s="33" t="str">
        <f t="shared" si="17"/>
        <v>ANG</v>
      </c>
      <c r="C276" s="33" t="str">
        <f t="shared" si="18"/>
        <v>30700-0000</v>
      </c>
      <c r="D276" s="64" t="s">
        <v>435</v>
      </c>
      <c r="E276" s="64" t="s">
        <v>319</v>
      </c>
      <c r="F276" s="64" t="s">
        <v>230</v>
      </c>
      <c r="G276" s="64" t="s">
        <v>142</v>
      </c>
      <c r="H276" s="64" t="s">
        <v>143</v>
      </c>
      <c r="I276" s="64" t="s">
        <v>144</v>
      </c>
      <c r="J276" s="67">
        <v>0</v>
      </c>
      <c r="K276" s="62">
        <v>130000</v>
      </c>
      <c r="L276" s="33" t="e">
        <f>HLOOKUP(B276,#REF!,1,0)</f>
        <v>#REF!</v>
      </c>
      <c r="M276" s="33" t="str">
        <f t="shared" si="19"/>
        <v>BS</v>
      </c>
    </row>
    <row r="277" spans="1:13" s="33" customFormat="true" ht="12.75" customHeight="true">
      <c r="A277" s="33" t="str">
        <f t="shared" si="16"/>
        <v>ANG - Retained Earnings</v>
      </c>
      <c r="B277" s="33" t="str">
        <f t="shared" si="17"/>
        <v>ANG</v>
      </c>
      <c r="C277" s="33" t="str">
        <f t="shared" si="18"/>
        <v>32000-0000</v>
      </c>
      <c r="D277" s="64" t="s">
        <v>436</v>
      </c>
      <c r="E277" s="64" t="s">
        <v>234</v>
      </c>
      <c r="F277" s="64" t="s">
        <v>230</v>
      </c>
      <c r="G277" s="64" t="s">
        <v>142</v>
      </c>
      <c r="H277" s="64" t="s">
        <v>149</v>
      </c>
      <c r="I277" s="64" t="s">
        <v>235</v>
      </c>
      <c r="J277" s="67">
        <v>0</v>
      </c>
      <c r="K277" s="62">
        <v>115472</v>
      </c>
      <c r="L277" s="33" t="e">
        <f>HLOOKUP(B277,#REF!,1,0)</f>
        <v>#REF!</v>
      </c>
      <c r="M277" s="33" t="str">
        <f t="shared" si="19"/>
        <v>BS</v>
      </c>
    </row>
    <row r="278" spans="1:13" s="33" customFormat="true" ht="12.75" customHeight="true">
      <c r="A278" s="33" t="str">
        <f t="shared" si="16"/>
        <v>API - Cash</v>
      </c>
      <c r="B278" s="33" t="str">
        <f t="shared" si="17"/>
        <v>API</v>
      </c>
      <c r="C278" s="33" t="str">
        <f t="shared" si="18"/>
        <v>10001-0000</v>
      </c>
      <c r="D278" s="283" t="s">
        <v>437</v>
      </c>
      <c r="E278" s="64" t="s">
        <v>240</v>
      </c>
      <c r="F278" s="64" t="s">
        <v>230</v>
      </c>
      <c r="G278" s="64" t="s">
        <v>16</v>
      </c>
      <c r="H278" s="64" t="s">
        <v>25</v>
      </c>
      <c r="I278" s="64" t="s">
        <v>18</v>
      </c>
      <c r="J278" s="67">
        <v>-212329.24</v>
      </c>
      <c r="K278" s="62">
        <v>139452.41</v>
      </c>
      <c r="L278" s="33" t="e">
        <f>HLOOKUP(B278,#REF!,1,0)</f>
        <v>#REF!</v>
      </c>
      <c r="M278" s="33" t="str">
        <f t="shared" si="19"/>
        <v>BS</v>
      </c>
    </row>
    <row r="279" spans="1:13" s="33" customFormat="true" ht="12.75" customHeight="true">
      <c r="A279" s="33" t="str">
        <f t="shared" si="16"/>
        <v>API - CASH</v>
      </c>
      <c r="B279" s="33" t="str">
        <f t="shared" si="17"/>
        <v>API</v>
      </c>
      <c r="C279" s="33" t="str">
        <f t="shared" si="18"/>
        <v>10003-0000</v>
      </c>
      <c r="D279" s="283" t="s">
        <v>438</v>
      </c>
      <c r="E279" s="64" t="s">
        <v>439</v>
      </c>
      <c r="F279" s="64" t="s">
        <v>230</v>
      </c>
      <c r="G279" s="64" t="s">
        <v>16</v>
      </c>
      <c r="H279" s="64" t="s">
        <v>358</v>
      </c>
      <c r="I279" s="64" t="s">
        <v>18</v>
      </c>
      <c r="J279" s="67">
        <v>0</v>
      </c>
      <c r="K279" s="62">
        <v>1100000</v>
      </c>
      <c r="L279" s="33" t="e">
        <f>HLOOKUP(B279,#REF!,1,0)</f>
        <v>#REF!</v>
      </c>
      <c r="M279" s="33" t="str">
        <f t="shared" si="19"/>
        <v>BS</v>
      </c>
    </row>
    <row r="280" spans="1:13" s="33" customFormat="true" ht="12.75" customHeight="true">
      <c r="A280" s="33" t="str">
        <f t="shared" si="16"/>
        <v>API - CASH</v>
      </c>
      <c r="B280" s="33" t="str">
        <f t="shared" si="17"/>
        <v>API</v>
      </c>
      <c r="C280" s="33" t="str">
        <f t="shared" si="18"/>
        <v>10027-0000</v>
      </c>
      <c r="D280" s="283" t="s">
        <v>440</v>
      </c>
      <c r="E280" s="64" t="s">
        <v>441</v>
      </c>
      <c r="F280" s="64" t="s">
        <v>230</v>
      </c>
      <c r="G280" s="64" t="s">
        <v>16</v>
      </c>
      <c r="H280" s="64" t="s">
        <v>358</v>
      </c>
      <c r="I280" s="64" t="s">
        <v>18</v>
      </c>
      <c r="J280" s="67">
        <v>0</v>
      </c>
      <c r="K280" s="62">
        <v>74.57</v>
      </c>
      <c r="L280" s="33" t="e">
        <f>HLOOKUP(B280,#REF!,1,0)</f>
        <v>#REF!</v>
      </c>
      <c r="M280" s="33" t="str">
        <f t="shared" si="19"/>
        <v>BS</v>
      </c>
    </row>
    <row r="281" spans="1:13" s="33" customFormat="true" ht="12.75" customHeight="true">
      <c r="A281" s="33" t="str">
        <f t="shared" si="16"/>
        <v>API - AR-PPD</v>
      </c>
      <c r="B281" s="33" t="str">
        <f t="shared" si="17"/>
        <v>API</v>
      </c>
      <c r="C281" s="33" t="str">
        <f t="shared" si="18"/>
        <v>11000-0000</v>
      </c>
      <c r="D281" s="283" t="s">
        <v>442</v>
      </c>
      <c r="E281" s="64" t="s">
        <v>34</v>
      </c>
      <c r="F281" s="64" t="s">
        <v>230</v>
      </c>
      <c r="G281" s="64" t="s">
        <v>16</v>
      </c>
      <c r="H281" s="64" t="s">
        <v>35</v>
      </c>
      <c r="I281" s="64" t="s">
        <v>36</v>
      </c>
      <c r="J281" s="67">
        <v>0</v>
      </c>
      <c r="K281" s="62">
        <v>-9534.04</v>
      </c>
      <c r="L281" s="33" t="e">
        <f>HLOOKUP(B281,#REF!,1,0)</f>
        <v>#REF!</v>
      </c>
      <c r="M281" s="33" t="str">
        <f t="shared" si="19"/>
        <v>BS</v>
      </c>
    </row>
    <row r="282" spans="1:13" s="33" customFormat="true" ht="12.75" customHeight="true">
      <c r="A282" s="33" t="str">
        <f t="shared" si="16"/>
        <v>API - Intercompany</v>
      </c>
      <c r="B282" s="33" t="str">
        <f t="shared" si="17"/>
        <v>API</v>
      </c>
      <c r="C282" s="33" t="str">
        <f t="shared" si="18"/>
        <v>11216-0000</v>
      </c>
      <c r="D282" s="283" t="s">
        <v>443</v>
      </c>
      <c r="E282" s="64" t="s">
        <v>242</v>
      </c>
      <c r="F282" s="64" t="s">
        <v>230</v>
      </c>
      <c r="G282" s="64" t="s">
        <v>16</v>
      </c>
      <c r="H282" s="64" t="s">
        <v>39</v>
      </c>
      <c r="I282" s="64" t="s">
        <v>40</v>
      </c>
      <c r="J282" s="67">
        <v>0</v>
      </c>
      <c r="K282" s="62">
        <v>-23338.31</v>
      </c>
      <c r="L282" s="33" t="e">
        <f>HLOOKUP(B282,#REF!,1,0)</f>
        <v>#REF!</v>
      </c>
      <c r="M282" s="33" t="str">
        <f t="shared" si="19"/>
        <v>BS</v>
      </c>
    </row>
    <row r="283" spans="1:13" s="33" customFormat="true" ht="12.75" customHeight="true">
      <c r="A283" s="33" t="str">
        <f t="shared" si="16"/>
        <v>API - AR-PPD</v>
      </c>
      <c r="B283" s="33" t="str">
        <f t="shared" si="17"/>
        <v>API</v>
      </c>
      <c r="C283" s="33" t="str">
        <f t="shared" si="18"/>
        <v>12200-0000</v>
      </c>
      <c r="D283" s="283" t="s">
        <v>444</v>
      </c>
      <c r="E283" s="64" t="s">
        <v>294</v>
      </c>
      <c r="F283" s="64" t="s">
        <v>230</v>
      </c>
      <c r="G283" s="64" t="s">
        <v>62</v>
      </c>
      <c r="H283" s="64" t="s">
        <v>35</v>
      </c>
      <c r="I283" s="64" t="s">
        <v>64</v>
      </c>
      <c r="J283" s="67">
        <v>0</v>
      </c>
      <c r="K283" s="62">
        <v>636714.92</v>
      </c>
      <c r="L283" s="33" t="e">
        <f>HLOOKUP(B283,#REF!,1,0)</f>
        <v>#REF!</v>
      </c>
      <c r="M283" s="33" t="str">
        <f t="shared" si="19"/>
        <v>BS</v>
      </c>
    </row>
    <row r="284" spans="1:13" s="33" customFormat="true" ht="12.75" customHeight="true">
      <c r="A284" s="33" t="str">
        <f t="shared" si="16"/>
        <v>API - AR-PPD</v>
      </c>
      <c r="B284" s="33" t="str">
        <f t="shared" si="17"/>
        <v>API</v>
      </c>
      <c r="C284" s="33" t="str">
        <f t="shared" si="18"/>
        <v>12210-0000</v>
      </c>
      <c r="D284" s="283" t="s">
        <v>445</v>
      </c>
      <c r="E284" s="64" t="s">
        <v>446</v>
      </c>
      <c r="F284" s="64" t="s">
        <v>230</v>
      </c>
      <c r="G284" s="64" t="s">
        <v>62</v>
      </c>
      <c r="H284" s="64" t="s">
        <v>35</v>
      </c>
      <c r="I284" s="64" t="s">
        <v>64</v>
      </c>
      <c r="J284" s="67">
        <v>0</v>
      </c>
      <c r="K284" s="62">
        <v>191781.58</v>
      </c>
      <c r="L284" s="33" t="e">
        <f>HLOOKUP(B284,#REF!,1,0)</f>
        <v>#REF!</v>
      </c>
      <c r="M284" s="33" t="str">
        <f t="shared" si="19"/>
        <v>BS</v>
      </c>
    </row>
    <row r="285" spans="1:13" s="33" customFormat="true" ht="12.75" customHeight="true">
      <c r="A285" s="33" t="str">
        <f t="shared" si="16"/>
        <v>API - Fixed Assets</v>
      </c>
      <c r="B285" s="33" t="str">
        <f t="shared" si="17"/>
        <v>API</v>
      </c>
      <c r="C285" s="33" t="str">
        <f t="shared" si="18"/>
        <v>14000-0000</v>
      </c>
      <c r="D285" s="283" t="s">
        <v>447</v>
      </c>
      <c r="E285" s="64" t="s">
        <v>298</v>
      </c>
      <c r="F285" s="64" t="s">
        <v>230</v>
      </c>
      <c r="G285" s="64" t="s">
        <v>62</v>
      </c>
      <c r="H285" s="64" t="s">
        <v>63</v>
      </c>
      <c r="I285" s="64" t="s">
        <v>64</v>
      </c>
      <c r="J285" s="67">
        <v>0</v>
      </c>
      <c r="K285" s="62">
        <v>14910000</v>
      </c>
      <c r="L285" s="33" t="e">
        <f>HLOOKUP(B285,#REF!,1,0)</f>
        <v>#REF!</v>
      </c>
      <c r="M285" s="33" t="str">
        <f t="shared" si="19"/>
        <v>BS</v>
      </c>
    </row>
    <row r="286" spans="1:13" s="33" customFormat="true" ht="12.75" customHeight="true">
      <c r="A286" s="33" t="str">
        <f t="shared" si="16"/>
        <v>API - Fixed Assets</v>
      </c>
      <c r="B286" s="33" t="str">
        <f t="shared" si="17"/>
        <v>API</v>
      </c>
      <c r="C286" s="33" t="str">
        <f t="shared" si="18"/>
        <v>15000-0000</v>
      </c>
      <c r="D286" s="283" t="s">
        <v>448</v>
      </c>
      <c r="E286" s="64" t="s">
        <v>300</v>
      </c>
      <c r="F286" s="64" t="s">
        <v>230</v>
      </c>
      <c r="G286" s="64" t="s">
        <v>62</v>
      </c>
      <c r="H286" s="64" t="s">
        <v>63</v>
      </c>
      <c r="I286" s="64" t="s">
        <v>64</v>
      </c>
      <c r="J286" s="67">
        <v>0</v>
      </c>
      <c r="K286" s="62">
        <v>34790000</v>
      </c>
      <c r="L286" s="33" t="e">
        <f>HLOOKUP(B286,#REF!,1,0)</f>
        <v>#REF!</v>
      </c>
      <c r="M286" s="33" t="str">
        <f t="shared" si="19"/>
        <v>BS</v>
      </c>
    </row>
    <row r="287" spans="1:13" s="33" customFormat="true" ht="12.75" customHeight="true">
      <c r="A287" s="33" t="str">
        <f t="shared" si="16"/>
        <v>API - Total Assets</v>
      </c>
      <c r="B287" s="33" t="str">
        <f t="shared" si="17"/>
        <v>API</v>
      </c>
      <c r="C287" s="33" t="str">
        <f t="shared" si="18"/>
        <v>15500-0000</v>
      </c>
      <c r="D287" s="283" t="s">
        <v>449</v>
      </c>
      <c r="E287" s="64" t="s">
        <v>302</v>
      </c>
      <c r="F287" s="64" t="s">
        <v>230</v>
      </c>
      <c r="G287" s="64" t="s">
        <v>62</v>
      </c>
      <c r="H287" s="64" t="s">
        <v>62</v>
      </c>
      <c r="I287" s="64" t="s">
        <v>64</v>
      </c>
      <c r="J287" s="67">
        <v>0</v>
      </c>
      <c r="K287" s="62">
        <v>586016.98</v>
      </c>
      <c r="L287" s="33" t="e">
        <f>HLOOKUP(B287,#REF!,1,0)</f>
        <v>#REF!</v>
      </c>
      <c r="M287" s="33" t="str">
        <f t="shared" si="19"/>
        <v>BS</v>
      </c>
    </row>
    <row r="288" spans="1:13" s="33" customFormat="true" ht="12.75" customHeight="true">
      <c r="A288" s="33" t="str">
        <f t="shared" si="16"/>
        <v>API - Fixed Assets</v>
      </c>
      <c r="B288" s="33" t="str">
        <f t="shared" si="17"/>
        <v>API</v>
      </c>
      <c r="C288" s="33" t="str">
        <f t="shared" si="18"/>
        <v>17000-0000</v>
      </c>
      <c r="D288" s="283" t="s">
        <v>450</v>
      </c>
      <c r="E288" s="64" t="s">
        <v>306</v>
      </c>
      <c r="F288" s="64" t="s">
        <v>230</v>
      </c>
      <c r="G288" s="64" t="s">
        <v>62</v>
      </c>
      <c r="H288" s="64" t="s">
        <v>63</v>
      </c>
      <c r="I288" s="64" t="s">
        <v>64</v>
      </c>
      <c r="J288" s="67">
        <v>0</v>
      </c>
      <c r="K288" s="62">
        <v>-1295276</v>
      </c>
      <c r="L288" s="33" t="e">
        <f>HLOOKUP(B288,#REF!,1,0)</f>
        <v>#REF!</v>
      </c>
      <c r="M288" s="33" t="str">
        <f t="shared" si="19"/>
        <v>BS</v>
      </c>
    </row>
    <row r="289" spans="1:13" s="33" customFormat="true" ht="12.75" customHeight="true">
      <c r="A289" s="33" t="str">
        <f t="shared" si="16"/>
        <v>API - Fixed Assets</v>
      </c>
      <c r="B289" s="33" t="str">
        <f t="shared" si="17"/>
        <v>API</v>
      </c>
      <c r="C289" s="33" t="str">
        <f t="shared" si="18"/>
        <v>18000-0000</v>
      </c>
      <c r="D289" s="283" t="s">
        <v>451</v>
      </c>
      <c r="E289" s="64" t="s">
        <v>308</v>
      </c>
      <c r="F289" s="64" t="s">
        <v>230</v>
      </c>
      <c r="G289" s="64" t="s">
        <v>62</v>
      </c>
      <c r="H289" s="64" t="s">
        <v>63</v>
      </c>
      <c r="I289" s="64" t="s">
        <v>64</v>
      </c>
      <c r="J289" s="67">
        <v>0</v>
      </c>
      <c r="K289" s="62">
        <v>-47869</v>
      </c>
      <c r="L289" s="33" t="e">
        <f>HLOOKUP(B289,#REF!,1,0)</f>
        <v>#REF!</v>
      </c>
      <c r="M289" s="33" t="str">
        <f t="shared" si="19"/>
        <v>BS</v>
      </c>
    </row>
    <row r="290" spans="1:13" s="33" customFormat="true" ht="12.75" customHeight="true">
      <c r="A290" s="33" t="str">
        <f t="shared" si="16"/>
        <v>API - AP-Accr Exp</v>
      </c>
      <c r="B290" s="33" t="str">
        <f t="shared" si="17"/>
        <v>API</v>
      </c>
      <c r="C290" s="33" t="str">
        <f t="shared" si="18"/>
        <v>20001-0000</v>
      </c>
      <c r="D290" s="283" t="s">
        <v>452</v>
      </c>
      <c r="E290" s="64" t="s">
        <v>96</v>
      </c>
      <c r="F290" s="64" t="s">
        <v>230</v>
      </c>
      <c r="G290" s="64" t="s">
        <v>97</v>
      </c>
      <c r="H290" s="64" t="s">
        <v>98</v>
      </c>
      <c r="I290" s="64" t="s">
        <v>99</v>
      </c>
      <c r="J290" s="67">
        <v>0</v>
      </c>
      <c r="K290" s="62">
        <v>0</v>
      </c>
      <c r="L290" s="33" t="e">
        <f>HLOOKUP(B290,#REF!,1,0)</f>
        <v>#REF!</v>
      </c>
      <c r="M290" s="33" t="str">
        <f t="shared" si="19"/>
        <v>BS</v>
      </c>
    </row>
    <row r="291" spans="1:13" s="33" customFormat="true" ht="12.75" customHeight="true">
      <c r="A291" s="33" t="str">
        <f t="shared" si="16"/>
        <v>API - AP-Accr Exp</v>
      </c>
      <c r="B291" s="33" t="str">
        <f t="shared" si="17"/>
        <v>API</v>
      </c>
      <c r="C291" s="33" t="str">
        <f t="shared" si="18"/>
        <v>23509-0000</v>
      </c>
      <c r="D291" s="283" t="s">
        <v>453</v>
      </c>
      <c r="E291" s="64" t="s">
        <v>454</v>
      </c>
      <c r="F291" s="64" t="s">
        <v>230</v>
      </c>
      <c r="G291" s="64" t="s">
        <v>97</v>
      </c>
      <c r="H291" s="64" t="s">
        <v>98</v>
      </c>
      <c r="I291" s="64" t="s">
        <v>102</v>
      </c>
      <c r="J291" s="67">
        <v>0</v>
      </c>
      <c r="K291" s="62">
        <v>4248.85</v>
      </c>
      <c r="L291" s="33" t="e">
        <f>HLOOKUP(B291,#REF!,1,0)</f>
        <v>#REF!</v>
      </c>
      <c r="M291" s="33" t="str">
        <f t="shared" si="19"/>
        <v>BS</v>
      </c>
    </row>
    <row r="292" spans="1:13" s="33" customFormat="true" ht="12.75" customHeight="true">
      <c r="A292" s="33" t="str">
        <f t="shared" si="16"/>
        <v>API - AP-Accr Exp</v>
      </c>
      <c r="B292" s="33" t="str">
        <f t="shared" si="17"/>
        <v>API</v>
      </c>
      <c r="C292" s="33" t="str">
        <f t="shared" si="18"/>
        <v>24800-0000</v>
      </c>
      <c r="D292" s="283" t="s">
        <v>455</v>
      </c>
      <c r="E292" s="64" t="s">
        <v>232</v>
      </c>
      <c r="F292" s="64" t="s">
        <v>230</v>
      </c>
      <c r="G292" s="64" t="s">
        <v>97</v>
      </c>
      <c r="H292" s="64" t="s">
        <v>98</v>
      </c>
      <c r="I292" s="64" t="s">
        <v>102</v>
      </c>
      <c r="J292" s="67">
        <v>0</v>
      </c>
      <c r="K292" s="62">
        <v>-118346</v>
      </c>
      <c r="L292" s="33" t="e">
        <f>HLOOKUP(B292,#REF!,1,0)</f>
        <v>#REF!</v>
      </c>
      <c r="M292" s="33" t="str">
        <f t="shared" si="19"/>
        <v>BS</v>
      </c>
    </row>
    <row r="293" spans="1:13" s="33" customFormat="true" ht="12.75" customHeight="true">
      <c r="A293" s="33" t="str">
        <f t="shared" si="16"/>
        <v>API - AP-Accr Exp</v>
      </c>
      <c r="B293" s="33" t="str">
        <f t="shared" si="17"/>
        <v>API</v>
      </c>
      <c r="C293" s="33" t="str">
        <f t="shared" si="18"/>
        <v>24801-0000</v>
      </c>
      <c r="D293" s="283" t="s">
        <v>456</v>
      </c>
      <c r="E293" s="64" t="s">
        <v>399</v>
      </c>
      <c r="F293" s="64" t="s">
        <v>230</v>
      </c>
      <c r="G293" s="64" t="s">
        <v>97</v>
      </c>
      <c r="H293" s="64" t="s">
        <v>98</v>
      </c>
      <c r="I293" s="64" t="s">
        <v>102</v>
      </c>
      <c r="J293" s="67">
        <v>0</v>
      </c>
      <c r="K293" s="62">
        <v>0</v>
      </c>
      <c r="L293" s="33" t="e">
        <f>HLOOKUP(B293,#REF!,1,0)</f>
        <v>#REF!</v>
      </c>
      <c r="M293" s="33" t="str">
        <f t="shared" si="19"/>
        <v>BS</v>
      </c>
    </row>
    <row r="294" spans="1:13" s="33" customFormat="true" ht="12.75" customHeight="true">
      <c r="A294" s="33" t="str">
        <f t="shared" si="16"/>
        <v>API - InterCo Notes</v>
      </c>
      <c r="B294" s="33" t="str">
        <f t="shared" si="17"/>
        <v>API</v>
      </c>
      <c r="C294" s="33" t="str">
        <f t="shared" si="18"/>
        <v>25100-0000</v>
      </c>
      <c r="D294" s="283" t="s">
        <v>457</v>
      </c>
      <c r="E294" s="64" t="s">
        <v>458</v>
      </c>
      <c r="F294" s="64" t="s">
        <v>230</v>
      </c>
      <c r="G294" s="64" t="s">
        <v>16</v>
      </c>
      <c r="H294" s="64" t="s">
        <v>315</v>
      </c>
      <c r="I294" s="64" t="s">
        <v>40</v>
      </c>
      <c r="J294" s="67">
        <v>0</v>
      </c>
      <c r="K294" s="62">
        <v>-13674704.79</v>
      </c>
      <c r="L294" s="33" t="e">
        <f>HLOOKUP(B294,#REF!,1,0)</f>
        <v>#REF!</v>
      </c>
      <c r="M294" s="33" t="str">
        <f t="shared" si="19"/>
        <v>BS</v>
      </c>
    </row>
    <row r="295" spans="1:13" s="33" customFormat="true" ht="12.75" customHeight="true">
      <c r="A295" s="33" t="str">
        <f t="shared" si="16"/>
        <v>API - Principal</v>
      </c>
      <c r="B295" s="33" t="str">
        <f t="shared" si="17"/>
        <v>API</v>
      </c>
      <c r="C295" s="33" t="str">
        <f t="shared" si="18"/>
        <v>28003-0000</v>
      </c>
      <c r="D295" s="283" t="s">
        <v>459</v>
      </c>
      <c r="E295" s="64" t="s">
        <v>317</v>
      </c>
      <c r="F295" s="64" t="s">
        <v>230</v>
      </c>
      <c r="G295" s="64" t="s">
        <v>123</v>
      </c>
      <c r="H295" s="64" t="s">
        <v>127</v>
      </c>
      <c r="I295" s="64" t="s">
        <v>133</v>
      </c>
      <c r="J295" s="67">
        <v>0</v>
      </c>
      <c r="K295" s="62">
        <v>-30582000</v>
      </c>
      <c r="L295" s="33" t="e">
        <f>HLOOKUP(B295,#REF!,1,0)</f>
        <v>#REF!</v>
      </c>
      <c r="M295" s="33" t="str">
        <f t="shared" si="19"/>
        <v>BS</v>
      </c>
    </row>
    <row r="296" spans="1:13" s="33" customFormat="true" ht="12.75" customHeight="true">
      <c r="A296" s="33" t="str">
        <f t="shared" si="16"/>
        <v>API - Principal</v>
      </c>
      <c r="B296" s="33" t="str">
        <f t="shared" si="17"/>
        <v>API</v>
      </c>
      <c r="C296" s="33" t="str">
        <f t="shared" si="18"/>
        <v>28004-0000</v>
      </c>
      <c r="D296" s="283" t="s">
        <v>460</v>
      </c>
      <c r="E296" s="64" t="s">
        <v>461</v>
      </c>
      <c r="F296" s="64" t="s">
        <v>230</v>
      </c>
      <c r="G296" s="64" t="s">
        <v>123</v>
      </c>
      <c r="H296" s="64" t="s">
        <v>127</v>
      </c>
      <c r="I296" s="64" t="s">
        <v>133</v>
      </c>
      <c r="J296" s="67">
        <v>0</v>
      </c>
      <c r="K296" s="62">
        <v>-8000000</v>
      </c>
      <c r="L296" s="33" t="e">
        <f>HLOOKUP(B296,#REF!,1,0)</f>
        <v>#REF!</v>
      </c>
      <c r="M296" s="33" t="str">
        <f t="shared" si="19"/>
        <v>BS</v>
      </c>
    </row>
    <row r="297" spans="1:13" s="33" customFormat="true" ht="12.75" customHeight="true">
      <c r="A297" s="33" t="str">
        <f t="shared" si="16"/>
        <v>API - SH Dist</v>
      </c>
      <c r="B297" s="33" t="str">
        <f t="shared" si="17"/>
        <v>API</v>
      </c>
      <c r="C297" s="33" t="str">
        <f t="shared" si="18"/>
        <v>30700-0000</v>
      </c>
      <c r="D297" s="283" t="s">
        <v>462</v>
      </c>
      <c r="E297" s="64" t="s">
        <v>319</v>
      </c>
      <c r="F297" s="64" t="s">
        <v>230</v>
      </c>
      <c r="G297" s="64" t="s">
        <v>142</v>
      </c>
      <c r="H297" s="64" t="s">
        <v>143</v>
      </c>
      <c r="I297" s="64" t="s">
        <v>144</v>
      </c>
      <c r="J297" s="67">
        <v>0</v>
      </c>
      <c r="K297" s="62">
        <v>-500</v>
      </c>
      <c r="L297" s="33" t="e">
        <f>HLOOKUP(B297,#REF!,1,0)</f>
        <v>#REF!</v>
      </c>
      <c r="M297" s="33" t="str">
        <f t="shared" si="19"/>
        <v>BS</v>
      </c>
    </row>
    <row r="298" spans="1:13" s="33" customFormat="true" ht="12.75" customHeight="true">
      <c r="A298" s="33" t="str">
        <f t="shared" si="16"/>
        <v>API - SH Dist</v>
      </c>
      <c r="B298" s="33" t="str">
        <f t="shared" si="17"/>
        <v>API</v>
      </c>
      <c r="C298" s="33" t="str">
        <f t="shared" si="18"/>
        <v>31006-0000</v>
      </c>
      <c r="D298" s="283" t="s">
        <v>463</v>
      </c>
      <c r="E298" s="64" t="s">
        <v>464</v>
      </c>
      <c r="F298" s="64" t="s">
        <v>230</v>
      </c>
      <c r="G298" s="64" t="s">
        <v>142</v>
      </c>
      <c r="H298" s="64" t="s">
        <v>143</v>
      </c>
      <c r="I298" s="64" t="s">
        <v>144</v>
      </c>
      <c r="J298" s="67">
        <v>0</v>
      </c>
      <c r="K298" s="62">
        <v>-50000</v>
      </c>
      <c r="L298" s="33" t="e">
        <f>HLOOKUP(B298,#REF!,1,0)</f>
        <v>#REF!</v>
      </c>
      <c r="M298" s="33" t="str">
        <f t="shared" si="19"/>
        <v>BS</v>
      </c>
    </row>
    <row r="299" spans="1:13" s="33" customFormat="true" ht="12.75" customHeight="true">
      <c r="A299" s="33" t="str">
        <f t="shared" si="16"/>
        <v>API - SH Dist</v>
      </c>
      <c r="B299" s="33" t="str">
        <f t="shared" si="17"/>
        <v>API</v>
      </c>
      <c r="C299" s="33" t="str">
        <f t="shared" si="18"/>
        <v>31007-0000</v>
      </c>
      <c r="D299" s="283" t="s">
        <v>465</v>
      </c>
      <c r="E299" s="64" t="s">
        <v>466</v>
      </c>
      <c r="F299" s="64" t="s">
        <v>230</v>
      </c>
      <c r="G299" s="64" t="s">
        <v>142</v>
      </c>
      <c r="H299" s="64" t="s">
        <v>143</v>
      </c>
      <c r="I299" s="64" t="s">
        <v>144</v>
      </c>
      <c r="J299" s="67">
        <v>0</v>
      </c>
      <c r="K299" s="62">
        <v>-37500</v>
      </c>
      <c r="L299" s="33" t="e">
        <f>HLOOKUP(B299,#REF!,1,0)</f>
        <v>#REF!</v>
      </c>
      <c r="M299" s="33" t="str">
        <f t="shared" si="19"/>
        <v>BS</v>
      </c>
    </row>
    <row r="300" spans="1:13" s="33" customFormat="true" ht="12.75" customHeight="true">
      <c r="A300" s="33" t="str">
        <f t="shared" si="16"/>
        <v>API - Retained Earnings</v>
      </c>
      <c r="B300" s="33" t="str">
        <f t="shared" si="17"/>
        <v>API</v>
      </c>
      <c r="C300" s="33" t="str">
        <f t="shared" si="18"/>
        <v>32000-0000</v>
      </c>
      <c r="D300" s="283" t="s">
        <v>467</v>
      </c>
      <c r="E300" s="64" t="s">
        <v>234</v>
      </c>
      <c r="F300" s="64" t="s">
        <v>230</v>
      </c>
      <c r="G300" s="64" t="s">
        <v>142</v>
      </c>
      <c r="H300" s="64" t="s">
        <v>149</v>
      </c>
      <c r="I300" s="64" t="s">
        <v>235</v>
      </c>
      <c r="J300" s="67">
        <v>0</v>
      </c>
      <c r="K300" s="62">
        <v>1483278.03</v>
      </c>
      <c r="L300" s="33" t="e">
        <f>HLOOKUP(B300,#REF!,1,0)</f>
        <v>#REF!</v>
      </c>
      <c r="M300" s="33" t="str">
        <f t="shared" si="19"/>
        <v>BS</v>
      </c>
    </row>
    <row r="301" spans="1:13" s="33" customFormat="true" ht="12.75" customHeight="true">
      <c r="A301" s="33" t="str">
        <f t="shared" si="16"/>
        <v>BET - Cash</v>
      </c>
      <c r="B301" s="33" t="str">
        <f t="shared" si="17"/>
        <v>BET</v>
      </c>
      <c r="C301" s="33" t="str">
        <f t="shared" si="18"/>
        <v>10001-0000</v>
      </c>
      <c r="D301" s="283" t="s">
        <v>468</v>
      </c>
      <c r="E301" s="64" t="s">
        <v>240</v>
      </c>
      <c r="F301" s="64" t="s">
        <v>230</v>
      </c>
      <c r="G301" s="64" t="s">
        <v>16</v>
      </c>
      <c r="H301" s="64" t="s">
        <v>25</v>
      </c>
      <c r="I301" s="64" t="s">
        <v>18</v>
      </c>
      <c r="J301" s="67">
        <v>544.45</v>
      </c>
      <c r="K301" s="62">
        <v>47167.65</v>
      </c>
      <c r="L301" s="33" t="e">
        <f>HLOOKUP(B301,#REF!,1,0)</f>
        <v>#REF!</v>
      </c>
      <c r="M301" s="33" t="str">
        <f t="shared" si="19"/>
        <v>BS</v>
      </c>
    </row>
    <row r="302" spans="1:13" s="33" customFormat="true" ht="12.75" customHeight="true">
      <c r="A302" s="33" t="str">
        <f t="shared" si="16"/>
        <v>BET - Intercompany</v>
      </c>
      <c r="B302" s="33" t="str">
        <f t="shared" si="17"/>
        <v>BET</v>
      </c>
      <c r="C302" s="33" t="str">
        <f t="shared" si="18"/>
        <v>11216-0000</v>
      </c>
      <c r="D302" s="283" t="s">
        <v>469</v>
      </c>
      <c r="E302" s="64" t="s">
        <v>242</v>
      </c>
      <c r="F302" s="64" t="s">
        <v>230</v>
      </c>
      <c r="G302" s="64" t="s">
        <v>16</v>
      </c>
      <c r="H302" s="64" t="s">
        <v>39</v>
      </c>
      <c r="I302" s="64" t="s">
        <v>40</v>
      </c>
      <c r="J302" s="67">
        <v>0</v>
      </c>
      <c r="K302" s="62">
        <v>70382.54</v>
      </c>
      <c r="L302" s="33" t="e">
        <f>HLOOKUP(B302,#REF!,1,0)</f>
        <v>#REF!</v>
      </c>
      <c r="M302" s="33" t="str">
        <f t="shared" si="19"/>
        <v>BS</v>
      </c>
    </row>
    <row r="303" spans="1:13" s="33" customFormat="true" ht="12.75" customHeight="true">
      <c r="A303" s="33" t="str">
        <f t="shared" si="16"/>
        <v>BET - Intercompany</v>
      </c>
      <c r="B303" s="33" t="str">
        <f t="shared" si="17"/>
        <v>BET</v>
      </c>
      <c r="C303" s="33" t="str">
        <f t="shared" si="18"/>
        <v>11303-0000</v>
      </c>
      <c r="D303" s="283" t="s">
        <v>470</v>
      </c>
      <c r="E303" s="64" t="s">
        <v>248</v>
      </c>
      <c r="F303" s="64" t="s">
        <v>230</v>
      </c>
      <c r="G303" s="64" t="s">
        <v>16</v>
      </c>
      <c r="H303" s="64" t="s">
        <v>39</v>
      </c>
      <c r="I303" s="64" t="s">
        <v>40</v>
      </c>
      <c r="J303" s="67">
        <v>0</v>
      </c>
      <c r="K303" s="62">
        <v>-15000</v>
      </c>
      <c r="L303" s="33" t="e">
        <f>HLOOKUP(B303,#REF!,1,0)</f>
        <v>#REF!</v>
      </c>
      <c r="M303" s="33" t="str">
        <f t="shared" si="19"/>
        <v>BS</v>
      </c>
    </row>
    <row r="304" spans="1:13" s="33" customFormat="true" ht="12.75" customHeight="true">
      <c r="A304" s="33" t="str">
        <f t="shared" si="16"/>
        <v>BET - Intercompany</v>
      </c>
      <c r="B304" s="33" t="str">
        <f t="shared" si="17"/>
        <v>BET</v>
      </c>
      <c r="C304" s="33" t="str">
        <f t="shared" si="18"/>
        <v>11308-0000</v>
      </c>
      <c r="D304" s="283" t="s">
        <v>471</v>
      </c>
      <c r="E304" s="64" t="s">
        <v>472</v>
      </c>
      <c r="F304" s="64" t="s">
        <v>230</v>
      </c>
      <c r="G304" s="64" t="s">
        <v>16</v>
      </c>
      <c r="H304" s="64" t="s">
        <v>39</v>
      </c>
      <c r="I304" s="64" t="s">
        <v>40</v>
      </c>
      <c r="J304" s="67">
        <v>0</v>
      </c>
      <c r="K304" s="62">
        <v>5000</v>
      </c>
      <c r="L304" s="33" t="e">
        <f>HLOOKUP(B304,#REF!,1,0)</f>
        <v>#REF!</v>
      </c>
      <c r="M304" s="33" t="str">
        <f t="shared" si="19"/>
        <v>BS</v>
      </c>
    </row>
    <row r="305" spans="1:13" s="33" customFormat="true" ht="12.75" customHeight="true">
      <c r="A305" s="33" t="str">
        <f t="shared" si="16"/>
        <v>BET - Intercompany</v>
      </c>
      <c r="B305" s="33" t="str">
        <f t="shared" si="17"/>
        <v>BET</v>
      </c>
      <c r="C305" s="33" t="str">
        <f t="shared" si="18"/>
        <v>11310-0000</v>
      </c>
      <c r="D305" s="283" t="s">
        <v>473</v>
      </c>
      <c r="E305" s="64" t="s">
        <v>256</v>
      </c>
      <c r="F305" s="64" t="s">
        <v>230</v>
      </c>
      <c r="G305" s="64" t="s">
        <v>16</v>
      </c>
      <c r="H305" s="64" t="s">
        <v>39</v>
      </c>
      <c r="I305" s="64" t="s">
        <v>40</v>
      </c>
      <c r="J305" s="67">
        <v>0</v>
      </c>
      <c r="K305" s="62">
        <v>90000</v>
      </c>
      <c r="L305" s="33" t="e">
        <f>HLOOKUP(B305,#REF!,1,0)</f>
        <v>#REF!</v>
      </c>
      <c r="M305" s="33" t="str">
        <f t="shared" si="19"/>
        <v>BS</v>
      </c>
    </row>
    <row r="306" spans="1:13" s="33" customFormat="true" ht="12.75" customHeight="true">
      <c r="A306" s="33" t="str">
        <f t="shared" si="16"/>
        <v>BET - Intercompany</v>
      </c>
      <c r="B306" s="33" t="str">
        <f t="shared" si="17"/>
        <v>BET</v>
      </c>
      <c r="C306" s="33" t="str">
        <f t="shared" si="18"/>
        <v>11313-0000</v>
      </c>
      <c r="D306" s="283" t="s">
        <v>474</v>
      </c>
      <c r="E306" s="64" t="s">
        <v>260</v>
      </c>
      <c r="F306" s="64" t="s">
        <v>230</v>
      </c>
      <c r="G306" s="64" t="s">
        <v>16</v>
      </c>
      <c r="H306" s="64" t="s">
        <v>39</v>
      </c>
      <c r="I306" s="64" t="s">
        <v>40</v>
      </c>
      <c r="J306" s="67">
        <v>0</v>
      </c>
      <c r="K306" s="62">
        <v>5000</v>
      </c>
      <c r="L306" s="33" t="e">
        <f>HLOOKUP(B306,#REF!,1,0)</f>
        <v>#REF!</v>
      </c>
      <c r="M306" s="33" t="str">
        <f t="shared" si="19"/>
        <v>BS</v>
      </c>
    </row>
    <row r="307" spans="1:13" s="33" customFormat="true" ht="12.75" customHeight="true">
      <c r="A307" s="33" t="str">
        <f t="shared" si="16"/>
        <v>BET - Intercompany</v>
      </c>
      <c r="B307" s="33" t="str">
        <f t="shared" si="17"/>
        <v>BET</v>
      </c>
      <c r="C307" s="33" t="str">
        <f t="shared" si="18"/>
        <v>11317-0000</v>
      </c>
      <c r="D307" s="283" t="s">
        <v>475</v>
      </c>
      <c r="E307" s="64" t="s">
        <v>476</v>
      </c>
      <c r="F307" s="64" t="s">
        <v>230</v>
      </c>
      <c r="G307" s="64" t="s">
        <v>16</v>
      </c>
      <c r="H307" s="64" t="s">
        <v>39</v>
      </c>
      <c r="I307" s="64" t="s">
        <v>40</v>
      </c>
      <c r="J307" s="67">
        <v>0</v>
      </c>
      <c r="K307" s="62">
        <v>-40000</v>
      </c>
      <c r="L307" s="33" t="e">
        <f>HLOOKUP(B307,#REF!,1,0)</f>
        <v>#REF!</v>
      </c>
      <c r="M307" s="33" t="str">
        <f t="shared" si="19"/>
        <v>BS</v>
      </c>
    </row>
    <row r="308" spans="1:13" s="33" customFormat="true" ht="12.75" customHeight="true">
      <c r="A308" s="33" t="str">
        <f t="shared" si="16"/>
        <v>BET - Intercompany</v>
      </c>
      <c r="B308" s="33" t="str">
        <f t="shared" si="17"/>
        <v>BET</v>
      </c>
      <c r="C308" s="33" t="str">
        <f t="shared" si="18"/>
        <v>11318-0000</v>
      </c>
      <c r="D308" s="283" t="s">
        <v>477</v>
      </c>
      <c r="E308" s="64" t="s">
        <v>478</v>
      </c>
      <c r="F308" s="64" t="s">
        <v>230</v>
      </c>
      <c r="G308" s="64" t="s">
        <v>16</v>
      </c>
      <c r="H308" s="64" t="s">
        <v>39</v>
      </c>
      <c r="I308" s="64" t="s">
        <v>40</v>
      </c>
      <c r="J308" s="67">
        <v>0</v>
      </c>
      <c r="K308" s="62">
        <v>21000</v>
      </c>
      <c r="L308" s="33" t="e">
        <f>HLOOKUP(B308,#REF!,1,0)</f>
        <v>#REF!</v>
      </c>
      <c r="M308" s="33" t="str">
        <f t="shared" si="19"/>
        <v>BS</v>
      </c>
    </row>
    <row r="309" spans="1:13" s="33" customFormat="true" ht="12.75" customHeight="true">
      <c r="A309" s="33" t="str">
        <f t="shared" si="16"/>
        <v>BET - Intercompany</v>
      </c>
      <c r="B309" s="33" t="str">
        <f t="shared" si="17"/>
        <v>BET</v>
      </c>
      <c r="C309" s="33" t="str">
        <f t="shared" si="18"/>
        <v>11319-0000</v>
      </c>
      <c r="D309" s="283" t="s">
        <v>479</v>
      </c>
      <c r="E309" s="64" t="s">
        <v>370</v>
      </c>
      <c r="F309" s="64" t="s">
        <v>230</v>
      </c>
      <c r="G309" s="64" t="s">
        <v>16</v>
      </c>
      <c r="H309" s="64" t="s">
        <v>39</v>
      </c>
      <c r="I309" s="64" t="s">
        <v>40</v>
      </c>
      <c r="J309" s="67">
        <v>0</v>
      </c>
      <c r="K309" s="62">
        <v>5000</v>
      </c>
      <c r="L309" s="33" t="e">
        <f>HLOOKUP(B309,#REF!,1,0)</f>
        <v>#REF!</v>
      </c>
      <c r="M309" s="33" t="str">
        <f t="shared" si="19"/>
        <v>BS</v>
      </c>
    </row>
    <row r="310" spans="1:13" s="33" customFormat="true" ht="12.75" customHeight="true">
      <c r="A310" s="33" t="str">
        <f t="shared" si="16"/>
        <v>BET - Intercompany</v>
      </c>
      <c r="B310" s="33" t="str">
        <f t="shared" si="17"/>
        <v>BET</v>
      </c>
      <c r="C310" s="33" t="str">
        <f t="shared" si="18"/>
        <v>11321-0000</v>
      </c>
      <c r="D310" s="283" t="s">
        <v>480</v>
      </c>
      <c r="E310" s="64" t="s">
        <v>268</v>
      </c>
      <c r="F310" s="64" t="s">
        <v>230</v>
      </c>
      <c r="G310" s="64" t="s">
        <v>16</v>
      </c>
      <c r="H310" s="64" t="s">
        <v>39</v>
      </c>
      <c r="I310" s="64" t="s">
        <v>40</v>
      </c>
      <c r="J310" s="67">
        <v>0</v>
      </c>
      <c r="K310" s="62">
        <v>72000</v>
      </c>
      <c r="L310" s="33" t="e">
        <f>HLOOKUP(B310,#REF!,1,0)</f>
        <v>#REF!</v>
      </c>
      <c r="M310" s="33" t="str">
        <f t="shared" si="19"/>
        <v>BS</v>
      </c>
    </row>
    <row r="311" spans="1:13" s="33" customFormat="true" ht="12.75" customHeight="true">
      <c r="A311" s="33" t="str">
        <f t="shared" si="16"/>
        <v>BET - Intercompany</v>
      </c>
      <c r="B311" s="33" t="str">
        <f t="shared" si="17"/>
        <v>BET</v>
      </c>
      <c r="C311" s="33" t="str">
        <f t="shared" si="18"/>
        <v>11322-0000</v>
      </c>
      <c r="D311" s="283" t="s">
        <v>481</v>
      </c>
      <c r="E311" s="64" t="s">
        <v>270</v>
      </c>
      <c r="F311" s="64" t="s">
        <v>230</v>
      </c>
      <c r="G311" s="64" t="s">
        <v>16</v>
      </c>
      <c r="H311" s="64" t="s">
        <v>39</v>
      </c>
      <c r="I311" s="64" t="s">
        <v>40</v>
      </c>
      <c r="J311" s="67">
        <v>0</v>
      </c>
      <c r="K311" s="62">
        <v>5000</v>
      </c>
      <c r="L311" s="33" t="e">
        <f>HLOOKUP(B311,#REF!,1,0)</f>
        <v>#REF!</v>
      </c>
      <c r="M311" s="33" t="str">
        <f t="shared" si="19"/>
        <v>BS</v>
      </c>
    </row>
    <row r="312" spans="1:13" s="33" customFormat="true" ht="12.75" customHeight="true">
      <c r="A312" s="33" t="str">
        <f t="shared" si="16"/>
        <v>BET - Intercompany</v>
      </c>
      <c r="B312" s="33" t="str">
        <f t="shared" si="17"/>
        <v>BET</v>
      </c>
      <c r="C312" s="33" t="str">
        <f t="shared" si="18"/>
        <v>11323-0000</v>
      </c>
      <c r="D312" s="283" t="s">
        <v>482</v>
      </c>
      <c r="E312" s="64" t="s">
        <v>483</v>
      </c>
      <c r="F312" s="64" t="s">
        <v>230</v>
      </c>
      <c r="G312" s="64" t="s">
        <v>362</v>
      </c>
      <c r="H312" s="64" t="s">
        <v>39</v>
      </c>
      <c r="I312" s="64" t="s">
        <v>40</v>
      </c>
      <c r="J312" s="67">
        <v>0</v>
      </c>
      <c r="K312" s="62">
        <v>5000</v>
      </c>
      <c r="L312" s="33" t="e">
        <f>HLOOKUP(B312,#REF!,1,0)</f>
        <v>#REF!</v>
      </c>
      <c r="M312" s="33" t="str">
        <f t="shared" si="19"/>
        <v>BS</v>
      </c>
    </row>
    <row r="313" spans="1:13" s="33" customFormat="true" ht="12.75" customHeight="true">
      <c r="A313" s="33" t="str">
        <f t="shared" si="16"/>
        <v>BET - Intercompany</v>
      </c>
      <c r="B313" s="33" t="str">
        <f t="shared" si="17"/>
        <v>BET</v>
      </c>
      <c r="C313" s="33" t="str">
        <f t="shared" si="18"/>
        <v>11324-0000</v>
      </c>
      <c r="D313" s="283" t="s">
        <v>484</v>
      </c>
      <c r="E313" s="64" t="s">
        <v>272</v>
      </c>
      <c r="F313" s="64" t="s">
        <v>230</v>
      </c>
      <c r="G313" s="64" t="s">
        <v>16</v>
      </c>
      <c r="H313" s="64" t="s">
        <v>39</v>
      </c>
      <c r="I313" s="64" t="s">
        <v>40</v>
      </c>
      <c r="J313" s="67">
        <v>0</v>
      </c>
      <c r="K313" s="62">
        <v>35000</v>
      </c>
      <c r="L313" s="33" t="e">
        <f>HLOOKUP(B313,#REF!,1,0)</f>
        <v>#REF!</v>
      </c>
      <c r="M313" s="33" t="str">
        <f t="shared" si="19"/>
        <v>BS</v>
      </c>
    </row>
    <row r="314" spans="1:13" s="33" customFormat="true" ht="12.75" customHeight="true">
      <c r="A314" s="33" t="str">
        <f t="shared" si="16"/>
        <v>BET - Intercompany</v>
      </c>
      <c r="B314" s="33" t="str">
        <f t="shared" si="17"/>
        <v>BET</v>
      </c>
      <c r="C314" s="33" t="str">
        <f t="shared" si="18"/>
        <v>11328-0000</v>
      </c>
      <c r="D314" s="283" t="s">
        <v>485</v>
      </c>
      <c r="E314" s="64" t="s">
        <v>278</v>
      </c>
      <c r="F314" s="64" t="s">
        <v>230</v>
      </c>
      <c r="G314" s="64" t="s">
        <v>16</v>
      </c>
      <c r="H314" s="64" t="s">
        <v>39</v>
      </c>
      <c r="I314" s="64" t="s">
        <v>40</v>
      </c>
      <c r="J314" s="67">
        <v>0</v>
      </c>
      <c r="K314" s="62">
        <v>15000</v>
      </c>
      <c r="L314" s="33" t="e">
        <f>HLOOKUP(B314,#REF!,1,0)</f>
        <v>#REF!</v>
      </c>
      <c r="M314" s="33" t="str">
        <f t="shared" si="19"/>
        <v>BS</v>
      </c>
    </row>
    <row r="315" spans="1:13" s="33" customFormat="true" ht="12.75" customHeight="true">
      <c r="A315" s="33" t="str">
        <f t="shared" si="16"/>
        <v>BET - Intercompany</v>
      </c>
      <c r="B315" s="33" t="str">
        <f t="shared" si="17"/>
        <v>BET</v>
      </c>
      <c r="C315" s="33" t="str">
        <f t="shared" si="18"/>
        <v>11329-0000</v>
      </c>
      <c r="D315" s="283" t="s">
        <v>486</v>
      </c>
      <c r="E315" s="64" t="s">
        <v>377</v>
      </c>
      <c r="F315" s="64" t="s">
        <v>230</v>
      </c>
      <c r="G315" s="64" t="s">
        <v>16</v>
      </c>
      <c r="H315" s="64" t="s">
        <v>39</v>
      </c>
      <c r="I315" s="64" t="s">
        <v>40</v>
      </c>
      <c r="J315" s="67">
        <v>0</v>
      </c>
      <c r="K315" s="62">
        <v>5000</v>
      </c>
      <c r="L315" s="33" t="e">
        <f>HLOOKUP(B315,#REF!,1,0)</f>
        <v>#REF!</v>
      </c>
      <c r="M315" s="33" t="str">
        <f t="shared" si="19"/>
        <v>BS</v>
      </c>
    </row>
    <row r="316" spans="1:13" s="33" customFormat="true" ht="12.75" customHeight="true">
      <c r="A316" s="33" t="str">
        <f t="shared" si="16"/>
        <v>BET - Intercompany</v>
      </c>
      <c r="B316" s="33" t="str">
        <f t="shared" si="17"/>
        <v>BET</v>
      </c>
      <c r="C316" s="33" t="str">
        <f t="shared" si="18"/>
        <v>11332-0000</v>
      </c>
      <c r="D316" s="283" t="s">
        <v>487</v>
      </c>
      <c r="E316" s="64" t="s">
        <v>488</v>
      </c>
      <c r="F316" s="64" t="s">
        <v>230</v>
      </c>
      <c r="G316" s="64" t="s">
        <v>362</v>
      </c>
      <c r="H316" s="64" t="s">
        <v>39</v>
      </c>
      <c r="I316" s="64" t="s">
        <v>40</v>
      </c>
      <c r="J316" s="67">
        <v>0</v>
      </c>
      <c r="K316" s="62">
        <v>80000</v>
      </c>
      <c r="L316" s="33" t="e">
        <f>HLOOKUP(B316,#REF!,1,0)</f>
        <v>#REF!</v>
      </c>
      <c r="M316" s="33" t="str">
        <f t="shared" si="19"/>
        <v>BS</v>
      </c>
    </row>
    <row r="317" spans="1:13" s="33" customFormat="true" ht="12.75" customHeight="true">
      <c r="A317" s="33" t="str">
        <f t="shared" si="16"/>
        <v>BET - Intercompany</v>
      </c>
      <c r="B317" s="33" t="str">
        <f t="shared" si="17"/>
        <v>BET</v>
      </c>
      <c r="C317" s="33" t="str">
        <f t="shared" si="18"/>
        <v>11335-0000</v>
      </c>
      <c r="D317" s="283" t="s">
        <v>489</v>
      </c>
      <c r="E317" s="64" t="s">
        <v>288</v>
      </c>
      <c r="F317" s="64" t="s">
        <v>230</v>
      </c>
      <c r="G317" s="64" t="s">
        <v>16</v>
      </c>
      <c r="H317" s="64" t="s">
        <v>39</v>
      </c>
      <c r="I317" s="64" t="s">
        <v>40</v>
      </c>
      <c r="J317" s="67">
        <v>0</v>
      </c>
      <c r="K317" s="62">
        <v>30000</v>
      </c>
      <c r="L317" s="33" t="e">
        <f>HLOOKUP(B317,#REF!,1,0)</f>
        <v>#REF!</v>
      </c>
      <c r="M317" s="33" t="str">
        <f t="shared" si="19"/>
        <v>BS</v>
      </c>
    </row>
    <row r="318" spans="1:13" s="33" customFormat="true" ht="12.75" customHeight="true">
      <c r="A318" s="33" t="str">
        <f t="shared" si="16"/>
        <v>BET - Intercompany</v>
      </c>
      <c r="B318" s="33" t="str">
        <f t="shared" si="17"/>
        <v>BET</v>
      </c>
      <c r="C318" s="33" t="str">
        <f t="shared" si="18"/>
        <v>11336-0000</v>
      </c>
      <c r="D318" s="283" t="s">
        <v>490</v>
      </c>
      <c r="E318" s="64" t="s">
        <v>290</v>
      </c>
      <c r="F318" s="64" t="s">
        <v>230</v>
      </c>
      <c r="G318" s="64" t="s">
        <v>16</v>
      </c>
      <c r="H318" s="64" t="s">
        <v>39</v>
      </c>
      <c r="I318" s="64" t="s">
        <v>40</v>
      </c>
      <c r="J318" s="67">
        <v>0</v>
      </c>
      <c r="K318" s="62">
        <v>17000</v>
      </c>
      <c r="L318" s="33" t="e">
        <f>HLOOKUP(B318,#REF!,1,0)</f>
        <v>#REF!</v>
      </c>
      <c r="M318" s="33" t="str">
        <f t="shared" si="19"/>
        <v>BS</v>
      </c>
    </row>
    <row r="319" spans="1:13" s="33" customFormat="true" ht="12.75" customHeight="true">
      <c r="A319" s="33" t="str">
        <f t="shared" si="16"/>
        <v>BET - Intercompany</v>
      </c>
      <c r="B319" s="33" t="str">
        <f t="shared" si="17"/>
        <v>BET</v>
      </c>
      <c r="C319" s="33" t="str">
        <f t="shared" si="18"/>
        <v>11337-0000</v>
      </c>
      <c r="D319" s="283" t="s">
        <v>491</v>
      </c>
      <c r="E319" s="64" t="s">
        <v>292</v>
      </c>
      <c r="F319" s="64" t="s">
        <v>230</v>
      </c>
      <c r="G319" s="64" t="s">
        <v>16</v>
      </c>
      <c r="H319" s="64" t="s">
        <v>39</v>
      </c>
      <c r="I319" s="64" t="s">
        <v>40</v>
      </c>
      <c r="J319" s="67">
        <v>0</v>
      </c>
      <c r="K319" s="62">
        <v>25000</v>
      </c>
      <c r="L319" s="33" t="e">
        <f>HLOOKUP(B319,#REF!,1,0)</f>
        <v>#REF!</v>
      </c>
      <c r="M319" s="33" t="str">
        <f t="shared" si="19"/>
        <v>BS</v>
      </c>
    </row>
    <row r="320" spans="1:13" s="33" customFormat="true" ht="12.75" customHeight="true">
      <c r="A320" s="33" t="str">
        <f t="shared" si="16"/>
        <v>BET - Intercompany</v>
      </c>
      <c r="B320" s="33" t="str">
        <f t="shared" si="17"/>
        <v>BET</v>
      </c>
      <c r="C320" s="33" t="str">
        <f t="shared" si="18"/>
        <v>11342-0000</v>
      </c>
      <c r="D320" s="283" t="s">
        <v>492</v>
      </c>
      <c r="E320" s="64" t="s">
        <v>384</v>
      </c>
      <c r="F320" s="64" t="s">
        <v>230</v>
      </c>
      <c r="G320" s="64" t="s">
        <v>16</v>
      </c>
      <c r="H320" s="64" t="s">
        <v>39</v>
      </c>
      <c r="I320" s="64" t="s">
        <v>40</v>
      </c>
      <c r="J320" s="67">
        <v>0</v>
      </c>
      <c r="K320" s="62">
        <v>-10000</v>
      </c>
      <c r="L320" s="33" t="e">
        <f>HLOOKUP(B320,#REF!,1,0)</f>
        <v>#REF!</v>
      </c>
      <c r="M320" s="33" t="str">
        <f t="shared" si="19"/>
        <v>BS</v>
      </c>
    </row>
    <row r="321" spans="1:13" s="33" customFormat="true" ht="12.75" customHeight="true">
      <c r="A321" s="33" t="str">
        <f t="shared" si="16"/>
        <v>BET - AR-PPD</v>
      </c>
      <c r="B321" s="33" t="str">
        <f t="shared" si="17"/>
        <v>BET</v>
      </c>
      <c r="C321" s="33" t="str">
        <f t="shared" si="18"/>
        <v>12200-0000</v>
      </c>
      <c r="D321" s="283" t="s">
        <v>493</v>
      </c>
      <c r="E321" s="64" t="s">
        <v>294</v>
      </c>
      <c r="F321" s="64" t="s">
        <v>230</v>
      </c>
      <c r="G321" s="64" t="s">
        <v>62</v>
      </c>
      <c r="H321" s="64" t="s">
        <v>35</v>
      </c>
      <c r="I321" s="64" t="s">
        <v>64</v>
      </c>
      <c r="J321" s="67">
        <v>0</v>
      </c>
      <c r="K321" s="62">
        <v>24314.61</v>
      </c>
      <c r="L321" s="33" t="e">
        <f>HLOOKUP(B321,#REF!,1,0)</f>
        <v>#REF!</v>
      </c>
      <c r="M321" s="33" t="str">
        <f t="shared" si="19"/>
        <v>BS</v>
      </c>
    </row>
    <row r="322" spans="1:13" s="33" customFormat="true" ht="12.75" customHeight="true">
      <c r="A322" s="33" t="str">
        <f t="shared" ref="A322:A385" si="20">B322&amp;" - "&amp;TRIM(H322)</f>
        <v>BET - AR-PPD</v>
      </c>
      <c r="B322" s="33" t="str">
        <f t="shared" ref="B322:B385" si="21">LEFT(D322,3)</f>
        <v>BET</v>
      </c>
      <c r="C322" s="33" t="str">
        <f t="shared" ref="C322:C385" si="22">RIGHT(D322,10)</f>
        <v>12300-0000</v>
      </c>
      <c r="D322" s="283" t="s">
        <v>494</v>
      </c>
      <c r="E322" s="64" t="s">
        <v>387</v>
      </c>
      <c r="F322" s="64" t="s">
        <v>230</v>
      </c>
      <c r="G322" s="64" t="s">
        <v>62</v>
      </c>
      <c r="H322" s="64" t="s">
        <v>35</v>
      </c>
      <c r="I322" s="64" t="s">
        <v>64</v>
      </c>
      <c r="J322" s="67">
        <v>0</v>
      </c>
      <c r="K322" s="62">
        <v>447663</v>
      </c>
      <c r="L322" s="33" t="e">
        <f>HLOOKUP(B322,#REF!,1,0)</f>
        <v>#REF!</v>
      </c>
      <c r="M322" s="33" t="str">
        <f t="shared" ref="M322:M385" si="23">IF(VALUE(LEFT(C322,5))&gt;40000,"P&amp;L","BS")</f>
        <v>BS</v>
      </c>
    </row>
    <row r="323" spans="1:13" s="33" customFormat="true" ht="12.75" customHeight="true">
      <c r="A323" s="33" t="str">
        <f t="shared" si="20"/>
        <v>BET - Fixed Assets</v>
      </c>
      <c r="B323" s="33" t="str">
        <f t="shared" si="21"/>
        <v>BET</v>
      </c>
      <c r="C323" s="33" t="str">
        <f t="shared" si="22"/>
        <v>14000-0000</v>
      </c>
      <c r="D323" s="283" t="s">
        <v>495</v>
      </c>
      <c r="E323" s="64" t="s">
        <v>298</v>
      </c>
      <c r="F323" s="64" t="s">
        <v>230</v>
      </c>
      <c r="G323" s="64" t="s">
        <v>62</v>
      </c>
      <c r="H323" s="64" t="s">
        <v>63</v>
      </c>
      <c r="I323" s="64" t="s">
        <v>64</v>
      </c>
      <c r="J323" s="67">
        <v>0</v>
      </c>
      <c r="K323" s="62">
        <v>1109073</v>
      </c>
      <c r="L323" s="33" t="e">
        <f>HLOOKUP(B323,#REF!,1,0)</f>
        <v>#REF!</v>
      </c>
      <c r="M323" s="33" t="str">
        <f t="shared" si="23"/>
        <v>BS</v>
      </c>
    </row>
    <row r="324" spans="1:13" s="33" customFormat="true" ht="12.75" customHeight="true">
      <c r="A324" s="33" t="str">
        <f t="shared" si="20"/>
        <v>BET - Fixed Assets</v>
      </c>
      <c r="B324" s="33" t="str">
        <f t="shared" si="21"/>
        <v>BET</v>
      </c>
      <c r="C324" s="33" t="str">
        <f t="shared" si="22"/>
        <v>15000-0000</v>
      </c>
      <c r="D324" s="283" t="s">
        <v>496</v>
      </c>
      <c r="E324" s="64" t="s">
        <v>300</v>
      </c>
      <c r="F324" s="64" t="s">
        <v>230</v>
      </c>
      <c r="G324" s="64" t="s">
        <v>62</v>
      </c>
      <c r="H324" s="64" t="s">
        <v>63</v>
      </c>
      <c r="I324" s="64" t="s">
        <v>64</v>
      </c>
      <c r="J324" s="67">
        <v>0</v>
      </c>
      <c r="K324" s="62">
        <v>4715927</v>
      </c>
      <c r="L324" s="33" t="e">
        <f>HLOOKUP(B324,#REF!,1,0)</f>
        <v>#REF!</v>
      </c>
      <c r="M324" s="33" t="str">
        <f t="shared" si="23"/>
        <v>BS</v>
      </c>
    </row>
    <row r="325" spans="1:13" s="33" customFormat="true" ht="12.75" customHeight="true">
      <c r="A325" s="33" t="str">
        <f t="shared" si="20"/>
        <v>BET - Fixed Assets</v>
      </c>
      <c r="B325" s="33" t="str">
        <f t="shared" si="21"/>
        <v>BET</v>
      </c>
      <c r="C325" s="33" t="str">
        <f t="shared" si="22"/>
        <v>15500-0000</v>
      </c>
      <c r="D325" s="283" t="s">
        <v>497</v>
      </c>
      <c r="E325" s="64" t="s">
        <v>302</v>
      </c>
      <c r="F325" s="64" t="s">
        <v>230</v>
      </c>
      <c r="G325" s="64" t="s">
        <v>62</v>
      </c>
      <c r="H325" s="64" t="s">
        <v>63</v>
      </c>
      <c r="I325" s="64" t="s">
        <v>64</v>
      </c>
      <c r="J325" s="67">
        <v>0</v>
      </c>
      <c r="K325" s="62">
        <v>572501.21</v>
      </c>
      <c r="L325" s="33" t="e">
        <f>HLOOKUP(B325,#REF!,1,0)</f>
        <v>#REF!</v>
      </c>
      <c r="M325" s="33" t="str">
        <f t="shared" si="23"/>
        <v>BS</v>
      </c>
    </row>
    <row r="326" spans="1:13" s="33" customFormat="true" ht="12.75" customHeight="true">
      <c r="A326" s="33" t="str">
        <f t="shared" si="20"/>
        <v>BET - Fixed Assets</v>
      </c>
      <c r="B326" s="33" t="str">
        <f t="shared" si="21"/>
        <v>BET</v>
      </c>
      <c r="C326" s="33" t="str">
        <f t="shared" si="22"/>
        <v>16000-0000</v>
      </c>
      <c r="D326" s="283" t="s">
        <v>498</v>
      </c>
      <c r="E326" s="64" t="s">
        <v>304</v>
      </c>
      <c r="F326" s="64" t="s">
        <v>230</v>
      </c>
      <c r="G326" s="64" t="s">
        <v>16</v>
      </c>
      <c r="H326" s="64" t="s">
        <v>63</v>
      </c>
      <c r="I326" s="64" t="s">
        <v>18</v>
      </c>
      <c r="J326" s="67">
        <v>0</v>
      </c>
      <c r="K326" s="62">
        <v>56854</v>
      </c>
      <c r="L326" s="33" t="e">
        <f>HLOOKUP(B326,#REF!,1,0)</f>
        <v>#REF!</v>
      </c>
      <c r="M326" s="33" t="str">
        <f t="shared" si="23"/>
        <v>BS</v>
      </c>
    </row>
    <row r="327" spans="1:13" s="33" customFormat="true" ht="12.75" customHeight="true">
      <c r="A327" s="33" t="str">
        <f t="shared" si="20"/>
        <v>BET - Fixed Assets</v>
      </c>
      <c r="B327" s="33" t="str">
        <f t="shared" si="21"/>
        <v>BET</v>
      </c>
      <c r="C327" s="33" t="str">
        <f t="shared" si="22"/>
        <v>17000-0000</v>
      </c>
      <c r="D327" s="283" t="s">
        <v>499</v>
      </c>
      <c r="E327" s="64" t="s">
        <v>306</v>
      </c>
      <c r="F327" s="64" t="s">
        <v>230</v>
      </c>
      <c r="G327" s="64" t="s">
        <v>62</v>
      </c>
      <c r="H327" s="64" t="s">
        <v>63</v>
      </c>
      <c r="I327" s="64" t="s">
        <v>64</v>
      </c>
      <c r="J327" s="67">
        <v>0</v>
      </c>
      <c r="K327" s="62">
        <v>-1089612</v>
      </c>
      <c r="L327" s="33" t="e">
        <f>HLOOKUP(B327,#REF!,1,0)</f>
        <v>#REF!</v>
      </c>
      <c r="M327" s="33" t="str">
        <f t="shared" si="23"/>
        <v>BS</v>
      </c>
    </row>
    <row r="328" spans="1:13" s="33" customFormat="true" ht="12.75" customHeight="true">
      <c r="A328" s="33" t="str">
        <f t="shared" si="20"/>
        <v>BET - Fixed Assets</v>
      </c>
      <c r="B328" s="33" t="str">
        <f t="shared" si="21"/>
        <v>BET</v>
      </c>
      <c r="C328" s="33" t="str">
        <f t="shared" si="22"/>
        <v>18000-0000</v>
      </c>
      <c r="D328" s="283" t="s">
        <v>500</v>
      </c>
      <c r="E328" s="64" t="s">
        <v>308</v>
      </c>
      <c r="F328" s="64" t="s">
        <v>230</v>
      </c>
      <c r="G328" s="64" t="s">
        <v>62</v>
      </c>
      <c r="H328" s="64" t="s">
        <v>63</v>
      </c>
      <c r="I328" s="64" t="s">
        <v>64</v>
      </c>
      <c r="J328" s="67">
        <v>0</v>
      </c>
      <c r="K328" s="62">
        <v>-93277</v>
      </c>
      <c r="L328" s="33" t="e">
        <f>HLOOKUP(B328,#REF!,1,0)</f>
        <v>#REF!</v>
      </c>
      <c r="M328" s="33" t="str">
        <f t="shared" si="23"/>
        <v>BS</v>
      </c>
    </row>
    <row r="329" spans="1:13" s="33" customFormat="true" ht="12.75" customHeight="true">
      <c r="A329" s="33" t="str">
        <f t="shared" si="20"/>
        <v>BET - AP-Accr Exp</v>
      </c>
      <c r="B329" s="33" t="str">
        <f t="shared" si="21"/>
        <v>BET</v>
      </c>
      <c r="C329" s="33" t="str">
        <f t="shared" si="22"/>
        <v>20001-0000</v>
      </c>
      <c r="D329" s="283" t="s">
        <v>501</v>
      </c>
      <c r="E329" s="64" t="s">
        <v>96</v>
      </c>
      <c r="F329" s="64" t="s">
        <v>230</v>
      </c>
      <c r="G329" s="64" t="s">
        <v>97</v>
      </c>
      <c r="H329" s="64" t="s">
        <v>98</v>
      </c>
      <c r="I329" s="64" t="s">
        <v>99</v>
      </c>
      <c r="J329" s="67">
        <v>0</v>
      </c>
      <c r="K329" s="62">
        <v>0</v>
      </c>
      <c r="L329" s="33" t="e">
        <f>HLOOKUP(B329,#REF!,1,0)</f>
        <v>#REF!</v>
      </c>
      <c r="M329" s="33" t="str">
        <f t="shared" si="23"/>
        <v>BS</v>
      </c>
    </row>
    <row r="330" spans="1:13" s="33" customFormat="true" ht="12.75" customHeight="true">
      <c r="A330" s="33" t="str">
        <f t="shared" si="20"/>
        <v>BET - Principal</v>
      </c>
      <c r="B330" s="33" t="str">
        <f t="shared" si="21"/>
        <v>BET</v>
      </c>
      <c r="C330" s="33" t="str">
        <f t="shared" si="22"/>
        <v>22002-0000</v>
      </c>
      <c r="D330" s="283" t="s">
        <v>502</v>
      </c>
      <c r="E330" s="64" t="s">
        <v>503</v>
      </c>
      <c r="F330" s="64" t="s">
        <v>230</v>
      </c>
      <c r="G330" s="64" t="s">
        <v>123</v>
      </c>
      <c r="H330" s="64" t="s">
        <v>127</v>
      </c>
      <c r="I330" s="64" t="s">
        <v>133</v>
      </c>
      <c r="J330" s="67">
        <v>0</v>
      </c>
      <c r="K330" s="62">
        <v>-1560.38</v>
      </c>
      <c r="L330" s="33" t="e">
        <f>HLOOKUP(B330,#REF!,1,0)</f>
        <v>#REF!</v>
      </c>
      <c r="M330" s="33" t="str">
        <f t="shared" si="23"/>
        <v>BS</v>
      </c>
    </row>
    <row r="331" spans="1:13" s="33" customFormat="true" ht="12.75" customHeight="true">
      <c r="A331" s="33" t="str">
        <f t="shared" si="20"/>
        <v>BET - Intercompany</v>
      </c>
      <c r="B331" s="33" t="str">
        <f t="shared" si="21"/>
        <v>BET</v>
      </c>
      <c r="C331" s="33" t="str">
        <f t="shared" si="22"/>
        <v>22017-0000</v>
      </c>
      <c r="D331" s="283" t="s">
        <v>504</v>
      </c>
      <c r="E331" s="64" t="s">
        <v>505</v>
      </c>
      <c r="F331" s="64" t="s">
        <v>230</v>
      </c>
      <c r="G331" s="64" t="s">
        <v>16</v>
      </c>
      <c r="H331" s="64" t="s">
        <v>39</v>
      </c>
      <c r="I331" s="64" t="s">
        <v>40</v>
      </c>
      <c r="J331" s="67">
        <v>0</v>
      </c>
      <c r="K331" s="62">
        <v>-66000</v>
      </c>
      <c r="L331" s="33" t="e">
        <f>HLOOKUP(B331,#REF!,1,0)</f>
        <v>#REF!</v>
      </c>
      <c r="M331" s="33" t="str">
        <f t="shared" si="23"/>
        <v>BS</v>
      </c>
    </row>
    <row r="332" spans="1:13" s="33" customFormat="true" ht="12.75" customHeight="true">
      <c r="A332" s="33" t="str">
        <f t="shared" si="20"/>
        <v>BET - AP-Accr Exp</v>
      </c>
      <c r="B332" s="33" t="str">
        <f t="shared" si="21"/>
        <v>BET</v>
      </c>
      <c r="C332" s="33" t="str">
        <f t="shared" si="22"/>
        <v>23509-0000</v>
      </c>
      <c r="D332" s="283" t="s">
        <v>506</v>
      </c>
      <c r="E332" s="64" t="s">
        <v>111</v>
      </c>
      <c r="F332" s="64" t="s">
        <v>230</v>
      </c>
      <c r="G332" s="64" t="s">
        <v>97</v>
      </c>
      <c r="H332" s="64" t="s">
        <v>98</v>
      </c>
      <c r="I332" s="64" t="s">
        <v>102</v>
      </c>
      <c r="J332" s="67">
        <v>0</v>
      </c>
      <c r="K332" s="62">
        <v>936.63</v>
      </c>
      <c r="L332" s="33" t="e">
        <f>HLOOKUP(B332,#REF!,1,0)</f>
        <v>#REF!</v>
      </c>
      <c r="M332" s="33" t="str">
        <f t="shared" si="23"/>
        <v>BS</v>
      </c>
    </row>
    <row r="333" spans="1:13" s="33" customFormat="true" ht="12.75" customHeight="true">
      <c r="A333" s="33" t="str">
        <f t="shared" si="20"/>
        <v>BET - AP-Accr Exp</v>
      </c>
      <c r="B333" s="33" t="str">
        <f t="shared" si="21"/>
        <v>BET</v>
      </c>
      <c r="C333" s="33" t="str">
        <f t="shared" si="22"/>
        <v>24800-0000</v>
      </c>
      <c r="D333" s="283" t="s">
        <v>507</v>
      </c>
      <c r="E333" s="64" t="s">
        <v>232</v>
      </c>
      <c r="F333" s="64" t="s">
        <v>230</v>
      </c>
      <c r="G333" s="64" t="s">
        <v>97</v>
      </c>
      <c r="H333" s="64" t="s">
        <v>98</v>
      </c>
      <c r="I333" s="64" t="s">
        <v>102</v>
      </c>
      <c r="J333" s="67">
        <v>0</v>
      </c>
      <c r="K333" s="62">
        <v>-77057</v>
      </c>
      <c r="L333" s="33" t="e">
        <f>HLOOKUP(B333,#REF!,1,0)</f>
        <v>#REF!</v>
      </c>
      <c r="M333" s="33" t="str">
        <f t="shared" si="23"/>
        <v>BS</v>
      </c>
    </row>
    <row r="334" spans="1:13" s="33" customFormat="true" ht="12.75" customHeight="true">
      <c r="A334" s="33" t="str">
        <f t="shared" si="20"/>
        <v>BET - InterCo Notes</v>
      </c>
      <c r="B334" s="33" t="str">
        <f t="shared" si="21"/>
        <v>BET</v>
      </c>
      <c r="C334" s="33" t="str">
        <f t="shared" si="22"/>
        <v>25000-0000</v>
      </c>
      <c r="D334" s="283" t="s">
        <v>508</v>
      </c>
      <c r="E334" s="64" t="s">
        <v>314</v>
      </c>
      <c r="F334" s="64" t="s">
        <v>230</v>
      </c>
      <c r="G334" s="64" t="s">
        <v>16</v>
      </c>
      <c r="H334" s="64" t="s">
        <v>315</v>
      </c>
      <c r="I334" s="64" t="s">
        <v>40</v>
      </c>
      <c r="J334" s="67">
        <v>0</v>
      </c>
      <c r="K334" s="62">
        <v>-1570000</v>
      </c>
      <c r="L334" s="33" t="e">
        <f>HLOOKUP(B334,#REF!,1,0)</f>
        <v>#REF!</v>
      </c>
      <c r="M334" s="33" t="str">
        <f t="shared" si="23"/>
        <v>BS</v>
      </c>
    </row>
    <row r="335" spans="1:13" s="33" customFormat="true" ht="12.75" customHeight="true">
      <c r="A335" s="33" t="str">
        <f t="shared" si="20"/>
        <v>BET - Principal</v>
      </c>
      <c r="B335" s="33" t="str">
        <f t="shared" si="21"/>
        <v>BET</v>
      </c>
      <c r="C335" s="33" t="str">
        <f t="shared" si="22"/>
        <v>28003-0000</v>
      </c>
      <c r="D335" s="283" t="s">
        <v>509</v>
      </c>
      <c r="E335" s="64" t="s">
        <v>510</v>
      </c>
      <c r="F335" s="64" t="s">
        <v>230</v>
      </c>
      <c r="G335" s="64" t="s">
        <v>123</v>
      </c>
      <c r="H335" s="64" t="s">
        <v>127</v>
      </c>
      <c r="I335" s="64" t="s">
        <v>133</v>
      </c>
      <c r="J335" s="67">
        <v>0</v>
      </c>
      <c r="K335" s="62">
        <v>45266.73</v>
      </c>
      <c r="L335" s="33" t="e">
        <f>HLOOKUP(B335,#REF!,1,0)</f>
        <v>#REF!</v>
      </c>
      <c r="M335" s="33" t="str">
        <f t="shared" si="23"/>
        <v>BS</v>
      </c>
    </row>
    <row r="336" spans="1:13" s="33" customFormat="true" ht="12.75" customHeight="true">
      <c r="A336" s="33" t="str">
        <f t="shared" si="20"/>
        <v>BET - Principal</v>
      </c>
      <c r="B336" s="33" t="str">
        <f t="shared" si="21"/>
        <v>BET</v>
      </c>
      <c r="C336" s="33" t="str">
        <f t="shared" si="22"/>
        <v>28004-0000</v>
      </c>
      <c r="D336" s="283" t="s">
        <v>511</v>
      </c>
      <c r="E336" s="64" t="s">
        <v>317</v>
      </c>
      <c r="F336" s="64" t="s">
        <v>230</v>
      </c>
      <c r="G336" s="64" t="s">
        <v>123</v>
      </c>
      <c r="H336" s="64" t="s">
        <v>127</v>
      </c>
      <c r="I336" s="64" t="s">
        <v>133</v>
      </c>
      <c r="J336" s="67">
        <v>0</v>
      </c>
      <c r="K336" s="62">
        <v>-10974795.45</v>
      </c>
      <c r="L336" s="33" t="e">
        <f>HLOOKUP(B336,#REF!,1,0)</f>
        <v>#REF!</v>
      </c>
      <c r="M336" s="33" t="str">
        <f t="shared" si="23"/>
        <v>BS</v>
      </c>
    </row>
    <row r="337" spans="1:13" s="33" customFormat="true" ht="12.75" customHeight="true">
      <c r="A337" s="33" t="str">
        <f t="shared" si="20"/>
        <v>BET - SH Dist</v>
      </c>
      <c r="B337" s="33" t="str">
        <f t="shared" si="21"/>
        <v>BET</v>
      </c>
      <c r="C337" s="33" t="str">
        <f t="shared" si="22"/>
        <v>30700-0000</v>
      </c>
      <c r="D337" s="283" t="s">
        <v>512</v>
      </c>
      <c r="E337" s="64" t="s">
        <v>319</v>
      </c>
      <c r="F337" s="64" t="s">
        <v>230</v>
      </c>
      <c r="G337" s="64" t="s">
        <v>142</v>
      </c>
      <c r="H337" s="64" t="s">
        <v>143</v>
      </c>
      <c r="I337" s="64" t="s">
        <v>144</v>
      </c>
      <c r="J337" s="67">
        <v>0</v>
      </c>
      <c r="K337" s="62">
        <v>6842362.77</v>
      </c>
      <c r="L337" s="33" t="e">
        <f>HLOOKUP(B337,#REF!,1,0)</f>
        <v>#REF!</v>
      </c>
      <c r="M337" s="33" t="str">
        <f t="shared" si="23"/>
        <v>BS</v>
      </c>
    </row>
    <row r="338" spans="1:13" s="33" customFormat="true" ht="12.75" customHeight="true">
      <c r="A338" s="33" t="str">
        <f t="shared" si="20"/>
        <v>BET - Retained Earnings</v>
      </c>
      <c r="B338" s="33" t="str">
        <f t="shared" si="21"/>
        <v>BET</v>
      </c>
      <c r="C338" s="33" t="str">
        <f t="shared" si="22"/>
        <v>32000-0000</v>
      </c>
      <c r="D338" s="283" t="s">
        <v>513</v>
      </c>
      <c r="E338" s="64" t="s">
        <v>234</v>
      </c>
      <c r="F338" s="64" t="s">
        <v>230</v>
      </c>
      <c r="G338" s="64" t="s">
        <v>142</v>
      </c>
      <c r="H338" s="64" t="s">
        <v>149</v>
      </c>
      <c r="I338" s="64" t="s">
        <v>235</v>
      </c>
      <c r="J338" s="67">
        <v>0</v>
      </c>
      <c r="K338" s="62">
        <v>-246334.63</v>
      </c>
      <c r="L338" s="33" t="e">
        <f>HLOOKUP(B338,#REF!,1,0)</f>
        <v>#REF!</v>
      </c>
      <c r="M338" s="33" t="str">
        <f t="shared" si="23"/>
        <v>BS</v>
      </c>
    </row>
    <row r="339" spans="1:13" s="33" customFormat="true" ht="12.75" customHeight="true">
      <c r="A339" s="33" t="str">
        <f t="shared" si="20"/>
        <v>BRU - Cash</v>
      </c>
      <c r="B339" s="33" t="str">
        <f t="shared" si="21"/>
        <v>BRU</v>
      </c>
      <c r="C339" s="33" t="str">
        <f t="shared" si="22"/>
        <v>10001-0000</v>
      </c>
      <c r="D339" s="64" t="s">
        <v>514</v>
      </c>
      <c r="E339" s="64" t="s">
        <v>240</v>
      </c>
      <c r="F339" s="64" t="s">
        <v>230</v>
      </c>
      <c r="G339" s="64" t="s">
        <v>16</v>
      </c>
      <c r="H339" s="64" t="s">
        <v>25</v>
      </c>
      <c r="I339" s="64" t="s">
        <v>18</v>
      </c>
      <c r="J339" s="67">
        <v>4423.92</v>
      </c>
      <c r="K339" s="62">
        <v>34793.17</v>
      </c>
      <c r="L339" s="33" t="e">
        <f>HLOOKUP(B339,#REF!,1,0)</f>
        <v>#REF!</v>
      </c>
      <c r="M339" s="33" t="str">
        <f t="shared" si="23"/>
        <v>BS</v>
      </c>
    </row>
    <row r="340" spans="1:13" s="33" customFormat="true" ht="12.75" customHeight="true">
      <c r="A340" s="33" t="str">
        <f t="shared" si="20"/>
        <v>BRU - AR-PPD</v>
      </c>
      <c r="B340" s="33" t="str">
        <f t="shared" si="21"/>
        <v>BRU</v>
      </c>
      <c r="C340" s="33" t="str">
        <f t="shared" si="22"/>
        <v>11000-0000</v>
      </c>
      <c r="D340" s="64" t="s">
        <v>515</v>
      </c>
      <c r="E340" s="64" t="s">
        <v>34</v>
      </c>
      <c r="F340" s="64" t="s">
        <v>230</v>
      </c>
      <c r="G340" s="64" t="s">
        <v>16</v>
      </c>
      <c r="H340" s="64" t="s">
        <v>35</v>
      </c>
      <c r="I340" s="64" t="s">
        <v>36</v>
      </c>
      <c r="J340" s="67">
        <v>0</v>
      </c>
      <c r="K340" s="62">
        <v>1671.53</v>
      </c>
      <c r="L340" s="33" t="e">
        <f>HLOOKUP(B340,#REF!,1,0)</f>
        <v>#REF!</v>
      </c>
      <c r="M340" s="33" t="str">
        <f t="shared" si="23"/>
        <v>BS</v>
      </c>
    </row>
    <row r="341" spans="1:13" s="33" customFormat="true" ht="12.75" customHeight="true">
      <c r="A341" s="33" t="str">
        <f t="shared" si="20"/>
        <v>BRU - Intercompany</v>
      </c>
      <c r="B341" s="33" t="str">
        <f t="shared" si="21"/>
        <v>BRU</v>
      </c>
      <c r="C341" s="33" t="str">
        <f t="shared" si="22"/>
        <v>11216-0000</v>
      </c>
      <c r="D341" s="64" t="s">
        <v>516</v>
      </c>
      <c r="E341" s="64" t="s">
        <v>242</v>
      </c>
      <c r="F341" s="64" t="s">
        <v>230</v>
      </c>
      <c r="G341" s="64" t="s">
        <v>16</v>
      </c>
      <c r="H341" s="64" t="s">
        <v>39</v>
      </c>
      <c r="I341" s="64" t="s">
        <v>40</v>
      </c>
      <c r="J341" s="67">
        <v>0.1</v>
      </c>
      <c r="K341" s="62">
        <v>-4762.23</v>
      </c>
      <c r="L341" s="33" t="e">
        <f>HLOOKUP(B341,#REF!,1,0)</f>
        <v>#REF!</v>
      </c>
      <c r="M341" s="33" t="str">
        <f t="shared" si="23"/>
        <v>BS</v>
      </c>
    </row>
    <row r="342" spans="1:13" s="33" customFormat="true" ht="12.75" customHeight="true">
      <c r="A342" s="33" t="str">
        <f t="shared" si="20"/>
        <v>BRU - Intercompany</v>
      </c>
      <c r="B342" s="33" t="str">
        <f t="shared" si="21"/>
        <v>BRU</v>
      </c>
      <c r="C342" s="33" t="str">
        <f t="shared" si="22"/>
        <v>11310-0000</v>
      </c>
      <c r="D342" s="64" t="s">
        <v>517</v>
      </c>
      <c r="E342" s="64" t="s">
        <v>256</v>
      </c>
      <c r="F342" s="64" t="s">
        <v>230</v>
      </c>
      <c r="G342" s="64" t="s">
        <v>16</v>
      </c>
      <c r="H342" s="64" t="s">
        <v>39</v>
      </c>
      <c r="I342" s="64" t="s">
        <v>40</v>
      </c>
      <c r="J342" s="67">
        <v>0</v>
      </c>
      <c r="K342" s="62">
        <v>-10000</v>
      </c>
      <c r="L342" s="33" t="e">
        <f>HLOOKUP(B342,#REF!,1,0)</f>
        <v>#REF!</v>
      </c>
      <c r="M342" s="33" t="str">
        <f t="shared" si="23"/>
        <v>BS</v>
      </c>
    </row>
    <row r="343" spans="1:13" s="33" customFormat="true" ht="12.75" customHeight="true">
      <c r="A343" s="33" t="str">
        <f t="shared" si="20"/>
        <v>BRU - Intercompany</v>
      </c>
      <c r="B343" s="33" t="str">
        <f t="shared" si="21"/>
        <v>BRU</v>
      </c>
      <c r="C343" s="33" t="str">
        <f t="shared" si="22"/>
        <v>11316-0000</v>
      </c>
      <c r="D343" s="64" t="s">
        <v>518</v>
      </c>
      <c r="E343" s="64" t="s">
        <v>264</v>
      </c>
      <c r="F343" s="64" t="s">
        <v>230</v>
      </c>
      <c r="G343" s="64" t="s">
        <v>16</v>
      </c>
      <c r="H343" s="64" t="s">
        <v>39</v>
      </c>
      <c r="I343" s="64" t="s">
        <v>40</v>
      </c>
      <c r="J343" s="67">
        <v>0</v>
      </c>
      <c r="K343" s="62">
        <v>16000</v>
      </c>
      <c r="L343" s="33" t="e">
        <f>HLOOKUP(B343,#REF!,1,0)</f>
        <v>#REF!</v>
      </c>
      <c r="M343" s="33" t="str">
        <f t="shared" si="23"/>
        <v>BS</v>
      </c>
    </row>
    <row r="344" spans="1:13" s="33" customFormat="true" ht="12.75" customHeight="true">
      <c r="A344" s="33" t="str">
        <f t="shared" si="20"/>
        <v>BRU - Intercompany</v>
      </c>
      <c r="B344" s="33" t="str">
        <f t="shared" si="21"/>
        <v>BRU</v>
      </c>
      <c r="C344" s="33" t="str">
        <f t="shared" si="22"/>
        <v>11317-0000</v>
      </c>
      <c r="D344" s="64" t="s">
        <v>519</v>
      </c>
      <c r="E344" s="64" t="s">
        <v>520</v>
      </c>
      <c r="F344" s="64" t="s">
        <v>230</v>
      </c>
      <c r="G344" s="64" t="s">
        <v>16</v>
      </c>
      <c r="H344" s="64" t="s">
        <v>39</v>
      </c>
      <c r="I344" s="64" t="s">
        <v>40</v>
      </c>
      <c r="J344" s="67">
        <v>0</v>
      </c>
      <c r="K344" s="62">
        <v>-32000</v>
      </c>
      <c r="L344" s="33" t="e">
        <f>HLOOKUP(B344,#REF!,1,0)</f>
        <v>#REF!</v>
      </c>
      <c r="M344" s="33" t="str">
        <f t="shared" si="23"/>
        <v>BS</v>
      </c>
    </row>
    <row r="345" spans="1:13" s="33" customFormat="true" ht="12.75" customHeight="true">
      <c r="A345" s="33" t="str">
        <f t="shared" si="20"/>
        <v>BRU - Intercompany</v>
      </c>
      <c r="B345" s="33" t="str">
        <f t="shared" si="21"/>
        <v>BRU</v>
      </c>
      <c r="C345" s="33" t="str">
        <f t="shared" si="22"/>
        <v>11325-0000</v>
      </c>
      <c r="D345" s="64" t="s">
        <v>521</v>
      </c>
      <c r="E345" s="64" t="s">
        <v>274</v>
      </c>
      <c r="F345" s="64" t="s">
        <v>230</v>
      </c>
      <c r="G345" s="64" t="s">
        <v>16</v>
      </c>
      <c r="H345" s="64" t="s">
        <v>39</v>
      </c>
      <c r="I345" s="64" t="s">
        <v>40</v>
      </c>
      <c r="J345" s="67">
        <v>0</v>
      </c>
      <c r="K345" s="62">
        <v>-5000</v>
      </c>
      <c r="L345" s="33" t="e">
        <f>HLOOKUP(B345,#REF!,1,0)</f>
        <v>#REF!</v>
      </c>
      <c r="M345" s="33" t="str">
        <f t="shared" si="23"/>
        <v>BS</v>
      </c>
    </row>
    <row r="346" spans="1:13" s="33" customFormat="true" ht="12.75" customHeight="true">
      <c r="A346" s="33" t="str">
        <f t="shared" si="20"/>
        <v>BRU - Intercompany</v>
      </c>
      <c r="B346" s="33" t="str">
        <f t="shared" si="21"/>
        <v>BRU</v>
      </c>
      <c r="C346" s="33" t="str">
        <f t="shared" si="22"/>
        <v>11329-0000</v>
      </c>
      <c r="D346" s="64" t="s">
        <v>522</v>
      </c>
      <c r="E346" s="64" t="s">
        <v>377</v>
      </c>
      <c r="F346" s="64" t="s">
        <v>230</v>
      </c>
      <c r="G346" s="64" t="s">
        <v>16</v>
      </c>
      <c r="H346" s="64" t="s">
        <v>39</v>
      </c>
      <c r="I346" s="64" t="s">
        <v>40</v>
      </c>
      <c r="J346" s="67">
        <v>0</v>
      </c>
      <c r="K346" s="62">
        <v>-5000</v>
      </c>
      <c r="L346" s="33" t="e">
        <f>HLOOKUP(B346,#REF!,1,0)</f>
        <v>#REF!</v>
      </c>
      <c r="M346" s="33" t="str">
        <f t="shared" si="23"/>
        <v>BS</v>
      </c>
    </row>
    <row r="347" spans="1:13" s="33" customFormat="true" ht="12.75" customHeight="true">
      <c r="A347" s="33" t="str">
        <f t="shared" si="20"/>
        <v>BRU - Intercompany</v>
      </c>
      <c r="B347" s="33" t="str">
        <f t="shared" si="21"/>
        <v>BRU</v>
      </c>
      <c r="C347" s="33" t="str">
        <f t="shared" si="22"/>
        <v>11330-0000</v>
      </c>
      <c r="D347" s="64" t="s">
        <v>523</v>
      </c>
      <c r="E347" s="64" t="s">
        <v>280</v>
      </c>
      <c r="F347" s="64" t="s">
        <v>230</v>
      </c>
      <c r="G347" s="64" t="s">
        <v>16</v>
      </c>
      <c r="H347" s="64" t="s">
        <v>39</v>
      </c>
      <c r="I347" s="64" t="s">
        <v>40</v>
      </c>
      <c r="J347" s="67">
        <v>0</v>
      </c>
      <c r="K347" s="62">
        <v>5000</v>
      </c>
      <c r="L347" s="33" t="e">
        <f>HLOOKUP(B347,#REF!,1,0)</f>
        <v>#REF!</v>
      </c>
      <c r="M347" s="33" t="str">
        <f t="shared" si="23"/>
        <v>BS</v>
      </c>
    </row>
    <row r="348" spans="1:13" s="33" customFormat="true" ht="12.75" customHeight="true">
      <c r="A348" s="33" t="str">
        <f t="shared" si="20"/>
        <v>BRU - Intercompany</v>
      </c>
      <c r="B348" s="33" t="str">
        <f t="shared" si="21"/>
        <v>BRU</v>
      </c>
      <c r="C348" s="33" t="str">
        <f t="shared" si="22"/>
        <v>11331-0000</v>
      </c>
      <c r="D348" s="64" t="s">
        <v>524</v>
      </c>
      <c r="E348" s="64" t="s">
        <v>379</v>
      </c>
      <c r="F348" s="64" t="s">
        <v>230</v>
      </c>
      <c r="G348" s="64" t="s">
        <v>362</v>
      </c>
      <c r="H348" s="64" t="s">
        <v>39</v>
      </c>
      <c r="I348" s="64" t="s">
        <v>40</v>
      </c>
      <c r="J348" s="67">
        <v>0</v>
      </c>
      <c r="K348" s="62">
        <v>-4000</v>
      </c>
      <c r="L348" s="33" t="e">
        <f>HLOOKUP(B348,#REF!,1,0)</f>
        <v>#REF!</v>
      </c>
      <c r="M348" s="33" t="str">
        <f t="shared" si="23"/>
        <v>BS</v>
      </c>
    </row>
    <row r="349" spans="1:13" s="33" customFormat="true" ht="12.75" customHeight="true">
      <c r="A349" s="33" t="str">
        <f t="shared" si="20"/>
        <v>BRU - Intercompany</v>
      </c>
      <c r="B349" s="33" t="str">
        <f t="shared" si="21"/>
        <v>BRU</v>
      </c>
      <c r="C349" s="33" t="str">
        <f t="shared" si="22"/>
        <v>11332-0000</v>
      </c>
      <c r="D349" s="64" t="s">
        <v>525</v>
      </c>
      <c r="E349" s="64" t="s">
        <v>331</v>
      </c>
      <c r="F349" s="64" t="s">
        <v>230</v>
      </c>
      <c r="G349" s="64" t="s">
        <v>16</v>
      </c>
      <c r="H349" s="64" t="s">
        <v>39</v>
      </c>
      <c r="I349" s="64" t="s">
        <v>40</v>
      </c>
      <c r="J349" s="67">
        <v>0</v>
      </c>
      <c r="K349" s="62">
        <v>-10000</v>
      </c>
      <c r="L349" s="33" t="e">
        <f>HLOOKUP(B349,#REF!,1,0)</f>
        <v>#REF!</v>
      </c>
      <c r="M349" s="33" t="str">
        <f t="shared" si="23"/>
        <v>BS</v>
      </c>
    </row>
    <row r="350" spans="1:13" s="33" customFormat="true" ht="12.75" customHeight="true">
      <c r="A350" s="33" t="str">
        <f t="shared" si="20"/>
        <v>BRU - Intercompany</v>
      </c>
      <c r="B350" s="33" t="str">
        <f t="shared" si="21"/>
        <v>BRU</v>
      </c>
      <c r="C350" s="33" t="str">
        <f t="shared" si="22"/>
        <v>11336-0000</v>
      </c>
      <c r="D350" s="64" t="s">
        <v>526</v>
      </c>
      <c r="E350" s="64" t="s">
        <v>290</v>
      </c>
      <c r="F350" s="64" t="s">
        <v>230</v>
      </c>
      <c r="G350" s="64" t="s">
        <v>16</v>
      </c>
      <c r="H350" s="64" t="s">
        <v>39</v>
      </c>
      <c r="I350" s="64" t="s">
        <v>40</v>
      </c>
      <c r="J350" s="67">
        <v>0</v>
      </c>
      <c r="K350" s="62">
        <v>5000</v>
      </c>
      <c r="L350" s="33" t="e">
        <f>HLOOKUP(B350,#REF!,1,0)</f>
        <v>#REF!</v>
      </c>
      <c r="M350" s="33" t="str">
        <f t="shared" si="23"/>
        <v>BS</v>
      </c>
    </row>
    <row r="351" spans="1:13" s="33" customFormat="true" ht="12.75" customHeight="true">
      <c r="A351" s="33" t="str">
        <f t="shared" si="20"/>
        <v>BRU - AR-PPD</v>
      </c>
      <c r="B351" s="33" t="str">
        <f t="shared" si="21"/>
        <v>BRU</v>
      </c>
      <c r="C351" s="33" t="str">
        <f t="shared" si="22"/>
        <v>12200-0000</v>
      </c>
      <c r="D351" s="64" t="s">
        <v>527</v>
      </c>
      <c r="E351" s="64" t="s">
        <v>294</v>
      </c>
      <c r="F351" s="64" t="s">
        <v>230</v>
      </c>
      <c r="G351" s="64" t="s">
        <v>62</v>
      </c>
      <c r="H351" s="64" t="s">
        <v>35</v>
      </c>
      <c r="I351" s="64" t="s">
        <v>64</v>
      </c>
      <c r="J351" s="67">
        <v>0</v>
      </c>
      <c r="K351" s="62">
        <v>4601.77</v>
      </c>
      <c r="L351" s="33" t="e">
        <f>HLOOKUP(B351,#REF!,1,0)</f>
        <v>#REF!</v>
      </c>
      <c r="M351" s="33" t="str">
        <f t="shared" si="23"/>
        <v>BS</v>
      </c>
    </row>
    <row r="352" spans="1:13" s="33" customFormat="true" ht="12.75" customHeight="true">
      <c r="A352" s="33" t="str">
        <f t="shared" si="20"/>
        <v>BRU - Fixed Assets</v>
      </c>
      <c r="B352" s="33" t="str">
        <f t="shared" si="21"/>
        <v>BRU</v>
      </c>
      <c r="C352" s="33" t="str">
        <f t="shared" si="22"/>
        <v>14000-0000</v>
      </c>
      <c r="D352" s="64" t="s">
        <v>528</v>
      </c>
      <c r="E352" s="64" t="s">
        <v>298</v>
      </c>
      <c r="F352" s="64" t="s">
        <v>230</v>
      </c>
      <c r="G352" s="64" t="s">
        <v>62</v>
      </c>
      <c r="H352" s="64" t="s">
        <v>63</v>
      </c>
      <c r="I352" s="64" t="s">
        <v>64</v>
      </c>
      <c r="J352" s="67">
        <v>0</v>
      </c>
      <c r="K352" s="62">
        <v>1096224</v>
      </c>
      <c r="L352" s="33" t="e">
        <f>HLOOKUP(B352,#REF!,1,0)</f>
        <v>#REF!</v>
      </c>
      <c r="M352" s="33" t="str">
        <f t="shared" si="23"/>
        <v>BS</v>
      </c>
    </row>
    <row r="353" spans="1:13" s="33" customFormat="true" ht="12.75" customHeight="true">
      <c r="A353" s="33" t="str">
        <f t="shared" si="20"/>
        <v>BRU - Fixed Assets</v>
      </c>
      <c r="B353" s="33" t="str">
        <f t="shared" si="21"/>
        <v>BRU</v>
      </c>
      <c r="C353" s="33" t="str">
        <f t="shared" si="22"/>
        <v>15000-0000</v>
      </c>
      <c r="D353" s="64" t="s">
        <v>529</v>
      </c>
      <c r="E353" s="64" t="s">
        <v>300</v>
      </c>
      <c r="F353" s="64" t="s">
        <v>230</v>
      </c>
      <c r="G353" s="64" t="s">
        <v>62</v>
      </c>
      <c r="H353" s="64" t="s">
        <v>63</v>
      </c>
      <c r="I353" s="64" t="s">
        <v>64</v>
      </c>
      <c r="J353" s="67">
        <v>0</v>
      </c>
      <c r="K353" s="62">
        <v>2192776</v>
      </c>
      <c r="L353" s="33" t="e">
        <f>HLOOKUP(B353,#REF!,1,0)</f>
        <v>#REF!</v>
      </c>
      <c r="M353" s="33" t="str">
        <f t="shared" si="23"/>
        <v>BS</v>
      </c>
    </row>
    <row r="354" spans="1:13" s="33" customFormat="true" ht="12.75" customHeight="true">
      <c r="A354" s="33" t="str">
        <f t="shared" si="20"/>
        <v>BRU - Fixed Assets</v>
      </c>
      <c r="B354" s="33" t="str">
        <f t="shared" si="21"/>
        <v>BRU</v>
      </c>
      <c r="C354" s="33" t="str">
        <f t="shared" si="22"/>
        <v>15500-0000</v>
      </c>
      <c r="D354" s="64" t="s">
        <v>530</v>
      </c>
      <c r="E354" s="64" t="s">
        <v>302</v>
      </c>
      <c r="F354" s="64" t="s">
        <v>230</v>
      </c>
      <c r="G354" s="64" t="s">
        <v>62</v>
      </c>
      <c r="H354" s="64" t="s">
        <v>63</v>
      </c>
      <c r="I354" s="64" t="s">
        <v>64</v>
      </c>
      <c r="J354" s="67">
        <v>0</v>
      </c>
      <c r="K354" s="62">
        <v>53581.38</v>
      </c>
      <c r="L354" s="33" t="e">
        <f>HLOOKUP(B354,#REF!,1,0)</f>
        <v>#REF!</v>
      </c>
      <c r="M354" s="33" t="str">
        <f t="shared" si="23"/>
        <v>BS</v>
      </c>
    </row>
    <row r="355" spans="1:13" s="33" customFormat="true" ht="12.75" customHeight="true">
      <c r="A355" s="33" t="str">
        <f t="shared" si="20"/>
        <v>BRU - Fixed Assets</v>
      </c>
      <c r="B355" s="33" t="str">
        <f t="shared" si="21"/>
        <v>BRU</v>
      </c>
      <c r="C355" s="33" t="str">
        <f t="shared" si="22"/>
        <v>15600-0000</v>
      </c>
      <c r="D355" s="64" t="s">
        <v>531</v>
      </c>
      <c r="E355" s="64" t="s">
        <v>337</v>
      </c>
      <c r="F355" s="64" t="s">
        <v>230</v>
      </c>
      <c r="G355" s="64" t="s">
        <v>16</v>
      </c>
      <c r="H355" s="64" t="s">
        <v>63</v>
      </c>
      <c r="I355" s="64" t="s">
        <v>64</v>
      </c>
      <c r="J355" s="67">
        <v>0</v>
      </c>
      <c r="K355" s="62">
        <v>3395</v>
      </c>
      <c r="L355" s="33" t="e">
        <f>HLOOKUP(B355,#REF!,1,0)</f>
        <v>#REF!</v>
      </c>
      <c r="M355" s="33" t="str">
        <f t="shared" si="23"/>
        <v>BS</v>
      </c>
    </row>
    <row r="356" spans="1:13" s="33" customFormat="true" ht="12.75" customHeight="true">
      <c r="A356" s="33" t="str">
        <f t="shared" si="20"/>
        <v>BRU - Fixed Assets</v>
      </c>
      <c r="B356" s="33" t="str">
        <f t="shared" si="21"/>
        <v>BRU</v>
      </c>
      <c r="C356" s="33" t="str">
        <f t="shared" si="22"/>
        <v>17000-0000</v>
      </c>
      <c r="D356" s="64" t="s">
        <v>532</v>
      </c>
      <c r="E356" s="64" t="s">
        <v>306</v>
      </c>
      <c r="F356" s="64" t="s">
        <v>230</v>
      </c>
      <c r="G356" s="64" t="s">
        <v>62</v>
      </c>
      <c r="H356" s="64" t="s">
        <v>63</v>
      </c>
      <c r="I356" s="64" t="s">
        <v>64</v>
      </c>
      <c r="J356" s="67">
        <v>0</v>
      </c>
      <c r="K356" s="62">
        <v>-193398</v>
      </c>
      <c r="L356" s="33" t="e">
        <f>HLOOKUP(B356,#REF!,1,0)</f>
        <v>#REF!</v>
      </c>
      <c r="M356" s="33" t="str">
        <f t="shared" si="23"/>
        <v>BS</v>
      </c>
    </row>
    <row r="357" spans="1:13" s="33" customFormat="true" ht="12.75" customHeight="true">
      <c r="A357" s="33" t="str">
        <f t="shared" si="20"/>
        <v>BRU - Fixed Assets</v>
      </c>
      <c r="B357" s="33" t="str">
        <f t="shared" si="21"/>
        <v>BRU</v>
      </c>
      <c r="C357" s="33" t="str">
        <f t="shared" si="22"/>
        <v>18000-0000</v>
      </c>
      <c r="D357" s="64" t="s">
        <v>533</v>
      </c>
      <c r="E357" s="64" t="s">
        <v>308</v>
      </c>
      <c r="F357" s="64" t="s">
        <v>230</v>
      </c>
      <c r="G357" s="64" t="s">
        <v>62</v>
      </c>
      <c r="H357" s="64" t="s">
        <v>63</v>
      </c>
      <c r="I357" s="64" t="s">
        <v>64</v>
      </c>
      <c r="J357" s="67">
        <v>0</v>
      </c>
      <c r="K357" s="62">
        <v>-7607</v>
      </c>
      <c r="L357" s="33" t="e">
        <f>HLOOKUP(B357,#REF!,1,0)</f>
        <v>#REF!</v>
      </c>
      <c r="M357" s="33" t="str">
        <f t="shared" si="23"/>
        <v>BS</v>
      </c>
    </row>
    <row r="358" spans="1:13" s="33" customFormat="true" ht="12.75" customHeight="true">
      <c r="A358" s="33" t="str">
        <f t="shared" si="20"/>
        <v>BRU - Deposits</v>
      </c>
      <c r="B358" s="33" t="str">
        <f t="shared" si="21"/>
        <v>BRU</v>
      </c>
      <c r="C358" s="33" t="str">
        <f t="shared" si="22"/>
        <v>19001-0000</v>
      </c>
      <c r="D358" s="64" t="s">
        <v>534</v>
      </c>
      <c r="E358" s="64" t="s">
        <v>344</v>
      </c>
      <c r="F358" s="64" t="s">
        <v>230</v>
      </c>
      <c r="G358" s="64" t="s">
        <v>62</v>
      </c>
      <c r="H358" s="64" t="s">
        <v>80</v>
      </c>
      <c r="I358" s="64" t="s">
        <v>81</v>
      </c>
      <c r="J358" s="67">
        <v>0</v>
      </c>
      <c r="K358" s="62">
        <v>3900</v>
      </c>
      <c r="L358" s="33" t="e">
        <f>HLOOKUP(B358,#REF!,1,0)</f>
        <v>#REF!</v>
      </c>
      <c r="M358" s="33" t="str">
        <f t="shared" si="23"/>
        <v>BS</v>
      </c>
    </row>
    <row r="359" spans="1:13" s="33" customFormat="true" ht="12.75" customHeight="true">
      <c r="A359" s="33" t="str">
        <f t="shared" si="20"/>
        <v>BRU - AP-Accr Exp</v>
      </c>
      <c r="B359" s="33" t="str">
        <f t="shared" si="21"/>
        <v>BRU</v>
      </c>
      <c r="C359" s="33" t="str">
        <f t="shared" si="22"/>
        <v>20001-0000</v>
      </c>
      <c r="D359" s="64" t="s">
        <v>535</v>
      </c>
      <c r="E359" s="64" t="s">
        <v>96</v>
      </c>
      <c r="F359" s="64" t="s">
        <v>230</v>
      </c>
      <c r="G359" s="64" t="s">
        <v>97</v>
      </c>
      <c r="H359" s="64" t="s">
        <v>98</v>
      </c>
      <c r="I359" s="64" t="s">
        <v>99</v>
      </c>
      <c r="J359" s="67">
        <v>375</v>
      </c>
      <c r="K359" s="62">
        <v>0</v>
      </c>
      <c r="L359" s="33" t="e">
        <f>HLOOKUP(B359,#REF!,1,0)</f>
        <v>#REF!</v>
      </c>
      <c r="M359" s="33" t="str">
        <f t="shared" si="23"/>
        <v>BS</v>
      </c>
    </row>
    <row r="360" spans="1:13" s="33" customFormat="true" ht="12.75" customHeight="true">
      <c r="A360" s="33" t="str">
        <f t="shared" si="20"/>
        <v>BRU - AP-Accr Exp</v>
      </c>
      <c r="B360" s="33" t="str">
        <f t="shared" si="21"/>
        <v>BRU</v>
      </c>
      <c r="C360" s="33" t="str">
        <f t="shared" si="22"/>
        <v>23509-0000</v>
      </c>
      <c r="D360" s="64" t="s">
        <v>536</v>
      </c>
      <c r="E360" s="64" t="s">
        <v>537</v>
      </c>
      <c r="F360" s="64" t="s">
        <v>230</v>
      </c>
      <c r="G360" s="64" t="s">
        <v>97</v>
      </c>
      <c r="H360" s="64" t="s">
        <v>98</v>
      </c>
      <c r="I360" s="64" t="s">
        <v>102</v>
      </c>
      <c r="J360" s="67">
        <v>-237.33</v>
      </c>
      <c r="K360" s="62">
        <v>0</v>
      </c>
      <c r="L360" s="33" t="e">
        <f>HLOOKUP(B360,#REF!,1,0)</f>
        <v>#REF!</v>
      </c>
      <c r="M360" s="33" t="str">
        <f t="shared" si="23"/>
        <v>BS</v>
      </c>
    </row>
    <row r="361" spans="1:13" s="33" customFormat="true" ht="12.75" customHeight="true">
      <c r="A361" s="33" t="str">
        <f t="shared" si="20"/>
        <v>BRU - AP-Accr Exp</v>
      </c>
      <c r="B361" s="33" t="str">
        <f t="shared" si="21"/>
        <v>BRU</v>
      </c>
      <c r="C361" s="33" t="str">
        <f t="shared" si="22"/>
        <v>24800-0000</v>
      </c>
      <c r="D361" s="64" t="s">
        <v>538</v>
      </c>
      <c r="E361" s="64" t="s">
        <v>232</v>
      </c>
      <c r="F361" s="64" t="s">
        <v>230</v>
      </c>
      <c r="G361" s="64" t="s">
        <v>97</v>
      </c>
      <c r="H361" s="64" t="s">
        <v>98</v>
      </c>
      <c r="I361" s="64" t="s">
        <v>102</v>
      </c>
      <c r="J361" s="67">
        <v>0</v>
      </c>
      <c r="K361" s="62">
        <v>-19090</v>
      </c>
      <c r="L361" s="33" t="e">
        <f>HLOOKUP(B361,#REF!,1,0)</f>
        <v>#REF!</v>
      </c>
      <c r="M361" s="33" t="str">
        <f t="shared" si="23"/>
        <v>BS</v>
      </c>
    </row>
    <row r="362" spans="1:13" s="33" customFormat="true" ht="12.75" customHeight="true">
      <c r="A362" s="33" t="str">
        <f t="shared" si="20"/>
        <v>BRU - AP-Accr Exp</v>
      </c>
      <c r="B362" s="33" t="str">
        <f t="shared" si="21"/>
        <v>BRU</v>
      </c>
      <c r="C362" s="33" t="str">
        <f t="shared" si="22"/>
        <v>24801-0000</v>
      </c>
      <c r="D362" s="64" t="s">
        <v>539</v>
      </c>
      <c r="E362" s="64" t="s">
        <v>399</v>
      </c>
      <c r="F362" s="64" t="s">
        <v>230</v>
      </c>
      <c r="G362" s="64" t="s">
        <v>97</v>
      </c>
      <c r="H362" s="64" t="s">
        <v>98</v>
      </c>
      <c r="I362" s="64" t="s">
        <v>102</v>
      </c>
      <c r="J362" s="67">
        <v>0</v>
      </c>
      <c r="K362" s="62">
        <v>0</v>
      </c>
      <c r="L362" s="33" t="e">
        <f>HLOOKUP(B362,#REF!,1,0)</f>
        <v>#REF!</v>
      </c>
      <c r="M362" s="33" t="str">
        <f t="shared" si="23"/>
        <v>BS</v>
      </c>
    </row>
    <row r="363" spans="1:13" s="33" customFormat="true" ht="12.75" customHeight="true">
      <c r="A363" s="33" t="str">
        <f t="shared" si="20"/>
        <v>BRU - InterCo Notes</v>
      </c>
      <c r="B363" s="33" t="str">
        <f t="shared" si="21"/>
        <v>BRU</v>
      </c>
      <c r="C363" s="33" t="str">
        <f t="shared" si="22"/>
        <v>25100-0000</v>
      </c>
      <c r="D363" s="64" t="s">
        <v>540</v>
      </c>
      <c r="E363" s="64" t="s">
        <v>430</v>
      </c>
      <c r="F363" s="64" t="s">
        <v>230</v>
      </c>
      <c r="G363" s="64" t="s">
        <v>16</v>
      </c>
      <c r="H363" s="64" t="s">
        <v>315</v>
      </c>
      <c r="I363" s="64" t="s">
        <v>40</v>
      </c>
      <c r="J363" s="67">
        <v>0</v>
      </c>
      <c r="K363" s="62">
        <v>-1507500</v>
      </c>
      <c r="L363" s="33" t="e">
        <f>HLOOKUP(B363,#REF!,1,0)</f>
        <v>#REF!</v>
      </c>
      <c r="M363" s="33" t="str">
        <f t="shared" si="23"/>
        <v>BS</v>
      </c>
    </row>
    <row r="364" spans="1:13" s="33" customFormat="true" ht="12.75" customHeight="true">
      <c r="A364" s="33" t="str">
        <f t="shared" si="20"/>
        <v>BRU - Principal</v>
      </c>
      <c r="B364" s="33" t="str">
        <f t="shared" si="21"/>
        <v>BRU</v>
      </c>
      <c r="C364" s="33" t="str">
        <f t="shared" si="22"/>
        <v>26800-0000</v>
      </c>
      <c r="D364" s="64" t="s">
        <v>541</v>
      </c>
      <c r="E364" s="64" t="s">
        <v>402</v>
      </c>
      <c r="F364" s="64" t="s">
        <v>230</v>
      </c>
      <c r="G364" s="64" t="s">
        <v>97</v>
      </c>
      <c r="H364" s="64" t="s">
        <v>127</v>
      </c>
      <c r="I364" s="64" t="s">
        <v>128</v>
      </c>
      <c r="J364" s="67">
        <v>0</v>
      </c>
      <c r="K364" s="62">
        <v>-107900</v>
      </c>
      <c r="L364" s="33" t="e">
        <f>HLOOKUP(B364,#REF!,1,0)</f>
        <v>#REF!</v>
      </c>
      <c r="M364" s="33" t="str">
        <f t="shared" si="23"/>
        <v>BS</v>
      </c>
    </row>
    <row r="365" spans="1:13" s="33" customFormat="true" ht="12.75" customHeight="true">
      <c r="A365" s="33" t="str">
        <f t="shared" si="20"/>
        <v>BRU - Principal</v>
      </c>
      <c r="B365" s="33" t="str">
        <f t="shared" si="21"/>
        <v>BRU</v>
      </c>
      <c r="C365" s="33" t="str">
        <f t="shared" si="22"/>
        <v>28003-0000</v>
      </c>
      <c r="D365" s="64" t="s">
        <v>542</v>
      </c>
      <c r="E365" s="64" t="s">
        <v>433</v>
      </c>
      <c r="F365" s="64" t="s">
        <v>230</v>
      </c>
      <c r="G365" s="64" t="s">
        <v>123</v>
      </c>
      <c r="H365" s="64" t="s">
        <v>127</v>
      </c>
      <c r="I365" s="64" t="s">
        <v>133</v>
      </c>
      <c r="J365" s="67">
        <v>2738.91</v>
      </c>
      <c r="K365" s="62">
        <v>-1698979.72</v>
      </c>
      <c r="L365" s="33" t="e">
        <f>HLOOKUP(B365,#REF!,1,0)</f>
        <v>#REF!</v>
      </c>
      <c r="M365" s="33" t="str">
        <f t="shared" si="23"/>
        <v>BS</v>
      </c>
    </row>
    <row r="366" spans="1:13" s="33" customFormat="true" ht="12.75" customHeight="true">
      <c r="A366" s="33" t="str">
        <f t="shared" si="20"/>
        <v>BRU - SH Dist</v>
      </c>
      <c r="B366" s="33" t="str">
        <f t="shared" si="21"/>
        <v>BRU</v>
      </c>
      <c r="C366" s="33" t="str">
        <f t="shared" si="22"/>
        <v>30700-0000</v>
      </c>
      <c r="D366" s="64" t="s">
        <v>543</v>
      </c>
      <c r="E366" s="64" t="s">
        <v>319</v>
      </c>
      <c r="F366" s="64" t="s">
        <v>230</v>
      </c>
      <c r="G366" s="64" t="s">
        <v>142</v>
      </c>
      <c r="H366" s="64" t="s">
        <v>143</v>
      </c>
      <c r="I366" s="64" t="s">
        <v>144</v>
      </c>
      <c r="J366" s="67">
        <v>0</v>
      </c>
      <c r="K366" s="62">
        <v>104500</v>
      </c>
      <c r="L366" s="33" t="e">
        <f>HLOOKUP(B366,#REF!,1,0)</f>
        <v>#REF!</v>
      </c>
      <c r="M366" s="33" t="str">
        <f t="shared" si="23"/>
        <v>BS</v>
      </c>
    </row>
    <row r="367" spans="1:13" s="33" customFormat="true" ht="12.75" customHeight="true">
      <c r="A367" s="33" t="str">
        <f t="shared" si="20"/>
        <v>BRU - Retained Earnings</v>
      </c>
      <c r="B367" s="33" t="str">
        <f t="shared" si="21"/>
        <v>BRU</v>
      </c>
      <c r="C367" s="33" t="str">
        <f t="shared" si="22"/>
        <v>32000-0000</v>
      </c>
      <c r="D367" s="64" t="s">
        <v>544</v>
      </c>
      <c r="E367" s="64" t="s">
        <v>234</v>
      </c>
      <c r="F367" s="64" t="s">
        <v>230</v>
      </c>
      <c r="G367" s="64" t="s">
        <v>142</v>
      </c>
      <c r="H367" s="64" t="s">
        <v>149</v>
      </c>
      <c r="I367" s="64" t="s">
        <v>235</v>
      </c>
      <c r="J367" s="67">
        <v>0</v>
      </c>
      <c r="K367" s="62">
        <v>142155.98</v>
      </c>
      <c r="L367" s="33" t="e">
        <f>HLOOKUP(B367,#REF!,1,0)</f>
        <v>#REF!</v>
      </c>
      <c r="M367" s="33" t="str">
        <f t="shared" si="23"/>
        <v>BS</v>
      </c>
    </row>
    <row r="368" spans="1:13" s="33" customFormat="true" ht="12.75" customHeight="true">
      <c r="A368" s="33" t="str">
        <f t="shared" si="20"/>
        <v>BVI - Cash</v>
      </c>
      <c r="B368" s="33" t="str">
        <f t="shared" si="21"/>
        <v>BVI</v>
      </c>
      <c r="C368" s="33" t="str">
        <f t="shared" si="22"/>
        <v>10021-0000</v>
      </c>
      <c r="D368" s="64" t="s">
        <v>545</v>
      </c>
      <c r="E368" s="64" t="s">
        <v>546</v>
      </c>
      <c r="F368" s="64" t="s">
        <v>547</v>
      </c>
      <c r="G368" s="64" t="s">
        <v>16</v>
      </c>
      <c r="H368" s="64" t="s">
        <v>25</v>
      </c>
      <c r="I368" s="64" t="s">
        <v>18</v>
      </c>
      <c r="J368" s="67">
        <v>2947.16</v>
      </c>
      <c r="K368" s="62">
        <v>25486.22</v>
      </c>
      <c r="L368" s="33" t="e">
        <f>HLOOKUP(B368,#REF!,1,0)</f>
        <v>#REF!</v>
      </c>
      <c r="M368" s="33" t="str">
        <f t="shared" si="23"/>
        <v>BS</v>
      </c>
    </row>
    <row r="369" spans="1:13" s="33" customFormat="true" ht="12.75" customHeight="true">
      <c r="A369" s="33" t="str">
        <f t="shared" si="20"/>
        <v>BVI - Intercompany</v>
      </c>
      <c r="B369" s="33" t="str">
        <f t="shared" si="21"/>
        <v>BVI</v>
      </c>
      <c r="C369" s="33" t="str">
        <f t="shared" si="22"/>
        <v>11231-0000</v>
      </c>
      <c r="D369" s="64" t="s">
        <v>548</v>
      </c>
      <c r="E369" s="64" t="s">
        <v>549</v>
      </c>
      <c r="F369" s="64" t="s">
        <v>547</v>
      </c>
      <c r="G369" s="64" t="s">
        <v>16</v>
      </c>
      <c r="H369" s="64" t="s">
        <v>39</v>
      </c>
      <c r="I369" s="64" t="s">
        <v>40</v>
      </c>
      <c r="J369" s="67">
        <v>-1165.55</v>
      </c>
      <c r="K369" s="62">
        <v>31527.94</v>
      </c>
      <c r="L369" s="33" t="e">
        <f>HLOOKUP(B369,#REF!,1,0)</f>
        <v>#REF!</v>
      </c>
      <c r="M369" s="33" t="str">
        <f t="shared" si="23"/>
        <v>BS</v>
      </c>
    </row>
    <row r="370" spans="1:13" s="33" customFormat="true" ht="12.75" customHeight="true">
      <c r="A370" s="33" t="str">
        <f t="shared" si="20"/>
        <v>BVI - Fixed Assets</v>
      </c>
      <c r="B370" s="33" t="str">
        <f t="shared" si="21"/>
        <v>BVI</v>
      </c>
      <c r="C370" s="33" t="str">
        <f t="shared" si="22"/>
        <v>16401-0862</v>
      </c>
      <c r="D370" s="64" t="s">
        <v>550</v>
      </c>
      <c r="E370" s="64" t="s">
        <v>551</v>
      </c>
      <c r="F370" s="64" t="s">
        <v>547</v>
      </c>
      <c r="G370" s="64" t="s">
        <v>62</v>
      </c>
      <c r="H370" s="64" t="s">
        <v>63</v>
      </c>
      <c r="I370" s="64" t="s">
        <v>64</v>
      </c>
      <c r="J370" s="67">
        <v>0</v>
      </c>
      <c r="K370" s="62">
        <v>1083096</v>
      </c>
      <c r="L370" s="33" t="e">
        <f>HLOOKUP(B370,#REF!,1,0)</f>
        <v>#REF!</v>
      </c>
      <c r="M370" s="33" t="str">
        <f t="shared" si="23"/>
        <v>BS</v>
      </c>
    </row>
    <row r="371" spans="1:13" s="33" customFormat="true" ht="12.75" customHeight="true">
      <c r="A371" s="33" t="str">
        <f t="shared" si="20"/>
        <v>BVI - Fixed Assets</v>
      </c>
      <c r="B371" s="33" t="str">
        <f t="shared" si="21"/>
        <v>BVI</v>
      </c>
      <c r="C371" s="33" t="str">
        <f t="shared" si="22"/>
        <v>16401-7780</v>
      </c>
      <c r="D371" s="64" t="s">
        <v>552</v>
      </c>
      <c r="E371" s="64" t="s">
        <v>551</v>
      </c>
      <c r="F371" s="64" t="s">
        <v>547</v>
      </c>
      <c r="G371" s="64" t="s">
        <v>62</v>
      </c>
      <c r="H371" s="64" t="s">
        <v>63</v>
      </c>
      <c r="I371" s="64" t="s">
        <v>64</v>
      </c>
      <c r="J371" s="67">
        <v>0</v>
      </c>
      <c r="K371" s="62">
        <v>707362.5</v>
      </c>
      <c r="L371" s="33" t="e">
        <f>HLOOKUP(B371,#REF!,1,0)</f>
        <v>#REF!</v>
      </c>
      <c r="M371" s="33" t="str">
        <f t="shared" si="23"/>
        <v>BS</v>
      </c>
    </row>
    <row r="372" spans="1:13" s="33" customFormat="true" ht="12.75" customHeight="true">
      <c r="A372" s="33" t="str">
        <f t="shared" si="20"/>
        <v>BVI - Fixed Assets</v>
      </c>
      <c r="B372" s="33" t="str">
        <f t="shared" si="21"/>
        <v>BVI</v>
      </c>
      <c r="C372" s="33" t="str">
        <f t="shared" si="22"/>
        <v>16491-0000</v>
      </c>
      <c r="D372" s="64" t="s">
        <v>553</v>
      </c>
      <c r="E372" s="64" t="s">
        <v>554</v>
      </c>
      <c r="F372" s="64" t="s">
        <v>547</v>
      </c>
      <c r="G372" s="64" t="s">
        <v>62</v>
      </c>
      <c r="H372" s="64" t="s">
        <v>63</v>
      </c>
      <c r="I372" s="64" t="s">
        <v>64</v>
      </c>
      <c r="J372" s="67">
        <v>0</v>
      </c>
      <c r="K372" s="62">
        <v>-1087013</v>
      </c>
      <c r="L372" s="33" t="e">
        <f>HLOOKUP(B372,#REF!,1,0)</f>
        <v>#REF!</v>
      </c>
      <c r="M372" s="33" t="str">
        <f t="shared" si="23"/>
        <v>BS</v>
      </c>
    </row>
    <row r="373" spans="1:13" s="33" customFormat="true" ht="12.75" customHeight="true">
      <c r="A373" s="33" t="str">
        <f t="shared" si="20"/>
        <v>BVI - Fixed Assets</v>
      </c>
      <c r="B373" s="33" t="str">
        <f t="shared" si="21"/>
        <v>BVI</v>
      </c>
      <c r="C373" s="33" t="str">
        <f t="shared" si="22"/>
        <v>16501-0862</v>
      </c>
      <c r="D373" s="64" t="s">
        <v>555</v>
      </c>
      <c r="E373" s="64" t="s">
        <v>298</v>
      </c>
      <c r="F373" s="64" t="s">
        <v>547</v>
      </c>
      <c r="G373" s="64" t="s">
        <v>62</v>
      </c>
      <c r="H373" s="64" t="s">
        <v>63</v>
      </c>
      <c r="I373" s="64" t="s">
        <v>64</v>
      </c>
      <c r="J373" s="67">
        <v>0</v>
      </c>
      <c r="K373" s="62">
        <v>720000.06</v>
      </c>
      <c r="L373" s="33" t="e">
        <f>HLOOKUP(B373,#REF!,1,0)</f>
        <v>#REF!</v>
      </c>
      <c r="M373" s="33" t="str">
        <f t="shared" si="23"/>
        <v>BS</v>
      </c>
    </row>
    <row r="374" spans="1:13" s="33" customFormat="true" ht="12.75" customHeight="true">
      <c r="A374" s="33" t="str">
        <f t="shared" si="20"/>
        <v>BVI - Fixed Assets</v>
      </c>
      <c r="B374" s="33" t="str">
        <f t="shared" si="21"/>
        <v>BVI</v>
      </c>
      <c r="C374" s="33" t="str">
        <f t="shared" si="22"/>
        <v>16501-7780</v>
      </c>
      <c r="D374" s="64" t="s">
        <v>556</v>
      </c>
      <c r="E374" s="64" t="s">
        <v>298</v>
      </c>
      <c r="F374" s="64" t="s">
        <v>547</v>
      </c>
      <c r="G374" s="64" t="s">
        <v>62</v>
      </c>
      <c r="H374" s="64" t="s">
        <v>63</v>
      </c>
      <c r="I374" s="64" t="s">
        <v>64</v>
      </c>
      <c r="J374" s="67">
        <v>0</v>
      </c>
      <c r="K374" s="62">
        <v>470000</v>
      </c>
      <c r="L374" s="33" t="e">
        <f>HLOOKUP(B374,#REF!,1,0)</f>
        <v>#REF!</v>
      </c>
      <c r="M374" s="33" t="str">
        <f t="shared" si="23"/>
        <v>BS</v>
      </c>
    </row>
    <row r="375" spans="1:13" s="33" customFormat="true" ht="12.75" customHeight="true">
      <c r="A375" s="33" t="str">
        <f t="shared" si="20"/>
        <v>BVI - Fixed Assets</v>
      </c>
      <c r="B375" s="33" t="str">
        <f t="shared" si="21"/>
        <v>BVI</v>
      </c>
      <c r="C375" s="33" t="str">
        <f t="shared" si="22"/>
        <v>18502-0000</v>
      </c>
      <c r="D375" s="64" t="s">
        <v>557</v>
      </c>
      <c r="E375" s="64" t="s">
        <v>304</v>
      </c>
      <c r="F375" s="64" t="s">
        <v>547</v>
      </c>
      <c r="G375" s="64" t="s">
        <v>62</v>
      </c>
      <c r="H375" s="64" t="s">
        <v>63</v>
      </c>
      <c r="I375" s="64" t="s">
        <v>81</v>
      </c>
      <c r="J375" s="67">
        <v>0</v>
      </c>
      <c r="K375" s="62">
        <v>12219.7</v>
      </c>
      <c r="L375" s="33" t="e">
        <f>HLOOKUP(B375,#REF!,1,0)</f>
        <v>#REF!</v>
      </c>
      <c r="M375" s="33" t="str">
        <f t="shared" si="23"/>
        <v>BS</v>
      </c>
    </row>
    <row r="376" spans="1:13" s="33" customFormat="true" ht="12.75" customHeight="true">
      <c r="A376" s="33" t="str">
        <f t="shared" si="20"/>
        <v>BVI - AP-Accr Exp</v>
      </c>
      <c r="B376" s="33" t="str">
        <f t="shared" si="21"/>
        <v>BVI</v>
      </c>
      <c r="C376" s="33" t="str">
        <f t="shared" si="22"/>
        <v>20100-0000</v>
      </c>
      <c r="D376" s="64" t="s">
        <v>558</v>
      </c>
      <c r="E376" s="64" t="s">
        <v>96</v>
      </c>
      <c r="F376" s="64" t="s">
        <v>547</v>
      </c>
      <c r="G376" s="64" t="s">
        <v>97</v>
      </c>
      <c r="H376" s="64" t="s">
        <v>98</v>
      </c>
      <c r="I376" s="64" t="s">
        <v>99</v>
      </c>
      <c r="J376" s="67">
        <v>0</v>
      </c>
      <c r="K376" s="62">
        <v>-350</v>
      </c>
      <c r="L376" s="33" t="e">
        <f>HLOOKUP(B376,#REF!,1,0)</f>
        <v>#REF!</v>
      </c>
      <c r="M376" s="33" t="str">
        <f t="shared" si="23"/>
        <v>BS</v>
      </c>
    </row>
    <row r="377" spans="1:13" s="33" customFormat="true" ht="12.75" customHeight="true">
      <c r="A377" s="33" t="str">
        <f t="shared" si="20"/>
        <v>BVI - AP-Accr Exp</v>
      </c>
      <c r="B377" s="33" t="str">
        <f t="shared" si="21"/>
        <v>BVI</v>
      </c>
      <c r="C377" s="33" t="str">
        <f t="shared" si="22"/>
        <v>24501-0000</v>
      </c>
      <c r="D377" s="64" t="s">
        <v>559</v>
      </c>
      <c r="E377" s="64" t="s">
        <v>560</v>
      </c>
      <c r="F377" s="64" t="s">
        <v>547</v>
      </c>
      <c r="G377" s="64" t="s">
        <v>97</v>
      </c>
      <c r="H377" s="64" t="s">
        <v>98</v>
      </c>
      <c r="I377" s="64" t="s">
        <v>128</v>
      </c>
      <c r="J377" s="67">
        <v>0</v>
      </c>
      <c r="K377" s="62">
        <v>-13414.26</v>
      </c>
      <c r="L377" s="33" t="e">
        <f>HLOOKUP(B377,#REF!,1,0)</f>
        <v>#REF!</v>
      </c>
      <c r="M377" s="33" t="str">
        <f t="shared" si="23"/>
        <v>BS</v>
      </c>
    </row>
    <row r="378" spans="1:13" s="33" customFormat="true" ht="12.75" customHeight="true">
      <c r="A378" s="33" t="str">
        <f t="shared" si="20"/>
        <v>BVI - AP-Accr Exp</v>
      </c>
      <c r="B378" s="33" t="str">
        <f t="shared" si="21"/>
        <v>BVI</v>
      </c>
      <c r="C378" s="33" t="str">
        <f t="shared" si="22"/>
        <v>25500-0000</v>
      </c>
      <c r="D378" s="64" t="s">
        <v>561</v>
      </c>
      <c r="E378" s="64" t="s">
        <v>122</v>
      </c>
      <c r="F378" s="64" t="s">
        <v>562</v>
      </c>
      <c r="G378" s="64" t="s">
        <v>123</v>
      </c>
      <c r="H378" s="64" t="s">
        <v>98</v>
      </c>
      <c r="I378" s="64" t="s">
        <v>124</v>
      </c>
      <c r="J378" s="67">
        <v>0</v>
      </c>
      <c r="K378" s="62">
        <v>166019</v>
      </c>
      <c r="L378" s="33" t="e">
        <f>HLOOKUP(B378,#REF!,1,0)</f>
        <v>#REF!</v>
      </c>
      <c r="M378" s="33" t="str">
        <f t="shared" si="23"/>
        <v>BS</v>
      </c>
    </row>
    <row r="379" spans="1:13" s="33" customFormat="true" ht="12.75" customHeight="true">
      <c r="A379" s="33" t="str">
        <f t="shared" si="20"/>
        <v>BVI - Principal</v>
      </c>
      <c r="B379" s="33" t="str">
        <f t="shared" si="21"/>
        <v>BVI</v>
      </c>
      <c r="C379" s="33" t="str">
        <f t="shared" si="22"/>
        <v>26001-0000</v>
      </c>
      <c r="D379" s="64" t="s">
        <v>563</v>
      </c>
      <c r="E379" s="64" t="s">
        <v>126</v>
      </c>
      <c r="F379" s="64" t="s">
        <v>547</v>
      </c>
      <c r="G379" s="64" t="s">
        <v>97</v>
      </c>
      <c r="H379" s="64" t="s">
        <v>127</v>
      </c>
      <c r="I379" s="64" t="s">
        <v>128</v>
      </c>
      <c r="J379" s="67">
        <v>0</v>
      </c>
      <c r="K379" s="62">
        <v>-77689.04</v>
      </c>
      <c r="L379" s="33" t="e">
        <f>HLOOKUP(B379,#REF!,1,0)</f>
        <v>#REF!</v>
      </c>
      <c r="M379" s="33" t="str">
        <f t="shared" si="23"/>
        <v>BS</v>
      </c>
    </row>
    <row r="380" spans="1:13" s="33" customFormat="true" ht="12.75" customHeight="true">
      <c r="A380" s="33" t="str">
        <f t="shared" si="20"/>
        <v>BVI - Principal</v>
      </c>
      <c r="B380" s="33" t="str">
        <f t="shared" si="21"/>
        <v>BVI</v>
      </c>
      <c r="C380" s="33" t="str">
        <f t="shared" si="22"/>
        <v>28003-0000</v>
      </c>
      <c r="D380" s="64" t="s">
        <v>564</v>
      </c>
      <c r="E380" s="64" t="s">
        <v>565</v>
      </c>
      <c r="F380" s="64" t="s">
        <v>547</v>
      </c>
      <c r="G380" s="64" t="s">
        <v>123</v>
      </c>
      <c r="H380" s="64" t="s">
        <v>127</v>
      </c>
      <c r="I380" s="64" t="s">
        <v>133</v>
      </c>
      <c r="J380" s="67">
        <v>6860.56</v>
      </c>
      <c r="K380" s="62">
        <v>-2837632.97</v>
      </c>
      <c r="L380" s="33" t="e">
        <f>HLOOKUP(B380,#REF!,1,0)</f>
        <v>#REF!</v>
      </c>
      <c r="M380" s="33" t="str">
        <f t="shared" si="23"/>
        <v>BS</v>
      </c>
    </row>
    <row r="381" spans="1:13" s="33" customFormat="true" ht="12.75" customHeight="true">
      <c r="A381" s="33" t="str">
        <f t="shared" si="20"/>
        <v>BVI - Principal</v>
      </c>
      <c r="B381" s="33" t="str">
        <f t="shared" si="21"/>
        <v>BVI</v>
      </c>
      <c r="C381" s="33" t="str">
        <f t="shared" si="22"/>
        <v>28801-0000</v>
      </c>
      <c r="D381" s="64" t="s">
        <v>566</v>
      </c>
      <c r="E381" s="64" t="s">
        <v>567</v>
      </c>
      <c r="F381" s="64" t="s">
        <v>547</v>
      </c>
      <c r="G381" s="64" t="s">
        <v>123</v>
      </c>
      <c r="H381" s="64" t="s">
        <v>127</v>
      </c>
      <c r="I381" s="64" t="s">
        <v>102</v>
      </c>
      <c r="J381" s="67">
        <v>0</v>
      </c>
      <c r="K381" s="62">
        <v>-272294.63</v>
      </c>
      <c r="L381" s="33" t="e">
        <f>HLOOKUP(B381,#REF!,1,0)</f>
        <v>#REF!</v>
      </c>
      <c r="M381" s="33" t="str">
        <f t="shared" si="23"/>
        <v>BS</v>
      </c>
    </row>
    <row r="382" spans="1:13" s="33" customFormat="true" ht="12.75" customHeight="true">
      <c r="A382" s="33" t="str">
        <f t="shared" si="20"/>
        <v>BVI - Principal</v>
      </c>
      <c r="B382" s="33" t="str">
        <f t="shared" si="21"/>
        <v>BVI</v>
      </c>
      <c r="C382" s="33" t="str">
        <f t="shared" si="22"/>
        <v>28802-0000</v>
      </c>
      <c r="D382" s="64" t="s">
        <v>568</v>
      </c>
      <c r="E382" s="64" t="s">
        <v>569</v>
      </c>
      <c r="F382" s="64" t="s">
        <v>547</v>
      </c>
      <c r="G382" s="64" t="s">
        <v>123</v>
      </c>
      <c r="H382" s="64" t="s">
        <v>127</v>
      </c>
      <c r="I382" s="64" t="s">
        <v>102</v>
      </c>
      <c r="J382" s="67">
        <v>0</v>
      </c>
      <c r="K382" s="62">
        <v>272294.63</v>
      </c>
      <c r="L382" s="33" t="e">
        <f>HLOOKUP(B382,#REF!,1,0)</f>
        <v>#REF!</v>
      </c>
      <c r="M382" s="33" t="str">
        <f t="shared" si="23"/>
        <v>BS</v>
      </c>
    </row>
    <row r="383" spans="1:13" s="33" customFormat="true" ht="12.75" customHeight="true">
      <c r="A383" s="33" t="str">
        <f t="shared" si="20"/>
        <v>BVI - Retained Earnings</v>
      </c>
      <c r="B383" s="33" t="str">
        <f t="shared" si="21"/>
        <v>BVI</v>
      </c>
      <c r="C383" s="33" t="str">
        <f t="shared" si="22"/>
        <v>32000-0000</v>
      </c>
      <c r="D383" s="64" t="s">
        <v>570</v>
      </c>
      <c r="E383" s="64" t="s">
        <v>234</v>
      </c>
      <c r="F383" s="64" t="s">
        <v>547</v>
      </c>
      <c r="G383" s="64" t="s">
        <v>142</v>
      </c>
      <c r="H383" s="64" t="s">
        <v>149</v>
      </c>
      <c r="I383" s="64" t="s">
        <v>150</v>
      </c>
      <c r="J383" s="67">
        <v>0</v>
      </c>
      <c r="K383" s="62">
        <v>865483.52</v>
      </c>
      <c r="L383" s="33" t="e">
        <f>HLOOKUP(B383,#REF!,1,0)</f>
        <v>#REF!</v>
      </c>
      <c r="M383" s="33" t="str">
        <f t="shared" si="23"/>
        <v>BS</v>
      </c>
    </row>
    <row r="384" spans="1:13" s="33" customFormat="true" ht="12.75" customHeight="true">
      <c r="A384" s="33" t="str">
        <f t="shared" si="20"/>
        <v>BVI - SH Dist</v>
      </c>
      <c r="B384" s="33" t="str">
        <f t="shared" si="21"/>
        <v>BVI</v>
      </c>
      <c r="C384" s="33" t="str">
        <f t="shared" si="22"/>
        <v>37001-0000</v>
      </c>
      <c r="D384" s="64" t="s">
        <v>571</v>
      </c>
      <c r="E384" s="64" t="s">
        <v>572</v>
      </c>
      <c r="F384" s="64" t="s">
        <v>547</v>
      </c>
      <c r="G384" s="64" t="s">
        <v>142</v>
      </c>
      <c r="H384" s="64" t="s">
        <v>143</v>
      </c>
      <c r="I384" s="64" t="s">
        <v>144</v>
      </c>
      <c r="J384" s="67">
        <v>0</v>
      </c>
      <c r="K384" s="62">
        <v>22000</v>
      </c>
      <c r="L384" s="33" t="e">
        <f>HLOOKUP(B384,#REF!,1,0)</f>
        <v>#REF!</v>
      </c>
      <c r="M384" s="33" t="str">
        <f t="shared" si="23"/>
        <v>BS</v>
      </c>
    </row>
    <row r="385" spans="1:13" s="33" customFormat="true" ht="12.75" customHeight="true">
      <c r="A385" s="33" t="str">
        <f t="shared" si="20"/>
        <v>CDP - Cash</v>
      </c>
      <c r="B385" s="33" t="str">
        <f t="shared" si="21"/>
        <v>CDP</v>
      </c>
      <c r="C385" s="33" t="str">
        <f t="shared" si="22"/>
        <v>10021-0000</v>
      </c>
      <c r="D385" s="64" t="s">
        <v>573</v>
      </c>
      <c r="E385" s="64" t="s">
        <v>546</v>
      </c>
      <c r="F385" s="64" t="s">
        <v>574</v>
      </c>
      <c r="G385" s="64" t="s">
        <v>16</v>
      </c>
      <c r="H385" s="64" t="s">
        <v>25</v>
      </c>
      <c r="I385" s="64" t="s">
        <v>18</v>
      </c>
      <c r="J385" s="67">
        <v>56702.43</v>
      </c>
      <c r="K385" s="62">
        <v>89607.91</v>
      </c>
      <c r="L385" s="33" t="e">
        <f>HLOOKUP(B385,#REF!,1,0)</f>
        <v>#REF!</v>
      </c>
      <c r="M385" s="33" t="str">
        <f t="shared" si="23"/>
        <v>BS</v>
      </c>
    </row>
    <row r="386" spans="1:13" s="33" customFormat="true" ht="12.75" customHeight="true">
      <c r="A386" s="33" t="str">
        <f t="shared" ref="A386:A449" si="24">B386&amp;" - "&amp;TRIM(H386)</f>
        <v>CDP - Intercompany</v>
      </c>
      <c r="B386" s="33" t="str">
        <f t="shared" ref="B386:B449" si="25">LEFT(D386,3)</f>
        <v>CDP</v>
      </c>
      <c r="C386" s="33" t="str">
        <f t="shared" ref="C386:C449" si="26">RIGHT(D386,10)</f>
        <v>11202-0000</v>
      </c>
      <c r="D386" s="64" t="s">
        <v>575</v>
      </c>
      <c r="E386" s="64" t="s">
        <v>576</v>
      </c>
      <c r="F386" s="64" t="s">
        <v>574</v>
      </c>
      <c r="G386" s="64" t="s">
        <v>16</v>
      </c>
      <c r="H386" s="64" t="s">
        <v>39</v>
      </c>
      <c r="I386" s="64" t="s">
        <v>40</v>
      </c>
      <c r="J386" s="67">
        <v>0</v>
      </c>
      <c r="K386" s="62">
        <v>-90.07</v>
      </c>
      <c r="L386" s="33" t="e">
        <f>HLOOKUP(B386,#REF!,1,0)</f>
        <v>#REF!</v>
      </c>
      <c r="M386" s="33" t="str">
        <f t="shared" ref="M386:M449" si="27">IF(VALUE(LEFT(C386,5))&gt;40000,"P&amp;L","BS")</f>
        <v>BS</v>
      </c>
    </row>
    <row r="387" spans="1:13" s="33" customFormat="true" ht="12.75" customHeight="true">
      <c r="A387" s="33" t="str">
        <f t="shared" si="24"/>
        <v>CDP - </v>
      </c>
      <c r="B387" s="33" t="str">
        <f t="shared" si="25"/>
        <v>CDP</v>
      </c>
      <c r="C387" s="33" t="str">
        <f t="shared" si="26"/>
        <v>11215-0000</v>
      </c>
      <c r="D387" s="64" t="s">
        <v>577</v>
      </c>
      <c r="E387" s="64" t="s">
        <v>578</v>
      </c>
      <c r="F387" s="64" t="s">
        <v>579</v>
      </c>
      <c r="G387" s="64" t="s">
        <v>580</v>
      </c>
      <c r="H387" s="64" t="s">
        <v>580</v>
      </c>
      <c r="I387" s="64" t="s">
        <v>40</v>
      </c>
      <c r="J387" s="67">
        <v>0</v>
      </c>
      <c r="K387" s="62">
        <v>-2719.07</v>
      </c>
      <c r="L387" s="33" t="e">
        <f>HLOOKUP(B387,#REF!,1,0)</f>
        <v>#REF!</v>
      </c>
      <c r="M387" s="33" t="str">
        <f t="shared" si="27"/>
        <v>BS</v>
      </c>
    </row>
    <row r="388" spans="1:13" s="33" customFormat="true" ht="12.75" customHeight="true">
      <c r="A388" s="33" t="str">
        <f t="shared" si="24"/>
        <v>CDP - AP-Accr Exp</v>
      </c>
      <c r="B388" s="33" t="str">
        <f t="shared" si="25"/>
        <v>CDP</v>
      </c>
      <c r="C388" s="33" t="str">
        <f t="shared" si="26"/>
        <v>20001-0000</v>
      </c>
      <c r="D388" s="64" t="s">
        <v>581</v>
      </c>
      <c r="E388" s="64" t="s">
        <v>96</v>
      </c>
      <c r="F388" s="64" t="s">
        <v>574</v>
      </c>
      <c r="G388" s="64" t="s">
        <v>97</v>
      </c>
      <c r="H388" s="64" t="s">
        <v>98</v>
      </c>
      <c r="I388" s="64" t="s">
        <v>99</v>
      </c>
      <c r="J388" s="67">
        <v>1993.8</v>
      </c>
      <c r="K388" s="62">
        <v>71063.77</v>
      </c>
      <c r="L388" s="33" t="e">
        <f>HLOOKUP(B388,#REF!,1,0)</f>
        <v>#REF!</v>
      </c>
      <c r="M388" s="33" t="str">
        <f t="shared" si="27"/>
        <v>BS</v>
      </c>
    </row>
    <row r="389" spans="1:13" s="33" customFormat="true" ht="12.75" customHeight="true">
      <c r="A389" s="33" t="str">
        <f t="shared" si="24"/>
        <v>CDP - Tax Accr</v>
      </c>
      <c r="B389" s="33" t="str">
        <f t="shared" si="25"/>
        <v>CDP</v>
      </c>
      <c r="C389" s="33" t="str">
        <f t="shared" si="26"/>
        <v>21310-0000</v>
      </c>
      <c r="D389" s="64" t="s">
        <v>582</v>
      </c>
      <c r="E389" s="64" t="s">
        <v>583</v>
      </c>
      <c r="F389" s="64" t="s">
        <v>574</v>
      </c>
      <c r="G389" s="64" t="s">
        <v>97</v>
      </c>
      <c r="H389" s="64" t="s">
        <v>105</v>
      </c>
      <c r="I389" s="64" t="s">
        <v>102</v>
      </c>
      <c r="J389" s="67">
        <v>0</v>
      </c>
      <c r="K389" s="62">
        <v>-8400</v>
      </c>
      <c r="L389" s="33" t="e">
        <f>HLOOKUP(B389,#REF!,1,0)</f>
        <v>#REF!</v>
      </c>
      <c r="M389" s="33" t="str">
        <f t="shared" si="27"/>
        <v>BS</v>
      </c>
    </row>
    <row r="390" spans="1:13" s="33" customFormat="true" ht="12.75" customHeight="true">
      <c r="A390" s="33" t="str">
        <f t="shared" si="24"/>
        <v>CDP - AP-Accr Exp</v>
      </c>
      <c r="B390" s="33" t="str">
        <f t="shared" si="25"/>
        <v>CDP</v>
      </c>
      <c r="C390" s="33" t="str">
        <f t="shared" si="26"/>
        <v>21500-0000</v>
      </c>
      <c r="D390" s="64" t="s">
        <v>584</v>
      </c>
      <c r="E390" s="64" t="s">
        <v>109</v>
      </c>
      <c r="F390" s="64" t="s">
        <v>574</v>
      </c>
      <c r="G390" s="64" t="s">
        <v>97</v>
      </c>
      <c r="H390" s="64" t="s">
        <v>98</v>
      </c>
      <c r="I390" s="64" t="s">
        <v>102</v>
      </c>
      <c r="J390" s="67">
        <v>0</v>
      </c>
      <c r="K390" s="62">
        <v>-3874.17</v>
      </c>
      <c r="L390" s="33" t="e">
        <f>HLOOKUP(B390,#REF!,1,0)</f>
        <v>#REF!</v>
      </c>
      <c r="M390" s="33" t="str">
        <f t="shared" si="27"/>
        <v>BS</v>
      </c>
    </row>
    <row r="391" spans="1:13" s="33" customFormat="true" ht="12.75" customHeight="true">
      <c r="A391" s="33" t="str">
        <f t="shared" si="24"/>
        <v>CDP - Principal</v>
      </c>
      <c r="B391" s="33" t="str">
        <f t="shared" si="25"/>
        <v>CDP</v>
      </c>
      <c r="C391" s="33" t="str">
        <f t="shared" si="26"/>
        <v>26700-0000</v>
      </c>
      <c r="D391" s="64" t="s">
        <v>585</v>
      </c>
      <c r="E391" s="64" t="s">
        <v>586</v>
      </c>
      <c r="F391" s="64" t="s">
        <v>574</v>
      </c>
      <c r="G391" s="64" t="s">
        <v>97</v>
      </c>
      <c r="H391" s="64" t="s">
        <v>127</v>
      </c>
      <c r="I391" s="64" t="s">
        <v>128</v>
      </c>
      <c r="J391" s="67">
        <v>0</v>
      </c>
      <c r="K391" s="62">
        <v>0</v>
      </c>
      <c r="L391" s="33" t="e">
        <f>HLOOKUP(B391,#REF!,1,0)</f>
        <v>#REF!</v>
      </c>
      <c r="M391" s="33" t="str">
        <f t="shared" si="27"/>
        <v>BS</v>
      </c>
    </row>
    <row r="392" spans="1:13" s="33" customFormat="true" ht="12.75" customHeight="true">
      <c r="A392" s="33" t="str">
        <f t="shared" si="24"/>
        <v>CDP - Retained Earnings</v>
      </c>
      <c r="B392" s="33" t="str">
        <f t="shared" si="25"/>
        <v>CDP</v>
      </c>
      <c r="C392" s="33" t="str">
        <f t="shared" si="26"/>
        <v>32000-0000</v>
      </c>
      <c r="D392" s="64" t="s">
        <v>587</v>
      </c>
      <c r="E392" s="64" t="s">
        <v>234</v>
      </c>
      <c r="F392" s="64" t="s">
        <v>574</v>
      </c>
      <c r="G392" s="64" t="s">
        <v>142</v>
      </c>
      <c r="H392" s="64" t="s">
        <v>149</v>
      </c>
      <c r="I392" s="64" t="s">
        <v>150</v>
      </c>
      <c r="J392" s="67">
        <v>0</v>
      </c>
      <c r="K392" s="62">
        <v>-2365912.19</v>
      </c>
      <c r="L392" s="33" t="e">
        <f>HLOOKUP(B392,#REF!,1,0)</f>
        <v>#REF!</v>
      </c>
      <c r="M392" s="33" t="str">
        <f t="shared" si="27"/>
        <v>BS</v>
      </c>
    </row>
    <row r="393" spans="1:13" s="33" customFormat="true" ht="12.75" customHeight="true">
      <c r="A393" s="33" t="str">
        <f t="shared" si="24"/>
        <v>CDP - SH Dist</v>
      </c>
      <c r="B393" s="33" t="str">
        <f t="shared" si="25"/>
        <v>CDP</v>
      </c>
      <c r="C393" s="33" t="str">
        <f t="shared" si="26"/>
        <v>36001-0000</v>
      </c>
      <c r="D393" s="64" t="s">
        <v>588</v>
      </c>
      <c r="E393" s="64" t="s">
        <v>589</v>
      </c>
      <c r="F393" s="64" t="s">
        <v>574</v>
      </c>
      <c r="G393" s="64" t="s">
        <v>142</v>
      </c>
      <c r="H393" s="64" t="s">
        <v>143</v>
      </c>
      <c r="I393" s="64" t="s">
        <v>144</v>
      </c>
      <c r="J393" s="67">
        <v>0</v>
      </c>
      <c r="K393" s="62">
        <v>2398000</v>
      </c>
      <c r="L393" s="33" t="e">
        <f>HLOOKUP(B393,#REF!,1,0)</f>
        <v>#REF!</v>
      </c>
      <c r="M393" s="33" t="str">
        <f t="shared" si="27"/>
        <v>BS</v>
      </c>
    </row>
    <row r="394" spans="1:13" s="33" customFormat="true" ht="12.75" customHeight="true">
      <c r="A394" s="33" t="str">
        <f t="shared" si="24"/>
        <v>CHA - Cash</v>
      </c>
      <c r="B394" s="33" t="str">
        <f t="shared" si="25"/>
        <v>CHA</v>
      </c>
      <c r="C394" s="33" t="str">
        <f t="shared" si="26"/>
        <v>10001-0000</v>
      </c>
      <c r="D394" s="64" t="s">
        <v>590</v>
      </c>
      <c r="E394" s="64" t="s">
        <v>240</v>
      </c>
      <c r="F394" s="64" t="s">
        <v>230</v>
      </c>
      <c r="G394" s="64" t="s">
        <v>16</v>
      </c>
      <c r="H394" s="64" t="s">
        <v>25</v>
      </c>
      <c r="I394" s="64" t="s">
        <v>18</v>
      </c>
      <c r="J394" s="67">
        <v>4903.05</v>
      </c>
      <c r="K394" s="62">
        <v>50080.15</v>
      </c>
      <c r="L394" s="33" t="e">
        <f>HLOOKUP(B394,#REF!,1,0)</f>
        <v>#REF!</v>
      </c>
      <c r="M394" s="33" t="str">
        <f t="shared" si="27"/>
        <v>BS</v>
      </c>
    </row>
    <row r="395" spans="1:13" s="33" customFormat="true" ht="12.75" customHeight="true">
      <c r="A395" s="33" t="str">
        <f t="shared" si="24"/>
        <v>CHA - CASH</v>
      </c>
      <c r="B395" s="33" t="str">
        <f t="shared" si="25"/>
        <v>CHA</v>
      </c>
      <c r="C395" s="33" t="str">
        <f t="shared" si="26"/>
        <v>10003-0000</v>
      </c>
      <c r="D395" s="64" t="s">
        <v>591</v>
      </c>
      <c r="E395" s="64" t="s">
        <v>357</v>
      </c>
      <c r="F395" s="64" t="s">
        <v>230</v>
      </c>
      <c r="G395" s="64" t="s">
        <v>16</v>
      </c>
      <c r="H395" s="64" t="s">
        <v>358</v>
      </c>
      <c r="I395" s="64" t="s">
        <v>18</v>
      </c>
      <c r="J395" s="67">
        <v>0</v>
      </c>
      <c r="K395" s="62">
        <v>70</v>
      </c>
      <c r="L395" s="33" t="e">
        <f>HLOOKUP(B395,#REF!,1,0)</f>
        <v>#REF!</v>
      </c>
      <c r="M395" s="33" t="str">
        <f t="shared" si="27"/>
        <v>BS</v>
      </c>
    </row>
    <row r="396" spans="1:13" s="33" customFormat="true" ht="12.75" customHeight="true">
      <c r="A396" s="33" t="str">
        <f t="shared" si="24"/>
        <v>CHA - Intercompany</v>
      </c>
      <c r="B396" s="33" t="str">
        <f t="shared" si="25"/>
        <v>CHA</v>
      </c>
      <c r="C396" s="33" t="str">
        <f t="shared" si="26"/>
        <v>11216-0000</v>
      </c>
      <c r="D396" s="64" t="s">
        <v>592</v>
      </c>
      <c r="E396" s="64" t="s">
        <v>242</v>
      </c>
      <c r="F396" s="64" t="s">
        <v>230</v>
      </c>
      <c r="G396" s="64" t="s">
        <v>16</v>
      </c>
      <c r="H396" s="64" t="s">
        <v>39</v>
      </c>
      <c r="I396" s="64" t="s">
        <v>40</v>
      </c>
      <c r="J396" s="67">
        <v>14.96</v>
      </c>
      <c r="K396" s="62">
        <v>115934.38</v>
      </c>
      <c r="L396" s="33" t="e">
        <f>HLOOKUP(B396,#REF!,1,0)</f>
        <v>#REF!</v>
      </c>
      <c r="M396" s="33" t="str">
        <f t="shared" si="27"/>
        <v>BS</v>
      </c>
    </row>
    <row r="397" spans="1:13" s="33" customFormat="true" ht="12.75" customHeight="true">
      <c r="A397" s="33" t="str">
        <f t="shared" si="24"/>
        <v>CHA - Intercompany</v>
      </c>
      <c r="B397" s="33" t="str">
        <f t="shared" si="25"/>
        <v>CHA</v>
      </c>
      <c r="C397" s="33" t="str">
        <f t="shared" si="26"/>
        <v>11305-0000</v>
      </c>
      <c r="D397" s="64" t="s">
        <v>593</v>
      </c>
      <c r="E397" s="64" t="s">
        <v>594</v>
      </c>
      <c r="F397" s="64" t="s">
        <v>230</v>
      </c>
      <c r="G397" s="64" t="s">
        <v>16</v>
      </c>
      <c r="H397" s="64" t="s">
        <v>39</v>
      </c>
      <c r="I397" s="64" t="s">
        <v>40</v>
      </c>
      <c r="J397" s="67">
        <v>0</v>
      </c>
      <c r="K397" s="62">
        <v>50300</v>
      </c>
      <c r="L397" s="33" t="e">
        <f>HLOOKUP(B397,#REF!,1,0)</f>
        <v>#REF!</v>
      </c>
      <c r="M397" s="33" t="str">
        <f t="shared" si="27"/>
        <v>BS</v>
      </c>
    </row>
    <row r="398" spans="1:13" s="33" customFormat="true" ht="12.75" customHeight="true">
      <c r="A398" s="33" t="str">
        <f t="shared" si="24"/>
        <v>CHA - Intercompany</v>
      </c>
      <c r="B398" s="33" t="str">
        <f t="shared" si="25"/>
        <v>CHA</v>
      </c>
      <c r="C398" s="33" t="str">
        <f t="shared" si="26"/>
        <v>11317-0000</v>
      </c>
      <c r="D398" s="64" t="s">
        <v>595</v>
      </c>
      <c r="E398" s="64" t="s">
        <v>368</v>
      </c>
      <c r="F398" s="64" t="s">
        <v>230</v>
      </c>
      <c r="G398" s="64" t="s">
        <v>16</v>
      </c>
      <c r="H398" s="64" t="s">
        <v>39</v>
      </c>
      <c r="I398" s="64" t="s">
        <v>40</v>
      </c>
      <c r="J398" s="67">
        <v>0</v>
      </c>
      <c r="K398" s="62">
        <v>-30000</v>
      </c>
      <c r="L398" s="33" t="e">
        <f>HLOOKUP(B398,#REF!,1,0)</f>
        <v>#REF!</v>
      </c>
      <c r="M398" s="33" t="str">
        <f t="shared" si="27"/>
        <v>BS</v>
      </c>
    </row>
    <row r="399" spans="1:13" s="33" customFormat="true" ht="12.75" customHeight="true">
      <c r="A399" s="33" t="str">
        <f t="shared" si="24"/>
        <v>CHA - Intercompany</v>
      </c>
      <c r="B399" s="33" t="str">
        <f t="shared" si="25"/>
        <v>CHA</v>
      </c>
      <c r="C399" s="33" t="str">
        <f t="shared" si="26"/>
        <v>11321-0000</v>
      </c>
      <c r="D399" s="64" t="s">
        <v>596</v>
      </c>
      <c r="E399" s="64" t="s">
        <v>268</v>
      </c>
      <c r="F399" s="64" t="s">
        <v>230</v>
      </c>
      <c r="G399" s="64" t="s">
        <v>16</v>
      </c>
      <c r="H399" s="64" t="s">
        <v>39</v>
      </c>
      <c r="I399" s="64" t="s">
        <v>40</v>
      </c>
      <c r="J399" s="67">
        <v>0</v>
      </c>
      <c r="K399" s="62">
        <v>20000</v>
      </c>
      <c r="L399" s="33" t="e">
        <f>HLOOKUP(B399,#REF!,1,0)</f>
        <v>#REF!</v>
      </c>
      <c r="M399" s="33" t="str">
        <f t="shared" si="27"/>
        <v>BS</v>
      </c>
    </row>
    <row r="400" spans="1:13" s="33" customFormat="true" ht="12.75" customHeight="true">
      <c r="A400" s="33" t="str">
        <f t="shared" si="24"/>
        <v>CHA - Intercompany</v>
      </c>
      <c r="B400" s="33" t="str">
        <f t="shared" si="25"/>
        <v>CHA</v>
      </c>
      <c r="C400" s="33" t="str">
        <f t="shared" si="26"/>
        <v>11333-0000</v>
      </c>
      <c r="D400" s="64" t="s">
        <v>597</v>
      </c>
      <c r="E400" s="64" t="s">
        <v>598</v>
      </c>
      <c r="F400" s="64" t="s">
        <v>230</v>
      </c>
      <c r="G400" s="64" t="s">
        <v>362</v>
      </c>
      <c r="H400" s="64" t="s">
        <v>39</v>
      </c>
      <c r="I400" s="64" t="s">
        <v>40</v>
      </c>
      <c r="J400" s="67">
        <v>0</v>
      </c>
      <c r="K400" s="62">
        <v>10000</v>
      </c>
      <c r="L400" s="33" t="e">
        <f>HLOOKUP(B400,#REF!,1,0)</f>
        <v>#REF!</v>
      </c>
      <c r="M400" s="33" t="str">
        <f t="shared" si="27"/>
        <v>BS</v>
      </c>
    </row>
    <row r="401" spans="1:13" s="33" customFormat="true" ht="12.75" customHeight="true">
      <c r="A401" s="33" t="str">
        <f t="shared" si="24"/>
        <v>CHA - Intercompany</v>
      </c>
      <c r="B401" s="33" t="str">
        <f t="shared" si="25"/>
        <v>CHA</v>
      </c>
      <c r="C401" s="33" t="str">
        <f t="shared" si="26"/>
        <v>11343-0000</v>
      </c>
      <c r="D401" s="64" t="s">
        <v>599</v>
      </c>
      <c r="E401" s="64" t="s">
        <v>600</v>
      </c>
      <c r="F401" s="64" t="s">
        <v>230</v>
      </c>
      <c r="G401" s="64" t="s">
        <v>16</v>
      </c>
      <c r="H401" s="64" t="s">
        <v>39</v>
      </c>
      <c r="I401" s="64" t="s">
        <v>40</v>
      </c>
      <c r="J401" s="67">
        <v>0</v>
      </c>
      <c r="K401" s="62">
        <v>-30100</v>
      </c>
      <c r="L401" s="33" t="e">
        <f>HLOOKUP(B401,#REF!,1,0)</f>
        <v>#REF!</v>
      </c>
      <c r="M401" s="33" t="str">
        <f t="shared" si="27"/>
        <v>BS</v>
      </c>
    </row>
    <row r="402" spans="1:13" s="33" customFormat="true" ht="12.75" customHeight="true">
      <c r="A402" s="33" t="str">
        <f t="shared" si="24"/>
        <v>CHA - AR-PPD</v>
      </c>
      <c r="B402" s="33" t="str">
        <f t="shared" si="25"/>
        <v>CHA</v>
      </c>
      <c r="C402" s="33" t="str">
        <f t="shared" si="26"/>
        <v>12200-0000</v>
      </c>
      <c r="D402" s="64" t="s">
        <v>601</v>
      </c>
      <c r="E402" s="64" t="s">
        <v>294</v>
      </c>
      <c r="F402" s="64" t="s">
        <v>230</v>
      </c>
      <c r="G402" s="64" t="s">
        <v>62</v>
      </c>
      <c r="H402" s="64" t="s">
        <v>35</v>
      </c>
      <c r="I402" s="64" t="s">
        <v>64</v>
      </c>
      <c r="J402" s="67">
        <v>0</v>
      </c>
      <c r="K402" s="62">
        <v>56217</v>
      </c>
      <c r="L402" s="33" t="e">
        <f>HLOOKUP(B402,#REF!,1,0)</f>
        <v>#REF!</v>
      </c>
      <c r="M402" s="33" t="str">
        <f t="shared" si="27"/>
        <v>BS</v>
      </c>
    </row>
    <row r="403" spans="1:13" s="33" customFormat="true" ht="12.75" customHeight="true">
      <c r="A403" s="33" t="str">
        <f t="shared" si="24"/>
        <v>CHA - Fixed Assets</v>
      </c>
      <c r="B403" s="33" t="str">
        <f t="shared" si="25"/>
        <v>CHA</v>
      </c>
      <c r="C403" s="33" t="str">
        <f t="shared" si="26"/>
        <v>14000-0000</v>
      </c>
      <c r="D403" s="64" t="s">
        <v>602</v>
      </c>
      <c r="E403" s="64" t="s">
        <v>298</v>
      </c>
      <c r="F403" s="64" t="s">
        <v>230</v>
      </c>
      <c r="G403" s="64" t="s">
        <v>62</v>
      </c>
      <c r="H403" s="64" t="s">
        <v>63</v>
      </c>
      <c r="I403" s="64" t="s">
        <v>64</v>
      </c>
      <c r="J403" s="67">
        <v>0</v>
      </c>
      <c r="K403" s="62">
        <v>831583</v>
      </c>
      <c r="L403" s="33" t="e">
        <f>HLOOKUP(B403,#REF!,1,0)</f>
        <v>#REF!</v>
      </c>
      <c r="M403" s="33" t="str">
        <f t="shared" si="27"/>
        <v>BS</v>
      </c>
    </row>
    <row r="404" spans="1:13" s="33" customFormat="true" ht="12.75" customHeight="true">
      <c r="A404" s="33" t="str">
        <f t="shared" si="24"/>
        <v>CHA - Fixed Assets</v>
      </c>
      <c r="B404" s="33" t="str">
        <f t="shared" si="25"/>
        <v>CHA</v>
      </c>
      <c r="C404" s="33" t="str">
        <f t="shared" si="26"/>
        <v>15000-0000</v>
      </c>
      <c r="D404" s="64" t="s">
        <v>603</v>
      </c>
      <c r="E404" s="64" t="s">
        <v>300</v>
      </c>
      <c r="F404" s="64" t="s">
        <v>230</v>
      </c>
      <c r="G404" s="64" t="s">
        <v>62</v>
      </c>
      <c r="H404" s="64" t="s">
        <v>63</v>
      </c>
      <c r="I404" s="64" t="s">
        <v>64</v>
      </c>
      <c r="J404" s="67">
        <v>0</v>
      </c>
      <c r="K404" s="62">
        <v>1663417</v>
      </c>
      <c r="L404" s="33" t="e">
        <f>HLOOKUP(B404,#REF!,1,0)</f>
        <v>#REF!</v>
      </c>
      <c r="M404" s="33" t="str">
        <f t="shared" si="27"/>
        <v>BS</v>
      </c>
    </row>
    <row r="405" spans="1:13" s="33" customFormat="true" ht="12.75" customHeight="true">
      <c r="A405" s="33" t="str">
        <f t="shared" si="24"/>
        <v>CHA - Fixed Assets</v>
      </c>
      <c r="B405" s="33" t="str">
        <f t="shared" si="25"/>
        <v>CHA</v>
      </c>
      <c r="C405" s="33" t="str">
        <f t="shared" si="26"/>
        <v>15500-0000</v>
      </c>
      <c r="D405" s="64" t="s">
        <v>604</v>
      </c>
      <c r="E405" s="64" t="s">
        <v>302</v>
      </c>
      <c r="F405" s="64" t="s">
        <v>230</v>
      </c>
      <c r="G405" s="64" t="s">
        <v>62</v>
      </c>
      <c r="H405" s="64" t="s">
        <v>63</v>
      </c>
      <c r="I405" s="64" t="s">
        <v>64</v>
      </c>
      <c r="J405" s="67">
        <v>0</v>
      </c>
      <c r="K405" s="62">
        <v>220459.44</v>
      </c>
      <c r="L405" s="33" t="e">
        <f>HLOOKUP(B405,#REF!,1,0)</f>
        <v>#REF!</v>
      </c>
      <c r="M405" s="33" t="str">
        <f t="shared" si="27"/>
        <v>BS</v>
      </c>
    </row>
    <row r="406" spans="1:13" s="33" customFormat="true" ht="12.75" customHeight="true">
      <c r="A406" s="33" t="str">
        <f t="shared" si="24"/>
        <v>CHA - Fixed Assets</v>
      </c>
      <c r="B406" s="33" t="str">
        <f t="shared" si="25"/>
        <v>CHA</v>
      </c>
      <c r="C406" s="33" t="str">
        <f t="shared" si="26"/>
        <v>16000-0000</v>
      </c>
      <c r="D406" s="64" t="s">
        <v>605</v>
      </c>
      <c r="E406" s="64" t="s">
        <v>304</v>
      </c>
      <c r="F406" s="64" t="s">
        <v>230</v>
      </c>
      <c r="G406" s="64" t="s">
        <v>16</v>
      </c>
      <c r="H406" s="64" t="s">
        <v>63</v>
      </c>
      <c r="I406" s="64" t="s">
        <v>18</v>
      </c>
      <c r="J406" s="67">
        <v>0</v>
      </c>
      <c r="K406" s="62">
        <v>3923</v>
      </c>
      <c r="L406" s="33" t="e">
        <f>HLOOKUP(B406,#REF!,1,0)</f>
        <v>#REF!</v>
      </c>
      <c r="M406" s="33" t="str">
        <f t="shared" si="27"/>
        <v>BS</v>
      </c>
    </row>
    <row r="407" spans="1:13" s="33" customFormat="true" ht="12.75" customHeight="true">
      <c r="A407" s="33" t="str">
        <f t="shared" si="24"/>
        <v>CHA - Fixed Assets</v>
      </c>
      <c r="B407" s="33" t="str">
        <f t="shared" si="25"/>
        <v>CHA</v>
      </c>
      <c r="C407" s="33" t="str">
        <f t="shared" si="26"/>
        <v>17000-0000</v>
      </c>
      <c r="D407" s="64" t="s">
        <v>606</v>
      </c>
      <c r="E407" s="64" t="s">
        <v>306</v>
      </c>
      <c r="F407" s="64" t="s">
        <v>230</v>
      </c>
      <c r="G407" s="64" t="s">
        <v>62</v>
      </c>
      <c r="H407" s="64" t="s">
        <v>63</v>
      </c>
      <c r="I407" s="64" t="s">
        <v>64</v>
      </c>
      <c r="J407" s="67">
        <v>0</v>
      </c>
      <c r="K407" s="62">
        <v>-656376</v>
      </c>
      <c r="L407" s="33" t="e">
        <f>HLOOKUP(B407,#REF!,1,0)</f>
        <v>#REF!</v>
      </c>
      <c r="M407" s="33" t="str">
        <f t="shared" si="27"/>
        <v>BS</v>
      </c>
    </row>
    <row r="408" spans="1:13" s="33" customFormat="true" ht="12.75" customHeight="true">
      <c r="A408" s="33" t="str">
        <f t="shared" si="24"/>
        <v>CHA - Fixed Assets</v>
      </c>
      <c r="B408" s="33" t="str">
        <f t="shared" si="25"/>
        <v>CHA</v>
      </c>
      <c r="C408" s="33" t="str">
        <f t="shared" si="26"/>
        <v>18000-0000</v>
      </c>
      <c r="D408" s="64" t="s">
        <v>607</v>
      </c>
      <c r="E408" s="64" t="s">
        <v>308</v>
      </c>
      <c r="F408" s="64" t="s">
        <v>230</v>
      </c>
      <c r="G408" s="64" t="s">
        <v>62</v>
      </c>
      <c r="H408" s="64" t="s">
        <v>63</v>
      </c>
      <c r="I408" s="64" t="s">
        <v>64</v>
      </c>
      <c r="J408" s="67">
        <v>0</v>
      </c>
      <c r="K408" s="62">
        <v>-38865</v>
      </c>
      <c r="L408" s="33" t="e">
        <f>HLOOKUP(B408,#REF!,1,0)</f>
        <v>#REF!</v>
      </c>
      <c r="M408" s="33" t="str">
        <f t="shared" si="27"/>
        <v>BS</v>
      </c>
    </row>
    <row r="409" spans="1:13" s="33" customFormat="true" ht="12.75" customHeight="true">
      <c r="A409" s="33" t="str">
        <f t="shared" si="24"/>
        <v>CHA - Deposits</v>
      </c>
      <c r="B409" s="33" t="str">
        <f t="shared" si="25"/>
        <v>CHA</v>
      </c>
      <c r="C409" s="33" t="str">
        <f t="shared" si="26"/>
        <v>19000-0000</v>
      </c>
      <c r="D409" s="64" t="s">
        <v>608</v>
      </c>
      <c r="E409" s="64" t="s">
        <v>342</v>
      </c>
      <c r="F409" s="64" t="s">
        <v>230</v>
      </c>
      <c r="G409" s="64" t="s">
        <v>62</v>
      </c>
      <c r="H409" s="64" t="s">
        <v>80</v>
      </c>
      <c r="I409" s="64" t="s">
        <v>81</v>
      </c>
      <c r="J409" s="67">
        <v>0</v>
      </c>
      <c r="K409" s="62">
        <v>695</v>
      </c>
      <c r="L409" s="33" t="e">
        <f>HLOOKUP(B409,#REF!,1,0)</f>
        <v>#REF!</v>
      </c>
      <c r="M409" s="33" t="str">
        <f t="shared" si="27"/>
        <v>BS</v>
      </c>
    </row>
    <row r="410" spans="1:13" s="33" customFormat="true" ht="12.75" customHeight="true">
      <c r="A410" s="33" t="str">
        <f t="shared" si="24"/>
        <v>CHA - AP-Accr Exp</v>
      </c>
      <c r="B410" s="33" t="str">
        <f t="shared" si="25"/>
        <v>CHA</v>
      </c>
      <c r="C410" s="33" t="str">
        <f t="shared" si="26"/>
        <v>20001-0000</v>
      </c>
      <c r="D410" s="64" t="s">
        <v>609</v>
      </c>
      <c r="E410" s="64" t="s">
        <v>96</v>
      </c>
      <c r="F410" s="64" t="s">
        <v>230</v>
      </c>
      <c r="G410" s="64" t="s">
        <v>97</v>
      </c>
      <c r="H410" s="64" t="s">
        <v>98</v>
      </c>
      <c r="I410" s="64" t="s">
        <v>99</v>
      </c>
      <c r="J410" s="67">
        <v>2704.5</v>
      </c>
      <c r="K410" s="62">
        <v>0</v>
      </c>
      <c r="L410" s="33" t="e">
        <f>HLOOKUP(B410,#REF!,1,0)</f>
        <v>#REF!</v>
      </c>
      <c r="M410" s="33" t="str">
        <f t="shared" si="27"/>
        <v>BS</v>
      </c>
    </row>
    <row r="411" spans="1:13" s="33" customFormat="true" ht="12.75" customHeight="true">
      <c r="A411" s="33" t="str">
        <f t="shared" si="24"/>
        <v>CHA - AP-Accr Exp</v>
      </c>
      <c r="B411" s="33" t="str">
        <f t="shared" si="25"/>
        <v>CHA</v>
      </c>
      <c r="C411" s="33" t="str">
        <f t="shared" si="26"/>
        <v>23509-0000</v>
      </c>
      <c r="D411" s="64" t="s">
        <v>610</v>
      </c>
      <c r="E411" s="64" t="s">
        <v>111</v>
      </c>
      <c r="F411" s="64" t="s">
        <v>230</v>
      </c>
      <c r="G411" s="64" t="s">
        <v>97</v>
      </c>
      <c r="H411" s="64" t="s">
        <v>98</v>
      </c>
      <c r="I411" s="64" t="s">
        <v>102</v>
      </c>
      <c r="J411" s="67">
        <v>0</v>
      </c>
      <c r="K411" s="62">
        <v>0</v>
      </c>
      <c r="L411" s="33" t="e">
        <f>HLOOKUP(B411,#REF!,1,0)</f>
        <v>#REF!</v>
      </c>
      <c r="M411" s="33" t="str">
        <f t="shared" si="27"/>
        <v>BS</v>
      </c>
    </row>
    <row r="412" spans="1:13" s="33" customFormat="true" ht="12.75" customHeight="true">
      <c r="A412" s="33" t="str">
        <f t="shared" si="24"/>
        <v>CHA - AP-Accr Exp</v>
      </c>
      <c r="B412" s="33" t="str">
        <f t="shared" si="25"/>
        <v>CHA</v>
      </c>
      <c r="C412" s="33" t="str">
        <f t="shared" si="26"/>
        <v>24800-0000</v>
      </c>
      <c r="D412" s="64" t="s">
        <v>611</v>
      </c>
      <c r="E412" s="64" t="s">
        <v>232</v>
      </c>
      <c r="F412" s="64" t="s">
        <v>230</v>
      </c>
      <c r="G412" s="64" t="s">
        <v>97</v>
      </c>
      <c r="H412" s="64" t="s">
        <v>98</v>
      </c>
      <c r="I412" s="64" t="s">
        <v>102</v>
      </c>
      <c r="J412" s="67">
        <v>-1895</v>
      </c>
      <c r="K412" s="62">
        <v>-39746</v>
      </c>
      <c r="L412" s="33" t="e">
        <f>HLOOKUP(B412,#REF!,1,0)</f>
        <v>#REF!</v>
      </c>
      <c r="M412" s="33" t="str">
        <f t="shared" si="27"/>
        <v>BS</v>
      </c>
    </row>
    <row r="413" spans="1:13" s="33" customFormat="true" ht="12.75" customHeight="true">
      <c r="A413" s="33" t="str">
        <f t="shared" si="24"/>
        <v>CHA - AP-Accr Exp</v>
      </c>
      <c r="B413" s="33" t="str">
        <f t="shared" si="25"/>
        <v>CHA</v>
      </c>
      <c r="C413" s="33" t="str">
        <f t="shared" si="26"/>
        <v>24801-0000</v>
      </c>
      <c r="D413" s="64" t="s">
        <v>612</v>
      </c>
      <c r="E413" s="64" t="s">
        <v>399</v>
      </c>
      <c r="F413" s="64" t="s">
        <v>230</v>
      </c>
      <c r="G413" s="64" t="s">
        <v>97</v>
      </c>
      <c r="H413" s="64" t="s">
        <v>98</v>
      </c>
      <c r="I413" s="64" t="s">
        <v>102</v>
      </c>
      <c r="J413" s="67">
        <v>-500</v>
      </c>
      <c r="K413" s="62">
        <v>0</v>
      </c>
      <c r="L413" s="33" t="e">
        <f>HLOOKUP(B413,#REF!,1,0)</f>
        <v>#REF!</v>
      </c>
      <c r="M413" s="33" t="str">
        <f t="shared" si="27"/>
        <v>BS</v>
      </c>
    </row>
    <row r="414" spans="1:13" s="33" customFormat="true" ht="12.75" customHeight="true">
      <c r="A414" s="33" t="str">
        <f t="shared" si="24"/>
        <v>CHA - Principal</v>
      </c>
      <c r="B414" s="33" t="str">
        <f t="shared" si="25"/>
        <v>CHA</v>
      </c>
      <c r="C414" s="33" t="str">
        <f t="shared" si="26"/>
        <v>26800-0000</v>
      </c>
      <c r="D414" s="64" t="s">
        <v>613</v>
      </c>
      <c r="E414" s="64" t="s">
        <v>402</v>
      </c>
      <c r="F414" s="64" t="s">
        <v>230</v>
      </c>
      <c r="G414" s="64" t="s">
        <v>97</v>
      </c>
      <c r="H414" s="64" t="s">
        <v>127</v>
      </c>
      <c r="I414" s="64" t="s">
        <v>128</v>
      </c>
      <c r="J414" s="67">
        <v>0</v>
      </c>
      <c r="K414" s="62">
        <v>-150000</v>
      </c>
      <c r="L414" s="33" t="e">
        <f>HLOOKUP(B414,#REF!,1,0)</f>
        <v>#REF!</v>
      </c>
      <c r="M414" s="33" t="str">
        <f t="shared" si="27"/>
        <v>BS</v>
      </c>
    </row>
    <row r="415" spans="1:13" s="33" customFormat="true" ht="12.75" customHeight="true">
      <c r="A415" s="33" t="str">
        <f t="shared" si="24"/>
        <v>CHA - Principal</v>
      </c>
      <c r="B415" s="33" t="str">
        <f t="shared" si="25"/>
        <v>CHA</v>
      </c>
      <c r="C415" s="33" t="str">
        <f t="shared" si="26"/>
        <v>28003-0000</v>
      </c>
      <c r="D415" s="64" t="s">
        <v>614</v>
      </c>
      <c r="E415" s="64" t="s">
        <v>615</v>
      </c>
      <c r="F415" s="64" t="s">
        <v>230</v>
      </c>
      <c r="G415" s="64" t="s">
        <v>123</v>
      </c>
      <c r="H415" s="64" t="s">
        <v>127</v>
      </c>
      <c r="I415" s="64" t="s">
        <v>133</v>
      </c>
      <c r="J415" s="67">
        <v>4690.53</v>
      </c>
      <c r="K415" s="62">
        <v>-2930380.75</v>
      </c>
      <c r="L415" s="33" t="e">
        <f>HLOOKUP(B415,#REF!,1,0)</f>
        <v>#REF!</v>
      </c>
      <c r="M415" s="33" t="str">
        <f t="shared" si="27"/>
        <v>BS</v>
      </c>
    </row>
    <row r="416" spans="1:13" s="33" customFormat="true" ht="12.75" customHeight="true">
      <c r="A416" s="33" t="str">
        <f t="shared" si="24"/>
        <v>CHA - SH Dist</v>
      </c>
      <c r="B416" s="33" t="str">
        <f t="shared" si="25"/>
        <v>CHA</v>
      </c>
      <c r="C416" s="33" t="str">
        <f t="shared" si="26"/>
        <v>30700-0000</v>
      </c>
      <c r="D416" s="64" t="s">
        <v>616</v>
      </c>
      <c r="E416" s="64" t="s">
        <v>319</v>
      </c>
      <c r="F416" s="64" t="s">
        <v>230</v>
      </c>
      <c r="G416" s="64" t="s">
        <v>142</v>
      </c>
      <c r="H416" s="64" t="s">
        <v>143</v>
      </c>
      <c r="I416" s="64" t="s">
        <v>144</v>
      </c>
      <c r="J416" s="67">
        <v>0</v>
      </c>
      <c r="K416" s="62">
        <v>1900149.39</v>
      </c>
      <c r="L416" s="33" t="e">
        <f>HLOOKUP(B416,#REF!,1,0)</f>
        <v>#REF!</v>
      </c>
      <c r="M416" s="33" t="str">
        <f t="shared" si="27"/>
        <v>BS</v>
      </c>
    </row>
    <row r="417" spans="1:13" s="33" customFormat="true" ht="12.75" customHeight="true">
      <c r="A417" s="33" t="str">
        <f t="shared" si="24"/>
        <v>CHA - Retained Earnings</v>
      </c>
      <c r="B417" s="33" t="str">
        <f t="shared" si="25"/>
        <v>CHA</v>
      </c>
      <c r="C417" s="33" t="str">
        <f t="shared" si="26"/>
        <v>32000-0000</v>
      </c>
      <c r="D417" s="64" t="s">
        <v>617</v>
      </c>
      <c r="E417" s="64" t="s">
        <v>234</v>
      </c>
      <c r="F417" s="64" t="s">
        <v>230</v>
      </c>
      <c r="G417" s="64" t="s">
        <v>142</v>
      </c>
      <c r="H417" s="64" t="s">
        <v>149</v>
      </c>
      <c r="I417" s="64" t="s">
        <v>235</v>
      </c>
      <c r="J417" s="67">
        <v>0</v>
      </c>
      <c r="K417" s="62">
        <v>-1027616.29</v>
      </c>
      <c r="L417" s="33" t="e">
        <f>HLOOKUP(B417,#REF!,1,0)</f>
        <v>#REF!</v>
      </c>
      <c r="M417" s="33" t="str">
        <f t="shared" si="27"/>
        <v>BS</v>
      </c>
    </row>
    <row r="418" spans="1:13" s="33" customFormat="true" ht="12.75" customHeight="true">
      <c r="A418" s="33" t="str">
        <f t="shared" si="24"/>
        <v>CLI - Cash</v>
      </c>
      <c r="B418" s="33" t="str">
        <f t="shared" si="25"/>
        <v>CLI</v>
      </c>
      <c r="C418" s="33" t="str">
        <f t="shared" si="26"/>
        <v>10021-0000</v>
      </c>
      <c r="D418" s="64" t="s">
        <v>618</v>
      </c>
      <c r="E418" s="64" t="s">
        <v>546</v>
      </c>
      <c r="F418" s="64" t="s">
        <v>547</v>
      </c>
      <c r="G418" s="64" t="s">
        <v>16</v>
      </c>
      <c r="H418" s="64" t="s">
        <v>25</v>
      </c>
      <c r="I418" s="64" t="s">
        <v>18</v>
      </c>
      <c r="J418" s="67">
        <v>9954.08</v>
      </c>
      <c r="K418" s="62">
        <v>33553.33</v>
      </c>
      <c r="L418" s="33" t="e">
        <f>HLOOKUP(B418,#REF!,1,0)</f>
        <v>#REF!</v>
      </c>
      <c r="M418" s="33" t="str">
        <f t="shared" si="27"/>
        <v>BS</v>
      </c>
    </row>
    <row r="419" spans="1:13" s="33" customFormat="true" ht="12.75" customHeight="true">
      <c r="A419" s="33" t="str">
        <f t="shared" si="24"/>
        <v>CLI - Intercompany</v>
      </c>
      <c r="B419" s="33" t="str">
        <f t="shared" si="25"/>
        <v>CLI</v>
      </c>
      <c r="C419" s="33" t="str">
        <f t="shared" si="26"/>
        <v>11200-0000</v>
      </c>
      <c r="D419" s="64" t="s">
        <v>619</v>
      </c>
      <c r="E419" s="64" t="s">
        <v>620</v>
      </c>
      <c r="F419" s="64" t="s">
        <v>547</v>
      </c>
      <c r="G419" s="64" t="s">
        <v>16</v>
      </c>
      <c r="H419" s="64" t="s">
        <v>39</v>
      </c>
      <c r="I419" s="64" t="s">
        <v>40</v>
      </c>
      <c r="J419" s="67">
        <v>0</v>
      </c>
      <c r="K419" s="62">
        <v>-2460000</v>
      </c>
      <c r="L419" s="33" t="e">
        <f>HLOOKUP(B419,#REF!,1,0)</f>
        <v>#REF!</v>
      </c>
      <c r="M419" s="33" t="str">
        <f t="shared" si="27"/>
        <v>BS</v>
      </c>
    </row>
    <row r="420" spans="1:13" s="33" customFormat="true" ht="12.75" customHeight="true">
      <c r="A420" s="33" t="str">
        <f t="shared" si="24"/>
        <v>CLI - Fixed Assets</v>
      </c>
      <c r="B420" s="33" t="str">
        <f t="shared" si="25"/>
        <v>CLI</v>
      </c>
      <c r="C420" s="33" t="str">
        <f t="shared" si="26"/>
        <v>16401-7368</v>
      </c>
      <c r="D420" s="64" t="s">
        <v>621</v>
      </c>
      <c r="E420" s="64" t="s">
        <v>551</v>
      </c>
      <c r="F420" s="64" t="s">
        <v>547</v>
      </c>
      <c r="G420" s="64" t="s">
        <v>62</v>
      </c>
      <c r="H420" s="64" t="s">
        <v>63</v>
      </c>
      <c r="I420" s="64" t="s">
        <v>64</v>
      </c>
      <c r="J420" s="67">
        <v>0</v>
      </c>
      <c r="K420" s="62">
        <v>1801873.75</v>
      </c>
      <c r="L420" s="33" t="e">
        <f>HLOOKUP(B420,#REF!,1,0)</f>
        <v>#REF!</v>
      </c>
      <c r="M420" s="33" t="str">
        <f t="shared" si="27"/>
        <v>BS</v>
      </c>
    </row>
    <row r="421" spans="1:13" s="33" customFormat="true" ht="12.75" customHeight="true">
      <c r="A421" s="33" t="str">
        <f t="shared" si="24"/>
        <v>CLI - Fixed Assets</v>
      </c>
      <c r="B421" s="33" t="str">
        <f t="shared" si="25"/>
        <v>CLI</v>
      </c>
      <c r="C421" s="33" t="str">
        <f t="shared" si="26"/>
        <v>16501-7368</v>
      </c>
      <c r="D421" s="64" t="s">
        <v>622</v>
      </c>
      <c r="E421" s="64" t="s">
        <v>298</v>
      </c>
      <c r="F421" s="64" t="s">
        <v>547</v>
      </c>
      <c r="G421" s="64" t="s">
        <v>62</v>
      </c>
      <c r="H421" s="64" t="s">
        <v>63</v>
      </c>
      <c r="I421" s="64" t="s">
        <v>64</v>
      </c>
      <c r="J421" s="67">
        <v>0</v>
      </c>
      <c r="K421" s="62">
        <v>767168</v>
      </c>
      <c r="L421" s="33" t="e">
        <f>HLOOKUP(B421,#REF!,1,0)</f>
        <v>#REF!</v>
      </c>
      <c r="M421" s="33" t="str">
        <f t="shared" si="27"/>
        <v>BS</v>
      </c>
    </row>
    <row r="422" spans="1:13" s="33" customFormat="true" ht="12.75" customHeight="true">
      <c r="A422" s="33" t="str">
        <f t="shared" si="24"/>
        <v>CLI - AP-Accr Exp</v>
      </c>
      <c r="B422" s="33" t="str">
        <f t="shared" si="25"/>
        <v>CLI</v>
      </c>
      <c r="C422" s="33" t="str">
        <f t="shared" si="26"/>
        <v>25500-0000</v>
      </c>
      <c r="D422" s="64" t="s">
        <v>623</v>
      </c>
      <c r="E422" s="64" t="s">
        <v>122</v>
      </c>
      <c r="F422" s="64" t="s">
        <v>562</v>
      </c>
      <c r="G422" s="64" t="s">
        <v>123</v>
      </c>
      <c r="H422" s="64" t="s">
        <v>98</v>
      </c>
      <c r="I422" s="64" t="s">
        <v>124</v>
      </c>
      <c r="J422" s="67">
        <v>0</v>
      </c>
      <c r="K422" s="62">
        <v>62497.5</v>
      </c>
      <c r="L422" s="33" t="e">
        <f>HLOOKUP(B422,#REF!,1,0)</f>
        <v>#REF!</v>
      </c>
      <c r="M422" s="33" t="str">
        <f t="shared" si="27"/>
        <v>BS</v>
      </c>
    </row>
    <row r="423" spans="1:13" s="33" customFormat="true" ht="12.75" customHeight="true">
      <c r="A423" s="33" t="str">
        <f t="shared" si="24"/>
        <v>CLI - SH Dist</v>
      </c>
      <c r="B423" s="33" t="str">
        <f t="shared" si="25"/>
        <v>CLI</v>
      </c>
      <c r="C423" s="33" t="str">
        <f t="shared" si="26"/>
        <v>30501-0000</v>
      </c>
      <c r="D423" s="64" t="s">
        <v>624</v>
      </c>
      <c r="E423" s="64" t="s">
        <v>625</v>
      </c>
      <c r="F423" s="64" t="s">
        <v>547</v>
      </c>
      <c r="G423" s="64" t="s">
        <v>142</v>
      </c>
      <c r="H423" s="64" t="s">
        <v>143</v>
      </c>
      <c r="I423" s="64" t="s">
        <v>144</v>
      </c>
      <c r="J423" s="67">
        <v>0</v>
      </c>
      <c r="K423" s="62">
        <v>-100000</v>
      </c>
      <c r="L423" s="33" t="e">
        <f>HLOOKUP(B423,#REF!,1,0)</f>
        <v>#REF!</v>
      </c>
      <c r="M423" s="33" t="str">
        <f t="shared" si="27"/>
        <v>BS</v>
      </c>
    </row>
    <row r="424" spans="1:13" s="33" customFormat="true" ht="12.75" customHeight="true">
      <c r="A424" s="33" t="str">
        <f t="shared" si="24"/>
        <v>CLI - Retained Earnings</v>
      </c>
      <c r="B424" s="33" t="str">
        <f t="shared" si="25"/>
        <v>CLI</v>
      </c>
      <c r="C424" s="33" t="str">
        <f t="shared" si="26"/>
        <v>32000-0000</v>
      </c>
      <c r="D424" s="64" t="s">
        <v>626</v>
      </c>
      <c r="E424" s="64" t="s">
        <v>234</v>
      </c>
      <c r="F424" s="64" t="s">
        <v>547</v>
      </c>
      <c r="G424" s="64" t="s">
        <v>142</v>
      </c>
      <c r="H424" s="64" t="s">
        <v>149</v>
      </c>
      <c r="I424" s="64" t="s">
        <v>150</v>
      </c>
      <c r="J424" s="67">
        <v>0</v>
      </c>
      <c r="K424" s="62">
        <v>-255172.54</v>
      </c>
      <c r="L424" s="33" t="e">
        <f>HLOOKUP(B424,#REF!,1,0)</f>
        <v>#REF!</v>
      </c>
      <c r="M424" s="33" t="str">
        <f t="shared" si="27"/>
        <v>BS</v>
      </c>
    </row>
    <row r="425" spans="1:13" s="33" customFormat="true" ht="12.75" customHeight="true">
      <c r="A425" s="33" t="str">
        <f t="shared" si="24"/>
        <v>CLI - SH Dist</v>
      </c>
      <c r="B425" s="33" t="str">
        <f t="shared" si="25"/>
        <v>CLI</v>
      </c>
      <c r="C425" s="33" t="str">
        <f t="shared" si="26"/>
        <v>37001-0000</v>
      </c>
      <c r="D425" s="64" t="s">
        <v>627</v>
      </c>
      <c r="E425" s="64" t="s">
        <v>572</v>
      </c>
      <c r="F425" s="64" t="s">
        <v>547</v>
      </c>
      <c r="G425" s="64" t="s">
        <v>142</v>
      </c>
      <c r="H425" s="64" t="s">
        <v>143</v>
      </c>
      <c r="I425" s="64" t="s">
        <v>144</v>
      </c>
      <c r="J425" s="67">
        <v>0</v>
      </c>
      <c r="K425" s="62">
        <v>248000</v>
      </c>
      <c r="L425" s="33" t="e">
        <f>HLOOKUP(B425,#REF!,1,0)</f>
        <v>#REF!</v>
      </c>
      <c r="M425" s="33" t="str">
        <f t="shared" si="27"/>
        <v>BS</v>
      </c>
    </row>
    <row r="426" spans="1:13" s="33" customFormat="true" ht="12.75" customHeight="true">
      <c r="A426" s="33" t="str">
        <f t="shared" si="24"/>
        <v>CPI - Cash</v>
      </c>
      <c r="B426" s="33" t="str">
        <f t="shared" si="25"/>
        <v>CPI</v>
      </c>
      <c r="C426" s="33" t="str">
        <f t="shared" si="26"/>
        <v>10001-0000</v>
      </c>
      <c r="D426" s="64" t="s">
        <v>628</v>
      </c>
      <c r="E426" s="64" t="s">
        <v>240</v>
      </c>
      <c r="F426" s="64" t="s">
        <v>230</v>
      </c>
      <c r="G426" s="64" t="s">
        <v>16</v>
      </c>
      <c r="H426" s="64" t="s">
        <v>25</v>
      </c>
      <c r="I426" s="64" t="s">
        <v>18</v>
      </c>
      <c r="J426" s="67">
        <v>13926.67</v>
      </c>
      <c r="K426" s="62">
        <v>64026.61</v>
      </c>
      <c r="L426" s="33" t="e">
        <f>HLOOKUP(B426,#REF!,1,0)</f>
        <v>#REF!</v>
      </c>
      <c r="M426" s="33" t="str">
        <f t="shared" si="27"/>
        <v>BS</v>
      </c>
    </row>
    <row r="427" spans="1:13" s="33" customFormat="true" ht="12.75" customHeight="true">
      <c r="A427" s="33" t="str">
        <f t="shared" si="24"/>
        <v>CPI - AR-PPD</v>
      </c>
      <c r="B427" s="33" t="str">
        <f t="shared" si="25"/>
        <v>CPI</v>
      </c>
      <c r="C427" s="33" t="str">
        <f t="shared" si="26"/>
        <v>11000-0000</v>
      </c>
      <c r="D427" s="64" t="s">
        <v>629</v>
      </c>
      <c r="E427" s="64" t="s">
        <v>34</v>
      </c>
      <c r="F427" s="64" t="s">
        <v>230</v>
      </c>
      <c r="G427" s="64" t="s">
        <v>16</v>
      </c>
      <c r="H427" s="64" t="s">
        <v>35</v>
      </c>
      <c r="I427" s="64" t="s">
        <v>36</v>
      </c>
      <c r="J427" s="67">
        <v>0</v>
      </c>
      <c r="K427" s="62">
        <v>0</v>
      </c>
      <c r="L427" s="33" t="e">
        <f>HLOOKUP(B427,#REF!,1,0)</f>
        <v>#REF!</v>
      </c>
      <c r="M427" s="33" t="str">
        <f t="shared" si="27"/>
        <v>BS</v>
      </c>
    </row>
    <row r="428" spans="1:13" s="33" customFormat="true" ht="12.75" customHeight="true">
      <c r="A428" s="33" t="str">
        <f t="shared" si="24"/>
        <v>CPI - Intercompany</v>
      </c>
      <c r="B428" s="33" t="str">
        <f t="shared" si="25"/>
        <v>CPI</v>
      </c>
      <c r="C428" s="33" t="str">
        <f t="shared" si="26"/>
        <v>11216-0000</v>
      </c>
      <c r="D428" s="64" t="s">
        <v>630</v>
      </c>
      <c r="E428" s="64" t="s">
        <v>242</v>
      </c>
      <c r="F428" s="64" t="s">
        <v>230</v>
      </c>
      <c r="G428" s="64" t="s">
        <v>16</v>
      </c>
      <c r="H428" s="64" t="s">
        <v>39</v>
      </c>
      <c r="I428" s="64" t="s">
        <v>40</v>
      </c>
      <c r="J428" s="67">
        <v>-118.18</v>
      </c>
      <c r="K428" s="62">
        <v>-6452.31</v>
      </c>
      <c r="L428" s="33" t="e">
        <f>HLOOKUP(B428,#REF!,1,0)</f>
        <v>#REF!</v>
      </c>
      <c r="M428" s="33" t="str">
        <f t="shared" si="27"/>
        <v>BS</v>
      </c>
    </row>
    <row r="429" spans="1:13" s="33" customFormat="true" ht="12.75" customHeight="true">
      <c r="A429" s="33" t="str">
        <f t="shared" si="24"/>
        <v>CPI - Fixed Assets</v>
      </c>
      <c r="B429" s="33" t="str">
        <f t="shared" si="25"/>
        <v>CPI</v>
      </c>
      <c r="C429" s="33" t="str">
        <f t="shared" si="26"/>
        <v>14000-0000</v>
      </c>
      <c r="D429" s="64" t="s">
        <v>631</v>
      </c>
      <c r="E429" s="64" t="s">
        <v>298</v>
      </c>
      <c r="F429" s="64" t="s">
        <v>230</v>
      </c>
      <c r="G429" s="64" t="s">
        <v>62</v>
      </c>
      <c r="H429" s="64" t="s">
        <v>63</v>
      </c>
      <c r="I429" s="64" t="s">
        <v>64</v>
      </c>
      <c r="J429" s="67">
        <v>0</v>
      </c>
      <c r="K429" s="62">
        <v>1325000</v>
      </c>
      <c r="L429" s="33" t="e">
        <f>HLOOKUP(B429,#REF!,1,0)</f>
        <v>#REF!</v>
      </c>
      <c r="M429" s="33" t="str">
        <f t="shared" si="27"/>
        <v>BS</v>
      </c>
    </row>
    <row r="430" spans="1:13" s="33" customFormat="true" ht="12.75" customHeight="true">
      <c r="A430" s="33" t="str">
        <f t="shared" si="24"/>
        <v>CPI - Fixed Assets</v>
      </c>
      <c r="B430" s="33" t="str">
        <f t="shared" si="25"/>
        <v>CPI</v>
      </c>
      <c r="C430" s="33" t="str">
        <f t="shared" si="26"/>
        <v>15000-0000</v>
      </c>
      <c r="D430" s="64" t="s">
        <v>632</v>
      </c>
      <c r="E430" s="64" t="s">
        <v>300</v>
      </c>
      <c r="F430" s="64" t="s">
        <v>230</v>
      </c>
      <c r="G430" s="64" t="s">
        <v>62</v>
      </c>
      <c r="H430" s="64" t="s">
        <v>63</v>
      </c>
      <c r="I430" s="64" t="s">
        <v>64</v>
      </c>
      <c r="J430" s="67">
        <v>0</v>
      </c>
      <c r="K430" s="62">
        <v>2650000</v>
      </c>
      <c r="L430" s="33" t="e">
        <f>HLOOKUP(B430,#REF!,1,0)</f>
        <v>#REF!</v>
      </c>
      <c r="M430" s="33" t="str">
        <f t="shared" si="27"/>
        <v>BS</v>
      </c>
    </row>
    <row r="431" spans="1:13" s="33" customFormat="true" ht="12.75" customHeight="true">
      <c r="A431" s="33" t="str">
        <f t="shared" si="24"/>
        <v>CPI - Fixed Assets</v>
      </c>
      <c r="B431" s="33" t="str">
        <f t="shared" si="25"/>
        <v>CPI</v>
      </c>
      <c r="C431" s="33" t="str">
        <f t="shared" si="26"/>
        <v>15500-0000</v>
      </c>
      <c r="D431" s="64" t="s">
        <v>633</v>
      </c>
      <c r="E431" s="64" t="s">
        <v>302</v>
      </c>
      <c r="F431" s="64" t="s">
        <v>230</v>
      </c>
      <c r="G431" s="64" t="s">
        <v>62</v>
      </c>
      <c r="H431" s="64" t="s">
        <v>63</v>
      </c>
      <c r="I431" s="64" t="s">
        <v>64</v>
      </c>
      <c r="J431" s="67">
        <v>0</v>
      </c>
      <c r="K431" s="62">
        <v>77574.1</v>
      </c>
      <c r="L431" s="33" t="e">
        <f>HLOOKUP(B431,#REF!,1,0)</f>
        <v>#REF!</v>
      </c>
      <c r="M431" s="33" t="str">
        <f t="shared" si="27"/>
        <v>BS</v>
      </c>
    </row>
    <row r="432" spans="1:13" s="33" customFormat="true" ht="12.75" customHeight="true">
      <c r="A432" s="33" t="str">
        <f t="shared" si="24"/>
        <v>CPI - Fixed Assets</v>
      </c>
      <c r="B432" s="33" t="str">
        <f t="shared" si="25"/>
        <v>CPI</v>
      </c>
      <c r="C432" s="33" t="str">
        <f t="shared" si="26"/>
        <v>15600-0000</v>
      </c>
      <c r="D432" s="64" t="s">
        <v>634</v>
      </c>
      <c r="E432" s="64" t="s">
        <v>337</v>
      </c>
      <c r="F432" s="64" t="s">
        <v>230</v>
      </c>
      <c r="G432" s="64" t="s">
        <v>16</v>
      </c>
      <c r="H432" s="64" t="s">
        <v>63</v>
      </c>
      <c r="I432" s="64" t="s">
        <v>64</v>
      </c>
      <c r="J432" s="67">
        <v>0</v>
      </c>
      <c r="K432" s="62">
        <v>4032.5</v>
      </c>
      <c r="L432" s="33" t="e">
        <f>HLOOKUP(B432,#REF!,1,0)</f>
        <v>#REF!</v>
      </c>
      <c r="M432" s="33" t="str">
        <f t="shared" si="27"/>
        <v>BS</v>
      </c>
    </row>
    <row r="433" spans="1:13" s="33" customFormat="true" ht="12.75" customHeight="true">
      <c r="A433" s="33" t="str">
        <f t="shared" si="24"/>
        <v>CPI - Fixed Assets</v>
      </c>
      <c r="B433" s="33" t="str">
        <f t="shared" si="25"/>
        <v>CPI</v>
      </c>
      <c r="C433" s="33" t="str">
        <f t="shared" si="26"/>
        <v>16000-0000</v>
      </c>
      <c r="D433" s="64" t="s">
        <v>635</v>
      </c>
      <c r="E433" s="64" t="s">
        <v>304</v>
      </c>
      <c r="F433" s="64" t="s">
        <v>230</v>
      </c>
      <c r="G433" s="64" t="s">
        <v>16</v>
      </c>
      <c r="H433" s="64" t="s">
        <v>63</v>
      </c>
      <c r="I433" s="64" t="s">
        <v>18</v>
      </c>
      <c r="J433" s="67">
        <v>0</v>
      </c>
      <c r="K433" s="62">
        <v>2162.75</v>
      </c>
      <c r="L433" s="33" t="e">
        <f>HLOOKUP(B433,#REF!,1,0)</f>
        <v>#REF!</v>
      </c>
      <c r="M433" s="33" t="str">
        <f t="shared" si="27"/>
        <v>BS</v>
      </c>
    </row>
    <row r="434" spans="1:13" s="33" customFormat="true" ht="12.75" customHeight="true">
      <c r="A434" s="33" t="str">
        <f t="shared" si="24"/>
        <v>CPI - Fixed Assets</v>
      </c>
      <c r="B434" s="33" t="str">
        <f t="shared" si="25"/>
        <v>CPI</v>
      </c>
      <c r="C434" s="33" t="str">
        <f t="shared" si="26"/>
        <v>17000-0000</v>
      </c>
      <c r="D434" s="64" t="s">
        <v>636</v>
      </c>
      <c r="E434" s="64" t="s">
        <v>306</v>
      </c>
      <c r="F434" s="64" t="s">
        <v>230</v>
      </c>
      <c r="G434" s="64" t="s">
        <v>62</v>
      </c>
      <c r="H434" s="64" t="s">
        <v>63</v>
      </c>
      <c r="I434" s="64" t="s">
        <v>64</v>
      </c>
      <c r="J434" s="67">
        <v>0</v>
      </c>
      <c r="K434" s="62">
        <v>-261624</v>
      </c>
      <c r="L434" s="33" t="e">
        <f>HLOOKUP(B434,#REF!,1,0)</f>
        <v>#REF!</v>
      </c>
      <c r="M434" s="33" t="str">
        <f t="shared" si="27"/>
        <v>BS</v>
      </c>
    </row>
    <row r="435" spans="1:13" s="33" customFormat="true" ht="12.75" customHeight="true">
      <c r="A435" s="33" t="str">
        <f t="shared" si="24"/>
        <v>CPI - Fixed Assets</v>
      </c>
      <c r="B435" s="33" t="str">
        <f t="shared" si="25"/>
        <v>CPI</v>
      </c>
      <c r="C435" s="33" t="str">
        <f t="shared" si="26"/>
        <v>18000-0000</v>
      </c>
      <c r="D435" s="64" t="s">
        <v>637</v>
      </c>
      <c r="E435" s="64" t="s">
        <v>308</v>
      </c>
      <c r="F435" s="64" t="s">
        <v>230</v>
      </c>
      <c r="G435" s="64" t="s">
        <v>62</v>
      </c>
      <c r="H435" s="64" t="s">
        <v>63</v>
      </c>
      <c r="I435" s="64" t="s">
        <v>64</v>
      </c>
      <c r="J435" s="67">
        <v>0</v>
      </c>
      <c r="K435" s="62">
        <v>-12925</v>
      </c>
      <c r="L435" s="33" t="e">
        <f>HLOOKUP(B435,#REF!,1,0)</f>
        <v>#REF!</v>
      </c>
      <c r="M435" s="33" t="str">
        <f t="shared" si="27"/>
        <v>BS</v>
      </c>
    </row>
    <row r="436" spans="1:13" s="33" customFormat="true" ht="12.75" customHeight="true">
      <c r="A436" s="33" t="str">
        <f t="shared" si="24"/>
        <v>CPI - Deposits</v>
      </c>
      <c r="B436" s="33" t="str">
        <f t="shared" si="25"/>
        <v>CPI</v>
      </c>
      <c r="C436" s="33" t="str">
        <f t="shared" si="26"/>
        <v>19001-0000</v>
      </c>
      <c r="D436" s="64" t="s">
        <v>638</v>
      </c>
      <c r="E436" s="64" t="s">
        <v>344</v>
      </c>
      <c r="F436" s="64" t="s">
        <v>230</v>
      </c>
      <c r="G436" s="64" t="s">
        <v>62</v>
      </c>
      <c r="H436" s="64" t="s">
        <v>80</v>
      </c>
      <c r="I436" s="64" t="s">
        <v>81</v>
      </c>
      <c r="J436" s="67">
        <v>0</v>
      </c>
      <c r="K436" s="62">
        <v>8800</v>
      </c>
      <c r="L436" s="33" t="e">
        <f>HLOOKUP(B436,#REF!,1,0)</f>
        <v>#REF!</v>
      </c>
      <c r="M436" s="33" t="str">
        <f t="shared" si="27"/>
        <v>BS</v>
      </c>
    </row>
    <row r="437" spans="1:13" s="33" customFormat="true" ht="12.75" customHeight="true">
      <c r="A437" s="33" t="str">
        <f t="shared" si="24"/>
        <v>CPI - AP-Accr Exp</v>
      </c>
      <c r="B437" s="33" t="str">
        <f t="shared" si="25"/>
        <v>CPI</v>
      </c>
      <c r="C437" s="33" t="str">
        <f t="shared" si="26"/>
        <v>20001-0000</v>
      </c>
      <c r="D437" s="64" t="s">
        <v>639</v>
      </c>
      <c r="E437" s="64" t="s">
        <v>96</v>
      </c>
      <c r="F437" s="64" t="s">
        <v>230</v>
      </c>
      <c r="G437" s="64" t="s">
        <v>97</v>
      </c>
      <c r="H437" s="64" t="s">
        <v>98</v>
      </c>
      <c r="I437" s="64" t="s">
        <v>99</v>
      </c>
      <c r="J437" s="67">
        <v>0</v>
      </c>
      <c r="K437" s="62">
        <v>0</v>
      </c>
      <c r="L437" s="33" t="e">
        <f>HLOOKUP(B437,#REF!,1,0)</f>
        <v>#REF!</v>
      </c>
      <c r="M437" s="33" t="str">
        <f t="shared" si="27"/>
        <v>BS</v>
      </c>
    </row>
    <row r="438" spans="1:13" s="33" customFormat="true" ht="12.75" customHeight="true">
      <c r="A438" s="33" t="str">
        <f t="shared" si="24"/>
        <v>CPI - AP-Accr Exp</v>
      </c>
      <c r="B438" s="33" t="str">
        <f t="shared" si="25"/>
        <v>CPI</v>
      </c>
      <c r="C438" s="33" t="str">
        <f t="shared" si="26"/>
        <v>23509-0000</v>
      </c>
      <c r="D438" s="64" t="s">
        <v>640</v>
      </c>
      <c r="E438" s="64" t="s">
        <v>111</v>
      </c>
      <c r="F438" s="64" t="s">
        <v>230</v>
      </c>
      <c r="G438" s="64" t="s">
        <v>97</v>
      </c>
      <c r="H438" s="64" t="s">
        <v>98</v>
      </c>
      <c r="I438" s="64" t="s">
        <v>102</v>
      </c>
      <c r="J438" s="67">
        <v>0</v>
      </c>
      <c r="K438" s="62">
        <v>0</v>
      </c>
      <c r="L438" s="33" t="e">
        <f>HLOOKUP(B438,#REF!,1,0)</f>
        <v>#REF!</v>
      </c>
      <c r="M438" s="33" t="str">
        <f t="shared" si="27"/>
        <v>BS</v>
      </c>
    </row>
    <row r="439" spans="1:13" s="33" customFormat="true" ht="12.75" customHeight="true">
      <c r="A439" s="33" t="str">
        <f t="shared" si="24"/>
        <v>CPI - AP-Accr Exp</v>
      </c>
      <c r="B439" s="33" t="str">
        <f t="shared" si="25"/>
        <v>CPI</v>
      </c>
      <c r="C439" s="33" t="str">
        <f t="shared" si="26"/>
        <v>24800-0000</v>
      </c>
      <c r="D439" s="64" t="s">
        <v>641</v>
      </c>
      <c r="E439" s="64" t="s">
        <v>232</v>
      </c>
      <c r="F439" s="64" t="s">
        <v>230</v>
      </c>
      <c r="G439" s="64" t="s">
        <v>97</v>
      </c>
      <c r="H439" s="64" t="s">
        <v>98</v>
      </c>
      <c r="I439" s="64" t="s">
        <v>102</v>
      </c>
      <c r="J439" s="67">
        <v>0</v>
      </c>
      <c r="K439" s="62">
        <v>-25927.52</v>
      </c>
      <c r="L439" s="33" t="e">
        <f>HLOOKUP(B439,#REF!,1,0)</f>
        <v>#REF!</v>
      </c>
      <c r="M439" s="33" t="str">
        <f t="shared" si="27"/>
        <v>BS</v>
      </c>
    </row>
    <row r="440" spans="1:13" s="33" customFormat="true" ht="12.75" customHeight="true">
      <c r="A440" s="33" t="str">
        <f t="shared" si="24"/>
        <v>CPI - Principal</v>
      </c>
      <c r="B440" s="33" t="str">
        <f t="shared" si="25"/>
        <v>CPI</v>
      </c>
      <c r="C440" s="33" t="str">
        <f t="shared" si="26"/>
        <v>26800-0000</v>
      </c>
      <c r="D440" s="64" t="s">
        <v>642</v>
      </c>
      <c r="E440" s="64" t="s">
        <v>402</v>
      </c>
      <c r="F440" s="64" t="s">
        <v>230</v>
      </c>
      <c r="G440" s="64" t="s">
        <v>97</v>
      </c>
      <c r="H440" s="64" t="s">
        <v>127</v>
      </c>
      <c r="I440" s="64" t="s">
        <v>128</v>
      </c>
      <c r="J440" s="67">
        <v>0</v>
      </c>
      <c r="K440" s="62">
        <v>-142600</v>
      </c>
      <c r="L440" s="33" t="e">
        <f>HLOOKUP(B440,#REF!,1,0)</f>
        <v>#REF!</v>
      </c>
      <c r="M440" s="33" t="str">
        <f t="shared" si="27"/>
        <v>BS</v>
      </c>
    </row>
    <row r="441" spans="1:13" s="33" customFormat="true" ht="12.75" customHeight="true">
      <c r="A441" s="33" t="str">
        <f t="shared" si="24"/>
        <v>CPI - Principal</v>
      </c>
      <c r="B441" s="33" t="str">
        <f t="shared" si="25"/>
        <v>CPI</v>
      </c>
      <c r="C441" s="33" t="str">
        <f t="shared" si="26"/>
        <v>28001-0000</v>
      </c>
      <c r="D441" s="64" t="s">
        <v>643</v>
      </c>
      <c r="E441" s="64" t="s">
        <v>352</v>
      </c>
      <c r="F441" s="64" t="s">
        <v>230</v>
      </c>
      <c r="G441" s="64" t="s">
        <v>123</v>
      </c>
      <c r="H441" s="64" t="s">
        <v>127</v>
      </c>
      <c r="I441" s="64" t="s">
        <v>133</v>
      </c>
      <c r="J441" s="67">
        <v>2589.53</v>
      </c>
      <c r="K441" s="62">
        <v>-1499315.73</v>
      </c>
      <c r="L441" s="33" t="e">
        <f>HLOOKUP(B441,#REF!,1,0)</f>
        <v>#REF!</v>
      </c>
      <c r="M441" s="33" t="str">
        <f t="shared" si="27"/>
        <v>BS</v>
      </c>
    </row>
    <row r="442" spans="1:13" s="33" customFormat="true" ht="12.75" customHeight="true">
      <c r="A442" s="33" t="str">
        <f t="shared" si="24"/>
        <v>CPI - SH Dist</v>
      </c>
      <c r="B442" s="33" t="str">
        <f t="shared" si="25"/>
        <v>CPI</v>
      </c>
      <c r="C442" s="33" t="str">
        <f t="shared" si="26"/>
        <v>30700-0000</v>
      </c>
      <c r="D442" s="64" t="s">
        <v>644</v>
      </c>
      <c r="E442" s="64" t="s">
        <v>319</v>
      </c>
      <c r="F442" s="64" t="s">
        <v>230</v>
      </c>
      <c r="G442" s="64" t="s">
        <v>142</v>
      </c>
      <c r="H442" s="64" t="s">
        <v>143</v>
      </c>
      <c r="I442" s="64" t="s">
        <v>144</v>
      </c>
      <c r="J442" s="67">
        <v>0</v>
      </c>
      <c r="K442" s="62">
        <v>-2174083.73</v>
      </c>
      <c r="L442" s="33" t="e">
        <f>HLOOKUP(B442,#REF!,1,0)</f>
        <v>#REF!</v>
      </c>
      <c r="M442" s="33" t="str">
        <f t="shared" si="27"/>
        <v>BS</v>
      </c>
    </row>
    <row r="443" spans="1:13" s="33" customFormat="true" ht="12.75" customHeight="true">
      <c r="A443" s="33" t="str">
        <f t="shared" si="24"/>
        <v>CPI - SH Dist</v>
      </c>
      <c r="B443" s="33" t="str">
        <f t="shared" si="25"/>
        <v>CPI</v>
      </c>
      <c r="C443" s="33" t="str">
        <f t="shared" si="26"/>
        <v>30800-0000</v>
      </c>
      <c r="D443" s="64" t="s">
        <v>645</v>
      </c>
      <c r="E443" s="64" t="s">
        <v>646</v>
      </c>
      <c r="F443" s="64" t="s">
        <v>230</v>
      </c>
      <c r="G443" s="64" t="s">
        <v>142</v>
      </c>
      <c r="H443" s="64" t="s">
        <v>143</v>
      </c>
      <c r="I443" s="64" t="s">
        <v>144</v>
      </c>
      <c r="J443" s="67">
        <v>0</v>
      </c>
      <c r="K443" s="62">
        <v>-200000</v>
      </c>
      <c r="L443" s="33" t="e">
        <f>HLOOKUP(B443,#REF!,1,0)</f>
        <v>#REF!</v>
      </c>
      <c r="M443" s="33" t="str">
        <f t="shared" si="27"/>
        <v>BS</v>
      </c>
    </row>
    <row r="444" spans="1:13" s="33" customFormat="true" ht="12.75" customHeight="true">
      <c r="A444" s="33" t="str">
        <f t="shared" si="24"/>
        <v>CPI - Retained Earnings</v>
      </c>
      <c r="B444" s="33" t="str">
        <f t="shared" si="25"/>
        <v>CPI</v>
      </c>
      <c r="C444" s="33" t="str">
        <f t="shared" si="26"/>
        <v>32000-0000</v>
      </c>
      <c r="D444" s="64" t="s">
        <v>647</v>
      </c>
      <c r="E444" s="64" t="s">
        <v>234</v>
      </c>
      <c r="F444" s="64" t="s">
        <v>230</v>
      </c>
      <c r="G444" s="64" t="s">
        <v>142</v>
      </c>
      <c r="H444" s="64" t="s">
        <v>149</v>
      </c>
      <c r="I444" s="64" t="s">
        <v>235</v>
      </c>
      <c r="J444" s="67">
        <v>0</v>
      </c>
      <c r="K444" s="62">
        <v>185139.95</v>
      </c>
      <c r="L444" s="33" t="e">
        <f>HLOOKUP(B444,#REF!,1,0)</f>
        <v>#REF!</v>
      </c>
      <c r="M444" s="33" t="str">
        <f t="shared" si="27"/>
        <v>BS</v>
      </c>
    </row>
    <row r="445" spans="1:13" s="33" customFormat="true" ht="12.75" customHeight="true">
      <c r="A445" s="33" t="str">
        <f t="shared" si="24"/>
        <v>CRE - Cash</v>
      </c>
      <c r="B445" s="33" t="str">
        <f t="shared" si="25"/>
        <v>CRE</v>
      </c>
      <c r="C445" s="33" t="str">
        <f t="shared" si="26"/>
        <v>10001-0000</v>
      </c>
      <c r="D445" s="64" t="s">
        <v>648</v>
      </c>
      <c r="E445" s="64" t="s">
        <v>240</v>
      </c>
      <c r="F445" s="64" t="s">
        <v>230</v>
      </c>
      <c r="G445" s="64" t="s">
        <v>16</v>
      </c>
      <c r="H445" s="64" t="s">
        <v>25</v>
      </c>
      <c r="I445" s="64" t="s">
        <v>18</v>
      </c>
      <c r="J445" s="67">
        <v>18720.25</v>
      </c>
      <c r="K445" s="62">
        <v>63122.64</v>
      </c>
      <c r="L445" s="33" t="e">
        <f>HLOOKUP(B445,#REF!,1,0)</f>
        <v>#REF!</v>
      </c>
      <c r="M445" s="33" t="str">
        <f t="shared" si="27"/>
        <v>BS</v>
      </c>
    </row>
    <row r="446" spans="1:13" s="33" customFormat="true" ht="12.75" customHeight="true">
      <c r="A446" s="33" t="str">
        <f t="shared" si="24"/>
        <v>CRE - CASH</v>
      </c>
      <c r="B446" s="33" t="str">
        <f t="shared" si="25"/>
        <v>CRE</v>
      </c>
      <c r="C446" s="33" t="str">
        <f t="shared" si="26"/>
        <v>10003-0000</v>
      </c>
      <c r="D446" s="64" t="s">
        <v>649</v>
      </c>
      <c r="E446" s="64" t="s">
        <v>357</v>
      </c>
      <c r="F446" s="64" t="s">
        <v>230</v>
      </c>
      <c r="G446" s="64" t="s">
        <v>16</v>
      </c>
      <c r="H446" s="64" t="s">
        <v>358</v>
      </c>
      <c r="I446" s="64" t="s">
        <v>18</v>
      </c>
      <c r="J446" s="67">
        <v>0</v>
      </c>
      <c r="K446" s="62">
        <v>70</v>
      </c>
      <c r="L446" s="33" t="e">
        <f>HLOOKUP(B446,#REF!,1,0)</f>
        <v>#REF!</v>
      </c>
      <c r="M446" s="33" t="str">
        <f t="shared" si="27"/>
        <v>BS</v>
      </c>
    </row>
    <row r="447" spans="1:13" s="33" customFormat="true" ht="12.75" customHeight="true">
      <c r="A447" s="33" t="str">
        <f t="shared" si="24"/>
        <v>CRE - AR-PPD</v>
      </c>
      <c r="B447" s="33" t="str">
        <f t="shared" si="25"/>
        <v>CRE</v>
      </c>
      <c r="C447" s="33" t="str">
        <f t="shared" si="26"/>
        <v>11000-0000</v>
      </c>
      <c r="D447" s="64" t="s">
        <v>650</v>
      </c>
      <c r="E447" s="64" t="s">
        <v>34</v>
      </c>
      <c r="F447" s="64" t="s">
        <v>230</v>
      </c>
      <c r="G447" s="64" t="s">
        <v>16</v>
      </c>
      <c r="H447" s="64" t="s">
        <v>35</v>
      </c>
      <c r="I447" s="64" t="s">
        <v>36</v>
      </c>
      <c r="J447" s="67">
        <v>0</v>
      </c>
      <c r="K447" s="62">
        <v>0</v>
      </c>
      <c r="L447" s="33" t="e">
        <f>HLOOKUP(B447,#REF!,1,0)</f>
        <v>#REF!</v>
      </c>
      <c r="M447" s="33" t="str">
        <f t="shared" si="27"/>
        <v>BS</v>
      </c>
    </row>
    <row r="448" spans="1:13" s="33" customFormat="true" ht="12.75" customHeight="true">
      <c r="A448" s="33" t="str">
        <f t="shared" si="24"/>
        <v>CRE - Intercompany</v>
      </c>
      <c r="B448" s="33" t="str">
        <f t="shared" si="25"/>
        <v>CRE</v>
      </c>
      <c r="C448" s="33" t="str">
        <f t="shared" si="26"/>
        <v>11216-0000</v>
      </c>
      <c r="D448" s="64" t="s">
        <v>651</v>
      </c>
      <c r="E448" s="64" t="s">
        <v>242</v>
      </c>
      <c r="F448" s="64" t="s">
        <v>230</v>
      </c>
      <c r="G448" s="64" t="s">
        <v>16</v>
      </c>
      <c r="H448" s="64" t="s">
        <v>39</v>
      </c>
      <c r="I448" s="64" t="s">
        <v>40</v>
      </c>
      <c r="J448" s="67">
        <v>640.19</v>
      </c>
      <c r="K448" s="62">
        <v>22196.15</v>
      </c>
      <c r="L448" s="33" t="e">
        <f>HLOOKUP(B448,#REF!,1,0)</f>
        <v>#REF!</v>
      </c>
      <c r="M448" s="33" t="str">
        <f t="shared" si="27"/>
        <v>BS</v>
      </c>
    </row>
    <row r="449" spans="1:13" s="33" customFormat="true" ht="12.75" customHeight="true">
      <c r="A449" s="33" t="str">
        <f t="shared" si="24"/>
        <v>CRE - Intercompany</v>
      </c>
      <c r="B449" s="33" t="str">
        <f t="shared" si="25"/>
        <v>CRE</v>
      </c>
      <c r="C449" s="33" t="str">
        <f t="shared" si="26"/>
        <v>11309-0000</v>
      </c>
      <c r="D449" s="64" t="s">
        <v>652</v>
      </c>
      <c r="E449" s="64" t="s">
        <v>254</v>
      </c>
      <c r="F449" s="64" t="s">
        <v>230</v>
      </c>
      <c r="G449" s="64" t="s">
        <v>16</v>
      </c>
      <c r="H449" s="64" t="s">
        <v>39</v>
      </c>
      <c r="I449" s="64" t="s">
        <v>40</v>
      </c>
      <c r="J449" s="67">
        <v>0</v>
      </c>
      <c r="K449" s="62">
        <v>-15000</v>
      </c>
      <c r="L449" s="33" t="e">
        <f>HLOOKUP(B449,#REF!,1,0)</f>
        <v>#REF!</v>
      </c>
      <c r="M449" s="33" t="str">
        <f t="shared" si="27"/>
        <v>BS</v>
      </c>
    </row>
    <row r="450" spans="1:13" s="33" customFormat="true" ht="12.75" customHeight="true">
      <c r="A450" s="33" t="str">
        <f t="shared" ref="A450:A513" si="28">B450&amp;" - "&amp;TRIM(H450)</f>
        <v>CRE - Intercompany</v>
      </c>
      <c r="B450" s="33" t="str">
        <f t="shared" ref="B450:B513" si="29">LEFT(D450,3)</f>
        <v>CRE</v>
      </c>
      <c r="C450" s="33" t="str">
        <f t="shared" ref="C450:C513" si="30">RIGHT(D450,10)</f>
        <v>11313-0000</v>
      </c>
      <c r="D450" s="64" t="s">
        <v>653</v>
      </c>
      <c r="E450" s="64" t="s">
        <v>260</v>
      </c>
      <c r="F450" s="64" t="s">
        <v>230</v>
      </c>
      <c r="G450" s="64" t="s">
        <v>16</v>
      </c>
      <c r="H450" s="64" t="s">
        <v>39</v>
      </c>
      <c r="I450" s="64" t="s">
        <v>40</v>
      </c>
      <c r="J450" s="67">
        <v>0</v>
      </c>
      <c r="K450" s="62">
        <v>-20000</v>
      </c>
      <c r="L450" s="33" t="e">
        <f>HLOOKUP(B450,#REF!,1,0)</f>
        <v>#REF!</v>
      </c>
      <c r="M450" s="33" t="str">
        <f t="shared" ref="M450:M513" si="31">IF(VALUE(LEFT(C450,5))&gt;40000,"P&amp;L","BS")</f>
        <v>BS</v>
      </c>
    </row>
    <row r="451" spans="1:13" s="33" customFormat="true" ht="12.75" customHeight="true">
      <c r="A451" s="33" t="str">
        <f t="shared" si="28"/>
        <v>CRE - Intercompany</v>
      </c>
      <c r="B451" s="33" t="str">
        <f t="shared" si="29"/>
        <v>CRE</v>
      </c>
      <c r="C451" s="33" t="str">
        <f t="shared" si="30"/>
        <v>11316-0000</v>
      </c>
      <c r="D451" s="64" t="s">
        <v>654</v>
      </c>
      <c r="E451" s="64" t="s">
        <v>264</v>
      </c>
      <c r="F451" s="64" t="s">
        <v>230</v>
      </c>
      <c r="G451" s="64" t="s">
        <v>16</v>
      </c>
      <c r="H451" s="64" t="s">
        <v>39</v>
      </c>
      <c r="I451" s="64" t="s">
        <v>40</v>
      </c>
      <c r="J451" s="67">
        <v>0</v>
      </c>
      <c r="K451" s="62">
        <v>10000</v>
      </c>
      <c r="L451" s="33" t="e">
        <f>HLOOKUP(B451,#REF!,1,0)</f>
        <v>#REF!</v>
      </c>
      <c r="M451" s="33" t="str">
        <f t="shared" si="31"/>
        <v>BS</v>
      </c>
    </row>
    <row r="452" spans="1:13" s="33" customFormat="true" ht="12.75" customHeight="true">
      <c r="A452" s="33" t="str">
        <f t="shared" si="28"/>
        <v>CRE - Intercompany</v>
      </c>
      <c r="B452" s="33" t="str">
        <f t="shared" si="29"/>
        <v>CRE</v>
      </c>
      <c r="C452" s="33" t="str">
        <f t="shared" si="30"/>
        <v>11317-0000</v>
      </c>
      <c r="D452" s="64" t="s">
        <v>655</v>
      </c>
      <c r="E452" s="64" t="s">
        <v>368</v>
      </c>
      <c r="F452" s="64" t="s">
        <v>230</v>
      </c>
      <c r="G452" s="64" t="s">
        <v>16</v>
      </c>
      <c r="H452" s="64" t="s">
        <v>39</v>
      </c>
      <c r="I452" s="64" t="s">
        <v>40</v>
      </c>
      <c r="J452" s="67">
        <v>0</v>
      </c>
      <c r="K452" s="62">
        <v>-40000</v>
      </c>
      <c r="L452" s="33" t="e">
        <f>HLOOKUP(B452,#REF!,1,0)</f>
        <v>#REF!</v>
      </c>
      <c r="M452" s="33" t="str">
        <f t="shared" si="31"/>
        <v>BS</v>
      </c>
    </row>
    <row r="453" spans="1:13" s="33" customFormat="true" ht="12.75" customHeight="true">
      <c r="A453" s="33" t="str">
        <f t="shared" si="28"/>
        <v>CRE - Intercompany</v>
      </c>
      <c r="B453" s="33" t="str">
        <f t="shared" si="29"/>
        <v>CRE</v>
      </c>
      <c r="C453" s="33" t="str">
        <f t="shared" si="30"/>
        <v>11331-0000</v>
      </c>
      <c r="D453" s="64" t="s">
        <v>656</v>
      </c>
      <c r="E453" s="64" t="s">
        <v>379</v>
      </c>
      <c r="F453" s="64" t="s">
        <v>230</v>
      </c>
      <c r="G453" s="64" t="s">
        <v>16</v>
      </c>
      <c r="H453" s="64" t="s">
        <v>39</v>
      </c>
      <c r="I453" s="64" t="s">
        <v>40</v>
      </c>
      <c r="J453" s="67">
        <v>0</v>
      </c>
      <c r="K453" s="62">
        <v>10000</v>
      </c>
      <c r="L453" s="33" t="e">
        <f>HLOOKUP(B453,#REF!,1,0)</f>
        <v>#REF!</v>
      </c>
      <c r="M453" s="33" t="str">
        <f t="shared" si="31"/>
        <v>BS</v>
      </c>
    </row>
    <row r="454" spans="1:13" s="33" customFormat="true" ht="12.75" customHeight="true">
      <c r="A454" s="33" t="str">
        <f t="shared" si="28"/>
        <v>CRE - Intercompany</v>
      </c>
      <c r="B454" s="33" t="str">
        <f t="shared" si="29"/>
        <v>CRE</v>
      </c>
      <c r="C454" s="33" t="str">
        <f t="shared" si="30"/>
        <v>11333-0000</v>
      </c>
      <c r="D454" s="64" t="s">
        <v>657</v>
      </c>
      <c r="E454" s="64" t="s">
        <v>284</v>
      </c>
      <c r="F454" s="64" t="s">
        <v>230</v>
      </c>
      <c r="G454" s="64" t="s">
        <v>16</v>
      </c>
      <c r="H454" s="64" t="s">
        <v>39</v>
      </c>
      <c r="I454" s="64" t="s">
        <v>40</v>
      </c>
      <c r="J454" s="67">
        <v>0</v>
      </c>
      <c r="K454" s="62">
        <v>10000</v>
      </c>
      <c r="L454" s="33" t="e">
        <f>HLOOKUP(B454,#REF!,1,0)</f>
        <v>#REF!</v>
      </c>
      <c r="M454" s="33" t="str">
        <f t="shared" si="31"/>
        <v>BS</v>
      </c>
    </row>
    <row r="455" spans="1:13" s="33" customFormat="true" ht="12.75" customHeight="true">
      <c r="A455" s="33" t="str">
        <f t="shared" si="28"/>
        <v>CRE - Intercompany</v>
      </c>
      <c r="B455" s="33" t="str">
        <f t="shared" si="29"/>
        <v>CRE</v>
      </c>
      <c r="C455" s="33" t="str">
        <f t="shared" si="30"/>
        <v>11343-0000</v>
      </c>
      <c r="D455" s="64" t="s">
        <v>658</v>
      </c>
      <c r="E455" s="64" t="s">
        <v>600</v>
      </c>
      <c r="F455" s="64" t="s">
        <v>230</v>
      </c>
      <c r="G455" s="64" t="s">
        <v>16</v>
      </c>
      <c r="H455" s="64" t="s">
        <v>39</v>
      </c>
      <c r="I455" s="64" t="s">
        <v>40</v>
      </c>
      <c r="J455" s="67">
        <v>0</v>
      </c>
      <c r="K455" s="62">
        <v>9900</v>
      </c>
      <c r="L455" s="33" t="e">
        <f>HLOOKUP(B455,#REF!,1,0)</f>
        <v>#REF!</v>
      </c>
      <c r="M455" s="33" t="str">
        <f t="shared" si="31"/>
        <v>BS</v>
      </c>
    </row>
    <row r="456" spans="1:13" s="33" customFormat="true" ht="12.75" customHeight="true">
      <c r="A456" s="33" t="str">
        <f t="shared" si="28"/>
        <v>CRE - Intercompany</v>
      </c>
      <c r="B456" s="33" t="str">
        <f t="shared" si="29"/>
        <v>CRE</v>
      </c>
      <c r="C456" s="33" t="str">
        <f t="shared" si="30"/>
        <v>11401-0000</v>
      </c>
      <c r="D456" s="64" t="s">
        <v>659</v>
      </c>
      <c r="E456" s="64" t="s">
        <v>660</v>
      </c>
      <c r="F456" s="64" t="s">
        <v>230</v>
      </c>
      <c r="G456" s="64" t="s">
        <v>16</v>
      </c>
      <c r="H456" s="64" t="s">
        <v>39</v>
      </c>
      <c r="I456" s="64" t="s">
        <v>40</v>
      </c>
      <c r="J456" s="67">
        <v>0</v>
      </c>
      <c r="K456" s="62">
        <v>66000</v>
      </c>
      <c r="L456" s="33" t="e">
        <f>HLOOKUP(B456,#REF!,1,0)</f>
        <v>#REF!</v>
      </c>
      <c r="M456" s="33" t="str">
        <f t="shared" si="31"/>
        <v>BS</v>
      </c>
    </row>
    <row r="457" spans="1:13" s="33" customFormat="true" ht="12.75" customHeight="true">
      <c r="A457" s="33" t="str">
        <f t="shared" si="28"/>
        <v>CRE - Intercompany</v>
      </c>
      <c r="B457" s="33" t="str">
        <f t="shared" si="29"/>
        <v>CRE</v>
      </c>
      <c r="C457" s="33" t="str">
        <f t="shared" si="30"/>
        <v>11402-0000</v>
      </c>
      <c r="D457" s="64" t="s">
        <v>661</v>
      </c>
      <c r="E457" s="64" t="s">
        <v>662</v>
      </c>
      <c r="F457" s="64" t="s">
        <v>230</v>
      </c>
      <c r="G457" s="64" t="s">
        <v>16</v>
      </c>
      <c r="H457" s="64" t="s">
        <v>39</v>
      </c>
      <c r="I457" s="64" t="s">
        <v>40</v>
      </c>
      <c r="J457" s="67">
        <v>0</v>
      </c>
      <c r="K457" s="62">
        <v>40000</v>
      </c>
      <c r="L457" s="33" t="e">
        <f>HLOOKUP(B457,#REF!,1,0)</f>
        <v>#REF!</v>
      </c>
      <c r="M457" s="33" t="str">
        <f t="shared" si="31"/>
        <v>BS</v>
      </c>
    </row>
    <row r="458" spans="1:13" s="33" customFormat="true" ht="12.75" customHeight="true">
      <c r="A458" s="33" t="str">
        <f t="shared" si="28"/>
        <v>CRE - Fixed Assets</v>
      </c>
      <c r="B458" s="33" t="str">
        <f t="shared" si="29"/>
        <v>CRE</v>
      </c>
      <c r="C458" s="33" t="str">
        <f t="shared" si="30"/>
        <v>14000-0000</v>
      </c>
      <c r="D458" s="64" t="s">
        <v>663</v>
      </c>
      <c r="E458" s="64" t="s">
        <v>298</v>
      </c>
      <c r="F458" s="64" t="s">
        <v>230</v>
      </c>
      <c r="G458" s="64" t="s">
        <v>62</v>
      </c>
      <c r="H458" s="64" t="s">
        <v>63</v>
      </c>
      <c r="I458" s="64" t="s">
        <v>64</v>
      </c>
      <c r="J458" s="67">
        <v>0</v>
      </c>
      <c r="K458" s="62">
        <v>2447755</v>
      </c>
      <c r="L458" s="33" t="e">
        <f>HLOOKUP(B458,#REF!,1,0)</f>
        <v>#REF!</v>
      </c>
      <c r="M458" s="33" t="str">
        <f t="shared" si="31"/>
        <v>BS</v>
      </c>
    </row>
    <row r="459" spans="1:13" s="33" customFormat="true" ht="12.75" customHeight="true">
      <c r="A459" s="33" t="str">
        <f t="shared" si="28"/>
        <v>CRE - Fixed Assets</v>
      </c>
      <c r="B459" s="33" t="str">
        <f t="shared" si="29"/>
        <v>CRE</v>
      </c>
      <c r="C459" s="33" t="str">
        <f t="shared" si="30"/>
        <v>15000-0000</v>
      </c>
      <c r="D459" s="64" t="s">
        <v>664</v>
      </c>
      <c r="E459" s="64" t="s">
        <v>300</v>
      </c>
      <c r="F459" s="64" t="s">
        <v>230</v>
      </c>
      <c r="G459" s="64" t="s">
        <v>62</v>
      </c>
      <c r="H459" s="64" t="s">
        <v>63</v>
      </c>
      <c r="I459" s="64" t="s">
        <v>64</v>
      </c>
      <c r="J459" s="67">
        <v>0</v>
      </c>
      <c r="K459" s="62">
        <v>4896245</v>
      </c>
      <c r="L459" s="33" t="e">
        <f>HLOOKUP(B459,#REF!,1,0)</f>
        <v>#REF!</v>
      </c>
      <c r="M459" s="33" t="str">
        <f t="shared" si="31"/>
        <v>BS</v>
      </c>
    </row>
    <row r="460" spans="1:13" s="33" customFormat="true" ht="12.75" customHeight="true">
      <c r="A460" s="33" t="str">
        <f t="shared" si="28"/>
        <v>CRE - Fixed Assets</v>
      </c>
      <c r="B460" s="33" t="str">
        <f t="shared" si="29"/>
        <v>CRE</v>
      </c>
      <c r="C460" s="33" t="str">
        <f t="shared" si="30"/>
        <v>15500-0000</v>
      </c>
      <c r="D460" s="64" t="s">
        <v>665</v>
      </c>
      <c r="E460" s="64" t="s">
        <v>302</v>
      </c>
      <c r="F460" s="64" t="s">
        <v>230</v>
      </c>
      <c r="G460" s="64" t="s">
        <v>62</v>
      </c>
      <c r="H460" s="64" t="s">
        <v>63</v>
      </c>
      <c r="I460" s="64" t="s">
        <v>64</v>
      </c>
      <c r="J460" s="67">
        <v>0</v>
      </c>
      <c r="K460" s="62">
        <v>680778.27</v>
      </c>
      <c r="L460" s="33" t="e">
        <f>HLOOKUP(B460,#REF!,1,0)</f>
        <v>#REF!</v>
      </c>
      <c r="M460" s="33" t="str">
        <f t="shared" si="31"/>
        <v>BS</v>
      </c>
    </row>
    <row r="461" spans="1:13" s="33" customFormat="true" ht="12.75" customHeight="true">
      <c r="A461" s="33" t="str">
        <f t="shared" si="28"/>
        <v>CRE - Fixed Assets</v>
      </c>
      <c r="B461" s="33" t="str">
        <f t="shared" si="29"/>
        <v>CRE</v>
      </c>
      <c r="C461" s="33" t="str">
        <f t="shared" si="30"/>
        <v>17000-0000</v>
      </c>
      <c r="D461" s="64" t="s">
        <v>666</v>
      </c>
      <c r="E461" s="64" t="s">
        <v>306</v>
      </c>
      <c r="F461" s="64" t="s">
        <v>230</v>
      </c>
      <c r="G461" s="64" t="s">
        <v>62</v>
      </c>
      <c r="H461" s="64" t="s">
        <v>63</v>
      </c>
      <c r="I461" s="64" t="s">
        <v>64</v>
      </c>
      <c r="J461" s="67">
        <v>0</v>
      </c>
      <c r="K461" s="62">
        <v>-2011997</v>
      </c>
      <c r="L461" s="33" t="e">
        <f>HLOOKUP(B461,#REF!,1,0)</f>
        <v>#REF!</v>
      </c>
      <c r="M461" s="33" t="str">
        <f t="shared" si="31"/>
        <v>BS</v>
      </c>
    </row>
    <row r="462" spans="1:13" s="33" customFormat="true" ht="12.75" customHeight="true">
      <c r="A462" s="33" t="str">
        <f t="shared" si="28"/>
        <v>CRE - Fixed Assets</v>
      </c>
      <c r="B462" s="33" t="str">
        <f t="shared" si="29"/>
        <v>CRE</v>
      </c>
      <c r="C462" s="33" t="str">
        <f t="shared" si="30"/>
        <v>18000-0000</v>
      </c>
      <c r="D462" s="64" t="s">
        <v>667</v>
      </c>
      <c r="E462" s="64" t="s">
        <v>308</v>
      </c>
      <c r="F462" s="64" t="s">
        <v>230</v>
      </c>
      <c r="G462" s="64" t="s">
        <v>62</v>
      </c>
      <c r="H462" s="64" t="s">
        <v>63</v>
      </c>
      <c r="I462" s="64" t="s">
        <v>64</v>
      </c>
      <c r="J462" s="67">
        <v>0</v>
      </c>
      <c r="K462" s="62">
        <v>-102057</v>
      </c>
      <c r="L462" s="33" t="e">
        <f>HLOOKUP(B462,#REF!,1,0)</f>
        <v>#REF!</v>
      </c>
      <c r="M462" s="33" t="str">
        <f t="shared" si="31"/>
        <v>BS</v>
      </c>
    </row>
    <row r="463" spans="1:13" s="33" customFormat="true" ht="12.75" customHeight="true">
      <c r="A463" s="33" t="str">
        <f t="shared" si="28"/>
        <v>CRE - Deposits</v>
      </c>
      <c r="B463" s="33" t="str">
        <f t="shared" si="29"/>
        <v>CRE</v>
      </c>
      <c r="C463" s="33" t="str">
        <f t="shared" si="30"/>
        <v>19001-0000</v>
      </c>
      <c r="D463" s="64" t="s">
        <v>668</v>
      </c>
      <c r="E463" s="64" t="s">
        <v>344</v>
      </c>
      <c r="F463" s="64" t="s">
        <v>230</v>
      </c>
      <c r="G463" s="64" t="s">
        <v>62</v>
      </c>
      <c r="H463" s="64" t="s">
        <v>80</v>
      </c>
      <c r="I463" s="64" t="s">
        <v>81</v>
      </c>
      <c r="J463" s="67">
        <v>0</v>
      </c>
      <c r="K463" s="62">
        <v>4.93</v>
      </c>
      <c r="L463" s="33" t="e">
        <f>HLOOKUP(B463,#REF!,1,0)</f>
        <v>#REF!</v>
      </c>
      <c r="M463" s="33" t="str">
        <f t="shared" si="31"/>
        <v>BS</v>
      </c>
    </row>
    <row r="464" spans="1:13" s="33" customFormat="true" ht="12.75" customHeight="true">
      <c r="A464" s="33" t="str">
        <f t="shared" si="28"/>
        <v>CRE - AP-Accr Exp</v>
      </c>
      <c r="B464" s="33" t="str">
        <f t="shared" si="29"/>
        <v>CRE</v>
      </c>
      <c r="C464" s="33" t="str">
        <f t="shared" si="30"/>
        <v>20001-0000</v>
      </c>
      <c r="D464" s="64" t="s">
        <v>669</v>
      </c>
      <c r="E464" s="64" t="s">
        <v>96</v>
      </c>
      <c r="F464" s="64" t="s">
        <v>230</v>
      </c>
      <c r="G464" s="64" t="s">
        <v>97</v>
      </c>
      <c r="H464" s="64" t="s">
        <v>98</v>
      </c>
      <c r="I464" s="64" t="s">
        <v>99</v>
      </c>
      <c r="J464" s="67">
        <v>1718.48</v>
      </c>
      <c r="K464" s="62">
        <v>0</v>
      </c>
      <c r="L464" s="33" t="e">
        <f>HLOOKUP(B464,#REF!,1,0)</f>
        <v>#REF!</v>
      </c>
      <c r="M464" s="33" t="str">
        <f t="shared" si="31"/>
        <v>BS</v>
      </c>
    </row>
    <row r="465" spans="1:13" s="33" customFormat="true" ht="12.75" customHeight="true">
      <c r="A465" s="33" t="str">
        <f t="shared" si="28"/>
        <v>CRE - AP-Accr Exp</v>
      </c>
      <c r="B465" s="33" t="str">
        <f t="shared" si="29"/>
        <v>CRE</v>
      </c>
      <c r="C465" s="33" t="str">
        <f t="shared" si="30"/>
        <v>23509-0000</v>
      </c>
      <c r="D465" s="64" t="s">
        <v>670</v>
      </c>
      <c r="E465" s="64" t="s">
        <v>111</v>
      </c>
      <c r="F465" s="64" t="s">
        <v>230</v>
      </c>
      <c r="G465" s="64" t="s">
        <v>97</v>
      </c>
      <c r="H465" s="64" t="s">
        <v>98</v>
      </c>
      <c r="I465" s="64" t="s">
        <v>102</v>
      </c>
      <c r="J465" s="67">
        <v>0</v>
      </c>
      <c r="K465" s="62">
        <v>0</v>
      </c>
      <c r="L465" s="33" t="e">
        <f>HLOOKUP(B465,#REF!,1,0)</f>
        <v>#REF!</v>
      </c>
      <c r="M465" s="33" t="str">
        <f t="shared" si="31"/>
        <v>BS</v>
      </c>
    </row>
    <row r="466" spans="1:13" s="33" customFormat="true" ht="12.75" customHeight="true">
      <c r="A466" s="33" t="str">
        <f t="shared" si="28"/>
        <v>CRE - AP-Accr Exp</v>
      </c>
      <c r="B466" s="33" t="str">
        <f t="shared" si="29"/>
        <v>CRE</v>
      </c>
      <c r="C466" s="33" t="str">
        <f t="shared" si="30"/>
        <v>24800-0000</v>
      </c>
      <c r="D466" s="64" t="s">
        <v>671</v>
      </c>
      <c r="E466" s="64" t="s">
        <v>232</v>
      </c>
      <c r="F466" s="64" t="s">
        <v>230</v>
      </c>
      <c r="G466" s="64" t="s">
        <v>97</v>
      </c>
      <c r="H466" s="64" t="s">
        <v>98</v>
      </c>
      <c r="I466" s="64" t="s">
        <v>102</v>
      </c>
      <c r="J466" s="67">
        <v>154</v>
      </c>
      <c r="K466" s="62">
        <v>-98947</v>
      </c>
      <c r="L466" s="33" t="e">
        <f>HLOOKUP(B466,#REF!,1,0)</f>
        <v>#REF!</v>
      </c>
      <c r="M466" s="33" t="str">
        <f t="shared" si="31"/>
        <v>BS</v>
      </c>
    </row>
    <row r="467" spans="1:13" s="33" customFormat="true" ht="12.75" customHeight="true">
      <c r="A467" s="33" t="str">
        <f t="shared" si="28"/>
        <v>CRE - AP-Accr Exp</v>
      </c>
      <c r="B467" s="33" t="str">
        <f t="shared" si="29"/>
        <v>CRE</v>
      </c>
      <c r="C467" s="33" t="str">
        <f t="shared" si="30"/>
        <v>24801-0000</v>
      </c>
      <c r="D467" s="64" t="s">
        <v>672</v>
      </c>
      <c r="E467" s="64" t="s">
        <v>673</v>
      </c>
      <c r="F467" s="64" t="s">
        <v>230</v>
      </c>
      <c r="G467" s="64" t="s">
        <v>97</v>
      </c>
      <c r="H467" s="64" t="s">
        <v>98</v>
      </c>
      <c r="I467" s="64" t="s">
        <v>102</v>
      </c>
      <c r="J467" s="67">
        <v>0</v>
      </c>
      <c r="K467" s="62">
        <v>0</v>
      </c>
      <c r="L467" s="33" t="e">
        <f>HLOOKUP(B467,#REF!,1,0)</f>
        <v>#REF!</v>
      </c>
      <c r="M467" s="33" t="str">
        <f t="shared" si="31"/>
        <v>BS</v>
      </c>
    </row>
    <row r="468" spans="1:13" s="33" customFormat="true" ht="12.75" customHeight="true">
      <c r="A468" s="33" t="str">
        <f t="shared" si="28"/>
        <v>CRE - Principal</v>
      </c>
      <c r="B468" s="33" t="str">
        <f t="shared" si="29"/>
        <v>CRE</v>
      </c>
      <c r="C468" s="33" t="str">
        <f t="shared" si="30"/>
        <v>28003-0000</v>
      </c>
      <c r="D468" s="64" t="s">
        <v>674</v>
      </c>
      <c r="E468" s="64" t="s">
        <v>615</v>
      </c>
      <c r="F468" s="64" t="s">
        <v>230</v>
      </c>
      <c r="G468" s="64" t="s">
        <v>123</v>
      </c>
      <c r="H468" s="64" t="s">
        <v>127</v>
      </c>
      <c r="I468" s="64" t="s">
        <v>133</v>
      </c>
      <c r="J468" s="67">
        <v>10982.31</v>
      </c>
      <c r="K468" s="62">
        <v>-6861150.49</v>
      </c>
      <c r="L468" s="33" t="e">
        <f>HLOOKUP(B468,#REF!,1,0)</f>
        <v>#REF!</v>
      </c>
      <c r="M468" s="33" t="str">
        <f t="shared" si="31"/>
        <v>BS</v>
      </c>
    </row>
    <row r="469" spans="1:13" s="33" customFormat="true" ht="12.75" customHeight="true">
      <c r="A469" s="33" t="str">
        <f t="shared" si="28"/>
        <v>CRE - SH Dist</v>
      </c>
      <c r="B469" s="33" t="str">
        <f t="shared" si="29"/>
        <v>CRE</v>
      </c>
      <c r="C469" s="33" t="str">
        <f t="shared" si="30"/>
        <v>30700-0000</v>
      </c>
      <c r="D469" s="64" t="s">
        <v>675</v>
      </c>
      <c r="E469" s="64" t="s">
        <v>319</v>
      </c>
      <c r="F469" s="64" t="s">
        <v>230</v>
      </c>
      <c r="G469" s="64" t="s">
        <v>142</v>
      </c>
      <c r="H469" s="64" t="s">
        <v>143</v>
      </c>
      <c r="I469" s="64" t="s">
        <v>144</v>
      </c>
      <c r="J469" s="67">
        <v>0</v>
      </c>
      <c r="K469" s="62">
        <v>348072.68</v>
      </c>
      <c r="L469" s="33" t="e">
        <f>HLOOKUP(B469,#REF!,1,0)</f>
        <v>#REF!</v>
      </c>
      <c r="M469" s="33" t="str">
        <f t="shared" si="31"/>
        <v>BS</v>
      </c>
    </row>
    <row r="470" spans="1:13" s="33" customFormat="true" ht="12.75" customHeight="true">
      <c r="A470" s="33" t="str">
        <f t="shared" si="28"/>
        <v>CRE - Retained Earnings</v>
      </c>
      <c r="B470" s="33" t="str">
        <f t="shared" si="29"/>
        <v>CRE</v>
      </c>
      <c r="C470" s="33" t="str">
        <f t="shared" si="30"/>
        <v>32000-0000</v>
      </c>
      <c r="D470" s="64" t="s">
        <v>676</v>
      </c>
      <c r="E470" s="64" t="s">
        <v>234</v>
      </c>
      <c r="F470" s="64" t="s">
        <v>230</v>
      </c>
      <c r="G470" s="64" t="s">
        <v>142</v>
      </c>
      <c r="H470" s="64" t="s">
        <v>149</v>
      </c>
      <c r="I470" s="64" t="s">
        <v>235</v>
      </c>
      <c r="J470" s="67">
        <v>0</v>
      </c>
      <c r="K470" s="62">
        <v>826280.39</v>
      </c>
      <c r="L470" s="33" t="e">
        <f>HLOOKUP(B470,#REF!,1,0)</f>
        <v>#REF!</v>
      </c>
      <c r="M470" s="33" t="str">
        <f t="shared" si="31"/>
        <v>BS</v>
      </c>
    </row>
    <row r="471" spans="1:13" s="33" customFormat="true" ht="12.75" customHeight="true">
      <c r="A471" s="33" t="str">
        <f t="shared" si="28"/>
        <v>CST - Cash</v>
      </c>
      <c r="B471" s="33" t="str">
        <f t="shared" si="29"/>
        <v>CST</v>
      </c>
      <c r="C471" s="33" t="str">
        <f t="shared" si="30"/>
        <v>10021-0000</v>
      </c>
      <c r="D471" s="64" t="s">
        <v>677</v>
      </c>
      <c r="E471" s="64" t="s">
        <v>678</v>
      </c>
      <c r="F471" s="64" t="s">
        <v>679</v>
      </c>
      <c r="G471" s="64" t="s">
        <v>16</v>
      </c>
      <c r="H471" s="64" t="s">
        <v>25</v>
      </c>
      <c r="I471" s="64" t="s">
        <v>18</v>
      </c>
      <c r="J471" s="67">
        <v>-32315.83</v>
      </c>
      <c r="K471" s="62">
        <v>-260080.42</v>
      </c>
      <c r="L471" s="33" t="e">
        <f>HLOOKUP(B471,#REF!,1,0)</f>
        <v>#REF!</v>
      </c>
      <c r="M471" s="33" t="str">
        <f t="shared" si="31"/>
        <v>BS</v>
      </c>
    </row>
    <row r="472" spans="1:13" s="33" customFormat="true" ht="12.75" customHeight="true">
      <c r="A472" s="33" t="str">
        <f t="shared" si="28"/>
        <v>CST - Fixed Assets</v>
      </c>
      <c r="B472" s="33" t="str">
        <f t="shared" si="29"/>
        <v>CST</v>
      </c>
      <c r="C472" s="33" t="str">
        <f t="shared" si="30"/>
        <v>15300-0000</v>
      </c>
      <c r="D472" s="64" t="s">
        <v>680</v>
      </c>
      <c r="E472" s="64" t="s">
        <v>70</v>
      </c>
      <c r="F472" s="64" t="s">
        <v>681</v>
      </c>
      <c r="G472" s="64" t="s">
        <v>62</v>
      </c>
      <c r="H472" s="64" t="s">
        <v>63</v>
      </c>
      <c r="I472" s="64" t="s">
        <v>81</v>
      </c>
      <c r="J472" s="67">
        <v>0</v>
      </c>
      <c r="K472" s="62">
        <v>724954.22</v>
      </c>
      <c r="L472" s="33" t="e">
        <f>HLOOKUP(B472,#REF!,1,0)</f>
        <v>#REF!</v>
      </c>
      <c r="M472" s="33" t="str">
        <f t="shared" si="31"/>
        <v>BS</v>
      </c>
    </row>
    <row r="473" spans="1:13" s="33" customFormat="true" ht="12.75" customHeight="true">
      <c r="A473" s="33" t="str">
        <f t="shared" si="28"/>
        <v>CST - Fixed Assets</v>
      </c>
      <c r="B473" s="33" t="str">
        <f t="shared" si="29"/>
        <v>CST</v>
      </c>
      <c r="C473" s="33" t="str">
        <f t="shared" si="30"/>
        <v>16300-0000</v>
      </c>
      <c r="D473" s="64" t="s">
        <v>682</v>
      </c>
      <c r="E473" s="64" t="s">
        <v>683</v>
      </c>
      <c r="F473" s="64" t="s">
        <v>681</v>
      </c>
      <c r="G473" s="64" t="s">
        <v>62</v>
      </c>
      <c r="H473" s="64" t="s">
        <v>63</v>
      </c>
      <c r="I473" s="64" t="s">
        <v>64</v>
      </c>
      <c r="J473" s="67">
        <v>0</v>
      </c>
      <c r="K473" s="62">
        <v>-25265</v>
      </c>
      <c r="L473" s="33" t="e">
        <f>HLOOKUP(B473,#REF!,1,0)</f>
        <v>#REF!</v>
      </c>
      <c r="M473" s="33" t="str">
        <f t="shared" si="31"/>
        <v>BS</v>
      </c>
    </row>
    <row r="474" spans="1:13" s="33" customFormat="true" ht="12.75" customHeight="true">
      <c r="A474" s="33" t="str">
        <f t="shared" si="28"/>
        <v>CST - AP-Accr Exp</v>
      </c>
      <c r="B474" s="33" t="str">
        <f t="shared" si="29"/>
        <v>CST</v>
      </c>
      <c r="C474" s="33" t="str">
        <f t="shared" si="30"/>
        <v>20001-0000</v>
      </c>
      <c r="D474" s="64" t="s">
        <v>684</v>
      </c>
      <c r="E474" s="64" t="s">
        <v>96</v>
      </c>
      <c r="F474" s="64" t="s">
        <v>679</v>
      </c>
      <c r="G474" s="64" t="s">
        <v>97</v>
      </c>
      <c r="H474" s="64" t="s">
        <v>98</v>
      </c>
      <c r="I474" s="64" t="s">
        <v>99</v>
      </c>
      <c r="J474" s="67">
        <v>1050</v>
      </c>
      <c r="K474" s="62">
        <v>6825.4</v>
      </c>
      <c r="L474" s="33" t="e">
        <f>HLOOKUP(B474,#REF!,1,0)</f>
        <v>#REF!</v>
      </c>
      <c r="M474" s="33" t="str">
        <f t="shared" si="31"/>
        <v>BS</v>
      </c>
    </row>
    <row r="475" spans="1:13" s="33" customFormat="true" ht="12.75" customHeight="true">
      <c r="A475" s="33" t="str">
        <f t="shared" si="28"/>
        <v>CST - AP-Accr Exp</v>
      </c>
      <c r="B475" s="33" t="str">
        <f t="shared" si="29"/>
        <v>CST</v>
      </c>
      <c r="C475" s="33" t="str">
        <f t="shared" si="30"/>
        <v>24001-0000</v>
      </c>
      <c r="D475" s="64" t="s">
        <v>685</v>
      </c>
      <c r="E475" s="64" t="s">
        <v>686</v>
      </c>
      <c r="F475" s="64" t="s">
        <v>681</v>
      </c>
      <c r="G475" s="64" t="s">
        <v>97</v>
      </c>
      <c r="H475" s="64" t="s">
        <v>98</v>
      </c>
      <c r="I475" s="64" t="s">
        <v>102</v>
      </c>
      <c r="J475" s="67">
        <v>0</v>
      </c>
      <c r="K475" s="62">
        <v>-800</v>
      </c>
      <c r="L475" s="33" t="e">
        <f>HLOOKUP(B475,#REF!,1,0)</f>
        <v>#REF!</v>
      </c>
      <c r="M475" s="33" t="str">
        <f t="shared" si="31"/>
        <v>BS</v>
      </c>
    </row>
    <row r="476" spans="1:13" s="33" customFormat="true" ht="12.75" customHeight="true">
      <c r="A476" s="33" t="str">
        <f t="shared" si="28"/>
        <v>CST - Principal</v>
      </c>
      <c r="B476" s="33" t="str">
        <f t="shared" si="29"/>
        <v>CST</v>
      </c>
      <c r="C476" s="33" t="str">
        <f t="shared" si="30"/>
        <v>26700-0000</v>
      </c>
      <c r="D476" s="64" t="s">
        <v>687</v>
      </c>
      <c r="E476" s="64" t="s">
        <v>688</v>
      </c>
      <c r="F476" s="64" t="s">
        <v>679</v>
      </c>
      <c r="G476" s="64" t="s">
        <v>97</v>
      </c>
      <c r="H476" s="64" t="s">
        <v>127</v>
      </c>
      <c r="I476" s="64" t="s">
        <v>102</v>
      </c>
      <c r="J476" s="67">
        <v>0</v>
      </c>
      <c r="K476" s="62">
        <v>0</v>
      </c>
      <c r="L476" s="33" t="e">
        <f>HLOOKUP(B476,#REF!,1,0)</f>
        <v>#REF!</v>
      </c>
      <c r="M476" s="33" t="str">
        <f t="shared" si="31"/>
        <v>BS</v>
      </c>
    </row>
    <row r="477" spans="1:13" s="33" customFormat="true" ht="12.75" customHeight="true">
      <c r="A477" s="33" t="str">
        <f t="shared" si="28"/>
        <v>CST - Retained Earnings</v>
      </c>
      <c r="B477" s="33" t="str">
        <f t="shared" si="29"/>
        <v>CST</v>
      </c>
      <c r="C477" s="33" t="str">
        <f t="shared" si="30"/>
        <v>32000-0000</v>
      </c>
      <c r="D477" s="64" t="s">
        <v>689</v>
      </c>
      <c r="E477" s="64" t="s">
        <v>234</v>
      </c>
      <c r="F477" s="64" t="s">
        <v>679</v>
      </c>
      <c r="G477" s="64" t="s">
        <v>142</v>
      </c>
      <c r="H477" s="64" t="s">
        <v>149</v>
      </c>
      <c r="I477" s="64" t="s">
        <v>150</v>
      </c>
      <c r="J477" s="67">
        <v>0</v>
      </c>
      <c r="K477" s="62">
        <v>2356403.25</v>
      </c>
      <c r="L477" s="33" t="e">
        <f>HLOOKUP(B477,#REF!,1,0)</f>
        <v>#REF!</v>
      </c>
      <c r="M477" s="33" t="str">
        <f t="shared" si="31"/>
        <v>BS</v>
      </c>
    </row>
    <row r="478" spans="1:13" s="33" customFormat="true" ht="12.75" customHeight="true">
      <c r="A478" s="33" t="str">
        <f t="shared" si="28"/>
        <v>CST - SH Dist</v>
      </c>
      <c r="B478" s="33" t="str">
        <f t="shared" si="29"/>
        <v>CST</v>
      </c>
      <c r="C478" s="33" t="str">
        <f t="shared" si="30"/>
        <v>36001-0000</v>
      </c>
      <c r="D478" s="64" t="s">
        <v>690</v>
      </c>
      <c r="E478" s="64" t="s">
        <v>589</v>
      </c>
      <c r="F478" s="64" t="s">
        <v>679</v>
      </c>
      <c r="G478" s="64" t="s">
        <v>142</v>
      </c>
      <c r="H478" s="64" t="s">
        <v>143</v>
      </c>
      <c r="I478" s="64" t="s">
        <v>144</v>
      </c>
      <c r="J478" s="67">
        <v>-100000</v>
      </c>
      <c r="K478" s="62">
        <v>-3993000</v>
      </c>
      <c r="L478" s="33" t="e">
        <f>HLOOKUP(B478,#REF!,1,0)</f>
        <v>#REF!</v>
      </c>
      <c r="M478" s="33" t="str">
        <f t="shared" si="31"/>
        <v>BS</v>
      </c>
    </row>
    <row r="479" spans="1:13" s="33" customFormat="true" ht="12.75" customHeight="true">
      <c r="A479" s="33" t="str">
        <f t="shared" si="28"/>
        <v>D7R - InterCo Notes</v>
      </c>
      <c r="B479" s="33" t="str">
        <f t="shared" si="29"/>
        <v>D7R</v>
      </c>
      <c r="C479" s="33" t="str">
        <f t="shared" si="30"/>
        <v>11010-0000</v>
      </c>
      <c r="D479" s="64" t="s">
        <v>691</v>
      </c>
      <c r="E479" s="64" t="s">
        <v>692</v>
      </c>
      <c r="F479" s="64" t="s">
        <v>679</v>
      </c>
      <c r="G479" s="64" t="s">
        <v>16</v>
      </c>
      <c r="H479" s="64" t="s">
        <v>315</v>
      </c>
      <c r="I479" s="64" t="s">
        <v>40</v>
      </c>
      <c r="J479" s="67">
        <v>0</v>
      </c>
      <c r="K479" s="62">
        <v>250000</v>
      </c>
      <c r="L479" s="33" t="e">
        <f>HLOOKUP(B479,#REF!,1,0)</f>
        <v>#REF!</v>
      </c>
      <c r="M479" s="33" t="str">
        <f t="shared" si="31"/>
        <v>BS</v>
      </c>
    </row>
    <row r="480" spans="1:13" s="33" customFormat="true" ht="12.75" customHeight="true">
      <c r="A480" s="33" t="str">
        <f t="shared" si="28"/>
        <v>D7R - InterCo Notes</v>
      </c>
      <c r="B480" s="33" t="str">
        <f t="shared" si="29"/>
        <v>D7R</v>
      </c>
      <c r="C480" s="33" t="str">
        <f t="shared" si="30"/>
        <v>11020-0000</v>
      </c>
      <c r="D480" s="64" t="s">
        <v>693</v>
      </c>
      <c r="E480" s="64" t="s">
        <v>694</v>
      </c>
      <c r="F480" s="64" t="s">
        <v>679</v>
      </c>
      <c r="G480" s="64" t="s">
        <v>16</v>
      </c>
      <c r="H480" s="64" t="s">
        <v>315</v>
      </c>
      <c r="I480" s="64" t="s">
        <v>40</v>
      </c>
      <c r="J480" s="67">
        <v>0</v>
      </c>
      <c r="K480" s="62">
        <v>724064.55</v>
      </c>
      <c r="L480" s="33" t="e">
        <f>HLOOKUP(B480,#REF!,1,0)</f>
        <v>#REF!</v>
      </c>
      <c r="M480" s="33" t="str">
        <f t="shared" si="31"/>
        <v>BS</v>
      </c>
    </row>
    <row r="481" spans="1:13" s="33" customFormat="true" ht="12.75" customHeight="true">
      <c r="A481" s="33" t="str">
        <f t="shared" si="28"/>
        <v>D7R - InterCo Notes</v>
      </c>
      <c r="B481" s="33" t="str">
        <f t="shared" si="29"/>
        <v>D7R</v>
      </c>
      <c r="C481" s="33" t="str">
        <f t="shared" si="30"/>
        <v>11040-0000</v>
      </c>
      <c r="D481" s="64" t="s">
        <v>695</v>
      </c>
      <c r="E481" s="64" t="s">
        <v>696</v>
      </c>
      <c r="F481" s="64" t="s">
        <v>679</v>
      </c>
      <c r="G481" s="64" t="s">
        <v>16</v>
      </c>
      <c r="H481" s="64" t="s">
        <v>315</v>
      </c>
      <c r="I481" s="64" t="s">
        <v>40</v>
      </c>
      <c r="J481" s="67">
        <v>0</v>
      </c>
      <c r="K481" s="62">
        <v>1684000</v>
      </c>
      <c r="L481" s="33" t="e">
        <f>HLOOKUP(B481,#REF!,1,0)</f>
        <v>#REF!</v>
      </c>
      <c r="M481" s="33" t="str">
        <f t="shared" si="31"/>
        <v>BS</v>
      </c>
    </row>
    <row r="482" spans="1:13" s="33" customFormat="true" ht="12.75" customHeight="true">
      <c r="A482" s="33" t="str">
        <f t="shared" si="28"/>
        <v>D7R - InterCo Notes</v>
      </c>
      <c r="B482" s="33" t="str">
        <f t="shared" si="29"/>
        <v>D7R</v>
      </c>
      <c r="C482" s="33" t="str">
        <f t="shared" si="30"/>
        <v>11043-0000</v>
      </c>
      <c r="D482" s="64" t="s">
        <v>697</v>
      </c>
      <c r="E482" s="64" t="s">
        <v>698</v>
      </c>
      <c r="F482" s="64" t="s">
        <v>679</v>
      </c>
      <c r="G482" s="64" t="s">
        <v>16</v>
      </c>
      <c r="H482" s="64" t="s">
        <v>315</v>
      </c>
      <c r="I482" s="64" t="s">
        <v>40</v>
      </c>
      <c r="J482" s="67">
        <v>0</v>
      </c>
      <c r="K482" s="62">
        <v>514110.32</v>
      </c>
      <c r="L482" s="33" t="e">
        <f>HLOOKUP(B482,#REF!,1,0)</f>
        <v>#REF!</v>
      </c>
      <c r="M482" s="33" t="str">
        <f t="shared" si="31"/>
        <v>BS</v>
      </c>
    </row>
    <row r="483" spans="1:13" s="33" customFormat="true" ht="12.75" customHeight="true">
      <c r="A483" s="33" t="str">
        <f t="shared" si="28"/>
        <v>D7R - InterCo Notes</v>
      </c>
      <c r="B483" s="33" t="str">
        <f t="shared" si="29"/>
        <v>D7R</v>
      </c>
      <c r="C483" s="33" t="str">
        <f t="shared" si="30"/>
        <v>11044-0000</v>
      </c>
      <c r="D483" s="64" t="s">
        <v>699</v>
      </c>
      <c r="E483" s="64" t="s">
        <v>700</v>
      </c>
      <c r="F483" s="64" t="s">
        <v>679</v>
      </c>
      <c r="G483" s="64" t="s">
        <v>16</v>
      </c>
      <c r="H483" s="64" t="s">
        <v>315</v>
      </c>
      <c r="I483" s="64" t="s">
        <v>40</v>
      </c>
      <c r="J483" s="67">
        <v>0</v>
      </c>
      <c r="K483" s="62">
        <v>2257144.53</v>
      </c>
      <c r="L483" s="33" t="e">
        <f>HLOOKUP(B483,#REF!,1,0)</f>
        <v>#REF!</v>
      </c>
      <c r="M483" s="33" t="str">
        <f t="shared" si="31"/>
        <v>BS</v>
      </c>
    </row>
    <row r="484" spans="1:13" s="33" customFormat="true" ht="12.75" customHeight="true">
      <c r="A484" s="33" t="str">
        <f t="shared" si="28"/>
        <v>D7R - InterCo Notes</v>
      </c>
      <c r="B484" s="33" t="str">
        <f t="shared" si="29"/>
        <v>D7R</v>
      </c>
      <c r="C484" s="33" t="str">
        <f t="shared" si="30"/>
        <v>11045-0000</v>
      </c>
      <c r="D484" s="64" t="s">
        <v>701</v>
      </c>
      <c r="E484" s="64" t="s">
        <v>702</v>
      </c>
      <c r="F484" s="64" t="s">
        <v>679</v>
      </c>
      <c r="G484" s="64" t="s">
        <v>16</v>
      </c>
      <c r="H484" s="64" t="s">
        <v>315</v>
      </c>
      <c r="I484" s="64" t="s">
        <v>40</v>
      </c>
      <c r="J484" s="67">
        <v>0</v>
      </c>
      <c r="K484" s="62">
        <v>2460000</v>
      </c>
      <c r="L484" s="33" t="e">
        <f>HLOOKUP(B484,#REF!,1,0)</f>
        <v>#REF!</v>
      </c>
      <c r="M484" s="33" t="str">
        <f t="shared" si="31"/>
        <v>BS</v>
      </c>
    </row>
    <row r="485" spans="1:13" s="33" customFormat="true" ht="12.75" customHeight="true">
      <c r="A485" s="33" t="str">
        <f t="shared" si="28"/>
        <v>D7R - InterCo Notes</v>
      </c>
      <c r="B485" s="33" t="str">
        <f t="shared" si="29"/>
        <v>D7R</v>
      </c>
      <c r="C485" s="33" t="str">
        <f t="shared" si="30"/>
        <v>11046-0000</v>
      </c>
      <c r="D485" s="64" t="s">
        <v>703</v>
      </c>
      <c r="E485" s="64" t="s">
        <v>704</v>
      </c>
      <c r="F485" s="64" t="s">
        <v>679</v>
      </c>
      <c r="G485" s="64" t="s">
        <v>16</v>
      </c>
      <c r="H485" s="64" t="s">
        <v>315</v>
      </c>
      <c r="I485" s="64" t="s">
        <v>40</v>
      </c>
      <c r="J485" s="67">
        <v>0</v>
      </c>
      <c r="K485" s="62">
        <v>2442000</v>
      </c>
      <c r="L485" s="33" t="e">
        <f>HLOOKUP(B485,#REF!,1,0)</f>
        <v>#REF!</v>
      </c>
      <c r="M485" s="33" t="str">
        <f t="shared" si="31"/>
        <v>BS</v>
      </c>
    </row>
    <row r="486" spans="1:13" s="33" customFormat="true" ht="12.75" customHeight="true">
      <c r="A486" s="33" t="str">
        <f t="shared" si="28"/>
        <v>D7R - InterCo Notes</v>
      </c>
      <c r="B486" s="33" t="str">
        <f t="shared" si="29"/>
        <v>D7R</v>
      </c>
      <c r="C486" s="33" t="str">
        <f t="shared" si="30"/>
        <v>11049-0000</v>
      </c>
      <c r="D486" s="64" t="s">
        <v>705</v>
      </c>
      <c r="E486" s="64" t="s">
        <v>706</v>
      </c>
      <c r="F486" s="64" t="s">
        <v>679</v>
      </c>
      <c r="G486" s="64" t="s">
        <v>16</v>
      </c>
      <c r="H486" s="64" t="s">
        <v>315</v>
      </c>
      <c r="I486" s="64" t="s">
        <v>40</v>
      </c>
      <c r="J486" s="67">
        <v>0</v>
      </c>
      <c r="K486" s="62">
        <v>1876000</v>
      </c>
      <c r="L486" s="33" t="e">
        <f>HLOOKUP(B486,#REF!,1,0)</f>
        <v>#REF!</v>
      </c>
      <c r="M486" s="33" t="str">
        <f t="shared" si="31"/>
        <v>BS</v>
      </c>
    </row>
    <row r="487" spans="1:13" s="33" customFormat="true" ht="12.75" customHeight="true">
      <c r="A487" s="33" t="str">
        <f t="shared" si="28"/>
        <v>D7R - InterCo Notes</v>
      </c>
      <c r="B487" s="33" t="str">
        <f t="shared" si="29"/>
        <v>D7R</v>
      </c>
      <c r="C487" s="33" t="str">
        <f t="shared" si="30"/>
        <v>11050-0000</v>
      </c>
      <c r="D487" s="64" t="s">
        <v>707</v>
      </c>
      <c r="E487" s="64" t="s">
        <v>708</v>
      </c>
      <c r="F487" s="64" t="s">
        <v>679</v>
      </c>
      <c r="G487" s="64" t="s">
        <v>16</v>
      </c>
      <c r="H487" s="64" t="s">
        <v>315</v>
      </c>
      <c r="I487" s="64" t="s">
        <v>40</v>
      </c>
      <c r="J487" s="67">
        <v>0</v>
      </c>
      <c r="K487" s="62">
        <v>3250000</v>
      </c>
      <c r="L487" s="33" t="e">
        <f>HLOOKUP(B487,#REF!,1,0)</f>
        <v>#REF!</v>
      </c>
      <c r="M487" s="33" t="str">
        <f t="shared" si="31"/>
        <v>BS</v>
      </c>
    </row>
    <row r="488" spans="1:13" s="33" customFormat="true" ht="12.75" customHeight="true">
      <c r="A488" s="33" t="str">
        <f t="shared" si="28"/>
        <v>D7R - InterCo Notes</v>
      </c>
      <c r="B488" s="33" t="str">
        <f t="shared" si="29"/>
        <v>D7R</v>
      </c>
      <c r="C488" s="33" t="str">
        <f t="shared" si="30"/>
        <v>11051-0000</v>
      </c>
      <c r="D488" s="64" t="s">
        <v>709</v>
      </c>
      <c r="E488" s="64" t="s">
        <v>710</v>
      </c>
      <c r="F488" s="64" t="s">
        <v>679</v>
      </c>
      <c r="G488" s="64" t="s">
        <v>16</v>
      </c>
      <c r="H488" s="64" t="s">
        <v>315</v>
      </c>
      <c r="I488" s="64" t="s">
        <v>40</v>
      </c>
      <c r="J488" s="67">
        <v>0</v>
      </c>
      <c r="K488" s="62">
        <v>568625</v>
      </c>
      <c r="L488" s="33" t="e">
        <f>HLOOKUP(B488,#REF!,1,0)</f>
        <v>#REF!</v>
      </c>
      <c r="M488" s="33" t="str">
        <f t="shared" si="31"/>
        <v>BS</v>
      </c>
    </row>
    <row r="489" spans="1:13" s="33" customFormat="true" ht="12.75" customHeight="true">
      <c r="A489" s="33" t="str">
        <f t="shared" si="28"/>
        <v>D7R - InterCo Notes</v>
      </c>
      <c r="B489" s="33" t="str">
        <f t="shared" si="29"/>
        <v>D7R</v>
      </c>
      <c r="C489" s="33" t="str">
        <f t="shared" si="30"/>
        <v>11052-0000</v>
      </c>
      <c r="D489" s="64" t="s">
        <v>711</v>
      </c>
      <c r="E489" s="64" t="s">
        <v>712</v>
      </c>
      <c r="F489" s="64" t="s">
        <v>679</v>
      </c>
      <c r="G489" s="64" t="s">
        <v>16</v>
      </c>
      <c r="H489" s="64" t="s">
        <v>315</v>
      </c>
      <c r="I489" s="64" t="s">
        <v>40</v>
      </c>
      <c r="J489" s="67">
        <v>0</v>
      </c>
      <c r="K489" s="62">
        <v>1550000</v>
      </c>
      <c r="L489" s="33" t="e">
        <f>HLOOKUP(B489,#REF!,1,0)</f>
        <v>#REF!</v>
      </c>
      <c r="M489" s="33" t="str">
        <f t="shared" si="31"/>
        <v>BS</v>
      </c>
    </row>
    <row r="490" spans="1:13" s="33" customFormat="true" ht="12.75" customHeight="true">
      <c r="A490" s="33" t="str">
        <f t="shared" si="28"/>
        <v>D7R - InterCo Notes</v>
      </c>
      <c r="B490" s="33" t="str">
        <f t="shared" si="29"/>
        <v>D7R</v>
      </c>
      <c r="C490" s="33" t="str">
        <f t="shared" si="30"/>
        <v>11059-0000</v>
      </c>
      <c r="D490" s="64" t="s">
        <v>713</v>
      </c>
      <c r="E490" s="64" t="s">
        <v>714</v>
      </c>
      <c r="F490" s="64" t="s">
        <v>679</v>
      </c>
      <c r="G490" s="64" t="s">
        <v>362</v>
      </c>
      <c r="H490" s="64" t="s">
        <v>315</v>
      </c>
      <c r="I490" s="64" t="s">
        <v>40</v>
      </c>
      <c r="J490" s="67">
        <v>0</v>
      </c>
      <c r="K490" s="62">
        <v>120000</v>
      </c>
      <c r="L490" s="33" t="e">
        <f>HLOOKUP(B490,#REF!,1,0)</f>
        <v>#REF!</v>
      </c>
      <c r="M490" s="33" t="str">
        <f t="shared" si="31"/>
        <v>BS</v>
      </c>
    </row>
    <row r="491" spans="1:13" s="33" customFormat="true" ht="12.75" customHeight="true">
      <c r="A491" s="33" t="str">
        <f t="shared" si="28"/>
        <v>D7R - InterCo Notes</v>
      </c>
      <c r="B491" s="33" t="str">
        <f t="shared" si="29"/>
        <v>D7R</v>
      </c>
      <c r="C491" s="33" t="str">
        <f t="shared" si="30"/>
        <v>11060-0000</v>
      </c>
      <c r="D491" s="64" t="s">
        <v>715</v>
      </c>
      <c r="E491" s="64" t="s">
        <v>716</v>
      </c>
      <c r="F491" s="64" t="s">
        <v>679</v>
      </c>
      <c r="G491" s="64" t="s">
        <v>362</v>
      </c>
      <c r="H491" s="64" t="s">
        <v>315</v>
      </c>
      <c r="I491" s="64" t="s">
        <v>40</v>
      </c>
      <c r="J491" s="67">
        <v>0</v>
      </c>
      <c r="K491" s="62">
        <v>175000</v>
      </c>
      <c r="L491" s="33" t="e">
        <f>HLOOKUP(B491,#REF!,1,0)</f>
        <v>#REF!</v>
      </c>
      <c r="M491" s="33" t="str">
        <f t="shared" si="31"/>
        <v>BS</v>
      </c>
    </row>
    <row r="492" spans="1:13" s="33" customFormat="true" ht="12.75" customHeight="true">
      <c r="A492" s="33" t="str">
        <f t="shared" si="28"/>
        <v>D7R - InterCo Notes</v>
      </c>
      <c r="B492" s="33" t="str">
        <f t="shared" si="29"/>
        <v>D7R</v>
      </c>
      <c r="C492" s="33" t="str">
        <f t="shared" si="30"/>
        <v>11072-0000</v>
      </c>
      <c r="D492" s="64" t="s">
        <v>717</v>
      </c>
      <c r="E492" s="64" t="s">
        <v>718</v>
      </c>
      <c r="F492" s="64" t="s">
        <v>679</v>
      </c>
      <c r="G492" s="64" t="s">
        <v>16</v>
      </c>
      <c r="H492" s="64" t="s">
        <v>315</v>
      </c>
      <c r="I492" s="64" t="s">
        <v>40</v>
      </c>
      <c r="J492" s="67">
        <v>0</v>
      </c>
      <c r="K492" s="62">
        <v>1828872.33</v>
      </c>
      <c r="L492" s="33" t="e">
        <f>HLOOKUP(B492,#REF!,1,0)</f>
        <v>#REF!</v>
      </c>
      <c r="M492" s="33" t="str">
        <f t="shared" si="31"/>
        <v>BS</v>
      </c>
    </row>
    <row r="493" spans="1:13" s="33" customFormat="true" ht="12.75" customHeight="true">
      <c r="A493" s="33" t="str">
        <f t="shared" si="28"/>
        <v>D7R - Interco Notes</v>
      </c>
      <c r="B493" s="33" t="str">
        <f t="shared" si="29"/>
        <v>D7R</v>
      </c>
      <c r="C493" s="33" t="str">
        <f t="shared" si="30"/>
        <v>11074-0000</v>
      </c>
      <c r="D493" s="64" t="s">
        <v>719</v>
      </c>
      <c r="E493" s="64" t="s">
        <v>720</v>
      </c>
      <c r="F493" s="64" t="s">
        <v>679</v>
      </c>
      <c r="G493" s="64" t="s">
        <v>16</v>
      </c>
      <c r="H493" s="64" t="s">
        <v>721</v>
      </c>
      <c r="I493" s="64" t="s">
        <v>40</v>
      </c>
      <c r="J493" s="67">
        <v>0</v>
      </c>
      <c r="K493" s="62">
        <v>266000</v>
      </c>
      <c r="L493" s="33" t="e">
        <f>HLOOKUP(B493,#REF!,1,0)</f>
        <v>#REF!</v>
      </c>
      <c r="M493" s="33" t="str">
        <f t="shared" si="31"/>
        <v>BS</v>
      </c>
    </row>
    <row r="494" spans="1:13" s="33" customFormat="true" ht="12.75" customHeight="true">
      <c r="A494" s="33" t="str">
        <f t="shared" si="28"/>
        <v>D7R - Intercompany</v>
      </c>
      <c r="B494" s="33" t="str">
        <f t="shared" si="29"/>
        <v>D7R</v>
      </c>
      <c r="C494" s="33" t="str">
        <f t="shared" si="30"/>
        <v>11216-0000</v>
      </c>
      <c r="D494" s="64" t="s">
        <v>722</v>
      </c>
      <c r="E494" s="64" t="s">
        <v>723</v>
      </c>
      <c r="F494" s="64" t="s">
        <v>679</v>
      </c>
      <c r="G494" s="64" t="s">
        <v>16</v>
      </c>
      <c r="H494" s="64" t="s">
        <v>39</v>
      </c>
      <c r="I494" s="64" t="s">
        <v>40</v>
      </c>
      <c r="J494" s="67">
        <v>0</v>
      </c>
      <c r="K494" s="62">
        <v>184037.72</v>
      </c>
      <c r="L494" s="33" t="e">
        <f>HLOOKUP(B494,#REF!,1,0)</f>
        <v>#REF!</v>
      </c>
      <c r="M494" s="33" t="str">
        <f t="shared" si="31"/>
        <v>BS</v>
      </c>
    </row>
    <row r="495" spans="1:13" s="33" customFormat="true" ht="12.75" customHeight="true">
      <c r="A495" s="33" t="str">
        <f t="shared" si="28"/>
        <v>D7R - Intercompany</v>
      </c>
      <c r="B495" s="33" t="str">
        <f t="shared" si="29"/>
        <v>D7R</v>
      </c>
      <c r="C495" s="33" t="str">
        <f t="shared" si="30"/>
        <v>11304-0000</v>
      </c>
      <c r="D495" s="64" t="s">
        <v>724</v>
      </c>
      <c r="E495" s="64" t="s">
        <v>725</v>
      </c>
      <c r="F495" s="64" t="s">
        <v>679</v>
      </c>
      <c r="G495" s="64" t="s">
        <v>16</v>
      </c>
      <c r="H495" s="64" t="s">
        <v>39</v>
      </c>
      <c r="I495" s="64" t="s">
        <v>40</v>
      </c>
      <c r="J495" s="67">
        <v>0</v>
      </c>
      <c r="K495" s="62">
        <v>269000</v>
      </c>
      <c r="L495" s="33" t="e">
        <f>HLOOKUP(B495,#REF!,1,0)</f>
        <v>#REF!</v>
      </c>
      <c r="M495" s="33" t="str">
        <f t="shared" si="31"/>
        <v>BS</v>
      </c>
    </row>
    <row r="496" spans="1:13" s="33" customFormat="true" ht="12.75" customHeight="true">
      <c r="A496" s="33" t="str">
        <f t="shared" si="28"/>
        <v>D7R - InterCo Notes</v>
      </c>
      <c r="B496" s="33" t="str">
        <f t="shared" si="29"/>
        <v>D7R</v>
      </c>
      <c r="C496" s="33" t="str">
        <f t="shared" si="30"/>
        <v>11310-0000</v>
      </c>
      <c r="D496" s="64" t="s">
        <v>726</v>
      </c>
      <c r="E496" s="64" t="s">
        <v>256</v>
      </c>
      <c r="F496" s="64" t="s">
        <v>679</v>
      </c>
      <c r="G496" s="64" t="s">
        <v>16</v>
      </c>
      <c r="H496" s="64" t="s">
        <v>315</v>
      </c>
      <c r="I496" s="64" t="s">
        <v>40</v>
      </c>
      <c r="J496" s="67">
        <v>0</v>
      </c>
      <c r="K496" s="62">
        <v>2414000</v>
      </c>
      <c r="L496" s="33" t="e">
        <f>HLOOKUP(B496,#REF!,1,0)</f>
        <v>#REF!</v>
      </c>
      <c r="M496" s="33" t="str">
        <f t="shared" si="31"/>
        <v>BS</v>
      </c>
    </row>
    <row r="497" spans="1:13" s="33" customFormat="true" ht="12.75" customHeight="true">
      <c r="A497" s="33" t="str">
        <f t="shared" si="28"/>
        <v>D7R - InterCo Notes</v>
      </c>
      <c r="B497" s="33" t="str">
        <f t="shared" si="29"/>
        <v>D7R</v>
      </c>
      <c r="C497" s="33" t="str">
        <f t="shared" si="30"/>
        <v>11311-0000</v>
      </c>
      <c r="D497" s="64" t="s">
        <v>727</v>
      </c>
      <c r="E497" s="64" t="s">
        <v>258</v>
      </c>
      <c r="F497" s="64" t="s">
        <v>679</v>
      </c>
      <c r="G497" s="64" t="s">
        <v>16</v>
      </c>
      <c r="H497" s="64" t="s">
        <v>315</v>
      </c>
      <c r="I497" s="64" t="s">
        <v>40</v>
      </c>
      <c r="J497" s="67">
        <v>0</v>
      </c>
      <c r="K497" s="62">
        <v>1570000</v>
      </c>
      <c r="L497" s="33" t="e">
        <f>HLOOKUP(B497,#REF!,1,0)</f>
        <v>#REF!</v>
      </c>
      <c r="M497" s="33" t="str">
        <f t="shared" si="31"/>
        <v>BS</v>
      </c>
    </row>
    <row r="498" spans="1:13" s="33" customFormat="true" ht="12.75" customHeight="true">
      <c r="A498" s="33" t="str">
        <f t="shared" si="28"/>
        <v>D7R - InterCo Notes</v>
      </c>
      <c r="B498" s="33" t="str">
        <f t="shared" si="29"/>
        <v>D7R</v>
      </c>
      <c r="C498" s="33" t="str">
        <f t="shared" si="30"/>
        <v>11317-0000</v>
      </c>
      <c r="D498" s="64" t="s">
        <v>728</v>
      </c>
      <c r="E498" s="64" t="s">
        <v>368</v>
      </c>
      <c r="F498" s="64" t="s">
        <v>679</v>
      </c>
      <c r="G498" s="64" t="s">
        <v>16</v>
      </c>
      <c r="H498" s="64" t="s">
        <v>315</v>
      </c>
      <c r="I498" s="64" t="s">
        <v>40</v>
      </c>
      <c r="J498" s="67">
        <v>0</v>
      </c>
      <c r="K498" s="62">
        <v>2005000</v>
      </c>
      <c r="L498" s="33" t="e">
        <f>HLOOKUP(B498,#REF!,1,0)</f>
        <v>#REF!</v>
      </c>
      <c r="M498" s="33" t="str">
        <f t="shared" si="31"/>
        <v>BS</v>
      </c>
    </row>
    <row r="499" spans="1:13" s="33" customFormat="true" ht="12.75" customHeight="true">
      <c r="A499" s="33" t="str">
        <f t="shared" si="28"/>
        <v>D7R - Tax Accr</v>
      </c>
      <c r="B499" s="33" t="str">
        <f t="shared" si="29"/>
        <v>D7R</v>
      </c>
      <c r="C499" s="33" t="str">
        <f t="shared" si="30"/>
        <v>24001-0000</v>
      </c>
      <c r="D499" s="64" t="s">
        <v>729</v>
      </c>
      <c r="E499" s="64" t="s">
        <v>686</v>
      </c>
      <c r="F499" s="64" t="s">
        <v>679</v>
      </c>
      <c r="G499" s="64" t="s">
        <v>97</v>
      </c>
      <c r="H499" s="64" t="s">
        <v>105</v>
      </c>
      <c r="I499" s="64" t="s">
        <v>102</v>
      </c>
      <c r="J499" s="67">
        <v>0</v>
      </c>
      <c r="K499" s="62">
        <v>-2400</v>
      </c>
      <c r="L499" s="33" t="e">
        <f>HLOOKUP(B499,#REF!,1,0)</f>
        <v>#REF!</v>
      </c>
      <c r="M499" s="33" t="str">
        <f t="shared" si="31"/>
        <v>BS</v>
      </c>
    </row>
    <row r="500" spans="1:13" s="33" customFormat="true" ht="12.75" customHeight="true">
      <c r="A500" s="33" t="str">
        <f t="shared" si="28"/>
        <v>D7R - SH Dist</v>
      </c>
      <c r="B500" s="33" t="str">
        <f t="shared" si="29"/>
        <v>D7R</v>
      </c>
      <c r="C500" s="33" t="str">
        <f t="shared" si="30"/>
        <v>30100-0000</v>
      </c>
      <c r="D500" s="64" t="s">
        <v>730</v>
      </c>
      <c r="E500" s="64" t="s">
        <v>731</v>
      </c>
      <c r="F500" s="64" t="s">
        <v>679</v>
      </c>
      <c r="G500" s="64" t="s">
        <v>142</v>
      </c>
      <c r="H500" s="64" t="s">
        <v>143</v>
      </c>
      <c r="I500" s="64" t="s">
        <v>144</v>
      </c>
      <c r="J500" s="67">
        <v>0</v>
      </c>
      <c r="K500" s="62">
        <v>-25507</v>
      </c>
      <c r="L500" s="33" t="e">
        <f>HLOOKUP(B500,#REF!,1,0)</f>
        <v>#REF!</v>
      </c>
      <c r="M500" s="33" t="str">
        <f t="shared" si="31"/>
        <v>BS</v>
      </c>
    </row>
    <row r="501" spans="1:13" s="33" customFormat="true" ht="12.75" customHeight="true">
      <c r="A501" s="33" t="str">
        <f t="shared" si="28"/>
        <v>D7R - Retained Earnings</v>
      </c>
      <c r="B501" s="33" t="str">
        <f t="shared" si="29"/>
        <v>D7R</v>
      </c>
      <c r="C501" s="33" t="str">
        <f t="shared" si="30"/>
        <v>32000-0000</v>
      </c>
      <c r="D501" s="64" t="s">
        <v>732</v>
      </c>
      <c r="E501" s="64" t="s">
        <v>234</v>
      </c>
      <c r="F501" s="64" t="s">
        <v>679</v>
      </c>
      <c r="G501" s="64" t="s">
        <v>142</v>
      </c>
      <c r="H501" s="64" t="s">
        <v>149</v>
      </c>
      <c r="I501" s="64" t="s">
        <v>150</v>
      </c>
      <c r="J501" s="67">
        <v>0</v>
      </c>
      <c r="K501" s="62">
        <v>-371306.45</v>
      </c>
      <c r="L501" s="33" t="e">
        <f>HLOOKUP(B501,#REF!,1,0)</f>
        <v>#REF!</v>
      </c>
      <c r="M501" s="33" t="str">
        <f t="shared" si="31"/>
        <v>BS</v>
      </c>
    </row>
    <row r="502" spans="1:13" s="33" customFormat="true" ht="12.75" customHeight="true">
      <c r="A502" s="33" t="str">
        <f t="shared" si="28"/>
        <v>D7R - SH Dist</v>
      </c>
      <c r="B502" s="33" t="str">
        <f t="shared" si="29"/>
        <v>D7R</v>
      </c>
      <c r="C502" s="33" t="str">
        <f t="shared" si="30"/>
        <v>36001-0000</v>
      </c>
      <c r="D502" s="64" t="s">
        <v>733</v>
      </c>
      <c r="E502" s="64" t="s">
        <v>734</v>
      </c>
      <c r="F502" s="64" t="s">
        <v>679</v>
      </c>
      <c r="G502" s="64" t="s">
        <v>142</v>
      </c>
      <c r="H502" s="64" t="s">
        <v>143</v>
      </c>
      <c r="I502" s="64" t="s">
        <v>144</v>
      </c>
      <c r="J502" s="67">
        <v>0</v>
      </c>
      <c r="K502" s="62">
        <v>-26008641</v>
      </c>
      <c r="L502" s="33" t="e">
        <f>HLOOKUP(B502,#REF!,1,0)</f>
        <v>#REF!</v>
      </c>
      <c r="M502" s="33" t="str">
        <f t="shared" si="31"/>
        <v>BS</v>
      </c>
    </row>
    <row r="503" spans="1:13" s="33" customFormat="true" ht="12.75" customHeight="true">
      <c r="A503" s="33" t="str">
        <f t="shared" si="28"/>
        <v>DEL - Cash</v>
      </c>
      <c r="B503" s="33" t="str">
        <f t="shared" si="29"/>
        <v>DEL</v>
      </c>
      <c r="C503" s="33" t="str">
        <f t="shared" si="30"/>
        <v>10001-0000</v>
      </c>
      <c r="D503" s="64" t="s">
        <v>735</v>
      </c>
      <c r="E503" s="64" t="s">
        <v>240</v>
      </c>
      <c r="F503" s="64" t="s">
        <v>230</v>
      </c>
      <c r="G503" s="64" t="s">
        <v>16</v>
      </c>
      <c r="H503" s="64" t="s">
        <v>25</v>
      </c>
      <c r="I503" s="64" t="s">
        <v>18</v>
      </c>
      <c r="J503" s="67">
        <v>0</v>
      </c>
      <c r="K503" s="62">
        <v>-1492.07</v>
      </c>
      <c r="L503" s="33" t="e">
        <f>HLOOKUP(B503,#REF!,1,0)</f>
        <v>#REF!</v>
      </c>
      <c r="M503" s="33" t="str">
        <f t="shared" si="31"/>
        <v>BS</v>
      </c>
    </row>
    <row r="504" spans="1:13" s="33" customFormat="true" ht="12.75" customHeight="true">
      <c r="A504" s="33" t="str">
        <f t="shared" si="28"/>
        <v>DEL - Intercompany</v>
      </c>
      <c r="B504" s="33" t="str">
        <f t="shared" si="29"/>
        <v>DEL</v>
      </c>
      <c r="C504" s="33" t="str">
        <f t="shared" si="30"/>
        <v>11216-0000</v>
      </c>
      <c r="D504" s="64" t="s">
        <v>736</v>
      </c>
      <c r="E504" s="64" t="s">
        <v>242</v>
      </c>
      <c r="F504" s="64" t="s">
        <v>230</v>
      </c>
      <c r="G504" s="64" t="s">
        <v>16</v>
      </c>
      <c r="H504" s="64" t="s">
        <v>39</v>
      </c>
      <c r="I504" s="64" t="s">
        <v>40</v>
      </c>
      <c r="J504" s="67">
        <v>0</v>
      </c>
      <c r="K504" s="62">
        <v>80000</v>
      </c>
      <c r="L504" s="33" t="e">
        <f>HLOOKUP(B504,#REF!,1,0)</f>
        <v>#REF!</v>
      </c>
      <c r="M504" s="33" t="str">
        <f t="shared" si="31"/>
        <v>BS</v>
      </c>
    </row>
    <row r="505" spans="1:13" s="33" customFormat="true" ht="12.75" customHeight="true">
      <c r="A505" s="33" t="str">
        <f t="shared" si="28"/>
        <v>DEL - Intercompany</v>
      </c>
      <c r="B505" s="33" t="str">
        <f t="shared" si="29"/>
        <v>DEL</v>
      </c>
      <c r="C505" s="33" t="str">
        <f t="shared" si="30"/>
        <v>11335-0000</v>
      </c>
      <c r="D505" s="64" t="s">
        <v>737</v>
      </c>
      <c r="E505" s="64" t="s">
        <v>288</v>
      </c>
      <c r="F505" s="64" t="s">
        <v>230</v>
      </c>
      <c r="G505" s="64" t="s">
        <v>16</v>
      </c>
      <c r="H505" s="64" t="s">
        <v>39</v>
      </c>
      <c r="I505" s="64" t="s">
        <v>40</v>
      </c>
      <c r="J505" s="67">
        <v>0</v>
      </c>
      <c r="K505" s="62">
        <v>5000</v>
      </c>
      <c r="L505" s="33" t="e">
        <f>HLOOKUP(B505,#REF!,1,0)</f>
        <v>#REF!</v>
      </c>
      <c r="M505" s="33" t="str">
        <f t="shared" si="31"/>
        <v>BS</v>
      </c>
    </row>
    <row r="506" spans="1:13" s="33" customFormat="true" ht="12.75" customHeight="true">
      <c r="A506" s="33" t="str">
        <f t="shared" si="28"/>
        <v>DEL - Intercompany</v>
      </c>
      <c r="B506" s="33" t="str">
        <f t="shared" si="29"/>
        <v>DEL</v>
      </c>
      <c r="C506" s="33" t="str">
        <f t="shared" si="30"/>
        <v>11346-0000</v>
      </c>
      <c r="D506" s="64" t="s">
        <v>738</v>
      </c>
      <c r="E506" s="64" t="s">
        <v>739</v>
      </c>
      <c r="F506" s="64" t="s">
        <v>230</v>
      </c>
      <c r="G506" s="64" t="s">
        <v>16</v>
      </c>
      <c r="H506" s="64" t="s">
        <v>39</v>
      </c>
      <c r="I506" s="64" t="s">
        <v>40</v>
      </c>
      <c r="J506" s="67">
        <v>0</v>
      </c>
      <c r="K506" s="62">
        <v>1492338.4</v>
      </c>
      <c r="L506" s="33" t="e">
        <f>HLOOKUP(B506,#REF!,1,0)</f>
        <v>#REF!</v>
      </c>
      <c r="M506" s="33" t="str">
        <f t="shared" si="31"/>
        <v>BS</v>
      </c>
    </row>
    <row r="507" spans="1:13" s="33" customFormat="true" ht="12.75" customHeight="true">
      <c r="A507" s="33" t="str">
        <f t="shared" si="28"/>
        <v>DEL - Intercompany</v>
      </c>
      <c r="B507" s="33" t="str">
        <f t="shared" si="29"/>
        <v>DEL</v>
      </c>
      <c r="C507" s="33" t="str">
        <f t="shared" si="30"/>
        <v>11402-0000</v>
      </c>
      <c r="D507" s="64" t="s">
        <v>740</v>
      </c>
      <c r="E507" s="64" t="s">
        <v>662</v>
      </c>
      <c r="F507" s="64" t="s">
        <v>230</v>
      </c>
      <c r="G507" s="64" t="s">
        <v>16</v>
      </c>
      <c r="H507" s="64" t="s">
        <v>39</v>
      </c>
      <c r="I507" s="64" t="s">
        <v>40</v>
      </c>
      <c r="J507" s="67">
        <v>0</v>
      </c>
      <c r="K507" s="62">
        <v>40000</v>
      </c>
      <c r="L507" s="33" t="e">
        <f>HLOOKUP(B507,#REF!,1,0)</f>
        <v>#REF!</v>
      </c>
      <c r="M507" s="33" t="str">
        <f t="shared" si="31"/>
        <v>BS</v>
      </c>
    </row>
    <row r="508" spans="1:13" s="33" customFormat="true" ht="12.75" customHeight="true">
      <c r="A508" s="33" t="str">
        <f t="shared" si="28"/>
        <v>DEL - Total Assets</v>
      </c>
      <c r="B508" s="33" t="str">
        <f t="shared" si="29"/>
        <v>DEL</v>
      </c>
      <c r="C508" s="33" t="str">
        <f t="shared" si="30"/>
        <v>15500-0000</v>
      </c>
      <c r="D508" s="64" t="s">
        <v>741</v>
      </c>
      <c r="E508" s="64" t="s">
        <v>302</v>
      </c>
      <c r="F508" s="64" t="s">
        <v>230</v>
      </c>
      <c r="G508" s="64" t="s">
        <v>62</v>
      </c>
      <c r="H508" s="64" t="s">
        <v>62</v>
      </c>
      <c r="I508" s="64" t="s">
        <v>64</v>
      </c>
      <c r="J508" s="67">
        <v>0</v>
      </c>
      <c r="K508" s="62">
        <v>11262.23</v>
      </c>
      <c r="L508" s="33" t="e">
        <f>HLOOKUP(B508,#REF!,1,0)</f>
        <v>#REF!</v>
      </c>
      <c r="M508" s="33" t="str">
        <f t="shared" si="31"/>
        <v>BS</v>
      </c>
    </row>
    <row r="509" spans="1:13" s="33" customFormat="true" ht="12.75" customHeight="true">
      <c r="A509" s="33" t="str">
        <f t="shared" si="28"/>
        <v>DEL - Fixed Assets</v>
      </c>
      <c r="B509" s="33" t="str">
        <f t="shared" si="29"/>
        <v>DEL</v>
      </c>
      <c r="C509" s="33" t="str">
        <f t="shared" si="30"/>
        <v>16000-0000</v>
      </c>
      <c r="D509" s="64" t="s">
        <v>742</v>
      </c>
      <c r="E509" s="64" t="s">
        <v>304</v>
      </c>
      <c r="F509" s="64" t="s">
        <v>230</v>
      </c>
      <c r="G509" s="64" t="s">
        <v>16</v>
      </c>
      <c r="H509" s="64" t="s">
        <v>63</v>
      </c>
      <c r="I509" s="64" t="s">
        <v>18</v>
      </c>
      <c r="J509" s="67">
        <v>0</v>
      </c>
      <c r="K509" s="62">
        <v>12751.5</v>
      </c>
      <c r="L509" s="33" t="e">
        <f>HLOOKUP(B509,#REF!,1,0)</f>
        <v>#REF!</v>
      </c>
      <c r="M509" s="33" t="str">
        <f t="shared" si="31"/>
        <v>BS</v>
      </c>
    </row>
    <row r="510" spans="1:13" s="33" customFormat="true" ht="12.75" customHeight="true">
      <c r="A510" s="33" t="str">
        <f t="shared" si="28"/>
        <v>DEL - Fixed Assets</v>
      </c>
      <c r="B510" s="33" t="str">
        <f t="shared" si="29"/>
        <v>DEL</v>
      </c>
      <c r="C510" s="33" t="str">
        <f t="shared" si="30"/>
        <v>17000-0000</v>
      </c>
      <c r="D510" s="64" t="s">
        <v>743</v>
      </c>
      <c r="E510" s="64" t="s">
        <v>306</v>
      </c>
      <c r="F510" s="64" t="s">
        <v>230</v>
      </c>
      <c r="G510" s="64" t="s">
        <v>62</v>
      </c>
      <c r="H510" s="64" t="s">
        <v>63</v>
      </c>
      <c r="I510" s="64" t="s">
        <v>64</v>
      </c>
      <c r="J510" s="67">
        <v>0</v>
      </c>
      <c r="K510" s="62">
        <v>-366068</v>
      </c>
      <c r="L510" s="33" t="e">
        <f>HLOOKUP(B510,#REF!,1,0)</f>
        <v>#REF!</v>
      </c>
      <c r="M510" s="33" t="str">
        <f t="shared" si="31"/>
        <v>BS</v>
      </c>
    </row>
    <row r="511" spans="1:13" s="33" customFormat="true" ht="12.75" customHeight="true">
      <c r="A511" s="33" t="str">
        <f t="shared" si="28"/>
        <v>DEL - Fixed Assets</v>
      </c>
      <c r="B511" s="33" t="str">
        <f t="shared" si="29"/>
        <v>DEL</v>
      </c>
      <c r="C511" s="33" t="str">
        <f t="shared" si="30"/>
        <v>18000-0000</v>
      </c>
      <c r="D511" s="64" t="s">
        <v>744</v>
      </c>
      <c r="E511" s="64" t="s">
        <v>308</v>
      </c>
      <c r="F511" s="64" t="s">
        <v>230</v>
      </c>
      <c r="G511" s="64" t="s">
        <v>62</v>
      </c>
      <c r="H511" s="64" t="s">
        <v>63</v>
      </c>
      <c r="I511" s="64" t="s">
        <v>64</v>
      </c>
      <c r="J511" s="67">
        <v>0</v>
      </c>
      <c r="K511" s="62">
        <v>-4981</v>
      </c>
      <c r="L511" s="33" t="e">
        <f>HLOOKUP(B511,#REF!,1,0)</f>
        <v>#REF!</v>
      </c>
      <c r="M511" s="33" t="str">
        <f t="shared" si="31"/>
        <v>BS</v>
      </c>
    </row>
    <row r="512" spans="1:13" s="33" customFormat="true" ht="12.75" customHeight="true">
      <c r="A512" s="33" t="str">
        <f t="shared" si="28"/>
        <v>DEL - AP-Accr Exp</v>
      </c>
      <c r="B512" s="33" t="str">
        <f t="shared" si="29"/>
        <v>DEL</v>
      </c>
      <c r="C512" s="33" t="str">
        <f t="shared" si="30"/>
        <v>20000-0000</v>
      </c>
      <c r="D512" s="64" t="s">
        <v>745</v>
      </c>
      <c r="E512" s="64" t="s">
        <v>96</v>
      </c>
      <c r="F512" s="64" t="s">
        <v>230</v>
      </c>
      <c r="G512" s="64" t="s">
        <v>97</v>
      </c>
      <c r="H512" s="64" t="s">
        <v>98</v>
      </c>
      <c r="I512" s="64" t="s">
        <v>99</v>
      </c>
      <c r="J512" s="67">
        <v>0</v>
      </c>
      <c r="K512" s="62">
        <v>0</v>
      </c>
      <c r="L512" s="33" t="e">
        <f>HLOOKUP(B512,#REF!,1,0)</f>
        <v>#REF!</v>
      </c>
      <c r="M512" s="33" t="str">
        <f t="shared" si="31"/>
        <v>BS</v>
      </c>
    </row>
    <row r="513" spans="1:13" s="33" customFormat="true" ht="12.75" customHeight="true">
      <c r="A513" s="33" t="str">
        <f t="shared" si="28"/>
        <v>DEL - AP-Accr Exp</v>
      </c>
      <c r="B513" s="33" t="str">
        <f t="shared" si="29"/>
        <v>DEL</v>
      </c>
      <c r="C513" s="33" t="str">
        <f t="shared" si="30"/>
        <v>23509-0000</v>
      </c>
      <c r="D513" s="64" t="s">
        <v>746</v>
      </c>
      <c r="E513" s="64" t="s">
        <v>111</v>
      </c>
      <c r="F513" s="64" t="s">
        <v>230</v>
      </c>
      <c r="G513" s="64" t="s">
        <v>97</v>
      </c>
      <c r="H513" s="64" t="s">
        <v>98</v>
      </c>
      <c r="I513" s="64" t="s">
        <v>102</v>
      </c>
      <c r="J513" s="67">
        <v>0</v>
      </c>
      <c r="K513" s="62">
        <v>0</v>
      </c>
      <c r="L513" s="33" t="e">
        <f>HLOOKUP(B513,#REF!,1,0)</f>
        <v>#REF!</v>
      </c>
      <c r="M513" s="33" t="str">
        <f t="shared" si="31"/>
        <v>BS</v>
      </c>
    </row>
    <row r="514" spans="1:13" s="33" customFormat="true" ht="12.75" customHeight="true">
      <c r="A514" s="33" t="str">
        <f t="shared" ref="A514:A577" si="32">B514&amp;" - "&amp;TRIM(H514)</f>
        <v>DEL - AP-Accr Exp</v>
      </c>
      <c r="B514" s="33" t="str">
        <f t="shared" ref="B514:B577" si="33">LEFT(D514,3)</f>
        <v>DEL</v>
      </c>
      <c r="C514" s="33" t="str">
        <f t="shared" ref="C514:C577" si="34">RIGHT(D514,10)</f>
        <v>24001-0000</v>
      </c>
      <c r="D514" s="64" t="s">
        <v>747</v>
      </c>
      <c r="E514" s="64" t="s">
        <v>748</v>
      </c>
      <c r="F514" s="64" t="s">
        <v>230</v>
      </c>
      <c r="G514" s="64" t="s">
        <v>97</v>
      </c>
      <c r="H514" s="64" t="s">
        <v>98</v>
      </c>
      <c r="I514" s="64" t="s">
        <v>102</v>
      </c>
      <c r="J514" s="67">
        <v>0</v>
      </c>
      <c r="K514" s="62">
        <v>0</v>
      </c>
      <c r="L514" s="33" t="e">
        <f>HLOOKUP(B514,#REF!,1,0)</f>
        <v>#REF!</v>
      </c>
      <c r="M514" s="33" t="str">
        <f t="shared" ref="M514:M577" si="35">IF(VALUE(LEFT(C514,5))&gt;40000,"P&amp;L","BS")</f>
        <v>BS</v>
      </c>
    </row>
    <row r="515" spans="1:13" s="33" customFormat="true" ht="12.75" customHeight="true">
      <c r="A515" s="33" t="str">
        <f t="shared" si="32"/>
        <v>DEL - Principal</v>
      </c>
      <c r="B515" s="33" t="str">
        <f t="shared" si="33"/>
        <v>DEL</v>
      </c>
      <c r="C515" s="33" t="str">
        <f t="shared" si="34"/>
        <v>26800-0000</v>
      </c>
      <c r="D515" s="64" t="s">
        <v>749</v>
      </c>
      <c r="E515" s="64" t="s">
        <v>402</v>
      </c>
      <c r="F515" s="64" t="s">
        <v>230</v>
      </c>
      <c r="G515" s="64" t="s">
        <v>97</v>
      </c>
      <c r="H515" s="64" t="s">
        <v>127</v>
      </c>
      <c r="I515" s="64" t="s">
        <v>128</v>
      </c>
      <c r="J515" s="67">
        <v>0</v>
      </c>
      <c r="K515" s="62">
        <v>-132200</v>
      </c>
      <c r="L515" s="33" t="e">
        <f>HLOOKUP(B515,#REF!,1,0)</f>
        <v>#REF!</v>
      </c>
      <c r="M515" s="33" t="str">
        <f t="shared" si="35"/>
        <v>BS</v>
      </c>
    </row>
    <row r="516" spans="1:13" s="33" customFormat="true" ht="12.75" customHeight="true">
      <c r="A516" s="33" t="str">
        <f t="shared" si="32"/>
        <v>DEL - SH Dist</v>
      </c>
      <c r="B516" s="33" t="str">
        <f t="shared" si="33"/>
        <v>DEL</v>
      </c>
      <c r="C516" s="33" t="str">
        <f t="shared" si="34"/>
        <v>30700-0000</v>
      </c>
      <c r="D516" s="64" t="s">
        <v>750</v>
      </c>
      <c r="E516" s="64" t="s">
        <v>319</v>
      </c>
      <c r="F516" s="64" t="s">
        <v>230</v>
      </c>
      <c r="G516" s="64" t="s">
        <v>142</v>
      </c>
      <c r="H516" s="64" t="s">
        <v>143</v>
      </c>
      <c r="I516" s="64" t="s">
        <v>144</v>
      </c>
      <c r="J516" s="67">
        <v>0</v>
      </c>
      <c r="K516" s="62">
        <v>512219.64</v>
      </c>
      <c r="L516" s="33" t="e">
        <f>HLOOKUP(B516,#REF!,1,0)</f>
        <v>#REF!</v>
      </c>
      <c r="M516" s="33" t="str">
        <f t="shared" si="35"/>
        <v>BS</v>
      </c>
    </row>
    <row r="517" spans="1:13" s="33" customFormat="true" ht="12.75" customHeight="true">
      <c r="A517" s="33" t="str">
        <f t="shared" si="32"/>
        <v>DEL - Retained Earnings</v>
      </c>
      <c r="B517" s="33" t="str">
        <f t="shared" si="33"/>
        <v>DEL</v>
      </c>
      <c r="C517" s="33" t="str">
        <f t="shared" si="34"/>
        <v>32000-0000</v>
      </c>
      <c r="D517" s="64" t="s">
        <v>751</v>
      </c>
      <c r="E517" s="64" t="s">
        <v>234</v>
      </c>
      <c r="F517" s="64" t="s">
        <v>230</v>
      </c>
      <c r="G517" s="64" t="s">
        <v>142</v>
      </c>
      <c r="H517" s="64" t="s">
        <v>149</v>
      </c>
      <c r="I517" s="64" t="s">
        <v>235</v>
      </c>
      <c r="J517" s="67">
        <v>0</v>
      </c>
      <c r="K517" s="62">
        <v>-1679097.34</v>
      </c>
      <c r="L517" s="33" t="e">
        <f>HLOOKUP(B517,#REF!,1,0)</f>
        <v>#REF!</v>
      </c>
      <c r="M517" s="33" t="str">
        <f t="shared" si="35"/>
        <v>BS</v>
      </c>
    </row>
    <row r="518" spans="1:13" s="33" customFormat="true" ht="12.75" customHeight="true">
      <c r="A518" s="33" t="str">
        <f t="shared" si="32"/>
        <v>DEL - SH Dist</v>
      </c>
      <c r="B518" s="33" t="str">
        <f t="shared" si="33"/>
        <v>DEL</v>
      </c>
      <c r="C518" s="33" t="str">
        <f t="shared" si="34"/>
        <v>36001-0000</v>
      </c>
      <c r="D518" s="64" t="s">
        <v>752</v>
      </c>
      <c r="E518" s="64" t="s">
        <v>322</v>
      </c>
      <c r="F518" s="64" t="s">
        <v>230</v>
      </c>
      <c r="G518" s="64" t="s">
        <v>142</v>
      </c>
      <c r="H518" s="64" t="s">
        <v>143</v>
      </c>
      <c r="I518" s="64" t="s">
        <v>144</v>
      </c>
      <c r="J518" s="67">
        <v>0</v>
      </c>
      <c r="K518" s="62">
        <v>29981.59</v>
      </c>
      <c r="L518" s="33" t="e">
        <f>HLOOKUP(B518,#REF!,1,0)</f>
        <v>#REF!</v>
      </c>
      <c r="M518" s="33" t="str">
        <f t="shared" si="35"/>
        <v>BS</v>
      </c>
    </row>
    <row r="519" spans="1:13" s="33" customFormat="true" ht="12.75" customHeight="true">
      <c r="A519" s="33" t="str">
        <f t="shared" si="32"/>
        <v>DF2 - Inventory</v>
      </c>
      <c r="B519" s="33" t="str">
        <f t="shared" si="33"/>
        <v>DF2</v>
      </c>
      <c r="C519" s="33" t="str">
        <f t="shared" si="34"/>
        <v>10005-7367</v>
      </c>
      <c r="D519" s="64" t="s">
        <v>753</v>
      </c>
      <c r="E519" s="64" t="s">
        <v>14</v>
      </c>
      <c r="F519" s="64" t="s">
        <v>15</v>
      </c>
      <c r="G519" s="64" t="s">
        <v>16</v>
      </c>
      <c r="H519" s="64" t="s">
        <v>17</v>
      </c>
      <c r="I519" s="64" t="s">
        <v>18</v>
      </c>
      <c r="J519" s="67">
        <v>0</v>
      </c>
      <c r="K519" s="62">
        <v>2118.04</v>
      </c>
      <c r="L519" s="33" t="e">
        <f>HLOOKUP(B519,#REF!,1,0)</f>
        <v>#REF!</v>
      </c>
      <c r="M519" s="33" t="str">
        <f t="shared" si="35"/>
        <v>BS</v>
      </c>
    </row>
    <row r="520" spans="1:13" s="33" customFormat="true" ht="12.75" customHeight="true">
      <c r="A520" s="33" t="str">
        <f t="shared" si="32"/>
        <v>DF2 - Inventory</v>
      </c>
      <c r="B520" s="33" t="str">
        <f t="shared" si="33"/>
        <v>DF2</v>
      </c>
      <c r="C520" s="33" t="str">
        <f t="shared" si="34"/>
        <v>10005-7392</v>
      </c>
      <c r="D520" s="64" t="s">
        <v>754</v>
      </c>
      <c r="E520" s="64" t="s">
        <v>14</v>
      </c>
      <c r="F520" s="64" t="s">
        <v>15</v>
      </c>
      <c r="G520" s="64" t="s">
        <v>16</v>
      </c>
      <c r="H520" s="64" t="s">
        <v>17</v>
      </c>
      <c r="I520" s="64" t="s">
        <v>18</v>
      </c>
      <c r="J520" s="67">
        <v>0</v>
      </c>
      <c r="K520" s="62">
        <v>1788</v>
      </c>
      <c r="L520" s="33" t="e">
        <f>HLOOKUP(B520,#REF!,1,0)</f>
        <v>#REF!</v>
      </c>
      <c r="M520" s="33" t="str">
        <f t="shared" si="35"/>
        <v>BS</v>
      </c>
    </row>
    <row r="521" spans="1:13" s="33" customFormat="true" ht="12.75" customHeight="true">
      <c r="A521" s="33" t="str">
        <f t="shared" si="32"/>
        <v>DF2 - Inventory</v>
      </c>
      <c r="B521" s="33" t="str">
        <f t="shared" si="33"/>
        <v>DF2</v>
      </c>
      <c r="C521" s="33" t="str">
        <f t="shared" si="34"/>
        <v>10005-7487</v>
      </c>
      <c r="D521" s="64" t="s">
        <v>755</v>
      </c>
      <c r="E521" s="64" t="s">
        <v>14</v>
      </c>
      <c r="F521" s="64" t="s">
        <v>15</v>
      </c>
      <c r="G521" s="64" t="s">
        <v>16</v>
      </c>
      <c r="H521" s="64" t="s">
        <v>17</v>
      </c>
      <c r="I521" s="64" t="s">
        <v>18</v>
      </c>
      <c r="J521" s="67">
        <v>0</v>
      </c>
      <c r="K521" s="62">
        <v>1538</v>
      </c>
      <c r="L521" s="33" t="e">
        <f>HLOOKUP(B521,#REF!,1,0)</f>
        <v>#REF!</v>
      </c>
      <c r="M521" s="33" t="str">
        <f t="shared" si="35"/>
        <v>BS</v>
      </c>
    </row>
    <row r="522" spans="1:13" s="33" customFormat="true" ht="12.75" customHeight="true">
      <c r="A522" s="33" t="str">
        <f t="shared" si="32"/>
        <v>DF2 - Inventory</v>
      </c>
      <c r="B522" s="33" t="str">
        <f t="shared" si="33"/>
        <v>DF2</v>
      </c>
      <c r="C522" s="33" t="str">
        <f t="shared" si="34"/>
        <v>10005-7488</v>
      </c>
      <c r="D522" s="64" t="s">
        <v>756</v>
      </c>
      <c r="E522" s="64" t="s">
        <v>14</v>
      </c>
      <c r="F522" s="64" t="s">
        <v>15</v>
      </c>
      <c r="G522" s="64" t="s">
        <v>16</v>
      </c>
      <c r="H522" s="64" t="s">
        <v>17</v>
      </c>
      <c r="I522" s="64" t="s">
        <v>18</v>
      </c>
      <c r="J522" s="67">
        <v>0</v>
      </c>
      <c r="K522" s="62">
        <v>1241.47</v>
      </c>
      <c r="L522" s="33" t="e">
        <f>HLOOKUP(B522,#REF!,1,0)</f>
        <v>#REF!</v>
      </c>
      <c r="M522" s="33" t="str">
        <f t="shared" si="35"/>
        <v>BS</v>
      </c>
    </row>
    <row r="523" spans="1:13" s="33" customFormat="true" ht="12.75" customHeight="true">
      <c r="A523" s="33" t="str">
        <f t="shared" si="32"/>
        <v>DF2 - Inventory</v>
      </c>
      <c r="B523" s="33" t="str">
        <f t="shared" si="33"/>
        <v>DF2</v>
      </c>
      <c r="C523" s="33" t="str">
        <f t="shared" si="34"/>
        <v>10005-7495</v>
      </c>
      <c r="D523" s="64" t="s">
        <v>757</v>
      </c>
      <c r="E523" s="64" t="s">
        <v>14</v>
      </c>
      <c r="F523" s="64" t="s">
        <v>15</v>
      </c>
      <c r="G523" s="64" t="s">
        <v>16</v>
      </c>
      <c r="H523" s="64" t="s">
        <v>17</v>
      </c>
      <c r="I523" s="64" t="s">
        <v>18</v>
      </c>
      <c r="J523" s="67">
        <v>0</v>
      </c>
      <c r="K523" s="62">
        <v>1657</v>
      </c>
      <c r="L523" s="33" t="e">
        <f>HLOOKUP(B523,#REF!,1,0)</f>
        <v>#REF!</v>
      </c>
      <c r="M523" s="33" t="str">
        <f t="shared" si="35"/>
        <v>BS</v>
      </c>
    </row>
    <row r="524" spans="1:13" s="33" customFormat="true" ht="12.75" customHeight="true">
      <c r="A524" s="33" t="str">
        <f t="shared" si="32"/>
        <v>DF2 - Cash</v>
      </c>
      <c r="B524" s="33" t="str">
        <f t="shared" si="33"/>
        <v>DF2</v>
      </c>
      <c r="C524" s="33" t="str">
        <f t="shared" si="34"/>
        <v>10021-0000</v>
      </c>
      <c r="D524" s="64" t="s">
        <v>758</v>
      </c>
      <c r="E524" s="64" t="s">
        <v>24</v>
      </c>
      <c r="F524" s="64" t="s">
        <v>15</v>
      </c>
      <c r="G524" s="64" t="s">
        <v>16</v>
      </c>
      <c r="H524" s="64" t="s">
        <v>25</v>
      </c>
      <c r="I524" s="64" t="s">
        <v>18</v>
      </c>
      <c r="J524" s="67">
        <v>13016.84</v>
      </c>
      <c r="K524" s="62">
        <v>-46200.73</v>
      </c>
      <c r="L524" s="33" t="e">
        <f>HLOOKUP(B524,#REF!,1,0)</f>
        <v>#REF!</v>
      </c>
      <c r="M524" s="33" t="str">
        <f t="shared" si="35"/>
        <v>BS</v>
      </c>
    </row>
    <row r="525" spans="1:13" s="33" customFormat="true" ht="12.75" customHeight="true">
      <c r="A525" s="33" t="str">
        <f t="shared" si="32"/>
        <v>DF2 - Cash</v>
      </c>
      <c r="B525" s="33" t="str">
        <f t="shared" si="33"/>
        <v>DF2</v>
      </c>
      <c r="C525" s="33" t="str">
        <f t="shared" si="34"/>
        <v>10022-0000</v>
      </c>
      <c r="D525" s="64" t="s">
        <v>759</v>
      </c>
      <c r="E525" s="64" t="s">
        <v>760</v>
      </c>
      <c r="F525" s="64" t="s">
        <v>15</v>
      </c>
      <c r="G525" s="64" t="s">
        <v>16</v>
      </c>
      <c r="H525" s="64" t="s">
        <v>25</v>
      </c>
      <c r="I525" s="64" t="s">
        <v>18</v>
      </c>
      <c r="J525" s="67">
        <v>53137.82</v>
      </c>
      <c r="K525" s="62">
        <v>-99441.34</v>
      </c>
      <c r="L525" s="33" t="e">
        <f>HLOOKUP(B525,#REF!,1,0)</f>
        <v>#REF!</v>
      </c>
      <c r="M525" s="33" t="str">
        <f t="shared" si="35"/>
        <v>BS</v>
      </c>
    </row>
    <row r="526" spans="1:13" s="33" customFormat="true" ht="12.75" customHeight="true">
      <c r="A526" s="33" t="str">
        <f t="shared" si="32"/>
        <v>DF2 - Cash</v>
      </c>
      <c r="B526" s="33" t="str">
        <f t="shared" si="33"/>
        <v>DF2</v>
      </c>
      <c r="C526" s="33" t="str">
        <f t="shared" si="34"/>
        <v>10023-0000</v>
      </c>
      <c r="D526" s="64" t="s">
        <v>761</v>
      </c>
      <c r="E526" s="64" t="s">
        <v>27</v>
      </c>
      <c r="F526" s="64" t="s">
        <v>15</v>
      </c>
      <c r="G526" s="64" t="s">
        <v>16</v>
      </c>
      <c r="H526" s="64" t="s">
        <v>25</v>
      </c>
      <c r="I526" s="64" t="s">
        <v>18</v>
      </c>
      <c r="J526" s="67">
        <v>5423.98</v>
      </c>
      <c r="K526" s="62">
        <v>83159.36</v>
      </c>
      <c r="L526" s="33" t="e">
        <f>HLOOKUP(B526,#REF!,1,0)</f>
        <v>#REF!</v>
      </c>
      <c r="M526" s="33" t="str">
        <f t="shared" si="35"/>
        <v>BS</v>
      </c>
    </row>
    <row r="527" spans="1:13" s="33" customFormat="true" ht="12.75" customHeight="true">
      <c r="A527" s="33" t="str">
        <f t="shared" si="32"/>
        <v>DF2 - AR-PPD</v>
      </c>
      <c r="B527" s="33" t="str">
        <f t="shared" si="33"/>
        <v>DF2</v>
      </c>
      <c r="C527" s="33" t="str">
        <f t="shared" si="34"/>
        <v>11001-0000</v>
      </c>
      <c r="D527" s="64" t="s">
        <v>762</v>
      </c>
      <c r="E527" s="64" t="s">
        <v>34</v>
      </c>
      <c r="F527" s="64" t="s">
        <v>15</v>
      </c>
      <c r="G527" s="64" t="s">
        <v>16</v>
      </c>
      <c r="H527" s="64" t="s">
        <v>35</v>
      </c>
      <c r="I527" s="64" t="s">
        <v>36</v>
      </c>
      <c r="J527" s="67">
        <v>745.79</v>
      </c>
      <c r="K527" s="62">
        <v>63492.28</v>
      </c>
      <c r="L527" s="33" t="e">
        <f>HLOOKUP(B527,#REF!,1,0)</f>
        <v>#REF!</v>
      </c>
      <c r="M527" s="33" t="str">
        <f t="shared" si="35"/>
        <v>BS</v>
      </c>
    </row>
    <row r="528" spans="1:13" s="33" customFormat="true" ht="12.75" customHeight="true">
      <c r="A528" s="33" t="str">
        <f t="shared" si="32"/>
        <v>DF2 - Intercompany</v>
      </c>
      <c r="B528" s="33" t="str">
        <f t="shared" si="33"/>
        <v>DF2</v>
      </c>
      <c r="C528" s="33" t="str">
        <f t="shared" si="34"/>
        <v>11200-0000</v>
      </c>
      <c r="D528" s="64" t="s">
        <v>763</v>
      </c>
      <c r="E528" s="64" t="s">
        <v>38</v>
      </c>
      <c r="F528" s="64" t="s">
        <v>15</v>
      </c>
      <c r="G528" s="64" t="s">
        <v>16</v>
      </c>
      <c r="H528" s="64" t="s">
        <v>39</v>
      </c>
      <c r="I528" s="64" t="s">
        <v>40</v>
      </c>
      <c r="J528" s="67">
        <v>17009.6</v>
      </c>
      <c r="K528" s="62">
        <v>11327772.11</v>
      </c>
      <c r="L528" s="33" t="e">
        <f>HLOOKUP(B528,#REF!,1,0)</f>
        <v>#REF!</v>
      </c>
      <c r="M528" s="33" t="str">
        <f t="shared" si="35"/>
        <v>BS</v>
      </c>
    </row>
    <row r="529" spans="1:13" s="33" customFormat="true" ht="12.75" customHeight="true">
      <c r="A529" s="33" t="str">
        <f t="shared" si="32"/>
        <v>DF2 - Intercompany</v>
      </c>
      <c r="B529" s="33" t="str">
        <f t="shared" si="33"/>
        <v>DF2</v>
      </c>
      <c r="C529" s="33" t="str">
        <f t="shared" si="34"/>
        <v>11201-0000</v>
      </c>
      <c r="D529" s="64" t="s">
        <v>764</v>
      </c>
      <c r="E529" s="64" t="s">
        <v>765</v>
      </c>
      <c r="F529" s="64" t="s">
        <v>15</v>
      </c>
      <c r="G529" s="64" t="s">
        <v>16</v>
      </c>
      <c r="H529" s="64" t="s">
        <v>39</v>
      </c>
      <c r="I529" s="64" t="s">
        <v>40</v>
      </c>
      <c r="J529" s="67">
        <v>-112092.21</v>
      </c>
      <c r="K529" s="62">
        <v>-12337995.99</v>
      </c>
      <c r="L529" s="33" t="e">
        <f>HLOOKUP(B529,#REF!,1,0)</f>
        <v>#REF!</v>
      </c>
      <c r="M529" s="33" t="str">
        <f t="shared" si="35"/>
        <v>BS</v>
      </c>
    </row>
    <row r="530" spans="1:13" s="33" customFormat="true" ht="12.75" customHeight="true">
      <c r="A530" s="33" t="str">
        <f t="shared" si="32"/>
        <v>DF2 - Intercompany</v>
      </c>
      <c r="B530" s="33" t="str">
        <f t="shared" si="33"/>
        <v>DF2</v>
      </c>
      <c r="C530" s="33" t="str">
        <f t="shared" si="34"/>
        <v>11203-0000</v>
      </c>
      <c r="D530" s="64" t="s">
        <v>766</v>
      </c>
      <c r="E530" s="64" t="s">
        <v>767</v>
      </c>
      <c r="F530" s="64" t="s">
        <v>15</v>
      </c>
      <c r="G530" s="64" t="s">
        <v>16</v>
      </c>
      <c r="H530" s="64" t="s">
        <v>39</v>
      </c>
      <c r="I530" s="64" t="s">
        <v>40</v>
      </c>
      <c r="J530" s="67">
        <v>15799.58</v>
      </c>
      <c r="K530" s="62">
        <v>2149165.19</v>
      </c>
      <c r="L530" s="33" t="e">
        <f>HLOOKUP(B530,#REF!,1,0)</f>
        <v>#REF!</v>
      </c>
      <c r="M530" s="33" t="str">
        <f t="shared" si="35"/>
        <v>BS</v>
      </c>
    </row>
    <row r="531" spans="1:13" s="33" customFormat="true" ht="12.75" customHeight="true">
      <c r="A531" s="33" t="str">
        <f t="shared" si="32"/>
        <v>DF2 - Intercompany</v>
      </c>
      <c r="B531" s="33" t="str">
        <f t="shared" si="33"/>
        <v>DF2</v>
      </c>
      <c r="C531" s="33" t="str">
        <f t="shared" si="34"/>
        <v>11212-0000</v>
      </c>
      <c r="D531" s="64" t="s">
        <v>768</v>
      </c>
      <c r="E531" s="64" t="s">
        <v>769</v>
      </c>
      <c r="F531" s="64" t="s">
        <v>15</v>
      </c>
      <c r="G531" s="64" t="s">
        <v>16</v>
      </c>
      <c r="H531" s="64" t="s">
        <v>39</v>
      </c>
      <c r="I531" s="64" t="s">
        <v>40</v>
      </c>
      <c r="J531" s="67">
        <v>0</v>
      </c>
      <c r="K531" s="62">
        <v>21286.16</v>
      </c>
      <c r="L531" s="33" t="e">
        <f>HLOOKUP(B531,#REF!,1,0)</f>
        <v>#REF!</v>
      </c>
      <c r="M531" s="33" t="str">
        <f t="shared" si="35"/>
        <v>BS</v>
      </c>
    </row>
    <row r="532" spans="1:13" s="33" customFormat="true" ht="12.75" customHeight="true">
      <c r="A532" s="33" t="str">
        <f t="shared" si="32"/>
        <v>DF2 - Intercompany</v>
      </c>
      <c r="B532" s="33" t="str">
        <f t="shared" si="33"/>
        <v>DF2</v>
      </c>
      <c r="C532" s="33" t="str">
        <f t="shared" si="34"/>
        <v>11224-0000</v>
      </c>
      <c r="D532" s="64" t="s">
        <v>770</v>
      </c>
      <c r="E532" s="64" t="s">
        <v>771</v>
      </c>
      <c r="F532" s="64" t="s">
        <v>15</v>
      </c>
      <c r="G532" s="64" t="s">
        <v>16</v>
      </c>
      <c r="H532" s="64" t="s">
        <v>39</v>
      </c>
      <c r="I532" s="64" t="s">
        <v>40</v>
      </c>
      <c r="J532" s="67">
        <v>4169.69</v>
      </c>
      <c r="K532" s="62">
        <v>243180.01</v>
      </c>
      <c r="L532" s="33" t="e">
        <f>HLOOKUP(B532,#REF!,1,0)</f>
        <v>#REF!</v>
      </c>
      <c r="M532" s="33" t="str">
        <f t="shared" si="35"/>
        <v>BS</v>
      </c>
    </row>
    <row r="533" spans="1:13" s="33" customFormat="true" ht="12.75" customHeight="true">
      <c r="A533" s="33" t="str">
        <f t="shared" si="32"/>
        <v>DF2 - AR-PPD</v>
      </c>
      <c r="B533" s="33" t="str">
        <f t="shared" si="33"/>
        <v>DF2</v>
      </c>
      <c r="C533" s="33" t="str">
        <f t="shared" si="34"/>
        <v>11985-0000</v>
      </c>
      <c r="D533" s="64" t="s">
        <v>772</v>
      </c>
      <c r="E533" s="64" t="s">
        <v>773</v>
      </c>
      <c r="F533" s="64" t="s">
        <v>15</v>
      </c>
      <c r="G533" s="64" t="s">
        <v>16</v>
      </c>
      <c r="H533" s="64" t="s">
        <v>35</v>
      </c>
      <c r="I533" s="64" t="s">
        <v>40</v>
      </c>
      <c r="J533" s="67">
        <v>0</v>
      </c>
      <c r="K533" s="62">
        <v>2366340</v>
      </c>
      <c r="L533" s="33" t="e">
        <f>HLOOKUP(B533,#REF!,1,0)</f>
        <v>#REF!</v>
      </c>
      <c r="M533" s="33" t="str">
        <f t="shared" si="35"/>
        <v>BS</v>
      </c>
    </row>
    <row r="534" spans="1:13" s="33" customFormat="true" ht="12.75" customHeight="true">
      <c r="A534" s="33" t="str">
        <f t="shared" si="32"/>
        <v>DF2 - Inventory</v>
      </c>
      <c r="B534" s="33" t="str">
        <f t="shared" si="33"/>
        <v>DF2</v>
      </c>
      <c r="C534" s="33" t="str">
        <f t="shared" si="34"/>
        <v>13100-7367</v>
      </c>
      <c r="D534" s="64" t="s">
        <v>774</v>
      </c>
      <c r="E534" s="64" t="s">
        <v>50</v>
      </c>
      <c r="F534" s="64" t="s">
        <v>15</v>
      </c>
      <c r="G534" s="64" t="s">
        <v>16</v>
      </c>
      <c r="H534" s="64" t="s">
        <v>17</v>
      </c>
      <c r="I534" s="64" t="s">
        <v>51</v>
      </c>
      <c r="J534" s="67">
        <v>0</v>
      </c>
      <c r="K534" s="62">
        <v>7756</v>
      </c>
      <c r="L534" s="33" t="e">
        <f>HLOOKUP(B534,#REF!,1,0)</f>
        <v>#REF!</v>
      </c>
      <c r="M534" s="33" t="str">
        <f t="shared" si="35"/>
        <v>BS</v>
      </c>
    </row>
    <row r="535" spans="1:13" s="33" customFormat="true" ht="12.75" customHeight="true">
      <c r="A535" s="33" t="str">
        <f t="shared" si="32"/>
        <v>DF2 - Inventory</v>
      </c>
      <c r="B535" s="33" t="str">
        <f t="shared" si="33"/>
        <v>DF2</v>
      </c>
      <c r="C535" s="33" t="str">
        <f t="shared" si="34"/>
        <v>13100-7392</v>
      </c>
      <c r="D535" s="64" t="s">
        <v>775</v>
      </c>
      <c r="E535" s="64" t="s">
        <v>50</v>
      </c>
      <c r="F535" s="64" t="s">
        <v>15</v>
      </c>
      <c r="G535" s="64" t="s">
        <v>16</v>
      </c>
      <c r="H535" s="64" t="s">
        <v>17</v>
      </c>
      <c r="I535" s="64" t="s">
        <v>51</v>
      </c>
      <c r="J535" s="67">
        <v>0</v>
      </c>
      <c r="K535" s="62">
        <v>7341</v>
      </c>
      <c r="L535" s="33" t="e">
        <f>HLOOKUP(B535,#REF!,1,0)</f>
        <v>#REF!</v>
      </c>
      <c r="M535" s="33" t="str">
        <f t="shared" si="35"/>
        <v>BS</v>
      </c>
    </row>
    <row r="536" spans="1:13" s="33" customFormat="true" ht="12.75" customHeight="true">
      <c r="A536" s="33" t="str">
        <f t="shared" si="32"/>
        <v>DF2 - Inventory</v>
      </c>
      <c r="B536" s="33" t="str">
        <f t="shared" si="33"/>
        <v>DF2</v>
      </c>
      <c r="C536" s="33" t="str">
        <f t="shared" si="34"/>
        <v>13100-7487</v>
      </c>
      <c r="D536" s="64" t="s">
        <v>776</v>
      </c>
      <c r="E536" s="64" t="s">
        <v>50</v>
      </c>
      <c r="F536" s="64" t="s">
        <v>15</v>
      </c>
      <c r="G536" s="64" t="s">
        <v>16</v>
      </c>
      <c r="H536" s="64" t="s">
        <v>17</v>
      </c>
      <c r="I536" s="64" t="s">
        <v>51</v>
      </c>
      <c r="J536" s="67">
        <v>0</v>
      </c>
      <c r="K536" s="62">
        <v>6343</v>
      </c>
      <c r="L536" s="33" t="e">
        <f>HLOOKUP(B536,#REF!,1,0)</f>
        <v>#REF!</v>
      </c>
      <c r="M536" s="33" t="str">
        <f t="shared" si="35"/>
        <v>BS</v>
      </c>
    </row>
    <row r="537" spans="1:13" s="33" customFormat="true" ht="12.75" customHeight="true">
      <c r="A537" s="33" t="str">
        <f t="shared" si="32"/>
        <v>DF2 - Inventory</v>
      </c>
      <c r="B537" s="33" t="str">
        <f t="shared" si="33"/>
        <v>DF2</v>
      </c>
      <c r="C537" s="33" t="str">
        <f t="shared" si="34"/>
        <v>13100-7488</v>
      </c>
      <c r="D537" s="64" t="s">
        <v>777</v>
      </c>
      <c r="E537" s="64" t="s">
        <v>50</v>
      </c>
      <c r="F537" s="64" t="s">
        <v>15</v>
      </c>
      <c r="G537" s="64" t="s">
        <v>16</v>
      </c>
      <c r="H537" s="64" t="s">
        <v>17</v>
      </c>
      <c r="I537" s="64" t="s">
        <v>51</v>
      </c>
      <c r="J537" s="67">
        <v>0</v>
      </c>
      <c r="K537" s="62">
        <v>8089.16</v>
      </c>
      <c r="L537" s="33" t="e">
        <f>HLOOKUP(B537,#REF!,1,0)</f>
        <v>#REF!</v>
      </c>
      <c r="M537" s="33" t="str">
        <f t="shared" si="35"/>
        <v>BS</v>
      </c>
    </row>
    <row r="538" spans="1:13" s="33" customFormat="true" ht="12.75" customHeight="true">
      <c r="A538" s="33" t="str">
        <f t="shared" si="32"/>
        <v>DF2 - Inventory</v>
      </c>
      <c r="B538" s="33" t="str">
        <f t="shared" si="33"/>
        <v>DF2</v>
      </c>
      <c r="C538" s="33" t="str">
        <f t="shared" si="34"/>
        <v>13100-7495</v>
      </c>
      <c r="D538" s="64" t="s">
        <v>778</v>
      </c>
      <c r="E538" s="64" t="s">
        <v>50</v>
      </c>
      <c r="F538" s="64" t="s">
        <v>15</v>
      </c>
      <c r="G538" s="64" t="s">
        <v>16</v>
      </c>
      <c r="H538" s="64" t="s">
        <v>17</v>
      </c>
      <c r="I538" s="64" t="s">
        <v>51</v>
      </c>
      <c r="J538" s="67">
        <v>0</v>
      </c>
      <c r="K538" s="62">
        <v>9142</v>
      </c>
      <c r="L538" s="33" t="e">
        <f>HLOOKUP(B538,#REF!,1,0)</f>
        <v>#REF!</v>
      </c>
      <c r="M538" s="33" t="str">
        <f t="shared" si="35"/>
        <v>BS</v>
      </c>
    </row>
    <row r="539" spans="1:13" s="33" customFormat="true" ht="12.75" customHeight="true">
      <c r="A539" s="33" t="str">
        <f t="shared" si="32"/>
        <v>DF2 - AR-PPD</v>
      </c>
      <c r="B539" s="33" t="str">
        <f t="shared" si="33"/>
        <v>DF2</v>
      </c>
      <c r="C539" s="33" t="str">
        <f t="shared" si="34"/>
        <v>15002-0000</v>
      </c>
      <c r="D539" s="64" t="s">
        <v>779</v>
      </c>
      <c r="E539" s="64" t="s">
        <v>56</v>
      </c>
      <c r="F539" s="64" t="s">
        <v>15</v>
      </c>
      <c r="G539" s="64" t="s">
        <v>16</v>
      </c>
      <c r="H539" s="64" t="s">
        <v>35</v>
      </c>
      <c r="I539" s="64" t="s">
        <v>57</v>
      </c>
      <c r="J539" s="67">
        <v>0</v>
      </c>
      <c r="K539" s="62">
        <v>0</v>
      </c>
      <c r="L539" s="33" t="e">
        <f>HLOOKUP(B539,#REF!,1,0)</f>
        <v>#REF!</v>
      </c>
      <c r="M539" s="33" t="str">
        <f t="shared" si="35"/>
        <v>BS</v>
      </c>
    </row>
    <row r="540" spans="1:13" s="33" customFormat="true" ht="12.75" customHeight="true">
      <c r="A540" s="33" t="str">
        <f t="shared" si="32"/>
        <v>DF2 - AR-PPD</v>
      </c>
      <c r="B540" s="33" t="str">
        <f t="shared" si="33"/>
        <v>DF2</v>
      </c>
      <c r="C540" s="33" t="str">
        <f t="shared" si="34"/>
        <v>15005-0000</v>
      </c>
      <c r="D540" s="64" t="s">
        <v>780</v>
      </c>
      <c r="E540" s="64" t="s">
        <v>59</v>
      </c>
      <c r="F540" s="64" t="s">
        <v>15</v>
      </c>
      <c r="G540" s="64" t="s">
        <v>16</v>
      </c>
      <c r="H540" s="64" t="s">
        <v>35</v>
      </c>
      <c r="I540" s="64" t="s">
        <v>57</v>
      </c>
      <c r="J540" s="67">
        <v>0</v>
      </c>
      <c r="K540" s="62">
        <v>1586.77</v>
      </c>
      <c r="L540" s="33" t="e">
        <f>HLOOKUP(B540,#REF!,1,0)</f>
        <v>#REF!</v>
      </c>
      <c r="M540" s="33" t="str">
        <f t="shared" si="35"/>
        <v>BS</v>
      </c>
    </row>
    <row r="541" spans="1:13" s="33" customFormat="true" ht="12.75" customHeight="true">
      <c r="A541" s="33" t="str">
        <f t="shared" si="32"/>
        <v>DF2 - Fixed Assets</v>
      </c>
      <c r="B541" s="33" t="str">
        <f t="shared" si="33"/>
        <v>DF2</v>
      </c>
      <c r="C541" s="33" t="str">
        <f t="shared" si="34"/>
        <v>16101-7367</v>
      </c>
      <c r="D541" s="64" t="s">
        <v>781</v>
      </c>
      <c r="E541" s="64" t="s">
        <v>61</v>
      </c>
      <c r="F541" s="64" t="s">
        <v>15</v>
      </c>
      <c r="G541" s="64" t="s">
        <v>62</v>
      </c>
      <c r="H541" s="64" t="s">
        <v>63</v>
      </c>
      <c r="I541" s="64" t="s">
        <v>64</v>
      </c>
      <c r="J541" s="67">
        <v>0</v>
      </c>
      <c r="K541" s="62">
        <v>182250.27</v>
      </c>
      <c r="L541" s="33" t="e">
        <f>HLOOKUP(B541,#REF!,1,0)</f>
        <v>#REF!</v>
      </c>
      <c r="M541" s="33" t="str">
        <f t="shared" si="35"/>
        <v>BS</v>
      </c>
    </row>
    <row r="542" spans="1:13" s="33" customFormat="true" ht="12.75" customHeight="true">
      <c r="A542" s="33" t="str">
        <f t="shared" si="32"/>
        <v>DF2 - Fixed Assets</v>
      </c>
      <c r="B542" s="33" t="str">
        <f t="shared" si="33"/>
        <v>DF2</v>
      </c>
      <c r="C542" s="33" t="str">
        <f t="shared" si="34"/>
        <v>16101-7392</v>
      </c>
      <c r="D542" s="64" t="s">
        <v>782</v>
      </c>
      <c r="E542" s="64" t="s">
        <v>61</v>
      </c>
      <c r="F542" s="64" t="s">
        <v>15</v>
      </c>
      <c r="G542" s="64" t="s">
        <v>62</v>
      </c>
      <c r="H542" s="64" t="s">
        <v>63</v>
      </c>
      <c r="I542" s="64" t="s">
        <v>64</v>
      </c>
      <c r="J542" s="67">
        <v>0</v>
      </c>
      <c r="K542" s="62">
        <v>182281.8</v>
      </c>
      <c r="L542" s="33" t="e">
        <f>HLOOKUP(B542,#REF!,1,0)</f>
        <v>#REF!</v>
      </c>
      <c r="M542" s="33" t="str">
        <f t="shared" si="35"/>
        <v>BS</v>
      </c>
    </row>
    <row r="543" spans="1:13" s="33" customFormat="true" ht="12.75" customHeight="true">
      <c r="A543" s="33" t="str">
        <f t="shared" si="32"/>
        <v>DF2 - Fixed Assets</v>
      </c>
      <c r="B543" s="33" t="str">
        <f t="shared" si="33"/>
        <v>DF2</v>
      </c>
      <c r="C543" s="33" t="str">
        <f t="shared" si="34"/>
        <v>16101-7487</v>
      </c>
      <c r="D543" s="64" t="s">
        <v>783</v>
      </c>
      <c r="E543" s="64" t="s">
        <v>61</v>
      </c>
      <c r="F543" s="64" t="s">
        <v>15</v>
      </c>
      <c r="G543" s="64" t="s">
        <v>62</v>
      </c>
      <c r="H543" s="64" t="s">
        <v>63</v>
      </c>
      <c r="I543" s="64" t="s">
        <v>64</v>
      </c>
      <c r="J543" s="67">
        <v>0</v>
      </c>
      <c r="K543" s="62">
        <v>158817.97</v>
      </c>
      <c r="L543" s="33" t="e">
        <f>HLOOKUP(B543,#REF!,1,0)</f>
        <v>#REF!</v>
      </c>
      <c r="M543" s="33" t="str">
        <f t="shared" si="35"/>
        <v>BS</v>
      </c>
    </row>
    <row r="544" spans="1:13" s="33" customFormat="true" ht="12.75" customHeight="true">
      <c r="A544" s="33" t="str">
        <f t="shared" si="32"/>
        <v>DF2 - Fixed Assets</v>
      </c>
      <c r="B544" s="33" t="str">
        <f t="shared" si="33"/>
        <v>DF2</v>
      </c>
      <c r="C544" s="33" t="str">
        <f t="shared" si="34"/>
        <v>16101-7488</v>
      </c>
      <c r="D544" s="64" t="s">
        <v>784</v>
      </c>
      <c r="E544" s="64" t="s">
        <v>61</v>
      </c>
      <c r="F544" s="64" t="s">
        <v>15</v>
      </c>
      <c r="G544" s="64" t="s">
        <v>62</v>
      </c>
      <c r="H544" s="64" t="s">
        <v>63</v>
      </c>
      <c r="I544" s="64" t="s">
        <v>64</v>
      </c>
      <c r="J544" s="67">
        <v>0</v>
      </c>
      <c r="K544" s="62">
        <v>182436.68</v>
      </c>
      <c r="L544" s="33" t="e">
        <f>HLOOKUP(B544,#REF!,1,0)</f>
        <v>#REF!</v>
      </c>
      <c r="M544" s="33" t="str">
        <f t="shared" si="35"/>
        <v>BS</v>
      </c>
    </row>
    <row r="545" spans="1:13" s="33" customFormat="true" ht="12.75" customHeight="true">
      <c r="A545" s="33" t="str">
        <f t="shared" si="32"/>
        <v>DF2 - Fixed Assets</v>
      </c>
      <c r="B545" s="33" t="str">
        <f t="shared" si="33"/>
        <v>DF2</v>
      </c>
      <c r="C545" s="33" t="str">
        <f t="shared" si="34"/>
        <v>16101-7495</v>
      </c>
      <c r="D545" s="64" t="s">
        <v>785</v>
      </c>
      <c r="E545" s="64" t="s">
        <v>61</v>
      </c>
      <c r="F545" s="64" t="s">
        <v>15</v>
      </c>
      <c r="G545" s="64" t="s">
        <v>62</v>
      </c>
      <c r="H545" s="64" t="s">
        <v>63</v>
      </c>
      <c r="I545" s="64" t="s">
        <v>64</v>
      </c>
      <c r="J545" s="67">
        <v>0</v>
      </c>
      <c r="K545" s="62">
        <v>188474.03</v>
      </c>
      <c r="L545" s="33" t="e">
        <f>HLOOKUP(B545,#REF!,1,0)</f>
        <v>#REF!</v>
      </c>
      <c r="M545" s="33" t="str">
        <f t="shared" si="35"/>
        <v>BS</v>
      </c>
    </row>
    <row r="546" spans="1:13" s="33" customFormat="true" ht="12.75" customHeight="true">
      <c r="A546" s="33" t="str">
        <f t="shared" si="32"/>
        <v>DF2 - Fixed Assets</v>
      </c>
      <c r="B546" s="33" t="str">
        <f t="shared" si="33"/>
        <v>DF2</v>
      </c>
      <c r="C546" s="33" t="str">
        <f t="shared" si="34"/>
        <v>16601-7367</v>
      </c>
      <c r="D546" s="64" t="s">
        <v>786</v>
      </c>
      <c r="E546" s="64" t="s">
        <v>70</v>
      </c>
      <c r="F546" s="64" t="s">
        <v>15</v>
      </c>
      <c r="G546" s="64" t="s">
        <v>62</v>
      </c>
      <c r="H546" s="64" t="s">
        <v>63</v>
      </c>
      <c r="I546" s="64" t="s">
        <v>64</v>
      </c>
      <c r="J546" s="67">
        <v>0</v>
      </c>
      <c r="K546" s="62">
        <v>141995.87</v>
      </c>
      <c r="L546" s="33" t="e">
        <f>HLOOKUP(B546,#REF!,1,0)</f>
        <v>#REF!</v>
      </c>
      <c r="M546" s="33" t="str">
        <f t="shared" si="35"/>
        <v>BS</v>
      </c>
    </row>
    <row r="547" spans="1:13" s="33" customFormat="true" ht="12.75" customHeight="true">
      <c r="A547" s="33" t="str">
        <f t="shared" si="32"/>
        <v>DF2 - Fixed Assets</v>
      </c>
      <c r="B547" s="33" t="str">
        <f t="shared" si="33"/>
        <v>DF2</v>
      </c>
      <c r="C547" s="33" t="str">
        <f t="shared" si="34"/>
        <v>16601-7392</v>
      </c>
      <c r="D547" s="64" t="s">
        <v>787</v>
      </c>
      <c r="E547" s="64" t="s">
        <v>70</v>
      </c>
      <c r="F547" s="64" t="s">
        <v>15</v>
      </c>
      <c r="G547" s="64" t="s">
        <v>62</v>
      </c>
      <c r="H547" s="64" t="s">
        <v>63</v>
      </c>
      <c r="I547" s="64" t="s">
        <v>64</v>
      </c>
      <c r="J547" s="67">
        <v>0</v>
      </c>
      <c r="K547" s="62">
        <v>47576.32</v>
      </c>
      <c r="L547" s="33" t="e">
        <f>HLOOKUP(B547,#REF!,1,0)</f>
        <v>#REF!</v>
      </c>
      <c r="M547" s="33" t="str">
        <f t="shared" si="35"/>
        <v>BS</v>
      </c>
    </row>
    <row r="548" spans="1:13" s="33" customFormat="true" ht="12.75" customHeight="true">
      <c r="A548" s="33" t="str">
        <f t="shared" si="32"/>
        <v>DF2 - Fixed Assets</v>
      </c>
      <c r="B548" s="33" t="str">
        <f t="shared" si="33"/>
        <v>DF2</v>
      </c>
      <c r="C548" s="33" t="str">
        <f t="shared" si="34"/>
        <v>16601-7487</v>
      </c>
      <c r="D548" s="64" t="s">
        <v>788</v>
      </c>
      <c r="E548" s="64" t="s">
        <v>70</v>
      </c>
      <c r="F548" s="64" t="s">
        <v>15</v>
      </c>
      <c r="G548" s="64" t="s">
        <v>62</v>
      </c>
      <c r="H548" s="64" t="s">
        <v>63</v>
      </c>
      <c r="I548" s="64" t="s">
        <v>64</v>
      </c>
      <c r="J548" s="67">
        <v>0</v>
      </c>
      <c r="K548" s="62">
        <v>412360.04</v>
      </c>
      <c r="L548" s="33" t="e">
        <f>HLOOKUP(B548,#REF!,1,0)</f>
        <v>#REF!</v>
      </c>
      <c r="M548" s="33" t="str">
        <f t="shared" si="35"/>
        <v>BS</v>
      </c>
    </row>
    <row r="549" spans="1:13" s="33" customFormat="true" ht="12.75" customHeight="true">
      <c r="A549" s="33" t="str">
        <f t="shared" si="32"/>
        <v>DF2 - Fixed Assets</v>
      </c>
      <c r="B549" s="33" t="str">
        <f t="shared" si="33"/>
        <v>DF2</v>
      </c>
      <c r="C549" s="33" t="str">
        <f t="shared" si="34"/>
        <v>16601-7488</v>
      </c>
      <c r="D549" s="64" t="s">
        <v>789</v>
      </c>
      <c r="E549" s="64" t="s">
        <v>70</v>
      </c>
      <c r="F549" s="64" t="s">
        <v>15</v>
      </c>
      <c r="G549" s="64" t="s">
        <v>62</v>
      </c>
      <c r="H549" s="64" t="s">
        <v>63</v>
      </c>
      <c r="I549" s="64" t="s">
        <v>64</v>
      </c>
      <c r="J549" s="67">
        <v>0</v>
      </c>
      <c r="K549" s="62">
        <v>186482.4</v>
      </c>
      <c r="L549" s="33" t="e">
        <f>HLOOKUP(B549,#REF!,1,0)</f>
        <v>#REF!</v>
      </c>
      <c r="M549" s="33" t="str">
        <f t="shared" si="35"/>
        <v>BS</v>
      </c>
    </row>
    <row r="550" spans="1:13" s="33" customFormat="true" ht="12.75" customHeight="true">
      <c r="A550" s="33" t="str">
        <f t="shared" si="32"/>
        <v>DF2 - Fixed Assets</v>
      </c>
      <c r="B550" s="33" t="str">
        <f t="shared" si="33"/>
        <v>DF2</v>
      </c>
      <c r="C550" s="33" t="str">
        <f t="shared" si="34"/>
        <v>16601-7495</v>
      </c>
      <c r="D550" s="64" t="s">
        <v>790</v>
      </c>
      <c r="E550" s="64" t="s">
        <v>70</v>
      </c>
      <c r="F550" s="64" t="s">
        <v>15</v>
      </c>
      <c r="G550" s="64" t="s">
        <v>62</v>
      </c>
      <c r="H550" s="64" t="s">
        <v>63</v>
      </c>
      <c r="I550" s="64" t="s">
        <v>64</v>
      </c>
      <c r="J550" s="67">
        <v>0</v>
      </c>
      <c r="K550" s="62">
        <v>80653.19</v>
      </c>
      <c r="L550" s="33" t="e">
        <f>HLOOKUP(B550,#REF!,1,0)</f>
        <v>#REF!</v>
      </c>
      <c r="M550" s="33" t="str">
        <f t="shared" si="35"/>
        <v>BS</v>
      </c>
    </row>
    <row r="551" spans="1:13" s="33" customFormat="true" ht="12.75" customHeight="true">
      <c r="A551" s="33" t="str">
        <f t="shared" si="32"/>
        <v>DF2 - Fixed Assets</v>
      </c>
      <c r="B551" s="33" t="str">
        <f t="shared" si="33"/>
        <v>DF2</v>
      </c>
      <c r="C551" s="33" t="str">
        <f t="shared" si="34"/>
        <v>16901-0000</v>
      </c>
      <c r="D551" s="64" t="s">
        <v>791</v>
      </c>
      <c r="E551" s="64" t="s">
        <v>77</v>
      </c>
      <c r="F551" s="64" t="s">
        <v>15</v>
      </c>
      <c r="G551" s="64" t="s">
        <v>62</v>
      </c>
      <c r="H551" s="64" t="s">
        <v>63</v>
      </c>
      <c r="I551" s="64" t="s">
        <v>64</v>
      </c>
      <c r="J551" s="67">
        <v>0</v>
      </c>
      <c r="K551" s="62">
        <v>-1578506.53</v>
      </c>
      <c r="L551" s="33" t="e">
        <f>HLOOKUP(B551,#REF!,1,0)</f>
        <v>#REF!</v>
      </c>
      <c r="M551" s="33" t="str">
        <f t="shared" si="35"/>
        <v>BS</v>
      </c>
    </row>
    <row r="552" spans="1:13" s="33" customFormat="true" ht="12.75" customHeight="true">
      <c r="A552" s="33" t="str">
        <f t="shared" si="32"/>
        <v>DF2 - Fixed Assets</v>
      </c>
      <c r="B552" s="33" t="str">
        <f t="shared" si="33"/>
        <v>DF2</v>
      </c>
      <c r="C552" s="33" t="str">
        <f t="shared" si="34"/>
        <v>17201-7367</v>
      </c>
      <c r="D552" s="64" t="s">
        <v>792</v>
      </c>
      <c r="E552" s="64" t="s">
        <v>83</v>
      </c>
      <c r="F552" s="64" t="s">
        <v>15</v>
      </c>
      <c r="G552" s="64" t="s">
        <v>62</v>
      </c>
      <c r="H552" s="64" t="s">
        <v>63</v>
      </c>
      <c r="I552" s="64" t="s">
        <v>81</v>
      </c>
      <c r="J552" s="67">
        <v>0</v>
      </c>
      <c r="K552" s="62">
        <v>24819</v>
      </c>
      <c r="L552" s="33" t="e">
        <f>HLOOKUP(B552,#REF!,1,0)</f>
        <v>#REF!</v>
      </c>
      <c r="M552" s="33" t="str">
        <f t="shared" si="35"/>
        <v>BS</v>
      </c>
    </row>
    <row r="553" spans="1:13" s="33" customFormat="true" ht="12.75" customHeight="true">
      <c r="A553" s="33" t="str">
        <f t="shared" si="32"/>
        <v>DF2 - Fixed Assets</v>
      </c>
      <c r="B553" s="33" t="str">
        <f t="shared" si="33"/>
        <v>DF2</v>
      </c>
      <c r="C553" s="33" t="str">
        <f t="shared" si="34"/>
        <v>17201-7392</v>
      </c>
      <c r="D553" s="64" t="s">
        <v>793</v>
      </c>
      <c r="E553" s="64" t="s">
        <v>83</v>
      </c>
      <c r="F553" s="64" t="s">
        <v>15</v>
      </c>
      <c r="G553" s="64" t="s">
        <v>62</v>
      </c>
      <c r="H553" s="64" t="s">
        <v>63</v>
      </c>
      <c r="I553" s="64" t="s">
        <v>81</v>
      </c>
      <c r="J553" s="67">
        <v>0</v>
      </c>
      <c r="K553" s="62">
        <v>22910</v>
      </c>
      <c r="L553" s="33" t="e">
        <f>HLOOKUP(B553,#REF!,1,0)</f>
        <v>#REF!</v>
      </c>
      <c r="M553" s="33" t="str">
        <f t="shared" si="35"/>
        <v>BS</v>
      </c>
    </row>
    <row r="554" spans="1:13" s="33" customFormat="true" ht="12.75" customHeight="true">
      <c r="A554" s="33" t="str">
        <f t="shared" si="32"/>
        <v>DF2 - Fixed Assets</v>
      </c>
      <c r="B554" s="33" t="str">
        <f t="shared" si="33"/>
        <v>DF2</v>
      </c>
      <c r="C554" s="33" t="str">
        <f t="shared" si="34"/>
        <v>17201-7487</v>
      </c>
      <c r="D554" s="64" t="s">
        <v>794</v>
      </c>
      <c r="E554" s="64" t="s">
        <v>83</v>
      </c>
      <c r="F554" s="64" t="s">
        <v>15</v>
      </c>
      <c r="G554" s="64" t="s">
        <v>62</v>
      </c>
      <c r="H554" s="64" t="s">
        <v>63</v>
      </c>
      <c r="I554" s="64" t="s">
        <v>81</v>
      </c>
      <c r="J554" s="67">
        <v>0</v>
      </c>
      <c r="K554" s="62">
        <v>19091</v>
      </c>
      <c r="L554" s="33" t="e">
        <f>HLOOKUP(B554,#REF!,1,0)</f>
        <v>#REF!</v>
      </c>
      <c r="M554" s="33" t="str">
        <f t="shared" si="35"/>
        <v>BS</v>
      </c>
    </row>
    <row r="555" spans="1:13" s="33" customFormat="true" ht="12.75" customHeight="true">
      <c r="A555" s="33" t="str">
        <f t="shared" si="32"/>
        <v>DF2 - Fixed Assets</v>
      </c>
      <c r="B555" s="33" t="str">
        <f t="shared" si="33"/>
        <v>DF2</v>
      </c>
      <c r="C555" s="33" t="str">
        <f t="shared" si="34"/>
        <v>17201-7488</v>
      </c>
      <c r="D555" s="64" t="s">
        <v>795</v>
      </c>
      <c r="E555" s="64" t="s">
        <v>83</v>
      </c>
      <c r="F555" s="64" t="s">
        <v>15</v>
      </c>
      <c r="G555" s="64" t="s">
        <v>62</v>
      </c>
      <c r="H555" s="64" t="s">
        <v>63</v>
      </c>
      <c r="I555" s="64" t="s">
        <v>81</v>
      </c>
      <c r="J555" s="67">
        <v>0</v>
      </c>
      <c r="K555" s="62">
        <v>24182</v>
      </c>
      <c r="L555" s="33" t="e">
        <f>HLOOKUP(B555,#REF!,1,0)</f>
        <v>#REF!</v>
      </c>
      <c r="M555" s="33" t="str">
        <f t="shared" si="35"/>
        <v>BS</v>
      </c>
    </row>
    <row r="556" spans="1:13" s="33" customFormat="true" ht="12.75" customHeight="true">
      <c r="A556" s="33" t="str">
        <f t="shared" si="32"/>
        <v>DF2 - Fixed Assets</v>
      </c>
      <c r="B556" s="33" t="str">
        <f t="shared" si="33"/>
        <v>DF2</v>
      </c>
      <c r="C556" s="33" t="str">
        <f t="shared" si="34"/>
        <v>17201-7495</v>
      </c>
      <c r="D556" s="64" t="s">
        <v>796</v>
      </c>
      <c r="E556" s="64" t="s">
        <v>83</v>
      </c>
      <c r="F556" s="64" t="s">
        <v>15</v>
      </c>
      <c r="G556" s="64" t="s">
        <v>62</v>
      </c>
      <c r="H556" s="64" t="s">
        <v>63</v>
      </c>
      <c r="I556" s="64" t="s">
        <v>81</v>
      </c>
      <c r="J556" s="67">
        <v>0</v>
      </c>
      <c r="K556" s="62">
        <v>21637</v>
      </c>
      <c r="L556" s="33" t="e">
        <f>HLOOKUP(B556,#REF!,1,0)</f>
        <v>#REF!</v>
      </c>
      <c r="M556" s="33" t="str">
        <f t="shared" si="35"/>
        <v>BS</v>
      </c>
    </row>
    <row r="557" spans="1:13" s="33" customFormat="true" ht="12.75" customHeight="true">
      <c r="A557" s="33" t="str">
        <f t="shared" si="32"/>
        <v>DF2 - Fixed Assets</v>
      </c>
      <c r="B557" s="33" t="str">
        <f t="shared" si="33"/>
        <v>DF2</v>
      </c>
      <c r="C557" s="33" t="str">
        <f t="shared" si="34"/>
        <v>17501-7367</v>
      </c>
      <c r="D557" s="64" t="s">
        <v>797</v>
      </c>
      <c r="E557" s="64" t="s">
        <v>798</v>
      </c>
      <c r="F557" s="64" t="s">
        <v>15</v>
      </c>
      <c r="G557" s="64" t="s">
        <v>62</v>
      </c>
      <c r="H557" s="64" t="s">
        <v>63</v>
      </c>
      <c r="I557" s="64" t="s">
        <v>81</v>
      </c>
      <c r="J557" s="67">
        <v>0</v>
      </c>
      <c r="K557" s="62">
        <v>776900.76</v>
      </c>
      <c r="L557" s="33" t="e">
        <f>HLOOKUP(B557,#REF!,1,0)</f>
        <v>#REF!</v>
      </c>
      <c r="M557" s="33" t="str">
        <f t="shared" si="35"/>
        <v>BS</v>
      </c>
    </row>
    <row r="558" spans="1:13" s="33" customFormat="true" ht="12.75" customHeight="true">
      <c r="A558" s="33" t="str">
        <f t="shared" si="32"/>
        <v>DF2 - Fixed Assets</v>
      </c>
      <c r="B558" s="33" t="str">
        <f t="shared" si="33"/>
        <v>DF2</v>
      </c>
      <c r="C558" s="33" t="str">
        <f t="shared" si="34"/>
        <v>17501-7392</v>
      </c>
      <c r="D558" s="64" t="s">
        <v>799</v>
      </c>
      <c r="E558" s="64" t="s">
        <v>798</v>
      </c>
      <c r="F558" s="64" t="s">
        <v>15</v>
      </c>
      <c r="G558" s="64" t="s">
        <v>62</v>
      </c>
      <c r="H558" s="64" t="s">
        <v>63</v>
      </c>
      <c r="I558" s="64" t="s">
        <v>81</v>
      </c>
      <c r="J558" s="67">
        <v>0</v>
      </c>
      <c r="K558" s="62">
        <v>776900.76</v>
      </c>
      <c r="L558" s="33" t="e">
        <f>HLOOKUP(B558,#REF!,1,0)</f>
        <v>#REF!</v>
      </c>
      <c r="M558" s="33" t="str">
        <f t="shared" si="35"/>
        <v>BS</v>
      </c>
    </row>
    <row r="559" spans="1:13" s="33" customFormat="true" ht="12.75" customHeight="true">
      <c r="A559" s="33" t="str">
        <f t="shared" si="32"/>
        <v>DF2 - Fixed Assets</v>
      </c>
      <c r="B559" s="33" t="str">
        <f t="shared" si="33"/>
        <v>DF2</v>
      </c>
      <c r="C559" s="33" t="str">
        <f t="shared" si="34"/>
        <v>17501-7487</v>
      </c>
      <c r="D559" s="64" t="s">
        <v>800</v>
      </c>
      <c r="E559" s="64" t="s">
        <v>798</v>
      </c>
      <c r="F559" s="64" t="s">
        <v>15</v>
      </c>
      <c r="G559" s="64" t="s">
        <v>62</v>
      </c>
      <c r="H559" s="64" t="s">
        <v>63</v>
      </c>
      <c r="I559" s="64" t="s">
        <v>81</v>
      </c>
      <c r="J559" s="67">
        <v>0</v>
      </c>
      <c r="K559" s="62">
        <v>882975.76</v>
      </c>
      <c r="L559" s="33" t="e">
        <f>HLOOKUP(B559,#REF!,1,0)</f>
        <v>#REF!</v>
      </c>
      <c r="M559" s="33" t="str">
        <f t="shared" si="35"/>
        <v>BS</v>
      </c>
    </row>
    <row r="560" spans="1:13" s="33" customFormat="true" ht="12.75" customHeight="true">
      <c r="A560" s="33" t="str">
        <f t="shared" si="32"/>
        <v>DF2 - Fixed Assets</v>
      </c>
      <c r="B560" s="33" t="str">
        <f t="shared" si="33"/>
        <v>DF2</v>
      </c>
      <c r="C560" s="33" t="str">
        <f t="shared" si="34"/>
        <v>17501-7488</v>
      </c>
      <c r="D560" s="64" t="s">
        <v>801</v>
      </c>
      <c r="E560" s="64" t="s">
        <v>798</v>
      </c>
      <c r="F560" s="64" t="s">
        <v>15</v>
      </c>
      <c r="G560" s="64" t="s">
        <v>62</v>
      </c>
      <c r="H560" s="64" t="s">
        <v>63</v>
      </c>
      <c r="I560" s="64" t="s">
        <v>81</v>
      </c>
      <c r="J560" s="67">
        <v>0</v>
      </c>
      <c r="K560" s="62">
        <v>738687.76</v>
      </c>
      <c r="L560" s="33" t="e">
        <f>HLOOKUP(B560,#REF!,1,0)</f>
        <v>#REF!</v>
      </c>
      <c r="M560" s="33" t="str">
        <f t="shared" si="35"/>
        <v>BS</v>
      </c>
    </row>
    <row r="561" spans="1:13" s="33" customFormat="true" ht="12.75" customHeight="true">
      <c r="A561" s="33" t="str">
        <f t="shared" si="32"/>
        <v>DF2 - Fixed Assets</v>
      </c>
      <c r="B561" s="33" t="str">
        <f t="shared" si="33"/>
        <v>DF2</v>
      </c>
      <c r="C561" s="33" t="str">
        <f t="shared" si="34"/>
        <v>17501-7495</v>
      </c>
      <c r="D561" s="64" t="s">
        <v>802</v>
      </c>
      <c r="E561" s="64" t="s">
        <v>798</v>
      </c>
      <c r="F561" s="64" t="s">
        <v>15</v>
      </c>
      <c r="G561" s="64" t="s">
        <v>62</v>
      </c>
      <c r="H561" s="64" t="s">
        <v>63</v>
      </c>
      <c r="I561" s="64" t="s">
        <v>81</v>
      </c>
      <c r="J561" s="67">
        <v>0</v>
      </c>
      <c r="K561" s="62">
        <v>1013140.76</v>
      </c>
      <c r="L561" s="33" t="e">
        <f>HLOOKUP(B561,#REF!,1,0)</f>
        <v>#REF!</v>
      </c>
      <c r="M561" s="33" t="str">
        <f t="shared" si="35"/>
        <v>BS</v>
      </c>
    </row>
    <row r="562" spans="1:13" s="33" customFormat="true" ht="12.75" customHeight="true">
      <c r="A562" s="33" t="str">
        <f t="shared" si="32"/>
        <v>DF2 - Fixed Assets</v>
      </c>
      <c r="B562" s="33" t="str">
        <f t="shared" si="33"/>
        <v>DF2</v>
      </c>
      <c r="C562" s="33" t="str">
        <f t="shared" si="34"/>
        <v>18501-0000</v>
      </c>
      <c r="D562" s="64" t="s">
        <v>803</v>
      </c>
      <c r="E562" s="64" t="s">
        <v>88</v>
      </c>
      <c r="F562" s="64" t="s">
        <v>15</v>
      </c>
      <c r="G562" s="64" t="s">
        <v>62</v>
      </c>
      <c r="H562" s="64" t="s">
        <v>63</v>
      </c>
      <c r="I562" s="64" t="s">
        <v>81</v>
      </c>
      <c r="J562" s="67">
        <v>0</v>
      </c>
      <c r="K562" s="62">
        <v>-4301245.71</v>
      </c>
      <c r="L562" s="33" t="e">
        <f>HLOOKUP(B562,#REF!,1,0)</f>
        <v>#REF!</v>
      </c>
      <c r="M562" s="33" t="str">
        <f t="shared" si="35"/>
        <v>BS</v>
      </c>
    </row>
    <row r="563" spans="1:13" s="33" customFormat="true" ht="12.75" customHeight="true">
      <c r="A563" s="33" t="str">
        <f t="shared" si="32"/>
        <v>DF2 - AP-Accr Exp</v>
      </c>
      <c r="B563" s="33" t="str">
        <f t="shared" si="33"/>
        <v>DF2</v>
      </c>
      <c r="C563" s="33" t="str">
        <f t="shared" si="34"/>
        <v>20001-0000</v>
      </c>
      <c r="D563" s="64" t="s">
        <v>804</v>
      </c>
      <c r="E563" s="64" t="s">
        <v>96</v>
      </c>
      <c r="F563" s="64" t="s">
        <v>15</v>
      </c>
      <c r="G563" s="64" t="s">
        <v>97</v>
      </c>
      <c r="H563" s="64" t="s">
        <v>98</v>
      </c>
      <c r="I563" s="64" t="s">
        <v>99</v>
      </c>
      <c r="J563" s="67">
        <v>-2087.18</v>
      </c>
      <c r="K563" s="62">
        <v>-23902.89</v>
      </c>
      <c r="L563" s="33" t="e">
        <f>HLOOKUP(B563,#REF!,1,0)</f>
        <v>#REF!</v>
      </c>
      <c r="M563" s="33" t="str">
        <f t="shared" si="35"/>
        <v>BS</v>
      </c>
    </row>
    <row r="564" spans="1:13" s="33" customFormat="true" ht="12.75" customHeight="true">
      <c r="A564" s="33" t="str">
        <f t="shared" si="32"/>
        <v>DF2 - AP-Accr Exp</v>
      </c>
      <c r="B564" s="33" t="str">
        <f t="shared" si="33"/>
        <v>DF2</v>
      </c>
      <c r="C564" s="33" t="str">
        <f t="shared" si="34"/>
        <v>21001-0000</v>
      </c>
      <c r="D564" s="64" t="s">
        <v>805</v>
      </c>
      <c r="E564" s="64" t="s">
        <v>101</v>
      </c>
      <c r="F564" s="64" t="s">
        <v>15</v>
      </c>
      <c r="G564" s="64" t="s">
        <v>97</v>
      </c>
      <c r="H564" s="64" t="s">
        <v>98</v>
      </c>
      <c r="I564" s="64" t="s">
        <v>102</v>
      </c>
      <c r="J564" s="67">
        <v>0</v>
      </c>
      <c r="K564" s="62">
        <v>-15555</v>
      </c>
      <c r="L564" s="33" t="e">
        <f>HLOOKUP(B564,#REF!,1,0)</f>
        <v>#REF!</v>
      </c>
      <c r="M564" s="33" t="str">
        <f t="shared" si="35"/>
        <v>BS</v>
      </c>
    </row>
    <row r="565" spans="1:13" s="33" customFormat="true" ht="12.75" customHeight="true">
      <c r="A565" s="33" t="str">
        <f t="shared" si="32"/>
        <v>DF2 - Tax Accr</v>
      </c>
      <c r="B565" s="33" t="str">
        <f t="shared" si="33"/>
        <v>DF2</v>
      </c>
      <c r="C565" s="33" t="str">
        <f t="shared" si="34"/>
        <v>22001-0000</v>
      </c>
      <c r="D565" s="64" t="s">
        <v>806</v>
      </c>
      <c r="E565" s="64" t="s">
        <v>104</v>
      </c>
      <c r="F565" s="64" t="s">
        <v>15</v>
      </c>
      <c r="G565" s="64" t="s">
        <v>97</v>
      </c>
      <c r="H565" s="64" t="s">
        <v>105</v>
      </c>
      <c r="I565" s="64" t="s">
        <v>102</v>
      </c>
      <c r="J565" s="67">
        <v>-7103.78</v>
      </c>
      <c r="K565" s="62">
        <v>-77742.53</v>
      </c>
      <c r="L565" s="33" t="e">
        <f>HLOOKUP(B565,#REF!,1,0)</f>
        <v>#REF!</v>
      </c>
      <c r="M565" s="33" t="str">
        <f t="shared" si="35"/>
        <v>BS</v>
      </c>
    </row>
    <row r="566" spans="1:13" s="33" customFormat="true" ht="12.75" customHeight="true">
      <c r="A566" s="33" t="str">
        <f t="shared" si="32"/>
        <v>DF2 - AP-Accr Exp</v>
      </c>
      <c r="B566" s="33" t="str">
        <f t="shared" si="33"/>
        <v>DF2</v>
      </c>
      <c r="C566" s="33" t="str">
        <f t="shared" si="34"/>
        <v>23405-0000</v>
      </c>
      <c r="D566" s="64" t="s">
        <v>807</v>
      </c>
      <c r="E566" s="64" t="s">
        <v>107</v>
      </c>
      <c r="F566" s="64" t="s">
        <v>15</v>
      </c>
      <c r="G566" s="64" t="s">
        <v>97</v>
      </c>
      <c r="H566" s="64" t="s">
        <v>98</v>
      </c>
      <c r="I566" s="64" t="s">
        <v>102</v>
      </c>
      <c r="J566" s="67">
        <v>0</v>
      </c>
      <c r="K566" s="62">
        <v>0</v>
      </c>
      <c r="L566" s="33" t="e">
        <f>HLOOKUP(B566,#REF!,1,0)</f>
        <v>#REF!</v>
      </c>
      <c r="M566" s="33" t="str">
        <f t="shared" si="35"/>
        <v>BS</v>
      </c>
    </row>
    <row r="567" spans="1:13" s="33" customFormat="true" ht="12.75" customHeight="true">
      <c r="A567" s="33" t="str">
        <f t="shared" si="32"/>
        <v>DF2 - AP-Accr Exp</v>
      </c>
      <c r="B567" s="33" t="str">
        <f t="shared" si="33"/>
        <v>DF2</v>
      </c>
      <c r="C567" s="33" t="str">
        <f t="shared" si="34"/>
        <v>23406-0000</v>
      </c>
      <c r="D567" s="64" t="s">
        <v>808</v>
      </c>
      <c r="E567" s="64" t="s">
        <v>109</v>
      </c>
      <c r="F567" s="64" t="s">
        <v>15</v>
      </c>
      <c r="G567" s="64" t="s">
        <v>97</v>
      </c>
      <c r="H567" s="64" t="s">
        <v>98</v>
      </c>
      <c r="I567" s="64" t="s">
        <v>102</v>
      </c>
      <c r="J567" s="67">
        <v>0</v>
      </c>
      <c r="K567" s="62">
        <v>-25611.2</v>
      </c>
      <c r="L567" s="33" t="e">
        <f>HLOOKUP(B567,#REF!,1,0)</f>
        <v>#REF!</v>
      </c>
      <c r="M567" s="33" t="str">
        <f t="shared" si="35"/>
        <v>BS</v>
      </c>
    </row>
    <row r="568" spans="1:13" s="33" customFormat="true" ht="12.75" customHeight="true">
      <c r="A568" s="33" t="str">
        <f t="shared" si="32"/>
        <v>DF2 - AP-Accr Exp</v>
      </c>
      <c r="B568" s="33" t="str">
        <f t="shared" si="33"/>
        <v>DF2</v>
      </c>
      <c r="C568" s="33" t="str">
        <f t="shared" si="34"/>
        <v>23509-0000</v>
      </c>
      <c r="D568" s="64" t="s">
        <v>809</v>
      </c>
      <c r="E568" s="64" t="s">
        <v>111</v>
      </c>
      <c r="F568" s="64" t="s">
        <v>15</v>
      </c>
      <c r="G568" s="64" t="s">
        <v>97</v>
      </c>
      <c r="H568" s="64" t="s">
        <v>98</v>
      </c>
      <c r="I568" s="64" t="s">
        <v>102</v>
      </c>
      <c r="J568" s="67">
        <v>0</v>
      </c>
      <c r="K568" s="62">
        <v>0</v>
      </c>
      <c r="L568" s="33" t="e">
        <f>HLOOKUP(B568,#REF!,1,0)</f>
        <v>#REF!</v>
      </c>
      <c r="M568" s="33" t="str">
        <f t="shared" si="35"/>
        <v>BS</v>
      </c>
    </row>
    <row r="569" spans="1:13" s="33" customFormat="true" ht="12.75" customHeight="true">
      <c r="A569" s="33" t="str">
        <f t="shared" si="32"/>
        <v>DF2 - AP-Accr Exp</v>
      </c>
      <c r="B569" s="33" t="str">
        <f t="shared" si="33"/>
        <v>DF2</v>
      </c>
      <c r="C569" s="33" t="str">
        <f t="shared" si="34"/>
        <v>23905-0000</v>
      </c>
      <c r="D569" s="64" t="s">
        <v>810</v>
      </c>
      <c r="E569" s="64" t="s">
        <v>811</v>
      </c>
      <c r="F569" s="64" t="s">
        <v>15</v>
      </c>
      <c r="G569" s="64" t="s">
        <v>97</v>
      </c>
      <c r="H569" s="64" t="s">
        <v>98</v>
      </c>
      <c r="I569" s="64" t="s">
        <v>102</v>
      </c>
      <c r="J569" s="67">
        <v>0</v>
      </c>
      <c r="K569" s="62">
        <v>-56078.44</v>
      </c>
      <c r="L569" s="33" t="e">
        <f>HLOOKUP(B569,#REF!,1,0)</f>
        <v>#REF!</v>
      </c>
      <c r="M569" s="33" t="str">
        <f t="shared" si="35"/>
        <v>BS</v>
      </c>
    </row>
    <row r="570" spans="1:13" s="33" customFormat="true" ht="12.75" customHeight="true">
      <c r="A570" s="33" t="str">
        <f t="shared" si="32"/>
        <v>DF2 - AP-Accr Exp</v>
      </c>
      <c r="B570" s="33" t="str">
        <f t="shared" si="33"/>
        <v>DF2</v>
      </c>
      <c r="C570" s="33" t="str">
        <f t="shared" si="34"/>
        <v>23909-0000</v>
      </c>
      <c r="D570" s="64" t="s">
        <v>812</v>
      </c>
      <c r="E570" s="64" t="s">
        <v>113</v>
      </c>
      <c r="F570" s="64" t="s">
        <v>15</v>
      </c>
      <c r="G570" s="64" t="s">
        <v>97</v>
      </c>
      <c r="H570" s="64" t="s">
        <v>98</v>
      </c>
      <c r="I570" s="64" t="s">
        <v>102</v>
      </c>
      <c r="J570" s="67">
        <v>-10703.2</v>
      </c>
      <c r="K570" s="62">
        <v>-87595.72</v>
      </c>
      <c r="L570" s="33" t="e">
        <f>HLOOKUP(B570,#REF!,1,0)</f>
        <v>#REF!</v>
      </c>
      <c r="M570" s="33" t="str">
        <f t="shared" si="35"/>
        <v>BS</v>
      </c>
    </row>
    <row r="571" spans="1:13" s="33" customFormat="true" ht="12.75" customHeight="true">
      <c r="A571" s="33" t="str">
        <f t="shared" si="32"/>
        <v>DF2 - AP-Accr Exp</v>
      </c>
      <c r="B571" s="33" t="str">
        <f t="shared" si="33"/>
        <v>DF2</v>
      </c>
      <c r="C571" s="33" t="str">
        <f t="shared" si="34"/>
        <v>24400-0000</v>
      </c>
      <c r="D571" s="64" t="s">
        <v>813</v>
      </c>
      <c r="E571" s="64" t="s">
        <v>115</v>
      </c>
      <c r="F571" s="64" t="s">
        <v>15</v>
      </c>
      <c r="G571" s="64" t="s">
        <v>97</v>
      </c>
      <c r="H571" s="64" t="s">
        <v>98</v>
      </c>
      <c r="I571" s="64" t="s">
        <v>102</v>
      </c>
      <c r="J571" s="67">
        <v>-261.05</v>
      </c>
      <c r="K571" s="62">
        <v>-59381.22</v>
      </c>
      <c r="L571" s="33" t="e">
        <f>HLOOKUP(B571,#REF!,1,0)</f>
        <v>#REF!</v>
      </c>
      <c r="M571" s="33" t="str">
        <f t="shared" si="35"/>
        <v>BS</v>
      </c>
    </row>
    <row r="572" spans="1:13" s="33" customFormat="true" ht="12.75" customHeight="true">
      <c r="A572" s="33" t="str">
        <f t="shared" si="32"/>
        <v>DF2 - AP-Accr Exp</v>
      </c>
      <c r="B572" s="33" t="str">
        <f t="shared" si="33"/>
        <v>DF2</v>
      </c>
      <c r="C572" s="33" t="str">
        <f t="shared" si="34"/>
        <v>24400-7367</v>
      </c>
      <c r="D572" s="64" t="s">
        <v>814</v>
      </c>
      <c r="E572" s="64" t="s">
        <v>115</v>
      </c>
      <c r="F572" s="64" t="s">
        <v>15</v>
      </c>
      <c r="G572" s="64" t="s">
        <v>97</v>
      </c>
      <c r="H572" s="64" t="s">
        <v>98</v>
      </c>
      <c r="I572" s="64" t="s">
        <v>102</v>
      </c>
      <c r="J572" s="67">
        <v>18.48</v>
      </c>
      <c r="K572" s="62">
        <v>13195.33</v>
      </c>
      <c r="L572" s="33" t="e">
        <f>HLOOKUP(B572,#REF!,1,0)</f>
        <v>#REF!</v>
      </c>
      <c r="M572" s="33" t="str">
        <f t="shared" si="35"/>
        <v>BS</v>
      </c>
    </row>
    <row r="573" spans="1:13" s="33" customFormat="true" ht="12.75" customHeight="true">
      <c r="A573" s="33" t="str">
        <f t="shared" si="32"/>
        <v>DF2 - AP-Accr Exp</v>
      </c>
      <c r="B573" s="33" t="str">
        <f t="shared" si="33"/>
        <v>DF2</v>
      </c>
      <c r="C573" s="33" t="str">
        <f t="shared" si="34"/>
        <v>24400-7392</v>
      </c>
      <c r="D573" s="64" t="s">
        <v>815</v>
      </c>
      <c r="E573" s="64" t="s">
        <v>115</v>
      </c>
      <c r="F573" s="64" t="s">
        <v>15</v>
      </c>
      <c r="G573" s="64" t="s">
        <v>97</v>
      </c>
      <c r="H573" s="64" t="s">
        <v>98</v>
      </c>
      <c r="I573" s="64" t="s">
        <v>102</v>
      </c>
      <c r="J573" s="67">
        <v>91.69</v>
      </c>
      <c r="K573" s="62">
        <v>14919.65</v>
      </c>
      <c r="L573" s="33" t="e">
        <f>HLOOKUP(B573,#REF!,1,0)</f>
        <v>#REF!</v>
      </c>
      <c r="M573" s="33" t="str">
        <f t="shared" si="35"/>
        <v>BS</v>
      </c>
    </row>
    <row r="574" spans="1:13" s="33" customFormat="true" ht="12.75" customHeight="true">
      <c r="A574" s="33" t="str">
        <f t="shared" si="32"/>
        <v>DF2 - AP-Accr Exp</v>
      </c>
      <c r="B574" s="33" t="str">
        <f t="shared" si="33"/>
        <v>DF2</v>
      </c>
      <c r="C574" s="33" t="str">
        <f t="shared" si="34"/>
        <v>24400-7487</v>
      </c>
      <c r="D574" s="64" t="s">
        <v>816</v>
      </c>
      <c r="E574" s="64" t="s">
        <v>115</v>
      </c>
      <c r="F574" s="64" t="s">
        <v>15</v>
      </c>
      <c r="G574" s="64" t="s">
        <v>97</v>
      </c>
      <c r="H574" s="64" t="s">
        <v>98</v>
      </c>
      <c r="I574" s="64" t="s">
        <v>102</v>
      </c>
      <c r="J574" s="67">
        <v>17.73</v>
      </c>
      <c r="K574" s="62">
        <v>11173.43</v>
      </c>
      <c r="L574" s="33" t="e">
        <f>HLOOKUP(B574,#REF!,1,0)</f>
        <v>#REF!</v>
      </c>
      <c r="M574" s="33" t="str">
        <f t="shared" si="35"/>
        <v>BS</v>
      </c>
    </row>
    <row r="575" spans="1:13" s="33" customFormat="true" ht="12.75" customHeight="true">
      <c r="A575" s="33" t="str">
        <f t="shared" si="32"/>
        <v>DF2 - AP-Accr Exp</v>
      </c>
      <c r="B575" s="33" t="str">
        <f t="shared" si="33"/>
        <v>DF2</v>
      </c>
      <c r="C575" s="33" t="str">
        <f t="shared" si="34"/>
        <v>24400-7488</v>
      </c>
      <c r="D575" s="64" t="s">
        <v>817</v>
      </c>
      <c r="E575" s="64" t="s">
        <v>115</v>
      </c>
      <c r="F575" s="64" t="s">
        <v>15</v>
      </c>
      <c r="G575" s="64" t="s">
        <v>97</v>
      </c>
      <c r="H575" s="64" t="s">
        <v>98</v>
      </c>
      <c r="I575" s="64" t="s">
        <v>102</v>
      </c>
      <c r="J575" s="67">
        <v>34.57</v>
      </c>
      <c r="K575" s="62">
        <v>10564.59</v>
      </c>
      <c r="L575" s="33" t="e">
        <f>HLOOKUP(B575,#REF!,1,0)</f>
        <v>#REF!</v>
      </c>
      <c r="M575" s="33" t="str">
        <f t="shared" si="35"/>
        <v>BS</v>
      </c>
    </row>
    <row r="576" spans="1:13" s="33" customFormat="true" ht="12.75" customHeight="true">
      <c r="A576" s="33" t="str">
        <f t="shared" si="32"/>
        <v>DF2 - AP-Accr Exp</v>
      </c>
      <c r="B576" s="33" t="str">
        <f t="shared" si="33"/>
        <v>DF2</v>
      </c>
      <c r="C576" s="33" t="str">
        <f t="shared" si="34"/>
        <v>24400-7495</v>
      </c>
      <c r="D576" s="64" t="s">
        <v>818</v>
      </c>
      <c r="E576" s="64" t="s">
        <v>115</v>
      </c>
      <c r="F576" s="64" t="s">
        <v>15</v>
      </c>
      <c r="G576" s="64" t="s">
        <v>97</v>
      </c>
      <c r="H576" s="64" t="s">
        <v>98</v>
      </c>
      <c r="I576" s="64" t="s">
        <v>102</v>
      </c>
      <c r="J576" s="67">
        <v>36.2</v>
      </c>
      <c r="K576" s="62">
        <v>10244.15</v>
      </c>
      <c r="L576" s="33" t="e">
        <f>HLOOKUP(B576,#REF!,1,0)</f>
        <v>#REF!</v>
      </c>
      <c r="M576" s="33" t="str">
        <f t="shared" si="35"/>
        <v>BS</v>
      </c>
    </row>
    <row r="577" spans="1:13" s="33" customFormat="true" ht="12.75" customHeight="true">
      <c r="A577" s="33" t="str">
        <f t="shared" si="32"/>
        <v>DF2 - Principal</v>
      </c>
      <c r="B577" s="33" t="str">
        <f t="shared" si="33"/>
        <v>DF2</v>
      </c>
      <c r="C577" s="33" t="str">
        <f t="shared" si="34"/>
        <v>26700-0000</v>
      </c>
      <c r="D577" s="64" t="s">
        <v>819</v>
      </c>
      <c r="E577" s="64" t="s">
        <v>688</v>
      </c>
      <c r="F577" s="64" t="s">
        <v>15</v>
      </c>
      <c r="G577" s="64" t="s">
        <v>350</v>
      </c>
      <c r="H577" s="64" t="s">
        <v>127</v>
      </c>
      <c r="I577" s="64" t="s">
        <v>102</v>
      </c>
      <c r="J577" s="67">
        <v>0</v>
      </c>
      <c r="K577" s="62">
        <v>0</v>
      </c>
      <c r="L577" s="33" t="e">
        <f>HLOOKUP(B577,#REF!,1,0)</f>
        <v>#REF!</v>
      </c>
      <c r="M577" s="33" t="str">
        <f t="shared" si="35"/>
        <v>BS</v>
      </c>
    </row>
    <row r="578" spans="1:13" s="33" customFormat="true" ht="12.75" customHeight="true">
      <c r="A578" s="33" t="str">
        <f t="shared" ref="A578:A641" si="36">B578&amp;" - "&amp;TRIM(H578)</f>
        <v>DF2 - SH Dist</v>
      </c>
      <c r="B578" s="33" t="str">
        <f t="shared" ref="B578:B641" si="37">LEFT(D578,3)</f>
        <v>DF2</v>
      </c>
      <c r="C578" s="33" t="str">
        <f t="shared" ref="C578:C641" si="38">RIGHT(D578,10)</f>
        <v>30001-0000</v>
      </c>
      <c r="D578" s="64" t="s">
        <v>820</v>
      </c>
      <c r="E578" s="64" t="s">
        <v>141</v>
      </c>
      <c r="F578" s="64" t="s">
        <v>15</v>
      </c>
      <c r="G578" s="64" t="s">
        <v>142</v>
      </c>
      <c r="H578" s="64" t="s">
        <v>143</v>
      </c>
      <c r="I578" s="64" t="s">
        <v>144</v>
      </c>
      <c r="J578" s="67">
        <v>0</v>
      </c>
      <c r="K578" s="62">
        <v>-225000</v>
      </c>
      <c r="L578" s="33" t="e">
        <f>HLOOKUP(B578,#REF!,1,0)</f>
        <v>#REF!</v>
      </c>
      <c r="M578" s="33" t="str">
        <f t="shared" ref="M578:M641" si="39">IF(VALUE(LEFT(C578,5))&gt;40000,"P&amp;L","BS")</f>
        <v>BS</v>
      </c>
    </row>
    <row r="579" spans="1:13" s="33" customFormat="true" ht="12.75" customHeight="true">
      <c r="A579" s="33" t="str">
        <f t="shared" si="36"/>
        <v>DF2 - SH Dist</v>
      </c>
      <c r="B579" s="33" t="str">
        <f t="shared" si="37"/>
        <v>DF2</v>
      </c>
      <c r="C579" s="33" t="str">
        <f t="shared" si="38"/>
        <v>30501-0000</v>
      </c>
      <c r="D579" s="64" t="s">
        <v>821</v>
      </c>
      <c r="E579" s="64" t="s">
        <v>822</v>
      </c>
      <c r="F579" s="64" t="s">
        <v>15</v>
      </c>
      <c r="G579" s="64" t="s">
        <v>142</v>
      </c>
      <c r="H579" s="64" t="s">
        <v>143</v>
      </c>
      <c r="I579" s="64" t="s">
        <v>144</v>
      </c>
      <c r="J579" s="67">
        <v>0</v>
      </c>
      <c r="K579" s="62">
        <v>-1300000</v>
      </c>
      <c r="L579" s="33" t="e">
        <f>HLOOKUP(B579,#REF!,1,0)</f>
        <v>#REF!</v>
      </c>
      <c r="M579" s="33" t="str">
        <f t="shared" si="39"/>
        <v>BS</v>
      </c>
    </row>
    <row r="580" spans="1:13" s="33" customFormat="true" ht="12.75" customHeight="true">
      <c r="A580" s="33" t="str">
        <f t="shared" si="36"/>
        <v>DF2 - Retained Earnings</v>
      </c>
      <c r="B580" s="33" t="str">
        <f t="shared" si="37"/>
        <v>DF2</v>
      </c>
      <c r="C580" s="33" t="str">
        <f t="shared" si="38"/>
        <v>32000-0000</v>
      </c>
      <c r="D580" s="64" t="s">
        <v>823</v>
      </c>
      <c r="E580" s="64" t="s">
        <v>148</v>
      </c>
      <c r="F580" s="64" t="s">
        <v>15</v>
      </c>
      <c r="G580" s="64" t="s">
        <v>142</v>
      </c>
      <c r="H580" s="64" t="s">
        <v>149</v>
      </c>
      <c r="I580" s="64" t="s">
        <v>150</v>
      </c>
      <c r="J580" s="67">
        <v>0</v>
      </c>
      <c r="K580" s="62">
        <v>-3016810.84</v>
      </c>
      <c r="L580" s="33" t="e">
        <f>HLOOKUP(B580,#REF!,1,0)</f>
        <v>#REF!</v>
      </c>
      <c r="M580" s="33" t="str">
        <f t="shared" si="39"/>
        <v>BS</v>
      </c>
    </row>
    <row r="581" spans="1:13" s="33" customFormat="true" ht="12.75" customHeight="true">
      <c r="A581" s="33" t="str">
        <f t="shared" si="36"/>
        <v>DF2 - SH Dist</v>
      </c>
      <c r="B581" s="33" t="str">
        <f t="shared" si="37"/>
        <v>DF2</v>
      </c>
      <c r="C581" s="33" t="str">
        <f t="shared" si="38"/>
        <v>36001-0000</v>
      </c>
      <c r="D581" s="64" t="s">
        <v>824</v>
      </c>
      <c r="E581" s="64" t="s">
        <v>322</v>
      </c>
      <c r="F581" s="64" t="s">
        <v>15</v>
      </c>
      <c r="G581" s="64" t="s">
        <v>142</v>
      </c>
      <c r="H581" s="64" t="s">
        <v>143</v>
      </c>
      <c r="I581" s="64" t="s">
        <v>144</v>
      </c>
      <c r="J581" s="67">
        <v>1400</v>
      </c>
      <c r="K581" s="62">
        <v>30800.34</v>
      </c>
      <c r="L581" s="33" t="e">
        <f>HLOOKUP(B581,#REF!,1,0)</f>
        <v>#REF!</v>
      </c>
      <c r="M581" s="33" t="str">
        <f t="shared" si="39"/>
        <v>BS</v>
      </c>
    </row>
    <row r="582" spans="1:13" s="33" customFormat="true" ht="12.75" customHeight="true">
      <c r="A582" s="33" t="str">
        <f t="shared" si="36"/>
        <v>DFL - Cash</v>
      </c>
      <c r="B582" s="33" t="str">
        <f t="shared" si="37"/>
        <v>DFL</v>
      </c>
      <c r="C582" s="33" t="str">
        <f t="shared" si="38"/>
        <v>10021-0000</v>
      </c>
      <c r="D582" s="64" t="s">
        <v>825</v>
      </c>
      <c r="E582" s="64" t="s">
        <v>826</v>
      </c>
      <c r="F582" s="64" t="s">
        <v>679</v>
      </c>
      <c r="G582" s="64" t="s">
        <v>16</v>
      </c>
      <c r="H582" s="64" t="s">
        <v>25</v>
      </c>
      <c r="I582" s="64" t="s">
        <v>18</v>
      </c>
      <c r="J582" s="67">
        <v>-63639.23</v>
      </c>
      <c r="K582" s="62">
        <v>20409.97</v>
      </c>
      <c r="L582" s="33" t="e">
        <f>HLOOKUP(B582,#REF!,1,0)</f>
        <v>#REF!</v>
      </c>
      <c r="M582" s="33" t="str">
        <f t="shared" si="39"/>
        <v>BS</v>
      </c>
    </row>
    <row r="583" spans="1:13" s="33" customFormat="true" ht="12.75" customHeight="true">
      <c r="A583" s="33" t="str">
        <f t="shared" si="36"/>
        <v>DFL - Cash</v>
      </c>
      <c r="B583" s="33" t="str">
        <f t="shared" si="37"/>
        <v>DFL</v>
      </c>
      <c r="C583" s="33" t="str">
        <f t="shared" si="38"/>
        <v>10500-0000</v>
      </c>
      <c r="D583" s="64" t="s">
        <v>827</v>
      </c>
      <c r="E583" s="64" t="s">
        <v>828</v>
      </c>
      <c r="F583" s="64" t="s">
        <v>679</v>
      </c>
      <c r="G583" s="64" t="s">
        <v>16</v>
      </c>
      <c r="H583" s="64" t="s">
        <v>25</v>
      </c>
      <c r="I583" s="64" t="s">
        <v>18</v>
      </c>
      <c r="J583" s="67">
        <v>0</v>
      </c>
      <c r="K583" s="62">
        <v>7936.74</v>
      </c>
      <c r="L583" s="33" t="e">
        <f>HLOOKUP(B583,#REF!,1,0)</f>
        <v>#REF!</v>
      </c>
      <c r="M583" s="33" t="str">
        <f t="shared" si="39"/>
        <v>BS</v>
      </c>
    </row>
    <row r="584" spans="1:13" s="33" customFormat="true" ht="12.75" customHeight="true">
      <c r="A584" s="33" t="str">
        <f t="shared" si="36"/>
        <v>DFL - Cash</v>
      </c>
      <c r="B584" s="33" t="str">
        <f t="shared" si="37"/>
        <v>DFL</v>
      </c>
      <c r="C584" s="33" t="str">
        <f t="shared" si="38"/>
        <v>10501-0000</v>
      </c>
      <c r="D584" s="64" t="s">
        <v>829</v>
      </c>
      <c r="E584" s="64" t="s">
        <v>830</v>
      </c>
      <c r="F584" s="64" t="s">
        <v>679</v>
      </c>
      <c r="G584" s="64" t="s">
        <v>16</v>
      </c>
      <c r="H584" s="64" t="s">
        <v>25</v>
      </c>
      <c r="I584" s="64" t="s">
        <v>18</v>
      </c>
      <c r="J584" s="67">
        <v>0</v>
      </c>
      <c r="K584" s="62">
        <v>2810056</v>
      </c>
      <c r="L584" s="33" t="e">
        <f>HLOOKUP(B584,#REF!,1,0)</f>
        <v>#REF!</v>
      </c>
      <c r="M584" s="33" t="str">
        <f t="shared" si="39"/>
        <v>BS</v>
      </c>
    </row>
    <row r="585" spans="1:13" s="33" customFormat="true" ht="12.75" customHeight="true">
      <c r="A585" s="33" t="str">
        <f t="shared" si="36"/>
        <v>DFL - Cash</v>
      </c>
      <c r="B585" s="33" t="str">
        <f t="shared" si="37"/>
        <v>DFL</v>
      </c>
      <c r="C585" s="33" t="str">
        <f t="shared" si="38"/>
        <v>10502-0000</v>
      </c>
      <c r="D585" s="64" t="s">
        <v>831</v>
      </c>
      <c r="E585" s="64" t="s">
        <v>832</v>
      </c>
      <c r="F585" s="64" t="s">
        <v>681</v>
      </c>
      <c r="G585" s="64" t="s">
        <v>16</v>
      </c>
      <c r="H585" s="64" t="s">
        <v>25</v>
      </c>
      <c r="I585" s="64" t="s">
        <v>18</v>
      </c>
      <c r="J585" s="67">
        <v>0</v>
      </c>
      <c r="K585" s="62">
        <v>11000000</v>
      </c>
      <c r="L585" s="33" t="e">
        <f>HLOOKUP(B585,#REF!,1,0)</f>
        <v>#REF!</v>
      </c>
      <c r="M585" s="33" t="str">
        <f t="shared" si="39"/>
        <v>BS</v>
      </c>
    </row>
    <row r="586" spans="1:13" s="33" customFormat="true" ht="12.75" customHeight="true">
      <c r="A586" s="33" t="str">
        <f t="shared" si="36"/>
        <v>DFL - Cash</v>
      </c>
      <c r="B586" s="33" t="str">
        <f t="shared" si="37"/>
        <v>DFL</v>
      </c>
      <c r="C586" s="33" t="str">
        <f t="shared" si="38"/>
        <v>10515-0000</v>
      </c>
      <c r="D586" s="64" t="s">
        <v>833</v>
      </c>
      <c r="E586" s="64" t="s">
        <v>834</v>
      </c>
      <c r="F586" s="64" t="s">
        <v>679</v>
      </c>
      <c r="G586" s="64" t="s">
        <v>16</v>
      </c>
      <c r="H586" s="64" t="s">
        <v>25</v>
      </c>
      <c r="I586" s="64" t="s">
        <v>18</v>
      </c>
      <c r="J586" s="67">
        <v>-9414.99</v>
      </c>
      <c r="K586" s="62">
        <v>3367114.95</v>
      </c>
      <c r="L586" s="33" t="e">
        <f>HLOOKUP(B586,#REF!,1,0)</f>
        <v>#REF!</v>
      </c>
      <c r="M586" s="33" t="str">
        <f t="shared" si="39"/>
        <v>BS</v>
      </c>
    </row>
    <row r="587" spans="1:13" s="33" customFormat="true" ht="12.75" customHeight="true">
      <c r="A587" s="33" t="str">
        <f t="shared" si="36"/>
        <v>DFL - InterCo Notes</v>
      </c>
      <c r="B587" s="33" t="str">
        <f t="shared" si="37"/>
        <v>DFL</v>
      </c>
      <c r="C587" s="33" t="str">
        <f t="shared" si="38"/>
        <v>11020-0000</v>
      </c>
      <c r="D587" s="64" t="s">
        <v>835</v>
      </c>
      <c r="E587" s="64" t="s">
        <v>694</v>
      </c>
      <c r="F587" s="64" t="s">
        <v>679</v>
      </c>
      <c r="G587" s="64" t="s">
        <v>16</v>
      </c>
      <c r="H587" s="64" t="s">
        <v>315</v>
      </c>
      <c r="I587" s="64" t="s">
        <v>40</v>
      </c>
      <c r="J587" s="67">
        <v>0</v>
      </c>
      <c r="K587" s="62">
        <v>285000</v>
      </c>
      <c r="L587" s="33" t="e">
        <f>HLOOKUP(B587,#REF!,1,0)</f>
        <v>#REF!</v>
      </c>
      <c r="M587" s="33" t="str">
        <f t="shared" si="39"/>
        <v>BS</v>
      </c>
    </row>
    <row r="588" spans="1:13" s="33" customFormat="true" ht="12.75" customHeight="true">
      <c r="A588" s="33" t="str">
        <f t="shared" si="36"/>
        <v>DFL - InterCo Notes</v>
      </c>
      <c r="B588" s="33" t="str">
        <f t="shared" si="37"/>
        <v>DFL</v>
      </c>
      <c r="C588" s="33" t="str">
        <f t="shared" si="38"/>
        <v>11050-0000</v>
      </c>
      <c r="D588" s="64" t="s">
        <v>836</v>
      </c>
      <c r="E588" s="64" t="s">
        <v>708</v>
      </c>
      <c r="F588" s="64" t="s">
        <v>679</v>
      </c>
      <c r="G588" s="64" t="s">
        <v>16</v>
      </c>
      <c r="H588" s="64" t="s">
        <v>315</v>
      </c>
      <c r="I588" s="64" t="s">
        <v>40</v>
      </c>
      <c r="J588" s="67">
        <v>0</v>
      </c>
      <c r="K588" s="62">
        <v>-1000000</v>
      </c>
      <c r="L588" s="33" t="e">
        <f>HLOOKUP(B588,#REF!,1,0)</f>
        <v>#REF!</v>
      </c>
      <c r="M588" s="33" t="str">
        <f t="shared" si="39"/>
        <v>BS</v>
      </c>
    </row>
    <row r="589" spans="1:13" s="33" customFormat="true" ht="12.75" customHeight="true">
      <c r="A589" s="33" t="str">
        <f t="shared" si="36"/>
        <v>DFL - InterCo Notes</v>
      </c>
      <c r="B589" s="33" t="str">
        <f t="shared" si="37"/>
        <v>DFL</v>
      </c>
      <c r="C589" s="33" t="str">
        <f t="shared" si="38"/>
        <v>11051-0000</v>
      </c>
      <c r="D589" s="64" t="s">
        <v>837</v>
      </c>
      <c r="E589" s="64" t="s">
        <v>710</v>
      </c>
      <c r="F589" s="64" t="s">
        <v>679</v>
      </c>
      <c r="G589" s="64" t="s">
        <v>16</v>
      </c>
      <c r="H589" s="64" t="s">
        <v>315</v>
      </c>
      <c r="I589" s="64" t="s">
        <v>40</v>
      </c>
      <c r="J589" s="67">
        <v>0</v>
      </c>
      <c r="K589" s="62">
        <v>5500000</v>
      </c>
      <c r="L589" s="33" t="e">
        <f>HLOOKUP(B589,#REF!,1,0)</f>
        <v>#REF!</v>
      </c>
      <c r="M589" s="33" t="str">
        <f t="shared" si="39"/>
        <v>BS</v>
      </c>
    </row>
    <row r="590" spans="1:13" s="33" customFormat="true" ht="12.75" customHeight="true">
      <c r="A590" s="33" t="str">
        <f t="shared" si="36"/>
        <v>DFL - InterCo Notes</v>
      </c>
      <c r="B590" s="33" t="str">
        <f t="shared" si="37"/>
        <v>DFL</v>
      </c>
      <c r="C590" s="33" t="str">
        <f t="shared" si="38"/>
        <v>11053-0000</v>
      </c>
      <c r="D590" s="64" t="s">
        <v>838</v>
      </c>
      <c r="E590" s="64" t="s">
        <v>839</v>
      </c>
      <c r="F590" s="64" t="s">
        <v>679</v>
      </c>
      <c r="G590" s="64" t="s">
        <v>16</v>
      </c>
      <c r="H590" s="64" t="s">
        <v>315</v>
      </c>
      <c r="I590" s="64" t="s">
        <v>40</v>
      </c>
      <c r="J590" s="67">
        <v>0</v>
      </c>
      <c r="K590" s="62">
        <v>2246716.97</v>
      </c>
      <c r="L590" s="33" t="e">
        <f>HLOOKUP(B590,#REF!,1,0)</f>
        <v>#REF!</v>
      </c>
      <c r="M590" s="33" t="str">
        <f t="shared" si="39"/>
        <v>BS</v>
      </c>
    </row>
    <row r="591" spans="1:13" s="33" customFormat="true" ht="12.75" customHeight="true">
      <c r="A591" s="33" t="str">
        <f t="shared" si="36"/>
        <v>DFL - InterCo Notes</v>
      </c>
      <c r="B591" s="33" t="str">
        <f t="shared" si="37"/>
        <v>DFL</v>
      </c>
      <c r="C591" s="33" t="str">
        <f t="shared" si="38"/>
        <v>11054-0000</v>
      </c>
      <c r="D591" s="64" t="s">
        <v>840</v>
      </c>
      <c r="E591" s="64" t="s">
        <v>280</v>
      </c>
      <c r="F591" s="64" t="s">
        <v>679</v>
      </c>
      <c r="G591" s="64" t="s">
        <v>841</v>
      </c>
      <c r="H591" s="64" t="s">
        <v>315</v>
      </c>
      <c r="I591" s="64" t="s">
        <v>40</v>
      </c>
      <c r="J591" s="67">
        <v>0</v>
      </c>
      <c r="K591" s="62">
        <v>1238500</v>
      </c>
      <c r="L591" s="33" t="e">
        <f>HLOOKUP(B591,#REF!,1,0)</f>
        <v>#REF!</v>
      </c>
      <c r="M591" s="33" t="str">
        <f t="shared" si="39"/>
        <v>BS</v>
      </c>
    </row>
    <row r="592" spans="1:13" s="33" customFormat="true" ht="12.75" customHeight="true">
      <c r="A592" s="33" t="str">
        <f t="shared" si="36"/>
        <v>DFL - InterCo Notes</v>
      </c>
      <c r="B592" s="33" t="str">
        <f t="shared" si="37"/>
        <v>DFL</v>
      </c>
      <c r="C592" s="33" t="str">
        <f t="shared" si="38"/>
        <v>11056-0000</v>
      </c>
      <c r="D592" s="64" t="s">
        <v>842</v>
      </c>
      <c r="E592" s="64" t="s">
        <v>843</v>
      </c>
      <c r="F592" s="64" t="s">
        <v>679</v>
      </c>
      <c r="G592" s="64" t="s">
        <v>16</v>
      </c>
      <c r="H592" s="64" t="s">
        <v>315</v>
      </c>
      <c r="I592" s="64" t="s">
        <v>40</v>
      </c>
      <c r="J592" s="67">
        <v>0</v>
      </c>
      <c r="K592" s="62">
        <v>4430000</v>
      </c>
      <c r="L592" s="33" t="e">
        <f>HLOOKUP(B592,#REF!,1,0)</f>
        <v>#REF!</v>
      </c>
      <c r="M592" s="33" t="str">
        <f t="shared" si="39"/>
        <v>BS</v>
      </c>
    </row>
    <row r="593" spans="1:13" s="33" customFormat="true" ht="12.75" customHeight="true">
      <c r="A593" s="33" t="str">
        <f t="shared" si="36"/>
        <v>DFL - InterCo Notes</v>
      </c>
      <c r="B593" s="33" t="str">
        <f t="shared" si="37"/>
        <v>DFL</v>
      </c>
      <c r="C593" s="33" t="str">
        <f t="shared" si="38"/>
        <v>11057-0000</v>
      </c>
      <c r="D593" s="64" t="s">
        <v>844</v>
      </c>
      <c r="E593" s="64" t="s">
        <v>845</v>
      </c>
      <c r="F593" s="64" t="s">
        <v>679</v>
      </c>
      <c r="G593" s="64" t="s">
        <v>362</v>
      </c>
      <c r="H593" s="64" t="s">
        <v>315</v>
      </c>
      <c r="I593" s="64" t="s">
        <v>40</v>
      </c>
      <c r="J593" s="67">
        <v>0</v>
      </c>
      <c r="K593" s="62">
        <v>1836427.81</v>
      </c>
      <c r="L593" s="33" t="e">
        <f>HLOOKUP(B593,#REF!,1,0)</f>
        <v>#REF!</v>
      </c>
      <c r="M593" s="33" t="str">
        <f t="shared" si="39"/>
        <v>BS</v>
      </c>
    </row>
    <row r="594" spans="1:13" s="33" customFormat="true" ht="12.75" customHeight="true">
      <c r="A594" s="33" t="str">
        <f t="shared" si="36"/>
        <v>DFL - InterCo Notes</v>
      </c>
      <c r="B594" s="33" t="str">
        <f t="shared" si="37"/>
        <v>DFL</v>
      </c>
      <c r="C594" s="33" t="str">
        <f t="shared" si="38"/>
        <v>11058-0000</v>
      </c>
      <c r="D594" s="64" t="s">
        <v>846</v>
      </c>
      <c r="E594" s="64" t="s">
        <v>847</v>
      </c>
      <c r="F594" s="64" t="s">
        <v>679</v>
      </c>
      <c r="G594" s="64" t="s">
        <v>362</v>
      </c>
      <c r="H594" s="64" t="s">
        <v>315</v>
      </c>
      <c r="I594" s="64" t="s">
        <v>40</v>
      </c>
      <c r="J594" s="67">
        <v>0</v>
      </c>
      <c r="K594" s="62">
        <v>1507500</v>
      </c>
      <c r="L594" s="33" t="e">
        <f>HLOOKUP(B594,#REF!,1,0)</f>
        <v>#REF!</v>
      </c>
      <c r="M594" s="33" t="str">
        <f t="shared" si="39"/>
        <v>BS</v>
      </c>
    </row>
    <row r="595" spans="1:13" s="33" customFormat="true" ht="12.75" customHeight="true">
      <c r="A595" s="33" t="str">
        <f t="shared" si="36"/>
        <v>DFL - InterCo Notes</v>
      </c>
      <c r="B595" s="33" t="str">
        <f t="shared" si="37"/>
        <v>DFL</v>
      </c>
      <c r="C595" s="33" t="str">
        <f t="shared" si="38"/>
        <v>11059-0000</v>
      </c>
      <c r="D595" s="64" t="s">
        <v>848</v>
      </c>
      <c r="E595" s="64" t="s">
        <v>714</v>
      </c>
      <c r="F595" s="64" t="s">
        <v>679</v>
      </c>
      <c r="G595" s="64" t="s">
        <v>362</v>
      </c>
      <c r="H595" s="64" t="s">
        <v>315</v>
      </c>
      <c r="I595" s="64" t="s">
        <v>40</v>
      </c>
      <c r="J595" s="67">
        <v>0</v>
      </c>
      <c r="K595" s="62">
        <v>1137000</v>
      </c>
      <c r="L595" s="33" t="e">
        <f>HLOOKUP(B595,#REF!,1,0)</f>
        <v>#REF!</v>
      </c>
      <c r="M595" s="33" t="str">
        <f t="shared" si="39"/>
        <v>BS</v>
      </c>
    </row>
    <row r="596" spans="1:13" s="33" customFormat="true" ht="12.75" customHeight="true">
      <c r="A596" s="33" t="str">
        <f t="shared" si="36"/>
        <v>DFL - InterCo Notes</v>
      </c>
      <c r="B596" s="33" t="str">
        <f t="shared" si="37"/>
        <v>DFL</v>
      </c>
      <c r="C596" s="33" t="str">
        <f t="shared" si="38"/>
        <v>11060-0000</v>
      </c>
      <c r="D596" s="64" t="s">
        <v>849</v>
      </c>
      <c r="E596" s="64" t="s">
        <v>850</v>
      </c>
      <c r="F596" s="64" t="s">
        <v>679</v>
      </c>
      <c r="G596" s="64" t="s">
        <v>362</v>
      </c>
      <c r="H596" s="64" t="s">
        <v>315</v>
      </c>
      <c r="I596" s="64" t="s">
        <v>40</v>
      </c>
      <c r="J596" s="67">
        <v>0</v>
      </c>
      <c r="K596" s="62">
        <v>2804000</v>
      </c>
      <c r="L596" s="33" t="e">
        <f>HLOOKUP(B596,#REF!,1,0)</f>
        <v>#REF!</v>
      </c>
      <c r="M596" s="33" t="str">
        <f t="shared" si="39"/>
        <v>BS</v>
      </c>
    </row>
    <row r="597" spans="1:13" s="33" customFormat="true" ht="12.75" customHeight="true">
      <c r="A597" s="33" t="str">
        <f t="shared" si="36"/>
        <v>DFL - InterCo Notes</v>
      </c>
      <c r="B597" s="33" t="str">
        <f t="shared" si="37"/>
        <v>DFL</v>
      </c>
      <c r="C597" s="33" t="str">
        <f t="shared" si="38"/>
        <v>11071-0000</v>
      </c>
      <c r="D597" s="64" t="s">
        <v>851</v>
      </c>
      <c r="E597" s="64" t="s">
        <v>852</v>
      </c>
      <c r="F597" s="64" t="s">
        <v>681</v>
      </c>
      <c r="G597" s="64" t="s">
        <v>362</v>
      </c>
      <c r="H597" s="64" t="s">
        <v>315</v>
      </c>
      <c r="I597" s="64" t="s">
        <v>40</v>
      </c>
      <c r="J597" s="67">
        <v>0</v>
      </c>
      <c r="K597" s="62">
        <v>3160000</v>
      </c>
      <c r="L597" s="33" t="e">
        <f>HLOOKUP(B597,#REF!,1,0)</f>
        <v>#REF!</v>
      </c>
      <c r="M597" s="33" t="str">
        <f t="shared" si="39"/>
        <v>BS</v>
      </c>
    </row>
    <row r="598" spans="1:13" s="33" customFormat="true" ht="12.75" customHeight="true">
      <c r="A598" s="33" t="str">
        <f t="shared" si="36"/>
        <v>DFL - InterCo Notes</v>
      </c>
      <c r="B598" s="33" t="str">
        <f t="shared" si="37"/>
        <v>DFL</v>
      </c>
      <c r="C598" s="33" t="str">
        <f t="shared" si="38"/>
        <v>11072-0000</v>
      </c>
      <c r="D598" s="64" t="s">
        <v>853</v>
      </c>
      <c r="E598" s="64" t="s">
        <v>718</v>
      </c>
      <c r="F598" s="64" t="s">
        <v>681</v>
      </c>
      <c r="G598" s="64" t="s">
        <v>16</v>
      </c>
      <c r="H598" s="64" t="s">
        <v>315</v>
      </c>
      <c r="I598" s="64" t="s">
        <v>40</v>
      </c>
      <c r="J598" s="67">
        <v>0</v>
      </c>
      <c r="K598" s="62">
        <v>1678572.19</v>
      </c>
      <c r="L598" s="33" t="e">
        <f>HLOOKUP(B598,#REF!,1,0)</f>
        <v>#REF!</v>
      </c>
      <c r="M598" s="33" t="str">
        <f t="shared" si="39"/>
        <v>BS</v>
      </c>
    </row>
    <row r="599" spans="1:13" s="33" customFormat="true" ht="12.75" customHeight="true">
      <c r="A599" s="33" t="str">
        <f t="shared" si="36"/>
        <v>DFL - InterCo Notes</v>
      </c>
      <c r="B599" s="33" t="str">
        <f t="shared" si="37"/>
        <v>DFL</v>
      </c>
      <c r="C599" s="33" t="str">
        <f t="shared" si="38"/>
        <v>11073-0000</v>
      </c>
      <c r="D599" s="64" t="s">
        <v>854</v>
      </c>
      <c r="E599" s="64" t="s">
        <v>855</v>
      </c>
      <c r="F599" s="64" t="s">
        <v>679</v>
      </c>
      <c r="G599" s="64" t="s">
        <v>16</v>
      </c>
      <c r="H599" s="64" t="s">
        <v>315</v>
      </c>
      <c r="I599" s="64" t="s">
        <v>40</v>
      </c>
      <c r="J599" s="67">
        <v>0</v>
      </c>
      <c r="K599" s="62">
        <v>13674704.79</v>
      </c>
      <c r="L599" s="33" t="e">
        <f>HLOOKUP(B599,#REF!,1,0)</f>
        <v>#REF!</v>
      </c>
      <c r="M599" s="33" t="str">
        <f t="shared" si="39"/>
        <v>BS</v>
      </c>
    </row>
    <row r="600" spans="1:13" s="33" customFormat="true" ht="12.75" customHeight="true">
      <c r="A600" s="33" t="str">
        <f t="shared" si="36"/>
        <v>DFL - InterCo Notes</v>
      </c>
      <c r="B600" s="33" t="str">
        <f t="shared" si="37"/>
        <v>DFL</v>
      </c>
      <c r="C600" s="33" t="str">
        <f t="shared" si="38"/>
        <v>11074-0000</v>
      </c>
      <c r="D600" s="64" t="s">
        <v>856</v>
      </c>
      <c r="E600" s="64" t="s">
        <v>857</v>
      </c>
      <c r="F600" s="64" t="s">
        <v>679</v>
      </c>
      <c r="G600" s="64" t="s">
        <v>16</v>
      </c>
      <c r="H600" s="64" t="s">
        <v>315</v>
      </c>
      <c r="I600" s="64" t="s">
        <v>40</v>
      </c>
      <c r="J600" s="67">
        <v>0</v>
      </c>
      <c r="K600" s="62">
        <v>75000</v>
      </c>
      <c r="L600" s="33" t="e">
        <f>HLOOKUP(B600,#REF!,1,0)</f>
        <v>#REF!</v>
      </c>
      <c r="M600" s="33" t="str">
        <f t="shared" si="39"/>
        <v>BS</v>
      </c>
    </row>
    <row r="601" spans="1:13" s="33" customFormat="true" ht="12.75" customHeight="true">
      <c r="A601" s="33" t="str">
        <f t="shared" si="36"/>
        <v>DFL - AR-PPD</v>
      </c>
      <c r="B601" s="33" t="str">
        <f t="shared" si="37"/>
        <v>DFL</v>
      </c>
      <c r="C601" s="33" t="str">
        <f t="shared" si="38"/>
        <v>11110-0000</v>
      </c>
      <c r="D601" s="64" t="s">
        <v>858</v>
      </c>
      <c r="E601" s="64" t="s">
        <v>859</v>
      </c>
      <c r="F601" s="64" t="s">
        <v>681</v>
      </c>
      <c r="G601" s="64" t="s">
        <v>362</v>
      </c>
      <c r="H601" s="64" t="s">
        <v>35</v>
      </c>
      <c r="I601" s="64" t="s">
        <v>36</v>
      </c>
      <c r="J601" s="67">
        <v>0</v>
      </c>
      <c r="K601" s="62">
        <v>65000</v>
      </c>
      <c r="L601" s="33" t="e">
        <f>HLOOKUP(B601,#REF!,1,0)</f>
        <v>#REF!</v>
      </c>
      <c r="M601" s="33" t="str">
        <f t="shared" si="39"/>
        <v>BS</v>
      </c>
    </row>
    <row r="602" spans="1:13" s="33" customFormat="true" ht="12.75" customHeight="true">
      <c r="A602" s="33" t="str">
        <f t="shared" si="36"/>
        <v>DFL - Intercompany</v>
      </c>
      <c r="B602" s="33" t="str">
        <f t="shared" si="37"/>
        <v>DFL</v>
      </c>
      <c r="C602" s="33" t="str">
        <f t="shared" si="38"/>
        <v>11200-0000</v>
      </c>
      <c r="D602" s="64" t="s">
        <v>860</v>
      </c>
      <c r="E602" s="64" t="s">
        <v>38</v>
      </c>
      <c r="F602" s="64" t="s">
        <v>679</v>
      </c>
      <c r="G602" s="64" t="s">
        <v>16</v>
      </c>
      <c r="H602" s="64" t="s">
        <v>39</v>
      </c>
      <c r="I602" s="64" t="s">
        <v>40</v>
      </c>
      <c r="J602" s="67">
        <v>0</v>
      </c>
      <c r="K602" s="62">
        <v>-140000</v>
      </c>
      <c r="L602" s="33" t="e">
        <f>HLOOKUP(B602,#REF!,1,0)</f>
        <v>#REF!</v>
      </c>
      <c r="M602" s="33" t="str">
        <f t="shared" si="39"/>
        <v>BS</v>
      </c>
    </row>
    <row r="603" spans="1:13" s="33" customFormat="true" ht="12.75" customHeight="true">
      <c r="A603" s="33" t="str">
        <f t="shared" si="36"/>
        <v>DFL - Intercompany</v>
      </c>
      <c r="B603" s="33" t="str">
        <f t="shared" si="37"/>
        <v>DFL</v>
      </c>
      <c r="C603" s="33" t="str">
        <f t="shared" si="38"/>
        <v>11202-0000</v>
      </c>
      <c r="D603" s="64" t="s">
        <v>861</v>
      </c>
      <c r="E603" s="64" t="s">
        <v>576</v>
      </c>
      <c r="F603" s="64" t="s">
        <v>679</v>
      </c>
      <c r="G603" s="64" t="s">
        <v>16</v>
      </c>
      <c r="H603" s="64" t="s">
        <v>39</v>
      </c>
      <c r="I603" s="64" t="s">
        <v>40</v>
      </c>
      <c r="J603" s="67">
        <v>0</v>
      </c>
      <c r="K603" s="62">
        <v>-338983.98</v>
      </c>
      <c r="L603" s="33" t="e">
        <f>HLOOKUP(B603,#REF!,1,0)</f>
        <v>#REF!</v>
      </c>
      <c r="M603" s="33" t="str">
        <f t="shared" si="39"/>
        <v>BS</v>
      </c>
    </row>
    <row r="604" spans="1:13" s="33" customFormat="true" ht="12.75" customHeight="true">
      <c r="A604" s="33" t="str">
        <f t="shared" si="36"/>
        <v>DFL - Deposits</v>
      </c>
      <c r="B604" s="33" t="str">
        <f t="shared" si="37"/>
        <v>DFL</v>
      </c>
      <c r="C604" s="33" t="str">
        <f t="shared" si="38"/>
        <v>18100-0000</v>
      </c>
      <c r="D604" s="64" t="s">
        <v>862</v>
      </c>
      <c r="E604" s="64" t="s">
        <v>863</v>
      </c>
      <c r="F604" s="64" t="s">
        <v>679</v>
      </c>
      <c r="G604" s="64" t="s">
        <v>62</v>
      </c>
      <c r="H604" s="64" t="s">
        <v>80</v>
      </c>
      <c r="I604" s="64" t="s">
        <v>81</v>
      </c>
      <c r="J604" s="67">
        <v>-5000</v>
      </c>
      <c r="K604" s="62">
        <v>1376576.17</v>
      </c>
      <c r="L604" s="33" t="e">
        <f>HLOOKUP(B604,#REF!,1,0)</f>
        <v>#REF!</v>
      </c>
      <c r="M604" s="33" t="str">
        <f t="shared" si="39"/>
        <v>BS</v>
      </c>
    </row>
    <row r="605" spans="1:13" s="33" customFormat="true" ht="12.75" customHeight="true">
      <c r="A605" s="33" t="str">
        <f t="shared" si="36"/>
        <v>DFL - LOC</v>
      </c>
      <c r="B605" s="33" t="str">
        <f t="shared" si="37"/>
        <v>DFL</v>
      </c>
      <c r="C605" s="33" t="str">
        <f t="shared" si="38"/>
        <v>25602-0000</v>
      </c>
      <c r="D605" s="64" t="s">
        <v>864</v>
      </c>
      <c r="E605" s="64" t="s">
        <v>865</v>
      </c>
      <c r="F605" s="64" t="s">
        <v>681</v>
      </c>
      <c r="G605" s="64" t="s">
        <v>97</v>
      </c>
      <c r="H605" s="64" t="s">
        <v>866</v>
      </c>
      <c r="I605" s="64" t="s">
        <v>867</v>
      </c>
      <c r="J605" s="67">
        <v>0</v>
      </c>
      <c r="K605" s="62">
        <v>-0.03</v>
      </c>
      <c r="L605" s="33" t="e">
        <f>HLOOKUP(B605,#REF!,1,0)</f>
        <v>#REF!</v>
      </c>
      <c r="M605" s="33" t="str">
        <f t="shared" si="39"/>
        <v>BS</v>
      </c>
    </row>
    <row r="606" spans="1:13" s="33" customFormat="true" ht="12.75" customHeight="true">
      <c r="A606" s="33" t="str">
        <f t="shared" si="36"/>
        <v>DFL - LOC</v>
      </c>
      <c r="B606" s="33" t="str">
        <f t="shared" si="37"/>
        <v>DFL</v>
      </c>
      <c r="C606" s="33" t="str">
        <f t="shared" si="38"/>
        <v>25604-0000</v>
      </c>
      <c r="D606" s="64" t="s">
        <v>868</v>
      </c>
      <c r="E606" s="64" t="s">
        <v>869</v>
      </c>
      <c r="F606" s="64" t="s">
        <v>681</v>
      </c>
      <c r="G606" s="64" t="s">
        <v>97</v>
      </c>
      <c r="H606" s="64" t="s">
        <v>866</v>
      </c>
      <c r="I606" s="64" t="s">
        <v>867</v>
      </c>
      <c r="J606" s="67">
        <v>0</v>
      </c>
      <c r="K606" s="62">
        <v>-5521907.22</v>
      </c>
      <c r="L606" s="33" t="e">
        <f>HLOOKUP(B606,#REF!,1,0)</f>
        <v>#REF!</v>
      </c>
      <c r="M606" s="33" t="str">
        <f t="shared" si="39"/>
        <v>BS</v>
      </c>
    </row>
    <row r="607" spans="1:13" s="33" customFormat="true" ht="12.75" customHeight="true">
      <c r="A607" s="33" t="str">
        <f t="shared" si="36"/>
        <v>DFL - LOC</v>
      </c>
      <c r="B607" s="33" t="str">
        <f t="shared" si="37"/>
        <v>DFL</v>
      </c>
      <c r="C607" s="33" t="str">
        <f t="shared" si="38"/>
        <v>25606-0000</v>
      </c>
      <c r="D607" s="64" t="s">
        <v>870</v>
      </c>
      <c r="E607" s="64" t="s">
        <v>871</v>
      </c>
      <c r="F607" s="64" t="s">
        <v>679</v>
      </c>
      <c r="G607" s="64" t="s">
        <v>97</v>
      </c>
      <c r="H607" s="64" t="s">
        <v>866</v>
      </c>
      <c r="I607" s="64" t="s">
        <v>867</v>
      </c>
      <c r="J607" s="67">
        <v>-746224.21</v>
      </c>
      <c r="K607" s="62">
        <v>-3149140.21</v>
      </c>
      <c r="L607" s="33" t="e">
        <f>HLOOKUP(B607,#REF!,1,0)</f>
        <v>#REF!</v>
      </c>
      <c r="M607" s="33" t="str">
        <f t="shared" si="39"/>
        <v>BS</v>
      </c>
    </row>
    <row r="608" spans="1:13" s="33" customFormat="true" ht="12.75" customHeight="true">
      <c r="A608" s="33" t="str">
        <f t="shared" si="36"/>
        <v>DFL - LOC</v>
      </c>
      <c r="B608" s="33" t="str">
        <f t="shared" si="37"/>
        <v>DFL</v>
      </c>
      <c r="C608" s="33" t="str">
        <f t="shared" si="38"/>
        <v>25607-0000</v>
      </c>
      <c r="D608" s="64" t="s">
        <v>872</v>
      </c>
      <c r="E608" s="64" t="s">
        <v>873</v>
      </c>
      <c r="F608" s="64" t="s">
        <v>679</v>
      </c>
      <c r="G608" s="64" t="s">
        <v>97</v>
      </c>
      <c r="H608" s="64" t="s">
        <v>866</v>
      </c>
      <c r="I608" s="64" t="s">
        <v>867</v>
      </c>
      <c r="J608" s="67">
        <v>0</v>
      </c>
      <c r="K608" s="62">
        <v>-19900000</v>
      </c>
      <c r="L608" s="33" t="e">
        <f>HLOOKUP(B608,#REF!,1,0)</f>
        <v>#REF!</v>
      </c>
      <c r="M608" s="33" t="str">
        <f t="shared" si="39"/>
        <v>BS</v>
      </c>
    </row>
    <row r="609" spans="1:13" s="33" customFormat="true" ht="12.75" customHeight="true">
      <c r="A609" s="33" t="str">
        <f t="shared" si="36"/>
        <v>DFL - Principal</v>
      </c>
      <c r="B609" s="33" t="str">
        <f t="shared" si="37"/>
        <v>DFL</v>
      </c>
      <c r="C609" s="33" t="str">
        <f t="shared" si="38"/>
        <v>28006-0000</v>
      </c>
      <c r="D609" s="64" t="s">
        <v>874</v>
      </c>
      <c r="E609" s="64" t="s">
        <v>875</v>
      </c>
      <c r="F609" s="64" t="s">
        <v>679</v>
      </c>
      <c r="G609" s="64" t="s">
        <v>876</v>
      </c>
      <c r="H609" s="64" t="s">
        <v>127</v>
      </c>
      <c r="I609" s="64" t="s">
        <v>133</v>
      </c>
      <c r="J609" s="67">
        <v>0</v>
      </c>
      <c r="K609" s="62">
        <v>-5750000</v>
      </c>
      <c r="L609" s="33" t="e">
        <f>HLOOKUP(B609,#REF!,1,0)</f>
        <v>#REF!</v>
      </c>
      <c r="M609" s="33" t="str">
        <f t="shared" si="39"/>
        <v>BS</v>
      </c>
    </row>
    <row r="610" spans="1:13" s="33" customFormat="true" ht="12.75" customHeight="true">
      <c r="A610" s="33" t="str">
        <f t="shared" si="36"/>
        <v>DFL - InterCo Notes</v>
      </c>
      <c r="B610" s="33" t="str">
        <f t="shared" si="37"/>
        <v>DFL</v>
      </c>
      <c r="C610" s="33" t="str">
        <f t="shared" si="38"/>
        <v>28007-0000</v>
      </c>
      <c r="D610" s="64" t="s">
        <v>877</v>
      </c>
      <c r="E610" s="64" t="s">
        <v>878</v>
      </c>
      <c r="F610" s="64" t="s">
        <v>679</v>
      </c>
      <c r="G610" s="64" t="s">
        <v>16</v>
      </c>
      <c r="H610" s="64" t="s">
        <v>315</v>
      </c>
      <c r="I610" s="64" t="s">
        <v>40</v>
      </c>
      <c r="J610" s="67">
        <v>0</v>
      </c>
      <c r="K610" s="62">
        <v>-1400000</v>
      </c>
      <c r="L610" s="33" t="e">
        <f>HLOOKUP(B610,#REF!,1,0)</f>
        <v>#REF!</v>
      </c>
      <c r="M610" s="33" t="str">
        <f t="shared" si="39"/>
        <v>BS</v>
      </c>
    </row>
    <row r="611" spans="1:13" s="33" customFormat="true" ht="12.75" customHeight="true">
      <c r="A611" s="33" t="str">
        <f t="shared" si="36"/>
        <v>DFL - Retained Earnings</v>
      </c>
      <c r="B611" s="33" t="str">
        <f t="shared" si="37"/>
        <v>DFL</v>
      </c>
      <c r="C611" s="33" t="str">
        <f t="shared" si="38"/>
        <v>32000-0000</v>
      </c>
      <c r="D611" s="64" t="s">
        <v>879</v>
      </c>
      <c r="E611" s="64" t="s">
        <v>234</v>
      </c>
      <c r="F611" s="64" t="s">
        <v>679</v>
      </c>
      <c r="G611" s="64" t="s">
        <v>142</v>
      </c>
      <c r="H611" s="64" t="s">
        <v>149</v>
      </c>
      <c r="I611" s="64" t="s">
        <v>150</v>
      </c>
      <c r="J611" s="67">
        <v>0</v>
      </c>
      <c r="K611" s="62">
        <v>621606.95</v>
      </c>
      <c r="L611" s="33" t="e">
        <f>HLOOKUP(B611,#REF!,1,0)</f>
        <v>#REF!</v>
      </c>
      <c r="M611" s="33" t="str">
        <f t="shared" si="39"/>
        <v>BS</v>
      </c>
    </row>
    <row r="612" spans="1:13" s="33" customFormat="true" ht="12.75" customHeight="true">
      <c r="A612" s="33" t="str">
        <f t="shared" si="36"/>
        <v>DFL - SH Dist</v>
      </c>
      <c r="B612" s="33" t="str">
        <f t="shared" si="37"/>
        <v>DFL</v>
      </c>
      <c r="C612" s="33" t="str">
        <f t="shared" si="38"/>
        <v>36001-0000</v>
      </c>
      <c r="D612" s="64" t="s">
        <v>880</v>
      </c>
      <c r="E612" s="64" t="s">
        <v>734</v>
      </c>
      <c r="F612" s="64" t="s">
        <v>679</v>
      </c>
      <c r="G612" s="64" t="s">
        <v>142</v>
      </c>
      <c r="H612" s="64" t="s">
        <v>143</v>
      </c>
      <c r="I612" s="64" t="s">
        <v>144</v>
      </c>
      <c r="J612" s="67">
        <v>543603.5</v>
      </c>
      <c r="K612" s="62">
        <v>-22898762.02</v>
      </c>
      <c r="L612" s="33" t="e">
        <f>HLOOKUP(B612,#REF!,1,0)</f>
        <v>#REF!</v>
      </c>
      <c r="M612" s="33" t="str">
        <f t="shared" si="39"/>
        <v>BS</v>
      </c>
    </row>
    <row r="613" spans="1:13" s="33" customFormat="true" ht="12.75" customHeight="true">
      <c r="A613" s="33" t="str">
        <f t="shared" si="36"/>
        <v>DIA - Cash</v>
      </c>
      <c r="B613" s="33" t="str">
        <f t="shared" si="37"/>
        <v>DIA</v>
      </c>
      <c r="C613" s="33" t="str">
        <f t="shared" si="38"/>
        <v>10001-0000</v>
      </c>
      <c r="D613" s="64" t="s">
        <v>881</v>
      </c>
      <c r="E613" s="64" t="s">
        <v>240</v>
      </c>
      <c r="F613" s="64" t="s">
        <v>230</v>
      </c>
      <c r="G613" s="64" t="s">
        <v>16</v>
      </c>
      <c r="H613" s="64" t="s">
        <v>25</v>
      </c>
      <c r="I613" s="64" t="s">
        <v>18</v>
      </c>
      <c r="J613" s="67">
        <v>20293.75</v>
      </c>
      <c r="K613" s="62">
        <v>26168.14</v>
      </c>
      <c r="L613" s="33" t="e">
        <f>HLOOKUP(B613,#REF!,1,0)</f>
        <v>#REF!</v>
      </c>
      <c r="M613" s="33" t="str">
        <f t="shared" si="39"/>
        <v>BS</v>
      </c>
    </row>
    <row r="614" spans="1:13" s="33" customFormat="true" ht="12.75" customHeight="true">
      <c r="A614" s="33" t="str">
        <f t="shared" si="36"/>
        <v>DIA - Intercompany</v>
      </c>
      <c r="B614" s="33" t="str">
        <f t="shared" si="37"/>
        <v>DIA</v>
      </c>
      <c r="C614" s="33" t="str">
        <f t="shared" si="38"/>
        <v>11216-0000</v>
      </c>
      <c r="D614" s="64" t="s">
        <v>882</v>
      </c>
      <c r="E614" s="64" t="s">
        <v>242</v>
      </c>
      <c r="F614" s="64" t="s">
        <v>230</v>
      </c>
      <c r="G614" s="64" t="s">
        <v>16</v>
      </c>
      <c r="H614" s="64" t="s">
        <v>39</v>
      </c>
      <c r="I614" s="64" t="s">
        <v>40</v>
      </c>
      <c r="J614" s="67">
        <v>-815.56</v>
      </c>
      <c r="K614" s="62">
        <v>125734.39</v>
      </c>
      <c r="L614" s="33" t="e">
        <f>HLOOKUP(B614,#REF!,1,0)</f>
        <v>#REF!</v>
      </c>
      <c r="M614" s="33" t="str">
        <f t="shared" si="39"/>
        <v>BS</v>
      </c>
    </row>
    <row r="615" spans="1:13" s="33" customFormat="true" ht="12.75" customHeight="true">
      <c r="A615" s="33" t="str">
        <f t="shared" si="36"/>
        <v>DIA - Intercompany</v>
      </c>
      <c r="B615" s="33" t="str">
        <f t="shared" si="37"/>
        <v>DIA</v>
      </c>
      <c r="C615" s="33" t="str">
        <f t="shared" si="38"/>
        <v>11305-0000</v>
      </c>
      <c r="D615" s="64" t="s">
        <v>883</v>
      </c>
      <c r="E615" s="64" t="s">
        <v>252</v>
      </c>
      <c r="F615" s="64" t="s">
        <v>230</v>
      </c>
      <c r="G615" s="64" t="s">
        <v>16</v>
      </c>
      <c r="H615" s="64" t="s">
        <v>39</v>
      </c>
      <c r="I615" s="64" t="s">
        <v>40</v>
      </c>
      <c r="J615" s="67">
        <v>0</v>
      </c>
      <c r="K615" s="62">
        <v>40000</v>
      </c>
      <c r="L615" s="33" t="e">
        <f>HLOOKUP(B615,#REF!,1,0)</f>
        <v>#REF!</v>
      </c>
      <c r="M615" s="33" t="str">
        <f t="shared" si="39"/>
        <v>BS</v>
      </c>
    </row>
    <row r="616" spans="1:13" s="33" customFormat="true" ht="12.75" customHeight="true">
      <c r="A616" s="33" t="str">
        <f t="shared" si="36"/>
        <v>DIA - Intercompany</v>
      </c>
      <c r="B616" s="33" t="str">
        <f t="shared" si="37"/>
        <v>DIA</v>
      </c>
      <c r="C616" s="33" t="str">
        <f t="shared" si="38"/>
        <v>11311-0000</v>
      </c>
      <c r="D616" s="64" t="s">
        <v>884</v>
      </c>
      <c r="E616" s="64" t="s">
        <v>258</v>
      </c>
      <c r="F616" s="64" t="s">
        <v>230</v>
      </c>
      <c r="G616" s="64" t="s">
        <v>16</v>
      </c>
      <c r="H616" s="64" t="s">
        <v>39</v>
      </c>
      <c r="I616" s="64" t="s">
        <v>40</v>
      </c>
      <c r="J616" s="67">
        <v>0</v>
      </c>
      <c r="K616" s="62">
        <v>15000</v>
      </c>
      <c r="L616" s="33" t="e">
        <f>HLOOKUP(B616,#REF!,1,0)</f>
        <v>#REF!</v>
      </c>
      <c r="M616" s="33" t="str">
        <f t="shared" si="39"/>
        <v>BS</v>
      </c>
    </row>
    <row r="617" spans="1:13" s="33" customFormat="true" ht="12.75" customHeight="true">
      <c r="A617" s="33" t="str">
        <f t="shared" si="36"/>
        <v>DIA - Intercompany</v>
      </c>
      <c r="B617" s="33" t="str">
        <f t="shared" si="37"/>
        <v>DIA</v>
      </c>
      <c r="C617" s="33" t="str">
        <f t="shared" si="38"/>
        <v>11317-0000</v>
      </c>
      <c r="D617" s="64" t="s">
        <v>885</v>
      </c>
      <c r="E617" s="64" t="s">
        <v>368</v>
      </c>
      <c r="F617" s="64" t="s">
        <v>230</v>
      </c>
      <c r="G617" s="64" t="s">
        <v>16</v>
      </c>
      <c r="H617" s="64" t="s">
        <v>39</v>
      </c>
      <c r="I617" s="64" t="s">
        <v>40</v>
      </c>
      <c r="J617" s="67">
        <v>0</v>
      </c>
      <c r="K617" s="62">
        <v>-1000</v>
      </c>
      <c r="L617" s="33" t="e">
        <f>HLOOKUP(B617,#REF!,1,0)</f>
        <v>#REF!</v>
      </c>
      <c r="M617" s="33" t="str">
        <f t="shared" si="39"/>
        <v>BS</v>
      </c>
    </row>
    <row r="618" spans="1:13" s="33" customFormat="true" ht="12.75" customHeight="true">
      <c r="A618" s="33" t="str">
        <f t="shared" si="36"/>
        <v>DIA - Intercompany</v>
      </c>
      <c r="B618" s="33" t="str">
        <f t="shared" si="37"/>
        <v>DIA</v>
      </c>
      <c r="C618" s="33" t="str">
        <f t="shared" si="38"/>
        <v>11324-0000</v>
      </c>
      <c r="D618" s="64" t="s">
        <v>886</v>
      </c>
      <c r="E618" s="64" t="s">
        <v>272</v>
      </c>
      <c r="F618" s="64" t="s">
        <v>230</v>
      </c>
      <c r="G618" s="64" t="s">
        <v>16</v>
      </c>
      <c r="H618" s="64" t="s">
        <v>39</v>
      </c>
      <c r="I618" s="64" t="s">
        <v>40</v>
      </c>
      <c r="J618" s="67">
        <v>0</v>
      </c>
      <c r="K618" s="62">
        <v>15000</v>
      </c>
      <c r="L618" s="33" t="e">
        <f>HLOOKUP(B618,#REF!,1,0)</f>
        <v>#REF!</v>
      </c>
      <c r="M618" s="33" t="str">
        <f t="shared" si="39"/>
        <v>BS</v>
      </c>
    </row>
    <row r="619" spans="1:13" s="33" customFormat="true" ht="12.75" customHeight="true">
      <c r="A619" s="33" t="str">
        <f t="shared" si="36"/>
        <v>DIA - Intercompany</v>
      </c>
      <c r="B619" s="33" t="str">
        <f t="shared" si="37"/>
        <v>DIA</v>
      </c>
      <c r="C619" s="33" t="str">
        <f t="shared" si="38"/>
        <v>11325-0000</v>
      </c>
      <c r="D619" s="64" t="s">
        <v>887</v>
      </c>
      <c r="E619" s="64" t="s">
        <v>888</v>
      </c>
      <c r="F619" s="64" t="s">
        <v>230</v>
      </c>
      <c r="G619" s="64" t="s">
        <v>16</v>
      </c>
      <c r="H619" s="64" t="s">
        <v>39</v>
      </c>
      <c r="I619" s="64" t="s">
        <v>40</v>
      </c>
      <c r="J619" s="67">
        <v>0</v>
      </c>
      <c r="K619" s="62">
        <v>-10000</v>
      </c>
      <c r="L619" s="33" t="e">
        <f>HLOOKUP(B619,#REF!,1,0)</f>
        <v>#REF!</v>
      </c>
      <c r="M619" s="33" t="str">
        <f t="shared" si="39"/>
        <v>BS</v>
      </c>
    </row>
    <row r="620" spans="1:13" s="33" customFormat="true" ht="12.75" customHeight="true">
      <c r="A620" s="33" t="str">
        <f t="shared" si="36"/>
        <v>DIA - Intercompany</v>
      </c>
      <c r="B620" s="33" t="str">
        <f t="shared" si="37"/>
        <v>DIA</v>
      </c>
      <c r="C620" s="33" t="str">
        <f t="shared" si="38"/>
        <v>11326-0000</v>
      </c>
      <c r="D620" s="64" t="s">
        <v>889</v>
      </c>
      <c r="E620" s="64" t="s">
        <v>276</v>
      </c>
      <c r="F620" s="64" t="s">
        <v>230</v>
      </c>
      <c r="G620" s="64" t="s">
        <v>16</v>
      </c>
      <c r="H620" s="64" t="s">
        <v>39</v>
      </c>
      <c r="I620" s="64" t="s">
        <v>40</v>
      </c>
      <c r="J620" s="67">
        <v>0</v>
      </c>
      <c r="K620" s="62">
        <v>-22000</v>
      </c>
      <c r="L620" s="33" t="e">
        <f>HLOOKUP(B620,#REF!,1,0)</f>
        <v>#REF!</v>
      </c>
      <c r="M620" s="33" t="str">
        <f t="shared" si="39"/>
        <v>BS</v>
      </c>
    </row>
    <row r="621" spans="1:13" s="33" customFormat="true" ht="12.75" customHeight="true">
      <c r="A621" s="33" t="str">
        <f t="shared" si="36"/>
        <v>DIA - Intercompany</v>
      </c>
      <c r="B621" s="33" t="str">
        <f t="shared" si="37"/>
        <v>DIA</v>
      </c>
      <c r="C621" s="33" t="str">
        <f t="shared" si="38"/>
        <v>11332-0000</v>
      </c>
      <c r="D621" s="64" t="s">
        <v>890</v>
      </c>
      <c r="E621" s="64" t="s">
        <v>331</v>
      </c>
      <c r="F621" s="64" t="s">
        <v>230</v>
      </c>
      <c r="G621" s="64" t="s">
        <v>16</v>
      </c>
      <c r="H621" s="64" t="s">
        <v>39</v>
      </c>
      <c r="I621" s="64" t="s">
        <v>40</v>
      </c>
      <c r="J621" s="67">
        <v>0</v>
      </c>
      <c r="K621" s="62">
        <v>-10000</v>
      </c>
      <c r="L621" s="33" t="e">
        <f>HLOOKUP(B621,#REF!,1,0)</f>
        <v>#REF!</v>
      </c>
      <c r="M621" s="33" t="str">
        <f t="shared" si="39"/>
        <v>BS</v>
      </c>
    </row>
    <row r="622" spans="1:13" s="33" customFormat="true" ht="12.75" customHeight="true">
      <c r="A622" s="33" t="str">
        <f t="shared" si="36"/>
        <v>DIA - Intercompany</v>
      </c>
      <c r="B622" s="33" t="str">
        <f t="shared" si="37"/>
        <v>DIA</v>
      </c>
      <c r="C622" s="33" t="str">
        <f t="shared" si="38"/>
        <v>11402-0000</v>
      </c>
      <c r="D622" s="64" t="s">
        <v>891</v>
      </c>
      <c r="E622" s="64" t="s">
        <v>662</v>
      </c>
      <c r="F622" s="64" t="s">
        <v>230</v>
      </c>
      <c r="G622" s="64" t="s">
        <v>16</v>
      </c>
      <c r="H622" s="64" t="s">
        <v>39</v>
      </c>
      <c r="I622" s="64" t="s">
        <v>40</v>
      </c>
      <c r="J622" s="67">
        <v>0</v>
      </c>
      <c r="K622" s="62">
        <v>60000</v>
      </c>
      <c r="L622" s="33" t="e">
        <f>HLOOKUP(B622,#REF!,1,0)</f>
        <v>#REF!</v>
      </c>
      <c r="M622" s="33" t="str">
        <f t="shared" si="39"/>
        <v>BS</v>
      </c>
    </row>
    <row r="623" spans="1:13" s="33" customFormat="true" ht="12.75" customHeight="true">
      <c r="A623" s="33" t="str">
        <f t="shared" si="36"/>
        <v>DIA - Fixed Assets</v>
      </c>
      <c r="B623" s="33" t="str">
        <f t="shared" si="37"/>
        <v>DIA</v>
      </c>
      <c r="C623" s="33" t="str">
        <f t="shared" si="38"/>
        <v>14000-0000</v>
      </c>
      <c r="D623" s="64" t="s">
        <v>892</v>
      </c>
      <c r="E623" s="64" t="s">
        <v>298</v>
      </c>
      <c r="F623" s="64" t="s">
        <v>230</v>
      </c>
      <c r="G623" s="64" t="s">
        <v>62</v>
      </c>
      <c r="H623" s="64" t="s">
        <v>63</v>
      </c>
      <c r="I623" s="64" t="s">
        <v>64</v>
      </c>
      <c r="J623" s="67">
        <v>0</v>
      </c>
      <c r="K623" s="62">
        <v>1433190</v>
      </c>
      <c r="L623" s="33" t="e">
        <f>HLOOKUP(B623,#REF!,1,0)</f>
        <v>#REF!</v>
      </c>
      <c r="M623" s="33" t="str">
        <f t="shared" si="39"/>
        <v>BS</v>
      </c>
    </row>
    <row r="624" spans="1:13" s="33" customFormat="true" ht="12.75" customHeight="true">
      <c r="A624" s="33" t="str">
        <f t="shared" si="36"/>
        <v>DIA - Fixed Assets</v>
      </c>
      <c r="B624" s="33" t="str">
        <f t="shared" si="37"/>
        <v>DIA</v>
      </c>
      <c r="C624" s="33" t="str">
        <f t="shared" si="38"/>
        <v>15000-0000</v>
      </c>
      <c r="D624" s="64" t="s">
        <v>893</v>
      </c>
      <c r="E624" s="64" t="s">
        <v>300</v>
      </c>
      <c r="F624" s="64" t="s">
        <v>230</v>
      </c>
      <c r="G624" s="64" t="s">
        <v>62</v>
      </c>
      <c r="H624" s="64" t="s">
        <v>63</v>
      </c>
      <c r="I624" s="64" t="s">
        <v>64</v>
      </c>
      <c r="J624" s="67">
        <v>0</v>
      </c>
      <c r="K624" s="62">
        <v>2866810</v>
      </c>
      <c r="L624" s="33" t="e">
        <f>HLOOKUP(B624,#REF!,1,0)</f>
        <v>#REF!</v>
      </c>
      <c r="M624" s="33" t="str">
        <f t="shared" si="39"/>
        <v>BS</v>
      </c>
    </row>
    <row r="625" spans="1:13" s="33" customFormat="true" ht="12.75" customHeight="true">
      <c r="A625" s="33" t="str">
        <f t="shared" si="36"/>
        <v>DIA - Total Assets</v>
      </c>
      <c r="B625" s="33" t="str">
        <f t="shared" si="37"/>
        <v>DIA</v>
      </c>
      <c r="C625" s="33" t="str">
        <f t="shared" si="38"/>
        <v>15500-0000</v>
      </c>
      <c r="D625" s="64" t="s">
        <v>894</v>
      </c>
      <c r="E625" s="64" t="s">
        <v>302</v>
      </c>
      <c r="F625" s="64" t="s">
        <v>230</v>
      </c>
      <c r="G625" s="64" t="s">
        <v>62</v>
      </c>
      <c r="H625" s="64" t="s">
        <v>62</v>
      </c>
      <c r="I625" s="64" t="s">
        <v>64</v>
      </c>
      <c r="J625" s="67">
        <v>0</v>
      </c>
      <c r="K625" s="62">
        <v>27088.48</v>
      </c>
      <c r="L625" s="33" t="e">
        <f>HLOOKUP(B625,#REF!,1,0)</f>
        <v>#REF!</v>
      </c>
      <c r="M625" s="33" t="str">
        <f t="shared" si="39"/>
        <v>BS</v>
      </c>
    </row>
    <row r="626" spans="1:13" s="33" customFormat="true" ht="12.75" customHeight="true">
      <c r="A626" s="33" t="str">
        <f t="shared" si="36"/>
        <v>DIA - Fixed Assets</v>
      </c>
      <c r="B626" s="33" t="str">
        <f t="shared" si="37"/>
        <v>DIA</v>
      </c>
      <c r="C626" s="33" t="str">
        <f t="shared" si="38"/>
        <v>16000-0000</v>
      </c>
      <c r="D626" s="64" t="s">
        <v>895</v>
      </c>
      <c r="E626" s="64" t="s">
        <v>304</v>
      </c>
      <c r="F626" s="64" t="s">
        <v>230</v>
      </c>
      <c r="G626" s="64" t="s">
        <v>16</v>
      </c>
      <c r="H626" s="64" t="s">
        <v>63</v>
      </c>
      <c r="I626" s="64" t="s">
        <v>18</v>
      </c>
      <c r="J626" s="67">
        <v>0</v>
      </c>
      <c r="K626" s="62">
        <v>6267</v>
      </c>
      <c r="L626" s="33" t="e">
        <f>HLOOKUP(B626,#REF!,1,0)</f>
        <v>#REF!</v>
      </c>
      <c r="M626" s="33" t="str">
        <f t="shared" si="39"/>
        <v>BS</v>
      </c>
    </row>
    <row r="627" spans="1:13" s="33" customFormat="true" ht="12.75" customHeight="true">
      <c r="A627" s="33" t="str">
        <f t="shared" si="36"/>
        <v>DIA - Fixed Assets</v>
      </c>
      <c r="B627" s="33" t="str">
        <f t="shared" si="37"/>
        <v>DIA</v>
      </c>
      <c r="C627" s="33" t="str">
        <f t="shared" si="38"/>
        <v>17000-0000</v>
      </c>
      <c r="D627" s="64" t="s">
        <v>896</v>
      </c>
      <c r="E627" s="64" t="s">
        <v>306</v>
      </c>
      <c r="F627" s="64" t="s">
        <v>230</v>
      </c>
      <c r="G627" s="64" t="s">
        <v>62</v>
      </c>
      <c r="H627" s="64" t="s">
        <v>63</v>
      </c>
      <c r="I627" s="64" t="s">
        <v>64</v>
      </c>
      <c r="J627" s="67">
        <v>0</v>
      </c>
      <c r="K627" s="62">
        <v>-1084952</v>
      </c>
      <c r="L627" s="33" t="e">
        <f>HLOOKUP(B627,#REF!,1,0)</f>
        <v>#REF!</v>
      </c>
      <c r="M627" s="33" t="str">
        <f t="shared" si="39"/>
        <v>BS</v>
      </c>
    </row>
    <row r="628" spans="1:13" s="33" customFormat="true" ht="12.75" customHeight="true">
      <c r="A628" s="33" t="str">
        <f t="shared" si="36"/>
        <v>DIA - Fixed Assets</v>
      </c>
      <c r="B628" s="33" t="str">
        <f t="shared" si="37"/>
        <v>DIA</v>
      </c>
      <c r="C628" s="33" t="str">
        <f t="shared" si="38"/>
        <v>18000-0000</v>
      </c>
      <c r="D628" s="64" t="s">
        <v>897</v>
      </c>
      <c r="E628" s="64" t="s">
        <v>308</v>
      </c>
      <c r="F628" s="64" t="s">
        <v>230</v>
      </c>
      <c r="G628" s="64" t="s">
        <v>62</v>
      </c>
      <c r="H628" s="64" t="s">
        <v>63</v>
      </c>
      <c r="I628" s="64" t="s">
        <v>64</v>
      </c>
      <c r="J628" s="67">
        <v>0</v>
      </c>
      <c r="K628" s="62">
        <v>-6876</v>
      </c>
      <c r="L628" s="33" t="e">
        <f>HLOOKUP(B628,#REF!,1,0)</f>
        <v>#REF!</v>
      </c>
      <c r="M628" s="33" t="str">
        <f t="shared" si="39"/>
        <v>BS</v>
      </c>
    </row>
    <row r="629" spans="1:13" s="33" customFormat="true" ht="12.75" customHeight="true">
      <c r="A629" s="33" t="str">
        <f t="shared" si="36"/>
        <v>DIA - AP-Accr Exp</v>
      </c>
      <c r="B629" s="33" t="str">
        <f t="shared" si="37"/>
        <v>DIA</v>
      </c>
      <c r="C629" s="33" t="str">
        <f t="shared" si="38"/>
        <v>20001-0000</v>
      </c>
      <c r="D629" s="64" t="s">
        <v>898</v>
      </c>
      <c r="E629" s="64" t="s">
        <v>96</v>
      </c>
      <c r="F629" s="64" t="s">
        <v>230</v>
      </c>
      <c r="G629" s="64" t="s">
        <v>97</v>
      </c>
      <c r="H629" s="64" t="s">
        <v>98</v>
      </c>
      <c r="I629" s="64" t="s">
        <v>99</v>
      </c>
      <c r="J629" s="67">
        <v>0</v>
      </c>
      <c r="K629" s="62">
        <v>0</v>
      </c>
      <c r="L629" s="33" t="e">
        <f>HLOOKUP(B629,#REF!,1,0)</f>
        <v>#REF!</v>
      </c>
      <c r="M629" s="33" t="str">
        <f t="shared" si="39"/>
        <v>BS</v>
      </c>
    </row>
    <row r="630" spans="1:13" s="33" customFormat="true" ht="12.75" customHeight="true">
      <c r="A630" s="33" t="str">
        <f t="shared" si="36"/>
        <v>DIA - AP-Accr Exp</v>
      </c>
      <c r="B630" s="33" t="str">
        <f t="shared" si="37"/>
        <v>DIA</v>
      </c>
      <c r="C630" s="33" t="str">
        <f t="shared" si="38"/>
        <v>23509-0000</v>
      </c>
      <c r="D630" s="64" t="s">
        <v>899</v>
      </c>
      <c r="E630" s="64" t="s">
        <v>111</v>
      </c>
      <c r="F630" s="64" t="s">
        <v>230</v>
      </c>
      <c r="G630" s="64" t="s">
        <v>97</v>
      </c>
      <c r="H630" s="64" t="s">
        <v>98</v>
      </c>
      <c r="I630" s="64" t="s">
        <v>102</v>
      </c>
      <c r="J630" s="67">
        <v>0</v>
      </c>
      <c r="K630" s="62">
        <v>0</v>
      </c>
      <c r="L630" s="33" t="e">
        <f>HLOOKUP(B630,#REF!,1,0)</f>
        <v>#REF!</v>
      </c>
      <c r="M630" s="33" t="str">
        <f t="shared" si="39"/>
        <v>BS</v>
      </c>
    </row>
    <row r="631" spans="1:13" s="33" customFormat="true" ht="12.75" customHeight="true">
      <c r="A631" s="33" t="str">
        <f t="shared" si="36"/>
        <v>DIA - AP-Accr Exp</v>
      </c>
      <c r="B631" s="33" t="str">
        <f t="shared" si="37"/>
        <v>DIA</v>
      </c>
      <c r="C631" s="33" t="str">
        <f t="shared" si="38"/>
        <v>24800-0000</v>
      </c>
      <c r="D631" s="64" t="s">
        <v>900</v>
      </c>
      <c r="E631" s="64" t="s">
        <v>232</v>
      </c>
      <c r="F631" s="64" t="s">
        <v>230</v>
      </c>
      <c r="G631" s="64" t="s">
        <v>97</v>
      </c>
      <c r="H631" s="64" t="s">
        <v>98</v>
      </c>
      <c r="I631" s="64" t="s">
        <v>102</v>
      </c>
      <c r="J631" s="67">
        <v>-503</v>
      </c>
      <c r="K631" s="62">
        <v>-29445</v>
      </c>
      <c r="L631" s="33" t="e">
        <f>HLOOKUP(B631,#REF!,1,0)</f>
        <v>#REF!</v>
      </c>
      <c r="M631" s="33" t="str">
        <f t="shared" si="39"/>
        <v>BS</v>
      </c>
    </row>
    <row r="632" spans="1:13" s="33" customFormat="true" ht="12.75" customHeight="true">
      <c r="A632" s="33" t="str">
        <f t="shared" si="36"/>
        <v>DIA - AP-Accr Exp</v>
      </c>
      <c r="B632" s="33" t="str">
        <f t="shared" si="37"/>
        <v>DIA</v>
      </c>
      <c r="C632" s="33" t="str">
        <f t="shared" si="38"/>
        <v>24801-0000</v>
      </c>
      <c r="D632" s="64" t="s">
        <v>901</v>
      </c>
      <c r="E632" s="64" t="s">
        <v>399</v>
      </c>
      <c r="F632" s="64" t="s">
        <v>230</v>
      </c>
      <c r="G632" s="64" t="s">
        <v>97</v>
      </c>
      <c r="H632" s="64" t="s">
        <v>98</v>
      </c>
      <c r="I632" s="64" t="s">
        <v>102</v>
      </c>
      <c r="J632" s="67">
        <v>0</v>
      </c>
      <c r="K632" s="62">
        <v>0</v>
      </c>
      <c r="L632" s="33" t="e">
        <f>HLOOKUP(B632,#REF!,1,0)</f>
        <v>#REF!</v>
      </c>
      <c r="M632" s="33" t="str">
        <f t="shared" si="39"/>
        <v>BS</v>
      </c>
    </row>
    <row r="633" spans="1:13" s="33" customFormat="true" ht="12.75" customHeight="true">
      <c r="A633" s="33" t="str">
        <f t="shared" si="36"/>
        <v>DIA - Principal</v>
      </c>
      <c r="B633" s="33" t="str">
        <f t="shared" si="37"/>
        <v>DIA</v>
      </c>
      <c r="C633" s="33" t="str">
        <f t="shared" si="38"/>
        <v>28001-0000</v>
      </c>
      <c r="D633" s="64" t="s">
        <v>902</v>
      </c>
      <c r="E633" s="64" t="s">
        <v>352</v>
      </c>
      <c r="F633" s="64" t="s">
        <v>230</v>
      </c>
      <c r="G633" s="64" t="s">
        <v>123</v>
      </c>
      <c r="H633" s="64" t="s">
        <v>127</v>
      </c>
      <c r="I633" s="64" t="s">
        <v>133</v>
      </c>
      <c r="J633" s="67">
        <v>7242.1</v>
      </c>
      <c r="K633" s="62">
        <v>-2761376.48</v>
      </c>
      <c r="L633" s="33" t="e">
        <f>HLOOKUP(B633,#REF!,1,0)</f>
        <v>#REF!</v>
      </c>
      <c r="M633" s="33" t="str">
        <f t="shared" si="39"/>
        <v>BS</v>
      </c>
    </row>
    <row r="634" spans="1:13" s="33" customFormat="true" ht="12.75" customHeight="true">
      <c r="A634" s="33" t="str">
        <f t="shared" si="36"/>
        <v>DIA - SH Dist</v>
      </c>
      <c r="B634" s="33" t="str">
        <f t="shared" si="37"/>
        <v>DIA</v>
      </c>
      <c r="C634" s="33" t="str">
        <f t="shared" si="38"/>
        <v>30700-0000</v>
      </c>
      <c r="D634" s="64" t="s">
        <v>903</v>
      </c>
      <c r="E634" s="64" t="s">
        <v>319</v>
      </c>
      <c r="F634" s="64" t="s">
        <v>230</v>
      </c>
      <c r="G634" s="64" t="s">
        <v>142</v>
      </c>
      <c r="H634" s="64" t="s">
        <v>143</v>
      </c>
      <c r="I634" s="64" t="s">
        <v>144</v>
      </c>
      <c r="J634" s="67">
        <v>0</v>
      </c>
      <c r="K634" s="62">
        <v>1107817.31</v>
      </c>
      <c r="L634" s="33" t="e">
        <f>HLOOKUP(B634,#REF!,1,0)</f>
        <v>#REF!</v>
      </c>
      <c r="M634" s="33" t="str">
        <f t="shared" si="39"/>
        <v>BS</v>
      </c>
    </row>
    <row r="635" spans="1:13" s="33" customFormat="true" ht="12.75" customHeight="true">
      <c r="A635" s="33" t="str">
        <f t="shared" si="36"/>
        <v>DIA - Retained Earnings</v>
      </c>
      <c r="B635" s="33" t="str">
        <f t="shared" si="37"/>
        <v>DIA</v>
      </c>
      <c r="C635" s="33" t="str">
        <f t="shared" si="38"/>
        <v>32000-0000</v>
      </c>
      <c r="D635" s="64" t="s">
        <v>904</v>
      </c>
      <c r="E635" s="64" t="s">
        <v>234</v>
      </c>
      <c r="F635" s="64" t="s">
        <v>230</v>
      </c>
      <c r="G635" s="64" t="s">
        <v>142</v>
      </c>
      <c r="H635" s="64" t="s">
        <v>149</v>
      </c>
      <c r="I635" s="64" t="s">
        <v>235</v>
      </c>
      <c r="J635" s="67">
        <v>0</v>
      </c>
      <c r="K635" s="62">
        <v>-1743171.14</v>
      </c>
      <c r="L635" s="33" t="e">
        <f>HLOOKUP(B635,#REF!,1,0)</f>
        <v>#REF!</v>
      </c>
      <c r="M635" s="33" t="str">
        <f t="shared" si="39"/>
        <v>BS</v>
      </c>
    </row>
    <row r="636" spans="1:13" s="33" customFormat="true" ht="12.75" customHeight="true">
      <c r="A636" s="33" t="str">
        <f t="shared" si="36"/>
        <v>DOL - Cash</v>
      </c>
      <c r="B636" s="33" t="str">
        <f t="shared" si="37"/>
        <v>DOL</v>
      </c>
      <c r="C636" s="33" t="str">
        <f t="shared" si="38"/>
        <v>10001-0000</v>
      </c>
      <c r="D636" s="64" t="s">
        <v>905</v>
      </c>
      <c r="E636" s="64" t="s">
        <v>240</v>
      </c>
      <c r="F636" s="64" t="s">
        <v>230</v>
      </c>
      <c r="G636" s="64" t="s">
        <v>16</v>
      </c>
      <c r="H636" s="64" t="s">
        <v>25</v>
      </c>
      <c r="I636" s="64" t="s">
        <v>18</v>
      </c>
      <c r="J636" s="67">
        <v>-8602.28</v>
      </c>
      <c r="K636" s="62">
        <v>61204.43</v>
      </c>
      <c r="L636" s="33" t="e">
        <f>HLOOKUP(B636,#REF!,1,0)</f>
        <v>#REF!</v>
      </c>
      <c r="M636" s="33" t="str">
        <f t="shared" si="39"/>
        <v>BS</v>
      </c>
    </row>
    <row r="637" spans="1:13" s="33" customFormat="true" ht="12.75" customHeight="true">
      <c r="A637" s="33" t="str">
        <f t="shared" si="36"/>
        <v>DOL - Cash</v>
      </c>
      <c r="B637" s="33" t="str">
        <f t="shared" si="37"/>
        <v>DOL</v>
      </c>
      <c r="C637" s="33" t="str">
        <f t="shared" si="38"/>
        <v>10002-0000</v>
      </c>
      <c r="D637" s="64" t="s">
        <v>906</v>
      </c>
      <c r="E637" s="64" t="s">
        <v>907</v>
      </c>
      <c r="F637" s="64" t="s">
        <v>230</v>
      </c>
      <c r="G637" s="64" t="s">
        <v>16</v>
      </c>
      <c r="H637" s="64" t="s">
        <v>25</v>
      </c>
      <c r="I637" s="64" t="s">
        <v>18</v>
      </c>
      <c r="J637" s="67">
        <v>0</v>
      </c>
      <c r="K637" s="62">
        <v>-30.77</v>
      </c>
      <c r="L637" s="33" t="e">
        <f>HLOOKUP(B637,#REF!,1,0)</f>
        <v>#REF!</v>
      </c>
      <c r="M637" s="33" t="str">
        <f t="shared" si="39"/>
        <v>BS</v>
      </c>
    </row>
    <row r="638" spans="1:13" s="33" customFormat="true" ht="12.75" customHeight="true">
      <c r="A638" s="33" t="str">
        <f t="shared" si="36"/>
        <v>DOL - Intercompany</v>
      </c>
      <c r="B638" s="33" t="str">
        <f t="shared" si="37"/>
        <v>DOL</v>
      </c>
      <c r="C638" s="33" t="str">
        <f t="shared" si="38"/>
        <v>11216-0000</v>
      </c>
      <c r="D638" s="64" t="s">
        <v>908</v>
      </c>
      <c r="E638" s="64" t="s">
        <v>242</v>
      </c>
      <c r="F638" s="64" t="s">
        <v>230</v>
      </c>
      <c r="G638" s="64" t="s">
        <v>16</v>
      </c>
      <c r="H638" s="64" t="s">
        <v>39</v>
      </c>
      <c r="I638" s="64" t="s">
        <v>40</v>
      </c>
      <c r="J638" s="67">
        <v>-267.39</v>
      </c>
      <c r="K638" s="62">
        <v>-65963.01</v>
      </c>
      <c r="L638" s="33" t="e">
        <f>HLOOKUP(B638,#REF!,1,0)</f>
        <v>#REF!</v>
      </c>
      <c r="M638" s="33" t="str">
        <f t="shared" si="39"/>
        <v>BS</v>
      </c>
    </row>
    <row r="639" spans="1:13" s="33" customFormat="true" ht="12.75" customHeight="true">
      <c r="A639" s="33" t="str">
        <f t="shared" si="36"/>
        <v>DOL - Intercompany</v>
      </c>
      <c r="B639" s="33" t="str">
        <f t="shared" si="37"/>
        <v>DOL</v>
      </c>
      <c r="C639" s="33" t="str">
        <f t="shared" si="38"/>
        <v>11301-0000</v>
      </c>
      <c r="D639" s="64" t="s">
        <v>909</v>
      </c>
      <c r="E639" s="64" t="s">
        <v>244</v>
      </c>
      <c r="F639" s="64" t="s">
        <v>230</v>
      </c>
      <c r="G639" s="64" t="s">
        <v>16</v>
      </c>
      <c r="H639" s="64" t="s">
        <v>39</v>
      </c>
      <c r="I639" s="64" t="s">
        <v>40</v>
      </c>
      <c r="J639" s="67">
        <v>0</v>
      </c>
      <c r="K639" s="62">
        <v>20000</v>
      </c>
      <c r="L639" s="33" t="e">
        <f>HLOOKUP(B639,#REF!,1,0)</f>
        <v>#REF!</v>
      </c>
      <c r="M639" s="33" t="str">
        <f t="shared" si="39"/>
        <v>BS</v>
      </c>
    </row>
    <row r="640" spans="1:13" s="33" customFormat="true" ht="12.75" customHeight="true">
      <c r="A640" s="33" t="str">
        <f t="shared" si="36"/>
        <v>DOL - Intercompany</v>
      </c>
      <c r="B640" s="33" t="str">
        <f t="shared" si="37"/>
        <v>DOL</v>
      </c>
      <c r="C640" s="33" t="str">
        <f t="shared" si="38"/>
        <v>11311-0000</v>
      </c>
      <c r="D640" s="64" t="s">
        <v>910</v>
      </c>
      <c r="E640" s="64" t="s">
        <v>258</v>
      </c>
      <c r="F640" s="64" t="s">
        <v>230</v>
      </c>
      <c r="G640" s="64" t="s">
        <v>16</v>
      </c>
      <c r="H640" s="64" t="s">
        <v>39</v>
      </c>
      <c r="I640" s="64" t="s">
        <v>40</v>
      </c>
      <c r="J640" s="67">
        <v>0</v>
      </c>
      <c r="K640" s="62">
        <v>-5000</v>
      </c>
      <c r="L640" s="33" t="e">
        <f>HLOOKUP(B640,#REF!,1,0)</f>
        <v>#REF!</v>
      </c>
      <c r="M640" s="33" t="str">
        <f t="shared" si="39"/>
        <v>BS</v>
      </c>
    </row>
    <row r="641" spans="1:13" s="33" customFormat="true" ht="12.75" customHeight="true">
      <c r="A641" s="33" t="str">
        <f t="shared" si="36"/>
        <v>DOL - Intercompany</v>
      </c>
      <c r="B641" s="33" t="str">
        <f t="shared" si="37"/>
        <v>DOL</v>
      </c>
      <c r="C641" s="33" t="str">
        <f t="shared" si="38"/>
        <v>11315-0000</v>
      </c>
      <c r="D641" s="64" t="s">
        <v>911</v>
      </c>
      <c r="E641" s="64" t="s">
        <v>262</v>
      </c>
      <c r="F641" s="64" t="s">
        <v>230</v>
      </c>
      <c r="G641" s="64" t="s">
        <v>16</v>
      </c>
      <c r="H641" s="64" t="s">
        <v>39</v>
      </c>
      <c r="I641" s="64" t="s">
        <v>40</v>
      </c>
      <c r="J641" s="67">
        <v>0</v>
      </c>
      <c r="K641" s="62">
        <v>15000</v>
      </c>
      <c r="L641" s="33" t="e">
        <f>HLOOKUP(B641,#REF!,1,0)</f>
        <v>#REF!</v>
      </c>
      <c r="M641" s="33" t="str">
        <f t="shared" si="39"/>
        <v>BS</v>
      </c>
    </row>
    <row r="642" spans="1:13" s="33" customFormat="true" ht="12.75" customHeight="true">
      <c r="A642" s="33" t="str">
        <f t="shared" ref="A642:A705" si="40">B642&amp;" - "&amp;TRIM(H642)</f>
        <v>DOL - Intercompany</v>
      </c>
      <c r="B642" s="33" t="str">
        <f t="shared" ref="B642:B705" si="41">LEFT(D642,3)</f>
        <v>DOL</v>
      </c>
      <c r="C642" s="33" t="str">
        <f t="shared" ref="C642:C705" si="42">RIGHT(D642,10)</f>
        <v>11317-0000</v>
      </c>
      <c r="D642" s="64" t="s">
        <v>912</v>
      </c>
      <c r="E642" s="64" t="s">
        <v>368</v>
      </c>
      <c r="F642" s="64" t="s">
        <v>230</v>
      </c>
      <c r="G642" s="64" t="s">
        <v>16</v>
      </c>
      <c r="H642" s="64" t="s">
        <v>39</v>
      </c>
      <c r="I642" s="64" t="s">
        <v>40</v>
      </c>
      <c r="J642" s="67">
        <v>0</v>
      </c>
      <c r="K642" s="62">
        <v>-25000</v>
      </c>
      <c r="L642" s="33" t="e">
        <f>HLOOKUP(B642,#REF!,1,0)</f>
        <v>#REF!</v>
      </c>
      <c r="M642" s="33" t="str">
        <f t="shared" ref="M642:M705" si="43">IF(VALUE(LEFT(C642,5))&gt;40000,"P&amp;L","BS")</f>
        <v>BS</v>
      </c>
    </row>
    <row r="643" spans="1:13" s="33" customFormat="true" ht="12.75" customHeight="true">
      <c r="A643" s="33" t="str">
        <f t="shared" si="40"/>
        <v>DOL - Intercompany</v>
      </c>
      <c r="B643" s="33" t="str">
        <f t="shared" si="41"/>
        <v>DOL</v>
      </c>
      <c r="C643" s="33" t="str">
        <f t="shared" si="42"/>
        <v>11324-0000</v>
      </c>
      <c r="D643" s="64" t="s">
        <v>913</v>
      </c>
      <c r="E643" s="64" t="s">
        <v>272</v>
      </c>
      <c r="F643" s="64" t="s">
        <v>230</v>
      </c>
      <c r="G643" s="64" t="s">
        <v>16</v>
      </c>
      <c r="H643" s="64" t="s">
        <v>39</v>
      </c>
      <c r="I643" s="64" t="s">
        <v>40</v>
      </c>
      <c r="J643" s="67">
        <v>0</v>
      </c>
      <c r="K643" s="62">
        <v>20000</v>
      </c>
      <c r="L643" s="33" t="e">
        <f>HLOOKUP(B643,#REF!,1,0)</f>
        <v>#REF!</v>
      </c>
      <c r="M643" s="33" t="str">
        <f t="shared" si="43"/>
        <v>BS</v>
      </c>
    </row>
    <row r="644" spans="1:13" s="33" customFormat="true" ht="12.75" customHeight="true">
      <c r="A644" s="33" t="str">
        <f t="shared" si="40"/>
        <v>DOL - Intercompany</v>
      </c>
      <c r="B644" s="33" t="str">
        <f t="shared" si="41"/>
        <v>DOL</v>
      </c>
      <c r="C644" s="33" t="str">
        <f t="shared" si="42"/>
        <v>11325-0000</v>
      </c>
      <c r="D644" s="64" t="s">
        <v>914</v>
      </c>
      <c r="E644" s="64" t="s">
        <v>274</v>
      </c>
      <c r="F644" s="64" t="s">
        <v>230</v>
      </c>
      <c r="G644" s="64" t="s">
        <v>16</v>
      </c>
      <c r="H644" s="64" t="s">
        <v>39</v>
      </c>
      <c r="I644" s="64" t="s">
        <v>40</v>
      </c>
      <c r="J644" s="67">
        <v>0</v>
      </c>
      <c r="K644" s="62">
        <v>10000</v>
      </c>
      <c r="L644" s="33" t="e">
        <f>HLOOKUP(B644,#REF!,1,0)</f>
        <v>#REF!</v>
      </c>
      <c r="M644" s="33" t="str">
        <f t="shared" si="43"/>
        <v>BS</v>
      </c>
    </row>
    <row r="645" spans="1:13" s="33" customFormat="true" ht="12.75" customHeight="true">
      <c r="A645" s="33" t="str">
        <f t="shared" si="40"/>
        <v>DOL - Intercompany</v>
      </c>
      <c r="B645" s="33" t="str">
        <f t="shared" si="41"/>
        <v>DOL</v>
      </c>
      <c r="C645" s="33" t="str">
        <f t="shared" si="42"/>
        <v>11326-0000</v>
      </c>
      <c r="D645" s="64" t="s">
        <v>915</v>
      </c>
      <c r="E645" s="64" t="s">
        <v>276</v>
      </c>
      <c r="F645" s="64" t="s">
        <v>230</v>
      </c>
      <c r="G645" s="64" t="s">
        <v>16</v>
      </c>
      <c r="H645" s="64" t="s">
        <v>39</v>
      </c>
      <c r="I645" s="64" t="s">
        <v>40</v>
      </c>
      <c r="J645" s="67">
        <v>0</v>
      </c>
      <c r="K645" s="62">
        <v>15000</v>
      </c>
      <c r="L645" s="33" t="e">
        <f>HLOOKUP(B645,#REF!,1,0)</f>
        <v>#REF!</v>
      </c>
      <c r="M645" s="33" t="str">
        <f t="shared" si="43"/>
        <v>BS</v>
      </c>
    </row>
    <row r="646" spans="1:13" s="33" customFormat="true" ht="12.75" customHeight="true">
      <c r="A646" s="33" t="str">
        <f t="shared" si="40"/>
        <v>DOL - Intercompany</v>
      </c>
      <c r="B646" s="33" t="str">
        <f t="shared" si="41"/>
        <v>DOL</v>
      </c>
      <c r="C646" s="33" t="str">
        <f t="shared" si="42"/>
        <v>11333-0000</v>
      </c>
      <c r="D646" s="64" t="s">
        <v>916</v>
      </c>
      <c r="E646" s="64" t="s">
        <v>284</v>
      </c>
      <c r="F646" s="64" t="s">
        <v>230</v>
      </c>
      <c r="G646" s="64" t="s">
        <v>16</v>
      </c>
      <c r="H646" s="64" t="s">
        <v>39</v>
      </c>
      <c r="I646" s="64" t="s">
        <v>40</v>
      </c>
      <c r="J646" s="67">
        <v>0</v>
      </c>
      <c r="K646" s="62">
        <v>10000</v>
      </c>
      <c r="L646" s="33" t="e">
        <f>HLOOKUP(B646,#REF!,1,0)</f>
        <v>#REF!</v>
      </c>
      <c r="M646" s="33" t="str">
        <f t="shared" si="43"/>
        <v>BS</v>
      </c>
    </row>
    <row r="647" spans="1:13" s="33" customFormat="true" ht="12.75" customHeight="true">
      <c r="A647" s="33" t="str">
        <f t="shared" si="40"/>
        <v>DOL - Intercompany</v>
      </c>
      <c r="B647" s="33" t="str">
        <f t="shared" si="41"/>
        <v>DOL</v>
      </c>
      <c r="C647" s="33" t="str">
        <f t="shared" si="42"/>
        <v>11337-0000</v>
      </c>
      <c r="D647" s="64" t="s">
        <v>917</v>
      </c>
      <c r="E647" s="64" t="s">
        <v>292</v>
      </c>
      <c r="F647" s="64" t="s">
        <v>230</v>
      </c>
      <c r="G647" s="64" t="s">
        <v>16</v>
      </c>
      <c r="H647" s="64" t="s">
        <v>39</v>
      </c>
      <c r="I647" s="64" t="s">
        <v>40</v>
      </c>
      <c r="J647" s="67">
        <v>0</v>
      </c>
      <c r="K647" s="62">
        <v>15000</v>
      </c>
      <c r="L647" s="33" t="e">
        <f>HLOOKUP(B647,#REF!,1,0)</f>
        <v>#REF!</v>
      </c>
      <c r="M647" s="33" t="str">
        <f t="shared" si="43"/>
        <v>BS</v>
      </c>
    </row>
    <row r="648" spans="1:13" s="33" customFormat="true" ht="12.75" customHeight="true">
      <c r="A648" s="33" t="str">
        <f t="shared" si="40"/>
        <v>DOL - Fixed Assets</v>
      </c>
      <c r="B648" s="33" t="str">
        <f t="shared" si="41"/>
        <v>DOL</v>
      </c>
      <c r="C648" s="33" t="str">
        <f t="shared" si="42"/>
        <v>14000-0000</v>
      </c>
      <c r="D648" s="64" t="s">
        <v>918</v>
      </c>
      <c r="E648" s="64" t="s">
        <v>298</v>
      </c>
      <c r="F648" s="64" t="s">
        <v>230</v>
      </c>
      <c r="G648" s="64" t="s">
        <v>62</v>
      </c>
      <c r="H648" s="64" t="s">
        <v>63</v>
      </c>
      <c r="I648" s="64" t="s">
        <v>64</v>
      </c>
      <c r="J648" s="67">
        <v>0</v>
      </c>
      <c r="K648" s="62">
        <v>2415000</v>
      </c>
      <c r="L648" s="33" t="e">
        <f>HLOOKUP(B648,#REF!,1,0)</f>
        <v>#REF!</v>
      </c>
      <c r="M648" s="33" t="str">
        <f t="shared" si="43"/>
        <v>BS</v>
      </c>
    </row>
    <row r="649" spans="1:13" s="33" customFormat="true" ht="12.75" customHeight="true">
      <c r="A649" s="33" t="str">
        <f t="shared" si="40"/>
        <v>DOL - Fixed Assets</v>
      </c>
      <c r="B649" s="33" t="str">
        <f t="shared" si="41"/>
        <v>DOL</v>
      </c>
      <c r="C649" s="33" t="str">
        <f t="shared" si="42"/>
        <v>15000-0000</v>
      </c>
      <c r="D649" s="64" t="s">
        <v>919</v>
      </c>
      <c r="E649" s="64" t="s">
        <v>300</v>
      </c>
      <c r="F649" s="64" t="s">
        <v>230</v>
      </c>
      <c r="G649" s="64" t="s">
        <v>62</v>
      </c>
      <c r="H649" s="64" t="s">
        <v>63</v>
      </c>
      <c r="I649" s="64" t="s">
        <v>64</v>
      </c>
      <c r="J649" s="67">
        <v>0</v>
      </c>
      <c r="K649" s="62">
        <v>5635000</v>
      </c>
      <c r="L649" s="33" t="e">
        <f>HLOOKUP(B649,#REF!,1,0)</f>
        <v>#REF!</v>
      </c>
      <c r="M649" s="33" t="str">
        <f t="shared" si="43"/>
        <v>BS</v>
      </c>
    </row>
    <row r="650" spans="1:13" s="33" customFormat="true" ht="12.75" customHeight="true">
      <c r="A650" s="33" t="str">
        <f t="shared" si="40"/>
        <v>DOL - Fixed Assets</v>
      </c>
      <c r="B650" s="33" t="str">
        <f t="shared" si="41"/>
        <v>DOL</v>
      </c>
      <c r="C650" s="33" t="str">
        <f t="shared" si="42"/>
        <v>15500-0000</v>
      </c>
      <c r="D650" s="64" t="s">
        <v>920</v>
      </c>
      <c r="E650" s="64" t="s">
        <v>302</v>
      </c>
      <c r="F650" s="64" t="s">
        <v>230</v>
      </c>
      <c r="G650" s="64" t="s">
        <v>62</v>
      </c>
      <c r="H650" s="64" t="s">
        <v>63</v>
      </c>
      <c r="I650" s="64" t="s">
        <v>64</v>
      </c>
      <c r="J650" s="67">
        <v>0</v>
      </c>
      <c r="K650" s="62">
        <v>92236.77</v>
      </c>
      <c r="L650" s="33" t="e">
        <f>HLOOKUP(B650,#REF!,1,0)</f>
        <v>#REF!</v>
      </c>
      <c r="M650" s="33" t="str">
        <f t="shared" si="43"/>
        <v>BS</v>
      </c>
    </row>
    <row r="651" spans="1:13" s="33" customFormat="true" ht="12.75" customHeight="true">
      <c r="A651" s="33" t="str">
        <f t="shared" si="40"/>
        <v>DOL - Fixed Assets</v>
      </c>
      <c r="B651" s="33" t="str">
        <f t="shared" si="41"/>
        <v>DOL</v>
      </c>
      <c r="C651" s="33" t="str">
        <f t="shared" si="42"/>
        <v>17000-0000</v>
      </c>
      <c r="D651" s="64" t="s">
        <v>921</v>
      </c>
      <c r="E651" s="64" t="s">
        <v>306</v>
      </c>
      <c r="F651" s="64" t="s">
        <v>230</v>
      </c>
      <c r="G651" s="64" t="s">
        <v>62</v>
      </c>
      <c r="H651" s="64" t="s">
        <v>63</v>
      </c>
      <c r="I651" s="64" t="s">
        <v>64</v>
      </c>
      <c r="J651" s="67">
        <v>0</v>
      </c>
      <c r="K651" s="62">
        <v>-789137</v>
      </c>
      <c r="L651" s="33" t="e">
        <f>HLOOKUP(B651,#REF!,1,0)</f>
        <v>#REF!</v>
      </c>
      <c r="M651" s="33" t="str">
        <f t="shared" si="43"/>
        <v>BS</v>
      </c>
    </row>
    <row r="652" spans="1:13" s="33" customFormat="true" ht="12.75" customHeight="true">
      <c r="A652" s="33" t="str">
        <f t="shared" si="40"/>
        <v>DOL - Fixed Assets</v>
      </c>
      <c r="B652" s="33" t="str">
        <f t="shared" si="41"/>
        <v>DOL</v>
      </c>
      <c r="C652" s="33" t="str">
        <f t="shared" si="42"/>
        <v>18000-0000</v>
      </c>
      <c r="D652" s="64" t="s">
        <v>922</v>
      </c>
      <c r="E652" s="64" t="s">
        <v>308</v>
      </c>
      <c r="F652" s="64" t="s">
        <v>230</v>
      </c>
      <c r="G652" s="64" t="s">
        <v>62</v>
      </c>
      <c r="H652" s="64" t="s">
        <v>63</v>
      </c>
      <c r="I652" s="64" t="s">
        <v>64</v>
      </c>
      <c r="J652" s="67">
        <v>0</v>
      </c>
      <c r="K652" s="62">
        <v>-13092</v>
      </c>
      <c r="L652" s="33" t="e">
        <f>HLOOKUP(B652,#REF!,1,0)</f>
        <v>#REF!</v>
      </c>
      <c r="M652" s="33" t="str">
        <f t="shared" si="43"/>
        <v>BS</v>
      </c>
    </row>
    <row r="653" spans="1:13" s="33" customFormat="true" ht="12.75" customHeight="true">
      <c r="A653" s="33" t="str">
        <f t="shared" si="40"/>
        <v>DOL - Deposits</v>
      </c>
      <c r="B653" s="33" t="str">
        <f t="shared" si="41"/>
        <v>DOL</v>
      </c>
      <c r="C653" s="33" t="str">
        <f t="shared" si="42"/>
        <v>19000-0000</v>
      </c>
      <c r="D653" s="64" t="s">
        <v>923</v>
      </c>
      <c r="E653" s="64" t="s">
        <v>342</v>
      </c>
      <c r="F653" s="64" t="s">
        <v>230</v>
      </c>
      <c r="G653" s="64" t="s">
        <v>62</v>
      </c>
      <c r="H653" s="64" t="s">
        <v>80</v>
      </c>
      <c r="I653" s="64" t="s">
        <v>81</v>
      </c>
      <c r="J653" s="67">
        <v>0</v>
      </c>
      <c r="K653" s="62">
        <v>281000</v>
      </c>
      <c r="L653" s="33" t="e">
        <f>HLOOKUP(B653,#REF!,1,0)</f>
        <v>#REF!</v>
      </c>
      <c r="M653" s="33" t="str">
        <f t="shared" si="43"/>
        <v>BS</v>
      </c>
    </row>
    <row r="654" spans="1:13" s="33" customFormat="true" ht="12.75" customHeight="true">
      <c r="A654" s="33" t="str">
        <f t="shared" si="40"/>
        <v>DOL - Deposits</v>
      </c>
      <c r="B654" s="33" t="str">
        <f t="shared" si="41"/>
        <v>DOL</v>
      </c>
      <c r="C654" s="33" t="str">
        <f t="shared" si="42"/>
        <v>19001-0000</v>
      </c>
      <c r="D654" s="64" t="s">
        <v>924</v>
      </c>
      <c r="E654" s="64" t="s">
        <v>344</v>
      </c>
      <c r="F654" s="64" t="s">
        <v>230</v>
      </c>
      <c r="G654" s="64" t="s">
        <v>62</v>
      </c>
      <c r="H654" s="64" t="s">
        <v>80</v>
      </c>
      <c r="I654" s="64" t="s">
        <v>81</v>
      </c>
      <c r="J654" s="67">
        <v>0</v>
      </c>
      <c r="K654" s="62">
        <v>20600</v>
      </c>
      <c r="L654" s="33" t="e">
        <f>HLOOKUP(B654,#REF!,1,0)</f>
        <v>#REF!</v>
      </c>
      <c r="M654" s="33" t="str">
        <f t="shared" si="43"/>
        <v>BS</v>
      </c>
    </row>
    <row r="655" spans="1:13" s="33" customFormat="true" ht="12.75" customHeight="true">
      <c r="A655" s="33" t="str">
        <f t="shared" si="40"/>
        <v>DOL - AP-Accr Exp</v>
      </c>
      <c r="B655" s="33" t="str">
        <f t="shared" si="41"/>
        <v>DOL</v>
      </c>
      <c r="C655" s="33" t="str">
        <f t="shared" si="42"/>
        <v>20001-0000</v>
      </c>
      <c r="D655" s="64" t="s">
        <v>925</v>
      </c>
      <c r="E655" s="64" t="s">
        <v>96</v>
      </c>
      <c r="F655" s="64" t="s">
        <v>230</v>
      </c>
      <c r="G655" s="64" t="s">
        <v>97</v>
      </c>
      <c r="H655" s="64" t="s">
        <v>98</v>
      </c>
      <c r="I655" s="64" t="s">
        <v>99</v>
      </c>
      <c r="J655" s="67">
        <v>872.85</v>
      </c>
      <c r="K655" s="62">
        <v>0</v>
      </c>
      <c r="L655" s="33" t="e">
        <f>HLOOKUP(B655,#REF!,1,0)</f>
        <v>#REF!</v>
      </c>
      <c r="M655" s="33" t="str">
        <f t="shared" si="43"/>
        <v>BS</v>
      </c>
    </row>
    <row r="656" spans="1:13" s="33" customFormat="true" ht="12.75" customHeight="true">
      <c r="A656" s="33" t="str">
        <f t="shared" si="40"/>
        <v>DOL - AP-Accr Exp</v>
      </c>
      <c r="B656" s="33" t="str">
        <f t="shared" si="41"/>
        <v>DOL</v>
      </c>
      <c r="C656" s="33" t="str">
        <f t="shared" si="42"/>
        <v>23509-0000</v>
      </c>
      <c r="D656" s="64" t="s">
        <v>926</v>
      </c>
      <c r="E656" s="64" t="s">
        <v>111</v>
      </c>
      <c r="F656" s="64" t="s">
        <v>230</v>
      </c>
      <c r="G656" s="64" t="s">
        <v>97</v>
      </c>
      <c r="H656" s="64" t="s">
        <v>98</v>
      </c>
      <c r="I656" s="64" t="s">
        <v>102</v>
      </c>
      <c r="J656" s="67">
        <v>0</v>
      </c>
      <c r="K656" s="62">
        <v>0</v>
      </c>
      <c r="L656" s="33" t="e">
        <f>HLOOKUP(B656,#REF!,1,0)</f>
        <v>#REF!</v>
      </c>
      <c r="M656" s="33" t="str">
        <f t="shared" si="43"/>
        <v>BS</v>
      </c>
    </row>
    <row r="657" spans="1:13" s="33" customFormat="true" ht="12.75" customHeight="true">
      <c r="A657" s="33" t="str">
        <f t="shared" si="40"/>
        <v>DOL - AP-Accr Exp</v>
      </c>
      <c r="B657" s="33" t="str">
        <f t="shared" si="41"/>
        <v>DOL</v>
      </c>
      <c r="C657" s="33" t="str">
        <f t="shared" si="42"/>
        <v>24800-0000</v>
      </c>
      <c r="D657" s="64" t="s">
        <v>927</v>
      </c>
      <c r="E657" s="64" t="s">
        <v>232</v>
      </c>
      <c r="F657" s="64" t="s">
        <v>230</v>
      </c>
      <c r="G657" s="64" t="s">
        <v>97</v>
      </c>
      <c r="H657" s="64" t="s">
        <v>98</v>
      </c>
      <c r="I657" s="64" t="s">
        <v>102</v>
      </c>
      <c r="J657" s="67">
        <v>0</v>
      </c>
      <c r="K657" s="62">
        <v>-52260</v>
      </c>
      <c r="L657" s="33" t="e">
        <f>HLOOKUP(B657,#REF!,1,0)</f>
        <v>#REF!</v>
      </c>
      <c r="M657" s="33" t="str">
        <f t="shared" si="43"/>
        <v>BS</v>
      </c>
    </row>
    <row r="658" spans="1:13" s="33" customFormat="true" ht="12.75" customHeight="true">
      <c r="A658" s="33" t="str">
        <f t="shared" si="40"/>
        <v>DOL - InterCo Notes</v>
      </c>
      <c r="B658" s="33" t="str">
        <f t="shared" si="41"/>
        <v>DOL</v>
      </c>
      <c r="C658" s="33" t="str">
        <f t="shared" si="42"/>
        <v>25000-0000</v>
      </c>
      <c r="D658" s="64" t="s">
        <v>928</v>
      </c>
      <c r="E658" s="64" t="s">
        <v>314</v>
      </c>
      <c r="F658" s="64" t="s">
        <v>230</v>
      </c>
      <c r="G658" s="64" t="s">
        <v>16</v>
      </c>
      <c r="H658" s="64" t="s">
        <v>315</v>
      </c>
      <c r="I658" s="64" t="s">
        <v>40</v>
      </c>
      <c r="J658" s="67">
        <v>0</v>
      </c>
      <c r="K658" s="62">
        <v>-1684000</v>
      </c>
      <c r="L658" s="33" t="e">
        <f>HLOOKUP(B658,#REF!,1,0)</f>
        <v>#REF!</v>
      </c>
      <c r="M658" s="33" t="str">
        <f t="shared" si="43"/>
        <v>BS</v>
      </c>
    </row>
    <row r="659" spans="1:13" s="33" customFormat="true" ht="12.75" customHeight="true">
      <c r="A659" s="33" t="str">
        <f t="shared" si="40"/>
        <v>DOL - Principal</v>
      </c>
      <c r="B659" s="33" t="str">
        <f t="shared" si="41"/>
        <v>DOL</v>
      </c>
      <c r="C659" s="33" t="str">
        <f t="shared" si="42"/>
        <v>28001-0000</v>
      </c>
      <c r="D659" s="64" t="s">
        <v>929</v>
      </c>
      <c r="E659" s="64" t="s">
        <v>352</v>
      </c>
      <c r="F659" s="64" t="s">
        <v>230</v>
      </c>
      <c r="G659" s="64" t="s">
        <v>123</v>
      </c>
      <c r="H659" s="64" t="s">
        <v>127</v>
      </c>
      <c r="I659" s="64" t="s">
        <v>133</v>
      </c>
      <c r="J659" s="67">
        <v>11759.77</v>
      </c>
      <c r="K659" s="62">
        <v>-5214646.21</v>
      </c>
      <c r="L659" s="33" t="e">
        <f>HLOOKUP(B659,#REF!,1,0)</f>
        <v>#REF!</v>
      </c>
      <c r="M659" s="33" t="str">
        <f t="shared" si="43"/>
        <v>BS</v>
      </c>
    </row>
    <row r="660" spans="1:13" s="33" customFormat="true" ht="12.75" customHeight="true">
      <c r="A660" s="33" t="str">
        <f t="shared" si="40"/>
        <v>DOL - SH Dist</v>
      </c>
      <c r="B660" s="33" t="str">
        <f t="shared" si="41"/>
        <v>DOL</v>
      </c>
      <c r="C660" s="33" t="str">
        <f t="shared" si="42"/>
        <v>30700-0000</v>
      </c>
      <c r="D660" s="64" t="s">
        <v>930</v>
      </c>
      <c r="E660" s="64" t="s">
        <v>319</v>
      </c>
      <c r="F660" s="64" t="s">
        <v>230</v>
      </c>
      <c r="G660" s="64" t="s">
        <v>142</v>
      </c>
      <c r="H660" s="64" t="s">
        <v>143</v>
      </c>
      <c r="I660" s="64" t="s">
        <v>144</v>
      </c>
      <c r="J660" s="67">
        <v>0</v>
      </c>
      <c r="K660" s="62">
        <v>-449300</v>
      </c>
      <c r="L660" s="33" t="e">
        <f>HLOOKUP(B660,#REF!,1,0)</f>
        <v>#REF!</v>
      </c>
      <c r="M660" s="33" t="str">
        <f t="shared" si="43"/>
        <v>BS</v>
      </c>
    </row>
    <row r="661" spans="1:13" s="33" customFormat="true" ht="12.75" customHeight="true">
      <c r="A661" s="33" t="str">
        <f t="shared" si="40"/>
        <v>DOL - Retained Earnings</v>
      </c>
      <c r="B661" s="33" t="str">
        <f t="shared" si="41"/>
        <v>DOL</v>
      </c>
      <c r="C661" s="33" t="str">
        <f t="shared" si="42"/>
        <v>32000-0000</v>
      </c>
      <c r="D661" s="64" t="s">
        <v>931</v>
      </c>
      <c r="E661" s="64" t="s">
        <v>234</v>
      </c>
      <c r="F661" s="64" t="s">
        <v>230</v>
      </c>
      <c r="G661" s="64" t="s">
        <v>142</v>
      </c>
      <c r="H661" s="64" t="s">
        <v>149</v>
      </c>
      <c r="I661" s="64" t="s">
        <v>235</v>
      </c>
      <c r="J661" s="67">
        <v>0</v>
      </c>
      <c r="K661" s="62">
        <v>-162029.08</v>
      </c>
      <c r="L661" s="33" t="e">
        <f>HLOOKUP(B661,#REF!,1,0)</f>
        <v>#REF!</v>
      </c>
      <c r="M661" s="33" t="str">
        <f t="shared" si="43"/>
        <v>BS</v>
      </c>
    </row>
    <row r="662" spans="1:13" s="33" customFormat="true" ht="12.75" customHeight="true">
      <c r="A662" s="33" t="str">
        <f t="shared" si="40"/>
        <v>DPH - Cash</v>
      </c>
      <c r="B662" s="33" t="str">
        <f t="shared" si="41"/>
        <v>DPH</v>
      </c>
      <c r="C662" s="33" t="str">
        <f t="shared" si="42"/>
        <v>10001-0000</v>
      </c>
      <c r="D662" s="64" t="s">
        <v>932</v>
      </c>
      <c r="E662" s="64" t="s">
        <v>240</v>
      </c>
      <c r="F662" s="64" t="s">
        <v>230</v>
      </c>
      <c r="G662" s="64" t="s">
        <v>16</v>
      </c>
      <c r="H662" s="64" t="s">
        <v>25</v>
      </c>
      <c r="I662" s="64" t="s">
        <v>18</v>
      </c>
      <c r="J662" s="67">
        <v>0</v>
      </c>
      <c r="K662" s="62">
        <v>0</v>
      </c>
      <c r="L662" s="33" t="e">
        <f>HLOOKUP(B662,#REF!,1,0)</f>
        <v>#REF!</v>
      </c>
      <c r="M662" s="33" t="str">
        <f t="shared" si="43"/>
        <v>BS</v>
      </c>
    </row>
    <row r="663" spans="1:13" s="33" customFormat="true" ht="12.75" customHeight="true">
      <c r="A663" s="33" t="str">
        <f t="shared" si="40"/>
        <v>DPH - Intercompany</v>
      </c>
      <c r="B663" s="33" t="str">
        <f t="shared" si="41"/>
        <v>DPH</v>
      </c>
      <c r="C663" s="33" t="str">
        <f t="shared" si="42"/>
        <v>11216-0000</v>
      </c>
      <c r="D663" s="64" t="s">
        <v>933</v>
      </c>
      <c r="E663" s="64" t="s">
        <v>242</v>
      </c>
      <c r="F663" s="64" t="s">
        <v>230</v>
      </c>
      <c r="G663" s="64" t="s">
        <v>16</v>
      </c>
      <c r="H663" s="64" t="s">
        <v>39</v>
      </c>
      <c r="I663" s="64" t="s">
        <v>40</v>
      </c>
      <c r="J663" s="67">
        <v>0</v>
      </c>
      <c r="K663" s="62">
        <v>-200.4</v>
      </c>
      <c r="L663" s="33" t="e">
        <f>HLOOKUP(B663,#REF!,1,0)</f>
        <v>#REF!</v>
      </c>
      <c r="M663" s="33" t="str">
        <f t="shared" si="43"/>
        <v>BS</v>
      </c>
    </row>
    <row r="664" spans="1:13" s="33" customFormat="true" ht="12.75" customHeight="true">
      <c r="A664" s="33" t="str">
        <f t="shared" si="40"/>
        <v>DPH - Intercompany</v>
      </c>
      <c r="B664" s="33" t="str">
        <f t="shared" si="41"/>
        <v>DPH</v>
      </c>
      <c r="C664" s="33" t="str">
        <f t="shared" si="42"/>
        <v>11312-0000</v>
      </c>
      <c r="D664" s="64" t="s">
        <v>934</v>
      </c>
      <c r="E664" s="64" t="s">
        <v>935</v>
      </c>
      <c r="F664" s="64" t="s">
        <v>230</v>
      </c>
      <c r="G664" s="64" t="s">
        <v>16</v>
      </c>
      <c r="H664" s="64" t="s">
        <v>39</v>
      </c>
      <c r="I664" s="64" t="s">
        <v>40</v>
      </c>
      <c r="J664" s="67">
        <v>0</v>
      </c>
      <c r="K664" s="62">
        <v>-1492338.4</v>
      </c>
      <c r="L664" s="33" t="e">
        <f>HLOOKUP(B664,#REF!,1,0)</f>
        <v>#REF!</v>
      </c>
      <c r="M664" s="33" t="str">
        <f t="shared" si="43"/>
        <v>BS</v>
      </c>
    </row>
    <row r="665" spans="1:13" s="33" customFormat="true" ht="12.75" customHeight="true">
      <c r="A665" s="33" t="str">
        <f t="shared" si="40"/>
        <v>DPH - Intercompany</v>
      </c>
      <c r="B665" s="33" t="str">
        <f t="shared" si="41"/>
        <v>DPH</v>
      </c>
      <c r="C665" s="33" t="str">
        <f t="shared" si="42"/>
        <v>11331-0000</v>
      </c>
      <c r="D665" s="64" t="s">
        <v>936</v>
      </c>
      <c r="E665" s="64" t="s">
        <v>379</v>
      </c>
      <c r="F665" s="64" t="s">
        <v>230</v>
      </c>
      <c r="G665" s="64" t="s">
        <v>16</v>
      </c>
      <c r="H665" s="64" t="s">
        <v>39</v>
      </c>
      <c r="I665" s="64" t="s">
        <v>40</v>
      </c>
      <c r="J665" s="67">
        <v>0</v>
      </c>
      <c r="K665" s="62">
        <v>-1352686.47</v>
      </c>
      <c r="L665" s="33" t="e">
        <f>HLOOKUP(B665,#REF!,1,0)</f>
        <v>#REF!</v>
      </c>
      <c r="M665" s="33" t="str">
        <f t="shared" si="43"/>
        <v>BS</v>
      </c>
    </row>
    <row r="666" spans="1:13" s="33" customFormat="true" ht="12.75" customHeight="true">
      <c r="A666" s="33" t="str">
        <f t="shared" si="40"/>
        <v>DPH - Total Assets</v>
      </c>
      <c r="B666" s="33" t="str">
        <f t="shared" si="41"/>
        <v>DPH</v>
      </c>
      <c r="C666" s="33" t="str">
        <f t="shared" si="42"/>
        <v>15500-0000</v>
      </c>
      <c r="D666" s="64" t="s">
        <v>937</v>
      </c>
      <c r="E666" s="64" t="s">
        <v>302</v>
      </c>
      <c r="F666" s="64" t="s">
        <v>230</v>
      </c>
      <c r="G666" s="64" t="s">
        <v>62</v>
      </c>
      <c r="H666" s="64" t="s">
        <v>62</v>
      </c>
      <c r="I666" s="64" t="s">
        <v>64</v>
      </c>
      <c r="J666" s="67">
        <v>0</v>
      </c>
      <c r="K666" s="62">
        <v>12601.79</v>
      </c>
      <c r="L666" s="33" t="e">
        <f>HLOOKUP(B666,#REF!,1,0)</f>
        <v>#REF!</v>
      </c>
      <c r="M666" s="33" t="str">
        <f t="shared" si="43"/>
        <v>BS</v>
      </c>
    </row>
    <row r="667" spans="1:13" s="33" customFormat="true" ht="12.75" customHeight="true">
      <c r="A667" s="33" t="str">
        <f t="shared" si="40"/>
        <v>DPH - Fixed Assets</v>
      </c>
      <c r="B667" s="33" t="str">
        <f t="shared" si="41"/>
        <v>DPH</v>
      </c>
      <c r="C667" s="33" t="str">
        <f t="shared" si="42"/>
        <v>17000-0000</v>
      </c>
      <c r="D667" s="64" t="s">
        <v>938</v>
      </c>
      <c r="E667" s="64" t="s">
        <v>306</v>
      </c>
      <c r="F667" s="64" t="s">
        <v>230</v>
      </c>
      <c r="G667" s="64" t="s">
        <v>62</v>
      </c>
      <c r="H667" s="64" t="s">
        <v>63</v>
      </c>
      <c r="I667" s="64" t="s">
        <v>64</v>
      </c>
      <c r="J667" s="67">
        <v>0</v>
      </c>
      <c r="K667" s="62">
        <v>-100316</v>
      </c>
      <c r="L667" s="33" t="e">
        <f>HLOOKUP(B667,#REF!,1,0)</f>
        <v>#REF!</v>
      </c>
      <c r="M667" s="33" t="str">
        <f t="shared" si="43"/>
        <v>BS</v>
      </c>
    </row>
    <row r="668" spans="1:13" s="33" customFormat="true" ht="12.75" customHeight="true">
      <c r="A668" s="33" t="str">
        <f t="shared" si="40"/>
        <v>DPH - Fixed Assets</v>
      </c>
      <c r="B668" s="33" t="str">
        <f t="shared" si="41"/>
        <v>DPH</v>
      </c>
      <c r="C668" s="33" t="str">
        <f t="shared" si="42"/>
        <v>18000-0000</v>
      </c>
      <c r="D668" s="64" t="s">
        <v>939</v>
      </c>
      <c r="E668" s="64" t="s">
        <v>308</v>
      </c>
      <c r="F668" s="64" t="s">
        <v>230</v>
      </c>
      <c r="G668" s="64" t="s">
        <v>62</v>
      </c>
      <c r="H668" s="64" t="s">
        <v>63</v>
      </c>
      <c r="I668" s="64" t="s">
        <v>64</v>
      </c>
      <c r="J668" s="67">
        <v>0</v>
      </c>
      <c r="K668" s="62">
        <v>-913</v>
      </c>
      <c r="L668" s="33" t="e">
        <f>HLOOKUP(B668,#REF!,1,0)</f>
        <v>#REF!</v>
      </c>
      <c r="M668" s="33" t="str">
        <f t="shared" si="43"/>
        <v>BS</v>
      </c>
    </row>
    <row r="669" spans="1:13" s="33" customFormat="true" ht="12.75" customHeight="true">
      <c r="A669" s="33" t="str">
        <f t="shared" si="40"/>
        <v>DPH - Deposits</v>
      </c>
      <c r="B669" s="33" t="str">
        <f t="shared" si="41"/>
        <v>DPH</v>
      </c>
      <c r="C669" s="33" t="str">
        <f t="shared" si="42"/>
        <v>19000-0000</v>
      </c>
      <c r="D669" s="64" t="s">
        <v>940</v>
      </c>
      <c r="E669" s="64" t="s">
        <v>342</v>
      </c>
      <c r="F669" s="64" t="s">
        <v>230</v>
      </c>
      <c r="G669" s="64" t="s">
        <v>62</v>
      </c>
      <c r="H669" s="64" t="s">
        <v>80</v>
      </c>
      <c r="I669" s="64" t="s">
        <v>81</v>
      </c>
      <c r="J669" s="67">
        <v>0</v>
      </c>
      <c r="K669" s="62">
        <v>-46369.05</v>
      </c>
      <c r="L669" s="33" t="e">
        <f>HLOOKUP(B669,#REF!,1,0)</f>
        <v>#REF!</v>
      </c>
      <c r="M669" s="33" t="str">
        <f t="shared" si="43"/>
        <v>BS</v>
      </c>
    </row>
    <row r="670" spans="1:13" s="33" customFormat="true" ht="12.75" customHeight="true">
      <c r="A670" s="33" t="str">
        <f t="shared" si="40"/>
        <v>DPH - Deposits</v>
      </c>
      <c r="B670" s="33" t="str">
        <f t="shared" si="41"/>
        <v>DPH</v>
      </c>
      <c r="C670" s="33" t="str">
        <f t="shared" si="42"/>
        <v>19001-0000</v>
      </c>
      <c r="D670" s="64" t="s">
        <v>941</v>
      </c>
      <c r="E670" s="64" t="s">
        <v>344</v>
      </c>
      <c r="F670" s="64" t="s">
        <v>230</v>
      </c>
      <c r="G670" s="64" t="s">
        <v>62</v>
      </c>
      <c r="H670" s="64" t="s">
        <v>80</v>
      </c>
      <c r="I670" s="64" t="s">
        <v>81</v>
      </c>
      <c r="J670" s="67">
        <v>0</v>
      </c>
      <c r="K670" s="62">
        <v>-0.13</v>
      </c>
      <c r="L670" s="33" t="e">
        <f>HLOOKUP(B670,#REF!,1,0)</f>
        <v>#REF!</v>
      </c>
      <c r="M670" s="33" t="str">
        <f t="shared" si="43"/>
        <v>BS</v>
      </c>
    </row>
    <row r="671" spans="1:13" s="33" customFormat="true" ht="12.75" customHeight="true">
      <c r="A671" s="33" t="str">
        <f t="shared" si="40"/>
        <v>DPH - AP-Accr Exp</v>
      </c>
      <c r="B671" s="33" t="str">
        <f t="shared" si="41"/>
        <v>DPH</v>
      </c>
      <c r="C671" s="33" t="str">
        <f t="shared" si="42"/>
        <v>20001-0000</v>
      </c>
      <c r="D671" s="64" t="s">
        <v>942</v>
      </c>
      <c r="E671" s="64" t="s">
        <v>96</v>
      </c>
      <c r="F671" s="64" t="s">
        <v>230</v>
      </c>
      <c r="G671" s="64" t="s">
        <v>97</v>
      </c>
      <c r="H671" s="64" t="s">
        <v>98</v>
      </c>
      <c r="I671" s="64" t="s">
        <v>99</v>
      </c>
      <c r="J671" s="67">
        <v>0</v>
      </c>
      <c r="K671" s="62">
        <v>0</v>
      </c>
      <c r="L671" s="33" t="e">
        <f>HLOOKUP(B671,#REF!,1,0)</f>
        <v>#REF!</v>
      </c>
      <c r="M671" s="33" t="str">
        <f t="shared" si="43"/>
        <v>BS</v>
      </c>
    </row>
    <row r="672" spans="1:13" s="33" customFormat="true" ht="12.75" customHeight="true">
      <c r="A672" s="33" t="str">
        <f t="shared" si="40"/>
        <v>DPH - AP-Accr Exp</v>
      </c>
      <c r="B672" s="33" t="str">
        <f t="shared" si="41"/>
        <v>DPH</v>
      </c>
      <c r="C672" s="33" t="str">
        <f t="shared" si="42"/>
        <v>23509-0000</v>
      </c>
      <c r="D672" s="64" t="s">
        <v>943</v>
      </c>
      <c r="E672" s="64" t="s">
        <v>111</v>
      </c>
      <c r="F672" s="64" t="s">
        <v>230</v>
      </c>
      <c r="G672" s="64" t="s">
        <v>97</v>
      </c>
      <c r="H672" s="64" t="s">
        <v>98</v>
      </c>
      <c r="I672" s="64" t="s">
        <v>102</v>
      </c>
      <c r="J672" s="67">
        <v>0</v>
      </c>
      <c r="K672" s="62">
        <v>216.67</v>
      </c>
      <c r="L672" s="33" t="e">
        <f>HLOOKUP(B672,#REF!,1,0)</f>
        <v>#REF!</v>
      </c>
      <c r="M672" s="33" t="str">
        <f t="shared" si="43"/>
        <v>BS</v>
      </c>
    </row>
    <row r="673" spans="1:13" s="33" customFormat="true" ht="12.75" customHeight="true">
      <c r="A673" s="33" t="str">
        <f t="shared" si="40"/>
        <v>DPH - AP-Accr Exp</v>
      </c>
      <c r="B673" s="33" t="str">
        <f t="shared" si="41"/>
        <v>DPH</v>
      </c>
      <c r="C673" s="33" t="str">
        <f t="shared" si="42"/>
        <v>24800-0000</v>
      </c>
      <c r="D673" s="64" t="s">
        <v>944</v>
      </c>
      <c r="E673" s="64" t="s">
        <v>232</v>
      </c>
      <c r="F673" s="64" t="s">
        <v>230</v>
      </c>
      <c r="G673" s="64" t="s">
        <v>97</v>
      </c>
      <c r="H673" s="64" t="s">
        <v>98</v>
      </c>
      <c r="I673" s="64" t="s">
        <v>102</v>
      </c>
      <c r="J673" s="67">
        <v>0</v>
      </c>
      <c r="K673" s="62">
        <v>0</v>
      </c>
      <c r="L673" s="33" t="e">
        <f>HLOOKUP(B673,#REF!,1,0)</f>
        <v>#REF!</v>
      </c>
      <c r="M673" s="33" t="str">
        <f t="shared" si="43"/>
        <v>BS</v>
      </c>
    </row>
    <row r="674" spans="1:13" s="33" customFormat="true" ht="12.75" customHeight="true">
      <c r="A674" s="33" t="str">
        <f t="shared" si="40"/>
        <v>DPH - InterCo Notes</v>
      </c>
      <c r="B674" s="33" t="str">
        <f t="shared" si="41"/>
        <v>DPH</v>
      </c>
      <c r="C674" s="33" t="str">
        <f t="shared" si="42"/>
        <v>25100-0000</v>
      </c>
      <c r="D674" s="64" t="s">
        <v>945</v>
      </c>
      <c r="E674" s="64" t="s">
        <v>430</v>
      </c>
      <c r="F674" s="64" t="s">
        <v>230</v>
      </c>
      <c r="G674" s="64" t="s">
        <v>16</v>
      </c>
      <c r="H674" s="64" t="s">
        <v>315</v>
      </c>
      <c r="I674" s="64" t="s">
        <v>40</v>
      </c>
      <c r="J674" s="67">
        <v>0</v>
      </c>
      <c r="K674" s="62">
        <v>-75000</v>
      </c>
      <c r="L674" s="33" t="e">
        <f>HLOOKUP(B674,#REF!,1,0)</f>
        <v>#REF!</v>
      </c>
      <c r="M674" s="33" t="str">
        <f t="shared" si="43"/>
        <v>BS</v>
      </c>
    </row>
    <row r="675" spans="1:13" s="33" customFormat="true" ht="12.75" customHeight="true">
      <c r="A675" s="33" t="str">
        <f t="shared" si="40"/>
        <v>DPH - SH Dist</v>
      </c>
      <c r="B675" s="33" t="str">
        <f t="shared" si="41"/>
        <v>DPH</v>
      </c>
      <c r="C675" s="33" t="str">
        <f t="shared" si="42"/>
        <v>30700-0000</v>
      </c>
      <c r="D675" s="64" t="s">
        <v>946</v>
      </c>
      <c r="E675" s="64" t="s">
        <v>319</v>
      </c>
      <c r="F675" s="64" t="s">
        <v>230</v>
      </c>
      <c r="G675" s="64" t="s">
        <v>142</v>
      </c>
      <c r="H675" s="64" t="s">
        <v>143</v>
      </c>
      <c r="I675" s="64" t="s">
        <v>144</v>
      </c>
      <c r="J675" s="67">
        <v>0</v>
      </c>
      <c r="K675" s="62">
        <v>211498.56</v>
      </c>
      <c r="L675" s="33" t="e">
        <f>HLOOKUP(B675,#REF!,1,0)</f>
        <v>#REF!</v>
      </c>
      <c r="M675" s="33" t="str">
        <f t="shared" si="43"/>
        <v>BS</v>
      </c>
    </row>
    <row r="676" spans="1:13" s="33" customFormat="true" ht="12.75" customHeight="true">
      <c r="A676" s="33" t="str">
        <f t="shared" si="40"/>
        <v>DPH - Retained Earnings</v>
      </c>
      <c r="B676" s="33" t="str">
        <f t="shared" si="41"/>
        <v>DPH</v>
      </c>
      <c r="C676" s="33" t="str">
        <f t="shared" si="42"/>
        <v>32000-0000</v>
      </c>
      <c r="D676" s="64" t="s">
        <v>947</v>
      </c>
      <c r="E676" s="64" t="s">
        <v>234</v>
      </c>
      <c r="F676" s="64" t="s">
        <v>230</v>
      </c>
      <c r="G676" s="64" t="s">
        <v>142</v>
      </c>
      <c r="H676" s="64" t="s">
        <v>149</v>
      </c>
      <c r="I676" s="64" t="s">
        <v>235</v>
      </c>
      <c r="J676" s="67">
        <v>0</v>
      </c>
      <c r="K676" s="62">
        <v>-1874864.53</v>
      </c>
      <c r="L676" s="33" t="e">
        <f>HLOOKUP(B676,#REF!,1,0)</f>
        <v>#REF!</v>
      </c>
      <c r="M676" s="33" t="str">
        <f t="shared" si="43"/>
        <v>BS</v>
      </c>
    </row>
    <row r="677" spans="1:13" s="33" customFormat="true" ht="12.75" customHeight="true">
      <c r="A677" s="33" t="str">
        <f t="shared" si="40"/>
        <v>DPI - Cash</v>
      </c>
      <c r="B677" s="33" t="str">
        <f t="shared" si="41"/>
        <v>DPI</v>
      </c>
      <c r="C677" s="33" t="str">
        <f t="shared" si="42"/>
        <v>10001-0000</v>
      </c>
      <c r="D677" s="64" t="s">
        <v>948</v>
      </c>
      <c r="E677" s="64" t="s">
        <v>240</v>
      </c>
      <c r="F677" s="64" t="s">
        <v>230</v>
      </c>
      <c r="G677" s="64" t="s">
        <v>16</v>
      </c>
      <c r="H677" s="64" t="s">
        <v>25</v>
      </c>
      <c r="I677" s="64" t="s">
        <v>18</v>
      </c>
      <c r="J677" s="67">
        <v>5177.57</v>
      </c>
      <c r="K677" s="62">
        <v>44182.23</v>
      </c>
      <c r="L677" s="33" t="e">
        <f>HLOOKUP(B677,#REF!,1,0)</f>
        <v>#REF!</v>
      </c>
      <c r="M677" s="33" t="str">
        <f t="shared" si="43"/>
        <v>BS</v>
      </c>
    </row>
    <row r="678" spans="1:13" s="33" customFormat="true" ht="12.75" customHeight="true">
      <c r="A678" s="33" t="str">
        <f t="shared" si="40"/>
        <v>DPI - Intercompany</v>
      </c>
      <c r="B678" s="33" t="str">
        <f t="shared" si="41"/>
        <v>DPI</v>
      </c>
      <c r="C678" s="33" t="str">
        <f t="shared" si="42"/>
        <v>11216-0000</v>
      </c>
      <c r="D678" s="64" t="s">
        <v>949</v>
      </c>
      <c r="E678" s="64" t="s">
        <v>242</v>
      </c>
      <c r="F678" s="64" t="s">
        <v>230</v>
      </c>
      <c r="G678" s="64" t="s">
        <v>16</v>
      </c>
      <c r="H678" s="64" t="s">
        <v>39</v>
      </c>
      <c r="I678" s="64" t="s">
        <v>40</v>
      </c>
      <c r="J678" s="67">
        <v>-367.41</v>
      </c>
      <c r="K678" s="62">
        <v>-17163.25</v>
      </c>
      <c r="L678" s="33" t="e">
        <f>HLOOKUP(B678,#REF!,1,0)</f>
        <v>#REF!</v>
      </c>
      <c r="M678" s="33" t="str">
        <f t="shared" si="43"/>
        <v>BS</v>
      </c>
    </row>
    <row r="679" spans="1:13" s="33" customFormat="true" ht="12.75" customHeight="true">
      <c r="A679" s="33" t="str">
        <f t="shared" si="40"/>
        <v>DPI - Intercompany</v>
      </c>
      <c r="B679" s="33" t="str">
        <f t="shared" si="41"/>
        <v>DPI</v>
      </c>
      <c r="C679" s="33" t="str">
        <f t="shared" si="42"/>
        <v>11303-0000</v>
      </c>
      <c r="D679" s="64" t="s">
        <v>950</v>
      </c>
      <c r="E679" s="64" t="s">
        <v>248</v>
      </c>
      <c r="F679" s="64" t="s">
        <v>230</v>
      </c>
      <c r="G679" s="64" t="s">
        <v>16</v>
      </c>
      <c r="H679" s="64" t="s">
        <v>39</v>
      </c>
      <c r="I679" s="64" t="s">
        <v>40</v>
      </c>
      <c r="J679" s="67">
        <v>0</v>
      </c>
      <c r="K679" s="62">
        <v>10000</v>
      </c>
      <c r="L679" s="33" t="e">
        <f>HLOOKUP(B679,#REF!,1,0)</f>
        <v>#REF!</v>
      </c>
      <c r="M679" s="33" t="str">
        <f t="shared" si="43"/>
        <v>BS</v>
      </c>
    </row>
    <row r="680" spans="1:13" s="33" customFormat="true" ht="12.75" customHeight="true">
      <c r="A680" s="33" t="str">
        <f t="shared" si="40"/>
        <v>DPI - Intercompany</v>
      </c>
      <c r="B680" s="33" t="str">
        <f t="shared" si="41"/>
        <v>DPI</v>
      </c>
      <c r="C680" s="33" t="str">
        <f t="shared" si="42"/>
        <v>11305-0000</v>
      </c>
      <c r="D680" s="64" t="s">
        <v>951</v>
      </c>
      <c r="E680" s="64" t="s">
        <v>252</v>
      </c>
      <c r="F680" s="64" t="s">
        <v>230</v>
      </c>
      <c r="G680" s="64" t="s">
        <v>16</v>
      </c>
      <c r="H680" s="64" t="s">
        <v>39</v>
      </c>
      <c r="I680" s="64" t="s">
        <v>40</v>
      </c>
      <c r="J680" s="67">
        <v>0</v>
      </c>
      <c r="K680" s="62">
        <v>-20000</v>
      </c>
      <c r="L680" s="33" t="e">
        <f>HLOOKUP(B680,#REF!,1,0)</f>
        <v>#REF!</v>
      </c>
      <c r="M680" s="33" t="str">
        <f t="shared" si="43"/>
        <v>BS</v>
      </c>
    </row>
    <row r="681" spans="1:13" s="33" customFormat="true" ht="12.75" customHeight="true">
      <c r="A681" s="33" t="str">
        <f t="shared" si="40"/>
        <v>DPI - Intercompany</v>
      </c>
      <c r="B681" s="33" t="str">
        <f t="shared" si="41"/>
        <v>DPI</v>
      </c>
      <c r="C681" s="33" t="str">
        <f t="shared" si="42"/>
        <v>11310-0000</v>
      </c>
      <c r="D681" s="64" t="s">
        <v>952</v>
      </c>
      <c r="E681" s="64" t="s">
        <v>256</v>
      </c>
      <c r="F681" s="64" t="s">
        <v>230</v>
      </c>
      <c r="G681" s="64" t="s">
        <v>16</v>
      </c>
      <c r="H681" s="64" t="s">
        <v>39</v>
      </c>
      <c r="I681" s="64" t="s">
        <v>40</v>
      </c>
      <c r="J681" s="67">
        <v>0</v>
      </c>
      <c r="K681" s="62">
        <v>-10000</v>
      </c>
      <c r="L681" s="33" t="e">
        <f>HLOOKUP(B681,#REF!,1,0)</f>
        <v>#REF!</v>
      </c>
      <c r="M681" s="33" t="str">
        <f t="shared" si="43"/>
        <v>BS</v>
      </c>
    </row>
    <row r="682" spans="1:13" s="33" customFormat="true" ht="12.75" customHeight="true">
      <c r="A682" s="33" t="str">
        <f t="shared" si="40"/>
        <v>DPI - Intercompany</v>
      </c>
      <c r="B682" s="33" t="str">
        <f t="shared" si="41"/>
        <v>DPI</v>
      </c>
      <c r="C682" s="33" t="str">
        <f t="shared" si="42"/>
        <v>11313-0000</v>
      </c>
      <c r="D682" s="64" t="s">
        <v>953</v>
      </c>
      <c r="E682" s="64" t="s">
        <v>260</v>
      </c>
      <c r="F682" s="64" t="s">
        <v>230</v>
      </c>
      <c r="G682" s="64" t="s">
        <v>16</v>
      </c>
      <c r="H682" s="64" t="s">
        <v>39</v>
      </c>
      <c r="I682" s="64" t="s">
        <v>40</v>
      </c>
      <c r="J682" s="67">
        <v>0</v>
      </c>
      <c r="K682" s="62">
        <v>-10000</v>
      </c>
      <c r="L682" s="33" t="e">
        <f>HLOOKUP(B682,#REF!,1,0)</f>
        <v>#REF!</v>
      </c>
      <c r="M682" s="33" t="str">
        <f t="shared" si="43"/>
        <v>BS</v>
      </c>
    </row>
    <row r="683" spans="1:13" s="33" customFormat="true" ht="12.75" customHeight="true">
      <c r="A683" s="33" t="str">
        <f t="shared" si="40"/>
        <v>DPI - Intercompany</v>
      </c>
      <c r="B683" s="33" t="str">
        <f t="shared" si="41"/>
        <v>DPI</v>
      </c>
      <c r="C683" s="33" t="str">
        <f t="shared" si="42"/>
        <v>11317-0000</v>
      </c>
      <c r="D683" s="64" t="s">
        <v>954</v>
      </c>
      <c r="E683" s="64" t="s">
        <v>368</v>
      </c>
      <c r="F683" s="64" t="s">
        <v>230</v>
      </c>
      <c r="G683" s="64" t="s">
        <v>16</v>
      </c>
      <c r="H683" s="64" t="s">
        <v>39</v>
      </c>
      <c r="I683" s="64" t="s">
        <v>40</v>
      </c>
      <c r="J683" s="67">
        <v>0</v>
      </c>
      <c r="K683" s="62">
        <v>-20000</v>
      </c>
      <c r="L683" s="33" t="e">
        <f>HLOOKUP(B683,#REF!,1,0)</f>
        <v>#REF!</v>
      </c>
      <c r="M683" s="33" t="str">
        <f t="shared" si="43"/>
        <v>BS</v>
      </c>
    </row>
    <row r="684" spans="1:13" s="33" customFormat="true" ht="12.75" customHeight="true">
      <c r="A684" s="33" t="str">
        <f t="shared" si="40"/>
        <v>DPI - Intercompany</v>
      </c>
      <c r="B684" s="33" t="str">
        <f t="shared" si="41"/>
        <v>DPI</v>
      </c>
      <c r="C684" s="33" t="str">
        <f t="shared" si="42"/>
        <v>11334-0000</v>
      </c>
      <c r="D684" s="64" t="s">
        <v>955</v>
      </c>
      <c r="E684" s="64" t="s">
        <v>333</v>
      </c>
      <c r="F684" s="64" t="s">
        <v>230</v>
      </c>
      <c r="G684" s="64" t="s">
        <v>16</v>
      </c>
      <c r="H684" s="64" t="s">
        <v>39</v>
      </c>
      <c r="I684" s="64" t="s">
        <v>40</v>
      </c>
      <c r="J684" s="67">
        <v>0</v>
      </c>
      <c r="K684" s="62">
        <v>5000</v>
      </c>
      <c r="L684" s="33" t="e">
        <f>HLOOKUP(B684,#REF!,1,0)</f>
        <v>#REF!</v>
      </c>
      <c r="M684" s="33" t="str">
        <f t="shared" si="43"/>
        <v>BS</v>
      </c>
    </row>
    <row r="685" spans="1:13" s="33" customFormat="true" ht="12.75" customHeight="true">
      <c r="A685" s="33" t="str">
        <f t="shared" si="40"/>
        <v>DPI - Intercompany</v>
      </c>
      <c r="B685" s="33" t="str">
        <f t="shared" si="41"/>
        <v>DPI</v>
      </c>
      <c r="C685" s="33" t="str">
        <f t="shared" si="42"/>
        <v>11336-0000</v>
      </c>
      <c r="D685" s="64" t="s">
        <v>956</v>
      </c>
      <c r="E685" s="64" t="s">
        <v>290</v>
      </c>
      <c r="F685" s="64" t="s">
        <v>230</v>
      </c>
      <c r="G685" s="64" t="s">
        <v>16</v>
      </c>
      <c r="H685" s="64" t="s">
        <v>39</v>
      </c>
      <c r="I685" s="64" t="s">
        <v>40</v>
      </c>
      <c r="J685" s="67">
        <v>0</v>
      </c>
      <c r="K685" s="62">
        <v>5000</v>
      </c>
      <c r="L685" s="33" t="e">
        <f>HLOOKUP(B685,#REF!,1,0)</f>
        <v>#REF!</v>
      </c>
      <c r="M685" s="33" t="str">
        <f t="shared" si="43"/>
        <v>BS</v>
      </c>
    </row>
    <row r="686" spans="1:13" s="33" customFormat="true" ht="12.75" customHeight="true">
      <c r="A686" s="33" t="str">
        <f t="shared" si="40"/>
        <v>DPI - Intercompany</v>
      </c>
      <c r="B686" s="33" t="str">
        <f t="shared" si="41"/>
        <v>DPI</v>
      </c>
      <c r="C686" s="33" t="str">
        <f t="shared" si="42"/>
        <v>11337-0000</v>
      </c>
      <c r="D686" s="64" t="s">
        <v>957</v>
      </c>
      <c r="E686" s="64" t="s">
        <v>292</v>
      </c>
      <c r="F686" s="64" t="s">
        <v>230</v>
      </c>
      <c r="G686" s="64" t="s">
        <v>16</v>
      </c>
      <c r="H686" s="64" t="s">
        <v>39</v>
      </c>
      <c r="I686" s="64" t="s">
        <v>40</v>
      </c>
      <c r="J686" s="67">
        <v>0</v>
      </c>
      <c r="K686" s="62">
        <v>5000</v>
      </c>
      <c r="L686" s="33" t="e">
        <f>HLOOKUP(B686,#REF!,1,0)</f>
        <v>#REF!</v>
      </c>
      <c r="M686" s="33" t="str">
        <f t="shared" si="43"/>
        <v>BS</v>
      </c>
    </row>
    <row r="687" spans="1:13" s="33" customFormat="true" ht="12.75" customHeight="true">
      <c r="A687" s="33" t="str">
        <f t="shared" si="40"/>
        <v>DPI - Intercompany</v>
      </c>
      <c r="B687" s="33" t="str">
        <f t="shared" si="41"/>
        <v>DPI</v>
      </c>
      <c r="C687" s="33" t="str">
        <f t="shared" si="42"/>
        <v>11402-0000</v>
      </c>
      <c r="D687" s="64" t="s">
        <v>958</v>
      </c>
      <c r="E687" s="64" t="s">
        <v>662</v>
      </c>
      <c r="F687" s="64" t="s">
        <v>230</v>
      </c>
      <c r="G687" s="64" t="s">
        <v>16</v>
      </c>
      <c r="H687" s="64" t="s">
        <v>39</v>
      </c>
      <c r="I687" s="64" t="s">
        <v>40</v>
      </c>
      <c r="J687" s="67">
        <v>0</v>
      </c>
      <c r="K687" s="62">
        <v>-455000</v>
      </c>
      <c r="L687" s="33" t="e">
        <f>HLOOKUP(B687,#REF!,1,0)</f>
        <v>#REF!</v>
      </c>
      <c r="M687" s="33" t="str">
        <f t="shared" si="43"/>
        <v>BS</v>
      </c>
    </row>
    <row r="688" spans="1:13" s="33" customFormat="true" ht="12.75" customHeight="true">
      <c r="A688" s="33" t="str">
        <f t="shared" si="40"/>
        <v>DPI - Fixed Assets</v>
      </c>
      <c r="B688" s="33" t="str">
        <f t="shared" si="41"/>
        <v>DPI</v>
      </c>
      <c r="C688" s="33" t="str">
        <f t="shared" si="42"/>
        <v>14000-0000</v>
      </c>
      <c r="D688" s="64" t="s">
        <v>959</v>
      </c>
      <c r="E688" s="64" t="s">
        <v>298</v>
      </c>
      <c r="F688" s="64" t="s">
        <v>230</v>
      </c>
      <c r="G688" s="64" t="s">
        <v>62</v>
      </c>
      <c r="H688" s="64" t="s">
        <v>63</v>
      </c>
      <c r="I688" s="64" t="s">
        <v>64</v>
      </c>
      <c r="J688" s="67">
        <v>0</v>
      </c>
      <c r="K688" s="62">
        <v>1433333.33</v>
      </c>
      <c r="L688" s="33" t="e">
        <f>HLOOKUP(B688,#REF!,1,0)</f>
        <v>#REF!</v>
      </c>
      <c r="M688" s="33" t="str">
        <f t="shared" si="43"/>
        <v>BS</v>
      </c>
    </row>
    <row r="689" spans="1:13" s="33" customFormat="true" ht="12.75" customHeight="true">
      <c r="A689" s="33" t="str">
        <f t="shared" si="40"/>
        <v>DPI - Fixed Assets</v>
      </c>
      <c r="B689" s="33" t="str">
        <f t="shared" si="41"/>
        <v>DPI</v>
      </c>
      <c r="C689" s="33" t="str">
        <f t="shared" si="42"/>
        <v>15000-0000</v>
      </c>
      <c r="D689" s="64" t="s">
        <v>960</v>
      </c>
      <c r="E689" s="64" t="s">
        <v>300</v>
      </c>
      <c r="F689" s="64" t="s">
        <v>230</v>
      </c>
      <c r="G689" s="64" t="s">
        <v>62</v>
      </c>
      <c r="H689" s="64" t="s">
        <v>63</v>
      </c>
      <c r="I689" s="64" t="s">
        <v>64</v>
      </c>
      <c r="J689" s="67">
        <v>0</v>
      </c>
      <c r="K689" s="62">
        <v>2866666.67</v>
      </c>
      <c r="L689" s="33" t="e">
        <f>HLOOKUP(B689,#REF!,1,0)</f>
        <v>#REF!</v>
      </c>
      <c r="M689" s="33" t="str">
        <f t="shared" si="43"/>
        <v>BS</v>
      </c>
    </row>
    <row r="690" spans="1:13" s="33" customFormat="true" ht="12.75" customHeight="true">
      <c r="A690" s="33" t="str">
        <f t="shared" si="40"/>
        <v>DPI - Fixed Assets</v>
      </c>
      <c r="B690" s="33" t="str">
        <f t="shared" si="41"/>
        <v>DPI</v>
      </c>
      <c r="C690" s="33" t="str">
        <f t="shared" si="42"/>
        <v>15500-0000</v>
      </c>
      <c r="D690" s="64" t="s">
        <v>961</v>
      </c>
      <c r="E690" s="64" t="s">
        <v>302</v>
      </c>
      <c r="F690" s="64" t="s">
        <v>230</v>
      </c>
      <c r="G690" s="64" t="s">
        <v>62</v>
      </c>
      <c r="H690" s="64" t="s">
        <v>63</v>
      </c>
      <c r="I690" s="64" t="s">
        <v>64</v>
      </c>
      <c r="J690" s="67">
        <v>0</v>
      </c>
      <c r="K690" s="62">
        <v>213825.68</v>
      </c>
      <c r="L690" s="33" t="e">
        <f>HLOOKUP(B690,#REF!,1,0)</f>
        <v>#REF!</v>
      </c>
      <c r="M690" s="33" t="str">
        <f t="shared" si="43"/>
        <v>BS</v>
      </c>
    </row>
    <row r="691" spans="1:13" s="33" customFormat="true" ht="12.75" customHeight="true">
      <c r="A691" s="33" t="str">
        <f t="shared" si="40"/>
        <v>DPI - Fixed Assets</v>
      </c>
      <c r="B691" s="33" t="str">
        <f t="shared" si="41"/>
        <v>DPI</v>
      </c>
      <c r="C691" s="33" t="str">
        <f t="shared" si="42"/>
        <v>17000-0000</v>
      </c>
      <c r="D691" s="64" t="s">
        <v>962</v>
      </c>
      <c r="E691" s="64" t="s">
        <v>306</v>
      </c>
      <c r="F691" s="64" t="s">
        <v>230</v>
      </c>
      <c r="G691" s="64" t="s">
        <v>62</v>
      </c>
      <c r="H691" s="64" t="s">
        <v>63</v>
      </c>
      <c r="I691" s="64" t="s">
        <v>64</v>
      </c>
      <c r="J691" s="67">
        <v>0</v>
      </c>
      <c r="K691" s="62">
        <v>-329450</v>
      </c>
      <c r="L691" s="33" t="e">
        <f>HLOOKUP(B691,#REF!,1,0)</f>
        <v>#REF!</v>
      </c>
      <c r="M691" s="33" t="str">
        <f t="shared" si="43"/>
        <v>BS</v>
      </c>
    </row>
    <row r="692" spans="1:13" s="33" customFormat="true" ht="12.75" customHeight="true">
      <c r="A692" s="33" t="str">
        <f t="shared" si="40"/>
        <v>DPI - Fixed Assets</v>
      </c>
      <c r="B692" s="33" t="str">
        <f t="shared" si="41"/>
        <v>DPI</v>
      </c>
      <c r="C692" s="33" t="str">
        <f t="shared" si="42"/>
        <v>18000-0000</v>
      </c>
      <c r="D692" s="64" t="s">
        <v>963</v>
      </c>
      <c r="E692" s="64" t="s">
        <v>308</v>
      </c>
      <c r="F692" s="64" t="s">
        <v>230</v>
      </c>
      <c r="G692" s="64" t="s">
        <v>62</v>
      </c>
      <c r="H692" s="64" t="s">
        <v>63</v>
      </c>
      <c r="I692" s="64" t="s">
        <v>64</v>
      </c>
      <c r="J692" s="67">
        <v>0</v>
      </c>
      <c r="K692" s="62">
        <v>-32216</v>
      </c>
      <c r="L692" s="33" t="e">
        <f>HLOOKUP(B692,#REF!,1,0)</f>
        <v>#REF!</v>
      </c>
      <c r="M692" s="33" t="str">
        <f t="shared" si="43"/>
        <v>BS</v>
      </c>
    </row>
    <row r="693" spans="1:13" s="33" customFormat="true" ht="12.75" customHeight="true">
      <c r="A693" s="33" t="str">
        <f t="shared" si="40"/>
        <v>DPI - Deposits</v>
      </c>
      <c r="B693" s="33" t="str">
        <f t="shared" si="41"/>
        <v>DPI</v>
      </c>
      <c r="C693" s="33" t="str">
        <f t="shared" si="42"/>
        <v>19001-0000</v>
      </c>
      <c r="D693" s="64" t="s">
        <v>964</v>
      </c>
      <c r="E693" s="64" t="s">
        <v>344</v>
      </c>
      <c r="F693" s="64" t="s">
        <v>230</v>
      </c>
      <c r="G693" s="64" t="s">
        <v>62</v>
      </c>
      <c r="H693" s="64" t="s">
        <v>80</v>
      </c>
      <c r="I693" s="64" t="s">
        <v>81</v>
      </c>
      <c r="J693" s="67">
        <v>0</v>
      </c>
      <c r="K693" s="62">
        <v>2998.76</v>
      </c>
      <c r="L693" s="33" t="e">
        <f>HLOOKUP(B693,#REF!,1,0)</f>
        <v>#REF!</v>
      </c>
      <c r="M693" s="33" t="str">
        <f t="shared" si="43"/>
        <v>BS</v>
      </c>
    </row>
    <row r="694" spans="1:13" s="33" customFormat="true" ht="12.75" customHeight="true">
      <c r="A694" s="33" t="str">
        <f t="shared" si="40"/>
        <v>DPI - AP-Accr Exp</v>
      </c>
      <c r="B694" s="33" t="str">
        <f t="shared" si="41"/>
        <v>DPI</v>
      </c>
      <c r="C694" s="33" t="str">
        <f t="shared" si="42"/>
        <v>20001-0000</v>
      </c>
      <c r="D694" s="64" t="s">
        <v>965</v>
      </c>
      <c r="E694" s="64" t="s">
        <v>96</v>
      </c>
      <c r="F694" s="64" t="s">
        <v>230</v>
      </c>
      <c r="G694" s="64" t="s">
        <v>97</v>
      </c>
      <c r="H694" s="64" t="s">
        <v>98</v>
      </c>
      <c r="I694" s="64" t="s">
        <v>99</v>
      </c>
      <c r="J694" s="67">
        <v>1450</v>
      </c>
      <c r="K694" s="62">
        <v>0</v>
      </c>
      <c r="L694" s="33" t="e">
        <f>HLOOKUP(B694,#REF!,1,0)</f>
        <v>#REF!</v>
      </c>
      <c r="M694" s="33" t="str">
        <f t="shared" si="43"/>
        <v>BS</v>
      </c>
    </row>
    <row r="695" spans="1:13" s="33" customFormat="true" ht="12.75" customHeight="true">
      <c r="A695" s="33" t="str">
        <f t="shared" si="40"/>
        <v>DPI - AP-Accr Exp</v>
      </c>
      <c r="B695" s="33" t="str">
        <f t="shared" si="41"/>
        <v>DPI</v>
      </c>
      <c r="C695" s="33" t="str">
        <f t="shared" si="42"/>
        <v>23509-0000</v>
      </c>
      <c r="D695" s="64" t="s">
        <v>966</v>
      </c>
      <c r="E695" s="64" t="s">
        <v>111</v>
      </c>
      <c r="F695" s="64" t="s">
        <v>230</v>
      </c>
      <c r="G695" s="64" t="s">
        <v>97</v>
      </c>
      <c r="H695" s="64" t="s">
        <v>98</v>
      </c>
      <c r="I695" s="64" t="s">
        <v>102</v>
      </c>
      <c r="J695" s="67">
        <v>0</v>
      </c>
      <c r="K695" s="62">
        <v>0</v>
      </c>
      <c r="L695" s="33" t="e">
        <f>HLOOKUP(B695,#REF!,1,0)</f>
        <v>#REF!</v>
      </c>
      <c r="M695" s="33" t="str">
        <f t="shared" si="43"/>
        <v>BS</v>
      </c>
    </row>
    <row r="696" spans="1:13" s="33" customFormat="true" ht="12.75" customHeight="true">
      <c r="A696" s="33" t="str">
        <f t="shared" si="40"/>
        <v>DPI - AP-Accr Exp</v>
      </c>
      <c r="B696" s="33" t="str">
        <f t="shared" si="41"/>
        <v>DPI</v>
      </c>
      <c r="C696" s="33" t="str">
        <f t="shared" si="42"/>
        <v>24800-0000</v>
      </c>
      <c r="D696" s="64" t="s">
        <v>967</v>
      </c>
      <c r="E696" s="64" t="s">
        <v>232</v>
      </c>
      <c r="F696" s="64" t="s">
        <v>230</v>
      </c>
      <c r="G696" s="64" t="s">
        <v>97</v>
      </c>
      <c r="H696" s="64" t="s">
        <v>98</v>
      </c>
      <c r="I696" s="64" t="s">
        <v>102</v>
      </c>
      <c r="J696" s="67">
        <v>0</v>
      </c>
      <c r="K696" s="62">
        <v>-30708.68</v>
      </c>
      <c r="L696" s="33" t="e">
        <f>HLOOKUP(B696,#REF!,1,0)</f>
        <v>#REF!</v>
      </c>
      <c r="M696" s="33" t="str">
        <f t="shared" si="43"/>
        <v>BS</v>
      </c>
    </row>
    <row r="697" spans="1:13" s="33" customFormat="true" ht="12.75" customHeight="true">
      <c r="A697" s="33" t="str">
        <f t="shared" si="40"/>
        <v>DPI - AP-Accr Exp</v>
      </c>
      <c r="B697" s="33" t="str">
        <f t="shared" si="41"/>
        <v>DPI</v>
      </c>
      <c r="C697" s="33" t="str">
        <f t="shared" si="42"/>
        <v>24801-0000</v>
      </c>
      <c r="D697" s="64" t="s">
        <v>968</v>
      </c>
      <c r="E697" s="64" t="s">
        <v>399</v>
      </c>
      <c r="F697" s="64" t="s">
        <v>230</v>
      </c>
      <c r="G697" s="64" t="s">
        <v>97</v>
      </c>
      <c r="H697" s="64" t="s">
        <v>98</v>
      </c>
      <c r="I697" s="64" t="s">
        <v>102</v>
      </c>
      <c r="J697" s="67">
        <v>0</v>
      </c>
      <c r="K697" s="62">
        <v>0</v>
      </c>
      <c r="L697" s="33" t="e">
        <f>HLOOKUP(B697,#REF!,1,0)</f>
        <v>#REF!</v>
      </c>
      <c r="M697" s="33" t="str">
        <f t="shared" si="43"/>
        <v>BS</v>
      </c>
    </row>
    <row r="698" spans="1:13" s="33" customFormat="true" ht="12.75" customHeight="true">
      <c r="A698" s="33" t="str">
        <f t="shared" si="40"/>
        <v>DPI - InterCo Notes</v>
      </c>
      <c r="B698" s="33" t="str">
        <f t="shared" si="41"/>
        <v>DPI</v>
      </c>
      <c r="C698" s="33" t="str">
        <f t="shared" si="42"/>
        <v>25000-0000</v>
      </c>
      <c r="D698" s="64" t="s">
        <v>969</v>
      </c>
      <c r="E698" s="64" t="s">
        <v>314</v>
      </c>
      <c r="F698" s="64" t="s">
        <v>230</v>
      </c>
      <c r="G698" s="64" t="s">
        <v>16</v>
      </c>
      <c r="H698" s="64" t="s">
        <v>315</v>
      </c>
      <c r="I698" s="64" t="s">
        <v>40</v>
      </c>
      <c r="J698" s="67">
        <v>0</v>
      </c>
      <c r="K698" s="62">
        <v>-1550000</v>
      </c>
      <c r="L698" s="33" t="e">
        <f>HLOOKUP(B698,#REF!,1,0)</f>
        <v>#REF!</v>
      </c>
      <c r="M698" s="33" t="str">
        <f t="shared" si="43"/>
        <v>BS</v>
      </c>
    </row>
    <row r="699" spans="1:13" s="33" customFormat="true" ht="12.75" customHeight="true">
      <c r="A699" s="33" t="str">
        <f t="shared" si="40"/>
        <v>DPI - Principal</v>
      </c>
      <c r="B699" s="33" t="str">
        <f t="shared" si="41"/>
        <v>DPI</v>
      </c>
      <c r="C699" s="33" t="str">
        <f t="shared" si="42"/>
        <v>26800-0000</v>
      </c>
      <c r="D699" s="64" t="s">
        <v>970</v>
      </c>
      <c r="E699" s="64" t="s">
        <v>402</v>
      </c>
      <c r="F699" s="64" t="s">
        <v>230</v>
      </c>
      <c r="G699" s="64" t="s">
        <v>97</v>
      </c>
      <c r="H699" s="64" t="s">
        <v>127</v>
      </c>
      <c r="I699" s="64" t="s">
        <v>128</v>
      </c>
      <c r="J699" s="67">
        <v>0</v>
      </c>
      <c r="K699" s="62">
        <v>-145100</v>
      </c>
      <c r="L699" s="33" t="e">
        <f>HLOOKUP(B699,#REF!,1,0)</f>
        <v>#REF!</v>
      </c>
      <c r="M699" s="33" t="str">
        <f t="shared" si="43"/>
        <v>BS</v>
      </c>
    </row>
    <row r="700" spans="1:13" s="33" customFormat="true" ht="12.75" customHeight="true">
      <c r="A700" s="33" t="str">
        <f t="shared" si="40"/>
        <v>DPI - Principal</v>
      </c>
      <c r="B700" s="33" t="str">
        <f t="shared" si="41"/>
        <v>DPI</v>
      </c>
      <c r="C700" s="33" t="str">
        <f t="shared" si="42"/>
        <v>28001-0000</v>
      </c>
      <c r="D700" s="64" t="s">
        <v>971</v>
      </c>
      <c r="E700" s="64" t="s">
        <v>352</v>
      </c>
      <c r="F700" s="64" t="s">
        <v>230</v>
      </c>
      <c r="G700" s="64" t="s">
        <v>123</v>
      </c>
      <c r="H700" s="64" t="s">
        <v>127</v>
      </c>
      <c r="I700" s="64" t="s">
        <v>133</v>
      </c>
      <c r="J700" s="67">
        <v>4001.62</v>
      </c>
      <c r="K700" s="62">
        <v>-2060042.46</v>
      </c>
      <c r="L700" s="33" t="e">
        <f>HLOOKUP(B700,#REF!,1,0)</f>
        <v>#REF!</v>
      </c>
      <c r="M700" s="33" t="str">
        <f t="shared" si="43"/>
        <v>BS</v>
      </c>
    </row>
    <row r="701" spans="1:13" s="33" customFormat="true" ht="12.75" customHeight="true">
      <c r="A701" s="33" t="str">
        <f t="shared" si="40"/>
        <v>DPI - SH Dist</v>
      </c>
      <c r="B701" s="33" t="str">
        <f t="shared" si="41"/>
        <v>DPI</v>
      </c>
      <c r="C701" s="33" t="str">
        <f t="shared" si="42"/>
        <v>30700-0000</v>
      </c>
      <c r="D701" s="64" t="s">
        <v>972</v>
      </c>
      <c r="E701" s="64" t="s">
        <v>319</v>
      </c>
      <c r="F701" s="64" t="s">
        <v>230</v>
      </c>
      <c r="G701" s="64" t="s">
        <v>142</v>
      </c>
      <c r="H701" s="64" t="s">
        <v>143</v>
      </c>
      <c r="I701" s="64" t="s">
        <v>144</v>
      </c>
      <c r="J701" s="67">
        <v>0</v>
      </c>
      <c r="K701" s="62">
        <v>85000</v>
      </c>
      <c r="L701" s="33" t="e">
        <f>HLOOKUP(B701,#REF!,1,0)</f>
        <v>#REF!</v>
      </c>
      <c r="M701" s="33" t="str">
        <f t="shared" si="43"/>
        <v>BS</v>
      </c>
    </row>
    <row r="702" spans="1:13" s="33" customFormat="true" ht="12.75" customHeight="true">
      <c r="A702" s="33" t="str">
        <f t="shared" si="40"/>
        <v>DPI - SH Dist</v>
      </c>
      <c r="B702" s="33" t="str">
        <f t="shared" si="41"/>
        <v>DPI</v>
      </c>
      <c r="C702" s="33" t="str">
        <f t="shared" si="42"/>
        <v>30900-0000</v>
      </c>
      <c r="D702" s="64" t="s">
        <v>973</v>
      </c>
      <c r="E702" s="64" t="s">
        <v>974</v>
      </c>
      <c r="F702" s="64" t="s">
        <v>230</v>
      </c>
      <c r="G702" s="64" t="s">
        <v>142</v>
      </c>
      <c r="H702" s="64" t="s">
        <v>143</v>
      </c>
      <c r="I702" s="64" t="s">
        <v>144</v>
      </c>
      <c r="J702" s="67">
        <v>0</v>
      </c>
      <c r="K702" s="62">
        <v>-50000</v>
      </c>
      <c r="L702" s="33" t="e">
        <f>HLOOKUP(B702,#REF!,1,0)</f>
        <v>#REF!</v>
      </c>
      <c r="M702" s="33" t="str">
        <f t="shared" si="43"/>
        <v>BS</v>
      </c>
    </row>
    <row r="703" spans="1:13" s="33" customFormat="true" ht="12.75" customHeight="true">
      <c r="A703" s="33" t="str">
        <f t="shared" si="40"/>
        <v>DPI - Retained Earnings</v>
      </c>
      <c r="B703" s="33" t="str">
        <f t="shared" si="41"/>
        <v>DPI</v>
      </c>
      <c r="C703" s="33" t="str">
        <f t="shared" si="42"/>
        <v>32000-0000</v>
      </c>
      <c r="D703" s="64" t="s">
        <v>975</v>
      </c>
      <c r="E703" s="64" t="s">
        <v>234</v>
      </c>
      <c r="F703" s="64" t="s">
        <v>230</v>
      </c>
      <c r="G703" s="64" t="s">
        <v>142</v>
      </c>
      <c r="H703" s="64" t="s">
        <v>149</v>
      </c>
      <c r="I703" s="64" t="s">
        <v>235</v>
      </c>
      <c r="J703" s="67">
        <v>0</v>
      </c>
      <c r="K703" s="62">
        <v>142193.18</v>
      </c>
      <c r="L703" s="33" t="e">
        <f>HLOOKUP(B703,#REF!,1,0)</f>
        <v>#REF!</v>
      </c>
      <c r="M703" s="33" t="str">
        <f t="shared" si="43"/>
        <v>BS</v>
      </c>
    </row>
    <row r="704" spans="1:13" s="33" customFormat="true" ht="12.75" customHeight="true">
      <c r="A704" s="33" t="str">
        <f t="shared" si="40"/>
        <v>DPM - AP-Accr Exp</v>
      </c>
      <c r="B704" s="33" t="str">
        <f t="shared" si="41"/>
        <v>DPM</v>
      </c>
      <c r="C704" s="33" t="str">
        <f t="shared" si="42"/>
        <v>24800-0000</v>
      </c>
      <c r="D704" s="64" t="s">
        <v>976</v>
      </c>
      <c r="E704" s="64" t="s">
        <v>232</v>
      </c>
      <c r="F704" s="64" t="s">
        <v>230</v>
      </c>
      <c r="G704" s="64" t="s">
        <v>97</v>
      </c>
      <c r="H704" s="64" t="s">
        <v>98</v>
      </c>
      <c r="I704" s="64" t="s">
        <v>102</v>
      </c>
      <c r="J704" s="67">
        <v>-800</v>
      </c>
      <c r="K704" s="62">
        <v>-29446.25</v>
      </c>
      <c r="L704" s="33" t="e">
        <f>HLOOKUP(B704,#REF!,1,0)</f>
        <v>#REF!</v>
      </c>
      <c r="M704" s="33" t="str">
        <f t="shared" si="43"/>
        <v>BS</v>
      </c>
    </row>
    <row r="705" spans="1:13" s="33" customFormat="true" ht="12.75" customHeight="true">
      <c r="A705" s="33" t="str">
        <f t="shared" si="40"/>
        <v>DPM - Retained Earnings</v>
      </c>
      <c r="B705" s="33" t="str">
        <f t="shared" si="41"/>
        <v>DPM</v>
      </c>
      <c r="C705" s="33" t="str">
        <f t="shared" si="42"/>
        <v>32000-0000</v>
      </c>
      <c r="D705" s="64" t="s">
        <v>977</v>
      </c>
      <c r="E705" s="64" t="s">
        <v>234</v>
      </c>
      <c r="F705" s="64" t="s">
        <v>230</v>
      </c>
      <c r="G705" s="64" t="s">
        <v>142</v>
      </c>
      <c r="H705" s="64" t="s">
        <v>149</v>
      </c>
      <c r="I705" s="64" t="s">
        <v>235</v>
      </c>
      <c r="J705" s="67">
        <v>0</v>
      </c>
      <c r="K705" s="62">
        <v>-1650</v>
      </c>
      <c r="L705" s="33" t="e">
        <f>HLOOKUP(B705,#REF!,1,0)</f>
        <v>#REF!</v>
      </c>
      <c r="M705" s="33" t="str">
        <f t="shared" si="43"/>
        <v>BS</v>
      </c>
    </row>
    <row r="706" spans="1:13" s="33" customFormat="true" ht="12.75" customHeight="true">
      <c r="A706" s="33" t="str">
        <f t="shared" ref="A706:A769" si="44">B706&amp;" - "&amp;TRIM(H706)</f>
        <v>DWO - Cash</v>
      </c>
      <c r="B706" s="33" t="str">
        <f t="shared" ref="B706:B769" si="45">LEFT(D706,3)</f>
        <v>DWO</v>
      </c>
      <c r="C706" s="33" t="str">
        <f t="shared" ref="C706:C769" si="46">RIGHT(D706,10)</f>
        <v>10021-0000</v>
      </c>
      <c r="D706" s="64" t="s">
        <v>978</v>
      </c>
      <c r="E706" s="64" t="s">
        <v>546</v>
      </c>
      <c r="F706" s="64" t="s">
        <v>547</v>
      </c>
      <c r="G706" s="64" t="s">
        <v>16</v>
      </c>
      <c r="H706" s="64" t="s">
        <v>25</v>
      </c>
      <c r="I706" s="64" t="s">
        <v>18</v>
      </c>
      <c r="J706" s="67">
        <v>10832.28</v>
      </c>
      <c r="K706" s="62">
        <v>185589.92</v>
      </c>
      <c r="L706" s="33" t="e">
        <f>HLOOKUP(B706,#REF!,1,0)</f>
        <v>#REF!</v>
      </c>
      <c r="M706" s="33" t="str">
        <f t="shared" ref="M706:M769" si="47">IF(VALUE(LEFT(C706,5))&gt;40000,"P&amp;L","BS")</f>
        <v>BS</v>
      </c>
    </row>
    <row r="707" spans="1:13" s="33" customFormat="true" ht="12.75" customHeight="true">
      <c r="A707" s="33" t="str">
        <f t="shared" si="44"/>
        <v>DWO - Restricted</v>
      </c>
      <c r="B707" s="33" t="str">
        <f t="shared" si="45"/>
        <v>DWO</v>
      </c>
      <c r="C707" s="33" t="str">
        <f t="shared" si="46"/>
        <v>10515-0000</v>
      </c>
      <c r="D707" s="64" t="s">
        <v>979</v>
      </c>
      <c r="E707" s="64" t="s">
        <v>834</v>
      </c>
      <c r="F707" s="64" t="s">
        <v>547</v>
      </c>
      <c r="G707" s="64" t="s">
        <v>16</v>
      </c>
      <c r="H707" s="64" t="s">
        <v>32</v>
      </c>
      <c r="I707" s="64" t="s">
        <v>18</v>
      </c>
      <c r="J707" s="67">
        <v>624.28</v>
      </c>
      <c r="K707" s="62">
        <v>865076.96</v>
      </c>
      <c r="L707" s="33" t="e">
        <f>HLOOKUP(B707,#REF!,1,0)</f>
        <v>#REF!</v>
      </c>
      <c r="M707" s="33" t="str">
        <f t="shared" si="47"/>
        <v>BS</v>
      </c>
    </row>
    <row r="708" spans="1:13" s="33" customFormat="true" ht="12.75" customHeight="true">
      <c r="A708" s="33" t="str">
        <f t="shared" si="44"/>
        <v>DWO - AR-PPD</v>
      </c>
      <c r="B708" s="33" t="str">
        <f t="shared" si="45"/>
        <v>DWO</v>
      </c>
      <c r="C708" s="33" t="str">
        <f t="shared" si="46"/>
        <v>11025-0000</v>
      </c>
      <c r="D708" s="64" t="s">
        <v>980</v>
      </c>
      <c r="E708" s="64" t="s">
        <v>981</v>
      </c>
      <c r="F708" s="64" t="s">
        <v>547</v>
      </c>
      <c r="G708" s="64" t="s">
        <v>16</v>
      </c>
      <c r="H708" s="64" t="s">
        <v>35</v>
      </c>
      <c r="I708" s="64" t="s">
        <v>18</v>
      </c>
      <c r="J708" s="67">
        <v>0</v>
      </c>
      <c r="K708" s="62">
        <v>43233.18</v>
      </c>
      <c r="L708" s="33" t="e">
        <f>HLOOKUP(B708,#REF!,1,0)</f>
        <v>#REF!</v>
      </c>
      <c r="M708" s="33" t="str">
        <f t="shared" si="47"/>
        <v>BS</v>
      </c>
    </row>
    <row r="709" spans="1:13" s="33" customFormat="true" ht="12.75" customHeight="true">
      <c r="A709" s="33" t="str">
        <f t="shared" si="44"/>
        <v>DWO - AR-PPD</v>
      </c>
      <c r="B709" s="33" t="str">
        <f t="shared" si="45"/>
        <v>DWO</v>
      </c>
      <c r="C709" s="33" t="str">
        <f t="shared" si="46"/>
        <v>11026-0000</v>
      </c>
      <c r="D709" s="64" t="s">
        <v>982</v>
      </c>
      <c r="E709" s="64" t="s">
        <v>983</v>
      </c>
      <c r="F709" s="64" t="s">
        <v>547</v>
      </c>
      <c r="G709" s="64" t="s">
        <v>16</v>
      </c>
      <c r="H709" s="64" t="s">
        <v>35</v>
      </c>
      <c r="I709" s="64" t="s">
        <v>40</v>
      </c>
      <c r="J709" s="67">
        <v>0</v>
      </c>
      <c r="K709" s="62">
        <v>6150000</v>
      </c>
      <c r="L709" s="33" t="e">
        <f>HLOOKUP(B709,#REF!,1,0)</f>
        <v>#REF!</v>
      </c>
      <c r="M709" s="33" t="str">
        <f t="shared" si="47"/>
        <v>BS</v>
      </c>
    </row>
    <row r="710" spans="1:13" s="33" customFormat="true" ht="12.75" customHeight="true">
      <c r="A710" s="33" t="str">
        <f t="shared" si="44"/>
        <v>DWO - Intercompany</v>
      </c>
      <c r="B710" s="33" t="str">
        <f t="shared" si="45"/>
        <v>DWO</v>
      </c>
      <c r="C710" s="33" t="str">
        <f t="shared" si="46"/>
        <v>11225-0000</v>
      </c>
      <c r="D710" s="64" t="s">
        <v>984</v>
      </c>
      <c r="E710" s="64" t="s">
        <v>985</v>
      </c>
      <c r="F710" s="64" t="s">
        <v>547</v>
      </c>
      <c r="G710" s="64" t="s">
        <v>16</v>
      </c>
      <c r="H710" s="64" t="s">
        <v>39</v>
      </c>
      <c r="I710" s="64" t="s">
        <v>40</v>
      </c>
      <c r="J710" s="67">
        <v>0</v>
      </c>
      <c r="K710" s="62">
        <v>-0.01</v>
      </c>
      <c r="L710" s="33" t="e">
        <f>HLOOKUP(B710,#REF!,1,0)</f>
        <v>#REF!</v>
      </c>
      <c r="M710" s="33" t="str">
        <f t="shared" si="47"/>
        <v>BS</v>
      </c>
    </row>
    <row r="711" spans="1:13" s="33" customFormat="true" ht="12.75" customHeight="true">
      <c r="A711" s="33" t="str">
        <f t="shared" si="44"/>
        <v>DWO - Fixed Assets</v>
      </c>
      <c r="B711" s="33" t="str">
        <f t="shared" si="45"/>
        <v>DWO</v>
      </c>
      <c r="C711" s="33" t="str">
        <f t="shared" si="46"/>
        <v>16401-7863</v>
      </c>
      <c r="D711" s="64" t="s">
        <v>986</v>
      </c>
      <c r="E711" s="64" t="s">
        <v>987</v>
      </c>
      <c r="F711" s="64" t="s">
        <v>547</v>
      </c>
      <c r="G711" s="64" t="s">
        <v>62</v>
      </c>
      <c r="H711" s="64" t="s">
        <v>63</v>
      </c>
      <c r="I711" s="64" t="s">
        <v>64</v>
      </c>
      <c r="J711" s="67">
        <v>0</v>
      </c>
      <c r="K711" s="62">
        <v>705000</v>
      </c>
      <c r="L711" s="33" t="e">
        <f>HLOOKUP(B711,#REF!,1,0)</f>
        <v>#REF!</v>
      </c>
      <c r="M711" s="33" t="str">
        <f t="shared" si="47"/>
        <v>BS</v>
      </c>
    </row>
    <row r="712" spans="1:13" s="33" customFormat="true" ht="12.75" customHeight="true">
      <c r="A712" s="33" t="str">
        <f t="shared" si="44"/>
        <v>DWO - Fixed Assets</v>
      </c>
      <c r="B712" s="33" t="str">
        <f t="shared" si="45"/>
        <v>DWO</v>
      </c>
      <c r="C712" s="33" t="str">
        <f t="shared" si="46"/>
        <v>16501-7863</v>
      </c>
      <c r="D712" s="64" t="s">
        <v>988</v>
      </c>
      <c r="E712" s="64" t="s">
        <v>989</v>
      </c>
      <c r="F712" s="64" t="s">
        <v>547</v>
      </c>
      <c r="G712" s="64" t="s">
        <v>62</v>
      </c>
      <c r="H712" s="64" t="s">
        <v>63</v>
      </c>
      <c r="I712" s="64" t="s">
        <v>64</v>
      </c>
      <c r="J712" s="67">
        <v>0</v>
      </c>
      <c r="K712" s="62">
        <v>470000</v>
      </c>
      <c r="L712" s="33" t="e">
        <f>HLOOKUP(B712,#REF!,1,0)</f>
        <v>#REF!</v>
      </c>
      <c r="M712" s="33" t="str">
        <f t="shared" si="47"/>
        <v>BS</v>
      </c>
    </row>
    <row r="713" spans="1:13" s="33" customFormat="true" ht="12.75" customHeight="true">
      <c r="A713" s="33" t="str">
        <f t="shared" si="44"/>
        <v>DWO - Fixed Assets</v>
      </c>
      <c r="B713" s="33" t="str">
        <f t="shared" si="45"/>
        <v>DWO</v>
      </c>
      <c r="C713" s="33" t="str">
        <f t="shared" si="46"/>
        <v>16601-7863</v>
      </c>
      <c r="D713" s="64" t="s">
        <v>990</v>
      </c>
      <c r="E713" s="64" t="s">
        <v>991</v>
      </c>
      <c r="F713" s="64" t="s">
        <v>547</v>
      </c>
      <c r="G713" s="64" t="s">
        <v>62</v>
      </c>
      <c r="H713" s="64" t="s">
        <v>63</v>
      </c>
      <c r="I713" s="64" t="s">
        <v>64</v>
      </c>
      <c r="J713" s="67">
        <v>0</v>
      </c>
      <c r="K713" s="62">
        <v>41186.78</v>
      </c>
      <c r="L713" s="33" t="e">
        <f>HLOOKUP(B713,#REF!,1,0)</f>
        <v>#REF!</v>
      </c>
      <c r="M713" s="33" t="str">
        <f t="shared" si="47"/>
        <v>BS</v>
      </c>
    </row>
    <row r="714" spans="1:13" s="33" customFormat="true" ht="12.75" customHeight="true">
      <c r="A714" s="33" t="str">
        <f t="shared" si="44"/>
        <v>DWO - Fixed Assets</v>
      </c>
      <c r="B714" s="33" t="str">
        <f t="shared" si="45"/>
        <v>DWO</v>
      </c>
      <c r="C714" s="33" t="str">
        <f t="shared" si="46"/>
        <v>16901-0000</v>
      </c>
      <c r="D714" s="64" t="s">
        <v>992</v>
      </c>
      <c r="E714" s="64" t="s">
        <v>993</v>
      </c>
      <c r="F714" s="64" t="s">
        <v>547</v>
      </c>
      <c r="G714" s="64" t="s">
        <v>62</v>
      </c>
      <c r="H714" s="64" t="s">
        <v>63</v>
      </c>
      <c r="I714" s="64" t="s">
        <v>64</v>
      </c>
      <c r="J714" s="67">
        <v>0</v>
      </c>
      <c r="K714" s="62">
        <v>-213937</v>
      </c>
      <c r="L714" s="33" t="e">
        <f>HLOOKUP(B714,#REF!,1,0)</f>
        <v>#REF!</v>
      </c>
      <c r="M714" s="33" t="str">
        <f t="shared" si="47"/>
        <v>BS</v>
      </c>
    </row>
    <row r="715" spans="1:13" s="33" customFormat="true" ht="12.75" customHeight="true">
      <c r="A715" s="33" t="str">
        <f t="shared" si="44"/>
        <v>DWO - Fixed Assets</v>
      </c>
      <c r="B715" s="33" t="str">
        <f t="shared" si="45"/>
        <v>DWO</v>
      </c>
      <c r="C715" s="33" t="str">
        <f t="shared" si="46"/>
        <v>18501-0000</v>
      </c>
      <c r="D715" s="64" t="s">
        <v>994</v>
      </c>
      <c r="E715" s="64" t="s">
        <v>88</v>
      </c>
      <c r="F715" s="64" t="s">
        <v>547</v>
      </c>
      <c r="G715" s="64" t="s">
        <v>62</v>
      </c>
      <c r="H715" s="64" t="s">
        <v>63</v>
      </c>
      <c r="I715" s="64" t="s">
        <v>81</v>
      </c>
      <c r="J715" s="67">
        <v>0</v>
      </c>
      <c r="K715" s="62">
        <v>-2667</v>
      </c>
      <c r="L715" s="33" t="e">
        <f>HLOOKUP(B715,#REF!,1,0)</f>
        <v>#REF!</v>
      </c>
      <c r="M715" s="33" t="str">
        <f t="shared" si="47"/>
        <v>BS</v>
      </c>
    </row>
    <row r="716" spans="1:13" s="33" customFormat="true" ht="12.75" customHeight="true">
      <c r="A716" s="33" t="str">
        <f t="shared" si="44"/>
        <v>DWO - SH Receivable</v>
      </c>
      <c r="B716" s="33" t="str">
        <f t="shared" si="45"/>
        <v>DWO</v>
      </c>
      <c r="C716" s="33" t="str">
        <f t="shared" si="46"/>
        <v>23953-0000</v>
      </c>
      <c r="D716" s="64" t="s">
        <v>995</v>
      </c>
      <c r="E716" s="64" t="s">
        <v>996</v>
      </c>
      <c r="F716" s="64" t="s">
        <v>547</v>
      </c>
      <c r="G716" s="64" t="s">
        <v>97</v>
      </c>
      <c r="H716" s="64" t="s">
        <v>997</v>
      </c>
      <c r="I716" s="64" t="s">
        <v>102</v>
      </c>
      <c r="J716" s="67">
        <v>0</v>
      </c>
      <c r="K716" s="62">
        <v>385277</v>
      </c>
      <c r="L716" s="33" t="e">
        <f>HLOOKUP(B716,#REF!,1,0)</f>
        <v>#REF!</v>
      </c>
      <c r="M716" s="33" t="str">
        <f t="shared" si="47"/>
        <v>BS</v>
      </c>
    </row>
    <row r="717" spans="1:13" s="33" customFormat="true" ht="12.75" customHeight="true">
      <c r="A717" s="33" t="str">
        <f t="shared" si="44"/>
        <v>DWO - AP-Accr Exp</v>
      </c>
      <c r="B717" s="33" t="str">
        <f t="shared" si="45"/>
        <v>DWO</v>
      </c>
      <c r="C717" s="33" t="str">
        <f t="shared" si="46"/>
        <v>25605-0000</v>
      </c>
      <c r="D717" s="64" t="s">
        <v>998</v>
      </c>
      <c r="E717" s="64" t="s">
        <v>999</v>
      </c>
      <c r="F717" s="64" t="s">
        <v>547</v>
      </c>
      <c r="G717" s="64" t="s">
        <v>97</v>
      </c>
      <c r="H717" s="64" t="s">
        <v>98</v>
      </c>
      <c r="I717" s="64" t="s">
        <v>102</v>
      </c>
      <c r="J717" s="67">
        <v>0</v>
      </c>
      <c r="K717" s="62">
        <v>-15373.25</v>
      </c>
      <c r="L717" s="33" t="e">
        <f>HLOOKUP(B717,#REF!,1,0)</f>
        <v>#REF!</v>
      </c>
      <c r="M717" s="33" t="str">
        <f t="shared" si="47"/>
        <v>BS</v>
      </c>
    </row>
    <row r="718" spans="1:13" s="33" customFormat="true" ht="12.75" customHeight="true">
      <c r="A718" s="33" t="str">
        <f t="shared" si="44"/>
        <v>DWO - LOC</v>
      </c>
      <c r="B718" s="33" t="str">
        <f t="shared" si="45"/>
        <v>DWO</v>
      </c>
      <c r="C718" s="33" t="str">
        <f t="shared" si="46"/>
        <v>25606-0000</v>
      </c>
      <c r="D718" s="64" t="s">
        <v>1000</v>
      </c>
      <c r="E718" s="64" t="s">
        <v>865</v>
      </c>
      <c r="F718" s="64" t="s">
        <v>547</v>
      </c>
      <c r="G718" s="64" t="s">
        <v>97</v>
      </c>
      <c r="H718" s="64" t="s">
        <v>866</v>
      </c>
      <c r="I718" s="64" t="s">
        <v>867</v>
      </c>
      <c r="J718" s="67">
        <v>0</v>
      </c>
      <c r="K718" s="62">
        <v>-800000</v>
      </c>
      <c r="L718" s="33" t="e">
        <f>HLOOKUP(B718,#REF!,1,0)</f>
        <v>#REF!</v>
      </c>
      <c r="M718" s="33" t="str">
        <f t="shared" si="47"/>
        <v>BS</v>
      </c>
    </row>
    <row r="719" spans="1:13" s="33" customFormat="true" ht="12.75" customHeight="true">
      <c r="A719" s="33" t="str">
        <f t="shared" si="44"/>
        <v>DWO - SH Dist</v>
      </c>
      <c r="B719" s="33" t="str">
        <f t="shared" si="45"/>
        <v>DWO</v>
      </c>
      <c r="C719" s="33" t="str">
        <f t="shared" si="46"/>
        <v>31001-0000</v>
      </c>
      <c r="D719" s="64" t="s">
        <v>1001</v>
      </c>
      <c r="E719" s="64" t="s">
        <v>1002</v>
      </c>
      <c r="F719" s="64" t="s">
        <v>547</v>
      </c>
      <c r="G719" s="64" t="s">
        <v>142</v>
      </c>
      <c r="H719" s="64" t="s">
        <v>143</v>
      </c>
      <c r="I719" s="64" t="s">
        <v>144</v>
      </c>
      <c r="J719" s="67">
        <v>0</v>
      </c>
      <c r="K719" s="62">
        <v>-2780000</v>
      </c>
      <c r="L719" s="33" t="e">
        <f>HLOOKUP(B719,#REF!,1,0)</f>
        <v>#REF!</v>
      </c>
      <c r="M719" s="33" t="str">
        <f t="shared" si="47"/>
        <v>BS</v>
      </c>
    </row>
    <row r="720" spans="1:13" s="33" customFormat="true" ht="12.75" customHeight="true">
      <c r="A720" s="33" t="str">
        <f t="shared" si="44"/>
        <v>DWO - SH Dist</v>
      </c>
      <c r="B720" s="33" t="str">
        <f t="shared" si="45"/>
        <v>DWO</v>
      </c>
      <c r="C720" s="33" t="str">
        <f t="shared" si="46"/>
        <v>31101-0000</v>
      </c>
      <c r="D720" s="64" t="s">
        <v>1003</v>
      </c>
      <c r="E720" s="64" t="s">
        <v>1004</v>
      </c>
      <c r="F720" s="64" t="s">
        <v>547</v>
      </c>
      <c r="G720" s="64" t="s">
        <v>142</v>
      </c>
      <c r="H720" s="64" t="s">
        <v>143</v>
      </c>
      <c r="I720" s="64" t="s">
        <v>144</v>
      </c>
      <c r="J720" s="67">
        <v>0</v>
      </c>
      <c r="K720" s="62">
        <v>-250000</v>
      </c>
      <c r="L720" s="33" t="e">
        <f>HLOOKUP(B720,#REF!,1,0)</f>
        <v>#REF!</v>
      </c>
      <c r="M720" s="33" t="str">
        <f t="shared" si="47"/>
        <v>BS</v>
      </c>
    </row>
    <row r="721" spans="1:13" s="33" customFormat="true" ht="12.75" customHeight="true">
      <c r="A721" s="33" t="str">
        <f t="shared" si="44"/>
        <v>DWO - SH Dist</v>
      </c>
      <c r="B721" s="33" t="str">
        <f t="shared" si="45"/>
        <v>DWO</v>
      </c>
      <c r="C721" s="33" t="str">
        <f t="shared" si="46"/>
        <v>31102-0000</v>
      </c>
      <c r="D721" s="64" t="s">
        <v>1005</v>
      </c>
      <c r="E721" s="64" t="s">
        <v>1006</v>
      </c>
      <c r="F721" s="64" t="s">
        <v>547</v>
      </c>
      <c r="G721" s="64" t="s">
        <v>142</v>
      </c>
      <c r="H721" s="64" t="s">
        <v>143</v>
      </c>
      <c r="I721" s="64" t="s">
        <v>144</v>
      </c>
      <c r="J721" s="67">
        <v>0</v>
      </c>
      <c r="K721" s="62">
        <v>-8276.92</v>
      </c>
      <c r="L721" s="33" t="e">
        <f>HLOOKUP(B721,#REF!,1,0)</f>
        <v>#REF!</v>
      </c>
      <c r="M721" s="33" t="str">
        <f t="shared" si="47"/>
        <v>BS</v>
      </c>
    </row>
    <row r="722" spans="1:13" s="33" customFormat="true" ht="12.75" customHeight="true">
      <c r="A722" s="33" t="str">
        <f t="shared" si="44"/>
        <v>DWO - SH Dist</v>
      </c>
      <c r="B722" s="33" t="str">
        <f t="shared" si="45"/>
        <v>DWO</v>
      </c>
      <c r="C722" s="33" t="str">
        <f t="shared" si="46"/>
        <v>31201-0000</v>
      </c>
      <c r="D722" s="64" t="s">
        <v>1007</v>
      </c>
      <c r="E722" s="64" t="s">
        <v>1008</v>
      </c>
      <c r="F722" s="64" t="s">
        <v>547</v>
      </c>
      <c r="G722" s="64" t="s">
        <v>142</v>
      </c>
      <c r="H722" s="64" t="s">
        <v>143</v>
      </c>
      <c r="I722" s="64" t="s">
        <v>144</v>
      </c>
      <c r="J722" s="67">
        <v>0</v>
      </c>
      <c r="K722" s="62">
        <v>-60000</v>
      </c>
      <c r="L722" s="33" t="e">
        <f>HLOOKUP(B722,#REF!,1,0)</f>
        <v>#REF!</v>
      </c>
      <c r="M722" s="33" t="str">
        <f t="shared" si="47"/>
        <v>BS</v>
      </c>
    </row>
    <row r="723" spans="1:13" s="33" customFormat="true" ht="12.75" customHeight="true">
      <c r="A723" s="33" t="str">
        <f t="shared" si="44"/>
        <v>DWO - SH Dist</v>
      </c>
      <c r="B723" s="33" t="str">
        <f t="shared" si="45"/>
        <v>DWO</v>
      </c>
      <c r="C723" s="33" t="str">
        <f t="shared" si="46"/>
        <v>31202-0000</v>
      </c>
      <c r="D723" s="64" t="s">
        <v>1009</v>
      </c>
      <c r="E723" s="64" t="s">
        <v>1010</v>
      </c>
      <c r="F723" s="64" t="s">
        <v>547</v>
      </c>
      <c r="G723" s="64" t="s">
        <v>142</v>
      </c>
      <c r="H723" s="64" t="s">
        <v>143</v>
      </c>
      <c r="I723" s="64" t="s">
        <v>144</v>
      </c>
      <c r="J723" s="67">
        <v>0</v>
      </c>
      <c r="K723" s="62">
        <v>-10000</v>
      </c>
      <c r="L723" s="33" t="e">
        <f>HLOOKUP(B723,#REF!,1,0)</f>
        <v>#REF!</v>
      </c>
      <c r="M723" s="33" t="str">
        <f t="shared" si="47"/>
        <v>BS</v>
      </c>
    </row>
    <row r="724" spans="1:13" s="33" customFormat="true" ht="12.75" customHeight="true">
      <c r="A724" s="33" t="str">
        <f t="shared" si="44"/>
        <v>DWO - SH Dist</v>
      </c>
      <c r="B724" s="33" t="str">
        <f t="shared" si="45"/>
        <v>DWO</v>
      </c>
      <c r="C724" s="33" t="str">
        <f t="shared" si="46"/>
        <v>31204-0000</v>
      </c>
      <c r="D724" s="64" t="s">
        <v>1011</v>
      </c>
      <c r="E724" s="64" t="s">
        <v>1012</v>
      </c>
      <c r="F724" s="64" t="s">
        <v>547</v>
      </c>
      <c r="G724" s="64" t="s">
        <v>142</v>
      </c>
      <c r="H724" s="64" t="s">
        <v>143</v>
      </c>
      <c r="I724" s="64" t="s">
        <v>144</v>
      </c>
      <c r="J724" s="67">
        <v>0</v>
      </c>
      <c r="K724" s="62">
        <v>-50000</v>
      </c>
      <c r="L724" s="33" t="e">
        <f>HLOOKUP(B724,#REF!,1,0)</f>
        <v>#REF!</v>
      </c>
      <c r="M724" s="33" t="str">
        <f t="shared" si="47"/>
        <v>BS</v>
      </c>
    </row>
    <row r="725" spans="1:13" s="33" customFormat="true" ht="12.75" customHeight="true">
      <c r="A725" s="33" t="str">
        <f t="shared" si="44"/>
        <v>DWO - SH Dist</v>
      </c>
      <c r="B725" s="33" t="str">
        <f t="shared" si="45"/>
        <v>DWO</v>
      </c>
      <c r="C725" s="33" t="str">
        <f t="shared" si="46"/>
        <v>31301-0000</v>
      </c>
      <c r="D725" s="64" t="s">
        <v>1013</v>
      </c>
      <c r="E725" s="64" t="s">
        <v>1014</v>
      </c>
      <c r="F725" s="64" t="s">
        <v>547</v>
      </c>
      <c r="G725" s="64" t="s">
        <v>142</v>
      </c>
      <c r="H725" s="64" t="s">
        <v>143</v>
      </c>
      <c r="I725" s="64" t="s">
        <v>144</v>
      </c>
      <c r="J725" s="67">
        <v>0</v>
      </c>
      <c r="K725" s="62">
        <v>-70000</v>
      </c>
      <c r="L725" s="33" t="e">
        <f>HLOOKUP(B725,#REF!,1,0)</f>
        <v>#REF!</v>
      </c>
      <c r="M725" s="33" t="str">
        <f t="shared" si="47"/>
        <v>BS</v>
      </c>
    </row>
    <row r="726" spans="1:13" s="33" customFormat="true" ht="12.75" customHeight="true">
      <c r="A726" s="33" t="str">
        <f t="shared" si="44"/>
        <v>DWO - SH Dist</v>
      </c>
      <c r="B726" s="33" t="str">
        <f t="shared" si="45"/>
        <v>DWO</v>
      </c>
      <c r="C726" s="33" t="str">
        <f t="shared" si="46"/>
        <v>31302-0000</v>
      </c>
      <c r="D726" s="64" t="s">
        <v>1015</v>
      </c>
      <c r="E726" s="64" t="s">
        <v>1016</v>
      </c>
      <c r="F726" s="64" t="s">
        <v>547</v>
      </c>
      <c r="G726" s="64" t="s">
        <v>142</v>
      </c>
      <c r="H726" s="64" t="s">
        <v>143</v>
      </c>
      <c r="I726" s="64" t="s">
        <v>144</v>
      </c>
      <c r="J726" s="67">
        <v>0</v>
      </c>
      <c r="K726" s="62">
        <v>-14923.07</v>
      </c>
      <c r="L726" s="33" t="e">
        <f>HLOOKUP(B726,#REF!,1,0)</f>
        <v>#REF!</v>
      </c>
      <c r="M726" s="33" t="str">
        <f t="shared" si="47"/>
        <v>BS</v>
      </c>
    </row>
    <row r="727" spans="1:13" s="33" customFormat="true" ht="12.75" customHeight="true">
      <c r="A727" s="33" t="str">
        <f t="shared" si="44"/>
        <v>DWO - Retained Earnings</v>
      </c>
      <c r="B727" s="33" t="str">
        <f t="shared" si="45"/>
        <v>DWO</v>
      </c>
      <c r="C727" s="33" t="str">
        <f t="shared" si="46"/>
        <v>32000-0000</v>
      </c>
      <c r="D727" s="64" t="s">
        <v>1017</v>
      </c>
      <c r="E727" s="64" t="s">
        <v>234</v>
      </c>
      <c r="F727" s="64" t="s">
        <v>547</v>
      </c>
      <c r="G727" s="64" t="s">
        <v>142</v>
      </c>
      <c r="H727" s="64" t="s">
        <v>149</v>
      </c>
      <c r="I727" s="64" t="s">
        <v>150</v>
      </c>
      <c r="J727" s="67">
        <v>0</v>
      </c>
      <c r="K727" s="62">
        <v>-8688254.91</v>
      </c>
      <c r="L727" s="33" t="e">
        <f>HLOOKUP(B727,#REF!,1,0)</f>
        <v>#REF!</v>
      </c>
      <c r="M727" s="33" t="str">
        <f t="shared" si="47"/>
        <v>BS</v>
      </c>
    </row>
    <row r="728" spans="1:13" s="33" customFormat="true" ht="12.75" customHeight="true">
      <c r="A728" s="33" t="str">
        <f t="shared" si="44"/>
        <v>DWO - SH Dist</v>
      </c>
      <c r="B728" s="33" t="str">
        <f t="shared" si="45"/>
        <v>DWO</v>
      </c>
      <c r="C728" s="33" t="str">
        <f t="shared" si="46"/>
        <v>37001-0000</v>
      </c>
      <c r="D728" s="64" t="s">
        <v>1018</v>
      </c>
      <c r="E728" s="64" t="s">
        <v>1019</v>
      </c>
      <c r="F728" s="64" t="s">
        <v>547</v>
      </c>
      <c r="G728" s="64" t="s">
        <v>142</v>
      </c>
      <c r="H728" s="64" t="s">
        <v>143</v>
      </c>
      <c r="I728" s="64" t="s">
        <v>144</v>
      </c>
      <c r="J728" s="67">
        <v>0</v>
      </c>
      <c r="K728" s="62">
        <v>3762081.15</v>
      </c>
      <c r="L728" s="33" t="e">
        <f>HLOOKUP(B728,#REF!,1,0)</f>
        <v>#REF!</v>
      </c>
      <c r="M728" s="33" t="str">
        <f t="shared" si="47"/>
        <v>BS</v>
      </c>
    </row>
    <row r="729" spans="1:13" s="33" customFormat="true" ht="12.75" customHeight="true">
      <c r="A729" s="33" t="str">
        <f t="shared" si="44"/>
        <v>DWO - SH Dist</v>
      </c>
      <c r="B729" s="33" t="str">
        <f t="shared" si="45"/>
        <v>DWO</v>
      </c>
      <c r="C729" s="33" t="str">
        <f t="shared" si="46"/>
        <v>37101-0000</v>
      </c>
      <c r="D729" s="64" t="s">
        <v>1020</v>
      </c>
      <c r="E729" s="64" t="s">
        <v>1021</v>
      </c>
      <c r="F729" s="64" t="s">
        <v>547</v>
      </c>
      <c r="G729" s="64" t="s">
        <v>142</v>
      </c>
      <c r="H729" s="64" t="s">
        <v>143</v>
      </c>
      <c r="I729" s="64" t="s">
        <v>144</v>
      </c>
      <c r="J729" s="67">
        <v>0</v>
      </c>
      <c r="K729" s="62">
        <v>198562.76</v>
      </c>
      <c r="L729" s="33" t="e">
        <f>HLOOKUP(B729,#REF!,1,0)</f>
        <v>#REF!</v>
      </c>
      <c r="M729" s="33" t="str">
        <f t="shared" si="47"/>
        <v>BS</v>
      </c>
    </row>
    <row r="730" spans="1:13" s="33" customFormat="true" ht="12.75" customHeight="true">
      <c r="A730" s="33" t="str">
        <f t="shared" si="44"/>
        <v>DWO - SH Dist</v>
      </c>
      <c r="B730" s="33" t="str">
        <f t="shared" si="45"/>
        <v>DWO</v>
      </c>
      <c r="C730" s="33" t="str">
        <f t="shared" si="46"/>
        <v>37102-0000</v>
      </c>
      <c r="D730" s="64" t="s">
        <v>1022</v>
      </c>
      <c r="E730" s="64" t="s">
        <v>1023</v>
      </c>
      <c r="F730" s="64" t="s">
        <v>547</v>
      </c>
      <c r="G730" s="64" t="s">
        <v>142</v>
      </c>
      <c r="H730" s="64" t="s">
        <v>143</v>
      </c>
      <c r="I730" s="64" t="s">
        <v>144</v>
      </c>
      <c r="J730" s="67">
        <v>0</v>
      </c>
      <c r="K730" s="62">
        <v>4808.19</v>
      </c>
      <c r="L730" s="33" t="e">
        <f>HLOOKUP(B730,#REF!,1,0)</f>
        <v>#REF!</v>
      </c>
      <c r="M730" s="33" t="str">
        <f t="shared" si="47"/>
        <v>BS</v>
      </c>
    </row>
    <row r="731" spans="1:13" s="33" customFormat="true" ht="12.75" customHeight="true">
      <c r="A731" s="33" t="str">
        <f t="shared" si="44"/>
        <v>DWO - SH Dist</v>
      </c>
      <c r="B731" s="33" t="str">
        <f t="shared" si="45"/>
        <v>DWO</v>
      </c>
      <c r="C731" s="33" t="str">
        <f t="shared" si="46"/>
        <v>37201-0000</v>
      </c>
      <c r="D731" s="64" t="s">
        <v>1024</v>
      </c>
      <c r="E731" s="64" t="s">
        <v>1025</v>
      </c>
      <c r="F731" s="64" t="s">
        <v>547</v>
      </c>
      <c r="G731" s="64" t="s">
        <v>142</v>
      </c>
      <c r="H731" s="64" t="s">
        <v>143</v>
      </c>
      <c r="I731" s="64" t="s">
        <v>144</v>
      </c>
      <c r="J731" s="67">
        <v>0</v>
      </c>
      <c r="K731" s="62">
        <v>10296</v>
      </c>
      <c r="L731" s="33" t="e">
        <f>HLOOKUP(B731,#REF!,1,0)</f>
        <v>#REF!</v>
      </c>
      <c r="M731" s="33" t="str">
        <f t="shared" si="47"/>
        <v>BS</v>
      </c>
    </row>
    <row r="732" spans="1:13" s="33" customFormat="true" ht="12.75" customHeight="true">
      <c r="A732" s="33" t="str">
        <f t="shared" si="44"/>
        <v>DWO - SH Dist</v>
      </c>
      <c r="B732" s="33" t="str">
        <f t="shared" si="45"/>
        <v>DWO</v>
      </c>
      <c r="C732" s="33" t="str">
        <f t="shared" si="46"/>
        <v>37202-0000</v>
      </c>
      <c r="D732" s="64" t="s">
        <v>1026</v>
      </c>
      <c r="E732" s="64" t="s">
        <v>1027</v>
      </c>
      <c r="F732" s="64" t="s">
        <v>547</v>
      </c>
      <c r="G732" s="64" t="s">
        <v>142</v>
      </c>
      <c r="H732" s="64" t="s">
        <v>143</v>
      </c>
      <c r="I732" s="64" t="s">
        <v>144</v>
      </c>
      <c r="J732" s="67">
        <v>0</v>
      </c>
      <c r="K732" s="62">
        <v>5789.83</v>
      </c>
      <c r="L732" s="33" t="e">
        <f>HLOOKUP(B732,#REF!,1,0)</f>
        <v>#REF!</v>
      </c>
      <c r="M732" s="33" t="str">
        <f t="shared" si="47"/>
        <v>BS</v>
      </c>
    </row>
    <row r="733" spans="1:13" s="33" customFormat="true" ht="12.75" customHeight="true">
      <c r="A733" s="33" t="str">
        <f t="shared" si="44"/>
        <v>DWO - SH Dist</v>
      </c>
      <c r="B733" s="33" t="str">
        <f t="shared" si="45"/>
        <v>DWO</v>
      </c>
      <c r="C733" s="33" t="str">
        <f t="shared" si="46"/>
        <v>37203-0000</v>
      </c>
      <c r="D733" s="64" t="s">
        <v>1028</v>
      </c>
      <c r="E733" s="64" t="s">
        <v>1029</v>
      </c>
      <c r="F733" s="64" t="s">
        <v>547</v>
      </c>
      <c r="G733" s="64" t="s">
        <v>142</v>
      </c>
      <c r="H733" s="64" t="s">
        <v>143</v>
      </c>
      <c r="I733" s="64" t="s">
        <v>144</v>
      </c>
      <c r="J733" s="67">
        <v>0</v>
      </c>
      <c r="K733" s="62">
        <v>3000</v>
      </c>
      <c r="L733" s="33" t="e">
        <f>HLOOKUP(B733,#REF!,1,0)</f>
        <v>#REF!</v>
      </c>
      <c r="M733" s="33" t="str">
        <f t="shared" si="47"/>
        <v>BS</v>
      </c>
    </row>
    <row r="734" spans="1:13" s="33" customFormat="true" ht="12.75" customHeight="true">
      <c r="A734" s="33" t="str">
        <f t="shared" si="44"/>
        <v>DWO - SH Dist</v>
      </c>
      <c r="B734" s="33" t="str">
        <f t="shared" si="45"/>
        <v>DWO</v>
      </c>
      <c r="C734" s="33" t="str">
        <f t="shared" si="46"/>
        <v>37204-0000</v>
      </c>
      <c r="D734" s="64" t="s">
        <v>1030</v>
      </c>
      <c r="E734" s="64" t="s">
        <v>1031</v>
      </c>
      <c r="F734" s="64" t="s">
        <v>547</v>
      </c>
      <c r="G734" s="64" t="s">
        <v>142</v>
      </c>
      <c r="H734" s="64" t="s">
        <v>143</v>
      </c>
      <c r="I734" s="64" t="s">
        <v>144</v>
      </c>
      <c r="J734" s="67">
        <v>0</v>
      </c>
      <c r="K734" s="62">
        <v>51651.13</v>
      </c>
      <c r="L734" s="33" t="e">
        <f>HLOOKUP(B734,#REF!,1,0)</f>
        <v>#REF!</v>
      </c>
      <c r="M734" s="33" t="str">
        <f t="shared" si="47"/>
        <v>BS</v>
      </c>
    </row>
    <row r="735" spans="1:13" s="33" customFormat="true" ht="12.75" customHeight="true">
      <c r="A735" s="33" t="str">
        <f t="shared" si="44"/>
        <v>DWO - SH Dist</v>
      </c>
      <c r="B735" s="33" t="str">
        <f t="shared" si="45"/>
        <v>DWO</v>
      </c>
      <c r="C735" s="33" t="str">
        <f t="shared" si="46"/>
        <v>37301-0000</v>
      </c>
      <c r="D735" s="64" t="s">
        <v>1032</v>
      </c>
      <c r="E735" s="64" t="s">
        <v>1033</v>
      </c>
      <c r="F735" s="64" t="s">
        <v>547</v>
      </c>
      <c r="G735" s="64" t="s">
        <v>142</v>
      </c>
      <c r="H735" s="64" t="s">
        <v>143</v>
      </c>
      <c r="I735" s="64" t="s">
        <v>144</v>
      </c>
      <c r="J735" s="67">
        <v>0</v>
      </c>
      <c r="K735" s="62">
        <v>86205.67</v>
      </c>
      <c r="L735" s="33" t="e">
        <f>HLOOKUP(B735,#REF!,1,0)</f>
        <v>#REF!</v>
      </c>
      <c r="M735" s="33" t="str">
        <f t="shared" si="47"/>
        <v>BS</v>
      </c>
    </row>
    <row r="736" spans="1:13" s="33" customFormat="true" ht="12.75" customHeight="true">
      <c r="A736" s="33" t="str">
        <f t="shared" si="44"/>
        <v>DWO - SH Dist</v>
      </c>
      <c r="B736" s="33" t="str">
        <f t="shared" si="45"/>
        <v>DWO</v>
      </c>
      <c r="C736" s="33" t="str">
        <f t="shared" si="46"/>
        <v>37302-0000</v>
      </c>
      <c r="D736" s="64" t="s">
        <v>1034</v>
      </c>
      <c r="E736" s="64" t="s">
        <v>1035</v>
      </c>
      <c r="F736" s="64" t="s">
        <v>547</v>
      </c>
      <c r="G736" s="64" t="s">
        <v>142</v>
      </c>
      <c r="H736" s="64" t="s">
        <v>143</v>
      </c>
      <c r="I736" s="64" t="s">
        <v>144</v>
      </c>
      <c r="J736" s="67">
        <v>0</v>
      </c>
      <c r="K736" s="62">
        <v>7381.76</v>
      </c>
      <c r="L736" s="33" t="e">
        <f>HLOOKUP(B736,#REF!,1,0)</f>
        <v>#REF!</v>
      </c>
      <c r="M736" s="33" t="str">
        <f t="shared" si="47"/>
        <v>BS</v>
      </c>
    </row>
    <row r="737" spans="1:13" s="33" customFormat="true" ht="12.75" customHeight="true">
      <c r="A737" s="33" t="str">
        <f t="shared" si="44"/>
        <v>DWO - SH Dist</v>
      </c>
      <c r="B737" s="33" t="str">
        <f t="shared" si="45"/>
        <v>DWO</v>
      </c>
      <c r="C737" s="33" t="str">
        <f t="shared" si="46"/>
        <v>38102-0000</v>
      </c>
      <c r="D737" s="64" t="s">
        <v>1036</v>
      </c>
      <c r="E737" s="64" t="s">
        <v>1037</v>
      </c>
      <c r="F737" s="64" t="s">
        <v>547</v>
      </c>
      <c r="G737" s="64" t="s">
        <v>142</v>
      </c>
      <c r="H737" s="64" t="s">
        <v>143</v>
      </c>
      <c r="I737" s="64" t="s">
        <v>144</v>
      </c>
      <c r="J737" s="67">
        <v>0</v>
      </c>
      <c r="K737" s="62">
        <v>3415.42</v>
      </c>
      <c r="L737" s="33" t="e">
        <f>HLOOKUP(B737,#REF!,1,0)</f>
        <v>#REF!</v>
      </c>
      <c r="M737" s="33" t="str">
        <f t="shared" si="47"/>
        <v>BS</v>
      </c>
    </row>
    <row r="738" spans="1:13" s="33" customFormat="true" ht="12.75" customHeight="true">
      <c r="A738" s="33" t="str">
        <f t="shared" si="44"/>
        <v>DWO - SH Dist</v>
      </c>
      <c r="B738" s="33" t="str">
        <f t="shared" si="45"/>
        <v>DWO</v>
      </c>
      <c r="C738" s="33" t="str">
        <f t="shared" si="46"/>
        <v>38202-0000</v>
      </c>
      <c r="D738" s="64" t="s">
        <v>1038</v>
      </c>
      <c r="E738" s="64" t="s">
        <v>1039</v>
      </c>
      <c r="F738" s="64" t="s">
        <v>547</v>
      </c>
      <c r="G738" s="64" t="s">
        <v>142</v>
      </c>
      <c r="H738" s="64" t="s">
        <v>143</v>
      </c>
      <c r="I738" s="64" t="s">
        <v>144</v>
      </c>
      <c r="J738" s="67">
        <v>0</v>
      </c>
      <c r="K738" s="62">
        <v>3013.6</v>
      </c>
      <c r="L738" s="33" t="e">
        <f>HLOOKUP(B738,#REF!,1,0)</f>
        <v>#REF!</v>
      </c>
      <c r="M738" s="33" t="str">
        <f t="shared" si="47"/>
        <v>BS</v>
      </c>
    </row>
    <row r="739" spans="1:13" s="33" customFormat="true" ht="12.75" customHeight="true">
      <c r="A739" s="33" t="str">
        <f t="shared" si="44"/>
        <v>DWO - SH Dist</v>
      </c>
      <c r="B739" s="33" t="str">
        <f t="shared" si="45"/>
        <v>DWO</v>
      </c>
      <c r="C739" s="33" t="str">
        <f t="shared" si="46"/>
        <v>38204-0000</v>
      </c>
      <c r="D739" s="64" t="s">
        <v>1040</v>
      </c>
      <c r="E739" s="64" t="s">
        <v>1041</v>
      </c>
      <c r="F739" s="64" t="s">
        <v>547</v>
      </c>
      <c r="G739" s="64" t="s">
        <v>142</v>
      </c>
      <c r="H739" s="64" t="s">
        <v>143</v>
      </c>
      <c r="I739" s="64" t="s">
        <v>144</v>
      </c>
      <c r="J739" s="67">
        <v>0</v>
      </c>
      <c r="K739" s="62">
        <v>15068.02</v>
      </c>
      <c r="L739" s="33" t="e">
        <f>HLOOKUP(B739,#REF!,1,0)</f>
        <v>#REF!</v>
      </c>
      <c r="M739" s="33" t="str">
        <f t="shared" si="47"/>
        <v>BS</v>
      </c>
    </row>
    <row r="740" spans="1:13" s="33" customFormat="true" ht="12.75" customHeight="true">
      <c r="A740" s="33" t="str">
        <f t="shared" si="44"/>
        <v>DWO - SH Dist</v>
      </c>
      <c r="B740" s="33" t="str">
        <f t="shared" si="45"/>
        <v>DWO</v>
      </c>
      <c r="C740" s="33" t="str">
        <f t="shared" si="46"/>
        <v>38301-0000</v>
      </c>
      <c r="D740" s="64" t="s">
        <v>1042</v>
      </c>
      <c r="E740" s="64" t="s">
        <v>1043</v>
      </c>
      <c r="F740" s="64" t="s">
        <v>547</v>
      </c>
      <c r="G740" s="64" t="s">
        <v>142</v>
      </c>
      <c r="H740" s="64" t="s">
        <v>143</v>
      </c>
      <c r="I740" s="64" t="s">
        <v>144</v>
      </c>
      <c r="J740" s="67">
        <v>0</v>
      </c>
      <c r="K740" s="62">
        <v>26117.91</v>
      </c>
      <c r="L740" s="33" t="e">
        <f>HLOOKUP(B740,#REF!,1,0)</f>
        <v>#REF!</v>
      </c>
      <c r="M740" s="33" t="str">
        <f t="shared" si="47"/>
        <v>BS</v>
      </c>
    </row>
    <row r="741" spans="1:13" s="33" customFormat="true" ht="12.75" customHeight="true">
      <c r="A741" s="33" t="str">
        <f t="shared" si="44"/>
        <v>DWO - SH Dist</v>
      </c>
      <c r="B741" s="33" t="str">
        <f t="shared" si="45"/>
        <v>DWO</v>
      </c>
      <c r="C741" s="33" t="str">
        <f t="shared" si="46"/>
        <v>38302-0000</v>
      </c>
      <c r="D741" s="64" t="s">
        <v>1044</v>
      </c>
      <c r="E741" s="64" t="s">
        <v>1045</v>
      </c>
      <c r="F741" s="64" t="s">
        <v>547</v>
      </c>
      <c r="G741" s="64" t="s">
        <v>142</v>
      </c>
      <c r="H741" s="64" t="s">
        <v>143</v>
      </c>
      <c r="I741" s="64" t="s">
        <v>144</v>
      </c>
      <c r="J741" s="67">
        <v>0</v>
      </c>
      <c r="K741" s="62">
        <v>4018.14</v>
      </c>
      <c r="L741" s="33" t="e">
        <f>HLOOKUP(B741,#REF!,1,0)</f>
        <v>#REF!</v>
      </c>
      <c r="M741" s="33" t="str">
        <f t="shared" si="47"/>
        <v>BS</v>
      </c>
    </row>
    <row r="742" spans="1:13" s="33" customFormat="true" ht="12.75" customHeight="true">
      <c r="A742" s="33" t="str">
        <f t="shared" si="44"/>
        <v>DWO - SH Dist</v>
      </c>
      <c r="B742" s="33" t="str">
        <f t="shared" si="45"/>
        <v>DWO</v>
      </c>
      <c r="C742" s="33" t="str">
        <f t="shared" si="46"/>
        <v>38303-0000</v>
      </c>
      <c r="D742" s="64" t="s">
        <v>1046</v>
      </c>
      <c r="E742" s="64" t="s">
        <v>1047</v>
      </c>
      <c r="F742" s="64" t="s">
        <v>547</v>
      </c>
      <c r="G742" s="64" t="s">
        <v>142</v>
      </c>
      <c r="H742" s="64" t="s">
        <v>143</v>
      </c>
      <c r="I742" s="64" t="s">
        <v>144</v>
      </c>
      <c r="J742" s="67">
        <v>0</v>
      </c>
      <c r="K742" s="62">
        <v>50226.75</v>
      </c>
      <c r="L742" s="33" t="e">
        <f>HLOOKUP(B742,#REF!,1,0)</f>
        <v>#REF!</v>
      </c>
      <c r="M742" s="33" t="str">
        <f t="shared" si="47"/>
        <v>BS</v>
      </c>
    </row>
    <row r="743" spans="1:13" s="33" customFormat="true" ht="12.75" customHeight="true">
      <c r="A743" s="33" t="str">
        <f t="shared" si="44"/>
        <v>EAG - Cash</v>
      </c>
      <c r="B743" s="33" t="str">
        <f t="shared" si="45"/>
        <v>EAG</v>
      </c>
      <c r="C743" s="33" t="str">
        <f t="shared" si="46"/>
        <v>10001-0000</v>
      </c>
      <c r="D743" s="64" t="s">
        <v>1048</v>
      </c>
      <c r="E743" s="64" t="s">
        <v>240</v>
      </c>
      <c r="F743" s="64" t="s">
        <v>230</v>
      </c>
      <c r="G743" s="64" t="s">
        <v>16</v>
      </c>
      <c r="H743" s="64" t="s">
        <v>25</v>
      </c>
      <c r="I743" s="64" t="s">
        <v>18</v>
      </c>
      <c r="J743" s="67">
        <v>28923.79</v>
      </c>
      <c r="K743" s="62">
        <v>85737.62</v>
      </c>
      <c r="L743" s="33" t="e">
        <f>HLOOKUP(B743,#REF!,1,0)</f>
        <v>#REF!</v>
      </c>
      <c r="M743" s="33" t="str">
        <f t="shared" si="47"/>
        <v>BS</v>
      </c>
    </row>
    <row r="744" spans="1:13" s="33" customFormat="true" ht="12.75" customHeight="true">
      <c r="A744" s="33" t="str">
        <f t="shared" si="44"/>
        <v>EAG - CASH</v>
      </c>
      <c r="B744" s="33" t="str">
        <f t="shared" si="45"/>
        <v>EAG</v>
      </c>
      <c r="C744" s="33" t="str">
        <f t="shared" si="46"/>
        <v>10003-0000</v>
      </c>
      <c r="D744" s="64" t="s">
        <v>1049</v>
      </c>
      <c r="E744" s="64" t="s">
        <v>357</v>
      </c>
      <c r="F744" s="64" t="s">
        <v>230</v>
      </c>
      <c r="G744" s="64" t="s">
        <v>16</v>
      </c>
      <c r="H744" s="64" t="s">
        <v>358</v>
      </c>
      <c r="I744" s="64" t="s">
        <v>18</v>
      </c>
      <c r="J744" s="67">
        <v>0</v>
      </c>
      <c r="K744" s="62">
        <v>70</v>
      </c>
      <c r="L744" s="33" t="e">
        <f>HLOOKUP(B744,#REF!,1,0)</f>
        <v>#REF!</v>
      </c>
      <c r="M744" s="33" t="str">
        <f t="shared" si="47"/>
        <v>BS</v>
      </c>
    </row>
    <row r="745" spans="1:13" s="33" customFormat="true" ht="12.75" customHeight="true">
      <c r="A745" s="33" t="str">
        <f t="shared" si="44"/>
        <v>EAG - AR-PPD</v>
      </c>
      <c r="B745" s="33" t="str">
        <f t="shared" si="45"/>
        <v>EAG</v>
      </c>
      <c r="C745" s="33" t="str">
        <f t="shared" si="46"/>
        <v>11000-0000</v>
      </c>
      <c r="D745" s="64" t="s">
        <v>1050</v>
      </c>
      <c r="E745" s="64" t="s">
        <v>34</v>
      </c>
      <c r="F745" s="64" t="s">
        <v>230</v>
      </c>
      <c r="G745" s="64" t="s">
        <v>16</v>
      </c>
      <c r="H745" s="64" t="s">
        <v>35</v>
      </c>
      <c r="I745" s="64" t="s">
        <v>36</v>
      </c>
      <c r="J745" s="67">
        <v>0</v>
      </c>
      <c r="K745" s="62">
        <v>0</v>
      </c>
      <c r="L745" s="33" t="e">
        <f>HLOOKUP(B745,#REF!,1,0)</f>
        <v>#REF!</v>
      </c>
      <c r="M745" s="33" t="str">
        <f t="shared" si="47"/>
        <v>BS</v>
      </c>
    </row>
    <row r="746" spans="1:13" s="33" customFormat="true" ht="12.75" customHeight="true">
      <c r="A746" s="33" t="str">
        <f t="shared" si="44"/>
        <v>EAG - Intercompany D7</v>
      </c>
      <c r="B746" s="33" t="str">
        <f t="shared" si="45"/>
        <v>EAG</v>
      </c>
      <c r="C746" s="33" t="str">
        <f t="shared" si="46"/>
        <v>11214-0000</v>
      </c>
      <c r="D746" s="64" t="s">
        <v>1051</v>
      </c>
      <c r="E746" s="64" t="s">
        <v>1052</v>
      </c>
      <c r="F746" s="64" t="s">
        <v>230</v>
      </c>
      <c r="G746" s="64" t="s">
        <v>16</v>
      </c>
      <c r="H746" s="64" t="s">
        <v>1053</v>
      </c>
      <c r="I746" s="64" t="s">
        <v>40</v>
      </c>
      <c r="J746" s="67">
        <v>0</v>
      </c>
      <c r="K746" s="62">
        <v>-269000</v>
      </c>
      <c r="L746" s="33" t="e">
        <f>HLOOKUP(B746,#REF!,1,0)</f>
        <v>#REF!</v>
      </c>
      <c r="M746" s="33" t="str">
        <f t="shared" si="47"/>
        <v>BS</v>
      </c>
    </row>
    <row r="747" spans="1:13" s="33" customFormat="true" ht="12.75" customHeight="true">
      <c r="A747" s="33" t="str">
        <f t="shared" si="44"/>
        <v>EAG - Intercompany</v>
      </c>
      <c r="B747" s="33" t="str">
        <f t="shared" si="45"/>
        <v>EAG</v>
      </c>
      <c r="C747" s="33" t="str">
        <f t="shared" si="46"/>
        <v>11216-0000</v>
      </c>
      <c r="D747" s="64" t="s">
        <v>1054</v>
      </c>
      <c r="E747" s="64" t="s">
        <v>242</v>
      </c>
      <c r="F747" s="64" t="s">
        <v>230</v>
      </c>
      <c r="G747" s="64" t="s">
        <v>16</v>
      </c>
      <c r="H747" s="64" t="s">
        <v>39</v>
      </c>
      <c r="I747" s="64" t="s">
        <v>40</v>
      </c>
      <c r="J747" s="67">
        <v>1395.12</v>
      </c>
      <c r="K747" s="62">
        <v>51955.22</v>
      </c>
      <c r="L747" s="33" t="e">
        <f>HLOOKUP(B747,#REF!,1,0)</f>
        <v>#REF!</v>
      </c>
      <c r="M747" s="33" t="str">
        <f t="shared" si="47"/>
        <v>BS</v>
      </c>
    </row>
    <row r="748" spans="1:13" s="33" customFormat="true" ht="12.75" customHeight="true">
      <c r="A748" s="33" t="str">
        <f t="shared" si="44"/>
        <v>EAG - Intercompany</v>
      </c>
      <c r="B748" s="33" t="str">
        <f t="shared" si="45"/>
        <v>EAG</v>
      </c>
      <c r="C748" s="33" t="str">
        <f t="shared" si="46"/>
        <v>11305-0000</v>
      </c>
      <c r="D748" s="64" t="s">
        <v>1055</v>
      </c>
      <c r="E748" s="64" t="s">
        <v>252</v>
      </c>
      <c r="F748" s="64" t="s">
        <v>230</v>
      </c>
      <c r="G748" s="64" t="s">
        <v>16</v>
      </c>
      <c r="H748" s="64" t="s">
        <v>39</v>
      </c>
      <c r="I748" s="64" t="s">
        <v>40</v>
      </c>
      <c r="J748" s="67">
        <v>0</v>
      </c>
      <c r="K748" s="62">
        <v>30000</v>
      </c>
      <c r="L748" s="33" t="e">
        <f>HLOOKUP(B748,#REF!,1,0)</f>
        <v>#REF!</v>
      </c>
      <c r="M748" s="33" t="str">
        <f t="shared" si="47"/>
        <v>BS</v>
      </c>
    </row>
    <row r="749" spans="1:13" s="33" customFormat="true" ht="12.75" customHeight="true">
      <c r="A749" s="33" t="str">
        <f t="shared" si="44"/>
        <v>EAG - Intercompany</v>
      </c>
      <c r="B749" s="33" t="str">
        <f t="shared" si="45"/>
        <v>EAG</v>
      </c>
      <c r="C749" s="33" t="str">
        <f t="shared" si="46"/>
        <v>11317-0000</v>
      </c>
      <c r="D749" s="64" t="s">
        <v>1056</v>
      </c>
      <c r="E749" s="64" t="s">
        <v>368</v>
      </c>
      <c r="F749" s="64" t="s">
        <v>230</v>
      </c>
      <c r="G749" s="64" t="s">
        <v>16</v>
      </c>
      <c r="H749" s="64" t="s">
        <v>39</v>
      </c>
      <c r="I749" s="64" t="s">
        <v>40</v>
      </c>
      <c r="J749" s="67">
        <v>0</v>
      </c>
      <c r="K749" s="62">
        <v>-25000</v>
      </c>
      <c r="L749" s="33" t="e">
        <f>HLOOKUP(B749,#REF!,1,0)</f>
        <v>#REF!</v>
      </c>
      <c r="M749" s="33" t="str">
        <f t="shared" si="47"/>
        <v>BS</v>
      </c>
    </row>
    <row r="750" spans="1:13" s="33" customFormat="true" ht="12.75" customHeight="true">
      <c r="A750" s="33" t="str">
        <f t="shared" si="44"/>
        <v>EAG - Intercompany</v>
      </c>
      <c r="B750" s="33" t="str">
        <f t="shared" si="45"/>
        <v>EAG</v>
      </c>
      <c r="C750" s="33" t="str">
        <f t="shared" si="46"/>
        <v>11332-0000</v>
      </c>
      <c r="D750" s="64" t="s">
        <v>1057</v>
      </c>
      <c r="E750" s="64" t="s">
        <v>331</v>
      </c>
      <c r="F750" s="64" t="s">
        <v>230</v>
      </c>
      <c r="G750" s="64" t="s">
        <v>362</v>
      </c>
      <c r="H750" s="64" t="s">
        <v>39</v>
      </c>
      <c r="I750" s="64" t="s">
        <v>40</v>
      </c>
      <c r="J750" s="67">
        <v>0</v>
      </c>
      <c r="K750" s="62">
        <v>35000</v>
      </c>
      <c r="L750" s="33" t="e">
        <f>HLOOKUP(B750,#REF!,1,0)</f>
        <v>#REF!</v>
      </c>
      <c r="M750" s="33" t="str">
        <f t="shared" si="47"/>
        <v>BS</v>
      </c>
    </row>
    <row r="751" spans="1:13" s="33" customFormat="true" ht="12.75" customHeight="true">
      <c r="A751" s="33" t="str">
        <f t="shared" si="44"/>
        <v>EAG - Intercompany</v>
      </c>
      <c r="B751" s="33" t="str">
        <f t="shared" si="45"/>
        <v>EAG</v>
      </c>
      <c r="C751" s="33" t="str">
        <f t="shared" si="46"/>
        <v>11333-0000</v>
      </c>
      <c r="D751" s="64" t="s">
        <v>1058</v>
      </c>
      <c r="E751" s="64" t="s">
        <v>284</v>
      </c>
      <c r="F751" s="64" t="s">
        <v>230</v>
      </c>
      <c r="G751" s="64" t="s">
        <v>16</v>
      </c>
      <c r="H751" s="64" t="s">
        <v>39</v>
      </c>
      <c r="I751" s="64" t="s">
        <v>40</v>
      </c>
      <c r="J751" s="67">
        <v>0</v>
      </c>
      <c r="K751" s="62">
        <v>-10000</v>
      </c>
      <c r="L751" s="33" t="e">
        <f>HLOOKUP(B751,#REF!,1,0)</f>
        <v>#REF!</v>
      </c>
      <c r="M751" s="33" t="str">
        <f t="shared" si="47"/>
        <v>BS</v>
      </c>
    </row>
    <row r="752" spans="1:13" s="33" customFormat="true" ht="12.75" customHeight="true">
      <c r="A752" s="33" t="str">
        <f t="shared" si="44"/>
        <v>EAG - Intercompany</v>
      </c>
      <c r="B752" s="33" t="str">
        <f t="shared" si="45"/>
        <v>EAG</v>
      </c>
      <c r="C752" s="33" t="str">
        <f t="shared" si="46"/>
        <v>11335-0000</v>
      </c>
      <c r="D752" s="64" t="s">
        <v>1059</v>
      </c>
      <c r="E752" s="64" t="s">
        <v>288</v>
      </c>
      <c r="F752" s="64" t="s">
        <v>230</v>
      </c>
      <c r="G752" s="64" t="s">
        <v>16</v>
      </c>
      <c r="H752" s="64" t="s">
        <v>39</v>
      </c>
      <c r="I752" s="64" t="s">
        <v>40</v>
      </c>
      <c r="J752" s="67">
        <v>0</v>
      </c>
      <c r="K752" s="62">
        <v>20000</v>
      </c>
      <c r="L752" s="33" t="e">
        <f>HLOOKUP(B752,#REF!,1,0)</f>
        <v>#REF!</v>
      </c>
      <c r="M752" s="33" t="str">
        <f t="shared" si="47"/>
        <v>BS</v>
      </c>
    </row>
    <row r="753" spans="1:13" s="33" customFormat="true" ht="12.75" customHeight="true">
      <c r="A753" s="33" t="str">
        <f t="shared" si="44"/>
        <v>EAG - Intercompany</v>
      </c>
      <c r="B753" s="33" t="str">
        <f t="shared" si="45"/>
        <v>EAG</v>
      </c>
      <c r="C753" s="33" t="str">
        <f t="shared" si="46"/>
        <v>11343-0000</v>
      </c>
      <c r="D753" s="64" t="s">
        <v>1060</v>
      </c>
      <c r="E753" s="64" t="s">
        <v>600</v>
      </c>
      <c r="F753" s="64" t="s">
        <v>230</v>
      </c>
      <c r="G753" s="64" t="s">
        <v>16</v>
      </c>
      <c r="H753" s="64" t="s">
        <v>39</v>
      </c>
      <c r="I753" s="64" t="s">
        <v>40</v>
      </c>
      <c r="J753" s="67">
        <v>0</v>
      </c>
      <c r="K753" s="62">
        <v>79900</v>
      </c>
      <c r="L753" s="33" t="e">
        <f>HLOOKUP(B753,#REF!,1,0)</f>
        <v>#REF!</v>
      </c>
      <c r="M753" s="33" t="str">
        <f t="shared" si="47"/>
        <v>BS</v>
      </c>
    </row>
    <row r="754" spans="1:13" s="33" customFormat="true" ht="12.75" customHeight="true">
      <c r="A754" s="33" t="str">
        <f t="shared" si="44"/>
        <v>EAG - Intercompany</v>
      </c>
      <c r="B754" s="33" t="str">
        <f t="shared" si="45"/>
        <v>EAG</v>
      </c>
      <c r="C754" s="33" t="str">
        <f t="shared" si="46"/>
        <v>11402-0000</v>
      </c>
      <c r="D754" s="64" t="s">
        <v>1061</v>
      </c>
      <c r="E754" s="64" t="s">
        <v>1062</v>
      </c>
      <c r="F754" s="64" t="s">
        <v>230</v>
      </c>
      <c r="G754" s="64" t="s">
        <v>16</v>
      </c>
      <c r="H754" s="64" t="s">
        <v>39</v>
      </c>
      <c r="I754" s="64" t="s">
        <v>40</v>
      </c>
      <c r="J754" s="67">
        <v>0</v>
      </c>
      <c r="K754" s="62">
        <v>20000</v>
      </c>
      <c r="L754" s="33" t="e">
        <f>HLOOKUP(B754,#REF!,1,0)</f>
        <v>#REF!</v>
      </c>
      <c r="M754" s="33" t="str">
        <f t="shared" si="47"/>
        <v>BS</v>
      </c>
    </row>
    <row r="755" spans="1:13" s="33" customFormat="true" ht="12.75" customHeight="true">
      <c r="A755" s="33" t="str">
        <f t="shared" si="44"/>
        <v>EAG - AR-PPD</v>
      </c>
      <c r="B755" s="33" t="str">
        <f t="shared" si="45"/>
        <v>EAG</v>
      </c>
      <c r="C755" s="33" t="str">
        <f t="shared" si="46"/>
        <v>12200-0000</v>
      </c>
      <c r="D755" s="64" t="s">
        <v>1063</v>
      </c>
      <c r="E755" s="64" t="s">
        <v>294</v>
      </c>
      <c r="F755" s="64" t="s">
        <v>230</v>
      </c>
      <c r="G755" s="64" t="s">
        <v>62</v>
      </c>
      <c r="H755" s="64" t="s">
        <v>35</v>
      </c>
      <c r="I755" s="64" t="s">
        <v>64</v>
      </c>
      <c r="J755" s="67">
        <v>0</v>
      </c>
      <c r="K755" s="62">
        <v>51325</v>
      </c>
      <c r="L755" s="33" t="e">
        <f>HLOOKUP(B755,#REF!,1,0)</f>
        <v>#REF!</v>
      </c>
      <c r="M755" s="33" t="str">
        <f t="shared" si="47"/>
        <v>BS</v>
      </c>
    </row>
    <row r="756" spans="1:13" s="33" customFormat="true" ht="12.75" customHeight="true">
      <c r="A756" s="33" t="str">
        <f t="shared" si="44"/>
        <v>EAG - Fixed Assets</v>
      </c>
      <c r="B756" s="33" t="str">
        <f t="shared" si="45"/>
        <v>EAG</v>
      </c>
      <c r="C756" s="33" t="str">
        <f t="shared" si="46"/>
        <v>14000-0000</v>
      </c>
      <c r="D756" s="64" t="s">
        <v>1064</v>
      </c>
      <c r="E756" s="64" t="s">
        <v>298</v>
      </c>
      <c r="F756" s="64" t="s">
        <v>230</v>
      </c>
      <c r="G756" s="64" t="s">
        <v>62</v>
      </c>
      <c r="H756" s="64" t="s">
        <v>63</v>
      </c>
      <c r="I756" s="64" t="s">
        <v>64</v>
      </c>
      <c r="J756" s="67">
        <v>0</v>
      </c>
      <c r="K756" s="62">
        <v>1766490</v>
      </c>
      <c r="L756" s="33" t="e">
        <f>HLOOKUP(B756,#REF!,1,0)</f>
        <v>#REF!</v>
      </c>
      <c r="M756" s="33" t="str">
        <f t="shared" si="47"/>
        <v>BS</v>
      </c>
    </row>
    <row r="757" spans="1:13" s="33" customFormat="true" ht="12.75" customHeight="true">
      <c r="A757" s="33" t="str">
        <f t="shared" si="44"/>
        <v>EAG - Fixed Assets</v>
      </c>
      <c r="B757" s="33" t="str">
        <f t="shared" si="45"/>
        <v>EAG</v>
      </c>
      <c r="C757" s="33" t="str">
        <f t="shared" si="46"/>
        <v>15000-0000</v>
      </c>
      <c r="D757" s="64" t="s">
        <v>1065</v>
      </c>
      <c r="E757" s="64" t="s">
        <v>300</v>
      </c>
      <c r="F757" s="64" t="s">
        <v>230</v>
      </c>
      <c r="G757" s="64" t="s">
        <v>62</v>
      </c>
      <c r="H757" s="64" t="s">
        <v>63</v>
      </c>
      <c r="I757" s="64" t="s">
        <v>64</v>
      </c>
      <c r="J757" s="67">
        <v>0</v>
      </c>
      <c r="K757" s="62">
        <v>3533510</v>
      </c>
      <c r="L757" s="33" t="e">
        <f>HLOOKUP(B757,#REF!,1,0)</f>
        <v>#REF!</v>
      </c>
      <c r="M757" s="33" t="str">
        <f t="shared" si="47"/>
        <v>BS</v>
      </c>
    </row>
    <row r="758" spans="1:13" s="33" customFormat="true" ht="12.75" customHeight="true">
      <c r="A758" s="33" t="str">
        <f t="shared" si="44"/>
        <v>EAG - Fixed Assets</v>
      </c>
      <c r="B758" s="33" t="str">
        <f t="shared" si="45"/>
        <v>EAG</v>
      </c>
      <c r="C758" s="33" t="str">
        <f t="shared" si="46"/>
        <v>15500-0000</v>
      </c>
      <c r="D758" s="64" t="s">
        <v>1066</v>
      </c>
      <c r="E758" s="64" t="s">
        <v>302</v>
      </c>
      <c r="F758" s="64" t="s">
        <v>230</v>
      </c>
      <c r="G758" s="64" t="s">
        <v>62</v>
      </c>
      <c r="H758" s="64" t="s">
        <v>63</v>
      </c>
      <c r="I758" s="64" t="s">
        <v>64</v>
      </c>
      <c r="J758" s="67">
        <v>0</v>
      </c>
      <c r="K758" s="62">
        <v>160979.98</v>
      </c>
      <c r="L758" s="33" t="e">
        <f>HLOOKUP(B758,#REF!,1,0)</f>
        <v>#REF!</v>
      </c>
      <c r="M758" s="33" t="str">
        <f t="shared" si="47"/>
        <v>BS</v>
      </c>
    </row>
    <row r="759" spans="1:13" s="33" customFormat="true" ht="12.75" customHeight="true">
      <c r="A759" s="33" t="str">
        <f t="shared" si="44"/>
        <v>EAG - Fixed Assets</v>
      </c>
      <c r="B759" s="33" t="str">
        <f t="shared" si="45"/>
        <v>EAG</v>
      </c>
      <c r="C759" s="33" t="str">
        <f t="shared" si="46"/>
        <v>16000-0000</v>
      </c>
      <c r="D759" s="64" t="s">
        <v>1067</v>
      </c>
      <c r="E759" s="64" t="s">
        <v>304</v>
      </c>
      <c r="F759" s="64" t="s">
        <v>230</v>
      </c>
      <c r="G759" s="64" t="s">
        <v>16</v>
      </c>
      <c r="H759" s="64" t="s">
        <v>63</v>
      </c>
      <c r="I759" s="64" t="s">
        <v>18</v>
      </c>
      <c r="J759" s="67">
        <v>0</v>
      </c>
      <c r="K759" s="62">
        <v>5538</v>
      </c>
      <c r="L759" s="33" t="e">
        <f>HLOOKUP(B759,#REF!,1,0)</f>
        <v>#REF!</v>
      </c>
      <c r="M759" s="33" t="str">
        <f t="shared" si="47"/>
        <v>BS</v>
      </c>
    </row>
    <row r="760" spans="1:13" s="33" customFormat="true" ht="12.75" customHeight="true">
      <c r="A760" s="33" t="str">
        <f t="shared" si="44"/>
        <v>EAG - Fixed Assets</v>
      </c>
      <c r="B760" s="33" t="str">
        <f t="shared" si="45"/>
        <v>EAG</v>
      </c>
      <c r="C760" s="33" t="str">
        <f t="shared" si="46"/>
        <v>17000-0000</v>
      </c>
      <c r="D760" s="64" t="s">
        <v>1068</v>
      </c>
      <c r="E760" s="64" t="s">
        <v>306</v>
      </c>
      <c r="F760" s="64" t="s">
        <v>230</v>
      </c>
      <c r="G760" s="64" t="s">
        <v>62</v>
      </c>
      <c r="H760" s="64" t="s">
        <v>63</v>
      </c>
      <c r="I760" s="64" t="s">
        <v>64</v>
      </c>
      <c r="J760" s="67">
        <v>0</v>
      </c>
      <c r="K760" s="62">
        <v>-1623632</v>
      </c>
      <c r="L760" s="33" t="e">
        <f>HLOOKUP(B760,#REF!,1,0)</f>
        <v>#REF!</v>
      </c>
      <c r="M760" s="33" t="str">
        <f t="shared" si="47"/>
        <v>BS</v>
      </c>
    </row>
    <row r="761" spans="1:13" s="33" customFormat="true" ht="12.75" customHeight="true">
      <c r="A761" s="33" t="str">
        <f t="shared" si="44"/>
        <v>EAG - Fixed Assets</v>
      </c>
      <c r="B761" s="33" t="str">
        <f t="shared" si="45"/>
        <v>EAG</v>
      </c>
      <c r="C761" s="33" t="str">
        <f t="shared" si="46"/>
        <v>18000-0000</v>
      </c>
      <c r="D761" s="64" t="s">
        <v>1069</v>
      </c>
      <c r="E761" s="64" t="s">
        <v>308</v>
      </c>
      <c r="F761" s="64" t="s">
        <v>230</v>
      </c>
      <c r="G761" s="64" t="s">
        <v>62</v>
      </c>
      <c r="H761" s="64" t="s">
        <v>63</v>
      </c>
      <c r="I761" s="64" t="s">
        <v>64</v>
      </c>
      <c r="J761" s="67">
        <v>0</v>
      </c>
      <c r="K761" s="62">
        <v>-25215</v>
      </c>
      <c r="L761" s="33" t="e">
        <f>HLOOKUP(B761,#REF!,1,0)</f>
        <v>#REF!</v>
      </c>
      <c r="M761" s="33" t="str">
        <f t="shared" si="47"/>
        <v>BS</v>
      </c>
    </row>
    <row r="762" spans="1:13" s="33" customFormat="true" ht="12.75" customHeight="true">
      <c r="A762" s="33" t="str">
        <f t="shared" si="44"/>
        <v>EAG - Deposits</v>
      </c>
      <c r="B762" s="33" t="str">
        <f t="shared" si="45"/>
        <v>EAG</v>
      </c>
      <c r="C762" s="33" t="str">
        <f t="shared" si="46"/>
        <v>19000-0000</v>
      </c>
      <c r="D762" s="64" t="s">
        <v>1070</v>
      </c>
      <c r="E762" s="64" t="s">
        <v>342</v>
      </c>
      <c r="F762" s="64" t="s">
        <v>230</v>
      </c>
      <c r="G762" s="64" t="s">
        <v>62</v>
      </c>
      <c r="H762" s="64" t="s">
        <v>80</v>
      </c>
      <c r="I762" s="64" t="s">
        <v>81</v>
      </c>
      <c r="J762" s="67">
        <v>0</v>
      </c>
      <c r="K762" s="62">
        <v>731</v>
      </c>
      <c r="L762" s="33" t="e">
        <f>HLOOKUP(B762,#REF!,1,0)</f>
        <v>#REF!</v>
      </c>
      <c r="M762" s="33" t="str">
        <f t="shared" si="47"/>
        <v>BS</v>
      </c>
    </row>
    <row r="763" spans="1:13" s="33" customFormat="true" ht="12.75" customHeight="true">
      <c r="A763" s="33" t="str">
        <f t="shared" si="44"/>
        <v>EAG - AP-Accr Exp</v>
      </c>
      <c r="B763" s="33" t="str">
        <f t="shared" si="45"/>
        <v>EAG</v>
      </c>
      <c r="C763" s="33" t="str">
        <f t="shared" si="46"/>
        <v>20000-0000</v>
      </c>
      <c r="D763" s="64" t="s">
        <v>1071</v>
      </c>
      <c r="E763" s="64" t="s">
        <v>96</v>
      </c>
      <c r="F763" s="64" t="s">
        <v>230</v>
      </c>
      <c r="G763" s="64" t="s">
        <v>97</v>
      </c>
      <c r="H763" s="64" t="s">
        <v>98</v>
      </c>
      <c r="I763" s="64" t="s">
        <v>99</v>
      </c>
      <c r="J763" s="67">
        <v>0</v>
      </c>
      <c r="K763" s="62">
        <v>0</v>
      </c>
      <c r="L763" s="33" t="e">
        <f>HLOOKUP(B763,#REF!,1,0)</f>
        <v>#REF!</v>
      </c>
      <c r="M763" s="33" t="str">
        <f t="shared" si="47"/>
        <v>BS</v>
      </c>
    </row>
    <row r="764" spans="1:13" s="33" customFormat="true" ht="12.75" customHeight="true">
      <c r="A764" s="33" t="str">
        <f t="shared" si="44"/>
        <v>EAG - AP-Accr Exp</v>
      </c>
      <c r="B764" s="33" t="str">
        <f t="shared" si="45"/>
        <v>EAG</v>
      </c>
      <c r="C764" s="33" t="str">
        <f t="shared" si="46"/>
        <v>20001-0000</v>
      </c>
      <c r="D764" s="64" t="s">
        <v>1072</v>
      </c>
      <c r="E764" s="64" t="s">
        <v>96</v>
      </c>
      <c r="F764" s="64" t="s">
        <v>230</v>
      </c>
      <c r="G764" s="64" t="s">
        <v>97</v>
      </c>
      <c r="H764" s="64" t="s">
        <v>98</v>
      </c>
      <c r="I764" s="64" t="s">
        <v>99</v>
      </c>
      <c r="J764" s="67">
        <v>1802.64</v>
      </c>
      <c r="K764" s="62">
        <v>0</v>
      </c>
      <c r="L764" s="33" t="e">
        <f>HLOOKUP(B764,#REF!,1,0)</f>
        <v>#REF!</v>
      </c>
      <c r="M764" s="33" t="str">
        <f t="shared" si="47"/>
        <v>BS</v>
      </c>
    </row>
    <row r="765" spans="1:13" s="33" customFormat="true" ht="12.75" customHeight="true">
      <c r="A765" s="33" t="str">
        <f t="shared" si="44"/>
        <v>EAG - AP-Accr Exp</v>
      </c>
      <c r="B765" s="33" t="str">
        <f t="shared" si="45"/>
        <v>EAG</v>
      </c>
      <c r="C765" s="33" t="str">
        <f t="shared" si="46"/>
        <v>23509-0000</v>
      </c>
      <c r="D765" s="64" t="s">
        <v>1073</v>
      </c>
      <c r="E765" s="64" t="s">
        <v>111</v>
      </c>
      <c r="F765" s="64" t="s">
        <v>230</v>
      </c>
      <c r="G765" s="64" t="s">
        <v>97</v>
      </c>
      <c r="H765" s="64" t="s">
        <v>98</v>
      </c>
      <c r="I765" s="64" t="s">
        <v>102</v>
      </c>
      <c r="J765" s="67">
        <v>0</v>
      </c>
      <c r="K765" s="62">
        <v>0</v>
      </c>
      <c r="L765" s="33" t="e">
        <f>HLOOKUP(B765,#REF!,1,0)</f>
        <v>#REF!</v>
      </c>
      <c r="M765" s="33" t="str">
        <f t="shared" si="47"/>
        <v>BS</v>
      </c>
    </row>
    <row r="766" spans="1:13" s="33" customFormat="true" ht="12.75" customHeight="true">
      <c r="A766" s="33" t="str">
        <f t="shared" si="44"/>
        <v>EAG - AP-Accr Exp</v>
      </c>
      <c r="B766" s="33" t="str">
        <f t="shared" si="45"/>
        <v>EAG</v>
      </c>
      <c r="C766" s="33" t="str">
        <f t="shared" si="46"/>
        <v>24800-0000</v>
      </c>
      <c r="D766" s="64" t="s">
        <v>1074</v>
      </c>
      <c r="E766" s="64" t="s">
        <v>232</v>
      </c>
      <c r="F766" s="64" t="s">
        <v>230</v>
      </c>
      <c r="G766" s="64" t="s">
        <v>97</v>
      </c>
      <c r="H766" s="64" t="s">
        <v>98</v>
      </c>
      <c r="I766" s="64" t="s">
        <v>102</v>
      </c>
      <c r="J766" s="67">
        <v>-4176</v>
      </c>
      <c r="K766" s="62">
        <v>-46965.5</v>
      </c>
      <c r="L766" s="33" t="e">
        <f>HLOOKUP(B766,#REF!,1,0)</f>
        <v>#REF!</v>
      </c>
      <c r="M766" s="33" t="str">
        <f t="shared" si="47"/>
        <v>BS</v>
      </c>
    </row>
    <row r="767" spans="1:13" s="33" customFormat="true" ht="12.75" customHeight="true">
      <c r="A767" s="33" t="str">
        <f t="shared" si="44"/>
        <v>EAG - AP-Accr Exp</v>
      </c>
      <c r="B767" s="33" t="str">
        <f t="shared" si="45"/>
        <v>EAG</v>
      </c>
      <c r="C767" s="33" t="str">
        <f t="shared" si="46"/>
        <v>24801-0000</v>
      </c>
      <c r="D767" s="64" t="s">
        <v>1075</v>
      </c>
      <c r="E767" s="64" t="s">
        <v>399</v>
      </c>
      <c r="F767" s="64" t="s">
        <v>230</v>
      </c>
      <c r="G767" s="64" t="s">
        <v>97</v>
      </c>
      <c r="H767" s="64" t="s">
        <v>98</v>
      </c>
      <c r="I767" s="64" t="s">
        <v>102</v>
      </c>
      <c r="J767" s="67">
        <v>500</v>
      </c>
      <c r="K767" s="62">
        <v>0</v>
      </c>
      <c r="L767" s="33" t="e">
        <f>HLOOKUP(B767,#REF!,1,0)</f>
        <v>#REF!</v>
      </c>
      <c r="M767" s="33" t="str">
        <f t="shared" si="47"/>
        <v>BS</v>
      </c>
    </row>
    <row r="768" spans="1:13" s="33" customFormat="true" ht="12.75" customHeight="true">
      <c r="A768" s="33" t="str">
        <f t="shared" si="44"/>
        <v>EAG - Principal</v>
      </c>
      <c r="B768" s="33" t="str">
        <f t="shared" si="45"/>
        <v>EAG</v>
      </c>
      <c r="C768" s="33" t="str">
        <f t="shared" si="46"/>
        <v>26800-0000</v>
      </c>
      <c r="D768" s="64" t="s">
        <v>1076</v>
      </c>
      <c r="E768" s="64" t="s">
        <v>402</v>
      </c>
      <c r="F768" s="64" t="s">
        <v>230</v>
      </c>
      <c r="G768" s="64" t="s">
        <v>97</v>
      </c>
      <c r="H768" s="64" t="s">
        <v>127</v>
      </c>
      <c r="I768" s="64" t="s">
        <v>128</v>
      </c>
      <c r="J768" s="67">
        <v>0</v>
      </c>
      <c r="K768" s="62">
        <v>-150000</v>
      </c>
      <c r="L768" s="33" t="e">
        <f>HLOOKUP(B768,#REF!,1,0)</f>
        <v>#REF!</v>
      </c>
      <c r="M768" s="33" t="str">
        <f t="shared" si="47"/>
        <v>BS</v>
      </c>
    </row>
    <row r="769" spans="1:13" s="33" customFormat="true" ht="12.75" customHeight="true">
      <c r="A769" s="33" t="str">
        <f t="shared" si="44"/>
        <v>EAG - Principal</v>
      </c>
      <c r="B769" s="33" t="str">
        <f t="shared" si="45"/>
        <v>EAG</v>
      </c>
      <c r="C769" s="33" t="str">
        <f t="shared" si="46"/>
        <v>28001-0000</v>
      </c>
      <c r="D769" s="64" t="s">
        <v>1077</v>
      </c>
      <c r="E769" s="64" t="s">
        <v>352</v>
      </c>
      <c r="F769" s="64" t="s">
        <v>230</v>
      </c>
      <c r="G769" s="64" t="s">
        <v>123</v>
      </c>
      <c r="H769" s="64" t="s">
        <v>127</v>
      </c>
      <c r="I769" s="64" t="s">
        <v>133</v>
      </c>
      <c r="J769" s="67">
        <v>0</v>
      </c>
      <c r="K769" s="62">
        <v>-1201.42</v>
      </c>
      <c r="L769" s="33" t="e">
        <f>HLOOKUP(B769,#REF!,1,0)</f>
        <v>#REF!</v>
      </c>
      <c r="M769" s="33" t="str">
        <f t="shared" si="47"/>
        <v>BS</v>
      </c>
    </row>
    <row r="770" spans="1:13" s="33" customFormat="true" ht="12.75" customHeight="true">
      <c r="A770" s="33" t="str">
        <f t="shared" ref="A770:A833" si="48">B770&amp;" - "&amp;TRIM(H770)</f>
        <v>EAG - Principal</v>
      </c>
      <c r="B770" s="33" t="str">
        <f t="shared" ref="B770:B833" si="49">LEFT(D770,3)</f>
        <v>EAG</v>
      </c>
      <c r="C770" s="33" t="str">
        <f t="shared" ref="C770:C833" si="50">RIGHT(D770,10)</f>
        <v>28003-0000</v>
      </c>
      <c r="D770" s="64" t="s">
        <v>1078</v>
      </c>
      <c r="E770" s="64" t="s">
        <v>615</v>
      </c>
      <c r="F770" s="64" t="s">
        <v>230</v>
      </c>
      <c r="G770" s="64" t="s">
        <v>123</v>
      </c>
      <c r="H770" s="64" t="s">
        <v>127</v>
      </c>
      <c r="I770" s="64" t="s">
        <v>133</v>
      </c>
      <c r="J770" s="67">
        <v>8360.58</v>
      </c>
      <c r="K770" s="62">
        <v>-5664682.32</v>
      </c>
      <c r="L770" s="33" t="e">
        <f>HLOOKUP(B770,#REF!,1,0)</f>
        <v>#REF!</v>
      </c>
      <c r="M770" s="33" t="str">
        <f t="shared" ref="M770:M833" si="51">IF(VALUE(LEFT(C770,5))&gt;40000,"P&amp;L","BS")</f>
        <v>BS</v>
      </c>
    </row>
    <row r="771" spans="1:13" s="33" customFormat="true" ht="12.75" customHeight="true">
      <c r="A771" s="33" t="str">
        <f t="shared" si="48"/>
        <v>EAG - SH Dist</v>
      </c>
      <c r="B771" s="33" t="str">
        <f t="shared" si="49"/>
        <v>EAG</v>
      </c>
      <c r="C771" s="33" t="str">
        <f t="shared" si="50"/>
        <v>30700-0000</v>
      </c>
      <c r="D771" s="64" t="s">
        <v>1079</v>
      </c>
      <c r="E771" s="64" t="s">
        <v>319</v>
      </c>
      <c r="F771" s="64" t="s">
        <v>230</v>
      </c>
      <c r="G771" s="64" t="s">
        <v>142</v>
      </c>
      <c r="H771" s="64" t="s">
        <v>143</v>
      </c>
      <c r="I771" s="64" t="s">
        <v>144</v>
      </c>
      <c r="J771" s="67">
        <v>0</v>
      </c>
      <c r="K771" s="62">
        <v>3262135.29</v>
      </c>
      <c r="L771" s="33" t="e">
        <f>HLOOKUP(B771,#REF!,1,0)</f>
        <v>#REF!</v>
      </c>
      <c r="M771" s="33" t="str">
        <f t="shared" si="51"/>
        <v>BS</v>
      </c>
    </row>
    <row r="772" spans="1:13" s="33" customFormat="true" ht="12.75" customHeight="true">
      <c r="A772" s="33" t="str">
        <f t="shared" si="48"/>
        <v>EAG - Retained Earnings</v>
      </c>
      <c r="B772" s="33" t="str">
        <f t="shared" si="49"/>
        <v>EAG</v>
      </c>
      <c r="C772" s="33" t="str">
        <f t="shared" si="50"/>
        <v>32000-0000</v>
      </c>
      <c r="D772" s="64" t="s">
        <v>1080</v>
      </c>
      <c r="E772" s="64" t="s">
        <v>234</v>
      </c>
      <c r="F772" s="64" t="s">
        <v>230</v>
      </c>
      <c r="G772" s="64" t="s">
        <v>142</v>
      </c>
      <c r="H772" s="64" t="s">
        <v>149</v>
      </c>
      <c r="I772" s="64" t="s">
        <v>235</v>
      </c>
      <c r="J772" s="67">
        <v>0</v>
      </c>
      <c r="K772" s="62">
        <v>-1126325.92</v>
      </c>
      <c r="L772" s="33" t="e">
        <f>HLOOKUP(B772,#REF!,1,0)</f>
        <v>#REF!</v>
      </c>
      <c r="M772" s="33" t="str">
        <f t="shared" si="51"/>
        <v>BS</v>
      </c>
    </row>
    <row r="773" spans="1:13" s="33" customFormat="true" ht="12.75" customHeight="true">
      <c r="A773" s="33" t="str">
        <f t="shared" si="48"/>
        <v>EAL - AP-Accr Exp</v>
      </c>
      <c r="B773" s="33" t="str">
        <f t="shared" si="49"/>
        <v>EAL</v>
      </c>
      <c r="C773" s="33" t="str">
        <f t="shared" si="50"/>
        <v>24800-0000</v>
      </c>
      <c r="D773" s="64" t="s">
        <v>1081</v>
      </c>
      <c r="E773" s="64" t="s">
        <v>232</v>
      </c>
      <c r="F773" s="64" t="s">
        <v>230</v>
      </c>
      <c r="G773" s="64" t="s">
        <v>97</v>
      </c>
      <c r="H773" s="64" t="s">
        <v>98</v>
      </c>
      <c r="I773" s="64" t="s">
        <v>102</v>
      </c>
      <c r="J773" s="67">
        <v>0</v>
      </c>
      <c r="K773" s="62">
        <v>-20555</v>
      </c>
      <c r="L773" s="33" t="e">
        <f>HLOOKUP(B773,#REF!,1,0)</f>
        <v>#REF!</v>
      </c>
      <c r="M773" s="33" t="str">
        <f t="shared" si="51"/>
        <v>BS</v>
      </c>
    </row>
    <row r="774" spans="1:13" s="33" customFormat="true" ht="12.75" customHeight="true">
      <c r="A774" s="33" t="str">
        <f t="shared" si="48"/>
        <v>EAL - AP-Accr Exp</v>
      </c>
      <c r="B774" s="33" t="str">
        <f t="shared" si="49"/>
        <v>EAL</v>
      </c>
      <c r="C774" s="33" t="str">
        <f t="shared" si="50"/>
        <v>24801-0000</v>
      </c>
      <c r="D774" s="64" t="s">
        <v>1082</v>
      </c>
      <c r="E774" s="64" t="s">
        <v>399</v>
      </c>
      <c r="F774" s="64" t="s">
        <v>230</v>
      </c>
      <c r="G774" s="64" t="s">
        <v>97</v>
      </c>
      <c r="H774" s="64" t="s">
        <v>98</v>
      </c>
      <c r="I774" s="64" t="s">
        <v>102</v>
      </c>
      <c r="J774" s="67">
        <v>0</v>
      </c>
      <c r="K774" s="62">
        <v>0</v>
      </c>
      <c r="L774" s="33" t="e">
        <f>HLOOKUP(B774,#REF!,1,0)</f>
        <v>#REF!</v>
      </c>
      <c r="M774" s="33" t="str">
        <f t="shared" si="51"/>
        <v>BS</v>
      </c>
    </row>
    <row r="775" spans="1:13" s="33" customFormat="true" ht="12.75" customHeight="true">
      <c r="A775" s="33" t="str">
        <f t="shared" si="48"/>
        <v>EAL - Retained Earnings</v>
      </c>
      <c r="B775" s="33" t="str">
        <f t="shared" si="49"/>
        <v>EAL</v>
      </c>
      <c r="C775" s="33" t="str">
        <f t="shared" si="50"/>
        <v>32000-0000</v>
      </c>
      <c r="D775" s="64" t="s">
        <v>1083</v>
      </c>
      <c r="E775" s="64" t="s">
        <v>234</v>
      </c>
      <c r="F775" s="64" t="s">
        <v>230</v>
      </c>
      <c r="G775" s="64" t="s">
        <v>142</v>
      </c>
      <c r="H775" s="64" t="s">
        <v>149</v>
      </c>
      <c r="I775" s="64" t="s">
        <v>235</v>
      </c>
      <c r="J775" s="67">
        <v>0</v>
      </c>
      <c r="K775" s="62">
        <v>-1500</v>
      </c>
      <c r="L775" s="33" t="e">
        <f>HLOOKUP(B775,#REF!,1,0)</f>
        <v>#REF!</v>
      </c>
      <c r="M775" s="33" t="str">
        <f t="shared" si="51"/>
        <v>BS</v>
      </c>
    </row>
    <row r="776" spans="1:13" s="33" customFormat="true" ht="12.75" customHeight="true">
      <c r="A776" s="33" t="str">
        <f t="shared" si="48"/>
        <v>EAM - Cash</v>
      </c>
      <c r="B776" s="33" t="str">
        <f t="shared" si="49"/>
        <v>EAM</v>
      </c>
      <c r="C776" s="33" t="str">
        <f t="shared" si="50"/>
        <v>10001-0000</v>
      </c>
      <c r="D776" s="64" t="s">
        <v>1084</v>
      </c>
      <c r="E776" s="64" t="s">
        <v>240</v>
      </c>
      <c r="F776" s="64" t="s">
        <v>230</v>
      </c>
      <c r="G776" s="64" t="s">
        <v>16</v>
      </c>
      <c r="H776" s="64" t="s">
        <v>25</v>
      </c>
      <c r="I776" s="64" t="s">
        <v>18</v>
      </c>
      <c r="J776" s="67">
        <v>-6617.4</v>
      </c>
      <c r="K776" s="62">
        <v>55008.42</v>
      </c>
      <c r="L776" s="33" t="e">
        <f>HLOOKUP(B776,#REF!,1,0)</f>
        <v>#REF!</v>
      </c>
      <c r="M776" s="33" t="str">
        <f t="shared" si="51"/>
        <v>BS</v>
      </c>
    </row>
    <row r="777" spans="1:13" s="33" customFormat="true" ht="12.75" customHeight="true">
      <c r="A777" s="33" t="str">
        <f t="shared" si="48"/>
        <v>EAM - Intercompany</v>
      </c>
      <c r="B777" s="33" t="str">
        <f t="shared" si="49"/>
        <v>EAM</v>
      </c>
      <c r="C777" s="33" t="str">
        <f t="shared" si="50"/>
        <v>11342-0000</v>
      </c>
      <c r="D777" s="64" t="s">
        <v>1085</v>
      </c>
      <c r="E777" s="64" t="s">
        <v>384</v>
      </c>
      <c r="F777" s="64" t="s">
        <v>230</v>
      </c>
      <c r="G777" s="64" t="s">
        <v>16</v>
      </c>
      <c r="H777" s="64" t="s">
        <v>39</v>
      </c>
      <c r="I777" s="64" t="s">
        <v>40</v>
      </c>
      <c r="J777" s="67">
        <v>0</v>
      </c>
      <c r="K777" s="62">
        <v>-2725000</v>
      </c>
      <c r="L777" s="33" t="e">
        <f>HLOOKUP(B777,#REF!,1,0)</f>
        <v>#REF!</v>
      </c>
      <c r="M777" s="33" t="str">
        <f t="shared" si="51"/>
        <v>BS</v>
      </c>
    </row>
    <row r="778" spans="1:13" s="33" customFormat="true" ht="12.75" customHeight="true">
      <c r="A778" s="33" t="str">
        <f t="shared" si="48"/>
        <v>EAM - Fixed Assets</v>
      </c>
      <c r="B778" s="33" t="str">
        <f t="shared" si="49"/>
        <v>EAM</v>
      </c>
      <c r="C778" s="33" t="str">
        <f t="shared" si="50"/>
        <v>14000-0000</v>
      </c>
      <c r="D778" s="64" t="s">
        <v>1086</v>
      </c>
      <c r="E778" s="64" t="s">
        <v>298</v>
      </c>
      <c r="F778" s="64" t="s">
        <v>230</v>
      </c>
      <c r="G778" s="64" t="s">
        <v>62</v>
      </c>
      <c r="H778" s="64" t="s">
        <v>63</v>
      </c>
      <c r="I778" s="64" t="s">
        <v>64</v>
      </c>
      <c r="J778" s="67">
        <v>0</v>
      </c>
      <c r="K778" s="62">
        <v>3075000</v>
      </c>
      <c r="L778" s="33" t="e">
        <f>HLOOKUP(B778,#REF!,1,0)</f>
        <v>#REF!</v>
      </c>
      <c r="M778" s="33" t="str">
        <f t="shared" si="51"/>
        <v>BS</v>
      </c>
    </row>
    <row r="779" spans="1:13" s="33" customFormat="true" ht="12.75" customHeight="true">
      <c r="A779" s="33" t="str">
        <f t="shared" si="48"/>
        <v>EAM - Fixed Assets</v>
      </c>
      <c r="B779" s="33" t="str">
        <f t="shared" si="49"/>
        <v>EAM</v>
      </c>
      <c r="C779" s="33" t="str">
        <f t="shared" si="50"/>
        <v>15000-0000</v>
      </c>
      <c r="D779" s="64" t="s">
        <v>1087</v>
      </c>
      <c r="E779" s="64" t="s">
        <v>300</v>
      </c>
      <c r="F779" s="64" t="s">
        <v>230</v>
      </c>
      <c r="G779" s="64" t="s">
        <v>62</v>
      </c>
      <c r="H779" s="64" t="s">
        <v>63</v>
      </c>
      <c r="I779" s="64" t="s">
        <v>64</v>
      </c>
      <c r="J779" s="67">
        <v>0</v>
      </c>
      <c r="K779" s="62">
        <v>7175000</v>
      </c>
      <c r="L779" s="33" t="e">
        <f>HLOOKUP(B779,#REF!,1,0)</f>
        <v>#REF!</v>
      </c>
      <c r="M779" s="33" t="str">
        <f t="shared" si="51"/>
        <v>BS</v>
      </c>
    </row>
    <row r="780" spans="1:13" s="33" customFormat="true" ht="12.75" customHeight="true">
      <c r="A780" s="33" t="str">
        <f t="shared" si="48"/>
        <v>EAM - Fixed Assets</v>
      </c>
      <c r="B780" s="33" t="str">
        <f t="shared" si="49"/>
        <v>EAM</v>
      </c>
      <c r="C780" s="33" t="str">
        <f t="shared" si="50"/>
        <v>17000-0000</v>
      </c>
      <c r="D780" s="64" t="s">
        <v>1088</v>
      </c>
      <c r="E780" s="64" t="s">
        <v>306</v>
      </c>
      <c r="F780" s="64" t="s">
        <v>230</v>
      </c>
      <c r="G780" s="64" t="s">
        <v>62</v>
      </c>
      <c r="H780" s="64" t="s">
        <v>63</v>
      </c>
      <c r="I780" s="64" t="s">
        <v>64</v>
      </c>
      <c r="J780" s="67">
        <v>0</v>
      </c>
      <c r="K780" s="62">
        <v>-9073</v>
      </c>
      <c r="L780" s="33" t="e">
        <f>HLOOKUP(B780,#REF!,1,0)</f>
        <v>#REF!</v>
      </c>
      <c r="M780" s="33" t="str">
        <f t="shared" si="51"/>
        <v>BS</v>
      </c>
    </row>
    <row r="781" spans="1:13" s="33" customFormat="true" ht="12.75" customHeight="true">
      <c r="A781" s="33" t="str">
        <f t="shared" si="48"/>
        <v>EAM - AP-Accr Exp</v>
      </c>
      <c r="B781" s="33" t="str">
        <f t="shared" si="49"/>
        <v>EAM</v>
      </c>
      <c r="C781" s="33" t="str">
        <f t="shared" si="50"/>
        <v>20001-0000</v>
      </c>
      <c r="D781" s="64" t="s">
        <v>1089</v>
      </c>
      <c r="E781" s="64" t="s">
        <v>96</v>
      </c>
      <c r="F781" s="64" t="s">
        <v>230</v>
      </c>
      <c r="G781" s="64" t="s">
        <v>97</v>
      </c>
      <c r="H781" s="64" t="s">
        <v>98</v>
      </c>
      <c r="I781" s="64" t="s">
        <v>99</v>
      </c>
      <c r="J781" s="67">
        <v>282.99</v>
      </c>
      <c r="K781" s="62">
        <v>0</v>
      </c>
      <c r="L781" s="33" t="e">
        <f>HLOOKUP(B781,#REF!,1,0)</f>
        <v>#REF!</v>
      </c>
      <c r="M781" s="33" t="str">
        <f t="shared" si="51"/>
        <v>BS</v>
      </c>
    </row>
    <row r="782" spans="1:13" s="33" customFormat="true" ht="12.75" customHeight="true">
      <c r="A782" s="33" t="str">
        <f t="shared" si="48"/>
        <v>EAM - AP-Accr Exp</v>
      </c>
      <c r="B782" s="33" t="str">
        <f t="shared" si="49"/>
        <v>EAM</v>
      </c>
      <c r="C782" s="33" t="str">
        <f t="shared" si="50"/>
        <v>24800-0000</v>
      </c>
      <c r="D782" s="64" t="s">
        <v>1090</v>
      </c>
      <c r="E782" s="64" t="s">
        <v>232</v>
      </c>
      <c r="F782" s="64" t="s">
        <v>230</v>
      </c>
      <c r="G782" s="64" t="s">
        <v>97</v>
      </c>
      <c r="H782" s="64" t="s">
        <v>98</v>
      </c>
      <c r="I782" s="64" t="s">
        <v>102</v>
      </c>
      <c r="J782" s="67">
        <v>-3210</v>
      </c>
      <c r="K782" s="62">
        <v>-34047.5</v>
      </c>
      <c r="L782" s="33" t="e">
        <f>HLOOKUP(B782,#REF!,1,0)</f>
        <v>#REF!</v>
      </c>
      <c r="M782" s="33" t="str">
        <f t="shared" si="51"/>
        <v>BS</v>
      </c>
    </row>
    <row r="783" spans="1:13" s="33" customFormat="true" ht="12.75" customHeight="true">
      <c r="A783" s="33" t="str">
        <f t="shared" si="48"/>
        <v>EAM - AP-Accr Exp</v>
      </c>
      <c r="B783" s="33" t="str">
        <f t="shared" si="49"/>
        <v>EAM</v>
      </c>
      <c r="C783" s="33" t="str">
        <f t="shared" si="50"/>
        <v>24801-0000</v>
      </c>
      <c r="D783" s="64" t="s">
        <v>1091</v>
      </c>
      <c r="E783" s="64" t="s">
        <v>399</v>
      </c>
      <c r="F783" s="64" t="s">
        <v>230</v>
      </c>
      <c r="G783" s="64" t="s">
        <v>97</v>
      </c>
      <c r="H783" s="64" t="s">
        <v>98</v>
      </c>
      <c r="I783" s="64" t="s">
        <v>102</v>
      </c>
      <c r="J783" s="67">
        <v>0</v>
      </c>
      <c r="K783" s="62">
        <v>0</v>
      </c>
      <c r="L783" s="33" t="e">
        <f>HLOOKUP(B783,#REF!,1,0)</f>
        <v>#REF!</v>
      </c>
      <c r="M783" s="33" t="str">
        <f t="shared" si="51"/>
        <v>BS</v>
      </c>
    </row>
    <row r="784" spans="1:13" s="33" customFormat="true" ht="12.75" customHeight="true">
      <c r="A784" s="33" t="str">
        <f t="shared" si="48"/>
        <v>EAM - Principal</v>
      </c>
      <c r="B784" s="33" t="str">
        <f t="shared" si="49"/>
        <v>EAM</v>
      </c>
      <c r="C784" s="33" t="str">
        <f t="shared" si="50"/>
        <v>28003-0000</v>
      </c>
      <c r="D784" s="64" t="s">
        <v>1092</v>
      </c>
      <c r="E784" s="64" t="s">
        <v>1093</v>
      </c>
      <c r="F784" s="64" t="s">
        <v>230</v>
      </c>
      <c r="G784" s="64" t="s">
        <v>1094</v>
      </c>
      <c r="H784" s="64" t="s">
        <v>127</v>
      </c>
      <c r="I784" s="64" t="s">
        <v>133</v>
      </c>
      <c r="J784" s="67">
        <v>0</v>
      </c>
      <c r="K784" s="62">
        <v>-7500000</v>
      </c>
      <c r="L784" s="33" t="e">
        <f>HLOOKUP(B784,#REF!,1,0)</f>
        <v>#REF!</v>
      </c>
      <c r="M784" s="33" t="str">
        <f t="shared" si="51"/>
        <v>BS</v>
      </c>
    </row>
    <row r="785" spans="1:13" s="33" customFormat="true" ht="12.75" customHeight="true">
      <c r="A785" s="33" t="str">
        <f t="shared" si="48"/>
        <v>EAM - SH Dist</v>
      </c>
      <c r="B785" s="33" t="str">
        <f t="shared" si="49"/>
        <v>EAM</v>
      </c>
      <c r="C785" s="33" t="str">
        <f t="shared" si="50"/>
        <v>30700-0000</v>
      </c>
      <c r="D785" s="64" t="s">
        <v>1095</v>
      </c>
      <c r="E785" s="64" t="s">
        <v>319</v>
      </c>
      <c r="F785" s="64" t="s">
        <v>230</v>
      </c>
      <c r="G785" s="64" t="s">
        <v>142</v>
      </c>
      <c r="H785" s="64" t="s">
        <v>143</v>
      </c>
      <c r="I785" s="64" t="s">
        <v>144</v>
      </c>
      <c r="J785" s="67">
        <v>0</v>
      </c>
      <c r="K785" s="62">
        <v>-255800</v>
      </c>
      <c r="L785" s="33" t="e">
        <f>HLOOKUP(B785,#REF!,1,0)</f>
        <v>#REF!</v>
      </c>
      <c r="M785" s="33" t="str">
        <f t="shared" si="51"/>
        <v>BS</v>
      </c>
    </row>
    <row r="786" spans="1:13" s="33" customFormat="true" ht="12.75" customHeight="true">
      <c r="A786" s="33" t="str">
        <f t="shared" si="48"/>
        <v>EAM - Retained Earnings</v>
      </c>
      <c r="B786" s="33" t="str">
        <f t="shared" si="49"/>
        <v>EAM</v>
      </c>
      <c r="C786" s="33" t="str">
        <f t="shared" si="50"/>
        <v>32000-0000</v>
      </c>
      <c r="D786" s="64" t="s">
        <v>1096</v>
      </c>
      <c r="E786" s="64" t="s">
        <v>234</v>
      </c>
      <c r="F786" s="64" t="s">
        <v>230</v>
      </c>
      <c r="G786" s="64" t="s">
        <v>142</v>
      </c>
      <c r="H786" s="64" t="s">
        <v>149</v>
      </c>
      <c r="I786" s="64" t="s">
        <v>235</v>
      </c>
      <c r="J786" s="67">
        <v>0</v>
      </c>
      <c r="K786" s="62">
        <v>204799</v>
      </c>
      <c r="L786" s="33" t="e">
        <f>HLOOKUP(B786,#REF!,1,0)</f>
        <v>#REF!</v>
      </c>
      <c r="M786" s="33" t="str">
        <f t="shared" si="51"/>
        <v>BS</v>
      </c>
    </row>
    <row r="787" spans="1:13" s="33" customFormat="true" ht="12.75" customHeight="true">
      <c r="A787" s="33" t="str">
        <f t="shared" si="48"/>
        <v>EAS - Cash</v>
      </c>
      <c r="B787" s="33" t="str">
        <f t="shared" si="49"/>
        <v>EAS</v>
      </c>
      <c r="C787" s="33" t="str">
        <f t="shared" si="50"/>
        <v>10001-0000</v>
      </c>
      <c r="D787" s="64" t="s">
        <v>1097</v>
      </c>
      <c r="E787" s="64" t="s">
        <v>240</v>
      </c>
      <c r="F787" s="64" t="s">
        <v>230</v>
      </c>
      <c r="G787" s="64" t="s">
        <v>16</v>
      </c>
      <c r="H787" s="64" t="s">
        <v>25</v>
      </c>
      <c r="I787" s="64" t="s">
        <v>18</v>
      </c>
      <c r="J787" s="67">
        <v>0</v>
      </c>
      <c r="K787" s="62">
        <v>0</v>
      </c>
      <c r="L787" s="33" t="e">
        <f>HLOOKUP(B787,#REF!,1,0)</f>
        <v>#REF!</v>
      </c>
      <c r="M787" s="33" t="str">
        <f t="shared" si="51"/>
        <v>BS</v>
      </c>
    </row>
    <row r="788" spans="1:13" s="33" customFormat="true" ht="12.75" customHeight="true">
      <c r="A788" s="33" t="str">
        <f t="shared" si="48"/>
        <v>EAS - Intercompany</v>
      </c>
      <c r="B788" s="33" t="str">
        <f t="shared" si="49"/>
        <v>EAS</v>
      </c>
      <c r="C788" s="33" t="str">
        <f t="shared" si="50"/>
        <v>11216-0000</v>
      </c>
      <c r="D788" s="64" t="s">
        <v>1098</v>
      </c>
      <c r="E788" s="64" t="s">
        <v>242</v>
      </c>
      <c r="F788" s="64" t="s">
        <v>230</v>
      </c>
      <c r="G788" s="64" t="s">
        <v>16</v>
      </c>
      <c r="H788" s="64" t="s">
        <v>39</v>
      </c>
      <c r="I788" s="64" t="s">
        <v>40</v>
      </c>
      <c r="J788" s="67">
        <v>0</v>
      </c>
      <c r="K788" s="62">
        <v>62191.16</v>
      </c>
      <c r="L788" s="33" t="e">
        <f>HLOOKUP(B788,#REF!,1,0)</f>
        <v>#REF!</v>
      </c>
      <c r="M788" s="33" t="str">
        <f t="shared" si="51"/>
        <v>BS</v>
      </c>
    </row>
    <row r="789" spans="1:13" s="33" customFormat="true" ht="12.75" customHeight="true">
      <c r="A789" s="33" t="str">
        <f t="shared" si="48"/>
        <v>EAS - Intercompany</v>
      </c>
      <c r="B789" s="33" t="str">
        <f t="shared" si="49"/>
        <v>EAS</v>
      </c>
      <c r="C789" s="33" t="str">
        <f t="shared" si="50"/>
        <v>11310-0000</v>
      </c>
      <c r="D789" s="64" t="s">
        <v>1099</v>
      </c>
      <c r="E789" s="64" t="s">
        <v>1100</v>
      </c>
      <c r="F789" s="64" t="s">
        <v>230</v>
      </c>
      <c r="G789" s="64" t="s">
        <v>16</v>
      </c>
      <c r="H789" s="64" t="s">
        <v>39</v>
      </c>
      <c r="I789" s="64" t="s">
        <v>40</v>
      </c>
      <c r="J789" s="67">
        <v>0</v>
      </c>
      <c r="K789" s="62">
        <v>-70000</v>
      </c>
      <c r="L789" s="33" t="e">
        <f>HLOOKUP(B789,#REF!,1,0)</f>
        <v>#REF!</v>
      </c>
      <c r="M789" s="33" t="str">
        <f t="shared" si="51"/>
        <v>BS</v>
      </c>
    </row>
    <row r="790" spans="1:13" s="33" customFormat="true" ht="12.75" customHeight="true">
      <c r="A790" s="33" t="str">
        <f t="shared" si="48"/>
        <v>EAS - Intercompany</v>
      </c>
      <c r="B790" s="33" t="str">
        <f t="shared" si="49"/>
        <v>EAS</v>
      </c>
      <c r="C790" s="33" t="str">
        <f t="shared" si="50"/>
        <v>11311-0000</v>
      </c>
      <c r="D790" s="64" t="s">
        <v>1101</v>
      </c>
      <c r="E790" s="64" t="s">
        <v>258</v>
      </c>
      <c r="F790" s="64" t="s">
        <v>230</v>
      </c>
      <c r="G790" s="64" t="s">
        <v>16</v>
      </c>
      <c r="H790" s="64" t="s">
        <v>39</v>
      </c>
      <c r="I790" s="64" t="s">
        <v>40</v>
      </c>
      <c r="J790" s="67">
        <v>0</v>
      </c>
      <c r="K790" s="62">
        <v>10000</v>
      </c>
      <c r="L790" s="33" t="e">
        <f>HLOOKUP(B790,#REF!,1,0)</f>
        <v>#REF!</v>
      </c>
      <c r="M790" s="33" t="str">
        <f t="shared" si="51"/>
        <v>BS</v>
      </c>
    </row>
    <row r="791" spans="1:13" s="33" customFormat="true" ht="12.75" customHeight="true">
      <c r="A791" s="33" t="str">
        <f t="shared" si="48"/>
        <v>EAS - Intercompany</v>
      </c>
      <c r="B791" s="33" t="str">
        <f t="shared" si="49"/>
        <v>EAS</v>
      </c>
      <c r="C791" s="33" t="str">
        <f t="shared" si="50"/>
        <v>11314-0000</v>
      </c>
      <c r="D791" s="64" t="s">
        <v>1102</v>
      </c>
      <c r="E791" s="64" t="s">
        <v>365</v>
      </c>
      <c r="F791" s="64" t="s">
        <v>230</v>
      </c>
      <c r="G791" s="64" t="s">
        <v>16</v>
      </c>
      <c r="H791" s="64" t="s">
        <v>39</v>
      </c>
      <c r="I791" s="64" t="s">
        <v>40</v>
      </c>
      <c r="J791" s="67">
        <v>0</v>
      </c>
      <c r="K791" s="62">
        <v>-6225000</v>
      </c>
      <c r="L791" s="33" t="e">
        <f>HLOOKUP(B791,#REF!,1,0)</f>
        <v>#REF!</v>
      </c>
      <c r="M791" s="33" t="str">
        <f t="shared" si="51"/>
        <v>BS</v>
      </c>
    </row>
    <row r="792" spans="1:13" s="33" customFormat="true" ht="12.75" customHeight="true">
      <c r="A792" s="33" t="str">
        <f t="shared" si="48"/>
        <v>EAS - Intercompany</v>
      </c>
      <c r="B792" s="33" t="str">
        <f t="shared" si="49"/>
        <v>EAS</v>
      </c>
      <c r="C792" s="33" t="str">
        <f t="shared" si="50"/>
        <v>11316-0000</v>
      </c>
      <c r="D792" s="64" t="s">
        <v>1103</v>
      </c>
      <c r="E792" s="64" t="s">
        <v>264</v>
      </c>
      <c r="F792" s="64" t="s">
        <v>230</v>
      </c>
      <c r="G792" s="64" t="s">
        <v>16</v>
      </c>
      <c r="H792" s="64" t="s">
        <v>39</v>
      </c>
      <c r="I792" s="64" t="s">
        <v>40</v>
      </c>
      <c r="J792" s="67">
        <v>0</v>
      </c>
      <c r="K792" s="62">
        <v>30000</v>
      </c>
      <c r="L792" s="33" t="e">
        <f>HLOOKUP(B792,#REF!,1,0)</f>
        <v>#REF!</v>
      </c>
      <c r="M792" s="33" t="str">
        <f t="shared" si="51"/>
        <v>BS</v>
      </c>
    </row>
    <row r="793" spans="1:13" s="33" customFormat="true" ht="12.75" customHeight="true">
      <c r="A793" s="33" t="str">
        <f t="shared" si="48"/>
        <v>EAS - Intercompany</v>
      </c>
      <c r="B793" s="33" t="str">
        <f t="shared" si="49"/>
        <v>EAS</v>
      </c>
      <c r="C793" s="33" t="str">
        <f t="shared" si="50"/>
        <v>11337-0000</v>
      </c>
      <c r="D793" s="64" t="s">
        <v>1104</v>
      </c>
      <c r="E793" s="64" t="s">
        <v>292</v>
      </c>
      <c r="F793" s="64" t="s">
        <v>230</v>
      </c>
      <c r="G793" s="64" t="s">
        <v>16</v>
      </c>
      <c r="H793" s="64" t="s">
        <v>39</v>
      </c>
      <c r="I793" s="64" t="s">
        <v>40</v>
      </c>
      <c r="J793" s="67">
        <v>0</v>
      </c>
      <c r="K793" s="62">
        <v>5000</v>
      </c>
      <c r="L793" s="33" t="e">
        <f>HLOOKUP(B793,#REF!,1,0)</f>
        <v>#REF!</v>
      </c>
      <c r="M793" s="33" t="str">
        <f t="shared" si="51"/>
        <v>BS</v>
      </c>
    </row>
    <row r="794" spans="1:13" s="33" customFormat="true" ht="12.75" customHeight="true">
      <c r="A794" s="33" t="str">
        <f t="shared" si="48"/>
        <v>EAS - Intercompany</v>
      </c>
      <c r="B794" s="33" t="str">
        <f t="shared" si="49"/>
        <v>EAS</v>
      </c>
      <c r="C794" s="33" t="str">
        <f t="shared" si="50"/>
        <v>11343-0000</v>
      </c>
      <c r="D794" s="64" t="s">
        <v>1105</v>
      </c>
      <c r="E794" s="64" t="s">
        <v>600</v>
      </c>
      <c r="F794" s="64" t="s">
        <v>230</v>
      </c>
      <c r="G794" s="64" t="s">
        <v>16</v>
      </c>
      <c r="H794" s="64" t="s">
        <v>39</v>
      </c>
      <c r="I794" s="64" t="s">
        <v>40</v>
      </c>
      <c r="J794" s="67">
        <v>0</v>
      </c>
      <c r="K794" s="62">
        <v>-100000</v>
      </c>
      <c r="L794" s="33" t="e">
        <f>HLOOKUP(B794,#REF!,1,0)</f>
        <v>#REF!</v>
      </c>
      <c r="M794" s="33" t="str">
        <f t="shared" si="51"/>
        <v>BS</v>
      </c>
    </row>
    <row r="795" spans="1:13" s="33" customFormat="true" ht="12.75" customHeight="true">
      <c r="A795" s="33" t="str">
        <f t="shared" si="48"/>
        <v>EAS - Intercompany</v>
      </c>
      <c r="B795" s="33" t="str">
        <f t="shared" si="49"/>
        <v>EAS</v>
      </c>
      <c r="C795" s="33" t="str">
        <f t="shared" si="50"/>
        <v>11348-0000</v>
      </c>
      <c r="D795" s="64" t="s">
        <v>1106</v>
      </c>
      <c r="E795" s="64" t="s">
        <v>1107</v>
      </c>
      <c r="F795" s="64" t="s">
        <v>230</v>
      </c>
      <c r="G795" s="64" t="s">
        <v>16</v>
      </c>
      <c r="H795" s="64" t="s">
        <v>39</v>
      </c>
      <c r="I795" s="64" t="s">
        <v>40</v>
      </c>
      <c r="J795" s="67">
        <v>0</v>
      </c>
      <c r="K795" s="62">
        <v>2725000</v>
      </c>
      <c r="L795" s="33" t="e">
        <f>HLOOKUP(B795,#REF!,1,0)</f>
        <v>#REF!</v>
      </c>
      <c r="M795" s="33" t="str">
        <f t="shared" si="51"/>
        <v>BS</v>
      </c>
    </row>
    <row r="796" spans="1:13" s="33" customFormat="true" ht="12.75" customHeight="true">
      <c r="A796" s="33" t="str">
        <f t="shared" si="48"/>
        <v>EAS - Fixed Assets</v>
      </c>
      <c r="B796" s="33" t="str">
        <f t="shared" si="49"/>
        <v>EAS</v>
      </c>
      <c r="C796" s="33" t="str">
        <f t="shared" si="50"/>
        <v>15500-0000</v>
      </c>
      <c r="D796" s="64" t="s">
        <v>1108</v>
      </c>
      <c r="E796" s="64" t="s">
        <v>302</v>
      </c>
      <c r="F796" s="64" t="s">
        <v>230</v>
      </c>
      <c r="G796" s="64" t="s">
        <v>62</v>
      </c>
      <c r="H796" s="64" t="s">
        <v>63</v>
      </c>
      <c r="I796" s="64" t="s">
        <v>64</v>
      </c>
      <c r="J796" s="67">
        <v>0</v>
      </c>
      <c r="K796" s="62">
        <v>473600.84</v>
      </c>
      <c r="L796" s="33" t="e">
        <f>HLOOKUP(B796,#REF!,1,0)</f>
        <v>#REF!</v>
      </c>
      <c r="M796" s="33" t="str">
        <f t="shared" si="51"/>
        <v>BS</v>
      </c>
    </row>
    <row r="797" spans="1:13" s="33" customFormat="true" ht="12.75" customHeight="true">
      <c r="A797" s="33" t="str">
        <f t="shared" si="48"/>
        <v>EAS - Fixed Assets</v>
      </c>
      <c r="B797" s="33" t="str">
        <f t="shared" si="49"/>
        <v>EAS</v>
      </c>
      <c r="C797" s="33" t="str">
        <f t="shared" si="50"/>
        <v>17000-0000</v>
      </c>
      <c r="D797" s="64" t="s">
        <v>1109</v>
      </c>
      <c r="E797" s="64" t="s">
        <v>306</v>
      </c>
      <c r="F797" s="64" t="s">
        <v>230</v>
      </c>
      <c r="G797" s="64" t="s">
        <v>62</v>
      </c>
      <c r="H797" s="64" t="s">
        <v>63</v>
      </c>
      <c r="I797" s="64" t="s">
        <v>64</v>
      </c>
      <c r="J797" s="67">
        <v>0</v>
      </c>
      <c r="K797" s="62">
        <v>-67518</v>
      </c>
      <c r="L797" s="33" t="e">
        <f>HLOOKUP(B797,#REF!,1,0)</f>
        <v>#REF!</v>
      </c>
      <c r="M797" s="33" t="str">
        <f t="shared" si="51"/>
        <v>BS</v>
      </c>
    </row>
    <row r="798" spans="1:13" s="33" customFormat="true" ht="12.75" customHeight="true">
      <c r="A798" s="33" t="str">
        <f t="shared" si="48"/>
        <v>EAS - Fixed Assets</v>
      </c>
      <c r="B798" s="33" t="str">
        <f t="shared" si="49"/>
        <v>EAS</v>
      </c>
      <c r="C798" s="33" t="str">
        <f t="shared" si="50"/>
        <v>18000-0000</v>
      </c>
      <c r="D798" s="64" t="s">
        <v>1110</v>
      </c>
      <c r="E798" s="64" t="s">
        <v>308</v>
      </c>
      <c r="F798" s="64" t="s">
        <v>230</v>
      </c>
      <c r="G798" s="64" t="s">
        <v>62</v>
      </c>
      <c r="H798" s="64" t="s">
        <v>63</v>
      </c>
      <c r="I798" s="64" t="s">
        <v>64</v>
      </c>
      <c r="J798" s="67">
        <v>0</v>
      </c>
      <c r="K798" s="62">
        <v>-105359</v>
      </c>
      <c r="L798" s="33" t="e">
        <f>HLOOKUP(B798,#REF!,1,0)</f>
        <v>#REF!</v>
      </c>
      <c r="M798" s="33" t="str">
        <f t="shared" si="51"/>
        <v>BS</v>
      </c>
    </row>
    <row r="799" spans="1:13" s="33" customFormat="true" ht="12.75" customHeight="true">
      <c r="A799" s="33" t="str">
        <f t="shared" si="48"/>
        <v>EAS - Deposits</v>
      </c>
      <c r="B799" s="33" t="str">
        <f t="shared" si="49"/>
        <v>EAS</v>
      </c>
      <c r="C799" s="33" t="str">
        <f t="shared" si="50"/>
        <v>19000-0000</v>
      </c>
      <c r="D799" s="64" t="s">
        <v>1111</v>
      </c>
      <c r="E799" s="64" t="s">
        <v>342</v>
      </c>
      <c r="F799" s="64" t="s">
        <v>230</v>
      </c>
      <c r="G799" s="64" t="s">
        <v>62</v>
      </c>
      <c r="H799" s="64" t="s">
        <v>80</v>
      </c>
      <c r="I799" s="64" t="s">
        <v>81</v>
      </c>
      <c r="J799" s="67">
        <v>0</v>
      </c>
      <c r="K799" s="62">
        <v>3596.56</v>
      </c>
      <c r="L799" s="33" t="e">
        <f>HLOOKUP(B799,#REF!,1,0)</f>
        <v>#REF!</v>
      </c>
      <c r="M799" s="33" t="str">
        <f t="shared" si="51"/>
        <v>BS</v>
      </c>
    </row>
    <row r="800" spans="1:13" s="33" customFormat="true" ht="12.75" customHeight="true">
      <c r="A800" s="33" t="str">
        <f t="shared" si="48"/>
        <v>EAS - Deposits</v>
      </c>
      <c r="B800" s="33" t="str">
        <f t="shared" si="49"/>
        <v>EAS</v>
      </c>
      <c r="C800" s="33" t="str">
        <f t="shared" si="50"/>
        <v>19001-0000</v>
      </c>
      <c r="D800" s="64" t="s">
        <v>1112</v>
      </c>
      <c r="E800" s="64" t="s">
        <v>344</v>
      </c>
      <c r="F800" s="64" t="s">
        <v>230</v>
      </c>
      <c r="G800" s="64" t="s">
        <v>62</v>
      </c>
      <c r="H800" s="64" t="s">
        <v>80</v>
      </c>
      <c r="I800" s="64" t="s">
        <v>81</v>
      </c>
      <c r="J800" s="67">
        <v>0</v>
      </c>
      <c r="K800" s="62">
        <v>6.49</v>
      </c>
      <c r="L800" s="33" t="e">
        <f>HLOOKUP(B800,#REF!,1,0)</f>
        <v>#REF!</v>
      </c>
      <c r="M800" s="33" t="str">
        <f t="shared" si="51"/>
        <v>BS</v>
      </c>
    </row>
    <row r="801" spans="1:13" s="33" customFormat="true" ht="12.75" customHeight="true">
      <c r="A801" s="33" t="str">
        <f t="shared" si="48"/>
        <v>EAS - AP-Accr Exp</v>
      </c>
      <c r="B801" s="33" t="str">
        <f t="shared" si="49"/>
        <v>EAS</v>
      </c>
      <c r="C801" s="33" t="str">
        <f t="shared" si="50"/>
        <v>23509-0000</v>
      </c>
      <c r="D801" s="64" t="s">
        <v>1113</v>
      </c>
      <c r="E801" s="64" t="s">
        <v>111</v>
      </c>
      <c r="F801" s="64" t="s">
        <v>230</v>
      </c>
      <c r="G801" s="64" t="s">
        <v>97</v>
      </c>
      <c r="H801" s="64" t="s">
        <v>98</v>
      </c>
      <c r="I801" s="64" t="s">
        <v>102</v>
      </c>
      <c r="J801" s="67">
        <v>0</v>
      </c>
      <c r="K801" s="62">
        <v>-2905.66</v>
      </c>
      <c r="L801" s="33" t="e">
        <f>HLOOKUP(B801,#REF!,1,0)</f>
        <v>#REF!</v>
      </c>
      <c r="M801" s="33" t="str">
        <f t="shared" si="51"/>
        <v>BS</v>
      </c>
    </row>
    <row r="802" spans="1:13" s="33" customFormat="true" ht="12.75" customHeight="true">
      <c r="A802" s="33" t="str">
        <f t="shared" si="48"/>
        <v>EAS - Principal</v>
      </c>
      <c r="B802" s="33" t="str">
        <f t="shared" si="49"/>
        <v>EAS</v>
      </c>
      <c r="C802" s="33" t="str">
        <f t="shared" si="50"/>
        <v>26800-0000</v>
      </c>
      <c r="D802" s="64" t="s">
        <v>1114</v>
      </c>
      <c r="E802" s="64" t="s">
        <v>402</v>
      </c>
      <c r="F802" s="64" t="s">
        <v>230</v>
      </c>
      <c r="G802" s="64" t="s">
        <v>97</v>
      </c>
      <c r="H802" s="64" t="s">
        <v>127</v>
      </c>
      <c r="I802" s="64" t="s">
        <v>128</v>
      </c>
      <c r="J802" s="67">
        <v>0</v>
      </c>
      <c r="K802" s="62">
        <v>-41000</v>
      </c>
      <c r="L802" s="33" t="e">
        <f>HLOOKUP(B802,#REF!,1,0)</f>
        <v>#REF!</v>
      </c>
      <c r="M802" s="33" t="str">
        <f t="shared" si="51"/>
        <v>BS</v>
      </c>
    </row>
    <row r="803" spans="1:13" s="33" customFormat="true" ht="12.75" customHeight="true">
      <c r="A803" s="33" t="str">
        <f t="shared" si="48"/>
        <v>EAS - SH Dist</v>
      </c>
      <c r="B803" s="33" t="str">
        <f t="shared" si="49"/>
        <v>EAS</v>
      </c>
      <c r="C803" s="33" t="str">
        <f t="shared" si="50"/>
        <v>30700-0000</v>
      </c>
      <c r="D803" s="64" t="s">
        <v>1115</v>
      </c>
      <c r="E803" s="64" t="s">
        <v>319</v>
      </c>
      <c r="F803" s="64" t="s">
        <v>230</v>
      </c>
      <c r="G803" s="64" t="s">
        <v>142</v>
      </c>
      <c r="H803" s="64" t="s">
        <v>143</v>
      </c>
      <c r="I803" s="64" t="s">
        <v>144</v>
      </c>
      <c r="J803" s="67">
        <v>0</v>
      </c>
      <c r="K803" s="62">
        <v>1652779.18</v>
      </c>
      <c r="L803" s="33" t="e">
        <f>HLOOKUP(B803,#REF!,1,0)</f>
        <v>#REF!</v>
      </c>
      <c r="M803" s="33" t="str">
        <f t="shared" si="51"/>
        <v>BS</v>
      </c>
    </row>
    <row r="804" spans="1:13" s="33" customFormat="true" ht="12.75" customHeight="true">
      <c r="A804" s="33" t="str">
        <f t="shared" si="48"/>
        <v>EAS - Retained Earnings</v>
      </c>
      <c r="B804" s="33" t="str">
        <f t="shared" si="49"/>
        <v>EAS</v>
      </c>
      <c r="C804" s="33" t="str">
        <f t="shared" si="50"/>
        <v>32000-0000</v>
      </c>
      <c r="D804" s="64" t="s">
        <v>1116</v>
      </c>
      <c r="E804" s="64" t="s">
        <v>234</v>
      </c>
      <c r="F804" s="64" t="s">
        <v>230</v>
      </c>
      <c r="G804" s="64" t="s">
        <v>142</v>
      </c>
      <c r="H804" s="64" t="s">
        <v>149</v>
      </c>
      <c r="I804" s="64" t="s">
        <v>235</v>
      </c>
      <c r="J804" s="67">
        <v>0</v>
      </c>
      <c r="K804" s="62">
        <v>-1807556.23</v>
      </c>
      <c r="L804" s="33" t="e">
        <f>HLOOKUP(B804,#REF!,1,0)</f>
        <v>#REF!</v>
      </c>
      <c r="M804" s="33" t="str">
        <f t="shared" si="51"/>
        <v>BS</v>
      </c>
    </row>
    <row r="805" spans="1:13" s="33" customFormat="true" ht="12.75" customHeight="true">
      <c r="A805" s="33" t="str">
        <f t="shared" si="48"/>
        <v>EAS - SH Dist</v>
      </c>
      <c r="B805" s="33" t="str">
        <f t="shared" si="49"/>
        <v>EAS</v>
      </c>
      <c r="C805" s="33" t="str">
        <f t="shared" si="50"/>
        <v>38101-0000</v>
      </c>
      <c r="D805" s="64" t="s">
        <v>1117</v>
      </c>
      <c r="E805" s="64" t="s">
        <v>1118</v>
      </c>
      <c r="F805" s="64" t="s">
        <v>230</v>
      </c>
      <c r="G805" s="64" t="s">
        <v>142</v>
      </c>
      <c r="H805" s="64" t="s">
        <v>143</v>
      </c>
      <c r="I805" s="64" t="s">
        <v>144</v>
      </c>
      <c r="J805" s="67">
        <v>0</v>
      </c>
      <c r="K805" s="62">
        <v>7011.08</v>
      </c>
      <c r="L805" s="33" t="e">
        <f>HLOOKUP(B805,#REF!,1,0)</f>
        <v>#REF!</v>
      </c>
      <c r="M805" s="33" t="str">
        <f t="shared" si="51"/>
        <v>BS</v>
      </c>
    </row>
    <row r="806" spans="1:13" s="33" customFormat="true" ht="12.75" customHeight="true">
      <c r="A806" s="33" t="str">
        <f t="shared" si="48"/>
        <v>FFC - Cash</v>
      </c>
      <c r="B806" s="33" t="str">
        <f t="shared" si="49"/>
        <v>FFC</v>
      </c>
      <c r="C806" s="33" t="str">
        <f t="shared" si="50"/>
        <v>10021-0000</v>
      </c>
      <c r="D806" s="64" t="s">
        <v>1119</v>
      </c>
      <c r="E806" s="64" t="s">
        <v>826</v>
      </c>
      <c r="F806" s="64" t="s">
        <v>1120</v>
      </c>
      <c r="G806" s="64" t="s">
        <v>16</v>
      </c>
      <c r="H806" s="64" t="s">
        <v>25</v>
      </c>
      <c r="I806" s="64" t="s">
        <v>18</v>
      </c>
      <c r="J806" s="67">
        <v>-81738.36</v>
      </c>
      <c r="K806" s="62">
        <v>-222354.8</v>
      </c>
      <c r="L806" s="33" t="e">
        <f>HLOOKUP(B806,#REF!,1,0)</f>
        <v>#REF!</v>
      </c>
      <c r="M806" s="33" t="str">
        <f t="shared" si="51"/>
        <v>BS</v>
      </c>
    </row>
    <row r="807" spans="1:13" s="33" customFormat="true" ht="12.75" customHeight="true">
      <c r="A807" s="33" t="str">
        <f t="shared" si="48"/>
        <v>FFC - AR-PPD</v>
      </c>
      <c r="B807" s="33" t="str">
        <f t="shared" si="49"/>
        <v>FFC</v>
      </c>
      <c r="C807" s="33" t="str">
        <f t="shared" si="50"/>
        <v>11050-0000</v>
      </c>
      <c r="D807" s="64" t="s">
        <v>1121</v>
      </c>
      <c r="E807" s="64" t="s">
        <v>1122</v>
      </c>
      <c r="F807" s="64" t="s">
        <v>1120</v>
      </c>
      <c r="G807" s="64" t="s">
        <v>16</v>
      </c>
      <c r="H807" s="64" t="s">
        <v>35</v>
      </c>
      <c r="I807" s="64" t="s">
        <v>36</v>
      </c>
      <c r="J807" s="67">
        <v>0</v>
      </c>
      <c r="K807" s="62">
        <v>61.74</v>
      </c>
      <c r="L807" s="33" t="e">
        <f>HLOOKUP(B807,#REF!,1,0)</f>
        <v>#REF!</v>
      </c>
      <c r="M807" s="33" t="str">
        <f t="shared" si="51"/>
        <v>BS</v>
      </c>
    </row>
    <row r="808" spans="1:13" s="33" customFormat="true" ht="12.75" customHeight="true">
      <c r="A808" s="33" t="str">
        <f t="shared" si="48"/>
        <v>FFC - Intercompany</v>
      </c>
      <c r="B808" s="33" t="str">
        <f t="shared" si="49"/>
        <v>FFC</v>
      </c>
      <c r="C808" s="33" t="str">
        <f t="shared" si="50"/>
        <v>11200-0000</v>
      </c>
      <c r="D808" s="64" t="s">
        <v>1123</v>
      </c>
      <c r="E808" s="64" t="s">
        <v>620</v>
      </c>
      <c r="F808" s="64" t="s">
        <v>1120</v>
      </c>
      <c r="G808" s="64" t="s">
        <v>16</v>
      </c>
      <c r="H808" s="64" t="s">
        <v>39</v>
      </c>
      <c r="I808" s="64" t="s">
        <v>40</v>
      </c>
      <c r="J808" s="67">
        <v>-12164</v>
      </c>
      <c r="K808" s="62">
        <v>3364.08</v>
      </c>
      <c r="L808" s="33" t="e">
        <f>HLOOKUP(B808,#REF!,1,0)</f>
        <v>#REF!</v>
      </c>
      <c r="M808" s="33" t="str">
        <f t="shared" si="51"/>
        <v>BS</v>
      </c>
    </row>
    <row r="809" spans="1:13" s="33" customFormat="true" ht="12.75" customHeight="true">
      <c r="A809" s="33" t="str">
        <f t="shared" si="48"/>
        <v>FFC - Intercompany</v>
      </c>
      <c r="B809" s="33" t="str">
        <f t="shared" si="49"/>
        <v>FFC</v>
      </c>
      <c r="C809" s="33" t="str">
        <f t="shared" si="50"/>
        <v>11207-0000</v>
      </c>
      <c r="D809" s="64" t="s">
        <v>1124</v>
      </c>
      <c r="E809" s="64" t="s">
        <v>1125</v>
      </c>
      <c r="F809" s="64" t="s">
        <v>1120</v>
      </c>
      <c r="G809" s="64" t="s">
        <v>16</v>
      </c>
      <c r="H809" s="64" t="s">
        <v>39</v>
      </c>
      <c r="I809" s="64" t="s">
        <v>40</v>
      </c>
      <c r="J809" s="67">
        <v>0</v>
      </c>
      <c r="K809" s="62">
        <v>436428.73</v>
      </c>
      <c r="L809" s="33" t="e">
        <f>HLOOKUP(B809,#REF!,1,0)</f>
        <v>#REF!</v>
      </c>
      <c r="M809" s="33" t="str">
        <f t="shared" si="51"/>
        <v>BS</v>
      </c>
    </row>
    <row r="810" spans="1:13" s="33" customFormat="true" ht="12.75" customHeight="true">
      <c r="A810" s="33" t="str">
        <f t="shared" si="48"/>
        <v>FFC - Intercompany</v>
      </c>
      <c r="B810" s="33" t="str">
        <f t="shared" si="49"/>
        <v>FFC</v>
      </c>
      <c r="C810" s="33" t="str">
        <f t="shared" si="50"/>
        <v>11212-0000</v>
      </c>
      <c r="D810" s="64" t="s">
        <v>1126</v>
      </c>
      <c r="E810" s="64" t="s">
        <v>1127</v>
      </c>
      <c r="F810" s="64" t="s">
        <v>1120</v>
      </c>
      <c r="G810" s="64" t="s">
        <v>16</v>
      </c>
      <c r="H810" s="64" t="s">
        <v>39</v>
      </c>
      <c r="I810" s="64" t="s">
        <v>40</v>
      </c>
      <c r="J810" s="67">
        <v>0</v>
      </c>
      <c r="K810" s="62">
        <v>4507.7</v>
      </c>
      <c r="L810" s="33" t="e">
        <f>HLOOKUP(B810,#REF!,1,0)</f>
        <v>#REF!</v>
      </c>
      <c r="M810" s="33" t="str">
        <f t="shared" si="51"/>
        <v>BS</v>
      </c>
    </row>
    <row r="811" spans="1:13" s="33" customFormat="true" ht="12.75" customHeight="true">
      <c r="A811" s="33" t="str">
        <f t="shared" si="48"/>
        <v>FFC - Intercompany</v>
      </c>
      <c r="B811" s="33" t="str">
        <f t="shared" si="49"/>
        <v>FFC</v>
      </c>
      <c r="C811" s="33" t="str">
        <f t="shared" si="50"/>
        <v>11222-0000</v>
      </c>
      <c r="D811" s="64" t="s">
        <v>1128</v>
      </c>
      <c r="E811" s="64" t="s">
        <v>1129</v>
      </c>
      <c r="F811" s="64" t="s">
        <v>1120</v>
      </c>
      <c r="G811" s="64" t="s">
        <v>16</v>
      </c>
      <c r="H811" s="64" t="s">
        <v>39</v>
      </c>
      <c r="I811" s="64" t="s">
        <v>40</v>
      </c>
      <c r="J811" s="67">
        <v>0</v>
      </c>
      <c r="K811" s="62">
        <v>1674.08</v>
      </c>
      <c r="L811" s="33" t="e">
        <f>HLOOKUP(B811,#REF!,1,0)</f>
        <v>#REF!</v>
      </c>
      <c r="M811" s="33" t="str">
        <f t="shared" si="51"/>
        <v>BS</v>
      </c>
    </row>
    <row r="812" spans="1:13" s="33" customFormat="true" ht="12.75" customHeight="true">
      <c r="A812" s="33" t="str">
        <f t="shared" si="48"/>
        <v>FFC - AR-PPD</v>
      </c>
      <c r="B812" s="33" t="str">
        <f t="shared" si="49"/>
        <v>FFC</v>
      </c>
      <c r="C812" s="33" t="str">
        <f t="shared" si="50"/>
        <v>12000-0000</v>
      </c>
      <c r="D812" s="64" t="s">
        <v>1130</v>
      </c>
      <c r="E812" s="64" t="s">
        <v>56</v>
      </c>
      <c r="F812" s="64" t="s">
        <v>1120</v>
      </c>
      <c r="G812" s="64" t="s">
        <v>16</v>
      </c>
      <c r="H812" s="64" t="s">
        <v>35</v>
      </c>
      <c r="I812" s="64" t="s">
        <v>57</v>
      </c>
      <c r="J812" s="67">
        <v>0</v>
      </c>
      <c r="K812" s="62">
        <v>2164.46</v>
      </c>
      <c r="L812" s="33" t="e">
        <f>HLOOKUP(B812,#REF!,1,0)</f>
        <v>#REF!</v>
      </c>
      <c r="M812" s="33" t="str">
        <f t="shared" si="51"/>
        <v>BS</v>
      </c>
    </row>
    <row r="813" spans="1:13" s="33" customFormat="true" ht="12.75" customHeight="true">
      <c r="A813" s="33" t="str">
        <f t="shared" si="48"/>
        <v>FFC - Fixed Assets</v>
      </c>
      <c r="B813" s="33" t="str">
        <f t="shared" si="49"/>
        <v>FFC</v>
      </c>
      <c r="C813" s="33" t="str">
        <f t="shared" si="50"/>
        <v>15200-0000</v>
      </c>
      <c r="D813" s="64" t="s">
        <v>1131</v>
      </c>
      <c r="E813" s="64" t="s">
        <v>1132</v>
      </c>
      <c r="F813" s="64" t="s">
        <v>1120</v>
      </c>
      <c r="G813" s="64" t="s">
        <v>62</v>
      </c>
      <c r="H813" s="64" t="s">
        <v>63</v>
      </c>
      <c r="I813" s="64" t="s">
        <v>64</v>
      </c>
      <c r="J813" s="67">
        <v>0</v>
      </c>
      <c r="K813" s="62">
        <v>27695.64</v>
      </c>
      <c r="L813" s="33" t="e">
        <f>HLOOKUP(B813,#REF!,1,0)</f>
        <v>#REF!</v>
      </c>
      <c r="M813" s="33" t="str">
        <f t="shared" si="51"/>
        <v>BS</v>
      </c>
    </row>
    <row r="814" spans="1:13" s="33" customFormat="true" ht="12.75" customHeight="true">
      <c r="A814" s="33" t="str">
        <f t="shared" si="48"/>
        <v>FFC - Fixed Assets</v>
      </c>
      <c r="B814" s="33" t="str">
        <f t="shared" si="49"/>
        <v>FFC</v>
      </c>
      <c r="C814" s="33" t="str">
        <f t="shared" si="50"/>
        <v>15300-0000</v>
      </c>
      <c r="D814" s="64" t="s">
        <v>1133</v>
      </c>
      <c r="E814" s="64" t="s">
        <v>70</v>
      </c>
      <c r="F814" s="64" t="s">
        <v>1120</v>
      </c>
      <c r="G814" s="64" t="s">
        <v>62</v>
      </c>
      <c r="H814" s="64" t="s">
        <v>63</v>
      </c>
      <c r="I814" s="64" t="s">
        <v>64</v>
      </c>
      <c r="J814" s="67">
        <v>0</v>
      </c>
      <c r="K814" s="62">
        <v>117930.65</v>
      </c>
      <c r="L814" s="33" t="e">
        <f>HLOOKUP(B814,#REF!,1,0)</f>
        <v>#REF!</v>
      </c>
      <c r="M814" s="33" t="str">
        <f t="shared" si="51"/>
        <v>BS</v>
      </c>
    </row>
    <row r="815" spans="1:13" s="33" customFormat="true" ht="12.75" customHeight="true">
      <c r="A815" s="33" t="str">
        <f t="shared" si="48"/>
        <v>FFC - Fixed Assets</v>
      </c>
      <c r="B815" s="33" t="str">
        <f t="shared" si="49"/>
        <v>FFC</v>
      </c>
      <c r="C815" s="33" t="str">
        <f t="shared" si="50"/>
        <v>15400-0000</v>
      </c>
      <c r="D815" s="64" t="s">
        <v>1134</v>
      </c>
      <c r="E815" s="64" t="s">
        <v>1135</v>
      </c>
      <c r="F815" s="64" t="s">
        <v>1120</v>
      </c>
      <c r="G815" s="64" t="s">
        <v>62</v>
      </c>
      <c r="H815" s="64" t="s">
        <v>63</v>
      </c>
      <c r="I815" s="64" t="s">
        <v>64</v>
      </c>
      <c r="J815" s="67">
        <v>0</v>
      </c>
      <c r="K815" s="62">
        <v>435539.97</v>
      </c>
      <c r="L815" s="33" t="e">
        <f>HLOOKUP(B815,#REF!,1,0)</f>
        <v>#REF!</v>
      </c>
      <c r="M815" s="33" t="str">
        <f t="shared" si="51"/>
        <v>BS</v>
      </c>
    </row>
    <row r="816" spans="1:13" s="33" customFormat="true" ht="12.75" customHeight="true">
      <c r="A816" s="33" t="str">
        <f t="shared" si="48"/>
        <v>FFC - Fixed Assets</v>
      </c>
      <c r="B816" s="33" t="str">
        <f t="shared" si="49"/>
        <v>FFC</v>
      </c>
      <c r="C816" s="33" t="str">
        <f t="shared" si="50"/>
        <v>15500-0000</v>
      </c>
      <c r="D816" s="64" t="s">
        <v>1136</v>
      </c>
      <c r="E816" s="64" t="s">
        <v>1137</v>
      </c>
      <c r="F816" s="64" t="s">
        <v>1120</v>
      </c>
      <c r="G816" s="64" t="s">
        <v>62</v>
      </c>
      <c r="H816" s="64" t="s">
        <v>63</v>
      </c>
      <c r="I816" s="64" t="s">
        <v>64</v>
      </c>
      <c r="J816" s="67">
        <v>0</v>
      </c>
      <c r="K816" s="62">
        <v>174154.97</v>
      </c>
      <c r="L816" s="33" t="e">
        <f>HLOOKUP(B816,#REF!,1,0)</f>
        <v>#REF!</v>
      </c>
      <c r="M816" s="33" t="str">
        <f t="shared" si="51"/>
        <v>BS</v>
      </c>
    </row>
    <row r="817" spans="1:13" s="33" customFormat="true" ht="12.75" customHeight="true">
      <c r="A817" s="33" t="str">
        <f t="shared" si="48"/>
        <v>FFC - Fixed Assets</v>
      </c>
      <c r="B817" s="33" t="str">
        <f t="shared" si="49"/>
        <v>FFC</v>
      </c>
      <c r="C817" s="33" t="str">
        <f t="shared" si="50"/>
        <v>16200-0000</v>
      </c>
      <c r="D817" s="64" t="s">
        <v>1138</v>
      </c>
      <c r="E817" s="64" t="s">
        <v>1139</v>
      </c>
      <c r="F817" s="64" t="s">
        <v>1120</v>
      </c>
      <c r="G817" s="64" t="s">
        <v>62</v>
      </c>
      <c r="H817" s="64" t="s">
        <v>63</v>
      </c>
      <c r="I817" s="64" t="s">
        <v>64</v>
      </c>
      <c r="J817" s="67">
        <v>0</v>
      </c>
      <c r="K817" s="62">
        <v>-1288</v>
      </c>
      <c r="L817" s="33" t="e">
        <f>HLOOKUP(B817,#REF!,1,0)</f>
        <v>#REF!</v>
      </c>
      <c r="M817" s="33" t="str">
        <f t="shared" si="51"/>
        <v>BS</v>
      </c>
    </row>
    <row r="818" spans="1:13" s="33" customFormat="true" ht="12.75" customHeight="true">
      <c r="A818" s="33" t="str">
        <f t="shared" si="48"/>
        <v>FFC - Fixed Assets</v>
      </c>
      <c r="B818" s="33" t="str">
        <f t="shared" si="49"/>
        <v>FFC</v>
      </c>
      <c r="C818" s="33" t="str">
        <f t="shared" si="50"/>
        <v>16300-0000</v>
      </c>
      <c r="D818" s="64" t="s">
        <v>1140</v>
      </c>
      <c r="E818" s="64" t="s">
        <v>683</v>
      </c>
      <c r="F818" s="64" t="s">
        <v>1120</v>
      </c>
      <c r="G818" s="64" t="s">
        <v>62</v>
      </c>
      <c r="H818" s="64" t="s">
        <v>63</v>
      </c>
      <c r="I818" s="64" t="s">
        <v>64</v>
      </c>
      <c r="J818" s="67">
        <v>0</v>
      </c>
      <c r="K818" s="62">
        <v>-23141</v>
      </c>
      <c r="L818" s="33" t="e">
        <f>HLOOKUP(B818,#REF!,1,0)</f>
        <v>#REF!</v>
      </c>
      <c r="M818" s="33" t="str">
        <f t="shared" si="51"/>
        <v>BS</v>
      </c>
    </row>
    <row r="819" spans="1:13" s="33" customFormat="true" ht="12.75" customHeight="true">
      <c r="A819" s="33" t="str">
        <f t="shared" si="48"/>
        <v>FFC - Fixed Assets</v>
      </c>
      <c r="B819" s="33" t="str">
        <f t="shared" si="49"/>
        <v>FFC</v>
      </c>
      <c r="C819" s="33" t="str">
        <f t="shared" si="50"/>
        <v>16400-0000</v>
      </c>
      <c r="D819" s="64" t="s">
        <v>1141</v>
      </c>
      <c r="E819" s="64" t="s">
        <v>1142</v>
      </c>
      <c r="F819" s="64" t="s">
        <v>1120</v>
      </c>
      <c r="G819" s="64" t="s">
        <v>62</v>
      </c>
      <c r="H819" s="64" t="s">
        <v>63</v>
      </c>
      <c r="I819" s="64" t="s">
        <v>64</v>
      </c>
      <c r="J819" s="67">
        <v>0</v>
      </c>
      <c r="K819" s="62">
        <v>-180357.12</v>
      </c>
      <c r="L819" s="33" t="e">
        <f>HLOOKUP(B819,#REF!,1,0)</f>
        <v>#REF!</v>
      </c>
      <c r="M819" s="33" t="str">
        <f t="shared" si="51"/>
        <v>BS</v>
      </c>
    </row>
    <row r="820" spans="1:13" s="33" customFormat="true" ht="12.75" customHeight="true">
      <c r="A820" s="33" t="str">
        <f t="shared" si="48"/>
        <v>FFC - Fixed Assets</v>
      </c>
      <c r="B820" s="33" t="str">
        <f t="shared" si="49"/>
        <v>FFC</v>
      </c>
      <c r="C820" s="33" t="str">
        <f t="shared" si="50"/>
        <v>16500-0000</v>
      </c>
      <c r="D820" s="64" t="s">
        <v>1143</v>
      </c>
      <c r="E820" s="64" t="s">
        <v>1144</v>
      </c>
      <c r="F820" s="64" t="s">
        <v>1120</v>
      </c>
      <c r="G820" s="64" t="s">
        <v>62</v>
      </c>
      <c r="H820" s="64" t="s">
        <v>63</v>
      </c>
      <c r="I820" s="64" t="s">
        <v>64</v>
      </c>
      <c r="J820" s="67">
        <v>0</v>
      </c>
      <c r="K820" s="62">
        <v>-269178.24</v>
      </c>
      <c r="L820" s="33" t="e">
        <f>HLOOKUP(B820,#REF!,1,0)</f>
        <v>#REF!</v>
      </c>
      <c r="M820" s="33" t="str">
        <f t="shared" si="51"/>
        <v>BS</v>
      </c>
    </row>
    <row r="821" spans="1:13" s="33" customFormat="true" ht="12.75" customHeight="true">
      <c r="A821" s="33" t="str">
        <f t="shared" si="48"/>
        <v>FFC - Deposits</v>
      </c>
      <c r="B821" s="33" t="str">
        <f t="shared" si="49"/>
        <v>FFC</v>
      </c>
      <c r="C821" s="33" t="str">
        <f t="shared" si="50"/>
        <v>18101-0000</v>
      </c>
      <c r="D821" s="64" t="s">
        <v>1145</v>
      </c>
      <c r="E821" s="64" t="s">
        <v>1146</v>
      </c>
      <c r="F821" s="64" t="s">
        <v>1120</v>
      </c>
      <c r="G821" s="64" t="s">
        <v>62</v>
      </c>
      <c r="H821" s="64" t="s">
        <v>80</v>
      </c>
      <c r="I821" s="64" t="s">
        <v>81</v>
      </c>
      <c r="J821" s="67">
        <v>0</v>
      </c>
      <c r="K821" s="62">
        <v>1911183.24</v>
      </c>
      <c r="L821" s="33" t="e">
        <f>HLOOKUP(B821,#REF!,1,0)</f>
        <v>#REF!</v>
      </c>
      <c r="M821" s="33" t="str">
        <f t="shared" si="51"/>
        <v>BS</v>
      </c>
    </row>
    <row r="822" spans="1:13" s="33" customFormat="true" ht="12.75" customHeight="true">
      <c r="A822" s="33" t="str">
        <f t="shared" si="48"/>
        <v>FFC - AP-Accr Exp</v>
      </c>
      <c r="B822" s="33" t="str">
        <f t="shared" si="49"/>
        <v>FFC</v>
      </c>
      <c r="C822" s="33" t="str">
        <f t="shared" si="50"/>
        <v>20001-0000</v>
      </c>
      <c r="D822" s="64" t="s">
        <v>1147</v>
      </c>
      <c r="E822" s="64" t="s">
        <v>96</v>
      </c>
      <c r="F822" s="64" t="s">
        <v>1120</v>
      </c>
      <c r="G822" s="64" t="s">
        <v>97</v>
      </c>
      <c r="H822" s="64" t="s">
        <v>98</v>
      </c>
      <c r="I822" s="64" t="s">
        <v>99</v>
      </c>
      <c r="J822" s="67">
        <v>3749.23</v>
      </c>
      <c r="K822" s="62">
        <v>18412.41</v>
      </c>
      <c r="L822" s="33" t="e">
        <f>HLOOKUP(B822,#REF!,1,0)</f>
        <v>#REF!</v>
      </c>
      <c r="M822" s="33" t="str">
        <f t="shared" si="51"/>
        <v>BS</v>
      </c>
    </row>
    <row r="823" spans="1:13" s="33" customFormat="true" ht="12.75" customHeight="true">
      <c r="A823" s="33" t="str">
        <f t="shared" si="48"/>
        <v>FFC - AP-Accr Exp</v>
      </c>
      <c r="B823" s="33" t="str">
        <f t="shared" si="49"/>
        <v>FFC</v>
      </c>
      <c r="C823" s="33" t="str">
        <f t="shared" si="50"/>
        <v>20100-0000</v>
      </c>
      <c r="D823" s="64" t="s">
        <v>1148</v>
      </c>
      <c r="E823" s="64" t="s">
        <v>96</v>
      </c>
      <c r="F823" s="64" t="s">
        <v>1120</v>
      </c>
      <c r="G823" s="64" t="s">
        <v>97</v>
      </c>
      <c r="H823" s="64" t="s">
        <v>98</v>
      </c>
      <c r="I823" s="64" t="s">
        <v>99</v>
      </c>
      <c r="J823" s="67">
        <v>7839.84</v>
      </c>
      <c r="K823" s="62">
        <v>63405.12</v>
      </c>
      <c r="L823" s="33" t="e">
        <f>HLOOKUP(B823,#REF!,1,0)</f>
        <v>#REF!</v>
      </c>
      <c r="M823" s="33" t="str">
        <f t="shared" si="51"/>
        <v>BS</v>
      </c>
    </row>
    <row r="824" spans="1:13" s="33" customFormat="true" ht="12.75" customHeight="true">
      <c r="A824" s="33" t="str">
        <f t="shared" si="48"/>
        <v>FFC - AP-Accr Exp</v>
      </c>
      <c r="B824" s="33" t="str">
        <f t="shared" si="49"/>
        <v>FFC</v>
      </c>
      <c r="C824" s="33" t="str">
        <f t="shared" si="50"/>
        <v>21100-0000</v>
      </c>
      <c r="D824" s="64" t="s">
        <v>1149</v>
      </c>
      <c r="E824" s="64" t="s">
        <v>454</v>
      </c>
      <c r="F824" s="64" t="s">
        <v>1120</v>
      </c>
      <c r="G824" s="64" t="s">
        <v>97</v>
      </c>
      <c r="H824" s="64" t="s">
        <v>98</v>
      </c>
      <c r="I824" s="64" t="s">
        <v>102</v>
      </c>
      <c r="J824" s="67">
        <v>0</v>
      </c>
      <c r="K824" s="62">
        <v>-2633.1</v>
      </c>
      <c r="L824" s="33" t="e">
        <f>HLOOKUP(B824,#REF!,1,0)</f>
        <v>#REF!</v>
      </c>
      <c r="M824" s="33" t="str">
        <f t="shared" si="51"/>
        <v>BS</v>
      </c>
    </row>
    <row r="825" spans="1:13" s="33" customFormat="true" ht="12.75" customHeight="true">
      <c r="A825" s="33" t="str">
        <f t="shared" si="48"/>
        <v>FFC - AP-Accr Exp</v>
      </c>
      <c r="B825" s="33" t="str">
        <f t="shared" si="49"/>
        <v>FFC</v>
      </c>
      <c r="C825" s="33" t="str">
        <f t="shared" si="50"/>
        <v>21200-0000</v>
      </c>
      <c r="D825" s="64" t="s">
        <v>1150</v>
      </c>
      <c r="E825" s="64" t="s">
        <v>1151</v>
      </c>
      <c r="F825" s="64" t="s">
        <v>1120</v>
      </c>
      <c r="G825" s="64" t="s">
        <v>97</v>
      </c>
      <c r="H825" s="64" t="s">
        <v>98</v>
      </c>
      <c r="I825" s="64" t="s">
        <v>102</v>
      </c>
      <c r="J825" s="67">
        <v>0</v>
      </c>
      <c r="K825" s="62">
        <v>-154500</v>
      </c>
      <c r="L825" s="33" t="e">
        <f>HLOOKUP(B825,#REF!,1,0)</f>
        <v>#REF!</v>
      </c>
      <c r="M825" s="33" t="str">
        <f t="shared" si="51"/>
        <v>BS</v>
      </c>
    </row>
    <row r="826" spans="1:13" s="33" customFormat="true" ht="14.25" customHeight="true">
      <c r="A826" s="33" t="str">
        <f t="shared" si="48"/>
        <v>FFC - Tax Accr</v>
      </c>
      <c r="B826" s="33" t="str">
        <f t="shared" si="49"/>
        <v>FFC</v>
      </c>
      <c r="C826" s="33" t="str">
        <f t="shared" si="50"/>
        <v>21302-0000</v>
      </c>
      <c r="D826" s="64" t="s">
        <v>1152</v>
      </c>
      <c r="E826" s="64" t="s">
        <v>1153</v>
      </c>
      <c r="F826" s="64" t="s">
        <v>1120</v>
      </c>
      <c r="G826" s="64" t="s">
        <v>97</v>
      </c>
      <c r="H826" s="33" t="s">
        <v>105</v>
      </c>
      <c r="I826" s="64" t="s">
        <v>102</v>
      </c>
      <c r="J826" s="67">
        <v>0</v>
      </c>
      <c r="K826" s="62">
        <v>-360.51</v>
      </c>
      <c r="L826" s="33" t="e">
        <f>HLOOKUP(B826,#REF!,1,0)</f>
        <v>#REF!</v>
      </c>
      <c r="M826" s="33" t="str">
        <f t="shared" si="51"/>
        <v>BS</v>
      </c>
    </row>
    <row r="827" spans="1:13" s="33" customFormat="true" ht="12.75" customHeight="true">
      <c r="A827" s="33" t="str">
        <f t="shared" si="48"/>
        <v>FFC - Tax Accr</v>
      </c>
      <c r="B827" s="33" t="str">
        <f t="shared" si="49"/>
        <v>FFC</v>
      </c>
      <c r="C827" s="33" t="str">
        <f t="shared" si="50"/>
        <v>21304-0000</v>
      </c>
      <c r="D827" s="64" t="s">
        <v>1154</v>
      </c>
      <c r="E827" s="64" t="s">
        <v>1155</v>
      </c>
      <c r="F827" s="64" t="s">
        <v>1120</v>
      </c>
      <c r="G827" s="64" t="s">
        <v>97</v>
      </c>
      <c r="H827" s="64" t="s">
        <v>105</v>
      </c>
      <c r="I827" s="64" t="s">
        <v>102</v>
      </c>
      <c r="J827" s="67">
        <v>0</v>
      </c>
      <c r="K827" s="62">
        <v>40.79</v>
      </c>
      <c r="L827" s="33" t="e">
        <f>HLOOKUP(B827,#REF!,1,0)</f>
        <v>#REF!</v>
      </c>
      <c r="M827" s="33" t="str">
        <f t="shared" si="51"/>
        <v>BS</v>
      </c>
    </row>
    <row r="828" spans="1:13" s="33" customFormat="true" ht="12.75" customHeight="true">
      <c r="A828" s="33" t="str">
        <f t="shared" si="48"/>
        <v>FFC - Tax Accr</v>
      </c>
      <c r="B828" s="33" t="str">
        <f t="shared" si="49"/>
        <v>FFC</v>
      </c>
      <c r="C828" s="33" t="str">
        <f t="shared" si="50"/>
        <v>21305-0000</v>
      </c>
      <c r="D828" s="64" t="s">
        <v>1156</v>
      </c>
      <c r="E828" s="64" t="s">
        <v>1157</v>
      </c>
      <c r="F828" s="64" t="s">
        <v>1120</v>
      </c>
      <c r="G828" s="64" t="s">
        <v>97</v>
      </c>
      <c r="H828" s="64" t="s">
        <v>105</v>
      </c>
      <c r="I828" s="64" t="s">
        <v>102</v>
      </c>
      <c r="J828" s="67">
        <v>0</v>
      </c>
      <c r="K828" s="62">
        <v>0.01</v>
      </c>
      <c r="L828" s="33" t="e">
        <f>HLOOKUP(B828,#REF!,1,0)</f>
        <v>#REF!</v>
      </c>
      <c r="M828" s="33" t="str">
        <f t="shared" si="51"/>
        <v>BS</v>
      </c>
    </row>
    <row r="829" spans="1:13" s="33" customFormat="true" ht="12.75" customHeight="true">
      <c r="A829" s="33" t="str">
        <f t="shared" si="48"/>
        <v>FFC - Tax Accr</v>
      </c>
      <c r="B829" s="33" t="str">
        <f t="shared" si="49"/>
        <v>FFC</v>
      </c>
      <c r="C829" s="33" t="str">
        <f t="shared" si="50"/>
        <v>21310-0000</v>
      </c>
      <c r="D829" s="64" t="s">
        <v>1158</v>
      </c>
      <c r="E829" s="64" t="s">
        <v>1159</v>
      </c>
      <c r="F829" s="64" t="s">
        <v>1120</v>
      </c>
      <c r="G829" s="64" t="s">
        <v>97</v>
      </c>
      <c r="H829" s="64" t="s">
        <v>105</v>
      </c>
      <c r="I829" s="64" t="s">
        <v>102</v>
      </c>
      <c r="J829" s="67">
        <v>0</v>
      </c>
      <c r="K829" s="62">
        <v>14668</v>
      </c>
      <c r="L829" s="33" t="e">
        <f>HLOOKUP(B829,#REF!,1,0)</f>
        <v>#REF!</v>
      </c>
      <c r="M829" s="33" t="str">
        <f t="shared" si="51"/>
        <v>BS</v>
      </c>
    </row>
    <row r="830" spans="1:13" s="33" customFormat="true" ht="12.75" customHeight="true">
      <c r="A830" s="33" t="str">
        <f t="shared" si="48"/>
        <v>FFC - AP-Accr Exp</v>
      </c>
      <c r="B830" s="33" t="str">
        <f t="shared" si="49"/>
        <v>FFC</v>
      </c>
      <c r="C830" s="33" t="str">
        <f t="shared" si="50"/>
        <v>21500-0000</v>
      </c>
      <c r="D830" s="64" t="s">
        <v>1160</v>
      </c>
      <c r="E830" s="64" t="s">
        <v>109</v>
      </c>
      <c r="F830" s="64" t="s">
        <v>1120</v>
      </c>
      <c r="G830" s="64" t="s">
        <v>97</v>
      </c>
      <c r="H830" s="64" t="s">
        <v>98</v>
      </c>
      <c r="I830" s="64" t="s">
        <v>102</v>
      </c>
      <c r="J830" s="67">
        <v>0</v>
      </c>
      <c r="K830" s="62">
        <v>-24989.52</v>
      </c>
      <c r="L830" s="33" t="e">
        <f>HLOOKUP(B830,#REF!,1,0)</f>
        <v>#REF!</v>
      </c>
      <c r="M830" s="33" t="str">
        <f t="shared" si="51"/>
        <v>BS</v>
      </c>
    </row>
    <row r="831" spans="1:13" s="33" customFormat="true" ht="12.75" customHeight="true">
      <c r="A831" s="33" t="str">
        <f t="shared" si="48"/>
        <v>FFC - Tax Accr</v>
      </c>
      <c r="B831" s="33" t="str">
        <f t="shared" si="49"/>
        <v>FFC</v>
      </c>
      <c r="C831" s="33" t="str">
        <f t="shared" si="50"/>
        <v>22100-0000</v>
      </c>
      <c r="D831" s="64" t="s">
        <v>1161</v>
      </c>
      <c r="E831" s="64" t="s">
        <v>1162</v>
      </c>
      <c r="F831" s="64" t="s">
        <v>1120</v>
      </c>
      <c r="G831" s="64" t="s">
        <v>97</v>
      </c>
      <c r="H831" s="64" t="s">
        <v>105</v>
      </c>
      <c r="I831" s="64" t="s">
        <v>102</v>
      </c>
      <c r="J831" s="67">
        <v>0</v>
      </c>
      <c r="K831" s="62">
        <v>-3571</v>
      </c>
      <c r="L831" s="33" t="e">
        <f>HLOOKUP(B831,#REF!,1,0)</f>
        <v>#REF!</v>
      </c>
      <c r="M831" s="33" t="str">
        <f t="shared" si="51"/>
        <v>BS</v>
      </c>
    </row>
    <row r="832" spans="1:13" s="33" customFormat="true" ht="12.75" customHeight="true">
      <c r="A832" s="33" t="str">
        <f t="shared" si="48"/>
        <v>FFC - Principal</v>
      </c>
      <c r="B832" s="33" t="str">
        <f t="shared" si="49"/>
        <v>FFC</v>
      </c>
      <c r="C832" s="33" t="str">
        <f t="shared" si="50"/>
        <v>26700-0000</v>
      </c>
      <c r="D832" s="64" t="s">
        <v>1163</v>
      </c>
      <c r="E832" s="64" t="s">
        <v>1164</v>
      </c>
      <c r="F832" s="64" t="s">
        <v>1120</v>
      </c>
      <c r="G832" s="64" t="s">
        <v>97</v>
      </c>
      <c r="H832" s="64" t="s">
        <v>127</v>
      </c>
      <c r="I832" s="64" t="s">
        <v>128</v>
      </c>
      <c r="J832" s="67">
        <v>0</v>
      </c>
      <c r="K832" s="62">
        <v>0</v>
      </c>
      <c r="L832" s="33" t="e">
        <f>HLOOKUP(B832,#REF!,1,0)</f>
        <v>#REF!</v>
      </c>
      <c r="M832" s="33" t="str">
        <f t="shared" si="51"/>
        <v>BS</v>
      </c>
    </row>
    <row r="833" spans="1:13" s="33" customFormat="true" ht="12.75" customHeight="true">
      <c r="A833" s="33" t="str">
        <f t="shared" si="48"/>
        <v>FFC - SH Dist</v>
      </c>
      <c r="B833" s="33" t="str">
        <f t="shared" si="49"/>
        <v>FFC</v>
      </c>
      <c r="C833" s="33" t="str">
        <f t="shared" si="50"/>
        <v>30300-0000</v>
      </c>
      <c r="D833" s="64" t="s">
        <v>1165</v>
      </c>
      <c r="E833" s="64" t="s">
        <v>1166</v>
      </c>
      <c r="F833" s="64" t="s">
        <v>1120</v>
      </c>
      <c r="G833" s="64" t="s">
        <v>142</v>
      </c>
      <c r="H833" s="64" t="s">
        <v>143</v>
      </c>
      <c r="I833" s="64" t="s">
        <v>144</v>
      </c>
      <c r="J833" s="67">
        <v>0</v>
      </c>
      <c r="K833" s="62">
        <v>-20569</v>
      </c>
      <c r="L833" s="33" t="e">
        <f>HLOOKUP(B833,#REF!,1,0)</f>
        <v>#REF!</v>
      </c>
      <c r="M833" s="33" t="str">
        <f t="shared" si="51"/>
        <v>BS</v>
      </c>
    </row>
    <row r="834" spans="1:13" s="33" customFormat="true" ht="12.75" customHeight="true">
      <c r="A834" s="33" t="str">
        <f t="shared" ref="A834:A897" si="52">B834&amp;" - "&amp;TRIM(H834)</f>
        <v>FFC - SH Dist</v>
      </c>
      <c r="B834" s="33" t="str">
        <f t="shared" ref="B834:B897" si="53">LEFT(D834,3)</f>
        <v>FFC</v>
      </c>
      <c r="C834" s="33" t="str">
        <f t="shared" ref="C834:C897" si="54">RIGHT(D834,10)</f>
        <v>31101-0000</v>
      </c>
      <c r="D834" s="64" t="s">
        <v>1167</v>
      </c>
      <c r="E834" s="64" t="s">
        <v>1168</v>
      </c>
      <c r="F834" s="64" t="s">
        <v>1120</v>
      </c>
      <c r="G834" s="64" t="s">
        <v>142</v>
      </c>
      <c r="H834" s="64" t="s">
        <v>143</v>
      </c>
      <c r="I834" s="64" t="s">
        <v>144</v>
      </c>
      <c r="J834" s="67">
        <v>0</v>
      </c>
      <c r="K834" s="62">
        <v>-1892.27</v>
      </c>
      <c r="L834" s="33" t="e">
        <f>HLOOKUP(B834,#REF!,1,0)</f>
        <v>#REF!</v>
      </c>
      <c r="M834" s="33" t="str">
        <f t="shared" ref="M834:M897" si="55">IF(VALUE(LEFT(C834,5))&gt;40000,"P&amp;L","BS")</f>
        <v>BS</v>
      </c>
    </row>
    <row r="835" spans="1:13" s="33" customFormat="true" ht="12.75" customHeight="true">
      <c r="A835" s="33" t="str">
        <f t="shared" si="52"/>
        <v>FFC - Retained Earnings</v>
      </c>
      <c r="B835" s="33" t="str">
        <f t="shared" si="53"/>
        <v>FFC</v>
      </c>
      <c r="C835" s="33" t="str">
        <f t="shared" si="54"/>
        <v>32000-0000</v>
      </c>
      <c r="D835" s="64" t="s">
        <v>1169</v>
      </c>
      <c r="E835" s="64" t="s">
        <v>1170</v>
      </c>
      <c r="F835" s="64" t="s">
        <v>1120</v>
      </c>
      <c r="G835" s="64" t="s">
        <v>142</v>
      </c>
      <c r="H835" s="64" t="s">
        <v>149</v>
      </c>
      <c r="I835" s="64" t="s">
        <v>150</v>
      </c>
      <c r="J835" s="67">
        <v>0</v>
      </c>
      <c r="K835" s="62">
        <v>2079282.36</v>
      </c>
      <c r="L835" s="33" t="e">
        <f>HLOOKUP(B835,#REF!,1,0)</f>
        <v>#REF!</v>
      </c>
      <c r="M835" s="33" t="str">
        <f t="shared" si="55"/>
        <v>BS</v>
      </c>
    </row>
    <row r="836" spans="1:13" s="33" customFormat="true" ht="12.75" customHeight="true">
      <c r="A836" s="33" t="str">
        <f t="shared" si="52"/>
        <v>FFC - SH Dist</v>
      </c>
      <c r="B836" s="33" t="str">
        <f t="shared" si="53"/>
        <v>FFC</v>
      </c>
      <c r="C836" s="33" t="str">
        <f t="shared" si="54"/>
        <v>36001-0000</v>
      </c>
      <c r="D836" s="64" t="s">
        <v>1171</v>
      </c>
      <c r="E836" s="64" t="s">
        <v>322</v>
      </c>
      <c r="F836" s="64" t="s">
        <v>1120</v>
      </c>
      <c r="G836" s="64" t="s">
        <v>142</v>
      </c>
      <c r="H836" s="64" t="s">
        <v>143</v>
      </c>
      <c r="I836" s="64" t="s">
        <v>144</v>
      </c>
      <c r="J836" s="67">
        <v>-50000</v>
      </c>
      <c r="K836" s="62">
        <v>-4880679.36</v>
      </c>
      <c r="L836" s="33" t="e">
        <f>HLOOKUP(B836,#REF!,1,0)</f>
        <v>#REF!</v>
      </c>
      <c r="M836" s="33" t="str">
        <f t="shared" si="55"/>
        <v>BS</v>
      </c>
    </row>
    <row r="837" spans="1:13" s="33" customFormat="true" ht="12.75" customHeight="true">
      <c r="A837" s="33" t="str">
        <f t="shared" si="52"/>
        <v>FIR - Cash</v>
      </c>
      <c r="B837" s="33" t="str">
        <f t="shared" si="53"/>
        <v>FIR</v>
      </c>
      <c r="C837" s="33" t="str">
        <f t="shared" si="54"/>
        <v>10001-0000</v>
      </c>
      <c r="D837" s="64" t="s">
        <v>1172</v>
      </c>
      <c r="E837" s="64" t="s">
        <v>240</v>
      </c>
      <c r="F837" s="64" t="s">
        <v>230</v>
      </c>
      <c r="G837" s="64" t="s">
        <v>16</v>
      </c>
      <c r="H837" s="64" t="s">
        <v>25</v>
      </c>
      <c r="I837" s="64" t="s">
        <v>18</v>
      </c>
      <c r="J837" s="67">
        <v>0</v>
      </c>
      <c r="K837" s="62">
        <v>-4747.29</v>
      </c>
      <c r="L837" s="33" t="e">
        <f>HLOOKUP(B837,#REF!,1,0)</f>
        <v>#REF!</v>
      </c>
      <c r="M837" s="33" t="str">
        <f t="shared" si="55"/>
        <v>BS</v>
      </c>
    </row>
    <row r="838" spans="1:13" s="33" customFormat="true" ht="12.75" customHeight="true">
      <c r="A838" s="33" t="str">
        <f t="shared" si="52"/>
        <v>FIR - AR-PPD</v>
      </c>
      <c r="B838" s="33" t="str">
        <f t="shared" si="53"/>
        <v>FIR</v>
      </c>
      <c r="C838" s="33" t="str">
        <f t="shared" si="54"/>
        <v>11000-0000</v>
      </c>
      <c r="D838" s="64" t="s">
        <v>1173</v>
      </c>
      <c r="E838" s="64" t="s">
        <v>34</v>
      </c>
      <c r="F838" s="64" t="s">
        <v>230</v>
      </c>
      <c r="G838" s="64" t="s">
        <v>16</v>
      </c>
      <c r="H838" s="64" t="s">
        <v>35</v>
      </c>
      <c r="I838" s="64" t="s">
        <v>36</v>
      </c>
      <c r="J838" s="67">
        <v>0</v>
      </c>
      <c r="K838" s="62">
        <v>6062.74</v>
      </c>
      <c r="L838" s="33" t="e">
        <f>HLOOKUP(B838,#REF!,1,0)</f>
        <v>#REF!</v>
      </c>
      <c r="M838" s="33" t="str">
        <f t="shared" si="55"/>
        <v>BS</v>
      </c>
    </row>
    <row r="839" spans="1:13" s="33" customFormat="true" ht="12.75" customHeight="true">
      <c r="A839" s="33" t="str">
        <f t="shared" si="52"/>
        <v>FIR - Intercompany</v>
      </c>
      <c r="B839" s="33" t="str">
        <f t="shared" si="53"/>
        <v>FIR</v>
      </c>
      <c r="C839" s="33" t="str">
        <f t="shared" si="54"/>
        <v>11216-0000</v>
      </c>
      <c r="D839" s="64" t="s">
        <v>1174</v>
      </c>
      <c r="E839" s="64" t="s">
        <v>242</v>
      </c>
      <c r="F839" s="64" t="s">
        <v>230</v>
      </c>
      <c r="G839" s="64" t="s">
        <v>16</v>
      </c>
      <c r="H839" s="64" t="s">
        <v>39</v>
      </c>
      <c r="I839" s="64" t="s">
        <v>40</v>
      </c>
      <c r="J839" s="67">
        <v>0</v>
      </c>
      <c r="K839" s="62">
        <v>25631</v>
      </c>
      <c r="L839" s="33" t="e">
        <f>HLOOKUP(B839,#REF!,1,0)</f>
        <v>#REF!</v>
      </c>
      <c r="M839" s="33" t="str">
        <f t="shared" si="55"/>
        <v>BS</v>
      </c>
    </row>
    <row r="840" spans="1:13" s="33" customFormat="true" ht="12.75" customHeight="true">
      <c r="A840" s="33" t="str">
        <f t="shared" si="52"/>
        <v>FIR - Intercompany</v>
      </c>
      <c r="B840" s="33" t="str">
        <f t="shared" si="53"/>
        <v>FIR</v>
      </c>
      <c r="C840" s="33" t="str">
        <f t="shared" si="54"/>
        <v>11311-0000</v>
      </c>
      <c r="D840" s="64" t="s">
        <v>1175</v>
      </c>
      <c r="E840" s="64" t="s">
        <v>258</v>
      </c>
      <c r="F840" s="64" t="s">
        <v>230</v>
      </c>
      <c r="G840" s="64" t="s">
        <v>16</v>
      </c>
      <c r="H840" s="64" t="s">
        <v>39</v>
      </c>
      <c r="I840" s="64" t="s">
        <v>40</v>
      </c>
      <c r="J840" s="67">
        <v>0</v>
      </c>
      <c r="K840" s="62">
        <v>-21000</v>
      </c>
      <c r="L840" s="33" t="e">
        <f>HLOOKUP(B840,#REF!,1,0)</f>
        <v>#REF!</v>
      </c>
      <c r="M840" s="33" t="str">
        <f t="shared" si="55"/>
        <v>BS</v>
      </c>
    </row>
    <row r="841" spans="1:13" s="33" customFormat="true" ht="12.75" customHeight="true">
      <c r="A841" s="33" t="str">
        <f t="shared" si="52"/>
        <v>FIR - Intercompany</v>
      </c>
      <c r="B841" s="33" t="str">
        <f t="shared" si="53"/>
        <v>FIR</v>
      </c>
      <c r="C841" s="33" t="str">
        <f t="shared" si="54"/>
        <v>11331-0000</v>
      </c>
      <c r="D841" s="64" t="s">
        <v>1176</v>
      </c>
      <c r="E841" s="64" t="s">
        <v>379</v>
      </c>
      <c r="F841" s="64" t="s">
        <v>230</v>
      </c>
      <c r="G841" s="64" t="s">
        <v>16</v>
      </c>
      <c r="H841" s="64" t="s">
        <v>39</v>
      </c>
      <c r="I841" s="64" t="s">
        <v>40</v>
      </c>
      <c r="J841" s="67">
        <v>0</v>
      </c>
      <c r="K841" s="62">
        <v>-30000</v>
      </c>
      <c r="L841" s="33" t="e">
        <f>HLOOKUP(B841,#REF!,1,0)</f>
        <v>#REF!</v>
      </c>
      <c r="M841" s="33" t="str">
        <f t="shared" si="55"/>
        <v>BS</v>
      </c>
    </row>
    <row r="842" spans="1:13" s="33" customFormat="true" ht="12.75" customHeight="true">
      <c r="A842" s="33" t="str">
        <f t="shared" si="52"/>
        <v>FIR - Intercompany</v>
      </c>
      <c r="B842" s="33" t="str">
        <f t="shared" si="53"/>
        <v>FIR</v>
      </c>
      <c r="C842" s="33" t="str">
        <f t="shared" si="54"/>
        <v>11336-0000</v>
      </c>
      <c r="D842" s="64" t="s">
        <v>1177</v>
      </c>
      <c r="E842" s="64" t="s">
        <v>290</v>
      </c>
      <c r="F842" s="64" t="s">
        <v>230</v>
      </c>
      <c r="G842" s="64" t="s">
        <v>16</v>
      </c>
      <c r="H842" s="64" t="s">
        <v>39</v>
      </c>
      <c r="I842" s="64" t="s">
        <v>40</v>
      </c>
      <c r="J842" s="67">
        <v>0</v>
      </c>
      <c r="K842" s="62">
        <v>-30000</v>
      </c>
      <c r="L842" s="33" t="e">
        <f>HLOOKUP(B842,#REF!,1,0)</f>
        <v>#REF!</v>
      </c>
      <c r="M842" s="33" t="str">
        <f t="shared" si="55"/>
        <v>BS</v>
      </c>
    </row>
    <row r="843" spans="1:13" s="33" customFormat="true" ht="12.75" customHeight="true">
      <c r="A843" s="33" t="str">
        <f t="shared" si="52"/>
        <v>FIR - Intercompany</v>
      </c>
      <c r="B843" s="33" t="str">
        <f t="shared" si="53"/>
        <v>FIR</v>
      </c>
      <c r="C843" s="33" t="str">
        <f t="shared" si="54"/>
        <v>11337-0000</v>
      </c>
      <c r="D843" s="64" t="s">
        <v>1178</v>
      </c>
      <c r="E843" s="64" t="s">
        <v>292</v>
      </c>
      <c r="F843" s="64" t="s">
        <v>230</v>
      </c>
      <c r="G843" s="64" t="s">
        <v>16</v>
      </c>
      <c r="H843" s="64" t="s">
        <v>39</v>
      </c>
      <c r="I843" s="64" t="s">
        <v>40</v>
      </c>
      <c r="J843" s="67">
        <v>0</v>
      </c>
      <c r="K843" s="62">
        <v>-15000</v>
      </c>
      <c r="L843" s="33" t="e">
        <f>HLOOKUP(B843,#REF!,1,0)</f>
        <v>#REF!</v>
      </c>
      <c r="M843" s="33" t="str">
        <f t="shared" si="55"/>
        <v>BS</v>
      </c>
    </row>
    <row r="844" spans="1:13" s="33" customFormat="true" ht="12.75" customHeight="true">
      <c r="A844" s="33" t="str">
        <f t="shared" si="52"/>
        <v>FIR - Fixed Assets</v>
      </c>
      <c r="B844" s="33" t="str">
        <f t="shared" si="53"/>
        <v>FIR</v>
      </c>
      <c r="C844" s="33" t="str">
        <f t="shared" si="54"/>
        <v>14000-0000</v>
      </c>
      <c r="D844" s="64" t="s">
        <v>1179</v>
      </c>
      <c r="E844" s="64" t="s">
        <v>298</v>
      </c>
      <c r="F844" s="64" t="s">
        <v>230</v>
      </c>
      <c r="G844" s="64" t="s">
        <v>62</v>
      </c>
      <c r="H844" s="64" t="s">
        <v>63</v>
      </c>
      <c r="I844" s="64" t="s">
        <v>64</v>
      </c>
      <c r="J844" s="67">
        <v>0</v>
      </c>
      <c r="K844" s="62">
        <v>0</v>
      </c>
      <c r="L844" s="33" t="e">
        <f>HLOOKUP(B844,#REF!,1,0)</f>
        <v>#REF!</v>
      </c>
      <c r="M844" s="33" t="str">
        <f t="shared" si="55"/>
        <v>BS</v>
      </c>
    </row>
    <row r="845" spans="1:13" s="33" customFormat="true" ht="12.75" customHeight="true">
      <c r="A845" s="33" t="str">
        <f t="shared" si="52"/>
        <v>FIR - Fixed Assets</v>
      </c>
      <c r="B845" s="33" t="str">
        <f t="shared" si="53"/>
        <v>FIR</v>
      </c>
      <c r="C845" s="33" t="str">
        <f t="shared" si="54"/>
        <v>15000-0000</v>
      </c>
      <c r="D845" s="64" t="s">
        <v>1180</v>
      </c>
      <c r="E845" s="64" t="s">
        <v>300</v>
      </c>
      <c r="F845" s="64" t="s">
        <v>230</v>
      </c>
      <c r="G845" s="64" t="s">
        <v>62</v>
      </c>
      <c r="H845" s="64" t="s">
        <v>63</v>
      </c>
      <c r="I845" s="64" t="s">
        <v>64</v>
      </c>
      <c r="J845" s="67">
        <v>0</v>
      </c>
      <c r="K845" s="62">
        <v>0</v>
      </c>
      <c r="L845" s="33" t="e">
        <f>HLOOKUP(B845,#REF!,1,0)</f>
        <v>#REF!</v>
      </c>
      <c r="M845" s="33" t="str">
        <f t="shared" si="55"/>
        <v>BS</v>
      </c>
    </row>
    <row r="846" spans="1:13" s="33" customFormat="true" ht="12.75" customHeight="true">
      <c r="A846" s="33" t="str">
        <f t="shared" si="52"/>
        <v>FIR - Fixed Assets</v>
      </c>
      <c r="B846" s="33" t="str">
        <f t="shared" si="53"/>
        <v>FIR</v>
      </c>
      <c r="C846" s="33" t="str">
        <f t="shared" si="54"/>
        <v>15500-0000</v>
      </c>
      <c r="D846" s="64" t="s">
        <v>1181</v>
      </c>
      <c r="E846" s="64" t="s">
        <v>302</v>
      </c>
      <c r="F846" s="64" t="s">
        <v>230</v>
      </c>
      <c r="G846" s="64" t="s">
        <v>62</v>
      </c>
      <c r="H846" s="64" t="s">
        <v>63</v>
      </c>
      <c r="I846" s="64" t="s">
        <v>64</v>
      </c>
      <c r="J846" s="67">
        <v>0</v>
      </c>
      <c r="K846" s="62">
        <v>264788.08</v>
      </c>
      <c r="L846" s="33" t="e">
        <f>HLOOKUP(B846,#REF!,1,0)</f>
        <v>#REF!</v>
      </c>
      <c r="M846" s="33" t="str">
        <f t="shared" si="55"/>
        <v>BS</v>
      </c>
    </row>
    <row r="847" spans="1:13" s="33" customFormat="true" ht="12.75" customHeight="true">
      <c r="A847" s="33" t="str">
        <f t="shared" si="52"/>
        <v>FIR - Fixed Assets</v>
      </c>
      <c r="B847" s="33" t="str">
        <f t="shared" si="53"/>
        <v>FIR</v>
      </c>
      <c r="C847" s="33" t="str">
        <f t="shared" si="54"/>
        <v>17000-0000</v>
      </c>
      <c r="D847" s="64" t="s">
        <v>1182</v>
      </c>
      <c r="E847" s="64" t="s">
        <v>306</v>
      </c>
      <c r="F847" s="64" t="s">
        <v>230</v>
      </c>
      <c r="G847" s="64" t="s">
        <v>62</v>
      </c>
      <c r="H847" s="64" t="s">
        <v>63</v>
      </c>
      <c r="I847" s="64" t="s">
        <v>64</v>
      </c>
      <c r="J847" s="67">
        <v>0</v>
      </c>
      <c r="K847" s="62">
        <v>-678000</v>
      </c>
      <c r="L847" s="33" t="e">
        <f>HLOOKUP(B847,#REF!,1,0)</f>
        <v>#REF!</v>
      </c>
      <c r="M847" s="33" t="str">
        <f t="shared" si="55"/>
        <v>BS</v>
      </c>
    </row>
    <row r="848" spans="1:13" s="33" customFormat="true" ht="12.75" customHeight="true">
      <c r="A848" s="33" t="str">
        <f t="shared" si="52"/>
        <v>FIR - Fixed Assets</v>
      </c>
      <c r="B848" s="33" t="str">
        <f t="shared" si="53"/>
        <v>FIR</v>
      </c>
      <c r="C848" s="33" t="str">
        <f t="shared" si="54"/>
        <v>18000-0000</v>
      </c>
      <c r="D848" s="64" t="s">
        <v>1183</v>
      </c>
      <c r="E848" s="64" t="s">
        <v>308</v>
      </c>
      <c r="F848" s="64" t="s">
        <v>230</v>
      </c>
      <c r="G848" s="64" t="s">
        <v>62</v>
      </c>
      <c r="H848" s="64" t="s">
        <v>63</v>
      </c>
      <c r="I848" s="64" t="s">
        <v>64</v>
      </c>
      <c r="J848" s="67">
        <v>0</v>
      </c>
      <c r="K848" s="62">
        <v>-52658</v>
      </c>
      <c r="L848" s="33" t="e">
        <f>HLOOKUP(B848,#REF!,1,0)</f>
        <v>#REF!</v>
      </c>
      <c r="M848" s="33" t="str">
        <f t="shared" si="55"/>
        <v>BS</v>
      </c>
    </row>
    <row r="849" spans="1:13" s="33" customFormat="true" ht="12.75" customHeight="true">
      <c r="A849" s="33" t="str">
        <f t="shared" si="52"/>
        <v>FIR - Deposits</v>
      </c>
      <c r="B849" s="33" t="str">
        <f t="shared" si="53"/>
        <v>FIR</v>
      </c>
      <c r="C849" s="33" t="str">
        <f t="shared" si="54"/>
        <v>19001-0000</v>
      </c>
      <c r="D849" s="64" t="s">
        <v>1184</v>
      </c>
      <c r="E849" s="64" t="s">
        <v>344</v>
      </c>
      <c r="F849" s="64" t="s">
        <v>230</v>
      </c>
      <c r="G849" s="64" t="s">
        <v>62</v>
      </c>
      <c r="H849" s="64" t="s">
        <v>80</v>
      </c>
      <c r="I849" s="64" t="s">
        <v>81</v>
      </c>
      <c r="J849" s="67">
        <v>0</v>
      </c>
      <c r="K849" s="62">
        <v>140</v>
      </c>
      <c r="L849" s="33" t="e">
        <f>HLOOKUP(B849,#REF!,1,0)</f>
        <v>#REF!</v>
      </c>
      <c r="M849" s="33" t="str">
        <f t="shared" si="55"/>
        <v>BS</v>
      </c>
    </row>
    <row r="850" spans="1:13" s="33" customFormat="true" ht="12.75" customHeight="true">
      <c r="A850" s="33" t="str">
        <f t="shared" si="52"/>
        <v>FIR - AP-Accr Exp</v>
      </c>
      <c r="B850" s="33" t="str">
        <f t="shared" si="53"/>
        <v>FIR</v>
      </c>
      <c r="C850" s="33" t="str">
        <f t="shared" si="54"/>
        <v>20001-0000</v>
      </c>
      <c r="D850" s="64" t="s">
        <v>1185</v>
      </c>
      <c r="E850" s="64" t="s">
        <v>96</v>
      </c>
      <c r="F850" s="64" t="s">
        <v>230</v>
      </c>
      <c r="G850" s="64" t="s">
        <v>97</v>
      </c>
      <c r="H850" s="64" t="s">
        <v>98</v>
      </c>
      <c r="I850" s="64" t="s">
        <v>99</v>
      </c>
      <c r="J850" s="67">
        <v>-1555.43</v>
      </c>
      <c r="K850" s="62">
        <v>0</v>
      </c>
      <c r="L850" s="33" t="e">
        <f>HLOOKUP(B850,#REF!,1,0)</f>
        <v>#REF!</v>
      </c>
      <c r="M850" s="33" t="str">
        <f t="shared" si="55"/>
        <v>BS</v>
      </c>
    </row>
    <row r="851" spans="1:13" s="33" customFormat="true" ht="12.75" customHeight="true">
      <c r="A851" s="33" t="str">
        <f t="shared" si="52"/>
        <v>FIR - AP-Accr Exp</v>
      </c>
      <c r="B851" s="33" t="str">
        <f t="shared" si="53"/>
        <v>FIR</v>
      </c>
      <c r="C851" s="33" t="str">
        <f t="shared" si="54"/>
        <v>23509-0000</v>
      </c>
      <c r="D851" s="64" t="s">
        <v>1186</v>
      </c>
      <c r="E851" s="64" t="s">
        <v>111</v>
      </c>
      <c r="F851" s="64" t="s">
        <v>230</v>
      </c>
      <c r="G851" s="64" t="s">
        <v>97</v>
      </c>
      <c r="H851" s="64" t="s">
        <v>98</v>
      </c>
      <c r="I851" s="64" t="s">
        <v>102</v>
      </c>
      <c r="J851" s="67">
        <v>0</v>
      </c>
      <c r="K851" s="62">
        <v>-4520.95</v>
      </c>
      <c r="L851" s="33" t="e">
        <f>HLOOKUP(B851,#REF!,1,0)</f>
        <v>#REF!</v>
      </c>
      <c r="M851" s="33" t="str">
        <f t="shared" si="55"/>
        <v>BS</v>
      </c>
    </row>
    <row r="852" spans="1:13" s="33" customFormat="true" ht="12.75" customHeight="true">
      <c r="A852" s="33" t="str">
        <f t="shared" si="52"/>
        <v>FIR - AP-Accr Exp</v>
      </c>
      <c r="B852" s="33" t="str">
        <f t="shared" si="53"/>
        <v>FIR</v>
      </c>
      <c r="C852" s="33" t="str">
        <f t="shared" si="54"/>
        <v>24800-0000</v>
      </c>
      <c r="D852" s="64" t="s">
        <v>1187</v>
      </c>
      <c r="E852" s="64" t="s">
        <v>232</v>
      </c>
      <c r="F852" s="64" t="s">
        <v>230</v>
      </c>
      <c r="G852" s="64" t="s">
        <v>97</v>
      </c>
      <c r="H852" s="64" t="s">
        <v>98</v>
      </c>
      <c r="I852" s="64" t="s">
        <v>102</v>
      </c>
      <c r="J852" s="67">
        <v>0</v>
      </c>
      <c r="K852" s="62">
        <v>0</v>
      </c>
      <c r="L852" s="33" t="e">
        <f>HLOOKUP(B852,#REF!,1,0)</f>
        <v>#REF!</v>
      </c>
      <c r="M852" s="33" t="str">
        <f t="shared" si="55"/>
        <v>BS</v>
      </c>
    </row>
    <row r="853" spans="1:13" s="33" customFormat="true" ht="12.75" customHeight="true">
      <c r="A853" s="33" t="str">
        <f t="shared" si="52"/>
        <v>FIR - InterCo Notes</v>
      </c>
      <c r="B853" s="33" t="str">
        <f t="shared" si="53"/>
        <v>FIR</v>
      </c>
      <c r="C853" s="33" t="str">
        <f t="shared" si="54"/>
        <v>25000-0000</v>
      </c>
      <c r="D853" s="64" t="s">
        <v>1188</v>
      </c>
      <c r="E853" s="64" t="s">
        <v>314</v>
      </c>
      <c r="F853" s="64" t="s">
        <v>230</v>
      </c>
      <c r="G853" s="64" t="s">
        <v>16</v>
      </c>
      <c r="H853" s="64" t="s">
        <v>315</v>
      </c>
      <c r="I853" s="64" t="s">
        <v>40</v>
      </c>
      <c r="J853" s="67">
        <v>0</v>
      </c>
      <c r="K853" s="62">
        <v>-2460000</v>
      </c>
      <c r="L853" s="33" t="e">
        <f>HLOOKUP(B853,#REF!,1,0)</f>
        <v>#REF!</v>
      </c>
      <c r="M853" s="33" t="str">
        <f t="shared" si="55"/>
        <v>BS</v>
      </c>
    </row>
    <row r="854" spans="1:13" s="33" customFormat="true" ht="12.75" customHeight="true">
      <c r="A854" s="33" t="str">
        <f t="shared" si="52"/>
        <v>FIR - Principal</v>
      </c>
      <c r="B854" s="33" t="str">
        <f t="shared" si="53"/>
        <v>FIR</v>
      </c>
      <c r="C854" s="33" t="str">
        <f t="shared" si="54"/>
        <v>26800-0000</v>
      </c>
      <c r="D854" s="64" t="s">
        <v>1189</v>
      </c>
      <c r="E854" s="64" t="s">
        <v>402</v>
      </c>
      <c r="F854" s="64" t="s">
        <v>230</v>
      </c>
      <c r="G854" s="64" t="s">
        <v>97</v>
      </c>
      <c r="H854" s="64" t="s">
        <v>127</v>
      </c>
      <c r="I854" s="64" t="s">
        <v>128</v>
      </c>
      <c r="J854" s="67">
        <v>0</v>
      </c>
      <c r="K854" s="62">
        <v>-150000</v>
      </c>
      <c r="L854" s="33" t="e">
        <f>HLOOKUP(B854,#REF!,1,0)</f>
        <v>#REF!</v>
      </c>
      <c r="M854" s="33" t="str">
        <f t="shared" si="55"/>
        <v>BS</v>
      </c>
    </row>
    <row r="855" spans="1:13" s="33" customFormat="true" ht="12.75" customHeight="true">
      <c r="A855" s="33" t="str">
        <f t="shared" si="52"/>
        <v>FIR - Principal</v>
      </c>
      <c r="B855" s="33" t="str">
        <f t="shared" si="53"/>
        <v>FIR</v>
      </c>
      <c r="C855" s="33" t="str">
        <f t="shared" si="54"/>
        <v>28001-0000</v>
      </c>
      <c r="D855" s="64" t="s">
        <v>1190</v>
      </c>
      <c r="E855" s="64" t="s">
        <v>352</v>
      </c>
      <c r="F855" s="64" t="s">
        <v>230</v>
      </c>
      <c r="G855" s="64" t="s">
        <v>123</v>
      </c>
      <c r="H855" s="64" t="s">
        <v>127</v>
      </c>
      <c r="I855" s="64" t="s">
        <v>133</v>
      </c>
      <c r="J855" s="67">
        <v>0</v>
      </c>
      <c r="K855" s="62">
        <v>0</v>
      </c>
      <c r="L855" s="33" t="e">
        <f>HLOOKUP(B855,#REF!,1,0)</f>
        <v>#REF!</v>
      </c>
      <c r="M855" s="33" t="str">
        <f t="shared" si="55"/>
        <v>BS</v>
      </c>
    </row>
    <row r="856" spans="1:13" s="33" customFormat="true" ht="12.75" customHeight="true">
      <c r="A856" s="33" t="str">
        <f t="shared" si="52"/>
        <v>FIR - SH Dist</v>
      </c>
      <c r="B856" s="33" t="str">
        <f t="shared" si="53"/>
        <v>FIR</v>
      </c>
      <c r="C856" s="33" t="str">
        <f t="shared" si="54"/>
        <v>30700-0000</v>
      </c>
      <c r="D856" s="64" t="s">
        <v>1191</v>
      </c>
      <c r="E856" s="64" t="s">
        <v>319</v>
      </c>
      <c r="F856" s="64" t="s">
        <v>230</v>
      </c>
      <c r="G856" s="64" t="s">
        <v>142</v>
      </c>
      <c r="H856" s="64" t="s">
        <v>143</v>
      </c>
      <c r="I856" s="64" t="s">
        <v>144</v>
      </c>
      <c r="J856" s="67">
        <v>0</v>
      </c>
      <c r="K856" s="62">
        <v>104492.4</v>
      </c>
      <c r="L856" s="33" t="e">
        <f>HLOOKUP(B856,#REF!,1,0)</f>
        <v>#REF!</v>
      </c>
      <c r="M856" s="33" t="str">
        <f t="shared" si="55"/>
        <v>BS</v>
      </c>
    </row>
    <row r="857" spans="1:13" s="33" customFormat="true" ht="12.75" customHeight="true">
      <c r="A857" s="33" t="str">
        <f t="shared" si="52"/>
        <v>FIR - Retained Earnings</v>
      </c>
      <c r="B857" s="33" t="str">
        <f t="shared" si="53"/>
        <v>FIR</v>
      </c>
      <c r="C857" s="33" t="str">
        <f t="shared" si="54"/>
        <v>32000-0000</v>
      </c>
      <c r="D857" s="64" t="s">
        <v>1192</v>
      </c>
      <c r="E857" s="64" t="s">
        <v>234</v>
      </c>
      <c r="F857" s="64" t="s">
        <v>230</v>
      </c>
      <c r="G857" s="64" t="s">
        <v>142</v>
      </c>
      <c r="H857" s="64" t="s">
        <v>149</v>
      </c>
      <c r="I857" s="64" t="s">
        <v>235</v>
      </c>
      <c r="J857" s="67">
        <v>0</v>
      </c>
      <c r="K857" s="62">
        <v>99835.17</v>
      </c>
      <c r="L857" s="33" t="e">
        <f>HLOOKUP(B857,#REF!,1,0)</f>
        <v>#REF!</v>
      </c>
      <c r="M857" s="33" t="str">
        <f t="shared" si="55"/>
        <v>BS</v>
      </c>
    </row>
    <row r="858" spans="1:13" s="33" customFormat="true" ht="12.75" customHeight="true">
      <c r="A858" s="33" t="str">
        <f t="shared" si="52"/>
        <v>FRM - Cash</v>
      </c>
      <c r="B858" s="33" t="str">
        <f t="shared" si="53"/>
        <v>FRM</v>
      </c>
      <c r="C858" s="33" t="str">
        <f t="shared" si="54"/>
        <v>10021-0000</v>
      </c>
      <c r="D858" s="64" t="s">
        <v>1193</v>
      </c>
      <c r="E858" s="64" t="s">
        <v>1194</v>
      </c>
      <c r="F858" s="64" t="s">
        <v>1195</v>
      </c>
      <c r="G858" s="64" t="s">
        <v>16</v>
      </c>
      <c r="H858" s="64" t="s">
        <v>25</v>
      </c>
      <c r="I858" s="64" t="s">
        <v>18</v>
      </c>
      <c r="J858" s="67">
        <v>58798.34</v>
      </c>
      <c r="K858" s="62">
        <v>143045.63</v>
      </c>
      <c r="L858" s="33" t="e">
        <f>HLOOKUP(B858,#REF!,1,0)</f>
        <v>#REF!</v>
      </c>
      <c r="M858" s="33" t="str">
        <f t="shared" si="55"/>
        <v>BS</v>
      </c>
    </row>
    <row r="859" spans="1:13" s="33" customFormat="true" ht="12.75" customHeight="true">
      <c r="A859" s="33" t="str">
        <f t="shared" si="52"/>
        <v>FRM - Intercompany</v>
      </c>
      <c r="B859" s="33" t="str">
        <f t="shared" si="53"/>
        <v>FRM</v>
      </c>
      <c r="C859" s="33" t="str">
        <f t="shared" si="54"/>
        <v>11200-0000</v>
      </c>
      <c r="D859" s="64" t="s">
        <v>1196</v>
      </c>
      <c r="E859" s="64" t="s">
        <v>620</v>
      </c>
      <c r="F859" s="64" t="s">
        <v>1195</v>
      </c>
      <c r="G859" s="64" t="s">
        <v>16</v>
      </c>
      <c r="H859" s="64" t="s">
        <v>39</v>
      </c>
      <c r="I859" s="64" t="s">
        <v>40</v>
      </c>
      <c r="J859" s="67">
        <v>0</v>
      </c>
      <c r="K859" s="62">
        <v>-470299.37</v>
      </c>
      <c r="L859" s="33" t="e">
        <f>HLOOKUP(B859,#REF!,1,0)</f>
        <v>#REF!</v>
      </c>
      <c r="M859" s="33" t="str">
        <f t="shared" si="55"/>
        <v>BS</v>
      </c>
    </row>
    <row r="860" spans="1:13" s="33" customFormat="true" ht="12.75" customHeight="true">
      <c r="A860" s="33" t="str">
        <f t="shared" si="52"/>
        <v>FRM - Intercompany</v>
      </c>
      <c r="B860" s="33" t="str">
        <f t="shared" si="53"/>
        <v>FRM</v>
      </c>
      <c r="C860" s="33" t="str">
        <f t="shared" si="54"/>
        <v>11202-0000</v>
      </c>
      <c r="D860" s="64" t="s">
        <v>1197</v>
      </c>
      <c r="E860" s="64" t="s">
        <v>1198</v>
      </c>
      <c r="F860" s="64" t="s">
        <v>1195</v>
      </c>
      <c r="G860" s="64" t="s">
        <v>16</v>
      </c>
      <c r="H860" s="64" t="s">
        <v>39</v>
      </c>
      <c r="I860" s="64" t="s">
        <v>40</v>
      </c>
      <c r="J860" s="67">
        <v>0</v>
      </c>
      <c r="K860" s="62">
        <v>-4507.7</v>
      </c>
      <c r="L860" s="33" t="e">
        <f>HLOOKUP(B860,#REF!,1,0)</f>
        <v>#REF!</v>
      </c>
      <c r="M860" s="33" t="str">
        <f t="shared" si="55"/>
        <v>BS</v>
      </c>
    </row>
    <row r="861" spans="1:13" s="33" customFormat="true" ht="12.75" customHeight="true">
      <c r="A861" s="33" t="str">
        <f t="shared" si="52"/>
        <v>FRM - Intercompany</v>
      </c>
      <c r="B861" s="33" t="str">
        <f t="shared" si="53"/>
        <v>FRM</v>
      </c>
      <c r="C861" s="33" t="str">
        <f t="shared" si="54"/>
        <v>11204-0000</v>
      </c>
      <c r="D861" s="64" t="s">
        <v>1199</v>
      </c>
      <c r="E861" s="64" t="s">
        <v>1200</v>
      </c>
      <c r="F861" s="64" t="s">
        <v>1195</v>
      </c>
      <c r="G861" s="64" t="s">
        <v>16</v>
      </c>
      <c r="H861" s="64" t="s">
        <v>39</v>
      </c>
      <c r="I861" s="64" t="s">
        <v>40</v>
      </c>
      <c r="J861" s="67">
        <v>0</v>
      </c>
      <c r="K861" s="62">
        <v>-21286.16</v>
      </c>
      <c r="L861" s="33" t="e">
        <f>HLOOKUP(B861,#REF!,1,0)</f>
        <v>#REF!</v>
      </c>
      <c r="M861" s="33" t="str">
        <f t="shared" si="55"/>
        <v>BS</v>
      </c>
    </row>
    <row r="862" spans="1:13" s="33" customFormat="true" ht="12.75" customHeight="true">
      <c r="A862" s="33" t="str">
        <f t="shared" si="52"/>
        <v>FRM - AR-PPD</v>
      </c>
      <c r="B862" s="33" t="str">
        <f t="shared" si="53"/>
        <v>FRM</v>
      </c>
      <c r="C862" s="33" t="str">
        <f t="shared" si="54"/>
        <v>12000-0000</v>
      </c>
      <c r="D862" s="64" t="s">
        <v>1201</v>
      </c>
      <c r="E862" s="64" t="s">
        <v>56</v>
      </c>
      <c r="F862" s="64" t="s">
        <v>1195</v>
      </c>
      <c r="G862" s="64" t="s">
        <v>16</v>
      </c>
      <c r="H862" s="64" t="s">
        <v>35</v>
      </c>
      <c r="I862" s="64" t="s">
        <v>57</v>
      </c>
      <c r="J862" s="67">
        <v>0</v>
      </c>
      <c r="K862" s="62">
        <v>282.53</v>
      </c>
      <c r="L862" s="33" t="e">
        <f>HLOOKUP(B862,#REF!,1,0)</f>
        <v>#REF!</v>
      </c>
      <c r="M862" s="33" t="str">
        <f t="shared" si="55"/>
        <v>BS</v>
      </c>
    </row>
    <row r="863" spans="1:13" s="33" customFormat="true" ht="12.75" customHeight="true">
      <c r="A863" s="33" t="str">
        <f t="shared" si="52"/>
        <v>FRM - Inventory</v>
      </c>
      <c r="B863" s="33" t="str">
        <f t="shared" si="53"/>
        <v>FRM</v>
      </c>
      <c r="C863" s="33" t="str">
        <f t="shared" si="54"/>
        <v>13110-0000</v>
      </c>
      <c r="D863" s="64" t="s">
        <v>1202</v>
      </c>
      <c r="E863" s="64" t="s">
        <v>1203</v>
      </c>
      <c r="F863" s="64" t="s">
        <v>1195</v>
      </c>
      <c r="G863" s="64" t="s">
        <v>16</v>
      </c>
      <c r="H863" s="64" t="s">
        <v>17</v>
      </c>
      <c r="I863" s="64" t="s">
        <v>51</v>
      </c>
      <c r="J863" s="67">
        <v>0</v>
      </c>
      <c r="K863" s="62">
        <v>630.32</v>
      </c>
      <c r="L863" s="33" t="e">
        <f>HLOOKUP(B863,#REF!,1,0)</f>
        <v>#REF!</v>
      </c>
      <c r="M863" s="33" t="str">
        <f t="shared" si="55"/>
        <v>BS</v>
      </c>
    </row>
    <row r="864" spans="1:13" s="33" customFormat="true" ht="12.75" customHeight="true">
      <c r="A864" s="33" t="str">
        <f t="shared" si="52"/>
        <v>FRM - Inventory</v>
      </c>
      <c r="B864" s="33" t="str">
        <f t="shared" si="53"/>
        <v>FRM</v>
      </c>
      <c r="C864" s="33" t="str">
        <f t="shared" si="54"/>
        <v>13110-1003</v>
      </c>
      <c r="D864" s="64" t="s">
        <v>1204</v>
      </c>
      <c r="E864" s="64" t="s">
        <v>1203</v>
      </c>
      <c r="F864" s="64" t="s">
        <v>1195</v>
      </c>
      <c r="G864" s="64" t="s">
        <v>16</v>
      </c>
      <c r="H864" s="64" t="s">
        <v>17</v>
      </c>
      <c r="I864" s="64" t="s">
        <v>51</v>
      </c>
      <c r="J864" s="67">
        <v>-5116</v>
      </c>
      <c r="K864" s="62">
        <v>49058.03</v>
      </c>
      <c r="L864" s="33" t="e">
        <f>HLOOKUP(B864,#REF!,1,0)</f>
        <v>#REF!</v>
      </c>
      <c r="M864" s="33" t="str">
        <f t="shared" si="55"/>
        <v>BS</v>
      </c>
    </row>
    <row r="865" spans="1:13" s="33" customFormat="true" ht="12.75" customHeight="true">
      <c r="A865" s="33" t="str">
        <f t="shared" si="52"/>
        <v>FRM - Inventory</v>
      </c>
      <c r="B865" s="33" t="str">
        <f t="shared" si="53"/>
        <v>FRM</v>
      </c>
      <c r="C865" s="33" t="str">
        <f t="shared" si="54"/>
        <v>13110-1011</v>
      </c>
      <c r="D865" s="64" t="s">
        <v>1205</v>
      </c>
      <c r="E865" s="64" t="s">
        <v>1203</v>
      </c>
      <c r="F865" s="64" t="s">
        <v>1195</v>
      </c>
      <c r="G865" s="64" t="s">
        <v>16</v>
      </c>
      <c r="H865" s="64" t="s">
        <v>17</v>
      </c>
      <c r="I865" s="64" t="s">
        <v>51</v>
      </c>
      <c r="J865" s="67">
        <v>1760</v>
      </c>
      <c r="K865" s="62">
        <v>62954.88</v>
      </c>
      <c r="L865" s="33" t="e">
        <f>HLOOKUP(B865,#REF!,1,0)</f>
        <v>#REF!</v>
      </c>
      <c r="M865" s="33" t="str">
        <f t="shared" si="55"/>
        <v>BS</v>
      </c>
    </row>
    <row r="866" spans="1:13" s="33" customFormat="true" ht="12.75" customHeight="true">
      <c r="A866" s="33" t="str">
        <f t="shared" si="52"/>
        <v>FRM - Inventory</v>
      </c>
      <c r="B866" s="33" t="str">
        <f t="shared" si="53"/>
        <v>FRM</v>
      </c>
      <c r="C866" s="33" t="str">
        <f t="shared" si="54"/>
        <v>13110-1016</v>
      </c>
      <c r="D866" s="64" t="s">
        <v>1206</v>
      </c>
      <c r="E866" s="64" t="s">
        <v>1203</v>
      </c>
      <c r="F866" s="64" t="s">
        <v>1195</v>
      </c>
      <c r="G866" s="64" t="s">
        <v>16</v>
      </c>
      <c r="H866" s="64" t="s">
        <v>17</v>
      </c>
      <c r="I866" s="64" t="s">
        <v>51</v>
      </c>
      <c r="J866" s="67">
        <v>0</v>
      </c>
      <c r="K866" s="62">
        <v>0</v>
      </c>
      <c r="L866" s="33" t="e">
        <f>HLOOKUP(B866,#REF!,1,0)</f>
        <v>#REF!</v>
      </c>
      <c r="M866" s="33" t="str">
        <f t="shared" si="55"/>
        <v>BS</v>
      </c>
    </row>
    <row r="867" spans="1:13" s="33" customFormat="true" ht="12.75" customHeight="true">
      <c r="A867" s="33" t="str">
        <f t="shared" si="52"/>
        <v>FRM - Inventory</v>
      </c>
      <c r="B867" s="33" t="str">
        <f t="shared" si="53"/>
        <v>FRM</v>
      </c>
      <c r="C867" s="33" t="str">
        <f t="shared" si="54"/>
        <v>13110-1017</v>
      </c>
      <c r="D867" s="64" t="s">
        <v>1207</v>
      </c>
      <c r="E867" s="64" t="s">
        <v>1203</v>
      </c>
      <c r="F867" s="64" t="s">
        <v>1195</v>
      </c>
      <c r="G867" s="64" t="s">
        <v>16</v>
      </c>
      <c r="H867" s="64" t="s">
        <v>17</v>
      </c>
      <c r="I867" s="64" t="s">
        <v>51</v>
      </c>
      <c r="J867" s="67">
        <v>-12362.93</v>
      </c>
      <c r="K867" s="62">
        <v>45730.19</v>
      </c>
      <c r="L867" s="33" t="e">
        <f>HLOOKUP(B867,#REF!,1,0)</f>
        <v>#REF!</v>
      </c>
      <c r="M867" s="33" t="str">
        <f t="shared" si="55"/>
        <v>BS</v>
      </c>
    </row>
    <row r="868" spans="1:13" s="33" customFormat="true" ht="12.75" customHeight="true">
      <c r="A868" s="33" t="str">
        <f t="shared" si="52"/>
        <v>FRM - Inventory</v>
      </c>
      <c r="B868" s="33" t="str">
        <f t="shared" si="53"/>
        <v>FRM</v>
      </c>
      <c r="C868" s="33" t="str">
        <f t="shared" si="54"/>
        <v>13110-2002</v>
      </c>
      <c r="D868" s="64" t="s">
        <v>1208</v>
      </c>
      <c r="E868" s="64" t="s">
        <v>1203</v>
      </c>
      <c r="F868" s="64" t="s">
        <v>1195</v>
      </c>
      <c r="G868" s="64" t="s">
        <v>16</v>
      </c>
      <c r="H868" s="64" t="s">
        <v>17</v>
      </c>
      <c r="I868" s="64" t="s">
        <v>51</v>
      </c>
      <c r="J868" s="67">
        <v>0</v>
      </c>
      <c r="K868" s="62">
        <v>0</v>
      </c>
      <c r="L868" s="33" t="e">
        <f>HLOOKUP(B868,#REF!,1,0)</f>
        <v>#REF!</v>
      </c>
      <c r="M868" s="33" t="str">
        <f t="shared" si="55"/>
        <v>BS</v>
      </c>
    </row>
    <row r="869" spans="1:13" s="33" customFormat="true" ht="12.75" customHeight="true">
      <c r="A869" s="33" t="str">
        <f t="shared" si="52"/>
        <v>FRM - Inventory</v>
      </c>
      <c r="B869" s="33" t="str">
        <f t="shared" si="53"/>
        <v>FRM</v>
      </c>
      <c r="C869" s="33" t="str">
        <f t="shared" si="54"/>
        <v>13110-3001</v>
      </c>
      <c r="D869" s="64" t="s">
        <v>1209</v>
      </c>
      <c r="E869" s="64" t="s">
        <v>1203</v>
      </c>
      <c r="F869" s="64" t="s">
        <v>1195</v>
      </c>
      <c r="G869" s="64" t="s">
        <v>16</v>
      </c>
      <c r="H869" s="64" t="s">
        <v>17</v>
      </c>
      <c r="I869" s="64" t="s">
        <v>51</v>
      </c>
      <c r="J869" s="67">
        <v>0</v>
      </c>
      <c r="K869" s="62">
        <v>776</v>
      </c>
      <c r="L869" s="33" t="e">
        <f>HLOOKUP(B869,#REF!,1,0)</f>
        <v>#REF!</v>
      </c>
      <c r="M869" s="33" t="str">
        <f t="shared" si="55"/>
        <v>BS</v>
      </c>
    </row>
    <row r="870" spans="1:13" s="33" customFormat="true" ht="12.75" customHeight="true">
      <c r="A870" s="33" t="str">
        <f t="shared" si="52"/>
        <v>FRM - Inventory</v>
      </c>
      <c r="B870" s="33" t="str">
        <f t="shared" si="53"/>
        <v>FRM</v>
      </c>
      <c r="C870" s="33" t="str">
        <f t="shared" si="54"/>
        <v>13110-3014</v>
      </c>
      <c r="D870" s="64" t="s">
        <v>1210</v>
      </c>
      <c r="E870" s="64" t="s">
        <v>1203</v>
      </c>
      <c r="F870" s="64" t="s">
        <v>1195</v>
      </c>
      <c r="G870" s="64" t="s">
        <v>1211</v>
      </c>
      <c r="H870" s="64" t="s">
        <v>17</v>
      </c>
      <c r="I870" s="64" t="s">
        <v>51</v>
      </c>
      <c r="J870" s="67">
        <v>-1637</v>
      </c>
      <c r="K870" s="62">
        <v>5086.58</v>
      </c>
      <c r="L870" s="33" t="e">
        <f>HLOOKUP(B870,#REF!,1,0)</f>
        <v>#REF!</v>
      </c>
      <c r="M870" s="33" t="str">
        <f t="shared" si="55"/>
        <v>BS</v>
      </c>
    </row>
    <row r="871" spans="1:13" s="33" customFormat="true" ht="12.75" customHeight="true">
      <c r="A871" s="33" t="str">
        <f t="shared" si="52"/>
        <v>FRM - Inventory</v>
      </c>
      <c r="B871" s="33" t="str">
        <f t="shared" si="53"/>
        <v>FRM</v>
      </c>
      <c r="C871" s="33" t="str">
        <f t="shared" si="54"/>
        <v>13110-4005</v>
      </c>
      <c r="D871" s="64" t="s">
        <v>1212</v>
      </c>
      <c r="E871" s="64" t="s">
        <v>1203</v>
      </c>
      <c r="F871" s="64" t="s">
        <v>1195</v>
      </c>
      <c r="G871" s="64" t="s">
        <v>16</v>
      </c>
      <c r="H871" s="64" t="s">
        <v>17</v>
      </c>
      <c r="I871" s="64" t="s">
        <v>51</v>
      </c>
      <c r="J871" s="67">
        <v>0</v>
      </c>
      <c r="K871" s="62">
        <v>0</v>
      </c>
      <c r="L871" s="33" t="e">
        <f>HLOOKUP(B871,#REF!,1,0)</f>
        <v>#REF!</v>
      </c>
      <c r="M871" s="33" t="str">
        <f t="shared" si="55"/>
        <v>BS</v>
      </c>
    </row>
    <row r="872" spans="1:13" s="33" customFormat="true" ht="12.75" customHeight="true">
      <c r="A872" s="33" t="str">
        <f t="shared" si="52"/>
        <v>FRM - AP-Accr Exp</v>
      </c>
      <c r="B872" s="33" t="str">
        <f t="shared" si="53"/>
        <v>FRM</v>
      </c>
      <c r="C872" s="33" t="str">
        <f t="shared" si="54"/>
        <v>20001-0000</v>
      </c>
      <c r="D872" s="64" t="s">
        <v>1213</v>
      </c>
      <c r="E872" s="64" t="s">
        <v>96</v>
      </c>
      <c r="F872" s="64" t="s">
        <v>1195</v>
      </c>
      <c r="G872" s="64" t="s">
        <v>97</v>
      </c>
      <c r="H872" s="64" t="s">
        <v>98</v>
      </c>
      <c r="I872" s="64" t="s">
        <v>99</v>
      </c>
      <c r="J872" s="67">
        <v>-13723.6</v>
      </c>
      <c r="K872" s="62">
        <v>-62221.72</v>
      </c>
      <c r="L872" s="33" t="e">
        <f>HLOOKUP(B872,#REF!,1,0)</f>
        <v>#REF!</v>
      </c>
      <c r="M872" s="33" t="str">
        <f t="shared" si="55"/>
        <v>BS</v>
      </c>
    </row>
    <row r="873" spans="1:13" s="33" customFormat="true" ht="12.75" customHeight="true">
      <c r="A873" s="33" t="str">
        <f t="shared" si="52"/>
        <v>FRM - AP-Accr Exp</v>
      </c>
      <c r="B873" s="33" t="str">
        <f t="shared" si="53"/>
        <v>FRM</v>
      </c>
      <c r="C873" s="33" t="str">
        <f t="shared" si="54"/>
        <v>20100-0000</v>
      </c>
      <c r="D873" s="64" t="s">
        <v>1214</v>
      </c>
      <c r="E873" s="64" t="s">
        <v>96</v>
      </c>
      <c r="F873" s="64" t="s">
        <v>1195</v>
      </c>
      <c r="G873" s="64" t="s">
        <v>97</v>
      </c>
      <c r="H873" s="64" t="s">
        <v>98</v>
      </c>
      <c r="I873" s="64" t="s">
        <v>99</v>
      </c>
      <c r="J873" s="67">
        <v>0</v>
      </c>
      <c r="K873" s="62">
        <v>-8183.43</v>
      </c>
      <c r="L873" s="33" t="e">
        <f>HLOOKUP(B873,#REF!,1,0)</f>
        <v>#REF!</v>
      </c>
      <c r="M873" s="33" t="str">
        <f t="shared" si="55"/>
        <v>BS</v>
      </c>
    </row>
    <row r="874" spans="1:13" s="33" customFormat="true" ht="12.75" customHeight="true">
      <c r="A874" s="33" t="str">
        <f t="shared" si="52"/>
        <v>FRM - AP-Accr Exp</v>
      </c>
      <c r="B874" s="33" t="str">
        <f t="shared" si="53"/>
        <v>FRM</v>
      </c>
      <c r="C874" s="33" t="str">
        <f t="shared" si="54"/>
        <v>21100-0000</v>
      </c>
      <c r="D874" s="64" t="s">
        <v>1215</v>
      </c>
      <c r="E874" s="64" t="s">
        <v>454</v>
      </c>
      <c r="F874" s="64" t="s">
        <v>1195</v>
      </c>
      <c r="G874" s="64" t="s">
        <v>97</v>
      </c>
      <c r="H874" s="64" t="s">
        <v>98</v>
      </c>
      <c r="I874" s="64" t="s">
        <v>102</v>
      </c>
      <c r="J874" s="67">
        <v>0</v>
      </c>
      <c r="K874" s="62">
        <v>0</v>
      </c>
      <c r="L874" s="33" t="e">
        <f>HLOOKUP(B874,#REF!,1,0)</f>
        <v>#REF!</v>
      </c>
      <c r="M874" s="33" t="str">
        <f t="shared" si="55"/>
        <v>BS</v>
      </c>
    </row>
    <row r="875" spans="1:13" s="33" customFormat="true" ht="12.75" customHeight="true">
      <c r="A875" s="33" t="str">
        <f t="shared" si="52"/>
        <v>FRM - AP-Accr Exp</v>
      </c>
      <c r="B875" s="33" t="str">
        <f t="shared" si="53"/>
        <v>FRM</v>
      </c>
      <c r="C875" s="33" t="str">
        <f t="shared" si="54"/>
        <v>21500-0000</v>
      </c>
      <c r="D875" s="64" t="s">
        <v>1216</v>
      </c>
      <c r="E875" s="64" t="s">
        <v>109</v>
      </c>
      <c r="F875" s="64" t="s">
        <v>1195</v>
      </c>
      <c r="G875" s="64" t="s">
        <v>97</v>
      </c>
      <c r="H875" s="64" t="s">
        <v>98</v>
      </c>
      <c r="I875" s="64" t="s">
        <v>102</v>
      </c>
      <c r="J875" s="67">
        <v>0</v>
      </c>
      <c r="K875" s="62">
        <v>-6585.33</v>
      </c>
      <c r="L875" s="33" t="e">
        <f>HLOOKUP(B875,#REF!,1,0)</f>
        <v>#REF!</v>
      </c>
      <c r="M875" s="33" t="str">
        <f t="shared" si="55"/>
        <v>BS</v>
      </c>
    </row>
    <row r="876" spans="1:13" s="33" customFormat="true" ht="12.75" customHeight="true">
      <c r="A876" s="33" t="str">
        <f t="shared" si="52"/>
        <v>FRM - Tax Accr</v>
      </c>
      <c r="B876" s="33" t="str">
        <f t="shared" si="53"/>
        <v>FRM</v>
      </c>
      <c r="C876" s="33" t="str">
        <f t="shared" si="54"/>
        <v>23001-0000</v>
      </c>
      <c r="D876" s="64" t="s">
        <v>1217</v>
      </c>
      <c r="E876" s="64" t="s">
        <v>1218</v>
      </c>
      <c r="F876" s="64" t="s">
        <v>1195</v>
      </c>
      <c r="G876" s="64" t="s">
        <v>97</v>
      </c>
      <c r="H876" s="64" t="s">
        <v>105</v>
      </c>
      <c r="I876" s="64" t="s">
        <v>102</v>
      </c>
      <c r="J876" s="67">
        <v>0</v>
      </c>
      <c r="K876" s="62">
        <v>42</v>
      </c>
      <c r="L876" s="33" t="e">
        <f>HLOOKUP(B876,#REF!,1,0)</f>
        <v>#REF!</v>
      </c>
      <c r="M876" s="33" t="str">
        <f t="shared" si="55"/>
        <v>BS</v>
      </c>
    </row>
    <row r="877" spans="1:13" s="33" customFormat="true" ht="12.75" customHeight="true">
      <c r="A877" s="33" t="str">
        <f t="shared" si="52"/>
        <v>FRM - Tax Accr</v>
      </c>
      <c r="B877" s="33" t="str">
        <f t="shared" si="53"/>
        <v>FRM</v>
      </c>
      <c r="C877" s="33" t="str">
        <f t="shared" si="54"/>
        <v>23004-0000</v>
      </c>
      <c r="D877" s="64" t="s">
        <v>1219</v>
      </c>
      <c r="E877" s="64" t="s">
        <v>1220</v>
      </c>
      <c r="F877" s="64" t="s">
        <v>1195</v>
      </c>
      <c r="G877" s="64" t="s">
        <v>97</v>
      </c>
      <c r="H877" s="64" t="s">
        <v>105</v>
      </c>
      <c r="I877" s="64" t="s">
        <v>102</v>
      </c>
      <c r="J877" s="67">
        <v>0</v>
      </c>
      <c r="K877" s="62">
        <v>-133.84</v>
      </c>
      <c r="L877" s="33" t="e">
        <f>HLOOKUP(B877,#REF!,1,0)</f>
        <v>#REF!</v>
      </c>
      <c r="M877" s="33" t="str">
        <f t="shared" si="55"/>
        <v>BS</v>
      </c>
    </row>
    <row r="878" spans="1:13" s="33" customFormat="true" ht="12.75" customHeight="true">
      <c r="A878" s="33" t="str">
        <f t="shared" si="52"/>
        <v>FRM - Principal</v>
      </c>
      <c r="B878" s="33" t="str">
        <f t="shared" si="53"/>
        <v>FRM</v>
      </c>
      <c r="C878" s="33" t="str">
        <f t="shared" si="54"/>
        <v>26700-0000</v>
      </c>
      <c r="D878" s="64" t="s">
        <v>1221</v>
      </c>
      <c r="E878" s="64" t="s">
        <v>586</v>
      </c>
      <c r="F878" s="64" t="s">
        <v>1195</v>
      </c>
      <c r="G878" s="64" t="s">
        <v>97</v>
      </c>
      <c r="H878" s="64" t="s">
        <v>127</v>
      </c>
      <c r="I878" s="64" t="s">
        <v>128</v>
      </c>
      <c r="J878" s="67">
        <v>0</v>
      </c>
      <c r="K878" s="62">
        <v>0</v>
      </c>
      <c r="L878" s="33" t="e">
        <f>HLOOKUP(B878,#REF!,1,0)</f>
        <v>#REF!</v>
      </c>
      <c r="M878" s="33" t="str">
        <f t="shared" si="55"/>
        <v>BS</v>
      </c>
    </row>
    <row r="879" spans="1:13" s="33" customFormat="true" ht="12.75" customHeight="true">
      <c r="A879" s="33" t="str">
        <f t="shared" si="52"/>
        <v>FRM - SH Dist</v>
      </c>
      <c r="B879" s="33" t="str">
        <f t="shared" si="53"/>
        <v>FRM</v>
      </c>
      <c r="C879" s="33" t="str">
        <f t="shared" si="54"/>
        <v>30101-0000</v>
      </c>
      <c r="D879" s="64" t="s">
        <v>1222</v>
      </c>
      <c r="E879" s="64" t="s">
        <v>731</v>
      </c>
      <c r="F879" s="64" t="s">
        <v>1195</v>
      </c>
      <c r="G879" s="64" t="s">
        <v>142</v>
      </c>
      <c r="H879" s="64" t="s">
        <v>143</v>
      </c>
      <c r="I879" s="64" t="s">
        <v>144</v>
      </c>
      <c r="J879" s="67">
        <v>0</v>
      </c>
      <c r="K879" s="62">
        <v>-70998.4</v>
      </c>
      <c r="L879" s="33" t="e">
        <f>HLOOKUP(B879,#REF!,1,0)</f>
        <v>#REF!</v>
      </c>
      <c r="M879" s="33" t="str">
        <f t="shared" si="55"/>
        <v>BS</v>
      </c>
    </row>
    <row r="880" spans="1:13" s="33" customFormat="true" ht="12.75" customHeight="true">
      <c r="A880" s="33" t="str">
        <f t="shared" si="52"/>
        <v>FRM - Retained Earnings</v>
      </c>
      <c r="B880" s="33" t="str">
        <f t="shared" si="53"/>
        <v>FRM</v>
      </c>
      <c r="C880" s="33" t="str">
        <f t="shared" si="54"/>
        <v>32000-0000</v>
      </c>
      <c r="D880" s="64" t="s">
        <v>1223</v>
      </c>
      <c r="E880" s="64" t="s">
        <v>234</v>
      </c>
      <c r="F880" s="64" t="s">
        <v>1195</v>
      </c>
      <c r="G880" s="64" t="s">
        <v>142</v>
      </c>
      <c r="H880" s="64" t="s">
        <v>149</v>
      </c>
      <c r="I880" s="64" t="s">
        <v>150</v>
      </c>
      <c r="J880" s="67">
        <v>0</v>
      </c>
      <c r="K880" s="62">
        <v>267769.3</v>
      </c>
      <c r="L880" s="33" t="e">
        <f>HLOOKUP(B880,#REF!,1,0)</f>
        <v>#REF!</v>
      </c>
      <c r="M880" s="33" t="str">
        <f t="shared" si="55"/>
        <v>BS</v>
      </c>
    </row>
    <row r="881" spans="1:13" s="33" customFormat="true" ht="12.75" customHeight="true">
      <c r="A881" s="33" t="str">
        <f t="shared" si="52"/>
        <v>FRM - SH Dist</v>
      </c>
      <c r="B881" s="33" t="str">
        <f t="shared" si="53"/>
        <v>FRM</v>
      </c>
      <c r="C881" s="33" t="str">
        <f t="shared" si="54"/>
        <v>36001-0000</v>
      </c>
      <c r="D881" s="64" t="s">
        <v>1224</v>
      </c>
      <c r="E881" s="64" t="s">
        <v>1225</v>
      </c>
      <c r="F881" s="64" t="s">
        <v>1195</v>
      </c>
      <c r="G881" s="64" t="s">
        <v>142</v>
      </c>
      <c r="H881" s="64" t="s">
        <v>143</v>
      </c>
      <c r="I881" s="64" t="s">
        <v>150</v>
      </c>
      <c r="J881" s="67">
        <v>0</v>
      </c>
      <c r="K881" s="62">
        <v>180000</v>
      </c>
      <c r="L881" s="33" t="e">
        <f>HLOOKUP(B881,#REF!,1,0)</f>
        <v>#REF!</v>
      </c>
      <c r="M881" s="33" t="str">
        <f t="shared" si="55"/>
        <v>BS</v>
      </c>
    </row>
    <row r="882" spans="1:13" s="33" customFormat="true" ht="12.75" customHeight="true">
      <c r="A882" s="33" t="str">
        <f t="shared" si="52"/>
        <v>FSH - Inventory</v>
      </c>
      <c r="B882" s="33" t="str">
        <f t="shared" si="53"/>
        <v>FSH</v>
      </c>
      <c r="C882" s="33" t="str">
        <f t="shared" si="54"/>
        <v>10005-8213</v>
      </c>
      <c r="D882" s="64" t="s">
        <v>1226</v>
      </c>
      <c r="E882" s="64" t="s">
        <v>14</v>
      </c>
      <c r="F882" s="64" t="s">
        <v>15</v>
      </c>
      <c r="G882" s="64" t="s">
        <v>16</v>
      </c>
      <c r="H882" s="64" t="s">
        <v>17</v>
      </c>
      <c r="I882" s="64" t="s">
        <v>18</v>
      </c>
      <c r="J882" s="67">
        <v>0</v>
      </c>
      <c r="K882" s="62">
        <v>1875.1</v>
      </c>
      <c r="L882" s="33" t="e">
        <f>HLOOKUP(B882,#REF!,1,0)</f>
        <v>#REF!</v>
      </c>
      <c r="M882" s="33" t="str">
        <f t="shared" si="55"/>
        <v>BS</v>
      </c>
    </row>
    <row r="883" spans="1:13" s="33" customFormat="true" ht="12.75" customHeight="true">
      <c r="A883" s="33" t="str">
        <f t="shared" si="52"/>
        <v>FSH - Cash</v>
      </c>
      <c r="B883" s="33" t="str">
        <f t="shared" si="53"/>
        <v>FSH</v>
      </c>
      <c r="C883" s="33" t="str">
        <f t="shared" si="54"/>
        <v>10022-0000</v>
      </c>
      <c r="D883" s="64" t="s">
        <v>1227</v>
      </c>
      <c r="E883" s="64" t="s">
        <v>760</v>
      </c>
      <c r="F883" s="64" t="s">
        <v>15</v>
      </c>
      <c r="G883" s="64" t="s">
        <v>16</v>
      </c>
      <c r="H883" s="64" t="s">
        <v>25</v>
      </c>
      <c r="I883" s="64" t="s">
        <v>18</v>
      </c>
      <c r="J883" s="67">
        <v>7902.97</v>
      </c>
      <c r="K883" s="62">
        <v>-612.29</v>
      </c>
      <c r="L883" s="33" t="e">
        <f>HLOOKUP(B883,#REF!,1,0)</f>
        <v>#REF!</v>
      </c>
      <c r="M883" s="33" t="str">
        <f t="shared" si="55"/>
        <v>BS</v>
      </c>
    </row>
    <row r="884" spans="1:13" s="33" customFormat="true" ht="12.75" customHeight="true">
      <c r="A884" s="33" t="str">
        <f t="shared" si="52"/>
        <v>FSH - Cash</v>
      </c>
      <c r="B884" s="33" t="str">
        <f t="shared" si="53"/>
        <v>FSH</v>
      </c>
      <c r="C884" s="33" t="str">
        <f t="shared" si="54"/>
        <v>10023-0000</v>
      </c>
      <c r="D884" s="64" t="s">
        <v>1228</v>
      </c>
      <c r="E884" s="64" t="s">
        <v>27</v>
      </c>
      <c r="F884" s="64" t="s">
        <v>15</v>
      </c>
      <c r="G884" s="64" t="s">
        <v>16</v>
      </c>
      <c r="H884" s="64" t="s">
        <v>25</v>
      </c>
      <c r="I884" s="64" t="s">
        <v>18</v>
      </c>
      <c r="J884" s="67">
        <v>580.94</v>
      </c>
      <c r="K884" s="62">
        <v>3018.82</v>
      </c>
      <c r="L884" s="33" t="e">
        <f>HLOOKUP(B884,#REF!,1,0)</f>
        <v>#REF!</v>
      </c>
      <c r="M884" s="33" t="str">
        <f t="shared" si="55"/>
        <v>BS</v>
      </c>
    </row>
    <row r="885" spans="1:13" s="33" customFormat="true" ht="12.75" customHeight="true">
      <c r="A885" s="33" t="str">
        <f t="shared" si="52"/>
        <v>FSH - Cash</v>
      </c>
      <c r="B885" s="33" t="str">
        <f t="shared" si="53"/>
        <v>FSH</v>
      </c>
      <c r="C885" s="33" t="str">
        <f t="shared" si="54"/>
        <v>10030-0000</v>
      </c>
      <c r="D885" s="64" t="s">
        <v>1229</v>
      </c>
      <c r="E885" s="64" t="s">
        <v>24</v>
      </c>
      <c r="F885" s="64" t="s">
        <v>15</v>
      </c>
      <c r="G885" s="64" t="s">
        <v>16</v>
      </c>
      <c r="H885" s="64" t="s">
        <v>25</v>
      </c>
      <c r="I885" s="64" t="s">
        <v>18</v>
      </c>
      <c r="J885" s="67">
        <v>-24455.12</v>
      </c>
      <c r="K885" s="62">
        <v>15332.06</v>
      </c>
      <c r="L885" s="33" t="e">
        <f>HLOOKUP(B885,#REF!,1,0)</f>
        <v>#REF!</v>
      </c>
      <c r="M885" s="33" t="str">
        <f t="shared" si="55"/>
        <v>BS</v>
      </c>
    </row>
    <row r="886" spans="1:13" s="33" customFormat="true" ht="12.75" customHeight="true">
      <c r="A886" s="33" t="str">
        <f t="shared" si="52"/>
        <v>FSH - AR-PPD</v>
      </c>
      <c r="B886" s="33" t="str">
        <f t="shared" si="53"/>
        <v>FSH</v>
      </c>
      <c r="C886" s="33" t="str">
        <f t="shared" si="54"/>
        <v>11001-0000</v>
      </c>
      <c r="D886" s="64" t="s">
        <v>1230</v>
      </c>
      <c r="E886" s="64" t="s">
        <v>34</v>
      </c>
      <c r="F886" s="64" t="s">
        <v>15</v>
      </c>
      <c r="G886" s="64" t="s">
        <v>16</v>
      </c>
      <c r="H886" s="64" t="s">
        <v>35</v>
      </c>
      <c r="I886" s="64" t="s">
        <v>36</v>
      </c>
      <c r="J886" s="67">
        <v>60.69</v>
      </c>
      <c r="K886" s="62">
        <v>6448.36</v>
      </c>
      <c r="L886" s="33" t="e">
        <f>HLOOKUP(B886,#REF!,1,0)</f>
        <v>#REF!</v>
      </c>
      <c r="M886" s="33" t="str">
        <f t="shared" si="55"/>
        <v>BS</v>
      </c>
    </row>
    <row r="887" spans="1:13" s="33" customFormat="true" ht="12.75" customHeight="true">
      <c r="A887" s="33" t="str">
        <f t="shared" si="52"/>
        <v>FSH - Intercompany</v>
      </c>
      <c r="B887" s="33" t="str">
        <f t="shared" si="53"/>
        <v>FSH</v>
      </c>
      <c r="C887" s="33" t="str">
        <f t="shared" si="54"/>
        <v>11200-0000</v>
      </c>
      <c r="D887" s="64" t="s">
        <v>1231</v>
      </c>
      <c r="E887" s="64" t="s">
        <v>38</v>
      </c>
      <c r="F887" s="64" t="s">
        <v>15</v>
      </c>
      <c r="G887" s="64" t="s">
        <v>16</v>
      </c>
      <c r="H887" s="64" t="s">
        <v>39</v>
      </c>
      <c r="I887" s="64" t="s">
        <v>40</v>
      </c>
      <c r="J887" s="67">
        <v>-1496.27</v>
      </c>
      <c r="K887" s="62">
        <v>-751478.42</v>
      </c>
      <c r="L887" s="33" t="e">
        <f>HLOOKUP(B887,#REF!,1,0)</f>
        <v>#REF!</v>
      </c>
      <c r="M887" s="33" t="str">
        <f t="shared" si="55"/>
        <v>BS</v>
      </c>
    </row>
    <row r="888" spans="1:13" s="33" customFormat="true" ht="12.75" customHeight="true">
      <c r="A888" s="33" t="str">
        <f t="shared" si="52"/>
        <v>FSH - Intercompany</v>
      </c>
      <c r="B888" s="33" t="str">
        <f t="shared" si="53"/>
        <v>FSH</v>
      </c>
      <c r="C888" s="33" t="str">
        <f t="shared" si="54"/>
        <v>11201-0000</v>
      </c>
      <c r="D888" s="64" t="s">
        <v>1232</v>
      </c>
      <c r="E888" s="64" t="s">
        <v>765</v>
      </c>
      <c r="F888" s="64" t="s">
        <v>15</v>
      </c>
      <c r="G888" s="64" t="s">
        <v>16</v>
      </c>
      <c r="H888" s="64" t="s">
        <v>39</v>
      </c>
      <c r="I888" s="64" t="s">
        <v>40</v>
      </c>
      <c r="J888" s="67">
        <v>0</v>
      </c>
      <c r="K888" s="62">
        <v>-4516.72</v>
      </c>
      <c r="L888" s="33" t="e">
        <f>HLOOKUP(B888,#REF!,1,0)</f>
        <v>#REF!</v>
      </c>
      <c r="M888" s="33" t="str">
        <f t="shared" si="55"/>
        <v>BS</v>
      </c>
    </row>
    <row r="889" spans="1:13" s="33" customFormat="true" ht="12.75" customHeight="true">
      <c r="A889" s="33" t="str">
        <f t="shared" si="52"/>
        <v>FSH - Intercompany</v>
      </c>
      <c r="B889" s="33" t="str">
        <f t="shared" si="53"/>
        <v>FSH</v>
      </c>
      <c r="C889" s="33" t="str">
        <f t="shared" si="54"/>
        <v>11204-0000</v>
      </c>
      <c r="D889" s="64" t="s">
        <v>1233</v>
      </c>
      <c r="E889" s="64" t="s">
        <v>1234</v>
      </c>
      <c r="F889" s="64" t="s">
        <v>15</v>
      </c>
      <c r="G889" s="64" t="s">
        <v>16</v>
      </c>
      <c r="H889" s="64" t="s">
        <v>39</v>
      </c>
      <c r="I889" s="64" t="s">
        <v>40</v>
      </c>
      <c r="J889" s="67">
        <v>-4169.69</v>
      </c>
      <c r="K889" s="62">
        <v>-243179.83</v>
      </c>
      <c r="L889" s="33" t="e">
        <f>HLOOKUP(B889,#REF!,1,0)</f>
        <v>#REF!</v>
      </c>
      <c r="M889" s="33" t="str">
        <f t="shared" si="55"/>
        <v>BS</v>
      </c>
    </row>
    <row r="890" spans="1:13" s="33" customFormat="true" ht="12.75" customHeight="true">
      <c r="A890" s="33" t="str">
        <f t="shared" si="52"/>
        <v>FSH - Inventory</v>
      </c>
      <c r="B890" s="33" t="str">
        <f t="shared" si="53"/>
        <v>FSH</v>
      </c>
      <c r="C890" s="33" t="str">
        <f t="shared" si="54"/>
        <v>13100-8213</v>
      </c>
      <c r="D890" s="64" t="s">
        <v>1235</v>
      </c>
      <c r="E890" s="64" t="s">
        <v>50</v>
      </c>
      <c r="F890" s="64" t="s">
        <v>15</v>
      </c>
      <c r="G890" s="64" t="s">
        <v>16</v>
      </c>
      <c r="H890" s="64" t="s">
        <v>17</v>
      </c>
      <c r="I890" s="64" t="s">
        <v>51</v>
      </c>
      <c r="J890" s="67">
        <v>0</v>
      </c>
      <c r="K890" s="62">
        <v>6168</v>
      </c>
      <c r="L890" s="33" t="e">
        <f>HLOOKUP(B890,#REF!,1,0)</f>
        <v>#REF!</v>
      </c>
      <c r="M890" s="33" t="str">
        <f t="shared" si="55"/>
        <v>BS</v>
      </c>
    </row>
    <row r="891" spans="1:13" s="33" customFormat="true" ht="12.75" customHeight="true">
      <c r="A891" s="33" t="str">
        <f t="shared" si="52"/>
        <v>FSH - Fixed Assets</v>
      </c>
      <c r="B891" s="33" t="str">
        <f t="shared" si="53"/>
        <v>FSH</v>
      </c>
      <c r="C891" s="33" t="str">
        <f t="shared" si="54"/>
        <v>16101-8213</v>
      </c>
      <c r="D891" s="64" t="s">
        <v>1236</v>
      </c>
      <c r="E891" s="64" t="s">
        <v>61</v>
      </c>
      <c r="F891" s="64" t="s">
        <v>15</v>
      </c>
      <c r="G891" s="64" t="s">
        <v>62</v>
      </c>
      <c r="H891" s="64" t="s">
        <v>63</v>
      </c>
      <c r="I891" s="64" t="s">
        <v>64</v>
      </c>
      <c r="J891" s="67">
        <v>0</v>
      </c>
      <c r="K891" s="62">
        <v>2368.49</v>
      </c>
      <c r="L891" s="33" t="e">
        <f>HLOOKUP(B891,#REF!,1,0)</f>
        <v>#REF!</v>
      </c>
      <c r="M891" s="33" t="str">
        <f t="shared" si="55"/>
        <v>BS</v>
      </c>
    </row>
    <row r="892" spans="1:13" s="33" customFormat="true" ht="12.75" customHeight="true">
      <c r="A892" s="33" t="str">
        <f t="shared" si="52"/>
        <v>FSH - Fixed Assets</v>
      </c>
      <c r="B892" s="33" t="str">
        <f t="shared" si="53"/>
        <v>FSH</v>
      </c>
      <c r="C892" s="33" t="str">
        <f t="shared" si="54"/>
        <v>16901-0000</v>
      </c>
      <c r="D892" s="64" t="s">
        <v>1237</v>
      </c>
      <c r="E892" s="64" t="s">
        <v>77</v>
      </c>
      <c r="F892" s="64" t="s">
        <v>15</v>
      </c>
      <c r="G892" s="64" t="s">
        <v>62</v>
      </c>
      <c r="H892" s="64" t="s">
        <v>63</v>
      </c>
      <c r="I892" s="64" t="s">
        <v>64</v>
      </c>
      <c r="J892" s="67">
        <v>0</v>
      </c>
      <c r="K892" s="62">
        <v>-2368.28</v>
      </c>
      <c r="L892" s="33" t="e">
        <f>HLOOKUP(B892,#REF!,1,0)</f>
        <v>#REF!</v>
      </c>
      <c r="M892" s="33" t="str">
        <f t="shared" si="55"/>
        <v>BS</v>
      </c>
    </row>
    <row r="893" spans="1:13" s="33" customFormat="true" ht="12.75" customHeight="true">
      <c r="A893" s="33" t="str">
        <f t="shared" si="52"/>
        <v>FSH - Fixed Assets</v>
      </c>
      <c r="B893" s="33" t="str">
        <f t="shared" si="53"/>
        <v>FSH</v>
      </c>
      <c r="C893" s="33" t="str">
        <f t="shared" si="54"/>
        <v>17201-8213</v>
      </c>
      <c r="D893" s="64" t="s">
        <v>1238</v>
      </c>
      <c r="E893" s="64" t="s">
        <v>83</v>
      </c>
      <c r="F893" s="64" t="s">
        <v>15</v>
      </c>
      <c r="G893" s="64" t="s">
        <v>62</v>
      </c>
      <c r="H893" s="64" t="s">
        <v>63</v>
      </c>
      <c r="I893" s="64" t="s">
        <v>81</v>
      </c>
      <c r="J893" s="67">
        <v>0</v>
      </c>
      <c r="K893" s="62">
        <v>27500</v>
      </c>
      <c r="L893" s="33" t="e">
        <f>HLOOKUP(B893,#REF!,1,0)</f>
        <v>#REF!</v>
      </c>
      <c r="M893" s="33" t="str">
        <f t="shared" si="55"/>
        <v>BS</v>
      </c>
    </row>
    <row r="894" spans="1:13" s="33" customFormat="true" ht="12.75" customHeight="true">
      <c r="A894" s="33" t="str">
        <f t="shared" si="52"/>
        <v>FSH - Fixed Assets</v>
      </c>
      <c r="B894" s="33" t="str">
        <f t="shared" si="53"/>
        <v>FSH</v>
      </c>
      <c r="C894" s="33" t="str">
        <f t="shared" si="54"/>
        <v>18501-0000</v>
      </c>
      <c r="D894" s="64" t="s">
        <v>1239</v>
      </c>
      <c r="E894" s="64" t="s">
        <v>88</v>
      </c>
      <c r="F894" s="64" t="s">
        <v>15</v>
      </c>
      <c r="G894" s="64" t="s">
        <v>62</v>
      </c>
      <c r="H894" s="64" t="s">
        <v>63</v>
      </c>
      <c r="I894" s="64" t="s">
        <v>81</v>
      </c>
      <c r="J894" s="67">
        <v>0</v>
      </c>
      <c r="K894" s="62">
        <v>-12518</v>
      </c>
      <c r="L894" s="33" t="e">
        <f>HLOOKUP(B894,#REF!,1,0)</f>
        <v>#REF!</v>
      </c>
      <c r="M894" s="33" t="str">
        <f t="shared" si="55"/>
        <v>BS</v>
      </c>
    </row>
    <row r="895" spans="1:13" s="33" customFormat="true" ht="12.75" customHeight="true">
      <c r="A895" s="33" t="str">
        <f t="shared" si="52"/>
        <v>FSH - AP-Accr Exp</v>
      </c>
      <c r="B895" s="33" t="str">
        <f t="shared" si="53"/>
        <v>FSH</v>
      </c>
      <c r="C895" s="33" t="str">
        <f t="shared" si="54"/>
        <v>20001-0000</v>
      </c>
      <c r="D895" s="64" t="s">
        <v>1240</v>
      </c>
      <c r="E895" s="64" t="s">
        <v>96</v>
      </c>
      <c r="F895" s="64" t="s">
        <v>15</v>
      </c>
      <c r="G895" s="64" t="s">
        <v>97</v>
      </c>
      <c r="H895" s="64" t="s">
        <v>98</v>
      </c>
      <c r="I895" s="64" t="s">
        <v>99</v>
      </c>
      <c r="J895" s="67">
        <v>-179.08</v>
      </c>
      <c r="K895" s="62">
        <v>-2731.67</v>
      </c>
      <c r="L895" s="33" t="e">
        <f>HLOOKUP(B895,#REF!,1,0)</f>
        <v>#REF!</v>
      </c>
      <c r="M895" s="33" t="str">
        <f t="shared" si="55"/>
        <v>BS</v>
      </c>
    </row>
    <row r="896" spans="1:13" s="33" customFormat="true" ht="12.75" customHeight="true">
      <c r="A896" s="33" t="str">
        <f t="shared" si="52"/>
        <v>FSH - AP-Accr Exp</v>
      </c>
      <c r="B896" s="33" t="str">
        <f t="shared" si="53"/>
        <v>FSH</v>
      </c>
      <c r="C896" s="33" t="str">
        <f t="shared" si="54"/>
        <v>21001-0000</v>
      </c>
      <c r="D896" s="64" t="s">
        <v>1241</v>
      </c>
      <c r="E896" s="64" t="s">
        <v>101</v>
      </c>
      <c r="F896" s="64" t="s">
        <v>15</v>
      </c>
      <c r="G896" s="64" t="s">
        <v>97</v>
      </c>
      <c r="H896" s="64" t="s">
        <v>98</v>
      </c>
      <c r="I896" s="64" t="s">
        <v>102</v>
      </c>
      <c r="J896" s="67">
        <v>0</v>
      </c>
      <c r="K896" s="62">
        <v>-6241</v>
      </c>
      <c r="L896" s="33" t="e">
        <f>HLOOKUP(B896,#REF!,1,0)</f>
        <v>#REF!</v>
      </c>
      <c r="M896" s="33" t="str">
        <f t="shared" si="55"/>
        <v>BS</v>
      </c>
    </row>
    <row r="897" spans="1:13" s="33" customFormat="true" ht="12.75" customHeight="true">
      <c r="A897" s="33" t="str">
        <f t="shared" si="52"/>
        <v>FSH - Tax Accr</v>
      </c>
      <c r="B897" s="33" t="str">
        <f t="shared" si="53"/>
        <v>FSH</v>
      </c>
      <c r="C897" s="33" t="str">
        <f t="shared" si="54"/>
        <v>22001-0000</v>
      </c>
      <c r="D897" s="64" t="s">
        <v>1242</v>
      </c>
      <c r="E897" s="64" t="s">
        <v>104</v>
      </c>
      <c r="F897" s="64" t="s">
        <v>15</v>
      </c>
      <c r="G897" s="64" t="s">
        <v>97</v>
      </c>
      <c r="H897" s="64" t="s">
        <v>105</v>
      </c>
      <c r="I897" s="64" t="s">
        <v>102</v>
      </c>
      <c r="J897" s="67">
        <v>341.36</v>
      </c>
      <c r="K897" s="62">
        <v>228.4</v>
      </c>
      <c r="L897" s="33" t="e">
        <f>HLOOKUP(B897,#REF!,1,0)</f>
        <v>#REF!</v>
      </c>
      <c r="M897" s="33" t="str">
        <f t="shared" si="55"/>
        <v>BS</v>
      </c>
    </row>
    <row r="898" spans="1:13" s="33" customFormat="true" ht="12.75" customHeight="true">
      <c r="A898" s="33" t="str">
        <f t="shared" ref="A898:A961" si="56">B898&amp;" - "&amp;TRIM(H898)</f>
        <v>FSH - AP-Accr Exp</v>
      </c>
      <c r="B898" s="33" t="str">
        <f t="shared" ref="B898:B961" si="57">LEFT(D898,3)</f>
        <v>FSH</v>
      </c>
      <c r="C898" s="33" t="str">
        <f t="shared" ref="C898:C961" si="58">RIGHT(D898,10)</f>
        <v>23405-0000</v>
      </c>
      <c r="D898" s="64" t="s">
        <v>1243</v>
      </c>
      <c r="E898" s="64" t="s">
        <v>107</v>
      </c>
      <c r="F898" s="64" t="s">
        <v>15</v>
      </c>
      <c r="G898" s="64" t="s">
        <v>97</v>
      </c>
      <c r="H898" s="64" t="s">
        <v>98</v>
      </c>
      <c r="I898" s="64" t="s">
        <v>102</v>
      </c>
      <c r="J898" s="67">
        <v>0</v>
      </c>
      <c r="K898" s="62">
        <v>0</v>
      </c>
      <c r="L898" s="33" t="e">
        <f>HLOOKUP(B898,#REF!,1,0)</f>
        <v>#REF!</v>
      </c>
      <c r="M898" s="33" t="str">
        <f t="shared" ref="M898:M961" si="59">IF(VALUE(LEFT(C898,5))&gt;40000,"P&amp;L","BS")</f>
        <v>BS</v>
      </c>
    </row>
    <row r="899" spans="1:13" s="33" customFormat="true" ht="12.75" customHeight="true">
      <c r="A899" s="33" t="str">
        <f t="shared" si="56"/>
        <v>FSH - AP-Accr Exp</v>
      </c>
      <c r="B899" s="33" t="str">
        <f t="shared" si="57"/>
        <v>FSH</v>
      </c>
      <c r="C899" s="33" t="str">
        <f t="shared" si="58"/>
        <v>23406-0000</v>
      </c>
      <c r="D899" s="64" t="s">
        <v>1244</v>
      </c>
      <c r="E899" s="64" t="s">
        <v>109</v>
      </c>
      <c r="F899" s="64" t="s">
        <v>15</v>
      </c>
      <c r="G899" s="64" t="s">
        <v>97</v>
      </c>
      <c r="H899" s="64" t="s">
        <v>98</v>
      </c>
      <c r="I899" s="64" t="s">
        <v>102</v>
      </c>
      <c r="J899" s="67">
        <v>0</v>
      </c>
      <c r="K899" s="62">
        <v>-1297.27</v>
      </c>
      <c r="L899" s="33" t="e">
        <f>HLOOKUP(B899,#REF!,1,0)</f>
        <v>#REF!</v>
      </c>
      <c r="M899" s="33" t="str">
        <f t="shared" si="59"/>
        <v>BS</v>
      </c>
    </row>
    <row r="900" spans="1:13" s="33" customFormat="true" ht="12.75" customHeight="true">
      <c r="A900" s="33" t="str">
        <f t="shared" si="56"/>
        <v>FSH - AP-Accr Exp</v>
      </c>
      <c r="B900" s="33" t="str">
        <f t="shared" si="57"/>
        <v>FSH</v>
      </c>
      <c r="C900" s="33" t="str">
        <f t="shared" si="58"/>
        <v>23509-0000</v>
      </c>
      <c r="D900" s="64" t="s">
        <v>1245</v>
      </c>
      <c r="E900" s="64" t="s">
        <v>111</v>
      </c>
      <c r="F900" s="64" t="s">
        <v>15</v>
      </c>
      <c r="G900" s="64" t="s">
        <v>97</v>
      </c>
      <c r="H900" s="64" t="s">
        <v>98</v>
      </c>
      <c r="I900" s="64" t="s">
        <v>102</v>
      </c>
      <c r="J900" s="67">
        <v>0</v>
      </c>
      <c r="K900" s="62">
        <v>0</v>
      </c>
      <c r="L900" s="33" t="e">
        <f>HLOOKUP(B900,#REF!,1,0)</f>
        <v>#REF!</v>
      </c>
      <c r="M900" s="33" t="str">
        <f t="shared" si="59"/>
        <v>BS</v>
      </c>
    </row>
    <row r="901" spans="1:13" s="33" customFormat="true" ht="12.75" customHeight="true">
      <c r="A901" s="33" t="str">
        <f t="shared" si="56"/>
        <v>FSH - AP-Accr Exp</v>
      </c>
      <c r="B901" s="33" t="str">
        <f t="shared" si="57"/>
        <v>FSH</v>
      </c>
      <c r="C901" s="33" t="str">
        <f t="shared" si="58"/>
        <v>23909-0000</v>
      </c>
      <c r="D901" s="64" t="s">
        <v>1246</v>
      </c>
      <c r="E901" s="64" t="s">
        <v>113</v>
      </c>
      <c r="F901" s="64" t="s">
        <v>15</v>
      </c>
      <c r="G901" s="64" t="s">
        <v>97</v>
      </c>
      <c r="H901" s="64" t="s">
        <v>98</v>
      </c>
      <c r="I901" s="64" t="s">
        <v>102</v>
      </c>
      <c r="J901" s="67">
        <v>1161.82</v>
      </c>
      <c r="K901" s="62">
        <v>-10241.34</v>
      </c>
      <c r="L901" s="33" t="e">
        <f>HLOOKUP(B901,#REF!,1,0)</f>
        <v>#REF!</v>
      </c>
      <c r="M901" s="33" t="str">
        <f t="shared" si="59"/>
        <v>BS</v>
      </c>
    </row>
    <row r="902" spans="1:13" s="33" customFormat="true" ht="12.75" customHeight="true">
      <c r="A902" s="33" t="str">
        <f t="shared" si="56"/>
        <v>FSH - AP-Accr Exp</v>
      </c>
      <c r="B902" s="33" t="str">
        <f t="shared" si="57"/>
        <v>FSH</v>
      </c>
      <c r="C902" s="33" t="str">
        <f t="shared" si="58"/>
        <v>24400-0000</v>
      </c>
      <c r="D902" s="64" t="s">
        <v>1247</v>
      </c>
      <c r="E902" s="64" t="s">
        <v>115</v>
      </c>
      <c r="F902" s="64" t="s">
        <v>15</v>
      </c>
      <c r="G902" s="64" t="s">
        <v>97</v>
      </c>
      <c r="H902" s="64" t="s">
        <v>98</v>
      </c>
      <c r="I902" s="64" t="s">
        <v>102</v>
      </c>
      <c r="J902" s="67">
        <v>0</v>
      </c>
      <c r="K902" s="62">
        <v>-3106.73</v>
      </c>
      <c r="L902" s="33" t="e">
        <f>HLOOKUP(B902,#REF!,1,0)</f>
        <v>#REF!</v>
      </c>
      <c r="M902" s="33" t="str">
        <f t="shared" si="59"/>
        <v>BS</v>
      </c>
    </row>
    <row r="903" spans="1:13" s="33" customFormat="true" ht="12.75" customHeight="true">
      <c r="A903" s="33" t="str">
        <f t="shared" si="56"/>
        <v>FSH - AP-Accr Exp</v>
      </c>
      <c r="B903" s="33" t="str">
        <f t="shared" si="57"/>
        <v>FSH</v>
      </c>
      <c r="C903" s="33" t="str">
        <f t="shared" si="58"/>
        <v>24400-8213</v>
      </c>
      <c r="D903" s="64" t="s">
        <v>1248</v>
      </c>
      <c r="E903" s="64" t="s">
        <v>115</v>
      </c>
      <c r="F903" s="64" t="s">
        <v>15</v>
      </c>
      <c r="G903" s="64" t="s">
        <v>97</v>
      </c>
      <c r="H903" s="64" t="s">
        <v>98</v>
      </c>
      <c r="I903" s="64" t="s">
        <v>102</v>
      </c>
      <c r="J903" s="67">
        <v>47.97</v>
      </c>
      <c r="K903" s="62">
        <v>4547.17</v>
      </c>
      <c r="L903" s="33" t="e">
        <f>HLOOKUP(B903,#REF!,1,0)</f>
        <v>#REF!</v>
      </c>
      <c r="M903" s="33" t="str">
        <f t="shared" si="59"/>
        <v>BS</v>
      </c>
    </row>
    <row r="904" spans="1:13" s="33" customFormat="true" ht="12.75" customHeight="true">
      <c r="A904" s="33" t="str">
        <f t="shared" si="56"/>
        <v>FSH - AP-Accr Exp</v>
      </c>
      <c r="B904" s="33" t="str">
        <f t="shared" si="57"/>
        <v>FSH</v>
      </c>
      <c r="C904" s="33" t="str">
        <f t="shared" si="58"/>
        <v>25500-0000</v>
      </c>
      <c r="D904" s="64" t="s">
        <v>1249</v>
      </c>
      <c r="E904" s="64" t="s">
        <v>122</v>
      </c>
      <c r="F904" s="64" t="s">
        <v>15</v>
      </c>
      <c r="G904" s="64" t="s">
        <v>123</v>
      </c>
      <c r="H904" s="64" t="s">
        <v>98</v>
      </c>
      <c r="I904" s="64" t="s">
        <v>124</v>
      </c>
      <c r="J904" s="67">
        <v>0</v>
      </c>
      <c r="K904" s="62">
        <v>-72611.1</v>
      </c>
      <c r="L904" s="33" t="e">
        <f>HLOOKUP(B904,#REF!,1,0)</f>
        <v>#REF!</v>
      </c>
      <c r="M904" s="33" t="str">
        <f t="shared" si="59"/>
        <v>BS</v>
      </c>
    </row>
    <row r="905" spans="1:13" s="33" customFormat="true" ht="12.75" customHeight="true">
      <c r="A905" s="33" t="str">
        <f t="shared" si="56"/>
        <v>FSH - Principal</v>
      </c>
      <c r="B905" s="33" t="str">
        <f t="shared" si="57"/>
        <v>FSH</v>
      </c>
      <c r="C905" s="33" t="str">
        <f t="shared" si="58"/>
        <v>26700-0000</v>
      </c>
      <c r="D905" s="64" t="s">
        <v>1250</v>
      </c>
      <c r="E905" s="64" t="s">
        <v>688</v>
      </c>
      <c r="F905" s="64" t="s">
        <v>15</v>
      </c>
      <c r="G905" s="64" t="s">
        <v>97</v>
      </c>
      <c r="H905" s="64" t="s">
        <v>127</v>
      </c>
      <c r="I905" s="64" t="s">
        <v>102</v>
      </c>
      <c r="J905" s="67">
        <v>0</v>
      </c>
      <c r="K905" s="62">
        <v>0</v>
      </c>
      <c r="L905" s="33" t="e">
        <f>HLOOKUP(B905,#REF!,1,0)</f>
        <v>#REF!</v>
      </c>
      <c r="M905" s="33" t="str">
        <f t="shared" si="59"/>
        <v>BS</v>
      </c>
    </row>
    <row r="906" spans="1:13" s="33" customFormat="true" ht="12.75" customHeight="true">
      <c r="A906" s="33" t="str">
        <f t="shared" si="56"/>
        <v>FSH - SH Dist</v>
      </c>
      <c r="B906" s="33" t="str">
        <f t="shared" si="57"/>
        <v>FSH</v>
      </c>
      <c r="C906" s="33" t="str">
        <f t="shared" si="58"/>
        <v>30501-0000</v>
      </c>
      <c r="D906" s="64" t="s">
        <v>1251</v>
      </c>
      <c r="E906" s="64" t="s">
        <v>822</v>
      </c>
      <c r="F906" s="64" t="s">
        <v>15</v>
      </c>
      <c r="G906" s="64" t="s">
        <v>142</v>
      </c>
      <c r="H906" s="64" t="s">
        <v>143</v>
      </c>
      <c r="I906" s="64" t="s">
        <v>144</v>
      </c>
      <c r="J906" s="67">
        <v>0</v>
      </c>
      <c r="K906" s="62">
        <v>-100000</v>
      </c>
      <c r="L906" s="33" t="e">
        <f>HLOOKUP(B906,#REF!,1,0)</f>
        <v>#REF!</v>
      </c>
      <c r="M906" s="33" t="str">
        <f t="shared" si="59"/>
        <v>BS</v>
      </c>
    </row>
    <row r="907" spans="1:13" s="33" customFormat="true" ht="12.75" customHeight="true">
      <c r="A907" s="33" t="str">
        <f t="shared" si="56"/>
        <v>FSH - SH Dist</v>
      </c>
      <c r="B907" s="33" t="str">
        <f t="shared" si="57"/>
        <v>FSH</v>
      </c>
      <c r="C907" s="33" t="str">
        <f t="shared" si="58"/>
        <v>30505-0000</v>
      </c>
      <c r="D907" s="64" t="s">
        <v>1252</v>
      </c>
      <c r="E907" s="64" t="s">
        <v>1253</v>
      </c>
      <c r="F907" s="64" t="s">
        <v>15</v>
      </c>
      <c r="G907" s="64" t="s">
        <v>142</v>
      </c>
      <c r="H907" s="64" t="s">
        <v>143</v>
      </c>
      <c r="I907" s="64" t="s">
        <v>144</v>
      </c>
      <c r="J907" s="67">
        <v>0</v>
      </c>
      <c r="K907" s="62">
        <v>-59615.53</v>
      </c>
      <c r="L907" s="33" t="e">
        <f>HLOOKUP(B907,#REF!,1,0)</f>
        <v>#REF!</v>
      </c>
      <c r="M907" s="33" t="str">
        <f t="shared" si="59"/>
        <v>BS</v>
      </c>
    </row>
    <row r="908" spans="1:13" s="33" customFormat="true" ht="12.75" customHeight="true">
      <c r="A908" s="33" t="str">
        <f t="shared" si="56"/>
        <v>FSH - Retained Earnings</v>
      </c>
      <c r="B908" s="33" t="str">
        <f t="shared" si="57"/>
        <v>FSH</v>
      </c>
      <c r="C908" s="33" t="str">
        <f t="shared" si="58"/>
        <v>32000-0000</v>
      </c>
      <c r="D908" s="64" t="s">
        <v>1254</v>
      </c>
      <c r="E908" s="64" t="s">
        <v>148</v>
      </c>
      <c r="F908" s="64" t="s">
        <v>15</v>
      </c>
      <c r="G908" s="64" t="s">
        <v>142</v>
      </c>
      <c r="H908" s="64" t="s">
        <v>149</v>
      </c>
      <c r="I908" s="64" t="s">
        <v>150</v>
      </c>
      <c r="J908" s="67">
        <v>0</v>
      </c>
      <c r="K908" s="62">
        <v>995767.33</v>
      </c>
      <c r="L908" s="33" t="e">
        <f>HLOOKUP(B908,#REF!,1,0)</f>
        <v>#REF!</v>
      </c>
      <c r="M908" s="33" t="str">
        <f t="shared" si="59"/>
        <v>BS</v>
      </c>
    </row>
    <row r="909" spans="1:13" s="33" customFormat="true" ht="12.75" customHeight="true">
      <c r="A909" s="33" t="str">
        <f t="shared" si="56"/>
        <v>FSH - SH Dist</v>
      </c>
      <c r="B909" s="33" t="str">
        <f t="shared" si="57"/>
        <v>FSH</v>
      </c>
      <c r="C909" s="33" t="str">
        <f t="shared" si="58"/>
        <v>37001-0000</v>
      </c>
      <c r="D909" s="64" t="s">
        <v>1255</v>
      </c>
      <c r="E909" s="64" t="s">
        <v>322</v>
      </c>
      <c r="F909" s="64" t="s">
        <v>15</v>
      </c>
      <c r="G909" s="64" t="s">
        <v>142</v>
      </c>
      <c r="H909" s="64" t="s">
        <v>143</v>
      </c>
      <c r="I909" s="64" t="s">
        <v>144</v>
      </c>
      <c r="J909" s="67">
        <v>0</v>
      </c>
      <c r="K909" s="62">
        <v>-0.46</v>
      </c>
      <c r="L909" s="33" t="e">
        <f>HLOOKUP(B909,#REF!,1,0)</f>
        <v>#REF!</v>
      </c>
      <c r="M909" s="33" t="str">
        <f t="shared" si="59"/>
        <v>BS</v>
      </c>
    </row>
    <row r="910" spans="1:13" s="33" customFormat="true" ht="12.75" customHeight="true">
      <c r="A910" s="33" t="str">
        <f t="shared" si="56"/>
        <v>GPI - Cash</v>
      </c>
      <c r="B910" s="33" t="str">
        <f t="shared" si="57"/>
        <v>GPI</v>
      </c>
      <c r="C910" s="33" t="str">
        <f t="shared" si="58"/>
        <v>10001-0000</v>
      </c>
      <c r="D910" s="64" t="s">
        <v>1256</v>
      </c>
      <c r="E910" s="64" t="s">
        <v>240</v>
      </c>
      <c r="F910" s="64" t="s">
        <v>230</v>
      </c>
      <c r="G910" s="64" t="s">
        <v>16</v>
      </c>
      <c r="H910" s="64" t="s">
        <v>25</v>
      </c>
      <c r="I910" s="64" t="s">
        <v>18</v>
      </c>
      <c r="J910" s="67">
        <v>-61.31</v>
      </c>
      <c r="K910" s="62">
        <v>932.2</v>
      </c>
      <c r="L910" s="33" t="e">
        <f>HLOOKUP(B910,#REF!,1,0)</f>
        <v>#REF!</v>
      </c>
      <c r="M910" s="33" t="str">
        <f t="shared" si="59"/>
        <v>BS</v>
      </c>
    </row>
    <row r="911" spans="1:13" s="33" customFormat="true" ht="12.75" customHeight="true">
      <c r="A911" s="33" t="str">
        <f t="shared" si="56"/>
        <v>GPI - AR-PPD</v>
      </c>
      <c r="B911" s="33" t="str">
        <f t="shared" si="57"/>
        <v>GPI</v>
      </c>
      <c r="C911" s="33" t="str">
        <f t="shared" si="58"/>
        <v>11000-0000</v>
      </c>
      <c r="D911" s="64" t="s">
        <v>1257</v>
      </c>
      <c r="E911" s="64" t="s">
        <v>34</v>
      </c>
      <c r="F911" s="64" t="s">
        <v>230</v>
      </c>
      <c r="G911" s="64" t="s">
        <v>16</v>
      </c>
      <c r="H911" s="64" t="s">
        <v>35</v>
      </c>
      <c r="I911" s="64" t="s">
        <v>36</v>
      </c>
      <c r="J911" s="67">
        <v>0</v>
      </c>
      <c r="K911" s="62">
        <v>2019</v>
      </c>
      <c r="L911" s="33" t="e">
        <f>HLOOKUP(B911,#REF!,1,0)</f>
        <v>#REF!</v>
      </c>
      <c r="M911" s="33" t="str">
        <f t="shared" si="59"/>
        <v>BS</v>
      </c>
    </row>
    <row r="912" spans="1:13" s="33" customFormat="true" ht="12.75" customHeight="true">
      <c r="A912" s="33" t="str">
        <f t="shared" si="56"/>
        <v>GPI - Intercompany D7</v>
      </c>
      <c r="B912" s="33" t="str">
        <f t="shared" si="57"/>
        <v>GPI</v>
      </c>
      <c r="C912" s="33" t="str">
        <f t="shared" si="58"/>
        <v>11214-0000</v>
      </c>
      <c r="D912" s="64" t="s">
        <v>1258</v>
      </c>
      <c r="E912" s="64" t="s">
        <v>1052</v>
      </c>
      <c r="F912" s="64" t="s">
        <v>230</v>
      </c>
      <c r="G912" s="64" t="s">
        <v>16</v>
      </c>
      <c r="H912" s="64" t="s">
        <v>1053</v>
      </c>
      <c r="I912" s="64" t="s">
        <v>40</v>
      </c>
      <c r="J912" s="67">
        <v>0</v>
      </c>
      <c r="K912" s="62">
        <v>-724064.55</v>
      </c>
      <c r="L912" s="33" t="e">
        <f>HLOOKUP(B912,#REF!,1,0)</f>
        <v>#REF!</v>
      </c>
      <c r="M912" s="33" t="str">
        <f t="shared" si="59"/>
        <v>BS</v>
      </c>
    </row>
    <row r="913" spans="1:13" s="33" customFormat="true" ht="12.75" customHeight="true">
      <c r="A913" s="33" t="str">
        <f t="shared" si="56"/>
        <v>GPI - Intercompany</v>
      </c>
      <c r="B913" s="33" t="str">
        <f t="shared" si="57"/>
        <v>GPI</v>
      </c>
      <c r="C913" s="33" t="str">
        <f t="shared" si="58"/>
        <v>11216-0000</v>
      </c>
      <c r="D913" s="64" t="s">
        <v>1259</v>
      </c>
      <c r="E913" s="64" t="s">
        <v>242</v>
      </c>
      <c r="F913" s="64" t="s">
        <v>230</v>
      </c>
      <c r="G913" s="64" t="s">
        <v>16</v>
      </c>
      <c r="H913" s="64" t="s">
        <v>39</v>
      </c>
      <c r="I913" s="64" t="s">
        <v>40</v>
      </c>
      <c r="J913" s="67">
        <v>0</v>
      </c>
      <c r="K913" s="62">
        <v>1870.9</v>
      </c>
      <c r="L913" s="33" t="e">
        <f>HLOOKUP(B913,#REF!,1,0)</f>
        <v>#REF!</v>
      </c>
      <c r="M913" s="33" t="str">
        <f t="shared" si="59"/>
        <v>BS</v>
      </c>
    </row>
    <row r="914" spans="1:13" s="33" customFormat="true" ht="12.75" customHeight="true">
      <c r="A914" s="33" t="str">
        <f t="shared" si="56"/>
        <v>GPI - Intercompany</v>
      </c>
      <c r="B914" s="33" t="str">
        <f t="shared" si="57"/>
        <v>GPI</v>
      </c>
      <c r="C914" s="33" t="str">
        <f t="shared" si="58"/>
        <v>11301-0000</v>
      </c>
      <c r="D914" s="64" t="s">
        <v>1260</v>
      </c>
      <c r="E914" s="64" t="s">
        <v>244</v>
      </c>
      <c r="F914" s="64" t="s">
        <v>230</v>
      </c>
      <c r="G914" s="64" t="s">
        <v>16</v>
      </c>
      <c r="H914" s="64" t="s">
        <v>39</v>
      </c>
      <c r="I914" s="64" t="s">
        <v>40</v>
      </c>
      <c r="J914" s="67">
        <v>0</v>
      </c>
      <c r="K914" s="62">
        <v>15000</v>
      </c>
      <c r="L914" s="33" t="e">
        <f>HLOOKUP(B914,#REF!,1,0)</f>
        <v>#REF!</v>
      </c>
      <c r="M914" s="33" t="str">
        <f t="shared" si="59"/>
        <v>BS</v>
      </c>
    </row>
    <row r="915" spans="1:13" s="33" customFormat="true" ht="12.75" customHeight="true">
      <c r="A915" s="33" t="str">
        <f t="shared" si="56"/>
        <v>GPI - Intercompany</v>
      </c>
      <c r="B915" s="33" t="str">
        <f t="shared" si="57"/>
        <v>GPI</v>
      </c>
      <c r="C915" s="33" t="str">
        <f t="shared" si="58"/>
        <v>11305-0000</v>
      </c>
      <c r="D915" s="64" t="s">
        <v>1261</v>
      </c>
      <c r="E915" s="64" t="s">
        <v>252</v>
      </c>
      <c r="F915" s="64" t="s">
        <v>230</v>
      </c>
      <c r="G915" s="64" t="s">
        <v>16</v>
      </c>
      <c r="H915" s="64" t="s">
        <v>39</v>
      </c>
      <c r="I915" s="64" t="s">
        <v>40</v>
      </c>
      <c r="J915" s="67">
        <v>0</v>
      </c>
      <c r="K915" s="62">
        <v>-6000</v>
      </c>
      <c r="L915" s="33" t="e">
        <f>HLOOKUP(B915,#REF!,1,0)</f>
        <v>#REF!</v>
      </c>
      <c r="M915" s="33" t="str">
        <f t="shared" si="59"/>
        <v>BS</v>
      </c>
    </row>
    <row r="916" spans="1:13" s="33" customFormat="true" ht="12.75" customHeight="true">
      <c r="A916" s="33" t="str">
        <f t="shared" si="56"/>
        <v>GPI - Intercompany</v>
      </c>
      <c r="B916" s="33" t="str">
        <f t="shared" si="57"/>
        <v>GPI</v>
      </c>
      <c r="C916" s="33" t="str">
        <f t="shared" si="58"/>
        <v>11308-0000</v>
      </c>
      <c r="D916" s="64" t="s">
        <v>1262</v>
      </c>
      <c r="E916" s="64" t="s">
        <v>472</v>
      </c>
      <c r="F916" s="64" t="s">
        <v>230</v>
      </c>
      <c r="G916" s="64" t="s">
        <v>16</v>
      </c>
      <c r="H916" s="64" t="s">
        <v>39</v>
      </c>
      <c r="I916" s="64" t="s">
        <v>40</v>
      </c>
      <c r="J916" s="67">
        <v>0</v>
      </c>
      <c r="K916" s="62">
        <v>40000</v>
      </c>
      <c r="L916" s="33" t="e">
        <f>HLOOKUP(B916,#REF!,1,0)</f>
        <v>#REF!</v>
      </c>
      <c r="M916" s="33" t="str">
        <f t="shared" si="59"/>
        <v>BS</v>
      </c>
    </row>
    <row r="917" spans="1:13" s="33" customFormat="true" ht="12.75" customHeight="true">
      <c r="A917" s="33" t="str">
        <f t="shared" si="56"/>
        <v>GPI - Intercompany</v>
      </c>
      <c r="B917" s="33" t="str">
        <f t="shared" si="57"/>
        <v>GPI</v>
      </c>
      <c r="C917" s="33" t="str">
        <f t="shared" si="58"/>
        <v>11317-0000</v>
      </c>
      <c r="D917" s="64" t="s">
        <v>1263</v>
      </c>
      <c r="E917" s="64" t="s">
        <v>368</v>
      </c>
      <c r="F917" s="64" t="s">
        <v>230</v>
      </c>
      <c r="G917" s="64" t="s">
        <v>16</v>
      </c>
      <c r="H917" s="64" t="s">
        <v>39</v>
      </c>
      <c r="I917" s="64" t="s">
        <v>40</v>
      </c>
      <c r="J917" s="67">
        <v>0</v>
      </c>
      <c r="K917" s="62">
        <v>-20000</v>
      </c>
      <c r="L917" s="33" t="e">
        <f>HLOOKUP(B917,#REF!,1,0)</f>
        <v>#REF!</v>
      </c>
      <c r="M917" s="33" t="str">
        <f t="shared" si="59"/>
        <v>BS</v>
      </c>
    </row>
    <row r="918" spans="1:13" s="33" customFormat="true" ht="12.75" customHeight="true">
      <c r="A918" s="33" t="str">
        <f t="shared" si="56"/>
        <v>GPI - Intercompany</v>
      </c>
      <c r="B918" s="33" t="str">
        <f t="shared" si="57"/>
        <v>GPI</v>
      </c>
      <c r="C918" s="33" t="str">
        <f t="shared" si="58"/>
        <v>11402-0000</v>
      </c>
      <c r="D918" s="64" t="s">
        <v>1264</v>
      </c>
      <c r="E918" s="64" t="s">
        <v>662</v>
      </c>
      <c r="F918" s="64" t="s">
        <v>230</v>
      </c>
      <c r="G918" s="64" t="s">
        <v>16</v>
      </c>
      <c r="H918" s="64" t="s">
        <v>39</v>
      </c>
      <c r="I918" s="64" t="s">
        <v>40</v>
      </c>
      <c r="J918" s="67">
        <v>0</v>
      </c>
      <c r="K918" s="62">
        <v>40000</v>
      </c>
      <c r="L918" s="33" t="e">
        <f>HLOOKUP(B918,#REF!,1,0)</f>
        <v>#REF!</v>
      </c>
      <c r="M918" s="33" t="str">
        <f t="shared" si="59"/>
        <v>BS</v>
      </c>
    </row>
    <row r="919" spans="1:13" s="33" customFormat="true" ht="12.75" customHeight="true">
      <c r="A919" s="33" t="str">
        <f t="shared" si="56"/>
        <v>GPI - Fixed Assets</v>
      </c>
      <c r="B919" s="33" t="str">
        <f t="shared" si="57"/>
        <v>GPI</v>
      </c>
      <c r="C919" s="33" t="str">
        <f t="shared" si="58"/>
        <v>15500-0000</v>
      </c>
      <c r="D919" s="64" t="s">
        <v>1265</v>
      </c>
      <c r="E919" s="64" t="s">
        <v>302</v>
      </c>
      <c r="F919" s="64" t="s">
        <v>230</v>
      </c>
      <c r="G919" s="64" t="s">
        <v>62</v>
      </c>
      <c r="H919" s="64" t="s">
        <v>63</v>
      </c>
      <c r="I919" s="64" t="s">
        <v>64</v>
      </c>
      <c r="J919" s="67">
        <v>0</v>
      </c>
      <c r="K919" s="62">
        <v>467009.29</v>
      </c>
      <c r="L919" s="33" t="e">
        <f>HLOOKUP(B919,#REF!,1,0)</f>
        <v>#REF!</v>
      </c>
      <c r="M919" s="33" t="str">
        <f t="shared" si="59"/>
        <v>BS</v>
      </c>
    </row>
    <row r="920" spans="1:13" s="33" customFormat="true" ht="14.25" customHeight="true">
      <c r="A920" s="33" t="str">
        <f t="shared" si="56"/>
        <v>GPI - Fixed Assets</v>
      </c>
      <c r="B920" s="33" t="str">
        <f t="shared" si="57"/>
        <v>GPI</v>
      </c>
      <c r="C920" s="33" t="str">
        <f t="shared" si="58"/>
        <v>16000-0000</v>
      </c>
      <c r="D920" s="64" t="s">
        <v>1266</v>
      </c>
      <c r="E920" s="64" t="s">
        <v>304</v>
      </c>
      <c r="F920" s="64" t="s">
        <v>230</v>
      </c>
      <c r="G920" s="64" t="s">
        <v>16</v>
      </c>
      <c r="H920" s="33" t="s">
        <v>63</v>
      </c>
      <c r="I920" s="64" t="s">
        <v>18</v>
      </c>
      <c r="J920" s="67">
        <v>0</v>
      </c>
      <c r="K920" s="62">
        <v>17537.5</v>
      </c>
      <c r="L920" s="33" t="e">
        <f>HLOOKUP(B920,#REF!,1,0)</f>
        <v>#REF!</v>
      </c>
      <c r="M920" s="33" t="str">
        <f t="shared" si="59"/>
        <v>BS</v>
      </c>
    </row>
    <row r="921" spans="1:13" s="33" customFormat="true" ht="12.75" customHeight="true">
      <c r="A921" s="33" t="str">
        <f t="shared" si="56"/>
        <v>GPI - Fixed Assets</v>
      </c>
      <c r="B921" s="33" t="str">
        <f t="shared" si="57"/>
        <v>GPI</v>
      </c>
      <c r="C921" s="33" t="str">
        <f t="shared" si="58"/>
        <v>17000-0000</v>
      </c>
      <c r="D921" s="64" t="s">
        <v>1267</v>
      </c>
      <c r="E921" s="64" t="s">
        <v>306</v>
      </c>
      <c r="F921" s="64" t="s">
        <v>230</v>
      </c>
      <c r="G921" s="64" t="s">
        <v>62</v>
      </c>
      <c r="H921" s="64" t="s">
        <v>63</v>
      </c>
      <c r="I921" s="64" t="s">
        <v>64</v>
      </c>
      <c r="J921" s="67">
        <v>0</v>
      </c>
      <c r="K921" s="62">
        <v>-804199</v>
      </c>
      <c r="L921" s="33" t="e">
        <f>HLOOKUP(B921,#REF!,1,0)</f>
        <v>#REF!</v>
      </c>
      <c r="M921" s="33" t="str">
        <f t="shared" si="59"/>
        <v>BS</v>
      </c>
    </row>
    <row r="922" spans="1:13" s="33" customFormat="true" ht="12.75" customHeight="true">
      <c r="A922" s="33" t="str">
        <f t="shared" si="56"/>
        <v>GPI - Fixed Assets</v>
      </c>
      <c r="B922" s="33" t="str">
        <f t="shared" si="57"/>
        <v>GPI</v>
      </c>
      <c r="C922" s="33" t="str">
        <f t="shared" si="58"/>
        <v>18000-0000</v>
      </c>
      <c r="D922" s="64" t="s">
        <v>1268</v>
      </c>
      <c r="E922" s="64" t="s">
        <v>308</v>
      </c>
      <c r="F922" s="64" t="s">
        <v>230</v>
      </c>
      <c r="G922" s="64" t="s">
        <v>62</v>
      </c>
      <c r="H922" s="64" t="s">
        <v>63</v>
      </c>
      <c r="I922" s="64" t="s">
        <v>64</v>
      </c>
      <c r="J922" s="67">
        <v>0</v>
      </c>
      <c r="K922" s="62">
        <v>-19138</v>
      </c>
      <c r="L922" s="33" t="e">
        <f>HLOOKUP(B922,#REF!,1,0)</f>
        <v>#REF!</v>
      </c>
      <c r="M922" s="33" t="str">
        <f t="shared" si="59"/>
        <v>BS</v>
      </c>
    </row>
    <row r="923" spans="1:13" s="33" customFormat="true" ht="12.75" customHeight="true">
      <c r="A923" s="33" t="str">
        <f t="shared" si="56"/>
        <v>GPI - Deposits</v>
      </c>
      <c r="B923" s="33" t="str">
        <f t="shared" si="57"/>
        <v>GPI</v>
      </c>
      <c r="C923" s="33" t="str">
        <f t="shared" si="58"/>
        <v>19000-0000</v>
      </c>
      <c r="D923" s="64" t="s">
        <v>1269</v>
      </c>
      <c r="E923" s="64" t="s">
        <v>342</v>
      </c>
      <c r="F923" s="64" t="s">
        <v>230</v>
      </c>
      <c r="G923" s="64" t="s">
        <v>62</v>
      </c>
      <c r="H923" s="64" t="s">
        <v>80</v>
      </c>
      <c r="I923" s="64" t="s">
        <v>81</v>
      </c>
      <c r="J923" s="67">
        <v>0</v>
      </c>
      <c r="K923" s="62">
        <v>932.5</v>
      </c>
      <c r="L923" s="33" t="e">
        <f>HLOOKUP(B923,#REF!,1,0)</f>
        <v>#REF!</v>
      </c>
      <c r="M923" s="33" t="str">
        <f t="shared" si="59"/>
        <v>BS</v>
      </c>
    </row>
    <row r="924" spans="1:13" s="33" customFormat="true" ht="12.75" customHeight="true">
      <c r="A924" s="33" t="str">
        <f t="shared" si="56"/>
        <v>GPI - Deposits</v>
      </c>
      <c r="B924" s="33" t="str">
        <f t="shared" si="57"/>
        <v>GPI</v>
      </c>
      <c r="C924" s="33" t="str">
        <f t="shared" si="58"/>
        <v>19001-0000</v>
      </c>
      <c r="D924" s="64" t="s">
        <v>1270</v>
      </c>
      <c r="E924" s="64" t="s">
        <v>344</v>
      </c>
      <c r="F924" s="64" t="s">
        <v>230</v>
      </c>
      <c r="G924" s="64" t="s">
        <v>62</v>
      </c>
      <c r="H924" s="64" t="s">
        <v>80</v>
      </c>
      <c r="I924" s="64" t="s">
        <v>81</v>
      </c>
      <c r="J924" s="67">
        <v>0</v>
      </c>
      <c r="K924" s="62">
        <v>-2283.79</v>
      </c>
      <c r="L924" s="33" t="e">
        <f>HLOOKUP(B924,#REF!,1,0)</f>
        <v>#REF!</v>
      </c>
      <c r="M924" s="33" t="str">
        <f t="shared" si="59"/>
        <v>BS</v>
      </c>
    </row>
    <row r="925" spans="1:13" s="33" customFormat="true" ht="12.75" customHeight="true">
      <c r="A925" s="33" t="str">
        <f t="shared" si="56"/>
        <v>GPI - AP-Accr Exp</v>
      </c>
      <c r="B925" s="33" t="str">
        <f t="shared" si="57"/>
        <v>GPI</v>
      </c>
      <c r="C925" s="33" t="str">
        <f t="shared" si="58"/>
        <v>23509-0000</v>
      </c>
      <c r="D925" s="64" t="s">
        <v>1271</v>
      </c>
      <c r="E925" s="64" t="s">
        <v>111</v>
      </c>
      <c r="F925" s="64" t="s">
        <v>230</v>
      </c>
      <c r="G925" s="64" t="s">
        <v>97</v>
      </c>
      <c r="H925" s="64" t="s">
        <v>98</v>
      </c>
      <c r="I925" s="64" t="s">
        <v>102</v>
      </c>
      <c r="J925" s="67">
        <v>0</v>
      </c>
      <c r="K925" s="62">
        <v>-7497.56</v>
      </c>
      <c r="L925" s="33" t="e">
        <f>HLOOKUP(B925,#REF!,1,0)</f>
        <v>#REF!</v>
      </c>
      <c r="M925" s="33" t="str">
        <f t="shared" si="59"/>
        <v>BS</v>
      </c>
    </row>
    <row r="926" spans="1:13" s="33" customFormat="true" ht="12.75" customHeight="true">
      <c r="A926" s="33" t="str">
        <f t="shared" si="56"/>
        <v>GPI - AP-Accr Exp</v>
      </c>
      <c r="B926" s="33" t="str">
        <f t="shared" si="57"/>
        <v>GPI</v>
      </c>
      <c r="C926" s="33" t="str">
        <f t="shared" si="58"/>
        <v>24001-0000</v>
      </c>
      <c r="D926" s="64" t="s">
        <v>1272</v>
      </c>
      <c r="E926" s="64" t="s">
        <v>748</v>
      </c>
      <c r="F926" s="64" t="s">
        <v>230</v>
      </c>
      <c r="G926" s="64" t="s">
        <v>97</v>
      </c>
      <c r="H926" s="64" t="s">
        <v>98</v>
      </c>
      <c r="I926" s="64" t="s">
        <v>102</v>
      </c>
      <c r="J926" s="67">
        <v>0</v>
      </c>
      <c r="K926" s="62">
        <v>-800</v>
      </c>
      <c r="L926" s="33" t="e">
        <f>HLOOKUP(B926,#REF!,1,0)</f>
        <v>#REF!</v>
      </c>
      <c r="M926" s="33" t="str">
        <f t="shared" si="59"/>
        <v>BS</v>
      </c>
    </row>
    <row r="927" spans="1:13" s="33" customFormat="true" ht="12.75" customHeight="true">
      <c r="A927" s="33" t="str">
        <f t="shared" si="56"/>
        <v>GPI - InterCo Notes</v>
      </c>
      <c r="B927" s="33" t="str">
        <f t="shared" si="57"/>
        <v>GPI</v>
      </c>
      <c r="C927" s="33" t="str">
        <f t="shared" si="58"/>
        <v>25100-0000</v>
      </c>
      <c r="D927" s="64" t="s">
        <v>1273</v>
      </c>
      <c r="E927" s="64" t="s">
        <v>1274</v>
      </c>
      <c r="F927" s="64" t="s">
        <v>230</v>
      </c>
      <c r="G927" s="64" t="s">
        <v>16</v>
      </c>
      <c r="H927" s="64" t="s">
        <v>315</v>
      </c>
      <c r="I927" s="64" t="s">
        <v>40</v>
      </c>
      <c r="J927" s="67">
        <v>0</v>
      </c>
      <c r="K927" s="62">
        <v>-285000</v>
      </c>
      <c r="L927" s="33" t="e">
        <f>HLOOKUP(B927,#REF!,1,0)</f>
        <v>#REF!</v>
      </c>
      <c r="M927" s="33" t="str">
        <f t="shared" si="59"/>
        <v>BS</v>
      </c>
    </row>
    <row r="928" spans="1:13" s="33" customFormat="true" ht="12.75" customHeight="true">
      <c r="A928" s="33" t="str">
        <f t="shared" si="56"/>
        <v>GPI - Principal</v>
      </c>
      <c r="B928" s="33" t="str">
        <f t="shared" si="57"/>
        <v>GPI</v>
      </c>
      <c r="C928" s="33" t="str">
        <f t="shared" si="58"/>
        <v>26800-0000</v>
      </c>
      <c r="D928" s="64" t="s">
        <v>1275</v>
      </c>
      <c r="E928" s="64" t="s">
        <v>402</v>
      </c>
      <c r="F928" s="64" t="s">
        <v>230</v>
      </c>
      <c r="G928" s="64" t="s">
        <v>97</v>
      </c>
      <c r="H928" s="64" t="s">
        <v>127</v>
      </c>
      <c r="I928" s="64" t="s">
        <v>128</v>
      </c>
      <c r="J928" s="67">
        <v>0</v>
      </c>
      <c r="K928" s="62">
        <v>-150000</v>
      </c>
      <c r="L928" s="33" t="e">
        <f>HLOOKUP(B928,#REF!,1,0)</f>
        <v>#REF!</v>
      </c>
      <c r="M928" s="33" t="str">
        <f t="shared" si="59"/>
        <v>BS</v>
      </c>
    </row>
    <row r="929" spans="1:13" s="33" customFormat="true" ht="12.75" customHeight="true">
      <c r="A929" s="33" t="str">
        <f t="shared" si="56"/>
        <v>GPI - SH Dist</v>
      </c>
      <c r="B929" s="33" t="str">
        <f t="shared" si="57"/>
        <v>GPI</v>
      </c>
      <c r="C929" s="33" t="str">
        <f t="shared" si="58"/>
        <v>30700-0000</v>
      </c>
      <c r="D929" s="64" t="s">
        <v>1276</v>
      </c>
      <c r="E929" s="64" t="s">
        <v>319</v>
      </c>
      <c r="F929" s="64" t="s">
        <v>230</v>
      </c>
      <c r="G929" s="64" t="s">
        <v>142</v>
      </c>
      <c r="H929" s="64" t="s">
        <v>143</v>
      </c>
      <c r="I929" s="64" t="s">
        <v>144</v>
      </c>
      <c r="J929" s="67">
        <v>-5916.66</v>
      </c>
      <c r="K929" s="62">
        <v>828583.41</v>
      </c>
      <c r="L929" s="33" t="e">
        <f>HLOOKUP(B929,#REF!,1,0)</f>
        <v>#REF!</v>
      </c>
      <c r="M929" s="33" t="str">
        <f t="shared" si="59"/>
        <v>BS</v>
      </c>
    </row>
    <row r="930" spans="1:13" s="33" customFormat="true" ht="12.75" customHeight="true">
      <c r="A930" s="33" t="str">
        <f t="shared" si="56"/>
        <v>GPI - SH Dist</v>
      </c>
      <c r="B930" s="33" t="str">
        <f t="shared" si="57"/>
        <v>GPI</v>
      </c>
      <c r="C930" s="33" t="str">
        <f t="shared" si="58"/>
        <v>31001-0000</v>
      </c>
      <c r="D930" s="64" t="s">
        <v>1277</v>
      </c>
      <c r="E930" s="64" t="s">
        <v>1278</v>
      </c>
      <c r="F930" s="64" t="s">
        <v>230</v>
      </c>
      <c r="G930" s="64" t="s">
        <v>142</v>
      </c>
      <c r="H930" s="64" t="s">
        <v>143</v>
      </c>
      <c r="I930" s="64" t="s">
        <v>144</v>
      </c>
      <c r="J930" s="67">
        <v>0</v>
      </c>
      <c r="K930" s="62">
        <v>-6715000</v>
      </c>
      <c r="L930" s="33" t="e">
        <f>HLOOKUP(B930,#REF!,1,0)</f>
        <v>#REF!</v>
      </c>
      <c r="M930" s="33" t="str">
        <f t="shared" si="59"/>
        <v>BS</v>
      </c>
    </row>
    <row r="931" spans="1:13" s="33" customFormat="true" ht="12.75" customHeight="true">
      <c r="A931" s="33" t="str">
        <f t="shared" si="56"/>
        <v>GPI - SH Dist</v>
      </c>
      <c r="B931" s="33" t="str">
        <f t="shared" si="57"/>
        <v>GPI</v>
      </c>
      <c r="C931" s="33" t="str">
        <f t="shared" si="58"/>
        <v>31002-0000</v>
      </c>
      <c r="D931" s="64" t="s">
        <v>1279</v>
      </c>
      <c r="E931" s="64" t="s">
        <v>1280</v>
      </c>
      <c r="F931" s="64" t="s">
        <v>230</v>
      </c>
      <c r="G931" s="64" t="s">
        <v>142</v>
      </c>
      <c r="H931" s="64" t="s">
        <v>143</v>
      </c>
      <c r="I931" s="64" t="s">
        <v>144</v>
      </c>
      <c r="J931" s="67">
        <v>0</v>
      </c>
      <c r="K931" s="62">
        <v>-100000</v>
      </c>
      <c r="L931" s="33" t="e">
        <f>HLOOKUP(B931,#REF!,1,0)</f>
        <v>#REF!</v>
      </c>
      <c r="M931" s="33" t="str">
        <f t="shared" si="59"/>
        <v>BS</v>
      </c>
    </row>
    <row r="932" spans="1:13" s="33" customFormat="true" ht="12.75" customHeight="true">
      <c r="A932" s="33" t="str">
        <f t="shared" si="56"/>
        <v>GPI - Sh dist</v>
      </c>
      <c r="B932" s="33" t="str">
        <f t="shared" si="57"/>
        <v>GPI</v>
      </c>
      <c r="C932" s="33" t="str">
        <f t="shared" si="58"/>
        <v>31003-0000</v>
      </c>
      <c r="D932" s="64" t="s">
        <v>1281</v>
      </c>
      <c r="E932" s="64" t="s">
        <v>1282</v>
      </c>
      <c r="F932" s="64" t="s">
        <v>230</v>
      </c>
      <c r="G932" s="64" t="s">
        <v>142</v>
      </c>
      <c r="H932" s="64" t="s">
        <v>1283</v>
      </c>
      <c r="I932" s="64" t="s">
        <v>144</v>
      </c>
      <c r="J932" s="67">
        <v>0</v>
      </c>
      <c r="K932" s="62">
        <v>-100000</v>
      </c>
      <c r="L932" s="33" t="e">
        <f>HLOOKUP(B932,#REF!,1,0)</f>
        <v>#REF!</v>
      </c>
      <c r="M932" s="33" t="str">
        <f t="shared" si="59"/>
        <v>BS</v>
      </c>
    </row>
    <row r="933" spans="1:13" s="33" customFormat="true" ht="12.75" customHeight="true">
      <c r="A933" s="33" t="str">
        <f t="shared" si="56"/>
        <v>GPI - SH Dist</v>
      </c>
      <c r="B933" s="33" t="str">
        <f t="shared" si="57"/>
        <v>GPI</v>
      </c>
      <c r="C933" s="33" t="str">
        <f t="shared" si="58"/>
        <v>31004-0000</v>
      </c>
      <c r="D933" s="64" t="s">
        <v>1284</v>
      </c>
      <c r="E933" s="64" t="s">
        <v>1285</v>
      </c>
      <c r="F933" s="64" t="s">
        <v>230</v>
      </c>
      <c r="G933" s="64" t="s">
        <v>142</v>
      </c>
      <c r="H933" s="64" t="s">
        <v>143</v>
      </c>
      <c r="I933" s="64" t="s">
        <v>144</v>
      </c>
      <c r="J933" s="67">
        <v>0</v>
      </c>
      <c r="K933" s="62">
        <v>-50000</v>
      </c>
      <c r="L933" s="33" t="e">
        <f>HLOOKUP(B933,#REF!,1,0)</f>
        <v>#REF!</v>
      </c>
      <c r="M933" s="33" t="str">
        <f t="shared" si="59"/>
        <v>BS</v>
      </c>
    </row>
    <row r="934" spans="1:13" s="33" customFormat="true" ht="12.75" customHeight="true">
      <c r="A934" s="33" t="str">
        <f t="shared" si="56"/>
        <v>GPI - SH Dist</v>
      </c>
      <c r="B934" s="33" t="str">
        <f t="shared" si="57"/>
        <v>GPI</v>
      </c>
      <c r="C934" s="33" t="str">
        <f t="shared" si="58"/>
        <v>31005-0000</v>
      </c>
      <c r="D934" s="64" t="s">
        <v>1286</v>
      </c>
      <c r="E934" s="64" t="s">
        <v>1287</v>
      </c>
      <c r="F934" s="64" t="s">
        <v>230</v>
      </c>
      <c r="G934" s="64" t="s">
        <v>142</v>
      </c>
      <c r="H934" s="64" t="s">
        <v>143</v>
      </c>
      <c r="I934" s="64" t="s">
        <v>144</v>
      </c>
      <c r="J934" s="67">
        <v>0</v>
      </c>
      <c r="K934" s="62">
        <v>-35000</v>
      </c>
      <c r="L934" s="33" t="e">
        <f>HLOOKUP(B934,#REF!,1,0)</f>
        <v>#REF!</v>
      </c>
      <c r="M934" s="33" t="str">
        <f t="shared" si="59"/>
        <v>BS</v>
      </c>
    </row>
    <row r="935" spans="1:13" s="33" customFormat="true" ht="12.75" customHeight="true">
      <c r="A935" s="33" t="str">
        <f t="shared" si="56"/>
        <v>GPI - Retained Earnings</v>
      </c>
      <c r="B935" s="33" t="str">
        <f t="shared" si="57"/>
        <v>GPI</v>
      </c>
      <c r="C935" s="33" t="str">
        <f t="shared" si="58"/>
        <v>32000-0000</v>
      </c>
      <c r="D935" s="64" t="s">
        <v>1288</v>
      </c>
      <c r="E935" s="64" t="s">
        <v>234</v>
      </c>
      <c r="F935" s="64" t="s">
        <v>230</v>
      </c>
      <c r="G935" s="64" t="s">
        <v>142</v>
      </c>
      <c r="H935" s="64" t="s">
        <v>149</v>
      </c>
      <c r="I935" s="64" t="s">
        <v>235</v>
      </c>
      <c r="J935" s="67">
        <v>0</v>
      </c>
      <c r="K935" s="62">
        <v>-3391266.2</v>
      </c>
      <c r="L935" s="33" t="e">
        <f>HLOOKUP(B935,#REF!,1,0)</f>
        <v>#REF!</v>
      </c>
      <c r="M935" s="33" t="str">
        <f t="shared" si="59"/>
        <v>BS</v>
      </c>
    </row>
    <row r="936" spans="1:13" s="33" customFormat="true" ht="12.75" customHeight="true">
      <c r="A936" s="33" t="str">
        <f t="shared" si="56"/>
        <v>GPI - SH Dist</v>
      </c>
      <c r="B936" s="33" t="str">
        <f t="shared" si="57"/>
        <v>GPI</v>
      </c>
      <c r="C936" s="33" t="str">
        <f t="shared" si="58"/>
        <v>36001-0000</v>
      </c>
      <c r="D936" s="64" t="s">
        <v>1289</v>
      </c>
      <c r="E936" s="64" t="s">
        <v>1290</v>
      </c>
      <c r="F936" s="64" t="s">
        <v>230</v>
      </c>
      <c r="G936" s="64" t="s">
        <v>142</v>
      </c>
      <c r="H936" s="64" t="s">
        <v>143</v>
      </c>
      <c r="I936" s="64" t="s">
        <v>144</v>
      </c>
      <c r="J936" s="67">
        <v>0</v>
      </c>
      <c r="K936" s="62">
        <v>10914146.56</v>
      </c>
      <c r="L936" s="33" t="e">
        <f>HLOOKUP(B936,#REF!,1,0)</f>
        <v>#REF!</v>
      </c>
      <c r="M936" s="33" t="str">
        <f t="shared" si="59"/>
        <v>BS</v>
      </c>
    </row>
    <row r="937" spans="1:13" s="33" customFormat="true" ht="12.75" customHeight="true">
      <c r="A937" s="33" t="str">
        <f t="shared" si="56"/>
        <v>GPI - SH Dist</v>
      </c>
      <c r="B937" s="33" t="str">
        <f t="shared" si="57"/>
        <v>GPI</v>
      </c>
      <c r="C937" s="33" t="str">
        <f t="shared" si="58"/>
        <v>36002-0000</v>
      </c>
      <c r="D937" s="64" t="s">
        <v>1291</v>
      </c>
      <c r="E937" s="64" t="s">
        <v>1292</v>
      </c>
      <c r="F937" s="64" t="s">
        <v>230</v>
      </c>
      <c r="G937" s="64" t="s">
        <v>142</v>
      </c>
      <c r="H937" s="64" t="s">
        <v>143</v>
      </c>
      <c r="I937" s="64" t="s">
        <v>144</v>
      </c>
      <c r="J937" s="67">
        <v>2500</v>
      </c>
      <c r="K937" s="62">
        <v>30000.01</v>
      </c>
      <c r="L937" s="33" t="e">
        <f>HLOOKUP(B937,#REF!,1,0)</f>
        <v>#REF!</v>
      </c>
      <c r="M937" s="33" t="str">
        <f t="shared" si="59"/>
        <v>BS</v>
      </c>
    </row>
    <row r="938" spans="1:13" s="33" customFormat="true" ht="12.75" customHeight="true">
      <c r="A938" s="33" t="str">
        <f t="shared" si="56"/>
        <v>GPI - SH Dist</v>
      </c>
      <c r="B938" s="33" t="str">
        <f t="shared" si="57"/>
        <v>GPI</v>
      </c>
      <c r="C938" s="33" t="str">
        <f t="shared" si="58"/>
        <v>36003-0000</v>
      </c>
      <c r="D938" s="64" t="s">
        <v>1293</v>
      </c>
      <c r="E938" s="64" t="s">
        <v>1294</v>
      </c>
      <c r="F938" s="64" t="s">
        <v>230</v>
      </c>
      <c r="G938" s="64" t="s">
        <v>142</v>
      </c>
      <c r="H938" s="64" t="s">
        <v>143</v>
      </c>
      <c r="I938" s="64" t="s">
        <v>144</v>
      </c>
      <c r="J938" s="67">
        <v>2000</v>
      </c>
      <c r="K938" s="62">
        <v>26583.33</v>
      </c>
      <c r="L938" s="33" t="e">
        <f>HLOOKUP(B938,#REF!,1,0)</f>
        <v>#REF!</v>
      </c>
      <c r="M938" s="33" t="str">
        <f t="shared" si="59"/>
        <v>BS</v>
      </c>
    </row>
    <row r="939" spans="1:13" s="33" customFormat="true" ht="12.75" customHeight="true">
      <c r="A939" s="33" t="str">
        <f t="shared" si="56"/>
        <v>GPI - SH dist</v>
      </c>
      <c r="B939" s="33" t="str">
        <f t="shared" si="57"/>
        <v>GPI</v>
      </c>
      <c r="C939" s="33" t="str">
        <f t="shared" si="58"/>
        <v>36004-0000</v>
      </c>
      <c r="D939" s="64" t="s">
        <v>1295</v>
      </c>
      <c r="E939" s="64" t="s">
        <v>1296</v>
      </c>
      <c r="F939" s="64" t="s">
        <v>230</v>
      </c>
      <c r="G939" s="64" t="s">
        <v>142</v>
      </c>
      <c r="H939" s="64" t="s">
        <v>1297</v>
      </c>
      <c r="I939" s="64" t="s">
        <v>144</v>
      </c>
      <c r="J939" s="67">
        <v>833.33</v>
      </c>
      <c r="K939" s="62">
        <v>10833.29</v>
      </c>
      <c r="L939" s="33" t="e">
        <f>HLOOKUP(B939,#REF!,1,0)</f>
        <v>#REF!</v>
      </c>
      <c r="M939" s="33" t="str">
        <f t="shared" si="59"/>
        <v>BS</v>
      </c>
    </row>
    <row r="940" spans="1:13" s="33" customFormat="true" ht="12.75" customHeight="true">
      <c r="A940" s="33" t="str">
        <f t="shared" si="56"/>
        <v>GPI - SH Dist</v>
      </c>
      <c r="B940" s="33" t="str">
        <f t="shared" si="57"/>
        <v>GPI</v>
      </c>
      <c r="C940" s="33" t="str">
        <f t="shared" si="58"/>
        <v>36005-0000</v>
      </c>
      <c r="D940" s="64" t="s">
        <v>1298</v>
      </c>
      <c r="E940" s="64" t="s">
        <v>1299</v>
      </c>
      <c r="F940" s="64" t="s">
        <v>230</v>
      </c>
      <c r="G940" s="64" t="s">
        <v>142</v>
      </c>
      <c r="H940" s="64" t="s">
        <v>143</v>
      </c>
      <c r="I940" s="64" t="s">
        <v>144</v>
      </c>
      <c r="J940" s="67">
        <v>583.33</v>
      </c>
      <c r="K940" s="62">
        <v>6999.96</v>
      </c>
      <c r="L940" s="33" t="e">
        <f>HLOOKUP(B940,#REF!,1,0)</f>
        <v>#REF!</v>
      </c>
      <c r="M940" s="33" t="str">
        <f t="shared" si="59"/>
        <v>BS</v>
      </c>
    </row>
    <row r="941" spans="1:13" s="33" customFormat="true" ht="12.75" customHeight="true">
      <c r="A941" s="33" t="str">
        <f t="shared" si="56"/>
        <v>GRA - Cash</v>
      </c>
      <c r="B941" s="33" t="str">
        <f t="shared" si="57"/>
        <v>GRA</v>
      </c>
      <c r="C941" s="33" t="str">
        <f t="shared" si="58"/>
        <v>10001-0000</v>
      </c>
      <c r="D941" s="283" t="s">
        <v>1300</v>
      </c>
      <c r="E941" s="64" t="s">
        <v>240</v>
      </c>
      <c r="F941" s="64" t="s">
        <v>230</v>
      </c>
      <c r="G941" s="64" t="s">
        <v>16</v>
      </c>
      <c r="H941" s="64" t="s">
        <v>25</v>
      </c>
      <c r="I941" s="64" t="s">
        <v>18</v>
      </c>
      <c r="J941" s="67">
        <v>-165893.16</v>
      </c>
      <c r="K941" s="62">
        <v>23105.06</v>
      </c>
      <c r="L941" s="33" t="e">
        <f>HLOOKUP(B941,#REF!,1,0)</f>
        <v>#REF!</v>
      </c>
      <c r="M941" s="33" t="str">
        <f t="shared" si="59"/>
        <v>BS</v>
      </c>
    </row>
    <row r="942" spans="1:13" s="33" customFormat="true" ht="12.75" customHeight="true">
      <c r="A942" s="33" t="str">
        <f t="shared" si="56"/>
        <v>GRA - Intercompany</v>
      </c>
      <c r="B942" s="33" t="str">
        <f t="shared" si="57"/>
        <v>GRA</v>
      </c>
      <c r="C942" s="33" t="str">
        <f t="shared" si="58"/>
        <v>11216-0000</v>
      </c>
      <c r="D942" s="283" t="s">
        <v>1301</v>
      </c>
      <c r="E942" s="64" t="s">
        <v>242</v>
      </c>
      <c r="F942" s="64" t="s">
        <v>230</v>
      </c>
      <c r="G942" s="64" t="s">
        <v>16</v>
      </c>
      <c r="H942" s="64" t="s">
        <v>39</v>
      </c>
      <c r="I942" s="64" t="s">
        <v>40</v>
      </c>
      <c r="J942" s="67">
        <v>0</v>
      </c>
      <c r="K942" s="62">
        <v>540657.07</v>
      </c>
      <c r="L942" s="33" t="e">
        <f>HLOOKUP(B942,#REF!,1,0)</f>
        <v>#REF!</v>
      </c>
      <c r="M942" s="33" t="str">
        <f t="shared" si="59"/>
        <v>BS</v>
      </c>
    </row>
    <row r="943" spans="1:13" s="33" customFormat="true" ht="12.75" customHeight="true">
      <c r="A943" s="33" t="str">
        <f t="shared" si="56"/>
        <v>GRA - Intercompany</v>
      </c>
      <c r="B943" s="33" t="str">
        <f t="shared" si="57"/>
        <v>GRA</v>
      </c>
      <c r="C943" s="33" t="str">
        <f t="shared" si="58"/>
        <v>11301-0000</v>
      </c>
      <c r="D943" s="283" t="s">
        <v>1302</v>
      </c>
      <c r="E943" s="64" t="s">
        <v>244</v>
      </c>
      <c r="F943" s="64" t="s">
        <v>230</v>
      </c>
      <c r="G943" s="64" t="s">
        <v>16</v>
      </c>
      <c r="H943" s="64" t="s">
        <v>39</v>
      </c>
      <c r="I943" s="64" t="s">
        <v>40</v>
      </c>
      <c r="J943" s="67">
        <v>0</v>
      </c>
      <c r="K943" s="62">
        <v>-9900</v>
      </c>
      <c r="L943" s="33" t="e">
        <f>HLOOKUP(B943,#REF!,1,0)</f>
        <v>#REF!</v>
      </c>
      <c r="M943" s="33" t="str">
        <f t="shared" si="59"/>
        <v>BS</v>
      </c>
    </row>
    <row r="944" spans="1:13" s="33" customFormat="true" ht="12.75" customHeight="true">
      <c r="A944" s="33" t="str">
        <f t="shared" si="56"/>
        <v>GRA - Intercompany</v>
      </c>
      <c r="B944" s="33" t="str">
        <f t="shared" si="57"/>
        <v>GRA</v>
      </c>
      <c r="C944" s="33" t="str">
        <f t="shared" si="58"/>
        <v>11302-0000</v>
      </c>
      <c r="D944" s="283" t="s">
        <v>1303</v>
      </c>
      <c r="E944" s="64" t="s">
        <v>246</v>
      </c>
      <c r="F944" s="64" t="s">
        <v>230</v>
      </c>
      <c r="G944" s="64" t="s">
        <v>16</v>
      </c>
      <c r="H944" s="64" t="s">
        <v>39</v>
      </c>
      <c r="I944" s="64" t="s">
        <v>40</v>
      </c>
      <c r="J944" s="67">
        <v>0</v>
      </c>
      <c r="K944" s="62">
        <v>30100</v>
      </c>
      <c r="L944" s="33" t="e">
        <f>HLOOKUP(B944,#REF!,1,0)</f>
        <v>#REF!</v>
      </c>
      <c r="M944" s="33" t="str">
        <f t="shared" si="59"/>
        <v>BS</v>
      </c>
    </row>
    <row r="945" spans="1:13" s="33" customFormat="true" ht="12.75" customHeight="true">
      <c r="A945" s="33" t="str">
        <f t="shared" si="56"/>
        <v>GRA - Intercompany</v>
      </c>
      <c r="B945" s="33" t="str">
        <f t="shared" si="57"/>
        <v>GRA</v>
      </c>
      <c r="C945" s="33" t="str">
        <f t="shared" si="58"/>
        <v>11304-0000</v>
      </c>
      <c r="D945" s="283" t="s">
        <v>1304</v>
      </c>
      <c r="E945" s="64" t="s">
        <v>250</v>
      </c>
      <c r="F945" s="64" t="s">
        <v>230</v>
      </c>
      <c r="G945" s="64" t="s">
        <v>16</v>
      </c>
      <c r="H945" s="64" t="s">
        <v>39</v>
      </c>
      <c r="I945" s="64" t="s">
        <v>40</v>
      </c>
      <c r="J945" s="67">
        <v>0</v>
      </c>
      <c r="K945" s="62">
        <v>-79900</v>
      </c>
      <c r="L945" s="33" t="e">
        <f>HLOOKUP(B945,#REF!,1,0)</f>
        <v>#REF!</v>
      </c>
      <c r="M945" s="33" t="str">
        <f t="shared" si="59"/>
        <v>BS</v>
      </c>
    </row>
    <row r="946" spans="1:13" s="33" customFormat="true" ht="12.75" customHeight="true">
      <c r="A946" s="33" t="str">
        <f t="shared" si="56"/>
        <v>GRA - Intercompany</v>
      </c>
      <c r="B946" s="33" t="str">
        <f t="shared" si="57"/>
        <v>GRA</v>
      </c>
      <c r="C946" s="33" t="str">
        <f t="shared" si="58"/>
        <v>11310-0000</v>
      </c>
      <c r="D946" s="283" t="s">
        <v>1305</v>
      </c>
      <c r="E946" s="64" t="s">
        <v>256</v>
      </c>
      <c r="F946" s="64" t="s">
        <v>230</v>
      </c>
      <c r="G946" s="64" t="s">
        <v>16</v>
      </c>
      <c r="H946" s="64" t="s">
        <v>39</v>
      </c>
      <c r="I946" s="64" t="s">
        <v>40</v>
      </c>
      <c r="J946" s="67">
        <v>0</v>
      </c>
      <c r="K946" s="62">
        <v>-249900</v>
      </c>
      <c r="L946" s="33" t="e">
        <f>HLOOKUP(B946,#REF!,1,0)</f>
        <v>#REF!</v>
      </c>
      <c r="M946" s="33" t="str">
        <f t="shared" si="59"/>
        <v>BS</v>
      </c>
    </row>
    <row r="947" spans="1:13" s="33" customFormat="true" ht="12.75" customHeight="true">
      <c r="A947" s="33" t="str">
        <f t="shared" si="56"/>
        <v>GRA - Intercompany</v>
      </c>
      <c r="B947" s="33" t="str">
        <f t="shared" si="57"/>
        <v>GRA</v>
      </c>
      <c r="C947" s="33" t="str">
        <f t="shared" si="58"/>
        <v>11314-0000</v>
      </c>
      <c r="D947" s="283" t="s">
        <v>1306</v>
      </c>
      <c r="E947" s="64" t="s">
        <v>365</v>
      </c>
      <c r="F947" s="64" t="s">
        <v>230</v>
      </c>
      <c r="G947" s="64" t="s">
        <v>16</v>
      </c>
      <c r="H947" s="64" t="s">
        <v>39</v>
      </c>
      <c r="I947" s="64" t="s">
        <v>40</v>
      </c>
      <c r="J947" s="67">
        <v>0</v>
      </c>
      <c r="K947" s="62">
        <v>-7912921.76</v>
      </c>
      <c r="L947" s="33" t="e">
        <f>HLOOKUP(B947,#REF!,1,0)</f>
        <v>#REF!</v>
      </c>
      <c r="M947" s="33" t="str">
        <f t="shared" si="59"/>
        <v>BS</v>
      </c>
    </row>
    <row r="948" spans="1:13" s="33" customFormat="true" ht="12.75" customHeight="true">
      <c r="A948" s="33" t="str">
        <f t="shared" si="56"/>
        <v>GRA - Intercompany</v>
      </c>
      <c r="B948" s="33" t="str">
        <f t="shared" si="57"/>
        <v>GRA</v>
      </c>
      <c r="C948" s="33" t="str">
        <f t="shared" si="58"/>
        <v>11316-0000</v>
      </c>
      <c r="D948" s="283" t="s">
        <v>1307</v>
      </c>
      <c r="E948" s="64" t="s">
        <v>264</v>
      </c>
      <c r="F948" s="64" t="s">
        <v>230</v>
      </c>
      <c r="G948" s="64" t="s">
        <v>16</v>
      </c>
      <c r="H948" s="64" t="s">
        <v>39</v>
      </c>
      <c r="I948" s="64" t="s">
        <v>40</v>
      </c>
      <c r="J948" s="67">
        <v>0</v>
      </c>
      <c r="K948" s="62">
        <v>10000</v>
      </c>
      <c r="L948" s="33" t="e">
        <f>HLOOKUP(B948,#REF!,1,0)</f>
        <v>#REF!</v>
      </c>
      <c r="M948" s="33" t="str">
        <f t="shared" si="59"/>
        <v>BS</v>
      </c>
    </row>
    <row r="949" spans="1:13" s="33" customFormat="true" ht="12.75" customHeight="true">
      <c r="A949" s="33" t="str">
        <f t="shared" si="56"/>
        <v>GRA - Intercompany</v>
      </c>
      <c r="B949" s="33" t="str">
        <f t="shared" si="57"/>
        <v>GRA</v>
      </c>
      <c r="C949" s="33" t="str">
        <f t="shared" si="58"/>
        <v>11322-0000</v>
      </c>
      <c r="D949" s="283" t="s">
        <v>1308</v>
      </c>
      <c r="E949" s="64" t="s">
        <v>270</v>
      </c>
      <c r="F949" s="64" t="s">
        <v>230</v>
      </c>
      <c r="G949" s="64" t="s">
        <v>16</v>
      </c>
      <c r="H949" s="64" t="s">
        <v>39</v>
      </c>
      <c r="I949" s="64" t="s">
        <v>40</v>
      </c>
      <c r="J949" s="67">
        <v>0</v>
      </c>
      <c r="K949" s="62">
        <v>15000</v>
      </c>
      <c r="L949" s="33" t="e">
        <f>HLOOKUP(B949,#REF!,1,0)</f>
        <v>#REF!</v>
      </c>
      <c r="M949" s="33" t="str">
        <f t="shared" si="59"/>
        <v>BS</v>
      </c>
    </row>
    <row r="950" spans="1:13" s="33" customFormat="true" ht="12.75" customHeight="true">
      <c r="A950" s="33" t="str">
        <f t="shared" si="56"/>
        <v>GRA - Intercompany</v>
      </c>
      <c r="B950" s="33" t="str">
        <f t="shared" si="57"/>
        <v>GRA</v>
      </c>
      <c r="C950" s="33" t="str">
        <f t="shared" si="58"/>
        <v>11324-0000</v>
      </c>
      <c r="D950" s="283" t="s">
        <v>1309</v>
      </c>
      <c r="E950" s="64" t="s">
        <v>272</v>
      </c>
      <c r="F950" s="64" t="s">
        <v>230</v>
      </c>
      <c r="G950" s="64" t="s">
        <v>16</v>
      </c>
      <c r="H950" s="64" t="s">
        <v>39</v>
      </c>
      <c r="I950" s="64" t="s">
        <v>40</v>
      </c>
      <c r="J950" s="67">
        <v>0</v>
      </c>
      <c r="K950" s="62">
        <v>120000</v>
      </c>
      <c r="L950" s="33" t="e">
        <f>HLOOKUP(B950,#REF!,1,0)</f>
        <v>#REF!</v>
      </c>
      <c r="M950" s="33" t="str">
        <f t="shared" si="59"/>
        <v>BS</v>
      </c>
    </row>
    <row r="951" spans="1:13" s="33" customFormat="true" ht="12.75" customHeight="true">
      <c r="A951" s="33" t="str">
        <f t="shared" si="56"/>
        <v>GRA - Intercompany</v>
      </c>
      <c r="B951" s="33" t="str">
        <f t="shared" si="57"/>
        <v>GRA</v>
      </c>
      <c r="C951" s="33" t="str">
        <f t="shared" si="58"/>
        <v>11337-0000</v>
      </c>
      <c r="D951" s="283" t="s">
        <v>1310</v>
      </c>
      <c r="E951" s="64" t="s">
        <v>292</v>
      </c>
      <c r="F951" s="64" t="s">
        <v>230</v>
      </c>
      <c r="G951" s="64" t="s">
        <v>16</v>
      </c>
      <c r="H951" s="64" t="s">
        <v>39</v>
      </c>
      <c r="I951" s="64" t="s">
        <v>40</v>
      </c>
      <c r="J951" s="67">
        <v>0</v>
      </c>
      <c r="K951" s="62">
        <v>20000</v>
      </c>
      <c r="L951" s="33" t="e">
        <f>HLOOKUP(B951,#REF!,1,0)</f>
        <v>#REF!</v>
      </c>
      <c r="M951" s="33" t="str">
        <f t="shared" si="59"/>
        <v>BS</v>
      </c>
    </row>
    <row r="952" spans="1:13" s="33" customFormat="true" ht="12.75" customHeight="true">
      <c r="A952" s="33" t="str">
        <f t="shared" si="56"/>
        <v>GRA - Intercompany</v>
      </c>
      <c r="B952" s="33" t="str">
        <f t="shared" si="57"/>
        <v>GRA</v>
      </c>
      <c r="C952" s="33" t="str">
        <f t="shared" si="58"/>
        <v>11342-0000</v>
      </c>
      <c r="D952" s="283" t="s">
        <v>1311</v>
      </c>
      <c r="E952" s="64" t="s">
        <v>384</v>
      </c>
      <c r="F952" s="64" t="s">
        <v>230</v>
      </c>
      <c r="G952" s="64" t="s">
        <v>16</v>
      </c>
      <c r="H952" s="64" t="s">
        <v>39</v>
      </c>
      <c r="I952" s="64" t="s">
        <v>40</v>
      </c>
      <c r="J952" s="67">
        <v>0</v>
      </c>
      <c r="K952" s="62">
        <v>100000</v>
      </c>
      <c r="L952" s="33" t="e">
        <f>HLOOKUP(B952,#REF!,1,0)</f>
        <v>#REF!</v>
      </c>
      <c r="M952" s="33" t="str">
        <f t="shared" si="59"/>
        <v>BS</v>
      </c>
    </row>
    <row r="953" spans="1:13" s="33" customFormat="true" ht="12.75" customHeight="true">
      <c r="A953" s="33" t="str">
        <f t="shared" si="56"/>
        <v>GRA - AR-PPD</v>
      </c>
      <c r="B953" s="33" t="str">
        <f t="shared" si="57"/>
        <v>GRA</v>
      </c>
      <c r="C953" s="33" t="str">
        <f t="shared" si="58"/>
        <v>12200-0000</v>
      </c>
      <c r="D953" s="283" t="s">
        <v>1312</v>
      </c>
      <c r="E953" s="64" t="s">
        <v>294</v>
      </c>
      <c r="F953" s="64" t="s">
        <v>230</v>
      </c>
      <c r="G953" s="64" t="s">
        <v>62</v>
      </c>
      <c r="H953" s="64" t="s">
        <v>35</v>
      </c>
      <c r="I953" s="64" t="s">
        <v>64</v>
      </c>
      <c r="J953" s="67">
        <v>0</v>
      </c>
      <c r="K953" s="62">
        <v>430052.31</v>
      </c>
      <c r="L953" s="33" t="e">
        <f>HLOOKUP(B953,#REF!,1,0)</f>
        <v>#REF!</v>
      </c>
      <c r="M953" s="33" t="str">
        <f t="shared" si="59"/>
        <v>BS</v>
      </c>
    </row>
    <row r="954" spans="1:13" s="33" customFormat="true" ht="12.75" customHeight="true">
      <c r="A954" s="33" t="str">
        <f t="shared" si="56"/>
        <v>GRA - Fixed Assets</v>
      </c>
      <c r="B954" s="33" t="str">
        <f t="shared" si="57"/>
        <v>GRA</v>
      </c>
      <c r="C954" s="33" t="str">
        <f t="shared" si="58"/>
        <v>14000-0000</v>
      </c>
      <c r="D954" s="283" t="s">
        <v>1313</v>
      </c>
      <c r="E954" s="64" t="s">
        <v>298</v>
      </c>
      <c r="F954" s="64" t="s">
        <v>230</v>
      </c>
      <c r="G954" s="64" t="s">
        <v>62</v>
      </c>
      <c r="H954" s="64" t="s">
        <v>63</v>
      </c>
      <c r="I954" s="64" t="s">
        <v>64</v>
      </c>
      <c r="J954" s="67">
        <v>0</v>
      </c>
      <c r="K954" s="62">
        <v>12111000</v>
      </c>
      <c r="L954" s="33" t="e">
        <f>HLOOKUP(B954,#REF!,1,0)</f>
        <v>#REF!</v>
      </c>
      <c r="M954" s="33" t="str">
        <f t="shared" si="59"/>
        <v>BS</v>
      </c>
    </row>
    <row r="955" spans="1:13" s="33" customFormat="true" ht="12.75" customHeight="true">
      <c r="A955" s="33" t="str">
        <f t="shared" si="56"/>
        <v>GRA - Fixed Assets</v>
      </c>
      <c r="B955" s="33" t="str">
        <f t="shared" si="57"/>
        <v>GRA</v>
      </c>
      <c r="C955" s="33" t="str">
        <f t="shared" si="58"/>
        <v>15000-0000</v>
      </c>
      <c r="D955" s="283" t="s">
        <v>1314</v>
      </c>
      <c r="E955" s="64" t="s">
        <v>300</v>
      </c>
      <c r="F955" s="64" t="s">
        <v>230</v>
      </c>
      <c r="G955" s="64" t="s">
        <v>62</v>
      </c>
      <c r="H955" s="64" t="s">
        <v>63</v>
      </c>
      <c r="I955" s="64" t="s">
        <v>64</v>
      </c>
      <c r="J955" s="67">
        <v>0</v>
      </c>
      <c r="K955" s="62">
        <v>24589000</v>
      </c>
      <c r="L955" s="33" t="e">
        <f>HLOOKUP(B955,#REF!,1,0)</f>
        <v>#REF!</v>
      </c>
      <c r="M955" s="33" t="str">
        <f t="shared" si="59"/>
        <v>BS</v>
      </c>
    </row>
    <row r="956" spans="1:13" s="33" customFormat="true" ht="12.75" customHeight="true">
      <c r="A956" s="33" t="str">
        <f t="shared" si="56"/>
        <v>GRA - Fixed Assets</v>
      </c>
      <c r="B956" s="33" t="str">
        <f t="shared" si="57"/>
        <v>GRA</v>
      </c>
      <c r="C956" s="33" t="str">
        <f t="shared" si="58"/>
        <v>15500-0000</v>
      </c>
      <c r="D956" s="283" t="s">
        <v>1315</v>
      </c>
      <c r="E956" s="64" t="s">
        <v>302</v>
      </c>
      <c r="F956" s="64" t="s">
        <v>230</v>
      </c>
      <c r="G956" s="64" t="s">
        <v>62</v>
      </c>
      <c r="H956" s="64" t="s">
        <v>63</v>
      </c>
      <c r="I956" s="64" t="s">
        <v>64</v>
      </c>
      <c r="J956" s="67">
        <v>0</v>
      </c>
      <c r="K956" s="62">
        <v>56314.63</v>
      </c>
      <c r="L956" s="33" t="e">
        <f>HLOOKUP(B956,#REF!,1,0)</f>
        <v>#REF!</v>
      </c>
      <c r="M956" s="33" t="str">
        <f t="shared" si="59"/>
        <v>BS</v>
      </c>
    </row>
    <row r="957" spans="1:13" s="33" customFormat="true" ht="12.75" customHeight="true">
      <c r="A957" s="33" t="str">
        <f t="shared" si="56"/>
        <v>GRA - Fixed Assets</v>
      </c>
      <c r="B957" s="33" t="str">
        <f t="shared" si="57"/>
        <v>GRA</v>
      </c>
      <c r="C957" s="33" t="str">
        <f t="shared" si="58"/>
        <v>17000-0000</v>
      </c>
      <c r="D957" s="283" t="s">
        <v>1316</v>
      </c>
      <c r="E957" s="64" t="s">
        <v>306</v>
      </c>
      <c r="F957" s="64" t="s">
        <v>230</v>
      </c>
      <c r="G957" s="64" t="s">
        <v>62</v>
      </c>
      <c r="H957" s="64" t="s">
        <v>63</v>
      </c>
      <c r="I957" s="64" t="s">
        <v>64</v>
      </c>
      <c r="J957" s="67">
        <v>0</v>
      </c>
      <c r="K957" s="62">
        <v>-1298064</v>
      </c>
      <c r="L957" s="33" t="e">
        <f>HLOOKUP(B957,#REF!,1,0)</f>
        <v>#REF!</v>
      </c>
      <c r="M957" s="33" t="str">
        <f t="shared" si="59"/>
        <v>BS</v>
      </c>
    </row>
    <row r="958" spans="1:13" s="33" customFormat="true" ht="12.75" customHeight="true">
      <c r="A958" s="33" t="str">
        <f t="shared" si="56"/>
        <v>GRA - Fixed Assets</v>
      </c>
      <c r="B958" s="33" t="str">
        <f t="shared" si="57"/>
        <v>GRA</v>
      </c>
      <c r="C958" s="33" t="str">
        <f t="shared" si="58"/>
        <v>18000-0000</v>
      </c>
      <c r="D958" s="283" t="s">
        <v>1317</v>
      </c>
      <c r="E958" s="64" t="s">
        <v>308</v>
      </c>
      <c r="F958" s="64" t="s">
        <v>230</v>
      </c>
      <c r="G958" s="64" t="s">
        <v>62</v>
      </c>
      <c r="H958" s="64" t="s">
        <v>63</v>
      </c>
      <c r="I958" s="64" t="s">
        <v>64</v>
      </c>
      <c r="J958" s="67">
        <v>0</v>
      </c>
      <c r="K958" s="62">
        <v>-4516</v>
      </c>
      <c r="L958" s="33" t="e">
        <f>HLOOKUP(B958,#REF!,1,0)</f>
        <v>#REF!</v>
      </c>
      <c r="M958" s="33" t="str">
        <f t="shared" si="59"/>
        <v>BS</v>
      </c>
    </row>
    <row r="959" spans="1:13" s="33" customFormat="true" ht="12.75" customHeight="true">
      <c r="A959" s="33" t="str">
        <f t="shared" si="56"/>
        <v>GRA - Deposits</v>
      </c>
      <c r="B959" s="33" t="str">
        <f t="shared" si="57"/>
        <v>GRA</v>
      </c>
      <c r="C959" s="33" t="str">
        <f t="shared" si="58"/>
        <v>19000-0000</v>
      </c>
      <c r="D959" s="283" t="s">
        <v>1318</v>
      </c>
      <c r="E959" s="64" t="s">
        <v>342</v>
      </c>
      <c r="F959" s="64" t="s">
        <v>230</v>
      </c>
      <c r="G959" s="64" t="s">
        <v>62</v>
      </c>
      <c r="H959" s="64" t="s">
        <v>80</v>
      </c>
      <c r="I959" s="64" t="s">
        <v>81</v>
      </c>
      <c r="J959" s="67">
        <v>0</v>
      </c>
      <c r="K959" s="62">
        <v>0</v>
      </c>
      <c r="L959" s="33" t="e">
        <f>HLOOKUP(B959,#REF!,1,0)</f>
        <v>#REF!</v>
      </c>
      <c r="M959" s="33" t="str">
        <f t="shared" si="59"/>
        <v>BS</v>
      </c>
    </row>
    <row r="960" spans="1:13" s="33" customFormat="true" ht="12.75" customHeight="true">
      <c r="A960" s="33" t="str">
        <f t="shared" si="56"/>
        <v>GRA - Deposits</v>
      </c>
      <c r="B960" s="33" t="str">
        <f t="shared" si="57"/>
        <v>GRA</v>
      </c>
      <c r="C960" s="33" t="str">
        <f t="shared" si="58"/>
        <v>19001-0000</v>
      </c>
      <c r="D960" s="283" t="s">
        <v>1319</v>
      </c>
      <c r="E960" s="64" t="s">
        <v>344</v>
      </c>
      <c r="F960" s="64" t="s">
        <v>230</v>
      </c>
      <c r="G960" s="64" t="s">
        <v>62</v>
      </c>
      <c r="H960" s="64" t="s">
        <v>80</v>
      </c>
      <c r="I960" s="64" t="s">
        <v>81</v>
      </c>
      <c r="J960" s="67">
        <v>0</v>
      </c>
      <c r="K960" s="62">
        <v>10134.75</v>
      </c>
      <c r="L960" s="33" t="e">
        <f>HLOOKUP(B960,#REF!,1,0)</f>
        <v>#REF!</v>
      </c>
      <c r="M960" s="33" t="str">
        <f t="shared" si="59"/>
        <v>BS</v>
      </c>
    </row>
    <row r="961" spans="1:13" s="33" customFormat="true" ht="12.75" customHeight="true">
      <c r="A961" s="33" t="str">
        <f t="shared" si="56"/>
        <v>GRA - AP-Accr Exp</v>
      </c>
      <c r="B961" s="33" t="str">
        <f t="shared" si="57"/>
        <v>GRA</v>
      </c>
      <c r="C961" s="33" t="str">
        <f t="shared" si="58"/>
        <v>20001-0000</v>
      </c>
      <c r="D961" s="283" t="s">
        <v>1320</v>
      </c>
      <c r="E961" s="64" t="s">
        <v>96</v>
      </c>
      <c r="F961" s="64" t="s">
        <v>230</v>
      </c>
      <c r="G961" s="64" t="s">
        <v>97</v>
      </c>
      <c r="H961" s="64" t="s">
        <v>98</v>
      </c>
      <c r="I961" s="64" t="s">
        <v>99</v>
      </c>
      <c r="J961" s="67">
        <v>0</v>
      </c>
      <c r="K961" s="62">
        <v>0</v>
      </c>
      <c r="L961" s="33" t="e">
        <f>HLOOKUP(B961,#REF!,1,0)</f>
        <v>#REF!</v>
      </c>
      <c r="M961" s="33" t="str">
        <f t="shared" si="59"/>
        <v>BS</v>
      </c>
    </row>
    <row r="962" spans="1:13" s="33" customFormat="true" ht="12.75" customHeight="true">
      <c r="A962" s="33" t="str">
        <f t="shared" ref="A962:A1025" si="60">B962&amp;" - "&amp;TRIM(H962)</f>
        <v>GRA - Tax Accr</v>
      </c>
      <c r="B962" s="33" t="str">
        <f t="shared" ref="B962:B1025" si="61">LEFT(D962,3)</f>
        <v>GRA</v>
      </c>
      <c r="C962" s="33" t="str">
        <f t="shared" ref="C962:C1025" si="62">RIGHT(D962,10)</f>
        <v>22001-0000</v>
      </c>
      <c r="D962" s="283" t="s">
        <v>1321</v>
      </c>
      <c r="E962" s="64" t="s">
        <v>1322</v>
      </c>
      <c r="F962" s="64" t="s">
        <v>230</v>
      </c>
      <c r="G962" s="64" t="s">
        <v>97</v>
      </c>
      <c r="H962" s="64" t="s">
        <v>105</v>
      </c>
      <c r="I962" s="64" t="s">
        <v>102</v>
      </c>
      <c r="J962" s="67">
        <v>0</v>
      </c>
      <c r="K962" s="62">
        <v>-20589.76</v>
      </c>
      <c r="L962" s="33" t="e">
        <f>HLOOKUP(B962,#REF!,1,0)</f>
        <v>#REF!</v>
      </c>
      <c r="M962" s="33" t="str">
        <f t="shared" ref="M962:M1025" si="63">IF(VALUE(LEFT(C962,5))&gt;40000,"P&amp;L","BS")</f>
        <v>BS</v>
      </c>
    </row>
    <row r="963" spans="1:13" s="33" customFormat="true" ht="12.75" customHeight="true">
      <c r="A963" s="33" t="str">
        <f t="shared" si="60"/>
        <v>GRA - AP-Accr Exp</v>
      </c>
      <c r="B963" s="33" t="str">
        <f t="shared" si="61"/>
        <v>GRA</v>
      </c>
      <c r="C963" s="33" t="str">
        <f t="shared" si="62"/>
        <v>23509-0000</v>
      </c>
      <c r="D963" s="283" t="s">
        <v>1323</v>
      </c>
      <c r="E963" s="64" t="s">
        <v>111</v>
      </c>
      <c r="F963" s="64" t="s">
        <v>230</v>
      </c>
      <c r="G963" s="64" t="s">
        <v>97</v>
      </c>
      <c r="H963" s="64" t="s">
        <v>98</v>
      </c>
      <c r="I963" s="64" t="s">
        <v>102</v>
      </c>
      <c r="J963" s="67">
        <v>0</v>
      </c>
      <c r="K963" s="62">
        <v>19436.69</v>
      </c>
      <c r="L963" s="33" t="e">
        <f>HLOOKUP(B963,#REF!,1,0)</f>
        <v>#REF!</v>
      </c>
      <c r="M963" s="33" t="str">
        <f t="shared" si="63"/>
        <v>BS</v>
      </c>
    </row>
    <row r="964" spans="1:13" s="33" customFormat="true" ht="12.75" customHeight="true">
      <c r="A964" s="33" t="str">
        <f t="shared" si="60"/>
        <v>GRA - AP-Accr Exp</v>
      </c>
      <c r="B964" s="33" t="str">
        <f t="shared" si="61"/>
        <v>GRA</v>
      </c>
      <c r="C964" s="33" t="str">
        <f t="shared" si="62"/>
        <v>24800-0000</v>
      </c>
      <c r="D964" s="283" t="s">
        <v>1324</v>
      </c>
      <c r="E964" s="64" t="s">
        <v>232</v>
      </c>
      <c r="F964" s="64" t="s">
        <v>230</v>
      </c>
      <c r="G964" s="64" t="s">
        <v>97</v>
      </c>
      <c r="H964" s="64" t="s">
        <v>98</v>
      </c>
      <c r="I964" s="64" t="s">
        <v>102</v>
      </c>
      <c r="J964" s="67">
        <v>0</v>
      </c>
      <c r="K964" s="62">
        <v>-106575.01</v>
      </c>
      <c r="L964" s="33" t="e">
        <f>HLOOKUP(B964,#REF!,1,0)</f>
        <v>#REF!</v>
      </c>
      <c r="M964" s="33" t="str">
        <f t="shared" si="63"/>
        <v>BS</v>
      </c>
    </row>
    <row r="965" spans="1:13" s="33" customFormat="true" ht="12.75" customHeight="true">
      <c r="A965" s="33" t="str">
        <f t="shared" si="60"/>
        <v>GRA - InterCo Notes</v>
      </c>
      <c r="B965" s="33" t="str">
        <f t="shared" si="61"/>
        <v>GRA</v>
      </c>
      <c r="C965" s="33" t="str">
        <f t="shared" si="62"/>
        <v>25000-0000</v>
      </c>
      <c r="D965" s="283" t="s">
        <v>1325</v>
      </c>
      <c r="E965" s="64" t="s">
        <v>314</v>
      </c>
      <c r="F965" s="64" t="s">
        <v>230</v>
      </c>
      <c r="G965" s="64" t="s">
        <v>16</v>
      </c>
      <c r="H965" s="64" t="s">
        <v>315</v>
      </c>
      <c r="I965" s="64" t="s">
        <v>40</v>
      </c>
      <c r="J965" s="67">
        <v>0</v>
      </c>
      <c r="K965" s="62">
        <v>-266000</v>
      </c>
      <c r="L965" s="33" t="e">
        <f>HLOOKUP(B965,#REF!,1,0)</f>
        <v>#REF!</v>
      </c>
      <c r="M965" s="33" t="str">
        <f t="shared" si="63"/>
        <v>BS</v>
      </c>
    </row>
    <row r="966" spans="1:13" s="33" customFormat="true" ht="12.75" customHeight="true">
      <c r="A966" s="33" t="str">
        <f t="shared" si="60"/>
        <v>GRA - Principal</v>
      </c>
      <c r="B966" s="33" t="str">
        <f t="shared" si="61"/>
        <v>GRA</v>
      </c>
      <c r="C966" s="33" t="str">
        <f t="shared" si="62"/>
        <v>28001-0000</v>
      </c>
      <c r="D966" s="283" t="s">
        <v>1326</v>
      </c>
      <c r="E966" s="64" t="s">
        <v>1327</v>
      </c>
      <c r="F966" s="64" t="s">
        <v>230</v>
      </c>
      <c r="G966" s="64" t="s">
        <v>123</v>
      </c>
      <c r="H966" s="64" t="s">
        <v>127</v>
      </c>
      <c r="I966" s="64" t="s">
        <v>133</v>
      </c>
      <c r="J966" s="67">
        <v>0</v>
      </c>
      <c r="K966" s="62">
        <v>-23855000</v>
      </c>
      <c r="L966" s="33" t="e">
        <f>HLOOKUP(B966,#REF!,1,0)</f>
        <v>#REF!</v>
      </c>
      <c r="M966" s="33" t="str">
        <f t="shared" si="63"/>
        <v>BS</v>
      </c>
    </row>
    <row r="967" spans="1:13" s="33" customFormat="true" ht="12.75" customHeight="true">
      <c r="A967" s="33" t="str">
        <f t="shared" si="60"/>
        <v>GRA - SH Dist</v>
      </c>
      <c r="B967" s="33" t="str">
        <f t="shared" si="61"/>
        <v>GRA</v>
      </c>
      <c r="C967" s="33" t="str">
        <f t="shared" si="62"/>
        <v>30700-0000</v>
      </c>
      <c r="D967" s="283" t="s">
        <v>1328</v>
      </c>
      <c r="E967" s="64" t="s">
        <v>319</v>
      </c>
      <c r="F967" s="64" t="s">
        <v>230</v>
      </c>
      <c r="G967" s="64" t="s">
        <v>142</v>
      </c>
      <c r="H967" s="64" t="s">
        <v>143</v>
      </c>
      <c r="I967" s="64" t="s">
        <v>144</v>
      </c>
      <c r="J967" s="67">
        <v>0</v>
      </c>
      <c r="K967" s="62">
        <v>-3858465.89</v>
      </c>
      <c r="L967" s="33" t="e">
        <f>HLOOKUP(B967,#REF!,1,0)</f>
        <v>#REF!</v>
      </c>
      <c r="M967" s="33" t="str">
        <f t="shared" si="63"/>
        <v>BS</v>
      </c>
    </row>
    <row r="968" spans="1:13" s="33" customFormat="true" ht="12.75" customHeight="true">
      <c r="A968" s="33" t="str">
        <f t="shared" si="60"/>
        <v>GRA - Retained Earnings</v>
      </c>
      <c r="B968" s="33" t="str">
        <f t="shared" si="61"/>
        <v>GRA</v>
      </c>
      <c r="C968" s="33" t="str">
        <f t="shared" si="62"/>
        <v>32000-0000</v>
      </c>
      <c r="D968" s="283" t="s">
        <v>1329</v>
      </c>
      <c r="E968" s="64" t="s">
        <v>234</v>
      </c>
      <c r="F968" s="64" t="s">
        <v>230</v>
      </c>
      <c r="G968" s="64" t="s">
        <v>142</v>
      </c>
      <c r="H968" s="64" t="s">
        <v>149</v>
      </c>
      <c r="I968" s="64" t="s">
        <v>235</v>
      </c>
      <c r="J968" s="67">
        <v>0</v>
      </c>
      <c r="K968" s="62">
        <v>-262740.97</v>
      </c>
      <c r="L968" s="33" t="e">
        <f>HLOOKUP(B968,#REF!,1,0)</f>
        <v>#REF!</v>
      </c>
      <c r="M968" s="33" t="str">
        <f t="shared" si="63"/>
        <v>BS</v>
      </c>
    </row>
    <row r="969" spans="1:13" s="33" customFormat="true" ht="12.75" customHeight="true">
      <c r="A969" s="33" t="str">
        <f t="shared" si="60"/>
        <v>GRI - Cash</v>
      </c>
      <c r="B969" s="33" t="str">
        <f t="shared" si="61"/>
        <v>GRI</v>
      </c>
      <c r="C969" s="33" t="str">
        <f t="shared" si="62"/>
        <v>10001-0000</v>
      </c>
      <c r="D969" s="64" t="s">
        <v>1330</v>
      </c>
      <c r="E969" s="64" t="s">
        <v>240</v>
      </c>
      <c r="F969" s="64" t="s">
        <v>230</v>
      </c>
      <c r="G969" s="64" t="s">
        <v>16</v>
      </c>
      <c r="H969" s="64" t="s">
        <v>25</v>
      </c>
      <c r="I969" s="64" t="s">
        <v>18</v>
      </c>
      <c r="J969" s="67">
        <v>0</v>
      </c>
      <c r="K969" s="62">
        <v>-1624.8</v>
      </c>
      <c r="L969" s="33" t="e">
        <f>HLOOKUP(B969,#REF!,1,0)</f>
        <v>#REF!</v>
      </c>
      <c r="M969" s="33" t="str">
        <f t="shared" si="63"/>
        <v>BS</v>
      </c>
    </row>
    <row r="970" spans="1:13" s="33" customFormat="true" ht="12.75" customHeight="true">
      <c r="A970" s="33" t="str">
        <f t="shared" si="60"/>
        <v>GRI - Intercompany</v>
      </c>
      <c r="B970" s="33" t="str">
        <f t="shared" si="61"/>
        <v>GRI</v>
      </c>
      <c r="C970" s="33" t="str">
        <f t="shared" si="62"/>
        <v>11216-0000</v>
      </c>
      <c r="D970" s="64" t="s">
        <v>1331</v>
      </c>
      <c r="E970" s="64" t="s">
        <v>242</v>
      </c>
      <c r="F970" s="64" t="s">
        <v>230</v>
      </c>
      <c r="G970" s="64" t="s">
        <v>16</v>
      </c>
      <c r="H970" s="64" t="s">
        <v>39</v>
      </c>
      <c r="I970" s="64" t="s">
        <v>40</v>
      </c>
      <c r="J970" s="67">
        <v>0</v>
      </c>
      <c r="K970" s="62">
        <v>-1723.25</v>
      </c>
      <c r="L970" s="33" t="e">
        <f>HLOOKUP(B970,#REF!,1,0)</f>
        <v>#REF!</v>
      </c>
      <c r="M970" s="33" t="str">
        <f t="shared" si="63"/>
        <v>BS</v>
      </c>
    </row>
    <row r="971" spans="1:13" s="33" customFormat="true" ht="12.75" customHeight="true">
      <c r="A971" s="33" t="str">
        <f t="shared" si="60"/>
        <v>GRI - Intercompany</v>
      </c>
      <c r="B971" s="33" t="str">
        <f t="shared" si="61"/>
        <v>GRI</v>
      </c>
      <c r="C971" s="33" t="str">
        <f t="shared" si="62"/>
        <v>11342-0000</v>
      </c>
      <c r="D971" s="64" t="s">
        <v>1332</v>
      </c>
      <c r="E971" s="64" t="s">
        <v>384</v>
      </c>
      <c r="F971" s="64" t="s">
        <v>230</v>
      </c>
      <c r="G971" s="64" t="s">
        <v>16</v>
      </c>
      <c r="H971" s="64" t="s">
        <v>39</v>
      </c>
      <c r="I971" s="64" t="s">
        <v>40</v>
      </c>
      <c r="J971" s="67">
        <v>0</v>
      </c>
      <c r="K971" s="62">
        <v>6225000</v>
      </c>
      <c r="L971" s="33" t="e">
        <f>HLOOKUP(B971,#REF!,1,0)</f>
        <v>#REF!</v>
      </c>
      <c r="M971" s="33" t="str">
        <f t="shared" si="63"/>
        <v>BS</v>
      </c>
    </row>
    <row r="972" spans="1:13" s="33" customFormat="true" ht="12.75" customHeight="true">
      <c r="A972" s="33" t="str">
        <f t="shared" si="60"/>
        <v>GRI - Intercompany</v>
      </c>
      <c r="B972" s="33" t="str">
        <f t="shared" si="61"/>
        <v>GRI</v>
      </c>
      <c r="C972" s="33" t="str">
        <f t="shared" si="62"/>
        <v>11343-0000</v>
      </c>
      <c r="D972" s="64" t="s">
        <v>1333</v>
      </c>
      <c r="E972" s="64" t="s">
        <v>600</v>
      </c>
      <c r="F972" s="64" t="s">
        <v>230</v>
      </c>
      <c r="G972" s="64" t="s">
        <v>16</v>
      </c>
      <c r="H972" s="64" t="s">
        <v>39</v>
      </c>
      <c r="I972" s="64" t="s">
        <v>40</v>
      </c>
      <c r="J972" s="67">
        <v>0</v>
      </c>
      <c r="K972" s="62">
        <v>7912921.76</v>
      </c>
      <c r="L972" s="33" t="e">
        <f>HLOOKUP(B972,#REF!,1,0)</f>
        <v>#REF!</v>
      </c>
      <c r="M972" s="33" t="str">
        <f t="shared" si="63"/>
        <v>BS</v>
      </c>
    </row>
    <row r="973" spans="1:13" s="33" customFormat="true" ht="12.75" customHeight="true">
      <c r="A973" s="33" t="str">
        <f t="shared" si="60"/>
        <v>GRI - AR-PPD</v>
      </c>
      <c r="B973" s="33" t="str">
        <f t="shared" si="61"/>
        <v>GRI</v>
      </c>
      <c r="C973" s="33" t="str">
        <f t="shared" si="62"/>
        <v>12200-0000</v>
      </c>
      <c r="D973" s="64" t="s">
        <v>1334</v>
      </c>
      <c r="E973" s="64" t="s">
        <v>294</v>
      </c>
      <c r="F973" s="64" t="s">
        <v>230</v>
      </c>
      <c r="G973" s="64" t="s">
        <v>62</v>
      </c>
      <c r="H973" s="64" t="s">
        <v>35</v>
      </c>
      <c r="I973" s="64" t="s">
        <v>64</v>
      </c>
      <c r="J973" s="67">
        <v>0</v>
      </c>
      <c r="K973" s="62">
        <v>21438.94</v>
      </c>
      <c r="L973" s="33" t="e">
        <f>HLOOKUP(B973,#REF!,1,0)</f>
        <v>#REF!</v>
      </c>
      <c r="M973" s="33" t="str">
        <f t="shared" si="63"/>
        <v>BS</v>
      </c>
    </row>
    <row r="974" spans="1:13" s="33" customFormat="true" ht="12.75" customHeight="true">
      <c r="A974" s="33" t="str">
        <f t="shared" si="60"/>
        <v>GRI - Deposits</v>
      </c>
      <c r="B974" s="33" t="str">
        <f t="shared" si="61"/>
        <v>GRI</v>
      </c>
      <c r="C974" s="33" t="str">
        <f t="shared" si="62"/>
        <v>19000-0000</v>
      </c>
      <c r="D974" s="64" t="s">
        <v>1335</v>
      </c>
      <c r="E974" s="64" t="s">
        <v>342</v>
      </c>
      <c r="F974" s="64" t="s">
        <v>230</v>
      </c>
      <c r="G974" s="64" t="s">
        <v>62</v>
      </c>
      <c r="H974" s="64" t="s">
        <v>80</v>
      </c>
      <c r="I974" s="64" t="s">
        <v>81</v>
      </c>
      <c r="J974" s="67">
        <v>0</v>
      </c>
      <c r="K974" s="62">
        <v>-599.7</v>
      </c>
      <c r="L974" s="33" t="e">
        <f>HLOOKUP(B974,#REF!,1,0)</f>
        <v>#REF!</v>
      </c>
      <c r="M974" s="33" t="str">
        <f t="shared" si="63"/>
        <v>BS</v>
      </c>
    </row>
    <row r="975" spans="1:13" s="33" customFormat="true" ht="12.75" customHeight="true">
      <c r="A975" s="33" t="str">
        <f t="shared" si="60"/>
        <v>GRI - AP-Accr Exp</v>
      </c>
      <c r="B975" s="33" t="str">
        <f t="shared" si="61"/>
        <v>GRI</v>
      </c>
      <c r="C975" s="33" t="str">
        <f t="shared" si="62"/>
        <v>20001-0000</v>
      </c>
      <c r="D975" s="64" t="s">
        <v>1336</v>
      </c>
      <c r="E975" s="64" t="s">
        <v>96</v>
      </c>
      <c r="F975" s="64" t="s">
        <v>230</v>
      </c>
      <c r="G975" s="64" t="s">
        <v>97</v>
      </c>
      <c r="H975" s="64" t="s">
        <v>98</v>
      </c>
      <c r="I975" s="64" t="s">
        <v>99</v>
      </c>
      <c r="J975" s="67">
        <v>0</v>
      </c>
      <c r="K975" s="62">
        <v>277.21</v>
      </c>
      <c r="L975" s="33" t="e">
        <f>HLOOKUP(B975,#REF!,1,0)</f>
        <v>#REF!</v>
      </c>
      <c r="M975" s="33" t="str">
        <f t="shared" si="63"/>
        <v>BS</v>
      </c>
    </row>
    <row r="976" spans="1:13" s="33" customFormat="true" ht="12.75" customHeight="true">
      <c r="A976" s="33" t="str">
        <f t="shared" si="60"/>
        <v>GRI - AP-Accr Exp</v>
      </c>
      <c r="B976" s="33" t="str">
        <f t="shared" si="61"/>
        <v>GRI</v>
      </c>
      <c r="C976" s="33" t="str">
        <f t="shared" si="62"/>
        <v>24001-0000</v>
      </c>
      <c r="D976" s="64" t="s">
        <v>1337</v>
      </c>
      <c r="E976" s="64" t="s">
        <v>748</v>
      </c>
      <c r="F976" s="64" t="s">
        <v>230</v>
      </c>
      <c r="G976" s="64" t="s">
        <v>97</v>
      </c>
      <c r="H976" s="64" t="s">
        <v>98</v>
      </c>
      <c r="I976" s="64" t="s">
        <v>102</v>
      </c>
      <c r="J976" s="67">
        <v>0</v>
      </c>
      <c r="K976" s="62">
        <v>-800</v>
      </c>
      <c r="L976" s="33" t="e">
        <f>HLOOKUP(B976,#REF!,1,0)</f>
        <v>#REF!</v>
      </c>
      <c r="M976" s="33" t="str">
        <f t="shared" si="63"/>
        <v>BS</v>
      </c>
    </row>
    <row r="977" spans="1:13" s="33" customFormat="true" ht="12.75" customHeight="true">
      <c r="A977" s="33" t="str">
        <f t="shared" si="60"/>
        <v>GRI - AP-Accr Exp</v>
      </c>
      <c r="B977" s="33" t="str">
        <f t="shared" si="61"/>
        <v>GRI</v>
      </c>
      <c r="C977" s="33" t="str">
        <f t="shared" si="62"/>
        <v>24800-0000</v>
      </c>
      <c r="D977" s="64" t="s">
        <v>1338</v>
      </c>
      <c r="E977" s="64" t="s">
        <v>232</v>
      </c>
      <c r="F977" s="64" t="s">
        <v>230</v>
      </c>
      <c r="G977" s="64" t="s">
        <v>97</v>
      </c>
      <c r="H977" s="64" t="s">
        <v>98</v>
      </c>
      <c r="I977" s="64" t="s">
        <v>102</v>
      </c>
      <c r="J977" s="67">
        <v>0</v>
      </c>
      <c r="K977" s="62">
        <v>1597</v>
      </c>
      <c r="L977" s="33" t="e">
        <f>HLOOKUP(B977,#REF!,1,0)</f>
        <v>#REF!</v>
      </c>
      <c r="M977" s="33" t="str">
        <f t="shared" si="63"/>
        <v>BS</v>
      </c>
    </row>
    <row r="978" spans="1:13" s="33" customFormat="true" ht="12.75" customHeight="true">
      <c r="A978" s="33" t="str">
        <f t="shared" si="60"/>
        <v>GRI - AP-Accr Exp</v>
      </c>
      <c r="B978" s="33" t="str">
        <f t="shared" si="61"/>
        <v>GRI</v>
      </c>
      <c r="C978" s="33" t="str">
        <f t="shared" si="62"/>
        <v>24801-0000</v>
      </c>
      <c r="D978" s="64" t="s">
        <v>1339</v>
      </c>
      <c r="E978" s="64" t="s">
        <v>399</v>
      </c>
      <c r="F978" s="64" t="s">
        <v>230</v>
      </c>
      <c r="G978" s="64" t="s">
        <v>97</v>
      </c>
      <c r="H978" s="64" t="s">
        <v>98</v>
      </c>
      <c r="I978" s="64" t="s">
        <v>102</v>
      </c>
      <c r="J978" s="67">
        <v>0</v>
      </c>
      <c r="K978" s="62">
        <v>299</v>
      </c>
      <c r="L978" s="33" t="e">
        <f>HLOOKUP(B978,#REF!,1,0)</f>
        <v>#REF!</v>
      </c>
      <c r="M978" s="33" t="str">
        <f t="shared" si="63"/>
        <v>BS</v>
      </c>
    </row>
    <row r="979" spans="1:13" s="33" customFormat="true" ht="12.75" customHeight="true">
      <c r="A979" s="33" t="str">
        <f t="shared" si="60"/>
        <v>GRI - SH Dist</v>
      </c>
      <c r="B979" s="33" t="str">
        <f t="shared" si="61"/>
        <v>GRI</v>
      </c>
      <c r="C979" s="33" t="str">
        <f t="shared" si="62"/>
        <v>30700-0000</v>
      </c>
      <c r="D979" s="64" t="s">
        <v>1340</v>
      </c>
      <c r="E979" s="64" t="s">
        <v>319</v>
      </c>
      <c r="F979" s="64" t="s">
        <v>230</v>
      </c>
      <c r="G979" s="64" t="s">
        <v>142</v>
      </c>
      <c r="H979" s="64" t="s">
        <v>143</v>
      </c>
      <c r="I979" s="64" t="s">
        <v>144</v>
      </c>
      <c r="J979" s="67">
        <v>0</v>
      </c>
      <c r="K979" s="62">
        <v>-4522053.09</v>
      </c>
      <c r="L979" s="33" t="e">
        <f>HLOOKUP(B979,#REF!,1,0)</f>
        <v>#REF!</v>
      </c>
      <c r="M979" s="33" t="str">
        <f t="shared" si="63"/>
        <v>BS</v>
      </c>
    </row>
    <row r="980" spans="1:13" s="33" customFormat="true" ht="12.75" customHeight="true">
      <c r="A980" s="33" t="str">
        <f t="shared" si="60"/>
        <v>GRI - Retained Earnings</v>
      </c>
      <c r="B980" s="33" t="str">
        <f t="shared" si="61"/>
        <v>GRI</v>
      </c>
      <c r="C980" s="33" t="str">
        <f t="shared" si="62"/>
        <v>32000-0000</v>
      </c>
      <c r="D980" s="64" t="s">
        <v>1341</v>
      </c>
      <c r="E980" s="64" t="s">
        <v>234</v>
      </c>
      <c r="F980" s="64" t="s">
        <v>230</v>
      </c>
      <c r="G980" s="64" t="s">
        <v>142</v>
      </c>
      <c r="H980" s="64" t="s">
        <v>149</v>
      </c>
      <c r="I980" s="64" t="s">
        <v>235</v>
      </c>
      <c r="J980" s="67">
        <v>0</v>
      </c>
      <c r="K980" s="62">
        <v>-9634733.07</v>
      </c>
      <c r="L980" s="33" t="e">
        <f>HLOOKUP(B980,#REF!,1,0)</f>
        <v>#REF!</v>
      </c>
      <c r="M980" s="33" t="str">
        <f t="shared" si="63"/>
        <v>BS</v>
      </c>
    </row>
    <row r="981" spans="1:13" s="33" customFormat="true" ht="12.75" customHeight="true">
      <c r="A981" s="33" t="str">
        <f t="shared" si="60"/>
        <v>GSM - AP-Accr Exp</v>
      </c>
      <c r="B981" s="33" t="str">
        <f t="shared" si="61"/>
        <v>GSM</v>
      </c>
      <c r="C981" s="33" t="str">
        <f t="shared" si="62"/>
        <v>24800-0000</v>
      </c>
      <c r="D981" s="283" t="s">
        <v>1342</v>
      </c>
      <c r="E981" s="64" t="s">
        <v>232</v>
      </c>
      <c r="F981" s="64" t="s">
        <v>230</v>
      </c>
      <c r="G981" s="64" t="s">
        <v>97</v>
      </c>
      <c r="H981" s="64" t="s">
        <v>98</v>
      </c>
      <c r="I981" s="64" t="s">
        <v>102</v>
      </c>
      <c r="J981" s="67">
        <v>0</v>
      </c>
      <c r="K981" s="62">
        <v>-222974.5</v>
      </c>
      <c r="L981" s="33" t="e">
        <f>HLOOKUP(B981,#REF!,1,0)</f>
        <v>#REF!</v>
      </c>
      <c r="M981" s="33" t="str">
        <f t="shared" si="63"/>
        <v>BS</v>
      </c>
    </row>
    <row r="982" spans="1:13" s="33" customFormat="true" ht="12.75" customHeight="true">
      <c r="A982" s="33" t="str">
        <f t="shared" si="60"/>
        <v>GSM - Retained Earnings</v>
      </c>
      <c r="B982" s="33" t="str">
        <f t="shared" si="61"/>
        <v>GSM</v>
      </c>
      <c r="C982" s="33" t="str">
        <f t="shared" si="62"/>
        <v>32000-0000</v>
      </c>
      <c r="D982" s="283" t="s">
        <v>1343</v>
      </c>
      <c r="E982" s="64" t="s">
        <v>234</v>
      </c>
      <c r="F982" s="64" t="s">
        <v>230</v>
      </c>
      <c r="G982" s="64" t="s">
        <v>142</v>
      </c>
      <c r="H982" s="64" t="s">
        <v>149</v>
      </c>
      <c r="I982" s="64" t="s">
        <v>235</v>
      </c>
      <c r="J982" s="67">
        <v>0</v>
      </c>
      <c r="K982" s="62">
        <v>-28179</v>
      </c>
      <c r="L982" s="33" t="e">
        <f>HLOOKUP(B982,#REF!,1,0)</f>
        <v>#REF!</v>
      </c>
      <c r="M982" s="33" t="str">
        <f t="shared" si="63"/>
        <v>BS</v>
      </c>
    </row>
    <row r="983" spans="1:13" s="33" customFormat="true" ht="12.75" customHeight="true">
      <c r="A983" s="33" t="str">
        <f t="shared" si="60"/>
        <v>GST - Cash</v>
      </c>
      <c r="B983" s="33" t="str">
        <f t="shared" si="61"/>
        <v>GST</v>
      </c>
      <c r="C983" s="33" t="str">
        <f t="shared" si="62"/>
        <v>10001-0000</v>
      </c>
      <c r="D983" s="64" t="s">
        <v>1344</v>
      </c>
      <c r="E983" s="64" t="s">
        <v>240</v>
      </c>
      <c r="F983" s="64" t="s">
        <v>230</v>
      </c>
      <c r="G983" s="64" t="s">
        <v>16</v>
      </c>
      <c r="H983" s="64" t="s">
        <v>25</v>
      </c>
      <c r="I983" s="64" t="s">
        <v>18</v>
      </c>
      <c r="J983" s="67">
        <v>0</v>
      </c>
      <c r="K983" s="62">
        <v>913.48</v>
      </c>
      <c r="L983" s="33" t="e">
        <f>HLOOKUP(B983,#REF!,1,0)</f>
        <v>#REF!</v>
      </c>
      <c r="M983" s="33" t="str">
        <f t="shared" si="63"/>
        <v>BS</v>
      </c>
    </row>
    <row r="984" spans="1:13" s="33" customFormat="true" ht="12.75" customHeight="true">
      <c r="A984" s="33" t="str">
        <f t="shared" si="60"/>
        <v>GST - Intercompany</v>
      </c>
      <c r="B984" s="33" t="str">
        <f t="shared" si="61"/>
        <v>GST</v>
      </c>
      <c r="C984" s="33" t="str">
        <f t="shared" si="62"/>
        <v>11216-0000</v>
      </c>
      <c r="D984" s="64" t="s">
        <v>1345</v>
      </c>
      <c r="E984" s="64" t="s">
        <v>242</v>
      </c>
      <c r="F984" s="64" t="s">
        <v>230</v>
      </c>
      <c r="G984" s="64" t="s">
        <v>16</v>
      </c>
      <c r="H984" s="64" t="s">
        <v>39</v>
      </c>
      <c r="I984" s="64" t="s">
        <v>40</v>
      </c>
      <c r="J984" s="67">
        <v>0</v>
      </c>
      <c r="K984" s="62">
        <v>-10111</v>
      </c>
      <c r="L984" s="33" t="e">
        <f>HLOOKUP(B984,#REF!,1,0)</f>
        <v>#REF!</v>
      </c>
      <c r="M984" s="33" t="str">
        <f t="shared" si="63"/>
        <v>BS</v>
      </c>
    </row>
    <row r="985" spans="1:13" s="33" customFormat="true" ht="12.75" customHeight="true">
      <c r="A985" s="33" t="str">
        <f t="shared" si="60"/>
        <v>GST - Intercompany</v>
      </c>
      <c r="B985" s="33" t="str">
        <f t="shared" si="61"/>
        <v>GST</v>
      </c>
      <c r="C985" s="33" t="str">
        <f t="shared" si="62"/>
        <v>11310-0000</v>
      </c>
      <c r="D985" s="64" t="s">
        <v>1346</v>
      </c>
      <c r="E985" s="64" t="s">
        <v>370</v>
      </c>
      <c r="F985" s="64" t="s">
        <v>230</v>
      </c>
      <c r="G985" s="64" t="s">
        <v>16</v>
      </c>
      <c r="H985" s="64" t="s">
        <v>39</v>
      </c>
      <c r="I985" s="64" t="s">
        <v>40</v>
      </c>
      <c r="J985" s="67">
        <v>0</v>
      </c>
      <c r="K985" s="62">
        <v>35000</v>
      </c>
      <c r="L985" s="33" t="e">
        <f>HLOOKUP(B985,#REF!,1,0)</f>
        <v>#REF!</v>
      </c>
      <c r="M985" s="33" t="str">
        <f t="shared" si="63"/>
        <v>BS</v>
      </c>
    </row>
    <row r="986" spans="1:13" s="33" customFormat="true" ht="12.75" customHeight="true">
      <c r="A986" s="33" t="str">
        <f t="shared" si="60"/>
        <v>GST - Intercompany</v>
      </c>
      <c r="B986" s="33" t="str">
        <f t="shared" si="61"/>
        <v>GST</v>
      </c>
      <c r="C986" s="33" t="str">
        <f t="shared" si="62"/>
        <v>11311-0000</v>
      </c>
      <c r="D986" s="64" t="s">
        <v>1347</v>
      </c>
      <c r="E986" s="64" t="s">
        <v>258</v>
      </c>
      <c r="F986" s="64" t="s">
        <v>230</v>
      </c>
      <c r="G986" s="64" t="s">
        <v>16</v>
      </c>
      <c r="H986" s="64" t="s">
        <v>39</v>
      </c>
      <c r="I986" s="64" t="s">
        <v>40</v>
      </c>
      <c r="J986" s="67">
        <v>0</v>
      </c>
      <c r="K986" s="62">
        <v>-5000</v>
      </c>
      <c r="L986" s="33" t="e">
        <f>HLOOKUP(B986,#REF!,1,0)</f>
        <v>#REF!</v>
      </c>
      <c r="M986" s="33" t="str">
        <f t="shared" si="63"/>
        <v>BS</v>
      </c>
    </row>
    <row r="987" spans="1:13" s="33" customFormat="true" ht="12.75" customHeight="true">
      <c r="A987" s="33" t="str">
        <f t="shared" si="60"/>
        <v>GST - Intercompany</v>
      </c>
      <c r="B987" s="33" t="str">
        <f t="shared" si="61"/>
        <v>GST</v>
      </c>
      <c r="C987" s="33" t="str">
        <f t="shared" si="62"/>
        <v>11317-0000</v>
      </c>
      <c r="D987" s="64" t="s">
        <v>1348</v>
      </c>
      <c r="E987" s="64" t="s">
        <v>520</v>
      </c>
      <c r="F987" s="64" t="s">
        <v>230</v>
      </c>
      <c r="G987" s="64" t="s">
        <v>16</v>
      </c>
      <c r="H987" s="64" t="s">
        <v>39</v>
      </c>
      <c r="I987" s="64" t="s">
        <v>40</v>
      </c>
      <c r="J987" s="67">
        <v>0</v>
      </c>
      <c r="K987" s="62">
        <v>-5000</v>
      </c>
      <c r="L987" s="33" t="e">
        <f>HLOOKUP(B987,#REF!,1,0)</f>
        <v>#REF!</v>
      </c>
      <c r="M987" s="33" t="str">
        <f t="shared" si="63"/>
        <v>BS</v>
      </c>
    </row>
    <row r="988" spans="1:13" s="33" customFormat="true" ht="12.75" customHeight="true">
      <c r="A988" s="33" t="str">
        <f t="shared" si="60"/>
        <v>GST - Fixed Assets</v>
      </c>
      <c r="B988" s="33" t="str">
        <f t="shared" si="61"/>
        <v>GST</v>
      </c>
      <c r="C988" s="33" t="str">
        <f t="shared" si="62"/>
        <v>14000-0000</v>
      </c>
      <c r="D988" s="64" t="s">
        <v>1349</v>
      </c>
      <c r="E988" s="64" t="s">
        <v>298</v>
      </c>
      <c r="F988" s="64" t="s">
        <v>230</v>
      </c>
      <c r="G988" s="64" t="s">
        <v>62</v>
      </c>
      <c r="H988" s="64" t="s">
        <v>63</v>
      </c>
      <c r="I988" s="64" t="s">
        <v>64</v>
      </c>
      <c r="J988" s="67">
        <v>0</v>
      </c>
      <c r="K988" s="62">
        <v>0</v>
      </c>
      <c r="L988" s="33" t="e">
        <f>HLOOKUP(B988,#REF!,1,0)</f>
        <v>#REF!</v>
      </c>
      <c r="M988" s="33" t="str">
        <f t="shared" si="63"/>
        <v>BS</v>
      </c>
    </row>
    <row r="989" spans="1:13" s="33" customFormat="true" ht="12.75" customHeight="true">
      <c r="A989" s="33" t="str">
        <f t="shared" si="60"/>
        <v>GST - Fixed Assets</v>
      </c>
      <c r="B989" s="33" t="str">
        <f t="shared" si="61"/>
        <v>GST</v>
      </c>
      <c r="C989" s="33" t="str">
        <f t="shared" si="62"/>
        <v>15000-0000</v>
      </c>
      <c r="D989" s="64" t="s">
        <v>1350</v>
      </c>
      <c r="E989" s="64" t="s">
        <v>300</v>
      </c>
      <c r="F989" s="64" t="s">
        <v>230</v>
      </c>
      <c r="G989" s="64" t="s">
        <v>62</v>
      </c>
      <c r="H989" s="64" t="s">
        <v>63</v>
      </c>
      <c r="I989" s="64" t="s">
        <v>64</v>
      </c>
      <c r="J989" s="67">
        <v>0</v>
      </c>
      <c r="K989" s="62">
        <v>0</v>
      </c>
      <c r="L989" s="33" t="e">
        <f>HLOOKUP(B989,#REF!,1,0)</f>
        <v>#REF!</v>
      </c>
      <c r="M989" s="33" t="str">
        <f t="shared" si="63"/>
        <v>BS</v>
      </c>
    </row>
    <row r="990" spans="1:13" s="33" customFormat="true" ht="12.75" customHeight="true">
      <c r="A990" s="33" t="str">
        <f t="shared" si="60"/>
        <v>GST - Fixed Assets</v>
      </c>
      <c r="B990" s="33" t="str">
        <f t="shared" si="61"/>
        <v>GST</v>
      </c>
      <c r="C990" s="33" t="str">
        <f t="shared" si="62"/>
        <v>15500-0000</v>
      </c>
      <c r="D990" s="64" t="s">
        <v>1351</v>
      </c>
      <c r="E990" s="64" t="s">
        <v>302</v>
      </c>
      <c r="F990" s="64" t="s">
        <v>230</v>
      </c>
      <c r="G990" s="64" t="s">
        <v>62</v>
      </c>
      <c r="H990" s="64" t="s">
        <v>63</v>
      </c>
      <c r="I990" s="64" t="s">
        <v>64</v>
      </c>
      <c r="J990" s="67">
        <v>0</v>
      </c>
      <c r="K990" s="62">
        <v>78979.67</v>
      </c>
      <c r="L990" s="33" t="e">
        <f>HLOOKUP(B990,#REF!,1,0)</f>
        <v>#REF!</v>
      </c>
      <c r="M990" s="33" t="str">
        <f t="shared" si="63"/>
        <v>BS</v>
      </c>
    </row>
    <row r="991" spans="1:13" s="33" customFormat="true" ht="12.75" customHeight="true">
      <c r="A991" s="33" t="str">
        <f t="shared" si="60"/>
        <v>GST - Fixed Assets</v>
      </c>
      <c r="B991" s="33" t="str">
        <f t="shared" si="61"/>
        <v>GST</v>
      </c>
      <c r="C991" s="33" t="str">
        <f t="shared" si="62"/>
        <v>16000-0000</v>
      </c>
      <c r="D991" s="64" t="s">
        <v>1352</v>
      </c>
      <c r="E991" s="64" t="s">
        <v>304</v>
      </c>
      <c r="F991" s="64" t="s">
        <v>230</v>
      </c>
      <c r="G991" s="64" t="s">
        <v>16</v>
      </c>
      <c r="H991" s="64" t="s">
        <v>63</v>
      </c>
      <c r="I991" s="64" t="s">
        <v>18</v>
      </c>
      <c r="J991" s="67">
        <v>0</v>
      </c>
      <c r="K991" s="62">
        <v>10004.13</v>
      </c>
      <c r="L991" s="33" t="e">
        <f>HLOOKUP(B991,#REF!,1,0)</f>
        <v>#REF!</v>
      </c>
      <c r="M991" s="33" t="str">
        <f t="shared" si="63"/>
        <v>BS</v>
      </c>
    </row>
    <row r="992" spans="1:13" s="33" customFormat="true" ht="12.75" customHeight="true">
      <c r="A992" s="33" t="str">
        <f t="shared" si="60"/>
        <v>GST - Fixed Assets</v>
      </c>
      <c r="B992" s="33" t="str">
        <f t="shared" si="61"/>
        <v>GST</v>
      </c>
      <c r="C992" s="33" t="str">
        <f t="shared" si="62"/>
        <v>17000-0000</v>
      </c>
      <c r="D992" s="64" t="s">
        <v>1353</v>
      </c>
      <c r="E992" s="64" t="s">
        <v>306</v>
      </c>
      <c r="F992" s="64" t="s">
        <v>230</v>
      </c>
      <c r="G992" s="64" t="s">
        <v>62</v>
      </c>
      <c r="H992" s="64" t="s">
        <v>63</v>
      </c>
      <c r="I992" s="64" t="s">
        <v>64</v>
      </c>
      <c r="J992" s="67">
        <v>0</v>
      </c>
      <c r="K992" s="62">
        <v>-205047</v>
      </c>
      <c r="L992" s="33" t="e">
        <f>HLOOKUP(B992,#REF!,1,0)</f>
        <v>#REF!</v>
      </c>
      <c r="M992" s="33" t="str">
        <f t="shared" si="63"/>
        <v>BS</v>
      </c>
    </row>
    <row r="993" spans="1:13" s="33" customFormat="true" ht="12.75" customHeight="true">
      <c r="A993" s="33" t="str">
        <f t="shared" si="60"/>
        <v>GST - Fixed Assets</v>
      </c>
      <c r="B993" s="33" t="str">
        <f t="shared" si="61"/>
        <v>GST</v>
      </c>
      <c r="C993" s="33" t="str">
        <f t="shared" si="62"/>
        <v>18000-0000</v>
      </c>
      <c r="D993" s="64" t="s">
        <v>1354</v>
      </c>
      <c r="E993" s="64" t="s">
        <v>308</v>
      </c>
      <c r="F993" s="64" t="s">
        <v>230</v>
      </c>
      <c r="G993" s="64" t="s">
        <v>62</v>
      </c>
      <c r="H993" s="64" t="s">
        <v>63</v>
      </c>
      <c r="I993" s="64" t="s">
        <v>64</v>
      </c>
      <c r="J993" s="67">
        <v>0</v>
      </c>
      <c r="K993" s="62">
        <v>-12455</v>
      </c>
      <c r="L993" s="33" t="e">
        <f>HLOOKUP(B993,#REF!,1,0)</f>
        <v>#REF!</v>
      </c>
      <c r="M993" s="33" t="str">
        <f t="shared" si="63"/>
        <v>BS</v>
      </c>
    </row>
    <row r="994" spans="1:13" s="33" customFormat="true" ht="12.75" customHeight="true">
      <c r="A994" s="33" t="str">
        <f t="shared" si="60"/>
        <v>GST - Deposits</v>
      </c>
      <c r="B994" s="33" t="str">
        <f t="shared" si="61"/>
        <v>GST</v>
      </c>
      <c r="C994" s="33" t="str">
        <f t="shared" si="62"/>
        <v>19001-0000</v>
      </c>
      <c r="D994" s="64" t="s">
        <v>1355</v>
      </c>
      <c r="E994" s="64" t="s">
        <v>344</v>
      </c>
      <c r="F994" s="64" t="s">
        <v>230</v>
      </c>
      <c r="G994" s="64" t="s">
        <v>62</v>
      </c>
      <c r="H994" s="64" t="s">
        <v>80</v>
      </c>
      <c r="I994" s="64" t="s">
        <v>81</v>
      </c>
      <c r="J994" s="67">
        <v>0</v>
      </c>
      <c r="K994" s="62">
        <v>49.18</v>
      </c>
      <c r="L994" s="33" t="e">
        <f>HLOOKUP(B994,#REF!,1,0)</f>
        <v>#REF!</v>
      </c>
      <c r="M994" s="33" t="str">
        <f t="shared" si="63"/>
        <v>BS</v>
      </c>
    </row>
    <row r="995" spans="1:13" s="33" customFormat="true" ht="12.75" customHeight="true">
      <c r="A995" s="33" t="str">
        <f t="shared" si="60"/>
        <v>GST - AP-Accr Exp</v>
      </c>
      <c r="B995" s="33" t="str">
        <f t="shared" si="61"/>
        <v>GST</v>
      </c>
      <c r="C995" s="33" t="str">
        <f t="shared" si="62"/>
        <v>23509-0000</v>
      </c>
      <c r="D995" s="64" t="s">
        <v>1356</v>
      </c>
      <c r="E995" s="64" t="s">
        <v>111</v>
      </c>
      <c r="F995" s="64" t="s">
        <v>230</v>
      </c>
      <c r="G995" s="64" t="s">
        <v>97</v>
      </c>
      <c r="H995" s="64" t="s">
        <v>98</v>
      </c>
      <c r="I995" s="64" t="s">
        <v>102</v>
      </c>
      <c r="J995" s="67">
        <v>0</v>
      </c>
      <c r="K995" s="62">
        <v>-3183</v>
      </c>
      <c r="L995" s="33" t="e">
        <f>HLOOKUP(B995,#REF!,1,0)</f>
        <v>#REF!</v>
      </c>
      <c r="M995" s="33" t="str">
        <f t="shared" si="63"/>
        <v>BS</v>
      </c>
    </row>
    <row r="996" spans="1:13" s="33" customFormat="true" ht="12.75" customHeight="true">
      <c r="A996" s="33" t="str">
        <f t="shared" si="60"/>
        <v>GST - AP-Accr Exp</v>
      </c>
      <c r="B996" s="33" t="str">
        <f t="shared" si="61"/>
        <v>GST</v>
      </c>
      <c r="C996" s="33" t="str">
        <f t="shared" si="62"/>
        <v>24800-0000</v>
      </c>
      <c r="D996" s="64" t="s">
        <v>1357</v>
      </c>
      <c r="E996" s="64" t="s">
        <v>232</v>
      </c>
      <c r="F996" s="64" t="s">
        <v>230</v>
      </c>
      <c r="G996" s="64" t="s">
        <v>97</v>
      </c>
      <c r="H996" s="64" t="s">
        <v>98</v>
      </c>
      <c r="I996" s="64" t="s">
        <v>102</v>
      </c>
      <c r="J996" s="67">
        <v>0</v>
      </c>
      <c r="K996" s="62">
        <v>0</v>
      </c>
      <c r="L996" s="33" t="e">
        <f>HLOOKUP(B996,#REF!,1,0)</f>
        <v>#REF!</v>
      </c>
      <c r="M996" s="33" t="str">
        <f t="shared" si="63"/>
        <v>BS</v>
      </c>
    </row>
    <row r="997" spans="1:13" s="33" customFormat="true" ht="12.75" customHeight="true">
      <c r="A997" s="33" t="str">
        <f t="shared" si="60"/>
        <v>GST - InterCo Notes</v>
      </c>
      <c r="B997" s="33" t="str">
        <f t="shared" si="61"/>
        <v>GST</v>
      </c>
      <c r="C997" s="33" t="str">
        <f t="shared" si="62"/>
        <v>25000-0000</v>
      </c>
      <c r="D997" s="64" t="s">
        <v>1358</v>
      </c>
      <c r="E997" s="64" t="s">
        <v>314</v>
      </c>
      <c r="F997" s="64" t="s">
        <v>230</v>
      </c>
      <c r="G997" s="64" t="s">
        <v>16</v>
      </c>
      <c r="H997" s="64" t="s">
        <v>315</v>
      </c>
      <c r="I997" s="64" t="s">
        <v>40</v>
      </c>
      <c r="J997" s="67">
        <v>0</v>
      </c>
      <c r="K997" s="62">
        <v>-514110.32</v>
      </c>
      <c r="L997" s="33" t="e">
        <f>HLOOKUP(B997,#REF!,1,0)</f>
        <v>#REF!</v>
      </c>
      <c r="M997" s="33" t="str">
        <f t="shared" si="63"/>
        <v>BS</v>
      </c>
    </row>
    <row r="998" spans="1:13" s="33" customFormat="true" ht="12.75" customHeight="true">
      <c r="A998" s="33" t="str">
        <f t="shared" si="60"/>
        <v>GST - Principal</v>
      </c>
      <c r="B998" s="33" t="str">
        <f t="shared" si="61"/>
        <v>GST</v>
      </c>
      <c r="C998" s="33" t="str">
        <f t="shared" si="62"/>
        <v>28001-0000</v>
      </c>
      <c r="D998" s="64" t="s">
        <v>1359</v>
      </c>
      <c r="E998" s="64" t="s">
        <v>433</v>
      </c>
      <c r="F998" s="64" t="s">
        <v>230</v>
      </c>
      <c r="G998" s="64" t="s">
        <v>123</v>
      </c>
      <c r="H998" s="64" t="s">
        <v>127</v>
      </c>
      <c r="I998" s="64" t="s">
        <v>133</v>
      </c>
      <c r="J998" s="67">
        <v>0</v>
      </c>
      <c r="K998" s="62">
        <v>-0.37</v>
      </c>
      <c r="L998" s="33" t="e">
        <f>HLOOKUP(B998,#REF!,1,0)</f>
        <v>#REF!</v>
      </c>
      <c r="M998" s="33" t="str">
        <f t="shared" si="63"/>
        <v>BS</v>
      </c>
    </row>
    <row r="999" spans="1:13" s="33" customFormat="true" ht="12.75" customHeight="true">
      <c r="A999" s="33" t="str">
        <f t="shared" si="60"/>
        <v>GST - SH Dist</v>
      </c>
      <c r="B999" s="33" t="str">
        <f t="shared" si="61"/>
        <v>GST</v>
      </c>
      <c r="C999" s="33" t="str">
        <f t="shared" si="62"/>
        <v>30700-0000</v>
      </c>
      <c r="D999" s="64" t="s">
        <v>1360</v>
      </c>
      <c r="E999" s="64" t="s">
        <v>319</v>
      </c>
      <c r="F999" s="64" t="s">
        <v>230</v>
      </c>
      <c r="G999" s="64" t="s">
        <v>142</v>
      </c>
      <c r="H999" s="64" t="s">
        <v>143</v>
      </c>
      <c r="I999" s="64" t="s">
        <v>144</v>
      </c>
      <c r="J999" s="67">
        <v>0</v>
      </c>
      <c r="K999" s="62">
        <v>-258326.06</v>
      </c>
      <c r="L999" s="33" t="e">
        <f>HLOOKUP(B999,#REF!,1,0)</f>
        <v>#REF!</v>
      </c>
      <c r="M999" s="33" t="str">
        <f t="shared" si="63"/>
        <v>BS</v>
      </c>
    </row>
    <row r="1000" spans="1:13" s="33" customFormat="true" ht="12.75" customHeight="true">
      <c r="A1000" s="33" t="str">
        <f t="shared" si="60"/>
        <v>GST - Retained Earnings</v>
      </c>
      <c r="B1000" s="33" t="str">
        <f t="shared" si="61"/>
        <v>GST</v>
      </c>
      <c r="C1000" s="33" t="str">
        <f t="shared" si="62"/>
        <v>32000-0000</v>
      </c>
      <c r="D1000" s="64" t="s">
        <v>1361</v>
      </c>
      <c r="E1000" s="64" t="s">
        <v>234</v>
      </c>
      <c r="F1000" s="64" t="s">
        <v>230</v>
      </c>
      <c r="G1000" s="64" t="s">
        <v>142</v>
      </c>
      <c r="H1000" s="64" t="s">
        <v>149</v>
      </c>
      <c r="I1000" s="64" t="s">
        <v>235</v>
      </c>
      <c r="J1000" s="67">
        <v>0</v>
      </c>
      <c r="K1000" s="62">
        <v>158771.61</v>
      </c>
      <c r="L1000" s="33" t="e">
        <f>HLOOKUP(B1000,#REF!,1,0)</f>
        <v>#REF!</v>
      </c>
      <c r="M1000" s="33" t="str">
        <f t="shared" si="63"/>
        <v>BS</v>
      </c>
    </row>
    <row r="1001" spans="1:13" s="33" customFormat="true" ht="12.75" customHeight="true">
      <c r="A1001" s="33" t="str">
        <f t="shared" si="60"/>
        <v>GST - SH Dist</v>
      </c>
      <c r="B1001" s="33" t="str">
        <f t="shared" si="61"/>
        <v>GST</v>
      </c>
      <c r="C1001" s="33" t="str">
        <f t="shared" si="62"/>
        <v>37007-0000</v>
      </c>
      <c r="D1001" s="64" t="s">
        <v>1362</v>
      </c>
      <c r="E1001" s="64" t="s">
        <v>1363</v>
      </c>
      <c r="F1001" s="64" t="s">
        <v>230</v>
      </c>
      <c r="G1001" s="64" t="s">
        <v>142</v>
      </c>
      <c r="H1001" s="64" t="s">
        <v>143</v>
      </c>
      <c r="I1001" s="64" t="s">
        <v>144</v>
      </c>
      <c r="J1001" s="67">
        <v>0</v>
      </c>
      <c r="K1001" s="62">
        <v>226000</v>
      </c>
      <c r="L1001" s="33" t="e">
        <f>HLOOKUP(B1001,#REF!,1,0)</f>
        <v>#REF!</v>
      </c>
      <c r="M1001" s="33" t="str">
        <f t="shared" si="63"/>
        <v>BS</v>
      </c>
    </row>
    <row r="1002" spans="1:13" s="33" customFormat="true" ht="12.75" customHeight="true">
      <c r="A1002" s="33" t="str">
        <f t="shared" si="60"/>
        <v>HDM - AP-Accr Exp</v>
      </c>
      <c r="B1002" s="33" t="str">
        <f t="shared" si="61"/>
        <v>HDM</v>
      </c>
      <c r="C1002" s="33" t="str">
        <f t="shared" si="62"/>
        <v>24800-0000</v>
      </c>
      <c r="D1002" s="64" t="s">
        <v>1364</v>
      </c>
      <c r="E1002" s="64" t="s">
        <v>232</v>
      </c>
      <c r="F1002" s="64" t="s">
        <v>230</v>
      </c>
      <c r="G1002" s="64" t="s">
        <v>97</v>
      </c>
      <c r="H1002" s="64" t="s">
        <v>98</v>
      </c>
      <c r="I1002" s="64" t="s">
        <v>102</v>
      </c>
      <c r="J1002" s="67">
        <v>0</v>
      </c>
      <c r="K1002" s="62">
        <v>-6800</v>
      </c>
      <c r="L1002" s="33" t="e">
        <f>HLOOKUP(B1002,#REF!,1,0)</f>
        <v>#REF!</v>
      </c>
      <c r="M1002" s="33" t="str">
        <f t="shared" si="63"/>
        <v>BS</v>
      </c>
    </row>
    <row r="1003" spans="1:13" s="33" customFormat="true" ht="12.75" customHeight="true">
      <c r="A1003" s="33" t="str">
        <f t="shared" si="60"/>
        <v>HDM - AP-Accr Exp</v>
      </c>
      <c r="B1003" s="33" t="str">
        <f t="shared" si="61"/>
        <v>HDM</v>
      </c>
      <c r="C1003" s="33" t="str">
        <f t="shared" si="62"/>
        <v>24801-0000</v>
      </c>
      <c r="D1003" s="64" t="s">
        <v>1365</v>
      </c>
      <c r="E1003" s="64" t="s">
        <v>399</v>
      </c>
      <c r="F1003" s="64" t="s">
        <v>230</v>
      </c>
      <c r="G1003" s="64" t="s">
        <v>97</v>
      </c>
      <c r="H1003" s="64" t="s">
        <v>98</v>
      </c>
      <c r="I1003" s="64" t="s">
        <v>102</v>
      </c>
      <c r="J1003" s="67">
        <v>0</v>
      </c>
      <c r="K1003" s="62">
        <v>0</v>
      </c>
      <c r="L1003" s="33" t="e">
        <f>HLOOKUP(B1003,#REF!,1,0)</f>
        <v>#REF!</v>
      </c>
      <c r="M1003" s="33" t="str">
        <f t="shared" si="63"/>
        <v>BS</v>
      </c>
    </row>
    <row r="1004" spans="1:13" s="33" customFormat="true" ht="12.75" customHeight="true">
      <c r="A1004" s="33" t="str">
        <f t="shared" si="60"/>
        <v>HDM - Retained Earnings</v>
      </c>
      <c r="B1004" s="33" t="str">
        <f t="shared" si="61"/>
        <v>HDM</v>
      </c>
      <c r="C1004" s="33" t="str">
        <f t="shared" si="62"/>
        <v>32000-0000</v>
      </c>
      <c r="D1004" s="64" t="s">
        <v>1366</v>
      </c>
      <c r="E1004" s="64" t="s">
        <v>234</v>
      </c>
      <c r="F1004" s="64" t="s">
        <v>230</v>
      </c>
      <c r="G1004" s="64" t="s">
        <v>142</v>
      </c>
      <c r="H1004" s="64" t="s">
        <v>149</v>
      </c>
      <c r="I1004" s="64" t="s">
        <v>235</v>
      </c>
      <c r="J1004" s="67">
        <v>0</v>
      </c>
      <c r="K1004" s="62">
        <v>-100</v>
      </c>
      <c r="L1004" s="33" t="e">
        <f>HLOOKUP(B1004,#REF!,1,0)</f>
        <v>#REF!</v>
      </c>
      <c r="M1004" s="33" t="str">
        <f t="shared" si="63"/>
        <v>BS</v>
      </c>
    </row>
    <row r="1005" spans="1:13" s="33" customFormat="true" ht="12.75" customHeight="true">
      <c r="A1005" s="33" t="str">
        <f t="shared" si="60"/>
        <v>HDN - Cash</v>
      </c>
      <c r="B1005" s="33" t="str">
        <f t="shared" si="61"/>
        <v>HDN</v>
      </c>
      <c r="C1005" s="33" t="str">
        <f t="shared" si="62"/>
        <v>10001-0000</v>
      </c>
      <c r="D1005" s="64" t="s">
        <v>1367</v>
      </c>
      <c r="E1005" s="64" t="s">
        <v>240</v>
      </c>
      <c r="F1005" s="64" t="s">
        <v>230</v>
      </c>
      <c r="G1005" s="64" t="s">
        <v>16</v>
      </c>
      <c r="H1005" s="64" t="s">
        <v>25</v>
      </c>
      <c r="I1005" s="64" t="s">
        <v>18</v>
      </c>
      <c r="J1005" s="67">
        <v>0</v>
      </c>
      <c r="K1005" s="62">
        <v>-4955.72</v>
      </c>
      <c r="L1005" s="33" t="e">
        <f>HLOOKUP(B1005,#REF!,1,0)</f>
        <v>#REF!</v>
      </c>
      <c r="M1005" s="33" t="str">
        <f t="shared" si="63"/>
        <v>BS</v>
      </c>
    </row>
    <row r="1006" spans="1:13" s="33" customFormat="true" ht="12.75" customHeight="true">
      <c r="A1006" s="33" t="str">
        <f t="shared" si="60"/>
        <v>HDN - Intercompany</v>
      </c>
      <c r="B1006" s="33" t="str">
        <f t="shared" si="61"/>
        <v>HDN</v>
      </c>
      <c r="C1006" s="33" t="str">
        <f t="shared" si="62"/>
        <v>11216-0000</v>
      </c>
      <c r="D1006" s="64" t="s">
        <v>1368</v>
      </c>
      <c r="E1006" s="64" t="s">
        <v>242</v>
      </c>
      <c r="F1006" s="64" t="s">
        <v>230</v>
      </c>
      <c r="G1006" s="64" t="s">
        <v>16</v>
      </c>
      <c r="H1006" s="64" t="s">
        <v>39</v>
      </c>
      <c r="I1006" s="64" t="s">
        <v>40</v>
      </c>
      <c r="J1006" s="67">
        <v>0</v>
      </c>
      <c r="K1006" s="62">
        <v>1395.5</v>
      </c>
      <c r="L1006" s="33" t="e">
        <f>HLOOKUP(B1006,#REF!,1,0)</f>
        <v>#REF!</v>
      </c>
      <c r="M1006" s="33" t="str">
        <f t="shared" si="63"/>
        <v>BS</v>
      </c>
    </row>
    <row r="1007" spans="1:13" s="33" customFormat="true" ht="12.75" customHeight="true">
      <c r="A1007" s="33" t="str">
        <f t="shared" si="60"/>
        <v>HDN - Intercompany</v>
      </c>
      <c r="B1007" s="33" t="str">
        <f t="shared" si="61"/>
        <v>HDN</v>
      </c>
      <c r="C1007" s="33" t="str">
        <f t="shared" si="62"/>
        <v>11315-0000</v>
      </c>
      <c r="D1007" s="64" t="s">
        <v>1369</v>
      </c>
      <c r="E1007" s="64" t="s">
        <v>1370</v>
      </c>
      <c r="F1007" s="64" t="s">
        <v>230</v>
      </c>
      <c r="G1007" s="64" t="s">
        <v>16</v>
      </c>
      <c r="H1007" s="64" t="s">
        <v>39</v>
      </c>
      <c r="I1007" s="64" t="s">
        <v>40</v>
      </c>
      <c r="J1007" s="67">
        <v>0</v>
      </c>
      <c r="K1007" s="62">
        <v>44000</v>
      </c>
      <c r="L1007" s="33" t="e">
        <f>HLOOKUP(B1007,#REF!,1,0)</f>
        <v>#REF!</v>
      </c>
      <c r="M1007" s="33" t="str">
        <f t="shared" si="63"/>
        <v>BS</v>
      </c>
    </row>
    <row r="1008" spans="1:13" s="33" customFormat="true" ht="12.75" customHeight="true">
      <c r="A1008" s="33" t="str">
        <f t="shared" si="60"/>
        <v>HDN - Intercompany</v>
      </c>
      <c r="B1008" s="33" t="str">
        <f t="shared" si="61"/>
        <v>HDN</v>
      </c>
      <c r="C1008" s="33" t="str">
        <f t="shared" si="62"/>
        <v>11321-0000</v>
      </c>
      <c r="D1008" s="64" t="s">
        <v>1371</v>
      </c>
      <c r="E1008" s="64" t="s">
        <v>268</v>
      </c>
      <c r="F1008" s="64" t="s">
        <v>230</v>
      </c>
      <c r="G1008" s="64" t="s">
        <v>16</v>
      </c>
      <c r="H1008" s="64" t="s">
        <v>39</v>
      </c>
      <c r="I1008" s="64" t="s">
        <v>40</v>
      </c>
      <c r="J1008" s="67">
        <v>0</v>
      </c>
      <c r="K1008" s="62">
        <v>-19000</v>
      </c>
      <c r="L1008" s="33" t="e">
        <f>HLOOKUP(B1008,#REF!,1,0)</f>
        <v>#REF!</v>
      </c>
      <c r="M1008" s="33" t="str">
        <f t="shared" si="63"/>
        <v>BS</v>
      </c>
    </row>
    <row r="1009" spans="1:13" s="33" customFormat="true" ht="12.75" customHeight="true">
      <c r="A1009" s="33" t="str">
        <f t="shared" si="60"/>
        <v>HDN - Intercompany</v>
      </c>
      <c r="B1009" s="33" t="str">
        <f t="shared" si="61"/>
        <v>HDN</v>
      </c>
      <c r="C1009" s="33" t="str">
        <f t="shared" si="62"/>
        <v>11322-0000</v>
      </c>
      <c r="D1009" s="64" t="s">
        <v>1372</v>
      </c>
      <c r="E1009" s="64" t="s">
        <v>270</v>
      </c>
      <c r="F1009" s="64" t="s">
        <v>230</v>
      </c>
      <c r="G1009" s="64" t="s">
        <v>16</v>
      </c>
      <c r="H1009" s="64" t="s">
        <v>39</v>
      </c>
      <c r="I1009" s="64" t="s">
        <v>40</v>
      </c>
      <c r="J1009" s="67">
        <v>0</v>
      </c>
      <c r="K1009" s="62">
        <v>-10000</v>
      </c>
      <c r="L1009" s="33" t="e">
        <f>HLOOKUP(B1009,#REF!,1,0)</f>
        <v>#REF!</v>
      </c>
      <c r="M1009" s="33" t="str">
        <f t="shared" si="63"/>
        <v>BS</v>
      </c>
    </row>
    <row r="1010" spans="1:13" s="33" customFormat="true" ht="12.75" customHeight="true">
      <c r="A1010" s="33" t="str">
        <f t="shared" si="60"/>
        <v>HDN - Intercompany</v>
      </c>
      <c r="B1010" s="33" t="str">
        <f t="shared" si="61"/>
        <v>HDN</v>
      </c>
      <c r="C1010" s="33" t="str">
        <f t="shared" si="62"/>
        <v>11329-0000</v>
      </c>
      <c r="D1010" s="64" t="s">
        <v>1373</v>
      </c>
      <c r="E1010" s="64" t="s">
        <v>377</v>
      </c>
      <c r="F1010" s="64" t="s">
        <v>230</v>
      </c>
      <c r="G1010" s="64" t="s">
        <v>16</v>
      </c>
      <c r="H1010" s="64" t="s">
        <v>39</v>
      </c>
      <c r="I1010" s="64" t="s">
        <v>40</v>
      </c>
      <c r="J1010" s="67">
        <v>0</v>
      </c>
      <c r="K1010" s="62">
        <v>-5000</v>
      </c>
      <c r="L1010" s="33" t="e">
        <f>HLOOKUP(B1010,#REF!,1,0)</f>
        <v>#REF!</v>
      </c>
      <c r="M1010" s="33" t="str">
        <f t="shared" si="63"/>
        <v>BS</v>
      </c>
    </row>
    <row r="1011" spans="1:13" s="33" customFormat="true" ht="12.75" customHeight="true">
      <c r="A1011" s="33" t="str">
        <f t="shared" si="60"/>
        <v>HDN - Intercompany</v>
      </c>
      <c r="B1011" s="33" t="str">
        <f t="shared" si="61"/>
        <v>HDN</v>
      </c>
      <c r="C1011" s="33" t="str">
        <f t="shared" si="62"/>
        <v>11332-0000</v>
      </c>
      <c r="D1011" s="64" t="s">
        <v>1374</v>
      </c>
      <c r="E1011" s="64" t="s">
        <v>331</v>
      </c>
      <c r="F1011" s="64" t="s">
        <v>230</v>
      </c>
      <c r="G1011" s="64" t="s">
        <v>16</v>
      </c>
      <c r="H1011" s="64" t="s">
        <v>39</v>
      </c>
      <c r="I1011" s="64" t="s">
        <v>40</v>
      </c>
      <c r="J1011" s="67">
        <v>0</v>
      </c>
      <c r="K1011" s="62">
        <v>11000</v>
      </c>
      <c r="L1011" s="33" t="e">
        <f>HLOOKUP(B1011,#REF!,1,0)</f>
        <v>#REF!</v>
      </c>
      <c r="M1011" s="33" t="str">
        <f t="shared" si="63"/>
        <v>BS</v>
      </c>
    </row>
    <row r="1012" spans="1:13" s="33" customFormat="true" ht="12.75" customHeight="true">
      <c r="A1012" s="33" t="str">
        <f t="shared" si="60"/>
        <v>HDN - Intercompany</v>
      </c>
      <c r="B1012" s="33" t="str">
        <f t="shared" si="61"/>
        <v>HDN</v>
      </c>
      <c r="C1012" s="33" t="str">
        <f t="shared" si="62"/>
        <v>11336-0000</v>
      </c>
      <c r="D1012" s="64" t="s">
        <v>1375</v>
      </c>
      <c r="E1012" s="64" t="s">
        <v>290</v>
      </c>
      <c r="F1012" s="64" t="s">
        <v>230</v>
      </c>
      <c r="G1012" s="64" t="s">
        <v>16</v>
      </c>
      <c r="H1012" s="64" t="s">
        <v>39</v>
      </c>
      <c r="I1012" s="64" t="s">
        <v>40</v>
      </c>
      <c r="J1012" s="67">
        <v>0</v>
      </c>
      <c r="K1012" s="62">
        <v>-10000</v>
      </c>
      <c r="L1012" s="33" t="e">
        <f>HLOOKUP(B1012,#REF!,1,0)</f>
        <v>#REF!</v>
      </c>
      <c r="M1012" s="33" t="str">
        <f t="shared" si="63"/>
        <v>BS</v>
      </c>
    </row>
    <row r="1013" spans="1:13" s="33" customFormat="true" ht="12.75" customHeight="true">
      <c r="A1013" s="33" t="str">
        <f t="shared" si="60"/>
        <v>HDN - AR-PPD</v>
      </c>
      <c r="B1013" s="33" t="str">
        <f t="shared" si="61"/>
        <v>HDN</v>
      </c>
      <c r="C1013" s="33" t="str">
        <f t="shared" si="62"/>
        <v>12200-0000</v>
      </c>
      <c r="D1013" s="64" t="s">
        <v>1376</v>
      </c>
      <c r="E1013" s="64" t="s">
        <v>294</v>
      </c>
      <c r="F1013" s="64" t="s">
        <v>230</v>
      </c>
      <c r="G1013" s="64" t="s">
        <v>62</v>
      </c>
      <c r="H1013" s="64" t="s">
        <v>35</v>
      </c>
      <c r="I1013" s="64" t="s">
        <v>64</v>
      </c>
      <c r="J1013" s="67">
        <v>0</v>
      </c>
      <c r="K1013" s="62">
        <v>0</v>
      </c>
      <c r="L1013" s="33" t="e">
        <f>HLOOKUP(B1013,#REF!,1,0)</f>
        <v>#REF!</v>
      </c>
      <c r="M1013" s="33" t="str">
        <f t="shared" si="63"/>
        <v>BS</v>
      </c>
    </row>
    <row r="1014" spans="1:13" s="33" customFormat="true" ht="12.75" customHeight="true">
      <c r="A1014" s="33" t="str">
        <f t="shared" si="60"/>
        <v>HDN - Fixed Assets</v>
      </c>
      <c r="B1014" s="33" t="str">
        <f t="shared" si="61"/>
        <v>HDN</v>
      </c>
      <c r="C1014" s="33" t="str">
        <f t="shared" si="62"/>
        <v>14000-0000</v>
      </c>
      <c r="D1014" s="64" t="s">
        <v>1377</v>
      </c>
      <c r="E1014" s="64" t="s">
        <v>298</v>
      </c>
      <c r="F1014" s="64" t="s">
        <v>230</v>
      </c>
      <c r="G1014" s="64" t="s">
        <v>62</v>
      </c>
      <c r="H1014" s="64" t="s">
        <v>63</v>
      </c>
      <c r="I1014" s="64" t="s">
        <v>64</v>
      </c>
      <c r="J1014" s="67">
        <v>0</v>
      </c>
      <c r="K1014" s="62">
        <v>0</v>
      </c>
      <c r="L1014" s="33" t="e">
        <f>HLOOKUP(B1014,#REF!,1,0)</f>
        <v>#REF!</v>
      </c>
      <c r="M1014" s="33" t="str">
        <f t="shared" si="63"/>
        <v>BS</v>
      </c>
    </row>
    <row r="1015" spans="1:13" s="33" customFormat="true" ht="12.75" customHeight="true">
      <c r="A1015" s="33" t="str">
        <f t="shared" si="60"/>
        <v>HDN - Fixed Assets</v>
      </c>
      <c r="B1015" s="33" t="str">
        <f t="shared" si="61"/>
        <v>HDN</v>
      </c>
      <c r="C1015" s="33" t="str">
        <f t="shared" si="62"/>
        <v>15000-0000</v>
      </c>
      <c r="D1015" s="64" t="s">
        <v>1378</v>
      </c>
      <c r="E1015" s="64" t="s">
        <v>300</v>
      </c>
      <c r="F1015" s="64" t="s">
        <v>230</v>
      </c>
      <c r="G1015" s="64" t="s">
        <v>62</v>
      </c>
      <c r="H1015" s="64" t="s">
        <v>63</v>
      </c>
      <c r="I1015" s="64" t="s">
        <v>64</v>
      </c>
      <c r="J1015" s="67">
        <v>0</v>
      </c>
      <c r="K1015" s="62">
        <v>0</v>
      </c>
      <c r="L1015" s="33" t="e">
        <f>HLOOKUP(B1015,#REF!,1,0)</f>
        <v>#REF!</v>
      </c>
      <c r="M1015" s="33" t="str">
        <f t="shared" si="63"/>
        <v>BS</v>
      </c>
    </row>
    <row r="1016" spans="1:13" s="33" customFormat="true" ht="12.75" customHeight="true">
      <c r="A1016" s="33" t="str">
        <f t="shared" si="60"/>
        <v>HDN - Fixed Assets</v>
      </c>
      <c r="B1016" s="33" t="str">
        <f t="shared" si="61"/>
        <v>HDN</v>
      </c>
      <c r="C1016" s="33" t="str">
        <f t="shared" si="62"/>
        <v>15500-0000</v>
      </c>
      <c r="D1016" s="64" t="s">
        <v>1379</v>
      </c>
      <c r="E1016" s="64" t="s">
        <v>302</v>
      </c>
      <c r="F1016" s="64" t="s">
        <v>230</v>
      </c>
      <c r="G1016" s="64" t="s">
        <v>62</v>
      </c>
      <c r="H1016" s="64" t="s">
        <v>63</v>
      </c>
      <c r="I1016" s="64" t="s">
        <v>64</v>
      </c>
      <c r="J1016" s="67">
        <v>0</v>
      </c>
      <c r="K1016" s="62">
        <v>290148.67</v>
      </c>
      <c r="L1016" s="33" t="e">
        <f>HLOOKUP(B1016,#REF!,1,0)</f>
        <v>#REF!</v>
      </c>
      <c r="M1016" s="33" t="str">
        <f t="shared" si="63"/>
        <v>BS</v>
      </c>
    </row>
    <row r="1017" spans="1:13" s="33" customFormat="true" ht="12.75" customHeight="true">
      <c r="A1017" s="33" t="str">
        <f t="shared" si="60"/>
        <v>HDN - Fixed Assets</v>
      </c>
      <c r="B1017" s="33" t="str">
        <f t="shared" si="61"/>
        <v>HDN</v>
      </c>
      <c r="C1017" s="33" t="str">
        <f t="shared" si="62"/>
        <v>16000-0000</v>
      </c>
      <c r="D1017" s="64" t="s">
        <v>1380</v>
      </c>
      <c r="E1017" s="64" t="s">
        <v>304</v>
      </c>
      <c r="F1017" s="64" t="s">
        <v>230</v>
      </c>
      <c r="G1017" s="64" t="s">
        <v>16</v>
      </c>
      <c r="H1017" s="64" t="s">
        <v>63</v>
      </c>
      <c r="I1017" s="64" t="s">
        <v>18</v>
      </c>
      <c r="J1017" s="67">
        <v>0</v>
      </c>
      <c r="K1017" s="62">
        <v>55362.39</v>
      </c>
      <c r="L1017" s="33" t="e">
        <f>HLOOKUP(B1017,#REF!,1,0)</f>
        <v>#REF!</v>
      </c>
      <c r="M1017" s="33" t="str">
        <f t="shared" si="63"/>
        <v>BS</v>
      </c>
    </row>
    <row r="1018" spans="1:13" s="33" customFormat="true" ht="12.75" customHeight="true">
      <c r="A1018" s="33" t="str">
        <f t="shared" si="60"/>
        <v>HDN - Fixed Assets</v>
      </c>
      <c r="B1018" s="33" t="str">
        <f t="shared" si="61"/>
        <v>HDN</v>
      </c>
      <c r="C1018" s="33" t="str">
        <f t="shared" si="62"/>
        <v>17000-0000</v>
      </c>
      <c r="D1018" s="64" t="s">
        <v>1381</v>
      </c>
      <c r="E1018" s="64" t="s">
        <v>306</v>
      </c>
      <c r="F1018" s="64" t="s">
        <v>230</v>
      </c>
      <c r="G1018" s="64" t="s">
        <v>62</v>
      </c>
      <c r="H1018" s="64" t="s">
        <v>63</v>
      </c>
      <c r="I1018" s="64" t="s">
        <v>64</v>
      </c>
      <c r="J1018" s="67">
        <v>0</v>
      </c>
      <c r="K1018" s="62">
        <v>-445014</v>
      </c>
      <c r="L1018" s="33" t="e">
        <f>HLOOKUP(B1018,#REF!,1,0)</f>
        <v>#REF!</v>
      </c>
      <c r="M1018" s="33" t="str">
        <f t="shared" si="63"/>
        <v>BS</v>
      </c>
    </row>
    <row r="1019" spans="1:13" s="33" customFormat="true" ht="12.75" customHeight="true">
      <c r="A1019" s="33" t="str">
        <f t="shared" si="60"/>
        <v>HDN - Fixed Assets</v>
      </c>
      <c r="B1019" s="33" t="str">
        <f t="shared" si="61"/>
        <v>HDN</v>
      </c>
      <c r="C1019" s="33" t="str">
        <f t="shared" si="62"/>
        <v>18000-0000</v>
      </c>
      <c r="D1019" s="64" t="s">
        <v>1382</v>
      </c>
      <c r="E1019" s="64" t="s">
        <v>308</v>
      </c>
      <c r="F1019" s="64" t="s">
        <v>230</v>
      </c>
      <c r="G1019" s="64" t="s">
        <v>62</v>
      </c>
      <c r="H1019" s="64" t="s">
        <v>63</v>
      </c>
      <c r="I1019" s="64" t="s">
        <v>64</v>
      </c>
      <c r="J1019" s="67">
        <v>0</v>
      </c>
      <c r="K1019" s="62">
        <v>-56162</v>
      </c>
      <c r="L1019" s="33" t="e">
        <f>HLOOKUP(B1019,#REF!,1,0)</f>
        <v>#REF!</v>
      </c>
      <c r="M1019" s="33" t="str">
        <f t="shared" si="63"/>
        <v>BS</v>
      </c>
    </row>
    <row r="1020" spans="1:13" s="33" customFormat="true" ht="12.75" customHeight="true">
      <c r="A1020" s="33" t="str">
        <f t="shared" si="60"/>
        <v>HDN - Deposits</v>
      </c>
      <c r="B1020" s="33" t="str">
        <f t="shared" si="61"/>
        <v>HDN</v>
      </c>
      <c r="C1020" s="33" t="str">
        <f t="shared" si="62"/>
        <v>19001-0000</v>
      </c>
      <c r="D1020" s="64" t="s">
        <v>1383</v>
      </c>
      <c r="E1020" s="64" t="s">
        <v>344</v>
      </c>
      <c r="F1020" s="64" t="s">
        <v>230</v>
      </c>
      <c r="G1020" s="64" t="s">
        <v>62</v>
      </c>
      <c r="H1020" s="64" t="s">
        <v>80</v>
      </c>
      <c r="I1020" s="64" t="s">
        <v>81</v>
      </c>
      <c r="J1020" s="67">
        <v>0</v>
      </c>
      <c r="K1020" s="62">
        <v>-104.29</v>
      </c>
      <c r="L1020" s="33" t="e">
        <f>HLOOKUP(B1020,#REF!,1,0)</f>
        <v>#REF!</v>
      </c>
      <c r="M1020" s="33" t="str">
        <f t="shared" si="63"/>
        <v>BS</v>
      </c>
    </row>
    <row r="1021" spans="1:13" s="33" customFormat="true" ht="12.75" customHeight="true">
      <c r="A1021" s="33" t="str">
        <f t="shared" si="60"/>
        <v>HDN - AP-Accr Exp</v>
      </c>
      <c r="B1021" s="33" t="str">
        <f t="shared" si="61"/>
        <v>HDN</v>
      </c>
      <c r="C1021" s="33" t="str">
        <f t="shared" si="62"/>
        <v>20001-0000</v>
      </c>
      <c r="D1021" s="64" t="s">
        <v>1384</v>
      </c>
      <c r="E1021" s="64" t="s">
        <v>96</v>
      </c>
      <c r="F1021" s="64" t="s">
        <v>230</v>
      </c>
      <c r="G1021" s="64" t="s">
        <v>97</v>
      </c>
      <c r="H1021" s="64" t="s">
        <v>98</v>
      </c>
      <c r="I1021" s="64" t="s">
        <v>99</v>
      </c>
      <c r="J1021" s="67">
        <v>0</v>
      </c>
      <c r="K1021" s="62">
        <v>0</v>
      </c>
      <c r="L1021" s="33" t="e">
        <f>HLOOKUP(B1021,#REF!,1,0)</f>
        <v>#REF!</v>
      </c>
      <c r="M1021" s="33" t="str">
        <f t="shared" si="63"/>
        <v>BS</v>
      </c>
    </row>
    <row r="1022" spans="1:13" s="33" customFormat="true" ht="12.75" customHeight="true">
      <c r="A1022" s="33" t="str">
        <f t="shared" si="60"/>
        <v>HDN - AP-Accr Exp</v>
      </c>
      <c r="B1022" s="33" t="str">
        <f t="shared" si="61"/>
        <v>HDN</v>
      </c>
      <c r="C1022" s="33" t="str">
        <f t="shared" si="62"/>
        <v>23509-0000</v>
      </c>
      <c r="D1022" s="64" t="s">
        <v>1385</v>
      </c>
      <c r="E1022" s="64" t="s">
        <v>111</v>
      </c>
      <c r="F1022" s="64" t="s">
        <v>230</v>
      </c>
      <c r="G1022" s="64" t="s">
        <v>97</v>
      </c>
      <c r="H1022" s="64" t="s">
        <v>98</v>
      </c>
      <c r="I1022" s="64" t="s">
        <v>102</v>
      </c>
      <c r="J1022" s="67">
        <v>0</v>
      </c>
      <c r="K1022" s="62">
        <v>0</v>
      </c>
      <c r="L1022" s="33" t="e">
        <f>HLOOKUP(B1022,#REF!,1,0)</f>
        <v>#REF!</v>
      </c>
      <c r="M1022" s="33" t="str">
        <f t="shared" si="63"/>
        <v>BS</v>
      </c>
    </row>
    <row r="1023" spans="1:13" s="33" customFormat="true" ht="12.75" customHeight="true">
      <c r="A1023" s="33" t="str">
        <f t="shared" si="60"/>
        <v>HDN - AP-Accr Exp</v>
      </c>
      <c r="B1023" s="33" t="str">
        <f t="shared" si="61"/>
        <v>HDN</v>
      </c>
      <c r="C1023" s="33" t="str">
        <f t="shared" si="62"/>
        <v>24800-0000</v>
      </c>
      <c r="D1023" s="64" t="s">
        <v>1386</v>
      </c>
      <c r="E1023" s="64" t="s">
        <v>232</v>
      </c>
      <c r="F1023" s="64" t="s">
        <v>230</v>
      </c>
      <c r="G1023" s="64" t="s">
        <v>97</v>
      </c>
      <c r="H1023" s="64" t="s">
        <v>98</v>
      </c>
      <c r="I1023" s="64" t="s">
        <v>102</v>
      </c>
      <c r="J1023" s="67">
        <v>0</v>
      </c>
      <c r="K1023" s="62">
        <v>0</v>
      </c>
      <c r="L1023" s="33" t="e">
        <f>HLOOKUP(B1023,#REF!,1,0)</f>
        <v>#REF!</v>
      </c>
      <c r="M1023" s="33" t="str">
        <f t="shared" si="63"/>
        <v>BS</v>
      </c>
    </row>
    <row r="1024" spans="1:13" s="33" customFormat="true" ht="12.75" customHeight="true">
      <c r="A1024" s="33" t="str">
        <f t="shared" si="60"/>
        <v>HDN - InterCo Notes</v>
      </c>
      <c r="B1024" s="33" t="str">
        <f t="shared" si="61"/>
        <v>HDN</v>
      </c>
      <c r="C1024" s="33" t="str">
        <f t="shared" si="62"/>
        <v>25000-0000</v>
      </c>
      <c r="D1024" s="64" t="s">
        <v>1387</v>
      </c>
      <c r="E1024" s="64" t="s">
        <v>314</v>
      </c>
      <c r="F1024" s="64" t="s">
        <v>230</v>
      </c>
      <c r="G1024" s="64" t="s">
        <v>16</v>
      </c>
      <c r="H1024" s="64" t="s">
        <v>315</v>
      </c>
      <c r="I1024" s="64" t="s">
        <v>40</v>
      </c>
      <c r="J1024" s="67">
        <v>0</v>
      </c>
      <c r="K1024" s="62">
        <v>-2257144.53</v>
      </c>
      <c r="L1024" s="33" t="e">
        <f>HLOOKUP(B1024,#REF!,1,0)</f>
        <v>#REF!</v>
      </c>
      <c r="M1024" s="33" t="str">
        <f t="shared" si="63"/>
        <v>BS</v>
      </c>
    </row>
    <row r="1025" spans="1:13" s="33" customFormat="true" ht="12.75" customHeight="true">
      <c r="A1025" s="33" t="str">
        <f t="shared" si="60"/>
        <v>HDN - Principal</v>
      </c>
      <c r="B1025" s="33" t="str">
        <f t="shared" si="61"/>
        <v>HDN</v>
      </c>
      <c r="C1025" s="33" t="str">
        <f t="shared" si="62"/>
        <v>26800-0000</v>
      </c>
      <c r="D1025" s="64" t="s">
        <v>1388</v>
      </c>
      <c r="E1025" s="64" t="s">
        <v>402</v>
      </c>
      <c r="F1025" s="64" t="s">
        <v>230</v>
      </c>
      <c r="G1025" s="64" t="s">
        <v>97</v>
      </c>
      <c r="H1025" s="64" t="s">
        <v>127</v>
      </c>
      <c r="I1025" s="64" t="s">
        <v>128</v>
      </c>
      <c r="J1025" s="67">
        <v>0</v>
      </c>
      <c r="K1025" s="62">
        <v>-150000</v>
      </c>
      <c r="L1025" s="33" t="e">
        <f>HLOOKUP(B1025,#REF!,1,0)</f>
        <v>#REF!</v>
      </c>
      <c r="M1025" s="33" t="str">
        <f t="shared" si="63"/>
        <v>BS</v>
      </c>
    </row>
    <row r="1026" spans="1:13" s="33" customFormat="true" ht="12.75" customHeight="true">
      <c r="A1026" s="33" t="str">
        <f t="shared" ref="A1026:A1089" si="64">B1026&amp;" - "&amp;TRIM(H1026)</f>
        <v>HDN - Principal</v>
      </c>
      <c r="B1026" s="33" t="str">
        <f t="shared" ref="B1026:B1089" si="65">LEFT(D1026,3)</f>
        <v>HDN</v>
      </c>
      <c r="C1026" s="33" t="str">
        <f t="shared" ref="C1026:C1089" si="66">RIGHT(D1026,10)</f>
        <v>28001-0001</v>
      </c>
      <c r="D1026" s="64" t="s">
        <v>1389</v>
      </c>
      <c r="E1026" s="64" t="s">
        <v>1390</v>
      </c>
      <c r="F1026" s="64" t="s">
        <v>230</v>
      </c>
      <c r="G1026" s="64" t="s">
        <v>123</v>
      </c>
      <c r="H1026" s="64" t="s">
        <v>127</v>
      </c>
      <c r="I1026" s="64" t="s">
        <v>133</v>
      </c>
      <c r="J1026" s="67">
        <v>0</v>
      </c>
      <c r="K1026" s="62">
        <v>-3993.51</v>
      </c>
      <c r="L1026" s="33" t="e">
        <f>HLOOKUP(B1026,#REF!,1,0)</f>
        <v>#REF!</v>
      </c>
      <c r="M1026" s="33" t="str">
        <f t="shared" ref="M1026:M1089" si="67">IF(VALUE(LEFT(C1026,5))&gt;40000,"P&amp;L","BS")</f>
        <v>BS</v>
      </c>
    </row>
    <row r="1027" spans="1:13" s="33" customFormat="true" ht="12.75" customHeight="true">
      <c r="A1027" s="33" t="str">
        <f t="shared" si="64"/>
        <v>HDN - SH Dist</v>
      </c>
      <c r="B1027" s="33" t="str">
        <f t="shared" si="65"/>
        <v>HDN</v>
      </c>
      <c r="C1027" s="33" t="str">
        <f t="shared" si="66"/>
        <v>30700-0000</v>
      </c>
      <c r="D1027" s="64" t="s">
        <v>1391</v>
      </c>
      <c r="E1027" s="64" t="s">
        <v>319</v>
      </c>
      <c r="F1027" s="64" t="s">
        <v>230</v>
      </c>
      <c r="G1027" s="64" t="s">
        <v>142</v>
      </c>
      <c r="H1027" s="64" t="s">
        <v>143</v>
      </c>
      <c r="I1027" s="64" t="s">
        <v>144</v>
      </c>
      <c r="J1027" s="67">
        <v>0</v>
      </c>
      <c r="K1027" s="62">
        <v>165455.48</v>
      </c>
      <c r="L1027" s="33" t="e">
        <f>HLOOKUP(B1027,#REF!,1,0)</f>
        <v>#REF!</v>
      </c>
      <c r="M1027" s="33" t="str">
        <f t="shared" si="67"/>
        <v>BS</v>
      </c>
    </row>
    <row r="1028" spans="1:13" s="33" customFormat="true" ht="12.75" customHeight="true">
      <c r="A1028" s="33" t="str">
        <f t="shared" si="64"/>
        <v>HDN - Retained Earnings</v>
      </c>
      <c r="B1028" s="33" t="str">
        <f t="shared" si="65"/>
        <v>HDN</v>
      </c>
      <c r="C1028" s="33" t="str">
        <f t="shared" si="66"/>
        <v>32000-0000</v>
      </c>
      <c r="D1028" s="64" t="s">
        <v>1392</v>
      </c>
      <c r="E1028" s="64" t="s">
        <v>234</v>
      </c>
      <c r="F1028" s="64" t="s">
        <v>230</v>
      </c>
      <c r="G1028" s="64" t="s">
        <v>142</v>
      </c>
      <c r="H1028" s="64" t="s">
        <v>149</v>
      </c>
      <c r="I1028" s="64" t="s">
        <v>235</v>
      </c>
      <c r="J1028" s="67">
        <v>0</v>
      </c>
      <c r="K1028" s="62">
        <v>339057.53</v>
      </c>
      <c r="L1028" s="33" t="e">
        <f>HLOOKUP(B1028,#REF!,1,0)</f>
        <v>#REF!</v>
      </c>
      <c r="M1028" s="33" t="str">
        <f t="shared" si="67"/>
        <v>BS</v>
      </c>
    </row>
    <row r="1029" spans="1:13" s="33" customFormat="true" ht="12.75" customHeight="true">
      <c r="A1029" s="33" t="str">
        <f t="shared" si="64"/>
        <v>HDR - AP-Accr Exp</v>
      </c>
      <c r="B1029" s="33" t="str">
        <f t="shared" si="65"/>
        <v>HDR</v>
      </c>
      <c r="C1029" s="33" t="str">
        <f t="shared" si="66"/>
        <v>24800-0000</v>
      </c>
      <c r="D1029" s="64" t="s">
        <v>1393</v>
      </c>
      <c r="E1029" s="64" t="s">
        <v>232</v>
      </c>
      <c r="F1029" s="64" t="s">
        <v>230</v>
      </c>
      <c r="G1029" s="64" t="s">
        <v>97</v>
      </c>
      <c r="H1029" s="64" t="s">
        <v>98</v>
      </c>
      <c r="I1029" s="64" t="s">
        <v>102</v>
      </c>
      <c r="J1029" s="67">
        <v>-347</v>
      </c>
      <c r="K1029" s="62">
        <v>-15118</v>
      </c>
      <c r="L1029" s="33" t="e">
        <f>HLOOKUP(B1029,#REF!,1,0)</f>
        <v>#REF!</v>
      </c>
      <c r="M1029" s="33" t="str">
        <f t="shared" si="67"/>
        <v>BS</v>
      </c>
    </row>
    <row r="1030" spans="1:13" s="33" customFormat="true" ht="12.75" customHeight="true">
      <c r="A1030" s="33" t="str">
        <f t="shared" si="64"/>
        <v>HDR - Retained Earnings</v>
      </c>
      <c r="B1030" s="33" t="str">
        <f t="shared" si="65"/>
        <v>HDR</v>
      </c>
      <c r="C1030" s="33" t="str">
        <f t="shared" si="66"/>
        <v>32000-0000</v>
      </c>
      <c r="D1030" s="64" t="s">
        <v>1394</v>
      </c>
      <c r="E1030" s="64" t="s">
        <v>234</v>
      </c>
      <c r="F1030" s="64" t="s">
        <v>230</v>
      </c>
      <c r="G1030" s="64" t="s">
        <v>142</v>
      </c>
      <c r="H1030" s="64" t="s">
        <v>149</v>
      </c>
      <c r="I1030" s="64" t="s">
        <v>235</v>
      </c>
      <c r="J1030" s="67">
        <v>0</v>
      </c>
      <c r="K1030" s="62">
        <v>-2650</v>
      </c>
      <c r="L1030" s="33" t="e">
        <f>HLOOKUP(B1030,#REF!,1,0)</f>
        <v>#REF!</v>
      </c>
      <c r="M1030" s="33" t="str">
        <f t="shared" si="67"/>
        <v>BS</v>
      </c>
    </row>
    <row r="1031" spans="1:13" s="33" customFormat="true" ht="12.75" customHeight="true">
      <c r="A1031" s="33" t="str">
        <f t="shared" si="64"/>
        <v>HN2 - Inventory</v>
      </c>
      <c r="B1031" s="33" t="str">
        <f t="shared" si="65"/>
        <v>HN2</v>
      </c>
      <c r="C1031" s="33" t="str">
        <f t="shared" si="66"/>
        <v>10005-7358</v>
      </c>
      <c r="D1031" s="64" t="s">
        <v>1395</v>
      </c>
      <c r="E1031" s="64" t="s">
        <v>14</v>
      </c>
      <c r="F1031" s="64" t="s">
        <v>15</v>
      </c>
      <c r="G1031" s="64" t="s">
        <v>16</v>
      </c>
      <c r="H1031" s="64" t="s">
        <v>17</v>
      </c>
      <c r="I1031" s="64" t="s">
        <v>18</v>
      </c>
      <c r="J1031" s="67">
        <v>0</v>
      </c>
      <c r="K1031" s="62">
        <v>1143</v>
      </c>
      <c r="L1031" s="33" t="e">
        <f>HLOOKUP(B1031,#REF!,1,0)</f>
        <v>#REF!</v>
      </c>
      <c r="M1031" s="33" t="str">
        <f t="shared" si="67"/>
        <v>BS</v>
      </c>
    </row>
    <row r="1032" spans="1:13" s="33" customFormat="true" ht="12.75" customHeight="true">
      <c r="A1032" s="33" t="str">
        <f t="shared" si="64"/>
        <v>HN2 - Inventory</v>
      </c>
      <c r="B1032" s="33" t="str">
        <f t="shared" si="65"/>
        <v>HN2</v>
      </c>
      <c r="C1032" s="33" t="str">
        <f t="shared" si="66"/>
        <v>10005-7372</v>
      </c>
      <c r="D1032" s="64" t="s">
        <v>1396</v>
      </c>
      <c r="E1032" s="64" t="s">
        <v>14</v>
      </c>
      <c r="F1032" s="64" t="s">
        <v>15</v>
      </c>
      <c r="G1032" s="64" t="s">
        <v>16</v>
      </c>
      <c r="H1032" s="64" t="s">
        <v>17</v>
      </c>
      <c r="I1032" s="64" t="s">
        <v>18</v>
      </c>
      <c r="J1032" s="67">
        <v>0</v>
      </c>
      <c r="K1032" s="62">
        <v>1419.5</v>
      </c>
      <c r="L1032" s="33" t="e">
        <f>HLOOKUP(B1032,#REF!,1,0)</f>
        <v>#REF!</v>
      </c>
      <c r="M1032" s="33" t="str">
        <f t="shared" si="67"/>
        <v>BS</v>
      </c>
    </row>
    <row r="1033" spans="1:13" s="33" customFormat="true" ht="12.75" customHeight="true">
      <c r="A1033" s="33" t="str">
        <f t="shared" si="64"/>
        <v>HN2 - Inventory</v>
      </c>
      <c r="B1033" s="33" t="str">
        <f t="shared" si="65"/>
        <v>HN2</v>
      </c>
      <c r="C1033" s="33" t="str">
        <f t="shared" si="66"/>
        <v>10005-7384</v>
      </c>
      <c r="D1033" s="64" t="s">
        <v>1397</v>
      </c>
      <c r="E1033" s="64" t="s">
        <v>14</v>
      </c>
      <c r="F1033" s="64" t="s">
        <v>15</v>
      </c>
      <c r="G1033" s="64" t="s">
        <v>16</v>
      </c>
      <c r="H1033" s="64" t="s">
        <v>17</v>
      </c>
      <c r="I1033" s="64" t="s">
        <v>18</v>
      </c>
      <c r="J1033" s="67">
        <v>0</v>
      </c>
      <c r="K1033" s="62">
        <v>1686.58</v>
      </c>
      <c r="L1033" s="33" t="e">
        <f>HLOOKUP(B1033,#REF!,1,0)</f>
        <v>#REF!</v>
      </c>
      <c r="M1033" s="33" t="str">
        <f t="shared" si="67"/>
        <v>BS</v>
      </c>
    </row>
    <row r="1034" spans="1:13" s="33" customFormat="true" ht="12.75" customHeight="true">
      <c r="A1034" s="33" t="str">
        <f t="shared" si="64"/>
        <v>HN2 - Inventory</v>
      </c>
      <c r="B1034" s="33" t="str">
        <f t="shared" si="65"/>
        <v>HN2</v>
      </c>
      <c r="C1034" s="33" t="str">
        <f t="shared" si="66"/>
        <v>10005-7626</v>
      </c>
      <c r="D1034" s="64" t="s">
        <v>1398</v>
      </c>
      <c r="E1034" s="64" t="s">
        <v>14</v>
      </c>
      <c r="F1034" s="64" t="s">
        <v>15</v>
      </c>
      <c r="G1034" s="64" t="s">
        <v>16</v>
      </c>
      <c r="H1034" s="64" t="s">
        <v>17</v>
      </c>
      <c r="I1034" s="64" t="s">
        <v>18</v>
      </c>
      <c r="J1034" s="67">
        <v>0</v>
      </c>
      <c r="K1034" s="62">
        <v>1526.2</v>
      </c>
      <c r="L1034" s="33" t="e">
        <f>HLOOKUP(B1034,#REF!,1,0)</f>
        <v>#REF!</v>
      </c>
      <c r="M1034" s="33" t="str">
        <f t="shared" si="67"/>
        <v>BS</v>
      </c>
    </row>
    <row r="1035" spans="1:13" s="33" customFormat="true" ht="12.75" customHeight="true">
      <c r="A1035" s="33" t="str">
        <f t="shared" si="64"/>
        <v>HN2 - Cash</v>
      </c>
      <c r="B1035" s="33" t="str">
        <f t="shared" si="65"/>
        <v>HN2</v>
      </c>
      <c r="C1035" s="33" t="str">
        <f t="shared" si="66"/>
        <v>10021-0000</v>
      </c>
      <c r="D1035" s="64" t="s">
        <v>1399</v>
      </c>
      <c r="E1035" s="64" t="s">
        <v>24</v>
      </c>
      <c r="F1035" s="64" t="s">
        <v>15</v>
      </c>
      <c r="G1035" s="64" t="s">
        <v>16</v>
      </c>
      <c r="H1035" s="64" t="s">
        <v>25</v>
      </c>
      <c r="I1035" s="64" t="s">
        <v>18</v>
      </c>
      <c r="J1035" s="67">
        <v>-25025.8</v>
      </c>
      <c r="K1035" s="62">
        <v>-44603.02</v>
      </c>
      <c r="L1035" s="33" t="e">
        <f>HLOOKUP(B1035,#REF!,1,0)</f>
        <v>#REF!</v>
      </c>
      <c r="M1035" s="33" t="str">
        <f t="shared" si="67"/>
        <v>BS</v>
      </c>
    </row>
    <row r="1036" spans="1:13" s="33" customFormat="true" ht="12.75" customHeight="true">
      <c r="A1036" s="33" t="str">
        <f t="shared" si="64"/>
        <v>HN2 - Cash</v>
      </c>
      <c r="B1036" s="33" t="str">
        <f t="shared" si="65"/>
        <v>HN2</v>
      </c>
      <c r="C1036" s="33" t="str">
        <f t="shared" si="66"/>
        <v>10023-0000</v>
      </c>
      <c r="D1036" s="64" t="s">
        <v>1400</v>
      </c>
      <c r="E1036" s="64" t="s">
        <v>27</v>
      </c>
      <c r="F1036" s="64" t="s">
        <v>15</v>
      </c>
      <c r="G1036" s="64" t="s">
        <v>16</v>
      </c>
      <c r="H1036" s="64" t="s">
        <v>25</v>
      </c>
      <c r="I1036" s="64" t="s">
        <v>18</v>
      </c>
      <c r="J1036" s="67">
        <v>-1424.22</v>
      </c>
      <c r="K1036" s="62">
        <v>18422.5</v>
      </c>
      <c r="L1036" s="33" t="e">
        <f>HLOOKUP(B1036,#REF!,1,0)</f>
        <v>#REF!</v>
      </c>
      <c r="M1036" s="33" t="str">
        <f t="shared" si="67"/>
        <v>BS</v>
      </c>
    </row>
    <row r="1037" spans="1:13" s="33" customFormat="true" ht="12.75" customHeight="true">
      <c r="A1037" s="33" t="str">
        <f t="shared" si="64"/>
        <v>HN2 - AR-PPD</v>
      </c>
      <c r="B1037" s="33" t="str">
        <f t="shared" si="65"/>
        <v>HN2</v>
      </c>
      <c r="C1037" s="33" t="str">
        <f t="shared" si="66"/>
        <v>11001-0000</v>
      </c>
      <c r="D1037" s="64" t="s">
        <v>1401</v>
      </c>
      <c r="E1037" s="64" t="s">
        <v>34</v>
      </c>
      <c r="F1037" s="64" t="s">
        <v>15</v>
      </c>
      <c r="G1037" s="64" t="s">
        <v>16</v>
      </c>
      <c r="H1037" s="64" t="s">
        <v>35</v>
      </c>
      <c r="I1037" s="64" t="s">
        <v>36</v>
      </c>
      <c r="J1037" s="67">
        <v>398.14</v>
      </c>
      <c r="K1037" s="62">
        <v>36286.82</v>
      </c>
      <c r="L1037" s="33" t="e">
        <f>HLOOKUP(B1037,#REF!,1,0)</f>
        <v>#REF!</v>
      </c>
      <c r="M1037" s="33" t="str">
        <f t="shared" si="67"/>
        <v>BS</v>
      </c>
    </row>
    <row r="1038" spans="1:13" s="33" customFormat="true" ht="12.75" customHeight="true">
      <c r="A1038" s="33" t="str">
        <f t="shared" si="64"/>
        <v>HN2 - Intercompany</v>
      </c>
      <c r="B1038" s="33" t="str">
        <f t="shared" si="65"/>
        <v>HN2</v>
      </c>
      <c r="C1038" s="33" t="str">
        <f t="shared" si="66"/>
        <v>11200-0000</v>
      </c>
      <c r="D1038" s="64" t="s">
        <v>1402</v>
      </c>
      <c r="E1038" s="64" t="s">
        <v>38</v>
      </c>
      <c r="F1038" s="64" t="s">
        <v>15</v>
      </c>
      <c r="G1038" s="64" t="s">
        <v>16</v>
      </c>
      <c r="H1038" s="64" t="s">
        <v>39</v>
      </c>
      <c r="I1038" s="64" t="s">
        <v>40</v>
      </c>
      <c r="J1038" s="67">
        <v>90103.75</v>
      </c>
      <c r="K1038" s="62">
        <v>8853988.46</v>
      </c>
      <c r="L1038" s="33" t="e">
        <f>HLOOKUP(B1038,#REF!,1,0)</f>
        <v>#REF!</v>
      </c>
      <c r="M1038" s="33" t="str">
        <f t="shared" si="67"/>
        <v>BS</v>
      </c>
    </row>
    <row r="1039" spans="1:13" s="33" customFormat="true" ht="12.75" customHeight="true">
      <c r="A1039" s="33" t="str">
        <f t="shared" si="64"/>
        <v>HN2 - Intercompany</v>
      </c>
      <c r="B1039" s="33" t="str">
        <f t="shared" si="65"/>
        <v>HN2</v>
      </c>
      <c r="C1039" s="33" t="str">
        <f t="shared" si="66"/>
        <v>11201-0000</v>
      </c>
      <c r="D1039" s="64" t="s">
        <v>1403</v>
      </c>
      <c r="E1039" s="64" t="s">
        <v>765</v>
      </c>
      <c r="F1039" s="64" t="s">
        <v>15</v>
      </c>
      <c r="G1039" s="64" t="s">
        <v>16</v>
      </c>
      <c r="H1039" s="64" t="s">
        <v>39</v>
      </c>
      <c r="I1039" s="64" t="s">
        <v>40</v>
      </c>
      <c r="J1039" s="67">
        <v>-92308.87</v>
      </c>
      <c r="K1039" s="62">
        <v>-9134599.35</v>
      </c>
      <c r="L1039" s="33" t="e">
        <f>HLOOKUP(B1039,#REF!,1,0)</f>
        <v>#REF!</v>
      </c>
      <c r="M1039" s="33" t="str">
        <f t="shared" si="67"/>
        <v>BS</v>
      </c>
    </row>
    <row r="1040" spans="1:13" s="33" customFormat="true" ht="12.75" customHeight="true">
      <c r="A1040" s="33" t="str">
        <f t="shared" si="64"/>
        <v>HN2 - Intercompany</v>
      </c>
      <c r="B1040" s="33" t="str">
        <f t="shared" si="65"/>
        <v>HN2</v>
      </c>
      <c r="C1040" s="33" t="str">
        <f t="shared" si="66"/>
        <v>11204-0000</v>
      </c>
      <c r="D1040" s="64" t="s">
        <v>1404</v>
      </c>
      <c r="E1040" s="64" t="s">
        <v>1234</v>
      </c>
      <c r="F1040" s="64" t="s">
        <v>15</v>
      </c>
      <c r="G1040" s="64" t="s">
        <v>16</v>
      </c>
      <c r="H1040" s="64" t="s">
        <v>39</v>
      </c>
      <c r="I1040" s="64" t="s">
        <v>40</v>
      </c>
      <c r="J1040" s="67">
        <v>-15799.58</v>
      </c>
      <c r="K1040" s="62">
        <v>-2149165.19</v>
      </c>
      <c r="L1040" s="33" t="e">
        <f>HLOOKUP(B1040,#REF!,1,0)</f>
        <v>#REF!</v>
      </c>
      <c r="M1040" s="33" t="str">
        <f t="shared" si="67"/>
        <v>BS</v>
      </c>
    </row>
    <row r="1041" spans="1:13" s="33" customFormat="true" ht="12.75" customHeight="true">
      <c r="A1041" s="33" t="str">
        <f t="shared" si="64"/>
        <v>HN2 - AR-PPD</v>
      </c>
      <c r="B1041" s="33" t="str">
        <f t="shared" si="65"/>
        <v>HN2</v>
      </c>
      <c r="C1041" s="33" t="str">
        <f t="shared" si="66"/>
        <v>11985-0000</v>
      </c>
      <c r="D1041" s="64" t="s">
        <v>1405</v>
      </c>
      <c r="E1041" s="64" t="s">
        <v>773</v>
      </c>
      <c r="F1041" s="64" t="s">
        <v>15</v>
      </c>
      <c r="G1041" s="64" t="s">
        <v>16</v>
      </c>
      <c r="H1041" s="64" t="s">
        <v>35</v>
      </c>
      <c r="I1041" s="64" t="s">
        <v>40</v>
      </c>
      <c r="J1041" s="67">
        <v>0</v>
      </c>
      <c r="K1041" s="62">
        <v>975740</v>
      </c>
      <c r="L1041" s="33" t="e">
        <f>HLOOKUP(B1041,#REF!,1,0)</f>
        <v>#REF!</v>
      </c>
      <c r="M1041" s="33" t="str">
        <f t="shared" si="67"/>
        <v>BS</v>
      </c>
    </row>
    <row r="1042" spans="1:13" s="33" customFormat="true" ht="12.75" customHeight="true">
      <c r="A1042" s="33" t="str">
        <f t="shared" si="64"/>
        <v>HN2 - Inventory</v>
      </c>
      <c r="B1042" s="33" t="str">
        <f t="shared" si="65"/>
        <v>HN2</v>
      </c>
      <c r="C1042" s="33" t="str">
        <f t="shared" si="66"/>
        <v>13100-7358</v>
      </c>
      <c r="D1042" s="64" t="s">
        <v>1406</v>
      </c>
      <c r="E1042" s="64" t="s">
        <v>50</v>
      </c>
      <c r="F1042" s="64" t="s">
        <v>15</v>
      </c>
      <c r="G1042" s="64" t="s">
        <v>16</v>
      </c>
      <c r="H1042" s="64" t="s">
        <v>17</v>
      </c>
      <c r="I1042" s="64" t="s">
        <v>51</v>
      </c>
      <c r="J1042" s="67">
        <v>0</v>
      </c>
      <c r="K1042" s="62">
        <v>7875</v>
      </c>
      <c r="L1042" s="33" t="e">
        <f>HLOOKUP(B1042,#REF!,1,0)</f>
        <v>#REF!</v>
      </c>
      <c r="M1042" s="33" t="str">
        <f t="shared" si="67"/>
        <v>BS</v>
      </c>
    </row>
    <row r="1043" spans="1:13" s="33" customFormat="true" ht="12.75" customHeight="true">
      <c r="A1043" s="33" t="str">
        <f t="shared" si="64"/>
        <v>HN2 - Inventory</v>
      </c>
      <c r="B1043" s="33" t="str">
        <f t="shared" si="65"/>
        <v>HN2</v>
      </c>
      <c r="C1043" s="33" t="str">
        <f t="shared" si="66"/>
        <v>13100-7372</v>
      </c>
      <c r="D1043" s="64" t="s">
        <v>1407</v>
      </c>
      <c r="E1043" s="64" t="s">
        <v>50</v>
      </c>
      <c r="F1043" s="64" t="s">
        <v>15</v>
      </c>
      <c r="G1043" s="64" t="s">
        <v>16</v>
      </c>
      <c r="H1043" s="64" t="s">
        <v>17</v>
      </c>
      <c r="I1043" s="64" t="s">
        <v>51</v>
      </c>
      <c r="J1043" s="67">
        <v>0</v>
      </c>
      <c r="K1043" s="62">
        <v>4932</v>
      </c>
      <c r="L1043" s="33" t="e">
        <f>HLOOKUP(B1043,#REF!,1,0)</f>
        <v>#REF!</v>
      </c>
      <c r="M1043" s="33" t="str">
        <f t="shared" si="67"/>
        <v>BS</v>
      </c>
    </row>
    <row r="1044" spans="1:13" s="33" customFormat="true" ht="12.75" customHeight="true">
      <c r="A1044" s="33" t="str">
        <f t="shared" si="64"/>
        <v>HN2 - Inventory</v>
      </c>
      <c r="B1044" s="33" t="str">
        <f t="shared" si="65"/>
        <v>HN2</v>
      </c>
      <c r="C1044" s="33" t="str">
        <f t="shared" si="66"/>
        <v>13100-7384</v>
      </c>
      <c r="D1044" s="64" t="s">
        <v>1408</v>
      </c>
      <c r="E1044" s="64" t="s">
        <v>50</v>
      </c>
      <c r="F1044" s="64" t="s">
        <v>15</v>
      </c>
      <c r="G1044" s="64" t="s">
        <v>16</v>
      </c>
      <c r="H1044" s="64" t="s">
        <v>17</v>
      </c>
      <c r="I1044" s="64" t="s">
        <v>51</v>
      </c>
      <c r="J1044" s="67">
        <v>0</v>
      </c>
      <c r="K1044" s="62">
        <v>6518</v>
      </c>
      <c r="L1044" s="33" t="e">
        <f>HLOOKUP(B1044,#REF!,1,0)</f>
        <v>#REF!</v>
      </c>
      <c r="M1044" s="33" t="str">
        <f t="shared" si="67"/>
        <v>BS</v>
      </c>
    </row>
    <row r="1045" spans="1:13" s="33" customFormat="true" ht="12.75" customHeight="true">
      <c r="A1045" s="33" t="str">
        <f t="shared" si="64"/>
        <v>HN2 - Inventory</v>
      </c>
      <c r="B1045" s="33" t="str">
        <f t="shared" si="65"/>
        <v>HN2</v>
      </c>
      <c r="C1045" s="33" t="str">
        <f t="shared" si="66"/>
        <v>13100-7626</v>
      </c>
      <c r="D1045" s="64" t="s">
        <v>1409</v>
      </c>
      <c r="E1045" s="64" t="s">
        <v>50</v>
      </c>
      <c r="F1045" s="64" t="s">
        <v>15</v>
      </c>
      <c r="G1045" s="64" t="s">
        <v>16</v>
      </c>
      <c r="H1045" s="64" t="s">
        <v>17</v>
      </c>
      <c r="I1045" s="64" t="s">
        <v>51</v>
      </c>
      <c r="J1045" s="67">
        <v>0</v>
      </c>
      <c r="K1045" s="62">
        <v>3426.86</v>
      </c>
      <c r="L1045" s="33" t="e">
        <f>HLOOKUP(B1045,#REF!,1,0)</f>
        <v>#REF!</v>
      </c>
      <c r="M1045" s="33" t="str">
        <f t="shared" si="67"/>
        <v>BS</v>
      </c>
    </row>
    <row r="1046" spans="1:13" s="33" customFormat="true" ht="12.75" customHeight="true">
      <c r="A1046" s="33" t="str">
        <f t="shared" si="64"/>
        <v>HN2 - AR-PPD</v>
      </c>
      <c r="B1046" s="33" t="str">
        <f t="shared" si="65"/>
        <v>HN2</v>
      </c>
      <c r="C1046" s="33" t="str">
        <f t="shared" si="66"/>
        <v>15002-0000</v>
      </c>
      <c r="D1046" s="64" t="s">
        <v>1410</v>
      </c>
      <c r="E1046" s="64" t="s">
        <v>56</v>
      </c>
      <c r="F1046" s="64" t="s">
        <v>15</v>
      </c>
      <c r="G1046" s="64" t="s">
        <v>16</v>
      </c>
      <c r="H1046" s="64" t="s">
        <v>35</v>
      </c>
      <c r="I1046" s="64" t="s">
        <v>57</v>
      </c>
      <c r="J1046" s="67">
        <v>0</v>
      </c>
      <c r="K1046" s="62">
        <v>0</v>
      </c>
      <c r="L1046" s="33" t="e">
        <f>HLOOKUP(B1046,#REF!,1,0)</f>
        <v>#REF!</v>
      </c>
      <c r="M1046" s="33" t="str">
        <f t="shared" si="67"/>
        <v>BS</v>
      </c>
    </row>
    <row r="1047" spans="1:13" s="33" customFormat="true" ht="12.75" customHeight="true">
      <c r="A1047" s="33" t="str">
        <f t="shared" si="64"/>
        <v>HN2 - AR-PPD</v>
      </c>
      <c r="B1047" s="33" t="str">
        <f t="shared" si="65"/>
        <v>HN2</v>
      </c>
      <c r="C1047" s="33" t="str">
        <f t="shared" si="66"/>
        <v>15005-0000</v>
      </c>
      <c r="D1047" s="64" t="s">
        <v>1411</v>
      </c>
      <c r="E1047" s="64" t="s">
        <v>59</v>
      </c>
      <c r="F1047" s="64" t="s">
        <v>15</v>
      </c>
      <c r="G1047" s="64" t="s">
        <v>16</v>
      </c>
      <c r="H1047" s="64" t="s">
        <v>35</v>
      </c>
      <c r="I1047" s="64" t="s">
        <v>57</v>
      </c>
      <c r="J1047" s="67">
        <v>0</v>
      </c>
      <c r="K1047" s="62">
        <v>1792.82</v>
      </c>
      <c r="L1047" s="33" t="e">
        <f>HLOOKUP(B1047,#REF!,1,0)</f>
        <v>#REF!</v>
      </c>
      <c r="M1047" s="33" t="str">
        <f t="shared" si="67"/>
        <v>BS</v>
      </c>
    </row>
    <row r="1048" spans="1:13" s="33" customFormat="true" ht="12.75" customHeight="true">
      <c r="A1048" s="33" t="str">
        <f t="shared" si="64"/>
        <v>HN2 - Fixed Assets</v>
      </c>
      <c r="B1048" s="33" t="str">
        <f t="shared" si="65"/>
        <v>HN2</v>
      </c>
      <c r="C1048" s="33" t="str">
        <f t="shared" si="66"/>
        <v>16101-0000</v>
      </c>
      <c r="D1048" s="64" t="s">
        <v>1412</v>
      </c>
      <c r="E1048" s="64" t="s">
        <v>61</v>
      </c>
      <c r="F1048" s="64" t="s">
        <v>15</v>
      </c>
      <c r="G1048" s="64" t="s">
        <v>62</v>
      </c>
      <c r="H1048" s="64" t="s">
        <v>63</v>
      </c>
      <c r="I1048" s="64" t="s">
        <v>64</v>
      </c>
      <c r="J1048" s="67">
        <v>0</v>
      </c>
      <c r="K1048" s="62">
        <v>30924.75</v>
      </c>
      <c r="L1048" s="33" t="e">
        <f>HLOOKUP(B1048,#REF!,1,0)</f>
        <v>#REF!</v>
      </c>
      <c r="M1048" s="33" t="str">
        <f t="shared" si="67"/>
        <v>BS</v>
      </c>
    </row>
    <row r="1049" spans="1:13" s="33" customFormat="true" ht="12.75" customHeight="true">
      <c r="A1049" s="33" t="str">
        <f t="shared" si="64"/>
        <v>HN2 - Fixed Assets</v>
      </c>
      <c r="B1049" s="33" t="str">
        <f t="shared" si="65"/>
        <v>HN2</v>
      </c>
      <c r="C1049" s="33" t="str">
        <f t="shared" si="66"/>
        <v>16101-7358</v>
      </c>
      <c r="D1049" s="64" t="s">
        <v>1413</v>
      </c>
      <c r="E1049" s="64" t="s">
        <v>61</v>
      </c>
      <c r="F1049" s="64" t="s">
        <v>15</v>
      </c>
      <c r="G1049" s="64" t="s">
        <v>62</v>
      </c>
      <c r="H1049" s="64" t="s">
        <v>63</v>
      </c>
      <c r="I1049" s="64" t="s">
        <v>64</v>
      </c>
      <c r="J1049" s="67">
        <v>0</v>
      </c>
      <c r="K1049" s="62">
        <v>169121.02</v>
      </c>
      <c r="L1049" s="33" t="e">
        <f>HLOOKUP(B1049,#REF!,1,0)</f>
        <v>#REF!</v>
      </c>
      <c r="M1049" s="33" t="str">
        <f t="shared" si="67"/>
        <v>BS</v>
      </c>
    </row>
    <row r="1050" spans="1:13" s="33" customFormat="true" ht="12.75" customHeight="true">
      <c r="A1050" s="33" t="str">
        <f t="shared" si="64"/>
        <v>HN2 - Fixed Assets</v>
      </c>
      <c r="B1050" s="33" t="str">
        <f t="shared" si="65"/>
        <v>HN2</v>
      </c>
      <c r="C1050" s="33" t="str">
        <f t="shared" si="66"/>
        <v>16101-7372</v>
      </c>
      <c r="D1050" s="64" t="s">
        <v>1414</v>
      </c>
      <c r="E1050" s="64" t="s">
        <v>61</v>
      </c>
      <c r="F1050" s="64" t="s">
        <v>15</v>
      </c>
      <c r="G1050" s="64" t="s">
        <v>62</v>
      </c>
      <c r="H1050" s="64" t="s">
        <v>63</v>
      </c>
      <c r="I1050" s="64" t="s">
        <v>64</v>
      </c>
      <c r="J1050" s="67">
        <v>0</v>
      </c>
      <c r="K1050" s="62">
        <v>159381.68</v>
      </c>
      <c r="L1050" s="33" t="e">
        <f>HLOOKUP(B1050,#REF!,1,0)</f>
        <v>#REF!</v>
      </c>
      <c r="M1050" s="33" t="str">
        <f t="shared" si="67"/>
        <v>BS</v>
      </c>
    </row>
    <row r="1051" spans="1:13" s="33" customFormat="true" ht="12.75" customHeight="true">
      <c r="A1051" s="33" t="str">
        <f t="shared" si="64"/>
        <v>HN2 - Fixed Assets</v>
      </c>
      <c r="B1051" s="33" t="str">
        <f t="shared" si="65"/>
        <v>HN2</v>
      </c>
      <c r="C1051" s="33" t="str">
        <f t="shared" si="66"/>
        <v>16101-7384</v>
      </c>
      <c r="D1051" s="64" t="s">
        <v>1415</v>
      </c>
      <c r="E1051" s="64" t="s">
        <v>61</v>
      </c>
      <c r="F1051" s="64" t="s">
        <v>15</v>
      </c>
      <c r="G1051" s="64" t="s">
        <v>62</v>
      </c>
      <c r="H1051" s="64" t="s">
        <v>63</v>
      </c>
      <c r="I1051" s="64" t="s">
        <v>64</v>
      </c>
      <c r="J1051" s="67">
        <v>0</v>
      </c>
      <c r="K1051" s="62">
        <v>25421.12</v>
      </c>
      <c r="L1051" s="33" t="e">
        <f>HLOOKUP(B1051,#REF!,1,0)</f>
        <v>#REF!</v>
      </c>
      <c r="M1051" s="33" t="str">
        <f t="shared" si="67"/>
        <v>BS</v>
      </c>
    </row>
    <row r="1052" spans="1:13" s="33" customFormat="true" ht="12.75" customHeight="true">
      <c r="A1052" s="33" t="str">
        <f t="shared" si="64"/>
        <v>HN2 - Fixed Assets</v>
      </c>
      <c r="B1052" s="33" t="str">
        <f t="shared" si="65"/>
        <v>HN2</v>
      </c>
      <c r="C1052" s="33" t="str">
        <f t="shared" si="66"/>
        <v>16101-7626</v>
      </c>
      <c r="D1052" s="64" t="s">
        <v>1416</v>
      </c>
      <c r="E1052" s="64" t="s">
        <v>61</v>
      </c>
      <c r="F1052" s="64" t="s">
        <v>15</v>
      </c>
      <c r="G1052" s="64" t="s">
        <v>62</v>
      </c>
      <c r="H1052" s="64" t="s">
        <v>63</v>
      </c>
      <c r="I1052" s="64" t="s">
        <v>64</v>
      </c>
      <c r="J1052" s="67">
        <v>0</v>
      </c>
      <c r="K1052" s="62">
        <v>3947.32</v>
      </c>
      <c r="L1052" s="33" t="e">
        <f>HLOOKUP(B1052,#REF!,1,0)</f>
        <v>#REF!</v>
      </c>
      <c r="M1052" s="33" t="str">
        <f t="shared" si="67"/>
        <v>BS</v>
      </c>
    </row>
    <row r="1053" spans="1:13" s="33" customFormat="true" ht="12.75" customHeight="true">
      <c r="A1053" s="33" t="str">
        <f t="shared" si="64"/>
        <v>HN2 - Fixed Assets</v>
      </c>
      <c r="B1053" s="33" t="str">
        <f t="shared" si="65"/>
        <v>HN2</v>
      </c>
      <c r="C1053" s="33" t="str">
        <f t="shared" si="66"/>
        <v>16601-7358</v>
      </c>
      <c r="D1053" s="64" t="s">
        <v>1417</v>
      </c>
      <c r="E1053" s="64" t="s">
        <v>70</v>
      </c>
      <c r="F1053" s="64" t="s">
        <v>15</v>
      </c>
      <c r="G1053" s="64" t="s">
        <v>62</v>
      </c>
      <c r="H1053" s="64" t="s">
        <v>63</v>
      </c>
      <c r="I1053" s="64" t="s">
        <v>64</v>
      </c>
      <c r="J1053" s="67">
        <v>0</v>
      </c>
      <c r="K1053" s="62">
        <v>106597.77</v>
      </c>
      <c r="L1053" s="33" t="e">
        <f>HLOOKUP(B1053,#REF!,1,0)</f>
        <v>#REF!</v>
      </c>
      <c r="M1053" s="33" t="str">
        <f t="shared" si="67"/>
        <v>BS</v>
      </c>
    </row>
    <row r="1054" spans="1:13" s="33" customFormat="true" ht="12.75" customHeight="true">
      <c r="A1054" s="33" t="str">
        <f t="shared" si="64"/>
        <v>HN2 - Fixed Assets</v>
      </c>
      <c r="B1054" s="33" t="str">
        <f t="shared" si="65"/>
        <v>HN2</v>
      </c>
      <c r="C1054" s="33" t="str">
        <f t="shared" si="66"/>
        <v>16601-7372</v>
      </c>
      <c r="D1054" s="64" t="s">
        <v>1418</v>
      </c>
      <c r="E1054" s="64" t="s">
        <v>70</v>
      </c>
      <c r="F1054" s="64" t="s">
        <v>15</v>
      </c>
      <c r="G1054" s="64" t="s">
        <v>62</v>
      </c>
      <c r="H1054" s="64" t="s">
        <v>63</v>
      </c>
      <c r="I1054" s="64" t="s">
        <v>64</v>
      </c>
      <c r="J1054" s="67">
        <v>0</v>
      </c>
      <c r="K1054" s="62">
        <v>141147.9</v>
      </c>
      <c r="L1054" s="33" t="e">
        <f>HLOOKUP(B1054,#REF!,1,0)</f>
        <v>#REF!</v>
      </c>
      <c r="M1054" s="33" t="str">
        <f t="shared" si="67"/>
        <v>BS</v>
      </c>
    </row>
    <row r="1055" spans="1:13" s="33" customFormat="true" ht="12.75" customHeight="true">
      <c r="A1055" s="33" t="str">
        <f t="shared" si="64"/>
        <v>HN2 - Fixed Assets</v>
      </c>
      <c r="B1055" s="33" t="str">
        <f t="shared" si="65"/>
        <v>HN2</v>
      </c>
      <c r="C1055" s="33" t="str">
        <f t="shared" si="66"/>
        <v>16601-7384</v>
      </c>
      <c r="D1055" s="64" t="s">
        <v>1419</v>
      </c>
      <c r="E1055" s="64" t="s">
        <v>70</v>
      </c>
      <c r="F1055" s="64" t="s">
        <v>15</v>
      </c>
      <c r="G1055" s="64" t="s">
        <v>62</v>
      </c>
      <c r="H1055" s="64" t="s">
        <v>63</v>
      </c>
      <c r="I1055" s="64" t="s">
        <v>64</v>
      </c>
      <c r="J1055" s="67">
        <v>0</v>
      </c>
      <c r="K1055" s="62">
        <v>3521.22</v>
      </c>
      <c r="L1055" s="33" t="e">
        <f>HLOOKUP(B1055,#REF!,1,0)</f>
        <v>#REF!</v>
      </c>
      <c r="M1055" s="33" t="str">
        <f t="shared" si="67"/>
        <v>BS</v>
      </c>
    </row>
    <row r="1056" spans="1:13" s="33" customFormat="true" ht="12.75" customHeight="true">
      <c r="A1056" s="33" t="str">
        <f t="shared" si="64"/>
        <v>HN2 - Fixed Assets</v>
      </c>
      <c r="B1056" s="33" t="str">
        <f t="shared" si="65"/>
        <v>HN2</v>
      </c>
      <c r="C1056" s="33" t="str">
        <f t="shared" si="66"/>
        <v>16601-7626</v>
      </c>
      <c r="D1056" s="64" t="s">
        <v>1420</v>
      </c>
      <c r="E1056" s="64" t="s">
        <v>70</v>
      </c>
      <c r="F1056" s="64" t="s">
        <v>15</v>
      </c>
      <c r="G1056" s="64" t="s">
        <v>62</v>
      </c>
      <c r="H1056" s="64" t="s">
        <v>63</v>
      </c>
      <c r="I1056" s="64" t="s">
        <v>64</v>
      </c>
      <c r="J1056" s="67">
        <v>0</v>
      </c>
      <c r="K1056" s="62">
        <v>16803.94</v>
      </c>
      <c r="L1056" s="33" t="e">
        <f>HLOOKUP(B1056,#REF!,1,0)</f>
        <v>#REF!</v>
      </c>
      <c r="M1056" s="33" t="str">
        <f t="shared" si="67"/>
        <v>BS</v>
      </c>
    </row>
    <row r="1057" spans="1:13" s="33" customFormat="true" ht="12.75" customHeight="true">
      <c r="A1057" s="33" t="str">
        <f t="shared" si="64"/>
        <v>HN2 - Fixed Assets</v>
      </c>
      <c r="B1057" s="33" t="str">
        <f t="shared" si="65"/>
        <v>HN2</v>
      </c>
      <c r="C1057" s="33" t="str">
        <f t="shared" si="66"/>
        <v>16901-0000</v>
      </c>
      <c r="D1057" s="64" t="s">
        <v>1421</v>
      </c>
      <c r="E1057" s="64" t="s">
        <v>77</v>
      </c>
      <c r="F1057" s="64" t="s">
        <v>15</v>
      </c>
      <c r="G1057" s="64" t="s">
        <v>62</v>
      </c>
      <c r="H1057" s="64" t="s">
        <v>63</v>
      </c>
      <c r="I1057" s="64" t="s">
        <v>64</v>
      </c>
      <c r="J1057" s="67">
        <v>0</v>
      </c>
      <c r="K1057" s="62">
        <v>-628478.08</v>
      </c>
      <c r="L1057" s="33" t="e">
        <f>HLOOKUP(B1057,#REF!,1,0)</f>
        <v>#REF!</v>
      </c>
      <c r="M1057" s="33" t="str">
        <f t="shared" si="67"/>
        <v>BS</v>
      </c>
    </row>
    <row r="1058" spans="1:13" s="33" customFormat="true" ht="12.75" customHeight="true">
      <c r="A1058" s="33" t="str">
        <f t="shared" si="64"/>
        <v>HN2 - Deposits</v>
      </c>
      <c r="B1058" s="33" t="str">
        <f t="shared" si="65"/>
        <v>HN2</v>
      </c>
      <c r="C1058" s="33" t="str">
        <f t="shared" si="66"/>
        <v>17001-0000</v>
      </c>
      <c r="D1058" s="64" t="s">
        <v>1422</v>
      </c>
      <c r="E1058" s="64" t="s">
        <v>79</v>
      </c>
      <c r="F1058" s="64" t="s">
        <v>15</v>
      </c>
      <c r="G1058" s="64" t="s">
        <v>62</v>
      </c>
      <c r="H1058" s="64" t="s">
        <v>80</v>
      </c>
      <c r="I1058" s="64" t="s">
        <v>81</v>
      </c>
      <c r="J1058" s="67">
        <v>0</v>
      </c>
      <c r="K1058" s="62">
        <v>1815</v>
      </c>
      <c r="L1058" s="33" t="e">
        <f>HLOOKUP(B1058,#REF!,1,0)</f>
        <v>#REF!</v>
      </c>
      <c r="M1058" s="33" t="str">
        <f t="shared" si="67"/>
        <v>BS</v>
      </c>
    </row>
    <row r="1059" spans="1:13" s="33" customFormat="true" ht="12.75" customHeight="true">
      <c r="A1059" s="33" t="str">
        <f t="shared" si="64"/>
        <v>HN2 - Fixed Assets</v>
      </c>
      <c r="B1059" s="33" t="str">
        <f t="shared" si="65"/>
        <v>HN2</v>
      </c>
      <c r="C1059" s="33" t="str">
        <f t="shared" si="66"/>
        <v>17201-7358</v>
      </c>
      <c r="D1059" s="64" t="s">
        <v>1423</v>
      </c>
      <c r="E1059" s="64" t="s">
        <v>83</v>
      </c>
      <c r="F1059" s="64" t="s">
        <v>15</v>
      </c>
      <c r="G1059" s="64" t="s">
        <v>62</v>
      </c>
      <c r="H1059" s="64" t="s">
        <v>63</v>
      </c>
      <c r="I1059" s="64" t="s">
        <v>81</v>
      </c>
      <c r="J1059" s="67">
        <v>0</v>
      </c>
      <c r="K1059" s="62">
        <v>18997</v>
      </c>
      <c r="L1059" s="33" t="e">
        <f>HLOOKUP(B1059,#REF!,1,0)</f>
        <v>#REF!</v>
      </c>
      <c r="M1059" s="33" t="str">
        <f t="shared" si="67"/>
        <v>BS</v>
      </c>
    </row>
    <row r="1060" spans="1:13" s="33" customFormat="true" ht="12.75" customHeight="true">
      <c r="A1060" s="33" t="str">
        <f t="shared" si="64"/>
        <v>HN2 - Fixed Assets</v>
      </c>
      <c r="B1060" s="33" t="str">
        <f t="shared" si="65"/>
        <v>HN2</v>
      </c>
      <c r="C1060" s="33" t="str">
        <f t="shared" si="66"/>
        <v>17201-7372</v>
      </c>
      <c r="D1060" s="64" t="s">
        <v>1424</v>
      </c>
      <c r="E1060" s="64" t="s">
        <v>83</v>
      </c>
      <c r="F1060" s="64" t="s">
        <v>15</v>
      </c>
      <c r="G1060" s="64" t="s">
        <v>62</v>
      </c>
      <c r="H1060" s="64" t="s">
        <v>63</v>
      </c>
      <c r="I1060" s="64" t="s">
        <v>81</v>
      </c>
      <c r="J1060" s="67">
        <v>0</v>
      </c>
      <c r="K1060" s="62">
        <v>24063</v>
      </c>
      <c r="L1060" s="33" t="e">
        <f>HLOOKUP(B1060,#REF!,1,0)</f>
        <v>#REF!</v>
      </c>
      <c r="M1060" s="33" t="str">
        <f t="shared" si="67"/>
        <v>BS</v>
      </c>
    </row>
    <row r="1061" spans="1:13" s="33" customFormat="true" ht="12.75" customHeight="true">
      <c r="A1061" s="33" t="str">
        <f t="shared" si="64"/>
        <v>HN2 - Fixed Assets</v>
      </c>
      <c r="B1061" s="33" t="str">
        <f t="shared" si="65"/>
        <v>HN2</v>
      </c>
      <c r="C1061" s="33" t="str">
        <f t="shared" si="66"/>
        <v>17201-7384</v>
      </c>
      <c r="D1061" s="64" t="s">
        <v>1425</v>
      </c>
      <c r="E1061" s="64" t="s">
        <v>83</v>
      </c>
      <c r="F1061" s="64" t="s">
        <v>15</v>
      </c>
      <c r="G1061" s="64" t="s">
        <v>62</v>
      </c>
      <c r="H1061" s="64" t="s">
        <v>63</v>
      </c>
      <c r="I1061" s="64" t="s">
        <v>81</v>
      </c>
      <c r="J1061" s="67">
        <v>0</v>
      </c>
      <c r="K1061" s="62">
        <v>30195</v>
      </c>
      <c r="L1061" s="33" t="e">
        <f>HLOOKUP(B1061,#REF!,1,0)</f>
        <v>#REF!</v>
      </c>
      <c r="M1061" s="33" t="str">
        <f t="shared" si="67"/>
        <v>BS</v>
      </c>
    </row>
    <row r="1062" spans="1:13" s="33" customFormat="true" ht="12.75" customHeight="true">
      <c r="A1062" s="33" t="str">
        <f t="shared" si="64"/>
        <v>HN2 - Fixed Assets</v>
      </c>
      <c r="B1062" s="33" t="str">
        <f t="shared" si="65"/>
        <v>HN2</v>
      </c>
      <c r="C1062" s="33" t="str">
        <f t="shared" si="66"/>
        <v>17201-7626</v>
      </c>
      <c r="D1062" s="64" t="s">
        <v>1426</v>
      </c>
      <c r="E1062" s="64" t="s">
        <v>83</v>
      </c>
      <c r="F1062" s="64" t="s">
        <v>15</v>
      </c>
      <c r="G1062" s="64" t="s">
        <v>62</v>
      </c>
      <c r="H1062" s="64" t="s">
        <v>63</v>
      </c>
      <c r="I1062" s="64" t="s">
        <v>81</v>
      </c>
      <c r="J1062" s="67">
        <v>0</v>
      </c>
      <c r="K1062" s="62">
        <v>10000</v>
      </c>
      <c r="L1062" s="33" t="e">
        <f>HLOOKUP(B1062,#REF!,1,0)</f>
        <v>#REF!</v>
      </c>
      <c r="M1062" s="33" t="str">
        <f t="shared" si="67"/>
        <v>BS</v>
      </c>
    </row>
    <row r="1063" spans="1:13" s="33" customFormat="true" ht="12.75" customHeight="true">
      <c r="A1063" s="33" t="str">
        <f t="shared" si="64"/>
        <v>HN2 - Fixed Assets</v>
      </c>
      <c r="B1063" s="33" t="str">
        <f t="shared" si="65"/>
        <v>HN2</v>
      </c>
      <c r="C1063" s="33" t="str">
        <f t="shared" si="66"/>
        <v>17501-7358</v>
      </c>
      <c r="D1063" s="64" t="s">
        <v>1427</v>
      </c>
      <c r="E1063" s="64" t="s">
        <v>798</v>
      </c>
      <c r="F1063" s="64" t="s">
        <v>15</v>
      </c>
      <c r="G1063" s="64" t="s">
        <v>62</v>
      </c>
      <c r="H1063" s="64" t="s">
        <v>63</v>
      </c>
      <c r="I1063" s="64" t="s">
        <v>81</v>
      </c>
      <c r="J1063" s="67">
        <v>0</v>
      </c>
      <c r="K1063" s="62">
        <v>718446.76</v>
      </c>
      <c r="L1063" s="33" t="e">
        <f>HLOOKUP(B1063,#REF!,1,0)</f>
        <v>#REF!</v>
      </c>
      <c r="M1063" s="33" t="str">
        <f t="shared" si="67"/>
        <v>BS</v>
      </c>
    </row>
    <row r="1064" spans="1:13" s="33" customFormat="true" ht="12.75" customHeight="true">
      <c r="A1064" s="33" t="str">
        <f t="shared" si="64"/>
        <v>HN2 - Fixed Assets</v>
      </c>
      <c r="B1064" s="33" t="str">
        <f t="shared" si="65"/>
        <v>HN2</v>
      </c>
      <c r="C1064" s="33" t="str">
        <f t="shared" si="66"/>
        <v>17501-7372</v>
      </c>
      <c r="D1064" s="64" t="s">
        <v>1428</v>
      </c>
      <c r="E1064" s="64" t="s">
        <v>798</v>
      </c>
      <c r="F1064" s="64" t="s">
        <v>15</v>
      </c>
      <c r="G1064" s="64" t="s">
        <v>62</v>
      </c>
      <c r="H1064" s="64" t="s">
        <v>63</v>
      </c>
      <c r="I1064" s="64" t="s">
        <v>81</v>
      </c>
      <c r="J1064" s="67">
        <v>0</v>
      </c>
      <c r="K1064" s="62">
        <v>373568.76</v>
      </c>
      <c r="L1064" s="33" t="e">
        <f>HLOOKUP(B1064,#REF!,1,0)</f>
        <v>#REF!</v>
      </c>
      <c r="M1064" s="33" t="str">
        <f t="shared" si="67"/>
        <v>BS</v>
      </c>
    </row>
    <row r="1065" spans="1:13" s="33" customFormat="true" ht="12.75" customHeight="true">
      <c r="A1065" s="33" t="str">
        <f t="shared" si="64"/>
        <v>HN2 - Fixed Assets</v>
      </c>
      <c r="B1065" s="33" t="str">
        <f t="shared" si="65"/>
        <v>HN2</v>
      </c>
      <c r="C1065" s="33" t="str">
        <f t="shared" si="66"/>
        <v>18501-0000</v>
      </c>
      <c r="D1065" s="64" t="s">
        <v>1429</v>
      </c>
      <c r="E1065" s="64" t="s">
        <v>88</v>
      </c>
      <c r="F1065" s="64" t="s">
        <v>15</v>
      </c>
      <c r="G1065" s="64" t="s">
        <v>62</v>
      </c>
      <c r="H1065" s="64" t="s">
        <v>63</v>
      </c>
      <c r="I1065" s="64" t="s">
        <v>81</v>
      </c>
      <c r="J1065" s="67">
        <v>0</v>
      </c>
      <c r="K1065" s="62">
        <v>-1170021</v>
      </c>
      <c r="L1065" s="33" t="e">
        <f>HLOOKUP(B1065,#REF!,1,0)</f>
        <v>#REF!</v>
      </c>
      <c r="M1065" s="33" t="str">
        <f t="shared" si="67"/>
        <v>BS</v>
      </c>
    </row>
    <row r="1066" spans="1:13" s="33" customFormat="true" ht="12.75" customHeight="true">
      <c r="A1066" s="33" t="str">
        <f t="shared" si="64"/>
        <v>HN2 - AP-Accr Exp</v>
      </c>
      <c r="B1066" s="33" t="str">
        <f t="shared" si="65"/>
        <v>HN2</v>
      </c>
      <c r="C1066" s="33" t="str">
        <f t="shared" si="66"/>
        <v>20001-0000</v>
      </c>
      <c r="D1066" s="64" t="s">
        <v>1430</v>
      </c>
      <c r="E1066" s="64" t="s">
        <v>96</v>
      </c>
      <c r="F1066" s="64" t="s">
        <v>15</v>
      </c>
      <c r="G1066" s="64" t="s">
        <v>97</v>
      </c>
      <c r="H1066" s="64" t="s">
        <v>98</v>
      </c>
      <c r="I1066" s="64" t="s">
        <v>99</v>
      </c>
      <c r="J1066" s="67">
        <v>6140.58</v>
      </c>
      <c r="K1066" s="62">
        <v>-35290.49</v>
      </c>
      <c r="L1066" s="33" t="e">
        <f>HLOOKUP(B1066,#REF!,1,0)</f>
        <v>#REF!</v>
      </c>
      <c r="M1066" s="33" t="str">
        <f t="shared" si="67"/>
        <v>BS</v>
      </c>
    </row>
    <row r="1067" spans="1:13" s="33" customFormat="true" ht="12.75" customHeight="true">
      <c r="A1067" s="33" t="str">
        <f t="shared" si="64"/>
        <v>HN2 - AP-Accr Exp</v>
      </c>
      <c r="B1067" s="33" t="str">
        <f t="shared" si="65"/>
        <v>HN2</v>
      </c>
      <c r="C1067" s="33" t="str">
        <f t="shared" si="66"/>
        <v>21001-0000</v>
      </c>
      <c r="D1067" s="64" t="s">
        <v>1431</v>
      </c>
      <c r="E1067" s="64" t="s">
        <v>101</v>
      </c>
      <c r="F1067" s="64" t="s">
        <v>15</v>
      </c>
      <c r="G1067" s="64" t="s">
        <v>97</v>
      </c>
      <c r="H1067" s="64" t="s">
        <v>98</v>
      </c>
      <c r="I1067" s="64" t="s">
        <v>102</v>
      </c>
      <c r="J1067" s="67">
        <v>0</v>
      </c>
      <c r="K1067" s="62">
        <v>-9722</v>
      </c>
      <c r="L1067" s="33" t="e">
        <f>HLOOKUP(B1067,#REF!,1,0)</f>
        <v>#REF!</v>
      </c>
      <c r="M1067" s="33" t="str">
        <f t="shared" si="67"/>
        <v>BS</v>
      </c>
    </row>
    <row r="1068" spans="1:13" s="33" customFormat="true" ht="12.75" customHeight="true">
      <c r="A1068" s="33" t="str">
        <f t="shared" si="64"/>
        <v>HN2 - Tax Accr</v>
      </c>
      <c r="B1068" s="33" t="str">
        <f t="shared" si="65"/>
        <v>HN2</v>
      </c>
      <c r="C1068" s="33" t="str">
        <f t="shared" si="66"/>
        <v>22001-0000</v>
      </c>
      <c r="D1068" s="64" t="s">
        <v>1432</v>
      </c>
      <c r="E1068" s="64" t="s">
        <v>104</v>
      </c>
      <c r="F1068" s="64" t="s">
        <v>15</v>
      </c>
      <c r="G1068" s="64" t="s">
        <v>97</v>
      </c>
      <c r="H1068" s="64" t="s">
        <v>105</v>
      </c>
      <c r="I1068" s="64" t="s">
        <v>102</v>
      </c>
      <c r="J1068" s="67">
        <v>-4566.96</v>
      </c>
      <c r="K1068" s="62">
        <v>-44164.89</v>
      </c>
      <c r="L1068" s="33" t="e">
        <f>HLOOKUP(B1068,#REF!,1,0)</f>
        <v>#REF!</v>
      </c>
      <c r="M1068" s="33" t="str">
        <f t="shared" si="67"/>
        <v>BS</v>
      </c>
    </row>
    <row r="1069" spans="1:13" s="33" customFormat="true" ht="12.75" customHeight="true">
      <c r="A1069" s="33" t="str">
        <f t="shared" si="64"/>
        <v>HN2 - AP-Accr Exp</v>
      </c>
      <c r="B1069" s="33" t="str">
        <f t="shared" si="65"/>
        <v>HN2</v>
      </c>
      <c r="C1069" s="33" t="str">
        <f t="shared" si="66"/>
        <v>23405-0000</v>
      </c>
      <c r="D1069" s="64" t="s">
        <v>1433</v>
      </c>
      <c r="E1069" s="64" t="s">
        <v>107</v>
      </c>
      <c r="F1069" s="64" t="s">
        <v>15</v>
      </c>
      <c r="G1069" s="64" t="s">
        <v>97</v>
      </c>
      <c r="H1069" s="64" t="s">
        <v>98</v>
      </c>
      <c r="I1069" s="64" t="s">
        <v>102</v>
      </c>
      <c r="J1069" s="67">
        <v>0</v>
      </c>
      <c r="K1069" s="62">
        <v>0</v>
      </c>
      <c r="L1069" s="33" t="e">
        <f>HLOOKUP(B1069,#REF!,1,0)</f>
        <v>#REF!</v>
      </c>
      <c r="M1069" s="33" t="str">
        <f t="shared" si="67"/>
        <v>BS</v>
      </c>
    </row>
    <row r="1070" spans="1:13" s="33" customFormat="true" ht="12.75" customHeight="true">
      <c r="A1070" s="33" t="str">
        <f t="shared" si="64"/>
        <v>HN2 - AP-Accr Exp</v>
      </c>
      <c r="B1070" s="33" t="str">
        <f t="shared" si="65"/>
        <v>HN2</v>
      </c>
      <c r="C1070" s="33" t="str">
        <f t="shared" si="66"/>
        <v>23406-0000</v>
      </c>
      <c r="D1070" s="64" t="s">
        <v>1434</v>
      </c>
      <c r="E1070" s="64" t="s">
        <v>109</v>
      </c>
      <c r="F1070" s="64" t="s">
        <v>15</v>
      </c>
      <c r="G1070" s="64" t="s">
        <v>97</v>
      </c>
      <c r="H1070" s="64" t="s">
        <v>98</v>
      </c>
      <c r="I1070" s="64" t="s">
        <v>102</v>
      </c>
      <c r="J1070" s="67">
        <v>0</v>
      </c>
      <c r="K1070" s="62">
        <v>-1516.12</v>
      </c>
      <c r="L1070" s="33" t="e">
        <f>HLOOKUP(B1070,#REF!,1,0)</f>
        <v>#REF!</v>
      </c>
      <c r="M1070" s="33" t="str">
        <f t="shared" si="67"/>
        <v>BS</v>
      </c>
    </row>
    <row r="1071" spans="1:13" s="33" customFormat="true" ht="14.25" customHeight="true">
      <c r="A1071" s="33" t="str">
        <f t="shared" si="64"/>
        <v>HN2 - AP-Accr Exp</v>
      </c>
      <c r="B1071" s="33" t="str">
        <f t="shared" si="65"/>
        <v>HN2</v>
      </c>
      <c r="C1071" s="33" t="str">
        <f t="shared" si="66"/>
        <v>23509-0000</v>
      </c>
      <c r="D1071" s="64" t="s">
        <v>1435</v>
      </c>
      <c r="E1071" s="64" t="s">
        <v>111</v>
      </c>
      <c r="F1071" s="64" t="s">
        <v>15</v>
      </c>
      <c r="G1071" s="64" t="s">
        <v>97</v>
      </c>
      <c r="H1071" s="33" t="s">
        <v>98</v>
      </c>
      <c r="I1071" s="64" t="s">
        <v>102</v>
      </c>
      <c r="J1071" s="67">
        <v>0</v>
      </c>
      <c r="K1071" s="62">
        <v>0</v>
      </c>
      <c r="L1071" s="33" t="e">
        <f>HLOOKUP(B1071,#REF!,1,0)</f>
        <v>#REF!</v>
      </c>
      <c r="M1071" s="33" t="str">
        <f t="shared" si="67"/>
        <v>BS</v>
      </c>
    </row>
    <row r="1072" spans="1:13" s="33" customFormat="true" ht="12.75" customHeight="true">
      <c r="A1072" s="33" t="str">
        <f t="shared" si="64"/>
        <v>HN2 - AP-Accr Exp</v>
      </c>
      <c r="B1072" s="33" t="str">
        <f t="shared" si="65"/>
        <v>HN2</v>
      </c>
      <c r="C1072" s="33" t="str">
        <f t="shared" si="66"/>
        <v>23905-0000</v>
      </c>
      <c r="D1072" s="64" t="s">
        <v>1436</v>
      </c>
      <c r="E1072" s="64" t="s">
        <v>811</v>
      </c>
      <c r="F1072" s="64" t="s">
        <v>15</v>
      </c>
      <c r="G1072" s="64" t="s">
        <v>97</v>
      </c>
      <c r="H1072" s="64" t="s">
        <v>98</v>
      </c>
      <c r="I1072" s="64" t="s">
        <v>102</v>
      </c>
      <c r="J1072" s="67">
        <v>0</v>
      </c>
      <c r="K1072" s="62">
        <v>-27454.03</v>
      </c>
      <c r="L1072" s="33" t="e">
        <f>HLOOKUP(B1072,#REF!,1,0)</f>
        <v>#REF!</v>
      </c>
      <c r="M1072" s="33" t="str">
        <f t="shared" si="67"/>
        <v>BS</v>
      </c>
    </row>
    <row r="1073" spans="1:13" s="33" customFormat="true" ht="12.75" customHeight="true">
      <c r="A1073" s="33" t="str">
        <f t="shared" si="64"/>
        <v>HN2 - AP-Accr Exp</v>
      </c>
      <c r="B1073" s="33" t="str">
        <f t="shared" si="65"/>
        <v>HN2</v>
      </c>
      <c r="C1073" s="33" t="str">
        <f t="shared" si="66"/>
        <v>23909-0000</v>
      </c>
      <c r="D1073" s="64" t="s">
        <v>1437</v>
      </c>
      <c r="E1073" s="64" t="s">
        <v>113</v>
      </c>
      <c r="F1073" s="64" t="s">
        <v>15</v>
      </c>
      <c r="G1073" s="64" t="s">
        <v>97</v>
      </c>
      <c r="H1073" s="64" t="s">
        <v>98</v>
      </c>
      <c r="I1073" s="64" t="s">
        <v>102</v>
      </c>
      <c r="J1073" s="67">
        <v>-5857.39</v>
      </c>
      <c r="K1073" s="62">
        <v>-58721.64</v>
      </c>
      <c r="L1073" s="33" t="e">
        <f>HLOOKUP(B1073,#REF!,1,0)</f>
        <v>#REF!</v>
      </c>
      <c r="M1073" s="33" t="str">
        <f t="shared" si="67"/>
        <v>BS</v>
      </c>
    </row>
    <row r="1074" spans="1:13" s="33" customFormat="true" ht="12.75" customHeight="true">
      <c r="A1074" s="33" t="str">
        <f t="shared" si="64"/>
        <v>HN2 - AP-Accr Exp</v>
      </c>
      <c r="B1074" s="33" t="str">
        <f t="shared" si="65"/>
        <v>HN2</v>
      </c>
      <c r="C1074" s="33" t="str">
        <f t="shared" si="66"/>
        <v>23920-0000</v>
      </c>
      <c r="D1074" s="64" t="s">
        <v>1438</v>
      </c>
      <c r="E1074" s="64" t="s">
        <v>1439</v>
      </c>
      <c r="F1074" s="64" t="s">
        <v>15</v>
      </c>
      <c r="G1074" s="64" t="s">
        <v>97</v>
      </c>
      <c r="H1074" s="64" t="s">
        <v>98</v>
      </c>
      <c r="I1074" s="64" t="s">
        <v>102</v>
      </c>
      <c r="J1074" s="67">
        <v>0</v>
      </c>
      <c r="K1074" s="62">
        <v>-101985.43</v>
      </c>
      <c r="L1074" s="33" t="e">
        <f>HLOOKUP(B1074,#REF!,1,0)</f>
        <v>#REF!</v>
      </c>
      <c r="M1074" s="33" t="str">
        <f t="shared" si="67"/>
        <v>BS</v>
      </c>
    </row>
    <row r="1075" spans="1:13" s="33" customFormat="true" ht="12.75" customHeight="true">
      <c r="A1075" s="33" t="str">
        <f t="shared" si="64"/>
        <v>HN2 - AP-Accr Exp</v>
      </c>
      <c r="B1075" s="33" t="str">
        <f t="shared" si="65"/>
        <v>HN2</v>
      </c>
      <c r="C1075" s="33" t="str">
        <f t="shared" si="66"/>
        <v>24400-0000</v>
      </c>
      <c r="D1075" s="64" t="s">
        <v>1440</v>
      </c>
      <c r="E1075" s="64" t="s">
        <v>115</v>
      </c>
      <c r="F1075" s="64" t="s">
        <v>15</v>
      </c>
      <c r="G1075" s="64" t="s">
        <v>97</v>
      </c>
      <c r="H1075" s="64" t="s">
        <v>98</v>
      </c>
      <c r="I1075" s="64" t="s">
        <v>102</v>
      </c>
      <c r="J1075" s="67">
        <v>-284.95</v>
      </c>
      <c r="K1075" s="62">
        <v>-23180.89</v>
      </c>
      <c r="L1075" s="33" t="e">
        <f>HLOOKUP(B1075,#REF!,1,0)</f>
        <v>#REF!</v>
      </c>
      <c r="M1075" s="33" t="str">
        <f t="shared" si="67"/>
        <v>BS</v>
      </c>
    </row>
    <row r="1076" spans="1:13" s="33" customFormat="true" ht="12.75" customHeight="true">
      <c r="A1076" s="33" t="str">
        <f t="shared" si="64"/>
        <v>HN2 - AP-Accr Exp</v>
      </c>
      <c r="B1076" s="33" t="str">
        <f t="shared" si="65"/>
        <v>HN2</v>
      </c>
      <c r="C1076" s="33" t="str">
        <f t="shared" si="66"/>
        <v>24400-7358</v>
      </c>
      <c r="D1076" s="64" t="s">
        <v>1441</v>
      </c>
      <c r="E1076" s="64" t="s">
        <v>115</v>
      </c>
      <c r="F1076" s="64" t="s">
        <v>15</v>
      </c>
      <c r="G1076" s="64" t="s">
        <v>97</v>
      </c>
      <c r="H1076" s="64" t="s">
        <v>98</v>
      </c>
      <c r="I1076" s="64" t="s">
        <v>102</v>
      </c>
      <c r="J1076" s="67">
        <v>176.03</v>
      </c>
      <c r="K1076" s="62">
        <v>8092.24</v>
      </c>
      <c r="L1076" s="33" t="e">
        <f>HLOOKUP(B1076,#REF!,1,0)</f>
        <v>#REF!</v>
      </c>
      <c r="M1076" s="33" t="str">
        <f t="shared" si="67"/>
        <v>BS</v>
      </c>
    </row>
    <row r="1077" spans="1:13" s="33" customFormat="true" ht="12.75" customHeight="true">
      <c r="A1077" s="33" t="str">
        <f t="shared" si="64"/>
        <v>HN2 - AP-Accr Exp</v>
      </c>
      <c r="B1077" s="33" t="str">
        <f t="shared" si="65"/>
        <v>HN2</v>
      </c>
      <c r="C1077" s="33" t="str">
        <f t="shared" si="66"/>
        <v>24400-7372</v>
      </c>
      <c r="D1077" s="64" t="s">
        <v>1442</v>
      </c>
      <c r="E1077" s="64" t="s">
        <v>115</v>
      </c>
      <c r="F1077" s="64" t="s">
        <v>15</v>
      </c>
      <c r="G1077" s="64" t="s">
        <v>97</v>
      </c>
      <c r="H1077" s="64" t="s">
        <v>98</v>
      </c>
      <c r="I1077" s="64" t="s">
        <v>102</v>
      </c>
      <c r="J1077" s="67">
        <v>115.44</v>
      </c>
      <c r="K1077" s="62">
        <v>14285.88</v>
      </c>
      <c r="L1077" s="33" t="e">
        <f>HLOOKUP(B1077,#REF!,1,0)</f>
        <v>#REF!</v>
      </c>
      <c r="M1077" s="33" t="str">
        <f t="shared" si="67"/>
        <v>BS</v>
      </c>
    </row>
    <row r="1078" spans="1:13" s="33" customFormat="true" ht="12.75" customHeight="true">
      <c r="A1078" s="33" t="str">
        <f t="shared" si="64"/>
        <v>HN2 - AP-Accr Exp</v>
      </c>
      <c r="B1078" s="33" t="str">
        <f t="shared" si="65"/>
        <v>HN2</v>
      </c>
      <c r="C1078" s="33" t="str">
        <f t="shared" si="66"/>
        <v>24400-7384</v>
      </c>
      <c r="D1078" s="64" t="s">
        <v>1443</v>
      </c>
      <c r="E1078" s="64" t="s">
        <v>115</v>
      </c>
      <c r="F1078" s="64" t="s">
        <v>15</v>
      </c>
      <c r="G1078" s="64" t="s">
        <v>97</v>
      </c>
      <c r="H1078" s="64" t="s">
        <v>98</v>
      </c>
      <c r="I1078" s="64" t="s">
        <v>102</v>
      </c>
      <c r="J1078" s="67">
        <v>88.22</v>
      </c>
      <c r="K1078" s="62">
        <v>8085.94</v>
      </c>
      <c r="L1078" s="33" t="e">
        <f>HLOOKUP(B1078,#REF!,1,0)</f>
        <v>#REF!</v>
      </c>
      <c r="M1078" s="33" t="str">
        <f t="shared" si="67"/>
        <v>BS</v>
      </c>
    </row>
    <row r="1079" spans="1:13" s="33" customFormat="true" ht="12.75" customHeight="true">
      <c r="A1079" s="33" t="str">
        <f t="shared" si="64"/>
        <v>HN2 - AP-Accr Exp</v>
      </c>
      <c r="B1079" s="33" t="str">
        <f t="shared" si="65"/>
        <v>HN2</v>
      </c>
      <c r="C1079" s="33" t="str">
        <f t="shared" si="66"/>
        <v>24400-7626</v>
      </c>
      <c r="D1079" s="64" t="s">
        <v>1444</v>
      </c>
      <c r="E1079" s="64" t="s">
        <v>115</v>
      </c>
      <c r="F1079" s="64" t="s">
        <v>15</v>
      </c>
      <c r="G1079" s="64" t="s">
        <v>97</v>
      </c>
      <c r="H1079" s="64" t="s">
        <v>98</v>
      </c>
      <c r="I1079" s="64" t="s">
        <v>102</v>
      </c>
      <c r="J1079" s="67">
        <v>45.3</v>
      </c>
      <c r="K1079" s="62">
        <v>5422.58</v>
      </c>
      <c r="L1079" s="33" t="e">
        <f>HLOOKUP(B1079,#REF!,1,0)</f>
        <v>#REF!</v>
      </c>
      <c r="M1079" s="33" t="str">
        <f t="shared" si="67"/>
        <v>BS</v>
      </c>
    </row>
    <row r="1080" spans="1:13" s="33" customFormat="true" ht="12.75" customHeight="true">
      <c r="A1080" s="33" t="str">
        <f t="shared" si="64"/>
        <v>HN2 - SH Dist</v>
      </c>
      <c r="B1080" s="33" t="str">
        <f t="shared" si="65"/>
        <v>HN2</v>
      </c>
      <c r="C1080" s="33" t="str">
        <f t="shared" si="66"/>
        <v>30001-0000</v>
      </c>
      <c r="D1080" s="64" t="s">
        <v>1445</v>
      </c>
      <c r="E1080" s="64" t="s">
        <v>141</v>
      </c>
      <c r="F1080" s="64" t="s">
        <v>15</v>
      </c>
      <c r="G1080" s="64" t="s">
        <v>142</v>
      </c>
      <c r="H1080" s="64" t="s">
        <v>143</v>
      </c>
      <c r="I1080" s="64" t="s">
        <v>144</v>
      </c>
      <c r="J1080" s="67">
        <v>0</v>
      </c>
      <c r="K1080" s="62">
        <v>-75616.45</v>
      </c>
      <c r="L1080" s="33" t="e">
        <f>HLOOKUP(B1080,#REF!,1,0)</f>
        <v>#REF!</v>
      </c>
      <c r="M1080" s="33" t="str">
        <f t="shared" si="67"/>
        <v>BS</v>
      </c>
    </row>
    <row r="1081" spans="1:13" s="33" customFormat="true" ht="12.75" customHeight="true">
      <c r="A1081" s="33" t="str">
        <f t="shared" si="64"/>
        <v>HN2 - SH Dist</v>
      </c>
      <c r="B1081" s="33" t="str">
        <f t="shared" si="65"/>
        <v>HN2</v>
      </c>
      <c r="C1081" s="33" t="str">
        <f t="shared" si="66"/>
        <v>30501-0000</v>
      </c>
      <c r="D1081" s="64" t="s">
        <v>1446</v>
      </c>
      <c r="E1081" s="64" t="s">
        <v>822</v>
      </c>
      <c r="F1081" s="64" t="s">
        <v>15</v>
      </c>
      <c r="G1081" s="64" t="s">
        <v>142</v>
      </c>
      <c r="H1081" s="64" t="s">
        <v>143</v>
      </c>
      <c r="I1081" s="64" t="s">
        <v>144</v>
      </c>
      <c r="J1081" s="67">
        <v>0</v>
      </c>
      <c r="K1081" s="62">
        <v>-212326</v>
      </c>
      <c r="L1081" s="33" t="e">
        <f>HLOOKUP(B1081,#REF!,1,0)</f>
        <v>#REF!</v>
      </c>
      <c r="M1081" s="33" t="str">
        <f t="shared" si="67"/>
        <v>BS</v>
      </c>
    </row>
    <row r="1082" spans="1:13" s="33" customFormat="true" ht="12.75" customHeight="true">
      <c r="A1082" s="33" t="str">
        <f t="shared" si="64"/>
        <v>HN2 - Retained Earnings</v>
      </c>
      <c r="B1082" s="33" t="str">
        <f t="shared" si="65"/>
        <v>HN2</v>
      </c>
      <c r="C1082" s="33" t="str">
        <f t="shared" si="66"/>
        <v>32000-0000</v>
      </c>
      <c r="D1082" s="64" t="s">
        <v>1447</v>
      </c>
      <c r="E1082" s="64" t="s">
        <v>148</v>
      </c>
      <c r="F1082" s="64" t="s">
        <v>15</v>
      </c>
      <c r="G1082" s="64" t="s">
        <v>142</v>
      </c>
      <c r="H1082" s="64" t="s">
        <v>149</v>
      </c>
      <c r="I1082" s="64" t="s">
        <v>150</v>
      </c>
      <c r="J1082" s="67">
        <v>0</v>
      </c>
      <c r="K1082" s="62">
        <v>1502622.46</v>
      </c>
      <c r="L1082" s="33" t="e">
        <f>HLOOKUP(B1082,#REF!,1,0)</f>
        <v>#REF!</v>
      </c>
      <c r="M1082" s="33" t="str">
        <f t="shared" si="67"/>
        <v>BS</v>
      </c>
    </row>
    <row r="1083" spans="1:13" s="33" customFormat="true" ht="12.75" customHeight="true">
      <c r="A1083" s="33" t="str">
        <f t="shared" si="64"/>
        <v>HN2 - SH Dist</v>
      </c>
      <c r="B1083" s="33" t="str">
        <f t="shared" si="65"/>
        <v>HN2</v>
      </c>
      <c r="C1083" s="33" t="str">
        <f t="shared" si="66"/>
        <v>37001-0000</v>
      </c>
      <c r="D1083" s="64" t="s">
        <v>1448</v>
      </c>
      <c r="E1083" s="64" t="s">
        <v>322</v>
      </c>
      <c r="F1083" s="64" t="s">
        <v>15</v>
      </c>
      <c r="G1083" s="64" t="s">
        <v>142</v>
      </c>
      <c r="H1083" s="64" t="s">
        <v>143</v>
      </c>
      <c r="I1083" s="64" t="s">
        <v>144</v>
      </c>
      <c r="J1083" s="67">
        <v>1100</v>
      </c>
      <c r="K1083" s="62">
        <v>24199.9</v>
      </c>
      <c r="L1083" s="33" t="e">
        <f>HLOOKUP(B1083,#REF!,1,0)</f>
        <v>#REF!</v>
      </c>
      <c r="M1083" s="33" t="str">
        <f t="shared" si="67"/>
        <v>BS</v>
      </c>
    </row>
    <row r="1084" spans="1:13" s="33" customFormat="true" ht="12.75" customHeight="true">
      <c r="A1084" s="33" t="str">
        <f t="shared" si="64"/>
        <v>HOM - Cash</v>
      </c>
      <c r="B1084" s="33" t="str">
        <f t="shared" si="65"/>
        <v>HOM</v>
      </c>
      <c r="C1084" s="33" t="str">
        <f t="shared" si="66"/>
        <v>10021-0000</v>
      </c>
      <c r="D1084" s="64" t="s">
        <v>1449</v>
      </c>
      <c r="E1084" s="64" t="s">
        <v>1450</v>
      </c>
      <c r="F1084" s="64" t="s">
        <v>679</v>
      </c>
      <c r="G1084" s="64" t="s">
        <v>16</v>
      </c>
      <c r="H1084" s="64" t="s">
        <v>25</v>
      </c>
      <c r="I1084" s="64" t="s">
        <v>18</v>
      </c>
      <c r="J1084" s="67">
        <v>-8206.21</v>
      </c>
      <c r="K1084" s="62">
        <v>-1452098.32</v>
      </c>
      <c r="L1084" s="33" t="e">
        <f>HLOOKUP(B1084,#REF!,1,0)</f>
        <v>#REF!</v>
      </c>
      <c r="M1084" s="33" t="str">
        <f t="shared" si="67"/>
        <v>BS</v>
      </c>
    </row>
    <row r="1085" spans="1:13" s="33" customFormat="true" ht="12.75" customHeight="true">
      <c r="A1085" s="33" t="str">
        <f t="shared" si="64"/>
        <v>HOM - AP-Accr Exp</v>
      </c>
      <c r="B1085" s="33" t="str">
        <f t="shared" si="65"/>
        <v>HOM</v>
      </c>
      <c r="C1085" s="33" t="str">
        <f t="shared" si="66"/>
        <v>20100-0000</v>
      </c>
      <c r="D1085" s="64" t="s">
        <v>1451</v>
      </c>
      <c r="E1085" s="64" t="s">
        <v>96</v>
      </c>
      <c r="F1085" s="64" t="s">
        <v>679</v>
      </c>
      <c r="G1085" s="64" t="s">
        <v>97</v>
      </c>
      <c r="H1085" s="64" t="s">
        <v>98</v>
      </c>
      <c r="I1085" s="64" t="s">
        <v>99</v>
      </c>
      <c r="J1085" s="67">
        <v>0</v>
      </c>
      <c r="K1085" s="62">
        <v>55</v>
      </c>
      <c r="L1085" s="33" t="e">
        <f>HLOOKUP(B1085,#REF!,1,0)</f>
        <v>#REF!</v>
      </c>
      <c r="M1085" s="33" t="str">
        <f t="shared" si="67"/>
        <v>BS</v>
      </c>
    </row>
    <row r="1086" spans="1:13" s="33" customFormat="true" ht="12.75" customHeight="true">
      <c r="A1086" s="33" t="str">
        <f t="shared" si="64"/>
        <v>HOM - SH Dist</v>
      </c>
      <c r="B1086" s="33" t="str">
        <f t="shared" si="65"/>
        <v>HOM</v>
      </c>
      <c r="C1086" s="33" t="str">
        <f t="shared" si="66"/>
        <v>30100-0000</v>
      </c>
      <c r="D1086" s="64" t="s">
        <v>1452</v>
      </c>
      <c r="E1086" s="64" t="s">
        <v>1453</v>
      </c>
      <c r="F1086" s="64" t="s">
        <v>679</v>
      </c>
      <c r="G1086" s="64" t="s">
        <v>142</v>
      </c>
      <c r="H1086" s="64" t="s">
        <v>143</v>
      </c>
      <c r="I1086" s="64" t="s">
        <v>144</v>
      </c>
      <c r="J1086" s="67">
        <v>0</v>
      </c>
      <c r="K1086" s="62">
        <v>-100100</v>
      </c>
      <c r="L1086" s="33" t="e">
        <f>HLOOKUP(B1086,#REF!,1,0)</f>
        <v>#REF!</v>
      </c>
      <c r="M1086" s="33" t="str">
        <f t="shared" si="67"/>
        <v>BS</v>
      </c>
    </row>
    <row r="1087" spans="1:13" s="33" customFormat="true" ht="12.75" customHeight="true">
      <c r="A1087" s="33" t="str">
        <f t="shared" si="64"/>
        <v>HOM - Retained Earnings</v>
      </c>
      <c r="B1087" s="33" t="str">
        <f t="shared" si="65"/>
        <v>HOM</v>
      </c>
      <c r="C1087" s="33" t="str">
        <f t="shared" si="66"/>
        <v>32000-0000</v>
      </c>
      <c r="D1087" s="64" t="s">
        <v>1454</v>
      </c>
      <c r="E1087" s="64" t="s">
        <v>234</v>
      </c>
      <c r="F1087" s="64" t="s">
        <v>679</v>
      </c>
      <c r="G1087" s="64" t="s">
        <v>142</v>
      </c>
      <c r="H1087" s="64" t="s">
        <v>149</v>
      </c>
      <c r="I1087" s="64" t="s">
        <v>150</v>
      </c>
      <c r="J1087" s="67">
        <v>0</v>
      </c>
      <c r="K1087" s="62">
        <v>1459521.24</v>
      </c>
      <c r="L1087" s="33" t="e">
        <f>HLOOKUP(B1087,#REF!,1,0)</f>
        <v>#REF!</v>
      </c>
      <c r="M1087" s="33" t="str">
        <f t="shared" si="67"/>
        <v>BS</v>
      </c>
    </row>
    <row r="1088" spans="1:13" s="33" customFormat="true" ht="12.75" customHeight="true">
      <c r="A1088" s="33" t="str">
        <f t="shared" si="64"/>
        <v>HOS - Cash</v>
      </c>
      <c r="B1088" s="33" t="str">
        <f t="shared" si="65"/>
        <v>HOS</v>
      </c>
      <c r="C1088" s="33" t="str">
        <f t="shared" si="66"/>
        <v>10021-0000</v>
      </c>
      <c r="D1088" s="64" t="s">
        <v>1455</v>
      </c>
      <c r="E1088" s="64" t="s">
        <v>1450</v>
      </c>
      <c r="F1088" s="64" t="s">
        <v>679</v>
      </c>
      <c r="G1088" s="64" t="s">
        <v>16</v>
      </c>
      <c r="H1088" s="64" t="s">
        <v>25</v>
      </c>
      <c r="I1088" s="64" t="s">
        <v>18</v>
      </c>
      <c r="J1088" s="67">
        <v>-1000.76</v>
      </c>
      <c r="K1088" s="62">
        <v>-934234.44</v>
      </c>
      <c r="L1088" s="33" t="e">
        <f>HLOOKUP(B1088,#REF!,1,0)</f>
        <v>#REF!</v>
      </c>
      <c r="M1088" s="33" t="str">
        <f t="shared" si="67"/>
        <v>BS</v>
      </c>
    </row>
    <row r="1089" spans="1:13" s="33" customFormat="true" ht="12.75" customHeight="true">
      <c r="A1089" s="33" t="str">
        <f t="shared" si="64"/>
        <v>HOS - AP-Accr Exp</v>
      </c>
      <c r="B1089" s="33" t="str">
        <f t="shared" si="65"/>
        <v>HOS</v>
      </c>
      <c r="C1089" s="33" t="str">
        <f t="shared" si="66"/>
        <v>20001-0000</v>
      </c>
      <c r="D1089" s="64" t="s">
        <v>1456</v>
      </c>
      <c r="E1089" s="64" t="s">
        <v>96</v>
      </c>
      <c r="F1089" s="64" t="s">
        <v>679</v>
      </c>
      <c r="G1089" s="64" t="s">
        <v>97</v>
      </c>
      <c r="H1089" s="64" t="s">
        <v>98</v>
      </c>
      <c r="I1089" s="64" t="s">
        <v>99</v>
      </c>
      <c r="J1089" s="67">
        <v>-132.67</v>
      </c>
      <c r="K1089" s="62">
        <v>-262.67</v>
      </c>
      <c r="L1089" s="33" t="e">
        <f>HLOOKUP(B1089,#REF!,1,0)</f>
        <v>#REF!</v>
      </c>
      <c r="M1089" s="33" t="str">
        <f t="shared" si="67"/>
        <v>BS</v>
      </c>
    </row>
    <row r="1090" spans="1:13" s="33" customFormat="true" ht="12.75" customHeight="true">
      <c r="A1090" s="33" t="str">
        <f t="shared" ref="A1090:A1153" si="68">B1090&amp;" - "&amp;TRIM(H1090)</f>
        <v>HOS - SH Dist</v>
      </c>
      <c r="B1090" s="33" t="str">
        <f t="shared" ref="B1090:B1153" si="69">LEFT(D1090,3)</f>
        <v>HOS</v>
      </c>
      <c r="C1090" s="33" t="str">
        <f t="shared" ref="C1090:C1153" si="70">RIGHT(D1090,10)</f>
        <v>30100-0000</v>
      </c>
      <c r="D1090" s="64" t="s">
        <v>1457</v>
      </c>
      <c r="E1090" s="64" t="s">
        <v>1458</v>
      </c>
      <c r="F1090" s="64" t="s">
        <v>679</v>
      </c>
      <c r="G1090" s="64" t="s">
        <v>142</v>
      </c>
      <c r="H1090" s="64" t="s">
        <v>143</v>
      </c>
      <c r="I1090" s="64" t="s">
        <v>144</v>
      </c>
      <c r="J1090" s="67">
        <v>0</v>
      </c>
      <c r="K1090" s="62">
        <v>-20000</v>
      </c>
      <c r="L1090" s="33" t="e">
        <f>HLOOKUP(B1090,#REF!,1,0)</f>
        <v>#REF!</v>
      </c>
      <c r="M1090" s="33" t="str">
        <f t="shared" ref="M1090:M1153" si="71">IF(VALUE(LEFT(C1090,5))&gt;40000,"P&amp;L","BS")</f>
        <v>BS</v>
      </c>
    </row>
    <row r="1091" spans="1:13" s="33" customFormat="true" ht="12.75" customHeight="true">
      <c r="A1091" s="33" t="str">
        <f t="shared" si="68"/>
        <v>HOS - Retained Earnings</v>
      </c>
      <c r="B1091" s="33" t="str">
        <f t="shared" si="69"/>
        <v>HOS</v>
      </c>
      <c r="C1091" s="33" t="str">
        <f t="shared" si="70"/>
        <v>32000-0000</v>
      </c>
      <c r="D1091" s="64" t="s">
        <v>1459</v>
      </c>
      <c r="E1091" s="64" t="s">
        <v>234</v>
      </c>
      <c r="F1091" s="64" t="s">
        <v>679</v>
      </c>
      <c r="G1091" s="64" t="s">
        <v>142</v>
      </c>
      <c r="H1091" s="64" t="s">
        <v>149</v>
      </c>
      <c r="I1091" s="64" t="s">
        <v>150</v>
      </c>
      <c r="J1091" s="67">
        <v>0</v>
      </c>
      <c r="K1091" s="62">
        <v>884328.12</v>
      </c>
      <c r="L1091" s="33" t="e">
        <f>HLOOKUP(B1091,#REF!,1,0)</f>
        <v>#REF!</v>
      </c>
      <c r="M1091" s="33" t="str">
        <f t="shared" si="71"/>
        <v>BS</v>
      </c>
    </row>
    <row r="1092" spans="1:13" s="33" customFormat="true" ht="12.75" customHeight="true">
      <c r="A1092" s="33" t="str">
        <f t="shared" si="68"/>
        <v>JUP - Cash</v>
      </c>
      <c r="B1092" s="33" t="str">
        <f t="shared" si="69"/>
        <v>JUP</v>
      </c>
      <c r="C1092" s="33" t="str">
        <f t="shared" si="70"/>
        <v>10001-0000</v>
      </c>
      <c r="D1092" s="64" t="s">
        <v>1460</v>
      </c>
      <c r="E1092" s="64" t="s">
        <v>240</v>
      </c>
      <c r="F1092" s="64" t="s">
        <v>230</v>
      </c>
      <c r="G1092" s="64" t="s">
        <v>16</v>
      </c>
      <c r="H1092" s="64" t="s">
        <v>25</v>
      </c>
      <c r="I1092" s="64" t="s">
        <v>18</v>
      </c>
      <c r="J1092" s="67">
        <v>8958</v>
      </c>
      <c r="K1092" s="62">
        <v>94760.44</v>
      </c>
      <c r="L1092" s="33" t="e">
        <f>HLOOKUP(B1092,#REF!,1,0)</f>
        <v>#REF!</v>
      </c>
      <c r="M1092" s="33" t="str">
        <f t="shared" si="71"/>
        <v>BS</v>
      </c>
    </row>
    <row r="1093" spans="1:13" s="33" customFormat="true" ht="12.75" customHeight="true">
      <c r="A1093" s="33" t="str">
        <f t="shared" si="68"/>
        <v>JUP - Intercompany</v>
      </c>
      <c r="B1093" s="33" t="str">
        <f t="shared" si="69"/>
        <v>JUP</v>
      </c>
      <c r="C1093" s="33" t="str">
        <f t="shared" si="70"/>
        <v>11216-0000</v>
      </c>
      <c r="D1093" s="64" t="s">
        <v>1461</v>
      </c>
      <c r="E1093" s="64" t="s">
        <v>242</v>
      </c>
      <c r="F1093" s="64" t="s">
        <v>230</v>
      </c>
      <c r="G1093" s="64" t="s">
        <v>16</v>
      </c>
      <c r="H1093" s="64" t="s">
        <v>39</v>
      </c>
      <c r="I1093" s="64" t="s">
        <v>40</v>
      </c>
      <c r="J1093" s="67">
        <v>511.92</v>
      </c>
      <c r="K1093" s="62">
        <v>-10432.78</v>
      </c>
      <c r="L1093" s="33" t="e">
        <f>HLOOKUP(B1093,#REF!,1,0)</f>
        <v>#REF!</v>
      </c>
      <c r="M1093" s="33" t="str">
        <f t="shared" si="71"/>
        <v>BS</v>
      </c>
    </row>
    <row r="1094" spans="1:13" s="33" customFormat="true" ht="12.75" customHeight="true">
      <c r="A1094" s="33" t="str">
        <f t="shared" si="68"/>
        <v>JUP - Fixed Assets</v>
      </c>
      <c r="B1094" s="33" t="str">
        <f t="shared" si="69"/>
        <v>JUP</v>
      </c>
      <c r="C1094" s="33" t="str">
        <f t="shared" si="70"/>
        <v>14000-0000</v>
      </c>
      <c r="D1094" s="64" t="s">
        <v>1462</v>
      </c>
      <c r="E1094" s="64" t="s">
        <v>298</v>
      </c>
      <c r="F1094" s="64" t="s">
        <v>230</v>
      </c>
      <c r="G1094" s="64" t="s">
        <v>62</v>
      </c>
      <c r="H1094" s="64" t="s">
        <v>63</v>
      </c>
      <c r="I1094" s="64" t="s">
        <v>64</v>
      </c>
      <c r="J1094" s="67">
        <v>0</v>
      </c>
      <c r="K1094" s="62">
        <v>1864500</v>
      </c>
      <c r="L1094" s="33" t="e">
        <f>HLOOKUP(B1094,#REF!,1,0)</f>
        <v>#REF!</v>
      </c>
      <c r="M1094" s="33" t="str">
        <f t="shared" si="71"/>
        <v>BS</v>
      </c>
    </row>
    <row r="1095" spans="1:13" s="33" customFormat="true" ht="12.75" customHeight="true">
      <c r="A1095" s="33" t="str">
        <f t="shared" si="68"/>
        <v>JUP - Fixed Assets</v>
      </c>
      <c r="B1095" s="33" t="str">
        <f t="shared" si="69"/>
        <v>JUP</v>
      </c>
      <c r="C1095" s="33" t="str">
        <f t="shared" si="70"/>
        <v>15000-0000</v>
      </c>
      <c r="D1095" s="64" t="s">
        <v>1463</v>
      </c>
      <c r="E1095" s="64" t="s">
        <v>300</v>
      </c>
      <c r="F1095" s="64" t="s">
        <v>230</v>
      </c>
      <c r="G1095" s="64" t="s">
        <v>62</v>
      </c>
      <c r="H1095" s="64" t="s">
        <v>63</v>
      </c>
      <c r="I1095" s="64" t="s">
        <v>64</v>
      </c>
      <c r="J1095" s="67">
        <v>0</v>
      </c>
      <c r="K1095" s="62">
        <v>3785500</v>
      </c>
      <c r="L1095" s="33" t="e">
        <f>HLOOKUP(B1095,#REF!,1,0)</f>
        <v>#REF!</v>
      </c>
      <c r="M1095" s="33" t="str">
        <f t="shared" si="71"/>
        <v>BS</v>
      </c>
    </row>
    <row r="1096" spans="1:13" s="33" customFormat="true" ht="12.75" customHeight="true">
      <c r="A1096" s="33" t="str">
        <f t="shared" si="68"/>
        <v>JUP - Total Assets</v>
      </c>
      <c r="B1096" s="33" t="str">
        <f t="shared" si="69"/>
        <v>JUP</v>
      </c>
      <c r="C1096" s="33" t="str">
        <f t="shared" si="70"/>
        <v>15500-0000</v>
      </c>
      <c r="D1096" s="64" t="s">
        <v>1464</v>
      </c>
      <c r="E1096" s="64" t="s">
        <v>302</v>
      </c>
      <c r="F1096" s="64" t="s">
        <v>230</v>
      </c>
      <c r="G1096" s="64" t="s">
        <v>62</v>
      </c>
      <c r="H1096" s="64" t="s">
        <v>62</v>
      </c>
      <c r="I1096" s="64" t="s">
        <v>64</v>
      </c>
      <c r="J1096" s="67">
        <v>0</v>
      </c>
      <c r="K1096" s="62">
        <v>43004.87</v>
      </c>
      <c r="L1096" s="33" t="e">
        <f>HLOOKUP(B1096,#REF!,1,0)</f>
        <v>#REF!</v>
      </c>
      <c r="M1096" s="33" t="str">
        <f t="shared" si="71"/>
        <v>BS</v>
      </c>
    </row>
    <row r="1097" spans="1:13" s="33" customFormat="true" ht="12.75" customHeight="true">
      <c r="A1097" s="33" t="str">
        <f t="shared" si="68"/>
        <v>JUP - Fixed Assets</v>
      </c>
      <c r="B1097" s="33" t="str">
        <f t="shared" si="69"/>
        <v>JUP</v>
      </c>
      <c r="C1097" s="33" t="str">
        <f t="shared" si="70"/>
        <v>15600-0000</v>
      </c>
      <c r="D1097" s="64" t="s">
        <v>1465</v>
      </c>
      <c r="E1097" s="64" t="s">
        <v>337</v>
      </c>
      <c r="F1097" s="64" t="s">
        <v>230</v>
      </c>
      <c r="G1097" s="64" t="s">
        <v>16</v>
      </c>
      <c r="H1097" s="64" t="s">
        <v>63</v>
      </c>
      <c r="I1097" s="64" t="s">
        <v>64</v>
      </c>
      <c r="J1097" s="67">
        <v>0</v>
      </c>
      <c r="K1097" s="62">
        <v>7052</v>
      </c>
      <c r="L1097" s="33" t="e">
        <f>HLOOKUP(B1097,#REF!,1,0)</f>
        <v>#REF!</v>
      </c>
      <c r="M1097" s="33" t="str">
        <f t="shared" si="71"/>
        <v>BS</v>
      </c>
    </row>
    <row r="1098" spans="1:13" s="33" customFormat="true" ht="12.75" customHeight="true">
      <c r="A1098" s="33" t="str">
        <f t="shared" si="68"/>
        <v>JUP - Fixed Assets</v>
      </c>
      <c r="B1098" s="33" t="str">
        <f t="shared" si="69"/>
        <v>JUP</v>
      </c>
      <c r="C1098" s="33" t="str">
        <f t="shared" si="70"/>
        <v>16000-0000</v>
      </c>
      <c r="D1098" s="64" t="s">
        <v>1466</v>
      </c>
      <c r="E1098" s="64" t="s">
        <v>304</v>
      </c>
      <c r="F1098" s="64" t="s">
        <v>230</v>
      </c>
      <c r="G1098" s="64" t="s">
        <v>16</v>
      </c>
      <c r="H1098" s="64" t="s">
        <v>63</v>
      </c>
      <c r="I1098" s="64" t="s">
        <v>18</v>
      </c>
      <c r="J1098" s="67">
        <v>0</v>
      </c>
      <c r="K1098" s="62">
        <v>31250</v>
      </c>
      <c r="L1098" s="33" t="e">
        <f>HLOOKUP(B1098,#REF!,1,0)</f>
        <v>#REF!</v>
      </c>
      <c r="M1098" s="33" t="str">
        <f t="shared" si="71"/>
        <v>BS</v>
      </c>
    </row>
    <row r="1099" spans="1:13" s="33" customFormat="true" ht="12.75" customHeight="true">
      <c r="A1099" s="33" t="str">
        <f t="shared" si="68"/>
        <v>JUP - Fixed Assets</v>
      </c>
      <c r="B1099" s="33" t="str">
        <f t="shared" si="69"/>
        <v>JUP</v>
      </c>
      <c r="C1099" s="33" t="str">
        <f t="shared" si="70"/>
        <v>17000-0000</v>
      </c>
      <c r="D1099" s="64" t="s">
        <v>1467</v>
      </c>
      <c r="E1099" s="64" t="s">
        <v>306</v>
      </c>
      <c r="F1099" s="64" t="s">
        <v>230</v>
      </c>
      <c r="G1099" s="64" t="s">
        <v>62</v>
      </c>
      <c r="H1099" s="64" t="s">
        <v>63</v>
      </c>
      <c r="I1099" s="64" t="s">
        <v>64</v>
      </c>
      <c r="J1099" s="67">
        <v>0</v>
      </c>
      <c r="K1099" s="62">
        <v>-293479</v>
      </c>
      <c r="L1099" s="33" t="e">
        <f>HLOOKUP(B1099,#REF!,1,0)</f>
        <v>#REF!</v>
      </c>
      <c r="M1099" s="33" t="str">
        <f t="shared" si="71"/>
        <v>BS</v>
      </c>
    </row>
    <row r="1100" spans="1:13" s="33" customFormat="true" ht="12.75" customHeight="true">
      <c r="A1100" s="33" t="str">
        <f t="shared" si="68"/>
        <v>JUP - Fixed Assets</v>
      </c>
      <c r="B1100" s="33" t="str">
        <f t="shared" si="69"/>
        <v>JUP</v>
      </c>
      <c r="C1100" s="33" t="str">
        <f t="shared" si="70"/>
        <v>18000-0000</v>
      </c>
      <c r="D1100" s="64" t="s">
        <v>1468</v>
      </c>
      <c r="E1100" s="64" t="s">
        <v>308</v>
      </c>
      <c r="F1100" s="64" t="s">
        <v>230</v>
      </c>
      <c r="G1100" s="64" t="s">
        <v>62</v>
      </c>
      <c r="H1100" s="64" t="s">
        <v>63</v>
      </c>
      <c r="I1100" s="64" t="s">
        <v>64</v>
      </c>
      <c r="J1100" s="67">
        <v>0</v>
      </c>
      <c r="K1100" s="62">
        <v>-11441</v>
      </c>
      <c r="L1100" s="33" t="e">
        <f>HLOOKUP(B1100,#REF!,1,0)</f>
        <v>#REF!</v>
      </c>
      <c r="M1100" s="33" t="str">
        <f t="shared" si="71"/>
        <v>BS</v>
      </c>
    </row>
    <row r="1101" spans="1:13" s="33" customFormat="true" ht="12.75" customHeight="true">
      <c r="A1101" s="33" t="str">
        <f t="shared" si="68"/>
        <v>JUP - Deposits</v>
      </c>
      <c r="B1101" s="33" t="str">
        <f t="shared" si="69"/>
        <v>JUP</v>
      </c>
      <c r="C1101" s="33" t="str">
        <f t="shared" si="70"/>
        <v>19001-0000</v>
      </c>
      <c r="D1101" s="64" t="s">
        <v>1469</v>
      </c>
      <c r="E1101" s="64" t="s">
        <v>344</v>
      </c>
      <c r="F1101" s="64" t="s">
        <v>230</v>
      </c>
      <c r="G1101" s="64" t="s">
        <v>62</v>
      </c>
      <c r="H1101" s="64" t="s">
        <v>80</v>
      </c>
      <c r="I1101" s="64" t="s">
        <v>81</v>
      </c>
      <c r="J1101" s="67">
        <v>0</v>
      </c>
      <c r="K1101" s="62">
        <v>3810</v>
      </c>
      <c r="L1101" s="33" t="e">
        <f>HLOOKUP(B1101,#REF!,1,0)</f>
        <v>#REF!</v>
      </c>
      <c r="M1101" s="33" t="str">
        <f t="shared" si="71"/>
        <v>BS</v>
      </c>
    </row>
    <row r="1102" spans="1:13" s="33" customFormat="true" ht="12.75" customHeight="true">
      <c r="A1102" s="33" t="str">
        <f t="shared" si="68"/>
        <v>JUP - AP-Accr Exp</v>
      </c>
      <c r="B1102" s="33" t="str">
        <f t="shared" si="69"/>
        <v>JUP</v>
      </c>
      <c r="C1102" s="33" t="str">
        <f t="shared" si="70"/>
        <v>20001-0000</v>
      </c>
      <c r="D1102" s="64" t="s">
        <v>1470</v>
      </c>
      <c r="E1102" s="64" t="s">
        <v>96</v>
      </c>
      <c r="F1102" s="64" t="s">
        <v>230</v>
      </c>
      <c r="G1102" s="64" t="s">
        <v>97</v>
      </c>
      <c r="H1102" s="64" t="s">
        <v>98</v>
      </c>
      <c r="I1102" s="64" t="s">
        <v>99</v>
      </c>
      <c r="J1102" s="67">
        <v>177.16</v>
      </c>
      <c r="K1102" s="62">
        <v>0</v>
      </c>
      <c r="L1102" s="33" t="e">
        <f>HLOOKUP(B1102,#REF!,1,0)</f>
        <v>#REF!</v>
      </c>
      <c r="M1102" s="33" t="str">
        <f t="shared" si="71"/>
        <v>BS</v>
      </c>
    </row>
    <row r="1103" spans="1:13" s="33" customFormat="true" ht="12.75" customHeight="true">
      <c r="A1103" s="33" t="str">
        <f t="shared" si="68"/>
        <v>JUP - AP-Accr Exp</v>
      </c>
      <c r="B1103" s="33" t="str">
        <f t="shared" si="69"/>
        <v>JUP</v>
      </c>
      <c r="C1103" s="33" t="str">
        <f t="shared" si="70"/>
        <v>23509-0000</v>
      </c>
      <c r="D1103" s="64" t="s">
        <v>1471</v>
      </c>
      <c r="E1103" s="64" t="s">
        <v>111</v>
      </c>
      <c r="F1103" s="64" t="s">
        <v>230</v>
      </c>
      <c r="G1103" s="64" t="s">
        <v>97</v>
      </c>
      <c r="H1103" s="64" t="s">
        <v>98</v>
      </c>
      <c r="I1103" s="64" t="s">
        <v>102</v>
      </c>
      <c r="J1103" s="67">
        <v>0</v>
      </c>
      <c r="K1103" s="62">
        <v>0</v>
      </c>
      <c r="L1103" s="33" t="e">
        <f>HLOOKUP(B1103,#REF!,1,0)</f>
        <v>#REF!</v>
      </c>
      <c r="M1103" s="33" t="str">
        <f t="shared" si="71"/>
        <v>BS</v>
      </c>
    </row>
    <row r="1104" spans="1:13" s="33" customFormat="true" ht="12.75" customHeight="true">
      <c r="A1104" s="33" t="str">
        <f t="shared" si="68"/>
        <v>JUP - AP-Accr Exp</v>
      </c>
      <c r="B1104" s="33" t="str">
        <f t="shared" si="69"/>
        <v>JUP</v>
      </c>
      <c r="C1104" s="33" t="str">
        <f t="shared" si="70"/>
        <v>24800-0000</v>
      </c>
      <c r="D1104" s="64" t="s">
        <v>1472</v>
      </c>
      <c r="E1104" s="64" t="s">
        <v>232</v>
      </c>
      <c r="F1104" s="64" t="s">
        <v>230</v>
      </c>
      <c r="G1104" s="64" t="s">
        <v>97</v>
      </c>
      <c r="H1104" s="64" t="s">
        <v>98</v>
      </c>
      <c r="I1104" s="64" t="s">
        <v>102</v>
      </c>
      <c r="J1104" s="67">
        <v>0</v>
      </c>
      <c r="K1104" s="62">
        <v>-26148</v>
      </c>
      <c r="L1104" s="33" t="e">
        <f>HLOOKUP(B1104,#REF!,1,0)</f>
        <v>#REF!</v>
      </c>
      <c r="M1104" s="33" t="str">
        <f t="shared" si="71"/>
        <v>BS</v>
      </c>
    </row>
    <row r="1105" spans="1:13" s="33" customFormat="true" ht="12.75" customHeight="true">
      <c r="A1105" s="33" t="str">
        <f t="shared" si="68"/>
        <v>JUP - InterCo Notes</v>
      </c>
      <c r="B1105" s="33" t="str">
        <f t="shared" si="69"/>
        <v>JUP</v>
      </c>
      <c r="C1105" s="33" t="str">
        <f t="shared" si="70"/>
        <v>25000-0000</v>
      </c>
      <c r="D1105" s="64" t="s">
        <v>1473</v>
      </c>
      <c r="E1105" s="64" t="s">
        <v>314</v>
      </c>
      <c r="F1105" s="64" t="s">
        <v>230</v>
      </c>
      <c r="G1105" s="64" t="s">
        <v>16</v>
      </c>
      <c r="H1105" s="64" t="s">
        <v>315</v>
      </c>
      <c r="I1105" s="64" t="s">
        <v>40</v>
      </c>
      <c r="J1105" s="67">
        <v>0</v>
      </c>
      <c r="K1105" s="62">
        <v>-1828872.33</v>
      </c>
      <c r="L1105" s="33" t="e">
        <f>HLOOKUP(B1105,#REF!,1,0)</f>
        <v>#REF!</v>
      </c>
      <c r="M1105" s="33" t="str">
        <f t="shared" si="71"/>
        <v>BS</v>
      </c>
    </row>
    <row r="1106" spans="1:13" s="33" customFormat="true" ht="12.75" customHeight="true">
      <c r="A1106" s="33" t="str">
        <f t="shared" si="68"/>
        <v>JUP - InterCo Notes</v>
      </c>
      <c r="B1106" s="33" t="str">
        <f t="shared" si="69"/>
        <v>JUP</v>
      </c>
      <c r="C1106" s="33" t="str">
        <f t="shared" si="70"/>
        <v>25100-0000</v>
      </c>
      <c r="D1106" s="64" t="s">
        <v>1474</v>
      </c>
      <c r="E1106" s="64" t="s">
        <v>430</v>
      </c>
      <c r="F1106" s="64" t="s">
        <v>230</v>
      </c>
      <c r="G1106" s="64" t="s">
        <v>16</v>
      </c>
      <c r="H1106" s="64" t="s">
        <v>315</v>
      </c>
      <c r="I1106" s="64" t="s">
        <v>40</v>
      </c>
      <c r="J1106" s="67">
        <v>0</v>
      </c>
      <c r="K1106" s="62">
        <v>-1678572.19</v>
      </c>
      <c r="L1106" s="33" t="e">
        <f>HLOOKUP(B1106,#REF!,1,0)</f>
        <v>#REF!</v>
      </c>
      <c r="M1106" s="33" t="str">
        <f t="shared" si="71"/>
        <v>BS</v>
      </c>
    </row>
    <row r="1107" spans="1:13" s="33" customFormat="true" ht="12.75" customHeight="true">
      <c r="A1107" s="33" t="str">
        <f t="shared" si="68"/>
        <v>JUP - Principal</v>
      </c>
      <c r="B1107" s="33" t="str">
        <f t="shared" si="69"/>
        <v>JUP</v>
      </c>
      <c r="C1107" s="33" t="str">
        <f t="shared" si="70"/>
        <v>26800-0000</v>
      </c>
      <c r="D1107" s="64" t="s">
        <v>1475</v>
      </c>
      <c r="E1107" s="64" t="s">
        <v>402</v>
      </c>
      <c r="F1107" s="64" t="s">
        <v>230</v>
      </c>
      <c r="G1107" s="64" t="s">
        <v>97</v>
      </c>
      <c r="H1107" s="64" t="s">
        <v>127</v>
      </c>
      <c r="I1107" s="64" t="s">
        <v>128</v>
      </c>
      <c r="J1107" s="67">
        <v>0</v>
      </c>
      <c r="K1107" s="62">
        <v>-150000</v>
      </c>
      <c r="L1107" s="33" t="e">
        <f>HLOOKUP(B1107,#REF!,1,0)</f>
        <v>#REF!</v>
      </c>
      <c r="M1107" s="33" t="str">
        <f t="shared" si="71"/>
        <v>BS</v>
      </c>
    </row>
    <row r="1108" spans="1:13" s="33" customFormat="true" ht="12.75" customHeight="true">
      <c r="A1108" s="33" t="str">
        <f t="shared" si="68"/>
        <v>JUP - Principal</v>
      </c>
      <c r="B1108" s="33" t="str">
        <f t="shared" si="69"/>
        <v>JUP</v>
      </c>
      <c r="C1108" s="33" t="str">
        <f t="shared" si="70"/>
        <v>28001-0000</v>
      </c>
      <c r="D1108" s="64" t="s">
        <v>1476</v>
      </c>
      <c r="E1108" s="64" t="s">
        <v>352</v>
      </c>
      <c r="F1108" s="64" t="s">
        <v>230</v>
      </c>
      <c r="G1108" s="64" t="s">
        <v>123</v>
      </c>
      <c r="H1108" s="64" t="s">
        <v>127</v>
      </c>
      <c r="I1108" s="64" t="s">
        <v>133</v>
      </c>
      <c r="J1108" s="67">
        <v>4943.53</v>
      </c>
      <c r="K1108" s="62">
        <v>-2518478.71</v>
      </c>
      <c r="L1108" s="33" t="e">
        <f>HLOOKUP(B1108,#REF!,1,0)</f>
        <v>#REF!</v>
      </c>
      <c r="M1108" s="33" t="str">
        <f t="shared" si="71"/>
        <v>BS</v>
      </c>
    </row>
    <row r="1109" spans="1:13" s="33" customFormat="true" ht="12.75" customHeight="true">
      <c r="A1109" s="33" t="str">
        <f t="shared" si="68"/>
        <v>JUP - SH Dist</v>
      </c>
      <c r="B1109" s="33" t="str">
        <f t="shared" si="69"/>
        <v>JUP</v>
      </c>
      <c r="C1109" s="33" t="str">
        <f t="shared" si="70"/>
        <v>30700-0000</v>
      </c>
      <c r="D1109" s="64" t="s">
        <v>1477</v>
      </c>
      <c r="E1109" s="64" t="s">
        <v>319</v>
      </c>
      <c r="F1109" s="64" t="s">
        <v>230</v>
      </c>
      <c r="G1109" s="64" t="s">
        <v>142</v>
      </c>
      <c r="H1109" s="64" t="s">
        <v>143</v>
      </c>
      <c r="I1109" s="64" t="s">
        <v>144</v>
      </c>
      <c r="J1109" s="67">
        <v>0</v>
      </c>
      <c r="K1109" s="62">
        <v>728500</v>
      </c>
      <c r="L1109" s="33" t="e">
        <f>HLOOKUP(B1109,#REF!,1,0)</f>
        <v>#REF!</v>
      </c>
      <c r="M1109" s="33" t="str">
        <f t="shared" si="71"/>
        <v>BS</v>
      </c>
    </row>
    <row r="1110" spans="1:13" s="33" customFormat="true" ht="12.75" customHeight="true">
      <c r="A1110" s="33" t="str">
        <f t="shared" si="68"/>
        <v>JUP - Retained Earnings</v>
      </c>
      <c r="B1110" s="33" t="str">
        <f t="shared" si="69"/>
        <v>JUP</v>
      </c>
      <c r="C1110" s="33" t="str">
        <f t="shared" si="70"/>
        <v>32000-0000</v>
      </c>
      <c r="D1110" s="64" t="s">
        <v>1478</v>
      </c>
      <c r="E1110" s="64" t="s">
        <v>234</v>
      </c>
      <c r="F1110" s="64" t="s">
        <v>230</v>
      </c>
      <c r="G1110" s="64" t="s">
        <v>142</v>
      </c>
      <c r="H1110" s="64" t="s">
        <v>149</v>
      </c>
      <c r="I1110" s="64" t="s">
        <v>235</v>
      </c>
      <c r="J1110" s="67">
        <v>0</v>
      </c>
      <c r="K1110" s="62">
        <v>91794.65</v>
      </c>
      <c r="L1110" s="33" t="e">
        <f>HLOOKUP(B1110,#REF!,1,0)</f>
        <v>#REF!</v>
      </c>
      <c r="M1110" s="33" t="str">
        <f t="shared" si="71"/>
        <v>BS</v>
      </c>
    </row>
    <row r="1111" spans="1:13" s="33" customFormat="true" ht="12.75" customHeight="true">
      <c r="A1111" s="33" t="str">
        <f t="shared" si="68"/>
        <v>KLP - AP-Accr Exp</v>
      </c>
      <c r="B1111" s="33" t="str">
        <f t="shared" si="69"/>
        <v>KLP</v>
      </c>
      <c r="C1111" s="33" t="str">
        <f t="shared" si="70"/>
        <v>20000-0000</v>
      </c>
      <c r="D1111" s="64" t="s">
        <v>1479</v>
      </c>
      <c r="E1111" s="64" t="s">
        <v>96</v>
      </c>
      <c r="F1111" s="64" t="s">
        <v>230</v>
      </c>
      <c r="G1111" s="64" t="s">
        <v>97</v>
      </c>
      <c r="H1111" s="64" t="s">
        <v>98</v>
      </c>
      <c r="I1111" s="64" t="s">
        <v>99</v>
      </c>
      <c r="J1111" s="67">
        <v>1343.21</v>
      </c>
      <c r="K1111" s="62">
        <v>0</v>
      </c>
      <c r="L1111" s="33" t="e">
        <f>HLOOKUP(B1111,#REF!,1,0)</f>
        <v>#REF!</v>
      </c>
      <c r="M1111" s="33" t="str">
        <f t="shared" si="71"/>
        <v>BS</v>
      </c>
    </row>
    <row r="1112" spans="1:13" s="33" customFormat="true" ht="12.75" customHeight="true">
      <c r="A1112" s="33" t="str">
        <f t="shared" si="68"/>
        <v>KLP - AP-Accr Exp</v>
      </c>
      <c r="B1112" s="33" t="str">
        <f t="shared" si="69"/>
        <v>KLP</v>
      </c>
      <c r="C1112" s="33" t="str">
        <f t="shared" si="70"/>
        <v>24800-0000</v>
      </c>
      <c r="D1112" s="64" t="s">
        <v>1480</v>
      </c>
      <c r="E1112" s="64" t="s">
        <v>232</v>
      </c>
      <c r="F1112" s="64" t="s">
        <v>230</v>
      </c>
      <c r="G1112" s="64" t="s">
        <v>97</v>
      </c>
      <c r="H1112" s="64" t="s">
        <v>98</v>
      </c>
      <c r="I1112" s="64" t="s">
        <v>102</v>
      </c>
      <c r="J1112" s="67">
        <v>-448</v>
      </c>
      <c r="K1112" s="62">
        <v>-37931</v>
      </c>
      <c r="L1112" s="33" t="e">
        <f>HLOOKUP(B1112,#REF!,1,0)</f>
        <v>#REF!</v>
      </c>
      <c r="M1112" s="33" t="str">
        <f t="shared" si="71"/>
        <v>BS</v>
      </c>
    </row>
    <row r="1113" spans="1:13" s="33" customFormat="true" ht="12.75" customHeight="true">
      <c r="A1113" s="33" t="str">
        <f t="shared" si="68"/>
        <v>KLP - AP-Accr Exp</v>
      </c>
      <c r="B1113" s="33" t="str">
        <f t="shared" si="69"/>
        <v>KLP</v>
      </c>
      <c r="C1113" s="33" t="str">
        <f t="shared" si="70"/>
        <v>24801-0000</v>
      </c>
      <c r="D1113" s="64" t="s">
        <v>1481</v>
      </c>
      <c r="E1113" s="64" t="s">
        <v>399</v>
      </c>
      <c r="F1113" s="64" t="s">
        <v>230</v>
      </c>
      <c r="G1113" s="64" t="s">
        <v>97</v>
      </c>
      <c r="H1113" s="64" t="s">
        <v>98</v>
      </c>
      <c r="I1113" s="64" t="s">
        <v>102</v>
      </c>
      <c r="J1113" s="67">
        <v>0</v>
      </c>
      <c r="K1113" s="62">
        <v>0</v>
      </c>
      <c r="L1113" s="33" t="e">
        <f>HLOOKUP(B1113,#REF!,1,0)</f>
        <v>#REF!</v>
      </c>
      <c r="M1113" s="33" t="str">
        <f t="shared" si="71"/>
        <v>BS</v>
      </c>
    </row>
    <row r="1114" spans="1:13" s="33" customFormat="true" ht="12.75" customHeight="true">
      <c r="A1114" s="33" t="str">
        <f t="shared" si="68"/>
        <v>KLP - Retained Earnings</v>
      </c>
      <c r="B1114" s="33" t="str">
        <f t="shared" si="69"/>
        <v>KLP</v>
      </c>
      <c r="C1114" s="33" t="str">
        <f t="shared" si="70"/>
        <v>32000-0000</v>
      </c>
      <c r="D1114" s="64" t="s">
        <v>1482</v>
      </c>
      <c r="E1114" s="64" t="s">
        <v>234</v>
      </c>
      <c r="F1114" s="64" t="s">
        <v>230</v>
      </c>
      <c r="G1114" s="64" t="s">
        <v>142</v>
      </c>
      <c r="H1114" s="64" t="s">
        <v>149</v>
      </c>
      <c r="I1114" s="64" t="s">
        <v>235</v>
      </c>
      <c r="J1114" s="67">
        <v>0</v>
      </c>
      <c r="K1114" s="62">
        <v>-3305.79</v>
      </c>
      <c r="L1114" s="33" t="e">
        <f>HLOOKUP(B1114,#REF!,1,0)</f>
        <v>#REF!</v>
      </c>
      <c r="M1114" s="33" t="str">
        <f t="shared" si="71"/>
        <v>BS</v>
      </c>
    </row>
    <row r="1115" spans="1:13" s="33" customFormat="true" ht="12.75" customHeight="true">
      <c r="A1115" s="33" t="str">
        <f t="shared" si="68"/>
        <v>LAN - Cash</v>
      </c>
      <c r="B1115" s="33" t="str">
        <f t="shared" si="69"/>
        <v>LAN</v>
      </c>
      <c r="C1115" s="33" t="str">
        <f t="shared" si="70"/>
        <v>10021-0000</v>
      </c>
      <c r="D1115" s="64" t="s">
        <v>1483</v>
      </c>
      <c r="E1115" s="64" t="s">
        <v>546</v>
      </c>
      <c r="F1115" s="64" t="s">
        <v>547</v>
      </c>
      <c r="G1115" s="64" t="s">
        <v>16</v>
      </c>
      <c r="H1115" s="64" t="s">
        <v>25</v>
      </c>
      <c r="I1115" s="64" t="s">
        <v>18</v>
      </c>
      <c r="J1115" s="67">
        <v>6693</v>
      </c>
      <c r="K1115" s="62">
        <v>-381.26</v>
      </c>
      <c r="L1115" s="33" t="e">
        <f>HLOOKUP(B1115,#REF!,1,0)</f>
        <v>#REF!</v>
      </c>
      <c r="M1115" s="33" t="str">
        <f t="shared" si="71"/>
        <v>BS</v>
      </c>
    </row>
    <row r="1116" spans="1:13" s="33" customFormat="true" ht="12.75" customHeight="true">
      <c r="A1116" s="33" t="str">
        <f t="shared" si="68"/>
        <v>LAN - Intercompany</v>
      </c>
      <c r="B1116" s="33" t="str">
        <f t="shared" si="69"/>
        <v>LAN</v>
      </c>
      <c r="C1116" s="33" t="str">
        <f t="shared" si="70"/>
        <v>11231-0000</v>
      </c>
      <c r="D1116" s="64" t="s">
        <v>1484</v>
      </c>
      <c r="E1116" s="64" t="s">
        <v>549</v>
      </c>
      <c r="F1116" s="64" t="s">
        <v>547</v>
      </c>
      <c r="G1116" s="64" t="s">
        <v>16</v>
      </c>
      <c r="H1116" s="64" t="s">
        <v>39</v>
      </c>
      <c r="I1116" s="64" t="s">
        <v>40</v>
      </c>
      <c r="J1116" s="67">
        <v>-584.91</v>
      </c>
      <c r="K1116" s="62">
        <v>15478.01</v>
      </c>
      <c r="L1116" s="33" t="e">
        <f>HLOOKUP(B1116,#REF!,1,0)</f>
        <v>#REF!</v>
      </c>
      <c r="M1116" s="33" t="str">
        <f t="shared" si="71"/>
        <v>BS</v>
      </c>
    </row>
    <row r="1117" spans="1:13" s="33" customFormat="true" ht="12.75" customHeight="true">
      <c r="A1117" s="33" t="str">
        <f t="shared" si="68"/>
        <v>LAN - Fixed Assets</v>
      </c>
      <c r="B1117" s="33" t="str">
        <f t="shared" si="69"/>
        <v>LAN</v>
      </c>
      <c r="C1117" s="33" t="str">
        <f t="shared" si="70"/>
        <v>16101-0000</v>
      </c>
      <c r="D1117" s="64" t="s">
        <v>1485</v>
      </c>
      <c r="E1117" s="64" t="s">
        <v>1486</v>
      </c>
      <c r="F1117" s="64" t="s">
        <v>547</v>
      </c>
      <c r="G1117" s="64" t="s">
        <v>62</v>
      </c>
      <c r="H1117" s="64" t="s">
        <v>63</v>
      </c>
      <c r="I1117" s="64" t="s">
        <v>64</v>
      </c>
      <c r="J1117" s="67">
        <v>0</v>
      </c>
      <c r="K1117" s="62">
        <v>102564</v>
      </c>
      <c r="L1117" s="33" t="e">
        <f>HLOOKUP(B1117,#REF!,1,0)</f>
        <v>#REF!</v>
      </c>
      <c r="M1117" s="33" t="str">
        <f t="shared" si="71"/>
        <v>BS</v>
      </c>
    </row>
    <row r="1118" spans="1:13" s="33" customFormat="true" ht="12.75" customHeight="true">
      <c r="A1118" s="33" t="str">
        <f t="shared" si="68"/>
        <v>LAN - Fixed Assets</v>
      </c>
      <c r="B1118" s="33" t="str">
        <f t="shared" si="69"/>
        <v>LAN</v>
      </c>
      <c r="C1118" s="33" t="str">
        <f t="shared" si="70"/>
        <v>16191-0000</v>
      </c>
      <c r="D1118" s="64" t="s">
        <v>1487</v>
      </c>
      <c r="E1118" s="64" t="s">
        <v>1488</v>
      </c>
      <c r="F1118" s="64" t="s">
        <v>547</v>
      </c>
      <c r="G1118" s="64" t="s">
        <v>62</v>
      </c>
      <c r="H1118" s="64" t="s">
        <v>63</v>
      </c>
      <c r="I1118" s="64" t="s">
        <v>64</v>
      </c>
      <c r="J1118" s="67">
        <v>0</v>
      </c>
      <c r="K1118" s="62">
        <v>-20704</v>
      </c>
      <c r="L1118" s="33" t="e">
        <f>HLOOKUP(B1118,#REF!,1,0)</f>
        <v>#REF!</v>
      </c>
      <c r="M1118" s="33" t="str">
        <f t="shared" si="71"/>
        <v>BS</v>
      </c>
    </row>
    <row r="1119" spans="1:13" s="33" customFormat="true" ht="12.75" customHeight="true">
      <c r="A1119" s="33" t="str">
        <f t="shared" si="68"/>
        <v>LAN - Fixed Assets</v>
      </c>
      <c r="B1119" s="33" t="str">
        <f t="shared" si="69"/>
        <v>LAN</v>
      </c>
      <c r="C1119" s="33" t="str">
        <f t="shared" si="70"/>
        <v>16401-0000</v>
      </c>
      <c r="D1119" s="64" t="s">
        <v>1489</v>
      </c>
      <c r="E1119" s="64" t="s">
        <v>551</v>
      </c>
      <c r="F1119" s="64" t="s">
        <v>547</v>
      </c>
      <c r="G1119" s="64" t="s">
        <v>62</v>
      </c>
      <c r="H1119" s="64" t="s">
        <v>63</v>
      </c>
      <c r="I1119" s="64" t="s">
        <v>64</v>
      </c>
      <c r="J1119" s="67">
        <v>0</v>
      </c>
      <c r="K1119" s="62">
        <v>2704942.68</v>
      </c>
      <c r="L1119" s="33" t="e">
        <f>HLOOKUP(B1119,#REF!,1,0)</f>
        <v>#REF!</v>
      </c>
      <c r="M1119" s="33" t="str">
        <f t="shared" si="71"/>
        <v>BS</v>
      </c>
    </row>
    <row r="1120" spans="1:13" s="33" customFormat="true" ht="12.75" customHeight="true">
      <c r="A1120" s="33" t="str">
        <f t="shared" si="68"/>
        <v>LAN - Fixed Assets</v>
      </c>
      <c r="B1120" s="33" t="str">
        <f t="shared" si="69"/>
        <v>LAN</v>
      </c>
      <c r="C1120" s="33" t="str">
        <f t="shared" si="70"/>
        <v>16491-0000</v>
      </c>
      <c r="D1120" s="64" t="s">
        <v>1490</v>
      </c>
      <c r="E1120" s="64" t="s">
        <v>554</v>
      </c>
      <c r="F1120" s="64" t="s">
        <v>547</v>
      </c>
      <c r="G1120" s="64" t="s">
        <v>62</v>
      </c>
      <c r="H1120" s="64" t="s">
        <v>63</v>
      </c>
      <c r="I1120" s="64" t="s">
        <v>64</v>
      </c>
      <c r="J1120" s="67">
        <v>0</v>
      </c>
      <c r="K1120" s="62">
        <v>-1114583</v>
      </c>
      <c r="L1120" s="33" t="e">
        <f>HLOOKUP(B1120,#REF!,1,0)</f>
        <v>#REF!</v>
      </c>
      <c r="M1120" s="33" t="str">
        <f t="shared" si="71"/>
        <v>BS</v>
      </c>
    </row>
    <row r="1121" spans="1:13" s="33" customFormat="true" ht="12.75" customHeight="true">
      <c r="A1121" s="33" t="str">
        <f t="shared" si="68"/>
        <v>LAN - Fixed Assets</v>
      </c>
      <c r="B1121" s="33" t="str">
        <f t="shared" si="69"/>
        <v>LAN</v>
      </c>
      <c r="C1121" s="33" t="str">
        <f t="shared" si="70"/>
        <v>16501-0000</v>
      </c>
      <c r="D1121" s="64" t="s">
        <v>1491</v>
      </c>
      <c r="E1121" s="64" t="s">
        <v>298</v>
      </c>
      <c r="F1121" s="64" t="s">
        <v>547</v>
      </c>
      <c r="G1121" s="64" t="s">
        <v>62</v>
      </c>
      <c r="H1121" s="64" t="s">
        <v>63</v>
      </c>
      <c r="I1121" s="64" t="s">
        <v>64</v>
      </c>
      <c r="J1121" s="67">
        <v>0</v>
      </c>
      <c r="K1121" s="62">
        <v>990000</v>
      </c>
      <c r="L1121" s="33" t="e">
        <f>HLOOKUP(B1121,#REF!,1,0)</f>
        <v>#REF!</v>
      </c>
      <c r="M1121" s="33" t="str">
        <f t="shared" si="71"/>
        <v>BS</v>
      </c>
    </row>
    <row r="1122" spans="1:13" s="33" customFormat="true" ht="12.75" customHeight="true">
      <c r="A1122" s="33" t="str">
        <f t="shared" si="68"/>
        <v>LAN - Fixed Assets</v>
      </c>
      <c r="B1122" s="33" t="str">
        <f t="shared" si="69"/>
        <v>LAN</v>
      </c>
      <c r="C1122" s="33" t="str">
        <f t="shared" si="70"/>
        <v>18502-0000</v>
      </c>
      <c r="D1122" s="64" t="s">
        <v>1492</v>
      </c>
      <c r="E1122" s="64" t="s">
        <v>304</v>
      </c>
      <c r="F1122" s="64" t="s">
        <v>547</v>
      </c>
      <c r="G1122" s="64" t="s">
        <v>62</v>
      </c>
      <c r="H1122" s="64" t="s">
        <v>63</v>
      </c>
      <c r="I1122" s="64" t="s">
        <v>81</v>
      </c>
      <c r="J1122" s="67">
        <v>0</v>
      </c>
      <c r="K1122" s="62">
        <v>9906.9</v>
      </c>
      <c r="L1122" s="33" t="e">
        <f>HLOOKUP(B1122,#REF!,1,0)</f>
        <v>#REF!</v>
      </c>
      <c r="M1122" s="33" t="str">
        <f t="shared" si="71"/>
        <v>BS</v>
      </c>
    </row>
    <row r="1123" spans="1:13" s="33" customFormat="true" ht="12.75" customHeight="true">
      <c r="A1123" s="33" t="str">
        <f t="shared" si="68"/>
        <v>LAN - AP-Accr Exp</v>
      </c>
      <c r="B1123" s="33" t="str">
        <f t="shared" si="69"/>
        <v>LAN</v>
      </c>
      <c r="C1123" s="33" t="str">
        <f t="shared" si="70"/>
        <v>20100-0000</v>
      </c>
      <c r="D1123" s="64" t="s">
        <v>1493</v>
      </c>
      <c r="E1123" s="64" t="s">
        <v>96</v>
      </c>
      <c r="F1123" s="64" t="s">
        <v>547</v>
      </c>
      <c r="G1123" s="64" t="s">
        <v>97</v>
      </c>
      <c r="H1123" s="64" t="s">
        <v>98</v>
      </c>
      <c r="I1123" s="64" t="s">
        <v>99</v>
      </c>
      <c r="J1123" s="67">
        <v>0</v>
      </c>
      <c r="K1123" s="62">
        <v>-300</v>
      </c>
      <c r="L1123" s="33" t="e">
        <f>HLOOKUP(B1123,#REF!,1,0)</f>
        <v>#REF!</v>
      </c>
      <c r="M1123" s="33" t="str">
        <f t="shared" si="71"/>
        <v>BS</v>
      </c>
    </row>
    <row r="1124" spans="1:13" s="33" customFormat="true" ht="12.75" customHeight="true">
      <c r="A1124" s="33" t="str">
        <f t="shared" si="68"/>
        <v>LAN - AP-Accr Exp</v>
      </c>
      <c r="B1124" s="33" t="str">
        <f t="shared" si="69"/>
        <v>LAN</v>
      </c>
      <c r="C1124" s="33" t="str">
        <f t="shared" si="70"/>
        <v>24501-0000</v>
      </c>
      <c r="D1124" s="64" t="s">
        <v>1494</v>
      </c>
      <c r="E1124" s="64" t="s">
        <v>560</v>
      </c>
      <c r="F1124" s="64" t="s">
        <v>547</v>
      </c>
      <c r="G1124" s="64" t="s">
        <v>97</v>
      </c>
      <c r="H1124" s="64" t="s">
        <v>98</v>
      </c>
      <c r="I1124" s="64" t="s">
        <v>128</v>
      </c>
      <c r="J1124" s="67">
        <v>0</v>
      </c>
      <c r="K1124" s="62">
        <v>-6732.05</v>
      </c>
      <c r="L1124" s="33" t="e">
        <f>HLOOKUP(B1124,#REF!,1,0)</f>
        <v>#REF!</v>
      </c>
      <c r="M1124" s="33" t="str">
        <f t="shared" si="71"/>
        <v>BS</v>
      </c>
    </row>
    <row r="1125" spans="1:13" s="33" customFormat="true" ht="12.75" customHeight="true">
      <c r="A1125" s="33" t="str">
        <f t="shared" si="68"/>
        <v>LAN - AP-Accr Exp</v>
      </c>
      <c r="B1125" s="33" t="str">
        <f t="shared" si="69"/>
        <v>LAN</v>
      </c>
      <c r="C1125" s="33" t="str">
        <f t="shared" si="70"/>
        <v>25500-0000</v>
      </c>
      <c r="D1125" s="64" t="s">
        <v>1495</v>
      </c>
      <c r="E1125" s="64" t="s">
        <v>122</v>
      </c>
      <c r="F1125" s="64" t="s">
        <v>562</v>
      </c>
      <c r="G1125" s="64" t="s">
        <v>123</v>
      </c>
      <c r="H1125" s="64" t="s">
        <v>98</v>
      </c>
      <c r="I1125" s="64" t="s">
        <v>124</v>
      </c>
      <c r="J1125" s="67">
        <v>0</v>
      </c>
      <c r="K1125" s="62">
        <v>80766</v>
      </c>
      <c r="L1125" s="33" t="e">
        <f>HLOOKUP(B1125,#REF!,1,0)</f>
        <v>#REF!</v>
      </c>
      <c r="M1125" s="33" t="str">
        <f t="shared" si="71"/>
        <v>BS</v>
      </c>
    </row>
    <row r="1126" spans="1:13" s="33" customFormat="true" ht="12.75" customHeight="true">
      <c r="A1126" s="33" t="str">
        <f t="shared" si="68"/>
        <v>LAN - Principal</v>
      </c>
      <c r="B1126" s="33" t="str">
        <f t="shared" si="69"/>
        <v>LAN</v>
      </c>
      <c r="C1126" s="33" t="str">
        <f t="shared" si="70"/>
        <v>26001-0000</v>
      </c>
      <c r="D1126" s="64" t="s">
        <v>1496</v>
      </c>
      <c r="E1126" s="64" t="s">
        <v>126</v>
      </c>
      <c r="F1126" s="64" t="s">
        <v>547</v>
      </c>
      <c r="G1126" s="64" t="s">
        <v>97</v>
      </c>
      <c r="H1126" s="64" t="s">
        <v>127</v>
      </c>
      <c r="I1126" s="64" t="s">
        <v>128</v>
      </c>
      <c r="J1126" s="67">
        <v>0</v>
      </c>
      <c r="K1126" s="62">
        <v>-38988.21</v>
      </c>
      <c r="L1126" s="33" t="e">
        <f>HLOOKUP(B1126,#REF!,1,0)</f>
        <v>#REF!</v>
      </c>
      <c r="M1126" s="33" t="str">
        <f t="shared" si="71"/>
        <v>BS</v>
      </c>
    </row>
    <row r="1127" spans="1:13" s="33" customFormat="true" ht="12.75" customHeight="true">
      <c r="A1127" s="33" t="str">
        <f t="shared" si="68"/>
        <v>LAN - Principal</v>
      </c>
      <c r="B1127" s="33" t="str">
        <f t="shared" si="69"/>
        <v>LAN</v>
      </c>
      <c r="C1127" s="33" t="str">
        <f t="shared" si="70"/>
        <v>28003-0000</v>
      </c>
      <c r="D1127" s="64" t="s">
        <v>1497</v>
      </c>
      <c r="E1127" s="64" t="s">
        <v>565</v>
      </c>
      <c r="F1127" s="64" t="s">
        <v>547</v>
      </c>
      <c r="G1127" s="64" t="s">
        <v>123</v>
      </c>
      <c r="H1127" s="64" t="s">
        <v>127</v>
      </c>
      <c r="I1127" s="64" t="s">
        <v>133</v>
      </c>
      <c r="J1127" s="67">
        <v>3442.97</v>
      </c>
      <c r="K1127" s="62">
        <v>-1433566.72</v>
      </c>
      <c r="L1127" s="33" t="e">
        <f>HLOOKUP(B1127,#REF!,1,0)</f>
        <v>#REF!</v>
      </c>
      <c r="M1127" s="33" t="str">
        <f t="shared" si="71"/>
        <v>BS</v>
      </c>
    </row>
    <row r="1128" spans="1:13" s="33" customFormat="true" ht="12.75" customHeight="true">
      <c r="A1128" s="33" t="str">
        <f t="shared" si="68"/>
        <v>LAN - Principal</v>
      </c>
      <c r="B1128" s="33" t="str">
        <f t="shared" si="69"/>
        <v>LAN</v>
      </c>
      <c r="C1128" s="33" t="str">
        <f t="shared" si="70"/>
        <v>28801-0000</v>
      </c>
      <c r="D1128" s="64" t="s">
        <v>1498</v>
      </c>
      <c r="E1128" s="64" t="s">
        <v>567</v>
      </c>
      <c r="F1128" s="64" t="s">
        <v>547</v>
      </c>
      <c r="G1128" s="64" t="s">
        <v>123</v>
      </c>
      <c r="H1128" s="64" t="s">
        <v>127</v>
      </c>
      <c r="I1128" s="64" t="s">
        <v>102</v>
      </c>
      <c r="J1128" s="67">
        <v>0</v>
      </c>
      <c r="K1128" s="62">
        <v>-136650.98</v>
      </c>
      <c r="L1128" s="33" t="e">
        <f>HLOOKUP(B1128,#REF!,1,0)</f>
        <v>#REF!</v>
      </c>
      <c r="M1128" s="33" t="str">
        <f t="shared" si="71"/>
        <v>BS</v>
      </c>
    </row>
    <row r="1129" spans="1:13" s="33" customFormat="true" ht="12.75" customHeight="true">
      <c r="A1129" s="33" t="str">
        <f t="shared" si="68"/>
        <v>LAN - Principal</v>
      </c>
      <c r="B1129" s="33" t="str">
        <f t="shared" si="69"/>
        <v>LAN</v>
      </c>
      <c r="C1129" s="33" t="str">
        <f t="shared" si="70"/>
        <v>28802-0000</v>
      </c>
      <c r="D1129" s="64" t="s">
        <v>1499</v>
      </c>
      <c r="E1129" s="64" t="s">
        <v>569</v>
      </c>
      <c r="F1129" s="64" t="s">
        <v>547</v>
      </c>
      <c r="G1129" s="64" t="s">
        <v>123</v>
      </c>
      <c r="H1129" s="64" t="s">
        <v>127</v>
      </c>
      <c r="I1129" s="64" t="s">
        <v>102</v>
      </c>
      <c r="J1129" s="67">
        <v>0</v>
      </c>
      <c r="K1129" s="62">
        <v>136650.98</v>
      </c>
      <c r="L1129" s="33" t="e">
        <f>HLOOKUP(B1129,#REF!,1,0)</f>
        <v>#REF!</v>
      </c>
      <c r="M1129" s="33" t="str">
        <f t="shared" si="71"/>
        <v>BS</v>
      </c>
    </row>
    <row r="1130" spans="1:13" s="33" customFormat="true" ht="12.75" customHeight="true">
      <c r="A1130" s="33" t="str">
        <f t="shared" si="68"/>
        <v>LAN - SH Dist</v>
      </c>
      <c r="B1130" s="33" t="str">
        <f t="shared" si="69"/>
        <v>LAN</v>
      </c>
      <c r="C1130" s="33" t="str">
        <f t="shared" si="70"/>
        <v>30501-0000</v>
      </c>
      <c r="D1130" s="64" t="s">
        <v>1500</v>
      </c>
      <c r="E1130" s="64" t="s">
        <v>625</v>
      </c>
      <c r="F1130" s="64" t="s">
        <v>547</v>
      </c>
      <c r="G1130" s="64" t="s">
        <v>142</v>
      </c>
      <c r="H1130" s="64" t="s">
        <v>143</v>
      </c>
      <c r="I1130" s="64" t="s">
        <v>144</v>
      </c>
      <c r="J1130" s="67">
        <v>0</v>
      </c>
      <c r="K1130" s="62">
        <v>-0.34</v>
      </c>
      <c r="L1130" s="33" t="e">
        <f>HLOOKUP(B1130,#REF!,1,0)</f>
        <v>#REF!</v>
      </c>
      <c r="M1130" s="33" t="str">
        <f t="shared" si="71"/>
        <v>BS</v>
      </c>
    </row>
    <row r="1131" spans="1:13" s="33" customFormat="true" ht="12.75" customHeight="true">
      <c r="A1131" s="33" t="str">
        <f t="shared" si="68"/>
        <v>LAN - Retained Earnings</v>
      </c>
      <c r="B1131" s="33" t="str">
        <f t="shared" si="69"/>
        <v>LAN</v>
      </c>
      <c r="C1131" s="33" t="str">
        <f t="shared" si="70"/>
        <v>32000-0000</v>
      </c>
      <c r="D1131" s="64" t="s">
        <v>1501</v>
      </c>
      <c r="E1131" s="64" t="s">
        <v>234</v>
      </c>
      <c r="F1131" s="64" t="s">
        <v>547</v>
      </c>
      <c r="G1131" s="64" t="s">
        <v>142</v>
      </c>
      <c r="H1131" s="64" t="s">
        <v>149</v>
      </c>
      <c r="I1131" s="64" t="s">
        <v>150</v>
      </c>
      <c r="J1131" s="67">
        <v>0</v>
      </c>
      <c r="K1131" s="62">
        <v>-1258910.69</v>
      </c>
      <c r="L1131" s="33" t="e">
        <f>HLOOKUP(B1131,#REF!,1,0)</f>
        <v>#REF!</v>
      </c>
      <c r="M1131" s="33" t="str">
        <f t="shared" si="71"/>
        <v>BS</v>
      </c>
    </row>
    <row r="1132" spans="1:13" s="33" customFormat="true" ht="12.75" customHeight="true">
      <c r="A1132" s="33" t="str">
        <f t="shared" si="68"/>
        <v>LAN - SH Dist</v>
      </c>
      <c r="B1132" s="33" t="str">
        <f t="shared" si="69"/>
        <v>LAN</v>
      </c>
      <c r="C1132" s="33" t="str">
        <f t="shared" si="70"/>
        <v>37001-0000</v>
      </c>
      <c r="D1132" s="64" t="s">
        <v>1502</v>
      </c>
      <c r="E1132" s="64" t="s">
        <v>572</v>
      </c>
      <c r="F1132" s="64" t="s">
        <v>547</v>
      </c>
      <c r="G1132" s="64" t="s">
        <v>142</v>
      </c>
      <c r="H1132" s="64" t="s">
        <v>143</v>
      </c>
      <c r="I1132" s="64" t="s">
        <v>144</v>
      </c>
      <c r="J1132" s="67">
        <v>-5559.89</v>
      </c>
      <c r="K1132" s="62">
        <v>-20559.89</v>
      </c>
      <c r="L1132" s="33" t="e">
        <f>HLOOKUP(B1132,#REF!,1,0)</f>
        <v>#REF!</v>
      </c>
      <c r="M1132" s="33" t="str">
        <f t="shared" si="71"/>
        <v>BS</v>
      </c>
    </row>
    <row r="1133" spans="1:13" s="33" customFormat="true" ht="12.75" customHeight="true">
      <c r="A1133" s="33" t="str">
        <f t="shared" si="68"/>
        <v>LCP - Cash</v>
      </c>
      <c r="B1133" s="33" t="str">
        <f t="shared" si="69"/>
        <v>LCP</v>
      </c>
      <c r="C1133" s="33" t="str">
        <f t="shared" si="70"/>
        <v>10001-0000</v>
      </c>
      <c r="D1133" s="283" t="s">
        <v>1503</v>
      </c>
      <c r="E1133" s="64" t="s">
        <v>240</v>
      </c>
      <c r="F1133" s="64" t="s">
        <v>230</v>
      </c>
      <c r="G1133" s="64" t="s">
        <v>16</v>
      </c>
      <c r="H1133" s="64" t="s">
        <v>25</v>
      </c>
      <c r="I1133" s="64" t="s">
        <v>18</v>
      </c>
      <c r="J1133" s="67">
        <v>0</v>
      </c>
      <c r="K1133" s="62">
        <v>2865.21</v>
      </c>
      <c r="L1133" s="33" t="e">
        <f>HLOOKUP(B1133,#REF!,1,0)</f>
        <v>#REF!</v>
      </c>
      <c r="M1133" s="33" t="str">
        <f t="shared" si="71"/>
        <v>BS</v>
      </c>
    </row>
    <row r="1134" spans="1:13" s="33" customFormat="true" ht="12.75" customHeight="true">
      <c r="A1134" s="33" t="str">
        <f t="shared" si="68"/>
        <v>LCP - AR-PPD</v>
      </c>
      <c r="B1134" s="33" t="str">
        <f t="shared" si="69"/>
        <v>LCP</v>
      </c>
      <c r="C1134" s="33" t="str">
        <f t="shared" si="70"/>
        <v>11000-0000</v>
      </c>
      <c r="D1134" s="283" t="s">
        <v>1504</v>
      </c>
      <c r="E1134" s="64" t="s">
        <v>34</v>
      </c>
      <c r="F1134" s="64" t="s">
        <v>230</v>
      </c>
      <c r="G1134" s="64" t="s">
        <v>16</v>
      </c>
      <c r="H1134" s="64" t="s">
        <v>35</v>
      </c>
      <c r="I1134" s="64" t="s">
        <v>36</v>
      </c>
      <c r="J1134" s="67">
        <v>0</v>
      </c>
      <c r="K1134" s="62">
        <v>0</v>
      </c>
      <c r="L1134" s="33" t="e">
        <f>HLOOKUP(B1134,#REF!,1,0)</f>
        <v>#REF!</v>
      </c>
      <c r="M1134" s="33" t="str">
        <f t="shared" si="71"/>
        <v>BS</v>
      </c>
    </row>
    <row r="1135" spans="1:13" s="33" customFormat="true" ht="12.75" customHeight="true">
      <c r="A1135" s="33" t="str">
        <f t="shared" si="68"/>
        <v>LCP - Intercompany</v>
      </c>
      <c r="B1135" s="33" t="str">
        <f t="shared" si="69"/>
        <v>LCP</v>
      </c>
      <c r="C1135" s="33" t="str">
        <f t="shared" si="70"/>
        <v>11216-0000</v>
      </c>
      <c r="D1135" s="283" t="s">
        <v>1505</v>
      </c>
      <c r="E1135" s="64" t="s">
        <v>242</v>
      </c>
      <c r="F1135" s="64" t="s">
        <v>230</v>
      </c>
      <c r="G1135" s="64" t="s">
        <v>16</v>
      </c>
      <c r="H1135" s="64" t="s">
        <v>39</v>
      </c>
      <c r="I1135" s="64" t="s">
        <v>40</v>
      </c>
      <c r="J1135" s="67">
        <v>-593.76</v>
      </c>
      <c r="K1135" s="62">
        <v>-39204.48</v>
      </c>
      <c r="L1135" s="33" t="e">
        <f>HLOOKUP(B1135,#REF!,1,0)</f>
        <v>#REF!</v>
      </c>
      <c r="M1135" s="33" t="str">
        <f t="shared" si="71"/>
        <v>BS</v>
      </c>
    </row>
    <row r="1136" spans="1:13" s="33" customFormat="true" ht="12.75" customHeight="true">
      <c r="A1136" s="33" t="str">
        <f t="shared" si="68"/>
        <v>LCP - Intercompany</v>
      </c>
      <c r="B1136" s="33" t="str">
        <f t="shared" si="69"/>
        <v>LCP</v>
      </c>
      <c r="C1136" s="33" t="str">
        <f t="shared" si="70"/>
        <v>11341-0000</v>
      </c>
      <c r="D1136" s="283" t="s">
        <v>1506</v>
      </c>
      <c r="E1136" s="64" t="s">
        <v>1507</v>
      </c>
      <c r="F1136" s="64" t="s">
        <v>230</v>
      </c>
      <c r="G1136" s="64" t="s">
        <v>16</v>
      </c>
      <c r="H1136" s="64" t="s">
        <v>39</v>
      </c>
      <c r="I1136" s="64" t="s">
        <v>40</v>
      </c>
      <c r="J1136" s="67">
        <v>0</v>
      </c>
      <c r="K1136" s="62">
        <v>-200000</v>
      </c>
      <c r="L1136" s="33" t="e">
        <f>HLOOKUP(B1136,#REF!,1,0)</f>
        <v>#REF!</v>
      </c>
      <c r="M1136" s="33" t="str">
        <f t="shared" si="71"/>
        <v>BS</v>
      </c>
    </row>
    <row r="1137" spans="1:13" s="33" customFormat="true" ht="12.75" customHeight="true">
      <c r="A1137" s="33" t="str">
        <f t="shared" si="68"/>
        <v>LCP - AR-PPD</v>
      </c>
      <c r="B1137" s="33" t="str">
        <f t="shared" si="69"/>
        <v>LCP</v>
      </c>
      <c r="C1137" s="33" t="str">
        <f t="shared" si="70"/>
        <v>12200-0000</v>
      </c>
      <c r="D1137" s="283" t="s">
        <v>1508</v>
      </c>
      <c r="E1137" s="64" t="s">
        <v>294</v>
      </c>
      <c r="F1137" s="64" t="s">
        <v>230</v>
      </c>
      <c r="G1137" s="64" t="s">
        <v>62</v>
      </c>
      <c r="H1137" s="64" t="s">
        <v>35</v>
      </c>
      <c r="I1137" s="64" t="s">
        <v>64</v>
      </c>
      <c r="J1137" s="67">
        <v>0</v>
      </c>
      <c r="K1137" s="62">
        <v>515715.83</v>
      </c>
      <c r="L1137" s="33" t="e">
        <f>HLOOKUP(B1137,#REF!,1,0)</f>
        <v>#REF!</v>
      </c>
      <c r="M1137" s="33" t="str">
        <f t="shared" si="71"/>
        <v>BS</v>
      </c>
    </row>
    <row r="1138" spans="1:13" s="33" customFormat="true" ht="12.75" customHeight="true">
      <c r="A1138" s="33" t="str">
        <f t="shared" si="68"/>
        <v>LCP - Deposits</v>
      </c>
      <c r="B1138" s="33" t="str">
        <f t="shared" si="69"/>
        <v>LCP</v>
      </c>
      <c r="C1138" s="33" t="str">
        <f t="shared" si="70"/>
        <v>12300-0000</v>
      </c>
      <c r="D1138" s="283" t="s">
        <v>1509</v>
      </c>
      <c r="E1138" s="64" t="s">
        <v>387</v>
      </c>
      <c r="F1138" s="64" t="s">
        <v>230</v>
      </c>
      <c r="G1138" s="64" t="s">
        <v>16</v>
      </c>
      <c r="H1138" s="64" t="s">
        <v>80</v>
      </c>
      <c r="I1138" s="64" t="s">
        <v>64</v>
      </c>
      <c r="J1138" s="67">
        <v>0</v>
      </c>
      <c r="K1138" s="62">
        <v>520795.02</v>
      </c>
      <c r="L1138" s="33" t="e">
        <f>HLOOKUP(B1138,#REF!,1,0)</f>
        <v>#REF!</v>
      </c>
      <c r="M1138" s="33" t="str">
        <f t="shared" si="71"/>
        <v>BS</v>
      </c>
    </row>
    <row r="1139" spans="1:13" s="33" customFormat="true" ht="12.75" customHeight="true">
      <c r="A1139" s="33" t="str">
        <f t="shared" si="68"/>
        <v>LCP - Fixed Assets</v>
      </c>
      <c r="B1139" s="33" t="str">
        <f t="shared" si="69"/>
        <v>LCP</v>
      </c>
      <c r="C1139" s="33" t="str">
        <f t="shared" si="70"/>
        <v>14000-0000</v>
      </c>
      <c r="D1139" s="283" t="s">
        <v>1510</v>
      </c>
      <c r="E1139" s="64" t="s">
        <v>298</v>
      </c>
      <c r="F1139" s="64" t="s">
        <v>230</v>
      </c>
      <c r="G1139" s="64" t="s">
        <v>62</v>
      </c>
      <c r="H1139" s="64" t="s">
        <v>63</v>
      </c>
      <c r="I1139" s="64" t="s">
        <v>64</v>
      </c>
      <c r="J1139" s="67">
        <v>0</v>
      </c>
      <c r="K1139" s="62">
        <v>18000000</v>
      </c>
      <c r="L1139" s="33" t="e">
        <f>HLOOKUP(B1139,#REF!,1,0)</f>
        <v>#REF!</v>
      </c>
      <c r="M1139" s="33" t="str">
        <f t="shared" si="71"/>
        <v>BS</v>
      </c>
    </row>
    <row r="1140" spans="1:13" s="33" customFormat="true" ht="12.75" customHeight="true">
      <c r="A1140" s="33" t="str">
        <f t="shared" si="68"/>
        <v>LCP - Fixed Assets</v>
      </c>
      <c r="B1140" s="33" t="str">
        <f t="shared" si="69"/>
        <v>LCP</v>
      </c>
      <c r="C1140" s="33" t="str">
        <f t="shared" si="70"/>
        <v>15000-0000</v>
      </c>
      <c r="D1140" s="283" t="s">
        <v>1511</v>
      </c>
      <c r="E1140" s="64" t="s">
        <v>300</v>
      </c>
      <c r="F1140" s="64" t="s">
        <v>230</v>
      </c>
      <c r="G1140" s="64" t="s">
        <v>62</v>
      </c>
      <c r="H1140" s="64" t="s">
        <v>63</v>
      </c>
      <c r="I1140" s="64" t="s">
        <v>64</v>
      </c>
      <c r="J1140" s="67">
        <v>0</v>
      </c>
      <c r="K1140" s="62">
        <v>54000000</v>
      </c>
      <c r="L1140" s="33" t="e">
        <f>HLOOKUP(B1140,#REF!,1,0)</f>
        <v>#REF!</v>
      </c>
      <c r="M1140" s="33" t="str">
        <f t="shared" si="71"/>
        <v>BS</v>
      </c>
    </row>
    <row r="1141" spans="1:13" s="33" customFormat="true" ht="12.75" customHeight="true">
      <c r="A1141" s="33" t="str">
        <f t="shared" si="68"/>
        <v>LCP - Fixed Assets</v>
      </c>
      <c r="B1141" s="33" t="str">
        <f t="shared" si="69"/>
        <v>LCP</v>
      </c>
      <c r="C1141" s="33" t="str">
        <f t="shared" si="70"/>
        <v>15500-0000</v>
      </c>
      <c r="D1141" s="283" t="s">
        <v>1512</v>
      </c>
      <c r="E1141" s="64" t="s">
        <v>302</v>
      </c>
      <c r="F1141" s="64" t="s">
        <v>230</v>
      </c>
      <c r="G1141" s="64" t="s">
        <v>62</v>
      </c>
      <c r="H1141" s="64" t="s">
        <v>63</v>
      </c>
      <c r="I1141" s="64" t="s">
        <v>64</v>
      </c>
      <c r="J1141" s="67">
        <v>0</v>
      </c>
      <c r="K1141" s="62">
        <v>1978120.69</v>
      </c>
      <c r="L1141" s="33" t="e">
        <f>HLOOKUP(B1141,#REF!,1,0)</f>
        <v>#REF!</v>
      </c>
      <c r="M1141" s="33" t="str">
        <f t="shared" si="71"/>
        <v>BS</v>
      </c>
    </row>
    <row r="1142" spans="1:13" s="33" customFormat="true" ht="12.75" customHeight="true">
      <c r="A1142" s="33" t="str">
        <f t="shared" si="68"/>
        <v>LCP - Fixed Assets</v>
      </c>
      <c r="B1142" s="33" t="str">
        <f t="shared" si="69"/>
        <v>LCP</v>
      </c>
      <c r="C1142" s="33" t="str">
        <f t="shared" si="70"/>
        <v>17000-0000</v>
      </c>
      <c r="D1142" s="283" t="s">
        <v>1513</v>
      </c>
      <c r="E1142" s="64" t="s">
        <v>306</v>
      </c>
      <c r="F1142" s="64" t="s">
        <v>230</v>
      </c>
      <c r="G1142" s="64" t="s">
        <v>62</v>
      </c>
      <c r="H1142" s="64" t="s">
        <v>63</v>
      </c>
      <c r="I1142" s="64" t="s">
        <v>64</v>
      </c>
      <c r="J1142" s="67">
        <v>0</v>
      </c>
      <c r="K1142" s="62">
        <v>-4181894</v>
      </c>
      <c r="L1142" s="33" t="e">
        <f>HLOOKUP(B1142,#REF!,1,0)</f>
        <v>#REF!</v>
      </c>
      <c r="M1142" s="33" t="str">
        <f t="shared" si="71"/>
        <v>BS</v>
      </c>
    </row>
    <row r="1143" spans="1:14" s="33" customFormat="true" ht="12.75" customHeight="true">
      <c r="A1143" s="33" t="str">
        <f t="shared" si="68"/>
        <v>LCP - Fixed Assets</v>
      </c>
      <c r="B1143" s="33" t="str">
        <f t="shared" si="69"/>
        <v>LCP</v>
      </c>
      <c r="C1143" s="33" t="str">
        <f t="shared" si="70"/>
        <v>18000-0000</v>
      </c>
      <c r="D1143" s="283" t="s">
        <v>1514</v>
      </c>
      <c r="E1143" s="64" t="s">
        <v>308</v>
      </c>
      <c r="F1143" s="64" t="s">
        <v>230</v>
      </c>
      <c r="G1143" s="64" t="s">
        <v>62</v>
      </c>
      <c r="H1143" s="64" t="s">
        <v>63</v>
      </c>
      <c r="I1143" s="64" t="s">
        <v>64</v>
      </c>
      <c r="J1143" s="67">
        <v>0</v>
      </c>
      <c r="K1143" s="62">
        <v>-276830</v>
      </c>
      <c r="L1143" s="33" t="e">
        <f>HLOOKUP(B1143,#REF!,1,0)</f>
        <v>#REF!</v>
      </c>
      <c r="M1143" s="33" t="str">
        <f t="shared" si="71"/>
        <v>BS</v>
      </c>
      <c r="N1143" s="47">
        <f>J1143-K1143</f>
        <v>276830</v>
      </c>
    </row>
    <row r="1144" spans="1:13" s="33" customFormat="true" ht="12.75" customHeight="true">
      <c r="A1144" s="33" t="str">
        <f t="shared" si="68"/>
        <v>LCP - Deposits</v>
      </c>
      <c r="B1144" s="33" t="str">
        <f t="shared" si="69"/>
        <v>LCP</v>
      </c>
      <c r="C1144" s="33" t="str">
        <f t="shared" si="70"/>
        <v>19001-0000</v>
      </c>
      <c r="D1144" s="283" t="s">
        <v>1515</v>
      </c>
      <c r="E1144" s="64" t="s">
        <v>344</v>
      </c>
      <c r="F1144" s="64" t="s">
        <v>230</v>
      </c>
      <c r="G1144" s="64" t="s">
        <v>62</v>
      </c>
      <c r="H1144" s="64" t="s">
        <v>80</v>
      </c>
      <c r="I1144" s="64" t="s">
        <v>81</v>
      </c>
      <c r="J1144" s="67">
        <v>0</v>
      </c>
      <c r="K1144" s="62">
        <v>11766.6</v>
      </c>
      <c r="L1144" s="33" t="e">
        <f>HLOOKUP(B1144,#REF!,1,0)</f>
        <v>#REF!</v>
      </c>
      <c r="M1144" s="33" t="str">
        <f t="shared" si="71"/>
        <v>BS</v>
      </c>
    </row>
    <row r="1145" spans="1:13" s="33" customFormat="true" ht="12.75" customHeight="true">
      <c r="A1145" s="33" t="str">
        <f t="shared" si="68"/>
        <v>LCP - AP-Accr Exp</v>
      </c>
      <c r="B1145" s="33" t="str">
        <f t="shared" si="69"/>
        <v>LCP</v>
      </c>
      <c r="C1145" s="33" t="str">
        <f t="shared" si="70"/>
        <v>20001-0000</v>
      </c>
      <c r="D1145" s="283" t="s">
        <v>1516</v>
      </c>
      <c r="E1145" s="64" t="s">
        <v>96</v>
      </c>
      <c r="F1145" s="64" t="s">
        <v>230</v>
      </c>
      <c r="G1145" s="64" t="s">
        <v>97</v>
      </c>
      <c r="H1145" s="64" t="s">
        <v>98</v>
      </c>
      <c r="I1145" s="64" t="s">
        <v>99</v>
      </c>
      <c r="J1145" s="67">
        <v>0</v>
      </c>
      <c r="K1145" s="62">
        <v>0</v>
      </c>
      <c r="L1145" s="33" t="e">
        <f>HLOOKUP(B1145,#REF!,1,0)</f>
        <v>#REF!</v>
      </c>
      <c r="M1145" s="33" t="str">
        <f t="shared" si="71"/>
        <v>BS</v>
      </c>
    </row>
    <row r="1146" spans="1:13" s="33" customFormat="true" ht="12.75" customHeight="true">
      <c r="A1146" s="33" t="str">
        <f t="shared" si="68"/>
        <v>LCP - AP-Accr Exp</v>
      </c>
      <c r="B1146" s="33" t="str">
        <f t="shared" si="69"/>
        <v>LCP</v>
      </c>
      <c r="C1146" s="33" t="str">
        <f t="shared" si="70"/>
        <v>23509-0000</v>
      </c>
      <c r="D1146" s="283" t="s">
        <v>1517</v>
      </c>
      <c r="E1146" s="64" t="s">
        <v>454</v>
      </c>
      <c r="F1146" s="64" t="s">
        <v>230</v>
      </c>
      <c r="G1146" s="64" t="s">
        <v>97</v>
      </c>
      <c r="H1146" s="64" t="s">
        <v>98</v>
      </c>
      <c r="I1146" s="64" t="s">
        <v>102</v>
      </c>
      <c r="J1146" s="67">
        <v>0</v>
      </c>
      <c r="K1146" s="62">
        <v>3861.06</v>
      </c>
      <c r="L1146" s="33" t="e">
        <f>HLOOKUP(B1146,#REF!,1,0)</f>
        <v>#REF!</v>
      </c>
      <c r="M1146" s="33" t="str">
        <f t="shared" si="71"/>
        <v>BS</v>
      </c>
    </row>
    <row r="1147" spans="1:13" s="33" customFormat="true" ht="12.75" customHeight="true">
      <c r="A1147" s="33" t="str">
        <f t="shared" si="68"/>
        <v>LCP - AP-Accr Exp</v>
      </c>
      <c r="B1147" s="33" t="str">
        <f t="shared" si="69"/>
        <v>LCP</v>
      </c>
      <c r="C1147" s="33" t="str">
        <f t="shared" si="70"/>
        <v>24800-0000</v>
      </c>
      <c r="D1147" s="283" t="s">
        <v>1518</v>
      </c>
      <c r="E1147" s="64" t="s">
        <v>232</v>
      </c>
      <c r="F1147" s="64" t="s">
        <v>230</v>
      </c>
      <c r="G1147" s="64" t="s">
        <v>97</v>
      </c>
      <c r="H1147" s="64" t="s">
        <v>98</v>
      </c>
      <c r="I1147" s="64" t="s">
        <v>102</v>
      </c>
      <c r="J1147" s="67">
        <v>0</v>
      </c>
      <c r="K1147" s="62">
        <v>-151743</v>
      </c>
      <c r="L1147" s="33" t="e">
        <f>HLOOKUP(B1147,#REF!,1,0)</f>
        <v>#REF!</v>
      </c>
      <c r="M1147" s="33" t="str">
        <f t="shared" si="71"/>
        <v>BS</v>
      </c>
    </row>
    <row r="1148" spans="1:13" s="33" customFormat="true" ht="12.75" customHeight="true">
      <c r="A1148" s="33" t="str">
        <f t="shared" si="68"/>
        <v>LCP - AP-Accr Exp</v>
      </c>
      <c r="B1148" s="33" t="str">
        <f t="shared" si="69"/>
        <v>LCP</v>
      </c>
      <c r="C1148" s="33" t="str">
        <f t="shared" si="70"/>
        <v>24801-0000</v>
      </c>
      <c r="D1148" s="283" t="s">
        <v>1519</v>
      </c>
      <c r="E1148" s="64" t="s">
        <v>399</v>
      </c>
      <c r="F1148" s="64" t="s">
        <v>230</v>
      </c>
      <c r="G1148" s="64" t="s">
        <v>97</v>
      </c>
      <c r="H1148" s="64" t="s">
        <v>98</v>
      </c>
      <c r="I1148" s="64" t="s">
        <v>102</v>
      </c>
      <c r="J1148" s="67">
        <v>0</v>
      </c>
      <c r="K1148" s="62">
        <v>0</v>
      </c>
      <c r="L1148" s="33" t="e">
        <f>HLOOKUP(B1148,#REF!,1,0)</f>
        <v>#REF!</v>
      </c>
      <c r="M1148" s="33" t="str">
        <f t="shared" si="71"/>
        <v>BS</v>
      </c>
    </row>
    <row r="1149" spans="1:13" s="33" customFormat="true" ht="12.75" customHeight="true">
      <c r="A1149" s="33" t="str">
        <f t="shared" si="68"/>
        <v>LCP - Principal</v>
      </c>
      <c r="B1149" s="33" t="str">
        <f t="shared" si="69"/>
        <v>LCP</v>
      </c>
      <c r="C1149" s="33" t="str">
        <f t="shared" si="70"/>
        <v>28003-0000</v>
      </c>
      <c r="D1149" s="283" t="s">
        <v>1520</v>
      </c>
      <c r="E1149" s="64" t="s">
        <v>1327</v>
      </c>
      <c r="F1149" s="64" t="s">
        <v>230</v>
      </c>
      <c r="G1149" s="64" t="s">
        <v>123</v>
      </c>
      <c r="H1149" s="64" t="s">
        <v>127</v>
      </c>
      <c r="I1149" s="64" t="s">
        <v>133</v>
      </c>
      <c r="J1149" s="67">
        <v>0</v>
      </c>
      <c r="K1149" s="62">
        <v>0</v>
      </c>
      <c r="L1149" s="33" t="e">
        <f>HLOOKUP(B1149,#REF!,1,0)</f>
        <v>#REF!</v>
      </c>
      <c r="M1149" s="33" t="str">
        <f t="shared" si="71"/>
        <v>BS</v>
      </c>
    </row>
    <row r="1150" spans="1:13" s="33" customFormat="true" ht="12.75" customHeight="true">
      <c r="A1150" s="33" t="str">
        <f t="shared" si="68"/>
        <v>LCP - SH Dist</v>
      </c>
      <c r="B1150" s="33" t="str">
        <f t="shared" si="69"/>
        <v>LCP</v>
      </c>
      <c r="C1150" s="33" t="str">
        <f t="shared" si="70"/>
        <v>30700-0000</v>
      </c>
      <c r="D1150" s="283" t="s">
        <v>1521</v>
      </c>
      <c r="E1150" s="64" t="s">
        <v>319</v>
      </c>
      <c r="F1150" s="64" t="s">
        <v>230</v>
      </c>
      <c r="G1150" s="64" t="s">
        <v>142</v>
      </c>
      <c r="H1150" s="64" t="s">
        <v>143</v>
      </c>
      <c r="I1150" s="64" t="s">
        <v>144</v>
      </c>
      <c r="J1150" s="67">
        <v>0</v>
      </c>
      <c r="K1150" s="62">
        <v>29894940.11</v>
      </c>
      <c r="L1150" s="33" t="e">
        <f>HLOOKUP(B1150,#REF!,1,0)</f>
        <v>#REF!</v>
      </c>
      <c r="M1150" s="33" t="str">
        <f t="shared" si="71"/>
        <v>BS</v>
      </c>
    </row>
    <row r="1151" spans="1:13" s="33" customFormat="true" ht="12.75" customHeight="true">
      <c r="A1151" s="33" t="str">
        <f t="shared" si="68"/>
        <v>LCP - SH Dist</v>
      </c>
      <c r="B1151" s="33" t="str">
        <f t="shared" si="69"/>
        <v>LCP</v>
      </c>
      <c r="C1151" s="33" t="str">
        <f t="shared" si="70"/>
        <v>31001-0000</v>
      </c>
      <c r="D1151" s="283" t="s">
        <v>1522</v>
      </c>
      <c r="E1151" s="64" t="s">
        <v>1523</v>
      </c>
      <c r="F1151" s="64" t="s">
        <v>230</v>
      </c>
      <c r="G1151" s="64" t="s">
        <v>142</v>
      </c>
      <c r="H1151" s="64" t="s">
        <v>143</v>
      </c>
      <c r="I1151" s="64" t="s">
        <v>144</v>
      </c>
      <c r="J1151" s="67">
        <v>0</v>
      </c>
      <c r="K1151" s="62">
        <v>-31524124.79</v>
      </c>
      <c r="L1151" s="33" t="e">
        <f>HLOOKUP(B1151,#REF!,1,0)</f>
        <v>#REF!</v>
      </c>
      <c r="M1151" s="33" t="str">
        <f t="shared" si="71"/>
        <v>BS</v>
      </c>
    </row>
    <row r="1152" spans="1:13" s="33" customFormat="true" ht="12.75" customHeight="true">
      <c r="A1152" s="33" t="str">
        <f t="shared" si="68"/>
        <v>LCP - SH Dist</v>
      </c>
      <c r="B1152" s="33" t="str">
        <f t="shared" si="69"/>
        <v>LCP</v>
      </c>
      <c r="C1152" s="33" t="str">
        <f t="shared" si="70"/>
        <v>31002-0000</v>
      </c>
      <c r="D1152" s="283" t="s">
        <v>1524</v>
      </c>
      <c r="E1152" s="64" t="s">
        <v>1525</v>
      </c>
      <c r="F1152" s="64" t="s">
        <v>230</v>
      </c>
      <c r="G1152" s="64" t="s">
        <v>142</v>
      </c>
      <c r="H1152" s="64" t="s">
        <v>143</v>
      </c>
      <c r="I1152" s="64" t="s">
        <v>144</v>
      </c>
      <c r="J1152" s="67">
        <v>0</v>
      </c>
      <c r="K1152" s="62">
        <v>-178700</v>
      </c>
      <c r="L1152" s="33" t="e">
        <f>HLOOKUP(B1152,#REF!,1,0)</f>
        <v>#REF!</v>
      </c>
      <c r="M1152" s="33" t="str">
        <f t="shared" si="71"/>
        <v>BS</v>
      </c>
    </row>
    <row r="1153" spans="1:13" s="33" customFormat="true" ht="12.75" customHeight="true">
      <c r="A1153" s="33" t="str">
        <f t="shared" si="68"/>
        <v>LCP - SH Dist</v>
      </c>
      <c r="B1153" s="33" t="str">
        <f t="shared" si="69"/>
        <v>LCP</v>
      </c>
      <c r="C1153" s="33" t="str">
        <f t="shared" si="70"/>
        <v>31003-0000</v>
      </c>
      <c r="D1153" s="283" t="s">
        <v>1526</v>
      </c>
      <c r="E1153" s="64" t="s">
        <v>1527</v>
      </c>
      <c r="F1153" s="64" t="s">
        <v>230</v>
      </c>
      <c r="G1153" s="64" t="s">
        <v>142</v>
      </c>
      <c r="H1153" s="64" t="s">
        <v>143</v>
      </c>
      <c r="I1153" s="64" t="s">
        <v>144</v>
      </c>
      <c r="J1153" s="67">
        <v>0</v>
      </c>
      <c r="K1153" s="62">
        <v>-130000</v>
      </c>
      <c r="L1153" s="33" t="e">
        <f>HLOOKUP(B1153,#REF!,1,0)</f>
        <v>#REF!</v>
      </c>
      <c r="M1153" s="33" t="str">
        <f t="shared" si="71"/>
        <v>BS</v>
      </c>
    </row>
    <row r="1154" spans="1:13" s="33" customFormat="true" ht="12.75" customHeight="true">
      <c r="A1154" s="33" t="str">
        <f t="shared" ref="A1154:A1217" si="72">B1154&amp;" - "&amp;TRIM(H1154)</f>
        <v>LCP - SH Dist</v>
      </c>
      <c r="B1154" s="33" t="str">
        <f t="shared" ref="B1154:B1217" si="73">LEFT(D1154,3)</f>
        <v>LCP</v>
      </c>
      <c r="C1154" s="33" t="str">
        <f t="shared" ref="C1154:C1217" si="74">RIGHT(D1154,10)</f>
        <v>31005-0000</v>
      </c>
      <c r="D1154" s="283" t="s">
        <v>1528</v>
      </c>
      <c r="E1154" s="64" t="s">
        <v>1529</v>
      </c>
      <c r="F1154" s="64" t="s">
        <v>230</v>
      </c>
      <c r="G1154" s="64" t="s">
        <v>142</v>
      </c>
      <c r="H1154" s="64" t="s">
        <v>143</v>
      </c>
      <c r="I1154" s="64" t="s">
        <v>144</v>
      </c>
      <c r="J1154" s="67">
        <v>0</v>
      </c>
      <c r="K1154" s="62">
        <v>-1000000</v>
      </c>
      <c r="L1154" s="33" t="e">
        <f>HLOOKUP(B1154,#REF!,1,0)</f>
        <v>#REF!</v>
      </c>
      <c r="M1154" s="33" t="str">
        <f t="shared" ref="M1154:M1217" si="75">IF(VALUE(LEFT(C1154,5))&gt;40000,"P&amp;L","BS")</f>
        <v>BS</v>
      </c>
    </row>
    <row r="1155" spans="1:13" s="33" customFormat="true" ht="12.75" customHeight="true">
      <c r="A1155" s="33" t="str">
        <f t="shared" si="72"/>
        <v>LCP - SH Dist</v>
      </c>
      <c r="B1155" s="33" t="str">
        <f t="shared" si="73"/>
        <v>LCP</v>
      </c>
      <c r="C1155" s="33" t="str">
        <f t="shared" si="74"/>
        <v>31008-0000</v>
      </c>
      <c r="D1155" s="283" t="s">
        <v>1530</v>
      </c>
      <c r="E1155" s="64" t="s">
        <v>1531</v>
      </c>
      <c r="F1155" s="64" t="s">
        <v>230</v>
      </c>
      <c r="G1155" s="64" t="s">
        <v>142</v>
      </c>
      <c r="H1155" s="64" t="s">
        <v>143</v>
      </c>
      <c r="I1155" s="64" t="s">
        <v>144</v>
      </c>
      <c r="J1155" s="67">
        <v>0</v>
      </c>
      <c r="K1155" s="62">
        <v>-40000</v>
      </c>
      <c r="L1155" s="33" t="e">
        <f>HLOOKUP(B1155,#REF!,1,0)</f>
        <v>#REF!</v>
      </c>
      <c r="M1155" s="33" t="str">
        <f t="shared" si="75"/>
        <v>BS</v>
      </c>
    </row>
    <row r="1156" spans="1:13" s="33" customFormat="true" ht="12.75" customHeight="true">
      <c r="A1156" s="33" t="str">
        <f t="shared" si="72"/>
        <v>LCP - Retained Earnings</v>
      </c>
      <c r="B1156" s="33" t="str">
        <f t="shared" si="73"/>
        <v>LCP</v>
      </c>
      <c r="C1156" s="33" t="str">
        <f t="shared" si="74"/>
        <v>32000-0000</v>
      </c>
      <c r="D1156" s="283" t="s">
        <v>1532</v>
      </c>
      <c r="E1156" s="64" t="s">
        <v>234</v>
      </c>
      <c r="F1156" s="64" t="s">
        <v>230</v>
      </c>
      <c r="G1156" s="64" t="s">
        <v>142</v>
      </c>
      <c r="H1156" s="64" t="s">
        <v>149</v>
      </c>
      <c r="I1156" s="64" t="s">
        <v>235</v>
      </c>
      <c r="J1156" s="67">
        <v>0</v>
      </c>
      <c r="K1156" s="62">
        <v>6589817.58</v>
      </c>
      <c r="L1156" s="33" t="e">
        <f>HLOOKUP(B1156,#REF!,1,0)</f>
        <v>#REF!</v>
      </c>
      <c r="M1156" s="33" t="str">
        <f t="shared" si="75"/>
        <v>BS</v>
      </c>
    </row>
    <row r="1157" spans="1:13" s="33" customFormat="true" ht="12.75" customHeight="true">
      <c r="A1157" s="33" t="str">
        <f t="shared" si="72"/>
        <v>LCP - SH Dist</v>
      </c>
      <c r="B1157" s="33" t="str">
        <f t="shared" si="73"/>
        <v>LCP</v>
      </c>
      <c r="C1157" s="33" t="str">
        <f t="shared" si="74"/>
        <v>36001-0000</v>
      </c>
      <c r="D1157" s="283" t="s">
        <v>1533</v>
      </c>
      <c r="E1157" s="64" t="s">
        <v>1534</v>
      </c>
      <c r="F1157" s="64" t="s">
        <v>230</v>
      </c>
      <c r="G1157" s="64" t="s">
        <v>142</v>
      </c>
      <c r="H1157" s="64" t="s">
        <v>143</v>
      </c>
      <c r="I1157" s="64" t="s">
        <v>144</v>
      </c>
      <c r="J1157" s="67">
        <v>0</v>
      </c>
      <c r="K1157" s="62">
        <v>348576.73</v>
      </c>
      <c r="L1157" s="33" t="e">
        <f>HLOOKUP(B1157,#REF!,1,0)</f>
        <v>#REF!</v>
      </c>
      <c r="M1157" s="33" t="str">
        <f t="shared" si="75"/>
        <v>BS</v>
      </c>
    </row>
    <row r="1158" spans="1:13" s="33" customFormat="true" ht="12.75" customHeight="true">
      <c r="A1158" s="33" t="str">
        <f t="shared" si="72"/>
        <v>LOM - Cash</v>
      </c>
      <c r="B1158" s="33" t="str">
        <f t="shared" si="73"/>
        <v>LOM</v>
      </c>
      <c r="C1158" s="33" t="str">
        <f t="shared" si="74"/>
        <v>10001-0000</v>
      </c>
      <c r="D1158" s="64" t="s">
        <v>1535</v>
      </c>
      <c r="E1158" s="64" t="s">
        <v>240</v>
      </c>
      <c r="F1158" s="64" t="s">
        <v>230</v>
      </c>
      <c r="G1158" s="64" t="s">
        <v>16</v>
      </c>
      <c r="H1158" s="64" t="s">
        <v>25</v>
      </c>
      <c r="I1158" s="64" t="s">
        <v>18</v>
      </c>
      <c r="J1158" s="67">
        <v>10611.91</v>
      </c>
      <c r="K1158" s="62">
        <v>61013.33</v>
      </c>
      <c r="L1158" s="33" t="e">
        <f>HLOOKUP(B1158,#REF!,1,0)</f>
        <v>#REF!</v>
      </c>
      <c r="M1158" s="33" t="str">
        <f t="shared" si="75"/>
        <v>BS</v>
      </c>
    </row>
    <row r="1159" spans="1:13" s="33" customFormat="true" ht="12.75" customHeight="true">
      <c r="A1159" s="33" t="str">
        <f t="shared" si="72"/>
        <v>LOM - Intercompany</v>
      </c>
      <c r="B1159" s="33" t="str">
        <f t="shared" si="73"/>
        <v>LOM</v>
      </c>
      <c r="C1159" s="33" t="str">
        <f t="shared" si="74"/>
        <v>11216-0000</v>
      </c>
      <c r="D1159" s="64" t="s">
        <v>1536</v>
      </c>
      <c r="E1159" s="64" t="s">
        <v>242</v>
      </c>
      <c r="F1159" s="64" t="s">
        <v>230</v>
      </c>
      <c r="G1159" s="64" t="s">
        <v>16</v>
      </c>
      <c r="H1159" s="64" t="s">
        <v>39</v>
      </c>
      <c r="I1159" s="64" t="s">
        <v>40</v>
      </c>
      <c r="J1159" s="67">
        <v>-80.2</v>
      </c>
      <c r="K1159" s="62">
        <v>-12632.25</v>
      </c>
      <c r="L1159" s="33" t="e">
        <f>HLOOKUP(B1159,#REF!,1,0)</f>
        <v>#REF!</v>
      </c>
      <c r="M1159" s="33" t="str">
        <f t="shared" si="75"/>
        <v>BS</v>
      </c>
    </row>
    <row r="1160" spans="1:13" s="33" customFormat="true" ht="12.75" customHeight="true">
      <c r="A1160" s="33" t="str">
        <f t="shared" si="72"/>
        <v>LOM - Intercompany</v>
      </c>
      <c r="B1160" s="33" t="str">
        <f t="shared" si="73"/>
        <v>LOM</v>
      </c>
      <c r="C1160" s="33" t="str">
        <f t="shared" si="74"/>
        <v>11310-0000</v>
      </c>
      <c r="D1160" s="64" t="s">
        <v>1537</v>
      </c>
      <c r="E1160" s="64" t="s">
        <v>256</v>
      </c>
      <c r="F1160" s="64" t="s">
        <v>230</v>
      </c>
      <c r="G1160" s="64" t="s">
        <v>16</v>
      </c>
      <c r="H1160" s="64" t="s">
        <v>39</v>
      </c>
      <c r="I1160" s="64" t="s">
        <v>40</v>
      </c>
      <c r="J1160" s="67">
        <v>0</v>
      </c>
      <c r="K1160" s="62">
        <v>-10000</v>
      </c>
      <c r="L1160" s="33" t="e">
        <f>HLOOKUP(B1160,#REF!,1,0)</f>
        <v>#REF!</v>
      </c>
      <c r="M1160" s="33" t="str">
        <f t="shared" si="75"/>
        <v>BS</v>
      </c>
    </row>
    <row r="1161" spans="1:13" s="33" customFormat="true" ht="12.75" customHeight="true">
      <c r="A1161" s="33" t="str">
        <f t="shared" si="72"/>
        <v>LOM - Intercompany</v>
      </c>
      <c r="B1161" s="33" t="str">
        <f t="shared" si="73"/>
        <v>LOM</v>
      </c>
      <c r="C1161" s="33" t="str">
        <f t="shared" si="74"/>
        <v>11311-0000</v>
      </c>
      <c r="D1161" s="64" t="s">
        <v>1538</v>
      </c>
      <c r="E1161" s="64" t="s">
        <v>258</v>
      </c>
      <c r="F1161" s="64" t="s">
        <v>230</v>
      </c>
      <c r="G1161" s="64" t="s">
        <v>16</v>
      </c>
      <c r="H1161" s="64" t="s">
        <v>39</v>
      </c>
      <c r="I1161" s="64" t="s">
        <v>40</v>
      </c>
      <c r="J1161" s="67">
        <v>0</v>
      </c>
      <c r="K1161" s="62">
        <v>-15000</v>
      </c>
      <c r="L1161" s="33" t="e">
        <f>HLOOKUP(B1161,#REF!,1,0)</f>
        <v>#REF!</v>
      </c>
      <c r="M1161" s="33" t="str">
        <f t="shared" si="75"/>
        <v>BS</v>
      </c>
    </row>
    <row r="1162" spans="1:13" s="33" customFormat="true" ht="12.75" customHeight="true">
      <c r="A1162" s="33" t="str">
        <f t="shared" si="72"/>
        <v>LOM - Intercompany</v>
      </c>
      <c r="B1162" s="33" t="str">
        <f t="shared" si="73"/>
        <v>LOM</v>
      </c>
      <c r="C1162" s="33" t="str">
        <f t="shared" si="74"/>
        <v>11317-0000</v>
      </c>
      <c r="D1162" s="64" t="s">
        <v>1539</v>
      </c>
      <c r="E1162" s="64" t="s">
        <v>368</v>
      </c>
      <c r="F1162" s="64" t="s">
        <v>230</v>
      </c>
      <c r="G1162" s="64" t="s">
        <v>16</v>
      </c>
      <c r="H1162" s="64" t="s">
        <v>39</v>
      </c>
      <c r="I1162" s="64" t="s">
        <v>40</v>
      </c>
      <c r="J1162" s="67">
        <v>0</v>
      </c>
      <c r="K1162" s="62">
        <v>-10000</v>
      </c>
      <c r="L1162" s="33" t="e">
        <f>HLOOKUP(B1162,#REF!,1,0)</f>
        <v>#REF!</v>
      </c>
      <c r="M1162" s="33" t="str">
        <f t="shared" si="75"/>
        <v>BS</v>
      </c>
    </row>
    <row r="1163" spans="1:13" s="33" customFormat="true" ht="12.75" customHeight="true">
      <c r="A1163" s="33" t="str">
        <f t="shared" si="72"/>
        <v>LOM - Intercompany</v>
      </c>
      <c r="B1163" s="33" t="str">
        <f t="shared" si="73"/>
        <v>LOM</v>
      </c>
      <c r="C1163" s="33" t="str">
        <f t="shared" si="74"/>
        <v>11326-0000</v>
      </c>
      <c r="D1163" s="64" t="s">
        <v>1540</v>
      </c>
      <c r="E1163" s="64" t="s">
        <v>1541</v>
      </c>
      <c r="F1163" s="64" t="s">
        <v>230</v>
      </c>
      <c r="G1163" s="64" t="s">
        <v>362</v>
      </c>
      <c r="H1163" s="64" t="s">
        <v>39</v>
      </c>
      <c r="I1163" s="64" t="s">
        <v>40</v>
      </c>
      <c r="J1163" s="67">
        <v>0</v>
      </c>
      <c r="K1163" s="62">
        <v>20000</v>
      </c>
      <c r="L1163" s="33" t="e">
        <f>HLOOKUP(B1163,#REF!,1,0)</f>
        <v>#REF!</v>
      </c>
      <c r="M1163" s="33" t="str">
        <f t="shared" si="75"/>
        <v>BS</v>
      </c>
    </row>
    <row r="1164" spans="1:13" s="33" customFormat="true" ht="12.75" customHeight="true">
      <c r="A1164" s="33" t="str">
        <f t="shared" si="72"/>
        <v>LOM - Intercompany</v>
      </c>
      <c r="B1164" s="33" t="str">
        <f t="shared" si="73"/>
        <v>LOM</v>
      </c>
      <c r="C1164" s="33" t="str">
        <f t="shared" si="74"/>
        <v>11331-0000</v>
      </c>
      <c r="D1164" s="64" t="s">
        <v>1542</v>
      </c>
      <c r="E1164" s="64" t="s">
        <v>1543</v>
      </c>
      <c r="F1164" s="64" t="s">
        <v>230</v>
      </c>
      <c r="G1164" s="64" t="s">
        <v>362</v>
      </c>
      <c r="H1164" s="64" t="s">
        <v>39</v>
      </c>
      <c r="I1164" s="64" t="s">
        <v>40</v>
      </c>
      <c r="J1164" s="67">
        <v>0</v>
      </c>
      <c r="K1164" s="62">
        <v>-10000</v>
      </c>
      <c r="L1164" s="33" t="e">
        <f>HLOOKUP(B1164,#REF!,1,0)</f>
        <v>#REF!</v>
      </c>
      <c r="M1164" s="33" t="str">
        <f t="shared" si="75"/>
        <v>BS</v>
      </c>
    </row>
    <row r="1165" spans="1:13" s="33" customFormat="true" ht="12.75" customHeight="true">
      <c r="A1165" s="33" t="str">
        <f t="shared" si="72"/>
        <v>LOM - Fixed Assets</v>
      </c>
      <c r="B1165" s="33" t="str">
        <f t="shared" si="73"/>
        <v>LOM</v>
      </c>
      <c r="C1165" s="33" t="str">
        <f t="shared" si="74"/>
        <v>14000-0000</v>
      </c>
      <c r="D1165" s="64" t="s">
        <v>1544</v>
      </c>
      <c r="E1165" s="64" t="s">
        <v>298</v>
      </c>
      <c r="F1165" s="64" t="s">
        <v>230</v>
      </c>
      <c r="G1165" s="64" t="s">
        <v>62</v>
      </c>
      <c r="H1165" s="64" t="s">
        <v>63</v>
      </c>
      <c r="I1165" s="64" t="s">
        <v>64</v>
      </c>
      <c r="J1165" s="67">
        <v>0</v>
      </c>
      <c r="K1165" s="62">
        <v>1233333.33</v>
      </c>
      <c r="L1165" s="33" t="e">
        <f>HLOOKUP(B1165,#REF!,1,0)</f>
        <v>#REF!</v>
      </c>
      <c r="M1165" s="33" t="str">
        <f t="shared" si="75"/>
        <v>BS</v>
      </c>
    </row>
    <row r="1166" spans="1:13" s="33" customFormat="true" ht="12.75" customHeight="true">
      <c r="A1166" s="33" t="str">
        <f t="shared" si="72"/>
        <v>LOM - Fixed Assets</v>
      </c>
      <c r="B1166" s="33" t="str">
        <f t="shared" si="73"/>
        <v>LOM</v>
      </c>
      <c r="C1166" s="33" t="str">
        <f t="shared" si="74"/>
        <v>15000-0000</v>
      </c>
      <c r="D1166" s="64" t="s">
        <v>1545</v>
      </c>
      <c r="E1166" s="64" t="s">
        <v>300</v>
      </c>
      <c r="F1166" s="64" t="s">
        <v>230</v>
      </c>
      <c r="G1166" s="64" t="s">
        <v>62</v>
      </c>
      <c r="H1166" s="64" t="s">
        <v>63</v>
      </c>
      <c r="I1166" s="64" t="s">
        <v>64</v>
      </c>
      <c r="J1166" s="67">
        <v>0</v>
      </c>
      <c r="K1166" s="62">
        <v>2466666.67</v>
      </c>
      <c r="L1166" s="33" t="e">
        <f>HLOOKUP(B1166,#REF!,1,0)</f>
        <v>#REF!</v>
      </c>
      <c r="M1166" s="33" t="str">
        <f t="shared" si="75"/>
        <v>BS</v>
      </c>
    </row>
    <row r="1167" spans="1:13" s="33" customFormat="true" ht="12.75" customHeight="true">
      <c r="A1167" s="33" t="str">
        <f t="shared" si="72"/>
        <v>LOM - Fixed Assets</v>
      </c>
      <c r="B1167" s="33" t="str">
        <f t="shared" si="73"/>
        <v>LOM</v>
      </c>
      <c r="C1167" s="33" t="str">
        <f t="shared" si="74"/>
        <v>15500-0000</v>
      </c>
      <c r="D1167" s="64" t="s">
        <v>1546</v>
      </c>
      <c r="E1167" s="64" t="s">
        <v>302</v>
      </c>
      <c r="F1167" s="64" t="s">
        <v>230</v>
      </c>
      <c r="G1167" s="64" t="s">
        <v>62</v>
      </c>
      <c r="H1167" s="64" t="s">
        <v>63</v>
      </c>
      <c r="I1167" s="64" t="s">
        <v>64</v>
      </c>
      <c r="J1167" s="67">
        <v>0</v>
      </c>
      <c r="K1167" s="62">
        <v>35350.67</v>
      </c>
      <c r="L1167" s="33" t="e">
        <f>HLOOKUP(B1167,#REF!,1,0)</f>
        <v>#REF!</v>
      </c>
      <c r="M1167" s="33" t="str">
        <f t="shared" si="75"/>
        <v>BS</v>
      </c>
    </row>
    <row r="1168" spans="1:13" s="33" customFormat="true" ht="12.75" customHeight="true">
      <c r="A1168" s="33" t="str">
        <f t="shared" si="72"/>
        <v>LOM - Fixed Assets</v>
      </c>
      <c r="B1168" s="33" t="str">
        <f t="shared" si="73"/>
        <v>LOM</v>
      </c>
      <c r="C1168" s="33" t="str">
        <f t="shared" si="74"/>
        <v>15600-0000</v>
      </c>
      <c r="D1168" s="64" t="s">
        <v>1547</v>
      </c>
      <c r="E1168" s="64" t="s">
        <v>337</v>
      </c>
      <c r="F1168" s="64" t="s">
        <v>230</v>
      </c>
      <c r="G1168" s="64" t="s">
        <v>16</v>
      </c>
      <c r="H1168" s="64" t="s">
        <v>63</v>
      </c>
      <c r="I1168" s="64" t="s">
        <v>64</v>
      </c>
      <c r="J1168" s="67">
        <v>0</v>
      </c>
      <c r="K1168" s="62">
        <v>5444</v>
      </c>
      <c r="L1168" s="33" t="e">
        <f>HLOOKUP(B1168,#REF!,1,0)</f>
        <v>#REF!</v>
      </c>
      <c r="M1168" s="33" t="str">
        <f t="shared" si="75"/>
        <v>BS</v>
      </c>
    </row>
    <row r="1169" spans="1:13" s="33" customFormat="true" ht="12.75" customHeight="true">
      <c r="A1169" s="33" t="str">
        <f t="shared" si="72"/>
        <v>LOM - Fixed Assets</v>
      </c>
      <c r="B1169" s="33" t="str">
        <f t="shared" si="73"/>
        <v>LOM</v>
      </c>
      <c r="C1169" s="33" t="str">
        <f t="shared" si="74"/>
        <v>16000-0000</v>
      </c>
      <c r="D1169" s="64" t="s">
        <v>1548</v>
      </c>
      <c r="E1169" s="64" t="s">
        <v>304</v>
      </c>
      <c r="F1169" s="64" t="s">
        <v>230</v>
      </c>
      <c r="G1169" s="64" t="s">
        <v>16</v>
      </c>
      <c r="H1169" s="64" t="s">
        <v>63</v>
      </c>
      <c r="I1169" s="64" t="s">
        <v>18</v>
      </c>
      <c r="J1169" s="67">
        <v>0</v>
      </c>
      <c r="K1169" s="62">
        <v>2905.25</v>
      </c>
      <c r="L1169" s="33" t="e">
        <f>HLOOKUP(B1169,#REF!,1,0)</f>
        <v>#REF!</v>
      </c>
      <c r="M1169" s="33" t="str">
        <f t="shared" si="75"/>
        <v>BS</v>
      </c>
    </row>
    <row r="1170" spans="1:13" s="33" customFormat="true" ht="12.75" customHeight="true">
      <c r="A1170" s="33" t="str">
        <f t="shared" si="72"/>
        <v>LOM - Fixed Assets</v>
      </c>
      <c r="B1170" s="33" t="str">
        <f t="shared" si="73"/>
        <v>LOM</v>
      </c>
      <c r="C1170" s="33" t="str">
        <f t="shared" si="74"/>
        <v>17000-0000</v>
      </c>
      <c r="D1170" s="64" t="s">
        <v>1549</v>
      </c>
      <c r="E1170" s="64" t="s">
        <v>306</v>
      </c>
      <c r="F1170" s="64" t="s">
        <v>230</v>
      </c>
      <c r="G1170" s="64" t="s">
        <v>62</v>
      </c>
      <c r="H1170" s="64" t="s">
        <v>63</v>
      </c>
      <c r="I1170" s="64" t="s">
        <v>64</v>
      </c>
      <c r="J1170" s="67">
        <v>0</v>
      </c>
      <c r="K1170" s="62">
        <v>-244291</v>
      </c>
      <c r="L1170" s="33" t="e">
        <f>HLOOKUP(B1170,#REF!,1,0)</f>
        <v>#REF!</v>
      </c>
      <c r="M1170" s="33" t="str">
        <f t="shared" si="75"/>
        <v>BS</v>
      </c>
    </row>
    <row r="1171" spans="1:13" s="33" customFormat="true" ht="12.75" customHeight="true">
      <c r="A1171" s="33" t="str">
        <f t="shared" si="72"/>
        <v>LOM - Fixed Assets</v>
      </c>
      <c r="B1171" s="33" t="str">
        <f t="shared" si="73"/>
        <v>LOM</v>
      </c>
      <c r="C1171" s="33" t="str">
        <f t="shared" si="74"/>
        <v>18000-0000</v>
      </c>
      <c r="D1171" s="64" t="s">
        <v>1550</v>
      </c>
      <c r="E1171" s="64" t="s">
        <v>308</v>
      </c>
      <c r="F1171" s="64" t="s">
        <v>230</v>
      </c>
      <c r="G1171" s="64" t="s">
        <v>62</v>
      </c>
      <c r="H1171" s="64" t="s">
        <v>63</v>
      </c>
      <c r="I1171" s="64" t="s">
        <v>64</v>
      </c>
      <c r="J1171" s="67">
        <v>0</v>
      </c>
      <c r="K1171" s="62">
        <v>-5771</v>
      </c>
      <c r="L1171" s="33" t="e">
        <f>HLOOKUP(B1171,#REF!,1,0)</f>
        <v>#REF!</v>
      </c>
      <c r="M1171" s="33" t="str">
        <f t="shared" si="75"/>
        <v>BS</v>
      </c>
    </row>
    <row r="1172" spans="1:13" s="33" customFormat="true" ht="12.75" customHeight="true">
      <c r="A1172" s="33" t="str">
        <f t="shared" si="72"/>
        <v>LOM - Deposits</v>
      </c>
      <c r="B1172" s="33" t="str">
        <f t="shared" si="73"/>
        <v>LOM</v>
      </c>
      <c r="C1172" s="33" t="str">
        <f t="shared" si="74"/>
        <v>19001-0000</v>
      </c>
      <c r="D1172" s="64" t="s">
        <v>1551</v>
      </c>
      <c r="E1172" s="64" t="s">
        <v>344</v>
      </c>
      <c r="F1172" s="64" t="s">
        <v>230</v>
      </c>
      <c r="G1172" s="64" t="s">
        <v>62</v>
      </c>
      <c r="H1172" s="64" t="s">
        <v>80</v>
      </c>
      <c r="I1172" s="64" t="s">
        <v>81</v>
      </c>
      <c r="J1172" s="67">
        <v>0</v>
      </c>
      <c r="K1172" s="62">
        <v>2060</v>
      </c>
      <c r="L1172" s="33" t="e">
        <f>HLOOKUP(B1172,#REF!,1,0)</f>
        <v>#REF!</v>
      </c>
      <c r="M1172" s="33" t="str">
        <f t="shared" si="75"/>
        <v>BS</v>
      </c>
    </row>
    <row r="1173" spans="1:13" s="33" customFormat="true" ht="12.75" customHeight="true">
      <c r="A1173" s="33" t="str">
        <f t="shared" si="72"/>
        <v>LOM - AP-Accr Exp</v>
      </c>
      <c r="B1173" s="33" t="str">
        <f t="shared" si="73"/>
        <v>LOM</v>
      </c>
      <c r="C1173" s="33" t="str">
        <f t="shared" si="74"/>
        <v>20001-0000</v>
      </c>
      <c r="D1173" s="64" t="s">
        <v>1552</v>
      </c>
      <c r="E1173" s="64" t="s">
        <v>96</v>
      </c>
      <c r="F1173" s="64" t="s">
        <v>230</v>
      </c>
      <c r="G1173" s="64" t="s">
        <v>97</v>
      </c>
      <c r="H1173" s="64" t="s">
        <v>98</v>
      </c>
      <c r="I1173" s="64" t="s">
        <v>99</v>
      </c>
      <c r="J1173" s="67">
        <v>2932.14</v>
      </c>
      <c r="K1173" s="62">
        <v>0</v>
      </c>
      <c r="L1173" s="33" t="e">
        <f>HLOOKUP(B1173,#REF!,1,0)</f>
        <v>#REF!</v>
      </c>
      <c r="M1173" s="33" t="str">
        <f t="shared" si="75"/>
        <v>BS</v>
      </c>
    </row>
    <row r="1174" spans="1:13" s="33" customFormat="true" ht="12.75" customHeight="true">
      <c r="A1174" s="33" t="str">
        <f t="shared" si="72"/>
        <v>LOM - AP-Accr Exp</v>
      </c>
      <c r="B1174" s="33" t="str">
        <f t="shared" si="73"/>
        <v>LOM</v>
      </c>
      <c r="C1174" s="33" t="str">
        <f t="shared" si="74"/>
        <v>23509-0000</v>
      </c>
      <c r="D1174" s="64" t="s">
        <v>1553</v>
      </c>
      <c r="E1174" s="64" t="s">
        <v>111</v>
      </c>
      <c r="F1174" s="64" t="s">
        <v>230</v>
      </c>
      <c r="G1174" s="64" t="s">
        <v>97</v>
      </c>
      <c r="H1174" s="64" t="s">
        <v>98</v>
      </c>
      <c r="I1174" s="64" t="s">
        <v>102</v>
      </c>
      <c r="J1174" s="67">
        <v>0</v>
      </c>
      <c r="K1174" s="62">
        <v>0</v>
      </c>
      <c r="L1174" s="33" t="e">
        <f>HLOOKUP(B1174,#REF!,1,0)</f>
        <v>#REF!</v>
      </c>
      <c r="M1174" s="33" t="str">
        <f t="shared" si="75"/>
        <v>BS</v>
      </c>
    </row>
    <row r="1175" spans="1:13" s="33" customFormat="true" ht="12.75" customHeight="true">
      <c r="A1175" s="33" t="str">
        <f t="shared" si="72"/>
        <v>LOM - AP-Accr Exp</v>
      </c>
      <c r="B1175" s="33" t="str">
        <f t="shared" si="73"/>
        <v>LOM</v>
      </c>
      <c r="C1175" s="33" t="str">
        <f t="shared" si="74"/>
        <v>24800-0000</v>
      </c>
      <c r="D1175" s="64" t="s">
        <v>1554</v>
      </c>
      <c r="E1175" s="64" t="s">
        <v>232</v>
      </c>
      <c r="F1175" s="64" t="s">
        <v>230</v>
      </c>
      <c r="G1175" s="64" t="s">
        <v>97</v>
      </c>
      <c r="H1175" s="64" t="s">
        <v>98</v>
      </c>
      <c r="I1175" s="64" t="s">
        <v>102</v>
      </c>
      <c r="J1175" s="67">
        <v>2225</v>
      </c>
      <c r="K1175" s="62">
        <v>-32045</v>
      </c>
      <c r="L1175" s="33" t="e">
        <f>HLOOKUP(B1175,#REF!,1,0)</f>
        <v>#REF!</v>
      </c>
      <c r="M1175" s="33" t="str">
        <f t="shared" si="75"/>
        <v>BS</v>
      </c>
    </row>
    <row r="1176" spans="1:13" s="33" customFormat="true" ht="12.75" customHeight="true">
      <c r="A1176" s="33" t="str">
        <f t="shared" si="72"/>
        <v>LOM - Principal</v>
      </c>
      <c r="B1176" s="33" t="str">
        <f t="shared" si="73"/>
        <v>LOM</v>
      </c>
      <c r="C1176" s="33" t="str">
        <f t="shared" si="74"/>
        <v>26800-0000</v>
      </c>
      <c r="D1176" s="64" t="s">
        <v>1555</v>
      </c>
      <c r="E1176" s="64" t="s">
        <v>402</v>
      </c>
      <c r="F1176" s="64" t="s">
        <v>230</v>
      </c>
      <c r="G1176" s="64" t="s">
        <v>97</v>
      </c>
      <c r="H1176" s="64" t="s">
        <v>127</v>
      </c>
      <c r="I1176" s="64" t="s">
        <v>128</v>
      </c>
      <c r="J1176" s="67">
        <v>0</v>
      </c>
      <c r="K1176" s="62">
        <v>-148000</v>
      </c>
      <c r="L1176" s="33" t="e">
        <f>HLOOKUP(B1176,#REF!,1,0)</f>
        <v>#REF!</v>
      </c>
      <c r="M1176" s="33" t="str">
        <f t="shared" si="75"/>
        <v>BS</v>
      </c>
    </row>
    <row r="1177" spans="1:13" s="33" customFormat="true" ht="12.75" customHeight="true">
      <c r="A1177" s="33" t="str">
        <f t="shared" si="72"/>
        <v>LOM - Principal</v>
      </c>
      <c r="B1177" s="33" t="str">
        <f t="shared" si="73"/>
        <v>LOM</v>
      </c>
      <c r="C1177" s="33" t="str">
        <f t="shared" si="74"/>
        <v>28001-0000</v>
      </c>
      <c r="D1177" s="64" t="s">
        <v>1556</v>
      </c>
      <c r="E1177" s="64" t="s">
        <v>352</v>
      </c>
      <c r="F1177" s="64" t="s">
        <v>230</v>
      </c>
      <c r="G1177" s="64" t="s">
        <v>123</v>
      </c>
      <c r="H1177" s="64" t="s">
        <v>127</v>
      </c>
      <c r="I1177" s="64" t="s">
        <v>133</v>
      </c>
      <c r="J1177" s="67">
        <v>3535.53</v>
      </c>
      <c r="K1177" s="62">
        <v>-2047036.66</v>
      </c>
      <c r="L1177" s="33" t="e">
        <f>HLOOKUP(B1177,#REF!,1,0)</f>
        <v>#REF!</v>
      </c>
      <c r="M1177" s="33" t="str">
        <f t="shared" si="75"/>
        <v>BS</v>
      </c>
    </row>
    <row r="1178" spans="1:13" s="33" customFormat="true" ht="12.75" customHeight="true">
      <c r="A1178" s="33" t="str">
        <f t="shared" si="72"/>
        <v>LOM - SH Dist</v>
      </c>
      <c r="B1178" s="33" t="str">
        <f t="shared" si="73"/>
        <v>LOM</v>
      </c>
      <c r="C1178" s="33" t="str">
        <f t="shared" si="74"/>
        <v>30700-0000</v>
      </c>
      <c r="D1178" s="64" t="s">
        <v>1557</v>
      </c>
      <c r="E1178" s="64" t="s">
        <v>319</v>
      </c>
      <c r="F1178" s="64" t="s">
        <v>230</v>
      </c>
      <c r="G1178" s="64" t="s">
        <v>142</v>
      </c>
      <c r="H1178" s="64" t="s">
        <v>143</v>
      </c>
      <c r="I1178" s="64" t="s">
        <v>144</v>
      </c>
      <c r="J1178" s="67">
        <v>0</v>
      </c>
      <c r="K1178" s="62">
        <v>-1359828.72</v>
      </c>
      <c r="L1178" s="33" t="e">
        <f>HLOOKUP(B1178,#REF!,1,0)</f>
        <v>#REF!</v>
      </c>
      <c r="M1178" s="33" t="str">
        <f t="shared" si="75"/>
        <v>BS</v>
      </c>
    </row>
    <row r="1179" spans="1:13" s="33" customFormat="true" ht="12.75" customHeight="true">
      <c r="A1179" s="33" t="str">
        <f t="shared" si="72"/>
        <v>LOM - Retained Earnings</v>
      </c>
      <c r="B1179" s="33" t="str">
        <f t="shared" si="73"/>
        <v>LOM</v>
      </c>
      <c r="C1179" s="33" t="str">
        <f t="shared" si="74"/>
        <v>32000-0000</v>
      </c>
      <c r="D1179" s="64" t="s">
        <v>1558</v>
      </c>
      <c r="E1179" s="64" t="s">
        <v>234</v>
      </c>
      <c r="F1179" s="64" t="s">
        <v>230</v>
      </c>
      <c r="G1179" s="64" t="s">
        <v>142</v>
      </c>
      <c r="H1179" s="64" t="s">
        <v>149</v>
      </c>
      <c r="I1179" s="64" t="s">
        <v>235</v>
      </c>
      <c r="J1179" s="67">
        <v>0</v>
      </c>
      <c r="K1179" s="62">
        <v>115461.12</v>
      </c>
      <c r="L1179" s="33" t="e">
        <f>HLOOKUP(B1179,#REF!,1,0)</f>
        <v>#REF!</v>
      </c>
      <c r="M1179" s="33" t="str">
        <f t="shared" si="75"/>
        <v>BS</v>
      </c>
    </row>
    <row r="1180" spans="1:13" s="33" customFormat="true" ht="12.75" customHeight="true">
      <c r="A1180" s="33" t="str">
        <f t="shared" si="72"/>
        <v>LPI - Cash</v>
      </c>
      <c r="B1180" s="33" t="str">
        <f t="shared" si="73"/>
        <v>LPI</v>
      </c>
      <c r="C1180" s="33" t="str">
        <f t="shared" si="74"/>
        <v>10001-0000</v>
      </c>
      <c r="D1180" s="64" t="s">
        <v>1559</v>
      </c>
      <c r="E1180" s="64" t="s">
        <v>240</v>
      </c>
      <c r="F1180" s="64" t="s">
        <v>230</v>
      </c>
      <c r="G1180" s="64" t="s">
        <v>16</v>
      </c>
      <c r="H1180" s="64" t="s">
        <v>25</v>
      </c>
      <c r="I1180" s="64" t="s">
        <v>18</v>
      </c>
      <c r="J1180" s="67">
        <v>-5930.25</v>
      </c>
      <c r="K1180" s="62">
        <v>19187.21</v>
      </c>
      <c r="L1180" s="33" t="e">
        <f>HLOOKUP(B1180,#REF!,1,0)</f>
        <v>#REF!</v>
      </c>
      <c r="M1180" s="33" t="str">
        <f t="shared" si="75"/>
        <v>BS</v>
      </c>
    </row>
    <row r="1181" spans="1:13" s="33" customFormat="true" ht="12.75" customHeight="true">
      <c r="A1181" s="33" t="str">
        <f t="shared" si="72"/>
        <v>LPI - Intercompany D7</v>
      </c>
      <c r="B1181" s="33" t="str">
        <f t="shared" si="73"/>
        <v>LPI</v>
      </c>
      <c r="C1181" s="33" t="str">
        <f t="shared" si="74"/>
        <v>11214-0000</v>
      </c>
      <c r="D1181" s="64" t="s">
        <v>1560</v>
      </c>
      <c r="E1181" s="64" t="s">
        <v>1052</v>
      </c>
      <c r="F1181" s="64" t="s">
        <v>230</v>
      </c>
      <c r="G1181" s="64" t="s">
        <v>16</v>
      </c>
      <c r="H1181" s="64" t="s">
        <v>1053</v>
      </c>
      <c r="I1181" s="64" t="s">
        <v>40</v>
      </c>
      <c r="J1181" s="67">
        <v>0</v>
      </c>
      <c r="K1181" s="62">
        <v>-250000</v>
      </c>
      <c r="L1181" s="33" t="e">
        <f>HLOOKUP(B1181,#REF!,1,0)</f>
        <v>#REF!</v>
      </c>
      <c r="M1181" s="33" t="str">
        <f t="shared" si="75"/>
        <v>BS</v>
      </c>
    </row>
    <row r="1182" spans="1:13" s="33" customFormat="true" ht="12.75" customHeight="true">
      <c r="A1182" s="33" t="str">
        <f t="shared" si="72"/>
        <v>LPI - Intercompany</v>
      </c>
      <c r="B1182" s="33" t="str">
        <f t="shared" si="73"/>
        <v>LPI</v>
      </c>
      <c r="C1182" s="33" t="str">
        <f t="shared" si="74"/>
        <v>11216-0000</v>
      </c>
      <c r="D1182" s="64" t="s">
        <v>1561</v>
      </c>
      <c r="E1182" s="64" t="s">
        <v>242</v>
      </c>
      <c r="F1182" s="64" t="s">
        <v>230</v>
      </c>
      <c r="G1182" s="64" t="s">
        <v>16</v>
      </c>
      <c r="H1182" s="64" t="s">
        <v>39</v>
      </c>
      <c r="I1182" s="64" t="s">
        <v>40</v>
      </c>
      <c r="J1182" s="67">
        <v>509.64</v>
      </c>
      <c r="K1182" s="62">
        <v>-66156.62</v>
      </c>
      <c r="L1182" s="33" t="e">
        <f>HLOOKUP(B1182,#REF!,1,0)</f>
        <v>#REF!</v>
      </c>
      <c r="M1182" s="33" t="str">
        <f t="shared" si="75"/>
        <v>BS</v>
      </c>
    </row>
    <row r="1183" spans="1:13" s="33" customFormat="true" ht="12.75" customHeight="true">
      <c r="A1183" s="33" t="str">
        <f t="shared" si="72"/>
        <v>LPI - Intercompany</v>
      </c>
      <c r="B1183" s="33" t="str">
        <f t="shared" si="73"/>
        <v>LPI</v>
      </c>
      <c r="C1183" s="33" t="str">
        <f t="shared" si="74"/>
        <v>11309-0000</v>
      </c>
      <c r="D1183" s="64" t="s">
        <v>1562</v>
      </c>
      <c r="E1183" s="64" t="s">
        <v>254</v>
      </c>
      <c r="F1183" s="64" t="s">
        <v>230</v>
      </c>
      <c r="G1183" s="64" t="s">
        <v>16</v>
      </c>
      <c r="H1183" s="64" t="s">
        <v>39</v>
      </c>
      <c r="I1183" s="64" t="s">
        <v>40</v>
      </c>
      <c r="J1183" s="67">
        <v>0</v>
      </c>
      <c r="K1183" s="62">
        <v>-40000</v>
      </c>
      <c r="L1183" s="33" t="e">
        <f>HLOOKUP(B1183,#REF!,1,0)</f>
        <v>#REF!</v>
      </c>
      <c r="M1183" s="33" t="str">
        <f t="shared" si="75"/>
        <v>BS</v>
      </c>
    </row>
    <row r="1184" spans="1:13" s="33" customFormat="true" ht="12.75" customHeight="true">
      <c r="A1184" s="33" t="str">
        <f t="shared" si="72"/>
        <v>LPI - Intercompany</v>
      </c>
      <c r="B1184" s="33" t="str">
        <f t="shared" si="73"/>
        <v>LPI</v>
      </c>
      <c r="C1184" s="33" t="str">
        <f t="shared" si="74"/>
        <v>11311-0000</v>
      </c>
      <c r="D1184" s="64" t="s">
        <v>1563</v>
      </c>
      <c r="E1184" s="64" t="s">
        <v>258</v>
      </c>
      <c r="F1184" s="64" t="s">
        <v>230</v>
      </c>
      <c r="G1184" s="64" t="s">
        <v>16</v>
      </c>
      <c r="H1184" s="64" t="s">
        <v>39</v>
      </c>
      <c r="I1184" s="64" t="s">
        <v>40</v>
      </c>
      <c r="J1184" s="67">
        <v>0</v>
      </c>
      <c r="K1184" s="62">
        <v>-5000</v>
      </c>
      <c r="L1184" s="33" t="e">
        <f>HLOOKUP(B1184,#REF!,1,0)</f>
        <v>#REF!</v>
      </c>
      <c r="M1184" s="33" t="str">
        <f t="shared" si="75"/>
        <v>BS</v>
      </c>
    </row>
    <row r="1185" spans="1:13" s="33" customFormat="true" ht="12.75" customHeight="true">
      <c r="A1185" s="33" t="str">
        <f t="shared" si="72"/>
        <v>LPI - Intercompany</v>
      </c>
      <c r="B1185" s="33" t="str">
        <f t="shared" si="73"/>
        <v>LPI</v>
      </c>
      <c r="C1185" s="33" t="str">
        <f t="shared" si="74"/>
        <v>11402-0000</v>
      </c>
      <c r="D1185" s="64" t="s">
        <v>1564</v>
      </c>
      <c r="E1185" s="64" t="s">
        <v>662</v>
      </c>
      <c r="F1185" s="64" t="s">
        <v>230</v>
      </c>
      <c r="G1185" s="64" t="s">
        <v>16</v>
      </c>
      <c r="H1185" s="64" t="s">
        <v>39</v>
      </c>
      <c r="I1185" s="64" t="s">
        <v>40</v>
      </c>
      <c r="J1185" s="67">
        <v>0</v>
      </c>
      <c r="K1185" s="62">
        <v>25000</v>
      </c>
      <c r="L1185" s="33" t="e">
        <f>HLOOKUP(B1185,#REF!,1,0)</f>
        <v>#REF!</v>
      </c>
      <c r="M1185" s="33" t="str">
        <f t="shared" si="75"/>
        <v>BS</v>
      </c>
    </row>
    <row r="1186" spans="1:13" s="33" customFormat="true" ht="12.75" customHeight="true">
      <c r="A1186" s="33" t="str">
        <f t="shared" si="72"/>
        <v>LPI - AR-PPD</v>
      </c>
      <c r="B1186" s="33" t="str">
        <f t="shared" si="73"/>
        <v>LPI</v>
      </c>
      <c r="C1186" s="33" t="str">
        <f t="shared" si="74"/>
        <v>12200-0001</v>
      </c>
      <c r="D1186" s="64" t="s">
        <v>1565</v>
      </c>
      <c r="E1186" s="64" t="s">
        <v>1566</v>
      </c>
      <c r="F1186" s="64" t="s">
        <v>230</v>
      </c>
      <c r="G1186" s="64" t="s">
        <v>62</v>
      </c>
      <c r="H1186" s="64" t="s">
        <v>35</v>
      </c>
      <c r="I1186" s="64" t="s">
        <v>64</v>
      </c>
      <c r="J1186" s="67">
        <v>909.55</v>
      </c>
      <c r="K1186" s="62">
        <v>12578.6</v>
      </c>
      <c r="L1186" s="33" t="e">
        <f>HLOOKUP(B1186,#REF!,1,0)</f>
        <v>#REF!</v>
      </c>
      <c r="M1186" s="33" t="str">
        <f t="shared" si="75"/>
        <v>BS</v>
      </c>
    </row>
    <row r="1187" spans="1:13" s="33" customFormat="true" ht="12.75" customHeight="true">
      <c r="A1187" s="33" t="str">
        <f t="shared" si="72"/>
        <v>LPI - AR-PPD</v>
      </c>
      <c r="B1187" s="33" t="str">
        <f t="shared" si="73"/>
        <v>LPI</v>
      </c>
      <c r="C1187" s="33" t="str">
        <f t="shared" si="74"/>
        <v>12200-0002</v>
      </c>
      <c r="D1187" s="64" t="s">
        <v>1567</v>
      </c>
      <c r="E1187" s="64" t="s">
        <v>1568</v>
      </c>
      <c r="F1187" s="64" t="s">
        <v>230</v>
      </c>
      <c r="G1187" s="64" t="s">
        <v>62</v>
      </c>
      <c r="H1187" s="64" t="s">
        <v>35</v>
      </c>
      <c r="I1187" s="64" t="s">
        <v>64</v>
      </c>
      <c r="J1187" s="67">
        <v>388.08</v>
      </c>
      <c r="K1187" s="62">
        <v>5339.87</v>
      </c>
      <c r="L1187" s="33" t="e">
        <f>HLOOKUP(B1187,#REF!,1,0)</f>
        <v>#REF!</v>
      </c>
      <c r="M1187" s="33" t="str">
        <f t="shared" si="75"/>
        <v>BS</v>
      </c>
    </row>
    <row r="1188" spans="1:13" s="33" customFormat="true" ht="12.75" customHeight="true">
      <c r="A1188" s="33" t="str">
        <f t="shared" si="72"/>
        <v>LPI - AR-PPD</v>
      </c>
      <c r="B1188" s="33" t="str">
        <f t="shared" si="73"/>
        <v>LPI</v>
      </c>
      <c r="C1188" s="33" t="str">
        <f t="shared" si="74"/>
        <v>12200-0003</v>
      </c>
      <c r="D1188" s="64" t="s">
        <v>1569</v>
      </c>
      <c r="E1188" s="64" t="s">
        <v>1570</v>
      </c>
      <c r="F1188" s="64" t="s">
        <v>230</v>
      </c>
      <c r="G1188" s="64" t="s">
        <v>62</v>
      </c>
      <c r="H1188" s="64" t="s">
        <v>35</v>
      </c>
      <c r="I1188" s="64" t="s">
        <v>64</v>
      </c>
      <c r="J1188" s="67">
        <v>532.23</v>
      </c>
      <c r="K1188" s="62">
        <v>9411.6</v>
      </c>
      <c r="L1188" s="33" t="e">
        <f>HLOOKUP(B1188,#REF!,1,0)</f>
        <v>#REF!</v>
      </c>
      <c r="M1188" s="33" t="str">
        <f t="shared" si="75"/>
        <v>BS</v>
      </c>
    </row>
    <row r="1189" spans="1:13" s="33" customFormat="true" ht="12.75" customHeight="true">
      <c r="A1189" s="33" t="str">
        <f t="shared" si="72"/>
        <v>LPI - AR-PPD</v>
      </c>
      <c r="B1189" s="33" t="str">
        <f t="shared" si="73"/>
        <v>LPI</v>
      </c>
      <c r="C1189" s="33" t="str">
        <f t="shared" si="74"/>
        <v>12200-0004</v>
      </c>
      <c r="D1189" s="64" t="s">
        <v>1571</v>
      </c>
      <c r="E1189" s="64" t="s">
        <v>1572</v>
      </c>
      <c r="F1189" s="64" t="s">
        <v>230</v>
      </c>
      <c r="G1189" s="64" t="s">
        <v>62</v>
      </c>
      <c r="H1189" s="64" t="s">
        <v>35</v>
      </c>
      <c r="I1189" s="64" t="s">
        <v>64</v>
      </c>
      <c r="J1189" s="67">
        <v>508.56</v>
      </c>
      <c r="K1189" s="62">
        <v>7569.17</v>
      </c>
      <c r="L1189" s="33" t="e">
        <f>HLOOKUP(B1189,#REF!,1,0)</f>
        <v>#REF!</v>
      </c>
      <c r="M1189" s="33" t="str">
        <f t="shared" si="75"/>
        <v>BS</v>
      </c>
    </row>
    <row r="1190" spans="1:13" s="33" customFormat="true" ht="12.75" customHeight="true">
      <c r="A1190" s="33" t="str">
        <f t="shared" si="72"/>
        <v>LPI - AR-PPD</v>
      </c>
      <c r="B1190" s="33" t="str">
        <f t="shared" si="73"/>
        <v>LPI</v>
      </c>
      <c r="C1190" s="33" t="str">
        <f t="shared" si="74"/>
        <v>12200-0005</v>
      </c>
      <c r="D1190" s="64" t="s">
        <v>1573</v>
      </c>
      <c r="E1190" s="64" t="s">
        <v>1574</v>
      </c>
      <c r="F1190" s="64" t="s">
        <v>230</v>
      </c>
      <c r="G1190" s="64" t="s">
        <v>62</v>
      </c>
      <c r="H1190" s="64" t="s">
        <v>35</v>
      </c>
      <c r="I1190" s="64" t="s">
        <v>64</v>
      </c>
      <c r="J1190" s="67">
        <v>590.37</v>
      </c>
      <c r="K1190" s="62">
        <v>11701.96</v>
      </c>
      <c r="L1190" s="33" t="e">
        <f>HLOOKUP(B1190,#REF!,1,0)</f>
        <v>#REF!</v>
      </c>
      <c r="M1190" s="33" t="str">
        <f t="shared" si="75"/>
        <v>BS</v>
      </c>
    </row>
    <row r="1191" spans="1:13" s="33" customFormat="true" ht="12.75" customHeight="true">
      <c r="A1191" s="33" t="str">
        <f t="shared" si="72"/>
        <v>LPI - Fixed Assets</v>
      </c>
      <c r="B1191" s="33" t="str">
        <f t="shared" si="73"/>
        <v>LPI</v>
      </c>
      <c r="C1191" s="33" t="str">
        <f t="shared" si="74"/>
        <v>14000-0001</v>
      </c>
      <c r="D1191" s="64" t="s">
        <v>1575</v>
      </c>
      <c r="E1191" s="64" t="s">
        <v>1576</v>
      </c>
      <c r="F1191" s="64" t="s">
        <v>230</v>
      </c>
      <c r="G1191" s="64" t="s">
        <v>62</v>
      </c>
      <c r="H1191" s="64" t="s">
        <v>63</v>
      </c>
      <c r="I1191" s="64" t="s">
        <v>64</v>
      </c>
      <c r="J1191" s="67">
        <v>0</v>
      </c>
      <c r="K1191" s="62">
        <v>265000</v>
      </c>
      <c r="L1191" s="33" t="e">
        <f>HLOOKUP(B1191,#REF!,1,0)</f>
        <v>#REF!</v>
      </c>
      <c r="M1191" s="33" t="str">
        <f t="shared" si="75"/>
        <v>BS</v>
      </c>
    </row>
    <row r="1192" spans="1:13" s="33" customFormat="true" ht="12.75" customHeight="true">
      <c r="A1192" s="33" t="str">
        <f t="shared" si="72"/>
        <v>LPI - Fixed Assets</v>
      </c>
      <c r="B1192" s="33" t="str">
        <f t="shared" si="73"/>
        <v>LPI</v>
      </c>
      <c r="C1192" s="33" t="str">
        <f t="shared" si="74"/>
        <v>14000-0002</v>
      </c>
      <c r="D1192" s="64" t="s">
        <v>1577</v>
      </c>
      <c r="E1192" s="64" t="s">
        <v>1578</v>
      </c>
      <c r="F1192" s="64" t="s">
        <v>230</v>
      </c>
      <c r="G1192" s="64" t="s">
        <v>62</v>
      </c>
      <c r="H1192" s="64" t="s">
        <v>63</v>
      </c>
      <c r="I1192" s="64" t="s">
        <v>64</v>
      </c>
      <c r="J1192" s="67">
        <v>0</v>
      </c>
      <c r="K1192" s="62">
        <v>132000</v>
      </c>
      <c r="L1192" s="33" t="e">
        <f>HLOOKUP(B1192,#REF!,1,0)</f>
        <v>#REF!</v>
      </c>
      <c r="M1192" s="33" t="str">
        <f t="shared" si="75"/>
        <v>BS</v>
      </c>
    </row>
    <row r="1193" spans="1:13" s="33" customFormat="true" ht="12.75" customHeight="true">
      <c r="A1193" s="33" t="str">
        <f t="shared" si="72"/>
        <v>LPI - Fixed Assets</v>
      </c>
      <c r="B1193" s="33" t="str">
        <f t="shared" si="73"/>
        <v>LPI</v>
      </c>
      <c r="C1193" s="33" t="str">
        <f t="shared" si="74"/>
        <v>14000-0003</v>
      </c>
      <c r="D1193" s="64" t="s">
        <v>1579</v>
      </c>
      <c r="E1193" s="64" t="s">
        <v>1580</v>
      </c>
      <c r="F1193" s="64" t="s">
        <v>230</v>
      </c>
      <c r="G1193" s="64" t="s">
        <v>62</v>
      </c>
      <c r="H1193" s="64" t="s">
        <v>63</v>
      </c>
      <c r="I1193" s="64" t="s">
        <v>64</v>
      </c>
      <c r="J1193" s="67">
        <v>0</v>
      </c>
      <c r="K1193" s="62">
        <v>138000</v>
      </c>
      <c r="L1193" s="33" t="e">
        <f>HLOOKUP(B1193,#REF!,1,0)</f>
        <v>#REF!</v>
      </c>
      <c r="M1193" s="33" t="str">
        <f t="shared" si="75"/>
        <v>BS</v>
      </c>
    </row>
    <row r="1194" spans="1:13" s="33" customFormat="true" ht="12.75" customHeight="true">
      <c r="A1194" s="33" t="str">
        <f t="shared" si="72"/>
        <v>LPI - Fixed Assets</v>
      </c>
      <c r="B1194" s="33" t="str">
        <f t="shared" si="73"/>
        <v>LPI</v>
      </c>
      <c r="C1194" s="33" t="str">
        <f t="shared" si="74"/>
        <v>14000-0004</v>
      </c>
      <c r="D1194" s="64" t="s">
        <v>1581</v>
      </c>
      <c r="E1194" s="64" t="s">
        <v>1582</v>
      </c>
      <c r="F1194" s="64" t="s">
        <v>230</v>
      </c>
      <c r="G1194" s="64" t="s">
        <v>62</v>
      </c>
      <c r="H1194" s="64" t="s">
        <v>63</v>
      </c>
      <c r="I1194" s="64" t="s">
        <v>64</v>
      </c>
      <c r="J1194" s="67">
        <v>0</v>
      </c>
      <c r="K1194" s="62">
        <v>171600</v>
      </c>
      <c r="L1194" s="33" t="e">
        <f>HLOOKUP(B1194,#REF!,1,0)</f>
        <v>#REF!</v>
      </c>
      <c r="M1194" s="33" t="str">
        <f t="shared" si="75"/>
        <v>BS</v>
      </c>
    </row>
    <row r="1195" spans="1:13" s="33" customFormat="true" ht="12.75" customHeight="true">
      <c r="A1195" s="33" t="str">
        <f t="shared" si="72"/>
        <v>LPI - Fixed Assets</v>
      </c>
      <c r="B1195" s="33" t="str">
        <f t="shared" si="73"/>
        <v>LPI</v>
      </c>
      <c r="C1195" s="33" t="str">
        <f t="shared" si="74"/>
        <v>14000-0005</v>
      </c>
      <c r="D1195" s="64" t="s">
        <v>1583</v>
      </c>
      <c r="E1195" s="64" t="s">
        <v>1584</v>
      </c>
      <c r="F1195" s="64" t="s">
        <v>230</v>
      </c>
      <c r="G1195" s="64" t="s">
        <v>62</v>
      </c>
      <c r="H1195" s="64" t="s">
        <v>63</v>
      </c>
      <c r="I1195" s="64" t="s">
        <v>64</v>
      </c>
      <c r="J1195" s="67">
        <v>0</v>
      </c>
      <c r="K1195" s="62">
        <v>116800</v>
      </c>
      <c r="L1195" s="33" t="e">
        <f>HLOOKUP(B1195,#REF!,1,0)</f>
        <v>#REF!</v>
      </c>
      <c r="M1195" s="33" t="str">
        <f t="shared" si="75"/>
        <v>BS</v>
      </c>
    </row>
    <row r="1196" spans="1:13" s="33" customFormat="true" ht="12.75" customHeight="true">
      <c r="A1196" s="33" t="str">
        <f t="shared" si="72"/>
        <v>LPI - Fixed Assets</v>
      </c>
      <c r="B1196" s="33" t="str">
        <f t="shared" si="73"/>
        <v>LPI</v>
      </c>
      <c r="C1196" s="33" t="str">
        <f t="shared" si="74"/>
        <v>15000-0001</v>
      </c>
      <c r="D1196" s="64" t="s">
        <v>1585</v>
      </c>
      <c r="E1196" s="64" t="s">
        <v>1586</v>
      </c>
      <c r="F1196" s="64" t="s">
        <v>230</v>
      </c>
      <c r="G1196" s="64" t="s">
        <v>62</v>
      </c>
      <c r="H1196" s="64" t="s">
        <v>63</v>
      </c>
      <c r="I1196" s="64" t="s">
        <v>64</v>
      </c>
      <c r="J1196" s="67">
        <v>0</v>
      </c>
      <c r="K1196" s="62">
        <v>396018</v>
      </c>
      <c r="L1196" s="33" t="e">
        <f>HLOOKUP(B1196,#REF!,1,0)</f>
        <v>#REF!</v>
      </c>
      <c r="M1196" s="33" t="str">
        <f t="shared" si="75"/>
        <v>BS</v>
      </c>
    </row>
    <row r="1197" spans="1:13" s="33" customFormat="true" ht="12.75" customHeight="true">
      <c r="A1197" s="33" t="str">
        <f t="shared" si="72"/>
        <v>LPI - Fixed Assets</v>
      </c>
      <c r="B1197" s="33" t="str">
        <f t="shared" si="73"/>
        <v>LPI</v>
      </c>
      <c r="C1197" s="33" t="str">
        <f t="shared" si="74"/>
        <v>15000-0002</v>
      </c>
      <c r="D1197" s="64" t="s">
        <v>1587</v>
      </c>
      <c r="E1197" s="64" t="s">
        <v>1588</v>
      </c>
      <c r="F1197" s="64" t="s">
        <v>230</v>
      </c>
      <c r="G1197" s="64" t="s">
        <v>62</v>
      </c>
      <c r="H1197" s="64" t="s">
        <v>63</v>
      </c>
      <c r="I1197" s="64" t="s">
        <v>64</v>
      </c>
      <c r="J1197" s="67">
        <v>0</v>
      </c>
      <c r="K1197" s="62">
        <v>209148.77</v>
      </c>
      <c r="L1197" s="33" t="e">
        <f>HLOOKUP(B1197,#REF!,1,0)</f>
        <v>#REF!</v>
      </c>
      <c r="M1197" s="33" t="str">
        <f t="shared" si="75"/>
        <v>BS</v>
      </c>
    </row>
    <row r="1198" spans="1:13" s="33" customFormat="true" ht="12.75" customHeight="true">
      <c r="A1198" s="33" t="str">
        <f t="shared" si="72"/>
        <v>LPI - Fixed Assets</v>
      </c>
      <c r="B1198" s="33" t="str">
        <f t="shared" si="73"/>
        <v>LPI</v>
      </c>
      <c r="C1198" s="33" t="str">
        <f t="shared" si="74"/>
        <v>15000-0003</v>
      </c>
      <c r="D1198" s="64" t="s">
        <v>1589</v>
      </c>
      <c r="E1198" s="64" t="s">
        <v>1590</v>
      </c>
      <c r="F1198" s="64" t="s">
        <v>230</v>
      </c>
      <c r="G1198" s="64" t="s">
        <v>62</v>
      </c>
      <c r="H1198" s="64" t="s">
        <v>63</v>
      </c>
      <c r="I1198" s="64" t="s">
        <v>64</v>
      </c>
      <c r="J1198" s="67">
        <v>0</v>
      </c>
      <c r="K1198" s="62">
        <v>236156</v>
      </c>
      <c r="L1198" s="33" t="e">
        <f>HLOOKUP(B1198,#REF!,1,0)</f>
        <v>#REF!</v>
      </c>
      <c r="M1198" s="33" t="str">
        <f t="shared" si="75"/>
        <v>BS</v>
      </c>
    </row>
    <row r="1199" spans="1:13" s="33" customFormat="true" ht="12.75" customHeight="true">
      <c r="A1199" s="33" t="str">
        <f t="shared" si="72"/>
        <v>LPI - Fixed Assets</v>
      </c>
      <c r="B1199" s="33" t="str">
        <f t="shared" si="73"/>
        <v>LPI</v>
      </c>
      <c r="C1199" s="33" t="str">
        <f t="shared" si="74"/>
        <v>15000-0004</v>
      </c>
      <c r="D1199" s="64" t="s">
        <v>1591</v>
      </c>
      <c r="E1199" s="64" t="s">
        <v>1592</v>
      </c>
      <c r="F1199" s="64" t="s">
        <v>230</v>
      </c>
      <c r="G1199" s="64" t="s">
        <v>62</v>
      </c>
      <c r="H1199" s="64" t="s">
        <v>63</v>
      </c>
      <c r="I1199" s="64" t="s">
        <v>64</v>
      </c>
      <c r="J1199" s="67">
        <v>0</v>
      </c>
      <c r="K1199" s="62">
        <v>258807</v>
      </c>
      <c r="L1199" s="33" t="e">
        <f>HLOOKUP(B1199,#REF!,1,0)</f>
        <v>#REF!</v>
      </c>
      <c r="M1199" s="33" t="str">
        <f t="shared" si="75"/>
        <v>BS</v>
      </c>
    </row>
    <row r="1200" spans="1:13" s="33" customFormat="true" ht="12.75" customHeight="true">
      <c r="A1200" s="33" t="str">
        <f t="shared" si="72"/>
        <v>LPI - Fixed Assets</v>
      </c>
      <c r="B1200" s="33" t="str">
        <f t="shared" si="73"/>
        <v>LPI</v>
      </c>
      <c r="C1200" s="33" t="str">
        <f t="shared" si="74"/>
        <v>15000-0005</v>
      </c>
      <c r="D1200" s="64" t="s">
        <v>1593</v>
      </c>
      <c r="E1200" s="64" t="s">
        <v>1594</v>
      </c>
      <c r="F1200" s="64" t="s">
        <v>230</v>
      </c>
      <c r="G1200" s="64" t="s">
        <v>62</v>
      </c>
      <c r="H1200" s="64" t="s">
        <v>63</v>
      </c>
      <c r="I1200" s="64" t="s">
        <v>64</v>
      </c>
      <c r="J1200" s="67">
        <v>0</v>
      </c>
      <c r="K1200" s="62">
        <v>176292.57</v>
      </c>
      <c r="L1200" s="33" t="e">
        <f>HLOOKUP(B1200,#REF!,1,0)</f>
        <v>#REF!</v>
      </c>
      <c r="M1200" s="33" t="str">
        <f t="shared" si="75"/>
        <v>BS</v>
      </c>
    </row>
    <row r="1201" spans="1:13" s="33" customFormat="true" ht="12.75" customHeight="true">
      <c r="A1201" s="33" t="str">
        <f t="shared" si="72"/>
        <v>LPI - Fixed Assets</v>
      </c>
      <c r="B1201" s="33" t="str">
        <f t="shared" si="73"/>
        <v>LPI</v>
      </c>
      <c r="C1201" s="33" t="str">
        <f t="shared" si="74"/>
        <v>15500-0001</v>
      </c>
      <c r="D1201" s="64" t="s">
        <v>1595</v>
      </c>
      <c r="E1201" s="64" t="s">
        <v>302</v>
      </c>
      <c r="F1201" s="64" t="s">
        <v>230</v>
      </c>
      <c r="G1201" s="64" t="s">
        <v>62</v>
      </c>
      <c r="H1201" s="64" t="s">
        <v>63</v>
      </c>
      <c r="I1201" s="64" t="s">
        <v>64</v>
      </c>
      <c r="J1201" s="67">
        <v>0</v>
      </c>
      <c r="K1201" s="62">
        <v>3100</v>
      </c>
      <c r="L1201" s="33" t="e">
        <f>HLOOKUP(B1201,#REF!,1,0)</f>
        <v>#REF!</v>
      </c>
      <c r="M1201" s="33" t="str">
        <f t="shared" si="75"/>
        <v>BS</v>
      </c>
    </row>
    <row r="1202" spans="1:13" s="33" customFormat="true" ht="12.75" customHeight="true">
      <c r="A1202" s="33" t="str">
        <f t="shared" si="72"/>
        <v>LPI - Fixed Assets</v>
      </c>
      <c r="B1202" s="33" t="str">
        <f t="shared" si="73"/>
        <v>LPI</v>
      </c>
      <c r="C1202" s="33" t="str">
        <f t="shared" si="74"/>
        <v>15500-0002</v>
      </c>
      <c r="D1202" s="64" t="s">
        <v>1596</v>
      </c>
      <c r="E1202" s="64" t="s">
        <v>302</v>
      </c>
      <c r="F1202" s="64" t="s">
        <v>230</v>
      </c>
      <c r="G1202" s="64" t="s">
        <v>62</v>
      </c>
      <c r="H1202" s="64" t="s">
        <v>63</v>
      </c>
      <c r="I1202" s="64" t="s">
        <v>64</v>
      </c>
      <c r="J1202" s="67">
        <v>0</v>
      </c>
      <c r="K1202" s="62">
        <v>5950</v>
      </c>
      <c r="L1202" s="33" t="e">
        <f>HLOOKUP(B1202,#REF!,1,0)</f>
        <v>#REF!</v>
      </c>
      <c r="M1202" s="33" t="str">
        <f t="shared" si="75"/>
        <v>BS</v>
      </c>
    </row>
    <row r="1203" spans="1:13" s="33" customFormat="true" ht="12.75" customHeight="true">
      <c r="A1203" s="33" t="str">
        <f t="shared" si="72"/>
        <v>LPI - Fixed Assets</v>
      </c>
      <c r="B1203" s="33" t="str">
        <f t="shared" si="73"/>
        <v>LPI</v>
      </c>
      <c r="C1203" s="33" t="str">
        <f t="shared" si="74"/>
        <v>15500-0003</v>
      </c>
      <c r="D1203" s="64" t="s">
        <v>1597</v>
      </c>
      <c r="E1203" s="64" t="s">
        <v>302</v>
      </c>
      <c r="F1203" s="64" t="s">
        <v>230</v>
      </c>
      <c r="G1203" s="64" t="s">
        <v>62</v>
      </c>
      <c r="H1203" s="64" t="s">
        <v>63</v>
      </c>
      <c r="I1203" s="64" t="s">
        <v>64</v>
      </c>
      <c r="J1203" s="67">
        <v>0</v>
      </c>
      <c r="K1203" s="62">
        <v>29150</v>
      </c>
      <c r="L1203" s="33" t="e">
        <f>HLOOKUP(B1203,#REF!,1,0)</f>
        <v>#REF!</v>
      </c>
      <c r="M1203" s="33" t="str">
        <f t="shared" si="75"/>
        <v>BS</v>
      </c>
    </row>
    <row r="1204" spans="1:13" s="33" customFormat="true" ht="12.75" customHeight="true">
      <c r="A1204" s="33" t="str">
        <f t="shared" si="72"/>
        <v>LPI - Fixed Assets</v>
      </c>
      <c r="B1204" s="33" t="str">
        <f t="shared" si="73"/>
        <v>LPI</v>
      </c>
      <c r="C1204" s="33" t="str">
        <f t="shared" si="74"/>
        <v>15500-0004</v>
      </c>
      <c r="D1204" s="64" t="s">
        <v>1598</v>
      </c>
      <c r="E1204" s="64" t="s">
        <v>302</v>
      </c>
      <c r="F1204" s="64" t="s">
        <v>230</v>
      </c>
      <c r="G1204" s="64" t="s">
        <v>62</v>
      </c>
      <c r="H1204" s="64" t="s">
        <v>63</v>
      </c>
      <c r="I1204" s="64" t="s">
        <v>64</v>
      </c>
      <c r="J1204" s="67">
        <v>0</v>
      </c>
      <c r="K1204" s="62">
        <v>37561.09</v>
      </c>
      <c r="L1204" s="33" t="e">
        <f>HLOOKUP(B1204,#REF!,1,0)</f>
        <v>#REF!</v>
      </c>
      <c r="M1204" s="33" t="str">
        <f t="shared" si="75"/>
        <v>BS</v>
      </c>
    </row>
    <row r="1205" spans="1:13" s="33" customFormat="true" ht="12.75" customHeight="true">
      <c r="A1205" s="33" t="str">
        <f t="shared" si="72"/>
        <v>LPI - Fixed Assets</v>
      </c>
      <c r="B1205" s="33" t="str">
        <f t="shared" si="73"/>
        <v>LPI</v>
      </c>
      <c r="C1205" s="33" t="str">
        <f t="shared" si="74"/>
        <v>15500-0005</v>
      </c>
      <c r="D1205" s="64" t="s">
        <v>1599</v>
      </c>
      <c r="E1205" s="64" t="s">
        <v>302</v>
      </c>
      <c r="F1205" s="64" t="s">
        <v>230</v>
      </c>
      <c r="G1205" s="64" t="s">
        <v>62</v>
      </c>
      <c r="H1205" s="64" t="s">
        <v>63</v>
      </c>
      <c r="I1205" s="64" t="s">
        <v>64</v>
      </c>
      <c r="J1205" s="67">
        <v>0</v>
      </c>
      <c r="K1205" s="62">
        <v>4575</v>
      </c>
      <c r="L1205" s="33" t="e">
        <f>HLOOKUP(B1205,#REF!,1,0)</f>
        <v>#REF!</v>
      </c>
      <c r="M1205" s="33" t="str">
        <f t="shared" si="75"/>
        <v>BS</v>
      </c>
    </row>
    <row r="1206" spans="1:13" s="33" customFormat="true" ht="12.75" customHeight="true">
      <c r="A1206" s="33" t="str">
        <f t="shared" si="72"/>
        <v>LPI - Fixed Assets</v>
      </c>
      <c r="B1206" s="33" t="str">
        <f t="shared" si="73"/>
        <v>LPI</v>
      </c>
      <c r="C1206" s="33" t="str">
        <f t="shared" si="74"/>
        <v>16000-0000</v>
      </c>
      <c r="D1206" s="64" t="s">
        <v>1600</v>
      </c>
      <c r="E1206" s="64" t="s">
        <v>304</v>
      </c>
      <c r="F1206" s="64" t="s">
        <v>230</v>
      </c>
      <c r="G1206" s="64" t="s">
        <v>16</v>
      </c>
      <c r="H1206" s="64" t="s">
        <v>63</v>
      </c>
      <c r="I1206" s="64" t="s">
        <v>18</v>
      </c>
      <c r="J1206" s="67">
        <v>0</v>
      </c>
      <c r="K1206" s="62">
        <v>64289.83</v>
      </c>
      <c r="L1206" s="33" t="e">
        <f>HLOOKUP(B1206,#REF!,1,0)</f>
        <v>#REF!</v>
      </c>
      <c r="M1206" s="33" t="str">
        <f t="shared" si="75"/>
        <v>BS</v>
      </c>
    </row>
    <row r="1207" spans="1:13" s="33" customFormat="true" ht="12.75" customHeight="true">
      <c r="A1207" s="33" t="str">
        <f t="shared" si="72"/>
        <v>LPI - Fixed Assets</v>
      </c>
      <c r="B1207" s="33" t="str">
        <f t="shared" si="73"/>
        <v>LPI</v>
      </c>
      <c r="C1207" s="33" t="str">
        <f t="shared" si="74"/>
        <v>17000-0000</v>
      </c>
      <c r="D1207" s="64" t="s">
        <v>1601</v>
      </c>
      <c r="E1207" s="64" t="s">
        <v>306</v>
      </c>
      <c r="F1207" s="64" t="s">
        <v>230</v>
      </c>
      <c r="G1207" s="64" t="s">
        <v>62</v>
      </c>
      <c r="H1207" s="64" t="s">
        <v>63</v>
      </c>
      <c r="I1207" s="64" t="s">
        <v>64</v>
      </c>
      <c r="J1207" s="67">
        <v>0</v>
      </c>
      <c r="K1207" s="62">
        <v>-1368</v>
      </c>
      <c r="L1207" s="33" t="e">
        <f>HLOOKUP(B1207,#REF!,1,0)</f>
        <v>#REF!</v>
      </c>
      <c r="M1207" s="33" t="str">
        <f t="shared" si="75"/>
        <v>BS</v>
      </c>
    </row>
    <row r="1208" spans="1:13" s="33" customFormat="true" ht="12.75" customHeight="true">
      <c r="A1208" s="33" t="str">
        <f t="shared" si="72"/>
        <v>LPI - Fixed Assets</v>
      </c>
      <c r="B1208" s="33" t="str">
        <f t="shared" si="73"/>
        <v>LPI</v>
      </c>
      <c r="C1208" s="33" t="str">
        <f t="shared" si="74"/>
        <v>17000-0001</v>
      </c>
      <c r="D1208" s="64" t="s">
        <v>1602</v>
      </c>
      <c r="E1208" s="64" t="s">
        <v>306</v>
      </c>
      <c r="F1208" s="64" t="s">
        <v>230</v>
      </c>
      <c r="G1208" s="64" t="s">
        <v>62</v>
      </c>
      <c r="H1208" s="64" t="s">
        <v>63</v>
      </c>
      <c r="I1208" s="64" t="s">
        <v>64</v>
      </c>
      <c r="J1208" s="67">
        <v>0</v>
      </c>
      <c r="K1208" s="62">
        <v>-109047</v>
      </c>
      <c r="L1208" s="33" t="e">
        <f>HLOOKUP(B1208,#REF!,1,0)</f>
        <v>#REF!</v>
      </c>
      <c r="M1208" s="33" t="str">
        <f t="shared" si="75"/>
        <v>BS</v>
      </c>
    </row>
    <row r="1209" spans="1:13" s="33" customFormat="true" ht="12.75" customHeight="true">
      <c r="A1209" s="33" t="str">
        <f t="shared" si="72"/>
        <v>LPI - Fixed Assets</v>
      </c>
      <c r="B1209" s="33" t="str">
        <f t="shared" si="73"/>
        <v>LPI</v>
      </c>
      <c r="C1209" s="33" t="str">
        <f t="shared" si="74"/>
        <v>17000-0002</v>
      </c>
      <c r="D1209" s="64" t="s">
        <v>1603</v>
      </c>
      <c r="E1209" s="64" t="s">
        <v>306</v>
      </c>
      <c r="F1209" s="64" t="s">
        <v>230</v>
      </c>
      <c r="G1209" s="64" t="s">
        <v>62</v>
      </c>
      <c r="H1209" s="64" t="s">
        <v>63</v>
      </c>
      <c r="I1209" s="64" t="s">
        <v>64</v>
      </c>
      <c r="J1209" s="67">
        <v>0</v>
      </c>
      <c r="K1209" s="62">
        <v>-54804</v>
      </c>
      <c r="L1209" s="33" t="e">
        <f>HLOOKUP(B1209,#REF!,1,0)</f>
        <v>#REF!</v>
      </c>
      <c r="M1209" s="33" t="str">
        <f t="shared" si="75"/>
        <v>BS</v>
      </c>
    </row>
    <row r="1210" spans="1:13" s="33" customFormat="true" ht="12.75" customHeight="true">
      <c r="A1210" s="33" t="str">
        <f t="shared" si="72"/>
        <v>LPI - Fixed Assets</v>
      </c>
      <c r="B1210" s="33" t="str">
        <f t="shared" si="73"/>
        <v>LPI</v>
      </c>
      <c r="C1210" s="33" t="str">
        <f t="shared" si="74"/>
        <v>17000-0003</v>
      </c>
      <c r="D1210" s="64" t="s">
        <v>1604</v>
      </c>
      <c r="E1210" s="64" t="s">
        <v>306</v>
      </c>
      <c r="F1210" s="64" t="s">
        <v>230</v>
      </c>
      <c r="G1210" s="64" t="s">
        <v>62</v>
      </c>
      <c r="H1210" s="64" t="s">
        <v>63</v>
      </c>
      <c r="I1210" s="64" t="s">
        <v>64</v>
      </c>
      <c r="J1210" s="67">
        <v>0</v>
      </c>
      <c r="K1210" s="62">
        <v>-66731</v>
      </c>
      <c r="L1210" s="33" t="e">
        <f>HLOOKUP(B1210,#REF!,1,0)</f>
        <v>#REF!</v>
      </c>
      <c r="M1210" s="33" t="str">
        <f t="shared" si="75"/>
        <v>BS</v>
      </c>
    </row>
    <row r="1211" spans="1:13" s="33" customFormat="true" ht="12.75" customHeight="true">
      <c r="A1211" s="33" t="str">
        <f t="shared" si="72"/>
        <v>LPI - Fixed Assets</v>
      </c>
      <c r="B1211" s="33" t="str">
        <f t="shared" si="73"/>
        <v>LPI</v>
      </c>
      <c r="C1211" s="33" t="str">
        <f t="shared" si="74"/>
        <v>17000-0004</v>
      </c>
      <c r="D1211" s="64" t="s">
        <v>1605</v>
      </c>
      <c r="E1211" s="64" t="s">
        <v>306</v>
      </c>
      <c r="F1211" s="64" t="s">
        <v>230</v>
      </c>
      <c r="G1211" s="64" t="s">
        <v>62</v>
      </c>
      <c r="H1211" s="64" t="s">
        <v>63</v>
      </c>
      <c r="I1211" s="64" t="s">
        <v>64</v>
      </c>
      <c r="J1211" s="67">
        <v>0</v>
      </c>
      <c r="K1211" s="62">
        <v>-65091</v>
      </c>
      <c r="L1211" s="33" t="e">
        <f>HLOOKUP(B1211,#REF!,1,0)</f>
        <v>#REF!</v>
      </c>
      <c r="M1211" s="33" t="str">
        <f t="shared" si="75"/>
        <v>BS</v>
      </c>
    </row>
    <row r="1212" spans="1:13" s="33" customFormat="true" ht="12.75" customHeight="true">
      <c r="A1212" s="33" t="str">
        <f t="shared" si="72"/>
        <v>LPI - Fixed Assets</v>
      </c>
      <c r="B1212" s="33" t="str">
        <f t="shared" si="73"/>
        <v>LPI</v>
      </c>
      <c r="C1212" s="33" t="str">
        <f t="shared" si="74"/>
        <v>17000-0005</v>
      </c>
      <c r="D1212" s="64" t="s">
        <v>1606</v>
      </c>
      <c r="E1212" s="64" t="s">
        <v>306</v>
      </c>
      <c r="F1212" s="64" t="s">
        <v>230</v>
      </c>
      <c r="G1212" s="64" t="s">
        <v>62</v>
      </c>
      <c r="H1212" s="64" t="s">
        <v>63</v>
      </c>
      <c r="I1212" s="64" t="s">
        <v>64</v>
      </c>
      <c r="J1212" s="67">
        <v>0</v>
      </c>
      <c r="K1212" s="62">
        <v>-38488</v>
      </c>
      <c r="L1212" s="33" t="e">
        <f>HLOOKUP(B1212,#REF!,1,0)</f>
        <v>#REF!</v>
      </c>
      <c r="M1212" s="33" t="str">
        <f t="shared" si="75"/>
        <v>BS</v>
      </c>
    </row>
    <row r="1213" spans="1:13" s="33" customFormat="true" ht="12.75" customHeight="true">
      <c r="A1213" s="33" t="str">
        <f t="shared" si="72"/>
        <v>LPI - Fixed Assets</v>
      </c>
      <c r="B1213" s="33" t="str">
        <f t="shared" si="73"/>
        <v>LPI</v>
      </c>
      <c r="C1213" s="33" t="str">
        <f t="shared" si="74"/>
        <v>18000-0000</v>
      </c>
      <c r="D1213" s="64" t="s">
        <v>1607</v>
      </c>
      <c r="E1213" s="64" t="s">
        <v>308</v>
      </c>
      <c r="F1213" s="64" t="s">
        <v>230</v>
      </c>
      <c r="G1213" s="64" t="s">
        <v>62</v>
      </c>
      <c r="H1213" s="64" t="s">
        <v>63</v>
      </c>
      <c r="I1213" s="64" t="s">
        <v>64</v>
      </c>
      <c r="J1213" s="67">
        <v>0</v>
      </c>
      <c r="K1213" s="62">
        <v>-21151</v>
      </c>
      <c r="L1213" s="33" t="e">
        <f>HLOOKUP(B1213,#REF!,1,0)</f>
        <v>#REF!</v>
      </c>
      <c r="M1213" s="33" t="str">
        <f t="shared" si="75"/>
        <v>BS</v>
      </c>
    </row>
    <row r="1214" spans="1:13" s="33" customFormat="true" ht="12.75" customHeight="true">
      <c r="A1214" s="33" t="str">
        <f t="shared" si="72"/>
        <v>LPI - Deposits</v>
      </c>
      <c r="B1214" s="33" t="str">
        <f t="shared" si="73"/>
        <v>LPI</v>
      </c>
      <c r="C1214" s="33" t="str">
        <f t="shared" si="74"/>
        <v>19000-0000</v>
      </c>
      <c r="D1214" s="64" t="s">
        <v>1608</v>
      </c>
      <c r="E1214" s="64" t="s">
        <v>342</v>
      </c>
      <c r="F1214" s="64" t="s">
        <v>230</v>
      </c>
      <c r="G1214" s="64" t="s">
        <v>62</v>
      </c>
      <c r="H1214" s="64" t="s">
        <v>80</v>
      </c>
      <c r="I1214" s="64" t="s">
        <v>81</v>
      </c>
      <c r="J1214" s="67">
        <v>0</v>
      </c>
      <c r="K1214" s="62">
        <v>-847</v>
      </c>
      <c r="L1214" s="33" t="e">
        <f>HLOOKUP(B1214,#REF!,1,0)</f>
        <v>#REF!</v>
      </c>
      <c r="M1214" s="33" t="str">
        <f t="shared" si="75"/>
        <v>BS</v>
      </c>
    </row>
    <row r="1215" spans="1:13" s="33" customFormat="true" ht="12.75" customHeight="true">
      <c r="A1215" s="33" t="str">
        <f t="shared" si="72"/>
        <v>LPI - AP-Accr Exp</v>
      </c>
      <c r="B1215" s="33" t="str">
        <f t="shared" si="73"/>
        <v>LPI</v>
      </c>
      <c r="C1215" s="33" t="str">
        <f t="shared" si="74"/>
        <v>20000-0000</v>
      </c>
      <c r="D1215" s="64" t="s">
        <v>1609</v>
      </c>
      <c r="E1215" s="64" t="s">
        <v>96</v>
      </c>
      <c r="F1215" s="64" t="s">
        <v>230</v>
      </c>
      <c r="G1215" s="64" t="s">
        <v>97</v>
      </c>
      <c r="H1215" s="64" t="s">
        <v>98</v>
      </c>
      <c r="I1215" s="64" t="s">
        <v>99</v>
      </c>
      <c r="J1215" s="67">
        <v>0</v>
      </c>
      <c r="K1215" s="62">
        <v>0</v>
      </c>
      <c r="L1215" s="33" t="e">
        <f>HLOOKUP(B1215,#REF!,1,0)</f>
        <v>#REF!</v>
      </c>
      <c r="M1215" s="33" t="str">
        <f t="shared" si="75"/>
        <v>BS</v>
      </c>
    </row>
    <row r="1216" spans="1:13" s="33" customFormat="true" ht="12.75" customHeight="true">
      <c r="A1216" s="33" t="str">
        <f t="shared" si="72"/>
        <v>LPI - AP-Accr Exp</v>
      </c>
      <c r="B1216" s="33" t="str">
        <f t="shared" si="73"/>
        <v>LPI</v>
      </c>
      <c r="C1216" s="33" t="str">
        <f t="shared" si="74"/>
        <v>20001-0000</v>
      </c>
      <c r="D1216" s="64" t="s">
        <v>1610</v>
      </c>
      <c r="E1216" s="64" t="s">
        <v>96</v>
      </c>
      <c r="F1216" s="64" t="s">
        <v>230</v>
      </c>
      <c r="G1216" s="64" t="s">
        <v>97</v>
      </c>
      <c r="H1216" s="64" t="s">
        <v>98</v>
      </c>
      <c r="I1216" s="64" t="s">
        <v>99</v>
      </c>
      <c r="J1216" s="67">
        <v>0</v>
      </c>
      <c r="K1216" s="62">
        <v>0</v>
      </c>
      <c r="L1216" s="33" t="e">
        <f>HLOOKUP(B1216,#REF!,1,0)</f>
        <v>#REF!</v>
      </c>
      <c r="M1216" s="33" t="str">
        <f t="shared" si="75"/>
        <v>BS</v>
      </c>
    </row>
    <row r="1217" spans="1:13" s="33" customFormat="true" ht="12.75" customHeight="true">
      <c r="A1217" s="33" t="str">
        <f t="shared" si="72"/>
        <v>LPI - AP-Accr Exp</v>
      </c>
      <c r="B1217" s="33" t="str">
        <f t="shared" si="73"/>
        <v>LPI</v>
      </c>
      <c r="C1217" s="33" t="str">
        <f t="shared" si="74"/>
        <v>23509-0000</v>
      </c>
      <c r="D1217" s="64" t="s">
        <v>1611</v>
      </c>
      <c r="E1217" s="64" t="s">
        <v>111</v>
      </c>
      <c r="F1217" s="64" t="s">
        <v>230</v>
      </c>
      <c r="G1217" s="64" t="s">
        <v>97</v>
      </c>
      <c r="H1217" s="64" t="s">
        <v>98</v>
      </c>
      <c r="I1217" s="64" t="s">
        <v>102</v>
      </c>
      <c r="J1217" s="67">
        <v>0</v>
      </c>
      <c r="K1217" s="62">
        <v>0</v>
      </c>
      <c r="L1217" s="33" t="e">
        <f>HLOOKUP(B1217,#REF!,1,0)</f>
        <v>#REF!</v>
      </c>
      <c r="M1217" s="33" t="str">
        <f t="shared" si="75"/>
        <v>BS</v>
      </c>
    </row>
    <row r="1218" spans="1:13" s="33" customFormat="true" ht="12.75" customHeight="true">
      <c r="A1218" s="33" t="str">
        <f t="shared" ref="A1218:A1281" si="76">B1218&amp;" - "&amp;TRIM(H1218)</f>
        <v>LPI - AP-Accr Exp</v>
      </c>
      <c r="B1218" s="33" t="str">
        <f t="shared" ref="B1218:B1281" si="77">LEFT(D1218,3)</f>
        <v>LPI</v>
      </c>
      <c r="C1218" s="33" t="str">
        <f t="shared" ref="C1218:C1281" si="78">RIGHT(D1218,10)</f>
        <v>24800-0000</v>
      </c>
      <c r="D1218" s="64" t="s">
        <v>1612</v>
      </c>
      <c r="E1218" s="64" t="s">
        <v>232</v>
      </c>
      <c r="F1218" s="64" t="s">
        <v>230</v>
      </c>
      <c r="G1218" s="64" t="s">
        <v>97</v>
      </c>
      <c r="H1218" s="64" t="s">
        <v>98</v>
      </c>
      <c r="I1218" s="64" t="s">
        <v>102</v>
      </c>
      <c r="J1218" s="67">
        <v>0</v>
      </c>
      <c r="K1218" s="62">
        <v>0</v>
      </c>
      <c r="L1218" s="33" t="e">
        <f>HLOOKUP(B1218,#REF!,1,0)</f>
        <v>#REF!</v>
      </c>
      <c r="M1218" s="33" t="str">
        <f t="shared" ref="M1218:M1281" si="79">IF(VALUE(LEFT(C1218,5))&gt;40000,"P&amp;L","BS")</f>
        <v>BS</v>
      </c>
    </row>
    <row r="1219" spans="1:13" s="33" customFormat="true" ht="12.75" customHeight="true">
      <c r="A1219" s="33" t="str">
        <f t="shared" si="76"/>
        <v>LPI - AP-Accr Exp</v>
      </c>
      <c r="B1219" s="33" t="str">
        <f t="shared" si="77"/>
        <v>LPI</v>
      </c>
      <c r="C1219" s="33" t="str">
        <f t="shared" si="78"/>
        <v>24800-0002</v>
      </c>
      <c r="D1219" s="64" t="s">
        <v>1613</v>
      </c>
      <c r="E1219" s="64" t="s">
        <v>232</v>
      </c>
      <c r="F1219" s="64" t="s">
        <v>230</v>
      </c>
      <c r="G1219" s="64" t="s">
        <v>97</v>
      </c>
      <c r="H1219" s="64" t="s">
        <v>98</v>
      </c>
      <c r="I1219" s="64" t="s">
        <v>102</v>
      </c>
      <c r="J1219" s="67">
        <v>0</v>
      </c>
      <c r="K1219" s="62">
        <v>-1500</v>
      </c>
      <c r="L1219" s="33" t="e">
        <f>HLOOKUP(B1219,#REF!,1,0)</f>
        <v>#REF!</v>
      </c>
      <c r="M1219" s="33" t="str">
        <f t="shared" si="79"/>
        <v>BS</v>
      </c>
    </row>
    <row r="1220" spans="1:13" s="33" customFormat="true" ht="12.75" customHeight="true">
      <c r="A1220" s="33" t="str">
        <f t="shared" si="76"/>
        <v>LPI - AP-Accr Exp</v>
      </c>
      <c r="B1220" s="33" t="str">
        <f t="shared" si="77"/>
        <v>LPI</v>
      </c>
      <c r="C1220" s="33" t="str">
        <f t="shared" si="78"/>
        <v>24800-0003</v>
      </c>
      <c r="D1220" s="64" t="s">
        <v>1614</v>
      </c>
      <c r="E1220" s="64" t="s">
        <v>232</v>
      </c>
      <c r="F1220" s="64" t="s">
        <v>230</v>
      </c>
      <c r="G1220" s="64" t="s">
        <v>97</v>
      </c>
      <c r="H1220" s="64" t="s">
        <v>98</v>
      </c>
      <c r="I1220" s="64" t="s">
        <v>102</v>
      </c>
      <c r="J1220" s="67">
        <v>0</v>
      </c>
      <c r="K1220" s="62">
        <v>-3200</v>
      </c>
      <c r="L1220" s="33" t="e">
        <f>HLOOKUP(B1220,#REF!,1,0)</f>
        <v>#REF!</v>
      </c>
      <c r="M1220" s="33" t="str">
        <f t="shared" si="79"/>
        <v>BS</v>
      </c>
    </row>
    <row r="1221" spans="1:13" s="33" customFormat="true" ht="12.75" customHeight="true">
      <c r="A1221" s="33" t="str">
        <f t="shared" si="76"/>
        <v>LPI - AP-Accr Exp</v>
      </c>
      <c r="B1221" s="33" t="str">
        <f t="shared" si="77"/>
        <v>LPI</v>
      </c>
      <c r="C1221" s="33" t="str">
        <f t="shared" si="78"/>
        <v>24800-0004</v>
      </c>
      <c r="D1221" s="64" t="s">
        <v>1615</v>
      </c>
      <c r="E1221" s="64" t="s">
        <v>232</v>
      </c>
      <c r="F1221" s="64" t="s">
        <v>230</v>
      </c>
      <c r="G1221" s="64" t="s">
        <v>97</v>
      </c>
      <c r="H1221" s="64" t="s">
        <v>98</v>
      </c>
      <c r="I1221" s="64" t="s">
        <v>102</v>
      </c>
      <c r="J1221" s="67">
        <v>0</v>
      </c>
      <c r="K1221" s="62">
        <v>-4599</v>
      </c>
      <c r="L1221" s="33" t="e">
        <f>HLOOKUP(B1221,#REF!,1,0)</f>
        <v>#REF!</v>
      </c>
      <c r="M1221" s="33" t="str">
        <f t="shared" si="79"/>
        <v>BS</v>
      </c>
    </row>
    <row r="1222" spans="1:13" s="33" customFormat="true" ht="12.75" customHeight="true">
      <c r="A1222" s="33" t="str">
        <f t="shared" si="76"/>
        <v>LPI - AP-Accr Exp</v>
      </c>
      <c r="B1222" s="33" t="str">
        <f t="shared" si="77"/>
        <v>LPI</v>
      </c>
      <c r="C1222" s="33" t="str">
        <f t="shared" si="78"/>
        <v>24800-0005</v>
      </c>
      <c r="D1222" s="64" t="s">
        <v>1616</v>
      </c>
      <c r="E1222" s="64" t="s">
        <v>232</v>
      </c>
      <c r="F1222" s="64" t="s">
        <v>230</v>
      </c>
      <c r="G1222" s="64" t="s">
        <v>97</v>
      </c>
      <c r="H1222" s="64" t="s">
        <v>98</v>
      </c>
      <c r="I1222" s="64" t="s">
        <v>102</v>
      </c>
      <c r="J1222" s="67">
        <v>0</v>
      </c>
      <c r="K1222" s="62">
        <v>-1795</v>
      </c>
      <c r="L1222" s="33" t="e">
        <f>HLOOKUP(B1222,#REF!,1,0)</f>
        <v>#REF!</v>
      </c>
      <c r="M1222" s="33" t="str">
        <f t="shared" si="79"/>
        <v>BS</v>
      </c>
    </row>
    <row r="1223" spans="1:13" s="33" customFormat="true" ht="12.75" customHeight="true">
      <c r="A1223" s="33" t="str">
        <f t="shared" si="76"/>
        <v>LPI - AP-Accr Exp</v>
      </c>
      <c r="B1223" s="33" t="str">
        <f t="shared" si="77"/>
        <v>LPI</v>
      </c>
      <c r="C1223" s="33" t="str">
        <f t="shared" si="78"/>
        <v>24801-0005</v>
      </c>
      <c r="D1223" s="64" t="s">
        <v>1617</v>
      </c>
      <c r="E1223" s="64" t="s">
        <v>399</v>
      </c>
      <c r="F1223" s="64" t="s">
        <v>230</v>
      </c>
      <c r="G1223" s="64" t="s">
        <v>97</v>
      </c>
      <c r="H1223" s="64" t="s">
        <v>98</v>
      </c>
      <c r="I1223" s="64" t="s">
        <v>102</v>
      </c>
      <c r="J1223" s="67">
        <v>0</v>
      </c>
      <c r="K1223" s="62">
        <v>0</v>
      </c>
      <c r="L1223" s="33" t="e">
        <f>HLOOKUP(B1223,#REF!,1,0)</f>
        <v>#REF!</v>
      </c>
      <c r="M1223" s="33" t="str">
        <f t="shared" si="79"/>
        <v>BS</v>
      </c>
    </row>
    <row r="1224" spans="1:13" s="33" customFormat="true" ht="12.75" customHeight="true">
      <c r="A1224" s="33" t="str">
        <f t="shared" si="76"/>
        <v>LPI - Principal</v>
      </c>
      <c r="B1224" s="33" t="str">
        <f t="shared" si="77"/>
        <v>LPI</v>
      </c>
      <c r="C1224" s="33" t="str">
        <f t="shared" si="78"/>
        <v>26800-0000</v>
      </c>
      <c r="D1224" s="64" t="s">
        <v>1618</v>
      </c>
      <c r="E1224" s="64" t="s">
        <v>402</v>
      </c>
      <c r="F1224" s="64" t="s">
        <v>230</v>
      </c>
      <c r="G1224" s="64" t="s">
        <v>97</v>
      </c>
      <c r="H1224" s="64" t="s">
        <v>127</v>
      </c>
      <c r="I1224" s="64" t="s">
        <v>128</v>
      </c>
      <c r="J1224" s="67">
        <v>0</v>
      </c>
      <c r="K1224" s="62">
        <v>-72100</v>
      </c>
      <c r="L1224" s="33" t="e">
        <f>HLOOKUP(B1224,#REF!,1,0)</f>
        <v>#REF!</v>
      </c>
      <c r="M1224" s="33" t="str">
        <f t="shared" si="79"/>
        <v>BS</v>
      </c>
    </row>
    <row r="1225" spans="1:13" s="33" customFormat="true" ht="12.75" customHeight="true">
      <c r="A1225" s="33" t="str">
        <f t="shared" si="76"/>
        <v>LPI - Principal</v>
      </c>
      <c r="B1225" s="33" t="str">
        <f t="shared" si="77"/>
        <v>LPI</v>
      </c>
      <c r="C1225" s="33" t="str">
        <f t="shared" si="78"/>
        <v>28001-0001</v>
      </c>
      <c r="D1225" s="64" t="s">
        <v>1619</v>
      </c>
      <c r="E1225" s="64" t="s">
        <v>1620</v>
      </c>
      <c r="F1225" s="64" t="s">
        <v>230</v>
      </c>
      <c r="G1225" s="64" t="s">
        <v>123</v>
      </c>
      <c r="H1225" s="64" t="s">
        <v>127</v>
      </c>
      <c r="I1225" s="64" t="s">
        <v>133</v>
      </c>
      <c r="J1225" s="67">
        <v>947.01</v>
      </c>
      <c r="K1225" s="62">
        <v>-571049.29</v>
      </c>
      <c r="L1225" s="33" t="e">
        <f>HLOOKUP(B1225,#REF!,1,0)</f>
        <v>#REF!</v>
      </c>
      <c r="M1225" s="33" t="str">
        <f t="shared" si="79"/>
        <v>BS</v>
      </c>
    </row>
    <row r="1226" spans="1:13" s="33" customFormat="true" ht="12.75" customHeight="true">
      <c r="A1226" s="33" t="str">
        <f t="shared" si="76"/>
        <v>LPI - Principal</v>
      </c>
      <c r="B1226" s="33" t="str">
        <f t="shared" si="77"/>
        <v>LPI</v>
      </c>
      <c r="C1226" s="33" t="str">
        <f t="shared" si="78"/>
        <v>28001-0002</v>
      </c>
      <c r="D1226" s="64" t="s">
        <v>1621</v>
      </c>
      <c r="E1226" s="64" t="s">
        <v>1622</v>
      </c>
      <c r="F1226" s="64" t="s">
        <v>230</v>
      </c>
      <c r="G1226" s="64" t="s">
        <v>123</v>
      </c>
      <c r="H1226" s="64" t="s">
        <v>127</v>
      </c>
      <c r="I1226" s="64" t="s">
        <v>133</v>
      </c>
      <c r="J1226" s="67">
        <v>631.33</v>
      </c>
      <c r="K1226" s="62">
        <v>-380700.11</v>
      </c>
      <c r="L1226" s="33" t="e">
        <f>HLOOKUP(B1226,#REF!,1,0)</f>
        <v>#REF!</v>
      </c>
      <c r="M1226" s="33" t="str">
        <f t="shared" si="79"/>
        <v>BS</v>
      </c>
    </row>
    <row r="1227" spans="1:13" s="33" customFormat="true" ht="12.75" customHeight="true">
      <c r="A1227" s="33" t="str">
        <f t="shared" si="76"/>
        <v>LPI - Principal</v>
      </c>
      <c r="B1227" s="33" t="str">
        <f t="shared" si="77"/>
        <v>LPI</v>
      </c>
      <c r="C1227" s="33" t="str">
        <f t="shared" si="78"/>
        <v>28001-0003</v>
      </c>
      <c r="D1227" s="64" t="s">
        <v>1623</v>
      </c>
      <c r="E1227" s="64" t="s">
        <v>1624</v>
      </c>
      <c r="F1227" s="64" t="s">
        <v>230</v>
      </c>
      <c r="G1227" s="64" t="s">
        <v>123</v>
      </c>
      <c r="H1227" s="64" t="s">
        <v>127</v>
      </c>
      <c r="I1227" s="64" t="s">
        <v>133</v>
      </c>
      <c r="J1227" s="67">
        <v>530.33</v>
      </c>
      <c r="K1227" s="62">
        <v>-319801.83</v>
      </c>
      <c r="L1227" s="33" t="e">
        <f>HLOOKUP(B1227,#REF!,1,0)</f>
        <v>#REF!</v>
      </c>
      <c r="M1227" s="33" t="str">
        <f t="shared" si="79"/>
        <v>BS</v>
      </c>
    </row>
    <row r="1228" spans="1:13" s="33" customFormat="true" ht="12.75" customHeight="true">
      <c r="A1228" s="33" t="str">
        <f t="shared" si="76"/>
        <v>LPI - Principal</v>
      </c>
      <c r="B1228" s="33" t="str">
        <f t="shared" si="77"/>
        <v>LPI</v>
      </c>
      <c r="C1228" s="33" t="str">
        <f t="shared" si="78"/>
        <v>28001-0004</v>
      </c>
      <c r="D1228" s="64" t="s">
        <v>1625</v>
      </c>
      <c r="E1228" s="64" t="s">
        <v>1626</v>
      </c>
      <c r="F1228" s="64" t="s">
        <v>230</v>
      </c>
      <c r="G1228" s="64" t="s">
        <v>123</v>
      </c>
      <c r="H1228" s="64" t="s">
        <v>127</v>
      </c>
      <c r="I1228" s="64" t="s">
        <v>133</v>
      </c>
      <c r="J1228" s="67">
        <v>672.66</v>
      </c>
      <c r="K1228" s="62">
        <v>-405619.11</v>
      </c>
      <c r="L1228" s="33" t="e">
        <f>HLOOKUP(B1228,#REF!,1,0)</f>
        <v>#REF!</v>
      </c>
      <c r="M1228" s="33" t="str">
        <f t="shared" si="79"/>
        <v>BS</v>
      </c>
    </row>
    <row r="1229" spans="1:13" s="33" customFormat="true" ht="12.75" customHeight="true">
      <c r="A1229" s="33" t="str">
        <f t="shared" si="76"/>
        <v>LPI - Principal</v>
      </c>
      <c r="B1229" s="33" t="str">
        <f t="shared" si="77"/>
        <v>LPI</v>
      </c>
      <c r="C1229" s="33" t="str">
        <f t="shared" si="78"/>
        <v>28001-0005</v>
      </c>
      <c r="D1229" s="64" t="s">
        <v>1627</v>
      </c>
      <c r="E1229" s="64" t="s">
        <v>1628</v>
      </c>
      <c r="F1229" s="64" t="s">
        <v>230</v>
      </c>
      <c r="G1229" s="64" t="s">
        <v>123</v>
      </c>
      <c r="H1229" s="64" t="s">
        <v>127</v>
      </c>
      <c r="I1229" s="64" t="s">
        <v>133</v>
      </c>
      <c r="J1229" s="67">
        <v>401</v>
      </c>
      <c r="K1229" s="62">
        <v>-241803.69</v>
      </c>
      <c r="L1229" s="33" t="e">
        <f>HLOOKUP(B1229,#REF!,1,0)</f>
        <v>#REF!</v>
      </c>
      <c r="M1229" s="33" t="str">
        <f t="shared" si="79"/>
        <v>BS</v>
      </c>
    </row>
    <row r="1230" spans="1:13" s="33" customFormat="true" ht="12.75" customHeight="true">
      <c r="A1230" s="33" t="str">
        <f t="shared" si="76"/>
        <v>LPI - SH Dist</v>
      </c>
      <c r="B1230" s="33" t="str">
        <f t="shared" si="77"/>
        <v>LPI</v>
      </c>
      <c r="C1230" s="33" t="str">
        <f t="shared" si="78"/>
        <v>30700-0000</v>
      </c>
      <c r="D1230" s="64" t="s">
        <v>1629</v>
      </c>
      <c r="E1230" s="64" t="s">
        <v>319</v>
      </c>
      <c r="F1230" s="64" t="s">
        <v>230</v>
      </c>
      <c r="G1230" s="64" t="s">
        <v>142</v>
      </c>
      <c r="H1230" s="64" t="s">
        <v>143</v>
      </c>
      <c r="I1230" s="64" t="s">
        <v>144</v>
      </c>
      <c r="J1230" s="67">
        <v>0</v>
      </c>
      <c r="K1230" s="62">
        <v>1096115.68</v>
      </c>
      <c r="L1230" s="33" t="e">
        <f>HLOOKUP(B1230,#REF!,1,0)</f>
        <v>#REF!</v>
      </c>
      <c r="M1230" s="33" t="str">
        <f t="shared" si="79"/>
        <v>BS</v>
      </c>
    </row>
    <row r="1231" spans="1:13" s="33" customFormat="true" ht="12.75" customHeight="true">
      <c r="A1231" s="33" t="str">
        <f t="shared" si="76"/>
        <v>LPI - Retained Earnings</v>
      </c>
      <c r="B1231" s="33" t="str">
        <f t="shared" si="77"/>
        <v>LPI</v>
      </c>
      <c r="C1231" s="33" t="str">
        <f t="shared" si="78"/>
        <v>32000-0000</v>
      </c>
      <c r="D1231" s="64" t="s">
        <v>1630</v>
      </c>
      <c r="E1231" s="64" t="s">
        <v>234</v>
      </c>
      <c r="F1231" s="64" t="s">
        <v>230</v>
      </c>
      <c r="G1231" s="64" t="s">
        <v>142</v>
      </c>
      <c r="H1231" s="64" t="s">
        <v>149</v>
      </c>
      <c r="I1231" s="64" t="s">
        <v>235</v>
      </c>
      <c r="J1231" s="67">
        <v>0</v>
      </c>
      <c r="K1231" s="62">
        <v>-619622.78</v>
      </c>
      <c r="L1231" s="33" t="e">
        <f>HLOOKUP(B1231,#REF!,1,0)</f>
        <v>#REF!</v>
      </c>
      <c r="M1231" s="33" t="str">
        <f t="shared" si="79"/>
        <v>BS</v>
      </c>
    </row>
    <row r="1232" spans="1:13" s="33" customFormat="true" ht="12.75" customHeight="true">
      <c r="A1232" s="33" t="str">
        <f t="shared" si="76"/>
        <v>LPI - SH Dist</v>
      </c>
      <c r="B1232" s="33" t="str">
        <f t="shared" si="77"/>
        <v>LPI</v>
      </c>
      <c r="C1232" s="33" t="str">
        <f t="shared" si="78"/>
        <v>36001-0000</v>
      </c>
      <c r="D1232" s="64" t="s">
        <v>1631</v>
      </c>
      <c r="E1232" s="64" t="s">
        <v>322</v>
      </c>
      <c r="F1232" s="64" t="s">
        <v>230</v>
      </c>
      <c r="G1232" s="64" t="s">
        <v>142</v>
      </c>
      <c r="H1232" s="64" t="s">
        <v>143</v>
      </c>
      <c r="I1232" s="64" t="s">
        <v>144</v>
      </c>
      <c r="J1232" s="67">
        <v>0</v>
      </c>
      <c r="K1232" s="62">
        <v>-115000</v>
      </c>
      <c r="L1232" s="33" t="e">
        <f>HLOOKUP(B1232,#REF!,1,0)</f>
        <v>#REF!</v>
      </c>
      <c r="M1232" s="33" t="str">
        <f t="shared" si="79"/>
        <v>BS</v>
      </c>
    </row>
    <row r="1233" spans="1:13" s="33" customFormat="true" ht="12.75" customHeight="true">
      <c r="A1233" s="33" t="str">
        <f t="shared" si="76"/>
        <v>MAR - Cash</v>
      </c>
      <c r="B1233" s="33" t="str">
        <f t="shared" si="77"/>
        <v>MAR</v>
      </c>
      <c r="C1233" s="33" t="str">
        <f t="shared" si="78"/>
        <v>10001-0000</v>
      </c>
      <c r="D1233" s="64" t="s">
        <v>1632</v>
      </c>
      <c r="E1233" s="64" t="s">
        <v>240</v>
      </c>
      <c r="F1233" s="64" t="s">
        <v>230</v>
      </c>
      <c r="G1233" s="64" t="s">
        <v>16</v>
      </c>
      <c r="H1233" s="64" t="s">
        <v>25</v>
      </c>
      <c r="I1233" s="64" t="s">
        <v>18</v>
      </c>
      <c r="J1233" s="67">
        <v>9512.91</v>
      </c>
      <c r="K1233" s="62">
        <v>86438.76</v>
      </c>
      <c r="L1233" s="33" t="e">
        <f>HLOOKUP(B1233,#REF!,1,0)</f>
        <v>#REF!</v>
      </c>
      <c r="M1233" s="33" t="str">
        <f t="shared" si="79"/>
        <v>BS</v>
      </c>
    </row>
    <row r="1234" spans="1:13" s="33" customFormat="true" ht="12.75" customHeight="true">
      <c r="A1234" s="33" t="str">
        <f t="shared" si="76"/>
        <v>MAR - AR-PPD</v>
      </c>
      <c r="B1234" s="33" t="str">
        <f t="shared" si="77"/>
        <v>MAR</v>
      </c>
      <c r="C1234" s="33" t="str">
        <f t="shared" si="78"/>
        <v>11000-0000</v>
      </c>
      <c r="D1234" s="64" t="s">
        <v>1633</v>
      </c>
      <c r="E1234" s="64" t="s">
        <v>34</v>
      </c>
      <c r="F1234" s="64" t="s">
        <v>230</v>
      </c>
      <c r="G1234" s="64" t="s">
        <v>16</v>
      </c>
      <c r="H1234" s="64" t="s">
        <v>35</v>
      </c>
      <c r="I1234" s="64" t="s">
        <v>36</v>
      </c>
      <c r="J1234" s="67">
        <v>0</v>
      </c>
      <c r="K1234" s="62">
        <v>0</v>
      </c>
      <c r="L1234" s="33" t="e">
        <f>HLOOKUP(B1234,#REF!,1,0)</f>
        <v>#REF!</v>
      </c>
      <c r="M1234" s="33" t="str">
        <f t="shared" si="79"/>
        <v>BS</v>
      </c>
    </row>
    <row r="1235" spans="1:13" s="33" customFormat="true" ht="12.75" customHeight="true">
      <c r="A1235" s="33" t="str">
        <f t="shared" si="76"/>
        <v>MAR - Intercompany</v>
      </c>
      <c r="B1235" s="33" t="str">
        <f t="shared" si="77"/>
        <v>MAR</v>
      </c>
      <c r="C1235" s="33" t="str">
        <f t="shared" si="78"/>
        <v>11216-0000</v>
      </c>
      <c r="D1235" s="64" t="s">
        <v>1634</v>
      </c>
      <c r="E1235" s="64" t="s">
        <v>242</v>
      </c>
      <c r="F1235" s="64" t="s">
        <v>230</v>
      </c>
      <c r="G1235" s="64" t="s">
        <v>16</v>
      </c>
      <c r="H1235" s="64" t="s">
        <v>39</v>
      </c>
      <c r="I1235" s="64" t="s">
        <v>40</v>
      </c>
      <c r="J1235" s="67">
        <v>-561.54</v>
      </c>
      <c r="K1235" s="62">
        <v>8979.48</v>
      </c>
      <c r="L1235" s="33" t="e">
        <f>HLOOKUP(B1235,#REF!,1,0)</f>
        <v>#REF!</v>
      </c>
      <c r="M1235" s="33" t="str">
        <f t="shared" si="79"/>
        <v>BS</v>
      </c>
    </row>
    <row r="1236" spans="1:13" s="33" customFormat="true" ht="12.75" customHeight="true">
      <c r="A1236" s="33" t="str">
        <f t="shared" si="76"/>
        <v>MAR - intercompany</v>
      </c>
      <c r="B1236" s="33" t="str">
        <f t="shared" si="77"/>
        <v>MAR</v>
      </c>
      <c r="C1236" s="33" t="str">
        <f t="shared" si="78"/>
        <v>11317-0000</v>
      </c>
      <c r="D1236" s="64" t="s">
        <v>1635</v>
      </c>
      <c r="E1236" s="64" t="s">
        <v>368</v>
      </c>
      <c r="F1236" s="64" t="s">
        <v>230</v>
      </c>
      <c r="G1236" s="64" t="s">
        <v>16</v>
      </c>
      <c r="H1236" s="64" t="s">
        <v>1636</v>
      </c>
      <c r="I1236" s="64" t="s">
        <v>40</v>
      </c>
      <c r="J1236" s="67">
        <v>0</v>
      </c>
      <c r="K1236" s="62">
        <v>-10000</v>
      </c>
      <c r="L1236" s="33" t="e">
        <f>HLOOKUP(B1236,#REF!,1,0)</f>
        <v>#REF!</v>
      </c>
      <c r="M1236" s="33" t="str">
        <f t="shared" si="79"/>
        <v>BS</v>
      </c>
    </row>
    <row r="1237" spans="1:13" s="33" customFormat="true" ht="12.75" customHeight="true">
      <c r="A1237" s="33" t="str">
        <f t="shared" si="76"/>
        <v>MAR - Intercompany</v>
      </c>
      <c r="B1237" s="33" t="str">
        <f t="shared" si="77"/>
        <v>MAR</v>
      </c>
      <c r="C1237" s="33" t="str">
        <f t="shared" si="78"/>
        <v>11334-0000</v>
      </c>
      <c r="D1237" s="64" t="s">
        <v>1637</v>
      </c>
      <c r="E1237" s="64" t="s">
        <v>333</v>
      </c>
      <c r="F1237" s="64" t="s">
        <v>230</v>
      </c>
      <c r="G1237" s="64" t="s">
        <v>16</v>
      </c>
      <c r="H1237" s="64" t="s">
        <v>39</v>
      </c>
      <c r="I1237" s="64" t="s">
        <v>40</v>
      </c>
      <c r="J1237" s="67">
        <v>0</v>
      </c>
      <c r="K1237" s="62">
        <v>-5000</v>
      </c>
      <c r="L1237" s="33" t="e">
        <f>HLOOKUP(B1237,#REF!,1,0)</f>
        <v>#REF!</v>
      </c>
      <c r="M1237" s="33" t="str">
        <f t="shared" si="79"/>
        <v>BS</v>
      </c>
    </row>
    <row r="1238" spans="1:13" s="33" customFormat="true" ht="12.75" customHeight="true">
      <c r="A1238" s="33" t="str">
        <f t="shared" si="76"/>
        <v>MAR - Intercompany</v>
      </c>
      <c r="B1238" s="33" t="str">
        <f t="shared" si="77"/>
        <v>MAR</v>
      </c>
      <c r="C1238" s="33" t="str">
        <f t="shared" si="78"/>
        <v>11344-0000</v>
      </c>
      <c r="D1238" s="64" t="s">
        <v>1638</v>
      </c>
      <c r="E1238" s="64" t="s">
        <v>1639</v>
      </c>
      <c r="F1238" s="64" t="s">
        <v>230</v>
      </c>
      <c r="G1238" s="64" t="s">
        <v>16</v>
      </c>
      <c r="H1238" s="64" t="s">
        <v>39</v>
      </c>
      <c r="I1238" s="64" t="s">
        <v>40</v>
      </c>
      <c r="J1238" s="67">
        <v>0</v>
      </c>
      <c r="K1238" s="62">
        <v>-14000</v>
      </c>
      <c r="L1238" s="33" t="e">
        <f>HLOOKUP(B1238,#REF!,1,0)</f>
        <v>#REF!</v>
      </c>
      <c r="M1238" s="33" t="str">
        <f t="shared" si="79"/>
        <v>BS</v>
      </c>
    </row>
    <row r="1239" spans="1:13" s="33" customFormat="true" ht="12.75" customHeight="true">
      <c r="A1239" s="33" t="str">
        <f t="shared" si="76"/>
        <v>MAR - AR-PPD</v>
      </c>
      <c r="B1239" s="33" t="str">
        <f t="shared" si="77"/>
        <v>MAR</v>
      </c>
      <c r="C1239" s="33" t="str">
        <f t="shared" si="78"/>
        <v>12200-0000</v>
      </c>
      <c r="D1239" s="64" t="s">
        <v>1640</v>
      </c>
      <c r="E1239" s="64" t="s">
        <v>294</v>
      </c>
      <c r="F1239" s="64" t="s">
        <v>230</v>
      </c>
      <c r="G1239" s="64" t="s">
        <v>62</v>
      </c>
      <c r="H1239" s="64" t="s">
        <v>35</v>
      </c>
      <c r="I1239" s="64" t="s">
        <v>64</v>
      </c>
      <c r="J1239" s="67">
        <v>0</v>
      </c>
      <c r="K1239" s="62">
        <v>56592.62</v>
      </c>
      <c r="L1239" s="33" t="e">
        <f>HLOOKUP(B1239,#REF!,1,0)</f>
        <v>#REF!</v>
      </c>
      <c r="M1239" s="33" t="str">
        <f t="shared" si="79"/>
        <v>BS</v>
      </c>
    </row>
    <row r="1240" spans="1:13" s="33" customFormat="true" ht="12.75" customHeight="true">
      <c r="A1240" s="33" t="str">
        <f t="shared" si="76"/>
        <v>MAR - Fixed Assets</v>
      </c>
      <c r="B1240" s="33" t="str">
        <f t="shared" si="77"/>
        <v>MAR</v>
      </c>
      <c r="C1240" s="33" t="str">
        <f t="shared" si="78"/>
        <v>14000-0000</v>
      </c>
      <c r="D1240" s="64" t="s">
        <v>1641</v>
      </c>
      <c r="E1240" s="64" t="s">
        <v>298</v>
      </c>
      <c r="F1240" s="64" t="s">
        <v>230</v>
      </c>
      <c r="G1240" s="64" t="s">
        <v>62</v>
      </c>
      <c r="H1240" s="64" t="s">
        <v>63</v>
      </c>
      <c r="I1240" s="64" t="s">
        <v>64</v>
      </c>
      <c r="J1240" s="67">
        <v>0</v>
      </c>
      <c r="K1240" s="62">
        <v>1650000</v>
      </c>
      <c r="L1240" s="33" t="e">
        <f>HLOOKUP(B1240,#REF!,1,0)</f>
        <v>#REF!</v>
      </c>
      <c r="M1240" s="33" t="str">
        <f t="shared" si="79"/>
        <v>BS</v>
      </c>
    </row>
    <row r="1241" spans="1:13" s="33" customFormat="true" ht="12.75" customHeight="true">
      <c r="A1241" s="33" t="str">
        <f t="shared" si="76"/>
        <v>MAR - Fixed Assets</v>
      </c>
      <c r="B1241" s="33" t="str">
        <f t="shared" si="77"/>
        <v>MAR</v>
      </c>
      <c r="C1241" s="33" t="str">
        <f t="shared" si="78"/>
        <v>15000-0000</v>
      </c>
      <c r="D1241" s="64" t="s">
        <v>1642</v>
      </c>
      <c r="E1241" s="64" t="s">
        <v>300</v>
      </c>
      <c r="F1241" s="64" t="s">
        <v>230</v>
      </c>
      <c r="G1241" s="64" t="s">
        <v>62</v>
      </c>
      <c r="H1241" s="64" t="s">
        <v>63</v>
      </c>
      <c r="I1241" s="64" t="s">
        <v>64</v>
      </c>
      <c r="J1241" s="67">
        <v>0</v>
      </c>
      <c r="K1241" s="62">
        <v>3300000</v>
      </c>
      <c r="L1241" s="33" t="e">
        <f>HLOOKUP(B1241,#REF!,1,0)</f>
        <v>#REF!</v>
      </c>
      <c r="M1241" s="33" t="str">
        <f t="shared" si="79"/>
        <v>BS</v>
      </c>
    </row>
    <row r="1242" spans="1:13" s="33" customFormat="true" ht="12.75" customHeight="true">
      <c r="A1242" s="33" t="str">
        <f t="shared" si="76"/>
        <v>MAR - Fixed Assets</v>
      </c>
      <c r="B1242" s="33" t="str">
        <f t="shared" si="77"/>
        <v>MAR</v>
      </c>
      <c r="C1242" s="33" t="str">
        <f t="shared" si="78"/>
        <v>15500-0000</v>
      </c>
      <c r="D1242" s="64" t="s">
        <v>1643</v>
      </c>
      <c r="E1242" s="64" t="s">
        <v>302</v>
      </c>
      <c r="F1242" s="64" t="s">
        <v>230</v>
      </c>
      <c r="G1242" s="64" t="s">
        <v>62</v>
      </c>
      <c r="H1242" s="64" t="s">
        <v>63</v>
      </c>
      <c r="I1242" s="64" t="s">
        <v>64</v>
      </c>
      <c r="J1242" s="67">
        <v>0</v>
      </c>
      <c r="K1242" s="62">
        <v>143349.39</v>
      </c>
      <c r="L1242" s="33" t="e">
        <f>HLOOKUP(B1242,#REF!,1,0)</f>
        <v>#REF!</v>
      </c>
      <c r="M1242" s="33" t="str">
        <f t="shared" si="79"/>
        <v>BS</v>
      </c>
    </row>
    <row r="1243" spans="1:13" s="33" customFormat="true" ht="12.75" customHeight="true">
      <c r="A1243" s="33" t="str">
        <f t="shared" si="76"/>
        <v>MAR - Fixed Assets</v>
      </c>
      <c r="B1243" s="33" t="str">
        <f t="shared" si="77"/>
        <v>MAR</v>
      </c>
      <c r="C1243" s="33" t="str">
        <f t="shared" si="78"/>
        <v>15600-0000</v>
      </c>
      <c r="D1243" s="64" t="s">
        <v>1644</v>
      </c>
      <c r="E1243" s="64" t="s">
        <v>337</v>
      </c>
      <c r="F1243" s="64" t="s">
        <v>230</v>
      </c>
      <c r="G1243" s="64" t="s">
        <v>16</v>
      </c>
      <c r="H1243" s="64" t="s">
        <v>63</v>
      </c>
      <c r="I1243" s="64" t="s">
        <v>64</v>
      </c>
      <c r="J1243" s="67">
        <v>0</v>
      </c>
      <c r="K1243" s="62">
        <v>4620</v>
      </c>
      <c r="L1243" s="33" t="e">
        <f>HLOOKUP(B1243,#REF!,1,0)</f>
        <v>#REF!</v>
      </c>
      <c r="M1243" s="33" t="str">
        <f t="shared" si="79"/>
        <v>BS</v>
      </c>
    </row>
    <row r="1244" spans="1:13" s="33" customFormat="true" ht="12.75" customHeight="true">
      <c r="A1244" s="33" t="str">
        <f t="shared" si="76"/>
        <v>MAR - Fixed Assets</v>
      </c>
      <c r="B1244" s="33" t="str">
        <f t="shared" si="77"/>
        <v>MAR</v>
      </c>
      <c r="C1244" s="33" t="str">
        <f t="shared" si="78"/>
        <v>17000-0000</v>
      </c>
      <c r="D1244" s="64" t="s">
        <v>1645</v>
      </c>
      <c r="E1244" s="64" t="s">
        <v>306</v>
      </c>
      <c r="F1244" s="64" t="s">
        <v>230</v>
      </c>
      <c r="G1244" s="64" t="s">
        <v>62</v>
      </c>
      <c r="H1244" s="64" t="s">
        <v>63</v>
      </c>
      <c r="I1244" s="64" t="s">
        <v>64</v>
      </c>
      <c r="J1244" s="67">
        <v>0</v>
      </c>
      <c r="K1244" s="62">
        <v>-304718</v>
      </c>
      <c r="L1244" s="33" t="e">
        <f>HLOOKUP(B1244,#REF!,1,0)</f>
        <v>#REF!</v>
      </c>
      <c r="M1244" s="33" t="str">
        <f t="shared" si="79"/>
        <v>BS</v>
      </c>
    </row>
    <row r="1245" spans="1:13" s="33" customFormat="true" ht="12.75" customHeight="true">
      <c r="A1245" s="33" t="str">
        <f t="shared" si="76"/>
        <v>MAR - Fixed Assets</v>
      </c>
      <c r="B1245" s="33" t="str">
        <f t="shared" si="77"/>
        <v>MAR</v>
      </c>
      <c r="C1245" s="33" t="str">
        <f t="shared" si="78"/>
        <v>18000-0000</v>
      </c>
      <c r="D1245" s="64" t="s">
        <v>1646</v>
      </c>
      <c r="E1245" s="64" t="s">
        <v>308</v>
      </c>
      <c r="F1245" s="64" t="s">
        <v>230</v>
      </c>
      <c r="G1245" s="64" t="s">
        <v>62</v>
      </c>
      <c r="H1245" s="64" t="s">
        <v>63</v>
      </c>
      <c r="I1245" s="64" t="s">
        <v>64</v>
      </c>
      <c r="J1245" s="67">
        <v>0</v>
      </c>
      <c r="K1245" s="62">
        <v>-16551</v>
      </c>
      <c r="L1245" s="33" t="e">
        <f>HLOOKUP(B1245,#REF!,1,0)</f>
        <v>#REF!</v>
      </c>
      <c r="M1245" s="33" t="str">
        <f t="shared" si="79"/>
        <v>BS</v>
      </c>
    </row>
    <row r="1246" spans="1:13" s="33" customFormat="true" ht="12.75" customHeight="true">
      <c r="A1246" s="33" t="str">
        <f t="shared" si="76"/>
        <v>MAR - Deposits</v>
      </c>
      <c r="B1246" s="33" t="str">
        <f t="shared" si="77"/>
        <v>MAR</v>
      </c>
      <c r="C1246" s="33" t="str">
        <f t="shared" si="78"/>
        <v>19001-0000</v>
      </c>
      <c r="D1246" s="64" t="s">
        <v>1647</v>
      </c>
      <c r="E1246" s="64" t="s">
        <v>344</v>
      </c>
      <c r="F1246" s="64" t="s">
        <v>230</v>
      </c>
      <c r="G1246" s="64" t="s">
        <v>62</v>
      </c>
      <c r="H1246" s="64" t="s">
        <v>80</v>
      </c>
      <c r="I1246" s="64" t="s">
        <v>81</v>
      </c>
      <c r="J1246" s="67">
        <v>0</v>
      </c>
      <c r="K1246" s="62">
        <v>10010</v>
      </c>
      <c r="L1246" s="33" t="e">
        <f>HLOOKUP(B1246,#REF!,1,0)</f>
        <v>#REF!</v>
      </c>
      <c r="M1246" s="33" t="str">
        <f t="shared" si="79"/>
        <v>BS</v>
      </c>
    </row>
    <row r="1247" spans="1:13" s="33" customFormat="true" ht="12.75" customHeight="true">
      <c r="A1247" s="33" t="str">
        <f t="shared" si="76"/>
        <v>MAR - AP-Accr Exp</v>
      </c>
      <c r="B1247" s="33" t="str">
        <f t="shared" si="77"/>
        <v>MAR</v>
      </c>
      <c r="C1247" s="33" t="str">
        <f t="shared" si="78"/>
        <v>20001-0000</v>
      </c>
      <c r="D1247" s="64" t="s">
        <v>1648</v>
      </c>
      <c r="E1247" s="64" t="s">
        <v>96</v>
      </c>
      <c r="F1247" s="64" t="s">
        <v>230</v>
      </c>
      <c r="G1247" s="64" t="s">
        <v>97</v>
      </c>
      <c r="H1247" s="64" t="s">
        <v>98</v>
      </c>
      <c r="I1247" s="64" t="s">
        <v>99</v>
      </c>
      <c r="J1247" s="67">
        <v>119.67</v>
      </c>
      <c r="K1247" s="62">
        <v>0</v>
      </c>
      <c r="L1247" s="33" t="e">
        <f>HLOOKUP(B1247,#REF!,1,0)</f>
        <v>#REF!</v>
      </c>
      <c r="M1247" s="33" t="str">
        <f t="shared" si="79"/>
        <v>BS</v>
      </c>
    </row>
    <row r="1248" spans="1:13" s="33" customFormat="true" ht="12.75" customHeight="true">
      <c r="A1248" s="33" t="str">
        <f t="shared" si="76"/>
        <v>MAR - AP-Accr Exp</v>
      </c>
      <c r="B1248" s="33" t="str">
        <f t="shared" si="77"/>
        <v>MAR</v>
      </c>
      <c r="C1248" s="33" t="str">
        <f t="shared" si="78"/>
        <v>23509-0000</v>
      </c>
      <c r="D1248" s="64" t="s">
        <v>1649</v>
      </c>
      <c r="E1248" s="64" t="s">
        <v>1650</v>
      </c>
      <c r="F1248" s="64" t="s">
        <v>230</v>
      </c>
      <c r="G1248" s="64" t="s">
        <v>97</v>
      </c>
      <c r="H1248" s="64" t="s">
        <v>98</v>
      </c>
      <c r="I1248" s="64" t="s">
        <v>102</v>
      </c>
      <c r="J1248" s="67">
        <v>0</v>
      </c>
      <c r="K1248" s="62">
        <v>0</v>
      </c>
      <c r="L1248" s="33" t="e">
        <f>HLOOKUP(B1248,#REF!,1,0)</f>
        <v>#REF!</v>
      </c>
      <c r="M1248" s="33" t="str">
        <f t="shared" si="79"/>
        <v>BS</v>
      </c>
    </row>
    <row r="1249" spans="1:13" s="33" customFormat="true" ht="12.75" customHeight="true">
      <c r="A1249" s="33" t="str">
        <f t="shared" si="76"/>
        <v>MAR - AP-Accr Exp</v>
      </c>
      <c r="B1249" s="33" t="str">
        <f t="shared" si="77"/>
        <v>MAR</v>
      </c>
      <c r="C1249" s="33" t="str">
        <f t="shared" si="78"/>
        <v>24800-0000</v>
      </c>
      <c r="D1249" s="64" t="s">
        <v>1651</v>
      </c>
      <c r="E1249" s="64" t="s">
        <v>232</v>
      </c>
      <c r="F1249" s="64" t="s">
        <v>230</v>
      </c>
      <c r="G1249" s="64" t="s">
        <v>97</v>
      </c>
      <c r="H1249" s="64" t="s">
        <v>98</v>
      </c>
      <c r="I1249" s="64" t="s">
        <v>102</v>
      </c>
      <c r="J1249" s="67">
        <v>0</v>
      </c>
      <c r="K1249" s="62">
        <v>-21695</v>
      </c>
      <c r="L1249" s="33" t="e">
        <f>HLOOKUP(B1249,#REF!,1,0)</f>
        <v>#REF!</v>
      </c>
      <c r="M1249" s="33" t="str">
        <f t="shared" si="79"/>
        <v>BS</v>
      </c>
    </row>
    <row r="1250" spans="1:13" s="33" customFormat="true" ht="12.75" customHeight="true">
      <c r="A1250" s="33" t="str">
        <f t="shared" si="76"/>
        <v>MAR - InterCo Notes</v>
      </c>
      <c r="B1250" s="33" t="str">
        <f t="shared" si="77"/>
        <v>MAR</v>
      </c>
      <c r="C1250" s="33" t="str">
        <f t="shared" si="78"/>
        <v>25100-0000</v>
      </c>
      <c r="D1250" s="64" t="s">
        <v>1652</v>
      </c>
      <c r="E1250" s="64" t="s">
        <v>430</v>
      </c>
      <c r="F1250" s="64" t="s">
        <v>230</v>
      </c>
      <c r="G1250" s="64" t="s">
        <v>16</v>
      </c>
      <c r="H1250" s="64" t="s">
        <v>315</v>
      </c>
      <c r="I1250" s="64" t="s">
        <v>40</v>
      </c>
      <c r="J1250" s="67">
        <v>0</v>
      </c>
      <c r="K1250" s="62">
        <v>-1238500</v>
      </c>
      <c r="L1250" s="33" t="e">
        <f>HLOOKUP(B1250,#REF!,1,0)</f>
        <v>#REF!</v>
      </c>
      <c r="M1250" s="33" t="str">
        <f t="shared" si="79"/>
        <v>BS</v>
      </c>
    </row>
    <row r="1251" spans="1:13" s="33" customFormat="true" ht="12.75" customHeight="true">
      <c r="A1251" s="33" t="str">
        <f t="shared" si="76"/>
        <v>MAR - Principal</v>
      </c>
      <c r="B1251" s="33" t="str">
        <f t="shared" si="77"/>
        <v>MAR</v>
      </c>
      <c r="C1251" s="33" t="str">
        <f t="shared" si="78"/>
        <v>26800-0000</v>
      </c>
      <c r="D1251" s="64" t="s">
        <v>1653</v>
      </c>
      <c r="E1251" s="64" t="s">
        <v>402</v>
      </c>
      <c r="F1251" s="64" t="s">
        <v>230</v>
      </c>
      <c r="G1251" s="64" t="s">
        <v>97</v>
      </c>
      <c r="H1251" s="64" t="s">
        <v>127</v>
      </c>
      <c r="I1251" s="64" t="s">
        <v>128</v>
      </c>
      <c r="J1251" s="67">
        <v>0</v>
      </c>
      <c r="K1251" s="62">
        <v>-150000</v>
      </c>
      <c r="L1251" s="33" t="e">
        <f>HLOOKUP(B1251,#REF!,1,0)</f>
        <v>#REF!</v>
      </c>
      <c r="M1251" s="33" t="str">
        <f t="shared" si="79"/>
        <v>BS</v>
      </c>
    </row>
    <row r="1252" spans="1:13" s="33" customFormat="true" ht="12.75" customHeight="true">
      <c r="A1252" s="33" t="str">
        <f t="shared" si="76"/>
        <v>MAR - Principal</v>
      </c>
      <c r="B1252" s="33" t="str">
        <f t="shared" si="77"/>
        <v>MAR</v>
      </c>
      <c r="C1252" s="33" t="str">
        <f t="shared" si="78"/>
        <v>28003-0000</v>
      </c>
      <c r="D1252" s="64" t="s">
        <v>1654</v>
      </c>
      <c r="E1252" s="64" t="s">
        <v>433</v>
      </c>
      <c r="F1252" s="64" t="s">
        <v>230</v>
      </c>
      <c r="G1252" s="64" t="s">
        <v>123</v>
      </c>
      <c r="H1252" s="64" t="s">
        <v>127</v>
      </c>
      <c r="I1252" s="64" t="s">
        <v>133</v>
      </c>
      <c r="J1252" s="67">
        <v>4645.55</v>
      </c>
      <c r="K1252" s="62">
        <v>-2881660.14</v>
      </c>
      <c r="L1252" s="33" t="e">
        <f>HLOOKUP(B1252,#REF!,1,0)</f>
        <v>#REF!</v>
      </c>
      <c r="M1252" s="33" t="str">
        <f t="shared" si="79"/>
        <v>BS</v>
      </c>
    </row>
    <row r="1253" spans="1:13" s="33" customFormat="true" ht="12.75" customHeight="true">
      <c r="A1253" s="33" t="str">
        <f t="shared" si="76"/>
        <v>MAR - SH Dist</v>
      </c>
      <c r="B1253" s="33" t="str">
        <f t="shared" si="77"/>
        <v>MAR</v>
      </c>
      <c r="C1253" s="33" t="str">
        <f t="shared" si="78"/>
        <v>30700-0000</v>
      </c>
      <c r="D1253" s="64" t="s">
        <v>1655</v>
      </c>
      <c r="E1253" s="64" t="s">
        <v>319</v>
      </c>
      <c r="F1253" s="64" t="s">
        <v>230</v>
      </c>
      <c r="G1253" s="64" t="s">
        <v>142</v>
      </c>
      <c r="H1253" s="64" t="s">
        <v>143</v>
      </c>
      <c r="I1253" s="64" t="s">
        <v>144</v>
      </c>
      <c r="J1253" s="67">
        <v>0</v>
      </c>
      <c r="K1253" s="62">
        <v>-689331</v>
      </c>
      <c r="L1253" s="33" t="e">
        <f>HLOOKUP(B1253,#REF!,1,0)</f>
        <v>#REF!</v>
      </c>
      <c r="M1253" s="33" t="str">
        <f t="shared" si="79"/>
        <v>BS</v>
      </c>
    </row>
    <row r="1254" spans="1:13" s="33" customFormat="true" ht="12.75" customHeight="true">
      <c r="A1254" s="33" t="str">
        <f t="shared" si="76"/>
        <v>MAR - Retained Earnings</v>
      </c>
      <c r="B1254" s="33" t="str">
        <f t="shared" si="77"/>
        <v>MAR</v>
      </c>
      <c r="C1254" s="33" t="str">
        <f t="shared" si="78"/>
        <v>32000-0000</v>
      </c>
      <c r="D1254" s="64" t="s">
        <v>1656</v>
      </c>
      <c r="E1254" s="64" t="s">
        <v>234</v>
      </c>
      <c r="F1254" s="64" t="s">
        <v>230</v>
      </c>
      <c r="G1254" s="64" t="s">
        <v>142</v>
      </c>
      <c r="H1254" s="64" t="s">
        <v>149</v>
      </c>
      <c r="I1254" s="64" t="s">
        <v>235</v>
      </c>
      <c r="J1254" s="67">
        <v>0</v>
      </c>
      <c r="K1254" s="62">
        <v>177876.49</v>
      </c>
      <c r="L1254" s="33" t="e">
        <f>HLOOKUP(B1254,#REF!,1,0)</f>
        <v>#REF!</v>
      </c>
      <c r="M1254" s="33" t="str">
        <f t="shared" si="79"/>
        <v>BS</v>
      </c>
    </row>
    <row r="1255" spans="1:13" s="33" customFormat="true" ht="12.75" customHeight="true">
      <c r="A1255" s="33" t="str">
        <f t="shared" si="76"/>
        <v>NCE - AR-PPD</v>
      </c>
      <c r="B1255" s="33" t="str">
        <f t="shared" si="77"/>
        <v>NCE</v>
      </c>
      <c r="C1255" s="33" t="str">
        <f t="shared" si="78"/>
        <v>10006-0000</v>
      </c>
      <c r="D1255" s="64" t="s">
        <v>1657</v>
      </c>
      <c r="E1255" s="64" t="s">
        <v>1658</v>
      </c>
      <c r="F1255" s="64" t="s">
        <v>679</v>
      </c>
      <c r="G1255" s="64" t="s">
        <v>16</v>
      </c>
      <c r="H1255" s="64" t="s">
        <v>35</v>
      </c>
      <c r="I1255" s="64" t="s">
        <v>18</v>
      </c>
      <c r="J1255" s="67">
        <v>0</v>
      </c>
      <c r="K1255" s="62">
        <v>100</v>
      </c>
      <c r="L1255" s="33" t="e">
        <f>HLOOKUP(B1255,#REF!,1,0)</f>
        <v>#REF!</v>
      </c>
      <c r="M1255" s="33" t="str">
        <f t="shared" si="79"/>
        <v>BS</v>
      </c>
    </row>
    <row r="1256" spans="1:13" s="33" customFormat="true" ht="12.75" customHeight="true">
      <c r="A1256" s="33" t="str">
        <f t="shared" si="76"/>
        <v>NCE - AR-PPD</v>
      </c>
      <c r="B1256" s="33" t="str">
        <f t="shared" si="77"/>
        <v>NCE</v>
      </c>
      <c r="C1256" s="33" t="str">
        <f t="shared" si="78"/>
        <v>10007-0000</v>
      </c>
      <c r="D1256" s="64" t="s">
        <v>1659</v>
      </c>
      <c r="E1256" s="64" t="s">
        <v>1660</v>
      </c>
      <c r="F1256" s="64" t="s">
        <v>679</v>
      </c>
      <c r="G1256" s="64" t="s">
        <v>16</v>
      </c>
      <c r="H1256" s="64" t="s">
        <v>35</v>
      </c>
      <c r="I1256" s="64" t="s">
        <v>18</v>
      </c>
      <c r="J1256" s="67">
        <v>0</v>
      </c>
      <c r="K1256" s="62">
        <v>473.8</v>
      </c>
      <c r="L1256" s="33" t="e">
        <f>HLOOKUP(B1256,#REF!,1,0)</f>
        <v>#REF!</v>
      </c>
      <c r="M1256" s="33" t="str">
        <f t="shared" si="79"/>
        <v>BS</v>
      </c>
    </row>
    <row r="1257" spans="1:13" s="33" customFormat="true" ht="12.75" customHeight="true">
      <c r="A1257" s="33" t="str">
        <f t="shared" si="76"/>
        <v>NCE - AR-PPD</v>
      </c>
      <c r="B1257" s="33" t="str">
        <f t="shared" si="77"/>
        <v>NCE</v>
      </c>
      <c r="C1257" s="33" t="str">
        <f t="shared" si="78"/>
        <v>10010-0000</v>
      </c>
      <c r="D1257" s="64" t="s">
        <v>1661</v>
      </c>
      <c r="E1257" s="64" t="s">
        <v>1662</v>
      </c>
      <c r="F1257" s="64" t="s">
        <v>679</v>
      </c>
      <c r="G1257" s="64" t="s">
        <v>16</v>
      </c>
      <c r="H1257" s="64" t="s">
        <v>35</v>
      </c>
      <c r="I1257" s="64" t="s">
        <v>18</v>
      </c>
      <c r="J1257" s="67">
        <v>0</v>
      </c>
      <c r="K1257" s="62">
        <v>126688.6</v>
      </c>
      <c r="L1257" s="33" t="e">
        <f>HLOOKUP(B1257,#REF!,1,0)</f>
        <v>#REF!</v>
      </c>
      <c r="M1257" s="33" t="str">
        <f t="shared" si="79"/>
        <v>BS</v>
      </c>
    </row>
    <row r="1258" spans="1:13" s="33" customFormat="true" ht="12.75" customHeight="true">
      <c r="A1258" s="33" t="str">
        <f t="shared" si="76"/>
        <v>NCE - Cash</v>
      </c>
      <c r="B1258" s="33" t="str">
        <f t="shared" si="77"/>
        <v>NCE</v>
      </c>
      <c r="C1258" s="33" t="str">
        <f t="shared" si="78"/>
        <v>10021-0000</v>
      </c>
      <c r="D1258" s="64" t="s">
        <v>1663</v>
      </c>
      <c r="E1258" s="64" t="s">
        <v>546</v>
      </c>
      <c r="F1258" s="64" t="s">
        <v>679</v>
      </c>
      <c r="G1258" s="64" t="s">
        <v>16</v>
      </c>
      <c r="H1258" s="64" t="s">
        <v>25</v>
      </c>
      <c r="I1258" s="64" t="s">
        <v>18</v>
      </c>
      <c r="J1258" s="67">
        <v>0</v>
      </c>
      <c r="K1258" s="62">
        <v>-126460.39</v>
      </c>
      <c r="L1258" s="33" t="e">
        <f>HLOOKUP(B1258,#REF!,1,0)</f>
        <v>#REF!</v>
      </c>
      <c r="M1258" s="33" t="str">
        <f t="shared" si="79"/>
        <v>BS</v>
      </c>
    </row>
    <row r="1259" spans="1:13" s="33" customFormat="true" ht="12.75" customHeight="true">
      <c r="A1259" s="33" t="str">
        <f t="shared" si="76"/>
        <v>NCE - Cash</v>
      </c>
      <c r="B1259" s="33" t="str">
        <f t="shared" si="77"/>
        <v>NCE</v>
      </c>
      <c r="C1259" s="33" t="str">
        <f t="shared" si="78"/>
        <v>10024-0000</v>
      </c>
      <c r="D1259" s="64" t="s">
        <v>1664</v>
      </c>
      <c r="E1259" s="64" t="s">
        <v>1665</v>
      </c>
      <c r="F1259" s="64" t="s">
        <v>679</v>
      </c>
      <c r="G1259" s="64" t="s">
        <v>16</v>
      </c>
      <c r="H1259" s="64" t="s">
        <v>25</v>
      </c>
      <c r="I1259" s="64" t="s">
        <v>18</v>
      </c>
      <c r="J1259" s="67">
        <v>0</v>
      </c>
      <c r="K1259" s="62">
        <v>-800</v>
      </c>
      <c r="L1259" s="33" t="e">
        <f>HLOOKUP(B1259,#REF!,1,0)</f>
        <v>#REF!</v>
      </c>
      <c r="M1259" s="33" t="str">
        <f t="shared" si="79"/>
        <v>BS</v>
      </c>
    </row>
    <row r="1260" spans="1:13" s="33" customFormat="true" ht="12.75" customHeight="true">
      <c r="A1260" s="33" t="str">
        <f t="shared" si="76"/>
        <v>NCE - AR-PPD</v>
      </c>
      <c r="B1260" s="33" t="str">
        <f t="shared" si="77"/>
        <v>NCE</v>
      </c>
      <c r="C1260" s="33" t="str">
        <f t="shared" si="78"/>
        <v>11001-0000</v>
      </c>
      <c r="D1260" s="64" t="s">
        <v>1666</v>
      </c>
      <c r="E1260" s="64" t="s">
        <v>34</v>
      </c>
      <c r="F1260" s="64" t="s">
        <v>679</v>
      </c>
      <c r="G1260" s="64" t="s">
        <v>16</v>
      </c>
      <c r="H1260" s="64" t="s">
        <v>35</v>
      </c>
      <c r="I1260" s="64" t="s">
        <v>36</v>
      </c>
      <c r="J1260" s="67">
        <v>0</v>
      </c>
      <c r="K1260" s="62">
        <v>-15584.09</v>
      </c>
      <c r="L1260" s="33" t="e">
        <f>HLOOKUP(B1260,#REF!,1,0)</f>
        <v>#REF!</v>
      </c>
      <c r="M1260" s="33" t="str">
        <f t="shared" si="79"/>
        <v>BS</v>
      </c>
    </row>
    <row r="1261" spans="1:13" s="33" customFormat="true" ht="12.75" customHeight="true">
      <c r="A1261" s="33" t="str">
        <f t="shared" si="76"/>
        <v>NCE - InterCo Notes</v>
      </c>
      <c r="B1261" s="33" t="str">
        <f t="shared" si="77"/>
        <v>NCE</v>
      </c>
      <c r="C1261" s="33" t="str">
        <f t="shared" si="78"/>
        <v>11060-0000</v>
      </c>
      <c r="D1261" s="64" t="s">
        <v>1667</v>
      </c>
      <c r="E1261" s="64" t="s">
        <v>716</v>
      </c>
      <c r="F1261" s="64" t="s">
        <v>679</v>
      </c>
      <c r="G1261" s="64" t="s">
        <v>362</v>
      </c>
      <c r="H1261" s="64" t="s">
        <v>315</v>
      </c>
      <c r="I1261" s="64" t="s">
        <v>40</v>
      </c>
      <c r="J1261" s="67">
        <v>0</v>
      </c>
      <c r="K1261" s="62">
        <v>500000</v>
      </c>
      <c r="L1261" s="33" t="e">
        <f>HLOOKUP(B1261,#REF!,1,0)</f>
        <v>#REF!</v>
      </c>
      <c r="M1261" s="33" t="str">
        <f t="shared" si="79"/>
        <v>BS</v>
      </c>
    </row>
    <row r="1262" spans="1:13" s="33" customFormat="true" ht="12.75" customHeight="true">
      <c r="A1262" s="33" t="str">
        <f t="shared" si="76"/>
        <v>NCE - Deposits</v>
      </c>
      <c r="B1262" s="33" t="str">
        <f t="shared" si="77"/>
        <v>NCE</v>
      </c>
      <c r="C1262" s="33" t="str">
        <f t="shared" si="78"/>
        <v>17000-0000</v>
      </c>
      <c r="D1262" s="64" t="s">
        <v>1668</v>
      </c>
      <c r="E1262" s="64" t="s">
        <v>863</v>
      </c>
      <c r="F1262" s="64" t="s">
        <v>679</v>
      </c>
      <c r="G1262" s="64" t="s">
        <v>62</v>
      </c>
      <c r="H1262" s="64" t="s">
        <v>80</v>
      </c>
      <c r="I1262" s="64" t="s">
        <v>81</v>
      </c>
      <c r="J1262" s="67">
        <v>0</v>
      </c>
      <c r="K1262" s="62">
        <v>61725</v>
      </c>
      <c r="L1262" s="33" t="e">
        <f>HLOOKUP(B1262,#REF!,1,0)</f>
        <v>#REF!</v>
      </c>
      <c r="M1262" s="33" t="str">
        <f t="shared" si="79"/>
        <v>BS</v>
      </c>
    </row>
    <row r="1263" spans="1:13" s="33" customFormat="true" ht="12.75" customHeight="true">
      <c r="A1263" s="33" t="str">
        <f t="shared" si="76"/>
        <v>NCE - AP-Accr Exp</v>
      </c>
      <c r="B1263" s="33" t="str">
        <f t="shared" si="77"/>
        <v>NCE</v>
      </c>
      <c r="C1263" s="33" t="str">
        <f t="shared" si="78"/>
        <v>23004-0000</v>
      </c>
      <c r="D1263" s="64" t="s">
        <v>1669</v>
      </c>
      <c r="E1263" s="64" t="s">
        <v>1220</v>
      </c>
      <c r="F1263" s="64" t="s">
        <v>679</v>
      </c>
      <c r="G1263" s="64" t="s">
        <v>97</v>
      </c>
      <c r="H1263" s="64" t="s">
        <v>98</v>
      </c>
      <c r="I1263" s="64" t="s">
        <v>102</v>
      </c>
      <c r="J1263" s="67">
        <v>0</v>
      </c>
      <c r="K1263" s="62">
        <v>373.28</v>
      </c>
      <c r="L1263" s="33" t="e">
        <f>HLOOKUP(B1263,#REF!,1,0)</f>
        <v>#REF!</v>
      </c>
      <c r="M1263" s="33" t="str">
        <f t="shared" si="79"/>
        <v>BS</v>
      </c>
    </row>
    <row r="1264" spans="1:13" s="33" customFormat="true" ht="12.75" customHeight="true">
      <c r="A1264" s="33" t="str">
        <f t="shared" si="76"/>
        <v>NCE - AP-Accr Exp</v>
      </c>
      <c r="B1264" s="33" t="str">
        <f t="shared" si="77"/>
        <v>NCE</v>
      </c>
      <c r="C1264" s="33" t="str">
        <f t="shared" si="78"/>
        <v>23405-0000</v>
      </c>
      <c r="D1264" s="64" t="s">
        <v>1670</v>
      </c>
      <c r="E1264" s="64" t="s">
        <v>107</v>
      </c>
      <c r="F1264" s="64" t="s">
        <v>679</v>
      </c>
      <c r="G1264" s="64" t="s">
        <v>97</v>
      </c>
      <c r="H1264" s="64" t="s">
        <v>98</v>
      </c>
      <c r="I1264" s="64" t="s">
        <v>102</v>
      </c>
      <c r="J1264" s="67">
        <v>0</v>
      </c>
      <c r="K1264" s="62">
        <v>-194.26</v>
      </c>
      <c r="L1264" s="33" t="e">
        <f>HLOOKUP(B1264,#REF!,1,0)</f>
        <v>#REF!</v>
      </c>
      <c r="M1264" s="33" t="str">
        <f t="shared" si="79"/>
        <v>BS</v>
      </c>
    </row>
    <row r="1265" spans="1:13" s="33" customFormat="true" ht="12.75" customHeight="true">
      <c r="A1265" s="33" t="str">
        <f t="shared" si="76"/>
        <v>NCE - Tax Accr</v>
      </c>
      <c r="B1265" s="33" t="str">
        <f t="shared" si="77"/>
        <v>NCE</v>
      </c>
      <c r="C1265" s="33" t="str">
        <f t="shared" si="78"/>
        <v>23700-0000</v>
      </c>
      <c r="D1265" s="64" t="s">
        <v>1671</v>
      </c>
      <c r="E1265" s="64" t="s">
        <v>104</v>
      </c>
      <c r="F1265" s="64" t="s">
        <v>679</v>
      </c>
      <c r="G1265" s="64" t="s">
        <v>97</v>
      </c>
      <c r="H1265" s="64" t="s">
        <v>105</v>
      </c>
      <c r="I1265" s="64" t="s">
        <v>102</v>
      </c>
      <c r="J1265" s="67">
        <v>0</v>
      </c>
      <c r="K1265" s="62">
        <v>59.48</v>
      </c>
      <c r="L1265" s="33" t="e">
        <f>HLOOKUP(B1265,#REF!,1,0)</f>
        <v>#REF!</v>
      </c>
      <c r="M1265" s="33" t="str">
        <f t="shared" si="79"/>
        <v>BS</v>
      </c>
    </row>
    <row r="1266" spans="1:13" s="33" customFormat="true" ht="12.75" customHeight="true">
      <c r="A1266" s="33" t="str">
        <f t="shared" si="76"/>
        <v>NCE - SH Dist</v>
      </c>
      <c r="B1266" s="33" t="str">
        <f t="shared" si="77"/>
        <v>NCE</v>
      </c>
      <c r="C1266" s="33" t="str">
        <f t="shared" si="78"/>
        <v>30000-0000</v>
      </c>
      <c r="D1266" s="64" t="s">
        <v>1672</v>
      </c>
      <c r="E1266" s="64" t="s">
        <v>1673</v>
      </c>
      <c r="F1266" s="64" t="s">
        <v>679</v>
      </c>
      <c r="G1266" s="64" t="s">
        <v>142</v>
      </c>
      <c r="H1266" s="64" t="s">
        <v>143</v>
      </c>
      <c r="I1266" s="64" t="s">
        <v>144</v>
      </c>
      <c r="J1266" s="67">
        <v>0</v>
      </c>
      <c r="K1266" s="62">
        <v>-309160.13</v>
      </c>
      <c r="L1266" s="33" t="e">
        <f>HLOOKUP(B1266,#REF!,1,0)</f>
        <v>#REF!</v>
      </c>
      <c r="M1266" s="33" t="str">
        <f t="shared" si="79"/>
        <v>BS</v>
      </c>
    </row>
    <row r="1267" spans="1:13" s="33" customFormat="true" ht="12.75" customHeight="true">
      <c r="A1267" s="33" t="str">
        <f t="shared" si="76"/>
        <v>NCE - Retained Earnings</v>
      </c>
      <c r="B1267" s="33" t="str">
        <f t="shared" si="77"/>
        <v>NCE</v>
      </c>
      <c r="C1267" s="33" t="str">
        <f t="shared" si="78"/>
        <v>32000-0000</v>
      </c>
      <c r="D1267" s="64" t="s">
        <v>1674</v>
      </c>
      <c r="E1267" s="64" t="s">
        <v>234</v>
      </c>
      <c r="F1267" s="64" t="s">
        <v>679</v>
      </c>
      <c r="G1267" s="64" t="s">
        <v>142</v>
      </c>
      <c r="H1267" s="64" t="s">
        <v>149</v>
      </c>
      <c r="I1267" s="64" t="s">
        <v>150</v>
      </c>
      <c r="J1267" s="67">
        <v>0</v>
      </c>
      <c r="K1267" s="62">
        <v>592379.84</v>
      </c>
      <c r="L1267" s="33" t="e">
        <f>HLOOKUP(B1267,#REF!,1,0)</f>
        <v>#REF!</v>
      </c>
      <c r="M1267" s="33" t="str">
        <f t="shared" si="79"/>
        <v>BS</v>
      </c>
    </row>
    <row r="1268" spans="1:13" s="33" customFormat="true" ht="12.75" customHeight="true">
      <c r="A1268" s="33" t="str">
        <f t="shared" si="76"/>
        <v>NCE - SH Dist</v>
      </c>
      <c r="B1268" s="33" t="str">
        <f t="shared" si="77"/>
        <v>NCE</v>
      </c>
      <c r="C1268" s="33" t="str">
        <f t="shared" si="78"/>
        <v>36001-0000</v>
      </c>
      <c r="D1268" s="64" t="s">
        <v>1675</v>
      </c>
      <c r="E1268" s="64" t="s">
        <v>322</v>
      </c>
      <c r="F1268" s="64" t="s">
        <v>1676</v>
      </c>
      <c r="G1268" s="64" t="s">
        <v>142</v>
      </c>
      <c r="H1268" s="64" t="s">
        <v>143</v>
      </c>
      <c r="I1268" s="64" t="s">
        <v>144</v>
      </c>
      <c r="J1268" s="67">
        <v>0</v>
      </c>
      <c r="K1268" s="62">
        <v>-1000</v>
      </c>
      <c r="L1268" s="33" t="e">
        <f>HLOOKUP(B1268,#REF!,1,0)</f>
        <v>#REF!</v>
      </c>
      <c r="M1268" s="33" t="str">
        <f t="shared" si="79"/>
        <v>BS</v>
      </c>
    </row>
    <row r="1269" spans="1:13" s="33" customFormat="true" ht="12.75" customHeight="true">
      <c r="A1269" s="33" t="str">
        <f t="shared" si="76"/>
        <v>NCE - SH Dist</v>
      </c>
      <c r="B1269" s="33" t="str">
        <f t="shared" si="77"/>
        <v>NCE</v>
      </c>
      <c r="C1269" s="33" t="str">
        <f t="shared" si="78"/>
        <v>36100-0000</v>
      </c>
      <c r="D1269" s="64" t="s">
        <v>1677</v>
      </c>
      <c r="E1269" s="64" t="s">
        <v>734</v>
      </c>
      <c r="F1269" s="64" t="s">
        <v>679</v>
      </c>
      <c r="G1269" s="64" t="s">
        <v>142</v>
      </c>
      <c r="H1269" s="64" t="s">
        <v>143</v>
      </c>
      <c r="I1269" s="64" t="s">
        <v>144</v>
      </c>
      <c r="J1269" s="67">
        <v>0</v>
      </c>
      <c r="K1269" s="62">
        <v>-828601.13</v>
      </c>
      <c r="L1269" s="33" t="e">
        <f>HLOOKUP(B1269,#REF!,1,0)</f>
        <v>#REF!</v>
      </c>
      <c r="M1269" s="33" t="str">
        <f t="shared" si="79"/>
        <v>BS</v>
      </c>
    </row>
    <row r="1270" spans="1:13" s="33" customFormat="true" ht="12.75" customHeight="true">
      <c r="A1270" s="33" t="str">
        <f t="shared" si="76"/>
        <v>NEH - Cash</v>
      </c>
      <c r="B1270" s="33" t="str">
        <f t="shared" si="77"/>
        <v>NEH</v>
      </c>
      <c r="C1270" s="33" t="str">
        <f t="shared" si="78"/>
        <v>10021-0000</v>
      </c>
      <c r="D1270" s="64" t="s">
        <v>1678</v>
      </c>
      <c r="E1270" s="64" t="s">
        <v>678</v>
      </c>
      <c r="F1270" s="64" t="s">
        <v>679</v>
      </c>
      <c r="G1270" s="64" t="s">
        <v>16</v>
      </c>
      <c r="H1270" s="64" t="s">
        <v>25</v>
      </c>
      <c r="I1270" s="64" t="s">
        <v>18</v>
      </c>
      <c r="J1270" s="67">
        <v>584</v>
      </c>
      <c r="K1270" s="62">
        <v>18694.05</v>
      </c>
      <c r="L1270" s="33" t="e">
        <f>HLOOKUP(B1270,#REF!,1,0)</f>
        <v>#REF!</v>
      </c>
      <c r="M1270" s="33" t="str">
        <f t="shared" si="79"/>
        <v>BS</v>
      </c>
    </row>
    <row r="1271" spans="1:13" s="33" customFormat="true" ht="12.75" customHeight="true">
      <c r="A1271" s="33" t="str">
        <f t="shared" si="76"/>
        <v>NEH - Fixed Assets</v>
      </c>
      <c r="B1271" s="33" t="str">
        <f t="shared" si="77"/>
        <v>NEH</v>
      </c>
      <c r="C1271" s="33" t="str">
        <f t="shared" si="78"/>
        <v>14000-0000</v>
      </c>
      <c r="D1271" s="64" t="s">
        <v>1679</v>
      </c>
      <c r="E1271" s="64" t="s">
        <v>298</v>
      </c>
      <c r="F1271" s="64" t="s">
        <v>679</v>
      </c>
      <c r="G1271" s="64" t="s">
        <v>62</v>
      </c>
      <c r="H1271" s="64" t="s">
        <v>63</v>
      </c>
      <c r="I1271" s="64" t="s">
        <v>64</v>
      </c>
      <c r="J1271" s="67">
        <v>0</v>
      </c>
      <c r="K1271" s="62">
        <v>133333.33</v>
      </c>
      <c r="L1271" s="33" t="e">
        <f>HLOOKUP(B1271,#REF!,1,0)</f>
        <v>#REF!</v>
      </c>
      <c r="M1271" s="33" t="str">
        <f t="shared" si="79"/>
        <v>BS</v>
      </c>
    </row>
    <row r="1272" spans="1:13" s="33" customFormat="true" ht="12.75" customHeight="true">
      <c r="A1272" s="33" t="str">
        <f t="shared" si="76"/>
        <v>NEH - Fixed Assets</v>
      </c>
      <c r="B1272" s="33" t="str">
        <f t="shared" si="77"/>
        <v>NEH</v>
      </c>
      <c r="C1272" s="33" t="str">
        <f t="shared" si="78"/>
        <v>15000-0000</v>
      </c>
      <c r="D1272" s="64" t="s">
        <v>1680</v>
      </c>
      <c r="E1272" s="64" t="s">
        <v>300</v>
      </c>
      <c r="F1272" s="64" t="s">
        <v>679</v>
      </c>
      <c r="G1272" s="64" t="s">
        <v>62</v>
      </c>
      <c r="H1272" s="64" t="s">
        <v>63</v>
      </c>
      <c r="I1272" s="64" t="s">
        <v>64</v>
      </c>
      <c r="J1272" s="67">
        <v>0</v>
      </c>
      <c r="K1272" s="62">
        <v>266666.67</v>
      </c>
      <c r="L1272" s="33" t="e">
        <f>HLOOKUP(B1272,#REF!,1,0)</f>
        <v>#REF!</v>
      </c>
      <c r="M1272" s="33" t="str">
        <f t="shared" si="79"/>
        <v>BS</v>
      </c>
    </row>
    <row r="1273" spans="1:13" s="33" customFormat="true" ht="12.75" customHeight="true">
      <c r="A1273" s="33" t="str">
        <f t="shared" si="76"/>
        <v>NEH - Fixed Assets</v>
      </c>
      <c r="B1273" s="33" t="str">
        <f t="shared" si="77"/>
        <v>NEH</v>
      </c>
      <c r="C1273" s="33" t="str">
        <f t="shared" si="78"/>
        <v>16901-0000</v>
      </c>
      <c r="D1273" s="64" t="s">
        <v>1681</v>
      </c>
      <c r="E1273" s="64" t="s">
        <v>77</v>
      </c>
      <c r="F1273" s="64" t="s">
        <v>679</v>
      </c>
      <c r="G1273" s="64" t="s">
        <v>62</v>
      </c>
      <c r="H1273" s="64" t="s">
        <v>63</v>
      </c>
      <c r="I1273" s="64" t="s">
        <v>64</v>
      </c>
      <c r="J1273" s="67">
        <v>0</v>
      </c>
      <c r="K1273" s="62">
        <v>-22222</v>
      </c>
      <c r="L1273" s="33" t="e">
        <f>HLOOKUP(B1273,#REF!,1,0)</f>
        <v>#REF!</v>
      </c>
      <c r="M1273" s="33" t="str">
        <f t="shared" si="79"/>
        <v>BS</v>
      </c>
    </row>
    <row r="1274" spans="1:13" s="33" customFormat="true" ht="12.75" customHeight="true">
      <c r="A1274" s="33" t="str">
        <f t="shared" si="76"/>
        <v>NEH - SH Dist</v>
      </c>
      <c r="B1274" s="33" t="str">
        <f t="shared" si="77"/>
        <v>NEH</v>
      </c>
      <c r="C1274" s="33" t="str">
        <f t="shared" si="78"/>
        <v>30100-0000</v>
      </c>
      <c r="D1274" s="64" t="s">
        <v>1682</v>
      </c>
      <c r="E1274" s="64" t="s">
        <v>1458</v>
      </c>
      <c r="F1274" s="64" t="s">
        <v>679</v>
      </c>
      <c r="G1274" s="64" t="s">
        <v>142</v>
      </c>
      <c r="H1274" s="64" t="s">
        <v>143</v>
      </c>
      <c r="I1274" s="64" t="s">
        <v>144</v>
      </c>
      <c r="J1274" s="67">
        <v>0</v>
      </c>
      <c r="K1274" s="62">
        <v>-456107.11</v>
      </c>
      <c r="L1274" s="33" t="e">
        <f>HLOOKUP(B1274,#REF!,1,0)</f>
        <v>#REF!</v>
      </c>
      <c r="M1274" s="33" t="str">
        <f t="shared" si="79"/>
        <v>BS</v>
      </c>
    </row>
    <row r="1275" spans="1:13" s="33" customFormat="true" ht="12.75" customHeight="true">
      <c r="A1275" s="33" t="str">
        <f t="shared" si="76"/>
        <v>NEH - Retained Earnings</v>
      </c>
      <c r="B1275" s="33" t="str">
        <f t="shared" si="77"/>
        <v>NEH</v>
      </c>
      <c r="C1275" s="33" t="str">
        <f t="shared" si="78"/>
        <v>32000-0000</v>
      </c>
      <c r="D1275" s="64" t="s">
        <v>1683</v>
      </c>
      <c r="E1275" s="64" t="s">
        <v>234</v>
      </c>
      <c r="F1275" s="64" t="s">
        <v>679</v>
      </c>
      <c r="G1275" s="64" t="s">
        <v>142</v>
      </c>
      <c r="H1275" s="64" t="s">
        <v>149</v>
      </c>
      <c r="I1275" s="64" t="s">
        <v>150</v>
      </c>
      <c r="J1275" s="67">
        <v>0</v>
      </c>
      <c r="K1275" s="62">
        <v>47508.4</v>
      </c>
      <c r="L1275" s="33" t="e">
        <f>HLOOKUP(B1275,#REF!,1,0)</f>
        <v>#REF!</v>
      </c>
      <c r="M1275" s="33" t="str">
        <f t="shared" si="79"/>
        <v>BS</v>
      </c>
    </row>
    <row r="1276" spans="1:13" s="33" customFormat="true" ht="12.75" customHeight="true">
      <c r="A1276" s="33" t="str">
        <f t="shared" si="76"/>
        <v>NEH - SH Dist</v>
      </c>
      <c r="B1276" s="33" t="str">
        <f t="shared" si="77"/>
        <v>NEH</v>
      </c>
      <c r="C1276" s="33" t="str">
        <f t="shared" si="78"/>
        <v>36001-0000</v>
      </c>
      <c r="D1276" s="64" t="s">
        <v>1684</v>
      </c>
      <c r="E1276" s="64" t="s">
        <v>322</v>
      </c>
      <c r="F1276" s="64" t="s">
        <v>679</v>
      </c>
      <c r="G1276" s="64" t="s">
        <v>142</v>
      </c>
      <c r="H1276" s="64" t="s">
        <v>143</v>
      </c>
      <c r="I1276" s="64" t="s">
        <v>144</v>
      </c>
      <c r="J1276" s="67">
        <v>0</v>
      </c>
      <c r="K1276" s="62">
        <v>5000</v>
      </c>
      <c r="L1276" s="33" t="e">
        <f>HLOOKUP(B1276,#REF!,1,0)</f>
        <v>#REF!</v>
      </c>
      <c r="M1276" s="33" t="str">
        <f t="shared" si="79"/>
        <v>BS</v>
      </c>
    </row>
    <row r="1277" spans="1:13" s="33" customFormat="true" ht="12.75" customHeight="true">
      <c r="A1277" s="33" t="str">
        <f t="shared" si="76"/>
        <v>NEP - Cash</v>
      </c>
      <c r="B1277" s="33" t="str">
        <f t="shared" si="77"/>
        <v>NEP</v>
      </c>
      <c r="C1277" s="33" t="str">
        <f t="shared" si="78"/>
        <v>10001-0000</v>
      </c>
      <c r="D1277" s="64" t="s">
        <v>1685</v>
      </c>
      <c r="E1277" s="64" t="s">
        <v>240</v>
      </c>
      <c r="F1277" s="64" t="s">
        <v>230</v>
      </c>
      <c r="G1277" s="64" t="s">
        <v>16</v>
      </c>
      <c r="H1277" s="64" t="s">
        <v>25</v>
      </c>
      <c r="I1277" s="64" t="s">
        <v>18</v>
      </c>
      <c r="J1277" s="67">
        <v>19871.25</v>
      </c>
      <c r="K1277" s="62">
        <v>70958.27</v>
      </c>
      <c r="L1277" s="33" t="e">
        <f>HLOOKUP(B1277,#REF!,1,0)</f>
        <v>#REF!</v>
      </c>
      <c r="M1277" s="33" t="str">
        <f t="shared" si="79"/>
        <v>BS</v>
      </c>
    </row>
    <row r="1278" spans="1:13" s="33" customFormat="true" ht="12.75" customHeight="true">
      <c r="A1278" s="33" t="str">
        <f t="shared" si="76"/>
        <v>NEP - Intercompany</v>
      </c>
      <c r="B1278" s="33" t="str">
        <f t="shared" si="77"/>
        <v>NEP</v>
      </c>
      <c r="C1278" s="33" t="str">
        <f t="shared" si="78"/>
        <v>11216-0000</v>
      </c>
      <c r="D1278" s="64" t="s">
        <v>1686</v>
      </c>
      <c r="E1278" s="64" t="s">
        <v>242</v>
      </c>
      <c r="F1278" s="64" t="s">
        <v>230</v>
      </c>
      <c r="G1278" s="64" t="s">
        <v>16</v>
      </c>
      <c r="H1278" s="64" t="s">
        <v>39</v>
      </c>
      <c r="I1278" s="64" t="s">
        <v>40</v>
      </c>
      <c r="J1278" s="67">
        <v>1822.01</v>
      </c>
      <c r="K1278" s="62">
        <v>83063.7</v>
      </c>
      <c r="L1278" s="33" t="e">
        <f>HLOOKUP(B1278,#REF!,1,0)</f>
        <v>#REF!</v>
      </c>
      <c r="M1278" s="33" t="str">
        <f t="shared" si="79"/>
        <v>BS</v>
      </c>
    </row>
    <row r="1279" spans="1:13" s="33" customFormat="true" ht="12.75" customHeight="true">
      <c r="A1279" s="33" t="str">
        <f t="shared" si="76"/>
        <v>NEP - Intercompany</v>
      </c>
      <c r="B1279" s="33" t="str">
        <f t="shared" si="77"/>
        <v>NEP</v>
      </c>
      <c r="C1279" s="33" t="str">
        <f t="shared" si="78"/>
        <v>11310-0000</v>
      </c>
      <c r="D1279" s="64" t="s">
        <v>1687</v>
      </c>
      <c r="E1279" s="64" t="s">
        <v>256</v>
      </c>
      <c r="F1279" s="64" t="s">
        <v>230</v>
      </c>
      <c r="G1279" s="64" t="s">
        <v>16</v>
      </c>
      <c r="H1279" s="64" t="s">
        <v>39</v>
      </c>
      <c r="I1279" s="64" t="s">
        <v>40</v>
      </c>
      <c r="J1279" s="67">
        <v>0</v>
      </c>
      <c r="K1279" s="62">
        <v>-15000</v>
      </c>
      <c r="L1279" s="33" t="e">
        <f>HLOOKUP(B1279,#REF!,1,0)</f>
        <v>#REF!</v>
      </c>
      <c r="M1279" s="33" t="str">
        <f t="shared" si="79"/>
        <v>BS</v>
      </c>
    </row>
    <row r="1280" spans="1:13" s="33" customFormat="true" ht="12.75" customHeight="true">
      <c r="A1280" s="33" t="str">
        <f t="shared" si="76"/>
        <v>NEP - Intercompany</v>
      </c>
      <c r="B1280" s="33" t="str">
        <f t="shared" si="77"/>
        <v>NEP</v>
      </c>
      <c r="C1280" s="33" t="str">
        <f t="shared" si="78"/>
        <v>11311-0000</v>
      </c>
      <c r="D1280" s="64" t="s">
        <v>1688</v>
      </c>
      <c r="E1280" s="64" t="s">
        <v>258</v>
      </c>
      <c r="F1280" s="64" t="s">
        <v>230</v>
      </c>
      <c r="G1280" s="64" t="s">
        <v>16</v>
      </c>
      <c r="H1280" s="64" t="s">
        <v>39</v>
      </c>
      <c r="I1280" s="64" t="s">
        <v>40</v>
      </c>
      <c r="J1280" s="67">
        <v>0</v>
      </c>
      <c r="K1280" s="62">
        <v>-25000</v>
      </c>
      <c r="L1280" s="33" t="e">
        <f>HLOOKUP(B1280,#REF!,1,0)</f>
        <v>#REF!</v>
      </c>
      <c r="M1280" s="33" t="str">
        <f t="shared" si="79"/>
        <v>BS</v>
      </c>
    </row>
    <row r="1281" spans="1:13" s="33" customFormat="true" ht="12.75" customHeight="true">
      <c r="A1281" s="33" t="str">
        <f t="shared" si="76"/>
        <v>NEP - Intercompany</v>
      </c>
      <c r="B1281" s="33" t="str">
        <f t="shared" si="77"/>
        <v>NEP</v>
      </c>
      <c r="C1281" s="33" t="str">
        <f t="shared" si="78"/>
        <v>11313-0000</v>
      </c>
      <c r="D1281" s="64" t="s">
        <v>1689</v>
      </c>
      <c r="E1281" s="64" t="s">
        <v>260</v>
      </c>
      <c r="F1281" s="64" t="s">
        <v>230</v>
      </c>
      <c r="G1281" s="64" t="s">
        <v>16</v>
      </c>
      <c r="H1281" s="64" t="s">
        <v>39</v>
      </c>
      <c r="I1281" s="64" t="s">
        <v>40</v>
      </c>
      <c r="J1281" s="67">
        <v>0</v>
      </c>
      <c r="K1281" s="62">
        <v>-15000</v>
      </c>
      <c r="L1281" s="33" t="e">
        <f>HLOOKUP(B1281,#REF!,1,0)</f>
        <v>#REF!</v>
      </c>
      <c r="M1281" s="33" t="str">
        <f t="shared" si="79"/>
        <v>BS</v>
      </c>
    </row>
    <row r="1282" spans="1:13" s="33" customFormat="true" ht="12.75" customHeight="true">
      <c r="A1282" s="33" t="str">
        <f t="shared" ref="A1282:A1345" si="80">B1282&amp;" - "&amp;TRIM(H1282)</f>
        <v>NEP - Intercompany</v>
      </c>
      <c r="B1282" s="33" t="str">
        <f t="shared" ref="B1282:B1345" si="81">LEFT(D1282,3)</f>
        <v>NEP</v>
      </c>
      <c r="C1282" s="33" t="str">
        <f t="shared" ref="C1282:C1345" si="82">RIGHT(D1282,10)</f>
        <v>11317-0000</v>
      </c>
      <c r="D1282" s="64" t="s">
        <v>1690</v>
      </c>
      <c r="E1282" s="64" t="s">
        <v>368</v>
      </c>
      <c r="F1282" s="64" t="s">
        <v>230</v>
      </c>
      <c r="G1282" s="64" t="s">
        <v>16</v>
      </c>
      <c r="H1282" s="64" t="s">
        <v>39</v>
      </c>
      <c r="I1282" s="64" t="s">
        <v>40</v>
      </c>
      <c r="J1282" s="67">
        <v>0</v>
      </c>
      <c r="K1282" s="62">
        <v>-5000</v>
      </c>
      <c r="L1282" s="33" t="e">
        <f>HLOOKUP(B1282,#REF!,1,0)</f>
        <v>#REF!</v>
      </c>
      <c r="M1282" s="33" t="str">
        <f t="shared" ref="M1282:M1345" si="83">IF(VALUE(LEFT(C1282,5))&gt;40000,"P&amp;L","BS")</f>
        <v>BS</v>
      </c>
    </row>
    <row r="1283" spans="1:13" s="33" customFormat="true" ht="12.75" customHeight="true">
      <c r="A1283" s="33" t="str">
        <f t="shared" si="80"/>
        <v>NEP - Intercompany</v>
      </c>
      <c r="B1283" s="33" t="str">
        <f t="shared" si="81"/>
        <v>NEP</v>
      </c>
      <c r="C1283" s="33" t="str">
        <f t="shared" si="82"/>
        <v>11318-0000</v>
      </c>
      <c r="D1283" s="64" t="s">
        <v>1691</v>
      </c>
      <c r="E1283" s="64" t="s">
        <v>478</v>
      </c>
      <c r="F1283" s="64" t="s">
        <v>230</v>
      </c>
      <c r="G1283" s="64" t="s">
        <v>16</v>
      </c>
      <c r="H1283" s="64" t="s">
        <v>39</v>
      </c>
      <c r="I1283" s="64" t="s">
        <v>40</v>
      </c>
      <c r="J1283" s="67">
        <v>0</v>
      </c>
      <c r="K1283" s="62">
        <v>15000</v>
      </c>
      <c r="L1283" s="33" t="e">
        <f>HLOOKUP(B1283,#REF!,1,0)</f>
        <v>#REF!</v>
      </c>
      <c r="M1283" s="33" t="str">
        <f t="shared" si="83"/>
        <v>BS</v>
      </c>
    </row>
    <row r="1284" spans="1:13" s="33" customFormat="true" ht="12.75" customHeight="true">
      <c r="A1284" s="33" t="str">
        <f t="shared" si="80"/>
        <v>NEP - Intercompany</v>
      </c>
      <c r="B1284" s="33" t="str">
        <f t="shared" si="81"/>
        <v>NEP</v>
      </c>
      <c r="C1284" s="33" t="str">
        <f t="shared" si="82"/>
        <v>11325-0000</v>
      </c>
      <c r="D1284" s="64" t="s">
        <v>1692</v>
      </c>
      <c r="E1284" s="64" t="s">
        <v>274</v>
      </c>
      <c r="F1284" s="64" t="s">
        <v>230</v>
      </c>
      <c r="G1284" s="64" t="s">
        <v>16</v>
      </c>
      <c r="H1284" s="64" t="s">
        <v>39</v>
      </c>
      <c r="I1284" s="64" t="s">
        <v>40</v>
      </c>
      <c r="J1284" s="67">
        <v>0</v>
      </c>
      <c r="K1284" s="62">
        <v>-5000</v>
      </c>
      <c r="L1284" s="33" t="e">
        <f>HLOOKUP(B1284,#REF!,1,0)</f>
        <v>#REF!</v>
      </c>
      <c r="M1284" s="33" t="str">
        <f t="shared" si="83"/>
        <v>BS</v>
      </c>
    </row>
    <row r="1285" spans="1:13" s="33" customFormat="true" ht="12.75" customHeight="true">
      <c r="A1285" s="33" t="str">
        <f t="shared" si="80"/>
        <v>NEP - Intercompany</v>
      </c>
      <c r="B1285" s="33" t="str">
        <f t="shared" si="81"/>
        <v>NEP</v>
      </c>
      <c r="C1285" s="33" t="str">
        <f t="shared" si="82"/>
        <v>11329-0000</v>
      </c>
      <c r="D1285" s="64" t="s">
        <v>1693</v>
      </c>
      <c r="E1285" s="64" t="s">
        <v>377</v>
      </c>
      <c r="F1285" s="64" t="s">
        <v>230</v>
      </c>
      <c r="G1285" s="64" t="s">
        <v>16</v>
      </c>
      <c r="H1285" s="64" t="s">
        <v>39</v>
      </c>
      <c r="I1285" s="64" t="s">
        <v>40</v>
      </c>
      <c r="J1285" s="67">
        <v>0</v>
      </c>
      <c r="K1285" s="62">
        <v>20000</v>
      </c>
      <c r="L1285" s="33" t="e">
        <f>HLOOKUP(B1285,#REF!,1,0)</f>
        <v>#REF!</v>
      </c>
      <c r="M1285" s="33" t="str">
        <f t="shared" si="83"/>
        <v>BS</v>
      </c>
    </row>
    <row r="1286" spans="1:13" s="33" customFormat="true" ht="12.75" customHeight="true">
      <c r="A1286" s="33" t="str">
        <f t="shared" si="80"/>
        <v>NEP - Intercompany</v>
      </c>
      <c r="B1286" s="33" t="str">
        <f t="shared" si="81"/>
        <v>NEP</v>
      </c>
      <c r="C1286" s="33" t="str">
        <f t="shared" si="82"/>
        <v>11332-0000</v>
      </c>
      <c r="D1286" s="64" t="s">
        <v>1694</v>
      </c>
      <c r="E1286" s="64" t="s">
        <v>331</v>
      </c>
      <c r="F1286" s="64" t="s">
        <v>230</v>
      </c>
      <c r="G1286" s="64" t="s">
        <v>16</v>
      </c>
      <c r="H1286" s="64" t="s">
        <v>39</v>
      </c>
      <c r="I1286" s="64" t="s">
        <v>40</v>
      </c>
      <c r="J1286" s="67">
        <v>0</v>
      </c>
      <c r="K1286" s="62">
        <v>70000</v>
      </c>
      <c r="L1286" s="33" t="e">
        <f>HLOOKUP(B1286,#REF!,1,0)</f>
        <v>#REF!</v>
      </c>
      <c r="M1286" s="33" t="str">
        <f t="shared" si="83"/>
        <v>BS</v>
      </c>
    </row>
    <row r="1287" spans="1:13" s="33" customFormat="true" ht="12.75" customHeight="true">
      <c r="A1287" s="33" t="str">
        <f t="shared" si="80"/>
        <v>NEP - Intercompany</v>
      </c>
      <c r="B1287" s="33" t="str">
        <f t="shared" si="81"/>
        <v>NEP</v>
      </c>
      <c r="C1287" s="33" t="str">
        <f t="shared" si="82"/>
        <v>11342-0000</v>
      </c>
      <c r="D1287" s="64" t="s">
        <v>1695</v>
      </c>
      <c r="E1287" s="64" t="s">
        <v>384</v>
      </c>
      <c r="F1287" s="64" t="s">
        <v>230</v>
      </c>
      <c r="G1287" s="64" t="s">
        <v>16</v>
      </c>
      <c r="H1287" s="64" t="s">
        <v>39</v>
      </c>
      <c r="I1287" s="64" t="s">
        <v>40</v>
      </c>
      <c r="J1287" s="67">
        <v>0</v>
      </c>
      <c r="K1287" s="62">
        <v>-5000</v>
      </c>
      <c r="L1287" s="33" t="e">
        <f>HLOOKUP(B1287,#REF!,1,0)</f>
        <v>#REF!</v>
      </c>
      <c r="M1287" s="33" t="str">
        <f t="shared" si="83"/>
        <v>BS</v>
      </c>
    </row>
    <row r="1288" spans="1:13" s="33" customFormat="true" ht="12.75" customHeight="true">
      <c r="A1288" s="33" t="str">
        <f t="shared" si="80"/>
        <v>NEP - Intercompany</v>
      </c>
      <c r="B1288" s="33" t="str">
        <f t="shared" si="81"/>
        <v>NEP</v>
      </c>
      <c r="C1288" s="33" t="str">
        <f t="shared" si="82"/>
        <v>11343-0000</v>
      </c>
      <c r="D1288" s="64" t="s">
        <v>1696</v>
      </c>
      <c r="E1288" s="64" t="s">
        <v>600</v>
      </c>
      <c r="F1288" s="64" t="s">
        <v>230</v>
      </c>
      <c r="G1288" s="64" t="s">
        <v>16</v>
      </c>
      <c r="H1288" s="64" t="s">
        <v>39</v>
      </c>
      <c r="I1288" s="64" t="s">
        <v>40</v>
      </c>
      <c r="J1288" s="67">
        <v>0</v>
      </c>
      <c r="K1288" s="62">
        <v>-20000</v>
      </c>
      <c r="L1288" s="33" t="e">
        <f>HLOOKUP(B1288,#REF!,1,0)</f>
        <v>#REF!</v>
      </c>
      <c r="M1288" s="33" t="str">
        <f t="shared" si="83"/>
        <v>BS</v>
      </c>
    </row>
    <row r="1289" spans="1:13" s="33" customFormat="true" ht="12.75" customHeight="true">
      <c r="A1289" s="33" t="str">
        <f t="shared" si="80"/>
        <v>NEP - Fixed Assets</v>
      </c>
      <c r="B1289" s="33" t="str">
        <f t="shared" si="81"/>
        <v>NEP</v>
      </c>
      <c r="C1289" s="33" t="str">
        <f t="shared" si="82"/>
        <v>14000-0000</v>
      </c>
      <c r="D1289" s="64" t="s">
        <v>1697</v>
      </c>
      <c r="E1289" s="64" t="s">
        <v>298</v>
      </c>
      <c r="F1289" s="64" t="s">
        <v>230</v>
      </c>
      <c r="G1289" s="64" t="s">
        <v>62</v>
      </c>
      <c r="H1289" s="64" t="s">
        <v>63</v>
      </c>
      <c r="I1289" s="64" t="s">
        <v>64</v>
      </c>
      <c r="J1289" s="67">
        <v>0</v>
      </c>
      <c r="K1289" s="62">
        <v>3200000</v>
      </c>
      <c r="L1289" s="33" t="e">
        <f>HLOOKUP(B1289,#REF!,1,0)</f>
        <v>#REF!</v>
      </c>
      <c r="M1289" s="33" t="str">
        <f t="shared" si="83"/>
        <v>BS</v>
      </c>
    </row>
    <row r="1290" spans="1:13" s="33" customFormat="true" ht="12.75" customHeight="true">
      <c r="A1290" s="33" t="str">
        <f t="shared" si="80"/>
        <v>NEP - Fixed Assets</v>
      </c>
      <c r="B1290" s="33" t="str">
        <f t="shared" si="81"/>
        <v>NEP</v>
      </c>
      <c r="C1290" s="33" t="str">
        <f t="shared" si="82"/>
        <v>15000-0000</v>
      </c>
      <c r="D1290" s="64" t="s">
        <v>1698</v>
      </c>
      <c r="E1290" s="64" t="s">
        <v>300</v>
      </c>
      <c r="F1290" s="64" t="s">
        <v>230</v>
      </c>
      <c r="G1290" s="64" t="s">
        <v>62</v>
      </c>
      <c r="H1290" s="64" t="s">
        <v>63</v>
      </c>
      <c r="I1290" s="64" t="s">
        <v>64</v>
      </c>
      <c r="J1290" s="67">
        <v>0</v>
      </c>
      <c r="K1290" s="62">
        <v>6400000</v>
      </c>
      <c r="L1290" s="33" t="e">
        <f>HLOOKUP(B1290,#REF!,1,0)</f>
        <v>#REF!</v>
      </c>
      <c r="M1290" s="33" t="str">
        <f t="shared" si="83"/>
        <v>BS</v>
      </c>
    </row>
    <row r="1291" spans="1:13" s="33" customFormat="true" ht="12.75" customHeight="true">
      <c r="A1291" s="33" t="str">
        <f t="shared" si="80"/>
        <v>NEP - Total Assets</v>
      </c>
      <c r="B1291" s="33" t="str">
        <f t="shared" si="81"/>
        <v>NEP</v>
      </c>
      <c r="C1291" s="33" t="str">
        <f t="shared" si="82"/>
        <v>15500-0000</v>
      </c>
      <c r="D1291" s="64" t="s">
        <v>1699</v>
      </c>
      <c r="E1291" s="64" t="s">
        <v>302</v>
      </c>
      <c r="F1291" s="64" t="s">
        <v>230</v>
      </c>
      <c r="G1291" s="64" t="s">
        <v>62</v>
      </c>
      <c r="H1291" s="64" t="s">
        <v>62</v>
      </c>
      <c r="I1291" s="64" t="s">
        <v>64</v>
      </c>
      <c r="J1291" s="67">
        <v>0</v>
      </c>
      <c r="K1291" s="62">
        <v>228049.17</v>
      </c>
      <c r="L1291" s="33" t="e">
        <f>HLOOKUP(B1291,#REF!,1,0)</f>
        <v>#REF!</v>
      </c>
      <c r="M1291" s="33" t="str">
        <f t="shared" si="83"/>
        <v>BS</v>
      </c>
    </row>
    <row r="1292" spans="1:13" s="33" customFormat="true" ht="12.75" customHeight="true">
      <c r="A1292" s="33" t="str">
        <f t="shared" si="80"/>
        <v>NEP - Fixed Assets</v>
      </c>
      <c r="B1292" s="33" t="str">
        <f t="shared" si="81"/>
        <v>NEP</v>
      </c>
      <c r="C1292" s="33" t="str">
        <f t="shared" si="82"/>
        <v>15600-0000</v>
      </c>
      <c r="D1292" s="64" t="s">
        <v>1700</v>
      </c>
      <c r="E1292" s="64" t="s">
        <v>337</v>
      </c>
      <c r="F1292" s="64" t="s">
        <v>230</v>
      </c>
      <c r="G1292" s="64" t="s">
        <v>16</v>
      </c>
      <c r="H1292" s="64" t="s">
        <v>63</v>
      </c>
      <c r="I1292" s="64" t="s">
        <v>64</v>
      </c>
      <c r="J1292" s="67">
        <v>0</v>
      </c>
      <c r="K1292" s="62">
        <v>7889.5</v>
      </c>
      <c r="L1292" s="33" t="e">
        <f>HLOOKUP(B1292,#REF!,1,0)</f>
        <v>#REF!</v>
      </c>
      <c r="M1292" s="33" t="str">
        <f t="shared" si="83"/>
        <v>BS</v>
      </c>
    </row>
    <row r="1293" spans="1:13" s="33" customFormat="true" ht="12.75" customHeight="true">
      <c r="A1293" s="33" t="str">
        <f t="shared" si="80"/>
        <v>NEP - Fixed Assets</v>
      </c>
      <c r="B1293" s="33" t="str">
        <f t="shared" si="81"/>
        <v>NEP</v>
      </c>
      <c r="C1293" s="33" t="str">
        <f t="shared" si="82"/>
        <v>16000-0000</v>
      </c>
      <c r="D1293" s="64" t="s">
        <v>1701</v>
      </c>
      <c r="E1293" s="64" t="s">
        <v>304</v>
      </c>
      <c r="F1293" s="64" t="s">
        <v>230</v>
      </c>
      <c r="G1293" s="64" t="s">
        <v>16</v>
      </c>
      <c r="H1293" s="64" t="s">
        <v>63</v>
      </c>
      <c r="I1293" s="64" t="s">
        <v>18</v>
      </c>
      <c r="J1293" s="67">
        <v>0</v>
      </c>
      <c r="K1293" s="62">
        <v>52000</v>
      </c>
      <c r="L1293" s="33" t="e">
        <f>HLOOKUP(B1293,#REF!,1,0)</f>
        <v>#REF!</v>
      </c>
      <c r="M1293" s="33" t="str">
        <f t="shared" si="83"/>
        <v>BS</v>
      </c>
    </row>
    <row r="1294" spans="1:13" s="33" customFormat="true" ht="12.75" customHeight="true">
      <c r="A1294" s="33" t="str">
        <f t="shared" si="80"/>
        <v>NEP - Fixed Assets</v>
      </c>
      <c r="B1294" s="33" t="str">
        <f t="shared" si="81"/>
        <v>NEP</v>
      </c>
      <c r="C1294" s="33" t="str">
        <f t="shared" si="82"/>
        <v>17000-0000</v>
      </c>
      <c r="D1294" s="64" t="s">
        <v>1702</v>
      </c>
      <c r="E1294" s="64" t="s">
        <v>306</v>
      </c>
      <c r="F1294" s="64" t="s">
        <v>230</v>
      </c>
      <c r="G1294" s="64" t="s">
        <v>62</v>
      </c>
      <c r="H1294" s="64" t="s">
        <v>63</v>
      </c>
      <c r="I1294" s="64" t="s">
        <v>64</v>
      </c>
      <c r="J1294" s="67">
        <v>0</v>
      </c>
      <c r="K1294" s="62">
        <v>-513143</v>
      </c>
      <c r="L1294" s="33" t="e">
        <f>HLOOKUP(B1294,#REF!,1,0)</f>
        <v>#REF!</v>
      </c>
      <c r="M1294" s="33" t="str">
        <f t="shared" si="83"/>
        <v>BS</v>
      </c>
    </row>
    <row r="1295" spans="1:13" s="33" customFormat="true" ht="12.75" customHeight="true">
      <c r="A1295" s="33" t="str">
        <f t="shared" si="80"/>
        <v>NEP - Fixed Assets</v>
      </c>
      <c r="B1295" s="33" t="str">
        <f t="shared" si="81"/>
        <v>NEP</v>
      </c>
      <c r="C1295" s="33" t="str">
        <f t="shared" si="82"/>
        <v>18000-0000</v>
      </c>
      <c r="D1295" s="64" t="s">
        <v>1703</v>
      </c>
      <c r="E1295" s="64" t="s">
        <v>308</v>
      </c>
      <c r="F1295" s="64" t="s">
        <v>230</v>
      </c>
      <c r="G1295" s="64" t="s">
        <v>62</v>
      </c>
      <c r="H1295" s="64" t="s">
        <v>63</v>
      </c>
      <c r="I1295" s="64" t="s">
        <v>64</v>
      </c>
      <c r="J1295" s="67">
        <v>0</v>
      </c>
      <c r="K1295" s="62">
        <v>-55150</v>
      </c>
      <c r="L1295" s="33" t="e">
        <f>HLOOKUP(B1295,#REF!,1,0)</f>
        <v>#REF!</v>
      </c>
      <c r="M1295" s="33" t="str">
        <f t="shared" si="83"/>
        <v>BS</v>
      </c>
    </row>
    <row r="1296" spans="1:13" s="33" customFormat="true" ht="12.75" customHeight="true">
      <c r="A1296" s="33" t="str">
        <f t="shared" si="80"/>
        <v>NEP - Deposits</v>
      </c>
      <c r="B1296" s="33" t="str">
        <f t="shared" si="81"/>
        <v>NEP</v>
      </c>
      <c r="C1296" s="33" t="str">
        <f t="shared" si="82"/>
        <v>19001-0000</v>
      </c>
      <c r="D1296" s="64" t="s">
        <v>1704</v>
      </c>
      <c r="E1296" s="64" t="s">
        <v>344</v>
      </c>
      <c r="F1296" s="64" t="s">
        <v>230</v>
      </c>
      <c r="G1296" s="64" t="s">
        <v>62</v>
      </c>
      <c r="H1296" s="64" t="s">
        <v>80</v>
      </c>
      <c r="I1296" s="64" t="s">
        <v>81</v>
      </c>
      <c r="J1296" s="67">
        <v>0</v>
      </c>
      <c r="K1296" s="62">
        <v>7585</v>
      </c>
      <c r="L1296" s="33" t="e">
        <f>HLOOKUP(B1296,#REF!,1,0)</f>
        <v>#REF!</v>
      </c>
      <c r="M1296" s="33" t="str">
        <f t="shared" si="83"/>
        <v>BS</v>
      </c>
    </row>
    <row r="1297" spans="1:13" s="33" customFormat="true" ht="12.75" customHeight="true">
      <c r="A1297" s="33" t="str">
        <f t="shared" si="80"/>
        <v>NEP - AP-Accr Exp</v>
      </c>
      <c r="B1297" s="33" t="str">
        <f t="shared" si="81"/>
        <v>NEP</v>
      </c>
      <c r="C1297" s="33" t="str">
        <f t="shared" si="82"/>
        <v>20001-0000</v>
      </c>
      <c r="D1297" s="64" t="s">
        <v>1705</v>
      </c>
      <c r="E1297" s="64" t="s">
        <v>96</v>
      </c>
      <c r="F1297" s="64" t="s">
        <v>230</v>
      </c>
      <c r="G1297" s="64" t="s">
        <v>97</v>
      </c>
      <c r="H1297" s="64" t="s">
        <v>98</v>
      </c>
      <c r="I1297" s="64" t="s">
        <v>99</v>
      </c>
      <c r="J1297" s="67">
        <v>3601.9</v>
      </c>
      <c r="K1297" s="62">
        <v>0</v>
      </c>
      <c r="L1297" s="33" t="e">
        <f>HLOOKUP(B1297,#REF!,1,0)</f>
        <v>#REF!</v>
      </c>
      <c r="M1297" s="33" t="str">
        <f t="shared" si="83"/>
        <v>BS</v>
      </c>
    </row>
    <row r="1298" spans="1:13" s="33" customFormat="true" ht="12.75" customHeight="true">
      <c r="A1298" s="33" t="str">
        <f t="shared" si="80"/>
        <v>NEP - AP-Accr Exp</v>
      </c>
      <c r="B1298" s="33" t="str">
        <f t="shared" si="81"/>
        <v>NEP</v>
      </c>
      <c r="C1298" s="33" t="str">
        <f t="shared" si="82"/>
        <v>23509-0000</v>
      </c>
      <c r="D1298" s="64" t="s">
        <v>1706</v>
      </c>
      <c r="E1298" s="64" t="s">
        <v>111</v>
      </c>
      <c r="F1298" s="64" t="s">
        <v>230</v>
      </c>
      <c r="G1298" s="64" t="s">
        <v>97</v>
      </c>
      <c r="H1298" s="64" t="s">
        <v>98</v>
      </c>
      <c r="I1298" s="64" t="s">
        <v>102</v>
      </c>
      <c r="J1298" s="67">
        <v>0</v>
      </c>
      <c r="K1298" s="62">
        <v>0</v>
      </c>
      <c r="L1298" s="33" t="e">
        <f>HLOOKUP(B1298,#REF!,1,0)</f>
        <v>#REF!</v>
      </c>
      <c r="M1298" s="33" t="str">
        <f t="shared" si="83"/>
        <v>BS</v>
      </c>
    </row>
    <row r="1299" spans="1:13" s="33" customFormat="true" ht="12.75" customHeight="true">
      <c r="A1299" s="33" t="str">
        <f t="shared" si="80"/>
        <v>NEP - AP-Accr Exp</v>
      </c>
      <c r="B1299" s="33" t="str">
        <f t="shared" si="81"/>
        <v>NEP</v>
      </c>
      <c r="C1299" s="33" t="str">
        <f t="shared" si="82"/>
        <v>24800-0000</v>
      </c>
      <c r="D1299" s="64" t="s">
        <v>1707</v>
      </c>
      <c r="E1299" s="64" t="s">
        <v>232</v>
      </c>
      <c r="F1299" s="64" t="s">
        <v>230</v>
      </c>
      <c r="G1299" s="64" t="s">
        <v>97</v>
      </c>
      <c r="H1299" s="64" t="s">
        <v>98</v>
      </c>
      <c r="I1299" s="64" t="s">
        <v>102</v>
      </c>
      <c r="J1299" s="67">
        <v>-6400</v>
      </c>
      <c r="K1299" s="62">
        <v>-65303</v>
      </c>
      <c r="L1299" s="33" t="e">
        <f>HLOOKUP(B1299,#REF!,1,0)</f>
        <v>#REF!</v>
      </c>
      <c r="M1299" s="33" t="str">
        <f t="shared" si="83"/>
        <v>BS</v>
      </c>
    </row>
    <row r="1300" spans="1:13" s="33" customFormat="true" ht="12.75" customHeight="true">
      <c r="A1300" s="33" t="str">
        <f t="shared" si="80"/>
        <v>NEP - AP-Accr Exp</v>
      </c>
      <c r="B1300" s="33" t="str">
        <f t="shared" si="81"/>
        <v>NEP</v>
      </c>
      <c r="C1300" s="33" t="str">
        <f t="shared" si="82"/>
        <v>24801-0000</v>
      </c>
      <c r="D1300" s="64" t="s">
        <v>1708</v>
      </c>
      <c r="E1300" s="64" t="s">
        <v>399</v>
      </c>
      <c r="F1300" s="64" t="s">
        <v>230</v>
      </c>
      <c r="G1300" s="64" t="s">
        <v>97</v>
      </c>
      <c r="H1300" s="64" t="s">
        <v>98</v>
      </c>
      <c r="I1300" s="64" t="s">
        <v>102</v>
      </c>
      <c r="J1300" s="67">
        <v>-500</v>
      </c>
      <c r="K1300" s="62">
        <v>0</v>
      </c>
      <c r="L1300" s="33" t="e">
        <f>HLOOKUP(B1300,#REF!,1,0)</f>
        <v>#REF!</v>
      </c>
      <c r="M1300" s="33" t="str">
        <f t="shared" si="83"/>
        <v>BS</v>
      </c>
    </row>
    <row r="1301" spans="1:13" s="33" customFormat="true" ht="12.75" customHeight="true">
      <c r="A1301" s="33" t="str">
        <f t="shared" si="80"/>
        <v>NEP - InterCo Notes</v>
      </c>
      <c r="B1301" s="33" t="str">
        <f t="shared" si="81"/>
        <v>NEP</v>
      </c>
      <c r="C1301" s="33" t="str">
        <f t="shared" si="82"/>
        <v>25100-0000</v>
      </c>
      <c r="D1301" s="64" t="s">
        <v>1709</v>
      </c>
      <c r="E1301" s="64" t="s">
        <v>430</v>
      </c>
      <c r="F1301" s="64" t="s">
        <v>230</v>
      </c>
      <c r="G1301" s="64" t="s">
        <v>16</v>
      </c>
      <c r="H1301" s="64" t="s">
        <v>315</v>
      </c>
      <c r="I1301" s="64" t="s">
        <v>40</v>
      </c>
      <c r="J1301" s="67">
        <v>0</v>
      </c>
      <c r="K1301" s="62">
        <v>-3160000</v>
      </c>
      <c r="L1301" s="33" t="e">
        <f>HLOOKUP(B1301,#REF!,1,0)</f>
        <v>#REF!</v>
      </c>
      <c r="M1301" s="33" t="str">
        <f t="shared" si="83"/>
        <v>BS</v>
      </c>
    </row>
    <row r="1302" spans="1:13" s="33" customFormat="true" ht="12.75" customHeight="true">
      <c r="A1302" s="33" t="str">
        <f t="shared" si="80"/>
        <v>NEP - Principal</v>
      </c>
      <c r="B1302" s="33" t="str">
        <f t="shared" si="81"/>
        <v>NEP</v>
      </c>
      <c r="C1302" s="33" t="str">
        <f t="shared" si="82"/>
        <v>26800-0000</v>
      </c>
      <c r="D1302" s="64" t="s">
        <v>1710</v>
      </c>
      <c r="E1302" s="64" t="s">
        <v>402</v>
      </c>
      <c r="F1302" s="64" t="s">
        <v>230</v>
      </c>
      <c r="G1302" s="64" t="s">
        <v>97</v>
      </c>
      <c r="H1302" s="64" t="s">
        <v>127</v>
      </c>
      <c r="I1302" s="64" t="s">
        <v>128</v>
      </c>
      <c r="J1302" s="67">
        <v>0</v>
      </c>
      <c r="K1302" s="62">
        <v>-150000</v>
      </c>
      <c r="L1302" s="33" t="e">
        <f>HLOOKUP(B1302,#REF!,1,0)</f>
        <v>#REF!</v>
      </c>
      <c r="M1302" s="33" t="str">
        <f t="shared" si="83"/>
        <v>BS</v>
      </c>
    </row>
    <row r="1303" spans="1:13" s="33" customFormat="true" ht="12.75" customHeight="true">
      <c r="A1303" s="33" t="str">
        <f t="shared" si="80"/>
        <v>NEP - Principal</v>
      </c>
      <c r="B1303" s="33" t="str">
        <f t="shared" si="81"/>
        <v>NEP</v>
      </c>
      <c r="C1303" s="33" t="str">
        <f t="shared" si="82"/>
        <v>28001-0000</v>
      </c>
      <c r="D1303" s="64" t="s">
        <v>1711</v>
      </c>
      <c r="E1303" s="64" t="s">
        <v>352</v>
      </c>
      <c r="F1303" s="64" t="s">
        <v>230</v>
      </c>
      <c r="G1303" s="64" t="s">
        <v>123</v>
      </c>
      <c r="H1303" s="64" t="s">
        <v>127</v>
      </c>
      <c r="I1303" s="64" t="s">
        <v>133</v>
      </c>
      <c r="J1303" s="67">
        <v>0</v>
      </c>
      <c r="K1303" s="62">
        <v>-5000000</v>
      </c>
      <c r="L1303" s="33" t="e">
        <f>HLOOKUP(B1303,#REF!,1,0)</f>
        <v>#REF!</v>
      </c>
      <c r="M1303" s="33" t="str">
        <f t="shared" si="83"/>
        <v>BS</v>
      </c>
    </row>
    <row r="1304" spans="1:13" s="33" customFormat="true" ht="12.75" customHeight="true">
      <c r="A1304" s="33" t="str">
        <f t="shared" si="80"/>
        <v>NEP - SH Dist</v>
      </c>
      <c r="B1304" s="33" t="str">
        <f t="shared" si="81"/>
        <v>NEP</v>
      </c>
      <c r="C1304" s="33" t="str">
        <f t="shared" si="82"/>
        <v>30700-0000</v>
      </c>
      <c r="D1304" s="64" t="s">
        <v>1712</v>
      </c>
      <c r="E1304" s="64" t="s">
        <v>319</v>
      </c>
      <c r="F1304" s="64" t="s">
        <v>230</v>
      </c>
      <c r="G1304" s="64" t="s">
        <v>142</v>
      </c>
      <c r="H1304" s="64" t="s">
        <v>143</v>
      </c>
      <c r="I1304" s="64" t="s">
        <v>144</v>
      </c>
      <c r="J1304" s="67">
        <v>0</v>
      </c>
      <c r="K1304" s="62">
        <v>-1327500</v>
      </c>
      <c r="L1304" s="33" t="e">
        <f>HLOOKUP(B1304,#REF!,1,0)</f>
        <v>#REF!</v>
      </c>
      <c r="M1304" s="33" t="str">
        <f t="shared" si="83"/>
        <v>BS</v>
      </c>
    </row>
    <row r="1305" spans="1:13" s="33" customFormat="true" ht="12.75" customHeight="true">
      <c r="A1305" s="33" t="str">
        <f t="shared" si="80"/>
        <v>NEP - Retained Earnings</v>
      </c>
      <c r="B1305" s="33" t="str">
        <f t="shared" si="81"/>
        <v>NEP</v>
      </c>
      <c r="C1305" s="33" t="str">
        <f t="shared" si="82"/>
        <v>32000-0000</v>
      </c>
      <c r="D1305" s="64" t="s">
        <v>1713</v>
      </c>
      <c r="E1305" s="64" t="s">
        <v>234</v>
      </c>
      <c r="F1305" s="64" t="s">
        <v>230</v>
      </c>
      <c r="G1305" s="64" t="s">
        <v>142</v>
      </c>
      <c r="H1305" s="64" t="s">
        <v>149</v>
      </c>
      <c r="I1305" s="64" t="s">
        <v>235</v>
      </c>
      <c r="J1305" s="67">
        <v>0</v>
      </c>
      <c r="K1305" s="62">
        <v>264873.3</v>
      </c>
      <c r="L1305" s="33" t="e">
        <f>HLOOKUP(B1305,#REF!,1,0)</f>
        <v>#REF!</v>
      </c>
      <c r="M1305" s="33" t="str">
        <f t="shared" si="83"/>
        <v>BS</v>
      </c>
    </row>
    <row r="1306" spans="1:13" s="33" customFormat="true" ht="12.75" customHeight="true">
      <c r="A1306" s="33" t="str">
        <f t="shared" si="80"/>
        <v>NES - Cash</v>
      </c>
      <c r="B1306" s="33" t="str">
        <f t="shared" si="81"/>
        <v>NES</v>
      </c>
      <c r="C1306" s="33" t="str">
        <f t="shared" si="82"/>
        <v>10021-0000</v>
      </c>
      <c r="D1306" s="64" t="s">
        <v>1714</v>
      </c>
      <c r="E1306" s="64" t="s">
        <v>1715</v>
      </c>
      <c r="F1306" s="64" t="s">
        <v>679</v>
      </c>
      <c r="G1306" s="64" t="s">
        <v>16</v>
      </c>
      <c r="H1306" s="64" t="s">
        <v>25</v>
      </c>
      <c r="I1306" s="64" t="s">
        <v>18</v>
      </c>
      <c r="J1306" s="67">
        <v>39309.97</v>
      </c>
      <c r="K1306" s="62">
        <v>52005.63</v>
      </c>
      <c r="L1306" s="33" t="e">
        <f>HLOOKUP(B1306,#REF!,1,0)</f>
        <v>#REF!</v>
      </c>
      <c r="M1306" s="33" t="str">
        <f t="shared" si="83"/>
        <v>BS</v>
      </c>
    </row>
    <row r="1307" spans="1:13" s="33" customFormat="true" ht="12.75" customHeight="true">
      <c r="A1307" s="33" t="str">
        <f t="shared" si="80"/>
        <v>NES - Intercompany</v>
      </c>
      <c r="B1307" s="33" t="str">
        <f t="shared" si="81"/>
        <v>NES</v>
      </c>
      <c r="C1307" s="33" t="str">
        <f t="shared" si="82"/>
        <v>11216-0000</v>
      </c>
      <c r="D1307" s="64" t="s">
        <v>1716</v>
      </c>
      <c r="E1307" s="64" t="s">
        <v>242</v>
      </c>
      <c r="F1307" s="64" t="s">
        <v>679</v>
      </c>
      <c r="G1307" s="64" t="s">
        <v>16</v>
      </c>
      <c r="H1307" s="64" t="s">
        <v>39</v>
      </c>
      <c r="I1307" s="64" t="s">
        <v>40</v>
      </c>
      <c r="J1307" s="67">
        <v>0</v>
      </c>
      <c r="K1307" s="62">
        <v>25000</v>
      </c>
      <c r="L1307" s="33" t="e">
        <f>HLOOKUP(B1307,#REF!,1,0)</f>
        <v>#REF!</v>
      </c>
      <c r="M1307" s="33" t="str">
        <f t="shared" si="83"/>
        <v>BS</v>
      </c>
    </row>
    <row r="1308" spans="1:13" s="33" customFormat="true" ht="12.75" customHeight="true">
      <c r="A1308" s="33" t="str">
        <f t="shared" si="80"/>
        <v>NES - AP-Accr Exp</v>
      </c>
      <c r="B1308" s="33" t="str">
        <f t="shared" si="81"/>
        <v>NES</v>
      </c>
      <c r="C1308" s="33" t="str">
        <f t="shared" si="82"/>
        <v>20001-0000</v>
      </c>
      <c r="D1308" s="64" t="s">
        <v>1717</v>
      </c>
      <c r="E1308" s="64" t="s">
        <v>96</v>
      </c>
      <c r="F1308" s="64" t="s">
        <v>679</v>
      </c>
      <c r="G1308" s="64" t="s">
        <v>97</v>
      </c>
      <c r="H1308" s="64" t="s">
        <v>98</v>
      </c>
      <c r="I1308" s="64" t="s">
        <v>99</v>
      </c>
      <c r="J1308" s="67">
        <v>-933.33</v>
      </c>
      <c r="K1308" s="62">
        <v>-933.33</v>
      </c>
      <c r="L1308" s="33" t="e">
        <f>HLOOKUP(B1308,#REF!,1,0)</f>
        <v>#REF!</v>
      </c>
      <c r="M1308" s="33" t="str">
        <f t="shared" si="83"/>
        <v>BS</v>
      </c>
    </row>
    <row r="1309" spans="1:13" s="33" customFormat="true" ht="12.75" customHeight="true">
      <c r="A1309" s="33" t="str">
        <f t="shared" si="80"/>
        <v>NES - Retained Earnings</v>
      </c>
      <c r="B1309" s="33" t="str">
        <f t="shared" si="81"/>
        <v>NES</v>
      </c>
      <c r="C1309" s="33" t="str">
        <f t="shared" si="82"/>
        <v>32000-0000</v>
      </c>
      <c r="D1309" s="64" t="s">
        <v>1718</v>
      </c>
      <c r="E1309" s="64" t="s">
        <v>234</v>
      </c>
      <c r="F1309" s="64" t="s">
        <v>679</v>
      </c>
      <c r="G1309" s="64" t="s">
        <v>142</v>
      </c>
      <c r="H1309" s="64" t="s">
        <v>149</v>
      </c>
      <c r="I1309" s="64" t="s">
        <v>150</v>
      </c>
      <c r="J1309" s="67">
        <v>0</v>
      </c>
      <c r="K1309" s="62">
        <v>860138.61</v>
      </c>
      <c r="L1309" s="33" t="e">
        <f>HLOOKUP(B1309,#REF!,1,0)</f>
        <v>#REF!</v>
      </c>
      <c r="M1309" s="33" t="str">
        <f t="shared" si="83"/>
        <v>BS</v>
      </c>
    </row>
    <row r="1310" spans="1:13" s="33" customFormat="true" ht="12.75" customHeight="true">
      <c r="A1310" s="33" t="str">
        <f t="shared" si="80"/>
        <v>NES - SH Dist</v>
      </c>
      <c r="B1310" s="33" t="str">
        <f t="shared" si="81"/>
        <v>NES</v>
      </c>
      <c r="C1310" s="33" t="str">
        <f t="shared" si="82"/>
        <v>36001-0000</v>
      </c>
      <c r="D1310" s="64" t="s">
        <v>1719</v>
      </c>
      <c r="E1310" s="64" t="s">
        <v>322</v>
      </c>
      <c r="F1310" s="64" t="s">
        <v>679</v>
      </c>
      <c r="G1310" s="64" t="s">
        <v>142</v>
      </c>
      <c r="H1310" s="64" t="s">
        <v>143</v>
      </c>
      <c r="I1310" s="64" t="s">
        <v>144</v>
      </c>
      <c r="J1310" s="67">
        <v>-50000</v>
      </c>
      <c r="K1310" s="62">
        <v>-1120981.2</v>
      </c>
      <c r="L1310" s="33" t="e">
        <f>HLOOKUP(B1310,#REF!,1,0)</f>
        <v>#REF!</v>
      </c>
      <c r="M1310" s="33" t="str">
        <f t="shared" si="83"/>
        <v>BS</v>
      </c>
    </row>
    <row r="1311" spans="1:13" s="33" customFormat="true" ht="12.75" customHeight="true">
      <c r="A1311" s="33" t="str">
        <f t="shared" si="80"/>
        <v>NET - Cash</v>
      </c>
      <c r="B1311" s="33" t="str">
        <f t="shared" si="81"/>
        <v>NET</v>
      </c>
      <c r="C1311" s="33" t="str">
        <f t="shared" si="82"/>
        <v>10001-0000</v>
      </c>
      <c r="D1311" s="64" t="s">
        <v>1720</v>
      </c>
      <c r="E1311" s="64" t="s">
        <v>240</v>
      </c>
      <c r="F1311" s="64" t="s">
        <v>230</v>
      </c>
      <c r="G1311" s="64" t="s">
        <v>16</v>
      </c>
      <c r="H1311" s="64" t="s">
        <v>25</v>
      </c>
      <c r="I1311" s="64" t="s">
        <v>18</v>
      </c>
      <c r="J1311" s="67">
        <v>27550.08</v>
      </c>
      <c r="K1311" s="62">
        <v>51744.36</v>
      </c>
      <c r="L1311" s="33" t="e">
        <f>HLOOKUP(B1311,#REF!,1,0)</f>
        <v>#REF!</v>
      </c>
      <c r="M1311" s="33" t="str">
        <f t="shared" si="83"/>
        <v>BS</v>
      </c>
    </row>
    <row r="1312" spans="1:13" s="33" customFormat="true" ht="12.75" customHeight="true">
      <c r="A1312" s="33" t="str">
        <f t="shared" si="80"/>
        <v>NET - Intercompany</v>
      </c>
      <c r="B1312" s="33" t="str">
        <f t="shared" si="81"/>
        <v>NET</v>
      </c>
      <c r="C1312" s="33" t="str">
        <f t="shared" si="82"/>
        <v>11216-0000</v>
      </c>
      <c r="D1312" s="64" t="s">
        <v>1721</v>
      </c>
      <c r="E1312" s="64" t="s">
        <v>242</v>
      </c>
      <c r="F1312" s="64" t="s">
        <v>230</v>
      </c>
      <c r="G1312" s="64" t="s">
        <v>16</v>
      </c>
      <c r="H1312" s="64" t="s">
        <v>39</v>
      </c>
      <c r="I1312" s="64" t="s">
        <v>40</v>
      </c>
      <c r="J1312" s="67">
        <v>529.45</v>
      </c>
      <c r="K1312" s="62">
        <v>-3872.39</v>
      </c>
      <c r="L1312" s="33" t="e">
        <f>HLOOKUP(B1312,#REF!,1,0)</f>
        <v>#REF!</v>
      </c>
      <c r="M1312" s="33" t="str">
        <f t="shared" si="83"/>
        <v>BS</v>
      </c>
    </row>
    <row r="1313" spans="1:13" s="33" customFormat="true" ht="12.75" customHeight="true">
      <c r="A1313" s="33" t="str">
        <f t="shared" si="80"/>
        <v>NET - Intercompany</v>
      </c>
      <c r="B1313" s="33" t="str">
        <f t="shared" si="81"/>
        <v>NET</v>
      </c>
      <c r="C1313" s="33" t="str">
        <f t="shared" si="82"/>
        <v>11303-0000</v>
      </c>
      <c r="D1313" s="64" t="s">
        <v>1722</v>
      </c>
      <c r="E1313" s="64" t="s">
        <v>248</v>
      </c>
      <c r="F1313" s="64" t="s">
        <v>230</v>
      </c>
      <c r="G1313" s="64" t="s">
        <v>16</v>
      </c>
      <c r="H1313" s="64" t="s">
        <v>39</v>
      </c>
      <c r="I1313" s="64" t="s">
        <v>40</v>
      </c>
      <c r="J1313" s="67">
        <v>0</v>
      </c>
      <c r="K1313" s="62">
        <v>-15000</v>
      </c>
      <c r="L1313" s="33" t="e">
        <f>HLOOKUP(B1313,#REF!,1,0)</f>
        <v>#REF!</v>
      </c>
      <c r="M1313" s="33" t="str">
        <f t="shared" si="83"/>
        <v>BS</v>
      </c>
    </row>
    <row r="1314" spans="1:13" s="33" customFormat="true" ht="12.75" customHeight="true">
      <c r="A1314" s="33" t="str">
        <f t="shared" si="80"/>
        <v>NET - Intercompany</v>
      </c>
      <c r="B1314" s="33" t="str">
        <f t="shared" si="81"/>
        <v>NET</v>
      </c>
      <c r="C1314" s="33" t="str">
        <f t="shared" si="82"/>
        <v>11305-0000</v>
      </c>
      <c r="D1314" s="64" t="s">
        <v>1723</v>
      </c>
      <c r="E1314" s="64" t="s">
        <v>252</v>
      </c>
      <c r="F1314" s="64" t="s">
        <v>230</v>
      </c>
      <c r="G1314" s="64" t="s">
        <v>16</v>
      </c>
      <c r="H1314" s="64" t="s">
        <v>39</v>
      </c>
      <c r="I1314" s="64" t="s">
        <v>40</v>
      </c>
      <c r="J1314" s="67">
        <v>0</v>
      </c>
      <c r="K1314" s="62">
        <v>50000</v>
      </c>
      <c r="L1314" s="33" t="e">
        <f>HLOOKUP(B1314,#REF!,1,0)</f>
        <v>#REF!</v>
      </c>
      <c r="M1314" s="33" t="str">
        <f t="shared" si="83"/>
        <v>BS</v>
      </c>
    </row>
    <row r="1315" spans="1:13" s="33" customFormat="true" ht="12.75" customHeight="true">
      <c r="A1315" s="33" t="str">
        <f t="shared" si="80"/>
        <v>NET - Intercompany</v>
      </c>
      <c r="B1315" s="33" t="str">
        <f t="shared" si="81"/>
        <v>NET</v>
      </c>
      <c r="C1315" s="33" t="str">
        <f t="shared" si="82"/>
        <v>11310-0000</v>
      </c>
      <c r="D1315" s="64" t="s">
        <v>1724</v>
      </c>
      <c r="E1315" s="64" t="s">
        <v>256</v>
      </c>
      <c r="F1315" s="64" t="s">
        <v>230</v>
      </c>
      <c r="G1315" s="64" t="s">
        <v>16</v>
      </c>
      <c r="H1315" s="64" t="s">
        <v>39</v>
      </c>
      <c r="I1315" s="64" t="s">
        <v>40</v>
      </c>
      <c r="J1315" s="67">
        <v>0</v>
      </c>
      <c r="K1315" s="62">
        <v>40000</v>
      </c>
      <c r="L1315" s="33" t="e">
        <f>HLOOKUP(B1315,#REF!,1,0)</f>
        <v>#REF!</v>
      </c>
      <c r="M1315" s="33" t="str">
        <f t="shared" si="83"/>
        <v>BS</v>
      </c>
    </row>
    <row r="1316" spans="1:13" s="33" customFormat="true" ht="12.75" customHeight="true">
      <c r="A1316" s="33" t="str">
        <f t="shared" si="80"/>
        <v>NET - Intercompany</v>
      </c>
      <c r="B1316" s="33" t="str">
        <f t="shared" si="81"/>
        <v>NET</v>
      </c>
      <c r="C1316" s="33" t="str">
        <f t="shared" si="82"/>
        <v>11311-0000</v>
      </c>
      <c r="D1316" s="64" t="s">
        <v>1725</v>
      </c>
      <c r="E1316" s="64" t="s">
        <v>258</v>
      </c>
      <c r="F1316" s="64" t="s">
        <v>230</v>
      </c>
      <c r="G1316" s="64" t="s">
        <v>16</v>
      </c>
      <c r="H1316" s="64" t="s">
        <v>39</v>
      </c>
      <c r="I1316" s="64" t="s">
        <v>40</v>
      </c>
      <c r="J1316" s="67">
        <v>0</v>
      </c>
      <c r="K1316" s="62">
        <v>-35000</v>
      </c>
      <c r="L1316" s="33" t="e">
        <f>HLOOKUP(B1316,#REF!,1,0)</f>
        <v>#REF!</v>
      </c>
      <c r="M1316" s="33" t="str">
        <f t="shared" si="83"/>
        <v>BS</v>
      </c>
    </row>
    <row r="1317" spans="1:13" s="33" customFormat="true" ht="12.75" customHeight="true">
      <c r="A1317" s="33" t="str">
        <f t="shared" si="80"/>
        <v>NET - Intercompany</v>
      </c>
      <c r="B1317" s="33" t="str">
        <f t="shared" si="81"/>
        <v>NET</v>
      </c>
      <c r="C1317" s="33" t="str">
        <f t="shared" si="82"/>
        <v>11313-0000</v>
      </c>
      <c r="D1317" s="64" t="s">
        <v>1726</v>
      </c>
      <c r="E1317" s="64" t="s">
        <v>260</v>
      </c>
      <c r="F1317" s="64" t="s">
        <v>230</v>
      </c>
      <c r="G1317" s="64" t="s">
        <v>16</v>
      </c>
      <c r="H1317" s="64" t="s">
        <v>39</v>
      </c>
      <c r="I1317" s="64" t="s">
        <v>40</v>
      </c>
      <c r="J1317" s="67">
        <v>0</v>
      </c>
      <c r="K1317" s="62">
        <v>-20000</v>
      </c>
      <c r="L1317" s="33" t="e">
        <f>HLOOKUP(B1317,#REF!,1,0)</f>
        <v>#REF!</v>
      </c>
      <c r="M1317" s="33" t="str">
        <f t="shared" si="83"/>
        <v>BS</v>
      </c>
    </row>
    <row r="1318" spans="1:13" s="33" customFormat="true" ht="12.75" customHeight="true">
      <c r="A1318" s="33" t="str">
        <f t="shared" si="80"/>
        <v>NET - Intercompany</v>
      </c>
      <c r="B1318" s="33" t="str">
        <f t="shared" si="81"/>
        <v>NET</v>
      </c>
      <c r="C1318" s="33" t="str">
        <f t="shared" si="82"/>
        <v>11317-0000</v>
      </c>
      <c r="D1318" s="64" t="s">
        <v>1727</v>
      </c>
      <c r="E1318" s="64" t="s">
        <v>368</v>
      </c>
      <c r="F1318" s="64" t="s">
        <v>230</v>
      </c>
      <c r="G1318" s="64" t="s">
        <v>16</v>
      </c>
      <c r="H1318" s="64" t="s">
        <v>39</v>
      </c>
      <c r="I1318" s="64" t="s">
        <v>40</v>
      </c>
      <c r="J1318" s="67">
        <v>0</v>
      </c>
      <c r="K1318" s="62">
        <v>-60000</v>
      </c>
      <c r="L1318" s="33" t="e">
        <f>HLOOKUP(B1318,#REF!,1,0)</f>
        <v>#REF!</v>
      </c>
      <c r="M1318" s="33" t="str">
        <f t="shared" si="83"/>
        <v>BS</v>
      </c>
    </row>
    <row r="1319" spans="1:13" s="33" customFormat="true" ht="12.75" customHeight="true">
      <c r="A1319" s="33" t="str">
        <f t="shared" si="80"/>
        <v>NET - Intercompany</v>
      </c>
      <c r="B1319" s="33" t="str">
        <f t="shared" si="81"/>
        <v>NET</v>
      </c>
      <c r="C1319" s="33" t="str">
        <f t="shared" si="82"/>
        <v>11326-0000</v>
      </c>
      <c r="D1319" s="64" t="s">
        <v>1728</v>
      </c>
      <c r="E1319" s="64" t="s">
        <v>276</v>
      </c>
      <c r="F1319" s="64" t="s">
        <v>230</v>
      </c>
      <c r="G1319" s="64" t="s">
        <v>16</v>
      </c>
      <c r="H1319" s="64" t="s">
        <v>39</v>
      </c>
      <c r="I1319" s="64" t="s">
        <v>40</v>
      </c>
      <c r="J1319" s="67">
        <v>0</v>
      </c>
      <c r="K1319" s="62">
        <v>-15000</v>
      </c>
      <c r="L1319" s="33" t="e">
        <f>HLOOKUP(B1319,#REF!,1,0)</f>
        <v>#REF!</v>
      </c>
      <c r="M1319" s="33" t="str">
        <f t="shared" si="83"/>
        <v>BS</v>
      </c>
    </row>
    <row r="1320" spans="1:13" s="33" customFormat="true" ht="12.75" customHeight="true">
      <c r="A1320" s="33" t="str">
        <f t="shared" si="80"/>
        <v>NET - Intercompany</v>
      </c>
      <c r="B1320" s="33" t="str">
        <f t="shared" si="81"/>
        <v>NET</v>
      </c>
      <c r="C1320" s="33" t="str">
        <f t="shared" si="82"/>
        <v>11336-0000</v>
      </c>
      <c r="D1320" s="64" t="s">
        <v>1729</v>
      </c>
      <c r="E1320" s="64" t="s">
        <v>290</v>
      </c>
      <c r="F1320" s="64" t="s">
        <v>230</v>
      </c>
      <c r="G1320" s="64" t="s">
        <v>16</v>
      </c>
      <c r="H1320" s="64" t="s">
        <v>39</v>
      </c>
      <c r="I1320" s="64" t="s">
        <v>40</v>
      </c>
      <c r="J1320" s="67">
        <v>0</v>
      </c>
      <c r="K1320" s="62">
        <v>-10000</v>
      </c>
      <c r="L1320" s="33" t="e">
        <f>HLOOKUP(B1320,#REF!,1,0)</f>
        <v>#REF!</v>
      </c>
      <c r="M1320" s="33" t="str">
        <f t="shared" si="83"/>
        <v>BS</v>
      </c>
    </row>
    <row r="1321" spans="1:13" s="33" customFormat="true" ht="12.75" customHeight="true">
      <c r="A1321" s="33" t="str">
        <f t="shared" si="80"/>
        <v>NET - Intercompany</v>
      </c>
      <c r="B1321" s="33" t="str">
        <f t="shared" si="81"/>
        <v>NET</v>
      </c>
      <c r="C1321" s="33" t="str">
        <f t="shared" si="82"/>
        <v>11343-0000</v>
      </c>
      <c r="D1321" s="64" t="s">
        <v>1730</v>
      </c>
      <c r="E1321" s="64" t="s">
        <v>600</v>
      </c>
      <c r="F1321" s="64" t="s">
        <v>230</v>
      </c>
      <c r="G1321" s="64" t="s">
        <v>16</v>
      </c>
      <c r="H1321" s="64" t="s">
        <v>39</v>
      </c>
      <c r="I1321" s="64" t="s">
        <v>40</v>
      </c>
      <c r="J1321" s="67">
        <v>0</v>
      </c>
      <c r="K1321" s="62">
        <v>-120000</v>
      </c>
      <c r="L1321" s="33" t="e">
        <f>HLOOKUP(B1321,#REF!,1,0)</f>
        <v>#REF!</v>
      </c>
      <c r="M1321" s="33" t="str">
        <f t="shared" si="83"/>
        <v>BS</v>
      </c>
    </row>
    <row r="1322" spans="1:13" s="33" customFormat="true" ht="12.75" customHeight="true">
      <c r="A1322" s="33" t="str">
        <f t="shared" si="80"/>
        <v>NET - Fixed Assets</v>
      </c>
      <c r="B1322" s="33" t="str">
        <f t="shared" si="81"/>
        <v>NET</v>
      </c>
      <c r="C1322" s="33" t="str">
        <f t="shared" si="82"/>
        <v>14000-0000</v>
      </c>
      <c r="D1322" s="64" t="s">
        <v>1731</v>
      </c>
      <c r="E1322" s="64" t="s">
        <v>298</v>
      </c>
      <c r="F1322" s="64" t="s">
        <v>230</v>
      </c>
      <c r="G1322" s="64" t="s">
        <v>62</v>
      </c>
      <c r="H1322" s="64" t="s">
        <v>63</v>
      </c>
      <c r="I1322" s="64" t="s">
        <v>64</v>
      </c>
      <c r="J1322" s="67">
        <v>0</v>
      </c>
      <c r="K1322" s="62">
        <v>4721660</v>
      </c>
      <c r="L1322" s="33" t="e">
        <f>HLOOKUP(B1322,#REF!,1,0)</f>
        <v>#REF!</v>
      </c>
      <c r="M1322" s="33" t="str">
        <f t="shared" si="83"/>
        <v>BS</v>
      </c>
    </row>
    <row r="1323" spans="1:13" s="33" customFormat="true" ht="12.75" customHeight="true">
      <c r="A1323" s="33" t="str">
        <f t="shared" si="80"/>
        <v>NET - Fixed Assets</v>
      </c>
      <c r="B1323" s="33" t="str">
        <f t="shared" si="81"/>
        <v>NET</v>
      </c>
      <c r="C1323" s="33" t="str">
        <f t="shared" si="82"/>
        <v>15000-0000</v>
      </c>
      <c r="D1323" s="64" t="s">
        <v>1732</v>
      </c>
      <c r="E1323" s="64" t="s">
        <v>300</v>
      </c>
      <c r="F1323" s="64" t="s">
        <v>230</v>
      </c>
      <c r="G1323" s="64" t="s">
        <v>62</v>
      </c>
      <c r="H1323" s="64" t="s">
        <v>63</v>
      </c>
      <c r="I1323" s="64" t="s">
        <v>64</v>
      </c>
      <c r="J1323" s="67">
        <v>0</v>
      </c>
      <c r="K1323" s="62">
        <v>9443340</v>
      </c>
      <c r="L1323" s="33" t="e">
        <f>HLOOKUP(B1323,#REF!,1,0)</f>
        <v>#REF!</v>
      </c>
      <c r="M1323" s="33" t="str">
        <f t="shared" si="83"/>
        <v>BS</v>
      </c>
    </row>
    <row r="1324" spans="1:13" s="33" customFormat="true" ht="12.75" customHeight="true">
      <c r="A1324" s="33" t="str">
        <f t="shared" si="80"/>
        <v>NET - Fixed Assets</v>
      </c>
      <c r="B1324" s="33" t="str">
        <f t="shared" si="81"/>
        <v>NET</v>
      </c>
      <c r="C1324" s="33" t="str">
        <f t="shared" si="82"/>
        <v>15500-0000</v>
      </c>
      <c r="D1324" s="64" t="s">
        <v>1733</v>
      </c>
      <c r="E1324" s="64" t="s">
        <v>302</v>
      </c>
      <c r="F1324" s="64" t="s">
        <v>230</v>
      </c>
      <c r="G1324" s="64" t="s">
        <v>62</v>
      </c>
      <c r="H1324" s="64" t="s">
        <v>63</v>
      </c>
      <c r="I1324" s="64" t="s">
        <v>64</v>
      </c>
      <c r="J1324" s="67">
        <v>0</v>
      </c>
      <c r="K1324" s="62">
        <v>674598.42</v>
      </c>
      <c r="L1324" s="33" t="e">
        <f>HLOOKUP(B1324,#REF!,1,0)</f>
        <v>#REF!</v>
      </c>
      <c r="M1324" s="33" t="str">
        <f t="shared" si="83"/>
        <v>BS</v>
      </c>
    </row>
    <row r="1325" spans="1:13" s="33" customFormat="true" ht="12.75" customHeight="true">
      <c r="A1325" s="33" t="str">
        <f t="shared" si="80"/>
        <v>NET - Fixed Assets</v>
      </c>
      <c r="B1325" s="33" t="str">
        <f t="shared" si="81"/>
        <v>NET</v>
      </c>
      <c r="C1325" s="33" t="str">
        <f t="shared" si="82"/>
        <v>17000-0000</v>
      </c>
      <c r="D1325" s="64" t="s">
        <v>1734</v>
      </c>
      <c r="E1325" s="64" t="s">
        <v>306</v>
      </c>
      <c r="F1325" s="64" t="s">
        <v>230</v>
      </c>
      <c r="G1325" s="64" t="s">
        <v>62</v>
      </c>
      <c r="H1325" s="64" t="s">
        <v>63</v>
      </c>
      <c r="I1325" s="64" t="s">
        <v>64</v>
      </c>
      <c r="J1325" s="67">
        <v>0</v>
      </c>
      <c r="K1325" s="62">
        <v>-1109240</v>
      </c>
      <c r="L1325" s="33" t="e">
        <f>HLOOKUP(B1325,#REF!,1,0)</f>
        <v>#REF!</v>
      </c>
      <c r="M1325" s="33" t="str">
        <f t="shared" si="83"/>
        <v>BS</v>
      </c>
    </row>
    <row r="1326" spans="1:13" s="33" customFormat="true" ht="12.75" customHeight="true">
      <c r="A1326" s="33" t="str">
        <f t="shared" si="80"/>
        <v>NET - Fixed Assets</v>
      </c>
      <c r="B1326" s="33" t="str">
        <f t="shared" si="81"/>
        <v>NET</v>
      </c>
      <c r="C1326" s="33" t="str">
        <f t="shared" si="82"/>
        <v>18000-0000</v>
      </c>
      <c r="D1326" s="64" t="s">
        <v>1735</v>
      </c>
      <c r="E1326" s="64" t="s">
        <v>308</v>
      </c>
      <c r="F1326" s="64" t="s">
        <v>230</v>
      </c>
      <c r="G1326" s="64" t="s">
        <v>62</v>
      </c>
      <c r="H1326" s="64" t="s">
        <v>63</v>
      </c>
      <c r="I1326" s="64" t="s">
        <v>64</v>
      </c>
      <c r="J1326" s="67">
        <v>0</v>
      </c>
      <c r="K1326" s="62">
        <v>-99788</v>
      </c>
      <c r="L1326" s="33" t="e">
        <f>HLOOKUP(B1326,#REF!,1,0)</f>
        <v>#REF!</v>
      </c>
      <c r="M1326" s="33" t="str">
        <f t="shared" si="83"/>
        <v>BS</v>
      </c>
    </row>
    <row r="1327" spans="1:13" s="33" customFormat="true" ht="12.75" customHeight="true">
      <c r="A1327" s="33" t="str">
        <f t="shared" si="80"/>
        <v>NET - Deposits</v>
      </c>
      <c r="B1327" s="33" t="str">
        <f t="shared" si="81"/>
        <v>NET</v>
      </c>
      <c r="C1327" s="33" t="str">
        <f t="shared" si="82"/>
        <v>19001-0000</v>
      </c>
      <c r="D1327" s="64" t="s">
        <v>1736</v>
      </c>
      <c r="E1327" s="64" t="s">
        <v>344</v>
      </c>
      <c r="F1327" s="64" t="s">
        <v>230</v>
      </c>
      <c r="G1327" s="64" t="s">
        <v>62</v>
      </c>
      <c r="H1327" s="64" t="s">
        <v>80</v>
      </c>
      <c r="I1327" s="64" t="s">
        <v>81</v>
      </c>
      <c r="J1327" s="67">
        <v>0</v>
      </c>
      <c r="K1327" s="62">
        <v>9962.79</v>
      </c>
      <c r="L1327" s="33" t="e">
        <f>HLOOKUP(B1327,#REF!,1,0)</f>
        <v>#REF!</v>
      </c>
      <c r="M1327" s="33" t="str">
        <f t="shared" si="83"/>
        <v>BS</v>
      </c>
    </row>
    <row r="1328" spans="1:13" s="33" customFormat="true" ht="12.75" customHeight="true">
      <c r="A1328" s="33" t="str">
        <f t="shared" si="80"/>
        <v>NET - AP-Accr Exp</v>
      </c>
      <c r="B1328" s="33" t="str">
        <f t="shared" si="81"/>
        <v>NET</v>
      </c>
      <c r="C1328" s="33" t="str">
        <f t="shared" si="82"/>
        <v>20001-0000</v>
      </c>
      <c r="D1328" s="64" t="s">
        <v>1737</v>
      </c>
      <c r="E1328" s="64" t="s">
        <v>96</v>
      </c>
      <c r="F1328" s="64" t="s">
        <v>230</v>
      </c>
      <c r="G1328" s="64" t="s">
        <v>97</v>
      </c>
      <c r="H1328" s="64" t="s">
        <v>98</v>
      </c>
      <c r="I1328" s="64" t="s">
        <v>99</v>
      </c>
      <c r="J1328" s="67">
        <v>2558.63</v>
      </c>
      <c r="K1328" s="62">
        <v>0</v>
      </c>
      <c r="L1328" s="33" t="e">
        <f>HLOOKUP(B1328,#REF!,1,0)</f>
        <v>#REF!</v>
      </c>
      <c r="M1328" s="33" t="str">
        <f t="shared" si="83"/>
        <v>BS</v>
      </c>
    </row>
    <row r="1329" spans="1:13" s="33" customFormat="true" ht="12.75" customHeight="true">
      <c r="A1329" s="33" t="str">
        <f t="shared" si="80"/>
        <v>NET - AP-Accr Exp</v>
      </c>
      <c r="B1329" s="33" t="str">
        <f t="shared" si="81"/>
        <v>NET</v>
      </c>
      <c r="C1329" s="33" t="str">
        <f t="shared" si="82"/>
        <v>23509-0000</v>
      </c>
      <c r="D1329" s="64" t="s">
        <v>1738</v>
      </c>
      <c r="E1329" s="64" t="s">
        <v>111</v>
      </c>
      <c r="F1329" s="64" t="s">
        <v>230</v>
      </c>
      <c r="G1329" s="64" t="s">
        <v>97</v>
      </c>
      <c r="H1329" s="64" t="s">
        <v>98</v>
      </c>
      <c r="I1329" s="64" t="s">
        <v>102</v>
      </c>
      <c r="J1329" s="67">
        <v>0</v>
      </c>
      <c r="K1329" s="62">
        <v>0</v>
      </c>
      <c r="L1329" s="33" t="e">
        <f>HLOOKUP(B1329,#REF!,1,0)</f>
        <v>#REF!</v>
      </c>
      <c r="M1329" s="33" t="str">
        <f t="shared" si="83"/>
        <v>BS</v>
      </c>
    </row>
    <row r="1330" spans="1:13" s="33" customFormat="true" ht="12.75" customHeight="true">
      <c r="A1330" s="33" t="str">
        <f t="shared" si="80"/>
        <v>NET - AP-Accr Exp</v>
      </c>
      <c r="B1330" s="33" t="str">
        <f t="shared" si="81"/>
        <v>NET</v>
      </c>
      <c r="C1330" s="33" t="str">
        <f t="shared" si="82"/>
        <v>24800-0000</v>
      </c>
      <c r="D1330" s="64" t="s">
        <v>1739</v>
      </c>
      <c r="E1330" s="64" t="s">
        <v>232</v>
      </c>
      <c r="F1330" s="64" t="s">
        <v>230</v>
      </c>
      <c r="G1330" s="64" t="s">
        <v>97</v>
      </c>
      <c r="H1330" s="64" t="s">
        <v>98</v>
      </c>
      <c r="I1330" s="64" t="s">
        <v>102</v>
      </c>
      <c r="J1330" s="67">
        <v>-1390</v>
      </c>
      <c r="K1330" s="62">
        <v>-90293</v>
      </c>
      <c r="L1330" s="33" t="e">
        <f>HLOOKUP(B1330,#REF!,1,0)</f>
        <v>#REF!</v>
      </c>
      <c r="M1330" s="33" t="str">
        <f t="shared" si="83"/>
        <v>BS</v>
      </c>
    </row>
    <row r="1331" spans="1:13" s="33" customFormat="true" ht="12.75" customHeight="true">
      <c r="A1331" s="33" t="str">
        <f t="shared" si="80"/>
        <v>NET - AP-Accr Exp</v>
      </c>
      <c r="B1331" s="33" t="str">
        <f t="shared" si="81"/>
        <v>NET</v>
      </c>
      <c r="C1331" s="33" t="str">
        <f t="shared" si="82"/>
        <v>24801-0000</v>
      </c>
      <c r="D1331" s="64" t="s">
        <v>1740</v>
      </c>
      <c r="E1331" s="64" t="s">
        <v>399</v>
      </c>
      <c r="F1331" s="64" t="s">
        <v>230</v>
      </c>
      <c r="G1331" s="64" t="s">
        <v>97</v>
      </c>
      <c r="H1331" s="64" t="s">
        <v>98</v>
      </c>
      <c r="I1331" s="64" t="s">
        <v>102</v>
      </c>
      <c r="J1331" s="67">
        <v>300</v>
      </c>
      <c r="K1331" s="62">
        <v>0</v>
      </c>
      <c r="L1331" s="33" t="e">
        <f>HLOOKUP(B1331,#REF!,1,0)</f>
        <v>#REF!</v>
      </c>
      <c r="M1331" s="33" t="str">
        <f t="shared" si="83"/>
        <v>BS</v>
      </c>
    </row>
    <row r="1332" spans="1:13" s="33" customFormat="true" ht="12.75" customHeight="true">
      <c r="A1332" s="33" t="str">
        <f t="shared" si="80"/>
        <v>NET - InterCo Notes</v>
      </c>
      <c r="B1332" s="33" t="str">
        <f t="shared" si="81"/>
        <v>NET</v>
      </c>
      <c r="C1332" s="33" t="str">
        <f t="shared" si="82"/>
        <v>25000-0000</v>
      </c>
      <c r="D1332" s="64" t="s">
        <v>1741</v>
      </c>
      <c r="E1332" s="64" t="s">
        <v>314</v>
      </c>
      <c r="F1332" s="64" t="s">
        <v>230</v>
      </c>
      <c r="G1332" s="64" t="s">
        <v>16</v>
      </c>
      <c r="H1332" s="64" t="s">
        <v>315</v>
      </c>
      <c r="I1332" s="64" t="s">
        <v>40</v>
      </c>
      <c r="J1332" s="67">
        <v>0</v>
      </c>
      <c r="K1332" s="62">
        <v>-568625</v>
      </c>
      <c r="L1332" s="33" t="e">
        <f>HLOOKUP(B1332,#REF!,1,0)</f>
        <v>#REF!</v>
      </c>
      <c r="M1332" s="33" t="str">
        <f t="shared" si="83"/>
        <v>BS</v>
      </c>
    </row>
    <row r="1333" spans="1:13" s="33" customFormat="true" ht="12.75" customHeight="true">
      <c r="A1333" s="33" t="str">
        <f t="shared" si="80"/>
        <v>NET - InterCo Notes</v>
      </c>
      <c r="B1333" s="33" t="str">
        <f t="shared" si="81"/>
        <v>NET</v>
      </c>
      <c r="C1333" s="33" t="str">
        <f t="shared" si="82"/>
        <v>25100-0000</v>
      </c>
      <c r="D1333" s="64" t="s">
        <v>1742</v>
      </c>
      <c r="E1333" s="64" t="s">
        <v>430</v>
      </c>
      <c r="F1333" s="64" t="s">
        <v>230</v>
      </c>
      <c r="G1333" s="64" t="s">
        <v>16</v>
      </c>
      <c r="H1333" s="64" t="s">
        <v>315</v>
      </c>
      <c r="I1333" s="64" t="s">
        <v>40</v>
      </c>
      <c r="J1333" s="67">
        <v>0</v>
      </c>
      <c r="K1333" s="62">
        <v>-5500000</v>
      </c>
      <c r="L1333" s="33" t="e">
        <f>HLOOKUP(B1333,#REF!,1,0)</f>
        <v>#REF!</v>
      </c>
      <c r="M1333" s="33" t="str">
        <f t="shared" si="83"/>
        <v>BS</v>
      </c>
    </row>
    <row r="1334" spans="1:13" s="33" customFormat="true" ht="12.75" customHeight="true">
      <c r="A1334" s="33" t="str">
        <f t="shared" si="80"/>
        <v>NET - Principal</v>
      </c>
      <c r="B1334" s="33" t="str">
        <f t="shared" si="81"/>
        <v>NET</v>
      </c>
      <c r="C1334" s="33" t="str">
        <f t="shared" si="82"/>
        <v>26800-0000</v>
      </c>
      <c r="D1334" s="64" t="s">
        <v>1743</v>
      </c>
      <c r="E1334" s="64" t="s">
        <v>402</v>
      </c>
      <c r="F1334" s="64" t="s">
        <v>230</v>
      </c>
      <c r="G1334" s="64" t="s">
        <v>97</v>
      </c>
      <c r="H1334" s="64" t="s">
        <v>127</v>
      </c>
      <c r="I1334" s="64" t="s">
        <v>128</v>
      </c>
      <c r="J1334" s="67">
        <v>0</v>
      </c>
      <c r="K1334" s="62">
        <v>-150000</v>
      </c>
      <c r="L1334" s="33" t="e">
        <f>HLOOKUP(B1334,#REF!,1,0)</f>
        <v>#REF!</v>
      </c>
      <c r="M1334" s="33" t="str">
        <f t="shared" si="83"/>
        <v>BS</v>
      </c>
    </row>
    <row r="1335" spans="1:13" s="33" customFormat="true" ht="12.75" customHeight="true">
      <c r="A1335" s="33" t="str">
        <f t="shared" si="80"/>
        <v>NET - Principal</v>
      </c>
      <c r="B1335" s="33" t="str">
        <f t="shared" si="81"/>
        <v>NET</v>
      </c>
      <c r="C1335" s="33" t="str">
        <f t="shared" si="82"/>
        <v>28001-0000</v>
      </c>
      <c r="D1335" s="64" t="s">
        <v>1744</v>
      </c>
      <c r="E1335" s="64" t="s">
        <v>352</v>
      </c>
      <c r="F1335" s="64" t="s">
        <v>230</v>
      </c>
      <c r="G1335" s="64" t="s">
        <v>123</v>
      </c>
      <c r="H1335" s="64" t="s">
        <v>127</v>
      </c>
      <c r="I1335" s="64" t="s">
        <v>133</v>
      </c>
      <c r="J1335" s="67">
        <v>14132.28</v>
      </c>
      <c r="K1335" s="62">
        <v>-7304438.07</v>
      </c>
      <c r="L1335" s="33" t="e">
        <f>HLOOKUP(B1335,#REF!,1,0)</f>
        <v>#REF!</v>
      </c>
      <c r="M1335" s="33" t="str">
        <f t="shared" si="83"/>
        <v>BS</v>
      </c>
    </row>
    <row r="1336" spans="1:13" s="33" customFormat="true" ht="12.75" customHeight="true">
      <c r="A1336" s="33" t="str">
        <f t="shared" si="80"/>
        <v>NET - SH Dist</v>
      </c>
      <c r="B1336" s="33" t="str">
        <f t="shared" si="81"/>
        <v>NET</v>
      </c>
      <c r="C1336" s="33" t="str">
        <f t="shared" si="82"/>
        <v>30700-0000</v>
      </c>
      <c r="D1336" s="64" t="s">
        <v>1745</v>
      </c>
      <c r="E1336" s="64" t="s">
        <v>319</v>
      </c>
      <c r="F1336" s="64" t="s">
        <v>230</v>
      </c>
      <c r="G1336" s="64" t="s">
        <v>142</v>
      </c>
      <c r="H1336" s="64" t="s">
        <v>143</v>
      </c>
      <c r="I1336" s="64" t="s">
        <v>144</v>
      </c>
      <c r="J1336" s="67">
        <v>0</v>
      </c>
      <c r="K1336" s="62">
        <v>-376000</v>
      </c>
      <c r="L1336" s="33" t="e">
        <f>HLOOKUP(B1336,#REF!,1,0)</f>
        <v>#REF!</v>
      </c>
      <c r="M1336" s="33" t="str">
        <f t="shared" si="83"/>
        <v>BS</v>
      </c>
    </row>
    <row r="1337" spans="1:13" s="33" customFormat="true" ht="12.75" customHeight="true">
      <c r="A1337" s="33" t="str">
        <f t="shared" si="80"/>
        <v>NET - Retained Earnings</v>
      </c>
      <c r="B1337" s="33" t="str">
        <f t="shared" si="81"/>
        <v>NET</v>
      </c>
      <c r="C1337" s="33" t="str">
        <f t="shared" si="82"/>
        <v>32000-0000</v>
      </c>
      <c r="D1337" s="64" t="s">
        <v>1746</v>
      </c>
      <c r="E1337" s="64" t="s">
        <v>234</v>
      </c>
      <c r="F1337" s="64" t="s">
        <v>230</v>
      </c>
      <c r="G1337" s="64" t="s">
        <v>142</v>
      </c>
      <c r="H1337" s="64" t="s">
        <v>149</v>
      </c>
      <c r="I1337" s="64" t="s">
        <v>235</v>
      </c>
      <c r="J1337" s="67">
        <v>0</v>
      </c>
      <c r="K1337" s="62">
        <v>667572.35</v>
      </c>
      <c r="L1337" s="33" t="e">
        <f>HLOOKUP(B1337,#REF!,1,0)</f>
        <v>#REF!</v>
      </c>
      <c r="M1337" s="33" t="str">
        <f t="shared" si="83"/>
        <v>BS</v>
      </c>
    </row>
    <row r="1338" spans="1:13" s="33" customFormat="true" ht="12.75" customHeight="true">
      <c r="A1338" s="33" t="str">
        <f t="shared" si="80"/>
        <v>NEW - Cash</v>
      </c>
      <c r="B1338" s="33" t="str">
        <f t="shared" si="81"/>
        <v>NEW</v>
      </c>
      <c r="C1338" s="33" t="str">
        <f t="shared" si="82"/>
        <v>10001-0000</v>
      </c>
      <c r="D1338" s="64" t="s">
        <v>1747</v>
      </c>
      <c r="E1338" s="64" t="s">
        <v>240</v>
      </c>
      <c r="F1338" s="64" t="s">
        <v>230</v>
      </c>
      <c r="G1338" s="64" t="s">
        <v>16</v>
      </c>
      <c r="H1338" s="64" t="s">
        <v>25</v>
      </c>
      <c r="I1338" s="64" t="s">
        <v>18</v>
      </c>
      <c r="J1338" s="67">
        <v>14188.07</v>
      </c>
      <c r="K1338" s="62">
        <v>31508.04</v>
      </c>
      <c r="L1338" s="33" t="e">
        <f>HLOOKUP(B1338,#REF!,1,0)</f>
        <v>#REF!</v>
      </c>
      <c r="M1338" s="33" t="str">
        <f t="shared" si="83"/>
        <v>BS</v>
      </c>
    </row>
    <row r="1339" spans="1:13" s="33" customFormat="true" ht="12.75" customHeight="true">
      <c r="A1339" s="33" t="str">
        <f t="shared" si="80"/>
        <v>NEW - AR-PPD</v>
      </c>
      <c r="B1339" s="33" t="str">
        <f t="shared" si="81"/>
        <v>NEW</v>
      </c>
      <c r="C1339" s="33" t="str">
        <f t="shared" si="82"/>
        <v>11000-0000</v>
      </c>
      <c r="D1339" s="64" t="s">
        <v>1748</v>
      </c>
      <c r="E1339" s="64" t="s">
        <v>34</v>
      </c>
      <c r="F1339" s="64" t="s">
        <v>230</v>
      </c>
      <c r="G1339" s="64" t="s">
        <v>16</v>
      </c>
      <c r="H1339" s="64" t="s">
        <v>35</v>
      </c>
      <c r="I1339" s="64" t="s">
        <v>36</v>
      </c>
      <c r="J1339" s="67">
        <v>0</v>
      </c>
      <c r="K1339" s="62">
        <v>-3392.05</v>
      </c>
      <c r="L1339" s="33" t="e">
        <f>HLOOKUP(B1339,#REF!,1,0)</f>
        <v>#REF!</v>
      </c>
      <c r="M1339" s="33" t="str">
        <f t="shared" si="83"/>
        <v>BS</v>
      </c>
    </row>
    <row r="1340" spans="1:13" s="33" customFormat="true" ht="12.75" customHeight="true">
      <c r="A1340" s="33" t="str">
        <f t="shared" si="80"/>
        <v>NEW - Intercompany</v>
      </c>
      <c r="B1340" s="33" t="str">
        <f t="shared" si="81"/>
        <v>NEW</v>
      </c>
      <c r="C1340" s="33" t="str">
        <f t="shared" si="82"/>
        <v>11216-0000</v>
      </c>
      <c r="D1340" s="64" t="s">
        <v>1749</v>
      </c>
      <c r="E1340" s="64" t="s">
        <v>242</v>
      </c>
      <c r="F1340" s="64" t="s">
        <v>230</v>
      </c>
      <c r="G1340" s="64" t="s">
        <v>16</v>
      </c>
      <c r="H1340" s="64" t="s">
        <v>39</v>
      </c>
      <c r="I1340" s="64" t="s">
        <v>40</v>
      </c>
      <c r="J1340" s="67">
        <v>175.56</v>
      </c>
      <c r="K1340" s="62">
        <v>-32769.42</v>
      </c>
      <c r="L1340" s="33" t="e">
        <f>HLOOKUP(B1340,#REF!,1,0)</f>
        <v>#REF!</v>
      </c>
      <c r="M1340" s="33" t="str">
        <f t="shared" si="83"/>
        <v>BS</v>
      </c>
    </row>
    <row r="1341" spans="1:13" s="33" customFormat="true" ht="12.75" customHeight="true">
      <c r="A1341" s="33" t="str">
        <f t="shared" si="80"/>
        <v>NEW - Intercompany</v>
      </c>
      <c r="B1341" s="33" t="str">
        <f t="shared" si="81"/>
        <v>NEW</v>
      </c>
      <c r="C1341" s="33" t="str">
        <f t="shared" si="82"/>
        <v>11302-0000</v>
      </c>
      <c r="D1341" s="64" t="s">
        <v>1750</v>
      </c>
      <c r="E1341" s="64" t="s">
        <v>1751</v>
      </c>
      <c r="F1341" s="64" t="s">
        <v>230</v>
      </c>
      <c r="G1341" s="64" t="s">
        <v>16</v>
      </c>
      <c r="H1341" s="64" t="s">
        <v>39</v>
      </c>
      <c r="I1341" s="64" t="s">
        <v>40</v>
      </c>
      <c r="J1341" s="67">
        <v>0</v>
      </c>
      <c r="K1341" s="62">
        <v>-50300</v>
      </c>
      <c r="L1341" s="33" t="e">
        <f>HLOOKUP(B1341,#REF!,1,0)</f>
        <v>#REF!</v>
      </c>
      <c r="M1341" s="33" t="str">
        <f t="shared" si="83"/>
        <v>BS</v>
      </c>
    </row>
    <row r="1342" spans="1:13" s="33" customFormat="true" ht="12.75" customHeight="true">
      <c r="A1342" s="33" t="str">
        <f t="shared" si="80"/>
        <v>NEW - Intercompany</v>
      </c>
      <c r="B1342" s="33" t="str">
        <f t="shared" si="81"/>
        <v>NEW</v>
      </c>
      <c r="C1342" s="33" t="str">
        <f t="shared" si="82"/>
        <v>11303-0000</v>
      </c>
      <c r="D1342" s="64" t="s">
        <v>1752</v>
      </c>
      <c r="E1342" s="64" t="s">
        <v>248</v>
      </c>
      <c r="F1342" s="64" t="s">
        <v>230</v>
      </c>
      <c r="G1342" s="64" t="s">
        <v>16</v>
      </c>
      <c r="H1342" s="64" t="s">
        <v>39</v>
      </c>
      <c r="I1342" s="64" t="s">
        <v>40</v>
      </c>
      <c r="J1342" s="67">
        <v>0</v>
      </c>
      <c r="K1342" s="62">
        <v>-40000</v>
      </c>
      <c r="L1342" s="33" t="e">
        <f>HLOOKUP(B1342,#REF!,1,0)</f>
        <v>#REF!</v>
      </c>
      <c r="M1342" s="33" t="str">
        <f t="shared" si="83"/>
        <v>BS</v>
      </c>
    </row>
    <row r="1343" spans="1:13" s="33" customFormat="true" ht="12.75" customHeight="true">
      <c r="A1343" s="33" t="str">
        <f t="shared" si="80"/>
        <v>NEW - Intercompany</v>
      </c>
      <c r="B1343" s="33" t="str">
        <f t="shared" si="81"/>
        <v>NEW</v>
      </c>
      <c r="C1343" s="33" t="str">
        <f t="shared" si="82"/>
        <v>11304-0000</v>
      </c>
      <c r="D1343" s="64" t="s">
        <v>1753</v>
      </c>
      <c r="E1343" s="64" t="s">
        <v>250</v>
      </c>
      <c r="F1343" s="64" t="s">
        <v>230</v>
      </c>
      <c r="G1343" s="64" t="s">
        <v>16</v>
      </c>
      <c r="H1343" s="64" t="s">
        <v>39</v>
      </c>
      <c r="I1343" s="64" t="s">
        <v>40</v>
      </c>
      <c r="J1343" s="67">
        <v>0</v>
      </c>
      <c r="K1343" s="62">
        <v>-30000</v>
      </c>
      <c r="L1343" s="33" t="e">
        <f>HLOOKUP(B1343,#REF!,1,0)</f>
        <v>#REF!</v>
      </c>
      <c r="M1343" s="33" t="str">
        <f t="shared" si="83"/>
        <v>BS</v>
      </c>
    </row>
    <row r="1344" spans="1:13" s="33" customFormat="true" ht="12.75" customHeight="true">
      <c r="A1344" s="33" t="str">
        <f t="shared" si="80"/>
        <v>NEW - Intercompany</v>
      </c>
      <c r="B1344" s="33" t="str">
        <f t="shared" si="81"/>
        <v>NEW</v>
      </c>
      <c r="C1344" s="33" t="str">
        <f t="shared" si="82"/>
        <v>11309-0000</v>
      </c>
      <c r="D1344" s="64" t="s">
        <v>1754</v>
      </c>
      <c r="E1344" s="64" t="s">
        <v>254</v>
      </c>
      <c r="F1344" s="64" t="s">
        <v>230</v>
      </c>
      <c r="G1344" s="64" t="s">
        <v>16</v>
      </c>
      <c r="H1344" s="64" t="s">
        <v>39</v>
      </c>
      <c r="I1344" s="64" t="s">
        <v>40</v>
      </c>
      <c r="J1344" s="67">
        <v>0</v>
      </c>
      <c r="K1344" s="62">
        <v>6000</v>
      </c>
      <c r="L1344" s="33" t="e">
        <f>HLOOKUP(B1344,#REF!,1,0)</f>
        <v>#REF!</v>
      </c>
      <c r="M1344" s="33" t="str">
        <f t="shared" si="83"/>
        <v>BS</v>
      </c>
    </row>
    <row r="1345" spans="1:13" s="33" customFormat="true" ht="12.75" customHeight="true">
      <c r="A1345" s="33" t="str">
        <f t="shared" si="80"/>
        <v>NEW - Intercompany</v>
      </c>
      <c r="B1345" s="33" t="str">
        <f t="shared" si="81"/>
        <v>NEW</v>
      </c>
      <c r="C1345" s="33" t="str">
        <f t="shared" si="82"/>
        <v>11310-0000</v>
      </c>
      <c r="D1345" s="64" t="s">
        <v>1755</v>
      </c>
      <c r="E1345" s="64" t="s">
        <v>256</v>
      </c>
      <c r="F1345" s="64" t="s">
        <v>230</v>
      </c>
      <c r="G1345" s="64" t="s">
        <v>362</v>
      </c>
      <c r="H1345" s="64" t="s">
        <v>39</v>
      </c>
      <c r="I1345" s="64" t="s">
        <v>40</v>
      </c>
      <c r="J1345" s="67">
        <v>0</v>
      </c>
      <c r="K1345" s="62">
        <v>-135000</v>
      </c>
      <c r="L1345" s="33" t="e">
        <f>HLOOKUP(B1345,#REF!,1,0)</f>
        <v>#REF!</v>
      </c>
      <c r="M1345" s="33" t="str">
        <f t="shared" si="83"/>
        <v>BS</v>
      </c>
    </row>
    <row r="1346" spans="1:13" s="33" customFormat="true" ht="12.75" customHeight="true">
      <c r="A1346" s="33" t="str">
        <f t="shared" ref="A1346:A1409" si="84">B1346&amp;" - "&amp;TRIM(H1346)</f>
        <v>NEW - Intercompany</v>
      </c>
      <c r="B1346" s="33" t="str">
        <f t="shared" ref="B1346:B1409" si="85">LEFT(D1346,3)</f>
        <v>NEW</v>
      </c>
      <c r="C1346" s="33" t="str">
        <f t="shared" ref="C1346:C1409" si="86">RIGHT(D1346,10)</f>
        <v>11315-0000</v>
      </c>
      <c r="D1346" s="64" t="s">
        <v>1756</v>
      </c>
      <c r="E1346" s="64" t="s">
        <v>1757</v>
      </c>
      <c r="F1346" s="64" t="s">
        <v>230</v>
      </c>
      <c r="G1346" s="64" t="s">
        <v>362</v>
      </c>
      <c r="H1346" s="64" t="s">
        <v>39</v>
      </c>
      <c r="I1346" s="64" t="s">
        <v>40</v>
      </c>
      <c r="J1346" s="67">
        <v>0</v>
      </c>
      <c r="K1346" s="62">
        <v>-30000</v>
      </c>
      <c r="L1346" s="33" t="e">
        <f>HLOOKUP(B1346,#REF!,1,0)</f>
        <v>#REF!</v>
      </c>
      <c r="M1346" s="33" t="str">
        <f t="shared" ref="M1346:M1409" si="87">IF(VALUE(LEFT(C1346,5))&gt;40000,"P&amp;L","BS")</f>
        <v>BS</v>
      </c>
    </row>
    <row r="1347" spans="1:13" s="33" customFormat="true" ht="12.75" customHeight="true">
      <c r="A1347" s="33" t="str">
        <f t="shared" si="84"/>
        <v>NEW - Intercompany</v>
      </c>
      <c r="B1347" s="33" t="str">
        <f t="shared" si="85"/>
        <v>NEW</v>
      </c>
      <c r="C1347" s="33" t="str">
        <f t="shared" si="86"/>
        <v>11317-0000</v>
      </c>
      <c r="D1347" s="64" t="s">
        <v>1758</v>
      </c>
      <c r="E1347" s="64" t="s">
        <v>368</v>
      </c>
      <c r="F1347" s="64" t="s">
        <v>230</v>
      </c>
      <c r="G1347" s="64" t="s">
        <v>16</v>
      </c>
      <c r="H1347" s="64" t="s">
        <v>39</v>
      </c>
      <c r="I1347" s="64" t="s">
        <v>40</v>
      </c>
      <c r="J1347" s="67">
        <v>0</v>
      </c>
      <c r="K1347" s="62">
        <v>-245000</v>
      </c>
      <c r="L1347" s="33" t="e">
        <f>HLOOKUP(B1347,#REF!,1,0)</f>
        <v>#REF!</v>
      </c>
      <c r="M1347" s="33" t="str">
        <f t="shared" si="87"/>
        <v>BS</v>
      </c>
    </row>
    <row r="1348" spans="1:13" s="33" customFormat="true" ht="12.75" customHeight="true">
      <c r="A1348" s="33" t="str">
        <f t="shared" si="84"/>
        <v>NEW - Intercompany</v>
      </c>
      <c r="B1348" s="33" t="str">
        <f t="shared" si="85"/>
        <v>NEW</v>
      </c>
      <c r="C1348" s="33" t="str">
        <f t="shared" si="86"/>
        <v>11324-0000</v>
      </c>
      <c r="D1348" s="64" t="s">
        <v>1759</v>
      </c>
      <c r="E1348" s="64" t="s">
        <v>272</v>
      </c>
      <c r="F1348" s="64" t="s">
        <v>230</v>
      </c>
      <c r="G1348" s="64" t="s">
        <v>16</v>
      </c>
      <c r="H1348" s="64" t="s">
        <v>39</v>
      </c>
      <c r="I1348" s="64" t="s">
        <v>40</v>
      </c>
      <c r="J1348" s="67">
        <v>0</v>
      </c>
      <c r="K1348" s="62">
        <v>-50000</v>
      </c>
      <c r="L1348" s="33" t="e">
        <f>HLOOKUP(B1348,#REF!,1,0)</f>
        <v>#REF!</v>
      </c>
      <c r="M1348" s="33" t="str">
        <f t="shared" si="87"/>
        <v>BS</v>
      </c>
    </row>
    <row r="1349" spans="1:13" s="33" customFormat="true" ht="12.75" customHeight="true">
      <c r="A1349" s="33" t="str">
        <f t="shared" si="84"/>
        <v>NEW - Intercompany</v>
      </c>
      <c r="B1349" s="33" t="str">
        <f t="shared" si="85"/>
        <v>NEW</v>
      </c>
      <c r="C1349" s="33" t="str">
        <f t="shared" si="86"/>
        <v>11325-0000</v>
      </c>
      <c r="D1349" s="64" t="s">
        <v>1760</v>
      </c>
      <c r="E1349" s="64" t="s">
        <v>274</v>
      </c>
      <c r="F1349" s="64" t="s">
        <v>230</v>
      </c>
      <c r="G1349" s="64" t="s">
        <v>16</v>
      </c>
      <c r="H1349" s="64" t="s">
        <v>39</v>
      </c>
      <c r="I1349" s="64" t="s">
        <v>40</v>
      </c>
      <c r="J1349" s="67">
        <v>0</v>
      </c>
      <c r="K1349" s="62">
        <v>20000</v>
      </c>
      <c r="L1349" s="33" t="e">
        <f>HLOOKUP(B1349,#REF!,1,0)</f>
        <v>#REF!</v>
      </c>
      <c r="M1349" s="33" t="str">
        <f t="shared" si="87"/>
        <v>BS</v>
      </c>
    </row>
    <row r="1350" spans="1:13" s="33" customFormat="true" ht="12.75" customHeight="true">
      <c r="A1350" s="33" t="str">
        <f t="shared" si="84"/>
        <v>NEW - Intercompany</v>
      </c>
      <c r="B1350" s="33" t="str">
        <f t="shared" si="85"/>
        <v>NEW</v>
      </c>
      <c r="C1350" s="33" t="str">
        <f t="shared" si="86"/>
        <v>11402-0000</v>
      </c>
      <c r="D1350" s="64" t="s">
        <v>1761</v>
      </c>
      <c r="E1350" s="64" t="s">
        <v>662</v>
      </c>
      <c r="F1350" s="64" t="s">
        <v>230</v>
      </c>
      <c r="G1350" s="64" t="s">
        <v>16</v>
      </c>
      <c r="H1350" s="64" t="s">
        <v>39</v>
      </c>
      <c r="I1350" s="64" t="s">
        <v>40</v>
      </c>
      <c r="J1350" s="67">
        <v>0</v>
      </c>
      <c r="K1350" s="62">
        <v>100000</v>
      </c>
      <c r="L1350" s="33" t="e">
        <f>HLOOKUP(B1350,#REF!,1,0)</f>
        <v>#REF!</v>
      </c>
      <c r="M1350" s="33" t="str">
        <f t="shared" si="87"/>
        <v>BS</v>
      </c>
    </row>
    <row r="1351" spans="1:13" s="33" customFormat="true" ht="12.75" customHeight="true">
      <c r="A1351" s="33" t="str">
        <f t="shared" si="84"/>
        <v>NEW - Fixed Assets</v>
      </c>
      <c r="B1351" s="33" t="str">
        <f t="shared" si="85"/>
        <v>NEW</v>
      </c>
      <c r="C1351" s="33" t="str">
        <f t="shared" si="86"/>
        <v>14000-0001</v>
      </c>
      <c r="D1351" s="64" t="s">
        <v>1762</v>
      </c>
      <c r="E1351" s="64" t="s">
        <v>298</v>
      </c>
      <c r="F1351" s="64" t="s">
        <v>230</v>
      </c>
      <c r="G1351" s="64" t="s">
        <v>62</v>
      </c>
      <c r="H1351" s="64" t="s">
        <v>63</v>
      </c>
      <c r="I1351" s="64" t="s">
        <v>64</v>
      </c>
      <c r="J1351" s="67">
        <v>0</v>
      </c>
      <c r="K1351" s="62">
        <v>2149785</v>
      </c>
      <c r="L1351" s="33" t="e">
        <f>HLOOKUP(B1351,#REF!,1,0)</f>
        <v>#REF!</v>
      </c>
      <c r="M1351" s="33" t="str">
        <f t="shared" si="87"/>
        <v>BS</v>
      </c>
    </row>
    <row r="1352" spans="1:13" s="33" customFormat="true" ht="12.75" customHeight="true">
      <c r="A1352" s="33" t="str">
        <f t="shared" si="84"/>
        <v>NEW - Fixed Assets</v>
      </c>
      <c r="B1352" s="33" t="str">
        <f t="shared" si="85"/>
        <v>NEW</v>
      </c>
      <c r="C1352" s="33" t="str">
        <f t="shared" si="86"/>
        <v>15000-0001</v>
      </c>
      <c r="D1352" s="64" t="s">
        <v>1763</v>
      </c>
      <c r="E1352" s="64" t="s">
        <v>1764</v>
      </c>
      <c r="F1352" s="64" t="s">
        <v>230</v>
      </c>
      <c r="G1352" s="64" t="s">
        <v>62</v>
      </c>
      <c r="H1352" s="64" t="s">
        <v>63</v>
      </c>
      <c r="I1352" s="64" t="s">
        <v>64</v>
      </c>
      <c r="J1352" s="67">
        <v>0</v>
      </c>
      <c r="K1352" s="62">
        <v>4300215</v>
      </c>
      <c r="L1352" s="33" t="e">
        <f>HLOOKUP(B1352,#REF!,1,0)</f>
        <v>#REF!</v>
      </c>
      <c r="M1352" s="33" t="str">
        <f t="shared" si="87"/>
        <v>BS</v>
      </c>
    </row>
    <row r="1353" spans="1:13" s="33" customFormat="true" ht="12.75" customHeight="true">
      <c r="A1353" s="33" t="str">
        <f t="shared" si="84"/>
        <v>NEW - Fixed Assets</v>
      </c>
      <c r="B1353" s="33" t="str">
        <f t="shared" si="85"/>
        <v>NEW</v>
      </c>
      <c r="C1353" s="33" t="str">
        <f t="shared" si="86"/>
        <v>15500-0001</v>
      </c>
      <c r="D1353" s="64" t="s">
        <v>1765</v>
      </c>
      <c r="E1353" s="64" t="s">
        <v>302</v>
      </c>
      <c r="F1353" s="64" t="s">
        <v>230</v>
      </c>
      <c r="G1353" s="64" t="s">
        <v>62</v>
      </c>
      <c r="H1353" s="64" t="s">
        <v>63</v>
      </c>
      <c r="I1353" s="64" t="s">
        <v>64</v>
      </c>
      <c r="J1353" s="67">
        <v>0</v>
      </c>
      <c r="K1353" s="62">
        <v>1636820.92</v>
      </c>
      <c r="L1353" s="33" t="e">
        <f>HLOOKUP(B1353,#REF!,1,0)</f>
        <v>#REF!</v>
      </c>
      <c r="M1353" s="33" t="str">
        <f t="shared" si="87"/>
        <v>BS</v>
      </c>
    </row>
    <row r="1354" spans="1:13" s="33" customFormat="true" ht="12.75" customHeight="true">
      <c r="A1354" s="33" t="str">
        <f t="shared" si="84"/>
        <v>NEW - Fixed Assets</v>
      </c>
      <c r="B1354" s="33" t="str">
        <f t="shared" si="85"/>
        <v>NEW</v>
      </c>
      <c r="C1354" s="33" t="str">
        <f t="shared" si="86"/>
        <v>17000-0000</v>
      </c>
      <c r="D1354" s="64" t="s">
        <v>1766</v>
      </c>
      <c r="E1354" s="64" t="s">
        <v>306</v>
      </c>
      <c r="F1354" s="64" t="s">
        <v>230</v>
      </c>
      <c r="G1354" s="64" t="s">
        <v>62</v>
      </c>
      <c r="H1354" s="64" t="s">
        <v>63</v>
      </c>
      <c r="I1354" s="64" t="s">
        <v>64</v>
      </c>
      <c r="J1354" s="67">
        <v>0</v>
      </c>
      <c r="K1354" s="62">
        <v>-110262</v>
      </c>
      <c r="L1354" s="33" t="e">
        <f>HLOOKUP(B1354,#REF!,1,0)</f>
        <v>#REF!</v>
      </c>
      <c r="M1354" s="33" t="str">
        <f t="shared" si="87"/>
        <v>BS</v>
      </c>
    </row>
    <row r="1355" spans="1:13" s="33" customFormat="true" ht="12.75" customHeight="true">
      <c r="A1355" s="33" t="str">
        <f t="shared" si="84"/>
        <v>NEW - Fixed Assets</v>
      </c>
      <c r="B1355" s="33" t="str">
        <f t="shared" si="85"/>
        <v>NEW</v>
      </c>
      <c r="C1355" s="33" t="str">
        <f t="shared" si="86"/>
        <v>17000-0001</v>
      </c>
      <c r="D1355" s="64" t="s">
        <v>1767</v>
      </c>
      <c r="E1355" s="64" t="s">
        <v>306</v>
      </c>
      <c r="F1355" s="64" t="s">
        <v>230</v>
      </c>
      <c r="G1355" s="64" t="s">
        <v>62</v>
      </c>
      <c r="H1355" s="64" t="s">
        <v>63</v>
      </c>
      <c r="I1355" s="64" t="s">
        <v>64</v>
      </c>
      <c r="J1355" s="67">
        <v>0</v>
      </c>
      <c r="K1355" s="62">
        <v>-1861855</v>
      </c>
      <c r="L1355" s="33" t="e">
        <f>HLOOKUP(B1355,#REF!,1,0)</f>
        <v>#REF!</v>
      </c>
      <c r="M1355" s="33" t="str">
        <f t="shared" si="87"/>
        <v>BS</v>
      </c>
    </row>
    <row r="1356" spans="1:13" s="33" customFormat="true" ht="12.75" customHeight="true">
      <c r="A1356" s="33" t="str">
        <f t="shared" si="84"/>
        <v>NEW - Fixed Assets</v>
      </c>
      <c r="B1356" s="33" t="str">
        <f t="shared" si="85"/>
        <v>NEW</v>
      </c>
      <c r="C1356" s="33" t="str">
        <f t="shared" si="86"/>
        <v>18000-0000</v>
      </c>
      <c r="D1356" s="64" t="s">
        <v>1768</v>
      </c>
      <c r="E1356" s="64" t="s">
        <v>308</v>
      </c>
      <c r="F1356" s="64" t="s">
        <v>230</v>
      </c>
      <c r="G1356" s="64" t="s">
        <v>62</v>
      </c>
      <c r="H1356" s="64" t="s">
        <v>63</v>
      </c>
      <c r="I1356" s="64" t="s">
        <v>64</v>
      </c>
      <c r="J1356" s="67">
        <v>0</v>
      </c>
      <c r="K1356" s="62">
        <v>-294995</v>
      </c>
      <c r="L1356" s="33" t="e">
        <f>HLOOKUP(B1356,#REF!,1,0)</f>
        <v>#REF!</v>
      </c>
      <c r="M1356" s="33" t="str">
        <f t="shared" si="87"/>
        <v>BS</v>
      </c>
    </row>
    <row r="1357" spans="1:13" s="33" customFormat="true" ht="12.75" customHeight="true">
      <c r="A1357" s="33" t="str">
        <f t="shared" si="84"/>
        <v>NEW - Deposits</v>
      </c>
      <c r="B1357" s="33" t="str">
        <f t="shared" si="85"/>
        <v>NEW</v>
      </c>
      <c r="C1357" s="33" t="str">
        <f t="shared" si="86"/>
        <v>19000-0000</v>
      </c>
      <c r="D1357" s="64" t="s">
        <v>1769</v>
      </c>
      <c r="E1357" s="64" t="s">
        <v>342</v>
      </c>
      <c r="F1357" s="64" t="s">
        <v>230</v>
      </c>
      <c r="G1357" s="64" t="s">
        <v>62</v>
      </c>
      <c r="H1357" s="64" t="s">
        <v>80</v>
      </c>
      <c r="I1357" s="64" t="s">
        <v>81</v>
      </c>
      <c r="J1357" s="67">
        <v>0</v>
      </c>
      <c r="K1357" s="62">
        <v>24750</v>
      </c>
      <c r="L1357" s="33" t="e">
        <f>HLOOKUP(B1357,#REF!,1,0)</f>
        <v>#REF!</v>
      </c>
      <c r="M1357" s="33" t="str">
        <f t="shared" si="87"/>
        <v>BS</v>
      </c>
    </row>
    <row r="1358" spans="1:13" s="33" customFormat="true" ht="14.25" customHeight="true">
      <c r="A1358" s="33" t="str">
        <f t="shared" si="84"/>
        <v>NEW - AP-Accr Exp</v>
      </c>
      <c r="B1358" s="33" t="str">
        <f t="shared" si="85"/>
        <v>NEW</v>
      </c>
      <c r="C1358" s="33" t="str">
        <f t="shared" si="86"/>
        <v>20001-0000</v>
      </c>
      <c r="D1358" s="64" t="s">
        <v>1770</v>
      </c>
      <c r="E1358" s="64" t="s">
        <v>96</v>
      </c>
      <c r="F1358" s="64" t="s">
        <v>230</v>
      </c>
      <c r="G1358" s="64" t="s">
        <v>97</v>
      </c>
      <c r="H1358" s="33" t="s">
        <v>98</v>
      </c>
      <c r="I1358" s="64" t="s">
        <v>99</v>
      </c>
      <c r="J1358" s="67">
        <v>1740.43</v>
      </c>
      <c r="K1358" s="62">
        <v>0</v>
      </c>
      <c r="L1358" s="33" t="e">
        <f>HLOOKUP(B1358,#REF!,1,0)</f>
        <v>#REF!</v>
      </c>
      <c r="M1358" s="33" t="str">
        <f t="shared" si="87"/>
        <v>BS</v>
      </c>
    </row>
    <row r="1359" spans="1:13" s="33" customFormat="true" ht="12.75" customHeight="true">
      <c r="A1359" s="33" t="str">
        <f t="shared" si="84"/>
        <v>NEW - AP-Accr Exp</v>
      </c>
      <c r="B1359" s="33" t="str">
        <f t="shared" si="85"/>
        <v>NEW</v>
      </c>
      <c r="C1359" s="33" t="str">
        <f t="shared" si="86"/>
        <v>23509-0000</v>
      </c>
      <c r="D1359" s="64" t="s">
        <v>1771</v>
      </c>
      <c r="E1359" s="64" t="s">
        <v>111</v>
      </c>
      <c r="F1359" s="64" t="s">
        <v>230</v>
      </c>
      <c r="G1359" s="64" t="s">
        <v>97</v>
      </c>
      <c r="H1359" s="64" t="s">
        <v>98</v>
      </c>
      <c r="I1359" s="64" t="s">
        <v>102</v>
      </c>
      <c r="J1359" s="67">
        <v>0</v>
      </c>
      <c r="K1359" s="62">
        <v>0</v>
      </c>
      <c r="L1359" s="33" t="e">
        <f>HLOOKUP(B1359,#REF!,1,0)</f>
        <v>#REF!</v>
      </c>
      <c r="M1359" s="33" t="str">
        <f t="shared" si="87"/>
        <v>BS</v>
      </c>
    </row>
    <row r="1360" spans="1:13" s="33" customFormat="true" ht="12.75" customHeight="true">
      <c r="A1360" s="33" t="str">
        <f t="shared" si="84"/>
        <v>NEW - AP-Accr Exp</v>
      </c>
      <c r="B1360" s="33" t="str">
        <f t="shared" si="85"/>
        <v>NEW</v>
      </c>
      <c r="C1360" s="33" t="str">
        <f t="shared" si="86"/>
        <v>24800-0000</v>
      </c>
      <c r="D1360" s="64" t="s">
        <v>1772</v>
      </c>
      <c r="E1360" s="64" t="s">
        <v>232</v>
      </c>
      <c r="F1360" s="64" t="s">
        <v>230</v>
      </c>
      <c r="G1360" s="64" t="s">
        <v>97</v>
      </c>
      <c r="H1360" s="64" t="s">
        <v>98</v>
      </c>
      <c r="I1360" s="64" t="s">
        <v>102</v>
      </c>
      <c r="J1360" s="67">
        <v>0</v>
      </c>
      <c r="K1360" s="62">
        <v>-93155</v>
      </c>
      <c r="L1360" s="33" t="e">
        <f>HLOOKUP(B1360,#REF!,1,0)</f>
        <v>#REF!</v>
      </c>
      <c r="M1360" s="33" t="str">
        <f t="shared" si="87"/>
        <v>BS</v>
      </c>
    </row>
    <row r="1361" spans="1:13" s="33" customFormat="true" ht="12.75" customHeight="true">
      <c r="A1361" s="33" t="str">
        <f t="shared" si="84"/>
        <v>NEW - AP-Accr Exp</v>
      </c>
      <c r="B1361" s="33" t="str">
        <f t="shared" si="85"/>
        <v>NEW</v>
      </c>
      <c r="C1361" s="33" t="str">
        <f t="shared" si="86"/>
        <v>24800-0001</v>
      </c>
      <c r="D1361" s="64" t="s">
        <v>1773</v>
      </c>
      <c r="E1361" s="64" t="s">
        <v>1774</v>
      </c>
      <c r="F1361" s="64" t="s">
        <v>230</v>
      </c>
      <c r="G1361" s="64" t="s">
        <v>97</v>
      </c>
      <c r="H1361" s="64" t="s">
        <v>98</v>
      </c>
      <c r="I1361" s="64" t="s">
        <v>102</v>
      </c>
      <c r="J1361" s="67">
        <v>3495</v>
      </c>
      <c r="K1361" s="62">
        <v>0</v>
      </c>
      <c r="L1361" s="33" t="e">
        <f>HLOOKUP(B1361,#REF!,1,0)</f>
        <v>#REF!</v>
      </c>
      <c r="M1361" s="33" t="str">
        <f t="shared" si="87"/>
        <v>BS</v>
      </c>
    </row>
    <row r="1362" spans="1:13" s="33" customFormat="true" ht="12.75" customHeight="true">
      <c r="A1362" s="33" t="str">
        <f t="shared" si="84"/>
        <v>NEW - AP-Accr Exp</v>
      </c>
      <c r="B1362" s="33" t="str">
        <f t="shared" si="85"/>
        <v>NEW</v>
      </c>
      <c r="C1362" s="33" t="str">
        <f t="shared" si="86"/>
        <v>24800-0002</v>
      </c>
      <c r="D1362" s="64" t="s">
        <v>1775</v>
      </c>
      <c r="E1362" s="64" t="s">
        <v>1776</v>
      </c>
      <c r="F1362" s="64" t="s">
        <v>230</v>
      </c>
      <c r="G1362" s="64" t="s">
        <v>97</v>
      </c>
      <c r="H1362" s="64" t="s">
        <v>98</v>
      </c>
      <c r="I1362" s="64" t="s">
        <v>102</v>
      </c>
      <c r="J1362" s="67">
        <v>0</v>
      </c>
      <c r="K1362" s="62">
        <v>500</v>
      </c>
      <c r="L1362" s="33" t="e">
        <f>HLOOKUP(B1362,#REF!,1,0)</f>
        <v>#REF!</v>
      </c>
      <c r="M1362" s="33" t="str">
        <f t="shared" si="87"/>
        <v>BS</v>
      </c>
    </row>
    <row r="1363" spans="1:13" s="33" customFormat="true" ht="12.75" customHeight="true">
      <c r="A1363" s="33" t="str">
        <f t="shared" si="84"/>
        <v>NEW - AP-Accr Exp</v>
      </c>
      <c r="B1363" s="33" t="str">
        <f t="shared" si="85"/>
        <v>NEW</v>
      </c>
      <c r="C1363" s="33" t="str">
        <f t="shared" si="86"/>
        <v>24801-0000</v>
      </c>
      <c r="D1363" s="64" t="s">
        <v>1777</v>
      </c>
      <c r="E1363" s="64" t="s">
        <v>1778</v>
      </c>
      <c r="F1363" s="64" t="s">
        <v>230</v>
      </c>
      <c r="G1363" s="64" t="s">
        <v>1779</v>
      </c>
      <c r="H1363" s="64" t="s">
        <v>98</v>
      </c>
      <c r="I1363" s="64" t="s">
        <v>102</v>
      </c>
      <c r="J1363" s="67">
        <v>0</v>
      </c>
      <c r="K1363" s="62">
        <v>0</v>
      </c>
      <c r="L1363" s="33" t="e">
        <f>HLOOKUP(B1363,#REF!,1,0)</f>
        <v>#REF!</v>
      </c>
      <c r="M1363" s="33" t="str">
        <f t="shared" si="87"/>
        <v>BS</v>
      </c>
    </row>
    <row r="1364" spans="1:13" s="33" customFormat="true" ht="12.75" customHeight="true">
      <c r="A1364" s="33" t="str">
        <f t="shared" si="84"/>
        <v>NEW - Principal</v>
      </c>
      <c r="B1364" s="33" t="str">
        <f t="shared" si="85"/>
        <v>NEW</v>
      </c>
      <c r="C1364" s="33" t="str">
        <f t="shared" si="86"/>
        <v>26800-0000</v>
      </c>
      <c r="D1364" s="64" t="s">
        <v>1780</v>
      </c>
      <c r="E1364" s="64" t="s">
        <v>402</v>
      </c>
      <c r="F1364" s="64" t="s">
        <v>230</v>
      </c>
      <c r="G1364" s="64" t="s">
        <v>97</v>
      </c>
      <c r="H1364" s="64" t="s">
        <v>127</v>
      </c>
      <c r="I1364" s="64" t="s">
        <v>128</v>
      </c>
      <c r="J1364" s="67">
        <v>0</v>
      </c>
      <c r="K1364" s="62">
        <v>-150000</v>
      </c>
      <c r="L1364" s="33" t="e">
        <f>HLOOKUP(B1364,#REF!,1,0)</f>
        <v>#REF!</v>
      </c>
      <c r="M1364" s="33" t="str">
        <f t="shared" si="87"/>
        <v>BS</v>
      </c>
    </row>
    <row r="1365" spans="1:13" s="33" customFormat="true" ht="12.75" customHeight="true">
      <c r="A1365" s="33" t="str">
        <f t="shared" si="84"/>
        <v>NEW - Principal</v>
      </c>
      <c r="B1365" s="33" t="str">
        <f t="shared" si="85"/>
        <v>NEW</v>
      </c>
      <c r="C1365" s="33" t="str">
        <f t="shared" si="86"/>
        <v>28001-0000</v>
      </c>
      <c r="D1365" s="64" t="s">
        <v>1781</v>
      </c>
      <c r="E1365" s="64" t="s">
        <v>352</v>
      </c>
      <c r="F1365" s="64" t="s">
        <v>230</v>
      </c>
      <c r="G1365" s="64" t="s">
        <v>123</v>
      </c>
      <c r="H1365" s="64" t="s">
        <v>127</v>
      </c>
      <c r="I1365" s="64" t="s">
        <v>133</v>
      </c>
      <c r="J1365" s="67">
        <v>0</v>
      </c>
      <c r="K1365" s="62">
        <v>4109498.7</v>
      </c>
      <c r="L1365" s="33" t="e">
        <f>HLOOKUP(B1365,#REF!,1,0)</f>
        <v>#REF!</v>
      </c>
      <c r="M1365" s="33" t="str">
        <f t="shared" si="87"/>
        <v>BS</v>
      </c>
    </row>
    <row r="1366" spans="1:13" s="33" customFormat="true" ht="12.75" customHeight="true">
      <c r="A1366" s="33" t="str">
        <f t="shared" si="84"/>
        <v>NEW - Principal</v>
      </c>
      <c r="B1366" s="33" t="str">
        <f t="shared" si="85"/>
        <v>NEW</v>
      </c>
      <c r="C1366" s="33" t="str">
        <f t="shared" si="86"/>
        <v>28001-0001</v>
      </c>
      <c r="D1366" s="64" t="s">
        <v>1782</v>
      </c>
      <c r="E1366" s="64" t="s">
        <v>1783</v>
      </c>
      <c r="F1366" s="64" t="s">
        <v>230</v>
      </c>
      <c r="G1366" s="64" t="s">
        <v>123</v>
      </c>
      <c r="H1366" s="64" t="s">
        <v>127</v>
      </c>
      <c r="I1366" s="64" t="s">
        <v>133</v>
      </c>
      <c r="J1366" s="67">
        <v>0</v>
      </c>
      <c r="K1366" s="62">
        <v>-4088079.71</v>
      </c>
      <c r="L1366" s="33" t="e">
        <f>HLOOKUP(B1366,#REF!,1,0)</f>
        <v>#REF!</v>
      </c>
      <c r="M1366" s="33" t="str">
        <f t="shared" si="87"/>
        <v>BS</v>
      </c>
    </row>
    <row r="1367" spans="1:13" s="33" customFormat="true" ht="12.75" customHeight="true">
      <c r="A1367" s="33" t="str">
        <f t="shared" si="84"/>
        <v>NEW - Principal</v>
      </c>
      <c r="B1367" s="33" t="str">
        <f t="shared" si="85"/>
        <v>NEW</v>
      </c>
      <c r="C1367" s="33" t="str">
        <f t="shared" si="86"/>
        <v>28003-0000</v>
      </c>
      <c r="D1367" s="64" t="s">
        <v>1784</v>
      </c>
      <c r="E1367" s="64" t="s">
        <v>433</v>
      </c>
      <c r="F1367" s="64" t="s">
        <v>230</v>
      </c>
      <c r="G1367" s="64" t="s">
        <v>123</v>
      </c>
      <c r="H1367" s="64" t="s">
        <v>127</v>
      </c>
      <c r="I1367" s="64" t="s">
        <v>133</v>
      </c>
      <c r="J1367" s="67">
        <v>11943.29</v>
      </c>
      <c r="K1367" s="62">
        <v>-7350375.73</v>
      </c>
      <c r="L1367" s="33" t="e">
        <f>HLOOKUP(B1367,#REF!,1,0)</f>
        <v>#REF!</v>
      </c>
      <c r="M1367" s="33" t="str">
        <f t="shared" si="87"/>
        <v>BS</v>
      </c>
    </row>
    <row r="1368" spans="1:13" s="33" customFormat="true" ht="12.75" customHeight="true">
      <c r="A1368" s="33" t="str">
        <f t="shared" si="84"/>
        <v>NEW - SH Dist</v>
      </c>
      <c r="B1368" s="33" t="str">
        <f t="shared" si="85"/>
        <v>NEW</v>
      </c>
      <c r="C1368" s="33" t="str">
        <f t="shared" si="86"/>
        <v>30700-0000</v>
      </c>
      <c r="D1368" s="64" t="s">
        <v>1785</v>
      </c>
      <c r="E1368" s="64" t="s">
        <v>319</v>
      </c>
      <c r="F1368" s="64" t="s">
        <v>230</v>
      </c>
      <c r="G1368" s="64" t="s">
        <v>142</v>
      </c>
      <c r="H1368" s="64" t="s">
        <v>143</v>
      </c>
      <c r="I1368" s="64" t="s">
        <v>144</v>
      </c>
      <c r="J1368" s="67">
        <v>0</v>
      </c>
      <c r="K1368" s="62">
        <v>6147876.69</v>
      </c>
      <c r="L1368" s="33" t="e">
        <f>HLOOKUP(B1368,#REF!,1,0)</f>
        <v>#REF!</v>
      </c>
      <c r="M1368" s="33" t="str">
        <f t="shared" si="87"/>
        <v>BS</v>
      </c>
    </row>
    <row r="1369" spans="1:13" s="33" customFormat="true" ht="12.75" customHeight="true">
      <c r="A1369" s="33" t="str">
        <f t="shared" si="84"/>
        <v>NEW - Retained Earnings</v>
      </c>
      <c r="B1369" s="33" t="str">
        <f t="shared" si="85"/>
        <v>NEW</v>
      </c>
      <c r="C1369" s="33" t="str">
        <f t="shared" si="86"/>
        <v>32000-0000</v>
      </c>
      <c r="D1369" s="64" t="s">
        <v>1786</v>
      </c>
      <c r="E1369" s="64" t="s">
        <v>234</v>
      </c>
      <c r="F1369" s="64" t="s">
        <v>230</v>
      </c>
      <c r="G1369" s="64" t="s">
        <v>142</v>
      </c>
      <c r="H1369" s="64" t="s">
        <v>149</v>
      </c>
      <c r="I1369" s="64" t="s">
        <v>235</v>
      </c>
      <c r="J1369" s="67">
        <v>0</v>
      </c>
      <c r="K1369" s="62">
        <v>-3772687.54</v>
      </c>
      <c r="L1369" s="33" t="e">
        <f>HLOOKUP(B1369,#REF!,1,0)</f>
        <v>#REF!</v>
      </c>
      <c r="M1369" s="33" t="str">
        <f t="shared" si="87"/>
        <v>BS</v>
      </c>
    </row>
    <row r="1370" spans="1:13" s="33" customFormat="true" ht="12.75" customHeight="true">
      <c r="A1370" s="33" t="str">
        <f t="shared" si="84"/>
        <v>NEW - SH Dist</v>
      </c>
      <c r="B1370" s="33" t="str">
        <f t="shared" si="85"/>
        <v>NEW</v>
      </c>
      <c r="C1370" s="33" t="str">
        <f t="shared" si="86"/>
        <v>36001-0000</v>
      </c>
      <c r="D1370" s="64" t="s">
        <v>1787</v>
      </c>
      <c r="E1370" s="64" t="s">
        <v>322</v>
      </c>
      <c r="F1370" s="64" t="s">
        <v>230</v>
      </c>
      <c r="G1370" s="64" t="s">
        <v>142</v>
      </c>
      <c r="H1370" s="64" t="s">
        <v>143</v>
      </c>
      <c r="I1370" s="64" t="s">
        <v>144</v>
      </c>
      <c r="J1370" s="67">
        <v>0</v>
      </c>
      <c r="K1370" s="62">
        <v>-75000</v>
      </c>
      <c r="L1370" s="33" t="e">
        <f>HLOOKUP(B1370,#REF!,1,0)</f>
        <v>#REF!</v>
      </c>
      <c r="M1370" s="33" t="str">
        <f t="shared" si="87"/>
        <v>BS</v>
      </c>
    </row>
    <row r="1371" spans="1:13" s="33" customFormat="true" ht="12.75" customHeight="true">
      <c r="A1371" s="33" t="str">
        <f t="shared" si="84"/>
        <v>NOR - Intercompany</v>
      </c>
      <c r="B1371" s="33" t="str">
        <f t="shared" si="85"/>
        <v>NOR</v>
      </c>
      <c r="C1371" s="33" t="str">
        <f t="shared" si="86"/>
        <v>11340-0000</v>
      </c>
      <c r="D1371" s="64" t="s">
        <v>1788</v>
      </c>
      <c r="E1371" s="64" t="s">
        <v>1789</v>
      </c>
      <c r="F1371" s="64" t="s">
        <v>230</v>
      </c>
      <c r="G1371" s="64" t="s">
        <v>16</v>
      </c>
      <c r="H1371" s="64" t="s">
        <v>39</v>
      </c>
      <c r="I1371" s="64" t="s">
        <v>40</v>
      </c>
      <c r="J1371" s="67">
        <v>0</v>
      </c>
      <c r="K1371" s="62">
        <v>200000</v>
      </c>
      <c r="L1371" s="33" t="e">
        <f>HLOOKUP(B1371,#REF!,1,0)</f>
        <v>#REF!</v>
      </c>
      <c r="M1371" s="33" t="str">
        <f t="shared" si="87"/>
        <v>BS</v>
      </c>
    </row>
    <row r="1372" spans="1:13" s="33" customFormat="true" ht="12.75" customHeight="true">
      <c r="A1372" s="33" t="str">
        <f t="shared" si="84"/>
        <v>NOR - AP-Accr Exp</v>
      </c>
      <c r="B1372" s="33" t="str">
        <f t="shared" si="85"/>
        <v>NOR</v>
      </c>
      <c r="C1372" s="33" t="str">
        <f t="shared" si="86"/>
        <v>20001-0000</v>
      </c>
      <c r="D1372" s="64" t="s">
        <v>1790</v>
      </c>
      <c r="E1372" s="64" t="s">
        <v>96</v>
      </c>
      <c r="F1372" s="64" t="s">
        <v>230</v>
      </c>
      <c r="G1372" s="64" t="s">
        <v>97</v>
      </c>
      <c r="H1372" s="64" t="s">
        <v>98</v>
      </c>
      <c r="I1372" s="64" t="s">
        <v>99</v>
      </c>
      <c r="J1372" s="67">
        <v>0</v>
      </c>
      <c r="K1372" s="62">
        <v>-800</v>
      </c>
      <c r="L1372" s="33" t="e">
        <f>HLOOKUP(B1372,#REF!,1,0)</f>
        <v>#REF!</v>
      </c>
      <c r="M1372" s="33" t="str">
        <f t="shared" si="87"/>
        <v>BS</v>
      </c>
    </row>
    <row r="1373" spans="1:13" s="33" customFormat="true" ht="12.75" customHeight="true">
      <c r="A1373" s="33" t="str">
        <f t="shared" si="84"/>
        <v>NOR - SH Dist</v>
      </c>
      <c r="B1373" s="33" t="str">
        <f t="shared" si="85"/>
        <v>NOR</v>
      </c>
      <c r="C1373" s="33" t="str">
        <f t="shared" si="86"/>
        <v>30700-0000</v>
      </c>
      <c r="D1373" s="64" t="s">
        <v>1791</v>
      </c>
      <c r="E1373" s="64" t="s">
        <v>319</v>
      </c>
      <c r="F1373" s="64" t="s">
        <v>230</v>
      </c>
      <c r="G1373" s="64" t="s">
        <v>142</v>
      </c>
      <c r="H1373" s="64" t="s">
        <v>143</v>
      </c>
      <c r="I1373" s="64" t="s">
        <v>144</v>
      </c>
      <c r="J1373" s="67">
        <v>0</v>
      </c>
      <c r="K1373" s="62">
        <v>-202317.59</v>
      </c>
      <c r="L1373" s="33" t="e">
        <f>HLOOKUP(B1373,#REF!,1,0)</f>
        <v>#REF!</v>
      </c>
      <c r="M1373" s="33" t="str">
        <f t="shared" si="87"/>
        <v>BS</v>
      </c>
    </row>
    <row r="1374" spans="1:13" s="33" customFormat="true" ht="12.75" customHeight="true">
      <c r="A1374" s="33" t="str">
        <f t="shared" si="84"/>
        <v>NOR - Retained Earnings</v>
      </c>
      <c r="B1374" s="33" t="str">
        <f t="shared" si="85"/>
        <v>NOR</v>
      </c>
      <c r="C1374" s="33" t="str">
        <f t="shared" si="86"/>
        <v>32000-0000</v>
      </c>
      <c r="D1374" s="64" t="s">
        <v>1792</v>
      </c>
      <c r="E1374" s="64" t="s">
        <v>234</v>
      </c>
      <c r="F1374" s="64" t="s">
        <v>230</v>
      </c>
      <c r="G1374" s="64" t="s">
        <v>142</v>
      </c>
      <c r="H1374" s="64" t="s">
        <v>149</v>
      </c>
      <c r="I1374" s="64" t="s">
        <v>235</v>
      </c>
      <c r="J1374" s="67">
        <v>0</v>
      </c>
      <c r="K1374" s="62">
        <v>3117.59</v>
      </c>
      <c r="L1374" s="33" t="e">
        <f>HLOOKUP(B1374,#REF!,1,0)</f>
        <v>#REF!</v>
      </c>
      <c r="M1374" s="33" t="str">
        <f t="shared" si="87"/>
        <v>BS</v>
      </c>
    </row>
    <row r="1375" spans="1:13" s="33" customFormat="true" ht="12.75" customHeight="true">
      <c r="A1375" s="33" t="str">
        <f t="shared" si="84"/>
        <v>NWS - Cash</v>
      </c>
      <c r="B1375" s="33" t="str">
        <f t="shared" si="85"/>
        <v>NWS</v>
      </c>
      <c r="C1375" s="33" t="str">
        <f t="shared" si="86"/>
        <v>10021-0000</v>
      </c>
      <c r="D1375" s="64" t="s">
        <v>1793</v>
      </c>
      <c r="E1375" s="64" t="s">
        <v>678</v>
      </c>
      <c r="F1375" s="64" t="s">
        <v>1794</v>
      </c>
      <c r="G1375" s="64" t="s">
        <v>16</v>
      </c>
      <c r="H1375" s="64" t="s">
        <v>25</v>
      </c>
      <c r="I1375" s="64" t="s">
        <v>18</v>
      </c>
      <c r="J1375" s="67">
        <v>-89506.69</v>
      </c>
      <c r="K1375" s="62">
        <v>6607.13</v>
      </c>
      <c r="L1375" s="33" t="e">
        <f>HLOOKUP(B1375,#REF!,1,0)</f>
        <v>#REF!</v>
      </c>
      <c r="M1375" s="33" t="str">
        <f t="shared" si="87"/>
        <v>BS</v>
      </c>
    </row>
    <row r="1376" spans="1:13" s="33" customFormat="true" ht="12.75" customHeight="true">
      <c r="A1376" s="33" t="str">
        <f t="shared" si="84"/>
        <v>NWS - Intercompany</v>
      </c>
      <c r="B1376" s="33" t="str">
        <f t="shared" si="85"/>
        <v>NWS</v>
      </c>
      <c r="C1376" s="33" t="str">
        <f t="shared" si="86"/>
        <v>11217-0000</v>
      </c>
      <c r="D1376" s="64" t="s">
        <v>1795</v>
      </c>
      <c r="E1376" s="64" t="s">
        <v>172</v>
      </c>
      <c r="F1376" s="64" t="s">
        <v>1794</v>
      </c>
      <c r="G1376" s="64" t="s">
        <v>16</v>
      </c>
      <c r="H1376" s="64" t="s">
        <v>39</v>
      </c>
      <c r="I1376" s="64" t="s">
        <v>40</v>
      </c>
      <c r="J1376" s="67">
        <v>5458.29</v>
      </c>
      <c r="K1376" s="62">
        <v>14037.5</v>
      </c>
      <c r="L1376" s="33" t="e">
        <f>HLOOKUP(B1376,#REF!,1,0)</f>
        <v>#REF!</v>
      </c>
      <c r="M1376" s="33" t="str">
        <f t="shared" si="87"/>
        <v>BS</v>
      </c>
    </row>
    <row r="1377" spans="1:13" s="33" customFormat="true" ht="12.75" customHeight="true">
      <c r="A1377" s="33" t="str">
        <f t="shared" si="84"/>
        <v>NWS - Intercompany</v>
      </c>
      <c r="B1377" s="33" t="str">
        <f t="shared" si="85"/>
        <v>NWS</v>
      </c>
      <c r="C1377" s="33" t="str">
        <f t="shared" si="86"/>
        <v>11218-0000</v>
      </c>
      <c r="D1377" s="64" t="s">
        <v>1796</v>
      </c>
      <c r="E1377" s="64" t="s">
        <v>42</v>
      </c>
      <c r="F1377" s="64" t="s">
        <v>1794</v>
      </c>
      <c r="G1377" s="64" t="s">
        <v>16</v>
      </c>
      <c r="H1377" s="64" t="s">
        <v>39</v>
      </c>
      <c r="I1377" s="64" t="s">
        <v>40</v>
      </c>
      <c r="J1377" s="67">
        <v>1814.51</v>
      </c>
      <c r="K1377" s="62">
        <v>5737.53</v>
      </c>
      <c r="L1377" s="33" t="e">
        <f>HLOOKUP(B1377,#REF!,1,0)</f>
        <v>#REF!</v>
      </c>
      <c r="M1377" s="33" t="str">
        <f t="shared" si="87"/>
        <v>BS</v>
      </c>
    </row>
    <row r="1378" spans="1:13" s="33" customFormat="true" ht="12.75" customHeight="true">
      <c r="A1378" s="33" t="str">
        <f t="shared" si="84"/>
        <v>NWS - AP-Accr Exp</v>
      </c>
      <c r="B1378" s="33" t="str">
        <f t="shared" si="85"/>
        <v>NWS</v>
      </c>
      <c r="C1378" s="33" t="str">
        <f t="shared" si="86"/>
        <v>20001-0000</v>
      </c>
      <c r="D1378" s="64" t="s">
        <v>1797</v>
      </c>
      <c r="E1378" s="64" t="s">
        <v>96</v>
      </c>
      <c r="F1378" s="64" t="s">
        <v>1794</v>
      </c>
      <c r="G1378" s="64" t="s">
        <v>97</v>
      </c>
      <c r="H1378" s="64" t="s">
        <v>98</v>
      </c>
      <c r="I1378" s="64" t="s">
        <v>99</v>
      </c>
      <c r="J1378" s="67">
        <v>72715.08</v>
      </c>
      <c r="K1378" s="62">
        <v>-1074.38</v>
      </c>
      <c r="L1378" s="33" t="e">
        <f>HLOOKUP(B1378,#REF!,1,0)</f>
        <v>#REF!</v>
      </c>
      <c r="M1378" s="33" t="str">
        <f t="shared" si="87"/>
        <v>BS</v>
      </c>
    </row>
    <row r="1379" spans="1:13" s="33" customFormat="true" ht="12.75" customHeight="true">
      <c r="A1379" s="33" t="str">
        <f t="shared" si="84"/>
        <v>NWS - AP-Accr Exp</v>
      </c>
      <c r="B1379" s="33" t="str">
        <f t="shared" si="85"/>
        <v>NWS</v>
      </c>
      <c r="C1379" s="33" t="str">
        <f t="shared" si="86"/>
        <v>20100-0000</v>
      </c>
      <c r="D1379" s="64" t="s">
        <v>1798</v>
      </c>
      <c r="E1379" s="64" t="s">
        <v>96</v>
      </c>
      <c r="F1379" s="64" t="s">
        <v>1794</v>
      </c>
      <c r="G1379" s="64" t="s">
        <v>97</v>
      </c>
      <c r="H1379" s="64" t="s">
        <v>98</v>
      </c>
      <c r="I1379" s="64" t="s">
        <v>99</v>
      </c>
      <c r="J1379" s="67">
        <v>0</v>
      </c>
      <c r="K1379" s="62">
        <v>-100</v>
      </c>
      <c r="L1379" s="33" t="e">
        <f>HLOOKUP(B1379,#REF!,1,0)</f>
        <v>#REF!</v>
      </c>
      <c r="M1379" s="33" t="str">
        <f t="shared" si="87"/>
        <v>BS</v>
      </c>
    </row>
    <row r="1380" spans="1:13" s="33" customFormat="true" ht="12.75" customHeight="true">
      <c r="A1380" s="33" t="str">
        <f t="shared" si="84"/>
        <v>NWS - Principal</v>
      </c>
      <c r="B1380" s="33" t="str">
        <f t="shared" si="85"/>
        <v>NWS</v>
      </c>
      <c r="C1380" s="33" t="str">
        <f t="shared" si="86"/>
        <v>26700-0000</v>
      </c>
      <c r="D1380" s="64" t="s">
        <v>1799</v>
      </c>
      <c r="E1380" s="64" t="s">
        <v>688</v>
      </c>
      <c r="F1380" s="64" t="s">
        <v>1794</v>
      </c>
      <c r="G1380" s="64" t="s">
        <v>97</v>
      </c>
      <c r="H1380" s="64" t="s">
        <v>127</v>
      </c>
      <c r="I1380" s="64" t="s">
        <v>102</v>
      </c>
      <c r="J1380" s="67">
        <v>0</v>
      </c>
      <c r="K1380" s="62">
        <v>0</v>
      </c>
      <c r="L1380" s="33" t="e">
        <f>HLOOKUP(B1380,#REF!,1,0)</f>
        <v>#REF!</v>
      </c>
      <c r="M1380" s="33" t="str">
        <f t="shared" si="87"/>
        <v>BS</v>
      </c>
    </row>
    <row r="1381" spans="1:13" s="33" customFormat="true" ht="12.75" customHeight="true">
      <c r="A1381" s="33" t="str">
        <f t="shared" si="84"/>
        <v>NWS - Retained Earnings</v>
      </c>
      <c r="B1381" s="33" t="str">
        <f t="shared" si="85"/>
        <v>NWS</v>
      </c>
      <c r="C1381" s="33" t="str">
        <f t="shared" si="86"/>
        <v>32000-0000</v>
      </c>
      <c r="D1381" s="64" t="s">
        <v>1800</v>
      </c>
      <c r="E1381" s="64" t="s">
        <v>234</v>
      </c>
      <c r="F1381" s="64" t="s">
        <v>1794</v>
      </c>
      <c r="G1381" s="64" t="s">
        <v>142</v>
      </c>
      <c r="H1381" s="64" t="s">
        <v>149</v>
      </c>
      <c r="I1381" s="64" t="s">
        <v>150</v>
      </c>
      <c r="J1381" s="67">
        <v>0</v>
      </c>
      <c r="K1381" s="62">
        <v>-284003.54</v>
      </c>
      <c r="L1381" s="33" t="e">
        <f>HLOOKUP(B1381,#REF!,1,0)</f>
        <v>#REF!</v>
      </c>
      <c r="M1381" s="33" t="str">
        <f t="shared" si="87"/>
        <v>BS</v>
      </c>
    </row>
    <row r="1382" spans="1:13" s="33" customFormat="true" ht="12.75" customHeight="true">
      <c r="A1382" s="33" t="str">
        <f t="shared" si="84"/>
        <v>NWS - SH Dist</v>
      </c>
      <c r="B1382" s="33" t="str">
        <f t="shared" si="85"/>
        <v>NWS</v>
      </c>
      <c r="C1382" s="33" t="str">
        <f t="shared" si="86"/>
        <v>36001-0000</v>
      </c>
      <c r="D1382" s="64" t="s">
        <v>1801</v>
      </c>
      <c r="E1382" s="64" t="s">
        <v>589</v>
      </c>
      <c r="F1382" s="64" t="s">
        <v>1794</v>
      </c>
      <c r="G1382" s="64" t="s">
        <v>142</v>
      </c>
      <c r="H1382" s="64" t="s">
        <v>143</v>
      </c>
      <c r="I1382" s="64" t="s">
        <v>144</v>
      </c>
      <c r="J1382" s="67">
        <v>0</v>
      </c>
      <c r="K1382" s="62">
        <v>250649.46</v>
      </c>
      <c r="L1382" s="33" t="e">
        <f>HLOOKUP(B1382,#REF!,1,0)</f>
        <v>#REF!</v>
      </c>
      <c r="M1382" s="33" t="str">
        <f t="shared" si="87"/>
        <v>BS</v>
      </c>
    </row>
    <row r="1383" spans="1:13" s="33" customFormat="true" ht="12.75" customHeight="true">
      <c r="A1383" s="33" t="str">
        <f t="shared" si="84"/>
        <v>OLD - Retained Earnings</v>
      </c>
      <c r="B1383" s="33" t="str">
        <f t="shared" si="85"/>
        <v>OLD</v>
      </c>
      <c r="C1383" s="33" t="str">
        <f t="shared" si="86"/>
        <v>32000-0000</v>
      </c>
      <c r="D1383" s="64" t="s">
        <v>1802</v>
      </c>
      <c r="E1383" s="64" t="s">
        <v>234</v>
      </c>
      <c r="F1383" s="64" t="s">
        <v>230</v>
      </c>
      <c r="G1383" s="64" t="s">
        <v>142</v>
      </c>
      <c r="H1383" s="64" t="s">
        <v>149</v>
      </c>
      <c r="I1383" s="64" t="s">
        <v>235</v>
      </c>
      <c r="J1383" s="67">
        <v>0</v>
      </c>
      <c r="K1383" s="62">
        <v>-28682528.11</v>
      </c>
      <c r="L1383" s="33" t="e">
        <f>HLOOKUP(B1383,#REF!,1,0)</f>
        <v>#REF!</v>
      </c>
      <c r="M1383" s="33" t="str">
        <f t="shared" si="87"/>
        <v>BS</v>
      </c>
    </row>
    <row r="1384" spans="1:13" s="33" customFormat="true" ht="12.75" customHeight="true">
      <c r="A1384" s="33" t="str">
        <f t="shared" si="84"/>
        <v>OLD - Retained Earnings</v>
      </c>
      <c r="B1384" s="33" t="str">
        <f t="shared" si="85"/>
        <v>OLD</v>
      </c>
      <c r="C1384" s="33" t="str">
        <f t="shared" si="86"/>
        <v>39999-0001</v>
      </c>
      <c r="D1384" s="64" t="s">
        <v>1803</v>
      </c>
      <c r="E1384" s="64" t="s">
        <v>1804</v>
      </c>
      <c r="F1384" s="64" t="s">
        <v>230</v>
      </c>
      <c r="G1384" s="64" t="s">
        <v>142</v>
      </c>
      <c r="H1384" s="64" t="s">
        <v>149</v>
      </c>
      <c r="I1384" s="64" t="s">
        <v>150</v>
      </c>
      <c r="J1384" s="67">
        <v>0</v>
      </c>
      <c r="K1384" s="62">
        <v>-48662.19</v>
      </c>
      <c r="L1384" s="33" t="e">
        <f>HLOOKUP(B1384,#REF!,1,0)</f>
        <v>#REF!</v>
      </c>
      <c r="M1384" s="33" t="str">
        <f t="shared" si="87"/>
        <v>BS</v>
      </c>
    </row>
    <row r="1385" spans="1:13" s="33" customFormat="true" ht="12.75" customHeight="true">
      <c r="A1385" s="33" t="str">
        <f t="shared" si="84"/>
        <v>OLD - Retained Earnings</v>
      </c>
      <c r="B1385" s="33" t="str">
        <f t="shared" si="85"/>
        <v>OLD</v>
      </c>
      <c r="C1385" s="33" t="str">
        <f t="shared" si="86"/>
        <v>39999-0002</v>
      </c>
      <c r="D1385" s="64" t="s">
        <v>1805</v>
      </c>
      <c r="E1385" s="64" t="s">
        <v>1806</v>
      </c>
      <c r="F1385" s="64" t="s">
        <v>230</v>
      </c>
      <c r="G1385" s="64" t="s">
        <v>142</v>
      </c>
      <c r="H1385" s="64" t="s">
        <v>149</v>
      </c>
      <c r="I1385" s="64" t="s">
        <v>150</v>
      </c>
      <c r="J1385" s="67">
        <v>0</v>
      </c>
      <c r="K1385" s="62">
        <v>-109749.76</v>
      </c>
      <c r="L1385" s="33" t="e">
        <f>HLOOKUP(B1385,#REF!,1,0)</f>
        <v>#REF!</v>
      </c>
      <c r="M1385" s="33" t="str">
        <f t="shared" si="87"/>
        <v>BS</v>
      </c>
    </row>
    <row r="1386" spans="1:13" s="33" customFormat="true" ht="12.75" customHeight="true">
      <c r="A1386" s="33" t="str">
        <f t="shared" si="84"/>
        <v>OLD - Retained Earnings</v>
      </c>
      <c r="B1386" s="33" t="str">
        <f t="shared" si="85"/>
        <v>OLD</v>
      </c>
      <c r="C1386" s="33" t="str">
        <f t="shared" si="86"/>
        <v>39999-0003</v>
      </c>
      <c r="D1386" s="64" t="s">
        <v>1807</v>
      </c>
      <c r="E1386" s="64" t="s">
        <v>1808</v>
      </c>
      <c r="F1386" s="64" t="s">
        <v>230</v>
      </c>
      <c r="G1386" s="64" t="s">
        <v>142</v>
      </c>
      <c r="H1386" s="64" t="s">
        <v>149</v>
      </c>
      <c r="I1386" s="64" t="s">
        <v>150</v>
      </c>
      <c r="J1386" s="67">
        <v>0</v>
      </c>
      <c r="K1386" s="62">
        <v>147123.44</v>
      </c>
      <c r="L1386" s="33" t="e">
        <f>HLOOKUP(B1386,#REF!,1,0)</f>
        <v>#REF!</v>
      </c>
      <c r="M1386" s="33" t="str">
        <f t="shared" si="87"/>
        <v>BS</v>
      </c>
    </row>
    <row r="1387" spans="1:13" s="33" customFormat="true" ht="12.75" customHeight="true">
      <c r="A1387" s="33" t="str">
        <f t="shared" si="84"/>
        <v>OLD - Retained Earnings</v>
      </c>
      <c r="B1387" s="33" t="str">
        <f t="shared" si="85"/>
        <v>OLD</v>
      </c>
      <c r="C1387" s="33" t="str">
        <f t="shared" si="86"/>
        <v>39999-0005</v>
      </c>
      <c r="D1387" s="64" t="s">
        <v>1809</v>
      </c>
      <c r="E1387" s="64" t="s">
        <v>1810</v>
      </c>
      <c r="F1387" s="64" t="s">
        <v>230</v>
      </c>
      <c r="G1387" s="64" t="s">
        <v>142</v>
      </c>
      <c r="H1387" s="64" t="s">
        <v>149</v>
      </c>
      <c r="I1387" s="64" t="s">
        <v>150</v>
      </c>
      <c r="J1387" s="67">
        <v>0</v>
      </c>
      <c r="K1387" s="62">
        <v>-7814.96</v>
      </c>
      <c r="L1387" s="33" t="e">
        <f>HLOOKUP(B1387,#REF!,1,0)</f>
        <v>#REF!</v>
      </c>
      <c r="M1387" s="33" t="str">
        <f t="shared" si="87"/>
        <v>BS</v>
      </c>
    </row>
    <row r="1388" spans="1:13" s="33" customFormat="true" ht="12.75" customHeight="true">
      <c r="A1388" s="33" t="str">
        <f t="shared" si="84"/>
        <v>OLD - Retained Earnings</v>
      </c>
      <c r="B1388" s="33" t="str">
        <f t="shared" si="85"/>
        <v>OLD</v>
      </c>
      <c r="C1388" s="33" t="str">
        <f t="shared" si="86"/>
        <v>39999-0006</v>
      </c>
      <c r="D1388" s="64" t="s">
        <v>1811</v>
      </c>
      <c r="E1388" s="64" t="s">
        <v>1812</v>
      </c>
      <c r="F1388" s="64" t="s">
        <v>230</v>
      </c>
      <c r="G1388" s="64" t="s">
        <v>142</v>
      </c>
      <c r="H1388" s="64" t="s">
        <v>149</v>
      </c>
      <c r="I1388" s="64" t="s">
        <v>150</v>
      </c>
      <c r="J1388" s="67">
        <v>0</v>
      </c>
      <c r="K1388" s="62">
        <v>-26624.4</v>
      </c>
      <c r="L1388" s="33" t="e">
        <f>HLOOKUP(B1388,#REF!,1,0)</f>
        <v>#REF!</v>
      </c>
      <c r="M1388" s="33" t="str">
        <f t="shared" si="87"/>
        <v>BS</v>
      </c>
    </row>
    <row r="1389" spans="1:13" s="33" customFormat="true" ht="12.75" customHeight="true">
      <c r="A1389" s="33" t="str">
        <f t="shared" si="84"/>
        <v>OLD - Retained Earnings</v>
      </c>
      <c r="B1389" s="33" t="str">
        <f t="shared" si="85"/>
        <v>OLD</v>
      </c>
      <c r="C1389" s="33" t="str">
        <f t="shared" si="86"/>
        <v>39999-0007</v>
      </c>
      <c r="D1389" s="64" t="s">
        <v>1813</v>
      </c>
      <c r="E1389" s="64" t="s">
        <v>1814</v>
      </c>
      <c r="F1389" s="64" t="s">
        <v>230</v>
      </c>
      <c r="G1389" s="64" t="s">
        <v>142</v>
      </c>
      <c r="H1389" s="64" t="s">
        <v>149</v>
      </c>
      <c r="I1389" s="64" t="s">
        <v>150</v>
      </c>
      <c r="J1389" s="67">
        <v>0</v>
      </c>
      <c r="K1389" s="62">
        <v>-8025.5</v>
      </c>
      <c r="L1389" s="33" t="e">
        <f>HLOOKUP(B1389,#REF!,1,0)</f>
        <v>#REF!</v>
      </c>
      <c r="M1389" s="33" t="str">
        <f t="shared" si="87"/>
        <v>BS</v>
      </c>
    </row>
    <row r="1390" spans="1:13" s="33" customFormat="true" ht="12.75" customHeight="true">
      <c r="A1390" s="33" t="str">
        <f t="shared" si="84"/>
        <v>OLD - Retained Earnings</v>
      </c>
      <c r="B1390" s="33" t="str">
        <f t="shared" si="85"/>
        <v>OLD</v>
      </c>
      <c r="C1390" s="33" t="str">
        <f t="shared" si="86"/>
        <v>39999-0008</v>
      </c>
      <c r="D1390" s="64" t="s">
        <v>1815</v>
      </c>
      <c r="E1390" s="64" t="s">
        <v>1816</v>
      </c>
      <c r="F1390" s="64" t="s">
        <v>230</v>
      </c>
      <c r="G1390" s="64" t="s">
        <v>142</v>
      </c>
      <c r="H1390" s="64" t="s">
        <v>149</v>
      </c>
      <c r="I1390" s="64" t="s">
        <v>150</v>
      </c>
      <c r="J1390" s="67">
        <v>0</v>
      </c>
      <c r="K1390" s="62">
        <v>425381.36</v>
      </c>
      <c r="L1390" s="33" t="e">
        <f>HLOOKUP(B1390,#REF!,1,0)</f>
        <v>#REF!</v>
      </c>
      <c r="M1390" s="33" t="str">
        <f t="shared" si="87"/>
        <v>BS</v>
      </c>
    </row>
    <row r="1391" spans="1:13" s="33" customFormat="true" ht="12.75" customHeight="true">
      <c r="A1391" s="33" t="str">
        <f t="shared" si="84"/>
        <v>OLD - Retained Earnings</v>
      </c>
      <c r="B1391" s="33" t="str">
        <f t="shared" si="85"/>
        <v>OLD</v>
      </c>
      <c r="C1391" s="33" t="str">
        <f t="shared" si="86"/>
        <v>39999-0009</v>
      </c>
      <c r="D1391" s="64" t="s">
        <v>1817</v>
      </c>
      <c r="E1391" s="64" t="s">
        <v>1818</v>
      </c>
      <c r="F1391" s="64" t="s">
        <v>230</v>
      </c>
      <c r="G1391" s="64" t="s">
        <v>142</v>
      </c>
      <c r="H1391" s="64" t="s">
        <v>149</v>
      </c>
      <c r="I1391" s="64" t="s">
        <v>150</v>
      </c>
      <c r="J1391" s="67">
        <v>0</v>
      </c>
      <c r="K1391" s="62">
        <v>593161.21</v>
      </c>
      <c r="L1391" s="33" t="e">
        <f>HLOOKUP(B1391,#REF!,1,0)</f>
        <v>#REF!</v>
      </c>
      <c r="M1391" s="33" t="str">
        <f t="shared" si="87"/>
        <v>BS</v>
      </c>
    </row>
    <row r="1392" spans="1:13" s="33" customFormat="true" ht="12.75" customHeight="true">
      <c r="A1392" s="33" t="str">
        <f t="shared" si="84"/>
        <v>OLD - Retained Earnings</v>
      </c>
      <c r="B1392" s="33" t="str">
        <f t="shared" si="85"/>
        <v>OLD</v>
      </c>
      <c r="C1392" s="33" t="str">
        <f t="shared" si="86"/>
        <v>39999-0010</v>
      </c>
      <c r="D1392" s="64" t="s">
        <v>1819</v>
      </c>
      <c r="E1392" s="64" t="s">
        <v>1820</v>
      </c>
      <c r="F1392" s="64" t="s">
        <v>230</v>
      </c>
      <c r="G1392" s="64" t="s">
        <v>142</v>
      </c>
      <c r="H1392" s="64" t="s">
        <v>149</v>
      </c>
      <c r="I1392" s="64" t="s">
        <v>150</v>
      </c>
      <c r="J1392" s="67">
        <v>0</v>
      </c>
      <c r="K1392" s="62">
        <v>403772.14</v>
      </c>
      <c r="L1392" s="33" t="e">
        <f>HLOOKUP(B1392,#REF!,1,0)</f>
        <v>#REF!</v>
      </c>
      <c r="M1392" s="33" t="str">
        <f t="shared" si="87"/>
        <v>BS</v>
      </c>
    </row>
    <row r="1393" spans="1:13" s="33" customFormat="true" ht="12.75" customHeight="true">
      <c r="A1393" s="33" t="str">
        <f t="shared" si="84"/>
        <v>OLD - Retained Earnings</v>
      </c>
      <c r="B1393" s="33" t="str">
        <f t="shared" si="85"/>
        <v>OLD</v>
      </c>
      <c r="C1393" s="33" t="str">
        <f t="shared" si="86"/>
        <v>39999-0011</v>
      </c>
      <c r="D1393" s="64" t="s">
        <v>1821</v>
      </c>
      <c r="E1393" s="64" t="s">
        <v>1822</v>
      </c>
      <c r="F1393" s="64" t="s">
        <v>230</v>
      </c>
      <c r="G1393" s="64" t="s">
        <v>142</v>
      </c>
      <c r="H1393" s="64" t="s">
        <v>149</v>
      </c>
      <c r="I1393" s="64" t="s">
        <v>150</v>
      </c>
      <c r="J1393" s="67">
        <v>0</v>
      </c>
      <c r="K1393" s="62">
        <v>96832.78</v>
      </c>
      <c r="L1393" s="33" t="e">
        <f>HLOOKUP(B1393,#REF!,1,0)</f>
        <v>#REF!</v>
      </c>
      <c r="M1393" s="33" t="str">
        <f t="shared" si="87"/>
        <v>BS</v>
      </c>
    </row>
    <row r="1394" spans="1:13" s="33" customFormat="true" ht="12.75" customHeight="true">
      <c r="A1394" s="33" t="str">
        <f t="shared" si="84"/>
        <v>OLD - Retained Earnings</v>
      </c>
      <c r="B1394" s="33" t="str">
        <f t="shared" si="85"/>
        <v>OLD</v>
      </c>
      <c r="C1394" s="33" t="str">
        <f t="shared" si="86"/>
        <v>39999-0012</v>
      </c>
      <c r="D1394" s="64" t="s">
        <v>1823</v>
      </c>
      <c r="E1394" s="64" t="s">
        <v>1824</v>
      </c>
      <c r="F1394" s="64" t="s">
        <v>230</v>
      </c>
      <c r="G1394" s="64" t="s">
        <v>142</v>
      </c>
      <c r="H1394" s="64" t="s">
        <v>149</v>
      </c>
      <c r="I1394" s="64" t="s">
        <v>150</v>
      </c>
      <c r="J1394" s="67">
        <v>0</v>
      </c>
      <c r="K1394" s="62">
        <v>269021.34</v>
      </c>
      <c r="L1394" s="33" t="e">
        <f>HLOOKUP(B1394,#REF!,1,0)</f>
        <v>#REF!</v>
      </c>
      <c r="M1394" s="33" t="str">
        <f t="shared" si="87"/>
        <v>BS</v>
      </c>
    </row>
    <row r="1395" spans="1:13" s="33" customFormat="true" ht="12.75" customHeight="true">
      <c r="A1395" s="33" t="str">
        <f t="shared" si="84"/>
        <v>OLD - Retained Earnings</v>
      </c>
      <c r="B1395" s="33" t="str">
        <f t="shared" si="85"/>
        <v>OLD</v>
      </c>
      <c r="C1395" s="33" t="str">
        <f t="shared" si="86"/>
        <v>39999-0013</v>
      </c>
      <c r="D1395" s="64" t="s">
        <v>1825</v>
      </c>
      <c r="E1395" s="64" t="s">
        <v>1826</v>
      </c>
      <c r="F1395" s="64" t="s">
        <v>230</v>
      </c>
      <c r="G1395" s="64" t="s">
        <v>142</v>
      </c>
      <c r="H1395" s="64" t="s">
        <v>149</v>
      </c>
      <c r="I1395" s="64" t="s">
        <v>150</v>
      </c>
      <c r="J1395" s="67">
        <v>0</v>
      </c>
      <c r="K1395" s="62">
        <v>219362.78</v>
      </c>
      <c r="L1395" s="33" t="e">
        <f>HLOOKUP(B1395,#REF!,1,0)</f>
        <v>#REF!</v>
      </c>
      <c r="M1395" s="33" t="str">
        <f t="shared" si="87"/>
        <v>BS</v>
      </c>
    </row>
    <row r="1396" spans="1:13" s="33" customFormat="true" ht="12.75" customHeight="true">
      <c r="A1396" s="33" t="str">
        <f t="shared" si="84"/>
        <v>OLD - Retained Earnings</v>
      </c>
      <c r="B1396" s="33" t="str">
        <f t="shared" si="85"/>
        <v>OLD</v>
      </c>
      <c r="C1396" s="33" t="str">
        <f t="shared" si="86"/>
        <v>39999-0014</v>
      </c>
      <c r="D1396" s="64" t="s">
        <v>1827</v>
      </c>
      <c r="E1396" s="64" t="s">
        <v>1828</v>
      </c>
      <c r="F1396" s="64" t="s">
        <v>230</v>
      </c>
      <c r="G1396" s="64" t="s">
        <v>142</v>
      </c>
      <c r="H1396" s="64" t="s">
        <v>149</v>
      </c>
      <c r="I1396" s="64" t="s">
        <v>150</v>
      </c>
      <c r="J1396" s="67">
        <v>0</v>
      </c>
      <c r="K1396" s="62">
        <v>169131</v>
      </c>
      <c r="L1396" s="33" t="e">
        <f>HLOOKUP(B1396,#REF!,1,0)</f>
        <v>#REF!</v>
      </c>
      <c r="M1396" s="33" t="str">
        <f t="shared" si="87"/>
        <v>BS</v>
      </c>
    </row>
    <row r="1397" spans="1:13" s="33" customFormat="true" ht="12.75" customHeight="true">
      <c r="A1397" s="33" t="str">
        <f t="shared" si="84"/>
        <v>OLD - Retained Earnings</v>
      </c>
      <c r="B1397" s="33" t="str">
        <f t="shared" si="85"/>
        <v>OLD</v>
      </c>
      <c r="C1397" s="33" t="str">
        <f t="shared" si="86"/>
        <v>39999-0015</v>
      </c>
      <c r="D1397" s="64" t="s">
        <v>1829</v>
      </c>
      <c r="E1397" s="64" t="s">
        <v>1830</v>
      </c>
      <c r="F1397" s="64" t="s">
        <v>230</v>
      </c>
      <c r="G1397" s="64" t="s">
        <v>142</v>
      </c>
      <c r="H1397" s="64" t="s">
        <v>149</v>
      </c>
      <c r="I1397" s="64" t="s">
        <v>150</v>
      </c>
      <c r="J1397" s="67">
        <v>0</v>
      </c>
      <c r="K1397" s="62">
        <v>80795.33</v>
      </c>
      <c r="L1397" s="33" t="e">
        <f>HLOOKUP(B1397,#REF!,1,0)</f>
        <v>#REF!</v>
      </c>
      <c r="M1397" s="33" t="str">
        <f t="shared" si="87"/>
        <v>BS</v>
      </c>
    </row>
    <row r="1398" spans="1:13" s="33" customFormat="true" ht="12.75" customHeight="true">
      <c r="A1398" s="33" t="str">
        <f t="shared" si="84"/>
        <v>OLD - Retained Earnings</v>
      </c>
      <c r="B1398" s="33" t="str">
        <f t="shared" si="85"/>
        <v>OLD</v>
      </c>
      <c r="C1398" s="33" t="str">
        <f t="shared" si="86"/>
        <v>39999-0016</v>
      </c>
      <c r="D1398" s="64" t="s">
        <v>1831</v>
      </c>
      <c r="E1398" s="64" t="s">
        <v>1832</v>
      </c>
      <c r="F1398" s="64" t="s">
        <v>230</v>
      </c>
      <c r="G1398" s="64" t="s">
        <v>142</v>
      </c>
      <c r="H1398" s="64" t="s">
        <v>149</v>
      </c>
      <c r="I1398" s="64" t="s">
        <v>150</v>
      </c>
      <c r="J1398" s="67">
        <v>0</v>
      </c>
      <c r="K1398" s="62">
        <v>458470.85</v>
      </c>
      <c r="L1398" s="33" t="e">
        <f>HLOOKUP(B1398,#REF!,1,0)</f>
        <v>#REF!</v>
      </c>
      <c r="M1398" s="33" t="str">
        <f t="shared" si="87"/>
        <v>BS</v>
      </c>
    </row>
    <row r="1399" spans="1:13" s="33" customFormat="true" ht="12.75" customHeight="true">
      <c r="A1399" s="33" t="str">
        <f t="shared" si="84"/>
        <v>OLD - Retained Earnings</v>
      </c>
      <c r="B1399" s="33" t="str">
        <f t="shared" si="85"/>
        <v>OLD</v>
      </c>
      <c r="C1399" s="33" t="str">
        <f t="shared" si="86"/>
        <v>39999-0017</v>
      </c>
      <c r="D1399" s="64" t="s">
        <v>1833</v>
      </c>
      <c r="E1399" s="64" t="s">
        <v>1834</v>
      </c>
      <c r="F1399" s="64" t="s">
        <v>230</v>
      </c>
      <c r="G1399" s="64" t="s">
        <v>142</v>
      </c>
      <c r="H1399" s="64" t="s">
        <v>149</v>
      </c>
      <c r="I1399" s="64" t="s">
        <v>150</v>
      </c>
      <c r="J1399" s="67">
        <v>0</v>
      </c>
      <c r="K1399" s="62">
        <v>116739.8</v>
      </c>
      <c r="L1399" s="33" t="e">
        <f>HLOOKUP(B1399,#REF!,1,0)</f>
        <v>#REF!</v>
      </c>
      <c r="M1399" s="33" t="str">
        <f t="shared" si="87"/>
        <v>BS</v>
      </c>
    </row>
    <row r="1400" spans="1:13" s="33" customFormat="true" ht="12.75" customHeight="true">
      <c r="A1400" s="33" t="str">
        <f t="shared" si="84"/>
        <v>OLD - Retained Earnings</v>
      </c>
      <c r="B1400" s="33" t="str">
        <f t="shared" si="85"/>
        <v>OLD</v>
      </c>
      <c r="C1400" s="33" t="str">
        <f t="shared" si="86"/>
        <v>39999-0018</v>
      </c>
      <c r="D1400" s="64" t="s">
        <v>1835</v>
      </c>
      <c r="E1400" s="64" t="s">
        <v>1836</v>
      </c>
      <c r="F1400" s="64" t="s">
        <v>230</v>
      </c>
      <c r="G1400" s="64" t="s">
        <v>142</v>
      </c>
      <c r="H1400" s="64" t="s">
        <v>149</v>
      </c>
      <c r="I1400" s="64" t="s">
        <v>150</v>
      </c>
      <c r="J1400" s="67">
        <v>0</v>
      </c>
      <c r="K1400" s="62">
        <v>155451.52</v>
      </c>
      <c r="L1400" s="33" t="e">
        <f>HLOOKUP(B1400,#REF!,1,0)</f>
        <v>#REF!</v>
      </c>
      <c r="M1400" s="33" t="str">
        <f t="shared" si="87"/>
        <v>BS</v>
      </c>
    </row>
    <row r="1401" spans="1:13" s="33" customFormat="true" ht="12.75" customHeight="true">
      <c r="A1401" s="33" t="str">
        <f t="shared" si="84"/>
        <v>OLD - Retained Earnings</v>
      </c>
      <c r="B1401" s="33" t="str">
        <f t="shared" si="85"/>
        <v>OLD</v>
      </c>
      <c r="C1401" s="33" t="str">
        <f t="shared" si="86"/>
        <v>39999-0019</v>
      </c>
      <c r="D1401" s="64" t="s">
        <v>1837</v>
      </c>
      <c r="E1401" s="64" t="s">
        <v>1838</v>
      </c>
      <c r="F1401" s="64" t="s">
        <v>230</v>
      </c>
      <c r="G1401" s="64" t="s">
        <v>142</v>
      </c>
      <c r="H1401" s="64" t="s">
        <v>149</v>
      </c>
      <c r="I1401" s="64" t="s">
        <v>150</v>
      </c>
      <c r="J1401" s="67">
        <v>0</v>
      </c>
      <c r="K1401" s="62">
        <v>71357.41</v>
      </c>
      <c r="L1401" s="33" t="e">
        <f>HLOOKUP(B1401,#REF!,1,0)</f>
        <v>#REF!</v>
      </c>
      <c r="M1401" s="33" t="str">
        <f t="shared" si="87"/>
        <v>BS</v>
      </c>
    </row>
    <row r="1402" spans="1:13" s="33" customFormat="true" ht="12.75" customHeight="true">
      <c r="A1402" s="33" t="str">
        <f t="shared" si="84"/>
        <v>OLD - Retained Earnings</v>
      </c>
      <c r="B1402" s="33" t="str">
        <f t="shared" si="85"/>
        <v>OLD</v>
      </c>
      <c r="C1402" s="33" t="str">
        <f t="shared" si="86"/>
        <v>39999-0020</v>
      </c>
      <c r="D1402" s="64" t="s">
        <v>1839</v>
      </c>
      <c r="E1402" s="64" t="s">
        <v>1838</v>
      </c>
      <c r="F1402" s="64" t="s">
        <v>230</v>
      </c>
      <c r="G1402" s="64" t="s">
        <v>142</v>
      </c>
      <c r="H1402" s="64" t="s">
        <v>149</v>
      </c>
      <c r="I1402" s="64" t="s">
        <v>150</v>
      </c>
      <c r="J1402" s="67">
        <v>0</v>
      </c>
      <c r="K1402" s="62">
        <v>151600.49</v>
      </c>
      <c r="L1402" s="33" t="e">
        <f>HLOOKUP(B1402,#REF!,1,0)</f>
        <v>#REF!</v>
      </c>
      <c r="M1402" s="33" t="str">
        <f t="shared" si="87"/>
        <v>BS</v>
      </c>
    </row>
    <row r="1403" spans="1:13" s="33" customFormat="true" ht="12.75" customHeight="true">
      <c r="A1403" s="33" t="str">
        <f t="shared" si="84"/>
        <v>OLD - Retained Earnings</v>
      </c>
      <c r="B1403" s="33" t="str">
        <f t="shared" si="85"/>
        <v>OLD</v>
      </c>
      <c r="C1403" s="33" t="str">
        <f t="shared" si="86"/>
        <v>39999-0021</v>
      </c>
      <c r="D1403" s="64" t="s">
        <v>1840</v>
      </c>
      <c r="E1403" s="64" t="s">
        <v>1838</v>
      </c>
      <c r="F1403" s="64" t="s">
        <v>230</v>
      </c>
      <c r="G1403" s="64" t="s">
        <v>142</v>
      </c>
      <c r="H1403" s="64" t="s">
        <v>149</v>
      </c>
      <c r="I1403" s="64" t="s">
        <v>150</v>
      </c>
      <c r="J1403" s="67">
        <v>0</v>
      </c>
      <c r="K1403" s="62">
        <v>55293.65</v>
      </c>
      <c r="L1403" s="33" t="e">
        <f>HLOOKUP(B1403,#REF!,1,0)</f>
        <v>#REF!</v>
      </c>
      <c r="M1403" s="33" t="str">
        <f t="shared" si="87"/>
        <v>BS</v>
      </c>
    </row>
    <row r="1404" spans="1:13" s="33" customFormat="true" ht="12.75" customHeight="true">
      <c r="A1404" s="33" t="str">
        <f t="shared" si="84"/>
        <v>OLD - Retained Earnings</v>
      </c>
      <c r="B1404" s="33" t="str">
        <f t="shared" si="85"/>
        <v>OLD</v>
      </c>
      <c r="C1404" s="33" t="str">
        <f t="shared" si="86"/>
        <v>39999-0022</v>
      </c>
      <c r="D1404" s="64" t="s">
        <v>1841</v>
      </c>
      <c r="E1404" s="64" t="s">
        <v>1838</v>
      </c>
      <c r="F1404" s="64" t="s">
        <v>230</v>
      </c>
      <c r="G1404" s="64" t="s">
        <v>142</v>
      </c>
      <c r="H1404" s="64" t="s">
        <v>149</v>
      </c>
      <c r="I1404" s="64" t="s">
        <v>150</v>
      </c>
      <c r="J1404" s="67">
        <v>0</v>
      </c>
      <c r="K1404" s="62">
        <v>270449.21</v>
      </c>
      <c r="L1404" s="33" t="e">
        <f>HLOOKUP(B1404,#REF!,1,0)</f>
        <v>#REF!</v>
      </c>
      <c r="M1404" s="33" t="str">
        <f t="shared" si="87"/>
        <v>BS</v>
      </c>
    </row>
    <row r="1405" spans="1:13" s="33" customFormat="true" ht="12.75" customHeight="true">
      <c r="A1405" s="33" t="str">
        <f t="shared" si="84"/>
        <v>OLD - Retained Earnings</v>
      </c>
      <c r="B1405" s="33" t="str">
        <f t="shared" si="85"/>
        <v>OLD</v>
      </c>
      <c r="C1405" s="33" t="str">
        <f t="shared" si="86"/>
        <v>39999-0023</v>
      </c>
      <c r="D1405" s="64" t="s">
        <v>1842</v>
      </c>
      <c r="E1405" s="64" t="s">
        <v>1838</v>
      </c>
      <c r="F1405" s="64" t="s">
        <v>230</v>
      </c>
      <c r="G1405" s="64" t="s">
        <v>142</v>
      </c>
      <c r="H1405" s="64" t="s">
        <v>149</v>
      </c>
      <c r="I1405" s="64" t="s">
        <v>150</v>
      </c>
      <c r="J1405" s="67">
        <v>0</v>
      </c>
      <c r="K1405" s="62">
        <v>32502.78</v>
      </c>
      <c r="L1405" s="33" t="e">
        <f>HLOOKUP(B1405,#REF!,1,0)</f>
        <v>#REF!</v>
      </c>
      <c r="M1405" s="33" t="str">
        <f t="shared" si="87"/>
        <v>BS</v>
      </c>
    </row>
    <row r="1406" spans="1:13" s="33" customFormat="true" ht="12.75" customHeight="true">
      <c r="A1406" s="33" t="str">
        <f t="shared" si="84"/>
        <v>OLD - Retained Earnings</v>
      </c>
      <c r="B1406" s="33" t="str">
        <f t="shared" si="85"/>
        <v>OLD</v>
      </c>
      <c r="C1406" s="33" t="str">
        <f t="shared" si="86"/>
        <v>39999-0024</v>
      </c>
      <c r="D1406" s="64" t="s">
        <v>1843</v>
      </c>
      <c r="E1406" s="64" t="s">
        <v>1838</v>
      </c>
      <c r="F1406" s="64" t="s">
        <v>230</v>
      </c>
      <c r="G1406" s="64" t="s">
        <v>142</v>
      </c>
      <c r="H1406" s="64" t="s">
        <v>149</v>
      </c>
      <c r="I1406" s="64" t="s">
        <v>150</v>
      </c>
      <c r="J1406" s="67">
        <v>0</v>
      </c>
      <c r="K1406" s="62">
        <v>94391.47</v>
      </c>
      <c r="L1406" s="33" t="e">
        <f>HLOOKUP(B1406,#REF!,1,0)</f>
        <v>#REF!</v>
      </c>
      <c r="M1406" s="33" t="str">
        <f t="shared" si="87"/>
        <v>BS</v>
      </c>
    </row>
    <row r="1407" spans="1:13" s="33" customFormat="true" ht="12.75" customHeight="true">
      <c r="A1407" s="33" t="str">
        <f t="shared" si="84"/>
        <v>OLD - Retained Earnings</v>
      </c>
      <c r="B1407" s="33" t="str">
        <f t="shared" si="85"/>
        <v>OLD</v>
      </c>
      <c r="C1407" s="33" t="str">
        <f t="shared" si="86"/>
        <v>39999-0025</v>
      </c>
      <c r="D1407" s="64" t="s">
        <v>1844</v>
      </c>
      <c r="E1407" s="64" t="s">
        <v>1838</v>
      </c>
      <c r="F1407" s="64" t="s">
        <v>230</v>
      </c>
      <c r="G1407" s="64" t="s">
        <v>142</v>
      </c>
      <c r="H1407" s="64" t="s">
        <v>149</v>
      </c>
      <c r="I1407" s="64" t="s">
        <v>150</v>
      </c>
      <c r="J1407" s="67">
        <v>0</v>
      </c>
      <c r="K1407" s="62">
        <v>152150.8</v>
      </c>
      <c r="L1407" s="33" t="e">
        <f>HLOOKUP(B1407,#REF!,1,0)</f>
        <v>#REF!</v>
      </c>
      <c r="M1407" s="33" t="str">
        <f t="shared" si="87"/>
        <v>BS</v>
      </c>
    </row>
    <row r="1408" spans="1:13" s="33" customFormat="true" ht="12.75" customHeight="true">
      <c r="A1408" s="33" t="str">
        <f t="shared" si="84"/>
        <v>OLD - Retained Earnings</v>
      </c>
      <c r="B1408" s="33" t="str">
        <f t="shared" si="85"/>
        <v>OLD</v>
      </c>
      <c r="C1408" s="33" t="str">
        <f t="shared" si="86"/>
        <v>39999-0026</v>
      </c>
      <c r="D1408" s="64" t="s">
        <v>1845</v>
      </c>
      <c r="E1408" s="64" t="s">
        <v>1838</v>
      </c>
      <c r="F1408" s="64" t="s">
        <v>230</v>
      </c>
      <c r="G1408" s="64" t="s">
        <v>142</v>
      </c>
      <c r="H1408" s="64" t="s">
        <v>149</v>
      </c>
      <c r="I1408" s="64" t="s">
        <v>150</v>
      </c>
      <c r="J1408" s="67">
        <v>0</v>
      </c>
      <c r="K1408" s="62">
        <v>168612.38</v>
      </c>
      <c r="L1408" s="33" t="e">
        <f>HLOOKUP(B1408,#REF!,1,0)</f>
        <v>#REF!</v>
      </c>
      <c r="M1408" s="33" t="str">
        <f t="shared" si="87"/>
        <v>BS</v>
      </c>
    </row>
    <row r="1409" spans="1:13" s="33" customFormat="true" ht="12.75" customHeight="true">
      <c r="A1409" s="33" t="str">
        <f t="shared" si="84"/>
        <v>OLD - Retained Earnings</v>
      </c>
      <c r="B1409" s="33" t="str">
        <f t="shared" si="85"/>
        <v>OLD</v>
      </c>
      <c r="C1409" s="33" t="str">
        <f t="shared" si="86"/>
        <v>39999-0027</v>
      </c>
      <c r="D1409" s="64" t="s">
        <v>1846</v>
      </c>
      <c r="E1409" s="64" t="s">
        <v>1847</v>
      </c>
      <c r="F1409" s="64" t="s">
        <v>230</v>
      </c>
      <c r="G1409" s="64" t="s">
        <v>142</v>
      </c>
      <c r="H1409" s="64" t="s">
        <v>149</v>
      </c>
      <c r="I1409" s="64" t="s">
        <v>150</v>
      </c>
      <c r="J1409" s="67">
        <v>0</v>
      </c>
      <c r="K1409" s="62">
        <v>308845.37</v>
      </c>
      <c r="L1409" s="33" t="e">
        <f>HLOOKUP(B1409,#REF!,1,0)</f>
        <v>#REF!</v>
      </c>
      <c r="M1409" s="33" t="str">
        <f t="shared" si="87"/>
        <v>BS</v>
      </c>
    </row>
    <row r="1410" spans="1:13" s="33" customFormat="true" ht="12.75" customHeight="true">
      <c r="A1410" s="33" t="str">
        <f t="shared" ref="A1410:A1473" si="88">B1410&amp;" - "&amp;TRIM(H1410)</f>
        <v>OLD - Retained Earnings</v>
      </c>
      <c r="B1410" s="33" t="str">
        <f t="shared" ref="B1410:B1473" si="89">LEFT(D1410,3)</f>
        <v>OLD</v>
      </c>
      <c r="C1410" s="33" t="str">
        <f t="shared" ref="C1410:C1473" si="90">RIGHT(D1410,10)</f>
        <v>39999-0028</v>
      </c>
      <c r="D1410" s="64" t="s">
        <v>1848</v>
      </c>
      <c r="E1410" s="64" t="s">
        <v>1838</v>
      </c>
      <c r="F1410" s="64" t="s">
        <v>230</v>
      </c>
      <c r="G1410" s="64" t="s">
        <v>142</v>
      </c>
      <c r="H1410" s="64" t="s">
        <v>149</v>
      </c>
      <c r="I1410" s="64" t="s">
        <v>150</v>
      </c>
      <c r="J1410" s="67">
        <v>0</v>
      </c>
      <c r="K1410" s="62">
        <v>325635.5</v>
      </c>
      <c r="L1410" s="33" t="e">
        <f>HLOOKUP(B1410,#REF!,1,0)</f>
        <v>#REF!</v>
      </c>
      <c r="M1410" s="33" t="str">
        <f t="shared" ref="M1410:M1473" si="91">IF(VALUE(LEFT(C1410,5))&gt;40000,"P&amp;L","BS")</f>
        <v>BS</v>
      </c>
    </row>
    <row r="1411" spans="1:13" s="33" customFormat="true" ht="12.75" customHeight="true">
      <c r="A1411" s="33" t="str">
        <f t="shared" si="88"/>
        <v>OLD - Retained Earnings</v>
      </c>
      <c r="B1411" s="33" t="str">
        <f t="shared" si="89"/>
        <v>OLD</v>
      </c>
      <c r="C1411" s="33" t="str">
        <f t="shared" si="90"/>
        <v>39999-0029</v>
      </c>
      <c r="D1411" s="64" t="s">
        <v>1849</v>
      </c>
      <c r="E1411" s="64" t="s">
        <v>1838</v>
      </c>
      <c r="F1411" s="64" t="s">
        <v>230</v>
      </c>
      <c r="G1411" s="64" t="s">
        <v>142</v>
      </c>
      <c r="H1411" s="64" t="s">
        <v>149</v>
      </c>
      <c r="I1411" s="64" t="s">
        <v>150</v>
      </c>
      <c r="J1411" s="67">
        <v>0</v>
      </c>
      <c r="K1411" s="62">
        <v>1919872.33</v>
      </c>
      <c r="L1411" s="33" t="e">
        <f>HLOOKUP(B1411,#REF!,1,0)</f>
        <v>#REF!</v>
      </c>
      <c r="M1411" s="33" t="str">
        <f t="shared" si="91"/>
        <v>BS</v>
      </c>
    </row>
    <row r="1412" spans="1:13" s="33" customFormat="true" ht="12.75" customHeight="true">
      <c r="A1412" s="33" t="str">
        <f t="shared" si="88"/>
        <v>OLD - Retained Earnings</v>
      </c>
      <c r="B1412" s="33" t="str">
        <f t="shared" si="89"/>
        <v>OLD</v>
      </c>
      <c r="C1412" s="33" t="str">
        <f t="shared" si="90"/>
        <v>39999-0030</v>
      </c>
      <c r="D1412" s="64" t="s">
        <v>1850</v>
      </c>
      <c r="E1412" s="64" t="s">
        <v>1838</v>
      </c>
      <c r="F1412" s="64" t="s">
        <v>230</v>
      </c>
      <c r="G1412" s="64" t="s">
        <v>142</v>
      </c>
      <c r="H1412" s="64" t="s">
        <v>149</v>
      </c>
      <c r="I1412" s="64" t="s">
        <v>150</v>
      </c>
      <c r="J1412" s="67">
        <v>0</v>
      </c>
      <c r="K1412" s="62">
        <v>204254.16</v>
      </c>
      <c r="L1412" s="33" t="e">
        <f>HLOOKUP(B1412,#REF!,1,0)</f>
        <v>#REF!</v>
      </c>
      <c r="M1412" s="33" t="str">
        <f t="shared" si="91"/>
        <v>BS</v>
      </c>
    </row>
    <row r="1413" spans="1:13" s="33" customFormat="true" ht="12.75" customHeight="true">
      <c r="A1413" s="33" t="str">
        <f t="shared" si="88"/>
        <v>OLD - Retained Earnings</v>
      </c>
      <c r="B1413" s="33" t="str">
        <f t="shared" si="89"/>
        <v>OLD</v>
      </c>
      <c r="C1413" s="33" t="str">
        <f t="shared" si="90"/>
        <v>39999-0031</v>
      </c>
      <c r="D1413" s="64" t="s">
        <v>1851</v>
      </c>
      <c r="E1413" s="64" t="s">
        <v>1816</v>
      </c>
      <c r="F1413" s="64" t="s">
        <v>230</v>
      </c>
      <c r="G1413" s="64" t="s">
        <v>142</v>
      </c>
      <c r="H1413" s="64" t="s">
        <v>149</v>
      </c>
      <c r="I1413" s="64" t="s">
        <v>150</v>
      </c>
      <c r="J1413" s="67">
        <v>0</v>
      </c>
      <c r="K1413" s="62">
        <v>3516108.43</v>
      </c>
      <c r="L1413" s="33" t="e">
        <f>HLOOKUP(B1413,#REF!,1,0)</f>
        <v>#REF!</v>
      </c>
      <c r="M1413" s="33" t="str">
        <f t="shared" si="91"/>
        <v>BS</v>
      </c>
    </row>
    <row r="1414" spans="1:13" s="33" customFormat="true" ht="12.75" customHeight="true">
      <c r="A1414" s="33" t="str">
        <f t="shared" si="88"/>
        <v>OLD - Retained Earnings</v>
      </c>
      <c r="B1414" s="33" t="str">
        <f t="shared" si="89"/>
        <v>OLD</v>
      </c>
      <c r="C1414" s="33" t="str">
        <f t="shared" si="90"/>
        <v>39999-0032</v>
      </c>
      <c r="D1414" s="64" t="s">
        <v>1852</v>
      </c>
      <c r="E1414" s="64" t="s">
        <v>1838</v>
      </c>
      <c r="F1414" s="64" t="s">
        <v>230</v>
      </c>
      <c r="G1414" s="64" t="s">
        <v>142</v>
      </c>
      <c r="H1414" s="64" t="s">
        <v>149</v>
      </c>
      <c r="I1414" s="64" t="s">
        <v>150</v>
      </c>
      <c r="J1414" s="67">
        <v>0</v>
      </c>
      <c r="K1414" s="62">
        <v>368754.15</v>
      </c>
      <c r="L1414" s="33" t="e">
        <f>HLOOKUP(B1414,#REF!,1,0)</f>
        <v>#REF!</v>
      </c>
      <c r="M1414" s="33" t="str">
        <f t="shared" si="91"/>
        <v>BS</v>
      </c>
    </row>
    <row r="1415" spans="1:13" s="33" customFormat="true" ht="12.75" customHeight="true">
      <c r="A1415" s="33" t="str">
        <f t="shared" si="88"/>
        <v>OLD - Retained Earnings</v>
      </c>
      <c r="B1415" s="33" t="str">
        <f t="shared" si="89"/>
        <v>OLD</v>
      </c>
      <c r="C1415" s="33" t="str">
        <f t="shared" si="90"/>
        <v>39999-0033</v>
      </c>
      <c r="D1415" s="64" t="s">
        <v>1853</v>
      </c>
      <c r="E1415" s="64" t="s">
        <v>1838</v>
      </c>
      <c r="F1415" s="64" t="s">
        <v>230</v>
      </c>
      <c r="G1415" s="64" t="s">
        <v>142</v>
      </c>
      <c r="H1415" s="64" t="s">
        <v>149</v>
      </c>
      <c r="I1415" s="64" t="s">
        <v>150</v>
      </c>
      <c r="J1415" s="67">
        <v>0</v>
      </c>
      <c r="K1415" s="62">
        <v>3319596.32</v>
      </c>
      <c r="L1415" s="33" t="e">
        <f>HLOOKUP(B1415,#REF!,1,0)</f>
        <v>#REF!</v>
      </c>
      <c r="M1415" s="33" t="str">
        <f t="shared" si="91"/>
        <v>BS</v>
      </c>
    </row>
    <row r="1416" spans="1:13" s="33" customFormat="true" ht="12.75" customHeight="true">
      <c r="A1416" s="33" t="str">
        <f t="shared" si="88"/>
        <v>OLD - Retained Earnings</v>
      </c>
      <c r="B1416" s="33" t="str">
        <f t="shared" si="89"/>
        <v>OLD</v>
      </c>
      <c r="C1416" s="33" t="str">
        <f t="shared" si="90"/>
        <v>39999-0034</v>
      </c>
      <c r="D1416" s="64" t="s">
        <v>1854</v>
      </c>
      <c r="E1416" s="64" t="s">
        <v>1838</v>
      </c>
      <c r="F1416" s="64" t="s">
        <v>230</v>
      </c>
      <c r="G1416" s="64" t="s">
        <v>142</v>
      </c>
      <c r="H1416" s="64" t="s">
        <v>149</v>
      </c>
      <c r="I1416" s="64" t="s">
        <v>150</v>
      </c>
      <c r="J1416" s="67">
        <v>0</v>
      </c>
      <c r="K1416" s="62">
        <v>3276555.31</v>
      </c>
      <c r="L1416" s="33" t="e">
        <f>HLOOKUP(B1416,#REF!,1,0)</f>
        <v>#REF!</v>
      </c>
      <c r="M1416" s="33" t="str">
        <f t="shared" si="91"/>
        <v>BS</v>
      </c>
    </row>
    <row r="1417" spans="1:13" s="33" customFormat="true" ht="12.75" customHeight="true">
      <c r="A1417" s="33" t="str">
        <f t="shared" si="88"/>
        <v>OLD - Retain Earnings</v>
      </c>
      <c r="B1417" s="33" t="str">
        <f t="shared" si="89"/>
        <v>OLD</v>
      </c>
      <c r="C1417" s="33" t="str">
        <f t="shared" si="90"/>
        <v>39999-0035</v>
      </c>
      <c r="D1417" s="64" t="s">
        <v>1855</v>
      </c>
      <c r="E1417" s="64" t="s">
        <v>1838</v>
      </c>
      <c r="F1417" s="64" t="s">
        <v>230</v>
      </c>
      <c r="G1417" s="64" t="s">
        <v>142</v>
      </c>
      <c r="H1417" s="64" t="s">
        <v>1856</v>
      </c>
      <c r="I1417" s="64" t="s">
        <v>150</v>
      </c>
      <c r="J1417" s="67">
        <v>0</v>
      </c>
      <c r="K1417" s="62">
        <v>416344.26</v>
      </c>
      <c r="L1417" s="33" t="e">
        <f>HLOOKUP(B1417,#REF!,1,0)</f>
        <v>#REF!</v>
      </c>
      <c r="M1417" s="33" t="str">
        <f t="shared" si="91"/>
        <v>BS</v>
      </c>
    </row>
    <row r="1418" spans="1:13" s="33" customFormat="true" ht="12.75" customHeight="true">
      <c r="A1418" s="33" t="str">
        <f t="shared" si="88"/>
        <v>OLD - Retain Earnings</v>
      </c>
      <c r="B1418" s="33" t="str">
        <f t="shared" si="89"/>
        <v>OLD</v>
      </c>
      <c r="C1418" s="33" t="str">
        <f t="shared" si="90"/>
        <v>39999-0036</v>
      </c>
      <c r="D1418" s="64" t="s">
        <v>1857</v>
      </c>
      <c r="E1418" s="64" t="s">
        <v>1838</v>
      </c>
      <c r="F1418" s="64" t="s">
        <v>230</v>
      </c>
      <c r="G1418" s="64" t="s">
        <v>142</v>
      </c>
      <c r="H1418" s="64" t="s">
        <v>1856</v>
      </c>
      <c r="I1418" s="64" t="s">
        <v>150</v>
      </c>
      <c r="J1418" s="67">
        <v>0</v>
      </c>
      <c r="K1418" s="62">
        <v>2968773</v>
      </c>
      <c r="L1418" s="33" t="e">
        <f>HLOOKUP(B1418,#REF!,1,0)</f>
        <v>#REF!</v>
      </c>
      <c r="M1418" s="33" t="str">
        <f t="shared" si="91"/>
        <v>BS</v>
      </c>
    </row>
    <row r="1419" spans="1:13" s="33" customFormat="true" ht="12.75" customHeight="true">
      <c r="A1419" s="33" t="str">
        <f t="shared" si="88"/>
        <v>OLD - Retain Earnings</v>
      </c>
      <c r="B1419" s="33" t="str">
        <f t="shared" si="89"/>
        <v>OLD</v>
      </c>
      <c r="C1419" s="33" t="str">
        <f t="shared" si="90"/>
        <v>39999-0037</v>
      </c>
      <c r="D1419" s="64" t="s">
        <v>1858</v>
      </c>
      <c r="E1419" s="64" t="s">
        <v>1838</v>
      </c>
      <c r="F1419" s="64" t="s">
        <v>230</v>
      </c>
      <c r="G1419" s="64" t="s">
        <v>142</v>
      </c>
      <c r="H1419" s="64" t="s">
        <v>1856</v>
      </c>
      <c r="I1419" s="64" t="s">
        <v>150</v>
      </c>
      <c r="J1419" s="67">
        <v>0</v>
      </c>
      <c r="K1419" s="62">
        <v>401476.94</v>
      </c>
      <c r="L1419" s="33" t="e">
        <f>HLOOKUP(B1419,#REF!,1,0)</f>
        <v>#REF!</v>
      </c>
      <c r="M1419" s="33" t="str">
        <f t="shared" si="91"/>
        <v>BS</v>
      </c>
    </row>
    <row r="1420" spans="1:13" s="33" customFormat="true" ht="12.75" customHeight="true">
      <c r="A1420" s="33" t="str">
        <f t="shared" si="88"/>
        <v>OLD - Retain Earnings</v>
      </c>
      <c r="B1420" s="33" t="str">
        <f t="shared" si="89"/>
        <v>OLD</v>
      </c>
      <c r="C1420" s="33" t="str">
        <f t="shared" si="90"/>
        <v>39999-0038</v>
      </c>
      <c r="D1420" s="64" t="s">
        <v>1859</v>
      </c>
      <c r="E1420" s="64" t="s">
        <v>1838</v>
      </c>
      <c r="F1420" s="64" t="s">
        <v>230</v>
      </c>
      <c r="G1420" s="64" t="s">
        <v>142</v>
      </c>
      <c r="H1420" s="64" t="s">
        <v>1856</v>
      </c>
      <c r="I1420" s="64" t="s">
        <v>150</v>
      </c>
      <c r="J1420" s="67">
        <v>0</v>
      </c>
      <c r="K1420" s="62">
        <v>113489.64</v>
      </c>
      <c r="L1420" s="33" t="e">
        <f>HLOOKUP(B1420,#REF!,1,0)</f>
        <v>#REF!</v>
      </c>
      <c r="M1420" s="33" t="str">
        <f t="shared" si="91"/>
        <v>BS</v>
      </c>
    </row>
    <row r="1421" spans="1:13" s="33" customFormat="true" ht="12.75" customHeight="true">
      <c r="A1421" s="33" t="str">
        <f t="shared" si="88"/>
        <v>OLD - Retain Earnings</v>
      </c>
      <c r="B1421" s="33" t="str">
        <f t="shared" si="89"/>
        <v>OLD</v>
      </c>
      <c r="C1421" s="33" t="str">
        <f t="shared" si="90"/>
        <v>39999-0039</v>
      </c>
      <c r="D1421" s="64" t="s">
        <v>1860</v>
      </c>
      <c r="E1421" s="64" t="s">
        <v>1838</v>
      </c>
      <c r="F1421" s="64" t="s">
        <v>230</v>
      </c>
      <c r="G1421" s="64" t="s">
        <v>142</v>
      </c>
      <c r="H1421" s="64" t="s">
        <v>1856</v>
      </c>
      <c r="I1421" s="64" t="s">
        <v>150</v>
      </c>
      <c r="J1421" s="67">
        <v>0</v>
      </c>
      <c r="K1421" s="62">
        <v>290449.2</v>
      </c>
      <c r="L1421" s="33" t="e">
        <f>HLOOKUP(B1421,#REF!,1,0)</f>
        <v>#REF!</v>
      </c>
      <c r="M1421" s="33" t="str">
        <f t="shared" si="91"/>
        <v>BS</v>
      </c>
    </row>
    <row r="1422" spans="1:13" s="33" customFormat="true" ht="12.75" customHeight="true">
      <c r="A1422" s="33" t="str">
        <f t="shared" si="88"/>
        <v>OLD - Retain Earnings</v>
      </c>
      <c r="B1422" s="33" t="str">
        <f t="shared" si="89"/>
        <v>OLD</v>
      </c>
      <c r="C1422" s="33" t="str">
        <f t="shared" si="90"/>
        <v>39999-0040</v>
      </c>
      <c r="D1422" s="64" t="s">
        <v>1861</v>
      </c>
      <c r="E1422" s="64" t="s">
        <v>1838</v>
      </c>
      <c r="F1422" s="64" t="s">
        <v>230</v>
      </c>
      <c r="G1422" s="64" t="s">
        <v>142</v>
      </c>
      <c r="H1422" s="64" t="s">
        <v>1856</v>
      </c>
      <c r="I1422" s="64" t="s">
        <v>150</v>
      </c>
      <c r="J1422" s="67">
        <v>0</v>
      </c>
      <c r="K1422" s="62">
        <v>70204.01</v>
      </c>
      <c r="L1422" s="33" t="e">
        <f>HLOOKUP(B1422,#REF!,1,0)</f>
        <v>#REF!</v>
      </c>
      <c r="M1422" s="33" t="str">
        <f t="shared" si="91"/>
        <v>BS</v>
      </c>
    </row>
    <row r="1423" spans="1:13" s="33" customFormat="true" ht="12.75" customHeight="true">
      <c r="A1423" s="33" t="str">
        <f t="shared" si="88"/>
        <v>OLD - Retain Earnings</v>
      </c>
      <c r="B1423" s="33" t="str">
        <f t="shared" si="89"/>
        <v>OLD</v>
      </c>
      <c r="C1423" s="33" t="str">
        <f t="shared" si="90"/>
        <v>39999-0041</v>
      </c>
      <c r="D1423" s="64" t="s">
        <v>1862</v>
      </c>
      <c r="E1423" s="64" t="s">
        <v>1838</v>
      </c>
      <c r="F1423" s="64" t="s">
        <v>230</v>
      </c>
      <c r="G1423" s="64" t="s">
        <v>142</v>
      </c>
      <c r="H1423" s="64" t="s">
        <v>1856</v>
      </c>
      <c r="I1423" s="64" t="s">
        <v>150</v>
      </c>
      <c r="J1423" s="67">
        <v>0</v>
      </c>
      <c r="K1423" s="62">
        <v>421402.61</v>
      </c>
      <c r="L1423" s="33" t="e">
        <f>HLOOKUP(B1423,#REF!,1,0)</f>
        <v>#REF!</v>
      </c>
      <c r="M1423" s="33" t="str">
        <f t="shared" si="91"/>
        <v>BS</v>
      </c>
    </row>
    <row r="1424" spans="1:13" s="33" customFormat="true" ht="12.75" customHeight="true">
      <c r="A1424" s="33" t="str">
        <f t="shared" si="88"/>
        <v>OLD - Retain Earnings</v>
      </c>
      <c r="B1424" s="33" t="str">
        <f t="shared" si="89"/>
        <v>OLD</v>
      </c>
      <c r="C1424" s="33" t="str">
        <f t="shared" si="90"/>
        <v>39999-0042</v>
      </c>
      <c r="D1424" s="64" t="s">
        <v>1863</v>
      </c>
      <c r="E1424" s="64" t="s">
        <v>1838</v>
      </c>
      <c r="F1424" s="64" t="s">
        <v>230</v>
      </c>
      <c r="G1424" s="64" t="s">
        <v>142</v>
      </c>
      <c r="H1424" s="64" t="s">
        <v>1856</v>
      </c>
      <c r="I1424" s="64" t="s">
        <v>150</v>
      </c>
      <c r="J1424" s="67">
        <v>0</v>
      </c>
      <c r="K1424" s="62">
        <v>636370.56</v>
      </c>
      <c r="L1424" s="33" t="e">
        <f>HLOOKUP(B1424,#REF!,1,0)</f>
        <v>#REF!</v>
      </c>
      <c r="M1424" s="33" t="str">
        <f t="shared" si="91"/>
        <v>BS</v>
      </c>
    </row>
    <row r="1425" spans="1:13" s="33" customFormat="true" ht="12.75" customHeight="true">
      <c r="A1425" s="33" t="str">
        <f t="shared" si="88"/>
        <v>OLD - Retain Earnings</v>
      </c>
      <c r="B1425" s="33" t="str">
        <f t="shared" si="89"/>
        <v>OLD</v>
      </c>
      <c r="C1425" s="33" t="str">
        <f t="shared" si="90"/>
        <v>39999-0043</v>
      </c>
      <c r="D1425" s="64" t="s">
        <v>1864</v>
      </c>
      <c r="E1425" s="64" t="s">
        <v>1838</v>
      </c>
      <c r="F1425" s="64" t="s">
        <v>230</v>
      </c>
      <c r="G1425" s="64" t="s">
        <v>142</v>
      </c>
      <c r="H1425" s="64" t="s">
        <v>1856</v>
      </c>
      <c r="I1425" s="64" t="s">
        <v>150</v>
      </c>
      <c r="J1425" s="67">
        <v>0</v>
      </c>
      <c r="K1425" s="62">
        <v>831130.72</v>
      </c>
      <c r="L1425" s="33" t="e">
        <f>HLOOKUP(B1425,#REF!,1,0)</f>
        <v>#REF!</v>
      </c>
      <c r="M1425" s="33" t="str">
        <f t="shared" si="91"/>
        <v>BS</v>
      </c>
    </row>
    <row r="1426" spans="1:13" s="33" customFormat="true" ht="12.75" customHeight="true">
      <c r="A1426" s="33" t="str">
        <f t="shared" si="88"/>
        <v>OLD - Retain Earnings</v>
      </c>
      <c r="B1426" s="33" t="str">
        <f t="shared" si="89"/>
        <v>OLD</v>
      </c>
      <c r="C1426" s="33" t="str">
        <f t="shared" si="90"/>
        <v>39999-0044</v>
      </c>
      <c r="D1426" s="64" t="s">
        <v>1865</v>
      </c>
      <c r="E1426" s="64" t="s">
        <v>1838</v>
      </c>
      <c r="F1426" s="64" t="s">
        <v>230</v>
      </c>
      <c r="G1426" s="64" t="s">
        <v>142</v>
      </c>
      <c r="H1426" s="64" t="s">
        <v>1856</v>
      </c>
      <c r="I1426" s="64" t="s">
        <v>150</v>
      </c>
      <c r="J1426" s="67">
        <v>0</v>
      </c>
      <c r="K1426" s="62">
        <v>407059.85</v>
      </c>
      <c r="L1426" s="33" t="e">
        <f>HLOOKUP(B1426,#REF!,1,0)</f>
        <v>#REF!</v>
      </c>
      <c r="M1426" s="33" t="str">
        <f t="shared" si="91"/>
        <v>BS</v>
      </c>
    </row>
    <row r="1427" spans="1:13" s="33" customFormat="true" ht="12.75" customHeight="true">
      <c r="A1427" s="33" t="str">
        <f t="shared" si="88"/>
        <v>OLD - Retain Earnings</v>
      </c>
      <c r="B1427" s="33" t="str">
        <f t="shared" si="89"/>
        <v>OLD</v>
      </c>
      <c r="C1427" s="33" t="str">
        <f t="shared" si="90"/>
        <v>39999-0045</v>
      </c>
      <c r="D1427" s="64" t="s">
        <v>1866</v>
      </c>
      <c r="E1427" s="64" t="s">
        <v>1838</v>
      </c>
      <c r="F1427" s="64" t="s">
        <v>230</v>
      </c>
      <c r="G1427" s="64" t="s">
        <v>142</v>
      </c>
      <c r="H1427" s="64" t="s">
        <v>1856</v>
      </c>
      <c r="I1427" s="64" t="s">
        <v>150</v>
      </c>
      <c r="J1427" s="67">
        <v>0</v>
      </c>
      <c r="K1427" s="62">
        <v>146473.51</v>
      </c>
      <c r="L1427" s="33" t="e">
        <f>HLOOKUP(B1427,#REF!,1,0)</f>
        <v>#REF!</v>
      </c>
      <c r="M1427" s="33" t="str">
        <f t="shared" si="91"/>
        <v>BS</v>
      </c>
    </row>
    <row r="1428" spans="1:13" s="33" customFormat="true" ht="12.75" customHeight="true">
      <c r="A1428" s="33" t="str">
        <f t="shared" si="88"/>
        <v>OLD - Retain Earnings</v>
      </c>
      <c r="B1428" s="33" t="str">
        <f t="shared" si="89"/>
        <v>OLD</v>
      </c>
      <c r="C1428" s="33" t="str">
        <f t="shared" si="90"/>
        <v>39999-0046</v>
      </c>
      <c r="D1428" s="64" t="s">
        <v>1867</v>
      </c>
      <c r="E1428" s="64" t="s">
        <v>1838</v>
      </c>
      <c r="F1428" s="64" t="s">
        <v>230</v>
      </c>
      <c r="G1428" s="64" t="s">
        <v>142</v>
      </c>
      <c r="H1428" s="64" t="s">
        <v>1856</v>
      </c>
      <c r="I1428" s="64" t="s">
        <v>150</v>
      </c>
      <c r="J1428" s="67">
        <v>0</v>
      </c>
      <c r="K1428" s="62">
        <v>2225229.29</v>
      </c>
      <c r="L1428" s="33" t="e">
        <f>HLOOKUP(B1428,#REF!,1,0)</f>
        <v>#REF!</v>
      </c>
      <c r="M1428" s="33" t="str">
        <f t="shared" si="91"/>
        <v>BS</v>
      </c>
    </row>
    <row r="1429" spans="1:13" s="33" customFormat="true" ht="12.75" customHeight="true">
      <c r="A1429" s="33" t="str">
        <f t="shared" si="88"/>
        <v>OLD - Retain Earnings</v>
      </c>
      <c r="B1429" s="33" t="str">
        <f t="shared" si="89"/>
        <v>OLD</v>
      </c>
      <c r="C1429" s="33" t="str">
        <f t="shared" si="90"/>
        <v>39999-0047</v>
      </c>
      <c r="D1429" s="64" t="s">
        <v>1868</v>
      </c>
      <c r="E1429" s="64" t="s">
        <v>1838</v>
      </c>
      <c r="F1429" s="64" t="s">
        <v>230</v>
      </c>
      <c r="G1429" s="64" t="s">
        <v>142</v>
      </c>
      <c r="H1429" s="64" t="s">
        <v>1856</v>
      </c>
      <c r="I1429" s="64" t="s">
        <v>150</v>
      </c>
      <c r="J1429" s="67">
        <v>0</v>
      </c>
      <c r="K1429" s="62">
        <v>247177.32</v>
      </c>
      <c r="L1429" s="33" t="e">
        <f>HLOOKUP(B1429,#REF!,1,0)</f>
        <v>#REF!</v>
      </c>
      <c r="M1429" s="33" t="str">
        <f t="shared" si="91"/>
        <v>BS</v>
      </c>
    </row>
    <row r="1430" spans="1:13" s="33" customFormat="true" ht="12.75" customHeight="true">
      <c r="A1430" s="33" t="str">
        <f t="shared" si="88"/>
        <v>OLD - Retain Earnings</v>
      </c>
      <c r="B1430" s="33" t="str">
        <f t="shared" si="89"/>
        <v>OLD</v>
      </c>
      <c r="C1430" s="33" t="str">
        <f t="shared" si="90"/>
        <v>39999-0048</v>
      </c>
      <c r="D1430" s="64" t="s">
        <v>1869</v>
      </c>
      <c r="E1430" s="64" t="s">
        <v>1838</v>
      </c>
      <c r="F1430" s="64" t="s">
        <v>230</v>
      </c>
      <c r="G1430" s="64" t="s">
        <v>142</v>
      </c>
      <c r="H1430" s="64" t="s">
        <v>1856</v>
      </c>
      <c r="I1430" s="64" t="s">
        <v>150</v>
      </c>
      <c r="J1430" s="67">
        <v>0</v>
      </c>
      <c r="K1430" s="62">
        <v>183418.77</v>
      </c>
      <c r="L1430" s="33" t="e">
        <f>HLOOKUP(B1430,#REF!,1,0)</f>
        <v>#REF!</v>
      </c>
      <c r="M1430" s="33" t="str">
        <f t="shared" si="91"/>
        <v>BS</v>
      </c>
    </row>
    <row r="1431" spans="1:13" s="33" customFormat="true" ht="12.75" customHeight="true">
      <c r="A1431" s="33" t="str">
        <f t="shared" si="88"/>
        <v>OLD - Retain Earnings</v>
      </c>
      <c r="B1431" s="33" t="str">
        <f t="shared" si="89"/>
        <v>OLD</v>
      </c>
      <c r="C1431" s="33" t="str">
        <f t="shared" si="90"/>
        <v>39999-0049</v>
      </c>
      <c r="D1431" s="64" t="s">
        <v>1870</v>
      </c>
      <c r="E1431" s="64" t="s">
        <v>1838</v>
      </c>
      <c r="F1431" s="64" t="s">
        <v>230</v>
      </c>
      <c r="G1431" s="64" t="s">
        <v>142</v>
      </c>
      <c r="H1431" s="64" t="s">
        <v>1856</v>
      </c>
      <c r="I1431" s="64" t="s">
        <v>150</v>
      </c>
      <c r="J1431" s="67">
        <v>0</v>
      </c>
      <c r="K1431" s="62">
        <v>4441719.36</v>
      </c>
      <c r="L1431" s="33" t="e">
        <f>HLOOKUP(B1431,#REF!,1,0)</f>
        <v>#REF!</v>
      </c>
      <c r="M1431" s="33" t="str">
        <f t="shared" si="91"/>
        <v>BS</v>
      </c>
    </row>
    <row r="1432" spans="1:13" s="33" customFormat="true" ht="12.75" customHeight="true">
      <c r="A1432" s="33" t="str">
        <f t="shared" si="88"/>
        <v>OLD - Retain Earnings</v>
      </c>
      <c r="B1432" s="33" t="str">
        <f t="shared" si="89"/>
        <v>OLD</v>
      </c>
      <c r="C1432" s="33" t="str">
        <f t="shared" si="90"/>
        <v>39999-0050</v>
      </c>
      <c r="D1432" s="64" t="s">
        <v>1871</v>
      </c>
      <c r="E1432" s="64" t="s">
        <v>1838</v>
      </c>
      <c r="F1432" s="64" t="s">
        <v>230</v>
      </c>
      <c r="G1432" s="64" t="s">
        <v>142</v>
      </c>
      <c r="H1432" s="64" t="s">
        <v>1856</v>
      </c>
      <c r="I1432" s="64" t="s">
        <v>150</v>
      </c>
      <c r="J1432" s="67">
        <v>0</v>
      </c>
      <c r="K1432" s="62">
        <v>1941164.39</v>
      </c>
      <c r="L1432" s="33" t="e">
        <f>HLOOKUP(B1432,#REF!,1,0)</f>
        <v>#REF!</v>
      </c>
      <c r="M1432" s="33" t="str">
        <f t="shared" si="91"/>
        <v>BS</v>
      </c>
    </row>
    <row r="1433" spans="1:13" s="33" customFormat="true" ht="12.75" customHeight="true">
      <c r="A1433" s="33" t="str">
        <f t="shared" si="88"/>
        <v>OLD - CGS</v>
      </c>
      <c r="B1433" s="33" t="str">
        <f t="shared" si="89"/>
        <v>OLD</v>
      </c>
      <c r="C1433" s="33" t="str">
        <f t="shared" si="90"/>
        <v>61023-0048</v>
      </c>
      <c r="D1433" s="64" t="s">
        <v>1872</v>
      </c>
      <c r="E1433" s="64" t="s">
        <v>1873</v>
      </c>
      <c r="F1433" s="64" t="s">
        <v>230</v>
      </c>
      <c r="G1433" s="64" t="s">
        <v>1874</v>
      </c>
      <c r="H1433" s="64" t="s">
        <v>1875</v>
      </c>
      <c r="I1433" s="64" t="s">
        <v>1876</v>
      </c>
      <c r="J1433" s="67">
        <v>0</v>
      </c>
      <c r="K1433" s="62">
        <v>122772.18</v>
      </c>
      <c r="L1433" s="33" t="e">
        <f>HLOOKUP(B1433,#REF!,1,0)</f>
        <v>#REF!</v>
      </c>
      <c r="M1433" s="33" t="str">
        <f t="shared" si="91"/>
        <v>P&amp;L</v>
      </c>
    </row>
    <row r="1434" spans="1:13" s="33" customFormat="true" ht="12.75" customHeight="true">
      <c r="A1434" s="33" t="str">
        <f t="shared" si="88"/>
        <v>OVA - Cash</v>
      </c>
      <c r="B1434" s="33" t="str">
        <f t="shared" si="89"/>
        <v>OVA</v>
      </c>
      <c r="C1434" s="33" t="str">
        <f t="shared" si="90"/>
        <v>10001-0000</v>
      </c>
      <c r="D1434" s="64" t="s">
        <v>1877</v>
      </c>
      <c r="E1434" s="64" t="s">
        <v>240</v>
      </c>
      <c r="F1434" s="64" t="s">
        <v>230</v>
      </c>
      <c r="G1434" s="64" t="s">
        <v>16</v>
      </c>
      <c r="H1434" s="64" t="s">
        <v>25</v>
      </c>
      <c r="I1434" s="64" t="s">
        <v>18</v>
      </c>
      <c r="J1434" s="67">
        <v>10927.39</v>
      </c>
      <c r="K1434" s="62">
        <v>84718.04</v>
      </c>
      <c r="L1434" s="33" t="e">
        <f>HLOOKUP(B1434,#REF!,1,0)</f>
        <v>#REF!</v>
      </c>
      <c r="M1434" s="33" t="str">
        <f t="shared" si="91"/>
        <v>BS</v>
      </c>
    </row>
    <row r="1435" spans="1:13" s="33" customFormat="true" ht="12.75" customHeight="true">
      <c r="A1435" s="33" t="str">
        <f t="shared" si="88"/>
        <v>OVA - Intercompany</v>
      </c>
      <c r="B1435" s="33" t="str">
        <f t="shared" si="89"/>
        <v>OVA</v>
      </c>
      <c r="C1435" s="33" t="str">
        <f t="shared" si="90"/>
        <v>11216-0000</v>
      </c>
      <c r="D1435" s="64" t="s">
        <v>1878</v>
      </c>
      <c r="E1435" s="64" t="s">
        <v>242</v>
      </c>
      <c r="F1435" s="64" t="s">
        <v>230</v>
      </c>
      <c r="G1435" s="64" t="s">
        <v>16</v>
      </c>
      <c r="H1435" s="64" t="s">
        <v>39</v>
      </c>
      <c r="I1435" s="64" t="s">
        <v>40</v>
      </c>
      <c r="J1435" s="67">
        <v>-203.02</v>
      </c>
      <c r="K1435" s="62">
        <v>-131740.1</v>
      </c>
      <c r="L1435" s="33" t="e">
        <f>HLOOKUP(B1435,#REF!,1,0)</f>
        <v>#REF!</v>
      </c>
      <c r="M1435" s="33" t="str">
        <f t="shared" si="91"/>
        <v>BS</v>
      </c>
    </row>
    <row r="1436" spans="1:13" s="33" customFormat="true" ht="12.75" customHeight="true">
      <c r="A1436" s="33" t="str">
        <f t="shared" si="88"/>
        <v>OVA - Intercompany</v>
      </c>
      <c r="B1436" s="33" t="str">
        <f t="shared" si="89"/>
        <v>OVA</v>
      </c>
      <c r="C1436" s="33" t="str">
        <f t="shared" si="90"/>
        <v>11302-0000</v>
      </c>
      <c r="D1436" s="64" t="s">
        <v>1879</v>
      </c>
      <c r="E1436" s="64" t="s">
        <v>246</v>
      </c>
      <c r="F1436" s="64" t="s">
        <v>230</v>
      </c>
      <c r="G1436" s="64" t="s">
        <v>16</v>
      </c>
      <c r="H1436" s="64" t="s">
        <v>39</v>
      </c>
      <c r="I1436" s="64" t="s">
        <v>40</v>
      </c>
      <c r="J1436" s="67">
        <v>0</v>
      </c>
      <c r="K1436" s="62">
        <v>-20000</v>
      </c>
      <c r="L1436" s="33" t="e">
        <f>HLOOKUP(B1436,#REF!,1,0)</f>
        <v>#REF!</v>
      </c>
      <c r="M1436" s="33" t="str">
        <f t="shared" si="91"/>
        <v>BS</v>
      </c>
    </row>
    <row r="1437" spans="1:13" s="33" customFormat="true" ht="12.75" customHeight="true">
      <c r="A1437" s="33" t="str">
        <f t="shared" si="88"/>
        <v>OVA - Intercompany</v>
      </c>
      <c r="B1437" s="33" t="str">
        <f t="shared" si="89"/>
        <v>OVA</v>
      </c>
      <c r="C1437" s="33" t="str">
        <f t="shared" si="90"/>
        <v>11310-0000</v>
      </c>
      <c r="D1437" s="64" t="s">
        <v>1880</v>
      </c>
      <c r="E1437" s="64" t="s">
        <v>256</v>
      </c>
      <c r="F1437" s="64" t="s">
        <v>230</v>
      </c>
      <c r="G1437" s="64" t="s">
        <v>16</v>
      </c>
      <c r="H1437" s="64" t="s">
        <v>39</v>
      </c>
      <c r="I1437" s="64" t="s">
        <v>40</v>
      </c>
      <c r="J1437" s="67">
        <v>0</v>
      </c>
      <c r="K1437" s="62">
        <v>-12000</v>
      </c>
      <c r="L1437" s="33" t="e">
        <f>HLOOKUP(B1437,#REF!,1,0)</f>
        <v>#REF!</v>
      </c>
      <c r="M1437" s="33" t="str">
        <f t="shared" si="91"/>
        <v>BS</v>
      </c>
    </row>
    <row r="1438" spans="1:13" s="33" customFormat="true" ht="12.75" customHeight="true">
      <c r="A1438" s="33" t="str">
        <f t="shared" si="88"/>
        <v>OVA - Intercompany</v>
      </c>
      <c r="B1438" s="33" t="str">
        <f t="shared" si="89"/>
        <v>OVA</v>
      </c>
      <c r="C1438" s="33" t="str">
        <f t="shared" si="90"/>
        <v>11311-0000</v>
      </c>
      <c r="D1438" s="64" t="s">
        <v>1881</v>
      </c>
      <c r="E1438" s="64" t="s">
        <v>258</v>
      </c>
      <c r="F1438" s="64" t="s">
        <v>230</v>
      </c>
      <c r="G1438" s="64" t="s">
        <v>16</v>
      </c>
      <c r="H1438" s="64" t="s">
        <v>39</v>
      </c>
      <c r="I1438" s="64" t="s">
        <v>40</v>
      </c>
      <c r="J1438" s="67">
        <v>0</v>
      </c>
      <c r="K1438" s="62">
        <v>-72000</v>
      </c>
      <c r="L1438" s="33" t="e">
        <f>HLOOKUP(B1438,#REF!,1,0)</f>
        <v>#REF!</v>
      </c>
      <c r="M1438" s="33" t="str">
        <f t="shared" si="91"/>
        <v>BS</v>
      </c>
    </row>
    <row r="1439" spans="1:13" s="33" customFormat="true" ht="12.75" customHeight="true">
      <c r="A1439" s="33" t="str">
        <f t="shared" si="88"/>
        <v>OVA - Intercompany</v>
      </c>
      <c r="B1439" s="33" t="str">
        <f t="shared" si="89"/>
        <v>OVA</v>
      </c>
      <c r="C1439" s="33" t="str">
        <f t="shared" si="90"/>
        <v>11317-0000</v>
      </c>
      <c r="D1439" s="64" t="s">
        <v>1882</v>
      </c>
      <c r="E1439" s="64" t="s">
        <v>368</v>
      </c>
      <c r="F1439" s="64" t="s">
        <v>230</v>
      </c>
      <c r="G1439" s="64" t="s">
        <v>16</v>
      </c>
      <c r="H1439" s="64" t="s">
        <v>39</v>
      </c>
      <c r="I1439" s="64" t="s">
        <v>40</v>
      </c>
      <c r="J1439" s="67">
        <v>0</v>
      </c>
      <c r="K1439" s="62">
        <v>-130000</v>
      </c>
      <c r="L1439" s="33" t="e">
        <f>HLOOKUP(B1439,#REF!,1,0)</f>
        <v>#REF!</v>
      </c>
      <c r="M1439" s="33" t="str">
        <f t="shared" si="91"/>
        <v>BS</v>
      </c>
    </row>
    <row r="1440" spans="1:13" s="33" customFormat="true" ht="12.75" customHeight="true">
      <c r="A1440" s="33" t="str">
        <f t="shared" si="88"/>
        <v>OVA - Intercompany</v>
      </c>
      <c r="B1440" s="33" t="str">
        <f t="shared" si="89"/>
        <v>OVA</v>
      </c>
      <c r="C1440" s="33" t="str">
        <f t="shared" si="90"/>
        <v>11320-0000</v>
      </c>
      <c r="D1440" s="64" t="s">
        <v>1883</v>
      </c>
      <c r="E1440" s="64" t="s">
        <v>328</v>
      </c>
      <c r="F1440" s="64" t="s">
        <v>230</v>
      </c>
      <c r="G1440" s="64" t="s">
        <v>16</v>
      </c>
      <c r="H1440" s="64" t="s">
        <v>39</v>
      </c>
      <c r="I1440" s="64" t="s">
        <v>40</v>
      </c>
      <c r="J1440" s="67">
        <v>0</v>
      </c>
      <c r="K1440" s="62">
        <v>19000</v>
      </c>
      <c r="L1440" s="33" t="e">
        <f>HLOOKUP(B1440,#REF!,1,0)</f>
        <v>#REF!</v>
      </c>
      <c r="M1440" s="33" t="str">
        <f t="shared" si="91"/>
        <v>BS</v>
      </c>
    </row>
    <row r="1441" spans="1:13" s="33" customFormat="true" ht="12.75" customHeight="true">
      <c r="A1441" s="33" t="str">
        <f t="shared" si="88"/>
        <v>OVA - Intercompany</v>
      </c>
      <c r="B1441" s="33" t="str">
        <f t="shared" si="89"/>
        <v>OVA</v>
      </c>
      <c r="C1441" s="33" t="str">
        <f t="shared" si="90"/>
        <v>11332-0000</v>
      </c>
      <c r="D1441" s="64" t="s">
        <v>1884</v>
      </c>
      <c r="E1441" s="64" t="s">
        <v>331</v>
      </c>
      <c r="F1441" s="64" t="s">
        <v>230</v>
      </c>
      <c r="G1441" s="64" t="s">
        <v>16</v>
      </c>
      <c r="H1441" s="64" t="s">
        <v>39</v>
      </c>
      <c r="I1441" s="64" t="s">
        <v>40</v>
      </c>
      <c r="J1441" s="67">
        <v>0</v>
      </c>
      <c r="K1441" s="62">
        <v>-10000</v>
      </c>
      <c r="L1441" s="33" t="e">
        <f>HLOOKUP(B1441,#REF!,1,0)</f>
        <v>#REF!</v>
      </c>
      <c r="M1441" s="33" t="str">
        <f t="shared" si="91"/>
        <v>BS</v>
      </c>
    </row>
    <row r="1442" spans="1:13" s="33" customFormat="true" ht="12.75" customHeight="true">
      <c r="A1442" s="33" t="str">
        <f t="shared" si="88"/>
        <v>OVA - Fixed Assets</v>
      </c>
      <c r="B1442" s="33" t="str">
        <f t="shared" si="89"/>
        <v>OVA</v>
      </c>
      <c r="C1442" s="33" t="str">
        <f t="shared" si="90"/>
        <v>14000-0000</v>
      </c>
      <c r="D1442" s="64" t="s">
        <v>1885</v>
      </c>
      <c r="E1442" s="64" t="s">
        <v>298</v>
      </c>
      <c r="F1442" s="64" t="s">
        <v>230</v>
      </c>
      <c r="G1442" s="64" t="s">
        <v>62</v>
      </c>
      <c r="H1442" s="64" t="s">
        <v>63</v>
      </c>
      <c r="I1442" s="64" t="s">
        <v>64</v>
      </c>
      <c r="J1442" s="67">
        <v>0</v>
      </c>
      <c r="K1442" s="62">
        <v>1808514.17</v>
      </c>
      <c r="L1442" s="33" t="e">
        <f>HLOOKUP(B1442,#REF!,1,0)</f>
        <v>#REF!</v>
      </c>
      <c r="M1442" s="33" t="str">
        <f t="shared" si="91"/>
        <v>BS</v>
      </c>
    </row>
    <row r="1443" spans="1:13" s="33" customFormat="true" ht="12.75" customHeight="true">
      <c r="A1443" s="33" t="str">
        <f t="shared" si="88"/>
        <v>OVA - Fixed Assets</v>
      </c>
      <c r="B1443" s="33" t="str">
        <f t="shared" si="89"/>
        <v>OVA</v>
      </c>
      <c r="C1443" s="33" t="str">
        <f t="shared" si="90"/>
        <v>15000-0000</v>
      </c>
      <c r="D1443" s="64" t="s">
        <v>1886</v>
      </c>
      <c r="E1443" s="64" t="s">
        <v>300</v>
      </c>
      <c r="F1443" s="64" t="s">
        <v>230</v>
      </c>
      <c r="G1443" s="64" t="s">
        <v>62</v>
      </c>
      <c r="H1443" s="64" t="s">
        <v>63</v>
      </c>
      <c r="I1443" s="64" t="s">
        <v>64</v>
      </c>
      <c r="J1443" s="67">
        <v>0</v>
      </c>
      <c r="K1443" s="62">
        <v>3715865.83</v>
      </c>
      <c r="L1443" s="33" t="e">
        <f>HLOOKUP(B1443,#REF!,1,0)</f>
        <v>#REF!</v>
      </c>
      <c r="M1443" s="33" t="str">
        <f t="shared" si="91"/>
        <v>BS</v>
      </c>
    </row>
    <row r="1444" spans="1:13" s="33" customFormat="true" ht="12.75" customHeight="true">
      <c r="A1444" s="33" t="str">
        <f t="shared" si="88"/>
        <v>OVA - Fixed Assets</v>
      </c>
      <c r="B1444" s="33" t="str">
        <f t="shared" si="89"/>
        <v>OVA</v>
      </c>
      <c r="C1444" s="33" t="str">
        <f t="shared" si="90"/>
        <v>15500-0000</v>
      </c>
      <c r="D1444" s="64" t="s">
        <v>1887</v>
      </c>
      <c r="E1444" s="64" t="s">
        <v>302</v>
      </c>
      <c r="F1444" s="64" t="s">
        <v>230</v>
      </c>
      <c r="G1444" s="64" t="s">
        <v>62</v>
      </c>
      <c r="H1444" s="64" t="s">
        <v>63</v>
      </c>
      <c r="I1444" s="64" t="s">
        <v>64</v>
      </c>
      <c r="J1444" s="67">
        <v>0</v>
      </c>
      <c r="K1444" s="62">
        <v>401271.03</v>
      </c>
      <c r="L1444" s="33" t="e">
        <f>HLOOKUP(B1444,#REF!,1,0)</f>
        <v>#REF!</v>
      </c>
      <c r="M1444" s="33" t="str">
        <f t="shared" si="91"/>
        <v>BS</v>
      </c>
    </row>
    <row r="1445" spans="1:13" s="33" customFormat="true" ht="12.75" customHeight="true">
      <c r="A1445" s="33" t="str">
        <f t="shared" si="88"/>
        <v>OVA - Fixed Assets</v>
      </c>
      <c r="B1445" s="33" t="str">
        <f t="shared" si="89"/>
        <v>OVA</v>
      </c>
      <c r="C1445" s="33" t="str">
        <f t="shared" si="90"/>
        <v>15600-0000</v>
      </c>
      <c r="D1445" s="64" t="s">
        <v>1888</v>
      </c>
      <c r="E1445" s="64" t="s">
        <v>337</v>
      </c>
      <c r="F1445" s="64" t="s">
        <v>230</v>
      </c>
      <c r="G1445" s="64" t="s">
        <v>16</v>
      </c>
      <c r="H1445" s="64" t="s">
        <v>63</v>
      </c>
      <c r="I1445" s="64" t="s">
        <v>64</v>
      </c>
      <c r="J1445" s="67">
        <v>0</v>
      </c>
      <c r="K1445" s="62">
        <v>5825.16</v>
      </c>
      <c r="L1445" s="33" t="e">
        <f>HLOOKUP(B1445,#REF!,1,0)</f>
        <v>#REF!</v>
      </c>
      <c r="M1445" s="33" t="str">
        <f t="shared" si="91"/>
        <v>BS</v>
      </c>
    </row>
    <row r="1446" spans="1:13" s="33" customFormat="true" ht="12.75" customHeight="true">
      <c r="A1446" s="33" t="str">
        <f t="shared" si="88"/>
        <v>OVA - Fixed Assets</v>
      </c>
      <c r="B1446" s="33" t="str">
        <f t="shared" si="89"/>
        <v>OVA</v>
      </c>
      <c r="C1446" s="33" t="str">
        <f t="shared" si="90"/>
        <v>16000-0000</v>
      </c>
      <c r="D1446" s="64" t="s">
        <v>1889</v>
      </c>
      <c r="E1446" s="64" t="s">
        <v>304</v>
      </c>
      <c r="F1446" s="64" t="s">
        <v>230</v>
      </c>
      <c r="G1446" s="64" t="s">
        <v>16</v>
      </c>
      <c r="H1446" s="64" t="s">
        <v>63</v>
      </c>
      <c r="I1446" s="64" t="s">
        <v>18</v>
      </c>
      <c r="J1446" s="67">
        <v>0</v>
      </c>
      <c r="K1446" s="62">
        <v>3825.25</v>
      </c>
      <c r="L1446" s="33" t="e">
        <f>HLOOKUP(B1446,#REF!,1,0)</f>
        <v>#REF!</v>
      </c>
      <c r="M1446" s="33" t="str">
        <f t="shared" si="91"/>
        <v>BS</v>
      </c>
    </row>
    <row r="1447" spans="1:13" s="33" customFormat="true" ht="12.75" customHeight="true">
      <c r="A1447" s="33" t="str">
        <f t="shared" si="88"/>
        <v>OVA - Fixed Assets</v>
      </c>
      <c r="B1447" s="33" t="str">
        <f t="shared" si="89"/>
        <v>OVA</v>
      </c>
      <c r="C1447" s="33" t="str">
        <f t="shared" si="90"/>
        <v>17000-0000</v>
      </c>
      <c r="D1447" s="64" t="s">
        <v>1890</v>
      </c>
      <c r="E1447" s="64" t="s">
        <v>306</v>
      </c>
      <c r="F1447" s="64" t="s">
        <v>230</v>
      </c>
      <c r="G1447" s="64" t="s">
        <v>62</v>
      </c>
      <c r="H1447" s="64" t="s">
        <v>63</v>
      </c>
      <c r="I1447" s="64" t="s">
        <v>64</v>
      </c>
      <c r="J1447" s="67">
        <v>0</v>
      </c>
      <c r="K1447" s="62">
        <v>-529126</v>
      </c>
      <c r="L1447" s="33" t="e">
        <f>HLOOKUP(B1447,#REF!,1,0)</f>
        <v>#REF!</v>
      </c>
      <c r="M1447" s="33" t="str">
        <f t="shared" si="91"/>
        <v>BS</v>
      </c>
    </row>
    <row r="1448" spans="1:13" s="33" customFormat="true" ht="12.75" customHeight="true">
      <c r="A1448" s="33" t="str">
        <f t="shared" si="88"/>
        <v>OVA - Fixed Assets</v>
      </c>
      <c r="B1448" s="33" t="str">
        <f t="shared" si="89"/>
        <v>OVA</v>
      </c>
      <c r="C1448" s="33" t="str">
        <f t="shared" si="90"/>
        <v>18000-0000</v>
      </c>
      <c r="D1448" s="64" t="s">
        <v>1891</v>
      </c>
      <c r="E1448" s="64" t="s">
        <v>308</v>
      </c>
      <c r="F1448" s="64" t="s">
        <v>230</v>
      </c>
      <c r="G1448" s="64" t="s">
        <v>62</v>
      </c>
      <c r="H1448" s="64" t="s">
        <v>63</v>
      </c>
      <c r="I1448" s="64" t="s">
        <v>64</v>
      </c>
      <c r="J1448" s="67">
        <v>0</v>
      </c>
      <c r="K1448" s="62">
        <v>-54400</v>
      </c>
      <c r="L1448" s="33" t="e">
        <f>HLOOKUP(B1448,#REF!,1,0)</f>
        <v>#REF!</v>
      </c>
      <c r="M1448" s="33" t="str">
        <f t="shared" si="91"/>
        <v>BS</v>
      </c>
    </row>
    <row r="1449" spans="1:13" s="33" customFormat="true" ht="12.75" customHeight="true">
      <c r="A1449" s="33" t="str">
        <f t="shared" si="88"/>
        <v>OVA - Deposits</v>
      </c>
      <c r="B1449" s="33" t="str">
        <f t="shared" si="89"/>
        <v>OVA</v>
      </c>
      <c r="C1449" s="33" t="str">
        <f t="shared" si="90"/>
        <v>19001-0000</v>
      </c>
      <c r="D1449" s="64" t="s">
        <v>1892</v>
      </c>
      <c r="E1449" s="64" t="s">
        <v>344</v>
      </c>
      <c r="F1449" s="64" t="s">
        <v>230</v>
      </c>
      <c r="G1449" s="64" t="s">
        <v>62</v>
      </c>
      <c r="H1449" s="64" t="s">
        <v>80</v>
      </c>
      <c r="I1449" s="64" t="s">
        <v>81</v>
      </c>
      <c r="J1449" s="67">
        <v>0</v>
      </c>
      <c r="K1449" s="62">
        <v>3187.15</v>
      </c>
      <c r="L1449" s="33" t="e">
        <f>HLOOKUP(B1449,#REF!,1,0)</f>
        <v>#REF!</v>
      </c>
      <c r="M1449" s="33" t="str">
        <f t="shared" si="91"/>
        <v>BS</v>
      </c>
    </row>
    <row r="1450" spans="1:13" s="33" customFormat="true" ht="12.75" customHeight="true">
      <c r="A1450" s="33" t="str">
        <f t="shared" si="88"/>
        <v>OVA - AP-Accr Exp</v>
      </c>
      <c r="B1450" s="33" t="str">
        <f t="shared" si="89"/>
        <v>OVA</v>
      </c>
      <c r="C1450" s="33" t="str">
        <f t="shared" si="90"/>
        <v>20001-0000</v>
      </c>
      <c r="D1450" s="64" t="s">
        <v>1893</v>
      </c>
      <c r="E1450" s="64" t="s">
        <v>96</v>
      </c>
      <c r="F1450" s="64" t="s">
        <v>230</v>
      </c>
      <c r="G1450" s="64" t="s">
        <v>97</v>
      </c>
      <c r="H1450" s="64" t="s">
        <v>98</v>
      </c>
      <c r="I1450" s="64" t="s">
        <v>99</v>
      </c>
      <c r="J1450" s="67">
        <v>0</v>
      </c>
      <c r="K1450" s="62">
        <v>0</v>
      </c>
      <c r="L1450" s="33" t="e">
        <f>HLOOKUP(B1450,#REF!,1,0)</f>
        <v>#REF!</v>
      </c>
      <c r="M1450" s="33" t="str">
        <f t="shared" si="91"/>
        <v>BS</v>
      </c>
    </row>
    <row r="1451" spans="1:13" s="33" customFormat="true" ht="12.75" customHeight="true">
      <c r="A1451" s="33" t="str">
        <f t="shared" si="88"/>
        <v>OVA - AP-Accr Exp</v>
      </c>
      <c r="B1451" s="33" t="str">
        <f t="shared" si="89"/>
        <v>OVA</v>
      </c>
      <c r="C1451" s="33" t="str">
        <f t="shared" si="90"/>
        <v>23509-0000</v>
      </c>
      <c r="D1451" s="64" t="s">
        <v>1894</v>
      </c>
      <c r="E1451" s="64" t="s">
        <v>111</v>
      </c>
      <c r="F1451" s="64" t="s">
        <v>230</v>
      </c>
      <c r="G1451" s="64" t="s">
        <v>97</v>
      </c>
      <c r="H1451" s="64" t="s">
        <v>98</v>
      </c>
      <c r="I1451" s="64" t="s">
        <v>102</v>
      </c>
      <c r="J1451" s="67">
        <v>0</v>
      </c>
      <c r="K1451" s="62">
        <v>0</v>
      </c>
      <c r="L1451" s="33" t="e">
        <f>HLOOKUP(B1451,#REF!,1,0)</f>
        <v>#REF!</v>
      </c>
      <c r="M1451" s="33" t="str">
        <f t="shared" si="91"/>
        <v>BS</v>
      </c>
    </row>
    <row r="1452" spans="1:13" s="33" customFormat="true" ht="12.75" customHeight="true">
      <c r="A1452" s="33" t="str">
        <f t="shared" si="88"/>
        <v>OVA - AP-Accr Exp</v>
      </c>
      <c r="B1452" s="33" t="str">
        <f t="shared" si="89"/>
        <v>OVA</v>
      </c>
      <c r="C1452" s="33" t="str">
        <f t="shared" si="90"/>
        <v>24800-0000</v>
      </c>
      <c r="D1452" s="64" t="s">
        <v>1895</v>
      </c>
      <c r="E1452" s="64" t="s">
        <v>232</v>
      </c>
      <c r="F1452" s="64" t="s">
        <v>230</v>
      </c>
      <c r="G1452" s="64" t="s">
        <v>97</v>
      </c>
      <c r="H1452" s="64" t="s">
        <v>98</v>
      </c>
      <c r="I1452" s="64" t="s">
        <v>102</v>
      </c>
      <c r="J1452" s="67">
        <v>-1138</v>
      </c>
      <c r="K1452" s="62">
        <v>-44218</v>
      </c>
      <c r="L1452" s="33" t="e">
        <f>HLOOKUP(B1452,#REF!,1,0)</f>
        <v>#REF!</v>
      </c>
      <c r="M1452" s="33" t="str">
        <f t="shared" si="91"/>
        <v>BS</v>
      </c>
    </row>
    <row r="1453" spans="1:13" s="33" customFormat="true" ht="12.75" customHeight="true">
      <c r="A1453" s="33" t="str">
        <f t="shared" si="88"/>
        <v>OVA - InterCo Notes</v>
      </c>
      <c r="B1453" s="33" t="str">
        <f t="shared" si="89"/>
        <v>OVA</v>
      </c>
      <c r="C1453" s="33" t="str">
        <f t="shared" si="90"/>
        <v>25000-0000</v>
      </c>
      <c r="D1453" s="64" t="s">
        <v>1896</v>
      </c>
      <c r="E1453" s="64" t="s">
        <v>314</v>
      </c>
      <c r="F1453" s="64" t="s">
        <v>230</v>
      </c>
      <c r="G1453" s="64" t="s">
        <v>16</v>
      </c>
      <c r="H1453" s="64" t="s">
        <v>315</v>
      </c>
      <c r="I1453" s="64" t="s">
        <v>40</v>
      </c>
      <c r="J1453" s="67">
        <v>0</v>
      </c>
      <c r="K1453" s="62">
        <v>-2442000</v>
      </c>
      <c r="L1453" s="33" t="e">
        <f>HLOOKUP(B1453,#REF!,1,0)</f>
        <v>#REF!</v>
      </c>
      <c r="M1453" s="33" t="str">
        <f t="shared" si="91"/>
        <v>BS</v>
      </c>
    </row>
    <row r="1454" spans="1:13" s="33" customFormat="true" ht="12.75" customHeight="true">
      <c r="A1454" s="33" t="str">
        <f t="shared" si="88"/>
        <v>OVA - Principal</v>
      </c>
      <c r="B1454" s="33" t="str">
        <f t="shared" si="89"/>
        <v>OVA</v>
      </c>
      <c r="C1454" s="33" t="str">
        <f t="shared" si="90"/>
        <v>28001-0000</v>
      </c>
      <c r="D1454" s="64" t="s">
        <v>1897</v>
      </c>
      <c r="E1454" s="64" t="s">
        <v>352</v>
      </c>
      <c r="F1454" s="64" t="s">
        <v>230</v>
      </c>
      <c r="G1454" s="64" t="s">
        <v>123</v>
      </c>
      <c r="H1454" s="64" t="s">
        <v>127</v>
      </c>
      <c r="I1454" s="64" t="s">
        <v>133</v>
      </c>
      <c r="J1454" s="67">
        <v>5113.44</v>
      </c>
      <c r="K1454" s="62">
        <v>-2626543.91</v>
      </c>
      <c r="L1454" s="33" t="e">
        <f>HLOOKUP(B1454,#REF!,1,0)</f>
        <v>#REF!</v>
      </c>
      <c r="M1454" s="33" t="str">
        <f t="shared" si="91"/>
        <v>BS</v>
      </c>
    </row>
    <row r="1455" spans="1:13" s="33" customFormat="true" ht="12.75" customHeight="true">
      <c r="A1455" s="33" t="str">
        <f t="shared" si="88"/>
        <v>OVA - SH Dist</v>
      </c>
      <c r="B1455" s="33" t="str">
        <f t="shared" si="89"/>
        <v>OVA</v>
      </c>
      <c r="C1455" s="33" t="str">
        <f t="shared" si="90"/>
        <v>30700-0000</v>
      </c>
      <c r="D1455" s="64" t="s">
        <v>1898</v>
      </c>
      <c r="E1455" s="64" t="s">
        <v>319</v>
      </c>
      <c r="F1455" s="64" t="s">
        <v>230</v>
      </c>
      <c r="G1455" s="64" t="s">
        <v>142</v>
      </c>
      <c r="H1455" s="64" t="s">
        <v>143</v>
      </c>
      <c r="I1455" s="64" t="s">
        <v>144</v>
      </c>
      <c r="J1455" s="67">
        <v>0</v>
      </c>
      <c r="K1455" s="62">
        <v>28000</v>
      </c>
      <c r="L1455" s="33" t="e">
        <f>HLOOKUP(B1455,#REF!,1,0)</f>
        <v>#REF!</v>
      </c>
      <c r="M1455" s="33" t="str">
        <f t="shared" si="91"/>
        <v>BS</v>
      </c>
    </row>
    <row r="1456" spans="1:13" s="33" customFormat="true" ht="12.75" customHeight="true">
      <c r="A1456" s="33" t="str">
        <f t="shared" si="88"/>
        <v>OVA - Retained Earnings</v>
      </c>
      <c r="B1456" s="33" t="str">
        <f t="shared" si="89"/>
        <v>OVA</v>
      </c>
      <c r="C1456" s="33" t="str">
        <f t="shared" si="90"/>
        <v>32000-0000</v>
      </c>
      <c r="D1456" s="64" t="s">
        <v>1899</v>
      </c>
      <c r="E1456" s="64" t="s">
        <v>234</v>
      </c>
      <c r="F1456" s="64" t="s">
        <v>230</v>
      </c>
      <c r="G1456" s="64" t="s">
        <v>142</v>
      </c>
      <c r="H1456" s="64" t="s">
        <v>149</v>
      </c>
      <c r="I1456" s="64" t="s">
        <v>235</v>
      </c>
      <c r="J1456" s="67">
        <v>0</v>
      </c>
      <c r="K1456" s="62">
        <v>136721.72</v>
      </c>
      <c r="L1456" s="33" t="e">
        <f>HLOOKUP(B1456,#REF!,1,0)</f>
        <v>#REF!</v>
      </c>
      <c r="M1456" s="33" t="str">
        <f t="shared" si="91"/>
        <v>BS</v>
      </c>
    </row>
    <row r="1457" spans="1:13" s="33" customFormat="true" ht="12.75" customHeight="true">
      <c r="A1457" s="33" t="str">
        <f t="shared" si="88"/>
        <v>PGP - Cash</v>
      </c>
      <c r="B1457" s="33" t="str">
        <f t="shared" si="89"/>
        <v>PGP</v>
      </c>
      <c r="C1457" s="33" t="str">
        <f t="shared" si="90"/>
        <v>10001-0000</v>
      </c>
      <c r="D1457" s="64" t="s">
        <v>1900</v>
      </c>
      <c r="E1457" s="64" t="s">
        <v>240</v>
      </c>
      <c r="F1457" s="64" t="s">
        <v>230</v>
      </c>
      <c r="G1457" s="64" t="s">
        <v>16</v>
      </c>
      <c r="H1457" s="64" t="s">
        <v>25</v>
      </c>
      <c r="I1457" s="64" t="s">
        <v>18</v>
      </c>
      <c r="J1457" s="67">
        <v>-37964.49</v>
      </c>
      <c r="K1457" s="62">
        <v>2994.11</v>
      </c>
      <c r="L1457" s="33" t="e">
        <f>HLOOKUP(B1457,#REF!,1,0)</f>
        <v>#REF!</v>
      </c>
      <c r="M1457" s="33" t="str">
        <f t="shared" si="91"/>
        <v>BS</v>
      </c>
    </row>
    <row r="1458" spans="1:13" s="33" customFormat="true" ht="12.75" customHeight="true">
      <c r="A1458" s="33" t="str">
        <f t="shared" si="88"/>
        <v>PGP - AR-PPD</v>
      </c>
      <c r="B1458" s="33" t="str">
        <f t="shared" si="89"/>
        <v>PGP</v>
      </c>
      <c r="C1458" s="33" t="str">
        <f t="shared" si="90"/>
        <v>11000-0000</v>
      </c>
      <c r="D1458" s="64" t="s">
        <v>1901</v>
      </c>
      <c r="E1458" s="64" t="s">
        <v>34</v>
      </c>
      <c r="F1458" s="64" t="s">
        <v>230</v>
      </c>
      <c r="G1458" s="64" t="s">
        <v>16</v>
      </c>
      <c r="H1458" s="64" t="s">
        <v>35</v>
      </c>
      <c r="I1458" s="64" t="s">
        <v>36</v>
      </c>
      <c r="J1458" s="67">
        <v>0</v>
      </c>
      <c r="K1458" s="62">
        <v>0</v>
      </c>
      <c r="L1458" s="33" t="e">
        <f>HLOOKUP(B1458,#REF!,1,0)</f>
        <v>#REF!</v>
      </c>
      <c r="M1458" s="33" t="str">
        <f t="shared" si="91"/>
        <v>BS</v>
      </c>
    </row>
    <row r="1459" spans="1:13" s="33" customFormat="true" ht="12.75" customHeight="true">
      <c r="A1459" s="33" t="str">
        <f t="shared" si="88"/>
        <v>PGP - Fixed Assets</v>
      </c>
      <c r="B1459" s="33" t="str">
        <f t="shared" si="89"/>
        <v>PGP</v>
      </c>
      <c r="C1459" s="33" t="str">
        <f t="shared" si="90"/>
        <v>14000-0000</v>
      </c>
      <c r="D1459" s="64" t="s">
        <v>1902</v>
      </c>
      <c r="E1459" s="64" t="s">
        <v>298</v>
      </c>
      <c r="F1459" s="64" t="s">
        <v>230</v>
      </c>
      <c r="G1459" s="64" t="s">
        <v>62</v>
      </c>
      <c r="H1459" s="64" t="s">
        <v>63</v>
      </c>
      <c r="I1459" s="64" t="s">
        <v>64</v>
      </c>
      <c r="J1459" s="67">
        <v>0</v>
      </c>
      <c r="K1459" s="62">
        <v>2485900</v>
      </c>
      <c r="L1459" s="33" t="e">
        <f>HLOOKUP(B1459,#REF!,1,0)</f>
        <v>#REF!</v>
      </c>
      <c r="M1459" s="33" t="str">
        <f t="shared" si="91"/>
        <v>BS</v>
      </c>
    </row>
    <row r="1460" spans="1:13" s="33" customFormat="true" ht="12.75" customHeight="true">
      <c r="A1460" s="33" t="str">
        <f t="shared" si="88"/>
        <v>PGP - AP-Accr Exp</v>
      </c>
      <c r="B1460" s="33" t="str">
        <f t="shared" si="89"/>
        <v>PGP</v>
      </c>
      <c r="C1460" s="33" t="str">
        <f t="shared" si="90"/>
        <v>20001-0000</v>
      </c>
      <c r="D1460" s="64" t="s">
        <v>1903</v>
      </c>
      <c r="E1460" s="64" t="s">
        <v>96</v>
      </c>
      <c r="F1460" s="64" t="s">
        <v>230</v>
      </c>
      <c r="G1460" s="64" t="s">
        <v>97</v>
      </c>
      <c r="H1460" s="64" t="s">
        <v>98</v>
      </c>
      <c r="I1460" s="64" t="s">
        <v>99</v>
      </c>
      <c r="J1460" s="67">
        <v>18044.2</v>
      </c>
      <c r="K1460" s="62">
        <v>0</v>
      </c>
      <c r="L1460" s="33" t="e">
        <f>HLOOKUP(B1460,#REF!,1,0)</f>
        <v>#REF!</v>
      </c>
      <c r="M1460" s="33" t="str">
        <f t="shared" si="91"/>
        <v>BS</v>
      </c>
    </row>
    <row r="1461" spans="1:13" s="33" customFormat="true" ht="12.75" customHeight="true">
      <c r="A1461" s="33" t="str">
        <f t="shared" si="88"/>
        <v>PGP - Principal</v>
      </c>
      <c r="B1461" s="33" t="str">
        <f t="shared" si="89"/>
        <v>PGP</v>
      </c>
      <c r="C1461" s="33" t="str">
        <f t="shared" si="90"/>
        <v>28003-0000</v>
      </c>
      <c r="D1461" s="64" t="s">
        <v>1904</v>
      </c>
      <c r="E1461" s="64" t="s">
        <v>1905</v>
      </c>
      <c r="F1461" s="64" t="s">
        <v>230</v>
      </c>
      <c r="G1461" s="64" t="s">
        <v>123</v>
      </c>
      <c r="H1461" s="64" t="s">
        <v>127</v>
      </c>
      <c r="I1461" s="64" t="s">
        <v>133</v>
      </c>
      <c r="J1461" s="67">
        <v>1728.87</v>
      </c>
      <c r="K1461" s="62">
        <v>-1350234.78</v>
      </c>
      <c r="L1461" s="33" t="e">
        <f>HLOOKUP(B1461,#REF!,1,0)</f>
        <v>#REF!</v>
      </c>
      <c r="M1461" s="33" t="str">
        <f t="shared" si="91"/>
        <v>BS</v>
      </c>
    </row>
    <row r="1462" spans="1:13" s="33" customFormat="true" ht="12.75" customHeight="true">
      <c r="A1462" s="33" t="str">
        <f t="shared" si="88"/>
        <v>PGP - SH Dist</v>
      </c>
      <c r="B1462" s="33" t="str">
        <f t="shared" si="89"/>
        <v>PGP</v>
      </c>
      <c r="C1462" s="33" t="str">
        <f t="shared" si="90"/>
        <v>30700-0000</v>
      </c>
      <c r="D1462" s="64" t="s">
        <v>1906</v>
      </c>
      <c r="E1462" s="64" t="s">
        <v>319</v>
      </c>
      <c r="F1462" s="64" t="s">
        <v>230</v>
      </c>
      <c r="G1462" s="64" t="s">
        <v>142</v>
      </c>
      <c r="H1462" s="64" t="s">
        <v>143</v>
      </c>
      <c r="I1462" s="64" t="s">
        <v>144</v>
      </c>
      <c r="J1462" s="67">
        <v>0</v>
      </c>
      <c r="K1462" s="62">
        <v>-1656836.23</v>
      </c>
      <c r="L1462" s="33" t="e">
        <f>HLOOKUP(B1462,#REF!,1,0)</f>
        <v>#REF!</v>
      </c>
      <c r="M1462" s="33" t="str">
        <f t="shared" si="91"/>
        <v>BS</v>
      </c>
    </row>
    <row r="1463" spans="1:13" s="33" customFormat="true" ht="12.75" customHeight="true">
      <c r="A1463" s="33" t="str">
        <f t="shared" si="88"/>
        <v>PGP - Retained Earnings</v>
      </c>
      <c r="B1463" s="33" t="str">
        <f t="shared" si="89"/>
        <v>PGP</v>
      </c>
      <c r="C1463" s="33" t="str">
        <f t="shared" si="90"/>
        <v>32000-0000</v>
      </c>
      <c r="D1463" s="64" t="s">
        <v>1907</v>
      </c>
      <c r="E1463" s="64" t="s">
        <v>234</v>
      </c>
      <c r="F1463" s="64" t="s">
        <v>230</v>
      </c>
      <c r="G1463" s="64" t="s">
        <v>142</v>
      </c>
      <c r="H1463" s="64" t="s">
        <v>149</v>
      </c>
      <c r="I1463" s="64" t="s">
        <v>235</v>
      </c>
      <c r="J1463" s="67">
        <v>0</v>
      </c>
      <c r="K1463" s="62">
        <v>25525.59</v>
      </c>
      <c r="L1463" s="33" t="e">
        <f>HLOOKUP(B1463,#REF!,1,0)</f>
        <v>#REF!</v>
      </c>
      <c r="M1463" s="33" t="str">
        <f t="shared" si="91"/>
        <v>BS</v>
      </c>
    </row>
    <row r="1464" spans="1:13" s="33" customFormat="true" ht="12.75" customHeight="true">
      <c r="A1464" s="33" t="str">
        <f t="shared" si="88"/>
        <v>PUR - Cash</v>
      </c>
      <c r="B1464" s="33" t="str">
        <f t="shared" si="89"/>
        <v>PUR</v>
      </c>
      <c r="C1464" s="33" t="str">
        <f t="shared" si="90"/>
        <v>10001-0000</v>
      </c>
      <c r="D1464" s="64" t="s">
        <v>1908</v>
      </c>
      <c r="E1464" s="64" t="s">
        <v>240</v>
      </c>
      <c r="F1464" s="64" t="s">
        <v>230</v>
      </c>
      <c r="G1464" s="64" t="s">
        <v>16</v>
      </c>
      <c r="H1464" s="64" t="s">
        <v>25</v>
      </c>
      <c r="I1464" s="64" t="s">
        <v>18</v>
      </c>
      <c r="J1464" s="67">
        <v>9069.87</v>
      </c>
      <c r="K1464" s="62">
        <v>50746.09</v>
      </c>
      <c r="L1464" s="33" t="e">
        <f>HLOOKUP(B1464,#REF!,1,0)</f>
        <v>#REF!</v>
      </c>
      <c r="M1464" s="33" t="str">
        <f t="shared" si="91"/>
        <v>BS</v>
      </c>
    </row>
    <row r="1465" spans="1:13" s="33" customFormat="true" ht="12.75" customHeight="true">
      <c r="A1465" s="33" t="str">
        <f t="shared" si="88"/>
        <v>PUR - Intercompany</v>
      </c>
      <c r="B1465" s="33" t="str">
        <f t="shared" si="89"/>
        <v>PUR</v>
      </c>
      <c r="C1465" s="33" t="str">
        <f t="shared" si="90"/>
        <v>11216-0000</v>
      </c>
      <c r="D1465" s="64" t="s">
        <v>1909</v>
      </c>
      <c r="E1465" s="64" t="s">
        <v>242</v>
      </c>
      <c r="F1465" s="64" t="s">
        <v>230</v>
      </c>
      <c r="G1465" s="64" t="s">
        <v>16</v>
      </c>
      <c r="H1465" s="64" t="s">
        <v>39</v>
      </c>
      <c r="I1465" s="64" t="s">
        <v>40</v>
      </c>
      <c r="J1465" s="67">
        <v>-1342.99</v>
      </c>
      <c r="K1465" s="62">
        <v>-18436.08</v>
      </c>
      <c r="L1465" s="33" t="e">
        <f>HLOOKUP(B1465,#REF!,1,0)</f>
        <v>#REF!</v>
      </c>
      <c r="M1465" s="33" t="str">
        <f t="shared" si="91"/>
        <v>BS</v>
      </c>
    </row>
    <row r="1466" spans="1:13" s="33" customFormat="true" ht="12.75" customHeight="true">
      <c r="A1466" s="33" t="str">
        <f t="shared" si="88"/>
        <v>PUR - Intercompany</v>
      </c>
      <c r="B1466" s="33" t="str">
        <f t="shared" si="89"/>
        <v>PUR</v>
      </c>
      <c r="C1466" s="33" t="str">
        <f t="shared" si="90"/>
        <v>11305-0000</v>
      </c>
      <c r="D1466" s="64" t="s">
        <v>1910</v>
      </c>
      <c r="E1466" s="64" t="s">
        <v>1911</v>
      </c>
      <c r="F1466" s="64" t="s">
        <v>230</v>
      </c>
      <c r="G1466" s="64" t="s">
        <v>362</v>
      </c>
      <c r="H1466" s="64" t="s">
        <v>39</v>
      </c>
      <c r="I1466" s="64" t="s">
        <v>40</v>
      </c>
      <c r="J1466" s="67">
        <v>0</v>
      </c>
      <c r="K1466" s="62">
        <v>30000</v>
      </c>
      <c r="L1466" s="33" t="e">
        <f>HLOOKUP(B1466,#REF!,1,0)</f>
        <v>#REF!</v>
      </c>
      <c r="M1466" s="33" t="str">
        <f t="shared" si="91"/>
        <v>BS</v>
      </c>
    </row>
    <row r="1467" spans="1:13" s="33" customFormat="true" ht="12.75" customHeight="true">
      <c r="A1467" s="33" t="str">
        <f t="shared" si="88"/>
        <v>PUR - Intercompany</v>
      </c>
      <c r="B1467" s="33" t="str">
        <f t="shared" si="89"/>
        <v>PUR</v>
      </c>
      <c r="C1467" s="33" t="str">
        <f t="shared" si="90"/>
        <v>11313-0000</v>
      </c>
      <c r="D1467" s="64" t="s">
        <v>1912</v>
      </c>
      <c r="E1467" s="64" t="s">
        <v>260</v>
      </c>
      <c r="F1467" s="64" t="s">
        <v>230</v>
      </c>
      <c r="G1467" s="64" t="s">
        <v>16</v>
      </c>
      <c r="H1467" s="64" t="s">
        <v>39</v>
      </c>
      <c r="I1467" s="64" t="s">
        <v>40</v>
      </c>
      <c r="J1467" s="67">
        <v>0</v>
      </c>
      <c r="K1467" s="62">
        <v>-15000</v>
      </c>
      <c r="L1467" s="33" t="e">
        <f>HLOOKUP(B1467,#REF!,1,0)</f>
        <v>#REF!</v>
      </c>
      <c r="M1467" s="33" t="str">
        <f t="shared" si="91"/>
        <v>BS</v>
      </c>
    </row>
    <row r="1468" spans="1:13" s="33" customFormat="true" ht="12.75" customHeight="true">
      <c r="A1468" s="33" t="str">
        <f t="shared" si="88"/>
        <v>PUR - Intercompany</v>
      </c>
      <c r="B1468" s="33" t="str">
        <f t="shared" si="89"/>
        <v>PUR</v>
      </c>
      <c r="C1468" s="33" t="str">
        <f t="shared" si="90"/>
        <v>11317-0000</v>
      </c>
      <c r="D1468" s="64" t="s">
        <v>1913</v>
      </c>
      <c r="E1468" s="64" t="s">
        <v>368</v>
      </c>
      <c r="F1468" s="64" t="s">
        <v>230</v>
      </c>
      <c r="G1468" s="64" t="s">
        <v>16</v>
      </c>
      <c r="H1468" s="64" t="s">
        <v>39</v>
      </c>
      <c r="I1468" s="64" t="s">
        <v>40</v>
      </c>
      <c r="J1468" s="67">
        <v>0</v>
      </c>
      <c r="K1468" s="62">
        <v>-20000</v>
      </c>
      <c r="L1468" s="33" t="e">
        <f>HLOOKUP(B1468,#REF!,1,0)</f>
        <v>#REF!</v>
      </c>
      <c r="M1468" s="33" t="str">
        <f t="shared" si="91"/>
        <v>BS</v>
      </c>
    </row>
    <row r="1469" spans="1:13" s="33" customFormat="true" ht="12.75" customHeight="true">
      <c r="A1469" s="33" t="str">
        <f t="shared" si="88"/>
        <v>PUR - Intercompany</v>
      </c>
      <c r="B1469" s="33" t="str">
        <f t="shared" si="89"/>
        <v>PUR</v>
      </c>
      <c r="C1469" s="33" t="str">
        <f t="shared" si="90"/>
        <v>11320-0000</v>
      </c>
      <c r="D1469" s="64" t="s">
        <v>1914</v>
      </c>
      <c r="E1469" s="64" t="s">
        <v>1915</v>
      </c>
      <c r="F1469" s="64" t="s">
        <v>230</v>
      </c>
      <c r="G1469" s="64" t="s">
        <v>16</v>
      </c>
      <c r="H1469" s="64" t="s">
        <v>39</v>
      </c>
      <c r="I1469" s="64" t="s">
        <v>40</v>
      </c>
      <c r="J1469" s="67">
        <v>0</v>
      </c>
      <c r="K1469" s="62">
        <v>-44000</v>
      </c>
      <c r="L1469" s="33" t="e">
        <f>HLOOKUP(B1469,#REF!,1,0)</f>
        <v>#REF!</v>
      </c>
      <c r="M1469" s="33" t="str">
        <f t="shared" si="91"/>
        <v>BS</v>
      </c>
    </row>
    <row r="1470" spans="1:13" s="33" customFormat="true" ht="12.75" customHeight="true">
      <c r="A1470" s="33" t="str">
        <f t="shared" si="88"/>
        <v>PUR - Intercompany</v>
      </c>
      <c r="B1470" s="33" t="str">
        <f t="shared" si="89"/>
        <v>PUR</v>
      </c>
      <c r="C1470" s="33" t="str">
        <f t="shared" si="90"/>
        <v>11332-0000</v>
      </c>
      <c r="D1470" s="64" t="s">
        <v>1916</v>
      </c>
      <c r="E1470" s="64" t="s">
        <v>331</v>
      </c>
      <c r="F1470" s="64" t="s">
        <v>230</v>
      </c>
      <c r="G1470" s="64" t="s">
        <v>16</v>
      </c>
      <c r="H1470" s="64" t="s">
        <v>39</v>
      </c>
      <c r="I1470" s="64" t="s">
        <v>40</v>
      </c>
      <c r="J1470" s="67">
        <v>0</v>
      </c>
      <c r="K1470" s="62">
        <v>-20000</v>
      </c>
      <c r="L1470" s="33" t="e">
        <f>HLOOKUP(B1470,#REF!,1,0)</f>
        <v>#REF!</v>
      </c>
      <c r="M1470" s="33" t="str">
        <f t="shared" si="91"/>
        <v>BS</v>
      </c>
    </row>
    <row r="1471" spans="1:13" s="33" customFormat="true" ht="12.75" customHeight="true">
      <c r="A1471" s="33" t="str">
        <f t="shared" si="88"/>
        <v>PUR - Intercompany</v>
      </c>
      <c r="B1471" s="33" t="str">
        <f t="shared" si="89"/>
        <v>PUR</v>
      </c>
      <c r="C1471" s="33" t="str">
        <f t="shared" si="90"/>
        <v>11402-0000</v>
      </c>
      <c r="D1471" s="64" t="s">
        <v>1917</v>
      </c>
      <c r="E1471" s="64" t="s">
        <v>662</v>
      </c>
      <c r="F1471" s="64" t="s">
        <v>230</v>
      </c>
      <c r="G1471" s="64" t="s">
        <v>16</v>
      </c>
      <c r="H1471" s="64" t="s">
        <v>39</v>
      </c>
      <c r="I1471" s="64" t="s">
        <v>40</v>
      </c>
      <c r="J1471" s="67">
        <v>0</v>
      </c>
      <c r="K1471" s="62">
        <v>30000</v>
      </c>
      <c r="L1471" s="33" t="e">
        <f>HLOOKUP(B1471,#REF!,1,0)</f>
        <v>#REF!</v>
      </c>
      <c r="M1471" s="33" t="str">
        <f t="shared" si="91"/>
        <v>BS</v>
      </c>
    </row>
    <row r="1472" spans="1:13" s="33" customFormat="true" ht="12.75" customHeight="true">
      <c r="A1472" s="33" t="str">
        <f t="shared" si="88"/>
        <v>PUR - AR-PPD</v>
      </c>
      <c r="B1472" s="33" t="str">
        <f t="shared" si="89"/>
        <v>PUR</v>
      </c>
      <c r="C1472" s="33" t="str">
        <f t="shared" si="90"/>
        <v>12200-0000</v>
      </c>
      <c r="D1472" s="64" t="s">
        <v>1918</v>
      </c>
      <c r="E1472" s="64" t="s">
        <v>294</v>
      </c>
      <c r="F1472" s="64" t="s">
        <v>230</v>
      </c>
      <c r="G1472" s="64" t="s">
        <v>62</v>
      </c>
      <c r="H1472" s="64" t="s">
        <v>35</v>
      </c>
      <c r="I1472" s="64" t="s">
        <v>64</v>
      </c>
      <c r="J1472" s="67">
        <v>0</v>
      </c>
      <c r="K1472" s="62">
        <v>-1172.35</v>
      </c>
      <c r="L1472" s="33" t="e">
        <f>HLOOKUP(B1472,#REF!,1,0)</f>
        <v>#REF!</v>
      </c>
      <c r="M1472" s="33" t="str">
        <f t="shared" si="91"/>
        <v>BS</v>
      </c>
    </row>
    <row r="1473" spans="1:13" s="33" customFormat="true" ht="12.75" customHeight="true">
      <c r="A1473" s="33" t="str">
        <f t="shared" si="88"/>
        <v>PUR - Fixed Assets</v>
      </c>
      <c r="B1473" s="33" t="str">
        <f t="shared" si="89"/>
        <v>PUR</v>
      </c>
      <c r="C1473" s="33" t="str">
        <f t="shared" si="90"/>
        <v>14000-0000</v>
      </c>
      <c r="D1473" s="64" t="s">
        <v>1919</v>
      </c>
      <c r="E1473" s="64" t="s">
        <v>298</v>
      </c>
      <c r="F1473" s="64" t="s">
        <v>230</v>
      </c>
      <c r="G1473" s="64" t="s">
        <v>62</v>
      </c>
      <c r="H1473" s="64" t="s">
        <v>63</v>
      </c>
      <c r="I1473" s="64" t="s">
        <v>64</v>
      </c>
      <c r="J1473" s="67">
        <v>0</v>
      </c>
      <c r="K1473" s="62">
        <v>1510000</v>
      </c>
      <c r="L1473" s="33" t="e">
        <f>HLOOKUP(B1473,#REF!,1,0)</f>
        <v>#REF!</v>
      </c>
      <c r="M1473" s="33" t="str">
        <f t="shared" si="91"/>
        <v>BS</v>
      </c>
    </row>
    <row r="1474" spans="1:13" s="33" customFormat="true" ht="12.75" customHeight="true">
      <c r="A1474" s="33" t="str">
        <f t="shared" ref="A1474:A1537" si="92">B1474&amp;" - "&amp;TRIM(H1474)</f>
        <v>PUR - Fixed Assets</v>
      </c>
      <c r="B1474" s="33" t="str">
        <f t="shared" ref="B1474:B1537" si="93">LEFT(D1474,3)</f>
        <v>PUR</v>
      </c>
      <c r="C1474" s="33" t="str">
        <f t="shared" ref="C1474:C1537" si="94">RIGHT(D1474,10)</f>
        <v>15000-0000</v>
      </c>
      <c r="D1474" s="64" t="s">
        <v>1920</v>
      </c>
      <c r="E1474" s="64" t="s">
        <v>300</v>
      </c>
      <c r="F1474" s="64" t="s">
        <v>230</v>
      </c>
      <c r="G1474" s="64" t="s">
        <v>62</v>
      </c>
      <c r="H1474" s="64" t="s">
        <v>63</v>
      </c>
      <c r="I1474" s="64" t="s">
        <v>64</v>
      </c>
      <c r="J1474" s="67">
        <v>0</v>
      </c>
      <c r="K1474" s="62">
        <v>3020000</v>
      </c>
      <c r="L1474" s="33" t="e">
        <f>HLOOKUP(B1474,#REF!,1,0)</f>
        <v>#REF!</v>
      </c>
      <c r="M1474" s="33" t="str">
        <f t="shared" ref="M1474:M1537" si="95">IF(VALUE(LEFT(C1474,5))&gt;40000,"P&amp;L","BS")</f>
        <v>BS</v>
      </c>
    </row>
    <row r="1475" spans="1:13" s="33" customFormat="true" ht="12.75" customHeight="true">
      <c r="A1475" s="33" t="str">
        <f t="shared" si="92"/>
        <v>PUR - Total Assets</v>
      </c>
      <c r="B1475" s="33" t="str">
        <f t="shared" si="93"/>
        <v>PUR</v>
      </c>
      <c r="C1475" s="33" t="str">
        <f t="shared" si="94"/>
        <v>15500-0000</v>
      </c>
      <c r="D1475" s="64" t="s">
        <v>1921</v>
      </c>
      <c r="E1475" s="64" t="s">
        <v>302</v>
      </c>
      <c r="F1475" s="64" t="s">
        <v>230</v>
      </c>
      <c r="G1475" s="64" t="s">
        <v>62</v>
      </c>
      <c r="H1475" s="64" t="s">
        <v>62</v>
      </c>
      <c r="I1475" s="64" t="s">
        <v>64</v>
      </c>
      <c r="J1475" s="67">
        <v>0</v>
      </c>
      <c r="K1475" s="62">
        <v>115385.42</v>
      </c>
      <c r="L1475" s="33" t="e">
        <f>HLOOKUP(B1475,#REF!,1,0)</f>
        <v>#REF!</v>
      </c>
      <c r="M1475" s="33" t="str">
        <f t="shared" si="95"/>
        <v>BS</v>
      </c>
    </row>
    <row r="1476" spans="1:13" s="33" customFormat="true" ht="12.75" customHeight="true">
      <c r="A1476" s="33" t="str">
        <f t="shared" si="92"/>
        <v>PUR - Fixed Assets</v>
      </c>
      <c r="B1476" s="33" t="str">
        <f t="shared" si="93"/>
        <v>PUR</v>
      </c>
      <c r="C1476" s="33" t="str">
        <f t="shared" si="94"/>
        <v>16000-0000</v>
      </c>
      <c r="D1476" s="64" t="s">
        <v>1922</v>
      </c>
      <c r="E1476" s="64" t="s">
        <v>304</v>
      </c>
      <c r="F1476" s="64" t="s">
        <v>230</v>
      </c>
      <c r="G1476" s="64" t="s">
        <v>16</v>
      </c>
      <c r="H1476" s="64" t="s">
        <v>63</v>
      </c>
      <c r="I1476" s="64" t="s">
        <v>18</v>
      </c>
      <c r="J1476" s="67">
        <v>0</v>
      </c>
      <c r="K1476" s="62">
        <v>78280.13</v>
      </c>
      <c r="L1476" s="33" t="e">
        <f>HLOOKUP(B1476,#REF!,1,0)</f>
        <v>#REF!</v>
      </c>
      <c r="M1476" s="33" t="str">
        <f t="shared" si="95"/>
        <v>BS</v>
      </c>
    </row>
    <row r="1477" spans="1:13" s="33" customFormat="true" ht="12.75" customHeight="true">
      <c r="A1477" s="33" t="str">
        <f t="shared" si="92"/>
        <v>PUR - Fixed Assets</v>
      </c>
      <c r="B1477" s="33" t="str">
        <f t="shared" si="93"/>
        <v>PUR</v>
      </c>
      <c r="C1477" s="33" t="str">
        <f t="shared" si="94"/>
        <v>17000-0000</v>
      </c>
      <c r="D1477" s="64" t="s">
        <v>1923</v>
      </c>
      <c r="E1477" s="64" t="s">
        <v>306</v>
      </c>
      <c r="F1477" s="64" t="s">
        <v>230</v>
      </c>
      <c r="G1477" s="64" t="s">
        <v>62</v>
      </c>
      <c r="H1477" s="64" t="s">
        <v>63</v>
      </c>
      <c r="I1477" s="64" t="s">
        <v>64</v>
      </c>
      <c r="J1477" s="67">
        <v>0</v>
      </c>
      <c r="K1477" s="62">
        <v>-595732</v>
      </c>
      <c r="L1477" s="33" t="e">
        <f>HLOOKUP(B1477,#REF!,1,0)</f>
        <v>#REF!</v>
      </c>
      <c r="M1477" s="33" t="str">
        <f t="shared" si="95"/>
        <v>BS</v>
      </c>
    </row>
    <row r="1478" spans="1:13" s="33" customFormat="true" ht="12.75" customHeight="true">
      <c r="A1478" s="33" t="str">
        <f t="shared" si="92"/>
        <v>PUR - Fixed Assets</v>
      </c>
      <c r="B1478" s="33" t="str">
        <f t="shared" si="93"/>
        <v>PUR</v>
      </c>
      <c r="C1478" s="33" t="str">
        <f t="shared" si="94"/>
        <v>18000-0000</v>
      </c>
      <c r="D1478" s="64" t="s">
        <v>1924</v>
      </c>
      <c r="E1478" s="64" t="s">
        <v>308</v>
      </c>
      <c r="F1478" s="64" t="s">
        <v>230</v>
      </c>
      <c r="G1478" s="64" t="s">
        <v>62</v>
      </c>
      <c r="H1478" s="64" t="s">
        <v>63</v>
      </c>
      <c r="I1478" s="64" t="s">
        <v>64</v>
      </c>
      <c r="J1478" s="67">
        <v>0</v>
      </c>
      <c r="K1478" s="62">
        <v>-31375</v>
      </c>
      <c r="L1478" s="33" t="e">
        <f>HLOOKUP(B1478,#REF!,1,0)</f>
        <v>#REF!</v>
      </c>
      <c r="M1478" s="33" t="str">
        <f t="shared" si="95"/>
        <v>BS</v>
      </c>
    </row>
    <row r="1479" spans="1:13" s="33" customFormat="true" ht="12.75" customHeight="true">
      <c r="A1479" s="33" t="str">
        <f t="shared" si="92"/>
        <v>PUR - AP-Accr Exp</v>
      </c>
      <c r="B1479" s="33" t="str">
        <f t="shared" si="93"/>
        <v>PUR</v>
      </c>
      <c r="C1479" s="33" t="str">
        <f t="shared" si="94"/>
        <v>20000-0000</v>
      </c>
      <c r="D1479" s="64" t="s">
        <v>1925</v>
      </c>
      <c r="E1479" s="64" t="s">
        <v>96</v>
      </c>
      <c r="F1479" s="64" t="s">
        <v>230</v>
      </c>
      <c r="G1479" s="64" t="s">
        <v>97</v>
      </c>
      <c r="H1479" s="64" t="s">
        <v>98</v>
      </c>
      <c r="I1479" s="64" t="s">
        <v>99</v>
      </c>
      <c r="J1479" s="67">
        <v>0</v>
      </c>
      <c r="K1479" s="62">
        <v>0</v>
      </c>
      <c r="L1479" s="33" t="e">
        <f>HLOOKUP(B1479,#REF!,1,0)</f>
        <v>#REF!</v>
      </c>
      <c r="M1479" s="33" t="str">
        <f t="shared" si="95"/>
        <v>BS</v>
      </c>
    </row>
    <row r="1480" spans="1:13" s="33" customFormat="true" ht="12.75" customHeight="true">
      <c r="A1480" s="33" t="str">
        <f t="shared" si="92"/>
        <v>PUR - AP-Accr Exp</v>
      </c>
      <c r="B1480" s="33" t="str">
        <f t="shared" si="93"/>
        <v>PUR</v>
      </c>
      <c r="C1480" s="33" t="str">
        <f t="shared" si="94"/>
        <v>20001-0000</v>
      </c>
      <c r="D1480" s="64" t="s">
        <v>1926</v>
      </c>
      <c r="E1480" s="64" t="s">
        <v>96</v>
      </c>
      <c r="F1480" s="64" t="s">
        <v>230</v>
      </c>
      <c r="G1480" s="64" t="s">
        <v>97</v>
      </c>
      <c r="H1480" s="64" t="s">
        <v>98</v>
      </c>
      <c r="I1480" s="64" t="s">
        <v>99</v>
      </c>
      <c r="J1480" s="67">
        <v>0</v>
      </c>
      <c r="K1480" s="62">
        <v>0</v>
      </c>
      <c r="L1480" s="33" t="e">
        <f>HLOOKUP(B1480,#REF!,1,0)</f>
        <v>#REF!</v>
      </c>
      <c r="M1480" s="33" t="str">
        <f t="shared" si="95"/>
        <v>BS</v>
      </c>
    </row>
    <row r="1481" spans="1:13" s="33" customFormat="true" ht="12.75" customHeight="true">
      <c r="A1481" s="33" t="str">
        <f t="shared" si="92"/>
        <v>PUR - AP-Accr Exp</v>
      </c>
      <c r="B1481" s="33" t="str">
        <f t="shared" si="93"/>
        <v>PUR</v>
      </c>
      <c r="C1481" s="33" t="str">
        <f t="shared" si="94"/>
        <v>23509-0000</v>
      </c>
      <c r="D1481" s="64" t="s">
        <v>1927</v>
      </c>
      <c r="E1481" s="64" t="s">
        <v>111</v>
      </c>
      <c r="F1481" s="64" t="s">
        <v>230</v>
      </c>
      <c r="G1481" s="64" t="s">
        <v>97</v>
      </c>
      <c r="H1481" s="64" t="s">
        <v>98</v>
      </c>
      <c r="I1481" s="64" t="s">
        <v>102</v>
      </c>
      <c r="J1481" s="67">
        <v>0</v>
      </c>
      <c r="K1481" s="62">
        <v>0</v>
      </c>
      <c r="L1481" s="33" t="e">
        <f>HLOOKUP(B1481,#REF!,1,0)</f>
        <v>#REF!</v>
      </c>
      <c r="M1481" s="33" t="str">
        <f t="shared" si="95"/>
        <v>BS</v>
      </c>
    </row>
    <row r="1482" spans="1:13" s="33" customFormat="true" ht="12.75" customHeight="true">
      <c r="A1482" s="33" t="str">
        <f t="shared" si="92"/>
        <v>PUR - AP-Accr Exp</v>
      </c>
      <c r="B1482" s="33" t="str">
        <f t="shared" si="93"/>
        <v>PUR</v>
      </c>
      <c r="C1482" s="33" t="str">
        <f t="shared" si="94"/>
        <v>24001-0000</v>
      </c>
      <c r="D1482" s="64" t="s">
        <v>1928</v>
      </c>
      <c r="E1482" s="64" t="s">
        <v>748</v>
      </c>
      <c r="F1482" s="64" t="s">
        <v>230</v>
      </c>
      <c r="G1482" s="64" t="s">
        <v>97</v>
      </c>
      <c r="H1482" s="64" t="s">
        <v>98</v>
      </c>
      <c r="I1482" s="64" t="s">
        <v>102</v>
      </c>
      <c r="J1482" s="67">
        <v>0</v>
      </c>
      <c r="K1482" s="62">
        <v>0</v>
      </c>
      <c r="L1482" s="33" t="e">
        <f>HLOOKUP(B1482,#REF!,1,0)</f>
        <v>#REF!</v>
      </c>
      <c r="M1482" s="33" t="str">
        <f t="shared" si="95"/>
        <v>BS</v>
      </c>
    </row>
    <row r="1483" spans="1:13" s="33" customFormat="true" ht="12.75" customHeight="true">
      <c r="A1483" s="33" t="str">
        <f t="shared" si="92"/>
        <v>PUR - AP-Accr Exp</v>
      </c>
      <c r="B1483" s="33" t="str">
        <f t="shared" si="93"/>
        <v>PUR</v>
      </c>
      <c r="C1483" s="33" t="str">
        <f t="shared" si="94"/>
        <v>24800-0000</v>
      </c>
      <c r="D1483" s="64" t="s">
        <v>1929</v>
      </c>
      <c r="E1483" s="64" t="s">
        <v>232</v>
      </c>
      <c r="F1483" s="64" t="s">
        <v>230</v>
      </c>
      <c r="G1483" s="64" t="s">
        <v>97</v>
      </c>
      <c r="H1483" s="64" t="s">
        <v>98</v>
      </c>
      <c r="I1483" s="64" t="s">
        <v>102</v>
      </c>
      <c r="J1483" s="67">
        <v>0</v>
      </c>
      <c r="K1483" s="62">
        <v>-32421</v>
      </c>
      <c r="L1483" s="33" t="e">
        <f>HLOOKUP(B1483,#REF!,1,0)</f>
        <v>#REF!</v>
      </c>
      <c r="M1483" s="33" t="str">
        <f t="shared" si="95"/>
        <v>BS</v>
      </c>
    </row>
    <row r="1484" spans="1:13" s="33" customFormat="true" ht="12.75" customHeight="true">
      <c r="A1484" s="33" t="str">
        <f t="shared" si="92"/>
        <v>PUR - Principal</v>
      </c>
      <c r="B1484" s="33" t="str">
        <f t="shared" si="93"/>
        <v>PUR</v>
      </c>
      <c r="C1484" s="33" t="str">
        <f t="shared" si="94"/>
        <v>26800-0000</v>
      </c>
      <c r="D1484" s="64" t="s">
        <v>1930</v>
      </c>
      <c r="E1484" s="64" t="s">
        <v>402</v>
      </c>
      <c r="F1484" s="64" t="s">
        <v>230</v>
      </c>
      <c r="G1484" s="64" t="s">
        <v>97</v>
      </c>
      <c r="H1484" s="64" t="s">
        <v>127</v>
      </c>
      <c r="I1484" s="64" t="s">
        <v>128</v>
      </c>
      <c r="J1484" s="67">
        <v>0</v>
      </c>
      <c r="K1484" s="62">
        <v>-150000</v>
      </c>
      <c r="L1484" s="33" t="e">
        <f>HLOOKUP(B1484,#REF!,1,0)</f>
        <v>#REF!</v>
      </c>
      <c r="M1484" s="33" t="str">
        <f t="shared" si="95"/>
        <v>BS</v>
      </c>
    </row>
    <row r="1485" spans="1:13" s="33" customFormat="true" ht="12.75" customHeight="true">
      <c r="A1485" s="33" t="str">
        <f t="shared" si="92"/>
        <v>PUR - Principal</v>
      </c>
      <c r="B1485" s="33" t="str">
        <f t="shared" si="93"/>
        <v>PUR</v>
      </c>
      <c r="C1485" s="33" t="str">
        <f t="shared" si="94"/>
        <v>28001-0000</v>
      </c>
      <c r="D1485" s="64" t="s">
        <v>1931</v>
      </c>
      <c r="E1485" s="64" t="s">
        <v>1932</v>
      </c>
      <c r="F1485" s="64" t="s">
        <v>230</v>
      </c>
      <c r="G1485" s="64" t="s">
        <v>123</v>
      </c>
      <c r="H1485" s="64" t="s">
        <v>127</v>
      </c>
      <c r="I1485" s="64" t="s">
        <v>133</v>
      </c>
      <c r="J1485" s="67">
        <v>0</v>
      </c>
      <c r="K1485" s="62">
        <v>7754.85</v>
      </c>
      <c r="L1485" s="33" t="e">
        <f>HLOOKUP(B1485,#REF!,1,0)</f>
        <v>#REF!</v>
      </c>
      <c r="M1485" s="33" t="str">
        <f t="shared" si="95"/>
        <v>BS</v>
      </c>
    </row>
    <row r="1486" spans="1:13" s="33" customFormat="true" ht="12.75" customHeight="true">
      <c r="A1486" s="33" t="str">
        <f t="shared" si="92"/>
        <v>PUR - Principal</v>
      </c>
      <c r="B1486" s="33" t="str">
        <f t="shared" si="93"/>
        <v>PUR</v>
      </c>
      <c r="C1486" s="33" t="str">
        <f t="shared" si="94"/>
        <v>28002-0000</v>
      </c>
      <c r="D1486" s="64" t="s">
        <v>1933</v>
      </c>
      <c r="E1486" s="64" t="s">
        <v>1934</v>
      </c>
      <c r="F1486" s="64" t="s">
        <v>230</v>
      </c>
      <c r="G1486" s="64" t="s">
        <v>123</v>
      </c>
      <c r="H1486" s="64" t="s">
        <v>127</v>
      </c>
      <c r="I1486" s="64" t="s">
        <v>133</v>
      </c>
      <c r="J1486" s="67">
        <v>5154.1</v>
      </c>
      <c r="K1486" s="62">
        <v>-3502225.2</v>
      </c>
      <c r="L1486" s="33" t="e">
        <f>HLOOKUP(B1486,#REF!,1,0)</f>
        <v>#REF!</v>
      </c>
      <c r="M1486" s="33" t="str">
        <f t="shared" si="95"/>
        <v>BS</v>
      </c>
    </row>
    <row r="1487" spans="1:13" s="33" customFormat="true" ht="12.75" customHeight="true">
      <c r="A1487" s="33" t="str">
        <f t="shared" si="92"/>
        <v>PUR - SH Dist</v>
      </c>
      <c r="B1487" s="33" t="str">
        <f t="shared" si="93"/>
        <v>PUR</v>
      </c>
      <c r="C1487" s="33" t="str">
        <f t="shared" si="94"/>
        <v>30700-0000</v>
      </c>
      <c r="D1487" s="64" t="s">
        <v>1935</v>
      </c>
      <c r="E1487" s="64" t="s">
        <v>319</v>
      </c>
      <c r="F1487" s="64" t="s">
        <v>230</v>
      </c>
      <c r="G1487" s="64" t="s">
        <v>142</v>
      </c>
      <c r="H1487" s="64" t="s">
        <v>143</v>
      </c>
      <c r="I1487" s="64" t="s">
        <v>144</v>
      </c>
      <c r="J1487" s="67">
        <v>0</v>
      </c>
      <c r="K1487" s="62">
        <v>-411000</v>
      </c>
      <c r="L1487" s="33" t="e">
        <f>HLOOKUP(B1487,#REF!,1,0)</f>
        <v>#REF!</v>
      </c>
      <c r="M1487" s="33" t="str">
        <f t="shared" si="95"/>
        <v>BS</v>
      </c>
    </row>
    <row r="1488" spans="1:13" s="33" customFormat="true" ht="12.75" customHeight="true">
      <c r="A1488" s="33" t="str">
        <f t="shared" si="92"/>
        <v>PUR - Retained Earnings</v>
      </c>
      <c r="B1488" s="33" t="str">
        <f t="shared" si="93"/>
        <v>PUR</v>
      </c>
      <c r="C1488" s="33" t="str">
        <f t="shared" si="94"/>
        <v>32000-0000</v>
      </c>
      <c r="D1488" s="64" t="s">
        <v>1936</v>
      </c>
      <c r="E1488" s="64" t="s">
        <v>234</v>
      </c>
      <c r="F1488" s="64" t="s">
        <v>230</v>
      </c>
      <c r="G1488" s="64" t="s">
        <v>142</v>
      </c>
      <c r="H1488" s="64" t="s">
        <v>149</v>
      </c>
      <c r="I1488" s="64" t="s">
        <v>235</v>
      </c>
      <c r="J1488" s="67">
        <v>0</v>
      </c>
      <c r="K1488" s="62">
        <v>72970.74</v>
      </c>
      <c r="L1488" s="33" t="e">
        <f>HLOOKUP(B1488,#REF!,1,0)</f>
        <v>#REF!</v>
      </c>
      <c r="M1488" s="33" t="str">
        <f t="shared" si="95"/>
        <v>BS</v>
      </c>
    </row>
    <row r="1489" spans="1:13" s="33" customFormat="true" ht="12.75" customHeight="true">
      <c r="A1489" s="33" t="str">
        <f t="shared" si="92"/>
        <v>RCI - Cash</v>
      </c>
      <c r="B1489" s="33" t="str">
        <f t="shared" si="93"/>
        <v>RCI</v>
      </c>
      <c r="C1489" s="33" t="str">
        <f t="shared" si="94"/>
        <v>10021-0000</v>
      </c>
      <c r="D1489" s="64" t="s">
        <v>1937</v>
      </c>
      <c r="E1489" s="64" t="s">
        <v>678</v>
      </c>
      <c r="F1489" s="64" t="s">
        <v>1794</v>
      </c>
      <c r="G1489" s="64" t="s">
        <v>16</v>
      </c>
      <c r="H1489" s="64" t="s">
        <v>25</v>
      </c>
      <c r="I1489" s="64" t="s">
        <v>18</v>
      </c>
      <c r="J1489" s="67">
        <v>-6657.32</v>
      </c>
      <c r="K1489" s="62">
        <v>45074.57</v>
      </c>
      <c r="L1489" s="33" t="e">
        <f>HLOOKUP(B1489,#REF!,1,0)</f>
        <v>#REF!</v>
      </c>
      <c r="M1489" s="33" t="str">
        <f t="shared" si="95"/>
        <v>BS</v>
      </c>
    </row>
    <row r="1490" spans="1:13" s="33" customFormat="true" ht="12.75" customHeight="true">
      <c r="A1490" s="33" t="str">
        <f t="shared" si="92"/>
        <v>RCI - Intercompany</v>
      </c>
      <c r="B1490" s="33" t="str">
        <f t="shared" si="93"/>
        <v>RCI</v>
      </c>
      <c r="C1490" s="33" t="str">
        <f t="shared" si="94"/>
        <v>11202-0000</v>
      </c>
      <c r="D1490" s="64" t="s">
        <v>1938</v>
      </c>
      <c r="E1490" s="64" t="s">
        <v>576</v>
      </c>
      <c r="F1490" s="64" t="s">
        <v>1794</v>
      </c>
      <c r="G1490" s="64" t="s">
        <v>16</v>
      </c>
      <c r="H1490" s="64" t="s">
        <v>39</v>
      </c>
      <c r="I1490" s="64" t="s">
        <v>40</v>
      </c>
      <c r="J1490" s="67">
        <v>0</v>
      </c>
      <c r="K1490" s="62">
        <v>-1674.08</v>
      </c>
      <c r="L1490" s="33" t="e">
        <f>HLOOKUP(B1490,#REF!,1,0)</f>
        <v>#REF!</v>
      </c>
      <c r="M1490" s="33" t="str">
        <f t="shared" si="95"/>
        <v>BS</v>
      </c>
    </row>
    <row r="1491" spans="1:13" s="33" customFormat="true" ht="12.75" customHeight="true">
      <c r="A1491" s="33" t="str">
        <f t="shared" si="92"/>
        <v>RCI - Intercompany</v>
      </c>
      <c r="B1491" s="33" t="str">
        <f t="shared" si="93"/>
        <v>RCI</v>
      </c>
      <c r="C1491" s="33" t="str">
        <f t="shared" si="94"/>
        <v>11217-0000</v>
      </c>
      <c r="D1491" s="64" t="s">
        <v>1939</v>
      </c>
      <c r="E1491" s="64" t="s">
        <v>172</v>
      </c>
      <c r="F1491" s="64" t="s">
        <v>1794</v>
      </c>
      <c r="G1491" s="64" t="s">
        <v>16</v>
      </c>
      <c r="H1491" s="64" t="s">
        <v>39</v>
      </c>
      <c r="I1491" s="64" t="s">
        <v>40</v>
      </c>
      <c r="J1491" s="67">
        <v>9940.38</v>
      </c>
      <c r="K1491" s="62">
        <v>29436.59</v>
      </c>
      <c r="L1491" s="33" t="e">
        <f>HLOOKUP(B1491,#REF!,1,0)</f>
        <v>#REF!</v>
      </c>
      <c r="M1491" s="33" t="str">
        <f t="shared" si="95"/>
        <v>BS</v>
      </c>
    </row>
    <row r="1492" spans="1:13" s="33" customFormat="true" ht="12.75" customHeight="true">
      <c r="A1492" s="33" t="str">
        <f t="shared" si="92"/>
        <v>RCI - Intercompany</v>
      </c>
      <c r="B1492" s="33" t="str">
        <f t="shared" si="93"/>
        <v>RCI</v>
      </c>
      <c r="C1492" s="33" t="str">
        <f t="shared" si="94"/>
        <v>11218-0000</v>
      </c>
      <c r="D1492" s="64" t="s">
        <v>1940</v>
      </c>
      <c r="E1492" s="64" t="s">
        <v>42</v>
      </c>
      <c r="F1492" s="64" t="s">
        <v>1794</v>
      </c>
      <c r="G1492" s="64" t="s">
        <v>16</v>
      </c>
      <c r="H1492" s="64" t="s">
        <v>39</v>
      </c>
      <c r="I1492" s="64" t="s">
        <v>40</v>
      </c>
      <c r="J1492" s="67">
        <v>-163.75</v>
      </c>
      <c r="K1492" s="62">
        <v>-18887.51</v>
      </c>
      <c r="L1492" s="33" t="e">
        <f>HLOOKUP(B1492,#REF!,1,0)</f>
        <v>#REF!</v>
      </c>
      <c r="M1492" s="33" t="str">
        <f t="shared" si="95"/>
        <v>BS</v>
      </c>
    </row>
    <row r="1493" spans="1:13" s="33" customFormat="true" ht="12.75" customHeight="true">
      <c r="A1493" s="33" t="str">
        <f t="shared" si="92"/>
        <v>RCI - Tax Accr</v>
      </c>
      <c r="B1493" s="33" t="str">
        <f t="shared" si="93"/>
        <v>RCI</v>
      </c>
      <c r="C1493" s="33" t="str">
        <f t="shared" si="94"/>
        <v>24001-0000</v>
      </c>
      <c r="D1493" s="64" t="s">
        <v>1941</v>
      </c>
      <c r="E1493" s="64" t="s">
        <v>1942</v>
      </c>
      <c r="F1493" s="64" t="s">
        <v>1794</v>
      </c>
      <c r="G1493" s="64" t="s">
        <v>97</v>
      </c>
      <c r="H1493" s="64" t="s">
        <v>105</v>
      </c>
      <c r="I1493" s="64" t="s">
        <v>102</v>
      </c>
      <c r="J1493" s="67">
        <v>0</v>
      </c>
      <c r="K1493" s="62">
        <v>-1700</v>
      </c>
      <c r="L1493" s="33" t="e">
        <f>HLOOKUP(B1493,#REF!,1,0)</f>
        <v>#REF!</v>
      </c>
      <c r="M1493" s="33" t="str">
        <f t="shared" si="95"/>
        <v>BS</v>
      </c>
    </row>
    <row r="1494" spans="1:13" s="33" customFormat="true" ht="12.75" customHeight="true">
      <c r="A1494" s="33" t="str">
        <f t="shared" si="92"/>
        <v>RCI - Principal</v>
      </c>
      <c r="B1494" s="33" t="str">
        <f t="shared" si="93"/>
        <v>RCI</v>
      </c>
      <c r="C1494" s="33" t="str">
        <f t="shared" si="94"/>
        <v>26700-0000</v>
      </c>
      <c r="D1494" s="64" t="s">
        <v>1943</v>
      </c>
      <c r="E1494" s="64" t="s">
        <v>688</v>
      </c>
      <c r="F1494" s="64" t="s">
        <v>1794</v>
      </c>
      <c r="G1494" s="64" t="s">
        <v>97</v>
      </c>
      <c r="H1494" s="64" t="s">
        <v>127</v>
      </c>
      <c r="I1494" s="64" t="s">
        <v>102</v>
      </c>
      <c r="J1494" s="67">
        <v>0</v>
      </c>
      <c r="K1494" s="62">
        <v>0</v>
      </c>
      <c r="L1494" s="33" t="e">
        <f>HLOOKUP(B1494,#REF!,1,0)</f>
        <v>#REF!</v>
      </c>
      <c r="M1494" s="33" t="str">
        <f t="shared" si="95"/>
        <v>BS</v>
      </c>
    </row>
    <row r="1495" spans="1:13" s="33" customFormat="true" ht="12.75" customHeight="true">
      <c r="A1495" s="33" t="str">
        <f t="shared" si="92"/>
        <v>RCI - Retained Earnings</v>
      </c>
      <c r="B1495" s="33" t="str">
        <f t="shared" si="93"/>
        <v>RCI</v>
      </c>
      <c r="C1495" s="33" t="str">
        <f t="shared" si="94"/>
        <v>32000-0000</v>
      </c>
      <c r="D1495" s="64" t="s">
        <v>1944</v>
      </c>
      <c r="E1495" s="64" t="s">
        <v>234</v>
      </c>
      <c r="F1495" s="64" t="s">
        <v>1794</v>
      </c>
      <c r="G1495" s="64" t="s">
        <v>142</v>
      </c>
      <c r="H1495" s="64" t="s">
        <v>149</v>
      </c>
      <c r="I1495" s="64" t="s">
        <v>150</v>
      </c>
      <c r="J1495" s="67">
        <v>0</v>
      </c>
      <c r="K1495" s="62">
        <v>-823385.61</v>
      </c>
      <c r="L1495" s="33" t="e">
        <f>HLOOKUP(B1495,#REF!,1,0)</f>
        <v>#REF!</v>
      </c>
      <c r="M1495" s="33" t="str">
        <f t="shared" si="95"/>
        <v>BS</v>
      </c>
    </row>
    <row r="1496" spans="1:13" s="33" customFormat="true" ht="12.75" customHeight="true">
      <c r="A1496" s="33" t="str">
        <f t="shared" si="92"/>
        <v>RCI - SH Dist</v>
      </c>
      <c r="B1496" s="33" t="str">
        <f t="shared" si="93"/>
        <v>RCI</v>
      </c>
      <c r="C1496" s="33" t="str">
        <f t="shared" si="94"/>
        <v>36001-0000</v>
      </c>
      <c r="D1496" s="64" t="s">
        <v>1945</v>
      </c>
      <c r="E1496" s="64" t="s">
        <v>589</v>
      </c>
      <c r="F1496" s="64" t="s">
        <v>1794</v>
      </c>
      <c r="G1496" s="64" t="s">
        <v>142</v>
      </c>
      <c r="H1496" s="64" t="s">
        <v>143</v>
      </c>
      <c r="I1496" s="64" t="s">
        <v>144</v>
      </c>
      <c r="J1496" s="67">
        <v>0</v>
      </c>
      <c r="K1496" s="62">
        <v>791312.12</v>
      </c>
      <c r="L1496" s="33" t="e">
        <f>HLOOKUP(B1496,#REF!,1,0)</f>
        <v>#REF!</v>
      </c>
      <c r="M1496" s="33" t="str">
        <f t="shared" si="95"/>
        <v>BS</v>
      </c>
    </row>
    <row r="1497" spans="1:13" s="33" customFormat="true" ht="12.75" customHeight="true">
      <c r="A1497" s="33" t="str">
        <f t="shared" si="92"/>
        <v>SAT - Cash</v>
      </c>
      <c r="B1497" s="33" t="str">
        <f t="shared" si="93"/>
        <v>SAT</v>
      </c>
      <c r="C1497" s="33" t="str">
        <f t="shared" si="94"/>
        <v>10001-0000</v>
      </c>
      <c r="D1497" s="64" t="s">
        <v>1946</v>
      </c>
      <c r="E1497" s="64" t="s">
        <v>240</v>
      </c>
      <c r="F1497" s="64" t="s">
        <v>230</v>
      </c>
      <c r="G1497" s="64" t="s">
        <v>16</v>
      </c>
      <c r="H1497" s="64" t="s">
        <v>25</v>
      </c>
      <c r="I1497" s="64" t="s">
        <v>18</v>
      </c>
      <c r="J1497" s="67">
        <v>-13186.17</v>
      </c>
      <c r="K1497" s="62">
        <v>12784.37</v>
      </c>
      <c r="L1497" s="33" t="e">
        <f>HLOOKUP(B1497,#REF!,1,0)</f>
        <v>#REF!</v>
      </c>
      <c r="M1497" s="33" t="str">
        <f t="shared" si="95"/>
        <v>BS</v>
      </c>
    </row>
    <row r="1498" spans="1:13" s="33" customFormat="true" ht="12.75" customHeight="true">
      <c r="A1498" s="33" t="str">
        <f t="shared" si="92"/>
        <v>SAT - AR-PPD</v>
      </c>
      <c r="B1498" s="33" t="str">
        <f t="shared" si="93"/>
        <v>SAT</v>
      </c>
      <c r="C1498" s="33" t="str">
        <f t="shared" si="94"/>
        <v>11000-0000</v>
      </c>
      <c r="D1498" s="64" t="s">
        <v>1947</v>
      </c>
      <c r="E1498" s="64" t="s">
        <v>34</v>
      </c>
      <c r="F1498" s="64" t="s">
        <v>230</v>
      </c>
      <c r="G1498" s="64" t="s">
        <v>16</v>
      </c>
      <c r="H1498" s="64" t="s">
        <v>35</v>
      </c>
      <c r="I1498" s="64" t="s">
        <v>36</v>
      </c>
      <c r="J1498" s="67">
        <v>0</v>
      </c>
      <c r="K1498" s="62">
        <v>3451.34</v>
      </c>
      <c r="L1498" s="33" t="e">
        <f>HLOOKUP(B1498,#REF!,1,0)</f>
        <v>#REF!</v>
      </c>
      <c r="M1498" s="33" t="str">
        <f t="shared" si="95"/>
        <v>BS</v>
      </c>
    </row>
    <row r="1499" spans="1:13" s="33" customFormat="true" ht="12.75" customHeight="true">
      <c r="A1499" s="33" t="str">
        <f t="shared" si="92"/>
        <v>SAT - Intercompany</v>
      </c>
      <c r="B1499" s="33" t="str">
        <f t="shared" si="93"/>
        <v>SAT</v>
      </c>
      <c r="C1499" s="33" t="str">
        <f t="shared" si="94"/>
        <v>11216-0000</v>
      </c>
      <c r="D1499" s="64" t="s">
        <v>1948</v>
      </c>
      <c r="E1499" s="64" t="s">
        <v>242</v>
      </c>
      <c r="F1499" s="64" t="s">
        <v>230</v>
      </c>
      <c r="G1499" s="64" t="s">
        <v>16</v>
      </c>
      <c r="H1499" s="64" t="s">
        <v>39</v>
      </c>
      <c r="I1499" s="64" t="s">
        <v>40</v>
      </c>
      <c r="J1499" s="67">
        <v>1134.54</v>
      </c>
      <c r="K1499" s="62">
        <v>-8509.72</v>
      </c>
      <c r="L1499" s="33" t="e">
        <f>HLOOKUP(B1499,#REF!,1,0)</f>
        <v>#REF!</v>
      </c>
      <c r="M1499" s="33" t="str">
        <f t="shared" si="95"/>
        <v>BS</v>
      </c>
    </row>
    <row r="1500" spans="1:13" s="33" customFormat="true" ht="12.75" customHeight="true">
      <c r="A1500" s="33" t="str">
        <f t="shared" si="92"/>
        <v>SAT - Intercompany</v>
      </c>
      <c r="B1500" s="33" t="str">
        <f t="shared" si="93"/>
        <v>SAT</v>
      </c>
      <c r="C1500" s="33" t="str">
        <f t="shared" si="94"/>
        <v>11311-0000</v>
      </c>
      <c r="D1500" s="64" t="s">
        <v>1949</v>
      </c>
      <c r="E1500" s="64" t="s">
        <v>258</v>
      </c>
      <c r="F1500" s="64" t="s">
        <v>230</v>
      </c>
      <c r="G1500" s="64" t="s">
        <v>16</v>
      </c>
      <c r="H1500" s="64" t="s">
        <v>39</v>
      </c>
      <c r="I1500" s="64" t="s">
        <v>40</v>
      </c>
      <c r="J1500" s="67">
        <v>0</v>
      </c>
      <c r="K1500" s="62">
        <v>-17000</v>
      </c>
      <c r="L1500" s="33" t="e">
        <f>HLOOKUP(B1500,#REF!,1,0)</f>
        <v>#REF!</v>
      </c>
      <c r="M1500" s="33" t="str">
        <f t="shared" si="95"/>
        <v>BS</v>
      </c>
    </row>
    <row r="1501" spans="1:13" s="33" customFormat="true" ht="12.75" customHeight="true">
      <c r="A1501" s="33" t="str">
        <f t="shared" si="92"/>
        <v>SAT - Intercompany</v>
      </c>
      <c r="B1501" s="33" t="str">
        <f t="shared" si="93"/>
        <v>SAT</v>
      </c>
      <c r="C1501" s="33" t="str">
        <f t="shared" si="94"/>
        <v>11317-0000</v>
      </c>
      <c r="D1501" s="64" t="s">
        <v>1950</v>
      </c>
      <c r="E1501" s="64" t="s">
        <v>368</v>
      </c>
      <c r="F1501" s="64" t="s">
        <v>230</v>
      </c>
      <c r="G1501" s="64" t="s">
        <v>16</v>
      </c>
      <c r="H1501" s="64" t="s">
        <v>39</v>
      </c>
      <c r="I1501" s="64" t="s">
        <v>40</v>
      </c>
      <c r="J1501" s="67">
        <v>0</v>
      </c>
      <c r="K1501" s="62">
        <v>-34000</v>
      </c>
      <c r="L1501" s="33" t="e">
        <f>HLOOKUP(B1501,#REF!,1,0)</f>
        <v>#REF!</v>
      </c>
      <c r="M1501" s="33" t="str">
        <f t="shared" si="95"/>
        <v>BS</v>
      </c>
    </row>
    <row r="1502" spans="1:13" s="33" customFormat="true" ht="12.75" customHeight="true">
      <c r="A1502" s="33" t="str">
        <f t="shared" si="92"/>
        <v>SAT - Intercompany</v>
      </c>
      <c r="B1502" s="33" t="str">
        <f t="shared" si="93"/>
        <v>SAT</v>
      </c>
      <c r="C1502" s="33" t="str">
        <f t="shared" si="94"/>
        <v>11318-0000</v>
      </c>
      <c r="D1502" s="64" t="s">
        <v>1951</v>
      </c>
      <c r="E1502" s="64" t="s">
        <v>478</v>
      </c>
      <c r="F1502" s="64" t="s">
        <v>230</v>
      </c>
      <c r="G1502" s="64" t="s">
        <v>16</v>
      </c>
      <c r="H1502" s="64" t="s">
        <v>39</v>
      </c>
      <c r="I1502" s="64" t="s">
        <v>40</v>
      </c>
      <c r="J1502" s="67">
        <v>0</v>
      </c>
      <c r="K1502" s="62">
        <v>30000</v>
      </c>
      <c r="L1502" s="33" t="e">
        <f>HLOOKUP(B1502,#REF!,1,0)</f>
        <v>#REF!</v>
      </c>
      <c r="M1502" s="33" t="str">
        <f t="shared" si="95"/>
        <v>BS</v>
      </c>
    </row>
    <row r="1503" spans="1:13" s="33" customFormat="true" ht="12.75" customHeight="true">
      <c r="A1503" s="33" t="str">
        <f t="shared" si="92"/>
        <v>SAT - Intercompany</v>
      </c>
      <c r="B1503" s="33" t="str">
        <f t="shared" si="93"/>
        <v>SAT</v>
      </c>
      <c r="C1503" s="33" t="str">
        <f t="shared" si="94"/>
        <v>11320-0000</v>
      </c>
      <c r="D1503" s="64" t="s">
        <v>1952</v>
      </c>
      <c r="E1503" s="64" t="s">
        <v>328</v>
      </c>
      <c r="F1503" s="64" t="s">
        <v>230</v>
      </c>
      <c r="G1503" s="64" t="s">
        <v>16</v>
      </c>
      <c r="H1503" s="64" t="s">
        <v>39</v>
      </c>
      <c r="I1503" s="64" t="s">
        <v>40</v>
      </c>
      <c r="J1503" s="67">
        <v>0</v>
      </c>
      <c r="K1503" s="62">
        <v>10000</v>
      </c>
      <c r="L1503" s="33" t="e">
        <f>HLOOKUP(B1503,#REF!,1,0)</f>
        <v>#REF!</v>
      </c>
      <c r="M1503" s="33" t="str">
        <f t="shared" si="95"/>
        <v>BS</v>
      </c>
    </row>
    <row r="1504" spans="1:13" s="33" customFormat="true" ht="12.75" customHeight="true">
      <c r="A1504" s="33" t="str">
        <f t="shared" si="92"/>
        <v>SAT - Intercompany</v>
      </c>
      <c r="B1504" s="33" t="str">
        <f t="shared" si="93"/>
        <v>SAT</v>
      </c>
      <c r="C1504" s="33" t="str">
        <f t="shared" si="94"/>
        <v>11324-0000</v>
      </c>
      <c r="D1504" s="64" t="s">
        <v>1953</v>
      </c>
      <c r="E1504" s="64" t="s">
        <v>272</v>
      </c>
      <c r="F1504" s="64" t="s">
        <v>230</v>
      </c>
      <c r="G1504" s="64" t="s">
        <v>16</v>
      </c>
      <c r="H1504" s="64" t="s">
        <v>39</v>
      </c>
      <c r="I1504" s="64" t="s">
        <v>40</v>
      </c>
      <c r="J1504" s="67">
        <v>0</v>
      </c>
      <c r="K1504" s="62">
        <v>10000</v>
      </c>
      <c r="L1504" s="33" t="e">
        <f>HLOOKUP(B1504,#REF!,1,0)</f>
        <v>#REF!</v>
      </c>
      <c r="M1504" s="33" t="str">
        <f t="shared" si="95"/>
        <v>BS</v>
      </c>
    </row>
    <row r="1505" spans="1:13" s="33" customFormat="true" ht="12.75" customHeight="true">
      <c r="A1505" s="33" t="str">
        <f t="shared" si="92"/>
        <v>SAT - Intercompany</v>
      </c>
      <c r="B1505" s="33" t="str">
        <f t="shared" si="93"/>
        <v>SAT</v>
      </c>
      <c r="C1505" s="33" t="str">
        <f t="shared" si="94"/>
        <v>11325-0000</v>
      </c>
      <c r="D1505" s="64" t="s">
        <v>1954</v>
      </c>
      <c r="E1505" s="64" t="s">
        <v>274</v>
      </c>
      <c r="F1505" s="64" t="s">
        <v>230</v>
      </c>
      <c r="G1505" s="64" t="s">
        <v>16</v>
      </c>
      <c r="H1505" s="64" t="s">
        <v>39</v>
      </c>
      <c r="I1505" s="64" t="s">
        <v>40</v>
      </c>
      <c r="J1505" s="67">
        <v>0</v>
      </c>
      <c r="K1505" s="62">
        <v>-5000</v>
      </c>
      <c r="L1505" s="33" t="e">
        <f>HLOOKUP(B1505,#REF!,1,0)</f>
        <v>#REF!</v>
      </c>
      <c r="M1505" s="33" t="str">
        <f t="shared" si="95"/>
        <v>BS</v>
      </c>
    </row>
    <row r="1506" spans="1:13" s="33" customFormat="true" ht="12.75" customHeight="true">
      <c r="A1506" s="33" t="str">
        <f t="shared" si="92"/>
        <v>SAT - Intercompany</v>
      </c>
      <c r="B1506" s="33" t="str">
        <f t="shared" si="93"/>
        <v>SAT</v>
      </c>
      <c r="C1506" s="33" t="str">
        <f t="shared" si="94"/>
        <v>11332-0000</v>
      </c>
      <c r="D1506" s="64" t="s">
        <v>1955</v>
      </c>
      <c r="E1506" s="64" t="s">
        <v>331</v>
      </c>
      <c r="F1506" s="64" t="s">
        <v>230</v>
      </c>
      <c r="G1506" s="64" t="s">
        <v>16</v>
      </c>
      <c r="H1506" s="64" t="s">
        <v>39</v>
      </c>
      <c r="I1506" s="64" t="s">
        <v>40</v>
      </c>
      <c r="J1506" s="67">
        <v>0</v>
      </c>
      <c r="K1506" s="62">
        <v>3000</v>
      </c>
      <c r="L1506" s="33" t="e">
        <f>HLOOKUP(B1506,#REF!,1,0)</f>
        <v>#REF!</v>
      </c>
      <c r="M1506" s="33" t="str">
        <f t="shared" si="95"/>
        <v>BS</v>
      </c>
    </row>
    <row r="1507" spans="1:13" s="33" customFormat="true" ht="12.75" customHeight="true">
      <c r="A1507" s="33" t="str">
        <f t="shared" si="92"/>
        <v>SAT - Intercompany</v>
      </c>
      <c r="B1507" s="33" t="str">
        <f t="shared" si="93"/>
        <v>SAT</v>
      </c>
      <c r="C1507" s="33" t="str">
        <f t="shared" si="94"/>
        <v>11334-0000</v>
      </c>
      <c r="D1507" s="64" t="s">
        <v>1956</v>
      </c>
      <c r="E1507" s="64" t="s">
        <v>333</v>
      </c>
      <c r="F1507" s="64" t="s">
        <v>230</v>
      </c>
      <c r="G1507" s="64" t="s">
        <v>16</v>
      </c>
      <c r="H1507" s="64" t="s">
        <v>39</v>
      </c>
      <c r="I1507" s="64" t="s">
        <v>40</v>
      </c>
      <c r="J1507" s="67">
        <v>0</v>
      </c>
      <c r="K1507" s="62">
        <v>-5000</v>
      </c>
      <c r="L1507" s="33" t="e">
        <f>HLOOKUP(B1507,#REF!,1,0)</f>
        <v>#REF!</v>
      </c>
      <c r="M1507" s="33" t="str">
        <f t="shared" si="95"/>
        <v>BS</v>
      </c>
    </row>
    <row r="1508" spans="1:13" s="33" customFormat="true" ht="12.75" customHeight="true">
      <c r="A1508" s="33" t="str">
        <f t="shared" si="92"/>
        <v>SAT - Fixed Assets</v>
      </c>
      <c r="B1508" s="33" t="str">
        <f t="shared" si="93"/>
        <v>SAT</v>
      </c>
      <c r="C1508" s="33" t="str">
        <f t="shared" si="94"/>
        <v>14000-0000</v>
      </c>
      <c r="D1508" s="64" t="s">
        <v>1957</v>
      </c>
      <c r="E1508" s="64" t="s">
        <v>298</v>
      </c>
      <c r="F1508" s="64" t="s">
        <v>230</v>
      </c>
      <c r="G1508" s="64" t="s">
        <v>62</v>
      </c>
      <c r="H1508" s="64" t="s">
        <v>63</v>
      </c>
      <c r="I1508" s="64" t="s">
        <v>64</v>
      </c>
      <c r="J1508" s="67">
        <v>-1866666</v>
      </c>
      <c r="K1508" s="62">
        <v>0</v>
      </c>
      <c r="L1508" s="33" t="e">
        <f>HLOOKUP(B1508,#REF!,1,0)</f>
        <v>#REF!</v>
      </c>
      <c r="M1508" s="33" t="str">
        <f t="shared" si="95"/>
        <v>BS</v>
      </c>
    </row>
    <row r="1509" spans="1:13" s="33" customFormat="true" ht="12.75" customHeight="true">
      <c r="A1509" s="33" t="str">
        <f t="shared" si="92"/>
        <v>SAT - Fixed Assets</v>
      </c>
      <c r="B1509" s="33" t="str">
        <f t="shared" si="93"/>
        <v>SAT</v>
      </c>
      <c r="C1509" s="33" t="str">
        <f t="shared" si="94"/>
        <v>15000-0000</v>
      </c>
      <c r="D1509" s="64" t="s">
        <v>1958</v>
      </c>
      <c r="E1509" s="64" t="s">
        <v>300</v>
      </c>
      <c r="F1509" s="64" t="s">
        <v>230</v>
      </c>
      <c r="G1509" s="64" t="s">
        <v>62</v>
      </c>
      <c r="H1509" s="64" t="s">
        <v>63</v>
      </c>
      <c r="I1509" s="64" t="s">
        <v>64</v>
      </c>
      <c r="J1509" s="67">
        <v>-3733334</v>
      </c>
      <c r="K1509" s="62">
        <v>0</v>
      </c>
      <c r="L1509" s="33" t="e">
        <f>HLOOKUP(B1509,#REF!,1,0)</f>
        <v>#REF!</v>
      </c>
      <c r="M1509" s="33" t="str">
        <f t="shared" si="95"/>
        <v>BS</v>
      </c>
    </row>
    <row r="1510" spans="1:13" s="33" customFormat="true" ht="12.75" customHeight="true">
      <c r="A1510" s="33" t="str">
        <f t="shared" si="92"/>
        <v>SAT - Total Assets</v>
      </c>
      <c r="B1510" s="33" t="str">
        <f t="shared" si="93"/>
        <v>SAT</v>
      </c>
      <c r="C1510" s="33" t="str">
        <f t="shared" si="94"/>
        <v>15500-0000</v>
      </c>
      <c r="D1510" s="64" t="s">
        <v>1959</v>
      </c>
      <c r="E1510" s="64" t="s">
        <v>302</v>
      </c>
      <c r="F1510" s="64" t="s">
        <v>230</v>
      </c>
      <c r="G1510" s="64" t="s">
        <v>62</v>
      </c>
      <c r="H1510" s="64" t="s">
        <v>62</v>
      </c>
      <c r="I1510" s="64" t="s">
        <v>64</v>
      </c>
      <c r="J1510" s="67">
        <v>0</v>
      </c>
      <c r="K1510" s="62">
        <v>60381.41</v>
      </c>
      <c r="L1510" s="33" t="e">
        <f>HLOOKUP(B1510,#REF!,1,0)</f>
        <v>#REF!</v>
      </c>
      <c r="M1510" s="33" t="str">
        <f t="shared" si="95"/>
        <v>BS</v>
      </c>
    </row>
    <row r="1511" spans="1:13" s="33" customFormat="true" ht="12.75" customHeight="true">
      <c r="A1511" s="33" t="str">
        <f t="shared" si="92"/>
        <v>SAT - Fixed Assets</v>
      </c>
      <c r="B1511" s="33" t="str">
        <f t="shared" si="93"/>
        <v>SAT</v>
      </c>
      <c r="C1511" s="33" t="str">
        <f t="shared" si="94"/>
        <v>15600-0000</v>
      </c>
      <c r="D1511" s="64" t="s">
        <v>1960</v>
      </c>
      <c r="E1511" s="64" t="s">
        <v>337</v>
      </c>
      <c r="F1511" s="64" t="s">
        <v>230</v>
      </c>
      <c r="G1511" s="64" t="s">
        <v>16</v>
      </c>
      <c r="H1511" s="64" t="s">
        <v>63</v>
      </c>
      <c r="I1511" s="64" t="s">
        <v>64</v>
      </c>
      <c r="J1511" s="67">
        <v>0</v>
      </c>
      <c r="K1511" s="62">
        <v>4951</v>
      </c>
      <c r="L1511" s="33" t="e">
        <f>HLOOKUP(B1511,#REF!,1,0)</f>
        <v>#REF!</v>
      </c>
      <c r="M1511" s="33" t="str">
        <f t="shared" si="95"/>
        <v>BS</v>
      </c>
    </row>
    <row r="1512" spans="1:13" s="33" customFormat="true" ht="12.75" customHeight="true">
      <c r="A1512" s="33" t="str">
        <f t="shared" si="92"/>
        <v>SAT - Fixed Assets</v>
      </c>
      <c r="B1512" s="33" t="str">
        <f t="shared" si="93"/>
        <v>SAT</v>
      </c>
      <c r="C1512" s="33" t="str">
        <f t="shared" si="94"/>
        <v>16000-0000</v>
      </c>
      <c r="D1512" s="64" t="s">
        <v>1961</v>
      </c>
      <c r="E1512" s="64" t="s">
        <v>304</v>
      </c>
      <c r="F1512" s="64" t="s">
        <v>230</v>
      </c>
      <c r="G1512" s="64" t="s">
        <v>16</v>
      </c>
      <c r="H1512" s="64" t="s">
        <v>63</v>
      </c>
      <c r="I1512" s="64" t="s">
        <v>18</v>
      </c>
      <c r="J1512" s="67">
        <v>0</v>
      </c>
      <c r="K1512" s="62">
        <v>21650</v>
      </c>
      <c r="L1512" s="33" t="e">
        <f>HLOOKUP(B1512,#REF!,1,0)</f>
        <v>#REF!</v>
      </c>
      <c r="M1512" s="33" t="str">
        <f t="shared" si="95"/>
        <v>BS</v>
      </c>
    </row>
    <row r="1513" spans="1:13" s="33" customFormat="true" ht="12.75" customHeight="true">
      <c r="A1513" s="33" t="str">
        <f t="shared" si="92"/>
        <v>SAT - Fixed Assets</v>
      </c>
      <c r="B1513" s="33" t="str">
        <f t="shared" si="93"/>
        <v>SAT</v>
      </c>
      <c r="C1513" s="33" t="str">
        <f t="shared" si="94"/>
        <v>17000-0000</v>
      </c>
      <c r="D1513" s="64" t="s">
        <v>1962</v>
      </c>
      <c r="E1513" s="64" t="s">
        <v>306</v>
      </c>
      <c r="F1513" s="64" t="s">
        <v>230</v>
      </c>
      <c r="G1513" s="64" t="s">
        <v>62</v>
      </c>
      <c r="H1513" s="64" t="s">
        <v>63</v>
      </c>
      <c r="I1513" s="64" t="s">
        <v>64</v>
      </c>
      <c r="J1513" s="67">
        <v>0</v>
      </c>
      <c r="K1513" s="62">
        <v>-315658</v>
      </c>
      <c r="L1513" s="33" t="e">
        <f>HLOOKUP(B1513,#REF!,1,0)</f>
        <v>#REF!</v>
      </c>
      <c r="M1513" s="33" t="str">
        <f t="shared" si="95"/>
        <v>BS</v>
      </c>
    </row>
    <row r="1514" spans="1:13" s="33" customFormat="true" ht="12.75" customHeight="true">
      <c r="A1514" s="33" t="str">
        <f t="shared" si="92"/>
        <v>SAT - Fixed Assets</v>
      </c>
      <c r="B1514" s="33" t="str">
        <f t="shared" si="93"/>
        <v>SAT</v>
      </c>
      <c r="C1514" s="33" t="str">
        <f t="shared" si="94"/>
        <v>18000-0000</v>
      </c>
      <c r="D1514" s="64" t="s">
        <v>1963</v>
      </c>
      <c r="E1514" s="64" t="s">
        <v>308</v>
      </c>
      <c r="F1514" s="64" t="s">
        <v>230</v>
      </c>
      <c r="G1514" s="64" t="s">
        <v>62</v>
      </c>
      <c r="H1514" s="64" t="s">
        <v>63</v>
      </c>
      <c r="I1514" s="64" t="s">
        <v>64</v>
      </c>
      <c r="J1514" s="67">
        <v>0</v>
      </c>
      <c r="K1514" s="62">
        <v>-16980</v>
      </c>
      <c r="L1514" s="33" t="e">
        <f>HLOOKUP(B1514,#REF!,1,0)</f>
        <v>#REF!</v>
      </c>
      <c r="M1514" s="33" t="str">
        <f t="shared" si="95"/>
        <v>BS</v>
      </c>
    </row>
    <row r="1515" spans="1:13" s="33" customFormat="true" ht="12.75" customHeight="true">
      <c r="A1515" s="33" t="str">
        <f t="shared" si="92"/>
        <v>SAT - Deposits</v>
      </c>
      <c r="B1515" s="33" t="str">
        <f t="shared" si="93"/>
        <v>SAT</v>
      </c>
      <c r="C1515" s="33" t="str">
        <f t="shared" si="94"/>
        <v>19001-0000</v>
      </c>
      <c r="D1515" s="64" t="s">
        <v>1964</v>
      </c>
      <c r="E1515" s="64" t="s">
        <v>344</v>
      </c>
      <c r="F1515" s="64" t="s">
        <v>230</v>
      </c>
      <c r="G1515" s="64" t="s">
        <v>62</v>
      </c>
      <c r="H1515" s="64" t="s">
        <v>80</v>
      </c>
      <c r="I1515" s="64" t="s">
        <v>81</v>
      </c>
      <c r="J1515" s="67">
        <v>0</v>
      </c>
      <c r="K1515" s="62">
        <v>780</v>
      </c>
      <c r="L1515" s="33" t="e">
        <f>HLOOKUP(B1515,#REF!,1,0)</f>
        <v>#REF!</v>
      </c>
      <c r="M1515" s="33" t="str">
        <f t="shared" si="95"/>
        <v>BS</v>
      </c>
    </row>
    <row r="1516" spans="1:13" s="33" customFormat="true" ht="12.75" customHeight="true">
      <c r="A1516" s="33" t="str">
        <f t="shared" si="92"/>
        <v>SAT - AP-Accr Exp</v>
      </c>
      <c r="B1516" s="33" t="str">
        <f t="shared" si="93"/>
        <v>SAT</v>
      </c>
      <c r="C1516" s="33" t="str">
        <f t="shared" si="94"/>
        <v>20001-0000</v>
      </c>
      <c r="D1516" s="64" t="s">
        <v>1965</v>
      </c>
      <c r="E1516" s="64" t="s">
        <v>96</v>
      </c>
      <c r="F1516" s="64" t="s">
        <v>230</v>
      </c>
      <c r="G1516" s="64" t="s">
        <v>97</v>
      </c>
      <c r="H1516" s="64" t="s">
        <v>98</v>
      </c>
      <c r="I1516" s="64" t="s">
        <v>99</v>
      </c>
      <c r="J1516" s="67">
        <v>0</v>
      </c>
      <c r="K1516" s="62">
        <v>0</v>
      </c>
      <c r="L1516" s="33" t="e">
        <f>HLOOKUP(B1516,#REF!,1,0)</f>
        <v>#REF!</v>
      </c>
      <c r="M1516" s="33" t="str">
        <f t="shared" si="95"/>
        <v>BS</v>
      </c>
    </row>
    <row r="1517" spans="1:13" s="33" customFormat="true" ht="12.75" customHeight="true">
      <c r="A1517" s="33" t="str">
        <f t="shared" si="92"/>
        <v>SAT - AP-Accr Exp</v>
      </c>
      <c r="B1517" s="33" t="str">
        <f t="shared" si="93"/>
        <v>SAT</v>
      </c>
      <c r="C1517" s="33" t="str">
        <f t="shared" si="94"/>
        <v>23509-0000</v>
      </c>
      <c r="D1517" s="64" t="s">
        <v>1966</v>
      </c>
      <c r="E1517" s="64" t="s">
        <v>111</v>
      </c>
      <c r="F1517" s="64" t="s">
        <v>230</v>
      </c>
      <c r="G1517" s="64" t="s">
        <v>97</v>
      </c>
      <c r="H1517" s="64" t="s">
        <v>98</v>
      </c>
      <c r="I1517" s="64" t="s">
        <v>102</v>
      </c>
      <c r="J1517" s="67">
        <v>0</v>
      </c>
      <c r="K1517" s="62">
        <v>0</v>
      </c>
      <c r="L1517" s="33" t="e">
        <f>HLOOKUP(B1517,#REF!,1,0)</f>
        <v>#REF!</v>
      </c>
      <c r="M1517" s="33" t="str">
        <f t="shared" si="95"/>
        <v>BS</v>
      </c>
    </row>
    <row r="1518" spans="1:13" s="33" customFormat="true" ht="12.75" customHeight="true">
      <c r="A1518" s="33" t="str">
        <f t="shared" si="92"/>
        <v>SAT - AP-Accr Exp</v>
      </c>
      <c r="B1518" s="33" t="str">
        <f t="shared" si="93"/>
        <v>SAT</v>
      </c>
      <c r="C1518" s="33" t="str">
        <f t="shared" si="94"/>
        <v>24800-0000</v>
      </c>
      <c r="D1518" s="64" t="s">
        <v>1967</v>
      </c>
      <c r="E1518" s="64" t="s">
        <v>232</v>
      </c>
      <c r="F1518" s="64" t="s">
        <v>230</v>
      </c>
      <c r="G1518" s="64" t="s">
        <v>97</v>
      </c>
      <c r="H1518" s="64" t="s">
        <v>98</v>
      </c>
      <c r="I1518" s="64" t="s">
        <v>102</v>
      </c>
      <c r="J1518" s="67">
        <v>13402.15</v>
      </c>
      <c r="K1518" s="62">
        <v>600</v>
      </c>
      <c r="L1518" s="33" t="e">
        <f>HLOOKUP(B1518,#REF!,1,0)</f>
        <v>#REF!</v>
      </c>
      <c r="M1518" s="33" t="str">
        <f t="shared" si="95"/>
        <v>BS</v>
      </c>
    </row>
    <row r="1519" spans="1:13" s="33" customFormat="true" ht="12.75" customHeight="true">
      <c r="A1519" s="33" t="str">
        <f t="shared" si="92"/>
        <v>SAT - InterCo Notes</v>
      </c>
      <c r="B1519" s="33" t="str">
        <f t="shared" si="93"/>
        <v>SAT</v>
      </c>
      <c r="C1519" s="33" t="str">
        <f t="shared" si="94"/>
        <v>25000-0000</v>
      </c>
      <c r="D1519" s="64" t="s">
        <v>1968</v>
      </c>
      <c r="E1519" s="64" t="s">
        <v>314</v>
      </c>
      <c r="F1519" s="64" t="s">
        <v>230</v>
      </c>
      <c r="G1519" s="64" t="s">
        <v>16</v>
      </c>
      <c r="H1519" s="64" t="s">
        <v>315</v>
      </c>
      <c r="I1519" s="64" t="s">
        <v>40</v>
      </c>
      <c r="J1519" s="67">
        <v>0</v>
      </c>
      <c r="K1519" s="62">
        <v>-175000</v>
      </c>
      <c r="L1519" s="33" t="e">
        <f>HLOOKUP(B1519,#REF!,1,0)</f>
        <v>#REF!</v>
      </c>
      <c r="M1519" s="33" t="str">
        <f t="shared" si="95"/>
        <v>BS</v>
      </c>
    </row>
    <row r="1520" spans="1:13" s="33" customFormat="true" ht="12.75" customHeight="true">
      <c r="A1520" s="33" t="str">
        <f t="shared" si="92"/>
        <v>SAT - InterCo Notes</v>
      </c>
      <c r="B1520" s="33" t="str">
        <f t="shared" si="93"/>
        <v>SAT</v>
      </c>
      <c r="C1520" s="33" t="str">
        <f t="shared" si="94"/>
        <v>25100-0000</v>
      </c>
      <c r="D1520" s="64" t="s">
        <v>1969</v>
      </c>
      <c r="E1520" s="64" t="s">
        <v>430</v>
      </c>
      <c r="F1520" s="64" t="s">
        <v>230</v>
      </c>
      <c r="G1520" s="64" t="s">
        <v>16</v>
      </c>
      <c r="H1520" s="64" t="s">
        <v>315</v>
      </c>
      <c r="I1520" s="64" t="s">
        <v>40</v>
      </c>
      <c r="J1520" s="67">
        <v>1763000</v>
      </c>
      <c r="K1520" s="62">
        <v>-1041000</v>
      </c>
      <c r="L1520" s="33" t="e">
        <f>HLOOKUP(B1520,#REF!,1,0)</f>
        <v>#REF!</v>
      </c>
      <c r="M1520" s="33" t="str">
        <f t="shared" si="95"/>
        <v>BS</v>
      </c>
    </row>
    <row r="1521" spans="1:13" s="33" customFormat="true" ht="12.75" customHeight="true">
      <c r="A1521" s="33" t="str">
        <f t="shared" si="92"/>
        <v>SAT - InterCo Notes</v>
      </c>
      <c r="B1521" s="33" t="str">
        <f t="shared" si="93"/>
        <v>SAT</v>
      </c>
      <c r="C1521" s="33" t="str">
        <f t="shared" si="94"/>
        <v>25200-0000</v>
      </c>
      <c r="D1521" s="64" t="s">
        <v>1970</v>
      </c>
      <c r="E1521" s="64" t="s">
        <v>1971</v>
      </c>
      <c r="F1521" s="64" t="s">
        <v>230</v>
      </c>
      <c r="G1521" s="64" t="s">
        <v>362</v>
      </c>
      <c r="H1521" s="64" t="s">
        <v>315</v>
      </c>
      <c r="I1521" s="64" t="s">
        <v>40</v>
      </c>
      <c r="J1521" s="67">
        <v>0</v>
      </c>
      <c r="K1521" s="62">
        <v>-500000</v>
      </c>
      <c r="L1521" s="33" t="e">
        <f>HLOOKUP(B1521,#REF!,1,0)</f>
        <v>#REF!</v>
      </c>
      <c r="M1521" s="33" t="str">
        <f t="shared" si="95"/>
        <v>BS</v>
      </c>
    </row>
    <row r="1522" spans="1:13" s="33" customFormat="true" ht="12.75" customHeight="true">
      <c r="A1522" s="33" t="str">
        <f t="shared" si="92"/>
        <v>SAT - Principal</v>
      </c>
      <c r="B1522" s="33" t="str">
        <f t="shared" si="93"/>
        <v>SAT</v>
      </c>
      <c r="C1522" s="33" t="str">
        <f t="shared" si="94"/>
        <v>26800-0000</v>
      </c>
      <c r="D1522" s="64" t="s">
        <v>1972</v>
      </c>
      <c r="E1522" s="64" t="s">
        <v>402</v>
      </c>
      <c r="F1522" s="64" t="s">
        <v>230</v>
      </c>
      <c r="G1522" s="64" t="s">
        <v>97</v>
      </c>
      <c r="H1522" s="64" t="s">
        <v>127</v>
      </c>
      <c r="I1522" s="64" t="s">
        <v>128</v>
      </c>
      <c r="J1522" s="67">
        <v>0</v>
      </c>
      <c r="K1522" s="62">
        <v>-126800</v>
      </c>
      <c r="L1522" s="33" t="e">
        <f>HLOOKUP(B1522,#REF!,1,0)</f>
        <v>#REF!</v>
      </c>
      <c r="M1522" s="33" t="str">
        <f t="shared" si="95"/>
        <v>BS</v>
      </c>
    </row>
    <row r="1523" spans="1:13" s="33" customFormat="true" ht="12.75" customHeight="true">
      <c r="A1523" s="33" t="str">
        <f t="shared" si="92"/>
        <v>SAT - Principal</v>
      </c>
      <c r="B1523" s="33" t="str">
        <f t="shared" si="93"/>
        <v>SAT</v>
      </c>
      <c r="C1523" s="33" t="str">
        <f t="shared" si="94"/>
        <v>28001-0000</v>
      </c>
      <c r="D1523" s="64" t="s">
        <v>1973</v>
      </c>
      <c r="E1523" s="64" t="s">
        <v>352</v>
      </c>
      <c r="F1523" s="64" t="s">
        <v>230</v>
      </c>
      <c r="G1523" s="64" t="s">
        <v>123</v>
      </c>
      <c r="H1523" s="64" t="s">
        <v>127</v>
      </c>
      <c r="I1523" s="64" t="s">
        <v>133</v>
      </c>
      <c r="J1523" s="67">
        <v>2094169.35</v>
      </c>
      <c r="K1523" s="62">
        <v>3356.8</v>
      </c>
      <c r="L1523" s="33" t="e">
        <f>HLOOKUP(B1523,#REF!,1,0)</f>
        <v>#REF!</v>
      </c>
      <c r="M1523" s="33" t="str">
        <f t="shared" si="95"/>
        <v>BS</v>
      </c>
    </row>
    <row r="1524" spans="1:13" s="33" customFormat="true" ht="12.75" customHeight="true">
      <c r="A1524" s="33" t="str">
        <f t="shared" si="92"/>
        <v>SAT - SH Dist</v>
      </c>
      <c r="B1524" s="33" t="str">
        <f t="shared" si="93"/>
        <v>SAT</v>
      </c>
      <c r="C1524" s="33" t="str">
        <f t="shared" si="94"/>
        <v>30700-0000</v>
      </c>
      <c r="D1524" s="64" t="s">
        <v>1974</v>
      </c>
      <c r="E1524" s="64" t="s">
        <v>319</v>
      </c>
      <c r="F1524" s="64" t="s">
        <v>230</v>
      </c>
      <c r="G1524" s="64" t="s">
        <v>142</v>
      </c>
      <c r="H1524" s="64" t="s">
        <v>143</v>
      </c>
      <c r="I1524" s="64" t="s">
        <v>144</v>
      </c>
      <c r="J1524" s="67">
        <v>0</v>
      </c>
      <c r="K1524" s="62">
        <v>190000</v>
      </c>
      <c r="L1524" s="33" t="e">
        <f>HLOOKUP(B1524,#REF!,1,0)</f>
        <v>#REF!</v>
      </c>
      <c r="M1524" s="33" t="str">
        <f t="shared" si="95"/>
        <v>BS</v>
      </c>
    </row>
    <row r="1525" spans="1:13" s="33" customFormat="true" ht="12.75" customHeight="true">
      <c r="A1525" s="33" t="str">
        <f t="shared" si="92"/>
        <v>SAT - Retained Earnings</v>
      </c>
      <c r="B1525" s="33" t="str">
        <f t="shared" si="93"/>
        <v>SAT</v>
      </c>
      <c r="C1525" s="33" t="str">
        <f t="shared" si="94"/>
        <v>32000-0000</v>
      </c>
      <c r="D1525" s="64" t="s">
        <v>1975</v>
      </c>
      <c r="E1525" s="64" t="s">
        <v>234</v>
      </c>
      <c r="F1525" s="64" t="s">
        <v>230</v>
      </c>
      <c r="G1525" s="64" t="s">
        <v>142</v>
      </c>
      <c r="H1525" s="64" t="s">
        <v>149</v>
      </c>
      <c r="I1525" s="64" t="s">
        <v>235</v>
      </c>
      <c r="J1525" s="67">
        <v>0</v>
      </c>
      <c r="K1525" s="62">
        <v>214530.87</v>
      </c>
      <c r="L1525" s="33" t="e">
        <f>HLOOKUP(B1525,#REF!,1,0)</f>
        <v>#REF!</v>
      </c>
      <c r="M1525" s="33" t="str">
        <f t="shared" si="95"/>
        <v>BS</v>
      </c>
    </row>
    <row r="1526" spans="1:13" s="33" customFormat="true" ht="12.75" customHeight="true">
      <c r="A1526" s="33" t="str">
        <f t="shared" si="92"/>
        <v>SC1 - Cash</v>
      </c>
      <c r="B1526" s="33" t="str">
        <f t="shared" si="93"/>
        <v>SC1</v>
      </c>
      <c r="C1526" s="33" t="str">
        <f t="shared" si="94"/>
        <v>10021-0000</v>
      </c>
      <c r="D1526" s="64" t="s">
        <v>1976</v>
      </c>
      <c r="E1526" s="64" t="s">
        <v>546</v>
      </c>
      <c r="F1526" s="64" t="s">
        <v>547</v>
      </c>
      <c r="G1526" s="64" t="s">
        <v>16</v>
      </c>
      <c r="H1526" s="64" t="s">
        <v>25</v>
      </c>
      <c r="I1526" s="64" t="s">
        <v>18</v>
      </c>
      <c r="J1526" s="67">
        <v>-3307.48</v>
      </c>
      <c r="K1526" s="62">
        <v>126116.26</v>
      </c>
      <c r="L1526" s="33" t="e">
        <f>HLOOKUP(B1526,#REF!,1,0)</f>
        <v>#REF!</v>
      </c>
      <c r="M1526" s="33" t="str">
        <f t="shared" si="95"/>
        <v>BS</v>
      </c>
    </row>
    <row r="1527" spans="1:13" s="33" customFormat="true" ht="12.75" customHeight="true">
      <c r="A1527" s="33" t="str">
        <f t="shared" si="92"/>
        <v>SC1 - Intercompany</v>
      </c>
      <c r="B1527" s="33" t="str">
        <f t="shared" si="93"/>
        <v>SC1</v>
      </c>
      <c r="C1527" s="33" t="str">
        <f t="shared" si="94"/>
        <v>11200-0000</v>
      </c>
      <c r="D1527" s="64" t="s">
        <v>1977</v>
      </c>
      <c r="E1527" s="64" t="s">
        <v>620</v>
      </c>
      <c r="F1527" s="64" t="s">
        <v>547</v>
      </c>
      <c r="G1527" s="64" t="s">
        <v>16</v>
      </c>
      <c r="H1527" s="64" t="s">
        <v>39</v>
      </c>
      <c r="I1527" s="64" t="s">
        <v>40</v>
      </c>
      <c r="J1527" s="67">
        <v>0</v>
      </c>
      <c r="K1527" s="62">
        <v>-0.01</v>
      </c>
      <c r="L1527" s="33" t="e">
        <f>HLOOKUP(B1527,#REF!,1,0)</f>
        <v>#REF!</v>
      </c>
      <c r="M1527" s="33" t="str">
        <f t="shared" si="95"/>
        <v>BS</v>
      </c>
    </row>
    <row r="1528" spans="1:13" s="33" customFormat="true" ht="12.75" customHeight="true">
      <c r="A1528" s="33" t="str">
        <f t="shared" si="92"/>
        <v>SC1 - Intercompany</v>
      </c>
      <c r="B1528" s="33" t="str">
        <f t="shared" si="93"/>
        <v>SC1</v>
      </c>
      <c r="C1528" s="33" t="str">
        <f t="shared" si="94"/>
        <v>11219-0000</v>
      </c>
      <c r="D1528" s="64" t="s">
        <v>1978</v>
      </c>
      <c r="E1528" s="64" t="s">
        <v>1979</v>
      </c>
      <c r="F1528" s="64" t="s">
        <v>547</v>
      </c>
      <c r="G1528" s="64" t="s">
        <v>16</v>
      </c>
      <c r="H1528" s="64" t="s">
        <v>39</v>
      </c>
      <c r="I1528" s="64" t="s">
        <v>40</v>
      </c>
      <c r="J1528" s="67">
        <v>1165.55</v>
      </c>
      <c r="K1528" s="62">
        <v>-30983.95</v>
      </c>
      <c r="L1528" s="33" t="e">
        <f>HLOOKUP(B1528,#REF!,1,0)</f>
        <v>#REF!</v>
      </c>
      <c r="M1528" s="33" t="str">
        <f t="shared" si="95"/>
        <v>BS</v>
      </c>
    </row>
    <row r="1529" spans="1:13" s="33" customFormat="true" ht="12.75" customHeight="true">
      <c r="A1529" s="33" t="str">
        <f t="shared" si="92"/>
        <v>SC1 - Intercompany</v>
      </c>
      <c r="B1529" s="33" t="str">
        <f t="shared" si="93"/>
        <v>SC1</v>
      </c>
      <c r="C1529" s="33" t="str">
        <f t="shared" si="94"/>
        <v>11221-0000</v>
      </c>
      <c r="D1529" s="64" t="s">
        <v>1980</v>
      </c>
      <c r="E1529" s="64" t="s">
        <v>1981</v>
      </c>
      <c r="F1529" s="64" t="s">
        <v>547</v>
      </c>
      <c r="G1529" s="64" t="s">
        <v>16</v>
      </c>
      <c r="H1529" s="64" t="s">
        <v>39</v>
      </c>
      <c r="I1529" s="64" t="s">
        <v>40</v>
      </c>
      <c r="J1529" s="67">
        <v>584.91</v>
      </c>
      <c r="K1529" s="62">
        <v>-15549.28</v>
      </c>
      <c r="L1529" s="33" t="e">
        <f>HLOOKUP(B1529,#REF!,1,0)</f>
        <v>#REF!</v>
      </c>
      <c r="M1529" s="33" t="str">
        <f t="shared" si="95"/>
        <v>BS</v>
      </c>
    </row>
    <row r="1530" spans="1:13" s="33" customFormat="true" ht="12.75" customHeight="true">
      <c r="A1530" s="33" t="str">
        <f t="shared" si="92"/>
        <v>SC1 - Intercompany</v>
      </c>
      <c r="B1530" s="33" t="str">
        <f t="shared" si="93"/>
        <v>SC1</v>
      </c>
      <c r="C1530" s="33" t="str">
        <f t="shared" si="94"/>
        <v>11232-0000</v>
      </c>
      <c r="D1530" s="64" t="s">
        <v>1982</v>
      </c>
      <c r="E1530" s="64" t="s">
        <v>1983</v>
      </c>
      <c r="F1530" s="64" t="s">
        <v>547</v>
      </c>
      <c r="G1530" s="64" t="s">
        <v>16</v>
      </c>
      <c r="H1530" s="64" t="s">
        <v>39</v>
      </c>
      <c r="I1530" s="64" t="s">
        <v>40</v>
      </c>
      <c r="J1530" s="67">
        <v>2053.73</v>
      </c>
      <c r="K1530" s="62">
        <v>-60394.35</v>
      </c>
      <c r="L1530" s="33" t="e">
        <f>HLOOKUP(B1530,#REF!,1,0)</f>
        <v>#REF!</v>
      </c>
      <c r="M1530" s="33" t="str">
        <f t="shared" si="95"/>
        <v>BS</v>
      </c>
    </row>
    <row r="1531" spans="1:13" s="33" customFormat="true" ht="12.75" customHeight="true">
      <c r="A1531" s="33" t="str">
        <f t="shared" si="92"/>
        <v>SC1 - Intercompany</v>
      </c>
      <c r="B1531" s="33" t="str">
        <f t="shared" si="93"/>
        <v>SC1</v>
      </c>
      <c r="C1531" s="33" t="str">
        <f t="shared" si="94"/>
        <v>11233-0000</v>
      </c>
      <c r="D1531" s="64" t="s">
        <v>1984</v>
      </c>
      <c r="E1531" s="64" t="s">
        <v>1985</v>
      </c>
      <c r="F1531" s="64" t="s">
        <v>547</v>
      </c>
      <c r="G1531" s="64" t="s">
        <v>16</v>
      </c>
      <c r="H1531" s="64" t="s">
        <v>39</v>
      </c>
      <c r="I1531" s="64" t="s">
        <v>40</v>
      </c>
      <c r="J1531" s="67">
        <v>1087.23</v>
      </c>
      <c r="K1531" s="62">
        <v>-29701.77</v>
      </c>
      <c r="L1531" s="33" t="e">
        <f>HLOOKUP(B1531,#REF!,1,0)</f>
        <v>#REF!</v>
      </c>
      <c r="M1531" s="33" t="str">
        <f t="shared" si="95"/>
        <v>BS</v>
      </c>
    </row>
    <row r="1532" spans="1:13" s="33" customFormat="true" ht="12.75" customHeight="true">
      <c r="A1532" s="33" t="str">
        <f t="shared" si="92"/>
        <v>SC1 - Intercompany</v>
      </c>
      <c r="B1532" s="33" t="str">
        <f t="shared" si="93"/>
        <v>SC1</v>
      </c>
      <c r="C1532" s="33" t="str">
        <f t="shared" si="94"/>
        <v>11234-0000</v>
      </c>
      <c r="D1532" s="64" t="s">
        <v>1986</v>
      </c>
      <c r="E1532" s="64" t="s">
        <v>1987</v>
      </c>
      <c r="F1532" s="64" t="s">
        <v>547</v>
      </c>
      <c r="G1532" s="64" t="s">
        <v>16</v>
      </c>
      <c r="H1532" s="64" t="s">
        <v>39</v>
      </c>
      <c r="I1532" s="64" t="s">
        <v>40</v>
      </c>
      <c r="J1532" s="67">
        <v>738.71</v>
      </c>
      <c r="K1532" s="62">
        <v>-20437.15</v>
      </c>
      <c r="L1532" s="33" t="e">
        <f>HLOOKUP(B1532,#REF!,1,0)</f>
        <v>#REF!</v>
      </c>
      <c r="M1532" s="33" t="str">
        <f t="shared" si="95"/>
        <v>BS</v>
      </c>
    </row>
    <row r="1533" spans="1:13" s="33" customFormat="true" ht="12.75" customHeight="true">
      <c r="A1533" s="33" t="str">
        <f t="shared" si="92"/>
        <v>SC1 - Fixed Assets</v>
      </c>
      <c r="B1533" s="33" t="str">
        <f t="shared" si="93"/>
        <v>SC1</v>
      </c>
      <c r="C1533" s="33" t="str">
        <f t="shared" si="94"/>
        <v>16401-7352</v>
      </c>
      <c r="D1533" s="64" t="s">
        <v>1988</v>
      </c>
      <c r="E1533" s="64" t="s">
        <v>551</v>
      </c>
      <c r="F1533" s="64" t="s">
        <v>547</v>
      </c>
      <c r="G1533" s="64" t="s">
        <v>62</v>
      </c>
      <c r="H1533" s="64" t="s">
        <v>63</v>
      </c>
      <c r="I1533" s="64" t="s">
        <v>64</v>
      </c>
      <c r="J1533" s="67">
        <v>0</v>
      </c>
      <c r="K1533" s="62">
        <v>130895</v>
      </c>
      <c r="L1533" s="33" t="e">
        <f>HLOOKUP(B1533,#REF!,1,0)</f>
        <v>#REF!</v>
      </c>
      <c r="M1533" s="33" t="str">
        <f t="shared" si="95"/>
        <v>BS</v>
      </c>
    </row>
    <row r="1534" spans="1:13" s="33" customFormat="true" ht="12.75" customHeight="true">
      <c r="A1534" s="33" t="str">
        <f t="shared" si="92"/>
        <v>SC1 - Fixed Assets</v>
      </c>
      <c r="B1534" s="33" t="str">
        <f t="shared" si="93"/>
        <v>SC1</v>
      </c>
      <c r="C1534" s="33" t="str">
        <f t="shared" si="94"/>
        <v>16401-7361</v>
      </c>
      <c r="D1534" s="64" t="s">
        <v>1989</v>
      </c>
      <c r="E1534" s="64" t="s">
        <v>551</v>
      </c>
      <c r="F1534" s="64" t="s">
        <v>547</v>
      </c>
      <c r="G1534" s="64" t="s">
        <v>62</v>
      </c>
      <c r="H1534" s="64" t="s">
        <v>63</v>
      </c>
      <c r="I1534" s="64" t="s">
        <v>64</v>
      </c>
      <c r="J1534" s="67">
        <v>0</v>
      </c>
      <c r="K1534" s="62">
        <v>677525.68</v>
      </c>
      <c r="L1534" s="33" t="e">
        <f>HLOOKUP(B1534,#REF!,1,0)</f>
        <v>#REF!</v>
      </c>
      <c r="M1534" s="33" t="str">
        <f t="shared" si="95"/>
        <v>BS</v>
      </c>
    </row>
    <row r="1535" spans="1:13" s="33" customFormat="true" ht="12.75" customHeight="true">
      <c r="A1535" s="33" t="str">
        <f t="shared" si="92"/>
        <v>SC1 - Fixed Assets</v>
      </c>
      <c r="B1535" s="33" t="str">
        <f t="shared" si="93"/>
        <v>SC1</v>
      </c>
      <c r="C1535" s="33" t="str">
        <f t="shared" si="94"/>
        <v>16401-7365</v>
      </c>
      <c r="D1535" s="64" t="s">
        <v>1990</v>
      </c>
      <c r="E1535" s="64" t="s">
        <v>551</v>
      </c>
      <c r="F1535" s="64" t="s">
        <v>547</v>
      </c>
      <c r="G1535" s="64" t="s">
        <v>62</v>
      </c>
      <c r="H1535" s="64" t="s">
        <v>63</v>
      </c>
      <c r="I1535" s="64" t="s">
        <v>64</v>
      </c>
      <c r="J1535" s="67">
        <v>0</v>
      </c>
      <c r="K1535" s="62">
        <v>510000</v>
      </c>
      <c r="L1535" s="33" t="e">
        <f>HLOOKUP(B1535,#REF!,1,0)</f>
        <v>#REF!</v>
      </c>
      <c r="M1535" s="33" t="str">
        <f t="shared" si="95"/>
        <v>BS</v>
      </c>
    </row>
    <row r="1536" spans="1:13" s="33" customFormat="true" ht="12.75" customHeight="true">
      <c r="A1536" s="33" t="str">
        <f t="shared" si="92"/>
        <v>SC1 - Fixed Assets</v>
      </c>
      <c r="B1536" s="33" t="str">
        <f t="shared" si="93"/>
        <v>SC1</v>
      </c>
      <c r="C1536" s="33" t="str">
        <f t="shared" si="94"/>
        <v>16501-7352</v>
      </c>
      <c r="D1536" s="64" t="s">
        <v>1991</v>
      </c>
      <c r="E1536" s="64" t="s">
        <v>298</v>
      </c>
      <c r="F1536" s="64" t="s">
        <v>547</v>
      </c>
      <c r="G1536" s="64" t="s">
        <v>62</v>
      </c>
      <c r="H1536" s="64" t="s">
        <v>63</v>
      </c>
      <c r="I1536" s="64" t="s">
        <v>64</v>
      </c>
      <c r="J1536" s="67">
        <v>0</v>
      </c>
      <c r="K1536" s="62">
        <v>153660</v>
      </c>
      <c r="L1536" s="33" t="e">
        <f>HLOOKUP(B1536,#REF!,1,0)</f>
        <v>#REF!</v>
      </c>
      <c r="M1536" s="33" t="str">
        <f t="shared" si="95"/>
        <v>BS</v>
      </c>
    </row>
    <row r="1537" spans="1:13" s="33" customFormat="true" ht="12.75" customHeight="true">
      <c r="A1537" s="33" t="str">
        <f t="shared" si="92"/>
        <v>SC1 - Fixed Assets</v>
      </c>
      <c r="B1537" s="33" t="str">
        <f t="shared" si="93"/>
        <v>SC1</v>
      </c>
      <c r="C1537" s="33" t="str">
        <f t="shared" si="94"/>
        <v>16501-7361</v>
      </c>
      <c r="D1537" s="64" t="s">
        <v>1992</v>
      </c>
      <c r="E1537" s="64" t="s">
        <v>298</v>
      </c>
      <c r="F1537" s="64" t="s">
        <v>547</v>
      </c>
      <c r="G1537" s="64" t="s">
        <v>62</v>
      </c>
      <c r="H1537" s="64" t="s">
        <v>63</v>
      </c>
      <c r="I1537" s="64" t="s">
        <v>64</v>
      </c>
      <c r="J1537" s="67">
        <v>0</v>
      </c>
      <c r="K1537" s="62">
        <v>240000</v>
      </c>
      <c r="L1537" s="33" t="e">
        <f>HLOOKUP(B1537,#REF!,1,0)</f>
        <v>#REF!</v>
      </c>
      <c r="M1537" s="33" t="str">
        <f t="shared" si="95"/>
        <v>BS</v>
      </c>
    </row>
    <row r="1538" spans="1:13" s="33" customFormat="true" ht="12.75" customHeight="true">
      <c r="A1538" s="33" t="str">
        <f t="shared" ref="A1538:A1601" si="96">B1538&amp;" - "&amp;TRIM(H1538)</f>
        <v>SC1 - Fixed Assets</v>
      </c>
      <c r="B1538" s="33" t="str">
        <f t="shared" ref="B1538:B1601" si="97">LEFT(D1538,3)</f>
        <v>SC1</v>
      </c>
      <c r="C1538" s="33" t="str">
        <f t="shared" ref="C1538:C1601" si="98">RIGHT(D1538,10)</f>
        <v>16501-7365</v>
      </c>
      <c r="D1538" s="64" t="s">
        <v>1993</v>
      </c>
      <c r="E1538" s="64" t="s">
        <v>298</v>
      </c>
      <c r="F1538" s="64" t="s">
        <v>547</v>
      </c>
      <c r="G1538" s="64" t="s">
        <v>62</v>
      </c>
      <c r="H1538" s="64" t="s">
        <v>63</v>
      </c>
      <c r="I1538" s="64" t="s">
        <v>64</v>
      </c>
      <c r="J1538" s="67">
        <v>0</v>
      </c>
      <c r="K1538" s="62">
        <v>720000</v>
      </c>
      <c r="L1538" s="33" t="e">
        <f>HLOOKUP(B1538,#REF!,1,0)</f>
        <v>#REF!</v>
      </c>
      <c r="M1538" s="33" t="str">
        <f t="shared" ref="M1538:M1601" si="99">IF(VALUE(LEFT(C1538,5))&gt;40000,"P&amp;L","BS")</f>
        <v>BS</v>
      </c>
    </row>
    <row r="1539" spans="1:13" s="33" customFormat="true" ht="12.75" customHeight="true">
      <c r="A1539" s="33" t="str">
        <f t="shared" si="96"/>
        <v>SC1 - Fixed Assets</v>
      </c>
      <c r="B1539" s="33" t="str">
        <f t="shared" si="97"/>
        <v>SC1</v>
      </c>
      <c r="C1539" s="33" t="str">
        <f t="shared" si="98"/>
        <v>16601-7352</v>
      </c>
      <c r="D1539" s="64" t="s">
        <v>1994</v>
      </c>
      <c r="E1539" s="64" t="s">
        <v>1995</v>
      </c>
      <c r="F1539" s="64" t="s">
        <v>547</v>
      </c>
      <c r="G1539" s="64" t="s">
        <v>62</v>
      </c>
      <c r="H1539" s="64" t="s">
        <v>63</v>
      </c>
      <c r="I1539" s="64" t="s">
        <v>64</v>
      </c>
      <c r="J1539" s="67">
        <v>0</v>
      </c>
      <c r="K1539" s="62">
        <v>40060.84</v>
      </c>
      <c r="L1539" s="33" t="e">
        <f>HLOOKUP(B1539,#REF!,1,0)</f>
        <v>#REF!</v>
      </c>
      <c r="M1539" s="33" t="str">
        <f t="shared" si="99"/>
        <v>BS</v>
      </c>
    </row>
    <row r="1540" spans="1:13" s="33" customFormat="true" ht="12.75" customHeight="true">
      <c r="A1540" s="33" t="str">
        <f t="shared" si="96"/>
        <v>SC1 - Fixed Assets</v>
      </c>
      <c r="B1540" s="33" t="str">
        <f t="shared" si="97"/>
        <v>SC1</v>
      </c>
      <c r="C1540" s="33" t="str">
        <f t="shared" si="98"/>
        <v>16601-7365</v>
      </c>
      <c r="D1540" s="64" t="s">
        <v>1996</v>
      </c>
      <c r="E1540" s="64" t="s">
        <v>1995</v>
      </c>
      <c r="F1540" s="64" t="s">
        <v>547</v>
      </c>
      <c r="G1540" s="64" t="s">
        <v>62</v>
      </c>
      <c r="H1540" s="64" t="s">
        <v>63</v>
      </c>
      <c r="I1540" s="64" t="s">
        <v>64</v>
      </c>
      <c r="J1540" s="67">
        <v>0</v>
      </c>
      <c r="K1540" s="62">
        <v>282613.41</v>
      </c>
      <c r="L1540" s="33" t="e">
        <f>HLOOKUP(B1540,#REF!,1,0)</f>
        <v>#REF!</v>
      </c>
      <c r="M1540" s="33" t="str">
        <f t="shared" si="99"/>
        <v>BS</v>
      </c>
    </row>
    <row r="1541" spans="1:13" s="33" customFormat="true" ht="12.75" customHeight="true">
      <c r="A1541" s="33" t="str">
        <f t="shared" si="96"/>
        <v>SC1 - Fixed Assets</v>
      </c>
      <c r="B1541" s="33" t="str">
        <f t="shared" si="97"/>
        <v>SC1</v>
      </c>
      <c r="C1541" s="33" t="str">
        <f t="shared" si="98"/>
        <v>16901-0000</v>
      </c>
      <c r="D1541" s="64" t="s">
        <v>1997</v>
      </c>
      <c r="E1541" s="64" t="s">
        <v>993</v>
      </c>
      <c r="F1541" s="64" t="s">
        <v>547</v>
      </c>
      <c r="G1541" s="64" t="s">
        <v>62</v>
      </c>
      <c r="H1541" s="64" t="s">
        <v>63</v>
      </c>
      <c r="I1541" s="64" t="s">
        <v>64</v>
      </c>
      <c r="J1541" s="67">
        <v>0</v>
      </c>
      <c r="K1541" s="62">
        <v>-1154199</v>
      </c>
      <c r="L1541" s="33" t="e">
        <f>HLOOKUP(B1541,#REF!,1,0)</f>
        <v>#REF!</v>
      </c>
      <c r="M1541" s="33" t="str">
        <f t="shared" si="99"/>
        <v>BS</v>
      </c>
    </row>
    <row r="1542" spans="1:13" s="33" customFormat="true" ht="12.75" customHeight="true">
      <c r="A1542" s="33" t="str">
        <f t="shared" si="96"/>
        <v>SC1 - Fixed Assets</v>
      </c>
      <c r="B1542" s="33" t="str">
        <f t="shared" si="97"/>
        <v>SC1</v>
      </c>
      <c r="C1542" s="33" t="str">
        <f t="shared" si="98"/>
        <v>18502-0000</v>
      </c>
      <c r="D1542" s="64" t="s">
        <v>1998</v>
      </c>
      <c r="E1542" s="64" t="s">
        <v>304</v>
      </c>
      <c r="F1542" s="64" t="s">
        <v>547</v>
      </c>
      <c r="G1542" s="64" t="s">
        <v>62</v>
      </c>
      <c r="H1542" s="64" t="s">
        <v>63</v>
      </c>
      <c r="I1542" s="64" t="s">
        <v>81</v>
      </c>
      <c r="J1542" s="67">
        <v>0</v>
      </c>
      <c r="K1542" s="62">
        <v>16299.12</v>
      </c>
      <c r="L1542" s="33" t="e">
        <f>HLOOKUP(B1542,#REF!,1,0)</f>
        <v>#REF!</v>
      </c>
      <c r="M1542" s="33" t="str">
        <f t="shared" si="99"/>
        <v>BS</v>
      </c>
    </row>
    <row r="1543" spans="1:13" s="33" customFormat="true" ht="12.75" customHeight="true">
      <c r="A1543" s="33" t="str">
        <f t="shared" si="96"/>
        <v>SC1 - AP-Accr Exp</v>
      </c>
      <c r="B1543" s="33" t="str">
        <f t="shared" si="97"/>
        <v>SC1</v>
      </c>
      <c r="C1543" s="33" t="str">
        <f t="shared" si="98"/>
        <v>20001-0000</v>
      </c>
      <c r="D1543" s="64" t="s">
        <v>1999</v>
      </c>
      <c r="E1543" s="64" t="s">
        <v>96</v>
      </c>
      <c r="F1543" s="64" t="s">
        <v>547</v>
      </c>
      <c r="G1543" s="64" t="s">
        <v>97</v>
      </c>
      <c r="H1543" s="64" t="s">
        <v>98</v>
      </c>
      <c r="I1543" s="64" t="s">
        <v>99</v>
      </c>
      <c r="J1543" s="67">
        <v>0</v>
      </c>
      <c r="K1543" s="62">
        <v>0</v>
      </c>
      <c r="L1543" s="33" t="e">
        <f>HLOOKUP(B1543,#REF!,1,0)</f>
        <v>#REF!</v>
      </c>
      <c r="M1543" s="33" t="str">
        <f t="shared" si="99"/>
        <v>BS</v>
      </c>
    </row>
    <row r="1544" spans="1:13" s="33" customFormat="true" ht="12.75" customHeight="true">
      <c r="A1544" s="33" t="str">
        <f t="shared" si="96"/>
        <v>SC1 - AP-Accr Exp</v>
      </c>
      <c r="B1544" s="33" t="str">
        <f t="shared" si="97"/>
        <v>SC1</v>
      </c>
      <c r="C1544" s="33" t="str">
        <f t="shared" si="98"/>
        <v>20100-0000</v>
      </c>
      <c r="D1544" s="64" t="s">
        <v>2000</v>
      </c>
      <c r="E1544" s="64" t="s">
        <v>96</v>
      </c>
      <c r="F1544" s="64" t="s">
        <v>547</v>
      </c>
      <c r="G1544" s="64" t="s">
        <v>97</v>
      </c>
      <c r="H1544" s="64" t="s">
        <v>98</v>
      </c>
      <c r="I1544" s="64" t="s">
        <v>99</v>
      </c>
      <c r="J1544" s="67">
        <v>0</v>
      </c>
      <c r="K1544" s="62">
        <v>-509</v>
      </c>
      <c r="L1544" s="33" t="e">
        <f>HLOOKUP(B1544,#REF!,1,0)</f>
        <v>#REF!</v>
      </c>
      <c r="M1544" s="33" t="str">
        <f t="shared" si="99"/>
        <v>BS</v>
      </c>
    </row>
    <row r="1545" spans="1:13" s="33" customFormat="true" ht="12.75" customHeight="true">
      <c r="A1545" s="33" t="str">
        <f t="shared" si="96"/>
        <v>SC1 - Tax Accr</v>
      </c>
      <c r="B1545" s="33" t="str">
        <f t="shared" si="97"/>
        <v>SC1</v>
      </c>
      <c r="C1545" s="33" t="str">
        <f t="shared" si="98"/>
        <v>24001-0000</v>
      </c>
      <c r="D1545" s="64" t="s">
        <v>2001</v>
      </c>
      <c r="E1545" s="64" t="s">
        <v>748</v>
      </c>
      <c r="F1545" s="64" t="s">
        <v>547</v>
      </c>
      <c r="G1545" s="64" t="s">
        <v>97</v>
      </c>
      <c r="H1545" s="64" t="s">
        <v>105</v>
      </c>
      <c r="I1545" s="64" t="s">
        <v>102</v>
      </c>
      <c r="J1545" s="67">
        <v>0</v>
      </c>
      <c r="K1545" s="62">
        <v>-1700</v>
      </c>
      <c r="L1545" s="33" t="e">
        <f>HLOOKUP(B1545,#REF!,1,0)</f>
        <v>#REF!</v>
      </c>
      <c r="M1545" s="33" t="str">
        <f t="shared" si="99"/>
        <v>BS</v>
      </c>
    </row>
    <row r="1546" spans="1:13" s="33" customFormat="true" ht="12.75" customHeight="true">
      <c r="A1546" s="33" t="str">
        <f t="shared" si="96"/>
        <v>SC1 - AP-Accr Exp</v>
      </c>
      <c r="B1546" s="33" t="str">
        <f t="shared" si="97"/>
        <v>SC1</v>
      </c>
      <c r="C1546" s="33" t="str">
        <f t="shared" si="98"/>
        <v>24501-0000</v>
      </c>
      <c r="D1546" s="64" t="s">
        <v>2002</v>
      </c>
      <c r="E1546" s="64" t="s">
        <v>560</v>
      </c>
      <c r="F1546" s="64" t="s">
        <v>547</v>
      </c>
      <c r="G1546" s="64" t="s">
        <v>97</v>
      </c>
      <c r="H1546" s="64" t="s">
        <v>98</v>
      </c>
      <c r="I1546" s="64" t="s">
        <v>128</v>
      </c>
      <c r="J1546" s="67">
        <v>0</v>
      </c>
      <c r="K1546" s="62">
        <v>-17905.26</v>
      </c>
      <c r="L1546" s="33" t="e">
        <f>HLOOKUP(B1546,#REF!,1,0)</f>
        <v>#REF!</v>
      </c>
      <c r="M1546" s="33" t="str">
        <f t="shared" si="99"/>
        <v>BS</v>
      </c>
    </row>
    <row r="1547" spans="1:13" s="33" customFormat="true" ht="12.75" customHeight="true">
      <c r="A1547" s="33" t="str">
        <f t="shared" si="96"/>
        <v>SC1 - AP-Accr Exp</v>
      </c>
      <c r="B1547" s="33" t="str">
        <f t="shared" si="97"/>
        <v>SC1</v>
      </c>
      <c r="C1547" s="33" t="str">
        <f t="shared" si="98"/>
        <v>25500-0000</v>
      </c>
      <c r="D1547" s="64" t="s">
        <v>2003</v>
      </c>
      <c r="E1547" s="64" t="s">
        <v>122</v>
      </c>
      <c r="F1547" s="64" t="s">
        <v>562</v>
      </c>
      <c r="G1547" s="64" t="s">
        <v>123</v>
      </c>
      <c r="H1547" s="64" t="s">
        <v>98</v>
      </c>
      <c r="I1547" s="64" t="s">
        <v>124</v>
      </c>
      <c r="J1547" s="67">
        <v>0</v>
      </c>
      <c r="K1547" s="62">
        <v>221145</v>
      </c>
      <c r="L1547" s="33" t="e">
        <f>HLOOKUP(B1547,#REF!,1,0)</f>
        <v>#REF!</v>
      </c>
      <c r="M1547" s="33" t="str">
        <f t="shared" si="99"/>
        <v>BS</v>
      </c>
    </row>
    <row r="1548" spans="1:13" s="33" customFormat="true" ht="12.75" customHeight="true">
      <c r="A1548" s="33" t="str">
        <f t="shared" si="96"/>
        <v>SC1 - Principal</v>
      </c>
      <c r="B1548" s="33" t="str">
        <f t="shared" si="97"/>
        <v>SC1</v>
      </c>
      <c r="C1548" s="33" t="str">
        <f t="shared" si="98"/>
        <v>26001-0000</v>
      </c>
      <c r="D1548" s="64" t="s">
        <v>2004</v>
      </c>
      <c r="E1548" s="64" t="s">
        <v>126</v>
      </c>
      <c r="F1548" s="64" t="s">
        <v>547</v>
      </c>
      <c r="G1548" s="64" t="s">
        <v>97</v>
      </c>
      <c r="H1548" s="64" t="s">
        <v>127</v>
      </c>
      <c r="I1548" s="64" t="s">
        <v>128</v>
      </c>
      <c r="J1548" s="67">
        <v>0</v>
      </c>
      <c r="K1548" s="62">
        <v>-103697.15</v>
      </c>
      <c r="L1548" s="33" t="e">
        <f>HLOOKUP(B1548,#REF!,1,0)</f>
        <v>#REF!</v>
      </c>
      <c r="M1548" s="33" t="str">
        <f t="shared" si="99"/>
        <v>BS</v>
      </c>
    </row>
    <row r="1549" spans="1:13" s="33" customFormat="true" ht="12.75" customHeight="true">
      <c r="A1549" s="33" t="str">
        <f t="shared" si="96"/>
        <v>SC1 - Principal</v>
      </c>
      <c r="B1549" s="33" t="str">
        <f t="shared" si="97"/>
        <v>SC1</v>
      </c>
      <c r="C1549" s="33" t="str">
        <f t="shared" si="98"/>
        <v>28001-0000</v>
      </c>
      <c r="D1549" s="64" t="s">
        <v>2005</v>
      </c>
      <c r="E1549" s="64" t="s">
        <v>505</v>
      </c>
      <c r="F1549" s="64" t="s">
        <v>547</v>
      </c>
      <c r="G1549" s="64" t="s">
        <v>123</v>
      </c>
      <c r="H1549" s="64" t="s">
        <v>127</v>
      </c>
      <c r="I1549" s="64" t="s">
        <v>133</v>
      </c>
      <c r="J1549" s="67">
        <v>0</v>
      </c>
      <c r="K1549" s="62">
        <v>-0.01</v>
      </c>
      <c r="L1549" s="33" t="e">
        <f>HLOOKUP(B1549,#REF!,1,0)</f>
        <v>#REF!</v>
      </c>
      <c r="M1549" s="33" t="str">
        <f t="shared" si="99"/>
        <v>BS</v>
      </c>
    </row>
    <row r="1550" spans="1:13" s="33" customFormat="true" ht="12.75" customHeight="true">
      <c r="A1550" s="33" t="str">
        <f t="shared" si="96"/>
        <v>SC1 - Principal</v>
      </c>
      <c r="B1550" s="33" t="str">
        <f t="shared" si="97"/>
        <v>SC1</v>
      </c>
      <c r="C1550" s="33" t="str">
        <f t="shared" si="98"/>
        <v>28003-0000</v>
      </c>
      <c r="D1550" s="64" t="s">
        <v>2006</v>
      </c>
      <c r="E1550" s="64" t="s">
        <v>565</v>
      </c>
      <c r="F1550" s="64" t="s">
        <v>547</v>
      </c>
      <c r="G1550" s="64" t="s">
        <v>123</v>
      </c>
      <c r="H1550" s="64" t="s">
        <v>127</v>
      </c>
      <c r="I1550" s="64" t="s">
        <v>133</v>
      </c>
      <c r="J1550" s="67">
        <v>9157.27</v>
      </c>
      <c r="K1550" s="62">
        <v>-3785925.36</v>
      </c>
      <c r="L1550" s="33" t="e">
        <f>HLOOKUP(B1550,#REF!,1,0)</f>
        <v>#REF!</v>
      </c>
      <c r="M1550" s="33" t="str">
        <f t="shared" si="99"/>
        <v>BS</v>
      </c>
    </row>
    <row r="1551" spans="1:13" s="33" customFormat="true" ht="12.75" customHeight="true">
      <c r="A1551" s="33" t="str">
        <f t="shared" si="96"/>
        <v>SC1 - Principal</v>
      </c>
      <c r="B1551" s="33" t="str">
        <f t="shared" si="97"/>
        <v>SC1</v>
      </c>
      <c r="C1551" s="33" t="str">
        <f t="shared" si="98"/>
        <v>28801-0000</v>
      </c>
      <c r="D1551" s="64" t="s">
        <v>2007</v>
      </c>
      <c r="E1551" s="64" t="s">
        <v>567</v>
      </c>
      <c r="F1551" s="64" t="s">
        <v>547</v>
      </c>
      <c r="G1551" s="64" t="s">
        <v>123</v>
      </c>
      <c r="H1551" s="64" t="s">
        <v>127</v>
      </c>
      <c r="I1551" s="64" t="s">
        <v>102</v>
      </c>
      <c r="J1551" s="67">
        <v>0</v>
      </c>
      <c r="K1551" s="62">
        <v>-363451.27</v>
      </c>
      <c r="L1551" s="33" t="e">
        <f>HLOOKUP(B1551,#REF!,1,0)</f>
        <v>#REF!</v>
      </c>
      <c r="M1551" s="33" t="str">
        <f t="shared" si="99"/>
        <v>BS</v>
      </c>
    </row>
    <row r="1552" spans="1:13" s="33" customFormat="true" ht="12.75" customHeight="true">
      <c r="A1552" s="33" t="str">
        <f t="shared" si="96"/>
        <v>SC1 - Principal</v>
      </c>
      <c r="B1552" s="33" t="str">
        <f t="shared" si="97"/>
        <v>SC1</v>
      </c>
      <c r="C1552" s="33" t="str">
        <f t="shared" si="98"/>
        <v>28802-0000</v>
      </c>
      <c r="D1552" s="64" t="s">
        <v>2008</v>
      </c>
      <c r="E1552" s="64" t="s">
        <v>569</v>
      </c>
      <c r="F1552" s="64" t="s">
        <v>547</v>
      </c>
      <c r="G1552" s="64" t="s">
        <v>123</v>
      </c>
      <c r="H1552" s="64" t="s">
        <v>127</v>
      </c>
      <c r="I1552" s="64" t="s">
        <v>102</v>
      </c>
      <c r="J1552" s="67">
        <v>0</v>
      </c>
      <c r="K1552" s="62">
        <v>363451.27</v>
      </c>
      <c r="L1552" s="33" t="e">
        <f>HLOOKUP(B1552,#REF!,1,0)</f>
        <v>#REF!</v>
      </c>
      <c r="M1552" s="33" t="str">
        <f t="shared" si="99"/>
        <v>BS</v>
      </c>
    </row>
    <row r="1553" spans="1:13" s="33" customFormat="true" ht="12.75" customHeight="true">
      <c r="A1553" s="33" t="str">
        <f t="shared" si="96"/>
        <v>SC1 - Retained Earnings</v>
      </c>
      <c r="B1553" s="33" t="str">
        <f t="shared" si="97"/>
        <v>SC1</v>
      </c>
      <c r="C1553" s="33" t="str">
        <f t="shared" si="98"/>
        <v>32000-0000</v>
      </c>
      <c r="D1553" s="64" t="s">
        <v>2009</v>
      </c>
      <c r="E1553" s="64" t="s">
        <v>234</v>
      </c>
      <c r="F1553" s="64" t="s">
        <v>547</v>
      </c>
      <c r="G1553" s="64" t="s">
        <v>142</v>
      </c>
      <c r="H1553" s="64" t="s">
        <v>149</v>
      </c>
      <c r="I1553" s="64" t="s">
        <v>150</v>
      </c>
      <c r="J1553" s="67">
        <v>0</v>
      </c>
      <c r="K1553" s="62">
        <v>2160494.47</v>
      </c>
      <c r="L1553" s="33" t="e">
        <f>HLOOKUP(B1553,#REF!,1,0)</f>
        <v>#REF!</v>
      </c>
      <c r="M1553" s="33" t="str">
        <f t="shared" si="99"/>
        <v>BS</v>
      </c>
    </row>
    <row r="1554" spans="1:13" s="33" customFormat="true" ht="12.75" customHeight="true">
      <c r="A1554" s="33" t="str">
        <f t="shared" si="96"/>
        <v>SC1 - SH Dist</v>
      </c>
      <c r="B1554" s="33" t="str">
        <f t="shared" si="97"/>
        <v>SC1</v>
      </c>
      <c r="C1554" s="33" t="str">
        <f t="shared" si="98"/>
        <v>37001-0000</v>
      </c>
      <c r="D1554" s="64" t="s">
        <v>2010</v>
      </c>
      <c r="E1554" s="64" t="s">
        <v>572</v>
      </c>
      <c r="F1554" s="64" t="s">
        <v>547</v>
      </c>
      <c r="G1554" s="64" t="s">
        <v>142</v>
      </c>
      <c r="H1554" s="64" t="s">
        <v>143</v>
      </c>
      <c r="I1554" s="64" t="s">
        <v>144</v>
      </c>
      <c r="J1554" s="67">
        <v>0</v>
      </c>
      <c r="K1554" s="62">
        <v>60000</v>
      </c>
      <c r="L1554" s="33" t="e">
        <f>HLOOKUP(B1554,#REF!,1,0)</f>
        <v>#REF!</v>
      </c>
      <c r="M1554" s="33" t="str">
        <f t="shared" si="99"/>
        <v>BS</v>
      </c>
    </row>
    <row r="1555" spans="1:13" s="33" customFormat="true" ht="12.75" customHeight="true">
      <c r="A1555" s="33" t="str">
        <f t="shared" si="96"/>
        <v>SC2 - Cash</v>
      </c>
      <c r="B1555" s="33" t="str">
        <f t="shared" si="97"/>
        <v>SC2</v>
      </c>
      <c r="C1555" s="33" t="str">
        <f t="shared" si="98"/>
        <v>10021-0000</v>
      </c>
      <c r="D1555" s="64" t="s">
        <v>2011</v>
      </c>
      <c r="E1555" s="64" t="s">
        <v>546</v>
      </c>
      <c r="F1555" s="64" t="s">
        <v>547</v>
      </c>
      <c r="G1555" s="64" t="s">
        <v>16</v>
      </c>
      <c r="H1555" s="64" t="s">
        <v>25</v>
      </c>
      <c r="I1555" s="64" t="s">
        <v>18</v>
      </c>
      <c r="J1555" s="67">
        <v>1175.58</v>
      </c>
      <c r="K1555" s="62">
        <v>5300.13</v>
      </c>
      <c r="L1555" s="33" t="e">
        <f>HLOOKUP(B1555,#REF!,1,0)</f>
        <v>#REF!</v>
      </c>
      <c r="M1555" s="33" t="str">
        <f t="shared" si="99"/>
        <v>BS</v>
      </c>
    </row>
    <row r="1556" spans="1:13" s="33" customFormat="true" ht="12.75" customHeight="true">
      <c r="A1556" s="33" t="str">
        <f t="shared" si="96"/>
        <v>SC2 - Intercompany</v>
      </c>
      <c r="B1556" s="33" t="str">
        <f t="shared" si="97"/>
        <v>SC2</v>
      </c>
      <c r="C1556" s="33" t="str">
        <f t="shared" si="98"/>
        <v>11231-0000</v>
      </c>
      <c r="D1556" s="64" t="s">
        <v>2012</v>
      </c>
      <c r="E1556" s="64" t="s">
        <v>549</v>
      </c>
      <c r="F1556" s="64" t="s">
        <v>547</v>
      </c>
      <c r="G1556" s="64" t="s">
        <v>16</v>
      </c>
      <c r="H1556" s="64" t="s">
        <v>39</v>
      </c>
      <c r="I1556" s="64" t="s">
        <v>40</v>
      </c>
      <c r="J1556" s="67">
        <v>-2053.73</v>
      </c>
      <c r="K1556" s="62">
        <v>60144.09</v>
      </c>
      <c r="L1556" s="33" t="e">
        <f>HLOOKUP(B1556,#REF!,1,0)</f>
        <v>#REF!</v>
      </c>
      <c r="M1556" s="33" t="str">
        <f t="shared" si="99"/>
        <v>BS</v>
      </c>
    </row>
    <row r="1557" spans="1:13" s="33" customFormat="true" ht="12.75" customHeight="true">
      <c r="A1557" s="33" t="str">
        <f t="shared" si="96"/>
        <v>SC2 - Fixed Assets</v>
      </c>
      <c r="B1557" s="33" t="str">
        <f t="shared" si="97"/>
        <v>SC2</v>
      </c>
      <c r="C1557" s="33" t="str">
        <f t="shared" si="98"/>
        <v>16401-7364</v>
      </c>
      <c r="D1557" s="64" t="s">
        <v>2013</v>
      </c>
      <c r="E1557" s="64" t="s">
        <v>551</v>
      </c>
      <c r="F1557" s="64" t="s">
        <v>547</v>
      </c>
      <c r="G1557" s="64" t="s">
        <v>62</v>
      </c>
      <c r="H1557" s="64" t="s">
        <v>63</v>
      </c>
      <c r="I1557" s="64" t="s">
        <v>64</v>
      </c>
      <c r="J1557" s="67">
        <v>0</v>
      </c>
      <c r="K1557" s="62">
        <v>0</v>
      </c>
      <c r="L1557" s="33" t="e">
        <f>HLOOKUP(B1557,#REF!,1,0)</f>
        <v>#REF!</v>
      </c>
      <c r="M1557" s="33" t="str">
        <f t="shared" si="99"/>
        <v>BS</v>
      </c>
    </row>
    <row r="1558" spans="1:13" s="33" customFormat="true" ht="12.75" customHeight="true">
      <c r="A1558" s="33" t="str">
        <f t="shared" si="96"/>
        <v>SC2 - Fixed Assets</v>
      </c>
      <c r="B1558" s="33" t="str">
        <f t="shared" si="97"/>
        <v>SC2</v>
      </c>
      <c r="C1558" s="33" t="str">
        <f t="shared" si="98"/>
        <v>16401-7489</v>
      </c>
      <c r="D1558" s="64" t="s">
        <v>2014</v>
      </c>
      <c r="E1558" s="64" t="s">
        <v>551</v>
      </c>
      <c r="F1558" s="64" t="s">
        <v>547</v>
      </c>
      <c r="G1558" s="64" t="s">
        <v>62</v>
      </c>
      <c r="H1558" s="64" t="s">
        <v>63</v>
      </c>
      <c r="I1558" s="64" t="s">
        <v>64</v>
      </c>
      <c r="J1558" s="67">
        <v>0</v>
      </c>
      <c r="K1558" s="62">
        <v>371777</v>
      </c>
      <c r="L1558" s="33" t="e">
        <f>HLOOKUP(B1558,#REF!,1,0)</f>
        <v>#REF!</v>
      </c>
      <c r="M1558" s="33" t="str">
        <f t="shared" si="99"/>
        <v>BS</v>
      </c>
    </row>
    <row r="1559" spans="1:13" s="33" customFormat="true" ht="12.75" customHeight="true">
      <c r="A1559" s="33" t="str">
        <f t="shared" si="96"/>
        <v>SC2 - Fixed Assets</v>
      </c>
      <c r="B1559" s="33" t="str">
        <f t="shared" si="97"/>
        <v>SC2</v>
      </c>
      <c r="C1559" s="33" t="str">
        <f t="shared" si="98"/>
        <v>16401-7493</v>
      </c>
      <c r="D1559" s="64" t="s">
        <v>2015</v>
      </c>
      <c r="E1559" s="64" t="s">
        <v>551</v>
      </c>
      <c r="F1559" s="64" t="s">
        <v>547</v>
      </c>
      <c r="G1559" s="64" t="s">
        <v>62</v>
      </c>
      <c r="H1559" s="64" t="s">
        <v>63</v>
      </c>
      <c r="I1559" s="64" t="s">
        <v>64</v>
      </c>
      <c r="J1559" s="67">
        <v>0</v>
      </c>
      <c r="K1559" s="62">
        <v>243852</v>
      </c>
      <c r="L1559" s="33" t="e">
        <f>HLOOKUP(B1559,#REF!,1,0)</f>
        <v>#REF!</v>
      </c>
      <c r="M1559" s="33" t="str">
        <f t="shared" si="99"/>
        <v>BS</v>
      </c>
    </row>
    <row r="1560" spans="1:13" s="33" customFormat="true" ht="12.75" customHeight="true">
      <c r="A1560" s="33" t="str">
        <f t="shared" si="96"/>
        <v>SC2 - Fixed Assets</v>
      </c>
      <c r="B1560" s="33" t="str">
        <f t="shared" si="97"/>
        <v>SC2</v>
      </c>
      <c r="C1560" s="33" t="str">
        <f t="shared" si="98"/>
        <v>16501-7364</v>
      </c>
      <c r="D1560" s="64" t="s">
        <v>2016</v>
      </c>
      <c r="E1560" s="64" t="s">
        <v>298</v>
      </c>
      <c r="F1560" s="64" t="s">
        <v>547</v>
      </c>
      <c r="G1560" s="64" t="s">
        <v>62</v>
      </c>
      <c r="H1560" s="64" t="s">
        <v>63</v>
      </c>
      <c r="I1560" s="64" t="s">
        <v>64</v>
      </c>
      <c r="J1560" s="67">
        <v>0</v>
      </c>
      <c r="K1560" s="62">
        <v>0</v>
      </c>
      <c r="L1560" s="33" t="e">
        <f>HLOOKUP(B1560,#REF!,1,0)</f>
        <v>#REF!</v>
      </c>
      <c r="M1560" s="33" t="str">
        <f t="shared" si="99"/>
        <v>BS</v>
      </c>
    </row>
    <row r="1561" spans="1:13" s="33" customFormat="true" ht="12.75" customHeight="true">
      <c r="A1561" s="33" t="str">
        <f t="shared" si="96"/>
        <v>SC2 - Fixed Assets</v>
      </c>
      <c r="B1561" s="33" t="str">
        <f t="shared" si="97"/>
        <v>SC2</v>
      </c>
      <c r="C1561" s="33" t="str">
        <f t="shared" si="98"/>
        <v>16501-7489</v>
      </c>
      <c r="D1561" s="64" t="s">
        <v>2017</v>
      </c>
      <c r="E1561" s="64" t="s">
        <v>298</v>
      </c>
      <c r="F1561" s="64" t="s">
        <v>547</v>
      </c>
      <c r="G1561" s="64" t="s">
        <v>62</v>
      </c>
      <c r="H1561" s="64" t="s">
        <v>63</v>
      </c>
      <c r="I1561" s="64" t="s">
        <v>64</v>
      </c>
      <c r="J1561" s="67">
        <v>0</v>
      </c>
      <c r="K1561" s="62">
        <v>1177292</v>
      </c>
      <c r="L1561" s="33" t="e">
        <f>HLOOKUP(B1561,#REF!,1,0)</f>
        <v>#REF!</v>
      </c>
      <c r="M1561" s="33" t="str">
        <f t="shared" si="99"/>
        <v>BS</v>
      </c>
    </row>
    <row r="1562" spans="1:13" s="33" customFormat="true" ht="12.75" customHeight="true">
      <c r="A1562" s="33" t="str">
        <f t="shared" si="96"/>
        <v>SC2 - Fixed Assets</v>
      </c>
      <c r="B1562" s="33" t="str">
        <f t="shared" si="97"/>
        <v>SC2</v>
      </c>
      <c r="C1562" s="33" t="str">
        <f t="shared" si="98"/>
        <v>16501-7493</v>
      </c>
      <c r="D1562" s="64" t="s">
        <v>2018</v>
      </c>
      <c r="E1562" s="64" t="s">
        <v>298</v>
      </c>
      <c r="F1562" s="64" t="s">
        <v>547</v>
      </c>
      <c r="G1562" s="64" t="s">
        <v>62</v>
      </c>
      <c r="H1562" s="64" t="s">
        <v>63</v>
      </c>
      <c r="I1562" s="64" t="s">
        <v>64</v>
      </c>
      <c r="J1562" s="67">
        <v>0</v>
      </c>
      <c r="K1562" s="62">
        <v>772197</v>
      </c>
      <c r="L1562" s="33" t="e">
        <f>HLOOKUP(B1562,#REF!,1,0)</f>
        <v>#REF!</v>
      </c>
      <c r="M1562" s="33" t="str">
        <f t="shared" si="99"/>
        <v>BS</v>
      </c>
    </row>
    <row r="1563" spans="1:13" s="33" customFormat="true" ht="12.75" customHeight="true">
      <c r="A1563" s="33" t="str">
        <f t="shared" si="96"/>
        <v>SC2 - Fixed Assets</v>
      </c>
      <c r="B1563" s="33" t="str">
        <f t="shared" si="97"/>
        <v>SC2</v>
      </c>
      <c r="C1563" s="33" t="str">
        <f t="shared" si="98"/>
        <v>16601-7364</v>
      </c>
      <c r="D1563" s="64" t="s">
        <v>2019</v>
      </c>
      <c r="E1563" s="64" t="s">
        <v>1995</v>
      </c>
      <c r="F1563" s="64" t="s">
        <v>547</v>
      </c>
      <c r="G1563" s="64" t="s">
        <v>62</v>
      </c>
      <c r="H1563" s="64" t="s">
        <v>63</v>
      </c>
      <c r="I1563" s="64" t="s">
        <v>64</v>
      </c>
      <c r="J1563" s="67">
        <v>0</v>
      </c>
      <c r="K1563" s="62">
        <v>96418.6</v>
      </c>
      <c r="L1563" s="33" t="e">
        <f>HLOOKUP(B1563,#REF!,1,0)</f>
        <v>#REF!</v>
      </c>
      <c r="M1563" s="33" t="str">
        <f t="shared" si="99"/>
        <v>BS</v>
      </c>
    </row>
    <row r="1564" spans="1:13" s="33" customFormat="true" ht="12.75" customHeight="true">
      <c r="A1564" s="33" t="str">
        <f t="shared" si="96"/>
        <v>SC2 - Fixed Assets</v>
      </c>
      <c r="B1564" s="33" t="str">
        <f t="shared" si="97"/>
        <v>SC2</v>
      </c>
      <c r="C1564" s="33" t="str">
        <f t="shared" si="98"/>
        <v>16601-7489</v>
      </c>
      <c r="D1564" s="64" t="s">
        <v>2020</v>
      </c>
      <c r="E1564" s="64" t="s">
        <v>1995</v>
      </c>
      <c r="F1564" s="64" t="s">
        <v>547</v>
      </c>
      <c r="G1564" s="64" t="s">
        <v>62</v>
      </c>
      <c r="H1564" s="64" t="s">
        <v>63</v>
      </c>
      <c r="I1564" s="64" t="s">
        <v>64</v>
      </c>
      <c r="J1564" s="67">
        <v>0</v>
      </c>
      <c r="K1564" s="62">
        <v>74856.04</v>
      </c>
      <c r="L1564" s="33" t="e">
        <f>HLOOKUP(B1564,#REF!,1,0)</f>
        <v>#REF!</v>
      </c>
      <c r="M1564" s="33" t="str">
        <f t="shared" si="99"/>
        <v>BS</v>
      </c>
    </row>
    <row r="1565" spans="1:13" s="33" customFormat="true" ht="12.75" customHeight="true">
      <c r="A1565" s="33" t="str">
        <f t="shared" si="96"/>
        <v>SC2 - Fixed Assets</v>
      </c>
      <c r="B1565" s="33" t="str">
        <f t="shared" si="97"/>
        <v>SC2</v>
      </c>
      <c r="C1565" s="33" t="str">
        <f t="shared" si="98"/>
        <v>16601-7493</v>
      </c>
      <c r="D1565" s="64" t="s">
        <v>2021</v>
      </c>
      <c r="E1565" s="64" t="s">
        <v>1995</v>
      </c>
      <c r="F1565" s="64" t="s">
        <v>547</v>
      </c>
      <c r="G1565" s="64" t="s">
        <v>62</v>
      </c>
      <c r="H1565" s="64" t="s">
        <v>63</v>
      </c>
      <c r="I1565" s="64" t="s">
        <v>64</v>
      </c>
      <c r="J1565" s="67">
        <v>0</v>
      </c>
      <c r="K1565" s="62">
        <v>109738.42</v>
      </c>
      <c r="L1565" s="33" t="e">
        <f>HLOOKUP(B1565,#REF!,1,0)</f>
        <v>#REF!</v>
      </c>
      <c r="M1565" s="33" t="str">
        <f t="shared" si="99"/>
        <v>BS</v>
      </c>
    </row>
    <row r="1566" spans="1:13" s="33" customFormat="true" ht="12.75" customHeight="true">
      <c r="A1566" s="33" t="str">
        <f t="shared" si="96"/>
        <v>SC2 - Fixed Assets</v>
      </c>
      <c r="B1566" s="33" t="str">
        <f t="shared" si="97"/>
        <v>SC2</v>
      </c>
      <c r="C1566" s="33" t="str">
        <f t="shared" si="98"/>
        <v>16901-0000</v>
      </c>
      <c r="D1566" s="64" t="s">
        <v>2022</v>
      </c>
      <c r="E1566" s="64" t="s">
        <v>993</v>
      </c>
      <c r="F1566" s="64" t="s">
        <v>547</v>
      </c>
      <c r="G1566" s="64" t="s">
        <v>62</v>
      </c>
      <c r="H1566" s="64" t="s">
        <v>63</v>
      </c>
      <c r="I1566" s="64" t="s">
        <v>64</v>
      </c>
      <c r="J1566" s="67">
        <v>0</v>
      </c>
      <c r="K1566" s="62">
        <v>-1058463</v>
      </c>
      <c r="L1566" s="33" t="e">
        <f>HLOOKUP(B1566,#REF!,1,0)</f>
        <v>#REF!</v>
      </c>
      <c r="M1566" s="33" t="str">
        <f t="shared" si="99"/>
        <v>BS</v>
      </c>
    </row>
    <row r="1567" spans="1:13" s="33" customFormat="true" ht="12.75" customHeight="true">
      <c r="A1567" s="33" t="str">
        <f t="shared" si="96"/>
        <v>SC2 - Fixed Assets</v>
      </c>
      <c r="B1567" s="33" t="str">
        <f t="shared" si="97"/>
        <v>SC2</v>
      </c>
      <c r="C1567" s="33" t="str">
        <f t="shared" si="98"/>
        <v>18502-0000</v>
      </c>
      <c r="D1567" s="64" t="s">
        <v>2023</v>
      </c>
      <c r="E1567" s="64" t="s">
        <v>304</v>
      </c>
      <c r="F1567" s="64" t="s">
        <v>547</v>
      </c>
      <c r="G1567" s="64" t="s">
        <v>62</v>
      </c>
      <c r="H1567" s="64" t="s">
        <v>63</v>
      </c>
      <c r="I1567" s="64" t="s">
        <v>81</v>
      </c>
      <c r="J1567" s="67">
        <v>0</v>
      </c>
      <c r="K1567" s="62">
        <v>17812.86</v>
      </c>
      <c r="L1567" s="33" t="e">
        <f>HLOOKUP(B1567,#REF!,1,0)</f>
        <v>#REF!</v>
      </c>
      <c r="M1567" s="33" t="str">
        <f t="shared" si="99"/>
        <v>BS</v>
      </c>
    </row>
    <row r="1568" spans="1:13" s="33" customFormat="true" ht="12.75" customHeight="true">
      <c r="A1568" s="33" t="str">
        <f t="shared" si="96"/>
        <v>SC2 - AP-Accr Exp</v>
      </c>
      <c r="B1568" s="33" t="str">
        <f t="shared" si="97"/>
        <v>SC2</v>
      </c>
      <c r="C1568" s="33" t="str">
        <f t="shared" si="98"/>
        <v>20001-0000</v>
      </c>
      <c r="D1568" s="64" t="s">
        <v>2024</v>
      </c>
      <c r="E1568" s="64" t="s">
        <v>96</v>
      </c>
      <c r="F1568" s="64" t="s">
        <v>547</v>
      </c>
      <c r="G1568" s="64" t="s">
        <v>97</v>
      </c>
      <c r="H1568" s="64" t="s">
        <v>98</v>
      </c>
      <c r="I1568" s="64" t="s">
        <v>99</v>
      </c>
      <c r="J1568" s="67">
        <v>0</v>
      </c>
      <c r="K1568" s="62">
        <v>0</v>
      </c>
      <c r="L1568" s="33" t="e">
        <f>HLOOKUP(B1568,#REF!,1,0)</f>
        <v>#REF!</v>
      </c>
      <c r="M1568" s="33" t="str">
        <f t="shared" si="99"/>
        <v>BS</v>
      </c>
    </row>
    <row r="1569" spans="1:13" s="33" customFormat="true" ht="12.75" customHeight="true">
      <c r="A1569" s="33" t="str">
        <f t="shared" si="96"/>
        <v>SC2 - Tax Accr</v>
      </c>
      <c r="B1569" s="33" t="str">
        <f t="shared" si="97"/>
        <v>SC2</v>
      </c>
      <c r="C1569" s="33" t="str">
        <f t="shared" si="98"/>
        <v>24001-0000</v>
      </c>
      <c r="D1569" s="64" t="s">
        <v>2025</v>
      </c>
      <c r="E1569" s="64" t="s">
        <v>748</v>
      </c>
      <c r="F1569" s="64" t="s">
        <v>547</v>
      </c>
      <c r="G1569" s="64" t="s">
        <v>97</v>
      </c>
      <c r="H1569" s="64" t="s">
        <v>105</v>
      </c>
      <c r="I1569" s="64" t="s">
        <v>102</v>
      </c>
      <c r="J1569" s="67">
        <v>0</v>
      </c>
      <c r="K1569" s="62">
        <v>-3300</v>
      </c>
      <c r="L1569" s="33" t="e">
        <f>HLOOKUP(B1569,#REF!,1,0)</f>
        <v>#REF!</v>
      </c>
      <c r="M1569" s="33" t="str">
        <f t="shared" si="99"/>
        <v>BS</v>
      </c>
    </row>
    <row r="1570" spans="1:13" s="33" customFormat="true" ht="12.75" customHeight="true">
      <c r="A1570" s="33" t="str">
        <f t="shared" si="96"/>
        <v>SC2 - AP-Accr Exp</v>
      </c>
      <c r="B1570" s="33" t="str">
        <f t="shared" si="97"/>
        <v>SC2</v>
      </c>
      <c r="C1570" s="33" t="str">
        <f t="shared" si="98"/>
        <v>24501-0000</v>
      </c>
      <c r="D1570" s="64" t="s">
        <v>2026</v>
      </c>
      <c r="E1570" s="64" t="s">
        <v>560</v>
      </c>
      <c r="F1570" s="64" t="s">
        <v>547</v>
      </c>
      <c r="G1570" s="64" t="s">
        <v>97</v>
      </c>
      <c r="H1570" s="64" t="s">
        <v>98</v>
      </c>
      <c r="I1570" s="64" t="s">
        <v>128</v>
      </c>
      <c r="J1570" s="67">
        <v>0</v>
      </c>
      <c r="K1570" s="62">
        <v>-23636.6</v>
      </c>
      <c r="L1570" s="33" t="e">
        <f>HLOOKUP(B1570,#REF!,1,0)</f>
        <v>#REF!</v>
      </c>
      <c r="M1570" s="33" t="str">
        <f t="shared" si="99"/>
        <v>BS</v>
      </c>
    </row>
    <row r="1571" spans="1:13" s="33" customFormat="true" ht="12.75" customHeight="true">
      <c r="A1571" s="33" t="str">
        <f t="shared" si="96"/>
        <v>SC2 - AP-Accr Exp</v>
      </c>
      <c r="B1571" s="33" t="str">
        <f t="shared" si="97"/>
        <v>SC2</v>
      </c>
      <c r="C1571" s="33" t="str">
        <f t="shared" si="98"/>
        <v>25500-0000</v>
      </c>
      <c r="D1571" s="64" t="s">
        <v>2027</v>
      </c>
      <c r="E1571" s="64" t="s">
        <v>122</v>
      </c>
      <c r="F1571" s="64" t="s">
        <v>562</v>
      </c>
      <c r="G1571" s="64" t="s">
        <v>123</v>
      </c>
      <c r="H1571" s="64" t="s">
        <v>98</v>
      </c>
      <c r="I1571" s="64" t="s">
        <v>124</v>
      </c>
      <c r="J1571" s="67">
        <v>0</v>
      </c>
      <c r="K1571" s="62">
        <v>299988</v>
      </c>
      <c r="L1571" s="33" t="e">
        <f>HLOOKUP(B1571,#REF!,1,0)</f>
        <v>#REF!</v>
      </c>
      <c r="M1571" s="33" t="str">
        <f t="shared" si="99"/>
        <v>BS</v>
      </c>
    </row>
    <row r="1572" spans="1:13" s="33" customFormat="true" ht="12.75" customHeight="true">
      <c r="A1572" s="33" t="str">
        <f t="shared" si="96"/>
        <v>SC2 - Principal</v>
      </c>
      <c r="B1572" s="33" t="str">
        <f t="shared" si="97"/>
        <v>SC2</v>
      </c>
      <c r="C1572" s="33" t="str">
        <f t="shared" si="98"/>
        <v>26001-0000</v>
      </c>
      <c r="D1572" s="64" t="s">
        <v>2028</v>
      </c>
      <c r="E1572" s="64" t="s">
        <v>126</v>
      </c>
      <c r="F1572" s="64" t="s">
        <v>547</v>
      </c>
      <c r="G1572" s="64" t="s">
        <v>97</v>
      </c>
      <c r="H1572" s="64" t="s">
        <v>127</v>
      </c>
      <c r="I1572" s="64" t="s">
        <v>128</v>
      </c>
      <c r="J1572" s="67">
        <v>0</v>
      </c>
      <c r="K1572" s="62">
        <v>-136889.82</v>
      </c>
      <c r="L1572" s="33" t="e">
        <f>HLOOKUP(B1572,#REF!,1,0)</f>
        <v>#REF!</v>
      </c>
      <c r="M1572" s="33" t="str">
        <f t="shared" si="99"/>
        <v>BS</v>
      </c>
    </row>
    <row r="1573" spans="1:13" s="33" customFormat="true" ht="12.75" customHeight="true">
      <c r="A1573" s="33" t="str">
        <f t="shared" si="96"/>
        <v>SC2 - Principal</v>
      </c>
      <c r="B1573" s="33" t="str">
        <f t="shared" si="97"/>
        <v>SC2</v>
      </c>
      <c r="C1573" s="33" t="str">
        <f t="shared" si="98"/>
        <v>28003-0000</v>
      </c>
      <c r="D1573" s="64" t="s">
        <v>2029</v>
      </c>
      <c r="E1573" s="64" t="s">
        <v>565</v>
      </c>
      <c r="F1573" s="64" t="s">
        <v>547</v>
      </c>
      <c r="G1573" s="64" t="s">
        <v>123</v>
      </c>
      <c r="H1573" s="64" t="s">
        <v>127</v>
      </c>
      <c r="I1573" s="64" t="s">
        <v>133</v>
      </c>
      <c r="J1573" s="67">
        <v>12088.44</v>
      </c>
      <c r="K1573" s="62">
        <v>-4999734.53</v>
      </c>
      <c r="L1573" s="33" t="e">
        <f>HLOOKUP(B1573,#REF!,1,0)</f>
        <v>#REF!</v>
      </c>
      <c r="M1573" s="33" t="str">
        <f t="shared" si="99"/>
        <v>BS</v>
      </c>
    </row>
    <row r="1574" spans="1:13" s="33" customFormat="true" ht="12.75" customHeight="true">
      <c r="A1574" s="33" t="str">
        <f t="shared" si="96"/>
        <v>SC2 - Principal</v>
      </c>
      <c r="B1574" s="33" t="str">
        <f t="shared" si="97"/>
        <v>SC2</v>
      </c>
      <c r="C1574" s="33" t="str">
        <f t="shared" si="98"/>
        <v>28801-0000</v>
      </c>
      <c r="D1574" s="64" t="s">
        <v>2030</v>
      </c>
      <c r="E1574" s="64" t="s">
        <v>567</v>
      </c>
      <c r="F1574" s="64" t="s">
        <v>547</v>
      </c>
      <c r="G1574" s="64" t="s">
        <v>123</v>
      </c>
      <c r="H1574" s="64" t="s">
        <v>127</v>
      </c>
      <c r="I1574" s="64" t="s">
        <v>102</v>
      </c>
      <c r="J1574" s="67">
        <v>0</v>
      </c>
      <c r="K1574" s="62">
        <v>-479789.32</v>
      </c>
      <c r="L1574" s="33" t="e">
        <f>HLOOKUP(B1574,#REF!,1,0)</f>
        <v>#REF!</v>
      </c>
      <c r="M1574" s="33" t="str">
        <f t="shared" si="99"/>
        <v>BS</v>
      </c>
    </row>
    <row r="1575" spans="1:13" s="33" customFormat="true" ht="12.75" customHeight="true">
      <c r="A1575" s="33" t="str">
        <f t="shared" si="96"/>
        <v>SC2 - Principal</v>
      </c>
      <c r="B1575" s="33" t="str">
        <f t="shared" si="97"/>
        <v>SC2</v>
      </c>
      <c r="C1575" s="33" t="str">
        <f t="shared" si="98"/>
        <v>28802-0000</v>
      </c>
      <c r="D1575" s="64" t="s">
        <v>2031</v>
      </c>
      <c r="E1575" s="64" t="s">
        <v>569</v>
      </c>
      <c r="F1575" s="64" t="s">
        <v>547</v>
      </c>
      <c r="G1575" s="64" t="s">
        <v>123</v>
      </c>
      <c r="H1575" s="64" t="s">
        <v>127</v>
      </c>
      <c r="I1575" s="64" t="s">
        <v>102</v>
      </c>
      <c r="J1575" s="67">
        <v>0</v>
      </c>
      <c r="K1575" s="62">
        <v>479789.32</v>
      </c>
      <c r="L1575" s="33" t="e">
        <f>HLOOKUP(B1575,#REF!,1,0)</f>
        <v>#REF!</v>
      </c>
      <c r="M1575" s="33" t="str">
        <f t="shared" si="99"/>
        <v>BS</v>
      </c>
    </row>
    <row r="1576" spans="1:13" s="33" customFormat="true" ht="12.75" customHeight="true">
      <c r="A1576" s="33" t="str">
        <f t="shared" si="96"/>
        <v>SC2 - Retained Earnings</v>
      </c>
      <c r="B1576" s="33" t="str">
        <f t="shared" si="97"/>
        <v>SC2</v>
      </c>
      <c r="C1576" s="33" t="str">
        <f t="shared" si="98"/>
        <v>32000-0000</v>
      </c>
      <c r="D1576" s="64" t="s">
        <v>2032</v>
      </c>
      <c r="E1576" s="64" t="s">
        <v>234</v>
      </c>
      <c r="F1576" s="64" t="s">
        <v>547</v>
      </c>
      <c r="G1576" s="64" t="s">
        <v>142</v>
      </c>
      <c r="H1576" s="64" t="s">
        <v>149</v>
      </c>
      <c r="I1576" s="64" t="s">
        <v>150</v>
      </c>
      <c r="J1576" s="67">
        <v>0</v>
      </c>
      <c r="K1576" s="62">
        <v>2279194.99</v>
      </c>
      <c r="L1576" s="33" t="e">
        <f>HLOOKUP(B1576,#REF!,1,0)</f>
        <v>#REF!</v>
      </c>
      <c r="M1576" s="33" t="str">
        <f t="shared" si="99"/>
        <v>BS</v>
      </c>
    </row>
    <row r="1577" spans="1:13" s="33" customFormat="true" ht="12.75" customHeight="true">
      <c r="A1577" s="33" t="str">
        <f t="shared" si="96"/>
        <v>SC2 - SH Dist</v>
      </c>
      <c r="B1577" s="33" t="str">
        <f t="shared" si="97"/>
        <v>SC2</v>
      </c>
      <c r="C1577" s="33" t="str">
        <f t="shared" si="98"/>
        <v>37001-0000</v>
      </c>
      <c r="D1577" s="64" t="s">
        <v>2033</v>
      </c>
      <c r="E1577" s="64" t="s">
        <v>572</v>
      </c>
      <c r="F1577" s="64" t="s">
        <v>547</v>
      </c>
      <c r="G1577" s="64" t="s">
        <v>142</v>
      </c>
      <c r="H1577" s="64" t="s">
        <v>143</v>
      </c>
      <c r="I1577" s="64" t="s">
        <v>144</v>
      </c>
      <c r="J1577" s="67">
        <v>0</v>
      </c>
      <c r="K1577" s="62">
        <v>75000</v>
      </c>
      <c r="L1577" s="33" t="e">
        <f>HLOOKUP(B1577,#REF!,1,0)</f>
        <v>#REF!</v>
      </c>
      <c r="M1577" s="33" t="str">
        <f t="shared" si="99"/>
        <v>BS</v>
      </c>
    </row>
    <row r="1578" spans="1:13" s="33" customFormat="true" ht="12.75" customHeight="true">
      <c r="A1578" s="33" t="str">
        <f t="shared" si="96"/>
        <v>SC3 - Cash</v>
      </c>
      <c r="B1578" s="33" t="str">
        <f t="shared" si="97"/>
        <v>SC3</v>
      </c>
      <c r="C1578" s="33" t="str">
        <f t="shared" si="98"/>
        <v>10021-0000</v>
      </c>
      <c r="D1578" s="64" t="s">
        <v>2034</v>
      </c>
      <c r="E1578" s="64" t="s">
        <v>546</v>
      </c>
      <c r="F1578" s="64" t="s">
        <v>547</v>
      </c>
      <c r="G1578" s="64" t="s">
        <v>16</v>
      </c>
      <c r="H1578" s="64" t="s">
        <v>25</v>
      </c>
      <c r="I1578" s="64" t="s">
        <v>18</v>
      </c>
      <c r="J1578" s="67">
        <v>5112.9</v>
      </c>
      <c r="K1578" s="62">
        <v>15373.23</v>
      </c>
      <c r="L1578" s="33" t="e">
        <f>HLOOKUP(B1578,#REF!,1,0)</f>
        <v>#REF!</v>
      </c>
      <c r="M1578" s="33" t="str">
        <f t="shared" si="99"/>
        <v>BS</v>
      </c>
    </row>
    <row r="1579" spans="1:13" s="33" customFormat="true" ht="12.75" customHeight="true">
      <c r="A1579" s="33" t="str">
        <f t="shared" si="96"/>
        <v>SC3 - Intercompany</v>
      </c>
      <c r="B1579" s="33" t="str">
        <f t="shared" si="97"/>
        <v>SC3</v>
      </c>
      <c r="C1579" s="33" t="str">
        <f t="shared" si="98"/>
        <v>11231-0000</v>
      </c>
      <c r="D1579" s="64" t="s">
        <v>2035</v>
      </c>
      <c r="E1579" s="64" t="s">
        <v>549</v>
      </c>
      <c r="F1579" s="64" t="s">
        <v>547</v>
      </c>
      <c r="G1579" s="64" t="s">
        <v>16</v>
      </c>
      <c r="H1579" s="64" t="s">
        <v>39</v>
      </c>
      <c r="I1579" s="64" t="s">
        <v>40</v>
      </c>
      <c r="J1579" s="67">
        <v>-1087.23</v>
      </c>
      <c r="K1579" s="62">
        <v>29569.29</v>
      </c>
      <c r="L1579" s="33" t="e">
        <f>HLOOKUP(B1579,#REF!,1,0)</f>
        <v>#REF!</v>
      </c>
      <c r="M1579" s="33" t="str">
        <f t="shared" si="99"/>
        <v>BS</v>
      </c>
    </row>
    <row r="1580" spans="1:13" s="33" customFormat="true" ht="12.75" customHeight="true">
      <c r="A1580" s="33" t="str">
        <f t="shared" si="96"/>
        <v>SC3 - Fixed Assets</v>
      </c>
      <c r="B1580" s="33" t="str">
        <f t="shared" si="97"/>
        <v>SC3</v>
      </c>
      <c r="C1580" s="33" t="str">
        <f t="shared" si="98"/>
        <v>16401-7494</v>
      </c>
      <c r="D1580" s="64" t="s">
        <v>2036</v>
      </c>
      <c r="E1580" s="64" t="s">
        <v>551</v>
      </c>
      <c r="F1580" s="64" t="s">
        <v>547</v>
      </c>
      <c r="G1580" s="64" t="s">
        <v>62</v>
      </c>
      <c r="H1580" s="64" t="s">
        <v>63</v>
      </c>
      <c r="I1580" s="64" t="s">
        <v>64</v>
      </c>
      <c r="J1580" s="67">
        <v>0</v>
      </c>
      <c r="K1580" s="62">
        <v>379669</v>
      </c>
      <c r="L1580" s="33" t="e">
        <f>HLOOKUP(B1580,#REF!,1,0)</f>
        <v>#REF!</v>
      </c>
      <c r="M1580" s="33" t="str">
        <f t="shared" si="99"/>
        <v>BS</v>
      </c>
    </row>
    <row r="1581" spans="1:13" s="33" customFormat="true" ht="12.75" customHeight="true">
      <c r="A1581" s="33" t="str">
        <f t="shared" si="96"/>
        <v>SC3 - Fixed Assets</v>
      </c>
      <c r="B1581" s="33" t="str">
        <f t="shared" si="97"/>
        <v>SC3</v>
      </c>
      <c r="C1581" s="33" t="str">
        <f t="shared" si="98"/>
        <v>16401-7625</v>
      </c>
      <c r="D1581" s="64" t="s">
        <v>2037</v>
      </c>
      <c r="E1581" s="64" t="s">
        <v>551</v>
      </c>
      <c r="F1581" s="64" t="s">
        <v>547</v>
      </c>
      <c r="G1581" s="64" t="s">
        <v>62</v>
      </c>
      <c r="H1581" s="64" t="s">
        <v>63</v>
      </c>
      <c r="I1581" s="64" t="s">
        <v>64</v>
      </c>
      <c r="J1581" s="67">
        <v>0</v>
      </c>
      <c r="K1581" s="62">
        <v>576305.65</v>
      </c>
      <c r="L1581" s="33" t="e">
        <f>HLOOKUP(B1581,#REF!,1,0)</f>
        <v>#REF!</v>
      </c>
      <c r="M1581" s="33" t="str">
        <f t="shared" si="99"/>
        <v>BS</v>
      </c>
    </row>
    <row r="1582" spans="1:13" s="33" customFormat="true" ht="12.75" customHeight="true">
      <c r="A1582" s="33" t="str">
        <f t="shared" si="96"/>
        <v>SC3 - Fixed Assets</v>
      </c>
      <c r="B1582" s="33" t="str">
        <f t="shared" si="97"/>
        <v>SC3</v>
      </c>
      <c r="C1582" s="33" t="str">
        <f t="shared" si="98"/>
        <v>16501-7494</v>
      </c>
      <c r="D1582" s="64" t="s">
        <v>2038</v>
      </c>
      <c r="E1582" s="64" t="s">
        <v>298</v>
      </c>
      <c r="F1582" s="64" t="s">
        <v>547</v>
      </c>
      <c r="G1582" s="64" t="s">
        <v>62</v>
      </c>
      <c r="H1582" s="64" t="s">
        <v>63</v>
      </c>
      <c r="I1582" s="64" t="s">
        <v>64</v>
      </c>
      <c r="J1582" s="67">
        <v>0</v>
      </c>
      <c r="K1582" s="62">
        <v>600670.52</v>
      </c>
      <c r="L1582" s="33" t="e">
        <f>HLOOKUP(B1582,#REF!,1,0)</f>
        <v>#REF!</v>
      </c>
      <c r="M1582" s="33" t="str">
        <f t="shared" si="99"/>
        <v>BS</v>
      </c>
    </row>
    <row r="1583" spans="1:13" s="33" customFormat="true" ht="12.75" customHeight="true">
      <c r="A1583" s="33" t="str">
        <f t="shared" si="96"/>
        <v>SC3 - Fixed Assets</v>
      </c>
      <c r="B1583" s="33" t="str">
        <f t="shared" si="97"/>
        <v>SC3</v>
      </c>
      <c r="C1583" s="33" t="str">
        <f t="shared" si="98"/>
        <v>16501-7625</v>
      </c>
      <c r="D1583" s="64" t="s">
        <v>2039</v>
      </c>
      <c r="E1583" s="64" t="s">
        <v>298</v>
      </c>
      <c r="F1583" s="64" t="s">
        <v>547</v>
      </c>
      <c r="G1583" s="64" t="s">
        <v>62</v>
      </c>
      <c r="H1583" s="64" t="s">
        <v>63</v>
      </c>
      <c r="I1583" s="64" t="s">
        <v>64</v>
      </c>
      <c r="J1583" s="67">
        <v>0</v>
      </c>
      <c r="K1583" s="62">
        <v>606343</v>
      </c>
      <c r="L1583" s="33" t="e">
        <f>HLOOKUP(B1583,#REF!,1,0)</f>
        <v>#REF!</v>
      </c>
      <c r="M1583" s="33" t="str">
        <f t="shared" si="99"/>
        <v>BS</v>
      </c>
    </row>
    <row r="1584" spans="1:17" s="33" customFormat="true" ht="12.75" customHeight="true">
      <c r="A1584" s="33" t="str">
        <f t="shared" si="96"/>
        <v>SC3 - Fixed Assets</v>
      </c>
      <c r="B1584" s="33" t="str">
        <f t="shared" si="97"/>
        <v>SC3</v>
      </c>
      <c r="C1584" s="33" t="str">
        <f t="shared" si="98"/>
        <v>16601-7494</v>
      </c>
      <c r="D1584" s="64" t="s">
        <v>2040</v>
      </c>
      <c r="E1584" s="64" t="s">
        <v>1995</v>
      </c>
      <c r="F1584" s="64" t="s">
        <v>547</v>
      </c>
      <c r="G1584" s="64" t="s">
        <v>62</v>
      </c>
      <c r="H1584" s="64" t="s">
        <v>63</v>
      </c>
      <c r="I1584" s="64" t="s">
        <v>64</v>
      </c>
      <c r="J1584" s="67">
        <v>0</v>
      </c>
      <c r="K1584" s="62">
        <v>258120.64</v>
      </c>
      <c r="L1584" s="284" t="e">
        <f>HLOOKUP(B1584,#REF!,1,0)</f>
        <v>#REF!</v>
      </c>
      <c r="M1584" s="284" t="str">
        <f t="shared" si="99"/>
        <v>BS</v>
      </c>
      <c r="N1584" s="284" t="s">
        <v>2041</v>
      </c>
      <c r="O1584" s="284"/>
      <c r="P1584" s="284"/>
      <c r="Q1584" s="284"/>
    </row>
    <row r="1585" spans="1:13" s="33" customFormat="true" ht="12.75" customHeight="true">
      <c r="A1585" s="33" t="str">
        <f t="shared" si="96"/>
        <v>SC3 - Fixed Assets</v>
      </c>
      <c r="B1585" s="33" t="str">
        <f t="shared" si="97"/>
        <v>SC3</v>
      </c>
      <c r="C1585" s="33" t="str">
        <f t="shared" si="98"/>
        <v>16601-7625</v>
      </c>
      <c r="D1585" s="64" t="s">
        <v>2042</v>
      </c>
      <c r="E1585" s="64" t="s">
        <v>1995</v>
      </c>
      <c r="F1585" s="64" t="s">
        <v>547</v>
      </c>
      <c r="G1585" s="64" t="s">
        <v>62</v>
      </c>
      <c r="H1585" s="64" t="s">
        <v>63</v>
      </c>
      <c r="I1585" s="64" t="s">
        <v>64</v>
      </c>
      <c r="J1585" s="67">
        <v>0</v>
      </c>
      <c r="K1585" s="62">
        <v>104295.31</v>
      </c>
      <c r="L1585" s="33" t="e">
        <f>HLOOKUP(B1585,#REF!,1,0)</f>
        <v>#REF!</v>
      </c>
      <c r="M1585" s="33" t="str">
        <f t="shared" si="99"/>
        <v>BS</v>
      </c>
    </row>
    <row r="1586" spans="1:13" s="33" customFormat="true" ht="12.75" customHeight="true">
      <c r="A1586" s="33" t="str">
        <f t="shared" si="96"/>
        <v>SC3 - Fixed Assets</v>
      </c>
      <c r="B1586" s="33" t="str">
        <f t="shared" si="97"/>
        <v>SC3</v>
      </c>
      <c r="C1586" s="33" t="str">
        <f t="shared" si="98"/>
        <v>16901-0000</v>
      </c>
      <c r="D1586" s="64" t="s">
        <v>2043</v>
      </c>
      <c r="E1586" s="64" t="s">
        <v>993</v>
      </c>
      <c r="F1586" s="64" t="s">
        <v>547</v>
      </c>
      <c r="G1586" s="64" t="s">
        <v>62</v>
      </c>
      <c r="H1586" s="64" t="s">
        <v>63</v>
      </c>
      <c r="I1586" s="64" t="s">
        <v>64</v>
      </c>
      <c r="J1586" s="67">
        <v>0</v>
      </c>
      <c r="K1586" s="62">
        <v>-826548</v>
      </c>
      <c r="L1586" s="33" t="e">
        <f>HLOOKUP(B1586,#REF!,1,0)</f>
        <v>#REF!</v>
      </c>
      <c r="M1586" s="33" t="str">
        <f t="shared" si="99"/>
        <v>BS</v>
      </c>
    </row>
    <row r="1587" spans="1:13" s="33" customFormat="true" ht="12.75" customHeight="true">
      <c r="A1587" s="33" t="str">
        <f t="shared" si="96"/>
        <v>SC3 - Fixed Assets</v>
      </c>
      <c r="B1587" s="33" t="str">
        <f t="shared" si="97"/>
        <v>SC3</v>
      </c>
      <c r="C1587" s="33" t="str">
        <f t="shared" si="98"/>
        <v>18502-0000</v>
      </c>
      <c r="D1587" s="64" t="s">
        <v>2044</v>
      </c>
      <c r="E1587" s="64" t="s">
        <v>304</v>
      </c>
      <c r="F1587" s="64" t="s">
        <v>547</v>
      </c>
      <c r="G1587" s="64" t="s">
        <v>62</v>
      </c>
      <c r="H1587" s="64" t="s">
        <v>63</v>
      </c>
      <c r="I1587" s="64" t="s">
        <v>81</v>
      </c>
      <c r="J1587" s="67">
        <v>0</v>
      </c>
      <c r="K1587" s="62">
        <v>11396.8</v>
      </c>
      <c r="L1587" s="33" t="e">
        <f>HLOOKUP(B1587,#REF!,1,0)</f>
        <v>#REF!</v>
      </c>
      <c r="M1587" s="33" t="str">
        <f t="shared" si="99"/>
        <v>BS</v>
      </c>
    </row>
    <row r="1588" spans="1:13" s="33" customFormat="true" ht="12.75" customHeight="true">
      <c r="A1588" s="33" t="str">
        <f t="shared" si="96"/>
        <v>SC3 - AP-Accr Exp</v>
      </c>
      <c r="B1588" s="33" t="str">
        <f t="shared" si="97"/>
        <v>SC3</v>
      </c>
      <c r="C1588" s="33" t="str">
        <f t="shared" si="98"/>
        <v>20001-0000</v>
      </c>
      <c r="D1588" s="64" t="s">
        <v>2045</v>
      </c>
      <c r="E1588" s="64" t="s">
        <v>96</v>
      </c>
      <c r="F1588" s="64" t="s">
        <v>547</v>
      </c>
      <c r="G1588" s="64" t="s">
        <v>97</v>
      </c>
      <c r="H1588" s="64" t="s">
        <v>98</v>
      </c>
      <c r="I1588" s="64" t="s">
        <v>99</v>
      </c>
      <c r="J1588" s="67">
        <v>0</v>
      </c>
      <c r="K1588" s="62">
        <v>0</v>
      </c>
      <c r="L1588" s="33" t="e">
        <f>HLOOKUP(B1588,#REF!,1,0)</f>
        <v>#REF!</v>
      </c>
      <c r="M1588" s="33" t="str">
        <f t="shared" si="99"/>
        <v>BS</v>
      </c>
    </row>
    <row r="1589" spans="1:13" s="33" customFormat="true" ht="12.75" customHeight="true">
      <c r="A1589" s="33" t="str">
        <f t="shared" si="96"/>
        <v>SC3 - Tax Accr</v>
      </c>
      <c r="B1589" s="33" t="str">
        <f t="shared" si="97"/>
        <v>SC3</v>
      </c>
      <c r="C1589" s="33" t="str">
        <f t="shared" si="98"/>
        <v>24001-0000</v>
      </c>
      <c r="D1589" s="64" t="s">
        <v>2046</v>
      </c>
      <c r="E1589" s="64" t="s">
        <v>748</v>
      </c>
      <c r="F1589" s="64" t="s">
        <v>547</v>
      </c>
      <c r="G1589" s="64" t="s">
        <v>97</v>
      </c>
      <c r="H1589" s="64" t="s">
        <v>105</v>
      </c>
      <c r="I1589" s="64" t="s">
        <v>102</v>
      </c>
      <c r="J1589" s="67">
        <v>0</v>
      </c>
      <c r="K1589" s="62">
        <v>-1700</v>
      </c>
      <c r="L1589" s="33" t="e">
        <f>HLOOKUP(B1589,#REF!,1,0)</f>
        <v>#REF!</v>
      </c>
      <c r="M1589" s="33" t="str">
        <f t="shared" si="99"/>
        <v>BS</v>
      </c>
    </row>
    <row r="1590" spans="1:13" s="33" customFormat="true" ht="12.75" customHeight="true">
      <c r="A1590" s="33" t="str">
        <f t="shared" si="96"/>
        <v>SC3 - AP-Accr Exp</v>
      </c>
      <c r="B1590" s="33" t="str">
        <f t="shared" si="97"/>
        <v>SC3</v>
      </c>
      <c r="C1590" s="33" t="str">
        <f t="shared" si="98"/>
        <v>24501-0000</v>
      </c>
      <c r="D1590" s="64" t="s">
        <v>2047</v>
      </c>
      <c r="E1590" s="64" t="s">
        <v>560</v>
      </c>
      <c r="F1590" s="64" t="s">
        <v>547</v>
      </c>
      <c r="G1590" s="64" t="s">
        <v>97</v>
      </c>
      <c r="H1590" s="64" t="s">
        <v>98</v>
      </c>
      <c r="I1590" s="64" t="s">
        <v>128</v>
      </c>
      <c r="J1590" s="67">
        <v>0</v>
      </c>
      <c r="K1590" s="62">
        <v>-12513.01</v>
      </c>
      <c r="L1590" s="33" t="e">
        <f>HLOOKUP(B1590,#REF!,1,0)</f>
        <v>#REF!</v>
      </c>
      <c r="M1590" s="33" t="str">
        <f t="shared" si="99"/>
        <v>BS</v>
      </c>
    </row>
    <row r="1591" spans="1:13" s="33" customFormat="true" ht="12.75" customHeight="true">
      <c r="A1591" s="33" t="str">
        <f t="shared" si="96"/>
        <v>SC3 - AP-Accr Exp</v>
      </c>
      <c r="B1591" s="33" t="str">
        <f t="shared" si="97"/>
        <v>SC3</v>
      </c>
      <c r="C1591" s="33" t="str">
        <f t="shared" si="98"/>
        <v>25500-0000</v>
      </c>
      <c r="D1591" s="64" t="s">
        <v>2048</v>
      </c>
      <c r="E1591" s="64" t="s">
        <v>122</v>
      </c>
      <c r="F1591" s="64" t="s">
        <v>562</v>
      </c>
      <c r="G1591" s="64" t="s">
        <v>123</v>
      </c>
      <c r="H1591" s="64" t="s">
        <v>98</v>
      </c>
      <c r="I1591" s="64" t="s">
        <v>124</v>
      </c>
      <c r="J1591" s="67">
        <v>0</v>
      </c>
      <c r="K1591" s="62">
        <v>173070</v>
      </c>
      <c r="L1591" s="33" t="e">
        <f>HLOOKUP(B1591,#REF!,1,0)</f>
        <v>#REF!</v>
      </c>
      <c r="M1591" s="33" t="str">
        <f t="shared" si="99"/>
        <v>BS</v>
      </c>
    </row>
    <row r="1592" spans="1:13" s="33" customFormat="true" ht="12.75" customHeight="true">
      <c r="A1592" s="33" t="str">
        <f t="shared" si="96"/>
        <v>SC3 - Principal</v>
      </c>
      <c r="B1592" s="33" t="str">
        <f t="shared" si="97"/>
        <v>SC3</v>
      </c>
      <c r="C1592" s="33" t="str">
        <f t="shared" si="98"/>
        <v>26001-0000</v>
      </c>
      <c r="D1592" s="64" t="s">
        <v>2049</v>
      </c>
      <c r="E1592" s="64" t="s">
        <v>126</v>
      </c>
      <c r="F1592" s="64" t="s">
        <v>547</v>
      </c>
      <c r="G1592" s="64" t="s">
        <v>97</v>
      </c>
      <c r="H1592" s="64" t="s">
        <v>127</v>
      </c>
      <c r="I1592" s="64" t="s">
        <v>128</v>
      </c>
      <c r="J1592" s="67">
        <v>0</v>
      </c>
      <c r="K1592" s="62">
        <v>-72468.27</v>
      </c>
      <c r="L1592" s="33" t="e">
        <f>HLOOKUP(B1592,#REF!,1,0)</f>
        <v>#REF!</v>
      </c>
      <c r="M1592" s="33" t="str">
        <f t="shared" si="99"/>
        <v>BS</v>
      </c>
    </row>
    <row r="1593" spans="1:13" s="33" customFormat="true" ht="12.75" customHeight="true">
      <c r="A1593" s="33" t="str">
        <f t="shared" si="96"/>
        <v>SC3 - Principal</v>
      </c>
      <c r="B1593" s="33" t="str">
        <f t="shared" si="97"/>
        <v>SC3</v>
      </c>
      <c r="C1593" s="33" t="str">
        <f t="shared" si="98"/>
        <v>28003-0000</v>
      </c>
      <c r="D1593" s="64" t="s">
        <v>2050</v>
      </c>
      <c r="E1593" s="64" t="s">
        <v>565</v>
      </c>
      <c r="F1593" s="64" t="s">
        <v>547</v>
      </c>
      <c r="G1593" s="64" t="s">
        <v>123</v>
      </c>
      <c r="H1593" s="64" t="s">
        <v>127</v>
      </c>
      <c r="I1593" s="64" t="s">
        <v>133</v>
      </c>
      <c r="J1593" s="67">
        <v>6399.51</v>
      </c>
      <c r="K1593" s="62">
        <v>-2646874.06</v>
      </c>
      <c r="L1593" s="33" t="e">
        <f>HLOOKUP(B1593,#REF!,1,0)</f>
        <v>#REF!</v>
      </c>
      <c r="M1593" s="33" t="str">
        <f t="shared" si="99"/>
        <v>BS</v>
      </c>
    </row>
    <row r="1594" spans="1:13" s="33" customFormat="true" ht="12.75" customHeight="true">
      <c r="A1594" s="33" t="str">
        <f t="shared" si="96"/>
        <v>SC3 - Principal</v>
      </c>
      <c r="B1594" s="33" t="str">
        <f t="shared" si="97"/>
        <v>SC3</v>
      </c>
      <c r="C1594" s="33" t="str">
        <f t="shared" si="98"/>
        <v>28801-0000</v>
      </c>
      <c r="D1594" s="64" t="s">
        <v>2051</v>
      </c>
      <c r="E1594" s="64" t="s">
        <v>567</v>
      </c>
      <c r="F1594" s="64" t="s">
        <v>547</v>
      </c>
      <c r="G1594" s="64" t="s">
        <v>123</v>
      </c>
      <c r="H1594" s="64" t="s">
        <v>127</v>
      </c>
      <c r="I1594" s="64" t="s">
        <v>102</v>
      </c>
      <c r="J1594" s="67">
        <v>0</v>
      </c>
      <c r="K1594" s="62">
        <v>-253996.19</v>
      </c>
      <c r="L1594" s="33" t="e">
        <f>HLOOKUP(B1594,#REF!,1,0)</f>
        <v>#REF!</v>
      </c>
      <c r="M1594" s="33" t="str">
        <f t="shared" si="99"/>
        <v>BS</v>
      </c>
    </row>
    <row r="1595" spans="1:13" s="33" customFormat="true" ht="12.75" customHeight="true">
      <c r="A1595" s="33" t="str">
        <f t="shared" si="96"/>
        <v>SC3 - Principal</v>
      </c>
      <c r="B1595" s="33" t="str">
        <f t="shared" si="97"/>
        <v>SC3</v>
      </c>
      <c r="C1595" s="33" t="str">
        <f t="shared" si="98"/>
        <v>28802-0000</v>
      </c>
      <c r="D1595" s="64" t="s">
        <v>2052</v>
      </c>
      <c r="E1595" s="64" t="s">
        <v>569</v>
      </c>
      <c r="F1595" s="64" t="s">
        <v>547</v>
      </c>
      <c r="G1595" s="64" t="s">
        <v>123</v>
      </c>
      <c r="H1595" s="64" t="s">
        <v>127</v>
      </c>
      <c r="I1595" s="64" t="s">
        <v>102</v>
      </c>
      <c r="J1595" s="67">
        <v>0</v>
      </c>
      <c r="K1595" s="62">
        <v>253996.19</v>
      </c>
      <c r="L1595" s="33" t="e">
        <f>HLOOKUP(B1595,#REF!,1,0)</f>
        <v>#REF!</v>
      </c>
      <c r="M1595" s="33" t="str">
        <f t="shared" si="99"/>
        <v>BS</v>
      </c>
    </row>
    <row r="1596" spans="1:13" s="33" customFormat="true" ht="12.75" customHeight="true">
      <c r="A1596" s="33" t="str">
        <f t="shared" si="96"/>
        <v>SC3 - Retained Earnings</v>
      </c>
      <c r="B1596" s="33" t="str">
        <f t="shared" si="97"/>
        <v>SC3</v>
      </c>
      <c r="C1596" s="33" t="str">
        <f t="shared" si="98"/>
        <v>32000-0000</v>
      </c>
      <c r="D1596" s="64" t="s">
        <v>2053</v>
      </c>
      <c r="E1596" s="64" t="s">
        <v>234</v>
      </c>
      <c r="F1596" s="64" t="s">
        <v>547</v>
      </c>
      <c r="G1596" s="64" t="s">
        <v>142</v>
      </c>
      <c r="H1596" s="64" t="s">
        <v>149</v>
      </c>
      <c r="I1596" s="64" t="s">
        <v>150</v>
      </c>
      <c r="J1596" s="67">
        <v>0</v>
      </c>
      <c r="K1596" s="62">
        <v>824553.99</v>
      </c>
      <c r="L1596" s="33" t="e">
        <f>HLOOKUP(B1596,#REF!,1,0)</f>
        <v>#REF!</v>
      </c>
      <c r="M1596" s="33" t="str">
        <f t="shared" si="99"/>
        <v>BS</v>
      </c>
    </row>
    <row r="1597" spans="1:13" s="33" customFormat="true" ht="12.75" customHeight="true">
      <c r="A1597" s="33" t="str">
        <f t="shared" si="96"/>
        <v>SC3 - SH Dist</v>
      </c>
      <c r="B1597" s="33" t="str">
        <f t="shared" si="97"/>
        <v>SC3</v>
      </c>
      <c r="C1597" s="33" t="str">
        <f t="shared" si="98"/>
        <v>37001-0000</v>
      </c>
      <c r="D1597" s="64" t="s">
        <v>2054</v>
      </c>
      <c r="E1597" s="64" t="s">
        <v>572</v>
      </c>
      <c r="F1597" s="64" t="s">
        <v>547</v>
      </c>
      <c r="G1597" s="64" t="s">
        <v>142</v>
      </c>
      <c r="H1597" s="64" t="s">
        <v>143</v>
      </c>
      <c r="I1597" s="64" t="s">
        <v>144</v>
      </c>
      <c r="J1597" s="67">
        <v>0</v>
      </c>
      <c r="K1597" s="62">
        <v>87000</v>
      </c>
      <c r="L1597" s="33" t="e">
        <f>HLOOKUP(B1597,#REF!,1,0)</f>
        <v>#REF!</v>
      </c>
      <c r="M1597" s="33" t="str">
        <f t="shared" si="99"/>
        <v>BS</v>
      </c>
    </row>
    <row r="1598" spans="1:13" s="33" customFormat="true" ht="12.75" customHeight="true">
      <c r="A1598" s="33" t="str">
        <f t="shared" si="96"/>
        <v>SC4 - Cash</v>
      </c>
      <c r="B1598" s="33" t="str">
        <f t="shared" si="97"/>
        <v>SC4</v>
      </c>
      <c r="C1598" s="33" t="str">
        <f t="shared" si="98"/>
        <v>10021-0000</v>
      </c>
      <c r="D1598" s="64" t="s">
        <v>2055</v>
      </c>
      <c r="E1598" s="64" t="s">
        <v>546</v>
      </c>
      <c r="F1598" s="64" t="s">
        <v>547</v>
      </c>
      <c r="G1598" s="64" t="s">
        <v>16</v>
      </c>
      <c r="H1598" s="64" t="s">
        <v>25</v>
      </c>
      <c r="I1598" s="64" t="s">
        <v>18</v>
      </c>
      <c r="J1598" s="67">
        <v>3928.33</v>
      </c>
      <c r="K1598" s="62">
        <v>15004.96</v>
      </c>
      <c r="L1598" s="33" t="e">
        <f>HLOOKUP(B1598,#REF!,1,0)</f>
        <v>#REF!</v>
      </c>
      <c r="M1598" s="33" t="str">
        <f t="shared" si="99"/>
        <v>BS</v>
      </c>
    </row>
    <row r="1599" spans="1:13" s="33" customFormat="true" ht="12.75" customHeight="true">
      <c r="A1599" s="33" t="str">
        <f t="shared" si="96"/>
        <v>SC4 - Intercompany</v>
      </c>
      <c r="B1599" s="33" t="str">
        <f t="shared" si="97"/>
        <v>SC4</v>
      </c>
      <c r="C1599" s="33" t="str">
        <f t="shared" si="98"/>
        <v>11231-0000</v>
      </c>
      <c r="D1599" s="64" t="s">
        <v>2056</v>
      </c>
      <c r="E1599" s="64" t="s">
        <v>549</v>
      </c>
      <c r="F1599" s="64" t="s">
        <v>547</v>
      </c>
      <c r="G1599" s="64" t="s">
        <v>16</v>
      </c>
      <c r="H1599" s="64" t="s">
        <v>39</v>
      </c>
      <c r="I1599" s="64" t="s">
        <v>40</v>
      </c>
      <c r="J1599" s="67">
        <v>-738.71</v>
      </c>
      <c r="K1599" s="62">
        <v>20347.14</v>
      </c>
      <c r="L1599" s="33" t="e">
        <f>HLOOKUP(B1599,#REF!,1,0)</f>
        <v>#REF!</v>
      </c>
      <c r="M1599" s="33" t="str">
        <f t="shared" si="99"/>
        <v>BS</v>
      </c>
    </row>
    <row r="1600" spans="1:13" s="33" customFormat="true" ht="12.75" customHeight="true">
      <c r="A1600" s="33" t="str">
        <f t="shared" si="96"/>
        <v>SC4 - Fixed Assets</v>
      </c>
      <c r="B1600" s="33" t="str">
        <f t="shared" si="97"/>
        <v>SC4</v>
      </c>
      <c r="C1600" s="33" t="str">
        <f t="shared" si="98"/>
        <v>16401-7355</v>
      </c>
      <c r="D1600" s="64" t="s">
        <v>2057</v>
      </c>
      <c r="E1600" s="64" t="s">
        <v>551</v>
      </c>
      <c r="F1600" s="64" t="s">
        <v>547</v>
      </c>
      <c r="G1600" s="64" t="s">
        <v>62</v>
      </c>
      <c r="H1600" s="64" t="s">
        <v>63</v>
      </c>
      <c r="I1600" s="64" t="s">
        <v>64</v>
      </c>
      <c r="J1600" s="67">
        <v>0</v>
      </c>
      <c r="K1600" s="62">
        <v>378277</v>
      </c>
      <c r="L1600" s="33" t="e">
        <f>HLOOKUP(B1600,#REF!,1,0)</f>
        <v>#REF!</v>
      </c>
      <c r="M1600" s="33" t="str">
        <f t="shared" si="99"/>
        <v>BS</v>
      </c>
    </row>
    <row r="1601" spans="1:13" s="33" customFormat="true" ht="12.75" customHeight="true">
      <c r="A1601" s="33" t="str">
        <f t="shared" si="96"/>
        <v>SC4 - Fixed Assets</v>
      </c>
      <c r="B1601" s="33" t="str">
        <f t="shared" si="97"/>
        <v>SC4</v>
      </c>
      <c r="C1601" s="33" t="str">
        <f t="shared" si="98"/>
        <v>16401-7400</v>
      </c>
      <c r="D1601" s="64" t="s">
        <v>2058</v>
      </c>
      <c r="E1601" s="64" t="s">
        <v>551</v>
      </c>
      <c r="F1601" s="64" t="s">
        <v>547</v>
      </c>
      <c r="G1601" s="64" t="s">
        <v>62</v>
      </c>
      <c r="H1601" s="64" t="s">
        <v>63</v>
      </c>
      <c r="I1601" s="64" t="s">
        <v>64</v>
      </c>
      <c r="J1601" s="67">
        <v>0</v>
      </c>
      <c r="K1601" s="62">
        <v>307373</v>
      </c>
      <c r="L1601" s="33" t="e">
        <f>HLOOKUP(B1601,#REF!,1,0)</f>
        <v>#REF!</v>
      </c>
      <c r="M1601" s="33" t="str">
        <f t="shared" si="99"/>
        <v>BS</v>
      </c>
    </row>
    <row r="1602" spans="1:13" s="33" customFormat="true" ht="12.75" customHeight="true">
      <c r="A1602" s="33" t="str">
        <f t="shared" ref="A1602:A1665" si="100">B1602&amp;" - "&amp;TRIM(H1602)</f>
        <v>SC4 - Fixed Assets</v>
      </c>
      <c r="B1602" s="33" t="str">
        <f t="shared" ref="B1602:B1665" si="101">LEFT(D1602,3)</f>
        <v>SC4</v>
      </c>
      <c r="C1602" s="33" t="str">
        <f t="shared" ref="C1602:C1665" si="102">RIGHT(D1602,10)</f>
        <v>16501-7355</v>
      </c>
      <c r="D1602" s="64" t="s">
        <v>2059</v>
      </c>
      <c r="E1602" s="64" t="s">
        <v>298</v>
      </c>
      <c r="F1602" s="64" t="s">
        <v>547</v>
      </c>
      <c r="G1602" s="64" t="s">
        <v>62</v>
      </c>
      <c r="H1602" s="64" t="s">
        <v>63</v>
      </c>
      <c r="I1602" s="64" t="s">
        <v>64</v>
      </c>
      <c r="J1602" s="67">
        <v>0</v>
      </c>
      <c r="K1602" s="62">
        <v>600000</v>
      </c>
      <c r="L1602" s="33" t="e">
        <f>HLOOKUP(B1602,#REF!,1,0)</f>
        <v>#REF!</v>
      </c>
      <c r="M1602" s="33" t="str">
        <f t="shared" ref="M1602:M1665" si="103">IF(VALUE(LEFT(C1602,5))&gt;40000,"P&amp;L","BS")</f>
        <v>BS</v>
      </c>
    </row>
    <row r="1603" spans="1:13" s="33" customFormat="true" ht="12.75" customHeight="true">
      <c r="A1603" s="33" t="str">
        <f t="shared" si="100"/>
        <v>SC4 - Fixed Assets</v>
      </c>
      <c r="B1603" s="33" t="str">
        <f t="shared" si="101"/>
        <v>SC4</v>
      </c>
      <c r="C1603" s="33" t="str">
        <f t="shared" si="102"/>
        <v>16501-7400</v>
      </c>
      <c r="D1603" s="64" t="s">
        <v>2060</v>
      </c>
      <c r="E1603" s="64" t="s">
        <v>298</v>
      </c>
      <c r="F1603" s="64" t="s">
        <v>547</v>
      </c>
      <c r="G1603" s="64" t="s">
        <v>62</v>
      </c>
      <c r="H1603" s="64" t="s">
        <v>63</v>
      </c>
      <c r="I1603" s="64" t="s">
        <v>64</v>
      </c>
      <c r="J1603" s="67">
        <v>0</v>
      </c>
      <c r="K1603" s="62">
        <v>491075</v>
      </c>
      <c r="L1603" s="33" t="e">
        <f>HLOOKUP(B1603,#REF!,1,0)</f>
        <v>#REF!</v>
      </c>
      <c r="M1603" s="33" t="str">
        <f t="shared" si="103"/>
        <v>BS</v>
      </c>
    </row>
    <row r="1604" spans="1:13" s="33" customFormat="true" ht="12.75" customHeight="true">
      <c r="A1604" s="33" t="str">
        <f t="shared" si="100"/>
        <v>SC4 - Fixed Assets</v>
      </c>
      <c r="B1604" s="33" t="str">
        <f t="shared" si="101"/>
        <v>SC4</v>
      </c>
      <c r="C1604" s="33" t="str">
        <f t="shared" si="102"/>
        <v>16601-7355</v>
      </c>
      <c r="D1604" s="64" t="s">
        <v>2061</v>
      </c>
      <c r="E1604" s="64" t="s">
        <v>1995</v>
      </c>
      <c r="F1604" s="64" t="s">
        <v>547</v>
      </c>
      <c r="G1604" s="64" t="s">
        <v>62</v>
      </c>
      <c r="H1604" s="64" t="s">
        <v>63</v>
      </c>
      <c r="I1604" s="64" t="s">
        <v>64</v>
      </c>
      <c r="J1604" s="67">
        <v>0</v>
      </c>
      <c r="K1604" s="62">
        <v>263492.98</v>
      </c>
      <c r="L1604" s="33" t="e">
        <f>HLOOKUP(B1604,#REF!,1,0)</f>
        <v>#REF!</v>
      </c>
      <c r="M1604" s="33" t="str">
        <f t="shared" si="103"/>
        <v>BS</v>
      </c>
    </row>
    <row r="1605" spans="1:13" s="33" customFormat="true" ht="12.75" customHeight="true">
      <c r="A1605" s="33" t="str">
        <f t="shared" si="100"/>
        <v>SC4 - Fixed Assets</v>
      </c>
      <c r="B1605" s="33" t="str">
        <f t="shared" si="101"/>
        <v>SC4</v>
      </c>
      <c r="C1605" s="33" t="str">
        <f t="shared" si="102"/>
        <v>16601-7400</v>
      </c>
      <c r="D1605" s="64" t="s">
        <v>2062</v>
      </c>
      <c r="E1605" s="64" t="s">
        <v>1995</v>
      </c>
      <c r="F1605" s="64" t="s">
        <v>547</v>
      </c>
      <c r="G1605" s="64" t="s">
        <v>62</v>
      </c>
      <c r="H1605" s="64" t="s">
        <v>63</v>
      </c>
      <c r="I1605" s="64" t="s">
        <v>64</v>
      </c>
      <c r="J1605" s="67">
        <v>0</v>
      </c>
      <c r="K1605" s="62">
        <v>192307.37</v>
      </c>
      <c r="L1605" s="33" t="e">
        <f>HLOOKUP(B1605,#REF!,1,0)</f>
        <v>#REF!</v>
      </c>
      <c r="M1605" s="33" t="str">
        <f t="shared" si="103"/>
        <v>BS</v>
      </c>
    </row>
    <row r="1606" spans="1:13" s="33" customFormat="true" ht="12.75" customHeight="true">
      <c r="A1606" s="33" t="str">
        <f t="shared" si="100"/>
        <v>SC4 - Fixed Assets</v>
      </c>
      <c r="B1606" s="33" t="str">
        <f t="shared" si="101"/>
        <v>SC4</v>
      </c>
      <c r="C1606" s="33" t="str">
        <f t="shared" si="102"/>
        <v>16901-0000</v>
      </c>
      <c r="D1606" s="64" t="s">
        <v>2063</v>
      </c>
      <c r="E1606" s="64" t="s">
        <v>993</v>
      </c>
      <c r="F1606" s="64" t="s">
        <v>547</v>
      </c>
      <c r="G1606" s="64" t="s">
        <v>62</v>
      </c>
      <c r="H1606" s="64" t="s">
        <v>63</v>
      </c>
      <c r="I1606" s="64" t="s">
        <v>64</v>
      </c>
      <c r="J1606" s="67">
        <v>0</v>
      </c>
      <c r="K1606" s="62">
        <v>-696022.28</v>
      </c>
      <c r="L1606" s="33" t="e">
        <f>HLOOKUP(B1606,#REF!,1,0)</f>
        <v>#REF!</v>
      </c>
      <c r="M1606" s="33" t="str">
        <f t="shared" si="103"/>
        <v>BS</v>
      </c>
    </row>
    <row r="1607" spans="1:13" s="33" customFormat="true" ht="12.75" customHeight="true">
      <c r="A1607" s="33" t="str">
        <f t="shared" si="100"/>
        <v>SC4 - Fixed Assets</v>
      </c>
      <c r="B1607" s="33" t="str">
        <f t="shared" si="101"/>
        <v>SC4</v>
      </c>
      <c r="C1607" s="33" t="str">
        <f t="shared" si="102"/>
        <v>18502-0000</v>
      </c>
      <c r="D1607" s="64" t="s">
        <v>2064</v>
      </c>
      <c r="E1607" s="64" t="s">
        <v>304</v>
      </c>
      <c r="F1607" s="64" t="s">
        <v>547</v>
      </c>
      <c r="G1607" s="64" t="s">
        <v>62</v>
      </c>
      <c r="H1607" s="64" t="s">
        <v>63</v>
      </c>
      <c r="I1607" s="64" t="s">
        <v>81</v>
      </c>
      <c r="J1607" s="67">
        <v>0</v>
      </c>
      <c r="K1607" s="62">
        <v>7736.62</v>
      </c>
      <c r="L1607" s="33" t="e">
        <f>HLOOKUP(B1607,#REF!,1,0)</f>
        <v>#REF!</v>
      </c>
      <c r="M1607" s="33" t="str">
        <f t="shared" si="103"/>
        <v>BS</v>
      </c>
    </row>
    <row r="1608" spans="1:13" s="33" customFormat="true" ht="12.75" customHeight="true">
      <c r="A1608" s="33" t="str">
        <f t="shared" si="100"/>
        <v>SC4 - AP-Accr Exp</v>
      </c>
      <c r="B1608" s="33" t="str">
        <f t="shared" si="101"/>
        <v>SC4</v>
      </c>
      <c r="C1608" s="33" t="str">
        <f t="shared" si="102"/>
        <v>20001-0000</v>
      </c>
      <c r="D1608" s="64" t="s">
        <v>2065</v>
      </c>
      <c r="E1608" s="64" t="s">
        <v>96</v>
      </c>
      <c r="F1608" s="64" t="s">
        <v>547</v>
      </c>
      <c r="G1608" s="64" t="s">
        <v>97</v>
      </c>
      <c r="H1608" s="64" t="s">
        <v>98</v>
      </c>
      <c r="I1608" s="64" t="s">
        <v>99</v>
      </c>
      <c r="J1608" s="67">
        <v>0</v>
      </c>
      <c r="K1608" s="62">
        <v>0</v>
      </c>
      <c r="L1608" s="33" t="e">
        <f>HLOOKUP(B1608,#REF!,1,0)</f>
        <v>#REF!</v>
      </c>
      <c r="M1608" s="33" t="str">
        <f t="shared" si="103"/>
        <v>BS</v>
      </c>
    </row>
    <row r="1609" spans="1:13" s="33" customFormat="true" ht="12.75" customHeight="true">
      <c r="A1609" s="33" t="str">
        <f t="shared" si="100"/>
        <v>SC4 - Tax Accr</v>
      </c>
      <c r="B1609" s="33" t="str">
        <f t="shared" si="101"/>
        <v>SC4</v>
      </c>
      <c r="C1609" s="33" t="str">
        <f t="shared" si="102"/>
        <v>24001-0000</v>
      </c>
      <c r="D1609" s="64" t="s">
        <v>2066</v>
      </c>
      <c r="E1609" s="64" t="s">
        <v>748</v>
      </c>
      <c r="F1609" s="64" t="s">
        <v>547</v>
      </c>
      <c r="G1609" s="64" t="s">
        <v>97</v>
      </c>
      <c r="H1609" s="64" t="s">
        <v>105</v>
      </c>
      <c r="I1609" s="64" t="s">
        <v>102</v>
      </c>
      <c r="J1609" s="67">
        <v>0</v>
      </c>
      <c r="K1609" s="62">
        <v>-1700</v>
      </c>
      <c r="L1609" s="33" t="e">
        <f>HLOOKUP(B1609,#REF!,1,0)</f>
        <v>#REF!</v>
      </c>
      <c r="M1609" s="33" t="str">
        <f t="shared" si="103"/>
        <v>BS</v>
      </c>
    </row>
    <row r="1610" spans="1:13" s="33" customFormat="true" ht="12.75" customHeight="true">
      <c r="A1610" s="33" t="str">
        <f t="shared" si="100"/>
        <v>SC4 - AP-Accr Exp</v>
      </c>
      <c r="B1610" s="33" t="str">
        <f t="shared" si="101"/>
        <v>SC4</v>
      </c>
      <c r="C1610" s="33" t="str">
        <f t="shared" si="102"/>
        <v>24501-0000</v>
      </c>
      <c r="D1610" s="64" t="s">
        <v>2067</v>
      </c>
      <c r="E1610" s="64" t="s">
        <v>560</v>
      </c>
      <c r="F1610" s="64" t="s">
        <v>547</v>
      </c>
      <c r="G1610" s="64" t="s">
        <v>97</v>
      </c>
      <c r="H1610" s="64" t="s">
        <v>98</v>
      </c>
      <c r="I1610" s="64" t="s">
        <v>128</v>
      </c>
      <c r="J1610" s="67">
        <v>0</v>
      </c>
      <c r="K1610" s="62">
        <v>-8501.9</v>
      </c>
      <c r="L1610" s="33" t="e">
        <f>HLOOKUP(B1610,#REF!,1,0)</f>
        <v>#REF!</v>
      </c>
      <c r="M1610" s="33" t="str">
        <f t="shared" si="103"/>
        <v>BS</v>
      </c>
    </row>
    <row r="1611" spans="1:13" s="33" customFormat="true" ht="12.75" customHeight="true">
      <c r="A1611" s="33" t="str">
        <f t="shared" si="100"/>
        <v>SC4 - AP-Accr Exp</v>
      </c>
      <c r="B1611" s="33" t="str">
        <f t="shared" si="101"/>
        <v>SC4</v>
      </c>
      <c r="C1611" s="33" t="str">
        <f t="shared" si="102"/>
        <v>25500-0000</v>
      </c>
      <c r="D1611" s="64" t="s">
        <v>2068</v>
      </c>
      <c r="E1611" s="64" t="s">
        <v>122</v>
      </c>
      <c r="F1611" s="64" t="s">
        <v>562</v>
      </c>
      <c r="G1611" s="64" t="s">
        <v>123</v>
      </c>
      <c r="H1611" s="64" t="s">
        <v>98</v>
      </c>
      <c r="I1611" s="64" t="s">
        <v>124</v>
      </c>
      <c r="J1611" s="67">
        <v>0</v>
      </c>
      <c r="K1611" s="62">
        <v>121149</v>
      </c>
      <c r="L1611" s="33" t="e">
        <f>HLOOKUP(B1611,#REF!,1,0)</f>
        <v>#REF!</v>
      </c>
      <c r="M1611" s="33" t="str">
        <f t="shared" si="103"/>
        <v>BS</v>
      </c>
    </row>
    <row r="1612" spans="1:13" s="33" customFormat="true" ht="12.75" customHeight="true">
      <c r="A1612" s="33" t="str">
        <f t="shared" si="100"/>
        <v>SC4 - Principal</v>
      </c>
      <c r="B1612" s="33" t="str">
        <f t="shared" si="101"/>
        <v>SC4</v>
      </c>
      <c r="C1612" s="33" t="str">
        <f t="shared" si="102"/>
        <v>26001-0000</v>
      </c>
      <c r="D1612" s="64" t="s">
        <v>2069</v>
      </c>
      <c r="E1612" s="64" t="s">
        <v>126</v>
      </c>
      <c r="F1612" s="64" t="s">
        <v>547</v>
      </c>
      <c r="G1612" s="64" t="s">
        <v>97</v>
      </c>
      <c r="H1612" s="64" t="s">
        <v>127</v>
      </c>
      <c r="I1612" s="64" t="s">
        <v>128</v>
      </c>
      <c r="J1612" s="67">
        <v>0</v>
      </c>
      <c r="K1612" s="62">
        <v>-49238.18</v>
      </c>
      <c r="L1612" s="33" t="e">
        <f>HLOOKUP(B1612,#REF!,1,0)</f>
        <v>#REF!</v>
      </c>
      <c r="M1612" s="33" t="str">
        <f t="shared" si="103"/>
        <v>BS</v>
      </c>
    </row>
    <row r="1613" spans="1:13" s="33" customFormat="true" ht="12.75" customHeight="true">
      <c r="A1613" s="33" t="str">
        <f t="shared" si="100"/>
        <v>SC4 - Principal</v>
      </c>
      <c r="B1613" s="33" t="str">
        <f t="shared" si="101"/>
        <v>SC4</v>
      </c>
      <c r="C1613" s="33" t="str">
        <f t="shared" si="102"/>
        <v>28003-0000</v>
      </c>
      <c r="D1613" s="64" t="s">
        <v>2070</v>
      </c>
      <c r="E1613" s="64" t="s">
        <v>565</v>
      </c>
      <c r="F1613" s="64" t="s">
        <v>547</v>
      </c>
      <c r="G1613" s="64" t="s">
        <v>123</v>
      </c>
      <c r="H1613" s="64" t="s">
        <v>127</v>
      </c>
      <c r="I1613" s="64" t="s">
        <v>133</v>
      </c>
      <c r="J1613" s="67">
        <v>4348.12</v>
      </c>
      <c r="K1613" s="62">
        <v>-1797084.28</v>
      </c>
      <c r="L1613" s="33" t="e">
        <f>HLOOKUP(B1613,#REF!,1,0)</f>
        <v>#REF!</v>
      </c>
      <c r="M1613" s="33" t="str">
        <f t="shared" si="103"/>
        <v>BS</v>
      </c>
    </row>
    <row r="1614" spans="1:13" s="33" customFormat="true" ht="12.75" customHeight="true">
      <c r="A1614" s="33" t="str">
        <f t="shared" si="100"/>
        <v>SC4 - Principal</v>
      </c>
      <c r="B1614" s="33" t="str">
        <f t="shared" si="101"/>
        <v>SC4</v>
      </c>
      <c r="C1614" s="33" t="str">
        <f t="shared" si="102"/>
        <v>28801-0000</v>
      </c>
      <c r="D1614" s="64" t="s">
        <v>2071</v>
      </c>
      <c r="E1614" s="64" t="s">
        <v>567</v>
      </c>
      <c r="F1614" s="64" t="s">
        <v>547</v>
      </c>
      <c r="G1614" s="64" t="s">
        <v>123</v>
      </c>
      <c r="H1614" s="64" t="s">
        <v>127</v>
      </c>
      <c r="I1614" s="64" t="s">
        <v>102</v>
      </c>
      <c r="J1614" s="67">
        <v>0</v>
      </c>
      <c r="K1614" s="62">
        <v>-172576.4</v>
      </c>
      <c r="L1614" s="33" t="e">
        <f>HLOOKUP(B1614,#REF!,1,0)</f>
        <v>#REF!</v>
      </c>
      <c r="M1614" s="33" t="str">
        <f t="shared" si="103"/>
        <v>BS</v>
      </c>
    </row>
    <row r="1615" spans="1:13" s="33" customFormat="true" ht="12.75" customHeight="true">
      <c r="A1615" s="33" t="str">
        <f t="shared" si="100"/>
        <v>SC4 - Principal</v>
      </c>
      <c r="B1615" s="33" t="str">
        <f t="shared" si="101"/>
        <v>SC4</v>
      </c>
      <c r="C1615" s="33" t="str">
        <f t="shared" si="102"/>
        <v>28802-0000</v>
      </c>
      <c r="D1615" s="64" t="s">
        <v>2072</v>
      </c>
      <c r="E1615" s="64" t="s">
        <v>569</v>
      </c>
      <c r="F1615" s="64" t="s">
        <v>547</v>
      </c>
      <c r="G1615" s="64" t="s">
        <v>123</v>
      </c>
      <c r="H1615" s="64" t="s">
        <v>127</v>
      </c>
      <c r="I1615" s="64" t="s">
        <v>102</v>
      </c>
      <c r="J1615" s="67">
        <v>0</v>
      </c>
      <c r="K1615" s="62">
        <v>172576.4</v>
      </c>
      <c r="L1615" s="33" t="e">
        <f>HLOOKUP(B1615,#REF!,1,0)</f>
        <v>#REF!</v>
      </c>
      <c r="M1615" s="33" t="str">
        <f t="shared" si="103"/>
        <v>BS</v>
      </c>
    </row>
    <row r="1616" spans="1:13" s="33" customFormat="true" ht="12.75" customHeight="true">
      <c r="A1616" s="33" t="str">
        <f t="shared" si="100"/>
        <v>SC4 - Retained Earnings</v>
      </c>
      <c r="B1616" s="33" t="str">
        <f t="shared" si="101"/>
        <v>SC4</v>
      </c>
      <c r="C1616" s="33" t="str">
        <f t="shared" si="102"/>
        <v>32000-0000</v>
      </c>
      <c r="D1616" s="64" t="s">
        <v>2073</v>
      </c>
      <c r="E1616" s="64" t="s">
        <v>234</v>
      </c>
      <c r="F1616" s="64" t="s">
        <v>547</v>
      </c>
      <c r="G1616" s="64" t="s">
        <v>142</v>
      </c>
      <c r="H1616" s="64" t="s">
        <v>149</v>
      </c>
      <c r="I1616" s="64" t="s">
        <v>150</v>
      </c>
      <c r="J1616" s="67">
        <v>0</v>
      </c>
      <c r="K1616" s="62">
        <v>167883.3</v>
      </c>
      <c r="L1616" s="33" t="e">
        <f>HLOOKUP(B1616,#REF!,1,0)</f>
        <v>#REF!</v>
      </c>
      <c r="M1616" s="33" t="str">
        <f t="shared" si="103"/>
        <v>BS</v>
      </c>
    </row>
    <row r="1617" spans="1:13" s="33" customFormat="true" ht="12.75" customHeight="true">
      <c r="A1617" s="33" t="str">
        <f t="shared" si="100"/>
        <v>SC4 - SH Dist</v>
      </c>
      <c r="B1617" s="33" t="str">
        <f t="shared" si="101"/>
        <v>SC4</v>
      </c>
      <c r="C1617" s="33" t="str">
        <f t="shared" si="102"/>
        <v>37001-0000</v>
      </c>
      <c r="D1617" s="64" t="s">
        <v>2074</v>
      </c>
      <c r="E1617" s="64" t="s">
        <v>572</v>
      </c>
      <c r="F1617" s="64" t="s">
        <v>547</v>
      </c>
      <c r="G1617" s="64" t="s">
        <v>142</v>
      </c>
      <c r="H1617" s="64" t="s">
        <v>143</v>
      </c>
      <c r="I1617" s="64" t="s">
        <v>144</v>
      </c>
      <c r="J1617" s="67">
        <v>0</v>
      </c>
      <c r="K1617" s="62">
        <v>65000</v>
      </c>
      <c r="L1617" s="33" t="e">
        <f>HLOOKUP(B1617,#REF!,1,0)</f>
        <v>#REF!</v>
      </c>
      <c r="M1617" s="33" t="str">
        <f t="shared" si="103"/>
        <v>BS</v>
      </c>
    </row>
    <row r="1618" spans="1:13" s="33" customFormat="true" ht="12.75" customHeight="true">
      <c r="A1618" s="33" t="str">
        <f t="shared" si="100"/>
        <v>SCL - Inventory</v>
      </c>
      <c r="B1618" s="33" t="str">
        <f t="shared" si="101"/>
        <v>SCL</v>
      </c>
      <c r="C1618" s="33" t="str">
        <f t="shared" si="102"/>
        <v>10005-7351</v>
      </c>
      <c r="D1618" s="64" t="s">
        <v>2075</v>
      </c>
      <c r="E1618" s="64" t="s">
        <v>14</v>
      </c>
      <c r="F1618" s="64" t="s">
        <v>15</v>
      </c>
      <c r="G1618" s="64" t="s">
        <v>16</v>
      </c>
      <c r="H1618" s="64" t="s">
        <v>17</v>
      </c>
      <c r="I1618" s="64" t="s">
        <v>18</v>
      </c>
      <c r="J1618" s="67">
        <v>0</v>
      </c>
      <c r="K1618" s="62">
        <v>1638</v>
      </c>
      <c r="L1618" s="33" t="e">
        <f>HLOOKUP(B1618,#REF!,1,0)</f>
        <v>#REF!</v>
      </c>
      <c r="M1618" s="33" t="str">
        <f t="shared" si="103"/>
        <v>BS</v>
      </c>
    </row>
    <row r="1619" spans="1:13" s="33" customFormat="true" ht="12.75" customHeight="true">
      <c r="A1619" s="33" t="str">
        <f t="shared" si="100"/>
        <v>SCL - Inventory</v>
      </c>
      <c r="B1619" s="33" t="str">
        <f t="shared" si="101"/>
        <v>SCL</v>
      </c>
      <c r="C1619" s="33" t="str">
        <f t="shared" si="102"/>
        <v>10005-7352</v>
      </c>
      <c r="D1619" s="64" t="s">
        <v>2076</v>
      </c>
      <c r="E1619" s="64" t="s">
        <v>14</v>
      </c>
      <c r="F1619" s="64" t="s">
        <v>15</v>
      </c>
      <c r="G1619" s="64" t="s">
        <v>16</v>
      </c>
      <c r="H1619" s="64" t="s">
        <v>17</v>
      </c>
      <c r="I1619" s="64" t="s">
        <v>18</v>
      </c>
      <c r="J1619" s="67">
        <v>0</v>
      </c>
      <c r="K1619" s="62">
        <v>1776.62</v>
      </c>
      <c r="L1619" s="33" t="e">
        <f>HLOOKUP(B1619,#REF!,1,0)</f>
        <v>#REF!</v>
      </c>
      <c r="M1619" s="33" t="str">
        <f t="shared" si="103"/>
        <v>BS</v>
      </c>
    </row>
    <row r="1620" spans="1:13" s="33" customFormat="true" ht="12.75" customHeight="true">
      <c r="A1620" s="33" t="str">
        <f t="shared" si="100"/>
        <v>SCL - Inventory</v>
      </c>
      <c r="B1620" s="33" t="str">
        <f t="shared" si="101"/>
        <v>SCL</v>
      </c>
      <c r="C1620" s="33" t="str">
        <f t="shared" si="102"/>
        <v>10005-7355</v>
      </c>
      <c r="D1620" s="64" t="s">
        <v>2077</v>
      </c>
      <c r="E1620" s="64" t="s">
        <v>14</v>
      </c>
      <c r="F1620" s="64" t="s">
        <v>15</v>
      </c>
      <c r="G1620" s="64" t="s">
        <v>16</v>
      </c>
      <c r="H1620" s="64" t="s">
        <v>17</v>
      </c>
      <c r="I1620" s="64" t="s">
        <v>18</v>
      </c>
      <c r="J1620" s="67">
        <v>0</v>
      </c>
      <c r="K1620" s="62">
        <v>1319.3</v>
      </c>
      <c r="L1620" s="33" t="e">
        <f>HLOOKUP(B1620,#REF!,1,0)</f>
        <v>#REF!</v>
      </c>
      <c r="M1620" s="33" t="str">
        <f t="shared" si="103"/>
        <v>BS</v>
      </c>
    </row>
    <row r="1621" spans="1:13" s="33" customFormat="true" ht="12.75" customHeight="true">
      <c r="A1621" s="33" t="str">
        <f t="shared" si="100"/>
        <v>SCL - Inventory</v>
      </c>
      <c r="B1621" s="33" t="str">
        <f t="shared" si="101"/>
        <v>SCL</v>
      </c>
      <c r="C1621" s="33" t="str">
        <f t="shared" si="102"/>
        <v>10005-7356</v>
      </c>
      <c r="D1621" s="64" t="s">
        <v>2078</v>
      </c>
      <c r="E1621" s="64" t="s">
        <v>14</v>
      </c>
      <c r="F1621" s="64" t="s">
        <v>15</v>
      </c>
      <c r="G1621" s="64" t="s">
        <v>16</v>
      </c>
      <c r="H1621" s="64" t="s">
        <v>17</v>
      </c>
      <c r="I1621" s="64" t="s">
        <v>18</v>
      </c>
      <c r="J1621" s="67">
        <v>0</v>
      </c>
      <c r="K1621" s="62">
        <v>1401.16</v>
      </c>
      <c r="L1621" s="33" t="e">
        <f>HLOOKUP(B1621,#REF!,1,0)</f>
        <v>#REF!</v>
      </c>
      <c r="M1621" s="33" t="str">
        <f t="shared" si="103"/>
        <v>BS</v>
      </c>
    </row>
    <row r="1622" spans="1:13" s="33" customFormat="true" ht="12.75" customHeight="true">
      <c r="A1622" s="33" t="str">
        <f t="shared" si="100"/>
        <v>SCL - Inventory</v>
      </c>
      <c r="B1622" s="33" t="str">
        <f t="shared" si="101"/>
        <v>SCL</v>
      </c>
      <c r="C1622" s="33" t="str">
        <f t="shared" si="102"/>
        <v>10005-7359</v>
      </c>
      <c r="D1622" s="64" t="s">
        <v>2079</v>
      </c>
      <c r="E1622" s="64" t="s">
        <v>14</v>
      </c>
      <c r="F1622" s="64" t="s">
        <v>15</v>
      </c>
      <c r="G1622" s="64" t="s">
        <v>16</v>
      </c>
      <c r="H1622" s="64" t="s">
        <v>17</v>
      </c>
      <c r="I1622" s="64" t="s">
        <v>18</v>
      </c>
      <c r="J1622" s="67">
        <v>0</v>
      </c>
      <c r="K1622" s="62">
        <v>1388</v>
      </c>
      <c r="L1622" s="33" t="e">
        <f>HLOOKUP(B1622,#REF!,1,0)</f>
        <v>#REF!</v>
      </c>
      <c r="M1622" s="33" t="str">
        <f t="shared" si="103"/>
        <v>BS</v>
      </c>
    </row>
    <row r="1623" spans="1:13" s="33" customFormat="true" ht="12.75" customHeight="true">
      <c r="A1623" s="33" t="str">
        <f t="shared" si="100"/>
        <v>SCL - Inventory</v>
      </c>
      <c r="B1623" s="33" t="str">
        <f t="shared" si="101"/>
        <v>SCL</v>
      </c>
      <c r="C1623" s="33" t="str">
        <f t="shared" si="102"/>
        <v>10005-7360</v>
      </c>
      <c r="D1623" s="64" t="s">
        <v>2080</v>
      </c>
      <c r="E1623" s="64" t="s">
        <v>14</v>
      </c>
      <c r="F1623" s="64" t="s">
        <v>15</v>
      </c>
      <c r="G1623" s="64" t="s">
        <v>16</v>
      </c>
      <c r="H1623" s="64" t="s">
        <v>17</v>
      </c>
      <c r="I1623" s="64" t="s">
        <v>18</v>
      </c>
      <c r="J1623" s="67">
        <v>0</v>
      </c>
      <c r="K1623" s="62">
        <v>1134</v>
      </c>
      <c r="L1623" s="33" t="e">
        <f>HLOOKUP(B1623,#REF!,1,0)</f>
        <v>#REF!</v>
      </c>
      <c r="M1623" s="33" t="str">
        <f t="shared" si="103"/>
        <v>BS</v>
      </c>
    </row>
    <row r="1624" spans="1:13" s="33" customFormat="true" ht="12.75" customHeight="true">
      <c r="A1624" s="33" t="str">
        <f t="shared" si="100"/>
        <v>SCL - Inventory</v>
      </c>
      <c r="B1624" s="33" t="str">
        <f t="shared" si="101"/>
        <v>SCL</v>
      </c>
      <c r="C1624" s="33" t="str">
        <f t="shared" si="102"/>
        <v>10005-7361</v>
      </c>
      <c r="D1624" s="64" t="s">
        <v>2081</v>
      </c>
      <c r="E1624" s="64" t="s">
        <v>14</v>
      </c>
      <c r="F1624" s="64" t="s">
        <v>15</v>
      </c>
      <c r="G1624" s="64" t="s">
        <v>16</v>
      </c>
      <c r="H1624" s="64" t="s">
        <v>17</v>
      </c>
      <c r="I1624" s="64" t="s">
        <v>18</v>
      </c>
      <c r="J1624" s="67">
        <v>0</v>
      </c>
      <c r="K1624" s="62">
        <v>2413</v>
      </c>
      <c r="L1624" s="33" t="e">
        <f>HLOOKUP(B1624,#REF!,1,0)</f>
        <v>#REF!</v>
      </c>
      <c r="M1624" s="33" t="str">
        <f t="shared" si="103"/>
        <v>BS</v>
      </c>
    </row>
    <row r="1625" spans="1:13" s="33" customFormat="true" ht="12.75" customHeight="true">
      <c r="A1625" s="33" t="str">
        <f t="shared" si="100"/>
        <v>SCL - Inventory</v>
      </c>
      <c r="B1625" s="33" t="str">
        <f t="shared" si="101"/>
        <v>SCL</v>
      </c>
      <c r="C1625" s="33" t="str">
        <f t="shared" si="102"/>
        <v>10005-7362</v>
      </c>
      <c r="D1625" s="64" t="s">
        <v>2082</v>
      </c>
      <c r="E1625" s="64" t="s">
        <v>14</v>
      </c>
      <c r="F1625" s="64" t="s">
        <v>15</v>
      </c>
      <c r="G1625" s="64" t="s">
        <v>16</v>
      </c>
      <c r="H1625" s="64" t="s">
        <v>17</v>
      </c>
      <c r="I1625" s="64" t="s">
        <v>18</v>
      </c>
      <c r="J1625" s="67">
        <v>0</v>
      </c>
      <c r="K1625" s="62">
        <v>1780.37</v>
      </c>
      <c r="L1625" s="33" t="e">
        <f>HLOOKUP(B1625,#REF!,1,0)</f>
        <v>#REF!</v>
      </c>
      <c r="M1625" s="33" t="str">
        <f t="shared" si="103"/>
        <v>BS</v>
      </c>
    </row>
    <row r="1626" spans="1:13" s="33" customFormat="true" ht="12.75" customHeight="true">
      <c r="A1626" s="33" t="str">
        <f t="shared" si="100"/>
        <v>SCL - Inventory</v>
      </c>
      <c r="B1626" s="33" t="str">
        <f t="shared" si="101"/>
        <v>SCL</v>
      </c>
      <c r="C1626" s="33" t="str">
        <f t="shared" si="102"/>
        <v>10005-7363</v>
      </c>
      <c r="D1626" s="64" t="s">
        <v>2083</v>
      </c>
      <c r="E1626" s="64" t="s">
        <v>14</v>
      </c>
      <c r="F1626" s="64" t="s">
        <v>15</v>
      </c>
      <c r="G1626" s="64" t="s">
        <v>16</v>
      </c>
      <c r="H1626" s="64" t="s">
        <v>17</v>
      </c>
      <c r="I1626" s="64" t="s">
        <v>18</v>
      </c>
      <c r="J1626" s="67">
        <v>0</v>
      </c>
      <c r="K1626" s="62">
        <v>1507.22</v>
      </c>
      <c r="L1626" s="33" t="e">
        <f>HLOOKUP(B1626,#REF!,1,0)</f>
        <v>#REF!</v>
      </c>
      <c r="M1626" s="33" t="str">
        <f t="shared" si="103"/>
        <v>BS</v>
      </c>
    </row>
    <row r="1627" spans="1:13" s="33" customFormat="true" ht="12.75" customHeight="true">
      <c r="A1627" s="33" t="str">
        <f t="shared" si="100"/>
        <v>SCL - Inventory</v>
      </c>
      <c r="B1627" s="33" t="str">
        <f t="shared" si="101"/>
        <v>SCL</v>
      </c>
      <c r="C1627" s="33" t="str">
        <f t="shared" si="102"/>
        <v>10005-7364</v>
      </c>
      <c r="D1627" s="64" t="s">
        <v>2084</v>
      </c>
      <c r="E1627" s="64" t="s">
        <v>14</v>
      </c>
      <c r="F1627" s="64" t="s">
        <v>15</v>
      </c>
      <c r="G1627" s="64" t="s">
        <v>16</v>
      </c>
      <c r="H1627" s="64" t="s">
        <v>17</v>
      </c>
      <c r="I1627" s="64" t="s">
        <v>18</v>
      </c>
      <c r="J1627" s="67">
        <v>0</v>
      </c>
      <c r="K1627" s="62">
        <v>1878</v>
      </c>
      <c r="L1627" s="33" t="e">
        <f>HLOOKUP(B1627,#REF!,1,0)</f>
        <v>#REF!</v>
      </c>
      <c r="M1627" s="33" t="str">
        <f t="shared" si="103"/>
        <v>BS</v>
      </c>
    </row>
    <row r="1628" spans="1:13" s="33" customFormat="true" ht="12.75" customHeight="true">
      <c r="A1628" s="33" t="str">
        <f t="shared" si="100"/>
        <v>SCL - Inventory</v>
      </c>
      <c r="B1628" s="33" t="str">
        <f t="shared" si="101"/>
        <v>SCL</v>
      </c>
      <c r="C1628" s="33" t="str">
        <f t="shared" si="102"/>
        <v>10005-7365</v>
      </c>
      <c r="D1628" s="64" t="s">
        <v>2085</v>
      </c>
      <c r="E1628" s="64" t="s">
        <v>14</v>
      </c>
      <c r="F1628" s="64" t="s">
        <v>15</v>
      </c>
      <c r="G1628" s="64" t="s">
        <v>16</v>
      </c>
      <c r="H1628" s="64" t="s">
        <v>17</v>
      </c>
      <c r="I1628" s="64" t="s">
        <v>18</v>
      </c>
      <c r="J1628" s="67">
        <v>0</v>
      </c>
      <c r="K1628" s="62">
        <v>1506.39</v>
      </c>
      <c r="L1628" s="33" t="e">
        <f>HLOOKUP(B1628,#REF!,1,0)</f>
        <v>#REF!</v>
      </c>
      <c r="M1628" s="33" t="str">
        <f t="shared" si="103"/>
        <v>BS</v>
      </c>
    </row>
    <row r="1629" spans="1:13" s="33" customFormat="true" ht="12.75" customHeight="true">
      <c r="A1629" s="33" t="str">
        <f t="shared" si="100"/>
        <v>SCL - Inventory</v>
      </c>
      <c r="B1629" s="33" t="str">
        <f t="shared" si="101"/>
        <v>SCL</v>
      </c>
      <c r="C1629" s="33" t="str">
        <f t="shared" si="102"/>
        <v>10005-7366</v>
      </c>
      <c r="D1629" s="64" t="s">
        <v>2086</v>
      </c>
      <c r="E1629" s="64" t="s">
        <v>14</v>
      </c>
      <c r="F1629" s="64" t="s">
        <v>15</v>
      </c>
      <c r="G1629" s="64" t="s">
        <v>16</v>
      </c>
      <c r="H1629" s="64" t="s">
        <v>17</v>
      </c>
      <c r="I1629" s="64" t="s">
        <v>18</v>
      </c>
      <c r="J1629" s="67">
        <v>0</v>
      </c>
      <c r="K1629" s="62">
        <v>2483</v>
      </c>
      <c r="L1629" s="33" t="e">
        <f>HLOOKUP(B1629,#REF!,1,0)</f>
        <v>#REF!</v>
      </c>
      <c r="M1629" s="33" t="str">
        <f t="shared" si="103"/>
        <v>BS</v>
      </c>
    </row>
    <row r="1630" spans="1:13" s="33" customFormat="true" ht="12.75" customHeight="true">
      <c r="A1630" s="33" t="str">
        <f t="shared" si="100"/>
        <v>SCL - Inventory</v>
      </c>
      <c r="B1630" s="33" t="str">
        <f t="shared" si="101"/>
        <v>SCL</v>
      </c>
      <c r="C1630" s="33" t="str">
        <f t="shared" si="102"/>
        <v>10005-7368</v>
      </c>
      <c r="D1630" s="64" t="s">
        <v>2087</v>
      </c>
      <c r="E1630" s="64" t="s">
        <v>14</v>
      </c>
      <c r="F1630" s="64" t="s">
        <v>15</v>
      </c>
      <c r="G1630" s="64" t="s">
        <v>16</v>
      </c>
      <c r="H1630" s="64" t="s">
        <v>17</v>
      </c>
      <c r="I1630" s="64" t="s">
        <v>18</v>
      </c>
      <c r="J1630" s="67">
        <v>0</v>
      </c>
      <c r="K1630" s="62">
        <v>2453</v>
      </c>
      <c r="L1630" s="33" t="e">
        <f>HLOOKUP(B1630,#REF!,1,0)</f>
        <v>#REF!</v>
      </c>
      <c r="M1630" s="33" t="str">
        <f t="shared" si="103"/>
        <v>BS</v>
      </c>
    </row>
    <row r="1631" spans="1:13" s="33" customFormat="true" ht="12.75" customHeight="true">
      <c r="A1631" s="33" t="str">
        <f t="shared" si="100"/>
        <v>SCL - Inventory</v>
      </c>
      <c r="B1631" s="33" t="str">
        <f t="shared" si="101"/>
        <v>SCL</v>
      </c>
      <c r="C1631" s="33" t="str">
        <f t="shared" si="102"/>
        <v>10005-7369</v>
      </c>
      <c r="D1631" s="64" t="s">
        <v>2088</v>
      </c>
      <c r="E1631" s="64" t="s">
        <v>14</v>
      </c>
      <c r="F1631" s="64" t="s">
        <v>15</v>
      </c>
      <c r="G1631" s="64" t="s">
        <v>16</v>
      </c>
      <c r="H1631" s="64" t="s">
        <v>17</v>
      </c>
      <c r="I1631" s="64" t="s">
        <v>18</v>
      </c>
      <c r="J1631" s="67">
        <v>0</v>
      </c>
      <c r="K1631" s="62">
        <v>1518.89</v>
      </c>
      <c r="L1631" s="33" t="e">
        <f>HLOOKUP(B1631,#REF!,1,0)</f>
        <v>#REF!</v>
      </c>
      <c r="M1631" s="33" t="str">
        <f t="shared" si="103"/>
        <v>BS</v>
      </c>
    </row>
    <row r="1632" spans="1:13" s="33" customFormat="true" ht="12.75" customHeight="true">
      <c r="A1632" s="33" t="str">
        <f t="shared" si="100"/>
        <v>SCL - Inventory</v>
      </c>
      <c r="B1632" s="33" t="str">
        <f t="shared" si="101"/>
        <v>SCL</v>
      </c>
      <c r="C1632" s="33" t="str">
        <f t="shared" si="102"/>
        <v>10005-7370</v>
      </c>
      <c r="D1632" s="64" t="s">
        <v>2089</v>
      </c>
      <c r="E1632" s="64" t="s">
        <v>14</v>
      </c>
      <c r="F1632" s="64" t="s">
        <v>15</v>
      </c>
      <c r="G1632" s="64" t="s">
        <v>16</v>
      </c>
      <c r="H1632" s="64" t="s">
        <v>17</v>
      </c>
      <c r="I1632" s="64" t="s">
        <v>18</v>
      </c>
      <c r="J1632" s="67">
        <v>0</v>
      </c>
      <c r="K1632" s="62">
        <v>0</v>
      </c>
      <c r="L1632" s="33" t="e">
        <f>HLOOKUP(B1632,#REF!,1,0)</f>
        <v>#REF!</v>
      </c>
      <c r="M1632" s="33" t="str">
        <f t="shared" si="103"/>
        <v>BS</v>
      </c>
    </row>
    <row r="1633" spans="1:13" s="33" customFormat="true" ht="12.75" customHeight="true">
      <c r="A1633" s="33" t="str">
        <f t="shared" si="100"/>
        <v>SCL - Inventory</v>
      </c>
      <c r="B1633" s="33" t="str">
        <f t="shared" si="101"/>
        <v>SCL</v>
      </c>
      <c r="C1633" s="33" t="str">
        <f t="shared" si="102"/>
        <v>10005-7371</v>
      </c>
      <c r="D1633" s="64" t="s">
        <v>2090</v>
      </c>
      <c r="E1633" s="64" t="s">
        <v>14</v>
      </c>
      <c r="F1633" s="64" t="s">
        <v>15</v>
      </c>
      <c r="G1633" s="64" t="s">
        <v>16</v>
      </c>
      <c r="H1633" s="64" t="s">
        <v>17</v>
      </c>
      <c r="I1633" s="64" t="s">
        <v>18</v>
      </c>
      <c r="J1633" s="67">
        <v>0</v>
      </c>
      <c r="K1633" s="62">
        <v>1398</v>
      </c>
      <c r="L1633" s="33" t="e">
        <f>HLOOKUP(B1633,#REF!,1,0)</f>
        <v>#REF!</v>
      </c>
      <c r="M1633" s="33" t="str">
        <f t="shared" si="103"/>
        <v>BS</v>
      </c>
    </row>
    <row r="1634" spans="1:13" s="33" customFormat="true" ht="12.75" customHeight="true">
      <c r="A1634" s="33" t="str">
        <f t="shared" si="100"/>
        <v>SCL - Inventory</v>
      </c>
      <c r="B1634" s="33" t="str">
        <f t="shared" si="101"/>
        <v>SCL</v>
      </c>
      <c r="C1634" s="33" t="str">
        <f t="shared" si="102"/>
        <v>10005-7374</v>
      </c>
      <c r="D1634" s="64" t="s">
        <v>2091</v>
      </c>
      <c r="E1634" s="64" t="s">
        <v>14</v>
      </c>
      <c r="F1634" s="64" t="s">
        <v>15</v>
      </c>
      <c r="G1634" s="64" t="s">
        <v>16</v>
      </c>
      <c r="H1634" s="64" t="s">
        <v>17</v>
      </c>
      <c r="I1634" s="64" t="s">
        <v>18</v>
      </c>
      <c r="J1634" s="67">
        <v>0</v>
      </c>
      <c r="K1634" s="62">
        <v>2113</v>
      </c>
      <c r="L1634" s="33" t="e">
        <f>HLOOKUP(B1634,#REF!,1,0)</f>
        <v>#REF!</v>
      </c>
      <c r="M1634" s="33" t="str">
        <f t="shared" si="103"/>
        <v>BS</v>
      </c>
    </row>
    <row r="1635" spans="1:13" s="33" customFormat="true" ht="12.75" customHeight="true">
      <c r="A1635" s="33" t="str">
        <f t="shared" si="100"/>
        <v>SCL - Inventory</v>
      </c>
      <c r="B1635" s="33" t="str">
        <f t="shared" si="101"/>
        <v>SCL</v>
      </c>
      <c r="C1635" s="33" t="str">
        <f t="shared" si="102"/>
        <v>10005-7375</v>
      </c>
      <c r="D1635" s="64" t="s">
        <v>2092</v>
      </c>
      <c r="E1635" s="64" t="s">
        <v>14</v>
      </c>
      <c r="F1635" s="64" t="s">
        <v>15</v>
      </c>
      <c r="G1635" s="64" t="s">
        <v>16</v>
      </c>
      <c r="H1635" s="64" t="s">
        <v>17</v>
      </c>
      <c r="I1635" s="64" t="s">
        <v>18</v>
      </c>
      <c r="J1635" s="67">
        <v>0</v>
      </c>
      <c r="K1635" s="62">
        <v>1423</v>
      </c>
      <c r="L1635" s="33" t="e">
        <f>HLOOKUP(B1635,#REF!,1,0)</f>
        <v>#REF!</v>
      </c>
      <c r="M1635" s="33" t="str">
        <f t="shared" si="103"/>
        <v>BS</v>
      </c>
    </row>
    <row r="1636" spans="1:13" s="33" customFormat="true" ht="12.75" customHeight="true">
      <c r="A1636" s="33" t="str">
        <f t="shared" si="100"/>
        <v>SCL - Inventory</v>
      </c>
      <c r="B1636" s="33" t="str">
        <f t="shared" si="101"/>
        <v>SCL</v>
      </c>
      <c r="C1636" s="33" t="str">
        <f t="shared" si="102"/>
        <v>10005-7376</v>
      </c>
      <c r="D1636" s="64" t="s">
        <v>2093</v>
      </c>
      <c r="E1636" s="64" t="s">
        <v>14</v>
      </c>
      <c r="F1636" s="64" t="s">
        <v>15</v>
      </c>
      <c r="G1636" s="64" t="s">
        <v>16</v>
      </c>
      <c r="H1636" s="64" t="s">
        <v>17</v>
      </c>
      <c r="I1636" s="64" t="s">
        <v>18</v>
      </c>
      <c r="J1636" s="67">
        <v>0</v>
      </c>
      <c r="K1636" s="62">
        <v>2988</v>
      </c>
      <c r="L1636" s="33" t="e">
        <f>HLOOKUP(B1636,#REF!,1,0)</f>
        <v>#REF!</v>
      </c>
      <c r="M1636" s="33" t="str">
        <f t="shared" si="103"/>
        <v>BS</v>
      </c>
    </row>
    <row r="1637" spans="1:13" s="33" customFormat="true" ht="12.75" customHeight="true">
      <c r="A1637" s="33" t="str">
        <f t="shared" si="100"/>
        <v>SCL - Inventory</v>
      </c>
      <c r="B1637" s="33" t="str">
        <f t="shared" si="101"/>
        <v>SCL</v>
      </c>
      <c r="C1637" s="33" t="str">
        <f t="shared" si="102"/>
        <v>10005-7377</v>
      </c>
      <c r="D1637" s="64" t="s">
        <v>2094</v>
      </c>
      <c r="E1637" s="64" t="s">
        <v>14</v>
      </c>
      <c r="F1637" s="64" t="s">
        <v>15</v>
      </c>
      <c r="G1637" s="64" t="s">
        <v>16</v>
      </c>
      <c r="H1637" s="64" t="s">
        <v>17</v>
      </c>
      <c r="I1637" s="64" t="s">
        <v>18</v>
      </c>
      <c r="J1637" s="67">
        <v>0</v>
      </c>
      <c r="K1637" s="62">
        <v>2313</v>
      </c>
      <c r="L1637" s="33" t="e">
        <f>HLOOKUP(B1637,#REF!,1,0)</f>
        <v>#REF!</v>
      </c>
      <c r="M1637" s="33" t="str">
        <f t="shared" si="103"/>
        <v>BS</v>
      </c>
    </row>
    <row r="1638" spans="1:13" s="33" customFormat="true" ht="12.75" customHeight="true">
      <c r="A1638" s="33" t="str">
        <f t="shared" si="100"/>
        <v>SCL - Inventory</v>
      </c>
      <c r="B1638" s="33" t="str">
        <f t="shared" si="101"/>
        <v>SCL</v>
      </c>
      <c r="C1638" s="33" t="str">
        <f t="shared" si="102"/>
        <v>10005-7378</v>
      </c>
      <c r="D1638" s="64" t="s">
        <v>2095</v>
      </c>
      <c r="E1638" s="64" t="s">
        <v>14</v>
      </c>
      <c r="F1638" s="64" t="s">
        <v>15</v>
      </c>
      <c r="G1638" s="64" t="s">
        <v>16</v>
      </c>
      <c r="H1638" s="64" t="s">
        <v>17</v>
      </c>
      <c r="I1638" s="64" t="s">
        <v>18</v>
      </c>
      <c r="J1638" s="67">
        <v>0</v>
      </c>
      <c r="K1638" s="62">
        <v>2381</v>
      </c>
      <c r="L1638" s="33" t="e">
        <f>HLOOKUP(B1638,#REF!,1,0)</f>
        <v>#REF!</v>
      </c>
      <c r="M1638" s="33" t="str">
        <f t="shared" si="103"/>
        <v>BS</v>
      </c>
    </row>
    <row r="1639" spans="1:13" s="33" customFormat="true" ht="12.75" customHeight="true">
      <c r="A1639" s="33" t="str">
        <f t="shared" si="100"/>
        <v>SCL - Inventory</v>
      </c>
      <c r="B1639" s="33" t="str">
        <f t="shared" si="101"/>
        <v>SCL</v>
      </c>
      <c r="C1639" s="33" t="str">
        <f t="shared" si="102"/>
        <v>10005-7379</v>
      </c>
      <c r="D1639" s="64" t="s">
        <v>2096</v>
      </c>
      <c r="E1639" s="64" t="s">
        <v>14</v>
      </c>
      <c r="F1639" s="64" t="s">
        <v>15</v>
      </c>
      <c r="G1639" s="64" t="s">
        <v>16</v>
      </c>
      <c r="H1639" s="64" t="s">
        <v>17</v>
      </c>
      <c r="I1639" s="64" t="s">
        <v>18</v>
      </c>
      <c r="J1639" s="67">
        <v>0</v>
      </c>
      <c r="K1639" s="62">
        <v>2138</v>
      </c>
      <c r="L1639" s="33" t="e">
        <f>HLOOKUP(B1639,#REF!,1,0)</f>
        <v>#REF!</v>
      </c>
      <c r="M1639" s="33" t="str">
        <f t="shared" si="103"/>
        <v>BS</v>
      </c>
    </row>
    <row r="1640" spans="1:14" s="111" customFormat="true" ht="12.75" customHeight="true">
      <c r="A1640" s="33" t="str">
        <f t="shared" si="100"/>
        <v>SCL - Inventory</v>
      </c>
      <c r="B1640" s="33" t="str">
        <f t="shared" si="101"/>
        <v>SCL</v>
      </c>
      <c r="C1640" s="33" t="str">
        <f t="shared" si="102"/>
        <v>10005-7380</v>
      </c>
      <c r="D1640" s="64" t="s">
        <v>2097</v>
      </c>
      <c r="E1640" s="64" t="s">
        <v>14</v>
      </c>
      <c r="F1640" s="64" t="s">
        <v>15</v>
      </c>
      <c r="G1640" s="64" t="s">
        <v>16</v>
      </c>
      <c r="H1640" s="64" t="s">
        <v>17</v>
      </c>
      <c r="I1640" s="64" t="s">
        <v>18</v>
      </c>
      <c r="J1640" s="67">
        <v>0</v>
      </c>
      <c r="K1640" s="62">
        <v>2391</v>
      </c>
      <c r="L1640" s="111" t="e">
        <f>HLOOKUP(B1640,#REF!,1,0)</f>
        <v>#REF!</v>
      </c>
      <c r="M1640" s="111" t="str">
        <f t="shared" si="103"/>
        <v>BS</v>
      </c>
      <c r="N1640" s="111" t="s">
        <v>434</v>
      </c>
    </row>
    <row r="1641" spans="1:13" s="33" customFormat="true" ht="12.75" customHeight="true">
      <c r="A1641" s="33" t="str">
        <f t="shared" si="100"/>
        <v>SCL - Inventory</v>
      </c>
      <c r="B1641" s="33" t="str">
        <f t="shared" si="101"/>
        <v>SCL</v>
      </c>
      <c r="C1641" s="33" t="str">
        <f t="shared" si="102"/>
        <v>10005-7381</v>
      </c>
      <c r="D1641" s="64" t="s">
        <v>2098</v>
      </c>
      <c r="E1641" s="64" t="s">
        <v>14</v>
      </c>
      <c r="F1641" s="64" t="s">
        <v>15</v>
      </c>
      <c r="G1641" s="64" t="s">
        <v>16</v>
      </c>
      <c r="H1641" s="64" t="s">
        <v>17</v>
      </c>
      <c r="I1641" s="64" t="s">
        <v>18</v>
      </c>
      <c r="J1641" s="67">
        <v>0</v>
      </c>
      <c r="K1641" s="62">
        <v>1682.69</v>
      </c>
      <c r="L1641" s="33" t="e">
        <f>HLOOKUP(B1641,#REF!,1,0)</f>
        <v>#REF!</v>
      </c>
      <c r="M1641" s="33" t="str">
        <f t="shared" si="103"/>
        <v>BS</v>
      </c>
    </row>
    <row r="1642" spans="1:13" s="33" customFormat="true" ht="12.75" customHeight="true">
      <c r="A1642" s="33" t="str">
        <f t="shared" si="100"/>
        <v>SCL - Inventory</v>
      </c>
      <c r="B1642" s="33" t="str">
        <f t="shared" si="101"/>
        <v>SCL</v>
      </c>
      <c r="C1642" s="33" t="str">
        <f t="shared" si="102"/>
        <v>10005-7383</v>
      </c>
      <c r="D1642" s="64" t="s">
        <v>2099</v>
      </c>
      <c r="E1642" s="64" t="s">
        <v>14</v>
      </c>
      <c r="F1642" s="64" t="s">
        <v>15</v>
      </c>
      <c r="G1642" s="64" t="s">
        <v>16</v>
      </c>
      <c r="H1642" s="64" t="s">
        <v>17</v>
      </c>
      <c r="I1642" s="64" t="s">
        <v>18</v>
      </c>
      <c r="J1642" s="67">
        <v>0</v>
      </c>
      <c r="K1642" s="62">
        <v>1438</v>
      </c>
      <c r="L1642" s="33" t="e">
        <f>HLOOKUP(B1642,#REF!,1,0)</f>
        <v>#REF!</v>
      </c>
      <c r="M1642" s="33" t="str">
        <f t="shared" si="103"/>
        <v>BS</v>
      </c>
    </row>
    <row r="1643" spans="1:13" s="33" customFormat="true" ht="12.75" customHeight="true">
      <c r="A1643" s="33" t="str">
        <f t="shared" si="100"/>
        <v>SCL - Inventory</v>
      </c>
      <c r="B1643" s="33" t="str">
        <f t="shared" si="101"/>
        <v>SCL</v>
      </c>
      <c r="C1643" s="33" t="str">
        <f t="shared" si="102"/>
        <v>10005-7385</v>
      </c>
      <c r="D1643" s="64" t="s">
        <v>2100</v>
      </c>
      <c r="E1643" s="64" t="s">
        <v>14</v>
      </c>
      <c r="F1643" s="64" t="s">
        <v>15</v>
      </c>
      <c r="G1643" s="64" t="s">
        <v>16</v>
      </c>
      <c r="H1643" s="64" t="s">
        <v>17</v>
      </c>
      <c r="I1643" s="64" t="s">
        <v>18</v>
      </c>
      <c r="J1643" s="67">
        <v>0</v>
      </c>
      <c r="K1643" s="62">
        <v>2154</v>
      </c>
      <c r="L1643" s="33" t="e">
        <f>HLOOKUP(B1643,#REF!,1,0)</f>
        <v>#REF!</v>
      </c>
      <c r="M1643" s="33" t="str">
        <f t="shared" si="103"/>
        <v>BS</v>
      </c>
    </row>
    <row r="1644" spans="1:13" s="33" customFormat="true" ht="12.75" customHeight="true">
      <c r="A1644" s="33" t="str">
        <f t="shared" si="100"/>
        <v>SCL - Inventory</v>
      </c>
      <c r="B1644" s="33" t="str">
        <f t="shared" si="101"/>
        <v>SCL</v>
      </c>
      <c r="C1644" s="33" t="str">
        <f t="shared" si="102"/>
        <v>10005-7386</v>
      </c>
      <c r="D1644" s="64" t="s">
        <v>2101</v>
      </c>
      <c r="E1644" s="64" t="s">
        <v>14</v>
      </c>
      <c r="F1644" s="64" t="s">
        <v>15</v>
      </c>
      <c r="G1644" s="64" t="s">
        <v>16</v>
      </c>
      <c r="H1644" s="64" t="s">
        <v>17</v>
      </c>
      <c r="I1644" s="64" t="s">
        <v>18</v>
      </c>
      <c r="J1644" s="67">
        <v>0</v>
      </c>
      <c r="K1644" s="62">
        <v>2578</v>
      </c>
      <c r="L1644" s="33" t="e">
        <f>HLOOKUP(B1644,#REF!,1,0)</f>
        <v>#REF!</v>
      </c>
      <c r="M1644" s="33" t="str">
        <f t="shared" si="103"/>
        <v>BS</v>
      </c>
    </row>
    <row r="1645" spans="1:13" s="33" customFormat="true" ht="12.75" customHeight="true">
      <c r="A1645" s="33" t="str">
        <f t="shared" si="100"/>
        <v>SCL - Inventory</v>
      </c>
      <c r="B1645" s="33" t="str">
        <f t="shared" si="101"/>
        <v>SCL</v>
      </c>
      <c r="C1645" s="33" t="str">
        <f t="shared" si="102"/>
        <v>10005-7387</v>
      </c>
      <c r="D1645" s="64" t="s">
        <v>2102</v>
      </c>
      <c r="E1645" s="64" t="s">
        <v>14</v>
      </c>
      <c r="F1645" s="64" t="s">
        <v>15</v>
      </c>
      <c r="G1645" s="64" t="s">
        <v>16</v>
      </c>
      <c r="H1645" s="64" t="s">
        <v>17</v>
      </c>
      <c r="I1645" s="64" t="s">
        <v>18</v>
      </c>
      <c r="J1645" s="67">
        <v>0</v>
      </c>
      <c r="K1645" s="62">
        <v>2428</v>
      </c>
      <c r="L1645" s="33" t="e">
        <f>HLOOKUP(B1645,#REF!,1,0)</f>
        <v>#REF!</v>
      </c>
      <c r="M1645" s="33" t="str">
        <f t="shared" si="103"/>
        <v>BS</v>
      </c>
    </row>
    <row r="1646" spans="1:13" s="33" customFormat="true" ht="12.75" customHeight="true">
      <c r="A1646" s="33" t="str">
        <f t="shared" si="100"/>
        <v>SCL - Inventory</v>
      </c>
      <c r="B1646" s="33" t="str">
        <f t="shared" si="101"/>
        <v>SCL</v>
      </c>
      <c r="C1646" s="33" t="str">
        <f t="shared" si="102"/>
        <v>10005-7388</v>
      </c>
      <c r="D1646" s="64" t="s">
        <v>2103</v>
      </c>
      <c r="E1646" s="64" t="s">
        <v>14</v>
      </c>
      <c r="F1646" s="64" t="s">
        <v>15</v>
      </c>
      <c r="G1646" s="64" t="s">
        <v>16</v>
      </c>
      <c r="H1646" s="64" t="s">
        <v>17</v>
      </c>
      <c r="I1646" s="64" t="s">
        <v>18</v>
      </c>
      <c r="J1646" s="67">
        <v>0</v>
      </c>
      <c r="K1646" s="62">
        <v>1050</v>
      </c>
      <c r="L1646" s="33" t="e">
        <f>HLOOKUP(B1646,#REF!,1,0)</f>
        <v>#REF!</v>
      </c>
      <c r="M1646" s="33" t="str">
        <f t="shared" si="103"/>
        <v>BS</v>
      </c>
    </row>
    <row r="1647" spans="1:13" s="33" customFormat="true" ht="12.75" customHeight="true">
      <c r="A1647" s="33" t="str">
        <f t="shared" si="100"/>
        <v>SCL - Inventory</v>
      </c>
      <c r="B1647" s="33" t="str">
        <f t="shared" si="101"/>
        <v>SCL</v>
      </c>
      <c r="C1647" s="33" t="str">
        <f t="shared" si="102"/>
        <v>10005-7389</v>
      </c>
      <c r="D1647" s="64" t="s">
        <v>2104</v>
      </c>
      <c r="E1647" s="64" t="s">
        <v>14</v>
      </c>
      <c r="F1647" s="64" t="s">
        <v>15</v>
      </c>
      <c r="G1647" s="64" t="s">
        <v>16</v>
      </c>
      <c r="H1647" s="64" t="s">
        <v>17</v>
      </c>
      <c r="I1647" s="64" t="s">
        <v>18</v>
      </c>
      <c r="J1647" s="67">
        <v>0</v>
      </c>
      <c r="K1647" s="62">
        <v>1738</v>
      </c>
      <c r="L1647" s="33" t="e">
        <f>HLOOKUP(B1647,#REF!,1,0)</f>
        <v>#REF!</v>
      </c>
      <c r="M1647" s="33" t="str">
        <f t="shared" si="103"/>
        <v>BS</v>
      </c>
    </row>
    <row r="1648" spans="1:13" s="33" customFormat="true" ht="12.75" customHeight="true">
      <c r="A1648" s="33" t="str">
        <f t="shared" si="100"/>
        <v>SCL - Inventory</v>
      </c>
      <c r="B1648" s="33" t="str">
        <f t="shared" si="101"/>
        <v>SCL</v>
      </c>
      <c r="C1648" s="33" t="str">
        <f t="shared" si="102"/>
        <v>10005-7391</v>
      </c>
      <c r="D1648" s="64" t="s">
        <v>2105</v>
      </c>
      <c r="E1648" s="64" t="s">
        <v>14</v>
      </c>
      <c r="F1648" s="64" t="s">
        <v>15</v>
      </c>
      <c r="G1648" s="64" t="s">
        <v>16</v>
      </c>
      <c r="H1648" s="64" t="s">
        <v>17</v>
      </c>
      <c r="I1648" s="64" t="s">
        <v>18</v>
      </c>
      <c r="J1648" s="67">
        <v>0</v>
      </c>
      <c r="K1648" s="62">
        <v>2071</v>
      </c>
      <c r="L1648" s="33" t="e">
        <f>HLOOKUP(B1648,#REF!,1,0)</f>
        <v>#REF!</v>
      </c>
      <c r="M1648" s="33" t="str">
        <f t="shared" si="103"/>
        <v>BS</v>
      </c>
    </row>
    <row r="1649" spans="1:13" s="33" customFormat="true" ht="12.75" customHeight="true">
      <c r="A1649" s="33" t="str">
        <f t="shared" si="100"/>
        <v>SCL - Inventory</v>
      </c>
      <c r="B1649" s="33" t="str">
        <f t="shared" si="101"/>
        <v>SCL</v>
      </c>
      <c r="C1649" s="33" t="str">
        <f t="shared" si="102"/>
        <v>10005-7393</v>
      </c>
      <c r="D1649" s="64" t="s">
        <v>2106</v>
      </c>
      <c r="E1649" s="64" t="s">
        <v>14</v>
      </c>
      <c r="F1649" s="64" t="s">
        <v>15</v>
      </c>
      <c r="G1649" s="64" t="s">
        <v>16</v>
      </c>
      <c r="H1649" s="64" t="s">
        <v>17</v>
      </c>
      <c r="I1649" s="64" t="s">
        <v>18</v>
      </c>
      <c r="J1649" s="67">
        <v>0</v>
      </c>
      <c r="K1649" s="62">
        <v>1826.36</v>
      </c>
      <c r="L1649" s="33" t="e">
        <f>HLOOKUP(B1649,#REF!,1,0)</f>
        <v>#REF!</v>
      </c>
      <c r="M1649" s="33" t="str">
        <f t="shared" si="103"/>
        <v>BS</v>
      </c>
    </row>
    <row r="1650" spans="1:13" s="33" customFormat="true" ht="12.75" customHeight="true">
      <c r="A1650" s="33" t="str">
        <f t="shared" si="100"/>
        <v>SCL - Inventory</v>
      </c>
      <c r="B1650" s="33" t="str">
        <f t="shared" si="101"/>
        <v>SCL</v>
      </c>
      <c r="C1650" s="33" t="str">
        <f t="shared" si="102"/>
        <v>10005-7394</v>
      </c>
      <c r="D1650" s="64" t="s">
        <v>2107</v>
      </c>
      <c r="E1650" s="64" t="s">
        <v>14</v>
      </c>
      <c r="F1650" s="64" t="s">
        <v>15</v>
      </c>
      <c r="G1650" s="64" t="s">
        <v>16</v>
      </c>
      <c r="H1650" s="64" t="s">
        <v>17</v>
      </c>
      <c r="I1650" s="64" t="s">
        <v>18</v>
      </c>
      <c r="J1650" s="67">
        <v>0</v>
      </c>
      <c r="K1650" s="62">
        <v>1216.06</v>
      </c>
      <c r="L1650" s="33" t="e">
        <f>HLOOKUP(B1650,#REF!,1,0)</f>
        <v>#REF!</v>
      </c>
      <c r="M1650" s="33" t="str">
        <f t="shared" si="103"/>
        <v>BS</v>
      </c>
    </row>
    <row r="1651" spans="1:13" s="33" customFormat="true" ht="12.75" customHeight="true">
      <c r="A1651" s="33" t="str">
        <f t="shared" si="100"/>
        <v>SCL - Inventory</v>
      </c>
      <c r="B1651" s="33" t="str">
        <f t="shared" si="101"/>
        <v>SCL</v>
      </c>
      <c r="C1651" s="33" t="str">
        <f t="shared" si="102"/>
        <v>10005-7396</v>
      </c>
      <c r="D1651" s="64" t="s">
        <v>2108</v>
      </c>
      <c r="E1651" s="64" t="s">
        <v>14</v>
      </c>
      <c r="F1651" s="64" t="s">
        <v>15</v>
      </c>
      <c r="G1651" s="64" t="s">
        <v>16</v>
      </c>
      <c r="H1651" s="64" t="s">
        <v>17</v>
      </c>
      <c r="I1651" s="64" t="s">
        <v>18</v>
      </c>
      <c r="J1651" s="67">
        <v>0</v>
      </c>
      <c r="K1651" s="62">
        <v>1732.86</v>
      </c>
      <c r="L1651" s="33" t="e">
        <f>HLOOKUP(B1651,#REF!,1,0)</f>
        <v>#REF!</v>
      </c>
      <c r="M1651" s="33" t="str">
        <f t="shared" si="103"/>
        <v>BS</v>
      </c>
    </row>
    <row r="1652" spans="1:13" s="33" customFormat="true" ht="12.75" customHeight="true">
      <c r="A1652" s="33" t="str">
        <f t="shared" si="100"/>
        <v>SCL - Inventory</v>
      </c>
      <c r="B1652" s="33" t="str">
        <f t="shared" si="101"/>
        <v>SCL</v>
      </c>
      <c r="C1652" s="33" t="str">
        <f t="shared" si="102"/>
        <v>10005-7397</v>
      </c>
      <c r="D1652" s="64" t="s">
        <v>2109</v>
      </c>
      <c r="E1652" s="64" t="s">
        <v>14</v>
      </c>
      <c r="F1652" s="64" t="s">
        <v>15</v>
      </c>
      <c r="G1652" s="64" t="s">
        <v>16</v>
      </c>
      <c r="H1652" s="64" t="s">
        <v>17</v>
      </c>
      <c r="I1652" s="64" t="s">
        <v>18</v>
      </c>
      <c r="J1652" s="67">
        <v>0</v>
      </c>
      <c r="K1652" s="62">
        <v>2338</v>
      </c>
      <c r="L1652" s="33" t="e">
        <f>HLOOKUP(B1652,#REF!,1,0)</f>
        <v>#REF!</v>
      </c>
      <c r="M1652" s="33" t="str">
        <f t="shared" si="103"/>
        <v>BS</v>
      </c>
    </row>
    <row r="1653" spans="1:13" s="33" customFormat="true" ht="12.75" customHeight="true">
      <c r="A1653" s="33" t="str">
        <f t="shared" si="100"/>
        <v>SCL - Inventory</v>
      </c>
      <c r="B1653" s="33" t="str">
        <f t="shared" si="101"/>
        <v>SCL</v>
      </c>
      <c r="C1653" s="33" t="str">
        <f t="shared" si="102"/>
        <v>10005-7398</v>
      </c>
      <c r="D1653" s="64" t="s">
        <v>2110</v>
      </c>
      <c r="E1653" s="64" t="s">
        <v>14</v>
      </c>
      <c r="F1653" s="64" t="s">
        <v>15</v>
      </c>
      <c r="G1653" s="64" t="s">
        <v>16</v>
      </c>
      <c r="H1653" s="64" t="s">
        <v>17</v>
      </c>
      <c r="I1653" s="64" t="s">
        <v>18</v>
      </c>
      <c r="J1653" s="67">
        <v>0</v>
      </c>
      <c r="K1653" s="62">
        <v>2288</v>
      </c>
      <c r="L1653" s="33" t="e">
        <f>HLOOKUP(B1653,#REF!,1,0)</f>
        <v>#REF!</v>
      </c>
      <c r="M1653" s="33" t="str">
        <f t="shared" si="103"/>
        <v>BS</v>
      </c>
    </row>
    <row r="1654" spans="1:13" s="33" customFormat="true" ht="12.75" customHeight="true">
      <c r="A1654" s="33" t="str">
        <f t="shared" si="100"/>
        <v>SCL - Inventory</v>
      </c>
      <c r="B1654" s="33" t="str">
        <f t="shared" si="101"/>
        <v>SCL</v>
      </c>
      <c r="C1654" s="33" t="str">
        <f t="shared" si="102"/>
        <v>10005-7400</v>
      </c>
      <c r="D1654" s="64" t="s">
        <v>2111</v>
      </c>
      <c r="E1654" s="64" t="s">
        <v>14</v>
      </c>
      <c r="F1654" s="64" t="s">
        <v>15</v>
      </c>
      <c r="G1654" s="64" t="s">
        <v>16</v>
      </c>
      <c r="H1654" s="64" t="s">
        <v>17</v>
      </c>
      <c r="I1654" s="64" t="s">
        <v>18</v>
      </c>
      <c r="J1654" s="67">
        <v>0</v>
      </c>
      <c r="K1654" s="62">
        <v>1808</v>
      </c>
      <c r="L1654" s="33" t="e">
        <f>HLOOKUP(B1654,#REF!,1,0)</f>
        <v>#REF!</v>
      </c>
      <c r="M1654" s="33" t="str">
        <f t="shared" si="103"/>
        <v>BS</v>
      </c>
    </row>
    <row r="1655" spans="1:13" s="33" customFormat="true" ht="12.75" customHeight="true">
      <c r="A1655" s="33" t="str">
        <f t="shared" si="100"/>
        <v>SCL - Inventory</v>
      </c>
      <c r="B1655" s="33" t="str">
        <f t="shared" si="101"/>
        <v>SCL</v>
      </c>
      <c r="C1655" s="33" t="str">
        <f t="shared" si="102"/>
        <v>10005-7401</v>
      </c>
      <c r="D1655" s="64" t="s">
        <v>2112</v>
      </c>
      <c r="E1655" s="64" t="s">
        <v>14</v>
      </c>
      <c r="F1655" s="64" t="s">
        <v>15</v>
      </c>
      <c r="G1655" s="64" t="s">
        <v>16</v>
      </c>
      <c r="H1655" s="64" t="s">
        <v>17</v>
      </c>
      <c r="I1655" s="64" t="s">
        <v>18</v>
      </c>
      <c r="J1655" s="67">
        <v>0</v>
      </c>
      <c r="K1655" s="62">
        <v>2083</v>
      </c>
      <c r="L1655" s="33" t="e">
        <f>HLOOKUP(B1655,#REF!,1,0)</f>
        <v>#REF!</v>
      </c>
      <c r="M1655" s="33" t="str">
        <f t="shared" si="103"/>
        <v>BS</v>
      </c>
    </row>
    <row r="1656" spans="1:13" s="33" customFormat="true" ht="12.75" customHeight="true">
      <c r="A1656" s="33" t="str">
        <f t="shared" si="100"/>
        <v>SCL - Inventory</v>
      </c>
      <c r="B1656" s="33" t="str">
        <f t="shared" si="101"/>
        <v>SCL</v>
      </c>
      <c r="C1656" s="33" t="str">
        <f t="shared" si="102"/>
        <v>10005-7402</v>
      </c>
      <c r="D1656" s="64" t="s">
        <v>2113</v>
      </c>
      <c r="E1656" s="64" t="s">
        <v>14</v>
      </c>
      <c r="F1656" s="64" t="s">
        <v>15</v>
      </c>
      <c r="G1656" s="64" t="s">
        <v>16</v>
      </c>
      <c r="H1656" s="64" t="s">
        <v>17</v>
      </c>
      <c r="I1656" s="64" t="s">
        <v>18</v>
      </c>
      <c r="J1656" s="67">
        <v>0</v>
      </c>
      <c r="K1656" s="62">
        <v>2419</v>
      </c>
      <c r="L1656" s="33" t="e">
        <f>HLOOKUP(B1656,#REF!,1,0)</f>
        <v>#REF!</v>
      </c>
      <c r="M1656" s="33" t="str">
        <f t="shared" si="103"/>
        <v>BS</v>
      </c>
    </row>
    <row r="1657" spans="1:13" s="33" customFormat="true" ht="12.75" customHeight="true">
      <c r="A1657" s="33" t="str">
        <f t="shared" si="100"/>
        <v>SCL - Inventory</v>
      </c>
      <c r="B1657" s="33" t="str">
        <f t="shared" si="101"/>
        <v>SCL</v>
      </c>
      <c r="C1657" s="33" t="str">
        <f t="shared" si="102"/>
        <v>10005-7403</v>
      </c>
      <c r="D1657" s="64" t="s">
        <v>2114</v>
      </c>
      <c r="E1657" s="64" t="s">
        <v>14</v>
      </c>
      <c r="F1657" s="64" t="s">
        <v>15</v>
      </c>
      <c r="G1657" s="64" t="s">
        <v>16</v>
      </c>
      <c r="H1657" s="64" t="s">
        <v>17</v>
      </c>
      <c r="I1657" s="64" t="s">
        <v>18</v>
      </c>
      <c r="J1657" s="67">
        <v>0</v>
      </c>
      <c r="K1657" s="62">
        <v>2093</v>
      </c>
      <c r="L1657" s="33" t="e">
        <f>HLOOKUP(B1657,#REF!,1,0)</f>
        <v>#REF!</v>
      </c>
      <c r="M1657" s="33" t="str">
        <f t="shared" si="103"/>
        <v>BS</v>
      </c>
    </row>
    <row r="1658" spans="1:13" s="33" customFormat="true" ht="12.75" customHeight="true">
      <c r="A1658" s="33" t="str">
        <f t="shared" si="100"/>
        <v>SCL - Inventory</v>
      </c>
      <c r="B1658" s="33" t="str">
        <f t="shared" si="101"/>
        <v>SCL</v>
      </c>
      <c r="C1658" s="33" t="str">
        <f t="shared" si="102"/>
        <v>10005-7405</v>
      </c>
      <c r="D1658" s="64" t="s">
        <v>2115</v>
      </c>
      <c r="E1658" s="64" t="s">
        <v>14</v>
      </c>
      <c r="F1658" s="64" t="s">
        <v>15</v>
      </c>
      <c r="G1658" s="64" t="s">
        <v>16</v>
      </c>
      <c r="H1658" s="64" t="s">
        <v>17</v>
      </c>
      <c r="I1658" s="64" t="s">
        <v>18</v>
      </c>
      <c r="J1658" s="67">
        <v>0</v>
      </c>
      <c r="K1658" s="62">
        <v>0</v>
      </c>
      <c r="L1658" s="33" t="e">
        <f>HLOOKUP(B1658,#REF!,1,0)</f>
        <v>#REF!</v>
      </c>
      <c r="M1658" s="33" t="str">
        <f t="shared" si="103"/>
        <v>BS</v>
      </c>
    </row>
    <row r="1659" spans="1:13" s="33" customFormat="true" ht="12.75" customHeight="true">
      <c r="A1659" s="33" t="str">
        <f t="shared" si="100"/>
        <v>SCL - Inventory</v>
      </c>
      <c r="B1659" s="33" t="str">
        <f t="shared" si="101"/>
        <v>SCL</v>
      </c>
      <c r="C1659" s="33" t="str">
        <f t="shared" si="102"/>
        <v>10005-7406</v>
      </c>
      <c r="D1659" s="64" t="s">
        <v>2116</v>
      </c>
      <c r="E1659" s="64" t="s">
        <v>14</v>
      </c>
      <c r="F1659" s="64" t="s">
        <v>15</v>
      </c>
      <c r="G1659" s="64" t="s">
        <v>16</v>
      </c>
      <c r="H1659" s="64" t="s">
        <v>17</v>
      </c>
      <c r="I1659" s="64" t="s">
        <v>18</v>
      </c>
      <c r="J1659" s="67">
        <v>0</v>
      </c>
      <c r="K1659" s="62">
        <v>-0.48</v>
      </c>
      <c r="L1659" s="33" t="e">
        <f>HLOOKUP(B1659,#REF!,1,0)</f>
        <v>#REF!</v>
      </c>
      <c r="M1659" s="33" t="str">
        <f t="shared" si="103"/>
        <v>BS</v>
      </c>
    </row>
    <row r="1660" spans="1:13" s="33" customFormat="true" ht="12.75" customHeight="true">
      <c r="A1660" s="33" t="str">
        <f t="shared" si="100"/>
        <v>SCL - Inventory</v>
      </c>
      <c r="B1660" s="33" t="str">
        <f t="shared" si="101"/>
        <v>SCL</v>
      </c>
      <c r="C1660" s="33" t="str">
        <f t="shared" si="102"/>
        <v>10005-7489</v>
      </c>
      <c r="D1660" s="64" t="s">
        <v>2117</v>
      </c>
      <c r="E1660" s="64" t="s">
        <v>14</v>
      </c>
      <c r="F1660" s="64" t="s">
        <v>15</v>
      </c>
      <c r="G1660" s="64" t="s">
        <v>16</v>
      </c>
      <c r="H1660" s="64" t="s">
        <v>17</v>
      </c>
      <c r="I1660" s="64" t="s">
        <v>18</v>
      </c>
      <c r="J1660" s="67">
        <v>0</v>
      </c>
      <c r="K1660" s="62">
        <v>1699.46</v>
      </c>
      <c r="L1660" s="33" t="e">
        <f>HLOOKUP(B1660,#REF!,1,0)</f>
        <v>#REF!</v>
      </c>
      <c r="M1660" s="33" t="str">
        <f t="shared" si="103"/>
        <v>BS</v>
      </c>
    </row>
    <row r="1661" spans="1:13" s="33" customFormat="true" ht="12.75" customHeight="true">
      <c r="A1661" s="33" t="str">
        <f t="shared" si="100"/>
        <v>SCL - Inventory</v>
      </c>
      <c r="B1661" s="33" t="str">
        <f t="shared" si="101"/>
        <v>SCL</v>
      </c>
      <c r="C1661" s="33" t="str">
        <f t="shared" si="102"/>
        <v>10005-7490</v>
      </c>
      <c r="D1661" s="64" t="s">
        <v>2118</v>
      </c>
      <c r="E1661" s="64" t="s">
        <v>14</v>
      </c>
      <c r="F1661" s="64" t="s">
        <v>15</v>
      </c>
      <c r="G1661" s="64" t="s">
        <v>16</v>
      </c>
      <c r="H1661" s="64" t="s">
        <v>17</v>
      </c>
      <c r="I1661" s="64" t="s">
        <v>18</v>
      </c>
      <c r="J1661" s="67">
        <v>0</v>
      </c>
      <c r="K1661" s="62">
        <v>0</v>
      </c>
      <c r="L1661" s="33" t="e">
        <f>HLOOKUP(B1661,#REF!,1,0)</f>
        <v>#REF!</v>
      </c>
      <c r="M1661" s="33" t="str">
        <f t="shared" si="103"/>
        <v>BS</v>
      </c>
    </row>
    <row r="1662" spans="1:13" s="33" customFormat="true" ht="12.75" customHeight="true">
      <c r="A1662" s="33" t="str">
        <f t="shared" si="100"/>
        <v>SCL - Inventory</v>
      </c>
      <c r="B1662" s="33" t="str">
        <f t="shared" si="101"/>
        <v>SCL</v>
      </c>
      <c r="C1662" s="33" t="str">
        <f t="shared" si="102"/>
        <v>10005-7491</v>
      </c>
      <c r="D1662" s="64" t="s">
        <v>2119</v>
      </c>
      <c r="E1662" s="64" t="s">
        <v>14</v>
      </c>
      <c r="F1662" s="64" t="s">
        <v>15</v>
      </c>
      <c r="G1662" s="64" t="s">
        <v>16</v>
      </c>
      <c r="H1662" s="64" t="s">
        <v>17</v>
      </c>
      <c r="I1662" s="64" t="s">
        <v>18</v>
      </c>
      <c r="J1662" s="67">
        <v>0</v>
      </c>
      <c r="K1662" s="62">
        <v>1643.02</v>
      </c>
      <c r="L1662" s="33" t="e">
        <f>HLOOKUP(B1662,#REF!,1,0)</f>
        <v>#REF!</v>
      </c>
      <c r="M1662" s="33" t="str">
        <f t="shared" si="103"/>
        <v>BS</v>
      </c>
    </row>
    <row r="1663" spans="1:13" s="33" customFormat="true" ht="12.75" customHeight="true">
      <c r="A1663" s="33" t="str">
        <f t="shared" si="100"/>
        <v>SCL - Inventory</v>
      </c>
      <c r="B1663" s="33" t="str">
        <f t="shared" si="101"/>
        <v>SCL</v>
      </c>
      <c r="C1663" s="33" t="str">
        <f t="shared" si="102"/>
        <v>10005-7492</v>
      </c>
      <c r="D1663" s="64" t="s">
        <v>2120</v>
      </c>
      <c r="E1663" s="64" t="s">
        <v>14</v>
      </c>
      <c r="F1663" s="64" t="s">
        <v>15</v>
      </c>
      <c r="G1663" s="64" t="s">
        <v>16</v>
      </c>
      <c r="H1663" s="64" t="s">
        <v>17</v>
      </c>
      <c r="I1663" s="64" t="s">
        <v>18</v>
      </c>
      <c r="J1663" s="67">
        <v>0</v>
      </c>
      <c r="K1663" s="62">
        <v>2247</v>
      </c>
      <c r="L1663" s="33" t="e">
        <f>HLOOKUP(B1663,#REF!,1,0)</f>
        <v>#REF!</v>
      </c>
      <c r="M1663" s="33" t="str">
        <f t="shared" si="103"/>
        <v>BS</v>
      </c>
    </row>
    <row r="1664" spans="1:13" s="33" customFormat="true" ht="12.75" customHeight="true">
      <c r="A1664" s="33" t="str">
        <f t="shared" si="100"/>
        <v>SCL - Inventory</v>
      </c>
      <c r="B1664" s="33" t="str">
        <f t="shared" si="101"/>
        <v>SCL</v>
      </c>
      <c r="C1664" s="33" t="str">
        <f t="shared" si="102"/>
        <v>10005-7493</v>
      </c>
      <c r="D1664" s="64" t="s">
        <v>2121</v>
      </c>
      <c r="E1664" s="64" t="s">
        <v>14</v>
      </c>
      <c r="F1664" s="64" t="s">
        <v>15</v>
      </c>
      <c r="G1664" s="64" t="s">
        <v>16</v>
      </c>
      <c r="H1664" s="64" t="s">
        <v>17</v>
      </c>
      <c r="I1664" s="64" t="s">
        <v>18</v>
      </c>
      <c r="J1664" s="67">
        <v>0</v>
      </c>
      <c r="K1664" s="62">
        <v>2103</v>
      </c>
      <c r="L1664" s="33" t="e">
        <f>HLOOKUP(B1664,#REF!,1,0)</f>
        <v>#REF!</v>
      </c>
      <c r="M1664" s="33" t="str">
        <f t="shared" si="103"/>
        <v>BS</v>
      </c>
    </row>
    <row r="1665" spans="1:13" s="33" customFormat="true" ht="12.75" customHeight="true">
      <c r="A1665" s="33" t="str">
        <f t="shared" si="100"/>
        <v>SCL - Inventory</v>
      </c>
      <c r="B1665" s="33" t="str">
        <f t="shared" si="101"/>
        <v>SCL</v>
      </c>
      <c r="C1665" s="33" t="str">
        <f t="shared" si="102"/>
        <v>10005-7494</v>
      </c>
      <c r="D1665" s="64" t="s">
        <v>2122</v>
      </c>
      <c r="E1665" s="64" t="s">
        <v>14</v>
      </c>
      <c r="F1665" s="64" t="s">
        <v>15</v>
      </c>
      <c r="G1665" s="64" t="s">
        <v>16</v>
      </c>
      <c r="H1665" s="64" t="s">
        <v>17</v>
      </c>
      <c r="I1665" s="64" t="s">
        <v>18</v>
      </c>
      <c r="J1665" s="67">
        <v>0</v>
      </c>
      <c r="K1665" s="62">
        <v>1644.85</v>
      </c>
      <c r="L1665" s="33" t="e">
        <f>HLOOKUP(B1665,#REF!,1,0)</f>
        <v>#REF!</v>
      </c>
      <c r="M1665" s="33" t="str">
        <f t="shared" si="103"/>
        <v>BS</v>
      </c>
    </row>
    <row r="1666" spans="1:13" s="33" customFormat="true" ht="12.75" customHeight="true">
      <c r="A1666" s="33" t="str">
        <f t="shared" ref="A1666:A1729" si="104">B1666&amp;" - "&amp;TRIM(H1666)</f>
        <v>SCL - Inventory</v>
      </c>
      <c r="B1666" s="33" t="str">
        <f t="shared" ref="B1666:B1729" si="105">LEFT(D1666,3)</f>
        <v>SCL</v>
      </c>
      <c r="C1666" s="33" t="str">
        <f t="shared" ref="C1666:C1729" si="106">RIGHT(D1666,10)</f>
        <v>10005-7625</v>
      </c>
      <c r="D1666" s="64" t="s">
        <v>2123</v>
      </c>
      <c r="E1666" s="64" t="s">
        <v>14</v>
      </c>
      <c r="F1666" s="64" t="s">
        <v>15</v>
      </c>
      <c r="G1666" s="64" t="s">
        <v>16</v>
      </c>
      <c r="H1666" s="64" t="s">
        <v>17</v>
      </c>
      <c r="I1666" s="64" t="s">
        <v>18</v>
      </c>
      <c r="J1666" s="67">
        <v>0</v>
      </c>
      <c r="K1666" s="62">
        <v>1539.68</v>
      </c>
      <c r="L1666" s="33" t="e">
        <f>HLOOKUP(B1666,#REF!,1,0)</f>
        <v>#REF!</v>
      </c>
      <c r="M1666" s="33" t="str">
        <f t="shared" ref="M1666:M1729" si="107">IF(VALUE(LEFT(C1666,5))&gt;40000,"P&amp;L","BS")</f>
        <v>BS</v>
      </c>
    </row>
    <row r="1667" spans="1:13" s="33" customFormat="true" ht="12.75" customHeight="true">
      <c r="A1667" s="33" t="str">
        <f t="shared" si="104"/>
        <v>SCL - Inventory</v>
      </c>
      <c r="B1667" s="33" t="str">
        <f t="shared" si="105"/>
        <v>SCL</v>
      </c>
      <c r="C1667" s="33" t="str">
        <f t="shared" si="106"/>
        <v>10005-8150</v>
      </c>
      <c r="D1667" s="64" t="s">
        <v>2124</v>
      </c>
      <c r="E1667" s="64" t="s">
        <v>14</v>
      </c>
      <c r="F1667" s="64" t="s">
        <v>15</v>
      </c>
      <c r="G1667" s="64" t="s">
        <v>16</v>
      </c>
      <c r="H1667" s="64" t="s">
        <v>17</v>
      </c>
      <c r="I1667" s="64" t="s">
        <v>18</v>
      </c>
      <c r="J1667" s="67">
        <v>0</v>
      </c>
      <c r="K1667" s="62">
        <v>2548</v>
      </c>
      <c r="L1667" s="33" t="e">
        <f>HLOOKUP(B1667,#REF!,1,0)</f>
        <v>#REF!</v>
      </c>
      <c r="M1667" s="33" t="str">
        <f t="shared" si="107"/>
        <v>BS</v>
      </c>
    </row>
    <row r="1668" spans="1:13" s="33" customFormat="true" ht="12.75" customHeight="true">
      <c r="A1668" s="33" t="str">
        <f t="shared" si="104"/>
        <v>SCL - Cash</v>
      </c>
      <c r="B1668" s="33" t="str">
        <f t="shared" si="105"/>
        <v>SCL</v>
      </c>
      <c r="C1668" s="33" t="str">
        <f t="shared" si="106"/>
        <v>10021-0000</v>
      </c>
      <c r="D1668" s="64" t="s">
        <v>2125</v>
      </c>
      <c r="E1668" s="64" t="s">
        <v>24</v>
      </c>
      <c r="F1668" s="64" t="s">
        <v>15</v>
      </c>
      <c r="G1668" s="64" t="s">
        <v>16</v>
      </c>
      <c r="H1668" s="64" t="s">
        <v>25</v>
      </c>
      <c r="I1668" s="64" t="s">
        <v>18</v>
      </c>
      <c r="J1668" s="67">
        <v>-109872.4</v>
      </c>
      <c r="K1668" s="62">
        <v>236695.34</v>
      </c>
      <c r="L1668" s="33" t="e">
        <f>HLOOKUP(B1668,#REF!,1,0)</f>
        <v>#REF!</v>
      </c>
      <c r="M1668" s="33" t="str">
        <f t="shared" si="107"/>
        <v>BS</v>
      </c>
    </row>
    <row r="1669" spans="1:13" s="33" customFormat="true" ht="12.75" customHeight="true">
      <c r="A1669" s="33" t="str">
        <f t="shared" si="104"/>
        <v>SCL - Cash</v>
      </c>
      <c r="B1669" s="33" t="str">
        <f t="shared" si="105"/>
        <v>SCL</v>
      </c>
      <c r="C1669" s="33" t="str">
        <f t="shared" si="106"/>
        <v>10023-0000</v>
      </c>
      <c r="D1669" s="64" t="s">
        <v>2126</v>
      </c>
      <c r="E1669" s="64" t="s">
        <v>27</v>
      </c>
      <c r="F1669" s="64" t="s">
        <v>15</v>
      </c>
      <c r="G1669" s="64" t="s">
        <v>16</v>
      </c>
      <c r="H1669" s="64" t="s">
        <v>25</v>
      </c>
      <c r="I1669" s="64" t="s">
        <v>18</v>
      </c>
      <c r="J1669" s="67">
        <v>27896.13</v>
      </c>
      <c r="K1669" s="62">
        <v>543319.09</v>
      </c>
      <c r="L1669" s="33" t="e">
        <f>HLOOKUP(B1669,#REF!,1,0)</f>
        <v>#REF!</v>
      </c>
      <c r="M1669" s="33" t="str">
        <f t="shared" si="107"/>
        <v>BS</v>
      </c>
    </row>
    <row r="1670" spans="1:13" s="33" customFormat="true" ht="12.75" customHeight="true">
      <c r="A1670" s="33" t="str">
        <f t="shared" si="104"/>
        <v>SCL - Cash</v>
      </c>
      <c r="B1670" s="33" t="str">
        <f t="shared" si="105"/>
        <v>SCL</v>
      </c>
      <c r="C1670" s="33" t="str">
        <f t="shared" si="106"/>
        <v>10513-0000</v>
      </c>
      <c r="D1670" s="64" t="s">
        <v>2127</v>
      </c>
      <c r="E1670" s="64" t="s">
        <v>2128</v>
      </c>
      <c r="F1670" s="64" t="s">
        <v>15</v>
      </c>
      <c r="G1670" s="64" t="s">
        <v>16</v>
      </c>
      <c r="H1670" s="64" t="s">
        <v>25</v>
      </c>
      <c r="I1670" s="64" t="s">
        <v>18</v>
      </c>
      <c r="J1670" s="67">
        <v>0</v>
      </c>
      <c r="K1670" s="62">
        <v>-965.69</v>
      </c>
      <c r="L1670" s="33" t="e">
        <f>HLOOKUP(B1670,#REF!,1,0)</f>
        <v>#REF!</v>
      </c>
      <c r="M1670" s="33" t="str">
        <f t="shared" si="107"/>
        <v>BS</v>
      </c>
    </row>
    <row r="1671" spans="1:13" s="33" customFormat="true" ht="12.75" customHeight="true">
      <c r="A1671" s="33" t="str">
        <f t="shared" si="104"/>
        <v>SCL - Restricted</v>
      </c>
      <c r="B1671" s="33" t="str">
        <f t="shared" si="105"/>
        <v>SCL</v>
      </c>
      <c r="C1671" s="33" t="str">
        <f t="shared" si="106"/>
        <v>10515-0000</v>
      </c>
      <c r="D1671" s="64" t="s">
        <v>2129</v>
      </c>
      <c r="E1671" s="64" t="s">
        <v>834</v>
      </c>
      <c r="F1671" s="64" t="s">
        <v>15</v>
      </c>
      <c r="G1671" s="64" t="s">
        <v>16</v>
      </c>
      <c r="H1671" s="64" t="s">
        <v>32</v>
      </c>
      <c r="I1671" s="64" t="s">
        <v>18</v>
      </c>
      <c r="J1671" s="67">
        <v>-24592.24</v>
      </c>
      <c r="K1671" s="62">
        <v>1000610.39</v>
      </c>
      <c r="L1671" s="33" t="e">
        <f>HLOOKUP(B1671,#REF!,1,0)</f>
        <v>#REF!</v>
      </c>
      <c r="M1671" s="33" t="str">
        <f t="shared" si="107"/>
        <v>BS</v>
      </c>
    </row>
    <row r="1672" spans="1:13" s="33" customFormat="true" ht="12.75" customHeight="true">
      <c r="A1672" s="33" t="str">
        <f t="shared" si="104"/>
        <v>SCL - AR-PPD</v>
      </c>
      <c r="B1672" s="33" t="str">
        <f t="shared" si="105"/>
        <v>SCL</v>
      </c>
      <c r="C1672" s="33" t="str">
        <f t="shared" si="106"/>
        <v>11001-0000</v>
      </c>
      <c r="D1672" s="64" t="s">
        <v>2130</v>
      </c>
      <c r="E1672" s="64" t="s">
        <v>34</v>
      </c>
      <c r="F1672" s="64" t="s">
        <v>15</v>
      </c>
      <c r="G1672" s="64" t="s">
        <v>16</v>
      </c>
      <c r="H1672" s="64" t="s">
        <v>35</v>
      </c>
      <c r="I1672" s="64" t="s">
        <v>36</v>
      </c>
      <c r="J1672" s="67">
        <v>9272.58</v>
      </c>
      <c r="K1672" s="62">
        <v>619646.53</v>
      </c>
      <c r="L1672" s="33" t="e">
        <f>HLOOKUP(B1672,#REF!,1,0)</f>
        <v>#REF!</v>
      </c>
      <c r="M1672" s="33" t="str">
        <f t="shared" si="107"/>
        <v>BS</v>
      </c>
    </row>
    <row r="1673" spans="1:13" s="33" customFormat="true" ht="12.75" customHeight="true">
      <c r="A1673" s="33" t="str">
        <f t="shared" si="104"/>
        <v>SCL - Intercompany</v>
      </c>
      <c r="B1673" s="33" t="str">
        <f t="shared" si="105"/>
        <v>SCL</v>
      </c>
      <c r="C1673" s="33" t="str">
        <f t="shared" si="106"/>
        <v>11103-0000</v>
      </c>
      <c r="D1673" s="64" t="s">
        <v>2131</v>
      </c>
      <c r="E1673" s="64" t="s">
        <v>2132</v>
      </c>
      <c r="F1673" s="64" t="s">
        <v>15</v>
      </c>
      <c r="G1673" s="64" t="s">
        <v>16</v>
      </c>
      <c r="H1673" s="64" t="s">
        <v>39</v>
      </c>
      <c r="I1673" s="64" t="s">
        <v>40</v>
      </c>
      <c r="J1673" s="67">
        <v>0</v>
      </c>
      <c r="K1673" s="62">
        <v>200000</v>
      </c>
      <c r="L1673" s="33" t="e">
        <f>HLOOKUP(B1673,#REF!,1,0)</f>
        <v>#REF!</v>
      </c>
      <c r="M1673" s="33" t="str">
        <f t="shared" si="107"/>
        <v>BS</v>
      </c>
    </row>
    <row r="1674" spans="1:13" s="33" customFormat="true" ht="12.75" customHeight="true">
      <c r="A1674" s="33" t="str">
        <f t="shared" si="104"/>
        <v>SCL - Intercompany</v>
      </c>
      <c r="B1674" s="33" t="str">
        <f t="shared" si="105"/>
        <v>SCL</v>
      </c>
      <c r="C1674" s="33" t="str">
        <f t="shared" si="106"/>
        <v>11201-0000</v>
      </c>
      <c r="D1674" s="64" t="s">
        <v>2133</v>
      </c>
      <c r="E1674" s="64" t="s">
        <v>765</v>
      </c>
      <c r="F1674" s="64" t="s">
        <v>15</v>
      </c>
      <c r="G1674" s="64" t="s">
        <v>16</v>
      </c>
      <c r="H1674" s="64" t="s">
        <v>39</v>
      </c>
      <c r="I1674" s="64" t="s">
        <v>40</v>
      </c>
      <c r="J1674" s="67">
        <v>541672.43</v>
      </c>
      <c r="K1674" s="62">
        <v>16150515.94</v>
      </c>
      <c r="L1674" s="33" t="e">
        <f>HLOOKUP(B1674,#REF!,1,0)</f>
        <v>#REF!</v>
      </c>
      <c r="M1674" s="33" t="str">
        <f t="shared" si="107"/>
        <v>BS</v>
      </c>
    </row>
    <row r="1675" spans="1:13" s="33" customFormat="true" ht="12.75" customHeight="true">
      <c r="A1675" s="33" t="str">
        <f t="shared" si="104"/>
        <v>SCL - Intercompany</v>
      </c>
      <c r="B1675" s="33" t="str">
        <f t="shared" si="105"/>
        <v>SCL</v>
      </c>
      <c r="C1675" s="33" t="str">
        <f t="shared" si="106"/>
        <v>11202-0000</v>
      </c>
      <c r="D1675" s="64" t="s">
        <v>2134</v>
      </c>
      <c r="E1675" s="64" t="s">
        <v>576</v>
      </c>
      <c r="F1675" s="64" t="s">
        <v>15</v>
      </c>
      <c r="G1675" s="64" t="s">
        <v>16</v>
      </c>
      <c r="H1675" s="64" t="s">
        <v>39</v>
      </c>
      <c r="I1675" s="64" t="s">
        <v>40</v>
      </c>
      <c r="J1675" s="67">
        <v>12164</v>
      </c>
      <c r="K1675" s="62">
        <v>-7066.42</v>
      </c>
      <c r="L1675" s="33" t="e">
        <f>HLOOKUP(B1675,#REF!,1,0)</f>
        <v>#REF!</v>
      </c>
      <c r="M1675" s="33" t="str">
        <f t="shared" si="107"/>
        <v>BS</v>
      </c>
    </row>
    <row r="1676" spans="1:13" s="33" customFormat="true" ht="12.75" customHeight="true">
      <c r="A1676" s="33" t="str">
        <f t="shared" si="104"/>
        <v>SCL - Intercompany</v>
      </c>
      <c r="B1676" s="33" t="str">
        <f t="shared" si="105"/>
        <v>SCL</v>
      </c>
      <c r="C1676" s="33" t="str">
        <f t="shared" si="106"/>
        <v>11203-0000</v>
      </c>
      <c r="D1676" s="64" t="s">
        <v>2135</v>
      </c>
      <c r="E1676" s="64" t="s">
        <v>767</v>
      </c>
      <c r="F1676" s="64" t="s">
        <v>15</v>
      </c>
      <c r="G1676" s="64" t="s">
        <v>16</v>
      </c>
      <c r="H1676" s="64" t="s">
        <v>39</v>
      </c>
      <c r="I1676" s="64" t="s">
        <v>40</v>
      </c>
      <c r="J1676" s="67">
        <v>-90103.75</v>
      </c>
      <c r="K1676" s="62">
        <v>-8857902.62</v>
      </c>
      <c r="L1676" s="33" t="e">
        <f>HLOOKUP(B1676,#REF!,1,0)</f>
        <v>#REF!</v>
      </c>
      <c r="M1676" s="33" t="str">
        <f t="shared" si="107"/>
        <v>BS</v>
      </c>
    </row>
    <row r="1677" spans="1:13" s="33" customFormat="true" ht="12.75" customHeight="true">
      <c r="A1677" s="33" t="str">
        <f t="shared" si="104"/>
        <v>SCL - Intercompany</v>
      </c>
      <c r="B1677" s="33" t="str">
        <f t="shared" si="105"/>
        <v>SCL</v>
      </c>
      <c r="C1677" s="33" t="str">
        <f t="shared" si="106"/>
        <v>11204-0000</v>
      </c>
      <c r="D1677" s="64" t="s">
        <v>2136</v>
      </c>
      <c r="E1677" s="64" t="s">
        <v>1234</v>
      </c>
      <c r="F1677" s="64" t="s">
        <v>15</v>
      </c>
      <c r="G1677" s="64" t="s">
        <v>16</v>
      </c>
      <c r="H1677" s="64" t="s">
        <v>39</v>
      </c>
      <c r="I1677" s="64" t="s">
        <v>40</v>
      </c>
      <c r="J1677" s="67">
        <v>-17009.6</v>
      </c>
      <c r="K1677" s="62">
        <v>-11324390.34</v>
      </c>
      <c r="L1677" s="33" t="e">
        <f>HLOOKUP(B1677,#REF!,1,0)</f>
        <v>#REF!</v>
      </c>
      <c r="M1677" s="33" t="str">
        <f t="shared" si="107"/>
        <v>BS</v>
      </c>
    </row>
    <row r="1678" spans="1:13" s="33" customFormat="true" ht="12.75" customHeight="true">
      <c r="A1678" s="33" t="str">
        <f t="shared" si="104"/>
        <v>SCL - Intercompany</v>
      </c>
      <c r="B1678" s="33" t="str">
        <f t="shared" si="105"/>
        <v>SCL</v>
      </c>
      <c r="C1678" s="33" t="str">
        <f t="shared" si="106"/>
        <v>11206-0000</v>
      </c>
      <c r="D1678" s="64" t="s">
        <v>2137</v>
      </c>
      <c r="E1678" s="64" t="s">
        <v>2138</v>
      </c>
      <c r="F1678" s="64" t="s">
        <v>15</v>
      </c>
      <c r="G1678" s="64" t="s">
        <v>16</v>
      </c>
      <c r="H1678" s="64" t="s">
        <v>39</v>
      </c>
      <c r="I1678" s="64" t="s">
        <v>40</v>
      </c>
      <c r="J1678" s="67">
        <v>0</v>
      </c>
      <c r="K1678" s="62">
        <v>543500</v>
      </c>
      <c r="L1678" s="33" t="e">
        <f>HLOOKUP(B1678,#REF!,1,0)</f>
        <v>#REF!</v>
      </c>
      <c r="M1678" s="33" t="str">
        <f t="shared" si="107"/>
        <v>BS</v>
      </c>
    </row>
    <row r="1679" spans="1:13" s="33" customFormat="true" ht="12.75" customHeight="true">
      <c r="A1679" s="33" t="str">
        <f t="shared" si="104"/>
        <v>SCL - Intercompany</v>
      </c>
      <c r="B1679" s="33" t="str">
        <f t="shared" si="105"/>
        <v>SCL</v>
      </c>
      <c r="C1679" s="33" t="str">
        <f t="shared" si="106"/>
        <v>11212-0000</v>
      </c>
      <c r="D1679" s="64" t="s">
        <v>2139</v>
      </c>
      <c r="E1679" s="64" t="s">
        <v>769</v>
      </c>
      <c r="F1679" s="64" t="s">
        <v>15</v>
      </c>
      <c r="G1679" s="64" t="s">
        <v>16</v>
      </c>
      <c r="H1679" s="64" t="s">
        <v>39</v>
      </c>
      <c r="I1679" s="64" t="s">
        <v>40</v>
      </c>
      <c r="J1679" s="67">
        <v>0</v>
      </c>
      <c r="K1679" s="62">
        <v>470299.37</v>
      </c>
      <c r="L1679" s="33" t="e">
        <f>HLOOKUP(B1679,#REF!,1,0)</f>
        <v>#REF!</v>
      </c>
      <c r="M1679" s="33" t="str">
        <f t="shared" si="107"/>
        <v>BS</v>
      </c>
    </row>
    <row r="1680" spans="1:13" s="33" customFormat="true" ht="12.75" customHeight="true">
      <c r="A1680" s="33" t="str">
        <f t="shared" si="104"/>
        <v>SCL - Intercompany</v>
      </c>
      <c r="B1680" s="33" t="str">
        <f t="shared" si="105"/>
        <v>SCL</v>
      </c>
      <c r="C1680" s="33" t="str">
        <f t="shared" si="106"/>
        <v>11217-0000</v>
      </c>
      <c r="D1680" s="64" t="s">
        <v>2140</v>
      </c>
      <c r="E1680" s="64" t="s">
        <v>172</v>
      </c>
      <c r="F1680" s="64" t="s">
        <v>15</v>
      </c>
      <c r="G1680" s="64" t="s">
        <v>16</v>
      </c>
      <c r="H1680" s="64" t="s">
        <v>39</v>
      </c>
      <c r="I1680" s="64" t="s">
        <v>40</v>
      </c>
      <c r="J1680" s="67">
        <v>0</v>
      </c>
      <c r="K1680" s="62">
        <v>526825.6</v>
      </c>
      <c r="L1680" s="33" t="e">
        <f>HLOOKUP(B1680,#REF!,1,0)</f>
        <v>#REF!</v>
      </c>
      <c r="M1680" s="33" t="str">
        <f t="shared" si="107"/>
        <v>BS</v>
      </c>
    </row>
    <row r="1681" spans="1:13" s="33" customFormat="true" ht="12.75" customHeight="true">
      <c r="A1681" s="33" t="str">
        <f t="shared" si="104"/>
        <v>SCL - Intercompany</v>
      </c>
      <c r="B1681" s="33" t="str">
        <f t="shared" si="105"/>
        <v>SCL</v>
      </c>
      <c r="C1681" s="33" t="str">
        <f t="shared" si="106"/>
        <v>11218-0000</v>
      </c>
      <c r="D1681" s="64" t="s">
        <v>2141</v>
      </c>
      <c r="E1681" s="64" t="s">
        <v>42</v>
      </c>
      <c r="F1681" s="64" t="s">
        <v>15</v>
      </c>
      <c r="G1681" s="64" t="s">
        <v>16</v>
      </c>
      <c r="H1681" s="64" t="s">
        <v>39</v>
      </c>
      <c r="I1681" s="64" t="s">
        <v>40</v>
      </c>
      <c r="J1681" s="67">
        <v>0</v>
      </c>
      <c r="K1681" s="62">
        <v>469200.4</v>
      </c>
      <c r="L1681" s="33" t="e">
        <f>HLOOKUP(B1681,#REF!,1,0)</f>
        <v>#REF!</v>
      </c>
      <c r="M1681" s="33" t="str">
        <f t="shared" si="107"/>
        <v>BS</v>
      </c>
    </row>
    <row r="1682" spans="1:13" s="33" customFormat="true" ht="12.75" customHeight="true">
      <c r="A1682" s="33" t="str">
        <f t="shared" si="104"/>
        <v>SCL - Intercompany</v>
      </c>
      <c r="B1682" s="33" t="str">
        <f t="shared" si="105"/>
        <v>SCL</v>
      </c>
      <c r="C1682" s="33" t="str">
        <f t="shared" si="106"/>
        <v>11220-0000</v>
      </c>
      <c r="D1682" s="64" t="s">
        <v>2142</v>
      </c>
      <c r="E1682" s="64" t="s">
        <v>723</v>
      </c>
      <c r="F1682" s="64" t="s">
        <v>15</v>
      </c>
      <c r="G1682" s="64" t="s">
        <v>16</v>
      </c>
      <c r="H1682" s="64" t="s">
        <v>39</v>
      </c>
      <c r="I1682" s="64" t="s">
        <v>40</v>
      </c>
      <c r="J1682" s="67">
        <v>0</v>
      </c>
      <c r="K1682" s="62">
        <v>31114.5</v>
      </c>
      <c r="L1682" s="33" t="e">
        <f>HLOOKUP(B1682,#REF!,1,0)</f>
        <v>#REF!</v>
      </c>
      <c r="M1682" s="33" t="str">
        <f t="shared" si="107"/>
        <v>BS</v>
      </c>
    </row>
    <row r="1683" spans="1:13" s="33" customFormat="true" ht="12.75" customHeight="true">
      <c r="A1683" s="33" t="str">
        <f t="shared" si="104"/>
        <v>SCL - Intercompany</v>
      </c>
      <c r="B1683" s="33" t="str">
        <f t="shared" si="105"/>
        <v>SCL</v>
      </c>
      <c r="C1683" s="33" t="str">
        <f t="shared" si="106"/>
        <v>11224-0000</v>
      </c>
      <c r="D1683" s="64" t="s">
        <v>2143</v>
      </c>
      <c r="E1683" s="64" t="s">
        <v>771</v>
      </c>
      <c r="F1683" s="64" t="s">
        <v>15</v>
      </c>
      <c r="G1683" s="64" t="s">
        <v>16</v>
      </c>
      <c r="H1683" s="64" t="s">
        <v>39</v>
      </c>
      <c r="I1683" s="64" t="s">
        <v>40</v>
      </c>
      <c r="J1683" s="67">
        <v>1496.27</v>
      </c>
      <c r="K1683" s="62">
        <v>750453.45</v>
      </c>
      <c r="L1683" s="33" t="e">
        <f>HLOOKUP(B1683,#REF!,1,0)</f>
        <v>#REF!</v>
      </c>
      <c r="M1683" s="33" t="str">
        <f t="shared" si="107"/>
        <v>BS</v>
      </c>
    </row>
    <row r="1684" spans="1:13" s="33" customFormat="true" ht="12.75" customHeight="true">
      <c r="A1684" s="33" t="str">
        <f t="shared" si="104"/>
        <v>SCL - Intercompany</v>
      </c>
      <c r="B1684" s="33" t="str">
        <f t="shared" si="105"/>
        <v>SCL</v>
      </c>
      <c r="C1684" s="33" t="str">
        <f t="shared" si="106"/>
        <v>11228-0000</v>
      </c>
      <c r="D1684" s="64" t="s">
        <v>2144</v>
      </c>
      <c r="E1684" s="64" t="s">
        <v>2145</v>
      </c>
      <c r="F1684" s="64" t="s">
        <v>15</v>
      </c>
      <c r="G1684" s="64" t="s">
        <v>16</v>
      </c>
      <c r="H1684" s="64" t="s">
        <v>39</v>
      </c>
      <c r="I1684" s="64" t="s">
        <v>40</v>
      </c>
      <c r="J1684" s="67">
        <v>0</v>
      </c>
      <c r="K1684" s="62">
        <v>2460000</v>
      </c>
      <c r="L1684" s="33" t="e">
        <f>HLOOKUP(B1684,#REF!,1,0)</f>
        <v>#REF!</v>
      </c>
      <c r="M1684" s="33" t="str">
        <f t="shared" si="107"/>
        <v>BS</v>
      </c>
    </row>
    <row r="1685" spans="1:13" s="33" customFormat="true" ht="12.75" customHeight="true">
      <c r="A1685" s="33" t="str">
        <f t="shared" si="104"/>
        <v>SCL - Intercompany</v>
      </c>
      <c r="B1685" s="33" t="str">
        <f t="shared" si="105"/>
        <v>SCL</v>
      </c>
      <c r="C1685" s="33" t="str">
        <f t="shared" si="106"/>
        <v>11231-0000</v>
      </c>
      <c r="D1685" s="64" t="s">
        <v>2146</v>
      </c>
      <c r="E1685" s="64" t="s">
        <v>549</v>
      </c>
      <c r="F1685" s="64" t="s">
        <v>15</v>
      </c>
      <c r="G1685" s="64" t="s">
        <v>16</v>
      </c>
      <c r="H1685" s="64" t="s">
        <v>39</v>
      </c>
      <c r="I1685" s="64" t="s">
        <v>40</v>
      </c>
      <c r="J1685" s="67">
        <v>0</v>
      </c>
      <c r="K1685" s="62">
        <v>0.01</v>
      </c>
      <c r="L1685" s="33" t="e">
        <f>HLOOKUP(B1685,#REF!,1,0)</f>
        <v>#REF!</v>
      </c>
      <c r="M1685" s="33" t="str">
        <f t="shared" si="107"/>
        <v>BS</v>
      </c>
    </row>
    <row r="1686" spans="1:13" s="33" customFormat="true" ht="12.75" customHeight="true">
      <c r="A1686" s="33" t="str">
        <f t="shared" si="104"/>
        <v>SCL - AR-PPD</v>
      </c>
      <c r="B1686" s="33" t="str">
        <f t="shared" si="105"/>
        <v>SCL</v>
      </c>
      <c r="C1686" s="33" t="str">
        <f t="shared" si="106"/>
        <v>11985-0000</v>
      </c>
      <c r="D1686" s="64" t="s">
        <v>2147</v>
      </c>
      <c r="E1686" s="64" t="s">
        <v>773</v>
      </c>
      <c r="F1686" s="64" t="s">
        <v>15</v>
      </c>
      <c r="G1686" s="64" t="s">
        <v>16</v>
      </c>
      <c r="H1686" s="64" t="s">
        <v>35</v>
      </c>
      <c r="I1686" s="64" t="s">
        <v>40</v>
      </c>
      <c r="J1686" s="67">
        <v>0</v>
      </c>
      <c r="K1686" s="62">
        <v>-7767000</v>
      </c>
      <c r="L1686" s="33" t="e">
        <f>HLOOKUP(B1686,#REF!,1,0)</f>
        <v>#REF!</v>
      </c>
      <c r="M1686" s="33" t="str">
        <f t="shared" si="107"/>
        <v>BS</v>
      </c>
    </row>
    <row r="1687" spans="1:13" s="33" customFormat="true" ht="12.75" customHeight="true">
      <c r="A1687" s="33" t="str">
        <f t="shared" si="104"/>
        <v>SCL - Inventory</v>
      </c>
      <c r="B1687" s="33" t="str">
        <f t="shared" si="105"/>
        <v>SCL</v>
      </c>
      <c r="C1687" s="33" t="str">
        <f t="shared" si="106"/>
        <v>13100-7351</v>
      </c>
      <c r="D1687" s="64" t="s">
        <v>2148</v>
      </c>
      <c r="E1687" s="64" t="s">
        <v>50</v>
      </c>
      <c r="F1687" s="64" t="s">
        <v>15</v>
      </c>
      <c r="G1687" s="64" t="s">
        <v>16</v>
      </c>
      <c r="H1687" s="64" t="s">
        <v>17</v>
      </c>
      <c r="I1687" s="64" t="s">
        <v>51</v>
      </c>
      <c r="J1687" s="67">
        <v>0</v>
      </c>
      <c r="K1687" s="62">
        <v>7786</v>
      </c>
      <c r="L1687" s="33" t="e">
        <f>HLOOKUP(B1687,#REF!,1,0)</f>
        <v>#REF!</v>
      </c>
      <c r="M1687" s="33" t="str">
        <f t="shared" si="107"/>
        <v>BS</v>
      </c>
    </row>
    <row r="1688" spans="1:13" s="33" customFormat="true" ht="12.75" customHeight="true">
      <c r="A1688" s="33" t="str">
        <f t="shared" si="104"/>
        <v>SCL - Inventory</v>
      </c>
      <c r="B1688" s="33" t="str">
        <f t="shared" si="105"/>
        <v>SCL</v>
      </c>
      <c r="C1688" s="33" t="str">
        <f t="shared" si="106"/>
        <v>13100-7352</v>
      </c>
      <c r="D1688" s="64" t="s">
        <v>2149</v>
      </c>
      <c r="E1688" s="64" t="s">
        <v>50</v>
      </c>
      <c r="F1688" s="64" t="s">
        <v>15</v>
      </c>
      <c r="G1688" s="64" t="s">
        <v>16</v>
      </c>
      <c r="H1688" s="64" t="s">
        <v>17</v>
      </c>
      <c r="I1688" s="64" t="s">
        <v>51</v>
      </c>
      <c r="J1688" s="67">
        <v>0</v>
      </c>
      <c r="K1688" s="62">
        <v>8733.08</v>
      </c>
      <c r="L1688" s="33" t="e">
        <f>HLOOKUP(B1688,#REF!,1,0)</f>
        <v>#REF!</v>
      </c>
      <c r="M1688" s="33" t="str">
        <f t="shared" si="107"/>
        <v>BS</v>
      </c>
    </row>
    <row r="1689" spans="1:13" s="33" customFormat="true" ht="12.75" customHeight="true">
      <c r="A1689" s="33" t="str">
        <f t="shared" si="104"/>
        <v>SCL - Inventory</v>
      </c>
      <c r="B1689" s="33" t="str">
        <f t="shared" si="105"/>
        <v>SCL</v>
      </c>
      <c r="C1689" s="33" t="str">
        <f t="shared" si="106"/>
        <v>13100-7355</v>
      </c>
      <c r="D1689" s="64" t="s">
        <v>2150</v>
      </c>
      <c r="E1689" s="64" t="s">
        <v>50</v>
      </c>
      <c r="F1689" s="64" t="s">
        <v>15</v>
      </c>
      <c r="G1689" s="64" t="s">
        <v>16</v>
      </c>
      <c r="H1689" s="64" t="s">
        <v>17</v>
      </c>
      <c r="I1689" s="64" t="s">
        <v>51</v>
      </c>
      <c r="J1689" s="67">
        <v>0</v>
      </c>
      <c r="K1689" s="62">
        <v>9597</v>
      </c>
      <c r="L1689" s="33" t="e">
        <f>HLOOKUP(B1689,#REF!,1,0)</f>
        <v>#REF!</v>
      </c>
      <c r="M1689" s="33" t="str">
        <f t="shared" si="107"/>
        <v>BS</v>
      </c>
    </row>
    <row r="1690" spans="1:13" s="33" customFormat="true" ht="12.75" customHeight="true">
      <c r="A1690" s="33" t="str">
        <f t="shared" si="104"/>
        <v>SCL - Inventory</v>
      </c>
      <c r="B1690" s="33" t="str">
        <f t="shared" si="105"/>
        <v>SCL</v>
      </c>
      <c r="C1690" s="33" t="str">
        <f t="shared" si="106"/>
        <v>13100-7356</v>
      </c>
      <c r="D1690" s="64" t="s">
        <v>2151</v>
      </c>
      <c r="E1690" s="64" t="s">
        <v>50</v>
      </c>
      <c r="F1690" s="64" t="s">
        <v>15</v>
      </c>
      <c r="G1690" s="64" t="s">
        <v>16</v>
      </c>
      <c r="H1690" s="64" t="s">
        <v>17</v>
      </c>
      <c r="I1690" s="64" t="s">
        <v>51</v>
      </c>
      <c r="J1690" s="67">
        <v>0</v>
      </c>
      <c r="K1690" s="62">
        <v>7324</v>
      </c>
      <c r="L1690" s="33" t="e">
        <f>HLOOKUP(B1690,#REF!,1,0)</f>
        <v>#REF!</v>
      </c>
      <c r="M1690" s="33" t="str">
        <f t="shared" si="107"/>
        <v>BS</v>
      </c>
    </row>
    <row r="1691" spans="1:13" s="33" customFormat="true" ht="12.75" customHeight="true">
      <c r="A1691" s="33" t="str">
        <f t="shared" si="104"/>
        <v>SCL - Inventory</v>
      </c>
      <c r="B1691" s="33" t="str">
        <f t="shared" si="105"/>
        <v>SCL</v>
      </c>
      <c r="C1691" s="33" t="str">
        <f t="shared" si="106"/>
        <v>13100-7359</v>
      </c>
      <c r="D1691" s="64" t="s">
        <v>2152</v>
      </c>
      <c r="E1691" s="64" t="s">
        <v>50</v>
      </c>
      <c r="F1691" s="64" t="s">
        <v>15</v>
      </c>
      <c r="G1691" s="64" t="s">
        <v>16</v>
      </c>
      <c r="H1691" s="64" t="s">
        <v>17</v>
      </c>
      <c r="I1691" s="64" t="s">
        <v>51</v>
      </c>
      <c r="J1691" s="67">
        <v>0</v>
      </c>
      <c r="K1691" s="62">
        <v>4687</v>
      </c>
      <c r="L1691" s="33" t="e">
        <f>HLOOKUP(B1691,#REF!,1,0)</f>
        <v>#REF!</v>
      </c>
      <c r="M1691" s="33" t="str">
        <f t="shared" si="107"/>
        <v>BS</v>
      </c>
    </row>
    <row r="1692" spans="1:13" s="33" customFormat="true" ht="12.75" customHeight="true">
      <c r="A1692" s="33" t="str">
        <f t="shared" si="104"/>
        <v>SCL - Inventory</v>
      </c>
      <c r="B1692" s="33" t="str">
        <f t="shared" si="105"/>
        <v>SCL</v>
      </c>
      <c r="C1692" s="33" t="str">
        <f t="shared" si="106"/>
        <v>13100-7360</v>
      </c>
      <c r="D1692" s="64" t="s">
        <v>2153</v>
      </c>
      <c r="E1692" s="64" t="s">
        <v>50</v>
      </c>
      <c r="F1692" s="64" t="s">
        <v>15</v>
      </c>
      <c r="G1692" s="64" t="s">
        <v>16</v>
      </c>
      <c r="H1692" s="64" t="s">
        <v>17</v>
      </c>
      <c r="I1692" s="64" t="s">
        <v>51</v>
      </c>
      <c r="J1692" s="67">
        <v>0</v>
      </c>
      <c r="K1692" s="62">
        <v>8253.63</v>
      </c>
      <c r="L1692" s="33" t="e">
        <f>HLOOKUP(B1692,#REF!,1,0)</f>
        <v>#REF!</v>
      </c>
      <c r="M1692" s="33" t="str">
        <f t="shared" si="107"/>
        <v>BS</v>
      </c>
    </row>
    <row r="1693" spans="1:13" s="33" customFormat="true" ht="12.75" customHeight="true">
      <c r="A1693" s="33" t="str">
        <f t="shared" si="104"/>
        <v>SCL - Inventory</v>
      </c>
      <c r="B1693" s="33" t="str">
        <f t="shared" si="105"/>
        <v>SCL</v>
      </c>
      <c r="C1693" s="33" t="str">
        <f t="shared" si="106"/>
        <v>13100-7361</v>
      </c>
      <c r="D1693" s="64" t="s">
        <v>2154</v>
      </c>
      <c r="E1693" s="64" t="s">
        <v>50</v>
      </c>
      <c r="F1693" s="64" t="s">
        <v>15</v>
      </c>
      <c r="G1693" s="64" t="s">
        <v>16</v>
      </c>
      <c r="H1693" s="64" t="s">
        <v>17</v>
      </c>
      <c r="I1693" s="64" t="s">
        <v>51</v>
      </c>
      <c r="J1693" s="67">
        <v>0</v>
      </c>
      <c r="K1693" s="62">
        <v>11623.92</v>
      </c>
      <c r="L1693" s="33" t="e">
        <f>HLOOKUP(B1693,#REF!,1,0)</f>
        <v>#REF!</v>
      </c>
      <c r="M1693" s="33" t="str">
        <f t="shared" si="107"/>
        <v>BS</v>
      </c>
    </row>
    <row r="1694" spans="1:13" s="33" customFormat="true" ht="12.75" customHeight="true">
      <c r="A1694" s="33" t="str">
        <f t="shared" si="104"/>
        <v>SCL - Inventory</v>
      </c>
      <c r="B1694" s="33" t="str">
        <f t="shared" si="105"/>
        <v>SCL</v>
      </c>
      <c r="C1694" s="33" t="str">
        <f t="shared" si="106"/>
        <v>13100-7362</v>
      </c>
      <c r="D1694" s="64" t="s">
        <v>2155</v>
      </c>
      <c r="E1694" s="64" t="s">
        <v>50</v>
      </c>
      <c r="F1694" s="64" t="s">
        <v>15</v>
      </c>
      <c r="G1694" s="64" t="s">
        <v>16</v>
      </c>
      <c r="H1694" s="64" t="s">
        <v>17</v>
      </c>
      <c r="I1694" s="64" t="s">
        <v>51</v>
      </c>
      <c r="J1694" s="67">
        <v>0</v>
      </c>
      <c r="K1694" s="62">
        <v>7062</v>
      </c>
      <c r="L1694" s="33" t="e">
        <f>HLOOKUP(B1694,#REF!,1,0)</f>
        <v>#REF!</v>
      </c>
      <c r="M1694" s="33" t="str">
        <f t="shared" si="107"/>
        <v>BS</v>
      </c>
    </row>
    <row r="1695" spans="1:13" s="33" customFormat="true" ht="12.75" customHeight="true">
      <c r="A1695" s="33" t="str">
        <f t="shared" si="104"/>
        <v>SCL - Inventory</v>
      </c>
      <c r="B1695" s="33" t="str">
        <f t="shared" si="105"/>
        <v>SCL</v>
      </c>
      <c r="C1695" s="33" t="str">
        <f t="shared" si="106"/>
        <v>13100-7363</v>
      </c>
      <c r="D1695" s="64" t="s">
        <v>2156</v>
      </c>
      <c r="E1695" s="64" t="s">
        <v>50</v>
      </c>
      <c r="F1695" s="64" t="s">
        <v>15</v>
      </c>
      <c r="G1695" s="64" t="s">
        <v>16</v>
      </c>
      <c r="H1695" s="64" t="s">
        <v>17</v>
      </c>
      <c r="I1695" s="64" t="s">
        <v>51</v>
      </c>
      <c r="J1695" s="67">
        <v>0</v>
      </c>
      <c r="K1695" s="62">
        <v>9761</v>
      </c>
      <c r="L1695" s="33" t="e">
        <f>HLOOKUP(B1695,#REF!,1,0)</f>
        <v>#REF!</v>
      </c>
      <c r="M1695" s="33" t="str">
        <f t="shared" si="107"/>
        <v>BS</v>
      </c>
    </row>
    <row r="1696" spans="1:13" s="33" customFormat="true" ht="12.75" customHeight="true">
      <c r="A1696" s="33" t="str">
        <f t="shared" si="104"/>
        <v>SCL - Inventory</v>
      </c>
      <c r="B1696" s="33" t="str">
        <f t="shared" si="105"/>
        <v>SCL</v>
      </c>
      <c r="C1696" s="33" t="str">
        <f t="shared" si="106"/>
        <v>13100-7364</v>
      </c>
      <c r="D1696" s="64" t="s">
        <v>2157</v>
      </c>
      <c r="E1696" s="64" t="s">
        <v>50</v>
      </c>
      <c r="F1696" s="64" t="s">
        <v>15</v>
      </c>
      <c r="G1696" s="64" t="s">
        <v>16</v>
      </c>
      <c r="H1696" s="64" t="s">
        <v>17</v>
      </c>
      <c r="I1696" s="64" t="s">
        <v>51</v>
      </c>
      <c r="J1696" s="67">
        <v>0</v>
      </c>
      <c r="K1696" s="62">
        <v>5578</v>
      </c>
      <c r="L1696" s="33" t="e">
        <f>HLOOKUP(B1696,#REF!,1,0)</f>
        <v>#REF!</v>
      </c>
      <c r="M1696" s="33" t="str">
        <f t="shared" si="107"/>
        <v>BS</v>
      </c>
    </row>
    <row r="1697" spans="1:13" s="33" customFormat="true" ht="12.75" customHeight="true">
      <c r="A1697" s="33" t="str">
        <f t="shared" si="104"/>
        <v>SCL - Inventory</v>
      </c>
      <c r="B1697" s="33" t="str">
        <f t="shared" si="105"/>
        <v>SCL</v>
      </c>
      <c r="C1697" s="33" t="str">
        <f t="shared" si="106"/>
        <v>13100-7365</v>
      </c>
      <c r="D1697" s="64" t="s">
        <v>2158</v>
      </c>
      <c r="E1697" s="64" t="s">
        <v>50</v>
      </c>
      <c r="F1697" s="64" t="s">
        <v>15</v>
      </c>
      <c r="G1697" s="64" t="s">
        <v>16</v>
      </c>
      <c r="H1697" s="64" t="s">
        <v>17</v>
      </c>
      <c r="I1697" s="64" t="s">
        <v>51</v>
      </c>
      <c r="J1697" s="67">
        <v>0</v>
      </c>
      <c r="K1697" s="62">
        <v>7273</v>
      </c>
      <c r="L1697" s="33" t="e">
        <f>HLOOKUP(B1697,#REF!,1,0)</f>
        <v>#REF!</v>
      </c>
      <c r="M1697" s="33" t="str">
        <f t="shared" si="107"/>
        <v>BS</v>
      </c>
    </row>
    <row r="1698" spans="1:13" s="33" customFormat="true" ht="12.75" customHeight="true">
      <c r="A1698" s="33" t="str">
        <f t="shared" si="104"/>
        <v>SCL - Inventory</v>
      </c>
      <c r="B1698" s="33" t="str">
        <f t="shared" si="105"/>
        <v>SCL</v>
      </c>
      <c r="C1698" s="33" t="str">
        <f t="shared" si="106"/>
        <v>13100-7366</v>
      </c>
      <c r="D1698" s="64" t="s">
        <v>2159</v>
      </c>
      <c r="E1698" s="64" t="s">
        <v>50</v>
      </c>
      <c r="F1698" s="64" t="s">
        <v>15</v>
      </c>
      <c r="G1698" s="64" t="s">
        <v>16</v>
      </c>
      <c r="H1698" s="64" t="s">
        <v>17</v>
      </c>
      <c r="I1698" s="64" t="s">
        <v>51</v>
      </c>
      <c r="J1698" s="67">
        <v>0</v>
      </c>
      <c r="K1698" s="62">
        <v>11268</v>
      </c>
      <c r="L1698" s="33" t="e">
        <f>HLOOKUP(B1698,#REF!,1,0)</f>
        <v>#REF!</v>
      </c>
      <c r="M1698" s="33" t="str">
        <f t="shared" si="107"/>
        <v>BS</v>
      </c>
    </row>
    <row r="1699" spans="1:13" s="33" customFormat="true" ht="12.75" customHeight="true">
      <c r="A1699" s="33" t="str">
        <f t="shared" si="104"/>
        <v>SCL - Inventory</v>
      </c>
      <c r="B1699" s="33" t="str">
        <f t="shared" si="105"/>
        <v>SCL</v>
      </c>
      <c r="C1699" s="33" t="str">
        <f t="shared" si="106"/>
        <v>13100-7368</v>
      </c>
      <c r="D1699" s="64" t="s">
        <v>2160</v>
      </c>
      <c r="E1699" s="64" t="s">
        <v>50</v>
      </c>
      <c r="F1699" s="64" t="s">
        <v>15</v>
      </c>
      <c r="G1699" s="64" t="s">
        <v>16</v>
      </c>
      <c r="H1699" s="64" t="s">
        <v>17</v>
      </c>
      <c r="I1699" s="64" t="s">
        <v>51</v>
      </c>
      <c r="J1699" s="67">
        <v>0</v>
      </c>
      <c r="K1699" s="62">
        <v>6689</v>
      </c>
      <c r="L1699" s="33" t="e">
        <f>HLOOKUP(B1699,#REF!,1,0)</f>
        <v>#REF!</v>
      </c>
      <c r="M1699" s="33" t="str">
        <f t="shared" si="107"/>
        <v>BS</v>
      </c>
    </row>
    <row r="1700" spans="1:13" s="33" customFormat="true" ht="12.75" customHeight="true">
      <c r="A1700" s="33" t="str">
        <f t="shared" si="104"/>
        <v>SCL - Inventory</v>
      </c>
      <c r="B1700" s="33" t="str">
        <f t="shared" si="105"/>
        <v>SCL</v>
      </c>
      <c r="C1700" s="33" t="str">
        <f t="shared" si="106"/>
        <v>13100-7369</v>
      </c>
      <c r="D1700" s="64" t="s">
        <v>2161</v>
      </c>
      <c r="E1700" s="64" t="s">
        <v>50</v>
      </c>
      <c r="F1700" s="64" t="s">
        <v>15</v>
      </c>
      <c r="G1700" s="64" t="s">
        <v>16</v>
      </c>
      <c r="H1700" s="64" t="s">
        <v>17</v>
      </c>
      <c r="I1700" s="64" t="s">
        <v>51</v>
      </c>
      <c r="J1700" s="67">
        <v>0</v>
      </c>
      <c r="K1700" s="62">
        <v>8002</v>
      </c>
      <c r="L1700" s="33" t="e">
        <f>HLOOKUP(B1700,#REF!,1,0)</f>
        <v>#REF!</v>
      </c>
      <c r="M1700" s="33" t="str">
        <f t="shared" si="107"/>
        <v>BS</v>
      </c>
    </row>
    <row r="1701" spans="1:13" s="33" customFormat="true" ht="12.75" customHeight="true">
      <c r="A1701" s="33" t="str">
        <f t="shared" si="104"/>
        <v>SCL - Inventory</v>
      </c>
      <c r="B1701" s="33" t="str">
        <f t="shared" si="105"/>
        <v>SCL</v>
      </c>
      <c r="C1701" s="33" t="str">
        <f t="shared" si="106"/>
        <v>13100-7370</v>
      </c>
      <c r="D1701" s="64" t="s">
        <v>2162</v>
      </c>
      <c r="E1701" s="64" t="s">
        <v>50</v>
      </c>
      <c r="F1701" s="64" t="s">
        <v>15</v>
      </c>
      <c r="G1701" s="64" t="s">
        <v>16</v>
      </c>
      <c r="H1701" s="64" t="s">
        <v>17</v>
      </c>
      <c r="I1701" s="64" t="s">
        <v>51</v>
      </c>
      <c r="J1701" s="67">
        <v>0</v>
      </c>
      <c r="K1701" s="62">
        <v>0</v>
      </c>
      <c r="L1701" s="33" t="e">
        <f>HLOOKUP(B1701,#REF!,1,0)</f>
        <v>#REF!</v>
      </c>
      <c r="M1701" s="33" t="str">
        <f t="shared" si="107"/>
        <v>BS</v>
      </c>
    </row>
    <row r="1702" spans="1:13" s="33" customFormat="true" ht="12.75" customHeight="true">
      <c r="A1702" s="33" t="str">
        <f t="shared" si="104"/>
        <v>SCL - Inventory</v>
      </c>
      <c r="B1702" s="33" t="str">
        <f t="shared" si="105"/>
        <v>SCL</v>
      </c>
      <c r="C1702" s="33" t="str">
        <f t="shared" si="106"/>
        <v>13100-7371</v>
      </c>
      <c r="D1702" s="64" t="s">
        <v>2163</v>
      </c>
      <c r="E1702" s="64" t="s">
        <v>50</v>
      </c>
      <c r="F1702" s="64" t="s">
        <v>15</v>
      </c>
      <c r="G1702" s="64" t="s">
        <v>16</v>
      </c>
      <c r="H1702" s="64" t="s">
        <v>17</v>
      </c>
      <c r="I1702" s="64" t="s">
        <v>51</v>
      </c>
      <c r="J1702" s="67">
        <v>0</v>
      </c>
      <c r="K1702" s="62">
        <v>8736</v>
      </c>
      <c r="L1702" s="33" t="e">
        <f>HLOOKUP(B1702,#REF!,1,0)</f>
        <v>#REF!</v>
      </c>
      <c r="M1702" s="33" t="str">
        <f t="shared" si="107"/>
        <v>BS</v>
      </c>
    </row>
    <row r="1703" spans="1:13" s="33" customFormat="true" ht="12.75" customHeight="true">
      <c r="A1703" s="33" t="str">
        <f t="shared" si="104"/>
        <v>SCL - Inventory</v>
      </c>
      <c r="B1703" s="33" t="str">
        <f t="shared" si="105"/>
        <v>SCL</v>
      </c>
      <c r="C1703" s="33" t="str">
        <f t="shared" si="106"/>
        <v>13100-7374</v>
      </c>
      <c r="D1703" s="64" t="s">
        <v>2164</v>
      </c>
      <c r="E1703" s="64" t="s">
        <v>50</v>
      </c>
      <c r="F1703" s="64" t="s">
        <v>15</v>
      </c>
      <c r="G1703" s="64" t="s">
        <v>16</v>
      </c>
      <c r="H1703" s="64" t="s">
        <v>17</v>
      </c>
      <c r="I1703" s="64" t="s">
        <v>51</v>
      </c>
      <c r="J1703" s="67">
        <v>0</v>
      </c>
      <c r="K1703" s="62">
        <v>7053.77</v>
      </c>
      <c r="L1703" s="33" t="e">
        <f>HLOOKUP(B1703,#REF!,1,0)</f>
        <v>#REF!</v>
      </c>
      <c r="M1703" s="33" t="str">
        <f t="shared" si="107"/>
        <v>BS</v>
      </c>
    </row>
    <row r="1704" spans="1:13" s="33" customFormat="true" ht="12.75" customHeight="true">
      <c r="A1704" s="33" t="str">
        <f t="shared" si="104"/>
        <v>SCL - Inventory</v>
      </c>
      <c r="B1704" s="33" t="str">
        <f t="shared" si="105"/>
        <v>SCL</v>
      </c>
      <c r="C1704" s="33" t="str">
        <f t="shared" si="106"/>
        <v>13100-7375</v>
      </c>
      <c r="D1704" s="64" t="s">
        <v>2165</v>
      </c>
      <c r="E1704" s="64" t="s">
        <v>50</v>
      </c>
      <c r="F1704" s="64" t="s">
        <v>15</v>
      </c>
      <c r="G1704" s="64" t="s">
        <v>16</v>
      </c>
      <c r="H1704" s="64" t="s">
        <v>17</v>
      </c>
      <c r="I1704" s="64" t="s">
        <v>51</v>
      </c>
      <c r="J1704" s="67">
        <v>0</v>
      </c>
      <c r="K1704" s="62">
        <v>5731.86</v>
      </c>
      <c r="L1704" s="33" t="e">
        <f>HLOOKUP(B1704,#REF!,1,0)</f>
        <v>#REF!</v>
      </c>
      <c r="M1704" s="33" t="str">
        <f t="shared" si="107"/>
        <v>BS</v>
      </c>
    </row>
    <row r="1705" spans="1:13" s="33" customFormat="true" ht="12.75" customHeight="true">
      <c r="A1705" s="33" t="str">
        <f t="shared" si="104"/>
        <v>SCL - Inventory</v>
      </c>
      <c r="B1705" s="33" t="str">
        <f t="shared" si="105"/>
        <v>SCL</v>
      </c>
      <c r="C1705" s="33" t="str">
        <f t="shared" si="106"/>
        <v>13100-7376</v>
      </c>
      <c r="D1705" s="64" t="s">
        <v>2166</v>
      </c>
      <c r="E1705" s="64" t="s">
        <v>50</v>
      </c>
      <c r="F1705" s="64" t="s">
        <v>15</v>
      </c>
      <c r="G1705" s="64" t="s">
        <v>16</v>
      </c>
      <c r="H1705" s="64" t="s">
        <v>17</v>
      </c>
      <c r="I1705" s="64" t="s">
        <v>51</v>
      </c>
      <c r="J1705" s="67">
        <v>0</v>
      </c>
      <c r="K1705" s="62">
        <v>10111</v>
      </c>
      <c r="L1705" s="33" t="e">
        <f>HLOOKUP(B1705,#REF!,1,0)</f>
        <v>#REF!</v>
      </c>
      <c r="M1705" s="33" t="str">
        <f t="shared" si="107"/>
        <v>BS</v>
      </c>
    </row>
    <row r="1706" spans="1:13" s="33" customFormat="true" ht="12.75" customHeight="true">
      <c r="A1706" s="33" t="str">
        <f t="shared" si="104"/>
        <v>SCL - Inventory</v>
      </c>
      <c r="B1706" s="33" t="str">
        <f t="shared" si="105"/>
        <v>SCL</v>
      </c>
      <c r="C1706" s="33" t="str">
        <f t="shared" si="106"/>
        <v>13100-7377</v>
      </c>
      <c r="D1706" s="64" t="s">
        <v>2167</v>
      </c>
      <c r="E1706" s="64" t="s">
        <v>50</v>
      </c>
      <c r="F1706" s="64" t="s">
        <v>15</v>
      </c>
      <c r="G1706" s="64" t="s">
        <v>16</v>
      </c>
      <c r="H1706" s="64" t="s">
        <v>17</v>
      </c>
      <c r="I1706" s="64" t="s">
        <v>51</v>
      </c>
      <c r="J1706" s="67">
        <v>0</v>
      </c>
      <c r="K1706" s="62">
        <v>5512</v>
      </c>
      <c r="L1706" s="33" t="e">
        <f>HLOOKUP(B1706,#REF!,1,0)</f>
        <v>#REF!</v>
      </c>
      <c r="M1706" s="33" t="str">
        <f t="shared" si="107"/>
        <v>BS</v>
      </c>
    </row>
    <row r="1707" spans="1:13" s="33" customFormat="true" ht="12.75" customHeight="true">
      <c r="A1707" s="33" t="str">
        <f t="shared" si="104"/>
        <v>SCL - Inventory</v>
      </c>
      <c r="B1707" s="33" t="str">
        <f t="shared" si="105"/>
        <v>SCL</v>
      </c>
      <c r="C1707" s="33" t="str">
        <f t="shared" si="106"/>
        <v>13100-7378</v>
      </c>
      <c r="D1707" s="64" t="s">
        <v>2168</v>
      </c>
      <c r="E1707" s="64" t="s">
        <v>50</v>
      </c>
      <c r="F1707" s="64" t="s">
        <v>15</v>
      </c>
      <c r="G1707" s="64" t="s">
        <v>16</v>
      </c>
      <c r="H1707" s="64" t="s">
        <v>17</v>
      </c>
      <c r="I1707" s="64" t="s">
        <v>51</v>
      </c>
      <c r="J1707" s="67">
        <v>0</v>
      </c>
      <c r="K1707" s="62">
        <v>6060</v>
      </c>
      <c r="L1707" s="33" t="e">
        <f>HLOOKUP(B1707,#REF!,1,0)</f>
        <v>#REF!</v>
      </c>
      <c r="M1707" s="33" t="str">
        <f t="shared" si="107"/>
        <v>BS</v>
      </c>
    </row>
    <row r="1708" spans="1:13" s="33" customFormat="true" ht="12.75" customHeight="true">
      <c r="A1708" s="33" t="str">
        <f t="shared" si="104"/>
        <v>SCL - Inventory</v>
      </c>
      <c r="B1708" s="33" t="str">
        <f t="shared" si="105"/>
        <v>SCL</v>
      </c>
      <c r="C1708" s="33" t="str">
        <f t="shared" si="106"/>
        <v>13100-7379</v>
      </c>
      <c r="D1708" s="64" t="s">
        <v>2169</v>
      </c>
      <c r="E1708" s="64" t="s">
        <v>50</v>
      </c>
      <c r="F1708" s="64" t="s">
        <v>15</v>
      </c>
      <c r="G1708" s="64" t="s">
        <v>16</v>
      </c>
      <c r="H1708" s="64" t="s">
        <v>17</v>
      </c>
      <c r="I1708" s="64" t="s">
        <v>51</v>
      </c>
      <c r="J1708" s="67">
        <v>0</v>
      </c>
      <c r="K1708" s="62">
        <v>7291.46</v>
      </c>
      <c r="L1708" s="33" t="e">
        <f>HLOOKUP(B1708,#REF!,1,0)</f>
        <v>#REF!</v>
      </c>
      <c r="M1708" s="33" t="str">
        <f t="shared" si="107"/>
        <v>BS</v>
      </c>
    </row>
    <row r="1709" spans="1:13" s="33" customFormat="true" ht="12.75" customHeight="true">
      <c r="A1709" s="33" t="str">
        <f t="shared" si="104"/>
        <v>SCL - Inventory</v>
      </c>
      <c r="B1709" s="33" t="str">
        <f t="shared" si="105"/>
        <v>SCL</v>
      </c>
      <c r="C1709" s="33" t="str">
        <f t="shared" si="106"/>
        <v>13100-7380</v>
      </c>
      <c r="D1709" s="64" t="s">
        <v>2170</v>
      </c>
      <c r="E1709" s="64" t="s">
        <v>50</v>
      </c>
      <c r="F1709" s="64" t="s">
        <v>15</v>
      </c>
      <c r="G1709" s="64" t="s">
        <v>16</v>
      </c>
      <c r="H1709" s="64" t="s">
        <v>17</v>
      </c>
      <c r="I1709" s="64" t="s">
        <v>51</v>
      </c>
      <c r="J1709" s="67">
        <v>0</v>
      </c>
      <c r="K1709" s="62">
        <v>7239.89</v>
      </c>
      <c r="L1709" s="33" t="e">
        <f>HLOOKUP(B1709,#REF!,1,0)</f>
        <v>#REF!</v>
      </c>
      <c r="M1709" s="33" t="str">
        <f t="shared" si="107"/>
        <v>BS</v>
      </c>
    </row>
    <row r="1710" spans="1:13" s="33" customFormat="true" ht="12.75" customHeight="true">
      <c r="A1710" s="33" t="str">
        <f t="shared" si="104"/>
        <v>SCL - Inventory</v>
      </c>
      <c r="B1710" s="33" t="str">
        <f t="shared" si="105"/>
        <v>SCL</v>
      </c>
      <c r="C1710" s="33" t="str">
        <f t="shared" si="106"/>
        <v>13100-7381</v>
      </c>
      <c r="D1710" s="64" t="s">
        <v>2171</v>
      </c>
      <c r="E1710" s="64" t="s">
        <v>50</v>
      </c>
      <c r="F1710" s="64" t="s">
        <v>15</v>
      </c>
      <c r="G1710" s="64" t="s">
        <v>16</v>
      </c>
      <c r="H1710" s="64" t="s">
        <v>17</v>
      </c>
      <c r="I1710" s="64" t="s">
        <v>51</v>
      </c>
      <c r="J1710" s="67">
        <v>0</v>
      </c>
      <c r="K1710" s="62">
        <v>6733</v>
      </c>
      <c r="L1710" s="33" t="e">
        <f>HLOOKUP(B1710,#REF!,1,0)</f>
        <v>#REF!</v>
      </c>
      <c r="M1710" s="33" t="str">
        <f t="shared" si="107"/>
        <v>BS</v>
      </c>
    </row>
    <row r="1711" spans="1:13" s="33" customFormat="true" ht="12.75" customHeight="true">
      <c r="A1711" s="33" t="str">
        <f t="shared" si="104"/>
        <v>SCL - Inventory</v>
      </c>
      <c r="B1711" s="33" t="str">
        <f t="shared" si="105"/>
        <v>SCL</v>
      </c>
      <c r="C1711" s="33" t="str">
        <f t="shared" si="106"/>
        <v>13100-7383</v>
      </c>
      <c r="D1711" s="64" t="s">
        <v>2172</v>
      </c>
      <c r="E1711" s="64" t="s">
        <v>50</v>
      </c>
      <c r="F1711" s="64" t="s">
        <v>15</v>
      </c>
      <c r="G1711" s="64" t="s">
        <v>16</v>
      </c>
      <c r="H1711" s="64" t="s">
        <v>17</v>
      </c>
      <c r="I1711" s="64" t="s">
        <v>51</v>
      </c>
      <c r="J1711" s="67">
        <v>0</v>
      </c>
      <c r="K1711" s="62">
        <v>5538</v>
      </c>
      <c r="L1711" s="33" t="e">
        <f>HLOOKUP(B1711,#REF!,1,0)</f>
        <v>#REF!</v>
      </c>
      <c r="M1711" s="33" t="str">
        <f t="shared" si="107"/>
        <v>BS</v>
      </c>
    </row>
    <row r="1712" spans="1:13" s="33" customFormat="true" ht="12.75" customHeight="true">
      <c r="A1712" s="33" t="str">
        <f t="shared" si="104"/>
        <v>SCL - Inventory</v>
      </c>
      <c r="B1712" s="33" t="str">
        <f t="shared" si="105"/>
        <v>SCL</v>
      </c>
      <c r="C1712" s="33" t="str">
        <f t="shared" si="106"/>
        <v>13100-7385</v>
      </c>
      <c r="D1712" s="64" t="s">
        <v>2173</v>
      </c>
      <c r="E1712" s="64" t="s">
        <v>50</v>
      </c>
      <c r="F1712" s="64" t="s">
        <v>15</v>
      </c>
      <c r="G1712" s="64" t="s">
        <v>16</v>
      </c>
      <c r="H1712" s="64" t="s">
        <v>17</v>
      </c>
      <c r="I1712" s="64" t="s">
        <v>51</v>
      </c>
      <c r="J1712" s="67">
        <v>0</v>
      </c>
      <c r="K1712" s="62">
        <v>5880</v>
      </c>
      <c r="L1712" s="33" t="e">
        <f>HLOOKUP(B1712,#REF!,1,0)</f>
        <v>#REF!</v>
      </c>
      <c r="M1712" s="33" t="str">
        <f t="shared" si="107"/>
        <v>BS</v>
      </c>
    </row>
    <row r="1713" spans="1:13" s="33" customFormat="true" ht="12.75" customHeight="true">
      <c r="A1713" s="33" t="str">
        <f t="shared" si="104"/>
        <v>SCL - Inventory</v>
      </c>
      <c r="B1713" s="33" t="str">
        <f t="shared" si="105"/>
        <v>SCL</v>
      </c>
      <c r="C1713" s="33" t="str">
        <f t="shared" si="106"/>
        <v>13100-7386</v>
      </c>
      <c r="D1713" s="64" t="s">
        <v>2174</v>
      </c>
      <c r="E1713" s="64" t="s">
        <v>50</v>
      </c>
      <c r="F1713" s="64" t="s">
        <v>15</v>
      </c>
      <c r="G1713" s="64" t="s">
        <v>16</v>
      </c>
      <c r="H1713" s="64" t="s">
        <v>17</v>
      </c>
      <c r="I1713" s="64" t="s">
        <v>51</v>
      </c>
      <c r="J1713" s="67">
        <v>0</v>
      </c>
      <c r="K1713" s="62">
        <v>10480</v>
      </c>
      <c r="L1713" s="33" t="e">
        <f>HLOOKUP(B1713,#REF!,1,0)</f>
        <v>#REF!</v>
      </c>
      <c r="M1713" s="33" t="str">
        <f t="shared" si="107"/>
        <v>BS</v>
      </c>
    </row>
    <row r="1714" spans="1:13" s="33" customFormat="true" ht="12.75" customHeight="true">
      <c r="A1714" s="33" t="str">
        <f t="shared" si="104"/>
        <v>SCL - Inventory</v>
      </c>
      <c r="B1714" s="33" t="str">
        <f t="shared" si="105"/>
        <v>SCL</v>
      </c>
      <c r="C1714" s="33" t="str">
        <f t="shared" si="106"/>
        <v>13100-7387</v>
      </c>
      <c r="D1714" s="64" t="s">
        <v>2175</v>
      </c>
      <c r="E1714" s="64" t="s">
        <v>50</v>
      </c>
      <c r="F1714" s="64" t="s">
        <v>15</v>
      </c>
      <c r="G1714" s="64" t="s">
        <v>16</v>
      </c>
      <c r="H1714" s="64" t="s">
        <v>17</v>
      </c>
      <c r="I1714" s="64" t="s">
        <v>51</v>
      </c>
      <c r="J1714" s="67">
        <v>0</v>
      </c>
      <c r="K1714" s="62">
        <v>6609</v>
      </c>
      <c r="L1714" s="33" t="e">
        <f>HLOOKUP(B1714,#REF!,1,0)</f>
        <v>#REF!</v>
      </c>
      <c r="M1714" s="33" t="str">
        <f t="shared" si="107"/>
        <v>BS</v>
      </c>
    </row>
    <row r="1715" spans="1:13" s="33" customFormat="true" ht="12.75" customHeight="true">
      <c r="A1715" s="33" t="str">
        <f t="shared" si="104"/>
        <v>SCL - Inventory</v>
      </c>
      <c r="B1715" s="33" t="str">
        <f t="shared" si="105"/>
        <v>SCL</v>
      </c>
      <c r="C1715" s="33" t="str">
        <f t="shared" si="106"/>
        <v>13100-7389</v>
      </c>
      <c r="D1715" s="64" t="s">
        <v>2176</v>
      </c>
      <c r="E1715" s="64" t="s">
        <v>50</v>
      </c>
      <c r="F1715" s="64" t="s">
        <v>15</v>
      </c>
      <c r="G1715" s="64" t="s">
        <v>16</v>
      </c>
      <c r="H1715" s="64" t="s">
        <v>17</v>
      </c>
      <c r="I1715" s="64" t="s">
        <v>51</v>
      </c>
      <c r="J1715" s="67">
        <v>0</v>
      </c>
      <c r="K1715" s="62">
        <v>7929</v>
      </c>
      <c r="L1715" s="33" t="e">
        <f>HLOOKUP(B1715,#REF!,1,0)</f>
        <v>#REF!</v>
      </c>
      <c r="M1715" s="33" t="str">
        <f t="shared" si="107"/>
        <v>BS</v>
      </c>
    </row>
    <row r="1716" spans="1:13" s="33" customFormat="true" ht="12.75" customHeight="true">
      <c r="A1716" s="33" t="str">
        <f t="shared" si="104"/>
        <v>SCL - Inventory</v>
      </c>
      <c r="B1716" s="33" t="str">
        <f t="shared" si="105"/>
        <v>SCL</v>
      </c>
      <c r="C1716" s="33" t="str">
        <f t="shared" si="106"/>
        <v>13100-7391</v>
      </c>
      <c r="D1716" s="64" t="s">
        <v>2177</v>
      </c>
      <c r="E1716" s="64" t="s">
        <v>50</v>
      </c>
      <c r="F1716" s="64" t="s">
        <v>15</v>
      </c>
      <c r="G1716" s="64" t="s">
        <v>16</v>
      </c>
      <c r="H1716" s="64" t="s">
        <v>17</v>
      </c>
      <c r="I1716" s="64" t="s">
        <v>51</v>
      </c>
      <c r="J1716" s="67">
        <v>0</v>
      </c>
      <c r="K1716" s="62">
        <v>11904</v>
      </c>
      <c r="L1716" s="33" t="e">
        <f>HLOOKUP(B1716,#REF!,1,0)</f>
        <v>#REF!</v>
      </c>
      <c r="M1716" s="33" t="str">
        <f t="shared" si="107"/>
        <v>BS</v>
      </c>
    </row>
    <row r="1717" spans="1:13" s="33" customFormat="true" ht="12.75" customHeight="true">
      <c r="A1717" s="33" t="str">
        <f t="shared" si="104"/>
        <v>SCL - Inventory</v>
      </c>
      <c r="B1717" s="33" t="str">
        <f t="shared" si="105"/>
        <v>SCL</v>
      </c>
      <c r="C1717" s="33" t="str">
        <f t="shared" si="106"/>
        <v>13100-7393</v>
      </c>
      <c r="D1717" s="64" t="s">
        <v>2178</v>
      </c>
      <c r="E1717" s="64" t="s">
        <v>50</v>
      </c>
      <c r="F1717" s="64" t="s">
        <v>15</v>
      </c>
      <c r="G1717" s="64" t="s">
        <v>16</v>
      </c>
      <c r="H1717" s="64" t="s">
        <v>17</v>
      </c>
      <c r="I1717" s="64" t="s">
        <v>51</v>
      </c>
      <c r="J1717" s="67">
        <v>0</v>
      </c>
      <c r="K1717" s="62">
        <v>7582</v>
      </c>
      <c r="L1717" s="33" t="e">
        <f>HLOOKUP(B1717,#REF!,1,0)</f>
        <v>#REF!</v>
      </c>
      <c r="M1717" s="33" t="str">
        <f t="shared" si="107"/>
        <v>BS</v>
      </c>
    </row>
    <row r="1718" spans="1:13" s="33" customFormat="true" ht="12.75" customHeight="true">
      <c r="A1718" s="33" t="str">
        <f t="shared" si="104"/>
        <v>SCL - Inventory</v>
      </c>
      <c r="B1718" s="33" t="str">
        <f t="shared" si="105"/>
        <v>SCL</v>
      </c>
      <c r="C1718" s="33" t="str">
        <f t="shared" si="106"/>
        <v>13100-7394</v>
      </c>
      <c r="D1718" s="64" t="s">
        <v>2179</v>
      </c>
      <c r="E1718" s="64" t="s">
        <v>50</v>
      </c>
      <c r="F1718" s="64" t="s">
        <v>15</v>
      </c>
      <c r="G1718" s="64" t="s">
        <v>16</v>
      </c>
      <c r="H1718" s="64" t="s">
        <v>17</v>
      </c>
      <c r="I1718" s="64" t="s">
        <v>51</v>
      </c>
      <c r="J1718" s="67">
        <v>0</v>
      </c>
      <c r="K1718" s="62">
        <v>10759</v>
      </c>
      <c r="L1718" s="33" t="e">
        <f>HLOOKUP(B1718,#REF!,1,0)</f>
        <v>#REF!</v>
      </c>
      <c r="M1718" s="33" t="str">
        <f t="shared" si="107"/>
        <v>BS</v>
      </c>
    </row>
    <row r="1719" spans="1:13" s="33" customFormat="true" ht="12.75" customHeight="true">
      <c r="A1719" s="33" t="str">
        <f t="shared" si="104"/>
        <v>SCL - Inventory</v>
      </c>
      <c r="B1719" s="33" t="str">
        <f t="shared" si="105"/>
        <v>SCL</v>
      </c>
      <c r="C1719" s="33" t="str">
        <f t="shared" si="106"/>
        <v>13100-7396</v>
      </c>
      <c r="D1719" s="64" t="s">
        <v>2180</v>
      </c>
      <c r="E1719" s="64" t="s">
        <v>50</v>
      </c>
      <c r="F1719" s="64" t="s">
        <v>15</v>
      </c>
      <c r="G1719" s="64" t="s">
        <v>16</v>
      </c>
      <c r="H1719" s="64" t="s">
        <v>17</v>
      </c>
      <c r="I1719" s="64" t="s">
        <v>51</v>
      </c>
      <c r="J1719" s="67">
        <v>0</v>
      </c>
      <c r="K1719" s="62">
        <v>7290</v>
      </c>
      <c r="L1719" s="33" t="e">
        <f>HLOOKUP(B1719,#REF!,1,0)</f>
        <v>#REF!</v>
      </c>
      <c r="M1719" s="33" t="str">
        <f t="shared" si="107"/>
        <v>BS</v>
      </c>
    </row>
    <row r="1720" spans="1:13" s="33" customFormat="true" ht="12.75" customHeight="true">
      <c r="A1720" s="33" t="str">
        <f t="shared" si="104"/>
        <v>SCL - Inventory</v>
      </c>
      <c r="B1720" s="33" t="str">
        <f t="shared" si="105"/>
        <v>SCL</v>
      </c>
      <c r="C1720" s="33" t="str">
        <f t="shared" si="106"/>
        <v>13100-7397</v>
      </c>
      <c r="D1720" s="64" t="s">
        <v>2181</v>
      </c>
      <c r="E1720" s="64" t="s">
        <v>50</v>
      </c>
      <c r="F1720" s="64" t="s">
        <v>15</v>
      </c>
      <c r="G1720" s="64" t="s">
        <v>16</v>
      </c>
      <c r="H1720" s="64" t="s">
        <v>17</v>
      </c>
      <c r="I1720" s="64" t="s">
        <v>51</v>
      </c>
      <c r="J1720" s="67">
        <v>0</v>
      </c>
      <c r="K1720" s="62">
        <v>6829.59</v>
      </c>
      <c r="L1720" s="33" t="e">
        <f>HLOOKUP(B1720,#REF!,1,0)</f>
        <v>#REF!</v>
      </c>
      <c r="M1720" s="33" t="str">
        <f t="shared" si="107"/>
        <v>BS</v>
      </c>
    </row>
    <row r="1721" spans="1:13" s="33" customFormat="true" ht="12.75" customHeight="true">
      <c r="A1721" s="33" t="str">
        <f t="shared" si="104"/>
        <v>SCL - Inventory</v>
      </c>
      <c r="B1721" s="33" t="str">
        <f t="shared" si="105"/>
        <v>SCL</v>
      </c>
      <c r="C1721" s="33" t="str">
        <f t="shared" si="106"/>
        <v>13100-7398</v>
      </c>
      <c r="D1721" s="64" t="s">
        <v>2182</v>
      </c>
      <c r="E1721" s="64" t="s">
        <v>50</v>
      </c>
      <c r="F1721" s="64" t="s">
        <v>15</v>
      </c>
      <c r="G1721" s="64" t="s">
        <v>16</v>
      </c>
      <c r="H1721" s="64" t="s">
        <v>17</v>
      </c>
      <c r="I1721" s="64" t="s">
        <v>51</v>
      </c>
      <c r="J1721" s="67">
        <v>0</v>
      </c>
      <c r="K1721" s="62">
        <v>9621</v>
      </c>
      <c r="L1721" s="33" t="e">
        <f>HLOOKUP(B1721,#REF!,1,0)</f>
        <v>#REF!</v>
      </c>
      <c r="M1721" s="33" t="str">
        <f t="shared" si="107"/>
        <v>BS</v>
      </c>
    </row>
    <row r="1722" spans="1:13" s="33" customFormat="true" ht="12.75" customHeight="true">
      <c r="A1722" s="33" t="str">
        <f t="shared" si="104"/>
        <v>SCL - Inventory</v>
      </c>
      <c r="B1722" s="33" t="str">
        <f t="shared" si="105"/>
        <v>SCL</v>
      </c>
      <c r="C1722" s="33" t="str">
        <f t="shared" si="106"/>
        <v>13100-7400</v>
      </c>
      <c r="D1722" s="64" t="s">
        <v>2183</v>
      </c>
      <c r="E1722" s="64" t="s">
        <v>50</v>
      </c>
      <c r="F1722" s="64" t="s">
        <v>15</v>
      </c>
      <c r="G1722" s="64" t="s">
        <v>16</v>
      </c>
      <c r="H1722" s="64" t="s">
        <v>17</v>
      </c>
      <c r="I1722" s="64" t="s">
        <v>51</v>
      </c>
      <c r="J1722" s="67">
        <v>0</v>
      </c>
      <c r="K1722" s="62">
        <v>5963</v>
      </c>
      <c r="L1722" s="33" t="e">
        <f>HLOOKUP(B1722,#REF!,1,0)</f>
        <v>#REF!</v>
      </c>
      <c r="M1722" s="33" t="str">
        <f t="shared" si="107"/>
        <v>BS</v>
      </c>
    </row>
    <row r="1723" spans="1:13" s="33" customFormat="true" ht="12.75" customHeight="true">
      <c r="A1723" s="33" t="str">
        <f t="shared" si="104"/>
        <v>SCL - Inventory</v>
      </c>
      <c r="B1723" s="33" t="str">
        <f t="shared" si="105"/>
        <v>SCL</v>
      </c>
      <c r="C1723" s="33" t="str">
        <f t="shared" si="106"/>
        <v>13100-7401</v>
      </c>
      <c r="D1723" s="64" t="s">
        <v>2184</v>
      </c>
      <c r="E1723" s="64" t="s">
        <v>50</v>
      </c>
      <c r="F1723" s="64" t="s">
        <v>15</v>
      </c>
      <c r="G1723" s="64" t="s">
        <v>16</v>
      </c>
      <c r="H1723" s="64" t="s">
        <v>17</v>
      </c>
      <c r="I1723" s="64" t="s">
        <v>51</v>
      </c>
      <c r="J1723" s="67">
        <v>0</v>
      </c>
      <c r="K1723" s="62">
        <v>6722</v>
      </c>
      <c r="L1723" s="33" t="e">
        <f>HLOOKUP(B1723,#REF!,1,0)</f>
        <v>#REF!</v>
      </c>
      <c r="M1723" s="33" t="str">
        <f t="shared" si="107"/>
        <v>BS</v>
      </c>
    </row>
    <row r="1724" spans="1:13" s="33" customFormat="true" ht="12.75" customHeight="true">
      <c r="A1724" s="33" t="str">
        <f t="shared" si="104"/>
        <v>SCL - Inventory</v>
      </c>
      <c r="B1724" s="33" t="str">
        <f t="shared" si="105"/>
        <v>SCL</v>
      </c>
      <c r="C1724" s="33" t="str">
        <f t="shared" si="106"/>
        <v>13100-7402</v>
      </c>
      <c r="D1724" s="64" t="s">
        <v>2185</v>
      </c>
      <c r="E1724" s="64" t="s">
        <v>50</v>
      </c>
      <c r="F1724" s="64" t="s">
        <v>15</v>
      </c>
      <c r="G1724" s="64" t="s">
        <v>16</v>
      </c>
      <c r="H1724" s="64" t="s">
        <v>17</v>
      </c>
      <c r="I1724" s="64" t="s">
        <v>51</v>
      </c>
      <c r="J1724" s="67">
        <v>0</v>
      </c>
      <c r="K1724" s="62">
        <v>7067</v>
      </c>
      <c r="L1724" s="33" t="e">
        <f>HLOOKUP(B1724,#REF!,1,0)</f>
        <v>#REF!</v>
      </c>
      <c r="M1724" s="33" t="str">
        <f t="shared" si="107"/>
        <v>BS</v>
      </c>
    </row>
    <row r="1725" spans="1:13" s="33" customFormat="true" ht="12.75" customHeight="true">
      <c r="A1725" s="33" t="str">
        <f t="shared" si="104"/>
        <v>SCL - Inventory</v>
      </c>
      <c r="B1725" s="33" t="str">
        <f t="shared" si="105"/>
        <v>SCL</v>
      </c>
      <c r="C1725" s="33" t="str">
        <f t="shared" si="106"/>
        <v>13100-7403</v>
      </c>
      <c r="D1725" s="64" t="s">
        <v>2186</v>
      </c>
      <c r="E1725" s="64" t="s">
        <v>50</v>
      </c>
      <c r="F1725" s="64" t="s">
        <v>15</v>
      </c>
      <c r="G1725" s="64" t="s">
        <v>16</v>
      </c>
      <c r="H1725" s="64" t="s">
        <v>17</v>
      </c>
      <c r="I1725" s="64" t="s">
        <v>51</v>
      </c>
      <c r="J1725" s="67">
        <v>0</v>
      </c>
      <c r="K1725" s="62">
        <v>5671</v>
      </c>
      <c r="L1725" s="33" t="e">
        <f>HLOOKUP(B1725,#REF!,1,0)</f>
        <v>#REF!</v>
      </c>
      <c r="M1725" s="33" t="str">
        <f t="shared" si="107"/>
        <v>BS</v>
      </c>
    </row>
    <row r="1726" spans="1:13" s="33" customFormat="true" ht="12.75" customHeight="true">
      <c r="A1726" s="33" t="str">
        <f t="shared" si="104"/>
        <v>SCL - Inventory</v>
      </c>
      <c r="B1726" s="33" t="str">
        <f t="shared" si="105"/>
        <v>SCL</v>
      </c>
      <c r="C1726" s="33" t="str">
        <f t="shared" si="106"/>
        <v>13100-7405</v>
      </c>
      <c r="D1726" s="64" t="s">
        <v>2187</v>
      </c>
      <c r="E1726" s="64" t="s">
        <v>50</v>
      </c>
      <c r="F1726" s="64" t="s">
        <v>15</v>
      </c>
      <c r="G1726" s="64" t="s">
        <v>16</v>
      </c>
      <c r="H1726" s="64" t="s">
        <v>17</v>
      </c>
      <c r="I1726" s="64" t="s">
        <v>51</v>
      </c>
      <c r="J1726" s="67">
        <v>0</v>
      </c>
      <c r="K1726" s="62">
        <v>0</v>
      </c>
      <c r="L1726" s="33" t="e">
        <f>HLOOKUP(B1726,#REF!,1,0)</f>
        <v>#REF!</v>
      </c>
      <c r="M1726" s="33" t="str">
        <f t="shared" si="107"/>
        <v>BS</v>
      </c>
    </row>
    <row r="1727" spans="1:13" s="33" customFormat="true" ht="12.75" customHeight="true">
      <c r="A1727" s="33" t="str">
        <f t="shared" si="104"/>
        <v>SCL - Inventory</v>
      </c>
      <c r="B1727" s="33" t="str">
        <f t="shared" si="105"/>
        <v>SCL</v>
      </c>
      <c r="C1727" s="33" t="str">
        <f t="shared" si="106"/>
        <v>13100-7406</v>
      </c>
      <c r="D1727" s="64" t="s">
        <v>2188</v>
      </c>
      <c r="E1727" s="64" t="s">
        <v>50</v>
      </c>
      <c r="F1727" s="64" t="s">
        <v>15</v>
      </c>
      <c r="G1727" s="64" t="s">
        <v>16</v>
      </c>
      <c r="H1727" s="64" t="s">
        <v>17</v>
      </c>
      <c r="I1727" s="64" t="s">
        <v>51</v>
      </c>
      <c r="J1727" s="67">
        <v>0</v>
      </c>
      <c r="K1727" s="62">
        <v>0.16</v>
      </c>
      <c r="L1727" s="33" t="e">
        <f>HLOOKUP(B1727,#REF!,1,0)</f>
        <v>#REF!</v>
      </c>
      <c r="M1727" s="33" t="str">
        <f t="shared" si="107"/>
        <v>BS</v>
      </c>
    </row>
    <row r="1728" spans="1:13" s="33" customFormat="true" ht="12.75" customHeight="true">
      <c r="A1728" s="33" t="str">
        <f t="shared" si="104"/>
        <v>SCL - Inventory</v>
      </c>
      <c r="B1728" s="33" t="str">
        <f t="shared" si="105"/>
        <v>SCL</v>
      </c>
      <c r="C1728" s="33" t="str">
        <f t="shared" si="106"/>
        <v>13100-7489</v>
      </c>
      <c r="D1728" s="64" t="s">
        <v>2189</v>
      </c>
      <c r="E1728" s="64" t="s">
        <v>50</v>
      </c>
      <c r="F1728" s="64" t="s">
        <v>15</v>
      </c>
      <c r="G1728" s="64" t="s">
        <v>16</v>
      </c>
      <c r="H1728" s="64" t="s">
        <v>17</v>
      </c>
      <c r="I1728" s="64" t="s">
        <v>51</v>
      </c>
      <c r="J1728" s="67">
        <v>0</v>
      </c>
      <c r="K1728" s="62">
        <v>6900</v>
      </c>
      <c r="L1728" s="33" t="e">
        <f>HLOOKUP(B1728,#REF!,1,0)</f>
        <v>#REF!</v>
      </c>
      <c r="M1728" s="33" t="str">
        <f t="shared" si="107"/>
        <v>BS</v>
      </c>
    </row>
    <row r="1729" spans="1:13" s="33" customFormat="true" ht="12.75" customHeight="true">
      <c r="A1729" s="33" t="str">
        <f t="shared" si="104"/>
        <v>SCL - Inventory</v>
      </c>
      <c r="B1729" s="33" t="str">
        <f t="shared" si="105"/>
        <v>SCL</v>
      </c>
      <c r="C1729" s="33" t="str">
        <f t="shared" si="106"/>
        <v>13100-7491</v>
      </c>
      <c r="D1729" s="64" t="s">
        <v>2190</v>
      </c>
      <c r="E1729" s="64" t="s">
        <v>50</v>
      </c>
      <c r="F1729" s="64" t="s">
        <v>15</v>
      </c>
      <c r="G1729" s="64" t="s">
        <v>16</v>
      </c>
      <c r="H1729" s="64" t="s">
        <v>17</v>
      </c>
      <c r="I1729" s="64" t="s">
        <v>51</v>
      </c>
      <c r="J1729" s="67">
        <v>0</v>
      </c>
      <c r="K1729" s="62">
        <v>8528</v>
      </c>
      <c r="L1729" s="33" t="e">
        <f>HLOOKUP(B1729,#REF!,1,0)</f>
        <v>#REF!</v>
      </c>
      <c r="M1729" s="33" t="str">
        <f t="shared" si="107"/>
        <v>BS</v>
      </c>
    </row>
    <row r="1730" spans="1:13" s="33" customFormat="true" ht="12.75" customHeight="true">
      <c r="A1730" s="33" t="str">
        <f t="shared" ref="A1730:A1793" si="108">B1730&amp;" - "&amp;TRIM(H1730)</f>
        <v>SCL - Inventory</v>
      </c>
      <c r="B1730" s="33" t="str">
        <f t="shared" ref="B1730:B1793" si="109">LEFT(D1730,3)</f>
        <v>SCL</v>
      </c>
      <c r="C1730" s="33" t="str">
        <f t="shared" ref="C1730:C1793" si="110">RIGHT(D1730,10)</f>
        <v>13100-7492</v>
      </c>
      <c r="D1730" s="64" t="s">
        <v>2191</v>
      </c>
      <c r="E1730" s="64" t="s">
        <v>50</v>
      </c>
      <c r="F1730" s="64" t="s">
        <v>15</v>
      </c>
      <c r="G1730" s="64" t="s">
        <v>16</v>
      </c>
      <c r="H1730" s="64" t="s">
        <v>17</v>
      </c>
      <c r="I1730" s="64" t="s">
        <v>51</v>
      </c>
      <c r="J1730" s="67">
        <v>0</v>
      </c>
      <c r="K1730" s="62">
        <v>5760</v>
      </c>
      <c r="L1730" s="33" t="e">
        <f>HLOOKUP(B1730,#REF!,1,0)</f>
        <v>#REF!</v>
      </c>
      <c r="M1730" s="33" t="str">
        <f t="shared" ref="M1730:M1793" si="111">IF(VALUE(LEFT(C1730,5))&gt;40000,"P&amp;L","BS")</f>
        <v>BS</v>
      </c>
    </row>
    <row r="1731" spans="1:13" s="33" customFormat="true" ht="12.75" customHeight="true">
      <c r="A1731" s="33" t="str">
        <f t="shared" si="108"/>
        <v>SCL - Inventory</v>
      </c>
      <c r="B1731" s="33" t="str">
        <f t="shared" si="109"/>
        <v>SCL</v>
      </c>
      <c r="C1731" s="33" t="str">
        <f t="shared" si="110"/>
        <v>13100-7493</v>
      </c>
      <c r="D1731" s="64" t="s">
        <v>2192</v>
      </c>
      <c r="E1731" s="64" t="s">
        <v>50</v>
      </c>
      <c r="F1731" s="64" t="s">
        <v>15</v>
      </c>
      <c r="G1731" s="64" t="s">
        <v>16</v>
      </c>
      <c r="H1731" s="64" t="s">
        <v>17</v>
      </c>
      <c r="I1731" s="64" t="s">
        <v>51</v>
      </c>
      <c r="J1731" s="67">
        <v>0</v>
      </c>
      <c r="K1731" s="62">
        <v>6900</v>
      </c>
      <c r="L1731" s="33" t="e">
        <f>HLOOKUP(B1731,#REF!,1,0)</f>
        <v>#REF!</v>
      </c>
      <c r="M1731" s="33" t="str">
        <f t="shared" si="111"/>
        <v>BS</v>
      </c>
    </row>
    <row r="1732" spans="1:13" s="33" customFormat="true" ht="12.75" customHeight="true">
      <c r="A1732" s="33" t="str">
        <f t="shared" si="108"/>
        <v>SCL - Inventory</v>
      </c>
      <c r="B1732" s="33" t="str">
        <f t="shared" si="109"/>
        <v>SCL</v>
      </c>
      <c r="C1732" s="33" t="str">
        <f t="shared" si="110"/>
        <v>13100-7494</v>
      </c>
      <c r="D1732" s="64" t="s">
        <v>2193</v>
      </c>
      <c r="E1732" s="64" t="s">
        <v>50</v>
      </c>
      <c r="F1732" s="64" t="s">
        <v>15</v>
      </c>
      <c r="G1732" s="64" t="s">
        <v>16</v>
      </c>
      <c r="H1732" s="64" t="s">
        <v>17</v>
      </c>
      <c r="I1732" s="64" t="s">
        <v>51</v>
      </c>
      <c r="J1732" s="67">
        <v>0</v>
      </c>
      <c r="K1732" s="62">
        <v>7930</v>
      </c>
      <c r="L1732" s="33" t="e">
        <f>HLOOKUP(B1732,#REF!,1,0)</f>
        <v>#REF!</v>
      </c>
      <c r="M1732" s="33" t="str">
        <f t="shared" si="111"/>
        <v>BS</v>
      </c>
    </row>
    <row r="1733" spans="1:13" s="33" customFormat="true" ht="12.75" customHeight="true">
      <c r="A1733" s="33" t="str">
        <f t="shared" si="108"/>
        <v>SCL - Inventory</v>
      </c>
      <c r="B1733" s="33" t="str">
        <f t="shared" si="109"/>
        <v>SCL</v>
      </c>
      <c r="C1733" s="33" t="str">
        <f t="shared" si="110"/>
        <v>13100-7625</v>
      </c>
      <c r="D1733" s="64" t="s">
        <v>2194</v>
      </c>
      <c r="E1733" s="64" t="s">
        <v>50</v>
      </c>
      <c r="F1733" s="64" t="s">
        <v>15</v>
      </c>
      <c r="G1733" s="64" t="s">
        <v>16</v>
      </c>
      <c r="H1733" s="64" t="s">
        <v>17</v>
      </c>
      <c r="I1733" s="64" t="s">
        <v>51</v>
      </c>
      <c r="J1733" s="67">
        <v>0</v>
      </c>
      <c r="K1733" s="62">
        <v>4550</v>
      </c>
      <c r="L1733" s="33" t="e">
        <f>HLOOKUP(B1733,#REF!,1,0)</f>
        <v>#REF!</v>
      </c>
      <c r="M1733" s="33" t="str">
        <f t="shared" si="111"/>
        <v>BS</v>
      </c>
    </row>
    <row r="1734" spans="1:13" s="33" customFormat="true" ht="12.75" customHeight="true">
      <c r="A1734" s="33" t="str">
        <f t="shared" si="108"/>
        <v>SCL - Inventory</v>
      </c>
      <c r="B1734" s="33" t="str">
        <f t="shared" si="109"/>
        <v>SCL</v>
      </c>
      <c r="C1734" s="33" t="str">
        <f t="shared" si="110"/>
        <v>13100-8150</v>
      </c>
      <c r="D1734" s="64" t="s">
        <v>2195</v>
      </c>
      <c r="E1734" s="64" t="s">
        <v>50</v>
      </c>
      <c r="F1734" s="64" t="s">
        <v>15</v>
      </c>
      <c r="G1734" s="64" t="s">
        <v>16</v>
      </c>
      <c r="H1734" s="64" t="s">
        <v>17</v>
      </c>
      <c r="I1734" s="64" t="s">
        <v>51</v>
      </c>
      <c r="J1734" s="67">
        <v>0</v>
      </c>
      <c r="K1734" s="62">
        <v>7255</v>
      </c>
      <c r="L1734" s="33" t="e">
        <f>HLOOKUP(B1734,#REF!,1,0)</f>
        <v>#REF!</v>
      </c>
      <c r="M1734" s="33" t="str">
        <f t="shared" si="111"/>
        <v>BS</v>
      </c>
    </row>
    <row r="1735" spans="1:13" s="33" customFormat="true" ht="12.75" customHeight="true">
      <c r="A1735" s="33" t="str">
        <f t="shared" si="108"/>
        <v>SCL - AR-PPD</v>
      </c>
      <c r="B1735" s="33" t="str">
        <f t="shared" si="109"/>
        <v>SCL</v>
      </c>
      <c r="C1735" s="33" t="str">
        <f t="shared" si="110"/>
        <v>15004-0000</v>
      </c>
      <c r="D1735" s="64" t="s">
        <v>2196</v>
      </c>
      <c r="E1735" s="64" t="s">
        <v>2197</v>
      </c>
      <c r="F1735" s="64" t="s">
        <v>15</v>
      </c>
      <c r="G1735" s="64" t="s">
        <v>16</v>
      </c>
      <c r="H1735" s="64" t="s">
        <v>35</v>
      </c>
      <c r="I1735" s="64" t="s">
        <v>57</v>
      </c>
      <c r="J1735" s="67">
        <v>0</v>
      </c>
      <c r="K1735" s="62">
        <v>-3504.89</v>
      </c>
      <c r="L1735" s="33" t="e">
        <f>HLOOKUP(B1735,#REF!,1,0)</f>
        <v>#REF!</v>
      </c>
      <c r="M1735" s="33" t="str">
        <f t="shared" si="111"/>
        <v>BS</v>
      </c>
    </row>
    <row r="1736" spans="1:13" s="33" customFormat="true" ht="12.75" customHeight="true">
      <c r="A1736" s="33" t="str">
        <f t="shared" si="108"/>
        <v>SCL - AR-PPD</v>
      </c>
      <c r="B1736" s="33" t="str">
        <f t="shared" si="109"/>
        <v>SCL</v>
      </c>
      <c r="C1736" s="33" t="str">
        <f t="shared" si="110"/>
        <v>15005-0000</v>
      </c>
      <c r="D1736" s="64" t="s">
        <v>2198</v>
      </c>
      <c r="E1736" s="64" t="s">
        <v>59</v>
      </c>
      <c r="F1736" s="64" t="s">
        <v>15</v>
      </c>
      <c r="G1736" s="64" t="s">
        <v>16</v>
      </c>
      <c r="H1736" s="64" t="s">
        <v>35</v>
      </c>
      <c r="I1736" s="64" t="s">
        <v>57</v>
      </c>
      <c r="J1736" s="67">
        <v>0</v>
      </c>
      <c r="K1736" s="62">
        <v>17590.35</v>
      </c>
      <c r="L1736" s="33" t="e">
        <f>HLOOKUP(B1736,#REF!,1,0)</f>
        <v>#REF!</v>
      </c>
      <c r="M1736" s="33" t="str">
        <f t="shared" si="111"/>
        <v>BS</v>
      </c>
    </row>
    <row r="1737" spans="1:13" s="33" customFormat="true" ht="12.75" customHeight="true">
      <c r="A1737" s="33" t="str">
        <f t="shared" si="108"/>
        <v>SCL - Fixed Assets</v>
      </c>
      <c r="B1737" s="33" t="str">
        <f t="shared" si="109"/>
        <v>SCL</v>
      </c>
      <c r="C1737" s="33" t="str">
        <f t="shared" si="110"/>
        <v>16001-0000</v>
      </c>
      <c r="D1737" s="64" t="s">
        <v>2199</v>
      </c>
      <c r="E1737" s="64" t="s">
        <v>2200</v>
      </c>
      <c r="F1737" s="64" t="s">
        <v>15</v>
      </c>
      <c r="G1737" s="64" t="s">
        <v>62</v>
      </c>
      <c r="H1737" s="64" t="s">
        <v>63</v>
      </c>
      <c r="I1737" s="64" t="s">
        <v>64</v>
      </c>
      <c r="J1737" s="67">
        <v>0</v>
      </c>
      <c r="K1737" s="62">
        <v>3301.4</v>
      </c>
      <c r="L1737" s="33" t="e">
        <f>HLOOKUP(B1737,#REF!,1,0)</f>
        <v>#REF!</v>
      </c>
      <c r="M1737" s="33" t="str">
        <f t="shared" si="111"/>
        <v>BS</v>
      </c>
    </row>
    <row r="1738" spans="1:13" s="33" customFormat="true" ht="12.75" customHeight="true">
      <c r="A1738" s="33" t="str">
        <f t="shared" si="108"/>
        <v>SCL - Fixed Assets</v>
      </c>
      <c r="B1738" s="33" t="str">
        <f t="shared" si="109"/>
        <v>SCL</v>
      </c>
      <c r="C1738" s="33" t="str">
        <f t="shared" si="110"/>
        <v>16001-7366</v>
      </c>
      <c r="D1738" s="64" t="s">
        <v>2201</v>
      </c>
      <c r="E1738" s="64" t="s">
        <v>2200</v>
      </c>
      <c r="F1738" s="64" t="s">
        <v>15</v>
      </c>
      <c r="G1738" s="64" t="s">
        <v>62</v>
      </c>
      <c r="H1738" s="64" t="s">
        <v>63</v>
      </c>
      <c r="I1738" s="64" t="s">
        <v>64</v>
      </c>
      <c r="J1738" s="67">
        <v>0</v>
      </c>
      <c r="K1738" s="62">
        <v>3956</v>
      </c>
      <c r="L1738" s="33" t="e">
        <f>HLOOKUP(B1738,#REF!,1,0)</f>
        <v>#REF!</v>
      </c>
      <c r="M1738" s="33" t="str">
        <f t="shared" si="111"/>
        <v>BS</v>
      </c>
    </row>
    <row r="1739" spans="1:13" s="33" customFormat="true" ht="12.75" customHeight="true">
      <c r="A1739" s="33" t="str">
        <f t="shared" si="108"/>
        <v>SCL - Fixed Assets</v>
      </c>
      <c r="B1739" s="33" t="str">
        <f t="shared" si="109"/>
        <v>SCL</v>
      </c>
      <c r="C1739" s="33" t="str">
        <f t="shared" si="110"/>
        <v>16001-7377</v>
      </c>
      <c r="D1739" s="64" t="s">
        <v>2202</v>
      </c>
      <c r="E1739" s="64" t="s">
        <v>2200</v>
      </c>
      <c r="F1739" s="64" t="s">
        <v>15</v>
      </c>
      <c r="G1739" s="64" t="s">
        <v>62</v>
      </c>
      <c r="H1739" s="64" t="s">
        <v>63</v>
      </c>
      <c r="I1739" s="64" t="s">
        <v>64</v>
      </c>
      <c r="J1739" s="67">
        <v>0</v>
      </c>
      <c r="K1739" s="62">
        <v>5325</v>
      </c>
      <c r="L1739" s="33" t="e">
        <f>HLOOKUP(B1739,#REF!,1,0)</f>
        <v>#REF!</v>
      </c>
      <c r="M1739" s="33" t="str">
        <f t="shared" si="111"/>
        <v>BS</v>
      </c>
    </row>
    <row r="1740" spans="1:13" s="33" customFormat="true" ht="12.75" customHeight="true">
      <c r="A1740" s="33" t="str">
        <f t="shared" si="108"/>
        <v>SCL - Fixed Assets</v>
      </c>
      <c r="B1740" s="33" t="str">
        <f t="shared" si="109"/>
        <v>SCL</v>
      </c>
      <c r="C1740" s="33" t="str">
        <f t="shared" si="110"/>
        <v>16001-7397</v>
      </c>
      <c r="D1740" s="64" t="s">
        <v>2203</v>
      </c>
      <c r="E1740" s="64" t="s">
        <v>2200</v>
      </c>
      <c r="F1740" s="64" t="s">
        <v>15</v>
      </c>
      <c r="G1740" s="64" t="s">
        <v>62</v>
      </c>
      <c r="H1740" s="64" t="s">
        <v>63</v>
      </c>
      <c r="I1740" s="64" t="s">
        <v>64</v>
      </c>
      <c r="J1740" s="67">
        <v>0</v>
      </c>
      <c r="K1740" s="62">
        <v>4140.03</v>
      </c>
      <c r="L1740" s="33" t="e">
        <f>HLOOKUP(B1740,#REF!,1,0)</f>
        <v>#REF!</v>
      </c>
      <c r="M1740" s="33" t="str">
        <f t="shared" si="111"/>
        <v>BS</v>
      </c>
    </row>
    <row r="1741" spans="1:13" s="33" customFormat="true" ht="12.75" customHeight="true">
      <c r="A1741" s="33" t="str">
        <f t="shared" si="108"/>
        <v>SCL - Fixed Assets</v>
      </c>
      <c r="B1741" s="33" t="str">
        <f t="shared" si="109"/>
        <v>SCL</v>
      </c>
      <c r="C1741" s="33" t="str">
        <f t="shared" si="110"/>
        <v>16101-0000</v>
      </c>
      <c r="D1741" s="64" t="s">
        <v>2204</v>
      </c>
      <c r="E1741" s="64" t="s">
        <v>61</v>
      </c>
      <c r="F1741" s="64" t="s">
        <v>15</v>
      </c>
      <c r="G1741" s="64" t="s">
        <v>62</v>
      </c>
      <c r="H1741" s="64" t="s">
        <v>63</v>
      </c>
      <c r="I1741" s="64" t="s">
        <v>64</v>
      </c>
      <c r="J1741" s="67">
        <v>0</v>
      </c>
      <c r="K1741" s="62">
        <v>1122223.5</v>
      </c>
      <c r="L1741" s="33" t="e">
        <f>HLOOKUP(B1741,#REF!,1,0)</f>
        <v>#REF!</v>
      </c>
      <c r="M1741" s="33" t="str">
        <f t="shared" si="111"/>
        <v>BS</v>
      </c>
    </row>
    <row r="1742" spans="1:13" s="33" customFormat="true" ht="12.75" customHeight="true">
      <c r="A1742" s="33" t="str">
        <f t="shared" si="108"/>
        <v>SCL - Fixed Assets</v>
      </c>
      <c r="B1742" s="33" t="str">
        <f t="shared" si="109"/>
        <v>SCL</v>
      </c>
      <c r="C1742" s="33" t="str">
        <f t="shared" si="110"/>
        <v>16101-7351</v>
      </c>
      <c r="D1742" s="64" t="s">
        <v>2205</v>
      </c>
      <c r="E1742" s="64" t="s">
        <v>61</v>
      </c>
      <c r="F1742" s="64" t="s">
        <v>15</v>
      </c>
      <c r="G1742" s="64" t="s">
        <v>62</v>
      </c>
      <c r="H1742" s="64" t="s">
        <v>63</v>
      </c>
      <c r="I1742" s="64" t="s">
        <v>64</v>
      </c>
      <c r="J1742" s="67">
        <v>0</v>
      </c>
      <c r="K1742" s="62">
        <v>193543.2</v>
      </c>
      <c r="L1742" s="33" t="e">
        <f>HLOOKUP(B1742,#REF!,1,0)</f>
        <v>#REF!</v>
      </c>
      <c r="M1742" s="33" t="str">
        <f t="shared" si="111"/>
        <v>BS</v>
      </c>
    </row>
    <row r="1743" spans="1:13" s="33" customFormat="true" ht="12.75" customHeight="true">
      <c r="A1743" s="33" t="str">
        <f t="shared" si="108"/>
        <v>SCL - Fixed Assets</v>
      </c>
      <c r="B1743" s="33" t="str">
        <f t="shared" si="109"/>
        <v>SCL</v>
      </c>
      <c r="C1743" s="33" t="str">
        <f t="shared" si="110"/>
        <v>16101-7352</v>
      </c>
      <c r="D1743" s="64" t="s">
        <v>2206</v>
      </c>
      <c r="E1743" s="64" t="s">
        <v>61</v>
      </c>
      <c r="F1743" s="64" t="s">
        <v>15</v>
      </c>
      <c r="G1743" s="64" t="s">
        <v>62</v>
      </c>
      <c r="H1743" s="64" t="s">
        <v>63</v>
      </c>
      <c r="I1743" s="64" t="s">
        <v>64</v>
      </c>
      <c r="J1743" s="67">
        <v>0</v>
      </c>
      <c r="K1743" s="62">
        <v>143965.53</v>
      </c>
      <c r="L1743" s="33" t="e">
        <f>HLOOKUP(B1743,#REF!,1,0)</f>
        <v>#REF!</v>
      </c>
      <c r="M1743" s="33" t="str">
        <f t="shared" si="111"/>
        <v>BS</v>
      </c>
    </row>
    <row r="1744" spans="1:13" s="33" customFormat="true" ht="12.75" customHeight="true">
      <c r="A1744" s="33" t="str">
        <f t="shared" si="108"/>
        <v>SCL - Fixed Assets</v>
      </c>
      <c r="B1744" s="33" t="str">
        <f t="shared" si="109"/>
        <v>SCL</v>
      </c>
      <c r="C1744" s="33" t="str">
        <f t="shared" si="110"/>
        <v>16101-7355</v>
      </c>
      <c r="D1744" s="64" t="s">
        <v>2207</v>
      </c>
      <c r="E1744" s="64" t="s">
        <v>61</v>
      </c>
      <c r="F1744" s="64" t="s">
        <v>15</v>
      </c>
      <c r="G1744" s="64" t="s">
        <v>62</v>
      </c>
      <c r="H1744" s="64" t="s">
        <v>63</v>
      </c>
      <c r="I1744" s="64" t="s">
        <v>64</v>
      </c>
      <c r="J1744" s="67">
        <v>0</v>
      </c>
      <c r="K1744" s="62">
        <v>183018.82</v>
      </c>
      <c r="L1744" s="33" t="e">
        <f>HLOOKUP(B1744,#REF!,1,0)</f>
        <v>#REF!</v>
      </c>
      <c r="M1744" s="33" t="str">
        <f t="shared" si="111"/>
        <v>BS</v>
      </c>
    </row>
    <row r="1745" spans="1:13" s="33" customFormat="true" ht="12.75" customHeight="true">
      <c r="A1745" s="33" t="str">
        <f t="shared" si="108"/>
        <v>SCL - Fixed Assets</v>
      </c>
      <c r="B1745" s="33" t="str">
        <f t="shared" si="109"/>
        <v>SCL</v>
      </c>
      <c r="C1745" s="33" t="str">
        <f t="shared" si="110"/>
        <v>16101-7356</v>
      </c>
      <c r="D1745" s="64" t="s">
        <v>2208</v>
      </c>
      <c r="E1745" s="64" t="s">
        <v>61</v>
      </c>
      <c r="F1745" s="64" t="s">
        <v>15</v>
      </c>
      <c r="G1745" s="64" t="s">
        <v>62</v>
      </c>
      <c r="H1745" s="64" t="s">
        <v>63</v>
      </c>
      <c r="I1745" s="64" t="s">
        <v>64</v>
      </c>
      <c r="J1745" s="67">
        <v>0</v>
      </c>
      <c r="K1745" s="62">
        <v>183571.02</v>
      </c>
      <c r="L1745" s="33" t="e">
        <f>HLOOKUP(B1745,#REF!,1,0)</f>
        <v>#REF!</v>
      </c>
      <c r="M1745" s="33" t="str">
        <f t="shared" si="111"/>
        <v>BS</v>
      </c>
    </row>
    <row r="1746" spans="1:13" s="33" customFormat="true" ht="12.75" customHeight="true">
      <c r="A1746" s="33" t="str">
        <f t="shared" si="108"/>
        <v>SCL - Fixed Assets</v>
      </c>
      <c r="B1746" s="33" t="str">
        <f t="shared" si="109"/>
        <v>SCL</v>
      </c>
      <c r="C1746" s="33" t="str">
        <f t="shared" si="110"/>
        <v>16101-7359</v>
      </c>
      <c r="D1746" s="64" t="s">
        <v>2209</v>
      </c>
      <c r="E1746" s="64" t="s">
        <v>61</v>
      </c>
      <c r="F1746" s="64" t="s">
        <v>15</v>
      </c>
      <c r="G1746" s="64" t="s">
        <v>62</v>
      </c>
      <c r="H1746" s="64" t="s">
        <v>63</v>
      </c>
      <c r="I1746" s="64" t="s">
        <v>64</v>
      </c>
      <c r="J1746" s="67">
        <v>0</v>
      </c>
      <c r="K1746" s="62">
        <v>194308.11</v>
      </c>
      <c r="L1746" s="33" t="e">
        <f>HLOOKUP(B1746,#REF!,1,0)</f>
        <v>#REF!</v>
      </c>
      <c r="M1746" s="33" t="str">
        <f t="shared" si="111"/>
        <v>BS</v>
      </c>
    </row>
    <row r="1747" spans="1:13" s="33" customFormat="true" ht="12.75" customHeight="true">
      <c r="A1747" s="33" t="str">
        <f t="shared" si="108"/>
        <v>SCL - Fixed Assets</v>
      </c>
      <c r="B1747" s="33" t="str">
        <f t="shared" si="109"/>
        <v>SCL</v>
      </c>
      <c r="C1747" s="33" t="str">
        <f t="shared" si="110"/>
        <v>16101-7360</v>
      </c>
      <c r="D1747" s="64" t="s">
        <v>2210</v>
      </c>
      <c r="E1747" s="64" t="s">
        <v>61</v>
      </c>
      <c r="F1747" s="64" t="s">
        <v>15</v>
      </c>
      <c r="G1747" s="64" t="s">
        <v>62</v>
      </c>
      <c r="H1747" s="64" t="s">
        <v>63</v>
      </c>
      <c r="I1747" s="64" t="s">
        <v>64</v>
      </c>
      <c r="J1747" s="67">
        <v>0</v>
      </c>
      <c r="K1747" s="62">
        <v>221852.04</v>
      </c>
      <c r="L1747" s="33" t="e">
        <f>HLOOKUP(B1747,#REF!,1,0)</f>
        <v>#REF!</v>
      </c>
      <c r="M1747" s="33" t="str">
        <f t="shared" si="111"/>
        <v>BS</v>
      </c>
    </row>
    <row r="1748" spans="1:13" s="33" customFormat="true" ht="12.75" customHeight="true">
      <c r="A1748" s="33" t="str">
        <f t="shared" si="108"/>
        <v>SCL - Fixed Assets</v>
      </c>
      <c r="B1748" s="33" t="str">
        <f t="shared" si="109"/>
        <v>SCL</v>
      </c>
      <c r="C1748" s="33" t="str">
        <f t="shared" si="110"/>
        <v>16101-7361</v>
      </c>
      <c r="D1748" s="64" t="s">
        <v>2211</v>
      </c>
      <c r="E1748" s="64" t="s">
        <v>61</v>
      </c>
      <c r="F1748" s="64" t="s">
        <v>15</v>
      </c>
      <c r="G1748" s="64" t="s">
        <v>62</v>
      </c>
      <c r="H1748" s="64" t="s">
        <v>63</v>
      </c>
      <c r="I1748" s="64" t="s">
        <v>64</v>
      </c>
      <c r="J1748" s="67">
        <v>0</v>
      </c>
      <c r="K1748" s="62">
        <v>196909.82</v>
      </c>
      <c r="L1748" s="33" t="e">
        <f>HLOOKUP(B1748,#REF!,1,0)</f>
        <v>#REF!</v>
      </c>
      <c r="M1748" s="33" t="str">
        <f t="shared" si="111"/>
        <v>BS</v>
      </c>
    </row>
    <row r="1749" spans="1:13" s="33" customFormat="true" ht="12.75" customHeight="true">
      <c r="A1749" s="33" t="str">
        <f t="shared" si="108"/>
        <v>SCL - Fixed Assets</v>
      </c>
      <c r="B1749" s="33" t="str">
        <f t="shared" si="109"/>
        <v>SCL</v>
      </c>
      <c r="C1749" s="33" t="str">
        <f t="shared" si="110"/>
        <v>16101-7362</v>
      </c>
      <c r="D1749" s="64" t="s">
        <v>2212</v>
      </c>
      <c r="E1749" s="64" t="s">
        <v>61</v>
      </c>
      <c r="F1749" s="64" t="s">
        <v>15</v>
      </c>
      <c r="G1749" s="64" t="s">
        <v>62</v>
      </c>
      <c r="H1749" s="64" t="s">
        <v>63</v>
      </c>
      <c r="I1749" s="64" t="s">
        <v>64</v>
      </c>
      <c r="J1749" s="67">
        <v>0</v>
      </c>
      <c r="K1749" s="62">
        <v>158656.97</v>
      </c>
      <c r="L1749" s="33" t="e">
        <f>HLOOKUP(B1749,#REF!,1,0)</f>
        <v>#REF!</v>
      </c>
      <c r="M1749" s="33" t="str">
        <f t="shared" si="111"/>
        <v>BS</v>
      </c>
    </row>
    <row r="1750" spans="1:13" s="33" customFormat="true" ht="12.75" customHeight="true">
      <c r="A1750" s="33" t="str">
        <f t="shared" si="108"/>
        <v>SCL - Fixed Assets</v>
      </c>
      <c r="B1750" s="33" t="str">
        <f t="shared" si="109"/>
        <v>SCL</v>
      </c>
      <c r="C1750" s="33" t="str">
        <f t="shared" si="110"/>
        <v>16101-7363</v>
      </c>
      <c r="D1750" s="64" t="s">
        <v>2213</v>
      </c>
      <c r="E1750" s="64" t="s">
        <v>61</v>
      </c>
      <c r="F1750" s="64" t="s">
        <v>15</v>
      </c>
      <c r="G1750" s="64" t="s">
        <v>62</v>
      </c>
      <c r="H1750" s="64" t="s">
        <v>63</v>
      </c>
      <c r="I1750" s="64" t="s">
        <v>64</v>
      </c>
      <c r="J1750" s="67">
        <v>0</v>
      </c>
      <c r="K1750" s="62">
        <v>171992.69</v>
      </c>
      <c r="L1750" s="33" t="e">
        <f>HLOOKUP(B1750,#REF!,1,0)</f>
        <v>#REF!</v>
      </c>
      <c r="M1750" s="33" t="str">
        <f t="shared" si="111"/>
        <v>BS</v>
      </c>
    </row>
    <row r="1751" spans="1:13" s="33" customFormat="true" ht="12.75" customHeight="true">
      <c r="A1751" s="33" t="str">
        <f t="shared" si="108"/>
        <v>SCL - Fixed Assets</v>
      </c>
      <c r="B1751" s="33" t="str">
        <f t="shared" si="109"/>
        <v>SCL</v>
      </c>
      <c r="C1751" s="33" t="str">
        <f t="shared" si="110"/>
        <v>16101-7364</v>
      </c>
      <c r="D1751" s="64" t="s">
        <v>2214</v>
      </c>
      <c r="E1751" s="64" t="s">
        <v>61</v>
      </c>
      <c r="F1751" s="64" t="s">
        <v>15</v>
      </c>
      <c r="G1751" s="64" t="s">
        <v>62</v>
      </c>
      <c r="H1751" s="64" t="s">
        <v>63</v>
      </c>
      <c r="I1751" s="64" t="s">
        <v>64</v>
      </c>
      <c r="J1751" s="67">
        <v>0</v>
      </c>
      <c r="K1751" s="62">
        <v>24738.7</v>
      </c>
      <c r="L1751" s="33" t="e">
        <f>HLOOKUP(B1751,#REF!,1,0)</f>
        <v>#REF!</v>
      </c>
      <c r="M1751" s="33" t="str">
        <f t="shared" si="111"/>
        <v>BS</v>
      </c>
    </row>
    <row r="1752" spans="1:13" s="33" customFormat="true" ht="12.75" customHeight="true">
      <c r="A1752" s="33" t="str">
        <f t="shared" si="108"/>
        <v>SCL - Fixed Assets</v>
      </c>
      <c r="B1752" s="33" t="str">
        <f t="shared" si="109"/>
        <v>SCL</v>
      </c>
      <c r="C1752" s="33" t="str">
        <f t="shared" si="110"/>
        <v>16101-7365</v>
      </c>
      <c r="D1752" s="64" t="s">
        <v>2215</v>
      </c>
      <c r="E1752" s="64" t="s">
        <v>61</v>
      </c>
      <c r="F1752" s="64" t="s">
        <v>15</v>
      </c>
      <c r="G1752" s="64" t="s">
        <v>62</v>
      </c>
      <c r="H1752" s="64" t="s">
        <v>63</v>
      </c>
      <c r="I1752" s="64" t="s">
        <v>64</v>
      </c>
      <c r="J1752" s="67">
        <v>0</v>
      </c>
      <c r="K1752" s="62">
        <v>614262.21</v>
      </c>
      <c r="L1752" s="33" t="e">
        <f>HLOOKUP(B1752,#REF!,1,0)</f>
        <v>#REF!</v>
      </c>
      <c r="M1752" s="33" t="str">
        <f t="shared" si="111"/>
        <v>BS</v>
      </c>
    </row>
    <row r="1753" spans="1:13" s="33" customFormat="true" ht="12.75" customHeight="true">
      <c r="A1753" s="33" t="str">
        <f t="shared" si="108"/>
        <v>SCL - Fixed Assets</v>
      </c>
      <c r="B1753" s="33" t="str">
        <f t="shared" si="109"/>
        <v>SCL</v>
      </c>
      <c r="C1753" s="33" t="str">
        <f t="shared" si="110"/>
        <v>16101-7366</v>
      </c>
      <c r="D1753" s="64" t="s">
        <v>2216</v>
      </c>
      <c r="E1753" s="64" t="s">
        <v>61</v>
      </c>
      <c r="F1753" s="64" t="s">
        <v>15</v>
      </c>
      <c r="G1753" s="64" t="s">
        <v>62</v>
      </c>
      <c r="H1753" s="64" t="s">
        <v>63</v>
      </c>
      <c r="I1753" s="64" t="s">
        <v>64</v>
      </c>
      <c r="J1753" s="67">
        <v>0</v>
      </c>
      <c r="K1753" s="62">
        <v>185381.17</v>
      </c>
      <c r="L1753" s="33" t="e">
        <f>HLOOKUP(B1753,#REF!,1,0)</f>
        <v>#REF!</v>
      </c>
      <c r="M1753" s="33" t="str">
        <f t="shared" si="111"/>
        <v>BS</v>
      </c>
    </row>
    <row r="1754" spans="1:13" s="33" customFormat="true" ht="12.75" customHeight="true">
      <c r="A1754" s="33" t="str">
        <f t="shared" si="108"/>
        <v>SCL - Fixed Assets</v>
      </c>
      <c r="B1754" s="33" t="str">
        <f t="shared" si="109"/>
        <v>SCL</v>
      </c>
      <c r="C1754" s="33" t="str">
        <f t="shared" si="110"/>
        <v>16101-7368</v>
      </c>
      <c r="D1754" s="64" t="s">
        <v>2217</v>
      </c>
      <c r="E1754" s="64" t="s">
        <v>61</v>
      </c>
      <c r="F1754" s="64" t="s">
        <v>15</v>
      </c>
      <c r="G1754" s="64" t="s">
        <v>62</v>
      </c>
      <c r="H1754" s="64" t="s">
        <v>63</v>
      </c>
      <c r="I1754" s="64" t="s">
        <v>64</v>
      </c>
      <c r="J1754" s="67">
        <v>0</v>
      </c>
      <c r="K1754" s="62">
        <v>208005.15</v>
      </c>
      <c r="L1754" s="33" t="e">
        <f>HLOOKUP(B1754,#REF!,1,0)</f>
        <v>#REF!</v>
      </c>
      <c r="M1754" s="33" t="str">
        <f t="shared" si="111"/>
        <v>BS</v>
      </c>
    </row>
    <row r="1755" spans="1:13" s="33" customFormat="true" ht="12.75" customHeight="true">
      <c r="A1755" s="33" t="str">
        <f t="shared" si="108"/>
        <v>SCL - Fixed Assets</v>
      </c>
      <c r="B1755" s="33" t="str">
        <f t="shared" si="109"/>
        <v>SCL</v>
      </c>
      <c r="C1755" s="33" t="str">
        <f t="shared" si="110"/>
        <v>16101-7369</v>
      </c>
      <c r="D1755" s="64" t="s">
        <v>2218</v>
      </c>
      <c r="E1755" s="64" t="s">
        <v>61</v>
      </c>
      <c r="F1755" s="64" t="s">
        <v>15</v>
      </c>
      <c r="G1755" s="64" t="s">
        <v>62</v>
      </c>
      <c r="H1755" s="64" t="s">
        <v>63</v>
      </c>
      <c r="I1755" s="64" t="s">
        <v>64</v>
      </c>
      <c r="J1755" s="67">
        <v>0</v>
      </c>
      <c r="K1755" s="62">
        <v>179186.93</v>
      </c>
      <c r="L1755" s="33" t="e">
        <f>HLOOKUP(B1755,#REF!,1,0)</f>
        <v>#REF!</v>
      </c>
      <c r="M1755" s="33" t="str">
        <f t="shared" si="111"/>
        <v>BS</v>
      </c>
    </row>
    <row r="1756" spans="1:13" s="33" customFormat="true" ht="12.75" customHeight="true">
      <c r="A1756" s="33" t="str">
        <f t="shared" si="108"/>
        <v>SCL - Fixed Assets</v>
      </c>
      <c r="B1756" s="33" t="str">
        <f t="shared" si="109"/>
        <v>SCL</v>
      </c>
      <c r="C1756" s="33" t="str">
        <f t="shared" si="110"/>
        <v>16101-7370</v>
      </c>
      <c r="D1756" s="64" t="s">
        <v>2219</v>
      </c>
      <c r="E1756" s="64" t="s">
        <v>61</v>
      </c>
      <c r="F1756" s="64" t="s">
        <v>15</v>
      </c>
      <c r="G1756" s="64" t="s">
        <v>62</v>
      </c>
      <c r="H1756" s="64" t="s">
        <v>63</v>
      </c>
      <c r="I1756" s="64" t="s">
        <v>64</v>
      </c>
      <c r="J1756" s="67">
        <v>0</v>
      </c>
      <c r="K1756" s="62">
        <v>-0.36</v>
      </c>
      <c r="L1756" s="33" t="e">
        <f>HLOOKUP(B1756,#REF!,1,0)</f>
        <v>#REF!</v>
      </c>
      <c r="M1756" s="33" t="str">
        <f t="shared" si="111"/>
        <v>BS</v>
      </c>
    </row>
    <row r="1757" spans="1:13" s="33" customFormat="true" ht="12.75" customHeight="true">
      <c r="A1757" s="33" t="str">
        <f t="shared" si="108"/>
        <v>SCL - Fixed Assets</v>
      </c>
      <c r="B1757" s="33" t="str">
        <f t="shared" si="109"/>
        <v>SCL</v>
      </c>
      <c r="C1757" s="33" t="str">
        <f t="shared" si="110"/>
        <v>16101-7371</v>
      </c>
      <c r="D1757" s="64" t="s">
        <v>2220</v>
      </c>
      <c r="E1757" s="64" t="s">
        <v>61</v>
      </c>
      <c r="F1757" s="64" t="s">
        <v>15</v>
      </c>
      <c r="G1757" s="64" t="s">
        <v>62</v>
      </c>
      <c r="H1757" s="64" t="s">
        <v>63</v>
      </c>
      <c r="I1757" s="64" t="s">
        <v>64</v>
      </c>
      <c r="J1757" s="67">
        <v>0</v>
      </c>
      <c r="K1757" s="62">
        <v>195932.93</v>
      </c>
      <c r="L1757" s="33" t="e">
        <f>HLOOKUP(B1757,#REF!,1,0)</f>
        <v>#REF!</v>
      </c>
      <c r="M1757" s="33" t="str">
        <f t="shared" si="111"/>
        <v>BS</v>
      </c>
    </row>
    <row r="1758" spans="1:13" s="33" customFormat="true" ht="12.75" customHeight="true">
      <c r="A1758" s="33" t="str">
        <f t="shared" si="108"/>
        <v>SCL - Fixed Assets</v>
      </c>
      <c r="B1758" s="33" t="str">
        <f t="shared" si="109"/>
        <v>SCL</v>
      </c>
      <c r="C1758" s="33" t="str">
        <f t="shared" si="110"/>
        <v>16101-7374</v>
      </c>
      <c r="D1758" s="64" t="s">
        <v>2221</v>
      </c>
      <c r="E1758" s="64" t="s">
        <v>61</v>
      </c>
      <c r="F1758" s="64" t="s">
        <v>15</v>
      </c>
      <c r="G1758" s="64" t="s">
        <v>62</v>
      </c>
      <c r="H1758" s="64" t="s">
        <v>63</v>
      </c>
      <c r="I1758" s="64" t="s">
        <v>64</v>
      </c>
      <c r="J1758" s="67">
        <v>0</v>
      </c>
      <c r="K1758" s="62">
        <v>164914.78</v>
      </c>
      <c r="L1758" s="33" t="e">
        <f>HLOOKUP(B1758,#REF!,1,0)</f>
        <v>#REF!</v>
      </c>
      <c r="M1758" s="33" t="str">
        <f t="shared" si="111"/>
        <v>BS</v>
      </c>
    </row>
    <row r="1759" spans="1:13" s="33" customFormat="true" ht="12.75" customHeight="true">
      <c r="A1759" s="33" t="str">
        <f t="shared" si="108"/>
        <v>SCL - Fixed Assets</v>
      </c>
      <c r="B1759" s="33" t="str">
        <f t="shared" si="109"/>
        <v>SCL</v>
      </c>
      <c r="C1759" s="33" t="str">
        <f t="shared" si="110"/>
        <v>16101-7375</v>
      </c>
      <c r="D1759" s="64" t="s">
        <v>2222</v>
      </c>
      <c r="E1759" s="64" t="s">
        <v>61</v>
      </c>
      <c r="F1759" s="64" t="s">
        <v>15</v>
      </c>
      <c r="G1759" s="64" t="s">
        <v>62</v>
      </c>
      <c r="H1759" s="64" t="s">
        <v>63</v>
      </c>
      <c r="I1759" s="64" t="s">
        <v>64</v>
      </c>
      <c r="J1759" s="67">
        <v>0</v>
      </c>
      <c r="K1759" s="62">
        <v>165142.62</v>
      </c>
      <c r="L1759" s="33" t="e">
        <f>HLOOKUP(B1759,#REF!,1,0)</f>
        <v>#REF!</v>
      </c>
      <c r="M1759" s="33" t="str">
        <f t="shared" si="111"/>
        <v>BS</v>
      </c>
    </row>
    <row r="1760" spans="1:13" s="33" customFormat="true" ht="12.75" customHeight="true">
      <c r="A1760" s="33" t="str">
        <f t="shared" si="108"/>
        <v>SCL - Fixed Assets</v>
      </c>
      <c r="B1760" s="33" t="str">
        <f t="shared" si="109"/>
        <v>SCL</v>
      </c>
      <c r="C1760" s="33" t="str">
        <f t="shared" si="110"/>
        <v>16101-7376</v>
      </c>
      <c r="D1760" s="64" t="s">
        <v>2223</v>
      </c>
      <c r="E1760" s="64" t="s">
        <v>61</v>
      </c>
      <c r="F1760" s="64" t="s">
        <v>15</v>
      </c>
      <c r="G1760" s="64" t="s">
        <v>62</v>
      </c>
      <c r="H1760" s="64" t="s">
        <v>63</v>
      </c>
      <c r="I1760" s="64" t="s">
        <v>64</v>
      </c>
      <c r="J1760" s="67">
        <v>0</v>
      </c>
      <c r="K1760" s="62">
        <v>195418.68</v>
      </c>
      <c r="L1760" s="33" t="e">
        <f>HLOOKUP(B1760,#REF!,1,0)</f>
        <v>#REF!</v>
      </c>
      <c r="M1760" s="33" t="str">
        <f t="shared" si="111"/>
        <v>BS</v>
      </c>
    </row>
    <row r="1761" spans="1:13" s="33" customFormat="true" ht="12.75" customHeight="true">
      <c r="A1761" s="33" t="str">
        <f t="shared" si="108"/>
        <v>SCL - Fixed Assets</v>
      </c>
      <c r="B1761" s="33" t="str">
        <f t="shared" si="109"/>
        <v>SCL</v>
      </c>
      <c r="C1761" s="33" t="str">
        <f t="shared" si="110"/>
        <v>16101-7377</v>
      </c>
      <c r="D1761" s="64" t="s">
        <v>2224</v>
      </c>
      <c r="E1761" s="64" t="s">
        <v>61</v>
      </c>
      <c r="F1761" s="64" t="s">
        <v>15</v>
      </c>
      <c r="G1761" s="64" t="s">
        <v>62</v>
      </c>
      <c r="H1761" s="64" t="s">
        <v>63</v>
      </c>
      <c r="I1761" s="64" t="s">
        <v>64</v>
      </c>
      <c r="J1761" s="67">
        <v>0</v>
      </c>
      <c r="K1761" s="62">
        <v>167525.4</v>
      </c>
      <c r="L1761" s="33" t="e">
        <f>HLOOKUP(B1761,#REF!,1,0)</f>
        <v>#REF!</v>
      </c>
      <c r="M1761" s="33" t="str">
        <f t="shared" si="111"/>
        <v>BS</v>
      </c>
    </row>
    <row r="1762" spans="1:13" s="33" customFormat="true" ht="12.75" customHeight="true">
      <c r="A1762" s="33" t="str">
        <f t="shared" si="108"/>
        <v>SCL - Fixed Assets</v>
      </c>
      <c r="B1762" s="33" t="str">
        <f t="shared" si="109"/>
        <v>SCL</v>
      </c>
      <c r="C1762" s="33" t="str">
        <f t="shared" si="110"/>
        <v>16101-7378</v>
      </c>
      <c r="D1762" s="64" t="s">
        <v>2225</v>
      </c>
      <c r="E1762" s="64" t="s">
        <v>61</v>
      </c>
      <c r="F1762" s="64" t="s">
        <v>15</v>
      </c>
      <c r="G1762" s="64" t="s">
        <v>62</v>
      </c>
      <c r="H1762" s="64" t="s">
        <v>63</v>
      </c>
      <c r="I1762" s="64" t="s">
        <v>64</v>
      </c>
      <c r="J1762" s="67">
        <v>0</v>
      </c>
      <c r="K1762" s="62">
        <v>158687.37</v>
      </c>
      <c r="L1762" s="33" t="e">
        <f>HLOOKUP(B1762,#REF!,1,0)</f>
        <v>#REF!</v>
      </c>
      <c r="M1762" s="33" t="str">
        <f t="shared" si="111"/>
        <v>BS</v>
      </c>
    </row>
    <row r="1763" spans="1:13" s="33" customFormat="true" ht="12.75" customHeight="true">
      <c r="A1763" s="33" t="str">
        <f t="shared" si="108"/>
        <v>SCL - Fixed Assets</v>
      </c>
      <c r="B1763" s="33" t="str">
        <f t="shared" si="109"/>
        <v>SCL</v>
      </c>
      <c r="C1763" s="33" t="str">
        <f t="shared" si="110"/>
        <v>16101-7379</v>
      </c>
      <c r="D1763" s="64" t="s">
        <v>2226</v>
      </c>
      <c r="E1763" s="64" t="s">
        <v>61</v>
      </c>
      <c r="F1763" s="64" t="s">
        <v>15</v>
      </c>
      <c r="G1763" s="64" t="s">
        <v>62</v>
      </c>
      <c r="H1763" s="64" t="s">
        <v>63</v>
      </c>
      <c r="I1763" s="64" t="s">
        <v>64</v>
      </c>
      <c r="J1763" s="67">
        <v>0</v>
      </c>
      <c r="K1763" s="62">
        <v>175799.84</v>
      </c>
      <c r="L1763" s="33" t="e">
        <f>HLOOKUP(B1763,#REF!,1,0)</f>
        <v>#REF!</v>
      </c>
      <c r="M1763" s="33" t="str">
        <f t="shared" si="111"/>
        <v>BS</v>
      </c>
    </row>
    <row r="1764" spans="1:13" s="33" customFormat="true" ht="12.75" customHeight="true">
      <c r="A1764" s="33" t="str">
        <f t="shared" si="108"/>
        <v>SCL - Fixed Assets</v>
      </c>
      <c r="B1764" s="33" t="str">
        <f t="shared" si="109"/>
        <v>SCL</v>
      </c>
      <c r="C1764" s="33" t="str">
        <f t="shared" si="110"/>
        <v>16101-7380</v>
      </c>
      <c r="D1764" s="64" t="s">
        <v>2227</v>
      </c>
      <c r="E1764" s="64" t="s">
        <v>61</v>
      </c>
      <c r="F1764" s="64" t="s">
        <v>15</v>
      </c>
      <c r="G1764" s="64" t="s">
        <v>62</v>
      </c>
      <c r="H1764" s="64" t="s">
        <v>63</v>
      </c>
      <c r="I1764" s="64" t="s">
        <v>64</v>
      </c>
      <c r="J1764" s="67">
        <v>0</v>
      </c>
      <c r="K1764" s="62">
        <v>166805.78</v>
      </c>
      <c r="L1764" s="33" t="e">
        <f>HLOOKUP(B1764,#REF!,1,0)</f>
        <v>#REF!</v>
      </c>
      <c r="M1764" s="33" t="str">
        <f t="shared" si="111"/>
        <v>BS</v>
      </c>
    </row>
    <row r="1765" spans="1:13" s="33" customFormat="true" ht="12.75" customHeight="true">
      <c r="A1765" s="33" t="str">
        <f t="shared" si="108"/>
        <v>SCL - Fixed Assets</v>
      </c>
      <c r="B1765" s="33" t="str">
        <f t="shared" si="109"/>
        <v>SCL</v>
      </c>
      <c r="C1765" s="33" t="str">
        <f t="shared" si="110"/>
        <v>16101-7381</v>
      </c>
      <c r="D1765" s="64" t="s">
        <v>2228</v>
      </c>
      <c r="E1765" s="64" t="s">
        <v>61</v>
      </c>
      <c r="F1765" s="64" t="s">
        <v>15</v>
      </c>
      <c r="G1765" s="64" t="s">
        <v>62</v>
      </c>
      <c r="H1765" s="64" t="s">
        <v>63</v>
      </c>
      <c r="I1765" s="64" t="s">
        <v>64</v>
      </c>
      <c r="J1765" s="67">
        <v>0</v>
      </c>
      <c r="K1765" s="62">
        <v>165202.01</v>
      </c>
      <c r="L1765" s="33" t="e">
        <f>HLOOKUP(B1765,#REF!,1,0)</f>
        <v>#REF!</v>
      </c>
      <c r="M1765" s="33" t="str">
        <f t="shared" si="111"/>
        <v>BS</v>
      </c>
    </row>
    <row r="1766" spans="1:13" s="33" customFormat="true" ht="12.75" customHeight="true">
      <c r="A1766" s="33" t="str">
        <f t="shared" si="108"/>
        <v>SCL - Fixed Assets</v>
      </c>
      <c r="B1766" s="33" t="str">
        <f t="shared" si="109"/>
        <v>SCL</v>
      </c>
      <c r="C1766" s="33" t="str">
        <f t="shared" si="110"/>
        <v>16101-7383</v>
      </c>
      <c r="D1766" s="64" t="s">
        <v>2229</v>
      </c>
      <c r="E1766" s="64" t="s">
        <v>61</v>
      </c>
      <c r="F1766" s="64" t="s">
        <v>15</v>
      </c>
      <c r="G1766" s="64" t="s">
        <v>62</v>
      </c>
      <c r="H1766" s="64" t="s">
        <v>63</v>
      </c>
      <c r="I1766" s="64" t="s">
        <v>64</v>
      </c>
      <c r="J1766" s="67">
        <v>0</v>
      </c>
      <c r="K1766" s="62">
        <v>172571.07</v>
      </c>
      <c r="L1766" s="33" t="e">
        <f>HLOOKUP(B1766,#REF!,1,0)</f>
        <v>#REF!</v>
      </c>
      <c r="M1766" s="33" t="str">
        <f t="shared" si="111"/>
        <v>BS</v>
      </c>
    </row>
    <row r="1767" spans="1:13" s="33" customFormat="true" ht="12.75" customHeight="true">
      <c r="A1767" s="33" t="str">
        <f t="shared" si="108"/>
        <v>SCL - Fixed Assets</v>
      </c>
      <c r="B1767" s="33" t="str">
        <f t="shared" si="109"/>
        <v>SCL</v>
      </c>
      <c r="C1767" s="33" t="str">
        <f t="shared" si="110"/>
        <v>16101-7385</v>
      </c>
      <c r="D1767" s="64" t="s">
        <v>2230</v>
      </c>
      <c r="E1767" s="64" t="s">
        <v>61</v>
      </c>
      <c r="F1767" s="64" t="s">
        <v>15</v>
      </c>
      <c r="G1767" s="64" t="s">
        <v>62</v>
      </c>
      <c r="H1767" s="64" t="s">
        <v>63</v>
      </c>
      <c r="I1767" s="64" t="s">
        <v>64</v>
      </c>
      <c r="J1767" s="67">
        <v>0</v>
      </c>
      <c r="K1767" s="62">
        <v>165362.5</v>
      </c>
      <c r="L1767" s="33" t="e">
        <f>HLOOKUP(B1767,#REF!,1,0)</f>
        <v>#REF!</v>
      </c>
      <c r="M1767" s="33" t="str">
        <f t="shared" si="111"/>
        <v>BS</v>
      </c>
    </row>
    <row r="1768" spans="1:13" s="33" customFormat="true" ht="12.75" customHeight="true">
      <c r="A1768" s="33" t="str">
        <f t="shared" si="108"/>
        <v>SCL - Fixed Assets</v>
      </c>
      <c r="B1768" s="33" t="str">
        <f t="shared" si="109"/>
        <v>SCL</v>
      </c>
      <c r="C1768" s="33" t="str">
        <f t="shared" si="110"/>
        <v>16101-7386</v>
      </c>
      <c r="D1768" s="64" t="s">
        <v>2231</v>
      </c>
      <c r="E1768" s="64" t="s">
        <v>61</v>
      </c>
      <c r="F1768" s="64" t="s">
        <v>15</v>
      </c>
      <c r="G1768" s="64" t="s">
        <v>62</v>
      </c>
      <c r="H1768" s="64" t="s">
        <v>63</v>
      </c>
      <c r="I1768" s="64" t="s">
        <v>64</v>
      </c>
      <c r="J1768" s="67">
        <v>0</v>
      </c>
      <c r="K1768" s="62">
        <v>180524.62</v>
      </c>
      <c r="L1768" s="33" t="e">
        <f>HLOOKUP(B1768,#REF!,1,0)</f>
        <v>#REF!</v>
      </c>
      <c r="M1768" s="33" t="str">
        <f t="shared" si="111"/>
        <v>BS</v>
      </c>
    </row>
    <row r="1769" spans="1:13" s="33" customFormat="true" ht="12.75" customHeight="true">
      <c r="A1769" s="33" t="str">
        <f t="shared" si="108"/>
        <v>SCL - Fixed Assets</v>
      </c>
      <c r="B1769" s="33" t="str">
        <f t="shared" si="109"/>
        <v>SCL</v>
      </c>
      <c r="C1769" s="33" t="str">
        <f t="shared" si="110"/>
        <v>16101-7387</v>
      </c>
      <c r="D1769" s="64" t="s">
        <v>2232</v>
      </c>
      <c r="E1769" s="64" t="s">
        <v>61</v>
      </c>
      <c r="F1769" s="64" t="s">
        <v>15</v>
      </c>
      <c r="G1769" s="64" t="s">
        <v>62</v>
      </c>
      <c r="H1769" s="64" t="s">
        <v>63</v>
      </c>
      <c r="I1769" s="64" t="s">
        <v>64</v>
      </c>
      <c r="J1769" s="67">
        <v>0</v>
      </c>
      <c r="K1769" s="62">
        <v>155920.95</v>
      </c>
      <c r="L1769" s="33" t="e">
        <f>HLOOKUP(B1769,#REF!,1,0)</f>
        <v>#REF!</v>
      </c>
      <c r="M1769" s="33" t="str">
        <f t="shared" si="111"/>
        <v>BS</v>
      </c>
    </row>
    <row r="1770" spans="1:13" s="33" customFormat="true" ht="12.75" customHeight="true">
      <c r="A1770" s="33" t="str">
        <f t="shared" si="108"/>
        <v>SCL - Fixed Assets</v>
      </c>
      <c r="B1770" s="33" t="str">
        <f t="shared" si="109"/>
        <v>SCL</v>
      </c>
      <c r="C1770" s="33" t="str">
        <f t="shared" si="110"/>
        <v>16101-7389</v>
      </c>
      <c r="D1770" s="64" t="s">
        <v>2233</v>
      </c>
      <c r="E1770" s="64" t="s">
        <v>61</v>
      </c>
      <c r="F1770" s="64" t="s">
        <v>15</v>
      </c>
      <c r="G1770" s="64" t="s">
        <v>62</v>
      </c>
      <c r="H1770" s="64" t="s">
        <v>63</v>
      </c>
      <c r="I1770" s="64" t="s">
        <v>64</v>
      </c>
      <c r="J1770" s="67">
        <v>0</v>
      </c>
      <c r="K1770" s="62">
        <v>175672.09</v>
      </c>
      <c r="L1770" s="33" t="e">
        <f>HLOOKUP(B1770,#REF!,1,0)</f>
        <v>#REF!</v>
      </c>
      <c r="M1770" s="33" t="str">
        <f t="shared" si="111"/>
        <v>BS</v>
      </c>
    </row>
    <row r="1771" spans="1:13" s="33" customFormat="true" ht="12.75" customHeight="true">
      <c r="A1771" s="33" t="str">
        <f t="shared" si="108"/>
        <v>SCL - Fixed Assets</v>
      </c>
      <c r="B1771" s="33" t="str">
        <f t="shared" si="109"/>
        <v>SCL</v>
      </c>
      <c r="C1771" s="33" t="str">
        <f t="shared" si="110"/>
        <v>16101-7391</v>
      </c>
      <c r="D1771" s="64" t="s">
        <v>2234</v>
      </c>
      <c r="E1771" s="64" t="s">
        <v>61</v>
      </c>
      <c r="F1771" s="64" t="s">
        <v>15</v>
      </c>
      <c r="G1771" s="64" t="s">
        <v>62</v>
      </c>
      <c r="H1771" s="64" t="s">
        <v>63</v>
      </c>
      <c r="I1771" s="64" t="s">
        <v>64</v>
      </c>
      <c r="J1771" s="67">
        <v>0</v>
      </c>
      <c r="K1771" s="62">
        <v>167420.02</v>
      </c>
      <c r="L1771" s="33" t="e">
        <f>HLOOKUP(B1771,#REF!,1,0)</f>
        <v>#REF!</v>
      </c>
      <c r="M1771" s="33" t="str">
        <f t="shared" si="111"/>
        <v>BS</v>
      </c>
    </row>
    <row r="1772" spans="1:13" s="33" customFormat="true" ht="12.75" customHeight="true">
      <c r="A1772" s="33" t="str">
        <f t="shared" si="108"/>
        <v>SCL - Fixed Assets</v>
      </c>
      <c r="B1772" s="33" t="str">
        <f t="shared" si="109"/>
        <v>SCL</v>
      </c>
      <c r="C1772" s="33" t="str">
        <f t="shared" si="110"/>
        <v>16101-7393</v>
      </c>
      <c r="D1772" s="64" t="s">
        <v>2235</v>
      </c>
      <c r="E1772" s="64" t="s">
        <v>61</v>
      </c>
      <c r="F1772" s="64" t="s">
        <v>15</v>
      </c>
      <c r="G1772" s="64" t="s">
        <v>62</v>
      </c>
      <c r="H1772" s="64" t="s">
        <v>63</v>
      </c>
      <c r="I1772" s="64" t="s">
        <v>64</v>
      </c>
      <c r="J1772" s="67">
        <v>0</v>
      </c>
      <c r="K1772" s="62">
        <v>157384.31</v>
      </c>
      <c r="L1772" s="33" t="e">
        <f>HLOOKUP(B1772,#REF!,1,0)</f>
        <v>#REF!</v>
      </c>
      <c r="M1772" s="33" t="str">
        <f t="shared" si="111"/>
        <v>BS</v>
      </c>
    </row>
    <row r="1773" spans="1:13" s="33" customFormat="true" ht="12.75" customHeight="true">
      <c r="A1773" s="33" t="str">
        <f t="shared" si="108"/>
        <v>SCL - Fixed Assets</v>
      </c>
      <c r="B1773" s="33" t="str">
        <f t="shared" si="109"/>
        <v>SCL</v>
      </c>
      <c r="C1773" s="33" t="str">
        <f t="shared" si="110"/>
        <v>16101-7394</v>
      </c>
      <c r="D1773" s="64" t="s">
        <v>2236</v>
      </c>
      <c r="E1773" s="64" t="s">
        <v>61</v>
      </c>
      <c r="F1773" s="64" t="s">
        <v>15</v>
      </c>
      <c r="G1773" s="64" t="s">
        <v>62</v>
      </c>
      <c r="H1773" s="64" t="s">
        <v>63</v>
      </c>
      <c r="I1773" s="64" t="s">
        <v>64</v>
      </c>
      <c r="J1773" s="67">
        <v>0</v>
      </c>
      <c r="K1773" s="62">
        <v>137292.51</v>
      </c>
      <c r="L1773" s="33" t="e">
        <f>HLOOKUP(B1773,#REF!,1,0)</f>
        <v>#REF!</v>
      </c>
      <c r="M1773" s="33" t="str">
        <f t="shared" si="111"/>
        <v>BS</v>
      </c>
    </row>
    <row r="1774" spans="1:13" s="33" customFormat="true" ht="12.75" customHeight="true">
      <c r="A1774" s="33" t="str">
        <f t="shared" si="108"/>
        <v>SCL - Fixed Assets</v>
      </c>
      <c r="B1774" s="33" t="str">
        <f t="shared" si="109"/>
        <v>SCL</v>
      </c>
      <c r="C1774" s="33" t="str">
        <f t="shared" si="110"/>
        <v>16101-7396</v>
      </c>
      <c r="D1774" s="64" t="s">
        <v>2237</v>
      </c>
      <c r="E1774" s="64" t="s">
        <v>61</v>
      </c>
      <c r="F1774" s="64" t="s">
        <v>15</v>
      </c>
      <c r="G1774" s="64" t="s">
        <v>62</v>
      </c>
      <c r="H1774" s="64" t="s">
        <v>63</v>
      </c>
      <c r="I1774" s="64" t="s">
        <v>64</v>
      </c>
      <c r="J1774" s="67">
        <v>0</v>
      </c>
      <c r="K1774" s="62">
        <v>158259.44</v>
      </c>
      <c r="L1774" s="33" t="e">
        <f>HLOOKUP(B1774,#REF!,1,0)</f>
        <v>#REF!</v>
      </c>
      <c r="M1774" s="33" t="str">
        <f t="shared" si="111"/>
        <v>BS</v>
      </c>
    </row>
    <row r="1775" spans="1:13" s="33" customFormat="true" ht="12.75" customHeight="true">
      <c r="A1775" s="33" t="str">
        <f t="shared" si="108"/>
        <v>SCL - Fixed Assets</v>
      </c>
      <c r="B1775" s="33" t="str">
        <f t="shared" si="109"/>
        <v>SCL</v>
      </c>
      <c r="C1775" s="33" t="str">
        <f t="shared" si="110"/>
        <v>16101-7397</v>
      </c>
      <c r="D1775" s="64" t="s">
        <v>2238</v>
      </c>
      <c r="E1775" s="64" t="s">
        <v>61</v>
      </c>
      <c r="F1775" s="64" t="s">
        <v>15</v>
      </c>
      <c r="G1775" s="64" t="s">
        <v>62</v>
      </c>
      <c r="H1775" s="64" t="s">
        <v>63</v>
      </c>
      <c r="I1775" s="64" t="s">
        <v>64</v>
      </c>
      <c r="J1775" s="67">
        <v>0</v>
      </c>
      <c r="K1775" s="62">
        <v>160873.51</v>
      </c>
      <c r="L1775" s="33" t="e">
        <f>HLOOKUP(B1775,#REF!,1,0)</f>
        <v>#REF!</v>
      </c>
      <c r="M1775" s="33" t="str">
        <f t="shared" si="111"/>
        <v>BS</v>
      </c>
    </row>
    <row r="1776" spans="1:13" s="33" customFormat="true" ht="12.75" customHeight="true">
      <c r="A1776" s="33" t="str">
        <f t="shared" si="108"/>
        <v>SCL - Fixed Assets</v>
      </c>
      <c r="B1776" s="33" t="str">
        <f t="shared" si="109"/>
        <v>SCL</v>
      </c>
      <c r="C1776" s="33" t="str">
        <f t="shared" si="110"/>
        <v>16101-7398</v>
      </c>
      <c r="D1776" s="64" t="s">
        <v>2239</v>
      </c>
      <c r="E1776" s="64" t="s">
        <v>61</v>
      </c>
      <c r="F1776" s="64" t="s">
        <v>15</v>
      </c>
      <c r="G1776" s="64" t="s">
        <v>62</v>
      </c>
      <c r="H1776" s="64" t="s">
        <v>63</v>
      </c>
      <c r="I1776" s="64" t="s">
        <v>64</v>
      </c>
      <c r="J1776" s="67">
        <v>0</v>
      </c>
      <c r="K1776" s="62">
        <v>191895.94</v>
      </c>
      <c r="L1776" s="33" t="e">
        <f>HLOOKUP(B1776,#REF!,1,0)</f>
        <v>#REF!</v>
      </c>
      <c r="M1776" s="33" t="str">
        <f t="shared" si="111"/>
        <v>BS</v>
      </c>
    </row>
    <row r="1777" spans="1:13" s="33" customFormat="true" ht="12.75" customHeight="true">
      <c r="A1777" s="33" t="str">
        <f t="shared" si="108"/>
        <v>SCL - Fixed Assets</v>
      </c>
      <c r="B1777" s="33" t="str">
        <f t="shared" si="109"/>
        <v>SCL</v>
      </c>
      <c r="C1777" s="33" t="str">
        <f t="shared" si="110"/>
        <v>16101-7400</v>
      </c>
      <c r="D1777" s="64" t="s">
        <v>2240</v>
      </c>
      <c r="E1777" s="64" t="s">
        <v>61</v>
      </c>
      <c r="F1777" s="64" t="s">
        <v>15</v>
      </c>
      <c r="G1777" s="64" t="s">
        <v>62</v>
      </c>
      <c r="H1777" s="64" t="s">
        <v>63</v>
      </c>
      <c r="I1777" s="64" t="s">
        <v>64</v>
      </c>
      <c r="J1777" s="67">
        <v>0</v>
      </c>
      <c r="K1777" s="62">
        <v>24484.47</v>
      </c>
      <c r="L1777" s="33" t="e">
        <f>HLOOKUP(B1777,#REF!,1,0)</f>
        <v>#REF!</v>
      </c>
      <c r="M1777" s="33" t="str">
        <f t="shared" si="111"/>
        <v>BS</v>
      </c>
    </row>
    <row r="1778" spans="1:13" s="33" customFormat="true" ht="12.75" customHeight="true">
      <c r="A1778" s="33" t="str">
        <f t="shared" si="108"/>
        <v>SCL - Fixed Assets</v>
      </c>
      <c r="B1778" s="33" t="str">
        <f t="shared" si="109"/>
        <v>SCL</v>
      </c>
      <c r="C1778" s="33" t="str">
        <f t="shared" si="110"/>
        <v>16101-7401</v>
      </c>
      <c r="D1778" s="64" t="s">
        <v>2241</v>
      </c>
      <c r="E1778" s="64" t="s">
        <v>61</v>
      </c>
      <c r="F1778" s="64" t="s">
        <v>15</v>
      </c>
      <c r="G1778" s="64" t="s">
        <v>62</v>
      </c>
      <c r="H1778" s="64" t="s">
        <v>63</v>
      </c>
      <c r="I1778" s="64" t="s">
        <v>64</v>
      </c>
      <c r="J1778" s="67">
        <v>0</v>
      </c>
      <c r="K1778" s="62">
        <v>189392.26</v>
      </c>
      <c r="L1778" s="33" t="e">
        <f>HLOOKUP(B1778,#REF!,1,0)</f>
        <v>#REF!</v>
      </c>
      <c r="M1778" s="33" t="str">
        <f t="shared" si="111"/>
        <v>BS</v>
      </c>
    </row>
    <row r="1779" spans="1:13" s="33" customFormat="true" ht="12.75" customHeight="true">
      <c r="A1779" s="33" t="str">
        <f t="shared" si="108"/>
        <v>SCL - Fixed Assets</v>
      </c>
      <c r="B1779" s="33" t="str">
        <f t="shared" si="109"/>
        <v>SCL</v>
      </c>
      <c r="C1779" s="33" t="str">
        <f t="shared" si="110"/>
        <v>16101-7402</v>
      </c>
      <c r="D1779" s="64" t="s">
        <v>2242</v>
      </c>
      <c r="E1779" s="64" t="s">
        <v>61</v>
      </c>
      <c r="F1779" s="64" t="s">
        <v>15</v>
      </c>
      <c r="G1779" s="64" t="s">
        <v>62</v>
      </c>
      <c r="H1779" s="64" t="s">
        <v>63</v>
      </c>
      <c r="I1779" s="64" t="s">
        <v>64</v>
      </c>
      <c r="J1779" s="67">
        <v>0</v>
      </c>
      <c r="K1779" s="62">
        <v>183224.78</v>
      </c>
      <c r="L1779" s="33" t="e">
        <f>HLOOKUP(B1779,#REF!,1,0)</f>
        <v>#REF!</v>
      </c>
      <c r="M1779" s="33" t="str">
        <f t="shared" si="111"/>
        <v>BS</v>
      </c>
    </row>
    <row r="1780" spans="1:13" s="33" customFormat="true" ht="12.75" customHeight="true">
      <c r="A1780" s="33" t="str">
        <f t="shared" si="108"/>
        <v>SCL - Fixed Assets</v>
      </c>
      <c r="B1780" s="33" t="str">
        <f t="shared" si="109"/>
        <v>SCL</v>
      </c>
      <c r="C1780" s="33" t="str">
        <f t="shared" si="110"/>
        <v>16101-7403</v>
      </c>
      <c r="D1780" s="64" t="s">
        <v>2243</v>
      </c>
      <c r="E1780" s="64" t="s">
        <v>61</v>
      </c>
      <c r="F1780" s="64" t="s">
        <v>15</v>
      </c>
      <c r="G1780" s="64" t="s">
        <v>62</v>
      </c>
      <c r="H1780" s="64" t="s">
        <v>63</v>
      </c>
      <c r="I1780" s="64" t="s">
        <v>64</v>
      </c>
      <c r="J1780" s="67">
        <v>0</v>
      </c>
      <c r="K1780" s="62">
        <v>172841.9</v>
      </c>
      <c r="L1780" s="33" t="e">
        <f>HLOOKUP(B1780,#REF!,1,0)</f>
        <v>#REF!</v>
      </c>
      <c r="M1780" s="33" t="str">
        <f t="shared" si="111"/>
        <v>BS</v>
      </c>
    </row>
    <row r="1781" spans="1:13" s="33" customFormat="true" ht="12.75" customHeight="true">
      <c r="A1781" s="33" t="str">
        <f t="shared" si="108"/>
        <v>SCL - Fixed Assets</v>
      </c>
      <c r="B1781" s="33" t="str">
        <f t="shared" si="109"/>
        <v>SCL</v>
      </c>
      <c r="C1781" s="33" t="str">
        <f t="shared" si="110"/>
        <v>16101-7404</v>
      </c>
      <c r="D1781" s="64" t="s">
        <v>2244</v>
      </c>
      <c r="E1781" s="64" t="s">
        <v>61</v>
      </c>
      <c r="F1781" s="64" t="s">
        <v>15</v>
      </c>
      <c r="G1781" s="64" t="s">
        <v>62</v>
      </c>
      <c r="H1781" s="64" t="s">
        <v>63</v>
      </c>
      <c r="I1781" s="64" t="s">
        <v>64</v>
      </c>
      <c r="J1781" s="67">
        <v>0</v>
      </c>
      <c r="K1781" s="62">
        <v>0.4</v>
      </c>
      <c r="L1781" s="33" t="e">
        <f>HLOOKUP(B1781,#REF!,1,0)</f>
        <v>#REF!</v>
      </c>
      <c r="M1781" s="33" t="str">
        <f t="shared" si="111"/>
        <v>BS</v>
      </c>
    </row>
    <row r="1782" spans="1:13" s="33" customFormat="true" ht="12.75" customHeight="true">
      <c r="A1782" s="33" t="str">
        <f t="shared" si="108"/>
        <v>SCL - Fixed Assets</v>
      </c>
      <c r="B1782" s="33" t="str">
        <f t="shared" si="109"/>
        <v>SCL</v>
      </c>
      <c r="C1782" s="33" t="str">
        <f t="shared" si="110"/>
        <v>16101-7405</v>
      </c>
      <c r="D1782" s="64" t="s">
        <v>2245</v>
      </c>
      <c r="E1782" s="64" t="s">
        <v>61</v>
      </c>
      <c r="F1782" s="64" t="s">
        <v>15</v>
      </c>
      <c r="G1782" s="64" t="s">
        <v>62</v>
      </c>
      <c r="H1782" s="64" t="s">
        <v>63</v>
      </c>
      <c r="I1782" s="64" t="s">
        <v>64</v>
      </c>
      <c r="J1782" s="67">
        <v>0</v>
      </c>
      <c r="K1782" s="62">
        <v>-0.34</v>
      </c>
      <c r="L1782" s="33" t="e">
        <f>HLOOKUP(B1782,#REF!,1,0)</f>
        <v>#REF!</v>
      </c>
      <c r="M1782" s="33" t="str">
        <f t="shared" si="111"/>
        <v>BS</v>
      </c>
    </row>
    <row r="1783" spans="1:13" s="33" customFormat="true" ht="12.75" customHeight="true">
      <c r="A1783" s="33" t="str">
        <f t="shared" si="108"/>
        <v>SCL - Fixed Assets</v>
      </c>
      <c r="B1783" s="33" t="str">
        <f t="shared" si="109"/>
        <v>SCL</v>
      </c>
      <c r="C1783" s="33" t="str">
        <f t="shared" si="110"/>
        <v>16101-7406</v>
      </c>
      <c r="D1783" s="64" t="s">
        <v>2246</v>
      </c>
      <c r="E1783" s="64" t="s">
        <v>61</v>
      </c>
      <c r="F1783" s="64" t="s">
        <v>15</v>
      </c>
      <c r="G1783" s="64" t="s">
        <v>62</v>
      </c>
      <c r="H1783" s="64" t="s">
        <v>63</v>
      </c>
      <c r="I1783" s="64" t="s">
        <v>64</v>
      </c>
      <c r="J1783" s="67">
        <v>0</v>
      </c>
      <c r="K1783" s="62">
        <v>0.35</v>
      </c>
      <c r="L1783" s="33" t="e">
        <f>HLOOKUP(B1783,#REF!,1,0)</f>
        <v>#REF!</v>
      </c>
      <c r="M1783" s="33" t="str">
        <f t="shared" si="111"/>
        <v>BS</v>
      </c>
    </row>
    <row r="1784" spans="1:13" s="33" customFormat="true" ht="12.75" customHeight="true">
      <c r="A1784" s="33" t="str">
        <f t="shared" si="108"/>
        <v>SCL - Fixed Assets</v>
      </c>
      <c r="B1784" s="33" t="str">
        <f t="shared" si="109"/>
        <v>SCL</v>
      </c>
      <c r="C1784" s="33" t="str">
        <f t="shared" si="110"/>
        <v>16101-7489</v>
      </c>
      <c r="D1784" s="64" t="s">
        <v>2247</v>
      </c>
      <c r="E1784" s="64" t="s">
        <v>61</v>
      </c>
      <c r="F1784" s="64" t="s">
        <v>15</v>
      </c>
      <c r="G1784" s="64" t="s">
        <v>62</v>
      </c>
      <c r="H1784" s="64" t="s">
        <v>63</v>
      </c>
      <c r="I1784" s="64" t="s">
        <v>64</v>
      </c>
      <c r="J1784" s="67">
        <v>0</v>
      </c>
      <c r="K1784" s="62">
        <v>196949.57</v>
      </c>
      <c r="L1784" s="33" t="e">
        <f>HLOOKUP(B1784,#REF!,1,0)</f>
        <v>#REF!</v>
      </c>
      <c r="M1784" s="33" t="str">
        <f t="shared" si="111"/>
        <v>BS</v>
      </c>
    </row>
    <row r="1785" spans="1:13" s="33" customFormat="true" ht="12.75" customHeight="true">
      <c r="A1785" s="33" t="str">
        <f t="shared" si="108"/>
        <v>SCL - Fixed Assets</v>
      </c>
      <c r="B1785" s="33" t="str">
        <f t="shared" si="109"/>
        <v>SCL</v>
      </c>
      <c r="C1785" s="33" t="str">
        <f t="shared" si="110"/>
        <v>16101-7490</v>
      </c>
      <c r="D1785" s="64" t="s">
        <v>2248</v>
      </c>
      <c r="E1785" s="64" t="s">
        <v>61</v>
      </c>
      <c r="F1785" s="64" t="s">
        <v>15</v>
      </c>
      <c r="G1785" s="64" t="s">
        <v>62</v>
      </c>
      <c r="H1785" s="64" t="s">
        <v>63</v>
      </c>
      <c r="I1785" s="64" t="s">
        <v>64</v>
      </c>
      <c r="J1785" s="67">
        <v>0</v>
      </c>
      <c r="K1785" s="62">
        <v>-0.13</v>
      </c>
      <c r="L1785" s="33" t="e">
        <f>HLOOKUP(B1785,#REF!,1,0)</f>
        <v>#REF!</v>
      </c>
      <c r="M1785" s="33" t="str">
        <f t="shared" si="111"/>
        <v>BS</v>
      </c>
    </row>
    <row r="1786" spans="1:13" s="33" customFormat="true" ht="12.75" customHeight="true">
      <c r="A1786" s="33" t="str">
        <f t="shared" si="108"/>
        <v>SCL - Fixed Assets</v>
      </c>
      <c r="B1786" s="33" t="str">
        <f t="shared" si="109"/>
        <v>SCL</v>
      </c>
      <c r="C1786" s="33" t="str">
        <f t="shared" si="110"/>
        <v>16101-7491</v>
      </c>
      <c r="D1786" s="64" t="s">
        <v>2249</v>
      </c>
      <c r="E1786" s="64" t="s">
        <v>61</v>
      </c>
      <c r="F1786" s="64" t="s">
        <v>15</v>
      </c>
      <c r="G1786" s="64" t="s">
        <v>62</v>
      </c>
      <c r="H1786" s="64" t="s">
        <v>63</v>
      </c>
      <c r="I1786" s="64" t="s">
        <v>64</v>
      </c>
      <c r="J1786" s="67">
        <v>0</v>
      </c>
      <c r="K1786" s="62">
        <v>159293.09</v>
      </c>
      <c r="L1786" s="33" t="e">
        <f>HLOOKUP(B1786,#REF!,1,0)</f>
        <v>#REF!</v>
      </c>
      <c r="M1786" s="33" t="str">
        <f t="shared" si="111"/>
        <v>BS</v>
      </c>
    </row>
    <row r="1787" spans="1:13" s="33" customFormat="true" ht="12.75" customHeight="true">
      <c r="A1787" s="33" t="str">
        <f t="shared" si="108"/>
        <v>SCL - Fixed Assets</v>
      </c>
      <c r="B1787" s="33" t="str">
        <f t="shared" si="109"/>
        <v>SCL</v>
      </c>
      <c r="C1787" s="33" t="str">
        <f t="shared" si="110"/>
        <v>16101-7492</v>
      </c>
      <c r="D1787" s="64" t="s">
        <v>2250</v>
      </c>
      <c r="E1787" s="64" t="s">
        <v>61</v>
      </c>
      <c r="F1787" s="64" t="s">
        <v>15</v>
      </c>
      <c r="G1787" s="64" t="s">
        <v>62</v>
      </c>
      <c r="H1787" s="64" t="s">
        <v>63</v>
      </c>
      <c r="I1787" s="64" t="s">
        <v>64</v>
      </c>
      <c r="J1787" s="67">
        <v>0</v>
      </c>
      <c r="K1787" s="62">
        <v>162300.82</v>
      </c>
      <c r="L1787" s="33" t="e">
        <f>HLOOKUP(B1787,#REF!,1,0)</f>
        <v>#REF!</v>
      </c>
      <c r="M1787" s="33" t="str">
        <f t="shared" si="111"/>
        <v>BS</v>
      </c>
    </row>
    <row r="1788" spans="1:13" s="33" customFormat="true" ht="12.75" customHeight="true">
      <c r="A1788" s="33" t="str">
        <f t="shared" si="108"/>
        <v>SCL - Fixed Assets</v>
      </c>
      <c r="B1788" s="33" t="str">
        <f t="shared" si="109"/>
        <v>SCL</v>
      </c>
      <c r="C1788" s="33" t="str">
        <f t="shared" si="110"/>
        <v>16101-7493</v>
      </c>
      <c r="D1788" s="64" t="s">
        <v>2251</v>
      </c>
      <c r="E1788" s="64" t="s">
        <v>61</v>
      </c>
      <c r="F1788" s="64" t="s">
        <v>15</v>
      </c>
      <c r="G1788" s="64" t="s">
        <v>62</v>
      </c>
      <c r="H1788" s="64" t="s">
        <v>63</v>
      </c>
      <c r="I1788" s="64" t="s">
        <v>64</v>
      </c>
      <c r="J1788" s="67">
        <v>0</v>
      </c>
      <c r="K1788" s="62">
        <v>156275.43</v>
      </c>
      <c r="L1788" s="33" t="e">
        <f>HLOOKUP(B1788,#REF!,1,0)</f>
        <v>#REF!</v>
      </c>
      <c r="M1788" s="33" t="str">
        <f t="shared" si="111"/>
        <v>BS</v>
      </c>
    </row>
    <row r="1789" spans="1:13" s="33" customFormat="true" ht="12.75" customHeight="true">
      <c r="A1789" s="33" t="str">
        <f t="shared" si="108"/>
        <v>SCL - Fixed Assets</v>
      </c>
      <c r="B1789" s="33" t="str">
        <f t="shared" si="109"/>
        <v>SCL</v>
      </c>
      <c r="C1789" s="33" t="str">
        <f t="shared" si="110"/>
        <v>16101-7494</v>
      </c>
      <c r="D1789" s="64" t="s">
        <v>2252</v>
      </c>
      <c r="E1789" s="64" t="s">
        <v>61</v>
      </c>
      <c r="F1789" s="64" t="s">
        <v>15</v>
      </c>
      <c r="G1789" s="64" t="s">
        <v>62</v>
      </c>
      <c r="H1789" s="64" t="s">
        <v>63</v>
      </c>
      <c r="I1789" s="64" t="s">
        <v>64</v>
      </c>
      <c r="J1789" s="67">
        <v>0</v>
      </c>
      <c r="K1789" s="62">
        <v>539635</v>
      </c>
      <c r="L1789" s="33" t="e">
        <f>HLOOKUP(B1789,#REF!,1,0)</f>
        <v>#REF!</v>
      </c>
      <c r="M1789" s="33" t="str">
        <f t="shared" si="111"/>
        <v>BS</v>
      </c>
    </row>
    <row r="1790" spans="1:13" s="33" customFormat="true" ht="12.75" customHeight="true">
      <c r="A1790" s="33" t="str">
        <f t="shared" si="108"/>
        <v>SCL - Fixed Assets</v>
      </c>
      <c r="B1790" s="33" t="str">
        <f t="shared" si="109"/>
        <v>SCL</v>
      </c>
      <c r="C1790" s="33" t="str">
        <f t="shared" si="110"/>
        <v>16101-7625</v>
      </c>
      <c r="D1790" s="64" t="s">
        <v>2253</v>
      </c>
      <c r="E1790" s="64" t="s">
        <v>61</v>
      </c>
      <c r="F1790" s="64" t="s">
        <v>15</v>
      </c>
      <c r="G1790" s="64" t="s">
        <v>62</v>
      </c>
      <c r="H1790" s="64" t="s">
        <v>63</v>
      </c>
      <c r="I1790" s="64" t="s">
        <v>64</v>
      </c>
      <c r="J1790" s="67">
        <v>0</v>
      </c>
      <c r="K1790" s="62">
        <v>322099.77</v>
      </c>
      <c r="L1790" s="33" t="e">
        <f>HLOOKUP(B1790,#REF!,1,0)</f>
        <v>#REF!</v>
      </c>
      <c r="M1790" s="33" t="str">
        <f t="shared" si="111"/>
        <v>BS</v>
      </c>
    </row>
    <row r="1791" spans="1:13" s="33" customFormat="true" ht="12.75" customHeight="true">
      <c r="A1791" s="33" t="str">
        <f t="shared" si="108"/>
        <v>SCL - Fixed Assets</v>
      </c>
      <c r="B1791" s="33" t="str">
        <f t="shared" si="109"/>
        <v>SCL</v>
      </c>
      <c r="C1791" s="33" t="str">
        <f t="shared" si="110"/>
        <v>16101-8150</v>
      </c>
      <c r="D1791" s="64" t="s">
        <v>2254</v>
      </c>
      <c r="E1791" s="64" t="s">
        <v>61</v>
      </c>
      <c r="F1791" s="64" t="s">
        <v>15</v>
      </c>
      <c r="G1791" s="64" t="s">
        <v>62</v>
      </c>
      <c r="H1791" s="64" t="s">
        <v>63</v>
      </c>
      <c r="I1791" s="64" t="s">
        <v>64</v>
      </c>
      <c r="J1791" s="67">
        <v>0</v>
      </c>
      <c r="K1791" s="62">
        <v>364216.45</v>
      </c>
      <c r="L1791" s="33" t="e">
        <f>HLOOKUP(B1791,#REF!,1,0)</f>
        <v>#REF!</v>
      </c>
      <c r="M1791" s="33" t="str">
        <f t="shared" si="111"/>
        <v>BS</v>
      </c>
    </row>
    <row r="1792" spans="1:13" s="33" customFormat="true" ht="12.75" customHeight="true">
      <c r="A1792" s="33" t="str">
        <f t="shared" si="108"/>
        <v>SCL - Fixed Assets</v>
      </c>
      <c r="B1792" s="33" t="str">
        <f t="shared" si="109"/>
        <v>SCL</v>
      </c>
      <c r="C1792" s="33" t="str">
        <f t="shared" si="110"/>
        <v>16201-0000</v>
      </c>
      <c r="D1792" s="64" t="s">
        <v>2255</v>
      </c>
      <c r="E1792" s="64" t="s">
        <v>2256</v>
      </c>
      <c r="F1792" s="64" t="s">
        <v>15</v>
      </c>
      <c r="G1792" s="64" t="s">
        <v>62</v>
      </c>
      <c r="H1792" s="64" t="s">
        <v>63</v>
      </c>
      <c r="I1792" s="64" t="s">
        <v>64</v>
      </c>
      <c r="J1792" s="67">
        <v>0</v>
      </c>
      <c r="K1792" s="62">
        <v>48117.8</v>
      </c>
      <c r="L1792" s="33" t="e">
        <f>HLOOKUP(B1792,#REF!,1,0)</f>
        <v>#REF!</v>
      </c>
      <c r="M1792" s="33" t="str">
        <f t="shared" si="111"/>
        <v>BS</v>
      </c>
    </row>
    <row r="1793" spans="1:13" s="33" customFormat="true" ht="12.75" customHeight="true">
      <c r="A1793" s="33" t="str">
        <f t="shared" si="108"/>
        <v>SCL - Fixed Assets</v>
      </c>
      <c r="B1793" s="33" t="str">
        <f t="shared" si="109"/>
        <v>SCL</v>
      </c>
      <c r="C1793" s="33" t="str">
        <f t="shared" si="110"/>
        <v>16201-7355</v>
      </c>
      <c r="D1793" s="64" t="s">
        <v>2257</v>
      </c>
      <c r="E1793" s="64" t="s">
        <v>2256</v>
      </c>
      <c r="F1793" s="64" t="s">
        <v>15</v>
      </c>
      <c r="G1793" s="64" t="s">
        <v>62</v>
      </c>
      <c r="H1793" s="64" t="s">
        <v>63</v>
      </c>
      <c r="I1793" s="64" t="s">
        <v>64</v>
      </c>
      <c r="J1793" s="67">
        <v>0</v>
      </c>
      <c r="K1793" s="62">
        <v>2897.11</v>
      </c>
      <c r="L1793" s="33" t="e">
        <f>HLOOKUP(B1793,#REF!,1,0)</f>
        <v>#REF!</v>
      </c>
      <c r="M1793" s="33" t="str">
        <f t="shared" si="111"/>
        <v>BS</v>
      </c>
    </row>
    <row r="1794" spans="1:13" s="33" customFormat="true" ht="12.75" customHeight="true">
      <c r="A1794" s="33" t="str">
        <f t="shared" ref="A1794:A1857" si="112">B1794&amp;" - "&amp;TRIM(H1794)</f>
        <v>SCL - Fixed Assets</v>
      </c>
      <c r="B1794" s="33" t="str">
        <f t="shared" ref="B1794:B1857" si="113">LEFT(D1794,3)</f>
        <v>SCL</v>
      </c>
      <c r="C1794" s="33" t="str">
        <f t="shared" ref="C1794:C1857" si="114">RIGHT(D1794,10)</f>
        <v>16201-7381</v>
      </c>
      <c r="D1794" s="64" t="s">
        <v>2258</v>
      </c>
      <c r="E1794" s="64" t="s">
        <v>2256</v>
      </c>
      <c r="F1794" s="64" t="s">
        <v>15</v>
      </c>
      <c r="G1794" s="64" t="s">
        <v>62</v>
      </c>
      <c r="H1794" s="64" t="s">
        <v>63</v>
      </c>
      <c r="I1794" s="64" t="s">
        <v>64</v>
      </c>
      <c r="J1794" s="67">
        <v>0</v>
      </c>
      <c r="K1794" s="62">
        <v>4566.6</v>
      </c>
      <c r="L1794" s="33" t="e">
        <f>HLOOKUP(B1794,#REF!,1,0)</f>
        <v>#REF!</v>
      </c>
      <c r="M1794" s="33" t="str">
        <f t="shared" ref="M1794:M1857" si="115">IF(VALUE(LEFT(C1794,5))&gt;40000,"P&amp;L","BS")</f>
        <v>BS</v>
      </c>
    </row>
    <row r="1795" spans="1:13" s="33" customFormat="true" ht="12.75" customHeight="true">
      <c r="A1795" s="33" t="str">
        <f t="shared" si="112"/>
        <v>SCL - Fixed Assets</v>
      </c>
      <c r="B1795" s="33" t="str">
        <f t="shared" si="113"/>
        <v>SCL</v>
      </c>
      <c r="C1795" s="33" t="str">
        <f t="shared" si="114"/>
        <v>16201-7387</v>
      </c>
      <c r="D1795" s="64" t="s">
        <v>2259</v>
      </c>
      <c r="E1795" s="64" t="s">
        <v>2256</v>
      </c>
      <c r="F1795" s="64" t="s">
        <v>15</v>
      </c>
      <c r="G1795" s="64" t="s">
        <v>62</v>
      </c>
      <c r="H1795" s="64" t="s">
        <v>63</v>
      </c>
      <c r="I1795" s="64" t="s">
        <v>64</v>
      </c>
      <c r="J1795" s="67">
        <v>0</v>
      </c>
      <c r="K1795" s="62">
        <v>2879.16</v>
      </c>
      <c r="L1795" s="33" t="e">
        <f>HLOOKUP(B1795,#REF!,1,0)</f>
        <v>#REF!</v>
      </c>
      <c r="M1795" s="33" t="str">
        <f t="shared" si="115"/>
        <v>BS</v>
      </c>
    </row>
    <row r="1796" spans="1:13" s="33" customFormat="true" ht="12.75" customHeight="true">
      <c r="A1796" s="33" t="str">
        <f t="shared" si="112"/>
        <v>SCL - Fixed Assets</v>
      </c>
      <c r="B1796" s="33" t="str">
        <f t="shared" si="113"/>
        <v>SCL</v>
      </c>
      <c r="C1796" s="33" t="str">
        <f t="shared" si="114"/>
        <v>16201-7402</v>
      </c>
      <c r="D1796" s="64" t="s">
        <v>2260</v>
      </c>
      <c r="E1796" s="64" t="s">
        <v>2256</v>
      </c>
      <c r="F1796" s="64" t="s">
        <v>15</v>
      </c>
      <c r="G1796" s="64" t="s">
        <v>62</v>
      </c>
      <c r="H1796" s="64" t="s">
        <v>63</v>
      </c>
      <c r="I1796" s="64" t="s">
        <v>64</v>
      </c>
      <c r="J1796" s="67">
        <v>0</v>
      </c>
      <c r="K1796" s="62">
        <v>2837.3</v>
      </c>
      <c r="L1796" s="33" t="e">
        <f>HLOOKUP(B1796,#REF!,1,0)</f>
        <v>#REF!</v>
      </c>
      <c r="M1796" s="33" t="str">
        <f t="shared" si="115"/>
        <v>BS</v>
      </c>
    </row>
    <row r="1797" spans="1:13" s="33" customFormat="true" ht="12.75" customHeight="true">
      <c r="A1797" s="33" t="str">
        <f t="shared" si="112"/>
        <v>SCL - Fixed Assets</v>
      </c>
      <c r="B1797" s="33" t="str">
        <f t="shared" si="113"/>
        <v>SCL</v>
      </c>
      <c r="C1797" s="33" t="str">
        <f t="shared" si="114"/>
        <v>16301-0000</v>
      </c>
      <c r="D1797" s="64" t="s">
        <v>2261</v>
      </c>
      <c r="E1797" s="64" t="s">
        <v>2262</v>
      </c>
      <c r="F1797" s="64" t="s">
        <v>15</v>
      </c>
      <c r="G1797" s="64" t="s">
        <v>62</v>
      </c>
      <c r="H1797" s="64" t="s">
        <v>63</v>
      </c>
      <c r="I1797" s="64" t="s">
        <v>64</v>
      </c>
      <c r="J1797" s="67">
        <v>0</v>
      </c>
      <c r="K1797" s="62">
        <v>64783.64</v>
      </c>
      <c r="L1797" s="33" t="e">
        <f>HLOOKUP(B1797,#REF!,1,0)</f>
        <v>#REF!</v>
      </c>
      <c r="M1797" s="33" t="str">
        <f t="shared" si="115"/>
        <v>BS</v>
      </c>
    </row>
    <row r="1798" spans="1:13" s="33" customFormat="true" ht="12.75" customHeight="true">
      <c r="A1798" s="33" t="str">
        <f t="shared" si="112"/>
        <v>SCL - Fixed Assets</v>
      </c>
      <c r="B1798" s="33" t="str">
        <f t="shared" si="113"/>
        <v>SCL</v>
      </c>
      <c r="C1798" s="33" t="str">
        <f t="shared" si="114"/>
        <v>16601-7351</v>
      </c>
      <c r="D1798" s="64" t="s">
        <v>2263</v>
      </c>
      <c r="E1798" s="64" t="s">
        <v>70</v>
      </c>
      <c r="F1798" s="64" t="s">
        <v>15</v>
      </c>
      <c r="G1798" s="64" t="s">
        <v>62</v>
      </c>
      <c r="H1798" s="64" t="s">
        <v>63</v>
      </c>
      <c r="I1798" s="64" t="s">
        <v>64</v>
      </c>
      <c r="J1798" s="67">
        <v>0</v>
      </c>
      <c r="K1798" s="62">
        <v>150340.33</v>
      </c>
      <c r="L1798" s="33" t="e">
        <f>HLOOKUP(B1798,#REF!,1,0)</f>
        <v>#REF!</v>
      </c>
      <c r="M1798" s="33" t="str">
        <f t="shared" si="115"/>
        <v>BS</v>
      </c>
    </row>
    <row r="1799" spans="1:13" s="33" customFormat="true" ht="12.75" customHeight="true">
      <c r="A1799" s="33" t="str">
        <f t="shared" si="112"/>
        <v>SCL - Fixed Assets</v>
      </c>
      <c r="B1799" s="33" t="str">
        <f t="shared" si="113"/>
        <v>SCL</v>
      </c>
      <c r="C1799" s="33" t="str">
        <f t="shared" si="114"/>
        <v>16601-7352</v>
      </c>
      <c r="D1799" s="64" t="s">
        <v>2264</v>
      </c>
      <c r="E1799" s="64" t="s">
        <v>70</v>
      </c>
      <c r="F1799" s="64" t="s">
        <v>15</v>
      </c>
      <c r="G1799" s="64" t="s">
        <v>62</v>
      </c>
      <c r="H1799" s="64" t="s">
        <v>63</v>
      </c>
      <c r="I1799" s="64" t="s">
        <v>64</v>
      </c>
      <c r="J1799" s="67">
        <v>0</v>
      </c>
      <c r="K1799" s="62">
        <v>1862.97</v>
      </c>
      <c r="L1799" s="33" t="e">
        <f>HLOOKUP(B1799,#REF!,1,0)</f>
        <v>#REF!</v>
      </c>
      <c r="M1799" s="33" t="str">
        <f t="shared" si="115"/>
        <v>BS</v>
      </c>
    </row>
    <row r="1800" spans="1:13" s="33" customFormat="true" ht="12.75" customHeight="true">
      <c r="A1800" s="33" t="str">
        <f t="shared" si="112"/>
        <v>SCL - Fixed Assets</v>
      </c>
      <c r="B1800" s="33" t="str">
        <f t="shared" si="113"/>
        <v>SCL</v>
      </c>
      <c r="C1800" s="33" t="str">
        <f t="shared" si="114"/>
        <v>16601-7355</v>
      </c>
      <c r="D1800" s="64" t="s">
        <v>2265</v>
      </c>
      <c r="E1800" s="64" t="s">
        <v>70</v>
      </c>
      <c r="F1800" s="64" t="s">
        <v>15</v>
      </c>
      <c r="G1800" s="64" t="s">
        <v>62</v>
      </c>
      <c r="H1800" s="64" t="s">
        <v>63</v>
      </c>
      <c r="I1800" s="64" t="s">
        <v>64</v>
      </c>
      <c r="J1800" s="67">
        <v>0</v>
      </c>
      <c r="K1800" s="62">
        <v>36685.23</v>
      </c>
      <c r="L1800" s="33" t="e">
        <f>HLOOKUP(B1800,#REF!,1,0)</f>
        <v>#REF!</v>
      </c>
      <c r="M1800" s="33" t="str">
        <f t="shared" si="115"/>
        <v>BS</v>
      </c>
    </row>
    <row r="1801" spans="1:13" s="33" customFormat="true" ht="12.75" customHeight="true">
      <c r="A1801" s="33" t="str">
        <f t="shared" si="112"/>
        <v>SCL - Fixed Assets</v>
      </c>
      <c r="B1801" s="33" t="str">
        <f t="shared" si="113"/>
        <v>SCL</v>
      </c>
      <c r="C1801" s="33" t="str">
        <f t="shared" si="114"/>
        <v>16601-7356</v>
      </c>
      <c r="D1801" s="64" t="s">
        <v>2266</v>
      </c>
      <c r="E1801" s="64" t="s">
        <v>70</v>
      </c>
      <c r="F1801" s="64" t="s">
        <v>15</v>
      </c>
      <c r="G1801" s="64" t="s">
        <v>62</v>
      </c>
      <c r="H1801" s="64" t="s">
        <v>63</v>
      </c>
      <c r="I1801" s="64" t="s">
        <v>64</v>
      </c>
      <c r="J1801" s="67">
        <v>0</v>
      </c>
      <c r="K1801" s="62">
        <v>111086.54</v>
      </c>
      <c r="L1801" s="33" t="e">
        <f>HLOOKUP(B1801,#REF!,1,0)</f>
        <v>#REF!</v>
      </c>
      <c r="M1801" s="33" t="str">
        <f t="shared" si="115"/>
        <v>BS</v>
      </c>
    </row>
    <row r="1802" spans="1:13" s="33" customFormat="true" ht="12.75" customHeight="true">
      <c r="A1802" s="33" t="str">
        <f t="shared" si="112"/>
        <v>SCL - Fixed Assets</v>
      </c>
      <c r="B1802" s="33" t="str">
        <f t="shared" si="113"/>
        <v>SCL</v>
      </c>
      <c r="C1802" s="33" t="str">
        <f t="shared" si="114"/>
        <v>16601-7359</v>
      </c>
      <c r="D1802" s="64" t="s">
        <v>2267</v>
      </c>
      <c r="E1802" s="64" t="s">
        <v>70</v>
      </c>
      <c r="F1802" s="64" t="s">
        <v>15</v>
      </c>
      <c r="G1802" s="64" t="s">
        <v>62</v>
      </c>
      <c r="H1802" s="64" t="s">
        <v>63</v>
      </c>
      <c r="I1802" s="64" t="s">
        <v>64</v>
      </c>
      <c r="J1802" s="67">
        <v>0</v>
      </c>
      <c r="K1802" s="62">
        <v>113691.5</v>
      </c>
      <c r="L1802" s="33" t="e">
        <f>HLOOKUP(B1802,#REF!,1,0)</f>
        <v>#REF!</v>
      </c>
      <c r="M1802" s="33" t="str">
        <f t="shared" si="115"/>
        <v>BS</v>
      </c>
    </row>
    <row r="1803" spans="1:13" s="33" customFormat="true" ht="12.75" customHeight="true">
      <c r="A1803" s="33" t="str">
        <f t="shared" si="112"/>
        <v>SCL - Fixed Assets</v>
      </c>
      <c r="B1803" s="33" t="str">
        <f t="shared" si="113"/>
        <v>SCL</v>
      </c>
      <c r="C1803" s="33" t="str">
        <f t="shared" si="114"/>
        <v>16601-7360</v>
      </c>
      <c r="D1803" s="64" t="s">
        <v>2268</v>
      </c>
      <c r="E1803" s="64" t="s">
        <v>70</v>
      </c>
      <c r="F1803" s="64" t="s">
        <v>15</v>
      </c>
      <c r="G1803" s="64" t="s">
        <v>62</v>
      </c>
      <c r="H1803" s="64" t="s">
        <v>63</v>
      </c>
      <c r="I1803" s="64" t="s">
        <v>64</v>
      </c>
      <c r="J1803" s="67">
        <v>0</v>
      </c>
      <c r="K1803" s="62">
        <v>162663.86</v>
      </c>
      <c r="L1803" s="33" t="e">
        <f>HLOOKUP(B1803,#REF!,1,0)</f>
        <v>#REF!</v>
      </c>
      <c r="M1803" s="33" t="str">
        <f t="shared" si="115"/>
        <v>BS</v>
      </c>
    </row>
    <row r="1804" spans="1:13" s="33" customFormat="true" ht="12.75" customHeight="true">
      <c r="A1804" s="33" t="str">
        <f t="shared" si="112"/>
        <v>SCL - Fixed Assets</v>
      </c>
      <c r="B1804" s="33" t="str">
        <f t="shared" si="113"/>
        <v>SCL</v>
      </c>
      <c r="C1804" s="33" t="str">
        <f t="shared" si="114"/>
        <v>16601-7361</v>
      </c>
      <c r="D1804" s="64" t="s">
        <v>2269</v>
      </c>
      <c r="E1804" s="64" t="s">
        <v>70</v>
      </c>
      <c r="F1804" s="64" t="s">
        <v>15</v>
      </c>
      <c r="G1804" s="64" t="s">
        <v>62</v>
      </c>
      <c r="H1804" s="64" t="s">
        <v>63</v>
      </c>
      <c r="I1804" s="64" t="s">
        <v>64</v>
      </c>
      <c r="J1804" s="67">
        <v>0</v>
      </c>
      <c r="K1804" s="62">
        <v>18234</v>
      </c>
      <c r="L1804" s="33" t="e">
        <f>HLOOKUP(B1804,#REF!,1,0)</f>
        <v>#REF!</v>
      </c>
      <c r="M1804" s="33" t="str">
        <f t="shared" si="115"/>
        <v>BS</v>
      </c>
    </row>
    <row r="1805" spans="1:13" s="33" customFormat="true" ht="12.75" customHeight="true">
      <c r="A1805" s="33" t="str">
        <f t="shared" si="112"/>
        <v>SCL - Fixed Assets</v>
      </c>
      <c r="B1805" s="33" t="str">
        <f t="shared" si="113"/>
        <v>SCL</v>
      </c>
      <c r="C1805" s="33" t="str">
        <f t="shared" si="114"/>
        <v>16601-7362</v>
      </c>
      <c r="D1805" s="64" t="s">
        <v>2270</v>
      </c>
      <c r="E1805" s="64" t="s">
        <v>70</v>
      </c>
      <c r="F1805" s="64" t="s">
        <v>15</v>
      </c>
      <c r="G1805" s="64" t="s">
        <v>62</v>
      </c>
      <c r="H1805" s="64" t="s">
        <v>63</v>
      </c>
      <c r="I1805" s="64" t="s">
        <v>64</v>
      </c>
      <c r="J1805" s="67">
        <v>0</v>
      </c>
      <c r="K1805" s="62">
        <v>107489.46</v>
      </c>
      <c r="L1805" s="33" t="e">
        <f>HLOOKUP(B1805,#REF!,1,0)</f>
        <v>#REF!</v>
      </c>
      <c r="M1805" s="33" t="str">
        <f t="shared" si="115"/>
        <v>BS</v>
      </c>
    </row>
    <row r="1806" spans="1:13" s="33" customFormat="true" ht="12.75" customHeight="true">
      <c r="A1806" s="33" t="str">
        <f t="shared" si="112"/>
        <v>SCL - Fixed Assets</v>
      </c>
      <c r="B1806" s="33" t="str">
        <f t="shared" si="113"/>
        <v>SCL</v>
      </c>
      <c r="C1806" s="33" t="str">
        <f t="shared" si="114"/>
        <v>16601-7363</v>
      </c>
      <c r="D1806" s="64" t="s">
        <v>2271</v>
      </c>
      <c r="E1806" s="64" t="s">
        <v>70</v>
      </c>
      <c r="F1806" s="64" t="s">
        <v>15</v>
      </c>
      <c r="G1806" s="64" t="s">
        <v>62</v>
      </c>
      <c r="H1806" s="64" t="s">
        <v>63</v>
      </c>
      <c r="I1806" s="64" t="s">
        <v>64</v>
      </c>
      <c r="J1806" s="67">
        <v>0</v>
      </c>
      <c r="K1806" s="62">
        <v>146538.68</v>
      </c>
      <c r="L1806" s="33" t="e">
        <f>HLOOKUP(B1806,#REF!,1,0)</f>
        <v>#REF!</v>
      </c>
      <c r="M1806" s="33" t="str">
        <f t="shared" si="115"/>
        <v>BS</v>
      </c>
    </row>
    <row r="1807" spans="1:13" s="33" customFormat="true" ht="12.75" customHeight="true">
      <c r="A1807" s="33" t="str">
        <f t="shared" si="112"/>
        <v>SCL - Fixed Assets</v>
      </c>
      <c r="B1807" s="33" t="str">
        <f t="shared" si="113"/>
        <v>SCL</v>
      </c>
      <c r="C1807" s="33" t="str">
        <f t="shared" si="114"/>
        <v>16601-7364</v>
      </c>
      <c r="D1807" s="64" t="s">
        <v>2272</v>
      </c>
      <c r="E1807" s="64" t="s">
        <v>70</v>
      </c>
      <c r="F1807" s="64" t="s">
        <v>15</v>
      </c>
      <c r="G1807" s="64" t="s">
        <v>62</v>
      </c>
      <c r="H1807" s="64" t="s">
        <v>63</v>
      </c>
      <c r="I1807" s="64" t="s">
        <v>64</v>
      </c>
      <c r="J1807" s="67">
        <v>0</v>
      </c>
      <c r="K1807" s="62">
        <v>4278.09</v>
      </c>
      <c r="L1807" s="33" t="e">
        <f>HLOOKUP(B1807,#REF!,1,0)</f>
        <v>#REF!</v>
      </c>
      <c r="M1807" s="33" t="str">
        <f t="shared" si="115"/>
        <v>BS</v>
      </c>
    </row>
    <row r="1808" spans="1:13" s="33" customFormat="true" ht="12.75" customHeight="true">
      <c r="A1808" s="33" t="str">
        <f t="shared" si="112"/>
        <v>SCL - Fixed Assets</v>
      </c>
      <c r="B1808" s="33" t="str">
        <f t="shared" si="113"/>
        <v>SCL</v>
      </c>
      <c r="C1808" s="33" t="str">
        <f t="shared" si="114"/>
        <v>16601-7365</v>
      </c>
      <c r="D1808" s="64" t="s">
        <v>2273</v>
      </c>
      <c r="E1808" s="64" t="s">
        <v>70</v>
      </c>
      <c r="F1808" s="64" t="s">
        <v>15</v>
      </c>
      <c r="G1808" s="64" t="s">
        <v>62</v>
      </c>
      <c r="H1808" s="64" t="s">
        <v>63</v>
      </c>
      <c r="I1808" s="64" t="s">
        <v>64</v>
      </c>
      <c r="J1808" s="67">
        <v>0</v>
      </c>
      <c r="K1808" s="62">
        <v>54457.1</v>
      </c>
      <c r="L1808" s="33" t="e">
        <f>HLOOKUP(B1808,#REF!,1,0)</f>
        <v>#REF!</v>
      </c>
      <c r="M1808" s="33" t="str">
        <f t="shared" si="115"/>
        <v>BS</v>
      </c>
    </row>
    <row r="1809" spans="1:13" s="33" customFormat="true" ht="12.75" customHeight="true">
      <c r="A1809" s="33" t="str">
        <f t="shared" si="112"/>
        <v>SCL - Fixed Assets</v>
      </c>
      <c r="B1809" s="33" t="str">
        <f t="shared" si="113"/>
        <v>SCL</v>
      </c>
      <c r="C1809" s="33" t="str">
        <f t="shared" si="114"/>
        <v>16601-7366</v>
      </c>
      <c r="D1809" s="64" t="s">
        <v>2274</v>
      </c>
      <c r="E1809" s="64" t="s">
        <v>70</v>
      </c>
      <c r="F1809" s="64" t="s">
        <v>15</v>
      </c>
      <c r="G1809" s="64" t="s">
        <v>62</v>
      </c>
      <c r="H1809" s="64" t="s">
        <v>63</v>
      </c>
      <c r="I1809" s="64" t="s">
        <v>64</v>
      </c>
      <c r="J1809" s="67">
        <v>0</v>
      </c>
      <c r="K1809" s="62">
        <v>196130.71</v>
      </c>
      <c r="L1809" s="33" t="e">
        <f>HLOOKUP(B1809,#REF!,1,0)</f>
        <v>#REF!</v>
      </c>
      <c r="M1809" s="33" t="str">
        <f t="shared" si="115"/>
        <v>BS</v>
      </c>
    </row>
    <row r="1810" spans="1:13" s="33" customFormat="true" ht="12.75" customHeight="true">
      <c r="A1810" s="33" t="str">
        <f t="shared" si="112"/>
        <v>SCL - Fixed Assets</v>
      </c>
      <c r="B1810" s="33" t="str">
        <f t="shared" si="113"/>
        <v>SCL</v>
      </c>
      <c r="C1810" s="33" t="str">
        <f t="shared" si="114"/>
        <v>16601-7368</v>
      </c>
      <c r="D1810" s="64" t="s">
        <v>2275</v>
      </c>
      <c r="E1810" s="64" t="s">
        <v>70</v>
      </c>
      <c r="F1810" s="64" t="s">
        <v>15</v>
      </c>
      <c r="G1810" s="64" t="s">
        <v>62</v>
      </c>
      <c r="H1810" s="64" t="s">
        <v>63</v>
      </c>
      <c r="I1810" s="64" t="s">
        <v>64</v>
      </c>
      <c r="J1810" s="67">
        <v>0</v>
      </c>
      <c r="K1810" s="62">
        <v>234716.94</v>
      </c>
      <c r="L1810" s="33" t="e">
        <f>HLOOKUP(B1810,#REF!,1,0)</f>
        <v>#REF!</v>
      </c>
      <c r="M1810" s="33" t="str">
        <f t="shared" si="115"/>
        <v>BS</v>
      </c>
    </row>
    <row r="1811" spans="1:13" s="33" customFormat="true" ht="12.75" customHeight="true">
      <c r="A1811" s="33" t="str">
        <f t="shared" si="112"/>
        <v>SCL - Fixed Assets</v>
      </c>
      <c r="B1811" s="33" t="str">
        <f t="shared" si="113"/>
        <v>SCL</v>
      </c>
      <c r="C1811" s="33" t="str">
        <f t="shared" si="114"/>
        <v>16601-7369</v>
      </c>
      <c r="D1811" s="64" t="s">
        <v>2276</v>
      </c>
      <c r="E1811" s="64" t="s">
        <v>70</v>
      </c>
      <c r="F1811" s="64" t="s">
        <v>15</v>
      </c>
      <c r="G1811" s="64" t="s">
        <v>62</v>
      </c>
      <c r="H1811" s="64" t="s">
        <v>63</v>
      </c>
      <c r="I1811" s="64" t="s">
        <v>64</v>
      </c>
      <c r="J1811" s="67">
        <v>0</v>
      </c>
      <c r="K1811" s="62">
        <v>170393.04</v>
      </c>
      <c r="L1811" s="33" t="e">
        <f>HLOOKUP(B1811,#REF!,1,0)</f>
        <v>#REF!</v>
      </c>
      <c r="M1811" s="33" t="str">
        <f t="shared" si="115"/>
        <v>BS</v>
      </c>
    </row>
    <row r="1812" spans="1:13" s="33" customFormat="true" ht="12.75" customHeight="true">
      <c r="A1812" s="33" t="str">
        <f t="shared" si="112"/>
        <v>SCL - Fixed Assets</v>
      </c>
      <c r="B1812" s="33" t="str">
        <f t="shared" si="113"/>
        <v>SCL</v>
      </c>
      <c r="C1812" s="33" t="str">
        <f t="shared" si="114"/>
        <v>16601-7370</v>
      </c>
      <c r="D1812" s="64" t="s">
        <v>2277</v>
      </c>
      <c r="E1812" s="64" t="s">
        <v>70</v>
      </c>
      <c r="F1812" s="64" t="s">
        <v>15</v>
      </c>
      <c r="G1812" s="64" t="s">
        <v>62</v>
      </c>
      <c r="H1812" s="64" t="s">
        <v>63</v>
      </c>
      <c r="I1812" s="64" t="s">
        <v>64</v>
      </c>
      <c r="J1812" s="67">
        <v>0</v>
      </c>
      <c r="K1812" s="62">
        <v>-0.3</v>
      </c>
      <c r="L1812" s="33" t="e">
        <f>HLOOKUP(B1812,#REF!,1,0)</f>
        <v>#REF!</v>
      </c>
      <c r="M1812" s="33" t="str">
        <f t="shared" si="115"/>
        <v>BS</v>
      </c>
    </row>
    <row r="1813" spans="1:13" s="33" customFormat="true" ht="12.75" customHeight="true">
      <c r="A1813" s="33" t="str">
        <f t="shared" si="112"/>
        <v>SCL - Fixed Assets</v>
      </c>
      <c r="B1813" s="33" t="str">
        <f t="shared" si="113"/>
        <v>SCL</v>
      </c>
      <c r="C1813" s="33" t="str">
        <f t="shared" si="114"/>
        <v>16601-7371</v>
      </c>
      <c r="D1813" s="64" t="s">
        <v>2278</v>
      </c>
      <c r="E1813" s="64" t="s">
        <v>70</v>
      </c>
      <c r="F1813" s="64" t="s">
        <v>15</v>
      </c>
      <c r="G1813" s="64" t="s">
        <v>62</v>
      </c>
      <c r="H1813" s="64" t="s">
        <v>63</v>
      </c>
      <c r="I1813" s="64" t="s">
        <v>64</v>
      </c>
      <c r="J1813" s="67">
        <v>0</v>
      </c>
      <c r="K1813" s="62">
        <v>140336.11</v>
      </c>
      <c r="L1813" s="33" t="e">
        <f>HLOOKUP(B1813,#REF!,1,0)</f>
        <v>#REF!</v>
      </c>
      <c r="M1813" s="33" t="str">
        <f t="shared" si="115"/>
        <v>BS</v>
      </c>
    </row>
    <row r="1814" spans="1:13" s="33" customFormat="true" ht="12.75" customHeight="true">
      <c r="A1814" s="33" t="str">
        <f t="shared" si="112"/>
        <v>SCL - Fixed Assets</v>
      </c>
      <c r="B1814" s="33" t="str">
        <f t="shared" si="113"/>
        <v>SCL</v>
      </c>
      <c r="C1814" s="33" t="str">
        <f t="shared" si="114"/>
        <v>16601-7374</v>
      </c>
      <c r="D1814" s="64" t="s">
        <v>2279</v>
      </c>
      <c r="E1814" s="64" t="s">
        <v>70</v>
      </c>
      <c r="F1814" s="64" t="s">
        <v>15</v>
      </c>
      <c r="G1814" s="64" t="s">
        <v>62</v>
      </c>
      <c r="H1814" s="64" t="s">
        <v>63</v>
      </c>
      <c r="I1814" s="64" t="s">
        <v>64</v>
      </c>
      <c r="J1814" s="67">
        <v>0</v>
      </c>
      <c r="K1814" s="62">
        <v>96738.03</v>
      </c>
      <c r="L1814" s="33" t="e">
        <f>HLOOKUP(B1814,#REF!,1,0)</f>
        <v>#REF!</v>
      </c>
      <c r="M1814" s="33" t="str">
        <f t="shared" si="115"/>
        <v>BS</v>
      </c>
    </row>
    <row r="1815" spans="1:13" s="33" customFormat="true" ht="12.75" customHeight="true">
      <c r="A1815" s="33" t="str">
        <f t="shared" si="112"/>
        <v>SCL - Fixed Assets</v>
      </c>
      <c r="B1815" s="33" t="str">
        <f t="shared" si="113"/>
        <v>SCL</v>
      </c>
      <c r="C1815" s="33" t="str">
        <f t="shared" si="114"/>
        <v>16601-7375</v>
      </c>
      <c r="D1815" s="64" t="s">
        <v>2280</v>
      </c>
      <c r="E1815" s="64" t="s">
        <v>70</v>
      </c>
      <c r="F1815" s="64" t="s">
        <v>15</v>
      </c>
      <c r="G1815" s="64" t="s">
        <v>62</v>
      </c>
      <c r="H1815" s="64" t="s">
        <v>63</v>
      </c>
      <c r="I1815" s="64" t="s">
        <v>64</v>
      </c>
      <c r="J1815" s="67">
        <v>0</v>
      </c>
      <c r="K1815" s="62">
        <v>183087.18</v>
      </c>
      <c r="L1815" s="33" t="e">
        <f>HLOOKUP(B1815,#REF!,1,0)</f>
        <v>#REF!</v>
      </c>
      <c r="M1815" s="33" t="str">
        <f t="shared" si="115"/>
        <v>BS</v>
      </c>
    </row>
    <row r="1816" spans="1:13" s="33" customFormat="true" ht="12.75" customHeight="true">
      <c r="A1816" s="33" t="str">
        <f t="shared" si="112"/>
        <v>SCL - Fixed Assets</v>
      </c>
      <c r="B1816" s="33" t="str">
        <f t="shared" si="113"/>
        <v>SCL</v>
      </c>
      <c r="C1816" s="33" t="str">
        <f t="shared" si="114"/>
        <v>16601-7376</v>
      </c>
      <c r="D1816" s="64" t="s">
        <v>2281</v>
      </c>
      <c r="E1816" s="64" t="s">
        <v>70</v>
      </c>
      <c r="F1816" s="64" t="s">
        <v>15</v>
      </c>
      <c r="G1816" s="64" t="s">
        <v>62</v>
      </c>
      <c r="H1816" s="64" t="s">
        <v>63</v>
      </c>
      <c r="I1816" s="64" t="s">
        <v>64</v>
      </c>
      <c r="J1816" s="67">
        <v>0</v>
      </c>
      <c r="K1816" s="62">
        <v>644885.94</v>
      </c>
      <c r="L1816" s="33" t="e">
        <f>HLOOKUP(B1816,#REF!,1,0)</f>
        <v>#REF!</v>
      </c>
      <c r="M1816" s="33" t="str">
        <f t="shared" si="115"/>
        <v>BS</v>
      </c>
    </row>
    <row r="1817" spans="1:13" s="33" customFormat="true" ht="12.75" customHeight="true">
      <c r="A1817" s="33" t="str">
        <f t="shared" si="112"/>
        <v>SCL - Fixed Assets</v>
      </c>
      <c r="B1817" s="33" t="str">
        <f t="shared" si="113"/>
        <v>SCL</v>
      </c>
      <c r="C1817" s="33" t="str">
        <f t="shared" si="114"/>
        <v>16601-7377</v>
      </c>
      <c r="D1817" s="64" t="s">
        <v>2282</v>
      </c>
      <c r="E1817" s="64" t="s">
        <v>70</v>
      </c>
      <c r="F1817" s="64" t="s">
        <v>15</v>
      </c>
      <c r="G1817" s="64" t="s">
        <v>62</v>
      </c>
      <c r="H1817" s="64" t="s">
        <v>63</v>
      </c>
      <c r="I1817" s="64" t="s">
        <v>64</v>
      </c>
      <c r="J1817" s="67">
        <v>0</v>
      </c>
      <c r="K1817" s="62">
        <v>138959.72</v>
      </c>
      <c r="L1817" s="33" t="e">
        <f>HLOOKUP(B1817,#REF!,1,0)</f>
        <v>#REF!</v>
      </c>
      <c r="M1817" s="33" t="str">
        <f t="shared" si="115"/>
        <v>BS</v>
      </c>
    </row>
    <row r="1818" spans="1:13" s="33" customFormat="true" ht="12.75" customHeight="true">
      <c r="A1818" s="33" t="str">
        <f t="shared" si="112"/>
        <v>SCL - Fixed Assets</v>
      </c>
      <c r="B1818" s="33" t="str">
        <f t="shared" si="113"/>
        <v>SCL</v>
      </c>
      <c r="C1818" s="33" t="str">
        <f t="shared" si="114"/>
        <v>16601-7378</v>
      </c>
      <c r="D1818" s="64" t="s">
        <v>2283</v>
      </c>
      <c r="E1818" s="64" t="s">
        <v>70</v>
      </c>
      <c r="F1818" s="64" t="s">
        <v>15</v>
      </c>
      <c r="G1818" s="64" t="s">
        <v>62</v>
      </c>
      <c r="H1818" s="64" t="s">
        <v>63</v>
      </c>
      <c r="I1818" s="64" t="s">
        <v>64</v>
      </c>
      <c r="J1818" s="67">
        <v>0</v>
      </c>
      <c r="K1818" s="62">
        <v>159795.16</v>
      </c>
      <c r="L1818" s="33" t="e">
        <f>HLOOKUP(B1818,#REF!,1,0)</f>
        <v>#REF!</v>
      </c>
      <c r="M1818" s="33" t="str">
        <f t="shared" si="115"/>
        <v>BS</v>
      </c>
    </row>
    <row r="1819" spans="1:13" s="33" customFormat="true" ht="12.75" customHeight="true">
      <c r="A1819" s="33" t="str">
        <f t="shared" si="112"/>
        <v>SCL - Fixed Assets</v>
      </c>
      <c r="B1819" s="33" t="str">
        <f t="shared" si="113"/>
        <v>SCL</v>
      </c>
      <c r="C1819" s="33" t="str">
        <f t="shared" si="114"/>
        <v>16601-7379</v>
      </c>
      <c r="D1819" s="64" t="s">
        <v>2284</v>
      </c>
      <c r="E1819" s="64" t="s">
        <v>70</v>
      </c>
      <c r="F1819" s="64" t="s">
        <v>15</v>
      </c>
      <c r="G1819" s="64" t="s">
        <v>62</v>
      </c>
      <c r="H1819" s="64" t="s">
        <v>63</v>
      </c>
      <c r="I1819" s="64" t="s">
        <v>64</v>
      </c>
      <c r="J1819" s="67">
        <v>0</v>
      </c>
      <c r="K1819" s="62">
        <v>213049.32</v>
      </c>
      <c r="L1819" s="33" t="e">
        <f>HLOOKUP(B1819,#REF!,1,0)</f>
        <v>#REF!</v>
      </c>
      <c r="M1819" s="33" t="str">
        <f t="shared" si="115"/>
        <v>BS</v>
      </c>
    </row>
    <row r="1820" spans="1:13" s="33" customFormat="true" ht="12.75" customHeight="true">
      <c r="A1820" s="33" t="str">
        <f t="shared" si="112"/>
        <v>SCL - Fixed Assets</v>
      </c>
      <c r="B1820" s="33" t="str">
        <f t="shared" si="113"/>
        <v>SCL</v>
      </c>
      <c r="C1820" s="33" t="str">
        <f t="shared" si="114"/>
        <v>16601-7380</v>
      </c>
      <c r="D1820" s="64" t="s">
        <v>2285</v>
      </c>
      <c r="E1820" s="64" t="s">
        <v>70</v>
      </c>
      <c r="F1820" s="64" t="s">
        <v>15</v>
      </c>
      <c r="G1820" s="64" t="s">
        <v>62</v>
      </c>
      <c r="H1820" s="64" t="s">
        <v>63</v>
      </c>
      <c r="I1820" s="64" t="s">
        <v>64</v>
      </c>
      <c r="J1820" s="67">
        <v>0</v>
      </c>
      <c r="K1820" s="62">
        <v>149674.16</v>
      </c>
      <c r="L1820" s="33" t="e">
        <f>HLOOKUP(B1820,#REF!,1,0)</f>
        <v>#REF!</v>
      </c>
      <c r="M1820" s="33" t="str">
        <f t="shared" si="115"/>
        <v>BS</v>
      </c>
    </row>
    <row r="1821" spans="1:13" s="33" customFormat="true" ht="12.75" customHeight="true">
      <c r="A1821" s="33" t="str">
        <f t="shared" si="112"/>
        <v>SCL - Fixed Assets</v>
      </c>
      <c r="B1821" s="33" t="str">
        <f t="shared" si="113"/>
        <v>SCL</v>
      </c>
      <c r="C1821" s="33" t="str">
        <f t="shared" si="114"/>
        <v>16601-7381</v>
      </c>
      <c r="D1821" s="64" t="s">
        <v>2286</v>
      </c>
      <c r="E1821" s="64" t="s">
        <v>70</v>
      </c>
      <c r="F1821" s="64" t="s">
        <v>15</v>
      </c>
      <c r="G1821" s="64" t="s">
        <v>62</v>
      </c>
      <c r="H1821" s="64" t="s">
        <v>63</v>
      </c>
      <c r="I1821" s="64" t="s">
        <v>64</v>
      </c>
      <c r="J1821" s="67">
        <v>0</v>
      </c>
      <c r="K1821" s="62">
        <v>128334.24</v>
      </c>
      <c r="L1821" s="33" t="e">
        <f>HLOOKUP(B1821,#REF!,1,0)</f>
        <v>#REF!</v>
      </c>
      <c r="M1821" s="33" t="str">
        <f t="shared" si="115"/>
        <v>BS</v>
      </c>
    </row>
    <row r="1822" spans="1:13" s="33" customFormat="true" ht="12.75" customHeight="true">
      <c r="A1822" s="33" t="str">
        <f t="shared" si="112"/>
        <v>SCL - Fixed Assets</v>
      </c>
      <c r="B1822" s="33" t="str">
        <f t="shared" si="113"/>
        <v>SCL</v>
      </c>
      <c r="C1822" s="33" t="str">
        <f t="shared" si="114"/>
        <v>16601-7383</v>
      </c>
      <c r="D1822" s="64" t="s">
        <v>2287</v>
      </c>
      <c r="E1822" s="64" t="s">
        <v>70</v>
      </c>
      <c r="F1822" s="64" t="s">
        <v>15</v>
      </c>
      <c r="G1822" s="64" t="s">
        <v>62</v>
      </c>
      <c r="H1822" s="64" t="s">
        <v>63</v>
      </c>
      <c r="I1822" s="64" t="s">
        <v>64</v>
      </c>
      <c r="J1822" s="67">
        <v>0</v>
      </c>
      <c r="K1822" s="62">
        <v>242776.98</v>
      </c>
      <c r="L1822" s="33" t="e">
        <f>HLOOKUP(B1822,#REF!,1,0)</f>
        <v>#REF!</v>
      </c>
      <c r="M1822" s="33" t="str">
        <f t="shared" si="115"/>
        <v>BS</v>
      </c>
    </row>
    <row r="1823" spans="1:13" s="33" customFormat="true" ht="12.75" customHeight="true">
      <c r="A1823" s="33" t="str">
        <f t="shared" si="112"/>
        <v>SCL - Fixed Assets</v>
      </c>
      <c r="B1823" s="33" t="str">
        <f t="shared" si="113"/>
        <v>SCL</v>
      </c>
      <c r="C1823" s="33" t="str">
        <f t="shared" si="114"/>
        <v>16601-7385</v>
      </c>
      <c r="D1823" s="64" t="s">
        <v>2288</v>
      </c>
      <c r="E1823" s="64" t="s">
        <v>70</v>
      </c>
      <c r="F1823" s="64" t="s">
        <v>15</v>
      </c>
      <c r="G1823" s="64" t="s">
        <v>62</v>
      </c>
      <c r="H1823" s="64" t="s">
        <v>63</v>
      </c>
      <c r="I1823" s="64" t="s">
        <v>64</v>
      </c>
      <c r="J1823" s="67">
        <v>0</v>
      </c>
      <c r="K1823" s="62">
        <v>121603.96</v>
      </c>
      <c r="L1823" s="33" t="e">
        <f>HLOOKUP(B1823,#REF!,1,0)</f>
        <v>#REF!</v>
      </c>
      <c r="M1823" s="33" t="str">
        <f t="shared" si="115"/>
        <v>BS</v>
      </c>
    </row>
    <row r="1824" spans="1:13" s="33" customFormat="true" ht="12.75" customHeight="true">
      <c r="A1824" s="33" t="str">
        <f t="shared" si="112"/>
        <v>SCL - Fixed Assets</v>
      </c>
      <c r="B1824" s="33" t="str">
        <f t="shared" si="113"/>
        <v>SCL</v>
      </c>
      <c r="C1824" s="33" t="str">
        <f t="shared" si="114"/>
        <v>16601-7386</v>
      </c>
      <c r="D1824" s="64" t="s">
        <v>2289</v>
      </c>
      <c r="E1824" s="64" t="s">
        <v>70</v>
      </c>
      <c r="F1824" s="64" t="s">
        <v>15</v>
      </c>
      <c r="G1824" s="64" t="s">
        <v>62</v>
      </c>
      <c r="H1824" s="64" t="s">
        <v>63</v>
      </c>
      <c r="I1824" s="64" t="s">
        <v>64</v>
      </c>
      <c r="J1824" s="67">
        <v>0</v>
      </c>
      <c r="K1824" s="62">
        <v>140886.3</v>
      </c>
      <c r="L1824" s="33" t="e">
        <f>HLOOKUP(B1824,#REF!,1,0)</f>
        <v>#REF!</v>
      </c>
      <c r="M1824" s="33" t="str">
        <f t="shared" si="115"/>
        <v>BS</v>
      </c>
    </row>
    <row r="1825" spans="1:13" s="33" customFormat="true" ht="12.75" customHeight="true">
      <c r="A1825" s="33" t="str">
        <f t="shared" si="112"/>
        <v>SCL - Fixed Assets</v>
      </c>
      <c r="B1825" s="33" t="str">
        <f t="shared" si="113"/>
        <v>SCL</v>
      </c>
      <c r="C1825" s="33" t="str">
        <f t="shared" si="114"/>
        <v>16601-7387</v>
      </c>
      <c r="D1825" s="64" t="s">
        <v>2290</v>
      </c>
      <c r="E1825" s="64" t="s">
        <v>70</v>
      </c>
      <c r="F1825" s="64" t="s">
        <v>15</v>
      </c>
      <c r="G1825" s="64" t="s">
        <v>62</v>
      </c>
      <c r="H1825" s="64" t="s">
        <v>63</v>
      </c>
      <c r="I1825" s="64" t="s">
        <v>64</v>
      </c>
      <c r="J1825" s="67">
        <v>0</v>
      </c>
      <c r="K1825" s="62">
        <v>92678.48</v>
      </c>
      <c r="L1825" s="33" t="e">
        <f>HLOOKUP(B1825,#REF!,1,0)</f>
        <v>#REF!</v>
      </c>
      <c r="M1825" s="33" t="str">
        <f t="shared" si="115"/>
        <v>BS</v>
      </c>
    </row>
    <row r="1826" spans="1:13" s="33" customFormat="true" ht="12.75" customHeight="true">
      <c r="A1826" s="33" t="str">
        <f t="shared" si="112"/>
        <v>SCL - Fixed Assets</v>
      </c>
      <c r="B1826" s="33" t="str">
        <f t="shared" si="113"/>
        <v>SCL</v>
      </c>
      <c r="C1826" s="33" t="str">
        <f t="shared" si="114"/>
        <v>16601-7389</v>
      </c>
      <c r="D1826" s="64" t="s">
        <v>2291</v>
      </c>
      <c r="E1826" s="64" t="s">
        <v>70</v>
      </c>
      <c r="F1826" s="64" t="s">
        <v>15</v>
      </c>
      <c r="G1826" s="64" t="s">
        <v>62</v>
      </c>
      <c r="H1826" s="64" t="s">
        <v>63</v>
      </c>
      <c r="I1826" s="64" t="s">
        <v>64</v>
      </c>
      <c r="J1826" s="67">
        <v>0</v>
      </c>
      <c r="K1826" s="62">
        <v>136550.55</v>
      </c>
      <c r="L1826" s="33" t="e">
        <f>HLOOKUP(B1826,#REF!,1,0)</f>
        <v>#REF!</v>
      </c>
      <c r="M1826" s="33" t="str">
        <f t="shared" si="115"/>
        <v>BS</v>
      </c>
    </row>
    <row r="1827" spans="1:13" s="33" customFormat="true" ht="12.75" customHeight="true">
      <c r="A1827" s="33" t="str">
        <f t="shared" si="112"/>
        <v>SCL - Fixed Assets</v>
      </c>
      <c r="B1827" s="33" t="str">
        <f t="shared" si="113"/>
        <v>SCL</v>
      </c>
      <c r="C1827" s="33" t="str">
        <f t="shared" si="114"/>
        <v>16601-7391</v>
      </c>
      <c r="D1827" s="64" t="s">
        <v>2292</v>
      </c>
      <c r="E1827" s="64" t="s">
        <v>70</v>
      </c>
      <c r="F1827" s="64" t="s">
        <v>15</v>
      </c>
      <c r="G1827" s="64" t="s">
        <v>62</v>
      </c>
      <c r="H1827" s="64" t="s">
        <v>63</v>
      </c>
      <c r="I1827" s="64" t="s">
        <v>64</v>
      </c>
      <c r="J1827" s="67">
        <v>0</v>
      </c>
      <c r="K1827" s="62">
        <v>95080.76</v>
      </c>
      <c r="L1827" s="33" t="e">
        <f>HLOOKUP(B1827,#REF!,1,0)</f>
        <v>#REF!</v>
      </c>
      <c r="M1827" s="33" t="str">
        <f t="shared" si="115"/>
        <v>BS</v>
      </c>
    </row>
    <row r="1828" spans="1:13" s="33" customFormat="true" ht="12.75" customHeight="true">
      <c r="A1828" s="33" t="str">
        <f t="shared" si="112"/>
        <v>SCL - Fixed Assets</v>
      </c>
      <c r="B1828" s="33" t="str">
        <f t="shared" si="113"/>
        <v>SCL</v>
      </c>
      <c r="C1828" s="33" t="str">
        <f t="shared" si="114"/>
        <v>16601-7393</v>
      </c>
      <c r="D1828" s="64" t="s">
        <v>2293</v>
      </c>
      <c r="E1828" s="64" t="s">
        <v>70</v>
      </c>
      <c r="F1828" s="64" t="s">
        <v>15</v>
      </c>
      <c r="G1828" s="64" t="s">
        <v>62</v>
      </c>
      <c r="H1828" s="64" t="s">
        <v>63</v>
      </c>
      <c r="I1828" s="64" t="s">
        <v>64</v>
      </c>
      <c r="J1828" s="67">
        <v>0</v>
      </c>
      <c r="K1828" s="62">
        <v>132582.64</v>
      </c>
      <c r="L1828" s="33" t="e">
        <f>HLOOKUP(B1828,#REF!,1,0)</f>
        <v>#REF!</v>
      </c>
      <c r="M1828" s="33" t="str">
        <f t="shared" si="115"/>
        <v>BS</v>
      </c>
    </row>
    <row r="1829" spans="1:13" s="33" customFormat="true" ht="12.75" customHeight="true">
      <c r="A1829" s="33" t="str">
        <f t="shared" si="112"/>
        <v>SCL - Fixed Assets</v>
      </c>
      <c r="B1829" s="33" t="str">
        <f t="shared" si="113"/>
        <v>SCL</v>
      </c>
      <c r="C1829" s="33" t="str">
        <f t="shared" si="114"/>
        <v>16601-7394</v>
      </c>
      <c r="D1829" s="64" t="s">
        <v>2294</v>
      </c>
      <c r="E1829" s="64" t="s">
        <v>70</v>
      </c>
      <c r="F1829" s="64" t="s">
        <v>15</v>
      </c>
      <c r="G1829" s="64" t="s">
        <v>62</v>
      </c>
      <c r="H1829" s="64" t="s">
        <v>63</v>
      </c>
      <c r="I1829" s="64" t="s">
        <v>64</v>
      </c>
      <c r="J1829" s="67">
        <v>0</v>
      </c>
      <c r="K1829" s="62">
        <v>90760.14</v>
      </c>
      <c r="L1829" s="33" t="e">
        <f>HLOOKUP(B1829,#REF!,1,0)</f>
        <v>#REF!</v>
      </c>
      <c r="M1829" s="33" t="str">
        <f t="shared" si="115"/>
        <v>BS</v>
      </c>
    </row>
    <row r="1830" spans="1:13" s="33" customFormat="true" ht="12.75" customHeight="true">
      <c r="A1830" s="33" t="str">
        <f t="shared" si="112"/>
        <v>SCL - Fixed Assets</v>
      </c>
      <c r="B1830" s="33" t="str">
        <f t="shared" si="113"/>
        <v>SCL</v>
      </c>
      <c r="C1830" s="33" t="str">
        <f t="shared" si="114"/>
        <v>16601-7396</v>
      </c>
      <c r="D1830" s="64" t="s">
        <v>2295</v>
      </c>
      <c r="E1830" s="64" t="s">
        <v>70</v>
      </c>
      <c r="F1830" s="64" t="s">
        <v>15</v>
      </c>
      <c r="G1830" s="64" t="s">
        <v>62</v>
      </c>
      <c r="H1830" s="64" t="s">
        <v>63</v>
      </c>
      <c r="I1830" s="64" t="s">
        <v>64</v>
      </c>
      <c r="J1830" s="67">
        <v>0</v>
      </c>
      <c r="K1830" s="62">
        <v>180042.53</v>
      </c>
      <c r="L1830" s="33" t="e">
        <f>HLOOKUP(B1830,#REF!,1,0)</f>
        <v>#REF!</v>
      </c>
      <c r="M1830" s="33" t="str">
        <f t="shared" si="115"/>
        <v>BS</v>
      </c>
    </row>
    <row r="1831" spans="1:13" s="33" customFormat="true" ht="12.75" customHeight="true">
      <c r="A1831" s="33" t="str">
        <f t="shared" si="112"/>
        <v>SCL - Fixed Assets</v>
      </c>
      <c r="B1831" s="33" t="str">
        <f t="shared" si="113"/>
        <v>SCL</v>
      </c>
      <c r="C1831" s="33" t="str">
        <f t="shared" si="114"/>
        <v>16601-7397</v>
      </c>
      <c r="D1831" s="64" t="s">
        <v>2296</v>
      </c>
      <c r="E1831" s="64" t="s">
        <v>70</v>
      </c>
      <c r="F1831" s="64" t="s">
        <v>15</v>
      </c>
      <c r="G1831" s="64" t="s">
        <v>62</v>
      </c>
      <c r="H1831" s="64" t="s">
        <v>63</v>
      </c>
      <c r="I1831" s="64" t="s">
        <v>64</v>
      </c>
      <c r="J1831" s="67">
        <v>0</v>
      </c>
      <c r="K1831" s="62">
        <v>160656.23</v>
      </c>
      <c r="L1831" s="33" t="e">
        <f>HLOOKUP(B1831,#REF!,1,0)</f>
        <v>#REF!</v>
      </c>
      <c r="M1831" s="33" t="str">
        <f t="shared" si="115"/>
        <v>BS</v>
      </c>
    </row>
    <row r="1832" spans="1:13" s="33" customFormat="true" ht="12.75" customHeight="true">
      <c r="A1832" s="33" t="str">
        <f t="shared" si="112"/>
        <v>SCL - Fixed Assets</v>
      </c>
      <c r="B1832" s="33" t="str">
        <f t="shared" si="113"/>
        <v>SCL</v>
      </c>
      <c r="C1832" s="33" t="str">
        <f t="shared" si="114"/>
        <v>16601-7398</v>
      </c>
      <c r="D1832" s="64" t="s">
        <v>2297</v>
      </c>
      <c r="E1832" s="64" t="s">
        <v>70</v>
      </c>
      <c r="F1832" s="64" t="s">
        <v>15</v>
      </c>
      <c r="G1832" s="64" t="s">
        <v>62</v>
      </c>
      <c r="H1832" s="64" t="s">
        <v>63</v>
      </c>
      <c r="I1832" s="64" t="s">
        <v>64</v>
      </c>
      <c r="J1832" s="67">
        <v>0</v>
      </c>
      <c r="K1832" s="62">
        <v>118012.78</v>
      </c>
      <c r="L1832" s="33" t="e">
        <f>HLOOKUP(B1832,#REF!,1,0)</f>
        <v>#REF!</v>
      </c>
      <c r="M1832" s="33" t="str">
        <f t="shared" si="115"/>
        <v>BS</v>
      </c>
    </row>
    <row r="1833" spans="1:13" s="33" customFormat="true" ht="12.75" customHeight="true">
      <c r="A1833" s="33" t="str">
        <f t="shared" si="112"/>
        <v>SCL - Fixed Assets</v>
      </c>
      <c r="B1833" s="33" t="str">
        <f t="shared" si="113"/>
        <v>SCL</v>
      </c>
      <c r="C1833" s="33" t="str">
        <f t="shared" si="114"/>
        <v>16601-7400</v>
      </c>
      <c r="D1833" s="64" t="s">
        <v>2298</v>
      </c>
      <c r="E1833" s="64" t="s">
        <v>70</v>
      </c>
      <c r="F1833" s="64" t="s">
        <v>15</v>
      </c>
      <c r="G1833" s="64" t="s">
        <v>62</v>
      </c>
      <c r="H1833" s="64" t="s">
        <v>63</v>
      </c>
      <c r="I1833" s="64" t="s">
        <v>64</v>
      </c>
      <c r="J1833" s="67">
        <v>0</v>
      </c>
      <c r="K1833" s="62">
        <v>1734.42</v>
      </c>
      <c r="L1833" s="33" t="e">
        <f>HLOOKUP(B1833,#REF!,1,0)</f>
        <v>#REF!</v>
      </c>
      <c r="M1833" s="33" t="str">
        <f t="shared" si="115"/>
        <v>BS</v>
      </c>
    </row>
    <row r="1834" spans="1:13" s="33" customFormat="true" ht="12.75" customHeight="true">
      <c r="A1834" s="33" t="str">
        <f t="shared" si="112"/>
        <v>SCL - Fixed Assets</v>
      </c>
      <c r="B1834" s="33" t="str">
        <f t="shared" si="113"/>
        <v>SCL</v>
      </c>
      <c r="C1834" s="33" t="str">
        <f t="shared" si="114"/>
        <v>16601-7401</v>
      </c>
      <c r="D1834" s="64" t="s">
        <v>2299</v>
      </c>
      <c r="E1834" s="64" t="s">
        <v>70</v>
      </c>
      <c r="F1834" s="64" t="s">
        <v>15</v>
      </c>
      <c r="G1834" s="64" t="s">
        <v>62</v>
      </c>
      <c r="H1834" s="64" t="s">
        <v>63</v>
      </c>
      <c r="I1834" s="64" t="s">
        <v>64</v>
      </c>
      <c r="J1834" s="67">
        <v>0</v>
      </c>
      <c r="K1834" s="62">
        <v>99717.82</v>
      </c>
      <c r="L1834" s="33" t="e">
        <f>HLOOKUP(B1834,#REF!,1,0)</f>
        <v>#REF!</v>
      </c>
      <c r="M1834" s="33" t="str">
        <f t="shared" si="115"/>
        <v>BS</v>
      </c>
    </row>
    <row r="1835" spans="1:13" s="33" customFormat="true" ht="12.75" customHeight="true">
      <c r="A1835" s="33" t="str">
        <f t="shared" si="112"/>
        <v>SCL - Fixed Assets</v>
      </c>
      <c r="B1835" s="33" t="str">
        <f t="shared" si="113"/>
        <v>SCL</v>
      </c>
      <c r="C1835" s="33" t="str">
        <f t="shared" si="114"/>
        <v>16601-7402</v>
      </c>
      <c r="D1835" s="64" t="s">
        <v>2300</v>
      </c>
      <c r="E1835" s="64" t="s">
        <v>70</v>
      </c>
      <c r="F1835" s="64" t="s">
        <v>15</v>
      </c>
      <c r="G1835" s="64" t="s">
        <v>62</v>
      </c>
      <c r="H1835" s="64" t="s">
        <v>63</v>
      </c>
      <c r="I1835" s="64" t="s">
        <v>64</v>
      </c>
      <c r="J1835" s="67">
        <v>0</v>
      </c>
      <c r="K1835" s="62">
        <v>149964.87</v>
      </c>
      <c r="L1835" s="33" t="e">
        <f>HLOOKUP(B1835,#REF!,1,0)</f>
        <v>#REF!</v>
      </c>
      <c r="M1835" s="33" t="str">
        <f t="shared" si="115"/>
        <v>BS</v>
      </c>
    </row>
    <row r="1836" spans="1:13" s="33" customFormat="true" ht="12.75" customHeight="true">
      <c r="A1836" s="33" t="str">
        <f t="shared" si="112"/>
        <v>SCL - Fixed Assets</v>
      </c>
      <c r="B1836" s="33" t="str">
        <f t="shared" si="113"/>
        <v>SCL</v>
      </c>
      <c r="C1836" s="33" t="str">
        <f t="shared" si="114"/>
        <v>16601-7403</v>
      </c>
      <c r="D1836" s="64" t="s">
        <v>2301</v>
      </c>
      <c r="E1836" s="64" t="s">
        <v>70</v>
      </c>
      <c r="F1836" s="64" t="s">
        <v>15</v>
      </c>
      <c r="G1836" s="64" t="s">
        <v>62</v>
      </c>
      <c r="H1836" s="64" t="s">
        <v>63</v>
      </c>
      <c r="I1836" s="64" t="s">
        <v>64</v>
      </c>
      <c r="J1836" s="67">
        <v>0</v>
      </c>
      <c r="K1836" s="62">
        <v>154434.42</v>
      </c>
      <c r="L1836" s="33" t="e">
        <f>HLOOKUP(B1836,#REF!,1,0)</f>
        <v>#REF!</v>
      </c>
      <c r="M1836" s="33" t="str">
        <f t="shared" si="115"/>
        <v>BS</v>
      </c>
    </row>
    <row r="1837" spans="1:13" s="33" customFormat="true" ht="12.75" customHeight="true">
      <c r="A1837" s="33" t="str">
        <f t="shared" si="112"/>
        <v>SCL - Fixed Assets</v>
      </c>
      <c r="B1837" s="33" t="str">
        <f t="shared" si="113"/>
        <v>SCL</v>
      </c>
      <c r="C1837" s="33" t="str">
        <f t="shared" si="114"/>
        <v>16601-7404</v>
      </c>
      <c r="D1837" s="64" t="s">
        <v>2302</v>
      </c>
      <c r="E1837" s="64" t="s">
        <v>70</v>
      </c>
      <c r="F1837" s="64" t="s">
        <v>15</v>
      </c>
      <c r="G1837" s="64" t="s">
        <v>62</v>
      </c>
      <c r="H1837" s="64" t="s">
        <v>63</v>
      </c>
      <c r="I1837" s="64" t="s">
        <v>64</v>
      </c>
      <c r="J1837" s="67">
        <v>0</v>
      </c>
      <c r="K1837" s="62">
        <v>0.36</v>
      </c>
      <c r="L1837" s="33" t="e">
        <f>HLOOKUP(B1837,#REF!,1,0)</f>
        <v>#REF!</v>
      </c>
      <c r="M1837" s="33" t="str">
        <f t="shared" si="115"/>
        <v>BS</v>
      </c>
    </row>
    <row r="1838" spans="1:13" s="33" customFormat="true" ht="12.75" customHeight="true">
      <c r="A1838" s="33" t="str">
        <f t="shared" si="112"/>
        <v>SCL - Fixed Assets</v>
      </c>
      <c r="B1838" s="33" t="str">
        <f t="shared" si="113"/>
        <v>SCL</v>
      </c>
      <c r="C1838" s="33" t="str">
        <f t="shared" si="114"/>
        <v>16601-7405</v>
      </c>
      <c r="D1838" s="64" t="s">
        <v>2303</v>
      </c>
      <c r="E1838" s="64" t="s">
        <v>70</v>
      </c>
      <c r="F1838" s="64" t="s">
        <v>15</v>
      </c>
      <c r="G1838" s="64" t="s">
        <v>62</v>
      </c>
      <c r="H1838" s="64" t="s">
        <v>63</v>
      </c>
      <c r="I1838" s="64" t="s">
        <v>64</v>
      </c>
      <c r="J1838" s="67">
        <v>0</v>
      </c>
      <c r="K1838" s="62">
        <v>0.01</v>
      </c>
      <c r="L1838" s="33" t="e">
        <f>HLOOKUP(B1838,#REF!,1,0)</f>
        <v>#REF!</v>
      </c>
      <c r="M1838" s="33" t="str">
        <f t="shared" si="115"/>
        <v>BS</v>
      </c>
    </row>
    <row r="1839" spans="1:13" s="33" customFormat="true" ht="12.75" customHeight="true">
      <c r="A1839" s="33" t="str">
        <f t="shared" si="112"/>
        <v>SCL - Fixed Assets</v>
      </c>
      <c r="B1839" s="33" t="str">
        <f t="shared" si="113"/>
        <v>SCL</v>
      </c>
      <c r="C1839" s="33" t="str">
        <f t="shared" si="114"/>
        <v>16601-7406</v>
      </c>
      <c r="D1839" s="64" t="s">
        <v>2304</v>
      </c>
      <c r="E1839" s="64" t="s">
        <v>70</v>
      </c>
      <c r="F1839" s="64" t="s">
        <v>15</v>
      </c>
      <c r="G1839" s="64" t="s">
        <v>62</v>
      </c>
      <c r="H1839" s="64" t="s">
        <v>63</v>
      </c>
      <c r="I1839" s="64" t="s">
        <v>64</v>
      </c>
      <c r="J1839" s="67">
        <v>0</v>
      </c>
      <c r="K1839" s="62">
        <v>0.29</v>
      </c>
      <c r="L1839" s="33" t="e">
        <f>HLOOKUP(B1839,#REF!,1,0)</f>
        <v>#REF!</v>
      </c>
      <c r="M1839" s="33" t="str">
        <f t="shared" si="115"/>
        <v>BS</v>
      </c>
    </row>
    <row r="1840" spans="1:13" s="33" customFormat="true" ht="12.75" customHeight="true">
      <c r="A1840" s="33" t="str">
        <f t="shared" si="112"/>
        <v>SCL - Fixed Assets</v>
      </c>
      <c r="B1840" s="33" t="str">
        <f t="shared" si="113"/>
        <v>SCL</v>
      </c>
      <c r="C1840" s="33" t="str">
        <f t="shared" si="114"/>
        <v>16601-7489</v>
      </c>
      <c r="D1840" s="64" t="s">
        <v>2305</v>
      </c>
      <c r="E1840" s="64" t="s">
        <v>70</v>
      </c>
      <c r="F1840" s="64" t="s">
        <v>15</v>
      </c>
      <c r="G1840" s="64" t="s">
        <v>62</v>
      </c>
      <c r="H1840" s="64" t="s">
        <v>63</v>
      </c>
      <c r="I1840" s="64" t="s">
        <v>64</v>
      </c>
      <c r="J1840" s="67">
        <v>0</v>
      </c>
      <c r="K1840" s="62">
        <v>88372.19</v>
      </c>
      <c r="L1840" s="33" t="e">
        <f>HLOOKUP(B1840,#REF!,1,0)</f>
        <v>#REF!</v>
      </c>
      <c r="M1840" s="33" t="str">
        <f t="shared" si="115"/>
        <v>BS</v>
      </c>
    </row>
    <row r="1841" spans="1:13" s="33" customFormat="true" ht="12.75" customHeight="true">
      <c r="A1841" s="33" t="str">
        <f t="shared" si="112"/>
        <v>SCL - Fixed Assets</v>
      </c>
      <c r="B1841" s="33" t="str">
        <f t="shared" si="113"/>
        <v>SCL</v>
      </c>
      <c r="C1841" s="33" t="str">
        <f t="shared" si="114"/>
        <v>16601-7490</v>
      </c>
      <c r="D1841" s="64" t="s">
        <v>2306</v>
      </c>
      <c r="E1841" s="64" t="s">
        <v>70</v>
      </c>
      <c r="F1841" s="64" t="s">
        <v>15</v>
      </c>
      <c r="G1841" s="64" t="s">
        <v>62</v>
      </c>
      <c r="H1841" s="64" t="s">
        <v>63</v>
      </c>
      <c r="I1841" s="64" t="s">
        <v>64</v>
      </c>
      <c r="J1841" s="67">
        <v>0</v>
      </c>
      <c r="K1841" s="62">
        <v>-0.46</v>
      </c>
      <c r="L1841" s="33" t="e">
        <f>HLOOKUP(B1841,#REF!,1,0)</f>
        <v>#REF!</v>
      </c>
      <c r="M1841" s="33" t="str">
        <f t="shared" si="115"/>
        <v>BS</v>
      </c>
    </row>
    <row r="1842" spans="1:13" s="33" customFormat="true" ht="12.75" customHeight="true">
      <c r="A1842" s="33" t="str">
        <f t="shared" si="112"/>
        <v>SCL - Fixed Assets</v>
      </c>
      <c r="B1842" s="33" t="str">
        <f t="shared" si="113"/>
        <v>SCL</v>
      </c>
      <c r="C1842" s="33" t="str">
        <f t="shared" si="114"/>
        <v>16601-7491</v>
      </c>
      <c r="D1842" s="64" t="s">
        <v>2307</v>
      </c>
      <c r="E1842" s="64" t="s">
        <v>70</v>
      </c>
      <c r="F1842" s="64" t="s">
        <v>15</v>
      </c>
      <c r="G1842" s="64" t="s">
        <v>62</v>
      </c>
      <c r="H1842" s="64" t="s">
        <v>63</v>
      </c>
      <c r="I1842" s="64" t="s">
        <v>64</v>
      </c>
      <c r="J1842" s="67">
        <v>0</v>
      </c>
      <c r="K1842" s="62">
        <v>154708.81</v>
      </c>
      <c r="L1842" s="33" t="e">
        <f>HLOOKUP(B1842,#REF!,1,0)</f>
        <v>#REF!</v>
      </c>
      <c r="M1842" s="33" t="str">
        <f t="shared" si="115"/>
        <v>BS</v>
      </c>
    </row>
    <row r="1843" spans="1:13" s="33" customFormat="true" ht="12.75" customHeight="true">
      <c r="A1843" s="33" t="str">
        <f t="shared" si="112"/>
        <v>SCL - Fixed Assets</v>
      </c>
      <c r="B1843" s="33" t="str">
        <f t="shared" si="113"/>
        <v>SCL</v>
      </c>
      <c r="C1843" s="33" t="str">
        <f t="shared" si="114"/>
        <v>16601-7492</v>
      </c>
      <c r="D1843" s="64" t="s">
        <v>2308</v>
      </c>
      <c r="E1843" s="64" t="s">
        <v>70</v>
      </c>
      <c r="F1843" s="64" t="s">
        <v>15</v>
      </c>
      <c r="G1843" s="64" t="s">
        <v>62</v>
      </c>
      <c r="H1843" s="64" t="s">
        <v>63</v>
      </c>
      <c r="I1843" s="64" t="s">
        <v>64</v>
      </c>
      <c r="J1843" s="67">
        <v>0</v>
      </c>
      <c r="K1843" s="62">
        <v>115472.18</v>
      </c>
      <c r="L1843" s="33" t="e">
        <f>HLOOKUP(B1843,#REF!,1,0)</f>
        <v>#REF!</v>
      </c>
      <c r="M1843" s="33" t="str">
        <f t="shared" si="115"/>
        <v>BS</v>
      </c>
    </row>
    <row r="1844" spans="1:13" s="33" customFormat="true" ht="12.75" customHeight="true">
      <c r="A1844" s="33" t="str">
        <f t="shared" si="112"/>
        <v>SCL - Fixed Assets</v>
      </c>
      <c r="B1844" s="33" t="str">
        <f t="shared" si="113"/>
        <v>SCL</v>
      </c>
      <c r="C1844" s="33" t="str">
        <f t="shared" si="114"/>
        <v>16601-7493</v>
      </c>
      <c r="D1844" s="64" t="s">
        <v>2309</v>
      </c>
      <c r="E1844" s="64" t="s">
        <v>70</v>
      </c>
      <c r="F1844" s="64" t="s">
        <v>15</v>
      </c>
      <c r="G1844" s="64" t="s">
        <v>62</v>
      </c>
      <c r="H1844" s="64" t="s">
        <v>63</v>
      </c>
      <c r="I1844" s="64" t="s">
        <v>64</v>
      </c>
      <c r="J1844" s="67">
        <v>0</v>
      </c>
      <c r="K1844" s="62">
        <v>10765</v>
      </c>
      <c r="L1844" s="33" t="e">
        <f>HLOOKUP(B1844,#REF!,1,0)</f>
        <v>#REF!</v>
      </c>
      <c r="M1844" s="33" t="str">
        <f t="shared" si="115"/>
        <v>BS</v>
      </c>
    </row>
    <row r="1845" spans="1:13" s="33" customFormat="true" ht="12.75" customHeight="true">
      <c r="A1845" s="33" t="str">
        <f t="shared" si="112"/>
        <v>SCL - Fixed Assets</v>
      </c>
      <c r="B1845" s="33" t="str">
        <f t="shared" si="113"/>
        <v>SCL</v>
      </c>
      <c r="C1845" s="33" t="str">
        <f t="shared" si="114"/>
        <v>16601-7494</v>
      </c>
      <c r="D1845" s="64" t="s">
        <v>2310</v>
      </c>
      <c r="E1845" s="64" t="s">
        <v>70</v>
      </c>
      <c r="F1845" s="64" t="s">
        <v>15</v>
      </c>
      <c r="G1845" s="64" t="s">
        <v>62</v>
      </c>
      <c r="H1845" s="64" t="s">
        <v>63</v>
      </c>
      <c r="I1845" s="64" t="s">
        <v>64</v>
      </c>
      <c r="J1845" s="67">
        <v>0</v>
      </c>
      <c r="K1845" s="62">
        <v>45042.06</v>
      </c>
      <c r="L1845" s="33" t="e">
        <f>HLOOKUP(B1845,#REF!,1,0)</f>
        <v>#REF!</v>
      </c>
      <c r="M1845" s="33" t="str">
        <f t="shared" si="115"/>
        <v>BS</v>
      </c>
    </row>
    <row r="1846" spans="1:13" s="33" customFormat="true" ht="12.75" customHeight="true">
      <c r="A1846" s="33" t="str">
        <f t="shared" si="112"/>
        <v>SCL - Fixed Assets</v>
      </c>
      <c r="B1846" s="33" t="str">
        <f t="shared" si="113"/>
        <v>SCL</v>
      </c>
      <c r="C1846" s="33" t="str">
        <f t="shared" si="114"/>
        <v>16601-7625</v>
      </c>
      <c r="D1846" s="64" t="s">
        <v>2311</v>
      </c>
      <c r="E1846" s="64" t="s">
        <v>70</v>
      </c>
      <c r="F1846" s="64" t="s">
        <v>15</v>
      </c>
      <c r="G1846" s="64" t="s">
        <v>62</v>
      </c>
      <c r="H1846" s="64" t="s">
        <v>63</v>
      </c>
      <c r="I1846" s="64" t="s">
        <v>64</v>
      </c>
      <c r="J1846" s="67">
        <v>0</v>
      </c>
      <c r="K1846" s="62">
        <v>11387.86</v>
      </c>
      <c r="L1846" s="33" t="e">
        <f>HLOOKUP(B1846,#REF!,1,0)</f>
        <v>#REF!</v>
      </c>
      <c r="M1846" s="33" t="str">
        <f t="shared" si="115"/>
        <v>BS</v>
      </c>
    </row>
    <row r="1847" spans="1:13" s="33" customFormat="true" ht="12.75" customHeight="true">
      <c r="A1847" s="33" t="str">
        <f t="shared" si="112"/>
        <v>SCL - Fixed Assets</v>
      </c>
      <c r="B1847" s="33" t="str">
        <f t="shared" si="113"/>
        <v>SCL</v>
      </c>
      <c r="C1847" s="33" t="str">
        <f t="shared" si="114"/>
        <v>16601-8150</v>
      </c>
      <c r="D1847" s="64" t="s">
        <v>2312</v>
      </c>
      <c r="E1847" s="64" t="s">
        <v>70</v>
      </c>
      <c r="F1847" s="64" t="s">
        <v>15</v>
      </c>
      <c r="G1847" s="64" t="s">
        <v>62</v>
      </c>
      <c r="H1847" s="64" t="s">
        <v>63</v>
      </c>
      <c r="I1847" s="64" t="s">
        <v>64</v>
      </c>
      <c r="J1847" s="67">
        <v>0</v>
      </c>
      <c r="K1847" s="62">
        <v>4626.86</v>
      </c>
      <c r="L1847" s="33" t="e">
        <f>HLOOKUP(B1847,#REF!,1,0)</f>
        <v>#REF!</v>
      </c>
      <c r="M1847" s="33" t="str">
        <f t="shared" si="115"/>
        <v>BS</v>
      </c>
    </row>
    <row r="1848" spans="1:13" s="33" customFormat="true" ht="12.75" customHeight="true">
      <c r="A1848" s="33" t="str">
        <f t="shared" si="112"/>
        <v>SCL - Fixed Assets</v>
      </c>
      <c r="B1848" s="33" t="str">
        <f t="shared" si="113"/>
        <v>SCL</v>
      </c>
      <c r="C1848" s="33" t="str">
        <f t="shared" si="114"/>
        <v>16901-0000</v>
      </c>
      <c r="D1848" s="64" t="s">
        <v>2313</v>
      </c>
      <c r="E1848" s="64" t="s">
        <v>77</v>
      </c>
      <c r="F1848" s="64" t="s">
        <v>15</v>
      </c>
      <c r="G1848" s="64" t="s">
        <v>62</v>
      </c>
      <c r="H1848" s="64" t="s">
        <v>63</v>
      </c>
      <c r="I1848" s="64" t="s">
        <v>64</v>
      </c>
      <c r="J1848" s="67">
        <v>0</v>
      </c>
      <c r="K1848" s="62">
        <v>-12644556.09</v>
      </c>
      <c r="L1848" s="33" t="e">
        <f>HLOOKUP(B1848,#REF!,1,0)</f>
        <v>#REF!</v>
      </c>
      <c r="M1848" s="33" t="str">
        <f t="shared" si="115"/>
        <v>BS</v>
      </c>
    </row>
    <row r="1849" spans="1:13" s="33" customFormat="true" ht="12.75" customHeight="true">
      <c r="A1849" s="33" t="str">
        <f t="shared" si="112"/>
        <v>SCL - Deposits</v>
      </c>
      <c r="B1849" s="33" t="str">
        <f t="shared" si="113"/>
        <v>SCL</v>
      </c>
      <c r="C1849" s="33" t="str">
        <f t="shared" si="114"/>
        <v>17000-7374</v>
      </c>
      <c r="D1849" s="64" t="s">
        <v>2314</v>
      </c>
      <c r="E1849" s="64" t="s">
        <v>2315</v>
      </c>
      <c r="F1849" s="64" t="s">
        <v>15</v>
      </c>
      <c r="G1849" s="64" t="s">
        <v>62</v>
      </c>
      <c r="H1849" s="64" t="s">
        <v>80</v>
      </c>
      <c r="I1849" s="64" t="s">
        <v>81</v>
      </c>
      <c r="J1849" s="67">
        <v>0</v>
      </c>
      <c r="K1849" s="62">
        <v>1110.16</v>
      </c>
      <c r="L1849" s="33" t="e">
        <f>HLOOKUP(B1849,#REF!,1,0)</f>
        <v>#REF!</v>
      </c>
      <c r="M1849" s="33" t="str">
        <f t="shared" si="115"/>
        <v>BS</v>
      </c>
    </row>
    <row r="1850" spans="1:13" s="33" customFormat="true" ht="12.75" customHeight="true">
      <c r="A1850" s="33" t="str">
        <f t="shared" si="112"/>
        <v>SCL - Deposits</v>
      </c>
      <c r="B1850" s="33" t="str">
        <f t="shared" si="113"/>
        <v>SCL</v>
      </c>
      <c r="C1850" s="33" t="str">
        <f t="shared" si="114"/>
        <v>17000-7391</v>
      </c>
      <c r="D1850" s="64" t="s">
        <v>2316</v>
      </c>
      <c r="E1850" s="64" t="s">
        <v>2315</v>
      </c>
      <c r="F1850" s="64" t="s">
        <v>15</v>
      </c>
      <c r="G1850" s="64" t="s">
        <v>62</v>
      </c>
      <c r="H1850" s="64" t="s">
        <v>80</v>
      </c>
      <c r="I1850" s="64" t="s">
        <v>81</v>
      </c>
      <c r="J1850" s="67">
        <v>0</v>
      </c>
      <c r="K1850" s="62">
        <v>320</v>
      </c>
      <c r="L1850" s="33" t="e">
        <f>HLOOKUP(B1850,#REF!,1,0)</f>
        <v>#REF!</v>
      </c>
      <c r="M1850" s="33" t="str">
        <f t="shared" si="115"/>
        <v>BS</v>
      </c>
    </row>
    <row r="1851" spans="1:13" s="33" customFormat="true" ht="12.75" customHeight="true">
      <c r="A1851" s="33" t="str">
        <f t="shared" si="112"/>
        <v>SCL - Deposits</v>
      </c>
      <c r="B1851" s="33" t="str">
        <f t="shared" si="113"/>
        <v>SCL</v>
      </c>
      <c r="C1851" s="33" t="str">
        <f t="shared" si="114"/>
        <v>17000-7398</v>
      </c>
      <c r="D1851" s="64" t="s">
        <v>2317</v>
      </c>
      <c r="E1851" s="64" t="s">
        <v>2315</v>
      </c>
      <c r="F1851" s="64" t="s">
        <v>15</v>
      </c>
      <c r="G1851" s="64" t="s">
        <v>62</v>
      </c>
      <c r="H1851" s="64" t="s">
        <v>80</v>
      </c>
      <c r="I1851" s="64" t="s">
        <v>81</v>
      </c>
      <c r="J1851" s="67">
        <v>0</v>
      </c>
      <c r="K1851" s="62">
        <v>92.82</v>
      </c>
      <c r="L1851" s="33" t="e">
        <f>HLOOKUP(B1851,#REF!,1,0)</f>
        <v>#REF!</v>
      </c>
      <c r="M1851" s="33" t="str">
        <f t="shared" si="115"/>
        <v>BS</v>
      </c>
    </row>
    <row r="1852" spans="1:13" s="33" customFormat="true" ht="12.75" customHeight="true">
      <c r="A1852" s="33" t="str">
        <f t="shared" si="112"/>
        <v>SCL - Deposits</v>
      </c>
      <c r="B1852" s="33" t="str">
        <f t="shared" si="113"/>
        <v>SCL</v>
      </c>
      <c r="C1852" s="33" t="str">
        <f t="shared" si="114"/>
        <v>17001-0000</v>
      </c>
      <c r="D1852" s="64" t="s">
        <v>2318</v>
      </c>
      <c r="E1852" s="64" t="s">
        <v>79</v>
      </c>
      <c r="F1852" s="64" t="s">
        <v>15</v>
      </c>
      <c r="G1852" s="64" t="s">
        <v>62</v>
      </c>
      <c r="H1852" s="64" t="s">
        <v>80</v>
      </c>
      <c r="I1852" s="64" t="s">
        <v>81</v>
      </c>
      <c r="J1852" s="67">
        <v>0</v>
      </c>
      <c r="K1852" s="62">
        <v>20000</v>
      </c>
      <c r="L1852" s="33" t="e">
        <f>HLOOKUP(B1852,#REF!,1,0)</f>
        <v>#REF!</v>
      </c>
      <c r="M1852" s="33" t="str">
        <f t="shared" si="115"/>
        <v>BS</v>
      </c>
    </row>
    <row r="1853" spans="1:13" s="33" customFormat="true" ht="12.75" customHeight="true">
      <c r="A1853" s="33" t="str">
        <f t="shared" si="112"/>
        <v>SCL - Deposits</v>
      </c>
      <c r="B1853" s="33" t="str">
        <f t="shared" si="113"/>
        <v>SCL</v>
      </c>
      <c r="C1853" s="33" t="str">
        <f t="shared" si="114"/>
        <v>17001-7391</v>
      </c>
      <c r="D1853" s="64" t="s">
        <v>2319</v>
      </c>
      <c r="E1853" s="64" t="s">
        <v>79</v>
      </c>
      <c r="F1853" s="64" t="s">
        <v>15</v>
      </c>
      <c r="G1853" s="64" t="s">
        <v>62</v>
      </c>
      <c r="H1853" s="64" t="s">
        <v>80</v>
      </c>
      <c r="I1853" s="64" t="s">
        <v>81</v>
      </c>
      <c r="J1853" s="67">
        <v>0</v>
      </c>
      <c r="K1853" s="62">
        <v>160</v>
      </c>
      <c r="L1853" s="33" t="e">
        <f>HLOOKUP(B1853,#REF!,1,0)</f>
        <v>#REF!</v>
      </c>
      <c r="M1853" s="33" t="str">
        <f t="shared" si="115"/>
        <v>BS</v>
      </c>
    </row>
    <row r="1854" spans="1:13" s="33" customFormat="true" ht="12.75" customHeight="true">
      <c r="A1854" s="33" t="str">
        <f t="shared" si="112"/>
        <v>SCL - Deposits</v>
      </c>
      <c r="B1854" s="33" t="str">
        <f t="shared" si="113"/>
        <v>SCL</v>
      </c>
      <c r="C1854" s="33" t="str">
        <f t="shared" si="114"/>
        <v>17001-7398</v>
      </c>
      <c r="D1854" s="64" t="s">
        <v>2320</v>
      </c>
      <c r="E1854" s="64" t="s">
        <v>79</v>
      </c>
      <c r="F1854" s="64" t="s">
        <v>15</v>
      </c>
      <c r="G1854" s="64" t="s">
        <v>62</v>
      </c>
      <c r="H1854" s="64" t="s">
        <v>80</v>
      </c>
      <c r="I1854" s="64" t="s">
        <v>81</v>
      </c>
      <c r="J1854" s="67">
        <v>0</v>
      </c>
      <c r="K1854" s="62">
        <v>966.58</v>
      </c>
      <c r="L1854" s="33" t="e">
        <f>HLOOKUP(B1854,#REF!,1,0)</f>
        <v>#REF!</v>
      </c>
      <c r="M1854" s="33" t="str">
        <f t="shared" si="115"/>
        <v>BS</v>
      </c>
    </row>
    <row r="1855" spans="1:13" s="33" customFormat="true" ht="12.75" customHeight="true">
      <c r="A1855" s="33" t="str">
        <f t="shared" si="112"/>
        <v>SCL - Deposits</v>
      </c>
      <c r="B1855" s="33" t="str">
        <f t="shared" si="113"/>
        <v>SCL</v>
      </c>
      <c r="C1855" s="33" t="str">
        <f t="shared" si="114"/>
        <v>17001-8150</v>
      </c>
      <c r="D1855" s="64" t="s">
        <v>2321</v>
      </c>
      <c r="E1855" s="64" t="s">
        <v>79</v>
      </c>
      <c r="F1855" s="64" t="s">
        <v>15</v>
      </c>
      <c r="G1855" s="64" t="s">
        <v>62</v>
      </c>
      <c r="H1855" s="64" t="s">
        <v>80</v>
      </c>
      <c r="I1855" s="64" t="s">
        <v>81</v>
      </c>
      <c r="J1855" s="67">
        <v>0</v>
      </c>
      <c r="K1855" s="62">
        <v>73.2</v>
      </c>
      <c r="L1855" s="33" t="e">
        <f>HLOOKUP(B1855,#REF!,1,0)</f>
        <v>#REF!</v>
      </c>
      <c r="M1855" s="33" t="str">
        <f t="shared" si="115"/>
        <v>BS</v>
      </c>
    </row>
    <row r="1856" spans="1:13" s="33" customFormat="true" ht="12.75" customHeight="true">
      <c r="A1856" s="33" t="str">
        <f t="shared" si="112"/>
        <v>SCL - Fixed Assets</v>
      </c>
      <c r="B1856" s="33" t="str">
        <f t="shared" si="113"/>
        <v>SCL</v>
      </c>
      <c r="C1856" s="33" t="str">
        <f t="shared" si="114"/>
        <v>17101-7351</v>
      </c>
      <c r="D1856" s="64" t="s">
        <v>2322</v>
      </c>
      <c r="E1856" s="64" t="s">
        <v>2323</v>
      </c>
      <c r="F1856" s="64" t="s">
        <v>15</v>
      </c>
      <c r="G1856" s="64" t="s">
        <v>62</v>
      </c>
      <c r="H1856" s="64" t="s">
        <v>63</v>
      </c>
      <c r="I1856" s="64" t="s">
        <v>81</v>
      </c>
      <c r="J1856" s="67">
        <v>0</v>
      </c>
      <c r="K1856" s="62">
        <v>964494.51</v>
      </c>
      <c r="L1856" s="33" t="e">
        <f>HLOOKUP(B1856,#REF!,1,0)</f>
        <v>#REF!</v>
      </c>
      <c r="M1856" s="33" t="str">
        <f t="shared" si="115"/>
        <v>BS</v>
      </c>
    </row>
    <row r="1857" spans="1:13" s="33" customFormat="true" ht="12.75" customHeight="true">
      <c r="A1857" s="33" t="str">
        <f t="shared" si="112"/>
        <v>SCL - Fixed Assets</v>
      </c>
      <c r="B1857" s="33" t="str">
        <f t="shared" si="113"/>
        <v>SCL</v>
      </c>
      <c r="C1857" s="33" t="str">
        <f t="shared" si="114"/>
        <v>17101-7356</v>
      </c>
      <c r="D1857" s="64" t="s">
        <v>2324</v>
      </c>
      <c r="E1857" s="64" t="s">
        <v>2323</v>
      </c>
      <c r="F1857" s="64" t="s">
        <v>15</v>
      </c>
      <c r="G1857" s="64" t="s">
        <v>62</v>
      </c>
      <c r="H1857" s="64" t="s">
        <v>63</v>
      </c>
      <c r="I1857" s="64" t="s">
        <v>81</v>
      </c>
      <c r="J1857" s="67">
        <v>0</v>
      </c>
      <c r="K1857" s="62">
        <v>792436.35</v>
      </c>
      <c r="L1857" s="33" t="e">
        <f>HLOOKUP(B1857,#REF!,1,0)</f>
        <v>#REF!</v>
      </c>
      <c r="M1857" s="33" t="str">
        <f t="shared" si="115"/>
        <v>BS</v>
      </c>
    </row>
    <row r="1858" spans="1:13" s="33" customFormat="true" ht="12.75" customHeight="true">
      <c r="A1858" s="33" t="str">
        <f t="shared" ref="A1858:A1921" si="116">B1858&amp;" - "&amp;TRIM(H1858)</f>
        <v>SCL - Fixed Assets</v>
      </c>
      <c r="B1858" s="33" t="str">
        <f t="shared" ref="B1858:B1921" si="117">LEFT(D1858,3)</f>
        <v>SCL</v>
      </c>
      <c r="C1858" s="33" t="str">
        <f t="shared" ref="C1858:C1921" si="118">RIGHT(D1858,10)</f>
        <v>17101-7359</v>
      </c>
      <c r="D1858" s="64" t="s">
        <v>2325</v>
      </c>
      <c r="E1858" s="64" t="s">
        <v>2323</v>
      </c>
      <c r="F1858" s="64" t="s">
        <v>15</v>
      </c>
      <c r="G1858" s="64" t="s">
        <v>62</v>
      </c>
      <c r="H1858" s="64" t="s">
        <v>63</v>
      </c>
      <c r="I1858" s="64" t="s">
        <v>81</v>
      </c>
      <c r="J1858" s="67">
        <v>0</v>
      </c>
      <c r="K1858" s="62">
        <v>613850.52</v>
      </c>
      <c r="L1858" s="33" t="e">
        <f>HLOOKUP(B1858,#REF!,1,0)</f>
        <v>#REF!</v>
      </c>
      <c r="M1858" s="33" t="str">
        <f t="shared" ref="M1858:M1921" si="119">IF(VALUE(LEFT(C1858,5))&gt;40000,"P&amp;L","BS")</f>
        <v>BS</v>
      </c>
    </row>
    <row r="1859" spans="1:13" s="33" customFormat="true" ht="12.75" customHeight="true">
      <c r="A1859" s="33" t="str">
        <f t="shared" si="116"/>
        <v>SCL - Fixed Assets</v>
      </c>
      <c r="B1859" s="33" t="str">
        <f t="shared" si="117"/>
        <v>SCL</v>
      </c>
      <c r="C1859" s="33" t="str">
        <f t="shared" si="118"/>
        <v>17101-7360</v>
      </c>
      <c r="D1859" s="64" t="s">
        <v>2326</v>
      </c>
      <c r="E1859" s="64" t="s">
        <v>2323</v>
      </c>
      <c r="F1859" s="64" t="s">
        <v>15</v>
      </c>
      <c r="G1859" s="64" t="s">
        <v>62</v>
      </c>
      <c r="H1859" s="64" t="s">
        <v>63</v>
      </c>
      <c r="I1859" s="64" t="s">
        <v>81</v>
      </c>
      <c r="J1859" s="67">
        <v>0</v>
      </c>
      <c r="K1859" s="62">
        <v>1269507.2</v>
      </c>
      <c r="L1859" s="33" t="e">
        <f>HLOOKUP(B1859,#REF!,1,0)</f>
        <v>#REF!</v>
      </c>
      <c r="M1859" s="33" t="str">
        <f t="shared" si="119"/>
        <v>BS</v>
      </c>
    </row>
    <row r="1860" spans="1:13" s="33" customFormat="true" ht="12.75" customHeight="true">
      <c r="A1860" s="33" t="str">
        <f t="shared" si="116"/>
        <v>SCL - Fixed Assets</v>
      </c>
      <c r="B1860" s="33" t="str">
        <f t="shared" si="117"/>
        <v>SCL</v>
      </c>
      <c r="C1860" s="33" t="str">
        <f t="shared" si="118"/>
        <v>17101-7362</v>
      </c>
      <c r="D1860" s="64" t="s">
        <v>2327</v>
      </c>
      <c r="E1860" s="64" t="s">
        <v>2323</v>
      </c>
      <c r="F1860" s="64" t="s">
        <v>15</v>
      </c>
      <c r="G1860" s="64" t="s">
        <v>62</v>
      </c>
      <c r="H1860" s="64" t="s">
        <v>63</v>
      </c>
      <c r="I1860" s="64" t="s">
        <v>81</v>
      </c>
      <c r="J1860" s="67">
        <v>0</v>
      </c>
      <c r="K1860" s="62">
        <v>847509.51</v>
      </c>
      <c r="L1860" s="33" t="e">
        <f>HLOOKUP(B1860,#REF!,1,0)</f>
        <v>#REF!</v>
      </c>
      <c r="M1860" s="33" t="str">
        <f t="shared" si="119"/>
        <v>BS</v>
      </c>
    </row>
    <row r="1861" spans="1:13" s="33" customFormat="true" ht="12.75" customHeight="true">
      <c r="A1861" s="33" t="str">
        <f t="shared" si="116"/>
        <v>SCL - Fixed Assets</v>
      </c>
      <c r="B1861" s="33" t="str">
        <f t="shared" si="117"/>
        <v>SCL</v>
      </c>
      <c r="C1861" s="33" t="str">
        <f t="shared" si="118"/>
        <v>17101-7363</v>
      </c>
      <c r="D1861" s="64" t="s">
        <v>2328</v>
      </c>
      <c r="E1861" s="64" t="s">
        <v>2323</v>
      </c>
      <c r="F1861" s="64" t="s">
        <v>15</v>
      </c>
      <c r="G1861" s="64" t="s">
        <v>62</v>
      </c>
      <c r="H1861" s="64" t="s">
        <v>63</v>
      </c>
      <c r="I1861" s="64" t="s">
        <v>81</v>
      </c>
      <c r="J1861" s="67">
        <v>0</v>
      </c>
      <c r="K1861" s="62">
        <v>705535.35</v>
      </c>
      <c r="L1861" s="33" t="e">
        <f>HLOOKUP(B1861,#REF!,1,0)</f>
        <v>#REF!</v>
      </c>
      <c r="M1861" s="33" t="str">
        <f t="shared" si="119"/>
        <v>BS</v>
      </c>
    </row>
    <row r="1862" spans="1:13" s="33" customFormat="true" ht="12.75" customHeight="true">
      <c r="A1862" s="33" t="str">
        <f t="shared" si="116"/>
        <v>SCL - Fixed Assets</v>
      </c>
      <c r="B1862" s="33" t="str">
        <f t="shared" si="117"/>
        <v>SCL</v>
      </c>
      <c r="C1862" s="33" t="str">
        <f t="shared" si="118"/>
        <v>17101-7366</v>
      </c>
      <c r="D1862" s="64" t="s">
        <v>2329</v>
      </c>
      <c r="E1862" s="64" t="s">
        <v>2323</v>
      </c>
      <c r="F1862" s="64" t="s">
        <v>15</v>
      </c>
      <c r="G1862" s="64" t="s">
        <v>62</v>
      </c>
      <c r="H1862" s="64" t="s">
        <v>63</v>
      </c>
      <c r="I1862" s="64" t="s">
        <v>81</v>
      </c>
      <c r="J1862" s="67">
        <v>0</v>
      </c>
      <c r="K1862" s="62">
        <v>1311259.13</v>
      </c>
      <c r="L1862" s="33" t="e">
        <f>HLOOKUP(B1862,#REF!,1,0)</f>
        <v>#REF!</v>
      </c>
      <c r="M1862" s="33" t="str">
        <f t="shared" si="119"/>
        <v>BS</v>
      </c>
    </row>
    <row r="1863" spans="1:13" s="33" customFormat="true" ht="12.75" customHeight="true">
      <c r="A1863" s="33" t="str">
        <f t="shared" si="116"/>
        <v>SCL - Fixed Assets</v>
      </c>
      <c r="B1863" s="33" t="str">
        <f t="shared" si="117"/>
        <v>SCL</v>
      </c>
      <c r="C1863" s="33" t="str">
        <f t="shared" si="118"/>
        <v>17101-7368</v>
      </c>
      <c r="D1863" s="64" t="s">
        <v>2330</v>
      </c>
      <c r="E1863" s="64" t="s">
        <v>2323</v>
      </c>
      <c r="F1863" s="64" t="s">
        <v>15</v>
      </c>
      <c r="G1863" s="64" t="s">
        <v>62</v>
      </c>
      <c r="H1863" s="64" t="s">
        <v>63</v>
      </c>
      <c r="I1863" s="64" t="s">
        <v>81</v>
      </c>
      <c r="J1863" s="67">
        <v>0</v>
      </c>
      <c r="K1863" s="62">
        <v>1349792.38</v>
      </c>
      <c r="L1863" s="33" t="e">
        <f>HLOOKUP(B1863,#REF!,1,0)</f>
        <v>#REF!</v>
      </c>
      <c r="M1863" s="33" t="str">
        <f t="shared" si="119"/>
        <v>BS</v>
      </c>
    </row>
    <row r="1864" spans="1:13" s="33" customFormat="true" ht="12.75" customHeight="true">
      <c r="A1864" s="33" t="str">
        <f t="shared" si="116"/>
        <v>SCL - Fixed Assets</v>
      </c>
      <c r="B1864" s="33" t="str">
        <f t="shared" si="117"/>
        <v>SCL</v>
      </c>
      <c r="C1864" s="33" t="str">
        <f t="shared" si="118"/>
        <v>17101-7369</v>
      </c>
      <c r="D1864" s="64" t="s">
        <v>2331</v>
      </c>
      <c r="E1864" s="64" t="s">
        <v>2323</v>
      </c>
      <c r="F1864" s="64" t="s">
        <v>15</v>
      </c>
      <c r="G1864" s="64" t="s">
        <v>62</v>
      </c>
      <c r="H1864" s="64" t="s">
        <v>63</v>
      </c>
      <c r="I1864" s="64" t="s">
        <v>81</v>
      </c>
      <c r="J1864" s="67">
        <v>0</v>
      </c>
      <c r="K1864" s="62">
        <v>1008755.71</v>
      </c>
      <c r="L1864" s="33" t="e">
        <f>HLOOKUP(B1864,#REF!,1,0)</f>
        <v>#REF!</v>
      </c>
      <c r="M1864" s="33" t="str">
        <f t="shared" si="119"/>
        <v>BS</v>
      </c>
    </row>
    <row r="1865" spans="1:13" s="33" customFormat="true" ht="12.75" customHeight="true">
      <c r="A1865" s="33" t="str">
        <f t="shared" si="116"/>
        <v>SCL - Fixed Assets</v>
      </c>
      <c r="B1865" s="33" t="str">
        <f t="shared" si="117"/>
        <v>SCL</v>
      </c>
      <c r="C1865" s="33" t="str">
        <f t="shared" si="118"/>
        <v>17101-7370</v>
      </c>
      <c r="D1865" s="64" t="s">
        <v>2332</v>
      </c>
      <c r="E1865" s="64" t="s">
        <v>2323</v>
      </c>
      <c r="F1865" s="64" t="s">
        <v>15</v>
      </c>
      <c r="G1865" s="64" t="s">
        <v>62</v>
      </c>
      <c r="H1865" s="64" t="s">
        <v>63</v>
      </c>
      <c r="I1865" s="64" t="s">
        <v>81</v>
      </c>
      <c r="J1865" s="67">
        <v>0</v>
      </c>
      <c r="K1865" s="62">
        <v>0.3</v>
      </c>
      <c r="L1865" s="33" t="e">
        <f>HLOOKUP(B1865,#REF!,1,0)</f>
        <v>#REF!</v>
      </c>
      <c r="M1865" s="33" t="str">
        <f t="shared" si="119"/>
        <v>BS</v>
      </c>
    </row>
    <row r="1866" spans="1:13" s="33" customFormat="true" ht="12.75" customHeight="true">
      <c r="A1866" s="33" t="str">
        <f t="shared" si="116"/>
        <v>SCL - Fixed Assets</v>
      </c>
      <c r="B1866" s="33" t="str">
        <f t="shared" si="117"/>
        <v>SCL</v>
      </c>
      <c r="C1866" s="33" t="str">
        <f t="shared" si="118"/>
        <v>17101-7371</v>
      </c>
      <c r="D1866" s="64" t="s">
        <v>2333</v>
      </c>
      <c r="E1866" s="64" t="s">
        <v>2323</v>
      </c>
      <c r="F1866" s="64" t="s">
        <v>15</v>
      </c>
      <c r="G1866" s="64" t="s">
        <v>62</v>
      </c>
      <c r="H1866" s="64" t="s">
        <v>63</v>
      </c>
      <c r="I1866" s="64" t="s">
        <v>81</v>
      </c>
      <c r="J1866" s="67">
        <v>0</v>
      </c>
      <c r="K1866" s="62">
        <v>1053366.74</v>
      </c>
      <c r="L1866" s="33" t="e">
        <f>HLOOKUP(B1866,#REF!,1,0)</f>
        <v>#REF!</v>
      </c>
      <c r="M1866" s="33" t="str">
        <f t="shared" si="119"/>
        <v>BS</v>
      </c>
    </row>
    <row r="1867" spans="1:13" s="33" customFormat="true" ht="12.75" customHeight="true">
      <c r="A1867" s="33" t="str">
        <f t="shared" si="116"/>
        <v>SCL - Fixed Assets</v>
      </c>
      <c r="B1867" s="33" t="str">
        <f t="shared" si="117"/>
        <v>SCL</v>
      </c>
      <c r="C1867" s="33" t="str">
        <f t="shared" si="118"/>
        <v>17101-7374</v>
      </c>
      <c r="D1867" s="64" t="s">
        <v>2334</v>
      </c>
      <c r="E1867" s="64" t="s">
        <v>2323</v>
      </c>
      <c r="F1867" s="64" t="s">
        <v>15</v>
      </c>
      <c r="G1867" s="64" t="s">
        <v>62</v>
      </c>
      <c r="H1867" s="64" t="s">
        <v>63</v>
      </c>
      <c r="I1867" s="64" t="s">
        <v>81</v>
      </c>
      <c r="J1867" s="67">
        <v>0</v>
      </c>
      <c r="K1867" s="62">
        <v>220468.75</v>
      </c>
      <c r="L1867" s="33" t="e">
        <f>HLOOKUP(B1867,#REF!,1,0)</f>
        <v>#REF!</v>
      </c>
      <c r="M1867" s="33" t="str">
        <f t="shared" si="119"/>
        <v>BS</v>
      </c>
    </row>
    <row r="1868" spans="1:13" s="33" customFormat="true" ht="12.75" customHeight="true">
      <c r="A1868" s="33" t="str">
        <f t="shared" si="116"/>
        <v>SCL - Fixed Assets</v>
      </c>
      <c r="B1868" s="33" t="str">
        <f t="shared" si="117"/>
        <v>SCL</v>
      </c>
      <c r="C1868" s="33" t="str">
        <f t="shared" si="118"/>
        <v>17101-7375</v>
      </c>
      <c r="D1868" s="64" t="s">
        <v>2335</v>
      </c>
      <c r="E1868" s="64" t="s">
        <v>2323</v>
      </c>
      <c r="F1868" s="64" t="s">
        <v>15</v>
      </c>
      <c r="G1868" s="64" t="s">
        <v>62</v>
      </c>
      <c r="H1868" s="64" t="s">
        <v>63</v>
      </c>
      <c r="I1868" s="64" t="s">
        <v>81</v>
      </c>
      <c r="J1868" s="67">
        <v>0</v>
      </c>
      <c r="K1868" s="62">
        <v>762543.6</v>
      </c>
      <c r="L1868" s="33" t="e">
        <f>HLOOKUP(B1868,#REF!,1,0)</f>
        <v>#REF!</v>
      </c>
      <c r="M1868" s="33" t="str">
        <f t="shared" si="119"/>
        <v>BS</v>
      </c>
    </row>
    <row r="1869" spans="1:13" s="33" customFormat="true" ht="12.75" customHeight="true">
      <c r="A1869" s="33" t="str">
        <f t="shared" si="116"/>
        <v>SCL - Fixed Assets</v>
      </c>
      <c r="B1869" s="33" t="str">
        <f t="shared" si="117"/>
        <v>SCL</v>
      </c>
      <c r="C1869" s="33" t="str">
        <f t="shared" si="118"/>
        <v>17101-7376</v>
      </c>
      <c r="D1869" s="64" t="s">
        <v>2336</v>
      </c>
      <c r="E1869" s="64" t="s">
        <v>2323</v>
      </c>
      <c r="F1869" s="64" t="s">
        <v>15</v>
      </c>
      <c r="G1869" s="64" t="s">
        <v>62</v>
      </c>
      <c r="H1869" s="64" t="s">
        <v>63</v>
      </c>
      <c r="I1869" s="64" t="s">
        <v>81</v>
      </c>
      <c r="J1869" s="67">
        <v>0</v>
      </c>
      <c r="K1869" s="62">
        <v>1406662.07</v>
      </c>
      <c r="L1869" s="33" t="e">
        <f>HLOOKUP(B1869,#REF!,1,0)</f>
        <v>#REF!</v>
      </c>
      <c r="M1869" s="33" t="str">
        <f t="shared" si="119"/>
        <v>BS</v>
      </c>
    </row>
    <row r="1870" spans="1:13" s="33" customFormat="true" ht="12.75" customHeight="true">
      <c r="A1870" s="33" t="str">
        <f t="shared" si="116"/>
        <v>SCL - Fixed Assets</v>
      </c>
      <c r="B1870" s="33" t="str">
        <f t="shared" si="117"/>
        <v>SCL</v>
      </c>
      <c r="C1870" s="33" t="str">
        <f t="shared" si="118"/>
        <v>17101-7377</v>
      </c>
      <c r="D1870" s="64" t="s">
        <v>2337</v>
      </c>
      <c r="E1870" s="64" t="s">
        <v>2323</v>
      </c>
      <c r="F1870" s="64" t="s">
        <v>15</v>
      </c>
      <c r="G1870" s="64" t="s">
        <v>62</v>
      </c>
      <c r="H1870" s="64" t="s">
        <v>63</v>
      </c>
      <c r="I1870" s="64" t="s">
        <v>81</v>
      </c>
      <c r="J1870" s="67">
        <v>0</v>
      </c>
      <c r="K1870" s="62">
        <v>1046491.78</v>
      </c>
      <c r="L1870" s="33" t="e">
        <f>HLOOKUP(B1870,#REF!,1,0)</f>
        <v>#REF!</v>
      </c>
      <c r="M1870" s="33" t="str">
        <f t="shared" si="119"/>
        <v>BS</v>
      </c>
    </row>
    <row r="1871" spans="1:13" s="33" customFormat="true" ht="12.75" customHeight="true">
      <c r="A1871" s="33" t="str">
        <f t="shared" si="116"/>
        <v>SCL - Fixed Assets</v>
      </c>
      <c r="B1871" s="33" t="str">
        <f t="shared" si="117"/>
        <v>SCL</v>
      </c>
      <c r="C1871" s="33" t="str">
        <f t="shared" si="118"/>
        <v>17101-7378</v>
      </c>
      <c r="D1871" s="64" t="s">
        <v>2338</v>
      </c>
      <c r="E1871" s="64" t="s">
        <v>2323</v>
      </c>
      <c r="F1871" s="64" t="s">
        <v>15</v>
      </c>
      <c r="G1871" s="64" t="s">
        <v>62</v>
      </c>
      <c r="H1871" s="64" t="s">
        <v>63</v>
      </c>
      <c r="I1871" s="64" t="s">
        <v>81</v>
      </c>
      <c r="J1871" s="67">
        <v>0</v>
      </c>
      <c r="K1871" s="62">
        <v>1446055.46</v>
      </c>
      <c r="L1871" s="33" t="e">
        <f>HLOOKUP(B1871,#REF!,1,0)</f>
        <v>#REF!</v>
      </c>
      <c r="M1871" s="33" t="str">
        <f t="shared" si="119"/>
        <v>BS</v>
      </c>
    </row>
    <row r="1872" spans="1:13" s="33" customFormat="true" ht="12.75" customHeight="true">
      <c r="A1872" s="33" t="str">
        <f t="shared" si="116"/>
        <v>SCL - Fixed Assets</v>
      </c>
      <c r="B1872" s="33" t="str">
        <f t="shared" si="117"/>
        <v>SCL</v>
      </c>
      <c r="C1872" s="33" t="str">
        <f t="shared" si="118"/>
        <v>17101-7379</v>
      </c>
      <c r="D1872" s="64" t="s">
        <v>2339</v>
      </c>
      <c r="E1872" s="64" t="s">
        <v>2323</v>
      </c>
      <c r="F1872" s="64" t="s">
        <v>15</v>
      </c>
      <c r="G1872" s="64" t="s">
        <v>62</v>
      </c>
      <c r="H1872" s="64" t="s">
        <v>63</v>
      </c>
      <c r="I1872" s="64" t="s">
        <v>81</v>
      </c>
      <c r="J1872" s="67">
        <v>0</v>
      </c>
      <c r="K1872" s="62">
        <v>1530286.82</v>
      </c>
      <c r="L1872" s="33" t="e">
        <f>HLOOKUP(B1872,#REF!,1,0)</f>
        <v>#REF!</v>
      </c>
      <c r="M1872" s="33" t="str">
        <f t="shared" si="119"/>
        <v>BS</v>
      </c>
    </row>
    <row r="1873" spans="1:13" s="33" customFormat="true" ht="12.75" customHeight="true">
      <c r="A1873" s="33" t="str">
        <f t="shared" si="116"/>
        <v>SCL - Fixed Assets</v>
      </c>
      <c r="B1873" s="33" t="str">
        <f t="shared" si="117"/>
        <v>SCL</v>
      </c>
      <c r="C1873" s="33" t="str">
        <f t="shared" si="118"/>
        <v>17101-7380</v>
      </c>
      <c r="D1873" s="64" t="s">
        <v>2340</v>
      </c>
      <c r="E1873" s="64" t="s">
        <v>2323</v>
      </c>
      <c r="F1873" s="64" t="s">
        <v>15</v>
      </c>
      <c r="G1873" s="64" t="s">
        <v>62</v>
      </c>
      <c r="H1873" s="64" t="s">
        <v>63</v>
      </c>
      <c r="I1873" s="64" t="s">
        <v>81</v>
      </c>
      <c r="J1873" s="67">
        <v>0</v>
      </c>
      <c r="K1873" s="62">
        <v>941901.53</v>
      </c>
      <c r="L1873" s="33" t="e">
        <f>HLOOKUP(B1873,#REF!,1,0)</f>
        <v>#REF!</v>
      </c>
      <c r="M1873" s="33" t="str">
        <f t="shared" si="119"/>
        <v>BS</v>
      </c>
    </row>
    <row r="1874" spans="1:13" s="33" customFormat="true" ht="12.75" customHeight="true">
      <c r="A1874" s="33" t="str">
        <f t="shared" si="116"/>
        <v>SCL - Fixed Assets</v>
      </c>
      <c r="B1874" s="33" t="str">
        <f t="shared" si="117"/>
        <v>SCL</v>
      </c>
      <c r="C1874" s="33" t="str">
        <f t="shared" si="118"/>
        <v>17101-7381</v>
      </c>
      <c r="D1874" s="64" t="s">
        <v>2341</v>
      </c>
      <c r="E1874" s="64" t="s">
        <v>2323</v>
      </c>
      <c r="F1874" s="64" t="s">
        <v>15</v>
      </c>
      <c r="G1874" s="64" t="s">
        <v>62</v>
      </c>
      <c r="H1874" s="64" t="s">
        <v>63</v>
      </c>
      <c r="I1874" s="64" t="s">
        <v>81</v>
      </c>
      <c r="J1874" s="67">
        <v>0</v>
      </c>
      <c r="K1874" s="62">
        <v>913568.53</v>
      </c>
      <c r="L1874" s="33" t="e">
        <f>HLOOKUP(B1874,#REF!,1,0)</f>
        <v>#REF!</v>
      </c>
      <c r="M1874" s="33" t="str">
        <f t="shared" si="119"/>
        <v>BS</v>
      </c>
    </row>
    <row r="1875" spans="1:13" s="33" customFormat="true" ht="12.75" customHeight="true">
      <c r="A1875" s="33" t="str">
        <f t="shared" si="116"/>
        <v>SCL - Fixed Assets</v>
      </c>
      <c r="B1875" s="33" t="str">
        <f t="shared" si="117"/>
        <v>SCL</v>
      </c>
      <c r="C1875" s="33" t="str">
        <f t="shared" si="118"/>
        <v>17101-7383</v>
      </c>
      <c r="D1875" s="64" t="s">
        <v>2342</v>
      </c>
      <c r="E1875" s="64" t="s">
        <v>2323</v>
      </c>
      <c r="F1875" s="64" t="s">
        <v>15</v>
      </c>
      <c r="G1875" s="64" t="s">
        <v>62</v>
      </c>
      <c r="H1875" s="64" t="s">
        <v>63</v>
      </c>
      <c r="I1875" s="64" t="s">
        <v>81</v>
      </c>
      <c r="J1875" s="67">
        <v>0</v>
      </c>
      <c r="K1875" s="62">
        <v>1143466.52</v>
      </c>
      <c r="L1875" s="33" t="e">
        <f>HLOOKUP(B1875,#REF!,1,0)</f>
        <v>#REF!</v>
      </c>
      <c r="M1875" s="33" t="str">
        <f t="shared" si="119"/>
        <v>BS</v>
      </c>
    </row>
    <row r="1876" spans="1:13" s="33" customFormat="true" ht="12.75" customHeight="true">
      <c r="A1876" s="33" t="str">
        <f t="shared" si="116"/>
        <v>SCL - Fixed Assets</v>
      </c>
      <c r="B1876" s="33" t="str">
        <f t="shared" si="117"/>
        <v>SCL</v>
      </c>
      <c r="C1876" s="33" t="str">
        <f t="shared" si="118"/>
        <v>17101-7385</v>
      </c>
      <c r="D1876" s="64" t="s">
        <v>2343</v>
      </c>
      <c r="E1876" s="64" t="s">
        <v>2323</v>
      </c>
      <c r="F1876" s="64" t="s">
        <v>15</v>
      </c>
      <c r="G1876" s="64" t="s">
        <v>62</v>
      </c>
      <c r="H1876" s="64" t="s">
        <v>63</v>
      </c>
      <c r="I1876" s="64" t="s">
        <v>81</v>
      </c>
      <c r="J1876" s="67">
        <v>0</v>
      </c>
      <c r="K1876" s="62">
        <v>682045.3</v>
      </c>
      <c r="L1876" s="33" t="e">
        <f>HLOOKUP(B1876,#REF!,1,0)</f>
        <v>#REF!</v>
      </c>
      <c r="M1876" s="33" t="str">
        <f t="shared" si="119"/>
        <v>BS</v>
      </c>
    </row>
    <row r="1877" spans="1:13" s="33" customFormat="true" ht="12.75" customHeight="true">
      <c r="A1877" s="33" t="str">
        <f t="shared" si="116"/>
        <v>SCL - Fixed Assets</v>
      </c>
      <c r="B1877" s="33" t="str">
        <f t="shared" si="117"/>
        <v>SCL</v>
      </c>
      <c r="C1877" s="33" t="str">
        <f t="shared" si="118"/>
        <v>17101-7386</v>
      </c>
      <c r="D1877" s="64" t="s">
        <v>2344</v>
      </c>
      <c r="E1877" s="64" t="s">
        <v>2323</v>
      </c>
      <c r="F1877" s="64" t="s">
        <v>15</v>
      </c>
      <c r="G1877" s="64" t="s">
        <v>62</v>
      </c>
      <c r="H1877" s="64" t="s">
        <v>63</v>
      </c>
      <c r="I1877" s="64" t="s">
        <v>81</v>
      </c>
      <c r="J1877" s="67">
        <v>0</v>
      </c>
      <c r="K1877" s="62">
        <v>901026</v>
      </c>
      <c r="L1877" s="33" t="e">
        <f>HLOOKUP(B1877,#REF!,1,0)</f>
        <v>#REF!</v>
      </c>
      <c r="M1877" s="33" t="str">
        <f t="shared" si="119"/>
        <v>BS</v>
      </c>
    </row>
    <row r="1878" spans="1:13" s="33" customFormat="true" ht="12.75" customHeight="true">
      <c r="A1878" s="33" t="str">
        <f t="shared" si="116"/>
        <v>SCL - Fixed Assets</v>
      </c>
      <c r="B1878" s="33" t="str">
        <f t="shared" si="117"/>
        <v>SCL</v>
      </c>
      <c r="C1878" s="33" t="str">
        <f t="shared" si="118"/>
        <v>17101-7387</v>
      </c>
      <c r="D1878" s="64" t="s">
        <v>2345</v>
      </c>
      <c r="E1878" s="64" t="s">
        <v>2323</v>
      </c>
      <c r="F1878" s="64" t="s">
        <v>15</v>
      </c>
      <c r="G1878" s="64" t="s">
        <v>62</v>
      </c>
      <c r="H1878" s="64" t="s">
        <v>63</v>
      </c>
      <c r="I1878" s="64" t="s">
        <v>81</v>
      </c>
      <c r="J1878" s="67">
        <v>0</v>
      </c>
      <c r="K1878" s="62">
        <v>1023442.99</v>
      </c>
      <c r="L1878" s="33" t="e">
        <f>HLOOKUP(B1878,#REF!,1,0)</f>
        <v>#REF!</v>
      </c>
      <c r="M1878" s="33" t="str">
        <f t="shared" si="119"/>
        <v>BS</v>
      </c>
    </row>
    <row r="1879" spans="1:13" s="33" customFormat="true" ht="12.75" customHeight="true">
      <c r="A1879" s="33" t="str">
        <f t="shared" si="116"/>
        <v>SCL - Fixed Assets</v>
      </c>
      <c r="B1879" s="33" t="str">
        <f t="shared" si="117"/>
        <v>SCL</v>
      </c>
      <c r="C1879" s="33" t="str">
        <f t="shared" si="118"/>
        <v>17101-7389</v>
      </c>
      <c r="D1879" s="64" t="s">
        <v>2346</v>
      </c>
      <c r="E1879" s="64" t="s">
        <v>2323</v>
      </c>
      <c r="F1879" s="64" t="s">
        <v>15</v>
      </c>
      <c r="G1879" s="64" t="s">
        <v>62</v>
      </c>
      <c r="H1879" s="64" t="s">
        <v>63</v>
      </c>
      <c r="I1879" s="64" t="s">
        <v>81</v>
      </c>
      <c r="J1879" s="67">
        <v>0</v>
      </c>
      <c r="K1879" s="62">
        <v>1233316.09</v>
      </c>
      <c r="L1879" s="33" t="e">
        <f>HLOOKUP(B1879,#REF!,1,0)</f>
        <v>#REF!</v>
      </c>
      <c r="M1879" s="33" t="str">
        <f t="shared" si="119"/>
        <v>BS</v>
      </c>
    </row>
    <row r="1880" spans="1:13" s="33" customFormat="true" ht="12.75" customHeight="true">
      <c r="A1880" s="33" t="str">
        <f t="shared" si="116"/>
        <v>SCL - Fixed Assets</v>
      </c>
      <c r="B1880" s="33" t="str">
        <f t="shared" si="117"/>
        <v>SCL</v>
      </c>
      <c r="C1880" s="33" t="str">
        <f t="shared" si="118"/>
        <v>17101-7391</v>
      </c>
      <c r="D1880" s="64" t="s">
        <v>2347</v>
      </c>
      <c r="E1880" s="64" t="s">
        <v>2323</v>
      </c>
      <c r="F1880" s="64" t="s">
        <v>15</v>
      </c>
      <c r="G1880" s="64" t="s">
        <v>62</v>
      </c>
      <c r="H1880" s="64" t="s">
        <v>63</v>
      </c>
      <c r="I1880" s="64" t="s">
        <v>81</v>
      </c>
      <c r="J1880" s="67">
        <v>0</v>
      </c>
      <c r="K1880" s="62">
        <v>1216227.52</v>
      </c>
      <c r="L1880" s="33" t="e">
        <f>HLOOKUP(B1880,#REF!,1,0)</f>
        <v>#REF!</v>
      </c>
      <c r="M1880" s="33" t="str">
        <f t="shared" si="119"/>
        <v>BS</v>
      </c>
    </row>
    <row r="1881" spans="1:13" s="33" customFormat="true" ht="12.75" customHeight="true">
      <c r="A1881" s="33" t="str">
        <f t="shared" si="116"/>
        <v>SCL - Fixed Assets</v>
      </c>
      <c r="B1881" s="33" t="str">
        <f t="shared" si="117"/>
        <v>SCL</v>
      </c>
      <c r="C1881" s="33" t="str">
        <f t="shared" si="118"/>
        <v>17101-7393</v>
      </c>
      <c r="D1881" s="64" t="s">
        <v>2348</v>
      </c>
      <c r="E1881" s="64" t="s">
        <v>2323</v>
      </c>
      <c r="F1881" s="64" t="s">
        <v>15</v>
      </c>
      <c r="G1881" s="64" t="s">
        <v>62</v>
      </c>
      <c r="H1881" s="64" t="s">
        <v>63</v>
      </c>
      <c r="I1881" s="64" t="s">
        <v>81</v>
      </c>
      <c r="J1881" s="67">
        <v>0</v>
      </c>
      <c r="K1881" s="62">
        <v>747388.26</v>
      </c>
      <c r="L1881" s="33" t="e">
        <f>HLOOKUP(B1881,#REF!,1,0)</f>
        <v>#REF!</v>
      </c>
      <c r="M1881" s="33" t="str">
        <f t="shared" si="119"/>
        <v>BS</v>
      </c>
    </row>
    <row r="1882" spans="1:13" s="33" customFormat="true" ht="12.75" customHeight="true">
      <c r="A1882" s="33" t="str">
        <f t="shared" si="116"/>
        <v>SCL - Fixed Assets</v>
      </c>
      <c r="B1882" s="33" t="str">
        <f t="shared" si="117"/>
        <v>SCL</v>
      </c>
      <c r="C1882" s="33" t="str">
        <f t="shared" si="118"/>
        <v>17101-7394</v>
      </c>
      <c r="D1882" s="64" t="s">
        <v>2349</v>
      </c>
      <c r="E1882" s="64" t="s">
        <v>2323</v>
      </c>
      <c r="F1882" s="64" t="s">
        <v>15</v>
      </c>
      <c r="G1882" s="64" t="s">
        <v>62</v>
      </c>
      <c r="H1882" s="64" t="s">
        <v>63</v>
      </c>
      <c r="I1882" s="64" t="s">
        <v>81</v>
      </c>
      <c r="J1882" s="67">
        <v>0</v>
      </c>
      <c r="K1882" s="62">
        <v>808605.19</v>
      </c>
      <c r="L1882" s="33" t="e">
        <f>HLOOKUP(B1882,#REF!,1,0)</f>
        <v>#REF!</v>
      </c>
      <c r="M1882" s="33" t="str">
        <f t="shared" si="119"/>
        <v>BS</v>
      </c>
    </row>
    <row r="1883" spans="1:13" s="33" customFormat="true" ht="12.75" customHeight="true">
      <c r="A1883" s="33" t="str">
        <f t="shared" si="116"/>
        <v>SCL - Fixed Assets</v>
      </c>
      <c r="B1883" s="33" t="str">
        <f t="shared" si="117"/>
        <v>SCL</v>
      </c>
      <c r="C1883" s="33" t="str">
        <f t="shared" si="118"/>
        <v>17101-7396</v>
      </c>
      <c r="D1883" s="64" t="s">
        <v>2350</v>
      </c>
      <c r="E1883" s="64" t="s">
        <v>2323</v>
      </c>
      <c r="F1883" s="64" t="s">
        <v>15</v>
      </c>
      <c r="G1883" s="64" t="s">
        <v>62</v>
      </c>
      <c r="H1883" s="64" t="s">
        <v>63</v>
      </c>
      <c r="I1883" s="64" t="s">
        <v>81</v>
      </c>
      <c r="J1883" s="67">
        <v>0</v>
      </c>
      <c r="K1883" s="62">
        <v>1118636.79</v>
      </c>
      <c r="L1883" s="33" t="e">
        <f>HLOOKUP(B1883,#REF!,1,0)</f>
        <v>#REF!</v>
      </c>
      <c r="M1883" s="33" t="str">
        <f t="shared" si="119"/>
        <v>BS</v>
      </c>
    </row>
    <row r="1884" spans="1:13" s="33" customFormat="true" ht="12.75" customHeight="true">
      <c r="A1884" s="33" t="str">
        <f t="shared" si="116"/>
        <v>SCL - Fixed Assets</v>
      </c>
      <c r="B1884" s="33" t="str">
        <f t="shared" si="117"/>
        <v>SCL</v>
      </c>
      <c r="C1884" s="33" t="str">
        <f t="shared" si="118"/>
        <v>17101-7397</v>
      </c>
      <c r="D1884" s="64" t="s">
        <v>2351</v>
      </c>
      <c r="E1884" s="64" t="s">
        <v>2323</v>
      </c>
      <c r="F1884" s="64" t="s">
        <v>15</v>
      </c>
      <c r="G1884" s="64" t="s">
        <v>62</v>
      </c>
      <c r="H1884" s="64" t="s">
        <v>63</v>
      </c>
      <c r="I1884" s="64" t="s">
        <v>81</v>
      </c>
      <c r="J1884" s="67">
        <v>0</v>
      </c>
      <c r="K1884" s="62">
        <v>1205912.2</v>
      </c>
      <c r="L1884" s="33" t="e">
        <f>HLOOKUP(B1884,#REF!,1,0)</f>
        <v>#REF!</v>
      </c>
      <c r="M1884" s="33" t="str">
        <f t="shared" si="119"/>
        <v>BS</v>
      </c>
    </row>
    <row r="1885" spans="1:13" s="33" customFormat="true" ht="12.75" customHeight="true">
      <c r="A1885" s="33" t="str">
        <f t="shared" si="116"/>
        <v>SCL - Fixed Assets</v>
      </c>
      <c r="B1885" s="33" t="str">
        <f t="shared" si="117"/>
        <v>SCL</v>
      </c>
      <c r="C1885" s="33" t="str">
        <f t="shared" si="118"/>
        <v>17101-7398</v>
      </c>
      <c r="D1885" s="64" t="s">
        <v>2352</v>
      </c>
      <c r="E1885" s="64" t="s">
        <v>2323</v>
      </c>
      <c r="F1885" s="64" t="s">
        <v>15</v>
      </c>
      <c r="G1885" s="64" t="s">
        <v>62</v>
      </c>
      <c r="H1885" s="64" t="s">
        <v>63</v>
      </c>
      <c r="I1885" s="64" t="s">
        <v>81</v>
      </c>
      <c r="J1885" s="67">
        <v>0</v>
      </c>
      <c r="K1885" s="62">
        <v>1136731.91</v>
      </c>
      <c r="L1885" s="33" t="e">
        <f>HLOOKUP(B1885,#REF!,1,0)</f>
        <v>#REF!</v>
      </c>
      <c r="M1885" s="33" t="str">
        <f t="shared" si="119"/>
        <v>BS</v>
      </c>
    </row>
    <row r="1886" spans="1:13" s="33" customFormat="true" ht="12.75" customHeight="true">
      <c r="A1886" s="33" t="str">
        <f t="shared" si="116"/>
        <v>SCL - Fixed Assets</v>
      </c>
      <c r="B1886" s="33" t="str">
        <f t="shared" si="117"/>
        <v>SCL</v>
      </c>
      <c r="C1886" s="33" t="str">
        <f t="shared" si="118"/>
        <v>17101-7401</v>
      </c>
      <c r="D1886" s="64" t="s">
        <v>2353</v>
      </c>
      <c r="E1886" s="64" t="s">
        <v>2323</v>
      </c>
      <c r="F1886" s="64" t="s">
        <v>15</v>
      </c>
      <c r="G1886" s="64" t="s">
        <v>62</v>
      </c>
      <c r="H1886" s="64" t="s">
        <v>63</v>
      </c>
      <c r="I1886" s="64" t="s">
        <v>81</v>
      </c>
      <c r="J1886" s="67">
        <v>0</v>
      </c>
      <c r="K1886" s="62">
        <v>898251.32</v>
      </c>
      <c r="L1886" s="33" t="e">
        <f>HLOOKUP(B1886,#REF!,1,0)</f>
        <v>#REF!</v>
      </c>
      <c r="M1886" s="33" t="str">
        <f t="shared" si="119"/>
        <v>BS</v>
      </c>
    </row>
    <row r="1887" spans="1:13" s="33" customFormat="true" ht="12.75" customHeight="true">
      <c r="A1887" s="33" t="str">
        <f t="shared" si="116"/>
        <v>SCL - Fixed Assets</v>
      </c>
      <c r="B1887" s="33" t="str">
        <f t="shared" si="117"/>
        <v>SCL</v>
      </c>
      <c r="C1887" s="33" t="str">
        <f t="shared" si="118"/>
        <v>17101-7402</v>
      </c>
      <c r="D1887" s="64" t="s">
        <v>2354</v>
      </c>
      <c r="E1887" s="64" t="s">
        <v>2323</v>
      </c>
      <c r="F1887" s="64" t="s">
        <v>15</v>
      </c>
      <c r="G1887" s="64" t="s">
        <v>62</v>
      </c>
      <c r="H1887" s="64" t="s">
        <v>63</v>
      </c>
      <c r="I1887" s="64" t="s">
        <v>81</v>
      </c>
      <c r="J1887" s="67">
        <v>0</v>
      </c>
      <c r="K1887" s="62">
        <v>1083704.05</v>
      </c>
      <c r="L1887" s="33" t="e">
        <f>HLOOKUP(B1887,#REF!,1,0)</f>
        <v>#REF!</v>
      </c>
      <c r="M1887" s="33" t="str">
        <f t="shared" si="119"/>
        <v>BS</v>
      </c>
    </row>
    <row r="1888" spans="1:13" s="33" customFormat="true" ht="12.75" customHeight="true">
      <c r="A1888" s="33" t="str">
        <f t="shared" si="116"/>
        <v>SCL - Fixed Assets</v>
      </c>
      <c r="B1888" s="33" t="str">
        <f t="shared" si="117"/>
        <v>SCL</v>
      </c>
      <c r="C1888" s="33" t="str">
        <f t="shared" si="118"/>
        <v>17101-7403</v>
      </c>
      <c r="D1888" s="64" t="s">
        <v>2355</v>
      </c>
      <c r="E1888" s="64" t="s">
        <v>2323</v>
      </c>
      <c r="F1888" s="64" t="s">
        <v>15</v>
      </c>
      <c r="G1888" s="64" t="s">
        <v>62</v>
      </c>
      <c r="H1888" s="64" t="s">
        <v>63</v>
      </c>
      <c r="I1888" s="64" t="s">
        <v>81</v>
      </c>
      <c r="J1888" s="67">
        <v>0</v>
      </c>
      <c r="K1888" s="62">
        <v>833021.7</v>
      </c>
      <c r="L1888" s="33" t="e">
        <f>HLOOKUP(B1888,#REF!,1,0)</f>
        <v>#REF!</v>
      </c>
      <c r="M1888" s="33" t="str">
        <f t="shared" si="119"/>
        <v>BS</v>
      </c>
    </row>
    <row r="1889" spans="1:13" s="33" customFormat="true" ht="12.75" customHeight="true">
      <c r="A1889" s="33" t="str">
        <f t="shared" si="116"/>
        <v>SCL - Fixed Assets</v>
      </c>
      <c r="B1889" s="33" t="str">
        <f t="shared" si="117"/>
        <v>SCL</v>
      </c>
      <c r="C1889" s="33" t="str">
        <f t="shared" si="118"/>
        <v>17101-7404</v>
      </c>
      <c r="D1889" s="64" t="s">
        <v>2356</v>
      </c>
      <c r="E1889" s="64" t="s">
        <v>2323</v>
      </c>
      <c r="F1889" s="64" t="s">
        <v>15</v>
      </c>
      <c r="G1889" s="64" t="s">
        <v>62</v>
      </c>
      <c r="H1889" s="64" t="s">
        <v>63</v>
      </c>
      <c r="I1889" s="64" t="s">
        <v>81</v>
      </c>
      <c r="J1889" s="67">
        <v>0</v>
      </c>
      <c r="K1889" s="62">
        <v>0.11</v>
      </c>
      <c r="L1889" s="33" t="e">
        <f>HLOOKUP(B1889,#REF!,1,0)</f>
        <v>#REF!</v>
      </c>
      <c r="M1889" s="33" t="str">
        <f t="shared" si="119"/>
        <v>BS</v>
      </c>
    </row>
    <row r="1890" spans="1:13" s="33" customFormat="true" ht="12.75" customHeight="true">
      <c r="A1890" s="33" t="str">
        <f t="shared" si="116"/>
        <v>SCL - Fixed Assets</v>
      </c>
      <c r="B1890" s="33" t="str">
        <f t="shared" si="117"/>
        <v>SCL</v>
      </c>
      <c r="C1890" s="33" t="str">
        <f t="shared" si="118"/>
        <v>17101-7405</v>
      </c>
      <c r="D1890" s="64" t="s">
        <v>2357</v>
      </c>
      <c r="E1890" s="64" t="s">
        <v>2323</v>
      </c>
      <c r="F1890" s="64" t="s">
        <v>15</v>
      </c>
      <c r="G1890" s="64" t="s">
        <v>62</v>
      </c>
      <c r="H1890" s="64" t="s">
        <v>63</v>
      </c>
      <c r="I1890" s="64" t="s">
        <v>81</v>
      </c>
      <c r="J1890" s="67">
        <v>0</v>
      </c>
      <c r="K1890" s="62">
        <v>0.05</v>
      </c>
      <c r="L1890" s="33" t="e">
        <f>HLOOKUP(B1890,#REF!,1,0)</f>
        <v>#REF!</v>
      </c>
      <c r="M1890" s="33" t="str">
        <f t="shared" si="119"/>
        <v>BS</v>
      </c>
    </row>
    <row r="1891" spans="1:13" s="33" customFormat="true" ht="12.75" customHeight="true">
      <c r="A1891" s="33" t="str">
        <f t="shared" si="116"/>
        <v>SCL - Fixed Assets</v>
      </c>
      <c r="B1891" s="33" t="str">
        <f t="shared" si="117"/>
        <v>SCL</v>
      </c>
      <c r="C1891" s="33" t="str">
        <f t="shared" si="118"/>
        <v>17101-7406</v>
      </c>
      <c r="D1891" s="64" t="s">
        <v>2358</v>
      </c>
      <c r="E1891" s="64" t="s">
        <v>2323</v>
      </c>
      <c r="F1891" s="64" t="s">
        <v>15</v>
      </c>
      <c r="G1891" s="64" t="s">
        <v>62</v>
      </c>
      <c r="H1891" s="64" t="s">
        <v>63</v>
      </c>
      <c r="I1891" s="64" t="s">
        <v>81</v>
      </c>
      <c r="J1891" s="67">
        <v>0</v>
      </c>
      <c r="K1891" s="62">
        <v>0.17</v>
      </c>
      <c r="L1891" s="33" t="e">
        <f>HLOOKUP(B1891,#REF!,1,0)</f>
        <v>#REF!</v>
      </c>
      <c r="M1891" s="33" t="str">
        <f t="shared" si="119"/>
        <v>BS</v>
      </c>
    </row>
    <row r="1892" spans="1:13" s="33" customFormat="true" ht="12.75" customHeight="true">
      <c r="A1892" s="33" t="str">
        <f t="shared" si="116"/>
        <v>SCL - Fixed Assets</v>
      </c>
      <c r="B1892" s="33" t="str">
        <f t="shared" si="117"/>
        <v>SCL</v>
      </c>
      <c r="C1892" s="33" t="str">
        <f t="shared" si="118"/>
        <v>17101-7491</v>
      </c>
      <c r="D1892" s="64" t="s">
        <v>2359</v>
      </c>
      <c r="E1892" s="64" t="s">
        <v>2323</v>
      </c>
      <c r="F1892" s="64" t="s">
        <v>15</v>
      </c>
      <c r="G1892" s="64" t="s">
        <v>62</v>
      </c>
      <c r="H1892" s="64" t="s">
        <v>63</v>
      </c>
      <c r="I1892" s="64" t="s">
        <v>81</v>
      </c>
      <c r="J1892" s="67">
        <v>0</v>
      </c>
      <c r="K1892" s="62">
        <v>766152.47</v>
      </c>
      <c r="L1892" s="33" t="e">
        <f>HLOOKUP(B1892,#REF!,1,0)</f>
        <v>#REF!</v>
      </c>
      <c r="M1892" s="33" t="str">
        <f t="shared" si="119"/>
        <v>BS</v>
      </c>
    </row>
    <row r="1893" spans="1:13" s="33" customFormat="true" ht="12.75" customHeight="true">
      <c r="A1893" s="33" t="str">
        <f t="shared" si="116"/>
        <v>SCL - Fixed Assets</v>
      </c>
      <c r="B1893" s="33" t="str">
        <f t="shared" si="117"/>
        <v>SCL</v>
      </c>
      <c r="C1893" s="33" t="str">
        <f t="shared" si="118"/>
        <v>17101-7492</v>
      </c>
      <c r="D1893" s="64" t="s">
        <v>2360</v>
      </c>
      <c r="E1893" s="64" t="s">
        <v>2323</v>
      </c>
      <c r="F1893" s="64" t="s">
        <v>15</v>
      </c>
      <c r="G1893" s="64" t="s">
        <v>62</v>
      </c>
      <c r="H1893" s="64" t="s">
        <v>63</v>
      </c>
      <c r="I1893" s="64" t="s">
        <v>81</v>
      </c>
      <c r="J1893" s="67">
        <v>0</v>
      </c>
      <c r="K1893" s="62">
        <v>975491.05</v>
      </c>
      <c r="L1893" s="33" t="e">
        <f>HLOOKUP(B1893,#REF!,1,0)</f>
        <v>#REF!</v>
      </c>
      <c r="M1893" s="33" t="str">
        <f t="shared" si="119"/>
        <v>BS</v>
      </c>
    </row>
    <row r="1894" spans="1:13" s="33" customFormat="true" ht="12.75" customHeight="true">
      <c r="A1894" s="33" t="str">
        <f t="shared" si="116"/>
        <v>SCL - Fixed Assets</v>
      </c>
      <c r="B1894" s="33" t="str">
        <f t="shared" si="117"/>
        <v>SCL</v>
      </c>
      <c r="C1894" s="33" t="str">
        <f t="shared" si="118"/>
        <v>17201-7351</v>
      </c>
      <c r="D1894" s="64" t="s">
        <v>2361</v>
      </c>
      <c r="E1894" s="64" t="s">
        <v>83</v>
      </c>
      <c r="F1894" s="64" t="s">
        <v>15</v>
      </c>
      <c r="G1894" s="64" t="s">
        <v>62</v>
      </c>
      <c r="H1894" s="64" t="s">
        <v>63</v>
      </c>
      <c r="I1894" s="64" t="s">
        <v>81</v>
      </c>
      <c r="J1894" s="67">
        <v>0</v>
      </c>
      <c r="K1894" s="62">
        <v>33250</v>
      </c>
      <c r="L1894" s="33" t="e">
        <f>HLOOKUP(B1894,#REF!,1,0)</f>
        <v>#REF!</v>
      </c>
      <c r="M1894" s="33" t="str">
        <f t="shared" si="119"/>
        <v>BS</v>
      </c>
    </row>
    <row r="1895" spans="1:13" s="33" customFormat="true" ht="12.75" customHeight="true">
      <c r="A1895" s="33" t="str">
        <f t="shared" si="116"/>
        <v>SCL - Fixed Assets</v>
      </c>
      <c r="B1895" s="33" t="str">
        <f t="shared" si="117"/>
        <v>SCL</v>
      </c>
      <c r="C1895" s="33" t="str">
        <f t="shared" si="118"/>
        <v>17201-7352</v>
      </c>
      <c r="D1895" s="64" t="s">
        <v>2362</v>
      </c>
      <c r="E1895" s="64" t="s">
        <v>83</v>
      </c>
      <c r="F1895" s="64" t="s">
        <v>15</v>
      </c>
      <c r="G1895" s="64" t="s">
        <v>62</v>
      </c>
      <c r="H1895" s="64" t="s">
        <v>63</v>
      </c>
      <c r="I1895" s="64" t="s">
        <v>81</v>
      </c>
      <c r="J1895" s="67">
        <v>0</v>
      </c>
      <c r="K1895" s="62">
        <v>30000</v>
      </c>
      <c r="L1895" s="33" t="e">
        <f>HLOOKUP(B1895,#REF!,1,0)</f>
        <v>#REF!</v>
      </c>
      <c r="M1895" s="33" t="str">
        <f t="shared" si="119"/>
        <v>BS</v>
      </c>
    </row>
    <row r="1896" spans="1:13" s="33" customFormat="true" ht="12.75" customHeight="true">
      <c r="A1896" s="33" t="str">
        <f t="shared" si="116"/>
        <v>SCL - Fixed Assets</v>
      </c>
      <c r="B1896" s="33" t="str">
        <f t="shared" si="117"/>
        <v>SCL</v>
      </c>
      <c r="C1896" s="33" t="str">
        <f t="shared" si="118"/>
        <v>17201-7355</v>
      </c>
      <c r="D1896" s="64" t="s">
        <v>2363</v>
      </c>
      <c r="E1896" s="64" t="s">
        <v>83</v>
      </c>
      <c r="F1896" s="64" t="s">
        <v>15</v>
      </c>
      <c r="G1896" s="64" t="s">
        <v>62</v>
      </c>
      <c r="H1896" s="64" t="s">
        <v>63</v>
      </c>
      <c r="I1896" s="64" t="s">
        <v>81</v>
      </c>
      <c r="J1896" s="67">
        <v>0</v>
      </c>
      <c r="K1896" s="62">
        <v>18750</v>
      </c>
      <c r="L1896" s="33" t="e">
        <f>HLOOKUP(B1896,#REF!,1,0)</f>
        <v>#REF!</v>
      </c>
      <c r="M1896" s="33" t="str">
        <f t="shared" si="119"/>
        <v>BS</v>
      </c>
    </row>
    <row r="1897" spans="1:13" s="33" customFormat="true" ht="12.75" customHeight="true">
      <c r="A1897" s="33" t="str">
        <f t="shared" si="116"/>
        <v>SCL - Fixed Assets</v>
      </c>
      <c r="B1897" s="33" t="str">
        <f t="shared" si="117"/>
        <v>SCL</v>
      </c>
      <c r="C1897" s="33" t="str">
        <f t="shared" si="118"/>
        <v>17201-7356</v>
      </c>
      <c r="D1897" s="64" t="s">
        <v>2364</v>
      </c>
      <c r="E1897" s="64" t="s">
        <v>83</v>
      </c>
      <c r="F1897" s="64" t="s">
        <v>15</v>
      </c>
      <c r="G1897" s="64" t="s">
        <v>62</v>
      </c>
      <c r="H1897" s="64" t="s">
        <v>63</v>
      </c>
      <c r="I1897" s="64" t="s">
        <v>81</v>
      </c>
      <c r="J1897" s="67">
        <v>0</v>
      </c>
      <c r="K1897" s="62">
        <v>18750</v>
      </c>
      <c r="L1897" s="33" t="e">
        <f>HLOOKUP(B1897,#REF!,1,0)</f>
        <v>#REF!</v>
      </c>
      <c r="M1897" s="33" t="str">
        <f t="shared" si="119"/>
        <v>BS</v>
      </c>
    </row>
    <row r="1898" spans="1:13" s="33" customFormat="true" ht="12.75" customHeight="true">
      <c r="A1898" s="33" t="str">
        <f t="shared" si="116"/>
        <v>SCL - Fixed Assets</v>
      </c>
      <c r="B1898" s="33" t="str">
        <f t="shared" si="117"/>
        <v>SCL</v>
      </c>
      <c r="C1898" s="33" t="str">
        <f t="shared" si="118"/>
        <v>17201-7359</v>
      </c>
      <c r="D1898" s="64" t="s">
        <v>2365</v>
      </c>
      <c r="E1898" s="64" t="s">
        <v>83</v>
      </c>
      <c r="F1898" s="64" t="s">
        <v>15</v>
      </c>
      <c r="G1898" s="64" t="s">
        <v>62</v>
      </c>
      <c r="H1898" s="64" t="s">
        <v>63</v>
      </c>
      <c r="I1898" s="64" t="s">
        <v>81</v>
      </c>
      <c r="J1898" s="67">
        <v>0</v>
      </c>
      <c r="K1898" s="62">
        <v>20000</v>
      </c>
      <c r="L1898" s="33" t="e">
        <f>HLOOKUP(B1898,#REF!,1,0)</f>
        <v>#REF!</v>
      </c>
      <c r="M1898" s="33" t="str">
        <f t="shared" si="119"/>
        <v>BS</v>
      </c>
    </row>
    <row r="1899" spans="1:13" s="33" customFormat="true" ht="12.75" customHeight="true">
      <c r="A1899" s="33" t="str">
        <f t="shared" si="116"/>
        <v>SCL - Fixed Assets</v>
      </c>
      <c r="B1899" s="33" t="str">
        <f t="shared" si="117"/>
        <v>SCL</v>
      </c>
      <c r="C1899" s="33" t="str">
        <f t="shared" si="118"/>
        <v>17201-7360</v>
      </c>
      <c r="D1899" s="64" t="s">
        <v>2366</v>
      </c>
      <c r="E1899" s="64" t="s">
        <v>83</v>
      </c>
      <c r="F1899" s="64" t="s">
        <v>15</v>
      </c>
      <c r="G1899" s="64" t="s">
        <v>62</v>
      </c>
      <c r="H1899" s="64" t="s">
        <v>63</v>
      </c>
      <c r="I1899" s="64" t="s">
        <v>81</v>
      </c>
      <c r="J1899" s="67">
        <v>0</v>
      </c>
      <c r="K1899" s="62">
        <v>18750</v>
      </c>
      <c r="L1899" s="33" t="e">
        <f>HLOOKUP(B1899,#REF!,1,0)</f>
        <v>#REF!</v>
      </c>
      <c r="M1899" s="33" t="str">
        <f t="shared" si="119"/>
        <v>BS</v>
      </c>
    </row>
    <row r="1900" spans="1:13" s="33" customFormat="true" ht="12.75" customHeight="true">
      <c r="A1900" s="33" t="str">
        <f t="shared" si="116"/>
        <v>SCL - Fixed Assets</v>
      </c>
      <c r="B1900" s="33" t="str">
        <f t="shared" si="117"/>
        <v>SCL</v>
      </c>
      <c r="C1900" s="33" t="str">
        <f t="shared" si="118"/>
        <v>17201-7361</v>
      </c>
      <c r="D1900" s="64" t="s">
        <v>2367</v>
      </c>
      <c r="E1900" s="64" t="s">
        <v>83</v>
      </c>
      <c r="F1900" s="64" t="s">
        <v>15</v>
      </c>
      <c r="G1900" s="64" t="s">
        <v>62</v>
      </c>
      <c r="H1900" s="64" t="s">
        <v>63</v>
      </c>
      <c r="I1900" s="64" t="s">
        <v>81</v>
      </c>
      <c r="J1900" s="67">
        <v>0</v>
      </c>
      <c r="K1900" s="62">
        <v>47500</v>
      </c>
      <c r="L1900" s="33" t="e">
        <f>HLOOKUP(B1900,#REF!,1,0)</f>
        <v>#REF!</v>
      </c>
      <c r="M1900" s="33" t="str">
        <f t="shared" si="119"/>
        <v>BS</v>
      </c>
    </row>
    <row r="1901" spans="1:13" s="33" customFormat="true" ht="12.75" customHeight="true">
      <c r="A1901" s="33" t="str">
        <f t="shared" si="116"/>
        <v>SCL - Fixed Assets</v>
      </c>
      <c r="B1901" s="33" t="str">
        <f t="shared" si="117"/>
        <v>SCL</v>
      </c>
      <c r="C1901" s="33" t="str">
        <f t="shared" si="118"/>
        <v>17201-7362</v>
      </c>
      <c r="D1901" s="64" t="s">
        <v>2368</v>
      </c>
      <c r="E1901" s="64" t="s">
        <v>83</v>
      </c>
      <c r="F1901" s="64" t="s">
        <v>15</v>
      </c>
      <c r="G1901" s="64" t="s">
        <v>62</v>
      </c>
      <c r="H1901" s="64" t="s">
        <v>63</v>
      </c>
      <c r="I1901" s="64" t="s">
        <v>81</v>
      </c>
      <c r="J1901" s="67">
        <v>0</v>
      </c>
      <c r="K1901" s="62">
        <v>18750</v>
      </c>
      <c r="L1901" s="33" t="e">
        <f>HLOOKUP(B1901,#REF!,1,0)</f>
        <v>#REF!</v>
      </c>
      <c r="M1901" s="33" t="str">
        <f t="shared" si="119"/>
        <v>BS</v>
      </c>
    </row>
    <row r="1902" spans="1:13" s="33" customFormat="true" ht="12.75" customHeight="true">
      <c r="A1902" s="33" t="str">
        <f t="shared" si="116"/>
        <v>SCL - Fixed Assets</v>
      </c>
      <c r="B1902" s="33" t="str">
        <f t="shared" si="117"/>
        <v>SCL</v>
      </c>
      <c r="C1902" s="33" t="str">
        <f t="shared" si="118"/>
        <v>17201-7363</v>
      </c>
      <c r="D1902" s="64" t="s">
        <v>2369</v>
      </c>
      <c r="E1902" s="64" t="s">
        <v>83</v>
      </c>
      <c r="F1902" s="64" t="s">
        <v>15</v>
      </c>
      <c r="G1902" s="64" t="s">
        <v>62</v>
      </c>
      <c r="H1902" s="64" t="s">
        <v>63</v>
      </c>
      <c r="I1902" s="64" t="s">
        <v>81</v>
      </c>
      <c r="J1902" s="67">
        <v>0</v>
      </c>
      <c r="K1902" s="62">
        <v>18750</v>
      </c>
      <c r="L1902" s="33" t="e">
        <f>HLOOKUP(B1902,#REF!,1,0)</f>
        <v>#REF!</v>
      </c>
      <c r="M1902" s="33" t="str">
        <f t="shared" si="119"/>
        <v>BS</v>
      </c>
    </row>
    <row r="1903" spans="1:13" s="33" customFormat="true" ht="12.75" customHeight="true">
      <c r="A1903" s="33" t="str">
        <f t="shared" si="116"/>
        <v>SCL - Fixed Assets</v>
      </c>
      <c r="B1903" s="33" t="str">
        <f t="shared" si="117"/>
        <v>SCL</v>
      </c>
      <c r="C1903" s="33" t="str">
        <f t="shared" si="118"/>
        <v>17201-7364</v>
      </c>
      <c r="D1903" s="64" t="s">
        <v>2370</v>
      </c>
      <c r="E1903" s="64" t="s">
        <v>83</v>
      </c>
      <c r="F1903" s="64" t="s">
        <v>15</v>
      </c>
      <c r="G1903" s="64" t="s">
        <v>62</v>
      </c>
      <c r="H1903" s="64" t="s">
        <v>63</v>
      </c>
      <c r="I1903" s="64" t="s">
        <v>81</v>
      </c>
      <c r="J1903" s="67">
        <v>0</v>
      </c>
      <c r="K1903" s="62">
        <v>25000</v>
      </c>
      <c r="L1903" s="33" t="e">
        <f>HLOOKUP(B1903,#REF!,1,0)</f>
        <v>#REF!</v>
      </c>
      <c r="M1903" s="33" t="str">
        <f t="shared" si="119"/>
        <v>BS</v>
      </c>
    </row>
    <row r="1904" spans="1:13" s="33" customFormat="true" ht="12.75" customHeight="true">
      <c r="A1904" s="33" t="str">
        <f t="shared" si="116"/>
        <v>SCL - Fixed Assets</v>
      </c>
      <c r="B1904" s="33" t="str">
        <f t="shared" si="117"/>
        <v>SCL</v>
      </c>
      <c r="C1904" s="33" t="str">
        <f t="shared" si="118"/>
        <v>17201-7365</v>
      </c>
      <c r="D1904" s="64" t="s">
        <v>2371</v>
      </c>
      <c r="E1904" s="64" t="s">
        <v>83</v>
      </c>
      <c r="F1904" s="64" t="s">
        <v>15</v>
      </c>
      <c r="G1904" s="64" t="s">
        <v>62</v>
      </c>
      <c r="H1904" s="64" t="s">
        <v>63</v>
      </c>
      <c r="I1904" s="64" t="s">
        <v>81</v>
      </c>
      <c r="J1904" s="67">
        <v>0</v>
      </c>
      <c r="K1904" s="62">
        <v>18750</v>
      </c>
      <c r="L1904" s="33" t="e">
        <f>HLOOKUP(B1904,#REF!,1,0)</f>
        <v>#REF!</v>
      </c>
      <c r="M1904" s="33" t="str">
        <f t="shared" si="119"/>
        <v>BS</v>
      </c>
    </row>
    <row r="1905" spans="1:13" s="33" customFormat="true" ht="12.75" customHeight="true">
      <c r="A1905" s="33" t="str">
        <f t="shared" si="116"/>
        <v>SCL - Fixed Assets</v>
      </c>
      <c r="B1905" s="33" t="str">
        <f t="shared" si="117"/>
        <v>SCL</v>
      </c>
      <c r="C1905" s="33" t="str">
        <f t="shared" si="118"/>
        <v>17201-7366</v>
      </c>
      <c r="D1905" s="64" t="s">
        <v>2372</v>
      </c>
      <c r="E1905" s="64" t="s">
        <v>83</v>
      </c>
      <c r="F1905" s="64" t="s">
        <v>15</v>
      </c>
      <c r="G1905" s="64" t="s">
        <v>62</v>
      </c>
      <c r="H1905" s="64" t="s">
        <v>63</v>
      </c>
      <c r="I1905" s="64" t="s">
        <v>81</v>
      </c>
      <c r="J1905" s="67">
        <v>0</v>
      </c>
      <c r="K1905" s="62">
        <v>18750</v>
      </c>
      <c r="L1905" s="33" t="e">
        <f>HLOOKUP(B1905,#REF!,1,0)</f>
        <v>#REF!</v>
      </c>
      <c r="M1905" s="33" t="str">
        <f t="shared" si="119"/>
        <v>BS</v>
      </c>
    </row>
    <row r="1906" spans="1:13" s="33" customFormat="true" ht="12.75" customHeight="true">
      <c r="A1906" s="33" t="str">
        <f t="shared" si="116"/>
        <v>SCL - Fixed Assets</v>
      </c>
      <c r="B1906" s="33" t="str">
        <f t="shared" si="117"/>
        <v>SCL</v>
      </c>
      <c r="C1906" s="33" t="str">
        <f t="shared" si="118"/>
        <v>17201-7368</v>
      </c>
      <c r="D1906" s="64" t="s">
        <v>2373</v>
      </c>
      <c r="E1906" s="64" t="s">
        <v>83</v>
      </c>
      <c r="F1906" s="64" t="s">
        <v>15</v>
      </c>
      <c r="G1906" s="64" t="s">
        <v>62</v>
      </c>
      <c r="H1906" s="64" t="s">
        <v>63</v>
      </c>
      <c r="I1906" s="64" t="s">
        <v>81</v>
      </c>
      <c r="J1906" s="67">
        <v>0</v>
      </c>
      <c r="K1906" s="62">
        <v>25000</v>
      </c>
      <c r="L1906" s="33" t="e">
        <f>HLOOKUP(B1906,#REF!,1,0)</f>
        <v>#REF!</v>
      </c>
      <c r="M1906" s="33" t="str">
        <f t="shared" si="119"/>
        <v>BS</v>
      </c>
    </row>
    <row r="1907" spans="1:13" s="33" customFormat="true" ht="12.75" customHeight="true">
      <c r="A1907" s="33" t="str">
        <f t="shared" si="116"/>
        <v>SCL - Fixed Assets</v>
      </c>
      <c r="B1907" s="33" t="str">
        <f t="shared" si="117"/>
        <v>SCL</v>
      </c>
      <c r="C1907" s="33" t="str">
        <f t="shared" si="118"/>
        <v>17201-7369</v>
      </c>
      <c r="D1907" s="64" t="s">
        <v>2374</v>
      </c>
      <c r="E1907" s="64" t="s">
        <v>83</v>
      </c>
      <c r="F1907" s="64" t="s">
        <v>15</v>
      </c>
      <c r="G1907" s="64" t="s">
        <v>62</v>
      </c>
      <c r="H1907" s="64" t="s">
        <v>63</v>
      </c>
      <c r="I1907" s="64" t="s">
        <v>81</v>
      </c>
      <c r="J1907" s="67">
        <v>0</v>
      </c>
      <c r="K1907" s="62">
        <v>27625</v>
      </c>
      <c r="L1907" s="33" t="e">
        <f>HLOOKUP(B1907,#REF!,1,0)</f>
        <v>#REF!</v>
      </c>
      <c r="M1907" s="33" t="str">
        <f t="shared" si="119"/>
        <v>BS</v>
      </c>
    </row>
    <row r="1908" spans="1:13" s="33" customFormat="true" ht="12.75" customHeight="true">
      <c r="A1908" s="33" t="str">
        <f t="shared" si="116"/>
        <v>SCL - Fixed Assets</v>
      </c>
      <c r="B1908" s="33" t="str">
        <f t="shared" si="117"/>
        <v>SCL</v>
      </c>
      <c r="C1908" s="33" t="str">
        <f t="shared" si="118"/>
        <v>17201-7371</v>
      </c>
      <c r="D1908" s="64" t="s">
        <v>2375</v>
      </c>
      <c r="E1908" s="64" t="s">
        <v>83</v>
      </c>
      <c r="F1908" s="64" t="s">
        <v>15</v>
      </c>
      <c r="G1908" s="64" t="s">
        <v>62</v>
      </c>
      <c r="H1908" s="64" t="s">
        <v>63</v>
      </c>
      <c r="I1908" s="64" t="s">
        <v>81</v>
      </c>
      <c r="J1908" s="67">
        <v>0</v>
      </c>
      <c r="K1908" s="62">
        <v>24375</v>
      </c>
      <c r="L1908" s="33" t="e">
        <f>HLOOKUP(B1908,#REF!,1,0)</f>
        <v>#REF!</v>
      </c>
      <c r="M1908" s="33" t="str">
        <f t="shared" si="119"/>
        <v>BS</v>
      </c>
    </row>
    <row r="1909" spans="1:13" s="33" customFormat="true" ht="12.75" customHeight="true">
      <c r="A1909" s="33" t="str">
        <f t="shared" si="116"/>
        <v>SCL - Fixed Assets</v>
      </c>
      <c r="B1909" s="33" t="str">
        <f t="shared" si="117"/>
        <v>SCL</v>
      </c>
      <c r="C1909" s="33" t="str">
        <f t="shared" si="118"/>
        <v>17201-7374</v>
      </c>
      <c r="D1909" s="64" t="s">
        <v>2376</v>
      </c>
      <c r="E1909" s="64" t="s">
        <v>83</v>
      </c>
      <c r="F1909" s="64" t="s">
        <v>15</v>
      </c>
      <c r="G1909" s="64" t="s">
        <v>62</v>
      </c>
      <c r="H1909" s="64" t="s">
        <v>63</v>
      </c>
      <c r="I1909" s="64" t="s">
        <v>81</v>
      </c>
      <c r="J1909" s="67">
        <v>0</v>
      </c>
      <c r="K1909" s="62">
        <v>23750</v>
      </c>
      <c r="L1909" s="33" t="e">
        <f>HLOOKUP(B1909,#REF!,1,0)</f>
        <v>#REF!</v>
      </c>
      <c r="M1909" s="33" t="str">
        <f t="shared" si="119"/>
        <v>BS</v>
      </c>
    </row>
    <row r="1910" spans="1:13" s="33" customFormat="true" ht="12.75" customHeight="true">
      <c r="A1910" s="33" t="str">
        <f t="shared" si="116"/>
        <v>SCL - Fixed Assets</v>
      </c>
      <c r="B1910" s="33" t="str">
        <f t="shared" si="117"/>
        <v>SCL</v>
      </c>
      <c r="C1910" s="33" t="str">
        <f t="shared" si="118"/>
        <v>17201-7375</v>
      </c>
      <c r="D1910" s="64" t="s">
        <v>2377</v>
      </c>
      <c r="E1910" s="64" t="s">
        <v>83</v>
      </c>
      <c r="F1910" s="64" t="s">
        <v>15</v>
      </c>
      <c r="G1910" s="64" t="s">
        <v>62</v>
      </c>
      <c r="H1910" s="64" t="s">
        <v>63</v>
      </c>
      <c r="I1910" s="64" t="s">
        <v>81</v>
      </c>
      <c r="J1910" s="67">
        <v>0</v>
      </c>
      <c r="K1910" s="62">
        <v>28125</v>
      </c>
      <c r="L1910" s="33" t="e">
        <f>HLOOKUP(B1910,#REF!,1,0)</f>
        <v>#REF!</v>
      </c>
      <c r="M1910" s="33" t="str">
        <f t="shared" si="119"/>
        <v>BS</v>
      </c>
    </row>
    <row r="1911" spans="1:13" s="33" customFormat="true" ht="12.75" customHeight="true">
      <c r="A1911" s="33" t="str">
        <f t="shared" si="116"/>
        <v>SCL - Fixed Assets</v>
      </c>
      <c r="B1911" s="33" t="str">
        <f t="shared" si="117"/>
        <v>SCL</v>
      </c>
      <c r="C1911" s="33" t="str">
        <f t="shared" si="118"/>
        <v>17201-7376</v>
      </c>
      <c r="D1911" s="64" t="s">
        <v>2378</v>
      </c>
      <c r="E1911" s="64" t="s">
        <v>83</v>
      </c>
      <c r="F1911" s="64" t="s">
        <v>15</v>
      </c>
      <c r="G1911" s="64" t="s">
        <v>62</v>
      </c>
      <c r="H1911" s="64" t="s">
        <v>63</v>
      </c>
      <c r="I1911" s="64" t="s">
        <v>81</v>
      </c>
      <c r="J1911" s="67">
        <v>0</v>
      </c>
      <c r="K1911" s="62">
        <v>27625</v>
      </c>
      <c r="L1911" s="33" t="e">
        <f>HLOOKUP(B1911,#REF!,1,0)</f>
        <v>#REF!</v>
      </c>
      <c r="M1911" s="33" t="str">
        <f t="shared" si="119"/>
        <v>BS</v>
      </c>
    </row>
    <row r="1912" spans="1:13" s="33" customFormat="true" ht="12.75" customHeight="true">
      <c r="A1912" s="33" t="str">
        <f t="shared" si="116"/>
        <v>SCL - Fixed Assets</v>
      </c>
      <c r="B1912" s="33" t="str">
        <f t="shared" si="117"/>
        <v>SCL</v>
      </c>
      <c r="C1912" s="33" t="str">
        <f t="shared" si="118"/>
        <v>17201-7377</v>
      </c>
      <c r="D1912" s="64" t="s">
        <v>2379</v>
      </c>
      <c r="E1912" s="64" t="s">
        <v>83</v>
      </c>
      <c r="F1912" s="64" t="s">
        <v>15</v>
      </c>
      <c r="G1912" s="64" t="s">
        <v>62</v>
      </c>
      <c r="H1912" s="64" t="s">
        <v>63</v>
      </c>
      <c r="I1912" s="64" t="s">
        <v>81</v>
      </c>
      <c r="J1912" s="67">
        <v>0</v>
      </c>
      <c r="K1912" s="62">
        <v>26000</v>
      </c>
      <c r="L1912" s="33" t="e">
        <f>HLOOKUP(B1912,#REF!,1,0)</f>
        <v>#REF!</v>
      </c>
      <c r="M1912" s="33" t="str">
        <f t="shared" si="119"/>
        <v>BS</v>
      </c>
    </row>
    <row r="1913" spans="1:13" s="33" customFormat="true" ht="12.75" customHeight="true">
      <c r="A1913" s="33" t="str">
        <f t="shared" si="116"/>
        <v>SCL - Fixed Assets</v>
      </c>
      <c r="B1913" s="33" t="str">
        <f t="shared" si="117"/>
        <v>SCL</v>
      </c>
      <c r="C1913" s="33" t="str">
        <f t="shared" si="118"/>
        <v>17201-7378</v>
      </c>
      <c r="D1913" s="64" t="s">
        <v>2380</v>
      </c>
      <c r="E1913" s="64" t="s">
        <v>83</v>
      </c>
      <c r="F1913" s="64" t="s">
        <v>15</v>
      </c>
      <c r="G1913" s="64" t="s">
        <v>62</v>
      </c>
      <c r="H1913" s="64" t="s">
        <v>63</v>
      </c>
      <c r="I1913" s="64" t="s">
        <v>81</v>
      </c>
      <c r="J1913" s="67">
        <v>0</v>
      </c>
      <c r="K1913" s="62">
        <v>18750</v>
      </c>
      <c r="L1913" s="33" t="e">
        <f>HLOOKUP(B1913,#REF!,1,0)</f>
        <v>#REF!</v>
      </c>
      <c r="M1913" s="33" t="str">
        <f t="shared" si="119"/>
        <v>BS</v>
      </c>
    </row>
    <row r="1914" spans="1:13" s="33" customFormat="true" ht="12.75" customHeight="true">
      <c r="A1914" s="33" t="str">
        <f t="shared" si="116"/>
        <v>SCL - Fixed Assets</v>
      </c>
      <c r="B1914" s="33" t="str">
        <f t="shared" si="117"/>
        <v>SCL</v>
      </c>
      <c r="C1914" s="33" t="str">
        <f t="shared" si="118"/>
        <v>17201-7379</v>
      </c>
      <c r="D1914" s="64" t="s">
        <v>2381</v>
      </c>
      <c r="E1914" s="64" t="s">
        <v>83</v>
      </c>
      <c r="F1914" s="64" t="s">
        <v>15</v>
      </c>
      <c r="G1914" s="64" t="s">
        <v>62</v>
      </c>
      <c r="H1914" s="64" t="s">
        <v>63</v>
      </c>
      <c r="I1914" s="64" t="s">
        <v>81</v>
      </c>
      <c r="J1914" s="67">
        <v>0</v>
      </c>
      <c r="K1914" s="62">
        <v>31250</v>
      </c>
      <c r="L1914" s="33" t="e">
        <f>HLOOKUP(B1914,#REF!,1,0)</f>
        <v>#REF!</v>
      </c>
      <c r="M1914" s="33" t="str">
        <f t="shared" si="119"/>
        <v>BS</v>
      </c>
    </row>
    <row r="1915" spans="1:13" s="33" customFormat="true" ht="12.75" customHeight="true">
      <c r="A1915" s="33" t="str">
        <f t="shared" si="116"/>
        <v>SCL - Fixed Assets</v>
      </c>
      <c r="B1915" s="33" t="str">
        <f t="shared" si="117"/>
        <v>SCL</v>
      </c>
      <c r="C1915" s="33" t="str">
        <f t="shared" si="118"/>
        <v>17201-7380</v>
      </c>
      <c r="D1915" s="64" t="s">
        <v>2382</v>
      </c>
      <c r="E1915" s="64" t="s">
        <v>83</v>
      </c>
      <c r="F1915" s="64" t="s">
        <v>15</v>
      </c>
      <c r="G1915" s="64" t="s">
        <v>62</v>
      </c>
      <c r="H1915" s="64" t="s">
        <v>63</v>
      </c>
      <c r="I1915" s="64" t="s">
        <v>81</v>
      </c>
      <c r="J1915" s="67">
        <v>0</v>
      </c>
      <c r="K1915" s="62">
        <v>28750</v>
      </c>
      <c r="L1915" s="33" t="e">
        <f>HLOOKUP(B1915,#REF!,1,0)</f>
        <v>#REF!</v>
      </c>
      <c r="M1915" s="33" t="str">
        <f t="shared" si="119"/>
        <v>BS</v>
      </c>
    </row>
    <row r="1916" spans="1:13" s="33" customFormat="true" ht="12.75" customHeight="true">
      <c r="A1916" s="33" t="str">
        <f t="shared" si="116"/>
        <v>SCL - Fixed Assets</v>
      </c>
      <c r="B1916" s="33" t="str">
        <f t="shared" si="117"/>
        <v>SCL</v>
      </c>
      <c r="C1916" s="33" t="str">
        <f t="shared" si="118"/>
        <v>17201-7381</v>
      </c>
      <c r="D1916" s="64" t="s">
        <v>2383</v>
      </c>
      <c r="E1916" s="64" t="s">
        <v>83</v>
      </c>
      <c r="F1916" s="64" t="s">
        <v>15</v>
      </c>
      <c r="G1916" s="64" t="s">
        <v>62</v>
      </c>
      <c r="H1916" s="64" t="s">
        <v>63</v>
      </c>
      <c r="I1916" s="64" t="s">
        <v>81</v>
      </c>
      <c r="J1916" s="67">
        <v>0</v>
      </c>
      <c r="K1916" s="62">
        <v>37625</v>
      </c>
      <c r="L1916" s="33" t="e">
        <f>HLOOKUP(B1916,#REF!,1,0)</f>
        <v>#REF!</v>
      </c>
      <c r="M1916" s="33" t="str">
        <f t="shared" si="119"/>
        <v>BS</v>
      </c>
    </row>
    <row r="1917" spans="1:13" s="33" customFormat="true" ht="12.75" customHeight="true">
      <c r="A1917" s="33" t="str">
        <f t="shared" si="116"/>
        <v>SCL - Fixed Assets</v>
      </c>
      <c r="B1917" s="33" t="str">
        <f t="shared" si="117"/>
        <v>SCL</v>
      </c>
      <c r="C1917" s="33" t="str">
        <f t="shared" si="118"/>
        <v>17201-7383</v>
      </c>
      <c r="D1917" s="64" t="s">
        <v>2384</v>
      </c>
      <c r="E1917" s="64" t="s">
        <v>83</v>
      </c>
      <c r="F1917" s="64" t="s">
        <v>15</v>
      </c>
      <c r="G1917" s="64" t="s">
        <v>62</v>
      </c>
      <c r="H1917" s="64" t="s">
        <v>63</v>
      </c>
      <c r="I1917" s="64" t="s">
        <v>81</v>
      </c>
      <c r="J1917" s="67">
        <v>0</v>
      </c>
      <c r="K1917" s="62">
        <v>30000</v>
      </c>
      <c r="L1917" s="33" t="e">
        <f>HLOOKUP(B1917,#REF!,1,0)</f>
        <v>#REF!</v>
      </c>
      <c r="M1917" s="33" t="str">
        <f t="shared" si="119"/>
        <v>BS</v>
      </c>
    </row>
    <row r="1918" spans="1:13" s="33" customFormat="true" ht="12.75" customHeight="true">
      <c r="A1918" s="33" t="str">
        <f t="shared" si="116"/>
        <v>SCL - Fixed Assets</v>
      </c>
      <c r="B1918" s="33" t="str">
        <f t="shared" si="117"/>
        <v>SCL</v>
      </c>
      <c r="C1918" s="33" t="str">
        <f t="shared" si="118"/>
        <v>17201-7385</v>
      </c>
      <c r="D1918" s="64" t="s">
        <v>2385</v>
      </c>
      <c r="E1918" s="64" t="s">
        <v>83</v>
      </c>
      <c r="F1918" s="64" t="s">
        <v>15</v>
      </c>
      <c r="G1918" s="64" t="s">
        <v>62</v>
      </c>
      <c r="H1918" s="64" t="s">
        <v>63</v>
      </c>
      <c r="I1918" s="64" t="s">
        <v>81</v>
      </c>
      <c r="J1918" s="67">
        <v>0</v>
      </c>
      <c r="K1918" s="62">
        <v>28750</v>
      </c>
      <c r="L1918" s="33" t="e">
        <f>HLOOKUP(B1918,#REF!,1,0)</f>
        <v>#REF!</v>
      </c>
      <c r="M1918" s="33" t="str">
        <f t="shared" si="119"/>
        <v>BS</v>
      </c>
    </row>
    <row r="1919" spans="1:13" s="33" customFormat="true" ht="12.75" customHeight="true">
      <c r="A1919" s="33" t="str">
        <f t="shared" si="116"/>
        <v>SCL - Fixed Assets</v>
      </c>
      <c r="B1919" s="33" t="str">
        <f t="shared" si="117"/>
        <v>SCL</v>
      </c>
      <c r="C1919" s="33" t="str">
        <f t="shared" si="118"/>
        <v>17201-7386</v>
      </c>
      <c r="D1919" s="64" t="s">
        <v>2386</v>
      </c>
      <c r="E1919" s="64" t="s">
        <v>83</v>
      </c>
      <c r="F1919" s="64" t="s">
        <v>15</v>
      </c>
      <c r="G1919" s="64" t="s">
        <v>62</v>
      </c>
      <c r="H1919" s="64" t="s">
        <v>63</v>
      </c>
      <c r="I1919" s="64" t="s">
        <v>81</v>
      </c>
      <c r="J1919" s="67">
        <v>0</v>
      </c>
      <c r="K1919" s="62">
        <v>30000</v>
      </c>
      <c r="L1919" s="33" t="e">
        <f>HLOOKUP(B1919,#REF!,1,0)</f>
        <v>#REF!</v>
      </c>
      <c r="M1919" s="33" t="str">
        <f t="shared" si="119"/>
        <v>BS</v>
      </c>
    </row>
    <row r="1920" spans="1:13" s="33" customFormat="true" ht="12.75" customHeight="true">
      <c r="A1920" s="33" t="str">
        <f t="shared" si="116"/>
        <v>SCL - Fixed Assets</v>
      </c>
      <c r="B1920" s="33" t="str">
        <f t="shared" si="117"/>
        <v>SCL</v>
      </c>
      <c r="C1920" s="33" t="str">
        <f t="shared" si="118"/>
        <v>17201-7387</v>
      </c>
      <c r="D1920" s="64" t="s">
        <v>2387</v>
      </c>
      <c r="E1920" s="64" t="s">
        <v>83</v>
      </c>
      <c r="F1920" s="64" t="s">
        <v>15</v>
      </c>
      <c r="G1920" s="64" t="s">
        <v>62</v>
      </c>
      <c r="H1920" s="64" t="s">
        <v>63</v>
      </c>
      <c r="I1920" s="64" t="s">
        <v>81</v>
      </c>
      <c r="J1920" s="67">
        <v>0</v>
      </c>
      <c r="K1920" s="62">
        <v>32500</v>
      </c>
      <c r="L1920" s="33" t="e">
        <f>HLOOKUP(B1920,#REF!,1,0)</f>
        <v>#REF!</v>
      </c>
      <c r="M1920" s="33" t="str">
        <f t="shared" si="119"/>
        <v>BS</v>
      </c>
    </row>
    <row r="1921" spans="1:13" s="33" customFormat="true" ht="12.75" customHeight="true">
      <c r="A1921" s="33" t="str">
        <f t="shared" si="116"/>
        <v>SCL - Fixed Assets</v>
      </c>
      <c r="B1921" s="33" t="str">
        <f t="shared" si="117"/>
        <v>SCL</v>
      </c>
      <c r="C1921" s="33" t="str">
        <f t="shared" si="118"/>
        <v>17201-7389</v>
      </c>
      <c r="D1921" s="64" t="s">
        <v>2388</v>
      </c>
      <c r="E1921" s="64" t="s">
        <v>83</v>
      </c>
      <c r="F1921" s="64" t="s">
        <v>15</v>
      </c>
      <c r="G1921" s="64" t="s">
        <v>62</v>
      </c>
      <c r="H1921" s="64" t="s">
        <v>63</v>
      </c>
      <c r="I1921" s="64" t="s">
        <v>81</v>
      </c>
      <c r="J1921" s="67">
        <v>0</v>
      </c>
      <c r="K1921" s="62">
        <v>34375</v>
      </c>
      <c r="L1921" s="33" t="e">
        <f>HLOOKUP(B1921,#REF!,1,0)</f>
        <v>#REF!</v>
      </c>
      <c r="M1921" s="33" t="str">
        <f t="shared" si="119"/>
        <v>BS</v>
      </c>
    </row>
    <row r="1922" spans="1:13" s="33" customFormat="true" ht="12.75" customHeight="true">
      <c r="A1922" s="33" t="str">
        <f t="shared" ref="A1922:A1985" si="120">B1922&amp;" - "&amp;TRIM(H1922)</f>
        <v>SCL - Fixed Assets</v>
      </c>
      <c r="B1922" s="33" t="str">
        <f t="shared" ref="B1922:B1985" si="121">LEFT(D1922,3)</f>
        <v>SCL</v>
      </c>
      <c r="C1922" s="33" t="str">
        <f t="shared" ref="C1922:C1985" si="122">RIGHT(D1922,10)</f>
        <v>17201-7391</v>
      </c>
      <c r="D1922" s="64" t="s">
        <v>2389</v>
      </c>
      <c r="E1922" s="64" t="s">
        <v>83</v>
      </c>
      <c r="F1922" s="64" t="s">
        <v>15</v>
      </c>
      <c r="G1922" s="64" t="s">
        <v>62</v>
      </c>
      <c r="H1922" s="64" t="s">
        <v>63</v>
      </c>
      <c r="I1922" s="64" t="s">
        <v>81</v>
      </c>
      <c r="J1922" s="67">
        <v>0</v>
      </c>
      <c r="K1922" s="62">
        <v>37625</v>
      </c>
      <c r="L1922" s="33" t="e">
        <f>HLOOKUP(B1922,#REF!,1,0)</f>
        <v>#REF!</v>
      </c>
      <c r="M1922" s="33" t="str">
        <f t="shared" ref="M1922:M1985" si="123">IF(VALUE(LEFT(C1922,5))&gt;40000,"P&amp;L","BS")</f>
        <v>BS</v>
      </c>
    </row>
    <row r="1923" spans="1:13" s="33" customFormat="true" ht="12.75" customHeight="true">
      <c r="A1923" s="33" t="str">
        <f t="shared" si="120"/>
        <v>SCL - Fixed Assets</v>
      </c>
      <c r="B1923" s="33" t="str">
        <f t="shared" si="121"/>
        <v>SCL</v>
      </c>
      <c r="C1923" s="33" t="str">
        <f t="shared" si="122"/>
        <v>17201-7393</v>
      </c>
      <c r="D1923" s="64" t="s">
        <v>2390</v>
      </c>
      <c r="E1923" s="64" t="s">
        <v>83</v>
      </c>
      <c r="F1923" s="64" t="s">
        <v>15</v>
      </c>
      <c r="G1923" s="64" t="s">
        <v>62</v>
      </c>
      <c r="H1923" s="64" t="s">
        <v>63</v>
      </c>
      <c r="I1923" s="64" t="s">
        <v>81</v>
      </c>
      <c r="J1923" s="67">
        <v>0</v>
      </c>
      <c r="K1923" s="62">
        <v>34375</v>
      </c>
      <c r="L1923" s="33" t="e">
        <f>HLOOKUP(B1923,#REF!,1,0)</f>
        <v>#REF!</v>
      </c>
      <c r="M1923" s="33" t="str">
        <f t="shared" si="123"/>
        <v>BS</v>
      </c>
    </row>
    <row r="1924" spans="1:13" s="33" customFormat="true" ht="12.75" customHeight="true">
      <c r="A1924" s="33" t="str">
        <f t="shared" si="120"/>
        <v>SCL - Fixed Assets</v>
      </c>
      <c r="B1924" s="33" t="str">
        <f t="shared" si="121"/>
        <v>SCL</v>
      </c>
      <c r="C1924" s="33" t="str">
        <f t="shared" si="122"/>
        <v>17201-7394</v>
      </c>
      <c r="D1924" s="64" t="s">
        <v>2391</v>
      </c>
      <c r="E1924" s="64" t="s">
        <v>83</v>
      </c>
      <c r="F1924" s="64" t="s">
        <v>15</v>
      </c>
      <c r="G1924" s="64" t="s">
        <v>62</v>
      </c>
      <c r="H1924" s="64" t="s">
        <v>63</v>
      </c>
      <c r="I1924" s="64" t="s">
        <v>81</v>
      </c>
      <c r="J1924" s="67">
        <v>0</v>
      </c>
      <c r="K1924" s="62">
        <v>32500</v>
      </c>
      <c r="L1924" s="33" t="e">
        <f>HLOOKUP(B1924,#REF!,1,0)</f>
        <v>#REF!</v>
      </c>
      <c r="M1924" s="33" t="str">
        <f t="shared" si="123"/>
        <v>BS</v>
      </c>
    </row>
    <row r="1925" spans="1:13" s="33" customFormat="true" ht="12.75" customHeight="true">
      <c r="A1925" s="33" t="str">
        <f t="shared" si="120"/>
        <v>SCL - Fixed Assets</v>
      </c>
      <c r="B1925" s="33" t="str">
        <f t="shared" si="121"/>
        <v>SCL</v>
      </c>
      <c r="C1925" s="33" t="str">
        <f t="shared" si="122"/>
        <v>17201-7396</v>
      </c>
      <c r="D1925" s="64" t="s">
        <v>2392</v>
      </c>
      <c r="E1925" s="64" t="s">
        <v>83</v>
      </c>
      <c r="F1925" s="64" t="s">
        <v>15</v>
      </c>
      <c r="G1925" s="64" t="s">
        <v>62</v>
      </c>
      <c r="H1925" s="64" t="s">
        <v>63</v>
      </c>
      <c r="I1925" s="64" t="s">
        <v>81</v>
      </c>
      <c r="J1925" s="67">
        <v>0</v>
      </c>
      <c r="K1925" s="62">
        <v>34375</v>
      </c>
      <c r="L1925" s="33" t="e">
        <f>HLOOKUP(B1925,#REF!,1,0)</f>
        <v>#REF!</v>
      </c>
      <c r="M1925" s="33" t="str">
        <f t="shared" si="123"/>
        <v>BS</v>
      </c>
    </row>
    <row r="1926" spans="1:13" s="33" customFormat="true" ht="12.75" customHeight="true">
      <c r="A1926" s="33" t="str">
        <f t="shared" si="120"/>
        <v>SCL - Fixed Assets</v>
      </c>
      <c r="B1926" s="33" t="str">
        <f t="shared" si="121"/>
        <v>SCL</v>
      </c>
      <c r="C1926" s="33" t="str">
        <f t="shared" si="122"/>
        <v>17201-7397</v>
      </c>
      <c r="D1926" s="64" t="s">
        <v>2393</v>
      </c>
      <c r="E1926" s="64" t="s">
        <v>83</v>
      </c>
      <c r="F1926" s="64" t="s">
        <v>15</v>
      </c>
      <c r="G1926" s="64" t="s">
        <v>62</v>
      </c>
      <c r="H1926" s="64" t="s">
        <v>63</v>
      </c>
      <c r="I1926" s="64" t="s">
        <v>81</v>
      </c>
      <c r="J1926" s="67">
        <v>0</v>
      </c>
      <c r="K1926" s="62">
        <v>33750</v>
      </c>
      <c r="L1926" s="33" t="e">
        <f>HLOOKUP(B1926,#REF!,1,0)</f>
        <v>#REF!</v>
      </c>
      <c r="M1926" s="33" t="str">
        <f t="shared" si="123"/>
        <v>BS</v>
      </c>
    </row>
    <row r="1927" spans="1:13" s="33" customFormat="true" ht="12.75" customHeight="true">
      <c r="A1927" s="33" t="str">
        <f t="shared" si="120"/>
        <v>SCL - Fixed Assets</v>
      </c>
      <c r="B1927" s="33" t="str">
        <f t="shared" si="121"/>
        <v>SCL</v>
      </c>
      <c r="C1927" s="33" t="str">
        <f t="shared" si="122"/>
        <v>17201-7398</v>
      </c>
      <c r="D1927" s="64" t="s">
        <v>2394</v>
      </c>
      <c r="E1927" s="64" t="s">
        <v>83</v>
      </c>
      <c r="F1927" s="64" t="s">
        <v>15</v>
      </c>
      <c r="G1927" s="64" t="s">
        <v>62</v>
      </c>
      <c r="H1927" s="64" t="s">
        <v>63</v>
      </c>
      <c r="I1927" s="64" t="s">
        <v>81</v>
      </c>
      <c r="J1927" s="67">
        <v>0</v>
      </c>
      <c r="K1927" s="62">
        <v>32500</v>
      </c>
      <c r="L1927" s="33" t="e">
        <f>HLOOKUP(B1927,#REF!,1,0)</f>
        <v>#REF!</v>
      </c>
      <c r="M1927" s="33" t="str">
        <f t="shared" si="123"/>
        <v>BS</v>
      </c>
    </row>
    <row r="1928" spans="1:13" s="33" customFormat="true" ht="12.75" customHeight="true">
      <c r="A1928" s="33" t="str">
        <f t="shared" si="120"/>
        <v>SCL - Fixed Assets</v>
      </c>
      <c r="B1928" s="33" t="str">
        <f t="shared" si="121"/>
        <v>SCL</v>
      </c>
      <c r="C1928" s="33" t="str">
        <f t="shared" si="122"/>
        <v>17201-7400</v>
      </c>
      <c r="D1928" s="64" t="s">
        <v>2395</v>
      </c>
      <c r="E1928" s="64" t="s">
        <v>83</v>
      </c>
      <c r="F1928" s="64" t="s">
        <v>15</v>
      </c>
      <c r="G1928" s="64" t="s">
        <v>62</v>
      </c>
      <c r="H1928" s="64" t="s">
        <v>63</v>
      </c>
      <c r="I1928" s="64" t="s">
        <v>81</v>
      </c>
      <c r="J1928" s="67">
        <v>0</v>
      </c>
      <c r="K1928" s="62">
        <v>33750</v>
      </c>
      <c r="L1928" s="33" t="e">
        <f>HLOOKUP(B1928,#REF!,1,0)</f>
        <v>#REF!</v>
      </c>
      <c r="M1928" s="33" t="str">
        <f t="shared" si="123"/>
        <v>BS</v>
      </c>
    </row>
    <row r="1929" spans="1:13" s="33" customFormat="true" ht="12.75" customHeight="true">
      <c r="A1929" s="33" t="str">
        <f t="shared" si="120"/>
        <v>SCL - Fixed Assets</v>
      </c>
      <c r="B1929" s="33" t="str">
        <f t="shared" si="121"/>
        <v>SCL</v>
      </c>
      <c r="C1929" s="33" t="str">
        <f t="shared" si="122"/>
        <v>17201-7401</v>
      </c>
      <c r="D1929" s="64" t="s">
        <v>2396</v>
      </c>
      <c r="E1929" s="64" t="s">
        <v>83</v>
      </c>
      <c r="F1929" s="64" t="s">
        <v>15</v>
      </c>
      <c r="G1929" s="64" t="s">
        <v>62</v>
      </c>
      <c r="H1929" s="64" t="s">
        <v>63</v>
      </c>
      <c r="I1929" s="64" t="s">
        <v>81</v>
      </c>
      <c r="J1929" s="67">
        <v>0</v>
      </c>
      <c r="K1929" s="62">
        <v>30000</v>
      </c>
      <c r="L1929" s="33" t="e">
        <f>HLOOKUP(B1929,#REF!,1,0)</f>
        <v>#REF!</v>
      </c>
      <c r="M1929" s="33" t="str">
        <f t="shared" si="123"/>
        <v>BS</v>
      </c>
    </row>
    <row r="1930" spans="1:13" s="33" customFormat="true" ht="12.75" customHeight="true">
      <c r="A1930" s="33" t="str">
        <f t="shared" si="120"/>
        <v>SCL - Fixed Assets</v>
      </c>
      <c r="B1930" s="33" t="str">
        <f t="shared" si="121"/>
        <v>SCL</v>
      </c>
      <c r="C1930" s="33" t="str">
        <f t="shared" si="122"/>
        <v>17201-7402</v>
      </c>
      <c r="D1930" s="64" t="s">
        <v>2397</v>
      </c>
      <c r="E1930" s="64" t="s">
        <v>83</v>
      </c>
      <c r="F1930" s="64" t="s">
        <v>15</v>
      </c>
      <c r="G1930" s="64" t="s">
        <v>62</v>
      </c>
      <c r="H1930" s="64" t="s">
        <v>63</v>
      </c>
      <c r="I1930" s="64" t="s">
        <v>81</v>
      </c>
      <c r="J1930" s="67">
        <v>0</v>
      </c>
      <c r="K1930" s="62">
        <v>37625</v>
      </c>
      <c r="L1930" s="33" t="e">
        <f>HLOOKUP(B1930,#REF!,1,0)</f>
        <v>#REF!</v>
      </c>
      <c r="M1930" s="33" t="str">
        <f t="shared" si="123"/>
        <v>BS</v>
      </c>
    </row>
    <row r="1931" spans="1:13" s="33" customFormat="true" ht="12.75" customHeight="true">
      <c r="A1931" s="33" t="str">
        <f t="shared" si="120"/>
        <v>SCL - Fixed Assets</v>
      </c>
      <c r="B1931" s="33" t="str">
        <f t="shared" si="121"/>
        <v>SCL</v>
      </c>
      <c r="C1931" s="33" t="str">
        <f t="shared" si="122"/>
        <v>17201-7403</v>
      </c>
      <c r="D1931" s="64" t="s">
        <v>2398</v>
      </c>
      <c r="E1931" s="64" t="s">
        <v>83</v>
      </c>
      <c r="F1931" s="64" t="s">
        <v>15</v>
      </c>
      <c r="G1931" s="64" t="s">
        <v>62</v>
      </c>
      <c r="H1931" s="64" t="s">
        <v>63</v>
      </c>
      <c r="I1931" s="64" t="s">
        <v>81</v>
      </c>
      <c r="J1931" s="67">
        <v>0</v>
      </c>
      <c r="K1931" s="62">
        <v>31250</v>
      </c>
      <c r="L1931" s="33" t="e">
        <f>HLOOKUP(B1931,#REF!,1,0)</f>
        <v>#REF!</v>
      </c>
      <c r="M1931" s="33" t="str">
        <f t="shared" si="123"/>
        <v>BS</v>
      </c>
    </row>
    <row r="1932" spans="1:13" s="33" customFormat="true" ht="12.75" customHeight="true">
      <c r="A1932" s="33" t="str">
        <f t="shared" si="120"/>
        <v>SCL - Fixed Assets</v>
      </c>
      <c r="B1932" s="33" t="str">
        <f t="shared" si="121"/>
        <v>SCL</v>
      </c>
      <c r="C1932" s="33" t="str">
        <f t="shared" si="122"/>
        <v>17201-7406</v>
      </c>
      <c r="D1932" s="64" t="s">
        <v>2399</v>
      </c>
      <c r="E1932" s="64" t="s">
        <v>83</v>
      </c>
      <c r="F1932" s="64" t="s">
        <v>15</v>
      </c>
      <c r="G1932" s="64" t="s">
        <v>62</v>
      </c>
      <c r="H1932" s="64" t="s">
        <v>63</v>
      </c>
      <c r="I1932" s="64" t="s">
        <v>81</v>
      </c>
      <c r="J1932" s="67">
        <v>0</v>
      </c>
      <c r="K1932" s="62">
        <v>0</v>
      </c>
      <c r="L1932" s="33" t="e">
        <f>HLOOKUP(B1932,#REF!,1,0)</f>
        <v>#REF!</v>
      </c>
      <c r="M1932" s="33" t="str">
        <f t="shared" si="123"/>
        <v>BS</v>
      </c>
    </row>
    <row r="1933" spans="1:13" s="33" customFormat="true" ht="12.75" customHeight="true">
      <c r="A1933" s="33" t="str">
        <f t="shared" si="120"/>
        <v>SCL - Fixed Assets</v>
      </c>
      <c r="B1933" s="33" t="str">
        <f t="shared" si="121"/>
        <v>SCL</v>
      </c>
      <c r="C1933" s="33" t="str">
        <f t="shared" si="122"/>
        <v>17201-7489</v>
      </c>
      <c r="D1933" s="64" t="s">
        <v>2400</v>
      </c>
      <c r="E1933" s="64" t="s">
        <v>83</v>
      </c>
      <c r="F1933" s="64" t="s">
        <v>15</v>
      </c>
      <c r="G1933" s="64" t="s">
        <v>62</v>
      </c>
      <c r="H1933" s="64" t="s">
        <v>63</v>
      </c>
      <c r="I1933" s="64" t="s">
        <v>81</v>
      </c>
      <c r="J1933" s="67">
        <v>0</v>
      </c>
      <c r="K1933" s="62">
        <v>45000</v>
      </c>
      <c r="L1933" s="33" t="e">
        <f>HLOOKUP(B1933,#REF!,1,0)</f>
        <v>#REF!</v>
      </c>
      <c r="M1933" s="33" t="str">
        <f t="shared" si="123"/>
        <v>BS</v>
      </c>
    </row>
    <row r="1934" spans="1:13" s="33" customFormat="true" ht="12.75" customHeight="true">
      <c r="A1934" s="33" t="str">
        <f t="shared" si="120"/>
        <v>SCL - Fixed Assets</v>
      </c>
      <c r="B1934" s="33" t="str">
        <f t="shared" si="121"/>
        <v>SCL</v>
      </c>
      <c r="C1934" s="33" t="str">
        <f t="shared" si="122"/>
        <v>17201-7491</v>
      </c>
      <c r="D1934" s="64" t="s">
        <v>2401</v>
      </c>
      <c r="E1934" s="64" t="s">
        <v>83</v>
      </c>
      <c r="F1934" s="64" t="s">
        <v>15</v>
      </c>
      <c r="G1934" s="64" t="s">
        <v>62</v>
      </c>
      <c r="H1934" s="64" t="s">
        <v>63</v>
      </c>
      <c r="I1934" s="64" t="s">
        <v>81</v>
      </c>
      <c r="J1934" s="67">
        <v>0</v>
      </c>
      <c r="K1934" s="62">
        <v>40875</v>
      </c>
      <c r="L1934" s="33" t="e">
        <f>HLOOKUP(B1934,#REF!,1,0)</f>
        <v>#REF!</v>
      </c>
      <c r="M1934" s="33" t="str">
        <f t="shared" si="123"/>
        <v>BS</v>
      </c>
    </row>
    <row r="1935" spans="1:13" s="33" customFormat="true" ht="12.75" customHeight="true">
      <c r="A1935" s="33" t="str">
        <f t="shared" si="120"/>
        <v>SCL - Fixed Assets</v>
      </c>
      <c r="B1935" s="33" t="str">
        <f t="shared" si="121"/>
        <v>SCL</v>
      </c>
      <c r="C1935" s="33" t="str">
        <f t="shared" si="122"/>
        <v>17201-7492</v>
      </c>
      <c r="D1935" s="64" t="s">
        <v>2402</v>
      </c>
      <c r="E1935" s="64" t="s">
        <v>83</v>
      </c>
      <c r="F1935" s="64" t="s">
        <v>15</v>
      </c>
      <c r="G1935" s="64" t="s">
        <v>62</v>
      </c>
      <c r="H1935" s="64" t="s">
        <v>63</v>
      </c>
      <c r="I1935" s="64" t="s">
        <v>81</v>
      </c>
      <c r="J1935" s="67">
        <v>0</v>
      </c>
      <c r="K1935" s="62">
        <v>37625</v>
      </c>
      <c r="L1935" s="33" t="e">
        <f>HLOOKUP(B1935,#REF!,1,0)</f>
        <v>#REF!</v>
      </c>
      <c r="M1935" s="33" t="str">
        <f t="shared" si="123"/>
        <v>BS</v>
      </c>
    </row>
    <row r="1936" spans="1:13" s="33" customFormat="true" ht="12.75" customHeight="true">
      <c r="A1936" s="33" t="str">
        <f t="shared" si="120"/>
        <v>SCL - Fixed Assets</v>
      </c>
      <c r="B1936" s="33" t="str">
        <f t="shared" si="121"/>
        <v>SCL</v>
      </c>
      <c r="C1936" s="33" t="str">
        <f t="shared" si="122"/>
        <v>17201-7493</v>
      </c>
      <c r="D1936" s="64" t="s">
        <v>2403</v>
      </c>
      <c r="E1936" s="64" t="s">
        <v>83</v>
      </c>
      <c r="F1936" s="64" t="s">
        <v>15</v>
      </c>
      <c r="G1936" s="64" t="s">
        <v>62</v>
      </c>
      <c r="H1936" s="64" t="s">
        <v>63</v>
      </c>
      <c r="I1936" s="64" t="s">
        <v>81</v>
      </c>
      <c r="J1936" s="67">
        <v>0</v>
      </c>
      <c r="K1936" s="62">
        <v>35000</v>
      </c>
      <c r="L1936" s="33" t="e">
        <f>HLOOKUP(B1936,#REF!,1,0)</f>
        <v>#REF!</v>
      </c>
      <c r="M1936" s="33" t="str">
        <f t="shared" si="123"/>
        <v>BS</v>
      </c>
    </row>
    <row r="1937" spans="1:13" s="33" customFormat="true" ht="12.75" customHeight="true">
      <c r="A1937" s="33" t="str">
        <f t="shared" si="120"/>
        <v>SCL - Fixed Assets</v>
      </c>
      <c r="B1937" s="33" t="str">
        <f t="shared" si="121"/>
        <v>SCL</v>
      </c>
      <c r="C1937" s="33" t="str">
        <f t="shared" si="122"/>
        <v>17201-7494</v>
      </c>
      <c r="D1937" s="64" t="s">
        <v>2404</v>
      </c>
      <c r="E1937" s="64" t="s">
        <v>83</v>
      </c>
      <c r="F1937" s="64" t="s">
        <v>15</v>
      </c>
      <c r="G1937" s="64" t="s">
        <v>62</v>
      </c>
      <c r="H1937" s="64" t="s">
        <v>63</v>
      </c>
      <c r="I1937" s="64" t="s">
        <v>81</v>
      </c>
      <c r="J1937" s="67">
        <v>0</v>
      </c>
      <c r="K1937" s="62">
        <v>36000</v>
      </c>
      <c r="L1937" s="33" t="e">
        <f>HLOOKUP(B1937,#REF!,1,0)</f>
        <v>#REF!</v>
      </c>
      <c r="M1937" s="33" t="str">
        <f t="shared" si="123"/>
        <v>BS</v>
      </c>
    </row>
    <row r="1938" spans="1:13" s="33" customFormat="true" ht="12.75" customHeight="true">
      <c r="A1938" s="33" t="str">
        <f t="shared" si="120"/>
        <v>SCL - Fixed Assets</v>
      </c>
      <c r="B1938" s="33" t="str">
        <f t="shared" si="121"/>
        <v>SCL</v>
      </c>
      <c r="C1938" s="33" t="str">
        <f t="shared" si="122"/>
        <v>17201-7625</v>
      </c>
      <c r="D1938" s="64" t="s">
        <v>2405</v>
      </c>
      <c r="E1938" s="64" t="s">
        <v>83</v>
      </c>
      <c r="F1938" s="64" t="s">
        <v>15</v>
      </c>
      <c r="G1938" s="64" t="s">
        <v>62</v>
      </c>
      <c r="H1938" s="64" t="s">
        <v>63</v>
      </c>
      <c r="I1938" s="64" t="s">
        <v>81</v>
      </c>
      <c r="J1938" s="67">
        <v>0</v>
      </c>
      <c r="K1938" s="62">
        <v>10000</v>
      </c>
      <c r="L1938" s="33" t="e">
        <f>HLOOKUP(B1938,#REF!,1,0)</f>
        <v>#REF!</v>
      </c>
      <c r="M1938" s="33" t="str">
        <f t="shared" si="123"/>
        <v>BS</v>
      </c>
    </row>
    <row r="1939" spans="1:13" s="33" customFormat="true" ht="12.75" customHeight="true">
      <c r="A1939" s="33" t="str">
        <f t="shared" si="120"/>
        <v>SCL - Fixed Assets</v>
      </c>
      <c r="B1939" s="33" t="str">
        <f t="shared" si="121"/>
        <v>SCL</v>
      </c>
      <c r="C1939" s="33" t="str">
        <f t="shared" si="122"/>
        <v>17201-8150</v>
      </c>
      <c r="D1939" s="64" t="s">
        <v>2406</v>
      </c>
      <c r="E1939" s="64" t="s">
        <v>83</v>
      </c>
      <c r="F1939" s="64" t="s">
        <v>15</v>
      </c>
      <c r="G1939" s="64" t="s">
        <v>62</v>
      </c>
      <c r="H1939" s="64" t="s">
        <v>63</v>
      </c>
      <c r="I1939" s="64" t="s">
        <v>81</v>
      </c>
      <c r="J1939" s="67">
        <v>0</v>
      </c>
      <c r="K1939" s="62">
        <v>25000</v>
      </c>
      <c r="L1939" s="33" t="e">
        <f>HLOOKUP(B1939,#REF!,1,0)</f>
        <v>#REF!</v>
      </c>
      <c r="M1939" s="33" t="str">
        <f t="shared" si="123"/>
        <v>BS</v>
      </c>
    </row>
    <row r="1940" spans="1:13" s="33" customFormat="true" ht="12.75" customHeight="true">
      <c r="A1940" s="33" t="str">
        <f t="shared" si="120"/>
        <v>SCL - Fixed Assets</v>
      </c>
      <c r="B1940" s="33" t="str">
        <f t="shared" si="121"/>
        <v>SCL</v>
      </c>
      <c r="C1940" s="33" t="str">
        <f t="shared" si="122"/>
        <v>17701-0000</v>
      </c>
      <c r="D1940" s="64" t="s">
        <v>2407</v>
      </c>
      <c r="E1940" s="64" t="s">
        <v>2408</v>
      </c>
      <c r="F1940" s="64" t="s">
        <v>15</v>
      </c>
      <c r="G1940" s="64" t="s">
        <v>62</v>
      </c>
      <c r="H1940" s="64" t="s">
        <v>63</v>
      </c>
      <c r="I1940" s="64" t="s">
        <v>81</v>
      </c>
      <c r="J1940" s="67">
        <v>0</v>
      </c>
      <c r="K1940" s="62">
        <v>512700</v>
      </c>
      <c r="L1940" s="33" t="e">
        <f>HLOOKUP(B1940,#REF!,1,0)</f>
        <v>#REF!</v>
      </c>
      <c r="M1940" s="33" t="str">
        <f t="shared" si="123"/>
        <v>BS</v>
      </c>
    </row>
    <row r="1941" spans="1:13" s="33" customFormat="true" ht="12.75" customHeight="true">
      <c r="A1941" s="33" t="str">
        <f t="shared" si="120"/>
        <v>SCL - Fixed Assets</v>
      </c>
      <c r="B1941" s="33" t="str">
        <f t="shared" si="121"/>
        <v>SCL</v>
      </c>
      <c r="C1941" s="33" t="str">
        <f t="shared" si="122"/>
        <v>18501-0000</v>
      </c>
      <c r="D1941" s="64" t="s">
        <v>2409</v>
      </c>
      <c r="E1941" s="64" t="s">
        <v>88</v>
      </c>
      <c r="F1941" s="64" t="s">
        <v>15</v>
      </c>
      <c r="G1941" s="64" t="s">
        <v>62</v>
      </c>
      <c r="H1941" s="64" t="s">
        <v>63</v>
      </c>
      <c r="I1941" s="64" t="s">
        <v>81</v>
      </c>
      <c r="J1941" s="67">
        <v>0</v>
      </c>
      <c r="K1941" s="62">
        <v>-35125321.2</v>
      </c>
      <c r="L1941" s="33" t="e">
        <f>HLOOKUP(B1941,#REF!,1,0)</f>
        <v>#REF!</v>
      </c>
      <c r="M1941" s="33" t="str">
        <f t="shared" si="123"/>
        <v>BS</v>
      </c>
    </row>
    <row r="1942" spans="1:13" s="33" customFormat="true" ht="12.75" customHeight="true">
      <c r="A1942" s="33" t="str">
        <f t="shared" si="120"/>
        <v>SCL - AP-Accr Exp</v>
      </c>
      <c r="B1942" s="33" t="str">
        <f t="shared" si="121"/>
        <v>SCL</v>
      </c>
      <c r="C1942" s="33" t="str">
        <f t="shared" si="122"/>
        <v>20001-0000</v>
      </c>
      <c r="D1942" s="64" t="s">
        <v>2410</v>
      </c>
      <c r="E1942" s="64" t="s">
        <v>96</v>
      </c>
      <c r="F1942" s="64" t="s">
        <v>15</v>
      </c>
      <c r="G1942" s="64" t="s">
        <v>97</v>
      </c>
      <c r="H1942" s="64" t="s">
        <v>98</v>
      </c>
      <c r="I1942" s="64" t="s">
        <v>99</v>
      </c>
      <c r="J1942" s="67">
        <v>-75565.95</v>
      </c>
      <c r="K1942" s="62">
        <v>-179085.63</v>
      </c>
      <c r="L1942" s="33" t="e">
        <f>HLOOKUP(B1942,#REF!,1,0)</f>
        <v>#REF!</v>
      </c>
      <c r="M1942" s="33" t="str">
        <f t="shared" si="123"/>
        <v>BS</v>
      </c>
    </row>
    <row r="1943" spans="1:13" s="33" customFormat="true" ht="12.75" customHeight="true">
      <c r="A1943" s="33" t="str">
        <f t="shared" si="120"/>
        <v>SCL - AP-Accr Exp</v>
      </c>
      <c r="B1943" s="33" t="str">
        <f t="shared" si="121"/>
        <v>SCL</v>
      </c>
      <c r="C1943" s="33" t="str">
        <f t="shared" si="122"/>
        <v>21001-0000</v>
      </c>
      <c r="D1943" s="64" t="s">
        <v>2411</v>
      </c>
      <c r="E1943" s="64" t="s">
        <v>101</v>
      </c>
      <c r="F1943" s="64" t="s">
        <v>15</v>
      </c>
      <c r="G1943" s="64" t="s">
        <v>97</v>
      </c>
      <c r="H1943" s="64" t="s">
        <v>98</v>
      </c>
      <c r="I1943" s="64" t="s">
        <v>102</v>
      </c>
      <c r="J1943" s="67">
        <v>0</v>
      </c>
      <c r="K1943" s="62">
        <v>-134163</v>
      </c>
      <c r="L1943" s="33" t="e">
        <f>HLOOKUP(B1943,#REF!,1,0)</f>
        <v>#REF!</v>
      </c>
      <c r="M1943" s="33" t="str">
        <f t="shared" si="123"/>
        <v>BS</v>
      </c>
    </row>
    <row r="1944" spans="1:13" s="33" customFormat="true" ht="12.75" customHeight="true">
      <c r="A1944" s="33" t="str">
        <f t="shared" si="120"/>
        <v>SCL - Tax Accr</v>
      </c>
      <c r="B1944" s="33" t="str">
        <f t="shared" si="121"/>
        <v>SCL</v>
      </c>
      <c r="C1944" s="33" t="str">
        <f t="shared" si="122"/>
        <v>22001-0000</v>
      </c>
      <c r="D1944" s="64" t="s">
        <v>2412</v>
      </c>
      <c r="E1944" s="64" t="s">
        <v>104</v>
      </c>
      <c r="F1944" s="64" t="s">
        <v>15</v>
      </c>
      <c r="G1944" s="64" t="s">
        <v>97</v>
      </c>
      <c r="H1944" s="64" t="s">
        <v>105</v>
      </c>
      <c r="I1944" s="64" t="s">
        <v>102</v>
      </c>
      <c r="J1944" s="67">
        <v>-63982.94</v>
      </c>
      <c r="K1944" s="62">
        <v>-668795.95</v>
      </c>
      <c r="L1944" s="33" t="e">
        <f>HLOOKUP(B1944,#REF!,1,0)</f>
        <v>#REF!</v>
      </c>
      <c r="M1944" s="33" t="str">
        <f t="shared" si="123"/>
        <v>BS</v>
      </c>
    </row>
    <row r="1945" spans="1:13" s="33" customFormat="true" ht="12.75" customHeight="true">
      <c r="A1945" s="33" t="str">
        <f t="shared" si="120"/>
        <v>SCL - AP-Accr Exp</v>
      </c>
      <c r="B1945" s="33" t="str">
        <f t="shared" si="121"/>
        <v>SCL</v>
      </c>
      <c r="C1945" s="33" t="str">
        <f t="shared" si="122"/>
        <v>23405-0000</v>
      </c>
      <c r="D1945" s="64" t="s">
        <v>2413</v>
      </c>
      <c r="E1945" s="64" t="s">
        <v>107</v>
      </c>
      <c r="F1945" s="64" t="s">
        <v>15</v>
      </c>
      <c r="G1945" s="64" t="s">
        <v>97</v>
      </c>
      <c r="H1945" s="64" t="s">
        <v>98</v>
      </c>
      <c r="I1945" s="64" t="s">
        <v>102</v>
      </c>
      <c r="J1945" s="67">
        <v>0</v>
      </c>
      <c r="K1945" s="62">
        <v>2429.03</v>
      </c>
      <c r="L1945" s="33" t="e">
        <f>HLOOKUP(B1945,#REF!,1,0)</f>
        <v>#REF!</v>
      </c>
      <c r="M1945" s="33" t="str">
        <f t="shared" si="123"/>
        <v>BS</v>
      </c>
    </row>
    <row r="1946" spans="1:13" s="33" customFormat="true" ht="12.75" customHeight="true">
      <c r="A1946" s="33" t="str">
        <f t="shared" si="120"/>
        <v>SCL - AP-Accr Exp</v>
      </c>
      <c r="B1946" s="33" t="str">
        <f t="shared" si="121"/>
        <v>SCL</v>
      </c>
      <c r="C1946" s="33" t="str">
        <f t="shared" si="122"/>
        <v>23406-0000</v>
      </c>
      <c r="D1946" s="64" t="s">
        <v>2414</v>
      </c>
      <c r="E1946" s="64" t="s">
        <v>109</v>
      </c>
      <c r="F1946" s="64" t="s">
        <v>15</v>
      </c>
      <c r="G1946" s="64" t="s">
        <v>97</v>
      </c>
      <c r="H1946" s="64" t="s">
        <v>98</v>
      </c>
      <c r="I1946" s="64" t="s">
        <v>102</v>
      </c>
      <c r="J1946" s="67">
        <v>0</v>
      </c>
      <c r="K1946" s="62">
        <v>-66631.33</v>
      </c>
      <c r="L1946" s="33" t="e">
        <f>HLOOKUP(B1946,#REF!,1,0)</f>
        <v>#REF!</v>
      </c>
      <c r="M1946" s="33" t="str">
        <f t="shared" si="123"/>
        <v>BS</v>
      </c>
    </row>
    <row r="1947" spans="1:13" s="33" customFormat="true" ht="12.75" customHeight="true">
      <c r="A1947" s="33" t="str">
        <f t="shared" si="120"/>
        <v>SCL - AP-Accr Exp</v>
      </c>
      <c r="B1947" s="33" t="str">
        <f t="shared" si="121"/>
        <v>SCL</v>
      </c>
      <c r="C1947" s="33" t="str">
        <f t="shared" si="122"/>
        <v>23509-0000</v>
      </c>
      <c r="D1947" s="64" t="s">
        <v>2415</v>
      </c>
      <c r="E1947" s="64" t="s">
        <v>111</v>
      </c>
      <c r="F1947" s="64" t="s">
        <v>15</v>
      </c>
      <c r="G1947" s="64" t="s">
        <v>97</v>
      </c>
      <c r="H1947" s="64" t="s">
        <v>98</v>
      </c>
      <c r="I1947" s="64" t="s">
        <v>102</v>
      </c>
      <c r="J1947" s="67">
        <v>0</v>
      </c>
      <c r="K1947" s="62">
        <v>-25240.26</v>
      </c>
      <c r="L1947" s="33" t="e">
        <f>HLOOKUP(B1947,#REF!,1,0)</f>
        <v>#REF!</v>
      </c>
      <c r="M1947" s="33" t="str">
        <f t="shared" si="123"/>
        <v>BS</v>
      </c>
    </row>
    <row r="1948" spans="1:13" s="33" customFormat="true" ht="12.75" customHeight="true">
      <c r="A1948" s="33" t="str">
        <f t="shared" si="120"/>
        <v>SCL - AP-Accr Exp</v>
      </c>
      <c r="B1948" s="33" t="str">
        <f t="shared" si="121"/>
        <v>SCL</v>
      </c>
      <c r="C1948" s="33" t="str">
        <f t="shared" si="122"/>
        <v>23909-0000</v>
      </c>
      <c r="D1948" s="64" t="s">
        <v>2416</v>
      </c>
      <c r="E1948" s="64" t="s">
        <v>113</v>
      </c>
      <c r="F1948" s="64" t="s">
        <v>15</v>
      </c>
      <c r="G1948" s="64" t="s">
        <v>97</v>
      </c>
      <c r="H1948" s="64" t="s">
        <v>98</v>
      </c>
      <c r="I1948" s="64" t="s">
        <v>102</v>
      </c>
      <c r="J1948" s="67">
        <v>-48116.8</v>
      </c>
      <c r="K1948" s="62">
        <v>-847925.35</v>
      </c>
      <c r="L1948" s="33" t="e">
        <f>HLOOKUP(B1948,#REF!,1,0)</f>
        <v>#REF!</v>
      </c>
      <c r="M1948" s="33" t="str">
        <f t="shared" si="123"/>
        <v>BS</v>
      </c>
    </row>
    <row r="1949" spans="1:13" s="33" customFormat="true" ht="12.75" customHeight="true">
      <c r="A1949" s="33" t="str">
        <f t="shared" si="120"/>
        <v>SCL - AP-Accr Exp</v>
      </c>
      <c r="B1949" s="33" t="str">
        <f t="shared" si="121"/>
        <v>SCL</v>
      </c>
      <c r="C1949" s="33" t="str">
        <f t="shared" si="122"/>
        <v>23915-0000</v>
      </c>
      <c r="D1949" s="64" t="s">
        <v>2417</v>
      </c>
      <c r="E1949" s="64" t="s">
        <v>2418</v>
      </c>
      <c r="F1949" s="64" t="s">
        <v>15</v>
      </c>
      <c r="G1949" s="64" t="s">
        <v>97</v>
      </c>
      <c r="H1949" s="64" t="s">
        <v>98</v>
      </c>
      <c r="I1949" s="64" t="s">
        <v>102</v>
      </c>
      <c r="J1949" s="67">
        <v>0</v>
      </c>
      <c r="K1949" s="62">
        <v>-895930.78</v>
      </c>
      <c r="L1949" s="33" t="e">
        <f>HLOOKUP(B1949,#REF!,1,0)</f>
        <v>#REF!</v>
      </c>
      <c r="M1949" s="33" t="str">
        <f t="shared" si="123"/>
        <v>BS</v>
      </c>
    </row>
    <row r="1950" spans="1:13" s="33" customFormat="true" ht="12.75" customHeight="true">
      <c r="A1950" s="33" t="str">
        <f t="shared" si="120"/>
        <v>SCL - AP-Accr Exp</v>
      </c>
      <c r="B1950" s="33" t="str">
        <f t="shared" si="121"/>
        <v>SCL</v>
      </c>
      <c r="C1950" s="33" t="str">
        <f t="shared" si="122"/>
        <v>24400-0000</v>
      </c>
      <c r="D1950" s="64" t="s">
        <v>2419</v>
      </c>
      <c r="E1950" s="64" t="s">
        <v>115</v>
      </c>
      <c r="F1950" s="64" t="s">
        <v>15</v>
      </c>
      <c r="G1950" s="64" t="s">
        <v>97</v>
      </c>
      <c r="H1950" s="64" t="s">
        <v>98</v>
      </c>
      <c r="I1950" s="64" t="s">
        <v>102</v>
      </c>
      <c r="J1950" s="67">
        <v>-2148.56</v>
      </c>
      <c r="K1950" s="62">
        <v>-668357.79</v>
      </c>
      <c r="L1950" s="33" t="e">
        <f>HLOOKUP(B1950,#REF!,1,0)</f>
        <v>#REF!</v>
      </c>
      <c r="M1950" s="33" t="str">
        <f t="shared" si="123"/>
        <v>BS</v>
      </c>
    </row>
    <row r="1951" spans="1:13" s="33" customFormat="true" ht="12.75" customHeight="true">
      <c r="A1951" s="33" t="str">
        <f t="shared" si="120"/>
        <v>SCL - AP-Accr Exp</v>
      </c>
      <c r="B1951" s="33" t="str">
        <f t="shared" si="121"/>
        <v>SCL</v>
      </c>
      <c r="C1951" s="33" t="str">
        <f t="shared" si="122"/>
        <v>24400-7351</v>
      </c>
      <c r="D1951" s="64" t="s">
        <v>2420</v>
      </c>
      <c r="E1951" s="64" t="s">
        <v>115</v>
      </c>
      <c r="F1951" s="64" t="s">
        <v>15</v>
      </c>
      <c r="G1951" s="64" t="s">
        <v>97</v>
      </c>
      <c r="H1951" s="64" t="s">
        <v>98</v>
      </c>
      <c r="I1951" s="64" t="s">
        <v>102</v>
      </c>
      <c r="J1951" s="67">
        <v>93.9</v>
      </c>
      <c r="K1951" s="62">
        <v>14127.43</v>
      </c>
      <c r="L1951" s="33" t="e">
        <f>HLOOKUP(B1951,#REF!,1,0)</f>
        <v>#REF!</v>
      </c>
      <c r="M1951" s="33" t="str">
        <f t="shared" si="123"/>
        <v>BS</v>
      </c>
    </row>
    <row r="1952" spans="1:13" s="33" customFormat="true" ht="12.75" customHeight="true">
      <c r="A1952" s="33" t="str">
        <f t="shared" si="120"/>
        <v>SCL - AP-Accr Exp</v>
      </c>
      <c r="B1952" s="33" t="str">
        <f t="shared" si="121"/>
        <v>SCL</v>
      </c>
      <c r="C1952" s="33" t="str">
        <f t="shared" si="122"/>
        <v>24400-7352</v>
      </c>
      <c r="D1952" s="64" t="s">
        <v>2421</v>
      </c>
      <c r="E1952" s="64" t="s">
        <v>115</v>
      </c>
      <c r="F1952" s="64" t="s">
        <v>15</v>
      </c>
      <c r="G1952" s="64" t="s">
        <v>97</v>
      </c>
      <c r="H1952" s="64" t="s">
        <v>98</v>
      </c>
      <c r="I1952" s="64" t="s">
        <v>102</v>
      </c>
      <c r="J1952" s="67">
        <v>52.86</v>
      </c>
      <c r="K1952" s="62">
        <v>14526.13</v>
      </c>
      <c r="L1952" s="33" t="e">
        <f>HLOOKUP(B1952,#REF!,1,0)</f>
        <v>#REF!</v>
      </c>
      <c r="M1952" s="33" t="str">
        <f t="shared" si="123"/>
        <v>BS</v>
      </c>
    </row>
    <row r="1953" spans="1:13" s="33" customFormat="true" ht="12.75" customHeight="true">
      <c r="A1953" s="33" t="str">
        <f t="shared" si="120"/>
        <v>SCL - AP-Accr Exp</v>
      </c>
      <c r="B1953" s="33" t="str">
        <f t="shared" si="121"/>
        <v>SCL</v>
      </c>
      <c r="C1953" s="33" t="str">
        <f t="shared" si="122"/>
        <v>24400-7353</v>
      </c>
      <c r="D1953" s="64" t="s">
        <v>2422</v>
      </c>
      <c r="E1953" s="64" t="s">
        <v>115</v>
      </c>
      <c r="F1953" s="64" t="s">
        <v>15</v>
      </c>
      <c r="G1953" s="64" t="s">
        <v>97</v>
      </c>
      <c r="H1953" s="64" t="s">
        <v>98</v>
      </c>
      <c r="I1953" s="64" t="s">
        <v>102</v>
      </c>
      <c r="J1953" s="67">
        <v>0</v>
      </c>
      <c r="K1953" s="62">
        <v>3972.96</v>
      </c>
      <c r="L1953" s="33" t="e">
        <f>HLOOKUP(B1953,#REF!,1,0)</f>
        <v>#REF!</v>
      </c>
      <c r="M1953" s="33" t="str">
        <f t="shared" si="123"/>
        <v>BS</v>
      </c>
    </row>
    <row r="1954" spans="1:13" s="33" customFormat="true" ht="12.75" customHeight="true">
      <c r="A1954" s="33" t="str">
        <f t="shared" si="120"/>
        <v>SCL - AP-Accr Exp</v>
      </c>
      <c r="B1954" s="33" t="str">
        <f t="shared" si="121"/>
        <v>SCL</v>
      </c>
      <c r="C1954" s="33" t="str">
        <f t="shared" si="122"/>
        <v>24400-7354</v>
      </c>
      <c r="D1954" s="64" t="s">
        <v>2423</v>
      </c>
      <c r="E1954" s="64" t="s">
        <v>115</v>
      </c>
      <c r="F1954" s="64" t="s">
        <v>15</v>
      </c>
      <c r="G1954" s="64" t="s">
        <v>97</v>
      </c>
      <c r="H1954" s="64" t="s">
        <v>98</v>
      </c>
      <c r="I1954" s="64" t="s">
        <v>102</v>
      </c>
      <c r="J1954" s="67">
        <v>0</v>
      </c>
      <c r="K1954" s="62">
        <v>1723.43</v>
      </c>
      <c r="L1954" s="33" t="e">
        <f>HLOOKUP(B1954,#REF!,1,0)</f>
        <v>#REF!</v>
      </c>
      <c r="M1954" s="33" t="str">
        <f t="shared" si="123"/>
        <v>BS</v>
      </c>
    </row>
    <row r="1955" spans="1:13" s="33" customFormat="true" ht="12.75" customHeight="true">
      <c r="A1955" s="33" t="str">
        <f t="shared" si="120"/>
        <v>SCL - AP-Accr Exp</v>
      </c>
      <c r="B1955" s="33" t="str">
        <f t="shared" si="121"/>
        <v>SCL</v>
      </c>
      <c r="C1955" s="33" t="str">
        <f t="shared" si="122"/>
        <v>24400-7355</v>
      </c>
      <c r="D1955" s="64" t="s">
        <v>2424</v>
      </c>
      <c r="E1955" s="64" t="s">
        <v>115</v>
      </c>
      <c r="F1955" s="64" t="s">
        <v>15</v>
      </c>
      <c r="G1955" s="64" t="s">
        <v>97</v>
      </c>
      <c r="H1955" s="64" t="s">
        <v>98</v>
      </c>
      <c r="I1955" s="64" t="s">
        <v>102</v>
      </c>
      <c r="J1955" s="67">
        <v>-203.66</v>
      </c>
      <c r="K1955" s="62">
        <v>12039.32</v>
      </c>
      <c r="L1955" s="33" t="e">
        <f>HLOOKUP(B1955,#REF!,1,0)</f>
        <v>#REF!</v>
      </c>
      <c r="M1955" s="33" t="str">
        <f t="shared" si="123"/>
        <v>BS</v>
      </c>
    </row>
    <row r="1956" spans="1:13" s="33" customFormat="true" ht="12.75" customHeight="true">
      <c r="A1956" s="33" t="str">
        <f t="shared" si="120"/>
        <v>SCL - AP-Accr Exp</v>
      </c>
      <c r="B1956" s="33" t="str">
        <f t="shared" si="121"/>
        <v>SCL</v>
      </c>
      <c r="C1956" s="33" t="str">
        <f t="shared" si="122"/>
        <v>24400-7356</v>
      </c>
      <c r="D1956" s="64" t="s">
        <v>2425</v>
      </c>
      <c r="E1956" s="64" t="s">
        <v>115</v>
      </c>
      <c r="F1956" s="64" t="s">
        <v>15</v>
      </c>
      <c r="G1956" s="64" t="s">
        <v>97</v>
      </c>
      <c r="H1956" s="64" t="s">
        <v>98</v>
      </c>
      <c r="I1956" s="64" t="s">
        <v>102</v>
      </c>
      <c r="J1956" s="67">
        <v>0</v>
      </c>
      <c r="K1956" s="62">
        <v>7771.29</v>
      </c>
      <c r="L1956" s="33" t="e">
        <f>HLOOKUP(B1956,#REF!,1,0)</f>
        <v>#REF!</v>
      </c>
      <c r="M1956" s="33" t="str">
        <f t="shared" si="123"/>
        <v>BS</v>
      </c>
    </row>
    <row r="1957" spans="1:13" s="33" customFormat="true" ht="12.75" customHeight="true">
      <c r="A1957" s="33" t="str">
        <f t="shared" si="120"/>
        <v>SCL - AP-Accr Exp</v>
      </c>
      <c r="B1957" s="33" t="str">
        <f t="shared" si="121"/>
        <v>SCL</v>
      </c>
      <c r="C1957" s="33" t="str">
        <f t="shared" si="122"/>
        <v>24400-7359</v>
      </c>
      <c r="D1957" s="64" t="s">
        <v>2426</v>
      </c>
      <c r="E1957" s="64" t="s">
        <v>115</v>
      </c>
      <c r="F1957" s="64" t="s">
        <v>15</v>
      </c>
      <c r="G1957" s="64" t="s">
        <v>97</v>
      </c>
      <c r="H1957" s="64" t="s">
        <v>98</v>
      </c>
      <c r="I1957" s="64" t="s">
        <v>102</v>
      </c>
      <c r="J1957" s="67">
        <v>49.01</v>
      </c>
      <c r="K1957" s="62">
        <v>9286.88</v>
      </c>
      <c r="L1957" s="33" t="e">
        <f>HLOOKUP(B1957,#REF!,1,0)</f>
        <v>#REF!</v>
      </c>
      <c r="M1957" s="33" t="str">
        <f t="shared" si="123"/>
        <v>BS</v>
      </c>
    </row>
    <row r="1958" spans="1:13" s="33" customFormat="true" ht="12.75" customHeight="true">
      <c r="A1958" s="33" t="str">
        <f t="shared" si="120"/>
        <v>SCL - AP-Accr Exp</v>
      </c>
      <c r="B1958" s="33" t="str">
        <f t="shared" si="121"/>
        <v>SCL</v>
      </c>
      <c r="C1958" s="33" t="str">
        <f t="shared" si="122"/>
        <v>24400-7360</v>
      </c>
      <c r="D1958" s="64" t="s">
        <v>2427</v>
      </c>
      <c r="E1958" s="64" t="s">
        <v>115</v>
      </c>
      <c r="F1958" s="64" t="s">
        <v>15</v>
      </c>
      <c r="G1958" s="64" t="s">
        <v>97</v>
      </c>
      <c r="H1958" s="64" t="s">
        <v>98</v>
      </c>
      <c r="I1958" s="64" t="s">
        <v>102</v>
      </c>
      <c r="J1958" s="67">
        <v>67.5</v>
      </c>
      <c r="K1958" s="62">
        <v>12378.75</v>
      </c>
      <c r="L1958" s="33" t="e">
        <f>HLOOKUP(B1958,#REF!,1,0)</f>
        <v>#REF!</v>
      </c>
      <c r="M1958" s="33" t="str">
        <f t="shared" si="123"/>
        <v>BS</v>
      </c>
    </row>
    <row r="1959" spans="1:13" s="33" customFormat="true" ht="12.75" customHeight="true">
      <c r="A1959" s="33" t="str">
        <f t="shared" si="120"/>
        <v>SCL - AP-Accr Exp</v>
      </c>
      <c r="B1959" s="33" t="str">
        <f t="shared" si="121"/>
        <v>SCL</v>
      </c>
      <c r="C1959" s="33" t="str">
        <f t="shared" si="122"/>
        <v>24400-7361</v>
      </c>
      <c r="D1959" s="64" t="s">
        <v>2428</v>
      </c>
      <c r="E1959" s="64" t="s">
        <v>115</v>
      </c>
      <c r="F1959" s="64" t="s">
        <v>15</v>
      </c>
      <c r="G1959" s="64" t="s">
        <v>97</v>
      </c>
      <c r="H1959" s="64" t="s">
        <v>98</v>
      </c>
      <c r="I1959" s="64" t="s">
        <v>102</v>
      </c>
      <c r="J1959" s="67">
        <v>95.07</v>
      </c>
      <c r="K1959" s="62">
        <v>28072.75</v>
      </c>
      <c r="L1959" s="33" t="e">
        <f>HLOOKUP(B1959,#REF!,1,0)</f>
        <v>#REF!</v>
      </c>
      <c r="M1959" s="33" t="str">
        <f t="shared" si="123"/>
        <v>BS</v>
      </c>
    </row>
    <row r="1960" spans="1:13" s="33" customFormat="true" ht="12.75" customHeight="true">
      <c r="A1960" s="33" t="str">
        <f t="shared" si="120"/>
        <v>SCL - AP-Accr Exp</v>
      </c>
      <c r="B1960" s="33" t="str">
        <f t="shared" si="121"/>
        <v>SCL</v>
      </c>
      <c r="C1960" s="33" t="str">
        <f t="shared" si="122"/>
        <v>24400-7362</v>
      </c>
      <c r="D1960" s="64" t="s">
        <v>2429</v>
      </c>
      <c r="E1960" s="64" t="s">
        <v>115</v>
      </c>
      <c r="F1960" s="64" t="s">
        <v>15</v>
      </c>
      <c r="G1960" s="64" t="s">
        <v>97</v>
      </c>
      <c r="H1960" s="64" t="s">
        <v>98</v>
      </c>
      <c r="I1960" s="64" t="s">
        <v>102</v>
      </c>
      <c r="J1960" s="67">
        <v>102.57</v>
      </c>
      <c r="K1960" s="62">
        <v>9196.27</v>
      </c>
      <c r="L1960" s="33" t="e">
        <f>HLOOKUP(B1960,#REF!,1,0)</f>
        <v>#REF!</v>
      </c>
      <c r="M1960" s="33" t="str">
        <f t="shared" si="123"/>
        <v>BS</v>
      </c>
    </row>
    <row r="1961" spans="1:13" s="33" customFormat="true" ht="12.75" customHeight="true">
      <c r="A1961" s="33" t="str">
        <f t="shared" si="120"/>
        <v>SCL - AP-Accr Exp</v>
      </c>
      <c r="B1961" s="33" t="str">
        <f t="shared" si="121"/>
        <v>SCL</v>
      </c>
      <c r="C1961" s="33" t="str">
        <f t="shared" si="122"/>
        <v>24400-7363</v>
      </c>
      <c r="D1961" s="64" t="s">
        <v>2430</v>
      </c>
      <c r="E1961" s="64" t="s">
        <v>115</v>
      </c>
      <c r="F1961" s="64" t="s">
        <v>15</v>
      </c>
      <c r="G1961" s="64" t="s">
        <v>97</v>
      </c>
      <c r="H1961" s="64" t="s">
        <v>98</v>
      </c>
      <c r="I1961" s="64" t="s">
        <v>102</v>
      </c>
      <c r="J1961" s="67">
        <v>-25.92</v>
      </c>
      <c r="K1961" s="62">
        <v>12577.65</v>
      </c>
      <c r="L1961" s="33" t="e">
        <f>HLOOKUP(B1961,#REF!,1,0)</f>
        <v>#REF!</v>
      </c>
      <c r="M1961" s="33" t="str">
        <f t="shared" si="123"/>
        <v>BS</v>
      </c>
    </row>
    <row r="1962" spans="1:13" s="33" customFormat="true" ht="12.75" customHeight="true">
      <c r="A1962" s="33" t="str">
        <f t="shared" si="120"/>
        <v>SCL - AP-Accr Exp</v>
      </c>
      <c r="B1962" s="33" t="str">
        <f t="shared" si="121"/>
        <v>SCL</v>
      </c>
      <c r="C1962" s="33" t="str">
        <f t="shared" si="122"/>
        <v>24400-7364</v>
      </c>
      <c r="D1962" s="64" t="s">
        <v>2431</v>
      </c>
      <c r="E1962" s="64" t="s">
        <v>115</v>
      </c>
      <c r="F1962" s="64" t="s">
        <v>15</v>
      </c>
      <c r="G1962" s="64" t="s">
        <v>97</v>
      </c>
      <c r="H1962" s="64" t="s">
        <v>98</v>
      </c>
      <c r="I1962" s="64" t="s">
        <v>102</v>
      </c>
      <c r="J1962" s="67">
        <v>15.29</v>
      </c>
      <c r="K1962" s="62">
        <v>3623.53</v>
      </c>
      <c r="L1962" s="33" t="e">
        <f>HLOOKUP(B1962,#REF!,1,0)</f>
        <v>#REF!</v>
      </c>
      <c r="M1962" s="33" t="str">
        <f t="shared" si="123"/>
        <v>BS</v>
      </c>
    </row>
    <row r="1963" spans="1:13" s="33" customFormat="true" ht="12.75" customHeight="true">
      <c r="A1963" s="33" t="str">
        <f t="shared" si="120"/>
        <v>SCL - AP-Accr Exp</v>
      </c>
      <c r="B1963" s="33" t="str">
        <f t="shared" si="121"/>
        <v>SCL</v>
      </c>
      <c r="C1963" s="33" t="str">
        <f t="shared" si="122"/>
        <v>24400-7365</v>
      </c>
      <c r="D1963" s="64" t="s">
        <v>2432</v>
      </c>
      <c r="E1963" s="64" t="s">
        <v>115</v>
      </c>
      <c r="F1963" s="64" t="s">
        <v>15</v>
      </c>
      <c r="G1963" s="64" t="s">
        <v>97</v>
      </c>
      <c r="H1963" s="64" t="s">
        <v>98</v>
      </c>
      <c r="I1963" s="64" t="s">
        <v>102</v>
      </c>
      <c r="J1963" s="67">
        <v>26.94</v>
      </c>
      <c r="K1963" s="62">
        <v>15882.66</v>
      </c>
      <c r="L1963" s="33" t="e">
        <f>HLOOKUP(B1963,#REF!,1,0)</f>
        <v>#REF!</v>
      </c>
      <c r="M1963" s="33" t="str">
        <f t="shared" si="123"/>
        <v>BS</v>
      </c>
    </row>
    <row r="1964" spans="1:13" s="33" customFormat="true" ht="12.75" customHeight="true">
      <c r="A1964" s="33" t="str">
        <f t="shared" si="120"/>
        <v>SCL - AP-Accr Exp</v>
      </c>
      <c r="B1964" s="33" t="str">
        <f t="shared" si="121"/>
        <v>SCL</v>
      </c>
      <c r="C1964" s="33" t="str">
        <f t="shared" si="122"/>
        <v>24400-7366</v>
      </c>
      <c r="D1964" s="64" t="s">
        <v>2433</v>
      </c>
      <c r="E1964" s="64" t="s">
        <v>115</v>
      </c>
      <c r="F1964" s="64" t="s">
        <v>15</v>
      </c>
      <c r="G1964" s="64" t="s">
        <v>97</v>
      </c>
      <c r="H1964" s="64" t="s">
        <v>98</v>
      </c>
      <c r="I1964" s="64" t="s">
        <v>102</v>
      </c>
      <c r="J1964" s="67">
        <v>62.9</v>
      </c>
      <c r="K1964" s="62">
        <v>5420.66</v>
      </c>
      <c r="L1964" s="33" t="e">
        <f>HLOOKUP(B1964,#REF!,1,0)</f>
        <v>#REF!</v>
      </c>
      <c r="M1964" s="33" t="str">
        <f t="shared" si="123"/>
        <v>BS</v>
      </c>
    </row>
    <row r="1965" spans="1:13" s="33" customFormat="true" ht="12.75" customHeight="true">
      <c r="A1965" s="33" t="str">
        <f t="shared" si="120"/>
        <v>SCL - AP-Accr Exp</v>
      </c>
      <c r="B1965" s="33" t="str">
        <f t="shared" si="121"/>
        <v>SCL</v>
      </c>
      <c r="C1965" s="33" t="str">
        <f t="shared" si="122"/>
        <v>24400-7368</v>
      </c>
      <c r="D1965" s="64" t="s">
        <v>2434</v>
      </c>
      <c r="E1965" s="64" t="s">
        <v>115</v>
      </c>
      <c r="F1965" s="64" t="s">
        <v>15</v>
      </c>
      <c r="G1965" s="64" t="s">
        <v>97</v>
      </c>
      <c r="H1965" s="64" t="s">
        <v>98</v>
      </c>
      <c r="I1965" s="64" t="s">
        <v>102</v>
      </c>
      <c r="J1965" s="67">
        <v>82.57</v>
      </c>
      <c r="K1965" s="62">
        <v>21550.02</v>
      </c>
      <c r="L1965" s="33" t="e">
        <f>HLOOKUP(B1965,#REF!,1,0)</f>
        <v>#REF!</v>
      </c>
      <c r="M1965" s="33" t="str">
        <f t="shared" si="123"/>
        <v>BS</v>
      </c>
    </row>
    <row r="1966" spans="1:13" s="33" customFormat="true" ht="12.75" customHeight="true">
      <c r="A1966" s="33" t="str">
        <f t="shared" si="120"/>
        <v>SCL - AP-Accr Exp</v>
      </c>
      <c r="B1966" s="33" t="str">
        <f t="shared" si="121"/>
        <v>SCL</v>
      </c>
      <c r="C1966" s="33" t="str">
        <f t="shared" si="122"/>
        <v>24400-7369</v>
      </c>
      <c r="D1966" s="64" t="s">
        <v>2435</v>
      </c>
      <c r="E1966" s="64" t="s">
        <v>115</v>
      </c>
      <c r="F1966" s="64" t="s">
        <v>15</v>
      </c>
      <c r="G1966" s="64" t="s">
        <v>97</v>
      </c>
      <c r="H1966" s="64" t="s">
        <v>98</v>
      </c>
      <c r="I1966" s="64" t="s">
        <v>102</v>
      </c>
      <c r="J1966" s="67">
        <v>79.85</v>
      </c>
      <c r="K1966" s="62">
        <v>12822.5</v>
      </c>
      <c r="L1966" s="33" t="e">
        <f>HLOOKUP(B1966,#REF!,1,0)</f>
        <v>#REF!</v>
      </c>
      <c r="M1966" s="33" t="str">
        <f t="shared" si="123"/>
        <v>BS</v>
      </c>
    </row>
    <row r="1967" spans="1:13" s="33" customFormat="true" ht="12.75" customHeight="true">
      <c r="A1967" s="33" t="str">
        <f t="shared" si="120"/>
        <v>SCL - AP-Accr Exp</v>
      </c>
      <c r="B1967" s="33" t="str">
        <f t="shared" si="121"/>
        <v>SCL</v>
      </c>
      <c r="C1967" s="33" t="str">
        <f t="shared" si="122"/>
        <v>24400-7370</v>
      </c>
      <c r="D1967" s="64" t="s">
        <v>2436</v>
      </c>
      <c r="E1967" s="64" t="s">
        <v>115</v>
      </c>
      <c r="F1967" s="64" t="s">
        <v>15</v>
      </c>
      <c r="G1967" s="64" t="s">
        <v>97</v>
      </c>
      <c r="H1967" s="64" t="s">
        <v>98</v>
      </c>
      <c r="I1967" s="64" t="s">
        <v>102</v>
      </c>
      <c r="J1967" s="67">
        <v>0</v>
      </c>
      <c r="K1967" s="62">
        <v>0.1</v>
      </c>
      <c r="L1967" s="33" t="e">
        <f>HLOOKUP(B1967,#REF!,1,0)</f>
        <v>#REF!</v>
      </c>
      <c r="M1967" s="33" t="str">
        <f t="shared" si="123"/>
        <v>BS</v>
      </c>
    </row>
    <row r="1968" spans="1:13" s="33" customFormat="true" ht="12.75" customHeight="true">
      <c r="A1968" s="33" t="str">
        <f t="shared" si="120"/>
        <v>SCL - AP-Accr Exp</v>
      </c>
      <c r="B1968" s="33" t="str">
        <f t="shared" si="121"/>
        <v>SCL</v>
      </c>
      <c r="C1968" s="33" t="str">
        <f t="shared" si="122"/>
        <v>24400-7371</v>
      </c>
      <c r="D1968" s="64" t="s">
        <v>2437</v>
      </c>
      <c r="E1968" s="64" t="s">
        <v>115</v>
      </c>
      <c r="F1968" s="64" t="s">
        <v>15</v>
      </c>
      <c r="G1968" s="64" t="s">
        <v>97</v>
      </c>
      <c r="H1968" s="64" t="s">
        <v>98</v>
      </c>
      <c r="I1968" s="64" t="s">
        <v>102</v>
      </c>
      <c r="J1968" s="67">
        <v>3.58</v>
      </c>
      <c r="K1968" s="62">
        <v>12116.28</v>
      </c>
      <c r="L1968" s="33" t="e">
        <f>HLOOKUP(B1968,#REF!,1,0)</f>
        <v>#REF!</v>
      </c>
      <c r="M1968" s="33" t="str">
        <f t="shared" si="123"/>
        <v>BS</v>
      </c>
    </row>
    <row r="1969" spans="1:13" s="33" customFormat="true" ht="12.75" customHeight="true">
      <c r="A1969" s="33" t="str">
        <f t="shared" si="120"/>
        <v>SCL - AP-Accr Exp</v>
      </c>
      <c r="B1969" s="33" t="str">
        <f t="shared" si="121"/>
        <v>SCL</v>
      </c>
      <c r="C1969" s="33" t="str">
        <f t="shared" si="122"/>
        <v>24400-7374</v>
      </c>
      <c r="D1969" s="64" t="s">
        <v>2438</v>
      </c>
      <c r="E1969" s="64" t="s">
        <v>115</v>
      </c>
      <c r="F1969" s="64" t="s">
        <v>15</v>
      </c>
      <c r="G1969" s="64" t="s">
        <v>97</v>
      </c>
      <c r="H1969" s="64" t="s">
        <v>98</v>
      </c>
      <c r="I1969" s="64" t="s">
        <v>102</v>
      </c>
      <c r="J1969" s="67">
        <v>108.89</v>
      </c>
      <c r="K1969" s="62">
        <v>11610.59</v>
      </c>
      <c r="L1969" s="33" t="e">
        <f>HLOOKUP(B1969,#REF!,1,0)</f>
        <v>#REF!</v>
      </c>
      <c r="M1969" s="33" t="str">
        <f t="shared" si="123"/>
        <v>BS</v>
      </c>
    </row>
    <row r="1970" spans="1:13" s="33" customFormat="true" ht="12.75" customHeight="true">
      <c r="A1970" s="33" t="str">
        <f t="shared" si="120"/>
        <v>SCL - AP-Accr Exp</v>
      </c>
      <c r="B1970" s="33" t="str">
        <f t="shared" si="121"/>
        <v>SCL</v>
      </c>
      <c r="C1970" s="33" t="str">
        <f t="shared" si="122"/>
        <v>24400-7375</v>
      </c>
      <c r="D1970" s="64" t="s">
        <v>2439</v>
      </c>
      <c r="E1970" s="64" t="s">
        <v>115</v>
      </c>
      <c r="F1970" s="64" t="s">
        <v>15</v>
      </c>
      <c r="G1970" s="64" t="s">
        <v>97</v>
      </c>
      <c r="H1970" s="64" t="s">
        <v>98</v>
      </c>
      <c r="I1970" s="64" t="s">
        <v>102</v>
      </c>
      <c r="J1970" s="67">
        <v>110.96</v>
      </c>
      <c r="K1970" s="62">
        <v>9534.55</v>
      </c>
      <c r="L1970" s="33" t="e">
        <f>HLOOKUP(B1970,#REF!,1,0)</f>
        <v>#REF!</v>
      </c>
      <c r="M1970" s="33" t="str">
        <f t="shared" si="123"/>
        <v>BS</v>
      </c>
    </row>
    <row r="1971" spans="1:13" s="33" customFormat="true" ht="12.75" customHeight="true">
      <c r="A1971" s="33" t="str">
        <f t="shared" si="120"/>
        <v>SCL - AP-Accr Exp</v>
      </c>
      <c r="B1971" s="33" t="str">
        <f t="shared" si="121"/>
        <v>SCL</v>
      </c>
      <c r="C1971" s="33" t="str">
        <f t="shared" si="122"/>
        <v>24400-7376</v>
      </c>
      <c r="D1971" s="64" t="s">
        <v>2440</v>
      </c>
      <c r="E1971" s="64" t="s">
        <v>115</v>
      </c>
      <c r="F1971" s="64" t="s">
        <v>15</v>
      </c>
      <c r="G1971" s="64" t="s">
        <v>97</v>
      </c>
      <c r="H1971" s="64" t="s">
        <v>98</v>
      </c>
      <c r="I1971" s="64" t="s">
        <v>102</v>
      </c>
      <c r="J1971" s="67">
        <v>142.8</v>
      </c>
      <c r="K1971" s="62">
        <v>31293.95</v>
      </c>
      <c r="L1971" s="33" t="e">
        <f>HLOOKUP(B1971,#REF!,1,0)</f>
        <v>#REF!</v>
      </c>
      <c r="M1971" s="33" t="str">
        <f t="shared" si="123"/>
        <v>BS</v>
      </c>
    </row>
    <row r="1972" spans="1:13" s="33" customFormat="true" ht="12.75" customHeight="true">
      <c r="A1972" s="33" t="str">
        <f t="shared" si="120"/>
        <v>SCL - AP-Accr Exp</v>
      </c>
      <c r="B1972" s="33" t="str">
        <f t="shared" si="121"/>
        <v>SCL</v>
      </c>
      <c r="C1972" s="33" t="str">
        <f t="shared" si="122"/>
        <v>24400-7377</v>
      </c>
      <c r="D1972" s="64" t="s">
        <v>2441</v>
      </c>
      <c r="E1972" s="64" t="s">
        <v>115</v>
      </c>
      <c r="F1972" s="64" t="s">
        <v>15</v>
      </c>
      <c r="G1972" s="64" t="s">
        <v>97</v>
      </c>
      <c r="H1972" s="64" t="s">
        <v>98</v>
      </c>
      <c r="I1972" s="64" t="s">
        <v>102</v>
      </c>
      <c r="J1972" s="67">
        <v>135.62</v>
      </c>
      <c r="K1972" s="62">
        <v>15168.81</v>
      </c>
      <c r="L1972" s="33" t="e">
        <f>HLOOKUP(B1972,#REF!,1,0)</f>
        <v>#REF!</v>
      </c>
      <c r="M1972" s="33" t="str">
        <f t="shared" si="123"/>
        <v>BS</v>
      </c>
    </row>
    <row r="1973" spans="1:13" s="33" customFormat="true" ht="12.75" customHeight="true">
      <c r="A1973" s="33" t="str">
        <f t="shared" si="120"/>
        <v>SCL - AP-Accr Exp</v>
      </c>
      <c r="B1973" s="33" t="str">
        <f t="shared" si="121"/>
        <v>SCL</v>
      </c>
      <c r="C1973" s="33" t="str">
        <f t="shared" si="122"/>
        <v>24400-7378</v>
      </c>
      <c r="D1973" s="64" t="s">
        <v>2442</v>
      </c>
      <c r="E1973" s="64" t="s">
        <v>115</v>
      </c>
      <c r="F1973" s="64" t="s">
        <v>15</v>
      </c>
      <c r="G1973" s="64" t="s">
        <v>97</v>
      </c>
      <c r="H1973" s="64" t="s">
        <v>98</v>
      </c>
      <c r="I1973" s="64" t="s">
        <v>102</v>
      </c>
      <c r="J1973" s="67">
        <v>113.35</v>
      </c>
      <c r="K1973" s="62">
        <v>10854.71</v>
      </c>
      <c r="L1973" s="33" t="e">
        <f>HLOOKUP(B1973,#REF!,1,0)</f>
        <v>#REF!</v>
      </c>
      <c r="M1973" s="33" t="str">
        <f t="shared" si="123"/>
        <v>BS</v>
      </c>
    </row>
    <row r="1974" spans="1:13" s="33" customFormat="true" ht="12.75" customHeight="true">
      <c r="A1974" s="33" t="str">
        <f t="shared" si="120"/>
        <v>SCL - AP-Accr Exp</v>
      </c>
      <c r="B1974" s="33" t="str">
        <f t="shared" si="121"/>
        <v>SCL</v>
      </c>
      <c r="C1974" s="33" t="str">
        <f t="shared" si="122"/>
        <v>24400-7379</v>
      </c>
      <c r="D1974" s="64" t="s">
        <v>2443</v>
      </c>
      <c r="E1974" s="64" t="s">
        <v>115</v>
      </c>
      <c r="F1974" s="64" t="s">
        <v>15</v>
      </c>
      <c r="G1974" s="64" t="s">
        <v>97</v>
      </c>
      <c r="H1974" s="64" t="s">
        <v>98</v>
      </c>
      <c r="I1974" s="64" t="s">
        <v>102</v>
      </c>
      <c r="J1974" s="67">
        <v>85.5</v>
      </c>
      <c r="K1974" s="62">
        <v>11945.42</v>
      </c>
      <c r="L1974" s="33" t="e">
        <f>HLOOKUP(B1974,#REF!,1,0)</f>
        <v>#REF!</v>
      </c>
      <c r="M1974" s="33" t="str">
        <f t="shared" si="123"/>
        <v>BS</v>
      </c>
    </row>
    <row r="1975" spans="1:13" s="33" customFormat="true" ht="12.75" customHeight="true">
      <c r="A1975" s="33" t="str">
        <f t="shared" si="120"/>
        <v>SCL - AP-Accr Exp</v>
      </c>
      <c r="B1975" s="33" t="str">
        <f t="shared" si="121"/>
        <v>SCL</v>
      </c>
      <c r="C1975" s="33" t="str">
        <f t="shared" si="122"/>
        <v>24400-7380</v>
      </c>
      <c r="D1975" s="64" t="s">
        <v>2444</v>
      </c>
      <c r="E1975" s="64" t="s">
        <v>115</v>
      </c>
      <c r="F1975" s="64" t="s">
        <v>15</v>
      </c>
      <c r="G1975" s="64" t="s">
        <v>97</v>
      </c>
      <c r="H1975" s="64" t="s">
        <v>98</v>
      </c>
      <c r="I1975" s="64" t="s">
        <v>102</v>
      </c>
      <c r="J1975" s="67">
        <v>89.69</v>
      </c>
      <c r="K1975" s="62">
        <v>15993.24</v>
      </c>
      <c r="L1975" s="33" t="e">
        <f>HLOOKUP(B1975,#REF!,1,0)</f>
        <v>#REF!</v>
      </c>
      <c r="M1975" s="33" t="str">
        <f t="shared" si="123"/>
        <v>BS</v>
      </c>
    </row>
    <row r="1976" spans="1:13" s="33" customFormat="true" ht="12.75" customHeight="true">
      <c r="A1976" s="33" t="str">
        <f t="shared" si="120"/>
        <v>SCL - AP-Accr Exp</v>
      </c>
      <c r="B1976" s="33" t="str">
        <f t="shared" si="121"/>
        <v>SCL</v>
      </c>
      <c r="C1976" s="33" t="str">
        <f t="shared" si="122"/>
        <v>24400-7381</v>
      </c>
      <c r="D1976" s="64" t="s">
        <v>2445</v>
      </c>
      <c r="E1976" s="64" t="s">
        <v>115</v>
      </c>
      <c r="F1976" s="64" t="s">
        <v>15</v>
      </c>
      <c r="G1976" s="64" t="s">
        <v>97</v>
      </c>
      <c r="H1976" s="64" t="s">
        <v>98</v>
      </c>
      <c r="I1976" s="64" t="s">
        <v>102</v>
      </c>
      <c r="J1976" s="67">
        <v>66.79</v>
      </c>
      <c r="K1976" s="62">
        <v>16940.51</v>
      </c>
      <c r="L1976" s="33" t="e">
        <f>HLOOKUP(B1976,#REF!,1,0)</f>
        <v>#REF!</v>
      </c>
      <c r="M1976" s="33" t="str">
        <f t="shared" si="123"/>
        <v>BS</v>
      </c>
    </row>
    <row r="1977" spans="1:13" s="33" customFormat="true" ht="12.75" customHeight="true">
      <c r="A1977" s="33" t="str">
        <f t="shared" si="120"/>
        <v>SCL - AP-Accr Exp</v>
      </c>
      <c r="B1977" s="33" t="str">
        <f t="shared" si="121"/>
        <v>SCL</v>
      </c>
      <c r="C1977" s="33" t="str">
        <f t="shared" si="122"/>
        <v>24400-7383</v>
      </c>
      <c r="D1977" s="64" t="s">
        <v>2446</v>
      </c>
      <c r="E1977" s="64" t="s">
        <v>115</v>
      </c>
      <c r="F1977" s="64" t="s">
        <v>15</v>
      </c>
      <c r="G1977" s="64" t="s">
        <v>97</v>
      </c>
      <c r="H1977" s="64" t="s">
        <v>98</v>
      </c>
      <c r="I1977" s="64" t="s">
        <v>102</v>
      </c>
      <c r="J1977" s="67">
        <v>23.18</v>
      </c>
      <c r="K1977" s="62">
        <v>5887.24</v>
      </c>
      <c r="L1977" s="33" t="e">
        <f>HLOOKUP(B1977,#REF!,1,0)</f>
        <v>#REF!</v>
      </c>
      <c r="M1977" s="33" t="str">
        <f t="shared" si="123"/>
        <v>BS</v>
      </c>
    </row>
    <row r="1978" spans="1:13" s="33" customFormat="true" ht="12.75" customHeight="true">
      <c r="A1978" s="33" t="str">
        <f t="shared" si="120"/>
        <v>SCL - AP-Accr Exp</v>
      </c>
      <c r="B1978" s="33" t="str">
        <f t="shared" si="121"/>
        <v>SCL</v>
      </c>
      <c r="C1978" s="33" t="str">
        <f t="shared" si="122"/>
        <v>24400-7385</v>
      </c>
      <c r="D1978" s="64" t="s">
        <v>2447</v>
      </c>
      <c r="E1978" s="64" t="s">
        <v>115</v>
      </c>
      <c r="F1978" s="64" t="s">
        <v>15</v>
      </c>
      <c r="G1978" s="64" t="s">
        <v>97</v>
      </c>
      <c r="H1978" s="64" t="s">
        <v>98</v>
      </c>
      <c r="I1978" s="64" t="s">
        <v>102</v>
      </c>
      <c r="J1978" s="67">
        <v>93.26</v>
      </c>
      <c r="K1978" s="62">
        <v>12763.8</v>
      </c>
      <c r="L1978" s="33" t="e">
        <f>HLOOKUP(B1978,#REF!,1,0)</f>
        <v>#REF!</v>
      </c>
      <c r="M1978" s="33" t="str">
        <f t="shared" si="123"/>
        <v>BS</v>
      </c>
    </row>
    <row r="1979" spans="1:13" s="33" customFormat="true" ht="12.75" customHeight="true">
      <c r="A1979" s="33" t="str">
        <f t="shared" si="120"/>
        <v>SCL - AP-Accr Exp</v>
      </c>
      <c r="B1979" s="33" t="str">
        <f t="shared" si="121"/>
        <v>SCL</v>
      </c>
      <c r="C1979" s="33" t="str">
        <f t="shared" si="122"/>
        <v>24400-7386</v>
      </c>
      <c r="D1979" s="64" t="s">
        <v>2448</v>
      </c>
      <c r="E1979" s="64" t="s">
        <v>115</v>
      </c>
      <c r="F1979" s="64" t="s">
        <v>15</v>
      </c>
      <c r="G1979" s="64" t="s">
        <v>97</v>
      </c>
      <c r="H1979" s="64" t="s">
        <v>98</v>
      </c>
      <c r="I1979" s="64" t="s">
        <v>102</v>
      </c>
      <c r="J1979" s="67">
        <v>252.66</v>
      </c>
      <c r="K1979" s="62">
        <v>16338.49</v>
      </c>
      <c r="L1979" s="33" t="e">
        <f>HLOOKUP(B1979,#REF!,1,0)</f>
        <v>#REF!</v>
      </c>
      <c r="M1979" s="33" t="str">
        <f t="shared" si="123"/>
        <v>BS</v>
      </c>
    </row>
    <row r="1980" spans="1:13" s="33" customFormat="true" ht="12.75" customHeight="true">
      <c r="A1980" s="33" t="str">
        <f t="shared" si="120"/>
        <v>SCL - AP-Accr Exp</v>
      </c>
      <c r="B1980" s="33" t="str">
        <f t="shared" si="121"/>
        <v>SCL</v>
      </c>
      <c r="C1980" s="33" t="str">
        <f t="shared" si="122"/>
        <v>24400-7387</v>
      </c>
      <c r="D1980" s="64" t="s">
        <v>2449</v>
      </c>
      <c r="E1980" s="64" t="s">
        <v>115</v>
      </c>
      <c r="F1980" s="64" t="s">
        <v>15</v>
      </c>
      <c r="G1980" s="64" t="s">
        <v>97</v>
      </c>
      <c r="H1980" s="64" t="s">
        <v>98</v>
      </c>
      <c r="I1980" s="64" t="s">
        <v>102</v>
      </c>
      <c r="J1980" s="67">
        <v>0</v>
      </c>
      <c r="K1980" s="62">
        <v>15345.32</v>
      </c>
      <c r="L1980" s="33" t="e">
        <f>HLOOKUP(B1980,#REF!,1,0)</f>
        <v>#REF!</v>
      </c>
      <c r="M1980" s="33" t="str">
        <f t="shared" si="123"/>
        <v>BS</v>
      </c>
    </row>
    <row r="1981" spans="1:13" s="33" customFormat="true" ht="12.75" customHeight="true">
      <c r="A1981" s="33" t="str">
        <f t="shared" si="120"/>
        <v>SCL - AP-Accr Exp</v>
      </c>
      <c r="B1981" s="33" t="str">
        <f t="shared" si="121"/>
        <v>SCL</v>
      </c>
      <c r="C1981" s="33" t="str">
        <f t="shared" si="122"/>
        <v>24400-7388</v>
      </c>
      <c r="D1981" s="64" t="s">
        <v>2450</v>
      </c>
      <c r="E1981" s="64" t="s">
        <v>115</v>
      </c>
      <c r="F1981" s="64" t="s">
        <v>15</v>
      </c>
      <c r="G1981" s="64" t="s">
        <v>97</v>
      </c>
      <c r="H1981" s="64" t="s">
        <v>98</v>
      </c>
      <c r="I1981" s="64" t="s">
        <v>102</v>
      </c>
      <c r="J1981" s="67">
        <v>0</v>
      </c>
      <c r="K1981" s="62">
        <v>6594.84</v>
      </c>
      <c r="L1981" s="33" t="e">
        <f>HLOOKUP(B1981,#REF!,1,0)</f>
        <v>#REF!</v>
      </c>
      <c r="M1981" s="33" t="str">
        <f t="shared" si="123"/>
        <v>BS</v>
      </c>
    </row>
    <row r="1982" spans="1:13" s="33" customFormat="true" ht="12.75" customHeight="true">
      <c r="A1982" s="33" t="str">
        <f t="shared" si="120"/>
        <v>SCL - AP-Accr Exp</v>
      </c>
      <c r="B1982" s="33" t="str">
        <f t="shared" si="121"/>
        <v>SCL</v>
      </c>
      <c r="C1982" s="33" t="str">
        <f t="shared" si="122"/>
        <v>24400-7389</v>
      </c>
      <c r="D1982" s="64" t="s">
        <v>2451</v>
      </c>
      <c r="E1982" s="64" t="s">
        <v>115</v>
      </c>
      <c r="F1982" s="64" t="s">
        <v>15</v>
      </c>
      <c r="G1982" s="64" t="s">
        <v>97</v>
      </c>
      <c r="H1982" s="64" t="s">
        <v>98</v>
      </c>
      <c r="I1982" s="64" t="s">
        <v>102</v>
      </c>
      <c r="J1982" s="67">
        <v>127.49</v>
      </c>
      <c r="K1982" s="62">
        <v>17099.92</v>
      </c>
      <c r="L1982" s="33" t="e">
        <f>HLOOKUP(B1982,#REF!,1,0)</f>
        <v>#REF!</v>
      </c>
      <c r="M1982" s="33" t="str">
        <f t="shared" si="123"/>
        <v>BS</v>
      </c>
    </row>
    <row r="1983" spans="1:13" s="33" customFormat="true" ht="12.75" customHeight="true">
      <c r="A1983" s="33" t="str">
        <f t="shared" si="120"/>
        <v>SCL - AP-Accr Exp</v>
      </c>
      <c r="B1983" s="33" t="str">
        <f t="shared" si="121"/>
        <v>SCL</v>
      </c>
      <c r="C1983" s="33" t="str">
        <f t="shared" si="122"/>
        <v>24400-7391</v>
      </c>
      <c r="D1983" s="64" t="s">
        <v>2452</v>
      </c>
      <c r="E1983" s="64" t="s">
        <v>115</v>
      </c>
      <c r="F1983" s="64" t="s">
        <v>15</v>
      </c>
      <c r="G1983" s="64" t="s">
        <v>97</v>
      </c>
      <c r="H1983" s="64" t="s">
        <v>98</v>
      </c>
      <c r="I1983" s="64" t="s">
        <v>102</v>
      </c>
      <c r="J1983" s="67">
        <v>129.83</v>
      </c>
      <c r="K1983" s="62">
        <v>1069.23</v>
      </c>
      <c r="L1983" s="33" t="e">
        <f>HLOOKUP(B1983,#REF!,1,0)</f>
        <v>#REF!</v>
      </c>
      <c r="M1983" s="33" t="str">
        <f t="shared" si="123"/>
        <v>BS</v>
      </c>
    </row>
    <row r="1984" spans="1:13" s="33" customFormat="true" ht="12.75" customHeight="true">
      <c r="A1984" s="33" t="str">
        <f t="shared" si="120"/>
        <v>SCL - AP-Accr Exp</v>
      </c>
      <c r="B1984" s="33" t="str">
        <f t="shared" si="121"/>
        <v>SCL</v>
      </c>
      <c r="C1984" s="33" t="str">
        <f t="shared" si="122"/>
        <v>24400-7393</v>
      </c>
      <c r="D1984" s="64" t="s">
        <v>2453</v>
      </c>
      <c r="E1984" s="64" t="s">
        <v>115</v>
      </c>
      <c r="F1984" s="64" t="s">
        <v>15</v>
      </c>
      <c r="G1984" s="64" t="s">
        <v>97</v>
      </c>
      <c r="H1984" s="64" t="s">
        <v>98</v>
      </c>
      <c r="I1984" s="64" t="s">
        <v>102</v>
      </c>
      <c r="J1984" s="67">
        <v>-49.12</v>
      </c>
      <c r="K1984" s="62">
        <v>14302.63</v>
      </c>
      <c r="L1984" s="33" t="e">
        <f>HLOOKUP(B1984,#REF!,1,0)</f>
        <v>#REF!</v>
      </c>
      <c r="M1984" s="33" t="str">
        <f t="shared" si="123"/>
        <v>BS</v>
      </c>
    </row>
    <row r="1985" spans="1:13" s="33" customFormat="true" ht="12.75" customHeight="true">
      <c r="A1985" s="33" t="str">
        <f t="shared" si="120"/>
        <v>SCL - AP-Accr Exp</v>
      </c>
      <c r="B1985" s="33" t="str">
        <f t="shared" si="121"/>
        <v>SCL</v>
      </c>
      <c r="C1985" s="33" t="str">
        <f t="shared" si="122"/>
        <v>24400-7394</v>
      </c>
      <c r="D1985" s="64" t="s">
        <v>2454</v>
      </c>
      <c r="E1985" s="64" t="s">
        <v>115</v>
      </c>
      <c r="F1985" s="64" t="s">
        <v>15</v>
      </c>
      <c r="G1985" s="64" t="s">
        <v>97</v>
      </c>
      <c r="H1985" s="64" t="s">
        <v>98</v>
      </c>
      <c r="I1985" s="64" t="s">
        <v>102</v>
      </c>
      <c r="J1985" s="67">
        <v>105.61</v>
      </c>
      <c r="K1985" s="62">
        <v>11150.77</v>
      </c>
      <c r="L1985" s="33" t="e">
        <f>HLOOKUP(B1985,#REF!,1,0)</f>
        <v>#REF!</v>
      </c>
      <c r="M1985" s="33" t="str">
        <f t="shared" si="123"/>
        <v>BS</v>
      </c>
    </row>
    <row r="1986" spans="1:13" s="33" customFormat="true" ht="12.75" customHeight="true">
      <c r="A1986" s="33" t="str">
        <f t="shared" ref="A1986:A2049" si="124">B1986&amp;" - "&amp;TRIM(H1986)</f>
        <v>SCL - AP-Accr Exp</v>
      </c>
      <c r="B1986" s="33" t="str">
        <f t="shared" ref="B1986:B2049" si="125">LEFT(D1986,3)</f>
        <v>SCL</v>
      </c>
      <c r="C1986" s="33" t="str">
        <f t="shared" ref="C1986:C2049" si="126">RIGHT(D1986,10)</f>
        <v>24400-7395</v>
      </c>
      <c r="D1986" s="64" t="s">
        <v>2455</v>
      </c>
      <c r="E1986" s="64" t="s">
        <v>115</v>
      </c>
      <c r="F1986" s="64" t="s">
        <v>15</v>
      </c>
      <c r="G1986" s="64" t="s">
        <v>97</v>
      </c>
      <c r="H1986" s="64" t="s">
        <v>98</v>
      </c>
      <c r="I1986" s="64" t="s">
        <v>102</v>
      </c>
      <c r="J1986" s="67">
        <v>0</v>
      </c>
      <c r="K1986" s="62">
        <v>2950.12</v>
      </c>
      <c r="L1986" s="33" t="e">
        <f>HLOOKUP(B1986,#REF!,1,0)</f>
        <v>#REF!</v>
      </c>
      <c r="M1986" s="33" t="str">
        <f t="shared" ref="M1986:M2049" si="127">IF(VALUE(LEFT(C1986,5))&gt;40000,"P&amp;L","BS")</f>
        <v>BS</v>
      </c>
    </row>
    <row r="1987" spans="1:13" s="33" customFormat="true" ht="12.75" customHeight="true">
      <c r="A1987" s="33" t="str">
        <f t="shared" si="124"/>
        <v>SCL - AP-Accr Exp</v>
      </c>
      <c r="B1987" s="33" t="str">
        <f t="shared" si="125"/>
        <v>SCL</v>
      </c>
      <c r="C1987" s="33" t="str">
        <f t="shared" si="126"/>
        <v>24400-7396</v>
      </c>
      <c r="D1987" s="64" t="s">
        <v>2456</v>
      </c>
      <c r="E1987" s="64" t="s">
        <v>115</v>
      </c>
      <c r="F1987" s="64" t="s">
        <v>15</v>
      </c>
      <c r="G1987" s="64" t="s">
        <v>97</v>
      </c>
      <c r="H1987" s="64" t="s">
        <v>98</v>
      </c>
      <c r="I1987" s="64" t="s">
        <v>102</v>
      </c>
      <c r="J1987" s="67">
        <v>104.92</v>
      </c>
      <c r="K1987" s="62">
        <v>13144.76</v>
      </c>
      <c r="L1987" s="33" t="e">
        <f>HLOOKUP(B1987,#REF!,1,0)</f>
        <v>#REF!</v>
      </c>
      <c r="M1987" s="33" t="str">
        <f t="shared" si="127"/>
        <v>BS</v>
      </c>
    </row>
    <row r="1988" spans="1:13" s="33" customFormat="true" ht="12.75" customHeight="true">
      <c r="A1988" s="33" t="str">
        <f t="shared" si="124"/>
        <v>SCL - AP-Accr Exp</v>
      </c>
      <c r="B1988" s="33" t="str">
        <f t="shared" si="125"/>
        <v>SCL</v>
      </c>
      <c r="C1988" s="33" t="str">
        <f t="shared" si="126"/>
        <v>24400-7397</v>
      </c>
      <c r="D1988" s="64" t="s">
        <v>2457</v>
      </c>
      <c r="E1988" s="64" t="s">
        <v>115</v>
      </c>
      <c r="F1988" s="64" t="s">
        <v>15</v>
      </c>
      <c r="G1988" s="64" t="s">
        <v>97</v>
      </c>
      <c r="H1988" s="64" t="s">
        <v>98</v>
      </c>
      <c r="I1988" s="64" t="s">
        <v>102</v>
      </c>
      <c r="J1988" s="67">
        <v>70.23</v>
      </c>
      <c r="K1988" s="62">
        <v>13626.28</v>
      </c>
      <c r="L1988" s="33" t="e">
        <f>HLOOKUP(B1988,#REF!,1,0)</f>
        <v>#REF!</v>
      </c>
      <c r="M1988" s="33" t="str">
        <f t="shared" si="127"/>
        <v>BS</v>
      </c>
    </row>
    <row r="1989" spans="1:13" s="33" customFormat="true" ht="12.75" customHeight="true">
      <c r="A1989" s="33" t="str">
        <f t="shared" si="124"/>
        <v>SCL - AP-Accr Exp</v>
      </c>
      <c r="B1989" s="33" t="str">
        <f t="shared" si="125"/>
        <v>SCL</v>
      </c>
      <c r="C1989" s="33" t="str">
        <f t="shared" si="126"/>
        <v>24400-7398</v>
      </c>
      <c r="D1989" s="64" t="s">
        <v>2458</v>
      </c>
      <c r="E1989" s="64" t="s">
        <v>115</v>
      </c>
      <c r="F1989" s="64" t="s">
        <v>15</v>
      </c>
      <c r="G1989" s="64" t="s">
        <v>97</v>
      </c>
      <c r="H1989" s="64" t="s">
        <v>98</v>
      </c>
      <c r="I1989" s="64" t="s">
        <v>102</v>
      </c>
      <c r="J1989" s="67">
        <v>49.95</v>
      </c>
      <c r="K1989" s="62">
        <v>15885.09</v>
      </c>
      <c r="L1989" s="33" t="e">
        <f>HLOOKUP(B1989,#REF!,1,0)</f>
        <v>#REF!</v>
      </c>
      <c r="M1989" s="33" t="str">
        <f t="shared" si="127"/>
        <v>BS</v>
      </c>
    </row>
    <row r="1990" spans="1:13" s="33" customFormat="true" ht="12.75" customHeight="true">
      <c r="A1990" s="33" t="str">
        <f t="shared" si="124"/>
        <v>SCL - AP-Accr Exp</v>
      </c>
      <c r="B1990" s="33" t="str">
        <f t="shared" si="125"/>
        <v>SCL</v>
      </c>
      <c r="C1990" s="33" t="str">
        <f t="shared" si="126"/>
        <v>24400-7400</v>
      </c>
      <c r="D1990" s="64" t="s">
        <v>2459</v>
      </c>
      <c r="E1990" s="64" t="s">
        <v>115</v>
      </c>
      <c r="F1990" s="64" t="s">
        <v>15</v>
      </c>
      <c r="G1990" s="64" t="s">
        <v>97</v>
      </c>
      <c r="H1990" s="64" t="s">
        <v>98</v>
      </c>
      <c r="I1990" s="64" t="s">
        <v>102</v>
      </c>
      <c r="J1990" s="67">
        <v>0</v>
      </c>
      <c r="K1990" s="62">
        <v>8523.76</v>
      </c>
      <c r="L1990" s="33" t="e">
        <f>HLOOKUP(B1990,#REF!,1,0)</f>
        <v>#REF!</v>
      </c>
      <c r="M1990" s="33" t="str">
        <f t="shared" si="127"/>
        <v>BS</v>
      </c>
    </row>
    <row r="1991" spans="1:13" s="33" customFormat="true" ht="12.75" customHeight="true">
      <c r="A1991" s="33" t="str">
        <f t="shared" si="124"/>
        <v>SCL - AP-Accr Exp</v>
      </c>
      <c r="B1991" s="33" t="str">
        <f t="shared" si="125"/>
        <v>SCL</v>
      </c>
      <c r="C1991" s="33" t="str">
        <f t="shared" si="126"/>
        <v>24400-7401</v>
      </c>
      <c r="D1991" s="64" t="s">
        <v>2460</v>
      </c>
      <c r="E1991" s="64" t="s">
        <v>115</v>
      </c>
      <c r="F1991" s="64" t="s">
        <v>15</v>
      </c>
      <c r="G1991" s="64" t="s">
        <v>97</v>
      </c>
      <c r="H1991" s="64" t="s">
        <v>98</v>
      </c>
      <c r="I1991" s="64" t="s">
        <v>102</v>
      </c>
      <c r="J1991" s="67">
        <v>38.07</v>
      </c>
      <c r="K1991" s="62">
        <v>6138.53</v>
      </c>
      <c r="L1991" s="33" t="e">
        <f>HLOOKUP(B1991,#REF!,1,0)</f>
        <v>#REF!</v>
      </c>
      <c r="M1991" s="33" t="str">
        <f t="shared" si="127"/>
        <v>BS</v>
      </c>
    </row>
    <row r="1992" spans="1:13" s="33" customFormat="true" ht="12.75" customHeight="true">
      <c r="A1992" s="33" t="str">
        <f t="shared" si="124"/>
        <v>SCL - AP-Accr Exp</v>
      </c>
      <c r="B1992" s="33" t="str">
        <f t="shared" si="125"/>
        <v>SCL</v>
      </c>
      <c r="C1992" s="33" t="str">
        <f t="shared" si="126"/>
        <v>24400-7402</v>
      </c>
      <c r="D1992" s="64" t="s">
        <v>2461</v>
      </c>
      <c r="E1992" s="64" t="s">
        <v>115</v>
      </c>
      <c r="F1992" s="64" t="s">
        <v>15</v>
      </c>
      <c r="G1992" s="64" t="s">
        <v>97</v>
      </c>
      <c r="H1992" s="64" t="s">
        <v>98</v>
      </c>
      <c r="I1992" s="64" t="s">
        <v>102</v>
      </c>
      <c r="J1992" s="67">
        <v>14.71</v>
      </c>
      <c r="K1992" s="62">
        <v>12351.98</v>
      </c>
      <c r="L1992" s="33" t="e">
        <f>HLOOKUP(B1992,#REF!,1,0)</f>
        <v>#REF!</v>
      </c>
      <c r="M1992" s="33" t="str">
        <f t="shared" si="127"/>
        <v>BS</v>
      </c>
    </row>
    <row r="1993" spans="1:13" s="33" customFormat="true" ht="12.75" customHeight="true">
      <c r="A1993" s="33" t="str">
        <f t="shared" si="124"/>
        <v>SCL - AP-Accr Exp</v>
      </c>
      <c r="B1993" s="33" t="str">
        <f t="shared" si="125"/>
        <v>SCL</v>
      </c>
      <c r="C1993" s="33" t="str">
        <f t="shared" si="126"/>
        <v>24400-7403</v>
      </c>
      <c r="D1993" s="64" t="s">
        <v>2462</v>
      </c>
      <c r="E1993" s="64" t="s">
        <v>115</v>
      </c>
      <c r="F1993" s="64" t="s">
        <v>15</v>
      </c>
      <c r="G1993" s="64" t="s">
        <v>97</v>
      </c>
      <c r="H1993" s="64" t="s">
        <v>98</v>
      </c>
      <c r="I1993" s="64" t="s">
        <v>102</v>
      </c>
      <c r="J1993" s="67">
        <v>100.61</v>
      </c>
      <c r="K1993" s="62">
        <v>8617.14</v>
      </c>
      <c r="L1993" s="33" t="e">
        <f>HLOOKUP(B1993,#REF!,1,0)</f>
        <v>#REF!</v>
      </c>
      <c r="M1993" s="33" t="str">
        <f t="shared" si="127"/>
        <v>BS</v>
      </c>
    </row>
    <row r="1994" spans="1:13" s="33" customFormat="true" ht="12.75" customHeight="true">
      <c r="A1994" s="33" t="str">
        <f t="shared" si="124"/>
        <v>SCL - AP-Accr Exp</v>
      </c>
      <c r="B1994" s="33" t="str">
        <f t="shared" si="125"/>
        <v>SCL</v>
      </c>
      <c r="C1994" s="33" t="str">
        <f t="shared" si="126"/>
        <v>24400-7404</v>
      </c>
      <c r="D1994" s="64" t="s">
        <v>2463</v>
      </c>
      <c r="E1994" s="64" t="s">
        <v>115</v>
      </c>
      <c r="F1994" s="64" t="s">
        <v>15</v>
      </c>
      <c r="G1994" s="64" t="s">
        <v>97</v>
      </c>
      <c r="H1994" s="64" t="s">
        <v>98</v>
      </c>
      <c r="I1994" s="64" t="s">
        <v>102</v>
      </c>
      <c r="J1994" s="67">
        <v>0</v>
      </c>
      <c r="K1994" s="62">
        <v>0.05</v>
      </c>
      <c r="L1994" s="33" t="e">
        <f>HLOOKUP(B1994,#REF!,1,0)</f>
        <v>#REF!</v>
      </c>
      <c r="M1994" s="33" t="str">
        <f t="shared" si="127"/>
        <v>BS</v>
      </c>
    </row>
    <row r="1995" spans="1:13" s="33" customFormat="true" ht="12.75" customHeight="true">
      <c r="A1995" s="33" t="str">
        <f t="shared" si="124"/>
        <v>SCL - AP-Accr Exp</v>
      </c>
      <c r="B1995" s="33" t="str">
        <f t="shared" si="125"/>
        <v>SCL</v>
      </c>
      <c r="C1995" s="33" t="str">
        <f t="shared" si="126"/>
        <v>24400-7405</v>
      </c>
      <c r="D1995" s="64" t="s">
        <v>2464</v>
      </c>
      <c r="E1995" s="64" t="s">
        <v>115</v>
      </c>
      <c r="F1995" s="64" t="s">
        <v>15</v>
      </c>
      <c r="G1995" s="64" t="s">
        <v>97</v>
      </c>
      <c r="H1995" s="64" t="s">
        <v>98</v>
      </c>
      <c r="I1995" s="64" t="s">
        <v>102</v>
      </c>
      <c r="J1995" s="67">
        <v>0</v>
      </c>
      <c r="K1995" s="62">
        <v>-0.4</v>
      </c>
      <c r="L1995" s="33" t="e">
        <f>HLOOKUP(B1995,#REF!,1,0)</f>
        <v>#REF!</v>
      </c>
      <c r="M1995" s="33" t="str">
        <f t="shared" si="127"/>
        <v>BS</v>
      </c>
    </row>
    <row r="1996" spans="1:13" s="33" customFormat="true" ht="12.75" customHeight="true">
      <c r="A1996" s="33" t="str">
        <f t="shared" si="124"/>
        <v>SCL - AP-Accr Exp</v>
      </c>
      <c r="B1996" s="33" t="str">
        <f t="shared" si="125"/>
        <v>SCL</v>
      </c>
      <c r="C1996" s="33" t="str">
        <f t="shared" si="126"/>
        <v>24400-7406</v>
      </c>
      <c r="D1996" s="64" t="s">
        <v>2465</v>
      </c>
      <c r="E1996" s="64" t="s">
        <v>115</v>
      </c>
      <c r="F1996" s="64" t="s">
        <v>15</v>
      </c>
      <c r="G1996" s="64" t="s">
        <v>97</v>
      </c>
      <c r="H1996" s="64" t="s">
        <v>98</v>
      </c>
      <c r="I1996" s="64" t="s">
        <v>102</v>
      </c>
      <c r="J1996" s="67">
        <v>0</v>
      </c>
      <c r="K1996" s="62">
        <v>0.1</v>
      </c>
      <c r="L1996" s="33" t="e">
        <f>HLOOKUP(B1996,#REF!,1,0)</f>
        <v>#REF!</v>
      </c>
      <c r="M1996" s="33" t="str">
        <f t="shared" si="127"/>
        <v>BS</v>
      </c>
    </row>
    <row r="1997" spans="1:13" s="33" customFormat="true" ht="12.75" customHeight="true">
      <c r="A1997" s="33" t="str">
        <f t="shared" si="124"/>
        <v>SCL - AP-Accr Exp</v>
      </c>
      <c r="B1997" s="33" t="str">
        <f t="shared" si="125"/>
        <v>SCL</v>
      </c>
      <c r="C1997" s="33" t="str">
        <f t="shared" si="126"/>
        <v>24400-7489</v>
      </c>
      <c r="D1997" s="64" t="s">
        <v>2466</v>
      </c>
      <c r="E1997" s="64" t="s">
        <v>115</v>
      </c>
      <c r="F1997" s="64" t="s">
        <v>15</v>
      </c>
      <c r="G1997" s="64" t="s">
        <v>97</v>
      </c>
      <c r="H1997" s="64" t="s">
        <v>98</v>
      </c>
      <c r="I1997" s="64" t="s">
        <v>102</v>
      </c>
      <c r="J1997" s="67">
        <v>16.95</v>
      </c>
      <c r="K1997" s="62">
        <v>18047.95</v>
      </c>
      <c r="L1997" s="33" t="e">
        <f>HLOOKUP(B1997,#REF!,1,0)</f>
        <v>#REF!</v>
      </c>
      <c r="M1997" s="33" t="str">
        <f t="shared" si="127"/>
        <v>BS</v>
      </c>
    </row>
    <row r="1998" spans="1:13" s="33" customFormat="true" ht="12.75" customHeight="true">
      <c r="A1998" s="33" t="str">
        <f t="shared" si="124"/>
        <v>SCL - AP-Accr Exp</v>
      </c>
      <c r="B1998" s="33" t="str">
        <f t="shared" si="125"/>
        <v>SCL</v>
      </c>
      <c r="C1998" s="33" t="str">
        <f t="shared" si="126"/>
        <v>24400-7490</v>
      </c>
      <c r="D1998" s="64" t="s">
        <v>2467</v>
      </c>
      <c r="E1998" s="64" t="s">
        <v>115</v>
      </c>
      <c r="F1998" s="64" t="s">
        <v>15</v>
      </c>
      <c r="G1998" s="64" t="s">
        <v>97</v>
      </c>
      <c r="H1998" s="64" t="s">
        <v>98</v>
      </c>
      <c r="I1998" s="64" t="s">
        <v>102</v>
      </c>
      <c r="J1998" s="67">
        <v>0</v>
      </c>
      <c r="K1998" s="62">
        <v>-0.47</v>
      </c>
      <c r="L1998" s="33" t="e">
        <f>HLOOKUP(B1998,#REF!,1,0)</f>
        <v>#REF!</v>
      </c>
      <c r="M1998" s="33" t="str">
        <f t="shared" si="127"/>
        <v>BS</v>
      </c>
    </row>
    <row r="1999" spans="1:13" s="33" customFormat="true" ht="12.75" customHeight="true">
      <c r="A1999" s="33" t="str">
        <f t="shared" si="124"/>
        <v>SCL - AP-Accr Exp</v>
      </c>
      <c r="B1999" s="33" t="str">
        <f t="shared" si="125"/>
        <v>SCL</v>
      </c>
      <c r="C1999" s="33" t="str">
        <f t="shared" si="126"/>
        <v>24400-7491</v>
      </c>
      <c r="D1999" s="64" t="s">
        <v>2468</v>
      </c>
      <c r="E1999" s="64" t="s">
        <v>115</v>
      </c>
      <c r="F1999" s="64" t="s">
        <v>15</v>
      </c>
      <c r="G1999" s="64" t="s">
        <v>97</v>
      </c>
      <c r="H1999" s="64" t="s">
        <v>98</v>
      </c>
      <c r="I1999" s="64" t="s">
        <v>102</v>
      </c>
      <c r="J1999" s="67">
        <v>97.67</v>
      </c>
      <c r="K1999" s="62">
        <v>7840.6</v>
      </c>
      <c r="L1999" s="33" t="e">
        <f>HLOOKUP(B1999,#REF!,1,0)</f>
        <v>#REF!</v>
      </c>
      <c r="M1999" s="33" t="str">
        <f t="shared" si="127"/>
        <v>BS</v>
      </c>
    </row>
    <row r="2000" spans="1:13" s="33" customFormat="true" ht="12.75" customHeight="true">
      <c r="A2000" s="33" t="str">
        <f t="shared" si="124"/>
        <v>SCL - AP-Accr Exp</v>
      </c>
      <c r="B2000" s="33" t="str">
        <f t="shared" si="125"/>
        <v>SCL</v>
      </c>
      <c r="C2000" s="33" t="str">
        <f t="shared" si="126"/>
        <v>24400-7492</v>
      </c>
      <c r="D2000" s="64" t="s">
        <v>2469</v>
      </c>
      <c r="E2000" s="64" t="s">
        <v>115</v>
      </c>
      <c r="F2000" s="64" t="s">
        <v>15</v>
      </c>
      <c r="G2000" s="64" t="s">
        <v>97</v>
      </c>
      <c r="H2000" s="64" t="s">
        <v>98</v>
      </c>
      <c r="I2000" s="64" t="s">
        <v>102</v>
      </c>
      <c r="J2000" s="67">
        <v>267.38</v>
      </c>
      <c r="K2000" s="62">
        <v>10959.97</v>
      </c>
      <c r="L2000" s="33" t="e">
        <f>HLOOKUP(B2000,#REF!,1,0)</f>
        <v>#REF!</v>
      </c>
      <c r="M2000" s="33" t="str">
        <f t="shared" si="127"/>
        <v>BS</v>
      </c>
    </row>
    <row r="2001" spans="1:13" s="33" customFormat="true" ht="12.75" customHeight="true">
      <c r="A2001" s="33" t="str">
        <f t="shared" si="124"/>
        <v>SCL - AP-Accr Exp</v>
      </c>
      <c r="B2001" s="33" t="str">
        <f t="shared" si="125"/>
        <v>SCL</v>
      </c>
      <c r="C2001" s="33" t="str">
        <f t="shared" si="126"/>
        <v>24400-7493</v>
      </c>
      <c r="D2001" s="64" t="s">
        <v>2470</v>
      </c>
      <c r="E2001" s="64" t="s">
        <v>115</v>
      </c>
      <c r="F2001" s="64" t="s">
        <v>15</v>
      </c>
      <c r="G2001" s="64" t="s">
        <v>97</v>
      </c>
      <c r="H2001" s="64" t="s">
        <v>98</v>
      </c>
      <c r="I2001" s="64" t="s">
        <v>102</v>
      </c>
      <c r="J2001" s="67">
        <v>72.34</v>
      </c>
      <c r="K2001" s="62">
        <v>12741.02</v>
      </c>
      <c r="L2001" s="33" t="e">
        <f>HLOOKUP(B2001,#REF!,1,0)</f>
        <v>#REF!</v>
      </c>
      <c r="M2001" s="33" t="str">
        <f t="shared" si="127"/>
        <v>BS</v>
      </c>
    </row>
    <row r="2002" spans="1:13" s="33" customFormat="true" ht="12.75" customHeight="true">
      <c r="A2002" s="33" t="str">
        <f t="shared" si="124"/>
        <v>SCL - AP-Accr Exp</v>
      </c>
      <c r="B2002" s="33" t="str">
        <f t="shared" si="125"/>
        <v>SCL</v>
      </c>
      <c r="C2002" s="33" t="str">
        <f t="shared" si="126"/>
        <v>24400-7494</v>
      </c>
      <c r="D2002" s="64" t="s">
        <v>2471</v>
      </c>
      <c r="E2002" s="64" t="s">
        <v>115</v>
      </c>
      <c r="F2002" s="64" t="s">
        <v>15</v>
      </c>
      <c r="G2002" s="64" t="s">
        <v>97</v>
      </c>
      <c r="H2002" s="64" t="s">
        <v>98</v>
      </c>
      <c r="I2002" s="64" t="s">
        <v>102</v>
      </c>
      <c r="J2002" s="67">
        <v>-123.75</v>
      </c>
      <c r="K2002" s="62">
        <v>20605.64</v>
      </c>
      <c r="L2002" s="33" t="e">
        <f>HLOOKUP(B2002,#REF!,1,0)</f>
        <v>#REF!</v>
      </c>
      <c r="M2002" s="33" t="str">
        <f t="shared" si="127"/>
        <v>BS</v>
      </c>
    </row>
    <row r="2003" spans="1:13" s="33" customFormat="true" ht="12.75" customHeight="true">
      <c r="A2003" s="33" t="str">
        <f t="shared" si="124"/>
        <v>SCL - AP-Accr Exp</v>
      </c>
      <c r="B2003" s="33" t="str">
        <f t="shared" si="125"/>
        <v>SCL</v>
      </c>
      <c r="C2003" s="33" t="str">
        <f t="shared" si="126"/>
        <v>24400-7625</v>
      </c>
      <c r="D2003" s="64" t="s">
        <v>2472</v>
      </c>
      <c r="E2003" s="64" t="s">
        <v>115</v>
      </c>
      <c r="F2003" s="64" t="s">
        <v>15</v>
      </c>
      <c r="G2003" s="64" t="s">
        <v>97</v>
      </c>
      <c r="H2003" s="64" t="s">
        <v>98</v>
      </c>
      <c r="I2003" s="64" t="s">
        <v>102</v>
      </c>
      <c r="J2003" s="67">
        <v>112.15</v>
      </c>
      <c r="K2003" s="62">
        <v>15463.19</v>
      </c>
      <c r="L2003" s="33" t="e">
        <f>HLOOKUP(B2003,#REF!,1,0)</f>
        <v>#REF!</v>
      </c>
      <c r="M2003" s="33" t="str">
        <f t="shared" si="127"/>
        <v>BS</v>
      </c>
    </row>
    <row r="2004" spans="1:13" s="33" customFormat="true" ht="12.75" customHeight="true">
      <c r="A2004" s="33" t="str">
        <f t="shared" si="124"/>
        <v>SCL - AP-Accr Exp</v>
      </c>
      <c r="B2004" s="33" t="str">
        <f t="shared" si="125"/>
        <v>SCL</v>
      </c>
      <c r="C2004" s="33" t="str">
        <f t="shared" si="126"/>
        <v>24400-8150</v>
      </c>
      <c r="D2004" s="64" t="s">
        <v>2473</v>
      </c>
      <c r="E2004" s="64" t="s">
        <v>115</v>
      </c>
      <c r="F2004" s="64" t="s">
        <v>15</v>
      </c>
      <c r="G2004" s="64" t="s">
        <v>97</v>
      </c>
      <c r="H2004" s="64" t="s">
        <v>98</v>
      </c>
      <c r="I2004" s="64" t="s">
        <v>102</v>
      </c>
      <c r="J2004" s="67">
        <v>68.81</v>
      </c>
      <c r="K2004" s="62">
        <v>6521.61</v>
      </c>
      <c r="L2004" s="33" t="e">
        <f>HLOOKUP(B2004,#REF!,1,0)</f>
        <v>#REF!</v>
      </c>
      <c r="M2004" s="33" t="str">
        <f t="shared" si="127"/>
        <v>BS</v>
      </c>
    </row>
    <row r="2005" spans="1:13" s="33" customFormat="true" ht="12.75" customHeight="true">
      <c r="A2005" s="33" t="str">
        <f t="shared" si="124"/>
        <v>SCL - AP-Accr Exp</v>
      </c>
      <c r="B2005" s="33" t="str">
        <f t="shared" si="125"/>
        <v>SCL</v>
      </c>
      <c r="C2005" s="33" t="str">
        <f t="shared" si="126"/>
        <v>25500-0000</v>
      </c>
      <c r="D2005" s="64" t="s">
        <v>2474</v>
      </c>
      <c r="E2005" s="64" t="s">
        <v>122</v>
      </c>
      <c r="F2005" s="64" t="s">
        <v>15</v>
      </c>
      <c r="G2005" s="64" t="s">
        <v>123</v>
      </c>
      <c r="H2005" s="64" t="s">
        <v>98</v>
      </c>
      <c r="I2005" s="64" t="s">
        <v>124</v>
      </c>
      <c r="J2005" s="67">
        <v>0</v>
      </c>
      <c r="K2005" s="62">
        <v>-1704802.77</v>
      </c>
      <c r="L2005" s="33" t="e">
        <f>HLOOKUP(B2005,#REF!,1,0)</f>
        <v>#REF!</v>
      </c>
      <c r="M2005" s="33" t="str">
        <f t="shared" si="127"/>
        <v>BS</v>
      </c>
    </row>
    <row r="2006" spans="1:13" s="33" customFormat="true" ht="12.75" customHeight="true">
      <c r="A2006" s="33" t="str">
        <f t="shared" si="124"/>
        <v>SCL - Principal</v>
      </c>
      <c r="B2006" s="33" t="str">
        <f t="shared" si="125"/>
        <v>SCL</v>
      </c>
      <c r="C2006" s="33" t="str">
        <f t="shared" si="126"/>
        <v>26001-0000</v>
      </c>
      <c r="D2006" s="64" t="s">
        <v>2475</v>
      </c>
      <c r="E2006" s="64" t="s">
        <v>126</v>
      </c>
      <c r="F2006" s="64" t="s">
        <v>15</v>
      </c>
      <c r="G2006" s="64" t="s">
        <v>97</v>
      </c>
      <c r="H2006" s="64" t="s">
        <v>127</v>
      </c>
      <c r="I2006" s="64" t="s">
        <v>128</v>
      </c>
      <c r="J2006" s="67">
        <v>0</v>
      </c>
      <c r="K2006" s="62">
        <v>-1445843.56</v>
      </c>
      <c r="L2006" s="33" t="e">
        <f>HLOOKUP(B2006,#REF!,1,0)</f>
        <v>#REF!</v>
      </c>
      <c r="M2006" s="33" t="str">
        <f t="shared" si="127"/>
        <v>BS</v>
      </c>
    </row>
    <row r="2007" spans="1:13" s="33" customFormat="true" ht="12.75" customHeight="true">
      <c r="A2007" s="33" t="str">
        <f t="shared" si="124"/>
        <v>SCL - Principal</v>
      </c>
      <c r="B2007" s="33" t="str">
        <f t="shared" si="125"/>
        <v>SCL</v>
      </c>
      <c r="C2007" s="33" t="str">
        <f t="shared" si="126"/>
        <v>26500-0000</v>
      </c>
      <c r="D2007" s="64" t="s">
        <v>2476</v>
      </c>
      <c r="E2007" s="64" t="s">
        <v>130</v>
      </c>
      <c r="F2007" s="64" t="s">
        <v>15</v>
      </c>
      <c r="G2007" s="64" t="s">
        <v>97</v>
      </c>
      <c r="H2007" s="64" t="s">
        <v>127</v>
      </c>
      <c r="I2007" s="64" t="s">
        <v>128</v>
      </c>
      <c r="J2007" s="67">
        <v>0</v>
      </c>
      <c r="K2007" s="62">
        <v>0.04</v>
      </c>
      <c r="L2007" s="33" t="e">
        <f>HLOOKUP(B2007,#REF!,1,0)</f>
        <v>#REF!</v>
      </c>
      <c r="M2007" s="33" t="str">
        <f t="shared" si="127"/>
        <v>BS</v>
      </c>
    </row>
    <row r="2008" spans="1:13" s="33" customFormat="true" ht="12.75" customHeight="true">
      <c r="A2008" s="33" t="str">
        <f t="shared" si="124"/>
        <v>SCL - Principal</v>
      </c>
      <c r="B2008" s="33" t="str">
        <f t="shared" si="125"/>
        <v>SCL</v>
      </c>
      <c r="C2008" s="33" t="str">
        <f t="shared" si="126"/>
        <v>28482-0000</v>
      </c>
      <c r="D2008" s="64" t="s">
        <v>2477</v>
      </c>
      <c r="E2008" s="64" t="s">
        <v>139</v>
      </c>
      <c r="F2008" s="64" t="s">
        <v>15</v>
      </c>
      <c r="G2008" s="64" t="s">
        <v>123</v>
      </c>
      <c r="H2008" s="64" t="s">
        <v>127</v>
      </c>
      <c r="I2008" s="64" t="s">
        <v>133</v>
      </c>
      <c r="J2008" s="67">
        <v>188723.09</v>
      </c>
      <c r="K2008" s="62">
        <v>-27764331.6</v>
      </c>
      <c r="L2008" s="33" t="e">
        <f>HLOOKUP(B2008,#REF!,1,0)</f>
        <v>#REF!</v>
      </c>
      <c r="M2008" s="33" t="str">
        <f t="shared" si="127"/>
        <v>BS</v>
      </c>
    </row>
    <row r="2009" spans="1:13" s="33" customFormat="true" ht="12.75" customHeight="true">
      <c r="A2009" s="33" t="str">
        <f t="shared" si="124"/>
        <v>SCL - Principal</v>
      </c>
      <c r="B2009" s="33" t="str">
        <f t="shared" si="125"/>
        <v>SCL</v>
      </c>
      <c r="C2009" s="33" t="str">
        <f t="shared" si="126"/>
        <v>28500-0000</v>
      </c>
      <c r="D2009" s="64" t="s">
        <v>2478</v>
      </c>
      <c r="E2009" s="64" t="s">
        <v>2479</v>
      </c>
      <c r="F2009" s="64" t="s">
        <v>15</v>
      </c>
      <c r="G2009" s="64" t="s">
        <v>123</v>
      </c>
      <c r="H2009" s="64" t="s">
        <v>127</v>
      </c>
      <c r="I2009" s="64" t="s">
        <v>133</v>
      </c>
      <c r="J2009" s="67">
        <v>0</v>
      </c>
      <c r="K2009" s="62">
        <v>0</v>
      </c>
      <c r="L2009" s="33" t="e">
        <f>HLOOKUP(B2009,#REF!,1,0)</f>
        <v>#REF!</v>
      </c>
      <c r="M2009" s="33" t="str">
        <f t="shared" si="127"/>
        <v>BS</v>
      </c>
    </row>
    <row r="2010" spans="1:13" s="33" customFormat="true" ht="12.75" customHeight="true">
      <c r="A2010" s="33" t="str">
        <f t="shared" si="124"/>
        <v>SCL - Retained Earnings</v>
      </c>
      <c r="B2010" s="33" t="str">
        <f t="shared" si="125"/>
        <v>SCL</v>
      </c>
      <c r="C2010" s="33" t="str">
        <f t="shared" si="126"/>
        <v>32000-0000</v>
      </c>
      <c r="D2010" s="64" t="s">
        <v>2480</v>
      </c>
      <c r="E2010" s="64" t="s">
        <v>148</v>
      </c>
      <c r="F2010" s="64" t="s">
        <v>15</v>
      </c>
      <c r="G2010" s="64" t="s">
        <v>142</v>
      </c>
      <c r="H2010" s="64" t="s">
        <v>149</v>
      </c>
      <c r="I2010" s="64" t="s">
        <v>150</v>
      </c>
      <c r="J2010" s="67">
        <v>0</v>
      </c>
      <c r="K2010" s="62">
        <v>11338894.12</v>
      </c>
      <c r="L2010" s="33" t="e">
        <f>HLOOKUP(B2010,#REF!,1,0)</f>
        <v>#REF!</v>
      </c>
      <c r="M2010" s="33" t="str">
        <f t="shared" si="127"/>
        <v>BS</v>
      </c>
    </row>
    <row r="2011" spans="1:13" s="33" customFormat="true" ht="12.75" customHeight="true">
      <c r="A2011" s="33" t="str">
        <f t="shared" si="124"/>
        <v>SCL - SH Dist</v>
      </c>
      <c r="B2011" s="33" t="str">
        <f t="shared" si="125"/>
        <v>SCL</v>
      </c>
      <c r="C2011" s="33" t="str">
        <f t="shared" si="126"/>
        <v>36001-0000</v>
      </c>
      <c r="D2011" s="64" t="s">
        <v>2481</v>
      </c>
      <c r="E2011" s="64" t="s">
        <v>322</v>
      </c>
      <c r="F2011" s="64" t="s">
        <v>15</v>
      </c>
      <c r="G2011" s="64" t="s">
        <v>142</v>
      </c>
      <c r="H2011" s="64" t="s">
        <v>143</v>
      </c>
      <c r="I2011" s="64" t="s">
        <v>144</v>
      </c>
      <c r="J2011" s="67">
        <v>222500</v>
      </c>
      <c r="K2011" s="62">
        <v>25304022.57</v>
      </c>
      <c r="L2011" s="33" t="e">
        <f>HLOOKUP(B2011,#REF!,1,0)</f>
        <v>#REF!</v>
      </c>
      <c r="M2011" s="33" t="str">
        <f t="shared" si="127"/>
        <v>BS</v>
      </c>
    </row>
    <row r="2012" spans="1:13" s="33" customFormat="true" ht="12.75" customHeight="true">
      <c r="A2012" s="33" t="str">
        <f t="shared" si="124"/>
        <v>SEA - Cash</v>
      </c>
      <c r="B2012" s="33" t="str">
        <f t="shared" si="125"/>
        <v>SEA</v>
      </c>
      <c r="C2012" s="33" t="str">
        <f t="shared" si="126"/>
        <v>10001-0000</v>
      </c>
      <c r="D2012" s="64" t="s">
        <v>2482</v>
      </c>
      <c r="E2012" s="64" t="s">
        <v>240</v>
      </c>
      <c r="F2012" s="64" t="s">
        <v>230</v>
      </c>
      <c r="G2012" s="64" t="s">
        <v>16</v>
      </c>
      <c r="H2012" s="64" t="s">
        <v>25</v>
      </c>
      <c r="I2012" s="64" t="s">
        <v>18</v>
      </c>
      <c r="J2012" s="67">
        <v>-3991.97</v>
      </c>
      <c r="K2012" s="62">
        <v>15612.34</v>
      </c>
      <c r="L2012" s="33" t="e">
        <f>HLOOKUP(B2012,#REF!,1,0)</f>
        <v>#REF!</v>
      </c>
      <c r="M2012" s="33" t="str">
        <f t="shared" si="127"/>
        <v>BS</v>
      </c>
    </row>
    <row r="2013" spans="1:13" s="33" customFormat="true" ht="12.75" customHeight="true">
      <c r="A2013" s="33" t="str">
        <f t="shared" si="124"/>
        <v>SEA - Fixed Assets</v>
      </c>
      <c r="B2013" s="33" t="str">
        <f t="shared" si="125"/>
        <v>SEA</v>
      </c>
      <c r="C2013" s="33" t="str">
        <f t="shared" si="126"/>
        <v>14000-0000</v>
      </c>
      <c r="D2013" s="64" t="s">
        <v>2483</v>
      </c>
      <c r="E2013" s="64" t="s">
        <v>298</v>
      </c>
      <c r="F2013" s="64" t="s">
        <v>230</v>
      </c>
      <c r="G2013" s="64" t="s">
        <v>62</v>
      </c>
      <c r="H2013" s="64" t="s">
        <v>63</v>
      </c>
      <c r="I2013" s="64" t="s">
        <v>64</v>
      </c>
      <c r="J2013" s="67">
        <v>0</v>
      </c>
      <c r="K2013" s="62">
        <v>945000</v>
      </c>
      <c r="L2013" s="33" t="e">
        <f>HLOOKUP(B2013,#REF!,1,0)</f>
        <v>#REF!</v>
      </c>
      <c r="M2013" s="33" t="str">
        <f t="shared" si="127"/>
        <v>BS</v>
      </c>
    </row>
    <row r="2014" spans="1:13" s="33" customFormat="true" ht="12.75" customHeight="true">
      <c r="A2014" s="33" t="str">
        <f t="shared" si="124"/>
        <v>SEA - Fixed Assets</v>
      </c>
      <c r="B2014" s="33" t="str">
        <f t="shared" si="125"/>
        <v>SEA</v>
      </c>
      <c r="C2014" s="33" t="str">
        <f t="shared" si="126"/>
        <v>15000-0000</v>
      </c>
      <c r="D2014" s="64" t="s">
        <v>2484</v>
      </c>
      <c r="E2014" s="64" t="s">
        <v>300</v>
      </c>
      <c r="F2014" s="64" t="s">
        <v>230</v>
      </c>
      <c r="G2014" s="64" t="s">
        <v>62</v>
      </c>
      <c r="H2014" s="64" t="s">
        <v>63</v>
      </c>
      <c r="I2014" s="64" t="s">
        <v>64</v>
      </c>
      <c r="J2014" s="67">
        <v>0</v>
      </c>
      <c r="K2014" s="62">
        <v>2205000</v>
      </c>
      <c r="L2014" s="33" t="e">
        <f>HLOOKUP(B2014,#REF!,1,0)</f>
        <v>#REF!</v>
      </c>
      <c r="M2014" s="33" t="str">
        <f t="shared" si="127"/>
        <v>BS</v>
      </c>
    </row>
    <row r="2015" spans="1:13" s="33" customFormat="true" ht="12.75" customHeight="true">
      <c r="A2015" s="33" t="str">
        <f t="shared" si="124"/>
        <v>SEA - Fixed Assets</v>
      </c>
      <c r="B2015" s="33" t="str">
        <f t="shared" si="125"/>
        <v>SEA</v>
      </c>
      <c r="C2015" s="33" t="str">
        <f t="shared" si="126"/>
        <v>17000-0000</v>
      </c>
      <c r="D2015" s="64" t="s">
        <v>2485</v>
      </c>
      <c r="E2015" s="64" t="s">
        <v>306</v>
      </c>
      <c r="F2015" s="64" t="s">
        <v>230</v>
      </c>
      <c r="G2015" s="64" t="s">
        <v>62</v>
      </c>
      <c r="H2015" s="64" t="s">
        <v>63</v>
      </c>
      <c r="I2015" s="64" t="s">
        <v>64</v>
      </c>
      <c r="J2015" s="67">
        <v>0</v>
      </c>
      <c r="K2015" s="62">
        <v>-1239</v>
      </c>
      <c r="L2015" s="33" t="e">
        <f>HLOOKUP(B2015,#REF!,1,0)</f>
        <v>#REF!</v>
      </c>
      <c r="M2015" s="33" t="str">
        <f t="shared" si="127"/>
        <v>BS</v>
      </c>
    </row>
    <row r="2016" spans="1:13" s="33" customFormat="true" ht="12.75" customHeight="true">
      <c r="A2016" s="33" t="str">
        <f t="shared" si="124"/>
        <v>SEA - AP-Accr Exp</v>
      </c>
      <c r="B2016" s="33" t="str">
        <f t="shared" si="125"/>
        <v>SEA</v>
      </c>
      <c r="C2016" s="33" t="str">
        <f t="shared" si="126"/>
        <v>24800-0000</v>
      </c>
      <c r="D2016" s="64" t="s">
        <v>2486</v>
      </c>
      <c r="E2016" s="64" t="s">
        <v>232</v>
      </c>
      <c r="F2016" s="64" t="s">
        <v>230</v>
      </c>
      <c r="G2016" s="64" t="s">
        <v>97</v>
      </c>
      <c r="H2016" s="64" t="s">
        <v>98</v>
      </c>
      <c r="I2016" s="64" t="s">
        <v>102</v>
      </c>
      <c r="J2016" s="67">
        <v>0</v>
      </c>
      <c r="K2016" s="62">
        <v>-12680</v>
      </c>
      <c r="L2016" s="33" t="e">
        <f>HLOOKUP(B2016,#REF!,1,0)</f>
        <v>#REF!</v>
      </c>
      <c r="M2016" s="33" t="str">
        <f t="shared" si="127"/>
        <v>BS</v>
      </c>
    </row>
    <row r="2017" spans="1:13" s="33" customFormat="true" ht="12.75" customHeight="true">
      <c r="A2017" s="33" t="str">
        <f t="shared" si="124"/>
        <v>SEA - Principal</v>
      </c>
      <c r="B2017" s="33" t="str">
        <f t="shared" si="125"/>
        <v>SEA</v>
      </c>
      <c r="C2017" s="33" t="str">
        <f t="shared" si="126"/>
        <v>28003-0000</v>
      </c>
      <c r="D2017" s="64" t="s">
        <v>2487</v>
      </c>
      <c r="E2017" s="64" t="s">
        <v>2488</v>
      </c>
      <c r="F2017" s="64" t="s">
        <v>230</v>
      </c>
      <c r="G2017" s="64" t="s">
        <v>123</v>
      </c>
      <c r="H2017" s="64" t="s">
        <v>127</v>
      </c>
      <c r="I2017" s="64" t="s">
        <v>133</v>
      </c>
      <c r="J2017" s="67">
        <v>0</v>
      </c>
      <c r="K2017" s="62">
        <v>-2362500</v>
      </c>
      <c r="L2017" s="33" t="e">
        <f>HLOOKUP(B2017,#REF!,1,0)</f>
        <v>#REF!</v>
      </c>
      <c r="M2017" s="33" t="str">
        <f t="shared" si="127"/>
        <v>BS</v>
      </c>
    </row>
    <row r="2018" spans="1:13" s="33" customFormat="true" ht="12.75" customHeight="true">
      <c r="A2018" s="33" t="str">
        <f t="shared" si="124"/>
        <v>SEA - SH Dist</v>
      </c>
      <c r="B2018" s="33" t="str">
        <f t="shared" si="125"/>
        <v>SEA</v>
      </c>
      <c r="C2018" s="33" t="str">
        <f t="shared" si="126"/>
        <v>30700-0000</v>
      </c>
      <c r="D2018" s="64" t="s">
        <v>2489</v>
      </c>
      <c r="E2018" s="64" t="s">
        <v>319</v>
      </c>
      <c r="F2018" s="64" t="s">
        <v>230</v>
      </c>
      <c r="G2018" s="64" t="s">
        <v>142</v>
      </c>
      <c r="H2018" s="64" t="s">
        <v>143</v>
      </c>
      <c r="I2018" s="64" t="s">
        <v>144</v>
      </c>
      <c r="J2018" s="67">
        <v>0</v>
      </c>
      <c r="K2018" s="62">
        <v>-900000</v>
      </c>
      <c r="L2018" s="33" t="e">
        <f>HLOOKUP(B2018,#REF!,1,0)</f>
        <v>#REF!</v>
      </c>
      <c r="M2018" s="33" t="str">
        <f t="shared" si="127"/>
        <v>BS</v>
      </c>
    </row>
    <row r="2019" spans="1:13" s="33" customFormat="true" ht="12.75" customHeight="true">
      <c r="A2019" s="33" t="str">
        <f t="shared" si="124"/>
        <v>SEA - Retain Earnings</v>
      </c>
      <c r="B2019" s="33" t="str">
        <f t="shared" si="125"/>
        <v>SEA</v>
      </c>
      <c r="C2019" s="33" t="str">
        <f t="shared" si="126"/>
        <v>32000-0000</v>
      </c>
      <c r="D2019" s="64" t="s">
        <v>2490</v>
      </c>
      <c r="E2019" s="64" t="s">
        <v>234</v>
      </c>
      <c r="F2019" s="64" t="s">
        <v>230</v>
      </c>
      <c r="G2019" s="64" t="s">
        <v>142</v>
      </c>
      <c r="H2019" s="64" t="s">
        <v>1856</v>
      </c>
      <c r="I2019" s="64" t="s">
        <v>235</v>
      </c>
      <c r="J2019" s="67">
        <v>0</v>
      </c>
      <c r="K2019" s="62">
        <v>64752.1</v>
      </c>
      <c r="L2019" s="33" t="e">
        <f>HLOOKUP(B2019,#REF!,1,0)</f>
        <v>#REF!</v>
      </c>
      <c r="M2019" s="33" t="str">
        <f t="shared" si="127"/>
        <v>BS</v>
      </c>
    </row>
    <row r="2020" spans="1:13" s="33" customFormat="true" ht="12.75" customHeight="true">
      <c r="A2020" s="33" t="str">
        <f t="shared" si="124"/>
        <v>SEK - Cash</v>
      </c>
      <c r="B2020" s="33" t="str">
        <f t="shared" si="125"/>
        <v>SEK</v>
      </c>
      <c r="C2020" s="33" t="str">
        <f t="shared" si="126"/>
        <v>10001-0000</v>
      </c>
      <c r="D2020" s="64" t="s">
        <v>2491</v>
      </c>
      <c r="E2020" s="64" t="s">
        <v>240</v>
      </c>
      <c r="F2020" s="64" t="s">
        <v>230</v>
      </c>
      <c r="G2020" s="64" t="s">
        <v>16</v>
      </c>
      <c r="H2020" s="64" t="s">
        <v>25</v>
      </c>
      <c r="I2020" s="64" t="s">
        <v>18</v>
      </c>
      <c r="J2020" s="67">
        <v>5095.73</v>
      </c>
      <c r="K2020" s="62">
        <v>67221.38</v>
      </c>
      <c r="L2020" s="33" t="e">
        <f>HLOOKUP(B2020,#REF!,1,0)</f>
        <v>#REF!</v>
      </c>
      <c r="M2020" s="33" t="str">
        <f t="shared" si="127"/>
        <v>BS</v>
      </c>
    </row>
    <row r="2021" spans="1:13" s="33" customFormat="true" ht="12.75" customHeight="true">
      <c r="A2021" s="33" t="str">
        <f t="shared" si="124"/>
        <v>SEK - Intercompany</v>
      </c>
      <c r="B2021" s="33" t="str">
        <f t="shared" si="125"/>
        <v>SEK</v>
      </c>
      <c r="C2021" s="33" t="str">
        <f t="shared" si="126"/>
        <v>11216-0000</v>
      </c>
      <c r="D2021" s="64" t="s">
        <v>2492</v>
      </c>
      <c r="E2021" s="64" t="s">
        <v>242</v>
      </c>
      <c r="F2021" s="64" t="s">
        <v>230</v>
      </c>
      <c r="G2021" s="64" t="s">
        <v>16</v>
      </c>
      <c r="H2021" s="64" t="s">
        <v>39</v>
      </c>
      <c r="I2021" s="64" t="s">
        <v>40</v>
      </c>
      <c r="J2021" s="67">
        <v>913.55</v>
      </c>
      <c r="K2021" s="62">
        <v>-161283.66</v>
      </c>
      <c r="L2021" s="33" t="e">
        <f>HLOOKUP(B2021,#REF!,1,0)</f>
        <v>#REF!</v>
      </c>
      <c r="M2021" s="33" t="str">
        <f t="shared" si="127"/>
        <v>BS</v>
      </c>
    </row>
    <row r="2022" spans="1:13" s="33" customFormat="true" ht="12.75" customHeight="true">
      <c r="A2022" s="33" t="str">
        <f t="shared" si="124"/>
        <v>SEK - Intercompany</v>
      </c>
      <c r="B2022" s="33" t="str">
        <f t="shared" si="125"/>
        <v>SEK</v>
      </c>
      <c r="C2022" s="33" t="str">
        <f t="shared" si="126"/>
        <v>11303-0000</v>
      </c>
      <c r="D2022" s="64" t="s">
        <v>2493</v>
      </c>
      <c r="E2022" s="64" t="s">
        <v>248</v>
      </c>
      <c r="F2022" s="64" t="s">
        <v>230</v>
      </c>
      <c r="G2022" s="64" t="s">
        <v>16</v>
      </c>
      <c r="H2022" s="64" t="s">
        <v>39</v>
      </c>
      <c r="I2022" s="64" t="s">
        <v>40</v>
      </c>
      <c r="J2022" s="67">
        <v>0</v>
      </c>
      <c r="K2022" s="62">
        <v>22000</v>
      </c>
      <c r="L2022" s="33" t="e">
        <f>HLOOKUP(B2022,#REF!,1,0)</f>
        <v>#REF!</v>
      </c>
      <c r="M2022" s="33" t="str">
        <f t="shared" si="127"/>
        <v>BS</v>
      </c>
    </row>
    <row r="2023" spans="1:13" s="33" customFormat="true" ht="12.75" customHeight="true">
      <c r="A2023" s="33" t="str">
        <f t="shared" si="124"/>
        <v>SEK - Intercompany</v>
      </c>
      <c r="B2023" s="33" t="str">
        <f t="shared" si="125"/>
        <v>SEK</v>
      </c>
      <c r="C2023" s="33" t="str">
        <f t="shared" si="126"/>
        <v>11310-0000</v>
      </c>
      <c r="D2023" s="64" t="s">
        <v>2494</v>
      </c>
      <c r="E2023" s="64" t="s">
        <v>2495</v>
      </c>
      <c r="F2023" s="64" t="s">
        <v>230</v>
      </c>
      <c r="G2023" s="64" t="s">
        <v>362</v>
      </c>
      <c r="H2023" s="64" t="s">
        <v>39</v>
      </c>
      <c r="I2023" s="64" t="s">
        <v>40</v>
      </c>
      <c r="J2023" s="67">
        <v>0</v>
      </c>
      <c r="K2023" s="62">
        <v>-35000</v>
      </c>
      <c r="L2023" s="33" t="e">
        <f>HLOOKUP(B2023,#REF!,1,0)</f>
        <v>#REF!</v>
      </c>
      <c r="M2023" s="33" t="str">
        <f t="shared" si="127"/>
        <v>BS</v>
      </c>
    </row>
    <row r="2024" spans="1:13" s="33" customFormat="true" ht="12.75" customHeight="true">
      <c r="A2024" s="33" t="str">
        <f t="shared" si="124"/>
        <v>SEK - Intercompany</v>
      </c>
      <c r="B2024" s="33" t="str">
        <f t="shared" si="125"/>
        <v>SEK</v>
      </c>
      <c r="C2024" s="33" t="str">
        <f t="shared" si="126"/>
        <v>11313-0000</v>
      </c>
      <c r="D2024" s="64" t="s">
        <v>2496</v>
      </c>
      <c r="E2024" s="64" t="s">
        <v>260</v>
      </c>
      <c r="F2024" s="64" t="s">
        <v>230</v>
      </c>
      <c r="G2024" s="64" t="s">
        <v>16</v>
      </c>
      <c r="H2024" s="64" t="s">
        <v>39</v>
      </c>
      <c r="I2024" s="64" t="s">
        <v>40</v>
      </c>
      <c r="J2024" s="67">
        <v>0</v>
      </c>
      <c r="K2024" s="62">
        <v>-15000</v>
      </c>
      <c r="L2024" s="33" t="e">
        <f>HLOOKUP(B2024,#REF!,1,0)</f>
        <v>#REF!</v>
      </c>
      <c r="M2024" s="33" t="str">
        <f t="shared" si="127"/>
        <v>BS</v>
      </c>
    </row>
    <row r="2025" spans="1:13" s="33" customFormat="true" ht="12.75" customHeight="true">
      <c r="A2025" s="33" t="str">
        <f t="shared" si="124"/>
        <v>SEK - Intercompany</v>
      </c>
      <c r="B2025" s="33" t="str">
        <f t="shared" si="125"/>
        <v>SEK</v>
      </c>
      <c r="C2025" s="33" t="str">
        <f t="shared" si="126"/>
        <v>11317-0000</v>
      </c>
      <c r="D2025" s="64" t="s">
        <v>2497</v>
      </c>
      <c r="E2025" s="64" t="s">
        <v>368</v>
      </c>
      <c r="F2025" s="64" t="s">
        <v>230</v>
      </c>
      <c r="G2025" s="64" t="s">
        <v>16</v>
      </c>
      <c r="H2025" s="64" t="s">
        <v>39</v>
      </c>
      <c r="I2025" s="64" t="s">
        <v>40</v>
      </c>
      <c r="J2025" s="67">
        <v>0</v>
      </c>
      <c r="K2025" s="62">
        <v>-12000</v>
      </c>
      <c r="L2025" s="33" t="e">
        <f>HLOOKUP(B2025,#REF!,1,0)</f>
        <v>#REF!</v>
      </c>
      <c r="M2025" s="33" t="str">
        <f t="shared" si="127"/>
        <v>BS</v>
      </c>
    </row>
    <row r="2026" spans="1:13" s="33" customFormat="true" ht="12.75" customHeight="true">
      <c r="A2026" s="33" t="str">
        <f t="shared" si="124"/>
        <v>SEK - Intercompany</v>
      </c>
      <c r="B2026" s="33" t="str">
        <f t="shared" si="125"/>
        <v>SEK</v>
      </c>
      <c r="C2026" s="33" t="str">
        <f t="shared" si="126"/>
        <v>11324-0000</v>
      </c>
      <c r="D2026" s="64" t="s">
        <v>2498</v>
      </c>
      <c r="E2026" s="64" t="s">
        <v>272</v>
      </c>
      <c r="F2026" s="64" t="s">
        <v>230</v>
      </c>
      <c r="G2026" s="64" t="s">
        <v>16</v>
      </c>
      <c r="H2026" s="64" t="s">
        <v>39</v>
      </c>
      <c r="I2026" s="64" t="s">
        <v>40</v>
      </c>
      <c r="J2026" s="67">
        <v>0</v>
      </c>
      <c r="K2026" s="62">
        <v>15000</v>
      </c>
      <c r="L2026" s="33" t="e">
        <f>HLOOKUP(B2026,#REF!,1,0)</f>
        <v>#REF!</v>
      </c>
      <c r="M2026" s="33" t="str">
        <f t="shared" si="127"/>
        <v>BS</v>
      </c>
    </row>
    <row r="2027" spans="1:13" s="33" customFormat="true" ht="12.75" customHeight="true">
      <c r="A2027" s="33" t="str">
        <f t="shared" si="124"/>
        <v>SEK - Intercompany</v>
      </c>
      <c r="B2027" s="33" t="str">
        <f t="shared" si="125"/>
        <v>SEK</v>
      </c>
      <c r="C2027" s="33" t="str">
        <f t="shared" si="126"/>
        <v>11328-0000</v>
      </c>
      <c r="D2027" s="64" t="s">
        <v>2499</v>
      </c>
      <c r="E2027" s="64" t="s">
        <v>2500</v>
      </c>
      <c r="F2027" s="64" t="s">
        <v>230</v>
      </c>
      <c r="G2027" s="64" t="s">
        <v>362</v>
      </c>
      <c r="H2027" s="64" t="s">
        <v>39</v>
      </c>
      <c r="I2027" s="64" t="s">
        <v>40</v>
      </c>
      <c r="J2027" s="67">
        <v>0</v>
      </c>
      <c r="K2027" s="62">
        <v>-20000</v>
      </c>
      <c r="L2027" s="33" t="e">
        <f>HLOOKUP(B2027,#REF!,1,0)</f>
        <v>#REF!</v>
      </c>
      <c r="M2027" s="33" t="str">
        <f t="shared" si="127"/>
        <v>BS</v>
      </c>
    </row>
    <row r="2028" spans="1:13" s="33" customFormat="true" ht="12.75" customHeight="true">
      <c r="A2028" s="33" t="str">
        <f t="shared" si="124"/>
        <v>SEK - Intercompany</v>
      </c>
      <c r="B2028" s="33" t="str">
        <f t="shared" si="125"/>
        <v>SEK</v>
      </c>
      <c r="C2028" s="33" t="str">
        <f t="shared" si="126"/>
        <v>11332-0000</v>
      </c>
      <c r="D2028" s="64" t="s">
        <v>2501</v>
      </c>
      <c r="E2028" s="64" t="s">
        <v>488</v>
      </c>
      <c r="F2028" s="64" t="s">
        <v>230</v>
      </c>
      <c r="G2028" s="64" t="s">
        <v>16</v>
      </c>
      <c r="H2028" s="64" t="s">
        <v>39</v>
      </c>
      <c r="I2028" s="64" t="s">
        <v>40</v>
      </c>
      <c r="J2028" s="67">
        <v>0</v>
      </c>
      <c r="K2028" s="62">
        <v>80000</v>
      </c>
      <c r="L2028" s="33" t="e">
        <f>HLOOKUP(B2028,#REF!,1,0)</f>
        <v>#REF!</v>
      </c>
      <c r="M2028" s="33" t="str">
        <f t="shared" si="127"/>
        <v>BS</v>
      </c>
    </row>
    <row r="2029" spans="1:13" s="33" customFormat="true" ht="12.75" customHeight="true">
      <c r="A2029" s="33" t="str">
        <f t="shared" si="124"/>
        <v>SEK - Fixed Assets</v>
      </c>
      <c r="B2029" s="33" t="str">
        <f t="shared" si="125"/>
        <v>SEK</v>
      </c>
      <c r="C2029" s="33" t="str">
        <f t="shared" si="126"/>
        <v>14000-0000</v>
      </c>
      <c r="D2029" s="64" t="s">
        <v>2502</v>
      </c>
      <c r="E2029" s="64" t="s">
        <v>298</v>
      </c>
      <c r="F2029" s="64" t="s">
        <v>230</v>
      </c>
      <c r="G2029" s="64" t="s">
        <v>62</v>
      </c>
      <c r="H2029" s="64" t="s">
        <v>63</v>
      </c>
      <c r="I2029" s="64" t="s">
        <v>64</v>
      </c>
      <c r="J2029" s="67">
        <v>0</v>
      </c>
      <c r="K2029" s="62">
        <v>1753333.33</v>
      </c>
      <c r="L2029" s="33" t="e">
        <f>HLOOKUP(B2029,#REF!,1,0)</f>
        <v>#REF!</v>
      </c>
      <c r="M2029" s="33" t="str">
        <f t="shared" si="127"/>
        <v>BS</v>
      </c>
    </row>
    <row r="2030" spans="1:13" s="33" customFormat="true" ht="12.75" customHeight="true">
      <c r="A2030" s="33" t="str">
        <f t="shared" si="124"/>
        <v>SEK - Fixed Assets</v>
      </c>
      <c r="B2030" s="33" t="str">
        <f t="shared" si="125"/>
        <v>SEK</v>
      </c>
      <c r="C2030" s="33" t="str">
        <f t="shared" si="126"/>
        <v>15000-0000</v>
      </c>
      <c r="D2030" s="64" t="s">
        <v>2503</v>
      </c>
      <c r="E2030" s="64" t="s">
        <v>300</v>
      </c>
      <c r="F2030" s="64" t="s">
        <v>230</v>
      </c>
      <c r="G2030" s="64" t="s">
        <v>62</v>
      </c>
      <c r="H2030" s="64" t="s">
        <v>63</v>
      </c>
      <c r="I2030" s="64" t="s">
        <v>64</v>
      </c>
      <c r="J2030" s="67">
        <v>0</v>
      </c>
      <c r="K2030" s="62">
        <v>3506666.67</v>
      </c>
      <c r="L2030" s="33" t="e">
        <f>HLOOKUP(B2030,#REF!,1,0)</f>
        <v>#REF!</v>
      </c>
      <c r="M2030" s="33" t="str">
        <f t="shared" si="127"/>
        <v>BS</v>
      </c>
    </row>
    <row r="2031" spans="1:13" s="33" customFormat="true" ht="12.75" customHeight="true">
      <c r="A2031" s="33" t="str">
        <f t="shared" si="124"/>
        <v>SEK - Fixed Assets</v>
      </c>
      <c r="B2031" s="33" t="str">
        <f t="shared" si="125"/>
        <v>SEK</v>
      </c>
      <c r="C2031" s="33" t="str">
        <f t="shared" si="126"/>
        <v>15500-0000</v>
      </c>
      <c r="D2031" s="64" t="s">
        <v>2504</v>
      </c>
      <c r="E2031" s="64" t="s">
        <v>302</v>
      </c>
      <c r="F2031" s="64" t="s">
        <v>230</v>
      </c>
      <c r="G2031" s="64" t="s">
        <v>62</v>
      </c>
      <c r="H2031" s="64" t="s">
        <v>63</v>
      </c>
      <c r="I2031" s="64" t="s">
        <v>64</v>
      </c>
      <c r="J2031" s="67">
        <v>0</v>
      </c>
      <c r="K2031" s="62">
        <v>146421.87</v>
      </c>
      <c r="L2031" s="33" t="e">
        <f>HLOOKUP(B2031,#REF!,1,0)</f>
        <v>#REF!</v>
      </c>
      <c r="M2031" s="33" t="str">
        <f t="shared" si="127"/>
        <v>BS</v>
      </c>
    </row>
    <row r="2032" spans="1:13" s="33" customFormat="true" ht="12.75" customHeight="true">
      <c r="A2032" s="33" t="str">
        <f t="shared" si="124"/>
        <v>SEK - Fixed Assets</v>
      </c>
      <c r="B2032" s="33" t="str">
        <f t="shared" si="125"/>
        <v>SEK</v>
      </c>
      <c r="C2032" s="33" t="str">
        <f t="shared" si="126"/>
        <v>15600-0000</v>
      </c>
      <c r="D2032" s="64" t="s">
        <v>2505</v>
      </c>
      <c r="E2032" s="64" t="s">
        <v>337</v>
      </c>
      <c r="F2032" s="64" t="s">
        <v>230</v>
      </c>
      <c r="G2032" s="64" t="s">
        <v>16</v>
      </c>
      <c r="H2032" s="64" t="s">
        <v>63</v>
      </c>
      <c r="I2032" s="64" t="s">
        <v>64</v>
      </c>
      <c r="J2032" s="67">
        <v>0</v>
      </c>
      <c r="K2032" s="62">
        <v>8657</v>
      </c>
      <c r="L2032" s="33" t="e">
        <f>HLOOKUP(B2032,#REF!,1,0)</f>
        <v>#REF!</v>
      </c>
      <c r="M2032" s="33" t="str">
        <f t="shared" si="127"/>
        <v>BS</v>
      </c>
    </row>
    <row r="2033" spans="1:13" s="33" customFormat="true" ht="12.75" customHeight="true">
      <c r="A2033" s="33" t="str">
        <f t="shared" si="124"/>
        <v>SEK - Fixed Assets</v>
      </c>
      <c r="B2033" s="33" t="str">
        <f t="shared" si="125"/>
        <v>SEK</v>
      </c>
      <c r="C2033" s="33" t="str">
        <f t="shared" si="126"/>
        <v>16000-0000</v>
      </c>
      <c r="D2033" s="64" t="s">
        <v>2506</v>
      </c>
      <c r="E2033" s="64" t="s">
        <v>304</v>
      </c>
      <c r="F2033" s="64" t="s">
        <v>230</v>
      </c>
      <c r="G2033" s="64" t="s">
        <v>16</v>
      </c>
      <c r="H2033" s="64" t="s">
        <v>63</v>
      </c>
      <c r="I2033" s="64" t="s">
        <v>18</v>
      </c>
      <c r="J2033" s="67">
        <v>0</v>
      </c>
      <c r="K2033" s="62">
        <v>4105.25</v>
      </c>
      <c r="L2033" s="33" t="e">
        <f>HLOOKUP(B2033,#REF!,1,0)</f>
        <v>#REF!</v>
      </c>
      <c r="M2033" s="33" t="str">
        <f t="shared" si="127"/>
        <v>BS</v>
      </c>
    </row>
    <row r="2034" spans="1:13" s="33" customFormat="true" ht="12.75" customHeight="true">
      <c r="A2034" s="33" t="str">
        <f t="shared" si="124"/>
        <v>SEK - Fixed Assets</v>
      </c>
      <c r="B2034" s="33" t="str">
        <f t="shared" si="125"/>
        <v>SEK</v>
      </c>
      <c r="C2034" s="33" t="str">
        <f t="shared" si="126"/>
        <v>17000-0000</v>
      </c>
      <c r="D2034" s="64" t="s">
        <v>2507</v>
      </c>
      <c r="E2034" s="64" t="s">
        <v>306</v>
      </c>
      <c r="F2034" s="64" t="s">
        <v>230</v>
      </c>
      <c r="G2034" s="64" t="s">
        <v>62</v>
      </c>
      <c r="H2034" s="64" t="s">
        <v>63</v>
      </c>
      <c r="I2034" s="64" t="s">
        <v>64</v>
      </c>
      <c r="J2034" s="67">
        <v>0</v>
      </c>
      <c r="K2034" s="62">
        <v>-378266</v>
      </c>
      <c r="L2034" s="33" t="e">
        <f>HLOOKUP(B2034,#REF!,1,0)</f>
        <v>#REF!</v>
      </c>
      <c r="M2034" s="33" t="str">
        <f t="shared" si="127"/>
        <v>BS</v>
      </c>
    </row>
    <row r="2035" spans="1:13" s="33" customFormat="true" ht="12.75" customHeight="true">
      <c r="A2035" s="33" t="str">
        <f t="shared" si="124"/>
        <v>SEK - Fixed Assets</v>
      </c>
      <c r="B2035" s="33" t="str">
        <f t="shared" si="125"/>
        <v>SEK</v>
      </c>
      <c r="C2035" s="33" t="str">
        <f t="shared" si="126"/>
        <v>18000-0000</v>
      </c>
      <c r="D2035" s="64" t="s">
        <v>2508</v>
      </c>
      <c r="E2035" s="64" t="s">
        <v>308</v>
      </c>
      <c r="F2035" s="64" t="s">
        <v>230</v>
      </c>
      <c r="G2035" s="64" t="s">
        <v>62</v>
      </c>
      <c r="H2035" s="64" t="s">
        <v>63</v>
      </c>
      <c r="I2035" s="64" t="s">
        <v>64</v>
      </c>
      <c r="J2035" s="67">
        <v>0</v>
      </c>
      <c r="K2035" s="62">
        <v>-21727</v>
      </c>
      <c r="L2035" s="33" t="e">
        <f>HLOOKUP(B2035,#REF!,1,0)</f>
        <v>#REF!</v>
      </c>
      <c r="M2035" s="33" t="str">
        <f t="shared" si="127"/>
        <v>BS</v>
      </c>
    </row>
    <row r="2036" spans="1:13" s="33" customFormat="true" ht="12.75" customHeight="true">
      <c r="A2036" s="33" t="str">
        <f t="shared" si="124"/>
        <v>SEK - Deposits</v>
      </c>
      <c r="B2036" s="33" t="str">
        <f t="shared" si="125"/>
        <v>SEK</v>
      </c>
      <c r="C2036" s="33" t="str">
        <f t="shared" si="126"/>
        <v>19001-0000</v>
      </c>
      <c r="D2036" s="64" t="s">
        <v>2509</v>
      </c>
      <c r="E2036" s="64" t="s">
        <v>344</v>
      </c>
      <c r="F2036" s="64" t="s">
        <v>230</v>
      </c>
      <c r="G2036" s="64" t="s">
        <v>62</v>
      </c>
      <c r="H2036" s="64" t="s">
        <v>80</v>
      </c>
      <c r="I2036" s="64" t="s">
        <v>81</v>
      </c>
      <c r="J2036" s="67">
        <v>0</v>
      </c>
      <c r="K2036" s="62">
        <v>-195</v>
      </c>
      <c r="L2036" s="33" t="e">
        <f>HLOOKUP(B2036,#REF!,1,0)</f>
        <v>#REF!</v>
      </c>
      <c r="M2036" s="33" t="str">
        <f t="shared" si="127"/>
        <v>BS</v>
      </c>
    </row>
    <row r="2037" spans="1:13" s="33" customFormat="true" ht="12.75" customHeight="true">
      <c r="A2037" s="33" t="str">
        <f t="shared" si="124"/>
        <v>SEK - AP-Accr Exp</v>
      </c>
      <c r="B2037" s="33" t="str">
        <f t="shared" si="125"/>
        <v>SEK</v>
      </c>
      <c r="C2037" s="33" t="str">
        <f t="shared" si="126"/>
        <v>20001-0000</v>
      </c>
      <c r="D2037" s="64" t="s">
        <v>2510</v>
      </c>
      <c r="E2037" s="64" t="s">
        <v>96</v>
      </c>
      <c r="F2037" s="64" t="s">
        <v>230</v>
      </c>
      <c r="G2037" s="64" t="s">
        <v>97</v>
      </c>
      <c r="H2037" s="64" t="s">
        <v>98</v>
      </c>
      <c r="I2037" s="64" t="s">
        <v>99</v>
      </c>
      <c r="J2037" s="67">
        <v>1150</v>
      </c>
      <c r="K2037" s="62">
        <v>0</v>
      </c>
      <c r="L2037" s="33" t="e">
        <f>HLOOKUP(B2037,#REF!,1,0)</f>
        <v>#REF!</v>
      </c>
      <c r="M2037" s="33" t="str">
        <f t="shared" si="127"/>
        <v>BS</v>
      </c>
    </row>
    <row r="2038" spans="1:13" s="33" customFormat="true" ht="12.75" customHeight="true">
      <c r="A2038" s="33" t="str">
        <f t="shared" si="124"/>
        <v>SEK - AP-Accr Exp</v>
      </c>
      <c r="B2038" s="33" t="str">
        <f t="shared" si="125"/>
        <v>SEK</v>
      </c>
      <c r="C2038" s="33" t="str">
        <f t="shared" si="126"/>
        <v>23509-0000</v>
      </c>
      <c r="D2038" s="64" t="s">
        <v>2511</v>
      </c>
      <c r="E2038" s="64" t="s">
        <v>111</v>
      </c>
      <c r="F2038" s="64" t="s">
        <v>230</v>
      </c>
      <c r="G2038" s="64" t="s">
        <v>97</v>
      </c>
      <c r="H2038" s="64" t="s">
        <v>98</v>
      </c>
      <c r="I2038" s="64" t="s">
        <v>102</v>
      </c>
      <c r="J2038" s="67">
        <v>0</v>
      </c>
      <c r="K2038" s="62">
        <v>0</v>
      </c>
      <c r="L2038" s="33" t="e">
        <f>HLOOKUP(B2038,#REF!,1,0)</f>
        <v>#REF!</v>
      </c>
      <c r="M2038" s="33" t="str">
        <f t="shared" si="127"/>
        <v>BS</v>
      </c>
    </row>
    <row r="2039" spans="1:13" s="33" customFormat="true" ht="12.75" customHeight="true">
      <c r="A2039" s="33" t="str">
        <f t="shared" si="124"/>
        <v>SEK - AP-Accr Exp</v>
      </c>
      <c r="B2039" s="33" t="str">
        <f t="shared" si="125"/>
        <v>SEK</v>
      </c>
      <c r="C2039" s="33" t="str">
        <f t="shared" si="126"/>
        <v>24800-0000</v>
      </c>
      <c r="D2039" s="64" t="s">
        <v>2512</v>
      </c>
      <c r="E2039" s="64" t="s">
        <v>232</v>
      </c>
      <c r="F2039" s="64" t="s">
        <v>230</v>
      </c>
      <c r="G2039" s="64" t="s">
        <v>97</v>
      </c>
      <c r="H2039" s="64" t="s">
        <v>98</v>
      </c>
      <c r="I2039" s="64" t="s">
        <v>102</v>
      </c>
      <c r="J2039" s="67">
        <v>0</v>
      </c>
      <c r="K2039" s="62">
        <v>-21372</v>
      </c>
      <c r="L2039" s="33" t="e">
        <f>HLOOKUP(B2039,#REF!,1,0)</f>
        <v>#REF!</v>
      </c>
      <c r="M2039" s="33" t="str">
        <f t="shared" si="127"/>
        <v>BS</v>
      </c>
    </row>
    <row r="2040" spans="1:13" s="33" customFormat="true" ht="12.75" customHeight="true">
      <c r="A2040" s="33" t="str">
        <f t="shared" si="124"/>
        <v>SEK - InterCo Notes</v>
      </c>
      <c r="B2040" s="33" t="str">
        <f t="shared" si="125"/>
        <v>SEK</v>
      </c>
      <c r="C2040" s="33" t="str">
        <f t="shared" si="126"/>
        <v>25100-0000</v>
      </c>
      <c r="D2040" s="64" t="s">
        <v>2513</v>
      </c>
      <c r="E2040" s="64" t="s">
        <v>430</v>
      </c>
      <c r="F2040" s="64" t="s">
        <v>230</v>
      </c>
      <c r="G2040" s="64" t="s">
        <v>16</v>
      </c>
      <c r="H2040" s="64" t="s">
        <v>315</v>
      </c>
      <c r="I2040" s="64" t="s">
        <v>40</v>
      </c>
      <c r="J2040" s="67">
        <v>0</v>
      </c>
      <c r="K2040" s="62">
        <v>-2246716.97</v>
      </c>
      <c r="L2040" s="33" t="e">
        <f>HLOOKUP(B2040,#REF!,1,0)</f>
        <v>#REF!</v>
      </c>
      <c r="M2040" s="33" t="str">
        <f t="shared" si="127"/>
        <v>BS</v>
      </c>
    </row>
    <row r="2041" spans="1:13" s="33" customFormat="true" ht="12.75" customHeight="true">
      <c r="A2041" s="33" t="str">
        <f t="shared" si="124"/>
        <v>SEK - Principal</v>
      </c>
      <c r="B2041" s="33" t="str">
        <f t="shared" si="125"/>
        <v>SEK</v>
      </c>
      <c r="C2041" s="33" t="str">
        <f t="shared" si="126"/>
        <v>26800-0000</v>
      </c>
      <c r="D2041" s="64" t="s">
        <v>2514</v>
      </c>
      <c r="E2041" s="64" t="s">
        <v>402</v>
      </c>
      <c r="F2041" s="64" t="s">
        <v>230</v>
      </c>
      <c r="G2041" s="64" t="s">
        <v>97</v>
      </c>
      <c r="H2041" s="64" t="s">
        <v>127</v>
      </c>
      <c r="I2041" s="64" t="s">
        <v>128</v>
      </c>
      <c r="J2041" s="67">
        <v>0</v>
      </c>
      <c r="K2041" s="62">
        <v>-150000</v>
      </c>
      <c r="L2041" s="33" t="e">
        <f>HLOOKUP(B2041,#REF!,1,0)</f>
        <v>#REF!</v>
      </c>
      <c r="M2041" s="33" t="str">
        <f t="shared" si="127"/>
        <v>BS</v>
      </c>
    </row>
    <row r="2042" spans="1:13" s="33" customFormat="true" ht="12.75" customHeight="true">
      <c r="A2042" s="33" t="str">
        <f t="shared" si="124"/>
        <v>SEK - Principal</v>
      </c>
      <c r="B2042" s="33" t="str">
        <f t="shared" si="125"/>
        <v>SEK</v>
      </c>
      <c r="C2042" s="33" t="str">
        <f t="shared" si="126"/>
        <v>28001-0000</v>
      </c>
      <c r="D2042" s="64" t="s">
        <v>2515</v>
      </c>
      <c r="E2042" s="64" t="s">
        <v>352</v>
      </c>
      <c r="F2042" s="64" t="s">
        <v>230</v>
      </c>
      <c r="G2042" s="64" t="s">
        <v>123</v>
      </c>
      <c r="H2042" s="64" t="s">
        <v>127</v>
      </c>
      <c r="I2042" s="64" t="s">
        <v>133</v>
      </c>
      <c r="J2042" s="67">
        <v>4600.99</v>
      </c>
      <c r="K2042" s="62">
        <v>-2678674.08</v>
      </c>
      <c r="L2042" s="33" t="e">
        <f>HLOOKUP(B2042,#REF!,1,0)</f>
        <v>#REF!</v>
      </c>
      <c r="M2042" s="33" t="str">
        <f t="shared" si="127"/>
        <v>BS</v>
      </c>
    </row>
    <row r="2043" spans="1:13" s="33" customFormat="true" ht="12.75" customHeight="true">
      <c r="A2043" s="33" t="str">
        <f t="shared" si="124"/>
        <v>SEK - SH Dist</v>
      </c>
      <c r="B2043" s="33" t="str">
        <f t="shared" si="125"/>
        <v>SEK</v>
      </c>
      <c r="C2043" s="33" t="str">
        <f t="shared" si="126"/>
        <v>30700-0000</v>
      </c>
      <c r="D2043" s="64" t="s">
        <v>2516</v>
      </c>
      <c r="E2043" s="64" t="s">
        <v>319</v>
      </c>
      <c r="F2043" s="64" t="s">
        <v>230</v>
      </c>
      <c r="G2043" s="64" t="s">
        <v>142</v>
      </c>
      <c r="H2043" s="64" t="s">
        <v>143</v>
      </c>
      <c r="I2043" s="64" t="s">
        <v>144</v>
      </c>
      <c r="J2043" s="67">
        <v>0</v>
      </c>
      <c r="K2043" s="62">
        <v>48000</v>
      </c>
      <c r="L2043" s="33" t="e">
        <f>HLOOKUP(B2043,#REF!,1,0)</f>
        <v>#REF!</v>
      </c>
      <c r="M2043" s="33" t="str">
        <f t="shared" si="127"/>
        <v>BS</v>
      </c>
    </row>
    <row r="2044" spans="1:13" s="33" customFormat="true" ht="12.75" customHeight="true">
      <c r="A2044" s="33" t="str">
        <f t="shared" si="124"/>
        <v>SEK - Retained Earnings</v>
      </c>
      <c r="B2044" s="33" t="str">
        <f t="shared" si="125"/>
        <v>SEK</v>
      </c>
      <c r="C2044" s="33" t="str">
        <f t="shared" si="126"/>
        <v>32000-0000</v>
      </c>
      <c r="D2044" s="64" t="s">
        <v>2517</v>
      </c>
      <c r="E2044" s="64" t="s">
        <v>234</v>
      </c>
      <c r="F2044" s="64" t="s">
        <v>230</v>
      </c>
      <c r="G2044" s="64" t="s">
        <v>142</v>
      </c>
      <c r="H2044" s="64" t="s">
        <v>149</v>
      </c>
      <c r="I2044" s="64" t="s">
        <v>235</v>
      </c>
      <c r="J2044" s="67">
        <v>0</v>
      </c>
      <c r="K2044" s="62">
        <v>167508.5</v>
      </c>
      <c r="L2044" s="33" t="e">
        <f>HLOOKUP(B2044,#REF!,1,0)</f>
        <v>#REF!</v>
      </c>
      <c r="M2044" s="33" t="str">
        <f t="shared" si="127"/>
        <v>BS</v>
      </c>
    </row>
    <row r="2045" spans="1:13" s="33" customFormat="true" ht="12.75" customHeight="true">
      <c r="A2045" s="33" t="str">
        <f t="shared" si="124"/>
        <v>SG2 - Inventory</v>
      </c>
      <c r="B2045" s="33" t="str">
        <f t="shared" si="125"/>
        <v>SG2</v>
      </c>
      <c r="C2045" s="33" t="str">
        <f t="shared" si="126"/>
        <v>10005-7373</v>
      </c>
      <c r="D2045" s="64" t="s">
        <v>2518</v>
      </c>
      <c r="E2045" s="64" t="s">
        <v>14</v>
      </c>
      <c r="F2045" s="64" t="s">
        <v>15</v>
      </c>
      <c r="G2045" s="64" t="s">
        <v>16</v>
      </c>
      <c r="H2045" s="64" t="s">
        <v>17</v>
      </c>
      <c r="I2045" s="64" t="s">
        <v>18</v>
      </c>
      <c r="J2045" s="67">
        <v>0</v>
      </c>
      <c r="K2045" s="62">
        <v>2202</v>
      </c>
      <c r="L2045" s="33" t="e">
        <f>HLOOKUP(B2045,#REF!,1,0)</f>
        <v>#REF!</v>
      </c>
      <c r="M2045" s="33" t="str">
        <f t="shared" si="127"/>
        <v>BS</v>
      </c>
    </row>
    <row r="2046" spans="1:13" s="33" customFormat="true" ht="12.75" customHeight="true">
      <c r="A2046" s="33" t="str">
        <f t="shared" si="124"/>
        <v>SG2 - Inventory</v>
      </c>
      <c r="B2046" s="33" t="str">
        <f t="shared" si="125"/>
        <v>SG2</v>
      </c>
      <c r="C2046" s="33" t="str">
        <f t="shared" si="126"/>
        <v>10005-7382</v>
      </c>
      <c r="D2046" s="64" t="s">
        <v>2519</v>
      </c>
      <c r="E2046" s="64" t="s">
        <v>14</v>
      </c>
      <c r="F2046" s="64" t="s">
        <v>15</v>
      </c>
      <c r="G2046" s="64" t="s">
        <v>16</v>
      </c>
      <c r="H2046" s="64" t="s">
        <v>17</v>
      </c>
      <c r="I2046" s="64" t="s">
        <v>18</v>
      </c>
      <c r="J2046" s="67">
        <v>0</v>
      </c>
      <c r="K2046" s="62">
        <v>1781</v>
      </c>
      <c r="L2046" s="33" t="e">
        <f>HLOOKUP(B2046,#REF!,1,0)</f>
        <v>#REF!</v>
      </c>
      <c r="M2046" s="33" t="str">
        <f t="shared" si="127"/>
        <v>BS</v>
      </c>
    </row>
    <row r="2047" spans="1:13" s="33" customFormat="true" ht="12.75" customHeight="true">
      <c r="A2047" s="33" t="str">
        <f t="shared" si="124"/>
        <v>SG2 - Cash</v>
      </c>
      <c r="B2047" s="33" t="str">
        <f t="shared" si="125"/>
        <v>SG2</v>
      </c>
      <c r="C2047" s="33" t="str">
        <f t="shared" si="126"/>
        <v>10021-0000</v>
      </c>
      <c r="D2047" s="64" t="s">
        <v>2520</v>
      </c>
      <c r="E2047" s="64" t="s">
        <v>24</v>
      </c>
      <c r="F2047" s="64" t="s">
        <v>15</v>
      </c>
      <c r="G2047" s="64" t="s">
        <v>16</v>
      </c>
      <c r="H2047" s="64" t="s">
        <v>25</v>
      </c>
      <c r="I2047" s="64" t="s">
        <v>18</v>
      </c>
      <c r="J2047" s="67">
        <v>20198.25</v>
      </c>
      <c r="K2047" s="62">
        <v>12312.02</v>
      </c>
      <c r="L2047" s="33" t="e">
        <f>HLOOKUP(B2047,#REF!,1,0)</f>
        <v>#REF!</v>
      </c>
      <c r="M2047" s="33" t="str">
        <f t="shared" si="127"/>
        <v>BS</v>
      </c>
    </row>
    <row r="2048" spans="1:13" s="33" customFormat="true" ht="12.75" customHeight="true">
      <c r="A2048" s="33" t="str">
        <f t="shared" si="124"/>
        <v>SG2 - Cash</v>
      </c>
      <c r="B2048" s="33" t="str">
        <f t="shared" si="125"/>
        <v>SG2</v>
      </c>
      <c r="C2048" s="33" t="str">
        <f t="shared" si="126"/>
        <v>10023-0000</v>
      </c>
      <c r="D2048" s="64" t="s">
        <v>2521</v>
      </c>
      <c r="E2048" s="64" t="s">
        <v>27</v>
      </c>
      <c r="F2048" s="64" t="s">
        <v>15</v>
      </c>
      <c r="G2048" s="64" t="s">
        <v>16</v>
      </c>
      <c r="H2048" s="64" t="s">
        <v>25</v>
      </c>
      <c r="I2048" s="64" t="s">
        <v>18</v>
      </c>
      <c r="J2048" s="67">
        <v>3684.05</v>
      </c>
      <c r="K2048" s="62">
        <v>5312.13</v>
      </c>
      <c r="L2048" s="33" t="e">
        <f>HLOOKUP(B2048,#REF!,1,0)</f>
        <v>#REF!</v>
      </c>
      <c r="M2048" s="33" t="str">
        <f t="shared" si="127"/>
        <v>BS</v>
      </c>
    </row>
    <row r="2049" spans="1:13" s="33" customFormat="true" ht="12.75" customHeight="true">
      <c r="A2049" s="33" t="str">
        <f t="shared" si="124"/>
        <v>SG2 - Cash</v>
      </c>
      <c r="B2049" s="33" t="str">
        <f t="shared" si="125"/>
        <v>SG2</v>
      </c>
      <c r="C2049" s="33" t="str">
        <f t="shared" si="126"/>
        <v>10029-0000</v>
      </c>
      <c r="D2049" s="64" t="s">
        <v>2522</v>
      </c>
      <c r="E2049" s="64" t="s">
        <v>760</v>
      </c>
      <c r="F2049" s="64" t="s">
        <v>15</v>
      </c>
      <c r="G2049" s="64" t="s">
        <v>16</v>
      </c>
      <c r="H2049" s="64" t="s">
        <v>25</v>
      </c>
      <c r="I2049" s="64" t="s">
        <v>18</v>
      </c>
      <c r="J2049" s="67">
        <v>346338.62</v>
      </c>
      <c r="K2049" s="62">
        <v>-505763.04</v>
      </c>
      <c r="L2049" s="33" t="e">
        <f>HLOOKUP(B2049,#REF!,1,0)</f>
        <v>#REF!</v>
      </c>
      <c r="M2049" s="33" t="str">
        <f t="shared" si="127"/>
        <v>BS</v>
      </c>
    </row>
    <row r="2050" spans="1:13" s="33" customFormat="true" ht="12.75" customHeight="true">
      <c r="A2050" s="33" t="str">
        <f t="shared" ref="A2050:A2113" si="128">B2050&amp;" - "&amp;TRIM(H2050)</f>
        <v>SG2 - AR-PPD</v>
      </c>
      <c r="B2050" s="33" t="str">
        <f t="shared" ref="B2050:B2113" si="129">LEFT(D2050,3)</f>
        <v>SG2</v>
      </c>
      <c r="C2050" s="33" t="str">
        <f t="shared" ref="C2050:C2113" si="130">RIGHT(D2050,10)</f>
        <v>11001-0000</v>
      </c>
      <c r="D2050" s="64" t="s">
        <v>2523</v>
      </c>
      <c r="E2050" s="64" t="s">
        <v>34</v>
      </c>
      <c r="F2050" s="64" t="s">
        <v>15</v>
      </c>
      <c r="G2050" s="64" t="s">
        <v>16</v>
      </c>
      <c r="H2050" s="64" t="s">
        <v>35</v>
      </c>
      <c r="I2050" s="64" t="s">
        <v>36</v>
      </c>
      <c r="J2050" s="67">
        <v>317.13</v>
      </c>
      <c r="K2050" s="62">
        <v>31492.31</v>
      </c>
      <c r="L2050" s="33" t="e">
        <f>HLOOKUP(B2050,#REF!,1,0)</f>
        <v>#REF!</v>
      </c>
      <c r="M2050" s="33" t="str">
        <f t="shared" ref="M2050:M2113" si="131">IF(VALUE(LEFT(C2050,5))&gt;40000,"P&amp;L","BS")</f>
        <v>BS</v>
      </c>
    </row>
    <row r="2051" spans="1:13" s="33" customFormat="true" ht="12.75" customHeight="true">
      <c r="A2051" s="33" t="str">
        <f t="shared" si="128"/>
        <v>SG2 - Intercompany</v>
      </c>
      <c r="B2051" s="33" t="str">
        <f t="shared" si="129"/>
        <v>SG2</v>
      </c>
      <c r="C2051" s="33" t="str">
        <f t="shared" si="130"/>
        <v>11200-0000</v>
      </c>
      <c r="D2051" s="64" t="s">
        <v>2524</v>
      </c>
      <c r="E2051" s="64" t="s">
        <v>38</v>
      </c>
      <c r="F2051" s="64" t="s">
        <v>15</v>
      </c>
      <c r="G2051" s="64" t="s">
        <v>16</v>
      </c>
      <c r="H2051" s="64" t="s">
        <v>39</v>
      </c>
      <c r="I2051" s="64" t="s">
        <v>40</v>
      </c>
      <c r="J2051" s="67">
        <v>-541672.43</v>
      </c>
      <c r="K2051" s="62">
        <v>-16160727.13</v>
      </c>
      <c r="L2051" s="33" t="e">
        <f>HLOOKUP(B2051,#REF!,1,0)</f>
        <v>#REF!</v>
      </c>
      <c r="M2051" s="33" t="str">
        <f t="shared" si="131"/>
        <v>BS</v>
      </c>
    </row>
    <row r="2052" spans="1:13" s="33" customFormat="true" ht="12.75" customHeight="true">
      <c r="A2052" s="33" t="str">
        <f t="shared" si="128"/>
        <v>SG2 - Intercompany</v>
      </c>
      <c r="B2052" s="33" t="str">
        <f t="shared" si="129"/>
        <v>SG2</v>
      </c>
      <c r="C2052" s="33" t="str">
        <f t="shared" si="130"/>
        <v>11203-0000</v>
      </c>
      <c r="D2052" s="64" t="s">
        <v>2525</v>
      </c>
      <c r="E2052" s="64" t="s">
        <v>767</v>
      </c>
      <c r="F2052" s="64" t="s">
        <v>15</v>
      </c>
      <c r="G2052" s="64" t="s">
        <v>16</v>
      </c>
      <c r="H2052" s="64" t="s">
        <v>39</v>
      </c>
      <c r="I2052" s="64" t="s">
        <v>40</v>
      </c>
      <c r="J2052" s="67">
        <v>92308.87</v>
      </c>
      <c r="K2052" s="62">
        <v>9134599.35</v>
      </c>
      <c r="L2052" s="33" t="e">
        <f>HLOOKUP(B2052,#REF!,1,0)</f>
        <v>#REF!</v>
      </c>
      <c r="M2052" s="33" t="str">
        <f t="shared" si="131"/>
        <v>BS</v>
      </c>
    </row>
    <row r="2053" spans="1:13" s="33" customFormat="true" ht="12.75" customHeight="true">
      <c r="A2053" s="33" t="str">
        <f t="shared" si="128"/>
        <v>SG2 - Intercompany</v>
      </c>
      <c r="B2053" s="33" t="str">
        <f t="shared" si="129"/>
        <v>SG2</v>
      </c>
      <c r="C2053" s="33" t="str">
        <f t="shared" si="130"/>
        <v>11204-0000</v>
      </c>
      <c r="D2053" s="64" t="s">
        <v>2526</v>
      </c>
      <c r="E2053" s="64" t="s">
        <v>1234</v>
      </c>
      <c r="F2053" s="64" t="s">
        <v>15</v>
      </c>
      <c r="G2053" s="64" t="s">
        <v>16</v>
      </c>
      <c r="H2053" s="64" t="s">
        <v>39</v>
      </c>
      <c r="I2053" s="64" t="s">
        <v>40</v>
      </c>
      <c r="J2053" s="67">
        <v>112092.21</v>
      </c>
      <c r="K2053" s="62">
        <v>12337968.28</v>
      </c>
      <c r="L2053" s="33" t="e">
        <f>HLOOKUP(B2053,#REF!,1,0)</f>
        <v>#REF!</v>
      </c>
      <c r="M2053" s="33" t="str">
        <f t="shared" si="131"/>
        <v>BS</v>
      </c>
    </row>
    <row r="2054" spans="1:13" s="33" customFormat="true" ht="12.75" customHeight="true">
      <c r="A2054" s="33" t="str">
        <f t="shared" si="128"/>
        <v>SG2 - Intercompany</v>
      </c>
      <c r="B2054" s="33" t="str">
        <f t="shared" si="129"/>
        <v>SG2</v>
      </c>
      <c r="C2054" s="33" t="str">
        <f t="shared" si="130"/>
        <v>11224-0000</v>
      </c>
      <c r="D2054" s="64" t="s">
        <v>2527</v>
      </c>
      <c r="E2054" s="64" t="s">
        <v>771</v>
      </c>
      <c r="F2054" s="64" t="s">
        <v>15</v>
      </c>
      <c r="G2054" s="64" t="s">
        <v>16</v>
      </c>
      <c r="H2054" s="64" t="s">
        <v>39</v>
      </c>
      <c r="I2054" s="64" t="s">
        <v>40</v>
      </c>
      <c r="J2054" s="67">
        <v>0</v>
      </c>
      <c r="K2054" s="62">
        <v>4516.72</v>
      </c>
      <c r="L2054" s="33" t="e">
        <f>HLOOKUP(B2054,#REF!,1,0)</f>
        <v>#REF!</v>
      </c>
      <c r="M2054" s="33" t="str">
        <f t="shared" si="131"/>
        <v>BS</v>
      </c>
    </row>
    <row r="2055" spans="1:13" s="33" customFormat="true" ht="12.75" customHeight="true">
      <c r="A2055" s="33" t="str">
        <f t="shared" si="128"/>
        <v>SG2 - AR-PPD</v>
      </c>
      <c r="B2055" s="33" t="str">
        <f t="shared" si="129"/>
        <v>SG2</v>
      </c>
      <c r="C2055" s="33" t="str">
        <f t="shared" si="130"/>
        <v>11985-0000</v>
      </c>
      <c r="D2055" s="64" t="s">
        <v>2528</v>
      </c>
      <c r="E2055" s="64" t="s">
        <v>773</v>
      </c>
      <c r="F2055" s="64" t="s">
        <v>15</v>
      </c>
      <c r="G2055" s="64" t="s">
        <v>16</v>
      </c>
      <c r="H2055" s="64" t="s">
        <v>35</v>
      </c>
      <c r="I2055" s="64" t="s">
        <v>40</v>
      </c>
      <c r="J2055" s="67">
        <v>0</v>
      </c>
      <c r="K2055" s="62">
        <v>4424920</v>
      </c>
      <c r="L2055" s="33" t="e">
        <f>HLOOKUP(B2055,#REF!,1,0)</f>
        <v>#REF!</v>
      </c>
      <c r="M2055" s="33" t="str">
        <f t="shared" si="131"/>
        <v>BS</v>
      </c>
    </row>
    <row r="2056" spans="1:13" s="33" customFormat="true" ht="12.75" customHeight="true">
      <c r="A2056" s="33" t="str">
        <f t="shared" si="128"/>
        <v>SG2 - Inventory</v>
      </c>
      <c r="B2056" s="33" t="str">
        <f t="shared" si="129"/>
        <v>SG2</v>
      </c>
      <c r="C2056" s="33" t="str">
        <f t="shared" si="130"/>
        <v>13100-7373</v>
      </c>
      <c r="D2056" s="64" t="s">
        <v>2529</v>
      </c>
      <c r="E2056" s="64" t="s">
        <v>50</v>
      </c>
      <c r="F2056" s="64" t="s">
        <v>15</v>
      </c>
      <c r="G2056" s="64" t="s">
        <v>16</v>
      </c>
      <c r="H2056" s="64" t="s">
        <v>17</v>
      </c>
      <c r="I2056" s="64" t="s">
        <v>51</v>
      </c>
      <c r="J2056" s="67">
        <v>0</v>
      </c>
      <c r="K2056" s="62">
        <v>6110</v>
      </c>
      <c r="L2056" s="33" t="e">
        <f>HLOOKUP(B2056,#REF!,1,0)</f>
        <v>#REF!</v>
      </c>
      <c r="M2056" s="33" t="str">
        <f t="shared" si="131"/>
        <v>BS</v>
      </c>
    </row>
    <row r="2057" spans="1:13" s="33" customFormat="true" ht="12.75" customHeight="true">
      <c r="A2057" s="33" t="str">
        <f t="shared" si="128"/>
        <v>SG2 - Inventory</v>
      </c>
      <c r="B2057" s="33" t="str">
        <f t="shared" si="129"/>
        <v>SG2</v>
      </c>
      <c r="C2057" s="33" t="str">
        <f t="shared" si="130"/>
        <v>13100-7382</v>
      </c>
      <c r="D2057" s="64" t="s">
        <v>2530</v>
      </c>
      <c r="E2057" s="64" t="s">
        <v>50</v>
      </c>
      <c r="F2057" s="64" t="s">
        <v>15</v>
      </c>
      <c r="G2057" s="64" t="s">
        <v>16</v>
      </c>
      <c r="H2057" s="64" t="s">
        <v>17</v>
      </c>
      <c r="I2057" s="64" t="s">
        <v>51</v>
      </c>
      <c r="J2057" s="67">
        <v>0</v>
      </c>
      <c r="K2057" s="62">
        <v>6505.57</v>
      </c>
      <c r="L2057" s="33" t="e">
        <f>HLOOKUP(B2057,#REF!,1,0)</f>
        <v>#REF!</v>
      </c>
      <c r="M2057" s="33" t="str">
        <f t="shared" si="131"/>
        <v>BS</v>
      </c>
    </row>
    <row r="2058" spans="1:13" s="33" customFormat="true" ht="12.75" customHeight="true">
      <c r="A2058" s="33" t="str">
        <f t="shared" si="128"/>
        <v>SG2 - AR-PPD</v>
      </c>
      <c r="B2058" s="33" t="str">
        <f t="shared" si="129"/>
        <v>SG2</v>
      </c>
      <c r="C2058" s="33" t="str">
        <f t="shared" si="130"/>
        <v>15002-0000</v>
      </c>
      <c r="D2058" s="64" t="s">
        <v>2531</v>
      </c>
      <c r="E2058" s="64" t="s">
        <v>56</v>
      </c>
      <c r="F2058" s="64" t="s">
        <v>15</v>
      </c>
      <c r="G2058" s="64" t="s">
        <v>16</v>
      </c>
      <c r="H2058" s="64" t="s">
        <v>35</v>
      </c>
      <c r="I2058" s="64" t="s">
        <v>57</v>
      </c>
      <c r="J2058" s="67">
        <v>0</v>
      </c>
      <c r="K2058" s="62">
        <v>0</v>
      </c>
      <c r="L2058" s="33" t="e">
        <f>HLOOKUP(B2058,#REF!,1,0)</f>
        <v>#REF!</v>
      </c>
      <c r="M2058" s="33" t="str">
        <f t="shared" si="131"/>
        <v>BS</v>
      </c>
    </row>
    <row r="2059" spans="1:13" s="33" customFormat="true" ht="12.75" customHeight="true">
      <c r="A2059" s="33" t="str">
        <f t="shared" si="128"/>
        <v>SG2 - AR-PPD</v>
      </c>
      <c r="B2059" s="33" t="str">
        <f t="shared" si="129"/>
        <v>SG2</v>
      </c>
      <c r="C2059" s="33" t="str">
        <f t="shared" si="130"/>
        <v>15005-0000</v>
      </c>
      <c r="D2059" s="64" t="s">
        <v>2532</v>
      </c>
      <c r="E2059" s="64" t="s">
        <v>59</v>
      </c>
      <c r="F2059" s="64" t="s">
        <v>15</v>
      </c>
      <c r="G2059" s="64" t="s">
        <v>16</v>
      </c>
      <c r="H2059" s="64" t="s">
        <v>35</v>
      </c>
      <c r="I2059" s="64" t="s">
        <v>57</v>
      </c>
      <c r="J2059" s="67">
        <v>0</v>
      </c>
      <c r="K2059" s="62">
        <v>689.9</v>
      </c>
      <c r="L2059" s="33" t="e">
        <f>HLOOKUP(B2059,#REF!,1,0)</f>
        <v>#REF!</v>
      </c>
      <c r="M2059" s="33" t="str">
        <f t="shared" si="131"/>
        <v>BS</v>
      </c>
    </row>
    <row r="2060" spans="1:13" s="33" customFormat="true" ht="12.75" customHeight="true">
      <c r="A2060" s="33" t="str">
        <f t="shared" si="128"/>
        <v>SG2 - Fixed Assets</v>
      </c>
      <c r="B2060" s="33" t="str">
        <f t="shared" si="129"/>
        <v>SG2</v>
      </c>
      <c r="C2060" s="33" t="str">
        <f t="shared" si="130"/>
        <v>16101-7373</v>
      </c>
      <c r="D2060" s="64" t="s">
        <v>2533</v>
      </c>
      <c r="E2060" s="64" t="s">
        <v>61</v>
      </c>
      <c r="F2060" s="64" t="s">
        <v>15</v>
      </c>
      <c r="G2060" s="64" t="s">
        <v>62</v>
      </c>
      <c r="H2060" s="64" t="s">
        <v>63</v>
      </c>
      <c r="I2060" s="64" t="s">
        <v>64</v>
      </c>
      <c r="J2060" s="67">
        <v>0</v>
      </c>
      <c r="K2060" s="62">
        <v>211617.1</v>
      </c>
      <c r="L2060" s="33" t="e">
        <f>HLOOKUP(B2060,#REF!,1,0)</f>
        <v>#REF!</v>
      </c>
      <c r="M2060" s="33" t="str">
        <f t="shared" si="131"/>
        <v>BS</v>
      </c>
    </row>
    <row r="2061" spans="1:13" s="33" customFormat="true" ht="12.75" customHeight="true">
      <c r="A2061" s="33" t="str">
        <f t="shared" si="128"/>
        <v>SG2 - Fixed Assets</v>
      </c>
      <c r="B2061" s="33" t="str">
        <f t="shared" si="129"/>
        <v>SG2</v>
      </c>
      <c r="C2061" s="33" t="str">
        <f t="shared" si="130"/>
        <v>16101-7382</v>
      </c>
      <c r="D2061" s="64" t="s">
        <v>2534</v>
      </c>
      <c r="E2061" s="64" t="s">
        <v>61</v>
      </c>
      <c r="F2061" s="64" t="s">
        <v>15</v>
      </c>
      <c r="G2061" s="64" t="s">
        <v>62</v>
      </c>
      <c r="H2061" s="64" t="s">
        <v>63</v>
      </c>
      <c r="I2061" s="64" t="s">
        <v>64</v>
      </c>
      <c r="J2061" s="67">
        <v>0</v>
      </c>
      <c r="K2061" s="62">
        <v>197099.04</v>
      </c>
      <c r="L2061" s="33" t="e">
        <f>HLOOKUP(B2061,#REF!,1,0)</f>
        <v>#REF!</v>
      </c>
      <c r="M2061" s="33" t="str">
        <f t="shared" si="131"/>
        <v>BS</v>
      </c>
    </row>
    <row r="2062" spans="1:13" s="33" customFormat="true" ht="12.75" customHeight="true">
      <c r="A2062" s="33" t="str">
        <f t="shared" si="128"/>
        <v>SG2 - Fixed Assets</v>
      </c>
      <c r="B2062" s="33" t="str">
        <f t="shared" si="129"/>
        <v>SG2</v>
      </c>
      <c r="C2062" s="33" t="str">
        <f t="shared" si="130"/>
        <v>16601-7373</v>
      </c>
      <c r="D2062" s="64" t="s">
        <v>2535</v>
      </c>
      <c r="E2062" s="64" t="s">
        <v>70</v>
      </c>
      <c r="F2062" s="64" t="s">
        <v>15</v>
      </c>
      <c r="G2062" s="64" t="s">
        <v>62</v>
      </c>
      <c r="H2062" s="64" t="s">
        <v>63</v>
      </c>
      <c r="I2062" s="64" t="s">
        <v>64</v>
      </c>
      <c r="J2062" s="67">
        <v>0</v>
      </c>
      <c r="K2062" s="62">
        <v>152168.08</v>
      </c>
      <c r="L2062" s="33" t="e">
        <f>HLOOKUP(B2062,#REF!,1,0)</f>
        <v>#REF!</v>
      </c>
      <c r="M2062" s="33" t="str">
        <f t="shared" si="131"/>
        <v>BS</v>
      </c>
    </row>
    <row r="2063" spans="1:13" s="33" customFormat="true" ht="12.75" customHeight="true">
      <c r="A2063" s="33" t="str">
        <f t="shared" si="128"/>
        <v>SG2 - Fixed Assets</v>
      </c>
      <c r="B2063" s="33" t="str">
        <f t="shared" si="129"/>
        <v>SG2</v>
      </c>
      <c r="C2063" s="33" t="str">
        <f t="shared" si="130"/>
        <v>16601-7382</v>
      </c>
      <c r="D2063" s="64" t="s">
        <v>2536</v>
      </c>
      <c r="E2063" s="64" t="s">
        <v>70</v>
      </c>
      <c r="F2063" s="64" t="s">
        <v>15</v>
      </c>
      <c r="G2063" s="64" t="s">
        <v>62</v>
      </c>
      <c r="H2063" s="64" t="s">
        <v>63</v>
      </c>
      <c r="I2063" s="64" t="s">
        <v>64</v>
      </c>
      <c r="J2063" s="67">
        <v>0</v>
      </c>
      <c r="K2063" s="62">
        <v>150693.74</v>
      </c>
      <c r="L2063" s="33" t="e">
        <f>HLOOKUP(B2063,#REF!,1,0)</f>
        <v>#REF!</v>
      </c>
      <c r="M2063" s="33" t="str">
        <f t="shared" si="131"/>
        <v>BS</v>
      </c>
    </row>
    <row r="2064" spans="1:13" s="33" customFormat="true" ht="12.75" customHeight="true">
      <c r="A2064" s="33" t="str">
        <f t="shared" si="128"/>
        <v>SG2 - Fixed Assets</v>
      </c>
      <c r="B2064" s="33" t="str">
        <f t="shared" si="129"/>
        <v>SG2</v>
      </c>
      <c r="C2064" s="33" t="str">
        <f t="shared" si="130"/>
        <v>16901-0000</v>
      </c>
      <c r="D2064" s="64" t="s">
        <v>2537</v>
      </c>
      <c r="E2064" s="64" t="s">
        <v>77</v>
      </c>
      <c r="F2064" s="64" t="s">
        <v>15</v>
      </c>
      <c r="G2064" s="64" t="s">
        <v>62</v>
      </c>
      <c r="H2064" s="64" t="s">
        <v>63</v>
      </c>
      <c r="I2064" s="64" t="s">
        <v>64</v>
      </c>
      <c r="J2064" s="67">
        <v>0</v>
      </c>
      <c r="K2064" s="62">
        <v>-531794.48</v>
      </c>
      <c r="L2064" s="33" t="e">
        <f>HLOOKUP(B2064,#REF!,1,0)</f>
        <v>#REF!</v>
      </c>
      <c r="M2064" s="33" t="str">
        <f t="shared" si="131"/>
        <v>BS</v>
      </c>
    </row>
    <row r="2065" spans="1:13" s="33" customFormat="true" ht="12.75" customHeight="true">
      <c r="A2065" s="33" t="str">
        <f t="shared" si="128"/>
        <v>SG2 - Fixed Assets</v>
      </c>
      <c r="B2065" s="33" t="str">
        <f t="shared" si="129"/>
        <v>SG2</v>
      </c>
      <c r="C2065" s="33" t="str">
        <f t="shared" si="130"/>
        <v>17101-7373</v>
      </c>
      <c r="D2065" s="64" t="s">
        <v>2538</v>
      </c>
      <c r="E2065" s="64" t="s">
        <v>2323</v>
      </c>
      <c r="F2065" s="64" t="s">
        <v>15</v>
      </c>
      <c r="G2065" s="64" t="s">
        <v>62</v>
      </c>
      <c r="H2065" s="64" t="s">
        <v>63</v>
      </c>
      <c r="I2065" s="64" t="s">
        <v>81</v>
      </c>
      <c r="J2065" s="67">
        <v>0</v>
      </c>
      <c r="K2065" s="62">
        <v>1596459</v>
      </c>
      <c r="L2065" s="33" t="e">
        <f>HLOOKUP(B2065,#REF!,1,0)</f>
        <v>#REF!</v>
      </c>
      <c r="M2065" s="33" t="str">
        <f t="shared" si="131"/>
        <v>BS</v>
      </c>
    </row>
    <row r="2066" spans="1:13" s="33" customFormat="true" ht="12.75" customHeight="true">
      <c r="A2066" s="33" t="str">
        <f t="shared" si="128"/>
        <v>SG2 - Fixed Assets</v>
      </c>
      <c r="B2066" s="33" t="str">
        <f t="shared" si="129"/>
        <v>SG2</v>
      </c>
      <c r="C2066" s="33" t="str">
        <f t="shared" si="130"/>
        <v>17101-7382</v>
      </c>
      <c r="D2066" s="64" t="s">
        <v>2539</v>
      </c>
      <c r="E2066" s="64" t="s">
        <v>2323</v>
      </c>
      <c r="F2066" s="64" t="s">
        <v>15</v>
      </c>
      <c r="G2066" s="64" t="s">
        <v>62</v>
      </c>
      <c r="H2066" s="64" t="s">
        <v>63</v>
      </c>
      <c r="I2066" s="64" t="s">
        <v>81</v>
      </c>
      <c r="J2066" s="67">
        <v>0</v>
      </c>
      <c r="K2066" s="62">
        <v>1810482</v>
      </c>
      <c r="L2066" s="33" t="e">
        <f>HLOOKUP(B2066,#REF!,1,0)</f>
        <v>#REF!</v>
      </c>
      <c r="M2066" s="33" t="str">
        <f t="shared" si="131"/>
        <v>BS</v>
      </c>
    </row>
    <row r="2067" spans="1:13" s="33" customFormat="true" ht="12.75" customHeight="true">
      <c r="A2067" s="33" t="str">
        <f t="shared" si="128"/>
        <v>SG2 - Fixed Assets</v>
      </c>
      <c r="B2067" s="33" t="str">
        <f t="shared" si="129"/>
        <v>SG2</v>
      </c>
      <c r="C2067" s="33" t="str">
        <f t="shared" si="130"/>
        <v>17201-7373</v>
      </c>
      <c r="D2067" s="64" t="s">
        <v>2540</v>
      </c>
      <c r="E2067" s="64" t="s">
        <v>83</v>
      </c>
      <c r="F2067" s="64" t="s">
        <v>15</v>
      </c>
      <c r="G2067" s="64" t="s">
        <v>62</v>
      </c>
      <c r="H2067" s="64" t="s">
        <v>63</v>
      </c>
      <c r="I2067" s="64" t="s">
        <v>81</v>
      </c>
      <c r="J2067" s="67">
        <v>0</v>
      </c>
      <c r="K2067" s="62">
        <v>24539</v>
      </c>
      <c r="L2067" s="33" t="e">
        <f>HLOOKUP(B2067,#REF!,1,0)</f>
        <v>#REF!</v>
      </c>
      <c r="M2067" s="33" t="str">
        <f t="shared" si="131"/>
        <v>BS</v>
      </c>
    </row>
    <row r="2068" spans="1:13" s="33" customFormat="true" ht="12.75" customHeight="true">
      <c r="A2068" s="33" t="str">
        <f t="shared" si="128"/>
        <v>SG2 - Fixed Assets</v>
      </c>
      <c r="B2068" s="33" t="str">
        <f t="shared" si="129"/>
        <v>SG2</v>
      </c>
      <c r="C2068" s="33" t="str">
        <f t="shared" si="130"/>
        <v>17201-7382</v>
      </c>
      <c r="D2068" s="64" t="s">
        <v>2541</v>
      </c>
      <c r="E2068" s="64" t="s">
        <v>83</v>
      </c>
      <c r="F2068" s="64" t="s">
        <v>15</v>
      </c>
      <c r="G2068" s="64" t="s">
        <v>62</v>
      </c>
      <c r="H2068" s="64" t="s">
        <v>63</v>
      </c>
      <c r="I2068" s="64" t="s">
        <v>81</v>
      </c>
      <c r="J2068" s="67">
        <v>0</v>
      </c>
      <c r="K2068" s="62">
        <v>36420</v>
      </c>
      <c r="L2068" s="33" t="e">
        <f>HLOOKUP(B2068,#REF!,1,0)</f>
        <v>#REF!</v>
      </c>
      <c r="M2068" s="33" t="str">
        <f t="shared" si="131"/>
        <v>BS</v>
      </c>
    </row>
    <row r="2069" spans="1:13" s="33" customFormat="true" ht="12.75" customHeight="true">
      <c r="A2069" s="33" t="str">
        <f t="shared" si="128"/>
        <v>SG2 - Fixed Assets</v>
      </c>
      <c r="B2069" s="33" t="str">
        <f t="shared" si="129"/>
        <v>SG2</v>
      </c>
      <c r="C2069" s="33" t="str">
        <f t="shared" si="130"/>
        <v>17501-7373</v>
      </c>
      <c r="D2069" s="64" t="s">
        <v>2542</v>
      </c>
      <c r="E2069" s="64" t="s">
        <v>798</v>
      </c>
      <c r="F2069" s="64" t="s">
        <v>15</v>
      </c>
      <c r="G2069" s="64" t="s">
        <v>62</v>
      </c>
      <c r="H2069" s="64" t="s">
        <v>63</v>
      </c>
      <c r="I2069" s="64" t="s">
        <v>81</v>
      </c>
      <c r="J2069" s="67">
        <v>0</v>
      </c>
      <c r="K2069" s="62">
        <v>99937</v>
      </c>
      <c r="L2069" s="33" t="e">
        <f>HLOOKUP(B2069,#REF!,1,0)</f>
        <v>#REF!</v>
      </c>
      <c r="M2069" s="33" t="str">
        <f t="shared" si="131"/>
        <v>BS</v>
      </c>
    </row>
    <row r="2070" spans="1:13" s="33" customFormat="true" ht="12.75" customHeight="true">
      <c r="A2070" s="33" t="str">
        <f t="shared" si="128"/>
        <v>SG2 - Fixed Assets</v>
      </c>
      <c r="B2070" s="33" t="str">
        <f t="shared" si="129"/>
        <v>SG2</v>
      </c>
      <c r="C2070" s="33" t="str">
        <f t="shared" si="130"/>
        <v>17501-7382</v>
      </c>
      <c r="D2070" s="64" t="s">
        <v>2543</v>
      </c>
      <c r="E2070" s="64" t="s">
        <v>798</v>
      </c>
      <c r="F2070" s="64" t="s">
        <v>15</v>
      </c>
      <c r="G2070" s="64" t="s">
        <v>62</v>
      </c>
      <c r="H2070" s="64" t="s">
        <v>63</v>
      </c>
      <c r="I2070" s="64" t="s">
        <v>81</v>
      </c>
      <c r="J2070" s="67">
        <v>0</v>
      </c>
      <c r="K2070" s="62">
        <v>113335</v>
      </c>
      <c r="L2070" s="33" t="e">
        <f>HLOOKUP(B2070,#REF!,1,0)</f>
        <v>#REF!</v>
      </c>
      <c r="M2070" s="33" t="str">
        <f t="shared" si="131"/>
        <v>BS</v>
      </c>
    </row>
    <row r="2071" spans="1:13" s="33" customFormat="true" ht="12.75" customHeight="true">
      <c r="A2071" s="33" t="str">
        <f t="shared" si="128"/>
        <v>SG2 - Fixed Assets</v>
      </c>
      <c r="B2071" s="33" t="str">
        <f t="shared" si="129"/>
        <v>SG2</v>
      </c>
      <c r="C2071" s="33" t="str">
        <f t="shared" si="130"/>
        <v>18501-0000</v>
      </c>
      <c r="D2071" s="64" t="s">
        <v>2544</v>
      </c>
      <c r="E2071" s="64" t="s">
        <v>88</v>
      </c>
      <c r="F2071" s="64" t="s">
        <v>15</v>
      </c>
      <c r="G2071" s="64" t="s">
        <v>62</v>
      </c>
      <c r="H2071" s="64" t="s">
        <v>63</v>
      </c>
      <c r="I2071" s="64" t="s">
        <v>81</v>
      </c>
      <c r="J2071" s="67">
        <v>0</v>
      </c>
      <c r="K2071" s="62">
        <v>-3675921.87</v>
      </c>
      <c r="L2071" s="33" t="e">
        <f>HLOOKUP(B2071,#REF!,1,0)</f>
        <v>#REF!</v>
      </c>
      <c r="M2071" s="33" t="str">
        <f t="shared" si="131"/>
        <v>BS</v>
      </c>
    </row>
    <row r="2072" spans="1:13" s="33" customFormat="true" ht="12.75" customHeight="true">
      <c r="A2072" s="33" t="str">
        <f t="shared" si="128"/>
        <v>SG2 - AP-Accr Exp</v>
      </c>
      <c r="B2072" s="33" t="str">
        <f t="shared" si="129"/>
        <v>SG2</v>
      </c>
      <c r="C2072" s="33" t="str">
        <f t="shared" si="130"/>
        <v>20001-0000</v>
      </c>
      <c r="D2072" s="64" t="s">
        <v>2545</v>
      </c>
      <c r="E2072" s="64" t="s">
        <v>96</v>
      </c>
      <c r="F2072" s="64" t="s">
        <v>15</v>
      </c>
      <c r="G2072" s="64" t="s">
        <v>97</v>
      </c>
      <c r="H2072" s="64" t="s">
        <v>98</v>
      </c>
      <c r="I2072" s="64" t="s">
        <v>99</v>
      </c>
      <c r="J2072" s="67">
        <v>-2443.86</v>
      </c>
      <c r="K2072" s="62">
        <v>-30996.8</v>
      </c>
      <c r="L2072" s="33" t="e">
        <f>HLOOKUP(B2072,#REF!,1,0)</f>
        <v>#REF!</v>
      </c>
      <c r="M2072" s="33" t="str">
        <f t="shared" si="131"/>
        <v>BS</v>
      </c>
    </row>
    <row r="2073" spans="1:13" s="33" customFormat="true" ht="12.75" customHeight="true">
      <c r="A2073" s="33" t="str">
        <f t="shared" si="128"/>
        <v>SG2 - AP-Accr Exp</v>
      </c>
      <c r="B2073" s="33" t="str">
        <f t="shared" si="129"/>
        <v>SG2</v>
      </c>
      <c r="C2073" s="33" t="str">
        <f t="shared" si="130"/>
        <v>21001-0000</v>
      </c>
      <c r="D2073" s="64" t="s">
        <v>2546</v>
      </c>
      <c r="E2073" s="64" t="s">
        <v>101</v>
      </c>
      <c r="F2073" s="64" t="s">
        <v>15</v>
      </c>
      <c r="G2073" s="64" t="s">
        <v>97</v>
      </c>
      <c r="H2073" s="64" t="s">
        <v>98</v>
      </c>
      <c r="I2073" s="64" t="s">
        <v>102</v>
      </c>
      <c r="J2073" s="67">
        <v>0</v>
      </c>
      <c r="K2073" s="62">
        <v>-5833</v>
      </c>
      <c r="L2073" s="33" t="e">
        <f>HLOOKUP(B2073,#REF!,1,0)</f>
        <v>#REF!</v>
      </c>
      <c r="M2073" s="33" t="str">
        <f t="shared" si="131"/>
        <v>BS</v>
      </c>
    </row>
    <row r="2074" spans="1:13" s="33" customFormat="true" ht="12.75" customHeight="true">
      <c r="A2074" s="33" t="str">
        <f t="shared" si="128"/>
        <v>SG2 - Tax Accr</v>
      </c>
      <c r="B2074" s="33" t="str">
        <f t="shared" si="129"/>
        <v>SG2</v>
      </c>
      <c r="C2074" s="33" t="str">
        <f t="shared" si="130"/>
        <v>22001-0000</v>
      </c>
      <c r="D2074" s="64" t="s">
        <v>2547</v>
      </c>
      <c r="E2074" s="64" t="s">
        <v>104</v>
      </c>
      <c r="F2074" s="64" t="s">
        <v>15</v>
      </c>
      <c r="G2074" s="64" t="s">
        <v>97</v>
      </c>
      <c r="H2074" s="64" t="s">
        <v>105</v>
      </c>
      <c r="I2074" s="64" t="s">
        <v>102</v>
      </c>
      <c r="J2074" s="67">
        <v>-3365.63</v>
      </c>
      <c r="K2074" s="62">
        <v>-34633.46</v>
      </c>
      <c r="L2074" s="33" t="e">
        <f>HLOOKUP(B2074,#REF!,1,0)</f>
        <v>#REF!</v>
      </c>
      <c r="M2074" s="33" t="str">
        <f t="shared" si="131"/>
        <v>BS</v>
      </c>
    </row>
    <row r="2075" spans="1:13" s="33" customFormat="true" ht="12.75" customHeight="true">
      <c r="A2075" s="33" t="str">
        <f t="shared" si="128"/>
        <v>SG2 - AP-Accr Exp</v>
      </c>
      <c r="B2075" s="33" t="str">
        <f t="shared" si="129"/>
        <v>SG2</v>
      </c>
      <c r="C2075" s="33" t="str">
        <f t="shared" si="130"/>
        <v>23405-0000</v>
      </c>
      <c r="D2075" s="64" t="s">
        <v>2548</v>
      </c>
      <c r="E2075" s="64" t="s">
        <v>107</v>
      </c>
      <c r="F2075" s="64" t="s">
        <v>15</v>
      </c>
      <c r="G2075" s="64" t="s">
        <v>97</v>
      </c>
      <c r="H2075" s="64" t="s">
        <v>98</v>
      </c>
      <c r="I2075" s="64" t="s">
        <v>102</v>
      </c>
      <c r="J2075" s="67">
        <v>0</v>
      </c>
      <c r="K2075" s="62">
        <v>0</v>
      </c>
      <c r="L2075" s="33" t="e">
        <f>HLOOKUP(B2075,#REF!,1,0)</f>
        <v>#REF!</v>
      </c>
      <c r="M2075" s="33" t="str">
        <f t="shared" si="131"/>
        <v>BS</v>
      </c>
    </row>
    <row r="2076" spans="1:13" s="33" customFormat="true" ht="12.75" customHeight="true">
      <c r="A2076" s="33" t="str">
        <f t="shared" si="128"/>
        <v>SG2 - AP-Accr Exp</v>
      </c>
      <c r="B2076" s="33" t="str">
        <f t="shared" si="129"/>
        <v>SG2</v>
      </c>
      <c r="C2076" s="33" t="str">
        <f t="shared" si="130"/>
        <v>23406-0000</v>
      </c>
      <c r="D2076" s="64" t="s">
        <v>2549</v>
      </c>
      <c r="E2076" s="64" t="s">
        <v>109</v>
      </c>
      <c r="F2076" s="64" t="s">
        <v>15</v>
      </c>
      <c r="G2076" s="64" t="s">
        <v>97</v>
      </c>
      <c r="H2076" s="64" t="s">
        <v>98</v>
      </c>
      <c r="I2076" s="64" t="s">
        <v>102</v>
      </c>
      <c r="J2076" s="67">
        <v>0</v>
      </c>
      <c r="K2076" s="62">
        <v>-2614.57</v>
      </c>
      <c r="L2076" s="33" t="e">
        <f>HLOOKUP(B2076,#REF!,1,0)</f>
        <v>#REF!</v>
      </c>
      <c r="M2076" s="33" t="str">
        <f t="shared" si="131"/>
        <v>BS</v>
      </c>
    </row>
    <row r="2077" spans="1:13" s="33" customFormat="true" ht="12.75" customHeight="true">
      <c r="A2077" s="33" t="str">
        <f t="shared" si="128"/>
        <v>SG2 - AP-Accr Exp</v>
      </c>
      <c r="B2077" s="33" t="str">
        <f t="shared" si="129"/>
        <v>SG2</v>
      </c>
      <c r="C2077" s="33" t="str">
        <f t="shared" si="130"/>
        <v>23509-0000</v>
      </c>
      <c r="D2077" s="64" t="s">
        <v>2550</v>
      </c>
      <c r="E2077" s="64" t="s">
        <v>111</v>
      </c>
      <c r="F2077" s="64" t="s">
        <v>15</v>
      </c>
      <c r="G2077" s="64" t="s">
        <v>97</v>
      </c>
      <c r="H2077" s="64" t="s">
        <v>98</v>
      </c>
      <c r="I2077" s="64" t="s">
        <v>102</v>
      </c>
      <c r="J2077" s="67">
        <v>0</v>
      </c>
      <c r="K2077" s="62">
        <v>-8372.89</v>
      </c>
      <c r="L2077" s="33" t="e">
        <f>HLOOKUP(B2077,#REF!,1,0)</f>
        <v>#REF!</v>
      </c>
      <c r="M2077" s="33" t="str">
        <f t="shared" si="131"/>
        <v>BS</v>
      </c>
    </row>
    <row r="2078" spans="1:13" s="33" customFormat="true" ht="12.75" customHeight="true">
      <c r="A2078" s="33" t="str">
        <f t="shared" si="128"/>
        <v>SG2 - AP-Accr Exp</v>
      </c>
      <c r="B2078" s="33" t="str">
        <f t="shared" si="129"/>
        <v>SG2</v>
      </c>
      <c r="C2078" s="33" t="str">
        <f t="shared" si="130"/>
        <v>23905-0000</v>
      </c>
      <c r="D2078" s="64" t="s">
        <v>2551</v>
      </c>
      <c r="E2078" s="64" t="s">
        <v>811</v>
      </c>
      <c r="F2078" s="64" t="s">
        <v>15</v>
      </c>
      <c r="G2078" s="64" t="s">
        <v>97</v>
      </c>
      <c r="H2078" s="64" t="s">
        <v>98</v>
      </c>
      <c r="I2078" s="64" t="s">
        <v>102</v>
      </c>
      <c r="J2078" s="67">
        <v>0</v>
      </c>
      <c r="K2078" s="62">
        <v>-12026.47</v>
      </c>
      <c r="L2078" s="33" t="e">
        <f>HLOOKUP(B2078,#REF!,1,0)</f>
        <v>#REF!</v>
      </c>
      <c r="M2078" s="33" t="str">
        <f t="shared" si="131"/>
        <v>BS</v>
      </c>
    </row>
    <row r="2079" spans="1:13" s="33" customFormat="true" ht="12.75" customHeight="true">
      <c r="A2079" s="33" t="str">
        <f t="shared" si="128"/>
        <v>SG2 - AP-Accr Exp</v>
      </c>
      <c r="B2079" s="33" t="str">
        <f t="shared" si="129"/>
        <v>SG2</v>
      </c>
      <c r="C2079" s="33" t="str">
        <f t="shared" si="130"/>
        <v>23909-0000</v>
      </c>
      <c r="D2079" s="64" t="s">
        <v>2552</v>
      </c>
      <c r="E2079" s="64" t="s">
        <v>113</v>
      </c>
      <c r="F2079" s="64" t="s">
        <v>15</v>
      </c>
      <c r="G2079" s="64" t="s">
        <v>97</v>
      </c>
      <c r="H2079" s="64" t="s">
        <v>98</v>
      </c>
      <c r="I2079" s="64" t="s">
        <v>102</v>
      </c>
      <c r="J2079" s="67">
        <v>-3651.62</v>
      </c>
      <c r="K2079" s="62">
        <v>-130150.34</v>
      </c>
      <c r="L2079" s="33" t="e">
        <f>HLOOKUP(B2079,#REF!,1,0)</f>
        <v>#REF!</v>
      </c>
      <c r="M2079" s="33" t="str">
        <f t="shared" si="131"/>
        <v>BS</v>
      </c>
    </row>
    <row r="2080" spans="1:13" s="33" customFormat="true" ht="12.75" customHeight="true">
      <c r="A2080" s="33" t="str">
        <f t="shared" si="128"/>
        <v>SG2 - AP-Accr Exp</v>
      </c>
      <c r="B2080" s="33" t="str">
        <f t="shared" si="129"/>
        <v>SG2</v>
      </c>
      <c r="C2080" s="33" t="str">
        <f t="shared" si="130"/>
        <v>24400-0000</v>
      </c>
      <c r="D2080" s="64" t="s">
        <v>2553</v>
      </c>
      <c r="E2080" s="64" t="s">
        <v>115</v>
      </c>
      <c r="F2080" s="64" t="s">
        <v>15</v>
      </c>
      <c r="G2080" s="64" t="s">
        <v>97</v>
      </c>
      <c r="H2080" s="64" t="s">
        <v>98</v>
      </c>
      <c r="I2080" s="64" t="s">
        <v>102</v>
      </c>
      <c r="J2080" s="67">
        <v>-313.68</v>
      </c>
      <c r="K2080" s="62">
        <v>-48025.26</v>
      </c>
      <c r="L2080" s="33" t="e">
        <f>HLOOKUP(B2080,#REF!,1,0)</f>
        <v>#REF!</v>
      </c>
      <c r="M2080" s="33" t="str">
        <f t="shared" si="131"/>
        <v>BS</v>
      </c>
    </row>
    <row r="2081" spans="1:13" s="33" customFormat="true" ht="12.75" customHeight="true">
      <c r="A2081" s="33" t="str">
        <f t="shared" si="128"/>
        <v>SG2 - AP-Accr Exp</v>
      </c>
      <c r="B2081" s="33" t="str">
        <f t="shared" si="129"/>
        <v>SG2</v>
      </c>
      <c r="C2081" s="33" t="str">
        <f t="shared" si="130"/>
        <v>24400-7373</v>
      </c>
      <c r="D2081" s="64" t="s">
        <v>2554</v>
      </c>
      <c r="E2081" s="64" t="s">
        <v>115</v>
      </c>
      <c r="F2081" s="64" t="s">
        <v>15</v>
      </c>
      <c r="G2081" s="64" t="s">
        <v>97</v>
      </c>
      <c r="H2081" s="64" t="s">
        <v>98</v>
      </c>
      <c r="I2081" s="64" t="s">
        <v>102</v>
      </c>
      <c r="J2081" s="67">
        <v>50.45</v>
      </c>
      <c r="K2081" s="62">
        <v>18775.84</v>
      </c>
      <c r="L2081" s="33" t="e">
        <f>HLOOKUP(B2081,#REF!,1,0)</f>
        <v>#REF!</v>
      </c>
      <c r="M2081" s="33" t="str">
        <f t="shared" si="131"/>
        <v>BS</v>
      </c>
    </row>
    <row r="2082" spans="1:13" s="33" customFormat="true" ht="12.75" customHeight="true">
      <c r="A2082" s="33" t="str">
        <f t="shared" si="128"/>
        <v>SG2 - AP-Accr Exp</v>
      </c>
      <c r="B2082" s="33" t="str">
        <f t="shared" si="129"/>
        <v>SG2</v>
      </c>
      <c r="C2082" s="33" t="str">
        <f t="shared" si="130"/>
        <v>24400-7382</v>
      </c>
      <c r="D2082" s="64" t="s">
        <v>2555</v>
      </c>
      <c r="E2082" s="64" t="s">
        <v>115</v>
      </c>
      <c r="F2082" s="64" t="s">
        <v>15</v>
      </c>
      <c r="G2082" s="64" t="s">
        <v>97</v>
      </c>
      <c r="H2082" s="64" t="s">
        <v>98</v>
      </c>
      <c r="I2082" s="64" t="s">
        <v>102</v>
      </c>
      <c r="J2082" s="67">
        <v>70.61</v>
      </c>
      <c r="K2082" s="62">
        <v>16858.11</v>
      </c>
      <c r="L2082" s="33" t="e">
        <f>HLOOKUP(B2082,#REF!,1,0)</f>
        <v>#REF!</v>
      </c>
      <c r="M2082" s="33" t="str">
        <f t="shared" si="131"/>
        <v>BS</v>
      </c>
    </row>
    <row r="2083" spans="1:13" s="33" customFormat="true" ht="12.75" customHeight="true">
      <c r="A2083" s="33" t="str">
        <f t="shared" si="128"/>
        <v>SG2 - AP-Accr Exp</v>
      </c>
      <c r="B2083" s="33" t="str">
        <f t="shared" si="129"/>
        <v>SG2</v>
      </c>
      <c r="C2083" s="33" t="str">
        <f t="shared" si="130"/>
        <v>24400-7390</v>
      </c>
      <c r="D2083" s="64" t="s">
        <v>2556</v>
      </c>
      <c r="E2083" s="64" t="s">
        <v>115</v>
      </c>
      <c r="F2083" s="64" t="s">
        <v>15</v>
      </c>
      <c r="G2083" s="64" t="s">
        <v>97</v>
      </c>
      <c r="H2083" s="64" t="s">
        <v>98</v>
      </c>
      <c r="I2083" s="64" t="s">
        <v>102</v>
      </c>
      <c r="J2083" s="67">
        <v>0</v>
      </c>
      <c r="K2083" s="62">
        <v>370.13</v>
      </c>
      <c r="L2083" s="33" t="e">
        <f>HLOOKUP(B2083,#REF!,1,0)</f>
        <v>#REF!</v>
      </c>
      <c r="M2083" s="33" t="str">
        <f t="shared" si="131"/>
        <v>BS</v>
      </c>
    </row>
    <row r="2084" spans="1:13" s="33" customFormat="true" ht="12.75" customHeight="true">
      <c r="A2084" s="33" t="str">
        <f t="shared" si="128"/>
        <v>SG2 - Principal</v>
      </c>
      <c r="B2084" s="33" t="str">
        <f t="shared" si="129"/>
        <v>SG2</v>
      </c>
      <c r="C2084" s="33" t="str">
        <f t="shared" si="130"/>
        <v>26700-0000</v>
      </c>
      <c r="D2084" s="64" t="s">
        <v>2557</v>
      </c>
      <c r="E2084" s="64" t="s">
        <v>688</v>
      </c>
      <c r="F2084" s="64" t="s">
        <v>15</v>
      </c>
      <c r="G2084" s="64" t="s">
        <v>97</v>
      </c>
      <c r="H2084" s="64" t="s">
        <v>127</v>
      </c>
      <c r="I2084" s="64" t="s">
        <v>102</v>
      </c>
      <c r="J2084" s="67">
        <v>0</v>
      </c>
      <c r="K2084" s="62">
        <v>0</v>
      </c>
      <c r="L2084" s="33" t="e">
        <f>HLOOKUP(B2084,#REF!,1,0)</f>
        <v>#REF!</v>
      </c>
      <c r="M2084" s="33" t="str">
        <f t="shared" si="131"/>
        <v>BS</v>
      </c>
    </row>
    <row r="2085" spans="1:13" s="33" customFormat="true" ht="12.75" customHeight="true">
      <c r="A2085" s="33" t="str">
        <f t="shared" si="128"/>
        <v>SG2 - SH Dist</v>
      </c>
      <c r="B2085" s="33" t="str">
        <f t="shared" si="129"/>
        <v>SG2</v>
      </c>
      <c r="C2085" s="33" t="str">
        <f t="shared" si="130"/>
        <v>30001-0000</v>
      </c>
      <c r="D2085" s="64" t="s">
        <v>2558</v>
      </c>
      <c r="E2085" s="64" t="s">
        <v>141</v>
      </c>
      <c r="F2085" s="64" t="s">
        <v>15</v>
      </c>
      <c r="G2085" s="64" t="s">
        <v>142</v>
      </c>
      <c r="H2085" s="64" t="s">
        <v>143</v>
      </c>
      <c r="I2085" s="64" t="s">
        <v>144</v>
      </c>
      <c r="J2085" s="67">
        <v>0</v>
      </c>
      <c r="K2085" s="62">
        <v>-1000</v>
      </c>
      <c r="L2085" s="33" t="e">
        <f>HLOOKUP(B2085,#REF!,1,0)</f>
        <v>#REF!</v>
      </c>
      <c r="M2085" s="33" t="str">
        <f t="shared" si="131"/>
        <v>BS</v>
      </c>
    </row>
    <row r="2086" spans="1:13" s="33" customFormat="true" ht="12.75" customHeight="true">
      <c r="A2086" s="33" t="str">
        <f t="shared" si="128"/>
        <v>SG2 - SH Dist</v>
      </c>
      <c r="B2086" s="33" t="str">
        <f t="shared" si="129"/>
        <v>SG2</v>
      </c>
      <c r="C2086" s="33" t="str">
        <f t="shared" si="130"/>
        <v>30501-0000</v>
      </c>
      <c r="D2086" s="64" t="s">
        <v>2559</v>
      </c>
      <c r="E2086" s="64" t="s">
        <v>822</v>
      </c>
      <c r="F2086" s="64" t="s">
        <v>15</v>
      </c>
      <c r="G2086" s="64" t="s">
        <v>142</v>
      </c>
      <c r="H2086" s="64" t="s">
        <v>143</v>
      </c>
      <c r="I2086" s="64" t="s">
        <v>144</v>
      </c>
      <c r="J2086" s="67">
        <v>0</v>
      </c>
      <c r="K2086" s="62">
        <v>-2281800.29</v>
      </c>
      <c r="L2086" s="33" t="e">
        <f>HLOOKUP(B2086,#REF!,1,0)</f>
        <v>#REF!</v>
      </c>
      <c r="M2086" s="33" t="str">
        <f t="shared" si="131"/>
        <v>BS</v>
      </c>
    </row>
    <row r="2087" spans="1:13" s="33" customFormat="true" ht="12.75" customHeight="true">
      <c r="A2087" s="33" t="str">
        <f t="shared" si="128"/>
        <v>SG2 - Retained Earnings</v>
      </c>
      <c r="B2087" s="33" t="str">
        <f t="shared" si="129"/>
        <v>SG2</v>
      </c>
      <c r="C2087" s="33" t="str">
        <f t="shared" si="130"/>
        <v>32000-0000</v>
      </c>
      <c r="D2087" s="64" t="s">
        <v>2560</v>
      </c>
      <c r="E2087" s="64" t="s">
        <v>148</v>
      </c>
      <c r="F2087" s="64" t="s">
        <v>15</v>
      </c>
      <c r="G2087" s="64" t="s">
        <v>142</v>
      </c>
      <c r="H2087" s="64" t="s">
        <v>149</v>
      </c>
      <c r="I2087" s="64" t="s">
        <v>150</v>
      </c>
      <c r="J2087" s="67">
        <v>0</v>
      </c>
      <c r="K2087" s="62">
        <v>-6956831.88</v>
      </c>
      <c r="L2087" s="33" t="e">
        <f>HLOOKUP(B2087,#REF!,1,0)</f>
        <v>#REF!</v>
      </c>
      <c r="M2087" s="33" t="str">
        <f t="shared" si="131"/>
        <v>BS</v>
      </c>
    </row>
    <row r="2088" spans="1:13" s="33" customFormat="true" ht="12.75" customHeight="true">
      <c r="A2088" s="33" t="str">
        <f t="shared" si="128"/>
        <v>SG2 - SH Dist</v>
      </c>
      <c r="B2088" s="33" t="str">
        <f t="shared" si="129"/>
        <v>SG2</v>
      </c>
      <c r="C2088" s="33" t="str">
        <f t="shared" si="130"/>
        <v>36001-0000</v>
      </c>
      <c r="D2088" s="64" t="s">
        <v>2561</v>
      </c>
      <c r="E2088" s="64" t="s">
        <v>322</v>
      </c>
      <c r="F2088" s="64" t="s">
        <v>15</v>
      </c>
      <c r="G2088" s="64" t="s">
        <v>142</v>
      </c>
      <c r="H2088" s="64" t="s">
        <v>143</v>
      </c>
      <c r="I2088" s="64" t="s">
        <v>144</v>
      </c>
      <c r="J2088" s="67">
        <v>0</v>
      </c>
      <c r="K2088" s="62">
        <v>0.27</v>
      </c>
      <c r="L2088" s="33" t="e">
        <f>HLOOKUP(B2088,#REF!,1,0)</f>
        <v>#REF!</v>
      </c>
      <c r="M2088" s="33" t="str">
        <f t="shared" si="131"/>
        <v>BS</v>
      </c>
    </row>
    <row r="2089" spans="1:13" s="33" customFormat="true" ht="12.75" customHeight="true">
      <c r="A2089" s="33" t="str">
        <f t="shared" si="128"/>
        <v>SHO - Cash</v>
      </c>
      <c r="B2089" s="33" t="str">
        <f t="shared" si="129"/>
        <v>SHO</v>
      </c>
      <c r="C2089" s="33" t="str">
        <f t="shared" si="130"/>
        <v>10021-0000</v>
      </c>
      <c r="D2089" s="64" t="s">
        <v>2562</v>
      </c>
      <c r="E2089" s="64" t="s">
        <v>2563</v>
      </c>
      <c r="F2089" s="64" t="s">
        <v>679</v>
      </c>
      <c r="G2089" s="64" t="s">
        <v>16</v>
      </c>
      <c r="H2089" s="64" t="s">
        <v>25</v>
      </c>
      <c r="I2089" s="64" t="s">
        <v>18</v>
      </c>
      <c r="J2089" s="67">
        <v>0</v>
      </c>
      <c r="K2089" s="62">
        <v>200</v>
      </c>
      <c r="L2089" s="33" t="e">
        <f>HLOOKUP(B2089,#REF!,1,0)</f>
        <v>#REF!</v>
      </c>
      <c r="M2089" s="33" t="str">
        <f t="shared" si="131"/>
        <v>BS</v>
      </c>
    </row>
    <row r="2090" spans="1:13" s="33" customFormat="true" ht="12.75" customHeight="true">
      <c r="A2090" s="33" t="str">
        <f t="shared" si="128"/>
        <v>SHO - AP-Accr Exp</v>
      </c>
      <c r="B2090" s="33" t="str">
        <f t="shared" si="129"/>
        <v>SHO</v>
      </c>
      <c r="C2090" s="33" t="str">
        <f t="shared" si="130"/>
        <v>22100-0000</v>
      </c>
      <c r="D2090" s="64" t="s">
        <v>2564</v>
      </c>
      <c r="E2090" s="64" t="s">
        <v>1162</v>
      </c>
      <c r="F2090" s="64" t="s">
        <v>679</v>
      </c>
      <c r="G2090" s="64" t="s">
        <v>97</v>
      </c>
      <c r="H2090" s="64" t="s">
        <v>98</v>
      </c>
      <c r="I2090" s="64" t="s">
        <v>102</v>
      </c>
      <c r="J2090" s="67">
        <v>0</v>
      </c>
      <c r="K2090" s="62">
        <v>-800</v>
      </c>
      <c r="L2090" s="33" t="e">
        <f>HLOOKUP(B2090,#REF!,1,0)</f>
        <v>#REF!</v>
      </c>
      <c r="M2090" s="33" t="str">
        <f t="shared" si="131"/>
        <v>BS</v>
      </c>
    </row>
    <row r="2091" spans="1:13" s="33" customFormat="true" ht="12.75" customHeight="true">
      <c r="A2091" s="33" t="str">
        <f t="shared" si="128"/>
        <v>SHO - Retained Earnings</v>
      </c>
      <c r="B2091" s="33" t="str">
        <f t="shared" si="129"/>
        <v>SHO</v>
      </c>
      <c r="C2091" s="33" t="str">
        <f t="shared" si="130"/>
        <v>32000-0000</v>
      </c>
      <c r="D2091" s="64" t="s">
        <v>2565</v>
      </c>
      <c r="E2091" s="64" t="s">
        <v>234</v>
      </c>
      <c r="F2091" s="64" t="s">
        <v>679</v>
      </c>
      <c r="G2091" s="64" t="s">
        <v>142</v>
      </c>
      <c r="H2091" s="64" t="s">
        <v>149</v>
      </c>
      <c r="I2091" s="64" t="s">
        <v>150</v>
      </c>
      <c r="J2091" s="67">
        <v>0</v>
      </c>
      <c r="K2091" s="62">
        <v>600</v>
      </c>
      <c r="L2091" s="33" t="e">
        <f>HLOOKUP(B2091,#REF!,1,0)</f>
        <v>#REF!</v>
      </c>
      <c r="M2091" s="33" t="str">
        <f t="shared" si="131"/>
        <v>BS</v>
      </c>
    </row>
    <row r="2092" spans="1:13" s="33" customFormat="true" ht="12.75" customHeight="true">
      <c r="A2092" s="33" t="str">
        <f t="shared" si="128"/>
        <v>SIL - Cash</v>
      </c>
      <c r="B2092" s="33" t="str">
        <f t="shared" si="129"/>
        <v>SIL</v>
      </c>
      <c r="C2092" s="33" t="str">
        <f t="shared" si="130"/>
        <v>10001-0000</v>
      </c>
      <c r="D2092" s="64" t="s">
        <v>2566</v>
      </c>
      <c r="E2092" s="64" t="s">
        <v>240</v>
      </c>
      <c r="F2092" s="64" t="s">
        <v>230</v>
      </c>
      <c r="G2092" s="64" t="s">
        <v>16</v>
      </c>
      <c r="H2092" s="64" t="s">
        <v>25</v>
      </c>
      <c r="I2092" s="64" t="s">
        <v>18</v>
      </c>
      <c r="J2092" s="67">
        <v>-110349.83</v>
      </c>
      <c r="K2092" s="62">
        <v>-359089.61</v>
      </c>
      <c r="L2092" s="33" t="e">
        <f>HLOOKUP(B2092,#REF!,1,0)</f>
        <v>#REF!</v>
      </c>
      <c r="M2092" s="33" t="str">
        <f t="shared" si="131"/>
        <v>BS</v>
      </c>
    </row>
    <row r="2093" spans="1:13" s="33" customFormat="true" ht="12.75" customHeight="true">
      <c r="A2093" s="33" t="str">
        <f t="shared" si="128"/>
        <v>SIL - Intercompany</v>
      </c>
      <c r="B2093" s="33" t="str">
        <f t="shared" si="129"/>
        <v>SIL</v>
      </c>
      <c r="C2093" s="33" t="str">
        <f t="shared" si="130"/>
        <v>11200-0000</v>
      </c>
      <c r="D2093" s="64" t="s">
        <v>2567</v>
      </c>
      <c r="E2093" s="64" t="s">
        <v>620</v>
      </c>
      <c r="F2093" s="64" t="s">
        <v>230</v>
      </c>
      <c r="G2093" s="64" t="s">
        <v>16</v>
      </c>
      <c r="H2093" s="64" t="s">
        <v>39</v>
      </c>
      <c r="I2093" s="64" t="s">
        <v>40</v>
      </c>
      <c r="J2093" s="67">
        <v>0</v>
      </c>
      <c r="K2093" s="62">
        <v>-20000</v>
      </c>
      <c r="L2093" s="33" t="e">
        <f>HLOOKUP(B2093,#REF!,1,0)</f>
        <v>#REF!</v>
      </c>
      <c r="M2093" s="33" t="str">
        <f t="shared" si="131"/>
        <v>BS</v>
      </c>
    </row>
    <row r="2094" spans="1:13" s="33" customFormat="true" ht="12.75" customHeight="true">
      <c r="A2094" s="33" t="str">
        <f t="shared" si="128"/>
        <v>SIL - Intercompany D7</v>
      </c>
      <c r="B2094" s="33" t="str">
        <f t="shared" si="129"/>
        <v>SIL</v>
      </c>
      <c r="C2094" s="33" t="str">
        <f t="shared" si="130"/>
        <v>11214-0000</v>
      </c>
      <c r="D2094" s="64" t="s">
        <v>2568</v>
      </c>
      <c r="E2094" s="64" t="s">
        <v>1052</v>
      </c>
      <c r="F2094" s="64" t="s">
        <v>230</v>
      </c>
      <c r="G2094" s="64" t="s">
        <v>16</v>
      </c>
      <c r="H2094" s="64" t="s">
        <v>1053</v>
      </c>
      <c r="I2094" s="64" t="s">
        <v>40</v>
      </c>
      <c r="J2094" s="67">
        <v>0</v>
      </c>
      <c r="K2094" s="62">
        <v>-184037.72</v>
      </c>
      <c r="L2094" s="33" t="e">
        <f>HLOOKUP(B2094,#REF!,1,0)</f>
        <v>#REF!</v>
      </c>
      <c r="M2094" s="33" t="str">
        <f t="shared" si="131"/>
        <v>BS</v>
      </c>
    </row>
    <row r="2095" spans="1:13" s="33" customFormat="true" ht="12.75" customHeight="true">
      <c r="A2095" s="33" t="str">
        <f t="shared" si="128"/>
        <v>SIL - Intercompany</v>
      </c>
      <c r="B2095" s="33" t="str">
        <f t="shared" si="129"/>
        <v>SIL</v>
      </c>
      <c r="C2095" s="33" t="str">
        <f t="shared" si="130"/>
        <v>11301-0000</v>
      </c>
      <c r="D2095" s="64" t="s">
        <v>2569</v>
      </c>
      <c r="E2095" s="64" t="s">
        <v>2570</v>
      </c>
      <c r="F2095" s="64" t="s">
        <v>230</v>
      </c>
      <c r="G2095" s="64" t="s">
        <v>16</v>
      </c>
      <c r="H2095" s="64" t="s">
        <v>39</v>
      </c>
      <c r="I2095" s="64" t="s">
        <v>40</v>
      </c>
      <c r="J2095" s="67">
        <v>2984.34</v>
      </c>
      <c r="K2095" s="62">
        <v>77803.85</v>
      </c>
      <c r="L2095" s="33" t="e">
        <f>HLOOKUP(B2095,#REF!,1,0)</f>
        <v>#REF!</v>
      </c>
      <c r="M2095" s="33" t="str">
        <f t="shared" si="131"/>
        <v>BS</v>
      </c>
    </row>
    <row r="2096" spans="1:13" s="33" customFormat="true" ht="12.75" customHeight="true">
      <c r="A2096" s="33" t="str">
        <f t="shared" si="128"/>
        <v>SIL - Intercompany</v>
      </c>
      <c r="B2096" s="33" t="str">
        <f t="shared" si="129"/>
        <v>SIL</v>
      </c>
      <c r="C2096" s="33" t="str">
        <f t="shared" si="130"/>
        <v>11302-0000</v>
      </c>
      <c r="D2096" s="64" t="s">
        <v>2571</v>
      </c>
      <c r="E2096" s="64" t="s">
        <v>1751</v>
      </c>
      <c r="F2096" s="64" t="s">
        <v>230</v>
      </c>
      <c r="G2096" s="64" t="s">
        <v>16</v>
      </c>
      <c r="H2096" s="64" t="s">
        <v>39</v>
      </c>
      <c r="I2096" s="64" t="s">
        <v>40</v>
      </c>
      <c r="J2096" s="67">
        <v>1093.87</v>
      </c>
      <c r="K2096" s="62">
        <v>-115934.38</v>
      </c>
      <c r="L2096" s="33" t="e">
        <f>HLOOKUP(B2096,#REF!,1,0)</f>
        <v>#REF!</v>
      </c>
      <c r="M2096" s="33" t="str">
        <f t="shared" si="131"/>
        <v>BS</v>
      </c>
    </row>
    <row r="2097" spans="1:13" s="33" customFormat="true" ht="12.75" customHeight="true">
      <c r="A2097" s="33" t="str">
        <f t="shared" si="128"/>
        <v>SIL - Intercompany</v>
      </c>
      <c r="B2097" s="33" t="str">
        <f t="shared" si="129"/>
        <v>SIL</v>
      </c>
      <c r="C2097" s="33" t="str">
        <f t="shared" si="130"/>
        <v>11303-0000</v>
      </c>
      <c r="D2097" s="64" t="s">
        <v>2572</v>
      </c>
      <c r="E2097" s="64" t="s">
        <v>2573</v>
      </c>
      <c r="F2097" s="64" t="s">
        <v>230</v>
      </c>
      <c r="G2097" s="64" t="s">
        <v>16</v>
      </c>
      <c r="H2097" s="64" t="s">
        <v>39</v>
      </c>
      <c r="I2097" s="64" t="s">
        <v>40</v>
      </c>
      <c r="J2097" s="67">
        <v>2221.81</v>
      </c>
      <c r="K2097" s="62">
        <v>-125734.39</v>
      </c>
      <c r="L2097" s="33" t="e">
        <f>HLOOKUP(B2097,#REF!,1,0)</f>
        <v>#REF!</v>
      </c>
      <c r="M2097" s="33" t="str">
        <f t="shared" si="131"/>
        <v>BS</v>
      </c>
    </row>
    <row r="2098" spans="1:13" s="33" customFormat="true" ht="12.75" customHeight="true">
      <c r="A2098" s="33" t="str">
        <f t="shared" si="128"/>
        <v>SIL - Intercompany</v>
      </c>
      <c r="B2098" s="33" t="str">
        <f t="shared" si="129"/>
        <v>SIL</v>
      </c>
      <c r="C2098" s="33" t="str">
        <f t="shared" si="130"/>
        <v>11304-0000</v>
      </c>
      <c r="D2098" s="64" t="s">
        <v>2574</v>
      </c>
      <c r="E2098" s="64" t="s">
        <v>250</v>
      </c>
      <c r="F2098" s="64" t="s">
        <v>230</v>
      </c>
      <c r="G2098" s="64" t="s">
        <v>16</v>
      </c>
      <c r="H2098" s="64" t="s">
        <v>39</v>
      </c>
      <c r="I2098" s="64" t="s">
        <v>40</v>
      </c>
      <c r="J2098" s="67">
        <v>2236.89</v>
      </c>
      <c r="K2098" s="62">
        <v>-45813.04</v>
      </c>
      <c r="L2098" s="33" t="e">
        <f>HLOOKUP(B2098,#REF!,1,0)</f>
        <v>#REF!</v>
      </c>
      <c r="M2098" s="33" t="str">
        <f t="shared" si="131"/>
        <v>BS</v>
      </c>
    </row>
    <row r="2099" spans="1:13" s="33" customFormat="true" ht="12.75" customHeight="true">
      <c r="A2099" s="33" t="str">
        <f t="shared" si="128"/>
        <v>SIL - Intercompany</v>
      </c>
      <c r="B2099" s="33" t="str">
        <f t="shared" si="129"/>
        <v>SIL</v>
      </c>
      <c r="C2099" s="33" t="str">
        <f t="shared" si="130"/>
        <v>11305-0000</v>
      </c>
      <c r="D2099" s="64" t="s">
        <v>2575</v>
      </c>
      <c r="E2099" s="64" t="s">
        <v>594</v>
      </c>
      <c r="F2099" s="64" t="s">
        <v>230</v>
      </c>
      <c r="G2099" s="64" t="s">
        <v>16</v>
      </c>
      <c r="H2099" s="64" t="s">
        <v>39</v>
      </c>
      <c r="I2099" s="64" t="s">
        <v>40</v>
      </c>
      <c r="J2099" s="67">
        <v>16913.96</v>
      </c>
      <c r="K2099" s="62">
        <v>-37809.57</v>
      </c>
      <c r="L2099" s="33" t="e">
        <f>HLOOKUP(B2099,#REF!,1,0)</f>
        <v>#REF!</v>
      </c>
      <c r="M2099" s="33" t="str">
        <f t="shared" si="131"/>
        <v>BS</v>
      </c>
    </row>
    <row r="2100" spans="1:13" s="33" customFormat="true" ht="12.75" customHeight="true">
      <c r="A2100" s="33" t="str">
        <f t="shared" si="128"/>
        <v>SIL - Intercompany</v>
      </c>
      <c r="B2100" s="33" t="str">
        <f t="shared" si="129"/>
        <v>SIL</v>
      </c>
      <c r="C2100" s="33" t="str">
        <f t="shared" si="130"/>
        <v>11307-0000</v>
      </c>
      <c r="D2100" s="64" t="s">
        <v>2576</v>
      </c>
      <c r="E2100" s="64" t="s">
        <v>2577</v>
      </c>
      <c r="F2100" s="64" t="s">
        <v>230</v>
      </c>
      <c r="G2100" s="64" t="s">
        <v>16</v>
      </c>
      <c r="H2100" s="64" t="s">
        <v>39</v>
      </c>
      <c r="I2100" s="64" t="s">
        <v>40</v>
      </c>
      <c r="J2100" s="67">
        <v>0</v>
      </c>
      <c r="K2100" s="62">
        <v>-25000</v>
      </c>
      <c r="L2100" s="33" t="e">
        <f>HLOOKUP(B2100,#REF!,1,0)</f>
        <v>#REF!</v>
      </c>
      <c r="M2100" s="33" t="str">
        <f t="shared" si="131"/>
        <v>BS</v>
      </c>
    </row>
    <row r="2101" spans="1:13" s="33" customFormat="true" ht="12.75" customHeight="true">
      <c r="A2101" s="33" t="str">
        <f t="shared" si="128"/>
        <v>SIL - Intercompany</v>
      </c>
      <c r="B2101" s="33" t="str">
        <f t="shared" si="129"/>
        <v>SIL</v>
      </c>
      <c r="C2101" s="33" t="str">
        <f t="shared" si="130"/>
        <v>11308-0000</v>
      </c>
      <c r="D2101" s="64" t="s">
        <v>2578</v>
      </c>
      <c r="E2101" s="64" t="s">
        <v>472</v>
      </c>
      <c r="F2101" s="64" t="s">
        <v>230</v>
      </c>
      <c r="G2101" s="64" t="s">
        <v>16</v>
      </c>
      <c r="H2101" s="64" t="s">
        <v>39</v>
      </c>
      <c r="I2101" s="64" t="s">
        <v>40</v>
      </c>
      <c r="J2101" s="67">
        <v>-509.64</v>
      </c>
      <c r="K2101" s="62">
        <v>66156.62</v>
      </c>
      <c r="L2101" s="33" t="e">
        <f>HLOOKUP(B2101,#REF!,1,0)</f>
        <v>#REF!</v>
      </c>
      <c r="M2101" s="33" t="str">
        <f t="shared" si="131"/>
        <v>BS</v>
      </c>
    </row>
    <row r="2102" spans="1:13" s="33" customFormat="true" ht="12.75" customHeight="true">
      <c r="A2102" s="33" t="str">
        <f t="shared" si="128"/>
        <v>SIL - Intercompany</v>
      </c>
      <c r="B2102" s="33" t="str">
        <f t="shared" si="129"/>
        <v>SIL</v>
      </c>
      <c r="C2102" s="33" t="str">
        <f t="shared" si="130"/>
        <v>11309-0000</v>
      </c>
      <c r="D2102" s="64" t="s">
        <v>2579</v>
      </c>
      <c r="E2102" s="64" t="s">
        <v>254</v>
      </c>
      <c r="F2102" s="64" t="s">
        <v>230</v>
      </c>
      <c r="G2102" s="64" t="s">
        <v>16</v>
      </c>
      <c r="H2102" s="64" t="s">
        <v>39</v>
      </c>
      <c r="I2102" s="64" t="s">
        <v>40</v>
      </c>
      <c r="J2102" s="67">
        <v>0</v>
      </c>
      <c r="K2102" s="62">
        <v>-1870.9</v>
      </c>
      <c r="L2102" s="33" t="e">
        <f>HLOOKUP(B2102,#REF!,1,0)</f>
        <v>#REF!</v>
      </c>
      <c r="M2102" s="33" t="str">
        <f t="shared" si="131"/>
        <v>BS</v>
      </c>
    </row>
    <row r="2103" spans="1:13" s="33" customFormat="true" ht="12.75" customHeight="true">
      <c r="A2103" s="33" t="str">
        <f t="shared" si="128"/>
        <v>SIL - Intercompany</v>
      </c>
      <c r="B2103" s="33" t="str">
        <f t="shared" si="129"/>
        <v>SIL</v>
      </c>
      <c r="C2103" s="33" t="str">
        <f t="shared" si="130"/>
        <v>11310-0000</v>
      </c>
      <c r="D2103" s="64" t="s">
        <v>2580</v>
      </c>
      <c r="E2103" s="64" t="s">
        <v>256</v>
      </c>
      <c r="F2103" s="64" t="s">
        <v>230</v>
      </c>
      <c r="G2103" s="64" t="s">
        <v>16</v>
      </c>
      <c r="H2103" s="64" t="s">
        <v>39</v>
      </c>
      <c r="I2103" s="64" t="s">
        <v>40</v>
      </c>
      <c r="J2103" s="67">
        <v>23657.79</v>
      </c>
      <c r="K2103" s="62">
        <v>-86289.17</v>
      </c>
      <c r="L2103" s="33" t="e">
        <f>HLOOKUP(B2103,#REF!,1,0)</f>
        <v>#REF!</v>
      </c>
      <c r="M2103" s="33" t="str">
        <f t="shared" si="131"/>
        <v>BS</v>
      </c>
    </row>
    <row r="2104" spans="1:13" s="33" customFormat="true" ht="12.75" customHeight="true">
      <c r="A2104" s="33" t="str">
        <f t="shared" si="128"/>
        <v>SIL - Intercompany</v>
      </c>
      <c r="B2104" s="33" t="str">
        <f t="shared" si="129"/>
        <v>SIL</v>
      </c>
      <c r="C2104" s="33" t="str">
        <f t="shared" si="130"/>
        <v>11311-0000</v>
      </c>
      <c r="D2104" s="64" t="s">
        <v>2581</v>
      </c>
      <c r="E2104" s="64" t="s">
        <v>258</v>
      </c>
      <c r="F2104" s="64" t="s">
        <v>230</v>
      </c>
      <c r="G2104" s="64" t="s">
        <v>16</v>
      </c>
      <c r="H2104" s="64" t="s">
        <v>39</v>
      </c>
      <c r="I2104" s="64" t="s">
        <v>40</v>
      </c>
      <c r="J2104" s="67">
        <v>15861.17</v>
      </c>
      <c r="K2104" s="62">
        <v>-63701.85</v>
      </c>
      <c r="L2104" s="33" t="e">
        <f>HLOOKUP(B2104,#REF!,1,0)</f>
        <v>#REF!</v>
      </c>
      <c r="M2104" s="33" t="str">
        <f t="shared" si="131"/>
        <v>BS</v>
      </c>
    </row>
    <row r="2105" spans="1:13" s="33" customFormat="true" ht="12.75" customHeight="true">
      <c r="A2105" s="33" t="str">
        <f t="shared" si="128"/>
        <v>SIL - Intercompany</v>
      </c>
      <c r="B2105" s="33" t="str">
        <f t="shared" si="129"/>
        <v>SIL</v>
      </c>
      <c r="C2105" s="33" t="str">
        <f t="shared" si="130"/>
        <v>11312-0000</v>
      </c>
      <c r="D2105" s="64" t="s">
        <v>2582</v>
      </c>
      <c r="E2105" s="64" t="s">
        <v>935</v>
      </c>
      <c r="F2105" s="64" t="s">
        <v>230</v>
      </c>
      <c r="G2105" s="64" t="s">
        <v>16</v>
      </c>
      <c r="H2105" s="64" t="s">
        <v>39</v>
      </c>
      <c r="I2105" s="64" t="s">
        <v>40</v>
      </c>
      <c r="J2105" s="67">
        <v>0</v>
      </c>
      <c r="K2105" s="62">
        <v>-80000</v>
      </c>
      <c r="L2105" s="33" t="e">
        <f>HLOOKUP(B2105,#REF!,1,0)</f>
        <v>#REF!</v>
      </c>
      <c r="M2105" s="33" t="str">
        <f t="shared" si="131"/>
        <v>BS</v>
      </c>
    </row>
    <row r="2106" spans="1:13" s="33" customFormat="true" ht="12.75" customHeight="true">
      <c r="A2106" s="33" t="str">
        <f t="shared" si="128"/>
        <v>SIL - Intercompany</v>
      </c>
      <c r="B2106" s="33" t="str">
        <f t="shared" si="129"/>
        <v>SIL</v>
      </c>
      <c r="C2106" s="33" t="str">
        <f t="shared" si="130"/>
        <v>11313-0000</v>
      </c>
      <c r="D2106" s="64" t="s">
        <v>2583</v>
      </c>
      <c r="E2106" s="64" t="s">
        <v>260</v>
      </c>
      <c r="F2106" s="64" t="s">
        <v>230</v>
      </c>
      <c r="G2106" s="64" t="s">
        <v>16</v>
      </c>
      <c r="H2106" s="64" t="s">
        <v>39</v>
      </c>
      <c r="I2106" s="64" t="s">
        <v>40</v>
      </c>
      <c r="J2106" s="67">
        <v>2349.17</v>
      </c>
      <c r="K2106" s="62">
        <v>65963.01</v>
      </c>
      <c r="L2106" s="33" t="e">
        <f>HLOOKUP(B2106,#REF!,1,0)</f>
        <v>#REF!</v>
      </c>
      <c r="M2106" s="33" t="str">
        <f t="shared" si="131"/>
        <v>BS</v>
      </c>
    </row>
    <row r="2107" spans="1:13" s="33" customFormat="true" ht="12.75" customHeight="true">
      <c r="A2107" s="33" t="str">
        <f t="shared" si="128"/>
        <v>SIL - Intercompany</v>
      </c>
      <c r="B2107" s="33" t="str">
        <f t="shared" si="129"/>
        <v>SIL</v>
      </c>
      <c r="C2107" s="33" t="str">
        <f t="shared" si="130"/>
        <v>11314-0000</v>
      </c>
      <c r="D2107" s="64" t="s">
        <v>2584</v>
      </c>
      <c r="E2107" s="64" t="s">
        <v>365</v>
      </c>
      <c r="F2107" s="64" t="s">
        <v>230</v>
      </c>
      <c r="G2107" s="64" t="s">
        <v>16</v>
      </c>
      <c r="H2107" s="64" t="s">
        <v>39</v>
      </c>
      <c r="I2107" s="64" t="s">
        <v>40</v>
      </c>
      <c r="J2107" s="67">
        <v>0</v>
      </c>
      <c r="K2107" s="62">
        <v>1723.25</v>
      </c>
      <c r="L2107" s="33" t="e">
        <f>HLOOKUP(B2107,#REF!,1,0)</f>
        <v>#REF!</v>
      </c>
      <c r="M2107" s="33" t="str">
        <f t="shared" si="131"/>
        <v>BS</v>
      </c>
    </row>
    <row r="2108" spans="1:13" s="33" customFormat="true" ht="12.75" customHeight="true">
      <c r="A2108" s="33" t="str">
        <f t="shared" si="128"/>
        <v>SIL - Intercompany</v>
      </c>
      <c r="B2108" s="33" t="str">
        <f t="shared" si="129"/>
        <v>SIL</v>
      </c>
      <c r="C2108" s="33" t="str">
        <f t="shared" si="130"/>
        <v>11315-0000</v>
      </c>
      <c r="D2108" s="64" t="s">
        <v>2585</v>
      </c>
      <c r="E2108" s="64" t="s">
        <v>262</v>
      </c>
      <c r="F2108" s="64" t="s">
        <v>230</v>
      </c>
      <c r="G2108" s="64" t="s">
        <v>16</v>
      </c>
      <c r="H2108" s="64" t="s">
        <v>39</v>
      </c>
      <c r="I2108" s="64" t="s">
        <v>40</v>
      </c>
      <c r="J2108" s="67">
        <v>3111.81</v>
      </c>
      <c r="K2108" s="62">
        <v>18436.08</v>
      </c>
      <c r="L2108" s="33" t="e">
        <f>HLOOKUP(B2108,#REF!,1,0)</f>
        <v>#REF!</v>
      </c>
      <c r="M2108" s="33" t="str">
        <f t="shared" si="131"/>
        <v>BS</v>
      </c>
    </row>
    <row r="2109" spans="1:13" s="33" customFormat="true" ht="12.75" customHeight="true">
      <c r="A2109" s="33" t="str">
        <f t="shared" si="128"/>
        <v>SIL - Intercompany</v>
      </c>
      <c r="B2109" s="33" t="str">
        <f t="shared" si="129"/>
        <v>SIL</v>
      </c>
      <c r="C2109" s="33" t="str">
        <f t="shared" si="130"/>
        <v>11316-0000</v>
      </c>
      <c r="D2109" s="64" t="s">
        <v>2586</v>
      </c>
      <c r="E2109" s="64" t="s">
        <v>264</v>
      </c>
      <c r="F2109" s="64" t="s">
        <v>230</v>
      </c>
      <c r="G2109" s="64" t="s">
        <v>16</v>
      </c>
      <c r="H2109" s="64" t="s">
        <v>39</v>
      </c>
      <c r="I2109" s="64" t="s">
        <v>40</v>
      </c>
      <c r="J2109" s="67">
        <v>166.42</v>
      </c>
      <c r="K2109" s="62">
        <v>1417.02</v>
      </c>
      <c r="L2109" s="33" t="e">
        <f>HLOOKUP(B2109,#REF!,1,0)</f>
        <v>#REF!</v>
      </c>
      <c r="M2109" s="33" t="str">
        <f t="shared" si="131"/>
        <v>BS</v>
      </c>
    </row>
    <row r="2110" spans="1:13" s="33" customFormat="true" ht="12.75" customHeight="true">
      <c r="A2110" s="33" t="str">
        <f t="shared" si="128"/>
        <v>SIL - Intercompany</v>
      </c>
      <c r="B2110" s="33" t="str">
        <f t="shared" si="129"/>
        <v>SIL</v>
      </c>
      <c r="C2110" s="33" t="str">
        <f t="shared" si="130"/>
        <v>11317-0000</v>
      </c>
      <c r="D2110" s="64" t="s">
        <v>2587</v>
      </c>
      <c r="E2110" s="64" t="s">
        <v>368</v>
      </c>
      <c r="F2110" s="64" t="s">
        <v>230</v>
      </c>
      <c r="G2110" s="64" t="s">
        <v>16</v>
      </c>
      <c r="H2110" s="64" t="s">
        <v>39</v>
      </c>
      <c r="I2110" s="64" t="s">
        <v>40</v>
      </c>
      <c r="J2110" s="67">
        <v>22379.03</v>
      </c>
      <c r="K2110" s="62">
        <v>-370856.43</v>
      </c>
      <c r="L2110" s="33" t="e">
        <f>HLOOKUP(B2110,#REF!,1,0)</f>
        <v>#REF!</v>
      </c>
      <c r="M2110" s="33" t="str">
        <f t="shared" si="131"/>
        <v>BS</v>
      </c>
    </row>
    <row r="2111" spans="1:13" s="33" customFormat="true" ht="12.75" customHeight="true">
      <c r="A2111" s="33" t="str">
        <f t="shared" si="128"/>
        <v>SIL - Intercompany</v>
      </c>
      <c r="B2111" s="33" t="str">
        <f t="shared" si="129"/>
        <v>SIL</v>
      </c>
      <c r="C2111" s="33" t="str">
        <f t="shared" si="130"/>
        <v>11318-0000</v>
      </c>
      <c r="D2111" s="64" t="s">
        <v>2588</v>
      </c>
      <c r="E2111" s="64" t="s">
        <v>478</v>
      </c>
      <c r="F2111" s="64" t="s">
        <v>230</v>
      </c>
      <c r="G2111" s="64" t="s">
        <v>16</v>
      </c>
      <c r="H2111" s="64" t="s">
        <v>39</v>
      </c>
      <c r="I2111" s="64" t="s">
        <v>40</v>
      </c>
      <c r="J2111" s="67">
        <v>0</v>
      </c>
      <c r="K2111" s="62">
        <v>-25631</v>
      </c>
      <c r="L2111" s="33" t="e">
        <f>HLOOKUP(B2111,#REF!,1,0)</f>
        <v>#REF!</v>
      </c>
      <c r="M2111" s="33" t="str">
        <f t="shared" si="131"/>
        <v>BS</v>
      </c>
    </row>
    <row r="2112" spans="1:13" s="33" customFormat="true" ht="12.75" customHeight="true">
      <c r="A2112" s="33" t="str">
        <f t="shared" si="128"/>
        <v>SIL - Intercompany</v>
      </c>
      <c r="B2112" s="33" t="str">
        <f t="shared" si="129"/>
        <v>SIL</v>
      </c>
      <c r="C2112" s="33" t="str">
        <f t="shared" si="130"/>
        <v>11319-0000</v>
      </c>
      <c r="D2112" s="64" t="s">
        <v>2589</v>
      </c>
      <c r="E2112" s="64" t="s">
        <v>370</v>
      </c>
      <c r="F2112" s="64" t="s">
        <v>230</v>
      </c>
      <c r="G2112" s="64" t="s">
        <v>16</v>
      </c>
      <c r="H2112" s="64" t="s">
        <v>39</v>
      </c>
      <c r="I2112" s="64" t="s">
        <v>40</v>
      </c>
      <c r="J2112" s="67">
        <v>0</v>
      </c>
      <c r="K2112" s="62">
        <v>10111</v>
      </c>
      <c r="L2112" s="33" t="e">
        <f>HLOOKUP(B2112,#REF!,1,0)</f>
        <v>#REF!</v>
      </c>
      <c r="M2112" s="33" t="str">
        <f t="shared" si="131"/>
        <v>BS</v>
      </c>
    </row>
    <row r="2113" spans="1:13" s="33" customFormat="true" ht="12.75" customHeight="true">
      <c r="A2113" s="33" t="str">
        <f t="shared" si="128"/>
        <v>SIL - Intercompany</v>
      </c>
      <c r="B2113" s="33" t="str">
        <f t="shared" si="129"/>
        <v>SIL</v>
      </c>
      <c r="C2113" s="33" t="str">
        <f t="shared" si="130"/>
        <v>11320-0000</v>
      </c>
      <c r="D2113" s="64" t="s">
        <v>2590</v>
      </c>
      <c r="E2113" s="64" t="s">
        <v>328</v>
      </c>
      <c r="F2113" s="64" t="s">
        <v>230</v>
      </c>
      <c r="G2113" s="64" t="s">
        <v>16</v>
      </c>
      <c r="H2113" s="64" t="s">
        <v>39</v>
      </c>
      <c r="I2113" s="64" t="s">
        <v>40</v>
      </c>
      <c r="J2113" s="67">
        <v>0</v>
      </c>
      <c r="K2113" s="62">
        <v>-1395.5</v>
      </c>
      <c r="L2113" s="33" t="e">
        <f>HLOOKUP(B2113,#REF!,1,0)</f>
        <v>#REF!</v>
      </c>
      <c r="M2113" s="33" t="str">
        <f t="shared" si="131"/>
        <v>BS</v>
      </c>
    </row>
    <row r="2114" spans="1:13" s="33" customFormat="true" ht="12.75" customHeight="true">
      <c r="A2114" s="33" t="str">
        <f t="shared" ref="A2114:A2177" si="132">B2114&amp;" - "&amp;TRIM(H2114)</f>
        <v>SIL - Intercompany</v>
      </c>
      <c r="B2114" s="33" t="str">
        <f t="shared" ref="B2114:B2177" si="133">LEFT(D2114,3)</f>
        <v>SIL</v>
      </c>
      <c r="C2114" s="33" t="str">
        <f t="shared" ref="C2114:C2177" si="134">RIGHT(D2114,10)</f>
        <v>11321-0000</v>
      </c>
      <c r="D2114" s="64" t="s">
        <v>2591</v>
      </c>
      <c r="E2114" s="64" t="s">
        <v>268</v>
      </c>
      <c r="F2114" s="64" t="s">
        <v>230</v>
      </c>
      <c r="G2114" s="64" t="s">
        <v>16</v>
      </c>
      <c r="H2114" s="64" t="s">
        <v>39</v>
      </c>
      <c r="I2114" s="64" t="s">
        <v>40</v>
      </c>
      <c r="J2114" s="67">
        <v>203.02</v>
      </c>
      <c r="K2114" s="62">
        <v>131740.1</v>
      </c>
      <c r="L2114" s="33" t="e">
        <f>HLOOKUP(B2114,#REF!,1,0)</f>
        <v>#REF!</v>
      </c>
      <c r="M2114" s="33" t="str">
        <f t="shared" ref="M2114:M2177" si="135">IF(VALUE(LEFT(C2114,5))&gt;40000,"P&amp;L","BS")</f>
        <v>BS</v>
      </c>
    </row>
    <row r="2115" spans="1:13" s="33" customFormat="true" ht="12.75" customHeight="true">
      <c r="A2115" s="33" t="str">
        <f t="shared" si="132"/>
        <v>SIL - Intercompany</v>
      </c>
      <c r="B2115" s="33" t="str">
        <f t="shared" si="133"/>
        <v>SIL</v>
      </c>
      <c r="C2115" s="33" t="str">
        <f t="shared" si="134"/>
        <v>11322-0000</v>
      </c>
      <c r="D2115" s="64" t="s">
        <v>2592</v>
      </c>
      <c r="E2115" s="64" t="s">
        <v>270</v>
      </c>
      <c r="F2115" s="64" t="s">
        <v>230</v>
      </c>
      <c r="G2115" s="64" t="s">
        <v>16</v>
      </c>
      <c r="H2115" s="64" t="s">
        <v>39</v>
      </c>
      <c r="I2115" s="64" t="s">
        <v>40</v>
      </c>
      <c r="J2115" s="67">
        <v>605.23</v>
      </c>
      <c r="K2115" s="62">
        <v>-9476.87</v>
      </c>
      <c r="L2115" s="33" t="e">
        <f>HLOOKUP(B2115,#REF!,1,0)</f>
        <v>#REF!</v>
      </c>
      <c r="M2115" s="33" t="str">
        <f t="shared" si="135"/>
        <v>BS</v>
      </c>
    </row>
    <row r="2116" spans="1:13" s="33" customFormat="true" ht="12.75" customHeight="true">
      <c r="A2116" s="33" t="str">
        <f t="shared" si="132"/>
        <v>SIL - Intercompany</v>
      </c>
      <c r="B2116" s="33" t="str">
        <f t="shared" si="133"/>
        <v>SIL</v>
      </c>
      <c r="C2116" s="33" t="str">
        <f t="shared" si="134"/>
        <v>11323-0000</v>
      </c>
      <c r="D2116" s="64" t="s">
        <v>2593</v>
      </c>
      <c r="E2116" s="64" t="s">
        <v>2594</v>
      </c>
      <c r="F2116" s="64" t="s">
        <v>230</v>
      </c>
      <c r="G2116" s="64" t="s">
        <v>16</v>
      </c>
      <c r="H2116" s="64" t="s">
        <v>39</v>
      </c>
      <c r="I2116" s="64" t="s">
        <v>40</v>
      </c>
      <c r="J2116" s="67">
        <v>0</v>
      </c>
      <c r="K2116" s="62">
        <v>10652</v>
      </c>
      <c r="L2116" s="33" t="e">
        <f>HLOOKUP(B2116,#REF!,1,0)</f>
        <v>#REF!</v>
      </c>
      <c r="M2116" s="33" t="str">
        <f t="shared" si="135"/>
        <v>BS</v>
      </c>
    </row>
    <row r="2117" spans="1:13" s="33" customFormat="true" ht="12.75" customHeight="true">
      <c r="A2117" s="33" t="str">
        <f t="shared" si="132"/>
        <v>SIL - Intercompany</v>
      </c>
      <c r="B2117" s="33" t="str">
        <f t="shared" si="133"/>
        <v>SIL</v>
      </c>
      <c r="C2117" s="33" t="str">
        <f t="shared" si="134"/>
        <v>11324-0000</v>
      </c>
      <c r="D2117" s="64" t="s">
        <v>2595</v>
      </c>
      <c r="E2117" s="64" t="s">
        <v>272</v>
      </c>
      <c r="F2117" s="64" t="s">
        <v>230</v>
      </c>
      <c r="G2117" s="64" t="s">
        <v>16</v>
      </c>
      <c r="H2117" s="64" t="s">
        <v>39</v>
      </c>
      <c r="I2117" s="64" t="s">
        <v>40</v>
      </c>
      <c r="J2117" s="67">
        <v>328.2</v>
      </c>
      <c r="K2117" s="62">
        <v>3872.39</v>
      </c>
      <c r="L2117" s="33" t="e">
        <f>HLOOKUP(B2117,#REF!,1,0)</f>
        <v>#REF!</v>
      </c>
      <c r="M2117" s="33" t="str">
        <f t="shared" si="135"/>
        <v>BS</v>
      </c>
    </row>
    <row r="2118" spans="1:13" s="33" customFormat="true" ht="12.75" customHeight="true">
      <c r="A2118" s="33" t="str">
        <f t="shared" si="132"/>
        <v>SIL - Intercompany</v>
      </c>
      <c r="B2118" s="33" t="str">
        <f t="shared" si="133"/>
        <v>SIL</v>
      </c>
      <c r="C2118" s="33" t="str">
        <f t="shared" si="134"/>
        <v>11325-0000</v>
      </c>
      <c r="D2118" s="64" t="s">
        <v>2596</v>
      </c>
      <c r="E2118" s="64" t="s">
        <v>274</v>
      </c>
      <c r="F2118" s="64" t="s">
        <v>230</v>
      </c>
      <c r="G2118" s="64" t="s">
        <v>16</v>
      </c>
      <c r="H2118" s="64" t="s">
        <v>39</v>
      </c>
      <c r="I2118" s="64" t="s">
        <v>40</v>
      </c>
      <c r="J2118" s="67">
        <v>519.41</v>
      </c>
      <c r="K2118" s="62">
        <v>17315.25</v>
      </c>
      <c r="L2118" s="33" t="e">
        <f>HLOOKUP(B2118,#REF!,1,0)</f>
        <v>#REF!</v>
      </c>
      <c r="M2118" s="33" t="str">
        <f t="shared" si="135"/>
        <v>BS</v>
      </c>
    </row>
    <row r="2119" spans="1:13" s="33" customFormat="true" ht="12.75" customHeight="true">
      <c r="A2119" s="33" t="str">
        <f t="shared" si="132"/>
        <v>SIL - Intercompany</v>
      </c>
      <c r="B2119" s="33" t="str">
        <f t="shared" si="133"/>
        <v>SIL</v>
      </c>
      <c r="C2119" s="33" t="str">
        <f t="shared" si="134"/>
        <v>11326-0000</v>
      </c>
      <c r="D2119" s="64" t="s">
        <v>2597</v>
      </c>
      <c r="E2119" s="64" t="s">
        <v>276</v>
      </c>
      <c r="F2119" s="64" t="s">
        <v>230</v>
      </c>
      <c r="G2119" s="64" t="s">
        <v>16</v>
      </c>
      <c r="H2119" s="64" t="s">
        <v>39</v>
      </c>
      <c r="I2119" s="64" t="s">
        <v>40</v>
      </c>
      <c r="J2119" s="67">
        <v>-913.55</v>
      </c>
      <c r="K2119" s="62">
        <v>161283.66</v>
      </c>
      <c r="L2119" s="33" t="e">
        <f>HLOOKUP(B2119,#REF!,1,0)</f>
        <v>#REF!</v>
      </c>
      <c r="M2119" s="33" t="str">
        <f t="shared" si="135"/>
        <v>BS</v>
      </c>
    </row>
    <row r="2120" spans="1:13" s="33" customFormat="true" ht="12.75" customHeight="true">
      <c r="A2120" s="33" t="str">
        <f t="shared" si="132"/>
        <v>SIL - Intercompany</v>
      </c>
      <c r="B2120" s="33" t="str">
        <f t="shared" si="133"/>
        <v>SIL</v>
      </c>
      <c r="C2120" s="33" t="str">
        <f t="shared" si="134"/>
        <v>11327-0000</v>
      </c>
      <c r="D2120" s="64" t="s">
        <v>2598</v>
      </c>
      <c r="E2120" s="64" t="s">
        <v>2599</v>
      </c>
      <c r="F2120" s="64" t="s">
        <v>230</v>
      </c>
      <c r="G2120" s="64" t="s">
        <v>16</v>
      </c>
      <c r="H2120" s="64" t="s">
        <v>39</v>
      </c>
      <c r="I2120" s="64" t="s">
        <v>40</v>
      </c>
      <c r="J2120" s="67">
        <v>1286.24</v>
      </c>
      <c r="K2120" s="62">
        <v>6452.31</v>
      </c>
      <c r="L2120" s="33" t="e">
        <f>HLOOKUP(B2120,#REF!,1,0)</f>
        <v>#REF!</v>
      </c>
      <c r="M2120" s="33" t="str">
        <f t="shared" si="135"/>
        <v>BS</v>
      </c>
    </row>
    <row r="2121" spans="1:13" s="33" customFormat="true" ht="12.75" customHeight="true">
      <c r="A2121" s="33" t="str">
        <f t="shared" si="132"/>
        <v>SIL - Intercompany</v>
      </c>
      <c r="B2121" s="33" t="str">
        <f t="shared" si="133"/>
        <v>SIL</v>
      </c>
      <c r="C2121" s="33" t="str">
        <f t="shared" si="134"/>
        <v>11328-0000</v>
      </c>
      <c r="D2121" s="64" t="s">
        <v>2600</v>
      </c>
      <c r="E2121" s="64" t="s">
        <v>278</v>
      </c>
      <c r="F2121" s="64" t="s">
        <v>230</v>
      </c>
      <c r="G2121" s="64" t="s">
        <v>16</v>
      </c>
      <c r="H2121" s="64" t="s">
        <v>39</v>
      </c>
      <c r="I2121" s="64" t="s">
        <v>40</v>
      </c>
      <c r="J2121" s="67">
        <v>1485.85</v>
      </c>
      <c r="K2121" s="62">
        <v>12532.25</v>
      </c>
      <c r="L2121" s="33" t="e">
        <f>HLOOKUP(B2121,#REF!,1,0)</f>
        <v>#REF!</v>
      </c>
      <c r="M2121" s="33" t="str">
        <f t="shared" si="135"/>
        <v>BS</v>
      </c>
    </row>
    <row r="2122" spans="1:13" s="33" customFormat="true" ht="12.75" customHeight="true">
      <c r="A2122" s="33" t="str">
        <f t="shared" si="132"/>
        <v>SIL - Intercompany</v>
      </c>
      <c r="B2122" s="33" t="str">
        <f t="shared" si="133"/>
        <v>SIL</v>
      </c>
      <c r="C2122" s="33" t="str">
        <f t="shared" si="134"/>
        <v>11329-0000</v>
      </c>
      <c r="D2122" s="64" t="s">
        <v>2601</v>
      </c>
      <c r="E2122" s="64" t="s">
        <v>377</v>
      </c>
      <c r="F2122" s="64" t="s">
        <v>230</v>
      </c>
      <c r="G2122" s="64" t="s">
        <v>16</v>
      </c>
      <c r="H2122" s="64" t="s">
        <v>39</v>
      </c>
      <c r="I2122" s="64" t="s">
        <v>40</v>
      </c>
      <c r="J2122" s="67">
        <v>0</v>
      </c>
      <c r="K2122" s="62">
        <v>-19000</v>
      </c>
      <c r="L2122" s="33" t="e">
        <f>HLOOKUP(B2122,#REF!,1,0)</f>
        <v>#REF!</v>
      </c>
      <c r="M2122" s="33" t="str">
        <f t="shared" si="135"/>
        <v>BS</v>
      </c>
    </row>
    <row r="2123" spans="1:13" s="33" customFormat="true" ht="12.75" customHeight="true">
      <c r="A2123" s="33" t="str">
        <f t="shared" si="132"/>
        <v>SIL - Intercompany</v>
      </c>
      <c r="B2123" s="33" t="str">
        <f t="shared" si="133"/>
        <v>SIL</v>
      </c>
      <c r="C2123" s="33" t="str">
        <f t="shared" si="134"/>
        <v>11330-0000</v>
      </c>
      <c r="D2123" s="64" t="s">
        <v>2602</v>
      </c>
      <c r="E2123" s="64" t="s">
        <v>280</v>
      </c>
      <c r="F2123" s="64" t="s">
        <v>230</v>
      </c>
      <c r="G2123" s="64" t="s">
        <v>16</v>
      </c>
      <c r="H2123" s="64" t="s">
        <v>39</v>
      </c>
      <c r="I2123" s="64" t="s">
        <v>40</v>
      </c>
      <c r="J2123" s="67">
        <v>2068.87</v>
      </c>
      <c r="K2123" s="62">
        <v>-8979.48</v>
      </c>
      <c r="L2123" s="33" t="e">
        <f>HLOOKUP(B2123,#REF!,1,0)</f>
        <v>#REF!</v>
      </c>
      <c r="M2123" s="33" t="str">
        <f t="shared" si="135"/>
        <v>BS</v>
      </c>
    </row>
    <row r="2124" spans="1:13" s="33" customFormat="true" ht="12.75" customHeight="true">
      <c r="A2124" s="33" t="str">
        <f t="shared" si="132"/>
        <v>SIL - Intercompany</v>
      </c>
      <c r="B2124" s="33" t="str">
        <f t="shared" si="133"/>
        <v>SIL</v>
      </c>
      <c r="C2124" s="33" t="str">
        <f t="shared" si="134"/>
        <v>11331-0000</v>
      </c>
      <c r="D2124" s="64" t="s">
        <v>2603</v>
      </c>
      <c r="E2124" s="64" t="s">
        <v>379</v>
      </c>
      <c r="F2124" s="64" t="s">
        <v>230</v>
      </c>
      <c r="G2124" s="64" t="s">
        <v>16</v>
      </c>
      <c r="H2124" s="64" t="s">
        <v>39</v>
      </c>
      <c r="I2124" s="64" t="s">
        <v>40</v>
      </c>
      <c r="J2124" s="67">
        <v>0</v>
      </c>
      <c r="K2124" s="62">
        <v>10075</v>
      </c>
      <c r="L2124" s="33" t="e">
        <f>HLOOKUP(B2124,#REF!,1,0)</f>
        <v>#REF!</v>
      </c>
      <c r="M2124" s="33" t="str">
        <f t="shared" si="135"/>
        <v>BS</v>
      </c>
    </row>
    <row r="2125" spans="1:13" s="33" customFormat="true" ht="12.75" customHeight="true">
      <c r="A2125" s="33" t="str">
        <f t="shared" si="132"/>
        <v>SIL - Intercompany</v>
      </c>
      <c r="B2125" s="33" t="str">
        <f t="shared" si="133"/>
        <v>SIL</v>
      </c>
      <c r="C2125" s="33" t="str">
        <f t="shared" si="134"/>
        <v>11332-0000</v>
      </c>
      <c r="D2125" s="64" t="s">
        <v>2604</v>
      </c>
      <c r="E2125" s="64" t="s">
        <v>331</v>
      </c>
      <c r="F2125" s="64" t="s">
        <v>230</v>
      </c>
      <c r="G2125" s="64" t="s">
        <v>16</v>
      </c>
      <c r="H2125" s="64" t="s">
        <v>39</v>
      </c>
      <c r="I2125" s="64" t="s">
        <v>40</v>
      </c>
      <c r="J2125" s="67">
        <v>1205.42</v>
      </c>
      <c r="K2125" s="62">
        <v>39491.28</v>
      </c>
      <c r="L2125" s="33" t="e">
        <f>HLOOKUP(B2125,#REF!,1,0)</f>
        <v>#REF!</v>
      </c>
      <c r="M2125" s="33" t="str">
        <f t="shared" si="135"/>
        <v>BS</v>
      </c>
    </row>
    <row r="2126" spans="1:13" s="33" customFormat="true" ht="12.75" customHeight="true">
      <c r="A2126" s="33" t="str">
        <f t="shared" si="132"/>
        <v>SIL - Intercompany</v>
      </c>
      <c r="B2126" s="33" t="str">
        <f t="shared" si="133"/>
        <v>SIL</v>
      </c>
      <c r="C2126" s="33" t="str">
        <f t="shared" si="134"/>
        <v>11333-0000</v>
      </c>
      <c r="D2126" s="64" t="s">
        <v>2605</v>
      </c>
      <c r="E2126" s="64" t="s">
        <v>284</v>
      </c>
      <c r="F2126" s="64" t="s">
        <v>230</v>
      </c>
      <c r="G2126" s="64" t="s">
        <v>16</v>
      </c>
      <c r="H2126" s="64" t="s">
        <v>39</v>
      </c>
      <c r="I2126" s="64" t="s">
        <v>40</v>
      </c>
      <c r="J2126" s="67">
        <v>-346.54</v>
      </c>
      <c r="K2126" s="62">
        <v>-13471.74</v>
      </c>
      <c r="L2126" s="33" t="e">
        <f>HLOOKUP(B2126,#REF!,1,0)</f>
        <v>#REF!</v>
      </c>
      <c r="M2126" s="33" t="str">
        <f t="shared" si="135"/>
        <v>BS</v>
      </c>
    </row>
    <row r="2127" spans="1:13" s="33" customFormat="true" ht="12.75" customHeight="true">
      <c r="A2127" s="33" t="str">
        <f t="shared" si="132"/>
        <v>SIL - Intercompany</v>
      </c>
      <c r="B2127" s="33" t="str">
        <f t="shared" si="133"/>
        <v>SIL</v>
      </c>
      <c r="C2127" s="33" t="str">
        <f t="shared" si="134"/>
        <v>11334-0000</v>
      </c>
      <c r="D2127" s="64" t="s">
        <v>2606</v>
      </c>
      <c r="E2127" s="64" t="s">
        <v>333</v>
      </c>
      <c r="F2127" s="64" t="s">
        <v>230</v>
      </c>
      <c r="G2127" s="64" t="s">
        <v>16</v>
      </c>
      <c r="H2127" s="64" t="s">
        <v>39</v>
      </c>
      <c r="I2127" s="64" t="s">
        <v>40</v>
      </c>
      <c r="J2127" s="67">
        <v>1727.9</v>
      </c>
      <c r="K2127" s="62">
        <v>4662.23</v>
      </c>
      <c r="L2127" s="33" t="e">
        <f>HLOOKUP(B2127,#REF!,1,0)</f>
        <v>#REF!</v>
      </c>
      <c r="M2127" s="33" t="str">
        <f t="shared" si="135"/>
        <v>BS</v>
      </c>
    </row>
    <row r="2128" spans="1:13" s="33" customFormat="true" ht="12.75" customHeight="true">
      <c r="A2128" s="33" t="str">
        <f t="shared" si="132"/>
        <v>SIL - Intercompany</v>
      </c>
      <c r="B2128" s="33" t="str">
        <f t="shared" si="133"/>
        <v>SIL</v>
      </c>
      <c r="C2128" s="33" t="str">
        <f t="shared" si="134"/>
        <v>11335-0000</v>
      </c>
      <c r="D2128" s="64" t="s">
        <v>2607</v>
      </c>
      <c r="E2128" s="64" t="s">
        <v>288</v>
      </c>
      <c r="F2128" s="64" t="s">
        <v>230</v>
      </c>
      <c r="G2128" s="64" t="s">
        <v>362</v>
      </c>
      <c r="H2128" s="64" t="s">
        <v>39</v>
      </c>
      <c r="I2128" s="64" t="s">
        <v>40</v>
      </c>
      <c r="J2128" s="67">
        <v>-182.2</v>
      </c>
      <c r="K2128" s="62">
        <v>22160.99</v>
      </c>
      <c r="L2128" s="33" t="e">
        <f>HLOOKUP(B2128,#REF!,1,0)</f>
        <v>#REF!</v>
      </c>
      <c r="M2128" s="33" t="str">
        <f t="shared" si="135"/>
        <v>BS</v>
      </c>
    </row>
    <row r="2129" spans="1:13" s="33" customFormat="true" ht="12.75" customHeight="true">
      <c r="A2129" s="33" t="str">
        <f t="shared" si="132"/>
        <v>SIL - Intercompany</v>
      </c>
      <c r="B2129" s="33" t="str">
        <f t="shared" si="133"/>
        <v>SIL</v>
      </c>
      <c r="C2129" s="33" t="str">
        <f t="shared" si="134"/>
        <v>11336-0000</v>
      </c>
      <c r="D2129" s="64" t="s">
        <v>2608</v>
      </c>
      <c r="E2129" s="64" t="s">
        <v>290</v>
      </c>
      <c r="F2129" s="64" t="s">
        <v>230</v>
      </c>
      <c r="G2129" s="64" t="s">
        <v>16</v>
      </c>
      <c r="H2129" s="64" t="s">
        <v>39</v>
      </c>
      <c r="I2129" s="64" t="s">
        <v>40</v>
      </c>
      <c r="J2129" s="67">
        <v>-1134.54</v>
      </c>
      <c r="K2129" s="62">
        <v>8509.72</v>
      </c>
      <c r="L2129" s="33" t="e">
        <f>HLOOKUP(B2129,#REF!,1,0)</f>
        <v>#REF!</v>
      </c>
      <c r="M2129" s="33" t="str">
        <f t="shared" si="135"/>
        <v>BS</v>
      </c>
    </row>
    <row r="2130" spans="1:13" s="33" customFormat="true" ht="12.75" customHeight="true">
      <c r="A2130" s="33" t="str">
        <f t="shared" si="132"/>
        <v>SIL - Intercompany</v>
      </c>
      <c r="B2130" s="33" t="str">
        <f t="shared" si="133"/>
        <v>SIL</v>
      </c>
      <c r="C2130" s="33" t="str">
        <f t="shared" si="134"/>
        <v>11337-0000</v>
      </c>
      <c r="D2130" s="64" t="s">
        <v>2609</v>
      </c>
      <c r="E2130" s="64" t="s">
        <v>292</v>
      </c>
      <c r="F2130" s="64" t="s">
        <v>230</v>
      </c>
      <c r="G2130" s="64" t="s">
        <v>16</v>
      </c>
      <c r="H2130" s="64" t="s">
        <v>39</v>
      </c>
      <c r="I2130" s="64" t="s">
        <v>40</v>
      </c>
      <c r="J2130" s="67">
        <v>1062.5</v>
      </c>
      <c r="K2130" s="62">
        <v>-113063.7</v>
      </c>
      <c r="L2130" s="33" t="e">
        <f>HLOOKUP(B2130,#REF!,1,0)</f>
        <v>#REF!</v>
      </c>
      <c r="M2130" s="33" t="str">
        <f t="shared" si="135"/>
        <v>BS</v>
      </c>
    </row>
    <row r="2131" spans="1:13" s="33" customFormat="true" ht="12.75" customHeight="true">
      <c r="A2131" s="33" t="str">
        <f t="shared" si="132"/>
        <v>SIL - Intercompany</v>
      </c>
      <c r="B2131" s="33" t="str">
        <f t="shared" si="133"/>
        <v>SIL</v>
      </c>
      <c r="C2131" s="33" t="str">
        <f t="shared" si="134"/>
        <v>11338-0000</v>
      </c>
      <c r="D2131" s="64" t="s">
        <v>2610</v>
      </c>
      <c r="E2131" s="64" t="s">
        <v>2611</v>
      </c>
      <c r="F2131" s="64" t="s">
        <v>230</v>
      </c>
      <c r="G2131" s="64" t="s">
        <v>16</v>
      </c>
      <c r="H2131" s="64" t="s">
        <v>39</v>
      </c>
      <c r="I2131" s="64" t="s">
        <v>40</v>
      </c>
      <c r="J2131" s="67">
        <v>1557.8</v>
      </c>
      <c r="K2131" s="62">
        <v>10432.78</v>
      </c>
      <c r="L2131" s="33" t="e">
        <f>HLOOKUP(B2131,#REF!,1,0)</f>
        <v>#REF!</v>
      </c>
      <c r="M2131" s="33" t="str">
        <f t="shared" si="135"/>
        <v>BS</v>
      </c>
    </row>
    <row r="2132" spans="1:13" s="33" customFormat="true" ht="12.75" customHeight="true">
      <c r="A2132" s="33" t="str">
        <f t="shared" si="132"/>
        <v>SIL - Intercompany</v>
      </c>
      <c r="B2132" s="33" t="str">
        <f t="shared" si="133"/>
        <v>SIL</v>
      </c>
      <c r="C2132" s="33" t="str">
        <f t="shared" si="134"/>
        <v>11339-0000</v>
      </c>
      <c r="D2132" s="64" t="s">
        <v>2612</v>
      </c>
      <c r="E2132" s="64" t="s">
        <v>2613</v>
      </c>
      <c r="F2132" s="64" t="s">
        <v>230</v>
      </c>
      <c r="G2132" s="64" t="s">
        <v>16</v>
      </c>
      <c r="H2132" s="64" t="s">
        <v>39</v>
      </c>
      <c r="I2132" s="64" t="s">
        <v>40</v>
      </c>
      <c r="J2132" s="67">
        <v>0</v>
      </c>
      <c r="K2132" s="62">
        <v>16315</v>
      </c>
      <c r="L2132" s="33" t="e">
        <f>HLOOKUP(B2132,#REF!,1,0)</f>
        <v>#REF!</v>
      </c>
      <c r="M2132" s="33" t="str">
        <f t="shared" si="135"/>
        <v>BS</v>
      </c>
    </row>
    <row r="2133" spans="1:13" s="33" customFormat="true" ht="12.75" customHeight="true">
      <c r="A2133" s="33" t="str">
        <f t="shared" si="132"/>
        <v>SIL - Intercompany</v>
      </c>
      <c r="B2133" s="33" t="str">
        <f t="shared" si="133"/>
        <v>SIL</v>
      </c>
      <c r="C2133" s="33" t="str">
        <f t="shared" si="134"/>
        <v>11340-0000</v>
      </c>
      <c r="D2133" s="64" t="s">
        <v>2614</v>
      </c>
      <c r="E2133" s="64" t="s">
        <v>1789</v>
      </c>
      <c r="F2133" s="64" t="s">
        <v>230</v>
      </c>
      <c r="G2133" s="64" t="s">
        <v>16</v>
      </c>
      <c r="H2133" s="64" t="s">
        <v>39</v>
      </c>
      <c r="I2133" s="64" t="s">
        <v>40</v>
      </c>
      <c r="J2133" s="67">
        <v>22507.6</v>
      </c>
      <c r="K2133" s="62">
        <v>30655.28</v>
      </c>
      <c r="L2133" s="33" t="e">
        <f>HLOOKUP(B2133,#REF!,1,0)</f>
        <v>#REF!</v>
      </c>
      <c r="M2133" s="33" t="str">
        <f t="shared" si="135"/>
        <v>BS</v>
      </c>
    </row>
    <row r="2134" spans="1:13" s="33" customFormat="true" ht="12.75" customHeight="true">
      <c r="A2134" s="33" t="str">
        <f t="shared" si="132"/>
        <v>SIL - Intercompany</v>
      </c>
      <c r="B2134" s="33" t="str">
        <f t="shared" si="133"/>
        <v>SIL</v>
      </c>
      <c r="C2134" s="33" t="str">
        <f t="shared" si="134"/>
        <v>11342-0000</v>
      </c>
      <c r="D2134" s="64" t="s">
        <v>2615</v>
      </c>
      <c r="E2134" s="64" t="s">
        <v>2616</v>
      </c>
      <c r="F2134" s="64" t="s">
        <v>230</v>
      </c>
      <c r="G2134" s="64" t="s">
        <v>16</v>
      </c>
      <c r="H2134" s="64" t="s">
        <v>39</v>
      </c>
      <c r="I2134" s="64" t="s">
        <v>40</v>
      </c>
      <c r="J2134" s="67">
        <v>0</v>
      </c>
      <c r="K2134" s="62">
        <v>-62191.16</v>
      </c>
      <c r="L2134" s="33" t="e">
        <f>HLOOKUP(B2134,#REF!,1,0)</f>
        <v>#REF!</v>
      </c>
      <c r="M2134" s="33" t="str">
        <f t="shared" si="135"/>
        <v>BS</v>
      </c>
    </row>
    <row r="2135" spans="1:13" s="33" customFormat="true" ht="12.75" customHeight="true">
      <c r="A2135" s="33" t="str">
        <f t="shared" si="132"/>
        <v>SIL - Intercompany</v>
      </c>
      <c r="B2135" s="33" t="str">
        <f t="shared" si="133"/>
        <v>SIL</v>
      </c>
      <c r="C2135" s="33" t="str">
        <f t="shared" si="134"/>
        <v>11343-0000</v>
      </c>
      <c r="D2135" s="64" t="s">
        <v>2617</v>
      </c>
      <c r="E2135" s="64" t="s">
        <v>600</v>
      </c>
      <c r="F2135" s="64" t="s">
        <v>230</v>
      </c>
      <c r="G2135" s="64" t="s">
        <v>16</v>
      </c>
      <c r="H2135" s="64" t="s">
        <v>39</v>
      </c>
      <c r="I2135" s="64" t="s">
        <v>40</v>
      </c>
      <c r="J2135" s="67">
        <v>-4011.05</v>
      </c>
      <c r="K2135" s="62">
        <v>-415916.97</v>
      </c>
      <c r="L2135" s="33" t="e">
        <f>HLOOKUP(B2135,#REF!,1,0)</f>
        <v>#REF!</v>
      </c>
      <c r="M2135" s="33" t="str">
        <f t="shared" si="135"/>
        <v>BS</v>
      </c>
    </row>
    <row r="2136" spans="1:13" s="33" customFormat="true" ht="12.75" customHeight="true">
      <c r="A2136" s="33" t="str">
        <f t="shared" si="132"/>
        <v>SIL - Intercompany</v>
      </c>
      <c r="B2136" s="33" t="str">
        <f t="shared" si="133"/>
        <v>SIL</v>
      </c>
      <c r="C2136" s="33" t="str">
        <f t="shared" si="134"/>
        <v>11345-0000</v>
      </c>
      <c r="D2136" s="64" t="s">
        <v>2618</v>
      </c>
      <c r="E2136" s="64" t="s">
        <v>2619</v>
      </c>
      <c r="F2136" s="64" t="s">
        <v>230</v>
      </c>
      <c r="G2136" s="64" t="s">
        <v>16</v>
      </c>
      <c r="H2136" s="64" t="s">
        <v>39</v>
      </c>
      <c r="I2136" s="64" t="s">
        <v>40</v>
      </c>
      <c r="J2136" s="67">
        <v>5600.81</v>
      </c>
      <c r="K2136" s="62">
        <v>10948.47</v>
      </c>
      <c r="L2136" s="33" t="e">
        <f>HLOOKUP(B2136,#REF!,1,0)</f>
        <v>#REF!</v>
      </c>
      <c r="M2136" s="33" t="str">
        <f t="shared" si="135"/>
        <v>BS</v>
      </c>
    </row>
    <row r="2137" spans="1:13" s="33" customFormat="true" ht="12.75" customHeight="true">
      <c r="A2137" s="33" t="str">
        <f t="shared" si="132"/>
        <v>SIL - Intercompany</v>
      </c>
      <c r="B2137" s="33" t="str">
        <f t="shared" si="133"/>
        <v>SIL</v>
      </c>
      <c r="C2137" s="33" t="str">
        <f t="shared" si="134"/>
        <v>11346-0000</v>
      </c>
      <c r="D2137" s="64" t="s">
        <v>2620</v>
      </c>
      <c r="E2137" s="64" t="s">
        <v>739</v>
      </c>
      <c r="F2137" s="64" t="s">
        <v>230</v>
      </c>
      <c r="G2137" s="64" t="s">
        <v>16</v>
      </c>
      <c r="H2137" s="64" t="s">
        <v>39</v>
      </c>
      <c r="I2137" s="64" t="s">
        <v>40</v>
      </c>
      <c r="J2137" s="67">
        <v>0</v>
      </c>
      <c r="K2137" s="62">
        <v>200.4</v>
      </c>
      <c r="L2137" s="33" t="e">
        <f>HLOOKUP(B2137,#REF!,1,0)</f>
        <v>#REF!</v>
      </c>
      <c r="M2137" s="33" t="str">
        <f t="shared" si="135"/>
        <v>BS</v>
      </c>
    </row>
    <row r="2138" spans="1:13" s="33" customFormat="true" ht="12.75" customHeight="true">
      <c r="A2138" s="33" t="str">
        <f t="shared" si="132"/>
        <v>SIL - Intercompany</v>
      </c>
      <c r="B2138" s="33" t="str">
        <f t="shared" si="133"/>
        <v>SIL</v>
      </c>
      <c r="C2138" s="33" t="str">
        <f t="shared" si="134"/>
        <v>11347-0000</v>
      </c>
      <c r="D2138" s="64" t="s">
        <v>2621</v>
      </c>
      <c r="E2138" s="64" t="s">
        <v>2622</v>
      </c>
      <c r="F2138" s="64" t="s">
        <v>230</v>
      </c>
      <c r="G2138" s="64" t="s">
        <v>16</v>
      </c>
      <c r="H2138" s="64" t="s">
        <v>39</v>
      </c>
      <c r="I2138" s="64" t="s">
        <v>40</v>
      </c>
      <c r="J2138" s="67">
        <v>81.56</v>
      </c>
      <c r="K2138" s="62">
        <v>7872.97</v>
      </c>
      <c r="L2138" s="33" t="e">
        <f>HLOOKUP(B2138,#REF!,1,0)</f>
        <v>#REF!</v>
      </c>
      <c r="M2138" s="33" t="str">
        <f t="shared" si="135"/>
        <v>BS</v>
      </c>
    </row>
    <row r="2139" spans="1:13" s="33" customFormat="true" ht="12.75" customHeight="true">
      <c r="A2139" s="33" t="str">
        <f t="shared" si="132"/>
        <v>SIL - AR-PPD</v>
      </c>
      <c r="B2139" s="33" t="str">
        <f t="shared" si="133"/>
        <v>SIL</v>
      </c>
      <c r="C2139" s="33" t="str">
        <f t="shared" si="134"/>
        <v>12200-0002</v>
      </c>
      <c r="D2139" s="64" t="s">
        <v>2623</v>
      </c>
      <c r="E2139" s="64" t="s">
        <v>2624</v>
      </c>
      <c r="F2139" s="64" t="s">
        <v>230</v>
      </c>
      <c r="G2139" s="64" t="s">
        <v>62</v>
      </c>
      <c r="H2139" s="64" t="s">
        <v>35</v>
      </c>
      <c r="I2139" s="64" t="s">
        <v>64</v>
      </c>
      <c r="J2139" s="67">
        <v>0</v>
      </c>
      <c r="K2139" s="62">
        <v>6616.21</v>
      </c>
      <c r="L2139" s="33" t="e">
        <f>HLOOKUP(B2139,#REF!,1,0)</f>
        <v>#REF!</v>
      </c>
      <c r="M2139" s="33" t="str">
        <f t="shared" si="135"/>
        <v>BS</v>
      </c>
    </row>
    <row r="2140" spans="1:13" s="33" customFormat="true" ht="12.75" customHeight="true">
      <c r="A2140" s="33" t="str">
        <f t="shared" si="132"/>
        <v>SIL - Fixed Assets</v>
      </c>
      <c r="B2140" s="33" t="str">
        <f t="shared" si="133"/>
        <v>SIL</v>
      </c>
      <c r="C2140" s="33" t="str">
        <f t="shared" si="134"/>
        <v>14000-0001</v>
      </c>
      <c r="D2140" s="64" t="s">
        <v>2625</v>
      </c>
      <c r="E2140" s="64" t="s">
        <v>2626</v>
      </c>
      <c r="F2140" s="64" t="s">
        <v>230</v>
      </c>
      <c r="G2140" s="64" t="s">
        <v>62</v>
      </c>
      <c r="H2140" s="64" t="s">
        <v>63</v>
      </c>
      <c r="I2140" s="64" t="s">
        <v>64</v>
      </c>
      <c r="J2140" s="67">
        <v>0</v>
      </c>
      <c r="K2140" s="62">
        <v>82500</v>
      </c>
      <c r="L2140" s="33" t="e">
        <f>HLOOKUP(B2140,#REF!,1,0)</f>
        <v>#REF!</v>
      </c>
      <c r="M2140" s="33" t="str">
        <f t="shared" si="135"/>
        <v>BS</v>
      </c>
    </row>
    <row r="2141" spans="1:13" s="33" customFormat="true" ht="12.75" customHeight="true">
      <c r="A2141" s="33" t="str">
        <f t="shared" si="132"/>
        <v>SIL - Fixed Assets</v>
      </c>
      <c r="B2141" s="33" t="str">
        <f t="shared" si="133"/>
        <v>SIL</v>
      </c>
      <c r="C2141" s="33" t="str">
        <f t="shared" si="134"/>
        <v>14000-0002</v>
      </c>
      <c r="D2141" s="64" t="s">
        <v>2627</v>
      </c>
      <c r="E2141" s="64" t="s">
        <v>2628</v>
      </c>
      <c r="F2141" s="64" t="s">
        <v>230</v>
      </c>
      <c r="G2141" s="64" t="s">
        <v>62</v>
      </c>
      <c r="H2141" s="64" t="s">
        <v>63</v>
      </c>
      <c r="I2141" s="64" t="s">
        <v>64</v>
      </c>
      <c r="J2141" s="67">
        <v>0</v>
      </c>
      <c r="K2141" s="62">
        <v>198000</v>
      </c>
      <c r="L2141" s="33" t="e">
        <f>HLOOKUP(B2141,#REF!,1,0)</f>
        <v>#REF!</v>
      </c>
      <c r="M2141" s="33" t="str">
        <f t="shared" si="135"/>
        <v>BS</v>
      </c>
    </row>
    <row r="2142" spans="1:13" s="33" customFormat="true" ht="12.75" customHeight="true">
      <c r="A2142" s="33" t="str">
        <f t="shared" si="132"/>
        <v>SIL - Fixed Assets</v>
      </c>
      <c r="B2142" s="33" t="str">
        <f t="shared" si="133"/>
        <v>SIL</v>
      </c>
      <c r="C2142" s="33" t="str">
        <f t="shared" si="134"/>
        <v>15000-0001</v>
      </c>
      <c r="D2142" s="64" t="s">
        <v>2629</v>
      </c>
      <c r="E2142" s="64" t="s">
        <v>2630</v>
      </c>
      <c r="F2142" s="64" t="s">
        <v>230</v>
      </c>
      <c r="G2142" s="64" t="s">
        <v>62</v>
      </c>
      <c r="H2142" s="64" t="s">
        <v>63</v>
      </c>
      <c r="I2142" s="64" t="s">
        <v>64</v>
      </c>
      <c r="J2142" s="67">
        <v>0</v>
      </c>
      <c r="K2142" s="62">
        <v>167500</v>
      </c>
      <c r="L2142" s="33" t="e">
        <f>HLOOKUP(B2142,#REF!,1,0)</f>
        <v>#REF!</v>
      </c>
      <c r="M2142" s="33" t="str">
        <f t="shared" si="135"/>
        <v>BS</v>
      </c>
    </row>
    <row r="2143" spans="1:13" s="33" customFormat="true" ht="12.75" customHeight="true">
      <c r="A2143" s="33" t="str">
        <f t="shared" si="132"/>
        <v>SIL - Fixed Assets</v>
      </c>
      <c r="B2143" s="33" t="str">
        <f t="shared" si="133"/>
        <v>SIL</v>
      </c>
      <c r="C2143" s="33" t="str">
        <f t="shared" si="134"/>
        <v>15000-0002</v>
      </c>
      <c r="D2143" s="64" t="s">
        <v>2631</v>
      </c>
      <c r="E2143" s="64" t="s">
        <v>2632</v>
      </c>
      <c r="F2143" s="64" t="s">
        <v>230</v>
      </c>
      <c r="G2143" s="64" t="s">
        <v>62</v>
      </c>
      <c r="H2143" s="64" t="s">
        <v>63</v>
      </c>
      <c r="I2143" s="64" t="s">
        <v>64</v>
      </c>
      <c r="J2143" s="67">
        <v>0</v>
      </c>
      <c r="K2143" s="62">
        <v>402000</v>
      </c>
      <c r="L2143" s="33" t="e">
        <f>HLOOKUP(B2143,#REF!,1,0)</f>
        <v>#REF!</v>
      </c>
      <c r="M2143" s="33" t="str">
        <f t="shared" si="135"/>
        <v>BS</v>
      </c>
    </row>
    <row r="2144" spans="1:13" s="33" customFormat="true" ht="12.75" customHeight="true">
      <c r="A2144" s="33" t="str">
        <f t="shared" si="132"/>
        <v>SIL - Fixed Assets</v>
      </c>
      <c r="B2144" s="33" t="str">
        <f t="shared" si="133"/>
        <v>SIL</v>
      </c>
      <c r="C2144" s="33" t="str">
        <f t="shared" si="134"/>
        <v>15500-0002</v>
      </c>
      <c r="D2144" s="64" t="s">
        <v>2633</v>
      </c>
      <c r="E2144" s="64" t="s">
        <v>302</v>
      </c>
      <c r="F2144" s="64" t="s">
        <v>230</v>
      </c>
      <c r="G2144" s="64" t="s">
        <v>62</v>
      </c>
      <c r="H2144" s="64" t="s">
        <v>63</v>
      </c>
      <c r="I2144" s="64" t="s">
        <v>64</v>
      </c>
      <c r="J2144" s="67">
        <v>0</v>
      </c>
      <c r="K2144" s="62">
        <v>18436.29</v>
      </c>
      <c r="L2144" s="33" t="e">
        <f>HLOOKUP(B2144,#REF!,1,0)</f>
        <v>#REF!</v>
      </c>
      <c r="M2144" s="33" t="str">
        <f t="shared" si="135"/>
        <v>BS</v>
      </c>
    </row>
    <row r="2145" spans="1:13" s="33" customFormat="true" ht="12.75" customHeight="true">
      <c r="A2145" s="33" t="str">
        <f t="shared" si="132"/>
        <v>SIL - Fixed Assets</v>
      </c>
      <c r="B2145" s="33" t="str">
        <f t="shared" si="133"/>
        <v>SIL</v>
      </c>
      <c r="C2145" s="33" t="str">
        <f t="shared" si="134"/>
        <v>15501-0000</v>
      </c>
      <c r="D2145" s="64" t="s">
        <v>2634</v>
      </c>
      <c r="E2145" s="64" t="s">
        <v>2635</v>
      </c>
      <c r="F2145" s="64" t="s">
        <v>230</v>
      </c>
      <c r="G2145" s="64" t="s">
        <v>62</v>
      </c>
      <c r="H2145" s="64" t="s">
        <v>63</v>
      </c>
      <c r="I2145" s="64" t="s">
        <v>64</v>
      </c>
      <c r="J2145" s="67">
        <v>18775.24</v>
      </c>
      <c r="K2145" s="62">
        <v>69762.74</v>
      </c>
      <c r="L2145" s="33" t="e">
        <f>HLOOKUP(B2145,#REF!,1,0)</f>
        <v>#REF!</v>
      </c>
      <c r="M2145" s="33" t="str">
        <f t="shared" si="135"/>
        <v>BS</v>
      </c>
    </row>
    <row r="2146" spans="1:13" s="33" customFormat="true" ht="12.75" customHeight="true">
      <c r="A2146" s="33" t="str">
        <f t="shared" si="132"/>
        <v>SIL - Fixed Assets</v>
      </c>
      <c r="B2146" s="33" t="str">
        <f t="shared" si="133"/>
        <v>SIL</v>
      </c>
      <c r="C2146" s="33" t="str">
        <f t="shared" si="134"/>
        <v>16000-0000</v>
      </c>
      <c r="D2146" s="64" t="s">
        <v>2636</v>
      </c>
      <c r="E2146" s="64" t="s">
        <v>304</v>
      </c>
      <c r="F2146" s="64" t="s">
        <v>230</v>
      </c>
      <c r="G2146" s="64" t="s">
        <v>16</v>
      </c>
      <c r="H2146" s="64" t="s">
        <v>63</v>
      </c>
      <c r="I2146" s="64" t="s">
        <v>18</v>
      </c>
      <c r="J2146" s="67">
        <v>0</v>
      </c>
      <c r="K2146" s="62">
        <v>18541.38</v>
      </c>
      <c r="L2146" s="33" t="e">
        <f>HLOOKUP(B2146,#REF!,1,0)</f>
        <v>#REF!</v>
      </c>
      <c r="M2146" s="33" t="str">
        <f t="shared" si="135"/>
        <v>BS</v>
      </c>
    </row>
    <row r="2147" spans="1:13" s="33" customFormat="true" ht="12.75" customHeight="true">
      <c r="A2147" s="33" t="str">
        <f t="shared" si="132"/>
        <v>SIL - Fixed Assets</v>
      </c>
      <c r="B2147" s="33" t="str">
        <f t="shared" si="133"/>
        <v>SIL</v>
      </c>
      <c r="C2147" s="33" t="str">
        <f t="shared" si="134"/>
        <v>16000-0002</v>
      </c>
      <c r="D2147" s="64" t="s">
        <v>2637</v>
      </c>
      <c r="E2147" s="64" t="s">
        <v>2638</v>
      </c>
      <c r="F2147" s="64" t="s">
        <v>230</v>
      </c>
      <c r="G2147" s="64" t="s">
        <v>16</v>
      </c>
      <c r="H2147" s="64" t="s">
        <v>63</v>
      </c>
      <c r="I2147" s="64" t="s">
        <v>18</v>
      </c>
      <c r="J2147" s="67">
        <v>0</v>
      </c>
      <c r="K2147" s="62">
        <v>6</v>
      </c>
      <c r="L2147" s="33" t="e">
        <f>HLOOKUP(B2147,#REF!,1,0)</f>
        <v>#REF!</v>
      </c>
      <c r="M2147" s="33" t="str">
        <f t="shared" si="135"/>
        <v>BS</v>
      </c>
    </row>
    <row r="2148" spans="1:13" s="33" customFormat="true" ht="12.75" customHeight="true">
      <c r="A2148" s="33" t="str">
        <f t="shared" si="132"/>
        <v>SIL - Fixed Assets</v>
      </c>
      <c r="B2148" s="33" t="str">
        <f t="shared" si="133"/>
        <v>SIL</v>
      </c>
      <c r="C2148" s="33" t="str">
        <f t="shared" si="134"/>
        <v>17000-0000</v>
      </c>
      <c r="D2148" s="64" t="s">
        <v>2639</v>
      </c>
      <c r="E2148" s="64" t="s">
        <v>306</v>
      </c>
      <c r="F2148" s="64" t="s">
        <v>230</v>
      </c>
      <c r="G2148" s="64" t="s">
        <v>62</v>
      </c>
      <c r="H2148" s="64" t="s">
        <v>63</v>
      </c>
      <c r="I2148" s="64" t="s">
        <v>64</v>
      </c>
      <c r="J2148" s="67">
        <v>0</v>
      </c>
      <c r="K2148" s="62">
        <v>-270379</v>
      </c>
      <c r="L2148" s="33" t="e">
        <f>HLOOKUP(B2148,#REF!,1,0)</f>
        <v>#REF!</v>
      </c>
      <c r="M2148" s="33" t="str">
        <f t="shared" si="135"/>
        <v>BS</v>
      </c>
    </row>
    <row r="2149" spans="1:13" s="33" customFormat="true" ht="12.75" customHeight="true">
      <c r="A2149" s="33" t="str">
        <f t="shared" si="132"/>
        <v>SIL - Fixed Assets</v>
      </c>
      <c r="B2149" s="33" t="str">
        <f t="shared" si="133"/>
        <v>SIL</v>
      </c>
      <c r="C2149" s="33" t="str">
        <f t="shared" si="134"/>
        <v>17000-0001</v>
      </c>
      <c r="D2149" s="64" t="s">
        <v>2640</v>
      </c>
      <c r="E2149" s="64" t="s">
        <v>2641</v>
      </c>
      <c r="F2149" s="64" t="s">
        <v>230</v>
      </c>
      <c r="G2149" s="64" t="s">
        <v>62</v>
      </c>
      <c r="H2149" s="64" t="s">
        <v>63</v>
      </c>
      <c r="I2149" s="64" t="s">
        <v>64</v>
      </c>
      <c r="J2149" s="67">
        <v>0</v>
      </c>
      <c r="K2149" s="62">
        <v>-8590</v>
      </c>
      <c r="L2149" s="33" t="e">
        <f>HLOOKUP(B2149,#REF!,1,0)</f>
        <v>#REF!</v>
      </c>
      <c r="M2149" s="33" t="str">
        <f t="shared" si="135"/>
        <v>BS</v>
      </c>
    </row>
    <row r="2150" spans="1:13" s="33" customFormat="true" ht="12.75" customHeight="true">
      <c r="A2150" s="33" t="str">
        <f t="shared" si="132"/>
        <v>SIL - Fixed Assets</v>
      </c>
      <c r="B2150" s="33" t="str">
        <f t="shared" si="133"/>
        <v>SIL</v>
      </c>
      <c r="C2150" s="33" t="str">
        <f t="shared" si="134"/>
        <v>17000-0002</v>
      </c>
      <c r="D2150" s="64" t="s">
        <v>2642</v>
      </c>
      <c r="E2150" s="64" t="s">
        <v>2643</v>
      </c>
      <c r="F2150" s="64" t="s">
        <v>230</v>
      </c>
      <c r="G2150" s="64" t="s">
        <v>62</v>
      </c>
      <c r="H2150" s="64" t="s">
        <v>63</v>
      </c>
      <c r="I2150" s="64" t="s">
        <v>64</v>
      </c>
      <c r="J2150" s="67">
        <v>0</v>
      </c>
      <c r="K2150" s="62">
        <v>-20616</v>
      </c>
      <c r="L2150" s="33" t="e">
        <f>HLOOKUP(B2150,#REF!,1,0)</f>
        <v>#REF!</v>
      </c>
      <c r="M2150" s="33" t="str">
        <f t="shared" si="135"/>
        <v>BS</v>
      </c>
    </row>
    <row r="2151" spans="1:13" s="33" customFormat="true" ht="12.75" customHeight="true">
      <c r="A2151" s="33" t="str">
        <f t="shared" si="132"/>
        <v>SIL - Fixed Assets</v>
      </c>
      <c r="B2151" s="33" t="str">
        <f t="shared" si="133"/>
        <v>SIL</v>
      </c>
      <c r="C2151" s="33" t="str">
        <f t="shared" si="134"/>
        <v>18000-0000</v>
      </c>
      <c r="D2151" s="64" t="s">
        <v>2644</v>
      </c>
      <c r="E2151" s="64" t="s">
        <v>308</v>
      </c>
      <c r="F2151" s="64" t="s">
        <v>230</v>
      </c>
      <c r="G2151" s="64" t="s">
        <v>62</v>
      </c>
      <c r="H2151" s="64" t="s">
        <v>63</v>
      </c>
      <c r="I2151" s="64" t="s">
        <v>64</v>
      </c>
      <c r="J2151" s="67">
        <v>0</v>
      </c>
      <c r="K2151" s="62">
        <v>-14903</v>
      </c>
      <c r="L2151" s="33" t="e">
        <f>HLOOKUP(B2151,#REF!,1,0)</f>
        <v>#REF!</v>
      </c>
      <c r="M2151" s="33" t="str">
        <f t="shared" si="135"/>
        <v>BS</v>
      </c>
    </row>
    <row r="2152" spans="1:13" s="33" customFormat="true" ht="12.75" customHeight="true">
      <c r="A2152" s="33" t="str">
        <f t="shared" si="132"/>
        <v>SIL - Deposits</v>
      </c>
      <c r="B2152" s="33" t="str">
        <f t="shared" si="133"/>
        <v>SIL</v>
      </c>
      <c r="C2152" s="33" t="str">
        <f t="shared" si="134"/>
        <v>19000-0000</v>
      </c>
      <c r="D2152" s="64" t="s">
        <v>2645</v>
      </c>
      <c r="E2152" s="64" t="s">
        <v>342</v>
      </c>
      <c r="F2152" s="64" t="s">
        <v>230</v>
      </c>
      <c r="G2152" s="64" t="s">
        <v>62</v>
      </c>
      <c r="H2152" s="64" t="s">
        <v>80</v>
      </c>
      <c r="I2152" s="64" t="s">
        <v>81</v>
      </c>
      <c r="J2152" s="67">
        <v>0</v>
      </c>
      <c r="K2152" s="62">
        <v>-12318.16</v>
      </c>
      <c r="L2152" s="33" t="e">
        <f>HLOOKUP(B2152,#REF!,1,0)</f>
        <v>#REF!</v>
      </c>
      <c r="M2152" s="33" t="str">
        <f t="shared" si="135"/>
        <v>BS</v>
      </c>
    </row>
    <row r="2153" spans="1:13" s="33" customFormat="true" ht="12.75" customHeight="true">
      <c r="A2153" s="33" t="str">
        <f t="shared" si="132"/>
        <v>SIL - AP-Accr Exp</v>
      </c>
      <c r="B2153" s="33" t="str">
        <f t="shared" si="133"/>
        <v>SIL</v>
      </c>
      <c r="C2153" s="33" t="str">
        <f t="shared" si="134"/>
        <v>20000-0000</v>
      </c>
      <c r="D2153" s="64" t="s">
        <v>2646</v>
      </c>
      <c r="E2153" s="64" t="s">
        <v>96</v>
      </c>
      <c r="F2153" s="64" t="s">
        <v>230</v>
      </c>
      <c r="G2153" s="64" t="s">
        <v>97</v>
      </c>
      <c r="H2153" s="64" t="s">
        <v>98</v>
      </c>
      <c r="I2153" s="64" t="s">
        <v>99</v>
      </c>
      <c r="J2153" s="67">
        <v>0</v>
      </c>
      <c r="K2153" s="62">
        <v>0</v>
      </c>
      <c r="L2153" s="33" t="e">
        <f>HLOOKUP(B2153,#REF!,1,0)</f>
        <v>#REF!</v>
      </c>
      <c r="M2153" s="33" t="str">
        <f t="shared" si="135"/>
        <v>BS</v>
      </c>
    </row>
    <row r="2154" spans="1:13" s="33" customFormat="true" ht="12.75" customHeight="true">
      <c r="A2154" s="33" t="str">
        <f t="shared" si="132"/>
        <v>SIL - AP-Accr Exp</v>
      </c>
      <c r="B2154" s="33" t="str">
        <f t="shared" si="133"/>
        <v>SIL</v>
      </c>
      <c r="C2154" s="33" t="str">
        <f t="shared" si="134"/>
        <v>20001-0000</v>
      </c>
      <c r="D2154" s="64" t="s">
        <v>2647</v>
      </c>
      <c r="E2154" s="64" t="s">
        <v>96</v>
      </c>
      <c r="F2154" s="64" t="s">
        <v>230</v>
      </c>
      <c r="G2154" s="64" t="s">
        <v>97</v>
      </c>
      <c r="H2154" s="64" t="s">
        <v>98</v>
      </c>
      <c r="I2154" s="64" t="s">
        <v>99</v>
      </c>
      <c r="J2154" s="67">
        <v>22138.59</v>
      </c>
      <c r="K2154" s="62">
        <v>0</v>
      </c>
      <c r="L2154" s="33" t="e">
        <f>HLOOKUP(B2154,#REF!,1,0)</f>
        <v>#REF!</v>
      </c>
      <c r="M2154" s="33" t="str">
        <f t="shared" si="135"/>
        <v>BS</v>
      </c>
    </row>
    <row r="2155" spans="1:13" s="33" customFormat="true" ht="12.75" customHeight="true">
      <c r="A2155" s="33" t="str">
        <f t="shared" si="132"/>
        <v>SIL - Principal</v>
      </c>
      <c r="B2155" s="33" t="str">
        <f t="shared" si="133"/>
        <v>SIL</v>
      </c>
      <c r="C2155" s="33" t="str">
        <f t="shared" si="134"/>
        <v>22003-0000</v>
      </c>
      <c r="D2155" s="64" t="s">
        <v>2648</v>
      </c>
      <c r="E2155" s="64" t="s">
        <v>2649</v>
      </c>
      <c r="F2155" s="64" t="s">
        <v>230</v>
      </c>
      <c r="G2155" s="64" t="s">
        <v>123</v>
      </c>
      <c r="H2155" s="64" t="s">
        <v>127</v>
      </c>
      <c r="I2155" s="64" t="s">
        <v>133</v>
      </c>
      <c r="J2155" s="67">
        <v>0</v>
      </c>
      <c r="K2155" s="62">
        <v>0.4</v>
      </c>
      <c r="L2155" s="33" t="e">
        <f>HLOOKUP(B2155,#REF!,1,0)</f>
        <v>#REF!</v>
      </c>
      <c r="M2155" s="33" t="str">
        <f t="shared" si="135"/>
        <v>BS</v>
      </c>
    </row>
    <row r="2156" spans="1:13" s="33" customFormat="true" ht="12.75" customHeight="true">
      <c r="A2156" s="33" t="str">
        <f t="shared" si="132"/>
        <v>SIL - Principal</v>
      </c>
      <c r="B2156" s="33" t="str">
        <f t="shared" si="133"/>
        <v>SIL</v>
      </c>
      <c r="C2156" s="33" t="str">
        <f t="shared" si="134"/>
        <v>22005-0000</v>
      </c>
      <c r="D2156" s="64" t="s">
        <v>2650</v>
      </c>
      <c r="E2156" s="64" t="s">
        <v>2651</v>
      </c>
      <c r="F2156" s="64" t="s">
        <v>230</v>
      </c>
      <c r="G2156" s="64" t="s">
        <v>123</v>
      </c>
      <c r="H2156" s="64" t="s">
        <v>127</v>
      </c>
      <c r="I2156" s="64" t="s">
        <v>133</v>
      </c>
      <c r="J2156" s="67">
        <v>0</v>
      </c>
      <c r="K2156" s="62">
        <v>0.48</v>
      </c>
      <c r="L2156" s="33" t="e">
        <f>HLOOKUP(B2156,#REF!,1,0)</f>
        <v>#REF!</v>
      </c>
      <c r="M2156" s="33" t="str">
        <f t="shared" si="135"/>
        <v>BS</v>
      </c>
    </row>
    <row r="2157" spans="1:13" s="33" customFormat="true" ht="12.75" customHeight="true">
      <c r="A2157" s="33" t="str">
        <f t="shared" si="132"/>
        <v>SIL - Principal</v>
      </c>
      <c r="B2157" s="33" t="str">
        <f t="shared" si="133"/>
        <v>SIL</v>
      </c>
      <c r="C2157" s="33" t="str">
        <f t="shared" si="134"/>
        <v>22008-0000</v>
      </c>
      <c r="D2157" s="64" t="s">
        <v>2652</v>
      </c>
      <c r="E2157" s="64" t="s">
        <v>2653</v>
      </c>
      <c r="F2157" s="64" t="s">
        <v>230</v>
      </c>
      <c r="G2157" s="64" t="s">
        <v>123</v>
      </c>
      <c r="H2157" s="64" t="s">
        <v>127</v>
      </c>
      <c r="I2157" s="64" t="s">
        <v>133</v>
      </c>
      <c r="J2157" s="67">
        <v>0</v>
      </c>
      <c r="K2157" s="62">
        <v>-690.92</v>
      </c>
      <c r="L2157" s="33" t="e">
        <f>HLOOKUP(B2157,#REF!,1,0)</f>
        <v>#REF!</v>
      </c>
      <c r="M2157" s="33" t="str">
        <f t="shared" si="135"/>
        <v>BS</v>
      </c>
    </row>
    <row r="2158" spans="1:13" s="33" customFormat="true" ht="12.75" customHeight="true">
      <c r="A2158" s="33" t="str">
        <f t="shared" si="132"/>
        <v>SIL - Principal</v>
      </c>
      <c r="B2158" s="33" t="str">
        <f t="shared" si="133"/>
        <v>SIL</v>
      </c>
      <c r="C2158" s="33" t="str">
        <f t="shared" si="134"/>
        <v>22009-0000</v>
      </c>
      <c r="D2158" s="64" t="s">
        <v>2654</v>
      </c>
      <c r="E2158" s="64" t="s">
        <v>2655</v>
      </c>
      <c r="F2158" s="64" t="s">
        <v>230</v>
      </c>
      <c r="G2158" s="64" t="s">
        <v>123</v>
      </c>
      <c r="H2158" s="64" t="s">
        <v>127</v>
      </c>
      <c r="I2158" s="64" t="s">
        <v>133</v>
      </c>
      <c r="J2158" s="67">
        <v>0</v>
      </c>
      <c r="K2158" s="62">
        <v>18927.28</v>
      </c>
      <c r="L2158" s="33" t="e">
        <f>HLOOKUP(B2158,#REF!,1,0)</f>
        <v>#REF!</v>
      </c>
      <c r="M2158" s="33" t="str">
        <f t="shared" si="135"/>
        <v>BS</v>
      </c>
    </row>
    <row r="2159" spans="1:13" s="33" customFormat="true" ht="12.75" customHeight="true">
      <c r="A2159" s="33" t="str">
        <f t="shared" si="132"/>
        <v>SIL - AP-Accr Exp</v>
      </c>
      <c r="B2159" s="33" t="str">
        <f t="shared" si="133"/>
        <v>SIL</v>
      </c>
      <c r="C2159" s="33" t="str">
        <f t="shared" si="134"/>
        <v>23509-0000</v>
      </c>
      <c r="D2159" s="64" t="s">
        <v>2656</v>
      </c>
      <c r="E2159" s="64" t="s">
        <v>111</v>
      </c>
      <c r="F2159" s="64" t="s">
        <v>230</v>
      </c>
      <c r="G2159" s="64" t="s">
        <v>97</v>
      </c>
      <c r="H2159" s="64" t="s">
        <v>98</v>
      </c>
      <c r="I2159" s="64" t="s">
        <v>102</v>
      </c>
      <c r="J2159" s="67">
        <v>13006.69</v>
      </c>
      <c r="K2159" s="62">
        <v>25351.03</v>
      </c>
      <c r="L2159" s="33" t="e">
        <f>HLOOKUP(B2159,#REF!,1,0)</f>
        <v>#REF!</v>
      </c>
      <c r="M2159" s="33" t="str">
        <f t="shared" si="135"/>
        <v>BS</v>
      </c>
    </row>
    <row r="2160" spans="1:13" s="33" customFormat="true" ht="12.75" customHeight="true">
      <c r="A2160" s="33" t="str">
        <f t="shared" si="132"/>
        <v>SIL - Tax Accr</v>
      </c>
      <c r="B2160" s="33" t="str">
        <f t="shared" si="133"/>
        <v>SIL</v>
      </c>
      <c r="C2160" s="33" t="str">
        <f t="shared" si="134"/>
        <v>24500-0000</v>
      </c>
      <c r="D2160" s="64" t="s">
        <v>2657</v>
      </c>
      <c r="E2160" s="64" t="s">
        <v>2658</v>
      </c>
      <c r="F2160" s="64" t="s">
        <v>230</v>
      </c>
      <c r="G2160" s="64" t="s">
        <v>97</v>
      </c>
      <c r="H2160" s="64" t="s">
        <v>105</v>
      </c>
      <c r="I2160" s="64" t="s">
        <v>102</v>
      </c>
      <c r="J2160" s="67">
        <v>0</v>
      </c>
      <c r="K2160" s="62">
        <v>384.82</v>
      </c>
      <c r="L2160" s="33" t="e">
        <f>HLOOKUP(B2160,#REF!,1,0)</f>
        <v>#REF!</v>
      </c>
      <c r="M2160" s="33" t="str">
        <f t="shared" si="135"/>
        <v>BS</v>
      </c>
    </row>
    <row r="2161" spans="1:13" s="33" customFormat="true" ht="12.75" customHeight="true">
      <c r="A2161" s="33" t="str">
        <f t="shared" si="132"/>
        <v>SIL - AP-Accr Exp</v>
      </c>
      <c r="B2161" s="33" t="str">
        <f t="shared" si="133"/>
        <v>SIL</v>
      </c>
      <c r="C2161" s="33" t="str">
        <f t="shared" si="134"/>
        <v>24800-0000</v>
      </c>
      <c r="D2161" s="64" t="s">
        <v>2659</v>
      </c>
      <c r="E2161" s="64" t="s">
        <v>232</v>
      </c>
      <c r="F2161" s="64" t="s">
        <v>230</v>
      </c>
      <c r="G2161" s="64" t="s">
        <v>97</v>
      </c>
      <c r="H2161" s="64" t="s">
        <v>98</v>
      </c>
      <c r="I2161" s="64" t="s">
        <v>102</v>
      </c>
      <c r="J2161" s="67">
        <v>0</v>
      </c>
      <c r="K2161" s="62">
        <v>0</v>
      </c>
      <c r="L2161" s="33" t="e">
        <f>HLOOKUP(B2161,#REF!,1,0)</f>
        <v>#REF!</v>
      </c>
      <c r="M2161" s="33" t="str">
        <f t="shared" si="135"/>
        <v>BS</v>
      </c>
    </row>
    <row r="2162" spans="1:13" s="33" customFormat="true" ht="12.75" customHeight="true">
      <c r="A2162" s="33" t="str">
        <f t="shared" si="132"/>
        <v>SIL - Principal</v>
      </c>
      <c r="B2162" s="33" t="str">
        <f t="shared" si="133"/>
        <v>SIL</v>
      </c>
      <c r="C2162" s="33" t="str">
        <f t="shared" si="134"/>
        <v>26700-0000</v>
      </c>
      <c r="D2162" s="64" t="s">
        <v>2660</v>
      </c>
      <c r="E2162" s="64" t="s">
        <v>688</v>
      </c>
      <c r="F2162" s="64" t="s">
        <v>230</v>
      </c>
      <c r="G2162" s="64" t="s">
        <v>97</v>
      </c>
      <c r="H2162" s="64" t="s">
        <v>127</v>
      </c>
      <c r="I2162" s="64" t="s">
        <v>102</v>
      </c>
      <c r="J2162" s="67">
        <v>0</v>
      </c>
      <c r="K2162" s="62">
        <v>0</v>
      </c>
      <c r="L2162" s="33" t="e">
        <f>HLOOKUP(B2162,#REF!,1,0)</f>
        <v>#REF!</v>
      </c>
      <c r="M2162" s="33" t="str">
        <f t="shared" si="135"/>
        <v>BS</v>
      </c>
    </row>
    <row r="2163" spans="1:13" s="33" customFormat="true" ht="12.75" customHeight="true">
      <c r="A2163" s="33" t="str">
        <f t="shared" si="132"/>
        <v>SIL - Principal</v>
      </c>
      <c r="B2163" s="33" t="str">
        <f t="shared" si="133"/>
        <v>SIL</v>
      </c>
      <c r="C2163" s="33" t="str">
        <f t="shared" si="134"/>
        <v>28001-0002</v>
      </c>
      <c r="D2163" s="64" t="s">
        <v>2661</v>
      </c>
      <c r="E2163" s="64" t="s">
        <v>2662</v>
      </c>
      <c r="F2163" s="64" t="s">
        <v>230</v>
      </c>
      <c r="G2163" s="64" t="s">
        <v>123</v>
      </c>
      <c r="H2163" s="64" t="s">
        <v>127</v>
      </c>
      <c r="I2163" s="64" t="s">
        <v>133</v>
      </c>
      <c r="J2163" s="67">
        <v>0</v>
      </c>
      <c r="K2163" s="62">
        <v>-624843.09</v>
      </c>
      <c r="L2163" s="33" t="e">
        <f>HLOOKUP(B2163,#REF!,1,0)</f>
        <v>#REF!</v>
      </c>
      <c r="M2163" s="33" t="str">
        <f t="shared" si="135"/>
        <v>BS</v>
      </c>
    </row>
    <row r="2164" spans="1:13" s="33" customFormat="true" ht="12.75" customHeight="true">
      <c r="A2164" s="33" t="str">
        <f t="shared" si="132"/>
        <v>SIL - SH Dist</v>
      </c>
      <c r="B2164" s="33" t="str">
        <f t="shared" si="133"/>
        <v>SIL</v>
      </c>
      <c r="C2164" s="33" t="str">
        <f t="shared" si="134"/>
        <v>30700-0000</v>
      </c>
      <c r="D2164" s="64" t="s">
        <v>2663</v>
      </c>
      <c r="E2164" s="64" t="s">
        <v>319</v>
      </c>
      <c r="F2164" s="64" t="s">
        <v>230</v>
      </c>
      <c r="G2164" s="64" t="s">
        <v>142</v>
      </c>
      <c r="H2164" s="64" t="s">
        <v>143</v>
      </c>
      <c r="I2164" s="64" t="s">
        <v>144</v>
      </c>
      <c r="J2164" s="67">
        <v>-300050</v>
      </c>
      <c r="K2164" s="62">
        <v>-540667.05</v>
      </c>
      <c r="L2164" s="33" t="e">
        <f>HLOOKUP(B2164,#REF!,1,0)</f>
        <v>#REF!</v>
      </c>
      <c r="M2164" s="33" t="str">
        <f t="shared" si="135"/>
        <v>BS</v>
      </c>
    </row>
    <row r="2165" spans="1:13" s="33" customFormat="true" ht="12.75" customHeight="true">
      <c r="A2165" s="33" t="str">
        <f t="shared" si="132"/>
        <v>SIL - Retained Earnings</v>
      </c>
      <c r="B2165" s="33" t="str">
        <f t="shared" si="133"/>
        <v>SIL</v>
      </c>
      <c r="C2165" s="33" t="str">
        <f t="shared" si="134"/>
        <v>32000-0000</v>
      </c>
      <c r="D2165" s="64" t="s">
        <v>2664</v>
      </c>
      <c r="E2165" s="64" t="s">
        <v>234</v>
      </c>
      <c r="F2165" s="64" t="s">
        <v>230</v>
      </c>
      <c r="G2165" s="64" t="s">
        <v>142</v>
      </c>
      <c r="H2165" s="64" t="s">
        <v>149</v>
      </c>
      <c r="I2165" s="64" t="s">
        <v>235</v>
      </c>
      <c r="J2165" s="67">
        <v>0</v>
      </c>
      <c r="K2165" s="62">
        <v>1172663.67</v>
      </c>
      <c r="L2165" s="33" t="e">
        <f>HLOOKUP(B2165,#REF!,1,0)</f>
        <v>#REF!</v>
      </c>
      <c r="M2165" s="33" t="str">
        <f t="shared" si="135"/>
        <v>BS</v>
      </c>
    </row>
    <row r="2166" spans="1:13" s="33" customFormat="true" ht="12.75" customHeight="true">
      <c r="A2166" s="33" t="str">
        <f t="shared" si="132"/>
        <v>SOF - AP-Accr Exp</v>
      </c>
      <c r="B2166" s="33" t="str">
        <f t="shared" si="133"/>
        <v>SOF</v>
      </c>
      <c r="C2166" s="33" t="str">
        <f t="shared" si="134"/>
        <v>24800-0000</v>
      </c>
      <c r="D2166" s="64" t="s">
        <v>2665</v>
      </c>
      <c r="E2166" s="64" t="s">
        <v>232</v>
      </c>
      <c r="F2166" s="64" t="s">
        <v>230</v>
      </c>
      <c r="G2166" s="64" t="s">
        <v>97</v>
      </c>
      <c r="H2166" s="64" t="s">
        <v>98</v>
      </c>
      <c r="I2166" s="64" t="s">
        <v>102</v>
      </c>
      <c r="J2166" s="67">
        <v>600</v>
      </c>
      <c r="K2166" s="62">
        <v>-55061.34</v>
      </c>
      <c r="L2166" s="33" t="e">
        <f>HLOOKUP(B2166,#REF!,1,0)</f>
        <v>#REF!</v>
      </c>
      <c r="M2166" s="33" t="str">
        <f t="shared" si="135"/>
        <v>BS</v>
      </c>
    </row>
    <row r="2167" spans="1:13" s="33" customFormat="true" ht="12.75" customHeight="true">
      <c r="A2167" s="33" t="str">
        <f t="shared" si="132"/>
        <v>SOF - AP-Accr Exp</v>
      </c>
      <c r="B2167" s="33" t="str">
        <f t="shared" si="133"/>
        <v>SOF</v>
      </c>
      <c r="C2167" s="33" t="str">
        <f t="shared" si="134"/>
        <v>24801-0000</v>
      </c>
      <c r="D2167" s="64" t="s">
        <v>2666</v>
      </c>
      <c r="E2167" s="64" t="s">
        <v>399</v>
      </c>
      <c r="F2167" s="64" t="s">
        <v>230</v>
      </c>
      <c r="G2167" s="64" t="s">
        <v>97</v>
      </c>
      <c r="H2167" s="64" t="s">
        <v>98</v>
      </c>
      <c r="I2167" s="64" t="s">
        <v>102</v>
      </c>
      <c r="J2167" s="67">
        <v>300</v>
      </c>
      <c r="K2167" s="62">
        <v>0</v>
      </c>
      <c r="L2167" s="33" t="e">
        <f>HLOOKUP(B2167,#REF!,1,0)</f>
        <v>#REF!</v>
      </c>
      <c r="M2167" s="33" t="str">
        <f t="shared" si="135"/>
        <v>BS</v>
      </c>
    </row>
    <row r="2168" spans="1:13" s="33" customFormat="true" ht="12.75" customHeight="true">
      <c r="A2168" s="33" t="str">
        <f t="shared" si="132"/>
        <v>SOF - Retained Earnings</v>
      </c>
      <c r="B2168" s="33" t="str">
        <f t="shared" si="133"/>
        <v>SOF</v>
      </c>
      <c r="C2168" s="33" t="str">
        <f t="shared" si="134"/>
        <v>32000-0000</v>
      </c>
      <c r="D2168" s="64" t="s">
        <v>2667</v>
      </c>
      <c r="E2168" s="64" t="s">
        <v>234</v>
      </c>
      <c r="F2168" s="64" t="s">
        <v>230</v>
      </c>
      <c r="G2168" s="64" t="s">
        <v>142</v>
      </c>
      <c r="H2168" s="64" t="s">
        <v>149</v>
      </c>
      <c r="I2168" s="64" t="s">
        <v>235</v>
      </c>
      <c r="J2168" s="67">
        <v>0</v>
      </c>
      <c r="K2168" s="62">
        <v>-2477.16</v>
      </c>
      <c r="L2168" s="33" t="e">
        <f>HLOOKUP(B2168,#REF!,1,0)</f>
        <v>#REF!</v>
      </c>
      <c r="M2168" s="33" t="str">
        <f t="shared" si="135"/>
        <v>BS</v>
      </c>
    </row>
    <row r="2169" spans="1:13" s="33" customFormat="true" ht="12.75" customHeight="true">
      <c r="A2169" s="33" t="str">
        <f t="shared" si="132"/>
        <v>SOU - Cash</v>
      </c>
      <c r="B2169" s="33" t="str">
        <f t="shared" si="133"/>
        <v>SOU</v>
      </c>
      <c r="C2169" s="33" t="str">
        <f t="shared" si="134"/>
        <v>10021-0000</v>
      </c>
      <c r="D2169" s="64" t="s">
        <v>2668</v>
      </c>
      <c r="E2169" s="64" t="s">
        <v>1194</v>
      </c>
      <c r="F2169" s="64" t="s">
        <v>230</v>
      </c>
      <c r="G2169" s="64" t="s">
        <v>16</v>
      </c>
      <c r="H2169" s="64" t="s">
        <v>25</v>
      </c>
      <c r="I2169" s="64" t="s">
        <v>18</v>
      </c>
      <c r="J2169" s="67">
        <v>-16132.89</v>
      </c>
      <c r="K2169" s="62">
        <v>4239.68</v>
      </c>
      <c r="L2169" s="33" t="e">
        <f>HLOOKUP(B2169,#REF!,1,0)</f>
        <v>#REF!</v>
      </c>
      <c r="M2169" s="33" t="str">
        <f t="shared" si="135"/>
        <v>BS</v>
      </c>
    </row>
    <row r="2170" spans="1:13" s="33" customFormat="true" ht="12.75" customHeight="true">
      <c r="A2170" s="33" t="str">
        <f t="shared" si="132"/>
        <v>SOU - Intercompany</v>
      </c>
      <c r="B2170" s="33" t="str">
        <f t="shared" si="133"/>
        <v>SOU</v>
      </c>
      <c r="C2170" s="33" t="str">
        <f t="shared" si="134"/>
        <v>11330-0000</v>
      </c>
      <c r="D2170" s="64" t="s">
        <v>2669</v>
      </c>
      <c r="E2170" s="64" t="s">
        <v>2670</v>
      </c>
      <c r="F2170" s="64" t="s">
        <v>230</v>
      </c>
      <c r="G2170" s="64" t="s">
        <v>16</v>
      </c>
      <c r="H2170" s="64" t="s">
        <v>39</v>
      </c>
      <c r="I2170" s="64" t="s">
        <v>40</v>
      </c>
      <c r="J2170" s="67">
        <v>0</v>
      </c>
      <c r="K2170" s="62">
        <v>14000</v>
      </c>
      <c r="L2170" s="33" t="e">
        <f>HLOOKUP(B2170,#REF!,1,0)</f>
        <v>#REF!</v>
      </c>
      <c r="M2170" s="33" t="str">
        <f t="shared" si="135"/>
        <v>BS</v>
      </c>
    </row>
    <row r="2171" spans="1:13" s="33" customFormat="true" ht="12.75" customHeight="true">
      <c r="A2171" s="33" t="str">
        <f t="shared" si="132"/>
        <v>SOU - Retained Earnings</v>
      </c>
      <c r="B2171" s="33" t="str">
        <f t="shared" si="133"/>
        <v>SOU</v>
      </c>
      <c r="C2171" s="33" t="str">
        <f t="shared" si="134"/>
        <v>32000-0000</v>
      </c>
      <c r="D2171" s="64" t="s">
        <v>2671</v>
      </c>
      <c r="E2171" s="64" t="s">
        <v>234</v>
      </c>
      <c r="F2171" s="64" t="s">
        <v>230</v>
      </c>
      <c r="G2171" s="64" t="s">
        <v>142</v>
      </c>
      <c r="H2171" s="64" t="s">
        <v>149</v>
      </c>
      <c r="I2171" s="64" t="s">
        <v>150</v>
      </c>
      <c r="J2171" s="67">
        <v>0</v>
      </c>
      <c r="K2171" s="62">
        <v>4492.13</v>
      </c>
      <c r="L2171" s="33" t="e">
        <f>HLOOKUP(B2171,#REF!,1,0)</f>
        <v>#REF!</v>
      </c>
      <c r="M2171" s="33" t="str">
        <f t="shared" si="135"/>
        <v>BS</v>
      </c>
    </row>
    <row r="2172" spans="1:13" s="33" customFormat="true" ht="12.75" customHeight="true">
      <c r="A2172" s="33" t="str">
        <f t="shared" si="132"/>
        <v>SOU - SH Dist</v>
      </c>
      <c r="B2172" s="33" t="str">
        <f t="shared" si="133"/>
        <v>SOU</v>
      </c>
      <c r="C2172" s="33" t="str">
        <f t="shared" si="134"/>
        <v>36001-0000</v>
      </c>
      <c r="D2172" s="64" t="s">
        <v>2672</v>
      </c>
      <c r="E2172" s="64" t="s">
        <v>1225</v>
      </c>
      <c r="F2172" s="64" t="s">
        <v>230</v>
      </c>
      <c r="G2172" s="64" t="s">
        <v>142</v>
      </c>
      <c r="H2172" s="64" t="s">
        <v>143</v>
      </c>
      <c r="I2172" s="64" t="s">
        <v>150</v>
      </c>
      <c r="J2172" s="67">
        <v>-2000</v>
      </c>
      <c r="K2172" s="62">
        <v>-23031</v>
      </c>
      <c r="L2172" s="33" t="e">
        <f>HLOOKUP(B2172,#REF!,1,0)</f>
        <v>#REF!</v>
      </c>
      <c r="M2172" s="33" t="str">
        <f t="shared" si="135"/>
        <v>BS</v>
      </c>
    </row>
    <row r="2173" spans="1:13" s="33" customFormat="true" ht="12.75" customHeight="true">
      <c r="A2173" s="33" t="str">
        <f t="shared" si="132"/>
        <v>SPA - AP-Accr Exp</v>
      </c>
      <c r="B2173" s="33" t="str">
        <f t="shared" si="133"/>
        <v>SPA</v>
      </c>
      <c r="C2173" s="33" t="str">
        <f t="shared" si="134"/>
        <v>24800-0000</v>
      </c>
      <c r="D2173" s="64" t="s">
        <v>2673</v>
      </c>
      <c r="E2173" s="64" t="s">
        <v>232</v>
      </c>
      <c r="F2173" s="64" t="s">
        <v>230</v>
      </c>
      <c r="G2173" s="64" t="s">
        <v>97</v>
      </c>
      <c r="H2173" s="64" t="s">
        <v>98</v>
      </c>
      <c r="I2173" s="64" t="s">
        <v>102</v>
      </c>
      <c r="J2173" s="67">
        <v>-700</v>
      </c>
      <c r="K2173" s="62">
        <v>-28835</v>
      </c>
      <c r="L2173" s="33" t="e">
        <f>HLOOKUP(B2173,#REF!,1,0)</f>
        <v>#REF!</v>
      </c>
      <c r="M2173" s="33" t="str">
        <f t="shared" si="135"/>
        <v>BS</v>
      </c>
    </row>
    <row r="2174" spans="1:13" s="33" customFormat="true" ht="12.75" customHeight="true">
      <c r="A2174" s="33" t="str">
        <f t="shared" si="132"/>
        <v>SPA - Retained Earnings</v>
      </c>
      <c r="B2174" s="33" t="str">
        <f t="shared" si="133"/>
        <v>SPA</v>
      </c>
      <c r="C2174" s="33" t="str">
        <f t="shared" si="134"/>
        <v>32000-0000</v>
      </c>
      <c r="D2174" s="64" t="s">
        <v>2674</v>
      </c>
      <c r="E2174" s="64" t="s">
        <v>234</v>
      </c>
      <c r="F2174" s="64" t="s">
        <v>230</v>
      </c>
      <c r="G2174" s="64" t="s">
        <v>142</v>
      </c>
      <c r="H2174" s="64" t="s">
        <v>149</v>
      </c>
      <c r="I2174" s="64" t="s">
        <v>235</v>
      </c>
      <c r="J2174" s="67">
        <v>0</v>
      </c>
      <c r="K2174" s="62">
        <v>-3050</v>
      </c>
      <c r="L2174" s="33" t="e">
        <f>HLOOKUP(B2174,#REF!,1,0)</f>
        <v>#REF!</v>
      </c>
      <c r="M2174" s="33" t="str">
        <f t="shared" si="135"/>
        <v>BS</v>
      </c>
    </row>
    <row r="2175" spans="1:13" s="33" customFormat="true" ht="12.75" customHeight="true">
      <c r="A2175" s="33" t="str">
        <f t="shared" si="132"/>
        <v>SPI - Cash</v>
      </c>
      <c r="B2175" s="33" t="str">
        <f t="shared" si="133"/>
        <v>SPI</v>
      </c>
      <c r="C2175" s="33" t="str">
        <f t="shared" si="134"/>
        <v>10001-0000</v>
      </c>
      <c r="D2175" s="64" t="s">
        <v>2675</v>
      </c>
      <c r="E2175" s="64" t="s">
        <v>240</v>
      </c>
      <c r="F2175" s="64" t="s">
        <v>230</v>
      </c>
      <c r="G2175" s="64" t="s">
        <v>16</v>
      </c>
      <c r="H2175" s="64" t="s">
        <v>25</v>
      </c>
      <c r="I2175" s="64" t="s">
        <v>18</v>
      </c>
      <c r="J2175" s="67">
        <v>0</v>
      </c>
      <c r="K2175" s="62">
        <v>-6399.39</v>
      </c>
      <c r="L2175" s="33" t="e">
        <f>HLOOKUP(B2175,#REF!,1,0)</f>
        <v>#REF!</v>
      </c>
      <c r="M2175" s="33" t="str">
        <f t="shared" si="135"/>
        <v>BS</v>
      </c>
    </row>
    <row r="2176" spans="1:13" s="33" customFormat="true" ht="12.75" customHeight="true">
      <c r="A2176" s="33" t="str">
        <f t="shared" si="132"/>
        <v>SPI - AR-PPD</v>
      </c>
      <c r="B2176" s="33" t="str">
        <f t="shared" si="133"/>
        <v>SPI</v>
      </c>
      <c r="C2176" s="33" t="str">
        <f t="shared" si="134"/>
        <v>11000-0000</v>
      </c>
      <c r="D2176" s="64" t="s">
        <v>2676</v>
      </c>
      <c r="E2176" s="64" t="s">
        <v>34</v>
      </c>
      <c r="F2176" s="64" t="s">
        <v>230</v>
      </c>
      <c r="G2176" s="64" t="s">
        <v>16</v>
      </c>
      <c r="H2176" s="64" t="s">
        <v>35</v>
      </c>
      <c r="I2176" s="64" t="s">
        <v>36</v>
      </c>
      <c r="J2176" s="67">
        <v>0</v>
      </c>
      <c r="K2176" s="62">
        <v>2511.64</v>
      </c>
      <c r="L2176" s="33" t="e">
        <f>HLOOKUP(B2176,#REF!,1,0)</f>
        <v>#REF!</v>
      </c>
      <c r="M2176" s="33" t="str">
        <f t="shared" si="135"/>
        <v>BS</v>
      </c>
    </row>
    <row r="2177" spans="1:13" s="33" customFormat="true" ht="12.75" customHeight="true">
      <c r="A2177" s="33" t="str">
        <f t="shared" si="132"/>
        <v>SPI - Intercompany</v>
      </c>
      <c r="B2177" s="33" t="str">
        <f t="shared" si="133"/>
        <v>SPI</v>
      </c>
      <c r="C2177" s="33" t="str">
        <f t="shared" si="134"/>
        <v>11216-0000</v>
      </c>
      <c r="D2177" s="64" t="s">
        <v>2677</v>
      </c>
      <c r="E2177" s="64" t="s">
        <v>242</v>
      </c>
      <c r="F2177" s="64" t="s">
        <v>230</v>
      </c>
      <c r="G2177" s="64" t="s">
        <v>16</v>
      </c>
      <c r="H2177" s="64" t="s">
        <v>39</v>
      </c>
      <c r="I2177" s="64" t="s">
        <v>40</v>
      </c>
      <c r="J2177" s="67">
        <v>0</v>
      </c>
      <c r="K2177" s="62">
        <v>-10652</v>
      </c>
      <c r="L2177" s="33" t="e">
        <f>HLOOKUP(B2177,#REF!,1,0)</f>
        <v>#REF!</v>
      </c>
      <c r="M2177" s="33" t="str">
        <f t="shared" si="135"/>
        <v>BS</v>
      </c>
    </row>
    <row r="2178" spans="1:13" s="33" customFormat="true" ht="12.75" customHeight="true">
      <c r="A2178" s="33" t="str">
        <f t="shared" ref="A2178:A2241" si="136">B2178&amp;" - "&amp;TRIM(H2178)</f>
        <v>SPI - Intercompany</v>
      </c>
      <c r="B2178" s="33" t="str">
        <f t="shared" ref="B2178:B2241" si="137">LEFT(D2178,3)</f>
        <v>SPI</v>
      </c>
      <c r="C2178" s="33" t="str">
        <f t="shared" ref="C2178:C2241" si="138">RIGHT(D2178,10)</f>
        <v>11311-0000</v>
      </c>
      <c r="D2178" s="64" t="s">
        <v>2678</v>
      </c>
      <c r="E2178" s="64" t="s">
        <v>258</v>
      </c>
      <c r="F2178" s="64" t="s">
        <v>230</v>
      </c>
      <c r="G2178" s="64" t="s">
        <v>16</v>
      </c>
      <c r="H2178" s="64" t="s">
        <v>39</v>
      </c>
      <c r="I2178" s="64" t="s">
        <v>40</v>
      </c>
      <c r="J2178" s="67">
        <v>0</v>
      </c>
      <c r="K2178" s="62">
        <v>-5000</v>
      </c>
      <c r="L2178" s="33" t="e">
        <f>HLOOKUP(B2178,#REF!,1,0)</f>
        <v>#REF!</v>
      </c>
      <c r="M2178" s="33" t="str">
        <f t="shared" ref="M2178:M2241" si="139">IF(VALUE(LEFT(C2178,5))&gt;40000,"P&amp;L","BS")</f>
        <v>BS</v>
      </c>
    </row>
    <row r="2179" spans="1:13" s="33" customFormat="true" ht="12.75" customHeight="true">
      <c r="A2179" s="33" t="str">
        <f t="shared" si="136"/>
        <v>SPI - Fixed Assets</v>
      </c>
      <c r="B2179" s="33" t="str">
        <f t="shared" si="137"/>
        <v>SPI</v>
      </c>
      <c r="C2179" s="33" t="str">
        <f t="shared" si="138"/>
        <v>14000-0000</v>
      </c>
      <c r="D2179" s="64" t="s">
        <v>2679</v>
      </c>
      <c r="E2179" s="64" t="s">
        <v>298</v>
      </c>
      <c r="F2179" s="64" t="s">
        <v>230</v>
      </c>
      <c r="G2179" s="64" t="s">
        <v>62</v>
      </c>
      <c r="H2179" s="64" t="s">
        <v>63</v>
      </c>
      <c r="I2179" s="64" t="s">
        <v>64</v>
      </c>
      <c r="J2179" s="67">
        <v>0</v>
      </c>
      <c r="K2179" s="62">
        <v>0</v>
      </c>
      <c r="L2179" s="33" t="e">
        <f>HLOOKUP(B2179,#REF!,1,0)</f>
        <v>#REF!</v>
      </c>
      <c r="M2179" s="33" t="str">
        <f t="shared" si="139"/>
        <v>BS</v>
      </c>
    </row>
    <row r="2180" spans="1:13" s="33" customFormat="true" ht="12.75" customHeight="true">
      <c r="A2180" s="33" t="str">
        <f t="shared" si="136"/>
        <v>SPI - Fixed Assets</v>
      </c>
      <c r="B2180" s="33" t="str">
        <f t="shared" si="137"/>
        <v>SPI</v>
      </c>
      <c r="C2180" s="33" t="str">
        <f t="shared" si="138"/>
        <v>15000-0000</v>
      </c>
      <c r="D2180" s="64" t="s">
        <v>2680</v>
      </c>
      <c r="E2180" s="64" t="s">
        <v>300</v>
      </c>
      <c r="F2180" s="64" t="s">
        <v>230</v>
      </c>
      <c r="G2180" s="64" t="s">
        <v>62</v>
      </c>
      <c r="H2180" s="64" t="s">
        <v>63</v>
      </c>
      <c r="I2180" s="64" t="s">
        <v>64</v>
      </c>
      <c r="J2180" s="67">
        <v>0</v>
      </c>
      <c r="K2180" s="62">
        <v>0</v>
      </c>
      <c r="L2180" s="33" t="e">
        <f>HLOOKUP(B2180,#REF!,1,0)</f>
        <v>#REF!</v>
      </c>
      <c r="M2180" s="33" t="str">
        <f t="shared" si="139"/>
        <v>BS</v>
      </c>
    </row>
    <row r="2181" spans="1:13" s="33" customFormat="true" ht="12.75" customHeight="true">
      <c r="A2181" s="33" t="str">
        <f t="shared" si="136"/>
        <v>SPI - Fixed Assets</v>
      </c>
      <c r="B2181" s="33" t="str">
        <f t="shared" si="137"/>
        <v>SPI</v>
      </c>
      <c r="C2181" s="33" t="str">
        <f t="shared" si="138"/>
        <v>15500-0000</v>
      </c>
      <c r="D2181" s="64" t="s">
        <v>2681</v>
      </c>
      <c r="E2181" s="64" t="s">
        <v>302</v>
      </c>
      <c r="F2181" s="64" t="s">
        <v>230</v>
      </c>
      <c r="G2181" s="64" t="s">
        <v>62</v>
      </c>
      <c r="H2181" s="64" t="s">
        <v>63</v>
      </c>
      <c r="I2181" s="64" t="s">
        <v>64</v>
      </c>
      <c r="J2181" s="67">
        <v>0</v>
      </c>
      <c r="K2181" s="62">
        <v>109089.59</v>
      </c>
      <c r="L2181" s="33" t="e">
        <f>HLOOKUP(B2181,#REF!,1,0)</f>
        <v>#REF!</v>
      </c>
      <c r="M2181" s="33" t="str">
        <f t="shared" si="139"/>
        <v>BS</v>
      </c>
    </row>
    <row r="2182" spans="1:13" s="33" customFormat="true" ht="12.75" customHeight="true">
      <c r="A2182" s="33" t="str">
        <f t="shared" si="136"/>
        <v>SPI - Fixed Assets</v>
      </c>
      <c r="B2182" s="33" t="str">
        <f t="shared" si="137"/>
        <v>SPI</v>
      </c>
      <c r="C2182" s="33" t="str">
        <f t="shared" si="138"/>
        <v>17000-0000</v>
      </c>
      <c r="D2182" s="64" t="s">
        <v>2682</v>
      </c>
      <c r="E2182" s="64" t="s">
        <v>306</v>
      </c>
      <c r="F2182" s="64" t="s">
        <v>230</v>
      </c>
      <c r="G2182" s="64" t="s">
        <v>62</v>
      </c>
      <c r="H2182" s="64" t="s">
        <v>63</v>
      </c>
      <c r="I2182" s="64" t="s">
        <v>64</v>
      </c>
      <c r="J2182" s="67">
        <v>0</v>
      </c>
      <c r="K2182" s="62">
        <v>-385056</v>
      </c>
      <c r="L2182" s="33" t="e">
        <f>HLOOKUP(B2182,#REF!,1,0)</f>
        <v>#REF!</v>
      </c>
      <c r="M2182" s="33" t="str">
        <f t="shared" si="139"/>
        <v>BS</v>
      </c>
    </row>
    <row r="2183" spans="1:13" s="33" customFormat="true" ht="12.75" customHeight="true">
      <c r="A2183" s="33" t="str">
        <f t="shared" si="136"/>
        <v>SPI - Fixed Assets</v>
      </c>
      <c r="B2183" s="33" t="str">
        <f t="shared" si="137"/>
        <v>SPI</v>
      </c>
      <c r="C2183" s="33" t="str">
        <f t="shared" si="138"/>
        <v>18000-0000</v>
      </c>
      <c r="D2183" s="64" t="s">
        <v>2683</v>
      </c>
      <c r="E2183" s="64" t="s">
        <v>308</v>
      </c>
      <c r="F2183" s="64" t="s">
        <v>230</v>
      </c>
      <c r="G2183" s="64" t="s">
        <v>62</v>
      </c>
      <c r="H2183" s="64" t="s">
        <v>63</v>
      </c>
      <c r="I2183" s="64" t="s">
        <v>64</v>
      </c>
      <c r="J2183" s="67">
        <v>0</v>
      </c>
      <c r="K2183" s="62">
        <v>-14127</v>
      </c>
      <c r="L2183" s="33" t="e">
        <f>HLOOKUP(B2183,#REF!,1,0)</f>
        <v>#REF!</v>
      </c>
      <c r="M2183" s="33" t="str">
        <f t="shared" si="139"/>
        <v>BS</v>
      </c>
    </row>
    <row r="2184" spans="1:13" s="33" customFormat="true" ht="12.75" customHeight="true">
      <c r="A2184" s="33" t="str">
        <f t="shared" si="136"/>
        <v>SPI - Deposits</v>
      </c>
      <c r="B2184" s="33" t="str">
        <f t="shared" si="137"/>
        <v>SPI</v>
      </c>
      <c r="C2184" s="33" t="str">
        <f t="shared" si="138"/>
        <v>19001-0000</v>
      </c>
      <c r="D2184" s="64" t="s">
        <v>2684</v>
      </c>
      <c r="E2184" s="64" t="s">
        <v>344</v>
      </c>
      <c r="F2184" s="64" t="s">
        <v>230</v>
      </c>
      <c r="G2184" s="64" t="s">
        <v>62</v>
      </c>
      <c r="H2184" s="64" t="s">
        <v>80</v>
      </c>
      <c r="I2184" s="64" t="s">
        <v>81</v>
      </c>
      <c r="J2184" s="67">
        <v>0</v>
      </c>
      <c r="K2184" s="62">
        <v>68.6</v>
      </c>
      <c r="L2184" s="33" t="e">
        <f>HLOOKUP(B2184,#REF!,1,0)</f>
        <v>#REF!</v>
      </c>
      <c r="M2184" s="33" t="str">
        <f t="shared" si="139"/>
        <v>BS</v>
      </c>
    </row>
    <row r="2185" spans="1:13" s="33" customFormat="true" ht="12.75" customHeight="true">
      <c r="A2185" s="33" t="str">
        <f t="shared" si="136"/>
        <v>SPI - AP-Accr Exp</v>
      </c>
      <c r="B2185" s="33" t="str">
        <f t="shared" si="137"/>
        <v>SPI</v>
      </c>
      <c r="C2185" s="33" t="str">
        <f t="shared" si="138"/>
        <v>20001-0000</v>
      </c>
      <c r="D2185" s="64" t="s">
        <v>2685</v>
      </c>
      <c r="E2185" s="64" t="s">
        <v>96</v>
      </c>
      <c r="F2185" s="64" t="s">
        <v>230</v>
      </c>
      <c r="G2185" s="64" t="s">
        <v>97</v>
      </c>
      <c r="H2185" s="64" t="s">
        <v>98</v>
      </c>
      <c r="I2185" s="64" t="s">
        <v>99</v>
      </c>
      <c r="J2185" s="67">
        <v>0</v>
      </c>
      <c r="K2185" s="62">
        <v>1244.67</v>
      </c>
      <c r="L2185" s="33" t="e">
        <f>HLOOKUP(B2185,#REF!,1,0)</f>
        <v>#REF!</v>
      </c>
      <c r="M2185" s="33" t="str">
        <f t="shared" si="139"/>
        <v>BS</v>
      </c>
    </row>
    <row r="2186" spans="1:13" s="33" customFormat="true" ht="12.75" customHeight="true">
      <c r="A2186" s="33" t="str">
        <f t="shared" si="136"/>
        <v>SPI - AP-Accr Exp</v>
      </c>
      <c r="B2186" s="33" t="str">
        <f t="shared" si="137"/>
        <v>SPI</v>
      </c>
      <c r="C2186" s="33" t="str">
        <f t="shared" si="138"/>
        <v>23509-0000</v>
      </c>
      <c r="D2186" s="64" t="s">
        <v>2686</v>
      </c>
      <c r="E2186" s="64" t="s">
        <v>454</v>
      </c>
      <c r="F2186" s="64" t="s">
        <v>230</v>
      </c>
      <c r="G2186" s="64" t="s">
        <v>97</v>
      </c>
      <c r="H2186" s="64" t="s">
        <v>98</v>
      </c>
      <c r="I2186" s="64" t="s">
        <v>102</v>
      </c>
      <c r="J2186" s="67">
        <v>0</v>
      </c>
      <c r="K2186" s="62">
        <v>304.46</v>
      </c>
      <c r="L2186" s="33" t="e">
        <f>HLOOKUP(B2186,#REF!,1,0)</f>
        <v>#REF!</v>
      </c>
      <c r="M2186" s="33" t="str">
        <f t="shared" si="139"/>
        <v>BS</v>
      </c>
    </row>
    <row r="2187" spans="1:13" s="33" customFormat="true" ht="12.75" customHeight="true">
      <c r="A2187" s="33" t="str">
        <f t="shared" si="136"/>
        <v>SPI - AP-Accr Exp</v>
      </c>
      <c r="B2187" s="33" t="str">
        <f t="shared" si="137"/>
        <v>SPI</v>
      </c>
      <c r="C2187" s="33" t="str">
        <f t="shared" si="138"/>
        <v>24800-0000</v>
      </c>
      <c r="D2187" s="64" t="s">
        <v>2687</v>
      </c>
      <c r="E2187" s="64" t="s">
        <v>232</v>
      </c>
      <c r="F2187" s="64" t="s">
        <v>230</v>
      </c>
      <c r="G2187" s="64" t="s">
        <v>97</v>
      </c>
      <c r="H2187" s="64" t="s">
        <v>98</v>
      </c>
      <c r="I2187" s="64" t="s">
        <v>102</v>
      </c>
      <c r="J2187" s="67">
        <v>0</v>
      </c>
      <c r="K2187" s="62">
        <v>0</v>
      </c>
      <c r="L2187" s="33" t="e">
        <f>HLOOKUP(B2187,#REF!,1,0)</f>
        <v>#REF!</v>
      </c>
      <c r="M2187" s="33" t="str">
        <f t="shared" si="139"/>
        <v>BS</v>
      </c>
    </row>
    <row r="2188" spans="1:13" s="33" customFormat="true" ht="12.75" customHeight="true">
      <c r="A2188" s="33" t="str">
        <f t="shared" si="136"/>
        <v>SPI - InterCo Notes</v>
      </c>
      <c r="B2188" s="33" t="str">
        <f t="shared" si="137"/>
        <v>SPI</v>
      </c>
      <c r="C2188" s="33" t="str">
        <f t="shared" si="138"/>
        <v>25000-0000</v>
      </c>
      <c r="D2188" s="64" t="s">
        <v>2688</v>
      </c>
      <c r="E2188" s="64" t="s">
        <v>314</v>
      </c>
      <c r="F2188" s="64" t="s">
        <v>230</v>
      </c>
      <c r="G2188" s="64" t="s">
        <v>16</v>
      </c>
      <c r="H2188" s="64" t="s">
        <v>315</v>
      </c>
      <c r="I2188" s="64" t="s">
        <v>40</v>
      </c>
      <c r="J2188" s="67">
        <v>0</v>
      </c>
      <c r="K2188" s="62">
        <v>-3250000</v>
      </c>
      <c r="L2188" s="33" t="e">
        <f>HLOOKUP(B2188,#REF!,1,0)</f>
        <v>#REF!</v>
      </c>
      <c r="M2188" s="33" t="str">
        <f t="shared" si="139"/>
        <v>BS</v>
      </c>
    </row>
    <row r="2189" spans="1:13" s="33" customFormat="true" ht="12.75" customHeight="true">
      <c r="A2189" s="33" t="str">
        <f t="shared" si="136"/>
        <v>SPI - InterCo Notes</v>
      </c>
      <c r="B2189" s="33" t="str">
        <f t="shared" si="137"/>
        <v>SPI</v>
      </c>
      <c r="C2189" s="33" t="str">
        <f t="shared" si="138"/>
        <v>25100-0000</v>
      </c>
      <c r="D2189" s="64" t="s">
        <v>2689</v>
      </c>
      <c r="E2189" s="64" t="s">
        <v>430</v>
      </c>
      <c r="F2189" s="64" t="s">
        <v>230</v>
      </c>
      <c r="G2189" s="64" t="s">
        <v>16</v>
      </c>
      <c r="H2189" s="64" t="s">
        <v>315</v>
      </c>
      <c r="I2189" s="64" t="s">
        <v>40</v>
      </c>
      <c r="J2189" s="67">
        <v>0</v>
      </c>
      <c r="K2189" s="62">
        <v>1000000</v>
      </c>
      <c r="L2189" s="33" t="e">
        <f>HLOOKUP(B2189,#REF!,1,0)</f>
        <v>#REF!</v>
      </c>
      <c r="M2189" s="33" t="str">
        <f t="shared" si="139"/>
        <v>BS</v>
      </c>
    </row>
    <row r="2190" spans="1:13" s="33" customFormat="true" ht="12.75" customHeight="true">
      <c r="A2190" s="33" t="str">
        <f t="shared" si="136"/>
        <v>SPI - Principal</v>
      </c>
      <c r="B2190" s="33" t="str">
        <f t="shared" si="137"/>
        <v>SPI</v>
      </c>
      <c r="C2190" s="33" t="str">
        <f t="shared" si="138"/>
        <v>26800-0000</v>
      </c>
      <c r="D2190" s="64" t="s">
        <v>2690</v>
      </c>
      <c r="E2190" s="64" t="s">
        <v>402</v>
      </c>
      <c r="F2190" s="64" t="s">
        <v>230</v>
      </c>
      <c r="G2190" s="64" t="s">
        <v>97</v>
      </c>
      <c r="H2190" s="64" t="s">
        <v>127</v>
      </c>
      <c r="I2190" s="64" t="s">
        <v>128</v>
      </c>
      <c r="J2190" s="67">
        <v>0</v>
      </c>
      <c r="K2190" s="62">
        <v>-150000</v>
      </c>
      <c r="L2190" s="33" t="e">
        <f>HLOOKUP(B2190,#REF!,1,0)</f>
        <v>#REF!</v>
      </c>
      <c r="M2190" s="33" t="str">
        <f t="shared" si="139"/>
        <v>BS</v>
      </c>
    </row>
    <row r="2191" spans="1:13" s="33" customFormat="true" ht="12.75" customHeight="true">
      <c r="A2191" s="33" t="str">
        <f t="shared" si="136"/>
        <v>SPI - Principal</v>
      </c>
      <c r="B2191" s="33" t="str">
        <f t="shared" si="137"/>
        <v>SPI</v>
      </c>
      <c r="C2191" s="33" t="str">
        <f t="shared" si="138"/>
        <v>28003-0000</v>
      </c>
      <c r="D2191" s="64" t="s">
        <v>2691</v>
      </c>
      <c r="E2191" s="64" t="s">
        <v>433</v>
      </c>
      <c r="F2191" s="64" t="s">
        <v>230</v>
      </c>
      <c r="G2191" s="64" t="s">
        <v>123</v>
      </c>
      <c r="H2191" s="64" t="s">
        <v>127</v>
      </c>
      <c r="I2191" s="64" t="s">
        <v>133</v>
      </c>
      <c r="J2191" s="67">
        <v>0</v>
      </c>
      <c r="K2191" s="62">
        <v>0.25</v>
      </c>
      <c r="L2191" s="33" t="e">
        <f>HLOOKUP(B2191,#REF!,1,0)</f>
        <v>#REF!</v>
      </c>
      <c r="M2191" s="33" t="str">
        <f t="shared" si="139"/>
        <v>BS</v>
      </c>
    </row>
    <row r="2192" spans="1:13" s="33" customFormat="true" ht="12.75" customHeight="true">
      <c r="A2192" s="33" t="str">
        <f t="shared" si="136"/>
        <v>SPI - SH Dist</v>
      </c>
      <c r="B2192" s="33" t="str">
        <f t="shared" si="137"/>
        <v>SPI</v>
      </c>
      <c r="C2192" s="33" t="str">
        <f t="shared" si="138"/>
        <v>30700-0000</v>
      </c>
      <c r="D2192" s="64" t="s">
        <v>2692</v>
      </c>
      <c r="E2192" s="64" t="s">
        <v>319</v>
      </c>
      <c r="F2192" s="64" t="s">
        <v>230</v>
      </c>
      <c r="G2192" s="64" t="s">
        <v>142</v>
      </c>
      <c r="H2192" s="64" t="s">
        <v>143</v>
      </c>
      <c r="I2192" s="64" t="s">
        <v>144</v>
      </c>
      <c r="J2192" s="67">
        <v>0</v>
      </c>
      <c r="K2192" s="62">
        <v>171479.86</v>
      </c>
      <c r="L2192" s="33" t="e">
        <f>HLOOKUP(B2192,#REF!,1,0)</f>
        <v>#REF!</v>
      </c>
      <c r="M2192" s="33" t="str">
        <f t="shared" si="139"/>
        <v>BS</v>
      </c>
    </row>
    <row r="2193" spans="1:13" s="33" customFormat="true" ht="12.75" customHeight="true">
      <c r="A2193" s="33" t="str">
        <f t="shared" si="136"/>
        <v>SPI - Retained Earnings</v>
      </c>
      <c r="B2193" s="33" t="str">
        <f t="shared" si="137"/>
        <v>SPI</v>
      </c>
      <c r="C2193" s="33" t="str">
        <f t="shared" si="138"/>
        <v>32000-0000</v>
      </c>
      <c r="D2193" s="64" t="s">
        <v>2693</v>
      </c>
      <c r="E2193" s="64" t="s">
        <v>234</v>
      </c>
      <c r="F2193" s="64" t="s">
        <v>230</v>
      </c>
      <c r="G2193" s="64" t="s">
        <v>142</v>
      </c>
      <c r="H2193" s="64" t="s">
        <v>149</v>
      </c>
      <c r="I2193" s="64" t="s">
        <v>235</v>
      </c>
      <c r="J2193" s="67">
        <v>0</v>
      </c>
      <c r="K2193" s="62">
        <v>273514.46</v>
      </c>
      <c r="L2193" s="33" t="e">
        <f>HLOOKUP(B2193,#REF!,1,0)</f>
        <v>#REF!</v>
      </c>
      <c r="M2193" s="33" t="str">
        <f t="shared" si="139"/>
        <v>BS</v>
      </c>
    </row>
    <row r="2194" spans="1:13" s="33" customFormat="true" ht="12.75" customHeight="true">
      <c r="A2194" s="33" t="str">
        <f t="shared" si="136"/>
        <v>SPR - Cash</v>
      </c>
      <c r="B2194" s="33" t="str">
        <f t="shared" si="137"/>
        <v>SPR</v>
      </c>
      <c r="C2194" s="33" t="str">
        <f t="shared" si="138"/>
        <v>10021-0000</v>
      </c>
      <c r="D2194" s="64" t="s">
        <v>2694</v>
      </c>
      <c r="E2194" s="64" t="s">
        <v>1194</v>
      </c>
      <c r="F2194" s="64" t="s">
        <v>2695</v>
      </c>
      <c r="G2194" s="64" t="s">
        <v>16</v>
      </c>
      <c r="H2194" s="64" t="s">
        <v>25</v>
      </c>
      <c r="I2194" s="64" t="s">
        <v>18</v>
      </c>
      <c r="J2194" s="67">
        <v>-65857.32</v>
      </c>
      <c r="K2194" s="62">
        <v>-31253.12</v>
      </c>
      <c r="L2194" s="33" t="e">
        <f>HLOOKUP(B2194,#REF!,1,0)</f>
        <v>#REF!</v>
      </c>
      <c r="M2194" s="33" t="str">
        <f t="shared" si="139"/>
        <v>BS</v>
      </c>
    </row>
    <row r="2195" spans="1:13" s="33" customFormat="true" ht="12.75" customHeight="true">
      <c r="A2195" s="33" t="str">
        <f t="shared" si="136"/>
        <v>SPR - AP-Accr Exp</v>
      </c>
      <c r="B2195" s="33" t="str">
        <f t="shared" si="137"/>
        <v>SPR</v>
      </c>
      <c r="C2195" s="33" t="str">
        <f t="shared" si="138"/>
        <v>20001-0000</v>
      </c>
      <c r="D2195" s="64" t="s">
        <v>2696</v>
      </c>
      <c r="E2195" s="64" t="s">
        <v>96</v>
      </c>
      <c r="F2195" s="64" t="s">
        <v>2695</v>
      </c>
      <c r="G2195" s="64" t="s">
        <v>97</v>
      </c>
      <c r="H2195" s="64" t="s">
        <v>98</v>
      </c>
      <c r="I2195" s="64" t="s">
        <v>99</v>
      </c>
      <c r="J2195" s="67">
        <v>32448.04</v>
      </c>
      <c r="K2195" s="62">
        <v>0</v>
      </c>
      <c r="L2195" s="33" t="e">
        <f>HLOOKUP(B2195,#REF!,1,0)</f>
        <v>#REF!</v>
      </c>
      <c r="M2195" s="33" t="str">
        <f t="shared" si="139"/>
        <v>BS</v>
      </c>
    </row>
    <row r="2196" spans="1:13" s="33" customFormat="true" ht="12.75" customHeight="true">
      <c r="A2196" s="33" t="str">
        <f t="shared" si="136"/>
        <v>SPR - Retained Earnings</v>
      </c>
      <c r="B2196" s="33" t="str">
        <f t="shared" si="137"/>
        <v>SPR</v>
      </c>
      <c r="C2196" s="33" t="str">
        <f t="shared" si="138"/>
        <v>32000-0000</v>
      </c>
      <c r="D2196" s="64" t="s">
        <v>2697</v>
      </c>
      <c r="E2196" s="64" t="s">
        <v>234</v>
      </c>
      <c r="F2196" s="64" t="s">
        <v>2695</v>
      </c>
      <c r="G2196" s="64" t="s">
        <v>142</v>
      </c>
      <c r="H2196" s="64" t="s">
        <v>149</v>
      </c>
      <c r="I2196" s="64" t="s">
        <v>150</v>
      </c>
      <c r="J2196" s="67">
        <v>0</v>
      </c>
      <c r="K2196" s="62">
        <v>-59179.19</v>
      </c>
      <c r="L2196" s="33" t="e">
        <f>HLOOKUP(B2196,#REF!,1,0)</f>
        <v>#REF!</v>
      </c>
      <c r="M2196" s="33" t="str">
        <f t="shared" si="139"/>
        <v>BS</v>
      </c>
    </row>
    <row r="2197" spans="1:13" s="33" customFormat="true" ht="12.75" customHeight="true">
      <c r="A2197" s="33" t="str">
        <f t="shared" si="136"/>
        <v>SPR - SH Dist</v>
      </c>
      <c r="B2197" s="33" t="str">
        <f t="shared" si="137"/>
        <v>SPR</v>
      </c>
      <c r="C2197" s="33" t="str">
        <f t="shared" si="138"/>
        <v>36001-0000</v>
      </c>
      <c r="D2197" s="64" t="s">
        <v>2698</v>
      </c>
      <c r="E2197" s="64" t="s">
        <v>1225</v>
      </c>
      <c r="F2197" s="64" t="s">
        <v>2695</v>
      </c>
      <c r="G2197" s="64" t="s">
        <v>142</v>
      </c>
      <c r="H2197" s="64" t="s">
        <v>143</v>
      </c>
      <c r="I2197" s="64" t="s">
        <v>150</v>
      </c>
      <c r="J2197" s="67">
        <v>20000</v>
      </c>
      <c r="K2197" s="62">
        <v>-49000</v>
      </c>
      <c r="L2197" s="33" t="e">
        <f>HLOOKUP(B2197,#REF!,1,0)</f>
        <v>#REF!</v>
      </c>
      <c r="M2197" s="33" t="str">
        <f t="shared" si="139"/>
        <v>BS</v>
      </c>
    </row>
    <row r="2198" spans="1:13" s="33" customFormat="true" ht="12.75" customHeight="true">
      <c r="A2198" s="33" t="str">
        <f t="shared" si="136"/>
        <v>STO - Cash</v>
      </c>
      <c r="B2198" s="33" t="str">
        <f t="shared" si="137"/>
        <v>STO</v>
      </c>
      <c r="C2198" s="33" t="str">
        <f t="shared" si="138"/>
        <v>10001-0000</v>
      </c>
      <c r="D2198" s="64" t="s">
        <v>2699</v>
      </c>
      <c r="E2198" s="64" t="s">
        <v>240</v>
      </c>
      <c r="F2198" s="64" t="s">
        <v>230</v>
      </c>
      <c r="G2198" s="64" t="s">
        <v>16</v>
      </c>
      <c r="H2198" s="64" t="s">
        <v>25</v>
      </c>
      <c r="I2198" s="64" t="s">
        <v>18</v>
      </c>
      <c r="J2198" s="67">
        <v>22240.8</v>
      </c>
      <c r="K2198" s="62">
        <v>58411.01</v>
      </c>
      <c r="L2198" s="33" t="e">
        <f>HLOOKUP(B2198,#REF!,1,0)</f>
        <v>#REF!</v>
      </c>
      <c r="M2198" s="33" t="str">
        <f t="shared" si="139"/>
        <v>BS</v>
      </c>
    </row>
    <row r="2199" spans="1:13" s="33" customFormat="true" ht="12.75" customHeight="true">
      <c r="A2199" s="33" t="str">
        <f t="shared" si="136"/>
        <v>STO - Intercompany</v>
      </c>
      <c r="B2199" s="33" t="str">
        <f t="shared" si="137"/>
        <v>STO</v>
      </c>
      <c r="C2199" s="33" t="str">
        <f t="shared" si="138"/>
        <v>11216-0000</v>
      </c>
      <c r="D2199" s="64" t="s">
        <v>2700</v>
      </c>
      <c r="E2199" s="64" t="s">
        <v>242</v>
      </c>
      <c r="F2199" s="64" t="s">
        <v>230</v>
      </c>
      <c r="G2199" s="64" t="s">
        <v>16</v>
      </c>
      <c r="H2199" s="64" t="s">
        <v>39</v>
      </c>
      <c r="I2199" s="64" t="s">
        <v>40</v>
      </c>
      <c r="J2199" s="67">
        <v>-103.21</v>
      </c>
      <c r="K2199" s="62">
        <v>-39491.28</v>
      </c>
      <c r="L2199" s="33" t="e">
        <f>HLOOKUP(B2199,#REF!,1,0)</f>
        <v>#REF!</v>
      </c>
      <c r="M2199" s="33" t="str">
        <f t="shared" si="139"/>
        <v>BS</v>
      </c>
    </row>
    <row r="2200" spans="1:13" s="33" customFormat="true" ht="12.75" customHeight="true">
      <c r="A2200" s="33" t="str">
        <f t="shared" si="136"/>
        <v>STO - Intercompany</v>
      </c>
      <c r="B2200" s="33" t="str">
        <f t="shared" si="137"/>
        <v>STO</v>
      </c>
      <c r="C2200" s="33" t="str">
        <f t="shared" si="138"/>
        <v>11303-0000</v>
      </c>
      <c r="D2200" s="64" t="s">
        <v>2701</v>
      </c>
      <c r="E2200" s="64" t="s">
        <v>248</v>
      </c>
      <c r="F2200" s="64" t="s">
        <v>230</v>
      </c>
      <c r="G2200" s="64" t="s">
        <v>16</v>
      </c>
      <c r="H2200" s="64" t="s">
        <v>39</v>
      </c>
      <c r="I2200" s="64" t="s">
        <v>40</v>
      </c>
      <c r="J2200" s="67">
        <v>0</v>
      </c>
      <c r="K2200" s="62">
        <v>10000</v>
      </c>
      <c r="L2200" s="33" t="e">
        <f>HLOOKUP(B2200,#REF!,1,0)</f>
        <v>#REF!</v>
      </c>
      <c r="M2200" s="33" t="str">
        <f t="shared" si="139"/>
        <v>BS</v>
      </c>
    </row>
    <row r="2201" spans="1:13" s="33" customFormat="true" ht="12.75" customHeight="true">
      <c r="A2201" s="33" t="str">
        <f t="shared" si="136"/>
        <v>STO - Intercompany</v>
      </c>
      <c r="B2201" s="33" t="str">
        <f t="shared" si="137"/>
        <v>STO</v>
      </c>
      <c r="C2201" s="33" t="str">
        <f t="shared" si="138"/>
        <v>11304-0000</v>
      </c>
      <c r="D2201" s="64" t="s">
        <v>2702</v>
      </c>
      <c r="E2201" s="64" t="s">
        <v>250</v>
      </c>
      <c r="F2201" s="64" t="s">
        <v>230</v>
      </c>
      <c r="G2201" s="64" t="s">
        <v>362</v>
      </c>
      <c r="H2201" s="64" t="s">
        <v>39</v>
      </c>
      <c r="I2201" s="64" t="s">
        <v>40</v>
      </c>
      <c r="J2201" s="67">
        <v>0</v>
      </c>
      <c r="K2201" s="62">
        <v>-35000</v>
      </c>
      <c r="L2201" s="33" t="e">
        <f>HLOOKUP(B2201,#REF!,1,0)</f>
        <v>#REF!</v>
      </c>
      <c r="M2201" s="33" t="str">
        <f t="shared" si="139"/>
        <v>BS</v>
      </c>
    </row>
    <row r="2202" spans="1:13" s="33" customFormat="true" ht="12.75" customHeight="true">
      <c r="A2202" s="33" t="str">
        <f t="shared" si="136"/>
        <v>STO - Intercompany</v>
      </c>
      <c r="B2202" s="33" t="str">
        <f t="shared" si="137"/>
        <v>STO</v>
      </c>
      <c r="C2202" s="33" t="str">
        <f t="shared" si="138"/>
        <v>11310-0000</v>
      </c>
      <c r="D2202" s="64" t="s">
        <v>2703</v>
      </c>
      <c r="E2202" s="64" t="s">
        <v>256</v>
      </c>
      <c r="F2202" s="64" t="s">
        <v>230</v>
      </c>
      <c r="G2202" s="64" t="s">
        <v>362</v>
      </c>
      <c r="H2202" s="64" t="s">
        <v>39</v>
      </c>
      <c r="I2202" s="64" t="s">
        <v>40</v>
      </c>
      <c r="J2202" s="67">
        <v>0</v>
      </c>
      <c r="K2202" s="62">
        <v>-70000</v>
      </c>
      <c r="L2202" s="33" t="e">
        <f>HLOOKUP(B2202,#REF!,1,0)</f>
        <v>#REF!</v>
      </c>
      <c r="M2202" s="33" t="str">
        <f t="shared" si="139"/>
        <v>BS</v>
      </c>
    </row>
    <row r="2203" spans="1:13" s="33" customFormat="true" ht="12.75" customHeight="true">
      <c r="A2203" s="33" t="str">
        <f t="shared" si="136"/>
        <v>STO - Intercompany</v>
      </c>
      <c r="B2203" s="33" t="str">
        <f t="shared" si="137"/>
        <v>STO</v>
      </c>
      <c r="C2203" s="33" t="str">
        <f t="shared" si="138"/>
        <v>11311-0000</v>
      </c>
      <c r="D2203" s="64" t="s">
        <v>2704</v>
      </c>
      <c r="E2203" s="64" t="s">
        <v>2705</v>
      </c>
      <c r="F2203" s="64" t="s">
        <v>230</v>
      </c>
      <c r="G2203" s="64" t="s">
        <v>362</v>
      </c>
      <c r="H2203" s="64" t="s">
        <v>39</v>
      </c>
      <c r="I2203" s="64" t="s">
        <v>40</v>
      </c>
      <c r="J2203" s="67">
        <v>0</v>
      </c>
      <c r="K2203" s="62">
        <v>-80000</v>
      </c>
      <c r="L2203" s="33" t="e">
        <f>HLOOKUP(B2203,#REF!,1,0)</f>
        <v>#REF!</v>
      </c>
      <c r="M2203" s="33" t="str">
        <f t="shared" si="139"/>
        <v>BS</v>
      </c>
    </row>
    <row r="2204" spans="1:13" s="33" customFormat="true" ht="12.75" customHeight="true">
      <c r="A2204" s="33" t="str">
        <f t="shared" si="136"/>
        <v>STO - Intercompany</v>
      </c>
      <c r="B2204" s="33" t="str">
        <f t="shared" si="137"/>
        <v>STO</v>
      </c>
      <c r="C2204" s="33" t="str">
        <f t="shared" si="138"/>
        <v>11315-0000</v>
      </c>
      <c r="D2204" s="64" t="s">
        <v>2706</v>
      </c>
      <c r="E2204" s="64" t="s">
        <v>262</v>
      </c>
      <c r="F2204" s="64" t="s">
        <v>230</v>
      </c>
      <c r="G2204" s="64" t="s">
        <v>16</v>
      </c>
      <c r="H2204" s="64" t="s">
        <v>39</v>
      </c>
      <c r="I2204" s="64" t="s">
        <v>40</v>
      </c>
      <c r="J2204" s="67">
        <v>0</v>
      </c>
      <c r="K2204" s="62">
        <v>20000</v>
      </c>
      <c r="L2204" s="33" t="e">
        <f>HLOOKUP(B2204,#REF!,1,0)</f>
        <v>#REF!</v>
      </c>
      <c r="M2204" s="33" t="str">
        <f t="shared" si="139"/>
        <v>BS</v>
      </c>
    </row>
    <row r="2205" spans="1:13" s="33" customFormat="true" ht="12.75" customHeight="true">
      <c r="A2205" s="33" t="str">
        <f t="shared" si="136"/>
        <v>STO - Intercompany</v>
      </c>
      <c r="B2205" s="33" t="str">
        <f t="shared" si="137"/>
        <v>STO</v>
      </c>
      <c r="C2205" s="33" t="str">
        <f t="shared" si="138"/>
        <v>11317-0000</v>
      </c>
      <c r="D2205" s="64" t="s">
        <v>2707</v>
      </c>
      <c r="E2205" s="64" t="s">
        <v>2708</v>
      </c>
      <c r="F2205" s="64" t="s">
        <v>230</v>
      </c>
      <c r="G2205" s="64" t="s">
        <v>16</v>
      </c>
      <c r="H2205" s="64" t="s">
        <v>39</v>
      </c>
      <c r="I2205" s="64" t="s">
        <v>40</v>
      </c>
      <c r="J2205" s="67">
        <v>0</v>
      </c>
      <c r="K2205" s="62">
        <v>-100000</v>
      </c>
      <c r="L2205" s="33" t="e">
        <f>HLOOKUP(B2205,#REF!,1,0)</f>
        <v>#REF!</v>
      </c>
      <c r="M2205" s="33" t="str">
        <f t="shared" si="139"/>
        <v>BS</v>
      </c>
    </row>
    <row r="2206" spans="1:13" s="33" customFormat="true" ht="12.75" customHeight="true">
      <c r="A2206" s="33" t="str">
        <f t="shared" si="136"/>
        <v>STO - Intercompany</v>
      </c>
      <c r="B2206" s="33" t="str">
        <f t="shared" si="137"/>
        <v>STO</v>
      </c>
      <c r="C2206" s="33" t="str">
        <f t="shared" si="138"/>
        <v>11320-0000</v>
      </c>
      <c r="D2206" s="64" t="s">
        <v>2709</v>
      </c>
      <c r="E2206" s="64" t="s">
        <v>328</v>
      </c>
      <c r="F2206" s="64" t="s">
        <v>230</v>
      </c>
      <c r="G2206" s="64" t="s">
        <v>16</v>
      </c>
      <c r="H2206" s="64" t="s">
        <v>39</v>
      </c>
      <c r="I2206" s="64" t="s">
        <v>40</v>
      </c>
      <c r="J2206" s="67">
        <v>0</v>
      </c>
      <c r="K2206" s="62">
        <v>-11000</v>
      </c>
      <c r="L2206" s="33" t="e">
        <f>HLOOKUP(B2206,#REF!,1,0)</f>
        <v>#REF!</v>
      </c>
      <c r="M2206" s="33" t="str">
        <f t="shared" si="139"/>
        <v>BS</v>
      </c>
    </row>
    <row r="2207" spans="1:13" s="33" customFormat="true" ht="12.75" customHeight="true">
      <c r="A2207" s="33" t="str">
        <f t="shared" si="136"/>
        <v>STO - Intercompany</v>
      </c>
      <c r="B2207" s="33" t="str">
        <f t="shared" si="137"/>
        <v>STO</v>
      </c>
      <c r="C2207" s="33" t="str">
        <f t="shared" si="138"/>
        <v>11321-0000</v>
      </c>
      <c r="D2207" s="64" t="s">
        <v>2710</v>
      </c>
      <c r="E2207" s="64" t="s">
        <v>268</v>
      </c>
      <c r="F2207" s="64" t="s">
        <v>230</v>
      </c>
      <c r="G2207" s="64" t="s">
        <v>16</v>
      </c>
      <c r="H2207" s="64" t="s">
        <v>39</v>
      </c>
      <c r="I2207" s="64" t="s">
        <v>40</v>
      </c>
      <c r="J2207" s="67">
        <v>0</v>
      </c>
      <c r="K2207" s="62">
        <v>10000</v>
      </c>
      <c r="L2207" s="33" t="e">
        <f>HLOOKUP(B2207,#REF!,1,0)</f>
        <v>#REF!</v>
      </c>
      <c r="M2207" s="33" t="str">
        <f t="shared" si="139"/>
        <v>BS</v>
      </c>
    </row>
    <row r="2208" spans="1:13" s="33" customFormat="true" ht="12.75" customHeight="true">
      <c r="A2208" s="33" t="str">
        <f t="shared" si="136"/>
        <v>STO - Intercompany</v>
      </c>
      <c r="B2208" s="33" t="str">
        <f t="shared" si="137"/>
        <v>STO</v>
      </c>
      <c r="C2208" s="33" t="str">
        <f t="shared" si="138"/>
        <v>11326-0000</v>
      </c>
      <c r="D2208" s="64" t="s">
        <v>2711</v>
      </c>
      <c r="E2208" s="64" t="s">
        <v>1541</v>
      </c>
      <c r="F2208" s="64" t="s">
        <v>230</v>
      </c>
      <c r="G2208" s="64" t="s">
        <v>16</v>
      </c>
      <c r="H2208" s="64" t="s">
        <v>39</v>
      </c>
      <c r="I2208" s="64" t="s">
        <v>40</v>
      </c>
      <c r="J2208" s="67">
        <v>0</v>
      </c>
      <c r="K2208" s="62">
        <v>-80000</v>
      </c>
      <c r="L2208" s="33" t="e">
        <f>HLOOKUP(B2208,#REF!,1,0)</f>
        <v>#REF!</v>
      </c>
      <c r="M2208" s="33" t="str">
        <f t="shared" si="139"/>
        <v>BS</v>
      </c>
    </row>
    <row r="2209" spans="1:13" s="33" customFormat="true" ht="12.75" customHeight="true">
      <c r="A2209" s="33" t="str">
        <f t="shared" si="136"/>
        <v>STO - Intercompany</v>
      </c>
      <c r="B2209" s="33" t="str">
        <f t="shared" si="137"/>
        <v>STO</v>
      </c>
      <c r="C2209" s="33" t="str">
        <f t="shared" si="138"/>
        <v>11329-0000</v>
      </c>
      <c r="D2209" s="64" t="s">
        <v>2712</v>
      </c>
      <c r="E2209" s="64" t="s">
        <v>377</v>
      </c>
      <c r="F2209" s="64" t="s">
        <v>230</v>
      </c>
      <c r="G2209" s="64" t="s">
        <v>16</v>
      </c>
      <c r="H2209" s="64" t="s">
        <v>39</v>
      </c>
      <c r="I2209" s="64" t="s">
        <v>40</v>
      </c>
      <c r="J2209" s="67">
        <v>0</v>
      </c>
      <c r="K2209" s="62">
        <v>-17000</v>
      </c>
      <c r="L2209" s="33" t="e">
        <f>HLOOKUP(B2209,#REF!,1,0)</f>
        <v>#REF!</v>
      </c>
      <c r="M2209" s="33" t="str">
        <f t="shared" si="139"/>
        <v>BS</v>
      </c>
    </row>
    <row r="2210" spans="1:13" s="33" customFormat="true" ht="12.75" customHeight="true">
      <c r="A2210" s="33" t="str">
        <f t="shared" si="136"/>
        <v>STO - Intercompany</v>
      </c>
      <c r="B2210" s="33" t="str">
        <f t="shared" si="137"/>
        <v>STO</v>
      </c>
      <c r="C2210" s="33" t="str">
        <f t="shared" si="138"/>
        <v>11334-0000</v>
      </c>
      <c r="D2210" s="64" t="s">
        <v>2713</v>
      </c>
      <c r="E2210" s="64" t="s">
        <v>333</v>
      </c>
      <c r="F2210" s="64" t="s">
        <v>230</v>
      </c>
      <c r="G2210" s="64" t="s">
        <v>16</v>
      </c>
      <c r="H2210" s="64" t="s">
        <v>39</v>
      </c>
      <c r="I2210" s="64" t="s">
        <v>40</v>
      </c>
      <c r="J2210" s="67">
        <v>0</v>
      </c>
      <c r="K2210" s="62">
        <v>10000</v>
      </c>
      <c r="L2210" s="33" t="e">
        <f>HLOOKUP(B2210,#REF!,1,0)</f>
        <v>#REF!</v>
      </c>
      <c r="M2210" s="33" t="str">
        <f t="shared" si="139"/>
        <v>BS</v>
      </c>
    </row>
    <row r="2211" spans="1:13" s="33" customFormat="true" ht="12.75" customHeight="true">
      <c r="A2211" s="33" t="str">
        <f t="shared" si="136"/>
        <v>STO - Intercompany</v>
      </c>
      <c r="B2211" s="33" t="str">
        <f t="shared" si="137"/>
        <v>STO</v>
      </c>
      <c r="C2211" s="33" t="str">
        <f t="shared" si="138"/>
        <v>11335-0000</v>
      </c>
      <c r="D2211" s="64" t="s">
        <v>2714</v>
      </c>
      <c r="E2211" s="64" t="s">
        <v>288</v>
      </c>
      <c r="F2211" s="64" t="s">
        <v>230</v>
      </c>
      <c r="G2211" s="64" t="s">
        <v>16</v>
      </c>
      <c r="H2211" s="64" t="s">
        <v>39</v>
      </c>
      <c r="I2211" s="64" t="s">
        <v>40</v>
      </c>
      <c r="J2211" s="67">
        <v>0</v>
      </c>
      <c r="K2211" s="62">
        <v>5000</v>
      </c>
      <c r="L2211" s="33" t="e">
        <f>HLOOKUP(B2211,#REF!,1,0)</f>
        <v>#REF!</v>
      </c>
      <c r="M2211" s="33" t="str">
        <f t="shared" si="139"/>
        <v>BS</v>
      </c>
    </row>
    <row r="2212" spans="1:13" s="33" customFormat="true" ht="12.75" customHeight="true">
      <c r="A2212" s="33" t="str">
        <f t="shared" si="136"/>
        <v>STO - Intercompany</v>
      </c>
      <c r="B2212" s="33" t="str">
        <f t="shared" si="137"/>
        <v>STO</v>
      </c>
      <c r="C2212" s="33" t="str">
        <f t="shared" si="138"/>
        <v>11336-0000</v>
      </c>
      <c r="D2212" s="64" t="s">
        <v>2715</v>
      </c>
      <c r="E2212" s="64" t="s">
        <v>290</v>
      </c>
      <c r="F2212" s="64" t="s">
        <v>230</v>
      </c>
      <c r="G2212" s="64" t="s">
        <v>16</v>
      </c>
      <c r="H2212" s="64" t="s">
        <v>39</v>
      </c>
      <c r="I2212" s="64" t="s">
        <v>40</v>
      </c>
      <c r="J2212" s="67">
        <v>0</v>
      </c>
      <c r="K2212" s="62">
        <v>-3000</v>
      </c>
      <c r="L2212" s="33" t="e">
        <f>HLOOKUP(B2212,#REF!,1,0)</f>
        <v>#REF!</v>
      </c>
      <c r="M2212" s="33" t="str">
        <f t="shared" si="139"/>
        <v>BS</v>
      </c>
    </row>
    <row r="2213" spans="1:13" s="33" customFormat="true" ht="12.75" customHeight="true">
      <c r="A2213" s="33" t="str">
        <f t="shared" si="136"/>
        <v>STO - Intercompany</v>
      </c>
      <c r="B2213" s="33" t="str">
        <f t="shared" si="137"/>
        <v>STO</v>
      </c>
      <c r="C2213" s="33" t="str">
        <f t="shared" si="138"/>
        <v>11337-0000</v>
      </c>
      <c r="D2213" s="64" t="s">
        <v>2716</v>
      </c>
      <c r="E2213" s="64" t="s">
        <v>292</v>
      </c>
      <c r="F2213" s="64" t="s">
        <v>230</v>
      </c>
      <c r="G2213" s="64" t="s">
        <v>16</v>
      </c>
      <c r="H2213" s="64" t="s">
        <v>39</v>
      </c>
      <c r="I2213" s="64" t="s">
        <v>40</v>
      </c>
      <c r="J2213" s="67">
        <v>0</v>
      </c>
      <c r="K2213" s="62">
        <v>-70000</v>
      </c>
      <c r="L2213" s="33" t="e">
        <f>HLOOKUP(B2213,#REF!,1,0)</f>
        <v>#REF!</v>
      </c>
      <c r="M2213" s="33" t="str">
        <f t="shared" si="139"/>
        <v>BS</v>
      </c>
    </row>
    <row r="2214" spans="1:13" s="33" customFormat="true" ht="12.75" customHeight="true">
      <c r="A2214" s="33" t="str">
        <f t="shared" si="136"/>
        <v>STO - Fixed Assets</v>
      </c>
      <c r="B2214" s="33" t="str">
        <f t="shared" si="137"/>
        <v>STO</v>
      </c>
      <c r="C2214" s="33" t="str">
        <f t="shared" si="138"/>
        <v>14000-0000</v>
      </c>
      <c r="D2214" s="64" t="s">
        <v>2717</v>
      </c>
      <c r="E2214" s="64" t="s">
        <v>298</v>
      </c>
      <c r="F2214" s="64" t="s">
        <v>230</v>
      </c>
      <c r="G2214" s="64" t="s">
        <v>62</v>
      </c>
      <c r="H2214" s="64" t="s">
        <v>63</v>
      </c>
      <c r="I2214" s="64" t="s">
        <v>64</v>
      </c>
      <c r="J2214" s="67">
        <v>0</v>
      </c>
      <c r="K2214" s="62">
        <v>1433333.33</v>
      </c>
      <c r="L2214" s="33" t="e">
        <f>HLOOKUP(B2214,#REF!,1,0)</f>
        <v>#REF!</v>
      </c>
      <c r="M2214" s="33" t="str">
        <f t="shared" si="139"/>
        <v>BS</v>
      </c>
    </row>
    <row r="2215" spans="1:13" s="33" customFormat="true" ht="12.75" customHeight="true">
      <c r="A2215" s="33" t="str">
        <f t="shared" si="136"/>
        <v>STO - Fixed Assets</v>
      </c>
      <c r="B2215" s="33" t="str">
        <f t="shared" si="137"/>
        <v>STO</v>
      </c>
      <c r="C2215" s="33" t="str">
        <f t="shared" si="138"/>
        <v>15000-0000</v>
      </c>
      <c r="D2215" s="64" t="s">
        <v>2718</v>
      </c>
      <c r="E2215" s="64" t="s">
        <v>300</v>
      </c>
      <c r="F2215" s="64" t="s">
        <v>230</v>
      </c>
      <c r="G2215" s="64" t="s">
        <v>62</v>
      </c>
      <c r="H2215" s="64" t="s">
        <v>63</v>
      </c>
      <c r="I2215" s="64" t="s">
        <v>64</v>
      </c>
      <c r="J2215" s="67">
        <v>0</v>
      </c>
      <c r="K2215" s="62">
        <v>2866666.67</v>
      </c>
      <c r="L2215" s="33" t="e">
        <f>HLOOKUP(B2215,#REF!,1,0)</f>
        <v>#REF!</v>
      </c>
      <c r="M2215" s="33" t="str">
        <f t="shared" si="139"/>
        <v>BS</v>
      </c>
    </row>
    <row r="2216" spans="1:13" s="33" customFormat="true" ht="12.75" customHeight="true">
      <c r="A2216" s="33" t="str">
        <f t="shared" si="136"/>
        <v>STO - Fixed Assets</v>
      </c>
      <c r="B2216" s="33" t="str">
        <f t="shared" si="137"/>
        <v>STO</v>
      </c>
      <c r="C2216" s="33" t="str">
        <f t="shared" si="138"/>
        <v>15500-0000</v>
      </c>
      <c r="D2216" s="64" t="s">
        <v>2719</v>
      </c>
      <c r="E2216" s="64" t="s">
        <v>302</v>
      </c>
      <c r="F2216" s="64" t="s">
        <v>230</v>
      </c>
      <c r="G2216" s="64" t="s">
        <v>62</v>
      </c>
      <c r="H2216" s="64" t="s">
        <v>63</v>
      </c>
      <c r="I2216" s="64" t="s">
        <v>64</v>
      </c>
      <c r="J2216" s="67">
        <v>0</v>
      </c>
      <c r="K2216" s="62">
        <v>588537.16</v>
      </c>
      <c r="L2216" s="33" t="e">
        <f>HLOOKUP(B2216,#REF!,1,0)</f>
        <v>#REF!</v>
      </c>
      <c r="M2216" s="33" t="str">
        <f t="shared" si="139"/>
        <v>BS</v>
      </c>
    </row>
    <row r="2217" spans="1:13" s="33" customFormat="true" ht="12.75" customHeight="true">
      <c r="A2217" s="33" t="str">
        <f t="shared" si="136"/>
        <v>STO - Fixed Assets</v>
      </c>
      <c r="B2217" s="33" t="str">
        <f t="shared" si="137"/>
        <v>STO</v>
      </c>
      <c r="C2217" s="33" t="str">
        <f t="shared" si="138"/>
        <v>15600-0000</v>
      </c>
      <c r="D2217" s="64" t="s">
        <v>2720</v>
      </c>
      <c r="E2217" s="64" t="s">
        <v>337</v>
      </c>
      <c r="F2217" s="64" t="s">
        <v>230</v>
      </c>
      <c r="G2217" s="64" t="s">
        <v>16</v>
      </c>
      <c r="H2217" s="64" t="s">
        <v>63</v>
      </c>
      <c r="I2217" s="64" t="s">
        <v>64</v>
      </c>
      <c r="J2217" s="67">
        <v>0</v>
      </c>
      <c r="K2217" s="62">
        <v>88711.08</v>
      </c>
      <c r="L2217" s="33" t="e">
        <f>HLOOKUP(B2217,#REF!,1,0)</f>
        <v>#REF!</v>
      </c>
      <c r="M2217" s="33" t="str">
        <f t="shared" si="139"/>
        <v>BS</v>
      </c>
    </row>
    <row r="2218" spans="1:13" s="33" customFormat="true" ht="12.75" customHeight="true">
      <c r="A2218" s="33" t="str">
        <f t="shared" si="136"/>
        <v>STO - Fixed Assets</v>
      </c>
      <c r="B2218" s="33" t="str">
        <f t="shared" si="137"/>
        <v>STO</v>
      </c>
      <c r="C2218" s="33" t="str">
        <f t="shared" si="138"/>
        <v>17000-0000</v>
      </c>
      <c r="D2218" s="64" t="s">
        <v>2721</v>
      </c>
      <c r="E2218" s="64" t="s">
        <v>306</v>
      </c>
      <c r="F2218" s="64" t="s">
        <v>230</v>
      </c>
      <c r="G2218" s="64" t="s">
        <v>62</v>
      </c>
      <c r="H2218" s="64" t="s">
        <v>63</v>
      </c>
      <c r="I2218" s="64" t="s">
        <v>64</v>
      </c>
      <c r="J2218" s="67">
        <v>0</v>
      </c>
      <c r="K2218" s="62">
        <v>-401611</v>
      </c>
      <c r="L2218" s="33" t="e">
        <f>HLOOKUP(B2218,#REF!,1,0)</f>
        <v>#REF!</v>
      </c>
      <c r="M2218" s="33" t="str">
        <f t="shared" si="139"/>
        <v>BS</v>
      </c>
    </row>
    <row r="2219" spans="1:13" s="33" customFormat="true" ht="12.75" customHeight="true">
      <c r="A2219" s="33" t="str">
        <f t="shared" si="136"/>
        <v>STO - Fixed Assets</v>
      </c>
      <c r="B2219" s="33" t="str">
        <f t="shared" si="137"/>
        <v>STO</v>
      </c>
      <c r="C2219" s="33" t="str">
        <f t="shared" si="138"/>
        <v>18000-0000</v>
      </c>
      <c r="D2219" s="64" t="s">
        <v>2722</v>
      </c>
      <c r="E2219" s="64" t="s">
        <v>308</v>
      </c>
      <c r="F2219" s="64" t="s">
        <v>230</v>
      </c>
      <c r="G2219" s="64" t="s">
        <v>62</v>
      </c>
      <c r="H2219" s="64" t="s">
        <v>63</v>
      </c>
      <c r="I2219" s="64" t="s">
        <v>64</v>
      </c>
      <c r="J2219" s="67">
        <v>0</v>
      </c>
      <c r="K2219" s="62">
        <v>-85905</v>
      </c>
      <c r="L2219" s="33" t="e">
        <f>HLOOKUP(B2219,#REF!,1,0)</f>
        <v>#REF!</v>
      </c>
      <c r="M2219" s="33" t="str">
        <f t="shared" si="139"/>
        <v>BS</v>
      </c>
    </row>
    <row r="2220" spans="1:13" s="33" customFormat="true" ht="12.75" customHeight="true">
      <c r="A2220" s="33" t="str">
        <f t="shared" si="136"/>
        <v>STO - Deposits</v>
      </c>
      <c r="B2220" s="33" t="str">
        <f t="shared" si="137"/>
        <v>STO</v>
      </c>
      <c r="C2220" s="33" t="str">
        <f t="shared" si="138"/>
        <v>19001-0000</v>
      </c>
      <c r="D2220" s="64" t="s">
        <v>2723</v>
      </c>
      <c r="E2220" s="64" t="s">
        <v>344</v>
      </c>
      <c r="F2220" s="64" t="s">
        <v>230</v>
      </c>
      <c r="G2220" s="64" t="s">
        <v>62</v>
      </c>
      <c r="H2220" s="64" t="s">
        <v>80</v>
      </c>
      <c r="I2220" s="64" t="s">
        <v>81</v>
      </c>
      <c r="J2220" s="67">
        <v>0</v>
      </c>
      <c r="K2220" s="62">
        <v>12010</v>
      </c>
      <c r="L2220" s="33" t="e">
        <f>HLOOKUP(B2220,#REF!,1,0)</f>
        <v>#REF!</v>
      </c>
      <c r="M2220" s="33" t="str">
        <f t="shared" si="139"/>
        <v>BS</v>
      </c>
    </row>
    <row r="2221" spans="1:13" s="33" customFormat="true" ht="12.75" customHeight="true">
      <c r="A2221" s="33" t="str">
        <f t="shared" si="136"/>
        <v>STO - AP-Accr Exp</v>
      </c>
      <c r="B2221" s="33" t="str">
        <f t="shared" si="137"/>
        <v>STO</v>
      </c>
      <c r="C2221" s="33" t="str">
        <f t="shared" si="138"/>
        <v>20001-0000</v>
      </c>
      <c r="D2221" s="64" t="s">
        <v>2724</v>
      </c>
      <c r="E2221" s="64" t="s">
        <v>96</v>
      </c>
      <c r="F2221" s="64" t="s">
        <v>230</v>
      </c>
      <c r="G2221" s="64" t="s">
        <v>97</v>
      </c>
      <c r="H2221" s="64" t="s">
        <v>98</v>
      </c>
      <c r="I2221" s="64" t="s">
        <v>99</v>
      </c>
      <c r="J2221" s="67">
        <v>-310.94</v>
      </c>
      <c r="K2221" s="62">
        <v>0</v>
      </c>
      <c r="L2221" s="33" t="e">
        <f>HLOOKUP(B2221,#REF!,1,0)</f>
        <v>#REF!</v>
      </c>
      <c r="M2221" s="33" t="str">
        <f t="shared" si="139"/>
        <v>BS</v>
      </c>
    </row>
    <row r="2222" spans="1:13" s="33" customFormat="true" ht="12.75" customHeight="true">
      <c r="A2222" s="33" t="str">
        <f t="shared" si="136"/>
        <v>STO - AP-Accr Exp</v>
      </c>
      <c r="B2222" s="33" t="str">
        <f t="shared" si="137"/>
        <v>STO</v>
      </c>
      <c r="C2222" s="33" t="str">
        <f t="shared" si="138"/>
        <v>23509-0000</v>
      </c>
      <c r="D2222" s="64" t="s">
        <v>2725</v>
      </c>
      <c r="E2222" s="64" t="s">
        <v>111</v>
      </c>
      <c r="F2222" s="64" t="s">
        <v>230</v>
      </c>
      <c r="G2222" s="64" t="s">
        <v>97</v>
      </c>
      <c r="H2222" s="64" t="s">
        <v>98</v>
      </c>
      <c r="I2222" s="64" t="s">
        <v>102</v>
      </c>
      <c r="J2222" s="67">
        <v>0</v>
      </c>
      <c r="K2222" s="62">
        <v>0</v>
      </c>
      <c r="L2222" s="33" t="e">
        <f>HLOOKUP(B2222,#REF!,1,0)</f>
        <v>#REF!</v>
      </c>
      <c r="M2222" s="33" t="str">
        <f t="shared" si="139"/>
        <v>BS</v>
      </c>
    </row>
    <row r="2223" spans="1:13" s="33" customFormat="true" ht="12.75" customHeight="true">
      <c r="A2223" s="33" t="str">
        <f t="shared" si="136"/>
        <v>STO - AP-Accr Exp</v>
      </c>
      <c r="B2223" s="33" t="str">
        <f t="shared" si="137"/>
        <v>STO</v>
      </c>
      <c r="C2223" s="33" t="str">
        <f t="shared" si="138"/>
        <v>24800-0000</v>
      </c>
      <c r="D2223" s="64" t="s">
        <v>2726</v>
      </c>
      <c r="E2223" s="64" t="s">
        <v>232</v>
      </c>
      <c r="F2223" s="64" t="s">
        <v>230</v>
      </c>
      <c r="G2223" s="64" t="s">
        <v>97</v>
      </c>
      <c r="H2223" s="64" t="s">
        <v>98</v>
      </c>
      <c r="I2223" s="64" t="s">
        <v>102</v>
      </c>
      <c r="J2223" s="67">
        <v>0</v>
      </c>
      <c r="K2223" s="62">
        <v>-11514.5</v>
      </c>
      <c r="L2223" s="33" t="e">
        <f>HLOOKUP(B2223,#REF!,1,0)</f>
        <v>#REF!</v>
      </c>
      <c r="M2223" s="33" t="str">
        <f t="shared" si="139"/>
        <v>BS</v>
      </c>
    </row>
    <row r="2224" spans="1:13" s="33" customFormat="true" ht="12.75" customHeight="true">
      <c r="A2224" s="33" t="str">
        <f t="shared" si="136"/>
        <v>STO - InterCo Notes</v>
      </c>
      <c r="B2224" s="33" t="str">
        <f t="shared" si="137"/>
        <v>STO</v>
      </c>
      <c r="C2224" s="33" t="str">
        <f t="shared" si="138"/>
        <v>25100-0000</v>
      </c>
      <c r="D2224" s="64" t="s">
        <v>2727</v>
      </c>
      <c r="E2224" s="64" t="s">
        <v>430</v>
      </c>
      <c r="F2224" s="64" t="s">
        <v>230</v>
      </c>
      <c r="G2224" s="64" t="s">
        <v>16</v>
      </c>
      <c r="H2224" s="64" t="s">
        <v>315</v>
      </c>
      <c r="I2224" s="64" t="s">
        <v>40</v>
      </c>
      <c r="J2224" s="67">
        <v>0</v>
      </c>
      <c r="K2224" s="62">
        <v>-4430000</v>
      </c>
      <c r="L2224" s="33" t="e">
        <f>HLOOKUP(B2224,#REF!,1,0)</f>
        <v>#REF!</v>
      </c>
      <c r="M2224" s="33" t="str">
        <f t="shared" si="139"/>
        <v>BS</v>
      </c>
    </row>
    <row r="2225" spans="1:13" s="33" customFormat="true" ht="12.75" customHeight="true">
      <c r="A2225" s="33" t="str">
        <f t="shared" si="136"/>
        <v>STO - Principal</v>
      </c>
      <c r="B2225" s="33" t="str">
        <f t="shared" si="137"/>
        <v>STO</v>
      </c>
      <c r="C2225" s="33" t="str">
        <f t="shared" si="138"/>
        <v>26800-0000</v>
      </c>
      <c r="D2225" s="64" t="s">
        <v>2728</v>
      </c>
      <c r="E2225" s="64" t="s">
        <v>402</v>
      </c>
      <c r="F2225" s="64" t="s">
        <v>230</v>
      </c>
      <c r="G2225" s="64" t="s">
        <v>97</v>
      </c>
      <c r="H2225" s="64" t="s">
        <v>127</v>
      </c>
      <c r="I2225" s="64" t="s">
        <v>128</v>
      </c>
      <c r="J2225" s="67">
        <v>0</v>
      </c>
      <c r="K2225" s="62">
        <v>-132800</v>
      </c>
      <c r="L2225" s="33" t="e">
        <f>HLOOKUP(B2225,#REF!,1,0)</f>
        <v>#REF!</v>
      </c>
      <c r="M2225" s="33" t="str">
        <f t="shared" si="139"/>
        <v>BS</v>
      </c>
    </row>
    <row r="2226" spans="1:13" s="33" customFormat="true" ht="12.75" customHeight="true">
      <c r="A2226" s="33" t="str">
        <f t="shared" si="136"/>
        <v>STO - SH Dist</v>
      </c>
      <c r="B2226" s="33" t="str">
        <f t="shared" si="137"/>
        <v>STO</v>
      </c>
      <c r="C2226" s="33" t="str">
        <f t="shared" si="138"/>
        <v>30700-0000</v>
      </c>
      <c r="D2226" s="64" t="s">
        <v>2729</v>
      </c>
      <c r="E2226" s="64" t="s">
        <v>319</v>
      </c>
      <c r="F2226" s="64" t="s">
        <v>230</v>
      </c>
      <c r="G2226" s="64" t="s">
        <v>142</v>
      </c>
      <c r="H2226" s="64" t="s">
        <v>143</v>
      </c>
      <c r="I2226" s="64" t="s">
        <v>144</v>
      </c>
      <c r="J2226" s="67">
        <v>0</v>
      </c>
      <c r="K2226" s="62">
        <v>49500</v>
      </c>
      <c r="L2226" s="33" t="e">
        <f>HLOOKUP(B2226,#REF!,1,0)</f>
        <v>#REF!</v>
      </c>
      <c r="M2226" s="33" t="str">
        <f t="shared" si="139"/>
        <v>BS</v>
      </c>
    </row>
    <row r="2227" spans="1:13" s="33" customFormat="true" ht="12.75" customHeight="true">
      <c r="A2227" s="33" t="str">
        <f t="shared" si="136"/>
        <v>STO - Retained Earnings</v>
      </c>
      <c r="B2227" s="33" t="str">
        <f t="shared" si="137"/>
        <v>STO</v>
      </c>
      <c r="C2227" s="33" t="str">
        <f t="shared" si="138"/>
        <v>32000-0000</v>
      </c>
      <c r="D2227" s="64" t="s">
        <v>2730</v>
      </c>
      <c r="E2227" s="64" t="s">
        <v>234</v>
      </c>
      <c r="F2227" s="64" t="s">
        <v>230</v>
      </c>
      <c r="G2227" s="64" t="s">
        <v>142</v>
      </c>
      <c r="H2227" s="64" t="s">
        <v>149</v>
      </c>
      <c r="I2227" s="64" t="s">
        <v>235</v>
      </c>
      <c r="J2227" s="67">
        <v>0</v>
      </c>
      <c r="K2227" s="62">
        <v>479051.08</v>
      </c>
      <c r="L2227" s="33" t="e">
        <f>HLOOKUP(B2227,#REF!,1,0)</f>
        <v>#REF!</v>
      </c>
      <c r="M2227" s="33" t="str">
        <f t="shared" si="139"/>
        <v>BS</v>
      </c>
    </row>
    <row r="2228" spans="1:13" s="33" customFormat="true" ht="12.75" customHeight="true">
      <c r="A2228" s="33" t="str">
        <f t="shared" si="136"/>
        <v>TPI - AP-Accr Exp</v>
      </c>
      <c r="B2228" s="33" t="str">
        <f t="shared" si="137"/>
        <v>TPI</v>
      </c>
      <c r="C2228" s="33" t="str">
        <f t="shared" si="138"/>
        <v>20001-0000</v>
      </c>
      <c r="D2228" s="64" t="s">
        <v>2731</v>
      </c>
      <c r="E2228" s="64" t="s">
        <v>96</v>
      </c>
      <c r="F2228" s="64" t="s">
        <v>230</v>
      </c>
      <c r="G2228" s="64" t="s">
        <v>97</v>
      </c>
      <c r="H2228" s="64" t="s">
        <v>98</v>
      </c>
      <c r="I2228" s="64" t="s">
        <v>99</v>
      </c>
      <c r="J2228" s="67">
        <v>37675.24</v>
      </c>
      <c r="K2228" s="62">
        <v>0</v>
      </c>
      <c r="L2228" s="33" t="e">
        <f>HLOOKUP(B2228,#REF!,1,0)</f>
        <v>#REF!</v>
      </c>
      <c r="M2228" s="33" t="str">
        <f t="shared" si="139"/>
        <v>BS</v>
      </c>
    </row>
    <row r="2229" spans="1:13" s="33" customFormat="true" ht="12.75" customHeight="true">
      <c r="A2229" s="33" t="str">
        <f t="shared" si="136"/>
        <v>TPI - AP-Accr Exp</v>
      </c>
      <c r="B2229" s="33" t="str">
        <f t="shared" si="137"/>
        <v>TPI</v>
      </c>
      <c r="C2229" s="33" t="str">
        <f t="shared" si="138"/>
        <v>24800-0000</v>
      </c>
      <c r="D2229" s="64" t="s">
        <v>2732</v>
      </c>
      <c r="E2229" s="64" t="s">
        <v>232</v>
      </c>
      <c r="F2229" s="64" t="s">
        <v>230</v>
      </c>
      <c r="G2229" s="64" t="s">
        <v>97</v>
      </c>
      <c r="H2229" s="64" t="s">
        <v>98</v>
      </c>
      <c r="I2229" s="64" t="s">
        <v>102</v>
      </c>
      <c r="J2229" s="67">
        <v>387</v>
      </c>
      <c r="K2229" s="62">
        <v>-83960.75</v>
      </c>
      <c r="L2229" s="33" t="e">
        <f>HLOOKUP(B2229,#REF!,1,0)</f>
        <v>#REF!</v>
      </c>
      <c r="M2229" s="33" t="str">
        <f t="shared" si="139"/>
        <v>BS</v>
      </c>
    </row>
    <row r="2230" spans="1:13" s="33" customFormat="true" ht="12.75" customHeight="true">
      <c r="A2230" s="33" t="str">
        <f t="shared" si="136"/>
        <v>TPI - </v>
      </c>
      <c r="B2230" s="33" t="str">
        <f t="shared" si="137"/>
        <v>TPI</v>
      </c>
      <c r="C2230" s="33" t="str">
        <f t="shared" si="138"/>
        <v>24801-0000</v>
      </c>
      <c r="D2230" s="64" t="s">
        <v>2733</v>
      </c>
      <c r="E2230" s="64" t="s">
        <v>399</v>
      </c>
      <c r="F2230" s="64" t="s">
        <v>230</v>
      </c>
      <c r="G2230" s="64" t="s">
        <v>580</v>
      </c>
      <c r="H2230" s="64" t="s">
        <v>580</v>
      </c>
      <c r="I2230" s="64" t="s">
        <v>102</v>
      </c>
      <c r="J2230" s="67">
        <v>-400</v>
      </c>
      <c r="K2230" s="62">
        <v>0</v>
      </c>
      <c r="L2230" s="33" t="e">
        <f>HLOOKUP(B2230,#REF!,1,0)</f>
        <v>#REF!</v>
      </c>
      <c r="M2230" s="33" t="str">
        <f t="shared" si="139"/>
        <v>BS</v>
      </c>
    </row>
    <row r="2231" spans="1:13" s="33" customFormat="true" ht="12.75" customHeight="true">
      <c r="A2231" s="33" t="str">
        <f t="shared" si="136"/>
        <v>TPI - Retained Earnings</v>
      </c>
      <c r="B2231" s="33" t="str">
        <f t="shared" si="137"/>
        <v>TPI</v>
      </c>
      <c r="C2231" s="33" t="str">
        <f t="shared" si="138"/>
        <v>32000-0000</v>
      </c>
      <c r="D2231" s="64" t="s">
        <v>2734</v>
      </c>
      <c r="E2231" s="64" t="s">
        <v>234</v>
      </c>
      <c r="F2231" s="64" t="s">
        <v>230</v>
      </c>
      <c r="G2231" s="64" t="s">
        <v>142</v>
      </c>
      <c r="H2231" s="64" t="s">
        <v>149</v>
      </c>
      <c r="I2231" s="64" t="s">
        <v>235</v>
      </c>
      <c r="J2231" s="67">
        <v>0</v>
      </c>
      <c r="K2231" s="62">
        <v>-18978.97</v>
      </c>
      <c r="L2231" s="33" t="e">
        <f>HLOOKUP(B2231,#REF!,1,0)</f>
        <v>#REF!</v>
      </c>
      <c r="M2231" s="33" t="str">
        <f t="shared" si="139"/>
        <v>BS</v>
      </c>
    </row>
    <row r="2232" spans="1:13" s="33" customFormat="true" ht="12.75" customHeight="true">
      <c r="A2232" s="33" t="str">
        <f t="shared" si="136"/>
        <v>VAL - Cash</v>
      </c>
      <c r="B2232" s="33" t="str">
        <f t="shared" si="137"/>
        <v>VAL</v>
      </c>
      <c r="C2232" s="33" t="str">
        <f t="shared" si="138"/>
        <v>10001-0000</v>
      </c>
      <c r="D2232" s="64" t="s">
        <v>2735</v>
      </c>
      <c r="E2232" s="64" t="s">
        <v>240</v>
      </c>
      <c r="F2232" s="64" t="s">
        <v>230</v>
      </c>
      <c r="G2232" s="64" t="s">
        <v>16</v>
      </c>
      <c r="H2232" s="64" t="s">
        <v>25</v>
      </c>
      <c r="I2232" s="64" t="s">
        <v>18</v>
      </c>
      <c r="J2232" s="67">
        <v>-26871.13</v>
      </c>
      <c r="K2232" s="62">
        <v>48133.45</v>
      </c>
      <c r="L2232" s="33" t="e">
        <f>HLOOKUP(B2232,#REF!,1,0)</f>
        <v>#REF!</v>
      </c>
      <c r="M2232" s="33" t="str">
        <f t="shared" si="139"/>
        <v>BS</v>
      </c>
    </row>
    <row r="2233" spans="1:13" s="33" customFormat="true" ht="12.75" customHeight="true">
      <c r="A2233" s="33" t="str">
        <f t="shared" si="136"/>
        <v>VAL - Intercompany</v>
      </c>
      <c r="B2233" s="33" t="str">
        <f t="shared" si="137"/>
        <v>VAL</v>
      </c>
      <c r="C2233" s="33" t="str">
        <f t="shared" si="138"/>
        <v>11216-0000</v>
      </c>
      <c r="D2233" s="64" t="s">
        <v>2736</v>
      </c>
      <c r="E2233" s="64" t="s">
        <v>242</v>
      </c>
      <c r="F2233" s="64" t="s">
        <v>230</v>
      </c>
      <c r="G2233" s="64" t="s">
        <v>16</v>
      </c>
      <c r="H2233" s="64" t="s">
        <v>39</v>
      </c>
      <c r="I2233" s="64" t="s">
        <v>40</v>
      </c>
      <c r="J2233" s="67">
        <v>-166.42</v>
      </c>
      <c r="K2233" s="62">
        <v>-1417.02</v>
      </c>
      <c r="L2233" s="33" t="e">
        <f>HLOOKUP(B2233,#REF!,1,0)</f>
        <v>#REF!</v>
      </c>
      <c r="M2233" s="33" t="str">
        <f t="shared" si="139"/>
        <v>BS</v>
      </c>
    </row>
    <row r="2234" spans="1:13" s="33" customFormat="true" ht="12.75" customHeight="true">
      <c r="A2234" s="33" t="str">
        <f t="shared" si="136"/>
        <v>VAL - Intercompany</v>
      </c>
      <c r="B2234" s="33" t="str">
        <f t="shared" si="137"/>
        <v>VAL</v>
      </c>
      <c r="C2234" s="33" t="str">
        <f t="shared" si="138"/>
        <v>11301-0000</v>
      </c>
      <c r="D2234" s="64" t="s">
        <v>2737</v>
      </c>
      <c r="E2234" s="64" t="s">
        <v>244</v>
      </c>
      <c r="F2234" s="64" t="s">
        <v>230</v>
      </c>
      <c r="G2234" s="64" t="s">
        <v>16</v>
      </c>
      <c r="H2234" s="64" t="s">
        <v>39</v>
      </c>
      <c r="I2234" s="64" t="s">
        <v>40</v>
      </c>
      <c r="J2234" s="67">
        <v>0</v>
      </c>
      <c r="K2234" s="62">
        <v>-10000</v>
      </c>
      <c r="L2234" s="33" t="e">
        <f>HLOOKUP(B2234,#REF!,1,0)</f>
        <v>#REF!</v>
      </c>
      <c r="M2234" s="33" t="str">
        <f t="shared" si="139"/>
        <v>BS</v>
      </c>
    </row>
    <row r="2235" spans="1:13" s="33" customFormat="true" ht="12.75" customHeight="true">
      <c r="A2235" s="33" t="str">
        <f t="shared" si="136"/>
        <v>VAL - Intercompany</v>
      </c>
      <c r="B2235" s="33" t="str">
        <f t="shared" si="137"/>
        <v>VAL</v>
      </c>
      <c r="C2235" s="33" t="str">
        <f t="shared" si="138"/>
        <v>11310-0000</v>
      </c>
      <c r="D2235" s="64" t="s">
        <v>2738</v>
      </c>
      <c r="E2235" s="64" t="s">
        <v>256</v>
      </c>
      <c r="F2235" s="64" t="s">
        <v>230</v>
      </c>
      <c r="G2235" s="64" t="s">
        <v>16</v>
      </c>
      <c r="H2235" s="64" t="s">
        <v>39</v>
      </c>
      <c r="I2235" s="64" t="s">
        <v>40</v>
      </c>
      <c r="J2235" s="67">
        <v>0</v>
      </c>
      <c r="K2235" s="62">
        <v>15000</v>
      </c>
      <c r="L2235" s="33" t="e">
        <f>HLOOKUP(B2235,#REF!,1,0)</f>
        <v>#REF!</v>
      </c>
      <c r="M2235" s="33" t="str">
        <f t="shared" si="139"/>
        <v>BS</v>
      </c>
    </row>
    <row r="2236" spans="1:13" s="33" customFormat="true" ht="12.75" customHeight="true">
      <c r="A2236" s="33" t="str">
        <f t="shared" si="136"/>
        <v>VAL - Intercompany</v>
      </c>
      <c r="B2236" s="33" t="str">
        <f t="shared" si="137"/>
        <v>VAL</v>
      </c>
      <c r="C2236" s="33" t="str">
        <f t="shared" si="138"/>
        <v>11317-0000</v>
      </c>
      <c r="D2236" s="64" t="s">
        <v>2739</v>
      </c>
      <c r="E2236" s="64" t="s">
        <v>368</v>
      </c>
      <c r="F2236" s="64" t="s">
        <v>230</v>
      </c>
      <c r="G2236" s="64" t="s">
        <v>16</v>
      </c>
      <c r="H2236" s="64" t="s">
        <v>39</v>
      </c>
      <c r="I2236" s="64" t="s">
        <v>40</v>
      </c>
      <c r="J2236" s="67">
        <v>0</v>
      </c>
      <c r="K2236" s="62">
        <v>-41000</v>
      </c>
      <c r="L2236" s="33" t="e">
        <f>HLOOKUP(B2236,#REF!,1,0)</f>
        <v>#REF!</v>
      </c>
      <c r="M2236" s="33" t="str">
        <f t="shared" si="139"/>
        <v>BS</v>
      </c>
    </row>
    <row r="2237" spans="1:13" s="33" customFormat="true" ht="12.75" customHeight="true">
      <c r="A2237" s="33" t="str">
        <f t="shared" si="136"/>
        <v>VAL - Intercompany</v>
      </c>
      <c r="B2237" s="33" t="str">
        <f t="shared" si="137"/>
        <v>VAL</v>
      </c>
      <c r="C2237" s="33" t="str">
        <f t="shared" si="138"/>
        <v>11331-0000</v>
      </c>
      <c r="D2237" s="64" t="s">
        <v>2740</v>
      </c>
      <c r="E2237" s="64" t="s">
        <v>379</v>
      </c>
      <c r="F2237" s="64" t="s">
        <v>230</v>
      </c>
      <c r="G2237" s="64" t="s">
        <v>362</v>
      </c>
      <c r="H2237" s="64" t="s">
        <v>39</v>
      </c>
      <c r="I2237" s="64" t="s">
        <v>40</v>
      </c>
      <c r="J2237" s="67">
        <v>0</v>
      </c>
      <c r="K2237" s="62">
        <v>-5000</v>
      </c>
      <c r="L2237" s="33" t="e">
        <f>HLOOKUP(B2237,#REF!,1,0)</f>
        <v>#REF!</v>
      </c>
      <c r="M2237" s="33" t="str">
        <f t="shared" si="139"/>
        <v>BS</v>
      </c>
    </row>
    <row r="2238" spans="1:13" s="33" customFormat="true" ht="12.75" customHeight="true">
      <c r="A2238" s="33" t="str">
        <f t="shared" si="136"/>
        <v>VAL - Intercompany</v>
      </c>
      <c r="B2238" s="33" t="str">
        <f t="shared" si="137"/>
        <v>VAL</v>
      </c>
      <c r="C2238" s="33" t="str">
        <f t="shared" si="138"/>
        <v>11334-0000</v>
      </c>
      <c r="D2238" s="64" t="s">
        <v>2741</v>
      </c>
      <c r="E2238" s="64" t="s">
        <v>333</v>
      </c>
      <c r="F2238" s="64" t="s">
        <v>230</v>
      </c>
      <c r="G2238" s="64" t="s">
        <v>16</v>
      </c>
      <c r="H2238" s="64" t="s">
        <v>39</v>
      </c>
      <c r="I2238" s="64" t="s">
        <v>40</v>
      </c>
      <c r="J2238" s="67">
        <v>0</v>
      </c>
      <c r="K2238" s="62">
        <v>-16000</v>
      </c>
      <c r="L2238" s="33" t="e">
        <f>HLOOKUP(B2238,#REF!,1,0)</f>
        <v>#REF!</v>
      </c>
      <c r="M2238" s="33" t="str">
        <f t="shared" si="139"/>
        <v>BS</v>
      </c>
    </row>
    <row r="2239" spans="1:13" s="33" customFormat="true" ht="12.75" customHeight="true">
      <c r="A2239" s="33" t="str">
        <f t="shared" si="136"/>
        <v>VAL - Intercompany</v>
      </c>
      <c r="B2239" s="33" t="str">
        <f t="shared" si="137"/>
        <v>VAL</v>
      </c>
      <c r="C2239" s="33" t="str">
        <f t="shared" si="138"/>
        <v>11342-0000</v>
      </c>
      <c r="D2239" s="64" t="s">
        <v>2742</v>
      </c>
      <c r="E2239" s="64" t="s">
        <v>384</v>
      </c>
      <c r="F2239" s="64" t="s">
        <v>230</v>
      </c>
      <c r="G2239" s="64" t="s">
        <v>16</v>
      </c>
      <c r="H2239" s="64" t="s">
        <v>39</v>
      </c>
      <c r="I2239" s="64" t="s">
        <v>40</v>
      </c>
      <c r="J2239" s="67">
        <v>0</v>
      </c>
      <c r="K2239" s="62">
        <v>-30000</v>
      </c>
      <c r="L2239" s="33" t="e">
        <f>HLOOKUP(B2239,#REF!,1,0)</f>
        <v>#REF!</v>
      </c>
      <c r="M2239" s="33" t="str">
        <f t="shared" si="139"/>
        <v>BS</v>
      </c>
    </row>
    <row r="2240" spans="1:13" s="33" customFormat="true" ht="12.75" customHeight="true">
      <c r="A2240" s="33" t="str">
        <f t="shared" si="136"/>
        <v>VAL - Intercompany</v>
      </c>
      <c r="B2240" s="33" t="str">
        <f t="shared" si="137"/>
        <v>VAL</v>
      </c>
      <c r="C2240" s="33" t="str">
        <f t="shared" si="138"/>
        <v>11343-0000</v>
      </c>
      <c r="D2240" s="64" t="s">
        <v>2743</v>
      </c>
      <c r="E2240" s="64" t="s">
        <v>600</v>
      </c>
      <c r="F2240" s="64" t="s">
        <v>230</v>
      </c>
      <c r="G2240" s="64" t="s">
        <v>16</v>
      </c>
      <c r="H2240" s="64" t="s">
        <v>39</v>
      </c>
      <c r="I2240" s="64" t="s">
        <v>40</v>
      </c>
      <c r="J2240" s="67">
        <v>0</v>
      </c>
      <c r="K2240" s="62">
        <v>-10000</v>
      </c>
      <c r="L2240" s="33" t="e">
        <f>HLOOKUP(B2240,#REF!,1,0)</f>
        <v>#REF!</v>
      </c>
      <c r="M2240" s="33" t="str">
        <f t="shared" si="139"/>
        <v>BS</v>
      </c>
    </row>
    <row r="2241" spans="1:13" s="33" customFormat="true" ht="12.75" customHeight="true">
      <c r="A2241" s="33" t="str">
        <f t="shared" si="136"/>
        <v>VAL - Intercompany</v>
      </c>
      <c r="B2241" s="33" t="str">
        <f t="shared" si="137"/>
        <v>VAL</v>
      </c>
      <c r="C2241" s="33" t="str">
        <f t="shared" si="138"/>
        <v>11402-0000</v>
      </c>
      <c r="D2241" s="64" t="s">
        <v>2744</v>
      </c>
      <c r="E2241" s="64" t="s">
        <v>662</v>
      </c>
      <c r="F2241" s="64" t="s">
        <v>230</v>
      </c>
      <c r="G2241" s="64" t="s">
        <v>16</v>
      </c>
      <c r="H2241" s="64" t="s">
        <v>39</v>
      </c>
      <c r="I2241" s="64" t="s">
        <v>40</v>
      </c>
      <c r="J2241" s="67">
        <v>0</v>
      </c>
      <c r="K2241" s="62">
        <v>100000</v>
      </c>
      <c r="L2241" s="33" t="e">
        <f>HLOOKUP(B2241,#REF!,1,0)</f>
        <v>#REF!</v>
      </c>
      <c r="M2241" s="33" t="str">
        <f t="shared" si="139"/>
        <v>BS</v>
      </c>
    </row>
    <row r="2242" spans="1:13" s="33" customFormat="true" ht="12.75" customHeight="true">
      <c r="A2242" s="33" t="str">
        <f t="shared" ref="A2242:A2305" si="140">B2242&amp;" - "&amp;TRIM(H2242)</f>
        <v>VAL - Fixed Assets</v>
      </c>
      <c r="B2242" s="33" t="str">
        <f t="shared" ref="B2242:B2305" si="141">LEFT(D2242,3)</f>
        <v>VAL</v>
      </c>
      <c r="C2242" s="33" t="str">
        <f t="shared" ref="C2242:C2305" si="142">RIGHT(D2242,10)</f>
        <v>14000-0000</v>
      </c>
      <c r="D2242" s="64" t="s">
        <v>2745</v>
      </c>
      <c r="E2242" s="64" t="s">
        <v>298</v>
      </c>
      <c r="F2242" s="64" t="s">
        <v>230</v>
      </c>
      <c r="G2242" s="64" t="s">
        <v>62</v>
      </c>
      <c r="H2242" s="64" t="s">
        <v>63</v>
      </c>
      <c r="I2242" s="64" t="s">
        <v>64</v>
      </c>
      <c r="J2242" s="67">
        <v>0</v>
      </c>
      <c r="K2242" s="62">
        <v>1416666.67</v>
      </c>
      <c r="L2242" s="33" t="e">
        <f>HLOOKUP(B2242,#REF!,1,0)</f>
        <v>#REF!</v>
      </c>
      <c r="M2242" s="33" t="str">
        <f t="shared" ref="M2242:M2305" si="143">IF(VALUE(LEFT(C2242,5))&gt;40000,"P&amp;L","BS")</f>
        <v>BS</v>
      </c>
    </row>
    <row r="2243" spans="1:13" s="33" customFormat="true" ht="12.75" customHeight="true">
      <c r="A2243" s="33" t="str">
        <f t="shared" si="140"/>
        <v>VAL - Fixed Assets</v>
      </c>
      <c r="B2243" s="33" t="str">
        <f t="shared" si="141"/>
        <v>VAL</v>
      </c>
      <c r="C2243" s="33" t="str">
        <f t="shared" si="142"/>
        <v>15000-0000</v>
      </c>
      <c r="D2243" s="64" t="s">
        <v>2746</v>
      </c>
      <c r="E2243" s="64" t="s">
        <v>300</v>
      </c>
      <c r="F2243" s="64" t="s">
        <v>230</v>
      </c>
      <c r="G2243" s="64" t="s">
        <v>62</v>
      </c>
      <c r="H2243" s="64" t="s">
        <v>63</v>
      </c>
      <c r="I2243" s="64" t="s">
        <v>64</v>
      </c>
      <c r="J2243" s="67">
        <v>0</v>
      </c>
      <c r="K2243" s="62">
        <v>2833333.33</v>
      </c>
      <c r="L2243" s="33" t="e">
        <f>HLOOKUP(B2243,#REF!,1,0)</f>
        <v>#REF!</v>
      </c>
      <c r="M2243" s="33" t="str">
        <f t="shared" si="143"/>
        <v>BS</v>
      </c>
    </row>
    <row r="2244" spans="1:13" s="33" customFormat="true" ht="12.75" customHeight="true">
      <c r="A2244" s="33" t="str">
        <f t="shared" si="140"/>
        <v>VAL - Fixed Assets</v>
      </c>
      <c r="B2244" s="33" t="str">
        <f t="shared" si="141"/>
        <v>VAL</v>
      </c>
      <c r="C2244" s="33" t="str">
        <f t="shared" si="142"/>
        <v>15500-0000</v>
      </c>
      <c r="D2244" s="64" t="s">
        <v>2747</v>
      </c>
      <c r="E2244" s="64" t="s">
        <v>302</v>
      </c>
      <c r="F2244" s="64" t="s">
        <v>230</v>
      </c>
      <c r="G2244" s="64" t="s">
        <v>62</v>
      </c>
      <c r="H2244" s="64" t="s">
        <v>63</v>
      </c>
      <c r="I2244" s="64" t="s">
        <v>64</v>
      </c>
      <c r="J2244" s="67">
        <v>0</v>
      </c>
      <c r="K2244" s="62">
        <v>67845.11</v>
      </c>
      <c r="L2244" s="33" t="e">
        <f>HLOOKUP(B2244,#REF!,1,0)</f>
        <v>#REF!</v>
      </c>
      <c r="M2244" s="33" t="str">
        <f t="shared" si="143"/>
        <v>BS</v>
      </c>
    </row>
    <row r="2245" spans="1:13" s="33" customFormat="true" ht="12.75" customHeight="true">
      <c r="A2245" s="33" t="str">
        <f t="shared" si="140"/>
        <v>VAL - Fixed Assets</v>
      </c>
      <c r="B2245" s="33" t="str">
        <f t="shared" si="141"/>
        <v>VAL</v>
      </c>
      <c r="C2245" s="33" t="str">
        <f t="shared" si="142"/>
        <v>16000-0000</v>
      </c>
      <c r="D2245" s="64" t="s">
        <v>2748</v>
      </c>
      <c r="E2245" s="64" t="s">
        <v>304</v>
      </c>
      <c r="F2245" s="64" t="s">
        <v>230</v>
      </c>
      <c r="G2245" s="64" t="s">
        <v>16</v>
      </c>
      <c r="H2245" s="64" t="s">
        <v>63</v>
      </c>
      <c r="I2245" s="64" t="s">
        <v>18</v>
      </c>
      <c r="J2245" s="67">
        <v>0</v>
      </c>
      <c r="K2245" s="62">
        <v>24641.89</v>
      </c>
      <c r="L2245" s="33" t="e">
        <f>HLOOKUP(B2245,#REF!,1,0)</f>
        <v>#REF!</v>
      </c>
      <c r="M2245" s="33" t="str">
        <f t="shared" si="143"/>
        <v>BS</v>
      </c>
    </row>
    <row r="2246" spans="1:13" s="33" customFormat="true" ht="12.75" customHeight="true">
      <c r="A2246" s="33" t="str">
        <f t="shared" si="140"/>
        <v>VAL - Fixed Assets</v>
      </c>
      <c r="B2246" s="33" t="str">
        <f t="shared" si="141"/>
        <v>VAL</v>
      </c>
      <c r="C2246" s="33" t="str">
        <f t="shared" si="142"/>
        <v>17000-0000</v>
      </c>
      <c r="D2246" s="64" t="s">
        <v>2749</v>
      </c>
      <c r="E2246" s="64" t="s">
        <v>306</v>
      </c>
      <c r="F2246" s="64" t="s">
        <v>230</v>
      </c>
      <c r="G2246" s="64" t="s">
        <v>62</v>
      </c>
      <c r="H2246" s="64" t="s">
        <v>63</v>
      </c>
      <c r="I2246" s="64" t="s">
        <v>64</v>
      </c>
      <c r="J2246" s="67">
        <v>0</v>
      </c>
      <c r="K2246" s="62">
        <v>-553760</v>
      </c>
      <c r="L2246" s="33" t="e">
        <f>HLOOKUP(B2246,#REF!,1,0)</f>
        <v>#REF!</v>
      </c>
      <c r="M2246" s="33" t="str">
        <f t="shared" si="143"/>
        <v>BS</v>
      </c>
    </row>
    <row r="2247" spans="1:13" s="33" customFormat="true" ht="12.75" customHeight="true">
      <c r="A2247" s="33" t="str">
        <f t="shared" si="140"/>
        <v>VAL - Fixed Assets</v>
      </c>
      <c r="B2247" s="33" t="str">
        <f t="shared" si="141"/>
        <v>VAL</v>
      </c>
      <c r="C2247" s="33" t="str">
        <f t="shared" si="142"/>
        <v>18000-0000</v>
      </c>
      <c r="D2247" s="64" t="s">
        <v>2750</v>
      </c>
      <c r="E2247" s="64" t="s">
        <v>308</v>
      </c>
      <c r="F2247" s="64" t="s">
        <v>230</v>
      </c>
      <c r="G2247" s="64" t="s">
        <v>62</v>
      </c>
      <c r="H2247" s="64" t="s">
        <v>63</v>
      </c>
      <c r="I2247" s="64" t="s">
        <v>64</v>
      </c>
      <c r="J2247" s="67">
        <v>0</v>
      </c>
      <c r="K2247" s="62">
        <v>-22969</v>
      </c>
      <c r="L2247" s="33" t="e">
        <f>HLOOKUP(B2247,#REF!,1,0)</f>
        <v>#REF!</v>
      </c>
      <c r="M2247" s="33" t="str">
        <f t="shared" si="143"/>
        <v>BS</v>
      </c>
    </row>
    <row r="2248" spans="1:13" s="33" customFormat="true" ht="12.75" customHeight="true">
      <c r="A2248" s="33" t="str">
        <f t="shared" si="140"/>
        <v>VAL - Deposits</v>
      </c>
      <c r="B2248" s="33" t="str">
        <f t="shared" si="141"/>
        <v>VAL</v>
      </c>
      <c r="C2248" s="33" t="str">
        <f t="shared" si="142"/>
        <v>19001-0000</v>
      </c>
      <c r="D2248" s="64" t="s">
        <v>2751</v>
      </c>
      <c r="E2248" s="64" t="s">
        <v>344</v>
      </c>
      <c r="F2248" s="64" t="s">
        <v>230</v>
      </c>
      <c r="G2248" s="64" t="s">
        <v>62</v>
      </c>
      <c r="H2248" s="64" t="s">
        <v>80</v>
      </c>
      <c r="I2248" s="64" t="s">
        <v>81</v>
      </c>
      <c r="J2248" s="67">
        <v>0</v>
      </c>
      <c r="K2248" s="62">
        <v>35</v>
      </c>
      <c r="L2248" s="33" t="e">
        <f>HLOOKUP(B2248,#REF!,1,0)</f>
        <v>#REF!</v>
      </c>
      <c r="M2248" s="33" t="str">
        <f t="shared" si="143"/>
        <v>BS</v>
      </c>
    </row>
    <row r="2249" spans="1:13" s="33" customFormat="true" ht="12.75" customHeight="true">
      <c r="A2249" s="33" t="str">
        <f t="shared" si="140"/>
        <v>VAL - AP-Accr Exp</v>
      </c>
      <c r="B2249" s="33" t="str">
        <f t="shared" si="141"/>
        <v>VAL</v>
      </c>
      <c r="C2249" s="33" t="str">
        <f t="shared" si="142"/>
        <v>20001-0000</v>
      </c>
      <c r="D2249" s="64" t="s">
        <v>2752</v>
      </c>
      <c r="E2249" s="64" t="s">
        <v>96</v>
      </c>
      <c r="F2249" s="64" t="s">
        <v>230</v>
      </c>
      <c r="G2249" s="64" t="s">
        <v>97</v>
      </c>
      <c r="H2249" s="64" t="s">
        <v>98</v>
      </c>
      <c r="I2249" s="64" t="s">
        <v>99</v>
      </c>
      <c r="J2249" s="67">
        <v>150.57</v>
      </c>
      <c r="K2249" s="62">
        <v>0</v>
      </c>
      <c r="L2249" s="33" t="e">
        <f>HLOOKUP(B2249,#REF!,1,0)</f>
        <v>#REF!</v>
      </c>
      <c r="M2249" s="33" t="str">
        <f t="shared" si="143"/>
        <v>BS</v>
      </c>
    </row>
    <row r="2250" spans="1:13" s="33" customFormat="true" ht="12.75" customHeight="true">
      <c r="A2250" s="33" t="str">
        <f t="shared" si="140"/>
        <v>VAL - AP-Accr Exp</v>
      </c>
      <c r="B2250" s="33" t="str">
        <f t="shared" si="141"/>
        <v>VAL</v>
      </c>
      <c r="C2250" s="33" t="str">
        <f t="shared" si="142"/>
        <v>23509-0000</v>
      </c>
      <c r="D2250" s="64" t="s">
        <v>2753</v>
      </c>
      <c r="E2250" s="64" t="s">
        <v>111</v>
      </c>
      <c r="F2250" s="64" t="s">
        <v>230</v>
      </c>
      <c r="G2250" s="64" t="s">
        <v>97</v>
      </c>
      <c r="H2250" s="64" t="s">
        <v>98</v>
      </c>
      <c r="I2250" s="64" t="s">
        <v>102</v>
      </c>
      <c r="J2250" s="67">
        <v>0</v>
      </c>
      <c r="K2250" s="62">
        <v>0</v>
      </c>
      <c r="L2250" s="33" t="e">
        <f>HLOOKUP(B2250,#REF!,1,0)</f>
        <v>#REF!</v>
      </c>
      <c r="M2250" s="33" t="str">
        <f t="shared" si="143"/>
        <v>BS</v>
      </c>
    </row>
    <row r="2251" spans="1:13" s="33" customFormat="true" ht="12.75" customHeight="true">
      <c r="A2251" s="33" t="str">
        <f t="shared" si="140"/>
        <v>VAL - AP-Accr Exp</v>
      </c>
      <c r="B2251" s="33" t="str">
        <f t="shared" si="141"/>
        <v>VAL</v>
      </c>
      <c r="C2251" s="33" t="str">
        <f t="shared" si="142"/>
        <v>24800-0000</v>
      </c>
      <c r="D2251" s="64" t="s">
        <v>2754</v>
      </c>
      <c r="E2251" s="64" t="s">
        <v>232</v>
      </c>
      <c r="F2251" s="64" t="s">
        <v>230</v>
      </c>
      <c r="G2251" s="64" t="s">
        <v>97</v>
      </c>
      <c r="H2251" s="64" t="s">
        <v>98</v>
      </c>
      <c r="I2251" s="64" t="s">
        <v>102</v>
      </c>
      <c r="J2251" s="67">
        <v>-3799</v>
      </c>
      <c r="K2251" s="62">
        <v>-21410</v>
      </c>
      <c r="L2251" s="33" t="e">
        <f>HLOOKUP(B2251,#REF!,1,0)</f>
        <v>#REF!</v>
      </c>
      <c r="M2251" s="33" t="str">
        <f t="shared" si="143"/>
        <v>BS</v>
      </c>
    </row>
    <row r="2252" spans="1:13" s="33" customFormat="true" ht="12.75" customHeight="true">
      <c r="A2252" s="33" t="str">
        <f t="shared" si="140"/>
        <v>VAL - Principal</v>
      </c>
      <c r="B2252" s="33" t="str">
        <f t="shared" si="141"/>
        <v>VAL</v>
      </c>
      <c r="C2252" s="33" t="str">
        <f t="shared" si="142"/>
        <v>26800-0000</v>
      </c>
      <c r="D2252" s="64" t="s">
        <v>2755</v>
      </c>
      <c r="E2252" s="64" t="s">
        <v>402</v>
      </c>
      <c r="F2252" s="64" t="s">
        <v>230</v>
      </c>
      <c r="G2252" s="64" t="s">
        <v>97</v>
      </c>
      <c r="H2252" s="64" t="s">
        <v>127</v>
      </c>
      <c r="I2252" s="64" t="s">
        <v>128</v>
      </c>
      <c r="J2252" s="67">
        <v>0</v>
      </c>
      <c r="K2252" s="62">
        <v>-132200</v>
      </c>
      <c r="L2252" s="33" t="e">
        <f>HLOOKUP(B2252,#REF!,1,0)</f>
        <v>#REF!</v>
      </c>
      <c r="M2252" s="33" t="str">
        <f t="shared" si="143"/>
        <v>BS</v>
      </c>
    </row>
    <row r="2253" spans="1:13" s="33" customFormat="true" ht="12.75" customHeight="true">
      <c r="A2253" s="33" t="str">
        <f t="shared" si="140"/>
        <v>VAL - Principal</v>
      </c>
      <c r="B2253" s="33" t="str">
        <f t="shared" si="141"/>
        <v>VAL</v>
      </c>
      <c r="C2253" s="33" t="str">
        <f t="shared" si="142"/>
        <v>28001-0000</v>
      </c>
      <c r="D2253" s="64" t="s">
        <v>2756</v>
      </c>
      <c r="E2253" s="64" t="s">
        <v>352</v>
      </c>
      <c r="F2253" s="64" t="s">
        <v>230</v>
      </c>
      <c r="G2253" s="64" t="s">
        <v>123</v>
      </c>
      <c r="H2253" s="64" t="s">
        <v>127</v>
      </c>
      <c r="I2253" s="64" t="s">
        <v>133</v>
      </c>
      <c r="J2253" s="67">
        <v>4015.16</v>
      </c>
      <c r="K2253" s="62">
        <v>-2068981.76</v>
      </c>
      <c r="L2253" s="33" t="e">
        <f>HLOOKUP(B2253,#REF!,1,0)</f>
        <v>#REF!</v>
      </c>
      <c r="M2253" s="33" t="str">
        <f t="shared" si="143"/>
        <v>BS</v>
      </c>
    </row>
    <row r="2254" spans="1:13" s="33" customFormat="true" ht="12.75" customHeight="true">
      <c r="A2254" s="33" t="str">
        <f t="shared" si="140"/>
        <v>VAL - SH Dist</v>
      </c>
      <c r="B2254" s="33" t="str">
        <f t="shared" si="141"/>
        <v>VAL</v>
      </c>
      <c r="C2254" s="33" t="str">
        <f t="shared" si="142"/>
        <v>30700-0000</v>
      </c>
      <c r="D2254" s="64" t="s">
        <v>2757</v>
      </c>
      <c r="E2254" s="64" t="s">
        <v>319</v>
      </c>
      <c r="F2254" s="64" t="s">
        <v>230</v>
      </c>
      <c r="G2254" s="64" t="s">
        <v>142</v>
      </c>
      <c r="H2254" s="64" t="s">
        <v>143</v>
      </c>
      <c r="I2254" s="64" t="s">
        <v>144</v>
      </c>
      <c r="J2254" s="67">
        <v>0</v>
      </c>
      <c r="K2254" s="62">
        <v>-1786079.82</v>
      </c>
      <c r="L2254" s="33" t="e">
        <f>HLOOKUP(B2254,#REF!,1,0)</f>
        <v>#REF!</v>
      </c>
      <c r="M2254" s="33" t="str">
        <f t="shared" si="143"/>
        <v>BS</v>
      </c>
    </row>
    <row r="2255" spans="1:13" s="33" customFormat="true" ht="12.75" customHeight="true">
      <c r="A2255" s="33" t="str">
        <f t="shared" si="140"/>
        <v>VAL - Retained Earnings</v>
      </c>
      <c r="B2255" s="33" t="str">
        <f t="shared" si="141"/>
        <v>VAL</v>
      </c>
      <c r="C2255" s="33" t="str">
        <f t="shared" si="142"/>
        <v>32000-0000</v>
      </c>
      <c r="D2255" s="64" t="s">
        <v>2758</v>
      </c>
      <c r="E2255" s="64" t="s">
        <v>234</v>
      </c>
      <c r="F2255" s="64" t="s">
        <v>230</v>
      </c>
      <c r="G2255" s="64" t="s">
        <v>142</v>
      </c>
      <c r="H2255" s="64" t="s">
        <v>149</v>
      </c>
      <c r="I2255" s="64" t="s">
        <v>235</v>
      </c>
      <c r="J2255" s="67">
        <v>0</v>
      </c>
      <c r="K2255" s="62">
        <v>227388.72</v>
      </c>
      <c r="L2255" s="33" t="e">
        <f>HLOOKUP(B2255,#REF!,1,0)</f>
        <v>#REF!</v>
      </c>
      <c r="M2255" s="33" t="str">
        <f t="shared" si="143"/>
        <v>BS</v>
      </c>
    </row>
    <row r="2256" spans="1:13" s="33" customFormat="true" ht="12.75" customHeight="true">
      <c r="A2256" s="33" t="str">
        <f t="shared" si="140"/>
        <v>VEN - Cash</v>
      </c>
      <c r="B2256" s="33" t="str">
        <f t="shared" si="141"/>
        <v>VEN</v>
      </c>
      <c r="C2256" s="33" t="str">
        <f t="shared" si="142"/>
        <v>10001-0000</v>
      </c>
      <c r="D2256" s="64" t="s">
        <v>2759</v>
      </c>
      <c r="E2256" s="64" t="s">
        <v>240</v>
      </c>
      <c r="F2256" s="64" t="s">
        <v>230</v>
      </c>
      <c r="G2256" s="64" t="s">
        <v>16</v>
      </c>
      <c r="H2256" s="64" t="s">
        <v>25</v>
      </c>
      <c r="I2256" s="64" t="s">
        <v>18</v>
      </c>
      <c r="J2256" s="67">
        <v>6775.2</v>
      </c>
      <c r="K2256" s="62">
        <v>39320.24</v>
      </c>
      <c r="L2256" s="33" t="e">
        <f>HLOOKUP(B2256,#REF!,1,0)</f>
        <v>#REF!</v>
      </c>
      <c r="M2256" s="33" t="str">
        <f t="shared" si="143"/>
        <v>BS</v>
      </c>
    </row>
    <row r="2257" spans="1:13" s="33" customFormat="true" ht="12.75" customHeight="true">
      <c r="A2257" s="33" t="str">
        <f t="shared" si="140"/>
        <v>VEN - Intercompany</v>
      </c>
      <c r="B2257" s="33" t="str">
        <f t="shared" si="141"/>
        <v>VEN</v>
      </c>
      <c r="C2257" s="33" t="str">
        <f t="shared" si="142"/>
        <v>11216-0000</v>
      </c>
      <c r="D2257" s="64" t="s">
        <v>2760</v>
      </c>
      <c r="E2257" s="64" t="s">
        <v>242</v>
      </c>
      <c r="F2257" s="64" t="s">
        <v>230</v>
      </c>
      <c r="G2257" s="64" t="s">
        <v>16</v>
      </c>
      <c r="H2257" s="64" t="s">
        <v>39</v>
      </c>
      <c r="I2257" s="64" t="s">
        <v>40</v>
      </c>
      <c r="J2257" s="67">
        <v>182.2</v>
      </c>
      <c r="K2257" s="62">
        <v>-21382.99</v>
      </c>
      <c r="L2257" s="33" t="e">
        <f>HLOOKUP(B2257,#REF!,1,0)</f>
        <v>#REF!</v>
      </c>
      <c r="M2257" s="33" t="str">
        <f t="shared" si="143"/>
        <v>BS</v>
      </c>
    </row>
    <row r="2258" spans="1:13" s="33" customFormat="true" ht="12.75" customHeight="true">
      <c r="A2258" s="33" t="str">
        <f t="shared" si="140"/>
        <v>VEN - Intercompany</v>
      </c>
      <c r="B2258" s="33" t="str">
        <f t="shared" si="141"/>
        <v>VEN</v>
      </c>
      <c r="C2258" s="33" t="str">
        <f t="shared" si="142"/>
        <v>11304-0000</v>
      </c>
      <c r="D2258" s="64" t="s">
        <v>2761</v>
      </c>
      <c r="E2258" s="64" t="s">
        <v>250</v>
      </c>
      <c r="F2258" s="64" t="s">
        <v>230</v>
      </c>
      <c r="G2258" s="64" t="s">
        <v>16</v>
      </c>
      <c r="H2258" s="64" t="s">
        <v>39</v>
      </c>
      <c r="I2258" s="64" t="s">
        <v>40</v>
      </c>
      <c r="J2258" s="67">
        <v>0</v>
      </c>
      <c r="K2258" s="62">
        <v>-20000</v>
      </c>
      <c r="L2258" s="33" t="e">
        <f>HLOOKUP(B2258,#REF!,1,0)</f>
        <v>#REF!</v>
      </c>
      <c r="M2258" s="33" t="str">
        <f t="shared" si="143"/>
        <v>BS</v>
      </c>
    </row>
    <row r="2259" spans="1:13" s="33" customFormat="true" ht="12.75" customHeight="true">
      <c r="A2259" s="33" t="str">
        <f t="shared" si="140"/>
        <v>VEN - Intercompany</v>
      </c>
      <c r="B2259" s="33" t="str">
        <f t="shared" si="141"/>
        <v>VEN</v>
      </c>
      <c r="C2259" s="33" t="str">
        <f t="shared" si="142"/>
        <v>11311-0000</v>
      </c>
      <c r="D2259" s="64" t="s">
        <v>2762</v>
      </c>
      <c r="E2259" s="64" t="s">
        <v>258</v>
      </c>
      <c r="F2259" s="64" t="s">
        <v>230</v>
      </c>
      <c r="G2259" s="64" t="s">
        <v>2763</v>
      </c>
      <c r="H2259" s="64" t="s">
        <v>39</v>
      </c>
      <c r="I2259" s="64" t="s">
        <v>40</v>
      </c>
      <c r="J2259" s="67">
        <v>0</v>
      </c>
      <c r="K2259" s="62">
        <v>-30000</v>
      </c>
      <c r="L2259" s="33" t="e">
        <f>HLOOKUP(B2259,#REF!,1,0)</f>
        <v>#REF!</v>
      </c>
      <c r="M2259" s="33" t="str">
        <f t="shared" si="143"/>
        <v>BS</v>
      </c>
    </row>
    <row r="2260" spans="1:13" s="33" customFormat="true" ht="12.75" customHeight="true">
      <c r="A2260" s="33" t="str">
        <f t="shared" si="140"/>
        <v>VEN - Intercompany</v>
      </c>
      <c r="B2260" s="33" t="str">
        <f t="shared" si="141"/>
        <v>VEN</v>
      </c>
      <c r="C2260" s="33" t="str">
        <f t="shared" si="142"/>
        <v>11312-0000</v>
      </c>
      <c r="D2260" s="64" t="s">
        <v>2764</v>
      </c>
      <c r="E2260" s="64" t="s">
        <v>935</v>
      </c>
      <c r="F2260" s="64" t="s">
        <v>230</v>
      </c>
      <c r="G2260" s="64" t="s">
        <v>16</v>
      </c>
      <c r="H2260" s="64" t="s">
        <v>39</v>
      </c>
      <c r="I2260" s="64" t="s">
        <v>40</v>
      </c>
      <c r="J2260" s="67">
        <v>0</v>
      </c>
      <c r="K2260" s="62">
        <v>-5000</v>
      </c>
      <c r="L2260" s="33" t="e">
        <f>HLOOKUP(B2260,#REF!,1,0)</f>
        <v>#REF!</v>
      </c>
      <c r="M2260" s="33" t="str">
        <f t="shared" si="143"/>
        <v>BS</v>
      </c>
    </row>
    <row r="2261" spans="1:13" s="33" customFormat="true" ht="12.75" customHeight="true">
      <c r="A2261" s="33" t="str">
        <f t="shared" si="140"/>
        <v>VEN - Intercompany</v>
      </c>
      <c r="B2261" s="33" t="str">
        <f t="shared" si="141"/>
        <v>VEN</v>
      </c>
      <c r="C2261" s="33" t="str">
        <f t="shared" si="142"/>
        <v>11317-0000</v>
      </c>
      <c r="D2261" s="64" t="s">
        <v>2765</v>
      </c>
      <c r="E2261" s="64" t="s">
        <v>368</v>
      </c>
      <c r="F2261" s="64" t="s">
        <v>230</v>
      </c>
      <c r="G2261" s="64" t="s">
        <v>16</v>
      </c>
      <c r="H2261" s="64" t="s">
        <v>39</v>
      </c>
      <c r="I2261" s="64" t="s">
        <v>40</v>
      </c>
      <c r="J2261" s="67">
        <v>0</v>
      </c>
      <c r="K2261" s="62">
        <v>-1000</v>
      </c>
      <c r="L2261" s="33" t="e">
        <f>HLOOKUP(B2261,#REF!,1,0)</f>
        <v>#REF!</v>
      </c>
      <c r="M2261" s="33" t="str">
        <f t="shared" si="143"/>
        <v>BS</v>
      </c>
    </row>
    <row r="2262" spans="1:13" s="33" customFormat="true" ht="12.75" customHeight="true">
      <c r="A2262" s="33" t="str">
        <f t="shared" si="140"/>
        <v>VEN - Intercompany</v>
      </c>
      <c r="B2262" s="33" t="str">
        <f t="shared" si="141"/>
        <v>VEN</v>
      </c>
      <c r="C2262" s="33" t="str">
        <f t="shared" si="142"/>
        <v>11331-0000</v>
      </c>
      <c r="D2262" s="64" t="s">
        <v>2766</v>
      </c>
      <c r="E2262" s="64" t="s">
        <v>379</v>
      </c>
      <c r="F2262" s="64" t="s">
        <v>230</v>
      </c>
      <c r="G2262" s="64" t="s">
        <v>16</v>
      </c>
      <c r="H2262" s="64" t="s">
        <v>39</v>
      </c>
      <c r="I2262" s="64" t="s">
        <v>40</v>
      </c>
      <c r="J2262" s="67">
        <v>0</v>
      </c>
      <c r="K2262" s="62">
        <v>-8000</v>
      </c>
      <c r="L2262" s="33" t="e">
        <f>HLOOKUP(B2262,#REF!,1,0)</f>
        <v>#REF!</v>
      </c>
      <c r="M2262" s="33" t="str">
        <f t="shared" si="143"/>
        <v>BS</v>
      </c>
    </row>
    <row r="2263" spans="1:13" s="33" customFormat="true" ht="12.75" customHeight="true">
      <c r="A2263" s="33" t="str">
        <f t="shared" si="140"/>
        <v>VEN - Intercompany</v>
      </c>
      <c r="B2263" s="33" t="str">
        <f t="shared" si="141"/>
        <v>VEN</v>
      </c>
      <c r="C2263" s="33" t="str">
        <f t="shared" si="142"/>
        <v>11332-0000</v>
      </c>
      <c r="D2263" s="64" t="s">
        <v>2767</v>
      </c>
      <c r="E2263" s="64" t="s">
        <v>331</v>
      </c>
      <c r="F2263" s="64" t="s">
        <v>230</v>
      </c>
      <c r="G2263" s="64" t="s">
        <v>16</v>
      </c>
      <c r="H2263" s="64" t="s">
        <v>39</v>
      </c>
      <c r="I2263" s="64" t="s">
        <v>40</v>
      </c>
      <c r="J2263" s="67">
        <v>0</v>
      </c>
      <c r="K2263" s="62">
        <v>-5000</v>
      </c>
      <c r="L2263" s="33" t="e">
        <f>HLOOKUP(B2263,#REF!,1,0)</f>
        <v>#REF!</v>
      </c>
      <c r="M2263" s="33" t="str">
        <f t="shared" si="143"/>
        <v>BS</v>
      </c>
    </row>
    <row r="2264" spans="1:13" s="33" customFormat="true" ht="12.75" customHeight="true">
      <c r="A2264" s="33" t="str">
        <f t="shared" si="140"/>
        <v>VEN - Fixed Assets</v>
      </c>
      <c r="B2264" s="33" t="str">
        <f t="shared" si="141"/>
        <v>VEN</v>
      </c>
      <c r="C2264" s="33" t="str">
        <f t="shared" si="142"/>
        <v>14000-0000</v>
      </c>
      <c r="D2264" s="64" t="s">
        <v>2768</v>
      </c>
      <c r="E2264" s="64" t="s">
        <v>298</v>
      </c>
      <c r="F2264" s="64" t="s">
        <v>230</v>
      </c>
      <c r="G2264" s="64" t="s">
        <v>62</v>
      </c>
      <c r="H2264" s="64" t="s">
        <v>63</v>
      </c>
      <c r="I2264" s="64" t="s">
        <v>64</v>
      </c>
      <c r="J2264" s="67">
        <v>0</v>
      </c>
      <c r="K2264" s="62">
        <v>1266540</v>
      </c>
      <c r="L2264" s="33" t="e">
        <f>HLOOKUP(B2264,#REF!,1,0)</f>
        <v>#REF!</v>
      </c>
      <c r="M2264" s="33" t="str">
        <f t="shared" si="143"/>
        <v>BS</v>
      </c>
    </row>
    <row r="2265" spans="1:13" s="33" customFormat="true" ht="12.75" customHeight="true">
      <c r="A2265" s="33" t="str">
        <f t="shared" si="140"/>
        <v>VEN - Fixed Assets</v>
      </c>
      <c r="B2265" s="33" t="str">
        <f t="shared" si="141"/>
        <v>VEN</v>
      </c>
      <c r="C2265" s="33" t="str">
        <f t="shared" si="142"/>
        <v>15000-0000</v>
      </c>
      <c r="D2265" s="64" t="s">
        <v>2769</v>
      </c>
      <c r="E2265" s="64" t="s">
        <v>300</v>
      </c>
      <c r="F2265" s="64" t="s">
        <v>230</v>
      </c>
      <c r="G2265" s="64" t="s">
        <v>62</v>
      </c>
      <c r="H2265" s="64" t="s">
        <v>63</v>
      </c>
      <c r="I2265" s="64" t="s">
        <v>64</v>
      </c>
      <c r="J2265" s="67">
        <v>0</v>
      </c>
      <c r="K2265" s="62">
        <v>2533460</v>
      </c>
      <c r="L2265" s="33" t="e">
        <f>HLOOKUP(B2265,#REF!,1,0)</f>
        <v>#REF!</v>
      </c>
      <c r="M2265" s="33" t="str">
        <f t="shared" si="143"/>
        <v>BS</v>
      </c>
    </row>
    <row r="2266" spans="1:13" s="33" customFormat="true" ht="12.75" customHeight="true">
      <c r="A2266" s="33" t="str">
        <f t="shared" si="140"/>
        <v>VEN - Total Assets</v>
      </c>
      <c r="B2266" s="33" t="str">
        <f t="shared" si="141"/>
        <v>VEN</v>
      </c>
      <c r="C2266" s="33" t="str">
        <f t="shared" si="142"/>
        <v>15500-0000</v>
      </c>
      <c r="D2266" s="64" t="s">
        <v>2770</v>
      </c>
      <c r="E2266" s="64" t="s">
        <v>302</v>
      </c>
      <c r="F2266" s="64" t="s">
        <v>230</v>
      </c>
      <c r="G2266" s="64" t="s">
        <v>62</v>
      </c>
      <c r="H2266" s="64" t="s">
        <v>62</v>
      </c>
      <c r="I2266" s="64" t="s">
        <v>64</v>
      </c>
      <c r="J2266" s="67">
        <v>0</v>
      </c>
      <c r="K2266" s="62">
        <v>63262.57</v>
      </c>
      <c r="L2266" s="33" t="e">
        <f>HLOOKUP(B2266,#REF!,1,0)</f>
        <v>#REF!</v>
      </c>
      <c r="M2266" s="33" t="str">
        <f t="shared" si="143"/>
        <v>BS</v>
      </c>
    </row>
    <row r="2267" spans="1:13" s="33" customFormat="true" ht="12.75" customHeight="true">
      <c r="A2267" s="33" t="str">
        <f t="shared" si="140"/>
        <v>VEN - Fixed Assets</v>
      </c>
      <c r="B2267" s="33" t="str">
        <f t="shared" si="141"/>
        <v>VEN</v>
      </c>
      <c r="C2267" s="33" t="str">
        <f t="shared" si="142"/>
        <v>17000-0000</v>
      </c>
      <c r="D2267" s="64" t="s">
        <v>2771</v>
      </c>
      <c r="E2267" s="64" t="s">
        <v>306</v>
      </c>
      <c r="F2267" s="64" t="s">
        <v>230</v>
      </c>
      <c r="G2267" s="64" t="s">
        <v>62</v>
      </c>
      <c r="H2267" s="64" t="s">
        <v>63</v>
      </c>
      <c r="I2267" s="64" t="s">
        <v>64</v>
      </c>
      <c r="J2267" s="67">
        <v>0</v>
      </c>
      <c r="K2267" s="62">
        <v>-216911</v>
      </c>
      <c r="L2267" s="33" t="e">
        <f>HLOOKUP(B2267,#REF!,1,0)</f>
        <v>#REF!</v>
      </c>
      <c r="M2267" s="33" t="str">
        <f t="shared" si="143"/>
        <v>BS</v>
      </c>
    </row>
    <row r="2268" spans="1:13" s="33" customFormat="true" ht="12.75" customHeight="true">
      <c r="A2268" s="33" t="str">
        <f t="shared" si="140"/>
        <v>VEN - Fixed Assets</v>
      </c>
      <c r="B2268" s="33" t="str">
        <f t="shared" si="141"/>
        <v>VEN</v>
      </c>
      <c r="C2268" s="33" t="str">
        <f t="shared" si="142"/>
        <v>18000-0000</v>
      </c>
      <c r="D2268" s="64" t="s">
        <v>2772</v>
      </c>
      <c r="E2268" s="64" t="s">
        <v>308</v>
      </c>
      <c r="F2268" s="64" t="s">
        <v>230</v>
      </c>
      <c r="G2268" s="64" t="s">
        <v>62</v>
      </c>
      <c r="H2268" s="64" t="s">
        <v>63</v>
      </c>
      <c r="I2268" s="64" t="s">
        <v>64</v>
      </c>
      <c r="J2268" s="67">
        <v>0</v>
      </c>
      <c r="K2268" s="62">
        <v>-13184</v>
      </c>
      <c r="L2268" s="33" t="e">
        <f>HLOOKUP(B2268,#REF!,1,0)</f>
        <v>#REF!</v>
      </c>
      <c r="M2268" s="33" t="str">
        <f t="shared" si="143"/>
        <v>BS</v>
      </c>
    </row>
    <row r="2269" spans="1:13" s="33" customFormat="true" ht="12.75" customHeight="true">
      <c r="A2269" s="33" t="str">
        <f t="shared" si="140"/>
        <v>VEN - Deposits</v>
      </c>
      <c r="B2269" s="33" t="str">
        <f t="shared" si="141"/>
        <v>VEN</v>
      </c>
      <c r="C2269" s="33" t="str">
        <f t="shared" si="142"/>
        <v>19000-0000</v>
      </c>
      <c r="D2269" s="64" t="s">
        <v>2773</v>
      </c>
      <c r="E2269" s="64" t="s">
        <v>342</v>
      </c>
      <c r="F2269" s="64" t="s">
        <v>230</v>
      </c>
      <c r="G2269" s="64" t="s">
        <v>62</v>
      </c>
      <c r="H2269" s="64" t="s">
        <v>80</v>
      </c>
      <c r="I2269" s="64" t="s">
        <v>81</v>
      </c>
      <c r="J2269" s="67">
        <v>0</v>
      </c>
      <c r="K2269" s="62">
        <v>2777</v>
      </c>
      <c r="L2269" s="33" t="e">
        <f>HLOOKUP(B2269,#REF!,1,0)</f>
        <v>#REF!</v>
      </c>
      <c r="M2269" s="33" t="str">
        <f t="shared" si="143"/>
        <v>BS</v>
      </c>
    </row>
    <row r="2270" spans="1:13" s="33" customFormat="true" ht="12.75" customHeight="true">
      <c r="A2270" s="33" t="str">
        <f t="shared" si="140"/>
        <v>VEN - Deposits</v>
      </c>
      <c r="B2270" s="33" t="str">
        <f t="shared" si="141"/>
        <v>VEN</v>
      </c>
      <c r="C2270" s="33" t="str">
        <f t="shared" si="142"/>
        <v>19001-0000</v>
      </c>
      <c r="D2270" s="64" t="s">
        <v>2774</v>
      </c>
      <c r="E2270" s="64" t="s">
        <v>344</v>
      </c>
      <c r="F2270" s="64" t="s">
        <v>230</v>
      </c>
      <c r="G2270" s="64" t="s">
        <v>62</v>
      </c>
      <c r="H2270" s="64" t="s">
        <v>80</v>
      </c>
      <c r="I2270" s="64" t="s">
        <v>81</v>
      </c>
      <c r="J2270" s="67">
        <v>0</v>
      </c>
      <c r="K2270" s="62">
        <v>3075</v>
      </c>
      <c r="L2270" s="33" t="e">
        <f>HLOOKUP(B2270,#REF!,1,0)</f>
        <v>#REF!</v>
      </c>
      <c r="M2270" s="33" t="str">
        <f t="shared" si="143"/>
        <v>BS</v>
      </c>
    </row>
    <row r="2271" spans="1:13" s="33" customFormat="true" ht="12.75" customHeight="true">
      <c r="A2271" s="33" t="str">
        <f t="shared" si="140"/>
        <v>VEN - AP-Accr Exp</v>
      </c>
      <c r="B2271" s="33" t="str">
        <f t="shared" si="141"/>
        <v>VEN</v>
      </c>
      <c r="C2271" s="33" t="str">
        <f t="shared" si="142"/>
        <v>23509-0000</v>
      </c>
      <c r="D2271" s="64" t="s">
        <v>2775</v>
      </c>
      <c r="E2271" s="64" t="s">
        <v>454</v>
      </c>
      <c r="F2271" s="64" t="s">
        <v>230</v>
      </c>
      <c r="G2271" s="64" t="s">
        <v>97</v>
      </c>
      <c r="H2271" s="64" t="s">
        <v>98</v>
      </c>
      <c r="I2271" s="64" t="s">
        <v>102</v>
      </c>
      <c r="J2271" s="67">
        <v>0</v>
      </c>
      <c r="K2271" s="62">
        <v>0</v>
      </c>
      <c r="L2271" s="33" t="e">
        <f>HLOOKUP(B2271,#REF!,1,0)</f>
        <v>#REF!</v>
      </c>
      <c r="M2271" s="33" t="str">
        <f t="shared" si="143"/>
        <v>BS</v>
      </c>
    </row>
    <row r="2272" spans="1:13" s="33" customFormat="true" ht="12.75" customHeight="true">
      <c r="A2272" s="33" t="str">
        <f t="shared" si="140"/>
        <v>VEN - AP-Accr Exp</v>
      </c>
      <c r="B2272" s="33" t="str">
        <f t="shared" si="141"/>
        <v>VEN</v>
      </c>
      <c r="C2272" s="33" t="str">
        <f t="shared" si="142"/>
        <v>24800-0000</v>
      </c>
      <c r="D2272" s="64" t="s">
        <v>2776</v>
      </c>
      <c r="E2272" s="64" t="s">
        <v>232</v>
      </c>
      <c r="F2272" s="64" t="s">
        <v>230</v>
      </c>
      <c r="G2272" s="64" t="s">
        <v>97</v>
      </c>
      <c r="H2272" s="64" t="s">
        <v>98</v>
      </c>
      <c r="I2272" s="64" t="s">
        <v>102</v>
      </c>
      <c r="J2272" s="67">
        <v>0</v>
      </c>
      <c r="K2272" s="62">
        <v>-26971</v>
      </c>
      <c r="L2272" s="33" t="e">
        <f>HLOOKUP(B2272,#REF!,1,0)</f>
        <v>#REF!</v>
      </c>
      <c r="M2272" s="33" t="str">
        <f t="shared" si="143"/>
        <v>BS</v>
      </c>
    </row>
    <row r="2273" spans="1:13" s="33" customFormat="true" ht="12.75" customHeight="true">
      <c r="A2273" s="33" t="str">
        <f t="shared" si="140"/>
        <v>VEN - AP-Accr Exp</v>
      </c>
      <c r="B2273" s="33" t="str">
        <f t="shared" si="141"/>
        <v>VEN</v>
      </c>
      <c r="C2273" s="33" t="str">
        <f t="shared" si="142"/>
        <v>24801-0000</v>
      </c>
      <c r="D2273" s="64" t="s">
        <v>2777</v>
      </c>
      <c r="E2273" s="64" t="s">
        <v>399</v>
      </c>
      <c r="F2273" s="64" t="s">
        <v>230</v>
      </c>
      <c r="G2273" s="64" t="s">
        <v>97</v>
      </c>
      <c r="H2273" s="64" t="s">
        <v>98</v>
      </c>
      <c r="I2273" s="64" t="s">
        <v>102</v>
      </c>
      <c r="J2273" s="67">
        <v>0</v>
      </c>
      <c r="K2273" s="62">
        <v>0</v>
      </c>
      <c r="L2273" s="33" t="e">
        <f>HLOOKUP(B2273,#REF!,1,0)</f>
        <v>#REF!</v>
      </c>
      <c r="M2273" s="33" t="str">
        <f t="shared" si="143"/>
        <v>BS</v>
      </c>
    </row>
    <row r="2274" spans="1:13" s="33" customFormat="true" ht="12.75" customHeight="true">
      <c r="A2274" s="33" t="str">
        <f t="shared" si="140"/>
        <v>VEN - InterCo Notes</v>
      </c>
      <c r="B2274" s="33" t="str">
        <f t="shared" si="141"/>
        <v>VEN</v>
      </c>
      <c r="C2274" s="33" t="str">
        <f t="shared" si="142"/>
        <v>25000-0000</v>
      </c>
      <c r="D2274" s="64" t="s">
        <v>2778</v>
      </c>
      <c r="E2274" s="64" t="s">
        <v>314</v>
      </c>
      <c r="F2274" s="64" t="s">
        <v>230</v>
      </c>
      <c r="G2274" s="64" t="s">
        <v>16</v>
      </c>
      <c r="H2274" s="64" t="s">
        <v>315</v>
      </c>
      <c r="I2274" s="64" t="s">
        <v>40</v>
      </c>
      <c r="J2274" s="67">
        <v>0</v>
      </c>
      <c r="K2274" s="62">
        <v>-120000</v>
      </c>
      <c r="L2274" s="33" t="e">
        <f>HLOOKUP(B2274,#REF!,1,0)</f>
        <v>#REF!</v>
      </c>
      <c r="M2274" s="33" t="str">
        <f t="shared" si="143"/>
        <v>BS</v>
      </c>
    </row>
    <row r="2275" spans="1:13" s="33" customFormat="true" ht="12.75" customHeight="true">
      <c r="A2275" s="33" t="str">
        <f t="shared" si="140"/>
        <v>VEN - InterCo Notes</v>
      </c>
      <c r="B2275" s="33" t="str">
        <f t="shared" si="141"/>
        <v>VEN</v>
      </c>
      <c r="C2275" s="33" t="str">
        <f t="shared" si="142"/>
        <v>25100-0000</v>
      </c>
      <c r="D2275" s="64" t="s">
        <v>2779</v>
      </c>
      <c r="E2275" s="64" t="s">
        <v>430</v>
      </c>
      <c r="F2275" s="64" t="s">
        <v>230</v>
      </c>
      <c r="G2275" s="64" t="s">
        <v>16</v>
      </c>
      <c r="H2275" s="64" t="s">
        <v>315</v>
      </c>
      <c r="I2275" s="64" t="s">
        <v>40</v>
      </c>
      <c r="J2275" s="67">
        <v>0</v>
      </c>
      <c r="K2275" s="62">
        <v>-1137000</v>
      </c>
      <c r="L2275" s="33" t="e">
        <f>HLOOKUP(B2275,#REF!,1,0)</f>
        <v>#REF!</v>
      </c>
      <c r="M2275" s="33" t="str">
        <f t="shared" si="143"/>
        <v>BS</v>
      </c>
    </row>
    <row r="2276" spans="1:13" s="33" customFormat="true" ht="12.75" customHeight="true">
      <c r="A2276" s="33" t="str">
        <f t="shared" si="140"/>
        <v>VEN - Principal</v>
      </c>
      <c r="B2276" s="33" t="str">
        <f t="shared" si="141"/>
        <v>VEN</v>
      </c>
      <c r="C2276" s="33" t="str">
        <f t="shared" si="142"/>
        <v>26800-0000</v>
      </c>
      <c r="D2276" s="64" t="s">
        <v>2780</v>
      </c>
      <c r="E2276" s="64" t="s">
        <v>402</v>
      </c>
      <c r="F2276" s="64" t="s">
        <v>230</v>
      </c>
      <c r="G2276" s="64" t="s">
        <v>97</v>
      </c>
      <c r="H2276" s="64" t="s">
        <v>127</v>
      </c>
      <c r="I2276" s="64" t="s">
        <v>128</v>
      </c>
      <c r="J2276" s="67">
        <v>0</v>
      </c>
      <c r="K2276" s="62">
        <v>-141600</v>
      </c>
      <c r="L2276" s="33" t="e">
        <f>HLOOKUP(B2276,#REF!,1,0)</f>
        <v>#REF!</v>
      </c>
      <c r="M2276" s="33" t="str">
        <f t="shared" si="143"/>
        <v>BS</v>
      </c>
    </row>
    <row r="2277" spans="1:13" s="33" customFormat="true" ht="12.75" customHeight="true">
      <c r="A2277" s="33" t="str">
        <f t="shared" si="140"/>
        <v>VEN - Principal</v>
      </c>
      <c r="B2277" s="33" t="str">
        <f t="shared" si="141"/>
        <v>VEN</v>
      </c>
      <c r="C2277" s="33" t="str">
        <f t="shared" si="142"/>
        <v>28003-0000</v>
      </c>
      <c r="D2277" s="64" t="s">
        <v>2781</v>
      </c>
      <c r="E2277" s="64" t="s">
        <v>433</v>
      </c>
      <c r="F2277" s="64" t="s">
        <v>230</v>
      </c>
      <c r="G2277" s="64" t="s">
        <v>123</v>
      </c>
      <c r="H2277" s="64" t="s">
        <v>127</v>
      </c>
      <c r="I2277" s="64" t="s">
        <v>133</v>
      </c>
      <c r="J2277" s="67">
        <v>3831.44</v>
      </c>
      <c r="K2277" s="62">
        <v>-2376666.08</v>
      </c>
      <c r="L2277" s="33" t="e">
        <f>HLOOKUP(B2277,#REF!,1,0)</f>
        <v>#REF!</v>
      </c>
      <c r="M2277" s="33" t="str">
        <f t="shared" si="143"/>
        <v>BS</v>
      </c>
    </row>
    <row r="2278" spans="1:13" s="33" customFormat="true" ht="12.75" customHeight="true">
      <c r="A2278" s="33" t="str">
        <f t="shared" si="140"/>
        <v>VEN - SH Dist</v>
      </c>
      <c r="B2278" s="33" t="str">
        <f t="shared" si="141"/>
        <v>VEN</v>
      </c>
      <c r="C2278" s="33" t="str">
        <f t="shared" si="142"/>
        <v>30700-0000</v>
      </c>
      <c r="D2278" s="64" t="s">
        <v>2782</v>
      </c>
      <c r="E2278" s="64" t="s">
        <v>319</v>
      </c>
      <c r="F2278" s="64" t="s">
        <v>230</v>
      </c>
      <c r="G2278" s="64" t="s">
        <v>142</v>
      </c>
      <c r="H2278" s="64" t="s">
        <v>143</v>
      </c>
      <c r="I2278" s="64" t="s">
        <v>144</v>
      </c>
      <c r="J2278" s="67">
        <v>0</v>
      </c>
      <c r="K2278" s="62">
        <v>210000</v>
      </c>
      <c r="L2278" s="33" t="e">
        <f>HLOOKUP(B2278,#REF!,1,0)</f>
        <v>#REF!</v>
      </c>
      <c r="M2278" s="33" t="str">
        <f t="shared" si="143"/>
        <v>BS</v>
      </c>
    </row>
    <row r="2279" spans="1:13" s="33" customFormat="true" ht="12.75" customHeight="true">
      <c r="A2279" s="33" t="str">
        <f t="shared" si="140"/>
        <v>VEN - Retained Earnings</v>
      </c>
      <c r="B2279" s="33" t="str">
        <f t="shared" si="141"/>
        <v>VEN</v>
      </c>
      <c r="C2279" s="33" t="str">
        <f t="shared" si="142"/>
        <v>32000-0000</v>
      </c>
      <c r="D2279" s="64" t="s">
        <v>2783</v>
      </c>
      <c r="E2279" s="64" t="s">
        <v>234</v>
      </c>
      <c r="F2279" s="64" t="s">
        <v>230</v>
      </c>
      <c r="G2279" s="64" t="s">
        <v>142</v>
      </c>
      <c r="H2279" s="64" t="s">
        <v>149</v>
      </c>
      <c r="I2279" s="64" t="s">
        <v>235</v>
      </c>
      <c r="J2279" s="67">
        <v>0</v>
      </c>
      <c r="K2279" s="62">
        <v>104571.77</v>
      </c>
      <c r="L2279" s="33" t="e">
        <f>HLOOKUP(B2279,#REF!,1,0)</f>
        <v>#REF!</v>
      </c>
      <c r="M2279" s="33" t="str">
        <f t="shared" si="143"/>
        <v>BS</v>
      </c>
    </row>
    <row r="2280" spans="1:13" s="33" customFormat="true" ht="12.75" customHeight="true">
      <c r="A2280" s="33" t="str">
        <f t="shared" si="140"/>
        <v>WES - Cash</v>
      </c>
      <c r="B2280" s="33" t="str">
        <f t="shared" si="141"/>
        <v>WES</v>
      </c>
      <c r="C2280" s="33" t="str">
        <f t="shared" si="142"/>
        <v>10004-0000</v>
      </c>
      <c r="D2280" s="64" t="s">
        <v>2784</v>
      </c>
      <c r="E2280" s="64" t="s">
        <v>2785</v>
      </c>
      <c r="F2280" s="64" t="s">
        <v>230</v>
      </c>
      <c r="G2280" s="64" t="s">
        <v>16</v>
      </c>
      <c r="H2280" s="64" t="s">
        <v>25</v>
      </c>
      <c r="I2280" s="64" t="s">
        <v>18</v>
      </c>
      <c r="J2280" s="67">
        <v>513.04</v>
      </c>
      <c r="K2280" s="62">
        <v>15927.98</v>
      </c>
      <c r="L2280" s="33" t="e">
        <f>HLOOKUP(B2280,#REF!,1,0)</f>
        <v>#REF!</v>
      </c>
      <c r="M2280" s="33" t="str">
        <f t="shared" si="143"/>
        <v>BS</v>
      </c>
    </row>
    <row r="2281" spans="1:13" s="33" customFormat="true" ht="12.75" customHeight="true">
      <c r="A2281" s="33" t="str">
        <f t="shared" si="140"/>
        <v>WES - Intercompany</v>
      </c>
      <c r="B2281" s="33" t="str">
        <f t="shared" si="141"/>
        <v>WES</v>
      </c>
      <c r="C2281" s="33" t="str">
        <f t="shared" si="142"/>
        <v>11216-0000</v>
      </c>
      <c r="D2281" s="64" t="s">
        <v>2786</v>
      </c>
      <c r="E2281" s="64" t="s">
        <v>242</v>
      </c>
      <c r="F2281" s="64" t="s">
        <v>230</v>
      </c>
      <c r="G2281" s="64" t="s">
        <v>16</v>
      </c>
      <c r="H2281" s="64" t="s">
        <v>39</v>
      </c>
      <c r="I2281" s="64" t="s">
        <v>40</v>
      </c>
      <c r="J2281" s="67">
        <v>0</v>
      </c>
      <c r="K2281" s="62">
        <v>-16315</v>
      </c>
      <c r="L2281" s="33" t="e">
        <f>HLOOKUP(B2281,#REF!,1,0)</f>
        <v>#REF!</v>
      </c>
      <c r="M2281" s="33" t="str">
        <f t="shared" si="143"/>
        <v>BS</v>
      </c>
    </row>
    <row r="2282" spans="1:13" s="33" customFormat="true" ht="12.75" customHeight="true">
      <c r="A2282" s="33" t="str">
        <f t="shared" si="140"/>
        <v>WES - AR-PPD</v>
      </c>
      <c r="B2282" s="33" t="str">
        <f t="shared" si="141"/>
        <v>WES</v>
      </c>
      <c r="C2282" s="33" t="str">
        <f t="shared" si="142"/>
        <v>12200-0002</v>
      </c>
      <c r="D2282" s="64" t="s">
        <v>2787</v>
      </c>
      <c r="E2282" s="64" t="s">
        <v>2624</v>
      </c>
      <c r="F2282" s="64" t="s">
        <v>230</v>
      </c>
      <c r="G2282" s="64" t="s">
        <v>62</v>
      </c>
      <c r="H2282" s="64" t="s">
        <v>35</v>
      </c>
      <c r="I2282" s="64" t="s">
        <v>64</v>
      </c>
      <c r="J2282" s="67">
        <v>725.67</v>
      </c>
      <c r="K2282" s="62">
        <v>3994.71</v>
      </c>
      <c r="L2282" s="33" t="e">
        <f>HLOOKUP(B2282,#REF!,1,0)</f>
        <v>#REF!</v>
      </c>
      <c r="M2282" s="33" t="str">
        <f t="shared" si="143"/>
        <v>BS</v>
      </c>
    </row>
    <row r="2283" spans="1:13" s="33" customFormat="true" ht="12.75" customHeight="true">
      <c r="A2283" s="33" t="str">
        <f t="shared" si="140"/>
        <v>WES - Total Assets</v>
      </c>
      <c r="B2283" s="33" t="str">
        <f t="shared" si="141"/>
        <v>WES</v>
      </c>
      <c r="C2283" s="33" t="str">
        <f t="shared" si="142"/>
        <v>15500-0000</v>
      </c>
      <c r="D2283" s="64" t="s">
        <v>2788</v>
      </c>
      <c r="E2283" s="64" t="s">
        <v>302</v>
      </c>
      <c r="F2283" s="64" t="s">
        <v>230</v>
      </c>
      <c r="G2283" s="64" t="s">
        <v>62</v>
      </c>
      <c r="H2283" s="64" t="s">
        <v>62</v>
      </c>
      <c r="I2283" s="64" t="s">
        <v>64</v>
      </c>
      <c r="J2283" s="67">
        <v>0</v>
      </c>
      <c r="K2283" s="62">
        <v>2675</v>
      </c>
      <c r="L2283" s="33" t="e">
        <f>HLOOKUP(B2283,#REF!,1,0)</f>
        <v>#REF!</v>
      </c>
      <c r="M2283" s="33" t="str">
        <f t="shared" si="143"/>
        <v>BS</v>
      </c>
    </row>
    <row r="2284" spans="1:13" s="33" customFormat="true" ht="12.75" customHeight="true">
      <c r="A2284" s="33" t="str">
        <f t="shared" si="140"/>
        <v>WES - AP-Accr Exp</v>
      </c>
      <c r="B2284" s="33" t="str">
        <f t="shared" si="141"/>
        <v>WES</v>
      </c>
      <c r="C2284" s="33" t="str">
        <f t="shared" si="142"/>
        <v>23509-0000</v>
      </c>
      <c r="D2284" s="64" t="s">
        <v>2789</v>
      </c>
      <c r="E2284" s="64" t="s">
        <v>454</v>
      </c>
      <c r="F2284" s="64" t="s">
        <v>230</v>
      </c>
      <c r="G2284" s="64" t="s">
        <v>97</v>
      </c>
      <c r="H2284" s="64" t="s">
        <v>98</v>
      </c>
      <c r="I2284" s="64" t="s">
        <v>102</v>
      </c>
      <c r="J2284" s="67">
        <v>0</v>
      </c>
      <c r="K2284" s="62">
        <v>0</v>
      </c>
      <c r="L2284" s="33" t="e">
        <f>HLOOKUP(B2284,#REF!,1,0)</f>
        <v>#REF!</v>
      </c>
      <c r="M2284" s="33" t="str">
        <f t="shared" si="143"/>
        <v>BS</v>
      </c>
    </row>
    <row r="2285" spans="1:13" s="33" customFormat="true" ht="12.75" customHeight="true">
      <c r="A2285" s="33" t="str">
        <f t="shared" si="140"/>
        <v>WES - AP-Accr Exp</v>
      </c>
      <c r="B2285" s="33" t="str">
        <f t="shared" si="141"/>
        <v>WES</v>
      </c>
      <c r="C2285" s="33" t="str">
        <f t="shared" si="142"/>
        <v>24800-0000</v>
      </c>
      <c r="D2285" s="64" t="s">
        <v>2790</v>
      </c>
      <c r="E2285" s="64" t="s">
        <v>232</v>
      </c>
      <c r="F2285" s="64" t="s">
        <v>230</v>
      </c>
      <c r="G2285" s="64" t="s">
        <v>97</v>
      </c>
      <c r="H2285" s="64" t="s">
        <v>98</v>
      </c>
      <c r="I2285" s="64" t="s">
        <v>102</v>
      </c>
      <c r="J2285" s="67">
        <v>0</v>
      </c>
      <c r="K2285" s="62">
        <v>-5500</v>
      </c>
      <c r="L2285" s="33" t="e">
        <f>HLOOKUP(B2285,#REF!,1,0)</f>
        <v>#REF!</v>
      </c>
      <c r="M2285" s="33" t="str">
        <f t="shared" si="143"/>
        <v>BS</v>
      </c>
    </row>
    <row r="2286" spans="1:13" s="33" customFormat="true" ht="12.75" customHeight="true">
      <c r="A2286" s="33" t="str">
        <f t="shared" si="140"/>
        <v>WES - AP-Accr Exp</v>
      </c>
      <c r="B2286" s="33" t="str">
        <f t="shared" si="141"/>
        <v>WES</v>
      </c>
      <c r="C2286" s="33" t="str">
        <f t="shared" si="142"/>
        <v>24801-0000</v>
      </c>
      <c r="D2286" s="64" t="s">
        <v>2791</v>
      </c>
      <c r="E2286" s="64" t="s">
        <v>2792</v>
      </c>
      <c r="F2286" s="64" t="s">
        <v>230</v>
      </c>
      <c r="G2286" s="64" t="s">
        <v>97</v>
      </c>
      <c r="H2286" s="64" t="s">
        <v>98</v>
      </c>
      <c r="I2286" s="64" t="s">
        <v>102</v>
      </c>
      <c r="J2286" s="67">
        <v>0</v>
      </c>
      <c r="K2286" s="62">
        <v>0</v>
      </c>
      <c r="L2286" s="33" t="e">
        <f>HLOOKUP(B2286,#REF!,1,0)</f>
        <v>#REF!</v>
      </c>
      <c r="M2286" s="33" t="str">
        <f t="shared" si="143"/>
        <v>BS</v>
      </c>
    </row>
    <row r="2287" spans="1:13" s="33" customFormat="true" ht="12.75" customHeight="true">
      <c r="A2287" s="33" t="str">
        <f t="shared" si="140"/>
        <v>WES - Principal</v>
      </c>
      <c r="B2287" s="33" t="str">
        <f t="shared" si="141"/>
        <v>WES</v>
      </c>
      <c r="C2287" s="33" t="str">
        <f t="shared" si="142"/>
        <v>26800-0000</v>
      </c>
      <c r="D2287" s="64" t="s">
        <v>2793</v>
      </c>
      <c r="E2287" s="64" t="s">
        <v>402</v>
      </c>
      <c r="F2287" s="64" t="s">
        <v>230</v>
      </c>
      <c r="G2287" s="64" t="s">
        <v>97</v>
      </c>
      <c r="H2287" s="64" t="s">
        <v>127</v>
      </c>
      <c r="I2287" s="64" t="s">
        <v>128</v>
      </c>
      <c r="J2287" s="67">
        <v>0</v>
      </c>
      <c r="K2287" s="62">
        <v>-32200</v>
      </c>
      <c r="L2287" s="33" t="e">
        <f>HLOOKUP(B2287,#REF!,1,0)</f>
        <v>#REF!</v>
      </c>
      <c r="M2287" s="33" t="str">
        <f t="shared" si="143"/>
        <v>BS</v>
      </c>
    </row>
    <row r="2288" spans="1:13" s="33" customFormat="true" ht="12.75" customHeight="true">
      <c r="A2288" s="33" t="str">
        <f t="shared" si="140"/>
        <v>WES - Principal</v>
      </c>
      <c r="B2288" s="33" t="str">
        <f t="shared" si="141"/>
        <v>WES</v>
      </c>
      <c r="C2288" s="33" t="str">
        <f t="shared" si="142"/>
        <v>28001-0000</v>
      </c>
      <c r="D2288" s="64" t="s">
        <v>2794</v>
      </c>
      <c r="E2288" s="64" t="s">
        <v>2795</v>
      </c>
      <c r="F2288" s="64" t="s">
        <v>230</v>
      </c>
      <c r="G2288" s="64" t="s">
        <v>123</v>
      </c>
      <c r="H2288" s="64" t="s">
        <v>127</v>
      </c>
      <c r="I2288" s="64" t="s">
        <v>133</v>
      </c>
      <c r="J2288" s="67">
        <v>973.56</v>
      </c>
      <c r="K2288" s="62">
        <v>31920.45</v>
      </c>
      <c r="L2288" s="33" t="e">
        <f>HLOOKUP(B2288,#REF!,1,0)</f>
        <v>#REF!</v>
      </c>
      <c r="M2288" s="33" t="str">
        <f t="shared" si="143"/>
        <v>BS</v>
      </c>
    </row>
    <row r="2289" spans="1:13" s="33" customFormat="true" ht="12.75" customHeight="true">
      <c r="A2289" s="33" t="str">
        <f t="shared" si="140"/>
        <v>WES - SH Dist</v>
      </c>
      <c r="B2289" s="33" t="str">
        <f t="shared" si="141"/>
        <v>WES</v>
      </c>
      <c r="C2289" s="33" t="str">
        <f t="shared" si="142"/>
        <v>30700-0000</v>
      </c>
      <c r="D2289" s="64" t="s">
        <v>2796</v>
      </c>
      <c r="E2289" s="64" t="s">
        <v>319</v>
      </c>
      <c r="F2289" s="64" t="s">
        <v>230</v>
      </c>
      <c r="G2289" s="64" t="s">
        <v>142</v>
      </c>
      <c r="H2289" s="64" t="s">
        <v>143</v>
      </c>
      <c r="I2289" s="64" t="s">
        <v>144</v>
      </c>
      <c r="J2289" s="67">
        <v>0</v>
      </c>
      <c r="K2289" s="62">
        <v>18952.42</v>
      </c>
      <c r="L2289" s="33" t="e">
        <f>HLOOKUP(B2289,#REF!,1,0)</f>
        <v>#REF!</v>
      </c>
      <c r="M2289" s="33" t="str">
        <f t="shared" si="143"/>
        <v>BS</v>
      </c>
    </row>
    <row r="2290" spans="1:13" s="33" customFormat="true" ht="12.75" customHeight="true">
      <c r="A2290" s="33" t="str">
        <f t="shared" si="140"/>
        <v>WES - Retained Earnings</v>
      </c>
      <c r="B2290" s="33" t="str">
        <f t="shared" si="141"/>
        <v>WES</v>
      </c>
      <c r="C2290" s="33" t="str">
        <f t="shared" si="142"/>
        <v>32000-0000</v>
      </c>
      <c r="D2290" s="64" t="s">
        <v>2797</v>
      </c>
      <c r="E2290" s="64" t="s">
        <v>234</v>
      </c>
      <c r="F2290" s="64" t="s">
        <v>230</v>
      </c>
      <c r="G2290" s="64" t="s">
        <v>142</v>
      </c>
      <c r="H2290" s="64" t="s">
        <v>149</v>
      </c>
      <c r="I2290" s="64" t="s">
        <v>235</v>
      </c>
      <c r="J2290" s="67">
        <v>0</v>
      </c>
      <c r="K2290" s="62">
        <v>-1482.19</v>
      </c>
      <c r="L2290" s="33" t="e">
        <f>HLOOKUP(B2290,#REF!,1,0)</f>
        <v>#REF!</v>
      </c>
      <c r="M2290" s="33" t="str">
        <f t="shared" si="143"/>
        <v>BS</v>
      </c>
    </row>
    <row r="2291" spans="1:13" s="33" customFormat="true" ht="12.75" customHeight="true">
      <c r="A2291" s="33" t="str">
        <f t="shared" si="140"/>
        <v>WIL - Cash</v>
      </c>
      <c r="B2291" s="33" t="str">
        <f t="shared" si="141"/>
        <v>WIL</v>
      </c>
      <c r="C2291" s="33" t="str">
        <f t="shared" si="142"/>
        <v>10001-0000</v>
      </c>
      <c r="D2291" s="64" t="s">
        <v>2798</v>
      </c>
      <c r="E2291" s="64" t="s">
        <v>240</v>
      </c>
      <c r="F2291" s="64" t="s">
        <v>230</v>
      </c>
      <c r="G2291" s="64" t="s">
        <v>16</v>
      </c>
      <c r="H2291" s="64" t="s">
        <v>25</v>
      </c>
      <c r="I2291" s="64" t="s">
        <v>18</v>
      </c>
      <c r="J2291" s="67">
        <v>-88.94</v>
      </c>
      <c r="K2291" s="62">
        <v>1369.49</v>
      </c>
      <c r="L2291" s="33" t="e">
        <f>HLOOKUP(B2291,#REF!,1,0)</f>
        <v>#REF!</v>
      </c>
      <c r="M2291" s="33" t="str">
        <f t="shared" si="143"/>
        <v>BS</v>
      </c>
    </row>
    <row r="2292" spans="1:13" s="33" customFormat="true" ht="12.75" customHeight="true">
      <c r="A2292" s="33" t="str">
        <f t="shared" si="140"/>
        <v>WIL - Intercompany</v>
      </c>
      <c r="B2292" s="33" t="str">
        <f t="shared" si="141"/>
        <v>WIL</v>
      </c>
      <c r="C2292" s="33" t="str">
        <f t="shared" si="142"/>
        <v>11216-0000</v>
      </c>
      <c r="D2292" s="64" t="s">
        <v>2799</v>
      </c>
      <c r="E2292" s="64" t="s">
        <v>242</v>
      </c>
      <c r="F2292" s="64" t="s">
        <v>230</v>
      </c>
      <c r="G2292" s="64" t="s">
        <v>16</v>
      </c>
      <c r="H2292" s="64" t="s">
        <v>39</v>
      </c>
      <c r="I2292" s="64" t="s">
        <v>40</v>
      </c>
      <c r="J2292" s="67">
        <v>0</v>
      </c>
      <c r="K2292" s="62">
        <v>-10075</v>
      </c>
      <c r="L2292" s="33" t="e">
        <f>HLOOKUP(B2292,#REF!,1,0)</f>
        <v>#REF!</v>
      </c>
      <c r="M2292" s="33" t="str">
        <f t="shared" si="143"/>
        <v>BS</v>
      </c>
    </row>
    <row r="2293" spans="1:13" s="33" customFormat="true" ht="12.75" customHeight="true">
      <c r="A2293" s="33" t="str">
        <f t="shared" si="140"/>
        <v>WIL - Intercompany</v>
      </c>
      <c r="B2293" s="33" t="str">
        <f t="shared" si="141"/>
        <v>WIL</v>
      </c>
      <c r="C2293" s="33" t="str">
        <f t="shared" si="142"/>
        <v>11301-0000</v>
      </c>
      <c r="D2293" s="64" t="s">
        <v>2800</v>
      </c>
      <c r="E2293" s="64" t="s">
        <v>244</v>
      </c>
      <c r="F2293" s="64" t="s">
        <v>230</v>
      </c>
      <c r="G2293" s="64" t="s">
        <v>16</v>
      </c>
      <c r="H2293" s="64" t="s">
        <v>39</v>
      </c>
      <c r="I2293" s="64" t="s">
        <v>40</v>
      </c>
      <c r="J2293" s="67">
        <v>0</v>
      </c>
      <c r="K2293" s="62">
        <v>-10000</v>
      </c>
      <c r="L2293" s="33" t="e">
        <f>HLOOKUP(B2293,#REF!,1,0)</f>
        <v>#REF!</v>
      </c>
      <c r="M2293" s="33" t="str">
        <f t="shared" si="143"/>
        <v>BS</v>
      </c>
    </row>
    <row r="2294" spans="1:13" s="33" customFormat="true" ht="12.75" customHeight="true">
      <c r="A2294" s="33" t="str">
        <f t="shared" si="140"/>
        <v>WIL - Intercompany</v>
      </c>
      <c r="B2294" s="33" t="str">
        <f t="shared" si="141"/>
        <v>WIL</v>
      </c>
      <c r="C2294" s="33" t="str">
        <f t="shared" si="142"/>
        <v>11310-0000</v>
      </c>
      <c r="D2294" s="64" t="s">
        <v>2801</v>
      </c>
      <c r="E2294" s="64" t="s">
        <v>2495</v>
      </c>
      <c r="F2294" s="64" t="s">
        <v>230</v>
      </c>
      <c r="G2294" s="64" t="s">
        <v>362</v>
      </c>
      <c r="H2294" s="64" t="s">
        <v>39</v>
      </c>
      <c r="I2294" s="64" t="s">
        <v>40</v>
      </c>
      <c r="J2294" s="67">
        <v>0</v>
      </c>
      <c r="K2294" s="62">
        <v>-20000</v>
      </c>
      <c r="L2294" s="33" t="e">
        <f>HLOOKUP(B2294,#REF!,1,0)</f>
        <v>#REF!</v>
      </c>
      <c r="M2294" s="33" t="str">
        <f t="shared" si="143"/>
        <v>BS</v>
      </c>
    </row>
    <row r="2295" spans="1:13" s="33" customFormat="true" ht="12.75" customHeight="true">
      <c r="A2295" s="33" t="str">
        <f t="shared" si="140"/>
        <v>WIL - Intercompany</v>
      </c>
      <c r="B2295" s="33" t="str">
        <f t="shared" si="141"/>
        <v>WIL</v>
      </c>
      <c r="C2295" s="33" t="str">
        <f t="shared" si="142"/>
        <v>11316-0000</v>
      </c>
      <c r="D2295" s="64" t="s">
        <v>2802</v>
      </c>
      <c r="E2295" s="64" t="s">
        <v>264</v>
      </c>
      <c r="F2295" s="64" t="s">
        <v>230</v>
      </c>
      <c r="G2295" s="64" t="s">
        <v>362</v>
      </c>
      <c r="H2295" s="64" t="s">
        <v>39</v>
      </c>
      <c r="I2295" s="64" t="s">
        <v>40</v>
      </c>
      <c r="J2295" s="67">
        <v>0</v>
      </c>
      <c r="K2295" s="62">
        <v>5000</v>
      </c>
      <c r="L2295" s="33" t="e">
        <f>HLOOKUP(B2295,#REF!,1,0)</f>
        <v>#REF!</v>
      </c>
      <c r="M2295" s="33" t="str">
        <f t="shared" si="143"/>
        <v>BS</v>
      </c>
    </row>
    <row r="2296" spans="1:13" s="33" customFormat="true" ht="12.75" customHeight="true">
      <c r="A2296" s="33" t="str">
        <f t="shared" si="140"/>
        <v>WIL - Intercompany</v>
      </c>
      <c r="B2296" s="33" t="str">
        <f t="shared" si="141"/>
        <v>WIL</v>
      </c>
      <c r="C2296" s="33" t="str">
        <f t="shared" si="142"/>
        <v>11318-0000</v>
      </c>
      <c r="D2296" s="64" t="s">
        <v>2803</v>
      </c>
      <c r="E2296" s="64" t="s">
        <v>478</v>
      </c>
      <c r="F2296" s="64" t="s">
        <v>230</v>
      </c>
      <c r="G2296" s="64" t="s">
        <v>16</v>
      </c>
      <c r="H2296" s="64" t="s">
        <v>39</v>
      </c>
      <c r="I2296" s="64" t="s">
        <v>40</v>
      </c>
      <c r="J2296" s="67">
        <v>0</v>
      </c>
      <c r="K2296" s="62">
        <v>30000</v>
      </c>
      <c r="L2296" s="33" t="e">
        <f>HLOOKUP(B2296,#REF!,1,0)</f>
        <v>#REF!</v>
      </c>
      <c r="M2296" s="33" t="str">
        <f t="shared" si="143"/>
        <v>BS</v>
      </c>
    </row>
    <row r="2297" spans="1:13" s="33" customFormat="true" ht="12.75" customHeight="true">
      <c r="A2297" s="33" t="str">
        <f t="shared" si="140"/>
        <v>WIL - Intercompany</v>
      </c>
      <c r="B2297" s="33" t="str">
        <f t="shared" si="141"/>
        <v>WIL</v>
      </c>
      <c r="C2297" s="33" t="str">
        <f t="shared" si="142"/>
        <v>11328-0000</v>
      </c>
      <c r="D2297" s="64" t="s">
        <v>2804</v>
      </c>
      <c r="E2297" s="64" t="s">
        <v>278</v>
      </c>
      <c r="F2297" s="64" t="s">
        <v>230</v>
      </c>
      <c r="G2297" s="64" t="s">
        <v>16</v>
      </c>
      <c r="H2297" s="64" t="s">
        <v>39</v>
      </c>
      <c r="I2297" s="64" t="s">
        <v>40</v>
      </c>
      <c r="J2297" s="67">
        <v>0</v>
      </c>
      <c r="K2297" s="62">
        <v>10000</v>
      </c>
      <c r="L2297" s="33" t="e">
        <f>HLOOKUP(B2297,#REF!,1,0)</f>
        <v>#REF!</v>
      </c>
      <c r="M2297" s="33" t="str">
        <f t="shared" si="143"/>
        <v>BS</v>
      </c>
    </row>
    <row r="2298" spans="1:13" s="33" customFormat="true" ht="12.75" customHeight="true">
      <c r="A2298" s="33" t="str">
        <f t="shared" si="140"/>
        <v>WIL - Intercompany</v>
      </c>
      <c r="B2298" s="33" t="str">
        <f t="shared" si="141"/>
        <v>WIL</v>
      </c>
      <c r="C2298" s="33" t="str">
        <f t="shared" si="142"/>
        <v>11334-0000</v>
      </c>
      <c r="D2298" s="64" t="s">
        <v>2805</v>
      </c>
      <c r="E2298" s="64" t="s">
        <v>333</v>
      </c>
      <c r="F2298" s="64" t="s">
        <v>230</v>
      </c>
      <c r="G2298" s="64" t="s">
        <v>362</v>
      </c>
      <c r="H2298" s="64" t="s">
        <v>39</v>
      </c>
      <c r="I2298" s="64" t="s">
        <v>40</v>
      </c>
      <c r="J2298" s="67">
        <v>0</v>
      </c>
      <c r="K2298" s="62">
        <v>4000</v>
      </c>
      <c r="L2298" s="33" t="e">
        <f>HLOOKUP(B2298,#REF!,1,0)</f>
        <v>#REF!</v>
      </c>
      <c r="M2298" s="33" t="str">
        <f t="shared" si="143"/>
        <v>BS</v>
      </c>
    </row>
    <row r="2299" spans="1:13" s="33" customFormat="true" ht="12.75" customHeight="true">
      <c r="A2299" s="33" t="str">
        <f t="shared" si="140"/>
        <v>WIL - Intercompany</v>
      </c>
      <c r="B2299" s="33" t="str">
        <f t="shared" si="141"/>
        <v>WIL</v>
      </c>
      <c r="C2299" s="33" t="str">
        <f t="shared" si="142"/>
        <v>11335-0000</v>
      </c>
      <c r="D2299" s="64" t="s">
        <v>2806</v>
      </c>
      <c r="E2299" s="64" t="s">
        <v>288</v>
      </c>
      <c r="F2299" s="64" t="s">
        <v>230</v>
      </c>
      <c r="G2299" s="64" t="s">
        <v>16</v>
      </c>
      <c r="H2299" s="64" t="s">
        <v>39</v>
      </c>
      <c r="I2299" s="64" t="s">
        <v>40</v>
      </c>
      <c r="J2299" s="67">
        <v>0</v>
      </c>
      <c r="K2299" s="62">
        <v>8000</v>
      </c>
      <c r="L2299" s="33" t="e">
        <f>HLOOKUP(B2299,#REF!,1,0)</f>
        <v>#REF!</v>
      </c>
      <c r="M2299" s="33" t="str">
        <f t="shared" si="143"/>
        <v>BS</v>
      </c>
    </row>
    <row r="2300" spans="1:13" s="33" customFormat="true" ht="12.75" customHeight="true">
      <c r="A2300" s="33" t="str">
        <f t="shared" si="140"/>
        <v>WIL - Intercompany</v>
      </c>
      <c r="B2300" s="33" t="str">
        <f t="shared" si="141"/>
        <v>WIL</v>
      </c>
      <c r="C2300" s="33" t="str">
        <f t="shared" si="142"/>
        <v>11346-0000</v>
      </c>
      <c r="D2300" s="64" t="s">
        <v>2807</v>
      </c>
      <c r="E2300" s="64" t="s">
        <v>739</v>
      </c>
      <c r="F2300" s="64" t="s">
        <v>230</v>
      </c>
      <c r="G2300" s="64" t="s">
        <v>16</v>
      </c>
      <c r="H2300" s="64" t="s">
        <v>39</v>
      </c>
      <c r="I2300" s="64" t="s">
        <v>40</v>
      </c>
      <c r="J2300" s="67">
        <v>0</v>
      </c>
      <c r="K2300" s="62">
        <v>1352686.47</v>
      </c>
      <c r="L2300" s="33" t="e">
        <f>HLOOKUP(B2300,#REF!,1,0)</f>
        <v>#REF!</v>
      </c>
      <c r="M2300" s="33" t="str">
        <f t="shared" si="143"/>
        <v>BS</v>
      </c>
    </row>
    <row r="2301" spans="1:13" s="33" customFormat="true" ht="12.75" customHeight="true">
      <c r="A2301" s="33" t="str">
        <f t="shared" si="140"/>
        <v>WIL - Fixed Assets</v>
      </c>
      <c r="B2301" s="33" t="str">
        <f t="shared" si="141"/>
        <v>WIL</v>
      </c>
      <c r="C2301" s="33" t="str">
        <f t="shared" si="142"/>
        <v>15000-0000</v>
      </c>
      <c r="D2301" s="64" t="s">
        <v>2808</v>
      </c>
      <c r="E2301" s="64" t="s">
        <v>300</v>
      </c>
      <c r="F2301" s="64" t="s">
        <v>230</v>
      </c>
      <c r="G2301" s="64" t="s">
        <v>62</v>
      </c>
      <c r="H2301" s="64" t="s">
        <v>63</v>
      </c>
      <c r="I2301" s="64" t="s">
        <v>64</v>
      </c>
      <c r="J2301" s="67">
        <v>0</v>
      </c>
      <c r="K2301" s="62">
        <v>0.34</v>
      </c>
      <c r="L2301" s="33" t="e">
        <f>HLOOKUP(B2301,#REF!,1,0)</f>
        <v>#REF!</v>
      </c>
      <c r="M2301" s="33" t="str">
        <f t="shared" si="143"/>
        <v>BS</v>
      </c>
    </row>
    <row r="2302" spans="1:13" s="33" customFormat="true" ht="12.75" customHeight="true">
      <c r="A2302" s="33" t="str">
        <f t="shared" si="140"/>
        <v>WIL - Fixed Assets</v>
      </c>
      <c r="B2302" s="33" t="str">
        <f t="shared" si="141"/>
        <v>WIL</v>
      </c>
      <c r="C2302" s="33" t="str">
        <f t="shared" si="142"/>
        <v>15500-0000</v>
      </c>
      <c r="D2302" s="64" t="s">
        <v>2809</v>
      </c>
      <c r="E2302" s="64" t="s">
        <v>302</v>
      </c>
      <c r="F2302" s="64" t="s">
        <v>230</v>
      </c>
      <c r="G2302" s="64" t="s">
        <v>62</v>
      </c>
      <c r="H2302" s="64" t="s">
        <v>63</v>
      </c>
      <c r="I2302" s="64" t="s">
        <v>64</v>
      </c>
      <c r="J2302" s="67">
        <v>0</v>
      </c>
      <c r="K2302" s="62">
        <v>45772.56</v>
      </c>
      <c r="L2302" s="33" t="e">
        <f>HLOOKUP(B2302,#REF!,1,0)</f>
        <v>#REF!</v>
      </c>
      <c r="M2302" s="33" t="str">
        <f t="shared" si="143"/>
        <v>BS</v>
      </c>
    </row>
    <row r="2303" spans="1:13" s="33" customFormat="true" ht="12.75" customHeight="true">
      <c r="A2303" s="33" t="str">
        <f t="shared" si="140"/>
        <v>WIL - Fixed Assets</v>
      </c>
      <c r="B2303" s="33" t="str">
        <f t="shared" si="141"/>
        <v>WIL</v>
      </c>
      <c r="C2303" s="33" t="str">
        <f t="shared" si="142"/>
        <v>17000-0000</v>
      </c>
      <c r="D2303" s="64" t="s">
        <v>2810</v>
      </c>
      <c r="E2303" s="64" t="s">
        <v>306</v>
      </c>
      <c r="F2303" s="64" t="s">
        <v>230</v>
      </c>
      <c r="G2303" s="64" t="s">
        <v>62</v>
      </c>
      <c r="H2303" s="64" t="s">
        <v>63</v>
      </c>
      <c r="I2303" s="64" t="s">
        <v>64</v>
      </c>
      <c r="J2303" s="67">
        <v>0</v>
      </c>
      <c r="K2303" s="62">
        <v>-88798</v>
      </c>
      <c r="L2303" s="33" t="e">
        <f>HLOOKUP(B2303,#REF!,1,0)</f>
        <v>#REF!</v>
      </c>
      <c r="M2303" s="33" t="str">
        <f t="shared" si="143"/>
        <v>BS</v>
      </c>
    </row>
    <row r="2304" spans="1:13" s="33" customFormat="true" ht="12.75" customHeight="true">
      <c r="A2304" s="33" t="str">
        <f t="shared" si="140"/>
        <v>WIL - Fixed Assets</v>
      </c>
      <c r="B2304" s="33" t="str">
        <f t="shared" si="141"/>
        <v>WIL</v>
      </c>
      <c r="C2304" s="33" t="str">
        <f t="shared" si="142"/>
        <v>18000-0000</v>
      </c>
      <c r="D2304" s="64" t="s">
        <v>2811</v>
      </c>
      <c r="E2304" s="64" t="s">
        <v>308</v>
      </c>
      <c r="F2304" s="64" t="s">
        <v>230</v>
      </c>
      <c r="G2304" s="64" t="s">
        <v>62</v>
      </c>
      <c r="H2304" s="64" t="s">
        <v>63</v>
      </c>
      <c r="I2304" s="64" t="s">
        <v>64</v>
      </c>
      <c r="J2304" s="67">
        <v>0</v>
      </c>
      <c r="K2304" s="62">
        <v>-6539</v>
      </c>
      <c r="L2304" s="33" t="e">
        <f>HLOOKUP(B2304,#REF!,1,0)</f>
        <v>#REF!</v>
      </c>
      <c r="M2304" s="33" t="str">
        <f t="shared" si="143"/>
        <v>BS</v>
      </c>
    </row>
    <row r="2305" spans="1:13" s="33" customFormat="true" ht="12.75" customHeight="true">
      <c r="A2305" s="33" t="str">
        <f t="shared" si="140"/>
        <v>WIL - Deposits</v>
      </c>
      <c r="B2305" s="33" t="str">
        <f t="shared" si="141"/>
        <v>WIL</v>
      </c>
      <c r="C2305" s="33" t="str">
        <f t="shared" si="142"/>
        <v>19001-0000</v>
      </c>
      <c r="D2305" s="64" t="s">
        <v>2812</v>
      </c>
      <c r="E2305" s="64" t="s">
        <v>344</v>
      </c>
      <c r="F2305" s="64" t="s">
        <v>230</v>
      </c>
      <c r="G2305" s="64" t="s">
        <v>62</v>
      </c>
      <c r="H2305" s="64" t="s">
        <v>80</v>
      </c>
      <c r="I2305" s="64" t="s">
        <v>81</v>
      </c>
      <c r="J2305" s="67">
        <v>0</v>
      </c>
      <c r="K2305" s="62">
        <v>770</v>
      </c>
      <c r="L2305" s="33" t="e">
        <f>HLOOKUP(B2305,#REF!,1,0)</f>
        <v>#REF!</v>
      </c>
      <c r="M2305" s="33" t="str">
        <f t="shared" si="143"/>
        <v>BS</v>
      </c>
    </row>
    <row r="2306" spans="1:13" s="33" customFormat="true" ht="12.75" customHeight="true">
      <c r="A2306" s="33" t="str">
        <f t="shared" ref="A2306:A2369" si="144">B2306&amp;" - "&amp;TRIM(H2306)</f>
        <v>WIL - AP-Accr Exp</v>
      </c>
      <c r="B2306" s="33" t="str">
        <f t="shared" ref="B2306:B2369" si="145">LEFT(D2306,3)</f>
        <v>WIL</v>
      </c>
      <c r="C2306" s="33" t="str">
        <f t="shared" ref="C2306:C2369" si="146">RIGHT(D2306,10)</f>
        <v>20001-0000</v>
      </c>
      <c r="D2306" s="64" t="s">
        <v>2813</v>
      </c>
      <c r="E2306" s="64" t="s">
        <v>96</v>
      </c>
      <c r="F2306" s="64" t="s">
        <v>230</v>
      </c>
      <c r="G2306" s="64" t="s">
        <v>97</v>
      </c>
      <c r="H2306" s="64" t="s">
        <v>98</v>
      </c>
      <c r="I2306" s="64" t="s">
        <v>99</v>
      </c>
      <c r="J2306" s="67">
        <v>0</v>
      </c>
      <c r="K2306" s="62">
        <v>15.55</v>
      </c>
      <c r="L2306" s="33" t="e">
        <f>HLOOKUP(B2306,#REF!,1,0)</f>
        <v>#REF!</v>
      </c>
      <c r="M2306" s="33" t="str">
        <f t="shared" ref="M2306:M2369" si="147">IF(VALUE(LEFT(C2306,5))&gt;40000,"P&amp;L","BS")</f>
        <v>BS</v>
      </c>
    </row>
    <row r="2307" spans="1:13" s="33" customFormat="true" ht="12.75" customHeight="true">
      <c r="A2307" s="33" t="str">
        <f t="shared" si="144"/>
        <v>WIL - Principal</v>
      </c>
      <c r="B2307" s="33" t="str">
        <f t="shared" si="145"/>
        <v>WIL</v>
      </c>
      <c r="C2307" s="33" t="str">
        <f t="shared" si="146"/>
        <v>26800-0000</v>
      </c>
      <c r="D2307" s="64" t="s">
        <v>2814</v>
      </c>
      <c r="E2307" s="64" t="s">
        <v>402</v>
      </c>
      <c r="F2307" s="64" t="s">
        <v>230</v>
      </c>
      <c r="G2307" s="64" t="s">
        <v>97</v>
      </c>
      <c r="H2307" s="64" t="s">
        <v>127</v>
      </c>
      <c r="I2307" s="64" t="s">
        <v>128</v>
      </c>
      <c r="J2307" s="67">
        <v>0</v>
      </c>
      <c r="K2307" s="62">
        <v>-44200</v>
      </c>
      <c r="L2307" s="33" t="e">
        <f>HLOOKUP(B2307,#REF!,1,0)</f>
        <v>#REF!</v>
      </c>
      <c r="M2307" s="33" t="str">
        <f t="shared" si="147"/>
        <v>BS</v>
      </c>
    </row>
    <row r="2308" spans="1:13" s="33" customFormat="true" ht="12.75" customHeight="true">
      <c r="A2308" s="33" t="str">
        <f t="shared" si="144"/>
        <v>WIL - SH Dist</v>
      </c>
      <c r="B2308" s="33" t="str">
        <f t="shared" si="145"/>
        <v>WIL</v>
      </c>
      <c r="C2308" s="33" t="str">
        <f t="shared" si="146"/>
        <v>30700-0000</v>
      </c>
      <c r="D2308" s="64" t="s">
        <v>2815</v>
      </c>
      <c r="E2308" s="64" t="s">
        <v>2816</v>
      </c>
      <c r="F2308" s="64" t="s">
        <v>230</v>
      </c>
      <c r="G2308" s="64" t="s">
        <v>142</v>
      </c>
      <c r="H2308" s="64" t="s">
        <v>143</v>
      </c>
      <c r="I2308" s="64" t="s">
        <v>144</v>
      </c>
      <c r="J2308" s="67">
        <v>0</v>
      </c>
      <c r="K2308" s="62">
        <v>-1138863.5</v>
      </c>
      <c r="L2308" s="33" t="e">
        <f>HLOOKUP(B2308,#REF!,1,0)</f>
        <v>#REF!</v>
      </c>
      <c r="M2308" s="33" t="str">
        <f t="shared" si="147"/>
        <v>BS</v>
      </c>
    </row>
    <row r="2309" spans="1:13" s="33" customFormat="true" ht="12.75" customHeight="true">
      <c r="A2309" s="33" t="str">
        <f t="shared" si="144"/>
        <v>WIL - SH Dist</v>
      </c>
      <c r="B2309" s="33" t="str">
        <f t="shared" si="145"/>
        <v>WIL</v>
      </c>
      <c r="C2309" s="33" t="str">
        <f t="shared" si="146"/>
        <v>30801-0000</v>
      </c>
      <c r="D2309" s="64" t="s">
        <v>2817</v>
      </c>
      <c r="E2309" s="64" t="s">
        <v>2818</v>
      </c>
      <c r="F2309" s="64" t="s">
        <v>230</v>
      </c>
      <c r="G2309" s="64" t="s">
        <v>142</v>
      </c>
      <c r="H2309" s="64" t="s">
        <v>143</v>
      </c>
      <c r="I2309" s="64" t="s">
        <v>144</v>
      </c>
      <c r="J2309" s="67">
        <v>0</v>
      </c>
      <c r="K2309" s="62">
        <v>-50000</v>
      </c>
      <c r="L2309" s="33" t="e">
        <f>HLOOKUP(B2309,#REF!,1,0)</f>
        <v>#REF!</v>
      </c>
      <c r="M2309" s="33" t="str">
        <f t="shared" si="147"/>
        <v>BS</v>
      </c>
    </row>
    <row r="2310" spans="1:13" s="33" customFormat="true" ht="12.75" customHeight="true">
      <c r="A2310" s="33" t="str">
        <f t="shared" si="144"/>
        <v>WIL - Retained Earnings</v>
      </c>
      <c r="B2310" s="33" t="str">
        <f t="shared" si="145"/>
        <v>WIL</v>
      </c>
      <c r="C2310" s="33" t="str">
        <f t="shared" si="146"/>
        <v>32000-0000</v>
      </c>
      <c r="D2310" s="64" t="s">
        <v>2819</v>
      </c>
      <c r="E2310" s="64" t="s">
        <v>234</v>
      </c>
      <c r="F2310" s="64" t="s">
        <v>230</v>
      </c>
      <c r="G2310" s="64" t="s">
        <v>142</v>
      </c>
      <c r="H2310" s="64" t="s">
        <v>149</v>
      </c>
      <c r="I2310" s="64" t="s">
        <v>235</v>
      </c>
      <c r="J2310" s="67">
        <v>0</v>
      </c>
      <c r="K2310" s="62">
        <v>-93548.56</v>
      </c>
      <c r="L2310" s="33" t="e">
        <f>HLOOKUP(B2310,#REF!,1,0)</f>
        <v>#REF!</v>
      </c>
      <c r="M2310" s="33" t="str">
        <f t="shared" si="147"/>
        <v>BS</v>
      </c>
    </row>
    <row r="2311" spans="1:13" s="33" customFormat="true" ht="12.75" customHeight="true">
      <c r="A2311" s="33" t="str">
        <f t="shared" si="144"/>
        <v>WOO - Cash</v>
      </c>
      <c r="B2311" s="33" t="str">
        <f t="shared" si="145"/>
        <v>WOO</v>
      </c>
      <c r="C2311" s="33" t="str">
        <f t="shared" si="146"/>
        <v>10001-0000</v>
      </c>
      <c r="D2311" s="64" t="s">
        <v>2820</v>
      </c>
      <c r="E2311" s="64" t="s">
        <v>240</v>
      </c>
      <c r="F2311" s="64" t="s">
        <v>230</v>
      </c>
      <c r="G2311" s="64" t="s">
        <v>16</v>
      </c>
      <c r="H2311" s="64" t="s">
        <v>25</v>
      </c>
      <c r="I2311" s="64" t="s">
        <v>18</v>
      </c>
      <c r="J2311" s="67">
        <v>-1425.93</v>
      </c>
      <c r="K2311" s="62">
        <v>57856.84</v>
      </c>
      <c r="L2311" s="33" t="e">
        <f>HLOOKUP(B2311,#REF!,1,0)</f>
        <v>#REF!</v>
      </c>
      <c r="M2311" s="33" t="str">
        <f t="shared" si="147"/>
        <v>BS</v>
      </c>
    </row>
    <row r="2312" spans="1:13" s="33" customFormat="true" ht="12.75" customHeight="true">
      <c r="A2312" s="33" t="str">
        <f t="shared" si="144"/>
        <v>WOO - AR-PPD</v>
      </c>
      <c r="B2312" s="33" t="str">
        <f t="shared" si="145"/>
        <v>WOO</v>
      </c>
      <c r="C2312" s="33" t="str">
        <f t="shared" si="146"/>
        <v>11000-0000</v>
      </c>
      <c r="D2312" s="64" t="s">
        <v>2821</v>
      </c>
      <c r="E2312" s="64" t="s">
        <v>34</v>
      </c>
      <c r="F2312" s="64" t="s">
        <v>230</v>
      </c>
      <c r="G2312" s="64" t="s">
        <v>16</v>
      </c>
      <c r="H2312" s="64" t="s">
        <v>35</v>
      </c>
      <c r="I2312" s="64" t="s">
        <v>36</v>
      </c>
      <c r="J2312" s="67">
        <v>0</v>
      </c>
      <c r="K2312" s="62">
        <v>0</v>
      </c>
      <c r="L2312" s="33" t="e">
        <f>HLOOKUP(B2312,#REF!,1,0)</f>
        <v>#REF!</v>
      </c>
      <c r="M2312" s="33" t="str">
        <f t="shared" si="147"/>
        <v>BS</v>
      </c>
    </row>
    <row r="2313" spans="1:13" s="33" customFormat="true" ht="12.75" customHeight="true">
      <c r="A2313" s="33" t="str">
        <f t="shared" si="144"/>
        <v>WOO - Intercompany</v>
      </c>
      <c r="B2313" s="33" t="str">
        <f t="shared" si="145"/>
        <v>WOO</v>
      </c>
      <c r="C2313" s="33" t="str">
        <f t="shared" si="146"/>
        <v>11216-0000</v>
      </c>
      <c r="D2313" s="64" t="s">
        <v>2822</v>
      </c>
      <c r="E2313" s="64" t="s">
        <v>242</v>
      </c>
      <c r="F2313" s="64" t="s">
        <v>230</v>
      </c>
      <c r="G2313" s="64" t="s">
        <v>16</v>
      </c>
      <c r="H2313" s="64" t="s">
        <v>39</v>
      </c>
      <c r="I2313" s="64" t="s">
        <v>40</v>
      </c>
      <c r="J2313" s="67">
        <v>481.97</v>
      </c>
      <c r="K2313" s="62">
        <v>9476.87</v>
      </c>
      <c r="L2313" s="33" t="e">
        <f>HLOOKUP(B2313,#REF!,1,0)</f>
        <v>#REF!</v>
      </c>
      <c r="M2313" s="33" t="str">
        <f t="shared" si="147"/>
        <v>BS</v>
      </c>
    </row>
    <row r="2314" spans="1:13" s="33" customFormat="true" ht="12.75" customHeight="true">
      <c r="A2314" s="33" t="str">
        <f t="shared" si="144"/>
        <v>WOO - Intercompany</v>
      </c>
      <c r="B2314" s="33" t="str">
        <f t="shared" si="145"/>
        <v>WOO</v>
      </c>
      <c r="C2314" s="33" t="str">
        <f t="shared" si="146"/>
        <v>11311-0000</v>
      </c>
      <c r="D2314" s="64" t="s">
        <v>2823</v>
      </c>
      <c r="E2314" s="64" t="s">
        <v>258</v>
      </c>
      <c r="F2314" s="64" t="s">
        <v>230</v>
      </c>
      <c r="G2314" s="64" t="s">
        <v>16</v>
      </c>
      <c r="H2314" s="64" t="s">
        <v>39</v>
      </c>
      <c r="I2314" s="64" t="s">
        <v>40</v>
      </c>
      <c r="J2314" s="67">
        <v>0</v>
      </c>
      <c r="K2314" s="62">
        <v>-5000</v>
      </c>
      <c r="L2314" s="33" t="e">
        <f>HLOOKUP(B2314,#REF!,1,0)</f>
        <v>#REF!</v>
      </c>
      <c r="M2314" s="33" t="str">
        <f t="shared" si="147"/>
        <v>BS</v>
      </c>
    </row>
    <row r="2315" spans="1:13" s="33" customFormat="true" ht="12.75" customHeight="true">
      <c r="A2315" s="33" t="str">
        <f t="shared" si="144"/>
        <v>WOO - Intercompany</v>
      </c>
      <c r="B2315" s="33" t="str">
        <f t="shared" si="145"/>
        <v>WOO</v>
      </c>
      <c r="C2315" s="33" t="str">
        <f t="shared" si="146"/>
        <v>11317-0000</v>
      </c>
      <c r="D2315" s="64" t="s">
        <v>2824</v>
      </c>
      <c r="E2315" s="64" t="s">
        <v>520</v>
      </c>
      <c r="F2315" s="64" t="s">
        <v>230</v>
      </c>
      <c r="G2315" s="64" t="s">
        <v>16</v>
      </c>
      <c r="H2315" s="64" t="s">
        <v>39</v>
      </c>
      <c r="I2315" s="64" t="s">
        <v>40</v>
      </c>
      <c r="J2315" s="67">
        <v>0</v>
      </c>
      <c r="K2315" s="62">
        <v>-3000</v>
      </c>
      <c r="L2315" s="33" t="e">
        <f>HLOOKUP(B2315,#REF!,1,0)</f>
        <v>#REF!</v>
      </c>
      <c r="M2315" s="33" t="str">
        <f t="shared" si="147"/>
        <v>BS</v>
      </c>
    </row>
    <row r="2316" spans="1:13" s="33" customFormat="true" ht="12.75" customHeight="true">
      <c r="A2316" s="33" t="str">
        <f t="shared" si="144"/>
        <v>WOO - Intercompany</v>
      </c>
      <c r="B2316" s="33" t="str">
        <f t="shared" si="145"/>
        <v>WOO</v>
      </c>
      <c r="C2316" s="33" t="str">
        <f t="shared" si="146"/>
        <v>11320-0000</v>
      </c>
      <c r="D2316" s="64" t="s">
        <v>2825</v>
      </c>
      <c r="E2316" s="64" t="s">
        <v>328</v>
      </c>
      <c r="F2316" s="64" t="s">
        <v>230</v>
      </c>
      <c r="G2316" s="64" t="s">
        <v>16</v>
      </c>
      <c r="H2316" s="64" t="s">
        <v>39</v>
      </c>
      <c r="I2316" s="64" t="s">
        <v>40</v>
      </c>
      <c r="J2316" s="67">
        <v>0</v>
      </c>
      <c r="K2316" s="62">
        <v>10000</v>
      </c>
      <c r="L2316" s="33" t="e">
        <f>HLOOKUP(B2316,#REF!,1,0)</f>
        <v>#REF!</v>
      </c>
      <c r="M2316" s="33" t="str">
        <f t="shared" si="147"/>
        <v>BS</v>
      </c>
    </row>
    <row r="2317" spans="1:13" s="33" customFormat="true" ht="12.75" customHeight="true">
      <c r="A2317" s="33" t="str">
        <f t="shared" si="144"/>
        <v>WOO - Intercompany</v>
      </c>
      <c r="B2317" s="33" t="str">
        <f t="shared" si="145"/>
        <v>WOO</v>
      </c>
      <c r="C2317" s="33" t="str">
        <f t="shared" si="146"/>
        <v>11329-0000</v>
      </c>
      <c r="D2317" s="64" t="s">
        <v>2826</v>
      </c>
      <c r="E2317" s="64" t="s">
        <v>377</v>
      </c>
      <c r="F2317" s="64" t="s">
        <v>230</v>
      </c>
      <c r="G2317" s="64" t="s">
        <v>16</v>
      </c>
      <c r="H2317" s="64" t="s">
        <v>39</v>
      </c>
      <c r="I2317" s="64" t="s">
        <v>40</v>
      </c>
      <c r="J2317" s="67">
        <v>0</v>
      </c>
      <c r="K2317" s="62">
        <v>-5000</v>
      </c>
      <c r="L2317" s="33" t="e">
        <f>HLOOKUP(B2317,#REF!,1,0)</f>
        <v>#REF!</v>
      </c>
      <c r="M2317" s="33" t="str">
        <f t="shared" si="147"/>
        <v>BS</v>
      </c>
    </row>
    <row r="2318" spans="1:13" s="33" customFormat="true" ht="12.75" customHeight="true">
      <c r="A2318" s="33" t="str">
        <f t="shared" si="144"/>
        <v>WOO - Intercompany</v>
      </c>
      <c r="B2318" s="33" t="str">
        <f t="shared" si="145"/>
        <v>WOO</v>
      </c>
      <c r="C2318" s="33" t="str">
        <f t="shared" si="146"/>
        <v>11343-0000</v>
      </c>
      <c r="D2318" s="64" t="s">
        <v>2827</v>
      </c>
      <c r="E2318" s="64" t="s">
        <v>600</v>
      </c>
      <c r="F2318" s="64" t="s">
        <v>230</v>
      </c>
      <c r="G2318" s="64" t="s">
        <v>16</v>
      </c>
      <c r="H2318" s="64" t="s">
        <v>39</v>
      </c>
      <c r="I2318" s="64" t="s">
        <v>40</v>
      </c>
      <c r="J2318" s="67">
        <v>0</v>
      </c>
      <c r="K2318" s="62">
        <v>-15000</v>
      </c>
      <c r="L2318" s="33" t="e">
        <f>HLOOKUP(B2318,#REF!,1,0)</f>
        <v>#REF!</v>
      </c>
      <c r="M2318" s="33" t="str">
        <f t="shared" si="147"/>
        <v>BS</v>
      </c>
    </row>
    <row r="2319" spans="1:13" s="33" customFormat="true" ht="12.75" customHeight="true">
      <c r="A2319" s="33" t="str">
        <f t="shared" si="144"/>
        <v>WOO - Fixed Assets</v>
      </c>
      <c r="B2319" s="33" t="str">
        <f t="shared" si="145"/>
        <v>WOO</v>
      </c>
      <c r="C2319" s="33" t="str">
        <f t="shared" si="146"/>
        <v>14000-0000</v>
      </c>
      <c r="D2319" s="64" t="s">
        <v>2828</v>
      </c>
      <c r="E2319" s="64" t="s">
        <v>298</v>
      </c>
      <c r="F2319" s="64" t="s">
        <v>230</v>
      </c>
      <c r="G2319" s="64" t="s">
        <v>62</v>
      </c>
      <c r="H2319" s="64" t="s">
        <v>63</v>
      </c>
      <c r="I2319" s="64" t="s">
        <v>64</v>
      </c>
      <c r="J2319" s="67">
        <v>0</v>
      </c>
      <c r="K2319" s="62">
        <v>1461520.5</v>
      </c>
      <c r="L2319" s="33" t="e">
        <f>HLOOKUP(B2319,#REF!,1,0)</f>
        <v>#REF!</v>
      </c>
      <c r="M2319" s="33" t="str">
        <f t="shared" si="147"/>
        <v>BS</v>
      </c>
    </row>
    <row r="2320" spans="1:13" s="33" customFormat="true" ht="12.75" customHeight="true">
      <c r="A2320" s="33" t="str">
        <f t="shared" si="144"/>
        <v>WOO - Fixed Assets</v>
      </c>
      <c r="B2320" s="33" t="str">
        <f t="shared" si="145"/>
        <v>WOO</v>
      </c>
      <c r="C2320" s="33" t="str">
        <f t="shared" si="146"/>
        <v>15000-0000</v>
      </c>
      <c r="D2320" s="64" t="s">
        <v>2829</v>
      </c>
      <c r="E2320" s="64" t="s">
        <v>300</v>
      </c>
      <c r="F2320" s="64" t="s">
        <v>230</v>
      </c>
      <c r="G2320" s="64" t="s">
        <v>62</v>
      </c>
      <c r="H2320" s="64" t="s">
        <v>63</v>
      </c>
      <c r="I2320" s="64" t="s">
        <v>64</v>
      </c>
      <c r="J2320" s="67">
        <v>0</v>
      </c>
      <c r="K2320" s="62">
        <v>2923479.5</v>
      </c>
      <c r="L2320" s="33" t="e">
        <f>HLOOKUP(B2320,#REF!,1,0)</f>
        <v>#REF!</v>
      </c>
      <c r="M2320" s="33" t="str">
        <f t="shared" si="147"/>
        <v>BS</v>
      </c>
    </row>
    <row r="2321" spans="1:13" s="33" customFormat="true" ht="12.75" customHeight="true">
      <c r="A2321" s="33" t="str">
        <f t="shared" si="144"/>
        <v>WOO - Fixed Assets</v>
      </c>
      <c r="B2321" s="33" t="str">
        <f t="shared" si="145"/>
        <v>WOO</v>
      </c>
      <c r="C2321" s="33" t="str">
        <f t="shared" si="146"/>
        <v>15500-0000</v>
      </c>
      <c r="D2321" s="64" t="s">
        <v>2830</v>
      </c>
      <c r="E2321" s="64" t="s">
        <v>302</v>
      </c>
      <c r="F2321" s="64" t="s">
        <v>230</v>
      </c>
      <c r="G2321" s="64" t="s">
        <v>62</v>
      </c>
      <c r="H2321" s="64" t="s">
        <v>63</v>
      </c>
      <c r="I2321" s="64" t="s">
        <v>64</v>
      </c>
      <c r="J2321" s="67">
        <v>0</v>
      </c>
      <c r="K2321" s="62">
        <v>198806.1</v>
      </c>
      <c r="L2321" s="33" t="e">
        <f>HLOOKUP(B2321,#REF!,1,0)</f>
        <v>#REF!</v>
      </c>
      <c r="M2321" s="33" t="str">
        <f t="shared" si="147"/>
        <v>BS</v>
      </c>
    </row>
    <row r="2322" spans="1:13" s="33" customFormat="true" ht="12.75" customHeight="true">
      <c r="A2322" s="33" t="str">
        <f t="shared" si="144"/>
        <v>WOO - Fixed Assets</v>
      </c>
      <c r="B2322" s="33" t="str">
        <f t="shared" si="145"/>
        <v>WOO</v>
      </c>
      <c r="C2322" s="33" t="str">
        <f t="shared" si="146"/>
        <v>15600-0000</v>
      </c>
      <c r="D2322" s="64" t="s">
        <v>2831</v>
      </c>
      <c r="E2322" s="64" t="s">
        <v>337</v>
      </c>
      <c r="F2322" s="64" t="s">
        <v>230</v>
      </c>
      <c r="G2322" s="64" t="s">
        <v>16</v>
      </c>
      <c r="H2322" s="64" t="s">
        <v>63</v>
      </c>
      <c r="I2322" s="64" t="s">
        <v>64</v>
      </c>
      <c r="J2322" s="67">
        <v>0</v>
      </c>
      <c r="K2322" s="62">
        <v>8031.75</v>
      </c>
      <c r="L2322" s="33" t="e">
        <f>HLOOKUP(B2322,#REF!,1,0)</f>
        <v>#REF!</v>
      </c>
      <c r="M2322" s="33" t="str">
        <f t="shared" si="147"/>
        <v>BS</v>
      </c>
    </row>
    <row r="2323" spans="1:13" s="33" customFormat="true" ht="12.75" customHeight="true">
      <c r="A2323" s="33" t="str">
        <f t="shared" si="144"/>
        <v>WOO - Fixed Assets</v>
      </c>
      <c r="B2323" s="33" t="str">
        <f t="shared" si="145"/>
        <v>WOO</v>
      </c>
      <c r="C2323" s="33" t="str">
        <f t="shared" si="146"/>
        <v>16000-0000</v>
      </c>
      <c r="D2323" s="64" t="s">
        <v>2832</v>
      </c>
      <c r="E2323" s="64" t="s">
        <v>304</v>
      </c>
      <c r="F2323" s="64" t="s">
        <v>230</v>
      </c>
      <c r="G2323" s="64" t="s">
        <v>16</v>
      </c>
      <c r="H2323" s="64" t="s">
        <v>63</v>
      </c>
      <c r="I2323" s="64" t="s">
        <v>18</v>
      </c>
      <c r="J2323" s="67">
        <v>0</v>
      </c>
      <c r="K2323" s="62">
        <v>25348.12</v>
      </c>
      <c r="L2323" s="33" t="e">
        <f>HLOOKUP(B2323,#REF!,1,0)</f>
        <v>#REF!</v>
      </c>
      <c r="M2323" s="33" t="str">
        <f t="shared" si="147"/>
        <v>BS</v>
      </c>
    </row>
    <row r="2324" spans="1:13" s="33" customFormat="true" ht="12.75" customHeight="true">
      <c r="A2324" s="33" t="str">
        <f t="shared" si="144"/>
        <v>WOO - Fixed Assets</v>
      </c>
      <c r="B2324" s="33" t="str">
        <f t="shared" si="145"/>
        <v>WOO</v>
      </c>
      <c r="C2324" s="33" t="str">
        <f t="shared" si="146"/>
        <v>17000-0000</v>
      </c>
      <c r="D2324" s="64" t="s">
        <v>2833</v>
      </c>
      <c r="E2324" s="64" t="s">
        <v>306</v>
      </c>
      <c r="F2324" s="64" t="s">
        <v>230</v>
      </c>
      <c r="G2324" s="64" t="s">
        <v>62</v>
      </c>
      <c r="H2324" s="64" t="s">
        <v>63</v>
      </c>
      <c r="I2324" s="64" t="s">
        <v>64</v>
      </c>
      <c r="J2324" s="67">
        <v>0</v>
      </c>
      <c r="K2324" s="62">
        <v>-342391</v>
      </c>
      <c r="L2324" s="33" t="e">
        <f>HLOOKUP(B2324,#REF!,1,0)</f>
        <v>#REF!</v>
      </c>
      <c r="M2324" s="33" t="str">
        <f t="shared" si="147"/>
        <v>BS</v>
      </c>
    </row>
    <row r="2325" spans="1:13" s="33" customFormat="true" ht="12.75" customHeight="true">
      <c r="A2325" s="33" t="str">
        <f t="shared" si="144"/>
        <v>WOO - Fixed Assets</v>
      </c>
      <c r="B2325" s="33" t="str">
        <f t="shared" si="145"/>
        <v>WOO</v>
      </c>
      <c r="C2325" s="33" t="str">
        <f t="shared" si="146"/>
        <v>18000-0000</v>
      </c>
      <c r="D2325" s="64" t="s">
        <v>2834</v>
      </c>
      <c r="E2325" s="64" t="s">
        <v>308</v>
      </c>
      <c r="F2325" s="64" t="s">
        <v>230</v>
      </c>
      <c r="G2325" s="64" t="s">
        <v>62</v>
      </c>
      <c r="H2325" s="64" t="s">
        <v>63</v>
      </c>
      <c r="I2325" s="64" t="s">
        <v>64</v>
      </c>
      <c r="J2325" s="67">
        <v>0</v>
      </c>
      <c r="K2325" s="62">
        <v>-27393</v>
      </c>
      <c r="L2325" s="33" t="e">
        <f>HLOOKUP(B2325,#REF!,1,0)</f>
        <v>#REF!</v>
      </c>
      <c r="M2325" s="33" t="str">
        <f t="shared" si="147"/>
        <v>BS</v>
      </c>
    </row>
    <row r="2326" spans="1:13" s="33" customFormat="true" ht="12.75" customHeight="true">
      <c r="A2326" s="33" t="str">
        <f t="shared" si="144"/>
        <v>WOO - Deposits</v>
      </c>
      <c r="B2326" s="33" t="str">
        <f t="shared" si="145"/>
        <v>WOO</v>
      </c>
      <c r="C2326" s="33" t="str">
        <f t="shared" si="146"/>
        <v>19001-0000</v>
      </c>
      <c r="D2326" s="64" t="s">
        <v>2835</v>
      </c>
      <c r="E2326" s="64" t="s">
        <v>344</v>
      </c>
      <c r="F2326" s="64" t="s">
        <v>230</v>
      </c>
      <c r="G2326" s="64" t="s">
        <v>62</v>
      </c>
      <c r="H2326" s="64" t="s">
        <v>80</v>
      </c>
      <c r="I2326" s="64" t="s">
        <v>81</v>
      </c>
      <c r="J2326" s="67">
        <v>0</v>
      </c>
      <c r="K2326" s="62">
        <v>3835.49</v>
      </c>
      <c r="L2326" s="33" t="e">
        <f>HLOOKUP(B2326,#REF!,1,0)</f>
        <v>#REF!</v>
      </c>
      <c r="M2326" s="33" t="str">
        <f t="shared" si="147"/>
        <v>BS</v>
      </c>
    </row>
    <row r="2327" spans="1:13" s="33" customFormat="true" ht="12.75" customHeight="true">
      <c r="A2327" s="33" t="str">
        <f t="shared" si="144"/>
        <v>WOO - AP-Accr Exp</v>
      </c>
      <c r="B2327" s="33" t="str">
        <f t="shared" si="145"/>
        <v>WOO</v>
      </c>
      <c r="C2327" s="33" t="str">
        <f t="shared" si="146"/>
        <v>20000-0000</v>
      </c>
      <c r="D2327" s="64" t="s">
        <v>2836</v>
      </c>
      <c r="E2327" s="64" t="s">
        <v>96</v>
      </c>
      <c r="F2327" s="64" t="s">
        <v>230</v>
      </c>
      <c r="G2327" s="64" t="s">
        <v>97</v>
      </c>
      <c r="H2327" s="64" t="s">
        <v>98</v>
      </c>
      <c r="I2327" s="64" t="s">
        <v>99</v>
      </c>
      <c r="J2327" s="67">
        <v>0</v>
      </c>
      <c r="K2327" s="62">
        <v>0</v>
      </c>
      <c r="L2327" s="33" t="e">
        <f>HLOOKUP(B2327,#REF!,1,0)</f>
        <v>#REF!</v>
      </c>
      <c r="M2327" s="33" t="str">
        <f t="shared" si="147"/>
        <v>BS</v>
      </c>
    </row>
    <row r="2328" spans="1:13" s="33" customFormat="true" ht="12.75" customHeight="true">
      <c r="A2328" s="33" t="str">
        <f t="shared" si="144"/>
        <v>WOO - AP-Accr Exp</v>
      </c>
      <c r="B2328" s="33" t="str">
        <f t="shared" si="145"/>
        <v>WOO</v>
      </c>
      <c r="C2328" s="33" t="str">
        <f t="shared" si="146"/>
        <v>23509-0000</v>
      </c>
      <c r="D2328" s="64" t="s">
        <v>2837</v>
      </c>
      <c r="E2328" s="64" t="s">
        <v>111</v>
      </c>
      <c r="F2328" s="64" t="s">
        <v>230</v>
      </c>
      <c r="G2328" s="64" t="s">
        <v>97</v>
      </c>
      <c r="H2328" s="64" t="s">
        <v>98</v>
      </c>
      <c r="I2328" s="64" t="s">
        <v>102</v>
      </c>
      <c r="J2328" s="67">
        <v>0</v>
      </c>
      <c r="K2328" s="62">
        <v>0</v>
      </c>
      <c r="L2328" s="33" t="e">
        <f>HLOOKUP(B2328,#REF!,1,0)</f>
        <v>#REF!</v>
      </c>
      <c r="M2328" s="33" t="str">
        <f t="shared" si="147"/>
        <v>BS</v>
      </c>
    </row>
    <row r="2329" spans="1:13" s="33" customFormat="true" ht="12.75" customHeight="true">
      <c r="A2329" s="33" t="str">
        <f t="shared" si="144"/>
        <v>WOO - AP-Accr Exp</v>
      </c>
      <c r="B2329" s="33" t="str">
        <f t="shared" si="145"/>
        <v>WOO</v>
      </c>
      <c r="C2329" s="33" t="str">
        <f t="shared" si="146"/>
        <v>24800-0000</v>
      </c>
      <c r="D2329" s="64" t="s">
        <v>2838</v>
      </c>
      <c r="E2329" s="64" t="s">
        <v>232</v>
      </c>
      <c r="F2329" s="64" t="s">
        <v>230</v>
      </c>
      <c r="G2329" s="64" t="s">
        <v>97</v>
      </c>
      <c r="H2329" s="64" t="s">
        <v>98</v>
      </c>
      <c r="I2329" s="64" t="s">
        <v>102</v>
      </c>
      <c r="J2329" s="67">
        <v>0</v>
      </c>
      <c r="K2329" s="62">
        <v>-28050</v>
      </c>
      <c r="L2329" s="33" t="e">
        <f>HLOOKUP(B2329,#REF!,1,0)</f>
        <v>#REF!</v>
      </c>
      <c r="M2329" s="33" t="str">
        <f t="shared" si="147"/>
        <v>BS</v>
      </c>
    </row>
    <row r="2330" spans="1:13" s="33" customFormat="true" ht="12.75" customHeight="true">
      <c r="A2330" s="33" t="str">
        <f t="shared" si="144"/>
        <v>WOO - AP-Accr Exp</v>
      </c>
      <c r="B2330" s="33" t="str">
        <f t="shared" si="145"/>
        <v>WOO</v>
      </c>
      <c r="C2330" s="33" t="str">
        <f t="shared" si="146"/>
        <v>24801-0000</v>
      </c>
      <c r="D2330" s="64" t="s">
        <v>2839</v>
      </c>
      <c r="E2330" s="64" t="s">
        <v>399</v>
      </c>
      <c r="F2330" s="64" t="s">
        <v>230</v>
      </c>
      <c r="G2330" s="64" t="s">
        <v>350</v>
      </c>
      <c r="H2330" s="64" t="s">
        <v>98</v>
      </c>
      <c r="I2330" s="64" t="s">
        <v>102</v>
      </c>
      <c r="J2330" s="67">
        <v>0</v>
      </c>
      <c r="K2330" s="62">
        <v>0</v>
      </c>
      <c r="L2330" s="33" t="e">
        <f>HLOOKUP(B2330,#REF!,1,0)</f>
        <v>#REF!</v>
      </c>
      <c r="M2330" s="33" t="str">
        <f t="shared" si="147"/>
        <v>BS</v>
      </c>
    </row>
    <row r="2331" spans="1:13" s="33" customFormat="true" ht="12.75" customHeight="true">
      <c r="A2331" s="33" t="str">
        <f t="shared" si="144"/>
        <v>WOO - InterCo Notes</v>
      </c>
      <c r="B2331" s="33" t="str">
        <f t="shared" si="145"/>
        <v>WOO</v>
      </c>
      <c r="C2331" s="33" t="str">
        <f t="shared" si="146"/>
        <v>25000-0000</v>
      </c>
      <c r="D2331" s="64" t="s">
        <v>2840</v>
      </c>
      <c r="E2331" s="64" t="s">
        <v>314</v>
      </c>
      <c r="F2331" s="64" t="s">
        <v>230</v>
      </c>
      <c r="G2331" s="64" t="s">
        <v>16</v>
      </c>
      <c r="H2331" s="64" t="s">
        <v>315</v>
      </c>
      <c r="I2331" s="64" t="s">
        <v>40</v>
      </c>
      <c r="J2331" s="67">
        <v>0</v>
      </c>
      <c r="K2331" s="62">
        <v>-1876000</v>
      </c>
      <c r="L2331" s="33" t="e">
        <f>HLOOKUP(B2331,#REF!,1,0)</f>
        <v>#REF!</v>
      </c>
      <c r="M2331" s="33" t="str">
        <f t="shared" si="147"/>
        <v>BS</v>
      </c>
    </row>
    <row r="2332" spans="1:13" s="33" customFormat="true" ht="12.75" customHeight="true">
      <c r="A2332" s="33" t="str">
        <f t="shared" si="144"/>
        <v>WOO - Principal</v>
      </c>
      <c r="B2332" s="33" t="str">
        <f t="shared" si="145"/>
        <v>WOO</v>
      </c>
      <c r="C2332" s="33" t="str">
        <f t="shared" si="146"/>
        <v>26800-0000</v>
      </c>
      <c r="D2332" s="64" t="s">
        <v>2841</v>
      </c>
      <c r="E2332" s="64" t="s">
        <v>402</v>
      </c>
      <c r="F2332" s="64" t="s">
        <v>230</v>
      </c>
      <c r="G2332" s="64" t="s">
        <v>97</v>
      </c>
      <c r="H2332" s="64" t="s">
        <v>127</v>
      </c>
      <c r="I2332" s="64" t="s">
        <v>128</v>
      </c>
      <c r="J2332" s="67">
        <v>0</v>
      </c>
      <c r="K2332" s="62">
        <v>-150000</v>
      </c>
      <c r="L2332" s="33" t="e">
        <f>HLOOKUP(B2332,#REF!,1,0)</f>
        <v>#REF!</v>
      </c>
      <c r="M2332" s="33" t="str">
        <f t="shared" si="147"/>
        <v>BS</v>
      </c>
    </row>
    <row r="2333" spans="1:13" s="33" customFormat="true" ht="12.75" customHeight="true">
      <c r="A2333" s="33" t="str">
        <f t="shared" si="144"/>
        <v>WOO - Principal</v>
      </c>
      <c r="B2333" s="33" t="str">
        <f t="shared" si="145"/>
        <v>WOO</v>
      </c>
      <c r="C2333" s="33" t="str">
        <f t="shared" si="146"/>
        <v>28001-0000</v>
      </c>
      <c r="D2333" s="64" t="s">
        <v>2842</v>
      </c>
      <c r="E2333" s="64" t="s">
        <v>2843</v>
      </c>
      <c r="F2333" s="64" t="s">
        <v>230</v>
      </c>
      <c r="G2333" s="64" t="s">
        <v>123</v>
      </c>
      <c r="H2333" s="64" t="s">
        <v>127</v>
      </c>
      <c r="I2333" s="64" t="s">
        <v>133</v>
      </c>
      <c r="J2333" s="67">
        <v>4990.65</v>
      </c>
      <c r="K2333" s="62">
        <v>-2232084.92</v>
      </c>
      <c r="L2333" s="33" t="e">
        <f>HLOOKUP(B2333,#REF!,1,0)</f>
        <v>#REF!</v>
      </c>
      <c r="M2333" s="33" t="str">
        <f t="shared" si="147"/>
        <v>BS</v>
      </c>
    </row>
    <row r="2334" spans="1:13" s="33" customFormat="true" ht="12.75" customHeight="true">
      <c r="A2334" s="33" t="str">
        <f t="shared" si="144"/>
        <v>WOO - SH Dist</v>
      </c>
      <c r="B2334" s="33" t="str">
        <f t="shared" si="145"/>
        <v>WOO</v>
      </c>
      <c r="C2334" s="33" t="str">
        <f t="shared" si="146"/>
        <v>30700-0000</v>
      </c>
      <c r="D2334" s="64" t="s">
        <v>2844</v>
      </c>
      <c r="E2334" s="64" t="s">
        <v>319</v>
      </c>
      <c r="F2334" s="64" t="s">
        <v>230</v>
      </c>
      <c r="G2334" s="64" t="s">
        <v>142</v>
      </c>
      <c r="H2334" s="64" t="s">
        <v>143</v>
      </c>
      <c r="I2334" s="64" t="s">
        <v>144</v>
      </c>
      <c r="J2334" s="67">
        <v>0</v>
      </c>
      <c r="K2334" s="62">
        <v>-10000</v>
      </c>
      <c r="L2334" s="33" t="e">
        <f>HLOOKUP(B2334,#REF!,1,0)</f>
        <v>#REF!</v>
      </c>
      <c r="M2334" s="33" t="str">
        <f t="shared" si="147"/>
        <v>BS</v>
      </c>
    </row>
    <row r="2335" spans="1:13" s="33" customFormat="true" ht="12.75" customHeight="true">
      <c r="A2335" s="33" t="str">
        <f t="shared" si="144"/>
        <v>WOO - Retained Earnings</v>
      </c>
      <c r="B2335" s="33" t="str">
        <f t="shared" si="145"/>
        <v>WOO</v>
      </c>
      <c r="C2335" s="33" t="str">
        <f t="shared" si="146"/>
        <v>32000-0000</v>
      </c>
      <c r="D2335" s="64" t="s">
        <v>2845</v>
      </c>
      <c r="E2335" s="64" t="s">
        <v>234</v>
      </c>
      <c r="F2335" s="64" t="s">
        <v>230</v>
      </c>
      <c r="G2335" s="64" t="s">
        <v>142</v>
      </c>
      <c r="H2335" s="64" t="s">
        <v>149</v>
      </c>
      <c r="I2335" s="64" t="s">
        <v>235</v>
      </c>
      <c r="J2335" s="67">
        <v>0</v>
      </c>
      <c r="K2335" s="62">
        <v>80402.15</v>
      </c>
      <c r="L2335" s="33" t="e">
        <f>HLOOKUP(B2335,#REF!,1,0)</f>
        <v>#REF!</v>
      </c>
      <c r="M2335" s="33" t="str">
        <f t="shared" si="147"/>
        <v>BS</v>
      </c>
    </row>
    <row r="2336" spans="1:13" s="33" customFormat="true" ht="12.75" customHeight="true">
      <c r="A2336" s="33" t="str">
        <f t="shared" si="144"/>
        <v>ZPI - Cash</v>
      </c>
      <c r="B2336" s="33" t="str">
        <f t="shared" si="145"/>
        <v>ZPI</v>
      </c>
      <c r="C2336" s="33" t="str">
        <f t="shared" si="146"/>
        <v>10001-0000</v>
      </c>
      <c r="D2336" s="283" t="s">
        <v>2846</v>
      </c>
      <c r="E2336" s="64" t="s">
        <v>240</v>
      </c>
      <c r="F2336" s="64" t="s">
        <v>230</v>
      </c>
      <c r="G2336" s="64" t="s">
        <v>16</v>
      </c>
      <c r="H2336" s="64" t="s">
        <v>25</v>
      </c>
      <c r="I2336" s="64" t="s">
        <v>18</v>
      </c>
      <c r="J2336" s="67">
        <v>-98.07</v>
      </c>
      <c r="K2336" s="62">
        <v>-6376.27</v>
      </c>
      <c r="L2336" s="33" t="e">
        <f>HLOOKUP(B2336,#REF!,1,0)</f>
        <v>#REF!</v>
      </c>
      <c r="M2336" s="33" t="str">
        <f t="shared" si="147"/>
        <v>BS</v>
      </c>
    </row>
    <row r="2337" spans="1:13" s="33" customFormat="true" ht="12.75" customHeight="true">
      <c r="A2337" s="33" t="str">
        <f t="shared" si="144"/>
        <v>ZPI - Cash</v>
      </c>
      <c r="B2337" s="33" t="str">
        <f t="shared" si="145"/>
        <v>ZPI</v>
      </c>
      <c r="C2337" s="33" t="str">
        <f t="shared" si="146"/>
        <v>10023-0000</v>
      </c>
      <c r="D2337" s="283" t="s">
        <v>2847</v>
      </c>
      <c r="E2337" s="64" t="s">
        <v>2848</v>
      </c>
      <c r="F2337" s="64" t="s">
        <v>230</v>
      </c>
      <c r="G2337" s="64" t="s">
        <v>16</v>
      </c>
      <c r="H2337" s="64" t="s">
        <v>25</v>
      </c>
      <c r="I2337" s="64" t="s">
        <v>18</v>
      </c>
      <c r="J2337" s="67">
        <v>0</v>
      </c>
      <c r="K2337" s="62">
        <v>293305.59</v>
      </c>
      <c r="L2337" s="33" t="e">
        <f>HLOOKUP(B2337,#REF!,1,0)</f>
        <v>#REF!</v>
      </c>
      <c r="M2337" s="33" t="str">
        <f t="shared" si="147"/>
        <v>BS</v>
      </c>
    </row>
    <row r="2338" spans="1:13" s="33" customFormat="true" ht="12.75" customHeight="true">
      <c r="A2338" s="33" t="str">
        <f t="shared" si="144"/>
        <v>ZPI - AR-PPD</v>
      </c>
      <c r="B2338" s="33" t="str">
        <f t="shared" si="145"/>
        <v>ZPI</v>
      </c>
      <c r="C2338" s="33" t="str">
        <f t="shared" si="146"/>
        <v>11000-0000</v>
      </c>
      <c r="D2338" s="283" t="s">
        <v>2849</v>
      </c>
      <c r="E2338" s="64" t="s">
        <v>34</v>
      </c>
      <c r="F2338" s="64" t="s">
        <v>230</v>
      </c>
      <c r="G2338" s="64" t="s">
        <v>16</v>
      </c>
      <c r="H2338" s="64" t="s">
        <v>35</v>
      </c>
      <c r="I2338" s="64" t="s">
        <v>36</v>
      </c>
      <c r="J2338" s="67">
        <v>0</v>
      </c>
      <c r="K2338" s="62">
        <v>5713.04</v>
      </c>
      <c r="L2338" s="33" t="e">
        <f>HLOOKUP(B2338,#REF!,1,0)</f>
        <v>#REF!</v>
      </c>
      <c r="M2338" s="33" t="str">
        <f t="shared" si="147"/>
        <v>BS</v>
      </c>
    </row>
    <row r="2339" spans="1:13" s="33" customFormat="true" ht="12.75" customHeight="true">
      <c r="A2339" s="33" t="str">
        <f t="shared" si="144"/>
        <v>ZPI - Intercompany</v>
      </c>
      <c r="B2339" s="33" t="str">
        <f t="shared" si="145"/>
        <v>ZPI</v>
      </c>
      <c r="C2339" s="33" t="str">
        <f t="shared" si="146"/>
        <v>11216-0000</v>
      </c>
      <c r="D2339" s="283" t="s">
        <v>2850</v>
      </c>
      <c r="E2339" s="64" t="s">
        <v>242</v>
      </c>
      <c r="F2339" s="64" t="s">
        <v>230</v>
      </c>
      <c r="G2339" s="64" t="s">
        <v>16</v>
      </c>
      <c r="H2339" s="64" t="s">
        <v>39</v>
      </c>
      <c r="I2339" s="64" t="s">
        <v>40</v>
      </c>
      <c r="J2339" s="67">
        <v>0</v>
      </c>
      <c r="K2339" s="62">
        <v>-33693.23</v>
      </c>
      <c r="L2339" s="33" t="e">
        <f>HLOOKUP(B2339,#REF!,1,0)</f>
        <v>#REF!</v>
      </c>
      <c r="M2339" s="33" t="str">
        <f t="shared" si="147"/>
        <v>BS</v>
      </c>
    </row>
    <row r="2340" spans="1:13" s="33" customFormat="true" ht="12.75" customHeight="true">
      <c r="A2340" s="33" t="str">
        <f t="shared" si="144"/>
        <v>ZPI - AR-PPD</v>
      </c>
      <c r="B2340" s="33" t="str">
        <f t="shared" si="145"/>
        <v>ZPI</v>
      </c>
      <c r="C2340" s="33" t="str">
        <f t="shared" si="146"/>
        <v>12200-0000</v>
      </c>
      <c r="D2340" s="283" t="s">
        <v>2851</v>
      </c>
      <c r="E2340" s="64" t="s">
        <v>294</v>
      </c>
      <c r="F2340" s="64" t="s">
        <v>230</v>
      </c>
      <c r="G2340" s="64" t="s">
        <v>62</v>
      </c>
      <c r="H2340" s="64" t="s">
        <v>35</v>
      </c>
      <c r="I2340" s="64" t="s">
        <v>64</v>
      </c>
      <c r="J2340" s="67">
        <v>0</v>
      </c>
      <c r="K2340" s="62">
        <v>631604.06</v>
      </c>
      <c r="L2340" s="33" t="e">
        <f>HLOOKUP(B2340,#REF!,1,0)</f>
        <v>#REF!</v>
      </c>
      <c r="M2340" s="33" t="str">
        <f t="shared" si="147"/>
        <v>BS</v>
      </c>
    </row>
    <row r="2341" spans="1:13" s="33" customFormat="true" ht="12.75" customHeight="true">
      <c r="A2341" s="33" t="str">
        <f t="shared" si="144"/>
        <v>ZPI - Deposits</v>
      </c>
      <c r="B2341" s="33" t="str">
        <f t="shared" si="145"/>
        <v>ZPI</v>
      </c>
      <c r="C2341" s="33" t="str">
        <f t="shared" si="146"/>
        <v>12300-0000</v>
      </c>
      <c r="D2341" s="283" t="s">
        <v>2852</v>
      </c>
      <c r="E2341" s="64" t="s">
        <v>387</v>
      </c>
      <c r="F2341" s="64" t="s">
        <v>230</v>
      </c>
      <c r="G2341" s="64" t="s">
        <v>16</v>
      </c>
      <c r="H2341" s="64" t="s">
        <v>80</v>
      </c>
      <c r="I2341" s="64" t="s">
        <v>64</v>
      </c>
      <c r="J2341" s="67">
        <v>0</v>
      </c>
      <c r="K2341" s="62">
        <v>15688</v>
      </c>
      <c r="L2341" s="33" t="e">
        <f>HLOOKUP(B2341,#REF!,1,0)</f>
        <v>#REF!</v>
      </c>
      <c r="M2341" s="33" t="str">
        <f t="shared" si="147"/>
        <v>BS</v>
      </c>
    </row>
    <row r="2342" spans="1:13" s="33" customFormat="true" ht="12.75" customHeight="true">
      <c r="A2342" s="33" t="str">
        <f t="shared" si="144"/>
        <v>ZPI - Fixed Assets</v>
      </c>
      <c r="B2342" s="33" t="str">
        <f t="shared" si="145"/>
        <v>ZPI</v>
      </c>
      <c r="C2342" s="33" t="str">
        <f t="shared" si="146"/>
        <v>14000-0000</v>
      </c>
      <c r="D2342" s="283" t="s">
        <v>2853</v>
      </c>
      <c r="E2342" s="64" t="s">
        <v>298</v>
      </c>
      <c r="F2342" s="64" t="s">
        <v>230</v>
      </c>
      <c r="G2342" s="64" t="s">
        <v>62</v>
      </c>
      <c r="H2342" s="64" t="s">
        <v>63</v>
      </c>
      <c r="I2342" s="64" t="s">
        <v>64</v>
      </c>
      <c r="J2342" s="67">
        <v>0</v>
      </c>
      <c r="K2342" s="62">
        <v>15015000</v>
      </c>
      <c r="L2342" s="33" t="e">
        <f>HLOOKUP(B2342,#REF!,1,0)</f>
        <v>#REF!</v>
      </c>
      <c r="M2342" s="33" t="str">
        <f t="shared" si="147"/>
        <v>BS</v>
      </c>
    </row>
    <row r="2343" spans="1:13" s="33" customFormat="true" ht="12.75" customHeight="true">
      <c r="A2343" s="33" t="str">
        <f t="shared" si="144"/>
        <v>ZPI - Fixed Assets</v>
      </c>
      <c r="B2343" s="33" t="str">
        <f t="shared" si="145"/>
        <v>ZPI</v>
      </c>
      <c r="C2343" s="33" t="str">
        <f t="shared" si="146"/>
        <v>15000-0000</v>
      </c>
      <c r="D2343" s="283" t="s">
        <v>2854</v>
      </c>
      <c r="E2343" s="64" t="s">
        <v>300</v>
      </c>
      <c r="F2343" s="64" t="s">
        <v>230</v>
      </c>
      <c r="G2343" s="64" t="s">
        <v>62</v>
      </c>
      <c r="H2343" s="64" t="s">
        <v>63</v>
      </c>
      <c r="I2343" s="64" t="s">
        <v>64</v>
      </c>
      <c r="J2343" s="67">
        <v>0</v>
      </c>
      <c r="K2343" s="62">
        <v>30485000</v>
      </c>
      <c r="L2343" s="33" t="e">
        <f>HLOOKUP(B2343,#REF!,1,0)</f>
        <v>#REF!</v>
      </c>
      <c r="M2343" s="33" t="str">
        <f t="shared" si="147"/>
        <v>BS</v>
      </c>
    </row>
    <row r="2344" spans="1:13" s="33" customFormat="true" ht="12.75" customHeight="true">
      <c r="A2344" s="33" t="str">
        <f t="shared" si="144"/>
        <v>ZPI - Fixed Assets</v>
      </c>
      <c r="B2344" s="33" t="str">
        <f t="shared" si="145"/>
        <v>ZPI</v>
      </c>
      <c r="C2344" s="33" t="str">
        <f t="shared" si="146"/>
        <v>15500-0000</v>
      </c>
      <c r="D2344" s="283" t="s">
        <v>2855</v>
      </c>
      <c r="E2344" s="64" t="s">
        <v>302</v>
      </c>
      <c r="F2344" s="64" t="s">
        <v>230</v>
      </c>
      <c r="G2344" s="64" t="s">
        <v>62</v>
      </c>
      <c r="H2344" s="64" t="s">
        <v>63</v>
      </c>
      <c r="I2344" s="64" t="s">
        <v>64</v>
      </c>
      <c r="J2344" s="67">
        <v>0</v>
      </c>
      <c r="K2344" s="62">
        <v>23514.07</v>
      </c>
      <c r="L2344" s="33" t="e">
        <f>HLOOKUP(B2344,#REF!,1,0)</f>
        <v>#REF!</v>
      </c>
      <c r="M2344" s="33" t="str">
        <f t="shared" si="147"/>
        <v>BS</v>
      </c>
    </row>
    <row r="2345" spans="1:13" s="33" customFormat="true" ht="12.75" customHeight="true">
      <c r="A2345" s="33" t="str">
        <f t="shared" si="144"/>
        <v>ZPI - Fixed Assets</v>
      </c>
      <c r="B2345" s="33" t="str">
        <f t="shared" si="145"/>
        <v>ZPI</v>
      </c>
      <c r="C2345" s="33" t="str">
        <f t="shared" si="146"/>
        <v>17000-0000</v>
      </c>
      <c r="D2345" s="283" t="s">
        <v>2856</v>
      </c>
      <c r="E2345" s="64" t="s">
        <v>306</v>
      </c>
      <c r="F2345" s="64" t="s">
        <v>230</v>
      </c>
      <c r="G2345" s="64" t="s">
        <v>62</v>
      </c>
      <c r="H2345" s="64" t="s">
        <v>63</v>
      </c>
      <c r="I2345" s="64" t="s">
        <v>64</v>
      </c>
      <c r="J2345" s="67">
        <v>0</v>
      </c>
      <c r="K2345" s="62">
        <v>-263411</v>
      </c>
      <c r="L2345" s="33" t="e">
        <f>HLOOKUP(B2345,#REF!,1,0)</f>
        <v>#REF!</v>
      </c>
      <c r="M2345" s="33" t="str">
        <f t="shared" si="147"/>
        <v>BS</v>
      </c>
    </row>
    <row r="2346" spans="1:13" s="33" customFormat="true" ht="12.75" customHeight="true">
      <c r="A2346" s="33" t="str">
        <f t="shared" si="144"/>
        <v>ZPI - Fixed Assets</v>
      </c>
      <c r="B2346" s="33" t="str">
        <f t="shared" si="145"/>
        <v>ZPI</v>
      </c>
      <c r="C2346" s="33" t="str">
        <f t="shared" si="146"/>
        <v>18000-0000</v>
      </c>
      <c r="D2346" s="283" t="s">
        <v>2857</v>
      </c>
      <c r="E2346" s="64" t="s">
        <v>308</v>
      </c>
      <c r="F2346" s="64" t="s">
        <v>230</v>
      </c>
      <c r="G2346" s="64" t="s">
        <v>62</v>
      </c>
      <c r="H2346" s="64" t="s">
        <v>63</v>
      </c>
      <c r="I2346" s="64" t="s">
        <v>64</v>
      </c>
      <c r="J2346" s="67">
        <v>0</v>
      </c>
      <c r="K2346" s="62">
        <v>-450</v>
      </c>
      <c r="L2346" s="33" t="e">
        <f>HLOOKUP(B2346,#REF!,1,0)</f>
        <v>#REF!</v>
      </c>
      <c r="M2346" s="33" t="str">
        <f t="shared" si="147"/>
        <v>BS</v>
      </c>
    </row>
    <row r="2347" spans="1:13" s="33" customFormat="true" ht="12.75" customHeight="true">
      <c r="A2347" s="33" t="str">
        <f t="shared" si="144"/>
        <v>ZPI - AP-Accr Exp</v>
      </c>
      <c r="B2347" s="33" t="str">
        <f t="shared" si="145"/>
        <v>ZPI</v>
      </c>
      <c r="C2347" s="33" t="str">
        <f t="shared" si="146"/>
        <v>20001-0000</v>
      </c>
      <c r="D2347" s="283" t="s">
        <v>2858</v>
      </c>
      <c r="E2347" s="64" t="s">
        <v>96</v>
      </c>
      <c r="F2347" s="64" t="s">
        <v>230</v>
      </c>
      <c r="G2347" s="64" t="s">
        <v>97</v>
      </c>
      <c r="H2347" s="64" t="s">
        <v>98</v>
      </c>
      <c r="I2347" s="64" t="s">
        <v>99</v>
      </c>
      <c r="J2347" s="67">
        <v>0</v>
      </c>
      <c r="K2347" s="62">
        <v>0</v>
      </c>
      <c r="L2347" s="33" t="e">
        <f>HLOOKUP(B2347,#REF!,1,0)</f>
        <v>#REF!</v>
      </c>
      <c r="M2347" s="33" t="str">
        <f t="shared" si="147"/>
        <v>BS</v>
      </c>
    </row>
    <row r="2348" spans="1:13" s="33" customFormat="true" ht="12.75" customHeight="true">
      <c r="A2348" s="33" t="str">
        <f t="shared" si="144"/>
        <v>ZPI - AP-Accr Exp</v>
      </c>
      <c r="B2348" s="33" t="str">
        <f t="shared" si="145"/>
        <v>ZPI</v>
      </c>
      <c r="C2348" s="33" t="str">
        <f t="shared" si="146"/>
        <v>23509-0000</v>
      </c>
      <c r="D2348" s="283" t="s">
        <v>2859</v>
      </c>
      <c r="E2348" s="64" t="s">
        <v>454</v>
      </c>
      <c r="F2348" s="64" t="s">
        <v>230</v>
      </c>
      <c r="G2348" s="64" t="s">
        <v>97</v>
      </c>
      <c r="H2348" s="64" t="s">
        <v>98</v>
      </c>
      <c r="I2348" s="64" t="s">
        <v>102</v>
      </c>
      <c r="J2348" s="67">
        <v>0</v>
      </c>
      <c r="K2348" s="62">
        <v>936.63</v>
      </c>
      <c r="L2348" s="33" t="e">
        <f>HLOOKUP(B2348,#REF!,1,0)</f>
        <v>#REF!</v>
      </c>
      <c r="M2348" s="33" t="str">
        <f t="shared" si="147"/>
        <v>BS</v>
      </c>
    </row>
    <row r="2349" spans="1:13" s="33" customFormat="true" ht="12.75" customHeight="true">
      <c r="A2349" s="33" t="str">
        <f t="shared" si="144"/>
        <v>ZPI - AP-Accr Exp</v>
      </c>
      <c r="B2349" s="33" t="str">
        <f t="shared" si="145"/>
        <v>ZPI</v>
      </c>
      <c r="C2349" s="33" t="str">
        <f t="shared" si="146"/>
        <v>24800-0000</v>
      </c>
      <c r="D2349" s="283" t="s">
        <v>2860</v>
      </c>
      <c r="E2349" s="64" t="s">
        <v>232</v>
      </c>
      <c r="F2349" s="64" t="s">
        <v>230</v>
      </c>
      <c r="G2349" s="64" t="s">
        <v>97</v>
      </c>
      <c r="H2349" s="64" t="s">
        <v>98</v>
      </c>
      <c r="I2349" s="64" t="s">
        <v>102</v>
      </c>
      <c r="J2349" s="67">
        <v>0</v>
      </c>
      <c r="K2349" s="62">
        <v>-65890.82</v>
      </c>
      <c r="L2349" s="33" t="e">
        <f>HLOOKUP(B2349,#REF!,1,0)</f>
        <v>#REF!</v>
      </c>
      <c r="M2349" s="33" t="str">
        <f t="shared" si="147"/>
        <v>BS</v>
      </c>
    </row>
    <row r="2350" spans="1:13" s="33" customFormat="true" ht="12.75" customHeight="true">
      <c r="A2350" s="33" t="str">
        <f t="shared" si="144"/>
        <v>ZPI - AP-Accr Exp</v>
      </c>
      <c r="B2350" s="33" t="str">
        <f t="shared" si="145"/>
        <v>ZPI</v>
      </c>
      <c r="C2350" s="33" t="str">
        <f t="shared" si="146"/>
        <v>24801-0000</v>
      </c>
      <c r="D2350" s="283" t="s">
        <v>2861</v>
      </c>
      <c r="E2350" s="64" t="s">
        <v>399</v>
      </c>
      <c r="F2350" s="64" t="s">
        <v>230</v>
      </c>
      <c r="G2350" s="64" t="s">
        <v>97</v>
      </c>
      <c r="H2350" s="64" t="s">
        <v>98</v>
      </c>
      <c r="I2350" s="64" t="s">
        <v>102</v>
      </c>
      <c r="J2350" s="67">
        <v>0</v>
      </c>
      <c r="K2350" s="62">
        <v>0</v>
      </c>
      <c r="L2350" s="33" t="e">
        <f>HLOOKUP(B2350,#REF!,1,0)</f>
        <v>#REF!</v>
      </c>
      <c r="M2350" s="33" t="str">
        <f t="shared" si="147"/>
        <v>BS</v>
      </c>
    </row>
    <row r="2351" spans="1:13" s="33" customFormat="true" ht="12.75" customHeight="true">
      <c r="A2351" s="33" t="str">
        <f t="shared" si="144"/>
        <v>ZPI - Principal</v>
      </c>
      <c r="B2351" s="33" t="str">
        <f t="shared" si="145"/>
        <v>ZPI</v>
      </c>
      <c r="C2351" s="33" t="str">
        <f t="shared" si="146"/>
        <v>28003-0000</v>
      </c>
      <c r="D2351" s="283" t="s">
        <v>2862</v>
      </c>
      <c r="E2351" s="64" t="s">
        <v>2863</v>
      </c>
      <c r="F2351" s="64" t="s">
        <v>230</v>
      </c>
      <c r="G2351" s="64" t="s">
        <v>123</v>
      </c>
      <c r="H2351" s="64" t="s">
        <v>127</v>
      </c>
      <c r="I2351" s="64" t="s">
        <v>133</v>
      </c>
      <c r="J2351" s="67">
        <v>0</v>
      </c>
      <c r="K2351" s="62">
        <v>-36400000</v>
      </c>
      <c r="L2351" s="33" t="e">
        <f>HLOOKUP(B2351,#REF!,1,0)</f>
        <v>#REF!</v>
      </c>
      <c r="M2351" s="33" t="str">
        <f t="shared" si="147"/>
        <v>BS</v>
      </c>
    </row>
    <row r="2352" spans="1:13" s="33" customFormat="true" ht="12.75" customHeight="true">
      <c r="A2352" s="33" t="str">
        <f t="shared" si="144"/>
        <v>ZPI - SH Dist</v>
      </c>
      <c r="B2352" s="33" t="str">
        <f t="shared" si="145"/>
        <v>ZPI</v>
      </c>
      <c r="C2352" s="33" t="str">
        <f t="shared" si="146"/>
        <v>31001-0000</v>
      </c>
      <c r="D2352" s="283" t="s">
        <v>2864</v>
      </c>
      <c r="E2352" s="64" t="s">
        <v>2865</v>
      </c>
      <c r="F2352" s="64" t="s">
        <v>230</v>
      </c>
      <c r="G2352" s="64" t="s">
        <v>142</v>
      </c>
      <c r="H2352" s="64" t="s">
        <v>143</v>
      </c>
      <c r="I2352" s="64" t="s">
        <v>144</v>
      </c>
      <c r="J2352" s="67">
        <v>0</v>
      </c>
      <c r="K2352" s="62">
        <v>-10973170.38</v>
      </c>
      <c r="L2352" s="33" t="e">
        <f>HLOOKUP(B2352,#REF!,1,0)</f>
        <v>#REF!</v>
      </c>
      <c r="M2352" s="33" t="str">
        <f t="shared" si="147"/>
        <v>BS</v>
      </c>
    </row>
    <row r="2353" spans="1:13" s="33" customFormat="true" ht="12.75" customHeight="true">
      <c r="A2353" s="33" t="str">
        <f t="shared" si="144"/>
        <v>ZPI - Retained Earnings</v>
      </c>
      <c r="B2353" s="33" t="str">
        <f t="shared" si="145"/>
        <v>ZPI</v>
      </c>
      <c r="C2353" s="33" t="str">
        <f t="shared" si="146"/>
        <v>32000-0000</v>
      </c>
      <c r="D2353" s="283" t="s">
        <v>2866</v>
      </c>
      <c r="E2353" s="64" t="s">
        <v>234</v>
      </c>
      <c r="F2353" s="64" t="s">
        <v>230</v>
      </c>
      <c r="G2353" s="64" t="s">
        <v>142</v>
      </c>
      <c r="H2353" s="64" t="s">
        <v>149</v>
      </c>
      <c r="I2353" s="64" t="s">
        <v>235</v>
      </c>
      <c r="J2353" s="67">
        <v>0</v>
      </c>
      <c r="K2353" s="62">
        <v>1186941.11</v>
      </c>
      <c r="L2353" s="33" t="e">
        <f>HLOOKUP(B2353,#REF!,1,0)</f>
        <v>#REF!</v>
      </c>
      <c r="M2353" s="33" t="str">
        <f t="shared" si="147"/>
        <v>BS</v>
      </c>
    </row>
    <row r="2354" spans="1:13" s="33" customFormat="true" ht="12.75" customHeight="true">
      <c r="A2354" s="33" t="str">
        <f t="shared" si="144"/>
        <v>ZPI - SH Dist</v>
      </c>
      <c r="B2354" s="33" t="str">
        <f t="shared" si="145"/>
        <v>ZPI</v>
      </c>
      <c r="C2354" s="33" t="str">
        <f t="shared" si="146"/>
        <v>36000-0000</v>
      </c>
      <c r="D2354" s="283" t="s">
        <v>2867</v>
      </c>
      <c r="E2354" s="64" t="s">
        <v>572</v>
      </c>
      <c r="F2354" s="64" t="s">
        <v>230</v>
      </c>
      <c r="G2354" s="64" t="s">
        <v>142</v>
      </c>
      <c r="H2354" s="64" t="s">
        <v>143</v>
      </c>
      <c r="I2354" s="64" t="s">
        <v>144</v>
      </c>
      <c r="J2354" s="67">
        <v>0</v>
      </c>
      <c r="K2354" s="62">
        <v>474416.59</v>
      </c>
      <c r="L2354" s="33" t="e">
        <f>HLOOKUP(B2354,#REF!,1,0)</f>
        <v>#REF!</v>
      </c>
      <c r="M2354" s="33" t="str">
        <f t="shared" si="147"/>
        <v>BS</v>
      </c>
    </row>
    <row r="2355" spans="1:13" s="33" customFormat="true" ht="12.75" customHeight="true">
      <c r="A2355" s="33" t="str">
        <f t="shared" si="144"/>
        <v>2SH - Revenue</v>
      </c>
      <c r="B2355" s="33" t="str">
        <f t="shared" si="145"/>
        <v>2SH</v>
      </c>
      <c r="C2355" s="33" t="str">
        <f t="shared" si="146"/>
        <v>40001-0861</v>
      </c>
      <c r="D2355" s="64" t="s">
        <v>2868</v>
      </c>
      <c r="E2355" s="64" t="s">
        <v>2869</v>
      </c>
      <c r="F2355" s="64" t="s">
        <v>15</v>
      </c>
      <c r="G2355" s="64" t="s">
        <v>2870</v>
      </c>
      <c r="H2355" s="64" t="s">
        <v>2871</v>
      </c>
      <c r="I2355" s="64" t="s">
        <v>2872</v>
      </c>
      <c r="J2355" s="67">
        <v>-102026.01</v>
      </c>
      <c r="K2355" s="62">
        <v>-974678.52</v>
      </c>
      <c r="L2355" s="33" t="e">
        <f>HLOOKUP(B2355,#REF!,1,0)</f>
        <v>#REF!</v>
      </c>
      <c r="M2355" s="33" t="str">
        <f t="shared" si="147"/>
        <v>P&amp;L</v>
      </c>
    </row>
    <row r="2356" spans="1:13" s="33" customFormat="true" ht="12.75" customHeight="true">
      <c r="A2356" s="33" t="str">
        <f t="shared" si="144"/>
        <v>2SH - Revenue</v>
      </c>
      <c r="B2356" s="33" t="str">
        <f t="shared" si="145"/>
        <v>2SH</v>
      </c>
      <c r="C2356" s="33" t="str">
        <f t="shared" si="146"/>
        <v>40001-0862</v>
      </c>
      <c r="D2356" s="64" t="s">
        <v>2873</v>
      </c>
      <c r="E2356" s="64" t="s">
        <v>2869</v>
      </c>
      <c r="F2356" s="64" t="s">
        <v>15</v>
      </c>
      <c r="G2356" s="64" t="s">
        <v>2870</v>
      </c>
      <c r="H2356" s="64" t="s">
        <v>2871</v>
      </c>
      <c r="I2356" s="64" t="s">
        <v>2872</v>
      </c>
      <c r="J2356" s="67">
        <v>-195000.6</v>
      </c>
      <c r="K2356" s="62">
        <v>-1823864.61</v>
      </c>
      <c r="L2356" s="33" t="e">
        <f>HLOOKUP(B2356,#REF!,1,0)</f>
        <v>#REF!</v>
      </c>
      <c r="M2356" s="33" t="str">
        <f t="shared" si="147"/>
        <v>P&amp;L</v>
      </c>
    </row>
    <row r="2357" spans="1:13" s="33" customFormat="true" ht="12.75" customHeight="true">
      <c r="A2357" s="33" t="str">
        <f t="shared" si="144"/>
        <v>2SH - Revenue</v>
      </c>
      <c r="B2357" s="33" t="str">
        <f t="shared" si="145"/>
        <v>2SH</v>
      </c>
      <c r="C2357" s="33" t="str">
        <f t="shared" si="146"/>
        <v>40001-0864</v>
      </c>
      <c r="D2357" s="64" t="s">
        <v>2874</v>
      </c>
      <c r="E2357" s="64" t="s">
        <v>2869</v>
      </c>
      <c r="F2357" s="64" t="s">
        <v>15</v>
      </c>
      <c r="G2357" s="64" t="s">
        <v>2870</v>
      </c>
      <c r="H2357" s="64" t="s">
        <v>2871</v>
      </c>
      <c r="I2357" s="64" t="s">
        <v>2872</v>
      </c>
      <c r="J2357" s="67">
        <v>-108422.05</v>
      </c>
      <c r="K2357" s="62">
        <v>-1096999.92</v>
      </c>
      <c r="L2357" s="33" t="e">
        <f>HLOOKUP(B2357,#REF!,1,0)</f>
        <v>#REF!</v>
      </c>
      <c r="M2357" s="33" t="str">
        <f t="shared" si="147"/>
        <v>P&amp;L</v>
      </c>
    </row>
    <row r="2358" spans="1:13" s="33" customFormat="true" ht="12.75" customHeight="true">
      <c r="A2358" s="33" t="str">
        <f t="shared" si="144"/>
        <v>2SH - Revenue</v>
      </c>
      <c r="B2358" s="33" t="str">
        <f t="shared" si="145"/>
        <v>2SH</v>
      </c>
      <c r="C2358" s="33" t="str">
        <f t="shared" si="146"/>
        <v>40001-0866</v>
      </c>
      <c r="D2358" s="64" t="s">
        <v>2875</v>
      </c>
      <c r="E2358" s="64" t="s">
        <v>2869</v>
      </c>
      <c r="F2358" s="64" t="s">
        <v>15</v>
      </c>
      <c r="G2358" s="64" t="s">
        <v>2870</v>
      </c>
      <c r="H2358" s="64" t="s">
        <v>2871</v>
      </c>
      <c r="I2358" s="64" t="s">
        <v>2872</v>
      </c>
      <c r="J2358" s="67">
        <v>-129090.06</v>
      </c>
      <c r="K2358" s="62">
        <v>-1227341.38</v>
      </c>
      <c r="L2358" s="33" t="e">
        <f>HLOOKUP(B2358,#REF!,1,0)</f>
        <v>#REF!</v>
      </c>
      <c r="M2358" s="33" t="str">
        <f t="shared" si="147"/>
        <v>P&amp;L</v>
      </c>
    </row>
    <row r="2359" spans="1:13" s="33" customFormat="true" ht="12.75" customHeight="true">
      <c r="A2359" s="33" t="str">
        <f t="shared" si="144"/>
        <v>2SH - Revenue</v>
      </c>
      <c r="B2359" s="33" t="str">
        <f t="shared" si="145"/>
        <v>2SH</v>
      </c>
      <c r="C2359" s="33" t="str">
        <f t="shared" si="146"/>
        <v>40002-0861</v>
      </c>
      <c r="D2359" s="64" t="s">
        <v>2876</v>
      </c>
      <c r="E2359" s="64" t="s">
        <v>2877</v>
      </c>
      <c r="F2359" s="64" t="s">
        <v>15</v>
      </c>
      <c r="G2359" s="64" t="s">
        <v>2870</v>
      </c>
      <c r="H2359" s="64" t="s">
        <v>2871</v>
      </c>
      <c r="I2359" s="64" t="s">
        <v>2872</v>
      </c>
      <c r="J2359" s="67">
        <v>0</v>
      </c>
      <c r="K2359" s="62">
        <v>0</v>
      </c>
      <c r="L2359" s="33" t="e">
        <f>HLOOKUP(B2359,#REF!,1,0)</f>
        <v>#REF!</v>
      </c>
      <c r="M2359" s="33" t="str">
        <f t="shared" si="147"/>
        <v>P&amp;L</v>
      </c>
    </row>
    <row r="2360" spans="1:13" s="33" customFormat="true" ht="12.75" customHeight="true">
      <c r="A2360" s="33" t="str">
        <f t="shared" si="144"/>
        <v>2SH - Revenue</v>
      </c>
      <c r="B2360" s="33" t="str">
        <f t="shared" si="145"/>
        <v>2SH</v>
      </c>
      <c r="C2360" s="33" t="str">
        <f t="shared" si="146"/>
        <v>40002-0862</v>
      </c>
      <c r="D2360" s="64" t="s">
        <v>2878</v>
      </c>
      <c r="E2360" s="64" t="s">
        <v>2877</v>
      </c>
      <c r="F2360" s="64" t="s">
        <v>15</v>
      </c>
      <c r="G2360" s="64" t="s">
        <v>2870</v>
      </c>
      <c r="H2360" s="64" t="s">
        <v>2871</v>
      </c>
      <c r="I2360" s="64" t="s">
        <v>2872</v>
      </c>
      <c r="J2360" s="67">
        <v>0</v>
      </c>
      <c r="K2360" s="62">
        <v>-7</v>
      </c>
      <c r="L2360" s="33" t="e">
        <f>HLOOKUP(B2360,#REF!,1,0)</f>
        <v>#REF!</v>
      </c>
      <c r="M2360" s="33" t="str">
        <f t="shared" si="147"/>
        <v>P&amp;L</v>
      </c>
    </row>
    <row r="2361" spans="1:13" s="33" customFormat="true" ht="12.75" customHeight="true">
      <c r="A2361" s="33" t="str">
        <f t="shared" si="144"/>
        <v>2SH - Revenue</v>
      </c>
      <c r="B2361" s="33" t="str">
        <f t="shared" si="145"/>
        <v>2SH</v>
      </c>
      <c r="C2361" s="33" t="str">
        <f t="shared" si="146"/>
        <v>40002-0864</v>
      </c>
      <c r="D2361" s="64" t="s">
        <v>2879</v>
      </c>
      <c r="E2361" s="64" t="s">
        <v>2877</v>
      </c>
      <c r="F2361" s="64" t="s">
        <v>15</v>
      </c>
      <c r="G2361" s="64" t="s">
        <v>2870</v>
      </c>
      <c r="H2361" s="64" t="s">
        <v>2871</v>
      </c>
      <c r="I2361" s="64" t="s">
        <v>2872</v>
      </c>
      <c r="J2361" s="67">
        <v>0</v>
      </c>
      <c r="K2361" s="62">
        <v>-11</v>
      </c>
      <c r="L2361" s="33" t="e">
        <f>HLOOKUP(B2361,#REF!,1,0)</f>
        <v>#REF!</v>
      </c>
      <c r="M2361" s="33" t="str">
        <f t="shared" si="147"/>
        <v>P&amp;L</v>
      </c>
    </row>
    <row r="2362" spans="1:13" s="33" customFormat="true" ht="12.75" customHeight="true">
      <c r="A2362" s="33" t="str">
        <f t="shared" si="144"/>
        <v>2SH - Revenue</v>
      </c>
      <c r="B2362" s="33" t="str">
        <f t="shared" si="145"/>
        <v>2SH</v>
      </c>
      <c r="C2362" s="33" t="str">
        <f t="shared" si="146"/>
        <v>40002-0866</v>
      </c>
      <c r="D2362" s="64" t="s">
        <v>2880</v>
      </c>
      <c r="E2362" s="64" t="s">
        <v>2877</v>
      </c>
      <c r="F2362" s="64" t="s">
        <v>15</v>
      </c>
      <c r="G2362" s="64" t="s">
        <v>2870</v>
      </c>
      <c r="H2362" s="64" t="s">
        <v>2871</v>
      </c>
      <c r="I2362" s="64" t="s">
        <v>2872</v>
      </c>
      <c r="J2362" s="67">
        <v>20</v>
      </c>
      <c r="K2362" s="62">
        <v>20</v>
      </c>
      <c r="L2362" s="33" t="e">
        <f>HLOOKUP(B2362,#REF!,1,0)</f>
        <v>#REF!</v>
      </c>
      <c r="M2362" s="33" t="str">
        <f t="shared" si="147"/>
        <v>P&amp;L</v>
      </c>
    </row>
    <row r="2363" spans="1:13" s="33" customFormat="true" ht="12.75" customHeight="true">
      <c r="A2363" s="33" t="str">
        <f t="shared" si="144"/>
        <v>2SH - Revenue</v>
      </c>
      <c r="B2363" s="33" t="str">
        <f t="shared" si="145"/>
        <v>2SH</v>
      </c>
      <c r="C2363" s="33" t="str">
        <f t="shared" si="146"/>
        <v>40091-0861</v>
      </c>
      <c r="D2363" s="64" t="s">
        <v>2881</v>
      </c>
      <c r="E2363" s="64" t="s">
        <v>2882</v>
      </c>
      <c r="F2363" s="64" t="s">
        <v>15</v>
      </c>
      <c r="G2363" s="64" t="s">
        <v>2870</v>
      </c>
      <c r="H2363" s="64" t="s">
        <v>2871</v>
      </c>
      <c r="I2363" s="64" t="s">
        <v>2883</v>
      </c>
      <c r="J2363" s="67">
        <v>2203.91</v>
      </c>
      <c r="K2363" s="62">
        <v>26233.14</v>
      </c>
      <c r="L2363" s="33" t="e">
        <f>HLOOKUP(B2363,#REF!,1,0)</f>
        <v>#REF!</v>
      </c>
      <c r="M2363" s="33" t="str">
        <f t="shared" si="147"/>
        <v>P&amp;L</v>
      </c>
    </row>
    <row r="2364" spans="1:13" s="33" customFormat="true" ht="12.75" customHeight="true">
      <c r="A2364" s="33" t="str">
        <f t="shared" si="144"/>
        <v>2SH - Revenue</v>
      </c>
      <c r="B2364" s="33" t="str">
        <f t="shared" si="145"/>
        <v>2SH</v>
      </c>
      <c r="C2364" s="33" t="str">
        <f t="shared" si="146"/>
        <v>40091-0862</v>
      </c>
      <c r="D2364" s="64" t="s">
        <v>2884</v>
      </c>
      <c r="E2364" s="64" t="s">
        <v>2882</v>
      </c>
      <c r="F2364" s="64" t="s">
        <v>15</v>
      </c>
      <c r="G2364" s="64" t="s">
        <v>2870</v>
      </c>
      <c r="H2364" s="64" t="s">
        <v>2871</v>
      </c>
      <c r="I2364" s="64" t="s">
        <v>2883</v>
      </c>
      <c r="J2364" s="67">
        <v>4271.62</v>
      </c>
      <c r="K2364" s="62">
        <v>50594.59</v>
      </c>
      <c r="L2364" s="33" t="e">
        <f>HLOOKUP(B2364,#REF!,1,0)</f>
        <v>#REF!</v>
      </c>
      <c r="M2364" s="33" t="str">
        <f t="shared" si="147"/>
        <v>P&amp;L</v>
      </c>
    </row>
    <row r="2365" spans="1:13" s="33" customFormat="true" ht="12.75" customHeight="true">
      <c r="A2365" s="33" t="str">
        <f t="shared" si="144"/>
        <v>2SH - Revenue</v>
      </c>
      <c r="B2365" s="33" t="str">
        <f t="shared" si="145"/>
        <v>2SH</v>
      </c>
      <c r="C2365" s="33" t="str">
        <f t="shared" si="146"/>
        <v>40091-0864</v>
      </c>
      <c r="D2365" s="64" t="s">
        <v>2885</v>
      </c>
      <c r="E2365" s="64" t="s">
        <v>2882</v>
      </c>
      <c r="F2365" s="64" t="s">
        <v>15</v>
      </c>
      <c r="G2365" s="64" t="s">
        <v>2870</v>
      </c>
      <c r="H2365" s="64" t="s">
        <v>2871</v>
      </c>
      <c r="I2365" s="64" t="s">
        <v>2883</v>
      </c>
      <c r="J2365" s="67">
        <v>3135.42</v>
      </c>
      <c r="K2365" s="62">
        <v>37020.97</v>
      </c>
      <c r="L2365" s="33" t="e">
        <f>HLOOKUP(B2365,#REF!,1,0)</f>
        <v>#REF!</v>
      </c>
      <c r="M2365" s="33" t="str">
        <f t="shared" si="147"/>
        <v>P&amp;L</v>
      </c>
    </row>
    <row r="2366" spans="1:13" s="33" customFormat="true" ht="12.75" customHeight="true">
      <c r="A2366" s="33" t="str">
        <f t="shared" si="144"/>
        <v>2SH - Revenue</v>
      </c>
      <c r="B2366" s="33" t="str">
        <f t="shared" si="145"/>
        <v>2SH</v>
      </c>
      <c r="C2366" s="33" t="str">
        <f t="shared" si="146"/>
        <v>40091-0866</v>
      </c>
      <c r="D2366" s="64" t="s">
        <v>2886</v>
      </c>
      <c r="E2366" s="64" t="s">
        <v>2882</v>
      </c>
      <c r="F2366" s="64" t="s">
        <v>15</v>
      </c>
      <c r="G2366" s="64" t="s">
        <v>2870</v>
      </c>
      <c r="H2366" s="64" t="s">
        <v>2871</v>
      </c>
      <c r="I2366" s="64" t="s">
        <v>2883</v>
      </c>
      <c r="J2366" s="67">
        <v>3248.77</v>
      </c>
      <c r="K2366" s="62">
        <v>36411.53</v>
      </c>
      <c r="L2366" s="33" t="e">
        <f>HLOOKUP(B2366,#REF!,1,0)</f>
        <v>#REF!</v>
      </c>
      <c r="M2366" s="33" t="str">
        <f t="shared" si="147"/>
        <v>P&amp;L</v>
      </c>
    </row>
    <row r="2367" spans="1:13" s="33" customFormat="true" ht="12.75" customHeight="true">
      <c r="A2367" s="33" t="str">
        <f t="shared" si="144"/>
        <v>2SH - CGS</v>
      </c>
      <c r="B2367" s="33" t="str">
        <f t="shared" si="145"/>
        <v>2SH</v>
      </c>
      <c r="C2367" s="33" t="str">
        <f t="shared" si="146"/>
        <v>50003-0861</v>
      </c>
      <c r="D2367" s="64" t="s">
        <v>2887</v>
      </c>
      <c r="E2367" s="64" t="s">
        <v>2888</v>
      </c>
      <c r="F2367" s="64" t="s">
        <v>15</v>
      </c>
      <c r="G2367" s="64" t="s">
        <v>2889</v>
      </c>
      <c r="H2367" s="64" t="s">
        <v>1875</v>
      </c>
      <c r="I2367" s="64" t="s">
        <v>2890</v>
      </c>
      <c r="J2367" s="67">
        <v>1655.59</v>
      </c>
      <c r="K2367" s="62">
        <v>14384.25</v>
      </c>
      <c r="L2367" s="33" t="e">
        <f>HLOOKUP(B2367,#REF!,1,0)</f>
        <v>#REF!</v>
      </c>
      <c r="M2367" s="33" t="str">
        <f t="shared" si="147"/>
        <v>P&amp;L</v>
      </c>
    </row>
    <row r="2368" spans="1:13" s="33" customFormat="true" ht="12.75" customHeight="true">
      <c r="A2368" s="33" t="str">
        <f t="shared" si="144"/>
        <v>2SH - CGS</v>
      </c>
      <c r="B2368" s="33" t="str">
        <f t="shared" si="145"/>
        <v>2SH</v>
      </c>
      <c r="C2368" s="33" t="str">
        <f t="shared" si="146"/>
        <v>50003-0862</v>
      </c>
      <c r="D2368" s="64" t="s">
        <v>2891</v>
      </c>
      <c r="E2368" s="64" t="s">
        <v>2888</v>
      </c>
      <c r="F2368" s="64" t="s">
        <v>15</v>
      </c>
      <c r="G2368" s="64" t="s">
        <v>2889</v>
      </c>
      <c r="H2368" s="64" t="s">
        <v>1875</v>
      </c>
      <c r="I2368" s="64" t="s">
        <v>2890</v>
      </c>
      <c r="J2368" s="67">
        <v>3129.25</v>
      </c>
      <c r="K2368" s="62">
        <v>26061.14</v>
      </c>
      <c r="L2368" s="33" t="e">
        <f>HLOOKUP(B2368,#REF!,1,0)</f>
        <v>#REF!</v>
      </c>
      <c r="M2368" s="33" t="str">
        <f t="shared" si="147"/>
        <v>P&amp;L</v>
      </c>
    </row>
    <row r="2369" spans="1:13" s="33" customFormat="true" ht="12.75" customHeight="true">
      <c r="A2369" s="33" t="str">
        <f t="shared" si="144"/>
        <v>2SH - CGS</v>
      </c>
      <c r="B2369" s="33" t="str">
        <f t="shared" si="145"/>
        <v>2SH</v>
      </c>
      <c r="C2369" s="33" t="str">
        <f t="shared" si="146"/>
        <v>50003-0864</v>
      </c>
      <c r="D2369" s="64" t="s">
        <v>2892</v>
      </c>
      <c r="E2369" s="64" t="s">
        <v>2888</v>
      </c>
      <c r="F2369" s="64" t="s">
        <v>15</v>
      </c>
      <c r="G2369" s="64" t="s">
        <v>2889</v>
      </c>
      <c r="H2369" s="64" t="s">
        <v>1875</v>
      </c>
      <c r="I2369" s="64" t="s">
        <v>2890</v>
      </c>
      <c r="J2369" s="67">
        <v>1682.7</v>
      </c>
      <c r="K2369" s="62">
        <v>15296.34</v>
      </c>
      <c r="L2369" s="33" t="e">
        <f>HLOOKUP(B2369,#REF!,1,0)</f>
        <v>#REF!</v>
      </c>
      <c r="M2369" s="33" t="str">
        <f t="shared" si="147"/>
        <v>P&amp;L</v>
      </c>
    </row>
    <row r="2370" spans="1:13" s="33" customFormat="true" ht="12.75" customHeight="true">
      <c r="A2370" s="33" t="str">
        <f t="shared" ref="A2370:A2433" si="148">B2370&amp;" - "&amp;TRIM(H2370)</f>
        <v>2SH - CGS</v>
      </c>
      <c r="B2370" s="33" t="str">
        <f t="shared" ref="B2370:B2433" si="149">LEFT(D2370,3)</f>
        <v>2SH</v>
      </c>
      <c r="C2370" s="33" t="str">
        <f t="shared" ref="C2370:C2433" si="150">RIGHT(D2370,10)</f>
        <v>50003-0866</v>
      </c>
      <c r="D2370" s="64" t="s">
        <v>2893</v>
      </c>
      <c r="E2370" s="64" t="s">
        <v>2888</v>
      </c>
      <c r="F2370" s="64" t="s">
        <v>15</v>
      </c>
      <c r="G2370" s="64" t="s">
        <v>2889</v>
      </c>
      <c r="H2370" s="64" t="s">
        <v>1875</v>
      </c>
      <c r="I2370" s="64" t="s">
        <v>2890</v>
      </c>
      <c r="J2370" s="67">
        <v>2012.8</v>
      </c>
      <c r="K2370" s="62">
        <v>17378.92</v>
      </c>
      <c r="L2370" s="33" t="e">
        <f>HLOOKUP(B2370,#REF!,1,0)</f>
        <v>#REF!</v>
      </c>
      <c r="M2370" s="33" t="str">
        <f t="shared" ref="M2370:M2433" si="151">IF(VALUE(LEFT(C2370,5))&gt;40000,"P&amp;L","BS")</f>
        <v>P&amp;L</v>
      </c>
    </row>
    <row r="2371" spans="1:13" s="33" customFormat="true" ht="12.75" customHeight="true">
      <c r="A2371" s="33" t="str">
        <f t="shared" si="148"/>
        <v>2SH - CGS</v>
      </c>
      <c r="B2371" s="33" t="str">
        <f t="shared" si="149"/>
        <v>2SH</v>
      </c>
      <c r="C2371" s="33" t="str">
        <f t="shared" si="150"/>
        <v>50007-0861</v>
      </c>
      <c r="D2371" s="64" t="s">
        <v>2894</v>
      </c>
      <c r="E2371" s="64" t="s">
        <v>2895</v>
      </c>
      <c r="F2371" s="64" t="s">
        <v>15</v>
      </c>
      <c r="G2371" s="64" t="s">
        <v>2889</v>
      </c>
      <c r="H2371" s="64" t="s">
        <v>1875</v>
      </c>
      <c r="I2371" s="64" t="s">
        <v>2890</v>
      </c>
      <c r="J2371" s="67">
        <v>20351.79</v>
      </c>
      <c r="K2371" s="62">
        <v>205591.68</v>
      </c>
      <c r="L2371" s="33" t="e">
        <f>HLOOKUP(B2371,#REF!,1,0)</f>
        <v>#REF!</v>
      </c>
      <c r="M2371" s="33" t="str">
        <f t="shared" si="151"/>
        <v>P&amp;L</v>
      </c>
    </row>
    <row r="2372" spans="1:13" s="33" customFormat="true" ht="12.75" customHeight="true">
      <c r="A2372" s="33" t="str">
        <f t="shared" si="148"/>
        <v>2SH - CGS</v>
      </c>
      <c r="B2372" s="33" t="str">
        <f t="shared" si="149"/>
        <v>2SH</v>
      </c>
      <c r="C2372" s="33" t="str">
        <f t="shared" si="150"/>
        <v>50007-0862</v>
      </c>
      <c r="D2372" s="64" t="s">
        <v>2896</v>
      </c>
      <c r="E2372" s="64" t="s">
        <v>2895</v>
      </c>
      <c r="F2372" s="64" t="s">
        <v>15</v>
      </c>
      <c r="G2372" s="64" t="s">
        <v>2889</v>
      </c>
      <c r="H2372" s="64" t="s">
        <v>1875</v>
      </c>
      <c r="I2372" s="64" t="s">
        <v>2890</v>
      </c>
      <c r="J2372" s="67">
        <v>38141.52</v>
      </c>
      <c r="K2372" s="62">
        <v>369822.36</v>
      </c>
      <c r="L2372" s="33" t="e">
        <f>HLOOKUP(B2372,#REF!,1,0)</f>
        <v>#REF!</v>
      </c>
      <c r="M2372" s="33" t="str">
        <f t="shared" si="151"/>
        <v>P&amp;L</v>
      </c>
    </row>
    <row r="2373" spans="1:13" s="33" customFormat="true" ht="12.75" customHeight="true">
      <c r="A2373" s="33" t="str">
        <f t="shared" si="148"/>
        <v>2SH - CGS</v>
      </c>
      <c r="B2373" s="33" t="str">
        <f t="shared" si="149"/>
        <v>2SH</v>
      </c>
      <c r="C2373" s="33" t="str">
        <f t="shared" si="150"/>
        <v>50007-0864</v>
      </c>
      <c r="D2373" s="64" t="s">
        <v>2897</v>
      </c>
      <c r="E2373" s="64" t="s">
        <v>2895</v>
      </c>
      <c r="F2373" s="64" t="s">
        <v>15</v>
      </c>
      <c r="G2373" s="64" t="s">
        <v>2889</v>
      </c>
      <c r="H2373" s="64" t="s">
        <v>1875</v>
      </c>
      <c r="I2373" s="64" t="s">
        <v>2890</v>
      </c>
      <c r="J2373" s="67">
        <v>22854.07</v>
      </c>
      <c r="K2373" s="62">
        <v>234786.13</v>
      </c>
      <c r="L2373" s="33" t="e">
        <f>HLOOKUP(B2373,#REF!,1,0)</f>
        <v>#REF!</v>
      </c>
      <c r="M2373" s="33" t="str">
        <f t="shared" si="151"/>
        <v>P&amp;L</v>
      </c>
    </row>
    <row r="2374" spans="1:13" s="33" customFormat="true" ht="12.75" customHeight="true">
      <c r="A2374" s="33" t="str">
        <f t="shared" si="148"/>
        <v>2SH - CGS</v>
      </c>
      <c r="B2374" s="33" t="str">
        <f t="shared" si="149"/>
        <v>2SH</v>
      </c>
      <c r="C2374" s="33" t="str">
        <f t="shared" si="150"/>
        <v>50007-0866</v>
      </c>
      <c r="D2374" s="64" t="s">
        <v>2898</v>
      </c>
      <c r="E2374" s="64" t="s">
        <v>2895</v>
      </c>
      <c r="F2374" s="64" t="s">
        <v>15</v>
      </c>
      <c r="G2374" s="64" t="s">
        <v>2889</v>
      </c>
      <c r="H2374" s="64" t="s">
        <v>1875</v>
      </c>
      <c r="I2374" s="64" t="s">
        <v>2890</v>
      </c>
      <c r="J2374" s="67">
        <v>25926.07</v>
      </c>
      <c r="K2374" s="62">
        <v>250589.96</v>
      </c>
      <c r="L2374" s="33" t="e">
        <f>HLOOKUP(B2374,#REF!,1,0)</f>
        <v>#REF!</v>
      </c>
      <c r="M2374" s="33" t="str">
        <f t="shared" si="151"/>
        <v>P&amp;L</v>
      </c>
    </row>
    <row r="2375" spans="1:13" s="33" customFormat="true" ht="12.75" customHeight="true">
      <c r="A2375" s="33" t="str">
        <f t="shared" si="148"/>
        <v>2SH - CGS</v>
      </c>
      <c r="B2375" s="33" t="str">
        <f t="shared" si="149"/>
        <v>2SH</v>
      </c>
      <c r="C2375" s="33" t="str">
        <f t="shared" si="150"/>
        <v>50099-0861</v>
      </c>
      <c r="D2375" s="64" t="s">
        <v>2899</v>
      </c>
      <c r="E2375" s="64" t="s">
        <v>2900</v>
      </c>
      <c r="F2375" s="64" t="s">
        <v>15</v>
      </c>
      <c r="G2375" s="64" t="s">
        <v>2889</v>
      </c>
      <c r="H2375" s="64" t="s">
        <v>1875</v>
      </c>
      <c r="I2375" s="64" t="s">
        <v>2901</v>
      </c>
      <c r="J2375" s="67">
        <v>-21162.29</v>
      </c>
      <c r="K2375" s="62">
        <v>-201070.41</v>
      </c>
      <c r="L2375" s="33" t="e">
        <f>HLOOKUP(B2375,#REF!,1,0)</f>
        <v>#REF!</v>
      </c>
      <c r="M2375" s="33" t="str">
        <f t="shared" si="151"/>
        <v>P&amp;L</v>
      </c>
    </row>
    <row r="2376" spans="1:13" s="33" customFormat="true" ht="12.75" customHeight="true">
      <c r="A2376" s="33" t="str">
        <f t="shared" si="148"/>
        <v>2SH - CGS</v>
      </c>
      <c r="B2376" s="33" t="str">
        <f t="shared" si="149"/>
        <v>2SH</v>
      </c>
      <c r="C2376" s="33" t="str">
        <f t="shared" si="150"/>
        <v>50099-0862</v>
      </c>
      <c r="D2376" s="64" t="s">
        <v>2902</v>
      </c>
      <c r="E2376" s="64" t="s">
        <v>2900</v>
      </c>
      <c r="F2376" s="64" t="s">
        <v>15</v>
      </c>
      <c r="G2376" s="64" t="s">
        <v>2889</v>
      </c>
      <c r="H2376" s="64" t="s">
        <v>1875</v>
      </c>
      <c r="I2376" s="64" t="s">
        <v>2901</v>
      </c>
      <c r="J2376" s="67">
        <v>-40434.54</v>
      </c>
      <c r="K2376" s="62">
        <v>-375934.72</v>
      </c>
      <c r="L2376" s="33" t="e">
        <f>HLOOKUP(B2376,#REF!,1,0)</f>
        <v>#REF!</v>
      </c>
      <c r="M2376" s="33" t="str">
        <f t="shared" si="151"/>
        <v>P&amp;L</v>
      </c>
    </row>
    <row r="2377" spans="1:13" s="33" customFormat="true" ht="12.75" customHeight="true">
      <c r="A2377" s="33" t="str">
        <f t="shared" si="148"/>
        <v>2SH - CGS</v>
      </c>
      <c r="B2377" s="33" t="str">
        <f t="shared" si="149"/>
        <v>2SH</v>
      </c>
      <c r="C2377" s="33" t="str">
        <f t="shared" si="150"/>
        <v>50099-0864</v>
      </c>
      <c r="D2377" s="64" t="s">
        <v>2903</v>
      </c>
      <c r="E2377" s="64" t="s">
        <v>2900</v>
      </c>
      <c r="F2377" s="64" t="s">
        <v>15</v>
      </c>
      <c r="G2377" s="64" t="s">
        <v>2889</v>
      </c>
      <c r="H2377" s="64" t="s">
        <v>1875</v>
      </c>
      <c r="I2377" s="64" t="s">
        <v>2901</v>
      </c>
      <c r="J2377" s="67">
        <v>-22320.77</v>
      </c>
      <c r="K2377" s="62">
        <v>-224717.88</v>
      </c>
      <c r="L2377" s="33" t="e">
        <f>HLOOKUP(B2377,#REF!,1,0)</f>
        <v>#REF!</v>
      </c>
      <c r="M2377" s="33" t="str">
        <f t="shared" si="151"/>
        <v>P&amp;L</v>
      </c>
    </row>
    <row r="2378" spans="1:13" s="33" customFormat="true" ht="12.75" customHeight="true">
      <c r="A2378" s="33" t="str">
        <f t="shared" si="148"/>
        <v>2SH - CGS</v>
      </c>
      <c r="B2378" s="33" t="str">
        <f t="shared" si="149"/>
        <v>2SH</v>
      </c>
      <c r="C2378" s="33" t="str">
        <f t="shared" si="150"/>
        <v>50099-0866</v>
      </c>
      <c r="D2378" s="64" t="s">
        <v>2904</v>
      </c>
      <c r="E2378" s="64" t="s">
        <v>2900</v>
      </c>
      <c r="F2378" s="64" t="s">
        <v>15</v>
      </c>
      <c r="G2378" s="64" t="s">
        <v>2889</v>
      </c>
      <c r="H2378" s="64" t="s">
        <v>1875</v>
      </c>
      <c r="I2378" s="64" t="s">
        <v>2901</v>
      </c>
      <c r="J2378" s="67">
        <v>-26674.11</v>
      </c>
      <c r="K2378" s="62">
        <v>-252472.89</v>
      </c>
      <c r="L2378" s="33" t="e">
        <f>HLOOKUP(B2378,#REF!,1,0)</f>
        <v>#REF!</v>
      </c>
      <c r="M2378" s="33" t="str">
        <f t="shared" si="151"/>
        <v>P&amp;L</v>
      </c>
    </row>
    <row r="2379" spans="1:13" s="33" customFormat="true" ht="12.75" customHeight="true">
      <c r="A2379" s="33" t="str">
        <f t="shared" si="148"/>
        <v>2SH - CGS</v>
      </c>
      <c r="B2379" s="33" t="str">
        <f t="shared" si="149"/>
        <v>2SH</v>
      </c>
      <c r="C2379" s="33" t="str">
        <f t="shared" si="150"/>
        <v>50099-7124</v>
      </c>
      <c r="D2379" s="64" t="s">
        <v>2905</v>
      </c>
      <c r="E2379" s="64" t="s">
        <v>2900</v>
      </c>
      <c r="F2379" s="64" t="s">
        <v>15</v>
      </c>
      <c r="G2379" s="64" t="s">
        <v>2889</v>
      </c>
      <c r="H2379" s="64" t="s">
        <v>1875</v>
      </c>
      <c r="I2379" s="64" t="s">
        <v>2901</v>
      </c>
      <c r="J2379" s="67">
        <v>0</v>
      </c>
      <c r="K2379" s="62">
        <v>0</v>
      </c>
      <c r="L2379" s="33" t="e">
        <f>HLOOKUP(B2379,#REF!,1,0)</f>
        <v>#REF!</v>
      </c>
      <c r="M2379" s="33" t="str">
        <f t="shared" si="151"/>
        <v>P&amp;L</v>
      </c>
    </row>
    <row r="2380" spans="1:13" s="33" customFormat="true" ht="12.75" customHeight="true">
      <c r="A2380" s="33" t="str">
        <f t="shared" si="148"/>
        <v>2SH - CGS</v>
      </c>
      <c r="B2380" s="33" t="str">
        <f t="shared" si="149"/>
        <v>2SH</v>
      </c>
      <c r="C2380" s="33" t="str">
        <f t="shared" si="150"/>
        <v>50100-0861</v>
      </c>
      <c r="D2380" s="64" t="s">
        <v>2906</v>
      </c>
      <c r="E2380" s="64" t="s">
        <v>2907</v>
      </c>
      <c r="F2380" s="64" t="s">
        <v>15</v>
      </c>
      <c r="G2380" s="64" t="s">
        <v>2889</v>
      </c>
      <c r="H2380" s="64" t="s">
        <v>1875</v>
      </c>
      <c r="I2380" s="64" t="s">
        <v>2908</v>
      </c>
      <c r="J2380" s="67">
        <v>21162.29</v>
      </c>
      <c r="K2380" s="62">
        <v>201070.41</v>
      </c>
      <c r="L2380" s="33" t="e">
        <f>HLOOKUP(B2380,#REF!,1,0)</f>
        <v>#REF!</v>
      </c>
      <c r="M2380" s="33" t="str">
        <f t="shared" si="151"/>
        <v>P&amp;L</v>
      </c>
    </row>
    <row r="2381" spans="1:13" s="33" customFormat="true" ht="12.75" customHeight="true">
      <c r="A2381" s="33" t="str">
        <f t="shared" si="148"/>
        <v>2SH - CGS</v>
      </c>
      <c r="B2381" s="33" t="str">
        <f t="shared" si="149"/>
        <v>2SH</v>
      </c>
      <c r="C2381" s="33" t="str">
        <f t="shared" si="150"/>
        <v>50100-0862</v>
      </c>
      <c r="D2381" s="64" t="s">
        <v>2909</v>
      </c>
      <c r="E2381" s="64" t="s">
        <v>2907</v>
      </c>
      <c r="F2381" s="64" t="s">
        <v>15</v>
      </c>
      <c r="G2381" s="64" t="s">
        <v>2889</v>
      </c>
      <c r="H2381" s="64" t="s">
        <v>1875</v>
      </c>
      <c r="I2381" s="64" t="s">
        <v>2908</v>
      </c>
      <c r="J2381" s="67">
        <v>40434.54</v>
      </c>
      <c r="K2381" s="62">
        <v>375934.72</v>
      </c>
      <c r="L2381" s="33" t="e">
        <f>HLOOKUP(B2381,#REF!,1,0)</f>
        <v>#REF!</v>
      </c>
      <c r="M2381" s="33" t="str">
        <f t="shared" si="151"/>
        <v>P&amp;L</v>
      </c>
    </row>
    <row r="2382" spans="1:13" s="33" customFormat="true" ht="12.75" customHeight="true">
      <c r="A2382" s="33" t="str">
        <f t="shared" si="148"/>
        <v>2SH - CGS</v>
      </c>
      <c r="B2382" s="33" t="str">
        <f t="shared" si="149"/>
        <v>2SH</v>
      </c>
      <c r="C2382" s="33" t="str">
        <f t="shared" si="150"/>
        <v>50100-0864</v>
      </c>
      <c r="D2382" s="64" t="s">
        <v>2910</v>
      </c>
      <c r="E2382" s="64" t="s">
        <v>2907</v>
      </c>
      <c r="F2382" s="64" t="s">
        <v>15</v>
      </c>
      <c r="G2382" s="64" t="s">
        <v>2889</v>
      </c>
      <c r="H2382" s="64" t="s">
        <v>1875</v>
      </c>
      <c r="I2382" s="64" t="s">
        <v>2908</v>
      </c>
      <c r="J2382" s="67">
        <v>22320.77</v>
      </c>
      <c r="K2382" s="62">
        <v>224717.88</v>
      </c>
      <c r="L2382" s="33" t="e">
        <f>HLOOKUP(B2382,#REF!,1,0)</f>
        <v>#REF!</v>
      </c>
      <c r="M2382" s="33" t="str">
        <f t="shared" si="151"/>
        <v>P&amp;L</v>
      </c>
    </row>
    <row r="2383" spans="1:13" s="33" customFormat="true" ht="12.75" customHeight="true">
      <c r="A2383" s="33" t="str">
        <f t="shared" si="148"/>
        <v>2SH - CGS</v>
      </c>
      <c r="B2383" s="33" t="str">
        <f t="shared" si="149"/>
        <v>2SH</v>
      </c>
      <c r="C2383" s="33" t="str">
        <f t="shared" si="150"/>
        <v>50100-0866</v>
      </c>
      <c r="D2383" s="64" t="s">
        <v>2911</v>
      </c>
      <c r="E2383" s="64" t="s">
        <v>2907</v>
      </c>
      <c r="F2383" s="64" t="s">
        <v>15</v>
      </c>
      <c r="G2383" s="64" t="s">
        <v>2889</v>
      </c>
      <c r="H2383" s="64" t="s">
        <v>1875</v>
      </c>
      <c r="I2383" s="64" t="s">
        <v>2908</v>
      </c>
      <c r="J2383" s="67">
        <v>26674.11</v>
      </c>
      <c r="K2383" s="62">
        <v>252472.89</v>
      </c>
      <c r="L2383" s="33" t="e">
        <f>HLOOKUP(B2383,#REF!,1,0)</f>
        <v>#REF!</v>
      </c>
      <c r="M2383" s="33" t="str">
        <f t="shared" si="151"/>
        <v>P&amp;L</v>
      </c>
    </row>
    <row r="2384" spans="1:13" s="33" customFormat="true" ht="12.75" customHeight="true">
      <c r="A2384" s="33" t="str">
        <f t="shared" si="148"/>
        <v>2SH - CGS</v>
      </c>
      <c r="B2384" s="33" t="str">
        <f t="shared" si="149"/>
        <v>2SH</v>
      </c>
      <c r="C2384" s="33" t="str">
        <f t="shared" si="150"/>
        <v>50100-7124</v>
      </c>
      <c r="D2384" s="64" t="s">
        <v>2912</v>
      </c>
      <c r="E2384" s="64" t="s">
        <v>2907</v>
      </c>
      <c r="F2384" s="64" t="s">
        <v>15</v>
      </c>
      <c r="G2384" s="64" t="s">
        <v>2889</v>
      </c>
      <c r="H2384" s="64" t="s">
        <v>1875</v>
      </c>
      <c r="I2384" s="64" t="s">
        <v>2908</v>
      </c>
      <c r="J2384" s="67">
        <v>0</v>
      </c>
      <c r="K2384" s="62">
        <v>0</v>
      </c>
      <c r="L2384" s="33" t="e">
        <f>HLOOKUP(B2384,#REF!,1,0)</f>
        <v>#REF!</v>
      </c>
      <c r="M2384" s="33" t="str">
        <f t="shared" si="151"/>
        <v>P&amp;L</v>
      </c>
    </row>
    <row r="2385" spans="1:13" s="33" customFormat="true" ht="12.75" customHeight="true">
      <c r="A2385" s="33" t="str">
        <f t="shared" si="148"/>
        <v>2SH - CGS</v>
      </c>
      <c r="B2385" s="33" t="str">
        <f t="shared" si="149"/>
        <v>2SH</v>
      </c>
      <c r="C2385" s="33" t="str">
        <f t="shared" si="150"/>
        <v>51001-0861</v>
      </c>
      <c r="D2385" s="64" t="s">
        <v>2913</v>
      </c>
      <c r="E2385" s="64" t="s">
        <v>2914</v>
      </c>
      <c r="F2385" s="64" t="s">
        <v>15</v>
      </c>
      <c r="G2385" s="64" t="s">
        <v>2889</v>
      </c>
      <c r="H2385" s="64" t="s">
        <v>1875</v>
      </c>
      <c r="I2385" s="64" t="s">
        <v>2915</v>
      </c>
      <c r="J2385" s="67">
        <v>2137.77</v>
      </c>
      <c r="K2385" s="62">
        <v>19125.01</v>
      </c>
      <c r="L2385" s="33" t="e">
        <f>HLOOKUP(B2385,#REF!,1,0)</f>
        <v>#REF!</v>
      </c>
      <c r="M2385" s="33" t="str">
        <f t="shared" si="151"/>
        <v>P&amp;L</v>
      </c>
    </row>
    <row r="2386" spans="1:13" s="33" customFormat="true" ht="12.75" customHeight="true">
      <c r="A2386" s="33" t="str">
        <f t="shared" si="148"/>
        <v>2SH - CGS</v>
      </c>
      <c r="B2386" s="33" t="str">
        <f t="shared" si="149"/>
        <v>2SH</v>
      </c>
      <c r="C2386" s="33" t="str">
        <f t="shared" si="150"/>
        <v>51001-0862</v>
      </c>
      <c r="D2386" s="64" t="s">
        <v>2916</v>
      </c>
      <c r="E2386" s="64" t="s">
        <v>2914</v>
      </c>
      <c r="F2386" s="64" t="s">
        <v>15</v>
      </c>
      <c r="G2386" s="64" t="s">
        <v>2889</v>
      </c>
      <c r="H2386" s="64" t="s">
        <v>1875</v>
      </c>
      <c r="I2386" s="64" t="s">
        <v>2915</v>
      </c>
      <c r="J2386" s="67">
        <v>3181.8</v>
      </c>
      <c r="K2386" s="62">
        <v>33436.6</v>
      </c>
      <c r="L2386" s="33" t="e">
        <f>HLOOKUP(B2386,#REF!,1,0)</f>
        <v>#REF!</v>
      </c>
      <c r="M2386" s="33" t="str">
        <f t="shared" si="151"/>
        <v>P&amp;L</v>
      </c>
    </row>
    <row r="2387" spans="1:13" s="33" customFormat="true" ht="12.75" customHeight="true">
      <c r="A2387" s="33" t="str">
        <f t="shared" si="148"/>
        <v>2SH - CGS</v>
      </c>
      <c r="B2387" s="33" t="str">
        <f t="shared" si="149"/>
        <v>2SH</v>
      </c>
      <c r="C2387" s="33" t="str">
        <f t="shared" si="150"/>
        <v>51001-0864</v>
      </c>
      <c r="D2387" s="64" t="s">
        <v>2917</v>
      </c>
      <c r="E2387" s="64" t="s">
        <v>2914</v>
      </c>
      <c r="F2387" s="64" t="s">
        <v>15</v>
      </c>
      <c r="G2387" s="64" t="s">
        <v>2889</v>
      </c>
      <c r="H2387" s="64" t="s">
        <v>1875</v>
      </c>
      <c r="I2387" s="64" t="s">
        <v>2915</v>
      </c>
      <c r="J2387" s="67">
        <v>2185.94</v>
      </c>
      <c r="K2387" s="62">
        <v>22646.03</v>
      </c>
      <c r="L2387" s="33" t="e">
        <f>HLOOKUP(B2387,#REF!,1,0)</f>
        <v>#REF!</v>
      </c>
      <c r="M2387" s="33" t="str">
        <f t="shared" si="151"/>
        <v>P&amp;L</v>
      </c>
    </row>
    <row r="2388" spans="1:13" s="33" customFormat="true" ht="12.75" customHeight="true">
      <c r="A2388" s="33" t="str">
        <f t="shared" si="148"/>
        <v>2SH - CGS</v>
      </c>
      <c r="B2388" s="33" t="str">
        <f t="shared" si="149"/>
        <v>2SH</v>
      </c>
      <c r="C2388" s="33" t="str">
        <f t="shared" si="150"/>
        <v>51001-0866</v>
      </c>
      <c r="D2388" s="64" t="s">
        <v>2918</v>
      </c>
      <c r="E2388" s="64" t="s">
        <v>2914</v>
      </c>
      <c r="F2388" s="64" t="s">
        <v>15</v>
      </c>
      <c r="G2388" s="64" t="s">
        <v>2889</v>
      </c>
      <c r="H2388" s="64" t="s">
        <v>1875</v>
      </c>
      <c r="I2388" s="64" t="s">
        <v>2915</v>
      </c>
      <c r="J2388" s="67">
        <v>2095.95</v>
      </c>
      <c r="K2388" s="62">
        <v>23390.72</v>
      </c>
      <c r="L2388" s="33" t="e">
        <f>HLOOKUP(B2388,#REF!,1,0)</f>
        <v>#REF!</v>
      </c>
      <c r="M2388" s="33" t="str">
        <f t="shared" si="151"/>
        <v>P&amp;L</v>
      </c>
    </row>
    <row r="2389" spans="1:13" s="33" customFormat="true" ht="12.75" customHeight="true">
      <c r="A2389" s="33" t="str">
        <f t="shared" si="148"/>
        <v>2SH - CGS</v>
      </c>
      <c r="B2389" s="33" t="str">
        <f t="shared" si="149"/>
        <v>2SH</v>
      </c>
      <c r="C2389" s="33" t="str">
        <f t="shared" si="150"/>
        <v>52001-0861</v>
      </c>
      <c r="D2389" s="64" t="s">
        <v>2919</v>
      </c>
      <c r="E2389" s="64" t="s">
        <v>2920</v>
      </c>
      <c r="F2389" s="64" t="s">
        <v>15</v>
      </c>
      <c r="G2389" s="64" t="s">
        <v>2921</v>
      </c>
      <c r="H2389" s="64" t="s">
        <v>1875</v>
      </c>
      <c r="I2389" s="64" t="s">
        <v>2922</v>
      </c>
      <c r="J2389" s="67">
        <v>12497.9</v>
      </c>
      <c r="K2389" s="62">
        <v>106506.59</v>
      </c>
      <c r="L2389" s="33" t="e">
        <f>HLOOKUP(B2389,#REF!,1,0)</f>
        <v>#REF!</v>
      </c>
      <c r="M2389" s="33" t="str">
        <f t="shared" si="151"/>
        <v>P&amp;L</v>
      </c>
    </row>
    <row r="2390" spans="1:13" s="33" customFormat="true" ht="12.75" customHeight="true">
      <c r="A2390" s="33" t="str">
        <f t="shared" si="148"/>
        <v>2SH - CGS</v>
      </c>
      <c r="B2390" s="33" t="str">
        <f t="shared" si="149"/>
        <v>2SH</v>
      </c>
      <c r="C2390" s="33" t="str">
        <f t="shared" si="150"/>
        <v>52001-0862</v>
      </c>
      <c r="D2390" s="64" t="s">
        <v>2923</v>
      </c>
      <c r="E2390" s="64" t="s">
        <v>2920</v>
      </c>
      <c r="F2390" s="64" t="s">
        <v>15</v>
      </c>
      <c r="G2390" s="64" t="s">
        <v>2921</v>
      </c>
      <c r="H2390" s="64" t="s">
        <v>1875</v>
      </c>
      <c r="I2390" s="64" t="s">
        <v>2922</v>
      </c>
      <c r="J2390" s="67">
        <v>16729.73</v>
      </c>
      <c r="K2390" s="62">
        <v>214928.67</v>
      </c>
      <c r="L2390" s="33" t="e">
        <f>HLOOKUP(B2390,#REF!,1,0)</f>
        <v>#REF!</v>
      </c>
      <c r="M2390" s="33" t="str">
        <f t="shared" si="151"/>
        <v>P&amp;L</v>
      </c>
    </row>
    <row r="2391" spans="1:13" s="33" customFormat="true" ht="12.75" customHeight="true">
      <c r="A2391" s="33" t="str">
        <f t="shared" si="148"/>
        <v>2SH - CGS</v>
      </c>
      <c r="B2391" s="33" t="str">
        <f t="shared" si="149"/>
        <v>2SH</v>
      </c>
      <c r="C2391" s="33" t="str">
        <f t="shared" si="150"/>
        <v>52001-0864</v>
      </c>
      <c r="D2391" s="64" t="s">
        <v>2924</v>
      </c>
      <c r="E2391" s="64" t="s">
        <v>2920</v>
      </c>
      <c r="F2391" s="64" t="s">
        <v>15</v>
      </c>
      <c r="G2391" s="64" t="s">
        <v>2921</v>
      </c>
      <c r="H2391" s="64" t="s">
        <v>1875</v>
      </c>
      <c r="I2391" s="64" t="s">
        <v>2922</v>
      </c>
      <c r="J2391" s="67">
        <v>16394.24</v>
      </c>
      <c r="K2391" s="62">
        <v>168416.22</v>
      </c>
      <c r="L2391" s="33" t="e">
        <f>HLOOKUP(B2391,#REF!,1,0)</f>
        <v>#REF!</v>
      </c>
      <c r="M2391" s="33" t="str">
        <f t="shared" si="151"/>
        <v>P&amp;L</v>
      </c>
    </row>
    <row r="2392" spans="1:13" s="33" customFormat="true" ht="12.75" customHeight="true">
      <c r="A2392" s="33" t="str">
        <f t="shared" si="148"/>
        <v>2SH - CGS</v>
      </c>
      <c r="B2392" s="33" t="str">
        <f t="shared" si="149"/>
        <v>2SH</v>
      </c>
      <c r="C2392" s="33" t="str">
        <f t="shared" si="150"/>
        <v>52001-0866</v>
      </c>
      <c r="D2392" s="64" t="s">
        <v>2925</v>
      </c>
      <c r="E2392" s="64" t="s">
        <v>2920</v>
      </c>
      <c r="F2392" s="64" t="s">
        <v>15</v>
      </c>
      <c r="G2392" s="64" t="s">
        <v>2921</v>
      </c>
      <c r="H2392" s="64" t="s">
        <v>1875</v>
      </c>
      <c r="I2392" s="64" t="s">
        <v>2922</v>
      </c>
      <c r="J2392" s="67">
        <v>9145.81</v>
      </c>
      <c r="K2392" s="62">
        <v>99432.84</v>
      </c>
      <c r="L2392" s="33" t="e">
        <f>HLOOKUP(B2392,#REF!,1,0)</f>
        <v>#REF!</v>
      </c>
      <c r="M2392" s="33" t="str">
        <f t="shared" si="151"/>
        <v>P&amp;L</v>
      </c>
    </row>
    <row r="2393" spans="1:13" s="33" customFormat="true" ht="12.75" customHeight="true">
      <c r="A2393" s="33" t="str">
        <f t="shared" si="148"/>
        <v>2SH - CGS</v>
      </c>
      <c r="B2393" s="33" t="str">
        <f t="shared" si="149"/>
        <v>2SH</v>
      </c>
      <c r="C2393" s="33" t="str">
        <f t="shared" si="150"/>
        <v>52002-0861</v>
      </c>
      <c r="D2393" s="64" t="s">
        <v>2926</v>
      </c>
      <c r="E2393" s="64" t="s">
        <v>2927</v>
      </c>
      <c r="F2393" s="64" t="s">
        <v>15</v>
      </c>
      <c r="G2393" s="64" t="s">
        <v>2921</v>
      </c>
      <c r="H2393" s="64" t="s">
        <v>1875</v>
      </c>
      <c r="I2393" s="64" t="s">
        <v>2928</v>
      </c>
      <c r="J2393" s="67">
        <v>6971.43</v>
      </c>
      <c r="K2393" s="62">
        <v>95093.71</v>
      </c>
      <c r="L2393" s="33" t="e">
        <f>HLOOKUP(B2393,#REF!,1,0)</f>
        <v>#REF!</v>
      </c>
      <c r="M2393" s="33" t="str">
        <f t="shared" si="151"/>
        <v>P&amp;L</v>
      </c>
    </row>
    <row r="2394" spans="1:13" s="33" customFormat="true" ht="12.75" customHeight="true">
      <c r="A2394" s="33" t="str">
        <f t="shared" si="148"/>
        <v>2SH - CGS</v>
      </c>
      <c r="B2394" s="33" t="str">
        <f t="shared" si="149"/>
        <v>2SH</v>
      </c>
      <c r="C2394" s="33" t="str">
        <f t="shared" si="150"/>
        <v>52002-0862</v>
      </c>
      <c r="D2394" s="64" t="s">
        <v>2929</v>
      </c>
      <c r="E2394" s="64" t="s">
        <v>2927</v>
      </c>
      <c r="F2394" s="64" t="s">
        <v>15</v>
      </c>
      <c r="G2394" s="64" t="s">
        <v>2921</v>
      </c>
      <c r="H2394" s="64" t="s">
        <v>1875</v>
      </c>
      <c r="I2394" s="64" t="s">
        <v>2928</v>
      </c>
      <c r="J2394" s="67">
        <v>10689.47</v>
      </c>
      <c r="K2394" s="62">
        <v>77740.11</v>
      </c>
      <c r="L2394" s="33" t="e">
        <f>HLOOKUP(B2394,#REF!,1,0)</f>
        <v>#REF!</v>
      </c>
      <c r="M2394" s="33" t="str">
        <f t="shared" si="151"/>
        <v>P&amp;L</v>
      </c>
    </row>
    <row r="2395" spans="1:13" s="33" customFormat="true" ht="12.75" customHeight="true">
      <c r="A2395" s="33" t="str">
        <f t="shared" si="148"/>
        <v>2SH - CGS</v>
      </c>
      <c r="B2395" s="33" t="str">
        <f t="shared" si="149"/>
        <v>2SH</v>
      </c>
      <c r="C2395" s="33" t="str">
        <f t="shared" si="150"/>
        <v>52002-0864</v>
      </c>
      <c r="D2395" s="64" t="s">
        <v>2930</v>
      </c>
      <c r="E2395" s="64" t="s">
        <v>2927</v>
      </c>
      <c r="F2395" s="64" t="s">
        <v>15</v>
      </c>
      <c r="G2395" s="64" t="s">
        <v>2921</v>
      </c>
      <c r="H2395" s="64" t="s">
        <v>1875</v>
      </c>
      <c r="I2395" s="64" t="s">
        <v>2928</v>
      </c>
      <c r="J2395" s="67">
        <v>4438.02</v>
      </c>
      <c r="K2395" s="62">
        <v>51437.95</v>
      </c>
      <c r="L2395" s="33" t="e">
        <f>HLOOKUP(B2395,#REF!,1,0)</f>
        <v>#REF!</v>
      </c>
      <c r="M2395" s="33" t="str">
        <f t="shared" si="151"/>
        <v>P&amp;L</v>
      </c>
    </row>
    <row r="2396" spans="1:13" s="33" customFormat="true" ht="12.75" customHeight="true">
      <c r="A2396" s="33" t="str">
        <f t="shared" si="148"/>
        <v>2SH - CGS</v>
      </c>
      <c r="B2396" s="33" t="str">
        <f t="shared" si="149"/>
        <v>2SH</v>
      </c>
      <c r="C2396" s="33" t="str">
        <f t="shared" si="150"/>
        <v>52002-0866</v>
      </c>
      <c r="D2396" s="64" t="s">
        <v>2931</v>
      </c>
      <c r="E2396" s="64" t="s">
        <v>2927</v>
      </c>
      <c r="F2396" s="64" t="s">
        <v>15</v>
      </c>
      <c r="G2396" s="64" t="s">
        <v>2921</v>
      </c>
      <c r="H2396" s="64" t="s">
        <v>1875</v>
      </c>
      <c r="I2396" s="64" t="s">
        <v>2928</v>
      </c>
      <c r="J2396" s="67">
        <v>8038.45</v>
      </c>
      <c r="K2396" s="62">
        <v>92390.66</v>
      </c>
      <c r="L2396" s="33" t="e">
        <f>HLOOKUP(B2396,#REF!,1,0)</f>
        <v>#REF!</v>
      </c>
      <c r="M2396" s="33" t="str">
        <f t="shared" si="151"/>
        <v>P&amp;L</v>
      </c>
    </row>
    <row r="2397" spans="1:13" s="33" customFormat="true" ht="12.75" customHeight="true">
      <c r="A2397" s="33" t="str">
        <f t="shared" si="148"/>
        <v>2SH - CGS</v>
      </c>
      <c r="B2397" s="33" t="str">
        <f t="shared" si="149"/>
        <v>2SH</v>
      </c>
      <c r="C2397" s="33" t="str">
        <f t="shared" si="150"/>
        <v>52003-0861</v>
      </c>
      <c r="D2397" s="64" t="s">
        <v>2932</v>
      </c>
      <c r="E2397" s="64" t="s">
        <v>2933</v>
      </c>
      <c r="F2397" s="64" t="s">
        <v>15</v>
      </c>
      <c r="G2397" s="64" t="s">
        <v>2921</v>
      </c>
      <c r="H2397" s="64" t="s">
        <v>1875</v>
      </c>
      <c r="I2397" s="64" t="s">
        <v>2934</v>
      </c>
      <c r="J2397" s="67">
        <v>11.78</v>
      </c>
      <c r="K2397" s="62">
        <v>1790.63</v>
      </c>
      <c r="L2397" s="33" t="e">
        <f>HLOOKUP(B2397,#REF!,1,0)</f>
        <v>#REF!</v>
      </c>
      <c r="M2397" s="33" t="str">
        <f t="shared" si="151"/>
        <v>P&amp;L</v>
      </c>
    </row>
    <row r="2398" spans="1:13" s="33" customFormat="true" ht="12.75" customHeight="true">
      <c r="A2398" s="33" t="str">
        <f t="shared" si="148"/>
        <v>2SH - CGS</v>
      </c>
      <c r="B2398" s="33" t="str">
        <f t="shared" si="149"/>
        <v>2SH</v>
      </c>
      <c r="C2398" s="33" t="str">
        <f t="shared" si="150"/>
        <v>52003-0862</v>
      </c>
      <c r="D2398" s="64" t="s">
        <v>2935</v>
      </c>
      <c r="E2398" s="64" t="s">
        <v>2933</v>
      </c>
      <c r="F2398" s="64" t="s">
        <v>15</v>
      </c>
      <c r="G2398" s="64" t="s">
        <v>2921</v>
      </c>
      <c r="H2398" s="64" t="s">
        <v>1875</v>
      </c>
      <c r="I2398" s="64" t="s">
        <v>2934</v>
      </c>
      <c r="J2398" s="67">
        <v>442.65</v>
      </c>
      <c r="K2398" s="62">
        <v>2550.8</v>
      </c>
      <c r="L2398" s="33" t="e">
        <f>HLOOKUP(B2398,#REF!,1,0)</f>
        <v>#REF!</v>
      </c>
      <c r="M2398" s="33" t="str">
        <f t="shared" si="151"/>
        <v>P&amp;L</v>
      </c>
    </row>
    <row r="2399" spans="1:13" s="33" customFormat="true" ht="12.75" customHeight="true">
      <c r="A2399" s="33" t="str">
        <f t="shared" si="148"/>
        <v>2SH - CGS</v>
      </c>
      <c r="B2399" s="33" t="str">
        <f t="shared" si="149"/>
        <v>2SH</v>
      </c>
      <c r="C2399" s="33" t="str">
        <f t="shared" si="150"/>
        <v>52003-0864</v>
      </c>
      <c r="D2399" s="64" t="s">
        <v>2936</v>
      </c>
      <c r="E2399" s="64" t="s">
        <v>2933</v>
      </c>
      <c r="F2399" s="64" t="s">
        <v>15</v>
      </c>
      <c r="G2399" s="64" t="s">
        <v>2921</v>
      </c>
      <c r="H2399" s="64" t="s">
        <v>1875</v>
      </c>
      <c r="I2399" s="64" t="s">
        <v>2934</v>
      </c>
      <c r="J2399" s="67">
        <v>55.28</v>
      </c>
      <c r="K2399" s="62">
        <v>1639.13</v>
      </c>
      <c r="L2399" s="33" t="e">
        <f>HLOOKUP(B2399,#REF!,1,0)</f>
        <v>#REF!</v>
      </c>
      <c r="M2399" s="33" t="str">
        <f t="shared" si="151"/>
        <v>P&amp;L</v>
      </c>
    </row>
    <row r="2400" spans="1:13" s="33" customFormat="true" ht="12.75" customHeight="true">
      <c r="A2400" s="33" t="str">
        <f t="shared" si="148"/>
        <v>2SH - CGS</v>
      </c>
      <c r="B2400" s="33" t="str">
        <f t="shared" si="149"/>
        <v>2SH</v>
      </c>
      <c r="C2400" s="33" t="str">
        <f t="shared" si="150"/>
        <v>52003-0866</v>
      </c>
      <c r="D2400" s="64" t="s">
        <v>2937</v>
      </c>
      <c r="E2400" s="64" t="s">
        <v>2933</v>
      </c>
      <c r="F2400" s="64" t="s">
        <v>15</v>
      </c>
      <c r="G2400" s="64" t="s">
        <v>2921</v>
      </c>
      <c r="H2400" s="64" t="s">
        <v>1875</v>
      </c>
      <c r="I2400" s="64" t="s">
        <v>2934</v>
      </c>
      <c r="J2400" s="67">
        <v>245.23</v>
      </c>
      <c r="K2400" s="62">
        <v>2462.27</v>
      </c>
      <c r="L2400" s="33" t="e">
        <f>HLOOKUP(B2400,#REF!,1,0)</f>
        <v>#REF!</v>
      </c>
      <c r="M2400" s="33" t="str">
        <f t="shared" si="151"/>
        <v>P&amp;L</v>
      </c>
    </row>
    <row r="2401" spans="1:13" s="33" customFormat="true" ht="12.75" customHeight="true">
      <c r="A2401" s="33" t="str">
        <f t="shared" si="148"/>
        <v>2SH - CGS</v>
      </c>
      <c r="B2401" s="33" t="str">
        <f t="shared" si="149"/>
        <v>2SH</v>
      </c>
      <c r="C2401" s="33" t="str">
        <f t="shared" si="150"/>
        <v>52004-0861</v>
      </c>
      <c r="D2401" s="64" t="s">
        <v>2938</v>
      </c>
      <c r="E2401" s="64" t="s">
        <v>2939</v>
      </c>
      <c r="F2401" s="64" t="s">
        <v>15</v>
      </c>
      <c r="G2401" s="64" t="s">
        <v>2921</v>
      </c>
      <c r="H2401" s="64" t="s">
        <v>1875</v>
      </c>
      <c r="I2401" s="64" t="s">
        <v>2940</v>
      </c>
      <c r="J2401" s="67">
        <v>4.4</v>
      </c>
      <c r="K2401" s="62">
        <v>1811.19</v>
      </c>
      <c r="L2401" s="33" t="e">
        <f>HLOOKUP(B2401,#REF!,1,0)</f>
        <v>#REF!</v>
      </c>
      <c r="M2401" s="33" t="str">
        <f t="shared" si="151"/>
        <v>P&amp;L</v>
      </c>
    </row>
    <row r="2402" spans="1:13" s="33" customFormat="true" ht="12.75" customHeight="true">
      <c r="A2402" s="33" t="str">
        <f t="shared" si="148"/>
        <v>2SH - CGS</v>
      </c>
      <c r="B2402" s="33" t="str">
        <f t="shared" si="149"/>
        <v>2SH</v>
      </c>
      <c r="C2402" s="33" t="str">
        <f t="shared" si="150"/>
        <v>52004-0862</v>
      </c>
      <c r="D2402" s="64" t="s">
        <v>2941</v>
      </c>
      <c r="E2402" s="64" t="s">
        <v>2939</v>
      </c>
      <c r="F2402" s="64" t="s">
        <v>15</v>
      </c>
      <c r="G2402" s="64" t="s">
        <v>2921</v>
      </c>
      <c r="H2402" s="64" t="s">
        <v>1875</v>
      </c>
      <c r="I2402" s="64" t="s">
        <v>2940</v>
      </c>
      <c r="J2402" s="67">
        <v>48.71</v>
      </c>
      <c r="K2402" s="62">
        <v>635.82</v>
      </c>
      <c r="L2402" s="33" t="e">
        <f>HLOOKUP(B2402,#REF!,1,0)</f>
        <v>#REF!</v>
      </c>
      <c r="M2402" s="33" t="str">
        <f t="shared" si="151"/>
        <v>P&amp;L</v>
      </c>
    </row>
    <row r="2403" spans="1:13" s="33" customFormat="true" ht="12.75" customHeight="true">
      <c r="A2403" s="33" t="str">
        <f t="shared" si="148"/>
        <v>2SH - CGS</v>
      </c>
      <c r="B2403" s="33" t="str">
        <f t="shared" si="149"/>
        <v>2SH</v>
      </c>
      <c r="C2403" s="33" t="str">
        <f t="shared" si="150"/>
        <v>52004-0864</v>
      </c>
      <c r="D2403" s="64" t="s">
        <v>2942</v>
      </c>
      <c r="E2403" s="64" t="s">
        <v>2939</v>
      </c>
      <c r="F2403" s="64" t="s">
        <v>15</v>
      </c>
      <c r="G2403" s="64" t="s">
        <v>2921</v>
      </c>
      <c r="H2403" s="64" t="s">
        <v>1875</v>
      </c>
      <c r="I2403" s="64" t="s">
        <v>2940</v>
      </c>
      <c r="J2403" s="67">
        <v>0</v>
      </c>
      <c r="K2403" s="62">
        <v>627.15</v>
      </c>
      <c r="L2403" s="33" t="e">
        <f>HLOOKUP(B2403,#REF!,1,0)</f>
        <v>#REF!</v>
      </c>
      <c r="M2403" s="33" t="str">
        <f t="shared" si="151"/>
        <v>P&amp;L</v>
      </c>
    </row>
    <row r="2404" spans="1:13" s="33" customFormat="true" ht="12.75" customHeight="true">
      <c r="A2404" s="33" t="str">
        <f t="shared" si="148"/>
        <v>2SH - CGS</v>
      </c>
      <c r="B2404" s="33" t="str">
        <f t="shared" si="149"/>
        <v>2SH</v>
      </c>
      <c r="C2404" s="33" t="str">
        <f t="shared" si="150"/>
        <v>52004-0866</v>
      </c>
      <c r="D2404" s="64" t="s">
        <v>2943</v>
      </c>
      <c r="E2404" s="64" t="s">
        <v>2939</v>
      </c>
      <c r="F2404" s="64" t="s">
        <v>15</v>
      </c>
      <c r="G2404" s="64" t="s">
        <v>2921</v>
      </c>
      <c r="H2404" s="64" t="s">
        <v>1875</v>
      </c>
      <c r="I2404" s="64" t="s">
        <v>2940</v>
      </c>
      <c r="J2404" s="67">
        <v>283.17</v>
      </c>
      <c r="K2404" s="62">
        <v>3037.82</v>
      </c>
      <c r="L2404" s="33" t="e">
        <f>HLOOKUP(B2404,#REF!,1,0)</f>
        <v>#REF!</v>
      </c>
      <c r="M2404" s="33" t="str">
        <f t="shared" si="151"/>
        <v>P&amp;L</v>
      </c>
    </row>
    <row r="2405" spans="1:13" s="33" customFormat="true" ht="12.75" customHeight="true">
      <c r="A2405" s="33" t="str">
        <f t="shared" si="148"/>
        <v>2SH - CGS</v>
      </c>
      <c r="B2405" s="33" t="str">
        <f t="shared" si="149"/>
        <v>2SH</v>
      </c>
      <c r="C2405" s="33" t="str">
        <f t="shared" si="150"/>
        <v>52005-0861</v>
      </c>
      <c r="D2405" s="64" t="s">
        <v>2944</v>
      </c>
      <c r="E2405" s="64" t="s">
        <v>2945</v>
      </c>
      <c r="F2405" s="64" t="s">
        <v>15</v>
      </c>
      <c r="G2405" s="64" t="s">
        <v>2921</v>
      </c>
      <c r="H2405" s="64" t="s">
        <v>1875</v>
      </c>
      <c r="I2405" s="64" t="s">
        <v>2946</v>
      </c>
      <c r="J2405" s="67">
        <v>266</v>
      </c>
      <c r="K2405" s="62">
        <v>2544.14</v>
      </c>
      <c r="L2405" s="33" t="e">
        <f>HLOOKUP(B2405,#REF!,1,0)</f>
        <v>#REF!</v>
      </c>
      <c r="M2405" s="33" t="str">
        <f t="shared" si="151"/>
        <v>P&amp;L</v>
      </c>
    </row>
    <row r="2406" spans="1:13" s="33" customFormat="true" ht="12.75" customHeight="true">
      <c r="A2406" s="33" t="str">
        <f t="shared" si="148"/>
        <v>2SH - CGS</v>
      </c>
      <c r="B2406" s="33" t="str">
        <f t="shared" si="149"/>
        <v>2SH</v>
      </c>
      <c r="C2406" s="33" t="str">
        <f t="shared" si="150"/>
        <v>52005-0862</v>
      </c>
      <c r="D2406" s="64" t="s">
        <v>2947</v>
      </c>
      <c r="E2406" s="64" t="s">
        <v>2945</v>
      </c>
      <c r="F2406" s="64" t="s">
        <v>15</v>
      </c>
      <c r="G2406" s="64" t="s">
        <v>2921</v>
      </c>
      <c r="H2406" s="64" t="s">
        <v>1875</v>
      </c>
      <c r="I2406" s="64" t="s">
        <v>2946</v>
      </c>
      <c r="J2406" s="67">
        <v>55.5</v>
      </c>
      <c r="K2406" s="62">
        <v>963.37</v>
      </c>
      <c r="L2406" s="33" t="e">
        <f>HLOOKUP(B2406,#REF!,1,0)</f>
        <v>#REF!</v>
      </c>
      <c r="M2406" s="33" t="str">
        <f t="shared" si="151"/>
        <v>P&amp;L</v>
      </c>
    </row>
    <row r="2407" spans="1:13" s="33" customFormat="true" ht="12.75" customHeight="true">
      <c r="A2407" s="33" t="str">
        <f t="shared" si="148"/>
        <v>2SH - CGS</v>
      </c>
      <c r="B2407" s="33" t="str">
        <f t="shared" si="149"/>
        <v>2SH</v>
      </c>
      <c r="C2407" s="33" t="str">
        <f t="shared" si="150"/>
        <v>52005-0864</v>
      </c>
      <c r="D2407" s="64" t="s">
        <v>2948</v>
      </c>
      <c r="E2407" s="64" t="s">
        <v>2945</v>
      </c>
      <c r="F2407" s="64" t="s">
        <v>15</v>
      </c>
      <c r="G2407" s="64" t="s">
        <v>2921</v>
      </c>
      <c r="H2407" s="64" t="s">
        <v>1875</v>
      </c>
      <c r="I2407" s="64" t="s">
        <v>2946</v>
      </c>
      <c r="J2407" s="67">
        <v>213</v>
      </c>
      <c r="K2407" s="62">
        <v>2929.09</v>
      </c>
      <c r="L2407" s="33" t="e">
        <f>HLOOKUP(B2407,#REF!,1,0)</f>
        <v>#REF!</v>
      </c>
      <c r="M2407" s="33" t="str">
        <f t="shared" si="151"/>
        <v>P&amp;L</v>
      </c>
    </row>
    <row r="2408" spans="1:13" s="33" customFormat="true" ht="12.75" customHeight="true">
      <c r="A2408" s="33" t="str">
        <f t="shared" si="148"/>
        <v>2SH - CGS</v>
      </c>
      <c r="B2408" s="33" t="str">
        <f t="shared" si="149"/>
        <v>2SH</v>
      </c>
      <c r="C2408" s="33" t="str">
        <f t="shared" si="150"/>
        <v>52005-0866</v>
      </c>
      <c r="D2408" s="64" t="s">
        <v>2949</v>
      </c>
      <c r="E2408" s="64" t="s">
        <v>2945</v>
      </c>
      <c r="F2408" s="64" t="s">
        <v>15</v>
      </c>
      <c r="G2408" s="64" t="s">
        <v>2921</v>
      </c>
      <c r="H2408" s="64" t="s">
        <v>1875</v>
      </c>
      <c r="I2408" s="64" t="s">
        <v>2946</v>
      </c>
      <c r="J2408" s="67">
        <v>123.04</v>
      </c>
      <c r="K2408" s="62">
        <v>3739.75</v>
      </c>
      <c r="L2408" s="33" t="e">
        <f>HLOOKUP(B2408,#REF!,1,0)</f>
        <v>#REF!</v>
      </c>
      <c r="M2408" s="33" t="str">
        <f t="shared" si="151"/>
        <v>P&amp;L</v>
      </c>
    </row>
    <row r="2409" spans="1:13" s="33" customFormat="true" ht="12.75" customHeight="true">
      <c r="A2409" s="33" t="str">
        <f t="shared" si="148"/>
        <v>2SH - CGS</v>
      </c>
      <c r="B2409" s="33" t="str">
        <f t="shared" si="149"/>
        <v>2SH</v>
      </c>
      <c r="C2409" s="33" t="str">
        <f t="shared" si="150"/>
        <v>53002-0866</v>
      </c>
      <c r="D2409" s="64" t="s">
        <v>2950</v>
      </c>
      <c r="E2409" s="64" t="s">
        <v>2951</v>
      </c>
      <c r="F2409" s="64" t="s">
        <v>15</v>
      </c>
      <c r="G2409" s="64" t="s">
        <v>2921</v>
      </c>
      <c r="H2409" s="64" t="s">
        <v>1875</v>
      </c>
      <c r="I2409" s="64" t="s">
        <v>2952</v>
      </c>
      <c r="J2409" s="67">
        <v>1701.98</v>
      </c>
      <c r="K2409" s="62">
        <v>18310.36</v>
      </c>
      <c r="L2409" s="33" t="e">
        <f>HLOOKUP(B2409,#REF!,1,0)</f>
        <v>#REF!</v>
      </c>
      <c r="M2409" s="33" t="str">
        <f t="shared" si="151"/>
        <v>P&amp;L</v>
      </c>
    </row>
    <row r="2410" spans="1:13" s="33" customFormat="true" ht="12.75" customHeight="true">
      <c r="A2410" s="33" t="str">
        <f t="shared" si="148"/>
        <v>2SH - CGS</v>
      </c>
      <c r="B2410" s="33" t="str">
        <f t="shared" si="149"/>
        <v>2SH</v>
      </c>
      <c r="C2410" s="33" t="str">
        <f t="shared" si="150"/>
        <v>53003-0861</v>
      </c>
      <c r="D2410" s="64" t="s">
        <v>2953</v>
      </c>
      <c r="E2410" s="64" t="s">
        <v>2954</v>
      </c>
      <c r="F2410" s="64" t="s">
        <v>15</v>
      </c>
      <c r="G2410" s="64" t="s">
        <v>2921</v>
      </c>
      <c r="H2410" s="64" t="s">
        <v>1875</v>
      </c>
      <c r="I2410" s="64" t="s">
        <v>2955</v>
      </c>
      <c r="J2410" s="67">
        <v>3242.82</v>
      </c>
      <c r="K2410" s="62">
        <v>38399.72</v>
      </c>
      <c r="L2410" s="33" t="e">
        <f>HLOOKUP(B2410,#REF!,1,0)</f>
        <v>#REF!</v>
      </c>
      <c r="M2410" s="33" t="str">
        <f t="shared" si="151"/>
        <v>P&amp;L</v>
      </c>
    </row>
    <row r="2411" spans="1:13" s="33" customFormat="true" ht="12.75" customHeight="true">
      <c r="A2411" s="33" t="str">
        <f t="shared" si="148"/>
        <v>2SH - CGS</v>
      </c>
      <c r="B2411" s="33" t="str">
        <f t="shared" si="149"/>
        <v>2SH</v>
      </c>
      <c r="C2411" s="33" t="str">
        <f t="shared" si="150"/>
        <v>53003-0862</v>
      </c>
      <c r="D2411" s="64" t="s">
        <v>2956</v>
      </c>
      <c r="E2411" s="64" t="s">
        <v>2954</v>
      </c>
      <c r="F2411" s="64" t="s">
        <v>15</v>
      </c>
      <c r="G2411" s="64" t="s">
        <v>2921</v>
      </c>
      <c r="H2411" s="64" t="s">
        <v>1875</v>
      </c>
      <c r="I2411" s="64" t="s">
        <v>2955</v>
      </c>
      <c r="J2411" s="67">
        <v>3680</v>
      </c>
      <c r="K2411" s="62">
        <v>38901.7</v>
      </c>
      <c r="L2411" s="33" t="e">
        <f>HLOOKUP(B2411,#REF!,1,0)</f>
        <v>#REF!</v>
      </c>
      <c r="M2411" s="33" t="str">
        <f t="shared" si="151"/>
        <v>P&amp;L</v>
      </c>
    </row>
    <row r="2412" spans="1:13" s="33" customFormat="true" ht="12.75" customHeight="true">
      <c r="A2412" s="33" t="str">
        <f t="shared" si="148"/>
        <v>2SH - CGS</v>
      </c>
      <c r="B2412" s="33" t="str">
        <f t="shared" si="149"/>
        <v>2SH</v>
      </c>
      <c r="C2412" s="33" t="str">
        <f t="shared" si="150"/>
        <v>53003-0864</v>
      </c>
      <c r="D2412" s="64" t="s">
        <v>2957</v>
      </c>
      <c r="E2412" s="64" t="s">
        <v>2954</v>
      </c>
      <c r="F2412" s="64" t="s">
        <v>15</v>
      </c>
      <c r="G2412" s="64" t="s">
        <v>2921</v>
      </c>
      <c r="H2412" s="64" t="s">
        <v>1875</v>
      </c>
      <c r="I2412" s="64" t="s">
        <v>2955</v>
      </c>
      <c r="J2412" s="67">
        <v>3440</v>
      </c>
      <c r="K2412" s="62">
        <v>36233.13</v>
      </c>
      <c r="L2412" s="33" t="e">
        <f>HLOOKUP(B2412,#REF!,1,0)</f>
        <v>#REF!</v>
      </c>
      <c r="M2412" s="33" t="str">
        <f t="shared" si="151"/>
        <v>P&amp;L</v>
      </c>
    </row>
    <row r="2413" spans="1:13" s="33" customFormat="true" ht="12.75" customHeight="true">
      <c r="A2413" s="33" t="str">
        <f t="shared" si="148"/>
        <v>2SH - CGS</v>
      </c>
      <c r="B2413" s="33" t="str">
        <f t="shared" si="149"/>
        <v>2SH</v>
      </c>
      <c r="C2413" s="33" t="str">
        <f t="shared" si="150"/>
        <v>53003-0866</v>
      </c>
      <c r="D2413" s="64" t="s">
        <v>2958</v>
      </c>
      <c r="E2413" s="64" t="s">
        <v>2954</v>
      </c>
      <c r="F2413" s="64" t="s">
        <v>15</v>
      </c>
      <c r="G2413" s="64" t="s">
        <v>2921</v>
      </c>
      <c r="H2413" s="64" t="s">
        <v>1875</v>
      </c>
      <c r="I2413" s="64" t="s">
        <v>2955</v>
      </c>
      <c r="J2413" s="67">
        <v>3410</v>
      </c>
      <c r="K2413" s="62">
        <v>33533.06</v>
      </c>
      <c r="L2413" s="33" t="e">
        <f>HLOOKUP(B2413,#REF!,1,0)</f>
        <v>#REF!</v>
      </c>
      <c r="M2413" s="33" t="str">
        <f t="shared" si="151"/>
        <v>P&amp;L</v>
      </c>
    </row>
    <row r="2414" spans="1:13" s="33" customFormat="true" ht="12.75" customHeight="true">
      <c r="A2414" s="33" t="str">
        <f t="shared" si="148"/>
        <v>2SH - CGS</v>
      </c>
      <c r="B2414" s="33" t="str">
        <f t="shared" si="149"/>
        <v>2SH</v>
      </c>
      <c r="C2414" s="33" t="str">
        <f t="shared" si="150"/>
        <v>53004-0861</v>
      </c>
      <c r="D2414" s="64" t="s">
        <v>2959</v>
      </c>
      <c r="E2414" s="64" t="s">
        <v>2960</v>
      </c>
      <c r="F2414" s="64" t="s">
        <v>15</v>
      </c>
      <c r="G2414" s="64" t="s">
        <v>2921</v>
      </c>
      <c r="H2414" s="64" t="s">
        <v>1875</v>
      </c>
      <c r="I2414" s="64" t="s">
        <v>2961</v>
      </c>
      <c r="J2414" s="67">
        <v>1315.13</v>
      </c>
      <c r="K2414" s="62">
        <v>13795.87</v>
      </c>
      <c r="L2414" s="33" t="e">
        <f>HLOOKUP(B2414,#REF!,1,0)</f>
        <v>#REF!</v>
      </c>
      <c r="M2414" s="33" t="str">
        <f t="shared" si="151"/>
        <v>P&amp;L</v>
      </c>
    </row>
    <row r="2415" spans="1:13" s="33" customFormat="true" ht="12.75" customHeight="true">
      <c r="A2415" s="33" t="str">
        <f t="shared" si="148"/>
        <v>2SH - CGS</v>
      </c>
      <c r="B2415" s="33" t="str">
        <f t="shared" si="149"/>
        <v>2SH</v>
      </c>
      <c r="C2415" s="33" t="str">
        <f t="shared" si="150"/>
        <v>53004-0862</v>
      </c>
      <c r="D2415" s="64" t="s">
        <v>2962</v>
      </c>
      <c r="E2415" s="64" t="s">
        <v>2960</v>
      </c>
      <c r="F2415" s="64" t="s">
        <v>15</v>
      </c>
      <c r="G2415" s="64" t="s">
        <v>2921</v>
      </c>
      <c r="H2415" s="64" t="s">
        <v>1875</v>
      </c>
      <c r="I2415" s="64" t="s">
        <v>2961</v>
      </c>
      <c r="J2415" s="67">
        <v>1501.45</v>
      </c>
      <c r="K2415" s="62">
        <v>15724.12</v>
      </c>
      <c r="L2415" s="33" t="e">
        <f>HLOOKUP(B2415,#REF!,1,0)</f>
        <v>#REF!</v>
      </c>
      <c r="M2415" s="33" t="str">
        <f t="shared" si="151"/>
        <v>P&amp;L</v>
      </c>
    </row>
    <row r="2416" spans="1:13" s="33" customFormat="true" ht="12.75" customHeight="true">
      <c r="A2416" s="33" t="str">
        <f t="shared" si="148"/>
        <v>2SH - CGS</v>
      </c>
      <c r="B2416" s="33" t="str">
        <f t="shared" si="149"/>
        <v>2SH</v>
      </c>
      <c r="C2416" s="33" t="str">
        <f t="shared" si="150"/>
        <v>53004-0864</v>
      </c>
      <c r="D2416" s="64" t="s">
        <v>2963</v>
      </c>
      <c r="E2416" s="64" t="s">
        <v>2960</v>
      </c>
      <c r="F2416" s="64" t="s">
        <v>15</v>
      </c>
      <c r="G2416" s="64" t="s">
        <v>2921</v>
      </c>
      <c r="H2416" s="64" t="s">
        <v>1875</v>
      </c>
      <c r="I2416" s="64" t="s">
        <v>2961</v>
      </c>
      <c r="J2416" s="67">
        <v>1027.17</v>
      </c>
      <c r="K2416" s="62">
        <v>12783.28</v>
      </c>
      <c r="L2416" s="33" t="e">
        <f>HLOOKUP(B2416,#REF!,1,0)</f>
        <v>#REF!</v>
      </c>
      <c r="M2416" s="33" t="str">
        <f t="shared" si="151"/>
        <v>P&amp;L</v>
      </c>
    </row>
    <row r="2417" spans="1:13" s="33" customFormat="true" ht="12.75" customHeight="true">
      <c r="A2417" s="33" t="str">
        <f t="shared" si="148"/>
        <v>2SH - CGS</v>
      </c>
      <c r="B2417" s="33" t="str">
        <f t="shared" si="149"/>
        <v>2SH</v>
      </c>
      <c r="C2417" s="33" t="str">
        <f t="shared" si="150"/>
        <v>53004-0866</v>
      </c>
      <c r="D2417" s="64" t="s">
        <v>2964</v>
      </c>
      <c r="E2417" s="64" t="s">
        <v>2960</v>
      </c>
      <c r="F2417" s="64" t="s">
        <v>15</v>
      </c>
      <c r="G2417" s="64" t="s">
        <v>2921</v>
      </c>
      <c r="H2417" s="64" t="s">
        <v>1875</v>
      </c>
      <c r="I2417" s="64" t="s">
        <v>2961</v>
      </c>
      <c r="J2417" s="67">
        <v>1368.84</v>
      </c>
      <c r="K2417" s="62">
        <v>12196.25</v>
      </c>
      <c r="L2417" s="33" t="e">
        <f>HLOOKUP(B2417,#REF!,1,0)</f>
        <v>#REF!</v>
      </c>
      <c r="M2417" s="33" t="str">
        <f t="shared" si="151"/>
        <v>P&amp;L</v>
      </c>
    </row>
    <row r="2418" spans="1:13" s="33" customFormat="true" ht="12.75" customHeight="true">
      <c r="A2418" s="33" t="str">
        <f t="shared" si="148"/>
        <v>2SH - CGS</v>
      </c>
      <c r="B2418" s="33" t="str">
        <f t="shared" si="149"/>
        <v>2SH</v>
      </c>
      <c r="C2418" s="33" t="str">
        <f t="shared" si="150"/>
        <v>53005-0861</v>
      </c>
      <c r="D2418" s="64" t="s">
        <v>2965</v>
      </c>
      <c r="E2418" s="64" t="s">
        <v>2966</v>
      </c>
      <c r="F2418" s="64" t="s">
        <v>15</v>
      </c>
      <c r="G2418" s="64" t="s">
        <v>2921</v>
      </c>
      <c r="H2418" s="64" t="s">
        <v>1875</v>
      </c>
      <c r="I2418" s="64" t="s">
        <v>2946</v>
      </c>
      <c r="J2418" s="67">
        <v>0</v>
      </c>
      <c r="K2418" s="62">
        <v>2252.45</v>
      </c>
      <c r="L2418" s="33" t="e">
        <f>HLOOKUP(B2418,#REF!,1,0)</f>
        <v>#REF!</v>
      </c>
      <c r="M2418" s="33" t="str">
        <f t="shared" si="151"/>
        <v>P&amp;L</v>
      </c>
    </row>
    <row r="2419" spans="1:13" s="33" customFormat="true" ht="12.75" customHeight="true">
      <c r="A2419" s="33" t="str">
        <f t="shared" si="148"/>
        <v>2SH - CGS</v>
      </c>
      <c r="B2419" s="33" t="str">
        <f t="shared" si="149"/>
        <v>2SH</v>
      </c>
      <c r="C2419" s="33" t="str">
        <f t="shared" si="150"/>
        <v>53005-0864</v>
      </c>
      <c r="D2419" s="64" t="s">
        <v>2967</v>
      </c>
      <c r="E2419" s="64" t="s">
        <v>2966</v>
      </c>
      <c r="F2419" s="64" t="s">
        <v>15</v>
      </c>
      <c r="G2419" s="64" t="s">
        <v>2921</v>
      </c>
      <c r="H2419" s="64" t="s">
        <v>1875</v>
      </c>
      <c r="I2419" s="64" t="s">
        <v>2946</v>
      </c>
      <c r="J2419" s="67">
        <v>0</v>
      </c>
      <c r="K2419" s="62">
        <v>1281</v>
      </c>
      <c r="L2419" s="33" t="e">
        <f>HLOOKUP(B2419,#REF!,1,0)</f>
        <v>#REF!</v>
      </c>
      <c r="M2419" s="33" t="str">
        <f t="shared" si="151"/>
        <v>P&amp;L</v>
      </c>
    </row>
    <row r="2420" spans="1:13" s="33" customFormat="true" ht="12.75" customHeight="true">
      <c r="A2420" s="33" t="str">
        <f t="shared" si="148"/>
        <v>2SH - CGS</v>
      </c>
      <c r="B2420" s="33" t="str">
        <f t="shared" si="149"/>
        <v>2SH</v>
      </c>
      <c r="C2420" s="33" t="str">
        <f t="shared" si="150"/>
        <v>53005-0866</v>
      </c>
      <c r="D2420" s="64" t="s">
        <v>2968</v>
      </c>
      <c r="E2420" s="64" t="s">
        <v>2966</v>
      </c>
      <c r="F2420" s="64" t="s">
        <v>15</v>
      </c>
      <c r="G2420" s="64" t="s">
        <v>2921</v>
      </c>
      <c r="H2420" s="64" t="s">
        <v>1875</v>
      </c>
      <c r="I2420" s="64" t="s">
        <v>2946</v>
      </c>
      <c r="J2420" s="67">
        <v>0</v>
      </c>
      <c r="K2420" s="62">
        <v>1353.88</v>
      </c>
      <c r="L2420" s="33" t="e">
        <f>HLOOKUP(B2420,#REF!,1,0)</f>
        <v>#REF!</v>
      </c>
      <c r="M2420" s="33" t="str">
        <f t="shared" si="151"/>
        <v>P&amp;L</v>
      </c>
    </row>
    <row r="2421" spans="1:13" s="33" customFormat="true" ht="12.75" customHeight="true">
      <c r="A2421" s="33" t="str">
        <f t="shared" si="148"/>
        <v>2SH - CGS</v>
      </c>
      <c r="B2421" s="33" t="str">
        <f t="shared" si="149"/>
        <v>2SH</v>
      </c>
      <c r="C2421" s="33" t="str">
        <f t="shared" si="150"/>
        <v>53006-0861</v>
      </c>
      <c r="D2421" s="64" t="s">
        <v>2969</v>
      </c>
      <c r="E2421" s="64" t="s">
        <v>2970</v>
      </c>
      <c r="F2421" s="64" t="s">
        <v>15</v>
      </c>
      <c r="G2421" s="64" t="s">
        <v>2921</v>
      </c>
      <c r="H2421" s="64" t="s">
        <v>1875</v>
      </c>
      <c r="I2421" s="64" t="s">
        <v>2946</v>
      </c>
      <c r="J2421" s="67">
        <v>0</v>
      </c>
      <c r="K2421" s="62">
        <v>828.16</v>
      </c>
      <c r="L2421" s="33" t="e">
        <f>HLOOKUP(B2421,#REF!,1,0)</f>
        <v>#REF!</v>
      </c>
      <c r="M2421" s="33" t="str">
        <f t="shared" si="151"/>
        <v>P&amp;L</v>
      </c>
    </row>
    <row r="2422" spans="1:13" s="33" customFormat="true" ht="12.75" customHeight="true">
      <c r="A2422" s="33" t="str">
        <f t="shared" si="148"/>
        <v>2SH - CGS</v>
      </c>
      <c r="B2422" s="33" t="str">
        <f t="shared" si="149"/>
        <v>2SH</v>
      </c>
      <c r="C2422" s="33" t="str">
        <f t="shared" si="150"/>
        <v>53006-0862</v>
      </c>
      <c r="D2422" s="64" t="s">
        <v>2971</v>
      </c>
      <c r="E2422" s="64" t="s">
        <v>2970</v>
      </c>
      <c r="F2422" s="64" t="s">
        <v>15</v>
      </c>
      <c r="G2422" s="64" t="s">
        <v>2921</v>
      </c>
      <c r="H2422" s="64" t="s">
        <v>1875</v>
      </c>
      <c r="I2422" s="64" t="s">
        <v>2946</v>
      </c>
      <c r="J2422" s="67">
        <v>0</v>
      </c>
      <c r="K2422" s="62">
        <v>2054.04</v>
      </c>
      <c r="L2422" s="33" t="e">
        <f>HLOOKUP(B2422,#REF!,1,0)</f>
        <v>#REF!</v>
      </c>
      <c r="M2422" s="33" t="str">
        <f t="shared" si="151"/>
        <v>P&amp;L</v>
      </c>
    </row>
    <row r="2423" spans="1:13" s="33" customFormat="true" ht="12.75" customHeight="true">
      <c r="A2423" s="33" t="str">
        <f t="shared" si="148"/>
        <v>2SH - CGS</v>
      </c>
      <c r="B2423" s="33" t="str">
        <f t="shared" si="149"/>
        <v>2SH</v>
      </c>
      <c r="C2423" s="33" t="str">
        <f t="shared" si="150"/>
        <v>53006-0864</v>
      </c>
      <c r="D2423" s="64" t="s">
        <v>2972</v>
      </c>
      <c r="E2423" s="64" t="s">
        <v>2970</v>
      </c>
      <c r="F2423" s="64" t="s">
        <v>15</v>
      </c>
      <c r="G2423" s="64" t="s">
        <v>2921</v>
      </c>
      <c r="H2423" s="64" t="s">
        <v>1875</v>
      </c>
      <c r="I2423" s="64" t="s">
        <v>2946</v>
      </c>
      <c r="J2423" s="67">
        <v>0</v>
      </c>
      <c r="K2423" s="62">
        <v>788.56</v>
      </c>
      <c r="L2423" s="33" t="e">
        <f>HLOOKUP(B2423,#REF!,1,0)</f>
        <v>#REF!</v>
      </c>
      <c r="M2423" s="33" t="str">
        <f t="shared" si="151"/>
        <v>P&amp;L</v>
      </c>
    </row>
    <row r="2424" spans="1:13" s="33" customFormat="true" ht="12.75" customHeight="true">
      <c r="A2424" s="33" t="str">
        <f t="shared" si="148"/>
        <v>2SH - CGS</v>
      </c>
      <c r="B2424" s="33" t="str">
        <f t="shared" si="149"/>
        <v>2SH</v>
      </c>
      <c r="C2424" s="33" t="str">
        <f t="shared" si="150"/>
        <v>53006-0866</v>
      </c>
      <c r="D2424" s="64" t="s">
        <v>2973</v>
      </c>
      <c r="E2424" s="64" t="s">
        <v>2970</v>
      </c>
      <c r="F2424" s="64" t="s">
        <v>15</v>
      </c>
      <c r="G2424" s="64" t="s">
        <v>2921</v>
      </c>
      <c r="H2424" s="64" t="s">
        <v>1875</v>
      </c>
      <c r="I2424" s="64" t="s">
        <v>2946</v>
      </c>
      <c r="J2424" s="67">
        <v>0</v>
      </c>
      <c r="K2424" s="62">
        <v>662.79</v>
      </c>
      <c r="L2424" s="33" t="e">
        <f>HLOOKUP(B2424,#REF!,1,0)</f>
        <v>#REF!</v>
      </c>
      <c r="M2424" s="33" t="str">
        <f t="shared" si="151"/>
        <v>P&amp;L</v>
      </c>
    </row>
    <row r="2425" spans="1:13" s="33" customFormat="true" ht="12.75" customHeight="true">
      <c r="A2425" s="33" t="str">
        <f t="shared" si="148"/>
        <v>2SH - CGS</v>
      </c>
      <c r="B2425" s="33" t="str">
        <f t="shared" si="149"/>
        <v>2SH</v>
      </c>
      <c r="C2425" s="33" t="str">
        <f t="shared" si="150"/>
        <v>54001-0861</v>
      </c>
      <c r="D2425" s="64" t="s">
        <v>2974</v>
      </c>
      <c r="E2425" s="64" t="s">
        <v>2975</v>
      </c>
      <c r="F2425" s="64" t="s">
        <v>15</v>
      </c>
      <c r="G2425" s="64" t="s">
        <v>2976</v>
      </c>
      <c r="H2425" s="64" t="s">
        <v>1875</v>
      </c>
      <c r="I2425" s="64" t="s">
        <v>2977</v>
      </c>
      <c r="J2425" s="67">
        <v>688</v>
      </c>
      <c r="K2425" s="62">
        <v>1376</v>
      </c>
      <c r="L2425" s="33" t="e">
        <f>HLOOKUP(B2425,#REF!,1,0)</f>
        <v>#REF!</v>
      </c>
      <c r="M2425" s="33" t="str">
        <f t="shared" si="151"/>
        <v>P&amp;L</v>
      </c>
    </row>
    <row r="2426" spans="1:13" s="33" customFormat="true" ht="12.75" customHeight="true">
      <c r="A2426" s="33" t="str">
        <f t="shared" si="148"/>
        <v>2SH - CGS</v>
      </c>
      <c r="B2426" s="33" t="str">
        <f t="shared" si="149"/>
        <v>2SH</v>
      </c>
      <c r="C2426" s="33" t="str">
        <f t="shared" si="150"/>
        <v>54001-0862</v>
      </c>
      <c r="D2426" s="64" t="s">
        <v>2978</v>
      </c>
      <c r="E2426" s="64" t="s">
        <v>2975</v>
      </c>
      <c r="F2426" s="64" t="s">
        <v>15</v>
      </c>
      <c r="G2426" s="64" t="s">
        <v>2976</v>
      </c>
      <c r="H2426" s="64" t="s">
        <v>1875</v>
      </c>
      <c r="I2426" s="64" t="s">
        <v>2977</v>
      </c>
      <c r="J2426" s="67">
        <v>906</v>
      </c>
      <c r="K2426" s="62">
        <v>7734</v>
      </c>
      <c r="L2426" s="33" t="e">
        <f>HLOOKUP(B2426,#REF!,1,0)</f>
        <v>#REF!</v>
      </c>
      <c r="M2426" s="33" t="str">
        <f t="shared" si="151"/>
        <v>P&amp;L</v>
      </c>
    </row>
    <row r="2427" spans="1:13" s="33" customFormat="true" ht="12.75" customHeight="true">
      <c r="A2427" s="33" t="str">
        <f t="shared" si="148"/>
        <v>2SH - CGS</v>
      </c>
      <c r="B2427" s="33" t="str">
        <f t="shared" si="149"/>
        <v>2SH</v>
      </c>
      <c r="C2427" s="33" t="str">
        <f t="shared" si="150"/>
        <v>54001-0864</v>
      </c>
      <c r="D2427" s="64" t="s">
        <v>2979</v>
      </c>
      <c r="E2427" s="64" t="s">
        <v>2975</v>
      </c>
      <c r="F2427" s="64" t="s">
        <v>15</v>
      </c>
      <c r="G2427" s="64" t="s">
        <v>2976</v>
      </c>
      <c r="H2427" s="64" t="s">
        <v>1875</v>
      </c>
      <c r="I2427" s="64" t="s">
        <v>2977</v>
      </c>
      <c r="J2427" s="67">
        <v>1188</v>
      </c>
      <c r="K2427" s="62">
        <v>2032</v>
      </c>
      <c r="L2427" s="33" t="e">
        <f>HLOOKUP(B2427,#REF!,1,0)</f>
        <v>#REF!</v>
      </c>
      <c r="M2427" s="33" t="str">
        <f t="shared" si="151"/>
        <v>P&amp;L</v>
      </c>
    </row>
    <row r="2428" spans="1:13" s="33" customFormat="true" ht="12.75" customHeight="true">
      <c r="A2428" s="33" t="str">
        <f t="shared" si="148"/>
        <v>2SH - CGS</v>
      </c>
      <c r="B2428" s="33" t="str">
        <f t="shared" si="149"/>
        <v>2SH</v>
      </c>
      <c r="C2428" s="33" t="str">
        <f t="shared" si="150"/>
        <v>54001-0866</v>
      </c>
      <c r="D2428" s="64" t="s">
        <v>2980</v>
      </c>
      <c r="E2428" s="64" t="s">
        <v>2975</v>
      </c>
      <c r="F2428" s="64" t="s">
        <v>15</v>
      </c>
      <c r="G2428" s="64" t="s">
        <v>2976</v>
      </c>
      <c r="H2428" s="64" t="s">
        <v>1875</v>
      </c>
      <c r="I2428" s="64" t="s">
        <v>2977</v>
      </c>
      <c r="J2428" s="67">
        <v>1094</v>
      </c>
      <c r="K2428" s="62">
        <v>6530</v>
      </c>
      <c r="L2428" s="33" t="e">
        <f>HLOOKUP(B2428,#REF!,1,0)</f>
        <v>#REF!</v>
      </c>
      <c r="M2428" s="33" t="str">
        <f t="shared" si="151"/>
        <v>P&amp;L</v>
      </c>
    </row>
    <row r="2429" spans="1:13" s="33" customFormat="true" ht="12.75" customHeight="true">
      <c r="A2429" s="33" t="str">
        <f t="shared" si="148"/>
        <v>2SH - CGS</v>
      </c>
      <c r="B2429" s="33" t="str">
        <f t="shared" si="149"/>
        <v>2SH</v>
      </c>
      <c r="C2429" s="33" t="str">
        <f t="shared" si="150"/>
        <v>54099-0861</v>
      </c>
      <c r="D2429" s="64" t="s">
        <v>2981</v>
      </c>
      <c r="E2429" s="64" t="s">
        <v>2982</v>
      </c>
      <c r="F2429" s="64" t="s">
        <v>15</v>
      </c>
      <c r="G2429" s="64" t="s">
        <v>2921</v>
      </c>
      <c r="H2429" s="64" t="s">
        <v>1875</v>
      </c>
      <c r="I2429" s="64" t="s">
        <v>2983</v>
      </c>
      <c r="J2429" s="67">
        <v>-26786.15</v>
      </c>
      <c r="K2429" s="62">
        <v>-261115.36</v>
      </c>
      <c r="L2429" s="33" t="e">
        <f>HLOOKUP(B2429,#REF!,1,0)</f>
        <v>#REF!</v>
      </c>
      <c r="M2429" s="33" t="str">
        <f t="shared" si="151"/>
        <v>P&amp;L</v>
      </c>
    </row>
    <row r="2430" spans="1:13" s="33" customFormat="true" ht="12.75" customHeight="true">
      <c r="A2430" s="33" t="str">
        <f t="shared" si="148"/>
        <v>2SH - CGS</v>
      </c>
      <c r="B2430" s="33" t="str">
        <f t="shared" si="149"/>
        <v>2SH</v>
      </c>
      <c r="C2430" s="33" t="str">
        <f t="shared" si="150"/>
        <v>54099-0862</v>
      </c>
      <c r="D2430" s="64" t="s">
        <v>2984</v>
      </c>
      <c r="E2430" s="64" t="s">
        <v>2982</v>
      </c>
      <c r="F2430" s="64" t="s">
        <v>15</v>
      </c>
      <c r="G2430" s="64" t="s">
        <v>2921</v>
      </c>
      <c r="H2430" s="64" t="s">
        <v>1875</v>
      </c>
      <c r="I2430" s="64" t="s">
        <v>2983</v>
      </c>
      <c r="J2430" s="67">
        <v>-36143.53</v>
      </c>
      <c r="K2430" s="62">
        <v>-345883.89</v>
      </c>
      <c r="L2430" s="33" t="e">
        <f>HLOOKUP(B2430,#REF!,1,0)</f>
        <v>#REF!</v>
      </c>
      <c r="M2430" s="33" t="str">
        <f t="shared" si="151"/>
        <v>P&amp;L</v>
      </c>
    </row>
    <row r="2431" spans="1:13" s="33" customFormat="true" ht="12.75" customHeight="true">
      <c r="A2431" s="33" t="str">
        <f t="shared" si="148"/>
        <v>2SH - CGS</v>
      </c>
      <c r="B2431" s="33" t="str">
        <f t="shared" si="149"/>
        <v>2SH</v>
      </c>
      <c r="C2431" s="33" t="str">
        <f t="shared" si="150"/>
        <v>54099-0864</v>
      </c>
      <c r="D2431" s="64" t="s">
        <v>2985</v>
      </c>
      <c r="E2431" s="64" t="s">
        <v>2982</v>
      </c>
      <c r="F2431" s="64" t="s">
        <v>15</v>
      </c>
      <c r="G2431" s="64" t="s">
        <v>2921</v>
      </c>
      <c r="H2431" s="64" t="s">
        <v>1875</v>
      </c>
      <c r="I2431" s="64" t="s">
        <v>2983</v>
      </c>
      <c r="J2431" s="67">
        <v>-26476.28</v>
      </c>
      <c r="K2431" s="62">
        <v>-264027.31</v>
      </c>
      <c r="L2431" s="33" t="e">
        <f>HLOOKUP(B2431,#REF!,1,0)</f>
        <v>#REF!</v>
      </c>
      <c r="M2431" s="33" t="str">
        <f t="shared" si="151"/>
        <v>P&amp;L</v>
      </c>
    </row>
    <row r="2432" spans="1:13" s="33" customFormat="true" ht="12.75" customHeight="true">
      <c r="A2432" s="33" t="str">
        <f t="shared" si="148"/>
        <v>2SH - CGS</v>
      </c>
      <c r="B2432" s="33" t="str">
        <f t="shared" si="149"/>
        <v>2SH</v>
      </c>
      <c r="C2432" s="33" t="str">
        <f t="shared" si="150"/>
        <v>54099-0866</v>
      </c>
      <c r="D2432" s="64" t="s">
        <v>2986</v>
      </c>
      <c r="E2432" s="64" t="s">
        <v>2982</v>
      </c>
      <c r="F2432" s="64" t="s">
        <v>15</v>
      </c>
      <c r="G2432" s="64" t="s">
        <v>2921</v>
      </c>
      <c r="H2432" s="64" t="s">
        <v>1875</v>
      </c>
      <c r="I2432" s="64" t="s">
        <v>2983</v>
      </c>
      <c r="J2432" s="67">
        <v>-28553.21</v>
      </c>
      <c r="K2432" s="62">
        <v>-276901.82</v>
      </c>
      <c r="L2432" s="33" t="e">
        <f>HLOOKUP(B2432,#REF!,1,0)</f>
        <v>#REF!</v>
      </c>
      <c r="M2432" s="33" t="str">
        <f t="shared" si="151"/>
        <v>P&amp;L</v>
      </c>
    </row>
    <row r="2433" spans="1:13" s="33" customFormat="true" ht="12.75" customHeight="true">
      <c r="A2433" s="33" t="str">
        <f t="shared" si="148"/>
        <v>2SH - CGS</v>
      </c>
      <c r="B2433" s="33" t="str">
        <f t="shared" si="149"/>
        <v>2SH</v>
      </c>
      <c r="C2433" s="33" t="str">
        <f t="shared" si="150"/>
        <v>54099-7124</v>
      </c>
      <c r="D2433" s="64" t="s">
        <v>2987</v>
      </c>
      <c r="E2433" s="64" t="s">
        <v>2982</v>
      </c>
      <c r="F2433" s="64" t="s">
        <v>15</v>
      </c>
      <c r="G2433" s="64" t="s">
        <v>2921</v>
      </c>
      <c r="H2433" s="64" t="s">
        <v>1875</v>
      </c>
      <c r="I2433" s="64" t="s">
        <v>2983</v>
      </c>
      <c r="J2433" s="67">
        <v>0</v>
      </c>
      <c r="K2433" s="62">
        <v>0</v>
      </c>
      <c r="L2433" s="33" t="e">
        <f>HLOOKUP(B2433,#REF!,1,0)</f>
        <v>#REF!</v>
      </c>
      <c r="M2433" s="33" t="str">
        <f t="shared" si="151"/>
        <v>P&amp;L</v>
      </c>
    </row>
    <row r="2434" spans="1:13" s="33" customFormat="true" ht="12.75" customHeight="true">
      <c r="A2434" s="33" t="str">
        <f t="shared" ref="A2434:A2497" si="152">B2434&amp;" - "&amp;TRIM(H2434)</f>
        <v>2SH - CGS</v>
      </c>
      <c r="B2434" s="33" t="str">
        <f t="shared" ref="B2434:B2497" si="153">LEFT(D2434,3)</f>
        <v>2SH</v>
      </c>
      <c r="C2434" s="33" t="str">
        <f t="shared" ref="C2434:C2497" si="154">RIGHT(D2434,10)</f>
        <v>54100-0861</v>
      </c>
      <c r="D2434" s="64" t="s">
        <v>2988</v>
      </c>
      <c r="E2434" s="64" t="s">
        <v>2989</v>
      </c>
      <c r="F2434" s="64" t="s">
        <v>15</v>
      </c>
      <c r="G2434" s="64" t="s">
        <v>2921</v>
      </c>
      <c r="H2434" s="64" t="s">
        <v>1875</v>
      </c>
      <c r="I2434" s="64" t="s">
        <v>2990</v>
      </c>
      <c r="J2434" s="67">
        <v>26786.15</v>
      </c>
      <c r="K2434" s="62">
        <v>261115.36</v>
      </c>
      <c r="L2434" s="33" t="e">
        <f>HLOOKUP(B2434,#REF!,1,0)</f>
        <v>#REF!</v>
      </c>
      <c r="M2434" s="33" t="str">
        <f t="shared" ref="M2434:M2497" si="155">IF(VALUE(LEFT(C2434,5))&gt;40000,"P&amp;L","BS")</f>
        <v>P&amp;L</v>
      </c>
    </row>
    <row r="2435" spans="1:13" s="33" customFormat="true" ht="12.75" customHeight="true">
      <c r="A2435" s="33" t="str">
        <f t="shared" si="152"/>
        <v>2SH - CGS</v>
      </c>
      <c r="B2435" s="33" t="str">
        <f t="shared" si="153"/>
        <v>2SH</v>
      </c>
      <c r="C2435" s="33" t="str">
        <f t="shared" si="154"/>
        <v>54100-0862</v>
      </c>
      <c r="D2435" s="64" t="s">
        <v>2991</v>
      </c>
      <c r="E2435" s="64" t="s">
        <v>2989</v>
      </c>
      <c r="F2435" s="64" t="s">
        <v>15</v>
      </c>
      <c r="G2435" s="64" t="s">
        <v>2921</v>
      </c>
      <c r="H2435" s="64" t="s">
        <v>1875</v>
      </c>
      <c r="I2435" s="64" t="s">
        <v>2990</v>
      </c>
      <c r="J2435" s="67">
        <v>36143.53</v>
      </c>
      <c r="K2435" s="62">
        <v>345883.89</v>
      </c>
      <c r="L2435" s="33" t="e">
        <f>HLOOKUP(B2435,#REF!,1,0)</f>
        <v>#REF!</v>
      </c>
      <c r="M2435" s="33" t="str">
        <f t="shared" si="155"/>
        <v>P&amp;L</v>
      </c>
    </row>
    <row r="2436" spans="1:13" s="33" customFormat="true" ht="12.75" customHeight="true">
      <c r="A2436" s="33" t="str">
        <f t="shared" si="152"/>
        <v>2SH - CGS</v>
      </c>
      <c r="B2436" s="33" t="str">
        <f t="shared" si="153"/>
        <v>2SH</v>
      </c>
      <c r="C2436" s="33" t="str">
        <f t="shared" si="154"/>
        <v>54100-0864</v>
      </c>
      <c r="D2436" s="64" t="s">
        <v>2992</v>
      </c>
      <c r="E2436" s="64" t="s">
        <v>2989</v>
      </c>
      <c r="F2436" s="64" t="s">
        <v>15</v>
      </c>
      <c r="G2436" s="64" t="s">
        <v>2921</v>
      </c>
      <c r="H2436" s="64" t="s">
        <v>1875</v>
      </c>
      <c r="I2436" s="64" t="s">
        <v>2990</v>
      </c>
      <c r="J2436" s="67">
        <v>26476.28</v>
      </c>
      <c r="K2436" s="62">
        <v>264027.31</v>
      </c>
      <c r="L2436" s="33" t="e">
        <f>HLOOKUP(B2436,#REF!,1,0)</f>
        <v>#REF!</v>
      </c>
      <c r="M2436" s="33" t="str">
        <f t="shared" si="155"/>
        <v>P&amp;L</v>
      </c>
    </row>
    <row r="2437" spans="1:13" s="33" customFormat="true" ht="12.75" customHeight="true">
      <c r="A2437" s="33" t="str">
        <f t="shared" si="152"/>
        <v>2SH - CGS</v>
      </c>
      <c r="B2437" s="33" t="str">
        <f t="shared" si="153"/>
        <v>2SH</v>
      </c>
      <c r="C2437" s="33" t="str">
        <f t="shared" si="154"/>
        <v>54100-0866</v>
      </c>
      <c r="D2437" s="64" t="s">
        <v>2993</v>
      </c>
      <c r="E2437" s="64" t="s">
        <v>2989</v>
      </c>
      <c r="F2437" s="64" t="s">
        <v>15</v>
      </c>
      <c r="G2437" s="64" t="s">
        <v>2921</v>
      </c>
      <c r="H2437" s="64" t="s">
        <v>1875</v>
      </c>
      <c r="I2437" s="64" t="s">
        <v>2990</v>
      </c>
      <c r="J2437" s="67">
        <v>28553.21</v>
      </c>
      <c r="K2437" s="62">
        <v>276901.82</v>
      </c>
      <c r="L2437" s="33" t="e">
        <f>HLOOKUP(B2437,#REF!,1,0)</f>
        <v>#REF!</v>
      </c>
      <c r="M2437" s="33" t="str">
        <f t="shared" si="155"/>
        <v>P&amp;L</v>
      </c>
    </row>
    <row r="2438" spans="1:13" s="33" customFormat="true" ht="12.75" customHeight="true">
      <c r="A2438" s="33" t="str">
        <f t="shared" si="152"/>
        <v>2SH - CGS</v>
      </c>
      <c r="B2438" s="33" t="str">
        <f t="shared" si="153"/>
        <v>2SH</v>
      </c>
      <c r="C2438" s="33" t="str">
        <f t="shared" si="154"/>
        <v>54100-7124</v>
      </c>
      <c r="D2438" s="64" t="s">
        <v>2994</v>
      </c>
      <c r="E2438" s="64" t="s">
        <v>2989</v>
      </c>
      <c r="F2438" s="64" t="s">
        <v>15</v>
      </c>
      <c r="G2438" s="64" t="s">
        <v>2921</v>
      </c>
      <c r="H2438" s="64" t="s">
        <v>1875</v>
      </c>
      <c r="I2438" s="64" t="s">
        <v>2990</v>
      </c>
      <c r="J2438" s="67">
        <v>0</v>
      </c>
      <c r="K2438" s="62">
        <v>0</v>
      </c>
      <c r="L2438" s="33" t="e">
        <f>HLOOKUP(B2438,#REF!,1,0)</f>
        <v>#REF!</v>
      </c>
      <c r="M2438" s="33" t="str">
        <f t="shared" si="155"/>
        <v>P&amp;L</v>
      </c>
    </row>
    <row r="2439" spans="1:13" s="33" customFormat="true" ht="12.75" customHeight="true">
      <c r="A2439" s="33" t="str">
        <f t="shared" si="152"/>
        <v>2SH - CGS</v>
      </c>
      <c r="B2439" s="33" t="str">
        <f t="shared" si="153"/>
        <v>2SH</v>
      </c>
      <c r="C2439" s="33" t="str">
        <f t="shared" si="154"/>
        <v>55001-0861</v>
      </c>
      <c r="D2439" s="64" t="s">
        <v>2995</v>
      </c>
      <c r="E2439" s="64" t="s">
        <v>2996</v>
      </c>
      <c r="F2439" s="64" t="s">
        <v>15</v>
      </c>
      <c r="G2439" s="64" t="s">
        <v>2976</v>
      </c>
      <c r="H2439" s="64" t="s">
        <v>1875</v>
      </c>
      <c r="I2439" s="64" t="s">
        <v>2997</v>
      </c>
      <c r="J2439" s="67">
        <v>824.3</v>
      </c>
      <c r="K2439" s="62">
        <v>8243</v>
      </c>
      <c r="L2439" s="33" t="e">
        <f>HLOOKUP(B2439,#REF!,1,0)</f>
        <v>#REF!</v>
      </c>
      <c r="M2439" s="33" t="str">
        <f t="shared" si="155"/>
        <v>P&amp;L</v>
      </c>
    </row>
    <row r="2440" spans="1:13" s="33" customFormat="true" ht="12.75" customHeight="true">
      <c r="A2440" s="33" t="str">
        <f t="shared" si="152"/>
        <v>2SH - CGS</v>
      </c>
      <c r="B2440" s="33" t="str">
        <f t="shared" si="153"/>
        <v>2SH</v>
      </c>
      <c r="C2440" s="33" t="str">
        <f t="shared" si="154"/>
        <v>55001-0862</v>
      </c>
      <c r="D2440" s="64" t="s">
        <v>2998</v>
      </c>
      <c r="E2440" s="64" t="s">
        <v>2996</v>
      </c>
      <c r="F2440" s="64" t="s">
        <v>15</v>
      </c>
      <c r="G2440" s="64" t="s">
        <v>2976</v>
      </c>
      <c r="H2440" s="64" t="s">
        <v>1875</v>
      </c>
      <c r="I2440" s="64" t="s">
        <v>2997</v>
      </c>
      <c r="J2440" s="67">
        <v>824.3</v>
      </c>
      <c r="K2440" s="62">
        <v>8243</v>
      </c>
      <c r="L2440" s="33" t="e">
        <f>HLOOKUP(B2440,#REF!,1,0)</f>
        <v>#REF!</v>
      </c>
      <c r="M2440" s="33" t="str">
        <f t="shared" si="155"/>
        <v>P&amp;L</v>
      </c>
    </row>
    <row r="2441" spans="1:13" s="33" customFormat="true" ht="12.75" customHeight="true">
      <c r="A2441" s="33" t="str">
        <f t="shared" si="152"/>
        <v>2SH - CGS</v>
      </c>
      <c r="B2441" s="33" t="str">
        <f t="shared" si="153"/>
        <v>2SH</v>
      </c>
      <c r="C2441" s="33" t="str">
        <f t="shared" si="154"/>
        <v>55001-0864</v>
      </c>
      <c r="D2441" s="64" t="s">
        <v>2999</v>
      </c>
      <c r="E2441" s="64" t="s">
        <v>2996</v>
      </c>
      <c r="F2441" s="64" t="s">
        <v>15</v>
      </c>
      <c r="G2441" s="64" t="s">
        <v>2976</v>
      </c>
      <c r="H2441" s="64" t="s">
        <v>1875</v>
      </c>
      <c r="I2441" s="64" t="s">
        <v>2997</v>
      </c>
      <c r="J2441" s="67">
        <v>824.3</v>
      </c>
      <c r="K2441" s="62">
        <v>8243</v>
      </c>
      <c r="L2441" s="33" t="e">
        <f>HLOOKUP(B2441,#REF!,1,0)</f>
        <v>#REF!</v>
      </c>
      <c r="M2441" s="33" t="str">
        <f t="shared" si="155"/>
        <v>P&amp;L</v>
      </c>
    </row>
    <row r="2442" spans="1:13" s="33" customFormat="true" ht="12.75" customHeight="true">
      <c r="A2442" s="33" t="str">
        <f t="shared" si="152"/>
        <v>2SH - CGS</v>
      </c>
      <c r="B2442" s="33" t="str">
        <f t="shared" si="153"/>
        <v>2SH</v>
      </c>
      <c r="C2442" s="33" t="str">
        <f t="shared" si="154"/>
        <v>55001-0866</v>
      </c>
      <c r="D2442" s="64" t="s">
        <v>3000</v>
      </c>
      <c r="E2442" s="64" t="s">
        <v>2996</v>
      </c>
      <c r="F2442" s="64" t="s">
        <v>15</v>
      </c>
      <c r="G2442" s="64" t="s">
        <v>2976</v>
      </c>
      <c r="H2442" s="64" t="s">
        <v>1875</v>
      </c>
      <c r="I2442" s="64" t="s">
        <v>2997</v>
      </c>
      <c r="J2442" s="67">
        <v>824.3</v>
      </c>
      <c r="K2442" s="62">
        <v>8243</v>
      </c>
      <c r="L2442" s="33" t="e">
        <f>HLOOKUP(B2442,#REF!,1,0)</f>
        <v>#REF!</v>
      </c>
      <c r="M2442" s="33" t="str">
        <f t="shared" si="155"/>
        <v>P&amp;L</v>
      </c>
    </row>
    <row r="2443" spans="1:13" s="33" customFormat="true" ht="12.75" customHeight="true">
      <c r="A2443" s="33" t="str">
        <f t="shared" si="152"/>
        <v>2SH - CGS</v>
      </c>
      <c r="B2443" s="33" t="str">
        <f t="shared" si="153"/>
        <v>2SH</v>
      </c>
      <c r="C2443" s="33" t="str">
        <f t="shared" si="154"/>
        <v>56001-0000</v>
      </c>
      <c r="D2443" s="64" t="s">
        <v>3001</v>
      </c>
      <c r="E2443" s="64" t="s">
        <v>3002</v>
      </c>
      <c r="F2443" s="64" t="s">
        <v>15</v>
      </c>
      <c r="G2443" s="64" t="s">
        <v>2976</v>
      </c>
      <c r="H2443" s="64" t="s">
        <v>1875</v>
      </c>
      <c r="I2443" s="64" t="s">
        <v>3003</v>
      </c>
      <c r="J2443" s="67">
        <v>931.1</v>
      </c>
      <c r="K2443" s="62">
        <v>-73267.55</v>
      </c>
      <c r="L2443" s="33" t="e">
        <f>HLOOKUP(B2443,#REF!,1,0)</f>
        <v>#REF!</v>
      </c>
      <c r="M2443" s="33" t="str">
        <f t="shared" si="155"/>
        <v>P&amp;L</v>
      </c>
    </row>
    <row r="2444" spans="1:13" s="33" customFormat="true" ht="12.75" customHeight="true">
      <c r="A2444" s="33" t="str">
        <f t="shared" si="152"/>
        <v>2SH - CGS</v>
      </c>
      <c r="B2444" s="33" t="str">
        <f t="shared" si="153"/>
        <v>2SH</v>
      </c>
      <c r="C2444" s="33" t="str">
        <f t="shared" si="154"/>
        <v>56001-0861</v>
      </c>
      <c r="D2444" s="64" t="s">
        <v>3004</v>
      </c>
      <c r="E2444" s="64" t="s">
        <v>3002</v>
      </c>
      <c r="F2444" s="64" t="s">
        <v>15</v>
      </c>
      <c r="G2444" s="64" t="s">
        <v>2976</v>
      </c>
      <c r="H2444" s="64" t="s">
        <v>1875</v>
      </c>
      <c r="I2444" s="64" t="s">
        <v>3003</v>
      </c>
      <c r="J2444" s="67">
        <v>2045.55</v>
      </c>
      <c r="K2444" s="62">
        <v>23272.31</v>
      </c>
      <c r="L2444" s="33" t="e">
        <f>HLOOKUP(B2444,#REF!,1,0)</f>
        <v>#REF!</v>
      </c>
      <c r="M2444" s="33" t="str">
        <f t="shared" si="155"/>
        <v>P&amp;L</v>
      </c>
    </row>
    <row r="2445" spans="1:13" s="33" customFormat="true" ht="12.75" customHeight="true">
      <c r="A2445" s="33" t="str">
        <f t="shared" si="152"/>
        <v>2SH - CGS</v>
      </c>
      <c r="B2445" s="33" t="str">
        <f t="shared" si="153"/>
        <v>2SH</v>
      </c>
      <c r="C2445" s="33" t="str">
        <f t="shared" si="154"/>
        <v>56001-0862</v>
      </c>
      <c r="D2445" s="64" t="s">
        <v>3005</v>
      </c>
      <c r="E2445" s="64" t="s">
        <v>3002</v>
      </c>
      <c r="F2445" s="64" t="s">
        <v>15</v>
      </c>
      <c r="G2445" s="64" t="s">
        <v>2976</v>
      </c>
      <c r="H2445" s="64" t="s">
        <v>1875</v>
      </c>
      <c r="I2445" s="64" t="s">
        <v>3003</v>
      </c>
      <c r="J2445" s="67">
        <v>2645.6</v>
      </c>
      <c r="K2445" s="62">
        <v>31205.61</v>
      </c>
      <c r="L2445" s="33" t="e">
        <f>HLOOKUP(B2445,#REF!,1,0)</f>
        <v>#REF!</v>
      </c>
      <c r="M2445" s="33" t="str">
        <f t="shared" si="155"/>
        <v>P&amp;L</v>
      </c>
    </row>
    <row r="2446" spans="1:13" s="33" customFormat="true" ht="12.75" customHeight="true">
      <c r="A2446" s="33" t="str">
        <f t="shared" si="152"/>
        <v>2SH - CGS</v>
      </c>
      <c r="B2446" s="33" t="str">
        <f t="shared" si="153"/>
        <v>2SH</v>
      </c>
      <c r="C2446" s="33" t="str">
        <f t="shared" si="154"/>
        <v>56001-0864</v>
      </c>
      <c r="D2446" s="64" t="s">
        <v>3006</v>
      </c>
      <c r="E2446" s="64" t="s">
        <v>3002</v>
      </c>
      <c r="F2446" s="64" t="s">
        <v>15</v>
      </c>
      <c r="G2446" s="64" t="s">
        <v>2976</v>
      </c>
      <c r="H2446" s="64" t="s">
        <v>1875</v>
      </c>
      <c r="I2446" s="64" t="s">
        <v>3003</v>
      </c>
      <c r="J2446" s="67">
        <v>2111.06</v>
      </c>
      <c r="K2446" s="62">
        <v>24298.01</v>
      </c>
      <c r="L2446" s="33" t="e">
        <f>HLOOKUP(B2446,#REF!,1,0)</f>
        <v>#REF!</v>
      </c>
      <c r="M2446" s="33" t="str">
        <f t="shared" si="155"/>
        <v>P&amp;L</v>
      </c>
    </row>
    <row r="2447" spans="1:13" s="33" customFormat="true" ht="12.75" customHeight="true">
      <c r="A2447" s="33" t="str">
        <f t="shared" si="152"/>
        <v>2SH - CGS</v>
      </c>
      <c r="B2447" s="33" t="str">
        <f t="shared" si="153"/>
        <v>2SH</v>
      </c>
      <c r="C2447" s="33" t="str">
        <f t="shared" si="154"/>
        <v>56001-0866</v>
      </c>
      <c r="D2447" s="64" t="s">
        <v>3007</v>
      </c>
      <c r="E2447" s="64" t="s">
        <v>3002</v>
      </c>
      <c r="F2447" s="64" t="s">
        <v>15</v>
      </c>
      <c r="G2447" s="64" t="s">
        <v>2976</v>
      </c>
      <c r="H2447" s="64" t="s">
        <v>1875</v>
      </c>
      <c r="I2447" s="64" t="s">
        <v>3003</v>
      </c>
      <c r="J2447" s="67">
        <v>1990.27</v>
      </c>
      <c r="K2447" s="62">
        <v>23703.04</v>
      </c>
      <c r="L2447" s="33" t="e">
        <f>HLOOKUP(B2447,#REF!,1,0)</f>
        <v>#REF!</v>
      </c>
      <c r="M2447" s="33" t="str">
        <f t="shared" si="155"/>
        <v>P&amp;L</v>
      </c>
    </row>
    <row r="2448" spans="1:13" s="33" customFormat="true" ht="12.75" customHeight="true">
      <c r="A2448" s="33" t="str">
        <f t="shared" si="152"/>
        <v>2SH - CGS</v>
      </c>
      <c r="B2448" s="33" t="str">
        <f t="shared" si="153"/>
        <v>2SH</v>
      </c>
      <c r="C2448" s="33" t="str">
        <f t="shared" si="154"/>
        <v>56002-0000</v>
      </c>
      <c r="D2448" s="64" t="s">
        <v>3008</v>
      </c>
      <c r="E2448" s="64" t="s">
        <v>3009</v>
      </c>
      <c r="F2448" s="64" t="s">
        <v>15</v>
      </c>
      <c r="G2448" s="64" t="s">
        <v>2976</v>
      </c>
      <c r="H2448" s="64" t="s">
        <v>1875</v>
      </c>
      <c r="I2448" s="64" t="s">
        <v>3010</v>
      </c>
      <c r="J2448" s="67">
        <v>-630.56</v>
      </c>
      <c r="K2448" s="62">
        <v>-5567.03</v>
      </c>
      <c r="L2448" s="33" t="e">
        <f>HLOOKUP(B2448,#REF!,1,0)</f>
        <v>#REF!</v>
      </c>
      <c r="M2448" s="33" t="str">
        <f t="shared" si="155"/>
        <v>P&amp;L</v>
      </c>
    </row>
    <row r="2449" spans="1:13" s="33" customFormat="true" ht="12.75" customHeight="true">
      <c r="A2449" s="33" t="str">
        <f t="shared" si="152"/>
        <v>2SH - CGS</v>
      </c>
      <c r="B2449" s="33" t="str">
        <f t="shared" si="153"/>
        <v>2SH</v>
      </c>
      <c r="C2449" s="33" t="str">
        <f t="shared" si="154"/>
        <v>56002-0861</v>
      </c>
      <c r="D2449" s="64" t="s">
        <v>3011</v>
      </c>
      <c r="E2449" s="64" t="s">
        <v>3009</v>
      </c>
      <c r="F2449" s="64" t="s">
        <v>15</v>
      </c>
      <c r="G2449" s="64" t="s">
        <v>2976</v>
      </c>
      <c r="H2449" s="64" t="s">
        <v>1875</v>
      </c>
      <c r="I2449" s="64" t="s">
        <v>3010</v>
      </c>
      <c r="J2449" s="67">
        <v>5357.01</v>
      </c>
      <c r="K2449" s="62">
        <v>17239.96</v>
      </c>
      <c r="L2449" s="33" t="e">
        <f>HLOOKUP(B2449,#REF!,1,0)</f>
        <v>#REF!</v>
      </c>
      <c r="M2449" s="33" t="str">
        <f t="shared" si="155"/>
        <v>P&amp;L</v>
      </c>
    </row>
    <row r="2450" spans="1:13" s="33" customFormat="true" ht="12.75" customHeight="true">
      <c r="A2450" s="33" t="str">
        <f t="shared" si="152"/>
        <v>2SH - CGS</v>
      </c>
      <c r="B2450" s="33" t="str">
        <f t="shared" si="153"/>
        <v>2SH</v>
      </c>
      <c r="C2450" s="33" t="str">
        <f t="shared" si="154"/>
        <v>56002-0862</v>
      </c>
      <c r="D2450" s="64" t="s">
        <v>3012</v>
      </c>
      <c r="E2450" s="64" t="s">
        <v>3009</v>
      </c>
      <c r="F2450" s="64" t="s">
        <v>15</v>
      </c>
      <c r="G2450" s="64" t="s">
        <v>2976</v>
      </c>
      <c r="H2450" s="64" t="s">
        <v>1875</v>
      </c>
      <c r="I2450" s="64" t="s">
        <v>3010</v>
      </c>
      <c r="J2450" s="67">
        <v>5295.9</v>
      </c>
      <c r="K2450" s="62">
        <v>12574.78</v>
      </c>
      <c r="L2450" s="33" t="e">
        <f>HLOOKUP(B2450,#REF!,1,0)</f>
        <v>#REF!</v>
      </c>
      <c r="M2450" s="33" t="str">
        <f t="shared" si="155"/>
        <v>P&amp;L</v>
      </c>
    </row>
    <row r="2451" spans="1:13" s="33" customFormat="true" ht="12.75" customHeight="true">
      <c r="A2451" s="33" t="str">
        <f t="shared" si="152"/>
        <v>2SH - CGS</v>
      </c>
      <c r="B2451" s="33" t="str">
        <f t="shared" si="153"/>
        <v>2SH</v>
      </c>
      <c r="C2451" s="33" t="str">
        <f t="shared" si="154"/>
        <v>56002-0864</v>
      </c>
      <c r="D2451" s="64" t="s">
        <v>3013</v>
      </c>
      <c r="E2451" s="64" t="s">
        <v>3009</v>
      </c>
      <c r="F2451" s="64" t="s">
        <v>15</v>
      </c>
      <c r="G2451" s="64" t="s">
        <v>2976</v>
      </c>
      <c r="H2451" s="64" t="s">
        <v>1875</v>
      </c>
      <c r="I2451" s="64" t="s">
        <v>3010</v>
      </c>
      <c r="J2451" s="67">
        <v>343.7</v>
      </c>
      <c r="K2451" s="62">
        <v>3843.66</v>
      </c>
      <c r="L2451" s="33" t="e">
        <f>HLOOKUP(B2451,#REF!,1,0)</f>
        <v>#REF!</v>
      </c>
      <c r="M2451" s="33" t="str">
        <f t="shared" si="155"/>
        <v>P&amp;L</v>
      </c>
    </row>
    <row r="2452" spans="1:13" s="33" customFormat="true" ht="12.75" customHeight="true">
      <c r="A2452" s="33" t="str">
        <f t="shared" si="152"/>
        <v>2SH - CGS</v>
      </c>
      <c r="B2452" s="33" t="str">
        <f t="shared" si="153"/>
        <v>2SH</v>
      </c>
      <c r="C2452" s="33" t="str">
        <f t="shared" si="154"/>
        <v>56002-0866</v>
      </c>
      <c r="D2452" s="64" t="s">
        <v>3014</v>
      </c>
      <c r="E2452" s="64" t="s">
        <v>3009</v>
      </c>
      <c r="F2452" s="64" t="s">
        <v>15</v>
      </c>
      <c r="G2452" s="64" t="s">
        <v>2976</v>
      </c>
      <c r="H2452" s="64" t="s">
        <v>1875</v>
      </c>
      <c r="I2452" s="64" t="s">
        <v>3010</v>
      </c>
      <c r="J2452" s="67">
        <v>124.99</v>
      </c>
      <c r="K2452" s="62">
        <v>-44.57</v>
      </c>
      <c r="L2452" s="33" t="e">
        <f>HLOOKUP(B2452,#REF!,1,0)</f>
        <v>#REF!</v>
      </c>
      <c r="M2452" s="33" t="str">
        <f t="shared" si="155"/>
        <v>P&amp;L</v>
      </c>
    </row>
    <row r="2453" spans="1:13" s="33" customFormat="true" ht="12.75" customHeight="true">
      <c r="A2453" s="33" t="str">
        <f t="shared" si="152"/>
        <v>2SH - CGS</v>
      </c>
      <c r="B2453" s="33" t="str">
        <f t="shared" si="153"/>
        <v>2SH</v>
      </c>
      <c r="C2453" s="33" t="str">
        <f t="shared" si="154"/>
        <v>56050-0000</v>
      </c>
      <c r="D2453" s="64" t="s">
        <v>3015</v>
      </c>
      <c r="E2453" s="64" t="s">
        <v>3016</v>
      </c>
      <c r="F2453" s="64" t="s">
        <v>15</v>
      </c>
      <c r="G2453" s="64" t="s">
        <v>3017</v>
      </c>
      <c r="H2453" s="64" t="s">
        <v>1875</v>
      </c>
      <c r="I2453" s="64" t="s">
        <v>3018</v>
      </c>
      <c r="J2453" s="67">
        <v>-92.21</v>
      </c>
      <c r="K2453" s="62">
        <v>-1391.45</v>
      </c>
      <c r="L2453" s="33" t="e">
        <f>HLOOKUP(B2453,#REF!,1,0)</f>
        <v>#REF!</v>
      </c>
      <c r="M2453" s="33" t="str">
        <f t="shared" si="155"/>
        <v>P&amp;L</v>
      </c>
    </row>
    <row r="2454" spans="1:13" s="33" customFormat="true" ht="12.75" customHeight="true">
      <c r="A2454" s="33" t="str">
        <f t="shared" si="152"/>
        <v>2SH - Operating Expense</v>
      </c>
      <c r="B2454" s="33" t="str">
        <f t="shared" si="153"/>
        <v>2SH</v>
      </c>
      <c r="C2454" s="33" t="str">
        <f t="shared" si="154"/>
        <v>60001-0861</v>
      </c>
      <c r="D2454" s="64" t="s">
        <v>3019</v>
      </c>
      <c r="E2454" s="64" t="s">
        <v>3020</v>
      </c>
      <c r="F2454" s="64" t="s">
        <v>15</v>
      </c>
      <c r="G2454" s="64" t="s">
        <v>3021</v>
      </c>
      <c r="H2454" s="64" t="s">
        <v>3022</v>
      </c>
      <c r="I2454" s="64" t="s">
        <v>3023</v>
      </c>
      <c r="J2454" s="67">
        <v>2.23</v>
      </c>
      <c r="K2454" s="62">
        <v>-105.42</v>
      </c>
      <c r="L2454" s="33" t="e">
        <f>HLOOKUP(B2454,#REF!,1,0)</f>
        <v>#REF!</v>
      </c>
      <c r="M2454" s="33" t="str">
        <f t="shared" si="155"/>
        <v>P&amp;L</v>
      </c>
    </row>
    <row r="2455" spans="1:13" s="33" customFormat="true" ht="12.75" customHeight="true">
      <c r="A2455" s="33" t="str">
        <f t="shared" si="152"/>
        <v>2SH - Operating Expense</v>
      </c>
      <c r="B2455" s="33" t="str">
        <f t="shared" si="153"/>
        <v>2SH</v>
      </c>
      <c r="C2455" s="33" t="str">
        <f t="shared" si="154"/>
        <v>60001-0862</v>
      </c>
      <c r="D2455" s="64" t="s">
        <v>3024</v>
      </c>
      <c r="E2455" s="64" t="s">
        <v>3020</v>
      </c>
      <c r="F2455" s="64" t="s">
        <v>15</v>
      </c>
      <c r="G2455" s="64" t="s">
        <v>3021</v>
      </c>
      <c r="H2455" s="64" t="s">
        <v>3022</v>
      </c>
      <c r="I2455" s="64" t="s">
        <v>3023</v>
      </c>
      <c r="J2455" s="67">
        <v>-100.56</v>
      </c>
      <c r="K2455" s="62">
        <v>-208.25</v>
      </c>
      <c r="L2455" s="33" t="e">
        <f>HLOOKUP(B2455,#REF!,1,0)</f>
        <v>#REF!</v>
      </c>
      <c r="M2455" s="33" t="str">
        <f t="shared" si="155"/>
        <v>P&amp;L</v>
      </c>
    </row>
    <row r="2456" spans="1:13" s="33" customFormat="true" ht="12.75" customHeight="true">
      <c r="A2456" s="33" t="str">
        <f t="shared" si="152"/>
        <v>2SH - Operating Expense</v>
      </c>
      <c r="B2456" s="33" t="str">
        <f t="shared" si="153"/>
        <v>2SH</v>
      </c>
      <c r="C2456" s="33" t="str">
        <f t="shared" si="154"/>
        <v>60001-0864</v>
      </c>
      <c r="D2456" s="64" t="s">
        <v>3025</v>
      </c>
      <c r="E2456" s="64" t="s">
        <v>3020</v>
      </c>
      <c r="F2456" s="64" t="s">
        <v>15</v>
      </c>
      <c r="G2456" s="64" t="s">
        <v>3021</v>
      </c>
      <c r="H2456" s="64" t="s">
        <v>3022</v>
      </c>
      <c r="I2456" s="64" t="s">
        <v>3023</v>
      </c>
      <c r="J2456" s="67">
        <v>55.56</v>
      </c>
      <c r="K2456" s="62">
        <v>-368.95</v>
      </c>
      <c r="L2456" s="33" t="e">
        <f>HLOOKUP(B2456,#REF!,1,0)</f>
        <v>#REF!</v>
      </c>
      <c r="M2456" s="33" t="str">
        <f t="shared" si="155"/>
        <v>P&amp;L</v>
      </c>
    </row>
    <row r="2457" spans="1:13" s="33" customFormat="true" ht="12.75" customHeight="true">
      <c r="A2457" s="33" t="str">
        <f t="shared" si="152"/>
        <v>2SH - Operating Expense</v>
      </c>
      <c r="B2457" s="33" t="str">
        <f t="shared" si="153"/>
        <v>2SH</v>
      </c>
      <c r="C2457" s="33" t="str">
        <f t="shared" si="154"/>
        <v>60001-0866</v>
      </c>
      <c r="D2457" s="64" t="s">
        <v>3026</v>
      </c>
      <c r="E2457" s="64" t="s">
        <v>3020</v>
      </c>
      <c r="F2457" s="64" t="s">
        <v>15</v>
      </c>
      <c r="G2457" s="64" t="s">
        <v>3021</v>
      </c>
      <c r="H2457" s="64" t="s">
        <v>3022</v>
      </c>
      <c r="I2457" s="64" t="s">
        <v>3023</v>
      </c>
      <c r="J2457" s="67">
        <v>-20.88</v>
      </c>
      <c r="K2457" s="62">
        <v>-127.87</v>
      </c>
      <c r="L2457" s="33" t="e">
        <f>HLOOKUP(B2457,#REF!,1,0)</f>
        <v>#REF!</v>
      </c>
      <c r="M2457" s="33" t="str">
        <f t="shared" si="155"/>
        <v>P&amp;L</v>
      </c>
    </row>
    <row r="2458" spans="1:13" s="33" customFormat="true" ht="12.75" customHeight="true">
      <c r="A2458" s="33" t="str">
        <f t="shared" si="152"/>
        <v>2SH - Operating Expense</v>
      </c>
      <c r="B2458" s="33" t="str">
        <f t="shared" si="153"/>
        <v>2SH</v>
      </c>
      <c r="C2458" s="33" t="str">
        <f t="shared" si="154"/>
        <v>60003-0861</v>
      </c>
      <c r="D2458" s="64" t="s">
        <v>3027</v>
      </c>
      <c r="E2458" s="64" t="s">
        <v>3028</v>
      </c>
      <c r="F2458" s="64" t="s">
        <v>15</v>
      </c>
      <c r="G2458" s="64" t="s">
        <v>3021</v>
      </c>
      <c r="H2458" s="64" t="s">
        <v>3022</v>
      </c>
      <c r="I2458" s="64" t="s">
        <v>3029</v>
      </c>
      <c r="J2458" s="67">
        <v>0</v>
      </c>
      <c r="K2458" s="62">
        <v>-69.37</v>
      </c>
      <c r="L2458" s="33" t="e">
        <f>HLOOKUP(B2458,#REF!,1,0)</f>
        <v>#REF!</v>
      </c>
      <c r="M2458" s="33" t="str">
        <f t="shared" si="155"/>
        <v>P&amp;L</v>
      </c>
    </row>
    <row r="2459" spans="1:13" s="33" customFormat="true" ht="12.75" customHeight="true">
      <c r="A2459" s="33" t="str">
        <f t="shared" si="152"/>
        <v>2SH - Operating Expense</v>
      </c>
      <c r="B2459" s="33" t="str">
        <f t="shared" si="153"/>
        <v>2SH</v>
      </c>
      <c r="C2459" s="33" t="str">
        <f t="shared" si="154"/>
        <v>60003-0862</v>
      </c>
      <c r="D2459" s="64" t="s">
        <v>3030</v>
      </c>
      <c r="E2459" s="64" t="s">
        <v>3028</v>
      </c>
      <c r="F2459" s="64" t="s">
        <v>15</v>
      </c>
      <c r="G2459" s="64" t="s">
        <v>3021</v>
      </c>
      <c r="H2459" s="64" t="s">
        <v>3022</v>
      </c>
      <c r="I2459" s="64" t="s">
        <v>3029</v>
      </c>
      <c r="J2459" s="67">
        <v>0</v>
      </c>
      <c r="K2459" s="62">
        <v>-206.81</v>
      </c>
      <c r="L2459" s="33" t="e">
        <f>HLOOKUP(B2459,#REF!,1,0)</f>
        <v>#REF!</v>
      </c>
      <c r="M2459" s="33" t="str">
        <f t="shared" si="155"/>
        <v>P&amp;L</v>
      </c>
    </row>
    <row r="2460" spans="1:13" s="33" customFormat="true" ht="12.75" customHeight="true">
      <c r="A2460" s="33" t="str">
        <f t="shared" si="152"/>
        <v>2SH - Operating Expense</v>
      </c>
      <c r="B2460" s="33" t="str">
        <f t="shared" si="153"/>
        <v>2SH</v>
      </c>
      <c r="C2460" s="33" t="str">
        <f t="shared" si="154"/>
        <v>60003-0864</v>
      </c>
      <c r="D2460" s="64" t="s">
        <v>3031</v>
      </c>
      <c r="E2460" s="64" t="s">
        <v>3028</v>
      </c>
      <c r="F2460" s="64" t="s">
        <v>15</v>
      </c>
      <c r="G2460" s="64" t="s">
        <v>3021</v>
      </c>
      <c r="H2460" s="64" t="s">
        <v>3022</v>
      </c>
      <c r="I2460" s="64" t="s">
        <v>3029</v>
      </c>
      <c r="J2460" s="67">
        <v>0</v>
      </c>
      <c r="K2460" s="62">
        <v>4490.76</v>
      </c>
      <c r="L2460" s="33" t="e">
        <f>HLOOKUP(B2460,#REF!,1,0)</f>
        <v>#REF!</v>
      </c>
      <c r="M2460" s="33" t="str">
        <f t="shared" si="155"/>
        <v>P&amp;L</v>
      </c>
    </row>
    <row r="2461" spans="1:13" s="33" customFormat="true" ht="12.75" customHeight="true">
      <c r="A2461" s="33" t="str">
        <f t="shared" si="152"/>
        <v>2SH - Operating Expense</v>
      </c>
      <c r="B2461" s="33" t="str">
        <f t="shared" si="153"/>
        <v>2SH</v>
      </c>
      <c r="C2461" s="33" t="str">
        <f t="shared" si="154"/>
        <v>60003-0866</v>
      </c>
      <c r="D2461" s="64" t="s">
        <v>3032</v>
      </c>
      <c r="E2461" s="64" t="s">
        <v>3028</v>
      </c>
      <c r="F2461" s="64" t="s">
        <v>15</v>
      </c>
      <c r="G2461" s="64" t="s">
        <v>3021</v>
      </c>
      <c r="H2461" s="64" t="s">
        <v>3022</v>
      </c>
      <c r="I2461" s="64" t="s">
        <v>3029</v>
      </c>
      <c r="J2461" s="67">
        <v>0</v>
      </c>
      <c r="K2461" s="62">
        <v>-149.62</v>
      </c>
      <c r="L2461" s="33" t="e">
        <f>HLOOKUP(B2461,#REF!,1,0)</f>
        <v>#REF!</v>
      </c>
      <c r="M2461" s="33" t="str">
        <f t="shared" si="155"/>
        <v>P&amp;L</v>
      </c>
    </row>
    <row r="2462" spans="1:13" s="33" customFormat="true" ht="12.75" customHeight="true">
      <c r="A2462" s="33" t="str">
        <f t="shared" si="152"/>
        <v>2SH - Operating Expense</v>
      </c>
      <c r="B2462" s="33" t="str">
        <f t="shared" si="153"/>
        <v>2SH</v>
      </c>
      <c r="C2462" s="33" t="str">
        <f t="shared" si="154"/>
        <v>60503-0861</v>
      </c>
      <c r="D2462" s="64" t="s">
        <v>3033</v>
      </c>
      <c r="E2462" s="64" t="s">
        <v>3034</v>
      </c>
      <c r="F2462" s="64" t="s">
        <v>15</v>
      </c>
      <c r="G2462" s="64" t="s">
        <v>3035</v>
      </c>
      <c r="H2462" s="64" t="s">
        <v>3022</v>
      </c>
      <c r="I2462" s="64" t="s">
        <v>3036</v>
      </c>
      <c r="J2462" s="67">
        <v>0</v>
      </c>
      <c r="K2462" s="62">
        <v>2844.94</v>
      </c>
      <c r="L2462" s="33" t="e">
        <f>HLOOKUP(B2462,#REF!,1,0)</f>
        <v>#REF!</v>
      </c>
      <c r="M2462" s="33" t="str">
        <f t="shared" si="155"/>
        <v>P&amp;L</v>
      </c>
    </row>
    <row r="2463" spans="1:13" s="33" customFormat="true" ht="12.75" customHeight="true">
      <c r="A2463" s="33" t="str">
        <f t="shared" si="152"/>
        <v>2SH - Operating Expense</v>
      </c>
      <c r="B2463" s="33" t="str">
        <f t="shared" si="153"/>
        <v>2SH</v>
      </c>
      <c r="C2463" s="33" t="str">
        <f t="shared" si="154"/>
        <v>60503-0862</v>
      </c>
      <c r="D2463" s="64" t="s">
        <v>3037</v>
      </c>
      <c r="E2463" s="64" t="s">
        <v>3034</v>
      </c>
      <c r="F2463" s="64" t="s">
        <v>15</v>
      </c>
      <c r="G2463" s="64" t="s">
        <v>3035</v>
      </c>
      <c r="H2463" s="64" t="s">
        <v>3022</v>
      </c>
      <c r="I2463" s="64" t="s">
        <v>3036</v>
      </c>
      <c r="J2463" s="67">
        <v>0</v>
      </c>
      <c r="K2463" s="62">
        <v>2165.29</v>
      </c>
      <c r="L2463" s="33" t="e">
        <f>HLOOKUP(B2463,#REF!,1,0)</f>
        <v>#REF!</v>
      </c>
      <c r="M2463" s="33" t="str">
        <f t="shared" si="155"/>
        <v>P&amp;L</v>
      </c>
    </row>
    <row r="2464" spans="1:13" s="33" customFormat="true" ht="12.75" customHeight="true">
      <c r="A2464" s="33" t="str">
        <f t="shared" si="152"/>
        <v>2SH - Operating Expense</v>
      </c>
      <c r="B2464" s="33" t="str">
        <f t="shared" si="153"/>
        <v>2SH</v>
      </c>
      <c r="C2464" s="33" t="str">
        <f t="shared" si="154"/>
        <v>60503-0864</v>
      </c>
      <c r="D2464" s="64" t="s">
        <v>3038</v>
      </c>
      <c r="E2464" s="64" t="s">
        <v>3034</v>
      </c>
      <c r="F2464" s="64" t="s">
        <v>15</v>
      </c>
      <c r="G2464" s="64" t="s">
        <v>3035</v>
      </c>
      <c r="H2464" s="64" t="s">
        <v>3022</v>
      </c>
      <c r="I2464" s="64" t="s">
        <v>3036</v>
      </c>
      <c r="J2464" s="67">
        <v>0</v>
      </c>
      <c r="K2464" s="62">
        <v>501.39</v>
      </c>
      <c r="L2464" s="33" t="e">
        <f>HLOOKUP(B2464,#REF!,1,0)</f>
        <v>#REF!</v>
      </c>
      <c r="M2464" s="33" t="str">
        <f t="shared" si="155"/>
        <v>P&amp;L</v>
      </c>
    </row>
    <row r="2465" spans="1:13" s="33" customFormat="true" ht="12.75" customHeight="true">
      <c r="A2465" s="33" t="str">
        <f t="shared" si="152"/>
        <v>2SH - Operating Expense</v>
      </c>
      <c r="B2465" s="33" t="str">
        <f t="shared" si="153"/>
        <v>2SH</v>
      </c>
      <c r="C2465" s="33" t="str">
        <f t="shared" si="154"/>
        <v>60503-0866</v>
      </c>
      <c r="D2465" s="64" t="s">
        <v>3039</v>
      </c>
      <c r="E2465" s="64" t="s">
        <v>3034</v>
      </c>
      <c r="F2465" s="64" t="s">
        <v>15</v>
      </c>
      <c r="G2465" s="64" t="s">
        <v>3035</v>
      </c>
      <c r="H2465" s="64" t="s">
        <v>3022</v>
      </c>
      <c r="I2465" s="64" t="s">
        <v>3036</v>
      </c>
      <c r="J2465" s="67">
        <v>0</v>
      </c>
      <c r="K2465" s="62">
        <v>539.57</v>
      </c>
      <c r="L2465" s="33" t="e">
        <f>HLOOKUP(B2465,#REF!,1,0)</f>
        <v>#REF!</v>
      </c>
      <c r="M2465" s="33" t="str">
        <f t="shared" si="155"/>
        <v>P&amp;L</v>
      </c>
    </row>
    <row r="2466" spans="1:13" s="33" customFormat="true" ht="12.75" customHeight="true">
      <c r="A2466" s="33" t="str">
        <f t="shared" si="152"/>
        <v>2SH - Operating Expense</v>
      </c>
      <c r="B2466" s="33" t="str">
        <f t="shared" si="153"/>
        <v>2SH</v>
      </c>
      <c r="C2466" s="33" t="str">
        <f t="shared" si="154"/>
        <v>60504-0861</v>
      </c>
      <c r="D2466" s="64" t="s">
        <v>3040</v>
      </c>
      <c r="E2466" s="64" t="s">
        <v>3041</v>
      </c>
      <c r="F2466" s="64" t="s">
        <v>15</v>
      </c>
      <c r="G2466" s="64" t="s">
        <v>3035</v>
      </c>
      <c r="H2466" s="64" t="s">
        <v>3022</v>
      </c>
      <c r="I2466" s="64" t="s">
        <v>3036</v>
      </c>
      <c r="J2466" s="67">
        <v>0</v>
      </c>
      <c r="K2466" s="62">
        <v>4483.88</v>
      </c>
      <c r="L2466" s="33" t="e">
        <f>HLOOKUP(B2466,#REF!,1,0)</f>
        <v>#REF!</v>
      </c>
      <c r="M2466" s="33" t="str">
        <f t="shared" si="155"/>
        <v>P&amp;L</v>
      </c>
    </row>
    <row r="2467" spans="1:13" s="33" customFormat="true" ht="12.75" customHeight="true">
      <c r="A2467" s="33" t="str">
        <f t="shared" si="152"/>
        <v>2SH - Operating Expense</v>
      </c>
      <c r="B2467" s="33" t="str">
        <f t="shared" si="153"/>
        <v>2SH</v>
      </c>
      <c r="C2467" s="33" t="str">
        <f t="shared" si="154"/>
        <v>60505-0861</v>
      </c>
      <c r="D2467" s="64" t="s">
        <v>3042</v>
      </c>
      <c r="E2467" s="64" t="s">
        <v>3043</v>
      </c>
      <c r="F2467" s="64" t="s">
        <v>15</v>
      </c>
      <c r="G2467" s="64" t="s">
        <v>3044</v>
      </c>
      <c r="H2467" s="64" t="s">
        <v>3022</v>
      </c>
      <c r="I2467" s="64" t="s">
        <v>3045</v>
      </c>
      <c r="J2467" s="67">
        <v>0</v>
      </c>
      <c r="K2467" s="62">
        <v>1390.97</v>
      </c>
      <c r="L2467" s="33" t="e">
        <f>HLOOKUP(B2467,#REF!,1,0)</f>
        <v>#REF!</v>
      </c>
      <c r="M2467" s="33" t="str">
        <f t="shared" si="155"/>
        <v>P&amp;L</v>
      </c>
    </row>
    <row r="2468" spans="1:13" s="33" customFormat="true" ht="12.75" customHeight="true">
      <c r="A2468" s="33" t="str">
        <f t="shared" si="152"/>
        <v>2SH - Operating Expense</v>
      </c>
      <c r="B2468" s="33" t="str">
        <f t="shared" si="153"/>
        <v>2SH</v>
      </c>
      <c r="C2468" s="33" t="str">
        <f t="shared" si="154"/>
        <v>60505-0862</v>
      </c>
      <c r="D2468" s="64" t="s">
        <v>3046</v>
      </c>
      <c r="E2468" s="64" t="s">
        <v>3043</v>
      </c>
      <c r="F2468" s="64" t="s">
        <v>15</v>
      </c>
      <c r="G2468" s="64" t="s">
        <v>3044</v>
      </c>
      <c r="H2468" s="64" t="s">
        <v>3022</v>
      </c>
      <c r="I2468" s="64" t="s">
        <v>3045</v>
      </c>
      <c r="J2468" s="67">
        <v>0</v>
      </c>
      <c r="K2468" s="62">
        <v>204.89</v>
      </c>
      <c r="L2468" s="33" t="e">
        <f>HLOOKUP(B2468,#REF!,1,0)</f>
        <v>#REF!</v>
      </c>
      <c r="M2468" s="33" t="str">
        <f t="shared" si="155"/>
        <v>P&amp;L</v>
      </c>
    </row>
    <row r="2469" spans="1:13" s="33" customFormat="true" ht="12.75" customHeight="true">
      <c r="A2469" s="33" t="str">
        <f t="shared" si="152"/>
        <v>2SH - Operating Expense</v>
      </c>
      <c r="B2469" s="33" t="str">
        <f t="shared" si="153"/>
        <v>2SH</v>
      </c>
      <c r="C2469" s="33" t="str">
        <f t="shared" si="154"/>
        <v>60505-0864</v>
      </c>
      <c r="D2469" s="64" t="s">
        <v>3047</v>
      </c>
      <c r="E2469" s="64" t="s">
        <v>3043</v>
      </c>
      <c r="F2469" s="64" t="s">
        <v>15</v>
      </c>
      <c r="G2469" s="64" t="s">
        <v>3044</v>
      </c>
      <c r="H2469" s="64" t="s">
        <v>3022</v>
      </c>
      <c r="I2469" s="64" t="s">
        <v>3045</v>
      </c>
      <c r="J2469" s="67">
        <v>0</v>
      </c>
      <c r="K2469" s="62">
        <v>3594.25</v>
      </c>
      <c r="L2469" s="33" t="e">
        <f>HLOOKUP(B2469,#REF!,1,0)</f>
        <v>#REF!</v>
      </c>
      <c r="M2469" s="33" t="str">
        <f t="shared" si="155"/>
        <v>P&amp;L</v>
      </c>
    </row>
    <row r="2470" spans="1:13" s="33" customFormat="true" ht="12.75" customHeight="true">
      <c r="A2470" s="33" t="str">
        <f t="shared" si="152"/>
        <v>2SH - Operating Expense</v>
      </c>
      <c r="B2470" s="33" t="str">
        <f t="shared" si="153"/>
        <v>2SH</v>
      </c>
      <c r="C2470" s="33" t="str">
        <f t="shared" si="154"/>
        <v>60505-0866</v>
      </c>
      <c r="D2470" s="64" t="s">
        <v>3048</v>
      </c>
      <c r="E2470" s="64" t="s">
        <v>3043</v>
      </c>
      <c r="F2470" s="64" t="s">
        <v>15</v>
      </c>
      <c r="G2470" s="64" t="s">
        <v>3044</v>
      </c>
      <c r="H2470" s="64" t="s">
        <v>3022</v>
      </c>
      <c r="I2470" s="64" t="s">
        <v>3045</v>
      </c>
      <c r="J2470" s="67">
        <v>0</v>
      </c>
      <c r="K2470" s="62">
        <v>1262.04</v>
      </c>
      <c r="L2470" s="33" t="e">
        <f>HLOOKUP(B2470,#REF!,1,0)</f>
        <v>#REF!</v>
      </c>
      <c r="M2470" s="33" t="str">
        <f t="shared" si="155"/>
        <v>P&amp;L</v>
      </c>
    </row>
    <row r="2471" spans="1:13" s="33" customFormat="true" ht="12.75" customHeight="true">
      <c r="A2471" s="33" t="str">
        <f t="shared" si="152"/>
        <v>2SH - Operating Expense</v>
      </c>
      <c r="B2471" s="33" t="str">
        <f t="shared" si="153"/>
        <v>2SH</v>
      </c>
      <c r="C2471" s="33" t="str">
        <f t="shared" si="154"/>
        <v>60507-0861</v>
      </c>
      <c r="D2471" s="64" t="s">
        <v>3049</v>
      </c>
      <c r="E2471" s="64" t="s">
        <v>3050</v>
      </c>
      <c r="F2471" s="64" t="s">
        <v>15</v>
      </c>
      <c r="G2471" s="64" t="s">
        <v>3021</v>
      </c>
      <c r="H2471" s="64" t="s">
        <v>3022</v>
      </c>
      <c r="I2471" s="64" t="s">
        <v>3051</v>
      </c>
      <c r="J2471" s="67">
        <v>1075.48</v>
      </c>
      <c r="K2471" s="62">
        <v>9126.51</v>
      </c>
      <c r="L2471" s="33" t="e">
        <f>HLOOKUP(B2471,#REF!,1,0)</f>
        <v>#REF!</v>
      </c>
      <c r="M2471" s="33" t="str">
        <f t="shared" si="155"/>
        <v>P&amp;L</v>
      </c>
    </row>
    <row r="2472" spans="1:13" s="33" customFormat="true" ht="12.75" customHeight="true">
      <c r="A2472" s="33" t="str">
        <f t="shared" si="152"/>
        <v>2SH - Operating Expense</v>
      </c>
      <c r="B2472" s="33" t="str">
        <f t="shared" si="153"/>
        <v>2SH</v>
      </c>
      <c r="C2472" s="33" t="str">
        <f t="shared" si="154"/>
        <v>60507-0862</v>
      </c>
      <c r="D2472" s="64" t="s">
        <v>3052</v>
      </c>
      <c r="E2472" s="64" t="s">
        <v>3050</v>
      </c>
      <c r="F2472" s="64" t="s">
        <v>15</v>
      </c>
      <c r="G2472" s="64" t="s">
        <v>3021</v>
      </c>
      <c r="H2472" s="64" t="s">
        <v>3022</v>
      </c>
      <c r="I2472" s="64" t="s">
        <v>3051</v>
      </c>
      <c r="J2472" s="67">
        <v>1214.14</v>
      </c>
      <c r="K2472" s="62">
        <v>9281.2</v>
      </c>
      <c r="L2472" s="33" t="e">
        <f>HLOOKUP(B2472,#REF!,1,0)</f>
        <v>#REF!</v>
      </c>
      <c r="M2472" s="33" t="str">
        <f t="shared" si="155"/>
        <v>P&amp;L</v>
      </c>
    </row>
    <row r="2473" spans="1:13" s="33" customFormat="true" ht="12.75" customHeight="true">
      <c r="A2473" s="33" t="str">
        <f t="shared" si="152"/>
        <v>2SH - Operating Expense</v>
      </c>
      <c r="B2473" s="33" t="str">
        <f t="shared" si="153"/>
        <v>2SH</v>
      </c>
      <c r="C2473" s="33" t="str">
        <f t="shared" si="154"/>
        <v>60507-0864</v>
      </c>
      <c r="D2473" s="64" t="s">
        <v>3053</v>
      </c>
      <c r="E2473" s="64" t="s">
        <v>3050</v>
      </c>
      <c r="F2473" s="64" t="s">
        <v>15</v>
      </c>
      <c r="G2473" s="64" t="s">
        <v>3021</v>
      </c>
      <c r="H2473" s="64" t="s">
        <v>3022</v>
      </c>
      <c r="I2473" s="64" t="s">
        <v>3051</v>
      </c>
      <c r="J2473" s="67">
        <v>1490.36</v>
      </c>
      <c r="K2473" s="62">
        <v>8832.14</v>
      </c>
      <c r="L2473" s="33" t="e">
        <f>HLOOKUP(B2473,#REF!,1,0)</f>
        <v>#REF!</v>
      </c>
      <c r="M2473" s="33" t="str">
        <f t="shared" si="155"/>
        <v>P&amp;L</v>
      </c>
    </row>
    <row r="2474" spans="1:13" s="33" customFormat="true" ht="14.25" customHeight="true">
      <c r="A2474" s="33" t="str">
        <f t="shared" si="152"/>
        <v>2SH - Operating Expense</v>
      </c>
      <c r="B2474" s="33" t="str">
        <f t="shared" si="153"/>
        <v>2SH</v>
      </c>
      <c r="C2474" s="33" t="str">
        <f t="shared" si="154"/>
        <v>60507-0866</v>
      </c>
      <c r="D2474" s="64" t="s">
        <v>3054</v>
      </c>
      <c r="E2474" s="64" t="s">
        <v>3050</v>
      </c>
      <c r="F2474" s="64" t="s">
        <v>15</v>
      </c>
      <c r="G2474" s="64" t="s">
        <v>3021</v>
      </c>
      <c r="H2474" s="33" t="s">
        <v>3022</v>
      </c>
      <c r="I2474" s="64" t="s">
        <v>3051</v>
      </c>
      <c r="J2474" s="67">
        <v>668.7</v>
      </c>
      <c r="K2474" s="62">
        <v>5925.05</v>
      </c>
      <c r="L2474" s="33" t="e">
        <f>HLOOKUP(B2474,#REF!,1,0)</f>
        <v>#REF!</v>
      </c>
      <c r="M2474" s="33" t="str">
        <f t="shared" si="155"/>
        <v>P&amp;L</v>
      </c>
    </row>
    <row r="2475" spans="1:13" s="33" customFormat="true" ht="12.75" customHeight="true">
      <c r="A2475" s="33" t="str">
        <f t="shared" si="152"/>
        <v>2SH - Operating Expense</v>
      </c>
      <c r="B2475" s="33" t="str">
        <f t="shared" si="153"/>
        <v>2SH</v>
      </c>
      <c r="C2475" s="33" t="str">
        <f t="shared" si="154"/>
        <v>60509-0000</v>
      </c>
      <c r="D2475" s="64" t="s">
        <v>3055</v>
      </c>
      <c r="E2475" s="64" t="s">
        <v>3056</v>
      </c>
      <c r="F2475" s="64" t="s">
        <v>15</v>
      </c>
      <c r="G2475" s="64" t="s">
        <v>3021</v>
      </c>
      <c r="H2475" s="64" t="s">
        <v>3022</v>
      </c>
      <c r="I2475" s="64" t="s">
        <v>3051</v>
      </c>
      <c r="J2475" s="67">
        <v>0</v>
      </c>
      <c r="K2475" s="62">
        <v>0</v>
      </c>
      <c r="L2475" s="33" t="e">
        <f>HLOOKUP(B2475,#REF!,1,0)</f>
        <v>#REF!</v>
      </c>
      <c r="M2475" s="33" t="str">
        <f t="shared" si="155"/>
        <v>P&amp;L</v>
      </c>
    </row>
    <row r="2476" spans="1:13" s="33" customFormat="true" ht="12.75" customHeight="true">
      <c r="A2476" s="33" t="str">
        <f t="shared" si="152"/>
        <v>2SH - Operating Expense</v>
      </c>
      <c r="B2476" s="33" t="str">
        <f t="shared" si="153"/>
        <v>2SH</v>
      </c>
      <c r="C2476" s="33" t="str">
        <f t="shared" si="154"/>
        <v>60509-0861</v>
      </c>
      <c r="D2476" s="64" t="s">
        <v>3057</v>
      </c>
      <c r="E2476" s="64" t="s">
        <v>3056</v>
      </c>
      <c r="F2476" s="64" t="s">
        <v>15</v>
      </c>
      <c r="G2476" s="64" t="s">
        <v>3021</v>
      </c>
      <c r="H2476" s="64" t="s">
        <v>3022</v>
      </c>
      <c r="I2476" s="64" t="s">
        <v>3051</v>
      </c>
      <c r="J2476" s="67">
        <v>789.64</v>
      </c>
      <c r="K2476" s="62">
        <v>1286.69</v>
      </c>
      <c r="L2476" s="33" t="e">
        <f>HLOOKUP(B2476,#REF!,1,0)</f>
        <v>#REF!</v>
      </c>
      <c r="M2476" s="33" t="str">
        <f t="shared" si="155"/>
        <v>P&amp;L</v>
      </c>
    </row>
    <row r="2477" spans="1:13" s="33" customFormat="true" ht="12.75" customHeight="true">
      <c r="A2477" s="33" t="str">
        <f t="shared" si="152"/>
        <v>2SH - Operating Expense</v>
      </c>
      <c r="B2477" s="33" t="str">
        <f t="shared" si="153"/>
        <v>2SH</v>
      </c>
      <c r="C2477" s="33" t="str">
        <f t="shared" si="154"/>
        <v>60509-0862</v>
      </c>
      <c r="D2477" s="64" t="s">
        <v>3058</v>
      </c>
      <c r="E2477" s="64" t="s">
        <v>3056</v>
      </c>
      <c r="F2477" s="64" t="s">
        <v>15</v>
      </c>
      <c r="G2477" s="64" t="s">
        <v>3021</v>
      </c>
      <c r="H2477" s="64" t="s">
        <v>3022</v>
      </c>
      <c r="I2477" s="64" t="s">
        <v>3051</v>
      </c>
      <c r="J2477" s="67">
        <v>1323.51</v>
      </c>
      <c r="K2477" s="62">
        <v>2045.3</v>
      </c>
      <c r="L2477" s="33" t="e">
        <f>HLOOKUP(B2477,#REF!,1,0)</f>
        <v>#REF!</v>
      </c>
      <c r="M2477" s="33" t="str">
        <f t="shared" si="155"/>
        <v>P&amp;L</v>
      </c>
    </row>
    <row r="2478" spans="1:13" s="33" customFormat="true" ht="12.75" customHeight="true">
      <c r="A2478" s="33" t="str">
        <f t="shared" si="152"/>
        <v>2SH - Operating Expense</v>
      </c>
      <c r="B2478" s="33" t="str">
        <f t="shared" si="153"/>
        <v>2SH</v>
      </c>
      <c r="C2478" s="33" t="str">
        <f t="shared" si="154"/>
        <v>60509-0864</v>
      </c>
      <c r="D2478" s="64" t="s">
        <v>3059</v>
      </c>
      <c r="E2478" s="64" t="s">
        <v>3056</v>
      </c>
      <c r="F2478" s="64" t="s">
        <v>15</v>
      </c>
      <c r="G2478" s="64" t="s">
        <v>3021</v>
      </c>
      <c r="H2478" s="64" t="s">
        <v>3022</v>
      </c>
      <c r="I2478" s="64" t="s">
        <v>3051</v>
      </c>
      <c r="J2478" s="67">
        <v>1518.15</v>
      </c>
      <c r="K2478" s="62">
        <v>2300.1</v>
      </c>
      <c r="L2478" s="33" t="e">
        <f>HLOOKUP(B2478,#REF!,1,0)</f>
        <v>#REF!</v>
      </c>
      <c r="M2478" s="33" t="str">
        <f t="shared" si="155"/>
        <v>P&amp;L</v>
      </c>
    </row>
    <row r="2479" spans="1:13" s="33" customFormat="true" ht="12.75" customHeight="true">
      <c r="A2479" s="33" t="str">
        <f t="shared" si="152"/>
        <v>2SH - Operating Expense</v>
      </c>
      <c r="B2479" s="33" t="str">
        <f t="shared" si="153"/>
        <v>2SH</v>
      </c>
      <c r="C2479" s="33" t="str">
        <f t="shared" si="154"/>
        <v>60509-0866</v>
      </c>
      <c r="D2479" s="64" t="s">
        <v>3060</v>
      </c>
      <c r="E2479" s="64" t="s">
        <v>3056</v>
      </c>
      <c r="F2479" s="64" t="s">
        <v>15</v>
      </c>
      <c r="G2479" s="64" t="s">
        <v>3021</v>
      </c>
      <c r="H2479" s="64" t="s">
        <v>3022</v>
      </c>
      <c r="I2479" s="64" t="s">
        <v>3051</v>
      </c>
      <c r="J2479" s="67">
        <v>571.84</v>
      </c>
      <c r="K2479" s="62">
        <v>932.22</v>
      </c>
      <c r="L2479" s="33" t="e">
        <f>HLOOKUP(B2479,#REF!,1,0)</f>
        <v>#REF!</v>
      </c>
      <c r="M2479" s="33" t="str">
        <f t="shared" si="155"/>
        <v>P&amp;L</v>
      </c>
    </row>
    <row r="2480" spans="1:13" s="33" customFormat="true" ht="12.75" customHeight="true">
      <c r="A2480" s="33" t="str">
        <f t="shared" si="152"/>
        <v>2SH - Operating Expense</v>
      </c>
      <c r="B2480" s="33" t="str">
        <f t="shared" si="153"/>
        <v>2SH</v>
      </c>
      <c r="C2480" s="33" t="str">
        <f t="shared" si="154"/>
        <v>61001-0861</v>
      </c>
      <c r="D2480" s="64" t="s">
        <v>3061</v>
      </c>
      <c r="E2480" s="64" t="s">
        <v>3062</v>
      </c>
      <c r="F2480" s="64" t="s">
        <v>15</v>
      </c>
      <c r="G2480" s="64" t="s">
        <v>3021</v>
      </c>
      <c r="H2480" s="64" t="s">
        <v>3022</v>
      </c>
      <c r="I2480" s="64" t="s">
        <v>3063</v>
      </c>
      <c r="J2480" s="67">
        <v>0</v>
      </c>
      <c r="K2480" s="62">
        <v>166.98</v>
      </c>
      <c r="L2480" s="33" t="e">
        <f>HLOOKUP(B2480,#REF!,1,0)</f>
        <v>#REF!</v>
      </c>
      <c r="M2480" s="33" t="str">
        <f t="shared" si="155"/>
        <v>P&amp;L</v>
      </c>
    </row>
    <row r="2481" spans="1:13" s="33" customFormat="true" ht="12.75" customHeight="true">
      <c r="A2481" s="33" t="str">
        <f t="shared" si="152"/>
        <v>2SH - Operating Expense</v>
      </c>
      <c r="B2481" s="33" t="str">
        <f t="shared" si="153"/>
        <v>2SH</v>
      </c>
      <c r="C2481" s="33" t="str">
        <f t="shared" si="154"/>
        <v>61001-0862</v>
      </c>
      <c r="D2481" s="64" t="s">
        <v>3064</v>
      </c>
      <c r="E2481" s="64" t="s">
        <v>3062</v>
      </c>
      <c r="F2481" s="64" t="s">
        <v>15</v>
      </c>
      <c r="G2481" s="64" t="s">
        <v>3021</v>
      </c>
      <c r="H2481" s="64" t="s">
        <v>3022</v>
      </c>
      <c r="I2481" s="64" t="s">
        <v>3063</v>
      </c>
      <c r="J2481" s="67">
        <v>0</v>
      </c>
      <c r="K2481" s="62">
        <v>508.48</v>
      </c>
      <c r="L2481" s="33" t="e">
        <f>HLOOKUP(B2481,#REF!,1,0)</f>
        <v>#REF!</v>
      </c>
      <c r="M2481" s="33" t="str">
        <f t="shared" si="155"/>
        <v>P&amp;L</v>
      </c>
    </row>
    <row r="2482" spans="1:13" s="33" customFormat="true" ht="12.75" customHeight="true">
      <c r="A2482" s="33" t="str">
        <f t="shared" si="152"/>
        <v>2SH - Operating Expense</v>
      </c>
      <c r="B2482" s="33" t="str">
        <f t="shared" si="153"/>
        <v>2SH</v>
      </c>
      <c r="C2482" s="33" t="str">
        <f t="shared" si="154"/>
        <v>61001-0866</v>
      </c>
      <c r="D2482" s="64" t="s">
        <v>3065</v>
      </c>
      <c r="E2482" s="64" t="s">
        <v>3062</v>
      </c>
      <c r="F2482" s="64" t="s">
        <v>15</v>
      </c>
      <c r="G2482" s="64" t="s">
        <v>3021</v>
      </c>
      <c r="H2482" s="64" t="s">
        <v>3022</v>
      </c>
      <c r="I2482" s="64" t="s">
        <v>3063</v>
      </c>
      <c r="J2482" s="67">
        <v>0</v>
      </c>
      <c r="K2482" s="62">
        <v>310.2</v>
      </c>
      <c r="L2482" s="33" t="e">
        <f>HLOOKUP(B2482,#REF!,1,0)</f>
        <v>#REF!</v>
      </c>
      <c r="M2482" s="33" t="str">
        <f t="shared" si="155"/>
        <v>P&amp;L</v>
      </c>
    </row>
    <row r="2483" spans="1:13" s="33" customFormat="true" ht="12.75" customHeight="true">
      <c r="A2483" s="33" t="str">
        <f t="shared" si="152"/>
        <v>2SH - Operating Expense</v>
      </c>
      <c r="B2483" s="33" t="str">
        <f t="shared" si="153"/>
        <v>2SH</v>
      </c>
      <c r="C2483" s="33" t="str">
        <f t="shared" si="154"/>
        <v>61002-0000</v>
      </c>
      <c r="D2483" s="64" t="s">
        <v>3066</v>
      </c>
      <c r="E2483" s="64" t="s">
        <v>3067</v>
      </c>
      <c r="F2483" s="64" t="s">
        <v>15</v>
      </c>
      <c r="G2483" s="64" t="s">
        <v>3035</v>
      </c>
      <c r="H2483" s="64" t="s">
        <v>3022</v>
      </c>
      <c r="I2483" s="64" t="s">
        <v>3036</v>
      </c>
      <c r="J2483" s="67">
        <v>0</v>
      </c>
      <c r="K2483" s="62">
        <v>67.42</v>
      </c>
      <c r="L2483" s="33" t="e">
        <f>HLOOKUP(B2483,#REF!,1,0)</f>
        <v>#REF!</v>
      </c>
      <c r="M2483" s="33" t="str">
        <f t="shared" si="155"/>
        <v>P&amp;L</v>
      </c>
    </row>
    <row r="2484" spans="1:13" s="33" customFormat="true" ht="12.75" customHeight="true">
      <c r="A2484" s="33" t="str">
        <f t="shared" si="152"/>
        <v>2SH - Operating Expense</v>
      </c>
      <c r="B2484" s="33" t="str">
        <f t="shared" si="153"/>
        <v>2SH</v>
      </c>
      <c r="C2484" s="33" t="str">
        <f t="shared" si="154"/>
        <v>61002-0861</v>
      </c>
      <c r="D2484" s="64" t="s">
        <v>3068</v>
      </c>
      <c r="E2484" s="64" t="s">
        <v>3067</v>
      </c>
      <c r="F2484" s="64" t="s">
        <v>15</v>
      </c>
      <c r="G2484" s="64" t="s">
        <v>3035</v>
      </c>
      <c r="H2484" s="64" t="s">
        <v>3022</v>
      </c>
      <c r="I2484" s="64" t="s">
        <v>3036</v>
      </c>
      <c r="J2484" s="67">
        <v>0</v>
      </c>
      <c r="K2484" s="62">
        <v>1473.74</v>
      </c>
      <c r="L2484" s="33" t="e">
        <f>HLOOKUP(B2484,#REF!,1,0)</f>
        <v>#REF!</v>
      </c>
      <c r="M2484" s="33" t="str">
        <f t="shared" si="155"/>
        <v>P&amp;L</v>
      </c>
    </row>
    <row r="2485" spans="1:13" s="33" customFormat="true" ht="12.75" customHeight="true">
      <c r="A2485" s="33" t="str">
        <f t="shared" si="152"/>
        <v>2SH - Operating Expense</v>
      </c>
      <c r="B2485" s="33" t="str">
        <f t="shared" si="153"/>
        <v>2SH</v>
      </c>
      <c r="C2485" s="33" t="str">
        <f t="shared" si="154"/>
        <v>61002-0862</v>
      </c>
      <c r="D2485" s="64" t="s">
        <v>3069</v>
      </c>
      <c r="E2485" s="64" t="s">
        <v>3067</v>
      </c>
      <c r="F2485" s="64" t="s">
        <v>15</v>
      </c>
      <c r="G2485" s="64" t="s">
        <v>3035</v>
      </c>
      <c r="H2485" s="64" t="s">
        <v>3022</v>
      </c>
      <c r="I2485" s="64" t="s">
        <v>3036</v>
      </c>
      <c r="J2485" s="67">
        <v>0</v>
      </c>
      <c r="K2485" s="62">
        <v>523.63</v>
      </c>
      <c r="L2485" s="33" t="e">
        <f>HLOOKUP(B2485,#REF!,1,0)</f>
        <v>#REF!</v>
      </c>
      <c r="M2485" s="33" t="str">
        <f t="shared" si="155"/>
        <v>P&amp;L</v>
      </c>
    </row>
    <row r="2486" spans="1:13" s="33" customFormat="true" ht="12.75" customHeight="true">
      <c r="A2486" s="33" t="str">
        <f t="shared" si="152"/>
        <v>2SH - Operating Expense</v>
      </c>
      <c r="B2486" s="33" t="str">
        <f t="shared" si="153"/>
        <v>2SH</v>
      </c>
      <c r="C2486" s="33" t="str">
        <f t="shared" si="154"/>
        <v>61002-0864</v>
      </c>
      <c r="D2486" s="64" t="s">
        <v>3070</v>
      </c>
      <c r="E2486" s="64" t="s">
        <v>3067</v>
      </c>
      <c r="F2486" s="64" t="s">
        <v>15</v>
      </c>
      <c r="G2486" s="64" t="s">
        <v>3035</v>
      </c>
      <c r="H2486" s="64" t="s">
        <v>3022</v>
      </c>
      <c r="I2486" s="64" t="s">
        <v>3036</v>
      </c>
      <c r="J2486" s="67">
        <v>0</v>
      </c>
      <c r="K2486" s="62">
        <v>1627.28</v>
      </c>
      <c r="L2486" s="33" t="e">
        <f>HLOOKUP(B2486,#REF!,1,0)</f>
        <v>#REF!</v>
      </c>
      <c r="M2486" s="33" t="str">
        <f t="shared" si="155"/>
        <v>P&amp;L</v>
      </c>
    </row>
    <row r="2487" spans="1:13" s="33" customFormat="true" ht="12.75" customHeight="true">
      <c r="A2487" s="33" t="str">
        <f t="shared" si="152"/>
        <v>2SH - Operating Expense</v>
      </c>
      <c r="B2487" s="33" t="str">
        <f t="shared" si="153"/>
        <v>2SH</v>
      </c>
      <c r="C2487" s="33" t="str">
        <f t="shared" si="154"/>
        <v>61002-0866</v>
      </c>
      <c r="D2487" s="64" t="s">
        <v>3071</v>
      </c>
      <c r="E2487" s="64" t="s">
        <v>3067</v>
      </c>
      <c r="F2487" s="64" t="s">
        <v>15</v>
      </c>
      <c r="G2487" s="64" t="s">
        <v>3035</v>
      </c>
      <c r="H2487" s="64" t="s">
        <v>3022</v>
      </c>
      <c r="I2487" s="64" t="s">
        <v>3036</v>
      </c>
      <c r="J2487" s="67">
        <v>0</v>
      </c>
      <c r="K2487" s="62">
        <v>671.01</v>
      </c>
      <c r="L2487" s="33" t="e">
        <f>HLOOKUP(B2487,#REF!,1,0)</f>
        <v>#REF!</v>
      </c>
      <c r="M2487" s="33" t="str">
        <f t="shared" si="155"/>
        <v>P&amp;L</v>
      </c>
    </row>
    <row r="2488" spans="1:13" s="33" customFormat="true" ht="12.75" customHeight="true">
      <c r="A2488" s="33" t="str">
        <f t="shared" si="152"/>
        <v>2SH - Operating Expense</v>
      </c>
      <c r="B2488" s="33" t="str">
        <f t="shared" si="153"/>
        <v>2SH</v>
      </c>
      <c r="C2488" s="33" t="str">
        <f t="shared" si="154"/>
        <v>61201-0861</v>
      </c>
      <c r="D2488" s="64" t="s">
        <v>3072</v>
      </c>
      <c r="E2488" s="64" t="s">
        <v>3073</v>
      </c>
      <c r="F2488" s="64" t="s">
        <v>15</v>
      </c>
      <c r="G2488" s="64" t="s">
        <v>3035</v>
      </c>
      <c r="H2488" s="64" t="s">
        <v>3022</v>
      </c>
      <c r="I2488" s="64" t="s">
        <v>3074</v>
      </c>
      <c r="J2488" s="67">
        <v>117.71</v>
      </c>
      <c r="K2488" s="62">
        <v>2651.07</v>
      </c>
      <c r="L2488" s="33" t="e">
        <f>HLOOKUP(B2488,#REF!,1,0)</f>
        <v>#REF!</v>
      </c>
      <c r="M2488" s="33" t="str">
        <f t="shared" si="155"/>
        <v>P&amp;L</v>
      </c>
    </row>
    <row r="2489" spans="1:13" s="33" customFormat="true" ht="12.75" customHeight="true">
      <c r="A2489" s="33" t="str">
        <f t="shared" si="152"/>
        <v>2SH - Operating Expense</v>
      </c>
      <c r="B2489" s="33" t="str">
        <f t="shared" si="153"/>
        <v>2SH</v>
      </c>
      <c r="C2489" s="33" t="str">
        <f t="shared" si="154"/>
        <v>61201-0862</v>
      </c>
      <c r="D2489" s="64" t="s">
        <v>3075</v>
      </c>
      <c r="E2489" s="64" t="s">
        <v>3073</v>
      </c>
      <c r="F2489" s="64" t="s">
        <v>15</v>
      </c>
      <c r="G2489" s="64" t="s">
        <v>3035</v>
      </c>
      <c r="H2489" s="64" t="s">
        <v>3022</v>
      </c>
      <c r="I2489" s="64" t="s">
        <v>3074</v>
      </c>
      <c r="J2489" s="67">
        <v>119.08</v>
      </c>
      <c r="K2489" s="62">
        <v>2664.77</v>
      </c>
      <c r="L2489" s="33" t="e">
        <f>HLOOKUP(B2489,#REF!,1,0)</f>
        <v>#REF!</v>
      </c>
      <c r="M2489" s="33" t="str">
        <f t="shared" si="155"/>
        <v>P&amp;L</v>
      </c>
    </row>
    <row r="2490" spans="1:13" s="33" customFormat="true" ht="12.75" customHeight="true">
      <c r="A2490" s="33" t="str">
        <f t="shared" si="152"/>
        <v>2SH - Operating Expense</v>
      </c>
      <c r="B2490" s="33" t="str">
        <f t="shared" si="153"/>
        <v>2SH</v>
      </c>
      <c r="C2490" s="33" t="str">
        <f t="shared" si="154"/>
        <v>61201-0864</v>
      </c>
      <c r="D2490" s="64" t="s">
        <v>3076</v>
      </c>
      <c r="E2490" s="64" t="s">
        <v>3073</v>
      </c>
      <c r="F2490" s="64" t="s">
        <v>15</v>
      </c>
      <c r="G2490" s="64" t="s">
        <v>3035</v>
      </c>
      <c r="H2490" s="64" t="s">
        <v>3022</v>
      </c>
      <c r="I2490" s="64" t="s">
        <v>3074</v>
      </c>
      <c r="J2490" s="67">
        <v>118.81</v>
      </c>
      <c r="K2490" s="62">
        <v>2662.02</v>
      </c>
      <c r="L2490" s="33" t="e">
        <f>HLOOKUP(B2490,#REF!,1,0)</f>
        <v>#REF!</v>
      </c>
      <c r="M2490" s="33" t="str">
        <f t="shared" si="155"/>
        <v>P&amp;L</v>
      </c>
    </row>
    <row r="2491" spans="1:13" s="33" customFormat="true" ht="12.75" customHeight="true">
      <c r="A2491" s="33" t="str">
        <f t="shared" si="152"/>
        <v>2SH - Operating Expense</v>
      </c>
      <c r="B2491" s="33" t="str">
        <f t="shared" si="153"/>
        <v>2SH</v>
      </c>
      <c r="C2491" s="33" t="str">
        <f t="shared" si="154"/>
        <v>61201-0866</v>
      </c>
      <c r="D2491" s="64" t="s">
        <v>3077</v>
      </c>
      <c r="E2491" s="64" t="s">
        <v>3073</v>
      </c>
      <c r="F2491" s="64" t="s">
        <v>15</v>
      </c>
      <c r="G2491" s="64" t="s">
        <v>3035</v>
      </c>
      <c r="H2491" s="64" t="s">
        <v>3022</v>
      </c>
      <c r="I2491" s="64" t="s">
        <v>3074</v>
      </c>
      <c r="J2491" s="67">
        <v>119.08</v>
      </c>
      <c r="K2491" s="62">
        <v>2664.72</v>
      </c>
      <c r="L2491" s="33" t="e">
        <f>HLOOKUP(B2491,#REF!,1,0)</f>
        <v>#REF!</v>
      </c>
      <c r="M2491" s="33" t="str">
        <f t="shared" si="155"/>
        <v>P&amp;L</v>
      </c>
    </row>
    <row r="2492" spans="1:13" s="33" customFormat="true" ht="12.75" customHeight="true">
      <c r="A2492" s="33" t="str">
        <f t="shared" si="152"/>
        <v>2SH - Operating Expense</v>
      </c>
      <c r="B2492" s="33" t="str">
        <f t="shared" si="153"/>
        <v>2SH</v>
      </c>
      <c r="C2492" s="33" t="str">
        <f t="shared" si="154"/>
        <v>61501-0861</v>
      </c>
      <c r="D2492" s="64" t="s">
        <v>3078</v>
      </c>
      <c r="E2492" s="64" t="s">
        <v>3079</v>
      </c>
      <c r="F2492" s="64" t="s">
        <v>15</v>
      </c>
      <c r="G2492" s="64" t="s">
        <v>3035</v>
      </c>
      <c r="H2492" s="64" t="s">
        <v>3022</v>
      </c>
      <c r="I2492" s="64" t="s">
        <v>3036</v>
      </c>
      <c r="J2492" s="67">
        <v>0</v>
      </c>
      <c r="K2492" s="62">
        <v>858.03</v>
      </c>
      <c r="L2492" s="33" t="e">
        <f>HLOOKUP(B2492,#REF!,1,0)</f>
        <v>#REF!</v>
      </c>
      <c r="M2492" s="33" t="str">
        <f t="shared" si="155"/>
        <v>P&amp;L</v>
      </c>
    </row>
    <row r="2493" spans="1:13" s="33" customFormat="true" ht="12.75" customHeight="true">
      <c r="A2493" s="33" t="str">
        <f t="shared" si="152"/>
        <v>2SH - Operating Expense</v>
      </c>
      <c r="B2493" s="33" t="str">
        <f t="shared" si="153"/>
        <v>2SH</v>
      </c>
      <c r="C2493" s="33" t="str">
        <f t="shared" si="154"/>
        <v>61501-0862</v>
      </c>
      <c r="D2493" s="64" t="s">
        <v>3080</v>
      </c>
      <c r="E2493" s="64" t="s">
        <v>3079</v>
      </c>
      <c r="F2493" s="64" t="s">
        <v>15</v>
      </c>
      <c r="G2493" s="64" t="s">
        <v>3035</v>
      </c>
      <c r="H2493" s="64" t="s">
        <v>3022</v>
      </c>
      <c r="I2493" s="64" t="s">
        <v>3036</v>
      </c>
      <c r="J2493" s="67">
        <v>0</v>
      </c>
      <c r="K2493" s="62">
        <v>69.63</v>
      </c>
      <c r="L2493" s="33" t="e">
        <f>HLOOKUP(B2493,#REF!,1,0)</f>
        <v>#REF!</v>
      </c>
      <c r="M2493" s="33" t="str">
        <f t="shared" si="155"/>
        <v>P&amp;L</v>
      </c>
    </row>
    <row r="2494" spans="1:13" s="33" customFormat="true" ht="12.75" customHeight="true">
      <c r="A2494" s="33" t="str">
        <f t="shared" si="152"/>
        <v>2SH - Operating Expense</v>
      </c>
      <c r="B2494" s="33" t="str">
        <f t="shared" si="153"/>
        <v>2SH</v>
      </c>
      <c r="C2494" s="33" t="str">
        <f t="shared" si="154"/>
        <v>61501-0864</v>
      </c>
      <c r="D2494" s="64" t="s">
        <v>3081</v>
      </c>
      <c r="E2494" s="64" t="s">
        <v>3079</v>
      </c>
      <c r="F2494" s="64" t="s">
        <v>15</v>
      </c>
      <c r="G2494" s="64" t="s">
        <v>3035</v>
      </c>
      <c r="H2494" s="64" t="s">
        <v>3022</v>
      </c>
      <c r="I2494" s="64" t="s">
        <v>3036</v>
      </c>
      <c r="J2494" s="67">
        <v>0</v>
      </c>
      <c r="K2494" s="62">
        <v>59.08</v>
      </c>
      <c r="L2494" s="33" t="e">
        <f>HLOOKUP(B2494,#REF!,1,0)</f>
        <v>#REF!</v>
      </c>
      <c r="M2494" s="33" t="str">
        <f t="shared" si="155"/>
        <v>P&amp;L</v>
      </c>
    </row>
    <row r="2495" spans="1:13" s="33" customFormat="true" ht="12.75" customHeight="true">
      <c r="A2495" s="33" t="str">
        <f t="shared" si="152"/>
        <v>2SH - Operating Expense</v>
      </c>
      <c r="B2495" s="33" t="str">
        <f t="shared" si="153"/>
        <v>2SH</v>
      </c>
      <c r="C2495" s="33" t="str">
        <f t="shared" si="154"/>
        <v>61501-0866</v>
      </c>
      <c r="D2495" s="64" t="s">
        <v>3082</v>
      </c>
      <c r="E2495" s="64" t="s">
        <v>3079</v>
      </c>
      <c r="F2495" s="64" t="s">
        <v>15</v>
      </c>
      <c r="G2495" s="64" t="s">
        <v>3035</v>
      </c>
      <c r="H2495" s="64" t="s">
        <v>3022</v>
      </c>
      <c r="I2495" s="64" t="s">
        <v>3036</v>
      </c>
      <c r="J2495" s="67">
        <v>0</v>
      </c>
      <c r="K2495" s="62">
        <v>1815.84</v>
      </c>
      <c r="L2495" s="33" t="e">
        <f>HLOOKUP(B2495,#REF!,1,0)</f>
        <v>#REF!</v>
      </c>
      <c r="M2495" s="33" t="str">
        <f t="shared" si="155"/>
        <v>P&amp;L</v>
      </c>
    </row>
    <row r="2496" spans="1:13" s="33" customFormat="true" ht="12.75" customHeight="true">
      <c r="A2496" s="33" t="str">
        <f t="shared" si="152"/>
        <v>2SH - Operating Expense</v>
      </c>
      <c r="B2496" s="33" t="str">
        <f t="shared" si="153"/>
        <v>2SH</v>
      </c>
      <c r="C2496" s="33" t="str">
        <f t="shared" si="154"/>
        <v>61502-0861</v>
      </c>
      <c r="D2496" s="64" t="s">
        <v>3083</v>
      </c>
      <c r="E2496" s="64" t="s">
        <v>3084</v>
      </c>
      <c r="F2496" s="64" t="s">
        <v>15</v>
      </c>
      <c r="G2496" s="64" t="s">
        <v>3035</v>
      </c>
      <c r="H2496" s="64" t="s">
        <v>3022</v>
      </c>
      <c r="I2496" s="64" t="s">
        <v>3036</v>
      </c>
      <c r="J2496" s="67">
        <v>0</v>
      </c>
      <c r="K2496" s="62">
        <v>579.59</v>
      </c>
      <c r="L2496" s="33" t="e">
        <f>HLOOKUP(B2496,#REF!,1,0)</f>
        <v>#REF!</v>
      </c>
      <c r="M2496" s="33" t="str">
        <f t="shared" si="155"/>
        <v>P&amp;L</v>
      </c>
    </row>
    <row r="2497" spans="1:13" s="33" customFormat="true" ht="12.75" customHeight="true">
      <c r="A2497" s="33" t="str">
        <f t="shared" si="152"/>
        <v>2SH - Operating Expense</v>
      </c>
      <c r="B2497" s="33" t="str">
        <f t="shared" si="153"/>
        <v>2SH</v>
      </c>
      <c r="C2497" s="33" t="str">
        <f t="shared" si="154"/>
        <v>61502-0862</v>
      </c>
      <c r="D2497" s="64" t="s">
        <v>3085</v>
      </c>
      <c r="E2497" s="64" t="s">
        <v>3084</v>
      </c>
      <c r="F2497" s="64" t="s">
        <v>15</v>
      </c>
      <c r="G2497" s="64" t="s">
        <v>3035</v>
      </c>
      <c r="H2497" s="64" t="s">
        <v>3022</v>
      </c>
      <c r="I2497" s="64" t="s">
        <v>3036</v>
      </c>
      <c r="J2497" s="67">
        <v>0</v>
      </c>
      <c r="K2497" s="62">
        <v>514.1</v>
      </c>
      <c r="L2497" s="33" t="e">
        <f>HLOOKUP(B2497,#REF!,1,0)</f>
        <v>#REF!</v>
      </c>
      <c r="M2497" s="33" t="str">
        <f t="shared" si="155"/>
        <v>P&amp;L</v>
      </c>
    </row>
    <row r="2498" spans="1:13" s="33" customFormat="true" ht="12.75" customHeight="true">
      <c r="A2498" s="33" t="str">
        <f t="shared" ref="A2498:A2561" si="156">B2498&amp;" - "&amp;TRIM(H2498)</f>
        <v>2SH - Operating Expense</v>
      </c>
      <c r="B2498" s="33" t="str">
        <f t="shared" ref="B2498:B2561" si="157">LEFT(D2498,3)</f>
        <v>2SH</v>
      </c>
      <c r="C2498" s="33" t="str">
        <f t="shared" ref="C2498:C2561" si="158">RIGHT(D2498,10)</f>
        <v>62001-0000</v>
      </c>
      <c r="D2498" s="64" t="s">
        <v>3086</v>
      </c>
      <c r="E2498" s="64" t="s">
        <v>3087</v>
      </c>
      <c r="F2498" s="64" t="s">
        <v>15</v>
      </c>
      <c r="G2498" s="64" t="s">
        <v>3035</v>
      </c>
      <c r="H2498" s="64" t="s">
        <v>3022</v>
      </c>
      <c r="I2498" s="64" t="s">
        <v>3074</v>
      </c>
      <c r="J2498" s="67">
        <v>0</v>
      </c>
      <c r="K2498" s="62">
        <v>42.5</v>
      </c>
      <c r="L2498" s="33" t="e">
        <f>HLOOKUP(B2498,#REF!,1,0)</f>
        <v>#REF!</v>
      </c>
      <c r="M2498" s="33" t="str">
        <f t="shared" ref="M2498:M2561" si="159">IF(VALUE(LEFT(C2498,5))&gt;40000,"P&amp;L","BS")</f>
        <v>P&amp;L</v>
      </c>
    </row>
    <row r="2499" spans="1:13" s="33" customFormat="true" ht="12.75" customHeight="true">
      <c r="A2499" s="33" t="str">
        <f t="shared" si="156"/>
        <v>2SH - Operating Expense</v>
      </c>
      <c r="B2499" s="33" t="str">
        <f t="shared" si="157"/>
        <v>2SH</v>
      </c>
      <c r="C2499" s="33" t="str">
        <f t="shared" si="158"/>
        <v>62001-0861</v>
      </c>
      <c r="D2499" s="64" t="s">
        <v>3088</v>
      </c>
      <c r="E2499" s="64" t="s">
        <v>3087</v>
      </c>
      <c r="F2499" s="64" t="s">
        <v>15</v>
      </c>
      <c r="G2499" s="64" t="s">
        <v>3035</v>
      </c>
      <c r="H2499" s="64" t="s">
        <v>3022</v>
      </c>
      <c r="I2499" s="64" t="s">
        <v>3074</v>
      </c>
      <c r="J2499" s="67">
        <v>0</v>
      </c>
      <c r="K2499" s="62">
        <v>109.24</v>
      </c>
      <c r="L2499" s="33" t="e">
        <f>HLOOKUP(B2499,#REF!,1,0)</f>
        <v>#REF!</v>
      </c>
      <c r="M2499" s="33" t="str">
        <f t="shared" si="159"/>
        <v>P&amp;L</v>
      </c>
    </row>
    <row r="2500" spans="1:13" s="33" customFormat="true" ht="12.75" customHeight="true">
      <c r="A2500" s="33" t="str">
        <f t="shared" si="156"/>
        <v>2SH - Operating Expense</v>
      </c>
      <c r="B2500" s="33" t="str">
        <f t="shared" si="157"/>
        <v>2SH</v>
      </c>
      <c r="C2500" s="33" t="str">
        <f t="shared" si="158"/>
        <v>62002-0861</v>
      </c>
      <c r="D2500" s="64" t="s">
        <v>3089</v>
      </c>
      <c r="E2500" s="64" t="s">
        <v>3090</v>
      </c>
      <c r="F2500" s="64" t="s">
        <v>15</v>
      </c>
      <c r="G2500" s="64" t="s">
        <v>3035</v>
      </c>
      <c r="H2500" s="64" t="s">
        <v>3022</v>
      </c>
      <c r="I2500" s="64" t="s">
        <v>3074</v>
      </c>
      <c r="J2500" s="67">
        <v>0</v>
      </c>
      <c r="K2500" s="62">
        <v>600</v>
      </c>
      <c r="L2500" s="33" t="e">
        <f>HLOOKUP(B2500,#REF!,1,0)</f>
        <v>#REF!</v>
      </c>
      <c r="M2500" s="33" t="str">
        <f t="shared" si="159"/>
        <v>P&amp;L</v>
      </c>
    </row>
    <row r="2501" spans="1:13" s="33" customFormat="true" ht="12.75" customHeight="true">
      <c r="A2501" s="33" t="str">
        <f t="shared" si="156"/>
        <v>2SH - Operating Expense</v>
      </c>
      <c r="B2501" s="33" t="str">
        <f t="shared" si="157"/>
        <v>2SH</v>
      </c>
      <c r="C2501" s="33" t="str">
        <f t="shared" si="158"/>
        <v>62002-0862</v>
      </c>
      <c r="D2501" s="64" t="s">
        <v>3091</v>
      </c>
      <c r="E2501" s="64" t="s">
        <v>3090</v>
      </c>
      <c r="F2501" s="64" t="s">
        <v>15</v>
      </c>
      <c r="G2501" s="64" t="s">
        <v>3035</v>
      </c>
      <c r="H2501" s="64" t="s">
        <v>3022</v>
      </c>
      <c r="I2501" s="64" t="s">
        <v>3074</v>
      </c>
      <c r="J2501" s="67">
        <v>0</v>
      </c>
      <c r="K2501" s="62">
        <v>600</v>
      </c>
      <c r="L2501" s="33" t="e">
        <f>HLOOKUP(B2501,#REF!,1,0)</f>
        <v>#REF!</v>
      </c>
      <c r="M2501" s="33" t="str">
        <f t="shared" si="159"/>
        <v>P&amp;L</v>
      </c>
    </row>
    <row r="2502" spans="1:13" s="33" customFormat="true" ht="12.75" customHeight="true">
      <c r="A2502" s="33" t="str">
        <f t="shared" si="156"/>
        <v>2SH - Operating Expense</v>
      </c>
      <c r="B2502" s="33" t="str">
        <f t="shared" si="157"/>
        <v>2SH</v>
      </c>
      <c r="C2502" s="33" t="str">
        <f t="shared" si="158"/>
        <v>62002-0864</v>
      </c>
      <c r="D2502" s="64" t="s">
        <v>3092</v>
      </c>
      <c r="E2502" s="64" t="s">
        <v>3090</v>
      </c>
      <c r="F2502" s="64" t="s">
        <v>15</v>
      </c>
      <c r="G2502" s="64" t="s">
        <v>3035</v>
      </c>
      <c r="H2502" s="64" t="s">
        <v>3022</v>
      </c>
      <c r="I2502" s="64" t="s">
        <v>3074</v>
      </c>
      <c r="J2502" s="67">
        <v>0</v>
      </c>
      <c r="K2502" s="62">
        <v>600</v>
      </c>
      <c r="L2502" s="33" t="e">
        <f>HLOOKUP(B2502,#REF!,1,0)</f>
        <v>#REF!</v>
      </c>
      <c r="M2502" s="33" t="str">
        <f t="shared" si="159"/>
        <v>P&amp;L</v>
      </c>
    </row>
    <row r="2503" spans="1:13" s="33" customFormat="true" ht="12.75" customHeight="true">
      <c r="A2503" s="33" t="str">
        <f t="shared" si="156"/>
        <v>2SH - Operating Expense</v>
      </c>
      <c r="B2503" s="33" t="str">
        <f t="shared" si="157"/>
        <v>2SH</v>
      </c>
      <c r="C2503" s="33" t="str">
        <f t="shared" si="158"/>
        <v>62002-0866</v>
      </c>
      <c r="D2503" s="64" t="s">
        <v>3093</v>
      </c>
      <c r="E2503" s="64" t="s">
        <v>3090</v>
      </c>
      <c r="F2503" s="64" t="s">
        <v>15</v>
      </c>
      <c r="G2503" s="64" t="s">
        <v>3035</v>
      </c>
      <c r="H2503" s="64" t="s">
        <v>3022</v>
      </c>
      <c r="I2503" s="64" t="s">
        <v>3074</v>
      </c>
      <c r="J2503" s="67">
        <v>0</v>
      </c>
      <c r="K2503" s="62">
        <v>600</v>
      </c>
      <c r="L2503" s="33" t="e">
        <f>HLOOKUP(B2503,#REF!,1,0)</f>
        <v>#REF!</v>
      </c>
      <c r="M2503" s="33" t="str">
        <f t="shared" si="159"/>
        <v>P&amp;L</v>
      </c>
    </row>
    <row r="2504" spans="1:13" s="33" customFormat="true" ht="12.75" customHeight="true">
      <c r="A2504" s="33" t="str">
        <f t="shared" si="156"/>
        <v>2SH - Operating Expense</v>
      </c>
      <c r="B2504" s="33" t="str">
        <f t="shared" si="157"/>
        <v>2SH</v>
      </c>
      <c r="C2504" s="33" t="str">
        <f t="shared" si="158"/>
        <v>62097-0861</v>
      </c>
      <c r="D2504" s="64" t="s">
        <v>3094</v>
      </c>
      <c r="E2504" s="64" t="s">
        <v>3095</v>
      </c>
      <c r="F2504" s="64" t="s">
        <v>15</v>
      </c>
      <c r="G2504" s="64" t="s">
        <v>3035</v>
      </c>
      <c r="H2504" s="64" t="s">
        <v>3022</v>
      </c>
      <c r="I2504" s="64" t="s">
        <v>3096</v>
      </c>
      <c r="J2504" s="67">
        <v>0</v>
      </c>
      <c r="K2504" s="62">
        <v>150</v>
      </c>
      <c r="L2504" s="33" t="e">
        <f>HLOOKUP(B2504,#REF!,1,0)</f>
        <v>#REF!</v>
      </c>
      <c r="M2504" s="33" t="str">
        <f t="shared" si="159"/>
        <v>P&amp;L</v>
      </c>
    </row>
    <row r="2505" spans="1:13" s="33" customFormat="true" ht="12.75" customHeight="true">
      <c r="A2505" s="33" t="str">
        <f t="shared" si="156"/>
        <v>2SH - Operating Expense</v>
      </c>
      <c r="B2505" s="33" t="str">
        <f t="shared" si="157"/>
        <v>2SH</v>
      </c>
      <c r="C2505" s="33" t="str">
        <f t="shared" si="158"/>
        <v>62097-0862</v>
      </c>
      <c r="D2505" s="64" t="s">
        <v>3097</v>
      </c>
      <c r="E2505" s="64" t="s">
        <v>3095</v>
      </c>
      <c r="F2505" s="64" t="s">
        <v>15</v>
      </c>
      <c r="G2505" s="64" t="s">
        <v>3035</v>
      </c>
      <c r="H2505" s="64" t="s">
        <v>3022</v>
      </c>
      <c r="I2505" s="64" t="s">
        <v>3096</v>
      </c>
      <c r="J2505" s="67">
        <v>0</v>
      </c>
      <c r="K2505" s="62">
        <v>150</v>
      </c>
      <c r="L2505" s="33" t="e">
        <f>HLOOKUP(B2505,#REF!,1,0)</f>
        <v>#REF!</v>
      </c>
      <c r="M2505" s="33" t="str">
        <f t="shared" si="159"/>
        <v>P&amp;L</v>
      </c>
    </row>
    <row r="2506" spans="1:13" s="33" customFormat="true" ht="12.75" customHeight="true">
      <c r="A2506" s="33" t="str">
        <f t="shared" si="156"/>
        <v>2SH - Operating Expense</v>
      </c>
      <c r="B2506" s="33" t="str">
        <f t="shared" si="157"/>
        <v>2SH</v>
      </c>
      <c r="C2506" s="33" t="str">
        <f t="shared" si="158"/>
        <v>62097-0864</v>
      </c>
      <c r="D2506" s="64" t="s">
        <v>3098</v>
      </c>
      <c r="E2506" s="64" t="s">
        <v>3095</v>
      </c>
      <c r="F2506" s="64" t="s">
        <v>15</v>
      </c>
      <c r="G2506" s="64" t="s">
        <v>3035</v>
      </c>
      <c r="H2506" s="64" t="s">
        <v>3022</v>
      </c>
      <c r="I2506" s="64" t="s">
        <v>3096</v>
      </c>
      <c r="J2506" s="67">
        <v>0</v>
      </c>
      <c r="K2506" s="62">
        <v>150</v>
      </c>
      <c r="L2506" s="33" t="e">
        <f>HLOOKUP(B2506,#REF!,1,0)</f>
        <v>#REF!</v>
      </c>
      <c r="M2506" s="33" t="str">
        <f t="shared" si="159"/>
        <v>P&amp;L</v>
      </c>
    </row>
    <row r="2507" spans="1:13" s="33" customFormat="true" ht="12.75" customHeight="true">
      <c r="A2507" s="33" t="str">
        <f t="shared" si="156"/>
        <v>2SH - Operating Expense</v>
      </c>
      <c r="B2507" s="33" t="str">
        <f t="shared" si="157"/>
        <v>2SH</v>
      </c>
      <c r="C2507" s="33" t="str">
        <f t="shared" si="158"/>
        <v>62097-0866</v>
      </c>
      <c r="D2507" s="64" t="s">
        <v>3099</v>
      </c>
      <c r="E2507" s="64" t="s">
        <v>3095</v>
      </c>
      <c r="F2507" s="64" t="s">
        <v>15</v>
      </c>
      <c r="G2507" s="64" t="s">
        <v>3035</v>
      </c>
      <c r="H2507" s="64" t="s">
        <v>3022</v>
      </c>
      <c r="I2507" s="64" t="s">
        <v>3096</v>
      </c>
      <c r="J2507" s="67">
        <v>0</v>
      </c>
      <c r="K2507" s="62">
        <v>150</v>
      </c>
      <c r="L2507" s="33" t="e">
        <f>HLOOKUP(B2507,#REF!,1,0)</f>
        <v>#REF!</v>
      </c>
      <c r="M2507" s="33" t="str">
        <f t="shared" si="159"/>
        <v>P&amp;L</v>
      </c>
    </row>
    <row r="2508" spans="1:13" s="33" customFormat="true" ht="12.75" customHeight="true">
      <c r="A2508" s="33" t="str">
        <f t="shared" si="156"/>
        <v>2SH - Operating Expense</v>
      </c>
      <c r="B2508" s="33" t="str">
        <f t="shared" si="157"/>
        <v>2SH</v>
      </c>
      <c r="C2508" s="33" t="str">
        <f t="shared" si="158"/>
        <v>62501-0861</v>
      </c>
      <c r="D2508" s="64" t="s">
        <v>3100</v>
      </c>
      <c r="E2508" s="64" t="s">
        <v>3101</v>
      </c>
      <c r="F2508" s="64" t="s">
        <v>15</v>
      </c>
      <c r="G2508" s="64" t="s">
        <v>3035</v>
      </c>
      <c r="H2508" s="64" t="s">
        <v>3022</v>
      </c>
      <c r="I2508" s="64" t="s">
        <v>3102</v>
      </c>
      <c r="J2508" s="67">
        <v>0</v>
      </c>
      <c r="K2508" s="62">
        <v>509</v>
      </c>
      <c r="L2508" s="33" t="e">
        <f>HLOOKUP(B2508,#REF!,1,0)</f>
        <v>#REF!</v>
      </c>
      <c r="M2508" s="33" t="str">
        <f t="shared" si="159"/>
        <v>P&amp;L</v>
      </c>
    </row>
    <row r="2509" spans="1:13" s="33" customFormat="true" ht="12.75" customHeight="true">
      <c r="A2509" s="33" t="str">
        <f t="shared" si="156"/>
        <v>2SH - Operating Expense</v>
      </c>
      <c r="B2509" s="33" t="str">
        <f t="shared" si="157"/>
        <v>2SH</v>
      </c>
      <c r="C2509" s="33" t="str">
        <f t="shared" si="158"/>
        <v>62501-0862</v>
      </c>
      <c r="D2509" s="64" t="s">
        <v>3103</v>
      </c>
      <c r="E2509" s="64" t="s">
        <v>3101</v>
      </c>
      <c r="F2509" s="64" t="s">
        <v>15</v>
      </c>
      <c r="G2509" s="64" t="s">
        <v>3035</v>
      </c>
      <c r="H2509" s="64" t="s">
        <v>3022</v>
      </c>
      <c r="I2509" s="64" t="s">
        <v>3102</v>
      </c>
      <c r="J2509" s="67">
        <v>0</v>
      </c>
      <c r="K2509" s="62">
        <v>7525</v>
      </c>
      <c r="L2509" s="33" t="e">
        <f>HLOOKUP(B2509,#REF!,1,0)</f>
        <v>#REF!</v>
      </c>
      <c r="M2509" s="33" t="str">
        <f t="shared" si="159"/>
        <v>P&amp;L</v>
      </c>
    </row>
    <row r="2510" spans="1:13" s="33" customFormat="true" ht="12.75" customHeight="true">
      <c r="A2510" s="33" t="str">
        <f t="shared" si="156"/>
        <v>2SH - Operating Expense</v>
      </c>
      <c r="B2510" s="33" t="str">
        <f t="shared" si="157"/>
        <v>2SH</v>
      </c>
      <c r="C2510" s="33" t="str">
        <f t="shared" si="158"/>
        <v>62501-0866</v>
      </c>
      <c r="D2510" s="64" t="s">
        <v>3104</v>
      </c>
      <c r="E2510" s="64" t="s">
        <v>3101</v>
      </c>
      <c r="F2510" s="64" t="s">
        <v>15</v>
      </c>
      <c r="G2510" s="64" t="s">
        <v>3035</v>
      </c>
      <c r="H2510" s="64" t="s">
        <v>3022</v>
      </c>
      <c r="I2510" s="64" t="s">
        <v>3102</v>
      </c>
      <c r="J2510" s="67">
        <v>465</v>
      </c>
      <c r="K2510" s="62">
        <v>465</v>
      </c>
      <c r="L2510" s="33" t="e">
        <f>HLOOKUP(B2510,#REF!,1,0)</f>
        <v>#REF!</v>
      </c>
      <c r="M2510" s="33" t="str">
        <f t="shared" si="159"/>
        <v>P&amp;L</v>
      </c>
    </row>
    <row r="2511" spans="1:13" s="33" customFormat="true" ht="12.75" customHeight="true">
      <c r="A2511" s="33" t="str">
        <f t="shared" si="156"/>
        <v>2SH - Operating Expense</v>
      </c>
      <c r="B2511" s="33" t="str">
        <f t="shared" si="157"/>
        <v>2SH</v>
      </c>
      <c r="C2511" s="33" t="str">
        <f t="shared" si="158"/>
        <v>62502-0861</v>
      </c>
      <c r="D2511" s="64" t="s">
        <v>3105</v>
      </c>
      <c r="E2511" s="64" t="s">
        <v>3106</v>
      </c>
      <c r="F2511" s="64" t="s">
        <v>15</v>
      </c>
      <c r="G2511" s="64" t="s">
        <v>3035</v>
      </c>
      <c r="H2511" s="64" t="s">
        <v>3022</v>
      </c>
      <c r="I2511" s="64" t="s">
        <v>3036</v>
      </c>
      <c r="J2511" s="67">
        <v>2928.12</v>
      </c>
      <c r="K2511" s="62">
        <v>12828.7</v>
      </c>
      <c r="L2511" s="33" t="e">
        <f>HLOOKUP(B2511,#REF!,1,0)</f>
        <v>#REF!</v>
      </c>
      <c r="M2511" s="33" t="str">
        <f t="shared" si="159"/>
        <v>P&amp;L</v>
      </c>
    </row>
    <row r="2512" spans="1:13" s="33" customFormat="true" ht="12.75" customHeight="true">
      <c r="A2512" s="33" t="str">
        <f t="shared" si="156"/>
        <v>2SH - Operating Expense</v>
      </c>
      <c r="B2512" s="33" t="str">
        <f t="shared" si="157"/>
        <v>2SH</v>
      </c>
      <c r="C2512" s="33" t="str">
        <f t="shared" si="158"/>
        <v>62502-0862</v>
      </c>
      <c r="D2512" s="64" t="s">
        <v>3107</v>
      </c>
      <c r="E2512" s="64" t="s">
        <v>3106</v>
      </c>
      <c r="F2512" s="64" t="s">
        <v>15</v>
      </c>
      <c r="G2512" s="64" t="s">
        <v>3035</v>
      </c>
      <c r="H2512" s="64" t="s">
        <v>3022</v>
      </c>
      <c r="I2512" s="64" t="s">
        <v>3036</v>
      </c>
      <c r="J2512" s="67">
        <v>1306.68</v>
      </c>
      <c r="K2512" s="62">
        <v>25308.8</v>
      </c>
      <c r="L2512" s="33" t="e">
        <f>HLOOKUP(B2512,#REF!,1,0)</f>
        <v>#REF!</v>
      </c>
      <c r="M2512" s="33" t="str">
        <f t="shared" si="159"/>
        <v>P&amp;L</v>
      </c>
    </row>
    <row r="2513" spans="1:13" s="33" customFormat="true" ht="12.75" customHeight="true">
      <c r="A2513" s="33" t="str">
        <f t="shared" si="156"/>
        <v>2SH - Operating Expense</v>
      </c>
      <c r="B2513" s="33" t="str">
        <f t="shared" si="157"/>
        <v>2SH</v>
      </c>
      <c r="C2513" s="33" t="str">
        <f t="shared" si="158"/>
        <v>62502-0864</v>
      </c>
      <c r="D2513" s="64" t="s">
        <v>3108</v>
      </c>
      <c r="E2513" s="64" t="s">
        <v>3106</v>
      </c>
      <c r="F2513" s="64" t="s">
        <v>15</v>
      </c>
      <c r="G2513" s="64" t="s">
        <v>3035</v>
      </c>
      <c r="H2513" s="64" t="s">
        <v>3022</v>
      </c>
      <c r="I2513" s="64" t="s">
        <v>3036</v>
      </c>
      <c r="J2513" s="67">
        <v>476.11</v>
      </c>
      <c r="K2513" s="62">
        <v>7839.53</v>
      </c>
      <c r="L2513" s="33" t="e">
        <f>HLOOKUP(B2513,#REF!,1,0)</f>
        <v>#REF!</v>
      </c>
      <c r="M2513" s="33" t="str">
        <f t="shared" si="159"/>
        <v>P&amp;L</v>
      </c>
    </row>
    <row r="2514" spans="1:13" s="33" customFormat="true" ht="12.75" customHeight="true">
      <c r="A2514" s="33" t="str">
        <f t="shared" si="156"/>
        <v>2SH - Operating Expense</v>
      </c>
      <c r="B2514" s="33" t="str">
        <f t="shared" si="157"/>
        <v>2SH</v>
      </c>
      <c r="C2514" s="33" t="str">
        <f t="shared" si="158"/>
        <v>62502-0866</v>
      </c>
      <c r="D2514" s="64" t="s">
        <v>3109</v>
      </c>
      <c r="E2514" s="64" t="s">
        <v>3106</v>
      </c>
      <c r="F2514" s="64" t="s">
        <v>15</v>
      </c>
      <c r="G2514" s="64" t="s">
        <v>3035</v>
      </c>
      <c r="H2514" s="64" t="s">
        <v>3022</v>
      </c>
      <c r="I2514" s="64" t="s">
        <v>3036</v>
      </c>
      <c r="J2514" s="67">
        <v>3074.15</v>
      </c>
      <c r="K2514" s="62">
        <v>9353.32</v>
      </c>
      <c r="L2514" s="33" t="e">
        <f>HLOOKUP(B2514,#REF!,1,0)</f>
        <v>#REF!</v>
      </c>
      <c r="M2514" s="33" t="str">
        <f t="shared" si="159"/>
        <v>P&amp;L</v>
      </c>
    </row>
    <row r="2515" spans="1:13" s="33" customFormat="true" ht="12.75" customHeight="true">
      <c r="A2515" s="33" t="str">
        <f t="shared" si="156"/>
        <v>2SH - Operating Expense</v>
      </c>
      <c r="B2515" s="33" t="str">
        <f t="shared" si="157"/>
        <v>2SH</v>
      </c>
      <c r="C2515" s="33" t="str">
        <f t="shared" si="158"/>
        <v>62510-0861</v>
      </c>
      <c r="D2515" s="64" t="s">
        <v>3110</v>
      </c>
      <c r="E2515" s="64" t="s">
        <v>3111</v>
      </c>
      <c r="F2515" s="64" t="s">
        <v>15</v>
      </c>
      <c r="G2515" s="64" t="s">
        <v>3035</v>
      </c>
      <c r="H2515" s="64" t="s">
        <v>3022</v>
      </c>
      <c r="I2515" s="64" t="s">
        <v>3102</v>
      </c>
      <c r="J2515" s="67">
        <v>85.03</v>
      </c>
      <c r="K2515" s="62">
        <v>802.86</v>
      </c>
      <c r="L2515" s="33" t="e">
        <f>HLOOKUP(B2515,#REF!,1,0)</f>
        <v>#REF!</v>
      </c>
      <c r="M2515" s="33" t="str">
        <f t="shared" si="159"/>
        <v>P&amp;L</v>
      </c>
    </row>
    <row r="2516" spans="1:13" s="33" customFormat="true" ht="12.75" customHeight="true">
      <c r="A2516" s="33" t="str">
        <f t="shared" si="156"/>
        <v>2SH - Operating Expense</v>
      </c>
      <c r="B2516" s="33" t="str">
        <f t="shared" si="157"/>
        <v>2SH</v>
      </c>
      <c r="C2516" s="33" t="str">
        <f t="shared" si="158"/>
        <v>62510-0862</v>
      </c>
      <c r="D2516" s="64" t="s">
        <v>3112</v>
      </c>
      <c r="E2516" s="64" t="s">
        <v>3111</v>
      </c>
      <c r="F2516" s="64" t="s">
        <v>15</v>
      </c>
      <c r="G2516" s="64" t="s">
        <v>3035</v>
      </c>
      <c r="H2516" s="64" t="s">
        <v>3022</v>
      </c>
      <c r="I2516" s="64" t="s">
        <v>3102</v>
      </c>
      <c r="J2516" s="67">
        <v>85.03</v>
      </c>
      <c r="K2516" s="62">
        <v>802.86</v>
      </c>
      <c r="L2516" s="33" t="e">
        <f>HLOOKUP(B2516,#REF!,1,0)</f>
        <v>#REF!</v>
      </c>
      <c r="M2516" s="33" t="str">
        <f t="shared" si="159"/>
        <v>P&amp;L</v>
      </c>
    </row>
    <row r="2517" spans="1:13" s="33" customFormat="true" ht="12.75" customHeight="true">
      <c r="A2517" s="33" t="str">
        <f t="shared" si="156"/>
        <v>2SH - Operating Expense</v>
      </c>
      <c r="B2517" s="33" t="str">
        <f t="shared" si="157"/>
        <v>2SH</v>
      </c>
      <c r="C2517" s="33" t="str">
        <f t="shared" si="158"/>
        <v>62510-0864</v>
      </c>
      <c r="D2517" s="64" t="s">
        <v>3113</v>
      </c>
      <c r="E2517" s="64" t="s">
        <v>3111</v>
      </c>
      <c r="F2517" s="64" t="s">
        <v>15</v>
      </c>
      <c r="G2517" s="64" t="s">
        <v>3035</v>
      </c>
      <c r="H2517" s="64" t="s">
        <v>3022</v>
      </c>
      <c r="I2517" s="64" t="s">
        <v>3102</v>
      </c>
      <c r="J2517" s="67">
        <v>85.03</v>
      </c>
      <c r="K2517" s="62">
        <v>802.86</v>
      </c>
      <c r="L2517" s="33" t="e">
        <f>HLOOKUP(B2517,#REF!,1,0)</f>
        <v>#REF!</v>
      </c>
      <c r="M2517" s="33" t="str">
        <f t="shared" si="159"/>
        <v>P&amp;L</v>
      </c>
    </row>
    <row r="2518" spans="1:13" s="33" customFormat="true" ht="12.75" customHeight="true">
      <c r="A2518" s="33" t="str">
        <f t="shared" si="156"/>
        <v>2SH - Operating Expense</v>
      </c>
      <c r="B2518" s="33" t="str">
        <f t="shared" si="157"/>
        <v>2SH</v>
      </c>
      <c r="C2518" s="33" t="str">
        <f t="shared" si="158"/>
        <v>62510-0866</v>
      </c>
      <c r="D2518" s="64" t="s">
        <v>3114</v>
      </c>
      <c r="E2518" s="64" t="s">
        <v>3111</v>
      </c>
      <c r="F2518" s="64" t="s">
        <v>15</v>
      </c>
      <c r="G2518" s="64" t="s">
        <v>3035</v>
      </c>
      <c r="H2518" s="64" t="s">
        <v>3022</v>
      </c>
      <c r="I2518" s="64" t="s">
        <v>3102</v>
      </c>
      <c r="J2518" s="67">
        <v>85.03</v>
      </c>
      <c r="K2518" s="62">
        <v>802.86</v>
      </c>
      <c r="L2518" s="33" t="e">
        <f>HLOOKUP(B2518,#REF!,1,0)</f>
        <v>#REF!</v>
      </c>
      <c r="M2518" s="33" t="str">
        <f t="shared" si="159"/>
        <v>P&amp;L</v>
      </c>
    </row>
    <row r="2519" spans="1:13" s="33" customFormat="true" ht="12.75" customHeight="true">
      <c r="A2519" s="33" t="str">
        <f t="shared" si="156"/>
        <v>2SH - Operating Expense</v>
      </c>
      <c r="B2519" s="33" t="str">
        <f t="shared" si="157"/>
        <v>2SH</v>
      </c>
      <c r="C2519" s="33" t="str">
        <f t="shared" si="158"/>
        <v>62511-0861</v>
      </c>
      <c r="D2519" s="64" t="s">
        <v>3115</v>
      </c>
      <c r="E2519" s="64" t="s">
        <v>3116</v>
      </c>
      <c r="F2519" s="64" t="s">
        <v>15</v>
      </c>
      <c r="G2519" s="64" t="s">
        <v>3035</v>
      </c>
      <c r="H2519" s="64" t="s">
        <v>3022</v>
      </c>
      <c r="I2519" s="64" t="s">
        <v>3036</v>
      </c>
      <c r="J2519" s="67">
        <v>105.93</v>
      </c>
      <c r="K2519" s="62">
        <v>2516.25</v>
      </c>
      <c r="L2519" s="33" t="e">
        <f>HLOOKUP(B2519,#REF!,1,0)</f>
        <v>#REF!</v>
      </c>
      <c r="M2519" s="33" t="str">
        <f t="shared" si="159"/>
        <v>P&amp;L</v>
      </c>
    </row>
    <row r="2520" spans="1:13" s="33" customFormat="true" ht="12.75" customHeight="true">
      <c r="A2520" s="33" t="str">
        <f t="shared" si="156"/>
        <v>2SH - Operating Expense</v>
      </c>
      <c r="B2520" s="33" t="str">
        <f t="shared" si="157"/>
        <v>2SH</v>
      </c>
      <c r="C2520" s="33" t="str">
        <f t="shared" si="158"/>
        <v>62511-0862</v>
      </c>
      <c r="D2520" s="64" t="s">
        <v>3117</v>
      </c>
      <c r="E2520" s="64" t="s">
        <v>3116</v>
      </c>
      <c r="F2520" s="64" t="s">
        <v>15</v>
      </c>
      <c r="G2520" s="64" t="s">
        <v>3035</v>
      </c>
      <c r="H2520" s="64" t="s">
        <v>3022</v>
      </c>
      <c r="I2520" s="64" t="s">
        <v>3036</v>
      </c>
      <c r="J2520" s="67">
        <v>0</v>
      </c>
      <c r="K2520" s="62">
        <v>2494.2</v>
      </c>
      <c r="L2520" s="33" t="e">
        <f>HLOOKUP(B2520,#REF!,1,0)</f>
        <v>#REF!</v>
      </c>
      <c r="M2520" s="33" t="str">
        <f t="shared" si="159"/>
        <v>P&amp;L</v>
      </c>
    </row>
    <row r="2521" spans="1:13" s="33" customFormat="true" ht="12.75" customHeight="true">
      <c r="A2521" s="33" t="str">
        <f t="shared" si="156"/>
        <v>2SH - Operating Expense</v>
      </c>
      <c r="B2521" s="33" t="str">
        <f t="shared" si="157"/>
        <v>2SH</v>
      </c>
      <c r="C2521" s="33" t="str">
        <f t="shared" si="158"/>
        <v>62511-0864</v>
      </c>
      <c r="D2521" s="64" t="s">
        <v>3118</v>
      </c>
      <c r="E2521" s="64" t="s">
        <v>3116</v>
      </c>
      <c r="F2521" s="64" t="s">
        <v>15</v>
      </c>
      <c r="G2521" s="64" t="s">
        <v>3035</v>
      </c>
      <c r="H2521" s="64" t="s">
        <v>3022</v>
      </c>
      <c r="I2521" s="64" t="s">
        <v>3036</v>
      </c>
      <c r="J2521" s="67">
        <v>0</v>
      </c>
      <c r="K2521" s="62">
        <v>973.37</v>
      </c>
      <c r="L2521" s="33" t="e">
        <f>HLOOKUP(B2521,#REF!,1,0)</f>
        <v>#REF!</v>
      </c>
      <c r="M2521" s="33" t="str">
        <f t="shared" si="159"/>
        <v>P&amp;L</v>
      </c>
    </row>
    <row r="2522" spans="1:13" s="33" customFormat="true" ht="12.75" customHeight="true">
      <c r="A2522" s="33" t="str">
        <f t="shared" si="156"/>
        <v>2SH - Operating Expense</v>
      </c>
      <c r="B2522" s="33" t="str">
        <f t="shared" si="157"/>
        <v>2SH</v>
      </c>
      <c r="C2522" s="33" t="str">
        <f t="shared" si="158"/>
        <v>62511-0866</v>
      </c>
      <c r="D2522" s="64" t="s">
        <v>3119</v>
      </c>
      <c r="E2522" s="64" t="s">
        <v>3116</v>
      </c>
      <c r="F2522" s="64" t="s">
        <v>15</v>
      </c>
      <c r="G2522" s="64" t="s">
        <v>3035</v>
      </c>
      <c r="H2522" s="64" t="s">
        <v>3022</v>
      </c>
      <c r="I2522" s="64" t="s">
        <v>3036</v>
      </c>
      <c r="J2522" s="67">
        <v>546.8</v>
      </c>
      <c r="K2522" s="62">
        <v>4563.34</v>
      </c>
      <c r="L2522" s="33" t="e">
        <f>HLOOKUP(B2522,#REF!,1,0)</f>
        <v>#REF!</v>
      </c>
      <c r="M2522" s="33" t="str">
        <f t="shared" si="159"/>
        <v>P&amp;L</v>
      </c>
    </row>
    <row r="2523" spans="1:13" s="33" customFormat="true" ht="12.75" customHeight="true">
      <c r="A2523" s="33" t="str">
        <f t="shared" si="156"/>
        <v>2SH - Operating Expense</v>
      </c>
      <c r="B2523" s="33" t="str">
        <f t="shared" si="157"/>
        <v>2SH</v>
      </c>
      <c r="C2523" s="33" t="str">
        <f t="shared" si="158"/>
        <v>62512-0861</v>
      </c>
      <c r="D2523" s="64" t="s">
        <v>3120</v>
      </c>
      <c r="E2523" s="64" t="s">
        <v>3121</v>
      </c>
      <c r="F2523" s="64" t="s">
        <v>15</v>
      </c>
      <c r="G2523" s="64" t="s">
        <v>3035</v>
      </c>
      <c r="H2523" s="64" t="s">
        <v>3022</v>
      </c>
      <c r="I2523" s="64" t="s">
        <v>3102</v>
      </c>
      <c r="J2523" s="67">
        <v>0</v>
      </c>
      <c r="K2523" s="62">
        <v>50</v>
      </c>
      <c r="L2523" s="33" t="e">
        <f>HLOOKUP(B2523,#REF!,1,0)</f>
        <v>#REF!</v>
      </c>
      <c r="M2523" s="33" t="str">
        <f t="shared" si="159"/>
        <v>P&amp;L</v>
      </c>
    </row>
    <row r="2524" spans="1:13" s="33" customFormat="true" ht="12.75" customHeight="true">
      <c r="A2524" s="33" t="str">
        <f t="shared" si="156"/>
        <v>2SH - Operating Expense</v>
      </c>
      <c r="B2524" s="33" t="str">
        <f t="shared" si="157"/>
        <v>2SH</v>
      </c>
      <c r="C2524" s="33" t="str">
        <f t="shared" si="158"/>
        <v>62512-0864</v>
      </c>
      <c r="D2524" s="64" t="s">
        <v>3122</v>
      </c>
      <c r="E2524" s="64" t="s">
        <v>3121</v>
      </c>
      <c r="F2524" s="64" t="s">
        <v>15</v>
      </c>
      <c r="G2524" s="64" t="s">
        <v>3035</v>
      </c>
      <c r="H2524" s="64" t="s">
        <v>3022</v>
      </c>
      <c r="I2524" s="64" t="s">
        <v>3102</v>
      </c>
      <c r="J2524" s="67">
        <v>0</v>
      </c>
      <c r="K2524" s="62">
        <v>50</v>
      </c>
      <c r="L2524" s="33" t="e">
        <f>HLOOKUP(B2524,#REF!,1,0)</f>
        <v>#REF!</v>
      </c>
      <c r="M2524" s="33" t="str">
        <f t="shared" si="159"/>
        <v>P&amp;L</v>
      </c>
    </row>
    <row r="2525" spans="1:13" s="33" customFormat="true" ht="12.75" customHeight="true">
      <c r="A2525" s="33" t="str">
        <f t="shared" si="156"/>
        <v>2SH - Operating Expense</v>
      </c>
      <c r="B2525" s="33" t="str">
        <f t="shared" si="157"/>
        <v>2SH</v>
      </c>
      <c r="C2525" s="33" t="str">
        <f t="shared" si="158"/>
        <v>62513-0861</v>
      </c>
      <c r="D2525" s="64" t="s">
        <v>3123</v>
      </c>
      <c r="E2525" s="64" t="s">
        <v>3124</v>
      </c>
      <c r="F2525" s="64" t="s">
        <v>15</v>
      </c>
      <c r="G2525" s="64" t="s">
        <v>3035</v>
      </c>
      <c r="H2525" s="64" t="s">
        <v>3022</v>
      </c>
      <c r="I2525" s="64" t="s">
        <v>3102</v>
      </c>
      <c r="J2525" s="67">
        <v>256.65</v>
      </c>
      <c r="K2525" s="62">
        <v>668.35</v>
      </c>
      <c r="L2525" s="33" t="e">
        <f>HLOOKUP(B2525,#REF!,1,0)</f>
        <v>#REF!</v>
      </c>
      <c r="M2525" s="33" t="str">
        <f t="shared" si="159"/>
        <v>P&amp;L</v>
      </c>
    </row>
    <row r="2526" spans="1:13" s="33" customFormat="true" ht="12.75" customHeight="true">
      <c r="A2526" s="33" t="str">
        <f t="shared" si="156"/>
        <v>2SH - Operating Expense</v>
      </c>
      <c r="B2526" s="33" t="str">
        <f t="shared" si="157"/>
        <v>2SH</v>
      </c>
      <c r="C2526" s="33" t="str">
        <f t="shared" si="158"/>
        <v>62513-0862</v>
      </c>
      <c r="D2526" s="64" t="s">
        <v>3125</v>
      </c>
      <c r="E2526" s="64" t="s">
        <v>3124</v>
      </c>
      <c r="F2526" s="64" t="s">
        <v>15</v>
      </c>
      <c r="G2526" s="64" t="s">
        <v>3035</v>
      </c>
      <c r="H2526" s="64" t="s">
        <v>3022</v>
      </c>
      <c r="I2526" s="64" t="s">
        <v>3102</v>
      </c>
      <c r="J2526" s="67">
        <v>46.18</v>
      </c>
      <c r="K2526" s="62">
        <v>1804.58</v>
      </c>
      <c r="L2526" s="33" t="e">
        <f>HLOOKUP(B2526,#REF!,1,0)</f>
        <v>#REF!</v>
      </c>
      <c r="M2526" s="33" t="str">
        <f t="shared" si="159"/>
        <v>P&amp;L</v>
      </c>
    </row>
    <row r="2527" spans="1:13" s="33" customFormat="true" ht="12.75" customHeight="true">
      <c r="A2527" s="33" t="str">
        <f t="shared" si="156"/>
        <v>2SH - Operating Expense</v>
      </c>
      <c r="B2527" s="33" t="str">
        <f t="shared" si="157"/>
        <v>2SH</v>
      </c>
      <c r="C2527" s="33" t="str">
        <f t="shared" si="158"/>
        <v>62513-0864</v>
      </c>
      <c r="D2527" s="64" t="s">
        <v>3126</v>
      </c>
      <c r="E2527" s="64" t="s">
        <v>3124</v>
      </c>
      <c r="F2527" s="64" t="s">
        <v>15</v>
      </c>
      <c r="G2527" s="64" t="s">
        <v>3035</v>
      </c>
      <c r="H2527" s="64" t="s">
        <v>3022</v>
      </c>
      <c r="I2527" s="64" t="s">
        <v>3102</v>
      </c>
      <c r="J2527" s="67">
        <v>18.21</v>
      </c>
      <c r="K2527" s="62">
        <v>343.85</v>
      </c>
      <c r="L2527" s="33" t="e">
        <f>HLOOKUP(B2527,#REF!,1,0)</f>
        <v>#REF!</v>
      </c>
      <c r="M2527" s="33" t="str">
        <f t="shared" si="159"/>
        <v>P&amp;L</v>
      </c>
    </row>
    <row r="2528" spans="1:13" s="33" customFormat="true" ht="12.75" customHeight="true">
      <c r="A2528" s="33" t="str">
        <f t="shared" si="156"/>
        <v>2SH - Operating Expense</v>
      </c>
      <c r="B2528" s="33" t="str">
        <f t="shared" si="157"/>
        <v>2SH</v>
      </c>
      <c r="C2528" s="33" t="str">
        <f t="shared" si="158"/>
        <v>62513-0866</v>
      </c>
      <c r="D2528" s="64" t="s">
        <v>3127</v>
      </c>
      <c r="E2528" s="64" t="s">
        <v>3124</v>
      </c>
      <c r="F2528" s="64" t="s">
        <v>15</v>
      </c>
      <c r="G2528" s="64" t="s">
        <v>3035</v>
      </c>
      <c r="H2528" s="64" t="s">
        <v>3022</v>
      </c>
      <c r="I2528" s="64" t="s">
        <v>3102</v>
      </c>
      <c r="J2528" s="67">
        <v>18.21</v>
      </c>
      <c r="K2528" s="62">
        <v>310.38</v>
      </c>
      <c r="L2528" s="33" t="e">
        <f>HLOOKUP(B2528,#REF!,1,0)</f>
        <v>#REF!</v>
      </c>
      <c r="M2528" s="33" t="str">
        <f t="shared" si="159"/>
        <v>P&amp;L</v>
      </c>
    </row>
    <row r="2529" spans="1:13" s="33" customFormat="true" ht="12.75" customHeight="true">
      <c r="A2529" s="33" t="str">
        <f t="shared" si="156"/>
        <v>2SH - Operating Expense</v>
      </c>
      <c r="B2529" s="33" t="str">
        <f t="shared" si="157"/>
        <v>2SH</v>
      </c>
      <c r="C2529" s="33" t="str">
        <f t="shared" si="158"/>
        <v>62550-0862</v>
      </c>
      <c r="D2529" s="64" t="s">
        <v>3128</v>
      </c>
      <c r="E2529" s="64" t="s">
        <v>3129</v>
      </c>
      <c r="F2529" s="64" t="s">
        <v>15</v>
      </c>
      <c r="G2529" s="64" t="s">
        <v>3035</v>
      </c>
      <c r="H2529" s="64" t="s">
        <v>3022</v>
      </c>
      <c r="I2529" s="64" t="s">
        <v>3130</v>
      </c>
      <c r="J2529" s="67">
        <v>812.5</v>
      </c>
      <c r="K2529" s="62">
        <v>812.5</v>
      </c>
      <c r="L2529" s="33" t="e">
        <f>HLOOKUP(B2529,#REF!,1,0)</f>
        <v>#REF!</v>
      </c>
      <c r="M2529" s="33" t="str">
        <f t="shared" si="159"/>
        <v>P&amp;L</v>
      </c>
    </row>
    <row r="2530" spans="1:13" s="33" customFormat="true" ht="12.75" customHeight="true">
      <c r="A2530" s="33" t="str">
        <f t="shared" si="156"/>
        <v>2SH - Operating Expense</v>
      </c>
      <c r="B2530" s="33" t="str">
        <f t="shared" si="157"/>
        <v>2SH</v>
      </c>
      <c r="C2530" s="33" t="str">
        <f t="shared" si="158"/>
        <v>62551-0862</v>
      </c>
      <c r="D2530" s="64" t="s">
        <v>3131</v>
      </c>
      <c r="E2530" s="64" t="s">
        <v>3132</v>
      </c>
      <c r="F2530" s="64" t="s">
        <v>15</v>
      </c>
      <c r="G2530" s="64" t="s">
        <v>3035</v>
      </c>
      <c r="H2530" s="64" t="s">
        <v>3022</v>
      </c>
      <c r="I2530" s="64" t="s">
        <v>3130</v>
      </c>
      <c r="J2530" s="67">
        <v>507.07</v>
      </c>
      <c r="K2530" s="62">
        <v>507.07</v>
      </c>
      <c r="L2530" s="33" t="e">
        <f>HLOOKUP(B2530,#REF!,1,0)</f>
        <v>#REF!</v>
      </c>
      <c r="M2530" s="33" t="str">
        <f t="shared" si="159"/>
        <v>P&amp;L</v>
      </c>
    </row>
    <row r="2531" spans="1:13" s="33" customFormat="true" ht="12.75" customHeight="true">
      <c r="A2531" s="33" t="str">
        <f t="shared" si="156"/>
        <v>2SH - Operating Expense</v>
      </c>
      <c r="B2531" s="33" t="str">
        <f t="shared" si="157"/>
        <v>2SH</v>
      </c>
      <c r="C2531" s="33" t="str">
        <f t="shared" si="158"/>
        <v>63001-0861</v>
      </c>
      <c r="D2531" s="64" t="s">
        <v>3133</v>
      </c>
      <c r="E2531" s="64" t="s">
        <v>3134</v>
      </c>
      <c r="F2531" s="64" t="s">
        <v>15</v>
      </c>
      <c r="G2531" s="64" t="s">
        <v>3035</v>
      </c>
      <c r="H2531" s="64" t="s">
        <v>3022</v>
      </c>
      <c r="I2531" s="64" t="s">
        <v>3036</v>
      </c>
      <c r="J2531" s="67">
        <v>280</v>
      </c>
      <c r="K2531" s="62">
        <v>1660</v>
      </c>
      <c r="L2531" s="33" t="e">
        <f>HLOOKUP(B2531,#REF!,1,0)</f>
        <v>#REF!</v>
      </c>
      <c r="M2531" s="33" t="str">
        <f t="shared" si="159"/>
        <v>P&amp;L</v>
      </c>
    </row>
    <row r="2532" spans="1:13" s="33" customFormat="true" ht="12.75" customHeight="true">
      <c r="A2532" s="33" t="str">
        <f t="shared" si="156"/>
        <v>2SH - Operating Expense</v>
      </c>
      <c r="B2532" s="33" t="str">
        <f t="shared" si="157"/>
        <v>2SH</v>
      </c>
      <c r="C2532" s="33" t="str">
        <f t="shared" si="158"/>
        <v>63001-0862</v>
      </c>
      <c r="D2532" s="64" t="s">
        <v>3135</v>
      </c>
      <c r="E2532" s="64" t="s">
        <v>3134</v>
      </c>
      <c r="F2532" s="64" t="s">
        <v>15</v>
      </c>
      <c r="G2532" s="64" t="s">
        <v>3035</v>
      </c>
      <c r="H2532" s="64" t="s">
        <v>3022</v>
      </c>
      <c r="I2532" s="64" t="s">
        <v>3036</v>
      </c>
      <c r="J2532" s="67">
        <v>0</v>
      </c>
      <c r="K2532" s="62">
        <v>1390</v>
      </c>
      <c r="L2532" s="33" t="e">
        <f>HLOOKUP(B2532,#REF!,1,0)</f>
        <v>#REF!</v>
      </c>
      <c r="M2532" s="33" t="str">
        <f t="shared" si="159"/>
        <v>P&amp;L</v>
      </c>
    </row>
    <row r="2533" spans="1:13" s="33" customFormat="true" ht="12.75" customHeight="true">
      <c r="A2533" s="33" t="str">
        <f t="shared" si="156"/>
        <v>2SH - Operating Expense</v>
      </c>
      <c r="B2533" s="33" t="str">
        <f t="shared" si="157"/>
        <v>2SH</v>
      </c>
      <c r="C2533" s="33" t="str">
        <f t="shared" si="158"/>
        <v>63001-0864</v>
      </c>
      <c r="D2533" s="64" t="s">
        <v>3136</v>
      </c>
      <c r="E2533" s="64" t="s">
        <v>3134</v>
      </c>
      <c r="F2533" s="64" t="s">
        <v>15</v>
      </c>
      <c r="G2533" s="64" t="s">
        <v>3035</v>
      </c>
      <c r="H2533" s="64" t="s">
        <v>3022</v>
      </c>
      <c r="I2533" s="64" t="s">
        <v>3036</v>
      </c>
      <c r="J2533" s="67">
        <v>0</v>
      </c>
      <c r="K2533" s="62">
        <v>1380</v>
      </c>
      <c r="L2533" s="33" t="e">
        <f>HLOOKUP(B2533,#REF!,1,0)</f>
        <v>#REF!</v>
      </c>
      <c r="M2533" s="33" t="str">
        <f t="shared" si="159"/>
        <v>P&amp;L</v>
      </c>
    </row>
    <row r="2534" spans="1:13" s="33" customFormat="true" ht="12.75" customHeight="true">
      <c r="A2534" s="33" t="str">
        <f t="shared" si="156"/>
        <v>2SH - Operating Expense</v>
      </c>
      <c r="B2534" s="33" t="str">
        <f t="shared" si="157"/>
        <v>2SH</v>
      </c>
      <c r="C2534" s="33" t="str">
        <f t="shared" si="158"/>
        <v>63001-0866</v>
      </c>
      <c r="D2534" s="64" t="s">
        <v>3137</v>
      </c>
      <c r="E2534" s="64" t="s">
        <v>3134</v>
      </c>
      <c r="F2534" s="64" t="s">
        <v>15</v>
      </c>
      <c r="G2534" s="64" t="s">
        <v>3035</v>
      </c>
      <c r="H2534" s="64" t="s">
        <v>3022</v>
      </c>
      <c r="I2534" s="64" t="s">
        <v>3036</v>
      </c>
      <c r="J2534" s="67">
        <v>0</v>
      </c>
      <c r="K2534" s="62">
        <v>1390</v>
      </c>
      <c r="L2534" s="33" t="e">
        <f>HLOOKUP(B2534,#REF!,1,0)</f>
        <v>#REF!</v>
      </c>
      <c r="M2534" s="33" t="str">
        <f t="shared" si="159"/>
        <v>P&amp;L</v>
      </c>
    </row>
    <row r="2535" spans="1:13" s="33" customFormat="true" ht="12.75" customHeight="true">
      <c r="A2535" s="33" t="str">
        <f t="shared" si="156"/>
        <v>2SH - Operating Expense</v>
      </c>
      <c r="B2535" s="33" t="str">
        <f t="shared" si="157"/>
        <v>2SH</v>
      </c>
      <c r="C2535" s="33" t="str">
        <f t="shared" si="158"/>
        <v>63004-0000</v>
      </c>
      <c r="D2535" s="64" t="s">
        <v>3138</v>
      </c>
      <c r="E2535" s="64" t="s">
        <v>3139</v>
      </c>
      <c r="F2535" s="64" t="s">
        <v>15</v>
      </c>
      <c r="G2535" s="64" t="s">
        <v>3035</v>
      </c>
      <c r="H2535" s="64" t="s">
        <v>3022</v>
      </c>
      <c r="I2535" s="64" t="s">
        <v>3140</v>
      </c>
      <c r="J2535" s="67">
        <v>0</v>
      </c>
      <c r="K2535" s="62">
        <v>0</v>
      </c>
      <c r="L2535" s="33" t="e">
        <f>HLOOKUP(B2535,#REF!,1,0)</f>
        <v>#REF!</v>
      </c>
      <c r="M2535" s="33" t="str">
        <f t="shared" si="159"/>
        <v>P&amp;L</v>
      </c>
    </row>
    <row r="2536" spans="1:13" s="33" customFormat="true" ht="12.75" customHeight="true">
      <c r="A2536" s="33" t="str">
        <f t="shared" si="156"/>
        <v>2SH - Operating Expense</v>
      </c>
      <c r="B2536" s="33" t="str">
        <f t="shared" si="157"/>
        <v>2SH</v>
      </c>
      <c r="C2536" s="33" t="str">
        <f t="shared" si="158"/>
        <v>63004-0861</v>
      </c>
      <c r="D2536" s="64" t="s">
        <v>3141</v>
      </c>
      <c r="E2536" s="64" t="s">
        <v>3139</v>
      </c>
      <c r="F2536" s="64" t="s">
        <v>15</v>
      </c>
      <c r="G2536" s="64" t="s">
        <v>3035</v>
      </c>
      <c r="H2536" s="64" t="s">
        <v>3022</v>
      </c>
      <c r="I2536" s="64" t="s">
        <v>3140</v>
      </c>
      <c r="J2536" s="67">
        <v>275</v>
      </c>
      <c r="K2536" s="62">
        <v>2610</v>
      </c>
      <c r="L2536" s="33" t="e">
        <f>HLOOKUP(B2536,#REF!,1,0)</f>
        <v>#REF!</v>
      </c>
      <c r="M2536" s="33" t="str">
        <f t="shared" si="159"/>
        <v>P&amp;L</v>
      </c>
    </row>
    <row r="2537" spans="1:13" s="33" customFormat="true" ht="12.75" customHeight="true">
      <c r="A2537" s="33" t="str">
        <f t="shared" si="156"/>
        <v>2SH - Operating Expense</v>
      </c>
      <c r="B2537" s="33" t="str">
        <f t="shared" si="157"/>
        <v>2SH</v>
      </c>
      <c r="C2537" s="33" t="str">
        <f t="shared" si="158"/>
        <v>63004-0862</v>
      </c>
      <c r="D2537" s="64" t="s">
        <v>3142</v>
      </c>
      <c r="E2537" s="64" t="s">
        <v>3139</v>
      </c>
      <c r="F2537" s="64" t="s">
        <v>15</v>
      </c>
      <c r="G2537" s="64" t="s">
        <v>3035</v>
      </c>
      <c r="H2537" s="64" t="s">
        <v>3022</v>
      </c>
      <c r="I2537" s="64" t="s">
        <v>3140</v>
      </c>
      <c r="J2537" s="67">
        <v>150</v>
      </c>
      <c r="K2537" s="62">
        <v>1500</v>
      </c>
      <c r="L2537" s="33" t="e">
        <f>HLOOKUP(B2537,#REF!,1,0)</f>
        <v>#REF!</v>
      </c>
      <c r="M2537" s="33" t="str">
        <f t="shared" si="159"/>
        <v>P&amp;L</v>
      </c>
    </row>
    <row r="2538" spans="1:13" s="33" customFormat="true" ht="12.75" customHeight="true">
      <c r="A2538" s="33" t="str">
        <f t="shared" si="156"/>
        <v>2SH - Operating Expense</v>
      </c>
      <c r="B2538" s="33" t="str">
        <f t="shared" si="157"/>
        <v>2SH</v>
      </c>
      <c r="C2538" s="33" t="str">
        <f t="shared" si="158"/>
        <v>63004-0864</v>
      </c>
      <c r="D2538" s="64" t="s">
        <v>3143</v>
      </c>
      <c r="E2538" s="64" t="s">
        <v>3139</v>
      </c>
      <c r="F2538" s="64" t="s">
        <v>15</v>
      </c>
      <c r="G2538" s="64" t="s">
        <v>3035</v>
      </c>
      <c r="H2538" s="64" t="s">
        <v>3022</v>
      </c>
      <c r="I2538" s="64" t="s">
        <v>3140</v>
      </c>
      <c r="J2538" s="67">
        <v>350</v>
      </c>
      <c r="K2538" s="62">
        <v>3620</v>
      </c>
      <c r="L2538" s="33" t="e">
        <f>HLOOKUP(B2538,#REF!,1,0)</f>
        <v>#REF!</v>
      </c>
      <c r="M2538" s="33" t="str">
        <f t="shared" si="159"/>
        <v>P&amp;L</v>
      </c>
    </row>
    <row r="2539" spans="1:13" s="33" customFormat="true" ht="12.75" customHeight="true">
      <c r="A2539" s="33" t="str">
        <f t="shared" si="156"/>
        <v>2SH - Operating Expense</v>
      </c>
      <c r="B2539" s="33" t="str">
        <f t="shared" si="157"/>
        <v>2SH</v>
      </c>
      <c r="C2539" s="33" t="str">
        <f t="shared" si="158"/>
        <v>63004-0866</v>
      </c>
      <c r="D2539" s="64" t="s">
        <v>3144</v>
      </c>
      <c r="E2539" s="64" t="s">
        <v>3139</v>
      </c>
      <c r="F2539" s="64" t="s">
        <v>15</v>
      </c>
      <c r="G2539" s="64" t="s">
        <v>3035</v>
      </c>
      <c r="H2539" s="64" t="s">
        <v>3022</v>
      </c>
      <c r="I2539" s="64" t="s">
        <v>3140</v>
      </c>
      <c r="J2539" s="67">
        <v>275</v>
      </c>
      <c r="K2539" s="62">
        <v>2610</v>
      </c>
      <c r="L2539" s="33" t="e">
        <f>HLOOKUP(B2539,#REF!,1,0)</f>
        <v>#REF!</v>
      </c>
      <c r="M2539" s="33" t="str">
        <f t="shared" si="159"/>
        <v>P&amp;L</v>
      </c>
    </row>
    <row r="2540" spans="1:13" s="33" customFormat="true" ht="12.75" customHeight="true">
      <c r="A2540" s="33" t="str">
        <f t="shared" si="156"/>
        <v>2SH - Operating Expense</v>
      </c>
      <c r="B2540" s="33" t="str">
        <f t="shared" si="157"/>
        <v>2SH</v>
      </c>
      <c r="C2540" s="33" t="str">
        <f t="shared" si="158"/>
        <v>63006-0861</v>
      </c>
      <c r="D2540" s="64" t="s">
        <v>3145</v>
      </c>
      <c r="E2540" s="64" t="s">
        <v>3146</v>
      </c>
      <c r="F2540" s="64" t="s">
        <v>15</v>
      </c>
      <c r="G2540" s="64" t="s">
        <v>3035</v>
      </c>
      <c r="H2540" s="64" t="s">
        <v>3022</v>
      </c>
      <c r="I2540" s="64" t="s">
        <v>3036</v>
      </c>
      <c r="J2540" s="67">
        <v>0</v>
      </c>
      <c r="K2540" s="62">
        <v>720</v>
      </c>
      <c r="L2540" s="33" t="e">
        <f>HLOOKUP(B2540,#REF!,1,0)</f>
        <v>#REF!</v>
      </c>
      <c r="M2540" s="33" t="str">
        <f t="shared" si="159"/>
        <v>P&amp;L</v>
      </c>
    </row>
    <row r="2541" spans="1:13" s="33" customFormat="true" ht="12.75" customHeight="true">
      <c r="A2541" s="33" t="str">
        <f t="shared" si="156"/>
        <v>2SH - Operating Expense</v>
      </c>
      <c r="B2541" s="33" t="str">
        <f t="shared" si="157"/>
        <v>2SH</v>
      </c>
      <c r="C2541" s="33" t="str">
        <f t="shared" si="158"/>
        <v>63006-0862</v>
      </c>
      <c r="D2541" s="64" t="s">
        <v>3147</v>
      </c>
      <c r="E2541" s="64" t="s">
        <v>3146</v>
      </c>
      <c r="F2541" s="64" t="s">
        <v>15</v>
      </c>
      <c r="G2541" s="64" t="s">
        <v>3035</v>
      </c>
      <c r="H2541" s="64" t="s">
        <v>3022</v>
      </c>
      <c r="I2541" s="64" t="s">
        <v>3036</v>
      </c>
      <c r="J2541" s="67">
        <v>0</v>
      </c>
      <c r="K2541" s="62">
        <v>967.5</v>
      </c>
      <c r="L2541" s="33" t="e">
        <f>HLOOKUP(B2541,#REF!,1,0)</f>
        <v>#REF!</v>
      </c>
      <c r="M2541" s="33" t="str">
        <f t="shared" si="159"/>
        <v>P&amp;L</v>
      </c>
    </row>
    <row r="2542" spans="1:13" s="33" customFormat="true" ht="12.75" customHeight="true">
      <c r="A2542" s="33" t="str">
        <f t="shared" si="156"/>
        <v>2SH - Operating Expense</v>
      </c>
      <c r="B2542" s="33" t="str">
        <f t="shared" si="157"/>
        <v>2SH</v>
      </c>
      <c r="C2542" s="33" t="str">
        <f t="shared" si="158"/>
        <v>63006-0864</v>
      </c>
      <c r="D2542" s="64" t="s">
        <v>3148</v>
      </c>
      <c r="E2542" s="64" t="s">
        <v>3146</v>
      </c>
      <c r="F2542" s="64" t="s">
        <v>15</v>
      </c>
      <c r="G2542" s="64" t="s">
        <v>3035</v>
      </c>
      <c r="H2542" s="64" t="s">
        <v>3022</v>
      </c>
      <c r="I2542" s="64" t="s">
        <v>3036</v>
      </c>
      <c r="J2542" s="67">
        <v>0</v>
      </c>
      <c r="K2542" s="62">
        <v>967.5</v>
      </c>
      <c r="L2542" s="33" t="e">
        <f>HLOOKUP(B2542,#REF!,1,0)</f>
        <v>#REF!</v>
      </c>
      <c r="M2542" s="33" t="str">
        <f t="shared" si="159"/>
        <v>P&amp;L</v>
      </c>
    </row>
    <row r="2543" spans="1:13" s="33" customFormat="true" ht="12.75" customHeight="true">
      <c r="A2543" s="33" t="str">
        <f t="shared" si="156"/>
        <v>2SH - Operating Expense</v>
      </c>
      <c r="B2543" s="33" t="str">
        <f t="shared" si="157"/>
        <v>2SH</v>
      </c>
      <c r="C2543" s="33" t="str">
        <f t="shared" si="158"/>
        <v>63006-0866</v>
      </c>
      <c r="D2543" s="64" t="s">
        <v>3149</v>
      </c>
      <c r="E2543" s="64" t="s">
        <v>3146</v>
      </c>
      <c r="F2543" s="64" t="s">
        <v>15</v>
      </c>
      <c r="G2543" s="64" t="s">
        <v>3035</v>
      </c>
      <c r="H2543" s="64" t="s">
        <v>3022</v>
      </c>
      <c r="I2543" s="64" t="s">
        <v>3036</v>
      </c>
      <c r="J2543" s="67">
        <v>0</v>
      </c>
      <c r="K2543" s="62">
        <v>645</v>
      </c>
      <c r="L2543" s="33" t="e">
        <f>HLOOKUP(B2543,#REF!,1,0)</f>
        <v>#REF!</v>
      </c>
      <c r="M2543" s="33" t="str">
        <f t="shared" si="159"/>
        <v>P&amp;L</v>
      </c>
    </row>
    <row r="2544" spans="1:13" s="33" customFormat="true" ht="12.75" customHeight="true">
      <c r="A2544" s="33" t="str">
        <f t="shared" si="156"/>
        <v>2SH - Operating Expense</v>
      </c>
      <c r="B2544" s="33" t="str">
        <f t="shared" si="157"/>
        <v>2SH</v>
      </c>
      <c r="C2544" s="33" t="str">
        <f t="shared" si="158"/>
        <v>63007-0861</v>
      </c>
      <c r="D2544" s="64" t="s">
        <v>3150</v>
      </c>
      <c r="E2544" s="64" t="s">
        <v>3151</v>
      </c>
      <c r="F2544" s="64" t="s">
        <v>15</v>
      </c>
      <c r="G2544" s="64" t="s">
        <v>3035</v>
      </c>
      <c r="H2544" s="64" t="s">
        <v>3022</v>
      </c>
      <c r="I2544" s="64" t="s">
        <v>3140</v>
      </c>
      <c r="J2544" s="67">
        <v>0</v>
      </c>
      <c r="K2544" s="62">
        <v>180.92</v>
      </c>
      <c r="L2544" s="33" t="e">
        <f>HLOOKUP(B2544,#REF!,1,0)</f>
        <v>#REF!</v>
      </c>
      <c r="M2544" s="33" t="str">
        <f t="shared" si="159"/>
        <v>P&amp;L</v>
      </c>
    </row>
    <row r="2545" spans="1:13" s="33" customFormat="true" ht="12.75" customHeight="true">
      <c r="A2545" s="33" t="str">
        <f t="shared" si="156"/>
        <v>2SH - Operating Expense</v>
      </c>
      <c r="B2545" s="33" t="str">
        <f t="shared" si="157"/>
        <v>2SH</v>
      </c>
      <c r="C2545" s="33" t="str">
        <f t="shared" si="158"/>
        <v>63007-0862</v>
      </c>
      <c r="D2545" s="64" t="s">
        <v>3152</v>
      </c>
      <c r="E2545" s="64" t="s">
        <v>3151</v>
      </c>
      <c r="F2545" s="64" t="s">
        <v>15</v>
      </c>
      <c r="G2545" s="64" t="s">
        <v>3035</v>
      </c>
      <c r="H2545" s="64" t="s">
        <v>3022</v>
      </c>
      <c r="I2545" s="64" t="s">
        <v>3140</v>
      </c>
      <c r="J2545" s="67">
        <v>196.65</v>
      </c>
      <c r="K2545" s="62">
        <v>196.65</v>
      </c>
      <c r="L2545" s="33" t="e">
        <f>HLOOKUP(B2545,#REF!,1,0)</f>
        <v>#REF!</v>
      </c>
      <c r="M2545" s="33" t="str">
        <f t="shared" si="159"/>
        <v>P&amp;L</v>
      </c>
    </row>
    <row r="2546" spans="1:13" s="33" customFormat="true" ht="12.75" customHeight="true">
      <c r="A2546" s="33" t="str">
        <f t="shared" si="156"/>
        <v>2SH - Operating Expense</v>
      </c>
      <c r="B2546" s="33" t="str">
        <f t="shared" si="157"/>
        <v>2SH</v>
      </c>
      <c r="C2546" s="33" t="str">
        <f t="shared" si="158"/>
        <v>63007-0866</v>
      </c>
      <c r="D2546" s="64" t="s">
        <v>3153</v>
      </c>
      <c r="E2546" s="64" t="s">
        <v>3151</v>
      </c>
      <c r="F2546" s="64" t="s">
        <v>15</v>
      </c>
      <c r="G2546" s="64" t="s">
        <v>3035</v>
      </c>
      <c r="H2546" s="64" t="s">
        <v>3022</v>
      </c>
      <c r="I2546" s="64" t="s">
        <v>3140</v>
      </c>
      <c r="J2546" s="67">
        <v>0</v>
      </c>
      <c r="K2546" s="62">
        <v>459.38</v>
      </c>
      <c r="L2546" s="33" t="e">
        <f>HLOOKUP(B2546,#REF!,1,0)</f>
        <v>#REF!</v>
      </c>
      <c r="M2546" s="33" t="str">
        <f t="shared" si="159"/>
        <v>P&amp;L</v>
      </c>
    </row>
    <row r="2547" spans="1:13" s="33" customFormat="true" ht="12.75" customHeight="true">
      <c r="A2547" s="33" t="str">
        <f t="shared" si="156"/>
        <v>2SH - Operating Expense</v>
      </c>
      <c r="B2547" s="33" t="str">
        <f t="shared" si="157"/>
        <v>2SH</v>
      </c>
      <c r="C2547" s="33" t="str">
        <f t="shared" si="158"/>
        <v>63009-0861</v>
      </c>
      <c r="D2547" s="64" t="s">
        <v>3154</v>
      </c>
      <c r="E2547" s="64" t="s">
        <v>3155</v>
      </c>
      <c r="F2547" s="64" t="s">
        <v>15</v>
      </c>
      <c r="G2547" s="64" t="s">
        <v>3035</v>
      </c>
      <c r="H2547" s="64" t="s">
        <v>3022</v>
      </c>
      <c r="I2547" s="64" t="s">
        <v>3140</v>
      </c>
      <c r="J2547" s="67">
        <v>21.84</v>
      </c>
      <c r="K2547" s="62">
        <v>1427.96</v>
      </c>
      <c r="L2547" s="33" t="e">
        <f>HLOOKUP(B2547,#REF!,1,0)</f>
        <v>#REF!</v>
      </c>
      <c r="M2547" s="33" t="str">
        <f t="shared" si="159"/>
        <v>P&amp;L</v>
      </c>
    </row>
    <row r="2548" spans="1:13" s="33" customFormat="true" ht="12.75" customHeight="true">
      <c r="A2548" s="33" t="str">
        <f t="shared" si="156"/>
        <v>2SH - Operating Expense</v>
      </c>
      <c r="B2548" s="33" t="str">
        <f t="shared" si="157"/>
        <v>2SH</v>
      </c>
      <c r="C2548" s="33" t="str">
        <f t="shared" si="158"/>
        <v>63009-0864</v>
      </c>
      <c r="D2548" s="64" t="s">
        <v>3156</v>
      </c>
      <c r="E2548" s="64" t="s">
        <v>3155</v>
      </c>
      <c r="F2548" s="64" t="s">
        <v>15</v>
      </c>
      <c r="G2548" s="64" t="s">
        <v>3035</v>
      </c>
      <c r="H2548" s="64" t="s">
        <v>3022</v>
      </c>
      <c r="I2548" s="64" t="s">
        <v>3140</v>
      </c>
      <c r="J2548" s="67">
        <v>0</v>
      </c>
      <c r="K2548" s="62">
        <v>242.41</v>
      </c>
      <c r="L2548" s="33" t="e">
        <f>HLOOKUP(B2548,#REF!,1,0)</f>
        <v>#REF!</v>
      </c>
      <c r="M2548" s="33" t="str">
        <f t="shared" si="159"/>
        <v>P&amp;L</v>
      </c>
    </row>
    <row r="2549" spans="1:13" s="33" customFormat="true" ht="12.75" customHeight="true">
      <c r="A2549" s="33" t="str">
        <f t="shared" si="156"/>
        <v>2SH - Operating Expense</v>
      </c>
      <c r="B2549" s="33" t="str">
        <f t="shared" si="157"/>
        <v>2SH</v>
      </c>
      <c r="C2549" s="33" t="str">
        <f t="shared" si="158"/>
        <v>63009-0866</v>
      </c>
      <c r="D2549" s="64" t="s">
        <v>3157</v>
      </c>
      <c r="E2549" s="64" t="s">
        <v>3155</v>
      </c>
      <c r="F2549" s="64" t="s">
        <v>15</v>
      </c>
      <c r="G2549" s="64" t="s">
        <v>3035</v>
      </c>
      <c r="H2549" s="64" t="s">
        <v>3022</v>
      </c>
      <c r="I2549" s="64" t="s">
        <v>3140</v>
      </c>
      <c r="J2549" s="67">
        <v>0</v>
      </c>
      <c r="K2549" s="62">
        <v>646.27</v>
      </c>
      <c r="L2549" s="33" t="e">
        <f>HLOOKUP(B2549,#REF!,1,0)</f>
        <v>#REF!</v>
      </c>
      <c r="M2549" s="33" t="str">
        <f t="shared" si="159"/>
        <v>P&amp;L</v>
      </c>
    </row>
    <row r="2550" spans="1:13" s="33" customFormat="true" ht="12.75" customHeight="true">
      <c r="A2550" s="33" t="str">
        <f t="shared" si="156"/>
        <v>2SH - Operating Expense</v>
      </c>
      <c r="B2550" s="33" t="str">
        <f t="shared" si="157"/>
        <v>2SH</v>
      </c>
      <c r="C2550" s="33" t="str">
        <f t="shared" si="158"/>
        <v>63501-0000</v>
      </c>
      <c r="D2550" s="64" t="s">
        <v>3158</v>
      </c>
      <c r="E2550" s="64" t="s">
        <v>3159</v>
      </c>
      <c r="F2550" s="64" t="s">
        <v>15</v>
      </c>
      <c r="G2550" s="64" t="s">
        <v>3160</v>
      </c>
      <c r="H2550" s="64" t="s">
        <v>3022</v>
      </c>
      <c r="I2550" s="64" t="s">
        <v>3161</v>
      </c>
      <c r="J2550" s="67">
        <v>113.08</v>
      </c>
      <c r="K2550" s="62">
        <v>1402.53</v>
      </c>
      <c r="L2550" s="33" t="e">
        <f>HLOOKUP(B2550,#REF!,1,0)</f>
        <v>#REF!</v>
      </c>
      <c r="M2550" s="33" t="str">
        <f t="shared" si="159"/>
        <v>P&amp;L</v>
      </c>
    </row>
    <row r="2551" spans="1:13" s="33" customFormat="true" ht="12.75" customHeight="true">
      <c r="A2551" s="33" t="str">
        <f t="shared" si="156"/>
        <v>2SH - Operating Expense</v>
      </c>
      <c r="B2551" s="33" t="str">
        <f t="shared" si="157"/>
        <v>2SH</v>
      </c>
      <c r="C2551" s="33" t="str">
        <f t="shared" si="158"/>
        <v>63501-0861</v>
      </c>
      <c r="D2551" s="64" t="s">
        <v>3162</v>
      </c>
      <c r="E2551" s="64" t="s">
        <v>3159</v>
      </c>
      <c r="F2551" s="64" t="s">
        <v>15</v>
      </c>
      <c r="G2551" s="64" t="s">
        <v>3160</v>
      </c>
      <c r="H2551" s="64" t="s">
        <v>3022</v>
      </c>
      <c r="I2551" s="64" t="s">
        <v>3161</v>
      </c>
      <c r="J2551" s="67">
        <v>73.53</v>
      </c>
      <c r="K2551" s="62">
        <v>845.61</v>
      </c>
      <c r="L2551" s="33" t="e">
        <f>HLOOKUP(B2551,#REF!,1,0)</f>
        <v>#REF!</v>
      </c>
      <c r="M2551" s="33" t="str">
        <f t="shared" si="159"/>
        <v>P&amp;L</v>
      </c>
    </row>
    <row r="2552" spans="1:13" s="33" customFormat="true" ht="12.75" customHeight="true">
      <c r="A2552" s="33" t="str">
        <f t="shared" si="156"/>
        <v>2SH - Operating Expense</v>
      </c>
      <c r="B2552" s="33" t="str">
        <f t="shared" si="157"/>
        <v>2SH</v>
      </c>
      <c r="C2552" s="33" t="str">
        <f t="shared" si="158"/>
        <v>63501-0862</v>
      </c>
      <c r="D2552" s="64" t="s">
        <v>3163</v>
      </c>
      <c r="E2552" s="64" t="s">
        <v>3159</v>
      </c>
      <c r="F2552" s="64" t="s">
        <v>15</v>
      </c>
      <c r="G2552" s="64" t="s">
        <v>3160</v>
      </c>
      <c r="H2552" s="64" t="s">
        <v>3022</v>
      </c>
      <c r="I2552" s="64" t="s">
        <v>3161</v>
      </c>
      <c r="J2552" s="67">
        <v>132.38</v>
      </c>
      <c r="K2552" s="62">
        <v>1344.09</v>
      </c>
      <c r="L2552" s="33" t="e">
        <f>HLOOKUP(B2552,#REF!,1,0)</f>
        <v>#REF!</v>
      </c>
      <c r="M2552" s="33" t="str">
        <f t="shared" si="159"/>
        <v>P&amp;L</v>
      </c>
    </row>
    <row r="2553" spans="1:13" s="33" customFormat="true" ht="12.75" customHeight="true">
      <c r="A2553" s="33" t="str">
        <f t="shared" si="156"/>
        <v>2SH - Operating Expense</v>
      </c>
      <c r="B2553" s="33" t="str">
        <f t="shared" si="157"/>
        <v>2SH</v>
      </c>
      <c r="C2553" s="33" t="str">
        <f t="shared" si="158"/>
        <v>63501-0864</v>
      </c>
      <c r="D2553" s="64" t="s">
        <v>3164</v>
      </c>
      <c r="E2553" s="64" t="s">
        <v>3159</v>
      </c>
      <c r="F2553" s="64" t="s">
        <v>15</v>
      </c>
      <c r="G2553" s="64" t="s">
        <v>3160</v>
      </c>
      <c r="H2553" s="64" t="s">
        <v>3022</v>
      </c>
      <c r="I2553" s="64" t="s">
        <v>3161</v>
      </c>
      <c r="J2553" s="67">
        <v>149.38</v>
      </c>
      <c r="K2553" s="62">
        <v>1514.08</v>
      </c>
      <c r="L2553" s="33" t="e">
        <f>HLOOKUP(B2553,#REF!,1,0)</f>
        <v>#REF!</v>
      </c>
      <c r="M2553" s="33" t="str">
        <f t="shared" si="159"/>
        <v>P&amp;L</v>
      </c>
    </row>
    <row r="2554" spans="1:13" s="33" customFormat="true" ht="12.75" customHeight="true">
      <c r="A2554" s="33" t="str">
        <f t="shared" si="156"/>
        <v>2SH - Operating Expense</v>
      </c>
      <c r="B2554" s="33" t="str">
        <f t="shared" si="157"/>
        <v>2SH</v>
      </c>
      <c r="C2554" s="33" t="str">
        <f t="shared" si="158"/>
        <v>63501-0866</v>
      </c>
      <c r="D2554" s="64" t="s">
        <v>3165</v>
      </c>
      <c r="E2554" s="64" t="s">
        <v>3159</v>
      </c>
      <c r="F2554" s="64" t="s">
        <v>15</v>
      </c>
      <c r="G2554" s="64" t="s">
        <v>3160</v>
      </c>
      <c r="H2554" s="64" t="s">
        <v>3022</v>
      </c>
      <c r="I2554" s="64" t="s">
        <v>3161</v>
      </c>
      <c r="J2554" s="67">
        <v>132.39</v>
      </c>
      <c r="K2554" s="62">
        <v>1285.23</v>
      </c>
      <c r="L2554" s="33" t="e">
        <f>HLOOKUP(B2554,#REF!,1,0)</f>
        <v>#REF!</v>
      </c>
      <c r="M2554" s="33" t="str">
        <f t="shared" si="159"/>
        <v>P&amp;L</v>
      </c>
    </row>
    <row r="2555" spans="1:13" s="33" customFormat="true" ht="12.75" customHeight="true">
      <c r="A2555" s="33" t="str">
        <f t="shared" si="156"/>
        <v>2SH - Operating Expense</v>
      </c>
      <c r="B2555" s="33" t="str">
        <f t="shared" si="157"/>
        <v>2SH</v>
      </c>
      <c r="C2555" s="33" t="str">
        <f t="shared" si="158"/>
        <v>63502-0000</v>
      </c>
      <c r="D2555" s="64" t="s">
        <v>3166</v>
      </c>
      <c r="E2555" s="64" t="s">
        <v>3167</v>
      </c>
      <c r="F2555" s="64" t="s">
        <v>15</v>
      </c>
      <c r="G2555" s="64" t="s">
        <v>3160</v>
      </c>
      <c r="H2555" s="64" t="s">
        <v>3022</v>
      </c>
      <c r="I2555" s="64" t="s">
        <v>3168</v>
      </c>
      <c r="J2555" s="67">
        <v>0</v>
      </c>
      <c r="K2555" s="62">
        <v>0</v>
      </c>
      <c r="L2555" s="33" t="e">
        <f>HLOOKUP(B2555,#REF!,1,0)</f>
        <v>#REF!</v>
      </c>
      <c r="M2555" s="33" t="str">
        <f t="shared" si="159"/>
        <v>P&amp;L</v>
      </c>
    </row>
    <row r="2556" spans="1:13" s="33" customFormat="true" ht="12.75" customHeight="true">
      <c r="A2556" s="33" t="str">
        <f t="shared" si="156"/>
        <v>2SH - Operating Expense</v>
      </c>
      <c r="B2556" s="33" t="str">
        <f t="shared" si="157"/>
        <v>2SH</v>
      </c>
      <c r="C2556" s="33" t="str">
        <f t="shared" si="158"/>
        <v>63502-0861</v>
      </c>
      <c r="D2556" s="64" t="s">
        <v>3169</v>
      </c>
      <c r="E2556" s="64" t="s">
        <v>3167</v>
      </c>
      <c r="F2556" s="64" t="s">
        <v>15</v>
      </c>
      <c r="G2556" s="64" t="s">
        <v>3160</v>
      </c>
      <c r="H2556" s="64" t="s">
        <v>3022</v>
      </c>
      <c r="I2556" s="64" t="s">
        <v>3168</v>
      </c>
      <c r="J2556" s="67">
        <v>0</v>
      </c>
      <c r="K2556" s="62">
        <v>1526.85</v>
      </c>
      <c r="L2556" s="33" t="e">
        <f>HLOOKUP(B2556,#REF!,1,0)</f>
        <v>#REF!</v>
      </c>
      <c r="M2556" s="33" t="str">
        <f t="shared" si="159"/>
        <v>P&amp;L</v>
      </c>
    </row>
    <row r="2557" spans="1:13" s="33" customFormat="true" ht="12.75" customHeight="true">
      <c r="A2557" s="33" t="str">
        <f t="shared" si="156"/>
        <v>2SH - Operating Expense</v>
      </c>
      <c r="B2557" s="33" t="str">
        <f t="shared" si="157"/>
        <v>2SH</v>
      </c>
      <c r="C2557" s="33" t="str">
        <f t="shared" si="158"/>
        <v>63502-0862</v>
      </c>
      <c r="D2557" s="64" t="s">
        <v>3170</v>
      </c>
      <c r="E2557" s="64" t="s">
        <v>3167</v>
      </c>
      <c r="F2557" s="64" t="s">
        <v>15</v>
      </c>
      <c r="G2557" s="64" t="s">
        <v>3160</v>
      </c>
      <c r="H2557" s="64" t="s">
        <v>3022</v>
      </c>
      <c r="I2557" s="64" t="s">
        <v>3168</v>
      </c>
      <c r="J2557" s="67">
        <v>0</v>
      </c>
      <c r="K2557" s="62">
        <v>20458.16</v>
      </c>
      <c r="L2557" s="33" t="e">
        <f>HLOOKUP(B2557,#REF!,1,0)</f>
        <v>#REF!</v>
      </c>
      <c r="M2557" s="33" t="str">
        <f t="shared" si="159"/>
        <v>P&amp;L</v>
      </c>
    </row>
    <row r="2558" spans="1:13" s="33" customFormat="true" ht="12.75" customHeight="true">
      <c r="A2558" s="33" t="str">
        <f t="shared" si="156"/>
        <v>2SH - Operating Expense</v>
      </c>
      <c r="B2558" s="33" t="str">
        <f t="shared" si="157"/>
        <v>2SH</v>
      </c>
      <c r="C2558" s="33" t="str">
        <f t="shared" si="158"/>
        <v>63502-0864</v>
      </c>
      <c r="D2558" s="64" t="s">
        <v>3171</v>
      </c>
      <c r="E2558" s="64" t="s">
        <v>3167</v>
      </c>
      <c r="F2558" s="64" t="s">
        <v>15</v>
      </c>
      <c r="G2558" s="64" t="s">
        <v>3160</v>
      </c>
      <c r="H2558" s="64" t="s">
        <v>3022</v>
      </c>
      <c r="I2558" s="64" t="s">
        <v>3168</v>
      </c>
      <c r="J2558" s="67">
        <v>0</v>
      </c>
      <c r="K2558" s="62">
        <v>16633.91</v>
      </c>
      <c r="L2558" s="33" t="e">
        <f>HLOOKUP(B2558,#REF!,1,0)</f>
        <v>#REF!</v>
      </c>
      <c r="M2558" s="33" t="str">
        <f t="shared" si="159"/>
        <v>P&amp;L</v>
      </c>
    </row>
    <row r="2559" spans="1:13" s="33" customFormat="true" ht="12.75" customHeight="true">
      <c r="A2559" s="33" t="str">
        <f t="shared" si="156"/>
        <v>2SH - Operating Expense</v>
      </c>
      <c r="B2559" s="33" t="str">
        <f t="shared" si="157"/>
        <v>2SH</v>
      </c>
      <c r="C2559" s="33" t="str">
        <f t="shared" si="158"/>
        <v>63502-0866</v>
      </c>
      <c r="D2559" s="64" t="s">
        <v>3172</v>
      </c>
      <c r="E2559" s="64" t="s">
        <v>3167</v>
      </c>
      <c r="F2559" s="64" t="s">
        <v>15</v>
      </c>
      <c r="G2559" s="64" t="s">
        <v>3160</v>
      </c>
      <c r="H2559" s="64" t="s">
        <v>3022</v>
      </c>
      <c r="I2559" s="64" t="s">
        <v>3168</v>
      </c>
      <c r="J2559" s="67">
        <v>0</v>
      </c>
      <c r="K2559" s="62">
        <v>18475.2</v>
      </c>
      <c r="L2559" s="33" t="e">
        <f>HLOOKUP(B2559,#REF!,1,0)</f>
        <v>#REF!</v>
      </c>
      <c r="M2559" s="33" t="str">
        <f t="shared" si="159"/>
        <v>P&amp;L</v>
      </c>
    </row>
    <row r="2560" spans="1:13" s="33" customFormat="true" ht="12.75" customHeight="true">
      <c r="A2560" s="33" t="str">
        <f t="shared" si="156"/>
        <v>2SH - Operating Expense</v>
      </c>
      <c r="B2560" s="33" t="str">
        <f t="shared" si="157"/>
        <v>2SH</v>
      </c>
      <c r="C2560" s="33" t="str">
        <f t="shared" si="158"/>
        <v>63503-0000</v>
      </c>
      <c r="D2560" s="64" t="s">
        <v>3173</v>
      </c>
      <c r="E2560" s="64" t="s">
        <v>3174</v>
      </c>
      <c r="F2560" s="64" t="s">
        <v>15</v>
      </c>
      <c r="G2560" s="64" t="s">
        <v>3160</v>
      </c>
      <c r="H2560" s="64" t="s">
        <v>3022</v>
      </c>
      <c r="I2560" s="64" t="s">
        <v>3175</v>
      </c>
      <c r="J2560" s="67">
        <v>0</v>
      </c>
      <c r="K2560" s="62">
        <v>0</v>
      </c>
      <c r="L2560" s="33" t="e">
        <f>HLOOKUP(B2560,#REF!,1,0)</f>
        <v>#REF!</v>
      </c>
      <c r="M2560" s="33" t="str">
        <f t="shared" si="159"/>
        <v>P&amp;L</v>
      </c>
    </row>
    <row r="2561" spans="1:13" s="33" customFormat="true" ht="12.75" customHeight="true">
      <c r="A2561" s="33" t="str">
        <f t="shared" si="156"/>
        <v>2SH - Operating Expense</v>
      </c>
      <c r="B2561" s="33" t="str">
        <f t="shared" si="157"/>
        <v>2SH</v>
      </c>
      <c r="C2561" s="33" t="str">
        <f t="shared" si="158"/>
        <v>63503-0861</v>
      </c>
      <c r="D2561" s="64" t="s">
        <v>3176</v>
      </c>
      <c r="E2561" s="64" t="s">
        <v>3174</v>
      </c>
      <c r="F2561" s="64" t="s">
        <v>15</v>
      </c>
      <c r="G2561" s="64" t="s">
        <v>3160</v>
      </c>
      <c r="H2561" s="64" t="s">
        <v>3022</v>
      </c>
      <c r="I2561" s="64" t="s">
        <v>3175</v>
      </c>
      <c r="J2561" s="67">
        <v>683.17</v>
      </c>
      <c r="K2561" s="62">
        <v>9312.89</v>
      </c>
      <c r="L2561" s="33" t="e">
        <f>HLOOKUP(B2561,#REF!,1,0)</f>
        <v>#REF!</v>
      </c>
      <c r="M2561" s="33" t="str">
        <f t="shared" si="159"/>
        <v>P&amp;L</v>
      </c>
    </row>
    <row r="2562" spans="1:13" s="33" customFormat="true" ht="12.75" customHeight="true">
      <c r="A2562" s="33" t="str">
        <f t="shared" ref="A2562:A2625" si="160">B2562&amp;" - "&amp;TRIM(H2562)</f>
        <v>2SH - Operating Expense</v>
      </c>
      <c r="B2562" s="33" t="str">
        <f t="shared" ref="B2562:B2625" si="161">LEFT(D2562,3)</f>
        <v>2SH</v>
      </c>
      <c r="C2562" s="33" t="str">
        <f t="shared" ref="C2562:C2625" si="162">RIGHT(D2562,10)</f>
        <v>63503-0862</v>
      </c>
      <c r="D2562" s="64" t="s">
        <v>3177</v>
      </c>
      <c r="E2562" s="64" t="s">
        <v>3174</v>
      </c>
      <c r="F2562" s="64" t="s">
        <v>15</v>
      </c>
      <c r="G2562" s="64" t="s">
        <v>3160</v>
      </c>
      <c r="H2562" s="64" t="s">
        <v>3022</v>
      </c>
      <c r="I2562" s="64" t="s">
        <v>3175</v>
      </c>
      <c r="J2562" s="67">
        <v>675.41</v>
      </c>
      <c r="K2562" s="62">
        <v>12502.6</v>
      </c>
      <c r="L2562" s="33" t="e">
        <f>HLOOKUP(B2562,#REF!,1,0)</f>
        <v>#REF!</v>
      </c>
      <c r="M2562" s="33" t="str">
        <f t="shared" ref="M2562:M2625" si="163">IF(VALUE(LEFT(C2562,5))&gt;40000,"P&amp;L","BS")</f>
        <v>P&amp;L</v>
      </c>
    </row>
    <row r="2563" spans="1:13" s="33" customFormat="true" ht="12.75" customHeight="true">
      <c r="A2563" s="33" t="str">
        <f t="shared" si="160"/>
        <v>2SH - Operating Expense</v>
      </c>
      <c r="B2563" s="33" t="str">
        <f t="shared" si="161"/>
        <v>2SH</v>
      </c>
      <c r="C2563" s="33" t="str">
        <f t="shared" si="162"/>
        <v>63503-0864</v>
      </c>
      <c r="D2563" s="64" t="s">
        <v>3178</v>
      </c>
      <c r="E2563" s="64" t="s">
        <v>3174</v>
      </c>
      <c r="F2563" s="64" t="s">
        <v>15</v>
      </c>
      <c r="G2563" s="64" t="s">
        <v>3160</v>
      </c>
      <c r="H2563" s="64" t="s">
        <v>3022</v>
      </c>
      <c r="I2563" s="64" t="s">
        <v>3175</v>
      </c>
      <c r="J2563" s="67">
        <v>557.44</v>
      </c>
      <c r="K2563" s="62">
        <v>10130.94</v>
      </c>
      <c r="L2563" s="33" t="e">
        <f>HLOOKUP(B2563,#REF!,1,0)</f>
        <v>#REF!</v>
      </c>
      <c r="M2563" s="33" t="str">
        <f t="shared" si="163"/>
        <v>P&amp;L</v>
      </c>
    </row>
    <row r="2564" spans="1:13" s="33" customFormat="true" ht="12.75" customHeight="true">
      <c r="A2564" s="33" t="str">
        <f t="shared" si="160"/>
        <v>2SH - Operating Expense</v>
      </c>
      <c r="B2564" s="33" t="str">
        <f t="shared" si="161"/>
        <v>2SH</v>
      </c>
      <c r="C2564" s="33" t="str">
        <f t="shared" si="162"/>
        <v>63503-0866</v>
      </c>
      <c r="D2564" s="64" t="s">
        <v>3179</v>
      </c>
      <c r="E2564" s="64" t="s">
        <v>3174</v>
      </c>
      <c r="F2564" s="64" t="s">
        <v>15</v>
      </c>
      <c r="G2564" s="64" t="s">
        <v>3160</v>
      </c>
      <c r="H2564" s="64" t="s">
        <v>3022</v>
      </c>
      <c r="I2564" s="64" t="s">
        <v>3175</v>
      </c>
      <c r="J2564" s="67">
        <v>514.59</v>
      </c>
      <c r="K2564" s="62">
        <v>7883.78</v>
      </c>
      <c r="L2564" s="33" t="e">
        <f>HLOOKUP(B2564,#REF!,1,0)</f>
        <v>#REF!</v>
      </c>
      <c r="M2564" s="33" t="str">
        <f t="shared" si="163"/>
        <v>P&amp;L</v>
      </c>
    </row>
    <row r="2565" spans="1:13" s="33" customFormat="true" ht="12.75" customHeight="true">
      <c r="A2565" s="33" t="str">
        <f t="shared" si="160"/>
        <v>2SH - Operating Expense</v>
      </c>
      <c r="B2565" s="33" t="str">
        <f t="shared" si="161"/>
        <v>2SH</v>
      </c>
      <c r="C2565" s="33" t="str">
        <f t="shared" si="162"/>
        <v>63504-0000</v>
      </c>
      <c r="D2565" s="64" t="s">
        <v>3180</v>
      </c>
      <c r="E2565" s="64" t="s">
        <v>3181</v>
      </c>
      <c r="F2565" s="64" t="s">
        <v>15</v>
      </c>
      <c r="G2565" s="64" t="s">
        <v>3160</v>
      </c>
      <c r="H2565" s="64" t="s">
        <v>3022</v>
      </c>
      <c r="I2565" s="64" t="s">
        <v>3182</v>
      </c>
      <c r="J2565" s="67">
        <v>0</v>
      </c>
      <c r="K2565" s="62">
        <v>794.02</v>
      </c>
      <c r="L2565" s="33" t="e">
        <f>HLOOKUP(B2565,#REF!,1,0)</f>
        <v>#REF!</v>
      </c>
      <c r="M2565" s="33" t="str">
        <f t="shared" si="163"/>
        <v>P&amp;L</v>
      </c>
    </row>
    <row r="2566" spans="1:13" s="33" customFormat="true" ht="12.75" customHeight="true">
      <c r="A2566" s="33" t="str">
        <f t="shared" si="160"/>
        <v>2SH - Operating Expense</v>
      </c>
      <c r="B2566" s="33" t="str">
        <f t="shared" si="161"/>
        <v>2SH</v>
      </c>
      <c r="C2566" s="33" t="str">
        <f t="shared" si="162"/>
        <v>63504-0861</v>
      </c>
      <c r="D2566" s="64" t="s">
        <v>3183</v>
      </c>
      <c r="E2566" s="64" t="s">
        <v>3181</v>
      </c>
      <c r="F2566" s="64" t="s">
        <v>15</v>
      </c>
      <c r="G2566" s="64" t="s">
        <v>3160</v>
      </c>
      <c r="H2566" s="64" t="s">
        <v>3022</v>
      </c>
      <c r="I2566" s="64" t="s">
        <v>3182</v>
      </c>
      <c r="J2566" s="67">
        <v>548.59</v>
      </c>
      <c r="K2566" s="62">
        <v>5716.48</v>
      </c>
      <c r="L2566" s="33" t="e">
        <f>HLOOKUP(B2566,#REF!,1,0)</f>
        <v>#REF!</v>
      </c>
      <c r="M2566" s="33" t="str">
        <f t="shared" si="163"/>
        <v>P&amp;L</v>
      </c>
    </row>
    <row r="2567" spans="1:13" s="33" customFormat="true" ht="12.75" customHeight="true">
      <c r="A2567" s="33" t="str">
        <f t="shared" si="160"/>
        <v>2SH - Operating Expense</v>
      </c>
      <c r="B2567" s="33" t="str">
        <f t="shared" si="161"/>
        <v>2SH</v>
      </c>
      <c r="C2567" s="33" t="str">
        <f t="shared" si="162"/>
        <v>63504-0862</v>
      </c>
      <c r="D2567" s="64" t="s">
        <v>3184</v>
      </c>
      <c r="E2567" s="64" t="s">
        <v>3181</v>
      </c>
      <c r="F2567" s="64" t="s">
        <v>15</v>
      </c>
      <c r="G2567" s="64" t="s">
        <v>3160</v>
      </c>
      <c r="H2567" s="64" t="s">
        <v>3022</v>
      </c>
      <c r="I2567" s="64" t="s">
        <v>3182</v>
      </c>
      <c r="J2567" s="67">
        <v>794.02</v>
      </c>
      <c r="K2567" s="62">
        <v>6519.53</v>
      </c>
      <c r="L2567" s="33" t="e">
        <f>HLOOKUP(B2567,#REF!,1,0)</f>
        <v>#REF!</v>
      </c>
      <c r="M2567" s="33" t="str">
        <f t="shared" si="163"/>
        <v>P&amp;L</v>
      </c>
    </row>
    <row r="2568" spans="1:13" s="33" customFormat="true" ht="12.75" customHeight="true">
      <c r="A2568" s="33" t="str">
        <f t="shared" si="160"/>
        <v>2SH - Operating Expense</v>
      </c>
      <c r="B2568" s="33" t="str">
        <f t="shared" si="161"/>
        <v>2SH</v>
      </c>
      <c r="C2568" s="33" t="str">
        <f t="shared" si="162"/>
        <v>63504-0864</v>
      </c>
      <c r="D2568" s="64" t="s">
        <v>3185</v>
      </c>
      <c r="E2568" s="64" t="s">
        <v>3181</v>
      </c>
      <c r="F2568" s="64" t="s">
        <v>15</v>
      </c>
      <c r="G2568" s="64" t="s">
        <v>3160</v>
      </c>
      <c r="H2568" s="64" t="s">
        <v>3022</v>
      </c>
      <c r="I2568" s="64" t="s">
        <v>3182</v>
      </c>
      <c r="J2568" s="67">
        <v>1469.68</v>
      </c>
      <c r="K2568" s="62">
        <v>7052.45</v>
      </c>
      <c r="L2568" s="33" t="e">
        <f>HLOOKUP(B2568,#REF!,1,0)</f>
        <v>#REF!</v>
      </c>
      <c r="M2568" s="33" t="str">
        <f t="shared" si="163"/>
        <v>P&amp;L</v>
      </c>
    </row>
    <row r="2569" spans="1:13" s="33" customFormat="true" ht="12.75" customHeight="true">
      <c r="A2569" s="33" t="str">
        <f t="shared" si="160"/>
        <v>2SH - Operating Expense</v>
      </c>
      <c r="B2569" s="33" t="str">
        <f t="shared" si="161"/>
        <v>2SH</v>
      </c>
      <c r="C2569" s="33" t="str">
        <f t="shared" si="162"/>
        <v>63504-0866</v>
      </c>
      <c r="D2569" s="64" t="s">
        <v>3186</v>
      </c>
      <c r="E2569" s="64" t="s">
        <v>3181</v>
      </c>
      <c r="F2569" s="64" t="s">
        <v>15</v>
      </c>
      <c r="G2569" s="64" t="s">
        <v>3160</v>
      </c>
      <c r="H2569" s="64" t="s">
        <v>3022</v>
      </c>
      <c r="I2569" s="64" t="s">
        <v>3182</v>
      </c>
      <c r="J2569" s="67">
        <v>556.19</v>
      </c>
      <c r="K2569" s="62">
        <v>5677.02</v>
      </c>
      <c r="L2569" s="33" t="e">
        <f>HLOOKUP(B2569,#REF!,1,0)</f>
        <v>#REF!</v>
      </c>
      <c r="M2569" s="33" t="str">
        <f t="shared" si="163"/>
        <v>P&amp;L</v>
      </c>
    </row>
    <row r="2570" spans="1:13" s="33" customFormat="true" ht="12.75" customHeight="true">
      <c r="A2570" s="33" t="str">
        <f t="shared" si="160"/>
        <v>2SH - Operating Expense</v>
      </c>
      <c r="B2570" s="33" t="str">
        <f t="shared" si="161"/>
        <v>2SH</v>
      </c>
      <c r="C2570" s="33" t="str">
        <f t="shared" si="162"/>
        <v>64501-0861</v>
      </c>
      <c r="D2570" s="64" t="s">
        <v>3187</v>
      </c>
      <c r="E2570" s="64" t="s">
        <v>3188</v>
      </c>
      <c r="F2570" s="64" t="s">
        <v>15</v>
      </c>
      <c r="G2570" s="64" t="s">
        <v>3044</v>
      </c>
      <c r="H2570" s="64" t="s">
        <v>3022</v>
      </c>
      <c r="I2570" s="64" t="s">
        <v>3189</v>
      </c>
      <c r="J2570" s="67">
        <v>1429.5</v>
      </c>
      <c r="K2570" s="62">
        <v>13003.4</v>
      </c>
      <c r="L2570" s="33" t="e">
        <f>HLOOKUP(B2570,#REF!,1,0)</f>
        <v>#REF!</v>
      </c>
      <c r="M2570" s="33" t="str">
        <f t="shared" si="163"/>
        <v>P&amp;L</v>
      </c>
    </row>
    <row r="2571" spans="1:13" s="33" customFormat="true" ht="12.75" customHeight="true">
      <c r="A2571" s="33" t="str">
        <f t="shared" si="160"/>
        <v>2SH - Operating Expense</v>
      </c>
      <c r="B2571" s="33" t="str">
        <f t="shared" si="161"/>
        <v>2SH</v>
      </c>
      <c r="C2571" s="33" t="str">
        <f t="shared" si="162"/>
        <v>64501-0862</v>
      </c>
      <c r="D2571" s="64" t="s">
        <v>3190</v>
      </c>
      <c r="E2571" s="64" t="s">
        <v>3188</v>
      </c>
      <c r="F2571" s="64" t="s">
        <v>15</v>
      </c>
      <c r="G2571" s="64" t="s">
        <v>3044</v>
      </c>
      <c r="H2571" s="64" t="s">
        <v>3022</v>
      </c>
      <c r="I2571" s="64" t="s">
        <v>3189</v>
      </c>
      <c r="J2571" s="67">
        <v>2359.13</v>
      </c>
      <c r="K2571" s="62">
        <v>21476.38</v>
      </c>
      <c r="L2571" s="33" t="e">
        <f>HLOOKUP(B2571,#REF!,1,0)</f>
        <v>#REF!</v>
      </c>
      <c r="M2571" s="33" t="str">
        <f t="shared" si="163"/>
        <v>P&amp;L</v>
      </c>
    </row>
    <row r="2572" spans="1:13" s="33" customFormat="true" ht="12.75" customHeight="true">
      <c r="A2572" s="33" t="str">
        <f t="shared" si="160"/>
        <v>2SH - Operating Expense</v>
      </c>
      <c r="B2572" s="33" t="str">
        <f t="shared" si="161"/>
        <v>2SH</v>
      </c>
      <c r="C2572" s="33" t="str">
        <f t="shared" si="162"/>
        <v>64501-0864</v>
      </c>
      <c r="D2572" s="64" t="s">
        <v>3191</v>
      </c>
      <c r="E2572" s="64" t="s">
        <v>3188</v>
      </c>
      <c r="F2572" s="64" t="s">
        <v>15</v>
      </c>
      <c r="G2572" s="64" t="s">
        <v>3044</v>
      </c>
      <c r="H2572" s="64" t="s">
        <v>3022</v>
      </c>
      <c r="I2572" s="64" t="s">
        <v>3189</v>
      </c>
      <c r="J2572" s="67">
        <v>1569.75</v>
      </c>
      <c r="K2572" s="62">
        <v>14638.64</v>
      </c>
      <c r="L2572" s="33" t="e">
        <f>HLOOKUP(B2572,#REF!,1,0)</f>
        <v>#REF!</v>
      </c>
      <c r="M2572" s="33" t="str">
        <f t="shared" si="163"/>
        <v>P&amp;L</v>
      </c>
    </row>
    <row r="2573" spans="1:13" s="33" customFormat="true" ht="12.75" customHeight="true">
      <c r="A2573" s="33" t="str">
        <f t="shared" si="160"/>
        <v>2SH - Operating Expense</v>
      </c>
      <c r="B2573" s="33" t="str">
        <f t="shared" si="161"/>
        <v>2SH</v>
      </c>
      <c r="C2573" s="33" t="str">
        <f t="shared" si="162"/>
        <v>64501-0866</v>
      </c>
      <c r="D2573" s="64" t="s">
        <v>3192</v>
      </c>
      <c r="E2573" s="64" t="s">
        <v>3188</v>
      </c>
      <c r="F2573" s="64" t="s">
        <v>15</v>
      </c>
      <c r="G2573" s="64" t="s">
        <v>3044</v>
      </c>
      <c r="H2573" s="64" t="s">
        <v>3022</v>
      </c>
      <c r="I2573" s="64" t="s">
        <v>3189</v>
      </c>
      <c r="J2573" s="67">
        <v>1650.88</v>
      </c>
      <c r="K2573" s="62">
        <v>15501.39</v>
      </c>
      <c r="L2573" s="33" t="e">
        <f>HLOOKUP(B2573,#REF!,1,0)</f>
        <v>#REF!</v>
      </c>
      <c r="M2573" s="33" t="str">
        <f t="shared" si="163"/>
        <v>P&amp;L</v>
      </c>
    </row>
    <row r="2574" spans="1:13" s="33" customFormat="true" ht="12.75" customHeight="true">
      <c r="A2574" s="33" t="str">
        <f t="shared" si="160"/>
        <v>2SH - Operating Expense</v>
      </c>
      <c r="B2574" s="33" t="str">
        <f t="shared" si="161"/>
        <v>2SH</v>
      </c>
      <c r="C2574" s="33" t="str">
        <f t="shared" si="162"/>
        <v>64501-7124</v>
      </c>
      <c r="D2574" s="64" t="s">
        <v>3193</v>
      </c>
      <c r="E2574" s="64" t="s">
        <v>3188</v>
      </c>
      <c r="F2574" s="64" t="s">
        <v>15</v>
      </c>
      <c r="G2574" s="64" t="s">
        <v>3044</v>
      </c>
      <c r="H2574" s="64" t="s">
        <v>3022</v>
      </c>
      <c r="I2574" s="64" t="s">
        <v>3189</v>
      </c>
      <c r="J2574" s="67">
        <v>0</v>
      </c>
      <c r="K2574" s="62">
        <v>0</v>
      </c>
      <c r="L2574" s="33" t="e">
        <f>HLOOKUP(B2574,#REF!,1,0)</f>
        <v>#REF!</v>
      </c>
      <c r="M2574" s="33" t="str">
        <f t="shared" si="163"/>
        <v>P&amp;L</v>
      </c>
    </row>
    <row r="2575" spans="1:13" s="33" customFormat="true" ht="12.75" customHeight="true">
      <c r="A2575" s="33" t="str">
        <f t="shared" si="160"/>
        <v>2SH - Operating Expense</v>
      </c>
      <c r="B2575" s="33" t="str">
        <f t="shared" si="161"/>
        <v>2SH</v>
      </c>
      <c r="C2575" s="33" t="str">
        <f t="shared" si="162"/>
        <v>64502-0000</v>
      </c>
      <c r="D2575" s="64" t="s">
        <v>3194</v>
      </c>
      <c r="E2575" s="64" t="s">
        <v>3195</v>
      </c>
      <c r="F2575" s="64" t="s">
        <v>15</v>
      </c>
      <c r="G2575" s="64" t="s">
        <v>3044</v>
      </c>
      <c r="H2575" s="64" t="s">
        <v>3022</v>
      </c>
      <c r="I2575" s="64" t="s">
        <v>3196</v>
      </c>
      <c r="J2575" s="67">
        <v>0</v>
      </c>
      <c r="K2575" s="62">
        <v>2256.76</v>
      </c>
      <c r="L2575" s="33" t="e">
        <f>HLOOKUP(B2575,#REF!,1,0)</f>
        <v>#REF!</v>
      </c>
      <c r="M2575" s="33" t="str">
        <f t="shared" si="163"/>
        <v>P&amp;L</v>
      </c>
    </row>
    <row r="2576" spans="1:13" s="33" customFormat="true" ht="12.75" customHeight="true">
      <c r="A2576" s="33" t="str">
        <f t="shared" si="160"/>
        <v>2SH - Operating Expense</v>
      </c>
      <c r="B2576" s="33" t="str">
        <f t="shared" si="161"/>
        <v>2SH</v>
      </c>
      <c r="C2576" s="33" t="str">
        <f t="shared" si="162"/>
        <v>64502-0861</v>
      </c>
      <c r="D2576" s="64" t="s">
        <v>3197</v>
      </c>
      <c r="E2576" s="64" t="s">
        <v>3195</v>
      </c>
      <c r="F2576" s="64" t="s">
        <v>15</v>
      </c>
      <c r="G2576" s="64" t="s">
        <v>3044</v>
      </c>
      <c r="H2576" s="64" t="s">
        <v>3022</v>
      </c>
      <c r="I2576" s="64" t="s">
        <v>3196</v>
      </c>
      <c r="J2576" s="67">
        <v>174.93</v>
      </c>
      <c r="K2576" s="62">
        <v>2176.34</v>
      </c>
      <c r="L2576" s="33" t="e">
        <f>HLOOKUP(B2576,#REF!,1,0)</f>
        <v>#REF!</v>
      </c>
      <c r="M2576" s="33" t="str">
        <f t="shared" si="163"/>
        <v>P&amp;L</v>
      </c>
    </row>
    <row r="2577" spans="1:13" s="33" customFormat="true" ht="12.75" customHeight="true">
      <c r="A2577" s="33" t="str">
        <f t="shared" si="160"/>
        <v>2SH - Operating Expense</v>
      </c>
      <c r="B2577" s="33" t="str">
        <f t="shared" si="161"/>
        <v>2SH</v>
      </c>
      <c r="C2577" s="33" t="str">
        <f t="shared" si="162"/>
        <v>64502-0862</v>
      </c>
      <c r="D2577" s="64" t="s">
        <v>3198</v>
      </c>
      <c r="E2577" s="64" t="s">
        <v>3195</v>
      </c>
      <c r="F2577" s="64" t="s">
        <v>15</v>
      </c>
      <c r="G2577" s="64" t="s">
        <v>3044</v>
      </c>
      <c r="H2577" s="64" t="s">
        <v>3022</v>
      </c>
      <c r="I2577" s="64" t="s">
        <v>3196</v>
      </c>
      <c r="J2577" s="67">
        <v>174.93</v>
      </c>
      <c r="K2577" s="62">
        <v>2176.34</v>
      </c>
      <c r="L2577" s="33" t="e">
        <f>HLOOKUP(B2577,#REF!,1,0)</f>
        <v>#REF!</v>
      </c>
      <c r="M2577" s="33" t="str">
        <f t="shared" si="163"/>
        <v>P&amp;L</v>
      </c>
    </row>
    <row r="2578" spans="1:13" s="33" customFormat="true" ht="12.75" customHeight="true">
      <c r="A2578" s="33" t="str">
        <f t="shared" si="160"/>
        <v>2SH - Operating Expense</v>
      </c>
      <c r="B2578" s="33" t="str">
        <f t="shared" si="161"/>
        <v>2SH</v>
      </c>
      <c r="C2578" s="33" t="str">
        <f t="shared" si="162"/>
        <v>64502-0864</v>
      </c>
      <c r="D2578" s="64" t="s">
        <v>3199</v>
      </c>
      <c r="E2578" s="64" t="s">
        <v>3195</v>
      </c>
      <c r="F2578" s="64" t="s">
        <v>15</v>
      </c>
      <c r="G2578" s="64" t="s">
        <v>3044</v>
      </c>
      <c r="H2578" s="64" t="s">
        <v>3022</v>
      </c>
      <c r="I2578" s="64" t="s">
        <v>3196</v>
      </c>
      <c r="J2578" s="67">
        <v>174.93</v>
      </c>
      <c r="K2578" s="62">
        <v>2176.34</v>
      </c>
      <c r="L2578" s="33" t="e">
        <f>HLOOKUP(B2578,#REF!,1,0)</f>
        <v>#REF!</v>
      </c>
      <c r="M2578" s="33" t="str">
        <f t="shared" si="163"/>
        <v>P&amp;L</v>
      </c>
    </row>
    <row r="2579" spans="1:13" s="33" customFormat="true" ht="12.75" customHeight="true">
      <c r="A2579" s="33" t="str">
        <f t="shared" si="160"/>
        <v>2SH - Operating Expense</v>
      </c>
      <c r="B2579" s="33" t="str">
        <f t="shared" si="161"/>
        <v>2SH</v>
      </c>
      <c r="C2579" s="33" t="str">
        <f t="shared" si="162"/>
        <v>64502-0866</v>
      </c>
      <c r="D2579" s="64" t="s">
        <v>3200</v>
      </c>
      <c r="E2579" s="64" t="s">
        <v>3195</v>
      </c>
      <c r="F2579" s="64" t="s">
        <v>15</v>
      </c>
      <c r="G2579" s="64" t="s">
        <v>3044</v>
      </c>
      <c r="H2579" s="64" t="s">
        <v>3022</v>
      </c>
      <c r="I2579" s="64" t="s">
        <v>3196</v>
      </c>
      <c r="J2579" s="67">
        <v>174.9</v>
      </c>
      <c r="K2579" s="62">
        <v>2176.24</v>
      </c>
      <c r="L2579" s="33" t="e">
        <f>HLOOKUP(B2579,#REF!,1,0)</f>
        <v>#REF!</v>
      </c>
      <c r="M2579" s="33" t="str">
        <f t="shared" si="163"/>
        <v>P&amp;L</v>
      </c>
    </row>
    <row r="2580" spans="1:13" s="33" customFormat="true" ht="12.75" customHeight="true">
      <c r="A2580" s="33" t="str">
        <f t="shared" si="160"/>
        <v>2SH - Operating Expense</v>
      </c>
      <c r="B2580" s="33" t="str">
        <f t="shared" si="161"/>
        <v>2SH</v>
      </c>
      <c r="C2580" s="33" t="str">
        <f t="shared" si="162"/>
        <v>64503-0861</v>
      </c>
      <c r="D2580" s="64" t="s">
        <v>3201</v>
      </c>
      <c r="E2580" s="64" t="s">
        <v>3202</v>
      </c>
      <c r="F2580" s="64" t="s">
        <v>15</v>
      </c>
      <c r="G2580" s="64" t="s">
        <v>3044</v>
      </c>
      <c r="H2580" s="64" t="s">
        <v>3022</v>
      </c>
      <c r="I2580" s="64" t="s">
        <v>3189</v>
      </c>
      <c r="J2580" s="67">
        <v>2048.89</v>
      </c>
      <c r="K2580" s="62">
        <v>15923.45</v>
      </c>
      <c r="L2580" s="33" t="e">
        <f>HLOOKUP(B2580,#REF!,1,0)</f>
        <v>#REF!</v>
      </c>
      <c r="M2580" s="33" t="str">
        <f t="shared" si="163"/>
        <v>P&amp;L</v>
      </c>
    </row>
    <row r="2581" spans="1:13" s="33" customFormat="true" ht="12.75" customHeight="true">
      <c r="A2581" s="33" t="str">
        <f t="shared" si="160"/>
        <v>2SH - Operating Expense</v>
      </c>
      <c r="B2581" s="33" t="str">
        <f t="shared" si="161"/>
        <v>2SH</v>
      </c>
      <c r="C2581" s="33" t="str">
        <f t="shared" si="162"/>
        <v>64503-0862</v>
      </c>
      <c r="D2581" s="64" t="s">
        <v>3203</v>
      </c>
      <c r="E2581" s="64" t="s">
        <v>3202</v>
      </c>
      <c r="F2581" s="64" t="s">
        <v>15</v>
      </c>
      <c r="G2581" s="64" t="s">
        <v>3044</v>
      </c>
      <c r="H2581" s="64" t="s">
        <v>3022</v>
      </c>
      <c r="I2581" s="64" t="s">
        <v>3189</v>
      </c>
      <c r="J2581" s="67">
        <v>4952.36</v>
      </c>
      <c r="K2581" s="62">
        <v>38094.36</v>
      </c>
      <c r="L2581" s="33" t="e">
        <f>HLOOKUP(B2581,#REF!,1,0)</f>
        <v>#REF!</v>
      </c>
      <c r="M2581" s="33" t="str">
        <f t="shared" si="163"/>
        <v>P&amp;L</v>
      </c>
    </row>
    <row r="2582" spans="1:13" s="33" customFormat="true" ht="12.75" customHeight="true">
      <c r="A2582" s="33" t="str">
        <f t="shared" si="160"/>
        <v>2SH - Operating Expense</v>
      </c>
      <c r="B2582" s="33" t="str">
        <f t="shared" si="161"/>
        <v>2SH</v>
      </c>
      <c r="C2582" s="33" t="str">
        <f t="shared" si="162"/>
        <v>64503-0864</v>
      </c>
      <c r="D2582" s="64" t="s">
        <v>3204</v>
      </c>
      <c r="E2582" s="64" t="s">
        <v>3202</v>
      </c>
      <c r="F2582" s="64" t="s">
        <v>15</v>
      </c>
      <c r="G2582" s="64" t="s">
        <v>3044</v>
      </c>
      <c r="H2582" s="64" t="s">
        <v>3022</v>
      </c>
      <c r="I2582" s="64" t="s">
        <v>3189</v>
      </c>
      <c r="J2582" s="67">
        <v>1787.96</v>
      </c>
      <c r="K2582" s="62">
        <v>15497.17</v>
      </c>
      <c r="L2582" s="33" t="e">
        <f>HLOOKUP(B2582,#REF!,1,0)</f>
        <v>#REF!</v>
      </c>
      <c r="M2582" s="33" t="str">
        <f t="shared" si="163"/>
        <v>P&amp;L</v>
      </c>
    </row>
    <row r="2583" spans="1:13" s="33" customFormat="true" ht="12.75" customHeight="true">
      <c r="A2583" s="33" t="str">
        <f t="shared" si="160"/>
        <v>2SH - Operating Expense</v>
      </c>
      <c r="B2583" s="33" t="str">
        <f t="shared" si="161"/>
        <v>2SH</v>
      </c>
      <c r="C2583" s="33" t="str">
        <f t="shared" si="162"/>
        <v>64503-0866</v>
      </c>
      <c r="D2583" s="64" t="s">
        <v>3205</v>
      </c>
      <c r="E2583" s="64" t="s">
        <v>3202</v>
      </c>
      <c r="F2583" s="64" t="s">
        <v>15</v>
      </c>
      <c r="G2583" s="64" t="s">
        <v>3044</v>
      </c>
      <c r="H2583" s="64" t="s">
        <v>3022</v>
      </c>
      <c r="I2583" s="64" t="s">
        <v>3189</v>
      </c>
      <c r="J2583" s="67">
        <v>2615.34</v>
      </c>
      <c r="K2583" s="62">
        <v>19658.17</v>
      </c>
      <c r="L2583" s="33" t="e">
        <f>HLOOKUP(B2583,#REF!,1,0)</f>
        <v>#REF!</v>
      </c>
      <c r="M2583" s="33" t="str">
        <f t="shared" si="163"/>
        <v>P&amp;L</v>
      </c>
    </row>
    <row r="2584" spans="1:13" s="33" customFormat="true" ht="12.75" customHeight="true">
      <c r="A2584" s="33" t="str">
        <f t="shared" si="160"/>
        <v>2SH - Operating Expense</v>
      </c>
      <c r="B2584" s="33" t="str">
        <f t="shared" si="161"/>
        <v>2SH</v>
      </c>
      <c r="C2584" s="33" t="str">
        <f t="shared" si="162"/>
        <v>65001-0864</v>
      </c>
      <c r="D2584" s="64" t="s">
        <v>3206</v>
      </c>
      <c r="E2584" s="64" t="s">
        <v>3207</v>
      </c>
      <c r="F2584" s="64" t="s">
        <v>15</v>
      </c>
      <c r="G2584" s="64" t="s">
        <v>3044</v>
      </c>
      <c r="H2584" s="64" t="s">
        <v>3022</v>
      </c>
      <c r="I2584" s="64" t="s">
        <v>3045</v>
      </c>
      <c r="J2584" s="67">
        <v>0</v>
      </c>
      <c r="K2584" s="62">
        <v>475.3</v>
      </c>
      <c r="L2584" s="33" t="e">
        <f>HLOOKUP(B2584,#REF!,1,0)</f>
        <v>#REF!</v>
      </c>
      <c r="M2584" s="33" t="str">
        <f t="shared" si="163"/>
        <v>P&amp;L</v>
      </c>
    </row>
    <row r="2585" spans="1:13" s="33" customFormat="true" ht="12.75" customHeight="true">
      <c r="A2585" s="33" t="str">
        <f t="shared" si="160"/>
        <v>2SH - Operating Expense</v>
      </c>
      <c r="B2585" s="33" t="str">
        <f t="shared" si="161"/>
        <v>2SH</v>
      </c>
      <c r="C2585" s="33" t="str">
        <f t="shared" si="162"/>
        <v>65002-0861</v>
      </c>
      <c r="D2585" s="64" t="s">
        <v>3208</v>
      </c>
      <c r="E2585" s="64" t="s">
        <v>3209</v>
      </c>
      <c r="F2585" s="64" t="s">
        <v>15</v>
      </c>
      <c r="G2585" s="64" t="s">
        <v>3044</v>
      </c>
      <c r="H2585" s="64" t="s">
        <v>3022</v>
      </c>
      <c r="I2585" s="64" t="s">
        <v>3045</v>
      </c>
      <c r="J2585" s="67">
        <v>73.67</v>
      </c>
      <c r="K2585" s="62">
        <v>736.7</v>
      </c>
      <c r="L2585" s="33" t="e">
        <f>HLOOKUP(B2585,#REF!,1,0)</f>
        <v>#REF!</v>
      </c>
      <c r="M2585" s="33" t="str">
        <f t="shared" si="163"/>
        <v>P&amp;L</v>
      </c>
    </row>
    <row r="2586" spans="1:13" s="33" customFormat="true" ht="12.75" customHeight="true">
      <c r="A2586" s="33" t="str">
        <f t="shared" si="160"/>
        <v>2SH - Operating Expense</v>
      </c>
      <c r="B2586" s="33" t="str">
        <f t="shared" si="161"/>
        <v>2SH</v>
      </c>
      <c r="C2586" s="33" t="str">
        <f t="shared" si="162"/>
        <v>65002-0862</v>
      </c>
      <c r="D2586" s="64" t="s">
        <v>3210</v>
      </c>
      <c r="E2586" s="64" t="s">
        <v>3209</v>
      </c>
      <c r="F2586" s="64" t="s">
        <v>15</v>
      </c>
      <c r="G2586" s="64" t="s">
        <v>3044</v>
      </c>
      <c r="H2586" s="64" t="s">
        <v>3022</v>
      </c>
      <c r="I2586" s="64" t="s">
        <v>3045</v>
      </c>
      <c r="J2586" s="67">
        <v>73.67</v>
      </c>
      <c r="K2586" s="62">
        <v>736.7</v>
      </c>
      <c r="L2586" s="33" t="e">
        <f>HLOOKUP(B2586,#REF!,1,0)</f>
        <v>#REF!</v>
      </c>
      <c r="M2586" s="33" t="str">
        <f t="shared" si="163"/>
        <v>P&amp;L</v>
      </c>
    </row>
    <row r="2587" spans="1:13" s="33" customFormat="true" ht="12.75" customHeight="true">
      <c r="A2587" s="33" t="str">
        <f t="shared" si="160"/>
        <v>2SH - Operating Expense</v>
      </c>
      <c r="B2587" s="33" t="str">
        <f t="shared" si="161"/>
        <v>2SH</v>
      </c>
      <c r="C2587" s="33" t="str">
        <f t="shared" si="162"/>
        <v>65002-0864</v>
      </c>
      <c r="D2587" s="64" t="s">
        <v>3211</v>
      </c>
      <c r="E2587" s="64" t="s">
        <v>3209</v>
      </c>
      <c r="F2587" s="64" t="s">
        <v>15</v>
      </c>
      <c r="G2587" s="64" t="s">
        <v>3044</v>
      </c>
      <c r="H2587" s="64" t="s">
        <v>3022</v>
      </c>
      <c r="I2587" s="64" t="s">
        <v>3045</v>
      </c>
      <c r="J2587" s="67">
        <v>73.67</v>
      </c>
      <c r="K2587" s="62">
        <v>736.7</v>
      </c>
      <c r="L2587" s="33" t="e">
        <f>HLOOKUP(B2587,#REF!,1,0)</f>
        <v>#REF!</v>
      </c>
      <c r="M2587" s="33" t="str">
        <f t="shared" si="163"/>
        <v>P&amp;L</v>
      </c>
    </row>
    <row r="2588" spans="1:13" s="33" customFormat="true" ht="12.75" customHeight="true">
      <c r="A2588" s="33" t="str">
        <f t="shared" si="160"/>
        <v>2SH - Operating Expense</v>
      </c>
      <c r="B2588" s="33" t="str">
        <f t="shared" si="161"/>
        <v>2SH</v>
      </c>
      <c r="C2588" s="33" t="str">
        <f t="shared" si="162"/>
        <v>65002-0866</v>
      </c>
      <c r="D2588" s="64" t="s">
        <v>3212</v>
      </c>
      <c r="E2588" s="64" t="s">
        <v>3209</v>
      </c>
      <c r="F2588" s="64" t="s">
        <v>15</v>
      </c>
      <c r="G2588" s="64" t="s">
        <v>3044</v>
      </c>
      <c r="H2588" s="64" t="s">
        <v>3022</v>
      </c>
      <c r="I2588" s="64" t="s">
        <v>3045</v>
      </c>
      <c r="J2588" s="67">
        <v>73.67</v>
      </c>
      <c r="K2588" s="62">
        <v>736.7</v>
      </c>
      <c r="L2588" s="33" t="e">
        <f>HLOOKUP(B2588,#REF!,1,0)</f>
        <v>#REF!</v>
      </c>
      <c r="M2588" s="33" t="str">
        <f t="shared" si="163"/>
        <v>P&amp;L</v>
      </c>
    </row>
    <row r="2589" spans="1:13" s="33" customFormat="true" ht="12.75" customHeight="true">
      <c r="A2589" s="33" t="str">
        <f t="shared" si="160"/>
        <v>2SH - Operating Expense</v>
      </c>
      <c r="B2589" s="33" t="str">
        <f t="shared" si="161"/>
        <v>2SH</v>
      </c>
      <c r="C2589" s="33" t="str">
        <f t="shared" si="162"/>
        <v>65501-0861</v>
      </c>
      <c r="D2589" s="64" t="s">
        <v>3213</v>
      </c>
      <c r="E2589" s="64" t="s">
        <v>3214</v>
      </c>
      <c r="F2589" s="64" t="s">
        <v>15</v>
      </c>
      <c r="G2589" s="64" t="s">
        <v>3044</v>
      </c>
      <c r="H2589" s="64" t="s">
        <v>3022</v>
      </c>
      <c r="I2589" s="64" t="s">
        <v>3215</v>
      </c>
      <c r="J2589" s="67">
        <v>1327.2</v>
      </c>
      <c r="K2589" s="62">
        <v>13379.38</v>
      </c>
      <c r="L2589" s="33" t="e">
        <f>HLOOKUP(B2589,#REF!,1,0)</f>
        <v>#REF!</v>
      </c>
      <c r="M2589" s="33" t="str">
        <f t="shared" si="163"/>
        <v>P&amp;L</v>
      </c>
    </row>
    <row r="2590" spans="1:13" s="33" customFormat="true" ht="12.75" customHeight="true">
      <c r="A2590" s="33" t="str">
        <f t="shared" si="160"/>
        <v>2SH - Operating Expense</v>
      </c>
      <c r="B2590" s="33" t="str">
        <f t="shared" si="161"/>
        <v>2SH</v>
      </c>
      <c r="C2590" s="33" t="str">
        <f t="shared" si="162"/>
        <v>65501-0862</v>
      </c>
      <c r="D2590" s="64" t="s">
        <v>3216</v>
      </c>
      <c r="E2590" s="64" t="s">
        <v>3214</v>
      </c>
      <c r="F2590" s="64" t="s">
        <v>15</v>
      </c>
      <c r="G2590" s="64" t="s">
        <v>3044</v>
      </c>
      <c r="H2590" s="64" t="s">
        <v>3022</v>
      </c>
      <c r="I2590" s="64" t="s">
        <v>3215</v>
      </c>
      <c r="J2590" s="67">
        <v>1327.2</v>
      </c>
      <c r="K2590" s="62">
        <v>13272</v>
      </c>
      <c r="L2590" s="33" t="e">
        <f>HLOOKUP(B2590,#REF!,1,0)</f>
        <v>#REF!</v>
      </c>
      <c r="M2590" s="33" t="str">
        <f t="shared" si="163"/>
        <v>P&amp;L</v>
      </c>
    </row>
    <row r="2591" spans="1:13" s="33" customFormat="true" ht="12.75" customHeight="true">
      <c r="A2591" s="33" t="str">
        <f t="shared" si="160"/>
        <v>2SH - Operating Expense</v>
      </c>
      <c r="B2591" s="33" t="str">
        <f t="shared" si="161"/>
        <v>2SH</v>
      </c>
      <c r="C2591" s="33" t="str">
        <f t="shared" si="162"/>
        <v>65501-0864</v>
      </c>
      <c r="D2591" s="64" t="s">
        <v>3217</v>
      </c>
      <c r="E2591" s="64" t="s">
        <v>3214</v>
      </c>
      <c r="F2591" s="64" t="s">
        <v>15</v>
      </c>
      <c r="G2591" s="64" t="s">
        <v>3044</v>
      </c>
      <c r="H2591" s="64" t="s">
        <v>3022</v>
      </c>
      <c r="I2591" s="64" t="s">
        <v>3215</v>
      </c>
      <c r="J2591" s="67">
        <v>1157.37</v>
      </c>
      <c r="K2591" s="62">
        <v>10942.72</v>
      </c>
      <c r="L2591" s="33" t="e">
        <f>HLOOKUP(B2591,#REF!,1,0)</f>
        <v>#REF!</v>
      </c>
      <c r="M2591" s="33" t="str">
        <f t="shared" si="163"/>
        <v>P&amp;L</v>
      </c>
    </row>
    <row r="2592" spans="1:13" s="33" customFormat="true" ht="12.75" customHeight="true">
      <c r="A2592" s="33" t="str">
        <f t="shared" si="160"/>
        <v>2SH - Operating Expense</v>
      </c>
      <c r="B2592" s="33" t="str">
        <f t="shared" si="161"/>
        <v>2SH</v>
      </c>
      <c r="C2592" s="33" t="str">
        <f t="shared" si="162"/>
        <v>65501-0866</v>
      </c>
      <c r="D2592" s="64" t="s">
        <v>3218</v>
      </c>
      <c r="E2592" s="64" t="s">
        <v>3214</v>
      </c>
      <c r="F2592" s="64" t="s">
        <v>15</v>
      </c>
      <c r="G2592" s="64" t="s">
        <v>3044</v>
      </c>
      <c r="H2592" s="64" t="s">
        <v>3022</v>
      </c>
      <c r="I2592" s="64" t="s">
        <v>3215</v>
      </c>
      <c r="J2592" s="67">
        <v>1327.2</v>
      </c>
      <c r="K2592" s="62">
        <v>13272</v>
      </c>
      <c r="L2592" s="33" t="e">
        <f>HLOOKUP(B2592,#REF!,1,0)</f>
        <v>#REF!</v>
      </c>
      <c r="M2592" s="33" t="str">
        <f t="shared" si="163"/>
        <v>P&amp;L</v>
      </c>
    </row>
    <row r="2593" spans="1:13" s="33" customFormat="true" ht="12.75" customHeight="true">
      <c r="A2593" s="33" t="str">
        <f t="shared" si="160"/>
        <v>2SH - Operating Expense</v>
      </c>
      <c r="B2593" s="33" t="str">
        <f t="shared" si="161"/>
        <v>2SH</v>
      </c>
      <c r="C2593" s="33" t="str">
        <f t="shared" si="162"/>
        <v>66001-0861</v>
      </c>
      <c r="D2593" s="64" t="s">
        <v>3219</v>
      </c>
      <c r="E2593" s="64" t="s">
        <v>3220</v>
      </c>
      <c r="F2593" s="64" t="s">
        <v>15</v>
      </c>
      <c r="G2593" s="64" t="s">
        <v>3044</v>
      </c>
      <c r="H2593" s="64" t="s">
        <v>3022</v>
      </c>
      <c r="I2593" s="64" t="s">
        <v>3221</v>
      </c>
      <c r="J2593" s="67">
        <v>166.16</v>
      </c>
      <c r="K2593" s="62">
        <v>1728.06</v>
      </c>
      <c r="L2593" s="33" t="e">
        <f>HLOOKUP(B2593,#REF!,1,0)</f>
        <v>#REF!</v>
      </c>
      <c r="M2593" s="33" t="str">
        <f t="shared" si="163"/>
        <v>P&amp;L</v>
      </c>
    </row>
    <row r="2594" spans="1:13" s="33" customFormat="true" ht="12.75" customHeight="true">
      <c r="A2594" s="33" t="str">
        <f t="shared" si="160"/>
        <v>2SH - Operating Expense</v>
      </c>
      <c r="B2594" s="33" t="str">
        <f t="shared" si="161"/>
        <v>2SH</v>
      </c>
      <c r="C2594" s="33" t="str">
        <f t="shared" si="162"/>
        <v>66001-0862</v>
      </c>
      <c r="D2594" s="64" t="s">
        <v>3222</v>
      </c>
      <c r="E2594" s="64" t="s">
        <v>3220</v>
      </c>
      <c r="F2594" s="64" t="s">
        <v>15</v>
      </c>
      <c r="G2594" s="64" t="s">
        <v>3044</v>
      </c>
      <c r="H2594" s="64" t="s">
        <v>3022</v>
      </c>
      <c r="I2594" s="64" t="s">
        <v>3221</v>
      </c>
      <c r="J2594" s="67">
        <v>166.16</v>
      </c>
      <c r="K2594" s="62">
        <v>1354.2</v>
      </c>
      <c r="L2594" s="33" t="e">
        <f>HLOOKUP(B2594,#REF!,1,0)</f>
        <v>#REF!</v>
      </c>
      <c r="M2594" s="33" t="str">
        <f t="shared" si="163"/>
        <v>P&amp;L</v>
      </c>
    </row>
    <row r="2595" spans="1:13" s="33" customFormat="true" ht="12.75" customHeight="true">
      <c r="A2595" s="33" t="str">
        <f t="shared" si="160"/>
        <v>2SH - Operating Expense</v>
      </c>
      <c r="B2595" s="33" t="str">
        <f t="shared" si="161"/>
        <v>2SH</v>
      </c>
      <c r="C2595" s="33" t="str">
        <f t="shared" si="162"/>
        <v>66001-0864</v>
      </c>
      <c r="D2595" s="64" t="s">
        <v>3223</v>
      </c>
      <c r="E2595" s="64" t="s">
        <v>3220</v>
      </c>
      <c r="F2595" s="64" t="s">
        <v>15</v>
      </c>
      <c r="G2595" s="64" t="s">
        <v>3044</v>
      </c>
      <c r="H2595" s="64" t="s">
        <v>3022</v>
      </c>
      <c r="I2595" s="64" t="s">
        <v>3221</v>
      </c>
      <c r="J2595" s="67">
        <v>166.16</v>
      </c>
      <c r="K2595" s="62">
        <v>1354.2</v>
      </c>
      <c r="L2595" s="33" t="e">
        <f>HLOOKUP(B2595,#REF!,1,0)</f>
        <v>#REF!</v>
      </c>
      <c r="M2595" s="33" t="str">
        <f t="shared" si="163"/>
        <v>P&amp;L</v>
      </c>
    </row>
    <row r="2596" spans="1:13" s="33" customFormat="true" ht="12.75" customHeight="true">
      <c r="A2596" s="33" t="str">
        <f t="shared" si="160"/>
        <v>2SH - Operating Expense</v>
      </c>
      <c r="B2596" s="33" t="str">
        <f t="shared" si="161"/>
        <v>2SH</v>
      </c>
      <c r="C2596" s="33" t="str">
        <f t="shared" si="162"/>
        <v>66001-0866</v>
      </c>
      <c r="D2596" s="64" t="s">
        <v>3224</v>
      </c>
      <c r="E2596" s="64" t="s">
        <v>3220</v>
      </c>
      <c r="F2596" s="64" t="s">
        <v>15</v>
      </c>
      <c r="G2596" s="64" t="s">
        <v>3044</v>
      </c>
      <c r="H2596" s="64" t="s">
        <v>3022</v>
      </c>
      <c r="I2596" s="64" t="s">
        <v>3221</v>
      </c>
      <c r="J2596" s="67">
        <v>166.16</v>
      </c>
      <c r="K2596" s="62">
        <v>1354.2</v>
      </c>
      <c r="L2596" s="33" t="e">
        <f>HLOOKUP(B2596,#REF!,1,0)</f>
        <v>#REF!</v>
      </c>
      <c r="M2596" s="33" t="str">
        <f t="shared" si="163"/>
        <v>P&amp;L</v>
      </c>
    </row>
    <row r="2597" spans="1:13" s="33" customFormat="true" ht="12.75" customHeight="true">
      <c r="A2597" s="33" t="str">
        <f t="shared" si="160"/>
        <v>2SH - Operating Expense</v>
      </c>
      <c r="B2597" s="33" t="str">
        <f t="shared" si="161"/>
        <v>2SH</v>
      </c>
      <c r="C2597" s="33" t="str">
        <f t="shared" si="162"/>
        <v>66002-0861</v>
      </c>
      <c r="D2597" s="64" t="s">
        <v>3225</v>
      </c>
      <c r="E2597" s="64" t="s">
        <v>3226</v>
      </c>
      <c r="F2597" s="64" t="s">
        <v>15</v>
      </c>
      <c r="G2597" s="64" t="s">
        <v>3044</v>
      </c>
      <c r="H2597" s="64" t="s">
        <v>3022</v>
      </c>
      <c r="I2597" s="64" t="s">
        <v>3221</v>
      </c>
      <c r="J2597" s="67">
        <v>37.14</v>
      </c>
      <c r="K2597" s="62">
        <v>282.96</v>
      </c>
      <c r="L2597" s="33" t="e">
        <f>HLOOKUP(B2597,#REF!,1,0)</f>
        <v>#REF!</v>
      </c>
      <c r="M2597" s="33" t="str">
        <f t="shared" si="163"/>
        <v>P&amp;L</v>
      </c>
    </row>
    <row r="2598" spans="1:13" s="33" customFormat="true" ht="12.75" customHeight="true">
      <c r="A2598" s="33" t="str">
        <f t="shared" si="160"/>
        <v>2SH - Operating Expense</v>
      </c>
      <c r="B2598" s="33" t="str">
        <f t="shared" si="161"/>
        <v>2SH</v>
      </c>
      <c r="C2598" s="33" t="str">
        <f t="shared" si="162"/>
        <v>66002-0862</v>
      </c>
      <c r="D2598" s="64" t="s">
        <v>3227</v>
      </c>
      <c r="E2598" s="64" t="s">
        <v>3226</v>
      </c>
      <c r="F2598" s="64" t="s">
        <v>15</v>
      </c>
      <c r="G2598" s="64" t="s">
        <v>3044</v>
      </c>
      <c r="H2598" s="64" t="s">
        <v>3022</v>
      </c>
      <c r="I2598" s="64" t="s">
        <v>3221</v>
      </c>
      <c r="J2598" s="67">
        <v>37.14</v>
      </c>
      <c r="K2598" s="62">
        <v>374.72</v>
      </c>
      <c r="L2598" s="33" t="e">
        <f>HLOOKUP(B2598,#REF!,1,0)</f>
        <v>#REF!</v>
      </c>
      <c r="M2598" s="33" t="str">
        <f t="shared" si="163"/>
        <v>P&amp;L</v>
      </c>
    </row>
    <row r="2599" spans="1:13" s="33" customFormat="true" ht="12.75" customHeight="true">
      <c r="A2599" s="33" t="str">
        <f t="shared" si="160"/>
        <v>2SH - Operating Expense</v>
      </c>
      <c r="B2599" s="33" t="str">
        <f t="shared" si="161"/>
        <v>2SH</v>
      </c>
      <c r="C2599" s="33" t="str">
        <f t="shared" si="162"/>
        <v>66002-0864</v>
      </c>
      <c r="D2599" s="64" t="s">
        <v>3228</v>
      </c>
      <c r="E2599" s="64" t="s">
        <v>3226</v>
      </c>
      <c r="F2599" s="64" t="s">
        <v>15</v>
      </c>
      <c r="G2599" s="64" t="s">
        <v>3044</v>
      </c>
      <c r="H2599" s="64" t="s">
        <v>3022</v>
      </c>
      <c r="I2599" s="64" t="s">
        <v>3221</v>
      </c>
      <c r="J2599" s="67">
        <v>37.14</v>
      </c>
      <c r="K2599" s="62">
        <v>213.56</v>
      </c>
      <c r="L2599" s="33" t="e">
        <f>HLOOKUP(B2599,#REF!,1,0)</f>
        <v>#REF!</v>
      </c>
      <c r="M2599" s="33" t="str">
        <f t="shared" si="163"/>
        <v>P&amp;L</v>
      </c>
    </row>
    <row r="2600" spans="1:13" s="33" customFormat="true" ht="12.75" customHeight="true">
      <c r="A2600" s="33" t="str">
        <f t="shared" si="160"/>
        <v>2SH - Operating Expense</v>
      </c>
      <c r="B2600" s="33" t="str">
        <f t="shared" si="161"/>
        <v>2SH</v>
      </c>
      <c r="C2600" s="33" t="str">
        <f t="shared" si="162"/>
        <v>66002-0866</v>
      </c>
      <c r="D2600" s="64" t="s">
        <v>3229</v>
      </c>
      <c r="E2600" s="64" t="s">
        <v>3226</v>
      </c>
      <c r="F2600" s="64" t="s">
        <v>15</v>
      </c>
      <c r="G2600" s="64" t="s">
        <v>3044</v>
      </c>
      <c r="H2600" s="64" t="s">
        <v>3022</v>
      </c>
      <c r="I2600" s="64" t="s">
        <v>3221</v>
      </c>
      <c r="J2600" s="67">
        <v>37.14</v>
      </c>
      <c r="K2600" s="62">
        <v>213.56</v>
      </c>
      <c r="L2600" s="33" t="e">
        <f>HLOOKUP(B2600,#REF!,1,0)</f>
        <v>#REF!</v>
      </c>
      <c r="M2600" s="33" t="str">
        <f t="shared" si="163"/>
        <v>P&amp;L</v>
      </c>
    </row>
    <row r="2601" spans="1:13" s="33" customFormat="true" ht="12.75" customHeight="true">
      <c r="A2601" s="33" t="str">
        <f t="shared" si="160"/>
        <v>2SH - Operating Expense</v>
      </c>
      <c r="B2601" s="33" t="str">
        <f t="shared" si="161"/>
        <v>2SH</v>
      </c>
      <c r="C2601" s="33" t="str">
        <f t="shared" si="162"/>
        <v>66501-0861</v>
      </c>
      <c r="D2601" s="64" t="s">
        <v>3230</v>
      </c>
      <c r="E2601" s="64" t="s">
        <v>3231</v>
      </c>
      <c r="F2601" s="64" t="s">
        <v>15</v>
      </c>
      <c r="G2601" s="64" t="s">
        <v>2889</v>
      </c>
      <c r="H2601" s="64" t="s">
        <v>3022</v>
      </c>
      <c r="I2601" s="64" t="s">
        <v>2915</v>
      </c>
      <c r="J2601" s="67">
        <v>422.7</v>
      </c>
      <c r="K2601" s="62">
        <v>2358.3</v>
      </c>
      <c r="L2601" s="33" t="e">
        <f>HLOOKUP(B2601,#REF!,1,0)</f>
        <v>#REF!</v>
      </c>
      <c r="M2601" s="33" t="str">
        <f t="shared" si="163"/>
        <v>P&amp;L</v>
      </c>
    </row>
    <row r="2602" spans="1:13" s="33" customFormat="true" ht="12.75" customHeight="true">
      <c r="A2602" s="33" t="str">
        <f t="shared" si="160"/>
        <v>2SH - Operating Expense</v>
      </c>
      <c r="B2602" s="33" t="str">
        <f t="shared" si="161"/>
        <v>2SH</v>
      </c>
      <c r="C2602" s="33" t="str">
        <f t="shared" si="162"/>
        <v>66501-0862</v>
      </c>
      <c r="D2602" s="64" t="s">
        <v>3232</v>
      </c>
      <c r="E2602" s="64" t="s">
        <v>3231</v>
      </c>
      <c r="F2602" s="64" t="s">
        <v>15</v>
      </c>
      <c r="G2602" s="64" t="s">
        <v>2889</v>
      </c>
      <c r="H2602" s="64" t="s">
        <v>3022</v>
      </c>
      <c r="I2602" s="64" t="s">
        <v>2915</v>
      </c>
      <c r="J2602" s="67">
        <v>863.49</v>
      </c>
      <c r="K2602" s="62">
        <v>6374.42</v>
      </c>
      <c r="L2602" s="33" t="e">
        <f>HLOOKUP(B2602,#REF!,1,0)</f>
        <v>#REF!</v>
      </c>
      <c r="M2602" s="33" t="str">
        <f t="shared" si="163"/>
        <v>P&amp;L</v>
      </c>
    </row>
    <row r="2603" spans="1:13" s="33" customFormat="true" ht="12.75" customHeight="true">
      <c r="A2603" s="33" t="str">
        <f t="shared" si="160"/>
        <v>2SH - Operating Expense</v>
      </c>
      <c r="B2603" s="33" t="str">
        <f t="shared" si="161"/>
        <v>2SH</v>
      </c>
      <c r="C2603" s="33" t="str">
        <f t="shared" si="162"/>
        <v>66501-0864</v>
      </c>
      <c r="D2603" s="64" t="s">
        <v>3233</v>
      </c>
      <c r="E2603" s="64" t="s">
        <v>3231</v>
      </c>
      <c r="F2603" s="64" t="s">
        <v>15</v>
      </c>
      <c r="G2603" s="64" t="s">
        <v>2889</v>
      </c>
      <c r="H2603" s="64" t="s">
        <v>3022</v>
      </c>
      <c r="I2603" s="64" t="s">
        <v>2915</v>
      </c>
      <c r="J2603" s="67">
        <v>602.21</v>
      </c>
      <c r="K2603" s="62">
        <v>3166.8</v>
      </c>
      <c r="L2603" s="33" t="e">
        <f>HLOOKUP(B2603,#REF!,1,0)</f>
        <v>#REF!</v>
      </c>
      <c r="M2603" s="33" t="str">
        <f t="shared" si="163"/>
        <v>P&amp;L</v>
      </c>
    </row>
    <row r="2604" spans="1:13" s="33" customFormat="true" ht="12.75" customHeight="true">
      <c r="A2604" s="33" t="str">
        <f t="shared" si="160"/>
        <v>2SH - Operating Expense</v>
      </c>
      <c r="B2604" s="33" t="str">
        <f t="shared" si="161"/>
        <v>2SH</v>
      </c>
      <c r="C2604" s="33" t="str">
        <f t="shared" si="162"/>
        <v>66501-0866</v>
      </c>
      <c r="D2604" s="64" t="s">
        <v>3234</v>
      </c>
      <c r="E2604" s="64" t="s">
        <v>3231</v>
      </c>
      <c r="F2604" s="64" t="s">
        <v>15</v>
      </c>
      <c r="G2604" s="64" t="s">
        <v>2889</v>
      </c>
      <c r="H2604" s="64" t="s">
        <v>3022</v>
      </c>
      <c r="I2604" s="64" t="s">
        <v>2915</v>
      </c>
      <c r="J2604" s="67">
        <v>417.33</v>
      </c>
      <c r="K2604" s="62">
        <v>3758.67</v>
      </c>
      <c r="L2604" s="33" t="e">
        <f>HLOOKUP(B2604,#REF!,1,0)</f>
        <v>#REF!</v>
      </c>
      <c r="M2604" s="33" t="str">
        <f t="shared" si="163"/>
        <v>P&amp;L</v>
      </c>
    </row>
    <row r="2605" spans="1:13" s="33" customFormat="true" ht="12.75" customHeight="true">
      <c r="A2605" s="33" t="str">
        <f t="shared" si="160"/>
        <v>2SH - Operating Expense</v>
      </c>
      <c r="B2605" s="33" t="str">
        <f t="shared" si="161"/>
        <v>2SH</v>
      </c>
      <c r="C2605" s="33" t="str">
        <f t="shared" si="162"/>
        <v>66701-0861</v>
      </c>
      <c r="D2605" s="64" t="s">
        <v>3235</v>
      </c>
      <c r="E2605" s="64" t="s">
        <v>3236</v>
      </c>
      <c r="F2605" s="64" t="s">
        <v>15</v>
      </c>
      <c r="G2605" s="64" t="s">
        <v>3017</v>
      </c>
      <c r="H2605" s="64" t="s">
        <v>3022</v>
      </c>
      <c r="I2605" s="64" t="s">
        <v>3237</v>
      </c>
      <c r="J2605" s="67">
        <v>14</v>
      </c>
      <c r="K2605" s="62">
        <v>140</v>
      </c>
      <c r="L2605" s="33" t="e">
        <f>HLOOKUP(B2605,#REF!,1,0)</f>
        <v>#REF!</v>
      </c>
      <c r="M2605" s="33" t="str">
        <f t="shared" si="163"/>
        <v>P&amp;L</v>
      </c>
    </row>
    <row r="2606" spans="1:13" s="33" customFormat="true" ht="12.75" customHeight="true">
      <c r="A2606" s="33" t="str">
        <f t="shared" si="160"/>
        <v>2SH - Operating Expense</v>
      </c>
      <c r="B2606" s="33" t="str">
        <f t="shared" si="161"/>
        <v>2SH</v>
      </c>
      <c r="C2606" s="33" t="str">
        <f t="shared" si="162"/>
        <v>66701-0862</v>
      </c>
      <c r="D2606" s="64" t="s">
        <v>3238</v>
      </c>
      <c r="E2606" s="64" t="s">
        <v>3236</v>
      </c>
      <c r="F2606" s="64" t="s">
        <v>15</v>
      </c>
      <c r="G2606" s="64" t="s">
        <v>3017</v>
      </c>
      <c r="H2606" s="64" t="s">
        <v>3022</v>
      </c>
      <c r="I2606" s="64" t="s">
        <v>3237</v>
      </c>
      <c r="J2606" s="67">
        <v>14</v>
      </c>
      <c r="K2606" s="62">
        <v>140</v>
      </c>
      <c r="L2606" s="33" t="e">
        <f>HLOOKUP(B2606,#REF!,1,0)</f>
        <v>#REF!</v>
      </c>
      <c r="M2606" s="33" t="str">
        <f t="shared" si="163"/>
        <v>P&amp;L</v>
      </c>
    </row>
    <row r="2607" spans="1:13" s="33" customFormat="true" ht="12.75" customHeight="true">
      <c r="A2607" s="33" t="str">
        <f t="shared" si="160"/>
        <v>2SH - Operating Expense</v>
      </c>
      <c r="B2607" s="33" t="str">
        <f t="shared" si="161"/>
        <v>2SH</v>
      </c>
      <c r="C2607" s="33" t="str">
        <f t="shared" si="162"/>
        <v>66701-0864</v>
      </c>
      <c r="D2607" s="64" t="s">
        <v>3239</v>
      </c>
      <c r="E2607" s="64" t="s">
        <v>3236</v>
      </c>
      <c r="F2607" s="64" t="s">
        <v>15</v>
      </c>
      <c r="G2607" s="64" t="s">
        <v>3017</v>
      </c>
      <c r="H2607" s="64" t="s">
        <v>3022</v>
      </c>
      <c r="I2607" s="64" t="s">
        <v>3237</v>
      </c>
      <c r="J2607" s="67">
        <v>14</v>
      </c>
      <c r="K2607" s="62">
        <v>140</v>
      </c>
      <c r="L2607" s="33" t="e">
        <f>HLOOKUP(B2607,#REF!,1,0)</f>
        <v>#REF!</v>
      </c>
      <c r="M2607" s="33" t="str">
        <f t="shared" si="163"/>
        <v>P&amp;L</v>
      </c>
    </row>
    <row r="2608" spans="1:13" s="33" customFormat="true" ht="12.75" customHeight="true">
      <c r="A2608" s="33" t="str">
        <f t="shared" si="160"/>
        <v>2SH - Operating Expense</v>
      </c>
      <c r="B2608" s="33" t="str">
        <f t="shared" si="161"/>
        <v>2SH</v>
      </c>
      <c r="C2608" s="33" t="str">
        <f t="shared" si="162"/>
        <v>66701-0866</v>
      </c>
      <c r="D2608" s="64" t="s">
        <v>3240</v>
      </c>
      <c r="E2608" s="64" t="s">
        <v>3236</v>
      </c>
      <c r="F2608" s="64" t="s">
        <v>15</v>
      </c>
      <c r="G2608" s="64" t="s">
        <v>3017</v>
      </c>
      <c r="H2608" s="64" t="s">
        <v>3022</v>
      </c>
      <c r="I2608" s="64" t="s">
        <v>3237</v>
      </c>
      <c r="J2608" s="67">
        <v>14</v>
      </c>
      <c r="K2608" s="62">
        <v>140</v>
      </c>
      <c r="L2608" s="33" t="e">
        <f>HLOOKUP(B2608,#REF!,1,0)</f>
        <v>#REF!</v>
      </c>
      <c r="M2608" s="33" t="str">
        <f t="shared" si="163"/>
        <v>P&amp;L</v>
      </c>
    </row>
    <row r="2609" spans="1:13" s="33" customFormat="true" ht="12.75" customHeight="true">
      <c r="A2609" s="33" t="str">
        <f t="shared" si="160"/>
        <v>2SH - Operating Expense</v>
      </c>
      <c r="B2609" s="33" t="str">
        <f t="shared" si="161"/>
        <v>2SH</v>
      </c>
      <c r="C2609" s="33" t="str">
        <f t="shared" si="162"/>
        <v>67001-0861</v>
      </c>
      <c r="D2609" s="64" t="s">
        <v>3241</v>
      </c>
      <c r="E2609" s="64" t="s">
        <v>3242</v>
      </c>
      <c r="F2609" s="64" t="s">
        <v>15</v>
      </c>
      <c r="G2609" s="64" t="s">
        <v>3044</v>
      </c>
      <c r="H2609" s="64" t="s">
        <v>3022</v>
      </c>
      <c r="I2609" s="64" t="s">
        <v>3243</v>
      </c>
      <c r="J2609" s="67">
        <v>4493.23</v>
      </c>
      <c r="K2609" s="62">
        <v>36529.68</v>
      </c>
      <c r="L2609" s="33" t="e">
        <f>HLOOKUP(B2609,#REF!,1,0)</f>
        <v>#REF!</v>
      </c>
      <c r="M2609" s="33" t="str">
        <f t="shared" si="163"/>
        <v>P&amp;L</v>
      </c>
    </row>
    <row r="2610" spans="1:13" s="33" customFormat="true" ht="12.75" customHeight="true">
      <c r="A2610" s="33" t="str">
        <f t="shared" si="160"/>
        <v>2SH - Operating Expense</v>
      </c>
      <c r="B2610" s="33" t="str">
        <f t="shared" si="161"/>
        <v>2SH</v>
      </c>
      <c r="C2610" s="33" t="str">
        <f t="shared" si="162"/>
        <v>67001-0862</v>
      </c>
      <c r="D2610" s="64" t="s">
        <v>3244</v>
      </c>
      <c r="E2610" s="64" t="s">
        <v>3242</v>
      </c>
      <c r="F2610" s="64" t="s">
        <v>15</v>
      </c>
      <c r="G2610" s="64" t="s">
        <v>3044</v>
      </c>
      <c r="H2610" s="64" t="s">
        <v>3022</v>
      </c>
      <c r="I2610" s="64" t="s">
        <v>3243</v>
      </c>
      <c r="J2610" s="67">
        <v>8441.96</v>
      </c>
      <c r="K2610" s="62">
        <v>68304.09</v>
      </c>
      <c r="L2610" s="33" t="e">
        <f>HLOOKUP(B2610,#REF!,1,0)</f>
        <v>#REF!</v>
      </c>
      <c r="M2610" s="33" t="str">
        <f t="shared" si="163"/>
        <v>P&amp;L</v>
      </c>
    </row>
    <row r="2611" spans="1:13" s="33" customFormat="true" ht="12.75" customHeight="true">
      <c r="A2611" s="33" t="str">
        <f t="shared" si="160"/>
        <v>2SH - Operating Expense</v>
      </c>
      <c r="B2611" s="33" t="str">
        <f t="shared" si="161"/>
        <v>2SH</v>
      </c>
      <c r="C2611" s="33" t="str">
        <f t="shared" si="162"/>
        <v>67001-0864</v>
      </c>
      <c r="D2611" s="64" t="s">
        <v>3245</v>
      </c>
      <c r="E2611" s="64" t="s">
        <v>3242</v>
      </c>
      <c r="F2611" s="64" t="s">
        <v>15</v>
      </c>
      <c r="G2611" s="64" t="s">
        <v>3044</v>
      </c>
      <c r="H2611" s="64" t="s">
        <v>3022</v>
      </c>
      <c r="I2611" s="64" t="s">
        <v>3243</v>
      </c>
      <c r="J2611" s="67">
        <v>4709.59</v>
      </c>
      <c r="K2611" s="62">
        <v>41029.16</v>
      </c>
      <c r="L2611" s="33" t="e">
        <f>HLOOKUP(B2611,#REF!,1,0)</f>
        <v>#REF!</v>
      </c>
      <c r="M2611" s="33" t="str">
        <f t="shared" si="163"/>
        <v>P&amp;L</v>
      </c>
    </row>
    <row r="2612" spans="1:13" s="33" customFormat="true" ht="12.75" customHeight="true">
      <c r="A2612" s="33" t="str">
        <f t="shared" si="160"/>
        <v>2SH - Operating Expense</v>
      </c>
      <c r="B2612" s="33" t="str">
        <f t="shared" si="161"/>
        <v>2SH</v>
      </c>
      <c r="C2612" s="33" t="str">
        <f t="shared" si="162"/>
        <v>67001-0866</v>
      </c>
      <c r="D2612" s="64" t="s">
        <v>3246</v>
      </c>
      <c r="E2612" s="64" t="s">
        <v>3242</v>
      </c>
      <c r="F2612" s="64" t="s">
        <v>15</v>
      </c>
      <c r="G2612" s="64" t="s">
        <v>3044</v>
      </c>
      <c r="H2612" s="64" t="s">
        <v>3022</v>
      </c>
      <c r="I2612" s="64" t="s">
        <v>3243</v>
      </c>
      <c r="J2612" s="67">
        <v>5607.41</v>
      </c>
      <c r="K2612" s="62">
        <v>45879.74</v>
      </c>
      <c r="L2612" s="33" t="e">
        <f>HLOOKUP(B2612,#REF!,1,0)</f>
        <v>#REF!</v>
      </c>
      <c r="M2612" s="33" t="str">
        <f t="shared" si="163"/>
        <v>P&amp;L</v>
      </c>
    </row>
    <row r="2613" spans="1:13" s="33" customFormat="true" ht="12.75" customHeight="true">
      <c r="A2613" s="33" t="str">
        <f t="shared" si="160"/>
        <v>2SH - Operating Expense</v>
      </c>
      <c r="B2613" s="33" t="str">
        <f t="shared" si="161"/>
        <v>2SH</v>
      </c>
      <c r="C2613" s="33" t="str">
        <f t="shared" si="162"/>
        <v>67501-0861</v>
      </c>
      <c r="D2613" s="64" t="s">
        <v>3247</v>
      </c>
      <c r="E2613" s="64" t="s">
        <v>3248</v>
      </c>
      <c r="F2613" s="64" t="s">
        <v>15</v>
      </c>
      <c r="G2613" s="64" t="s">
        <v>3044</v>
      </c>
      <c r="H2613" s="64" t="s">
        <v>3022</v>
      </c>
      <c r="I2613" s="64" t="s">
        <v>3249</v>
      </c>
      <c r="J2613" s="67">
        <v>6739.84</v>
      </c>
      <c r="K2613" s="62">
        <v>54794.54</v>
      </c>
      <c r="L2613" s="33" t="e">
        <f>HLOOKUP(B2613,#REF!,1,0)</f>
        <v>#REF!</v>
      </c>
      <c r="M2613" s="33" t="str">
        <f t="shared" si="163"/>
        <v>P&amp;L</v>
      </c>
    </row>
    <row r="2614" spans="1:13" s="33" customFormat="true" ht="12.75" customHeight="true">
      <c r="A2614" s="33" t="str">
        <f t="shared" si="160"/>
        <v>2SH - Operating Expense</v>
      </c>
      <c r="B2614" s="33" t="str">
        <f t="shared" si="161"/>
        <v>2SH</v>
      </c>
      <c r="C2614" s="33" t="str">
        <f t="shared" si="162"/>
        <v>67501-0862</v>
      </c>
      <c r="D2614" s="64" t="s">
        <v>3250</v>
      </c>
      <c r="E2614" s="64" t="s">
        <v>3248</v>
      </c>
      <c r="F2614" s="64" t="s">
        <v>15</v>
      </c>
      <c r="G2614" s="64" t="s">
        <v>3044</v>
      </c>
      <c r="H2614" s="64" t="s">
        <v>3022</v>
      </c>
      <c r="I2614" s="64" t="s">
        <v>3249</v>
      </c>
      <c r="J2614" s="67">
        <v>12662.94</v>
      </c>
      <c r="K2614" s="62">
        <v>102456.1</v>
      </c>
      <c r="L2614" s="33" t="e">
        <f>HLOOKUP(B2614,#REF!,1,0)</f>
        <v>#REF!</v>
      </c>
      <c r="M2614" s="33" t="str">
        <f t="shared" si="163"/>
        <v>P&amp;L</v>
      </c>
    </row>
    <row r="2615" spans="1:13" s="33" customFormat="true" ht="12.75" customHeight="true">
      <c r="A2615" s="33" t="str">
        <f t="shared" si="160"/>
        <v>2SH - Operating Expense</v>
      </c>
      <c r="B2615" s="33" t="str">
        <f t="shared" si="161"/>
        <v>2SH</v>
      </c>
      <c r="C2615" s="33" t="str">
        <f t="shared" si="162"/>
        <v>67501-0864</v>
      </c>
      <c r="D2615" s="64" t="s">
        <v>3251</v>
      </c>
      <c r="E2615" s="64" t="s">
        <v>3248</v>
      </c>
      <c r="F2615" s="64" t="s">
        <v>15</v>
      </c>
      <c r="G2615" s="64" t="s">
        <v>3044</v>
      </c>
      <c r="H2615" s="64" t="s">
        <v>3022</v>
      </c>
      <c r="I2615" s="64" t="s">
        <v>3249</v>
      </c>
      <c r="J2615" s="67">
        <v>7064.35</v>
      </c>
      <c r="K2615" s="62">
        <v>61543.72</v>
      </c>
      <c r="L2615" s="33" t="e">
        <f>HLOOKUP(B2615,#REF!,1,0)</f>
        <v>#REF!</v>
      </c>
      <c r="M2615" s="33" t="str">
        <f t="shared" si="163"/>
        <v>P&amp;L</v>
      </c>
    </row>
    <row r="2616" spans="1:13" s="33" customFormat="true" ht="12.75" customHeight="true">
      <c r="A2616" s="33" t="str">
        <f t="shared" si="160"/>
        <v>2SH - Operating Expense</v>
      </c>
      <c r="B2616" s="33" t="str">
        <f t="shared" si="161"/>
        <v>2SH</v>
      </c>
      <c r="C2616" s="33" t="str">
        <f t="shared" si="162"/>
        <v>67501-0866</v>
      </c>
      <c r="D2616" s="64" t="s">
        <v>3252</v>
      </c>
      <c r="E2616" s="64" t="s">
        <v>3248</v>
      </c>
      <c r="F2616" s="64" t="s">
        <v>15</v>
      </c>
      <c r="G2616" s="64" t="s">
        <v>3044</v>
      </c>
      <c r="H2616" s="64" t="s">
        <v>3022</v>
      </c>
      <c r="I2616" s="64" t="s">
        <v>3249</v>
      </c>
      <c r="J2616" s="67">
        <v>8411.14</v>
      </c>
      <c r="K2616" s="62">
        <v>68819.71</v>
      </c>
      <c r="L2616" s="33" t="e">
        <f>HLOOKUP(B2616,#REF!,1,0)</f>
        <v>#REF!</v>
      </c>
      <c r="M2616" s="33" t="str">
        <f t="shared" si="163"/>
        <v>P&amp;L</v>
      </c>
    </row>
    <row r="2617" spans="1:13" s="33" customFormat="true" ht="12.75" customHeight="true">
      <c r="A2617" s="33" t="str">
        <f t="shared" si="160"/>
        <v>2SH - Operating Expense</v>
      </c>
      <c r="B2617" s="33" t="str">
        <f t="shared" si="161"/>
        <v>2SH</v>
      </c>
      <c r="C2617" s="33" t="str">
        <f t="shared" si="162"/>
        <v>68000-0861</v>
      </c>
      <c r="D2617" s="64" t="s">
        <v>3253</v>
      </c>
      <c r="E2617" s="64" t="s">
        <v>3254</v>
      </c>
      <c r="F2617" s="64" t="s">
        <v>15</v>
      </c>
      <c r="G2617" s="64" t="s">
        <v>3044</v>
      </c>
      <c r="H2617" s="64" t="s">
        <v>3022</v>
      </c>
      <c r="I2617" s="64" t="s">
        <v>3255</v>
      </c>
      <c r="J2617" s="67">
        <v>736.08</v>
      </c>
      <c r="K2617" s="62">
        <v>7132.12</v>
      </c>
      <c r="L2617" s="33" t="e">
        <f>HLOOKUP(B2617,#REF!,1,0)</f>
        <v>#REF!</v>
      </c>
      <c r="M2617" s="33" t="str">
        <f t="shared" si="163"/>
        <v>P&amp;L</v>
      </c>
    </row>
    <row r="2618" spans="1:13" s="33" customFormat="true" ht="12.75" customHeight="true">
      <c r="A2618" s="33" t="str">
        <f t="shared" si="160"/>
        <v>2SH - Operating Expense</v>
      </c>
      <c r="B2618" s="33" t="str">
        <f t="shared" si="161"/>
        <v>2SH</v>
      </c>
      <c r="C2618" s="33" t="str">
        <f t="shared" si="162"/>
        <v>68000-0862</v>
      </c>
      <c r="D2618" s="64" t="s">
        <v>3256</v>
      </c>
      <c r="E2618" s="64" t="s">
        <v>3254</v>
      </c>
      <c r="F2618" s="64" t="s">
        <v>15</v>
      </c>
      <c r="G2618" s="64" t="s">
        <v>3044</v>
      </c>
      <c r="H2618" s="64" t="s">
        <v>3022</v>
      </c>
      <c r="I2618" s="64" t="s">
        <v>3255</v>
      </c>
      <c r="J2618" s="67">
        <v>736.08</v>
      </c>
      <c r="K2618" s="62">
        <v>7115.1</v>
      </c>
      <c r="L2618" s="33" t="e">
        <f>HLOOKUP(B2618,#REF!,1,0)</f>
        <v>#REF!</v>
      </c>
      <c r="M2618" s="33" t="str">
        <f t="shared" si="163"/>
        <v>P&amp;L</v>
      </c>
    </row>
    <row r="2619" spans="1:13" s="33" customFormat="true" ht="12.75" customHeight="true">
      <c r="A2619" s="33" t="str">
        <f t="shared" si="160"/>
        <v>2SH - Operating Expense</v>
      </c>
      <c r="B2619" s="33" t="str">
        <f t="shared" si="161"/>
        <v>2SH</v>
      </c>
      <c r="C2619" s="33" t="str">
        <f t="shared" si="162"/>
        <v>68000-0864</v>
      </c>
      <c r="D2619" s="64" t="s">
        <v>3257</v>
      </c>
      <c r="E2619" s="64" t="s">
        <v>3254</v>
      </c>
      <c r="F2619" s="64" t="s">
        <v>15</v>
      </c>
      <c r="G2619" s="64" t="s">
        <v>3044</v>
      </c>
      <c r="H2619" s="64" t="s">
        <v>3022</v>
      </c>
      <c r="I2619" s="64" t="s">
        <v>3255</v>
      </c>
      <c r="J2619" s="67">
        <v>736.07</v>
      </c>
      <c r="K2619" s="62">
        <v>7132.07</v>
      </c>
      <c r="L2619" s="33" t="e">
        <f>HLOOKUP(B2619,#REF!,1,0)</f>
        <v>#REF!</v>
      </c>
      <c r="M2619" s="33" t="str">
        <f t="shared" si="163"/>
        <v>P&amp;L</v>
      </c>
    </row>
    <row r="2620" spans="1:13" s="33" customFormat="true" ht="12.75" customHeight="true">
      <c r="A2620" s="33" t="str">
        <f t="shared" si="160"/>
        <v>2SH - Operating Expense</v>
      </c>
      <c r="B2620" s="33" t="str">
        <f t="shared" si="161"/>
        <v>2SH</v>
      </c>
      <c r="C2620" s="33" t="str">
        <f t="shared" si="162"/>
        <v>68000-0866</v>
      </c>
      <c r="D2620" s="64" t="s">
        <v>3258</v>
      </c>
      <c r="E2620" s="64" t="s">
        <v>3254</v>
      </c>
      <c r="F2620" s="64" t="s">
        <v>15</v>
      </c>
      <c r="G2620" s="64" t="s">
        <v>3044</v>
      </c>
      <c r="H2620" s="64" t="s">
        <v>3022</v>
      </c>
      <c r="I2620" s="64" t="s">
        <v>3255</v>
      </c>
      <c r="J2620" s="67">
        <v>736.07</v>
      </c>
      <c r="K2620" s="62">
        <v>7123.52</v>
      </c>
      <c r="L2620" s="33" t="e">
        <f>HLOOKUP(B2620,#REF!,1,0)</f>
        <v>#REF!</v>
      </c>
      <c r="M2620" s="33" t="str">
        <f t="shared" si="163"/>
        <v>P&amp;L</v>
      </c>
    </row>
    <row r="2621" spans="1:13" s="33" customFormat="true" ht="12.75" customHeight="true">
      <c r="A2621" s="33" t="str">
        <f t="shared" si="160"/>
        <v>2SH - Operating Expense</v>
      </c>
      <c r="B2621" s="33" t="str">
        <f t="shared" si="161"/>
        <v>2SH</v>
      </c>
      <c r="C2621" s="33" t="str">
        <f t="shared" si="162"/>
        <v>68001-0861</v>
      </c>
      <c r="D2621" s="64" t="s">
        <v>3259</v>
      </c>
      <c r="E2621" s="64" t="s">
        <v>3260</v>
      </c>
      <c r="F2621" s="64" t="s">
        <v>15</v>
      </c>
      <c r="G2621" s="64" t="s">
        <v>3044</v>
      </c>
      <c r="H2621" s="64" t="s">
        <v>3022</v>
      </c>
      <c r="I2621" s="64" t="s">
        <v>3255</v>
      </c>
      <c r="J2621" s="67">
        <v>140.31</v>
      </c>
      <c r="K2621" s="62">
        <v>1111.21</v>
      </c>
      <c r="L2621" s="33" t="e">
        <f>HLOOKUP(B2621,#REF!,1,0)</f>
        <v>#REF!</v>
      </c>
      <c r="M2621" s="33" t="str">
        <f t="shared" si="163"/>
        <v>P&amp;L</v>
      </c>
    </row>
    <row r="2622" spans="1:13" s="33" customFormat="true" ht="12.75" customHeight="true">
      <c r="A2622" s="33" t="str">
        <f t="shared" si="160"/>
        <v>2SH - Operating Expense</v>
      </c>
      <c r="B2622" s="33" t="str">
        <f t="shared" si="161"/>
        <v>2SH</v>
      </c>
      <c r="C2622" s="33" t="str">
        <f t="shared" si="162"/>
        <v>68001-0862</v>
      </c>
      <c r="D2622" s="64" t="s">
        <v>3261</v>
      </c>
      <c r="E2622" s="64" t="s">
        <v>3260</v>
      </c>
      <c r="F2622" s="64" t="s">
        <v>15</v>
      </c>
      <c r="G2622" s="64" t="s">
        <v>3044</v>
      </c>
      <c r="H2622" s="64" t="s">
        <v>3022</v>
      </c>
      <c r="I2622" s="64" t="s">
        <v>3255</v>
      </c>
      <c r="J2622" s="67">
        <v>143</v>
      </c>
      <c r="K2622" s="62">
        <v>1094.74</v>
      </c>
      <c r="L2622" s="33" t="e">
        <f>HLOOKUP(B2622,#REF!,1,0)</f>
        <v>#REF!</v>
      </c>
      <c r="M2622" s="33" t="str">
        <f t="shared" si="163"/>
        <v>P&amp;L</v>
      </c>
    </row>
    <row r="2623" spans="1:13" s="33" customFormat="true" ht="12.75" customHeight="true">
      <c r="A2623" s="33" t="str">
        <f t="shared" si="160"/>
        <v>2SH - Operating Expense</v>
      </c>
      <c r="B2623" s="33" t="str">
        <f t="shared" si="161"/>
        <v>2SH</v>
      </c>
      <c r="C2623" s="33" t="str">
        <f t="shared" si="162"/>
        <v>68001-0864</v>
      </c>
      <c r="D2623" s="64" t="s">
        <v>3262</v>
      </c>
      <c r="E2623" s="64" t="s">
        <v>3260</v>
      </c>
      <c r="F2623" s="64" t="s">
        <v>15</v>
      </c>
      <c r="G2623" s="64" t="s">
        <v>3044</v>
      </c>
      <c r="H2623" s="64" t="s">
        <v>3022</v>
      </c>
      <c r="I2623" s="64" t="s">
        <v>3255</v>
      </c>
      <c r="J2623" s="67">
        <v>145</v>
      </c>
      <c r="K2623" s="62">
        <v>1095.12</v>
      </c>
      <c r="L2623" s="33" t="e">
        <f>HLOOKUP(B2623,#REF!,1,0)</f>
        <v>#REF!</v>
      </c>
      <c r="M2623" s="33" t="str">
        <f t="shared" si="163"/>
        <v>P&amp;L</v>
      </c>
    </row>
    <row r="2624" spans="1:13" s="33" customFormat="true" ht="12.75" customHeight="true">
      <c r="A2624" s="33" t="str">
        <f t="shared" si="160"/>
        <v>2SH - Operating Expense</v>
      </c>
      <c r="B2624" s="33" t="str">
        <f t="shared" si="161"/>
        <v>2SH</v>
      </c>
      <c r="C2624" s="33" t="str">
        <f t="shared" si="162"/>
        <v>68001-0866</v>
      </c>
      <c r="D2624" s="64" t="s">
        <v>3263</v>
      </c>
      <c r="E2624" s="64" t="s">
        <v>3260</v>
      </c>
      <c r="F2624" s="64" t="s">
        <v>15</v>
      </c>
      <c r="G2624" s="64" t="s">
        <v>3044</v>
      </c>
      <c r="H2624" s="64" t="s">
        <v>3022</v>
      </c>
      <c r="I2624" s="64" t="s">
        <v>3255</v>
      </c>
      <c r="J2624" s="67">
        <v>145.31</v>
      </c>
      <c r="K2624" s="62">
        <v>1097.04</v>
      </c>
      <c r="L2624" s="33" t="e">
        <f>HLOOKUP(B2624,#REF!,1,0)</f>
        <v>#REF!</v>
      </c>
      <c r="M2624" s="33" t="str">
        <f t="shared" si="163"/>
        <v>P&amp;L</v>
      </c>
    </row>
    <row r="2625" spans="1:13" s="33" customFormat="true" ht="12.75" customHeight="true">
      <c r="A2625" s="33" t="str">
        <f t="shared" si="160"/>
        <v>2SH - Facility</v>
      </c>
      <c r="B2625" s="33" t="str">
        <f t="shared" si="161"/>
        <v>2SH</v>
      </c>
      <c r="C2625" s="33" t="str">
        <f t="shared" si="162"/>
        <v>70001-0861</v>
      </c>
      <c r="D2625" s="64" t="s">
        <v>3264</v>
      </c>
      <c r="E2625" s="64" t="s">
        <v>3265</v>
      </c>
      <c r="F2625" s="64" t="s">
        <v>15</v>
      </c>
      <c r="G2625" s="64" t="s">
        <v>3266</v>
      </c>
      <c r="H2625" s="64" t="s">
        <v>3267</v>
      </c>
      <c r="I2625" s="64" t="s">
        <v>3268</v>
      </c>
      <c r="J2625" s="67">
        <v>5568.75</v>
      </c>
      <c r="K2625" s="62">
        <v>55687.5</v>
      </c>
      <c r="L2625" s="33" t="e">
        <f>HLOOKUP(B2625,#REF!,1,0)</f>
        <v>#REF!</v>
      </c>
      <c r="M2625" s="33" t="str">
        <f t="shared" si="163"/>
        <v>P&amp;L</v>
      </c>
    </row>
    <row r="2626" spans="1:13" s="33" customFormat="true" ht="12.75" customHeight="true">
      <c r="A2626" s="33" t="str">
        <f t="shared" ref="A2626:A2689" si="164">B2626&amp;" - "&amp;TRIM(H2626)</f>
        <v>2SH - Facility</v>
      </c>
      <c r="B2626" s="33" t="str">
        <f t="shared" ref="B2626:B2689" si="165">LEFT(D2626,3)</f>
        <v>2SH</v>
      </c>
      <c r="C2626" s="33" t="str">
        <f t="shared" ref="C2626:C2689" si="166">RIGHT(D2626,10)</f>
        <v>70001-0864</v>
      </c>
      <c r="D2626" s="64" t="s">
        <v>3269</v>
      </c>
      <c r="E2626" s="64" t="s">
        <v>3265</v>
      </c>
      <c r="F2626" s="64" t="s">
        <v>15</v>
      </c>
      <c r="G2626" s="64" t="s">
        <v>3266</v>
      </c>
      <c r="H2626" s="64" t="s">
        <v>3267</v>
      </c>
      <c r="I2626" s="64" t="s">
        <v>3268</v>
      </c>
      <c r="J2626" s="67">
        <v>11550</v>
      </c>
      <c r="K2626" s="62">
        <v>115500</v>
      </c>
      <c r="L2626" s="33" t="e">
        <f>HLOOKUP(B2626,#REF!,1,0)</f>
        <v>#REF!</v>
      </c>
      <c r="M2626" s="33" t="str">
        <f t="shared" ref="M2626:M2689" si="167">IF(VALUE(LEFT(C2626,5))&gt;40000,"P&amp;L","BS")</f>
        <v>P&amp;L</v>
      </c>
    </row>
    <row r="2627" spans="1:13" s="33" customFormat="true" ht="12.75" customHeight="true">
      <c r="A2627" s="33" t="str">
        <f t="shared" si="164"/>
        <v>2SH - Facility</v>
      </c>
      <c r="B2627" s="33" t="str">
        <f t="shared" si="165"/>
        <v>2SH</v>
      </c>
      <c r="C2627" s="33" t="str">
        <f t="shared" si="166"/>
        <v>70001-0866</v>
      </c>
      <c r="D2627" s="64" t="s">
        <v>3270</v>
      </c>
      <c r="E2627" s="64" t="s">
        <v>3265</v>
      </c>
      <c r="F2627" s="64" t="s">
        <v>15</v>
      </c>
      <c r="G2627" s="64" t="s">
        <v>3266</v>
      </c>
      <c r="H2627" s="64" t="s">
        <v>3267</v>
      </c>
      <c r="I2627" s="64" t="s">
        <v>3268</v>
      </c>
      <c r="J2627" s="67">
        <v>15800</v>
      </c>
      <c r="K2627" s="62">
        <v>158000</v>
      </c>
      <c r="L2627" s="33" t="e">
        <f>HLOOKUP(B2627,#REF!,1,0)</f>
        <v>#REF!</v>
      </c>
      <c r="M2627" s="33" t="str">
        <f t="shared" si="167"/>
        <v>P&amp;L</v>
      </c>
    </row>
    <row r="2628" spans="1:13" s="33" customFormat="true" ht="12.75" customHeight="true">
      <c r="A2628" s="33" t="str">
        <f t="shared" si="164"/>
        <v>2SH - Facility</v>
      </c>
      <c r="B2628" s="33" t="str">
        <f t="shared" si="165"/>
        <v>2SH</v>
      </c>
      <c r="C2628" s="33" t="str">
        <f t="shared" si="166"/>
        <v>70002-0862</v>
      </c>
      <c r="D2628" s="64" t="s">
        <v>3271</v>
      </c>
      <c r="E2628" s="64" t="s">
        <v>3272</v>
      </c>
      <c r="F2628" s="64" t="s">
        <v>15</v>
      </c>
      <c r="G2628" s="64" t="s">
        <v>3266</v>
      </c>
      <c r="H2628" s="64" t="s">
        <v>3267</v>
      </c>
      <c r="I2628" s="64" t="s">
        <v>3268</v>
      </c>
      <c r="J2628" s="67">
        <v>13000</v>
      </c>
      <c r="K2628" s="62">
        <v>130000</v>
      </c>
      <c r="L2628" s="33" t="e">
        <f>HLOOKUP(B2628,#REF!,1,0)</f>
        <v>#REF!</v>
      </c>
      <c r="M2628" s="33" t="str">
        <f t="shared" si="167"/>
        <v>P&amp;L</v>
      </c>
    </row>
    <row r="2629" spans="1:13" s="33" customFormat="true" ht="12.75" customHeight="true">
      <c r="A2629" s="33" t="str">
        <f t="shared" si="164"/>
        <v>2SH - Facility</v>
      </c>
      <c r="B2629" s="33" t="str">
        <f t="shared" si="165"/>
        <v>2SH</v>
      </c>
      <c r="C2629" s="33" t="str">
        <f t="shared" si="166"/>
        <v>71001-0862</v>
      </c>
      <c r="D2629" s="64" t="s">
        <v>3273</v>
      </c>
      <c r="E2629" s="64" t="s">
        <v>3274</v>
      </c>
      <c r="F2629" s="64" t="s">
        <v>15</v>
      </c>
      <c r="G2629" s="64" t="s">
        <v>3266</v>
      </c>
      <c r="H2629" s="64" t="s">
        <v>3267</v>
      </c>
      <c r="I2629" s="64" t="s">
        <v>3275</v>
      </c>
      <c r="J2629" s="67">
        <v>5173.82</v>
      </c>
      <c r="K2629" s="62">
        <v>19040.28</v>
      </c>
      <c r="L2629" s="33" t="e">
        <f>HLOOKUP(B2629,#REF!,1,0)</f>
        <v>#REF!</v>
      </c>
      <c r="M2629" s="33" t="str">
        <f t="shared" si="167"/>
        <v>P&amp;L</v>
      </c>
    </row>
    <row r="2630" spans="1:13" s="33" customFormat="true" ht="12.75" customHeight="true">
      <c r="A2630" s="33" t="str">
        <f t="shared" si="164"/>
        <v>2SH - Facility</v>
      </c>
      <c r="B2630" s="33" t="str">
        <f t="shared" si="165"/>
        <v>2SH</v>
      </c>
      <c r="C2630" s="33" t="str">
        <f t="shared" si="166"/>
        <v>71001-0864</v>
      </c>
      <c r="D2630" s="64" t="s">
        <v>3276</v>
      </c>
      <c r="E2630" s="64" t="s">
        <v>3274</v>
      </c>
      <c r="F2630" s="64" t="s">
        <v>15</v>
      </c>
      <c r="G2630" s="64" t="s">
        <v>3266</v>
      </c>
      <c r="H2630" s="64" t="s">
        <v>3267</v>
      </c>
      <c r="I2630" s="64" t="s">
        <v>3275</v>
      </c>
      <c r="J2630" s="67">
        <v>208.33</v>
      </c>
      <c r="K2630" s="62">
        <v>2083.3</v>
      </c>
      <c r="L2630" s="33" t="e">
        <f>HLOOKUP(B2630,#REF!,1,0)</f>
        <v>#REF!</v>
      </c>
      <c r="M2630" s="33" t="str">
        <f t="shared" si="167"/>
        <v>P&amp;L</v>
      </c>
    </row>
    <row r="2631" spans="1:13" s="33" customFormat="true" ht="12.75" customHeight="true">
      <c r="A2631" s="33" t="str">
        <f t="shared" si="164"/>
        <v>2SH - Facility</v>
      </c>
      <c r="B2631" s="33" t="str">
        <f t="shared" si="165"/>
        <v>2SH</v>
      </c>
      <c r="C2631" s="33" t="str">
        <f t="shared" si="166"/>
        <v>71001-0866</v>
      </c>
      <c r="D2631" s="64" t="s">
        <v>3277</v>
      </c>
      <c r="E2631" s="64" t="s">
        <v>3274</v>
      </c>
      <c r="F2631" s="64" t="s">
        <v>15</v>
      </c>
      <c r="G2631" s="64" t="s">
        <v>3266</v>
      </c>
      <c r="H2631" s="64" t="s">
        <v>3267</v>
      </c>
      <c r="I2631" s="64" t="s">
        <v>3275</v>
      </c>
      <c r="J2631" s="67">
        <v>208.33</v>
      </c>
      <c r="K2631" s="62">
        <v>2083.3</v>
      </c>
      <c r="L2631" s="33" t="e">
        <f>HLOOKUP(B2631,#REF!,1,0)</f>
        <v>#REF!</v>
      </c>
      <c r="M2631" s="33" t="str">
        <f t="shared" si="167"/>
        <v>P&amp;L</v>
      </c>
    </row>
    <row r="2632" spans="1:13" s="33" customFormat="true" ht="12.75" customHeight="true">
      <c r="A2632" s="33" t="str">
        <f t="shared" si="164"/>
        <v>2SH - Facility</v>
      </c>
      <c r="B2632" s="33" t="str">
        <f t="shared" si="165"/>
        <v>2SH</v>
      </c>
      <c r="C2632" s="33" t="str">
        <f t="shared" si="166"/>
        <v>72001-0861</v>
      </c>
      <c r="D2632" s="64" t="s">
        <v>3278</v>
      </c>
      <c r="E2632" s="64" t="s">
        <v>3279</v>
      </c>
      <c r="F2632" s="64" t="s">
        <v>15</v>
      </c>
      <c r="G2632" s="64" t="s">
        <v>3266</v>
      </c>
      <c r="H2632" s="64" t="s">
        <v>3267</v>
      </c>
      <c r="I2632" s="64" t="s">
        <v>3280</v>
      </c>
      <c r="J2632" s="67">
        <v>1557</v>
      </c>
      <c r="K2632" s="62">
        <v>17819.97</v>
      </c>
      <c r="L2632" s="33" t="e">
        <f>HLOOKUP(B2632,#REF!,1,0)</f>
        <v>#REF!</v>
      </c>
      <c r="M2632" s="33" t="str">
        <f t="shared" si="167"/>
        <v>P&amp;L</v>
      </c>
    </row>
    <row r="2633" spans="1:13" s="33" customFormat="true" ht="12.75" customHeight="true">
      <c r="A2633" s="33" t="str">
        <f t="shared" si="164"/>
        <v>2SH - Facility</v>
      </c>
      <c r="B2633" s="33" t="str">
        <f t="shared" si="165"/>
        <v>2SH</v>
      </c>
      <c r="C2633" s="33" t="str">
        <f t="shared" si="166"/>
        <v>72001-0862</v>
      </c>
      <c r="D2633" s="64" t="s">
        <v>3281</v>
      </c>
      <c r="E2633" s="64" t="s">
        <v>3279</v>
      </c>
      <c r="F2633" s="64" t="s">
        <v>15</v>
      </c>
      <c r="G2633" s="64" t="s">
        <v>3266</v>
      </c>
      <c r="H2633" s="64" t="s">
        <v>3267</v>
      </c>
      <c r="I2633" s="64" t="s">
        <v>3280</v>
      </c>
      <c r="J2633" s="67">
        <v>0</v>
      </c>
      <c r="K2633" s="62">
        <v>13845.96</v>
      </c>
      <c r="L2633" s="33" t="e">
        <f>HLOOKUP(B2633,#REF!,1,0)</f>
        <v>#REF!</v>
      </c>
      <c r="M2633" s="33" t="str">
        <f t="shared" si="167"/>
        <v>P&amp;L</v>
      </c>
    </row>
    <row r="2634" spans="1:13" s="33" customFormat="true" ht="12.75" customHeight="true">
      <c r="A2634" s="33" t="str">
        <f t="shared" si="164"/>
        <v>2SH - Facility</v>
      </c>
      <c r="B2634" s="33" t="str">
        <f t="shared" si="165"/>
        <v>2SH</v>
      </c>
      <c r="C2634" s="33" t="str">
        <f t="shared" si="166"/>
        <v>72001-0864</v>
      </c>
      <c r="D2634" s="64" t="s">
        <v>3282</v>
      </c>
      <c r="E2634" s="64" t="s">
        <v>3279</v>
      </c>
      <c r="F2634" s="64" t="s">
        <v>15</v>
      </c>
      <c r="G2634" s="64" t="s">
        <v>3266</v>
      </c>
      <c r="H2634" s="64" t="s">
        <v>3267</v>
      </c>
      <c r="I2634" s="64" t="s">
        <v>3280</v>
      </c>
      <c r="J2634" s="67">
        <v>2780</v>
      </c>
      <c r="K2634" s="62">
        <v>44928.08</v>
      </c>
      <c r="L2634" s="33" t="e">
        <f>HLOOKUP(B2634,#REF!,1,0)</f>
        <v>#REF!</v>
      </c>
      <c r="M2634" s="33" t="str">
        <f t="shared" si="167"/>
        <v>P&amp;L</v>
      </c>
    </row>
    <row r="2635" spans="1:13" s="33" customFormat="true" ht="12.75" customHeight="true">
      <c r="A2635" s="33" t="str">
        <f t="shared" si="164"/>
        <v>2SH - Facility</v>
      </c>
      <c r="B2635" s="33" t="str">
        <f t="shared" si="165"/>
        <v>2SH</v>
      </c>
      <c r="C2635" s="33" t="str">
        <f t="shared" si="166"/>
        <v>72001-0866</v>
      </c>
      <c r="D2635" s="64" t="s">
        <v>3283</v>
      </c>
      <c r="E2635" s="64" t="s">
        <v>3279</v>
      </c>
      <c r="F2635" s="64" t="s">
        <v>15</v>
      </c>
      <c r="G2635" s="64" t="s">
        <v>3266</v>
      </c>
      <c r="H2635" s="64" t="s">
        <v>3267</v>
      </c>
      <c r="I2635" s="64" t="s">
        <v>3280</v>
      </c>
      <c r="J2635" s="67">
        <v>936</v>
      </c>
      <c r="K2635" s="62">
        <v>11227.69</v>
      </c>
      <c r="L2635" s="33" t="e">
        <f>HLOOKUP(B2635,#REF!,1,0)</f>
        <v>#REF!</v>
      </c>
      <c r="M2635" s="33" t="str">
        <f t="shared" si="167"/>
        <v>P&amp;L</v>
      </c>
    </row>
    <row r="2636" spans="1:13" s="33" customFormat="true" ht="12.75" customHeight="true">
      <c r="A2636" s="33" t="str">
        <f t="shared" si="164"/>
        <v>2SH - Facility</v>
      </c>
      <c r="B2636" s="33" t="str">
        <f t="shared" si="165"/>
        <v>2SH</v>
      </c>
      <c r="C2636" s="33" t="str">
        <f t="shared" si="166"/>
        <v>74001-0000</v>
      </c>
      <c r="D2636" s="64" t="s">
        <v>3284</v>
      </c>
      <c r="E2636" s="64" t="s">
        <v>3285</v>
      </c>
      <c r="F2636" s="64" t="s">
        <v>15</v>
      </c>
      <c r="G2636" s="64" t="s">
        <v>3266</v>
      </c>
      <c r="H2636" s="64" t="s">
        <v>3267</v>
      </c>
      <c r="I2636" s="64" t="s">
        <v>3286</v>
      </c>
      <c r="J2636" s="67">
        <v>824.25</v>
      </c>
      <c r="K2636" s="62">
        <v>824.25</v>
      </c>
      <c r="L2636" s="33" t="e">
        <f>HLOOKUP(B2636,#REF!,1,0)</f>
        <v>#REF!</v>
      </c>
      <c r="M2636" s="33" t="str">
        <f t="shared" si="167"/>
        <v>P&amp;L</v>
      </c>
    </row>
    <row r="2637" spans="1:13" s="33" customFormat="true" ht="12.75" customHeight="true">
      <c r="A2637" s="33" t="str">
        <f t="shared" si="164"/>
        <v>2SH - Facility</v>
      </c>
      <c r="B2637" s="33" t="str">
        <f t="shared" si="165"/>
        <v>2SH</v>
      </c>
      <c r="C2637" s="33" t="str">
        <f t="shared" si="166"/>
        <v>74001-0861</v>
      </c>
      <c r="D2637" s="64" t="s">
        <v>3287</v>
      </c>
      <c r="E2637" s="64" t="s">
        <v>3288</v>
      </c>
      <c r="F2637" s="64" t="s">
        <v>15</v>
      </c>
      <c r="G2637" s="64" t="s">
        <v>3266</v>
      </c>
      <c r="H2637" s="64" t="s">
        <v>3267</v>
      </c>
      <c r="I2637" s="64" t="s">
        <v>3286</v>
      </c>
      <c r="J2637" s="67">
        <v>439.62</v>
      </c>
      <c r="K2637" s="62">
        <v>4243.06</v>
      </c>
      <c r="L2637" s="33" t="e">
        <f>HLOOKUP(B2637,#REF!,1,0)</f>
        <v>#REF!</v>
      </c>
      <c r="M2637" s="33" t="str">
        <f t="shared" si="167"/>
        <v>P&amp;L</v>
      </c>
    </row>
    <row r="2638" spans="1:13" s="33" customFormat="true" ht="12.75" customHeight="true">
      <c r="A2638" s="33" t="str">
        <f t="shared" si="164"/>
        <v>2SH - Facility</v>
      </c>
      <c r="B2638" s="33" t="str">
        <f t="shared" si="165"/>
        <v>2SH</v>
      </c>
      <c r="C2638" s="33" t="str">
        <f t="shared" si="166"/>
        <v>74001-0862</v>
      </c>
      <c r="D2638" s="64" t="s">
        <v>3289</v>
      </c>
      <c r="E2638" s="64" t="s">
        <v>3288</v>
      </c>
      <c r="F2638" s="64" t="s">
        <v>15</v>
      </c>
      <c r="G2638" s="64" t="s">
        <v>3266</v>
      </c>
      <c r="H2638" s="64" t="s">
        <v>3267</v>
      </c>
      <c r="I2638" s="64" t="s">
        <v>3286</v>
      </c>
      <c r="J2638" s="67">
        <v>439.62</v>
      </c>
      <c r="K2638" s="62">
        <v>4243.06</v>
      </c>
      <c r="L2638" s="33" t="e">
        <f>HLOOKUP(B2638,#REF!,1,0)</f>
        <v>#REF!</v>
      </c>
      <c r="M2638" s="33" t="str">
        <f t="shared" si="167"/>
        <v>P&amp;L</v>
      </c>
    </row>
    <row r="2639" spans="1:13" s="33" customFormat="true" ht="12.75" customHeight="true">
      <c r="A2639" s="33" t="str">
        <f t="shared" si="164"/>
        <v>2SH - Facility</v>
      </c>
      <c r="B2639" s="33" t="str">
        <f t="shared" si="165"/>
        <v>2SH</v>
      </c>
      <c r="C2639" s="33" t="str">
        <f t="shared" si="166"/>
        <v>74001-0864</v>
      </c>
      <c r="D2639" s="64" t="s">
        <v>3290</v>
      </c>
      <c r="E2639" s="64" t="s">
        <v>3288</v>
      </c>
      <c r="F2639" s="64" t="s">
        <v>15</v>
      </c>
      <c r="G2639" s="64" t="s">
        <v>3266</v>
      </c>
      <c r="H2639" s="64" t="s">
        <v>3267</v>
      </c>
      <c r="I2639" s="64" t="s">
        <v>3286</v>
      </c>
      <c r="J2639" s="67">
        <v>439.62</v>
      </c>
      <c r="K2639" s="62">
        <v>4243.06</v>
      </c>
      <c r="L2639" s="33" t="e">
        <f>HLOOKUP(B2639,#REF!,1,0)</f>
        <v>#REF!</v>
      </c>
      <c r="M2639" s="33" t="str">
        <f t="shared" si="167"/>
        <v>P&amp;L</v>
      </c>
    </row>
    <row r="2640" spans="1:13" s="33" customFormat="true" ht="12.75" customHeight="true">
      <c r="A2640" s="33" t="str">
        <f t="shared" si="164"/>
        <v>2SH - Facility</v>
      </c>
      <c r="B2640" s="33" t="str">
        <f t="shared" si="165"/>
        <v>2SH</v>
      </c>
      <c r="C2640" s="33" t="str">
        <f t="shared" si="166"/>
        <v>74001-0866</v>
      </c>
      <c r="D2640" s="64" t="s">
        <v>3291</v>
      </c>
      <c r="E2640" s="64" t="s">
        <v>3288</v>
      </c>
      <c r="F2640" s="64" t="s">
        <v>15</v>
      </c>
      <c r="G2640" s="64" t="s">
        <v>3266</v>
      </c>
      <c r="H2640" s="64" t="s">
        <v>3267</v>
      </c>
      <c r="I2640" s="64" t="s">
        <v>3286</v>
      </c>
      <c r="J2640" s="67">
        <v>439.62</v>
      </c>
      <c r="K2640" s="62">
        <v>4243.06</v>
      </c>
      <c r="L2640" s="33" t="e">
        <f>HLOOKUP(B2640,#REF!,1,0)</f>
        <v>#REF!</v>
      </c>
      <c r="M2640" s="33" t="str">
        <f t="shared" si="167"/>
        <v>P&amp;L</v>
      </c>
    </row>
    <row r="2641" spans="1:13" s="33" customFormat="true" ht="12.75" customHeight="true">
      <c r="A2641" s="33" t="str">
        <f t="shared" si="164"/>
        <v>2SH - Facility</v>
      </c>
      <c r="B2641" s="33" t="str">
        <f t="shared" si="165"/>
        <v>2SH</v>
      </c>
      <c r="C2641" s="33" t="str">
        <f t="shared" si="166"/>
        <v>75001-0861</v>
      </c>
      <c r="D2641" s="64" t="s">
        <v>3292</v>
      </c>
      <c r="E2641" s="64" t="s">
        <v>3293</v>
      </c>
      <c r="F2641" s="64" t="s">
        <v>15</v>
      </c>
      <c r="G2641" s="64" t="s">
        <v>3266</v>
      </c>
      <c r="H2641" s="64" t="s">
        <v>3267</v>
      </c>
      <c r="I2641" s="64" t="s">
        <v>3294</v>
      </c>
      <c r="J2641" s="67">
        <v>0</v>
      </c>
      <c r="K2641" s="62">
        <v>755.99</v>
      </c>
      <c r="L2641" s="33" t="e">
        <f>HLOOKUP(B2641,#REF!,1,0)</f>
        <v>#REF!</v>
      </c>
      <c r="M2641" s="33" t="str">
        <f t="shared" si="167"/>
        <v>P&amp;L</v>
      </c>
    </row>
    <row r="2642" spans="1:13" s="33" customFormat="true" ht="12.75" customHeight="true">
      <c r="A2642" s="33" t="str">
        <f t="shared" si="164"/>
        <v>2SH - Facility</v>
      </c>
      <c r="B2642" s="33" t="str">
        <f t="shared" si="165"/>
        <v>2SH</v>
      </c>
      <c r="C2642" s="33" t="str">
        <f t="shared" si="166"/>
        <v>75001-0862</v>
      </c>
      <c r="D2642" s="64" t="s">
        <v>3295</v>
      </c>
      <c r="E2642" s="64" t="s">
        <v>3293</v>
      </c>
      <c r="F2642" s="64" t="s">
        <v>15</v>
      </c>
      <c r="G2642" s="64" t="s">
        <v>3266</v>
      </c>
      <c r="H2642" s="64" t="s">
        <v>3267</v>
      </c>
      <c r="I2642" s="64" t="s">
        <v>3294</v>
      </c>
      <c r="J2642" s="67">
        <v>0</v>
      </c>
      <c r="K2642" s="62">
        <v>1042.18</v>
      </c>
      <c r="L2642" s="33" t="e">
        <f>HLOOKUP(B2642,#REF!,1,0)</f>
        <v>#REF!</v>
      </c>
      <c r="M2642" s="33" t="str">
        <f t="shared" si="167"/>
        <v>P&amp;L</v>
      </c>
    </row>
    <row r="2643" spans="1:13" s="33" customFormat="true" ht="12.75" customHeight="true">
      <c r="A2643" s="33" t="str">
        <f t="shared" si="164"/>
        <v>2SH - Facility</v>
      </c>
      <c r="B2643" s="33" t="str">
        <f t="shared" si="165"/>
        <v>2SH</v>
      </c>
      <c r="C2643" s="33" t="str">
        <f t="shared" si="166"/>
        <v>75001-0864</v>
      </c>
      <c r="D2643" s="64" t="s">
        <v>3296</v>
      </c>
      <c r="E2643" s="64" t="s">
        <v>3293</v>
      </c>
      <c r="F2643" s="64" t="s">
        <v>15</v>
      </c>
      <c r="G2643" s="64" t="s">
        <v>3266</v>
      </c>
      <c r="H2643" s="64" t="s">
        <v>3267</v>
      </c>
      <c r="I2643" s="64" t="s">
        <v>3294</v>
      </c>
      <c r="J2643" s="67">
        <v>0</v>
      </c>
      <c r="K2643" s="62">
        <v>561.62</v>
      </c>
      <c r="L2643" s="33" t="e">
        <f>HLOOKUP(B2643,#REF!,1,0)</f>
        <v>#REF!</v>
      </c>
      <c r="M2643" s="33" t="str">
        <f t="shared" si="167"/>
        <v>P&amp;L</v>
      </c>
    </row>
    <row r="2644" spans="1:13" s="33" customFormat="true" ht="12.75" customHeight="true">
      <c r="A2644" s="33" t="str">
        <f t="shared" si="164"/>
        <v>2SH - Facility</v>
      </c>
      <c r="B2644" s="33" t="str">
        <f t="shared" si="165"/>
        <v>2SH</v>
      </c>
      <c r="C2644" s="33" t="str">
        <f t="shared" si="166"/>
        <v>75001-0866</v>
      </c>
      <c r="D2644" s="64" t="s">
        <v>3297</v>
      </c>
      <c r="E2644" s="64" t="s">
        <v>3293</v>
      </c>
      <c r="F2644" s="64" t="s">
        <v>15</v>
      </c>
      <c r="G2644" s="64" t="s">
        <v>3266</v>
      </c>
      <c r="H2644" s="64" t="s">
        <v>3267</v>
      </c>
      <c r="I2644" s="64" t="s">
        <v>3294</v>
      </c>
      <c r="J2644" s="67">
        <v>0</v>
      </c>
      <c r="K2644" s="62">
        <v>829.72</v>
      </c>
      <c r="L2644" s="33" t="e">
        <f>HLOOKUP(B2644,#REF!,1,0)</f>
        <v>#REF!</v>
      </c>
      <c r="M2644" s="33" t="str">
        <f t="shared" si="167"/>
        <v>P&amp;L</v>
      </c>
    </row>
    <row r="2645" spans="1:13" s="33" customFormat="true" ht="12.75" customHeight="true">
      <c r="A2645" s="33" t="str">
        <f t="shared" si="164"/>
        <v>2SH - Other Income/Expense</v>
      </c>
      <c r="B2645" s="33" t="str">
        <f t="shared" si="165"/>
        <v>2SH</v>
      </c>
      <c r="C2645" s="33" t="str">
        <f t="shared" si="166"/>
        <v>80001-0861</v>
      </c>
      <c r="D2645" s="64" t="s">
        <v>3298</v>
      </c>
      <c r="E2645" s="64" t="s">
        <v>3299</v>
      </c>
      <c r="F2645" s="64" t="s">
        <v>15</v>
      </c>
      <c r="G2645" s="64" t="s">
        <v>3021</v>
      </c>
      <c r="H2645" s="64" t="s">
        <v>3300</v>
      </c>
      <c r="I2645" s="64" t="s">
        <v>3023</v>
      </c>
      <c r="J2645" s="67">
        <v>0</v>
      </c>
      <c r="K2645" s="62">
        <v>0</v>
      </c>
      <c r="L2645" s="33" t="e">
        <f>HLOOKUP(B2645,#REF!,1,0)</f>
        <v>#REF!</v>
      </c>
      <c r="M2645" s="33" t="str">
        <f t="shared" si="167"/>
        <v>P&amp;L</v>
      </c>
    </row>
    <row r="2646" spans="1:13" s="33" customFormat="true" ht="12.75" customHeight="true">
      <c r="A2646" s="33" t="str">
        <f t="shared" si="164"/>
        <v>2SH - Other Income/Expense</v>
      </c>
      <c r="B2646" s="33" t="str">
        <f t="shared" si="165"/>
        <v>2SH</v>
      </c>
      <c r="C2646" s="33" t="str">
        <f t="shared" si="166"/>
        <v>80001-0862</v>
      </c>
      <c r="D2646" s="64" t="s">
        <v>3301</v>
      </c>
      <c r="E2646" s="64" t="s">
        <v>3299</v>
      </c>
      <c r="F2646" s="64" t="s">
        <v>15</v>
      </c>
      <c r="G2646" s="64" t="s">
        <v>3021</v>
      </c>
      <c r="H2646" s="64" t="s">
        <v>3300</v>
      </c>
      <c r="I2646" s="64" t="s">
        <v>3023</v>
      </c>
      <c r="J2646" s="67">
        <v>62.94</v>
      </c>
      <c r="K2646" s="62">
        <v>62.94</v>
      </c>
      <c r="L2646" s="33" t="e">
        <f>HLOOKUP(B2646,#REF!,1,0)</f>
        <v>#REF!</v>
      </c>
      <c r="M2646" s="33" t="str">
        <f t="shared" si="167"/>
        <v>P&amp;L</v>
      </c>
    </row>
    <row r="2647" spans="1:13" s="33" customFormat="true" ht="12.75" customHeight="true">
      <c r="A2647" s="33" t="str">
        <f t="shared" si="164"/>
        <v>2SH - Other Income/Expense</v>
      </c>
      <c r="B2647" s="33" t="str">
        <f t="shared" si="165"/>
        <v>2SH</v>
      </c>
      <c r="C2647" s="33" t="str">
        <f t="shared" si="166"/>
        <v>80001-0864</v>
      </c>
      <c r="D2647" s="64" t="s">
        <v>3302</v>
      </c>
      <c r="E2647" s="64" t="s">
        <v>3299</v>
      </c>
      <c r="F2647" s="64" t="s">
        <v>15</v>
      </c>
      <c r="G2647" s="64" t="s">
        <v>3021</v>
      </c>
      <c r="H2647" s="64" t="s">
        <v>3300</v>
      </c>
      <c r="I2647" s="64" t="s">
        <v>3023</v>
      </c>
      <c r="J2647" s="67">
        <v>0</v>
      </c>
      <c r="K2647" s="62">
        <v>43.72</v>
      </c>
      <c r="L2647" s="33" t="e">
        <f>HLOOKUP(B2647,#REF!,1,0)</f>
        <v>#REF!</v>
      </c>
      <c r="M2647" s="33" t="str">
        <f t="shared" si="167"/>
        <v>P&amp;L</v>
      </c>
    </row>
    <row r="2648" spans="1:13" s="33" customFormat="true" ht="12.75" customHeight="true">
      <c r="A2648" s="33" t="str">
        <f t="shared" si="164"/>
        <v>2SH - Other Income/Expense</v>
      </c>
      <c r="B2648" s="33" t="str">
        <f t="shared" si="165"/>
        <v>2SH</v>
      </c>
      <c r="C2648" s="33" t="str">
        <f t="shared" si="166"/>
        <v>80001-0866</v>
      </c>
      <c r="D2648" s="64" t="s">
        <v>3303</v>
      </c>
      <c r="E2648" s="64" t="s">
        <v>3299</v>
      </c>
      <c r="F2648" s="64" t="s">
        <v>15</v>
      </c>
      <c r="G2648" s="64" t="s">
        <v>3021</v>
      </c>
      <c r="H2648" s="64" t="s">
        <v>3300</v>
      </c>
      <c r="I2648" s="64" t="s">
        <v>3023</v>
      </c>
      <c r="J2648" s="67">
        <v>0</v>
      </c>
      <c r="K2648" s="62">
        <v>0</v>
      </c>
      <c r="L2648" s="33" t="e">
        <f>HLOOKUP(B2648,#REF!,1,0)</f>
        <v>#REF!</v>
      </c>
      <c r="M2648" s="33" t="str">
        <f t="shared" si="167"/>
        <v>P&amp;L</v>
      </c>
    </row>
    <row r="2649" spans="1:13" s="33" customFormat="true" ht="12.75" customHeight="true">
      <c r="A2649" s="33" t="str">
        <f t="shared" si="164"/>
        <v>2SH - Other Income/Expense</v>
      </c>
      <c r="B2649" s="33" t="str">
        <f t="shared" si="165"/>
        <v>2SH</v>
      </c>
      <c r="C2649" s="33" t="str">
        <f t="shared" si="166"/>
        <v>80001-7124</v>
      </c>
      <c r="D2649" s="64" t="s">
        <v>3304</v>
      </c>
      <c r="E2649" s="64" t="s">
        <v>3299</v>
      </c>
      <c r="F2649" s="64" t="s">
        <v>15</v>
      </c>
      <c r="G2649" s="64" t="s">
        <v>3021</v>
      </c>
      <c r="H2649" s="64" t="s">
        <v>3300</v>
      </c>
      <c r="I2649" s="64" t="s">
        <v>3023</v>
      </c>
      <c r="J2649" s="67">
        <v>0</v>
      </c>
      <c r="K2649" s="62">
        <v>0</v>
      </c>
      <c r="L2649" s="33" t="e">
        <f>HLOOKUP(B2649,#REF!,1,0)</f>
        <v>#REF!</v>
      </c>
      <c r="M2649" s="33" t="str">
        <f t="shared" si="167"/>
        <v>P&amp;L</v>
      </c>
    </row>
    <row r="2650" spans="1:13" s="33" customFormat="true" ht="12.75" customHeight="true">
      <c r="A2650" s="33" t="str">
        <f t="shared" si="164"/>
        <v>2SH - Other Income/Expense</v>
      </c>
      <c r="B2650" s="33" t="str">
        <f t="shared" si="165"/>
        <v>2SH</v>
      </c>
      <c r="C2650" s="33" t="str">
        <f t="shared" si="166"/>
        <v>90002-0000</v>
      </c>
      <c r="D2650" s="64" t="s">
        <v>3305</v>
      </c>
      <c r="E2650" s="64" t="s">
        <v>3306</v>
      </c>
      <c r="F2650" s="64" t="s">
        <v>15</v>
      </c>
      <c r="G2650" s="64" t="s">
        <v>3017</v>
      </c>
      <c r="H2650" s="64" t="s">
        <v>3300</v>
      </c>
      <c r="I2650" s="64" t="s">
        <v>3307</v>
      </c>
      <c r="J2650" s="67">
        <v>10988.24</v>
      </c>
      <c r="K2650" s="62">
        <v>122103.84</v>
      </c>
      <c r="L2650" s="33" t="e">
        <f>HLOOKUP(B2650,#REF!,1,0)</f>
        <v>#REF!</v>
      </c>
      <c r="M2650" s="33" t="str">
        <f t="shared" si="167"/>
        <v>P&amp;L</v>
      </c>
    </row>
    <row r="2651" spans="1:13" s="33" customFormat="true" ht="12.75" customHeight="true">
      <c r="A2651" s="33" t="str">
        <f t="shared" si="164"/>
        <v>2SH - Other Income/Expense</v>
      </c>
      <c r="B2651" s="33" t="str">
        <f t="shared" si="165"/>
        <v>2SH</v>
      </c>
      <c r="C2651" s="33" t="str">
        <f t="shared" si="166"/>
        <v>90013-0000</v>
      </c>
      <c r="D2651" s="64" t="s">
        <v>3308</v>
      </c>
      <c r="E2651" s="64" t="s">
        <v>3309</v>
      </c>
      <c r="F2651" s="64" t="s">
        <v>15</v>
      </c>
      <c r="G2651" s="64" t="s">
        <v>3017</v>
      </c>
      <c r="H2651" s="64" t="s">
        <v>3300</v>
      </c>
      <c r="I2651" s="64" t="s">
        <v>3307</v>
      </c>
      <c r="J2651" s="67">
        <v>0</v>
      </c>
      <c r="K2651" s="62">
        <v>170.12</v>
      </c>
      <c r="L2651" s="33" t="e">
        <f>HLOOKUP(B2651,#REF!,1,0)</f>
        <v>#REF!</v>
      </c>
      <c r="M2651" s="33" t="str">
        <f t="shared" si="167"/>
        <v>P&amp;L</v>
      </c>
    </row>
    <row r="2652" spans="1:13" s="33" customFormat="true" ht="12.75" customHeight="true">
      <c r="A2652" s="33" t="str">
        <f t="shared" si="164"/>
        <v>2SH - Other Income/Expense</v>
      </c>
      <c r="B2652" s="33" t="str">
        <f t="shared" si="165"/>
        <v>2SH</v>
      </c>
      <c r="C2652" s="33" t="str">
        <f t="shared" si="166"/>
        <v>90014-0000</v>
      </c>
      <c r="D2652" s="64" t="s">
        <v>3310</v>
      </c>
      <c r="E2652" s="64" t="s">
        <v>3311</v>
      </c>
      <c r="F2652" s="64" t="s">
        <v>15</v>
      </c>
      <c r="G2652" s="64" t="s">
        <v>3017</v>
      </c>
      <c r="H2652" s="64" t="s">
        <v>3300</v>
      </c>
      <c r="I2652" s="64" t="s">
        <v>3307</v>
      </c>
      <c r="J2652" s="67">
        <v>1382</v>
      </c>
      <c r="K2652" s="62">
        <v>1382</v>
      </c>
      <c r="L2652" s="33" t="e">
        <f>HLOOKUP(B2652,#REF!,1,0)</f>
        <v>#REF!</v>
      </c>
      <c r="M2652" s="33" t="str">
        <f t="shared" si="167"/>
        <v>P&amp;L</v>
      </c>
    </row>
    <row r="2653" spans="1:13" s="33" customFormat="true" ht="12.75" customHeight="true">
      <c r="A2653" s="33" t="str">
        <f t="shared" si="164"/>
        <v>2SH - Other Income/Expense</v>
      </c>
      <c r="B2653" s="33" t="str">
        <f t="shared" si="165"/>
        <v>2SH</v>
      </c>
      <c r="C2653" s="33" t="str">
        <f t="shared" si="166"/>
        <v>90202-0000</v>
      </c>
      <c r="D2653" s="64" t="s">
        <v>3312</v>
      </c>
      <c r="E2653" s="64" t="s">
        <v>3313</v>
      </c>
      <c r="F2653" s="64" t="s">
        <v>15</v>
      </c>
      <c r="G2653" s="64" t="s">
        <v>3017</v>
      </c>
      <c r="H2653" s="64" t="s">
        <v>3300</v>
      </c>
      <c r="I2653" s="64" t="s">
        <v>3010</v>
      </c>
      <c r="J2653" s="67">
        <v>1283.59</v>
      </c>
      <c r="K2653" s="62">
        <v>12790.93</v>
      </c>
      <c r="L2653" s="33" t="e">
        <f>HLOOKUP(B2653,#REF!,1,0)</f>
        <v>#REF!</v>
      </c>
      <c r="M2653" s="33" t="str">
        <f t="shared" si="167"/>
        <v>P&amp;L</v>
      </c>
    </row>
    <row r="2654" spans="1:13" s="33" customFormat="true" ht="12.75" customHeight="true">
      <c r="A2654" s="33" t="str">
        <f t="shared" si="164"/>
        <v>2SH - Other Income/Expense</v>
      </c>
      <c r="B2654" s="33" t="str">
        <f t="shared" si="165"/>
        <v>2SH</v>
      </c>
      <c r="C2654" s="33" t="str">
        <f t="shared" si="166"/>
        <v>90601-0000</v>
      </c>
      <c r="D2654" s="64" t="s">
        <v>3314</v>
      </c>
      <c r="E2654" s="64" t="s">
        <v>3315</v>
      </c>
      <c r="F2654" s="64" t="s">
        <v>15</v>
      </c>
      <c r="G2654" s="64" t="s">
        <v>3017</v>
      </c>
      <c r="H2654" s="64" t="s">
        <v>3300</v>
      </c>
      <c r="I2654" s="64" t="s">
        <v>3316</v>
      </c>
      <c r="J2654" s="67">
        <v>1681.39</v>
      </c>
      <c r="K2654" s="62">
        <v>12758.53</v>
      </c>
      <c r="L2654" s="33" t="e">
        <f>HLOOKUP(B2654,#REF!,1,0)</f>
        <v>#REF!</v>
      </c>
      <c r="M2654" s="33" t="str">
        <f t="shared" si="167"/>
        <v>P&amp;L</v>
      </c>
    </row>
    <row r="2655" spans="1:13" s="33" customFormat="true" ht="12.75" customHeight="true">
      <c r="A2655" s="33" t="str">
        <f t="shared" si="164"/>
        <v>2SH - Other Income/Expense</v>
      </c>
      <c r="B2655" s="33" t="str">
        <f t="shared" si="165"/>
        <v>2SH</v>
      </c>
      <c r="C2655" s="33" t="str">
        <f t="shared" si="166"/>
        <v>91801-0861</v>
      </c>
      <c r="D2655" s="64" t="s">
        <v>3317</v>
      </c>
      <c r="E2655" s="64" t="s">
        <v>3318</v>
      </c>
      <c r="F2655" s="64" t="s">
        <v>15</v>
      </c>
      <c r="G2655" s="64" t="s">
        <v>3017</v>
      </c>
      <c r="H2655" s="64" t="s">
        <v>3300</v>
      </c>
      <c r="I2655" s="64" t="s">
        <v>3319</v>
      </c>
      <c r="J2655" s="67">
        <v>0</v>
      </c>
      <c r="K2655" s="62">
        <v>100</v>
      </c>
      <c r="L2655" s="33" t="e">
        <f>HLOOKUP(B2655,#REF!,1,0)</f>
        <v>#REF!</v>
      </c>
      <c r="M2655" s="33" t="str">
        <f t="shared" si="167"/>
        <v>P&amp;L</v>
      </c>
    </row>
    <row r="2656" spans="1:13" s="33" customFormat="true" ht="12.75" customHeight="true">
      <c r="A2656" s="33" t="str">
        <f t="shared" si="164"/>
        <v>2SH - Other Income/Expense</v>
      </c>
      <c r="B2656" s="33" t="str">
        <f t="shared" si="165"/>
        <v>2SH</v>
      </c>
      <c r="C2656" s="33" t="str">
        <f t="shared" si="166"/>
        <v>91801-0862</v>
      </c>
      <c r="D2656" s="64" t="s">
        <v>3320</v>
      </c>
      <c r="E2656" s="64" t="s">
        <v>3318</v>
      </c>
      <c r="F2656" s="64" t="s">
        <v>15</v>
      </c>
      <c r="G2656" s="64" t="s">
        <v>3017</v>
      </c>
      <c r="H2656" s="64" t="s">
        <v>3300</v>
      </c>
      <c r="I2656" s="64" t="s">
        <v>3319</v>
      </c>
      <c r="J2656" s="67">
        <v>0</v>
      </c>
      <c r="K2656" s="62">
        <v>100</v>
      </c>
      <c r="L2656" s="33" t="e">
        <f>HLOOKUP(B2656,#REF!,1,0)</f>
        <v>#REF!</v>
      </c>
      <c r="M2656" s="33" t="str">
        <f t="shared" si="167"/>
        <v>P&amp;L</v>
      </c>
    </row>
    <row r="2657" spans="1:13" s="33" customFormat="true" ht="12.75" customHeight="true">
      <c r="A2657" s="33" t="str">
        <f t="shared" si="164"/>
        <v>2SH - Other Income/Expense</v>
      </c>
      <c r="B2657" s="33" t="str">
        <f t="shared" si="165"/>
        <v>2SH</v>
      </c>
      <c r="C2657" s="33" t="str">
        <f t="shared" si="166"/>
        <v>91801-0864</v>
      </c>
      <c r="D2657" s="64" t="s">
        <v>3321</v>
      </c>
      <c r="E2657" s="64" t="s">
        <v>3318</v>
      </c>
      <c r="F2657" s="64" t="s">
        <v>15</v>
      </c>
      <c r="G2657" s="64" t="s">
        <v>3017</v>
      </c>
      <c r="H2657" s="64" t="s">
        <v>3300</v>
      </c>
      <c r="I2657" s="64" t="s">
        <v>3319</v>
      </c>
      <c r="J2657" s="67">
        <v>0</v>
      </c>
      <c r="K2657" s="62">
        <v>100</v>
      </c>
      <c r="L2657" s="33" t="e">
        <f>HLOOKUP(B2657,#REF!,1,0)</f>
        <v>#REF!</v>
      </c>
      <c r="M2657" s="33" t="str">
        <f t="shared" si="167"/>
        <v>P&amp;L</v>
      </c>
    </row>
    <row r="2658" spans="1:13" s="33" customFormat="true" ht="12.75" customHeight="true">
      <c r="A2658" s="33" t="str">
        <f t="shared" si="164"/>
        <v>2SH - Other Income/Expense</v>
      </c>
      <c r="B2658" s="33" t="str">
        <f t="shared" si="165"/>
        <v>2SH</v>
      </c>
      <c r="C2658" s="33" t="str">
        <f t="shared" si="166"/>
        <v>91801-0866</v>
      </c>
      <c r="D2658" s="64" t="s">
        <v>3322</v>
      </c>
      <c r="E2658" s="64" t="s">
        <v>3318</v>
      </c>
      <c r="F2658" s="64" t="s">
        <v>15</v>
      </c>
      <c r="G2658" s="64" t="s">
        <v>3323</v>
      </c>
      <c r="H2658" s="64" t="s">
        <v>3300</v>
      </c>
      <c r="I2658" s="64" t="s">
        <v>3319</v>
      </c>
      <c r="J2658" s="67">
        <v>0</v>
      </c>
      <c r="K2658" s="62">
        <v>100</v>
      </c>
      <c r="L2658" s="33" t="e">
        <f>HLOOKUP(B2658,#REF!,1,0)</f>
        <v>#REF!</v>
      </c>
      <c r="M2658" s="33" t="str">
        <f t="shared" si="167"/>
        <v>P&amp;L</v>
      </c>
    </row>
    <row r="2659" spans="1:13" s="33" customFormat="true" ht="12.75" customHeight="true">
      <c r="A2659" s="33" t="str">
        <f t="shared" si="164"/>
        <v>2SH - Interest Expense</v>
      </c>
      <c r="B2659" s="33" t="str">
        <f t="shared" si="165"/>
        <v>2SH</v>
      </c>
      <c r="C2659" s="33" t="str">
        <f t="shared" si="166"/>
        <v>92401-0861</v>
      </c>
      <c r="D2659" s="64" t="s">
        <v>3324</v>
      </c>
      <c r="E2659" s="64" t="s">
        <v>3325</v>
      </c>
      <c r="F2659" s="64" t="s">
        <v>15</v>
      </c>
      <c r="G2659" s="64" t="s">
        <v>3326</v>
      </c>
      <c r="H2659" s="64" t="s">
        <v>3327</v>
      </c>
      <c r="I2659" s="64" t="s">
        <v>3328</v>
      </c>
      <c r="J2659" s="67">
        <v>1763.69</v>
      </c>
      <c r="K2659" s="62">
        <v>14964.38</v>
      </c>
      <c r="L2659" s="33" t="e">
        <f>HLOOKUP(B2659,#REF!,1,0)</f>
        <v>#REF!</v>
      </c>
      <c r="M2659" s="33" t="str">
        <f t="shared" si="167"/>
        <v>P&amp;L</v>
      </c>
    </row>
    <row r="2660" spans="1:13" s="33" customFormat="true" ht="12.75" customHeight="true">
      <c r="A2660" s="33" t="str">
        <f t="shared" si="164"/>
        <v>2SH - Interest Expense</v>
      </c>
      <c r="B2660" s="33" t="str">
        <f t="shared" si="165"/>
        <v>2SH</v>
      </c>
      <c r="C2660" s="33" t="str">
        <f t="shared" si="166"/>
        <v>92401-0862</v>
      </c>
      <c r="D2660" s="64" t="s">
        <v>3329</v>
      </c>
      <c r="E2660" s="64" t="s">
        <v>3325</v>
      </c>
      <c r="F2660" s="64" t="s">
        <v>15</v>
      </c>
      <c r="G2660" s="64" t="s">
        <v>3326</v>
      </c>
      <c r="H2660" s="64" t="s">
        <v>3327</v>
      </c>
      <c r="I2660" s="64" t="s">
        <v>3328</v>
      </c>
      <c r="J2660" s="67">
        <v>1763.69</v>
      </c>
      <c r="K2660" s="62">
        <v>14964.37</v>
      </c>
      <c r="L2660" s="33" t="e">
        <f>HLOOKUP(B2660,#REF!,1,0)</f>
        <v>#REF!</v>
      </c>
      <c r="M2660" s="33" t="str">
        <f t="shared" si="167"/>
        <v>P&amp;L</v>
      </c>
    </row>
    <row r="2661" spans="1:13" s="33" customFormat="true" ht="12.75" customHeight="true">
      <c r="A2661" s="33" t="str">
        <f t="shared" si="164"/>
        <v>2SH - Interest Expense</v>
      </c>
      <c r="B2661" s="33" t="str">
        <f t="shared" si="165"/>
        <v>2SH</v>
      </c>
      <c r="C2661" s="33" t="str">
        <f t="shared" si="166"/>
        <v>92401-0864</v>
      </c>
      <c r="D2661" s="64" t="s">
        <v>3330</v>
      </c>
      <c r="E2661" s="64" t="s">
        <v>3325</v>
      </c>
      <c r="F2661" s="64" t="s">
        <v>15</v>
      </c>
      <c r="G2661" s="64" t="s">
        <v>3326</v>
      </c>
      <c r="H2661" s="64" t="s">
        <v>3327</v>
      </c>
      <c r="I2661" s="64" t="s">
        <v>3328</v>
      </c>
      <c r="J2661" s="67">
        <v>1763.69</v>
      </c>
      <c r="K2661" s="62">
        <v>14964.37</v>
      </c>
      <c r="L2661" s="33" t="e">
        <f>HLOOKUP(B2661,#REF!,1,0)</f>
        <v>#REF!</v>
      </c>
      <c r="M2661" s="33" t="str">
        <f t="shared" si="167"/>
        <v>P&amp;L</v>
      </c>
    </row>
    <row r="2662" spans="1:13" s="33" customFormat="true" ht="12.75" customHeight="true">
      <c r="A2662" s="33" t="str">
        <f t="shared" si="164"/>
        <v>2SH - Interest Expense</v>
      </c>
      <c r="B2662" s="33" t="str">
        <f t="shared" si="165"/>
        <v>2SH</v>
      </c>
      <c r="C2662" s="33" t="str">
        <f t="shared" si="166"/>
        <v>92401-0866</v>
      </c>
      <c r="D2662" s="64" t="s">
        <v>3331</v>
      </c>
      <c r="E2662" s="64" t="s">
        <v>3325</v>
      </c>
      <c r="F2662" s="64" t="s">
        <v>15</v>
      </c>
      <c r="G2662" s="64" t="s">
        <v>3326</v>
      </c>
      <c r="H2662" s="64" t="s">
        <v>3327</v>
      </c>
      <c r="I2662" s="64" t="s">
        <v>3328</v>
      </c>
      <c r="J2662" s="67">
        <v>1763.67</v>
      </c>
      <c r="K2662" s="62">
        <v>14964.16</v>
      </c>
      <c r="L2662" s="33" t="e">
        <f>HLOOKUP(B2662,#REF!,1,0)</f>
        <v>#REF!</v>
      </c>
      <c r="M2662" s="33" t="str">
        <f t="shared" si="167"/>
        <v>P&amp;L</v>
      </c>
    </row>
    <row r="2663" spans="1:13" s="33" customFormat="true" ht="12.75" customHeight="true">
      <c r="A2663" s="33" t="str">
        <f t="shared" si="164"/>
        <v>2SH - Other Income/Expense</v>
      </c>
      <c r="B2663" s="33" t="str">
        <f t="shared" si="165"/>
        <v>2SH</v>
      </c>
      <c r="C2663" s="33" t="str">
        <f t="shared" si="166"/>
        <v>92901-0861</v>
      </c>
      <c r="D2663" s="64" t="s">
        <v>3332</v>
      </c>
      <c r="E2663" s="64" t="s">
        <v>3333</v>
      </c>
      <c r="F2663" s="64" t="s">
        <v>15</v>
      </c>
      <c r="G2663" s="64" t="s">
        <v>3017</v>
      </c>
      <c r="H2663" s="64" t="s">
        <v>3300</v>
      </c>
      <c r="I2663" s="64" t="s">
        <v>3334</v>
      </c>
      <c r="J2663" s="67">
        <v>2522.38</v>
      </c>
      <c r="K2663" s="62">
        <v>39331.79</v>
      </c>
      <c r="L2663" s="33" t="e">
        <f>HLOOKUP(B2663,#REF!,1,0)</f>
        <v>#REF!</v>
      </c>
      <c r="M2663" s="33" t="str">
        <f t="shared" si="167"/>
        <v>P&amp;L</v>
      </c>
    </row>
    <row r="2664" spans="1:13" s="33" customFormat="true" ht="12.75" customHeight="true">
      <c r="A2664" s="33" t="str">
        <f t="shared" si="164"/>
        <v>2SH - Other Income/Expense</v>
      </c>
      <c r="B2664" s="33" t="str">
        <f t="shared" si="165"/>
        <v>2SH</v>
      </c>
      <c r="C2664" s="33" t="str">
        <f t="shared" si="166"/>
        <v>92901-0862</v>
      </c>
      <c r="D2664" s="64" t="s">
        <v>3335</v>
      </c>
      <c r="E2664" s="64" t="s">
        <v>3333</v>
      </c>
      <c r="F2664" s="64" t="s">
        <v>15</v>
      </c>
      <c r="G2664" s="64" t="s">
        <v>3017</v>
      </c>
      <c r="H2664" s="64" t="s">
        <v>3300</v>
      </c>
      <c r="I2664" s="64" t="s">
        <v>3334</v>
      </c>
      <c r="J2664" s="67">
        <v>4822.32</v>
      </c>
      <c r="K2664" s="62">
        <v>73409.19</v>
      </c>
      <c r="L2664" s="33" t="e">
        <f>HLOOKUP(B2664,#REF!,1,0)</f>
        <v>#REF!</v>
      </c>
      <c r="M2664" s="33" t="str">
        <f t="shared" si="167"/>
        <v>P&amp;L</v>
      </c>
    </row>
    <row r="2665" spans="1:13" s="33" customFormat="true" ht="12.75" customHeight="true">
      <c r="A2665" s="33" t="str">
        <f t="shared" si="164"/>
        <v>2SH - Other Income/Expense</v>
      </c>
      <c r="B2665" s="33" t="str">
        <f t="shared" si="165"/>
        <v>2SH</v>
      </c>
      <c r="C2665" s="33" t="str">
        <f t="shared" si="166"/>
        <v>92901-0864</v>
      </c>
      <c r="D2665" s="64" t="s">
        <v>3336</v>
      </c>
      <c r="E2665" s="64" t="s">
        <v>3333</v>
      </c>
      <c r="F2665" s="64" t="s">
        <v>15</v>
      </c>
      <c r="G2665" s="64" t="s">
        <v>3017</v>
      </c>
      <c r="H2665" s="64" t="s">
        <v>3300</v>
      </c>
      <c r="I2665" s="64" t="s">
        <v>3334</v>
      </c>
      <c r="J2665" s="67">
        <v>2660.63</v>
      </c>
      <c r="K2665" s="62">
        <v>44096.06</v>
      </c>
      <c r="L2665" s="33" t="e">
        <f>HLOOKUP(B2665,#REF!,1,0)</f>
        <v>#REF!</v>
      </c>
      <c r="M2665" s="33" t="str">
        <f t="shared" si="167"/>
        <v>P&amp;L</v>
      </c>
    </row>
    <row r="2666" spans="1:13" s="33" customFormat="true" ht="12.75" customHeight="true">
      <c r="A2666" s="33" t="str">
        <f t="shared" si="164"/>
        <v>2SH - Other Income/Expense</v>
      </c>
      <c r="B2666" s="33" t="str">
        <f t="shared" si="165"/>
        <v>2SH</v>
      </c>
      <c r="C2666" s="33" t="str">
        <f t="shared" si="166"/>
        <v>92901-0866</v>
      </c>
      <c r="D2666" s="64" t="s">
        <v>3337</v>
      </c>
      <c r="E2666" s="64" t="s">
        <v>3333</v>
      </c>
      <c r="F2666" s="64" t="s">
        <v>15</v>
      </c>
      <c r="G2666" s="64" t="s">
        <v>3017</v>
      </c>
      <c r="H2666" s="64" t="s">
        <v>3300</v>
      </c>
      <c r="I2666" s="64" t="s">
        <v>3334</v>
      </c>
      <c r="J2666" s="67">
        <v>3180.16</v>
      </c>
      <c r="K2666" s="62">
        <v>49354.75</v>
      </c>
      <c r="L2666" s="33" t="e">
        <f>HLOOKUP(B2666,#REF!,1,0)</f>
        <v>#REF!</v>
      </c>
      <c r="M2666" s="33" t="str">
        <f t="shared" si="167"/>
        <v>P&amp;L</v>
      </c>
    </row>
    <row r="2667" spans="1:13" s="33" customFormat="true" ht="12.75" customHeight="true">
      <c r="A2667" s="33" t="str">
        <f t="shared" si="164"/>
        <v>2SH - Other Income/Expense</v>
      </c>
      <c r="B2667" s="33" t="str">
        <f t="shared" si="165"/>
        <v>2SH</v>
      </c>
      <c r="C2667" s="33" t="str">
        <f t="shared" si="166"/>
        <v>93001-0000</v>
      </c>
      <c r="D2667" s="64" t="s">
        <v>3338</v>
      </c>
      <c r="E2667" s="64" t="s">
        <v>3339</v>
      </c>
      <c r="F2667" s="64" t="s">
        <v>15</v>
      </c>
      <c r="G2667" s="64" t="s">
        <v>3017</v>
      </c>
      <c r="H2667" s="64" t="s">
        <v>3300</v>
      </c>
      <c r="I2667" s="64" t="s">
        <v>3340</v>
      </c>
      <c r="J2667" s="67">
        <v>13.75</v>
      </c>
      <c r="K2667" s="62">
        <v>2054.59</v>
      </c>
      <c r="L2667" s="33" t="e">
        <f>HLOOKUP(B2667,#REF!,1,0)</f>
        <v>#REF!</v>
      </c>
      <c r="M2667" s="33" t="str">
        <f t="shared" si="167"/>
        <v>P&amp;L</v>
      </c>
    </row>
    <row r="2668" spans="1:13" s="33" customFormat="true" ht="12.75" customHeight="true">
      <c r="A2668" s="33" t="str">
        <f t="shared" si="164"/>
        <v>2SH - Other Income/Expense</v>
      </c>
      <c r="B2668" s="33" t="str">
        <f t="shared" si="165"/>
        <v>2SH</v>
      </c>
      <c r="C2668" s="33" t="str">
        <f t="shared" si="166"/>
        <v>93201-0000</v>
      </c>
      <c r="D2668" s="64" t="s">
        <v>3341</v>
      </c>
      <c r="E2668" s="64" t="s">
        <v>3226</v>
      </c>
      <c r="F2668" s="64" t="s">
        <v>15</v>
      </c>
      <c r="G2668" s="64" t="s">
        <v>3017</v>
      </c>
      <c r="H2668" s="64" t="s">
        <v>3300</v>
      </c>
      <c r="I2668" s="64" t="s">
        <v>3342</v>
      </c>
      <c r="J2668" s="67">
        <v>228</v>
      </c>
      <c r="K2668" s="62">
        <v>2397.5</v>
      </c>
      <c r="L2668" s="33" t="e">
        <f>HLOOKUP(B2668,#REF!,1,0)</f>
        <v>#REF!</v>
      </c>
      <c r="M2668" s="33" t="str">
        <f t="shared" si="167"/>
        <v>P&amp;L</v>
      </c>
    </row>
    <row r="2669" spans="1:13" s="33" customFormat="true" ht="12.75" customHeight="true">
      <c r="A2669" s="33" t="str">
        <f t="shared" si="164"/>
        <v>2SH - Other Income/Expense</v>
      </c>
      <c r="B2669" s="33" t="str">
        <f t="shared" si="165"/>
        <v>2SH</v>
      </c>
      <c r="C2669" s="33" t="str">
        <f t="shared" si="166"/>
        <v>93601-0861</v>
      </c>
      <c r="D2669" s="64" t="s">
        <v>3343</v>
      </c>
      <c r="E2669" s="64" t="s">
        <v>3344</v>
      </c>
      <c r="F2669" s="64" t="s">
        <v>15</v>
      </c>
      <c r="G2669" s="64" t="s">
        <v>3017</v>
      </c>
      <c r="H2669" s="64" t="s">
        <v>3300</v>
      </c>
      <c r="I2669" s="64" t="s">
        <v>3345</v>
      </c>
      <c r="J2669" s="67">
        <v>81.21</v>
      </c>
      <c r="K2669" s="62">
        <v>81.21</v>
      </c>
      <c r="L2669" s="33" t="e">
        <f>HLOOKUP(B2669,#REF!,1,0)</f>
        <v>#REF!</v>
      </c>
      <c r="M2669" s="33" t="str">
        <f t="shared" si="167"/>
        <v>P&amp;L</v>
      </c>
    </row>
    <row r="2670" spans="1:13" s="33" customFormat="true" ht="12.75" customHeight="true">
      <c r="A2670" s="33" t="str">
        <f t="shared" si="164"/>
        <v>2SH - Other Income/Expense</v>
      </c>
      <c r="B2670" s="33" t="str">
        <f t="shared" si="165"/>
        <v>2SH</v>
      </c>
      <c r="C2670" s="33" t="str">
        <f t="shared" si="166"/>
        <v>93601-0862</v>
      </c>
      <c r="D2670" s="64" t="s">
        <v>3346</v>
      </c>
      <c r="E2670" s="64" t="s">
        <v>3344</v>
      </c>
      <c r="F2670" s="64" t="s">
        <v>15</v>
      </c>
      <c r="G2670" s="64" t="s">
        <v>3017</v>
      </c>
      <c r="H2670" s="64" t="s">
        <v>3300</v>
      </c>
      <c r="I2670" s="64" t="s">
        <v>3345</v>
      </c>
      <c r="J2670" s="67">
        <v>81.21</v>
      </c>
      <c r="K2670" s="62">
        <v>81.21</v>
      </c>
      <c r="L2670" s="33" t="e">
        <f>HLOOKUP(B2670,#REF!,1,0)</f>
        <v>#REF!</v>
      </c>
      <c r="M2670" s="33" t="str">
        <f t="shared" si="167"/>
        <v>P&amp;L</v>
      </c>
    </row>
    <row r="2671" spans="1:13" s="33" customFormat="true" ht="12.75" customHeight="true">
      <c r="A2671" s="33" t="str">
        <f t="shared" si="164"/>
        <v>2SH - Other Income/Expense</v>
      </c>
      <c r="B2671" s="33" t="str">
        <f t="shared" si="165"/>
        <v>2SH</v>
      </c>
      <c r="C2671" s="33" t="str">
        <f t="shared" si="166"/>
        <v>93601-0864</v>
      </c>
      <c r="D2671" s="64" t="s">
        <v>3347</v>
      </c>
      <c r="E2671" s="64" t="s">
        <v>3344</v>
      </c>
      <c r="F2671" s="64" t="s">
        <v>15</v>
      </c>
      <c r="G2671" s="64" t="s">
        <v>3017</v>
      </c>
      <c r="H2671" s="64" t="s">
        <v>3300</v>
      </c>
      <c r="I2671" s="64" t="s">
        <v>3345</v>
      </c>
      <c r="J2671" s="67">
        <v>81.21</v>
      </c>
      <c r="K2671" s="62">
        <v>81.21</v>
      </c>
      <c r="L2671" s="33" t="e">
        <f>HLOOKUP(B2671,#REF!,1,0)</f>
        <v>#REF!</v>
      </c>
      <c r="M2671" s="33" t="str">
        <f t="shared" si="167"/>
        <v>P&amp;L</v>
      </c>
    </row>
    <row r="2672" spans="1:13" s="33" customFormat="true" ht="12.75" customHeight="true">
      <c r="A2672" s="33" t="str">
        <f t="shared" si="164"/>
        <v>2SH - Other Income/Expense</v>
      </c>
      <c r="B2672" s="33" t="str">
        <f t="shared" si="165"/>
        <v>2SH</v>
      </c>
      <c r="C2672" s="33" t="str">
        <f t="shared" si="166"/>
        <v>93601-0866</v>
      </c>
      <c r="D2672" s="64" t="s">
        <v>3348</v>
      </c>
      <c r="E2672" s="64" t="s">
        <v>3344</v>
      </c>
      <c r="F2672" s="64" t="s">
        <v>15</v>
      </c>
      <c r="G2672" s="64" t="s">
        <v>3017</v>
      </c>
      <c r="H2672" s="64" t="s">
        <v>3300</v>
      </c>
      <c r="I2672" s="64" t="s">
        <v>3345</v>
      </c>
      <c r="J2672" s="67">
        <v>81.21</v>
      </c>
      <c r="K2672" s="62">
        <v>81.21</v>
      </c>
      <c r="L2672" s="33" t="e">
        <f>HLOOKUP(B2672,#REF!,1,0)</f>
        <v>#REF!</v>
      </c>
      <c r="M2672" s="33" t="str">
        <f t="shared" si="167"/>
        <v>P&amp;L</v>
      </c>
    </row>
    <row r="2673" spans="1:13" s="33" customFormat="true" ht="12.75" customHeight="true">
      <c r="A2673" s="33" t="str">
        <f t="shared" si="164"/>
        <v>2SH - Other Income/Expense</v>
      </c>
      <c r="B2673" s="33" t="str">
        <f t="shared" si="165"/>
        <v>2SH</v>
      </c>
      <c r="C2673" s="33" t="str">
        <f t="shared" si="166"/>
        <v>94001-0000</v>
      </c>
      <c r="D2673" s="64" t="s">
        <v>3349</v>
      </c>
      <c r="E2673" s="64" t="s">
        <v>3350</v>
      </c>
      <c r="F2673" s="64" t="s">
        <v>15</v>
      </c>
      <c r="G2673" s="64" t="s">
        <v>3017</v>
      </c>
      <c r="H2673" s="64" t="s">
        <v>3300</v>
      </c>
      <c r="I2673" s="64" t="s">
        <v>3351</v>
      </c>
      <c r="J2673" s="67">
        <v>0</v>
      </c>
      <c r="K2673" s="62">
        <v>259.98</v>
      </c>
      <c r="L2673" s="33" t="e">
        <f>HLOOKUP(B2673,#REF!,1,0)</f>
        <v>#REF!</v>
      </c>
      <c r="M2673" s="33" t="str">
        <f t="shared" si="167"/>
        <v>P&amp;L</v>
      </c>
    </row>
    <row r="2674" spans="1:13" s="33" customFormat="true" ht="12.75" customHeight="true">
      <c r="A2674" s="33" t="str">
        <f t="shared" si="164"/>
        <v>2SH - Other Income/Expense</v>
      </c>
      <c r="B2674" s="33" t="str">
        <f t="shared" si="165"/>
        <v>2SH</v>
      </c>
      <c r="C2674" s="33" t="str">
        <f t="shared" si="166"/>
        <v>94201-0000</v>
      </c>
      <c r="D2674" s="64" t="s">
        <v>3352</v>
      </c>
      <c r="E2674" s="64" t="s">
        <v>3353</v>
      </c>
      <c r="F2674" s="64" t="s">
        <v>15</v>
      </c>
      <c r="G2674" s="64" t="s">
        <v>3017</v>
      </c>
      <c r="H2674" s="64" t="s">
        <v>3300</v>
      </c>
      <c r="I2674" s="64" t="s">
        <v>3354</v>
      </c>
      <c r="J2674" s="67">
        <v>0</v>
      </c>
      <c r="K2674" s="62">
        <v>1721.06</v>
      </c>
      <c r="L2674" s="33" t="e">
        <f>HLOOKUP(B2674,#REF!,1,0)</f>
        <v>#REF!</v>
      </c>
      <c r="M2674" s="33" t="str">
        <f t="shared" si="167"/>
        <v>P&amp;L</v>
      </c>
    </row>
    <row r="2675" spans="1:13" s="33" customFormat="true" ht="12.75" customHeight="true">
      <c r="A2675" s="33" t="str">
        <f t="shared" si="164"/>
        <v>2SH - Other Income/Expense</v>
      </c>
      <c r="B2675" s="33" t="str">
        <f t="shared" si="165"/>
        <v>2SH</v>
      </c>
      <c r="C2675" s="33" t="str">
        <f t="shared" si="166"/>
        <v>94201-0861</v>
      </c>
      <c r="D2675" s="64" t="s">
        <v>3355</v>
      </c>
      <c r="E2675" s="64" t="s">
        <v>3353</v>
      </c>
      <c r="F2675" s="64" t="s">
        <v>15</v>
      </c>
      <c r="G2675" s="64" t="s">
        <v>3017</v>
      </c>
      <c r="H2675" s="64" t="s">
        <v>3300</v>
      </c>
      <c r="I2675" s="64" t="s">
        <v>3354</v>
      </c>
      <c r="J2675" s="67">
        <v>950</v>
      </c>
      <c r="K2675" s="62">
        <v>10535.75</v>
      </c>
      <c r="L2675" s="33" t="e">
        <f>HLOOKUP(B2675,#REF!,1,0)</f>
        <v>#REF!</v>
      </c>
      <c r="M2675" s="33" t="str">
        <f t="shared" si="167"/>
        <v>P&amp;L</v>
      </c>
    </row>
    <row r="2676" spans="1:13" s="33" customFormat="true" ht="12.75" customHeight="true">
      <c r="A2676" s="33" t="str">
        <f t="shared" si="164"/>
        <v>2SH - Other Income/Expense</v>
      </c>
      <c r="B2676" s="33" t="str">
        <f t="shared" si="165"/>
        <v>2SH</v>
      </c>
      <c r="C2676" s="33" t="str">
        <f t="shared" si="166"/>
        <v>94201-0862</v>
      </c>
      <c r="D2676" s="64" t="s">
        <v>3356</v>
      </c>
      <c r="E2676" s="64" t="s">
        <v>3353</v>
      </c>
      <c r="F2676" s="64" t="s">
        <v>15</v>
      </c>
      <c r="G2676" s="64" t="s">
        <v>3017</v>
      </c>
      <c r="H2676" s="64" t="s">
        <v>3300</v>
      </c>
      <c r="I2676" s="64" t="s">
        <v>3354</v>
      </c>
      <c r="J2676" s="67">
        <v>950</v>
      </c>
      <c r="K2676" s="62">
        <v>10535.75</v>
      </c>
      <c r="L2676" s="33" t="e">
        <f>HLOOKUP(B2676,#REF!,1,0)</f>
        <v>#REF!</v>
      </c>
      <c r="M2676" s="33" t="str">
        <f t="shared" si="167"/>
        <v>P&amp;L</v>
      </c>
    </row>
    <row r="2677" spans="1:13" s="33" customFormat="true" ht="12.75" customHeight="true">
      <c r="A2677" s="33" t="str">
        <f t="shared" si="164"/>
        <v>2SH - Other Income/Expense</v>
      </c>
      <c r="B2677" s="33" t="str">
        <f t="shared" si="165"/>
        <v>2SH</v>
      </c>
      <c r="C2677" s="33" t="str">
        <f t="shared" si="166"/>
        <v>94201-0864</v>
      </c>
      <c r="D2677" s="64" t="s">
        <v>3357</v>
      </c>
      <c r="E2677" s="64" t="s">
        <v>3353</v>
      </c>
      <c r="F2677" s="64" t="s">
        <v>15</v>
      </c>
      <c r="G2677" s="64" t="s">
        <v>3017</v>
      </c>
      <c r="H2677" s="64" t="s">
        <v>3300</v>
      </c>
      <c r="I2677" s="64" t="s">
        <v>3354</v>
      </c>
      <c r="J2677" s="67">
        <v>950</v>
      </c>
      <c r="K2677" s="62">
        <v>10535.75</v>
      </c>
      <c r="L2677" s="33" t="e">
        <f>HLOOKUP(B2677,#REF!,1,0)</f>
        <v>#REF!</v>
      </c>
      <c r="M2677" s="33" t="str">
        <f t="shared" si="167"/>
        <v>P&amp;L</v>
      </c>
    </row>
    <row r="2678" spans="1:13" s="33" customFormat="true" ht="12.75" customHeight="true">
      <c r="A2678" s="33" t="str">
        <f t="shared" si="164"/>
        <v>2SH - Other Income/Expense</v>
      </c>
      <c r="B2678" s="33" t="str">
        <f t="shared" si="165"/>
        <v>2SH</v>
      </c>
      <c r="C2678" s="33" t="str">
        <f t="shared" si="166"/>
        <v>94201-0866</v>
      </c>
      <c r="D2678" s="64" t="s">
        <v>3358</v>
      </c>
      <c r="E2678" s="64" t="s">
        <v>3353</v>
      </c>
      <c r="F2678" s="64" t="s">
        <v>15</v>
      </c>
      <c r="G2678" s="64" t="s">
        <v>3017</v>
      </c>
      <c r="H2678" s="64" t="s">
        <v>3300</v>
      </c>
      <c r="I2678" s="64" t="s">
        <v>3354</v>
      </c>
      <c r="J2678" s="67">
        <v>950</v>
      </c>
      <c r="K2678" s="62">
        <v>10535.75</v>
      </c>
      <c r="L2678" s="33" t="e">
        <f>HLOOKUP(B2678,#REF!,1,0)</f>
        <v>#REF!</v>
      </c>
      <c r="M2678" s="33" t="str">
        <f t="shared" si="167"/>
        <v>P&amp;L</v>
      </c>
    </row>
    <row r="2679" spans="1:13" s="33" customFormat="true" ht="12.75" customHeight="true">
      <c r="A2679" s="33" t="str">
        <f t="shared" si="164"/>
        <v>2SH - Other Income/Expense</v>
      </c>
      <c r="B2679" s="33" t="str">
        <f t="shared" si="165"/>
        <v>2SH</v>
      </c>
      <c r="C2679" s="33" t="str">
        <f t="shared" si="166"/>
        <v>94401-0000</v>
      </c>
      <c r="D2679" s="64" t="s">
        <v>3359</v>
      </c>
      <c r="E2679" s="64" t="s">
        <v>3360</v>
      </c>
      <c r="F2679" s="64" t="s">
        <v>15</v>
      </c>
      <c r="G2679" s="64" t="s">
        <v>3017</v>
      </c>
      <c r="H2679" s="64" t="s">
        <v>3300</v>
      </c>
      <c r="I2679" s="64" t="s">
        <v>3361</v>
      </c>
      <c r="J2679" s="67">
        <v>0</v>
      </c>
      <c r="K2679" s="62">
        <v>-102.08</v>
      </c>
      <c r="L2679" s="33" t="e">
        <f>HLOOKUP(B2679,#REF!,1,0)</f>
        <v>#REF!</v>
      </c>
      <c r="M2679" s="33" t="str">
        <f t="shared" si="167"/>
        <v>P&amp;L</v>
      </c>
    </row>
    <row r="2680" spans="1:13" s="33" customFormat="true" ht="12.75" customHeight="true">
      <c r="A2680" s="33" t="str">
        <f t="shared" si="164"/>
        <v>2SH - Other Income/Expense</v>
      </c>
      <c r="B2680" s="33" t="str">
        <f t="shared" si="165"/>
        <v>2SH</v>
      </c>
      <c r="C2680" s="33" t="str">
        <f t="shared" si="166"/>
        <v>94401-0861</v>
      </c>
      <c r="D2680" s="64" t="s">
        <v>3362</v>
      </c>
      <c r="E2680" s="64" t="s">
        <v>3360</v>
      </c>
      <c r="F2680" s="64" t="s">
        <v>15</v>
      </c>
      <c r="G2680" s="64" t="s">
        <v>3017</v>
      </c>
      <c r="H2680" s="64" t="s">
        <v>3300</v>
      </c>
      <c r="I2680" s="64" t="s">
        <v>3361</v>
      </c>
      <c r="J2680" s="67">
        <v>0</v>
      </c>
      <c r="K2680" s="62">
        <v>-18449.11</v>
      </c>
      <c r="L2680" s="33" t="e">
        <f>HLOOKUP(B2680,#REF!,1,0)</f>
        <v>#REF!</v>
      </c>
      <c r="M2680" s="33" t="str">
        <f t="shared" si="167"/>
        <v>P&amp;L</v>
      </c>
    </row>
    <row r="2681" spans="1:13" s="33" customFormat="true" ht="12.75" customHeight="true">
      <c r="A2681" s="33" t="str">
        <f t="shared" si="164"/>
        <v>2SH - Other Income/Expense</v>
      </c>
      <c r="B2681" s="33" t="str">
        <f t="shared" si="165"/>
        <v>2SH</v>
      </c>
      <c r="C2681" s="33" t="str">
        <f t="shared" si="166"/>
        <v>94401-0862</v>
      </c>
      <c r="D2681" s="64" t="s">
        <v>3363</v>
      </c>
      <c r="E2681" s="64" t="s">
        <v>3360</v>
      </c>
      <c r="F2681" s="64" t="s">
        <v>15</v>
      </c>
      <c r="G2681" s="64" t="s">
        <v>3017</v>
      </c>
      <c r="H2681" s="64" t="s">
        <v>3300</v>
      </c>
      <c r="I2681" s="64" t="s">
        <v>3361</v>
      </c>
      <c r="J2681" s="67">
        <v>0</v>
      </c>
      <c r="K2681" s="62">
        <v>-29385.88</v>
      </c>
      <c r="L2681" s="33" t="e">
        <f>HLOOKUP(B2681,#REF!,1,0)</f>
        <v>#REF!</v>
      </c>
      <c r="M2681" s="33" t="str">
        <f t="shared" si="167"/>
        <v>P&amp;L</v>
      </c>
    </row>
    <row r="2682" spans="1:13" s="33" customFormat="true" ht="12.75" customHeight="true">
      <c r="A2682" s="33" t="str">
        <f t="shared" si="164"/>
        <v>2SH - Other Income/Expense</v>
      </c>
      <c r="B2682" s="33" t="str">
        <f t="shared" si="165"/>
        <v>2SH</v>
      </c>
      <c r="C2682" s="33" t="str">
        <f t="shared" si="166"/>
        <v>94401-0864</v>
      </c>
      <c r="D2682" s="64" t="s">
        <v>3364</v>
      </c>
      <c r="E2682" s="64" t="s">
        <v>3360</v>
      </c>
      <c r="F2682" s="64" t="s">
        <v>15</v>
      </c>
      <c r="G2682" s="64" t="s">
        <v>3017</v>
      </c>
      <c r="H2682" s="64" t="s">
        <v>3300</v>
      </c>
      <c r="I2682" s="64" t="s">
        <v>3361</v>
      </c>
      <c r="J2682" s="67">
        <v>0</v>
      </c>
      <c r="K2682" s="62">
        <v>-19216.43</v>
      </c>
      <c r="L2682" s="33" t="e">
        <f>HLOOKUP(B2682,#REF!,1,0)</f>
        <v>#REF!</v>
      </c>
      <c r="M2682" s="33" t="str">
        <f t="shared" si="167"/>
        <v>P&amp;L</v>
      </c>
    </row>
    <row r="2683" spans="1:13" s="33" customFormat="true" ht="12.75" customHeight="true">
      <c r="A2683" s="33" t="str">
        <f t="shared" si="164"/>
        <v>2SH - Other Income/Expense</v>
      </c>
      <c r="B2683" s="33" t="str">
        <f t="shared" si="165"/>
        <v>2SH</v>
      </c>
      <c r="C2683" s="33" t="str">
        <f t="shared" si="166"/>
        <v>94401-0866</v>
      </c>
      <c r="D2683" s="64" t="s">
        <v>3365</v>
      </c>
      <c r="E2683" s="64" t="s">
        <v>3360</v>
      </c>
      <c r="F2683" s="64" t="s">
        <v>15</v>
      </c>
      <c r="G2683" s="64" t="s">
        <v>3017</v>
      </c>
      <c r="H2683" s="64" t="s">
        <v>3300</v>
      </c>
      <c r="I2683" s="64" t="s">
        <v>3361</v>
      </c>
      <c r="J2683" s="67">
        <v>0</v>
      </c>
      <c r="K2683" s="62">
        <v>-20938.05</v>
      </c>
      <c r="L2683" s="33" t="e">
        <f>HLOOKUP(B2683,#REF!,1,0)</f>
        <v>#REF!</v>
      </c>
      <c r="M2683" s="33" t="str">
        <f t="shared" si="167"/>
        <v>P&amp;L</v>
      </c>
    </row>
    <row r="2684" spans="1:13" s="33" customFormat="true" ht="12.75" customHeight="true">
      <c r="A2684" s="33" t="str">
        <f t="shared" si="164"/>
        <v>2SH - Other Income/Expense</v>
      </c>
      <c r="B2684" s="33" t="str">
        <f t="shared" si="165"/>
        <v>2SH</v>
      </c>
      <c r="C2684" s="33" t="str">
        <f t="shared" si="166"/>
        <v>95201-0000</v>
      </c>
      <c r="D2684" s="64" t="s">
        <v>3366</v>
      </c>
      <c r="E2684" s="64" t="s">
        <v>3367</v>
      </c>
      <c r="F2684" s="64" t="s">
        <v>15</v>
      </c>
      <c r="G2684" s="64" t="s">
        <v>3017</v>
      </c>
      <c r="H2684" s="64" t="s">
        <v>3300</v>
      </c>
      <c r="I2684" s="64" t="s">
        <v>3368</v>
      </c>
      <c r="J2684" s="67">
        <v>360</v>
      </c>
      <c r="K2684" s="62">
        <v>3548.86</v>
      </c>
      <c r="L2684" s="33" t="e">
        <f>HLOOKUP(B2684,#REF!,1,0)</f>
        <v>#REF!</v>
      </c>
      <c r="M2684" s="33" t="str">
        <f t="shared" si="167"/>
        <v>P&amp;L</v>
      </c>
    </row>
    <row r="2685" spans="1:13" s="33" customFormat="true" ht="12.75" customHeight="true">
      <c r="A2685" s="33" t="str">
        <f t="shared" si="164"/>
        <v>2SH - Other Income/Expense</v>
      </c>
      <c r="B2685" s="33" t="str">
        <f t="shared" si="165"/>
        <v>2SH</v>
      </c>
      <c r="C2685" s="33" t="str">
        <f t="shared" si="166"/>
        <v>99001-0000</v>
      </c>
      <c r="D2685" s="64" t="s">
        <v>3369</v>
      </c>
      <c r="E2685" s="64" t="s">
        <v>3370</v>
      </c>
      <c r="F2685" s="64" t="s">
        <v>15</v>
      </c>
      <c r="G2685" s="64" t="s">
        <v>3017</v>
      </c>
      <c r="H2685" s="64" t="s">
        <v>3300</v>
      </c>
      <c r="I2685" s="64" t="s">
        <v>3371</v>
      </c>
      <c r="J2685" s="67">
        <v>-3115.73</v>
      </c>
      <c r="K2685" s="62">
        <v>-15178.69</v>
      </c>
      <c r="L2685" s="33" t="e">
        <f>HLOOKUP(B2685,#REF!,1,0)</f>
        <v>#REF!</v>
      </c>
      <c r="M2685" s="33" t="str">
        <f t="shared" si="167"/>
        <v>P&amp;L</v>
      </c>
    </row>
    <row r="2686" spans="1:13" s="33" customFormat="true" ht="12.75" customHeight="true">
      <c r="A2686" s="33" t="str">
        <f t="shared" si="164"/>
        <v>2SH - Other Income/Expense</v>
      </c>
      <c r="B2686" s="33" t="str">
        <f t="shared" si="165"/>
        <v>2SH</v>
      </c>
      <c r="C2686" s="33" t="str">
        <f t="shared" si="166"/>
        <v>99001-0861</v>
      </c>
      <c r="D2686" s="64" t="s">
        <v>3372</v>
      </c>
      <c r="E2686" s="64" t="s">
        <v>3370</v>
      </c>
      <c r="F2686" s="64" t="s">
        <v>15</v>
      </c>
      <c r="G2686" s="64" t="s">
        <v>3017</v>
      </c>
      <c r="H2686" s="64" t="s">
        <v>3300</v>
      </c>
      <c r="I2686" s="64" t="s">
        <v>3371</v>
      </c>
      <c r="J2686" s="67">
        <v>-79</v>
      </c>
      <c r="K2686" s="62">
        <v>-1575.86</v>
      </c>
      <c r="L2686" s="33" t="e">
        <f>HLOOKUP(B2686,#REF!,1,0)</f>
        <v>#REF!</v>
      </c>
      <c r="M2686" s="33" t="str">
        <f t="shared" si="167"/>
        <v>P&amp;L</v>
      </c>
    </row>
    <row r="2687" spans="1:13" s="33" customFormat="true" ht="12.75" customHeight="true">
      <c r="A2687" s="33" t="str">
        <f t="shared" si="164"/>
        <v>2SH - Other Income/Expense</v>
      </c>
      <c r="B2687" s="33" t="str">
        <f t="shared" si="165"/>
        <v>2SH</v>
      </c>
      <c r="C2687" s="33" t="str">
        <f t="shared" si="166"/>
        <v>99001-0862</v>
      </c>
      <c r="D2687" s="64" t="s">
        <v>3373</v>
      </c>
      <c r="E2687" s="64" t="s">
        <v>3370</v>
      </c>
      <c r="F2687" s="64" t="s">
        <v>15</v>
      </c>
      <c r="G2687" s="64" t="s">
        <v>3017</v>
      </c>
      <c r="H2687" s="64" t="s">
        <v>3300</v>
      </c>
      <c r="I2687" s="64" t="s">
        <v>3371</v>
      </c>
      <c r="J2687" s="67">
        <v>-398.16</v>
      </c>
      <c r="K2687" s="62">
        <v>-3638.86</v>
      </c>
      <c r="L2687" s="33" t="e">
        <f>HLOOKUP(B2687,#REF!,1,0)</f>
        <v>#REF!</v>
      </c>
      <c r="M2687" s="33" t="str">
        <f t="shared" si="167"/>
        <v>P&amp;L</v>
      </c>
    </row>
    <row r="2688" spans="1:13" s="33" customFormat="true" ht="12.75" customHeight="true">
      <c r="A2688" s="33" t="str">
        <f t="shared" si="164"/>
        <v>2SH - Other Income/Expense</v>
      </c>
      <c r="B2688" s="33" t="str">
        <f t="shared" si="165"/>
        <v>2SH</v>
      </c>
      <c r="C2688" s="33" t="str">
        <f t="shared" si="166"/>
        <v>99001-0864</v>
      </c>
      <c r="D2688" s="64" t="s">
        <v>3374</v>
      </c>
      <c r="E2688" s="64" t="s">
        <v>3370</v>
      </c>
      <c r="F2688" s="64" t="s">
        <v>15</v>
      </c>
      <c r="G2688" s="64" t="s">
        <v>3017</v>
      </c>
      <c r="H2688" s="64" t="s">
        <v>3300</v>
      </c>
      <c r="I2688" s="64" t="s">
        <v>3371</v>
      </c>
      <c r="J2688" s="67">
        <v>-118.5</v>
      </c>
      <c r="K2688" s="62">
        <v>-1659.21</v>
      </c>
      <c r="L2688" s="33" t="e">
        <f>HLOOKUP(B2688,#REF!,1,0)</f>
        <v>#REF!</v>
      </c>
      <c r="M2688" s="33" t="str">
        <f t="shared" si="167"/>
        <v>P&amp;L</v>
      </c>
    </row>
    <row r="2689" spans="1:13" s="33" customFormat="true" ht="12.75" customHeight="true">
      <c r="A2689" s="33" t="str">
        <f t="shared" si="164"/>
        <v>2SH - Other Income/Expense</v>
      </c>
      <c r="B2689" s="33" t="str">
        <f t="shared" si="165"/>
        <v>2SH</v>
      </c>
      <c r="C2689" s="33" t="str">
        <f t="shared" si="166"/>
        <v>99001-0866</v>
      </c>
      <c r="D2689" s="64" t="s">
        <v>3375</v>
      </c>
      <c r="E2689" s="64" t="s">
        <v>3370</v>
      </c>
      <c r="F2689" s="64" t="s">
        <v>15</v>
      </c>
      <c r="G2689" s="64" t="s">
        <v>3017</v>
      </c>
      <c r="H2689" s="64" t="s">
        <v>3300</v>
      </c>
      <c r="I2689" s="64" t="s">
        <v>3371</v>
      </c>
      <c r="J2689" s="67">
        <v>-183.28</v>
      </c>
      <c r="K2689" s="62">
        <v>-2135.11</v>
      </c>
      <c r="L2689" s="33" t="e">
        <f>HLOOKUP(B2689,#REF!,1,0)</f>
        <v>#REF!</v>
      </c>
      <c r="M2689" s="33" t="str">
        <f t="shared" si="167"/>
        <v>P&amp;L</v>
      </c>
    </row>
    <row r="2690" spans="1:13" s="33" customFormat="true" ht="12.75" customHeight="true">
      <c r="A2690" s="33" t="str">
        <f t="shared" ref="A2690:A2753" si="168">B2690&amp;" - "&amp;TRIM(H2690)</f>
        <v>2SH - Income Tax</v>
      </c>
      <c r="B2690" s="33" t="str">
        <f t="shared" ref="B2690:B2753" si="169">LEFT(D2690,3)</f>
        <v>2SH</v>
      </c>
      <c r="C2690" s="33" t="str">
        <f t="shared" ref="C2690:C2753" si="170">RIGHT(D2690,10)</f>
        <v>99901-0000</v>
      </c>
      <c r="D2690" s="64" t="s">
        <v>3376</v>
      </c>
      <c r="E2690" s="64" t="s">
        <v>3377</v>
      </c>
      <c r="F2690" s="64" t="s">
        <v>15</v>
      </c>
      <c r="G2690" s="64" t="s">
        <v>3326</v>
      </c>
      <c r="H2690" s="64" t="s">
        <v>3378</v>
      </c>
      <c r="I2690" s="64" t="s">
        <v>3379</v>
      </c>
      <c r="J2690" s="67">
        <v>0</v>
      </c>
      <c r="K2690" s="62">
        <v>12590</v>
      </c>
      <c r="L2690" s="33" t="e">
        <f>HLOOKUP(B2690,#REF!,1,0)</f>
        <v>#REF!</v>
      </c>
      <c r="M2690" s="33" t="str">
        <f t="shared" ref="M2690:M2753" si="171">IF(VALUE(LEFT(C2690,5))&gt;40000,"P&amp;L","BS")</f>
        <v>P&amp;L</v>
      </c>
    </row>
    <row r="2691" spans="1:13" s="33" customFormat="true" ht="12.75" customHeight="true">
      <c r="A2691" s="33" t="str">
        <f t="shared" si="168"/>
        <v>3SI - Intercompany</v>
      </c>
      <c r="B2691" s="33" t="str">
        <f t="shared" si="169"/>
        <v>3SI</v>
      </c>
      <c r="C2691" s="33" t="str">
        <f t="shared" si="170"/>
        <v>11218-0000</v>
      </c>
      <c r="D2691" s="64" t="s">
        <v>3380</v>
      </c>
      <c r="E2691" s="64" t="s">
        <v>42</v>
      </c>
      <c r="F2691" s="64" t="s">
        <v>15</v>
      </c>
      <c r="G2691" s="64" t="s">
        <v>16</v>
      </c>
      <c r="H2691" s="64" t="s">
        <v>39</v>
      </c>
      <c r="I2691" s="64" t="s">
        <v>40</v>
      </c>
      <c r="J2691" s="67">
        <v>0</v>
      </c>
      <c r="K2691" s="62">
        <v>808.95</v>
      </c>
      <c r="L2691" s="33" t="e">
        <f>HLOOKUP(B2691,#REF!,1,0)</f>
        <v>#REF!</v>
      </c>
      <c r="M2691" s="33" t="str">
        <f t="shared" si="171"/>
        <v>BS</v>
      </c>
    </row>
    <row r="2692" spans="1:13" s="33" customFormat="true" ht="12.75" customHeight="true">
      <c r="A2692" s="33" t="str">
        <f t="shared" si="168"/>
        <v>3SI - AR-PPD</v>
      </c>
      <c r="B2692" s="33" t="str">
        <f t="shared" si="169"/>
        <v>3SI</v>
      </c>
      <c r="C2692" s="33" t="str">
        <f t="shared" si="170"/>
        <v>11502-0000</v>
      </c>
      <c r="D2692" s="64" t="s">
        <v>3381</v>
      </c>
      <c r="E2692" s="64" t="s">
        <v>34</v>
      </c>
      <c r="F2692" s="64" t="s">
        <v>15</v>
      </c>
      <c r="G2692" s="64" t="s">
        <v>16</v>
      </c>
      <c r="H2692" s="64" t="s">
        <v>35</v>
      </c>
      <c r="I2692" s="64" t="s">
        <v>36</v>
      </c>
      <c r="J2692" s="67">
        <v>0</v>
      </c>
      <c r="K2692" s="62">
        <v>0</v>
      </c>
      <c r="L2692" s="33" t="e">
        <f>HLOOKUP(B2692,#REF!,1,0)</f>
        <v>#REF!</v>
      </c>
      <c r="M2692" s="33" t="str">
        <f t="shared" si="171"/>
        <v>BS</v>
      </c>
    </row>
    <row r="2693" spans="1:13" s="33" customFormat="true" ht="12.75" customHeight="true">
      <c r="A2693" s="33" t="str">
        <f t="shared" si="168"/>
        <v>3SI - Inventory</v>
      </c>
      <c r="B2693" s="33" t="str">
        <f t="shared" si="169"/>
        <v>3SI</v>
      </c>
      <c r="C2693" s="33" t="str">
        <f t="shared" si="170"/>
        <v>13100-0865</v>
      </c>
      <c r="D2693" s="64" t="s">
        <v>3382</v>
      </c>
      <c r="E2693" s="64" t="s">
        <v>50</v>
      </c>
      <c r="F2693" s="64" t="s">
        <v>15</v>
      </c>
      <c r="G2693" s="64" t="s">
        <v>16</v>
      </c>
      <c r="H2693" s="64" t="s">
        <v>17</v>
      </c>
      <c r="I2693" s="64" t="s">
        <v>51</v>
      </c>
      <c r="J2693" s="67">
        <v>0</v>
      </c>
      <c r="K2693" s="62">
        <v>0</v>
      </c>
      <c r="L2693" s="33" t="e">
        <f>HLOOKUP(B2693,#REF!,1,0)</f>
        <v>#REF!</v>
      </c>
      <c r="M2693" s="33" t="str">
        <f t="shared" si="171"/>
        <v>BS</v>
      </c>
    </row>
    <row r="2694" spans="1:13" s="33" customFormat="true" ht="12.75" customHeight="true">
      <c r="A2694" s="33" t="str">
        <f t="shared" si="168"/>
        <v>3SI - Revenue</v>
      </c>
      <c r="B2694" s="33" t="str">
        <f t="shared" si="169"/>
        <v>3SI</v>
      </c>
      <c r="C2694" s="33" t="str">
        <f t="shared" si="170"/>
        <v>40001-0863</v>
      </c>
      <c r="D2694" s="64" t="s">
        <v>3383</v>
      </c>
      <c r="E2694" s="64" t="s">
        <v>2869</v>
      </c>
      <c r="F2694" s="64" t="s">
        <v>15</v>
      </c>
      <c r="G2694" s="64" t="s">
        <v>2870</v>
      </c>
      <c r="H2694" s="64" t="s">
        <v>2871</v>
      </c>
      <c r="I2694" s="64" t="s">
        <v>2872</v>
      </c>
      <c r="J2694" s="67">
        <v>-136273.65</v>
      </c>
      <c r="K2694" s="62">
        <v>-1271021.65</v>
      </c>
      <c r="L2694" s="33" t="e">
        <f>HLOOKUP(B2694,#REF!,1,0)</f>
        <v>#REF!</v>
      </c>
      <c r="M2694" s="33" t="str">
        <f t="shared" si="171"/>
        <v>P&amp;L</v>
      </c>
    </row>
    <row r="2695" spans="1:13" s="33" customFormat="true" ht="12.75" customHeight="true">
      <c r="A2695" s="33" t="str">
        <f t="shared" si="168"/>
        <v>3SI - Revenue</v>
      </c>
      <c r="B2695" s="33" t="str">
        <f t="shared" si="169"/>
        <v>3SI</v>
      </c>
      <c r="C2695" s="33" t="str">
        <f t="shared" si="170"/>
        <v>40001-7466</v>
      </c>
      <c r="D2695" s="64" t="s">
        <v>3384</v>
      </c>
      <c r="E2695" s="64" t="s">
        <v>2869</v>
      </c>
      <c r="F2695" s="64" t="s">
        <v>15</v>
      </c>
      <c r="G2695" s="64" t="s">
        <v>2870</v>
      </c>
      <c r="H2695" s="64" t="s">
        <v>2871</v>
      </c>
      <c r="I2695" s="64" t="s">
        <v>2872</v>
      </c>
      <c r="J2695" s="67">
        <v>-120268.92</v>
      </c>
      <c r="K2695" s="62">
        <v>-1243014.21</v>
      </c>
      <c r="L2695" s="33" t="e">
        <f>HLOOKUP(B2695,#REF!,1,0)</f>
        <v>#REF!</v>
      </c>
      <c r="M2695" s="33" t="str">
        <f t="shared" si="171"/>
        <v>P&amp;L</v>
      </c>
    </row>
    <row r="2696" spans="1:13" s="33" customFormat="true" ht="12.75" customHeight="true">
      <c r="A2696" s="33" t="str">
        <f t="shared" si="168"/>
        <v>3SI - Revenue</v>
      </c>
      <c r="B2696" s="33" t="str">
        <f t="shared" si="169"/>
        <v>3SI</v>
      </c>
      <c r="C2696" s="33" t="str">
        <f t="shared" si="170"/>
        <v>40001-7780</v>
      </c>
      <c r="D2696" s="64" t="s">
        <v>3385</v>
      </c>
      <c r="E2696" s="64" t="s">
        <v>2869</v>
      </c>
      <c r="F2696" s="64" t="s">
        <v>15</v>
      </c>
      <c r="G2696" s="64" t="s">
        <v>2870</v>
      </c>
      <c r="H2696" s="64" t="s">
        <v>2871</v>
      </c>
      <c r="I2696" s="64" t="s">
        <v>2872</v>
      </c>
      <c r="J2696" s="67">
        <v>-158965.84</v>
      </c>
      <c r="K2696" s="62">
        <v>-1523339.21</v>
      </c>
      <c r="L2696" s="33" t="e">
        <f>HLOOKUP(B2696,#REF!,1,0)</f>
        <v>#REF!</v>
      </c>
      <c r="M2696" s="33" t="str">
        <f t="shared" si="171"/>
        <v>P&amp;L</v>
      </c>
    </row>
    <row r="2697" spans="1:13" s="33" customFormat="true" ht="12.75" customHeight="true">
      <c r="A2697" s="33" t="str">
        <f t="shared" si="168"/>
        <v>3SI - Revenue</v>
      </c>
      <c r="B2697" s="33" t="str">
        <f t="shared" si="169"/>
        <v>3SI</v>
      </c>
      <c r="C2697" s="33" t="str">
        <f t="shared" si="170"/>
        <v>40002-0863</v>
      </c>
      <c r="D2697" s="64" t="s">
        <v>3386</v>
      </c>
      <c r="E2697" s="64" t="s">
        <v>2877</v>
      </c>
      <c r="F2697" s="64" t="s">
        <v>15</v>
      </c>
      <c r="G2697" s="64" t="s">
        <v>2870</v>
      </c>
      <c r="H2697" s="64" t="s">
        <v>2871</v>
      </c>
      <c r="I2697" s="64" t="s">
        <v>2872</v>
      </c>
      <c r="J2697" s="67">
        <v>0</v>
      </c>
      <c r="K2697" s="62">
        <v>0</v>
      </c>
      <c r="L2697" s="33" t="e">
        <f>HLOOKUP(B2697,#REF!,1,0)</f>
        <v>#REF!</v>
      </c>
      <c r="M2697" s="33" t="str">
        <f t="shared" si="171"/>
        <v>P&amp;L</v>
      </c>
    </row>
    <row r="2698" spans="1:13" s="33" customFormat="true" ht="12.75" customHeight="true">
      <c r="A2698" s="33" t="str">
        <f t="shared" si="168"/>
        <v>3SI - Revenue</v>
      </c>
      <c r="B2698" s="33" t="str">
        <f t="shared" si="169"/>
        <v>3SI</v>
      </c>
      <c r="C2698" s="33" t="str">
        <f t="shared" si="170"/>
        <v>40002-7466</v>
      </c>
      <c r="D2698" s="64" t="s">
        <v>3387</v>
      </c>
      <c r="E2698" s="64" t="s">
        <v>2877</v>
      </c>
      <c r="F2698" s="64" t="s">
        <v>15</v>
      </c>
      <c r="G2698" s="64" t="s">
        <v>2870</v>
      </c>
      <c r="H2698" s="64" t="s">
        <v>2871</v>
      </c>
      <c r="I2698" s="64" t="s">
        <v>2872</v>
      </c>
      <c r="J2698" s="67">
        <v>0</v>
      </c>
      <c r="K2698" s="62">
        <v>0</v>
      </c>
      <c r="L2698" s="33" t="e">
        <f>HLOOKUP(B2698,#REF!,1,0)</f>
        <v>#REF!</v>
      </c>
      <c r="M2698" s="33" t="str">
        <f t="shared" si="171"/>
        <v>P&amp;L</v>
      </c>
    </row>
    <row r="2699" spans="1:13" s="33" customFormat="true" ht="12.75" customHeight="true">
      <c r="A2699" s="33" t="str">
        <f t="shared" si="168"/>
        <v>3SI - Revenue</v>
      </c>
      <c r="B2699" s="33" t="str">
        <f t="shared" si="169"/>
        <v>3SI</v>
      </c>
      <c r="C2699" s="33" t="str">
        <f t="shared" si="170"/>
        <v>40002-7780</v>
      </c>
      <c r="D2699" s="64" t="s">
        <v>3388</v>
      </c>
      <c r="E2699" s="64" t="s">
        <v>2877</v>
      </c>
      <c r="F2699" s="64" t="s">
        <v>15</v>
      </c>
      <c r="G2699" s="64" t="s">
        <v>2870</v>
      </c>
      <c r="H2699" s="64" t="s">
        <v>2871</v>
      </c>
      <c r="I2699" s="64" t="s">
        <v>2872</v>
      </c>
      <c r="J2699" s="67">
        <v>0</v>
      </c>
      <c r="K2699" s="62">
        <v>-39.73</v>
      </c>
      <c r="L2699" s="33" t="e">
        <f>HLOOKUP(B2699,#REF!,1,0)</f>
        <v>#REF!</v>
      </c>
      <c r="M2699" s="33" t="str">
        <f t="shared" si="171"/>
        <v>P&amp;L</v>
      </c>
    </row>
    <row r="2700" spans="1:13" s="33" customFormat="true" ht="12.75" customHeight="true">
      <c r="A2700" s="33" t="str">
        <f t="shared" si="168"/>
        <v>3SI - Revenue</v>
      </c>
      <c r="B2700" s="33" t="str">
        <f t="shared" si="169"/>
        <v>3SI</v>
      </c>
      <c r="C2700" s="33" t="str">
        <f t="shared" si="170"/>
        <v>40091-0863</v>
      </c>
      <c r="D2700" s="64" t="s">
        <v>3389</v>
      </c>
      <c r="E2700" s="64" t="s">
        <v>2882</v>
      </c>
      <c r="F2700" s="64" t="s">
        <v>15</v>
      </c>
      <c r="G2700" s="64" t="s">
        <v>2870</v>
      </c>
      <c r="H2700" s="64" t="s">
        <v>2871</v>
      </c>
      <c r="I2700" s="64" t="s">
        <v>2883</v>
      </c>
      <c r="J2700" s="67">
        <v>1213.73</v>
      </c>
      <c r="K2700" s="62">
        <v>20429.02</v>
      </c>
      <c r="L2700" s="33" t="e">
        <f>HLOOKUP(B2700,#REF!,1,0)</f>
        <v>#REF!</v>
      </c>
      <c r="M2700" s="33" t="str">
        <f t="shared" si="171"/>
        <v>P&amp;L</v>
      </c>
    </row>
    <row r="2701" spans="1:13" s="33" customFormat="true" ht="12.75" customHeight="true">
      <c r="A2701" s="33" t="str">
        <f t="shared" si="168"/>
        <v>3SI - Revenue</v>
      </c>
      <c r="B2701" s="33" t="str">
        <f t="shared" si="169"/>
        <v>3SI</v>
      </c>
      <c r="C2701" s="33" t="str">
        <f t="shared" si="170"/>
        <v>40091-7466</v>
      </c>
      <c r="D2701" s="64" t="s">
        <v>3390</v>
      </c>
      <c r="E2701" s="64" t="s">
        <v>2882</v>
      </c>
      <c r="F2701" s="64" t="s">
        <v>15</v>
      </c>
      <c r="G2701" s="64" t="s">
        <v>2870</v>
      </c>
      <c r="H2701" s="64" t="s">
        <v>2871</v>
      </c>
      <c r="I2701" s="64" t="s">
        <v>2883</v>
      </c>
      <c r="J2701" s="67">
        <v>2845.73</v>
      </c>
      <c r="K2701" s="62">
        <v>32125.43</v>
      </c>
      <c r="L2701" s="33" t="e">
        <f>HLOOKUP(B2701,#REF!,1,0)</f>
        <v>#REF!</v>
      </c>
      <c r="M2701" s="33" t="str">
        <f t="shared" si="171"/>
        <v>P&amp;L</v>
      </c>
    </row>
    <row r="2702" spans="1:13" s="33" customFormat="true" ht="12.75" customHeight="true">
      <c r="A2702" s="33" t="str">
        <f t="shared" si="168"/>
        <v>3SI - Revenue</v>
      </c>
      <c r="B2702" s="33" t="str">
        <f t="shared" si="169"/>
        <v>3SI</v>
      </c>
      <c r="C2702" s="33" t="str">
        <f t="shared" si="170"/>
        <v>40091-7780</v>
      </c>
      <c r="D2702" s="64" t="s">
        <v>3391</v>
      </c>
      <c r="E2702" s="64" t="s">
        <v>2882</v>
      </c>
      <c r="F2702" s="64" t="s">
        <v>15</v>
      </c>
      <c r="G2702" s="64" t="s">
        <v>2870</v>
      </c>
      <c r="H2702" s="64" t="s">
        <v>2871</v>
      </c>
      <c r="I2702" s="64" t="s">
        <v>2883</v>
      </c>
      <c r="J2702" s="67">
        <v>2621.37</v>
      </c>
      <c r="K2702" s="62">
        <v>34171.26</v>
      </c>
      <c r="L2702" s="33" t="e">
        <f>HLOOKUP(B2702,#REF!,1,0)</f>
        <v>#REF!</v>
      </c>
      <c r="M2702" s="33" t="str">
        <f t="shared" si="171"/>
        <v>P&amp;L</v>
      </c>
    </row>
    <row r="2703" spans="1:13" s="33" customFormat="true" ht="12.75" customHeight="true">
      <c r="A2703" s="33" t="str">
        <f t="shared" si="168"/>
        <v>3SI - CGS</v>
      </c>
      <c r="B2703" s="33" t="str">
        <f t="shared" si="169"/>
        <v>3SI</v>
      </c>
      <c r="C2703" s="33" t="str">
        <f t="shared" si="170"/>
        <v>50003-0863</v>
      </c>
      <c r="D2703" s="64" t="s">
        <v>3392</v>
      </c>
      <c r="E2703" s="64" t="s">
        <v>2888</v>
      </c>
      <c r="F2703" s="64" t="s">
        <v>15</v>
      </c>
      <c r="G2703" s="64" t="s">
        <v>2889</v>
      </c>
      <c r="H2703" s="64" t="s">
        <v>1875</v>
      </c>
      <c r="I2703" s="64" t="s">
        <v>2890</v>
      </c>
      <c r="J2703" s="67">
        <v>2104.46</v>
      </c>
      <c r="K2703" s="62">
        <v>18421.23</v>
      </c>
      <c r="L2703" s="33" t="e">
        <f>HLOOKUP(B2703,#REF!,1,0)</f>
        <v>#REF!</v>
      </c>
      <c r="M2703" s="33" t="str">
        <f t="shared" si="171"/>
        <v>P&amp;L</v>
      </c>
    </row>
    <row r="2704" spans="1:13" s="33" customFormat="true" ht="12.75" customHeight="true">
      <c r="A2704" s="33" t="str">
        <f t="shared" si="168"/>
        <v>3SI - CGS</v>
      </c>
      <c r="B2704" s="33" t="str">
        <f t="shared" si="169"/>
        <v>3SI</v>
      </c>
      <c r="C2704" s="33" t="str">
        <f t="shared" si="170"/>
        <v>50003-7466</v>
      </c>
      <c r="D2704" s="64" t="s">
        <v>3393</v>
      </c>
      <c r="E2704" s="64" t="s">
        <v>2888</v>
      </c>
      <c r="F2704" s="64" t="s">
        <v>15</v>
      </c>
      <c r="G2704" s="64" t="s">
        <v>2889</v>
      </c>
      <c r="H2704" s="64" t="s">
        <v>1875</v>
      </c>
      <c r="I2704" s="64" t="s">
        <v>2890</v>
      </c>
      <c r="J2704" s="67">
        <v>2022.42</v>
      </c>
      <c r="K2704" s="62">
        <v>18128.25</v>
      </c>
      <c r="L2704" s="33" t="e">
        <f>HLOOKUP(B2704,#REF!,1,0)</f>
        <v>#REF!</v>
      </c>
      <c r="M2704" s="33" t="str">
        <f t="shared" si="171"/>
        <v>P&amp;L</v>
      </c>
    </row>
    <row r="2705" spans="1:13" s="33" customFormat="true" ht="12.75" customHeight="true">
      <c r="A2705" s="33" t="str">
        <f t="shared" si="168"/>
        <v>3SI - CGS</v>
      </c>
      <c r="B2705" s="33" t="str">
        <f t="shared" si="169"/>
        <v>3SI</v>
      </c>
      <c r="C2705" s="33" t="str">
        <f t="shared" si="170"/>
        <v>50003-7780</v>
      </c>
      <c r="D2705" s="64" t="s">
        <v>3394</v>
      </c>
      <c r="E2705" s="64" t="s">
        <v>2888</v>
      </c>
      <c r="F2705" s="64" t="s">
        <v>15</v>
      </c>
      <c r="G2705" s="64" t="s">
        <v>2889</v>
      </c>
      <c r="H2705" s="64" t="s">
        <v>1875</v>
      </c>
      <c r="I2705" s="64" t="s">
        <v>2890</v>
      </c>
      <c r="J2705" s="67">
        <v>2680.15</v>
      </c>
      <c r="K2705" s="62">
        <v>23479.98</v>
      </c>
      <c r="L2705" s="33" t="e">
        <f>HLOOKUP(B2705,#REF!,1,0)</f>
        <v>#REF!</v>
      </c>
      <c r="M2705" s="33" t="str">
        <f t="shared" si="171"/>
        <v>P&amp;L</v>
      </c>
    </row>
    <row r="2706" spans="1:13" s="33" customFormat="true" ht="12.75" customHeight="true">
      <c r="A2706" s="33" t="str">
        <f t="shared" si="168"/>
        <v>3SI - CGS</v>
      </c>
      <c r="B2706" s="33" t="str">
        <f t="shared" si="169"/>
        <v>3SI</v>
      </c>
      <c r="C2706" s="33" t="str">
        <f t="shared" si="170"/>
        <v>50007-0863</v>
      </c>
      <c r="D2706" s="64" t="s">
        <v>3395</v>
      </c>
      <c r="E2706" s="64" t="s">
        <v>2895</v>
      </c>
      <c r="F2706" s="64" t="s">
        <v>15</v>
      </c>
      <c r="G2706" s="64" t="s">
        <v>2889</v>
      </c>
      <c r="H2706" s="64" t="s">
        <v>1875</v>
      </c>
      <c r="I2706" s="64" t="s">
        <v>2890</v>
      </c>
      <c r="J2706" s="67">
        <v>28284.86</v>
      </c>
      <c r="K2706" s="62">
        <v>268148.11</v>
      </c>
      <c r="L2706" s="33" t="e">
        <f>HLOOKUP(B2706,#REF!,1,0)</f>
        <v>#REF!</v>
      </c>
      <c r="M2706" s="33" t="str">
        <f t="shared" si="171"/>
        <v>P&amp;L</v>
      </c>
    </row>
    <row r="2707" spans="1:13" s="33" customFormat="true" ht="12.75" customHeight="true">
      <c r="A2707" s="33" t="str">
        <f t="shared" si="168"/>
        <v>3SI - CGS</v>
      </c>
      <c r="B2707" s="33" t="str">
        <f t="shared" si="169"/>
        <v>3SI</v>
      </c>
      <c r="C2707" s="33" t="str">
        <f t="shared" si="170"/>
        <v>50007-0865</v>
      </c>
      <c r="D2707" s="64" t="s">
        <v>3396</v>
      </c>
      <c r="E2707" s="64" t="s">
        <v>2895</v>
      </c>
      <c r="F2707" s="64" t="s">
        <v>15</v>
      </c>
      <c r="G2707" s="64" t="s">
        <v>2889</v>
      </c>
      <c r="H2707" s="64" t="s">
        <v>1875</v>
      </c>
      <c r="I2707" s="64" t="s">
        <v>2890</v>
      </c>
      <c r="J2707" s="67">
        <v>0</v>
      </c>
      <c r="K2707" s="62">
        <v>0</v>
      </c>
      <c r="L2707" s="33" t="e">
        <f>HLOOKUP(B2707,#REF!,1,0)</f>
        <v>#REF!</v>
      </c>
      <c r="M2707" s="33" t="str">
        <f t="shared" si="171"/>
        <v>P&amp;L</v>
      </c>
    </row>
    <row r="2708" spans="1:13" s="33" customFormat="true" ht="12.75" customHeight="true">
      <c r="A2708" s="33" t="str">
        <f t="shared" si="168"/>
        <v>3SI - CGS</v>
      </c>
      <c r="B2708" s="33" t="str">
        <f t="shared" si="169"/>
        <v>3SI</v>
      </c>
      <c r="C2708" s="33" t="str">
        <f t="shared" si="170"/>
        <v>50007-7466</v>
      </c>
      <c r="D2708" s="64" t="s">
        <v>3397</v>
      </c>
      <c r="E2708" s="64" t="s">
        <v>2895</v>
      </c>
      <c r="F2708" s="64" t="s">
        <v>15</v>
      </c>
      <c r="G2708" s="64" t="s">
        <v>2889</v>
      </c>
      <c r="H2708" s="64" t="s">
        <v>1875</v>
      </c>
      <c r="I2708" s="64" t="s">
        <v>2890</v>
      </c>
      <c r="J2708" s="67">
        <v>26194.61</v>
      </c>
      <c r="K2708" s="62">
        <v>266775.74</v>
      </c>
      <c r="L2708" s="33" t="e">
        <f>HLOOKUP(B2708,#REF!,1,0)</f>
        <v>#REF!</v>
      </c>
      <c r="M2708" s="33" t="str">
        <f t="shared" si="171"/>
        <v>P&amp;L</v>
      </c>
    </row>
    <row r="2709" spans="1:13" s="33" customFormat="true" ht="12.75" customHeight="true">
      <c r="A2709" s="33" t="str">
        <f t="shared" si="168"/>
        <v>3SI - CGS</v>
      </c>
      <c r="B2709" s="33" t="str">
        <f t="shared" si="169"/>
        <v>3SI</v>
      </c>
      <c r="C2709" s="33" t="str">
        <f t="shared" si="170"/>
        <v>50007-7780</v>
      </c>
      <c r="D2709" s="64" t="s">
        <v>3398</v>
      </c>
      <c r="E2709" s="64" t="s">
        <v>2895</v>
      </c>
      <c r="F2709" s="64" t="s">
        <v>15</v>
      </c>
      <c r="G2709" s="64" t="s">
        <v>2889</v>
      </c>
      <c r="H2709" s="64" t="s">
        <v>1875</v>
      </c>
      <c r="I2709" s="64" t="s">
        <v>2890</v>
      </c>
      <c r="J2709" s="67">
        <v>33140.24</v>
      </c>
      <c r="K2709" s="62">
        <v>326473.57</v>
      </c>
      <c r="L2709" s="33" t="e">
        <f>HLOOKUP(B2709,#REF!,1,0)</f>
        <v>#REF!</v>
      </c>
      <c r="M2709" s="33" t="str">
        <f t="shared" si="171"/>
        <v>P&amp;L</v>
      </c>
    </row>
    <row r="2710" spans="1:13" s="33" customFormat="true" ht="12.75" customHeight="true">
      <c r="A2710" s="33" t="str">
        <f t="shared" si="168"/>
        <v>3SI - CGS</v>
      </c>
      <c r="B2710" s="33" t="str">
        <f t="shared" si="169"/>
        <v>3SI</v>
      </c>
      <c r="C2710" s="33" t="str">
        <f t="shared" si="170"/>
        <v>50099-0863</v>
      </c>
      <c r="D2710" s="64" t="s">
        <v>3399</v>
      </c>
      <c r="E2710" s="64" t="s">
        <v>2900</v>
      </c>
      <c r="F2710" s="64" t="s">
        <v>15</v>
      </c>
      <c r="G2710" s="64" t="s">
        <v>2889</v>
      </c>
      <c r="H2710" s="64" t="s">
        <v>1875</v>
      </c>
      <c r="I2710" s="64" t="s">
        <v>2901</v>
      </c>
      <c r="J2710" s="67">
        <v>-28632.7</v>
      </c>
      <c r="K2710" s="62">
        <v>-265125.62</v>
      </c>
      <c r="L2710" s="33" t="e">
        <f>HLOOKUP(B2710,#REF!,1,0)</f>
        <v>#REF!</v>
      </c>
      <c r="M2710" s="33" t="str">
        <f t="shared" si="171"/>
        <v>P&amp;L</v>
      </c>
    </row>
    <row r="2711" spans="1:13" s="33" customFormat="true" ht="12.75" customHeight="true">
      <c r="A2711" s="33" t="str">
        <f t="shared" si="168"/>
        <v>3SI - CGS</v>
      </c>
      <c r="B2711" s="33" t="str">
        <f t="shared" si="169"/>
        <v>3SI</v>
      </c>
      <c r="C2711" s="33" t="str">
        <f t="shared" si="170"/>
        <v>50099-0865</v>
      </c>
      <c r="D2711" s="64" t="s">
        <v>3400</v>
      </c>
      <c r="E2711" s="64" t="s">
        <v>2900</v>
      </c>
      <c r="F2711" s="64" t="s">
        <v>15</v>
      </c>
      <c r="G2711" s="64" t="s">
        <v>2889</v>
      </c>
      <c r="H2711" s="64" t="s">
        <v>1875</v>
      </c>
      <c r="I2711" s="64" t="s">
        <v>2901</v>
      </c>
      <c r="J2711" s="67">
        <v>0</v>
      </c>
      <c r="K2711" s="62">
        <v>0</v>
      </c>
      <c r="L2711" s="33" t="e">
        <f>HLOOKUP(B2711,#REF!,1,0)</f>
        <v>#REF!</v>
      </c>
      <c r="M2711" s="33" t="str">
        <f t="shared" si="171"/>
        <v>P&amp;L</v>
      </c>
    </row>
    <row r="2712" spans="1:13" s="33" customFormat="true" ht="12.75" customHeight="true">
      <c r="A2712" s="33" t="str">
        <f t="shared" si="168"/>
        <v>3SI - CGS</v>
      </c>
      <c r="B2712" s="33" t="str">
        <f t="shared" si="169"/>
        <v>3SI</v>
      </c>
      <c r="C2712" s="33" t="str">
        <f t="shared" si="170"/>
        <v>50099-7466</v>
      </c>
      <c r="D2712" s="64" t="s">
        <v>3401</v>
      </c>
      <c r="E2712" s="64" t="s">
        <v>2900</v>
      </c>
      <c r="F2712" s="64" t="s">
        <v>15</v>
      </c>
      <c r="G2712" s="64" t="s">
        <v>2889</v>
      </c>
      <c r="H2712" s="64" t="s">
        <v>1875</v>
      </c>
      <c r="I2712" s="64" t="s">
        <v>2901</v>
      </c>
      <c r="J2712" s="67">
        <v>-24893.72</v>
      </c>
      <c r="K2712" s="62">
        <v>-256708.42</v>
      </c>
      <c r="L2712" s="33" t="e">
        <f>HLOOKUP(B2712,#REF!,1,0)</f>
        <v>#REF!</v>
      </c>
      <c r="M2712" s="33" t="str">
        <f t="shared" si="171"/>
        <v>P&amp;L</v>
      </c>
    </row>
    <row r="2713" spans="1:13" s="33" customFormat="true" ht="12.75" customHeight="true">
      <c r="A2713" s="33" t="str">
        <f t="shared" si="168"/>
        <v>3SI - CGS</v>
      </c>
      <c r="B2713" s="33" t="str">
        <f t="shared" si="169"/>
        <v>3SI</v>
      </c>
      <c r="C2713" s="33" t="str">
        <f t="shared" si="170"/>
        <v>50099-7780</v>
      </c>
      <c r="D2713" s="64" t="s">
        <v>3402</v>
      </c>
      <c r="E2713" s="64" t="s">
        <v>2900</v>
      </c>
      <c r="F2713" s="64" t="s">
        <v>15</v>
      </c>
      <c r="G2713" s="64" t="s">
        <v>2889</v>
      </c>
      <c r="H2713" s="64" t="s">
        <v>1875</v>
      </c>
      <c r="I2713" s="64" t="s">
        <v>2901</v>
      </c>
      <c r="J2713" s="67">
        <v>-33145.03</v>
      </c>
      <c r="K2713" s="62">
        <v>-315712.04</v>
      </c>
      <c r="L2713" s="33" t="e">
        <f>HLOOKUP(B2713,#REF!,1,0)</f>
        <v>#REF!</v>
      </c>
      <c r="M2713" s="33" t="str">
        <f t="shared" si="171"/>
        <v>P&amp;L</v>
      </c>
    </row>
    <row r="2714" spans="1:13" s="33" customFormat="true" ht="12.75" customHeight="true">
      <c r="A2714" s="33" t="str">
        <f t="shared" si="168"/>
        <v>3SI - CGS</v>
      </c>
      <c r="B2714" s="33" t="str">
        <f t="shared" si="169"/>
        <v>3SI</v>
      </c>
      <c r="C2714" s="33" t="str">
        <f t="shared" si="170"/>
        <v>50100-0863</v>
      </c>
      <c r="D2714" s="64" t="s">
        <v>3403</v>
      </c>
      <c r="E2714" s="64" t="s">
        <v>2907</v>
      </c>
      <c r="F2714" s="64" t="s">
        <v>15</v>
      </c>
      <c r="G2714" s="64" t="s">
        <v>2889</v>
      </c>
      <c r="H2714" s="64" t="s">
        <v>1875</v>
      </c>
      <c r="I2714" s="64" t="s">
        <v>2908</v>
      </c>
      <c r="J2714" s="67">
        <v>28632.7</v>
      </c>
      <c r="K2714" s="62">
        <v>265125.62</v>
      </c>
      <c r="L2714" s="33" t="e">
        <f>HLOOKUP(B2714,#REF!,1,0)</f>
        <v>#REF!</v>
      </c>
      <c r="M2714" s="33" t="str">
        <f t="shared" si="171"/>
        <v>P&amp;L</v>
      </c>
    </row>
    <row r="2715" spans="1:13" s="33" customFormat="true" ht="12.75" customHeight="true">
      <c r="A2715" s="33" t="str">
        <f t="shared" si="168"/>
        <v>3SI - CGS</v>
      </c>
      <c r="B2715" s="33" t="str">
        <f t="shared" si="169"/>
        <v>3SI</v>
      </c>
      <c r="C2715" s="33" t="str">
        <f t="shared" si="170"/>
        <v>50100-0865</v>
      </c>
      <c r="D2715" s="64" t="s">
        <v>3404</v>
      </c>
      <c r="E2715" s="64" t="s">
        <v>2907</v>
      </c>
      <c r="F2715" s="64" t="s">
        <v>15</v>
      </c>
      <c r="G2715" s="64" t="s">
        <v>2889</v>
      </c>
      <c r="H2715" s="64" t="s">
        <v>1875</v>
      </c>
      <c r="I2715" s="64" t="s">
        <v>2908</v>
      </c>
      <c r="J2715" s="67">
        <v>0</v>
      </c>
      <c r="K2715" s="62">
        <v>0</v>
      </c>
      <c r="L2715" s="33" t="e">
        <f>HLOOKUP(B2715,#REF!,1,0)</f>
        <v>#REF!</v>
      </c>
      <c r="M2715" s="33" t="str">
        <f t="shared" si="171"/>
        <v>P&amp;L</v>
      </c>
    </row>
    <row r="2716" spans="1:13" s="33" customFormat="true" ht="12.75" customHeight="true">
      <c r="A2716" s="33" t="str">
        <f t="shared" si="168"/>
        <v>3SI - CGS</v>
      </c>
      <c r="B2716" s="33" t="str">
        <f t="shared" si="169"/>
        <v>3SI</v>
      </c>
      <c r="C2716" s="33" t="str">
        <f t="shared" si="170"/>
        <v>50100-7466</v>
      </c>
      <c r="D2716" s="64" t="s">
        <v>3405</v>
      </c>
      <c r="E2716" s="64" t="s">
        <v>2907</v>
      </c>
      <c r="F2716" s="64" t="s">
        <v>15</v>
      </c>
      <c r="G2716" s="64" t="s">
        <v>2889</v>
      </c>
      <c r="H2716" s="64" t="s">
        <v>1875</v>
      </c>
      <c r="I2716" s="64" t="s">
        <v>2908</v>
      </c>
      <c r="J2716" s="67">
        <v>24893.72</v>
      </c>
      <c r="K2716" s="62">
        <v>256708.42</v>
      </c>
      <c r="L2716" s="33" t="e">
        <f>HLOOKUP(B2716,#REF!,1,0)</f>
        <v>#REF!</v>
      </c>
      <c r="M2716" s="33" t="str">
        <f t="shared" si="171"/>
        <v>P&amp;L</v>
      </c>
    </row>
    <row r="2717" spans="1:13" s="33" customFormat="true" ht="12.75" customHeight="true">
      <c r="A2717" s="33" t="str">
        <f t="shared" si="168"/>
        <v>3SI - CGS</v>
      </c>
      <c r="B2717" s="33" t="str">
        <f t="shared" si="169"/>
        <v>3SI</v>
      </c>
      <c r="C2717" s="33" t="str">
        <f t="shared" si="170"/>
        <v>50100-7780</v>
      </c>
      <c r="D2717" s="64" t="s">
        <v>3406</v>
      </c>
      <c r="E2717" s="64" t="s">
        <v>2907</v>
      </c>
      <c r="F2717" s="64" t="s">
        <v>15</v>
      </c>
      <c r="G2717" s="64" t="s">
        <v>2889</v>
      </c>
      <c r="H2717" s="64" t="s">
        <v>1875</v>
      </c>
      <c r="I2717" s="64" t="s">
        <v>2908</v>
      </c>
      <c r="J2717" s="67">
        <v>33145.03</v>
      </c>
      <c r="K2717" s="62">
        <v>315712.04</v>
      </c>
      <c r="L2717" s="33" t="e">
        <f>HLOOKUP(B2717,#REF!,1,0)</f>
        <v>#REF!</v>
      </c>
      <c r="M2717" s="33" t="str">
        <f t="shared" si="171"/>
        <v>P&amp;L</v>
      </c>
    </row>
    <row r="2718" spans="1:13" s="33" customFormat="true" ht="12.75" customHeight="true">
      <c r="A2718" s="33" t="str">
        <f t="shared" si="168"/>
        <v>3SI - CGS</v>
      </c>
      <c r="B2718" s="33" t="str">
        <f t="shared" si="169"/>
        <v>3SI</v>
      </c>
      <c r="C2718" s="33" t="str">
        <f t="shared" si="170"/>
        <v>51001-0863</v>
      </c>
      <c r="D2718" s="64" t="s">
        <v>3407</v>
      </c>
      <c r="E2718" s="64" t="s">
        <v>2914</v>
      </c>
      <c r="F2718" s="64" t="s">
        <v>15</v>
      </c>
      <c r="G2718" s="64" t="s">
        <v>2889</v>
      </c>
      <c r="H2718" s="64" t="s">
        <v>1875</v>
      </c>
      <c r="I2718" s="64" t="s">
        <v>2915</v>
      </c>
      <c r="J2718" s="67">
        <v>2159.05</v>
      </c>
      <c r="K2718" s="62">
        <v>23461.06</v>
      </c>
      <c r="L2718" s="33" t="e">
        <f>HLOOKUP(B2718,#REF!,1,0)</f>
        <v>#REF!</v>
      </c>
      <c r="M2718" s="33" t="str">
        <f t="shared" si="171"/>
        <v>P&amp;L</v>
      </c>
    </row>
    <row r="2719" spans="1:13" s="33" customFormat="true" ht="12.75" customHeight="true">
      <c r="A2719" s="33" t="str">
        <f t="shared" si="168"/>
        <v>3SI - CGS</v>
      </c>
      <c r="B2719" s="33" t="str">
        <f t="shared" si="169"/>
        <v>3SI</v>
      </c>
      <c r="C2719" s="33" t="str">
        <f t="shared" si="170"/>
        <v>51001-7466</v>
      </c>
      <c r="D2719" s="64" t="s">
        <v>3408</v>
      </c>
      <c r="E2719" s="64" t="s">
        <v>2914</v>
      </c>
      <c r="F2719" s="64" t="s">
        <v>15</v>
      </c>
      <c r="G2719" s="64" t="s">
        <v>2889</v>
      </c>
      <c r="H2719" s="64" t="s">
        <v>1875</v>
      </c>
      <c r="I2719" s="64" t="s">
        <v>2915</v>
      </c>
      <c r="J2719" s="67">
        <v>2351.84</v>
      </c>
      <c r="K2719" s="62">
        <v>24396.13</v>
      </c>
      <c r="L2719" s="33" t="e">
        <f>HLOOKUP(B2719,#REF!,1,0)</f>
        <v>#REF!</v>
      </c>
      <c r="M2719" s="33" t="str">
        <f t="shared" si="171"/>
        <v>P&amp;L</v>
      </c>
    </row>
    <row r="2720" spans="1:13" s="33" customFormat="true" ht="12.75" customHeight="true">
      <c r="A2720" s="33" t="str">
        <f t="shared" si="168"/>
        <v>3SI - CGS</v>
      </c>
      <c r="B2720" s="33" t="str">
        <f t="shared" si="169"/>
        <v>3SI</v>
      </c>
      <c r="C2720" s="33" t="str">
        <f t="shared" si="170"/>
        <v>51001-7780</v>
      </c>
      <c r="D2720" s="64" t="s">
        <v>3409</v>
      </c>
      <c r="E2720" s="64" t="s">
        <v>2914</v>
      </c>
      <c r="F2720" s="64" t="s">
        <v>15</v>
      </c>
      <c r="G2720" s="64" t="s">
        <v>2889</v>
      </c>
      <c r="H2720" s="64" t="s">
        <v>1875</v>
      </c>
      <c r="I2720" s="64" t="s">
        <v>2915</v>
      </c>
      <c r="J2720" s="67">
        <v>2301.38</v>
      </c>
      <c r="K2720" s="62">
        <v>27598.75</v>
      </c>
      <c r="L2720" s="33" t="e">
        <f>HLOOKUP(B2720,#REF!,1,0)</f>
        <v>#REF!</v>
      </c>
      <c r="M2720" s="33" t="str">
        <f t="shared" si="171"/>
        <v>P&amp;L</v>
      </c>
    </row>
    <row r="2721" spans="1:13" s="33" customFormat="true" ht="12.75" customHeight="true">
      <c r="A2721" s="33" t="str">
        <f t="shared" si="168"/>
        <v>3SI - CGS</v>
      </c>
      <c r="B2721" s="33" t="str">
        <f t="shared" si="169"/>
        <v>3SI</v>
      </c>
      <c r="C2721" s="33" t="str">
        <f t="shared" si="170"/>
        <v>52001-0863</v>
      </c>
      <c r="D2721" s="64" t="s">
        <v>3410</v>
      </c>
      <c r="E2721" s="64" t="s">
        <v>2920</v>
      </c>
      <c r="F2721" s="64" t="s">
        <v>15</v>
      </c>
      <c r="G2721" s="64" t="s">
        <v>2921</v>
      </c>
      <c r="H2721" s="64" t="s">
        <v>1875</v>
      </c>
      <c r="I2721" s="64" t="s">
        <v>2922</v>
      </c>
      <c r="J2721" s="67">
        <v>15916.61</v>
      </c>
      <c r="K2721" s="62">
        <v>177171.44</v>
      </c>
      <c r="L2721" s="33" t="e">
        <f>HLOOKUP(B2721,#REF!,1,0)</f>
        <v>#REF!</v>
      </c>
      <c r="M2721" s="33" t="str">
        <f t="shared" si="171"/>
        <v>P&amp;L</v>
      </c>
    </row>
    <row r="2722" spans="1:13" s="33" customFormat="true" ht="12.75" customHeight="true">
      <c r="A2722" s="33" t="str">
        <f t="shared" si="168"/>
        <v>3SI - CGS</v>
      </c>
      <c r="B2722" s="33" t="str">
        <f t="shared" si="169"/>
        <v>3SI</v>
      </c>
      <c r="C2722" s="33" t="str">
        <f t="shared" si="170"/>
        <v>52001-7466</v>
      </c>
      <c r="D2722" s="64" t="s">
        <v>3411</v>
      </c>
      <c r="E2722" s="64" t="s">
        <v>2920</v>
      </c>
      <c r="F2722" s="64" t="s">
        <v>15</v>
      </c>
      <c r="G2722" s="64" t="s">
        <v>2921</v>
      </c>
      <c r="H2722" s="64" t="s">
        <v>1875</v>
      </c>
      <c r="I2722" s="64" t="s">
        <v>2922</v>
      </c>
      <c r="J2722" s="67">
        <v>17415.5</v>
      </c>
      <c r="K2722" s="62">
        <v>196274.2</v>
      </c>
      <c r="L2722" s="33" t="e">
        <f>HLOOKUP(B2722,#REF!,1,0)</f>
        <v>#REF!</v>
      </c>
      <c r="M2722" s="33" t="str">
        <f t="shared" si="171"/>
        <v>P&amp;L</v>
      </c>
    </row>
    <row r="2723" spans="1:13" s="33" customFormat="true" ht="12.75" customHeight="true">
      <c r="A2723" s="33" t="str">
        <f t="shared" si="168"/>
        <v>3SI - CGS</v>
      </c>
      <c r="B2723" s="33" t="str">
        <f t="shared" si="169"/>
        <v>3SI</v>
      </c>
      <c r="C2723" s="33" t="str">
        <f t="shared" si="170"/>
        <v>52001-7780</v>
      </c>
      <c r="D2723" s="64" t="s">
        <v>3412</v>
      </c>
      <c r="E2723" s="64" t="s">
        <v>2920</v>
      </c>
      <c r="F2723" s="64" t="s">
        <v>15</v>
      </c>
      <c r="G2723" s="64" t="s">
        <v>2921</v>
      </c>
      <c r="H2723" s="64" t="s">
        <v>1875</v>
      </c>
      <c r="I2723" s="64" t="s">
        <v>2922</v>
      </c>
      <c r="J2723" s="67">
        <v>19405.26</v>
      </c>
      <c r="K2723" s="62">
        <v>186807.18</v>
      </c>
      <c r="L2723" s="33" t="e">
        <f>HLOOKUP(B2723,#REF!,1,0)</f>
        <v>#REF!</v>
      </c>
      <c r="M2723" s="33" t="str">
        <f t="shared" si="171"/>
        <v>P&amp;L</v>
      </c>
    </row>
    <row r="2724" spans="1:13" s="33" customFormat="true" ht="12.75" customHeight="true">
      <c r="A2724" s="33" t="str">
        <f t="shared" si="168"/>
        <v>3SI - CGS</v>
      </c>
      <c r="B2724" s="33" t="str">
        <f t="shared" si="169"/>
        <v>3SI</v>
      </c>
      <c r="C2724" s="33" t="str">
        <f t="shared" si="170"/>
        <v>52002-0863</v>
      </c>
      <c r="D2724" s="64" t="s">
        <v>3413</v>
      </c>
      <c r="E2724" s="64" t="s">
        <v>2927</v>
      </c>
      <c r="F2724" s="64" t="s">
        <v>15</v>
      </c>
      <c r="G2724" s="64" t="s">
        <v>2921</v>
      </c>
      <c r="H2724" s="64" t="s">
        <v>1875</v>
      </c>
      <c r="I2724" s="64" t="s">
        <v>2928</v>
      </c>
      <c r="J2724" s="67">
        <v>4999.89</v>
      </c>
      <c r="K2724" s="62">
        <v>34859.57</v>
      </c>
      <c r="L2724" s="33" t="e">
        <f>HLOOKUP(B2724,#REF!,1,0)</f>
        <v>#REF!</v>
      </c>
      <c r="M2724" s="33" t="str">
        <f t="shared" si="171"/>
        <v>P&amp;L</v>
      </c>
    </row>
    <row r="2725" spans="1:13" s="33" customFormat="true" ht="12.75" customHeight="true">
      <c r="A2725" s="33" t="str">
        <f t="shared" si="168"/>
        <v>3SI - CGS</v>
      </c>
      <c r="B2725" s="33" t="str">
        <f t="shared" si="169"/>
        <v>3SI</v>
      </c>
      <c r="C2725" s="33" t="str">
        <f t="shared" si="170"/>
        <v>52002-7466</v>
      </c>
      <c r="D2725" s="64" t="s">
        <v>3414</v>
      </c>
      <c r="E2725" s="64" t="s">
        <v>2927</v>
      </c>
      <c r="F2725" s="64" t="s">
        <v>15</v>
      </c>
      <c r="G2725" s="64" t="s">
        <v>2921</v>
      </c>
      <c r="H2725" s="64" t="s">
        <v>1875</v>
      </c>
      <c r="I2725" s="64" t="s">
        <v>2928</v>
      </c>
      <c r="J2725" s="67">
        <v>4057.28</v>
      </c>
      <c r="K2725" s="62">
        <v>38354.71</v>
      </c>
      <c r="L2725" s="33" t="e">
        <f>HLOOKUP(B2725,#REF!,1,0)</f>
        <v>#REF!</v>
      </c>
      <c r="M2725" s="33" t="str">
        <f t="shared" si="171"/>
        <v>P&amp;L</v>
      </c>
    </row>
    <row r="2726" spans="1:13" s="33" customFormat="true" ht="12.75" customHeight="true">
      <c r="A2726" s="33" t="str">
        <f t="shared" si="168"/>
        <v>3SI - CGS</v>
      </c>
      <c r="B2726" s="33" t="str">
        <f t="shared" si="169"/>
        <v>3SI</v>
      </c>
      <c r="C2726" s="33" t="str">
        <f t="shared" si="170"/>
        <v>52002-7780</v>
      </c>
      <c r="D2726" s="64" t="s">
        <v>3415</v>
      </c>
      <c r="E2726" s="64" t="s">
        <v>2927</v>
      </c>
      <c r="F2726" s="64" t="s">
        <v>15</v>
      </c>
      <c r="G2726" s="64" t="s">
        <v>2921</v>
      </c>
      <c r="H2726" s="64" t="s">
        <v>1875</v>
      </c>
      <c r="I2726" s="64" t="s">
        <v>2928</v>
      </c>
      <c r="J2726" s="67">
        <v>6384.55</v>
      </c>
      <c r="K2726" s="62">
        <v>96048.08</v>
      </c>
      <c r="L2726" s="33" t="e">
        <f>HLOOKUP(B2726,#REF!,1,0)</f>
        <v>#REF!</v>
      </c>
      <c r="M2726" s="33" t="str">
        <f t="shared" si="171"/>
        <v>P&amp;L</v>
      </c>
    </row>
    <row r="2727" spans="1:13" s="33" customFormat="true" ht="12.75" customHeight="true">
      <c r="A2727" s="33" t="str">
        <f t="shared" si="168"/>
        <v>3SI - CGS</v>
      </c>
      <c r="B2727" s="33" t="str">
        <f t="shared" si="169"/>
        <v>3SI</v>
      </c>
      <c r="C2727" s="33" t="str">
        <f t="shared" si="170"/>
        <v>52003-0863</v>
      </c>
      <c r="D2727" s="64" t="s">
        <v>3416</v>
      </c>
      <c r="E2727" s="64" t="s">
        <v>2933</v>
      </c>
      <c r="F2727" s="64" t="s">
        <v>15</v>
      </c>
      <c r="G2727" s="64" t="s">
        <v>2921</v>
      </c>
      <c r="H2727" s="64" t="s">
        <v>1875</v>
      </c>
      <c r="I2727" s="64" t="s">
        <v>2934</v>
      </c>
      <c r="J2727" s="67">
        <v>572.94</v>
      </c>
      <c r="K2727" s="62">
        <v>11081.66</v>
      </c>
      <c r="L2727" s="33" t="e">
        <f>HLOOKUP(B2727,#REF!,1,0)</f>
        <v>#REF!</v>
      </c>
      <c r="M2727" s="33" t="str">
        <f t="shared" si="171"/>
        <v>P&amp;L</v>
      </c>
    </row>
    <row r="2728" spans="1:13" s="33" customFormat="true" ht="12.75" customHeight="true">
      <c r="A2728" s="33" t="str">
        <f t="shared" si="168"/>
        <v>3SI - CGS</v>
      </c>
      <c r="B2728" s="33" t="str">
        <f t="shared" si="169"/>
        <v>3SI</v>
      </c>
      <c r="C2728" s="33" t="str">
        <f t="shared" si="170"/>
        <v>52003-7466</v>
      </c>
      <c r="D2728" s="64" t="s">
        <v>3417</v>
      </c>
      <c r="E2728" s="64" t="s">
        <v>2933</v>
      </c>
      <c r="F2728" s="64" t="s">
        <v>15</v>
      </c>
      <c r="G2728" s="64" t="s">
        <v>2921</v>
      </c>
      <c r="H2728" s="64" t="s">
        <v>1875</v>
      </c>
      <c r="I2728" s="64" t="s">
        <v>2934</v>
      </c>
      <c r="J2728" s="67">
        <v>395.88</v>
      </c>
      <c r="K2728" s="62">
        <v>5926.68</v>
      </c>
      <c r="L2728" s="33" t="e">
        <f>HLOOKUP(B2728,#REF!,1,0)</f>
        <v>#REF!</v>
      </c>
      <c r="M2728" s="33" t="str">
        <f t="shared" si="171"/>
        <v>P&amp;L</v>
      </c>
    </row>
    <row r="2729" spans="1:13" s="33" customFormat="true" ht="12.75" customHeight="true">
      <c r="A2729" s="33" t="str">
        <f t="shared" si="168"/>
        <v>3SI - CGS</v>
      </c>
      <c r="B2729" s="33" t="str">
        <f t="shared" si="169"/>
        <v>3SI</v>
      </c>
      <c r="C2729" s="33" t="str">
        <f t="shared" si="170"/>
        <v>52003-7780</v>
      </c>
      <c r="D2729" s="64" t="s">
        <v>3418</v>
      </c>
      <c r="E2729" s="64" t="s">
        <v>2933</v>
      </c>
      <c r="F2729" s="64" t="s">
        <v>15</v>
      </c>
      <c r="G2729" s="64" t="s">
        <v>2921</v>
      </c>
      <c r="H2729" s="64" t="s">
        <v>1875</v>
      </c>
      <c r="I2729" s="64" t="s">
        <v>2934</v>
      </c>
      <c r="J2729" s="67">
        <v>29.36</v>
      </c>
      <c r="K2729" s="62">
        <v>525.79</v>
      </c>
      <c r="L2729" s="33" t="e">
        <f>HLOOKUP(B2729,#REF!,1,0)</f>
        <v>#REF!</v>
      </c>
      <c r="M2729" s="33" t="str">
        <f t="shared" si="171"/>
        <v>P&amp;L</v>
      </c>
    </row>
    <row r="2730" spans="1:13" s="33" customFormat="true" ht="12.75" customHeight="true">
      <c r="A2730" s="33" t="str">
        <f t="shared" si="168"/>
        <v>3SI - CGS</v>
      </c>
      <c r="B2730" s="33" t="str">
        <f t="shared" si="169"/>
        <v>3SI</v>
      </c>
      <c r="C2730" s="33" t="str">
        <f t="shared" si="170"/>
        <v>52004-0863</v>
      </c>
      <c r="D2730" s="64" t="s">
        <v>3419</v>
      </c>
      <c r="E2730" s="64" t="s">
        <v>2939</v>
      </c>
      <c r="F2730" s="64" t="s">
        <v>15</v>
      </c>
      <c r="G2730" s="64" t="s">
        <v>2921</v>
      </c>
      <c r="H2730" s="64" t="s">
        <v>1875</v>
      </c>
      <c r="I2730" s="64" t="s">
        <v>2940</v>
      </c>
      <c r="J2730" s="67">
        <v>466.66</v>
      </c>
      <c r="K2730" s="62">
        <v>11292.32</v>
      </c>
      <c r="L2730" s="33" t="e">
        <f>HLOOKUP(B2730,#REF!,1,0)</f>
        <v>#REF!</v>
      </c>
      <c r="M2730" s="33" t="str">
        <f t="shared" si="171"/>
        <v>P&amp;L</v>
      </c>
    </row>
    <row r="2731" spans="1:13" s="33" customFormat="true" ht="12.75" customHeight="true">
      <c r="A2731" s="33" t="str">
        <f t="shared" si="168"/>
        <v>3SI - CGS</v>
      </c>
      <c r="B2731" s="33" t="str">
        <f t="shared" si="169"/>
        <v>3SI</v>
      </c>
      <c r="C2731" s="33" t="str">
        <f t="shared" si="170"/>
        <v>52004-7466</v>
      </c>
      <c r="D2731" s="64" t="s">
        <v>3420</v>
      </c>
      <c r="E2731" s="64" t="s">
        <v>2939</v>
      </c>
      <c r="F2731" s="64" t="s">
        <v>15</v>
      </c>
      <c r="G2731" s="64" t="s">
        <v>2921</v>
      </c>
      <c r="H2731" s="64" t="s">
        <v>1875</v>
      </c>
      <c r="I2731" s="64" t="s">
        <v>2940</v>
      </c>
      <c r="J2731" s="67">
        <v>51.23</v>
      </c>
      <c r="K2731" s="62">
        <v>1483.94</v>
      </c>
      <c r="L2731" s="33" t="e">
        <f>HLOOKUP(B2731,#REF!,1,0)</f>
        <v>#REF!</v>
      </c>
      <c r="M2731" s="33" t="str">
        <f t="shared" si="171"/>
        <v>P&amp;L</v>
      </c>
    </row>
    <row r="2732" spans="1:13" s="33" customFormat="true" ht="12.75" customHeight="true">
      <c r="A2732" s="33" t="str">
        <f t="shared" si="168"/>
        <v>3SI - CGS</v>
      </c>
      <c r="B2732" s="33" t="str">
        <f t="shared" si="169"/>
        <v>3SI</v>
      </c>
      <c r="C2732" s="33" t="str">
        <f t="shared" si="170"/>
        <v>52004-7780</v>
      </c>
      <c r="D2732" s="64" t="s">
        <v>3421</v>
      </c>
      <c r="E2732" s="64" t="s">
        <v>2939</v>
      </c>
      <c r="F2732" s="64" t="s">
        <v>15</v>
      </c>
      <c r="G2732" s="64" t="s">
        <v>2921</v>
      </c>
      <c r="H2732" s="64" t="s">
        <v>1875</v>
      </c>
      <c r="I2732" s="64" t="s">
        <v>2940</v>
      </c>
      <c r="J2732" s="67">
        <v>20.12</v>
      </c>
      <c r="K2732" s="62">
        <v>1134.96</v>
      </c>
      <c r="L2732" s="33" t="e">
        <f>HLOOKUP(B2732,#REF!,1,0)</f>
        <v>#REF!</v>
      </c>
      <c r="M2732" s="33" t="str">
        <f t="shared" si="171"/>
        <v>P&amp;L</v>
      </c>
    </row>
    <row r="2733" spans="1:13" s="33" customFormat="true" ht="12.75" customHeight="true">
      <c r="A2733" s="33" t="str">
        <f t="shared" si="168"/>
        <v>3SI - CGS</v>
      </c>
      <c r="B2733" s="33" t="str">
        <f t="shared" si="169"/>
        <v>3SI</v>
      </c>
      <c r="C2733" s="33" t="str">
        <f t="shared" si="170"/>
        <v>52005-0863</v>
      </c>
      <c r="D2733" s="64" t="s">
        <v>3422</v>
      </c>
      <c r="E2733" s="64" t="s">
        <v>2945</v>
      </c>
      <c r="F2733" s="64" t="s">
        <v>15</v>
      </c>
      <c r="G2733" s="64" t="s">
        <v>2921</v>
      </c>
      <c r="H2733" s="64" t="s">
        <v>1875</v>
      </c>
      <c r="I2733" s="64" t="s">
        <v>2946</v>
      </c>
      <c r="J2733" s="67">
        <v>848</v>
      </c>
      <c r="K2733" s="62">
        <v>3234.79</v>
      </c>
      <c r="L2733" s="33" t="e">
        <f>HLOOKUP(B2733,#REF!,1,0)</f>
        <v>#REF!</v>
      </c>
      <c r="M2733" s="33" t="str">
        <f t="shared" si="171"/>
        <v>P&amp;L</v>
      </c>
    </row>
    <row r="2734" spans="1:13" s="33" customFormat="true" ht="12.75" customHeight="true">
      <c r="A2734" s="33" t="str">
        <f t="shared" si="168"/>
        <v>3SI - CGS</v>
      </c>
      <c r="B2734" s="33" t="str">
        <f t="shared" si="169"/>
        <v>3SI</v>
      </c>
      <c r="C2734" s="33" t="str">
        <f t="shared" si="170"/>
        <v>52005-7466</v>
      </c>
      <c r="D2734" s="64" t="s">
        <v>3423</v>
      </c>
      <c r="E2734" s="64" t="s">
        <v>2945</v>
      </c>
      <c r="F2734" s="64" t="s">
        <v>15</v>
      </c>
      <c r="G2734" s="64" t="s">
        <v>2921</v>
      </c>
      <c r="H2734" s="64" t="s">
        <v>1875</v>
      </c>
      <c r="I2734" s="64" t="s">
        <v>2946</v>
      </c>
      <c r="J2734" s="67">
        <v>414</v>
      </c>
      <c r="K2734" s="62">
        <v>3522.92</v>
      </c>
      <c r="L2734" s="33" t="e">
        <f>HLOOKUP(B2734,#REF!,1,0)</f>
        <v>#REF!</v>
      </c>
      <c r="M2734" s="33" t="str">
        <f t="shared" si="171"/>
        <v>P&amp;L</v>
      </c>
    </row>
    <row r="2735" spans="1:13" s="33" customFormat="true" ht="12.75" customHeight="true">
      <c r="A2735" s="33" t="str">
        <f t="shared" si="168"/>
        <v>3SI - CGS</v>
      </c>
      <c r="B2735" s="33" t="str">
        <f t="shared" si="169"/>
        <v>3SI</v>
      </c>
      <c r="C2735" s="33" t="str">
        <f t="shared" si="170"/>
        <v>52005-7780</v>
      </c>
      <c r="D2735" s="64" t="s">
        <v>3424</v>
      </c>
      <c r="E2735" s="64" t="s">
        <v>2945</v>
      </c>
      <c r="F2735" s="64" t="s">
        <v>15</v>
      </c>
      <c r="G2735" s="64" t="s">
        <v>2921</v>
      </c>
      <c r="H2735" s="64" t="s">
        <v>1875</v>
      </c>
      <c r="I2735" s="64" t="s">
        <v>2946</v>
      </c>
      <c r="J2735" s="67">
        <v>240</v>
      </c>
      <c r="K2735" s="62">
        <v>3919.36</v>
      </c>
      <c r="L2735" s="33" t="e">
        <f>HLOOKUP(B2735,#REF!,1,0)</f>
        <v>#REF!</v>
      </c>
      <c r="M2735" s="33" t="str">
        <f t="shared" si="171"/>
        <v>P&amp;L</v>
      </c>
    </row>
    <row r="2736" spans="1:13" s="33" customFormat="true" ht="12.75" customHeight="true">
      <c r="A2736" s="33" t="str">
        <f t="shared" si="168"/>
        <v>3SI - CGS</v>
      </c>
      <c r="B2736" s="33" t="str">
        <f t="shared" si="169"/>
        <v>3SI</v>
      </c>
      <c r="C2736" s="33" t="str">
        <f t="shared" si="170"/>
        <v>53001-0863</v>
      </c>
      <c r="D2736" s="64" t="s">
        <v>3425</v>
      </c>
      <c r="E2736" s="64" t="s">
        <v>3426</v>
      </c>
      <c r="F2736" s="64" t="s">
        <v>15</v>
      </c>
      <c r="G2736" s="64" t="s">
        <v>2921</v>
      </c>
      <c r="H2736" s="64" t="s">
        <v>1875</v>
      </c>
      <c r="I2736" s="64" t="s">
        <v>3427</v>
      </c>
      <c r="J2736" s="67">
        <v>2163.6</v>
      </c>
      <c r="K2736" s="62">
        <v>18763.6</v>
      </c>
      <c r="L2736" s="33" t="e">
        <f>HLOOKUP(B2736,#REF!,1,0)</f>
        <v>#REF!</v>
      </c>
      <c r="M2736" s="33" t="str">
        <f t="shared" si="171"/>
        <v>P&amp;L</v>
      </c>
    </row>
    <row r="2737" spans="1:13" s="33" customFormat="true" ht="12.75" customHeight="true">
      <c r="A2737" s="33" t="str">
        <f t="shared" si="168"/>
        <v>3SI - CGS</v>
      </c>
      <c r="B2737" s="33" t="str">
        <f t="shared" si="169"/>
        <v>3SI</v>
      </c>
      <c r="C2737" s="33" t="str">
        <f t="shared" si="170"/>
        <v>53003-0863</v>
      </c>
      <c r="D2737" s="64" t="s">
        <v>3428</v>
      </c>
      <c r="E2737" s="64" t="s">
        <v>2954</v>
      </c>
      <c r="F2737" s="64" t="s">
        <v>15</v>
      </c>
      <c r="G2737" s="64" t="s">
        <v>2921</v>
      </c>
      <c r="H2737" s="64" t="s">
        <v>1875</v>
      </c>
      <c r="I2737" s="64" t="s">
        <v>2955</v>
      </c>
      <c r="J2737" s="67">
        <v>3160</v>
      </c>
      <c r="K2737" s="62">
        <v>27244.71</v>
      </c>
      <c r="L2737" s="33" t="e">
        <f>HLOOKUP(B2737,#REF!,1,0)</f>
        <v>#REF!</v>
      </c>
      <c r="M2737" s="33" t="str">
        <f t="shared" si="171"/>
        <v>P&amp;L</v>
      </c>
    </row>
    <row r="2738" spans="1:13" s="33" customFormat="true" ht="12.75" customHeight="true">
      <c r="A2738" s="33" t="str">
        <f t="shared" si="168"/>
        <v>3SI - CGS</v>
      </c>
      <c r="B2738" s="33" t="str">
        <f t="shared" si="169"/>
        <v>3SI</v>
      </c>
      <c r="C2738" s="33" t="str">
        <f t="shared" si="170"/>
        <v>53003-7466</v>
      </c>
      <c r="D2738" s="64" t="s">
        <v>3429</v>
      </c>
      <c r="E2738" s="64" t="s">
        <v>2954</v>
      </c>
      <c r="F2738" s="64" t="s">
        <v>15</v>
      </c>
      <c r="G2738" s="64" t="s">
        <v>2921</v>
      </c>
      <c r="H2738" s="64" t="s">
        <v>1875</v>
      </c>
      <c r="I2738" s="64" t="s">
        <v>2955</v>
      </c>
      <c r="J2738" s="67">
        <v>3201.83</v>
      </c>
      <c r="K2738" s="62">
        <v>34615.34</v>
      </c>
      <c r="L2738" s="33" t="e">
        <f>HLOOKUP(B2738,#REF!,1,0)</f>
        <v>#REF!</v>
      </c>
      <c r="M2738" s="33" t="str">
        <f t="shared" si="171"/>
        <v>P&amp;L</v>
      </c>
    </row>
    <row r="2739" spans="1:13" s="33" customFormat="true" ht="12.75" customHeight="true">
      <c r="A2739" s="33" t="str">
        <f t="shared" si="168"/>
        <v>3SI - CGS</v>
      </c>
      <c r="B2739" s="33" t="str">
        <f t="shared" si="169"/>
        <v>3SI</v>
      </c>
      <c r="C2739" s="33" t="str">
        <f t="shared" si="170"/>
        <v>53003-7780</v>
      </c>
      <c r="D2739" s="64" t="s">
        <v>3430</v>
      </c>
      <c r="E2739" s="64" t="s">
        <v>2954</v>
      </c>
      <c r="F2739" s="64" t="s">
        <v>15</v>
      </c>
      <c r="G2739" s="64" t="s">
        <v>2921</v>
      </c>
      <c r="H2739" s="64" t="s">
        <v>1875</v>
      </c>
      <c r="I2739" s="64" t="s">
        <v>2955</v>
      </c>
      <c r="J2739" s="67">
        <v>2941.4</v>
      </c>
      <c r="K2739" s="62">
        <v>32036.46</v>
      </c>
      <c r="L2739" s="33" t="e">
        <f>HLOOKUP(B2739,#REF!,1,0)</f>
        <v>#REF!</v>
      </c>
      <c r="M2739" s="33" t="str">
        <f t="shared" si="171"/>
        <v>P&amp;L</v>
      </c>
    </row>
    <row r="2740" spans="1:13" s="33" customFormat="true" ht="12.75" customHeight="true">
      <c r="A2740" s="33" t="str">
        <f t="shared" si="168"/>
        <v>3SI - CGS</v>
      </c>
      <c r="B2740" s="33" t="str">
        <f t="shared" si="169"/>
        <v>3SI</v>
      </c>
      <c r="C2740" s="33" t="str">
        <f t="shared" si="170"/>
        <v>53004-0863</v>
      </c>
      <c r="D2740" s="64" t="s">
        <v>3431</v>
      </c>
      <c r="E2740" s="64" t="s">
        <v>2960</v>
      </c>
      <c r="F2740" s="64" t="s">
        <v>15</v>
      </c>
      <c r="G2740" s="64" t="s">
        <v>2921</v>
      </c>
      <c r="H2740" s="64" t="s">
        <v>1875</v>
      </c>
      <c r="I2740" s="64" t="s">
        <v>2961</v>
      </c>
      <c r="J2740" s="67">
        <v>1550.27</v>
      </c>
      <c r="K2740" s="62">
        <v>11273.69</v>
      </c>
      <c r="L2740" s="33" t="e">
        <f>HLOOKUP(B2740,#REF!,1,0)</f>
        <v>#REF!</v>
      </c>
      <c r="M2740" s="33" t="str">
        <f t="shared" si="171"/>
        <v>P&amp;L</v>
      </c>
    </row>
    <row r="2741" spans="1:13" s="33" customFormat="true" ht="12.75" customHeight="true">
      <c r="A2741" s="33" t="str">
        <f t="shared" si="168"/>
        <v>3SI - CGS</v>
      </c>
      <c r="B2741" s="33" t="str">
        <f t="shared" si="169"/>
        <v>3SI</v>
      </c>
      <c r="C2741" s="33" t="str">
        <f t="shared" si="170"/>
        <v>53004-7466</v>
      </c>
      <c r="D2741" s="64" t="s">
        <v>3432</v>
      </c>
      <c r="E2741" s="64" t="s">
        <v>2960</v>
      </c>
      <c r="F2741" s="64" t="s">
        <v>15</v>
      </c>
      <c r="G2741" s="64" t="s">
        <v>2921</v>
      </c>
      <c r="H2741" s="64" t="s">
        <v>1875</v>
      </c>
      <c r="I2741" s="64" t="s">
        <v>2961</v>
      </c>
      <c r="J2741" s="67">
        <v>875.27</v>
      </c>
      <c r="K2741" s="62">
        <v>9940.55</v>
      </c>
      <c r="L2741" s="33" t="e">
        <f>HLOOKUP(B2741,#REF!,1,0)</f>
        <v>#REF!</v>
      </c>
      <c r="M2741" s="33" t="str">
        <f t="shared" si="171"/>
        <v>P&amp;L</v>
      </c>
    </row>
    <row r="2742" spans="1:13" s="33" customFormat="true" ht="12.75" customHeight="true">
      <c r="A2742" s="33" t="str">
        <f t="shared" si="168"/>
        <v>3SI - CGS</v>
      </c>
      <c r="B2742" s="33" t="str">
        <f t="shared" si="169"/>
        <v>3SI</v>
      </c>
      <c r="C2742" s="33" t="str">
        <f t="shared" si="170"/>
        <v>53004-7780</v>
      </c>
      <c r="D2742" s="64" t="s">
        <v>3433</v>
      </c>
      <c r="E2742" s="64" t="s">
        <v>2960</v>
      </c>
      <c r="F2742" s="64" t="s">
        <v>15</v>
      </c>
      <c r="G2742" s="64" t="s">
        <v>2921</v>
      </c>
      <c r="H2742" s="64" t="s">
        <v>1875</v>
      </c>
      <c r="I2742" s="64" t="s">
        <v>2961</v>
      </c>
      <c r="J2742" s="67">
        <v>470.4</v>
      </c>
      <c r="K2742" s="62">
        <v>3304.73</v>
      </c>
      <c r="L2742" s="33" t="e">
        <f>HLOOKUP(B2742,#REF!,1,0)</f>
        <v>#REF!</v>
      </c>
      <c r="M2742" s="33" t="str">
        <f t="shared" si="171"/>
        <v>P&amp;L</v>
      </c>
    </row>
    <row r="2743" spans="1:13" s="33" customFormat="true" ht="12.75" customHeight="true">
      <c r="A2743" s="33" t="str">
        <f t="shared" si="168"/>
        <v>3SI - CGS</v>
      </c>
      <c r="B2743" s="33" t="str">
        <f t="shared" si="169"/>
        <v>3SI</v>
      </c>
      <c r="C2743" s="33" t="str">
        <f t="shared" si="170"/>
        <v>53005-0863</v>
      </c>
      <c r="D2743" s="64" t="s">
        <v>3434</v>
      </c>
      <c r="E2743" s="64" t="s">
        <v>2966</v>
      </c>
      <c r="F2743" s="64" t="s">
        <v>15</v>
      </c>
      <c r="G2743" s="64" t="s">
        <v>2921</v>
      </c>
      <c r="H2743" s="64" t="s">
        <v>1875</v>
      </c>
      <c r="I2743" s="64" t="s">
        <v>2946</v>
      </c>
      <c r="J2743" s="67">
        <v>0</v>
      </c>
      <c r="K2743" s="62">
        <v>642</v>
      </c>
      <c r="L2743" s="33" t="e">
        <f>HLOOKUP(B2743,#REF!,1,0)</f>
        <v>#REF!</v>
      </c>
      <c r="M2743" s="33" t="str">
        <f t="shared" si="171"/>
        <v>P&amp;L</v>
      </c>
    </row>
    <row r="2744" spans="1:13" s="33" customFormat="true" ht="12.75" customHeight="true">
      <c r="A2744" s="33" t="str">
        <f t="shared" si="168"/>
        <v>3SI - CGS</v>
      </c>
      <c r="B2744" s="33" t="str">
        <f t="shared" si="169"/>
        <v>3SI</v>
      </c>
      <c r="C2744" s="33" t="str">
        <f t="shared" si="170"/>
        <v>53005-7466</v>
      </c>
      <c r="D2744" s="64" t="s">
        <v>3435</v>
      </c>
      <c r="E2744" s="64" t="s">
        <v>2966</v>
      </c>
      <c r="F2744" s="64" t="s">
        <v>15</v>
      </c>
      <c r="G2744" s="64" t="s">
        <v>2921</v>
      </c>
      <c r="H2744" s="64" t="s">
        <v>1875</v>
      </c>
      <c r="I2744" s="64" t="s">
        <v>2946</v>
      </c>
      <c r="J2744" s="67">
        <v>0</v>
      </c>
      <c r="K2744" s="62">
        <v>973.38</v>
      </c>
      <c r="L2744" s="33" t="e">
        <f>HLOOKUP(B2744,#REF!,1,0)</f>
        <v>#REF!</v>
      </c>
      <c r="M2744" s="33" t="str">
        <f t="shared" si="171"/>
        <v>P&amp;L</v>
      </c>
    </row>
    <row r="2745" spans="1:13" s="33" customFormat="true" ht="12.75" customHeight="true">
      <c r="A2745" s="33" t="str">
        <f t="shared" si="168"/>
        <v>3SI - CGS</v>
      </c>
      <c r="B2745" s="33" t="str">
        <f t="shared" si="169"/>
        <v>3SI</v>
      </c>
      <c r="C2745" s="33" t="str">
        <f t="shared" si="170"/>
        <v>53005-7780</v>
      </c>
      <c r="D2745" s="64" t="s">
        <v>3436</v>
      </c>
      <c r="E2745" s="64" t="s">
        <v>2966</v>
      </c>
      <c r="F2745" s="64" t="s">
        <v>15</v>
      </c>
      <c r="G2745" s="64" t="s">
        <v>2921</v>
      </c>
      <c r="H2745" s="64" t="s">
        <v>1875</v>
      </c>
      <c r="I2745" s="64" t="s">
        <v>2946</v>
      </c>
      <c r="J2745" s="67">
        <v>0</v>
      </c>
      <c r="K2745" s="62">
        <v>1909.07</v>
      </c>
      <c r="L2745" s="33" t="e">
        <f>HLOOKUP(B2745,#REF!,1,0)</f>
        <v>#REF!</v>
      </c>
      <c r="M2745" s="33" t="str">
        <f t="shared" si="171"/>
        <v>P&amp;L</v>
      </c>
    </row>
    <row r="2746" spans="1:13" s="33" customFormat="true" ht="12.75" customHeight="true">
      <c r="A2746" s="33" t="str">
        <f t="shared" si="168"/>
        <v>3SI - CGS</v>
      </c>
      <c r="B2746" s="33" t="str">
        <f t="shared" si="169"/>
        <v>3SI</v>
      </c>
      <c r="C2746" s="33" t="str">
        <f t="shared" si="170"/>
        <v>53006-0863</v>
      </c>
      <c r="D2746" s="64" t="s">
        <v>3437</v>
      </c>
      <c r="E2746" s="64" t="s">
        <v>2970</v>
      </c>
      <c r="F2746" s="64" t="s">
        <v>15</v>
      </c>
      <c r="G2746" s="64" t="s">
        <v>2921</v>
      </c>
      <c r="H2746" s="64" t="s">
        <v>1875</v>
      </c>
      <c r="I2746" s="64" t="s">
        <v>2946</v>
      </c>
      <c r="J2746" s="67">
        <v>0</v>
      </c>
      <c r="K2746" s="62">
        <v>767.18</v>
      </c>
      <c r="L2746" s="33" t="e">
        <f>HLOOKUP(B2746,#REF!,1,0)</f>
        <v>#REF!</v>
      </c>
      <c r="M2746" s="33" t="str">
        <f t="shared" si="171"/>
        <v>P&amp;L</v>
      </c>
    </row>
    <row r="2747" spans="1:13" s="33" customFormat="true" ht="12.75" customHeight="true">
      <c r="A2747" s="33" t="str">
        <f t="shared" si="168"/>
        <v>3SI - CGS</v>
      </c>
      <c r="B2747" s="33" t="str">
        <f t="shared" si="169"/>
        <v>3SI</v>
      </c>
      <c r="C2747" s="33" t="str">
        <f t="shared" si="170"/>
        <v>53006-7466</v>
      </c>
      <c r="D2747" s="64" t="s">
        <v>3438</v>
      </c>
      <c r="E2747" s="64" t="s">
        <v>2970</v>
      </c>
      <c r="F2747" s="64" t="s">
        <v>15</v>
      </c>
      <c r="G2747" s="64" t="s">
        <v>2921</v>
      </c>
      <c r="H2747" s="64" t="s">
        <v>1875</v>
      </c>
      <c r="I2747" s="64" t="s">
        <v>2946</v>
      </c>
      <c r="J2747" s="67">
        <v>0</v>
      </c>
      <c r="K2747" s="62">
        <v>763.68</v>
      </c>
      <c r="L2747" s="33" t="e">
        <f>HLOOKUP(B2747,#REF!,1,0)</f>
        <v>#REF!</v>
      </c>
      <c r="M2747" s="33" t="str">
        <f t="shared" si="171"/>
        <v>P&amp;L</v>
      </c>
    </row>
    <row r="2748" spans="1:13" s="33" customFormat="true" ht="12.75" customHeight="true">
      <c r="A2748" s="33" t="str">
        <f t="shared" si="168"/>
        <v>3SI - CGS</v>
      </c>
      <c r="B2748" s="33" t="str">
        <f t="shared" si="169"/>
        <v>3SI</v>
      </c>
      <c r="C2748" s="33" t="str">
        <f t="shared" si="170"/>
        <v>53006-7780</v>
      </c>
      <c r="D2748" s="64" t="s">
        <v>3439</v>
      </c>
      <c r="E2748" s="64" t="s">
        <v>2970</v>
      </c>
      <c r="F2748" s="64" t="s">
        <v>15</v>
      </c>
      <c r="G2748" s="64" t="s">
        <v>2921</v>
      </c>
      <c r="H2748" s="64" t="s">
        <v>1875</v>
      </c>
      <c r="I2748" s="64" t="s">
        <v>2946</v>
      </c>
      <c r="J2748" s="67">
        <v>0</v>
      </c>
      <c r="K2748" s="62">
        <v>955.69</v>
      </c>
      <c r="L2748" s="33" t="e">
        <f>HLOOKUP(B2748,#REF!,1,0)</f>
        <v>#REF!</v>
      </c>
      <c r="M2748" s="33" t="str">
        <f t="shared" si="171"/>
        <v>P&amp;L</v>
      </c>
    </row>
    <row r="2749" spans="1:13" s="33" customFormat="true" ht="12.75" customHeight="true">
      <c r="A2749" s="33" t="str">
        <f t="shared" si="168"/>
        <v>3SI - CGS</v>
      </c>
      <c r="B2749" s="33" t="str">
        <f t="shared" si="169"/>
        <v>3SI</v>
      </c>
      <c r="C2749" s="33" t="str">
        <f t="shared" si="170"/>
        <v>54001-0863</v>
      </c>
      <c r="D2749" s="64" t="s">
        <v>3440</v>
      </c>
      <c r="E2749" s="64" t="s">
        <v>2975</v>
      </c>
      <c r="F2749" s="64" t="s">
        <v>15</v>
      </c>
      <c r="G2749" s="64" t="s">
        <v>2976</v>
      </c>
      <c r="H2749" s="64" t="s">
        <v>1875</v>
      </c>
      <c r="I2749" s="64" t="s">
        <v>2977</v>
      </c>
      <c r="J2749" s="67">
        <v>969</v>
      </c>
      <c r="K2749" s="62">
        <v>1657</v>
      </c>
      <c r="L2749" s="33" t="e">
        <f>HLOOKUP(B2749,#REF!,1,0)</f>
        <v>#REF!</v>
      </c>
      <c r="M2749" s="33" t="str">
        <f t="shared" si="171"/>
        <v>P&amp;L</v>
      </c>
    </row>
    <row r="2750" spans="1:13" s="33" customFormat="true" ht="12.75" customHeight="true">
      <c r="A2750" s="33" t="str">
        <f t="shared" si="168"/>
        <v>3SI - CGS</v>
      </c>
      <c r="B2750" s="33" t="str">
        <f t="shared" si="169"/>
        <v>3SI</v>
      </c>
      <c r="C2750" s="33" t="str">
        <f t="shared" si="170"/>
        <v>54001-7466</v>
      </c>
      <c r="D2750" s="64" t="s">
        <v>3441</v>
      </c>
      <c r="E2750" s="64" t="s">
        <v>2975</v>
      </c>
      <c r="F2750" s="64" t="s">
        <v>15</v>
      </c>
      <c r="G2750" s="64" t="s">
        <v>2976</v>
      </c>
      <c r="H2750" s="64" t="s">
        <v>1875</v>
      </c>
      <c r="I2750" s="64" t="s">
        <v>2977</v>
      </c>
      <c r="J2750" s="67">
        <v>0</v>
      </c>
      <c r="K2750" s="62">
        <v>3205</v>
      </c>
      <c r="L2750" s="33" t="e">
        <f>HLOOKUP(B2750,#REF!,1,0)</f>
        <v>#REF!</v>
      </c>
      <c r="M2750" s="33" t="str">
        <f t="shared" si="171"/>
        <v>P&amp;L</v>
      </c>
    </row>
    <row r="2751" spans="1:13" s="33" customFormat="true" ht="12.75" customHeight="true">
      <c r="A2751" s="33" t="str">
        <f t="shared" si="168"/>
        <v>3SI - CGS</v>
      </c>
      <c r="B2751" s="33" t="str">
        <f t="shared" si="169"/>
        <v>3SI</v>
      </c>
      <c r="C2751" s="33" t="str">
        <f t="shared" si="170"/>
        <v>54001-7780</v>
      </c>
      <c r="D2751" s="64" t="s">
        <v>3442</v>
      </c>
      <c r="E2751" s="64" t="s">
        <v>2975</v>
      </c>
      <c r="F2751" s="64" t="s">
        <v>15</v>
      </c>
      <c r="G2751" s="64" t="s">
        <v>2976</v>
      </c>
      <c r="H2751" s="64" t="s">
        <v>1875</v>
      </c>
      <c r="I2751" s="64" t="s">
        <v>2977</v>
      </c>
      <c r="J2751" s="67">
        <v>1094</v>
      </c>
      <c r="K2751" s="62">
        <v>2032</v>
      </c>
      <c r="L2751" s="33" t="e">
        <f>HLOOKUP(B2751,#REF!,1,0)</f>
        <v>#REF!</v>
      </c>
      <c r="M2751" s="33" t="str">
        <f t="shared" si="171"/>
        <v>P&amp;L</v>
      </c>
    </row>
    <row r="2752" spans="1:13" s="33" customFormat="true" ht="12.75" customHeight="true">
      <c r="A2752" s="33" t="str">
        <f t="shared" si="168"/>
        <v>3SI - CGS</v>
      </c>
      <c r="B2752" s="33" t="str">
        <f t="shared" si="169"/>
        <v>3SI</v>
      </c>
      <c r="C2752" s="33" t="str">
        <f t="shared" si="170"/>
        <v>54099-0863</v>
      </c>
      <c r="D2752" s="64" t="s">
        <v>3443</v>
      </c>
      <c r="E2752" s="64" t="s">
        <v>2982</v>
      </c>
      <c r="F2752" s="64" t="s">
        <v>15</v>
      </c>
      <c r="G2752" s="64" t="s">
        <v>2921</v>
      </c>
      <c r="H2752" s="64" t="s">
        <v>1875</v>
      </c>
      <c r="I2752" s="64" t="s">
        <v>2983</v>
      </c>
      <c r="J2752" s="67">
        <v>-29326.41</v>
      </c>
      <c r="K2752" s="62">
        <v>-281798.23</v>
      </c>
      <c r="L2752" s="33" t="e">
        <f>HLOOKUP(B2752,#REF!,1,0)</f>
        <v>#REF!</v>
      </c>
      <c r="M2752" s="33" t="str">
        <f t="shared" si="171"/>
        <v>P&amp;L</v>
      </c>
    </row>
    <row r="2753" spans="1:13" s="33" customFormat="true" ht="12.75" customHeight="true">
      <c r="A2753" s="33" t="str">
        <f t="shared" si="168"/>
        <v>3SI - CGS</v>
      </c>
      <c r="B2753" s="33" t="str">
        <f t="shared" si="169"/>
        <v>3SI</v>
      </c>
      <c r="C2753" s="33" t="str">
        <f t="shared" si="170"/>
        <v>54099-0865</v>
      </c>
      <c r="D2753" s="64" t="s">
        <v>3444</v>
      </c>
      <c r="E2753" s="64" t="s">
        <v>2982</v>
      </c>
      <c r="F2753" s="64" t="s">
        <v>15</v>
      </c>
      <c r="G2753" s="64" t="s">
        <v>2921</v>
      </c>
      <c r="H2753" s="64" t="s">
        <v>1875</v>
      </c>
      <c r="I2753" s="64" t="s">
        <v>2983</v>
      </c>
      <c r="J2753" s="67">
        <v>0</v>
      </c>
      <c r="K2753" s="62">
        <v>0</v>
      </c>
      <c r="L2753" s="33" t="e">
        <f>HLOOKUP(B2753,#REF!,1,0)</f>
        <v>#REF!</v>
      </c>
      <c r="M2753" s="33" t="str">
        <f t="shared" si="171"/>
        <v>P&amp;L</v>
      </c>
    </row>
    <row r="2754" spans="1:13" s="33" customFormat="true" ht="12.75" customHeight="true">
      <c r="A2754" s="33" t="str">
        <f t="shared" ref="A2754:A2817" si="172">B2754&amp;" - "&amp;TRIM(H2754)</f>
        <v>3SI - CGS</v>
      </c>
      <c r="B2754" s="33" t="str">
        <f t="shared" ref="B2754:B2817" si="173">LEFT(D2754,3)</f>
        <v>3SI</v>
      </c>
      <c r="C2754" s="33" t="str">
        <f t="shared" ref="C2754:C2817" si="174">RIGHT(D2754,10)</f>
        <v>54099-7466</v>
      </c>
      <c r="D2754" s="64" t="s">
        <v>3445</v>
      </c>
      <c r="E2754" s="64" t="s">
        <v>2982</v>
      </c>
      <c r="F2754" s="64" t="s">
        <v>15</v>
      </c>
      <c r="G2754" s="64" t="s">
        <v>2921</v>
      </c>
      <c r="H2754" s="64" t="s">
        <v>1875</v>
      </c>
      <c r="I2754" s="64" t="s">
        <v>2983</v>
      </c>
      <c r="J2754" s="67">
        <v>-27629.27</v>
      </c>
      <c r="K2754" s="62">
        <v>-279255.95</v>
      </c>
      <c r="L2754" s="33" t="e">
        <f>HLOOKUP(B2754,#REF!,1,0)</f>
        <v>#REF!</v>
      </c>
      <c r="M2754" s="33" t="str">
        <f t="shared" ref="M2754:M2817" si="175">IF(VALUE(LEFT(C2754,5))&gt;40000,"P&amp;L","BS")</f>
        <v>P&amp;L</v>
      </c>
    </row>
    <row r="2755" spans="1:13" s="33" customFormat="true" ht="12.75" customHeight="true">
      <c r="A2755" s="33" t="str">
        <f t="shared" si="172"/>
        <v>3SI - CGS</v>
      </c>
      <c r="B2755" s="33" t="str">
        <f t="shared" si="173"/>
        <v>3SI</v>
      </c>
      <c r="C2755" s="33" t="str">
        <f t="shared" si="174"/>
        <v>54099-7780</v>
      </c>
      <c r="D2755" s="64" t="s">
        <v>3446</v>
      </c>
      <c r="E2755" s="64" t="s">
        <v>2982</v>
      </c>
      <c r="F2755" s="64" t="s">
        <v>15</v>
      </c>
      <c r="G2755" s="64" t="s">
        <v>2921</v>
      </c>
      <c r="H2755" s="64" t="s">
        <v>1875</v>
      </c>
      <c r="I2755" s="64" t="s">
        <v>2983</v>
      </c>
      <c r="J2755" s="67">
        <v>-32415.47</v>
      </c>
      <c r="K2755" s="62">
        <v>-315613.03</v>
      </c>
      <c r="L2755" s="33" t="e">
        <f>HLOOKUP(B2755,#REF!,1,0)</f>
        <v>#REF!</v>
      </c>
      <c r="M2755" s="33" t="str">
        <f t="shared" si="175"/>
        <v>P&amp;L</v>
      </c>
    </row>
    <row r="2756" spans="1:13" s="33" customFormat="true" ht="12.75" customHeight="true">
      <c r="A2756" s="33" t="str">
        <f t="shared" si="172"/>
        <v>3SI - CGS</v>
      </c>
      <c r="B2756" s="33" t="str">
        <f t="shared" si="173"/>
        <v>3SI</v>
      </c>
      <c r="C2756" s="33" t="str">
        <f t="shared" si="174"/>
        <v>54100-0863</v>
      </c>
      <c r="D2756" s="64" t="s">
        <v>3447</v>
      </c>
      <c r="E2756" s="64" t="s">
        <v>2989</v>
      </c>
      <c r="F2756" s="64" t="s">
        <v>15</v>
      </c>
      <c r="G2756" s="64" t="s">
        <v>2921</v>
      </c>
      <c r="H2756" s="64" t="s">
        <v>1875</v>
      </c>
      <c r="I2756" s="64" t="s">
        <v>2990</v>
      </c>
      <c r="J2756" s="67">
        <v>29326.41</v>
      </c>
      <c r="K2756" s="62">
        <v>281798.23</v>
      </c>
      <c r="L2756" s="33" t="e">
        <f>HLOOKUP(B2756,#REF!,1,0)</f>
        <v>#REF!</v>
      </c>
      <c r="M2756" s="33" t="str">
        <f t="shared" si="175"/>
        <v>P&amp;L</v>
      </c>
    </row>
    <row r="2757" spans="1:13" s="33" customFormat="true" ht="12.75" customHeight="true">
      <c r="A2757" s="33" t="str">
        <f t="shared" si="172"/>
        <v>3SI - CGS</v>
      </c>
      <c r="B2757" s="33" t="str">
        <f t="shared" si="173"/>
        <v>3SI</v>
      </c>
      <c r="C2757" s="33" t="str">
        <f t="shared" si="174"/>
        <v>54100-0865</v>
      </c>
      <c r="D2757" s="64" t="s">
        <v>3448</v>
      </c>
      <c r="E2757" s="64" t="s">
        <v>2989</v>
      </c>
      <c r="F2757" s="64" t="s">
        <v>15</v>
      </c>
      <c r="G2757" s="64" t="s">
        <v>2921</v>
      </c>
      <c r="H2757" s="64" t="s">
        <v>1875</v>
      </c>
      <c r="I2757" s="64" t="s">
        <v>2990</v>
      </c>
      <c r="J2757" s="67">
        <v>0</v>
      </c>
      <c r="K2757" s="62">
        <v>0</v>
      </c>
      <c r="L2757" s="33" t="e">
        <f>HLOOKUP(B2757,#REF!,1,0)</f>
        <v>#REF!</v>
      </c>
      <c r="M2757" s="33" t="str">
        <f t="shared" si="175"/>
        <v>P&amp;L</v>
      </c>
    </row>
    <row r="2758" spans="1:13" s="33" customFormat="true" ht="12.75" customHeight="true">
      <c r="A2758" s="33" t="str">
        <f t="shared" si="172"/>
        <v>3SI - CGS</v>
      </c>
      <c r="B2758" s="33" t="str">
        <f t="shared" si="173"/>
        <v>3SI</v>
      </c>
      <c r="C2758" s="33" t="str">
        <f t="shared" si="174"/>
        <v>54100-7466</v>
      </c>
      <c r="D2758" s="64" t="s">
        <v>3449</v>
      </c>
      <c r="E2758" s="64" t="s">
        <v>2989</v>
      </c>
      <c r="F2758" s="64" t="s">
        <v>15</v>
      </c>
      <c r="G2758" s="64" t="s">
        <v>2921</v>
      </c>
      <c r="H2758" s="64" t="s">
        <v>1875</v>
      </c>
      <c r="I2758" s="64" t="s">
        <v>2990</v>
      </c>
      <c r="J2758" s="67">
        <v>27629.27</v>
      </c>
      <c r="K2758" s="62">
        <v>279255.95</v>
      </c>
      <c r="L2758" s="33" t="e">
        <f>HLOOKUP(B2758,#REF!,1,0)</f>
        <v>#REF!</v>
      </c>
      <c r="M2758" s="33" t="str">
        <f t="shared" si="175"/>
        <v>P&amp;L</v>
      </c>
    </row>
    <row r="2759" spans="1:13" s="33" customFormat="true" ht="12.75" customHeight="true">
      <c r="A2759" s="33" t="str">
        <f t="shared" si="172"/>
        <v>3SI - CGS</v>
      </c>
      <c r="B2759" s="33" t="str">
        <f t="shared" si="173"/>
        <v>3SI</v>
      </c>
      <c r="C2759" s="33" t="str">
        <f t="shared" si="174"/>
        <v>54100-7780</v>
      </c>
      <c r="D2759" s="64" t="s">
        <v>3450</v>
      </c>
      <c r="E2759" s="64" t="s">
        <v>2989</v>
      </c>
      <c r="F2759" s="64" t="s">
        <v>15</v>
      </c>
      <c r="G2759" s="64" t="s">
        <v>2921</v>
      </c>
      <c r="H2759" s="64" t="s">
        <v>1875</v>
      </c>
      <c r="I2759" s="64" t="s">
        <v>2990</v>
      </c>
      <c r="J2759" s="67">
        <v>32415.47</v>
      </c>
      <c r="K2759" s="62">
        <v>315613.03</v>
      </c>
      <c r="L2759" s="33" t="e">
        <f>HLOOKUP(B2759,#REF!,1,0)</f>
        <v>#REF!</v>
      </c>
      <c r="M2759" s="33" t="str">
        <f t="shared" si="175"/>
        <v>P&amp;L</v>
      </c>
    </row>
    <row r="2760" spans="1:13" s="33" customFormat="true" ht="12.75" customHeight="true">
      <c r="A2760" s="33" t="str">
        <f t="shared" si="172"/>
        <v>3SI - CGS</v>
      </c>
      <c r="B2760" s="33" t="str">
        <f t="shared" si="173"/>
        <v>3SI</v>
      </c>
      <c r="C2760" s="33" t="str">
        <f t="shared" si="174"/>
        <v>55001-0863</v>
      </c>
      <c r="D2760" s="64" t="s">
        <v>3451</v>
      </c>
      <c r="E2760" s="64" t="s">
        <v>2996</v>
      </c>
      <c r="F2760" s="64" t="s">
        <v>15</v>
      </c>
      <c r="G2760" s="64" t="s">
        <v>2976</v>
      </c>
      <c r="H2760" s="64" t="s">
        <v>1875</v>
      </c>
      <c r="I2760" s="64" t="s">
        <v>2997</v>
      </c>
      <c r="J2760" s="67">
        <v>1099.08</v>
      </c>
      <c r="K2760" s="62">
        <v>10441.22</v>
      </c>
      <c r="L2760" s="33" t="e">
        <f>HLOOKUP(B2760,#REF!,1,0)</f>
        <v>#REF!</v>
      </c>
      <c r="M2760" s="33" t="str">
        <f t="shared" si="175"/>
        <v>P&amp;L</v>
      </c>
    </row>
    <row r="2761" spans="1:13" s="33" customFormat="true" ht="12.75" customHeight="true">
      <c r="A2761" s="33" t="str">
        <f t="shared" si="172"/>
        <v>3SI - CGS</v>
      </c>
      <c r="B2761" s="33" t="str">
        <f t="shared" si="173"/>
        <v>3SI</v>
      </c>
      <c r="C2761" s="33" t="str">
        <f t="shared" si="174"/>
        <v>55001-0865</v>
      </c>
      <c r="D2761" s="64" t="s">
        <v>3452</v>
      </c>
      <c r="E2761" s="64" t="s">
        <v>2996</v>
      </c>
      <c r="F2761" s="64" t="s">
        <v>15</v>
      </c>
      <c r="G2761" s="64" t="s">
        <v>2976</v>
      </c>
      <c r="H2761" s="64" t="s">
        <v>1875</v>
      </c>
      <c r="I2761" s="64" t="s">
        <v>2997</v>
      </c>
      <c r="J2761" s="67">
        <v>0</v>
      </c>
      <c r="K2761" s="62">
        <v>1648.6</v>
      </c>
      <c r="L2761" s="33" t="e">
        <f>HLOOKUP(B2761,#REF!,1,0)</f>
        <v>#REF!</v>
      </c>
      <c r="M2761" s="33" t="str">
        <f t="shared" si="175"/>
        <v>P&amp;L</v>
      </c>
    </row>
    <row r="2762" spans="1:13" s="33" customFormat="true" ht="12.75" customHeight="true">
      <c r="A2762" s="33" t="str">
        <f t="shared" si="172"/>
        <v>3SI - CGS</v>
      </c>
      <c r="B2762" s="33" t="str">
        <f t="shared" si="173"/>
        <v>3SI</v>
      </c>
      <c r="C2762" s="33" t="str">
        <f t="shared" si="174"/>
        <v>55001-7466</v>
      </c>
      <c r="D2762" s="64" t="s">
        <v>3453</v>
      </c>
      <c r="E2762" s="64" t="s">
        <v>2996</v>
      </c>
      <c r="F2762" s="64" t="s">
        <v>15</v>
      </c>
      <c r="G2762" s="64" t="s">
        <v>2976</v>
      </c>
      <c r="H2762" s="64" t="s">
        <v>1875</v>
      </c>
      <c r="I2762" s="64" t="s">
        <v>2997</v>
      </c>
      <c r="J2762" s="67">
        <v>1099.06</v>
      </c>
      <c r="K2762" s="62">
        <v>10441.08</v>
      </c>
      <c r="L2762" s="33" t="e">
        <f>HLOOKUP(B2762,#REF!,1,0)</f>
        <v>#REF!</v>
      </c>
      <c r="M2762" s="33" t="str">
        <f t="shared" si="175"/>
        <v>P&amp;L</v>
      </c>
    </row>
    <row r="2763" spans="1:13" s="33" customFormat="true" ht="12.75" customHeight="true">
      <c r="A2763" s="33" t="str">
        <f t="shared" si="172"/>
        <v>3SI - CGS</v>
      </c>
      <c r="B2763" s="33" t="str">
        <f t="shared" si="173"/>
        <v>3SI</v>
      </c>
      <c r="C2763" s="33" t="str">
        <f t="shared" si="174"/>
        <v>55001-7780</v>
      </c>
      <c r="D2763" s="64" t="s">
        <v>3454</v>
      </c>
      <c r="E2763" s="64" t="s">
        <v>2996</v>
      </c>
      <c r="F2763" s="64" t="s">
        <v>15</v>
      </c>
      <c r="G2763" s="64" t="s">
        <v>2976</v>
      </c>
      <c r="H2763" s="64" t="s">
        <v>1875</v>
      </c>
      <c r="I2763" s="64" t="s">
        <v>2997</v>
      </c>
      <c r="J2763" s="67">
        <v>1099.06</v>
      </c>
      <c r="K2763" s="62">
        <v>10441.1</v>
      </c>
      <c r="L2763" s="33" t="e">
        <f>HLOOKUP(B2763,#REF!,1,0)</f>
        <v>#REF!</v>
      </c>
      <c r="M2763" s="33" t="str">
        <f t="shared" si="175"/>
        <v>P&amp;L</v>
      </c>
    </row>
    <row r="2764" spans="1:13" s="33" customFormat="true" ht="12.75" customHeight="true">
      <c r="A2764" s="33" t="str">
        <f t="shared" si="172"/>
        <v>3SI - CGS</v>
      </c>
      <c r="B2764" s="33" t="str">
        <f t="shared" si="173"/>
        <v>3SI</v>
      </c>
      <c r="C2764" s="33" t="str">
        <f t="shared" si="174"/>
        <v>56001-0000</v>
      </c>
      <c r="D2764" s="64" t="s">
        <v>3455</v>
      </c>
      <c r="E2764" s="64" t="s">
        <v>3002</v>
      </c>
      <c r="F2764" s="64" t="s">
        <v>15</v>
      </c>
      <c r="G2764" s="64" t="s">
        <v>2976</v>
      </c>
      <c r="H2764" s="64" t="s">
        <v>1875</v>
      </c>
      <c r="I2764" s="64" t="s">
        <v>3003</v>
      </c>
      <c r="J2764" s="67">
        <v>0</v>
      </c>
      <c r="K2764" s="62">
        <v>-62433.24</v>
      </c>
      <c r="L2764" s="33" t="e">
        <f>HLOOKUP(B2764,#REF!,1,0)</f>
        <v>#REF!</v>
      </c>
      <c r="M2764" s="33" t="str">
        <f t="shared" si="175"/>
        <v>P&amp;L</v>
      </c>
    </row>
    <row r="2765" spans="1:13" s="33" customFormat="true" ht="12.75" customHeight="true">
      <c r="A2765" s="33" t="str">
        <f t="shared" si="172"/>
        <v>3SI - CGS</v>
      </c>
      <c r="B2765" s="33" t="str">
        <f t="shared" si="173"/>
        <v>3SI</v>
      </c>
      <c r="C2765" s="33" t="str">
        <f t="shared" si="174"/>
        <v>56001-0863</v>
      </c>
      <c r="D2765" s="64" t="s">
        <v>3456</v>
      </c>
      <c r="E2765" s="64" t="s">
        <v>3002</v>
      </c>
      <c r="F2765" s="64" t="s">
        <v>15</v>
      </c>
      <c r="G2765" s="64" t="s">
        <v>2976</v>
      </c>
      <c r="H2765" s="64" t="s">
        <v>1875</v>
      </c>
      <c r="I2765" s="64" t="s">
        <v>3003</v>
      </c>
      <c r="J2765" s="67">
        <v>2406.13</v>
      </c>
      <c r="K2765" s="62">
        <v>24793.48</v>
      </c>
      <c r="L2765" s="33" t="e">
        <f>HLOOKUP(B2765,#REF!,1,0)</f>
        <v>#REF!</v>
      </c>
      <c r="M2765" s="33" t="str">
        <f t="shared" si="175"/>
        <v>P&amp;L</v>
      </c>
    </row>
    <row r="2766" spans="1:13" s="33" customFormat="true" ht="12.75" customHeight="true">
      <c r="A2766" s="33" t="str">
        <f t="shared" si="172"/>
        <v>3SI - CGS</v>
      </c>
      <c r="B2766" s="33" t="str">
        <f t="shared" si="173"/>
        <v>3SI</v>
      </c>
      <c r="C2766" s="33" t="str">
        <f t="shared" si="174"/>
        <v>56001-7466</v>
      </c>
      <c r="D2766" s="64" t="s">
        <v>3457</v>
      </c>
      <c r="E2766" s="64" t="s">
        <v>3002</v>
      </c>
      <c r="F2766" s="64" t="s">
        <v>15</v>
      </c>
      <c r="G2766" s="64" t="s">
        <v>2976</v>
      </c>
      <c r="H2766" s="64" t="s">
        <v>1875</v>
      </c>
      <c r="I2766" s="64" t="s">
        <v>3003</v>
      </c>
      <c r="J2766" s="67">
        <v>2244.11</v>
      </c>
      <c r="K2766" s="62">
        <v>27438.34</v>
      </c>
      <c r="L2766" s="33" t="e">
        <f>HLOOKUP(B2766,#REF!,1,0)</f>
        <v>#REF!</v>
      </c>
      <c r="M2766" s="33" t="str">
        <f t="shared" si="175"/>
        <v>P&amp;L</v>
      </c>
    </row>
    <row r="2767" spans="1:13" s="33" customFormat="true" ht="12.75" customHeight="true">
      <c r="A2767" s="33" t="str">
        <f t="shared" si="172"/>
        <v>3SI - CGS</v>
      </c>
      <c r="B2767" s="33" t="str">
        <f t="shared" si="173"/>
        <v>3SI</v>
      </c>
      <c r="C2767" s="33" t="str">
        <f t="shared" si="174"/>
        <v>56001-7780</v>
      </c>
      <c r="D2767" s="64" t="s">
        <v>3458</v>
      </c>
      <c r="E2767" s="64" t="s">
        <v>3002</v>
      </c>
      <c r="F2767" s="64" t="s">
        <v>15</v>
      </c>
      <c r="G2767" s="64" t="s">
        <v>2976</v>
      </c>
      <c r="H2767" s="64" t="s">
        <v>1875</v>
      </c>
      <c r="I2767" s="64" t="s">
        <v>3003</v>
      </c>
      <c r="J2767" s="67">
        <v>2527.64</v>
      </c>
      <c r="K2767" s="62">
        <v>29435.81</v>
      </c>
      <c r="L2767" s="33" t="e">
        <f>HLOOKUP(B2767,#REF!,1,0)</f>
        <v>#REF!</v>
      </c>
      <c r="M2767" s="33" t="str">
        <f t="shared" si="175"/>
        <v>P&amp;L</v>
      </c>
    </row>
    <row r="2768" spans="1:13" s="33" customFormat="true" ht="12.75" customHeight="true">
      <c r="A2768" s="33" t="str">
        <f t="shared" si="172"/>
        <v>3SI - CGS</v>
      </c>
      <c r="B2768" s="33" t="str">
        <f t="shared" si="173"/>
        <v>3SI</v>
      </c>
      <c r="C2768" s="33" t="str">
        <f t="shared" si="174"/>
        <v>56002-0000</v>
      </c>
      <c r="D2768" s="64" t="s">
        <v>3459</v>
      </c>
      <c r="E2768" s="64" t="s">
        <v>3009</v>
      </c>
      <c r="F2768" s="64" t="s">
        <v>15</v>
      </c>
      <c r="G2768" s="64" t="s">
        <v>2976</v>
      </c>
      <c r="H2768" s="64" t="s">
        <v>1875</v>
      </c>
      <c r="I2768" s="64" t="s">
        <v>3010</v>
      </c>
      <c r="J2768" s="67">
        <v>0</v>
      </c>
      <c r="K2768" s="62">
        <v>0</v>
      </c>
      <c r="L2768" s="33" t="e">
        <f>HLOOKUP(B2768,#REF!,1,0)</f>
        <v>#REF!</v>
      </c>
      <c r="M2768" s="33" t="str">
        <f t="shared" si="175"/>
        <v>P&amp;L</v>
      </c>
    </row>
    <row r="2769" spans="1:13" s="33" customFormat="true" ht="12.75" customHeight="true">
      <c r="A2769" s="33" t="str">
        <f t="shared" si="172"/>
        <v>3SI - CGS</v>
      </c>
      <c r="B2769" s="33" t="str">
        <f t="shared" si="173"/>
        <v>3SI</v>
      </c>
      <c r="C2769" s="33" t="str">
        <f t="shared" si="174"/>
        <v>56002-0863</v>
      </c>
      <c r="D2769" s="64" t="s">
        <v>3460</v>
      </c>
      <c r="E2769" s="64" t="s">
        <v>3009</v>
      </c>
      <c r="F2769" s="64" t="s">
        <v>15</v>
      </c>
      <c r="G2769" s="64" t="s">
        <v>2976</v>
      </c>
      <c r="H2769" s="64" t="s">
        <v>1875</v>
      </c>
      <c r="I2769" s="64" t="s">
        <v>3010</v>
      </c>
      <c r="J2769" s="67">
        <v>1965.42</v>
      </c>
      <c r="K2769" s="62">
        <v>21259.75</v>
      </c>
      <c r="L2769" s="33" t="e">
        <f>HLOOKUP(B2769,#REF!,1,0)</f>
        <v>#REF!</v>
      </c>
      <c r="M2769" s="33" t="str">
        <f t="shared" si="175"/>
        <v>P&amp;L</v>
      </c>
    </row>
    <row r="2770" spans="1:13" s="33" customFormat="true" ht="12.75" customHeight="true">
      <c r="A2770" s="33" t="str">
        <f t="shared" si="172"/>
        <v>3SI - CGS</v>
      </c>
      <c r="B2770" s="33" t="str">
        <f t="shared" si="173"/>
        <v>3SI</v>
      </c>
      <c r="C2770" s="33" t="str">
        <f t="shared" si="174"/>
        <v>56002-0865</v>
      </c>
      <c r="D2770" s="64" t="s">
        <v>3461</v>
      </c>
      <c r="E2770" s="64" t="s">
        <v>3009</v>
      </c>
      <c r="F2770" s="64" t="s">
        <v>15</v>
      </c>
      <c r="G2770" s="64" t="s">
        <v>2976</v>
      </c>
      <c r="H2770" s="64" t="s">
        <v>1875</v>
      </c>
      <c r="I2770" s="64" t="s">
        <v>3010</v>
      </c>
      <c r="J2770" s="67">
        <v>0</v>
      </c>
      <c r="K2770" s="62">
        <v>1953.34</v>
      </c>
      <c r="L2770" s="33" t="e">
        <f>HLOOKUP(B2770,#REF!,1,0)</f>
        <v>#REF!</v>
      </c>
      <c r="M2770" s="33" t="str">
        <f t="shared" si="175"/>
        <v>P&amp;L</v>
      </c>
    </row>
    <row r="2771" spans="1:13" s="33" customFormat="true" ht="12.75" customHeight="true">
      <c r="A2771" s="33" t="str">
        <f t="shared" si="172"/>
        <v>3SI - CGS</v>
      </c>
      <c r="B2771" s="33" t="str">
        <f t="shared" si="173"/>
        <v>3SI</v>
      </c>
      <c r="C2771" s="33" t="str">
        <f t="shared" si="174"/>
        <v>56002-7466</v>
      </c>
      <c r="D2771" s="64" t="s">
        <v>3462</v>
      </c>
      <c r="E2771" s="64" t="s">
        <v>3009</v>
      </c>
      <c r="F2771" s="64" t="s">
        <v>15</v>
      </c>
      <c r="G2771" s="64" t="s">
        <v>2976</v>
      </c>
      <c r="H2771" s="64" t="s">
        <v>1875</v>
      </c>
      <c r="I2771" s="64" t="s">
        <v>3010</v>
      </c>
      <c r="J2771" s="67">
        <v>18.28</v>
      </c>
      <c r="K2771" s="62">
        <v>-482.78</v>
      </c>
      <c r="L2771" s="33" t="e">
        <f>HLOOKUP(B2771,#REF!,1,0)</f>
        <v>#REF!</v>
      </c>
      <c r="M2771" s="33" t="str">
        <f t="shared" si="175"/>
        <v>P&amp;L</v>
      </c>
    </row>
    <row r="2772" spans="1:13" s="33" customFormat="true" ht="12.75" customHeight="true">
      <c r="A2772" s="33" t="str">
        <f t="shared" si="172"/>
        <v>3SI - CGS</v>
      </c>
      <c r="B2772" s="33" t="str">
        <f t="shared" si="173"/>
        <v>3SI</v>
      </c>
      <c r="C2772" s="33" t="str">
        <f t="shared" si="174"/>
        <v>56002-7780</v>
      </c>
      <c r="D2772" s="64" t="s">
        <v>3463</v>
      </c>
      <c r="E2772" s="64" t="s">
        <v>3009</v>
      </c>
      <c r="F2772" s="64" t="s">
        <v>15</v>
      </c>
      <c r="G2772" s="64" t="s">
        <v>2976</v>
      </c>
      <c r="H2772" s="64" t="s">
        <v>1875</v>
      </c>
      <c r="I2772" s="64" t="s">
        <v>3010</v>
      </c>
      <c r="J2772" s="67">
        <v>893.43</v>
      </c>
      <c r="K2772" s="62">
        <v>6364.41</v>
      </c>
      <c r="L2772" s="33" t="e">
        <f>HLOOKUP(B2772,#REF!,1,0)</f>
        <v>#REF!</v>
      </c>
      <c r="M2772" s="33" t="str">
        <f t="shared" si="175"/>
        <v>P&amp;L</v>
      </c>
    </row>
    <row r="2773" spans="1:13" s="33" customFormat="true" ht="12.75" customHeight="true">
      <c r="A2773" s="33" t="str">
        <f t="shared" si="172"/>
        <v>3SI - CGS</v>
      </c>
      <c r="B2773" s="33" t="str">
        <f t="shared" si="173"/>
        <v>3SI</v>
      </c>
      <c r="C2773" s="33" t="str">
        <f t="shared" si="174"/>
        <v>56050-0000</v>
      </c>
      <c r="D2773" s="64" t="s">
        <v>3464</v>
      </c>
      <c r="E2773" s="64" t="s">
        <v>3016</v>
      </c>
      <c r="F2773" s="64" t="s">
        <v>15</v>
      </c>
      <c r="G2773" s="64" t="s">
        <v>3017</v>
      </c>
      <c r="H2773" s="64" t="s">
        <v>1875</v>
      </c>
      <c r="I2773" s="64" t="s">
        <v>3018</v>
      </c>
      <c r="J2773" s="67">
        <v>-75.22</v>
      </c>
      <c r="K2773" s="62">
        <v>-1131.94</v>
      </c>
      <c r="L2773" s="33" t="e">
        <f>HLOOKUP(B2773,#REF!,1,0)</f>
        <v>#REF!</v>
      </c>
      <c r="M2773" s="33" t="str">
        <f t="shared" si="175"/>
        <v>P&amp;L</v>
      </c>
    </row>
    <row r="2774" spans="1:13" s="33" customFormat="true" ht="12.75" customHeight="true">
      <c r="A2774" s="33" t="str">
        <f t="shared" si="172"/>
        <v>3SI - Operating Expense</v>
      </c>
      <c r="B2774" s="33" t="str">
        <f t="shared" si="173"/>
        <v>3SI</v>
      </c>
      <c r="C2774" s="33" t="str">
        <f t="shared" si="174"/>
        <v>60001-0863</v>
      </c>
      <c r="D2774" s="64" t="s">
        <v>3465</v>
      </c>
      <c r="E2774" s="64" t="s">
        <v>3020</v>
      </c>
      <c r="F2774" s="64" t="s">
        <v>15</v>
      </c>
      <c r="G2774" s="64" t="s">
        <v>3021</v>
      </c>
      <c r="H2774" s="64" t="s">
        <v>3022</v>
      </c>
      <c r="I2774" s="64" t="s">
        <v>3023</v>
      </c>
      <c r="J2774" s="67">
        <v>8.12</v>
      </c>
      <c r="K2774" s="62">
        <v>5.45</v>
      </c>
      <c r="L2774" s="33" t="e">
        <f>HLOOKUP(B2774,#REF!,1,0)</f>
        <v>#REF!</v>
      </c>
      <c r="M2774" s="33" t="str">
        <f t="shared" si="175"/>
        <v>P&amp;L</v>
      </c>
    </row>
    <row r="2775" spans="1:13" s="33" customFormat="true" ht="12.75" customHeight="true">
      <c r="A2775" s="33" t="str">
        <f t="shared" si="172"/>
        <v>3SI - Operating Expense</v>
      </c>
      <c r="B2775" s="33" t="str">
        <f t="shared" si="173"/>
        <v>3SI</v>
      </c>
      <c r="C2775" s="33" t="str">
        <f t="shared" si="174"/>
        <v>60001-7466</v>
      </c>
      <c r="D2775" s="64" t="s">
        <v>3466</v>
      </c>
      <c r="E2775" s="64" t="s">
        <v>3020</v>
      </c>
      <c r="F2775" s="64" t="s">
        <v>15</v>
      </c>
      <c r="G2775" s="64" t="s">
        <v>3021</v>
      </c>
      <c r="H2775" s="64" t="s">
        <v>3022</v>
      </c>
      <c r="I2775" s="64" t="s">
        <v>3023</v>
      </c>
      <c r="J2775" s="67">
        <v>-6.12</v>
      </c>
      <c r="K2775" s="62">
        <v>63.67</v>
      </c>
      <c r="L2775" s="33" t="e">
        <f>HLOOKUP(B2775,#REF!,1,0)</f>
        <v>#REF!</v>
      </c>
      <c r="M2775" s="33" t="str">
        <f t="shared" si="175"/>
        <v>P&amp;L</v>
      </c>
    </row>
    <row r="2776" spans="1:13" s="33" customFormat="true" ht="12.75" customHeight="true">
      <c r="A2776" s="33" t="str">
        <f t="shared" si="172"/>
        <v>3SI - Operating Expense</v>
      </c>
      <c r="B2776" s="33" t="str">
        <f t="shared" si="173"/>
        <v>3SI</v>
      </c>
      <c r="C2776" s="33" t="str">
        <f t="shared" si="174"/>
        <v>60001-7780</v>
      </c>
      <c r="D2776" s="64" t="s">
        <v>3467</v>
      </c>
      <c r="E2776" s="64" t="s">
        <v>3020</v>
      </c>
      <c r="F2776" s="64" t="s">
        <v>15</v>
      </c>
      <c r="G2776" s="64" t="s">
        <v>3021</v>
      </c>
      <c r="H2776" s="64" t="s">
        <v>3022</v>
      </c>
      <c r="I2776" s="64" t="s">
        <v>3023</v>
      </c>
      <c r="J2776" s="67">
        <v>-50.57</v>
      </c>
      <c r="K2776" s="62">
        <v>-1042.81</v>
      </c>
      <c r="L2776" s="33" t="e">
        <f>HLOOKUP(B2776,#REF!,1,0)</f>
        <v>#REF!</v>
      </c>
      <c r="M2776" s="33" t="str">
        <f t="shared" si="175"/>
        <v>P&amp;L</v>
      </c>
    </row>
    <row r="2777" spans="1:13" s="33" customFormat="true" ht="12.75" customHeight="true">
      <c r="A2777" s="33" t="str">
        <f t="shared" si="172"/>
        <v>3SI - Operating Expense</v>
      </c>
      <c r="B2777" s="33" t="str">
        <f t="shared" si="173"/>
        <v>3SI</v>
      </c>
      <c r="C2777" s="33" t="str">
        <f t="shared" si="174"/>
        <v>60003-0863</v>
      </c>
      <c r="D2777" s="64" t="s">
        <v>3468</v>
      </c>
      <c r="E2777" s="64" t="s">
        <v>3028</v>
      </c>
      <c r="F2777" s="64" t="s">
        <v>15</v>
      </c>
      <c r="G2777" s="64" t="s">
        <v>3021</v>
      </c>
      <c r="H2777" s="64" t="s">
        <v>3022</v>
      </c>
      <c r="I2777" s="64" t="s">
        <v>3029</v>
      </c>
      <c r="J2777" s="67">
        <v>0</v>
      </c>
      <c r="K2777" s="62">
        <v>-83.68</v>
      </c>
      <c r="L2777" s="33" t="e">
        <f>HLOOKUP(B2777,#REF!,1,0)</f>
        <v>#REF!</v>
      </c>
      <c r="M2777" s="33" t="str">
        <f t="shared" si="175"/>
        <v>P&amp;L</v>
      </c>
    </row>
    <row r="2778" spans="1:13" s="33" customFormat="true" ht="12.75" customHeight="true">
      <c r="A2778" s="33" t="str">
        <f t="shared" si="172"/>
        <v>3SI - Operating Expense</v>
      </c>
      <c r="B2778" s="33" t="str">
        <f t="shared" si="173"/>
        <v>3SI</v>
      </c>
      <c r="C2778" s="33" t="str">
        <f t="shared" si="174"/>
        <v>60003-7466</v>
      </c>
      <c r="D2778" s="64" t="s">
        <v>3469</v>
      </c>
      <c r="E2778" s="64" t="s">
        <v>3028</v>
      </c>
      <c r="F2778" s="64" t="s">
        <v>15</v>
      </c>
      <c r="G2778" s="64" t="s">
        <v>3021</v>
      </c>
      <c r="H2778" s="64" t="s">
        <v>3022</v>
      </c>
      <c r="I2778" s="64" t="s">
        <v>3029</v>
      </c>
      <c r="J2778" s="67">
        <v>0</v>
      </c>
      <c r="K2778" s="62">
        <v>-16.67</v>
      </c>
      <c r="L2778" s="33" t="e">
        <f>HLOOKUP(B2778,#REF!,1,0)</f>
        <v>#REF!</v>
      </c>
      <c r="M2778" s="33" t="str">
        <f t="shared" si="175"/>
        <v>P&amp;L</v>
      </c>
    </row>
    <row r="2779" spans="1:13" s="33" customFormat="true" ht="12.75" customHeight="true">
      <c r="A2779" s="33" t="str">
        <f t="shared" si="172"/>
        <v>3SI - Operating Expense</v>
      </c>
      <c r="B2779" s="33" t="str">
        <f t="shared" si="173"/>
        <v>3SI</v>
      </c>
      <c r="C2779" s="33" t="str">
        <f t="shared" si="174"/>
        <v>60003-7780</v>
      </c>
      <c r="D2779" s="64" t="s">
        <v>3470</v>
      </c>
      <c r="E2779" s="64" t="s">
        <v>3028</v>
      </c>
      <c r="F2779" s="64" t="s">
        <v>15</v>
      </c>
      <c r="G2779" s="64" t="s">
        <v>3021</v>
      </c>
      <c r="H2779" s="64" t="s">
        <v>3022</v>
      </c>
      <c r="I2779" s="64" t="s">
        <v>3029</v>
      </c>
      <c r="J2779" s="67">
        <v>0</v>
      </c>
      <c r="K2779" s="62">
        <v>1072.62</v>
      </c>
      <c r="L2779" s="33" t="e">
        <f>HLOOKUP(B2779,#REF!,1,0)</f>
        <v>#REF!</v>
      </c>
      <c r="M2779" s="33" t="str">
        <f t="shared" si="175"/>
        <v>P&amp;L</v>
      </c>
    </row>
    <row r="2780" spans="1:13" s="33" customFormat="true" ht="12.75" customHeight="true">
      <c r="A2780" s="33" t="str">
        <f t="shared" si="172"/>
        <v>3SI - Operating Expense</v>
      </c>
      <c r="B2780" s="33" t="str">
        <f t="shared" si="173"/>
        <v>3SI</v>
      </c>
      <c r="C2780" s="33" t="str">
        <f t="shared" si="174"/>
        <v>60503-0863</v>
      </c>
      <c r="D2780" s="64" t="s">
        <v>3471</v>
      </c>
      <c r="E2780" s="64" t="s">
        <v>3034</v>
      </c>
      <c r="F2780" s="64" t="s">
        <v>15</v>
      </c>
      <c r="G2780" s="64" t="s">
        <v>3035</v>
      </c>
      <c r="H2780" s="64" t="s">
        <v>3022</v>
      </c>
      <c r="I2780" s="64" t="s">
        <v>3036</v>
      </c>
      <c r="J2780" s="67">
        <v>0</v>
      </c>
      <c r="K2780" s="62">
        <v>2245.21</v>
      </c>
      <c r="L2780" s="33" t="e">
        <f>HLOOKUP(B2780,#REF!,1,0)</f>
        <v>#REF!</v>
      </c>
      <c r="M2780" s="33" t="str">
        <f t="shared" si="175"/>
        <v>P&amp;L</v>
      </c>
    </row>
    <row r="2781" spans="1:13" s="33" customFormat="true" ht="12.75" customHeight="true">
      <c r="A2781" s="33" t="str">
        <f t="shared" si="172"/>
        <v>3SI - Operating Expense</v>
      </c>
      <c r="B2781" s="33" t="str">
        <f t="shared" si="173"/>
        <v>3SI</v>
      </c>
      <c r="C2781" s="33" t="str">
        <f t="shared" si="174"/>
        <v>60503-0865</v>
      </c>
      <c r="D2781" s="64" t="s">
        <v>3472</v>
      </c>
      <c r="E2781" s="64" t="s">
        <v>3034</v>
      </c>
      <c r="F2781" s="64" t="s">
        <v>15</v>
      </c>
      <c r="G2781" s="64" t="s">
        <v>3035</v>
      </c>
      <c r="H2781" s="64" t="s">
        <v>3022</v>
      </c>
      <c r="I2781" s="64" t="s">
        <v>3036</v>
      </c>
      <c r="J2781" s="67">
        <v>0</v>
      </c>
      <c r="K2781" s="62">
        <v>0</v>
      </c>
      <c r="L2781" s="33" t="e">
        <f>HLOOKUP(B2781,#REF!,1,0)</f>
        <v>#REF!</v>
      </c>
      <c r="M2781" s="33" t="str">
        <f t="shared" si="175"/>
        <v>P&amp;L</v>
      </c>
    </row>
    <row r="2782" spans="1:13" s="33" customFormat="true" ht="12.75" customHeight="true">
      <c r="A2782" s="33" t="str">
        <f t="shared" si="172"/>
        <v>3SI - Operating Expense</v>
      </c>
      <c r="B2782" s="33" t="str">
        <f t="shared" si="173"/>
        <v>3SI</v>
      </c>
      <c r="C2782" s="33" t="str">
        <f t="shared" si="174"/>
        <v>60503-7466</v>
      </c>
      <c r="D2782" s="64" t="s">
        <v>3473</v>
      </c>
      <c r="E2782" s="64" t="s">
        <v>3034</v>
      </c>
      <c r="F2782" s="64" t="s">
        <v>15</v>
      </c>
      <c r="G2782" s="64" t="s">
        <v>3035</v>
      </c>
      <c r="H2782" s="64" t="s">
        <v>3022</v>
      </c>
      <c r="I2782" s="64" t="s">
        <v>3036</v>
      </c>
      <c r="J2782" s="67">
        <v>0</v>
      </c>
      <c r="K2782" s="62">
        <v>1260.06</v>
      </c>
      <c r="L2782" s="33" t="e">
        <f>HLOOKUP(B2782,#REF!,1,0)</f>
        <v>#REF!</v>
      </c>
      <c r="M2782" s="33" t="str">
        <f t="shared" si="175"/>
        <v>P&amp;L</v>
      </c>
    </row>
    <row r="2783" spans="1:13" s="33" customFormat="true" ht="12.75" customHeight="true">
      <c r="A2783" s="33" t="str">
        <f t="shared" si="172"/>
        <v>3SI - Operating Expense</v>
      </c>
      <c r="B2783" s="33" t="str">
        <f t="shared" si="173"/>
        <v>3SI</v>
      </c>
      <c r="C2783" s="33" t="str">
        <f t="shared" si="174"/>
        <v>60503-7780</v>
      </c>
      <c r="D2783" s="64" t="s">
        <v>3474</v>
      </c>
      <c r="E2783" s="64" t="s">
        <v>3034</v>
      </c>
      <c r="F2783" s="64" t="s">
        <v>15</v>
      </c>
      <c r="G2783" s="64" t="s">
        <v>3035</v>
      </c>
      <c r="H2783" s="64" t="s">
        <v>3022</v>
      </c>
      <c r="I2783" s="64" t="s">
        <v>3036</v>
      </c>
      <c r="J2783" s="67">
        <v>0</v>
      </c>
      <c r="K2783" s="62">
        <v>1564.2</v>
      </c>
      <c r="L2783" s="33" t="e">
        <f>HLOOKUP(B2783,#REF!,1,0)</f>
        <v>#REF!</v>
      </c>
      <c r="M2783" s="33" t="str">
        <f t="shared" si="175"/>
        <v>P&amp;L</v>
      </c>
    </row>
    <row r="2784" spans="1:13" s="33" customFormat="true" ht="12.75" customHeight="true">
      <c r="A2784" s="33" t="str">
        <f t="shared" si="172"/>
        <v>3SI - Operating Expense</v>
      </c>
      <c r="B2784" s="33" t="str">
        <f t="shared" si="173"/>
        <v>3SI</v>
      </c>
      <c r="C2784" s="33" t="str">
        <f t="shared" si="174"/>
        <v>60504-0863</v>
      </c>
      <c r="D2784" s="64" t="s">
        <v>3475</v>
      </c>
      <c r="E2784" s="64" t="s">
        <v>3041</v>
      </c>
      <c r="F2784" s="64" t="s">
        <v>15</v>
      </c>
      <c r="G2784" s="64" t="s">
        <v>3035</v>
      </c>
      <c r="H2784" s="64" t="s">
        <v>3022</v>
      </c>
      <c r="I2784" s="64" t="s">
        <v>3036</v>
      </c>
      <c r="J2784" s="67">
        <v>0</v>
      </c>
      <c r="K2784" s="62">
        <v>4523.5</v>
      </c>
      <c r="L2784" s="33" t="e">
        <f>HLOOKUP(B2784,#REF!,1,0)</f>
        <v>#REF!</v>
      </c>
      <c r="M2784" s="33" t="str">
        <f t="shared" si="175"/>
        <v>P&amp;L</v>
      </c>
    </row>
    <row r="2785" spans="1:13" s="33" customFormat="true" ht="12.75" customHeight="true">
      <c r="A2785" s="33" t="str">
        <f t="shared" si="172"/>
        <v>3SI - Operating Expense</v>
      </c>
      <c r="B2785" s="33" t="str">
        <f t="shared" si="173"/>
        <v>3SI</v>
      </c>
      <c r="C2785" s="33" t="str">
        <f t="shared" si="174"/>
        <v>60505-0863</v>
      </c>
      <c r="D2785" s="64" t="s">
        <v>3476</v>
      </c>
      <c r="E2785" s="64" t="s">
        <v>3043</v>
      </c>
      <c r="F2785" s="64" t="s">
        <v>15</v>
      </c>
      <c r="G2785" s="64" t="s">
        <v>3044</v>
      </c>
      <c r="H2785" s="64" t="s">
        <v>3022</v>
      </c>
      <c r="I2785" s="64" t="s">
        <v>3045</v>
      </c>
      <c r="J2785" s="67">
        <v>0</v>
      </c>
      <c r="K2785" s="62">
        <v>101.8</v>
      </c>
      <c r="L2785" s="33" t="e">
        <f>HLOOKUP(B2785,#REF!,1,0)</f>
        <v>#REF!</v>
      </c>
      <c r="M2785" s="33" t="str">
        <f t="shared" si="175"/>
        <v>P&amp;L</v>
      </c>
    </row>
    <row r="2786" spans="1:13" s="33" customFormat="true" ht="12.75" customHeight="true">
      <c r="A2786" s="33" t="str">
        <f t="shared" si="172"/>
        <v>3SI - Operating Expense</v>
      </c>
      <c r="B2786" s="33" t="str">
        <f t="shared" si="173"/>
        <v>3SI</v>
      </c>
      <c r="C2786" s="33" t="str">
        <f t="shared" si="174"/>
        <v>60505-7466</v>
      </c>
      <c r="D2786" s="64" t="s">
        <v>3477</v>
      </c>
      <c r="E2786" s="64" t="s">
        <v>3043</v>
      </c>
      <c r="F2786" s="64" t="s">
        <v>15</v>
      </c>
      <c r="G2786" s="64" t="s">
        <v>3044</v>
      </c>
      <c r="H2786" s="64" t="s">
        <v>3022</v>
      </c>
      <c r="I2786" s="64" t="s">
        <v>3045</v>
      </c>
      <c r="J2786" s="67">
        <v>0</v>
      </c>
      <c r="K2786" s="62">
        <v>1262.04</v>
      </c>
      <c r="L2786" s="33" t="e">
        <f>HLOOKUP(B2786,#REF!,1,0)</f>
        <v>#REF!</v>
      </c>
      <c r="M2786" s="33" t="str">
        <f t="shared" si="175"/>
        <v>P&amp;L</v>
      </c>
    </row>
    <row r="2787" spans="1:13" s="33" customFormat="true" ht="12.75" customHeight="true">
      <c r="A2787" s="33" t="str">
        <f t="shared" si="172"/>
        <v>3SI - Operating Expense</v>
      </c>
      <c r="B2787" s="33" t="str">
        <f t="shared" si="173"/>
        <v>3SI</v>
      </c>
      <c r="C2787" s="33" t="str">
        <f t="shared" si="174"/>
        <v>60505-7780</v>
      </c>
      <c r="D2787" s="64" t="s">
        <v>3478</v>
      </c>
      <c r="E2787" s="64" t="s">
        <v>3043</v>
      </c>
      <c r="F2787" s="64" t="s">
        <v>15</v>
      </c>
      <c r="G2787" s="64" t="s">
        <v>3044</v>
      </c>
      <c r="H2787" s="64" t="s">
        <v>3022</v>
      </c>
      <c r="I2787" s="64" t="s">
        <v>3045</v>
      </c>
      <c r="J2787" s="67">
        <v>0</v>
      </c>
      <c r="K2787" s="62">
        <v>101.79</v>
      </c>
      <c r="L2787" s="33" t="e">
        <f>HLOOKUP(B2787,#REF!,1,0)</f>
        <v>#REF!</v>
      </c>
      <c r="M2787" s="33" t="str">
        <f t="shared" si="175"/>
        <v>P&amp;L</v>
      </c>
    </row>
    <row r="2788" spans="1:13" s="33" customFormat="true" ht="12.75" customHeight="true">
      <c r="A2788" s="33" t="str">
        <f t="shared" si="172"/>
        <v>3SI - Operating Expense</v>
      </c>
      <c r="B2788" s="33" t="str">
        <f t="shared" si="173"/>
        <v>3SI</v>
      </c>
      <c r="C2788" s="33" t="str">
        <f t="shared" si="174"/>
        <v>60507-0863</v>
      </c>
      <c r="D2788" s="64" t="s">
        <v>3479</v>
      </c>
      <c r="E2788" s="64" t="s">
        <v>3050</v>
      </c>
      <c r="F2788" s="64" t="s">
        <v>15</v>
      </c>
      <c r="G2788" s="64" t="s">
        <v>3021</v>
      </c>
      <c r="H2788" s="64" t="s">
        <v>3022</v>
      </c>
      <c r="I2788" s="64" t="s">
        <v>3051</v>
      </c>
      <c r="J2788" s="67">
        <v>810.36</v>
      </c>
      <c r="K2788" s="62">
        <v>8614.49</v>
      </c>
      <c r="L2788" s="33" t="e">
        <f>HLOOKUP(B2788,#REF!,1,0)</f>
        <v>#REF!</v>
      </c>
      <c r="M2788" s="33" t="str">
        <f t="shared" si="175"/>
        <v>P&amp;L</v>
      </c>
    </row>
    <row r="2789" spans="1:13" s="33" customFormat="true" ht="12.75" customHeight="true">
      <c r="A2789" s="33" t="str">
        <f t="shared" si="172"/>
        <v>3SI - Operating Expense</v>
      </c>
      <c r="B2789" s="33" t="str">
        <f t="shared" si="173"/>
        <v>3SI</v>
      </c>
      <c r="C2789" s="33" t="str">
        <f t="shared" si="174"/>
        <v>60507-0865</v>
      </c>
      <c r="D2789" s="64" t="s">
        <v>3480</v>
      </c>
      <c r="E2789" s="64" t="s">
        <v>3050</v>
      </c>
      <c r="F2789" s="64" t="s">
        <v>15</v>
      </c>
      <c r="G2789" s="64" t="s">
        <v>3021</v>
      </c>
      <c r="H2789" s="64" t="s">
        <v>3022</v>
      </c>
      <c r="I2789" s="64" t="s">
        <v>3051</v>
      </c>
      <c r="J2789" s="67">
        <v>0</v>
      </c>
      <c r="K2789" s="62">
        <v>6.68</v>
      </c>
      <c r="L2789" s="33" t="e">
        <f>HLOOKUP(B2789,#REF!,1,0)</f>
        <v>#REF!</v>
      </c>
      <c r="M2789" s="33" t="str">
        <f t="shared" si="175"/>
        <v>P&amp;L</v>
      </c>
    </row>
    <row r="2790" spans="1:13" s="33" customFormat="true" ht="12.75" customHeight="true">
      <c r="A2790" s="33" t="str">
        <f t="shared" si="172"/>
        <v>3SI - Operating Expense</v>
      </c>
      <c r="B2790" s="33" t="str">
        <f t="shared" si="173"/>
        <v>3SI</v>
      </c>
      <c r="C2790" s="33" t="str">
        <f t="shared" si="174"/>
        <v>60507-7466</v>
      </c>
      <c r="D2790" s="64" t="s">
        <v>3481</v>
      </c>
      <c r="E2790" s="64" t="s">
        <v>3050</v>
      </c>
      <c r="F2790" s="64" t="s">
        <v>15</v>
      </c>
      <c r="G2790" s="64" t="s">
        <v>3021</v>
      </c>
      <c r="H2790" s="64" t="s">
        <v>3022</v>
      </c>
      <c r="I2790" s="64" t="s">
        <v>3051</v>
      </c>
      <c r="J2790" s="67">
        <v>998.3</v>
      </c>
      <c r="K2790" s="62">
        <v>8943.65</v>
      </c>
      <c r="L2790" s="33" t="e">
        <f>HLOOKUP(B2790,#REF!,1,0)</f>
        <v>#REF!</v>
      </c>
      <c r="M2790" s="33" t="str">
        <f t="shared" si="175"/>
        <v>P&amp;L</v>
      </c>
    </row>
    <row r="2791" spans="1:13" s="33" customFormat="true" ht="12.75" customHeight="true">
      <c r="A2791" s="33" t="str">
        <f t="shared" si="172"/>
        <v>3SI - Operating Expense</v>
      </c>
      <c r="B2791" s="33" t="str">
        <f t="shared" si="173"/>
        <v>3SI</v>
      </c>
      <c r="C2791" s="33" t="str">
        <f t="shared" si="174"/>
        <v>60507-7780</v>
      </c>
      <c r="D2791" s="64" t="s">
        <v>3482</v>
      </c>
      <c r="E2791" s="64" t="s">
        <v>3050</v>
      </c>
      <c r="F2791" s="64" t="s">
        <v>15</v>
      </c>
      <c r="G2791" s="64" t="s">
        <v>3021</v>
      </c>
      <c r="H2791" s="64" t="s">
        <v>3022</v>
      </c>
      <c r="I2791" s="64" t="s">
        <v>3051</v>
      </c>
      <c r="J2791" s="67">
        <v>1251.31</v>
      </c>
      <c r="K2791" s="62">
        <v>11932.17</v>
      </c>
      <c r="L2791" s="33" t="e">
        <f>HLOOKUP(B2791,#REF!,1,0)</f>
        <v>#REF!</v>
      </c>
      <c r="M2791" s="33" t="str">
        <f t="shared" si="175"/>
        <v>P&amp;L</v>
      </c>
    </row>
    <row r="2792" spans="1:13" s="33" customFormat="true" ht="12.75" customHeight="true">
      <c r="A2792" s="33" t="str">
        <f t="shared" si="172"/>
        <v>3SI - Operating Expense</v>
      </c>
      <c r="B2792" s="33" t="str">
        <f t="shared" si="173"/>
        <v>3SI</v>
      </c>
      <c r="C2792" s="33" t="str">
        <f t="shared" si="174"/>
        <v>60509-0863</v>
      </c>
      <c r="D2792" s="64" t="s">
        <v>3483</v>
      </c>
      <c r="E2792" s="64" t="s">
        <v>3056</v>
      </c>
      <c r="F2792" s="64" t="s">
        <v>15</v>
      </c>
      <c r="G2792" s="64" t="s">
        <v>3021</v>
      </c>
      <c r="H2792" s="64" t="s">
        <v>3022</v>
      </c>
      <c r="I2792" s="64" t="s">
        <v>3051</v>
      </c>
      <c r="J2792" s="67">
        <v>0</v>
      </c>
      <c r="K2792" s="62">
        <v>1252.02</v>
      </c>
      <c r="L2792" s="33" t="e">
        <f>HLOOKUP(B2792,#REF!,1,0)</f>
        <v>#REF!</v>
      </c>
      <c r="M2792" s="33" t="str">
        <f t="shared" si="175"/>
        <v>P&amp;L</v>
      </c>
    </row>
    <row r="2793" spans="1:13" s="33" customFormat="true" ht="12.75" customHeight="true">
      <c r="A2793" s="33" t="str">
        <f t="shared" si="172"/>
        <v>3SI - Operating Expense</v>
      </c>
      <c r="B2793" s="33" t="str">
        <f t="shared" si="173"/>
        <v>3SI</v>
      </c>
      <c r="C2793" s="33" t="str">
        <f t="shared" si="174"/>
        <v>60509-0865</v>
      </c>
      <c r="D2793" s="64" t="s">
        <v>3484</v>
      </c>
      <c r="E2793" s="64" t="s">
        <v>3056</v>
      </c>
      <c r="F2793" s="64" t="s">
        <v>15</v>
      </c>
      <c r="G2793" s="64" t="s">
        <v>3021</v>
      </c>
      <c r="H2793" s="64" t="s">
        <v>3022</v>
      </c>
      <c r="I2793" s="64" t="s">
        <v>3051</v>
      </c>
      <c r="J2793" s="67">
        <v>0</v>
      </c>
      <c r="K2793" s="62">
        <v>238.8</v>
      </c>
      <c r="L2793" s="33" t="e">
        <f>HLOOKUP(B2793,#REF!,1,0)</f>
        <v>#REF!</v>
      </c>
      <c r="M2793" s="33" t="str">
        <f t="shared" si="175"/>
        <v>P&amp;L</v>
      </c>
    </row>
    <row r="2794" spans="1:13" s="33" customFormat="true" ht="12.75" customHeight="true">
      <c r="A2794" s="33" t="str">
        <f t="shared" si="172"/>
        <v>3SI - Operating Expense</v>
      </c>
      <c r="B2794" s="33" t="str">
        <f t="shared" si="173"/>
        <v>3SI</v>
      </c>
      <c r="C2794" s="33" t="str">
        <f t="shared" si="174"/>
        <v>60509-7466</v>
      </c>
      <c r="D2794" s="64" t="s">
        <v>3485</v>
      </c>
      <c r="E2794" s="64" t="s">
        <v>3056</v>
      </c>
      <c r="F2794" s="64" t="s">
        <v>15</v>
      </c>
      <c r="G2794" s="64" t="s">
        <v>3021</v>
      </c>
      <c r="H2794" s="64" t="s">
        <v>3022</v>
      </c>
      <c r="I2794" s="64" t="s">
        <v>3051</v>
      </c>
      <c r="J2794" s="67">
        <v>0</v>
      </c>
      <c r="K2794" s="62">
        <v>874.04</v>
      </c>
      <c r="L2794" s="33" t="e">
        <f>HLOOKUP(B2794,#REF!,1,0)</f>
        <v>#REF!</v>
      </c>
      <c r="M2794" s="33" t="str">
        <f t="shared" si="175"/>
        <v>P&amp;L</v>
      </c>
    </row>
    <row r="2795" spans="1:13" s="33" customFormat="true" ht="12.75" customHeight="true">
      <c r="A2795" s="33" t="str">
        <f t="shared" si="172"/>
        <v>3SI - Operating Expense</v>
      </c>
      <c r="B2795" s="33" t="str">
        <f t="shared" si="173"/>
        <v>3SI</v>
      </c>
      <c r="C2795" s="33" t="str">
        <f t="shared" si="174"/>
        <v>60509-7780</v>
      </c>
      <c r="D2795" s="64" t="s">
        <v>3486</v>
      </c>
      <c r="E2795" s="64" t="s">
        <v>3056</v>
      </c>
      <c r="F2795" s="64" t="s">
        <v>15</v>
      </c>
      <c r="G2795" s="64" t="s">
        <v>3021</v>
      </c>
      <c r="H2795" s="64" t="s">
        <v>3022</v>
      </c>
      <c r="I2795" s="64" t="s">
        <v>3051</v>
      </c>
      <c r="J2795" s="67">
        <v>0</v>
      </c>
      <c r="K2795" s="62">
        <v>500.14</v>
      </c>
      <c r="L2795" s="33" t="e">
        <f>HLOOKUP(B2795,#REF!,1,0)</f>
        <v>#REF!</v>
      </c>
      <c r="M2795" s="33" t="str">
        <f t="shared" si="175"/>
        <v>P&amp;L</v>
      </c>
    </row>
    <row r="2796" spans="1:13" s="33" customFormat="true" ht="12.75" customHeight="true">
      <c r="A2796" s="33" t="str">
        <f t="shared" si="172"/>
        <v>3SI - Operating Expense</v>
      </c>
      <c r="B2796" s="33" t="str">
        <f t="shared" si="173"/>
        <v>3SI</v>
      </c>
      <c r="C2796" s="33" t="str">
        <f t="shared" si="174"/>
        <v>61001-0863</v>
      </c>
      <c r="D2796" s="64" t="s">
        <v>3487</v>
      </c>
      <c r="E2796" s="64" t="s">
        <v>3062</v>
      </c>
      <c r="F2796" s="64" t="s">
        <v>15</v>
      </c>
      <c r="G2796" s="64" t="s">
        <v>3021</v>
      </c>
      <c r="H2796" s="64" t="s">
        <v>3022</v>
      </c>
      <c r="I2796" s="64" t="s">
        <v>3063</v>
      </c>
      <c r="J2796" s="67">
        <v>545.24</v>
      </c>
      <c r="K2796" s="62">
        <v>545.24</v>
      </c>
      <c r="L2796" s="33" t="e">
        <f>HLOOKUP(B2796,#REF!,1,0)</f>
        <v>#REF!</v>
      </c>
      <c r="M2796" s="33" t="str">
        <f t="shared" si="175"/>
        <v>P&amp;L</v>
      </c>
    </row>
    <row r="2797" spans="1:13" s="33" customFormat="true" ht="12.75" customHeight="true">
      <c r="A2797" s="33" t="str">
        <f t="shared" si="172"/>
        <v>3SI - Operating Expense</v>
      </c>
      <c r="B2797" s="33" t="str">
        <f t="shared" si="173"/>
        <v>3SI</v>
      </c>
      <c r="C2797" s="33" t="str">
        <f t="shared" si="174"/>
        <v>61001-7466</v>
      </c>
      <c r="D2797" s="64" t="s">
        <v>3488</v>
      </c>
      <c r="E2797" s="64" t="s">
        <v>3062</v>
      </c>
      <c r="F2797" s="64" t="s">
        <v>15</v>
      </c>
      <c r="G2797" s="64" t="s">
        <v>3021</v>
      </c>
      <c r="H2797" s="64" t="s">
        <v>3022</v>
      </c>
      <c r="I2797" s="64" t="s">
        <v>3063</v>
      </c>
      <c r="J2797" s="67">
        <v>0</v>
      </c>
      <c r="K2797" s="62">
        <v>726.52</v>
      </c>
      <c r="L2797" s="33" t="e">
        <f>HLOOKUP(B2797,#REF!,1,0)</f>
        <v>#REF!</v>
      </c>
      <c r="M2797" s="33" t="str">
        <f t="shared" si="175"/>
        <v>P&amp;L</v>
      </c>
    </row>
    <row r="2798" spans="1:13" s="33" customFormat="true" ht="12.75" customHeight="true">
      <c r="A2798" s="33" t="str">
        <f t="shared" si="172"/>
        <v>3SI - Operating Expense</v>
      </c>
      <c r="B2798" s="33" t="str">
        <f t="shared" si="173"/>
        <v>3SI</v>
      </c>
      <c r="C2798" s="33" t="str">
        <f t="shared" si="174"/>
        <v>61001-7780</v>
      </c>
      <c r="D2798" s="64" t="s">
        <v>3489</v>
      </c>
      <c r="E2798" s="64" t="s">
        <v>3062</v>
      </c>
      <c r="F2798" s="64" t="s">
        <v>15</v>
      </c>
      <c r="G2798" s="64" t="s">
        <v>3021</v>
      </c>
      <c r="H2798" s="64" t="s">
        <v>3022</v>
      </c>
      <c r="I2798" s="64" t="s">
        <v>3063</v>
      </c>
      <c r="J2798" s="67">
        <v>0</v>
      </c>
      <c r="K2798" s="62">
        <v>720.01</v>
      </c>
      <c r="L2798" s="33" t="e">
        <f>HLOOKUP(B2798,#REF!,1,0)</f>
        <v>#REF!</v>
      </c>
      <c r="M2798" s="33" t="str">
        <f t="shared" si="175"/>
        <v>P&amp;L</v>
      </c>
    </row>
    <row r="2799" spans="1:13" s="33" customFormat="true" ht="12.75" customHeight="true">
      <c r="A2799" s="33" t="str">
        <f t="shared" si="172"/>
        <v>3SI - Operating Expense</v>
      </c>
      <c r="B2799" s="33" t="str">
        <f t="shared" si="173"/>
        <v>3SI</v>
      </c>
      <c r="C2799" s="33" t="str">
        <f t="shared" si="174"/>
        <v>61002-0000</v>
      </c>
      <c r="D2799" s="64" t="s">
        <v>3490</v>
      </c>
      <c r="E2799" s="64" t="s">
        <v>3067</v>
      </c>
      <c r="F2799" s="64" t="s">
        <v>15</v>
      </c>
      <c r="G2799" s="64" t="s">
        <v>3035</v>
      </c>
      <c r="H2799" s="64" t="s">
        <v>3022</v>
      </c>
      <c r="I2799" s="64" t="s">
        <v>3036</v>
      </c>
      <c r="J2799" s="67">
        <v>0</v>
      </c>
      <c r="K2799" s="62">
        <v>162.38</v>
      </c>
      <c r="L2799" s="33" t="e">
        <f>HLOOKUP(B2799,#REF!,1,0)</f>
        <v>#REF!</v>
      </c>
      <c r="M2799" s="33" t="str">
        <f t="shared" si="175"/>
        <v>P&amp;L</v>
      </c>
    </row>
    <row r="2800" spans="1:13" s="33" customFormat="true" ht="12.75" customHeight="true">
      <c r="A2800" s="33" t="str">
        <f t="shared" si="172"/>
        <v>3SI - Operating Expense</v>
      </c>
      <c r="B2800" s="33" t="str">
        <f t="shared" si="173"/>
        <v>3SI</v>
      </c>
      <c r="C2800" s="33" t="str">
        <f t="shared" si="174"/>
        <v>61002-7466</v>
      </c>
      <c r="D2800" s="64" t="s">
        <v>3491</v>
      </c>
      <c r="E2800" s="64" t="s">
        <v>3067</v>
      </c>
      <c r="F2800" s="64" t="s">
        <v>15</v>
      </c>
      <c r="G2800" s="64" t="s">
        <v>3035</v>
      </c>
      <c r="H2800" s="64" t="s">
        <v>3022</v>
      </c>
      <c r="I2800" s="64" t="s">
        <v>3036</v>
      </c>
      <c r="J2800" s="67">
        <v>0</v>
      </c>
      <c r="K2800" s="62">
        <v>7957.76</v>
      </c>
      <c r="L2800" s="33" t="e">
        <f>HLOOKUP(B2800,#REF!,1,0)</f>
        <v>#REF!</v>
      </c>
      <c r="M2800" s="33" t="str">
        <f t="shared" si="175"/>
        <v>P&amp;L</v>
      </c>
    </row>
    <row r="2801" spans="1:13" s="33" customFormat="true" ht="12.75" customHeight="true">
      <c r="A2801" s="33" t="str">
        <f t="shared" si="172"/>
        <v>3SI - Operating Expense</v>
      </c>
      <c r="B2801" s="33" t="str">
        <f t="shared" si="173"/>
        <v>3SI</v>
      </c>
      <c r="C2801" s="33" t="str">
        <f t="shared" si="174"/>
        <v>61002-7780</v>
      </c>
      <c r="D2801" s="64" t="s">
        <v>3492</v>
      </c>
      <c r="E2801" s="64" t="s">
        <v>3067</v>
      </c>
      <c r="F2801" s="64" t="s">
        <v>15</v>
      </c>
      <c r="G2801" s="64" t="s">
        <v>3035</v>
      </c>
      <c r="H2801" s="64" t="s">
        <v>3022</v>
      </c>
      <c r="I2801" s="64" t="s">
        <v>3036</v>
      </c>
      <c r="J2801" s="67">
        <v>0</v>
      </c>
      <c r="K2801" s="62">
        <v>1605.95</v>
      </c>
      <c r="L2801" s="33" t="e">
        <f>HLOOKUP(B2801,#REF!,1,0)</f>
        <v>#REF!</v>
      </c>
      <c r="M2801" s="33" t="str">
        <f t="shared" si="175"/>
        <v>P&amp;L</v>
      </c>
    </row>
    <row r="2802" spans="1:13" s="33" customFormat="true" ht="12.75" customHeight="true">
      <c r="A2802" s="33" t="str">
        <f t="shared" si="172"/>
        <v>3SI - Operating Expense</v>
      </c>
      <c r="B2802" s="33" t="str">
        <f t="shared" si="173"/>
        <v>3SI</v>
      </c>
      <c r="C2802" s="33" t="str">
        <f t="shared" si="174"/>
        <v>61201-0863</v>
      </c>
      <c r="D2802" s="64" t="s">
        <v>3493</v>
      </c>
      <c r="E2802" s="64" t="s">
        <v>3073</v>
      </c>
      <c r="F2802" s="64" t="s">
        <v>15</v>
      </c>
      <c r="G2802" s="64" t="s">
        <v>3035</v>
      </c>
      <c r="H2802" s="64" t="s">
        <v>3022</v>
      </c>
      <c r="I2802" s="64" t="s">
        <v>3074</v>
      </c>
      <c r="J2802" s="67">
        <v>117.47</v>
      </c>
      <c r="K2802" s="62">
        <v>2648.67</v>
      </c>
      <c r="L2802" s="33" t="e">
        <f>HLOOKUP(B2802,#REF!,1,0)</f>
        <v>#REF!</v>
      </c>
      <c r="M2802" s="33" t="str">
        <f t="shared" si="175"/>
        <v>P&amp;L</v>
      </c>
    </row>
    <row r="2803" spans="1:13" s="33" customFormat="true" ht="12.75" customHeight="true">
      <c r="A2803" s="33" t="str">
        <f t="shared" si="172"/>
        <v>3SI - Operating Expense</v>
      </c>
      <c r="B2803" s="33" t="str">
        <f t="shared" si="173"/>
        <v>3SI</v>
      </c>
      <c r="C2803" s="33" t="str">
        <f t="shared" si="174"/>
        <v>61201-0865</v>
      </c>
      <c r="D2803" s="64" t="s">
        <v>3494</v>
      </c>
      <c r="E2803" s="64" t="s">
        <v>3073</v>
      </c>
      <c r="F2803" s="64" t="s">
        <v>15</v>
      </c>
      <c r="G2803" s="64" t="s">
        <v>3035</v>
      </c>
      <c r="H2803" s="64" t="s">
        <v>3022</v>
      </c>
      <c r="I2803" s="64" t="s">
        <v>3074</v>
      </c>
      <c r="J2803" s="67">
        <v>0</v>
      </c>
      <c r="K2803" s="62">
        <v>530.2</v>
      </c>
      <c r="L2803" s="33" t="e">
        <f>HLOOKUP(B2803,#REF!,1,0)</f>
        <v>#REF!</v>
      </c>
      <c r="M2803" s="33" t="str">
        <f t="shared" si="175"/>
        <v>P&amp;L</v>
      </c>
    </row>
    <row r="2804" spans="1:13" s="33" customFormat="true" ht="12.75" customHeight="true">
      <c r="A2804" s="33" t="str">
        <f t="shared" si="172"/>
        <v>3SI - Operating Expense</v>
      </c>
      <c r="B2804" s="33" t="str">
        <f t="shared" si="173"/>
        <v>3SI</v>
      </c>
      <c r="C2804" s="33" t="str">
        <f t="shared" si="174"/>
        <v>61201-7466</v>
      </c>
      <c r="D2804" s="64" t="s">
        <v>3495</v>
      </c>
      <c r="E2804" s="64" t="s">
        <v>3073</v>
      </c>
      <c r="F2804" s="64" t="s">
        <v>15</v>
      </c>
      <c r="G2804" s="64" t="s">
        <v>3035</v>
      </c>
      <c r="H2804" s="64" t="s">
        <v>3022</v>
      </c>
      <c r="I2804" s="64" t="s">
        <v>3074</v>
      </c>
      <c r="J2804" s="67">
        <v>118.26</v>
      </c>
      <c r="K2804" s="62">
        <v>2656.57</v>
      </c>
      <c r="L2804" s="33" t="e">
        <f>HLOOKUP(B2804,#REF!,1,0)</f>
        <v>#REF!</v>
      </c>
      <c r="M2804" s="33" t="str">
        <f t="shared" si="175"/>
        <v>P&amp;L</v>
      </c>
    </row>
    <row r="2805" spans="1:13" s="33" customFormat="true" ht="12.75" customHeight="true">
      <c r="A2805" s="33" t="str">
        <f t="shared" si="172"/>
        <v>3SI - Operating Expense</v>
      </c>
      <c r="B2805" s="33" t="str">
        <f t="shared" si="173"/>
        <v>3SI</v>
      </c>
      <c r="C2805" s="33" t="str">
        <f t="shared" si="174"/>
        <v>61201-7780</v>
      </c>
      <c r="D2805" s="64" t="s">
        <v>3496</v>
      </c>
      <c r="E2805" s="64" t="s">
        <v>3073</v>
      </c>
      <c r="F2805" s="64" t="s">
        <v>15</v>
      </c>
      <c r="G2805" s="64" t="s">
        <v>3035</v>
      </c>
      <c r="H2805" s="64" t="s">
        <v>3022</v>
      </c>
      <c r="I2805" s="64" t="s">
        <v>3074</v>
      </c>
      <c r="J2805" s="67">
        <v>118.54</v>
      </c>
      <c r="K2805" s="62">
        <v>2659.32</v>
      </c>
      <c r="L2805" s="33" t="e">
        <f>HLOOKUP(B2805,#REF!,1,0)</f>
        <v>#REF!</v>
      </c>
      <c r="M2805" s="33" t="str">
        <f t="shared" si="175"/>
        <v>P&amp;L</v>
      </c>
    </row>
    <row r="2806" spans="1:13" s="33" customFormat="true" ht="12.75" customHeight="true">
      <c r="A2806" s="33" t="str">
        <f t="shared" si="172"/>
        <v>3SI - Operating Expense</v>
      </c>
      <c r="B2806" s="33" t="str">
        <f t="shared" si="173"/>
        <v>3SI</v>
      </c>
      <c r="C2806" s="33" t="str">
        <f t="shared" si="174"/>
        <v>61501-0863</v>
      </c>
      <c r="D2806" s="64" t="s">
        <v>3497</v>
      </c>
      <c r="E2806" s="64" t="s">
        <v>3079</v>
      </c>
      <c r="F2806" s="64" t="s">
        <v>15</v>
      </c>
      <c r="G2806" s="64" t="s">
        <v>3035</v>
      </c>
      <c r="H2806" s="64" t="s">
        <v>3022</v>
      </c>
      <c r="I2806" s="64" t="s">
        <v>3036</v>
      </c>
      <c r="J2806" s="67">
        <v>0</v>
      </c>
      <c r="K2806" s="62">
        <v>109.39</v>
      </c>
      <c r="L2806" s="33" t="e">
        <f>HLOOKUP(B2806,#REF!,1,0)</f>
        <v>#REF!</v>
      </c>
      <c r="M2806" s="33" t="str">
        <f t="shared" si="175"/>
        <v>P&amp;L</v>
      </c>
    </row>
    <row r="2807" spans="1:13" s="33" customFormat="true" ht="12.75" customHeight="true">
      <c r="A2807" s="33" t="str">
        <f t="shared" si="172"/>
        <v>3SI - Operating Expense</v>
      </c>
      <c r="B2807" s="33" t="str">
        <f t="shared" si="173"/>
        <v>3SI</v>
      </c>
      <c r="C2807" s="33" t="str">
        <f t="shared" si="174"/>
        <v>61501-7466</v>
      </c>
      <c r="D2807" s="64" t="s">
        <v>3498</v>
      </c>
      <c r="E2807" s="64" t="s">
        <v>3079</v>
      </c>
      <c r="F2807" s="64" t="s">
        <v>15</v>
      </c>
      <c r="G2807" s="64" t="s">
        <v>3035</v>
      </c>
      <c r="H2807" s="64" t="s">
        <v>3022</v>
      </c>
      <c r="I2807" s="64" t="s">
        <v>3036</v>
      </c>
      <c r="J2807" s="67">
        <v>265.18</v>
      </c>
      <c r="K2807" s="62">
        <v>2806.88</v>
      </c>
      <c r="L2807" s="33" t="e">
        <f>HLOOKUP(B2807,#REF!,1,0)</f>
        <v>#REF!</v>
      </c>
      <c r="M2807" s="33" t="str">
        <f t="shared" si="175"/>
        <v>P&amp;L</v>
      </c>
    </row>
    <row r="2808" spans="1:13" s="33" customFormat="true" ht="12.75" customHeight="true">
      <c r="A2808" s="33" t="str">
        <f t="shared" si="172"/>
        <v>3SI - Operating Expense</v>
      </c>
      <c r="B2808" s="33" t="str">
        <f t="shared" si="173"/>
        <v>3SI</v>
      </c>
      <c r="C2808" s="33" t="str">
        <f t="shared" si="174"/>
        <v>61501-7780</v>
      </c>
      <c r="D2808" s="64" t="s">
        <v>3499</v>
      </c>
      <c r="E2808" s="64" t="s">
        <v>3079</v>
      </c>
      <c r="F2808" s="64" t="s">
        <v>15</v>
      </c>
      <c r="G2808" s="64" t="s">
        <v>3035</v>
      </c>
      <c r="H2808" s="64" t="s">
        <v>3022</v>
      </c>
      <c r="I2808" s="64" t="s">
        <v>3036</v>
      </c>
      <c r="J2808" s="67">
        <v>0</v>
      </c>
      <c r="K2808" s="62">
        <v>23.16</v>
      </c>
      <c r="L2808" s="33" t="e">
        <f>HLOOKUP(B2808,#REF!,1,0)</f>
        <v>#REF!</v>
      </c>
      <c r="M2808" s="33" t="str">
        <f t="shared" si="175"/>
        <v>P&amp;L</v>
      </c>
    </row>
    <row r="2809" spans="1:13" s="33" customFormat="true" ht="12.75" customHeight="true">
      <c r="A2809" s="33" t="str">
        <f t="shared" si="172"/>
        <v>3SI - Operating Expense</v>
      </c>
      <c r="B2809" s="33" t="str">
        <f t="shared" si="173"/>
        <v>3SI</v>
      </c>
      <c r="C2809" s="33" t="str">
        <f t="shared" si="174"/>
        <v>61502-7780</v>
      </c>
      <c r="D2809" s="64" t="s">
        <v>3500</v>
      </c>
      <c r="E2809" s="64" t="s">
        <v>3084</v>
      </c>
      <c r="F2809" s="64" t="s">
        <v>15</v>
      </c>
      <c r="G2809" s="64" t="s">
        <v>3035</v>
      </c>
      <c r="H2809" s="64" t="s">
        <v>3022</v>
      </c>
      <c r="I2809" s="64" t="s">
        <v>3036</v>
      </c>
      <c r="J2809" s="67">
        <v>0</v>
      </c>
      <c r="K2809" s="62">
        <v>97.83</v>
      </c>
      <c r="L2809" s="33" t="e">
        <f>HLOOKUP(B2809,#REF!,1,0)</f>
        <v>#REF!</v>
      </c>
      <c r="M2809" s="33" t="str">
        <f t="shared" si="175"/>
        <v>P&amp;L</v>
      </c>
    </row>
    <row r="2810" spans="1:13" s="33" customFormat="true" ht="12.75" customHeight="true">
      <c r="A2810" s="33" t="str">
        <f t="shared" si="172"/>
        <v>3SI - Operating Expense</v>
      </c>
      <c r="B2810" s="33" t="str">
        <f t="shared" si="173"/>
        <v>3SI</v>
      </c>
      <c r="C2810" s="33" t="str">
        <f t="shared" si="174"/>
        <v>62001-0000</v>
      </c>
      <c r="D2810" s="64" t="s">
        <v>3501</v>
      </c>
      <c r="E2810" s="64" t="s">
        <v>3087</v>
      </c>
      <c r="F2810" s="64" t="s">
        <v>15</v>
      </c>
      <c r="G2810" s="64" t="s">
        <v>3035</v>
      </c>
      <c r="H2810" s="64" t="s">
        <v>3022</v>
      </c>
      <c r="I2810" s="64" t="s">
        <v>3074</v>
      </c>
      <c r="J2810" s="67">
        <v>0</v>
      </c>
      <c r="K2810" s="62">
        <v>42.49</v>
      </c>
      <c r="L2810" s="33" t="e">
        <f>HLOOKUP(B2810,#REF!,1,0)</f>
        <v>#REF!</v>
      </c>
      <c r="M2810" s="33" t="str">
        <f t="shared" si="175"/>
        <v>P&amp;L</v>
      </c>
    </row>
    <row r="2811" spans="1:13" s="33" customFormat="true" ht="12.75" customHeight="true">
      <c r="A2811" s="33" t="str">
        <f t="shared" si="172"/>
        <v>3SI - Operating Expense</v>
      </c>
      <c r="B2811" s="33" t="str">
        <f t="shared" si="173"/>
        <v>3SI</v>
      </c>
      <c r="C2811" s="33" t="str">
        <f t="shared" si="174"/>
        <v>62002-0863</v>
      </c>
      <c r="D2811" s="64" t="s">
        <v>3502</v>
      </c>
      <c r="E2811" s="64" t="s">
        <v>3090</v>
      </c>
      <c r="F2811" s="64" t="s">
        <v>15</v>
      </c>
      <c r="G2811" s="64" t="s">
        <v>3035</v>
      </c>
      <c r="H2811" s="64" t="s">
        <v>3022</v>
      </c>
      <c r="I2811" s="64" t="s">
        <v>3074</v>
      </c>
      <c r="J2811" s="67">
        <v>0</v>
      </c>
      <c r="K2811" s="62">
        <v>600</v>
      </c>
      <c r="L2811" s="33" t="e">
        <f>HLOOKUP(B2811,#REF!,1,0)</f>
        <v>#REF!</v>
      </c>
      <c r="M2811" s="33" t="str">
        <f t="shared" si="175"/>
        <v>P&amp;L</v>
      </c>
    </row>
    <row r="2812" spans="1:13" s="33" customFormat="true" ht="12.75" customHeight="true">
      <c r="A2812" s="33" t="str">
        <f t="shared" si="172"/>
        <v>3SI - Operating Expense</v>
      </c>
      <c r="B2812" s="33" t="str">
        <f t="shared" si="173"/>
        <v>3SI</v>
      </c>
      <c r="C2812" s="33" t="str">
        <f t="shared" si="174"/>
        <v>62002-7466</v>
      </c>
      <c r="D2812" s="64" t="s">
        <v>3503</v>
      </c>
      <c r="E2812" s="64" t="s">
        <v>3090</v>
      </c>
      <c r="F2812" s="64" t="s">
        <v>15</v>
      </c>
      <c r="G2812" s="64" t="s">
        <v>3035</v>
      </c>
      <c r="H2812" s="64" t="s">
        <v>3022</v>
      </c>
      <c r="I2812" s="64" t="s">
        <v>3074</v>
      </c>
      <c r="J2812" s="67">
        <v>0</v>
      </c>
      <c r="K2812" s="62">
        <v>600</v>
      </c>
      <c r="L2812" s="33" t="e">
        <f>HLOOKUP(B2812,#REF!,1,0)</f>
        <v>#REF!</v>
      </c>
      <c r="M2812" s="33" t="str">
        <f t="shared" si="175"/>
        <v>P&amp;L</v>
      </c>
    </row>
    <row r="2813" spans="1:13" s="33" customFormat="true" ht="12.75" customHeight="true">
      <c r="A2813" s="33" t="str">
        <f t="shared" si="172"/>
        <v>3SI - Operating Expense</v>
      </c>
      <c r="B2813" s="33" t="str">
        <f t="shared" si="173"/>
        <v>3SI</v>
      </c>
      <c r="C2813" s="33" t="str">
        <f t="shared" si="174"/>
        <v>62002-7780</v>
      </c>
      <c r="D2813" s="64" t="s">
        <v>3504</v>
      </c>
      <c r="E2813" s="64" t="s">
        <v>3090</v>
      </c>
      <c r="F2813" s="64" t="s">
        <v>15</v>
      </c>
      <c r="G2813" s="64" t="s">
        <v>3035</v>
      </c>
      <c r="H2813" s="64" t="s">
        <v>3022</v>
      </c>
      <c r="I2813" s="64" t="s">
        <v>3074</v>
      </c>
      <c r="J2813" s="67">
        <v>0</v>
      </c>
      <c r="K2813" s="62">
        <v>600</v>
      </c>
      <c r="L2813" s="33" t="e">
        <f>HLOOKUP(B2813,#REF!,1,0)</f>
        <v>#REF!</v>
      </c>
      <c r="M2813" s="33" t="str">
        <f t="shared" si="175"/>
        <v>P&amp;L</v>
      </c>
    </row>
    <row r="2814" spans="1:13" s="33" customFormat="true" ht="12.75" customHeight="true">
      <c r="A2814" s="33" t="str">
        <f t="shared" si="172"/>
        <v>3SI - Operating Expense</v>
      </c>
      <c r="B2814" s="33" t="str">
        <f t="shared" si="173"/>
        <v>3SI</v>
      </c>
      <c r="C2814" s="33" t="str">
        <f t="shared" si="174"/>
        <v>62097-0863</v>
      </c>
      <c r="D2814" s="64" t="s">
        <v>3505</v>
      </c>
      <c r="E2814" s="64" t="s">
        <v>3095</v>
      </c>
      <c r="F2814" s="64" t="s">
        <v>15</v>
      </c>
      <c r="G2814" s="64" t="s">
        <v>3035</v>
      </c>
      <c r="H2814" s="64" t="s">
        <v>3022</v>
      </c>
      <c r="I2814" s="64" t="s">
        <v>3096</v>
      </c>
      <c r="J2814" s="67">
        <v>0</v>
      </c>
      <c r="K2814" s="62">
        <v>150</v>
      </c>
      <c r="L2814" s="33" t="e">
        <f>HLOOKUP(B2814,#REF!,1,0)</f>
        <v>#REF!</v>
      </c>
      <c r="M2814" s="33" t="str">
        <f t="shared" si="175"/>
        <v>P&amp;L</v>
      </c>
    </row>
    <row r="2815" spans="1:13" s="33" customFormat="true" ht="12.75" customHeight="true">
      <c r="A2815" s="33" t="str">
        <f t="shared" si="172"/>
        <v>3SI - Operating Expense</v>
      </c>
      <c r="B2815" s="33" t="str">
        <f t="shared" si="173"/>
        <v>3SI</v>
      </c>
      <c r="C2815" s="33" t="str">
        <f t="shared" si="174"/>
        <v>62097-0865</v>
      </c>
      <c r="D2815" s="64" t="s">
        <v>3506</v>
      </c>
      <c r="E2815" s="64" t="s">
        <v>3095</v>
      </c>
      <c r="F2815" s="64" t="s">
        <v>15</v>
      </c>
      <c r="G2815" s="64" t="s">
        <v>3035</v>
      </c>
      <c r="H2815" s="64" t="s">
        <v>3022</v>
      </c>
      <c r="I2815" s="64" t="s">
        <v>3096</v>
      </c>
      <c r="J2815" s="67">
        <v>0</v>
      </c>
      <c r="K2815" s="62">
        <v>150</v>
      </c>
      <c r="L2815" s="33" t="e">
        <f>HLOOKUP(B2815,#REF!,1,0)</f>
        <v>#REF!</v>
      </c>
      <c r="M2815" s="33" t="str">
        <f t="shared" si="175"/>
        <v>P&amp;L</v>
      </c>
    </row>
    <row r="2816" spans="1:13" s="33" customFormat="true" ht="12.75" customHeight="true">
      <c r="A2816" s="33" t="str">
        <f t="shared" si="172"/>
        <v>3SI - Operating Expense</v>
      </c>
      <c r="B2816" s="33" t="str">
        <f t="shared" si="173"/>
        <v>3SI</v>
      </c>
      <c r="C2816" s="33" t="str">
        <f t="shared" si="174"/>
        <v>62097-7466</v>
      </c>
      <c r="D2816" s="64" t="s">
        <v>3507</v>
      </c>
      <c r="E2816" s="64" t="s">
        <v>3095</v>
      </c>
      <c r="F2816" s="64" t="s">
        <v>15</v>
      </c>
      <c r="G2816" s="64" t="s">
        <v>3035</v>
      </c>
      <c r="H2816" s="64" t="s">
        <v>3022</v>
      </c>
      <c r="I2816" s="64" t="s">
        <v>3096</v>
      </c>
      <c r="J2816" s="67">
        <v>0</v>
      </c>
      <c r="K2816" s="62">
        <v>150</v>
      </c>
      <c r="L2816" s="33" t="e">
        <f>HLOOKUP(B2816,#REF!,1,0)</f>
        <v>#REF!</v>
      </c>
      <c r="M2816" s="33" t="str">
        <f t="shared" si="175"/>
        <v>P&amp;L</v>
      </c>
    </row>
    <row r="2817" spans="1:13" s="33" customFormat="true" ht="12.75" customHeight="true">
      <c r="A2817" s="33" t="str">
        <f t="shared" si="172"/>
        <v>3SI - Operating Expense</v>
      </c>
      <c r="B2817" s="33" t="str">
        <f t="shared" si="173"/>
        <v>3SI</v>
      </c>
      <c r="C2817" s="33" t="str">
        <f t="shared" si="174"/>
        <v>62097-7780</v>
      </c>
      <c r="D2817" s="64" t="s">
        <v>3508</v>
      </c>
      <c r="E2817" s="64" t="s">
        <v>3095</v>
      </c>
      <c r="F2817" s="64" t="s">
        <v>15</v>
      </c>
      <c r="G2817" s="64" t="s">
        <v>3035</v>
      </c>
      <c r="H2817" s="64" t="s">
        <v>3022</v>
      </c>
      <c r="I2817" s="64" t="s">
        <v>3096</v>
      </c>
      <c r="J2817" s="67">
        <v>0</v>
      </c>
      <c r="K2817" s="62">
        <v>150</v>
      </c>
      <c r="L2817" s="33" t="e">
        <f>HLOOKUP(B2817,#REF!,1,0)</f>
        <v>#REF!</v>
      </c>
      <c r="M2817" s="33" t="str">
        <f t="shared" si="175"/>
        <v>P&amp;L</v>
      </c>
    </row>
    <row r="2818" spans="1:13" s="33" customFormat="true" ht="12.75" customHeight="true">
      <c r="A2818" s="33" t="str">
        <f t="shared" ref="A2818:A2881" si="176">B2818&amp;" - "&amp;TRIM(H2818)</f>
        <v>3SI - Operating Expense</v>
      </c>
      <c r="B2818" s="33" t="str">
        <f t="shared" ref="B2818:B2881" si="177">LEFT(D2818,3)</f>
        <v>3SI</v>
      </c>
      <c r="C2818" s="33" t="str">
        <f t="shared" ref="C2818:C2881" si="178">RIGHT(D2818,10)</f>
        <v>62501-0863</v>
      </c>
      <c r="D2818" s="64" t="s">
        <v>3509</v>
      </c>
      <c r="E2818" s="64" t="s">
        <v>3101</v>
      </c>
      <c r="F2818" s="64" t="s">
        <v>15</v>
      </c>
      <c r="G2818" s="64" t="s">
        <v>3035</v>
      </c>
      <c r="H2818" s="64" t="s">
        <v>3022</v>
      </c>
      <c r="I2818" s="64" t="s">
        <v>3102</v>
      </c>
      <c r="J2818" s="67">
        <v>0</v>
      </c>
      <c r="K2818" s="62">
        <v>2586.19</v>
      </c>
      <c r="L2818" s="33" t="e">
        <f>HLOOKUP(B2818,#REF!,1,0)</f>
        <v>#REF!</v>
      </c>
      <c r="M2818" s="33" t="str">
        <f t="shared" ref="M2818:M2881" si="179">IF(VALUE(LEFT(C2818,5))&gt;40000,"P&amp;L","BS")</f>
        <v>P&amp;L</v>
      </c>
    </row>
    <row r="2819" spans="1:13" s="33" customFormat="true" ht="12.75" customHeight="true">
      <c r="A2819" s="33" t="str">
        <f t="shared" si="176"/>
        <v>3SI - Operating Expense</v>
      </c>
      <c r="B2819" s="33" t="str">
        <f t="shared" si="177"/>
        <v>3SI</v>
      </c>
      <c r="C2819" s="33" t="str">
        <f t="shared" si="178"/>
        <v>62501-0865</v>
      </c>
      <c r="D2819" s="64" t="s">
        <v>3510</v>
      </c>
      <c r="E2819" s="64" t="s">
        <v>3101</v>
      </c>
      <c r="F2819" s="64" t="s">
        <v>15</v>
      </c>
      <c r="G2819" s="64" t="s">
        <v>3035</v>
      </c>
      <c r="H2819" s="64" t="s">
        <v>3022</v>
      </c>
      <c r="I2819" s="64" t="s">
        <v>3102</v>
      </c>
      <c r="J2819" s="67">
        <v>0</v>
      </c>
      <c r="K2819" s="62">
        <v>607.19</v>
      </c>
      <c r="L2819" s="33" t="e">
        <f>HLOOKUP(B2819,#REF!,1,0)</f>
        <v>#REF!</v>
      </c>
      <c r="M2819" s="33" t="str">
        <f t="shared" si="179"/>
        <v>P&amp;L</v>
      </c>
    </row>
    <row r="2820" spans="1:13" s="33" customFormat="true" ht="12.75" customHeight="true">
      <c r="A2820" s="33" t="str">
        <f t="shared" si="176"/>
        <v>3SI - Operating Expense</v>
      </c>
      <c r="B2820" s="33" t="str">
        <f t="shared" si="177"/>
        <v>3SI</v>
      </c>
      <c r="C2820" s="33" t="str">
        <f t="shared" si="178"/>
        <v>62502-0863</v>
      </c>
      <c r="D2820" s="64" t="s">
        <v>3511</v>
      </c>
      <c r="E2820" s="64" t="s">
        <v>3106</v>
      </c>
      <c r="F2820" s="64" t="s">
        <v>15</v>
      </c>
      <c r="G2820" s="64" t="s">
        <v>3035</v>
      </c>
      <c r="H2820" s="64" t="s">
        <v>3022</v>
      </c>
      <c r="I2820" s="64" t="s">
        <v>3036</v>
      </c>
      <c r="J2820" s="67">
        <v>680.83</v>
      </c>
      <c r="K2820" s="62">
        <v>19989.6</v>
      </c>
      <c r="L2820" s="33" t="e">
        <f>HLOOKUP(B2820,#REF!,1,0)</f>
        <v>#REF!</v>
      </c>
      <c r="M2820" s="33" t="str">
        <f t="shared" si="179"/>
        <v>P&amp;L</v>
      </c>
    </row>
    <row r="2821" spans="1:13" s="33" customFormat="true" ht="12.75" customHeight="true">
      <c r="A2821" s="33" t="str">
        <f t="shared" si="176"/>
        <v>3SI - Operating Expense</v>
      </c>
      <c r="B2821" s="33" t="str">
        <f t="shared" si="177"/>
        <v>3SI</v>
      </c>
      <c r="C2821" s="33" t="str">
        <f t="shared" si="178"/>
        <v>62502-7466</v>
      </c>
      <c r="D2821" s="64" t="s">
        <v>3512</v>
      </c>
      <c r="E2821" s="64" t="s">
        <v>3106</v>
      </c>
      <c r="F2821" s="64" t="s">
        <v>15</v>
      </c>
      <c r="G2821" s="64" t="s">
        <v>3035</v>
      </c>
      <c r="H2821" s="64" t="s">
        <v>3022</v>
      </c>
      <c r="I2821" s="64" t="s">
        <v>3036</v>
      </c>
      <c r="J2821" s="67">
        <v>923</v>
      </c>
      <c r="K2821" s="62">
        <v>14925.15</v>
      </c>
      <c r="L2821" s="33" t="e">
        <f>HLOOKUP(B2821,#REF!,1,0)</f>
        <v>#REF!</v>
      </c>
      <c r="M2821" s="33" t="str">
        <f t="shared" si="179"/>
        <v>P&amp;L</v>
      </c>
    </row>
    <row r="2822" spans="1:13" s="33" customFormat="true" ht="12.75" customHeight="true">
      <c r="A2822" s="33" t="str">
        <f t="shared" si="176"/>
        <v>3SI - Operating Expense</v>
      </c>
      <c r="B2822" s="33" t="str">
        <f t="shared" si="177"/>
        <v>3SI</v>
      </c>
      <c r="C2822" s="33" t="str">
        <f t="shared" si="178"/>
        <v>62502-7780</v>
      </c>
      <c r="D2822" s="64" t="s">
        <v>3513</v>
      </c>
      <c r="E2822" s="64" t="s">
        <v>3106</v>
      </c>
      <c r="F2822" s="64" t="s">
        <v>15</v>
      </c>
      <c r="G2822" s="64" t="s">
        <v>3035</v>
      </c>
      <c r="H2822" s="64" t="s">
        <v>3022</v>
      </c>
      <c r="I2822" s="64" t="s">
        <v>3036</v>
      </c>
      <c r="J2822" s="67">
        <v>0</v>
      </c>
      <c r="K2822" s="62">
        <v>9163.44</v>
      </c>
      <c r="L2822" s="33" t="e">
        <f>HLOOKUP(B2822,#REF!,1,0)</f>
        <v>#REF!</v>
      </c>
      <c r="M2822" s="33" t="str">
        <f t="shared" si="179"/>
        <v>P&amp;L</v>
      </c>
    </row>
    <row r="2823" spans="1:13" s="33" customFormat="true" ht="12.75" customHeight="true">
      <c r="A2823" s="33" t="str">
        <f t="shared" si="176"/>
        <v>3SI - Operating Expense</v>
      </c>
      <c r="B2823" s="33" t="str">
        <f t="shared" si="177"/>
        <v>3SI</v>
      </c>
      <c r="C2823" s="33" t="str">
        <f t="shared" si="178"/>
        <v>62510-0863</v>
      </c>
      <c r="D2823" s="64" t="s">
        <v>3514</v>
      </c>
      <c r="E2823" s="64" t="s">
        <v>3111</v>
      </c>
      <c r="F2823" s="64" t="s">
        <v>15</v>
      </c>
      <c r="G2823" s="64" t="s">
        <v>3035</v>
      </c>
      <c r="H2823" s="64" t="s">
        <v>3022</v>
      </c>
      <c r="I2823" s="64" t="s">
        <v>3102</v>
      </c>
      <c r="J2823" s="67">
        <v>85.03</v>
      </c>
      <c r="K2823" s="62">
        <v>802.86</v>
      </c>
      <c r="L2823" s="33" t="e">
        <f>HLOOKUP(B2823,#REF!,1,0)</f>
        <v>#REF!</v>
      </c>
      <c r="M2823" s="33" t="str">
        <f t="shared" si="179"/>
        <v>P&amp;L</v>
      </c>
    </row>
    <row r="2824" spans="1:13" s="33" customFormat="true" ht="12.75" customHeight="true">
      <c r="A2824" s="33" t="str">
        <f t="shared" si="176"/>
        <v>3SI - Operating Expense</v>
      </c>
      <c r="B2824" s="33" t="str">
        <f t="shared" si="177"/>
        <v>3SI</v>
      </c>
      <c r="C2824" s="33" t="str">
        <f t="shared" si="178"/>
        <v>62510-7466</v>
      </c>
      <c r="D2824" s="64" t="s">
        <v>3515</v>
      </c>
      <c r="E2824" s="64" t="s">
        <v>3111</v>
      </c>
      <c r="F2824" s="64" t="s">
        <v>15</v>
      </c>
      <c r="G2824" s="64" t="s">
        <v>3035</v>
      </c>
      <c r="H2824" s="64" t="s">
        <v>3022</v>
      </c>
      <c r="I2824" s="64" t="s">
        <v>3102</v>
      </c>
      <c r="J2824" s="67">
        <v>85.03</v>
      </c>
      <c r="K2824" s="62">
        <v>802.86</v>
      </c>
      <c r="L2824" s="33" t="e">
        <f>HLOOKUP(B2824,#REF!,1,0)</f>
        <v>#REF!</v>
      </c>
      <c r="M2824" s="33" t="str">
        <f t="shared" si="179"/>
        <v>P&amp;L</v>
      </c>
    </row>
    <row r="2825" spans="1:13" s="33" customFormat="true" ht="12.75" customHeight="true">
      <c r="A2825" s="33" t="str">
        <f t="shared" si="176"/>
        <v>3SI - Operating Expense</v>
      </c>
      <c r="B2825" s="33" t="str">
        <f t="shared" si="177"/>
        <v>3SI</v>
      </c>
      <c r="C2825" s="33" t="str">
        <f t="shared" si="178"/>
        <v>62510-7780</v>
      </c>
      <c r="D2825" s="64" t="s">
        <v>3516</v>
      </c>
      <c r="E2825" s="64" t="s">
        <v>3111</v>
      </c>
      <c r="F2825" s="64" t="s">
        <v>15</v>
      </c>
      <c r="G2825" s="64" t="s">
        <v>3035</v>
      </c>
      <c r="H2825" s="64" t="s">
        <v>3022</v>
      </c>
      <c r="I2825" s="64" t="s">
        <v>3102</v>
      </c>
      <c r="J2825" s="67">
        <v>85.03</v>
      </c>
      <c r="K2825" s="62">
        <v>722.83</v>
      </c>
      <c r="L2825" s="33" t="e">
        <f>HLOOKUP(B2825,#REF!,1,0)</f>
        <v>#REF!</v>
      </c>
      <c r="M2825" s="33" t="str">
        <f t="shared" si="179"/>
        <v>P&amp;L</v>
      </c>
    </row>
    <row r="2826" spans="1:13" s="33" customFormat="true" ht="12.75" customHeight="true">
      <c r="A2826" s="33" t="str">
        <f t="shared" si="176"/>
        <v>3SI - Operating Expense</v>
      </c>
      <c r="B2826" s="33" t="str">
        <f t="shared" si="177"/>
        <v>3SI</v>
      </c>
      <c r="C2826" s="33" t="str">
        <f t="shared" si="178"/>
        <v>62511-0863</v>
      </c>
      <c r="D2826" s="64" t="s">
        <v>3517</v>
      </c>
      <c r="E2826" s="64" t="s">
        <v>3116</v>
      </c>
      <c r="F2826" s="64" t="s">
        <v>15</v>
      </c>
      <c r="G2826" s="64" t="s">
        <v>3035</v>
      </c>
      <c r="H2826" s="64" t="s">
        <v>3022</v>
      </c>
      <c r="I2826" s="64" t="s">
        <v>3036</v>
      </c>
      <c r="J2826" s="67">
        <v>0</v>
      </c>
      <c r="K2826" s="62">
        <v>3616.15</v>
      </c>
      <c r="L2826" s="33" t="e">
        <f>HLOOKUP(B2826,#REF!,1,0)</f>
        <v>#REF!</v>
      </c>
      <c r="M2826" s="33" t="str">
        <f t="shared" si="179"/>
        <v>P&amp;L</v>
      </c>
    </row>
    <row r="2827" spans="1:13" s="33" customFormat="true" ht="12.75" customHeight="true">
      <c r="A2827" s="33" t="str">
        <f t="shared" si="176"/>
        <v>3SI - Operating Expense</v>
      </c>
      <c r="B2827" s="33" t="str">
        <f t="shared" si="177"/>
        <v>3SI</v>
      </c>
      <c r="C2827" s="33" t="str">
        <f t="shared" si="178"/>
        <v>62511-7466</v>
      </c>
      <c r="D2827" s="64" t="s">
        <v>3518</v>
      </c>
      <c r="E2827" s="64" t="s">
        <v>3116</v>
      </c>
      <c r="F2827" s="64" t="s">
        <v>15</v>
      </c>
      <c r="G2827" s="64" t="s">
        <v>3035</v>
      </c>
      <c r="H2827" s="64" t="s">
        <v>3022</v>
      </c>
      <c r="I2827" s="64" t="s">
        <v>3036</v>
      </c>
      <c r="J2827" s="67">
        <v>0</v>
      </c>
      <c r="K2827" s="62">
        <v>949.51</v>
      </c>
      <c r="L2827" s="33" t="e">
        <f>HLOOKUP(B2827,#REF!,1,0)</f>
        <v>#REF!</v>
      </c>
      <c r="M2827" s="33" t="str">
        <f t="shared" si="179"/>
        <v>P&amp;L</v>
      </c>
    </row>
    <row r="2828" spans="1:13" s="33" customFormat="true" ht="12.75" customHeight="true">
      <c r="A2828" s="33" t="str">
        <f t="shared" si="176"/>
        <v>3SI - Operating Expense</v>
      </c>
      <c r="B2828" s="33" t="str">
        <f t="shared" si="177"/>
        <v>3SI</v>
      </c>
      <c r="C2828" s="33" t="str">
        <f t="shared" si="178"/>
        <v>62511-7780</v>
      </c>
      <c r="D2828" s="64" t="s">
        <v>3519</v>
      </c>
      <c r="E2828" s="64" t="s">
        <v>3116</v>
      </c>
      <c r="F2828" s="64" t="s">
        <v>15</v>
      </c>
      <c r="G2828" s="64" t="s">
        <v>3035</v>
      </c>
      <c r="H2828" s="64" t="s">
        <v>3022</v>
      </c>
      <c r="I2828" s="64" t="s">
        <v>3036</v>
      </c>
      <c r="J2828" s="67">
        <v>0</v>
      </c>
      <c r="K2828" s="62">
        <v>2316.54</v>
      </c>
      <c r="L2828" s="33" t="e">
        <f>HLOOKUP(B2828,#REF!,1,0)</f>
        <v>#REF!</v>
      </c>
      <c r="M2828" s="33" t="str">
        <f t="shared" si="179"/>
        <v>P&amp;L</v>
      </c>
    </row>
    <row r="2829" spans="1:13" s="33" customFormat="true" ht="12.75" customHeight="true">
      <c r="A2829" s="33" t="str">
        <f t="shared" si="176"/>
        <v>3SI - Operating Expense</v>
      </c>
      <c r="B2829" s="33" t="str">
        <f t="shared" si="177"/>
        <v>3SI</v>
      </c>
      <c r="C2829" s="33" t="str">
        <f t="shared" si="178"/>
        <v>62512-0863</v>
      </c>
      <c r="D2829" s="64" t="s">
        <v>3520</v>
      </c>
      <c r="E2829" s="64" t="s">
        <v>3121</v>
      </c>
      <c r="F2829" s="64" t="s">
        <v>15</v>
      </c>
      <c r="G2829" s="64" t="s">
        <v>3035</v>
      </c>
      <c r="H2829" s="64" t="s">
        <v>3022</v>
      </c>
      <c r="I2829" s="64" t="s">
        <v>3102</v>
      </c>
      <c r="J2829" s="67">
        <v>0</v>
      </c>
      <c r="K2829" s="62">
        <v>50</v>
      </c>
      <c r="L2829" s="33" t="e">
        <f>HLOOKUP(B2829,#REF!,1,0)</f>
        <v>#REF!</v>
      </c>
      <c r="M2829" s="33" t="str">
        <f t="shared" si="179"/>
        <v>P&amp;L</v>
      </c>
    </row>
    <row r="2830" spans="1:13" s="33" customFormat="true" ht="12.75" customHeight="true">
      <c r="A2830" s="33" t="str">
        <f t="shared" si="176"/>
        <v>3SI - Operating Expense</v>
      </c>
      <c r="B2830" s="33" t="str">
        <f t="shared" si="177"/>
        <v>3SI</v>
      </c>
      <c r="C2830" s="33" t="str">
        <f t="shared" si="178"/>
        <v>62513-0863</v>
      </c>
      <c r="D2830" s="64" t="s">
        <v>3521</v>
      </c>
      <c r="E2830" s="64" t="s">
        <v>3124</v>
      </c>
      <c r="F2830" s="64" t="s">
        <v>15</v>
      </c>
      <c r="G2830" s="64" t="s">
        <v>3035</v>
      </c>
      <c r="H2830" s="64" t="s">
        <v>3022</v>
      </c>
      <c r="I2830" s="64" t="s">
        <v>3102</v>
      </c>
      <c r="J2830" s="67">
        <v>18.21</v>
      </c>
      <c r="K2830" s="62">
        <v>1254.07</v>
      </c>
      <c r="L2830" s="33" t="e">
        <f>HLOOKUP(B2830,#REF!,1,0)</f>
        <v>#REF!</v>
      </c>
      <c r="M2830" s="33" t="str">
        <f t="shared" si="179"/>
        <v>P&amp;L</v>
      </c>
    </row>
    <row r="2831" spans="1:13" s="33" customFormat="true" ht="12.75" customHeight="true">
      <c r="A2831" s="33" t="str">
        <f t="shared" si="176"/>
        <v>3SI - Operating Expense</v>
      </c>
      <c r="B2831" s="33" t="str">
        <f t="shared" si="177"/>
        <v>3SI</v>
      </c>
      <c r="C2831" s="33" t="str">
        <f t="shared" si="178"/>
        <v>62513-0865</v>
      </c>
      <c r="D2831" s="64" t="s">
        <v>3522</v>
      </c>
      <c r="E2831" s="64" t="s">
        <v>3124</v>
      </c>
      <c r="F2831" s="64" t="s">
        <v>15</v>
      </c>
      <c r="G2831" s="64" t="s">
        <v>3035</v>
      </c>
      <c r="H2831" s="64" t="s">
        <v>3022</v>
      </c>
      <c r="I2831" s="64" t="s">
        <v>3102</v>
      </c>
      <c r="J2831" s="67">
        <v>0</v>
      </c>
      <c r="K2831" s="62">
        <v>45.66</v>
      </c>
      <c r="L2831" s="33" t="e">
        <f>HLOOKUP(B2831,#REF!,1,0)</f>
        <v>#REF!</v>
      </c>
      <c r="M2831" s="33" t="str">
        <f t="shared" si="179"/>
        <v>P&amp;L</v>
      </c>
    </row>
    <row r="2832" spans="1:13" s="33" customFormat="true" ht="12.75" customHeight="true">
      <c r="A2832" s="33" t="str">
        <f t="shared" si="176"/>
        <v>3SI - Operating Expense</v>
      </c>
      <c r="B2832" s="33" t="str">
        <f t="shared" si="177"/>
        <v>3SI</v>
      </c>
      <c r="C2832" s="33" t="str">
        <f t="shared" si="178"/>
        <v>62513-7466</v>
      </c>
      <c r="D2832" s="64" t="s">
        <v>3523</v>
      </c>
      <c r="E2832" s="64" t="s">
        <v>3124</v>
      </c>
      <c r="F2832" s="64" t="s">
        <v>15</v>
      </c>
      <c r="G2832" s="64" t="s">
        <v>3035</v>
      </c>
      <c r="H2832" s="64" t="s">
        <v>3022</v>
      </c>
      <c r="I2832" s="64" t="s">
        <v>3102</v>
      </c>
      <c r="J2832" s="67">
        <v>18.21</v>
      </c>
      <c r="K2832" s="62">
        <v>226.36</v>
      </c>
      <c r="L2832" s="33" t="e">
        <f>HLOOKUP(B2832,#REF!,1,0)</f>
        <v>#REF!</v>
      </c>
      <c r="M2832" s="33" t="str">
        <f t="shared" si="179"/>
        <v>P&amp;L</v>
      </c>
    </row>
    <row r="2833" spans="1:13" s="33" customFormat="true" ht="12.75" customHeight="true">
      <c r="A2833" s="33" t="str">
        <f t="shared" si="176"/>
        <v>3SI - Operating Expense</v>
      </c>
      <c r="B2833" s="33" t="str">
        <f t="shared" si="177"/>
        <v>3SI</v>
      </c>
      <c r="C2833" s="33" t="str">
        <f t="shared" si="178"/>
        <v>62513-7780</v>
      </c>
      <c r="D2833" s="64" t="s">
        <v>3524</v>
      </c>
      <c r="E2833" s="64" t="s">
        <v>3124</v>
      </c>
      <c r="F2833" s="64" t="s">
        <v>15</v>
      </c>
      <c r="G2833" s="64" t="s">
        <v>3035</v>
      </c>
      <c r="H2833" s="64" t="s">
        <v>3022</v>
      </c>
      <c r="I2833" s="64" t="s">
        <v>3102</v>
      </c>
      <c r="J2833" s="67">
        <v>18.21</v>
      </c>
      <c r="K2833" s="62">
        <v>308.29</v>
      </c>
      <c r="L2833" s="33" t="e">
        <f>HLOOKUP(B2833,#REF!,1,0)</f>
        <v>#REF!</v>
      </c>
      <c r="M2833" s="33" t="str">
        <f t="shared" si="179"/>
        <v>P&amp;L</v>
      </c>
    </row>
    <row r="2834" spans="1:13" s="33" customFormat="true" ht="12.75" customHeight="true">
      <c r="A2834" s="33" t="str">
        <f t="shared" si="176"/>
        <v>3SI - Operating Expense</v>
      </c>
      <c r="B2834" s="33" t="str">
        <f t="shared" si="177"/>
        <v>3SI</v>
      </c>
      <c r="C2834" s="33" t="str">
        <f t="shared" si="178"/>
        <v>63001-0863</v>
      </c>
      <c r="D2834" s="64" t="s">
        <v>3525</v>
      </c>
      <c r="E2834" s="64" t="s">
        <v>3134</v>
      </c>
      <c r="F2834" s="64" t="s">
        <v>15</v>
      </c>
      <c r="G2834" s="64" t="s">
        <v>3035</v>
      </c>
      <c r="H2834" s="64" t="s">
        <v>3022</v>
      </c>
      <c r="I2834" s="64" t="s">
        <v>3036</v>
      </c>
      <c r="J2834" s="67">
        <v>0</v>
      </c>
      <c r="K2834" s="62">
        <v>1380</v>
      </c>
      <c r="L2834" s="33" t="e">
        <f>HLOOKUP(B2834,#REF!,1,0)</f>
        <v>#REF!</v>
      </c>
      <c r="M2834" s="33" t="str">
        <f t="shared" si="179"/>
        <v>P&amp;L</v>
      </c>
    </row>
    <row r="2835" spans="1:13" s="33" customFormat="true" ht="12.75" customHeight="true">
      <c r="A2835" s="33" t="str">
        <f t="shared" si="176"/>
        <v>3SI - Operating Expense</v>
      </c>
      <c r="B2835" s="33" t="str">
        <f t="shared" si="177"/>
        <v>3SI</v>
      </c>
      <c r="C2835" s="33" t="str">
        <f t="shared" si="178"/>
        <v>63001-7466</v>
      </c>
      <c r="D2835" s="64" t="s">
        <v>3526</v>
      </c>
      <c r="E2835" s="64" t="s">
        <v>3134</v>
      </c>
      <c r="F2835" s="64" t="s">
        <v>15</v>
      </c>
      <c r="G2835" s="64" t="s">
        <v>3035</v>
      </c>
      <c r="H2835" s="64" t="s">
        <v>3022</v>
      </c>
      <c r="I2835" s="64" t="s">
        <v>3036</v>
      </c>
      <c r="J2835" s="67">
        <v>410</v>
      </c>
      <c r="K2835" s="62">
        <v>2460</v>
      </c>
      <c r="L2835" s="33" t="e">
        <f>HLOOKUP(B2835,#REF!,1,0)</f>
        <v>#REF!</v>
      </c>
      <c r="M2835" s="33" t="str">
        <f t="shared" si="179"/>
        <v>P&amp;L</v>
      </c>
    </row>
    <row r="2836" spans="1:13" s="33" customFormat="true" ht="12.75" customHeight="true">
      <c r="A2836" s="33" t="str">
        <f t="shared" si="176"/>
        <v>3SI - Operating Expense</v>
      </c>
      <c r="B2836" s="33" t="str">
        <f t="shared" si="177"/>
        <v>3SI</v>
      </c>
      <c r="C2836" s="33" t="str">
        <f t="shared" si="178"/>
        <v>63001-7780</v>
      </c>
      <c r="D2836" s="64" t="s">
        <v>3527</v>
      </c>
      <c r="E2836" s="64" t="s">
        <v>3134</v>
      </c>
      <c r="F2836" s="64" t="s">
        <v>15</v>
      </c>
      <c r="G2836" s="64" t="s">
        <v>3035</v>
      </c>
      <c r="H2836" s="64" t="s">
        <v>3022</v>
      </c>
      <c r="I2836" s="64" t="s">
        <v>3036</v>
      </c>
      <c r="J2836" s="67">
        <v>0</v>
      </c>
      <c r="K2836" s="62">
        <v>1690</v>
      </c>
      <c r="L2836" s="33" t="e">
        <f>HLOOKUP(B2836,#REF!,1,0)</f>
        <v>#REF!</v>
      </c>
      <c r="M2836" s="33" t="str">
        <f t="shared" si="179"/>
        <v>P&amp;L</v>
      </c>
    </row>
    <row r="2837" spans="1:13" s="33" customFormat="true" ht="12.75" customHeight="true">
      <c r="A2837" s="33" t="str">
        <f t="shared" si="176"/>
        <v>3SI - Operating Expense</v>
      </c>
      <c r="B2837" s="33" t="str">
        <f t="shared" si="177"/>
        <v>3SI</v>
      </c>
      <c r="C2837" s="33" t="str">
        <f t="shared" si="178"/>
        <v>63004-0000</v>
      </c>
      <c r="D2837" s="64" t="s">
        <v>3528</v>
      </c>
      <c r="E2837" s="64" t="s">
        <v>3139</v>
      </c>
      <c r="F2837" s="64" t="s">
        <v>15</v>
      </c>
      <c r="G2837" s="64" t="s">
        <v>3035</v>
      </c>
      <c r="H2837" s="64" t="s">
        <v>3022</v>
      </c>
      <c r="I2837" s="64" t="s">
        <v>3140</v>
      </c>
      <c r="J2837" s="67">
        <v>0</v>
      </c>
      <c r="K2837" s="62">
        <v>0</v>
      </c>
      <c r="L2837" s="33" t="e">
        <f>HLOOKUP(B2837,#REF!,1,0)</f>
        <v>#REF!</v>
      </c>
      <c r="M2837" s="33" t="str">
        <f t="shared" si="179"/>
        <v>P&amp;L</v>
      </c>
    </row>
    <row r="2838" spans="1:13" s="33" customFormat="true" ht="12.75" customHeight="true">
      <c r="A2838" s="33" t="str">
        <f t="shared" si="176"/>
        <v>3SI - Operating Expense</v>
      </c>
      <c r="B2838" s="33" t="str">
        <f t="shared" si="177"/>
        <v>3SI</v>
      </c>
      <c r="C2838" s="33" t="str">
        <f t="shared" si="178"/>
        <v>63004-0863</v>
      </c>
      <c r="D2838" s="64" t="s">
        <v>3529</v>
      </c>
      <c r="E2838" s="64" t="s">
        <v>3139</v>
      </c>
      <c r="F2838" s="64" t="s">
        <v>15</v>
      </c>
      <c r="G2838" s="64" t="s">
        <v>3035</v>
      </c>
      <c r="H2838" s="64" t="s">
        <v>3022</v>
      </c>
      <c r="I2838" s="64" t="s">
        <v>3140</v>
      </c>
      <c r="J2838" s="67">
        <v>150</v>
      </c>
      <c r="K2838" s="62">
        <v>775</v>
      </c>
      <c r="L2838" s="33" t="e">
        <f>HLOOKUP(B2838,#REF!,1,0)</f>
        <v>#REF!</v>
      </c>
      <c r="M2838" s="33" t="str">
        <f t="shared" si="179"/>
        <v>P&amp;L</v>
      </c>
    </row>
    <row r="2839" spans="1:13" s="33" customFormat="true" ht="12.75" customHeight="true">
      <c r="A2839" s="33" t="str">
        <f t="shared" si="176"/>
        <v>3SI - Operating Expense</v>
      </c>
      <c r="B2839" s="33" t="str">
        <f t="shared" si="177"/>
        <v>3SI</v>
      </c>
      <c r="C2839" s="33" t="str">
        <f t="shared" si="178"/>
        <v>63004-7466</v>
      </c>
      <c r="D2839" s="64" t="s">
        <v>3530</v>
      </c>
      <c r="E2839" s="64" t="s">
        <v>3139</v>
      </c>
      <c r="F2839" s="64" t="s">
        <v>15</v>
      </c>
      <c r="G2839" s="64" t="s">
        <v>3035</v>
      </c>
      <c r="H2839" s="64" t="s">
        <v>3022</v>
      </c>
      <c r="I2839" s="64" t="s">
        <v>3140</v>
      </c>
      <c r="J2839" s="67">
        <v>150</v>
      </c>
      <c r="K2839" s="62">
        <v>1500</v>
      </c>
      <c r="L2839" s="33" t="e">
        <f>HLOOKUP(B2839,#REF!,1,0)</f>
        <v>#REF!</v>
      </c>
      <c r="M2839" s="33" t="str">
        <f t="shared" si="179"/>
        <v>P&amp;L</v>
      </c>
    </row>
    <row r="2840" spans="1:13" s="33" customFormat="true" ht="12.75" customHeight="true">
      <c r="A2840" s="33" t="str">
        <f t="shared" si="176"/>
        <v>3SI - Operating Expense</v>
      </c>
      <c r="B2840" s="33" t="str">
        <f t="shared" si="177"/>
        <v>3SI</v>
      </c>
      <c r="C2840" s="33" t="str">
        <f t="shared" si="178"/>
        <v>63004-7780</v>
      </c>
      <c r="D2840" s="64" t="s">
        <v>3531</v>
      </c>
      <c r="E2840" s="64" t="s">
        <v>3139</v>
      </c>
      <c r="F2840" s="64" t="s">
        <v>15</v>
      </c>
      <c r="G2840" s="64" t="s">
        <v>3035</v>
      </c>
      <c r="H2840" s="64" t="s">
        <v>3022</v>
      </c>
      <c r="I2840" s="64" t="s">
        <v>3140</v>
      </c>
      <c r="J2840" s="67">
        <v>240</v>
      </c>
      <c r="K2840" s="62">
        <v>2400</v>
      </c>
      <c r="L2840" s="33" t="e">
        <f>HLOOKUP(B2840,#REF!,1,0)</f>
        <v>#REF!</v>
      </c>
      <c r="M2840" s="33" t="str">
        <f t="shared" si="179"/>
        <v>P&amp;L</v>
      </c>
    </row>
    <row r="2841" spans="1:13" s="33" customFormat="true" ht="12.75" customHeight="true">
      <c r="A2841" s="33" t="str">
        <f t="shared" si="176"/>
        <v>3SI - Operating Expense</v>
      </c>
      <c r="B2841" s="33" t="str">
        <f t="shared" si="177"/>
        <v>3SI</v>
      </c>
      <c r="C2841" s="33" t="str">
        <f t="shared" si="178"/>
        <v>63006-0863</v>
      </c>
      <c r="D2841" s="64" t="s">
        <v>3532</v>
      </c>
      <c r="E2841" s="64" t="s">
        <v>3146</v>
      </c>
      <c r="F2841" s="64" t="s">
        <v>15</v>
      </c>
      <c r="G2841" s="64" t="s">
        <v>3035</v>
      </c>
      <c r="H2841" s="64" t="s">
        <v>3022</v>
      </c>
      <c r="I2841" s="64" t="s">
        <v>3036</v>
      </c>
      <c r="J2841" s="67">
        <v>322.5</v>
      </c>
      <c r="K2841" s="62">
        <v>967.5</v>
      </c>
      <c r="L2841" s="33" t="e">
        <f>HLOOKUP(B2841,#REF!,1,0)</f>
        <v>#REF!</v>
      </c>
      <c r="M2841" s="33" t="str">
        <f t="shared" si="179"/>
        <v>P&amp;L</v>
      </c>
    </row>
    <row r="2842" spans="1:13" s="33" customFormat="true" ht="12.75" customHeight="true">
      <c r="A2842" s="33" t="str">
        <f t="shared" si="176"/>
        <v>3SI - Operating Expense</v>
      </c>
      <c r="B2842" s="33" t="str">
        <f t="shared" si="177"/>
        <v>3SI</v>
      </c>
      <c r="C2842" s="33" t="str">
        <f t="shared" si="178"/>
        <v>63006-7466</v>
      </c>
      <c r="D2842" s="64" t="s">
        <v>3533</v>
      </c>
      <c r="E2842" s="64" t="s">
        <v>3146</v>
      </c>
      <c r="F2842" s="64" t="s">
        <v>15</v>
      </c>
      <c r="G2842" s="64" t="s">
        <v>3035</v>
      </c>
      <c r="H2842" s="64" t="s">
        <v>3022</v>
      </c>
      <c r="I2842" s="64" t="s">
        <v>3036</v>
      </c>
      <c r="J2842" s="67">
        <v>0</v>
      </c>
      <c r="K2842" s="62">
        <v>645</v>
      </c>
      <c r="L2842" s="33" t="e">
        <f>HLOOKUP(B2842,#REF!,1,0)</f>
        <v>#REF!</v>
      </c>
      <c r="M2842" s="33" t="str">
        <f t="shared" si="179"/>
        <v>P&amp;L</v>
      </c>
    </row>
    <row r="2843" spans="1:13" s="33" customFormat="true" ht="12.75" customHeight="true">
      <c r="A2843" s="33" t="str">
        <f t="shared" si="176"/>
        <v>3SI - Operating Expense</v>
      </c>
      <c r="B2843" s="33" t="str">
        <f t="shared" si="177"/>
        <v>3SI</v>
      </c>
      <c r="C2843" s="33" t="str">
        <f t="shared" si="178"/>
        <v>63006-7780</v>
      </c>
      <c r="D2843" s="64" t="s">
        <v>3534</v>
      </c>
      <c r="E2843" s="64" t="s">
        <v>3146</v>
      </c>
      <c r="F2843" s="64" t="s">
        <v>15</v>
      </c>
      <c r="G2843" s="64" t="s">
        <v>3035</v>
      </c>
      <c r="H2843" s="64" t="s">
        <v>3022</v>
      </c>
      <c r="I2843" s="64" t="s">
        <v>3036</v>
      </c>
      <c r="J2843" s="67">
        <v>0</v>
      </c>
      <c r="K2843" s="62">
        <v>645</v>
      </c>
      <c r="L2843" s="33" t="e">
        <f>HLOOKUP(B2843,#REF!,1,0)</f>
        <v>#REF!</v>
      </c>
      <c r="M2843" s="33" t="str">
        <f t="shared" si="179"/>
        <v>P&amp;L</v>
      </c>
    </row>
    <row r="2844" spans="1:13" s="33" customFormat="true" ht="12.75" customHeight="true">
      <c r="A2844" s="33" t="str">
        <f t="shared" si="176"/>
        <v>3SI - Operating Expense</v>
      </c>
      <c r="B2844" s="33" t="str">
        <f t="shared" si="177"/>
        <v>3SI</v>
      </c>
      <c r="C2844" s="33" t="str">
        <f t="shared" si="178"/>
        <v>63007-0863</v>
      </c>
      <c r="D2844" s="64" t="s">
        <v>3535</v>
      </c>
      <c r="E2844" s="64" t="s">
        <v>3151</v>
      </c>
      <c r="F2844" s="64" t="s">
        <v>15</v>
      </c>
      <c r="G2844" s="64" t="s">
        <v>3035</v>
      </c>
      <c r="H2844" s="64" t="s">
        <v>3022</v>
      </c>
      <c r="I2844" s="64" t="s">
        <v>3140</v>
      </c>
      <c r="J2844" s="67">
        <v>0</v>
      </c>
      <c r="K2844" s="62">
        <v>33.78</v>
      </c>
      <c r="L2844" s="33" t="e">
        <f>HLOOKUP(B2844,#REF!,1,0)</f>
        <v>#REF!</v>
      </c>
      <c r="M2844" s="33" t="str">
        <f t="shared" si="179"/>
        <v>P&amp;L</v>
      </c>
    </row>
    <row r="2845" spans="1:13" s="33" customFormat="true" ht="12.75" customHeight="true">
      <c r="A2845" s="33" t="str">
        <f t="shared" si="176"/>
        <v>3SI - Operating Expense</v>
      </c>
      <c r="B2845" s="33" t="str">
        <f t="shared" si="177"/>
        <v>3SI</v>
      </c>
      <c r="C2845" s="33" t="str">
        <f t="shared" si="178"/>
        <v>63009-0865</v>
      </c>
      <c r="D2845" s="64" t="s">
        <v>3536</v>
      </c>
      <c r="E2845" s="64" t="s">
        <v>3155</v>
      </c>
      <c r="F2845" s="64" t="s">
        <v>15</v>
      </c>
      <c r="G2845" s="64" t="s">
        <v>3035</v>
      </c>
      <c r="H2845" s="64" t="s">
        <v>3022</v>
      </c>
      <c r="I2845" s="64" t="s">
        <v>3140</v>
      </c>
      <c r="J2845" s="67">
        <v>0</v>
      </c>
      <c r="K2845" s="62">
        <v>2548.49</v>
      </c>
      <c r="L2845" s="33" t="e">
        <f>HLOOKUP(B2845,#REF!,1,0)</f>
        <v>#REF!</v>
      </c>
      <c r="M2845" s="33" t="str">
        <f t="shared" si="179"/>
        <v>P&amp;L</v>
      </c>
    </row>
    <row r="2846" spans="1:13" s="33" customFormat="true" ht="12.75" customHeight="true">
      <c r="A2846" s="33" t="str">
        <f t="shared" si="176"/>
        <v>3SI - Operating Expense</v>
      </c>
      <c r="B2846" s="33" t="str">
        <f t="shared" si="177"/>
        <v>3SI</v>
      </c>
      <c r="C2846" s="33" t="str">
        <f t="shared" si="178"/>
        <v>63501-0000</v>
      </c>
      <c r="D2846" s="64" t="s">
        <v>3537</v>
      </c>
      <c r="E2846" s="64" t="s">
        <v>3159</v>
      </c>
      <c r="F2846" s="64" t="s">
        <v>15</v>
      </c>
      <c r="G2846" s="64" t="s">
        <v>3160</v>
      </c>
      <c r="H2846" s="64" t="s">
        <v>3022</v>
      </c>
      <c r="I2846" s="64" t="s">
        <v>3161</v>
      </c>
      <c r="J2846" s="67">
        <v>70.5</v>
      </c>
      <c r="K2846" s="62">
        <v>156.34</v>
      </c>
      <c r="L2846" s="33" t="e">
        <f>HLOOKUP(B2846,#REF!,1,0)</f>
        <v>#REF!</v>
      </c>
      <c r="M2846" s="33" t="str">
        <f t="shared" si="179"/>
        <v>P&amp;L</v>
      </c>
    </row>
    <row r="2847" spans="1:13" s="33" customFormat="true" ht="12.75" customHeight="true">
      <c r="A2847" s="33" t="str">
        <f t="shared" si="176"/>
        <v>3SI - Operating Expense</v>
      </c>
      <c r="B2847" s="33" t="str">
        <f t="shared" si="177"/>
        <v>3SI</v>
      </c>
      <c r="C2847" s="33" t="str">
        <f t="shared" si="178"/>
        <v>63501-0863</v>
      </c>
      <c r="D2847" s="64" t="s">
        <v>3538</v>
      </c>
      <c r="E2847" s="64" t="s">
        <v>3159</v>
      </c>
      <c r="F2847" s="64" t="s">
        <v>15</v>
      </c>
      <c r="G2847" s="64" t="s">
        <v>3160</v>
      </c>
      <c r="H2847" s="64" t="s">
        <v>3022</v>
      </c>
      <c r="I2847" s="64" t="s">
        <v>3161</v>
      </c>
      <c r="J2847" s="67">
        <v>73.53</v>
      </c>
      <c r="K2847" s="62">
        <v>1450.11</v>
      </c>
      <c r="L2847" s="33" t="e">
        <f>HLOOKUP(B2847,#REF!,1,0)</f>
        <v>#REF!</v>
      </c>
      <c r="M2847" s="33" t="str">
        <f t="shared" si="179"/>
        <v>P&amp;L</v>
      </c>
    </row>
    <row r="2848" spans="1:13" s="33" customFormat="true" ht="12.75" customHeight="true">
      <c r="A2848" s="33" t="str">
        <f t="shared" si="176"/>
        <v>3SI - Operating Expense</v>
      </c>
      <c r="B2848" s="33" t="str">
        <f t="shared" si="177"/>
        <v>3SI</v>
      </c>
      <c r="C2848" s="33" t="str">
        <f t="shared" si="178"/>
        <v>63501-0865</v>
      </c>
      <c r="D2848" s="64" t="s">
        <v>3539</v>
      </c>
      <c r="E2848" s="64" t="s">
        <v>3159</v>
      </c>
      <c r="F2848" s="64" t="s">
        <v>15</v>
      </c>
      <c r="G2848" s="64" t="s">
        <v>3160</v>
      </c>
      <c r="H2848" s="64" t="s">
        <v>3022</v>
      </c>
      <c r="I2848" s="64" t="s">
        <v>3161</v>
      </c>
      <c r="J2848" s="67">
        <v>0</v>
      </c>
      <c r="K2848" s="62">
        <v>169.84</v>
      </c>
      <c r="L2848" s="33" t="e">
        <f>HLOOKUP(B2848,#REF!,1,0)</f>
        <v>#REF!</v>
      </c>
      <c r="M2848" s="33" t="str">
        <f t="shared" si="179"/>
        <v>P&amp;L</v>
      </c>
    </row>
    <row r="2849" spans="1:13" s="33" customFormat="true" ht="12.75" customHeight="true">
      <c r="A2849" s="33" t="str">
        <f t="shared" si="176"/>
        <v>3SI - Operating Expense</v>
      </c>
      <c r="B2849" s="33" t="str">
        <f t="shared" si="177"/>
        <v>3SI</v>
      </c>
      <c r="C2849" s="33" t="str">
        <f t="shared" si="178"/>
        <v>63501-7466</v>
      </c>
      <c r="D2849" s="64" t="s">
        <v>3540</v>
      </c>
      <c r="E2849" s="64" t="s">
        <v>3159</v>
      </c>
      <c r="F2849" s="64" t="s">
        <v>15</v>
      </c>
      <c r="G2849" s="64" t="s">
        <v>3160</v>
      </c>
      <c r="H2849" s="64" t="s">
        <v>3022</v>
      </c>
      <c r="I2849" s="64" t="s">
        <v>3161</v>
      </c>
      <c r="J2849" s="67">
        <v>148.43</v>
      </c>
      <c r="K2849" s="62">
        <v>1575.51</v>
      </c>
      <c r="L2849" s="33" t="e">
        <f>HLOOKUP(B2849,#REF!,1,0)</f>
        <v>#REF!</v>
      </c>
      <c r="M2849" s="33" t="str">
        <f t="shared" si="179"/>
        <v>P&amp;L</v>
      </c>
    </row>
    <row r="2850" spans="1:13" s="33" customFormat="true" ht="12.75" customHeight="true">
      <c r="A2850" s="33" t="str">
        <f t="shared" si="176"/>
        <v>3SI - Operating Expense</v>
      </c>
      <c r="B2850" s="33" t="str">
        <f t="shared" si="177"/>
        <v>3SI</v>
      </c>
      <c r="C2850" s="33" t="str">
        <f t="shared" si="178"/>
        <v>63501-7780</v>
      </c>
      <c r="D2850" s="64" t="s">
        <v>3541</v>
      </c>
      <c r="E2850" s="64" t="s">
        <v>3159</v>
      </c>
      <c r="F2850" s="64" t="s">
        <v>15</v>
      </c>
      <c r="G2850" s="64" t="s">
        <v>3160</v>
      </c>
      <c r="H2850" s="64" t="s">
        <v>3022</v>
      </c>
      <c r="I2850" s="64" t="s">
        <v>3161</v>
      </c>
      <c r="J2850" s="67">
        <v>80.82</v>
      </c>
      <c r="K2850" s="62">
        <v>1239.96</v>
      </c>
      <c r="L2850" s="33" t="e">
        <f>HLOOKUP(B2850,#REF!,1,0)</f>
        <v>#REF!</v>
      </c>
      <c r="M2850" s="33" t="str">
        <f t="shared" si="179"/>
        <v>P&amp;L</v>
      </c>
    </row>
    <row r="2851" spans="1:13" s="33" customFormat="true" ht="12.75" customHeight="true">
      <c r="A2851" s="33" t="str">
        <f t="shared" si="176"/>
        <v>3SI - Operating Expense</v>
      </c>
      <c r="B2851" s="33" t="str">
        <f t="shared" si="177"/>
        <v>3SI</v>
      </c>
      <c r="C2851" s="33" t="str">
        <f t="shared" si="178"/>
        <v>63502-0863</v>
      </c>
      <c r="D2851" s="64" t="s">
        <v>3542</v>
      </c>
      <c r="E2851" s="64" t="s">
        <v>3167</v>
      </c>
      <c r="F2851" s="64" t="s">
        <v>15</v>
      </c>
      <c r="G2851" s="64" t="s">
        <v>3160</v>
      </c>
      <c r="H2851" s="64" t="s">
        <v>3022</v>
      </c>
      <c r="I2851" s="64" t="s">
        <v>3168</v>
      </c>
      <c r="J2851" s="67">
        <v>2767.15</v>
      </c>
      <c r="K2851" s="62">
        <v>22763.04</v>
      </c>
      <c r="L2851" s="33" t="e">
        <f>HLOOKUP(B2851,#REF!,1,0)</f>
        <v>#REF!</v>
      </c>
      <c r="M2851" s="33" t="str">
        <f t="shared" si="179"/>
        <v>P&amp;L</v>
      </c>
    </row>
    <row r="2852" spans="1:13" s="33" customFormat="true" ht="12.75" customHeight="true">
      <c r="A2852" s="33" t="str">
        <f t="shared" si="176"/>
        <v>3SI - Operating Expense</v>
      </c>
      <c r="B2852" s="33" t="str">
        <f t="shared" si="177"/>
        <v>3SI</v>
      </c>
      <c r="C2852" s="33" t="str">
        <f t="shared" si="178"/>
        <v>63502-0865</v>
      </c>
      <c r="D2852" s="64" t="s">
        <v>3543</v>
      </c>
      <c r="E2852" s="64" t="s">
        <v>3167</v>
      </c>
      <c r="F2852" s="64" t="s">
        <v>15</v>
      </c>
      <c r="G2852" s="64" t="s">
        <v>3160</v>
      </c>
      <c r="H2852" s="64" t="s">
        <v>3022</v>
      </c>
      <c r="I2852" s="64" t="s">
        <v>3168</v>
      </c>
      <c r="J2852" s="67">
        <v>0</v>
      </c>
      <c r="K2852" s="62">
        <v>1077.82</v>
      </c>
      <c r="L2852" s="33" t="e">
        <f>HLOOKUP(B2852,#REF!,1,0)</f>
        <v>#REF!</v>
      </c>
      <c r="M2852" s="33" t="str">
        <f t="shared" si="179"/>
        <v>P&amp;L</v>
      </c>
    </row>
    <row r="2853" spans="1:13" s="33" customFormat="true" ht="12.75" customHeight="true">
      <c r="A2853" s="33" t="str">
        <f t="shared" si="176"/>
        <v>3SI - Operating Expense</v>
      </c>
      <c r="B2853" s="33" t="str">
        <f t="shared" si="177"/>
        <v>3SI</v>
      </c>
      <c r="C2853" s="33" t="str">
        <f t="shared" si="178"/>
        <v>63502-7466</v>
      </c>
      <c r="D2853" s="64" t="s">
        <v>3544</v>
      </c>
      <c r="E2853" s="64" t="s">
        <v>3167</v>
      </c>
      <c r="F2853" s="64" t="s">
        <v>15</v>
      </c>
      <c r="G2853" s="64" t="s">
        <v>3160</v>
      </c>
      <c r="H2853" s="64" t="s">
        <v>3022</v>
      </c>
      <c r="I2853" s="64" t="s">
        <v>3168</v>
      </c>
      <c r="J2853" s="67">
        <v>4434.81</v>
      </c>
      <c r="K2853" s="62">
        <v>31001.51</v>
      </c>
      <c r="L2853" s="33" t="e">
        <f>HLOOKUP(B2853,#REF!,1,0)</f>
        <v>#REF!</v>
      </c>
      <c r="M2853" s="33" t="str">
        <f t="shared" si="179"/>
        <v>P&amp;L</v>
      </c>
    </row>
    <row r="2854" spans="1:13" s="33" customFormat="true" ht="12.75" customHeight="true">
      <c r="A2854" s="33" t="str">
        <f t="shared" si="176"/>
        <v>3SI - Operating Expense</v>
      </c>
      <c r="B2854" s="33" t="str">
        <f t="shared" si="177"/>
        <v>3SI</v>
      </c>
      <c r="C2854" s="33" t="str">
        <f t="shared" si="178"/>
        <v>63502-7780</v>
      </c>
      <c r="D2854" s="64" t="s">
        <v>3545</v>
      </c>
      <c r="E2854" s="64" t="s">
        <v>3167</v>
      </c>
      <c r="F2854" s="64" t="s">
        <v>15</v>
      </c>
      <c r="G2854" s="64" t="s">
        <v>3160</v>
      </c>
      <c r="H2854" s="64" t="s">
        <v>3022</v>
      </c>
      <c r="I2854" s="64" t="s">
        <v>3168</v>
      </c>
      <c r="J2854" s="67">
        <v>5364.97</v>
      </c>
      <c r="K2854" s="62">
        <v>41617.66</v>
      </c>
      <c r="L2854" s="33" t="e">
        <f>HLOOKUP(B2854,#REF!,1,0)</f>
        <v>#REF!</v>
      </c>
      <c r="M2854" s="33" t="str">
        <f t="shared" si="179"/>
        <v>P&amp;L</v>
      </c>
    </row>
    <row r="2855" spans="1:13" s="33" customFormat="true" ht="12.75" customHeight="true">
      <c r="A2855" s="33" t="str">
        <f t="shared" si="176"/>
        <v>3SI - Operating Expense</v>
      </c>
      <c r="B2855" s="33" t="str">
        <f t="shared" si="177"/>
        <v>3SI</v>
      </c>
      <c r="C2855" s="33" t="str">
        <f t="shared" si="178"/>
        <v>63503-0863</v>
      </c>
      <c r="D2855" s="64" t="s">
        <v>3546</v>
      </c>
      <c r="E2855" s="64" t="s">
        <v>3174</v>
      </c>
      <c r="F2855" s="64" t="s">
        <v>15</v>
      </c>
      <c r="G2855" s="64" t="s">
        <v>3160</v>
      </c>
      <c r="H2855" s="64" t="s">
        <v>3022</v>
      </c>
      <c r="I2855" s="64" t="s">
        <v>3175</v>
      </c>
      <c r="J2855" s="67">
        <v>952.31</v>
      </c>
      <c r="K2855" s="62">
        <v>10395.66</v>
      </c>
      <c r="L2855" s="33" t="e">
        <f>HLOOKUP(B2855,#REF!,1,0)</f>
        <v>#REF!</v>
      </c>
      <c r="M2855" s="33" t="str">
        <f t="shared" si="179"/>
        <v>P&amp;L</v>
      </c>
    </row>
    <row r="2856" spans="1:13" s="33" customFormat="true" ht="12.75" customHeight="true">
      <c r="A2856" s="33" t="str">
        <f t="shared" si="176"/>
        <v>3SI - Operating Expense</v>
      </c>
      <c r="B2856" s="33" t="str">
        <f t="shared" si="177"/>
        <v>3SI</v>
      </c>
      <c r="C2856" s="33" t="str">
        <f t="shared" si="178"/>
        <v>63503-0865</v>
      </c>
      <c r="D2856" s="64" t="s">
        <v>3547</v>
      </c>
      <c r="E2856" s="64" t="s">
        <v>3174</v>
      </c>
      <c r="F2856" s="64" t="s">
        <v>15</v>
      </c>
      <c r="G2856" s="64" t="s">
        <v>3160</v>
      </c>
      <c r="H2856" s="64" t="s">
        <v>3022</v>
      </c>
      <c r="I2856" s="64" t="s">
        <v>3175</v>
      </c>
      <c r="J2856" s="67">
        <v>0</v>
      </c>
      <c r="K2856" s="62">
        <v>186.95</v>
      </c>
      <c r="L2856" s="33" t="e">
        <f>HLOOKUP(B2856,#REF!,1,0)</f>
        <v>#REF!</v>
      </c>
      <c r="M2856" s="33" t="str">
        <f t="shared" si="179"/>
        <v>P&amp;L</v>
      </c>
    </row>
    <row r="2857" spans="1:13" s="33" customFormat="true" ht="12.75" customHeight="true">
      <c r="A2857" s="33" t="str">
        <f t="shared" si="176"/>
        <v>3SI - Operating Expense</v>
      </c>
      <c r="B2857" s="33" t="str">
        <f t="shared" si="177"/>
        <v>3SI</v>
      </c>
      <c r="C2857" s="33" t="str">
        <f t="shared" si="178"/>
        <v>63503-7466</v>
      </c>
      <c r="D2857" s="64" t="s">
        <v>3548</v>
      </c>
      <c r="E2857" s="64" t="s">
        <v>3174</v>
      </c>
      <c r="F2857" s="64" t="s">
        <v>15</v>
      </c>
      <c r="G2857" s="64" t="s">
        <v>3160</v>
      </c>
      <c r="H2857" s="64" t="s">
        <v>3022</v>
      </c>
      <c r="I2857" s="64" t="s">
        <v>3175</v>
      </c>
      <c r="J2857" s="67">
        <v>1281.02</v>
      </c>
      <c r="K2857" s="62">
        <v>12901.62</v>
      </c>
      <c r="L2857" s="33" t="e">
        <f>HLOOKUP(B2857,#REF!,1,0)</f>
        <v>#REF!</v>
      </c>
      <c r="M2857" s="33" t="str">
        <f t="shared" si="179"/>
        <v>P&amp;L</v>
      </c>
    </row>
    <row r="2858" spans="1:13" s="33" customFormat="true" ht="12.75" customHeight="true">
      <c r="A2858" s="33" t="str">
        <f t="shared" si="176"/>
        <v>3SI - Operating Expense</v>
      </c>
      <c r="B2858" s="33" t="str">
        <f t="shared" si="177"/>
        <v>3SI</v>
      </c>
      <c r="C2858" s="33" t="str">
        <f t="shared" si="178"/>
        <v>63503-7780</v>
      </c>
      <c r="D2858" s="64" t="s">
        <v>3549</v>
      </c>
      <c r="E2858" s="64" t="s">
        <v>3174</v>
      </c>
      <c r="F2858" s="64" t="s">
        <v>15</v>
      </c>
      <c r="G2858" s="64" t="s">
        <v>3160</v>
      </c>
      <c r="H2858" s="64" t="s">
        <v>3022</v>
      </c>
      <c r="I2858" s="64" t="s">
        <v>3175</v>
      </c>
      <c r="J2858" s="67">
        <v>3379.38</v>
      </c>
      <c r="K2858" s="62">
        <v>37416.76</v>
      </c>
      <c r="L2858" s="33" t="e">
        <f>HLOOKUP(B2858,#REF!,1,0)</f>
        <v>#REF!</v>
      </c>
      <c r="M2858" s="33" t="str">
        <f t="shared" si="179"/>
        <v>P&amp;L</v>
      </c>
    </row>
    <row r="2859" spans="1:13" s="33" customFormat="true" ht="12.75" customHeight="true">
      <c r="A2859" s="33" t="str">
        <f t="shared" si="176"/>
        <v>3SI - Operating Expense</v>
      </c>
      <c r="B2859" s="33" t="str">
        <f t="shared" si="177"/>
        <v>3SI</v>
      </c>
      <c r="C2859" s="33" t="str">
        <f t="shared" si="178"/>
        <v>63504-0000</v>
      </c>
      <c r="D2859" s="64" t="s">
        <v>3550</v>
      </c>
      <c r="E2859" s="64" t="s">
        <v>3181</v>
      </c>
      <c r="F2859" s="64" t="s">
        <v>15</v>
      </c>
      <c r="G2859" s="64" t="s">
        <v>3160</v>
      </c>
      <c r="H2859" s="64" t="s">
        <v>3022</v>
      </c>
      <c r="I2859" s="64" t="s">
        <v>3182</v>
      </c>
      <c r="J2859" s="67">
        <v>0</v>
      </c>
      <c r="K2859" s="62">
        <v>0</v>
      </c>
      <c r="L2859" s="33" t="e">
        <f>HLOOKUP(B2859,#REF!,1,0)</f>
        <v>#REF!</v>
      </c>
      <c r="M2859" s="33" t="str">
        <f t="shared" si="179"/>
        <v>P&amp;L</v>
      </c>
    </row>
    <row r="2860" spans="1:13" s="33" customFormat="true" ht="12.75" customHeight="true">
      <c r="A2860" s="33" t="str">
        <f t="shared" si="176"/>
        <v>3SI - Operating Expense</v>
      </c>
      <c r="B2860" s="33" t="str">
        <f t="shared" si="177"/>
        <v>3SI</v>
      </c>
      <c r="C2860" s="33" t="str">
        <f t="shared" si="178"/>
        <v>63504-0863</v>
      </c>
      <c r="D2860" s="64" t="s">
        <v>3551</v>
      </c>
      <c r="E2860" s="64" t="s">
        <v>3181</v>
      </c>
      <c r="F2860" s="64" t="s">
        <v>15</v>
      </c>
      <c r="G2860" s="64" t="s">
        <v>3160</v>
      </c>
      <c r="H2860" s="64" t="s">
        <v>3022</v>
      </c>
      <c r="I2860" s="64" t="s">
        <v>3182</v>
      </c>
      <c r="J2860" s="67">
        <v>827.73</v>
      </c>
      <c r="K2860" s="62">
        <v>8111.26</v>
      </c>
      <c r="L2860" s="33" t="e">
        <f>HLOOKUP(B2860,#REF!,1,0)</f>
        <v>#REF!</v>
      </c>
      <c r="M2860" s="33" t="str">
        <f t="shared" si="179"/>
        <v>P&amp;L</v>
      </c>
    </row>
    <row r="2861" spans="1:13" s="33" customFormat="true" ht="12.75" customHeight="true">
      <c r="A2861" s="33" t="str">
        <f t="shared" si="176"/>
        <v>3SI - Operating Expense</v>
      </c>
      <c r="B2861" s="33" t="str">
        <f t="shared" si="177"/>
        <v>3SI</v>
      </c>
      <c r="C2861" s="33" t="str">
        <f t="shared" si="178"/>
        <v>63504-0865</v>
      </c>
      <c r="D2861" s="64" t="s">
        <v>3552</v>
      </c>
      <c r="E2861" s="64" t="s">
        <v>3181</v>
      </c>
      <c r="F2861" s="64" t="s">
        <v>15</v>
      </c>
      <c r="G2861" s="64" t="s">
        <v>3160</v>
      </c>
      <c r="H2861" s="64" t="s">
        <v>3022</v>
      </c>
      <c r="I2861" s="64" t="s">
        <v>3182</v>
      </c>
      <c r="J2861" s="67">
        <v>0</v>
      </c>
      <c r="K2861" s="62">
        <v>892.47</v>
      </c>
      <c r="L2861" s="33" t="e">
        <f>HLOOKUP(B2861,#REF!,1,0)</f>
        <v>#REF!</v>
      </c>
      <c r="M2861" s="33" t="str">
        <f t="shared" si="179"/>
        <v>P&amp;L</v>
      </c>
    </row>
    <row r="2862" spans="1:13" s="33" customFormat="true" ht="12.75" customHeight="true">
      <c r="A2862" s="33" t="str">
        <f t="shared" si="176"/>
        <v>3SI - Operating Expense</v>
      </c>
      <c r="B2862" s="33" t="str">
        <f t="shared" si="177"/>
        <v>3SI</v>
      </c>
      <c r="C2862" s="33" t="str">
        <f t="shared" si="178"/>
        <v>63504-7466</v>
      </c>
      <c r="D2862" s="64" t="s">
        <v>3553</v>
      </c>
      <c r="E2862" s="64" t="s">
        <v>3181</v>
      </c>
      <c r="F2862" s="64" t="s">
        <v>15</v>
      </c>
      <c r="G2862" s="64" t="s">
        <v>3160</v>
      </c>
      <c r="H2862" s="64" t="s">
        <v>3022</v>
      </c>
      <c r="I2862" s="64" t="s">
        <v>3182</v>
      </c>
      <c r="J2862" s="67">
        <v>277.4</v>
      </c>
      <c r="K2862" s="62">
        <v>3154.92</v>
      </c>
      <c r="L2862" s="33" t="e">
        <f>HLOOKUP(B2862,#REF!,1,0)</f>
        <v>#REF!</v>
      </c>
      <c r="M2862" s="33" t="str">
        <f t="shared" si="179"/>
        <v>P&amp;L</v>
      </c>
    </row>
    <row r="2863" spans="1:13" s="33" customFormat="true" ht="12.75" customHeight="true">
      <c r="A2863" s="33" t="str">
        <f t="shared" si="176"/>
        <v>3SI - Operating Expense</v>
      </c>
      <c r="B2863" s="33" t="str">
        <f t="shared" si="177"/>
        <v>3SI</v>
      </c>
      <c r="C2863" s="33" t="str">
        <f t="shared" si="178"/>
        <v>63504-7780</v>
      </c>
      <c r="D2863" s="64" t="s">
        <v>3554</v>
      </c>
      <c r="E2863" s="64" t="s">
        <v>3181</v>
      </c>
      <c r="F2863" s="64" t="s">
        <v>15</v>
      </c>
      <c r="G2863" s="64" t="s">
        <v>3160</v>
      </c>
      <c r="H2863" s="64" t="s">
        <v>3022</v>
      </c>
      <c r="I2863" s="64" t="s">
        <v>3182</v>
      </c>
      <c r="J2863" s="67">
        <v>530.74</v>
      </c>
      <c r="K2863" s="62">
        <v>5433.02</v>
      </c>
      <c r="L2863" s="33" t="e">
        <f>HLOOKUP(B2863,#REF!,1,0)</f>
        <v>#REF!</v>
      </c>
      <c r="M2863" s="33" t="str">
        <f t="shared" si="179"/>
        <v>P&amp;L</v>
      </c>
    </row>
    <row r="2864" spans="1:13" s="33" customFormat="true" ht="12.75" customHeight="true">
      <c r="A2864" s="33" t="str">
        <f t="shared" si="176"/>
        <v>3SI - Operating Expense</v>
      </c>
      <c r="B2864" s="33" t="str">
        <f t="shared" si="177"/>
        <v>3SI</v>
      </c>
      <c r="C2864" s="33" t="str">
        <f t="shared" si="178"/>
        <v>64501-0863</v>
      </c>
      <c r="D2864" s="64" t="s">
        <v>3555</v>
      </c>
      <c r="E2864" s="64" t="s">
        <v>3188</v>
      </c>
      <c r="F2864" s="64" t="s">
        <v>15</v>
      </c>
      <c r="G2864" s="64" t="s">
        <v>3044</v>
      </c>
      <c r="H2864" s="64" t="s">
        <v>3022</v>
      </c>
      <c r="I2864" s="64" t="s">
        <v>3189</v>
      </c>
      <c r="J2864" s="67">
        <v>1595.59</v>
      </c>
      <c r="K2864" s="62">
        <v>14531.8</v>
      </c>
      <c r="L2864" s="33" t="e">
        <f>HLOOKUP(B2864,#REF!,1,0)</f>
        <v>#REF!</v>
      </c>
      <c r="M2864" s="33" t="str">
        <f t="shared" si="179"/>
        <v>P&amp;L</v>
      </c>
    </row>
    <row r="2865" spans="1:13" s="33" customFormat="true" ht="12.75" customHeight="true">
      <c r="A2865" s="33" t="str">
        <f t="shared" si="176"/>
        <v>3SI - Operating Expense</v>
      </c>
      <c r="B2865" s="33" t="str">
        <f t="shared" si="177"/>
        <v>3SI</v>
      </c>
      <c r="C2865" s="33" t="str">
        <f t="shared" si="178"/>
        <v>64501-0865</v>
      </c>
      <c r="D2865" s="64" t="s">
        <v>3556</v>
      </c>
      <c r="E2865" s="64" t="s">
        <v>3188</v>
      </c>
      <c r="F2865" s="64" t="s">
        <v>15</v>
      </c>
      <c r="G2865" s="64" t="s">
        <v>3044</v>
      </c>
      <c r="H2865" s="64" t="s">
        <v>3022</v>
      </c>
      <c r="I2865" s="64" t="s">
        <v>3189</v>
      </c>
      <c r="J2865" s="67">
        <v>0</v>
      </c>
      <c r="K2865" s="62">
        <v>1.56</v>
      </c>
      <c r="L2865" s="33" t="e">
        <f>HLOOKUP(B2865,#REF!,1,0)</f>
        <v>#REF!</v>
      </c>
      <c r="M2865" s="33" t="str">
        <f t="shared" si="179"/>
        <v>P&amp;L</v>
      </c>
    </row>
    <row r="2866" spans="1:13" s="33" customFormat="true" ht="12.75" customHeight="true">
      <c r="A2866" s="33" t="str">
        <f t="shared" si="176"/>
        <v>3SI - Operating Expense</v>
      </c>
      <c r="B2866" s="33" t="str">
        <f t="shared" si="177"/>
        <v>3SI</v>
      </c>
      <c r="C2866" s="33" t="str">
        <f t="shared" si="178"/>
        <v>64501-7466</v>
      </c>
      <c r="D2866" s="64" t="s">
        <v>3557</v>
      </c>
      <c r="E2866" s="64" t="s">
        <v>3188</v>
      </c>
      <c r="F2866" s="64" t="s">
        <v>15</v>
      </c>
      <c r="G2866" s="64" t="s">
        <v>3044</v>
      </c>
      <c r="H2866" s="64" t="s">
        <v>3022</v>
      </c>
      <c r="I2866" s="64" t="s">
        <v>3189</v>
      </c>
      <c r="J2866" s="67">
        <v>1932.88</v>
      </c>
      <c r="K2866" s="62">
        <v>19233.22</v>
      </c>
      <c r="L2866" s="33" t="e">
        <f>HLOOKUP(B2866,#REF!,1,0)</f>
        <v>#REF!</v>
      </c>
      <c r="M2866" s="33" t="str">
        <f t="shared" si="179"/>
        <v>P&amp;L</v>
      </c>
    </row>
    <row r="2867" spans="1:13" s="33" customFormat="true" ht="12.75" customHeight="true">
      <c r="A2867" s="33" t="str">
        <f t="shared" si="176"/>
        <v>3SI - Operating Expense</v>
      </c>
      <c r="B2867" s="33" t="str">
        <f t="shared" si="177"/>
        <v>3SI</v>
      </c>
      <c r="C2867" s="33" t="str">
        <f t="shared" si="178"/>
        <v>64501-7780</v>
      </c>
      <c r="D2867" s="64" t="s">
        <v>3558</v>
      </c>
      <c r="E2867" s="64" t="s">
        <v>3188</v>
      </c>
      <c r="F2867" s="64" t="s">
        <v>15</v>
      </c>
      <c r="G2867" s="64" t="s">
        <v>3044</v>
      </c>
      <c r="H2867" s="64" t="s">
        <v>3022</v>
      </c>
      <c r="I2867" s="64" t="s">
        <v>3189</v>
      </c>
      <c r="J2867" s="67">
        <v>1755.44</v>
      </c>
      <c r="K2867" s="62">
        <v>15524.04</v>
      </c>
      <c r="L2867" s="33" t="e">
        <f>HLOOKUP(B2867,#REF!,1,0)</f>
        <v>#REF!</v>
      </c>
      <c r="M2867" s="33" t="str">
        <f t="shared" si="179"/>
        <v>P&amp;L</v>
      </c>
    </row>
    <row r="2868" spans="1:13" s="33" customFormat="true" ht="12.75" customHeight="true">
      <c r="A2868" s="33" t="str">
        <f t="shared" si="176"/>
        <v>3SI - Operating Expense</v>
      </c>
      <c r="B2868" s="33" t="str">
        <f t="shared" si="177"/>
        <v>3SI</v>
      </c>
      <c r="C2868" s="33" t="str">
        <f t="shared" si="178"/>
        <v>64502-0863</v>
      </c>
      <c r="D2868" s="64" t="s">
        <v>3559</v>
      </c>
      <c r="E2868" s="64" t="s">
        <v>3195</v>
      </c>
      <c r="F2868" s="64" t="s">
        <v>15</v>
      </c>
      <c r="G2868" s="64" t="s">
        <v>3044</v>
      </c>
      <c r="H2868" s="64" t="s">
        <v>3022</v>
      </c>
      <c r="I2868" s="64" t="s">
        <v>3196</v>
      </c>
      <c r="J2868" s="67">
        <v>286.79</v>
      </c>
      <c r="K2868" s="62">
        <v>1818.09</v>
      </c>
      <c r="L2868" s="33" t="e">
        <f>HLOOKUP(B2868,#REF!,1,0)</f>
        <v>#REF!</v>
      </c>
      <c r="M2868" s="33" t="str">
        <f t="shared" si="179"/>
        <v>P&amp;L</v>
      </c>
    </row>
    <row r="2869" spans="1:13" s="33" customFormat="true" ht="12.75" customHeight="true">
      <c r="A2869" s="33" t="str">
        <f t="shared" si="176"/>
        <v>3SI - Operating Expense</v>
      </c>
      <c r="B2869" s="33" t="str">
        <f t="shared" si="177"/>
        <v>3SI</v>
      </c>
      <c r="C2869" s="33" t="str">
        <f t="shared" si="178"/>
        <v>64502-0865</v>
      </c>
      <c r="D2869" s="64" t="s">
        <v>3560</v>
      </c>
      <c r="E2869" s="64" t="s">
        <v>3195</v>
      </c>
      <c r="F2869" s="64" t="s">
        <v>15</v>
      </c>
      <c r="G2869" s="64" t="s">
        <v>3044</v>
      </c>
      <c r="H2869" s="64" t="s">
        <v>3022</v>
      </c>
      <c r="I2869" s="64" t="s">
        <v>3196</v>
      </c>
      <c r="J2869" s="67">
        <v>166.24</v>
      </c>
      <c r="K2869" s="62">
        <v>1687.44</v>
      </c>
      <c r="L2869" s="33" t="e">
        <f>HLOOKUP(B2869,#REF!,1,0)</f>
        <v>#REF!</v>
      </c>
      <c r="M2869" s="33" t="str">
        <f t="shared" si="179"/>
        <v>P&amp;L</v>
      </c>
    </row>
    <row r="2870" spans="1:13" s="33" customFormat="true" ht="12.75" customHeight="true">
      <c r="A2870" s="33" t="str">
        <f t="shared" si="176"/>
        <v>3SI - Operating Expense</v>
      </c>
      <c r="B2870" s="33" t="str">
        <f t="shared" si="177"/>
        <v>3SI</v>
      </c>
      <c r="C2870" s="33" t="str">
        <f t="shared" si="178"/>
        <v>64502-7466</v>
      </c>
      <c r="D2870" s="64" t="s">
        <v>3561</v>
      </c>
      <c r="E2870" s="64" t="s">
        <v>3195</v>
      </c>
      <c r="F2870" s="64" t="s">
        <v>15</v>
      </c>
      <c r="G2870" s="64" t="s">
        <v>3044</v>
      </c>
      <c r="H2870" s="64" t="s">
        <v>3022</v>
      </c>
      <c r="I2870" s="64" t="s">
        <v>3196</v>
      </c>
      <c r="J2870" s="67">
        <v>286.79</v>
      </c>
      <c r="K2870" s="62">
        <v>1818.09</v>
      </c>
      <c r="L2870" s="33" t="e">
        <f>HLOOKUP(B2870,#REF!,1,0)</f>
        <v>#REF!</v>
      </c>
      <c r="M2870" s="33" t="str">
        <f t="shared" si="179"/>
        <v>P&amp;L</v>
      </c>
    </row>
    <row r="2871" spans="1:13" s="33" customFormat="true" ht="12.75" customHeight="true">
      <c r="A2871" s="33" t="str">
        <f t="shared" si="176"/>
        <v>3SI - Operating Expense</v>
      </c>
      <c r="B2871" s="33" t="str">
        <f t="shared" si="177"/>
        <v>3SI</v>
      </c>
      <c r="C2871" s="33" t="str">
        <f t="shared" si="178"/>
        <v>64502-7780</v>
      </c>
      <c r="D2871" s="64" t="s">
        <v>3562</v>
      </c>
      <c r="E2871" s="64" t="s">
        <v>3195</v>
      </c>
      <c r="F2871" s="64" t="s">
        <v>15</v>
      </c>
      <c r="G2871" s="64" t="s">
        <v>3044</v>
      </c>
      <c r="H2871" s="64" t="s">
        <v>3022</v>
      </c>
      <c r="I2871" s="64" t="s">
        <v>3196</v>
      </c>
      <c r="J2871" s="67">
        <v>286.8</v>
      </c>
      <c r="K2871" s="62">
        <v>1817.96</v>
      </c>
      <c r="L2871" s="33" t="e">
        <f>HLOOKUP(B2871,#REF!,1,0)</f>
        <v>#REF!</v>
      </c>
      <c r="M2871" s="33" t="str">
        <f t="shared" si="179"/>
        <v>P&amp;L</v>
      </c>
    </row>
    <row r="2872" spans="1:13" s="33" customFormat="true" ht="12.75" customHeight="true">
      <c r="A2872" s="33" t="str">
        <f t="shared" si="176"/>
        <v>3SI - Operating Expense</v>
      </c>
      <c r="B2872" s="33" t="str">
        <f t="shared" si="177"/>
        <v>3SI</v>
      </c>
      <c r="C2872" s="33" t="str">
        <f t="shared" si="178"/>
        <v>64503-0863</v>
      </c>
      <c r="D2872" s="64" t="s">
        <v>3563</v>
      </c>
      <c r="E2872" s="64" t="s">
        <v>3202</v>
      </c>
      <c r="F2872" s="64" t="s">
        <v>15</v>
      </c>
      <c r="G2872" s="64" t="s">
        <v>3044</v>
      </c>
      <c r="H2872" s="64" t="s">
        <v>3022</v>
      </c>
      <c r="I2872" s="64" t="s">
        <v>3189</v>
      </c>
      <c r="J2872" s="67">
        <v>740.76</v>
      </c>
      <c r="K2872" s="62">
        <v>6675.85</v>
      </c>
      <c r="L2872" s="33" t="e">
        <f>HLOOKUP(B2872,#REF!,1,0)</f>
        <v>#REF!</v>
      </c>
      <c r="M2872" s="33" t="str">
        <f t="shared" si="179"/>
        <v>P&amp;L</v>
      </c>
    </row>
    <row r="2873" spans="1:13" s="33" customFormat="true" ht="12.75" customHeight="true">
      <c r="A2873" s="33" t="str">
        <f t="shared" si="176"/>
        <v>3SI - Operating Expense</v>
      </c>
      <c r="B2873" s="33" t="str">
        <f t="shared" si="177"/>
        <v>3SI</v>
      </c>
      <c r="C2873" s="33" t="str">
        <f t="shared" si="178"/>
        <v>64503-7466</v>
      </c>
      <c r="D2873" s="64" t="s">
        <v>3564</v>
      </c>
      <c r="E2873" s="64" t="s">
        <v>3202</v>
      </c>
      <c r="F2873" s="64" t="s">
        <v>15</v>
      </c>
      <c r="G2873" s="64" t="s">
        <v>3044</v>
      </c>
      <c r="H2873" s="64" t="s">
        <v>3022</v>
      </c>
      <c r="I2873" s="64" t="s">
        <v>3189</v>
      </c>
      <c r="J2873" s="67">
        <v>1431.56</v>
      </c>
      <c r="K2873" s="62">
        <v>12153.86</v>
      </c>
      <c r="L2873" s="33" t="e">
        <f>HLOOKUP(B2873,#REF!,1,0)</f>
        <v>#REF!</v>
      </c>
      <c r="M2873" s="33" t="str">
        <f t="shared" si="179"/>
        <v>P&amp;L</v>
      </c>
    </row>
    <row r="2874" spans="1:13" s="33" customFormat="true" ht="12.75" customHeight="true">
      <c r="A2874" s="33" t="str">
        <f t="shared" si="176"/>
        <v>3SI - Operating Expense</v>
      </c>
      <c r="B2874" s="33" t="str">
        <f t="shared" si="177"/>
        <v>3SI</v>
      </c>
      <c r="C2874" s="33" t="str">
        <f t="shared" si="178"/>
        <v>64503-7780</v>
      </c>
      <c r="D2874" s="64" t="s">
        <v>3565</v>
      </c>
      <c r="E2874" s="64" t="s">
        <v>3202</v>
      </c>
      <c r="F2874" s="64" t="s">
        <v>15</v>
      </c>
      <c r="G2874" s="64" t="s">
        <v>3044</v>
      </c>
      <c r="H2874" s="64" t="s">
        <v>3022</v>
      </c>
      <c r="I2874" s="64" t="s">
        <v>3189</v>
      </c>
      <c r="J2874" s="67">
        <v>1602.38</v>
      </c>
      <c r="K2874" s="62">
        <v>7104.56</v>
      </c>
      <c r="L2874" s="33" t="e">
        <f>HLOOKUP(B2874,#REF!,1,0)</f>
        <v>#REF!</v>
      </c>
      <c r="M2874" s="33" t="str">
        <f t="shared" si="179"/>
        <v>P&amp;L</v>
      </c>
    </row>
    <row r="2875" spans="1:13" s="33" customFormat="true" ht="12.75" customHeight="true">
      <c r="A2875" s="33" t="str">
        <f t="shared" si="176"/>
        <v>3SI - Operating Expense</v>
      </c>
      <c r="B2875" s="33" t="str">
        <f t="shared" si="177"/>
        <v>3SI</v>
      </c>
      <c r="C2875" s="33" t="str">
        <f t="shared" si="178"/>
        <v>65001-0865</v>
      </c>
      <c r="D2875" s="64" t="s">
        <v>3566</v>
      </c>
      <c r="E2875" s="64" t="s">
        <v>3207</v>
      </c>
      <c r="F2875" s="64" t="s">
        <v>15</v>
      </c>
      <c r="G2875" s="64" t="s">
        <v>3044</v>
      </c>
      <c r="H2875" s="64" t="s">
        <v>3022</v>
      </c>
      <c r="I2875" s="64" t="s">
        <v>3045</v>
      </c>
      <c r="J2875" s="67">
        <v>0</v>
      </c>
      <c r="K2875" s="62">
        <v>337.69</v>
      </c>
      <c r="L2875" s="33" t="e">
        <f>HLOOKUP(B2875,#REF!,1,0)</f>
        <v>#REF!</v>
      </c>
      <c r="M2875" s="33" t="str">
        <f t="shared" si="179"/>
        <v>P&amp;L</v>
      </c>
    </row>
    <row r="2876" spans="1:13" s="33" customFormat="true" ht="12.75" customHeight="true">
      <c r="A2876" s="33" t="str">
        <f t="shared" si="176"/>
        <v>3SI - Operating Expense</v>
      </c>
      <c r="B2876" s="33" t="str">
        <f t="shared" si="177"/>
        <v>3SI</v>
      </c>
      <c r="C2876" s="33" t="str">
        <f t="shared" si="178"/>
        <v>65001-7466</v>
      </c>
      <c r="D2876" s="64" t="s">
        <v>3567</v>
      </c>
      <c r="E2876" s="64" t="s">
        <v>3207</v>
      </c>
      <c r="F2876" s="64" t="s">
        <v>15</v>
      </c>
      <c r="G2876" s="64" t="s">
        <v>3044</v>
      </c>
      <c r="H2876" s="64" t="s">
        <v>3022</v>
      </c>
      <c r="I2876" s="64" t="s">
        <v>3045</v>
      </c>
      <c r="J2876" s="67">
        <v>0</v>
      </c>
      <c r="K2876" s="62">
        <v>644.58</v>
      </c>
      <c r="L2876" s="33" t="e">
        <f>HLOOKUP(B2876,#REF!,1,0)</f>
        <v>#REF!</v>
      </c>
      <c r="M2876" s="33" t="str">
        <f t="shared" si="179"/>
        <v>P&amp;L</v>
      </c>
    </row>
    <row r="2877" spans="1:13" s="33" customFormat="true" ht="12.75" customHeight="true">
      <c r="A2877" s="33" t="str">
        <f t="shared" si="176"/>
        <v>3SI - Operating Expense</v>
      </c>
      <c r="B2877" s="33" t="str">
        <f t="shared" si="177"/>
        <v>3SI</v>
      </c>
      <c r="C2877" s="33" t="str">
        <f t="shared" si="178"/>
        <v>65001-7780</v>
      </c>
      <c r="D2877" s="64" t="s">
        <v>3568</v>
      </c>
      <c r="E2877" s="64" t="s">
        <v>3207</v>
      </c>
      <c r="F2877" s="64" t="s">
        <v>15</v>
      </c>
      <c r="G2877" s="64" t="s">
        <v>3044</v>
      </c>
      <c r="H2877" s="64" t="s">
        <v>3022</v>
      </c>
      <c r="I2877" s="64" t="s">
        <v>3045</v>
      </c>
      <c r="J2877" s="67">
        <v>0</v>
      </c>
      <c r="K2877" s="62">
        <v>641.62</v>
      </c>
      <c r="L2877" s="33" t="e">
        <f>HLOOKUP(B2877,#REF!,1,0)</f>
        <v>#REF!</v>
      </c>
      <c r="M2877" s="33" t="str">
        <f t="shared" si="179"/>
        <v>P&amp;L</v>
      </c>
    </row>
    <row r="2878" spans="1:13" s="33" customFormat="true" ht="12.75" customHeight="true">
      <c r="A2878" s="33" t="str">
        <f t="shared" si="176"/>
        <v>3SI - Operating Expense</v>
      </c>
      <c r="B2878" s="33" t="str">
        <f t="shared" si="177"/>
        <v>3SI</v>
      </c>
      <c r="C2878" s="33" t="str">
        <f t="shared" si="178"/>
        <v>65002-0863</v>
      </c>
      <c r="D2878" s="64" t="s">
        <v>3569</v>
      </c>
      <c r="E2878" s="64" t="s">
        <v>3209</v>
      </c>
      <c r="F2878" s="64" t="s">
        <v>15</v>
      </c>
      <c r="G2878" s="64" t="s">
        <v>3044</v>
      </c>
      <c r="H2878" s="64" t="s">
        <v>3022</v>
      </c>
      <c r="I2878" s="64" t="s">
        <v>3045</v>
      </c>
      <c r="J2878" s="67">
        <v>98.22</v>
      </c>
      <c r="K2878" s="62">
        <v>933.1</v>
      </c>
      <c r="L2878" s="33" t="e">
        <f>HLOOKUP(B2878,#REF!,1,0)</f>
        <v>#REF!</v>
      </c>
      <c r="M2878" s="33" t="str">
        <f t="shared" si="179"/>
        <v>P&amp;L</v>
      </c>
    </row>
    <row r="2879" spans="1:13" s="33" customFormat="true" ht="12.75" customHeight="true">
      <c r="A2879" s="33" t="str">
        <f t="shared" si="176"/>
        <v>3SI - Operating Expense</v>
      </c>
      <c r="B2879" s="33" t="str">
        <f t="shared" si="177"/>
        <v>3SI</v>
      </c>
      <c r="C2879" s="33" t="str">
        <f t="shared" si="178"/>
        <v>65002-0865</v>
      </c>
      <c r="D2879" s="64" t="s">
        <v>3570</v>
      </c>
      <c r="E2879" s="64" t="s">
        <v>3209</v>
      </c>
      <c r="F2879" s="64" t="s">
        <v>15</v>
      </c>
      <c r="G2879" s="64" t="s">
        <v>3044</v>
      </c>
      <c r="H2879" s="64" t="s">
        <v>3022</v>
      </c>
      <c r="I2879" s="64" t="s">
        <v>3045</v>
      </c>
      <c r="J2879" s="67">
        <v>0</v>
      </c>
      <c r="K2879" s="62">
        <v>147.34</v>
      </c>
      <c r="L2879" s="33" t="e">
        <f>HLOOKUP(B2879,#REF!,1,0)</f>
        <v>#REF!</v>
      </c>
      <c r="M2879" s="33" t="str">
        <f t="shared" si="179"/>
        <v>P&amp;L</v>
      </c>
    </row>
    <row r="2880" spans="1:13" s="33" customFormat="true" ht="12.75" customHeight="true">
      <c r="A2880" s="33" t="str">
        <f t="shared" si="176"/>
        <v>3SI - Operating Expense</v>
      </c>
      <c r="B2880" s="33" t="str">
        <f t="shared" si="177"/>
        <v>3SI</v>
      </c>
      <c r="C2880" s="33" t="str">
        <f t="shared" si="178"/>
        <v>65002-7466</v>
      </c>
      <c r="D2880" s="64" t="s">
        <v>3571</v>
      </c>
      <c r="E2880" s="64" t="s">
        <v>3209</v>
      </c>
      <c r="F2880" s="64" t="s">
        <v>15</v>
      </c>
      <c r="G2880" s="64" t="s">
        <v>3044</v>
      </c>
      <c r="H2880" s="64" t="s">
        <v>3022</v>
      </c>
      <c r="I2880" s="64" t="s">
        <v>3045</v>
      </c>
      <c r="J2880" s="67">
        <v>98.23</v>
      </c>
      <c r="K2880" s="62">
        <v>933.18</v>
      </c>
      <c r="L2880" s="33" t="e">
        <f>HLOOKUP(B2880,#REF!,1,0)</f>
        <v>#REF!</v>
      </c>
      <c r="M2880" s="33" t="str">
        <f t="shared" si="179"/>
        <v>P&amp;L</v>
      </c>
    </row>
    <row r="2881" spans="1:13" s="33" customFormat="true" ht="12.75" customHeight="true">
      <c r="A2881" s="33" t="str">
        <f t="shared" si="176"/>
        <v>3SI - Operating Expense</v>
      </c>
      <c r="B2881" s="33" t="str">
        <f t="shared" si="177"/>
        <v>3SI</v>
      </c>
      <c r="C2881" s="33" t="str">
        <f t="shared" si="178"/>
        <v>65002-7780</v>
      </c>
      <c r="D2881" s="64" t="s">
        <v>3572</v>
      </c>
      <c r="E2881" s="64" t="s">
        <v>3209</v>
      </c>
      <c r="F2881" s="64" t="s">
        <v>15</v>
      </c>
      <c r="G2881" s="64" t="s">
        <v>3044</v>
      </c>
      <c r="H2881" s="64" t="s">
        <v>3022</v>
      </c>
      <c r="I2881" s="64" t="s">
        <v>3045</v>
      </c>
      <c r="J2881" s="67">
        <v>98.23</v>
      </c>
      <c r="K2881" s="62">
        <v>933.18</v>
      </c>
      <c r="L2881" s="33" t="e">
        <f>HLOOKUP(B2881,#REF!,1,0)</f>
        <v>#REF!</v>
      </c>
      <c r="M2881" s="33" t="str">
        <f t="shared" si="179"/>
        <v>P&amp;L</v>
      </c>
    </row>
    <row r="2882" spans="1:13" s="33" customFormat="true" ht="12.75" customHeight="true">
      <c r="A2882" s="33" t="str">
        <f t="shared" ref="A2882:A2945" si="180">B2882&amp;" - "&amp;TRIM(H2882)</f>
        <v>3SI - Operating Expense</v>
      </c>
      <c r="B2882" s="33" t="str">
        <f t="shared" ref="B2882:B2945" si="181">LEFT(D2882,3)</f>
        <v>3SI</v>
      </c>
      <c r="C2882" s="33" t="str">
        <f t="shared" ref="C2882:C2945" si="182">RIGHT(D2882,10)</f>
        <v>65501-0863</v>
      </c>
      <c r="D2882" s="64" t="s">
        <v>3573</v>
      </c>
      <c r="E2882" s="64" t="s">
        <v>3214</v>
      </c>
      <c r="F2882" s="64" t="s">
        <v>15</v>
      </c>
      <c r="G2882" s="64" t="s">
        <v>3044</v>
      </c>
      <c r="H2882" s="64" t="s">
        <v>3022</v>
      </c>
      <c r="I2882" s="64" t="s">
        <v>3215</v>
      </c>
      <c r="J2882" s="67">
        <v>1059.12</v>
      </c>
      <c r="K2882" s="62">
        <v>10870.04</v>
      </c>
      <c r="L2882" s="33" t="e">
        <f>HLOOKUP(B2882,#REF!,1,0)</f>
        <v>#REF!</v>
      </c>
      <c r="M2882" s="33" t="str">
        <f t="shared" ref="M2882:M2945" si="183">IF(VALUE(LEFT(C2882,5))&gt;40000,"P&amp;L","BS")</f>
        <v>P&amp;L</v>
      </c>
    </row>
    <row r="2883" spans="1:13" s="33" customFormat="true" ht="12.75" customHeight="true">
      <c r="A2883" s="33" t="str">
        <f t="shared" si="180"/>
        <v>3SI - Operating Expense</v>
      </c>
      <c r="B2883" s="33" t="str">
        <f t="shared" si="181"/>
        <v>3SI</v>
      </c>
      <c r="C2883" s="33" t="str">
        <f t="shared" si="182"/>
        <v>65501-0865</v>
      </c>
      <c r="D2883" s="64" t="s">
        <v>3574</v>
      </c>
      <c r="E2883" s="64" t="s">
        <v>3214</v>
      </c>
      <c r="F2883" s="64" t="s">
        <v>15</v>
      </c>
      <c r="G2883" s="64" t="s">
        <v>3044</v>
      </c>
      <c r="H2883" s="64" t="s">
        <v>3022</v>
      </c>
      <c r="I2883" s="64" t="s">
        <v>3215</v>
      </c>
      <c r="J2883" s="67">
        <v>0</v>
      </c>
      <c r="K2883" s="62">
        <v>68.52</v>
      </c>
      <c r="L2883" s="33" t="e">
        <f>HLOOKUP(B2883,#REF!,1,0)</f>
        <v>#REF!</v>
      </c>
      <c r="M2883" s="33" t="str">
        <f t="shared" si="183"/>
        <v>P&amp;L</v>
      </c>
    </row>
    <row r="2884" spans="1:13" s="33" customFormat="true" ht="12.75" customHeight="true">
      <c r="A2884" s="33" t="str">
        <f t="shared" si="180"/>
        <v>3SI - Operating Expense</v>
      </c>
      <c r="B2884" s="33" t="str">
        <f t="shared" si="181"/>
        <v>3SI</v>
      </c>
      <c r="C2884" s="33" t="str">
        <f t="shared" si="182"/>
        <v>65501-7466</v>
      </c>
      <c r="D2884" s="64" t="s">
        <v>3575</v>
      </c>
      <c r="E2884" s="64" t="s">
        <v>3214</v>
      </c>
      <c r="F2884" s="64" t="s">
        <v>15</v>
      </c>
      <c r="G2884" s="64" t="s">
        <v>3044</v>
      </c>
      <c r="H2884" s="64" t="s">
        <v>3022</v>
      </c>
      <c r="I2884" s="64" t="s">
        <v>3215</v>
      </c>
      <c r="J2884" s="67">
        <v>1259.55</v>
      </c>
      <c r="K2884" s="62">
        <v>12313.54</v>
      </c>
      <c r="L2884" s="33" t="e">
        <f>HLOOKUP(B2884,#REF!,1,0)</f>
        <v>#REF!</v>
      </c>
      <c r="M2884" s="33" t="str">
        <f t="shared" si="183"/>
        <v>P&amp;L</v>
      </c>
    </row>
    <row r="2885" spans="1:13" s="33" customFormat="true" ht="12.75" customHeight="true">
      <c r="A2885" s="33" t="str">
        <f t="shared" si="180"/>
        <v>3SI - Operating Expense</v>
      </c>
      <c r="B2885" s="33" t="str">
        <f t="shared" si="181"/>
        <v>3SI</v>
      </c>
      <c r="C2885" s="33" t="str">
        <f t="shared" si="182"/>
        <v>65501-7780</v>
      </c>
      <c r="D2885" s="64" t="s">
        <v>3576</v>
      </c>
      <c r="E2885" s="64" t="s">
        <v>3214</v>
      </c>
      <c r="F2885" s="64" t="s">
        <v>15</v>
      </c>
      <c r="G2885" s="64" t="s">
        <v>3044</v>
      </c>
      <c r="H2885" s="64" t="s">
        <v>3022</v>
      </c>
      <c r="I2885" s="64" t="s">
        <v>3215</v>
      </c>
      <c r="J2885" s="67">
        <v>1123.41</v>
      </c>
      <c r="K2885" s="62">
        <v>10634.25</v>
      </c>
      <c r="L2885" s="33" t="e">
        <f>HLOOKUP(B2885,#REF!,1,0)</f>
        <v>#REF!</v>
      </c>
      <c r="M2885" s="33" t="str">
        <f t="shared" si="183"/>
        <v>P&amp;L</v>
      </c>
    </row>
    <row r="2886" spans="1:13" s="33" customFormat="true" ht="12.75" customHeight="true">
      <c r="A2886" s="33" t="str">
        <f t="shared" si="180"/>
        <v>3SI - Operating Expense</v>
      </c>
      <c r="B2886" s="33" t="str">
        <f t="shared" si="181"/>
        <v>3SI</v>
      </c>
      <c r="C2886" s="33" t="str">
        <f t="shared" si="182"/>
        <v>66001-0863</v>
      </c>
      <c r="D2886" s="64" t="s">
        <v>3577</v>
      </c>
      <c r="E2886" s="64" t="s">
        <v>3220</v>
      </c>
      <c r="F2886" s="64" t="s">
        <v>15</v>
      </c>
      <c r="G2886" s="64" t="s">
        <v>3044</v>
      </c>
      <c r="H2886" s="64" t="s">
        <v>3022</v>
      </c>
      <c r="I2886" s="64" t="s">
        <v>3221</v>
      </c>
      <c r="J2886" s="67">
        <v>166.16</v>
      </c>
      <c r="K2886" s="62">
        <v>2018.84</v>
      </c>
      <c r="L2886" s="33" t="e">
        <f>HLOOKUP(B2886,#REF!,1,0)</f>
        <v>#REF!</v>
      </c>
      <c r="M2886" s="33" t="str">
        <f t="shared" si="183"/>
        <v>P&amp;L</v>
      </c>
    </row>
    <row r="2887" spans="1:13" s="33" customFormat="true" ht="12.75" customHeight="true">
      <c r="A2887" s="33" t="str">
        <f t="shared" si="180"/>
        <v>3SI - Operating Expense</v>
      </c>
      <c r="B2887" s="33" t="str">
        <f t="shared" si="181"/>
        <v>3SI</v>
      </c>
      <c r="C2887" s="33" t="str">
        <f t="shared" si="182"/>
        <v>66001-7466</v>
      </c>
      <c r="D2887" s="64" t="s">
        <v>3578</v>
      </c>
      <c r="E2887" s="64" t="s">
        <v>3220</v>
      </c>
      <c r="F2887" s="64" t="s">
        <v>15</v>
      </c>
      <c r="G2887" s="64" t="s">
        <v>3044</v>
      </c>
      <c r="H2887" s="64" t="s">
        <v>3022</v>
      </c>
      <c r="I2887" s="64" t="s">
        <v>3221</v>
      </c>
      <c r="J2887" s="67">
        <v>166.16</v>
      </c>
      <c r="K2887" s="62">
        <v>1686.52</v>
      </c>
      <c r="L2887" s="33" t="e">
        <f>HLOOKUP(B2887,#REF!,1,0)</f>
        <v>#REF!</v>
      </c>
      <c r="M2887" s="33" t="str">
        <f t="shared" si="183"/>
        <v>P&amp;L</v>
      </c>
    </row>
    <row r="2888" spans="1:13" s="33" customFormat="true" ht="12.75" customHeight="true">
      <c r="A2888" s="33" t="str">
        <f t="shared" si="180"/>
        <v>3SI - Operating Expense</v>
      </c>
      <c r="B2888" s="33" t="str">
        <f t="shared" si="181"/>
        <v>3SI</v>
      </c>
      <c r="C2888" s="33" t="str">
        <f t="shared" si="182"/>
        <v>66001-7780</v>
      </c>
      <c r="D2888" s="64" t="s">
        <v>3579</v>
      </c>
      <c r="E2888" s="64" t="s">
        <v>3220</v>
      </c>
      <c r="F2888" s="64" t="s">
        <v>15</v>
      </c>
      <c r="G2888" s="64" t="s">
        <v>3044</v>
      </c>
      <c r="H2888" s="64" t="s">
        <v>3022</v>
      </c>
      <c r="I2888" s="64" t="s">
        <v>3221</v>
      </c>
      <c r="J2888" s="67">
        <v>166.16</v>
      </c>
      <c r="K2888" s="62">
        <v>1354.2</v>
      </c>
      <c r="L2888" s="33" t="e">
        <f>HLOOKUP(B2888,#REF!,1,0)</f>
        <v>#REF!</v>
      </c>
      <c r="M2888" s="33" t="str">
        <f t="shared" si="183"/>
        <v>P&amp;L</v>
      </c>
    </row>
    <row r="2889" spans="1:13" s="33" customFormat="true" ht="12.75" customHeight="true">
      <c r="A2889" s="33" t="str">
        <f t="shared" si="180"/>
        <v>3SI - Operating Expense</v>
      </c>
      <c r="B2889" s="33" t="str">
        <f t="shared" si="181"/>
        <v>3SI</v>
      </c>
      <c r="C2889" s="33" t="str">
        <f t="shared" si="182"/>
        <v>66002-0863</v>
      </c>
      <c r="D2889" s="64" t="s">
        <v>3580</v>
      </c>
      <c r="E2889" s="64" t="s">
        <v>3226</v>
      </c>
      <c r="F2889" s="64" t="s">
        <v>15</v>
      </c>
      <c r="G2889" s="64" t="s">
        <v>3044</v>
      </c>
      <c r="H2889" s="64" t="s">
        <v>3022</v>
      </c>
      <c r="I2889" s="64" t="s">
        <v>3221</v>
      </c>
      <c r="J2889" s="67">
        <v>37.14</v>
      </c>
      <c r="K2889" s="62">
        <v>1778.68</v>
      </c>
      <c r="L2889" s="33" t="e">
        <f>HLOOKUP(B2889,#REF!,1,0)</f>
        <v>#REF!</v>
      </c>
      <c r="M2889" s="33" t="str">
        <f t="shared" si="183"/>
        <v>P&amp;L</v>
      </c>
    </row>
    <row r="2890" spans="1:13" s="33" customFormat="true" ht="12.75" customHeight="true">
      <c r="A2890" s="33" t="str">
        <f t="shared" si="180"/>
        <v>3SI - Operating Expense</v>
      </c>
      <c r="B2890" s="33" t="str">
        <f t="shared" si="181"/>
        <v>3SI</v>
      </c>
      <c r="C2890" s="33" t="str">
        <f t="shared" si="182"/>
        <v>66002-0865</v>
      </c>
      <c r="D2890" s="64" t="s">
        <v>3581</v>
      </c>
      <c r="E2890" s="64" t="s">
        <v>3226</v>
      </c>
      <c r="F2890" s="64" t="s">
        <v>15</v>
      </c>
      <c r="G2890" s="64" t="s">
        <v>3044</v>
      </c>
      <c r="H2890" s="64" t="s">
        <v>3022</v>
      </c>
      <c r="I2890" s="64" t="s">
        <v>3221</v>
      </c>
      <c r="J2890" s="67">
        <v>0</v>
      </c>
      <c r="K2890" s="62">
        <v>77.89</v>
      </c>
      <c r="L2890" s="33" t="e">
        <f>HLOOKUP(B2890,#REF!,1,0)</f>
        <v>#REF!</v>
      </c>
      <c r="M2890" s="33" t="str">
        <f t="shared" si="183"/>
        <v>P&amp;L</v>
      </c>
    </row>
    <row r="2891" spans="1:13" s="33" customFormat="true" ht="12.75" customHeight="true">
      <c r="A2891" s="33" t="str">
        <f t="shared" si="180"/>
        <v>3SI - Operating Expense</v>
      </c>
      <c r="B2891" s="33" t="str">
        <f t="shared" si="181"/>
        <v>3SI</v>
      </c>
      <c r="C2891" s="33" t="str">
        <f t="shared" si="182"/>
        <v>66002-7466</v>
      </c>
      <c r="D2891" s="64" t="s">
        <v>3582</v>
      </c>
      <c r="E2891" s="64" t="s">
        <v>3226</v>
      </c>
      <c r="F2891" s="64" t="s">
        <v>15</v>
      </c>
      <c r="G2891" s="64" t="s">
        <v>3044</v>
      </c>
      <c r="H2891" s="64" t="s">
        <v>3022</v>
      </c>
      <c r="I2891" s="64" t="s">
        <v>3221</v>
      </c>
      <c r="J2891" s="67">
        <v>37.15</v>
      </c>
      <c r="K2891" s="62">
        <v>868.63</v>
      </c>
      <c r="L2891" s="33" t="e">
        <f>HLOOKUP(B2891,#REF!,1,0)</f>
        <v>#REF!</v>
      </c>
      <c r="M2891" s="33" t="str">
        <f t="shared" si="183"/>
        <v>P&amp;L</v>
      </c>
    </row>
    <row r="2892" spans="1:13" s="33" customFormat="true" ht="12.75" customHeight="true">
      <c r="A2892" s="33" t="str">
        <f t="shared" si="180"/>
        <v>3SI - Operating Expense</v>
      </c>
      <c r="B2892" s="33" t="str">
        <f t="shared" si="181"/>
        <v>3SI</v>
      </c>
      <c r="C2892" s="33" t="str">
        <f t="shared" si="182"/>
        <v>66002-7780</v>
      </c>
      <c r="D2892" s="64" t="s">
        <v>3583</v>
      </c>
      <c r="E2892" s="64" t="s">
        <v>3226</v>
      </c>
      <c r="F2892" s="64" t="s">
        <v>15</v>
      </c>
      <c r="G2892" s="64" t="s">
        <v>3044</v>
      </c>
      <c r="H2892" s="64" t="s">
        <v>3022</v>
      </c>
      <c r="I2892" s="64" t="s">
        <v>3221</v>
      </c>
      <c r="J2892" s="67">
        <v>37.15</v>
      </c>
      <c r="K2892" s="62">
        <v>213.57</v>
      </c>
      <c r="L2892" s="33" t="e">
        <f>HLOOKUP(B2892,#REF!,1,0)</f>
        <v>#REF!</v>
      </c>
      <c r="M2892" s="33" t="str">
        <f t="shared" si="183"/>
        <v>P&amp;L</v>
      </c>
    </row>
    <row r="2893" spans="1:13" s="33" customFormat="true" ht="12.75" customHeight="true">
      <c r="A2893" s="33" t="str">
        <f t="shared" si="180"/>
        <v>3SI - Operating Expense</v>
      </c>
      <c r="B2893" s="33" t="str">
        <f t="shared" si="181"/>
        <v>3SI</v>
      </c>
      <c r="C2893" s="33" t="str">
        <f t="shared" si="182"/>
        <v>66501-0863</v>
      </c>
      <c r="D2893" s="64" t="s">
        <v>3584</v>
      </c>
      <c r="E2893" s="64" t="s">
        <v>3231</v>
      </c>
      <c r="F2893" s="64" t="s">
        <v>15</v>
      </c>
      <c r="G2893" s="64" t="s">
        <v>2889</v>
      </c>
      <c r="H2893" s="64" t="s">
        <v>3022</v>
      </c>
      <c r="I2893" s="64" t="s">
        <v>2915</v>
      </c>
      <c r="J2893" s="67">
        <v>475.08</v>
      </c>
      <c r="K2893" s="62">
        <v>2819.27</v>
      </c>
      <c r="L2893" s="33" t="e">
        <f>HLOOKUP(B2893,#REF!,1,0)</f>
        <v>#REF!</v>
      </c>
      <c r="M2893" s="33" t="str">
        <f t="shared" si="183"/>
        <v>P&amp;L</v>
      </c>
    </row>
    <row r="2894" spans="1:13" s="33" customFormat="true" ht="12.75" customHeight="true">
      <c r="A2894" s="33" t="str">
        <f t="shared" si="180"/>
        <v>3SI - Operating Expense</v>
      </c>
      <c r="B2894" s="33" t="str">
        <f t="shared" si="181"/>
        <v>3SI</v>
      </c>
      <c r="C2894" s="33" t="str">
        <f t="shared" si="182"/>
        <v>66501-7466</v>
      </c>
      <c r="D2894" s="64" t="s">
        <v>3585</v>
      </c>
      <c r="E2894" s="64" t="s">
        <v>3231</v>
      </c>
      <c r="F2894" s="64" t="s">
        <v>15</v>
      </c>
      <c r="G2894" s="64" t="s">
        <v>2889</v>
      </c>
      <c r="H2894" s="64" t="s">
        <v>3022</v>
      </c>
      <c r="I2894" s="64" t="s">
        <v>2915</v>
      </c>
      <c r="J2894" s="67">
        <v>587.09</v>
      </c>
      <c r="K2894" s="62">
        <v>2985.5</v>
      </c>
      <c r="L2894" s="33" t="e">
        <f>HLOOKUP(B2894,#REF!,1,0)</f>
        <v>#REF!</v>
      </c>
      <c r="M2894" s="33" t="str">
        <f t="shared" si="183"/>
        <v>P&amp;L</v>
      </c>
    </row>
    <row r="2895" spans="1:13" s="33" customFormat="true" ht="12.75" customHeight="true">
      <c r="A2895" s="33" t="str">
        <f t="shared" si="180"/>
        <v>3SI - Operating Expense</v>
      </c>
      <c r="B2895" s="33" t="str">
        <f t="shared" si="181"/>
        <v>3SI</v>
      </c>
      <c r="C2895" s="33" t="str">
        <f t="shared" si="182"/>
        <v>66501-7780</v>
      </c>
      <c r="D2895" s="64" t="s">
        <v>3586</v>
      </c>
      <c r="E2895" s="64" t="s">
        <v>3231</v>
      </c>
      <c r="F2895" s="64" t="s">
        <v>15</v>
      </c>
      <c r="G2895" s="64" t="s">
        <v>2889</v>
      </c>
      <c r="H2895" s="64" t="s">
        <v>3022</v>
      </c>
      <c r="I2895" s="64" t="s">
        <v>2915</v>
      </c>
      <c r="J2895" s="67">
        <v>495.5</v>
      </c>
      <c r="K2895" s="62">
        <v>3550.2</v>
      </c>
      <c r="L2895" s="33" t="e">
        <f>HLOOKUP(B2895,#REF!,1,0)</f>
        <v>#REF!</v>
      </c>
      <c r="M2895" s="33" t="str">
        <f t="shared" si="183"/>
        <v>P&amp;L</v>
      </c>
    </row>
    <row r="2896" spans="1:13" s="33" customFormat="true" ht="12.75" customHeight="true">
      <c r="A2896" s="33" t="str">
        <f t="shared" si="180"/>
        <v>3SI - Operating Expense</v>
      </c>
      <c r="B2896" s="33" t="str">
        <f t="shared" si="181"/>
        <v>3SI</v>
      </c>
      <c r="C2896" s="33" t="str">
        <f t="shared" si="182"/>
        <v>66701-0863</v>
      </c>
      <c r="D2896" s="64" t="s">
        <v>3587</v>
      </c>
      <c r="E2896" s="64" t="s">
        <v>3236</v>
      </c>
      <c r="F2896" s="64" t="s">
        <v>15</v>
      </c>
      <c r="G2896" s="64" t="s">
        <v>3017</v>
      </c>
      <c r="H2896" s="64" t="s">
        <v>3022</v>
      </c>
      <c r="I2896" s="64" t="s">
        <v>3237</v>
      </c>
      <c r="J2896" s="67">
        <v>14</v>
      </c>
      <c r="K2896" s="62">
        <v>140</v>
      </c>
      <c r="L2896" s="33" t="e">
        <f>HLOOKUP(B2896,#REF!,1,0)</f>
        <v>#REF!</v>
      </c>
      <c r="M2896" s="33" t="str">
        <f t="shared" si="183"/>
        <v>P&amp;L</v>
      </c>
    </row>
    <row r="2897" spans="1:13" s="33" customFormat="true" ht="12.75" customHeight="true">
      <c r="A2897" s="33" t="str">
        <f t="shared" si="180"/>
        <v>3SI - Operating Expense</v>
      </c>
      <c r="B2897" s="33" t="str">
        <f t="shared" si="181"/>
        <v>3SI</v>
      </c>
      <c r="C2897" s="33" t="str">
        <f t="shared" si="182"/>
        <v>66701-0865</v>
      </c>
      <c r="D2897" s="64" t="s">
        <v>3588</v>
      </c>
      <c r="E2897" s="64" t="s">
        <v>3236</v>
      </c>
      <c r="F2897" s="64" t="s">
        <v>15</v>
      </c>
      <c r="G2897" s="64" t="s">
        <v>3017</v>
      </c>
      <c r="H2897" s="64" t="s">
        <v>3022</v>
      </c>
      <c r="I2897" s="64" t="s">
        <v>3237</v>
      </c>
      <c r="J2897" s="67">
        <v>0</v>
      </c>
      <c r="K2897" s="62">
        <v>28</v>
      </c>
      <c r="L2897" s="33" t="e">
        <f>HLOOKUP(B2897,#REF!,1,0)</f>
        <v>#REF!</v>
      </c>
      <c r="M2897" s="33" t="str">
        <f t="shared" si="183"/>
        <v>P&amp;L</v>
      </c>
    </row>
    <row r="2898" spans="1:13" s="33" customFormat="true" ht="12.75" customHeight="true">
      <c r="A2898" s="33" t="str">
        <f t="shared" si="180"/>
        <v>3SI - Operating Expense</v>
      </c>
      <c r="B2898" s="33" t="str">
        <f t="shared" si="181"/>
        <v>3SI</v>
      </c>
      <c r="C2898" s="33" t="str">
        <f t="shared" si="182"/>
        <v>66701-7466</v>
      </c>
      <c r="D2898" s="64" t="s">
        <v>3589</v>
      </c>
      <c r="E2898" s="64" t="s">
        <v>3236</v>
      </c>
      <c r="F2898" s="64" t="s">
        <v>15</v>
      </c>
      <c r="G2898" s="64" t="s">
        <v>3017</v>
      </c>
      <c r="H2898" s="64" t="s">
        <v>3022</v>
      </c>
      <c r="I2898" s="64" t="s">
        <v>3237</v>
      </c>
      <c r="J2898" s="67">
        <v>14</v>
      </c>
      <c r="K2898" s="62">
        <v>140</v>
      </c>
      <c r="L2898" s="33" t="e">
        <f>HLOOKUP(B2898,#REF!,1,0)</f>
        <v>#REF!</v>
      </c>
      <c r="M2898" s="33" t="str">
        <f t="shared" si="183"/>
        <v>P&amp;L</v>
      </c>
    </row>
    <row r="2899" spans="1:13" s="33" customFormat="true" ht="12.75" customHeight="true">
      <c r="A2899" s="33" t="str">
        <f t="shared" si="180"/>
        <v>3SI - Operating Expense</v>
      </c>
      <c r="B2899" s="33" t="str">
        <f t="shared" si="181"/>
        <v>3SI</v>
      </c>
      <c r="C2899" s="33" t="str">
        <f t="shared" si="182"/>
        <v>66701-7780</v>
      </c>
      <c r="D2899" s="64" t="s">
        <v>3590</v>
      </c>
      <c r="E2899" s="64" t="s">
        <v>3236</v>
      </c>
      <c r="F2899" s="64" t="s">
        <v>15</v>
      </c>
      <c r="G2899" s="64" t="s">
        <v>3017</v>
      </c>
      <c r="H2899" s="64" t="s">
        <v>3022</v>
      </c>
      <c r="I2899" s="64" t="s">
        <v>3237</v>
      </c>
      <c r="J2899" s="67">
        <v>14</v>
      </c>
      <c r="K2899" s="62">
        <v>140</v>
      </c>
      <c r="L2899" s="33" t="e">
        <f>HLOOKUP(B2899,#REF!,1,0)</f>
        <v>#REF!</v>
      </c>
      <c r="M2899" s="33" t="str">
        <f t="shared" si="183"/>
        <v>P&amp;L</v>
      </c>
    </row>
    <row r="2900" spans="1:13" s="33" customFormat="true" ht="12.75" customHeight="true">
      <c r="A2900" s="33" t="str">
        <f t="shared" si="180"/>
        <v>3SI - Operating Expense</v>
      </c>
      <c r="B2900" s="33" t="str">
        <f t="shared" si="181"/>
        <v>3SI</v>
      </c>
      <c r="C2900" s="33" t="str">
        <f t="shared" si="182"/>
        <v>67001-0863</v>
      </c>
      <c r="D2900" s="64" t="s">
        <v>3591</v>
      </c>
      <c r="E2900" s="64" t="s">
        <v>3242</v>
      </c>
      <c r="F2900" s="64" t="s">
        <v>15</v>
      </c>
      <c r="G2900" s="64" t="s">
        <v>3044</v>
      </c>
      <c r="H2900" s="64" t="s">
        <v>3022</v>
      </c>
      <c r="I2900" s="64" t="s">
        <v>3243</v>
      </c>
      <c r="J2900" s="67">
        <v>6086.21</v>
      </c>
      <c r="K2900" s="62">
        <v>48014.24</v>
      </c>
      <c r="L2900" s="33" t="e">
        <f>HLOOKUP(B2900,#REF!,1,0)</f>
        <v>#REF!</v>
      </c>
      <c r="M2900" s="33" t="str">
        <f t="shared" si="183"/>
        <v>P&amp;L</v>
      </c>
    </row>
    <row r="2901" spans="1:13" s="33" customFormat="true" ht="12.75" customHeight="true">
      <c r="A2901" s="33" t="str">
        <f t="shared" si="180"/>
        <v>3SI - Operating Expense</v>
      </c>
      <c r="B2901" s="33" t="str">
        <f t="shared" si="181"/>
        <v>3SI</v>
      </c>
      <c r="C2901" s="33" t="str">
        <f t="shared" si="182"/>
        <v>67001-0865</v>
      </c>
      <c r="D2901" s="64" t="s">
        <v>3592</v>
      </c>
      <c r="E2901" s="64" t="s">
        <v>3242</v>
      </c>
      <c r="F2901" s="64" t="s">
        <v>15</v>
      </c>
      <c r="G2901" s="64" t="s">
        <v>3044</v>
      </c>
      <c r="H2901" s="64" t="s">
        <v>3022</v>
      </c>
      <c r="I2901" s="64" t="s">
        <v>3243</v>
      </c>
      <c r="J2901" s="67">
        <v>0</v>
      </c>
      <c r="K2901" s="62">
        <v>0</v>
      </c>
      <c r="L2901" s="33" t="e">
        <f>HLOOKUP(B2901,#REF!,1,0)</f>
        <v>#REF!</v>
      </c>
      <c r="M2901" s="33" t="str">
        <f t="shared" si="183"/>
        <v>P&amp;L</v>
      </c>
    </row>
    <row r="2902" spans="1:13" s="33" customFormat="true" ht="12.75" customHeight="true">
      <c r="A2902" s="33" t="str">
        <f t="shared" si="180"/>
        <v>3SI - Operating Expense</v>
      </c>
      <c r="B2902" s="33" t="str">
        <f t="shared" si="181"/>
        <v>3SI</v>
      </c>
      <c r="C2902" s="33" t="str">
        <f t="shared" si="182"/>
        <v>67001-7466</v>
      </c>
      <c r="D2902" s="64" t="s">
        <v>3593</v>
      </c>
      <c r="E2902" s="64" t="s">
        <v>3242</v>
      </c>
      <c r="F2902" s="64" t="s">
        <v>15</v>
      </c>
      <c r="G2902" s="64" t="s">
        <v>3044</v>
      </c>
      <c r="H2902" s="64" t="s">
        <v>3022</v>
      </c>
      <c r="I2902" s="64" t="s">
        <v>3243</v>
      </c>
      <c r="J2902" s="67">
        <v>5352.71</v>
      </c>
      <c r="K2902" s="62">
        <v>46860.48</v>
      </c>
      <c r="L2902" s="33" t="e">
        <f>HLOOKUP(B2902,#REF!,1,0)</f>
        <v>#REF!</v>
      </c>
      <c r="M2902" s="33" t="str">
        <f t="shared" si="183"/>
        <v>P&amp;L</v>
      </c>
    </row>
    <row r="2903" spans="1:13" s="33" customFormat="true" ht="12.75" customHeight="true">
      <c r="A2903" s="33" t="str">
        <f t="shared" si="180"/>
        <v>3SI - Operating Expense</v>
      </c>
      <c r="B2903" s="33" t="str">
        <f t="shared" si="181"/>
        <v>3SI</v>
      </c>
      <c r="C2903" s="33" t="str">
        <f t="shared" si="182"/>
        <v>67001-7780</v>
      </c>
      <c r="D2903" s="64" t="s">
        <v>3594</v>
      </c>
      <c r="E2903" s="64" t="s">
        <v>3242</v>
      </c>
      <c r="F2903" s="64" t="s">
        <v>15</v>
      </c>
      <c r="G2903" s="64" t="s">
        <v>3044</v>
      </c>
      <c r="H2903" s="64" t="s">
        <v>3022</v>
      </c>
      <c r="I2903" s="64" t="s">
        <v>3243</v>
      </c>
      <c r="J2903" s="67">
        <v>6917.33</v>
      </c>
      <c r="K2903" s="62">
        <v>57633.56</v>
      </c>
      <c r="L2903" s="33" t="e">
        <f>HLOOKUP(B2903,#REF!,1,0)</f>
        <v>#REF!</v>
      </c>
      <c r="M2903" s="33" t="str">
        <f t="shared" si="183"/>
        <v>P&amp;L</v>
      </c>
    </row>
    <row r="2904" spans="1:13" s="33" customFormat="true" ht="12.75" customHeight="true">
      <c r="A2904" s="33" t="str">
        <f t="shared" si="180"/>
        <v>3SI - Operating Expense</v>
      </c>
      <c r="B2904" s="33" t="str">
        <f t="shared" si="181"/>
        <v>3SI</v>
      </c>
      <c r="C2904" s="33" t="str">
        <f t="shared" si="182"/>
        <v>67501-0863</v>
      </c>
      <c r="D2904" s="64" t="s">
        <v>3595</v>
      </c>
      <c r="E2904" s="64" t="s">
        <v>3248</v>
      </c>
      <c r="F2904" s="64" t="s">
        <v>15</v>
      </c>
      <c r="G2904" s="64" t="s">
        <v>3044</v>
      </c>
      <c r="H2904" s="64" t="s">
        <v>3022</v>
      </c>
      <c r="I2904" s="64" t="s">
        <v>3249</v>
      </c>
      <c r="J2904" s="67">
        <v>9129.32</v>
      </c>
      <c r="K2904" s="62">
        <v>72021.38</v>
      </c>
      <c r="L2904" s="33" t="e">
        <f>HLOOKUP(B2904,#REF!,1,0)</f>
        <v>#REF!</v>
      </c>
      <c r="M2904" s="33" t="str">
        <f t="shared" si="183"/>
        <v>P&amp;L</v>
      </c>
    </row>
    <row r="2905" spans="1:13" s="33" customFormat="true" ht="12.75" customHeight="true">
      <c r="A2905" s="33" t="str">
        <f t="shared" si="180"/>
        <v>3SI - Operating Expense</v>
      </c>
      <c r="B2905" s="33" t="str">
        <f t="shared" si="181"/>
        <v>3SI</v>
      </c>
      <c r="C2905" s="33" t="str">
        <f t="shared" si="182"/>
        <v>67501-0865</v>
      </c>
      <c r="D2905" s="64" t="s">
        <v>3596</v>
      </c>
      <c r="E2905" s="64" t="s">
        <v>3248</v>
      </c>
      <c r="F2905" s="64" t="s">
        <v>15</v>
      </c>
      <c r="G2905" s="64" t="s">
        <v>3044</v>
      </c>
      <c r="H2905" s="64" t="s">
        <v>3022</v>
      </c>
      <c r="I2905" s="64" t="s">
        <v>3249</v>
      </c>
      <c r="J2905" s="67">
        <v>0</v>
      </c>
      <c r="K2905" s="62">
        <v>0</v>
      </c>
      <c r="L2905" s="33" t="e">
        <f>HLOOKUP(B2905,#REF!,1,0)</f>
        <v>#REF!</v>
      </c>
      <c r="M2905" s="33" t="str">
        <f t="shared" si="183"/>
        <v>P&amp;L</v>
      </c>
    </row>
    <row r="2906" spans="1:13" s="33" customFormat="true" ht="12.75" customHeight="true">
      <c r="A2906" s="33" t="str">
        <f t="shared" si="180"/>
        <v>3SI - Operating Expense</v>
      </c>
      <c r="B2906" s="33" t="str">
        <f t="shared" si="181"/>
        <v>3SI</v>
      </c>
      <c r="C2906" s="33" t="str">
        <f t="shared" si="182"/>
        <v>67501-7466</v>
      </c>
      <c r="D2906" s="64" t="s">
        <v>3597</v>
      </c>
      <c r="E2906" s="64" t="s">
        <v>3248</v>
      </c>
      <c r="F2906" s="64" t="s">
        <v>15</v>
      </c>
      <c r="G2906" s="64" t="s">
        <v>3044</v>
      </c>
      <c r="H2906" s="64" t="s">
        <v>3022</v>
      </c>
      <c r="I2906" s="64" t="s">
        <v>3249</v>
      </c>
      <c r="J2906" s="67">
        <v>8029.07</v>
      </c>
      <c r="K2906" s="62">
        <v>70290.73</v>
      </c>
      <c r="L2906" s="33" t="e">
        <f>HLOOKUP(B2906,#REF!,1,0)</f>
        <v>#REF!</v>
      </c>
      <c r="M2906" s="33" t="str">
        <f t="shared" si="183"/>
        <v>P&amp;L</v>
      </c>
    </row>
    <row r="2907" spans="1:13" s="33" customFormat="true" ht="12.75" customHeight="true">
      <c r="A2907" s="33" t="str">
        <f t="shared" si="180"/>
        <v>3SI - Operating Expense</v>
      </c>
      <c r="B2907" s="33" t="str">
        <f t="shared" si="181"/>
        <v>3SI</v>
      </c>
      <c r="C2907" s="33" t="str">
        <f t="shared" si="182"/>
        <v>67501-7780</v>
      </c>
      <c r="D2907" s="64" t="s">
        <v>3598</v>
      </c>
      <c r="E2907" s="64" t="s">
        <v>3248</v>
      </c>
      <c r="F2907" s="64" t="s">
        <v>15</v>
      </c>
      <c r="G2907" s="64" t="s">
        <v>3044</v>
      </c>
      <c r="H2907" s="64" t="s">
        <v>3022</v>
      </c>
      <c r="I2907" s="64" t="s">
        <v>3249</v>
      </c>
      <c r="J2907" s="67">
        <v>10376.02</v>
      </c>
      <c r="K2907" s="62">
        <v>86450.39</v>
      </c>
      <c r="L2907" s="33" t="e">
        <f>HLOOKUP(B2907,#REF!,1,0)</f>
        <v>#REF!</v>
      </c>
      <c r="M2907" s="33" t="str">
        <f t="shared" si="183"/>
        <v>P&amp;L</v>
      </c>
    </row>
    <row r="2908" spans="1:13" s="33" customFormat="true" ht="12.75" customHeight="true">
      <c r="A2908" s="33" t="str">
        <f t="shared" si="180"/>
        <v>3SI - Operating Expense</v>
      </c>
      <c r="B2908" s="33" t="str">
        <f t="shared" si="181"/>
        <v>3SI</v>
      </c>
      <c r="C2908" s="33" t="str">
        <f t="shared" si="182"/>
        <v>68000-0863</v>
      </c>
      <c r="D2908" s="64" t="s">
        <v>3599</v>
      </c>
      <c r="E2908" s="64" t="s">
        <v>3254</v>
      </c>
      <c r="F2908" s="64" t="s">
        <v>15</v>
      </c>
      <c r="G2908" s="64" t="s">
        <v>3044</v>
      </c>
      <c r="H2908" s="64" t="s">
        <v>3022</v>
      </c>
      <c r="I2908" s="64" t="s">
        <v>3255</v>
      </c>
      <c r="J2908" s="67">
        <v>8.51</v>
      </c>
      <c r="K2908" s="62">
        <v>25.53</v>
      </c>
      <c r="L2908" s="33" t="e">
        <f>HLOOKUP(B2908,#REF!,1,0)</f>
        <v>#REF!</v>
      </c>
      <c r="M2908" s="33" t="str">
        <f t="shared" si="183"/>
        <v>P&amp;L</v>
      </c>
    </row>
    <row r="2909" spans="1:13" s="33" customFormat="true" ht="14.25" customHeight="true">
      <c r="A2909" s="33" t="str">
        <f t="shared" si="180"/>
        <v>3SI - Operating Expense</v>
      </c>
      <c r="B2909" s="33" t="str">
        <f t="shared" si="181"/>
        <v>3SI</v>
      </c>
      <c r="C2909" s="33" t="str">
        <f t="shared" si="182"/>
        <v>68000-7466</v>
      </c>
      <c r="D2909" s="64" t="s">
        <v>3600</v>
      </c>
      <c r="E2909" s="64" t="s">
        <v>3254</v>
      </c>
      <c r="F2909" s="64" t="s">
        <v>15</v>
      </c>
      <c r="G2909" s="64" t="s">
        <v>3044</v>
      </c>
      <c r="H2909" s="33" t="s">
        <v>3022</v>
      </c>
      <c r="I2909" s="64" t="s">
        <v>3255</v>
      </c>
      <c r="J2909" s="67">
        <v>736.07</v>
      </c>
      <c r="K2909" s="62">
        <v>7132.02</v>
      </c>
      <c r="L2909" s="33" t="e">
        <f>HLOOKUP(B2909,#REF!,1,0)</f>
        <v>#REF!</v>
      </c>
      <c r="M2909" s="33" t="str">
        <f t="shared" si="183"/>
        <v>P&amp;L</v>
      </c>
    </row>
    <row r="2910" spans="1:13" s="33" customFormat="true" ht="12.75" customHeight="true">
      <c r="A2910" s="33" t="str">
        <f t="shared" si="180"/>
        <v>3SI - Operating Expense</v>
      </c>
      <c r="B2910" s="33" t="str">
        <f t="shared" si="181"/>
        <v>3SI</v>
      </c>
      <c r="C2910" s="33" t="str">
        <f t="shared" si="182"/>
        <v>68000-7780</v>
      </c>
      <c r="D2910" s="64" t="s">
        <v>3601</v>
      </c>
      <c r="E2910" s="64" t="s">
        <v>3254</v>
      </c>
      <c r="F2910" s="64" t="s">
        <v>15</v>
      </c>
      <c r="G2910" s="64" t="s">
        <v>3044</v>
      </c>
      <c r="H2910" s="64" t="s">
        <v>3022</v>
      </c>
      <c r="I2910" s="64" t="s">
        <v>3255</v>
      </c>
      <c r="J2910" s="67">
        <v>0</v>
      </c>
      <c r="K2910" s="62">
        <v>373.53</v>
      </c>
      <c r="L2910" s="33" t="e">
        <f>HLOOKUP(B2910,#REF!,1,0)</f>
        <v>#REF!</v>
      </c>
      <c r="M2910" s="33" t="str">
        <f t="shared" si="183"/>
        <v>P&amp;L</v>
      </c>
    </row>
    <row r="2911" spans="1:13" s="33" customFormat="true" ht="12.75" customHeight="true">
      <c r="A2911" s="33" t="str">
        <f t="shared" si="180"/>
        <v>3SI - Operating Expense</v>
      </c>
      <c r="B2911" s="33" t="str">
        <f t="shared" si="181"/>
        <v>3SI</v>
      </c>
      <c r="C2911" s="33" t="str">
        <f t="shared" si="182"/>
        <v>68001-0863</v>
      </c>
      <c r="D2911" s="64" t="s">
        <v>3602</v>
      </c>
      <c r="E2911" s="64" t="s">
        <v>3260</v>
      </c>
      <c r="F2911" s="64" t="s">
        <v>15</v>
      </c>
      <c r="G2911" s="64" t="s">
        <v>3044</v>
      </c>
      <c r="H2911" s="64" t="s">
        <v>3022</v>
      </c>
      <c r="I2911" s="64" t="s">
        <v>3255</v>
      </c>
      <c r="J2911" s="67">
        <v>145.82</v>
      </c>
      <c r="K2911" s="62">
        <v>1161.39</v>
      </c>
      <c r="L2911" s="33" t="e">
        <f>HLOOKUP(B2911,#REF!,1,0)</f>
        <v>#REF!</v>
      </c>
      <c r="M2911" s="33" t="str">
        <f t="shared" si="183"/>
        <v>P&amp;L</v>
      </c>
    </row>
    <row r="2912" spans="1:13" s="33" customFormat="true" ht="12.75" customHeight="true">
      <c r="A2912" s="33" t="str">
        <f t="shared" si="180"/>
        <v>3SI - Operating Expense</v>
      </c>
      <c r="B2912" s="33" t="str">
        <f t="shared" si="181"/>
        <v>3SI</v>
      </c>
      <c r="C2912" s="33" t="str">
        <f t="shared" si="182"/>
        <v>68001-0865</v>
      </c>
      <c r="D2912" s="64" t="s">
        <v>3603</v>
      </c>
      <c r="E2912" s="64" t="s">
        <v>3260</v>
      </c>
      <c r="F2912" s="64" t="s">
        <v>15</v>
      </c>
      <c r="G2912" s="64" t="s">
        <v>3044</v>
      </c>
      <c r="H2912" s="64" t="s">
        <v>3022</v>
      </c>
      <c r="I2912" s="64" t="s">
        <v>3255</v>
      </c>
      <c r="J2912" s="67">
        <v>0</v>
      </c>
      <c r="K2912" s="62">
        <v>88.6</v>
      </c>
      <c r="L2912" s="33" t="e">
        <f>HLOOKUP(B2912,#REF!,1,0)</f>
        <v>#REF!</v>
      </c>
      <c r="M2912" s="33" t="str">
        <f t="shared" si="183"/>
        <v>P&amp;L</v>
      </c>
    </row>
    <row r="2913" spans="1:13" s="33" customFormat="true" ht="12.75" customHeight="true">
      <c r="A2913" s="33" t="str">
        <f t="shared" si="180"/>
        <v>3SI - Operating Expense</v>
      </c>
      <c r="B2913" s="33" t="str">
        <f t="shared" si="181"/>
        <v>3SI</v>
      </c>
      <c r="C2913" s="33" t="str">
        <f t="shared" si="182"/>
        <v>68001-7466</v>
      </c>
      <c r="D2913" s="64" t="s">
        <v>3604</v>
      </c>
      <c r="E2913" s="64" t="s">
        <v>3260</v>
      </c>
      <c r="F2913" s="64" t="s">
        <v>15</v>
      </c>
      <c r="G2913" s="64" t="s">
        <v>3044</v>
      </c>
      <c r="H2913" s="64" t="s">
        <v>3022</v>
      </c>
      <c r="I2913" s="64" t="s">
        <v>3255</v>
      </c>
      <c r="J2913" s="67">
        <v>144.46</v>
      </c>
      <c r="K2913" s="62">
        <v>1135.72</v>
      </c>
      <c r="L2913" s="33" t="e">
        <f>HLOOKUP(B2913,#REF!,1,0)</f>
        <v>#REF!</v>
      </c>
      <c r="M2913" s="33" t="str">
        <f t="shared" si="183"/>
        <v>P&amp;L</v>
      </c>
    </row>
    <row r="2914" spans="1:13" s="33" customFormat="true" ht="12.75" customHeight="true">
      <c r="A2914" s="33" t="str">
        <f t="shared" si="180"/>
        <v>3SI - Operating Expense</v>
      </c>
      <c r="B2914" s="33" t="str">
        <f t="shared" si="181"/>
        <v>3SI</v>
      </c>
      <c r="C2914" s="33" t="str">
        <f t="shared" si="182"/>
        <v>68001-7780</v>
      </c>
      <c r="D2914" s="64" t="s">
        <v>3605</v>
      </c>
      <c r="E2914" s="64" t="s">
        <v>3260</v>
      </c>
      <c r="F2914" s="64" t="s">
        <v>15</v>
      </c>
      <c r="G2914" s="64" t="s">
        <v>3044</v>
      </c>
      <c r="H2914" s="64" t="s">
        <v>3022</v>
      </c>
      <c r="I2914" s="64" t="s">
        <v>3255</v>
      </c>
      <c r="J2914" s="67">
        <v>152.84</v>
      </c>
      <c r="K2914" s="62">
        <v>1194.49</v>
      </c>
      <c r="L2914" s="33" t="e">
        <f>HLOOKUP(B2914,#REF!,1,0)</f>
        <v>#REF!</v>
      </c>
      <c r="M2914" s="33" t="str">
        <f t="shared" si="183"/>
        <v>P&amp;L</v>
      </c>
    </row>
    <row r="2915" spans="1:13" s="33" customFormat="true" ht="12.75" customHeight="true">
      <c r="A2915" s="33" t="str">
        <f t="shared" si="180"/>
        <v>3SI - Facility</v>
      </c>
      <c r="B2915" s="33" t="str">
        <f t="shared" si="181"/>
        <v>3SI</v>
      </c>
      <c r="C2915" s="33" t="str">
        <f t="shared" si="182"/>
        <v>70001-0863</v>
      </c>
      <c r="D2915" s="64" t="s">
        <v>3606</v>
      </c>
      <c r="E2915" s="64" t="s">
        <v>3265</v>
      </c>
      <c r="F2915" s="64" t="s">
        <v>15</v>
      </c>
      <c r="G2915" s="64" t="s">
        <v>3266</v>
      </c>
      <c r="H2915" s="64" t="s">
        <v>3267</v>
      </c>
      <c r="I2915" s="64" t="s">
        <v>3268</v>
      </c>
      <c r="J2915" s="67">
        <v>14634.67</v>
      </c>
      <c r="K2915" s="62">
        <v>146346.7</v>
      </c>
      <c r="L2915" s="33" t="e">
        <f>HLOOKUP(B2915,#REF!,1,0)</f>
        <v>#REF!</v>
      </c>
      <c r="M2915" s="33" t="str">
        <f t="shared" si="183"/>
        <v>P&amp;L</v>
      </c>
    </row>
    <row r="2916" spans="1:13" s="33" customFormat="true" ht="12.75" customHeight="true">
      <c r="A2916" s="33" t="str">
        <f t="shared" si="180"/>
        <v>3SI - Facility</v>
      </c>
      <c r="B2916" s="33" t="str">
        <f t="shared" si="181"/>
        <v>3SI</v>
      </c>
      <c r="C2916" s="33" t="str">
        <f t="shared" si="182"/>
        <v>70001-0865</v>
      </c>
      <c r="D2916" s="64" t="s">
        <v>3607</v>
      </c>
      <c r="E2916" s="64" t="s">
        <v>3265</v>
      </c>
      <c r="F2916" s="64" t="s">
        <v>15</v>
      </c>
      <c r="G2916" s="64" t="s">
        <v>3266</v>
      </c>
      <c r="H2916" s="64" t="s">
        <v>3267</v>
      </c>
      <c r="I2916" s="64" t="s">
        <v>3268</v>
      </c>
      <c r="J2916" s="67">
        <v>0</v>
      </c>
      <c r="K2916" s="62">
        <v>13312.88</v>
      </c>
      <c r="L2916" s="33" t="e">
        <f>HLOOKUP(B2916,#REF!,1,0)</f>
        <v>#REF!</v>
      </c>
      <c r="M2916" s="33" t="str">
        <f t="shared" si="183"/>
        <v>P&amp;L</v>
      </c>
    </row>
    <row r="2917" spans="1:13" s="33" customFormat="true" ht="12.75" customHeight="true">
      <c r="A2917" s="33" t="str">
        <f t="shared" si="180"/>
        <v>3SI - Facility</v>
      </c>
      <c r="B2917" s="33" t="str">
        <f t="shared" si="181"/>
        <v>3SI</v>
      </c>
      <c r="C2917" s="33" t="str">
        <f t="shared" si="182"/>
        <v>70001-7466</v>
      </c>
      <c r="D2917" s="64" t="s">
        <v>3608</v>
      </c>
      <c r="E2917" s="64" t="s">
        <v>3265</v>
      </c>
      <c r="F2917" s="64" t="s">
        <v>15</v>
      </c>
      <c r="G2917" s="64" t="s">
        <v>3266</v>
      </c>
      <c r="H2917" s="64" t="s">
        <v>3267</v>
      </c>
      <c r="I2917" s="64" t="s">
        <v>3268</v>
      </c>
      <c r="J2917" s="67">
        <v>6432.56</v>
      </c>
      <c r="K2917" s="62">
        <v>64325.6</v>
      </c>
      <c r="L2917" s="33" t="e">
        <f>HLOOKUP(B2917,#REF!,1,0)</f>
        <v>#REF!</v>
      </c>
      <c r="M2917" s="33" t="str">
        <f t="shared" si="183"/>
        <v>P&amp;L</v>
      </c>
    </row>
    <row r="2918" spans="1:13" s="33" customFormat="true" ht="12.75" customHeight="true">
      <c r="A2918" s="33" t="str">
        <f t="shared" si="180"/>
        <v>3SI - Facility</v>
      </c>
      <c r="B2918" s="33" t="str">
        <f t="shared" si="181"/>
        <v>3SI</v>
      </c>
      <c r="C2918" s="33" t="str">
        <f t="shared" si="182"/>
        <v>70002-7780</v>
      </c>
      <c r="D2918" s="64" t="s">
        <v>3609</v>
      </c>
      <c r="E2918" s="64" t="s">
        <v>3272</v>
      </c>
      <c r="F2918" s="64" t="s">
        <v>15</v>
      </c>
      <c r="G2918" s="64" t="s">
        <v>3266</v>
      </c>
      <c r="H2918" s="64" t="s">
        <v>3267</v>
      </c>
      <c r="I2918" s="64" t="s">
        <v>3268</v>
      </c>
      <c r="J2918" s="67">
        <v>8583.33</v>
      </c>
      <c r="K2918" s="62">
        <v>85833.3</v>
      </c>
      <c r="L2918" s="33" t="e">
        <f>HLOOKUP(B2918,#REF!,1,0)</f>
        <v>#REF!</v>
      </c>
      <c r="M2918" s="33" t="str">
        <f t="shared" si="183"/>
        <v>P&amp;L</v>
      </c>
    </row>
    <row r="2919" spans="1:13" s="33" customFormat="true" ht="12.75" customHeight="true">
      <c r="A2919" s="33" t="str">
        <f t="shared" si="180"/>
        <v>3SI - Facility</v>
      </c>
      <c r="B2919" s="33" t="str">
        <f t="shared" si="181"/>
        <v>3SI</v>
      </c>
      <c r="C2919" s="33" t="str">
        <f t="shared" si="182"/>
        <v>71001-0863</v>
      </c>
      <c r="D2919" s="64" t="s">
        <v>3610</v>
      </c>
      <c r="E2919" s="64" t="s">
        <v>3274</v>
      </c>
      <c r="F2919" s="64" t="s">
        <v>15</v>
      </c>
      <c r="G2919" s="64" t="s">
        <v>3266</v>
      </c>
      <c r="H2919" s="64" t="s">
        <v>3267</v>
      </c>
      <c r="I2919" s="64" t="s">
        <v>3275</v>
      </c>
      <c r="J2919" s="67">
        <v>208.33</v>
      </c>
      <c r="K2919" s="62">
        <v>16385.76</v>
      </c>
      <c r="L2919" s="33" t="e">
        <f>HLOOKUP(B2919,#REF!,1,0)</f>
        <v>#REF!</v>
      </c>
      <c r="M2919" s="33" t="str">
        <f t="shared" si="183"/>
        <v>P&amp;L</v>
      </c>
    </row>
    <row r="2920" spans="1:13" s="33" customFormat="true" ht="12.75" customHeight="true">
      <c r="A2920" s="33" t="str">
        <f t="shared" si="180"/>
        <v>3SI - Facility</v>
      </c>
      <c r="B2920" s="33" t="str">
        <f t="shared" si="181"/>
        <v>3SI</v>
      </c>
      <c r="C2920" s="33" t="str">
        <f t="shared" si="182"/>
        <v>71001-0865</v>
      </c>
      <c r="D2920" s="64" t="s">
        <v>3611</v>
      </c>
      <c r="E2920" s="64" t="s">
        <v>3274</v>
      </c>
      <c r="F2920" s="64" t="s">
        <v>15</v>
      </c>
      <c r="G2920" s="64" t="s">
        <v>3266</v>
      </c>
      <c r="H2920" s="64" t="s">
        <v>3267</v>
      </c>
      <c r="I2920" s="64" t="s">
        <v>3275</v>
      </c>
      <c r="J2920" s="67">
        <v>0</v>
      </c>
      <c r="K2920" s="62">
        <v>238.09</v>
      </c>
      <c r="L2920" s="33" t="e">
        <f>HLOOKUP(B2920,#REF!,1,0)</f>
        <v>#REF!</v>
      </c>
      <c r="M2920" s="33" t="str">
        <f t="shared" si="183"/>
        <v>P&amp;L</v>
      </c>
    </row>
    <row r="2921" spans="1:13" s="33" customFormat="true" ht="12.75" customHeight="true">
      <c r="A2921" s="33" t="str">
        <f t="shared" si="180"/>
        <v>3SI - Facility</v>
      </c>
      <c r="B2921" s="33" t="str">
        <f t="shared" si="181"/>
        <v>3SI</v>
      </c>
      <c r="C2921" s="33" t="str">
        <f t="shared" si="182"/>
        <v>71001-7466</v>
      </c>
      <c r="D2921" s="64" t="s">
        <v>3612</v>
      </c>
      <c r="E2921" s="64" t="s">
        <v>3274</v>
      </c>
      <c r="F2921" s="64" t="s">
        <v>15</v>
      </c>
      <c r="G2921" s="64" t="s">
        <v>3266</v>
      </c>
      <c r="H2921" s="64" t="s">
        <v>3267</v>
      </c>
      <c r="I2921" s="64" t="s">
        <v>3275</v>
      </c>
      <c r="J2921" s="67">
        <v>570.14</v>
      </c>
      <c r="K2921" s="62">
        <v>7120.91</v>
      </c>
      <c r="L2921" s="33" t="e">
        <f>HLOOKUP(B2921,#REF!,1,0)</f>
        <v>#REF!</v>
      </c>
      <c r="M2921" s="33" t="str">
        <f t="shared" si="183"/>
        <v>P&amp;L</v>
      </c>
    </row>
    <row r="2922" spans="1:13" s="33" customFormat="true" ht="12.75" customHeight="true">
      <c r="A2922" s="33" t="str">
        <f t="shared" si="180"/>
        <v>3SI - Facility</v>
      </c>
      <c r="B2922" s="33" t="str">
        <f t="shared" si="181"/>
        <v>3SI</v>
      </c>
      <c r="C2922" s="33" t="str">
        <f t="shared" si="182"/>
        <v>72001-0863</v>
      </c>
      <c r="D2922" s="64" t="s">
        <v>3613</v>
      </c>
      <c r="E2922" s="64" t="s">
        <v>3279</v>
      </c>
      <c r="F2922" s="64" t="s">
        <v>15</v>
      </c>
      <c r="G2922" s="64" t="s">
        <v>3266</v>
      </c>
      <c r="H2922" s="64" t="s">
        <v>3267</v>
      </c>
      <c r="I2922" s="64" t="s">
        <v>3280</v>
      </c>
      <c r="J2922" s="67">
        <v>774</v>
      </c>
      <c r="K2922" s="62">
        <v>6002.81</v>
      </c>
      <c r="L2922" s="33" t="e">
        <f>HLOOKUP(B2922,#REF!,1,0)</f>
        <v>#REF!</v>
      </c>
      <c r="M2922" s="33" t="str">
        <f t="shared" si="183"/>
        <v>P&amp;L</v>
      </c>
    </row>
    <row r="2923" spans="1:13" s="33" customFormat="true" ht="12.75" customHeight="true">
      <c r="A2923" s="33" t="str">
        <f t="shared" si="180"/>
        <v>3SI - Facility</v>
      </c>
      <c r="B2923" s="33" t="str">
        <f t="shared" si="181"/>
        <v>3SI</v>
      </c>
      <c r="C2923" s="33" t="str">
        <f t="shared" si="182"/>
        <v>72001-0865</v>
      </c>
      <c r="D2923" s="64" t="s">
        <v>3614</v>
      </c>
      <c r="E2923" s="64" t="s">
        <v>3279</v>
      </c>
      <c r="F2923" s="64" t="s">
        <v>15</v>
      </c>
      <c r="G2923" s="64" t="s">
        <v>3266</v>
      </c>
      <c r="H2923" s="64" t="s">
        <v>3267</v>
      </c>
      <c r="I2923" s="64" t="s">
        <v>3280</v>
      </c>
      <c r="J2923" s="67">
        <v>0</v>
      </c>
      <c r="K2923" s="62">
        <v>4967.94</v>
      </c>
      <c r="L2923" s="33" t="e">
        <f>HLOOKUP(B2923,#REF!,1,0)</f>
        <v>#REF!</v>
      </c>
      <c r="M2923" s="33" t="str">
        <f t="shared" si="183"/>
        <v>P&amp;L</v>
      </c>
    </row>
    <row r="2924" spans="1:13" s="33" customFormat="true" ht="12.75" customHeight="true">
      <c r="A2924" s="33" t="str">
        <f t="shared" si="180"/>
        <v>3SI - Facility</v>
      </c>
      <c r="B2924" s="33" t="str">
        <f t="shared" si="181"/>
        <v>3SI</v>
      </c>
      <c r="C2924" s="33" t="str">
        <f t="shared" si="182"/>
        <v>72001-7466</v>
      </c>
      <c r="D2924" s="64" t="s">
        <v>3615</v>
      </c>
      <c r="E2924" s="64" t="s">
        <v>3279</v>
      </c>
      <c r="F2924" s="64" t="s">
        <v>15</v>
      </c>
      <c r="G2924" s="64" t="s">
        <v>3266</v>
      </c>
      <c r="H2924" s="64" t="s">
        <v>3267</v>
      </c>
      <c r="I2924" s="64" t="s">
        <v>3280</v>
      </c>
      <c r="J2924" s="67">
        <v>0</v>
      </c>
      <c r="K2924" s="62">
        <v>12146.55</v>
      </c>
      <c r="L2924" s="33" t="e">
        <f>HLOOKUP(B2924,#REF!,1,0)</f>
        <v>#REF!</v>
      </c>
      <c r="M2924" s="33" t="str">
        <f t="shared" si="183"/>
        <v>P&amp;L</v>
      </c>
    </row>
    <row r="2925" spans="1:13" s="33" customFormat="true" ht="12.75" customHeight="true">
      <c r="A2925" s="33" t="str">
        <f t="shared" si="180"/>
        <v>3SI - Facility</v>
      </c>
      <c r="B2925" s="33" t="str">
        <f t="shared" si="181"/>
        <v>3SI</v>
      </c>
      <c r="C2925" s="33" t="str">
        <f t="shared" si="182"/>
        <v>72001-7780</v>
      </c>
      <c r="D2925" s="64" t="s">
        <v>3616</v>
      </c>
      <c r="E2925" s="64" t="s">
        <v>3279</v>
      </c>
      <c r="F2925" s="64" t="s">
        <v>15</v>
      </c>
      <c r="G2925" s="64" t="s">
        <v>3266</v>
      </c>
      <c r="H2925" s="64" t="s">
        <v>3267</v>
      </c>
      <c r="I2925" s="64" t="s">
        <v>3280</v>
      </c>
      <c r="J2925" s="67">
        <v>0</v>
      </c>
      <c r="K2925" s="62">
        <v>9178.21</v>
      </c>
      <c r="L2925" s="33" t="e">
        <f>HLOOKUP(B2925,#REF!,1,0)</f>
        <v>#REF!</v>
      </c>
      <c r="M2925" s="33" t="str">
        <f t="shared" si="183"/>
        <v>P&amp;L</v>
      </c>
    </row>
    <row r="2926" spans="1:13" s="33" customFormat="true" ht="12.75" customHeight="true">
      <c r="A2926" s="33" t="str">
        <f t="shared" si="180"/>
        <v>3SI - Facility</v>
      </c>
      <c r="B2926" s="33" t="str">
        <f t="shared" si="181"/>
        <v>3SI</v>
      </c>
      <c r="C2926" s="33" t="str">
        <f t="shared" si="182"/>
        <v>74001-0000</v>
      </c>
      <c r="D2926" s="64" t="s">
        <v>3617</v>
      </c>
      <c r="E2926" s="64" t="s">
        <v>3288</v>
      </c>
      <c r="F2926" s="64" t="s">
        <v>15</v>
      </c>
      <c r="G2926" s="64" t="s">
        <v>3266</v>
      </c>
      <c r="H2926" s="64" t="s">
        <v>3267</v>
      </c>
      <c r="I2926" s="64" t="s">
        <v>3286</v>
      </c>
      <c r="J2926" s="67">
        <v>618.19</v>
      </c>
      <c r="K2926" s="62">
        <v>618.19</v>
      </c>
      <c r="L2926" s="33" t="e">
        <f>HLOOKUP(B2926,#REF!,1,0)</f>
        <v>#REF!</v>
      </c>
      <c r="M2926" s="33" t="str">
        <f t="shared" si="183"/>
        <v>P&amp;L</v>
      </c>
    </row>
    <row r="2927" spans="1:13" s="33" customFormat="true" ht="12.75" customHeight="true">
      <c r="A2927" s="33" t="str">
        <f t="shared" si="180"/>
        <v>3SI - Facility</v>
      </c>
      <c r="B2927" s="33" t="str">
        <f t="shared" si="181"/>
        <v>3SI</v>
      </c>
      <c r="C2927" s="33" t="str">
        <f t="shared" si="182"/>
        <v>74001-0863</v>
      </c>
      <c r="D2927" s="64" t="s">
        <v>3618</v>
      </c>
      <c r="E2927" s="64" t="s">
        <v>3288</v>
      </c>
      <c r="F2927" s="64" t="s">
        <v>15</v>
      </c>
      <c r="G2927" s="64" t="s">
        <v>3266</v>
      </c>
      <c r="H2927" s="64" t="s">
        <v>3267</v>
      </c>
      <c r="I2927" s="64" t="s">
        <v>3286</v>
      </c>
      <c r="J2927" s="67">
        <v>439.62</v>
      </c>
      <c r="K2927" s="62">
        <v>4243.06</v>
      </c>
      <c r="L2927" s="33" t="e">
        <f>HLOOKUP(B2927,#REF!,1,0)</f>
        <v>#REF!</v>
      </c>
      <c r="M2927" s="33" t="str">
        <f t="shared" si="183"/>
        <v>P&amp;L</v>
      </c>
    </row>
    <row r="2928" spans="1:13" s="33" customFormat="true" ht="12.75" customHeight="true">
      <c r="A2928" s="33" t="str">
        <f t="shared" si="180"/>
        <v>3SI - Facility</v>
      </c>
      <c r="B2928" s="33" t="str">
        <f t="shared" si="181"/>
        <v>3SI</v>
      </c>
      <c r="C2928" s="33" t="str">
        <f t="shared" si="182"/>
        <v>74001-0865</v>
      </c>
      <c r="D2928" s="64" t="s">
        <v>3619</v>
      </c>
      <c r="E2928" s="64" t="s">
        <v>3288</v>
      </c>
      <c r="F2928" s="64" t="s">
        <v>15</v>
      </c>
      <c r="G2928" s="64" t="s">
        <v>3266</v>
      </c>
      <c r="H2928" s="64" t="s">
        <v>3267</v>
      </c>
      <c r="I2928" s="64" t="s">
        <v>3286</v>
      </c>
      <c r="J2928" s="67">
        <v>0</v>
      </c>
      <c r="K2928" s="62">
        <v>528.18</v>
      </c>
      <c r="L2928" s="33" t="e">
        <f>HLOOKUP(B2928,#REF!,1,0)</f>
        <v>#REF!</v>
      </c>
      <c r="M2928" s="33" t="str">
        <f t="shared" si="183"/>
        <v>P&amp;L</v>
      </c>
    </row>
    <row r="2929" spans="1:13" s="33" customFormat="true" ht="12.75" customHeight="true">
      <c r="A2929" s="33" t="str">
        <f t="shared" si="180"/>
        <v>3SI - Facility</v>
      </c>
      <c r="B2929" s="33" t="str">
        <f t="shared" si="181"/>
        <v>3SI</v>
      </c>
      <c r="C2929" s="33" t="str">
        <f t="shared" si="182"/>
        <v>74001-7466</v>
      </c>
      <c r="D2929" s="64" t="s">
        <v>3620</v>
      </c>
      <c r="E2929" s="64" t="s">
        <v>3288</v>
      </c>
      <c r="F2929" s="64" t="s">
        <v>15</v>
      </c>
      <c r="G2929" s="64" t="s">
        <v>3266</v>
      </c>
      <c r="H2929" s="64" t="s">
        <v>3267</v>
      </c>
      <c r="I2929" s="64" t="s">
        <v>3286</v>
      </c>
      <c r="J2929" s="67">
        <v>439.62</v>
      </c>
      <c r="K2929" s="62">
        <v>4243.06</v>
      </c>
      <c r="L2929" s="33" t="e">
        <f>HLOOKUP(B2929,#REF!,1,0)</f>
        <v>#REF!</v>
      </c>
      <c r="M2929" s="33" t="str">
        <f t="shared" si="183"/>
        <v>P&amp;L</v>
      </c>
    </row>
    <row r="2930" spans="1:13" s="33" customFormat="true" ht="12.75" customHeight="true">
      <c r="A2930" s="33" t="str">
        <f t="shared" si="180"/>
        <v>3SI - Facility</v>
      </c>
      <c r="B2930" s="33" t="str">
        <f t="shared" si="181"/>
        <v>3SI</v>
      </c>
      <c r="C2930" s="33" t="str">
        <f t="shared" si="182"/>
        <v>74001-7780</v>
      </c>
      <c r="D2930" s="64" t="s">
        <v>3621</v>
      </c>
      <c r="E2930" s="64" t="s">
        <v>3288</v>
      </c>
      <c r="F2930" s="64" t="s">
        <v>15</v>
      </c>
      <c r="G2930" s="64" t="s">
        <v>3266</v>
      </c>
      <c r="H2930" s="64" t="s">
        <v>3267</v>
      </c>
      <c r="I2930" s="64" t="s">
        <v>3286</v>
      </c>
      <c r="J2930" s="67">
        <v>439.62</v>
      </c>
      <c r="K2930" s="62">
        <v>4243.06</v>
      </c>
      <c r="L2930" s="33" t="e">
        <f>HLOOKUP(B2930,#REF!,1,0)</f>
        <v>#REF!</v>
      </c>
      <c r="M2930" s="33" t="str">
        <f t="shared" si="183"/>
        <v>P&amp;L</v>
      </c>
    </row>
    <row r="2931" spans="1:13" s="33" customFormat="true" ht="12.75" customHeight="true">
      <c r="A2931" s="33" t="str">
        <f t="shared" si="180"/>
        <v>3SI - Facility</v>
      </c>
      <c r="B2931" s="33" t="str">
        <f t="shared" si="181"/>
        <v>3SI</v>
      </c>
      <c r="C2931" s="33" t="str">
        <f t="shared" si="182"/>
        <v>75001-0863</v>
      </c>
      <c r="D2931" s="64" t="s">
        <v>3622</v>
      </c>
      <c r="E2931" s="64" t="s">
        <v>3293</v>
      </c>
      <c r="F2931" s="64" t="s">
        <v>15</v>
      </c>
      <c r="G2931" s="64" t="s">
        <v>3266</v>
      </c>
      <c r="H2931" s="64" t="s">
        <v>3267</v>
      </c>
      <c r="I2931" s="64" t="s">
        <v>3294</v>
      </c>
      <c r="J2931" s="67">
        <v>0</v>
      </c>
      <c r="K2931" s="62">
        <v>940.03</v>
      </c>
      <c r="L2931" s="33" t="e">
        <f>HLOOKUP(B2931,#REF!,1,0)</f>
        <v>#REF!</v>
      </c>
      <c r="M2931" s="33" t="str">
        <f t="shared" si="183"/>
        <v>P&amp;L</v>
      </c>
    </row>
    <row r="2932" spans="1:13" s="33" customFormat="true" ht="12.75" customHeight="true">
      <c r="A2932" s="33" t="str">
        <f t="shared" si="180"/>
        <v>3SI - Facility</v>
      </c>
      <c r="B2932" s="33" t="str">
        <f t="shared" si="181"/>
        <v>3SI</v>
      </c>
      <c r="C2932" s="33" t="str">
        <f t="shared" si="182"/>
        <v>75001-7466</v>
      </c>
      <c r="D2932" s="64" t="s">
        <v>3623</v>
      </c>
      <c r="E2932" s="64" t="s">
        <v>3293</v>
      </c>
      <c r="F2932" s="64" t="s">
        <v>15</v>
      </c>
      <c r="G2932" s="64" t="s">
        <v>3266</v>
      </c>
      <c r="H2932" s="64" t="s">
        <v>3267</v>
      </c>
      <c r="I2932" s="64" t="s">
        <v>3294</v>
      </c>
      <c r="J2932" s="67">
        <v>0</v>
      </c>
      <c r="K2932" s="62">
        <v>779.62</v>
      </c>
      <c r="L2932" s="33" t="e">
        <f>HLOOKUP(B2932,#REF!,1,0)</f>
        <v>#REF!</v>
      </c>
      <c r="M2932" s="33" t="str">
        <f t="shared" si="183"/>
        <v>P&amp;L</v>
      </c>
    </row>
    <row r="2933" spans="1:13" s="33" customFormat="true" ht="12.75" customHeight="true">
      <c r="A2933" s="33" t="str">
        <f t="shared" si="180"/>
        <v>3SI - Facility</v>
      </c>
      <c r="B2933" s="33" t="str">
        <f t="shared" si="181"/>
        <v>3SI</v>
      </c>
      <c r="C2933" s="33" t="str">
        <f t="shared" si="182"/>
        <v>75001-7780</v>
      </c>
      <c r="D2933" s="64" t="s">
        <v>3624</v>
      </c>
      <c r="E2933" s="64" t="s">
        <v>3293</v>
      </c>
      <c r="F2933" s="64" t="s">
        <v>15</v>
      </c>
      <c r="G2933" s="64" t="s">
        <v>3266</v>
      </c>
      <c r="H2933" s="64" t="s">
        <v>3267</v>
      </c>
      <c r="I2933" s="64" t="s">
        <v>3294</v>
      </c>
      <c r="J2933" s="67">
        <v>0</v>
      </c>
      <c r="K2933" s="62">
        <v>881.62</v>
      </c>
      <c r="L2933" s="33" t="e">
        <f>HLOOKUP(B2933,#REF!,1,0)</f>
        <v>#REF!</v>
      </c>
      <c r="M2933" s="33" t="str">
        <f t="shared" si="183"/>
        <v>P&amp;L</v>
      </c>
    </row>
    <row r="2934" spans="1:13" s="33" customFormat="true" ht="12.75" customHeight="true">
      <c r="A2934" s="33" t="str">
        <f t="shared" si="180"/>
        <v>3SI - Other Income/Expense</v>
      </c>
      <c r="B2934" s="33" t="str">
        <f t="shared" si="181"/>
        <v>3SI</v>
      </c>
      <c r="C2934" s="33" t="str">
        <f t="shared" si="182"/>
        <v>80001-0863</v>
      </c>
      <c r="D2934" s="64" t="s">
        <v>3625</v>
      </c>
      <c r="E2934" s="64" t="s">
        <v>3299</v>
      </c>
      <c r="F2934" s="64" t="s">
        <v>15</v>
      </c>
      <c r="G2934" s="64" t="s">
        <v>3021</v>
      </c>
      <c r="H2934" s="64" t="s">
        <v>3300</v>
      </c>
      <c r="I2934" s="64" t="s">
        <v>3023</v>
      </c>
      <c r="J2934" s="67">
        <v>0</v>
      </c>
      <c r="K2934" s="62">
        <v>0.34</v>
      </c>
      <c r="L2934" s="33" t="e">
        <f>HLOOKUP(B2934,#REF!,1,0)</f>
        <v>#REF!</v>
      </c>
      <c r="M2934" s="33" t="str">
        <f t="shared" si="183"/>
        <v>P&amp;L</v>
      </c>
    </row>
    <row r="2935" spans="1:13" s="33" customFormat="true" ht="12.75" customHeight="true">
      <c r="A2935" s="33" t="str">
        <f t="shared" si="180"/>
        <v>3SI - Other Income/Expense</v>
      </c>
      <c r="B2935" s="33" t="str">
        <f t="shared" si="181"/>
        <v>3SI</v>
      </c>
      <c r="C2935" s="33" t="str">
        <f t="shared" si="182"/>
        <v>80001-0865</v>
      </c>
      <c r="D2935" s="64" t="s">
        <v>3626</v>
      </c>
      <c r="E2935" s="64" t="s">
        <v>3299</v>
      </c>
      <c r="F2935" s="64" t="s">
        <v>15</v>
      </c>
      <c r="G2935" s="64" t="s">
        <v>3021</v>
      </c>
      <c r="H2935" s="64" t="s">
        <v>3300</v>
      </c>
      <c r="I2935" s="64" t="s">
        <v>3023</v>
      </c>
      <c r="J2935" s="67">
        <v>0</v>
      </c>
      <c r="K2935" s="62">
        <v>0</v>
      </c>
      <c r="L2935" s="33" t="e">
        <f>HLOOKUP(B2935,#REF!,1,0)</f>
        <v>#REF!</v>
      </c>
      <c r="M2935" s="33" t="str">
        <f t="shared" si="183"/>
        <v>P&amp;L</v>
      </c>
    </row>
    <row r="2936" spans="1:13" s="33" customFormat="true" ht="12.75" customHeight="true">
      <c r="A2936" s="33" t="str">
        <f t="shared" si="180"/>
        <v>3SI - Other Income/Expense</v>
      </c>
      <c r="B2936" s="33" t="str">
        <f t="shared" si="181"/>
        <v>3SI</v>
      </c>
      <c r="C2936" s="33" t="str">
        <f t="shared" si="182"/>
        <v>80001-7466</v>
      </c>
      <c r="D2936" s="64" t="s">
        <v>3627</v>
      </c>
      <c r="E2936" s="64" t="s">
        <v>3299</v>
      </c>
      <c r="F2936" s="64" t="s">
        <v>15</v>
      </c>
      <c r="G2936" s="64" t="s">
        <v>3021</v>
      </c>
      <c r="H2936" s="64" t="s">
        <v>3300</v>
      </c>
      <c r="I2936" s="64" t="s">
        <v>3023</v>
      </c>
      <c r="J2936" s="67">
        <v>0</v>
      </c>
      <c r="K2936" s="62">
        <v>0</v>
      </c>
      <c r="L2936" s="33" t="e">
        <f>HLOOKUP(B2936,#REF!,1,0)</f>
        <v>#REF!</v>
      </c>
      <c r="M2936" s="33" t="str">
        <f t="shared" si="183"/>
        <v>P&amp;L</v>
      </c>
    </row>
    <row r="2937" spans="1:13" s="33" customFormat="true" ht="12.75" customHeight="true">
      <c r="A2937" s="33" t="str">
        <f t="shared" si="180"/>
        <v>3SI - Other Income/Expense</v>
      </c>
      <c r="B2937" s="33" t="str">
        <f t="shared" si="181"/>
        <v>3SI</v>
      </c>
      <c r="C2937" s="33" t="str">
        <f t="shared" si="182"/>
        <v>80001-7780</v>
      </c>
      <c r="D2937" s="64" t="s">
        <v>3628</v>
      </c>
      <c r="E2937" s="64" t="s">
        <v>3299</v>
      </c>
      <c r="F2937" s="64" t="s">
        <v>15</v>
      </c>
      <c r="G2937" s="64" t="s">
        <v>3021</v>
      </c>
      <c r="H2937" s="64" t="s">
        <v>3300</v>
      </c>
      <c r="I2937" s="64" t="s">
        <v>3023</v>
      </c>
      <c r="J2937" s="67">
        <v>0</v>
      </c>
      <c r="K2937" s="62">
        <v>227.98</v>
      </c>
      <c r="L2937" s="33" t="e">
        <f>HLOOKUP(B2937,#REF!,1,0)</f>
        <v>#REF!</v>
      </c>
      <c r="M2937" s="33" t="str">
        <f t="shared" si="183"/>
        <v>P&amp;L</v>
      </c>
    </row>
    <row r="2938" spans="1:13" s="33" customFormat="true" ht="12.75" customHeight="true">
      <c r="A2938" s="33" t="str">
        <f t="shared" si="180"/>
        <v>3SI - Other Income/Expense</v>
      </c>
      <c r="B2938" s="33" t="str">
        <f t="shared" si="181"/>
        <v>3SI</v>
      </c>
      <c r="C2938" s="33" t="str">
        <f t="shared" si="182"/>
        <v>90601-0000</v>
      </c>
      <c r="D2938" s="64" t="s">
        <v>3629</v>
      </c>
      <c r="E2938" s="64" t="s">
        <v>3315</v>
      </c>
      <c r="F2938" s="64" t="s">
        <v>15</v>
      </c>
      <c r="G2938" s="64" t="s">
        <v>3017</v>
      </c>
      <c r="H2938" s="64" t="s">
        <v>3300</v>
      </c>
      <c r="I2938" s="64" t="s">
        <v>3316</v>
      </c>
      <c r="J2938" s="67">
        <v>0</v>
      </c>
      <c r="K2938" s="62">
        <v>527.93</v>
      </c>
      <c r="L2938" s="33" t="e">
        <f>HLOOKUP(B2938,#REF!,1,0)</f>
        <v>#REF!</v>
      </c>
      <c r="M2938" s="33" t="str">
        <f t="shared" si="183"/>
        <v>P&amp;L</v>
      </c>
    </row>
    <row r="2939" spans="1:13" s="33" customFormat="true" ht="12.75" customHeight="true">
      <c r="A2939" s="33" t="str">
        <f t="shared" si="180"/>
        <v>3SI - Other Income/Expense</v>
      </c>
      <c r="B2939" s="33" t="str">
        <f t="shared" si="181"/>
        <v>3SI</v>
      </c>
      <c r="C2939" s="33" t="str">
        <f t="shared" si="182"/>
        <v>91801-0863</v>
      </c>
      <c r="D2939" s="64" t="s">
        <v>3630</v>
      </c>
      <c r="E2939" s="64" t="s">
        <v>3318</v>
      </c>
      <c r="F2939" s="64" t="s">
        <v>15</v>
      </c>
      <c r="G2939" s="64" t="s">
        <v>3017</v>
      </c>
      <c r="H2939" s="64" t="s">
        <v>3300</v>
      </c>
      <c r="I2939" s="64" t="s">
        <v>3319</v>
      </c>
      <c r="J2939" s="67">
        <v>0</v>
      </c>
      <c r="K2939" s="62">
        <v>100</v>
      </c>
      <c r="L2939" s="33" t="e">
        <f>HLOOKUP(B2939,#REF!,1,0)</f>
        <v>#REF!</v>
      </c>
      <c r="M2939" s="33" t="str">
        <f t="shared" si="183"/>
        <v>P&amp;L</v>
      </c>
    </row>
    <row r="2940" spans="1:13" s="33" customFormat="true" ht="12.75" customHeight="true">
      <c r="A2940" s="33" t="str">
        <f t="shared" si="180"/>
        <v>3SI - Other Income/Expense</v>
      </c>
      <c r="B2940" s="33" t="str">
        <f t="shared" si="181"/>
        <v>3SI</v>
      </c>
      <c r="C2940" s="33" t="str">
        <f t="shared" si="182"/>
        <v>91801-7466</v>
      </c>
      <c r="D2940" s="64" t="s">
        <v>3631</v>
      </c>
      <c r="E2940" s="64" t="s">
        <v>3318</v>
      </c>
      <c r="F2940" s="64" t="s">
        <v>15</v>
      </c>
      <c r="G2940" s="64" t="s">
        <v>3017</v>
      </c>
      <c r="H2940" s="64" t="s">
        <v>3300</v>
      </c>
      <c r="I2940" s="64" t="s">
        <v>3319</v>
      </c>
      <c r="J2940" s="67">
        <v>0</v>
      </c>
      <c r="K2940" s="62">
        <v>100</v>
      </c>
      <c r="L2940" s="33" t="e">
        <f>HLOOKUP(B2940,#REF!,1,0)</f>
        <v>#REF!</v>
      </c>
      <c r="M2940" s="33" t="str">
        <f t="shared" si="183"/>
        <v>P&amp;L</v>
      </c>
    </row>
    <row r="2941" spans="1:13" s="33" customFormat="true" ht="12.75" customHeight="true">
      <c r="A2941" s="33" t="str">
        <f t="shared" si="180"/>
        <v>3SI - Other Income/Expense</v>
      </c>
      <c r="B2941" s="33" t="str">
        <f t="shared" si="181"/>
        <v>3SI</v>
      </c>
      <c r="C2941" s="33" t="str">
        <f t="shared" si="182"/>
        <v>91801-7780</v>
      </c>
      <c r="D2941" s="64" t="s">
        <v>3632</v>
      </c>
      <c r="E2941" s="64" t="s">
        <v>3318</v>
      </c>
      <c r="F2941" s="64" t="s">
        <v>15</v>
      </c>
      <c r="G2941" s="64" t="s">
        <v>3017</v>
      </c>
      <c r="H2941" s="64" t="s">
        <v>3300</v>
      </c>
      <c r="I2941" s="64" t="s">
        <v>3319</v>
      </c>
      <c r="J2941" s="67">
        <v>0</v>
      </c>
      <c r="K2941" s="62">
        <v>100</v>
      </c>
      <c r="L2941" s="33" t="e">
        <f>HLOOKUP(B2941,#REF!,1,0)</f>
        <v>#REF!</v>
      </c>
      <c r="M2941" s="33" t="str">
        <f t="shared" si="183"/>
        <v>P&amp;L</v>
      </c>
    </row>
    <row r="2942" spans="1:13" s="33" customFormat="true" ht="12.75" customHeight="true">
      <c r="A2942" s="33" t="str">
        <f t="shared" si="180"/>
        <v>3SI - Interest Expense</v>
      </c>
      <c r="B2942" s="33" t="str">
        <f t="shared" si="181"/>
        <v>3SI</v>
      </c>
      <c r="C2942" s="33" t="str">
        <f t="shared" si="182"/>
        <v>92401-0863</v>
      </c>
      <c r="D2942" s="64" t="s">
        <v>3633</v>
      </c>
      <c r="E2942" s="64" t="s">
        <v>3325</v>
      </c>
      <c r="F2942" s="64" t="s">
        <v>15</v>
      </c>
      <c r="G2942" s="64" t="s">
        <v>3326</v>
      </c>
      <c r="H2942" s="64" t="s">
        <v>3327</v>
      </c>
      <c r="I2942" s="64" t="s">
        <v>3328</v>
      </c>
      <c r="J2942" s="67">
        <v>2351.58</v>
      </c>
      <c r="K2942" s="62">
        <v>19653.07</v>
      </c>
      <c r="L2942" s="33" t="e">
        <f>HLOOKUP(B2942,#REF!,1,0)</f>
        <v>#REF!</v>
      </c>
      <c r="M2942" s="33" t="str">
        <f t="shared" si="183"/>
        <v>P&amp;L</v>
      </c>
    </row>
    <row r="2943" spans="1:13" s="33" customFormat="true" ht="12.75" customHeight="true">
      <c r="A2943" s="33" t="str">
        <f t="shared" si="180"/>
        <v>3SI - Interest Expense</v>
      </c>
      <c r="B2943" s="33" t="str">
        <f t="shared" si="181"/>
        <v>3SI</v>
      </c>
      <c r="C2943" s="33" t="str">
        <f t="shared" si="182"/>
        <v>92401-0865</v>
      </c>
      <c r="D2943" s="64" t="s">
        <v>3634</v>
      </c>
      <c r="E2943" s="64" t="s">
        <v>3325</v>
      </c>
      <c r="F2943" s="64" t="s">
        <v>15</v>
      </c>
      <c r="G2943" s="64" t="s">
        <v>3326</v>
      </c>
      <c r="H2943" s="64" t="s">
        <v>3327</v>
      </c>
      <c r="I2943" s="64" t="s">
        <v>3328</v>
      </c>
      <c r="J2943" s="67">
        <v>0</v>
      </c>
      <c r="K2943" s="62">
        <v>898.06</v>
      </c>
      <c r="L2943" s="33" t="e">
        <f>HLOOKUP(B2943,#REF!,1,0)</f>
        <v>#REF!</v>
      </c>
      <c r="M2943" s="33" t="str">
        <f t="shared" si="183"/>
        <v>P&amp;L</v>
      </c>
    </row>
    <row r="2944" spans="1:13" s="33" customFormat="true" ht="12.75" customHeight="true">
      <c r="A2944" s="33" t="str">
        <f t="shared" si="180"/>
        <v>3SI - Interest Expense</v>
      </c>
      <c r="B2944" s="33" t="str">
        <f t="shared" si="181"/>
        <v>3SI</v>
      </c>
      <c r="C2944" s="33" t="str">
        <f t="shared" si="182"/>
        <v>92401-7466</v>
      </c>
      <c r="D2944" s="64" t="s">
        <v>3635</v>
      </c>
      <c r="E2944" s="64" t="s">
        <v>3325</v>
      </c>
      <c r="F2944" s="64" t="s">
        <v>15</v>
      </c>
      <c r="G2944" s="64" t="s">
        <v>3326</v>
      </c>
      <c r="H2944" s="64" t="s">
        <v>3327</v>
      </c>
      <c r="I2944" s="64" t="s">
        <v>3328</v>
      </c>
      <c r="J2944" s="67">
        <v>2351.58</v>
      </c>
      <c r="K2944" s="62">
        <v>19653.07</v>
      </c>
      <c r="L2944" s="33" t="e">
        <f>HLOOKUP(B2944,#REF!,1,0)</f>
        <v>#REF!</v>
      </c>
      <c r="M2944" s="33" t="str">
        <f t="shared" si="183"/>
        <v>P&amp;L</v>
      </c>
    </row>
    <row r="2945" spans="1:13" s="33" customFormat="true" ht="12.75" customHeight="true">
      <c r="A2945" s="33" t="str">
        <f t="shared" si="180"/>
        <v>3SI - Interest Expense</v>
      </c>
      <c r="B2945" s="33" t="str">
        <f t="shared" si="181"/>
        <v>3SI</v>
      </c>
      <c r="C2945" s="33" t="str">
        <f t="shared" si="182"/>
        <v>92401-7780</v>
      </c>
      <c r="D2945" s="64" t="s">
        <v>3636</v>
      </c>
      <c r="E2945" s="64" t="s">
        <v>3325</v>
      </c>
      <c r="F2945" s="64" t="s">
        <v>15</v>
      </c>
      <c r="G2945" s="64" t="s">
        <v>3326</v>
      </c>
      <c r="H2945" s="64" t="s">
        <v>3327</v>
      </c>
      <c r="I2945" s="64" t="s">
        <v>3328</v>
      </c>
      <c r="J2945" s="67">
        <v>2351.58</v>
      </c>
      <c r="K2945" s="62">
        <v>19653.08</v>
      </c>
      <c r="L2945" s="33" t="e">
        <f>HLOOKUP(B2945,#REF!,1,0)</f>
        <v>#REF!</v>
      </c>
      <c r="M2945" s="33" t="str">
        <f t="shared" si="183"/>
        <v>P&amp;L</v>
      </c>
    </row>
    <row r="2946" spans="1:13" s="33" customFormat="true" ht="12.75" customHeight="true">
      <c r="A2946" s="33" t="str">
        <f t="shared" ref="A2946:A3009" si="184">B2946&amp;" - "&amp;TRIM(H2946)</f>
        <v>3SI - Other Income/Expense</v>
      </c>
      <c r="B2946" s="33" t="str">
        <f t="shared" ref="B2946:B3009" si="185">LEFT(D2946,3)</f>
        <v>3SI</v>
      </c>
      <c r="C2946" s="33" t="str">
        <f t="shared" ref="C2946:C3009" si="186">RIGHT(D2946,10)</f>
        <v>92901-0863</v>
      </c>
      <c r="D2946" s="64" t="s">
        <v>3637</v>
      </c>
      <c r="E2946" s="64" t="s">
        <v>3333</v>
      </c>
      <c r="F2946" s="64" t="s">
        <v>15</v>
      </c>
      <c r="G2946" s="64" t="s">
        <v>3017</v>
      </c>
      <c r="H2946" s="64" t="s">
        <v>3300</v>
      </c>
      <c r="I2946" s="64" t="s">
        <v>3334</v>
      </c>
      <c r="J2946" s="67">
        <v>3413.9</v>
      </c>
      <c r="K2946" s="62">
        <v>54906.78</v>
      </c>
      <c r="L2946" s="33" t="e">
        <f>HLOOKUP(B2946,#REF!,1,0)</f>
        <v>#REF!</v>
      </c>
      <c r="M2946" s="33" t="str">
        <f t="shared" ref="M2946:M3009" si="187">IF(VALUE(LEFT(C2946,5))&gt;40000,"P&amp;L","BS")</f>
        <v>P&amp;L</v>
      </c>
    </row>
    <row r="2947" spans="1:13" s="33" customFormat="true" ht="12.75" customHeight="true">
      <c r="A2947" s="33" t="str">
        <f t="shared" si="184"/>
        <v>3SI - Other Income/Expense</v>
      </c>
      <c r="B2947" s="33" t="str">
        <f t="shared" si="185"/>
        <v>3SI</v>
      </c>
      <c r="C2947" s="33" t="str">
        <f t="shared" si="186"/>
        <v>92901-0865</v>
      </c>
      <c r="D2947" s="64" t="s">
        <v>3638</v>
      </c>
      <c r="E2947" s="64" t="s">
        <v>3333</v>
      </c>
      <c r="F2947" s="64" t="s">
        <v>15</v>
      </c>
      <c r="G2947" s="64" t="s">
        <v>3017</v>
      </c>
      <c r="H2947" s="64" t="s">
        <v>3300</v>
      </c>
      <c r="I2947" s="64" t="s">
        <v>3334</v>
      </c>
      <c r="J2947" s="67">
        <v>0</v>
      </c>
      <c r="K2947" s="62">
        <v>0</v>
      </c>
      <c r="L2947" s="33" t="e">
        <f>HLOOKUP(B2947,#REF!,1,0)</f>
        <v>#REF!</v>
      </c>
      <c r="M2947" s="33" t="str">
        <f t="shared" si="187"/>
        <v>P&amp;L</v>
      </c>
    </row>
    <row r="2948" spans="1:13" s="33" customFormat="true" ht="12.75" customHeight="true">
      <c r="A2948" s="33" t="str">
        <f t="shared" si="184"/>
        <v>3SI - Other Income/Expense</v>
      </c>
      <c r="B2948" s="33" t="str">
        <f t="shared" si="185"/>
        <v>3SI</v>
      </c>
      <c r="C2948" s="33" t="str">
        <f t="shared" si="186"/>
        <v>92901-7466</v>
      </c>
      <c r="D2948" s="64" t="s">
        <v>3639</v>
      </c>
      <c r="E2948" s="64" t="s">
        <v>3333</v>
      </c>
      <c r="F2948" s="64" t="s">
        <v>15</v>
      </c>
      <c r="G2948" s="64" t="s">
        <v>3017</v>
      </c>
      <c r="H2948" s="64" t="s">
        <v>3300</v>
      </c>
      <c r="I2948" s="64" t="s">
        <v>3334</v>
      </c>
      <c r="J2948" s="67">
        <v>2967.69</v>
      </c>
      <c r="K2948" s="62">
        <v>50693.71</v>
      </c>
      <c r="L2948" s="33" t="e">
        <f>HLOOKUP(B2948,#REF!,1,0)</f>
        <v>#REF!</v>
      </c>
      <c r="M2948" s="33" t="str">
        <f t="shared" si="187"/>
        <v>P&amp;L</v>
      </c>
    </row>
    <row r="2949" spans="1:13" s="33" customFormat="true" ht="12.75" customHeight="true">
      <c r="A2949" s="33" t="str">
        <f t="shared" si="184"/>
        <v>3SI - Other Income/Expense</v>
      </c>
      <c r="B2949" s="33" t="str">
        <f t="shared" si="185"/>
        <v>3SI</v>
      </c>
      <c r="C2949" s="33" t="str">
        <f t="shared" si="186"/>
        <v>92901-7780</v>
      </c>
      <c r="D2949" s="64" t="s">
        <v>3640</v>
      </c>
      <c r="E2949" s="64" t="s">
        <v>3333</v>
      </c>
      <c r="F2949" s="64" t="s">
        <v>15</v>
      </c>
      <c r="G2949" s="64" t="s">
        <v>3017</v>
      </c>
      <c r="H2949" s="64" t="s">
        <v>3300</v>
      </c>
      <c r="I2949" s="64" t="s">
        <v>3334</v>
      </c>
      <c r="J2949" s="67">
        <v>3952.39</v>
      </c>
      <c r="K2949" s="62">
        <v>58485.23</v>
      </c>
      <c r="L2949" s="33" t="e">
        <f>HLOOKUP(B2949,#REF!,1,0)</f>
        <v>#REF!</v>
      </c>
      <c r="M2949" s="33" t="str">
        <f t="shared" si="187"/>
        <v>P&amp;L</v>
      </c>
    </row>
    <row r="2950" spans="1:13" s="33" customFormat="true" ht="12.75" customHeight="true">
      <c r="A2950" s="33" t="str">
        <f t="shared" si="184"/>
        <v>3SI - Other Income/Expense</v>
      </c>
      <c r="B2950" s="33" t="str">
        <f t="shared" si="185"/>
        <v>3SI</v>
      </c>
      <c r="C2950" s="33" t="str">
        <f t="shared" si="186"/>
        <v>93001-0000</v>
      </c>
      <c r="D2950" s="64" t="s">
        <v>3641</v>
      </c>
      <c r="E2950" s="64" t="s">
        <v>3339</v>
      </c>
      <c r="F2950" s="64" t="s">
        <v>15</v>
      </c>
      <c r="G2950" s="64" t="s">
        <v>3017</v>
      </c>
      <c r="H2950" s="64" t="s">
        <v>3300</v>
      </c>
      <c r="I2950" s="64" t="s">
        <v>3340</v>
      </c>
      <c r="J2950" s="67">
        <v>0</v>
      </c>
      <c r="K2950" s="62">
        <v>1966.68</v>
      </c>
      <c r="L2950" s="33" t="e">
        <f>HLOOKUP(B2950,#REF!,1,0)</f>
        <v>#REF!</v>
      </c>
      <c r="M2950" s="33" t="str">
        <f t="shared" si="187"/>
        <v>P&amp;L</v>
      </c>
    </row>
    <row r="2951" spans="1:13" s="33" customFormat="true" ht="12.75" customHeight="true">
      <c r="A2951" s="33" t="str">
        <f t="shared" si="184"/>
        <v>3SI - Other Income/Expense</v>
      </c>
      <c r="B2951" s="33" t="str">
        <f t="shared" si="185"/>
        <v>3SI</v>
      </c>
      <c r="C2951" s="33" t="str">
        <f t="shared" si="186"/>
        <v>93201-0000</v>
      </c>
      <c r="D2951" s="64" t="s">
        <v>3642</v>
      </c>
      <c r="E2951" s="64" t="s">
        <v>3226</v>
      </c>
      <c r="F2951" s="64" t="s">
        <v>15</v>
      </c>
      <c r="G2951" s="64" t="s">
        <v>3017</v>
      </c>
      <c r="H2951" s="64" t="s">
        <v>3300</v>
      </c>
      <c r="I2951" s="64" t="s">
        <v>3342</v>
      </c>
      <c r="J2951" s="67">
        <v>171</v>
      </c>
      <c r="K2951" s="62">
        <v>1706.5</v>
      </c>
      <c r="L2951" s="33" t="e">
        <f>HLOOKUP(B2951,#REF!,1,0)</f>
        <v>#REF!</v>
      </c>
      <c r="M2951" s="33" t="str">
        <f t="shared" si="187"/>
        <v>P&amp;L</v>
      </c>
    </row>
    <row r="2952" spans="1:13" s="33" customFormat="true" ht="12.75" customHeight="true">
      <c r="A2952" s="33" t="str">
        <f t="shared" si="184"/>
        <v>3SI - Other Income/Expense</v>
      </c>
      <c r="B2952" s="33" t="str">
        <f t="shared" si="185"/>
        <v>3SI</v>
      </c>
      <c r="C2952" s="33" t="str">
        <f t="shared" si="186"/>
        <v>93601-0863</v>
      </c>
      <c r="D2952" s="64" t="s">
        <v>3643</v>
      </c>
      <c r="E2952" s="64" t="s">
        <v>3344</v>
      </c>
      <c r="F2952" s="64" t="s">
        <v>15</v>
      </c>
      <c r="G2952" s="64" t="s">
        <v>3017</v>
      </c>
      <c r="H2952" s="64" t="s">
        <v>3300</v>
      </c>
      <c r="I2952" s="64" t="s">
        <v>3345</v>
      </c>
      <c r="J2952" s="67">
        <v>81.21</v>
      </c>
      <c r="K2952" s="62">
        <v>81.21</v>
      </c>
      <c r="L2952" s="33" t="e">
        <f>HLOOKUP(B2952,#REF!,1,0)</f>
        <v>#REF!</v>
      </c>
      <c r="M2952" s="33" t="str">
        <f t="shared" si="187"/>
        <v>P&amp;L</v>
      </c>
    </row>
    <row r="2953" spans="1:13" s="33" customFormat="true" ht="12.75" customHeight="true">
      <c r="A2953" s="33" t="str">
        <f t="shared" si="184"/>
        <v>3SI - Other Income/Expense</v>
      </c>
      <c r="B2953" s="33" t="str">
        <f t="shared" si="185"/>
        <v>3SI</v>
      </c>
      <c r="C2953" s="33" t="str">
        <f t="shared" si="186"/>
        <v>93601-7466</v>
      </c>
      <c r="D2953" s="64" t="s">
        <v>3644</v>
      </c>
      <c r="E2953" s="64" t="s">
        <v>3344</v>
      </c>
      <c r="F2953" s="64" t="s">
        <v>15</v>
      </c>
      <c r="G2953" s="64" t="s">
        <v>3017</v>
      </c>
      <c r="H2953" s="64" t="s">
        <v>3300</v>
      </c>
      <c r="I2953" s="64" t="s">
        <v>3345</v>
      </c>
      <c r="J2953" s="67">
        <v>81.21</v>
      </c>
      <c r="K2953" s="62">
        <v>81.21</v>
      </c>
      <c r="L2953" s="33" t="e">
        <f>HLOOKUP(B2953,#REF!,1,0)</f>
        <v>#REF!</v>
      </c>
      <c r="M2953" s="33" t="str">
        <f t="shared" si="187"/>
        <v>P&amp;L</v>
      </c>
    </row>
    <row r="2954" spans="1:13" s="33" customFormat="true" ht="12.75" customHeight="true">
      <c r="A2954" s="33" t="str">
        <f t="shared" si="184"/>
        <v>3SI - Other Income/Expense</v>
      </c>
      <c r="B2954" s="33" t="str">
        <f t="shared" si="185"/>
        <v>3SI</v>
      </c>
      <c r="C2954" s="33" t="str">
        <f t="shared" si="186"/>
        <v>93601-7780</v>
      </c>
      <c r="D2954" s="64" t="s">
        <v>3645</v>
      </c>
      <c r="E2954" s="64" t="s">
        <v>3344</v>
      </c>
      <c r="F2954" s="64" t="s">
        <v>15</v>
      </c>
      <c r="G2954" s="64" t="s">
        <v>3017</v>
      </c>
      <c r="H2954" s="64" t="s">
        <v>3300</v>
      </c>
      <c r="I2954" s="64" t="s">
        <v>3345</v>
      </c>
      <c r="J2954" s="67">
        <v>81.23</v>
      </c>
      <c r="K2954" s="62">
        <v>81.23</v>
      </c>
      <c r="L2954" s="33" t="e">
        <f>HLOOKUP(B2954,#REF!,1,0)</f>
        <v>#REF!</v>
      </c>
      <c r="M2954" s="33" t="str">
        <f t="shared" si="187"/>
        <v>P&amp;L</v>
      </c>
    </row>
    <row r="2955" spans="1:13" s="33" customFormat="true" ht="12.75" customHeight="true">
      <c r="A2955" s="33" t="str">
        <f t="shared" si="184"/>
        <v>3SI - Other Income/Expense</v>
      </c>
      <c r="B2955" s="33" t="str">
        <f t="shared" si="185"/>
        <v>3SI</v>
      </c>
      <c r="C2955" s="33" t="str">
        <f t="shared" si="186"/>
        <v>94001-0000</v>
      </c>
      <c r="D2955" s="64" t="s">
        <v>3646</v>
      </c>
      <c r="E2955" s="64" t="s">
        <v>3350</v>
      </c>
      <c r="F2955" s="64" t="s">
        <v>15</v>
      </c>
      <c r="G2955" s="64" t="s">
        <v>3017</v>
      </c>
      <c r="H2955" s="64" t="s">
        <v>3300</v>
      </c>
      <c r="I2955" s="64" t="s">
        <v>3351</v>
      </c>
      <c r="J2955" s="67">
        <v>0</v>
      </c>
      <c r="K2955" s="62">
        <v>277.12</v>
      </c>
      <c r="L2955" s="33" t="e">
        <f>HLOOKUP(B2955,#REF!,1,0)</f>
        <v>#REF!</v>
      </c>
      <c r="M2955" s="33" t="str">
        <f t="shared" si="187"/>
        <v>P&amp;L</v>
      </c>
    </row>
    <row r="2956" spans="1:13" s="33" customFormat="true" ht="12.75" customHeight="true">
      <c r="A2956" s="33" t="str">
        <f t="shared" si="184"/>
        <v>3SI - Other Income/Expense</v>
      </c>
      <c r="B2956" s="33" t="str">
        <f t="shared" si="185"/>
        <v>3SI</v>
      </c>
      <c r="C2956" s="33" t="str">
        <f t="shared" si="186"/>
        <v>94201-0000</v>
      </c>
      <c r="D2956" s="64" t="s">
        <v>3647</v>
      </c>
      <c r="E2956" s="64" t="s">
        <v>3353</v>
      </c>
      <c r="F2956" s="64" t="s">
        <v>15</v>
      </c>
      <c r="G2956" s="64" t="s">
        <v>3017</v>
      </c>
      <c r="H2956" s="64" t="s">
        <v>3300</v>
      </c>
      <c r="I2956" s="64" t="s">
        <v>3354</v>
      </c>
      <c r="J2956" s="67">
        <v>0</v>
      </c>
      <c r="K2956" s="62">
        <v>2431.46</v>
      </c>
      <c r="L2956" s="33" t="e">
        <f>HLOOKUP(B2956,#REF!,1,0)</f>
        <v>#REF!</v>
      </c>
      <c r="M2956" s="33" t="str">
        <f t="shared" si="187"/>
        <v>P&amp;L</v>
      </c>
    </row>
    <row r="2957" spans="1:13" s="33" customFormat="true" ht="12.75" customHeight="true">
      <c r="A2957" s="33" t="str">
        <f t="shared" si="184"/>
        <v>3SI - Other Income/Expense</v>
      </c>
      <c r="B2957" s="33" t="str">
        <f t="shared" si="185"/>
        <v>3SI</v>
      </c>
      <c r="C2957" s="33" t="str">
        <f t="shared" si="186"/>
        <v>94201-0863</v>
      </c>
      <c r="D2957" s="64" t="s">
        <v>3648</v>
      </c>
      <c r="E2957" s="64" t="s">
        <v>3353</v>
      </c>
      <c r="F2957" s="64" t="s">
        <v>15</v>
      </c>
      <c r="G2957" s="64" t="s">
        <v>3017</v>
      </c>
      <c r="H2957" s="64" t="s">
        <v>3300</v>
      </c>
      <c r="I2957" s="64" t="s">
        <v>3354</v>
      </c>
      <c r="J2957" s="67">
        <v>1791.67</v>
      </c>
      <c r="K2957" s="62">
        <v>12714.35</v>
      </c>
      <c r="L2957" s="33" t="e">
        <f>HLOOKUP(B2957,#REF!,1,0)</f>
        <v>#REF!</v>
      </c>
      <c r="M2957" s="33" t="str">
        <f t="shared" si="187"/>
        <v>P&amp;L</v>
      </c>
    </row>
    <row r="2958" spans="1:13" s="33" customFormat="true" ht="12.75" customHeight="true">
      <c r="A2958" s="33" t="str">
        <f t="shared" si="184"/>
        <v>3SI - Other Income/Expense</v>
      </c>
      <c r="B2958" s="33" t="str">
        <f t="shared" si="185"/>
        <v>3SI</v>
      </c>
      <c r="C2958" s="33" t="str">
        <f t="shared" si="186"/>
        <v>94201-0865</v>
      </c>
      <c r="D2958" s="64" t="s">
        <v>3649</v>
      </c>
      <c r="E2958" s="64" t="s">
        <v>3353</v>
      </c>
      <c r="F2958" s="64" t="s">
        <v>15</v>
      </c>
      <c r="G2958" s="64" t="s">
        <v>3017</v>
      </c>
      <c r="H2958" s="64" t="s">
        <v>3300</v>
      </c>
      <c r="I2958" s="64" t="s">
        <v>3354</v>
      </c>
      <c r="J2958" s="67">
        <v>0</v>
      </c>
      <c r="K2958" s="62">
        <v>1900</v>
      </c>
      <c r="L2958" s="33" t="e">
        <f>HLOOKUP(B2958,#REF!,1,0)</f>
        <v>#REF!</v>
      </c>
      <c r="M2958" s="33" t="str">
        <f t="shared" si="187"/>
        <v>P&amp;L</v>
      </c>
    </row>
    <row r="2959" spans="1:13" s="33" customFormat="true" ht="12.75" customHeight="true">
      <c r="A2959" s="33" t="str">
        <f t="shared" si="184"/>
        <v>3SI - Other Income/Expense</v>
      </c>
      <c r="B2959" s="33" t="str">
        <f t="shared" si="185"/>
        <v>3SI</v>
      </c>
      <c r="C2959" s="33" t="str">
        <f t="shared" si="186"/>
        <v>94201-7466</v>
      </c>
      <c r="D2959" s="64" t="s">
        <v>3650</v>
      </c>
      <c r="E2959" s="64" t="s">
        <v>3353</v>
      </c>
      <c r="F2959" s="64" t="s">
        <v>15</v>
      </c>
      <c r="G2959" s="64" t="s">
        <v>3017</v>
      </c>
      <c r="H2959" s="64" t="s">
        <v>3300</v>
      </c>
      <c r="I2959" s="64" t="s">
        <v>3354</v>
      </c>
      <c r="J2959" s="67">
        <v>1791.67</v>
      </c>
      <c r="K2959" s="62">
        <v>12714.36</v>
      </c>
      <c r="L2959" s="33" t="e">
        <f>HLOOKUP(B2959,#REF!,1,0)</f>
        <v>#REF!</v>
      </c>
      <c r="M2959" s="33" t="str">
        <f t="shared" si="187"/>
        <v>P&amp;L</v>
      </c>
    </row>
    <row r="2960" spans="1:13" s="33" customFormat="true" ht="12.75" customHeight="true">
      <c r="A2960" s="33" t="str">
        <f t="shared" si="184"/>
        <v>3SI - Other Income/Expense</v>
      </c>
      <c r="B2960" s="33" t="str">
        <f t="shared" si="185"/>
        <v>3SI</v>
      </c>
      <c r="C2960" s="33" t="str">
        <f t="shared" si="186"/>
        <v>94201-7780</v>
      </c>
      <c r="D2960" s="64" t="s">
        <v>3651</v>
      </c>
      <c r="E2960" s="64" t="s">
        <v>3353</v>
      </c>
      <c r="F2960" s="64" t="s">
        <v>15</v>
      </c>
      <c r="G2960" s="64" t="s">
        <v>3017</v>
      </c>
      <c r="H2960" s="64" t="s">
        <v>3300</v>
      </c>
      <c r="I2960" s="64" t="s">
        <v>3354</v>
      </c>
      <c r="J2960" s="67">
        <v>1791.66</v>
      </c>
      <c r="K2960" s="62">
        <v>12714.29</v>
      </c>
      <c r="L2960" s="33" t="e">
        <f>HLOOKUP(B2960,#REF!,1,0)</f>
        <v>#REF!</v>
      </c>
      <c r="M2960" s="33" t="str">
        <f t="shared" si="187"/>
        <v>P&amp;L</v>
      </c>
    </row>
    <row r="2961" spans="1:13" s="33" customFormat="true" ht="12.75" customHeight="true">
      <c r="A2961" s="33" t="str">
        <f t="shared" si="184"/>
        <v>3SI - Other Income/Expense</v>
      </c>
      <c r="B2961" s="33" t="str">
        <f t="shared" si="185"/>
        <v>3SI</v>
      </c>
      <c r="C2961" s="33" t="str">
        <f t="shared" si="186"/>
        <v>94401-0000</v>
      </c>
      <c r="D2961" s="64" t="s">
        <v>3652</v>
      </c>
      <c r="E2961" s="64" t="s">
        <v>3360</v>
      </c>
      <c r="F2961" s="64" t="s">
        <v>15</v>
      </c>
      <c r="G2961" s="64" t="s">
        <v>3017</v>
      </c>
      <c r="H2961" s="64" t="s">
        <v>3300</v>
      </c>
      <c r="I2961" s="64" t="s">
        <v>3361</v>
      </c>
      <c r="J2961" s="67">
        <v>0</v>
      </c>
      <c r="K2961" s="62">
        <v>-54.52</v>
      </c>
      <c r="L2961" s="33" t="e">
        <f>HLOOKUP(B2961,#REF!,1,0)</f>
        <v>#REF!</v>
      </c>
      <c r="M2961" s="33" t="str">
        <f t="shared" si="187"/>
        <v>P&amp;L</v>
      </c>
    </row>
    <row r="2962" spans="1:13" s="33" customFormat="true" ht="12.75" customHeight="true">
      <c r="A2962" s="33" t="str">
        <f t="shared" si="184"/>
        <v>3SI - Other Income/Expense</v>
      </c>
      <c r="B2962" s="33" t="str">
        <f t="shared" si="185"/>
        <v>3SI</v>
      </c>
      <c r="C2962" s="33" t="str">
        <f t="shared" si="186"/>
        <v>94401-0863</v>
      </c>
      <c r="D2962" s="64" t="s">
        <v>3653</v>
      </c>
      <c r="E2962" s="64" t="s">
        <v>3360</v>
      </c>
      <c r="F2962" s="64" t="s">
        <v>15</v>
      </c>
      <c r="G2962" s="64" t="s">
        <v>3017</v>
      </c>
      <c r="H2962" s="64" t="s">
        <v>3300</v>
      </c>
      <c r="I2962" s="64" t="s">
        <v>3361</v>
      </c>
      <c r="J2962" s="67">
        <v>0</v>
      </c>
      <c r="K2962" s="62">
        <v>-21624.21</v>
      </c>
      <c r="L2962" s="33" t="e">
        <f>HLOOKUP(B2962,#REF!,1,0)</f>
        <v>#REF!</v>
      </c>
      <c r="M2962" s="33" t="str">
        <f t="shared" si="187"/>
        <v>P&amp;L</v>
      </c>
    </row>
    <row r="2963" spans="1:13" s="33" customFormat="true" ht="12.75" customHeight="true">
      <c r="A2963" s="33" t="str">
        <f t="shared" si="184"/>
        <v>3SI - Other Income/Expense</v>
      </c>
      <c r="B2963" s="33" t="str">
        <f t="shared" si="185"/>
        <v>3SI</v>
      </c>
      <c r="C2963" s="33" t="str">
        <f t="shared" si="186"/>
        <v>94401-0865</v>
      </c>
      <c r="D2963" s="64" t="s">
        <v>3654</v>
      </c>
      <c r="E2963" s="64" t="s">
        <v>3360</v>
      </c>
      <c r="F2963" s="64" t="s">
        <v>15</v>
      </c>
      <c r="G2963" s="64" t="s">
        <v>3017</v>
      </c>
      <c r="H2963" s="64" t="s">
        <v>3300</v>
      </c>
      <c r="I2963" s="64" t="s">
        <v>3361</v>
      </c>
      <c r="J2963" s="67">
        <v>0</v>
      </c>
      <c r="K2963" s="62">
        <v>703.86</v>
      </c>
      <c r="L2963" s="33" t="e">
        <f>HLOOKUP(B2963,#REF!,1,0)</f>
        <v>#REF!</v>
      </c>
      <c r="M2963" s="33" t="str">
        <f t="shared" si="187"/>
        <v>P&amp;L</v>
      </c>
    </row>
    <row r="2964" spans="1:13" s="33" customFormat="true" ht="12.75" customHeight="true">
      <c r="A2964" s="33" t="str">
        <f t="shared" si="184"/>
        <v>3SI - Other Income/Expense</v>
      </c>
      <c r="B2964" s="33" t="str">
        <f t="shared" si="185"/>
        <v>3SI</v>
      </c>
      <c r="C2964" s="33" t="str">
        <f t="shared" si="186"/>
        <v>94401-7466</v>
      </c>
      <c r="D2964" s="64" t="s">
        <v>3655</v>
      </c>
      <c r="E2964" s="64" t="s">
        <v>3360</v>
      </c>
      <c r="F2964" s="64" t="s">
        <v>15</v>
      </c>
      <c r="G2964" s="64" t="s">
        <v>3017</v>
      </c>
      <c r="H2964" s="64" t="s">
        <v>3300</v>
      </c>
      <c r="I2964" s="64" t="s">
        <v>3361</v>
      </c>
      <c r="J2964" s="67">
        <v>0</v>
      </c>
      <c r="K2964" s="62">
        <v>-25128.67</v>
      </c>
      <c r="L2964" s="33" t="e">
        <f>HLOOKUP(B2964,#REF!,1,0)</f>
        <v>#REF!</v>
      </c>
      <c r="M2964" s="33" t="str">
        <f t="shared" si="187"/>
        <v>P&amp;L</v>
      </c>
    </row>
    <row r="2965" spans="1:13" s="33" customFormat="true" ht="12.75" customHeight="true">
      <c r="A2965" s="33" t="str">
        <f t="shared" si="184"/>
        <v>3SI - Other Income/Expense</v>
      </c>
      <c r="B2965" s="33" t="str">
        <f t="shared" si="185"/>
        <v>3SI</v>
      </c>
      <c r="C2965" s="33" t="str">
        <f t="shared" si="186"/>
        <v>94401-7780</v>
      </c>
      <c r="D2965" s="64" t="s">
        <v>3656</v>
      </c>
      <c r="E2965" s="64" t="s">
        <v>3360</v>
      </c>
      <c r="F2965" s="64" t="s">
        <v>15</v>
      </c>
      <c r="G2965" s="64" t="s">
        <v>3017</v>
      </c>
      <c r="H2965" s="64" t="s">
        <v>3300</v>
      </c>
      <c r="I2965" s="64" t="s">
        <v>3361</v>
      </c>
      <c r="J2965" s="67">
        <v>0</v>
      </c>
      <c r="K2965" s="62">
        <v>-28719.18</v>
      </c>
      <c r="L2965" s="33" t="e">
        <f>HLOOKUP(B2965,#REF!,1,0)</f>
        <v>#REF!</v>
      </c>
      <c r="M2965" s="33" t="str">
        <f t="shared" si="187"/>
        <v>P&amp;L</v>
      </c>
    </row>
    <row r="2966" spans="1:13" s="33" customFormat="true" ht="12.75" customHeight="true">
      <c r="A2966" s="33" t="str">
        <f t="shared" si="184"/>
        <v>3SI - Other Income/Expense</v>
      </c>
      <c r="B2966" s="33" t="str">
        <f t="shared" si="185"/>
        <v>3SI</v>
      </c>
      <c r="C2966" s="33" t="str">
        <f t="shared" si="186"/>
        <v>95201-0000</v>
      </c>
      <c r="D2966" s="64" t="s">
        <v>3657</v>
      </c>
      <c r="E2966" s="64" t="s">
        <v>3367</v>
      </c>
      <c r="F2966" s="64" t="s">
        <v>15</v>
      </c>
      <c r="G2966" s="64" t="s">
        <v>3017</v>
      </c>
      <c r="H2966" s="64" t="s">
        <v>3300</v>
      </c>
      <c r="I2966" s="64" t="s">
        <v>3368</v>
      </c>
      <c r="J2966" s="67">
        <v>360</v>
      </c>
      <c r="K2966" s="62">
        <v>4081.58</v>
      </c>
      <c r="L2966" s="33" t="e">
        <f>HLOOKUP(B2966,#REF!,1,0)</f>
        <v>#REF!</v>
      </c>
      <c r="M2966" s="33" t="str">
        <f t="shared" si="187"/>
        <v>P&amp;L</v>
      </c>
    </row>
    <row r="2967" spans="1:13" s="33" customFormat="true" ht="12.75" customHeight="true">
      <c r="A2967" s="33" t="str">
        <f t="shared" si="184"/>
        <v>3SI - Other Income/Expense</v>
      </c>
      <c r="B2967" s="33" t="str">
        <f t="shared" si="185"/>
        <v>3SI</v>
      </c>
      <c r="C2967" s="33" t="str">
        <f t="shared" si="186"/>
        <v>99001-0000</v>
      </c>
      <c r="D2967" s="64" t="s">
        <v>3658</v>
      </c>
      <c r="E2967" s="64" t="s">
        <v>3370</v>
      </c>
      <c r="F2967" s="64" t="s">
        <v>15</v>
      </c>
      <c r="G2967" s="64" t="s">
        <v>3017</v>
      </c>
      <c r="H2967" s="64" t="s">
        <v>3300</v>
      </c>
      <c r="I2967" s="64" t="s">
        <v>3371</v>
      </c>
      <c r="J2967" s="67">
        <v>0</v>
      </c>
      <c r="K2967" s="62">
        <v>-30836.63</v>
      </c>
      <c r="L2967" s="33" t="e">
        <f>HLOOKUP(B2967,#REF!,1,0)</f>
        <v>#REF!</v>
      </c>
      <c r="M2967" s="33" t="str">
        <f t="shared" si="187"/>
        <v>P&amp;L</v>
      </c>
    </row>
    <row r="2968" spans="1:13" s="33" customFormat="true" ht="12.75" customHeight="true">
      <c r="A2968" s="33" t="str">
        <f t="shared" si="184"/>
        <v>3SI - Other Income/Expense</v>
      </c>
      <c r="B2968" s="33" t="str">
        <f t="shared" si="185"/>
        <v>3SI</v>
      </c>
      <c r="C2968" s="33" t="str">
        <f t="shared" si="186"/>
        <v>99001-0863</v>
      </c>
      <c r="D2968" s="64" t="s">
        <v>3659</v>
      </c>
      <c r="E2968" s="64" t="s">
        <v>3370</v>
      </c>
      <c r="F2968" s="64" t="s">
        <v>15</v>
      </c>
      <c r="G2968" s="64" t="s">
        <v>3017</v>
      </c>
      <c r="H2968" s="64" t="s">
        <v>3300</v>
      </c>
      <c r="I2968" s="64" t="s">
        <v>3371</v>
      </c>
      <c r="J2968" s="67">
        <v>-227.52</v>
      </c>
      <c r="K2968" s="62">
        <v>-2914.98</v>
      </c>
      <c r="L2968" s="33" t="e">
        <f>HLOOKUP(B2968,#REF!,1,0)</f>
        <v>#REF!</v>
      </c>
      <c r="M2968" s="33" t="str">
        <f t="shared" si="187"/>
        <v>P&amp;L</v>
      </c>
    </row>
    <row r="2969" spans="1:13" s="33" customFormat="true" ht="12.75" customHeight="true">
      <c r="A2969" s="33" t="str">
        <f t="shared" si="184"/>
        <v>3SI - Other Income/Expense</v>
      </c>
      <c r="B2969" s="33" t="str">
        <f t="shared" si="185"/>
        <v>3SI</v>
      </c>
      <c r="C2969" s="33" t="str">
        <f t="shared" si="186"/>
        <v>99001-0865</v>
      </c>
      <c r="D2969" s="64" t="s">
        <v>3660</v>
      </c>
      <c r="E2969" s="64" t="s">
        <v>3370</v>
      </c>
      <c r="F2969" s="64" t="s">
        <v>15</v>
      </c>
      <c r="G2969" s="64" t="s">
        <v>3017</v>
      </c>
      <c r="H2969" s="64" t="s">
        <v>3300</v>
      </c>
      <c r="I2969" s="64" t="s">
        <v>3371</v>
      </c>
      <c r="J2969" s="67">
        <v>0</v>
      </c>
      <c r="K2969" s="62">
        <v>0</v>
      </c>
      <c r="L2969" s="33" t="e">
        <f>HLOOKUP(B2969,#REF!,1,0)</f>
        <v>#REF!</v>
      </c>
      <c r="M2969" s="33" t="str">
        <f t="shared" si="187"/>
        <v>P&amp;L</v>
      </c>
    </row>
    <row r="2970" spans="1:13" s="33" customFormat="true" ht="12.75" customHeight="true">
      <c r="A2970" s="33" t="str">
        <f t="shared" si="184"/>
        <v>3SI - Other Income/Expense</v>
      </c>
      <c r="B2970" s="33" t="str">
        <f t="shared" si="185"/>
        <v>3SI</v>
      </c>
      <c r="C2970" s="33" t="str">
        <f t="shared" si="186"/>
        <v>99001-7466</v>
      </c>
      <c r="D2970" s="64" t="s">
        <v>3661</v>
      </c>
      <c r="E2970" s="64" t="s">
        <v>3370</v>
      </c>
      <c r="F2970" s="64" t="s">
        <v>15</v>
      </c>
      <c r="G2970" s="64" t="s">
        <v>3017</v>
      </c>
      <c r="H2970" s="64" t="s">
        <v>3300</v>
      </c>
      <c r="I2970" s="64" t="s">
        <v>3371</v>
      </c>
      <c r="J2970" s="67">
        <v>-143.78</v>
      </c>
      <c r="K2970" s="62">
        <v>-1761.92</v>
      </c>
      <c r="L2970" s="33" t="e">
        <f>HLOOKUP(B2970,#REF!,1,0)</f>
        <v>#REF!</v>
      </c>
      <c r="M2970" s="33" t="str">
        <f t="shared" si="187"/>
        <v>P&amp;L</v>
      </c>
    </row>
    <row r="2971" spans="1:13" s="33" customFormat="true" ht="12.75" customHeight="true">
      <c r="A2971" s="33" t="str">
        <f t="shared" si="184"/>
        <v>3SI - Other Income/Expense</v>
      </c>
      <c r="B2971" s="33" t="str">
        <f t="shared" si="185"/>
        <v>3SI</v>
      </c>
      <c r="C2971" s="33" t="str">
        <f t="shared" si="186"/>
        <v>99001-7780</v>
      </c>
      <c r="D2971" s="64" t="s">
        <v>3662</v>
      </c>
      <c r="E2971" s="64" t="s">
        <v>3370</v>
      </c>
      <c r="F2971" s="64" t="s">
        <v>15</v>
      </c>
      <c r="G2971" s="64" t="s">
        <v>3017</v>
      </c>
      <c r="H2971" s="64" t="s">
        <v>3300</v>
      </c>
      <c r="I2971" s="64" t="s">
        <v>3371</v>
      </c>
      <c r="J2971" s="67">
        <v>-208.56</v>
      </c>
      <c r="K2971" s="62">
        <v>-4216.9</v>
      </c>
      <c r="L2971" s="33" t="e">
        <f>HLOOKUP(B2971,#REF!,1,0)</f>
        <v>#REF!</v>
      </c>
      <c r="M2971" s="33" t="str">
        <f t="shared" si="187"/>
        <v>P&amp;L</v>
      </c>
    </row>
    <row r="2972" spans="1:13" s="33" customFormat="true" ht="12.75" customHeight="true">
      <c r="A2972" s="33" t="str">
        <f t="shared" si="184"/>
        <v>3SI - Income Tax</v>
      </c>
      <c r="B2972" s="33" t="str">
        <f t="shared" si="185"/>
        <v>3SI</v>
      </c>
      <c r="C2972" s="33" t="str">
        <f t="shared" si="186"/>
        <v>99901-0000</v>
      </c>
      <c r="D2972" s="64" t="s">
        <v>3663</v>
      </c>
      <c r="E2972" s="64" t="s">
        <v>3377</v>
      </c>
      <c r="F2972" s="64" t="s">
        <v>15</v>
      </c>
      <c r="G2972" s="64" t="s">
        <v>3326</v>
      </c>
      <c r="H2972" s="64" t="s">
        <v>3378</v>
      </c>
      <c r="I2972" s="64" t="s">
        <v>3379</v>
      </c>
      <c r="J2972" s="67">
        <v>90.82</v>
      </c>
      <c r="K2972" s="62">
        <v>12680.82</v>
      </c>
      <c r="L2972" s="33" t="e">
        <f>HLOOKUP(B2972,#REF!,1,0)</f>
        <v>#REF!</v>
      </c>
      <c r="M2972" s="33" t="str">
        <f t="shared" si="187"/>
        <v>P&amp;L</v>
      </c>
    </row>
    <row r="2973" spans="1:13" s="33" customFormat="true" ht="12.75" customHeight="true">
      <c r="A2973" s="33" t="str">
        <f t="shared" si="184"/>
        <v>AKA - Cash</v>
      </c>
      <c r="B2973" s="33" t="str">
        <f t="shared" si="185"/>
        <v>AKA</v>
      </c>
      <c r="C2973" s="33" t="str">
        <f t="shared" si="186"/>
        <v>10001-0000</v>
      </c>
      <c r="D2973" s="64" t="s">
        <v>3664</v>
      </c>
      <c r="E2973" s="64" t="s">
        <v>240</v>
      </c>
      <c r="F2973" s="64" t="s">
        <v>230</v>
      </c>
      <c r="G2973" s="64" t="s">
        <v>16</v>
      </c>
      <c r="H2973" s="64" t="s">
        <v>25</v>
      </c>
      <c r="I2973" s="64" t="s">
        <v>18</v>
      </c>
      <c r="J2973" s="67">
        <v>2660.74</v>
      </c>
      <c r="K2973" s="62">
        <v>1688.18</v>
      </c>
      <c r="L2973" s="33" t="e">
        <f>HLOOKUP(B2973,#REF!,1,0)</f>
        <v>#REF!</v>
      </c>
      <c r="M2973" s="33" t="str">
        <f t="shared" si="187"/>
        <v>BS</v>
      </c>
    </row>
    <row r="2974" spans="1:13" s="33" customFormat="true" ht="12.75" customHeight="true">
      <c r="A2974" s="33" t="str">
        <f t="shared" si="184"/>
        <v>AKA - AR-PPD</v>
      </c>
      <c r="B2974" s="33" t="str">
        <f t="shared" si="185"/>
        <v>AKA</v>
      </c>
      <c r="C2974" s="33" t="str">
        <f t="shared" si="186"/>
        <v>11000-0000</v>
      </c>
      <c r="D2974" s="64" t="s">
        <v>3665</v>
      </c>
      <c r="E2974" s="64" t="s">
        <v>34</v>
      </c>
      <c r="F2974" s="64" t="s">
        <v>230</v>
      </c>
      <c r="G2974" s="64" t="s">
        <v>16</v>
      </c>
      <c r="H2974" s="64" t="s">
        <v>35</v>
      </c>
      <c r="I2974" s="64" t="s">
        <v>36</v>
      </c>
      <c r="J2974" s="67">
        <v>0</v>
      </c>
      <c r="K2974" s="62">
        <v>1525</v>
      </c>
      <c r="L2974" s="33" t="e">
        <f>HLOOKUP(B2974,#REF!,1,0)</f>
        <v>#REF!</v>
      </c>
      <c r="M2974" s="33" t="str">
        <f t="shared" si="187"/>
        <v>BS</v>
      </c>
    </row>
    <row r="2975" spans="1:13" s="33" customFormat="true" ht="12.75" customHeight="true">
      <c r="A2975" s="33" t="str">
        <f t="shared" si="184"/>
        <v>AKA - Intercompany</v>
      </c>
      <c r="B2975" s="33" t="str">
        <f t="shared" si="185"/>
        <v>AKA</v>
      </c>
      <c r="C2975" s="33" t="str">
        <f t="shared" si="186"/>
        <v>11216-0000</v>
      </c>
      <c r="D2975" s="64" t="s">
        <v>3666</v>
      </c>
      <c r="E2975" s="64" t="s">
        <v>242</v>
      </c>
      <c r="F2975" s="64" t="s">
        <v>230</v>
      </c>
      <c r="G2975" s="64" t="s">
        <v>16</v>
      </c>
      <c r="H2975" s="64" t="s">
        <v>39</v>
      </c>
      <c r="I2975" s="64" t="s">
        <v>40</v>
      </c>
      <c r="J2975" s="67">
        <v>1822.92</v>
      </c>
      <c r="K2975" s="62">
        <v>-1726.22</v>
      </c>
      <c r="L2975" s="33" t="e">
        <f>HLOOKUP(B2975,#REF!,1,0)</f>
        <v>#REF!</v>
      </c>
      <c r="M2975" s="33" t="str">
        <f t="shared" si="187"/>
        <v>BS</v>
      </c>
    </row>
    <row r="2976" spans="1:13" s="33" customFormat="true" ht="12.75" customHeight="true">
      <c r="A2976" s="33" t="str">
        <f t="shared" si="184"/>
        <v>AKA - Intercompany</v>
      </c>
      <c r="B2976" s="33" t="str">
        <f t="shared" si="185"/>
        <v>AKA</v>
      </c>
      <c r="C2976" s="33" t="str">
        <f t="shared" si="186"/>
        <v>11329-0000</v>
      </c>
      <c r="D2976" s="64" t="s">
        <v>3667</v>
      </c>
      <c r="E2976" s="64" t="s">
        <v>377</v>
      </c>
      <c r="F2976" s="64" t="s">
        <v>230</v>
      </c>
      <c r="G2976" s="64" t="s">
        <v>16</v>
      </c>
      <c r="H2976" s="64" t="s">
        <v>39</v>
      </c>
      <c r="I2976" s="64" t="s">
        <v>40</v>
      </c>
      <c r="J2976" s="67">
        <v>0</v>
      </c>
      <c r="K2976" s="62">
        <v>-2958512.07</v>
      </c>
      <c r="L2976" s="33" t="e">
        <f>HLOOKUP(B2976,#REF!,1,0)</f>
        <v>#REF!</v>
      </c>
      <c r="M2976" s="33" t="str">
        <f t="shared" si="187"/>
        <v>BS</v>
      </c>
    </row>
    <row r="2977" spans="1:13" s="33" customFormat="true" ht="12.75" customHeight="true">
      <c r="A2977" s="33" t="str">
        <f t="shared" si="184"/>
        <v>AKA - Intercompany</v>
      </c>
      <c r="B2977" s="33" t="str">
        <f t="shared" si="185"/>
        <v>AKA</v>
      </c>
      <c r="C2977" s="33" t="str">
        <f t="shared" si="186"/>
        <v>11343-0000</v>
      </c>
      <c r="D2977" s="64" t="s">
        <v>3668</v>
      </c>
      <c r="E2977" s="64" t="s">
        <v>600</v>
      </c>
      <c r="F2977" s="64" t="s">
        <v>230</v>
      </c>
      <c r="G2977" s="64" t="s">
        <v>16</v>
      </c>
      <c r="H2977" s="64" t="s">
        <v>39</v>
      </c>
      <c r="I2977" s="64" t="s">
        <v>40</v>
      </c>
      <c r="J2977" s="67">
        <v>274.86</v>
      </c>
      <c r="K2977" s="62">
        <v>-5076.03</v>
      </c>
      <c r="L2977" s="33" t="e">
        <f>HLOOKUP(B2977,#REF!,1,0)</f>
        <v>#REF!</v>
      </c>
      <c r="M2977" s="33" t="str">
        <f t="shared" si="187"/>
        <v>BS</v>
      </c>
    </row>
    <row r="2978" spans="1:13" s="33" customFormat="true" ht="12.75" customHeight="true">
      <c r="A2978" s="33" t="str">
        <f t="shared" si="184"/>
        <v>AKA - Fixed Assets</v>
      </c>
      <c r="B2978" s="33" t="str">
        <f t="shared" si="185"/>
        <v>AKA</v>
      </c>
      <c r="C2978" s="33" t="str">
        <f t="shared" si="186"/>
        <v>14000-0000</v>
      </c>
      <c r="D2978" s="64" t="s">
        <v>3669</v>
      </c>
      <c r="E2978" s="64" t="s">
        <v>298</v>
      </c>
      <c r="F2978" s="64" t="s">
        <v>230</v>
      </c>
      <c r="G2978" s="64" t="s">
        <v>62</v>
      </c>
      <c r="H2978" s="64" t="s">
        <v>63</v>
      </c>
      <c r="I2978" s="64" t="s">
        <v>64</v>
      </c>
      <c r="J2978" s="67">
        <v>0</v>
      </c>
      <c r="K2978" s="62">
        <v>3360000</v>
      </c>
      <c r="L2978" s="33" t="e">
        <f>HLOOKUP(B2978,#REF!,1,0)</f>
        <v>#REF!</v>
      </c>
      <c r="M2978" s="33" t="str">
        <f t="shared" si="187"/>
        <v>BS</v>
      </c>
    </row>
    <row r="2979" spans="1:13" s="33" customFormat="true" ht="12.75" customHeight="true">
      <c r="A2979" s="33" t="str">
        <f t="shared" si="184"/>
        <v>AKA - Fixed Assets</v>
      </c>
      <c r="B2979" s="33" t="str">
        <f t="shared" si="185"/>
        <v>AKA</v>
      </c>
      <c r="C2979" s="33" t="str">
        <f t="shared" si="186"/>
        <v>15000-0000</v>
      </c>
      <c r="D2979" s="64" t="s">
        <v>3670</v>
      </c>
      <c r="E2979" s="64" t="s">
        <v>300</v>
      </c>
      <c r="F2979" s="64" t="s">
        <v>230</v>
      </c>
      <c r="G2979" s="64" t="s">
        <v>62</v>
      </c>
      <c r="H2979" s="64" t="s">
        <v>63</v>
      </c>
      <c r="I2979" s="64" t="s">
        <v>64</v>
      </c>
      <c r="J2979" s="67">
        <v>0</v>
      </c>
      <c r="K2979" s="62">
        <v>7840000</v>
      </c>
      <c r="L2979" s="33" t="e">
        <f>HLOOKUP(B2979,#REF!,1,0)</f>
        <v>#REF!</v>
      </c>
      <c r="M2979" s="33" t="str">
        <f t="shared" si="187"/>
        <v>BS</v>
      </c>
    </row>
    <row r="2980" spans="1:13" s="33" customFormat="true" ht="12.75" customHeight="true">
      <c r="A2980" s="33" t="str">
        <f t="shared" si="184"/>
        <v>AKA - Fixed Assets</v>
      </c>
      <c r="B2980" s="33" t="str">
        <f t="shared" si="185"/>
        <v>AKA</v>
      </c>
      <c r="C2980" s="33" t="str">
        <f t="shared" si="186"/>
        <v>15501-0000</v>
      </c>
      <c r="D2980" s="64" t="s">
        <v>3671</v>
      </c>
      <c r="E2980" s="64" t="s">
        <v>2635</v>
      </c>
      <c r="F2980" s="64" t="s">
        <v>230</v>
      </c>
      <c r="G2980" s="64" t="s">
        <v>62</v>
      </c>
      <c r="H2980" s="64" t="s">
        <v>63</v>
      </c>
      <c r="I2980" s="64" t="s">
        <v>64</v>
      </c>
      <c r="J2980" s="67">
        <v>508.65</v>
      </c>
      <c r="K2980" s="62">
        <v>1664.28</v>
      </c>
      <c r="L2980" s="33" t="e">
        <f>HLOOKUP(B2980,#REF!,1,0)</f>
        <v>#REF!</v>
      </c>
      <c r="M2980" s="33" t="str">
        <f t="shared" si="187"/>
        <v>BS</v>
      </c>
    </row>
    <row r="2981" spans="1:13" s="33" customFormat="true" ht="12.75" customHeight="true">
      <c r="A2981" s="33" t="str">
        <f t="shared" si="184"/>
        <v>AKA - Deposits</v>
      </c>
      <c r="B2981" s="33" t="str">
        <f t="shared" si="185"/>
        <v>AKA</v>
      </c>
      <c r="C2981" s="33" t="str">
        <f t="shared" si="186"/>
        <v>19001-0000</v>
      </c>
      <c r="D2981" s="64" t="s">
        <v>3672</v>
      </c>
      <c r="E2981" s="64" t="s">
        <v>344</v>
      </c>
      <c r="F2981" s="64" t="s">
        <v>230</v>
      </c>
      <c r="G2981" s="64" t="s">
        <v>62</v>
      </c>
      <c r="H2981" s="64" t="s">
        <v>80</v>
      </c>
      <c r="I2981" s="64" t="s">
        <v>81</v>
      </c>
      <c r="J2981" s="67">
        <v>0</v>
      </c>
      <c r="K2981" s="62">
        <v>3870</v>
      </c>
      <c r="L2981" s="33" t="e">
        <f>HLOOKUP(B2981,#REF!,1,0)</f>
        <v>#REF!</v>
      </c>
      <c r="M2981" s="33" t="str">
        <f t="shared" si="187"/>
        <v>BS</v>
      </c>
    </row>
    <row r="2982" spans="1:13" s="33" customFormat="true" ht="12.75" customHeight="true">
      <c r="A2982" s="33" t="str">
        <f t="shared" si="184"/>
        <v>AKA - Tax Accr</v>
      </c>
      <c r="B2982" s="33" t="str">
        <f t="shared" si="185"/>
        <v>AKA</v>
      </c>
      <c r="C2982" s="33" t="str">
        <f t="shared" si="186"/>
        <v>22001-0000</v>
      </c>
      <c r="D2982" s="64" t="s">
        <v>3673</v>
      </c>
      <c r="E2982" s="64" t="s">
        <v>1322</v>
      </c>
      <c r="F2982" s="64" t="s">
        <v>230</v>
      </c>
      <c r="G2982" s="64" t="s">
        <v>97</v>
      </c>
      <c r="H2982" s="64" t="s">
        <v>105</v>
      </c>
      <c r="I2982" s="64" t="s">
        <v>102</v>
      </c>
      <c r="J2982" s="67">
        <v>-926.3</v>
      </c>
      <c r="K2982" s="62">
        <v>-5869.31</v>
      </c>
      <c r="L2982" s="33" t="e">
        <f>HLOOKUP(B2982,#REF!,1,0)</f>
        <v>#REF!</v>
      </c>
      <c r="M2982" s="33" t="str">
        <f t="shared" si="187"/>
        <v>BS</v>
      </c>
    </row>
    <row r="2983" spans="1:13" s="33" customFormat="true" ht="12.75" customHeight="true">
      <c r="A2983" s="33" t="str">
        <f t="shared" si="184"/>
        <v>AKA - AP-Accr Exp</v>
      </c>
      <c r="B2983" s="33" t="str">
        <f t="shared" si="185"/>
        <v>AKA</v>
      </c>
      <c r="C2983" s="33" t="str">
        <f t="shared" si="186"/>
        <v>23509-0000</v>
      </c>
      <c r="D2983" s="64" t="s">
        <v>3674</v>
      </c>
      <c r="E2983" s="64" t="s">
        <v>111</v>
      </c>
      <c r="F2983" s="64" t="s">
        <v>230</v>
      </c>
      <c r="G2983" s="64" t="s">
        <v>97</v>
      </c>
      <c r="H2983" s="64" t="s">
        <v>98</v>
      </c>
      <c r="I2983" s="64" t="s">
        <v>102</v>
      </c>
      <c r="J2983" s="67">
        <v>455.43</v>
      </c>
      <c r="K2983" s="62">
        <v>0</v>
      </c>
      <c r="L2983" s="33" t="e">
        <f>HLOOKUP(B2983,#REF!,1,0)</f>
        <v>#REF!</v>
      </c>
      <c r="M2983" s="33" t="str">
        <f t="shared" si="187"/>
        <v>BS</v>
      </c>
    </row>
    <row r="2984" spans="1:13" s="33" customFormat="true" ht="12.75" customHeight="true">
      <c r="A2984" s="33" t="str">
        <f t="shared" si="184"/>
        <v>AKA - InterCo Notes</v>
      </c>
      <c r="B2984" s="33" t="str">
        <f t="shared" si="185"/>
        <v>AKA</v>
      </c>
      <c r="C2984" s="33" t="str">
        <f t="shared" si="186"/>
        <v>25100-0000</v>
      </c>
      <c r="D2984" s="64" t="s">
        <v>3675</v>
      </c>
      <c r="E2984" s="64" t="s">
        <v>430</v>
      </c>
      <c r="F2984" s="64" t="s">
        <v>230</v>
      </c>
      <c r="G2984" s="64" t="s">
        <v>16</v>
      </c>
      <c r="H2984" s="64" t="s">
        <v>315</v>
      </c>
      <c r="I2984" s="64" t="s">
        <v>40</v>
      </c>
      <c r="J2984" s="67">
        <v>-45000</v>
      </c>
      <c r="K2984" s="62">
        <v>-45000</v>
      </c>
      <c r="L2984" s="33" t="e">
        <f>HLOOKUP(B2984,#REF!,1,0)</f>
        <v>#REF!</v>
      </c>
      <c r="M2984" s="33" t="str">
        <f t="shared" si="187"/>
        <v>BS</v>
      </c>
    </row>
    <row r="2985" spans="1:13" s="33" customFormat="true" ht="12.75" customHeight="true">
      <c r="A2985" s="33" t="str">
        <f t="shared" si="184"/>
        <v>AKA - AP-Accr Exp</v>
      </c>
      <c r="B2985" s="33" t="str">
        <f t="shared" si="185"/>
        <v>AKA</v>
      </c>
      <c r="C2985" s="33" t="str">
        <f t="shared" si="186"/>
        <v>25300-0000</v>
      </c>
      <c r="D2985" s="64" t="s">
        <v>3676</v>
      </c>
      <c r="E2985" s="64" t="s">
        <v>3677</v>
      </c>
      <c r="F2985" s="64" t="s">
        <v>230</v>
      </c>
      <c r="G2985" s="64" t="s">
        <v>3678</v>
      </c>
      <c r="H2985" s="64" t="s">
        <v>98</v>
      </c>
      <c r="I2985" s="64" t="s">
        <v>102</v>
      </c>
      <c r="J2985" s="67">
        <v>-6824.71</v>
      </c>
      <c r="K2985" s="62">
        <v>-6824.71</v>
      </c>
      <c r="L2985" s="33" t="e">
        <f>HLOOKUP(B2985,#REF!,1,0)</f>
        <v>#REF!</v>
      </c>
      <c r="M2985" s="33" t="str">
        <f t="shared" si="187"/>
        <v>BS</v>
      </c>
    </row>
    <row r="2986" spans="1:13" s="33" customFormat="true" ht="12.75" customHeight="true">
      <c r="A2986" s="33" t="str">
        <f t="shared" si="184"/>
        <v>AKA - Principal</v>
      </c>
      <c r="B2986" s="33" t="str">
        <f t="shared" si="185"/>
        <v>AKA</v>
      </c>
      <c r="C2986" s="33" t="str">
        <f t="shared" si="186"/>
        <v>28006-0000</v>
      </c>
      <c r="D2986" s="64" t="s">
        <v>3679</v>
      </c>
      <c r="E2986" s="64" t="s">
        <v>3680</v>
      </c>
      <c r="F2986" s="64" t="s">
        <v>230</v>
      </c>
      <c r="G2986" s="64" t="s">
        <v>123</v>
      </c>
      <c r="H2986" s="64" t="s">
        <v>127</v>
      </c>
      <c r="I2986" s="64" t="s">
        <v>133</v>
      </c>
      <c r="J2986" s="67">
        <v>0</v>
      </c>
      <c r="K2986" s="62">
        <v>-8500000</v>
      </c>
      <c r="L2986" s="33" t="e">
        <f>HLOOKUP(B2986,#REF!,1,0)</f>
        <v>#REF!</v>
      </c>
      <c r="M2986" s="33" t="str">
        <f t="shared" si="187"/>
        <v>BS</v>
      </c>
    </row>
    <row r="2987" spans="1:13" s="33" customFormat="true" ht="12.75" customHeight="true">
      <c r="A2987" s="33" t="str">
        <f t="shared" si="184"/>
        <v>AKA - SH Dist</v>
      </c>
      <c r="B2987" s="33" t="str">
        <f t="shared" si="185"/>
        <v>AKA</v>
      </c>
      <c r="C2987" s="33" t="str">
        <f t="shared" si="186"/>
        <v>30700-0000</v>
      </c>
      <c r="D2987" s="64" t="s">
        <v>3681</v>
      </c>
      <c r="E2987" s="64" t="s">
        <v>319</v>
      </c>
      <c r="F2987" s="64" t="s">
        <v>230</v>
      </c>
      <c r="G2987" s="64" t="s">
        <v>142</v>
      </c>
      <c r="H2987" s="64" t="s">
        <v>143</v>
      </c>
      <c r="I2987" s="64" t="s">
        <v>144</v>
      </c>
      <c r="J2987" s="67">
        <v>0</v>
      </c>
      <c r="K2987" s="62">
        <v>50000</v>
      </c>
      <c r="L2987" s="33" t="e">
        <f>HLOOKUP(B2987,#REF!,1,0)</f>
        <v>#REF!</v>
      </c>
      <c r="M2987" s="33" t="str">
        <f t="shared" si="187"/>
        <v>BS</v>
      </c>
    </row>
    <row r="2988" spans="1:13" s="33" customFormat="true" ht="14.25" customHeight="true">
      <c r="A2988" s="33" t="str">
        <f t="shared" si="184"/>
        <v>AKA - Revenue</v>
      </c>
      <c r="B2988" s="33" t="str">
        <f t="shared" si="185"/>
        <v>AKA</v>
      </c>
      <c r="C2988" s="33" t="str">
        <f t="shared" si="186"/>
        <v>40110-0000</v>
      </c>
      <c r="D2988" s="64" t="s">
        <v>3682</v>
      </c>
      <c r="E2988" s="64" t="s">
        <v>3683</v>
      </c>
      <c r="F2988" s="64" t="s">
        <v>230</v>
      </c>
      <c r="G2988" s="64" t="s">
        <v>3684</v>
      </c>
      <c r="H2988" s="33" t="s">
        <v>2871</v>
      </c>
      <c r="I2988" s="64" t="s">
        <v>3685</v>
      </c>
      <c r="J2988" s="67">
        <v>-46920</v>
      </c>
      <c r="K2988" s="62">
        <v>-363002.5</v>
      </c>
      <c r="L2988" s="33" t="e">
        <f>HLOOKUP(B2988,#REF!,1,0)</f>
        <v>#REF!</v>
      </c>
      <c r="M2988" s="33" t="str">
        <f t="shared" si="187"/>
        <v>P&amp;L</v>
      </c>
    </row>
    <row r="2989" spans="1:13" s="33" customFormat="true" ht="12.75" customHeight="true">
      <c r="A2989" s="33" t="str">
        <f t="shared" si="184"/>
        <v>AKA - Revenue</v>
      </c>
      <c r="B2989" s="33" t="str">
        <f t="shared" si="185"/>
        <v>AKA</v>
      </c>
      <c r="C2989" s="33" t="str">
        <f t="shared" si="186"/>
        <v>40120-0000</v>
      </c>
      <c r="D2989" s="64" t="s">
        <v>3686</v>
      </c>
      <c r="E2989" s="64" t="s">
        <v>3687</v>
      </c>
      <c r="F2989" s="64" t="s">
        <v>230</v>
      </c>
      <c r="G2989" s="64" t="s">
        <v>3684</v>
      </c>
      <c r="H2989" s="64" t="s">
        <v>2871</v>
      </c>
      <c r="I2989" s="64" t="s">
        <v>3688</v>
      </c>
      <c r="J2989" s="67">
        <v>-2138</v>
      </c>
      <c r="K2989" s="62">
        <v>-6554</v>
      </c>
      <c r="L2989" s="33" t="e">
        <f>HLOOKUP(B2989,#REF!,1,0)</f>
        <v>#REF!</v>
      </c>
      <c r="M2989" s="33" t="str">
        <f t="shared" si="187"/>
        <v>P&amp;L</v>
      </c>
    </row>
    <row r="2990" spans="1:13" s="33" customFormat="true" ht="12.75" customHeight="true">
      <c r="A2990" s="33" t="str">
        <f t="shared" si="184"/>
        <v>AKA - Revenue</v>
      </c>
      <c r="B2990" s="33" t="str">
        <f t="shared" si="185"/>
        <v>AKA</v>
      </c>
      <c r="C2990" s="33" t="str">
        <f t="shared" si="186"/>
        <v>40130-0000</v>
      </c>
      <c r="D2990" s="64" t="s">
        <v>3689</v>
      </c>
      <c r="E2990" s="64" t="s">
        <v>3690</v>
      </c>
      <c r="F2990" s="64" t="s">
        <v>230</v>
      </c>
      <c r="G2990" s="64" t="s">
        <v>3684</v>
      </c>
      <c r="H2990" s="64" t="s">
        <v>2871</v>
      </c>
      <c r="I2990" s="64" t="s">
        <v>3691</v>
      </c>
      <c r="J2990" s="67">
        <v>-1240</v>
      </c>
      <c r="K2990" s="62">
        <v>-2134</v>
      </c>
      <c r="L2990" s="33" t="e">
        <f>HLOOKUP(B2990,#REF!,1,0)</f>
        <v>#REF!</v>
      </c>
      <c r="M2990" s="33" t="str">
        <f t="shared" si="187"/>
        <v>P&amp;L</v>
      </c>
    </row>
    <row r="2991" spans="1:13" s="33" customFormat="true" ht="12.75" customHeight="true">
      <c r="A2991" s="33" t="str">
        <f t="shared" si="184"/>
        <v>AKA - Revenue</v>
      </c>
      <c r="B2991" s="33" t="str">
        <f t="shared" si="185"/>
        <v>AKA</v>
      </c>
      <c r="C2991" s="33" t="str">
        <f t="shared" si="186"/>
        <v>41110-0000</v>
      </c>
      <c r="D2991" s="64" t="s">
        <v>3692</v>
      </c>
      <c r="E2991" s="64" t="s">
        <v>3693</v>
      </c>
      <c r="F2991" s="64" t="s">
        <v>230</v>
      </c>
      <c r="G2991" s="64" t="s">
        <v>3694</v>
      </c>
      <c r="H2991" s="64" t="s">
        <v>2871</v>
      </c>
      <c r="I2991" s="64" t="s">
        <v>3695</v>
      </c>
      <c r="J2991" s="67">
        <v>1735.83</v>
      </c>
      <c r="K2991" s="62">
        <v>17134.13</v>
      </c>
      <c r="L2991" s="33" t="e">
        <f>HLOOKUP(B2991,#REF!,1,0)</f>
        <v>#REF!</v>
      </c>
      <c r="M2991" s="33" t="str">
        <f t="shared" si="187"/>
        <v>P&amp;L</v>
      </c>
    </row>
    <row r="2992" spans="1:13" s="33" customFormat="true" ht="12.75" customHeight="true">
      <c r="A2992" s="33" t="str">
        <f t="shared" si="184"/>
        <v>AKA - Revenue</v>
      </c>
      <c r="B2992" s="33" t="str">
        <f t="shared" si="185"/>
        <v>AKA</v>
      </c>
      <c r="C2992" s="33" t="str">
        <f t="shared" si="186"/>
        <v>41121-0000</v>
      </c>
      <c r="D2992" s="64" t="s">
        <v>3696</v>
      </c>
      <c r="E2992" s="64" t="s">
        <v>3697</v>
      </c>
      <c r="F2992" s="64" t="s">
        <v>230</v>
      </c>
      <c r="G2992" s="64" t="s">
        <v>3694</v>
      </c>
      <c r="H2992" s="64" t="s">
        <v>2871</v>
      </c>
      <c r="I2992" s="64" t="s">
        <v>3698</v>
      </c>
      <c r="J2992" s="67">
        <v>22938.64</v>
      </c>
      <c r="K2992" s="62">
        <v>84598.44</v>
      </c>
      <c r="L2992" s="33" t="e">
        <f>HLOOKUP(B2992,#REF!,1,0)</f>
        <v>#REF!</v>
      </c>
      <c r="M2992" s="33" t="str">
        <f t="shared" si="187"/>
        <v>P&amp;L</v>
      </c>
    </row>
    <row r="2993" spans="1:13" s="33" customFormat="true" ht="12.75" customHeight="true">
      <c r="A2993" s="33" t="str">
        <f t="shared" si="184"/>
        <v>AKA - Revenue</v>
      </c>
      <c r="B2993" s="33" t="str">
        <f t="shared" si="185"/>
        <v>AKA</v>
      </c>
      <c r="C2993" s="33" t="str">
        <f t="shared" si="186"/>
        <v>41122-0000</v>
      </c>
      <c r="D2993" s="64" t="s">
        <v>3699</v>
      </c>
      <c r="E2993" s="64" t="s">
        <v>3700</v>
      </c>
      <c r="F2993" s="64" t="s">
        <v>230</v>
      </c>
      <c r="G2993" s="64" t="s">
        <v>3694</v>
      </c>
      <c r="H2993" s="64" t="s">
        <v>2871</v>
      </c>
      <c r="I2993" s="64" t="s">
        <v>3701</v>
      </c>
      <c r="J2993" s="67">
        <v>1874.71</v>
      </c>
      <c r="K2993" s="62">
        <v>-34477.99</v>
      </c>
      <c r="L2993" s="33" t="e">
        <f>HLOOKUP(B2993,#REF!,1,0)</f>
        <v>#REF!</v>
      </c>
      <c r="M2993" s="33" t="str">
        <f t="shared" si="187"/>
        <v>P&amp;L</v>
      </c>
    </row>
    <row r="2994" spans="1:13" s="33" customFormat="true" ht="12.75" customHeight="true">
      <c r="A2994" s="33" t="str">
        <f t="shared" si="184"/>
        <v>AKA - Revenue</v>
      </c>
      <c r="B2994" s="33" t="str">
        <f t="shared" si="185"/>
        <v>AKA</v>
      </c>
      <c r="C2994" s="33" t="str">
        <f t="shared" si="186"/>
        <v>41130-0000</v>
      </c>
      <c r="D2994" s="64" t="s">
        <v>3702</v>
      </c>
      <c r="E2994" s="64" t="s">
        <v>3703</v>
      </c>
      <c r="F2994" s="64" t="s">
        <v>230</v>
      </c>
      <c r="G2994" s="64" t="s">
        <v>3694</v>
      </c>
      <c r="H2994" s="64" t="s">
        <v>2871</v>
      </c>
      <c r="I2994" s="64" t="s">
        <v>3704</v>
      </c>
      <c r="J2994" s="67">
        <v>533.93</v>
      </c>
      <c r="K2994" s="62">
        <v>4508.93</v>
      </c>
      <c r="L2994" s="33" t="e">
        <f>HLOOKUP(B2994,#REF!,1,0)</f>
        <v>#REF!</v>
      </c>
      <c r="M2994" s="33" t="str">
        <f t="shared" si="187"/>
        <v>P&amp;L</v>
      </c>
    </row>
    <row r="2995" spans="1:13" s="33" customFormat="true" ht="12.75" customHeight="true">
      <c r="A2995" s="33" t="str">
        <f t="shared" si="184"/>
        <v>AKA - Revenue</v>
      </c>
      <c r="B2995" s="33" t="str">
        <f t="shared" si="185"/>
        <v>AKA</v>
      </c>
      <c r="C2995" s="33" t="str">
        <f t="shared" si="186"/>
        <v>41140-0000</v>
      </c>
      <c r="D2995" s="64" t="s">
        <v>3705</v>
      </c>
      <c r="E2995" s="64" t="s">
        <v>3706</v>
      </c>
      <c r="F2995" s="64" t="s">
        <v>230</v>
      </c>
      <c r="G2995" s="64" t="s">
        <v>3694</v>
      </c>
      <c r="H2995" s="64" t="s">
        <v>2871</v>
      </c>
      <c r="I2995" s="64" t="s">
        <v>3707</v>
      </c>
      <c r="J2995" s="67">
        <v>0</v>
      </c>
      <c r="K2995" s="62">
        <v>1844</v>
      </c>
      <c r="L2995" s="33" t="e">
        <f>HLOOKUP(B2995,#REF!,1,0)</f>
        <v>#REF!</v>
      </c>
      <c r="M2995" s="33" t="str">
        <f t="shared" si="187"/>
        <v>P&amp;L</v>
      </c>
    </row>
    <row r="2996" spans="1:13" s="33" customFormat="true" ht="12.75" customHeight="true">
      <c r="A2996" s="33" t="str">
        <f t="shared" si="184"/>
        <v>AKA - Revenue</v>
      </c>
      <c r="B2996" s="33" t="str">
        <f t="shared" si="185"/>
        <v>AKA</v>
      </c>
      <c r="C2996" s="33" t="str">
        <f t="shared" si="186"/>
        <v>41150-0000</v>
      </c>
      <c r="D2996" s="64" t="s">
        <v>3708</v>
      </c>
      <c r="E2996" s="64" t="s">
        <v>3709</v>
      </c>
      <c r="F2996" s="64" t="s">
        <v>230</v>
      </c>
      <c r="G2996" s="64" t="s">
        <v>3694</v>
      </c>
      <c r="H2996" s="64" t="s">
        <v>2871</v>
      </c>
      <c r="I2996" s="64" t="s">
        <v>3710</v>
      </c>
      <c r="J2996" s="67">
        <v>0</v>
      </c>
      <c r="K2996" s="62">
        <v>0</v>
      </c>
      <c r="L2996" s="33" t="e">
        <f>HLOOKUP(B2996,#REF!,1,0)</f>
        <v>#REF!</v>
      </c>
      <c r="M2996" s="33" t="str">
        <f t="shared" si="187"/>
        <v>P&amp;L</v>
      </c>
    </row>
    <row r="2997" spans="1:13" s="33" customFormat="true" ht="12.75" customHeight="true">
      <c r="A2997" s="33" t="str">
        <f t="shared" si="184"/>
        <v>AKA - Revenue</v>
      </c>
      <c r="B2997" s="33" t="str">
        <f t="shared" si="185"/>
        <v>AKA</v>
      </c>
      <c r="C2997" s="33" t="str">
        <f t="shared" si="186"/>
        <v>41999-0000</v>
      </c>
      <c r="D2997" s="64" t="s">
        <v>3711</v>
      </c>
      <c r="E2997" s="64" t="s">
        <v>3712</v>
      </c>
      <c r="F2997" s="64" t="s">
        <v>230</v>
      </c>
      <c r="G2997" s="64" t="s">
        <v>3713</v>
      </c>
      <c r="H2997" s="64" t="s">
        <v>2871</v>
      </c>
      <c r="I2997" s="64" t="s">
        <v>3714</v>
      </c>
      <c r="J2997" s="67">
        <v>23214.89</v>
      </c>
      <c r="K2997" s="62">
        <v>298082.99</v>
      </c>
      <c r="L2997" s="33" t="e">
        <f>HLOOKUP(B2997,#REF!,1,0)</f>
        <v>#REF!</v>
      </c>
      <c r="M2997" s="33" t="str">
        <f t="shared" si="187"/>
        <v>P&amp;L</v>
      </c>
    </row>
    <row r="2998" spans="1:13" s="33" customFormat="true" ht="12.75" customHeight="true">
      <c r="A2998" s="33" t="str">
        <f t="shared" si="184"/>
        <v>AKA - Revenue</v>
      </c>
      <c r="B2998" s="33" t="str">
        <f t="shared" si="185"/>
        <v>AKA</v>
      </c>
      <c r="C2998" s="33" t="str">
        <f t="shared" si="186"/>
        <v>47400-0000</v>
      </c>
      <c r="D2998" s="64" t="s">
        <v>3715</v>
      </c>
      <c r="E2998" s="64" t="s">
        <v>3716</v>
      </c>
      <c r="F2998" s="64" t="s">
        <v>230</v>
      </c>
      <c r="G2998" s="64" t="s">
        <v>3717</v>
      </c>
      <c r="H2998" s="64" t="s">
        <v>2871</v>
      </c>
      <c r="I2998" s="64" t="s">
        <v>3718</v>
      </c>
      <c r="J2998" s="67">
        <v>-28489.31</v>
      </c>
      <c r="K2998" s="62">
        <v>-303357.41</v>
      </c>
      <c r="L2998" s="33" t="e">
        <f>HLOOKUP(B2998,#REF!,1,0)</f>
        <v>#REF!</v>
      </c>
      <c r="M2998" s="33" t="str">
        <f t="shared" si="187"/>
        <v>P&amp;L</v>
      </c>
    </row>
    <row r="2999" spans="1:13" s="33" customFormat="true" ht="12.75" customHeight="true">
      <c r="A2999" s="33" t="str">
        <f t="shared" si="184"/>
        <v>AKA - Revenue</v>
      </c>
      <c r="B2999" s="33" t="str">
        <f t="shared" si="185"/>
        <v>AKA</v>
      </c>
      <c r="C2999" s="33" t="str">
        <f t="shared" si="186"/>
        <v>47440-0000</v>
      </c>
      <c r="D2999" s="64" t="s">
        <v>3719</v>
      </c>
      <c r="E2999" s="64" t="s">
        <v>3720</v>
      </c>
      <c r="F2999" s="64" t="s">
        <v>230</v>
      </c>
      <c r="G2999" s="64" t="s">
        <v>3717</v>
      </c>
      <c r="H2999" s="64" t="s">
        <v>2871</v>
      </c>
      <c r="I2999" s="64" t="s">
        <v>3721</v>
      </c>
      <c r="J2999" s="67">
        <v>-186</v>
      </c>
      <c r="K2999" s="62">
        <v>-1430</v>
      </c>
      <c r="L2999" s="33" t="e">
        <f>HLOOKUP(B2999,#REF!,1,0)</f>
        <v>#REF!</v>
      </c>
      <c r="M2999" s="33" t="str">
        <f t="shared" si="187"/>
        <v>P&amp;L</v>
      </c>
    </row>
    <row r="3000" spans="1:13" s="33" customFormat="true" ht="12.75" customHeight="true">
      <c r="A3000" s="33" t="str">
        <f t="shared" si="184"/>
        <v>AKA - Revenue</v>
      </c>
      <c r="B3000" s="33" t="str">
        <f t="shared" si="185"/>
        <v>AKA</v>
      </c>
      <c r="C3000" s="33" t="str">
        <f t="shared" si="186"/>
        <v>47450-0000</v>
      </c>
      <c r="D3000" s="64" t="s">
        <v>3722</v>
      </c>
      <c r="E3000" s="64" t="s">
        <v>3723</v>
      </c>
      <c r="F3000" s="64" t="s">
        <v>230</v>
      </c>
      <c r="G3000" s="64" t="s">
        <v>3717</v>
      </c>
      <c r="H3000" s="64" t="s">
        <v>2871</v>
      </c>
      <c r="I3000" s="64" t="s">
        <v>3724</v>
      </c>
      <c r="J3000" s="67">
        <v>0</v>
      </c>
      <c r="K3000" s="62">
        <v>0</v>
      </c>
      <c r="L3000" s="33" t="e">
        <f>HLOOKUP(B3000,#REF!,1,0)</f>
        <v>#REF!</v>
      </c>
      <c r="M3000" s="33" t="str">
        <f t="shared" si="187"/>
        <v>P&amp;L</v>
      </c>
    </row>
    <row r="3001" spans="1:13" s="33" customFormat="true" ht="14.25" customHeight="true">
      <c r="A3001" s="33" t="str">
        <f t="shared" si="184"/>
        <v>AKA - Revenue</v>
      </c>
      <c r="B3001" s="33" t="str">
        <f t="shared" si="185"/>
        <v>AKA</v>
      </c>
      <c r="C3001" s="33" t="str">
        <f t="shared" si="186"/>
        <v>47460-0000</v>
      </c>
      <c r="D3001" s="64" t="s">
        <v>3725</v>
      </c>
      <c r="E3001" s="64" t="s">
        <v>3726</v>
      </c>
      <c r="F3001" s="64" t="s">
        <v>230</v>
      </c>
      <c r="G3001" s="64" t="s">
        <v>3717</v>
      </c>
      <c r="H3001" s="33" t="s">
        <v>2871</v>
      </c>
      <c r="I3001" s="64" t="s">
        <v>3727</v>
      </c>
      <c r="J3001" s="67">
        <v>-8.05</v>
      </c>
      <c r="K3001" s="62">
        <v>-1230</v>
      </c>
      <c r="L3001" s="33" t="e">
        <f>HLOOKUP(B3001,#REF!,1,0)</f>
        <v>#REF!</v>
      </c>
      <c r="M3001" s="33" t="str">
        <f t="shared" si="187"/>
        <v>P&amp;L</v>
      </c>
    </row>
    <row r="3002" spans="1:13" s="33" customFormat="true" ht="12.75" customHeight="true">
      <c r="A3002" s="33" t="str">
        <f t="shared" si="184"/>
        <v>AKA - Revenue</v>
      </c>
      <c r="B3002" s="33" t="str">
        <f t="shared" si="185"/>
        <v>AKA</v>
      </c>
      <c r="C3002" s="33" t="str">
        <f t="shared" si="186"/>
        <v>47480-0000</v>
      </c>
      <c r="D3002" s="64" t="s">
        <v>3728</v>
      </c>
      <c r="E3002" s="64" t="s">
        <v>3729</v>
      </c>
      <c r="F3002" s="64" t="s">
        <v>230</v>
      </c>
      <c r="G3002" s="64" t="s">
        <v>3717</v>
      </c>
      <c r="H3002" s="64" t="s">
        <v>2871</v>
      </c>
      <c r="I3002" s="64" t="s">
        <v>3721</v>
      </c>
      <c r="J3002" s="67">
        <v>-135</v>
      </c>
      <c r="K3002" s="62">
        <v>-270</v>
      </c>
      <c r="L3002" s="33" t="e">
        <f>HLOOKUP(B3002,#REF!,1,0)</f>
        <v>#REF!</v>
      </c>
      <c r="M3002" s="33" t="str">
        <f t="shared" si="187"/>
        <v>P&amp;L</v>
      </c>
    </row>
    <row r="3003" spans="1:13" s="33" customFormat="true" ht="12.75" customHeight="true">
      <c r="A3003" s="33" t="str">
        <f t="shared" si="184"/>
        <v>AKA - Revenue</v>
      </c>
      <c r="B3003" s="33" t="str">
        <f t="shared" si="185"/>
        <v>AKA</v>
      </c>
      <c r="C3003" s="33" t="str">
        <f t="shared" si="186"/>
        <v>47490-0000</v>
      </c>
      <c r="D3003" s="64" t="s">
        <v>3730</v>
      </c>
      <c r="E3003" s="64" t="s">
        <v>3731</v>
      </c>
      <c r="F3003" s="64" t="s">
        <v>230</v>
      </c>
      <c r="G3003" s="64" t="s">
        <v>3717</v>
      </c>
      <c r="H3003" s="64" t="s">
        <v>2871</v>
      </c>
      <c r="I3003" s="64" t="s">
        <v>3721</v>
      </c>
      <c r="J3003" s="67">
        <v>-40</v>
      </c>
      <c r="K3003" s="62">
        <v>-580</v>
      </c>
      <c r="L3003" s="33" t="e">
        <f>HLOOKUP(B3003,#REF!,1,0)</f>
        <v>#REF!</v>
      </c>
      <c r="M3003" s="33" t="str">
        <f t="shared" si="187"/>
        <v>P&amp;L</v>
      </c>
    </row>
    <row r="3004" spans="1:13" s="33" customFormat="true" ht="12.75" customHeight="true">
      <c r="A3004" s="33" t="str">
        <f t="shared" si="184"/>
        <v>AKA - Revenue</v>
      </c>
      <c r="B3004" s="33" t="str">
        <f t="shared" si="185"/>
        <v>AKA</v>
      </c>
      <c r="C3004" s="33" t="str">
        <f t="shared" si="186"/>
        <v>47491-0000</v>
      </c>
      <c r="D3004" s="64" t="s">
        <v>3732</v>
      </c>
      <c r="E3004" s="64" t="s">
        <v>3733</v>
      </c>
      <c r="F3004" s="64" t="s">
        <v>230</v>
      </c>
      <c r="G3004" s="64" t="s">
        <v>3717</v>
      </c>
      <c r="H3004" s="64" t="s">
        <v>2871</v>
      </c>
      <c r="I3004" s="64" t="s">
        <v>3734</v>
      </c>
      <c r="J3004" s="67">
        <v>-1415</v>
      </c>
      <c r="K3004" s="62">
        <v>-11012.08</v>
      </c>
      <c r="L3004" s="33" t="e">
        <f>HLOOKUP(B3004,#REF!,1,0)</f>
        <v>#REF!</v>
      </c>
      <c r="M3004" s="33" t="str">
        <f t="shared" si="187"/>
        <v>P&amp;L</v>
      </c>
    </row>
    <row r="3005" spans="1:13" s="33" customFormat="true" ht="12.75" customHeight="true">
      <c r="A3005" s="33" t="str">
        <f t="shared" si="184"/>
        <v>AKA - Revenue</v>
      </c>
      <c r="B3005" s="33" t="str">
        <f t="shared" si="185"/>
        <v>AKA</v>
      </c>
      <c r="C3005" s="33" t="str">
        <f t="shared" si="186"/>
        <v>47492-0000</v>
      </c>
      <c r="D3005" s="64" t="s">
        <v>3735</v>
      </c>
      <c r="E3005" s="64" t="s">
        <v>3736</v>
      </c>
      <c r="F3005" s="64" t="s">
        <v>230</v>
      </c>
      <c r="G3005" s="64" t="s">
        <v>3717</v>
      </c>
      <c r="H3005" s="64" t="s">
        <v>2871</v>
      </c>
      <c r="I3005" s="64" t="s">
        <v>3737</v>
      </c>
      <c r="J3005" s="67">
        <v>-22</v>
      </c>
      <c r="K3005" s="62">
        <v>-32</v>
      </c>
      <c r="L3005" s="33" t="e">
        <f>HLOOKUP(B3005,#REF!,1,0)</f>
        <v>#REF!</v>
      </c>
      <c r="M3005" s="33" t="str">
        <f t="shared" si="187"/>
        <v>P&amp;L</v>
      </c>
    </row>
    <row r="3006" spans="1:13" s="33" customFormat="true" ht="12.75" customHeight="true">
      <c r="A3006" s="33" t="str">
        <f t="shared" si="184"/>
        <v>AKA - CGS</v>
      </c>
      <c r="B3006" s="33" t="str">
        <f t="shared" si="185"/>
        <v>AKA</v>
      </c>
      <c r="C3006" s="33" t="str">
        <f t="shared" si="186"/>
        <v>51006-0000</v>
      </c>
      <c r="D3006" s="64" t="s">
        <v>3738</v>
      </c>
      <c r="E3006" s="64" t="s">
        <v>3739</v>
      </c>
      <c r="F3006" s="64" t="s">
        <v>230</v>
      </c>
      <c r="G3006" s="64" t="s">
        <v>3740</v>
      </c>
      <c r="H3006" s="64" t="s">
        <v>1875</v>
      </c>
      <c r="I3006" s="64" t="s">
        <v>3741</v>
      </c>
      <c r="J3006" s="67">
        <v>492.71</v>
      </c>
      <c r="K3006" s="62">
        <v>1185.81</v>
      </c>
      <c r="L3006" s="33" t="e">
        <f>HLOOKUP(B3006,#REF!,1,0)</f>
        <v>#REF!</v>
      </c>
      <c r="M3006" s="33" t="str">
        <f t="shared" si="187"/>
        <v>P&amp;L</v>
      </c>
    </row>
    <row r="3007" spans="1:13" s="33" customFormat="true" ht="12.75" customHeight="true">
      <c r="A3007" s="33" t="str">
        <f t="shared" si="184"/>
        <v>AKA - CGS</v>
      </c>
      <c r="B3007" s="33" t="str">
        <f t="shared" si="185"/>
        <v>AKA</v>
      </c>
      <c r="C3007" s="33" t="str">
        <f t="shared" si="186"/>
        <v>51008-0000</v>
      </c>
      <c r="D3007" s="64" t="s">
        <v>3742</v>
      </c>
      <c r="E3007" s="64" t="s">
        <v>3743</v>
      </c>
      <c r="F3007" s="64" t="s">
        <v>230</v>
      </c>
      <c r="G3007" s="64" t="s">
        <v>3740</v>
      </c>
      <c r="H3007" s="64" t="s">
        <v>1875</v>
      </c>
      <c r="I3007" s="64" t="s">
        <v>3744</v>
      </c>
      <c r="J3007" s="67">
        <v>226.65</v>
      </c>
      <c r="K3007" s="62">
        <v>2544.97</v>
      </c>
      <c r="L3007" s="33" t="e">
        <f>HLOOKUP(B3007,#REF!,1,0)</f>
        <v>#REF!</v>
      </c>
      <c r="M3007" s="33" t="str">
        <f t="shared" si="187"/>
        <v>P&amp;L</v>
      </c>
    </row>
    <row r="3008" spans="1:13" s="33" customFormat="true" ht="12.75" customHeight="true">
      <c r="A3008" s="33" t="str">
        <f t="shared" si="184"/>
        <v>AKA - CGS</v>
      </c>
      <c r="B3008" s="33" t="str">
        <f t="shared" si="185"/>
        <v>AKA</v>
      </c>
      <c r="C3008" s="33" t="str">
        <f t="shared" si="186"/>
        <v>51009-0000</v>
      </c>
      <c r="D3008" s="64" t="s">
        <v>3745</v>
      </c>
      <c r="E3008" s="64" t="s">
        <v>3746</v>
      </c>
      <c r="F3008" s="64" t="s">
        <v>230</v>
      </c>
      <c r="G3008" s="64" t="s">
        <v>3740</v>
      </c>
      <c r="H3008" s="64" t="s">
        <v>1875</v>
      </c>
      <c r="I3008" s="64" t="s">
        <v>3747</v>
      </c>
      <c r="J3008" s="67">
        <v>606.94</v>
      </c>
      <c r="K3008" s="62">
        <v>755.78</v>
      </c>
      <c r="L3008" s="33" t="e">
        <f>HLOOKUP(B3008,#REF!,1,0)</f>
        <v>#REF!</v>
      </c>
      <c r="M3008" s="33" t="str">
        <f t="shared" si="187"/>
        <v>P&amp;L</v>
      </c>
    </row>
    <row r="3009" spans="1:13" s="33" customFormat="true" ht="12.75" customHeight="true">
      <c r="A3009" s="33" t="str">
        <f t="shared" si="184"/>
        <v>AKA - CGS</v>
      </c>
      <c r="B3009" s="33" t="str">
        <f t="shared" si="185"/>
        <v>AKA</v>
      </c>
      <c r="C3009" s="33" t="str">
        <f t="shared" si="186"/>
        <v>51011-0000</v>
      </c>
      <c r="D3009" s="64" t="s">
        <v>3748</v>
      </c>
      <c r="E3009" s="64" t="s">
        <v>3749</v>
      </c>
      <c r="F3009" s="64" t="s">
        <v>230</v>
      </c>
      <c r="G3009" s="64" t="s">
        <v>3740</v>
      </c>
      <c r="H3009" s="64" t="s">
        <v>1875</v>
      </c>
      <c r="I3009" s="64" t="s">
        <v>3750</v>
      </c>
      <c r="J3009" s="67">
        <v>1200</v>
      </c>
      <c r="K3009" s="62">
        <v>5325</v>
      </c>
      <c r="L3009" s="33" t="e">
        <f>HLOOKUP(B3009,#REF!,1,0)</f>
        <v>#REF!</v>
      </c>
      <c r="M3009" s="33" t="str">
        <f t="shared" si="187"/>
        <v>P&amp;L</v>
      </c>
    </row>
    <row r="3010" spans="1:13" s="33" customFormat="true" ht="12.75" customHeight="true">
      <c r="A3010" s="33" t="str">
        <f t="shared" ref="A3010:A3073" si="188">B3010&amp;" - "&amp;TRIM(H3010)</f>
        <v>AKA - CGS</v>
      </c>
      <c r="B3010" s="33" t="str">
        <f t="shared" ref="B3010:B3073" si="189">LEFT(D3010,3)</f>
        <v>AKA</v>
      </c>
      <c r="C3010" s="33" t="str">
        <f t="shared" ref="C3010:C3073" si="190">RIGHT(D3010,10)</f>
        <v>51012-0000</v>
      </c>
      <c r="D3010" s="64" t="s">
        <v>3751</v>
      </c>
      <c r="E3010" s="64" t="s">
        <v>3752</v>
      </c>
      <c r="F3010" s="64" t="s">
        <v>230</v>
      </c>
      <c r="G3010" s="64" t="s">
        <v>3740</v>
      </c>
      <c r="H3010" s="64" t="s">
        <v>1875</v>
      </c>
      <c r="I3010" s="64" t="s">
        <v>3753</v>
      </c>
      <c r="J3010" s="67">
        <v>75</v>
      </c>
      <c r="K3010" s="62">
        <v>375</v>
      </c>
      <c r="L3010" s="33" t="e">
        <f>HLOOKUP(B3010,#REF!,1,0)</f>
        <v>#REF!</v>
      </c>
      <c r="M3010" s="33" t="str">
        <f t="shared" ref="M3010:M3073" si="191">IF(VALUE(LEFT(C3010,5))&gt;40000,"P&amp;L","BS")</f>
        <v>P&amp;L</v>
      </c>
    </row>
    <row r="3011" spans="1:13" s="33" customFormat="true" ht="12.75" customHeight="true">
      <c r="A3011" s="33" t="str">
        <f t="shared" si="188"/>
        <v>AKA - CGS</v>
      </c>
      <c r="B3011" s="33" t="str">
        <f t="shared" si="189"/>
        <v>AKA</v>
      </c>
      <c r="C3011" s="33" t="str">
        <f t="shared" si="190"/>
        <v>51015-0000</v>
      </c>
      <c r="D3011" s="64" t="s">
        <v>3754</v>
      </c>
      <c r="E3011" s="64" t="s">
        <v>3755</v>
      </c>
      <c r="F3011" s="64" t="s">
        <v>230</v>
      </c>
      <c r="G3011" s="64" t="s">
        <v>3740</v>
      </c>
      <c r="H3011" s="64" t="s">
        <v>1875</v>
      </c>
      <c r="I3011" s="64" t="s">
        <v>3756</v>
      </c>
      <c r="J3011" s="67">
        <v>187.5</v>
      </c>
      <c r="K3011" s="62">
        <v>236.14</v>
      </c>
      <c r="L3011" s="33" t="e">
        <f>HLOOKUP(B3011,#REF!,1,0)</f>
        <v>#REF!</v>
      </c>
      <c r="M3011" s="33" t="str">
        <f t="shared" si="191"/>
        <v>P&amp;L</v>
      </c>
    </row>
    <row r="3012" spans="1:13" s="33" customFormat="true" ht="12.75" customHeight="true">
      <c r="A3012" s="33" t="str">
        <f t="shared" si="188"/>
        <v>AKA - CGS</v>
      </c>
      <c r="B3012" s="33" t="str">
        <f t="shared" si="189"/>
        <v>AKA</v>
      </c>
      <c r="C3012" s="33" t="str">
        <f t="shared" si="190"/>
        <v>51017-0000</v>
      </c>
      <c r="D3012" s="64" t="s">
        <v>3757</v>
      </c>
      <c r="E3012" s="64" t="s">
        <v>3758</v>
      </c>
      <c r="F3012" s="64" t="s">
        <v>230</v>
      </c>
      <c r="G3012" s="64" t="s">
        <v>3160</v>
      </c>
      <c r="H3012" s="64" t="s">
        <v>1875</v>
      </c>
      <c r="I3012" s="64" t="s">
        <v>3759</v>
      </c>
      <c r="J3012" s="67">
        <v>0</v>
      </c>
      <c r="K3012" s="62">
        <v>1506.72</v>
      </c>
      <c r="L3012" s="33" t="e">
        <f>HLOOKUP(B3012,#REF!,1,0)</f>
        <v>#REF!</v>
      </c>
      <c r="M3012" s="33" t="str">
        <f t="shared" si="191"/>
        <v>P&amp;L</v>
      </c>
    </row>
    <row r="3013" spans="1:13" s="33" customFormat="true" ht="12.75" customHeight="true">
      <c r="A3013" s="33" t="str">
        <f t="shared" si="188"/>
        <v>AKA - CGS</v>
      </c>
      <c r="B3013" s="33" t="str">
        <f t="shared" si="189"/>
        <v>AKA</v>
      </c>
      <c r="C3013" s="33" t="str">
        <f t="shared" si="190"/>
        <v>51019-0000</v>
      </c>
      <c r="D3013" s="64" t="s">
        <v>3760</v>
      </c>
      <c r="E3013" s="64" t="s">
        <v>3761</v>
      </c>
      <c r="F3013" s="64" t="s">
        <v>230</v>
      </c>
      <c r="G3013" s="64" t="s">
        <v>3740</v>
      </c>
      <c r="H3013" s="64" t="s">
        <v>1875</v>
      </c>
      <c r="I3013" s="64" t="s">
        <v>3340</v>
      </c>
      <c r="J3013" s="67">
        <v>0</v>
      </c>
      <c r="K3013" s="62">
        <v>231.04</v>
      </c>
      <c r="L3013" s="33" t="e">
        <f>HLOOKUP(B3013,#REF!,1,0)</f>
        <v>#REF!</v>
      </c>
      <c r="M3013" s="33" t="str">
        <f t="shared" si="191"/>
        <v>P&amp;L</v>
      </c>
    </row>
    <row r="3014" spans="1:13" s="33" customFormat="true" ht="12.75" customHeight="true">
      <c r="A3014" s="33" t="str">
        <f t="shared" si="188"/>
        <v>AKA - CGS</v>
      </c>
      <c r="B3014" s="33" t="str">
        <f t="shared" si="189"/>
        <v>AKA</v>
      </c>
      <c r="C3014" s="33" t="str">
        <f t="shared" si="190"/>
        <v>51020-0000</v>
      </c>
      <c r="D3014" s="64" t="s">
        <v>3762</v>
      </c>
      <c r="E3014" s="64" t="s">
        <v>3763</v>
      </c>
      <c r="F3014" s="64" t="s">
        <v>230</v>
      </c>
      <c r="G3014" s="64" t="s">
        <v>3740</v>
      </c>
      <c r="H3014" s="64" t="s">
        <v>1875</v>
      </c>
      <c r="I3014" s="64" t="s">
        <v>3345</v>
      </c>
      <c r="J3014" s="67">
        <v>64.12</v>
      </c>
      <c r="K3014" s="62">
        <v>347.77</v>
      </c>
      <c r="L3014" s="33" t="e">
        <f>HLOOKUP(B3014,#REF!,1,0)</f>
        <v>#REF!</v>
      </c>
      <c r="M3014" s="33" t="str">
        <f t="shared" si="191"/>
        <v>P&amp;L</v>
      </c>
    </row>
    <row r="3015" spans="1:13" s="33" customFormat="true" ht="12.75" customHeight="true">
      <c r="A3015" s="33" t="str">
        <f t="shared" si="188"/>
        <v>AKA - CGS</v>
      </c>
      <c r="B3015" s="33" t="str">
        <f t="shared" si="189"/>
        <v>AKA</v>
      </c>
      <c r="C3015" s="33" t="str">
        <f t="shared" si="190"/>
        <v>51024-0000</v>
      </c>
      <c r="D3015" s="64" t="s">
        <v>3764</v>
      </c>
      <c r="E3015" s="64" t="s">
        <v>3765</v>
      </c>
      <c r="F3015" s="64" t="s">
        <v>230</v>
      </c>
      <c r="G3015" s="64" t="s">
        <v>3740</v>
      </c>
      <c r="H3015" s="64" t="s">
        <v>1875</v>
      </c>
      <c r="I3015" s="64" t="s">
        <v>3766</v>
      </c>
      <c r="J3015" s="67">
        <v>0</v>
      </c>
      <c r="K3015" s="62">
        <v>295.53</v>
      </c>
      <c r="L3015" s="33" t="e">
        <f>HLOOKUP(B3015,#REF!,1,0)</f>
        <v>#REF!</v>
      </c>
      <c r="M3015" s="33" t="str">
        <f t="shared" si="191"/>
        <v>P&amp;L</v>
      </c>
    </row>
    <row r="3016" spans="1:13" s="33" customFormat="true" ht="12.75" customHeight="true">
      <c r="A3016" s="33" t="str">
        <f t="shared" si="188"/>
        <v>AKA - CGS</v>
      </c>
      <c r="B3016" s="33" t="str">
        <f t="shared" si="189"/>
        <v>AKA</v>
      </c>
      <c r="C3016" s="33" t="str">
        <f t="shared" si="190"/>
        <v>52001-0000</v>
      </c>
      <c r="D3016" s="64" t="s">
        <v>3767</v>
      </c>
      <c r="E3016" s="64" t="s">
        <v>3768</v>
      </c>
      <c r="F3016" s="64" t="s">
        <v>230</v>
      </c>
      <c r="G3016" s="64" t="s">
        <v>3769</v>
      </c>
      <c r="H3016" s="64" t="s">
        <v>1875</v>
      </c>
      <c r="I3016" s="64" t="s">
        <v>3770</v>
      </c>
      <c r="J3016" s="67">
        <v>0</v>
      </c>
      <c r="K3016" s="62">
        <v>41.71</v>
      </c>
      <c r="L3016" s="33" t="e">
        <f>HLOOKUP(B3016,#REF!,1,0)</f>
        <v>#REF!</v>
      </c>
      <c r="M3016" s="33" t="str">
        <f t="shared" si="191"/>
        <v>P&amp;L</v>
      </c>
    </row>
    <row r="3017" spans="1:13" s="33" customFormat="true" ht="12.75" customHeight="true">
      <c r="A3017" s="33" t="str">
        <f t="shared" si="188"/>
        <v>AKA - CGS</v>
      </c>
      <c r="B3017" s="33" t="str">
        <f t="shared" si="189"/>
        <v>AKA</v>
      </c>
      <c r="C3017" s="33" t="str">
        <f t="shared" si="190"/>
        <v>52003-0000</v>
      </c>
      <c r="D3017" s="64" t="s">
        <v>3771</v>
      </c>
      <c r="E3017" s="64" t="s">
        <v>3772</v>
      </c>
      <c r="F3017" s="64" t="s">
        <v>230</v>
      </c>
      <c r="G3017" s="64" t="s">
        <v>3769</v>
      </c>
      <c r="H3017" s="64" t="s">
        <v>1875</v>
      </c>
      <c r="I3017" s="64" t="s">
        <v>3773</v>
      </c>
      <c r="J3017" s="67">
        <v>0</v>
      </c>
      <c r="K3017" s="62">
        <v>230</v>
      </c>
      <c r="L3017" s="33" t="e">
        <f>HLOOKUP(B3017,#REF!,1,0)</f>
        <v>#REF!</v>
      </c>
      <c r="M3017" s="33" t="str">
        <f t="shared" si="191"/>
        <v>P&amp;L</v>
      </c>
    </row>
    <row r="3018" spans="1:13" s="33" customFormat="true" ht="12.75" customHeight="true">
      <c r="A3018" s="33" t="str">
        <f t="shared" si="188"/>
        <v>AKA - CGS</v>
      </c>
      <c r="B3018" s="33" t="str">
        <f t="shared" si="189"/>
        <v>AKA</v>
      </c>
      <c r="C3018" s="33" t="str">
        <f t="shared" si="190"/>
        <v>52004-0000</v>
      </c>
      <c r="D3018" s="64" t="s">
        <v>3774</v>
      </c>
      <c r="E3018" s="64" t="s">
        <v>3775</v>
      </c>
      <c r="F3018" s="64" t="s">
        <v>230</v>
      </c>
      <c r="G3018" s="64" t="s">
        <v>3769</v>
      </c>
      <c r="H3018" s="64" t="s">
        <v>1875</v>
      </c>
      <c r="I3018" s="64" t="s">
        <v>3776</v>
      </c>
      <c r="J3018" s="67">
        <v>0</v>
      </c>
      <c r="K3018" s="62">
        <v>-250</v>
      </c>
      <c r="L3018" s="33" t="e">
        <f>HLOOKUP(B3018,#REF!,1,0)</f>
        <v>#REF!</v>
      </c>
      <c r="M3018" s="33" t="str">
        <f t="shared" si="191"/>
        <v>P&amp;L</v>
      </c>
    </row>
    <row r="3019" spans="1:13" s="33" customFormat="true" ht="12.75" customHeight="true">
      <c r="A3019" s="33" t="str">
        <f t="shared" si="188"/>
        <v>AKA - CGS</v>
      </c>
      <c r="B3019" s="33" t="str">
        <f t="shared" si="189"/>
        <v>AKA</v>
      </c>
      <c r="C3019" s="33" t="str">
        <f t="shared" si="190"/>
        <v>52006-0000</v>
      </c>
      <c r="D3019" s="64" t="s">
        <v>3777</v>
      </c>
      <c r="E3019" s="64" t="s">
        <v>3778</v>
      </c>
      <c r="F3019" s="64" t="s">
        <v>230</v>
      </c>
      <c r="G3019" s="64" t="s">
        <v>3769</v>
      </c>
      <c r="H3019" s="64" t="s">
        <v>1875</v>
      </c>
      <c r="I3019" s="64" t="s">
        <v>3779</v>
      </c>
      <c r="J3019" s="67">
        <v>0</v>
      </c>
      <c r="K3019" s="62">
        <v>184.53</v>
      </c>
      <c r="L3019" s="33" t="e">
        <f>HLOOKUP(B3019,#REF!,1,0)</f>
        <v>#REF!</v>
      </c>
      <c r="M3019" s="33" t="str">
        <f t="shared" si="191"/>
        <v>P&amp;L</v>
      </c>
    </row>
    <row r="3020" spans="1:13" s="33" customFormat="true" ht="12.75" customHeight="true">
      <c r="A3020" s="33" t="str">
        <f t="shared" si="188"/>
        <v>AKA - CGS</v>
      </c>
      <c r="B3020" s="33" t="str">
        <f t="shared" si="189"/>
        <v>AKA</v>
      </c>
      <c r="C3020" s="33" t="str">
        <f t="shared" si="190"/>
        <v>53001-0000</v>
      </c>
      <c r="D3020" s="64" t="s">
        <v>3780</v>
      </c>
      <c r="E3020" s="64" t="s">
        <v>3781</v>
      </c>
      <c r="F3020" s="64" t="s">
        <v>230</v>
      </c>
      <c r="G3020" s="64" t="s">
        <v>3160</v>
      </c>
      <c r="H3020" s="64" t="s">
        <v>1875</v>
      </c>
      <c r="I3020" s="64" t="s">
        <v>3782</v>
      </c>
      <c r="J3020" s="67">
        <v>45</v>
      </c>
      <c r="K3020" s="62">
        <v>270</v>
      </c>
      <c r="L3020" s="33" t="e">
        <f>HLOOKUP(B3020,#REF!,1,0)</f>
        <v>#REF!</v>
      </c>
      <c r="M3020" s="33" t="str">
        <f t="shared" si="191"/>
        <v>P&amp;L</v>
      </c>
    </row>
    <row r="3021" spans="1:13" s="33" customFormat="true" ht="12.75" customHeight="true">
      <c r="A3021" s="33" t="str">
        <f t="shared" si="188"/>
        <v>AKA - CGS</v>
      </c>
      <c r="B3021" s="33" t="str">
        <f t="shared" si="189"/>
        <v>AKA</v>
      </c>
      <c r="C3021" s="33" t="str">
        <f t="shared" si="190"/>
        <v>53002-0000</v>
      </c>
      <c r="D3021" s="64" t="s">
        <v>3783</v>
      </c>
      <c r="E3021" s="64" t="s">
        <v>3784</v>
      </c>
      <c r="F3021" s="64" t="s">
        <v>230</v>
      </c>
      <c r="G3021" s="64" t="s">
        <v>3160</v>
      </c>
      <c r="H3021" s="64" t="s">
        <v>1875</v>
      </c>
      <c r="I3021" s="64" t="s">
        <v>3785</v>
      </c>
      <c r="J3021" s="67">
        <v>909.99</v>
      </c>
      <c r="K3021" s="62">
        <v>6126.4</v>
      </c>
      <c r="L3021" s="33" t="e">
        <f>HLOOKUP(B3021,#REF!,1,0)</f>
        <v>#REF!</v>
      </c>
      <c r="M3021" s="33" t="str">
        <f t="shared" si="191"/>
        <v>P&amp;L</v>
      </c>
    </row>
    <row r="3022" spans="1:13" s="33" customFormat="true" ht="12.75" customHeight="true">
      <c r="A3022" s="33" t="str">
        <f t="shared" si="188"/>
        <v>AKA - CGS</v>
      </c>
      <c r="B3022" s="33" t="str">
        <f t="shared" si="189"/>
        <v>AKA</v>
      </c>
      <c r="C3022" s="33" t="str">
        <f t="shared" si="190"/>
        <v>53003-0000</v>
      </c>
      <c r="D3022" s="64" t="s">
        <v>3786</v>
      </c>
      <c r="E3022" s="64" t="s">
        <v>3787</v>
      </c>
      <c r="F3022" s="64" t="s">
        <v>230</v>
      </c>
      <c r="G3022" s="64" t="s">
        <v>3160</v>
      </c>
      <c r="H3022" s="64" t="s">
        <v>1875</v>
      </c>
      <c r="I3022" s="64" t="s">
        <v>3788</v>
      </c>
      <c r="J3022" s="67">
        <v>888.53</v>
      </c>
      <c r="K3022" s="62">
        <v>4086.96</v>
      </c>
      <c r="L3022" s="33" t="e">
        <f>HLOOKUP(B3022,#REF!,1,0)</f>
        <v>#REF!</v>
      </c>
      <c r="M3022" s="33" t="str">
        <f t="shared" si="191"/>
        <v>P&amp;L</v>
      </c>
    </row>
    <row r="3023" spans="1:13" s="33" customFormat="true" ht="12.75" customHeight="true">
      <c r="A3023" s="33" t="str">
        <f t="shared" si="188"/>
        <v>AKA - CGS</v>
      </c>
      <c r="B3023" s="33" t="str">
        <f t="shared" si="189"/>
        <v>AKA</v>
      </c>
      <c r="C3023" s="33" t="str">
        <f t="shared" si="190"/>
        <v>53004-0000</v>
      </c>
      <c r="D3023" s="64" t="s">
        <v>3789</v>
      </c>
      <c r="E3023" s="64" t="s">
        <v>3790</v>
      </c>
      <c r="F3023" s="64" t="s">
        <v>230</v>
      </c>
      <c r="G3023" s="64" t="s">
        <v>3160</v>
      </c>
      <c r="H3023" s="64" t="s">
        <v>1875</v>
      </c>
      <c r="I3023" s="64" t="s">
        <v>3791</v>
      </c>
      <c r="J3023" s="67">
        <v>378.69</v>
      </c>
      <c r="K3023" s="62">
        <v>3853.55</v>
      </c>
      <c r="L3023" s="33" t="e">
        <f>HLOOKUP(B3023,#REF!,1,0)</f>
        <v>#REF!</v>
      </c>
      <c r="M3023" s="33" t="str">
        <f t="shared" si="191"/>
        <v>P&amp;L</v>
      </c>
    </row>
    <row r="3024" spans="1:13" s="33" customFormat="true" ht="12.75" customHeight="true">
      <c r="A3024" s="33" t="str">
        <f t="shared" si="188"/>
        <v>AKA - CGS</v>
      </c>
      <c r="B3024" s="33" t="str">
        <f t="shared" si="189"/>
        <v>AKA</v>
      </c>
      <c r="C3024" s="33" t="str">
        <f t="shared" si="190"/>
        <v>53005-0000</v>
      </c>
      <c r="D3024" s="64" t="s">
        <v>3792</v>
      </c>
      <c r="E3024" s="64" t="s">
        <v>3793</v>
      </c>
      <c r="F3024" s="64" t="s">
        <v>230</v>
      </c>
      <c r="G3024" s="64" t="s">
        <v>3160</v>
      </c>
      <c r="H3024" s="64" t="s">
        <v>1875</v>
      </c>
      <c r="I3024" s="64" t="s">
        <v>3794</v>
      </c>
      <c r="J3024" s="67">
        <v>626.29</v>
      </c>
      <c r="K3024" s="62">
        <v>3145.58</v>
      </c>
      <c r="L3024" s="33" t="e">
        <f>HLOOKUP(B3024,#REF!,1,0)</f>
        <v>#REF!</v>
      </c>
      <c r="M3024" s="33" t="str">
        <f t="shared" si="191"/>
        <v>P&amp;L</v>
      </c>
    </row>
    <row r="3025" spans="1:13" s="33" customFormat="true" ht="12.75" customHeight="true">
      <c r="A3025" s="33" t="str">
        <f t="shared" si="188"/>
        <v>AKA - CGS</v>
      </c>
      <c r="B3025" s="33" t="str">
        <f t="shared" si="189"/>
        <v>AKA</v>
      </c>
      <c r="C3025" s="33" t="str">
        <f t="shared" si="190"/>
        <v>53006-0000</v>
      </c>
      <c r="D3025" s="64" t="s">
        <v>3795</v>
      </c>
      <c r="E3025" s="64" t="s">
        <v>3796</v>
      </c>
      <c r="F3025" s="64" t="s">
        <v>230</v>
      </c>
      <c r="G3025" s="64" t="s">
        <v>3160</v>
      </c>
      <c r="H3025" s="64" t="s">
        <v>1875</v>
      </c>
      <c r="I3025" s="64" t="s">
        <v>3797</v>
      </c>
      <c r="J3025" s="67">
        <v>1450.35</v>
      </c>
      <c r="K3025" s="62">
        <v>8162.18</v>
      </c>
      <c r="L3025" s="33" t="e">
        <f>HLOOKUP(B3025,#REF!,1,0)</f>
        <v>#REF!</v>
      </c>
      <c r="M3025" s="33" t="str">
        <f t="shared" si="191"/>
        <v>P&amp;L</v>
      </c>
    </row>
    <row r="3026" spans="1:13" s="33" customFormat="true" ht="12.75" customHeight="true">
      <c r="A3026" s="33" t="str">
        <f t="shared" si="188"/>
        <v>AKA - CGS</v>
      </c>
      <c r="B3026" s="33" t="str">
        <f t="shared" si="189"/>
        <v>AKA</v>
      </c>
      <c r="C3026" s="33" t="str">
        <f t="shared" si="190"/>
        <v>54002-0000</v>
      </c>
      <c r="D3026" s="64" t="s">
        <v>3798</v>
      </c>
      <c r="E3026" s="64" t="s">
        <v>3799</v>
      </c>
      <c r="F3026" s="64" t="s">
        <v>230</v>
      </c>
      <c r="G3026" s="64" t="s">
        <v>3800</v>
      </c>
      <c r="H3026" s="64" t="s">
        <v>1875</v>
      </c>
      <c r="I3026" s="64" t="s">
        <v>3801</v>
      </c>
      <c r="J3026" s="67">
        <v>0</v>
      </c>
      <c r="K3026" s="62">
        <v>2500</v>
      </c>
      <c r="L3026" s="33" t="e">
        <f>HLOOKUP(B3026,#REF!,1,0)</f>
        <v>#REF!</v>
      </c>
      <c r="M3026" s="33" t="str">
        <f t="shared" si="191"/>
        <v>P&amp;L</v>
      </c>
    </row>
    <row r="3027" spans="1:13" s="33" customFormat="true" ht="12.75" customHeight="true">
      <c r="A3027" s="33" t="str">
        <f t="shared" si="188"/>
        <v>AKA - CGS</v>
      </c>
      <c r="B3027" s="33" t="str">
        <f t="shared" si="189"/>
        <v>AKA</v>
      </c>
      <c r="C3027" s="33" t="str">
        <f t="shared" si="190"/>
        <v>54003-0000</v>
      </c>
      <c r="D3027" s="64" t="s">
        <v>3802</v>
      </c>
      <c r="E3027" s="64" t="s">
        <v>3803</v>
      </c>
      <c r="F3027" s="64" t="s">
        <v>230</v>
      </c>
      <c r="G3027" s="64" t="s">
        <v>3800</v>
      </c>
      <c r="H3027" s="64" t="s">
        <v>1875</v>
      </c>
      <c r="I3027" s="64" t="s">
        <v>3804</v>
      </c>
      <c r="J3027" s="67">
        <v>0</v>
      </c>
      <c r="K3027" s="62">
        <v>0</v>
      </c>
      <c r="L3027" s="33" t="e">
        <f>HLOOKUP(B3027,#REF!,1,0)</f>
        <v>#REF!</v>
      </c>
      <c r="M3027" s="33" t="str">
        <f t="shared" si="191"/>
        <v>P&amp;L</v>
      </c>
    </row>
    <row r="3028" spans="1:13" s="33" customFormat="true" ht="12.75" customHeight="true">
      <c r="A3028" s="33" t="str">
        <f t="shared" si="188"/>
        <v>AKA - CGS</v>
      </c>
      <c r="B3028" s="33" t="str">
        <f t="shared" si="189"/>
        <v>AKA</v>
      </c>
      <c r="C3028" s="33" t="str">
        <f t="shared" si="190"/>
        <v>54004-0000</v>
      </c>
      <c r="D3028" s="64" t="s">
        <v>3805</v>
      </c>
      <c r="E3028" s="64" t="s">
        <v>3806</v>
      </c>
      <c r="F3028" s="64" t="s">
        <v>230</v>
      </c>
      <c r="G3028" s="64" t="s">
        <v>3800</v>
      </c>
      <c r="H3028" s="64" t="s">
        <v>1875</v>
      </c>
      <c r="I3028" s="64" t="s">
        <v>3807</v>
      </c>
      <c r="J3028" s="67">
        <v>4245.82</v>
      </c>
      <c r="K3028" s="62">
        <v>17899.69</v>
      </c>
      <c r="L3028" s="33" t="e">
        <f>HLOOKUP(B3028,#REF!,1,0)</f>
        <v>#REF!</v>
      </c>
      <c r="M3028" s="33" t="str">
        <f t="shared" si="191"/>
        <v>P&amp;L</v>
      </c>
    </row>
    <row r="3029" spans="1:13" s="33" customFormat="true" ht="12.75" customHeight="true">
      <c r="A3029" s="33" t="str">
        <f t="shared" si="188"/>
        <v>AKA - CGS</v>
      </c>
      <c r="B3029" s="33" t="str">
        <f t="shared" si="189"/>
        <v>AKA</v>
      </c>
      <c r="C3029" s="33" t="str">
        <f t="shared" si="190"/>
        <v>54005-0000</v>
      </c>
      <c r="D3029" s="64" t="s">
        <v>3808</v>
      </c>
      <c r="E3029" s="64" t="s">
        <v>3809</v>
      </c>
      <c r="F3029" s="64" t="s">
        <v>230</v>
      </c>
      <c r="G3029" s="64" t="s">
        <v>3800</v>
      </c>
      <c r="H3029" s="64" t="s">
        <v>1875</v>
      </c>
      <c r="I3029" s="64" t="s">
        <v>3810</v>
      </c>
      <c r="J3029" s="67">
        <v>16.73</v>
      </c>
      <c r="K3029" s="62">
        <v>111.81</v>
      </c>
      <c r="L3029" s="33" t="e">
        <f>HLOOKUP(B3029,#REF!,1,0)</f>
        <v>#REF!</v>
      </c>
      <c r="M3029" s="33" t="str">
        <f t="shared" si="191"/>
        <v>P&amp;L</v>
      </c>
    </row>
    <row r="3030" spans="1:13" s="33" customFormat="true" ht="12.75" customHeight="true">
      <c r="A3030" s="33" t="str">
        <f t="shared" si="188"/>
        <v>AKA - CGS</v>
      </c>
      <c r="B3030" s="33" t="str">
        <f t="shared" si="189"/>
        <v>AKA</v>
      </c>
      <c r="C3030" s="33" t="str">
        <f t="shared" si="190"/>
        <v>54006-0000</v>
      </c>
      <c r="D3030" s="64" t="s">
        <v>3811</v>
      </c>
      <c r="E3030" s="64" t="s">
        <v>3812</v>
      </c>
      <c r="F3030" s="64" t="s">
        <v>230</v>
      </c>
      <c r="G3030" s="64" t="s">
        <v>3800</v>
      </c>
      <c r="H3030" s="64" t="s">
        <v>1875</v>
      </c>
      <c r="I3030" s="64" t="s">
        <v>3003</v>
      </c>
      <c r="J3030" s="67">
        <v>324.8</v>
      </c>
      <c r="K3030" s="62">
        <v>2566.56</v>
      </c>
      <c r="L3030" s="33" t="e">
        <f>HLOOKUP(B3030,#REF!,1,0)</f>
        <v>#REF!</v>
      </c>
      <c r="M3030" s="33" t="str">
        <f t="shared" si="191"/>
        <v>P&amp;L</v>
      </c>
    </row>
    <row r="3031" spans="1:13" s="33" customFormat="true" ht="12.75" customHeight="true">
      <c r="A3031" s="33" t="str">
        <f t="shared" si="188"/>
        <v>AKA - CGS</v>
      </c>
      <c r="B3031" s="33" t="str">
        <f t="shared" si="189"/>
        <v>AKA</v>
      </c>
      <c r="C3031" s="33" t="str">
        <f t="shared" si="190"/>
        <v>54007-0000</v>
      </c>
      <c r="D3031" s="64" t="s">
        <v>3813</v>
      </c>
      <c r="E3031" s="64" t="s">
        <v>3814</v>
      </c>
      <c r="F3031" s="64" t="s">
        <v>230</v>
      </c>
      <c r="G3031" s="64" t="s">
        <v>3800</v>
      </c>
      <c r="H3031" s="64" t="s">
        <v>1875</v>
      </c>
      <c r="I3031" s="64" t="s">
        <v>3815</v>
      </c>
      <c r="J3031" s="67">
        <v>-455.43</v>
      </c>
      <c r="K3031" s="62">
        <v>4351.96</v>
      </c>
      <c r="L3031" s="33" t="e">
        <f>HLOOKUP(B3031,#REF!,1,0)</f>
        <v>#REF!</v>
      </c>
      <c r="M3031" s="33" t="str">
        <f t="shared" si="191"/>
        <v>P&amp;L</v>
      </c>
    </row>
    <row r="3032" spans="1:13" s="33" customFormat="true" ht="12.75" customHeight="true">
      <c r="A3032" s="33" t="str">
        <f t="shared" si="188"/>
        <v>AKA - PM Expenses</v>
      </c>
      <c r="B3032" s="33" t="str">
        <f t="shared" si="189"/>
        <v>AKA</v>
      </c>
      <c r="C3032" s="33" t="str">
        <f t="shared" si="190"/>
        <v>55501-0000</v>
      </c>
      <c r="D3032" s="64" t="s">
        <v>3816</v>
      </c>
      <c r="E3032" s="64" t="s">
        <v>3817</v>
      </c>
      <c r="F3032" s="64" t="s">
        <v>230</v>
      </c>
      <c r="G3032" s="64" t="s">
        <v>3818</v>
      </c>
      <c r="H3032" s="64" t="s">
        <v>3819</v>
      </c>
      <c r="I3032" s="64" t="s">
        <v>3820</v>
      </c>
      <c r="J3032" s="67">
        <v>0</v>
      </c>
      <c r="K3032" s="62">
        <v>1274.02</v>
      </c>
      <c r="L3032" s="33" t="e">
        <f>HLOOKUP(B3032,#REF!,1,0)</f>
        <v>#REF!</v>
      </c>
      <c r="M3032" s="33" t="str">
        <f t="shared" si="191"/>
        <v>P&amp;L</v>
      </c>
    </row>
    <row r="3033" spans="1:13" s="33" customFormat="true" ht="12.75" customHeight="true">
      <c r="A3033" s="33" t="str">
        <f t="shared" si="188"/>
        <v>AKA - PM Expenses</v>
      </c>
      <c r="B3033" s="33" t="str">
        <f t="shared" si="189"/>
        <v>AKA</v>
      </c>
      <c r="C3033" s="33" t="str">
        <f t="shared" si="190"/>
        <v>55502-0000</v>
      </c>
      <c r="D3033" s="64" t="s">
        <v>3821</v>
      </c>
      <c r="E3033" s="64" t="s">
        <v>3822</v>
      </c>
      <c r="F3033" s="64" t="s">
        <v>230</v>
      </c>
      <c r="G3033" s="64" t="s">
        <v>3818</v>
      </c>
      <c r="H3033" s="64" t="s">
        <v>3819</v>
      </c>
      <c r="I3033" s="64" t="s">
        <v>3823</v>
      </c>
      <c r="J3033" s="67">
        <v>5395.33</v>
      </c>
      <c r="K3033" s="62">
        <v>17743.13</v>
      </c>
      <c r="L3033" s="33" t="e">
        <f>HLOOKUP(B3033,#REF!,1,0)</f>
        <v>#REF!</v>
      </c>
      <c r="M3033" s="33" t="str">
        <f t="shared" si="191"/>
        <v>P&amp;L</v>
      </c>
    </row>
    <row r="3034" spans="1:13" s="33" customFormat="true" ht="12.75" customHeight="true">
      <c r="A3034" s="33" t="str">
        <f t="shared" si="188"/>
        <v>AKA - PM Expenses</v>
      </c>
      <c r="B3034" s="33" t="str">
        <f t="shared" si="189"/>
        <v>AKA</v>
      </c>
      <c r="C3034" s="33" t="str">
        <f t="shared" si="190"/>
        <v>55503-0000</v>
      </c>
      <c r="D3034" s="64" t="s">
        <v>3824</v>
      </c>
      <c r="E3034" s="64" t="s">
        <v>3825</v>
      </c>
      <c r="F3034" s="64" t="s">
        <v>230</v>
      </c>
      <c r="G3034" s="64" t="s">
        <v>3818</v>
      </c>
      <c r="H3034" s="64" t="s">
        <v>3819</v>
      </c>
      <c r="I3034" s="64" t="s">
        <v>3826</v>
      </c>
      <c r="J3034" s="67">
        <v>0</v>
      </c>
      <c r="K3034" s="62">
        <v>1342.3</v>
      </c>
      <c r="L3034" s="33" t="e">
        <f>HLOOKUP(B3034,#REF!,1,0)</f>
        <v>#REF!</v>
      </c>
      <c r="M3034" s="33" t="str">
        <f t="shared" si="191"/>
        <v>P&amp;L</v>
      </c>
    </row>
    <row r="3035" spans="1:13" s="33" customFormat="true" ht="12.75" customHeight="true">
      <c r="A3035" s="33" t="str">
        <f t="shared" si="188"/>
        <v>AKA - PM Expenses</v>
      </c>
      <c r="B3035" s="33" t="str">
        <f t="shared" si="189"/>
        <v>AKA</v>
      </c>
      <c r="C3035" s="33" t="str">
        <f t="shared" si="190"/>
        <v>55505-0000</v>
      </c>
      <c r="D3035" s="64" t="s">
        <v>3827</v>
      </c>
      <c r="E3035" s="64" t="s">
        <v>3828</v>
      </c>
      <c r="F3035" s="64" t="s">
        <v>230</v>
      </c>
      <c r="G3035" s="64" t="s">
        <v>3818</v>
      </c>
      <c r="H3035" s="64" t="s">
        <v>3819</v>
      </c>
      <c r="I3035" s="64" t="s">
        <v>3829</v>
      </c>
      <c r="J3035" s="67">
        <v>0</v>
      </c>
      <c r="K3035" s="62">
        <v>2107.72</v>
      </c>
      <c r="L3035" s="33" t="e">
        <f>HLOOKUP(B3035,#REF!,1,0)</f>
        <v>#REF!</v>
      </c>
      <c r="M3035" s="33" t="str">
        <f t="shared" si="191"/>
        <v>P&amp;L</v>
      </c>
    </row>
    <row r="3036" spans="1:13" s="33" customFormat="true" ht="12.75" customHeight="true">
      <c r="A3036" s="33" t="str">
        <f t="shared" si="188"/>
        <v>AKA - PM Expenses</v>
      </c>
      <c r="B3036" s="33" t="str">
        <f t="shared" si="189"/>
        <v>AKA</v>
      </c>
      <c r="C3036" s="33" t="str">
        <f t="shared" si="190"/>
        <v>55506-0000</v>
      </c>
      <c r="D3036" s="64" t="s">
        <v>3830</v>
      </c>
      <c r="E3036" s="64" t="s">
        <v>3831</v>
      </c>
      <c r="F3036" s="64" t="s">
        <v>230</v>
      </c>
      <c r="G3036" s="64" t="s">
        <v>3818</v>
      </c>
      <c r="H3036" s="64" t="s">
        <v>3819</v>
      </c>
      <c r="I3036" s="64" t="s">
        <v>3832</v>
      </c>
      <c r="J3036" s="67">
        <v>814.77</v>
      </c>
      <c r="K3036" s="62">
        <v>9119.13</v>
      </c>
      <c r="L3036" s="33" t="e">
        <f>HLOOKUP(B3036,#REF!,1,0)</f>
        <v>#REF!</v>
      </c>
      <c r="M3036" s="33" t="str">
        <f t="shared" si="191"/>
        <v>P&amp;L</v>
      </c>
    </row>
    <row r="3037" spans="1:13" s="33" customFormat="true" ht="12.75" customHeight="true">
      <c r="A3037" s="33" t="str">
        <f t="shared" si="188"/>
        <v>AKA - PM Expenses</v>
      </c>
      <c r="B3037" s="33" t="str">
        <f t="shared" si="189"/>
        <v>AKA</v>
      </c>
      <c r="C3037" s="33" t="str">
        <f t="shared" si="190"/>
        <v>55507-0000</v>
      </c>
      <c r="D3037" s="64" t="s">
        <v>3833</v>
      </c>
      <c r="E3037" s="64" t="s">
        <v>3834</v>
      </c>
      <c r="F3037" s="64" t="s">
        <v>230</v>
      </c>
      <c r="G3037" s="64" t="s">
        <v>3818</v>
      </c>
      <c r="H3037" s="64" t="s">
        <v>3819</v>
      </c>
      <c r="I3037" s="64" t="s">
        <v>3835</v>
      </c>
      <c r="J3037" s="67">
        <v>280.74</v>
      </c>
      <c r="K3037" s="62">
        <v>1234.96</v>
      </c>
      <c r="L3037" s="33" t="e">
        <f>HLOOKUP(B3037,#REF!,1,0)</f>
        <v>#REF!</v>
      </c>
      <c r="M3037" s="33" t="str">
        <f t="shared" si="191"/>
        <v>P&amp;L</v>
      </c>
    </row>
    <row r="3038" spans="1:13" s="33" customFormat="true" ht="12.75" customHeight="true">
      <c r="A3038" s="33" t="str">
        <f t="shared" si="188"/>
        <v>AKA - CGS</v>
      </c>
      <c r="B3038" s="33" t="str">
        <f t="shared" si="189"/>
        <v>AKA</v>
      </c>
      <c r="C3038" s="33" t="str">
        <f t="shared" si="190"/>
        <v>60002-0000</v>
      </c>
      <c r="D3038" s="64" t="s">
        <v>3836</v>
      </c>
      <c r="E3038" s="64" t="s">
        <v>3837</v>
      </c>
      <c r="F3038" s="64" t="s">
        <v>230</v>
      </c>
      <c r="G3038" s="64" t="s">
        <v>3838</v>
      </c>
      <c r="H3038" s="64" t="s">
        <v>1875</v>
      </c>
      <c r="I3038" s="64" t="s">
        <v>3839</v>
      </c>
      <c r="J3038" s="67">
        <v>0</v>
      </c>
      <c r="K3038" s="62">
        <v>20</v>
      </c>
      <c r="L3038" s="33" t="e">
        <f>HLOOKUP(B3038,#REF!,1,0)</f>
        <v>#REF!</v>
      </c>
      <c r="M3038" s="33" t="str">
        <f t="shared" si="191"/>
        <v>P&amp;L</v>
      </c>
    </row>
    <row r="3039" spans="1:13" s="33" customFormat="true" ht="12.75" customHeight="true">
      <c r="A3039" s="33" t="str">
        <f t="shared" si="188"/>
        <v>AKA - CGS</v>
      </c>
      <c r="B3039" s="33" t="str">
        <f t="shared" si="189"/>
        <v>AKA</v>
      </c>
      <c r="C3039" s="33" t="str">
        <f t="shared" si="190"/>
        <v>60005-0000</v>
      </c>
      <c r="D3039" s="64" t="s">
        <v>3840</v>
      </c>
      <c r="E3039" s="64" t="s">
        <v>3841</v>
      </c>
      <c r="F3039" s="64" t="s">
        <v>230</v>
      </c>
      <c r="G3039" s="64" t="s">
        <v>3838</v>
      </c>
      <c r="H3039" s="64" t="s">
        <v>1875</v>
      </c>
      <c r="I3039" s="64" t="s">
        <v>3842</v>
      </c>
      <c r="J3039" s="67">
        <v>450</v>
      </c>
      <c r="K3039" s="62">
        <v>12156</v>
      </c>
      <c r="L3039" s="33" t="e">
        <f>HLOOKUP(B3039,#REF!,1,0)</f>
        <v>#REF!</v>
      </c>
      <c r="M3039" s="33" t="str">
        <f t="shared" si="191"/>
        <v>P&amp;L</v>
      </c>
    </row>
    <row r="3040" spans="1:13" s="33" customFormat="true" ht="12.75" customHeight="true">
      <c r="A3040" s="33" t="str">
        <f t="shared" si="188"/>
        <v>AKA - Interest Expense</v>
      </c>
      <c r="B3040" s="33" t="str">
        <f t="shared" si="189"/>
        <v>AKA</v>
      </c>
      <c r="C3040" s="33" t="str">
        <f t="shared" si="190"/>
        <v>60006-0000</v>
      </c>
      <c r="D3040" s="64" t="s">
        <v>3843</v>
      </c>
      <c r="E3040" s="64" t="s">
        <v>3325</v>
      </c>
      <c r="F3040" s="64" t="s">
        <v>230</v>
      </c>
      <c r="G3040" s="64" t="s">
        <v>3844</v>
      </c>
      <c r="H3040" s="64" t="s">
        <v>3327</v>
      </c>
      <c r="I3040" s="64" t="s">
        <v>3328</v>
      </c>
      <c r="J3040" s="67">
        <v>47812.5</v>
      </c>
      <c r="K3040" s="62">
        <v>278906.25</v>
      </c>
      <c r="L3040" s="33" t="e">
        <f>HLOOKUP(B3040,#REF!,1,0)</f>
        <v>#REF!</v>
      </c>
      <c r="M3040" s="33" t="str">
        <f t="shared" si="191"/>
        <v>P&amp;L</v>
      </c>
    </row>
    <row r="3041" spans="1:13" s="33" customFormat="true" ht="12.75" customHeight="true">
      <c r="A3041" s="33" t="str">
        <f t="shared" si="188"/>
        <v>AKA - CGS</v>
      </c>
      <c r="B3041" s="33" t="str">
        <f t="shared" si="189"/>
        <v>AKA</v>
      </c>
      <c r="C3041" s="33" t="str">
        <f t="shared" si="190"/>
        <v>60007-0000</v>
      </c>
      <c r="D3041" s="64" t="s">
        <v>3845</v>
      </c>
      <c r="E3041" s="64" t="s">
        <v>3846</v>
      </c>
      <c r="F3041" s="64" t="s">
        <v>230</v>
      </c>
      <c r="G3041" s="64" t="s">
        <v>3838</v>
      </c>
      <c r="H3041" s="64" t="s">
        <v>1875</v>
      </c>
      <c r="I3041" s="64" t="s">
        <v>3847</v>
      </c>
      <c r="J3041" s="67">
        <v>0</v>
      </c>
      <c r="K3041" s="62">
        <v>801</v>
      </c>
      <c r="L3041" s="33" t="e">
        <f>HLOOKUP(B3041,#REF!,1,0)</f>
        <v>#REF!</v>
      </c>
      <c r="M3041" s="33" t="str">
        <f t="shared" si="191"/>
        <v>P&amp;L</v>
      </c>
    </row>
    <row r="3042" spans="1:13" s="33" customFormat="true" ht="12.75" customHeight="true">
      <c r="A3042" s="33" t="str">
        <f t="shared" si="188"/>
        <v>AKA - CGS</v>
      </c>
      <c r="B3042" s="33" t="str">
        <f t="shared" si="189"/>
        <v>AKA</v>
      </c>
      <c r="C3042" s="33" t="str">
        <f t="shared" si="190"/>
        <v>60008-0000</v>
      </c>
      <c r="D3042" s="64" t="s">
        <v>3848</v>
      </c>
      <c r="E3042" s="64" t="s">
        <v>3849</v>
      </c>
      <c r="F3042" s="64" t="s">
        <v>230</v>
      </c>
      <c r="G3042" s="64" t="s">
        <v>3838</v>
      </c>
      <c r="H3042" s="64" t="s">
        <v>1875</v>
      </c>
      <c r="I3042" s="64" t="s">
        <v>3850</v>
      </c>
      <c r="J3042" s="67">
        <v>0</v>
      </c>
      <c r="K3042" s="62">
        <v>607</v>
      </c>
      <c r="L3042" s="33" t="e">
        <f>HLOOKUP(B3042,#REF!,1,0)</f>
        <v>#REF!</v>
      </c>
      <c r="M3042" s="33" t="str">
        <f t="shared" si="191"/>
        <v>P&amp;L</v>
      </c>
    </row>
    <row r="3043" spans="1:13" s="33" customFormat="true" ht="12.75" customHeight="true">
      <c r="A3043" s="33" t="str">
        <f t="shared" si="188"/>
        <v>AKA - CGS</v>
      </c>
      <c r="B3043" s="33" t="str">
        <f t="shared" si="189"/>
        <v>AKA</v>
      </c>
      <c r="C3043" s="33" t="str">
        <f t="shared" si="190"/>
        <v>60012-0000</v>
      </c>
      <c r="D3043" s="64" t="s">
        <v>3851</v>
      </c>
      <c r="E3043" s="64" t="s">
        <v>3852</v>
      </c>
      <c r="F3043" s="64" t="s">
        <v>230</v>
      </c>
      <c r="G3043" s="64" t="s">
        <v>3838</v>
      </c>
      <c r="H3043" s="64" t="s">
        <v>1875</v>
      </c>
      <c r="I3043" s="64" t="s">
        <v>3853</v>
      </c>
      <c r="J3043" s="67">
        <v>4278.45</v>
      </c>
      <c r="K3043" s="62">
        <v>1970.16</v>
      </c>
      <c r="L3043" s="33" t="e">
        <f>HLOOKUP(B3043,#REF!,1,0)</f>
        <v>#REF!</v>
      </c>
      <c r="M3043" s="33" t="str">
        <f t="shared" si="191"/>
        <v>P&amp;L</v>
      </c>
    </row>
    <row r="3044" spans="1:13" s="33" customFormat="true" ht="12.75" customHeight="true">
      <c r="A3044" s="33" t="str">
        <f t="shared" si="188"/>
        <v>AKA - CGS</v>
      </c>
      <c r="B3044" s="33" t="str">
        <f t="shared" si="189"/>
        <v>AKA</v>
      </c>
      <c r="C3044" s="33" t="str">
        <f t="shared" si="190"/>
        <v>60014-0000</v>
      </c>
      <c r="D3044" s="64" t="s">
        <v>3854</v>
      </c>
      <c r="E3044" s="64" t="s">
        <v>3855</v>
      </c>
      <c r="F3044" s="64" t="s">
        <v>230</v>
      </c>
      <c r="G3044" s="64" t="s">
        <v>3838</v>
      </c>
      <c r="H3044" s="64" t="s">
        <v>1875</v>
      </c>
      <c r="I3044" s="64" t="s">
        <v>3856</v>
      </c>
      <c r="J3044" s="67">
        <v>1726.22</v>
      </c>
      <c r="K3044" s="62">
        <v>16552.79</v>
      </c>
      <c r="L3044" s="33" t="e">
        <f>HLOOKUP(B3044,#REF!,1,0)</f>
        <v>#REF!</v>
      </c>
      <c r="M3044" s="33" t="str">
        <f t="shared" si="191"/>
        <v>P&amp;L</v>
      </c>
    </row>
    <row r="3045" spans="1:13" s="33" customFormat="true" ht="12.75" customHeight="true">
      <c r="A3045" s="33" t="str">
        <f t="shared" si="188"/>
        <v>AKA - CGS</v>
      </c>
      <c r="B3045" s="33" t="str">
        <f t="shared" si="189"/>
        <v>AKA</v>
      </c>
      <c r="C3045" s="33" t="str">
        <f t="shared" si="190"/>
        <v>60015-0000</v>
      </c>
      <c r="D3045" s="64" t="s">
        <v>3857</v>
      </c>
      <c r="E3045" s="64" t="s">
        <v>3858</v>
      </c>
      <c r="F3045" s="64" t="s">
        <v>230</v>
      </c>
      <c r="G3045" s="64" t="s">
        <v>3838</v>
      </c>
      <c r="H3045" s="64" t="s">
        <v>1875</v>
      </c>
      <c r="I3045" s="64" t="s">
        <v>3859</v>
      </c>
      <c r="J3045" s="67">
        <v>235</v>
      </c>
      <c r="K3045" s="62">
        <v>402.5</v>
      </c>
      <c r="L3045" s="33" t="e">
        <f>HLOOKUP(B3045,#REF!,1,0)</f>
        <v>#REF!</v>
      </c>
      <c r="M3045" s="33" t="str">
        <f t="shared" si="191"/>
        <v>P&amp;L</v>
      </c>
    </row>
    <row r="3046" spans="1:13" s="33" customFormat="true" ht="12.75" customHeight="true">
      <c r="A3046" s="33" t="str">
        <f t="shared" si="188"/>
        <v>AKA - CGS</v>
      </c>
      <c r="B3046" s="33" t="str">
        <f t="shared" si="189"/>
        <v>AKA</v>
      </c>
      <c r="C3046" s="33" t="str">
        <f t="shared" si="190"/>
        <v>61016-0000</v>
      </c>
      <c r="D3046" s="64" t="s">
        <v>3860</v>
      </c>
      <c r="E3046" s="64" t="s">
        <v>3861</v>
      </c>
      <c r="F3046" s="64" t="s">
        <v>230</v>
      </c>
      <c r="G3046" s="64" t="s">
        <v>3838</v>
      </c>
      <c r="H3046" s="64" t="s">
        <v>1875</v>
      </c>
      <c r="I3046" s="64" t="s">
        <v>3862</v>
      </c>
      <c r="J3046" s="67">
        <v>0</v>
      </c>
      <c r="K3046" s="62">
        <v>0</v>
      </c>
      <c r="L3046" s="33" t="e">
        <f>HLOOKUP(B3046,#REF!,1,0)</f>
        <v>#REF!</v>
      </c>
      <c r="M3046" s="33" t="str">
        <f t="shared" si="191"/>
        <v>P&amp;L</v>
      </c>
    </row>
    <row r="3047" spans="1:13" s="33" customFormat="true" ht="12.75" customHeight="true">
      <c r="A3047" s="33" t="str">
        <f t="shared" si="188"/>
        <v>AKA - Other Expenses</v>
      </c>
      <c r="B3047" s="33" t="str">
        <f t="shared" si="189"/>
        <v>AKA</v>
      </c>
      <c r="C3047" s="33" t="str">
        <f t="shared" si="190"/>
        <v>61018-0000</v>
      </c>
      <c r="D3047" s="64" t="s">
        <v>3863</v>
      </c>
      <c r="E3047" s="64" t="s">
        <v>3864</v>
      </c>
      <c r="F3047" s="64" t="s">
        <v>230</v>
      </c>
      <c r="G3047" s="64" t="s">
        <v>3838</v>
      </c>
      <c r="H3047" s="64" t="s">
        <v>3865</v>
      </c>
      <c r="I3047" s="64" t="s">
        <v>3866</v>
      </c>
      <c r="J3047" s="67">
        <v>0</v>
      </c>
      <c r="K3047" s="62">
        <v>188555</v>
      </c>
      <c r="L3047" s="33" t="e">
        <f>HLOOKUP(B3047,#REF!,1,0)</f>
        <v>#REF!</v>
      </c>
      <c r="M3047" s="33" t="str">
        <f t="shared" si="191"/>
        <v>P&amp;L</v>
      </c>
    </row>
    <row r="3048" spans="1:13" s="33" customFormat="true" ht="12.75" customHeight="true">
      <c r="A3048" s="33" t="str">
        <f t="shared" si="188"/>
        <v>AKA - CGS</v>
      </c>
      <c r="B3048" s="33" t="str">
        <f t="shared" si="189"/>
        <v>AKA</v>
      </c>
      <c r="C3048" s="33" t="str">
        <f t="shared" si="190"/>
        <v>61023-0000</v>
      </c>
      <c r="D3048" s="64" t="s">
        <v>3867</v>
      </c>
      <c r="E3048" s="64" t="s">
        <v>3868</v>
      </c>
      <c r="F3048" s="64" t="s">
        <v>230</v>
      </c>
      <c r="G3048" s="64" t="s">
        <v>3838</v>
      </c>
      <c r="H3048" s="64" t="s">
        <v>1875</v>
      </c>
      <c r="I3048" s="64" t="s">
        <v>1876</v>
      </c>
      <c r="J3048" s="67">
        <v>0</v>
      </c>
      <c r="K3048" s="62">
        <v>5379.72</v>
      </c>
      <c r="L3048" s="33" t="e">
        <f>HLOOKUP(B3048,#REF!,1,0)</f>
        <v>#REF!</v>
      </c>
      <c r="M3048" s="33" t="str">
        <f t="shared" si="191"/>
        <v>P&amp;L</v>
      </c>
    </row>
    <row r="3049" spans="1:13" s="33" customFormat="true" ht="12.75" customHeight="true">
      <c r="A3049" s="33" t="str">
        <f t="shared" si="188"/>
        <v>AKC - Cash</v>
      </c>
      <c r="B3049" s="33" t="str">
        <f t="shared" si="189"/>
        <v>AKC</v>
      </c>
      <c r="C3049" s="33" t="str">
        <f t="shared" si="190"/>
        <v>10001-0000</v>
      </c>
      <c r="D3049" s="64" t="s">
        <v>3869</v>
      </c>
      <c r="E3049" s="64" t="s">
        <v>240</v>
      </c>
      <c r="F3049" s="64" t="s">
        <v>230</v>
      </c>
      <c r="G3049" s="64" t="s">
        <v>16</v>
      </c>
      <c r="H3049" s="64" t="s">
        <v>25</v>
      </c>
      <c r="I3049" s="64" t="s">
        <v>18</v>
      </c>
      <c r="J3049" s="67">
        <v>-6263.42</v>
      </c>
      <c r="K3049" s="62">
        <v>7969.89</v>
      </c>
      <c r="L3049" s="33" t="e">
        <f>HLOOKUP(B3049,#REF!,1,0)</f>
        <v>#REF!</v>
      </c>
      <c r="M3049" s="33" t="str">
        <f t="shared" si="191"/>
        <v>BS</v>
      </c>
    </row>
    <row r="3050" spans="1:13" s="33" customFormat="true" ht="12.75" customHeight="true">
      <c r="A3050" s="33" t="str">
        <f t="shared" si="188"/>
        <v>AKC - AR-PPD</v>
      </c>
      <c r="B3050" s="33" t="str">
        <f t="shared" si="189"/>
        <v>AKC</v>
      </c>
      <c r="C3050" s="33" t="str">
        <f t="shared" si="190"/>
        <v>11000-0000</v>
      </c>
      <c r="D3050" s="64" t="s">
        <v>3870</v>
      </c>
      <c r="E3050" s="64" t="s">
        <v>34</v>
      </c>
      <c r="F3050" s="64" t="s">
        <v>230</v>
      </c>
      <c r="G3050" s="64" t="s">
        <v>16</v>
      </c>
      <c r="H3050" s="64" t="s">
        <v>35</v>
      </c>
      <c r="I3050" s="64" t="s">
        <v>36</v>
      </c>
      <c r="J3050" s="67">
        <v>0</v>
      </c>
      <c r="K3050" s="62">
        <v>1360.77</v>
      </c>
      <c r="L3050" s="33" t="e">
        <f>HLOOKUP(B3050,#REF!,1,0)</f>
        <v>#REF!</v>
      </c>
      <c r="M3050" s="33" t="str">
        <f t="shared" si="191"/>
        <v>BS</v>
      </c>
    </row>
    <row r="3051" spans="1:13" s="33" customFormat="true" ht="12.75" customHeight="true">
      <c r="A3051" s="33" t="str">
        <f t="shared" si="188"/>
        <v>AKC - Intercompany</v>
      </c>
      <c r="B3051" s="33" t="str">
        <f t="shared" si="189"/>
        <v>AKC</v>
      </c>
      <c r="C3051" s="33" t="str">
        <f t="shared" si="190"/>
        <v>11216-0000</v>
      </c>
      <c r="D3051" s="64" t="s">
        <v>3871</v>
      </c>
      <c r="E3051" s="64" t="s">
        <v>242</v>
      </c>
      <c r="F3051" s="64" t="s">
        <v>230</v>
      </c>
      <c r="G3051" s="64" t="s">
        <v>16</v>
      </c>
      <c r="H3051" s="64" t="s">
        <v>39</v>
      </c>
      <c r="I3051" s="64" t="s">
        <v>40</v>
      </c>
      <c r="J3051" s="67">
        <v>190.64</v>
      </c>
      <c r="K3051" s="62">
        <v>-788.3</v>
      </c>
      <c r="L3051" s="33" t="e">
        <f>HLOOKUP(B3051,#REF!,1,0)</f>
        <v>#REF!</v>
      </c>
      <c r="M3051" s="33" t="str">
        <f t="shared" si="191"/>
        <v>BS</v>
      </c>
    </row>
    <row r="3052" spans="1:13" s="33" customFormat="true" ht="12.75" customHeight="true">
      <c r="A3052" s="33" t="str">
        <f t="shared" si="188"/>
        <v>AKC - Intercompany</v>
      </c>
      <c r="B3052" s="33" t="str">
        <f t="shared" si="189"/>
        <v>AKC</v>
      </c>
      <c r="C3052" s="33" t="str">
        <f t="shared" si="190"/>
        <v>11329-0000</v>
      </c>
      <c r="D3052" s="64" t="s">
        <v>3872</v>
      </c>
      <c r="E3052" s="64" t="s">
        <v>377</v>
      </c>
      <c r="F3052" s="64" t="s">
        <v>230</v>
      </c>
      <c r="G3052" s="64" t="s">
        <v>16</v>
      </c>
      <c r="H3052" s="64" t="s">
        <v>39</v>
      </c>
      <c r="I3052" s="64" t="s">
        <v>40</v>
      </c>
      <c r="J3052" s="67">
        <v>0</v>
      </c>
      <c r="K3052" s="62">
        <v>-728981.67</v>
      </c>
      <c r="L3052" s="33" t="e">
        <f>HLOOKUP(B3052,#REF!,1,0)</f>
        <v>#REF!</v>
      </c>
      <c r="M3052" s="33" t="str">
        <f t="shared" si="191"/>
        <v>BS</v>
      </c>
    </row>
    <row r="3053" spans="1:13" s="33" customFormat="true" ht="12.75" customHeight="true">
      <c r="A3053" s="33" t="str">
        <f t="shared" si="188"/>
        <v>AKC - Intercompany</v>
      </c>
      <c r="B3053" s="33" t="str">
        <f t="shared" si="189"/>
        <v>AKC</v>
      </c>
      <c r="C3053" s="33" t="str">
        <f t="shared" si="190"/>
        <v>11343-0000</v>
      </c>
      <c r="D3053" s="64" t="s">
        <v>3873</v>
      </c>
      <c r="E3053" s="64" t="s">
        <v>600</v>
      </c>
      <c r="F3053" s="64" t="s">
        <v>230</v>
      </c>
      <c r="G3053" s="64" t="s">
        <v>16</v>
      </c>
      <c r="H3053" s="64" t="s">
        <v>39</v>
      </c>
      <c r="I3053" s="64" t="s">
        <v>40</v>
      </c>
      <c r="J3053" s="67">
        <v>-2102.8</v>
      </c>
      <c r="K3053" s="62">
        <v>-4482.91</v>
      </c>
      <c r="L3053" s="33" t="e">
        <f>HLOOKUP(B3053,#REF!,1,0)</f>
        <v>#REF!</v>
      </c>
      <c r="M3053" s="33" t="str">
        <f t="shared" si="191"/>
        <v>BS</v>
      </c>
    </row>
    <row r="3054" spans="1:13" s="33" customFormat="true" ht="12.75" customHeight="true">
      <c r="A3054" s="33" t="str">
        <f t="shared" si="188"/>
        <v>AKC - Fixed Assets</v>
      </c>
      <c r="B3054" s="33" t="str">
        <f t="shared" si="189"/>
        <v>AKC</v>
      </c>
      <c r="C3054" s="33" t="str">
        <f t="shared" si="190"/>
        <v>14000-0000</v>
      </c>
      <c r="D3054" s="64" t="s">
        <v>3874</v>
      </c>
      <c r="E3054" s="64" t="s">
        <v>298</v>
      </c>
      <c r="F3054" s="64" t="s">
        <v>230</v>
      </c>
      <c r="G3054" s="64" t="s">
        <v>62</v>
      </c>
      <c r="H3054" s="64" t="s">
        <v>63</v>
      </c>
      <c r="I3054" s="64" t="s">
        <v>64</v>
      </c>
      <c r="J3054" s="67">
        <v>0</v>
      </c>
      <c r="K3054" s="62">
        <v>798000</v>
      </c>
      <c r="L3054" s="33" t="e">
        <f>HLOOKUP(B3054,#REF!,1,0)</f>
        <v>#REF!</v>
      </c>
      <c r="M3054" s="33" t="str">
        <f t="shared" si="191"/>
        <v>BS</v>
      </c>
    </row>
    <row r="3055" spans="1:13" s="33" customFormat="true" ht="12.75" customHeight="true">
      <c r="A3055" s="33" t="str">
        <f t="shared" si="188"/>
        <v>AKC - Fixed Assets</v>
      </c>
      <c r="B3055" s="33" t="str">
        <f t="shared" si="189"/>
        <v>AKC</v>
      </c>
      <c r="C3055" s="33" t="str">
        <f t="shared" si="190"/>
        <v>15000-0000</v>
      </c>
      <c r="D3055" s="64" t="s">
        <v>3875</v>
      </c>
      <c r="E3055" s="64" t="s">
        <v>300</v>
      </c>
      <c r="F3055" s="64" t="s">
        <v>230</v>
      </c>
      <c r="G3055" s="64" t="s">
        <v>62</v>
      </c>
      <c r="H3055" s="64" t="s">
        <v>63</v>
      </c>
      <c r="I3055" s="64" t="s">
        <v>64</v>
      </c>
      <c r="J3055" s="67">
        <v>0</v>
      </c>
      <c r="K3055" s="62">
        <v>1862000</v>
      </c>
      <c r="L3055" s="33" t="e">
        <f>HLOOKUP(B3055,#REF!,1,0)</f>
        <v>#REF!</v>
      </c>
      <c r="M3055" s="33" t="str">
        <f t="shared" si="191"/>
        <v>BS</v>
      </c>
    </row>
    <row r="3056" spans="1:13" s="33" customFormat="true" ht="14.25" customHeight="true">
      <c r="A3056" s="33" t="str">
        <f t="shared" si="188"/>
        <v>AKC - Fixed Assets</v>
      </c>
      <c r="B3056" s="33" t="str">
        <f t="shared" si="189"/>
        <v>AKC</v>
      </c>
      <c r="C3056" s="33" t="str">
        <f t="shared" si="190"/>
        <v>15501-0000</v>
      </c>
      <c r="D3056" s="64" t="s">
        <v>3876</v>
      </c>
      <c r="E3056" s="64" t="s">
        <v>2635</v>
      </c>
      <c r="F3056" s="64" t="s">
        <v>230</v>
      </c>
      <c r="G3056" s="64" t="s">
        <v>62</v>
      </c>
      <c r="H3056" s="33" t="s">
        <v>63</v>
      </c>
      <c r="I3056" s="64" t="s">
        <v>64</v>
      </c>
      <c r="J3056" s="67">
        <v>149.6</v>
      </c>
      <c r="K3056" s="62">
        <v>919.13</v>
      </c>
      <c r="L3056" s="33" t="e">
        <f>HLOOKUP(B3056,#REF!,1,0)</f>
        <v>#REF!</v>
      </c>
      <c r="M3056" s="33" t="str">
        <f t="shared" si="191"/>
        <v>BS</v>
      </c>
    </row>
    <row r="3057" spans="1:13" s="33" customFormat="true" ht="14.25" customHeight="true">
      <c r="A3057" s="33" t="str">
        <f t="shared" si="188"/>
        <v>AKC - Deposits</v>
      </c>
      <c r="B3057" s="33" t="str">
        <f t="shared" si="189"/>
        <v>AKC</v>
      </c>
      <c r="C3057" s="33" t="str">
        <f t="shared" si="190"/>
        <v>19001-0000</v>
      </c>
      <c r="D3057" s="64" t="s">
        <v>3877</v>
      </c>
      <c r="E3057" s="64" t="s">
        <v>344</v>
      </c>
      <c r="F3057" s="64" t="s">
        <v>230</v>
      </c>
      <c r="G3057" s="64" t="s">
        <v>62</v>
      </c>
      <c r="H3057" s="33" t="s">
        <v>80</v>
      </c>
      <c r="I3057" s="64" t="s">
        <v>81</v>
      </c>
      <c r="J3057" s="67">
        <v>0</v>
      </c>
      <c r="K3057" s="62">
        <v>2711</v>
      </c>
      <c r="L3057" s="33" t="e">
        <f>HLOOKUP(B3057,#REF!,1,0)</f>
        <v>#REF!</v>
      </c>
      <c r="M3057" s="33" t="str">
        <f t="shared" si="191"/>
        <v>BS</v>
      </c>
    </row>
    <row r="3058" spans="1:13" s="33" customFormat="true" ht="12.75" customHeight="true">
      <c r="A3058" s="33" t="str">
        <f t="shared" si="188"/>
        <v>AKC - Tax Accr</v>
      </c>
      <c r="B3058" s="33" t="str">
        <f t="shared" si="189"/>
        <v>AKC</v>
      </c>
      <c r="C3058" s="33" t="str">
        <f t="shared" si="190"/>
        <v>22001-0000</v>
      </c>
      <c r="D3058" s="64" t="s">
        <v>3878</v>
      </c>
      <c r="E3058" s="64" t="s">
        <v>1322</v>
      </c>
      <c r="F3058" s="64" t="s">
        <v>230</v>
      </c>
      <c r="G3058" s="64" t="s">
        <v>97</v>
      </c>
      <c r="H3058" s="64" t="s">
        <v>105</v>
      </c>
      <c r="I3058" s="64" t="s">
        <v>102</v>
      </c>
      <c r="J3058" s="67">
        <v>-316.79</v>
      </c>
      <c r="K3058" s="62">
        <v>-2143.86</v>
      </c>
      <c r="L3058" s="33" t="e">
        <f>HLOOKUP(B3058,#REF!,1,0)</f>
        <v>#REF!</v>
      </c>
      <c r="M3058" s="33" t="str">
        <f t="shared" si="191"/>
        <v>BS</v>
      </c>
    </row>
    <row r="3059" spans="1:13" s="33" customFormat="true" ht="12.75" customHeight="true">
      <c r="A3059" s="33" t="str">
        <f t="shared" si="188"/>
        <v>AKC - AP-Accr Exp</v>
      </c>
      <c r="B3059" s="33" t="str">
        <f t="shared" si="189"/>
        <v>AKC</v>
      </c>
      <c r="C3059" s="33" t="str">
        <f t="shared" si="190"/>
        <v>23509-0000</v>
      </c>
      <c r="D3059" s="64" t="s">
        <v>3879</v>
      </c>
      <c r="E3059" s="64" t="s">
        <v>111</v>
      </c>
      <c r="F3059" s="64" t="s">
        <v>230</v>
      </c>
      <c r="G3059" s="64" t="s">
        <v>97</v>
      </c>
      <c r="H3059" s="64" t="s">
        <v>98</v>
      </c>
      <c r="I3059" s="64" t="s">
        <v>102</v>
      </c>
      <c r="J3059" s="67">
        <v>455.43</v>
      </c>
      <c r="K3059" s="62">
        <v>0</v>
      </c>
      <c r="L3059" s="33" t="e">
        <f>HLOOKUP(B3059,#REF!,1,0)</f>
        <v>#REF!</v>
      </c>
      <c r="M3059" s="33" t="str">
        <f t="shared" si="191"/>
        <v>BS</v>
      </c>
    </row>
    <row r="3060" spans="1:13" s="33" customFormat="true" ht="12.75" customHeight="true">
      <c r="A3060" s="33" t="str">
        <f t="shared" si="188"/>
        <v>AKC - Prepaid Income</v>
      </c>
      <c r="B3060" s="33" t="str">
        <f t="shared" si="189"/>
        <v>AKC</v>
      </c>
      <c r="C3060" s="33" t="str">
        <f t="shared" si="190"/>
        <v>25300-0000</v>
      </c>
      <c r="D3060" s="64" t="s">
        <v>3880</v>
      </c>
      <c r="E3060" s="64" t="s">
        <v>3677</v>
      </c>
      <c r="F3060" s="64" t="s">
        <v>230</v>
      </c>
      <c r="G3060" s="64" t="s">
        <v>3678</v>
      </c>
      <c r="H3060" s="64" t="s">
        <v>3881</v>
      </c>
      <c r="I3060" s="64" t="s">
        <v>102</v>
      </c>
      <c r="J3060" s="67">
        <v>-1290.77</v>
      </c>
      <c r="K3060" s="62">
        <v>-1290.77</v>
      </c>
      <c r="L3060" s="33" t="e">
        <f>HLOOKUP(B3060,#REF!,1,0)</f>
        <v>#REF!</v>
      </c>
      <c r="M3060" s="33" t="str">
        <f t="shared" si="191"/>
        <v>BS</v>
      </c>
    </row>
    <row r="3061" spans="1:13" s="33" customFormat="true" ht="12.75" customHeight="true">
      <c r="A3061" s="33" t="str">
        <f t="shared" si="188"/>
        <v>AKC - Principal</v>
      </c>
      <c r="B3061" s="33" t="str">
        <f t="shared" si="189"/>
        <v>AKC</v>
      </c>
      <c r="C3061" s="33" t="str">
        <f t="shared" si="190"/>
        <v>28001-0000</v>
      </c>
      <c r="D3061" s="64" t="s">
        <v>3882</v>
      </c>
      <c r="E3061" s="64" t="s">
        <v>3883</v>
      </c>
      <c r="F3061" s="64" t="s">
        <v>230</v>
      </c>
      <c r="G3061" s="64" t="s">
        <v>123</v>
      </c>
      <c r="H3061" s="64" t="s">
        <v>127</v>
      </c>
      <c r="I3061" s="64" t="s">
        <v>133</v>
      </c>
      <c r="J3061" s="67">
        <v>0</v>
      </c>
      <c r="K3061" s="62">
        <v>-1995000</v>
      </c>
      <c r="L3061" s="33" t="e">
        <f>HLOOKUP(B3061,#REF!,1,0)</f>
        <v>#REF!</v>
      </c>
      <c r="M3061" s="33" t="str">
        <f t="shared" si="191"/>
        <v>BS</v>
      </c>
    </row>
    <row r="3062" spans="1:13" s="33" customFormat="true" ht="12.75" customHeight="true">
      <c r="A3062" s="33" t="str">
        <f t="shared" si="188"/>
        <v>AKC - Revenue</v>
      </c>
      <c r="B3062" s="33" t="str">
        <f t="shared" si="189"/>
        <v>AKC</v>
      </c>
      <c r="C3062" s="33" t="str">
        <f t="shared" si="190"/>
        <v>40110-0000</v>
      </c>
      <c r="D3062" s="64" t="s">
        <v>3884</v>
      </c>
      <c r="E3062" s="64" t="s">
        <v>3683</v>
      </c>
      <c r="F3062" s="64" t="s">
        <v>230</v>
      </c>
      <c r="G3062" s="64" t="s">
        <v>3684</v>
      </c>
      <c r="H3062" s="64" t="s">
        <v>2871</v>
      </c>
      <c r="I3062" s="64" t="s">
        <v>3685</v>
      </c>
      <c r="J3062" s="67">
        <v>-13170</v>
      </c>
      <c r="K3062" s="62">
        <v>-94234.86</v>
      </c>
      <c r="L3062" s="33" t="e">
        <f>HLOOKUP(B3062,#REF!,1,0)</f>
        <v>#REF!</v>
      </c>
      <c r="M3062" s="33" t="str">
        <f t="shared" si="191"/>
        <v>P&amp;L</v>
      </c>
    </row>
    <row r="3063" spans="1:13" s="33" customFormat="true" ht="12.75" customHeight="true">
      <c r="A3063" s="33" t="str">
        <f t="shared" si="188"/>
        <v>AKC - Revenue</v>
      </c>
      <c r="B3063" s="33" t="str">
        <f t="shared" si="189"/>
        <v>AKC</v>
      </c>
      <c r="C3063" s="33" t="str">
        <f t="shared" si="190"/>
        <v>40120-0000</v>
      </c>
      <c r="D3063" s="64" t="s">
        <v>3885</v>
      </c>
      <c r="E3063" s="64" t="s">
        <v>3687</v>
      </c>
      <c r="F3063" s="64" t="s">
        <v>230</v>
      </c>
      <c r="G3063" s="64" t="s">
        <v>3684</v>
      </c>
      <c r="H3063" s="64" t="s">
        <v>2871</v>
      </c>
      <c r="I3063" s="64" t="s">
        <v>3688</v>
      </c>
      <c r="J3063" s="67">
        <v>-369</v>
      </c>
      <c r="K3063" s="62">
        <v>-633</v>
      </c>
      <c r="L3063" s="33" t="e">
        <f>HLOOKUP(B3063,#REF!,1,0)</f>
        <v>#REF!</v>
      </c>
      <c r="M3063" s="33" t="str">
        <f t="shared" si="191"/>
        <v>P&amp;L</v>
      </c>
    </row>
    <row r="3064" spans="1:13" s="33" customFormat="true" ht="12.75" customHeight="true">
      <c r="A3064" s="33" t="str">
        <f t="shared" si="188"/>
        <v>AKC - Revenue</v>
      </c>
      <c r="B3064" s="33" t="str">
        <f t="shared" si="189"/>
        <v>AKC</v>
      </c>
      <c r="C3064" s="33" t="str">
        <f t="shared" si="190"/>
        <v>40130-0000</v>
      </c>
      <c r="D3064" s="64" t="s">
        <v>3886</v>
      </c>
      <c r="E3064" s="64" t="s">
        <v>3690</v>
      </c>
      <c r="F3064" s="64" t="s">
        <v>230</v>
      </c>
      <c r="G3064" s="64" t="s">
        <v>3684</v>
      </c>
      <c r="H3064" s="64" t="s">
        <v>2871</v>
      </c>
      <c r="I3064" s="64" t="s">
        <v>3691</v>
      </c>
      <c r="J3064" s="67">
        <v>-345</v>
      </c>
      <c r="K3064" s="62">
        <v>-565</v>
      </c>
      <c r="L3064" s="33" t="e">
        <f>HLOOKUP(B3064,#REF!,1,0)</f>
        <v>#REF!</v>
      </c>
      <c r="M3064" s="33" t="str">
        <f t="shared" si="191"/>
        <v>P&amp;L</v>
      </c>
    </row>
    <row r="3065" spans="1:13" s="33" customFormat="true" ht="12.75" customHeight="true">
      <c r="A3065" s="33" t="str">
        <f t="shared" si="188"/>
        <v>AKC - Revenue</v>
      </c>
      <c r="B3065" s="33" t="str">
        <f t="shared" si="189"/>
        <v>AKC</v>
      </c>
      <c r="C3065" s="33" t="str">
        <f t="shared" si="190"/>
        <v>41110-0000</v>
      </c>
      <c r="D3065" s="64" t="s">
        <v>3887</v>
      </c>
      <c r="E3065" s="64" t="s">
        <v>3693</v>
      </c>
      <c r="F3065" s="64" t="s">
        <v>230</v>
      </c>
      <c r="G3065" s="64" t="s">
        <v>3694</v>
      </c>
      <c r="H3065" s="64" t="s">
        <v>2871</v>
      </c>
      <c r="I3065" s="64" t="s">
        <v>3695</v>
      </c>
      <c r="J3065" s="67">
        <v>0</v>
      </c>
      <c r="K3065" s="62">
        <v>1842.88</v>
      </c>
      <c r="L3065" s="33" t="e">
        <f>HLOOKUP(B3065,#REF!,1,0)</f>
        <v>#REF!</v>
      </c>
      <c r="M3065" s="33" t="str">
        <f t="shared" si="191"/>
        <v>P&amp;L</v>
      </c>
    </row>
    <row r="3066" spans="1:13" s="33" customFormat="true" ht="12.75" customHeight="true">
      <c r="A3066" s="33" t="str">
        <f t="shared" si="188"/>
        <v>AKC - Revenue</v>
      </c>
      <c r="B3066" s="33" t="str">
        <f t="shared" si="189"/>
        <v>AKC</v>
      </c>
      <c r="C3066" s="33" t="str">
        <f t="shared" si="190"/>
        <v>41121-0000</v>
      </c>
      <c r="D3066" s="64" t="s">
        <v>3888</v>
      </c>
      <c r="E3066" s="64" t="s">
        <v>3697</v>
      </c>
      <c r="F3066" s="64" t="s">
        <v>230</v>
      </c>
      <c r="G3066" s="64" t="s">
        <v>3694</v>
      </c>
      <c r="H3066" s="64" t="s">
        <v>2871</v>
      </c>
      <c r="I3066" s="64" t="s">
        <v>3698</v>
      </c>
      <c r="J3066" s="67">
        <v>2565.77</v>
      </c>
      <c r="K3066" s="62">
        <v>11099.75</v>
      </c>
      <c r="L3066" s="33" t="e">
        <f>HLOOKUP(B3066,#REF!,1,0)</f>
        <v>#REF!</v>
      </c>
      <c r="M3066" s="33" t="str">
        <f t="shared" si="191"/>
        <v>P&amp;L</v>
      </c>
    </row>
    <row r="3067" spans="1:13" s="33" customFormat="true" ht="12.75" customHeight="true">
      <c r="A3067" s="33" t="str">
        <f t="shared" si="188"/>
        <v>AKC - Revenue</v>
      </c>
      <c r="B3067" s="33" t="str">
        <f t="shared" si="189"/>
        <v>AKC</v>
      </c>
      <c r="C3067" s="33" t="str">
        <f t="shared" si="190"/>
        <v>41122-0000</v>
      </c>
      <c r="D3067" s="64" t="s">
        <v>3889</v>
      </c>
      <c r="E3067" s="64" t="s">
        <v>3700</v>
      </c>
      <c r="F3067" s="64" t="s">
        <v>230</v>
      </c>
      <c r="G3067" s="64" t="s">
        <v>3694</v>
      </c>
      <c r="H3067" s="64" t="s">
        <v>2871</v>
      </c>
      <c r="I3067" s="64" t="s">
        <v>3701</v>
      </c>
      <c r="J3067" s="67">
        <v>-1492.51</v>
      </c>
      <c r="K3067" s="62">
        <v>-11868.37</v>
      </c>
      <c r="L3067" s="33" t="e">
        <f>HLOOKUP(B3067,#REF!,1,0)</f>
        <v>#REF!</v>
      </c>
      <c r="M3067" s="33" t="str">
        <f t="shared" si="191"/>
        <v>P&amp;L</v>
      </c>
    </row>
    <row r="3068" spans="1:13" s="33" customFormat="true" ht="12.75" customHeight="true">
      <c r="A3068" s="33" t="str">
        <f t="shared" si="188"/>
        <v>AKC - Revenue</v>
      </c>
      <c r="B3068" s="33" t="str">
        <f t="shared" si="189"/>
        <v>AKC</v>
      </c>
      <c r="C3068" s="33" t="str">
        <f t="shared" si="190"/>
        <v>41130-0000</v>
      </c>
      <c r="D3068" s="64" t="s">
        <v>3890</v>
      </c>
      <c r="E3068" s="64" t="s">
        <v>3703</v>
      </c>
      <c r="F3068" s="64" t="s">
        <v>230</v>
      </c>
      <c r="G3068" s="64" t="s">
        <v>3694</v>
      </c>
      <c r="H3068" s="64" t="s">
        <v>2871</v>
      </c>
      <c r="I3068" s="64" t="s">
        <v>3704</v>
      </c>
      <c r="J3068" s="67">
        <v>500</v>
      </c>
      <c r="K3068" s="62">
        <v>1500</v>
      </c>
      <c r="L3068" s="33" t="e">
        <f>HLOOKUP(B3068,#REF!,1,0)</f>
        <v>#REF!</v>
      </c>
      <c r="M3068" s="33" t="str">
        <f t="shared" si="191"/>
        <v>P&amp;L</v>
      </c>
    </row>
    <row r="3069" spans="1:13" s="33" customFormat="true" ht="12.75" customHeight="true">
      <c r="A3069" s="33" t="str">
        <f t="shared" si="188"/>
        <v>AKC - Revenue</v>
      </c>
      <c r="B3069" s="33" t="str">
        <f t="shared" si="189"/>
        <v>AKC</v>
      </c>
      <c r="C3069" s="33" t="str">
        <f t="shared" si="190"/>
        <v>41140-0000</v>
      </c>
      <c r="D3069" s="64" t="s">
        <v>3891</v>
      </c>
      <c r="E3069" s="64" t="s">
        <v>3706</v>
      </c>
      <c r="F3069" s="64" t="s">
        <v>230</v>
      </c>
      <c r="G3069" s="64" t="s">
        <v>3694</v>
      </c>
      <c r="H3069" s="64" t="s">
        <v>2871</v>
      </c>
      <c r="I3069" s="64" t="s">
        <v>3707</v>
      </c>
      <c r="J3069" s="67">
        <v>0</v>
      </c>
      <c r="K3069" s="62">
        <v>0</v>
      </c>
      <c r="L3069" s="33" t="e">
        <f>HLOOKUP(B3069,#REF!,1,0)</f>
        <v>#REF!</v>
      </c>
      <c r="M3069" s="33" t="str">
        <f t="shared" si="191"/>
        <v>P&amp;L</v>
      </c>
    </row>
    <row r="3070" spans="1:13" s="33" customFormat="true" ht="12.75" customHeight="true">
      <c r="A3070" s="33" t="str">
        <f t="shared" si="188"/>
        <v>AKC - Revenue</v>
      </c>
      <c r="B3070" s="33" t="str">
        <f t="shared" si="189"/>
        <v>AKC</v>
      </c>
      <c r="C3070" s="33" t="str">
        <f t="shared" si="190"/>
        <v>41150-0000</v>
      </c>
      <c r="D3070" s="64" t="s">
        <v>3892</v>
      </c>
      <c r="E3070" s="64" t="s">
        <v>3709</v>
      </c>
      <c r="F3070" s="64" t="s">
        <v>230</v>
      </c>
      <c r="G3070" s="64" t="s">
        <v>3694</v>
      </c>
      <c r="H3070" s="64" t="s">
        <v>2871</v>
      </c>
      <c r="I3070" s="64" t="s">
        <v>3710</v>
      </c>
      <c r="J3070" s="67">
        <v>0</v>
      </c>
      <c r="K3070" s="62">
        <v>0</v>
      </c>
      <c r="L3070" s="33" t="e">
        <f>HLOOKUP(B3070,#REF!,1,0)</f>
        <v>#REF!</v>
      </c>
      <c r="M3070" s="33" t="str">
        <f t="shared" si="191"/>
        <v>P&amp;L</v>
      </c>
    </row>
    <row r="3071" spans="1:13" s="33" customFormat="true" ht="12.75" customHeight="true">
      <c r="A3071" s="33" t="str">
        <f t="shared" si="188"/>
        <v>AKC - Revenue</v>
      </c>
      <c r="B3071" s="33" t="str">
        <f t="shared" si="189"/>
        <v>AKC</v>
      </c>
      <c r="C3071" s="33" t="str">
        <f t="shared" si="190"/>
        <v>41999-0000</v>
      </c>
      <c r="D3071" s="64" t="s">
        <v>3893</v>
      </c>
      <c r="E3071" s="64" t="s">
        <v>3712</v>
      </c>
      <c r="F3071" s="64" t="s">
        <v>230</v>
      </c>
      <c r="G3071" s="64" t="s">
        <v>3713</v>
      </c>
      <c r="H3071" s="64" t="s">
        <v>2871</v>
      </c>
      <c r="I3071" s="64" t="s">
        <v>3714</v>
      </c>
      <c r="J3071" s="67">
        <v>12310.74</v>
      </c>
      <c r="K3071" s="62">
        <v>92858.6</v>
      </c>
      <c r="L3071" s="33" t="e">
        <f>HLOOKUP(B3071,#REF!,1,0)</f>
        <v>#REF!</v>
      </c>
      <c r="M3071" s="33" t="str">
        <f t="shared" si="191"/>
        <v>P&amp;L</v>
      </c>
    </row>
    <row r="3072" spans="1:13" s="33" customFormat="true" ht="12.75" customHeight="true">
      <c r="A3072" s="33" t="str">
        <f t="shared" si="188"/>
        <v>AKC - Revenue</v>
      </c>
      <c r="B3072" s="33" t="str">
        <f t="shared" si="189"/>
        <v>AKC</v>
      </c>
      <c r="C3072" s="33" t="str">
        <f t="shared" si="190"/>
        <v>46000-0000</v>
      </c>
      <c r="D3072" s="64" t="s">
        <v>3894</v>
      </c>
      <c r="E3072" s="64" t="s">
        <v>3895</v>
      </c>
      <c r="F3072" s="64" t="s">
        <v>230</v>
      </c>
      <c r="G3072" s="64" t="s">
        <v>3717</v>
      </c>
      <c r="H3072" s="64" t="s">
        <v>2871</v>
      </c>
      <c r="I3072" s="64" t="s">
        <v>3721</v>
      </c>
      <c r="J3072" s="67">
        <v>0</v>
      </c>
      <c r="K3072" s="62">
        <v>-6.21</v>
      </c>
      <c r="L3072" s="33" t="e">
        <f>HLOOKUP(B3072,#REF!,1,0)</f>
        <v>#REF!</v>
      </c>
      <c r="M3072" s="33" t="str">
        <f t="shared" si="191"/>
        <v>P&amp;L</v>
      </c>
    </row>
    <row r="3073" spans="1:13" s="33" customFormat="true" ht="12.75" customHeight="true">
      <c r="A3073" s="33" t="str">
        <f t="shared" si="188"/>
        <v>AKC - Revenue</v>
      </c>
      <c r="B3073" s="33" t="str">
        <f t="shared" si="189"/>
        <v>AKC</v>
      </c>
      <c r="C3073" s="33" t="str">
        <f t="shared" si="190"/>
        <v>47400-0000</v>
      </c>
      <c r="D3073" s="64" t="s">
        <v>3896</v>
      </c>
      <c r="E3073" s="64" t="s">
        <v>3716</v>
      </c>
      <c r="F3073" s="64" t="s">
        <v>230</v>
      </c>
      <c r="G3073" s="64" t="s">
        <v>3717</v>
      </c>
      <c r="H3073" s="64" t="s">
        <v>2871</v>
      </c>
      <c r="I3073" s="64" t="s">
        <v>3718</v>
      </c>
      <c r="J3073" s="67">
        <v>-12310.74</v>
      </c>
      <c r="K3073" s="62">
        <v>-92858.6</v>
      </c>
      <c r="L3073" s="33" t="e">
        <f>HLOOKUP(B3073,#REF!,1,0)</f>
        <v>#REF!</v>
      </c>
      <c r="M3073" s="33" t="str">
        <f t="shared" si="191"/>
        <v>P&amp;L</v>
      </c>
    </row>
    <row r="3074" spans="1:13" s="33" customFormat="true" ht="12.75" customHeight="true">
      <c r="A3074" s="33" t="str">
        <f t="shared" ref="A3074:A3137" si="192">B3074&amp;" - "&amp;TRIM(H3074)</f>
        <v>AKC - Revenue</v>
      </c>
      <c r="B3074" s="33" t="str">
        <f t="shared" ref="B3074:B3137" si="193">LEFT(D3074,3)</f>
        <v>AKC</v>
      </c>
      <c r="C3074" s="33" t="str">
        <f t="shared" ref="C3074:C3137" si="194">RIGHT(D3074,10)</f>
        <v>47440-0000</v>
      </c>
      <c r="D3074" s="64" t="s">
        <v>3897</v>
      </c>
      <c r="E3074" s="64" t="s">
        <v>3720</v>
      </c>
      <c r="F3074" s="64" t="s">
        <v>230</v>
      </c>
      <c r="G3074" s="64" t="s">
        <v>3717</v>
      </c>
      <c r="H3074" s="64" t="s">
        <v>2871</v>
      </c>
      <c r="I3074" s="64" t="s">
        <v>3721</v>
      </c>
      <c r="J3074" s="67">
        <v>-402.61</v>
      </c>
      <c r="K3074" s="62">
        <v>-1323.74</v>
      </c>
      <c r="L3074" s="33" t="e">
        <f>HLOOKUP(B3074,#REF!,1,0)</f>
        <v>#REF!</v>
      </c>
      <c r="M3074" s="33" t="str">
        <f t="shared" ref="M3074:M3137" si="195">IF(VALUE(LEFT(C3074,5))&gt;40000,"P&amp;L","BS")</f>
        <v>P&amp;L</v>
      </c>
    </row>
    <row r="3075" spans="1:13" s="33" customFormat="true" ht="12.75" customHeight="true">
      <c r="A3075" s="33" t="str">
        <f t="shared" si="192"/>
        <v>AKC - Revenue</v>
      </c>
      <c r="B3075" s="33" t="str">
        <f t="shared" si="193"/>
        <v>AKC</v>
      </c>
      <c r="C3075" s="33" t="str">
        <f t="shared" si="194"/>
        <v>47450-0000</v>
      </c>
      <c r="D3075" s="64" t="s">
        <v>3898</v>
      </c>
      <c r="E3075" s="64" t="s">
        <v>3723</v>
      </c>
      <c r="F3075" s="64" t="s">
        <v>230</v>
      </c>
      <c r="G3075" s="64" t="s">
        <v>3717</v>
      </c>
      <c r="H3075" s="64" t="s">
        <v>2871</v>
      </c>
      <c r="I3075" s="64" t="s">
        <v>3724</v>
      </c>
      <c r="J3075" s="67">
        <v>0</v>
      </c>
      <c r="K3075" s="62">
        <v>0</v>
      </c>
      <c r="L3075" s="33" t="e">
        <f>HLOOKUP(B3075,#REF!,1,0)</f>
        <v>#REF!</v>
      </c>
      <c r="M3075" s="33" t="str">
        <f t="shared" si="195"/>
        <v>P&amp;L</v>
      </c>
    </row>
    <row r="3076" spans="1:13" s="33" customFormat="true" ht="12.75" customHeight="true">
      <c r="A3076" s="33" t="str">
        <f t="shared" si="192"/>
        <v>AKC - Revenue</v>
      </c>
      <c r="B3076" s="33" t="str">
        <f t="shared" si="193"/>
        <v>AKC</v>
      </c>
      <c r="C3076" s="33" t="str">
        <f t="shared" si="194"/>
        <v>47460-0000</v>
      </c>
      <c r="D3076" s="64" t="s">
        <v>3899</v>
      </c>
      <c r="E3076" s="64" t="s">
        <v>3726</v>
      </c>
      <c r="F3076" s="64" t="s">
        <v>230</v>
      </c>
      <c r="G3076" s="64" t="s">
        <v>3717</v>
      </c>
      <c r="H3076" s="64" t="s">
        <v>2871</v>
      </c>
      <c r="I3076" s="64" t="s">
        <v>3727</v>
      </c>
      <c r="J3076" s="67">
        <v>0</v>
      </c>
      <c r="K3076" s="62">
        <v>-660</v>
      </c>
      <c r="L3076" s="33" t="e">
        <f>HLOOKUP(B3076,#REF!,1,0)</f>
        <v>#REF!</v>
      </c>
      <c r="M3076" s="33" t="str">
        <f t="shared" si="195"/>
        <v>P&amp;L</v>
      </c>
    </row>
    <row r="3077" spans="1:13" s="33" customFormat="true" ht="12.75" customHeight="true">
      <c r="A3077" s="33" t="str">
        <f t="shared" si="192"/>
        <v>AKC - Revenue</v>
      </c>
      <c r="B3077" s="33" t="str">
        <f t="shared" si="193"/>
        <v>AKC</v>
      </c>
      <c r="C3077" s="33" t="str">
        <f t="shared" si="194"/>
        <v>47480-0000</v>
      </c>
      <c r="D3077" s="64" t="s">
        <v>3900</v>
      </c>
      <c r="E3077" s="64" t="s">
        <v>3729</v>
      </c>
      <c r="F3077" s="64" t="s">
        <v>230</v>
      </c>
      <c r="G3077" s="64" t="s">
        <v>3717</v>
      </c>
      <c r="H3077" s="64" t="s">
        <v>2871</v>
      </c>
      <c r="I3077" s="64" t="s">
        <v>3721</v>
      </c>
      <c r="J3077" s="67">
        <v>0</v>
      </c>
      <c r="K3077" s="62">
        <v>-180</v>
      </c>
      <c r="L3077" s="33" t="e">
        <f>HLOOKUP(B3077,#REF!,1,0)</f>
        <v>#REF!</v>
      </c>
      <c r="M3077" s="33" t="str">
        <f t="shared" si="195"/>
        <v>P&amp;L</v>
      </c>
    </row>
    <row r="3078" spans="1:13" s="33" customFormat="true" ht="12.75" customHeight="true">
      <c r="A3078" s="33" t="str">
        <f t="shared" si="192"/>
        <v>AKC - Revenue</v>
      </c>
      <c r="B3078" s="33" t="str">
        <f t="shared" si="193"/>
        <v>AKC</v>
      </c>
      <c r="C3078" s="33" t="str">
        <f t="shared" si="194"/>
        <v>47490-0000</v>
      </c>
      <c r="D3078" s="64" t="s">
        <v>3901</v>
      </c>
      <c r="E3078" s="64" t="s">
        <v>3731</v>
      </c>
      <c r="F3078" s="64" t="s">
        <v>230</v>
      </c>
      <c r="G3078" s="64" t="s">
        <v>3717</v>
      </c>
      <c r="H3078" s="64" t="s">
        <v>2871</v>
      </c>
      <c r="I3078" s="64" t="s">
        <v>3721</v>
      </c>
      <c r="J3078" s="67">
        <v>-50</v>
      </c>
      <c r="K3078" s="62">
        <v>-500</v>
      </c>
      <c r="L3078" s="33" t="e">
        <f>HLOOKUP(B3078,#REF!,1,0)</f>
        <v>#REF!</v>
      </c>
      <c r="M3078" s="33" t="str">
        <f t="shared" si="195"/>
        <v>P&amp;L</v>
      </c>
    </row>
    <row r="3079" spans="1:13" s="33" customFormat="true" ht="12.75" customHeight="true">
      <c r="A3079" s="33" t="str">
        <f t="shared" si="192"/>
        <v>AKC - Revenue</v>
      </c>
      <c r="B3079" s="33" t="str">
        <f t="shared" si="193"/>
        <v>AKC</v>
      </c>
      <c r="C3079" s="33" t="str">
        <f t="shared" si="194"/>
        <v>47491-0000</v>
      </c>
      <c r="D3079" s="64" t="s">
        <v>3902</v>
      </c>
      <c r="E3079" s="64" t="s">
        <v>3733</v>
      </c>
      <c r="F3079" s="64" t="s">
        <v>230</v>
      </c>
      <c r="G3079" s="64" t="s">
        <v>3717</v>
      </c>
      <c r="H3079" s="64" t="s">
        <v>2871</v>
      </c>
      <c r="I3079" s="64" t="s">
        <v>3734</v>
      </c>
      <c r="J3079" s="67">
        <v>-360</v>
      </c>
      <c r="K3079" s="62">
        <v>-3270</v>
      </c>
      <c r="L3079" s="33" t="e">
        <f>HLOOKUP(B3079,#REF!,1,0)</f>
        <v>#REF!</v>
      </c>
      <c r="M3079" s="33" t="str">
        <f t="shared" si="195"/>
        <v>P&amp;L</v>
      </c>
    </row>
    <row r="3080" spans="1:13" s="33" customFormat="true" ht="12.75" customHeight="true">
      <c r="A3080" s="33" t="str">
        <f t="shared" si="192"/>
        <v>AKC - Revenue</v>
      </c>
      <c r="B3080" s="33" t="str">
        <f t="shared" si="193"/>
        <v>AKC</v>
      </c>
      <c r="C3080" s="33" t="str">
        <f t="shared" si="194"/>
        <v>47492-0000</v>
      </c>
      <c r="D3080" s="64" t="s">
        <v>3903</v>
      </c>
      <c r="E3080" s="64" t="s">
        <v>3736</v>
      </c>
      <c r="F3080" s="64" t="s">
        <v>230</v>
      </c>
      <c r="G3080" s="64" t="s">
        <v>3717</v>
      </c>
      <c r="H3080" s="64" t="s">
        <v>2871</v>
      </c>
      <c r="I3080" s="64" t="s">
        <v>3737</v>
      </c>
      <c r="J3080" s="67">
        <v>-15</v>
      </c>
      <c r="K3080" s="62">
        <v>-30</v>
      </c>
      <c r="L3080" s="33" t="e">
        <f>HLOOKUP(B3080,#REF!,1,0)</f>
        <v>#REF!</v>
      </c>
      <c r="M3080" s="33" t="str">
        <f t="shared" si="195"/>
        <v>P&amp;L</v>
      </c>
    </row>
    <row r="3081" spans="1:13" s="33" customFormat="true" ht="12.75" customHeight="true">
      <c r="A3081" s="33" t="str">
        <f t="shared" si="192"/>
        <v>AKC - CGS</v>
      </c>
      <c r="B3081" s="33" t="str">
        <f t="shared" si="193"/>
        <v>AKC</v>
      </c>
      <c r="C3081" s="33" t="str">
        <f t="shared" si="194"/>
        <v>51006-0000</v>
      </c>
      <c r="D3081" s="64" t="s">
        <v>3904</v>
      </c>
      <c r="E3081" s="64" t="s">
        <v>3739</v>
      </c>
      <c r="F3081" s="64" t="s">
        <v>230</v>
      </c>
      <c r="G3081" s="64" t="s">
        <v>3740</v>
      </c>
      <c r="H3081" s="64" t="s">
        <v>1875</v>
      </c>
      <c r="I3081" s="64" t="s">
        <v>3741</v>
      </c>
      <c r="J3081" s="67">
        <v>0</v>
      </c>
      <c r="K3081" s="62">
        <v>330</v>
      </c>
      <c r="L3081" s="33" t="e">
        <f>HLOOKUP(B3081,#REF!,1,0)</f>
        <v>#REF!</v>
      </c>
      <c r="M3081" s="33" t="str">
        <f t="shared" si="195"/>
        <v>P&amp;L</v>
      </c>
    </row>
    <row r="3082" spans="1:13" s="33" customFormat="true" ht="12.75" customHeight="true">
      <c r="A3082" s="33" t="str">
        <f t="shared" si="192"/>
        <v>AKC - CGS</v>
      </c>
      <c r="B3082" s="33" t="str">
        <f t="shared" si="193"/>
        <v>AKC</v>
      </c>
      <c r="C3082" s="33" t="str">
        <f t="shared" si="194"/>
        <v>51008-0000</v>
      </c>
      <c r="D3082" s="64" t="s">
        <v>3905</v>
      </c>
      <c r="E3082" s="64" t="s">
        <v>3743</v>
      </c>
      <c r="F3082" s="64" t="s">
        <v>230</v>
      </c>
      <c r="G3082" s="64" t="s">
        <v>3740</v>
      </c>
      <c r="H3082" s="64" t="s">
        <v>1875</v>
      </c>
      <c r="I3082" s="64" t="s">
        <v>3744</v>
      </c>
      <c r="J3082" s="67">
        <v>17.79</v>
      </c>
      <c r="K3082" s="62">
        <v>201.77</v>
      </c>
      <c r="L3082" s="33" t="e">
        <f>HLOOKUP(B3082,#REF!,1,0)</f>
        <v>#REF!</v>
      </c>
      <c r="M3082" s="33" t="str">
        <f t="shared" si="195"/>
        <v>P&amp;L</v>
      </c>
    </row>
    <row r="3083" spans="1:13" s="33" customFormat="true" ht="12.75" customHeight="true">
      <c r="A3083" s="33" t="str">
        <f t="shared" si="192"/>
        <v>AKC - CGS</v>
      </c>
      <c r="B3083" s="33" t="str">
        <f t="shared" si="193"/>
        <v>AKC</v>
      </c>
      <c r="C3083" s="33" t="str">
        <f t="shared" si="194"/>
        <v>51009-0000</v>
      </c>
      <c r="D3083" s="64" t="s">
        <v>3906</v>
      </c>
      <c r="E3083" s="64" t="s">
        <v>3746</v>
      </c>
      <c r="F3083" s="64" t="s">
        <v>230</v>
      </c>
      <c r="G3083" s="64" t="s">
        <v>3740</v>
      </c>
      <c r="H3083" s="64" t="s">
        <v>1875</v>
      </c>
      <c r="I3083" s="64" t="s">
        <v>3747</v>
      </c>
      <c r="J3083" s="67">
        <v>96.18</v>
      </c>
      <c r="K3083" s="62">
        <v>459.33</v>
      </c>
      <c r="L3083" s="33" t="e">
        <f>HLOOKUP(B3083,#REF!,1,0)</f>
        <v>#REF!</v>
      </c>
      <c r="M3083" s="33" t="str">
        <f t="shared" si="195"/>
        <v>P&amp;L</v>
      </c>
    </row>
    <row r="3084" spans="1:13" s="33" customFormat="true" ht="12.75" customHeight="true">
      <c r="A3084" s="33" t="str">
        <f t="shared" si="192"/>
        <v>AKC - CGS</v>
      </c>
      <c r="B3084" s="33" t="str">
        <f t="shared" si="193"/>
        <v>AKC</v>
      </c>
      <c r="C3084" s="33" t="str">
        <f t="shared" si="194"/>
        <v>51011-0000</v>
      </c>
      <c r="D3084" s="64" t="s">
        <v>3907</v>
      </c>
      <c r="E3084" s="64" t="s">
        <v>3749</v>
      </c>
      <c r="F3084" s="64" t="s">
        <v>230</v>
      </c>
      <c r="G3084" s="64" t="s">
        <v>3740</v>
      </c>
      <c r="H3084" s="64" t="s">
        <v>1875</v>
      </c>
      <c r="I3084" s="64" t="s">
        <v>3750</v>
      </c>
      <c r="J3084" s="67">
        <v>1200</v>
      </c>
      <c r="K3084" s="62">
        <v>4850</v>
      </c>
      <c r="L3084" s="33" t="e">
        <f>HLOOKUP(B3084,#REF!,1,0)</f>
        <v>#REF!</v>
      </c>
      <c r="M3084" s="33" t="str">
        <f t="shared" si="195"/>
        <v>P&amp;L</v>
      </c>
    </row>
    <row r="3085" spans="1:13" s="33" customFormat="true" ht="12.75" customHeight="true">
      <c r="A3085" s="33" t="str">
        <f t="shared" si="192"/>
        <v>AKC - CGS</v>
      </c>
      <c r="B3085" s="33" t="str">
        <f t="shared" si="193"/>
        <v>AKC</v>
      </c>
      <c r="C3085" s="33" t="str">
        <f t="shared" si="194"/>
        <v>51012-0000</v>
      </c>
      <c r="D3085" s="64" t="s">
        <v>3908</v>
      </c>
      <c r="E3085" s="64" t="s">
        <v>3752</v>
      </c>
      <c r="F3085" s="64" t="s">
        <v>230</v>
      </c>
      <c r="G3085" s="64" t="s">
        <v>3740</v>
      </c>
      <c r="H3085" s="64" t="s">
        <v>1875</v>
      </c>
      <c r="I3085" s="64" t="s">
        <v>3753</v>
      </c>
      <c r="J3085" s="67">
        <v>0</v>
      </c>
      <c r="K3085" s="62">
        <v>249</v>
      </c>
      <c r="L3085" s="33" t="e">
        <f>HLOOKUP(B3085,#REF!,1,0)</f>
        <v>#REF!</v>
      </c>
      <c r="M3085" s="33" t="str">
        <f t="shared" si="195"/>
        <v>P&amp;L</v>
      </c>
    </row>
    <row r="3086" spans="1:13" s="33" customFormat="true" ht="12.75" customHeight="true">
      <c r="A3086" s="33" t="str">
        <f t="shared" si="192"/>
        <v>AKC - CGS</v>
      </c>
      <c r="B3086" s="33" t="str">
        <f t="shared" si="193"/>
        <v>AKC</v>
      </c>
      <c r="C3086" s="33" t="str">
        <f t="shared" si="194"/>
        <v>51015-0000</v>
      </c>
      <c r="D3086" s="64" t="s">
        <v>3909</v>
      </c>
      <c r="E3086" s="64" t="s">
        <v>3755</v>
      </c>
      <c r="F3086" s="64" t="s">
        <v>230</v>
      </c>
      <c r="G3086" s="64" t="s">
        <v>3740</v>
      </c>
      <c r="H3086" s="64" t="s">
        <v>1875</v>
      </c>
      <c r="I3086" s="64" t="s">
        <v>3756</v>
      </c>
      <c r="J3086" s="67">
        <v>0</v>
      </c>
      <c r="K3086" s="62">
        <v>0</v>
      </c>
      <c r="L3086" s="33" t="e">
        <f>HLOOKUP(B3086,#REF!,1,0)</f>
        <v>#REF!</v>
      </c>
      <c r="M3086" s="33" t="str">
        <f t="shared" si="195"/>
        <v>P&amp;L</v>
      </c>
    </row>
    <row r="3087" spans="1:13" s="33" customFormat="true" ht="12.75" customHeight="true">
      <c r="A3087" s="33" t="str">
        <f t="shared" si="192"/>
        <v>AKC - CGS</v>
      </c>
      <c r="B3087" s="33" t="str">
        <f t="shared" si="193"/>
        <v>AKC</v>
      </c>
      <c r="C3087" s="33" t="str">
        <f t="shared" si="194"/>
        <v>51019-0000</v>
      </c>
      <c r="D3087" s="64" t="s">
        <v>3910</v>
      </c>
      <c r="E3087" s="64" t="s">
        <v>3761</v>
      </c>
      <c r="F3087" s="64" t="s">
        <v>230</v>
      </c>
      <c r="G3087" s="64" t="s">
        <v>3740</v>
      </c>
      <c r="H3087" s="64" t="s">
        <v>1875</v>
      </c>
      <c r="I3087" s="64" t="s">
        <v>3340</v>
      </c>
      <c r="J3087" s="67">
        <v>0</v>
      </c>
      <c r="K3087" s="62">
        <v>13.08</v>
      </c>
      <c r="L3087" s="33" t="e">
        <f>HLOOKUP(B3087,#REF!,1,0)</f>
        <v>#REF!</v>
      </c>
      <c r="M3087" s="33" t="str">
        <f t="shared" si="195"/>
        <v>P&amp;L</v>
      </c>
    </row>
    <row r="3088" spans="1:13" s="33" customFormat="true" ht="12.75" customHeight="true">
      <c r="A3088" s="33" t="str">
        <f t="shared" si="192"/>
        <v>AKC - CGS</v>
      </c>
      <c r="B3088" s="33" t="str">
        <f t="shared" si="193"/>
        <v>AKC</v>
      </c>
      <c r="C3088" s="33" t="str">
        <f t="shared" si="194"/>
        <v>51020-0000</v>
      </c>
      <c r="D3088" s="64" t="s">
        <v>3911</v>
      </c>
      <c r="E3088" s="64" t="s">
        <v>3763</v>
      </c>
      <c r="F3088" s="64" t="s">
        <v>230</v>
      </c>
      <c r="G3088" s="64" t="s">
        <v>3740</v>
      </c>
      <c r="H3088" s="64" t="s">
        <v>1875</v>
      </c>
      <c r="I3088" s="64" t="s">
        <v>3345</v>
      </c>
      <c r="J3088" s="67">
        <v>0</v>
      </c>
      <c r="K3088" s="62">
        <v>285.33</v>
      </c>
      <c r="L3088" s="33" t="e">
        <f>HLOOKUP(B3088,#REF!,1,0)</f>
        <v>#REF!</v>
      </c>
      <c r="M3088" s="33" t="str">
        <f t="shared" si="195"/>
        <v>P&amp;L</v>
      </c>
    </row>
    <row r="3089" spans="1:13" s="33" customFormat="true" ht="12.75" customHeight="true">
      <c r="A3089" s="33" t="str">
        <f t="shared" si="192"/>
        <v>AKC - CGS</v>
      </c>
      <c r="B3089" s="33" t="str">
        <f t="shared" si="193"/>
        <v>AKC</v>
      </c>
      <c r="C3089" s="33" t="str">
        <f t="shared" si="194"/>
        <v>52003-0000</v>
      </c>
      <c r="D3089" s="64" t="s">
        <v>3912</v>
      </c>
      <c r="E3089" s="64" t="s">
        <v>3772</v>
      </c>
      <c r="F3089" s="64" t="s">
        <v>230</v>
      </c>
      <c r="G3089" s="64" t="s">
        <v>3769</v>
      </c>
      <c r="H3089" s="64" t="s">
        <v>1875</v>
      </c>
      <c r="I3089" s="64" t="s">
        <v>3773</v>
      </c>
      <c r="J3089" s="67">
        <v>-100</v>
      </c>
      <c r="K3089" s="62">
        <v>-100</v>
      </c>
      <c r="L3089" s="33" t="e">
        <f>HLOOKUP(B3089,#REF!,1,0)</f>
        <v>#REF!</v>
      </c>
      <c r="M3089" s="33" t="str">
        <f t="shared" si="195"/>
        <v>P&amp;L</v>
      </c>
    </row>
    <row r="3090" spans="1:13" s="33" customFormat="true" ht="12.75" customHeight="true">
      <c r="A3090" s="33" t="str">
        <f t="shared" si="192"/>
        <v>AKC - CGS</v>
      </c>
      <c r="B3090" s="33" t="str">
        <f t="shared" si="193"/>
        <v>AKC</v>
      </c>
      <c r="C3090" s="33" t="str">
        <f t="shared" si="194"/>
        <v>52005-0000</v>
      </c>
      <c r="D3090" s="64" t="s">
        <v>3913</v>
      </c>
      <c r="E3090" s="64" t="s">
        <v>3914</v>
      </c>
      <c r="F3090" s="64" t="s">
        <v>230</v>
      </c>
      <c r="G3090" s="64" t="s">
        <v>3769</v>
      </c>
      <c r="H3090" s="64" t="s">
        <v>1875</v>
      </c>
      <c r="I3090" s="64" t="s">
        <v>3915</v>
      </c>
      <c r="J3090" s="67">
        <v>0</v>
      </c>
      <c r="K3090" s="62">
        <v>85.26</v>
      </c>
      <c r="L3090" s="33" t="e">
        <f>HLOOKUP(B3090,#REF!,1,0)</f>
        <v>#REF!</v>
      </c>
      <c r="M3090" s="33" t="str">
        <f t="shared" si="195"/>
        <v>P&amp;L</v>
      </c>
    </row>
    <row r="3091" spans="1:13" s="33" customFormat="true" ht="12.75" customHeight="true">
      <c r="A3091" s="33" t="str">
        <f t="shared" si="192"/>
        <v>AKC - CGS</v>
      </c>
      <c r="B3091" s="33" t="str">
        <f t="shared" si="193"/>
        <v>AKC</v>
      </c>
      <c r="C3091" s="33" t="str">
        <f t="shared" si="194"/>
        <v>53001-0000</v>
      </c>
      <c r="D3091" s="64" t="s">
        <v>3916</v>
      </c>
      <c r="E3091" s="64" t="s">
        <v>3781</v>
      </c>
      <c r="F3091" s="64" t="s">
        <v>230</v>
      </c>
      <c r="G3091" s="64" t="s">
        <v>3160</v>
      </c>
      <c r="H3091" s="64" t="s">
        <v>1875</v>
      </c>
      <c r="I3091" s="64" t="s">
        <v>3782</v>
      </c>
      <c r="J3091" s="67">
        <v>45</v>
      </c>
      <c r="K3091" s="62">
        <v>45</v>
      </c>
      <c r="L3091" s="33" t="e">
        <f>HLOOKUP(B3091,#REF!,1,0)</f>
        <v>#REF!</v>
      </c>
      <c r="M3091" s="33" t="str">
        <f t="shared" si="195"/>
        <v>P&amp;L</v>
      </c>
    </row>
    <row r="3092" spans="1:13" s="33" customFormat="true" ht="12.75" customHeight="true">
      <c r="A3092" s="33" t="str">
        <f t="shared" si="192"/>
        <v>AKC - CGS</v>
      </c>
      <c r="B3092" s="33" t="str">
        <f t="shared" si="193"/>
        <v>AKC</v>
      </c>
      <c r="C3092" s="33" t="str">
        <f t="shared" si="194"/>
        <v>53002-0000</v>
      </c>
      <c r="D3092" s="64" t="s">
        <v>3917</v>
      </c>
      <c r="E3092" s="64" t="s">
        <v>3784</v>
      </c>
      <c r="F3092" s="64" t="s">
        <v>230</v>
      </c>
      <c r="G3092" s="64" t="s">
        <v>3160</v>
      </c>
      <c r="H3092" s="64" t="s">
        <v>1875</v>
      </c>
      <c r="I3092" s="64" t="s">
        <v>3785</v>
      </c>
      <c r="J3092" s="67">
        <v>55</v>
      </c>
      <c r="K3092" s="62">
        <v>403.34</v>
      </c>
      <c r="L3092" s="33" t="e">
        <f>HLOOKUP(B3092,#REF!,1,0)</f>
        <v>#REF!</v>
      </c>
      <c r="M3092" s="33" t="str">
        <f t="shared" si="195"/>
        <v>P&amp;L</v>
      </c>
    </row>
    <row r="3093" spans="1:13" s="33" customFormat="true" ht="12.75" customHeight="true">
      <c r="A3093" s="33" t="str">
        <f t="shared" si="192"/>
        <v>AKC - CGS</v>
      </c>
      <c r="B3093" s="33" t="str">
        <f t="shared" si="193"/>
        <v>AKC</v>
      </c>
      <c r="C3093" s="33" t="str">
        <f t="shared" si="194"/>
        <v>53003-0000</v>
      </c>
      <c r="D3093" s="64" t="s">
        <v>3918</v>
      </c>
      <c r="E3093" s="64" t="s">
        <v>3787</v>
      </c>
      <c r="F3093" s="64" t="s">
        <v>230</v>
      </c>
      <c r="G3093" s="64" t="s">
        <v>3160</v>
      </c>
      <c r="H3093" s="64" t="s">
        <v>1875</v>
      </c>
      <c r="I3093" s="64" t="s">
        <v>3788</v>
      </c>
      <c r="J3093" s="67">
        <v>-63.08</v>
      </c>
      <c r="K3093" s="62">
        <v>338.61</v>
      </c>
      <c r="L3093" s="33" t="e">
        <f>HLOOKUP(B3093,#REF!,1,0)</f>
        <v>#REF!</v>
      </c>
      <c r="M3093" s="33" t="str">
        <f t="shared" si="195"/>
        <v>P&amp;L</v>
      </c>
    </row>
    <row r="3094" spans="1:13" s="33" customFormat="true" ht="12.75" customHeight="true">
      <c r="A3094" s="33" t="str">
        <f t="shared" si="192"/>
        <v>AKC - CGS</v>
      </c>
      <c r="B3094" s="33" t="str">
        <f t="shared" si="193"/>
        <v>AKC</v>
      </c>
      <c r="C3094" s="33" t="str">
        <f t="shared" si="194"/>
        <v>53005-0000</v>
      </c>
      <c r="D3094" s="64" t="s">
        <v>3919</v>
      </c>
      <c r="E3094" s="64" t="s">
        <v>3793</v>
      </c>
      <c r="F3094" s="64" t="s">
        <v>230</v>
      </c>
      <c r="G3094" s="64" t="s">
        <v>3160</v>
      </c>
      <c r="H3094" s="64" t="s">
        <v>1875</v>
      </c>
      <c r="I3094" s="64" t="s">
        <v>3794</v>
      </c>
      <c r="J3094" s="67">
        <v>325.97</v>
      </c>
      <c r="K3094" s="62">
        <v>1471.06</v>
      </c>
      <c r="L3094" s="33" t="e">
        <f>HLOOKUP(B3094,#REF!,1,0)</f>
        <v>#REF!</v>
      </c>
      <c r="M3094" s="33" t="str">
        <f t="shared" si="195"/>
        <v>P&amp;L</v>
      </c>
    </row>
    <row r="3095" spans="1:13" s="33" customFormat="true" ht="12.75" customHeight="true">
      <c r="A3095" s="33" t="str">
        <f t="shared" si="192"/>
        <v>AKC - CGS</v>
      </c>
      <c r="B3095" s="33" t="str">
        <f t="shared" si="193"/>
        <v>AKC</v>
      </c>
      <c r="C3095" s="33" t="str">
        <f t="shared" si="194"/>
        <v>53006-0000</v>
      </c>
      <c r="D3095" s="64" t="s">
        <v>3920</v>
      </c>
      <c r="E3095" s="64" t="s">
        <v>3796</v>
      </c>
      <c r="F3095" s="64" t="s">
        <v>230</v>
      </c>
      <c r="G3095" s="64" t="s">
        <v>3160</v>
      </c>
      <c r="H3095" s="64" t="s">
        <v>1875</v>
      </c>
      <c r="I3095" s="64" t="s">
        <v>3797</v>
      </c>
      <c r="J3095" s="67">
        <v>353.08</v>
      </c>
      <c r="K3095" s="62">
        <v>2769.23</v>
      </c>
      <c r="L3095" s="33" t="e">
        <f>HLOOKUP(B3095,#REF!,1,0)</f>
        <v>#REF!</v>
      </c>
      <c r="M3095" s="33" t="str">
        <f t="shared" si="195"/>
        <v>P&amp;L</v>
      </c>
    </row>
    <row r="3096" spans="1:13" s="33" customFormat="true" ht="12.75" customHeight="true">
      <c r="A3096" s="33" t="str">
        <f t="shared" si="192"/>
        <v>AKC - CGS</v>
      </c>
      <c r="B3096" s="33" t="str">
        <f t="shared" si="193"/>
        <v>AKC</v>
      </c>
      <c r="C3096" s="33" t="str">
        <f t="shared" si="194"/>
        <v>54002-0000</v>
      </c>
      <c r="D3096" s="64" t="s">
        <v>3921</v>
      </c>
      <c r="E3096" s="64" t="s">
        <v>3799</v>
      </c>
      <c r="F3096" s="64" t="s">
        <v>230</v>
      </c>
      <c r="G3096" s="64" t="s">
        <v>3800</v>
      </c>
      <c r="H3096" s="64" t="s">
        <v>1875</v>
      </c>
      <c r="I3096" s="64" t="s">
        <v>3801</v>
      </c>
      <c r="J3096" s="67">
        <v>0</v>
      </c>
      <c r="K3096" s="62">
        <v>0</v>
      </c>
      <c r="L3096" s="33" t="e">
        <f>HLOOKUP(B3096,#REF!,1,0)</f>
        <v>#REF!</v>
      </c>
      <c r="M3096" s="33" t="str">
        <f t="shared" si="195"/>
        <v>P&amp;L</v>
      </c>
    </row>
    <row r="3097" spans="1:13" s="33" customFormat="true" ht="12.75" customHeight="true">
      <c r="A3097" s="33" t="str">
        <f t="shared" si="192"/>
        <v>AKC - CGS</v>
      </c>
      <c r="B3097" s="33" t="str">
        <f t="shared" si="193"/>
        <v>AKC</v>
      </c>
      <c r="C3097" s="33" t="str">
        <f t="shared" si="194"/>
        <v>54003-0000</v>
      </c>
      <c r="D3097" s="64" t="s">
        <v>3922</v>
      </c>
      <c r="E3097" s="64" t="s">
        <v>3803</v>
      </c>
      <c r="F3097" s="64" t="s">
        <v>230</v>
      </c>
      <c r="G3097" s="64" t="s">
        <v>3800</v>
      </c>
      <c r="H3097" s="64" t="s">
        <v>1875</v>
      </c>
      <c r="I3097" s="64" t="s">
        <v>3804</v>
      </c>
      <c r="J3097" s="67">
        <v>0</v>
      </c>
      <c r="K3097" s="62">
        <v>0</v>
      </c>
      <c r="L3097" s="33" t="e">
        <f>HLOOKUP(B3097,#REF!,1,0)</f>
        <v>#REF!</v>
      </c>
      <c r="M3097" s="33" t="str">
        <f t="shared" si="195"/>
        <v>P&amp;L</v>
      </c>
    </row>
    <row r="3098" spans="1:13" s="33" customFormat="true" ht="12.75" customHeight="true">
      <c r="A3098" s="33" t="str">
        <f t="shared" si="192"/>
        <v>AKC - CGS</v>
      </c>
      <c r="B3098" s="33" t="str">
        <f t="shared" si="193"/>
        <v>AKC</v>
      </c>
      <c r="C3098" s="33" t="str">
        <f t="shared" si="194"/>
        <v>54004-0000</v>
      </c>
      <c r="D3098" s="64" t="s">
        <v>3923</v>
      </c>
      <c r="E3098" s="64" t="s">
        <v>3806</v>
      </c>
      <c r="F3098" s="64" t="s">
        <v>230</v>
      </c>
      <c r="G3098" s="64" t="s">
        <v>3800</v>
      </c>
      <c r="H3098" s="64" t="s">
        <v>1875</v>
      </c>
      <c r="I3098" s="64" t="s">
        <v>3807</v>
      </c>
      <c r="J3098" s="67">
        <v>3840</v>
      </c>
      <c r="K3098" s="62">
        <v>6378</v>
      </c>
      <c r="L3098" s="33" t="e">
        <f>HLOOKUP(B3098,#REF!,1,0)</f>
        <v>#REF!</v>
      </c>
      <c r="M3098" s="33" t="str">
        <f t="shared" si="195"/>
        <v>P&amp;L</v>
      </c>
    </row>
    <row r="3099" spans="1:13" s="33" customFormat="true" ht="12.75" customHeight="true">
      <c r="A3099" s="33" t="str">
        <f t="shared" si="192"/>
        <v>AKC - CGS</v>
      </c>
      <c r="B3099" s="33" t="str">
        <f t="shared" si="193"/>
        <v>AKC</v>
      </c>
      <c r="C3099" s="33" t="str">
        <f t="shared" si="194"/>
        <v>54005-0000</v>
      </c>
      <c r="D3099" s="64" t="s">
        <v>3924</v>
      </c>
      <c r="E3099" s="64" t="s">
        <v>3809</v>
      </c>
      <c r="F3099" s="64" t="s">
        <v>230</v>
      </c>
      <c r="G3099" s="64" t="s">
        <v>3800</v>
      </c>
      <c r="H3099" s="64" t="s">
        <v>1875</v>
      </c>
      <c r="I3099" s="64" t="s">
        <v>3810</v>
      </c>
      <c r="J3099" s="67">
        <v>8.74</v>
      </c>
      <c r="K3099" s="62">
        <v>31.26</v>
      </c>
      <c r="L3099" s="33" t="e">
        <f>HLOOKUP(B3099,#REF!,1,0)</f>
        <v>#REF!</v>
      </c>
      <c r="M3099" s="33" t="str">
        <f t="shared" si="195"/>
        <v>P&amp;L</v>
      </c>
    </row>
    <row r="3100" spans="1:13" s="33" customFormat="true" ht="12.75" customHeight="true">
      <c r="A3100" s="33" t="str">
        <f t="shared" si="192"/>
        <v>AKC - CGS</v>
      </c>
      <c r="B3100" s="33" t="str">
        <f t="shared" si="193"/>
        <v>AKC</v>
      </c>
      <c r="C3100" s="33" t="str">
        <f t="shared" si="194"/>
        <v>54006-0000</v>
      </c>
      <c r="D3100" s="64" t="s">
        <v>3925</v>
      </c>
      <c r="E3100" s="64" t="s">
        <v>3812</v>
      </c>
      <c r="F3100" s="64" t="s">
        <v>230</v>
      </c>
      <c r="G3100" s="64" t="s">
        <v>3800</v>
      </c>
      <c r="H3100" s="64" t="s">
        <v>1875</v>
      </c>
      <c r="I3100" s="64" t="s">
        <v>3003</v>
      </c>
      <c r="J3100" s="67">
        <v>519.76</v>
      </c>
      <c r="K3100" s="62">
        <v>1623.28</v>
      </c>
      <c r="L3100" s="33" t="e">
        <f>HLOOKUP(B3100,#REF!,1,0)</f>
        <v>#REF!</v>
      </c>
      <c r="M3100" s="33" t="str">
        <f t="shared" si="195"/>
        <v>P&amp;L</v>
      </c>
    </row>
    <row r="3101" spans="1:13" s="33" customFormat="true" ht="12.75" customHeight="true">
      <c r="A3101" s="33" t="str">
        <f t="shared" si="192"/>
        <v>AKC - CGS</v>
      </c>
      <c r="B3101" s="33" t="str">
        <f t="shared" si="193"/>
        <v>AKC</v>
      </c>
      <c r="C3101" s="33" t="str">
        <f t="shared" si="194"/>
        <v>54007-0000</v>
      </c>
      <c r="D3101" s="64" t="s">
        <v>3926</v>
      </c>
      <c r="E3101" s="64" t="s">
        <v>3814</v>
      </c>
      <c r="F3101" s="64" t="s">
        <v>230</v>
      </c>
      <c r="G3101" s="64" t="s">
        <v>3800</v>
      </c>
      <c r="H3101" s="64" t="s">
        <v>1875</v>
      </c>
      <c r="I3101" s="64" t="s">
        <v>3815</v>
      </c>
      <c r="J3101" s="67">
        <v>-455.43</v>
      </c>
      <c r="K3101" s="62">
        <v>4283.66</v>
      </c>
      <c r="L3101" s="33" t="e">
        <f>HLOOKUP(B3101,#REF!,1,0)</f>
        <v>#REF!</v>
      </c>
      <c r="M3101" s="33" t="str">
        <f t="shared" si="195"/>
        <v>P&amp;L</v>
      </c>
    </row>
    <row r="3102" spans="1:13" s="33" customFormat="true" ht="12.75" customHeight="true">
      <c r="A3102" s="33" t="str">
        <f t="shared" si="192"/>
        <v>AKC - PM Expenses</v>
      </c>
      <c r="B3102" s="33" t="str">
        <f t="shared" si="193"/>
        <v>AKC</v>
      </c>
      <c r="C3102" s="33" t="str">
        <f t="shared" si="194"/>
        <v>55502-0000</v>
      </c>
      <c r="D3102" s="64" t="s">
        <v>3927</v>
      </c>
      <c r="E3102" s="64" t="s">
        <v>3822</v>
      </c>
      <c r="F3102" s="64" t="s">
        <v>230</v>
      </c>
      <c r="G3102" s="64" t="s">
        <v>3818</v>
      </c>
      <c r="H3102" s="64" t="s">
        <v>3819</v>
      </c>
      <c r="I3102" s="64" t="s">
        <v>3823</v>
      </c>
      <c r="J3102" s="67">
        <v>0</v>
      </c>
      <c r="K3102" s="62">
        <v>5889.65</v>
      </c>
      <c r="L3102" s="33" t="e">
        <f>HLOOKUP(B3102,#REF!,1,0)</f>
        <v>#REF!</v>
      </c>
      <c r="M3102" s="33" t="str">
        <f t="shared" si="195"/>
        <v>P&amp;L</v>
      </c>
    </row>
    <row r="3103" spans="1:13" s="33" customFormat="true" ht="12.75" customHeight="true">
      <c r="A3103" s="33" t="str">
        <f t="shared" si="192"/>
        <v>AKC - PM Expenses</v>
      </c>
      <c r="B3103" s="33" t="str">
        <f t="shared" si="193"/>
        <v>AKC</v>
      </c>
      <c r="C3103" s="33" t="str">
        <f t="shared" si="194"/>
        <v>55503-0000</v>
      </c>
      <c r="D3103" s="64" t="s">
        <v>3928</v>
      </c>
      <c r="E3103" s="64" t="s">
        <v>3825</v>
      </c>
      <c r="F3103" s="64" t="s">
        <v>230</v>
      </c>
      <c r="G3103" s="64" t="s">
        <v>3818</v>
      </c>
      <c r="H3103" s="64" t="s">
        <v>3819</v>
      </c>
      <c r="I3103" s="64" t="s">
        <v>3826</v>
      </c>
      <c r="J3103" s="67">
        <v>0</v>
      </c>
      <c r="K3103" s="62">
        <v>705</v>
      </c>
      <c r="L3103" s="33" t="e">
        <f>HLOOKUP(B3103,#REF!,1,0)</f>
        <v>#REF!</v>
      </c>
      <c r="M3103" s="33" t="str">
        <f t="shared" si="195"/>
        <v>P&amp;L</v>
      </c>
    </row>
    <row r="3104" spans="1:13" s="33" customFormat="true" ht="12.75" customHeight="true">
      <c r="A3104" s="33" t="str">
        <f t="shared" si="192"/>
        <v>AKC - PM Expenses</v>
      </c>
      <c r="B3104" s="33" t="str">
        <f t="shared" si="193"/>
        <v>AKC</v>
      </c>
      <c r="C3104" s="33" t="str">
        <f t="shared" si="194"/>
        <v>55505-0000</v>
      </c>
      <c r="D3104" s="64" t="s">
        <v>3929</v>
      </c>
      <c r="E3104" s="64" t="s">
        <v>3828</v>
      </c>
      <c r="F3104" s="64" t="s">
        <v>230</v>
      </c>
      <c r="G3104" s="64" t="s">
        <v>3818</v>
      </c>
      <c r="H3104" s="64" t="s">
        <v>3819</v>
      </c>
      <c r="I3104" s="64" t="s">
        <v>3829</v>
      </c>
      <c r="J3104" s="67">
        <v>0</v>
      </c>
      <c r="K3104" s="62">
        <v>1328.6</v>
      </c>
      <c r="L3104" s="33" t="e">
        <f>HLOOKUP(B3104,#REF!,1,0)</f>
        <v>#REF!</v>
      </c>
      <c r="M3104" s="33" t="str">
        <f t="shared" si="195"/>
        <v>P&amp;L</v>
      </c>
    </row>
    <row r="3105" spans="1:13" s="33" customFormat="true" ht="12.75" customHeight="true">
      <c r="A3105" s="33" t="str">
        <f t="shared" si="192"/>
        <v>AKC - PM Expenses</v>
      </c>
      <c r="B3105" s="33" t="str">
        <f t="shared" si="193"/>
        <v>AKC</v>
      </c>
      <c r="C3105" s="33" t="str">
        <f t="shared" si="194"/>
        <v>55506-0000</v>
      </c>
      <c r="D3105" s="64" t="s">
        <v>3930</v>
      </c>
      <c r="E3105" s="64" t="s">
        <v>3831</v>
      </c>
      <c r="F3105" s="64" t="s">
        <v>230</v>
      </c>
      <c r="G3105" s="64" t="s">
        <v>3818</v>
      </c>
      <c r="H3105" s="64" t="s">
        <v>3819</v>
      </c>
      <c r="I3105" s="64" t="s">
        <v>3832</v>
      </c>
      <c r="J3105" s="67">
        <v>0</v>
      </c>
      <c r="K3105" s="62">
        <v>2251.03</v>
      </c>
      <c r="L3105" s="33" t="e">
        <f>HLOOKUP(B3105,#REF!,1,0)</f>
        <v>#REF!</v>
      </c>
      <c r="M3105" s="33" t="str">
        <f t="shared" si="195"/>
        <v>P&amp;L</v>
      </c>
    </row>
    <row r="3106" spans="1:13" s="33" customFormat="true" ht="12.75" customHeight="true">
      <c r="A3106" s="33" t="str">
        <f t="shared" si="192"/>
        <v>AKC - PM Expenses</v>
      </c>
      <c r="B3106" s="33" t="str">
        <f t="shared" si="193"/>
        <v>AKC</v>
      </c>
      <c r="C3106" s="33" t="str">
        <f t="shared" si="194"/>
        <v>55507-0000</v>
      </c>
      <c r="D3106" s="64" t="s">
        <v>3931</v>
      </c>
      <c r="E3106" s="64" t="s">
        <v>3834</v>
      </c>
      <c r="F3106" s="64" t="s">
        <v>230</v>
      </c>
      <c r="G3106" s="64" t="s">
        <v>3818</v>
      </c>
      <c r="H3106" s="64" t="s">
        <v>3819</v>
      </c>
      <c r="I3106" s="64" t="s">
        <v>3835</v>
      </c>
      <c r="J3106" s="67">
        <v>0</v>
      </c>
      <c r="K3106" s="62">
        <v>838.2</v>
      </c>
      <c r="L3106" s="33" t="e">
        <f>HLOOKUP(B3106,#REF!,1,0)</f>
        <v>#REF!</v>
      </c>
      <c r="M3106" s="33" t="str">
        <f t="shared" si="195"/>
        <v>P&amp;L</v>
      </c>
    </row>
    <row r="3107" spans="1:13" s="33" customFormat="true" ht="12.75" customHeight="true">
      <c r="A3107" s="33" t="str">
        <f t="shared" si="192"/>
        <v>AKC - CGS</v>
      </c>
      <c r="B3107" s="33" t="str">
        <f t="shared" si="193"/>
        <v>AKC</v>
      </c>
      <c r="C3107" s="33" t="str">
        <f t="shared" si="194"/>
        <v>60002-0000</v>
      </c>
      <c r="D3107" s="64" t="s">
        <v>3932</v>
      </c>
      <c r="E3107" s="64" t="s">
        <v>3837</v>
      </c>
      <c r="F3107" s="64" t="s">
        <v>230</v>
      </c>
      <c r="G3107" s="64" t="s">
        <v>3838</v>
      </c>
      <c r="H3107" s="64" t="s">
        <v>1875</v>
      </c>
      <c r="I3107" s="64" t="s">
        <v>3839</v>
      </c>
      <c r="J3107" s="67">
        <v>0</v>
      </c>
      <c r="K3107" s="62">
        <v>20</v>
      </c>
      <c r="L3107" s="33" t="e">
        <f>HLOOKUP(B3107,#REF!,1,0)</f>
        <v>#REF!</v>
      </c>
      <c r="M3107" s="33" t="str">
        <f t="shared" si="195"/>
        <v>P&amp;L</v>
      </c>
    </row>
    <row r="3108" spans="1:13" s="33" customFormat="true" ht="12.75" customHeight="true">
      <c r="A3108" s="33" t="str">
        <f t="shared" si="192"/>
        <v>AKC - CGS</v>
      </c>
      <c r="B3108" s="33" t="str">
        <f t="shared" si="193"/>
        <v>AKC</v>
      </c>
      <c r="C3108" s="33" t="str">
        <f t="shared" si="194"/>
        <v>60005-0000</v>
      </c>
      <c r="D3108" s="64" t="s">
        <v>3933</v>
      </c>
      <c r="E3108" s="64" t="s">
        <v>3841</v>
      </c>
      <c r="F3108" s="64" t="s">
        <v>230</v>
      </c>
      <c r="G3108" s="64" t="s">
        <v>3838</v>
      </c>
      <c r="H3108" s="64" t="s">
        <v>1875</v>
      </c>
      <c r="I3108" s="64" t="s">
        <v>3842</v>
      </c>
      <c r="J3108" s="67">
        <v>450</v>
      </c>
      <c r="K3108" s="62">
        <v>6518</v>
      </c>
      <c r="L3108" s="33" t="e">
        <f>HLOOKUP(B3108,#REF!,1,0)</f>
        <v>#REF!</v>
      </c>
      <c r="M3108" s="33" t="str">
        <f t="shared" si="195"/>
        <v>P&amp;L</v>
      </c>
    </row>
    <row r="3109" spans="1:13" s="33" customFormat="true" ht="12.75" customHeight="true">
      <c r="A3109" s="33" t="str">
        <f t="shared" si="192"/>
        <v>AKC - Interest Expense</v>
      </c>
      <c r="B3109" s="33" t="str">
        <f t="shared" si="193"/>
        <v>AKC</v>
      </c>
      <c r="C3109" s="33" t="str">
        <f t="shared" si="194"/>
        <v>60006-0000</v>
      </c>
      <c r="D3109" s="64" t="s">
        <v>3934</v>
      </c>
      <c r="E3109" s="64" t="s">
        <v>3325</v>
      </c>
      <c r="F3109" s="64" t="s">
        <v>230</v>
      </c>
      <c r="G3109" s="64" t="s">
        <v>3844</v>
      </c>
      <c r="H3109" s="64" t="s">
        <v>3327</v>
      </c>
      <c r="I3109" s="64" t="s">
        <v>3328</v>
      </c>
      <c r="J3109" s="67">
        <v>11620.88</v>
      </c>
      <c r="K3109" s="62">
        <v>70112.64</v>
      </c>
      <c r="L3109" s="33" t="e">
        <f>HLOOKUP(B3109,#REF!,1,0)</f>
        <v>#REF!</v>
      </c>
      <c r="M3109" s="33" t="str">
        <f t="shared" si="195"/>
        <v>P&amp;L</v>
      </c>
    </row>
    <row r="3110" spans="1:13" s="33" customFormat="true" ht="12.75" customHeight="true">
      <c r="A3110" s="33" t="str">
        <f t="shared" si="192"/>
        <v>AKC - CGS</v>
      </c>
      <c r="B3110" s="33" t="str">
        <f t="shared" si="193"/>
        <v>AKC</v>
      </c>
      <c r="C3110" s="33" t="str">
        <f t="shared" si="194"/>
        <v>60012-0000</v>
      </c>
      <c r="D3110" s="64" t="s">
        <v>3935</v>
      </c>
      <c r="E3110" s="64" t="s">
        <v>3852</v>
      </c>
      <c r="F3110" s="64" t="s">
        <v>230</v>
      </c>
      <c r="G3110" s="64" t="s">
        <v>3838</v>
      </c>
      <c r="H3110" s="64" t="s">
        <v>1875</v>
      </c>
      <c r="I3110" s="64" t="s">
        <v>3853</v>
      </c>
      <c r="J3110" s="67">
        <v>2038.72</v>
      </c>
      <c r="K3110" s="62">
        <v>1016.29</v>
      </c>
      <c r="L3110" s="33" t="e">
        <f>HLOOKUP(B3110,#REF!,1,0)</f>
        <v>#REF!</v>
      </c>
      <c r="M3110" s="33" t="str">
        <f t="shared" si="195"/>
        <v>P&amp;L</v>
      </c>
    </row>
    <row r="3111" spans="1:13" s="33" customFormat="true" ht="12.75" customHeight="true">
      <c r="A3111" s="33" t="str">
        <f t="shared" si="192"/>
        <v>AKC - CGS</v>
      </c>
      <c r="B3111" s="33" t="str">
        <f t="shared" si="193"/>
        <v>AKC</v>
      </c>
      <c r="C3111" s="33" t="str">
        <f t="shared" si="194"/>
        <v>60014-0000</v>
      </c>
      <c r="D3111" s="64" t="s">
        <v>3936</v>
      </c>
      <c r="E3111" s="64" t="s">
        <v>3855</v>
      </c>
      <c r="F3111" s="64" t="s">
        <v>230</v>
      </c>
      <c r="G3111" s="64" t="s">
        <v>3838</v>
      </c>
      <c r="H3111" s="64" t="s">
        <v>1875</v>
      </c>
      <c r="I3111" s="64" t="s">
        <v>3856</v>
      </c>
      <c r="J3111" s="67">
        <v>788.3</v>
      </c>
      <c r="K3111" s="62">
        <v>5515.35</v>
      </c>
      <c r="L3111" s="33" t="e">
        <f>HLOOKUP(B3111,#REF!,1,0)</f>
        <v>#REF!</v>
      </c>
      <c r="M3111" s="33" t="str">
        <f t="shared" si="195"/>
        <v>P&amp;L</v>
      </c>
    </row>
    <row r="3112" spans="1:13" s="33" customFormat="true" ht="12.75" customHeight="true">
      <c r="A3112" s="33" t="str">
        <f t="shared" si="192"/>
        <v>AKC - CGS</v>
      </c>
      <c r="B3112" s="33" t="str">
        <f t="shared" si="193"/>
        <v>AKC</v>
      </c>
      <c r="C3112" s="33" t="str">
        <f t="shared" si="194"/>
        <v>60015-0000</v>
      </c>
      <c r="D3112" s="64" t="s">
        <v>3937</v>
      </c>
      <c r="E3112" s="64" t="s">
        <v>3858</v>
      </c>
      <c r="F3112" s="64" t="s">
        <v>230</v>
      </c>
      <c r="G3112" s="64" t="s">
        <v>3838</v>
      </c>
      <c r="H3112" s="64" t="s">
        <v>1875</v>
      </c>
      <c r="I3112" s="64" t="s">
        <v>3859</v>
      </c>
      <c r="J3112" s="67">
        <v>0</v>
      </c>
      <c r="K3112" s="62">
        <v>167.5</v>
      </c>
      <c r="L3112" s="33" t="e">
        <f>HLOOKUP(B3112,#REF!,1,0)</f>
        <v>#REF!</v>
      </c>
      <c r="M3112" s="33" t="str">
        <f t="shared" si="195"/>
        <v>P&amp;L</v>
      </c>
    </row>
    <row r="3113" spans="1:13" s="33" customFormat="true" ht="12.75" customHeight="true">
      <c r="A3113" s="33" t="str">
        <f t="shared" si="192"/>
        <v>AKC - CGS</v>
      </c>
      <c r="B3113" s="33" t="str">
        <f t="shared" si="193"/>
        <v>AKC</v>
      </c>
      <c r="C3113" s="33" t="str">
        <f t="shared" si="194"/>
        <v>61016-0000</v>
      </c>
      <c r="D3113" s="64" t="s">
        <v>3938</v>
      </c>
      <c r="E3113" s="64" t="s">
        <v>3861</v>
      </c>
      <c r="F3113" s="64" t="s">
        <v>230</v>
      </c>
      <c r="G3113" s="64" t="s">
        <v>3838</v>
      </c>
      <c r="H3113" s="64" t="s">
        <v>1875</v>
      </c>
      <c r="I3113" s="64" t="s">
        <v>3862</v>
      </c>
      <c r="J3113" s="67">
        <v>0</v>
      </c>
      <c r="K3113" s="62">
        <v>0</v>
      </c>
      <c r="L3113" s="33" t="e">
        <f>HLOOKUP(B3113,#REF!,1,0)</f>
        <v>#REF!</v>
      </c>
      <c r="M3113" s="33" t="str">
        <f t="shared" si="195"/>
        <v>P&amp;L</v>
      </c>
    </row>
    <row r="3114" spans="1:13" s="33" customFormat="true" ht="12.75" customHeight="true">
      <c r="A3114" s="33" t="str">
        <f t="shared" si="192"/>
        <v>AKC - Other Expenses</v>
      </c>
      <c r="B3114" s="33" t="str">
        <f t="shared" si="193"/>
        <v>AKC</v>
      </c>
      <c r="C3114" s="33" t="str">
        <f t="shared" si="194"/>
        <v>61018-0000</v>
      </c>
      <c r="D3114" s="64" t="s">
        <v>3939</v>
      </c>
      <c r="E3114" s="64" t="s">
        <v>3864</v>
      </c>
      <c r="F3114" s="64" t="s">
        <v>230</v>
      </c>
      <c r="G3114" s="64" t="s">
        <v>3838</v>
      </c>
      <c r="H3114" s="64" t="s">
        <v>3865</v>
      </c>
      <c r="I3114" s="64" t="s">
        <v>3866</v>
      </c>
      <c r="J3114" s="67">
        <v>0</v>
      </c>
      <c r="K3114" s="62">
        <v>48320</v>
      </c>
      <c r="L3114" s="33" t="e">
        <f>HLOOKUP(B3114,#REF!,1,0)</f>
        <v>#REF!</v>
      </c>
      <c r="M3114" s="33" t="str">
        <f t="shared" si="195"/>
        <v>P&amp;L</v>
      </c>
    </row>
    <row r="3115" spans="1:13" s="33" customFormat="true" ht="12.75" customHeight="true">
      <c r="A3115" s="33" t="str">
        <f t="shared" si="192"/>
        <v>AKC - CGS</v>
      </c>
      <c r="B3115" s="33" t="str">
        <f t="shared" si="193"/>
        <v>AKC</v>
      </c>
      <c r="C3115" s="33" t="str">
        <f t="shared" si="194"/>
        <v>61023-0000</v>
      </c>
      <c r="D3115" s="64" t="s">
        <v>3940</v>
      </c>
      <c r="E3115" s="64" t="s">
        <v>3868</v>
      </c>
      <c r="F3115" s="64" t="s">
        <v>230</v>
      </c>
      <c r="G3115" s="64" t="s">
        <v>3838</v>
      </c>
      <c r="H3115" s="64" t="s">
        <v>1875</v>
      </c>
      <c r="I3115" s="64" t="s">
        <v>1876</v>
      </c>
      <c r="J3115" s="67">
        <v>0</v>
      </c>
      <c r="K3115" s="62">
        <v>55.8</v>
      </c>
      <c r="L3115" s="33" t="e">
        <f>HLOOKUP(B3115,#REF!,1,0)</f>
        <v>#REF!</v>
      </c>
      <c r="M3115" s="33" t="str">
        <f t="shared" si="195"/>
        <v>P&amp;L</v>
      </c>
    </row>
    <row r="3116" spans="1:13" s="33" customFormat="true" ht="12.75" customHeight="true">
      <c r="A3116" s="33" t="str">
        <f t="shared" si="192"/>
        <v>AKG - AR-PPD</v>
      </c>
      <c r="B3116" s="33" t="str">
        <f t="shared" si="193"/>
        <v>AKG</v>
      </c>
      <c r="C3116" s="33" t="str">
        <f t="shared" si="194"/>
        <v>11000-0000</v>
      </c>
      <c r="D3116" s="283" t="s">
        <v>3941</v>
      </c>
      <c r="E3116" s="64" t="s">
        <v>34</v>
      </c>
      <c r="F3116" s="64" t="s">
        <v>230</v>
      </c>
      <c r="G3116" s="64" t="s">
        <v>16</v>
      </c>
      <c r="H3116" s="64" t="s">
        <v>35</v>
      </c>
      <c r="I3116" s="64" t="s">
        <v>36</v>
      </c>
      <c r="J3116" s="67">
        <v>0</v>
      </c>
      <c r="K3116" s="62">
        <v>1116</v>
      </c>
      <c r="L3116" s="33" t="e">
        <f>HLOOKUP(B3116,#REF!,1,0)</f>
        <v>#REF!</v>
      </c>
      <c r="M3116" s="33" t="str">
        <f t="shared" si="195"/>
        <v>BS</v>
      </c>
    </row>
    <row r="3117" spans="1:13" s="33" customFormat="true" ht="12.75" customHeight="true">
      <c r="A3117" s="33" t="str">
        <f t="shared" si="192"/>
        <v>AKG - Fixed Assets</v>
      </c>
      <c r="B3117" s="33" t="str">
        <f t="shared" si="193"/>
        <v>AKG</v>
      </c>
      <c r="C3117" s="33" t="str">
        <f t="shared" si="194"/>
        <v>15501-0000</v>
      </c>
      <c r="D3117" s="283" t="s">
        <v>3942</v>
      </c>
      <c r="E3117" s="64" t="s">
        <v>2635</v>
      </c>
      <c r="F3117" s="64" t="s">
        <v>230</v>
      </c>
      <c r="G3117" s="64" t="s">
        <v>388</v>
      </c>
      <c r="H3117" s="64" t="s">
        <v>63</v>
      </c>
      <c r="I3117" s="64" t="s">
        <v>64</v>
      </c>
      <c r="J3117" s="67">
        <v>0</v>
      </c>
      <c r="K3117" s="62">
        <v>5250.45</v>
      </c>
      <c r="L3117" s="33" t="e">
        <f>HLOOKUP(B3117,#REF!,1,0)</f>
        <v>#REF!</v>
      </c>
      <c r="M3117" s="33" t="str">
        <f t="shared" si="195"/>
        <v>BS</v>
      </c>
    </row>
    <row r="3118" spans="1:13" s="33" customFormat="true" ht="12.75" customHeight="true">
      <c r="A3118" s="33" t="str">
        <f t="shared" si="192"/>
        <v>AKG - Prepaid Income</v>
      </c>
      <c r="B3118" s="33" t="str">
        <f t="shared" si="193"/>
        <v>AKG</v>
      </c>
      <c r="C3118" s="33" t="str">
        <f t="shared" si="194"/>
        <v>25300-0000</v>
      </c>
      <c r="D3118" s="283" t="s">
        <v>3943</v>
      </c>
      <c r="E3118" s="64" t="s">
        <v>3677</v>
      </c>
      <c r="F3118" s="64" t="s">
        <v>230</v>
      </c>
      <c r="G3118" s="64" t="s">
        <v>3678</v>
      </c>
      <c r="H3118" s="64" t="s">
        <v>3881</v>
      </c>
      <c r="I3118" s="64" t="s">
        <v>102</v>
      </c>
      <c r="J3118" s="67">
        <v>0</v>
      </c>
      <c r="K3118" s="62">
        <v>0</v>
      </c>
      <c r="L3118" s="33" t="e">
        <f>HLOOKUP(B3118,#REF!,1,0)</f>
        <v>#REF!</v>
      </c>
      <c r="M3118" s="33" t="str">
        <f t="shared" si="195"/>
        <v>BS</v>
      </c>
    </row>
    <row r="3119" spans="1:13" s="33" customFormat="true" ht="12.75" customHeight="true">
      <c r="A3119" s="33" t="str">
        <f t="shared" si="192"/>
        <v>AKG - Revenue</v>
      </c>
      <c r="B3119" s="33" t="str">
        <f t="shared" si="193"/>
        <v>AKG</v>
      </c>
      <c r="C3119" s="33" t="str">
        <f t="shared" si="194"/>
        <v>40110-0000</v>
      </c>
      <c r="D3119" s="283" t="s">
        <v>3944</v>
      </c>
      <c r="E3119" s="64" t="s">
        <v>3683</v>
      </c>
      <c r="F3119" s="64" t="s">
        <v>230</v>
      </c>
      <c r="G3119" s="64" t="s">
        <v>3684</v>
      </c>
      <c r="H3119" s="64" t="s">
        <v>2871</v>
      </c>
      <c r="I3119" s="64" t="s">
        <v>3685</v>
      </c>
      <c r="J3119" s="67">
        <v>0</v>
      </c>
      <c r="K3119" s="62">
        <v>-1081251</v>
      </c>
      <c r="L3119" s="33" t="e">
        <f>HLOOKUP(B3119,#REF!,1,0)</f>
        <v>#REF!</v>
      </c>
      <c r="M3119" s="33" t="str">
        <f t="shared" si="195"/>
        <v>P&amp;L</v>
      </c>
    </row>
    <row r="3120" spans="1:13" s="33" customFormat="true" ht="12.75" customHeight="true">
      <c r="A3120" s="33" t="str">
        <f t="shared" si="192"/>
        <v>AKG - Revenue</v>
      </c>
      <c r="B3120" s="33" t="str">
        <f t="shared" si="193"/>
        <v>AKG</v>
      </c>
      <c r="C3120" s="33" t="str">
        <f t="shared" si="194"/>
        <v>40120-0000</v>
      </c>
      <c r="D3120" s="283" t="s">
        <v>3945</v>
      </c>
      <c r="E3120" s="64" t="s">
        <v>3687</v>
      </c>
      <c r="F3120" s="64" t="s">
        <v>230</v>
      </c>
      <c r="G3120" s="64" t="s">
        <v>3684</v>
      </c>
      <c r="H3120" s="64" t="s">
        <v>2871</v>
      </c>
      <c r="I3120" s="64" t="s">
        <v>3688</v>
      </c>
      <c r="J3120" s="67">
        <v>0</v>
      </c>
      <c r="K3120" s="62">
        <v>-22915</v>
      </c>
      <c r="L3120" s="33" t="e">
        <f>HLOOKUP(B3120,#REF!,1,0)</f>
        <v>#REF!</v>
      </c>
      <c r="M3120" s="33" t="str">
        <f t="shared" si="195"/>
        <v>P&amp;L</v>
      </c>
    </row>
    <row r="3121" spans="1:13" s="33" customFormat="true" ht="12.75" customHeight="true">
      <c r="A3121" s="33" t="str">
        <f t="shared" si="192"/>
        <v>AKG - Revenue</v>
      </c>
      <c r="B3121" s="33" t="str">
        <f t="shared" si="193"/>
        <v>AKG</v>
      </c>
      <c r="C3121" s="33" t="str">
        <f t="shared" si="194"/>
        <v>40130-0000</v>
      </c>
      <c r="D3121" s="283" t="s">
        <v>3946</v>
      </c>
      <c r="E3121" s="64" t="s">
        <v>3690</v>
      </c>
      <c r="F3121" s="64" t="s">
        <v>230</v>
      </c>
      <c r="G3121" s="64" t="s">
        <v>3684</v>
      </c>
      <c r="H3121" s="64" t="s">
        <v>2871</v>
      </c>
      <c r="I3121" s="64" t="s">
        <v>3691</v>
      </c>
      <c r="J3121" s="67">
        <v>0</v>
      </c>
      <c r="K3121" s="62">
        <v>-45160</v>
      </c>
      <c r="L3121" s="33" t="e">
        <f>HLOOKUP(B3121,#REF!,1,0)</f>
        <v>#REF!</v>
      </c>
      <c r="M3121" s="33" t="str">
        <f t="shared" si="195"/>
        <v>P&amp;L</v>
      </c>
    </row>
    <row r="3122" spans="1:13" s="33" customFormat="true" ht="12.75" customHeight="true">
      <c r="A3122" s="33" t="str">
        <f t="shared" si="192"/>
        <v>AKG - Revenue</v>
      </c>
      <c r="B3122" s="33" t="str">
        <f t="shared" si="193"/>
        <v>AKG</v>
      </c>
      <c r="C3122" s="33" t="str">
        <f t="shared" si="194"/>
        <v>40140-0000</v>
      </c>
      <c r="D3122" s="283" t="s">
        <v>3947</v>
      </c>
      <c r="E3122" s="64" t="s">
        <v>3948</v>
      </c>
      <c r="F3122" s="64" t="s">
        <v>230</v>
      </c>
      <c r="G3122" s="64" t="s">
        <v>3684</v>
      </c>
      <c r="H3122" s="64" t="s">
        <v>2871</v>
      </c>
      <c r="I3122" s="64" t="s">
        <v>3949</v>
      </c>
      <c r="J3122" s="67">
        <v>0</v>
      </c>
      <c r="K3122" s="62">
        <v>0</v>
      </c>
      <c r="L3122" s="33" t="e">
        <f>HLOOKUP(B3122,#REF!,1,0)</f>
        <v>#REF!</v>
      </c>
      <c r="M3122" s="33" t="str">
        <f t="shared" si="195"/>
        <v>P&amp;L</v>
      </c>
    </row>
    <row r="3123" spans="1:13" s="33" customFormat="true" ht="12.75" customHeight="true">
      <c r="A3123" s="33" t="str">
        <f t="shared" si="192"/>
        <v>AKG - Revenue</v>
      </c>
      <c r="B3123" s="33" t="str">
        <f t="shared" si="193"/>
        <v>AKG</v>
      </c>
      <c r="C3123" s="33" t="str">
        <f t="shared" si="194"/>
        <v>41110-0000</v>
      </c>
      <c r="D3123" s="283" t="s">
        <v>3950</v>
      </c>
      <c r="E3123" s="64" t="s">
        <v>3693</v>
      </c>
      <c r="F3123" s="64" t="s">
        <v>230</v>
      </c>
      <c r="G3123" s="64" t="s">
        <v>3694</v>
      </c>
      <c r="H3123" s="64" t="s">
        <v>2871</v>
      </c>
      <c r="I3123" s="64" t="s">
        <v>3695</v>
      </c>
      <c r="J3123" s="67">
        <v>0</v>
      </c>
      <c r="K3123" s="62">
        <v>25050</v>
      </c>
      <c r="L3123" s="33" t="e">
        <f>HLOOKUP(B3123,#REF!,1,0)</f>
        <v>#REF!</v>
      </c>
      <c r="M3123" s="33" t="str">
        <f t="shared" si="195"/>
        <v>P&amp;L</v>
      </c>
    </row>
    <row r="3124" spans="1:13" s="33" customFormat="true" ht="12.75" customHeight="true">
      <c r="A3124" s="33" t="str">
        <f t="shared" si="192"/>
        <v>AKG - Revenue</v>
      </c>
      <c r="B3124" s="33" t="str">
        <f t="shared" si="193"/>
        <v>AKG</v>
      </c>
      <c r="C3124" s="33" t="str">
        <f t="shared" si="194"/>
        <v>41121-0000</v>
      </c>
      <c r="D3124" s="283" t="s">
        <v>3951</v>
      </c>
      <c r="E3124" s="64" t="s">
        <v>3697</v>
      </c>
      <c r="F3124" s="64" t="s">
        <v>230</v>
      </c>
      <c r="G3124" s="64" t="s">
        <v>3694</v>
      </c>
      <c r="H3124" s="64" t="s">
        <v>2871</v>
      </c>
      <c r="I3124" s="64" t="s">
        <v>3698</v>
      </c>
      <c r="J3124" s="67">
        <v>0</v>
      </c>
      <c r="K3124" s="62">
        <v>21772.75</v>
      </c>
      <c r="L3124" s="33" t="e">
        <f>HLOOKUP(B3124,#REF!,1,0)</f>
        <v>#REF!</v>
      </c>
      <c r="M3124" s="33" t="str">
        <f t="shared" si="195"/>
        <v>P&amp;L</v>
      </c>
    </row>
    <row r="3125" spans="1:13" s="33" customFormat="true" ht="12.75" customHeight="true">
      <c r="A3125" s="33" t="str">
        <f t="shared" si="192"/>
        <v>AKG - Revenue</v>
      </c>
      <c r="B3125" s="33" t="str">
        <f t="shared" si="193"/>
        <v>AKG</v>
      </c>
      <c r="C3125" s="33" t="str">
        <f t="shared" si="194"/>
        <v>41122-0000</v>
      </c>
      <c r="D3125" s="283" t="s">
        <v>3952</v>
      </c>
      <c r="E3125" s="64" t="s">
        <v>3700</v>
      </c>
      <c r="F3125" s="64" t="s">
        <v>230</v>
      </c>
      <c r="G3125" s="64" t="s">
        <v>3694</v>
      </c>
      <c r="H3125" s="64" t="s">
        <v>2871</v>
      </c>
      <c r="I3125" s="64" t="s">
        <v>3701</v>
      </c>
      <c r="J3125" s="67">
        <v>0</v>
      </c>
      <c r="K3125" s="62">
        <v>-2727.26</v>
      </c>
      <c r="L3125" s="33" t="e">
        <f>HLOOKUP(B3125,#REF!,1,0)</f>
        <v>#REF!</v>
      </c>
      <c r="M3125" s="33" t="str">
        <f t="shared" si="195"/>
        <v>P&amp;L</v>
      </c>
    </row>
    <row r="3126" spans="1:13" s="33" customFormat="true" ht="12.75" customHeight="true">
      <c r="A3126" s="33" t="str">
        <f t="shared" si="192"/>
        <v>AKG - Revenue</v>
      </c>
      <c r="B3126" s="33" t="str">
        <f t="shared" si="193"/>
        <v>AKG</v>
      </c>
      <c r="C3126" s="33" t="str">
        <f t="shared" si="194"/>
        <v>41130-0000</v>
      </c>
      <c r="D3126" s="283" t="s">
        <v>3953</v>
      </c>
      <c r="E3126" s="64" t="s">
        <v>3703</v>
      </c>
      <c r="F3126" s="64" t="s">
        <v>230</v>
      </c>
      <c r="G3126" s="64" t="s">
        <v>3694</v>
      </c>
      <c r="H3126" s="64" t="s">
        <v>2871</v>
      </c>
      <c r="I3126" s="64" t="s">
        <v>3704</v>
      </c>
      <c r="J3126" s="67">
        <v>0</v>
      </c>
      <c r="K3126" s="62">
        <v>0</v>
      </c>
      <c r="L3126" s="33" t="e">
        <f>HLOOKUP(B3126,#REF!,1,0)</f>
        <v>#REF!</v>
      </c>
      <c r="M3126" s="33" t="str">
        <f t="shared" si="195"/>
        <v>P&amp;L</v>
      </c>
    </row>
    <row r="3127" spans="1:13" s="33" customFormat="true" ht="12.75" customHeight="true">
      <c r="A3127" s="33" t="str">
        <f t="shared" si="192"/>
        <v>AKG - Revenue</v>
      </c>
      <c r="B3127" s="33" t="str">
        <f t="shared" si="193"/>
        <v>AKG</v>
      </c>
      <c r="C3127" s="33" t="str">
        <f t="shared" si="194"/>
        <v>41140-0000</v>
      </c>
      <c r="D3127" s="283" t="s">
        <v>3954</v>
      </c>
      <c r="E3127" s="64" t="s">
        <v>3706</v>
      </c>
      <c r="F3127" s="64" t="s">
        <v>230</v>
      </c>
      <c r="G3127" s="64" t="s">
        <v>3694</v>
      </c>
      <c r="H3127" s="64" t="s">
        <v>2871</v>
      </c>
      <c r="I3127" s="64" t="s">
        <v>3707</v>
      </c>
      <c r="J3127" s="67">
        <v>0</v>
      </c>
      <c r="K3127" s="62">
        <v>0</v>
      </c>
      <c r="L3127" s="33" t="e">
        <f>HLOOKUP(B3127,#REF!,1,0)</f>
        <v>#REF!</v>
      </c>
      <c r="M3127" s="33" t="str">
        <f t="shared" si="195"/>
        <v>P&amp;L</v>
      </c>
    </row>
    <row r="3128" spans="1:13" s="33" customFormat="true" ht="12.75" customHeight="true">
      <c r="A3128" s="33" t="str">
        <f t="shared" si="192"/>
        <v>AKG - Revenue</v>
      </c>
      <c r="B3128" s="33" t="str">
        <f t="shared" si="193"/>
        <v>AKG</v>
      </c>
      <c r="C3128" s="33" t="str">
        <f t="shared" si="194"/>
        <v>41150-0000</v>
      </c>
      <c r="D3128" s="283" t="s">
        <v>3955</v>
      </c>
      <c r="E3128" s="64" t="s">
        <v>3709</v>
      </c>
      <c r="F3128" s="64" t="s">
        <v>230</v>
      </c>
      <c r="G3128" s="64" t="s">
        <v>3694</v>
      </c>
      <c r="H3128" s="64" t="s">
        <v>2871</v>
      </c>
      <c r="I3128" s="64" t="s">
        <v>3710</v>
      </c>
      <c r="J3128" s="67">
        <v>0</v>
      </c>
      <c r="K3128" s="62">
        <v>5049</v>
      </c>
      <c r="L3128" s="33" t="e">
        <f>HLOOKUP(B3128,#REF!,1,0)</f>
        <v>#REF!</v>
      </c>
      <c r="M3128" s="33" t="str">
        <f t="shared" si="195"/>
        <v>P&amp;L</v>
      </c>
    </row>
    <row r="3129" spans="1:13" s="33" customFormat="true" ht="12.75" customHeight="true">
      <c r="A3129" s="33" t="str">
        <f t="shared" si="192"/>
        <v>AKG - Revenue</v>
      </c>
      <c r="B3129" s="33" t="str">
        <f t="shared" si="193"/>
        <v>AKG</v>
      </c>
      <c r="C3129" s="33" t="str">
        <f t="shared" si="194"/>
        <v>41160-0000</v>
      </c>
      <c r="D3129" s="283" t="s">
        <v>3956</v>
      </c>
      <c r="E3129" s="64" t="s">
        <v>3957</v>
      </c>
      <c r="F3129" s="64" t="s">
        <v>230</v>
      </c>
      <c r="G3129" s="64" t="s">
        <v>3694</v>
      </c>
      <c r="H3129" s="64" t="s">
        <v>2871</v>
      </c>
      <c r="I3129" s="64" t="s">
        <v>3701</v>
      </c>
      <c r="J3129" s="67">
        <v>0</v>
      </c>
      <c r="K3129" s="62">
        <v>-16089</v>
      </c>
      <c r="L3129" s="33" t="e">
        <f>HLOOKUP(B3129,#REF!,1,0)</f>
        <v>#REF!</v>
      </c>
      <c r="M3129" s="33" t="str">
        <f t="shared" si="195"/>
        <v>P&amp;L</v>
      </c>
    </row>
    <row r="3130" spans="1:13" s="33" customFormat="true" ht="12.75" customHeight="true">
      <c r="A3130" s="33" t="str">
        <f t="shared" si="192"/>
        <v>AKG - Revenue</v>
      </c>
      <c r="B3130" s="33" t="str">
        <f t="shared" si="193"/>
        <v>AKG</v>
      </c>
      <c r="C3130" s="33" t="str">
        <f t="shared" si="194"/>
        <v>41999-0000</v>
      </c>
      <c r="D3130" s="283" t="s">
        <v>3958</v>
      </c>
      <c r="E3130" s="64" t="s">
        <v>3712</v>
      </c>
      <c r="F3130" s="64" t="s">
        <v>230</v>
      </c>
      <c r="G3130" s="64" t="s">
        <v>3713</v>
      </c>
      <c r="H3130" s="64" t="s">
        <v>2871</v>
      </c>
      <c r="I3130" s="64" t="s">
        <v>3714</v>
      </c>
      <c r="J3130" s="67">
        <v>0</v>
      </c>
      <c r="K3130" s="62">
        <v>1116270.51</v>
      </c>
      <c r="L3130" s="33" t="e">
        <f>HLOOKUP(B3130,#REF!,1,0)</f>
        <v>#REF!</v>
      </c>
      <c r="M3130" s="33" t="str">
        <f t="shared" si="195"/>
        <v>P&amp;L</v>
      </c>
    </row>
    <row r="3131" spans="1:13" s="33" customFormat="true" ht="12.75" customHeight="true">
      <c r="A3131" s="33" t="str">
        <f t="shared" si="192"/>
        <v>AKG - Revenue</v>
      </c>
      <c r="B3131" s="33" t="str">
        <f t="shared" si="193"/>
        <v>AKG</v>
      </c>
      <c r="C3131" s="33" t="str">
        <f t="shared" si="194"/>
        <v>47400-0000</v>
      </c>
      <c r="D3131" s="283" t="s">
        <v>3959</v>
      </c>
      <c r="E3131" s="64" t="s">
        <v>3716</v>
      </c>
      <c r="F3131" s="64" t="s">
        <v>230</v>
      </c>
      <c r="G3131" s="64" t="s">
        <v>3717</v>
      </c>
      <c r="H3131" s="64" t="s">
        <v>2871</v>
      </c>
      <c r="I3131" s="64" t="s">
        <v>3718</v>
      </c>
      <c r="J3131" s="67">
        <v>99</v>
      </c>
      <c r="K3131" s="62">
        <v>-1116171.51</v>
      </c>
      <c r="L3131" s="33" t="e">
        <f>HLOOKUP(B3131,#REF!,1,0)</f>
        <v>#REF!</v>
      </c>
      <c r="M3131" s="33" t="str">
        <f t="shared" si="195"/>
        <v>P&amp;L</v>
      </c>
    </row>
    <row r="3132" spans="1:13" s="33" customFormat="true" ht="12.75" customHeight="true">
      <c r="A3132" s="33" t="str">
        <f t="shared" si="192"/>
        <v>AKG - Revenue</v>
      </c>
      <c r="B3132" s="33" t="str">
        <f t="shared" si="193"/>
        <v>AKG</v>
      </c>
      <c r="C3132" s="33" t="str">
        <f t="shared" si="194"/>
        <v>47440-0000</v>
      </c>
      <c r="D3132" s="283" t="s">
        <v>3960</v>
      </c>
      <c r="E3132" s="64" t="s">
        <v>3720</v>
      </c>
      <c r="F3132" s="64" t="s">
        <v>230</v>
      </c>
      <c r="G3132" s="64" t="s">
        <v>3717</v>
      </c>
      <c r="H3132" s="64" t="s">
        <v>2871</v>
      </c>
      <c r="I3132" s="64" t="s">
        <v>3721</v>
      </c>
      <c r="J3132" s="67">
        <v>0</v>
      </c>
      <c r="K3132" s="62">
        <v>-25880.23</v>
      </c>
      <c r="L3132" s="33" t="e">
        <f>HLOOKUP(B3132,#REF!,1,0)</f>
        <v>#REF!</v>
      </c>
      <c r="M3132" s="33" t="str">
        <f t="shared" si="195"/>
        <v>P&amp;L</v>
      </c>
    </row>
    <row r="3133" spans="1:13" s="33" customFormat="true" ht="12.75" customHeight="true">
      <c r="A3133" s="33" t="str">
        <f t="shared" si="192"/>
        <v>AKG - Revenue</v>
      </c>
      <c r="B3133" s="33" t="str">
        <f t="shared" si="193"/>
        <v>AKG</v>
      </c>
      <c r="C3133" s="33" t="str">
        <f t="shared" si="194"/>
        <v>47450-0000</v>
      </c>
      <c r="D3133" s="283" t="s">
        <v>3961</v>
      </c>
      <c r="E3133" s="64" t="s">
        <v>3723</v>
      </c>
      <c r="F3133" s="64" t="s">
        <v>230</v>
      </c>
      <c r="G3133" s="64" t="s">
        <v>3717</v>
      </c>
      <c r="H3133" s="64" t="s">
        <v>2871</v>
      </c>
      <c r="I3133" s="64" t="s">
        <v>3724</v>
      </c>
      <c r="J3133" s="67">
        <v>0</v>
      </c>
      <c r="K3133" s="62">
        <v>0</v>
      </c>
      <c r="L3133" s="33" t="e">
        <f>HLOOKUP(B3133,#REF!,1,0)</f>
        <v>#REF!</v>
      </c>
      <c r="M3133" s="33" t="str">
        <f t="shared" si="195"/>
        <v>P&amp;L</v>
      </c>
    </row>
    <row r="3134" spans="1:13" s="33" customFormat="true" ht="12.75" customHeight="true">
      <c r="A3134" s="33" t="str">
        <f t="shared" si="192"/>
        <v>AKG - Revenue</v>
      </c>
      <c r="B3134" s="33" t="str">
        <f t="shared" si="193"/>
        <v>AKG</v>
      </c>
      <c r="C3134" s="33" t="str">
        <f t="shared" si="194"/>
        <v>47460-0000</v>
      </c>
      <c r="D3134" s="283" t="s">
        <v>3962</v>
      </c>
      <c r="E3134" s="64" t="s">
        <v>3726</v>
      </c>
      <c r="F3134" s="64" t="s">
        <v>230</v>
      </c>
      <c r="G3134" s="64" t="s">
        <v>3717</v>
      </c>
      <c r="H3134" s="64" t="s">
        <v>2871</v>
      </c>
      <c r="I3134" s="64" t="s">
        <v>3727</v>
      </c>
      <c r="J3134" s="67">
        <v>0</v>
      </c>
      <c r="K3134" s="62">
        <v>-5810</v>
      </c>
      <c r="L3134" s="33" t="e">
        <f>HLOOKUP(B3134,#REF!,1,0)</f>
        <v>#REF!</v>
      </c>
      <c r="M3134" s="33" t="str">
        <f t="shared" si="195"/>
        <v>P&amp;L</v>
      </c>
    </row>
    <row r="3135" spans="1:13" s="33" customFormat="true" ht="12.75" customHeight="true">
      <c r="A3135" s="33" t="str">
        <f t="shared" si="192"/>
        <v>AKG - Revenue</v>
      </c>
      <c r="B3135" s="33" t="str">
        <f t="shared" si="193"/>
        <v>AKG</v>
      </c>
      <c r="C3135" s="33" t="str">
        <f t="shared" si="194"/>
        <v>47480-0000</v>
      </c>
      <c r="D3135" s="283" t="s">
        <v>3963</v>
      </c>
      <c r="E3135" s="64" t="s">
        <v>3729</v>
      </c>
      <c r="F3135" s="64" t="s">
        <v>230</v>
      </c>
      <c r="G3135" s="64" t="s">
        <v>3717</v>
      </c>
      <c r="H3135" s="64" t="s">
        <v>2871</v>
      </c>
      <c r="I3135" s="64" t="s">
        <v>3721</v>
      </c>
      <c r="J3135" s="67">
        <v>0</v>
      </c>
      <c r="K3135" s="62">
        <v>-1400</v>
      </c>
      <c r="L3135" s="33" t="e">
        <f>HLOOKUP(B3135,#REF!,1,0)</f>
        <v>#REF!</v>
      </c>
      <c r="M3135" s="33" t="str">
        <f t="shared" si="195"/>
        <v>P&amp;L</v>
      </c>
    </row>
    <row r="3136" spans="1:13" s="33" customFormat="true" ht="12.75" customHeight="true">
      <c r="A3136" s="33" t="str">
        <f t="shared" si="192"/>
        <v>AKG - Revenue</v>
      </c>
      <c r="B3136" s="33" t="str">
        <f t="shared" si="193"/>
        <v>AKG</v>
      </c>
      <c r="C3136" s="33" t="str">
        <f t="shared" si="194"/>
        <v>47490-0000</v>
      </c>
      <c r="D3136" s="283" t="s">
        <v>3964</v>
      </c>
      <c r="E3136" s="64" t="s">
        <v>3731</v>
      </c>
      <c r="F3136" s="64" t="s">
        <v>230</v>
      </c>
      <c r="G3136" s="64" t="s">
        <v>3717</v>
      </c>
      <c r="H3136" s="64" t="s">
        <v>2871</v>
      </c>
      <c r="I3136" s="64" t="s">
        <v>3721</v>
      </c>
      <c r="J3136" s="67">
        <v>0</v>
      </c>
      <c r="K3136" s="62">
        <v>-2170.68</v>
      </c>
      <c r="L3136" s="33" t="e">
        <f>HLOOKUP(B3136,#REF!,1,0)</f>
        <v>#REF!</v>
      </c>
      <c r="M3136" s="33" t="str">
        <f t="shared" si="195"/>
        <v>P&amp;L</v>
      </c>
    </row>
    <row r="3137" spans="1:13" s="33" customFormat="true" ht="12.75" customHeight="true">
      <c r="A3137" s="33" t="str">
        <f t="shared" si="192"/>
        <v>AKG - Revenue</v>
      </c>
      <c r="B3137" s="33" t="str">
        <f t="shared" si="193"/>
        <v>AKG</v>
      </c>
      <c r="C3137" s="33" t="str">
        <f t="shared" si="194"/>
        <v>47491-0000</v>
      </c>
      <c r="D3137" s="283" t="s">
        <v>3965</v>
      </c>
      <c r="E3137" s="64" t="s">
        <v>3733</v>
      </c>
      <c r="F3137" s="64" t="s">
        <v>230</v>
      </c>
      <c r="G3137" s="64" t="s">
        <v>3717</v>
      </c>
      <c r="H3137" s="64" t="s">
        <v>2871</v>
      </c>
      <c r="I3137" s="64" t="s">
        <v>3734</v>
      </c>
      <c r="J3137" s="67">
        <v>0</v>
      </c>
      <c r="K3137" s="62">
        <v>-43514.71</v>
      </c>
      <c r="L3137" s="33" t="e">
        <f>HLOOKUP(B3137,#REF!,1,0)</f>
        <v>#REF!</v>
      </c>
      <c r="M3137" s="33" t="str">
        <f t="shared" si="195"/>
        <v>P&amp;L</v>
      </c>
    </row>
    <row r="3138" spans="1:13" s="33" customFormat="true" ht="12.75" customHeight="true">
      <c r="A3138" s="33" t="str">
        <f t="shared" ref="A3138:A3201" si="196">B3138&amp;" - "&amp;TRIM(H3138)</f>
        <v>AKG - Revenue</v>
      </c>
      <c r="B3138" s="33" t="str">
        <f t="shared" ref="B3138:B3201" si="197">LEFT(D3138,3)</f>
        <v>AKG</v>
      </c>
      <c r="C3138" s="33" t="str">
        <f t="shared" ref="C3138:C3201" si="198">RIGHT(D3138,10)</f>
        <v>47492-0000</v>
      </c>
      <c r="D3138" s="283" t="s">
        <v>3966</v>
      </c>
      <c r="E3138" s="64" t="s">
        <v>3736</v>
      </c>
      <c r="F3138" s="64" t="s">
        <v>230</v>
      </c>
      <c r="G3138" s="64" t="s">
        <v>3717</v>
      </c>
      <c r="H3138" s="64" t="s">
        <v>2871</v>
      </c>
      <c r="I3138" s="64" t="s">
        <v>3737</v>
      </c>
      <c r="J3138" s="67">
        <v>0</v>
      </c>
      <c r="K3138" s="62">
        <v>-10789.62</v>
      </c>
      <c r="L3138" s="33" t="e">
        <f>HLOOKUP(B3138,#REF!,1,0)</f>
        <v>#REF!</v>
      </c>
      <c r="M3138" s="33" t="str">
        <f t="shared" ref="M3138:M3201" si="199">IF(VALUE(LEFT(C3138,5))&gt;40000,"P&amp;L","BS")</f>
        <v>P&amp;L</v>
      </c>
    </row>
    <row r="3139" spans="1:13" s="33" customFormat="true" ht="12.75" customHeight="true">
      <c r="A3139" s="33" t="str">
        <f t="shared" si="196"/>
        <v>AKG - CGS</v>
      </c>
      <c r="B3139" s="33" t="str">
        <f t="shared" si="197"/>
        <v>AKG</v>
      </c>
      <c r="C3139" s="33" t="str">
        <f t="shared" si="198"/>
        <v>51005-0000</v>
      </c>
      <c r="D3139" s="283" t="s">
        <v>3967</v>
      </c>
      <c r="E3139" s="64" t="s">
        <v>3968</v>
      </c>
      <c r="F3139" s="64" t="s">
        <v>230</v>
      </c>
      <c r="G3139" s="64" t="s">
        <v>3740</v>
      </c>
      <c r="H3139" s="64" t="s">
        <v>1875</v>
      </c>
      <c r="I3139" s="64" t="s">
        <v>3969</v>
      </c>
      <c r="J3139" s="67">
        <v>0</v>
      </c>
      <c r="K3139" s="62">
        <v>-40</v>
      </c>
      <c r="L3139" s="33" t="e">
        <f>HLOOKUP(B3139,#REF!,1,0)</f>
        <v>#REF!</v>
      </c>
      <c r="M3139" s="33" t="str">
        <f t="shared" si="199"/>
        <v>P&amp;L</v>
      </c>
    </row>
    <row r="3140" spans="1:13" s="33" customFormat="true" ht="12.75" customHeight="true">
      <c r="A3140" s="33" t="str">
        <f t="shared" si="196"/>
        <v>AKG - CGS</v>
      </c>
      <c r="B3140" s="33" t="str">
        <f t="shared" si="197"/>
        <v>AKG</v>
      </c>
      <c r="C3140" s="33" t="str">
        <f t="shared" si="198"/>
        <v>51006-0000</v>
      </c>
      <c r="D3140" s="283" t="s">
        <v>3970</v>
      </c>
      <c r="E3140" s="64" t="s">
        <v>3739</v>
      </c>
      <c r="F3140" s="64" t="s">
        <v>230</v>
      </c>
      <c r="G3140" s="64" t="s">
        <v>3740</v>
      </c>
      <c r="H3140" s="64" t="s">
        <v>1875</v>
      </c>
      <c r="I3140" s="64" t="s">
        <v>3741</v>
      </c>
      <c r="J3140" s="67">
        <v>0</v>
      </c>
      <c r="K3140" s="62">
        <v>4439.29</v>
      </c>
      <c r="L3140" s="33" t="e">
        <f>HLOOKUP(B3140,#REF!,1,0)</f>
        <v>#REF!</v>
      </c>
      <c r="M3140" s="33" t="str">
        <f t="shared" si="199"/>
        <v>P&amp;L</v>
      </c>
    </row>
    <row r="3141" spans="1:13" s="33" customFormat="true" ht="12.75" customHeight="true">
      <c r="A3141" s="33" t="str">
        <f t="shared" si="196"/>
        <v>AKG - CGS</v>
      </c>
      <c r="B3141" s="33" t="str">
        <f t="shared" si="197"/>
        <v>AKG</v>
      </c>
      <c r="C3141" s="33" t="str">
        <f t="shared" si="198"/>
        <v>51007-0000</v>
      </c>
      <c r="D3141" s="283" t="s">
        <v>3971</v>
      </c>
      <c r="E3141" s="64" t="s">
        <v>3972</v>
      </c>
      <c r="F3141" s="64" t="s">
        <v>230</v>
      </c>
      <c r="G3141" s="64" t="s">
        <v>3740</v>
      </c>
      <c r="H3141" s="64" t="s">
        <v>1875</v>
      </c>
      <c r="I3141" s="64" t="s">
        <v>3973</v>
      </c>
      <c r="J3141" s="67">
        <v>0</v>
      </c>
      <c r="K3141" s="62">
        <v>708.01</v>
      </c>
      <c r="L3141" s="33" t="e">
        <f>HLOOKUP(B3141,#REF!,1,0)</f>
        <v>#REF!</v>
      </c>
      <c r="M3141" s="33" t="str">
        <f t="shared" si="199"/>
        <v>P&amp;L</v>
      </c>
    </row>
    <row r="3142" spans="1:13" s="33" customFormat="true" ht="12.75" customHeight="true">
      <c r="A3142" s="33" t="str">
        <f t="shared" si="196"/>
        <v>AKG - CGS</v>
      </c>
      <c r="B3142" s="33" t="str">
        <f t="shared" si="197"/>
        <v>AKG</v>
      </c>
      <c r="C3142" s="33" t="str">
        <f t="shared" si="198"/>
        <v>51008-0000</v>
      </c>
      <c r="D3142" s="283" t="s">
        <v>3974</v>
      </c>
      <c r="E3142" s="64" t="s">
        <v>3743</v>
      </c>
      <c r="F3142" s="64" t="s">
        <v>230</v>
      </c>
      <c r="G3142" s="64" t="s">
        <v>3740</v>
      </c>
      <c r="H3142" s="64" t="s">
        <v>1875</v>
      </c>
      <c r="I3142" s="64" t="s">
        <v>3744</v>
      </c>
      <c r="J3142" s="67">
        <v>-12</v>
      </c>
      <c r="K3142" s="62">
        <v>4042.63</v>
      </c>
      <c r="L3142" s="33" t="e">
        <f>HLOOKUP(B3142,#REF!,1,0)</f>
        <v>#REF!</v>
      </c>
      <c r="M3142" s="33" t="str">
        <f t="shared" si="199"/>
        <v>P&amp;L</v>
      </c>
    </row>
    <row r="3143" spans="1:13" s="33" customFormat="true" ht="12.75" customHeight="true">
      <c r="A3143" s="33" t="str">
        <f t="shared" si="196"/>
        <v>AKG - CGS</v>
      </c>
      <c r="B3143" s="33" t="str">
        <f t="shared" si="197"/>
        <v>AKG</v>
      </c>
      <c r="C3143" s="33" t="str">
        <f t="shared" si="198"/>
        <v>51009-0000</v>
      </c>
      <c r="D3143" s="283" t="s">
        <v>3975</v>
      </c>
      <c r="E3143" s="64" t="s">
        <v>3746</v>
      </c>
      <c r="F3143" s="64" t="s">
        <v>230</v>
      </c>
      <c r="G3143" s="64" t="s">
        <v>3740</v>
      </c>
      <c r="H3143" s="64" t="s">
        <v>1875</v>
      </c>
      <c r="I3143" s="64" t="s">
        <v>3747</v>
      </c>
      <c r="J3143" s="67">
        <v>0</v>
      </c>
      <c r="K3143" s="62">
        <v>2274.17</v>
      </c>
      <c r="L3143" s="33" t="e">
        <f>HLOOKUP(B3143,#REF!,1,0)</f>
        <v>#REF!</v>
      </c>
      <c r="M3143" s="33" t="str">
        <f t="shared" si="199"/>
        <v>P&amp;L</v>
      </c>
    </row>
    <row r="3144" spans="1:13" s="33" customFormat="true" ht="12.75" customHeight="true">
      <c r="A3144" s="33" t="str">
        <f t="shared" si="196"/>
        <v>AKG - CGS</v>
      </c>
      <c r="B3144" s="33" t="str">
        <f t="shared" si="197"/>
        <v>AKG</v>
      </c>
      <c r="C3144" s="33" t="str">
        <f t="shared" si="198"/>
        <v>51011-0000</v>
      </c>
      <c r="D3144" s="283" t="s">
        <v>3976</v>
      </c>
      <c r="E3144" s="64" t="s">
        <v>3749</v>
      </c>
      <c r="F3144" s="64" t="s">
        <v>230</v>
      </c>
      <c r="G3144" s="64" t="s">
        <v>3740</v>
      </c>
      <c r="H3144" s="64" t="s">
        <v>1875</v>
      </c>
      <c r="I3144" s="64" t="s">
        <v>3750</v>
      </c>
      <c r="J3144" s="67">
        <v>0</v>
      </c>
      <c r="K3144" s="62">
        <v>14144.64</v>
      </c>
      <c r="L3144" s="33" t="e">
        <f>HLOOKUP(B3144,#REF!,1,0)</f>
        <v>#REF!</v>
      </c>
      <c r="M3144" s="33" t="str">
        <f t="shared" si="199"/>
        <v>P&amp;L</v>
      </c>
    </row>
    <row r="3145" spans="1:13" s="33" customFormat="true" ht="12.75" customHeight="true">
      <c r="A3145" s="33" t="str">
        <f t="shared" si="196"/>
        <v>AKG - CGS</v>
      </c>
      <c r="B3145" s="33" t="str">
        <f t="shared" si="197"/>
        <v>AKG</v>
      </c>
      <c r="C3145" s="33" t="str">
        <f t="shared" si="198"/>
        <v>51012-0000</v>
      </c>
      <c r="D3145" s="283" t="s">
        <v>3977</v>
      </c>
      <c r="E3145" s="64" t="s">
        <v>3752</v>
      </c>
      <c r="F3145" s="64" t="s">
        <v>230</v>
      </c>
      <c r="G3145" s="64" t="s">
        <v>3740</v>
      </c>
      <c r="H3145" s="64" t="s">
        <v>1875</v>
      </c>
      <c r="I3145" s="64" t="s">
        <v>3753</v>
      </c>
      <c r="J3145" s="67">
        <v>0</v>
      </c>
      <c r="K3145" s="62">
        <v>2210.78</v>
      </c>
      <c r="L3145" s="33" t="e">
        <f>HLOOKUP(B3145,#REF!,1,0)</f>
        <v>#REF!</v>
      </c>
      <c r="M3145" s="33" t="str">
        <f t="shared" si="199"/>
        <v>P&amp;L</v>
      </c>
    </row>
    <row r="3146" spans="1:13" s="33" customFormat="true" ht="14.25" customHeight="true">
      <c r="A3146" s="33" t="str">
        <f t="shared" si="196"/>
        <v>AKG - CGS</v>
      </c>
      <c r="B3146" s="33" t="str">
        <f t="shared" si="197"/>
        <v>AKG</v>
      </c>
      <c r="C3146" s="33" t="str">
        <f t="shared" si="198"/>
        <v>51013-0000</v>
      </c>
      <c r="D3146" s="283" t="s">
        <v>3978</v>
      </c>
      <c r="E3146" s="64" t="s">
        <v>3979</v>
      </c>
      <c r="F3146" s="64" t="s">
        <v>230</v>
      </c>
      <c r="G3146" s="64" t="s">
        <v>3740</v>
      </c>
      <c r="H3146" s="33" t="s">
        <v>1875</v>
      </c>
      <c r="I3146" s="64" t="s">
        <v>3980</v>
      </c>
      <c r="J3146" s="67">
        <v>0</v>
      </c>
      <c r="K3146" s="62">
        <v>2750</v>
      </c>
      <c r="L3146" s="33" t="e">
        <f>HLOOKUP(B3146,#REF!,1,0)</f>
        <v>#REF!</v>
      </c>
      <c r="M3146" s="33" t="str">
        <f t="shared" si="199"/>
        <v>P&amp;L</v>
      </c>
    </row>
    <row r="3147" spans="1:13" s="33" customFormat="true" ht="12.75" customHeight="true">
      <c r="A3147" s="33" t="str">
        <f t="shared" si="196"/>
        <v>AKG - CGS</v>
      </c>
      <c r="B3147" s="33" t="str">
        <f t="shared" si="197"/>
        <v>AKG</v>
      </c>
      <c r="C3147" s="33" t="str">
        <f t="shared" si="198"/>
        <v>51015-0000</v>
      </c>
      <c r="D3147" s="283" t="s">
        <v>3981</v>
      </c>
      <c r="E3147" s="64" t="s">
        <v>3755</v>
      </c>
      <c r="F3147" s="64" t="s">
        <v>230</v>
      </c>
      <c r="G3147" s="64" t="s">
        <v>3740</v>
      </c>
      <c r="H3147" s="64" t="s">
        <v>1875</v>
      </c>
      <c r="I3147" s="64" t="s">
        <v>3756</v>
      </c>
      <c r="J3147" s="67">
        <v>0</v>
      </c>
      <c r="K3147" s="62">
        <v>46.59</v>
      </c>
      <c r="L3147" s="33" t="e">
        <f>HLOOKUP(B3147,#REF!,1,0)</f>
        <v>#REF!</v>
      </c>
      <c r="M3147" s="33" t="str">
        <f t="shared" si="199"/>
        <v>P&amp;L</v>
      </c>
    </row>
    <row r="3148" spans="1:13" s="33" customFormat="true" ht="12.75" customHeight="true">
      <c r="A3148" s="33" t="str">
        <f t="shared" si="196"/>
        <v>AKG - CGS</v>
      </c>
      <c r="B3148" s="33" t="str">
        <f t="shared" si="197"/>
        <v>AKG</v>
      </c>
      <c r="C3148" s="33" t="str">
        <f t="shared" si="198"/>
        <v>51017-0000</v>
      </c>
      <c r="D3148" s="283" t="s">
        <v>3982</v>
      </c>
      <c r="E3148" s="64" t="s">
        <v>3758</v>
      </c>
      <c r="F3148" s="64" t="s">
        <v>230</v>
      </c>
      <c r="G3148" s="64" t="s">
        <v>3160</v>
      </c>
      <c r="H3148" s="64" t="s">
        <v>1875</v>
      </c>
      <c r="I3148" s="64" t="s">
        <v>3759</v>
      </c>
      <c r="J3148" s="67">
        <v>0</v>
      </c>
      <c r="K3148" s="62">
        <v>1212.51</v>
      </c>
      <c r="L3148" s="33" t="e">
        <f>HLOOKUP(B3148,#REF!,1,0)</f>
        <v>#REF!</v>
      </c>
      <c r="M3148" s="33" t="str">
        <f t="shared" si="199"/>
        <v>P&amp;L</v>
      </c>
    </row>
    <row r="3149" spans="1:13" s="33" customFormat="true" ht="12.75" customHeight="true">
      <c r="A3149" s="33" t="str">
        <f t="shared" si="196"/>
        <v>AKG - CGS</v>
      </c>
      <c r="B3149" s="33" t="str">
        <f t="shared" si="197"/>
        <v>AKG</v>
      </c>
      <c r="C3149" s="33" t="str">
        <f t="shared" si="198"/>
        <v>51018-0000</v>
      </c>
      <c r="D3149" s="283" t="s">
        <v>3983</v>
      </c>
      <c r="E3149" s="64" t="s">
        <v>3984</v>
      </c>
      <c r="F3149" s="64" t="s">
        <v>230</v>
      </c>
      <c r="G3149" s="64" t="s">
        <v>3740</v>
      </c>
      <c r="H3149" s="64" t="s">
        <v>1875</v>
      </c>
      <c r="I3149" s="64" t="s">
        <v>3319</v>
      </c>
      <c r="J3149" s="67">
        <v>0</v>
      </c>
      <c r="K3149" s="62">
        <v>966.15</v>
      </c>
      <c r="L3149" s="33" t="e">
        <f>HLOOKUP(B3149,#REF!,1,0)</f>
        <v>#REF!</v>
      </c>
      <c r="M3149" s="33" t="str">
        <f t="shared" si="199"/>
        <v>P&amp;L</v>
      </c>
    </row>
    <row r="3150" spans="1:13" s="33" customFormat="true" ht="12.75" customHeight="true">
      <c r="A3150" s="33" t="str">
        <f t="shared" si="196"/>
        <v>AKG - CGS</v>
      </c>
      <c r="B3150" s="33" t="str">
        <f t="shared" si="197"/>
        <v>AKG</v>
      </c>
      <c r="C3150" s="33" t="str">
        <f t="shared" si="198"/>
        <v>51019-0000</v>
      </c>
      <c r="D3150" s="283" t="s">
        <v>3985</v>
      </c>
      <c r="E3150" s="64" t="s">
        <v>3761</v>
      </c>
      <c r="F3150" s="64" t="s">
        <v>230</v>
      </c>
      <c r="G3150" s="64" t="s">
        <v>3740</v>
      </c>
      <c r="H3150" s="64" t="s">
        <v>1875</v>
      </c>
      <c r="I3150" s="64" t="s">
        <v>3340</v>
      </c>
      <c r="J3150" s="67">
        <v>0</v>
      </c>
      <c r="K3150" s="62">
        <v>66.51</v>
      </c>
      <c r="L3150" s="33" t="e">
        <f>HLOOKUP(B3150,#REF!,1,0)</f>
        <v>#REF!</v>
      </c>
      <c r="M3150" s="33" t="str">
        <f t="shared" si="199"/>
        <v>P&amp;L</v>
      </c>
    </row>
    <row r="3151" spans="1:13" s="33" customFormat="true" ht="12.75" customHeight="true">
      <c r="A3151" s="33" t="str">
        <f t="shared" si="196"/>
        <v>AKG - CGS</v>
      </c>
      <c r="B3151" s="33" t="str">
        <f t="shared" si="197"/>
        <v>AKG</v>
      </c>
      <c r="C3151" s="33" t="str">
        <f t="shared" si="198"/>
        <v>51020-0000</v>
      </c>
      <c r="D3151" s="283" t="s">
        <v>3986</v>
      </c>
      <c r="E3151" s="64" t="s">
        <v>3763</v>
      </c>
      <c r="F3151" s="64" t="s">
        <v>230</v>
      </c>
      <c r="G3151" s="64" t="s">
        <v>3740</v>
      </c>
      <c r="H3151" s="64" t="s">
        <v>1875</v>
      </c>
      <c r="I3151" s="64" t="s">
        <v>3345</v>
      </c>
      <c r="J3151" s="67">
        <v>0</v>
      </c>
      <c r="K3151" s="62">
        <v>1029.95</v>
      </c>
      <c r="L3151" s="33" t="e">
        <f>HLOOKUP(B3151,#REF!,1,0)</f>
        <v>#REF!</v>
      </c>
      <c r="M3151" s="33" t="str">
        <f t="shared" si="199"/>
        <v>P&amp;L</v>
      </c>
    </row>
    <row r="3152" spans="1:13" s="33" customFormat="true" ht="12.75" customHeight="true">
      <c r="A3152" s="33" t="str">
        <f t="shared" si="196"/>
        <v>AKG - CGS</v>
      </c>
      <c r="B3152" s="33" t="str">
        <f t="shared" si="197"/>
        <v>AKG</v>
      </c>
      <c r="C3152" s="33" t="str">
        <f t="shared" si="198"/>
        <v>51025-0000</v>
      </c>
      <c r="D3152" s="283" t="s">
        <v>3987</v>
      </c>
      <c r="E3152" s="64" t="s">
        <v>3988</v>
      </c>
      <c r="F3152" s="64" t="s">
        <v>230</v>
      </c>
      <c r="G3152" s="64" t="s">
        <v>3740</v>
      </c>
      <c r="H3152" s="64" t="s">
        <v>1875</v>
      </c>
      <c r="I3152" s="64" t="s">
        <v>3989</v>
      </c>
      <c r="J3152" s="67">
        <v>0</v>
      </c>
      <c r="K3152" s="62">
        <v>9880.11</v>
      </c>
      <c r="L3152" s="33" t="e">
        <f>HLOOKUP(B3152,#REF!,1,0)</f>
        <v>#REF!</v>
      </c>
      <c r="M3152" s="33" t="str">
        <f t="shared" si="199"/>
        <v>P&amp;L</v>
      </c>
    </row>
    <row r="3153" spans="1:13" s="33" customFormat="true" ht="12.75" customHeight="true">
      <c r="A3153" s="33" t="str">
        <f t="shared" si="196"/>
        <v>AKG - CGS</v>
      </c>
      <c r="B3153" s="33" t="str">
        <f t="shared" si="197"/>
        <v>AKG</v>
      </c>
      <c r="C3153" s="33" t="str">
        <f t="shared" si="198"/>
        <v>51028-0000</v>
      </c>
      <c r="D3153" s="283" t="s">
        <v>3990</v>
      </c>
      <c r="E3153" s="64" t="s">
        <v>3736</v>
      </c>
      <c r="F3153" s="64" t="s">
        <v>230</v>
      </c>
      <c r="G3153" s="64" t="s">
        <v>3740</v>
      </c>
      <c r="H3153" s="64" t="s">
        <v>1875</v>
      </c>
      <c r="I3153" s="64" t="s">
        <v>3991</v>
      </c>
      <c r="J3153" s="67">
        <v>999.6</v>
      </c>
      <c r="K3153" s="62">
        <v>9996</v>
      </c>
      <c r="L3153" s="33" t="e">
        <f>HLOOKUP(B3153,#REF!,1,0)</f>
        <v>#REF!</v>
      </c>
      <c r="M3153" s="33" t="str">
        <f t="shared" si="199"/>
        <v>P&amp;L</v>
      </c>
    </row>
    <row r="3154" spans="1:13" s="33" customFormat="true" ht="12.75" customHeight="true">
      <c r="A3154" s="33" t="str">
        <f t="shared" si="196"/>
        <v>AKG - CGS</v>
      </c>
      <c r="B3154" s="33" t="str">
        <f t="shared" si="197"/>
        <v>AKG</v>
      </c>
      <c r="C3154" s="33" t="str">
        <f t="shared" si="198"/>
        <v>51029-0000</v>
      </c>
      <c r="D3154" s="283" t="s">
        <v>3992</v>
      </c>
      <c r="E3154" s="64" t="s">
        <v>3993</v>
      </c>
      <c r="F3154" s="64" t="s">
        <v>230</v>
      </c>
      <c r="G3154" s="64" t="s">
        <v>3740</v>
      </c>
      <c r="H3154" s="64" t="s">
        <v>1875</v>
      </c>
      <c r="I3154" s="64" t="s">
        <v>3994</v>
      </c>
      <c r="J3154" s="67">
        <v>0</v>
      </c>
      <c r="K3154" s="62">
        <v>6988.4</v>
      </c>
      <c r="L3154" s="33" t="e">
        <f>HLOOKUP(B3154,#REF!,1,0)</f>
        <v>#REF!</v>
      </c>
      <c r="M3154" s="33" t="str">
        <f t="shared" si="199"/>
        <v>P&amp;L</v>
      </c>
    </row>
    <row r="3155" spans="1:13" s="33" customFormat="true" ht="12.75" customHeight="true">
      <c r="A3155" s="33" t="str">
        <f t="shared" si="196"/>
        <v>AKG - CGS</v>
      </c>
      <c r="B3155" s="33" t="str">
        <f t="shared" si="197"/>
        <v>AKG</v>
      </c>
      <c r="C3155" s="33" t="str">
        <f t="shared" si="198"/>
        <v>52001-0000</v>
      </c>
      <c r="D3155" s="283" t="s">
        <v>3995</v>
      </c>
      <c r="E3155" s="64" t="s">
        <v>3768</v>
      </c>
      <c r="F3155" s="64" t="s">
        <v>230</v>
      </c>
      <c r="G3155" s="64" t="s">
        <v>3769</v>
      </c>
      <c r="H3155" s="64" t="s">
        <v>1875</v>
      </c>
      <c r="I3155" s="64" t="s">
        <v>3770</v>
      </c>
      <c r="J3155" s="67">
        <v>0</v>
      </c>
      <c r="K3155" s="62">
        <v>8976.2</v>
      </c>
      <c r="L3155" s="33" t="e">
        <f>HLOOKUP(B3155,#REF!,1,0)</f>
        <v>#REF!</v>
      </c>
      <c r="M3155" s="33" t="str">
        <f t="shared" si="199"/>
        <v>P&amp;L</v>
      </c>
    </row>
    <row r="3156" spans="1:13" s="33" customFormat="true" ht="12.75" customHeight="true">
      <c r="A3156" s="33" t="str">
        <f t="shared" si="196"/>
        <v>AKG - CGS</v>
      </c>
      <c r="B3156" s="33" t="str">
        <f t="shared" si="197"/>
        <v>AKG</v>
      </c>
      <c r="C3156" s="33" t="str">
        <f t="shared" si="198"/>
        <v>52002-0000</v>
      </c>
      <c r="D3156" s="283" t="s">
        <v>3996</v>
      </c>
      <c r="E3156" s="64" t="s">
        <v>3997</v>
      </c>
      <c r="F3156" s="64" t="s">
        <v>230</v>
      </c>
      <c r="G3156" s="64" t="s">
        <v>3769</v>
      </c>
      <c r="H3156" s="64" t="s">
        <v>1875</v>
      </c>
      <c r="I3156" s="64" t="s">
        <v>3998</v>
      </c>
      <c r="J3156" s="67">
        <v>-80</v>
      </c>
      <c r="K3156" s="62">
        <v>245</v>
      </c>
      <c r="L3156" s="33" t="e">
        <f>HLOOKUP(B3156,#REF!,1,0)</f>
        <v>#REF!</v>
      </c>
      <c r="M3156" s="33" t="str">
        <f t="shared" si="199"/>
        <v>P&amp;L</v>
      </c>
    </row>
    <row r="3157" spans="1:13" s="33" customFormat="true" ht="12.75" customHeight="true">
      <c r="A3157" s="33" t="str">
        <f t="shared" si="196"/>
        <v>AKG - CGS</v>
      </c>
      <c r="B3157" s="33" t="str">
        <f t="shared" si="197"/>
        <v>AKG</v>
      </c>
      <c r="C3157" s="33" t="str">
        <f t="shared" si="198"/>
        <v>52003-0000</v>
      </c>
      <c r="D3157" s="283" t="s">
        <v>3999</v>
      </c>
      <c r="E3157" s="64" t="s">
        <v>3772</v>
      </c>
      <c r="F3157" s="64" t="s">
        <v>230</v>
      </c>
      <c r="G3157" s="64" t="s">
        <v>3769</v>
      </c>
      <c r="H3157" s="64" t="s">
        <v>1875</v>
      </c>
      <c r="I3157" s="64" t="s">
        <v>3773</v>
      </c>
      <c r="J3157" s="67">
        <v>-175</v>
      </c>
      <c r="K3157" s="62">
        <v>1170</v>
      </c>
      <c r="L3157" s="33" t="e">
        <f>HLOOKUP(B3157,#REF!,1,0)</f>
        <v>#REF!</v>
      </c>
      <c r="M3157" s="33" t="str">
        <f t="shared" si="199"/>
        <v>P&amp;L</v>
      </c>
    </row>
    <row r="3158" spans="1:13" s="33" customFormat="true" ht="12.75" customHeight="true">
      <c r="A3158" s="33" t="str">
        <f t="shared" si="196"/>
        <v>AKG - CGS</v>
      </c>
      <c r="B3158" s="33" t="str">
        <f t="shared" si="197"/>
        <v>AKG</v>
      </c>
      <c r="C3158" s="33" t="str">
        <f t="shared" si="198"/>
        <v>52004-0000</v>
      </c>
      <c r="D3158" s="283" t="s">
        <v>4000</v>
      </c>
      <c r="E3158" s="64" t="s">
        <v>3775</v>
      </c>
      <c r="F3158" s="64" t="s">
        <v>230</v>
      </c>
      <c r="G3158" s="64" t="s">
        <v>3769</v>
      </c>
      <c r="H3158" s="64" t="s">
        <v>1875</v>
      </c>
      <c r="I3158" s="64" t="s">
        <v>3776</v>
      </c>
      <c r="J3158" s="67">
        <v>-302.22</v>
      </c>
      <c r="K3158" s="62">
        <v>1795.89</v>
      </c>
      <c r="L3158" s="33" t="e">
        <f>HLOOKUP(B3158,#REF!,1,0)</f>
        <v>#REF!</v>
      </c>
      <c r="M3158" s="33" t="str">
        <f t="shared" si="199"/>
        <v>P&amp;L</v>
      </c>
    </row>
    <row r="3159" spans="1:13" s="33" customFormat="true" ht="12.75" customHeight="true">
      <c r="A3159" s="33" t="str">
        <f t="shared" si="196"/>
        <v>AKG - CGS</v>
      </c>
      <c r="B3159" s="33" t="str">
        <f t="shared" si="197"/>
        <v>AKG</v>
      </c>
      <c r="C3159" s="33" t="str">
        <f t="shared" si="198"/>
        <v>52006-0000</v>
      </c>
      <c r="D3159" s="283" t="s">
        <v>4001</v>
      </c>
      <c r="E3159" s="64" t="s">
        <v>3778</v>
      </c>
      <c r="F3159" s="64" t="s">
        <v>230</v>
      </c>
      <c r="G3159" s="64" t="s">
        <v>3769</v>
      </c>
      <c r="H3159" s="64" t="s">
        <v>1875</v>
      </c>
      <c r="I3159" s="64" t="s">
        <v>3779</v>
      </c>
      <c r="J3159" s="67">
        <v>0</v>
      </c>
      <c r="K3159" s="62">
        <v>330.83</v>
      </c>
      <c r="L3159" s="33" t="e">
        <f>HLOOKUP(B3159,#REF!,1,0)</f>
        <v>#REF!</v>
      </c>
      <c r="M3159" s="33" t="str">
        <f t="shared" si="199"/>
        <v>P&amp;L</v>
      </c>
    </row>
    <row r="3160" spans="1:13" s="33" customFormat="true" ht="12.75" customHeight="true">
      <c r="A3160" s="33" t="str">
        <f t="shared" si="196"/>
        <v>AKG - CGS</v>
      </c>
      <c r="B3160" s="33" t="str">
        <f t="shared" si="197"/>
        <v>AKG</v>
      </c>
      <c r="C3160" s="33" t="str">
        <f t="shared" si="198"/>
        <v>53001-0000</v>
      </c>
      <c r="D3160" s="283" t="s">
        <v>4002</v>
      </c>
      <c r="E3160" s="64" t="s">
        <v>3781</v>
      </c>
      <c r="F3160" s="64" t="s">
        <v>230</v>
      </c>
      <c r="G3160" s="64" t="s">
        <v>3160</v>
      </c>
      <c r="H3160" s="64" t="s">
        <v>1875</v>
      </c>
      <c r="I3160" s="64" t="s">
        <v>3782</v>
      </c>
      <c r="J3160" s="67">
        <v>0</v>
      </c>
      <c r="K3160" s="62">
        <v>2851.24</v>
      </c>
      <c r="L3160" s="33" t="e">
        <f>HLOOKUP(B3160,#REF!,1,0)</f>
        <v>#REF!</v>
      </c>
      <c r="M3160" s="33" t="str">
        <f t="shared" si="199"/>
        <v>P&amp;L</v>
      </c>
    </row>
    <row r="3161" spans="1:13" s="33" customFormat="true" ht="12.75" customHeight="true">
      <c r="A3161" s="33" t="str">
        <f t="shared" si="196"/>
        <v>AKG - CGS</v>
      </c>
      <c r="B3161" s="33" t="str">
        <f t="shared" si="197"/>
        <v>AKG</v>
      </c>
      <c r="C3161" s="33" t="str">
        <f t="shared" si="198"/>
        <v>53002-0000</v>
      </c>
      <c r="D3161" s="283" t="s">
        <v>4003</v>
      </c>
      <c r="E3161" s="64" t="s">
        <v>3784</v>
      </c>
      <c r="F3161" s="64" t="s">
        <v>230</v>
      </c>
      <c r="G3161" s="64" t="s">
        <v>3160</v>
      </c>
      <c r="H3161" s="64" t="s">
        <v>1875</v>
      </c>
      <c r="I3161" s="64" t="s">
        <v>3785</v>
      </c>
      <c r="J3161" s="67">
        <v>0</v>
      </c>
      <c r="K3161" s="62">
        <v>28291.04</v>
      </c>
      <c r="L3161" s="33" t="e">
        <f>HLOOKUP(B3161,#REF!,1,0)</f>
        <v>#REF!</v>
      </c>
      <c r="M3161" s="33" t="str">
        <f t="shared" si="199"/>
        <v>P&amp;L</v>
      </c>
    </row>
    <row r="3162" spans="1:13" s="33" customFormat="true" ht="12.75" customHeight="true">
      <c r="A3162" s="33" t="str">
        <f t="shared" si="196"/>
        <v>AKG - CGS</v>
      </c>
      <c r="B3162" s="33" t="str">
        <f t="shared" si="197"/>
        <v>AKG</v>
      </c>
      <c r="C3162" s="33" t="str">
        <f t="shared" si="198"/>
        <v>53003-0000</v>
      </c>
      <c r="D3162" s="283" t="s">
        <v>4004</v>
      </c>
      <c r="E3162" s="64" t="s">
        <v>3787</v>
      </c>
      <c r="F3162" s="64" t="s">
        <v>230</v>
      </c>
      <c r="G3162" s="64" t="s">
        <v>3160</v>
      </c>
      <c r="H3162" s="64" t="s">
        <v>1875</v>
      </c>
      <c r="I3162" s="64" t="s">
        <v>3788</v>
      </c>
      <c r="J3162" s="67">
        <v>0</v>
      </c>
      <c r="K3162" s="62">
        <v>12358.18</v>
      </c>
      <c r="L3162" s="33" t="e">
        <f>HLOOKUP(B3162,#REF!,1,0)</f>
        <v>#REF!</v>
      </c>
      <c r="M3162" s="33" t="str">
        <f t="shared" si="199"/>
        <v>P&amp;L</v>
      </c>
    </row>
    <row r="3163" spans="1:13" s="33" customFormat="true" ht="12.75" customHeight="true">
      <c r="A3163" s="33" t="str">
        <f t="shared" si="196"/>
        <v>AKG - CGS</v>
      </c>
      <c r="B3163" s="33" t="str">
        <f t="shared" si="197"/>
        <v>AKG</v>
      </c>
      <c r="C3163" s="33" t="str">
        <f t="shared" si="198"/>
        <v>53004-0000</v>
      </c>
      <c r="D3163" s="283" t="s">
        <v>4005</v>
      </c>
      <c r="E3163" s="64" t="s">
        <v>3790</v>
      </c>
      <c r="F3163" s="64" t="s">
        <v>230</v>
      </c>
      <c r="G3163" s="64" t="s">
        <v>3160</v>
      </c>
      <c r="H3163" s="64" t="s">
        <v>1875</v>
      </c>
      <c r="I3163" s="64" t="s">
        <v>3791</v>
      </c>
      <c r="J3163" s="67">
        <v>0</v>
      </c>
      <c r="K3163" s="62">
        <v>847.59</v>
      </c>
      <c r="L3163" s="33" t="e">
        <f>HLOOKUP(B3163,#REF!,1,0)</f>
        <v>#REF!</v>
      </c>
      <c r="M3163" s="33" t="str">
        <f t="shared" si="199"/>
        <v>P&amp;L</v>
      </c>
    </row>
    <row r="3164" spans="1:13" s="33" customFormat="true" ht="12.75" customHeight="true">
      <c r="A3164" s="33" t="str">
        <f t="shared" si="196"/>
        <v>AKG - CGS</v>
      </c>
      <c r="B3164" s="33" t="str">
        <f t="shared" si="197"/>
        <v>AKG</v>
      </c>
      <c r="C3164" s="33" t="str">
        <f t="shared" si="198"/>
        <v>53006-0000</v>
      </c>
      <c r="D3164" s="283" t="s">
        <v>4006</v>
      </c>
      <c r="E3164" s="64" t="s">
        <v>3796</v>
      </c>
      <c r="F3164" s="64" t="s">
        <v>230</v>
      </c>
      <c r="G3164" s="64" t="s">
        <v>3160</v>
      </c>
      <c r="H3164" s="64" t="s">
        <v>1875</v>
      </c>
      <c r="I3164" s="64" t="s">
        <v>3797</v>
      </c>
      <c r="J3164" s="67">
        <v>0</v>
      </c>
      <c r="K3164" s="62">
        <v>31375.34</v>
      </c>
      <c r="L3164" s="33" t="e">
        <f>HLOOKUP(B3164,#REF!,1,0)</f>
        <v>#REF!</v>
      </c>
      <c r="M3164" s="33" t="str">
        <f t="shared" si="199"/>
        <v>P&amp;L</v>
      </c>
    </row>
    <row r="3165" spans="1:13" s="33" customFormat="true" ht="12.75" customHeight="true">
      <c r="A3165" s="33" t="str">
        <f t="shared" si="196"/>
        <v>AKG - CGS</v>
      </c>
      <c r="B3165" s="33" t="str">
        <f t="shared" si="197"/>
        <v>AKG</v>
      </c>
      <c r="C3165" s="33" t="str">
        <f t="shared" si="198"/>
        <v>54001-0000</v>
      </c>
      <c r="D3165" s="283" t="s">
        <v>4007</v>
      </c>
      <c r="E3165" s="64" t="s">
        <v>4008</v>
      </c>
      <c r="F3165" s="64" t="s">
        <v>230</v>
      </c>
      <c r="G3165" s="64" t="s">
        <v>3800</v>
      </c>
      <c r="H3165" s="64" t="s">
        <v>1875</v>
      </c>
      <c r="I3165" s="64" t="s">
        <v>4009</v>
      </c>
      <c r="J3165" s="67">
        <v>0</v>
      </c>
      <c r="K3165" s="62">
        <v>0</v>
      </c>
      <c r="L3165" s="33" t="e">
        <f>HLOOKUP(B3165,#REF!,1,0)</f>
        <v>#REF!</v>
      </c>
      <c r="M3165" s="33" t="str">
        <f t="shared" si="199"/>
        <v>P&amp;L</v>
      </c>
    </row>
    <row r="3166" spans="1:13" s="33" customFormat="true" ht="12.75" customHeight="true">
      <c r="A3166" s="33" t="str">
        <f t="shared" si="196"/>
        <v>AKG - CGS</v>
      </c>
      <c r="B3166" s="33" t="str">
        <f t="shared" si="197"/>
        <v>AKG</v>
      </c>
      <c r="C3166" s="33" t="str">
        <f t="shared" si="198"/>
        <v>54002-0000</v>
      </c>
      <c r="D3166" s="283" t="s">
        <v>4010</v>
      </c>
      <c r="E3166" s="64" t="s">
        <v>3799</v>
      </c>
      <c r="F3166" s="64" t="s">
        <v>230</v>
      </c>
      <c r="G3166" s="64" t="s">
        <v>3800</v>
      </c>
      <c r="H3166" s="64" t="s">
        <v>1875</v>
      </c>
      <c r="I3166" s="64" t="s">
        <v>3801</v>
      </c>
      <c r="J3166" s="67">
        <v>0</v>
      </c>
      <c r="K3166" s="62">
        <v>8839.63</v>
      </c>
      <c r="L3166" s="33" t="e">
        <f>HLOOKUP(B3166,#REF!,1,0)</f>
        <v>#REF!</v>
      </c>
      <c r="M3166" s="33" t="str">
        <f t="shared" si="199"/>
        <v>P&amp;L</v>
      </c>
    </row>
    <row r="3167" spans="1:13" s="33" customFormat="true" ht="12.75" customHeight="true">
      <c r="A3167" s="33" t="str">
        <f t="shared" si="196"/>
        <v>AKG - CGS</v>
      </c>
      <c r="B3167" s="33" t="str">
        <f t="shared" si="197"/>
        <v>AKG</v>
      </c>
      <c r="C3167" s="33" t="str">
        <f t="shared" si="198"/>
        <v>54003-0000</v>
      </c>
      <c r="D3167" s="283" t="s">
        <v>4011</v>
      </c>
      <c r="E3167" s="64" t="s">
        <v>3803</v>
      </c>
      <c r="F3167" s="64" t="s">
        <v>230</v>
      </c>
      <c r="G3167" s="64" t="s">
        <v>3800</v>
      </c>
      <c r="H3167" s="64" t="s">
        <v>1875</v>
      </c>
      <c r="I3167" s="64" t="s">
        <v>3804</v>
      </c>
      <c r="J3167" s="67">
        <v>0</v>
      </c>
      <c r="K3167" s="62">
        <v>0</v>
      </c>
      <c r="L3167" s="33" t="e">
        <f>HLOOKUP(B3167,#REF!,1,0)</f>
        <v>#REF!</v>
      </c>
      <c r="M3167" s="33" t="str">
        <f t="shared" si="199"/>
        <v>P&amp;L</v>
      </c>
    </row>
    <row r="3168" spans="1:13" s="33" customFormat="true" ht="12.75" customHeight="true">
      <c r="A3168" s="33" t="str">
        <f t="shared" si="196"/>
        <v>AKG - CGS</v>
      </c>
      <c r="B3168" s="33" t="str">
        <f t="shared" si="197"/>
        <v>AKG</v>
      </c>
      <c r="C3168" s="33" t="str">
        <f t="shared" si="198"/>
        <v>54004-0000</v>
      </c>
      <c r="D3168" s="283" t="s">
        <v>4012</v>
      </c>
      <c r="E3168" s="64" t="s">
        <v>3806</v>
      </c>
      <c r="F3168" s="64" t="s">
        <v>230</v>
      </c>
      <c r="G3168" s="64" t="s">
        <v>3800</v>
      </c>
      <c r="H3168" s="64" t="s">
        <v>1875</v>
      </c>
      <c r="I3168" s="64" t="s">
        <v>3807</v>
      </c>
      <c r="J3168" s="67">
        <v>0</v>
      </c>
      <c r="K3168" s="62">
        <v>31528.4</v>
      </c>
      <c r="L3168" s="33" t="e">
        <f>HLOOKUP(B3168,#REF!,1,0)</f>
        <v>#REF!</v>
      </c>
      <c r="M3168" s="33" t="str">
        <f t="shared" si="199"/>
        <v>P&amp;L</v>
      </c>
    </row>
    <row r="3169" spans="1:13" s="33" customFormat="true" ht="12.75" customHeight="true">
      <c r="A3169" s="33" t="str">
        <f t="shared" si="196"/>
        <v>AKG - CGS</v>
      </c>
      <c r="B3169" s="33" t="str">
        <f t="shared" si="197"/>
        <v>AKG</v>
      </c>
      <c r="C3169" s="33" t="str">
        <f t="shared" si="198"/>
        <v>54005-0000</v>
      </c>
      <c r="D3169" s="283" t="s">
        <v>4013</v>
      </c>
      <c r="E3169" s="64" t="s">
        <v>3809</v>
      </c>
      <c r="F3169" s="64" t="s">
        <v>230</v>
      </c>
      <c r="G3169" s="64" t="s">
        <v>3800</v>
      </c>
      <c r="H3169" s="64" t="s">
        <v>1875</v>
      </c>
      <c r="I3169" s="64" t="s">
        <v>3810</v>
      </c>
      <c r="J3169" s="67">
        <v>0</v>
      </c>
      <c r="K3169" s="62">
        <v>644.39</v>
      </c>
      <c r="L3169" s="33" t="e">
        <f>HLOOKUP(B3169,#REF!,1,0)</f>
        <v>#REF!</v>
      </c>
      <c r="M3169" s="33" t="str">
        <f t="shared" si="199"/>
        <v>P&amp;L</v>
      </c>
    </row>
    <row r="3170" spans="1:13" s="33" customFormat="true" ht="12.75" customHeight="true">
      <c r="A3170" s="33" t="str">
        <f t="shared" si="196"/>
        <v>AKG - CGS</v>
      </c>
      <c r="B3170" s="33" t="str">
        <f t="shared" si="197"/>
        <v>AKG</v>
      </c>
      <c r="C3170" s="33" t="str">
        <f t="shared" si="198"/>
        <v>54006-0000</v>
      </c>
      <c r="D3170" s="283" t="s">
        <v>4014</v>
      </c>
      <c r="E3170" s="64" t="s">
        <v>3812</v>
      </c>
      <c r="F3170" s="64" t="s">
        <v>230</v>
      </c>
      <c r="G3170" s="64" t="s">
        <v>3800</v>
      </c>
      <c r="H3170" s="64" t="s">
        <v>1875</v>
      </c>
      <c r="I3170" s="64" t="s">
        <v>3003</v>
      </c>
      <c r="J3170" s="67">
        <v>0</v>
      </c>
      <c r="K3170" s="62">
        <v>9227.52</v>
      </c>
      <c r="L3170" s="33" t="e">
        <f>HLOOKUP(B3170,#REF!,1,0)</f>
        <v>#REF!</v>
      </c>
      <c r="M3170" s="33" t="str">
        <f t="shared" si="199"/>
        <v>P&amp;L</v>
      </c>
    </row>
    <row r="3171" spans="1:13" s="33" customFormat="true" ht="12.75" customHeight="true">
      <c r="A3171" s="33" t="str">
        <f t="shared" si="196"/>
        <v>AKG - CGS</v>
      </c>
      <c r="B3171" s="33" t="str">
        <f t="shared" si="197"/>
        <v>AKG</v>
      </c>
      <c r="C3171" s="33" t="str">
        <f t="shared" si="198"/>
        <v>54007-0000</v>
      </c>
      <c r="D3171" s="283" t="s">
        <v>4015</v>
      </c>
      <c r="E3171" s="64" t="s">
        <v>3814</v>
      </c>
      <c r="F3171" s="64" t="s">
        <v>230</v>
      </c>
      <c r="G3171" s="64" t="s">
        <v>3800</v>
      </c>
      <c r="H3171" s="64" t="s">
        <v>1875</v>
      </c>
      <c r="I3171" s="64" t="s">
        <v>3815</v>
      </c>
      <c r="J3171" s="67">
        <v>0</v>
      </c>
      <c r="K3171" s="62">
        <v>51843.25</v>
      </c>
      <c r="L3171" s="33" t="e">
        <f>HLOOKUP(B3171,#REF!,1,0)</f>
        <v>#REF!</v>
      </c>
      <c r="M3171" s="33" t="str">
        <f t="shared" si="199"/>
        <v>P&amp;L</v>
      </c>
    </row>
    <row r="3172" spans="1:13" s="33" customFormat="true" ht="12.75" customHeight="true">
      <c r="A3172" s="33" t="str">
        <f t="shared" si="196"/>
        <v>AKG - CGS</v>
      </c>
      <c r="B3172" s="33" t="str">
        <f t="shared" si="197"/>
        <v>AKG</v>
      </c>
      <c r="C3172" s="33" t="str">
        <f t="shared" si="198"/>
        <v>54008-0000</v>
      </c>
      <c r="D3172" s="283" t="s">
        <v>4016</v>
      </c>
      <c r="E3172" s="64" t="s">
        <v>4017</v>
      </c>
      <c r="F3172" s="64" t="s">
        <v>230</v>
      </c>
      <c r="G3172" s="64" t="s">
        <v>3800</v>
      </c>
      <c r="H3172" s="64" t="s">
        <v>1875</v>
      </c>
      <c r="I3172" s="64" t="s">
        <v>4018</v>
      </c>
      <c r="J3172" s="67">
        <v>0</v>
      </c>
      <c r="K3172" s="62">
        <v>0</v>
      </c>
      <c r="L3172" s="33" t="e">
        <f>HLOOKUP(B3172,#REF!,1,0)</f>
        <v>#REF!</v>
      </c>
      <c r="M3172" s="33" t="str">
        <f t="shared" si="199"/>
        <v>P&amp;L</v>
      </c>
    </row>
    <row r="3173" spans="1:13" s="33" customFormat="true" ht="12.75" customHeight="true">
      <c r="A3173" s="33" t="str">
        <f t="shared" si="196"/>
        <v>AKG - Capital-Remodel</v>
      </c>
      <c r="B3173" s="33" t="str">
        <f t="shared" si="197"/>
        <v>AKG</v>
      </c>
      <c r="C3173" s="33" t="str">
        <f t="shared" si="198"/>
        <v>55000-0000</v>
      </c>
      <c r="D3173" s="283" t="s">
        <v>4019</v>
      </c>
      <c r="E3173" s="64" t="s">
        <v>4020</v>
      </c>
      <c r="F3173" s="64" t="s">
        <v>230</v>
      </c>
      <c r="G3173" s="64" t="s">
        <v>3818</v>
      </c>
      <c r="H3173" s="64" t="s">
        <v>4021</v>
      </c>
      <c r="I3173" s="64" t="s">
        <v>4022</v>
      </c>
      <c r="J3173" s="67">
        <v>0</v>
      </c>
      <c r="K3173" s="62">
        <v>24300</v>
      </c>
      <c r="L3173" s="33" t="e">
        <f>HLOOKUP(B3173,#REF!,1,0)</f>
        <v>#REF!</v>
      </c>
      <c r="M3173" s="33" t="str">
        <f t="shared" si="199"/>
        <v>P&amp;L</v>
      </c>
    </row>
    <row r="3174" spans="1:13" s="33" customFormat="true" ht="12.75" customHeight="true">
      <c r="A3174" s="33" t="str">
        <f t="shared" si="196"/>
        <v>AKG - PM Expenses</v>
      </c>
      <c r="B3174" s="33" t="str">
        <f t="shared" si="197"/>
        <v>AKG</v>
      </c>
      <c r="C3174" s="33" t="str">
        <f t="shared" si="198"/>
        <v>55501-0000</v>
      </c>
      <c r="D3174" s="283" t="s">
        <v>4023</v>
      </c>
      <c r="E3174" s="64" t="s">
        <v>3817</v>
      </c>
      <c r="F3174" s="64" t="s">
        <v>230</v>
      </c>
      <c r="G3174" s="64" t="s">
        <v>3818</v>
      </c>
      <c r="H3174" s="64" t="s">
        <v>3819</v>
      </c>
      <c r="I3174" s="64" t="s">
        <v>3820</v>
      </c>
      <c r="J3174" s="67">
        <v>0</v>
      </c>
      <c r="K3174" s="62">
        <v>2874.76</v>
      </c>
      <c r="L3174" s="33" t="e">
        <f>HLOOKUP(B3174,#REF!,1,0)</f>
        <v>#REF!</v>
      </c>
      <c r="M3174" s="33" t="str">
        <f t="shared" si="199"/>
        <v>P&amp;L</v>
      </c>
    </row>
    <row r="3175" spans="1:13" s="33" customFormat="true" ht="12.75" customHeight="true">
      <c r="A3175" s="33" t="str">
        <f t="shared" si="196"/>
        <v>AKG - PM Expenses</v>
      </c>
      <c r="B3175" s="33" t="str">
        <f t="shared" si="197"/>
        <v>AKG</v>
      </c>
      <c r="C3175" s="33" t="str">
        <f t="shared" si="198"/>
        <v>55502-0000</v>
      </c>
      <c r="D3175" s="283" t="s">
        <v>4024</v>
      </c>
      <c r="E3175" s="64" t="s">
        <v>3822</v>
      </c>
      <c r="F3175" s="64" t="s">
        <v>230</v>
      </c>
      <c r="G3175" s="64" t="s">
        <v>3818</v>
      </c>
      <c r="H3175" s="64" t="s">
        <v>3819</v>
      </c>
      <c r="I3175" s="64" t="s">
        <v>3823</v>
      </c>
      <c r="J3175" s="67">
        <v>0</v>
      </c>
      <c r="K3175" s="62">
        <v>38418.36</v>
      </c>
      <c r="L3175" s="33" t="e">
        <f>HLOOKUP(B3175,#REF!,1,0)</f>
        <v>#REF!</v>
      </c>
      <c r="M3175" s="33" t="str">
        <f t="shared" si="199"/>
        <v>P&amp;L</v>
      </c>
    </row>
    <row r="3176" spans="1:13" s="33" customFormat="true" ht="12.75" customHeight="true">
      <c r="A3176" s="33" t="str">
        <f t="shared" si="196"/>
        <v>AKG - PM Expenses</v>
      </c>
      <c r="B3176" s="33" t="str">
        <f t="shared" si="197"/>
        <v>AKG</v>
      </c>
      <c r="C3176" s="33" t="str">
        <f t="shared" si="198"/>
        <v>55503-0000</v>
      </c>
      <c r="D3176" s="283" t="s">
        <v>4025</v>
      </c>
      <c r="E3176" s="64" t="s">
        <v>3825</v>
      </c>
      <c r="F3176" s="64" t="s">
        <v>230</v>
      </c>
      <c r="G3176" s="64" t="s">
        <v>3818</v>
      </c>
      <c r="H3176" s="64" t="s">
        <v>3819</v>
      </c>
      <c r="I3176" s="64" t="s">
        <v>3826</v>
      </c>
      <c r="J3176" s="67">
        <v>0</v>
      </c>
      <c r="K3176" s="62">
        <v>9929.75</v>
      </c>
      <c r="L3176" s="33" t="e">
        <f>HLOOKUP(B3176,#REF!,1,0)</f>
        <v>#REF!</v>
      </c>
      <c r="M3176" s="33" t="str">
        <f t="shared" si="199"/>
        <v>P&amp;L</v>
      </c>
    </row>
    <row r="3177" spans="1:13" s="33" customFormat="true" ht="12.75" customHeight="true">
      <c r="A3177" s="33" t="str">
        <f t="shared" si="196"/>
        <v>AKG - PM Expenses</v>
      </c>
      <c r="B3177" s="33" t="str">
        <f t="shared" si="197"/>
        <v>AKG</v>
      </c>
      <c r="C3177" s="33" t="str">
        <f t="shared" si="198"/>
        <v>55504-0000</v>
      </c>
      <c r="D3177" s="283" t="s">
        <v>4026</v>
      </c>
      <c r="E3177" s="64" t="s">
        <v>4027</v>
      </c>
      <c r="F3177" s="64" t="s">
        <v>230</v>
      </c>
      <c r="G3177" s="64" t="s">
        <v>3818</v>
      </c>
      <c r="H3177" s="64" t="s">
        <v>3819</v>
      </c>
      <c r="I3177" s="64" t="s">
        <v>4028</v>
      </c>
      <c r="J3177" s="67">
        <v>0</v>
      </c>
      <c r="K3177" s="62">
        <v>6002.68</v>
      </c>
      <c r="L3177" s="33" t="e">
        <f>HLOOKUP(B3177,#REF!,1,0)</f>
        <v>#REF!</v>
      </c>
      <c r="M3177" s="33" t="str">
        <f t="shared" si="199"/>
        <v>P&amp;L</v>
      </c>
    </row>
    <row r="3178" spans="1:13" s="33" customFormat="true" ht="12.75" customHeight="true">
      <c r="A3178" s="33" t="str">
        <f t="shared" si="196"/>
        <v>AKG - PM Expenses</v>
      </c>
      <c r="B3178" s="33" t="str">
        <f t="shared" si="197"/>
        <v>AKG</v>
      </c>
      <c r="C3178" s="33" t="str">
        <f t="shared" si="198"/>
        <v>55505-0000</v>
      </c>
      <c r="D3178" s="283" t="s">
        <v>4029</v>
      </c>
      <c r="E3178" s="64" t="s">
        <v>3828</v>
      </c>
      <c r="F3178" s="64" t="s">
        <v>230</v>
      </c>
      <c r="G3178" s="64" t="s">
        <v>3818</v>
      </c>
      <c r="H3178" s="64" t="s">
        <v>3819</v>
      </c>
      <c r="I3178" s="64" t="s">
        <v>3829</v>
      </c>
      <c r="J3178" s="67">
        <v>0</v>
      </c>
      <c r="K3178" s="62">
        <v>4646.89</v>
      </c>
      <c r="L3178" s="33" t="e">
        <f>HLOOKUP(B3178,#REF!,1,0)</f>
        <v>#REF!</v>
      </c>
      <c r="M3178" s="33" t="str">
        <f t="shared" si="199"/>
        <v>P&amp;L</v>
      </c>
    </row>
    <row r="3179" spans="1:13" s="33" customFormat="true" ht="12.75" customHeight="true">
      <c r="A3179" s="33" t="str">
        <f t="shared" si="196"/>
        <v>AKG - PM Expenses</v>
      </c>
      <c r="B3179" s="33" t="str">
        <f t="shared" si="197"/>
        <v>AKG</v>
      </c>
      <c r="C3179" s="33" t="str">
        <f t="shared" si="198"/>
        <v>55506-0000</v>
      </c>
      <c r="D3179" s="283" t="s">
        <v>4030</v>
      </c>
      <c r="E3179" s="64" t="s">
        <v>3831</v>
      </c>
      <c r="F3179" s="64" t="s">
        <v>230</v>
      </c>
      <c r="G3179" s="64" t="s">
        <v>3818</v>
      </c>
      <c r="H3179" s="64" t="s">
        <v>3819</v>
      </c>
      <c r="I3179" s="64" t="s">
        <v>3832</v>
      </c>
      <c r="J3179" s="67">
        <v>0</v>
      </c>
      <c r="K3179" s="62">
        <v>83132.39</v>
      </c>
      <c r="L3179" s="33" t="e">
        <f>HLOOKUP(B3179,#REF!,1,0)</f>
        <v>#REF!</v>
      </c>
      <c r="M3179" s="33" t="str">
        <f t="shared" si="199"/>
        <v>P&amp;L</v>
      </c>
    </row>
    <row r="3180" spans="1:13" s="33" customFormat="true" ht="12.75" customHeight="true">
      <c r="A3180" s="33" t="str">
        <f t="shared" si="196"/>
        <v>AKG - PM Expenses</v>
      </c>
      <c r="B3180" s="33" t="str">
        <f t="shared" si="197"/>
        <v>AKG</v>
      </c>
      <c r="C3180" s="33" t="str">
        <f t="shared" si="198"/>
        <v>55507-0000</v>
      </c>
      <c r="D3180" s="283" t="s">
        <v>4031</v>
      </c>
      <c r="E3180" s="64" t="s">
        <v>3834</v>
      </c>
      <c r="F3180" s="64" t="s">
        <v>230</v>
      </c>
      <c r="G3180" s="64" t="s">
        <v>3818</v>
      </c>
      <c r="H3180" s="64" t="s">
        <v>3819</v>
      </c>
      <c r="I3180" s="64" t="s">
        <v>3835</v>
      </c>
      <c r="J3180" s="67">
        <v>0</v>
      </c>
      <c r="K3180" s="62">
        <v>607.27</v>
      </c>
      <c r="L3180" s="33" t="e">
        <f>HLOOKUP(B3180,#REF!,1,0)</f>
        <v>#REF!</v>
      </c>
      <c r="M3180" s="33" t="str">
        <f t="shared" si="199"/>
        <v>P&amp;L</v>
      </c>
    </row>
    <row r="3181" spans="1:13" s="33" customFormat="true" ht="12.75" customHeight="true">
      <c r="A3181" s="33" t="str">
        <f t="shared" si="196"/>
        <v>AKG - CGS</v>
      </c>
      <c r="B3181" s="33" t="str">
        <f t="shared" si="197"/>
        <v>AKG</v>
      </c>
      <c r="C3181" s="33" t="str">
        <f t="shared" si="198"/>
        <v>60002-0000</v>
      </c>
      <c r="D3181" s="283" t="s">
        <v>4032</v>
      </c>
      <c r="E3181" s="64" t="s">
        <v>3837</v>
      </c>
      <c r="F3181" s="64" t="s">
        <v>230</v>
      </c>
      <c r="G3181" s="64" t="s">
        <v>3838</v>
      </c>
      <c r="H3181" s="64" t="s">
        <v>1875</v>
      </c>
      <c r="I3181" s="64" t="s">
        <v>3839</v>
      </c>
      <c r="J3181" s="67">
        <v>0</v>
      </c>
      <c r="K3181" s="62">
        <v>1755.37</v>
      </c>
      <c r="L3181" s="33" t="e">
        <f>HLOOKUP(B3181,#REF!,1,0)</f>
        <v>#REF!</v>
      </c>
      <c r="M3181" s="33" t="str">
        <f t="shared" si="199"/>
        <v>P&amp;L</v>
      </c>
    </row>
    <row r="3182" spans="1:13" s="33" customFormat="true" ht="12.75" customHeight="true">
      <c r="A3182" s="33" t="str">
        <f t="shared" si="196"/>
        <v>AKG - CGS</v>
      </c>
      <c r="B3182" s="33" t="str">
        <f t="shared" si="197"/>
        <v>AKG</v>
      </c>
      <c r="C3182" s="33" t="str">
        <f t="shared" si="198"/>
        <v>60005-0000</v>
      </c>
      <c r="D3182" s="283" t="s">
        <v>4033</v>
      </c>
      <c r="E3182" s="64" t="s">
        <v>3841</v>
      </c>
      <c r="F3182" s="64" t="s">
        <v>230</v>
      </c>
      <c r="G3182" s="64" t="s">
        <v>3838</v>
      </c>
      <c r="H3182" s="64" t="s">
        <v>1875</v>
      </c>
      <c r="I3182" s="64" t="s">
        <v>3842</v>
      </c>
      <c r="J3182" s="67">
        <v>0</v>
      </c>
      <c r="K3182" s="62">
        <v>28058.89</v>
      </c>
      <c r="L3182" s="33" t="e">
        <f>HLOOKUP(B3182,#REF!,1,0)</f>
        <v>#REF!</v>
      </c>
      <c r="M3182" s="33" t="str">
        <f t="shared" si="199"/>
        <v>P&amp;L</v>
      </c>
    </row>
    <row r="3183" spans="1:13" s="33" customFormat="true" ht="12.75" customHeight="true">
      <c r="A3183" s="33" t="str">
        <f t="shared" si="196"/>
        <v>AKG - Interest Expense</v>
      </c>
      <c r="B3183" s="33" t="str">
        <f t="shared" si="197"/>
        <v>AKG</v>
      </c>
      <c r="C3183" s="33" t="str">
        <f t="shared" si="198"/>
        <v>60006-0000</v>
      </c>
      <c r="D3183" s="283" t="s">
        <v>4034</v>
      </c>
      <c r="E3183" s="64" t="s">
        <v>3325</v>
      </c>
      <c r="F3183" s="64" t="s">
        <v>230</v>
      </c>
      <c r="G3183" s="64" t="s">
        <v>3844</v>
      </c>
      <c r="H3183" s="64" t="s">
        <v>3327</v>
      </c>
      <c r="I3183" s="64" t="s">
        <v>3328</v>
      </c>
      <c r="J3183" s="67">
        <v>0</v>
      </c>
      <c r="K3183" s="62">
        <v>317589.45</v>
      </c>
      <c r="L3183" s="33" t="e">
        <f>HLOOKUP(B3183,#REF!,1,0)</f>
        <v>#REF!</v>
      </c>
      <c r="M3183" s="33" t="str">
        <f t="shared" si="199"/>
        <v>P&amp;L</v>
      </c>
    </row>
    <row r="3184" spans="1:13" s="33" customFormat="true" ht="12.75" customHeight="true">
      <c r="A3184" s="33" t="str">
        <f t="shared" si="196"/>
        <v>AKG - CGS</v>
      </c>
      <c r="B3184" s="33" t="str">
        <f t="shared" si="197"/>
        <v>AKG</v>
      </c>
      <c r="C3184" s="33" t="str">
        <f t="shared" si="198"/>
        <v>60007-0000</v>
      </c>
      <c r="D3184" s="283" t="s">
        <v>4035</v>
      </c>
      <c r="E3184" s="64" t="s">
        <v>3846</v>
      </c>
      <c r="F3184" s="64" t="s">
        <v>230</v>
      </c>
      <c r="G3184" s="64" t="s">
        <v>3838</v>
      </c>
      <c r="H3184" s="64" t="s">
        <v>1875</v>
      </c>
      <c r="I3184" s="64" t="s">
        <v>3847</v>
      </c>
      <c r="J3184" s="67">
        <v>0</v>
      </c>
      <c r="K3184" s="62">
        <v>801</v>
      </c>
      <c r="L3184" s="33" t="e">
        <f>HLOOKUP(B3184,#REF!,1,0)</f>
        <v>#REF!</v>
      </c>
      <c r="M3184" s="33" t="str">
        <f t="shared" si="199"/>
        <v>P&amp;L</v>
      </c>
    </row>
    <row r="3185" spans="1:13" s="33" customFormat="true" ht="12.75" customHeight="true">
      <c r="A3185" s="33" t="str">
        <f t="shared" si="196"/>
        <v>AKG - CGS</v>
      </c>
      <c r="B3185" s="33" t="str">
        <f t="shared" si="197"/>
        <v>AKG</v>
      </c>
      <c r="C3185" s="33" t="str">
        <f t="shared" si="198"/>
        <v>60012-0000</v>
      </c>
      <c r="D3185" s="283" t="s">
        <v>4036</v>
      </c>
      <c r="E3185" s="64" t="s">
        <v>3852</v>
      </c>
      <c r="F3185" s="64" t="s">
        <v>230</v>
      </c>
      <c r="G3185" s="64" t="s">
        <v>3838</v>
      </c>
      <c r="H3185" s="64" t="s">
        <v>1875</v>
      </c>
      <c r="I3185" s="64" t="s">
        <v>3853</v>
      </c>
      <c r="J3185" s="67">
        <v>0</v>
      </c>
      <c r="K3185" s="62">
        <v>69195.98</v>
      </c>
      <c r="L3185" s="33" t="e">
        <f>HLOOKUP(B3185,#REF!,1,0)</f>
        <v>#REF!</v>
      </c>
      <c r="M3185" s="33" t="str">
        <f t="shared" si="199"/>
        <v>P&amp;L</v>
      </c>
    </row>
    <row r="3186" spans="1:13" s="33" customFormat="true" ht="12.75" customHeight="true">
      <c r="A3186" s="33" t="str">
        <f t="shared" si="196"/>
        <v>AKG - CGS</v>
      </c>
      <c r="B3186" s="33" t="str">
        <f t="shared" si="197"/>
        <v>AKG</v>
      </c>
      <c r="C3186" s="33" t="str">
        <f t="shared" si="198"/>
        <v>60014-0000</v>
      </c>
      <c r="D3186" s="283" t="s">
        <v>4037</v>
      </c>
      <c r="E3186" s="64" t="s">
        <v>3855</v>
      </c>
      <c r="F3186" s="64" t="s">
        <v>230</v>
      </c>
      <c r="G3186" s="64" t="s">
        <v>3838</v>
      </c>
      <c r="H3186" s="64" t="s">
        <v>1875</v>
      </c>
      <c r="I3186" s="64" t="s">
        <v>3856</v>
      </c>
      <c r="J3186" s="67">
        <v>0</v>
      </c>
      <c r="K3186" s="62">
        <v>68085.04</v>
      </c>
      <c r="L3186" s="33" t="e">
        <f>HLOOKUP(B3186,#REF!,1,0)</f>
        <v>#REF!</v>
      </c>
      <c r="M3186" s="33" t="str">
        <f t="shared" si="199"/>
        <v>P&amp;L</v>
      </c>
    </row>
    <row r="3187" spans="1:13" s="33" customFormat="true" ht="12.75" customHeight="true">
      <c r="A3187" s="33" t="str">
        <f t="shared" si="196"/>
        <v>AKG - CGS</v>
      </c>
      <c r="B3187" s="33" t="str">
        <f t="shared" si="197"/>
        <v>AKG</v>
      </c>
      <c r="C3187" s="33" t="str">
        <f t="shared" si="198"/>
        <v>60015-0000</v>
      </c>
      <c r="D3187" s="283" t="s">
        <v>4038</v>
      </c>
      <c r="E3187" s="64" t="s">
        <v>3858</v>
      </c>
      <c r="F3187" s="64" t="s">
        <v>230</v>
      </c>
      <c r="G3187" s="64" t="s">
        <v>3838</v>
      </c>
      <c r="H3187" s="64" t="s">
        <v>1875</v>
      </c>
      <c r="I3187" s="64" t="s">
        <v>3859</v>
      </c>
      <c r="J3187" s="67">
        <v>0</v>
      </c>
      <c r="K3187" s="62">
        <v>1519.56</v>
      </c>
      <c r="L3187" s="33" t="e">
        <f>HLOOKUP(B3187,#REF!,1,0)</f>
        <v>#REF!</v>
      </c>
      <c r="M3187" s="33" t="str">
        <f t="shared" si="199"/>
        <v>P&amp;L</v>
      </c>
    </row>
    <row r="3188" spans="1:13" s="33" customFormat="true" ht="12.75" customHeight="true">
      <c r="A3188" s="33" t="str">
        <f t="shared" si="196"/>
        <v>AKG - Other Expenses</v>
      </c>
      <c r="B3188" s="33" t="str">
        <f t="shared" si="197"/>
        <v>AKG</v>
      </c>
      <c r="C3188" s="33" t="str">
        <f t="shared" si="198"/>
        <v>61018-0000</v>
      </c>
      <c r="D3188" s="283" t="s">
        <v>4039</v>
      </c>
      <c r="E3188" s="64" t="s">
        <v>3864</v>
      </c>
      <c r="F3188" s="64" t="s">
        <v>230</v>
      </c>
      <c r="G3188" s="64" t="s">
        <v>3838</v>
      </c>
      <c r="H3188" s="64" t="s">
        <v>3865</v>
      </c>
      <c r="I3188" s="64" t="s">
        <v>3866</v>
      </c>
      <c r="J3188" s="67">
        <v>0</v>
      </c>
      <c r="K3188" s="62">
        <v>7054.53</v>
      </c>
      <c r="L3188" s="33" t="e">
        <f>HLOOKUP(B3188,#REF!,1,0)</f>
        <v>#REF!</v>
      </c>
      <c r="M3188" s="33" t="str">
        <f t="shared" si="199"/>
        <v>P&amp;L</v>
      </c>
    </row>
    <row r="3189" spans="1:13" s="33" customFormat="true" ht="12.75" customHeight="true">
      <c r="A3189" s="33" t="str">
        <f t="shared" si="196"/>
        <v>AKG - Income Tax</v>
      </c>
      <c r="B3189" s="33" t="str">
        <f t="shared" si="197"/>
        <v>AKG</v>
      </c>
      <c r="C3189" s="33" t="str">
        <f t="shared" si="198"/>
        <v>61019-0000</v>
      </c>
      <c r="D3189" s="283" t="s">
        <v>4040</v>
      </c>
      <c r="E3189" s="64" t="s">
        <v>4041</v>
      </c>
      <c r="F3189" s="64" t="s">
        <v>230</v>
      </c>
      <c r="G3189" s="64" t="s">
        <v>3844</v>
      </c>
      <c r="H3189" s="64" t="s">
        <v>3378</v>
      </c>
      <c r="I3189" s="64" t="s">
        <v>4042</v>
      </c>
      <c r="J3189" s="67">
        <v>0</v>
      </c>
      <c r="K3189" s="62">
        <v>6800</v>
      </c>
      <c r="L3189" s="33" t="e">
        <f>HLOOKUP(B3189,#REF!,1,0)</f>
        <v>#REF!</v>
      </c>
      <c r="M3189" s="33" t="str">
        <f t="shared" si="199"/>
        <v>P&amp;L</v>
      </c>
    </row>
    <row r="3190" spans="1:13" s="33" customFormat="true" ht="12.75" customHeight="true">
      <c r="A3190" s="33" t="str">
        <f t="shared" si="196"/>
        <v>AKG - CGS</v>
      </c>
      <c r="B3190" s="33" t="str">
        <f t="shared" si="197"/>
        <v>AKG</v>
      </c>
      <c r="C3190" s="33" t="str">
        <f t="shared" si="198"/>
        <v>61023-0000</v>
      </c>
      <c r="D3190" s="283" t="s">
        <v>4043</v>
      </c>
      <c r="E3190" s="64" t="s">
        <v>3868</v>
      </c>
      <c r="F3190" s="64" t="s">
        <v>230</v>
      </c>
      <c r="G3190" s="64" t="s">
        <v>4044</v>
      </c>
      <c r="H3190" s="64" t="s">
        <v>1875</v>
      </c>
      <c r="I3190" s="64" t="s">
        <v>1876</v>
      </c>
      <c r="J3190" s="67">
        <v>0</v>
      </c>
      <c r="K3190" s="62">
        <v>118.72</v>
      </c>
      <c r="L3190" s="33" t="e">
        <f>HLOOKUP(B3190,#REF!,1,0)</f>
        <v>#REF!</v>
      </c>
      <c r="M3190" s="33" t="str">
        <f t="shared" si="199"/>
        <v>P&amp;L</v>
      </c>
    </row>
    <row r="3191" spans="1:13" s="33" customFormat="true" ht="12.75" customHeight="true">
      <c r="A3191" s="33" t="str">
        <f t="shared" si="196"/>
        <v>AKS - Intercompany</v>
      </c>
      <c r="B3191" s="33" t="str">
        <f t="shared" si="197"/>
        <v>AKS</v>
      </c>
      <c r="C3191" s="33" t="str">
        <f t="shared" si="198"/>
        <v>11353-0000</v>
      </c>
      <c r="D3191" s="64" t="s">
        <v>4045</v>
      </c>
      <c r="E3191" s="64" t="s">
        <v>4046</v>
      </c>
      <c r="F3191" s="64" t="s">
        <v>230</v>
      </c>
      <c r="G3191" s="64" t="s">
        <v>16</v>
      </c>
      <c r="H3191" s="64" t="s">
        <v>39</v>
      </c>
      <c r="I3191" s="64" t="s">
        <v>40</v>
      </c>
      <c r="J3191" s="67">
        <v>0</v>
      </c>
      <c r="K3191" s="62">
        <v>743000</v>
      </c>
      <c r="L3191" s="33" t="e">
        <f>HLOOKUP(B3191,#REF!,1,0)</f>
        <v>#REF!</v>
      </c>
      <c r="M3191" s="33" t="str">
        <f t="shared" si="199"/>
        <v>BS</v>
      </c>
    </row>
    <row r="3192" spans="1:13" s="33" customFormat="true" ht="12.75" customHeight="true">
      <c r="A3192" s="33" t="str">
        <f t="shared" si="196"/>
        <v>AKS - Intercompany</v>
      </c>
      <c r="B3192" s="33" t="str">
        <f t="shared" si="197"/>
        <v>AKS</v>
      </c>
      <c r="C3192" s="33" t="str">
        <f t="shared" si="198"/>
        <v>11354-0000</v>
      </c>
      <c r="D3192" s="64" t="s">
        <v>4047</v>
      </c>
      <c r="E3192" s="64" t="s">
        <v>4048</v>
      </c>
      <c r="F3192" s="64" t="s">
        <v>230</v>
      </c>
      <c r="G3192" s="64" t="s">
        <v>16</v>
      </c>
      <c r="H3192" s="64" t="s">
        <v>39</v>
      </c>
      <c r="I3192" s="64" t="s">
        <v>40</v>
      </c>
      <c r="J3192" s="67">
        <v>0</v>
      </c>
      <c r="K3192" s="62">
        <v>2958512.07</v>
      </c>
      <c r="L3192" s="33" t="e">
        <f>HLOOKUP(B3192,#REF!,1,0)</f>
        <v>#REF!</v>
      </c>
      <c r="M3192" s="33" t="str">
        <f t="shared" si="199"/>
        <v>BS</v>
      </c>
    </row>
    <row r="3193" spans="1:13" s="33" customFormat="true" ht="12.75" customHeight="true">
      <c r="A3193" s="33" t="str">
        <f t="shared" si="196"/>
        <v>AKS - Revenue</v>
      </c>
      <c r="B3193" s="33" t="str">
        <f t="shared" si="197"/>
        <v>AKS</v>
      </c>
      <c r="C3193" s="33" t="str">
        <f t="shared" si="198"/>
        <v>41122-0000</v>
      </c>
      <c r="D3193" s="64" t="s">
        <v>4049</v>
      </c>
      <c r="E3193" s="64" t="s">
        <v>3700</v>
      </c>
      <c r="F3193" s="64" t="s">
        <v>230</v>
      </c>
      <c r="G3193" s="64" t="s">
        <v>3694</v>
      </c>
      <c r="H3193" s="64" t="s">
        <v>2871</v>
      </c>
      <c r="I3193" s="64" t="s">
        <v>3701</v>
      </c>
      <c r="J3193" s="67">
        <v>0</v>
      </c>
      <c r="K3193" s="62">
        <v>-425</v>
      </c>
      <c r="L3193" s="33" t="e">
        <f>HLOOKUP(B3193,#REF!,1,0)</f>
        <v>#REF!</v>
      </c>
      <c r="M3193" s="33" t="str">
        <f t="shared" si="199"/>
        <v>P&amp;L</v>
      </c>
    </row>
    <row r="3194" spans="1:13" s="33" customFormat="true" ht="12.75" customHeight="true">
      <c r="A3194" s="33" t="str">
        <f t="shared" si="196"/>
        <v>AKS - Revenue</v>
      </c>
      <c r="B3194" s="33" t="str">
        <f t="shared" si="197"/>
        <v>AKS</v>
      </c>
      <c r="C3194" s="33" t="str">
        <f t="shared" si="198"/>
        <v>41999-0000</v>
      </c>
      <c r="D3194" s="64" t="s">
        <v>4050</v>
      </c>
      <c r="E3194" s="64" t="s">
        <v>3712</v>
      </c>
      <c r="F3194" s="64" t="s">
        <v>230</v>
      </c>
      <c r="G3194" s="64" t="s">
        <v>3713</v>
      </c>
      <c r="H3194" s="64" t="s">
        <v>2871</v>
      </c>
      <c r="I3194" s="64" t="s">
        <v>3714</v>
      </c>
      <c r="J3194" s="67">
        <v>0</v>
      </c>
      <c r="K3194" s="62">
        <v>425</v>
      </c>
      <c r="L3194" s="33" t="e">
        <f>HLOOKUP(B3194,#REF!,1,0)</f>
        <v>#REF!</v>
      </c>
      <c r="M3194" s="33" t="str">
        <f t="shared" si="199"/>
        <v>P&amp;L</v>
      </c>
    </row>
    <row r="3195" spans="1:13" s="33" customFormat="true" ht="12.75" customHeight="true">
      <c r="A3195" s="33" t="str">
        <f t="shared" si="196"/>
        <v>AKS - Revenue</v>
      </c>
      <c r="B3195" s="33" t="str">
        <f t="shared" si="197"/>
        <v>AKS</v>
      </c>
      <c r="C3195" s="33" t="str">
        <f t="shared" si="198"/>
        <v>47400-0000</v>
      </c>
      <c r="D3195" s="64" t="s">
        <v>4051</v>
      </c>
      <c r="E3195" s="64" t="s">
        <v>3716</v>
      </c>
      <c r="F3195" s="64" t="s">
        <v>230</v>
      </c>
      <c r="G3195" s="64" t="s">
        <v>3717</v>
      </c>
      <c r="H3195" s="64" t="s">
        <v>2871</v>
      </c>
      <c r="I3195" s="64" t="s">
        <v>3718</v>
      </c>
      <c r="J3195" s="67">
        <v>0</v>
      </c>
      <c r="K3195" s="62">
        <v>-425</v>
      </c>
      <c r="L3195" s="33" t="e">
        <f>HLOOKUP(B3195,#REF!,1,0)</f>
        <v>#REF!</v>
      </c>
      <c r="M3195" s="33" t="str">
        <f t="shared" si="199"/>
        <v>P&amp;L</v>
      </c>
    </row>
    <row r="3196" spans="1:13" s="33" customFormat="true" ht="12.75" customHeight="true">
      <c r="A3196" s="33" t="str">
        <f t="shared" si="196"/>
        <v>AKS - Revenue</v>
      </c>
      <c r="B3196" s="33" t="str">
        <f t="shared" si="197"/>
        <v>AKS</v>
      </c>
      <c r="C3196" s="33" t="str">
        <f t="shared" si="198"/>
        <v>47430-0000</v>
      </c>
      <c r="D3196" s="64" t="s">
        <v>4052</v>
      </c>
      <c r="E3196" s="64" t="s">
        <v>4053</v>
      </c>
      <c r="F3196" s="64" t="s">
        <v>230</v>
      </c>
      <c r="G3196" s="64" t="s">
        <v>3717</v>
      </c>
      <c r="H3196" s="64" t="s">
        <v>2871</v>
      </c>
      <c r="I3196" s="64" t="s">
        <v>4054</v>
      </c>
      <c r="J3196" s="67">
        <v>0</v>
      </c>
      <c r="K3196" s="62">
        <v>-344.34</v>
      </c>
      <c r="L3196" s="33" t="e">
        <f>HLOOKUP(B3196,#REF!,1,0)</f>
        <v>#REF!</v>
      </c>
      <c r="M3196" s="33" t="str">
        <f t="shared" si="199"/>
        <v>P&amp;L</v>
      </c>
    </row>
    <row r="3197" spans="1:13" s="33" customFormat="true" ht="12.75" customHeight="true">
      <c r="A3197" s="33" t="str">
        <f t="shared" si="196"/>
        <v>AKS - CGS</v>
      </c>
      <c r="B3197" s="33" t="str">
        <f t="shared" si="197"/>
        <v>AKS</v>
      </c>
      <c r="C3197" s="33" t="str">
        <f t="shared" si="198"/>
        <v>51011-0000</v>
      </c>
      <c r="D3197" s="64" t="s">
        <v>4055</v>
      </c>
      <c r="E3197" s="64" t="s">
        <v>3749</v>
      </c>
      <c r="F3197" s="64" t="s">
        <v>230</v>
      </c>
      <c r="G3197" s="64" t="s">
        <v>3740</v>
      </c>
      <c r="H3197" s="64" t="s">
        <v>1875</v>
      </c>
      <c r="I3197" s="64" t="s">
        <v>3750</v>
      </c>
      <c r="J3197" s="67">
        <v>0</v>
      </c>
      <c r="K3197" s="62">
        <v>644.67</v>
      </c>
      <c r="L3197" s="33" t="e">
        <f>HLOOKUP(B3197,#REF!,1,0)</f>
        <v>#REF!</v>
      </c>
      <c r="M3197" s="33" t="str">
        <f t="shared" si="199"/>
        <v>P&amp;L</v>
      </c>
    </row>
    <row r="3198" spans="1:13" s="33" customFormat="true" ht="12.75" customHeight="true">
      <c r="A3198" s="33" t="str">
        <f t="shared" si="196"/>
        <v>AKS - CGS</v>
      </c>
      <c r="B3198" s="33" t="str">
        <f t="shared" si="197"/>
        <v>AKS</v>
      </c>
      <c r="C3198" s="33" t="str">
        <f t="shared" si="198"/>
        <v>51012-0000</v>
      </c>
      <c r="D3198" s="64" t="s">
        <v>4056</v>
      </c>
      <c r="E3198" s="64" t="s">
        <v>3752</v>
      </c>
      <c r="F3198" s="64" t="s">
        <v>230</v>
      </c>
      <c r="G3198" s="64" t="s">
        <v>3740</v>
      </c>
      <c r="H3198" s="64" t="s">
        <v>1875</v>
      </c>
      <c r="I3198" s="64" t="s">
        <v>3753</v>
      </c>
      <c r="J3198" s="67">
        <v>-50</v>
      </c>
      <c r="K3198" s="62">
        <v>50</v>
      </c>
      <c r="L3198" s="33" t="e">
        <f>HLOOKUP(B3198,#REF!,1,0)</f>
        <v>#REF!</v>
      </c>
      <c r="M3198" s="33" t="str">
        <f t="shared" si="199"/>
        <v>P&amp;L</v>
      </c>
    </row>
    <row r="3199" spans="1:13" s="33" customFormat="true" ht="12.75" customHeight="true">
      <c r="A3199" s="33" t="str">
        <f t="shared" si="196"/>
        <v>AKS - CGS</v>
      </c>
      <c r="B3199" s="33" t="str">
        <f t="shared" si="197"/>
        <v>AKS</v>
      </c>
      <c r="C3199" s="33" t="str">
        <f t="shared" si="198"/>
        <v>51020-0000</v>
      </c>
      <c r="D3199" s="64" t="s">
        <v>4057</v>
      </c>
      <c r="E3199" s="64" t="s">
        <v>3763</v>
      </c>
      <c r="F3199" s="64" t="s">
        <v>230</v>
      </c>
      <c r="G3199" s="64" t="s">
        <v>3740</v>
      </c>
      <c r="H3199" s="64" t="s">
        <v>1875</v>
      </c>
      <c r="I3199" s="64" t="s">
        <v>3345</v>
      </c>
      <c r="J3199" s="67">
        <v>0</v>
      </c>
      <c r="K3199" s="62">
        <v>0</v>
      </c>
      <c r="L3199" s="33" t="e">
        <f>HLOOKUP(B3199,#REF!,1,0)</f>
        <v>#REF!</v>
      </c>
      <c r="M3199" s="33" t="str">
        <f t="shared" si="199"/>
        <v>P&amp;L</v>
      </c>
    </row>
    <row r="3200" spans="1:13" s="33" customFormat="true" ht="12.75" customHeight="true">
      <c r="A3200" s="33" t="str">
        <f t="shared" si="196"/>
        <v>AKS - CGS</v>
      </c>
      <c r="B3200" s="33" t="str">
        <f t="shared" si="197"/>
        <v>AKS</v>
      </c>
      <c r="C3200" s="33" t="str">
        <f t="shared" si="198"/>
        <v>53003-0000</v>
      </c>
      <c r="D3200" s="64" t="s">
        <v>4058</v>
      </c>
      <c r="E3200" s="64" t="s">
        <v>3787</v>
      </c>
      <c r="F3200" s="64" t="s">
        <v>230</v>
      </c>
      <c r="G3200" s="64" t="s">
        <v>3160</v>
      </c>
      <c r="H3200" s="64" t="s">
        <v>1875</v>
      </c>
      <c r="I3200" s="64" t="s">
        <v>3788</v>
      </c>
      <c r="J3200" s="67">
        <v>0</v>
      </c>
      <c r="K3200" s="62">
        <v>62.19</v>
      </c>
      <c r="L3200" s="33" t="e">
        <f>HLOOKUP(B3200,#REF!,1,0)</f>
        <v>#REF!</v>
      </c>
      <c r="M3200" s="33" t="str">
        <f t="shared" si="199"/>
        <v>P&amp;L</v>
      </c>
    </row>
    <row r="3201" spans="1:13" s="33" customFormat="true" ht="12.75" customHeight="true">
      <c r="A3201" s="33" t="str">
        <f t="shared" si="196"/>
        <v>AKS - CGS</v>
      </c>
      <c r="B3201" s="33" t="str">
        <f t="shared" si="197"/>
        <v>AKS</v>
      </c>
      <c r="C3201" s="33" t="str">
        <f t="shared" si="198"/>
        <v>53006-0000</v>
      </c>
      <c r="D3201" s="64" t="s">
        <v>4059</v>
      </c>
      <c r="E3201" s="64" t="s">
        <v>3796</v>
      </c>
      <c r="F3201" s="64" t="s">
        <v>230</v>
      </c>
      <c r="G3201" s="64" t="s">
        <v>3160</v>
      </c>
      <c r="H3201" s="64" t="s">
        <v>1875</v>
      </c>
      <c r="I3201" s="64" t="s">
        <v>3797</v>
      </c>
      <c r="J3201" s="67">
        <v>0</v>
      </c>
      <c r="K3201" s="62">
        <v>158.72</v>
      </c>
      <c r="L3201" s="33" t="e">
        <f>HLOOKUP(B3201,#REF!,1,0)</f>
        <v>#REF!</v>
      </c>
      <c r="M3201" s="33" t="str">
        <f t="shared" si="199"/>
        <v>P&amp;L</v>
      </c>
    </row>
    <row r="3202" spans="1:13" s="33" customFormat="true" ht="12.75" customHeight="true">
      <c r="A3202" s="33" t="str">
        <f t="shared" ref="A3202:A3265" si="200">B3202&amp;" - "&amp;TRIM(H3202)</f>
        <v>AKS - CGS</v>
      </c>
      <c r="B3202" s="33" t="str">
        <f t="shared" ref="B3202:B3265" si="201">LEFT(D3202,3)</f>
        <v>AKS</v>
      </c>
      <c r="C3202" s="33" t="str">
        <f t="shared" ref="C3202:C3265" si="202">RIGHT(D3202,10)</f>
        <v>60002-0000</v>
      </c>
      <c r="D3202" s="64" t="s">
        <v>4060</v>
      </c>
      <c r="E3202" s="64" t="s">
        <v>3837</v>
      </c>
      <c r="F3202" s="64" t="s">
        <v>230</v>
      </c>
      <c r="G3202" s="64" t="s">
        <v>3838</v>
      </c>
      <c r="H3202" s="64" t="s">
        <v>1875</v>
      </c>
      <c r="I3202" s="64" t="s">
        <v>3839</v>
      </c>
      <c r="J3202" s="67">
        <v>0</v>
      </c>
      <c r="K3202" s="62">
        <v>492.09</v>
      </c>
      <c r="L3202" s="33" t="e">
        <f>HLOOKUP(B3202,#REF!,1,0)</f>
        <v>#REF!</v>
      </c>
      <c r="M3202" s="33" t="str">
        <f t="shared" ref="M3202:M3265" si="203">IF(VALUE(LEFT(C3202,5))&gt;40000,"P&amp;L","BS")</f>
        <v>P&amp;L</v>
      </c>
    </row>
    <row r="3203" spans="1:13" s="33" customFormat="true" ht="12.75" customHeight="true">
      <c r="A3203" s="33" t="str">
        <f t="shared" si="200"/>
        <v>AKS - CGS</v>
      </c>
      <c r="B3203" s="33" t="str">
        <f t="shared" si="201"/>
        <v>AKS</v>
      </c>
      <c r="C3203" s="33" t="str">
        <f t="shared" si="202"/>
        <v>60005-0000</v>
      </c>
      <c r="D3203" s="64" t="s">
        <v>4061</v>
      </c>
      <c r="E3203" s="64" t="s">
        <v>3841</v>
      </c>
      <c r="F3203" s="64" t="s">
        <v>230</v>
      </c>
      <c r="G3203" s="64" t="s">
        <v>3838</v>
      </c>
      <c r="H3203" s="64" t="s">
        <v>1875</v>
      </c>
      <c r="I3203" s="64" t="s">
        <v>3842</v>
      </c>
      <c r="J3203" s="67">
        <v>0</v>
      </c>
      <c r="K3203" s="62">
        <v>-445.6</v>
      </c>
      <c r="L3203" s="33" t="e">
        <f>HLOOKUP(B3203,#REF!,1,0)</f>
        <v>#REF!</v>
      </c>
      <c r="M3203" s="33" t="str">
        <f t="shared" si="203"/>
        <v>P&amp;L</v>
      </c>
    </row>
    <row r="3204" spans="1:13" s="33" customFormat="true" ht="12.75" customHeight="true">
      <c r="A3204" s="33" t="str">
        <f t="shared" si="200"/>
        <v>AKS - CGS</v>
      </c>
      <c r="B3204" s="33" t="str">
        <f t="shared" si="201"/>
        <v>AKS</v>
      </c>
      <c r="C3204" s="33" t="str">
        <f t="shared" si="202"/>
        <v>60007-0000</v>
      </c>
      <c r="D3204" s="64" t="s">
        <v>4062</v>
      </c>
      <c r="E3204" s="64" t="s">
        <v>3846</v>
      </c>
      <c r="F3204" s="64" t="s">
        <v>230</v>
      </c>
      <c r="G3204" s="64" t="s">
        <v>3838</v>
      </c>
      <c r="H3204" s="64" t="s">
        <v>1875</v>
      </c>
      <c r="I3204" s="64" t="s">
        <v>3847</v>
      </c>
      <c r="J3204" s="67">
        <v>0</v>
      </c>
      <c r="K3204" s="62">
        <v>0</v>
      </c>
      <c r="L3204" s="33" t="e">
        <f>HLOOKUP(B3204,#REF!,1,0)</f>
        <v>#REF!</v>
      </c>
      <c r="M3204" s="33" t="str">
        <f t="shared" si="203"/>
        <v>P&amp;L</v>
      </c>
    </row>
    <row r="3205" spans="1:13" s="33" customFormat="true" ht="12.75" customHeight="true">
      <c r="A3205" s="33" t="str">
        <f t="shared" si="200"/>
        <v>AKS - CGS</v>
      </c>
      <c r="B3205" s="33" t="str">
        <f t="shared" si="201"/>
        <v>AKS</v>
      </c>
      <c r="C3205" s="33" t="str">
        <f t="shared" si="202"/>
        <v>61018-0000</v>
      </c>
      <c r="D3205" s="64" t="s">
        <v>4063</v>
      </c>
      <c r="E3205" s="64" t="s">
        <v>3864</v>
      </c>
      <c r="F3205" s="64" t="s">
        <v>230</v>
      </c>
      <c r="G3205" s="64" t="s">
        <v>3838</v>
      </c>
      <c r="H3205" s="64" t="s">
        <v>1875</v>
      </c>
      <c r="I3205" s="64" t="s">
        <v>3866</v>
      </c>
      <c r="J3205" s="67">
        <v>0</v>
      </c>
      <c r="K3205" s="62">
        <v>-112.56</v>
      </c>
      <c r="L3205" s="33" t="e">
        <f>HLOOKUP(B3205,#REF!,1,0)</f>
        <v>#REF!</v>
      </c>
      <c r="M3205" s="33" t="str">
        <f t="shared" si="203"/>
        <v>P&amp;L</v>
      </c>
    </row>
    <row r="3206" spans="1:13" s="33" customFormat="true" ht="12.75" customHeight="true">
      <c r="A3206" s="33" t="str">
        <f t="shared" si="200"/>
        <v>AKS - Income Tax</v>
      </c>
      <c r="B3206" s="33" t="str">
        <f t="shared" si="201"/>
        <v>AKS</v>
      </c>
      <c r="C3206" s="33" t="str">
        <f t="shared" si="202"/>
        <v>61019-0000</v>
      </c>
      <c r="D3206" s="64" t="s">
        <v>4064</v>
      </c>
      <c r="E3206" s="64" t="s">
        <v>4041</v>
      </c>
      <c r="F3206" s="64" t="s">
        <v>230</v>
      </c>
      <c r="G3206" s="64" t="s">
        <v>3844</v>
      </c>
      <c r="H3206" s="64" t="s">
        <v>3378</v>
      </c>
      <c r="I3206" s="64" t="s">
        <v>4042</v>
      </c>
      <c r="J3206" s="67">
        <v>0</v>
      </c>
      <c r="K3206" s="62">
        <v>1947.09</v>
      </c>
      <c r="L3206" s="33" t="e">
        <f>HLOOKUP(B3206,#REF!,1,0)</f>
        <v>#REF!</v>
      </c>
      <c r="M3206" s="33" t="str">
        <f t="shared" si="203"/>
        <v>P&amp;L</v>
      </c>
    </row>
    <row r="3207" spans="1:13" s="33" customFormat="true" ht="12.75" customHeight="true">
      <c r="A3207" s="33" t="str">
        <f t="shared" si="200"/>
        <v>ALP - Fixed Assets</v>
      </c>
      <c r="B3207" s="33" t="str">
        <f t="shared" si="201"/>
        <v>ALP</v>
      </c>
      <c r="C3207" s="33" t="str">
        <f t="shared" si="202"/>
        <v>15501-0000</v>
      </c>
      <c r="D3207" s="283" t="s">
        <v>4065</v>
      </c>
      <c r="E3207" s="64" t="s">
        <v>2635</v>
      </c>
      <c r="F3207" s="64" t="s">
        <v>230</v>
      </c>
      <c r="G3207" s="64" t="s">
        <v>62</v>
      </c>
      <c r="H3207" s="64" t="s">
        <v>63</v>
      </c>
      <c r="I3207" s="64" t="s">
        <v>64</v>
      </c>
      <c r="J3207" s="67">
        <v>0</v>
      </c>
      <c r="K3207" s="62">
        <v>4287.87</v>
      </c>
      <c r="L3207" s="33" t="e">
        <f>HLOOKUP(B3207,#REF!,1,0)</f>
        <v>#REF!</v>
      </c>
      <c r="M3207" s="33" t="str">
        <f t="shared" si="203"/>
        <v>BS</v>
      </c>
    </row>
    <row r="3208" spans="1:13" s="33" customFormat="true" ht="12.75" customHeight="true">
      <c r="A3208" s="33" t="str">
        <f t="shared" si="200"/>
        <v>ALP - AR-PPD</v>
      </c>
      <c r="B3208" s="33" t="str">
        <f t="shared" si="201"/>
        <v>ALP</v>
      </c>
      <c r="C3208" s="33" t="str">
        <f t="shared" si="202"/>
        <v>25300-0000</v>
      </c>
      <c r="D3208" s="283" t="s">
        <v>4066</v>
      </c>
      <c r="E3208" s="64" t="s">
        <v>3677</v>
      </c>
      <c r="F3208" s="64" t="s">
        <v>230</v>
      </c>
      <c r="G3208" s="64" t="s">
        <v>3678</v>
      </c>
      <c r="H3208" s="64" t="s">
        <v>35</v>
      </c>
      <c r="I3208" s="64" t="s">
        <v>102</v>
      </c>
      <c r="J3208" s="67">
        <v>0</v>
      </c>
      <c r="K3208" s="62">
        <v>0</v>
      </c>
      <c r="L3208" s="33" t="e">
        <f>HLOOKUP(B3208,#REF!,1,0)</f>
        <v>#REF!</v>
      </c>
      <c r="M3208" s="33" t="str">
        <f t="shared" si="203"/>
        <v>BS</v>
      </c>
    </row>
    <row r="3209" spans="1:13" s="33" customFormat="true" ht="12.75" customHeight="true">
      <c r="A3209" s="33" t="str">
        <f t="shared" si="200"/>
        <v>ALP - Revenue</v>
      </c>
      <c r="B3209" s="33" t="str">
        <f t="shared" si="201"/>
        <v>ALP</v>
      </c>
      <c r="C3209" s="33" t="str">
        <f t="shared" si="202"/>
        <v>40110-0000</v>
      </c>
      <c r="D3209" s="283" t="s">
        <v>4067</v>
      </c>
      <c r="E3209" s="64" t="s">
        <v>3683</v>
      </c>
      <c r="F3209" s="64" t="s">
        <v>230</v>
      </c>
      <c r="G3209" s="64" t="s">
        <v>3684</v>
      </c>
      <c r="H3209" s="64" t="s">
        <v>2871</v>
      </c>
      <c r="I3209" s="64" t="s">
        <v>3685</v>
      </c>
      <c r="J3209" s="67">
        <v>0</v>
      </c>
      <c r="K3209" s="62">
        <v>-1493073</v>
      </c>
      <c r="L3209" s="33" t="e">
        <f>HLOOKUP(B3209,#REF!,1,0)</f>
        <v>#REF!</v>
      </c>
      <c r="M3209" s="33" t="str">
        <f t="shared" si="203"/>
        <v>P&amp;L</v>
      </c>
    </row>
    <row r="3210" spans="1:13" s="33" customFormat="true" ht="12.75" customHeight="true">
      <c r="A3210" s="33" t="str">
        <f t="shared" si="200"/>
        <v>ALP - Revenue</v>
      </c>
      <c r="B3210" s="33" t="str">
        <f t="shared" si="201"/>
        <v>ALP</v>
      </c>
      <c r="C3210" s="33" t="str">
        <f t="shared" si="202"/>
        <v>40120-0000</v>
      </c>
      <c r="D3210" s="283" t="s">
        <v>4068</v>
      </c>
      <c r="E3210" s="64" t="s">
        <v>3687</v>
      </c>
      <c r="F3210" s="64" t="s">
        <v>230</v>
      </c>
      <c r="G3210" s="64" t="s">
        <v>3684</v>
      </c>
      <c r="H3210" s="64" t="s">
        <v>2871</v>
      </c>
      <c r="I3210" s="64" t="s">
        <v>3688</v>
      </c>
      <c r="J3210" s="67">
        <v>0</v>
      </c>
      <c r="K3210" s="62">
        <v>-25303</v>
      </c>
      <c r="L3210" s="33" t="e">
        <f>HLOOKUP(B3210,#REF!,1,0)</f>
        <v>#REF!</v>
      </c>
      <c r="M3210" s="33" t="str">
        <f t="shared" si="203"/>
        <v>P&amp;L</v>
      </c>
    </row>
    <row r="3211" spans="1:13" s="33" customFormat="true" ht="12.75" customHeight="true">
      <c r="A3211" s="33" t="str">
        <f t="shared" si="200"/>
        <v>ALP - Revenue</v>
      </c>
      <c r="B3211" s="33" t="str">
        <f t="shared" si="201"/>
        <v>ALP</v>
      </c>
      <c r="C3211" s="33" t="str">
        <f t="shared" si="202"/>
        <v>40130-0000</v>
      </c>
      <c r="D3211" s="283" t="s">
        <v>4069</v>
      </c>
      <c r="E3211" s="64" t="s">
        <v>3690</v>
      </c>
      <c r="F3211" s="64" t="s">
        <v>230</v>
      </c>
      <c r="G3211" s="64" t="s">
        <v>3684</v>
      </c>
      <c r="H3211" s="64" t="s">
        <v>2871</v>
      </c>
      <c r="I3211" s="64" t="s">
        <v>3691</v>
      </c>
      <c r="J3211" s="67">
        <v>0</v>
      </c>
      <c r="K3211" s="62">
        <v>-49725</v>
      </c>
      <c r="L3211" s="33" t="e">
        <f>HLOOKUP(B3211,#REF!,1,0)</f>
        <v>#REF!</v>
      </c>
      <c r="M3211" s="33" t="str">
        <f t="shared" si="203"/>
        <v>P&amp;L</v>
      </c>
    </row>
    <row r="3212" spans="1:13" s="33" customFormat="true" ht="12.75" customHeight="true">
      <c r="A3212" s="33" t="str">
        <f t="shared" si="200"/>
        <v>ALP - Revenue</v>
      </c>
      <c r="B3212" s="33" t="str">
        <f t="shared" si="201"/>
        <v>ALP</v>
      </c>
      <c r="C3212" s="33" t="str">
        <f t="shared" si="202"/>
        <v>40140-0000</v>
      </c>
      <c r="D3212" s="283" t="s">
        <v>4070</v>
      </c>
      <c r="E3212" s="64" t="s">
        <v>3948</v>
      </c>
      <c r="F3212" s="64" t="s">
        <v>230</v>
      </c>
      <c r="G3212" s="64" t="s">
        <v>3684</v>
      </c>
      <c r="H3212" s="64" t="s">
        <v>2871</v>
      </c>
      <c r="I3212" s="64" t="s">
        <v>3949</v>
      </c>
      <c r="J3212" s="67">
        <v>0</v>
      </c>
      <c r="K3212" s="62">
        <v>0</v>
      </c>
      <c r="L3212" s="33" t="e">
        <f>HLOOKUP(B3212,#REF!,1,0)</f>
        <v>#REF!</v>
      </c>
      <c r="M3212" s="33" t="str">
        <f t="shared" si="203"/>
        <v>P&amp;L</v>
      </c>
    </row>
    <row r="3213" spans="1:13" s="33" customFormat="true" ht="12.75" customHeight="true">
      <c r="A3213" s="33" t="str">
        <f t="shared" si="200"/>
        <v>ALP - Revenue</v>
      </c>
      <c r="B3213" s="33" t="str">
        <f t="shared" si="201"/>
        <v>ALP</v>
      </c>
      <c r="C3213" s="33" t="str">
        <f t="shared" si="202"/>
        <v>41110-0000</v>
      </c>
      <c r="D3213" s="283" t="s">
        <v>4071</v>
      </c>
      <c r="E3213" s="64" t="s">
        <v>3693</v>
      </c>
      <c r="F3213" s="64" t="s">
        <v>230</v>
      </c>
      <c r="G3213" s="64" t="s">
        <v>3694</v>
      </c>
      <c r="H3213" s="64" t="s">
        <v>2871</v>
      </c>
      <c r="I3213" s="64" t="s">
        <v>3695</v>
      </c>
      <c r="J3213" s="67">
        <v>0</v>
      </c>
      <c r="K3213" s="62">
        <v>45059.53</v>
      </c>
      <c r="L3213" s="33" t="e">
        <f>HLOOKUP(B3213,#REF!,1,0)</f>
        <v>#REF!</v>
      </c>
      <c r="M3213" s="33" t="str">
        <f t="shared" si="203"/>
        <v>P&amp;L</v>
      </c>
    </row>
    <row r="3214" spans="1:13" s="33" customFormat="true" ht="12.75" customHeight="true">
      <c r="A3214" s="33" t="str">
        <f t="shared" si="200"/>
        <v>ALP - Revenue</v>
      </c>
      <c r="B3214" s="33" t="str">
        <f t="shared" si="201"/>
        <v>ALP</v>
      </c>
      <c r="C3214" s="33" t="str">
        <f t="shared" si="202"/>
        <v>41121-0000</v>
      </c>
      <c r="D3214" s="283" t="s">
        <v>4072</v>
      </c>
      <c r="E3214" s="64" t="s">
        <v>3697</v>
      </c>
      <c r="F3214" s="64" t="s">
        <v>230</v>
      </c>
      <c r="G3214" s="64" t="s">
        <v>3694</v>
      </c>
      <c r="H3214" s="64" t="s">
        <v>2871</v>
      </c>
      <c r="I3214" s="64" t="s">
        <v>3698</v>
      </c>
      <c r="J3214" s="67">
        <v>0</v>
      </c>
      <c r="K3214" s="62">
        <v>191854.03</v>
      </c>
      <c r="L3214" s="33" t="e">
        <f>HLOOKUP(B3214,#REF!,1,0)</f>
        <v>#REF!</v>
      </c>
      <c r="M3214" s="33" t="str">
        <f t="shared" si="203"/>
        <v>P&amp;L</v>
      </c>
    </row>
    <row r="3215" spans="1:13" s="33" customFormat="true" ht="12.75" customHeight="true">
      <c r="A3215" s="33" t="str">
        <f t="shared" si="200"/>
        <v>ALP - Revenue</v>
      </c>
      <c r="B3215" s="33" t="str">
        <f t="shared" si="201"/>
        <v>ALP</v>
      </c>
      <c r="C3215" s="33" t="str">
        <f t="shared" si="202"/>
        <v>41122-0000</v>
      </c>
      <c r="D3215" s="283" t="s">
        <v>4073</v>
      </c>
      <c r="E3215" s="64" t="s">
        <v>3700</v>
      </c>
      <c r="F3215" s="64" t="s">
        <v>230</v>
      </c>
      <c r="G3215" s="64" t="s">
        <v>3694</v>
      </c>
      <c r="H3215" s="64" t="s">
        <v>2871</v>
      </c>
      <c r="I3215" s="64" t="s">
        <v>3701</v>
      </c>
      <c r="J3215" s="67">
        <v>0</v>
      </c>
      <c r="K3215" s="62">
        <v>-202808.03</v>
      </c>
      <c r="L3215" s="33" t="e">
        <f>HLOOKUP(B3215,#REF!,1,0)</f>
        <v>#REF!</v>
      </c>
      <c r="M3215" s="33" t="str">
        <f t="shared" si="203"/>
        <v>P&amp;L</v>
      </c>
    </row>
    <row r="3216" spans="1:13" s="33" customFormat="true" ht="12.75" customHeight="true">
      <c r="A3216" s="33" t="str">
        <f t="shared" si="200"/>
        <v>ALP - Revenue</v>
      </c>
      <c r="B3216" s="33" t="str">
        <f t="shared" si="201"/>
        <v>ALP</v>
      </c>
      <c r="C3216" s="33" t="str">
        <f t="shared" si="202"/>
        <v>41130-0000</v>
      </c>
      <c r="D3216" s="283" t="s">
        <v>4074</v>
      </c>
      <c r="E3216" s="64" t="s">
        <v>3703</v>
      </c>
      <c r="F3216" s="64" t="s">
        <v>230</v>
      </c>
      <c r="G3216" s="64" t="s">
        <v>3694</v>
      </c>
      <c r="H3216" s="64" t="s">
        <v>2871</v>
      </c>
      <c r="I3216" s="64" t="s">
        <v>3704</v>
      </c>
      <c r="J3216" s="67">
        <v>0</v>
      </c>
      <c r="K3216" s="62">
        <v>400</v>
      </c>
      <c r="L3216" s="33" t="e">
        <f>HLOOKUP(B3216,#REF!,1,0)</f>
        <v>#REF!</v>
      </c>
      <c r="M3216" s="33" t="str">
        <f t="shared" si="203"/>
        <v>P&amp;L</v>
      </c>
    </row>
    <row r="3217" spans="1:13" s="33" customFormat="true" ht="12.75" customHeight="true">
      <c r="A3217" s="33" t="str">
        <f t="shared" si="200"/>
        <v>ALP - Revenue</v>
      </c>
      <c r="B3217" s="33" t="str">
        <f t="shared" si="201"/>
        <v>ALP</v>
      </c>
      <c r="C3217" s="33" t="str">
        <f t="shared" si="202"/>
        <v>41150-0000</v>
      </c>
      <c r="D3217" s="283" t="s">
        <v>4075</v>
      </c>
      <c r="E3217" s="64" t="s">
        <v>3709</v>
      </c>
      <c r="F3217" s="64" t="s">
        <v>230</v>
      </c>
      <c r="G3217" s="64" t="s">
        <v>3694</v>
      </c>
      <c r="H3217" s="64" t="s">
        <v>2871</v>
      </c>
      <c r="I3217" s="64" t="s">
        <v>3710</v>
      </c>
      <c r="J3217" s="67">
        <v>0</v>
      </c>
      <c r="K3217" s="62">
        <v>9136</v>
      </c>
      <c r="L3217" s="33" t="e">
        <f>HLOOKUP(B3217,#REF!,1,0)</f>
        <v>#REF!</v>
      </c>
      <c r="M3217" s="33" t="str">
        <f t="shared" si="203"/>
        <v>P&amp;L</v>
      </c>
    </row>
    <row r="3218" spans="1:13" s="33" customFormat="true" ht="12.75" customHeight="true">
      <c r="A3218" s="33" t="str">
        <f t="shared" si="200"/>
        <v>ALP - Revenue</v>
      </c>
      <c r="B3218" s="33" t="str">
        <f t="shared" si="201"/>
        <v>ALP</v>
      </c>
      <c r="C3218" s="33" t="str">
        <f t="shared" si="202"/>
        <v>41999-0000</v>
      </c>
      <c r="D3218" s="283" t="s">
        <v>4076</v>
      </c>
      <c r="E3218" s="64" t="s">
        <v>3712</v>
      </c>
      <c r="F3218" s="64" t="s">
        <v>230</v>
      </c>
      <c r="G3218" s="64" t="s">
        <v>3713</v>
      </c>
      <c r="H3218" s="64" t="s">
        <v>2871</v>
      </c>
      <c r="I3218" s="64" t="s">
        <v>3714</v>
      </c>
      <c r="J3218" s="67">
        <v>0</v>
      </c>
      <c r="K3218" s="62">
        <v>1524459.47</v>
      </c>
      <c r="L3218" s="33" t="e">
        <f>HLOOKUP(B3218,#REF!,1,0)</f>
        <v>#REF!</v>
      </c>
      <c r="M3218" s="33" t="str">
        <f t="shared" si="203"/>
        <v>P&amp;L</v>
      </c>
    </row>
    <row r="3219" spans="1:13" s="33" customFormat="true" ht="12.75" customHeight="true">
      <c r="A3219" s="33" t="str">
        <f t="shared" si="200"/>
        <v>ALP - Revenue</v>
      </c>
      <c r="B3219" s="33" t="str">
        <f t="shared" si="201"/>
        <v>ALP</v>
      </c>
      <c r="C3219" s="33" t="str">
        <f t="shared" si="202"/>
        <v>47400-0000</v>
      </c>
      <c r="D3219" s="283" t="s">
        <v>4077</v>
      </c>
      <c r="E3219" s="64" t="s">
        <v>3716</v>
      </c>
      <c r="F3219" s="64" t="s">
        <v>230</v>
      </c>
      <c r="G3219" s="64" t="s">
        <v>3717</v>
      </c>
      <c r="H3219" s="64" t="s">
        <v>2871</v>
      </c>
      <c r="I3219" s="64" t="s">
        <v>3718</v>
      </c>
      <c r="J3219" s="67">
        <v>0</v>
      </c>
      <c r="K3219" s="62">
        <v>-1524059.47</v>
      </c>
      <c r="L3219" s="33" t="e">
        <f>HLOOKUP(B3219,#REF!,1,0)</f>
        <v>#REF!</v>
      </c>
      <c r="M3219" s="33" t="str">
        <f t="shared" si="203"/>
        <v>P&amp;L</v>
      </c>
    </row>
    <row r="3220" spans="1:13" s="33" customFormat="true" ht="12.75" customHeight="true">
      <c r="A3220" s="33" t="str">
        <f t="shared" si="200"/>
        <v>ALP - Revenue</v>
      </c>
      <c r="B3220" s="33" t="str">
        <f t="shared" si="201"/>
        <v>ALP</v>
      </c>
      <c r="C3220" s="33" t="str">
        <f t="shared" si="202"/>
        <v>47430-0000</v>
      </c>
      <c r="D3220" s="283" t="s">
        <v>4078</v>
      </c>
      <c r="E3220" s="64" t="s">
        <v>4053</v>
      </c>
      <c r="F3220" s="64" t="s">
        <v>230</v>
      </c>
      <c r="G3220" s="64" t="s">
        <v>3717</v>
      </c>
      <c r="H3220" s="64" t="s">
        <v>2871</v>
      </c>
      <c r="I3220" s="64" t="s">
        <v>4054</v>
      </c>
      <c r="J3220" s="67">
        <v>0</v>
      </c>
      <c r="K3220" s="62">
        <v>-4663.69</v>
      </c>
      <c r="L3220" s="33" t="e">
        <f>HLOOKUP(B3220,#REF!,1,0)</f>
        <v>#REF!</v>
      </c>
      <c r="M3220" s="33" t="str">
        <f t="shared" si="203"/>
        <v>P&amp;L</v>
      </c>
    </row>
    <row r="3221" spans="1:13" s="33" customFormat="true" ht="12.75" customHeight="true">
      <c r="A3221" s="33" t="str">
        <f t="shared" si="200"/>
        <v>ALP - Revenue</v>
      </c>
      <c r="B3221" s="33" t="str">
        <f t="shared" si="201"/>
        <v>ALP</v>
      </c>
      <c r="C3221" s="33" t="str">
        <f t="shared" si="202"/>
        <v>47440-0000</v>
      </c>
      <c r="D3221" s="283" t="s">
        <v>4079</v>
      </c>
      <c r="E3221" s="64" t="s">
        <v>3720</v>
      </c>
      <c r="F3221" s="64" t="s">
        <v>230</v>
      </c>
      <c r="G3221" s="64" t="s">
        <v>3717</v>
      </c>
      <c r="H3221" s="64" t="s">
        <v>2871</v>
      </c>
      <c r="I3221" s="64" t="s">
        <v>3721</v>
      </c>
      <c r="J3221" s="67">
        <v>0</v>
      </c>
      <c r="K3221" s="62">
        <v>-25782.97</v>
      </c>
      <c r="L3221" s="33" t="e">
        <f>HLOOKUP(B3221,#REF!,1,0)</f>
        <v>#REF!</v>
      </c>
      <c r="M3221" s="33" t="str">
        <f t="shared" si="203"/>
        <v>P&amp;L</v>
      </c>
    </row>
    <row r="3222" spans="1:13" s="33" customFormat="true" ht="12.75" customHeight="true">
      <c r="A3222" s="33" t="str">
        <f t="shared" si="200"/>
        <v>ALP - Revenue</v>
      </c>
      <c r="B3222" s="33" t="str">
        <f t="shared" si="201"/>
        <v>ALP</v>
      </c>
      <c r="C3222" s="33" t="str">
        <f t="shared" si="202"/>
        <v>47450-0000</v>
      </c>
      <c r="D3222" s="283" t="s">
        <v>4080</v>
      </c>
      <c r="E3222" s="64" t="s">
        <v>3723</v>
      </c>
      <c r="F3222" s="64" t="s">
        <v>230</v>
      </c>
      <c r="G3222" s="64" t="s">
        <v>3717</v>
      </c>
      <c r="H3222" s="64" t="s">
        <v>2871</v>
      </c>
      <c r="I3222" s="64" t="s">
        <v>3724</v>
      </c>
      <c r="J3222" s="67">
        <v>0</v>
      </c>
      <c r="K3222" s="62">
        <v>-15238.99</v>
      </c>
      <c r="L3222" s="33" t="e">
        <f>HLOOKUP(B3222,#REF!,1,0)</f>
        <v>#REF!</v>
      </c>
      <c r="M3222" s="33" t="str">
        <f t="shared" si="203"/>
        <v>P&amp;L</v>
      </c>
    </row>
    <row r="3223" spans="1:13" s="33" customFormat="true" ht="12.75" customHeight="true">
      <c r="A3223" s="33" t="str">
        <f t="shared" si="200"/>
        <v>ALP - Revenue</v>
      </c>
      <c r="B3223" s="33" t="str">
        <f t="shared" si="201"/>
        <v>ALP</v>
      </c>
      <c r="C3223" s="33" t="str">
        <f t="shared" si="202"/>
        <v>47460-0000</v>
      </c>
      <c r="D3223" s="283" t="s">
        <v>4081</v>
      </c>
      <c r="E3223" s="64" t="s">
        <v>3726</v>
      </c>
      <c r="F3223" s="64" t="s">
        <v>230</v>
      </c>
      <c r="G3223" s="64" t="s">
        <v>3717</v>
      </c>
      <c r="H3223" s="64" t="s">
        <v>2871</v>
      </c>
      <c r="I3223" s="64" t="s">
        <v>3727</v>
      </c>
      <c r="J3223" s="67">
        <v>0</v>
      </c>
      <c r="K3223" s="62">
        <v>-20186</v>
      </c>
      <c r="L3223" s="33" t="e">
        <f>HLOOKUP(B3223,#REF!,1,0)</f>
        <v>#REF!</v>
      </c>
      <c r="M3223" s="33" t="str">
        <f t="shared" si="203"/>
        <v>P&amp;L</v>
      </c>
    </row>
    <row r="3224" spans="1:13" s="33" customFormat="true" ht="12.75" customHeight="true">
      <c r="A3224" s="33" t="str">
        <f t="shared" si="200"/>
        <v>ALP - Revenue</v>
      </c>
      <c r="B3224" s="33" t="str">
        <f t="shared" si="201"/>
        <v>ALP</v>
      </c>
      <c r="C3224" s="33" t="str">
        <f t="shared" si="202"/>
        <v>47480-0000</v>
      </c>
      <c r="D3224" s="283" t="s">
        <v>4082</v>
      </c>
      <c r="E3224" s="64" t="s">
        <v>3729</v>
      </c>
      <c r="F3224" s="64" t="s">
        <v>230</v>
      </c>
      <c r="G3224" s="64" t="s">
        <v>3717</v>
      </c>
      <c r="H3224" s="64" t="s">
        <v>2871</v>
      </c>
      <c r="I3224" s="64" t="s">
        <v>3721</v>
      </c>
      <c r="J3224" s="67">
        <v>0</v>
      </c>
      <c r="K3224" s="62">
        <v>-2295</v>
      </c>
      <c r="L3224" s="33" t="e">
        <f>HLOOKUP(B3224,#REF!,1,0)</f>
        <v>#REF!</v>
      </c>
      <c r="M3224" s="33" t="str">
        <f t="shared" si="203"/>
        <v>P&amp;L</v>
      </c>
    </row>
    <row r="3225" spans="1:13" s="33" customFormat="true" ht="12.75" customHeight="true">
      <c r="A3225" s="33" t="str">
        <f t="shared" si="200"/>
        <v>ALP - Revenue</v>
      </c>
      <c r="B3225" s="33" t="str">
        <f t="shared" si="201"/>
        <v>ALP</v>
      </c>
      <c r="C3225" s="33" t="str">
        <f t="shared" si="202"/>
        <v>47491-0000</v>
      </c>
      <c r="D3225" s="283" t="s">
        <v>4083</v>
      </c>
      <c r="E3225" s="64" t="s">
        <v>3733</v>
      </c>
      <c r="F3225" s="64" t="s">
        <v>230</v>
      </c>
      <c r="G3225" s="64" t="s">
        <v>3717</v>
      </c>
      <c r="H3225" s="64" t="s">
        <v>2871</v>
      </c>
      <c r="I3225" s="64" t="s">
        <v>3734</v>
      </c>
      <c r="J3225" s="67">
        <v>0</v>
      </c>
      <c r="K3225" s="62">
        <v>-45143.93</v>
      </c>
      <c r="L3225" s="33" t="e">
        <f>HLOOKUP(B3225,#REF!,1,0)</f>
        <v>#REF!</v>
      </c>
      <c r="M3225" s="33" t="str">
        <f t="shared" si="203"/>
        <v>P&amp;L</v>
      </c>
    </row>
    <row r="3226" spans="1:13" s="33" customFormat="true" ht="12.75" customHeight="true">
      <c r="A3226" s="33" t="str">
        <f t="shared" si="200"/>
        <v>ALP - Revenue</v>
      </c>
      <c r="B3226" s="33" t="str">
        <f t="shared" si="201"/>
        <v>ALP</v>
      </c>
      <c r="C3226" s="33" t="str">
        <f t="shared" si="202"/>
        <v>47492-0000</v>
      </c>
      <c r="D3226" s="283" t="s">
        <v>4084</v>
      </c>
      <c r="E3226" s="64" t="s">
        <v>3736</v>
      </c>
      <c r="F3226" s="64" t="s">
        <v>230</v>
      </c>
      <c r="G3226" s="64" t="s">
        <v>3717</v>
      </c>
      <c r="H3226" s="64" t="s">
        <v>2871</v>
      </c>
      <c r="I3226" s="64" t="s">
        <v>3737</v>
      </c>
      <c r="J3226" s="67">
        <v>0</v>
      </c>
      <c r="K3226" s="62">
        <v>-1615.17</v>
      </c>
      <c r="L3226" s="33" t="e">
        <f>HLOOKUP(B3226,#REF!,1,0)</f>
        <v>#REF!</v>
      </c>
      <c r="M3226" s="33" t="str">
        <f t="shared" si="203"/>
        <v>P&amp;L</v>
      </c>
    </row>
    <row r="3227" spans="1:13" s="33" customFormat="true" ht="12.75" customHeight="true">
      <c r="A3227" s="33" t="str">
        <f t="shared" si="200"/>
        <v>ALP - CGS</v>
      </c>
      <c r="B3227" s="33" t="str">
        <f t="shared" si="201"/>
        <v>ALP</v>
      </c>
      <c r="C3227" s="33" t="str">
        <f t="shared" si="202"/>
        <v>51002-0000</v>
      </c>
      <c r="D3227" s="283" t="s">
        <v>4085</v>
      </c>
      <c r="E3227" s="64" t="s">
        <v>4086</v>
      </c>
      <c r="F3227" s="64" t="s">
        <v>230</v>
      </c>
      <c r="G3227" s="64" t="s">
        <v>3740</v>
      </c>
      <c r="H3227" s="64" t="s">
        <v>1875</v>
      </c>
      <c r="I3227" s="64" t="s">
        <v>4087</v>
      </c>
      <c r="J3227" s="67">
        <v>0</v>
      </c>
      <c r="K3227" s="62">
        <v>2050</v>
      </c>
      <c r="L3227" s="33" t="e">
        <f>HLOOKUP(B3227,#REF!,1,0)</f>
        <v>#REF!</v>
      </c>
      <c r="M3227" s="33" t="str">
        <f t="shared" si="203"/>
        <v>P&amp;L</v>
      </c>
    </row>
    <row r="3228" spans="1:13" s="33" customFormat="true" ht="12.75" customHeight="true">
      <c r="A3228" s="33" t="str">
        <f t="shared" si="200"/>
        <v>ALP - CGS</v>
      </c>
      <c r="B3228" s="33" t="str">
        <f t="shared" si="201"/>
        <v>ALP</v>
      </c>
      <c r="C3228" s="33" t="str">
        <f t="shared" si="202"/>
        <v>51005-0000</v>
      </c>
      <c r="D3228" s="283" t="s">
        <v>4088</v>
      </c>
      <c r="E3228" s="64" t="s">
        <v>3968</v>
      </c>
      <c r="F3228" s="64" t="s">
        <v>230</v>
      </c>
      <c r="G3228" s="64" t="s">
        <v>3740</v>
      </c>
      <c r="H3228" s="64" t="s">
        <v>1875</v>
      </c>
      <c r="I3228" s="64" t="s">
        <v>3969</v>
      </c>
      <c r="J3228" s="67">
        <v>0</v>
      </c>
      <c r="K3228" s="62">
        <v>153.1</v>
      </c>
      <c r="L3228" s="33" t="e">
        <f>HLOOKUP(B3228,#REF!,1,0)</f>
        <v>#REF!</v>
      </c>
      <c r="M3228" s="33" t="str">
        <f t="shared" si="203"/>
        <v>P&amp;L</v>
      </c>
    </row>
    <row r="3229" spans="1:13" s="33" customFormat="true" ht="12.75" customHeight="true">
      <c r="A3229" s="33" t="str">
        <f t="shared" si="200"/>
        <v>ALP - CGS</v>
      </c>
      <c r="B3229" s="33" t="str">
        <f t="shared" si="201"/>
        <v>ALP</v>
      </c>
      <c r="C3229" s="33" t="str">
        <f t="shared" si="202"/>
        <v>51006-0000</v>
      </c>
      <c r="D3229" s="283" t="s">
        <v>4089</v>
      </c>
      <c r="E3229" s="64" t="s">
        <v>3739</v>
      </c>
      <c r="F3229" s="64" t="s">
        <v>230</v>
      </c>
      <c r="G3229" s="64" t="s">
        <v>3740</v>
      </c>
      <c r="H3229" s="64" t="s">
        <v>1875</v>
      </c>
      <c r="I3229" s="64" t="s">
        <v>3741</v>
      </c>
      <c r="J3229" s="67">
        <v>0</v>
      </c>
      <c r="K3229" s="62">
        <v>3956.84</v>
      </c>
      <c r="L3229" s="33" t="e">
        <f>HLOOKUP(B3229,#REF!,1,0)</f>
        <v>#REF!</v>
      </c>
      <c r="M3229" s="33" t="str">
        <f t="shared" si="203"/>
        <v>P&amp;L</v>
      </c>
    </row>
    <row r="3230" spans="1:13" s="33" customFormat="true" ht="12.75" customHeight="true">
      <c r="A3230" s="33" t="str">
        <f t="shared" si="200"/>
        <v>ALP - CGS</v>
      </c>
      <c r="B3230" s="33" t="str">
        <f t="shared" si="201"/>
        <v>ALP</v>
      </c>
      <c r="C3230" s="33" t="str">
        <f t="shared" si="202"/>
        <v>51007-0000</v>
      </c>
      <c r="D3230" s="283" t="s">
        <v>4090</v>
      </c>
      <c r="E3230" s="64" t="s">
        <v>3972</v>
      </c>
      <c r="F3230" s="64" t="s">
        <v>230</v>
      </c>
      <c r="G3230" s="64" t="s">
        <v>3740</v>
      </c>
      <c r="H3230" s="64" t="s">
        <v>1875</v>
      </c>
      <c r="I3230" s="64" t="s">
        <v>3973</v>
      </c>
      <c r="J3230" s="67">
        <v>0</v>
      </c>
      <c r="K3230" s="62">
        <v>778.32</v>
      </c>
      <c r="L3230" s="33" t="e">
        <f>HLOOKUP(B3230,#REF!,1,0)</f>
        <v>#REF!</v>
      </c>
      <c r="M3230" s="33" t="str">
        <f t="shared" si="203"/>
        <v>P&amp;L</v>
      </c>
    </row>
    <row r="3231" spans="1:13" s="33" customFormat="true" ht="12.75" customHeight="true">
      <c r="A3231" s="33" t="str">
        <f t="shared" si="200"/>
        <v>ALP - CGS</v>
      </c>
      <c r="B3231" s="33" t="str">
        <f t="shared" si="201"/>
        <v>ALP</v>
      </c>
      <c r="C3231" s="33" t="str">
        <f t="shared" si="202"/>
        <v>51008-0000</v>
      </c>
      <c r="D3231" s="283" t="s">
        <v>4091</v>
      </c>
      <c r="E3231" s="64" t="s">
        <v>3743</v>
      </c>
      <c r="F3231" s="64" t="s">
        <v>230</v>
      </c>
      <c r="G3231" s="64" t="s">
        <v>3740</v>
      </c>
      <c r="H3231" s="64" t="s">
        <v>1875</v>
      </c>
      <c r="I3231" s="64" t="s">
        <v>3744</v>
      </c>
      <c r="J3231" s="67">
        <v>0</v>
      </c>
      <c r="K3231" s="62">
        <v>10409.12</v>
      </c>
      <c r="L3231" s="33" t="e">
        <f>HLOOKUP(B3231,#REF!,1,0)</f>
        <v>#REF!</v>
      </c>
      <c r="M3231" s="33" t="str">
        <f t="shared" si="203"/>
        <v>P&amp;L</v>
      </c>
    </row>
    <row r="3232" spans="1:13" s="33" customFormat="true" ht="12.75" customHeight="true">
      <c r="A3232" s="33" t="str">
        <f t="shared" si="200"/>
        <v>ALP - CGS</v>
      </c>
      <c r="B3232" s="33" t="str">
        <f t="shared" si="201"/>
        <v>ALP</v>
      </c>
      <c r="C3232" s="33" t="str">
        <f t="shared" si="202"/>
        <v>51009-0000</v>
      </c>
      <c r="D3232" s="283" t="s">
        <v>4092</v>
      </c>
      <c r="E3232" s="64" t="s">
        <v>3746</v>
      </c>
      <c r="F3232" s="64" t="s">
        <v>230</v>
      </c>
      <c r="G3232" s="64" t="s">
        <v>3740</v>
      </c>
      <c r="H3232" s="64" t="s">
        <v>1875</v>
      </c>
      <c r="I3232" s="64" t="s">
        <v>3747</v>
      </c>
      <c r="J3232" s="67">
        <v>0</v>
      </c>
      <c r="K3232" s="62">
        <v>3920.34</v>
      </c>
      <c r="L3232" s="33" t="e">
        <f>HLOOKUP(B3232,#REF!,1,0)</f>
        <v>#REF!</v>
      </c>
      <c r="M3232" s="33" t="str">
        <f t="shared" si="203"/>
        <v>P&amp;L</v>
      </c>
    </row>
    <row r="3233" spans="1:13" s="33" customFormat="true" ht="12.75" customHeight="true">
      <c r="A3233" s="33" t="str">
        <f t="shared" si="200"/>
        <v>ALP - CGS</v>
      </c>
      <c r="B3233" s="33" t="str">
        <f t="shared" si="201"/>
        <v>ALP</v>
      </c>
      <c r="C3233" s="33" t="str">
        <f t="shared" si="202"/>
        <v>51011-0000</v>
      </c>
      <c r="D3233" s="283" t="s">
        <v>4093</v>
      </c>
      <c r="E3233" s="64" t="s">
        <v>3749</v>
      </c>
      <c r="F3233" s="64" t="s">
        <v>230</v>
      </c>
      <c r="G3233" s="64" t="s">
        <v>3740</v>
      </c>
      <c r="H3233" s="64" t="s">
        <v>1875</v>
      </c>
      <c r="I3233" s="64" t="s">
        <v>3750</v>
      </c>
      <c r="J3233" s="67">
        <v>0</v>
      </c>
      <c r="K3233" s="62">
        <v>25120.96</v>
      </c>
      <c r="L3233" s="33" t="e">
        <f>HLOOKUP(B3233,#REF!,1,0)</f>
        <v>#REF!</v>
      </c>
      <c r="M3233" s="33" t="str">
        <f t="shared" si="203"/>
        <v>P&amp;L</v>
      </c>
    </row>
    <row r="3234" spans="1:13" s="33" customFormat="true" ht="12.75" customHeight="true">
      <c r="A3234" s="33" t="str">
        <f t="shared" si="200"/>
        <v>ALP - CGS</v>
      </c>
      <c r="B3234" s="33" t="str">
        <f t="shared" si="201"/>
        <v>ALP</v>
      </c>
      <c r="C3234" s="33" t="str">
        <f t="shared" si="202"/>
        <v>51012-0000</v>
      </c>
      <c r="D3234" s="283" t="s">
        <v>4094</v>
      </c>
      <c r="E3234" s="64" t="s">
        <v>3752</v>
      </c>
      <c r="F3234" s="64" t="s">
        <v>230</v>
      </c>
      <c r="G3234" s="64" t="s">
        <v>3740</v>
      </c>
      <c r="H3234" s="64" t="s">
        <v>1875</v>
      </c>
      <c r="I3234" s="64" t="s">
        <v>3753</v>
      </c>
      <c r="J3234" s="67">
        <v>0</v>
      </c>
      <c r="K3234" s="62">
        <v>1270</v>
      </c>
      <c r="L3234" s="33" t="e">
        <f>HLOOKUP(B3234,#REF!,1,0)</f>
        <v>#REF!</v>
      </c>
      <c r="M3234" s="33" t="str">
        <f t="shared" si="203"/>
        <v>P&amp;L</v>
      </c>
    </row>
    <row r="3235" spans="1:13" s="33" customFormat="true" ht="12.75" customHeight="true">
      <c r="A3235" s="33" t="str">
        <f t="shared" si="200"/>
        <v>ALP - CGS</v>
      </c>
      <c r="B3235" s="33" t="str">
        <f t="shared" si="201"/>
        <v>ALP</v>
      </c>
      <c r="C3235" s="33" t="str">
        <f t="shared" si="202"/>
        <v>51013-0000</v>
      </c>
      <c r="D3235" s="283" t="s">
        <v>4095</v>
      </c>
      <c r="E3235" s="64" t="s">
        <v>3979</v>
      </c>
      <c r="F3235" s="64" t="s">
        <v>230</v>
      </c>
      <c r="G3235" s="64" t="s">
        <v>3740</v>
      </c>
      <c r="H3235" s="64" t="s">
        <v>1875</v>
      </c>
      <c r="I3235" s="64" t="s">
        <v>3980</v>
      </c>
      <c r="J3235" s="67">
        <v>0</v>
      </c>
      <c r="K3235" s="62">
        <v>4140</v>
      </c>
      <c r="L3235" s="33" t="e">
        <f>HLOOKUP(B3235,#REF!,1,0)</f>
        <v>#REF!</v>
      </c>
      <c r="M3235" s="33" t="str">
        <f t="shared" si="203"/>
        <v>P&amp;L</v>
      </c>
    </row>
    <row r="3236" spans="1:13" s="33" customFormat="true" ht="12.75" customHeight="true">
      <c r="A3236" s="33" t="str">
        <f t="shared" si="200"/>
        <v>ALP - CGS</v>
      </c>
      <c r="B3236" s="33" t="str">
        <f t="shared" si="201"/>
        <v>ALP</v>
      </c>
      <c r="C3236" s="33" t="str">
        <f t="shared" si="202"/>
        <v>51015-0000</v>
      </c>
      <c r="D3236" s="283" t="s">
        <v>4096</v>
      </c>
      <c r="E3236" s="64" t="s">
        <v>3755</v>
      </c>
      <c r="F3236" s="64" t="s">
        <v>230</v>
      </c>
      <c r="G3236" s="64" t="s">
        <v>3740</v>
      </c>
      <c r="H3236" s="64" t="s">
        <v>1875</v>
      </c>
      <c r="I3236" s="64" t="s">
        <v>3756</v>
      </c>
      <c r="J3236" s="67">
        <v>0</v>
      </c>
      <c r="K3236" s="62">
        <v>466.71</v>
      </c>
      <c r="L3236" s="33" t="e">
        <f>HLOOKUP(B3236,#REF!,1,0)</f>
        <v>#REF!</v>
      </c>
      <c r="M3236" s="33" t="str">
        <f t="shared" si="203"/>
        <v>P&amp;L</v>
      </c>
    </row>
    <row r="3237" spans="1:13" s="33" customFormat="true" ht="12.75" customHeight="true">
      <c r="A3237" s="33" t="str">
        <f t="shared" si="200"/>
        <v>ALP - CGS</v>
      </c>
      <c r="B3237" s="33" t="str">
        <f t="shared" si="201"/>
        <v>ALP</v>
      </c>
      <c r="C3237" s="33" t="str">
        <f t="shared" si="202"/>
        <v>51017-0000</v>
      </c>
      <c r="D3237" s="283" t="s">
        <v>4097</v>
      </c>
      <c r="E3237" s="64" t="s">
        <v>3758</v>
      </c>
      <c r="F3237" s="64" t="s">
        <v>230</v>
      </c>
      <c r="G3237" s="64" t="s">
        <v>3160</v>
      </c>
      <c r="H3237" s="64" t="s">
        <v>1875</v>
      </c>
      <c r="I3237" s="64" t="s">
        <v>3759</v>
      </c>
      <c r="J3237" s="67">
        <v>0</v>
      </c>
      <c r="K3237" s="62">
        <v>30573.21</v>
      </c>
      <c r="L3237" s="33" t="e">
        <f>HLOOKUP(B3237,#REF!,1,0)</f>
        <v>#REF!</v>
      </c>
      <c r="M3237" s="33" t="str">
        <f t="shared" si="203"/>
        <v>P&amp;L</v>
      </c>
    </row>
    <row r="3238" spans="1:13" s="33" customFormat="true" ht="12.75" customHeight="true">
      <c r="A3238" s="33" t="str">
        <f t="shared" si="200"/>
        <v>ALP - CGS</v>
      </c>
      <c r="B3238" s="33" t="str">
        <f t="shared" si="201"/>
        <v>ALP</v>
      </c>
      <c r="C3238" s="33" t="str">
        <f t="shared" si="202"/>
        <v>51020-0000</v>
      </c>
      <c r="D3238" s="283" t="s">
        <v>4098</v>
      </c>
      <c r="E3238" s="64" t="s">
        <v>3763</v>
      </c>
      <c r="F3238" s="64" t="s">
        <v>230</v>
      </c>
      <c r="G3238" s="64" t="s">
        <v>3740</v>
      </c>
      <c r="H3238" s="64" t="s">
        <v>1875</v>
      </c>
      <c r="I3238" s="64" t="s">
        <v>3345</v>
      </c>
      <c r="J3238" s="67">
        <v>0</v>
      </c>
      <c r="K3238" s="62">
        <v>839.85</v>
      </c>
      <c r="L3238" s="33" t="e">
        <f>HLOOKUP(B3238,#REF!,1,0)</f>
        <v>#REF!</v>
      </c>
      <c r="M3238" s="33" t="str">
        <f t="shared" si="203"/>
        <v>P&amp;L</v>
      </c>
    </row>
    <row r="3239" spans="1:13" s="33" customFormat="true" ht="12.75" customHeight="true">
      <c r="A3239" s="33" t="str">
        <f t="shared" si="200"/>
        <v>ALP - CGS</v>
      </c>
      <c r="B3239" s="33" t="str">
        <f t="shared" si="201"/>
        <v>ALP</v>
      </c>
      <c r="C3239" s="33" t="str">
        <f t="shared" si="202"/>
        <v>51025-0000</v>
      </c>
      <c r="D3239" s="283" t="s">
        <v>4099</v>
      </c>
      <c r="E3239" s="64" t="s">
        <v>3988</v>
      </c>
      <c r="F3239" s="64" t="s">
        <v>230</v>
      </c>
      <c r="G3239" s="64" t="s">
        <v>3740</v>
      </c>
      <c r="H3239" s="64" t="s">
        <v>1875</v>
      </c>
      <c r="I3239" s="64" t="s">
        <v>3989</v>
      </c>
      <c r="J3239" s="67">
        <v>0</v>
      </c>
      <c r="K3239" s="62">
        <v>10141.91</v>
      </c>
      <c r="L3239" s="33" t="e">
        <f>HLOOKUP(B3239,#REF!,1,0)</f>
        <v>#REF!</v>
      </c>
      <c r="M3239" s="33" t="str">
        <f t="shared" si="203"/>
        <v>P&amp;L</v>
      </c>
    </row>
    <row r="3240" spans="1:13" s="33" customFormat="true" ht="12.75" customHeight="true">
      <c r="A3240" s="33" t="str">
        <f t="shared" si="200"/>
        <v>ALP - CGS</v>
      </c>
      <c r="B3240" s="33" t="str">
        <f t="shared" si="201"/>
        <v>ALP</v>
      </c>
      <c r="C3240" s="33" t="str">
        <f t="shared" si="202"/>
        <v>51029-0000</v>
      </c>
      <c r="D3240" s="283" t="s">
        <v>4100</v>
      </c>
      <c r="E3240" s="64" t="s">
        <v>3993</v>
      </c>
      <c r="F3240" s="64" t="s">
        <v>230</v>
      </c>
      <c r="G3240" s="64" t="s">
        <v>3740</v>
      </c>
      <c r="H3240" s="64" t="s">
        <v>1875</v>
      </c>
      <c r="I3240" s="64" t="s">
        <v>3994</v>
      </c>
      <c r="J3240" s="67">
        <v>0</v>
      </c>
      <c r="K3240" s="62">
        <v>5541.75</v>
      </c>
      <c r="L3240" s="33" t="e">
        <f>HLOOKUP(B3240,#REF!,1,0)</f>
        <v>#REF!</v>
      </c>
      <c r="M3240" s="33" t="str">
        <f t="shared" si="203"/>
        <v>P&amp;L</v>
      </c>
    </row>
    <row r="3241" spans="1:13" s="33" customFormat="true" ht="12.75" customHeight="true">
      <c r="A3241" s="33" t="str">
        <f t="shared" si="200"/>
        <v>ALP - CGS</v>
      </c>
      <c r="B3241" s="33" t="str">
        <f t="shared" si="201"/>
        <v>ALP</v>
      </c>
      <c r="C3241" s="33" t="str">
        <f t="shared" si="202"/>
        <v>52001-0000</v>
      </c>
      <c r="D3241" s="283" t="s">
        <v>4101</v>
      </c>
      <c r="E3241" s="64" t="s">
        <v>3768</v>
      </c>
      <c r="F3241" s="64" t="s">
        <v>230</v>
      </c>
      <c r="G3241" s="64" t="s">
        <v>3769</v>
      </c>
      <c r="H3241" s="64" t="s">
        <v>1875</v>
      </c>
      <c r="I3241" s="64" t="s">
        <v>3770</v>
      </c>
      <c r="J3241" s="67">
        <v>0</v>
      </c>
      <c r="K3241" s="62">
        <v>10102.1</v>
      </c>
      <c r="L3241" s="33" t="e">
        <f>HLOOKUP(B3241,#REF!,1,0)</f>
        <v>#REF!</v>
      </c>
      <c r="M3241" s="33" t="str">
        <f t="shared" si="203"/>
        <v>P&amp;L</v>
      </c>
    </row>
    <row r="3242" spans="1:13" s="33" customFormat="true" ht="12.75" customHeight="true">
      <c r="A3242" s="33" t="str">
        <f t="shared" si="200"/>
        <v>ALP - CGS</v>
      </c>
      <c r="B3242" s="33" t="str">
        <f t="shared" si="201"/>
        <v>ALP</v>
      </c>
      <c r="C3242" s="33" t="str">
        <f t="shared" si="202"/>
        <v>52002-0000</v>
      </c>
      <c r="D3242" s="283" t="s">
        <v>4102</v>
      </c>
      <c r="E3242" s="64" t="s">
        <v>3997</v>
      </c>
      <c r="F3242" s="64" t="s">
        <v>230</v>
      </c>
      <c r="G3242" s="64" t="s">
        <v>3769</v>
      </c>
      <c r="H3242" s="64" t="s">
        <v>1875</v>
      </c>
      <c r="I3242" s="64" t="s">
        <v>3998</v>
      </c>
      <c r="J3242" s="67">
        <v>0</v>
      </c>
      <c r="K3242" s="62">
        <v>-75</v>
      </c>
      <c r="L3242" s="33" t="e">
        <f>HLOOKUP(B3242,#REF!,1,0)</f>
        <v>#REF!</v>
      </c>
      <c r="M3242" s="33" t="str">
        <f t="shared" si="203"/>
        <v>P&amp;L</v>
      </c>
    </row>
    <row r="3243" spans="1:13" s="33" customFormat="true" ht="12.75" customHeight="true">
      <c r="A3243" s="33" t="str">
        <f t="shared" si="200"/>
        <v>ALP - CGS</v>
      </c>
      <c r="B3243" s="33" t="str">
        <f t="shared" si="201"/>
        <v>ALP</v>
      </c>
      <c r="C3243" s="33" t="str">
        <f t="shared" si="202"/>
        <v>52003-0000</v>
      </c>
      <c r="D3243" s="283" t="s">
        <v>4103</v>
      </c>
      <c r="E3243" s="64" t="s">
        <v>3772</v>
      </c>
      <c r="F3243" s="64" t="s">
        <v>230</v>
      </c>
      <c r="G3243" s="64" t="s">
        <v>3769</v>
      </c>
      <c r="H3243" s="64" t="s">
        <v>1875</v>
      </c>
      <c r="I3243" s="64" t="s">
        <v>3773</v>
      </c>
      <c r="J3243" s="67">
        <v>0</v>
      </c>
      <c r="K3243" s="62">
        <v>-420</v>
      </c>
      <c r="L3243" s="33" t="e">
        <f>HLOOKUP(B3243,#REF!,1,0)</f>
        <v>#REF!</v>
      </c>
      <c r="M3243" s="33" t="str">
        <f t="shared" si="203"/>
        <v>P&amp;L</v>
      </c>
    </row>
    <row r="3244" spans="1:13" s="33" customFormat="true" ht="12.75" customHeight="true">
      <c r="A3244" s="33" t="str">
        <f t="shared" si="200"/>
        <v>ALP - CGS</v>
      </c>
      <c r="B3244" s="33" t="str">
        <f t="shared" si="201"/>
        <v>ALP</v>
      </c>
      <c r="C3244" s="33" t="str">
        <f t="shared" si="202"/>
        <v>52004-0000</v>
      </c>
      <c r="D3244" s="283" t="s">
        <v>4104</v>
      </c>
      <c r="E3244" s="64" t="s">
        <v>3775</v>
      </c>
      <c r="F3244" s="64" t="s">
        <v>230</v>
      </c>
      <c r="G3244" s="64" t="s">
        <v>3769</v>
      </c>
      <c r="H3244" s="64" t="s">
        <v>1875</v>
      </c>
      <c r="I3244" s="64" t="s">
        <v>3776</v>
      </c>
      <c r="J3244" s="67">
        <v>0</v>
      </c>
      <c r="K3244" s="62">
        <v>-1598.4</v>
      </c>
      <c r="L3244" s="33" t="e">
        <f>HLOOKUP(B3244,#REF!,1,0)</f>
        <v>#REF!</v>
      </c>
      <c r="M3244" s="33" t="str">
        <f t="shared" si="203"/>
        <v>P&amp;L</v>
      </c>
    </row>
    <row r="3245" spans="1:13" s="33" customFormat="true" ht="12.75" customHeight="true">
      <c r="A3245" s="33" t="str">
        <f t="shared" si="200"/>
        <v>ALP - CGS</v>
      </c>
      <c r="B3245" s="33" t="str">
        <f t="shared" si="201"/>
        <v>ALP</v>
      </c>
      <c r="C3245" s="33" t="str">
        <f t="shared" si="202"/>
        <v>52006-0000</v>
      </c>
      <c r="D3245" s="283" t="s">
        <v>4105</v>
      </c>
      <c r="E3245" s="64" t="s">
        <v>3778</v>
      </c>
      <c r="F3245" s="64" t="s">
        <v>230</v>
      </c>
      <c r="G3245" s="64" t="s">
        <v>3769</v>
      </c>
      <c r="H3245" s="64" t="s">
        <v>1875</v>
      </c>
      <c r="I3245" s="64" t="s">
        <v>3779</v>
      </c>
      <c r="J3245" s="67">
        <v>0</v>
      </c>
      <c r="K3245" s="62">
        <v>1075.03</v>
      </c>
      <c r="L3245" s="33" t="e">
        <f>HLOOKUP(B3245,#REF!,1,0)</f>
        <v>#REF!</v>
      </c>
      <c r="M3245" s="33" t="str">
        <f t="shared" si="203"/>
        <v>P&amp;L</v>
      </c>
    </row>
    <row r="3246" spans="1:13" s="33" customFormat="true" ht="12.75" customHeight="true">
      <c r="A3246" s="33" t="str">
        <f t="shared" si="200"/>
        <v>ALP - CGS</v>
      </c>
      <c r="B3246" s="33" t="str">
        <f t="shared" si="201"/>
        <v>ALP</v>
      </c>
      <c r="C3246" s="33" t="str">
        <f t="shared" si="202"/>
        <v>53001-0000</v>
      </c>
      <c r="D3246" s="283" t="s">
        <v>4106</v>
      </c>
      <c r="E3246" s="64" t="s">
        <v>3781</v>
      </c>
      <c r="F3246" s="64" t="s">
        <v>230</v>
      </c>
      <c r="G3246" s="64" t="s">
        <v>3160</v>
      </c>
      <c r="H3246" s="64" t="s">
        <v>1875</v>
      </c>
      <c r="I3246" s="64" t="s">
        <v>3782</v>
      </c>
      <c r="J3246" s="67">
        <v>0</v>
      </c>
      <c r="K3246" s="62">
        <v>2201.3</v>
      </c>
      <c r="L3246" s="33" t="e">
        <f>HLOOKUP(B3246,#REF!,1,0)</f>
        <v>#REF!</v>
      </c>
      <c r="M3246" s="33" t="str">
        <f t="shared" si="203"/>
        <v>P&amp;L</v>
      </c>
    </row>
    <row r="3247" spans="1:13" s="33" customFormat="true" ht="12.75" customHeight="true">
      <c r="A3247" s="33" t="str">
        <f t="shared" si="200"/>
        <v>ALP - CGS</v>
      </c>
      <c r="B3247" s="33" t="str">
        <f t="shared" si="201"/>
        <v>ALP</v>
      </c>
      <c r="C3247" s="33" t="str">
        <f t="shared" si="202"/>
        <v>53002-0000</v>
      </c>
      <c r="D3247" s="283" t="s">
        <v>4107</v>
      </c>
      <c r="E3247" s="64" t="s">
        <v>3784</v>
      </c>
      <c r="F3247" s="64" t="s">
        <v>230</v>
      </c>
      <c r="G3247" s="64" t="s">
        <v>3160</v>
      </c>
      <c r="H3247" s="64" t="s">
        <v>1875</v>
      </c>
      <c r="I3247" s="64" t="s">
        <v>3785</v>
      </c>
      <c r="J3247" s="67">
        <v>0</v>
      </c>
      <c r="K3247" s="62">
        <v>32421.74</v>
      </c>
      <c r="L3247" s="33" t="e">
        <f>HLOOKUP(B3247,#REF!,1,0)</f>
        <v>#REF!</v>
      </c>
      <c r="M3247" s="33" t="str">
        <f t="shared" si="203"/>
        <v>P&amp;L</v>
      </c>
    </row>
    <row r="3248" spans="1:13" s="33" customFormat="true" ht="12.75" customHeight="true">
      <c r="A3248" s="33" t="str">
        <f t="shared" si="200"/>
        <v>ALP - CGS</v>
      </c>
      <c r="B3248" s="33" t="str">
        <f t="shared" si="201"/>
        <v>ALP</v>
      </c>
      <c r="C3248" s="33" t="str">
        <f t="shared" si="202"/>
        <v>53003-0000</v>
      </c>
      <c r="D3248" s="283" t="s">
        <v>4108</v>
      </c>
      <c r="E3248" s="64" t="s">
        <v>3787</v>
      </c>
      <c r="F3248" s="64" t="s">
        <v>230</v>
      </c>
      <c r="G3248" s="64" t="s">
        <v>3160</v>
      </c>
      <c r="H3248" s="64" t="s">
        <v>1875</v>
      </c>
      <c r="I3248" s="64" t="s">
        <v>3788</v>
      </c>
      <c r="J3248" s="67">
        <v>0</v>
      </c>
      <c r="K3248" s="62">
        <v>12630.46</v>
      </c>
      <c r="L3248" s="33" t="e">
        <f>HLOOKUP(B3248,#REF!,1,0)</f>
        <v>#REF!</v>
      </c>
      <c r="M3248" s="33" t="str">
        <f t="shared" si="203"/>
        <v>P&amp;L</v>
      </c>
    </row>
    <row r="3249" spans="1:13" s="33" customFormat="true" ht="12.75" customHeight="true">
      <c r="A3249" s="33" t="str">
        <f t="shared" si="200"/>
        <v>ALP - CGS</v>
      </c>
      <c r="B3249" s="33" t="str">
        <f t="shared" si="201"/>
        <v>ALP</v>
      </c>
      <c r="C3249" s="33" t="str">
        <f t="shared" si="202"/>
        <v>53004-0000</v>
      </c>
      <c r="D3249" s="283" t="s">
        <v>4109</v>
      </c>
      <c r="E3249" s="64" t="s">
        <v>3790</v>
      </c>
      <c r="F3249" s="64" t="s">
        <v>230</v>
      </c>
      <c r="G3249" s="64" t="s">
        <v>3160</v>
      </c>
      <c r="H3249" s="64" t="s">
        <v>1875</v>
      </c>
      <c r="I3249" s="64" t="s">
        <v>3791</v>
      </c>
      <c r="J3249" s="67">
        <v>0</v>
      </c>
      <c r="K3249" s="62">
        <v>4554.78</v>
      </c>
      <c r="L3249" s="33" t="e">
        <f>HLOOKUP(B3249,#REF!,1,0)</f>
        <v>#REF!</v>
      </c>
      <c r="M3249" s="33" t="str">
        <f t="shared" si="203"/>
        <v>P&amp;L</v>
      </c>
    </row>
    <row r="3250" spans="1:13" s="33" customFormat="true" ht="12.75" customHeight="true">
      <c r="A3250" s="33" t="str">
        <f t="shared" si="200"/>
        <v>ALP - CGS</v>
      </c>
      <c r="B3250" s="33" t="str">
        <f t="shared" si="201"/>
        <v>ALP</v>
      </c>
      <c r="C3250" s="33" t="str">
        <f t="shared" si="202"/>
        <v>53005-0000</v>
      </c>
      <c r="D3250" s="283" t="s">
        <v>4110</v>
      </c>
      <c r="E3250" s="64" t="s">
        <v>3793</v>
      </c>
      <c r="F3250" s="64" t="s">
        <v>230</v>
      </c>
      <c r="G3250" s="64" t="s">
        <v>3160</v>
      </c>
      <c r="H3250" s="64" t="s">
        <v>1875</v>
      </c>
      <c r="I3250" s="64" t="s">
        <v>3794</v>
      </c>
      <c r="J3250" s="67">
        <v>0</v>
      </c>
      <c r="K3250" s="62">
        <v>26187.01</v>
      </c>
      <c r="L3250" s="33" t="e">
        <f>HLOOKUP(B3250,#REF!,1,0)</f>
        <v>#REF!</v>
      </c>
      <c r="M3250" s="33" t="str">
        <f t="shared" si="203"/>
        <v>P&amp;L</v>
      </c>
    </row>
    <row r="3251" spans="1:13" s="33" customFormat="true" ht="12.75" customHeight="true">
      <c r="A3251" s="33" t="str">
        <f t="shared" si="200"/>
        <v>ALP - CGS</v>
      </c>
      <c r="B3251" s="33" t="str">
        <f t="shared" si="201"/>
        <v>ALP</v>
      </c>
      <c r="C3251" s="33" t="str">
        <f t="shared" si="202"/>
        <v>53006-0000</v>
      </c>
      <c r="D3251" s="283" t="s">
        <v>4111</v>
      </c>
      <c r="E3251" s="64" t="s">
        <v>3796</v>
      </c>
      <c r="F3251" s="64" t="s">
        <v>230</v>
      </c>
      <c r="G3251" s="64" t="s">
        <v>3160</v>
      </c>
      <c r="H3251" s="64" t="s">
        <v>1875</v>
      </c>
      <c r="I3251" s="64" t="s">
        <v>3797</v>
      </c>
      <c r="J3251" s="67">
        <v>0</v>
      </c>
      <c r="K3251" s="62">
        <v>33480.13</v>
      </c>
      <c r="L3251" s="33" t="e">
        <f>HLOOKUP(B3251,#REF!,1,0)</f>
        <v>#REF!</v>
      </c>
      <c r="M3251" s="33" t="str">
        <f t="shared" si="203"/>
        <v>P&amp;L</v>
      </c>
    </row>
    <row r="3252" spans="1:13" s="33" customFormat="true" ht="12.75" customHeight="true">
      <c r="A3252" s="33" t="str">
        <f t="shared" si="200"/>
        <v>ALP - CGS</v>
      </c>
      <c r="B3252" s="33" t="str">
        <f t="shared" si="201"/>
        <v>ALP</v>
      </c>
      <c r="C3252" s="33" t="str">
        <f t="shared" si="202"/>
        <v>54001-0000</v>
      </c>
      <c r="D3252" s="283" t="s">
        <v>4112</v>
      </c>
      <c r="E3252" s="64" t="s">
        <v>4008</v>
      </c>
      <c r="F3252" s="64" t="s">
        <v>230</v>
      </c>
      <c r="G3252" s="64" t="s">
        <v>3800</v>
      </c>
      <c r="H3252" s="64" t="s">
        <v>1875</v>
      </c>
      <c r="I3252" s="64" t="s">
        <v>4009</v>
      </c>
      <c r="J3252" s="67">
        <v>0</v>
      </c>
      <c r="K3252" s="62">
        <v>126.56</v>
      </c>
      <c r="L3252" s="33" t="e">
        <f>HLOOKUP(B3252,#REF!,1,0)</f>
        <v>#REF!</v>
      </c>
      <c r="M3252" s="33" t="str">
        <f t="shared" si="203"/>
        <v>P&amp;L</v>
      </c>
    </row>
    <row r="3253" spans="1:13" s="33" customFormat="true" ht="12.75" customHeight="true">
      <c r="A3253" s="33" t="str">
        <f t="shared" si="200"/>
        <v>ALP - CGS</v>
      </c>
      <c r="B3253" s="33" t="str">
        <f t="shared" si="201"/>
        <v>ALP</v>
      </c>
      <c r="C3253" s="33" t="str">
        <f t="shared" si="202"/>
        <v>54002-0000</v>
      </c>
      <c r="D3253" s="283" t="s">
        <v>4113</v>
      </c>
      <c r="E3253" s="64" t="s">
        <v>3799</v>
      </c>
      <c r="F3253" s="64" t="s">
        <v>230</v>
      </c>
      <c r="G3253" s="64" t="s">
        <v>3800</v>
      </c>
      <c r="H3253" s="64" t="s">
        <v>1875</v>
      </c>
      <c r="I3253" s="64" t="s">
        <v>3801</v>
      </c>
      <c r="J3253" s="67">
        <v>0</v>
      </c>
      <c r="K3253" s="62">
        <v>8703.99</v>
      </c>
      <c r="L3253" s="33" t="e">
        <f>HLOOKUP(B3253,#REF!,1,0)</f>
        <v>#REF!</v>
      </c>
      <c r="M3253" s="33" t="str">
        <f t="shared" si="203"/>
        <v>P&amp;L</v>
      </c>
    </row>
    <row r="3254" spans="1:13" s="33" customFormat="true" ht="12.75" customHeight="true">
      <c r="A3254" s="33" t="str">
        <f t="shared" si="200"/>
        <v>ALP - CGS</v>
      </c>
      <c r="B3254" s="33" t="str">
        <f t="shared" si="201"/>
        <v>ALP</v>
      </c>
      <c r="C3254" s="33" t="str">
        <f t="shared" si="202"/>
        <v>54003-0000</v>
      </c>
      <c r="D3254" s="283" t="s">
        <v>4114</v>
      </c>
      <c r="E3254" s="64" t="s">
        <v>3803</v>
      </c>
      <c r="F3254" s="64" t="s">
        <v>230</v>
      </c>
      <c r="G3254" s="64" t="s">
        <v>3800</v>
      </c>
      <c r="H3254" s="64" t="s">
        <v>1875</v>
      </c>
      <c r="I3254" s="64" t="s">
        <v>3804</v>
      </c>
      <c r="J3254" s="67">
        <v>0</v>
      </c>
      <c r="K3254" s="62">
        <v>0</v>
      </c>
      <c r="L3254" s="33" t="e">
        <f>HLOOKUP(B3254,#REF!,1,0)</f>
        <v>#REF!</v>
      </c>
      <c r="M3254" s="33" t="str">
        <f t="shared" si="203"/>
        <v>P&amp;L</v>
      </c>
    </row>
    <row r="3255" spans="1:13" s="33" customFormat="true" ht="12.75" customHeight="true">
      <c r="A3255" s="33" t="str">
        <f t="shared" si="200"/>
        <v>ALP - CGS</v>
      </c>
      <c r="B3255" s="33" t="str">
        <f t="shared" si="201"/>
        <v>ALP</v>
      </c>
      <c r="C3255" s="33" t="str">
        <f t="shared" si="202"/>
        <v>54004-0000</v>
      </c>
      <c r="D3255" s="283" t="s">
        <v>4115</v>
      </c>
      <c r="E3255" s="64" t="s">
        <v>3806</v>
      </c>
      <c r="F3255" s="64" t="s">
        <v>230</v>
      </c>
      <c r="G3255" s="64" t="s">
        <v>3800</v>
      </c>
      <c r="H3255" s="64" t="s">
        <v>1875</v>
      </c>
      <c r="I3255" s="64" t="s">
        <v>3807</v>
      </c>
      <c r="J3255" s="67">
        <v>0</v>
      </c>
      <c r="K3255" s="62">
        <v>51899.23</v>
      </c>
      <c r="L3255" s="33" t="e">
        <f>HLOOKUP(B3255,#REF!,1,0)</f>
        <v>#REF!</v>
      </c>
      <c r="M3255" s="33" t="str">
        <f t="shared" si="203"/>
        <v>P&amp;L</v>
      </c>
    </row>
    <row r="3256" spans="1:13" s="33" customFormat="true" ht="12.75" customHeight="true">
      <c r="A3256" s="33" t="str">
        <f t="shared" si="200"/>
        <v>ALP - CGS</v>
      </c>
      <c r="B3256" s="33" t="str">
        <f t="shared" si="201"/>
        <v>ALP</v>
      </c>
      <c r="C3256" s="33" t="str">
        <f t="shared" si="202"/>
        <v>54005-0000</v>
      </c>
      <c r="D3256" s="283" t="s">
        <v>4116</v>
      </c>
      <c r="E3256" s="64" t="s">
        <v>3809</v>
      </c>
      <c r="F3256" s="64" t="s">
        <v>230</v>
      </c>
      <c r="G3256" s="64" t="s">
        <v>3800</v>
      </c>
      <c r="H3256" s="64" t="s">
        <v>1875</v>
      </c>
      <c r="I3256" s="64" t="s">
        <v>3810</v>
      </c>
      <c r="J3256" s="67">
        <v>0</v>
      </c>
      <c r="K3256" s="62">
        <v>692.72</v>
      </c>
      <c r="L3256" s="33" t="e">
        <f>HLOOKUP(B3256,#REF!,1,0)</f>
        <v>#REF!</v>
      </c>
      <c r="M3256" s="33" t="str">
        <f t="shared" si="203"/>
        <v>P&amp;L</v>
      </c>
    </row>
    <row r="3257" spans="1:13" s="33" customFormat="true" ht="12.75" customHeight="true">
      <c r="A3257" s="33" t="str">
        <f t="shared" si="200"/>
        <v>ALP - CGS</v>
      </c>
      <c r="B3257" s="33" t="str">
        <f t="shared" si="201"/>
        <v>ALP</v>
      </c>
      <c r="C3257" s="33" t="str">
        <f t="shared" si="202"/>
        <v>54006-0000</v>
      </c>
      <c r="D3257" s="283" t="s">
        <v>4117</v>
      </c>
      <c r="E3257" s="64" t="s">
        <v>3812</v>
      </c>
      <c r="F3257" s="64" t="s">
        <v>230</v>
      </c>
      <c r="G3257" s="64" t="s">
        <v>3800</v>
      </c>
      <c r="H3257" s="64" t="s">
        <v>1875</v>
      </c>
      <c r="I3257" s="64" t="s">
        <v>3003</v>
      </c>
      <c r="J3257" s="67">
        <v>0</v>
      </c>
      <c r="K3257" s="62">
        <v>9968.11</v>
      </c>
      <c r="L3257" s="33" t="e">
        <f>HLOOKUP(B3257,#REF!,1,0)</f>
        <v>#REF!</v>
      </c>
      <c r="M3257" s="33" t="str">
        <f t="shared" si="203"/>
        <v>P&amp;L</v>
      </c>
    </row>
    <row r="3258" spans="1:13" s="33" customFormat="true" ht="12.75" customHeight="true">
      <c r="A3258" s="33" t="str">
        <f t="shared" si="200"/>
        <v>ALP - CGS</v>
      </c>
      <c r="B3258" s="33" t="str">
        <f t="shared" si="201"/>
        <v>ALP</v>
      </c>
      <c r="C3258" s="33" t="str">
        <f t="shared" si="202"/>
        <v>54007-0000</v>
      </c>
      <c r="D3258" s="283" t="s">
        <v>4118</v>
      </c>
      <c r="E3258" s="64" t="s">
        <v>3814</v>
      </c>
      <c r="F3258" s="64" t="s">
        <v>230</v>
      </c>
      <c r="G3258" s="64" t="s">
        <v>3800</v>
      </c>
      <c r="H3258" s="64" t="s">
        <v>1875</v>
      </c>
      <c r="I3258" s="64" t="s">
        <v>3815</v>
      </c>
      <c r="J3258" s="67">
        <v>0</v>
      </c>
      <c r="K3258" s="62">
        <v>56867.27</v>
      </c>
      <c r="L3258" s="33" t="e">
        <f>HLOOKUP(B3258,#REF!,1,0)</f>
        <v>#REF!</v>
      </c>
      <c r="M3258" s="33" t="str">
        <f t="shared" si="203"/>
        <v>P&amp;L</v>
      </c>
    </row>
    <row r="3259" spans="1:13" s="33" customFormat="true" ht="12.75" customHeight="true">
      <c r="A3259" s="33" t="str">
        <f t="shared" si="200"/>
        <v>ALP - PM Expenses</v>
      </c>
      <c r="B3259" s="33" t="str">
        <f t="shared" si="201"/>
        <v>ALP</v>
      </c>
      <c r="C3259" s="33" t="str">
        <f t="shared" si="202"/>
        <v>55501-0000</v>
      </c>
      <c r="D3259" s="283" t="s">
        <v>4119</v>
      </c>
      <c r="E3259" s="64" t="s">
        <v>4120</v>
      </c>
      <c r="F3259" s="64" t="s">
        <v>230</v>
      </c>
      <c r="G3259" s="64" t="s">
        <v>3818</v>
      </c>
      <c r="H3259" s="64" t="s">
        <v>3819</v>
      </c>
      <c r="I3259" s="64" t="s">
        <v>3820</v>
      </c>
      <c r="J3259" s="67">
        <v>0</v>
      </c>
      <c r="K3259" s="62">
        <v>10284.31</v>
      </c>
      <c r="L3259" s="33" t="e">
        <f>HLOOKUP(B3259,#REF!,1,0)</f>
        <v>#REF!</v>
      </c>
      <c r="M3259" s="33" t="str">
        <f t="shared" si="203"/>
        <v>P&amp;L</v>
      </c>
    </row>
    <row r="3260" spans="1:13" s="33" customFormat="true" ht="12.75" customHeight="true">
      <c r="A3260" s="33" t="str">
        <f t="shared" si="200"/>
        <v>ALP - PM Expenses</v>
      </c>
      <c r="B3260" s="33" t="str">
        <f t="shared" si="201"/>
        <v>ALP</v>
      </c>
      <c r="C3260" s="33" t="str">
        <f t="shared" si="202"/>
        <v>55502-0000</v>
      </c>
      <c r="D3260" s="283" t="s">
        <v>4121</v>
      </c>
      <c r="E3260" s="64" t="s">
        <v>3822</v>
      </c>
      <c r="F3260" s="64" t="s">
        <v>230</v>
      </c>
      <c r="G3260" s="64" t="s">
        <v>3818</v>
      </c>
      <c r="H3260" s="64" t="s">
        <v>3819</v>
      </c>
      <c r="I3260" s="64" t="s">
        <v>3823</v>
      </c>
      <c r="J3260" s="67">
        <v>0</v>
      </c>
      <c r="K3260" s="62">
        <v>18795.88</v>
      </c>
      <c r="L3260" s="33" t="e">
        <f>HLOOKUP(B3260,#REF!,1,0)</f>
        <v>#REF!</v>
      </c>
      <c r="M3260" s="33" t="str">
        <f t="shared" si="203"/>
        <v>P&amp;L</v>
      </c>
    </row>
    <row r="3261" spans="1:13" s="33" customFormat="true" ht="12.75" customHeight="true">
      <c r="A3261" s="33" t="str">
        <f t="shared" si="200"/>
        <v>ALP - PM Expenses</v>
      </c>
      <c r="B3261" s="33" t="str">
        <f t="shared" si="201"/>
        <v>ALP</v>
      </c>
      <c r="C3261" s="33" t="str">
        <f t="shared" si="202"/>
        <v>55503-0000</v>
      </c>
      <c r="D3261" s="283" t="s">
        <v>4122</v>
      </c>
      <c r="E3261" s="64" t="s">
        <v>3825</v>
      </c>
      <c r="F3261" s="64" t="s">
        <v>230</v>
      </c>
      <c r="G3261" s="64" t="s">
        <v>3818</v>
      </c>
      <c r="H3261" s="64" t="s">
        <v>3819</v>
      </c>
      <c r="I3261" s="64" t="s">
        <v>3826</v>
      </c>
      <c r="J3261" s="67">
        <v>0</v>
      </c>
      <c r="K3261" s="62">
        <v>17203.29</v>
      </c>
      <c r="L3261" s="33" t="e">
        <f>HLOOKUP(B3261,#REF!,1,0)</f>
        <v>#REF!</v>
      </c>
      <c r="M3261" s="33" t="str">
        <f t="shared" si="203"/>
        <v>P&amp;L</v>
      </c>
    </row>
    <row r="3262" spans="1:13" s="33" customFormat="true" ht="12.75" customHeight="true">
      <c r="A3262" s="33" t="str">
        <f t="shared" si="200"/>
        <v>ALP - PM Expenses</v>
      </c>
      <c r="B3262" s="33" t="str">
        <f t="shared" si="201"/>
        <v>ALP</v>
      </c>
      <c r="C3262" s="33" t="str">
        <f t="shared" si="202"/>
        <v>55504-0000</v>
      </c>
      <c r="D3262" s="283" t="s">
        <v>4123</v>
      </c>
      <c r="E3262" s="64" t="s">
        <v>4027</v>
      </c>
      <c r="F3262" s="64" t="s">
        <v>230</v>
      </c>
      <c r="G3262" s="64" t="s">
        <v>3818</v>
      </c>
      <c r="H3262" s="64" t="s">
        <v>3819</v>
      </c>
      <c r="I3262" s="64" t="s">
        <v>4028</v>
      </c>
      <c r="J3262" s="67">
        <v>0</v>
      </c>
      <c r="K3262" s="62">
        <v>452</v>
      </c>
      <c r="L3262" s="33" t="e">
        <f>HLOOKUP(B3262,#REF!,1,0)</f>
        <v>#REF!</v>
      </c>
      <c r="M3262" s="33" t="str">
        <f t="shared" si="203"/>
        <v>P&amp;L</v>
      </c>
    </row>
    <row r="3263" spans="1:13" s="33" customFormat="true" ht="12.75" customHeight="true">
      <c r="A3263" s="33" t="str">
        <f t="shared" si="200"/>
        <v>ALP - PM Expenses</v>
      </c>
      <c r="B3263" s="33" t="str">
        <f t="shared" si="201"/>
        <v>ALP</v>
      </c>
      <c r="C3263" s="33" t="str">
        <f t="shared" si="202"/>
        <v>55505-0000</v>
      </c>
      <c r="D3263" s="283" t="s">
        <v>4124</v>
      </c>
      <c r="E3263" s="64" t="s">
        <v>3828</v>
      </c>
      <c r="F3263" s="64" t="s">
        <v>230</v>
      </c>
      <c r="G3263" s="64" t="s">
        <v>3818</v>
      </c>
      <c r="H3263" s="64" t="s">
        <v>3819</v>
      </c>
      <c r="I3263" s="64" t="s">
        <v>3829</v>
      </c>
      <c r="J3263" s="67">
        <v>0</v>
      </c>
      <c r="K3263" s="62">
        <v>65867.83</v>
      </c>
      <c r="L3263" s="33" t="e">
        <f>HLOOKUP(B3263,#REF!,1,0)</f>
        <v>#REF!</v>
      </c>
      <c r="M3263" s="33" t="str">
        <f t="shared" si="203"/>
        <v>P&amp;L</v>
      </c>
    </row>
    <row r="3264" spans="1:13" s="33" customFormat="true" ht="12.75" customHeight="true">
      <c r="A3264" s="33" t="str">
        <f t="shared" si="200"/>
        <v>ALP - PM Expenses</v>
      </c>
      <c r="B3264" s="33" t="str">
        <f t="shared" si="201"/>
        <v>ALP</v>
      </c>
      <c r="C3264" s="33" t="str">
        <f t="shared" si="202"/>
        <v>55506-0000</v>
      </c>
      <c r="D3264" s="283" t="s">
        <v>4125</v>
      </c>
      <c r="E3264" s="64" t="s">
        <v>3831</v>
      </c>
      <c r="F3264" s="64" t="s">
        <v>230</v>
      </c>
      <c r="G3264" s="64" t="s">
        <v>3818</v>
      </c>
      <c r="H3264" s="64" t="s">
        <v>3819</v>
      </c>
      <c r="I3264" s="64" t="s">
        <v>3832</v>
      </c>
      <c r="J3264" s="67">
        <v>0</v>
      </c>
      <c r="K3264" s="62">
        <v>273152.84</v>
      </c>
      <c r="L3264" s="33" t="e">
        <f>HLOOKUP(B3264,#REF!,1,0)</f>
        <v>#REF!</v>
      </c>
      <c r="M3264" s="33" t="str">
        <f t="shared" si="203"/>
        <v>P&amp;L</v>
      </c>
    </row>
    <row r="3265" spans="1:13" s="33" customFormat="true" ht="12.75" customHeight="true">
      <c r="A3265" s="33" t="str">
        <f t="shared" si="200"/>
        <v>ALP - PM Expenses</v>
      </c>
      <c r="B3265" s="33" t="str">
        <f t="shared" si="201"/>
        <v>ALP</v>
      </c>
      <c r="C3265" s="33" t="str">
        <f t="shared" si="202"/>
        <v>55507-0000</v>
      </c>
      <c r="D3265" s="283" t="s">
        <v>4126</v>
      </c>
      <c r="E3265" s="64" t="s">
        <v>3834</v>
      </c>
      <c r="F3265" s="64" t="s">
        <v>230</v>
      </c>
      <c r="G3265" s="64" t="s">
        <v>3818</v>
      </c>
      <c r="H3265" s="64" t="s">
        <v>3819</v>
      </c>
      <c r="I3265" s="64" t="s">
        <v>3835</v>
      </c>
      <c r="J3265" s="67">
        <v>0</v>
      </c>
      <c r="K3265" s="62">
        <v>2092.66</v>
      </c>
      <c r="L3265" s="33" t="e">
        <f>HLOOKUP(B3265,#REF!,1,0)</f>
        <v>#REF!</v>
      </c>
      <c r="M3265" s="33" t="str">
        <f t="shared" si="203"/>
        <v>P&amp;L</v>
      </c>
    </row>
    <row r="3266" spans="1:13" s="33" customFormat="true" ht="12.75" customHeight="true">
      <c r="A3266" s="33" t="str">
        <f t="shared" ref="A3266:A3329" si="204">B3266&amp;" - "&amp;TRIM(H3266)</f>
        <v>ALP - CGS</v>
      </c>
      <c r="B3266" s="33" t="str">
        <f t="shared" ref="B3266:B3329" si="205">LEFT(D3266,3)</f>
        <v>ALP</v>
      </c>
      <c r="C3266" s="33" t="str">
        <f t="shared" ref="C3266:C3329" si="206">RIGHT(D3266,10)</f>
        <v>60002-0000</v>
      </c>
      <c r="D3266" s="283" t="s">
        <v>4127</v>
      </c>
      <c r="E3266" s="64" t="s">
        <v>3837</v>
      </c>
      <c r="F3266" s="64" t="s">
        <v>230</v>
      </c>
      <c r="G3266" s="64" t="s">
        <v>3838</v>
      </c>
      <c r="H3266" s="64" t="s">
        <v>1875</v>
      </c>
      <c r="I3266" s="64" t="s">
        <v>3839</v>
      </c>
      <c r="J3266" s="67">
        <v>0</v>
      </c>
      <c r="K3266" s="62">
        <v>2488.8</v>
      </c>
      <c r="L3266" s="33" t="e">
        <f>HLOOKUP(B3266,#REF!,1,0)</f>
        <v>#REF!</v>
      </c>
      <c r="M3266" s="33" t="str">
        <f t="shared" ref="M3266:M3329" si="207">IF(VALUE(LEFT(C3266,5))&gt;40000,"P&amp;L","BS")</f>
        <v>P&amp;L</v>
      </c>
    </row>
    <row r="3267" spans="1:13" s="33" customFormat="true" ht="12.75" customHeight="true">
      <c r="A3267" s="33" t="str">
        <f t="shared" si="204"/>
        <v>ALP - CGS</v>
      </c>
      <c r="B3267" s="33" t="str">
        <f t="shared" si="205"/>
        <v>ALP</v>
      </c>
      <c r="C3267" s="33" t="str">
        <f t="shared" si="206"/>
        <v>60005-0000</v>
      </c>
      <c r="D3267" s="283" t="s">
        <v>4128</v>
      </c>
      <c r="E3267" s="64" t="s">
        <v>3841</v>
      </c>
      <c r="F3267" s="64" t="s">
        <v>230</v>
      </c>
      <c r="G3267" s="64" t="s">
        <v>3838</v>
      </c>
      <c r="H3267" s="64" t="s">
        <v>1875</v>
      </c>
      <c r="I3267" s="64" t="s">
        <v>3842</v>
      </c>
      <c r="J3267" s="67">
        <v>0</v>
      </c>
      <c r="K3267" s="62">
        <v>10387.04</v>
      </c>
      <c r="L3267" s="33" t="e">
        <f>HLOOKUP(B3267,#REF!,1,0)</f>
        <v>#REF!</v>
      </c>
      <c r="M3267" s="33" t="str">
        <f t="shared" si="207"/>
        <v>P&amp;L</v>
      </c>
    </row>
    <row r="3268" spans="1:13" s="33" customFormat="true" ht="12.75" customHeight="true">
      <c r="A3268" s="33" t="str">
        <f t="shared" si="204"/>
        <v>ALP - Interest Expense</v>
      </c>
      <c r="B3268" s="33" t="str">
        <f t="shared" si="205"/>
        <v>ALP</v>
      </c>
      <c r="C3268" s="33" t="str">
        <f t="shared" si="206"/>
        <v>60006-0000</v>
      </c>
      <c r="D3268" s="283" t="s">
        <v>4129</v>
      </c>
      <c r="E3268" s="64" t="s">
        <v>3325</v>
      </c>
      <c r="F3268" s="64" t="s">
        <v>230</v>
      </c>
      <c r="G3268" s="64" t="s">
        <v>3844</v>
      </c>
      <c r="H3268" s="64" t="s">
        <v>3327</v>
      </c>
      <c r="I3268" s="64" t="s">
        <v>3328</v>
      </c>
      <c r="J3268" s="67">
        <v>0</v>
      </c>
      <c r="K3268" s="62">
        <v>512221.08</v>
      </c>
      <c r="L3268" s="33" t="e">
        <f>HLOOKUP(B3268,#REF!,1,0)</f>
        <v>#REF!</v>
      </c>
      <c r="M3268" s="33" t="str">
        <f t="shared" si="207"/>
        <v>P&amp;L</v>
      </c>
    </row>
    <row r="3269" spans="1:13" s="33" customFormat="true" ht="12.75" customHeight="true">
      <c r="A3269" s="33" t="str">
        <f t="shared" si="204"/>
        <v>ALP - CGS</v>
      </c>
      <c r="B3269" s="33" t="str">
        <f t="shared" si="205"/>
        <v>ALP</v>
      </c>
      <c r="C3269" s="33" t="str">
        <f t="shared" si="206"/>
        <v>60007-0000</v>
      </c>
      <c r="D3269" s="283" t="s">
        <v>4130</v>
      </c>
      <c r="E3269" s="64" t="s">
        <v>3846</v>
      </c>
      <c r="F3269" s="64" t="s">
        <v>230</v>
      </c>
      <c r="G3269" s="64" t="s">
        <v>3838</v>
      </c>
      <c r="H3269" s="64" t="s">
        <v>1875</v>
      </c>
      <c r="I3269" s="64" t="s">
        <v>3847</v>
      </c>
      <c r="J3269" s="67">
        <v>50000</v>
      </c>
      <c r="K3269" s="62">
        <v>150801</v>
      </c>
      <c r="L3269" s="33" t="e">
        <f>HLOOKUP(B3269,#REF!,1,0)</f>
        <v>#REF!</v>
      </c>
      <c r="M3269" s="33" t="str">
        <f t="shared" si="207"/>
        <v>P&amp;L</v>
      </c>
    </row>
    <row r="3270" spans="1:13" s="33" customFormat="true" ht="12.75" customHeight="true">
      <c r="A3270" s="33" t="str">
        <f t="shared" si="204"/>
        <v>ALP - CGS</v>
      </c>
      <c r="B3270" s="33" t="str">
        <f t="shared" si="205"/>
        <v>ALP</v>
      </c>
      <c r="C3270" s="33" t="str">
        <f t="shared" si="206"/>
        <v>60008-0000</v>
      </c>
      <c r="D3270" s="283" t="s">
        <v>4131</v>
      </c>
      <c r="E3270" s="64" t="s">
        <v>3849</v>
      </c>
      <c r="F3270" s="64" t="s">
        <v>230</v>
      </c>
      <c r="G3270" s="64" t="s">
        <v>3838</v>
      </c>
      <c r="H3270" s="64" t="s">
        <v>1875</v>
      </c>
      <c r="I3270" s="64" t="s">
        <v>3850</v>
      </c>
      <c r="J3270" s="67">
        <v>0</v>
      </c>
      <c r="K3270" s="62">
        <v>283120.72</v>
      </c>
      <c r="L3270" s="33" t="e">
        <f>HLOOKUP(B3270,#REF!,1,0)</f>
        <v>#REF!</v>
      </c>
      <c r="M3270" s="33" t="str">
        <f t="shared" si="207"/>
        <v>P&amp;L</v>
      </c>
    </row>
    <row r="3271" spans="1:13" s="33" customFormat="true" ht="12.75" customHeight="true">
      <c r="A3271" s="33" t="str">
        <f t="shared" si="204"/>
        <v>ALP - CGS</v>
      </c>
      <c r="B3271" s="33" t="str">
        <f t="shared" si="205"/>
        <v>ALP</v>
      </c>
      <c r="C3271" s="33" t="str">
        <f t="shared" si="206"/>
        <v>60012-0000</v>
      </c>
      <c r="D3271" s="283" t="s">
        <v>4132</v>
      </c>
      <c r="E3271" s="64" t="s">
        <v>3852</v>
      </c>
      <c r="F3271" s="64" t="s">
        <v>230</v>
      </c>
      <c r="G3271" s="64" t="s">
        <v>3838</v>
      </c>
      <c r="H3271" s="64" t="s">
        <v>1875</v>
      </c>
      <c r="I3271" s="64" t="s">
        <v>3853</v>
      </c>
      <c r="J3271" s="67">
        <v>0</v>
      </c>
      <c r="K3271" s="62">
        <v>66104.52</v>
      </c>
      <c r="L3271" s="33" t="e">
        <f>HLOOKUP(B3271,#REF!,1,0)</f>
        <v>#REF!</v>
      </c>
      <c r="M3271" s="33" t="str">
        <f t="shared" si="207"/>
        <v>P&amp;L</v>
      </c>
    </row>
    <row r="3272" spans="1:13" s="33" customFormat="true" ht="12.75" customHeight="true">
      <c r="A3272" s="33" t="str">
        <f t="shared" si="204"/>
        <v>ALP - CGS</v>
      </c>
      <c r="B3272" s="33" t="str">
        <f t="shared" si="205"/>
        <v>ALP</v>
      </c>
      <c r="C3272" s="33" t="str">
        <f t="shared" si="206"/>
        <v>60014-0000</v>
      </c>
      <c r="D3272" s="283" t="s">
        <v>4133</v>
      </c>
      <c r="E3272" s="64" t="s">
        <v>3855</v>
      </c>
      <c r="F3272" s="64" t="s">
        <v>230</v>
      </c>
      <c r="G3272" s="64" t="s">
        <v>3838</v>
      </c>
      <c r="H3272" s="64" t="s">
        <v>1875</v>
      </c>
      <c r="I3272" s="64" t="s">
        <v>3856</v>
      </c>
      <c r="J3272" s="67">
        <v>0</v>
      </c>
      <c r="K3272" s="62">
        <v>46489.73</v>
      </c>
      <c r="L3272" s="33" t="e">
        <f>HLOOKUP(B3272,#REF!,1,0)</f>
        <v>#REF!</v>
      </c>
      <c r="M3272" s="33" t="str">
        <f t="shared" si="207"/>
        <v>P&amp;L</v>
      </c>
    </row>
    <row r="3273" spans="1:13" s="33" customFormat="true" ht="12.75" customHeight="true">
      <c r="A3273" s="33" t="str">
        <f t="shared" si="204"/>
        <v>ALP - CGS</v>
      </c>
      <c r="B3273" s="33" t="str">
        <f t="shared" si="205"/>
        <v>ALP</v>
      </c>
      <c r="C3273" s="33" t="str">
        <f t="shared" si="206"/>
        <v>60015-0000</v>
      </c>
      <c r="D3273" s="283" t="s">
        <v>4134</v>
      </c>
      <c r="E3273" s="64" t="s">
        <v>3858</v>
      </c>
      <c r="F3273" s="64" t="s">
        <v>230</v>
      </c>
      <c r="G3273" s="64" t="s">
        <v>3838</v>
      </c>
      <c r="H3273" s="64" t="s">
        <v>1875</v>
      </c>
      <c r="I3273" s="64" t="s">
        <v>3859</v>
      </c>
      <c r="J3273" s="67">
        <v>0</v>
      </c>
      <c r="K3273" s="62">
        <v>4722</v>
      </c>
      <c r="L3273" s="33" t="e">
        <f>HLOOKUP(B3273,#REF!,1,0)</f>
        <v>#REF!</v>
      </c>
      <c r="M3273" s="33" t="str">
        <f t="shared" si="207"/>
        <v>P&amp;L</v>
      </c>
    </row>
    <row r="3274" spans="1:13" s="33" customFormat="true" ht="12.75" customHeight="true">
      <c r="A3274" s="33" t="str">
        <f t="shared" si="204"/>
        <v>ALP - CGS</v>
      </c>
      <c r="B3274" s="33" t="str">
        <f t="shared" si="205"/>
        <v>ALP</v>
      </c>
      <c r="C3274" s="33" t="str">
        <f t="shared" si="206"/>
        <v>61016-0000</v>
      </c>
      <c r="D3274" s="283" t="s">
        <v>4135</v>
      </c>
      <c r="E3274" s="64" t="s">
        <v>3861</v>
      </c>
      <c r="F3274" s="64" t="s">
        <v>230</v>
      </c>
      <c r="G3274" s="64" t="s">
        <v>3838</v>
      </c>
      <c r="H3274" s="64" t="s">
        <v>1875</v>
      </c>
      <c r="I3274" s="64" t="s">
        <v>3862</v>
      </c>
      <c r="J3274" s="67">
        <v>0</v>
      </c>
      <c r="K3274" s="62">
        <v>200</v>
      </c>
      <c r="L3274" s="33" t="e">
        <f>HLOOKUP(B3274,#REF!,1,0)</f>
        <v>#REF!</v>
      </c>
      <c r="M3274" s="33" t="str">
        <f t="shared" si="207"/>
        <v>P&amp;L</v>
      </c>
    </row>
    <row r="3275" spans="1:13" s="33" customFormat="true" ht="12.75" customHeight="true">
      <c r="A3275" s="33" t="str">
        <f t="shared" si="204"/>
        <v>ALP - CGS</v>
      </c>
      <c r="B3275" s="33" t="str">
        <f t="shared" si="205"/>
        <v>ALP</v>
      </c>
      <c r="C3275" s="33" t="str">
        <f t="shared" si="206"/>
        <v>61018-0000</v>
      </c>
      <c r="D3275" s="283" t="s">
        <v>4136</v>
      </c>
      <c r="E3275" s="64" t="s">
        <v>3864</v>
      </c>
      <c r="F3275" s="64" t="s">
        <v>230</v>
      </c>
      <c r="G3275" s="64" t="s">
        <v>3838</v>
      </c>
      <c r="H3275" s="64" t="s">
        <v>1875</v>
      </c>
      <c r="I3275" s="64" t="s">
        <v>3866</v>
      </c>
      <c r="J3275" s="67">
        <v>0</v>
      </c>
      <c r="K3275" s="62">
        <v>1055.93</v>
      </c>
      <c r="L3275" s="33" t="e">
        <f>HLOOKUP(B3275,#REF!,1,0)</f>
        <v>#REF!</v>
      </c>
      <c r="M3275" s="33" t="str">
        <f t="shared" si="207"/>
        <v>P&amp;L</v>
      </c>
    </row>
    <row r="3276" spans="1:13" s="33" customFormat="true" ht="12.75" customHeight="true">
      <c r="A3276" s="33" t="str">
        <f t="shared" si="204"/>
        <v>ALP - Income Tax</v>
      </c>
      <c r="B3276" s="33" t="str">
        <f t="shared" si="205"/>
        <v>ALP</v>
      </c>
      <c r="C3276" s="33" t="str">
        <f t="shared" si="206"/>
        <v>61019-0000</v>
      </c>
      <c r="D3276" s="283" t="s">
        <v>4137</v>
      </c>
      <c r="E3276" s="64" t="s">
        <v>4041</v>
      </c>
      <c r="F3276" s="64" t="s">
        <v>230</v>
      </c>
      <c r="G3276" s="64" t="s">
        <v>3844</v>
      </c>
      <c r="H3276" s="64" t="s">
        <v>3378</v>
      </c>
      <c r="I3276" s="64" t="s">
        <v>4042</v>
      </c>
      <c r="J3276" s="67">
        <v>0</v>
      </c>
      <c r="K3276" s="62">
        <v>6800</v>
      </c>
      <c r="L3276" s="33" t="e">
        <f>HLOOKUP(B3276,#REF!,1,0)</f>
        <v>#REF!</v>
      </c>
      <c r="M3276" s="33" t="str">
        <f t="shared" si="207"/>
        <v>P&amp;L</v>
      </c>
    </row>
    <row r="3277" spans="1:13" s="33" customFormat="true" ht="12.75" customHeight="true">
      <c r="A3277" s="33" t="str">
        <f t="shared" si="204"/>
        <v>ALP - CGS</v>
      </c>
      <c r="B3277" s="33" t="str">
        <f t="shared" si="205"/>
        <v>ALP</v>
      </c>
      <c r="C3277" s="33" t="str">
        <f t="shared" si="206"/>
        <v>61023-0000</v>
      </c>
      <c r="D3277" s="283" t="s">
        <v>4138</v>
      </c>
      <c r="E3277" s="64" t="s">
        <v>1873</v>
      </c>
      <c r="F3277" s="64" t="s">
        <v>230</v>
      </c>
      <c r="G3277" s="64" t="s">
        <v>3838</v>
      </c>
      <c r="H3277" s="64" t="s">
        <v>1875</v>
      </c>
      <c r="I3277" s="64" t="s">
        <v>1876</v>
      </c>
      <c r="J3277" s="67">
        <v>0</v>
      </c>
      <c r="K3277" s="62">
        <v>536.02</v>
      </c>
      <c r="L3277" s="33" t="e">
        <f>HLOOKUP(B3277,#REF!,1,0)</f>
        <v>#REF!</v>
      </c>
      <c r="M3277" s="33" t="str">
        <f t="shared" si="207"/>
        <v>P&amp;L</v>
      </c>
    </row>
    <row r="3278" spans="1:13" s="33" customFormat="true" ht="12.75" customHeight="true">
      <c r="A3278" s="33" t="str">
        <f t="shared" si="204"/>
        <v>ANG - Fixed Assets</v>
      </c>
      <c r="B3278" s="33" t="str">
        <f t="shared" si="205"/>
        <v>ANG</v>
      </c>
      <c r="C3278" s="33" t="str">
        <f t="shared" si="206"/>
        <v>15501-0000</v>
      </c>
      <c r="D3278" s="64" t="s">
        <v>4139</v>
      </c>
      <c r="E3278" s="64" t="s">
        <v>2635</v>
      </c>
      <c r="F3278" s="64" t="s">
        <v>230</v>
      </c>
      <c r="G3278" s="64" t="s">
        <v>62</v>
      </c>
      <c r="H3278" s="64" t="s">
        <v>63</v>
      </c>
      <c r="I3278" s="64" t="s">
        <v>64</v>
      </c>
      <c r="J3278" s="67">
        <v>194.48</v>
      </c>
      <c r="K3278" s="62">
        <v>763.28</v>
      </c>
      <c r="L3278" s="33" t="e">
        <f>HLOOKUP(B3278,#REF!,1,0)</f>
        <v>#REF!</v>
      </c>
      <c r="M3278" s="33" t="str">
        <f t="shared" si="207"/>
        <v>BS</v>
      </c>
    </row>
    <row r="3279" spans="1:13" s="33" customFormat="true" ht="12.75" customHeight="true">
      <c r="A3279" s="33" t="str">
        <f t="shared" si="204"/>
        <v>ANG - Prepaid Income</v>
      </c>
      <c r="B3279" s="33" t="str">
        <f t="shared" si="205"/>
        <v>ANG</v>
      </c>
      <c r="C3279" s="33" t="str">
        <f t="shared" si="206"/>
        <v>25300-0000</v>
      </c>
      <c r="D3279" s="64" t="s">
        <v>4140</v>
      </c>
      <c r="E3279" s="64" t="s">
        <v>3677</v>
      </c>
      <c r="F3279" s="64" t="s">
        <v>230</v>
      </c>
      <c r="G3279" s="64" t="s">
        <v>3678</v>
      </c>
      <c r="H3279" s="64" t="s">
        <v>3881</v>
      </c>
      <c r="I3279" s="64" t="s">
        <v>102</v>
      </c>
      <c r="J3279" s="67">
        <v>-1281.56</v>
      </c>
      <c r="K3279" s="62">
        <v>-2864.66</v>
      </c>
      <c r="L3279" s="33" t="e">
        <f>HLOOKUP(B3279,#REF!,1,0)</f>
        <v>#REF!</v>
      </c>
      <c r="M3279" s="33" t="str">
        <f t="shared" si="207"/>
        <v>BS</v>
      </c>
    </row>
    <row r="3280" spans="1:13" s="33" customFormat="true" ht="12.75" customHeight="true">
      <c r="A3280" s="33" t="str">
        <f t="shared" si="204"/>
        <v>ANG - Revenue</v>
      </c>
      <c r="B3280" s="33" t="str">
        <f t="shared" si="205"/>
        <v>ANG</v>
      </c>
      <c r="C3280" s="33" t="str">
        <f t="shared" si="206"/>
        <v>40110-0000</v>
      </c>
      <c r="D3280" s="64" t="s">
        <v>4141</v>
      </c>
      <c r="E3280" s="64" t="s">
        <v>3683</v>
      </c>
      <c r="F3280" s="64" t="s">
        <v>230</v>
      </c>
      <c r="G3280" s="64" t="s">
        <v>3684</v>
      </c>
      <c r="H3280" s="64" t="s">
        <v>2871</v>
      </c>
      <c r="I3280" s="64" t="s">
        <v>3685</v>
      </c>
      <c r="J3280" s="67">
        <v>-21625.44</v>
      </c>
      <c r="K3280" s="62">
        <v>-216254.4</v>
      </c>
      <c r="L3280" s="33" t="e">
        <f>HLOOKUP(B3280,#REF!,1,0)</f>
        <v>#REF!</v>
      </c>
      <c r="M3280" s="33" t="str">
        <f t="shared" si="207"/>
        <v>P&amp;L</v>
      </c>
    </row>
    <row r="3281" spans="1:13" s="33" customFormat="true" ht="12.75" customHeight="true">
      <c r="A3281" s="33" t="str">
        <f t="shared" si="204"/>
        <v>ANG - Revenue</v>
      </c>
      <c r="B3281" s="33" t="str">
        <f t="shared" si="205"/>
        <v>ANG</v>
      </c>
      <c r="C3281" s="33" t="str">
        <f t="shared" si="206"/>
        <v>40120-0000</v>
      </c>
      <c r="D3281" s="64" t="s">
        <v>4142</v>
      </c>
      <c r="E3281" s="64" t="s">
        <v>3687</v>
      </c>
      <c r="F3281" s="64" t="s">
        <v>230</v>
      </c>
      <c r="G3281" s="64" t="s">
        <v>3684</v>
      </c>
      <c r="H3281" s="64" t="s">
        <v>2871</v>
      </c>
      <c r="I3281" s="64" t="s">
        <v>3688</v>
      </c>
      <c r="J3281" s="67">
        <v>0</v>
      </c>
      <c r="K3281" s="62">
        <v>0</v>
      </c>
      <c r="L3281" s="33" t="e">
        <f>HLOOKUP(B3281,#REF!,1,0)</f>
        <v>#REF!</v>
      </c>
      <c r="M3281" s="33" t="str">
        <f t="shared" si="207"/>
        <v>P&amp;L</v>
      </c>
    </row>
    <row r="3282" spans="1:13" s="33" customFormat="true" ht="12.75" customHeight="true">
      <c r="A3282" s="33" t="str">
        <f t="shared" si="204"/>
        <v>ANG - Revenue</v>
      </c>
      <c r="B3282" s="33" t="str">
        <f t="shared" si="205"/>
        <v>ANG</v>
      </c>
      <c r="C3282" s="33" t="str">
        <f t="shared" si="206"/>
        <v>40130-0000</v>
      </c>
      <c r="D3282" s="64" t="s">
        <v>4143</v>
      </c>
      <c r="E3282" s="64" t="s">
        <v>3690</v>
      </c>
      <c r="F3282" s="64" t="s">
        <v>230</v>
      </c>
      <c r="G3282" s="64" t="s">
        <v>3684</v>
      </c>
      <c r="H3282" s="64" t="s">
        <v>2871</v>
      </c>
      <c r="I3282" s="64" t="s">
        <v>3691</v>
      </c>
      <c r="J3282" s="67">
        <v>0</v>
      </c>
      <c r="K3282" s="62">
        <v>0</v>
      </c>
      <c r="L3282" s="33" t="e">
        <f>HLOOKUP(B3282,#REF!,1,0)</f>
        <v>#REF!</v>
      </c>
      <c r="M3282" s="33" t="str">
        <f t="shared" si="207"/>
        <v>P&amp;L</v>
      </c>
    </row>
    <row r="3283" spans="1:13" s="33" customFormat="true" ht="12.75" customHeight="true">
      <c r="A3283" s="33" t="str">
        <f t="shared" si="204"/>
        <v>ANG - Revenue</v>
      </c>
      <c r="B3283" s="33" t="str">
        <f t="shared" si="205"/>
        <v>ANG</v>
      </c>
      <c r="C3283" s="33" t="str">
        <f t="shared" si="206"/>
        <v>41110-0000</v>
      </c>
      <c r="D3283" s="64" t="s">
        <v>4144</v>
      </c>
      <c r="E3283" s="64" t="s">
        <v>3693</v>
      </c>
      <c r="F3283" s="64" t="s">
        <v>230</v>
      </c>
      <c r="G3283" s="64" t="s">
        <v>3694</v>
      </c>
      <c r="H3283" s="64" t="s">
        <v>2871</v>
      </c>
      <c r="I3283" s="64" t="s">
        <v>3695</v>
      </c>
      <c r="J3283" s="67">
        <v>0</v>
      </c>
      <c r="K3283" s="62">
        <v>0</v>
      </c>
      <c r="L3283" s="33" t="e">
        <f>HLOOKUP(B3283,#REF!,1,0)</f>
        <v>#REF!</v>
      </c>
      <c r="M3283" s="33" t="str">
        <f t="shared" si="207"/>
        <v>P&amp;L</v>
      </c>
    </row>
    <row r="3284" spans="1:13" s="33" customFormat="true" ht="12.75" customHeight="true">
      <c r="A3284" s="33" t="str">
        <f t="shared" si="204"/>
        <v>ANG - Revenue</v>
      </c>
      <c r="B3284" s="33" t="str">
        <f t="shared" si="205"/>
        <v>ANG</v>
      </c>
      <c r="C3284" s="33" t="str">
        <f t="shared" si="206"/>
        <v>41121-0000</v>
      </c>
      <c r="D3284" s="64" t="s">
        <v>4145</v>
      </c>
      <c r="E3284" s="64" t="s">
        <v>4146</v>
      </c>
      <c r="F3284" s="64" t="s">
        <v>230</v>
      </c>
      <c r="G3284" s="64" t="s">
        <v>3694</v>
      </c>
      <c r="H3284" s="64" t="s">
        <v>2871</v>
      </c>
      <c r="I3284" s="64" t="s">
        <v>3698</v>
      </c>
      <c r="J3284" s="67">
        <v>1276.15</v>
      </c>
      <c r="K3284" s="62">
        <v>25765.08</v>
      </c>
      <c r="L3284" s="33" t="e">
        <f>HLOOKUP(B3284,#REF!,1,0)</f>
        <v>#REF!</v>
      </c>
      <c r="M3284" s="33" t="str">
        <f t="shared" si="207"/>
        <v>P&amp;L</v>
      </c>
    </row>
    <row r="3285" spans="1:13" s="33" customFormat="true" ht="12.75" customHeight="true">
      <c r="A3285" s="33" t="str">
        <f t="shared" si="204"/>
        <v>ANG - Revenue</v>
      </c>
      <c r="B3285" s="33" t="str">
        <f t="shared" si="205"/>
        <v>ANG</v>
      </c>
      <c r="C3285" s="33" t="str">
        <f t="shared" si="206"/>
        <v>41122-0000</v>
      </c>
      <c r="D3285" s="64" t="s">
        <v>4147</v>
      </c>
      <c r="E3285" s="64" t="s">
        <v>3700</v>
      </c>
      <c r="F3285" s="64" t="s">
        <v>230</v>
      </c>
      <c r="G3285" s="64" t="s">
        <v>3694</v>
      </c>
      <c r="H3285" s="64" t="s">
        <v>2871</v>
      </c>
      <c r="I3285" s="64" t="s">
        <v>3701</v>
      </c>
      <c r="J3285" s="67">
        <v>0</v>
      </c>
      <c r="K3285" s="62">
        <v>-24316</v>
      </c>
      <c r="L3285" s="33" t="e">
        <f>HLOOKUP(B3285,#REF!,1,0)</f>
        <v>#REF!</v>
      </c>
      <c r="M3285" s="33" t="str">
        <f t="shared" si="207"/>
        <v>P&amp;L</v>
      </c>
    </row>
    <row r="3286" spans="1:13" s="33" customFormat="true" ht="12.75" customHeight="true">
      <c r="A3286" s="33" t="str">
        <f t="shared" si="204"/>
        <v>ANG - Revenue</v>
      </c>
      <c r="B3286" s="33" t="str">
        <f t="shared" si="205"/>
        <v>ANG</v>
      </c>
      <c r="C3286" s="33" t="str">
        <f t="shared" si="206"/>
        <v>41130-0000</v>
      </c>
      <c r="D3286" s="64" t="s">
        <v>4148</v>
      </c>
      <c r="E3286" s="64" t="s">
        <v>3703</v>
      </c>
      <c r="F3286" s="64" t="s">
        <v>230</v>
      </c>
      <c r="G3286" s="64" t="s">
        <v>3694</v>
      </c>
      <c r="H3286" s="64" t="s">
        <v>2871</v>
      </c>
      <c r="I3286" s="64" t="s">
        <v>3704</v>
      </c>
      <c r="J3286" s="67">
        <v>0</v>
      </c>
      <c r="K3286" s="62">
        <v>1573</v>
      </c>
      <c r="L3286" s="33" t="e">
        <f>HLOOKUP(B3286,#REF!,1,0)</f>
        <v>#REF!</v>
      </c>
      <c r="M3286" s="33" t="str">
        <f t="shared" si="207"/>
        <v>P&amp;L</v>
      </c>
    </row>
    <row r="3287" spans="1:13" s="33" customFormat="true" ht="12.75" customHeight="true">
      <c r="A3287" s="33" t="str">
        <f t="shared" si="204"/>
        <v>ANG - Revenue</v>
      </c>
      <c r="B3287" s="33" t="str">
        <f t="shared" si="205"/>
        <v>ANG</v>
      </c>
      <c r="C3287" s="33" t="str">
        <f t="shared" si="206"/>
        <v>41140-0000</v>
      </c>
      <c r="D3287" s="64" t="s">
        <v>4149</v>
      </c>
      <c r="E3287" s="64" t="s">
        <v>3706</v>
      </c>
      <c r="F3287" s="64" t="s">
        <v>230</v>
      </c>
      <c r="G3287" s="64" t="s">
        <v>3694</v>
      </c>
      <c r="H3287" s="64" t="s">
        <v>2871</v>
      </c>
      <c r="I3287" s="64" t="s">
        <v>3707</v>
      </c>
      <c r="J3287" s="67">
        <v>0</v>
      </c>
      <c r="K3287" s="62">
        <v>0</v>
      </c>
      <c r="L3287" s="33" t="e">
        <f>HLOOKUP(B3287,#REF!,1,0)</f>
        <v>#REF!</v>
      </c>
      <c r="M3287" s="33" t="str">
        <f t="shared" si="207"/>
        <v>P&amp;L</v>
      </c>
    </row>
    <row r="3288" spans="1:13" s="33" customFormat="true" ht="12.75" customHeight="true">
      <c r="A3288" s="33" t="str">
        <f t="shared" si="204"/>
        <v>ANG - Revenue</v>
      </c>
      <c r="B3288" s="33" t="str">
        <f t="shared" si="205"/>
        <v>ANG</v>
      </c>
      <c r="C3288" s="33" t="str">
        <f t="shared" si="206"/>
        <v>41150-0000</v>
      </c>
      <c r="D3288" s="64" t="s">
        <v>4150</v>
      </c>
      <c r="E3288" s="64" t="s">
        <v>3709</v>
      </c>
      <c r="F3288" s="64" t="s">
        <v>230</v>
      </c>
      <c r="G3288" s="64" t="s">
        <v>3694</v>
      </c>
      <c r="H3288" s="64" t="s">
        <v>2871</v>
      </c>
      <c r="I3288" s="64" t="s">
        <v>3710</v>
      </c>
      <c r="J3288" s="67">
        <v>0</v>
      </c>
      <c r="K3288" s="62">
        <v>0</v>
      </c>
      <c r="L3288" s="33" t="e">
        <f>HLOOKUP(B3288,#REF!,1,0)</f>
        <v>#REF!</v>
      </c>
      <c r="M3288" s="33" t="str">
        <f t="shared" si="207"/>
        <v>P&amp;L</v>
      </c>
    </row>
    <row r="3289" spans="1:13" s="33" customFormat="true" ht="12.75" customHeight="true">
      <c r="A3289" s="33" t="str">
        <f t="shared" si="204"/>
        <v>ANG - Revenue</v>
      </c>
      <c r="B3289" s="33" t="str">
        <f t="shared" si="205"/>
        <v>ANG</v>
      </c>
      <c r="C3289" s="33" t="str">
        <f t="shared" si="206"/>
        <v>41999-0000</v>
      </c>
      <c r="D3289" s="64" t="s">
        <v>4151</v>
      </c>
      <c r="E3289" s="64" t="s">
        <v>3712</v>
      </c>
      <c r="F3289" s="64" t="s">
        <v>230</v>
      </c>
      <c r="G3289" s="64" t="s">
        <v>3713</v>
      </c>
      <c r="H3289" s="64" t="s">
        <v>2871</v>
      </c>
      <c r="I3289" s="64" t="s">
        <v>3714</v>
      </c>
      <c r="J3289" s="67">
        <v>20349.29</v>
      </c>
      <c r="K3289" s="62">
        <v>213232.32</v>
      </c>
      <c r="L3289" s="33" t="e">
        <f>HLOOKUP(B3289,#REF!,1,0)</f>
        <v>#REF!</v>
      </c>
      <c r="M3289" s="33" t="str">
        <f t="shared" si="207"/>
        <v>P&amp;L</v>
      </c>
    </row>
    <row r="3290" spans="1:13" s="33" customFormat="true" ht="12.75" customHeight="true">
      <c r="A3290" s="33" t="str">
        <f t="shared" si="204"/>
        <v>ANG - Revenue</v>
      </c>
      <c r="B3290" s="33" t="str">
        <f t="shared" si="205"/>
        <v>ANG</v>
      </c>
      <c r="C3290" s="33" t="str">
        <f t="shared" si="206"/>
        <v>47400-0000</v>
      </c>
      <c r="D3290" s="64" t="s">
        <v>4152</v>
      </c>
      <c r="E3290" s="64" t="s">
        <v>3716</v>
      </c>
      <c r="F3290" s="64" t="s">
        <v>230</v>
      </c>
      <c r="G3290" s="64" t="s">
        <v>3717</v>
      </c>
      <c r="H3290" s="64" t="s">
        <v>2871</v>
      </c>
      <c r="I3290" s="64" t="s">
        <v>3718</v>
      </c>
      <c r="J3290" s="67">
        <v>-20349.29</v>
      </c>
      <c r="K3290" s="62">
        <v>-213232.32</v>
      </c>
      <c r="L3290" s="33" t="e">
        <f>HLOOKUP(B3290,#REF!,1,0)</f>
        <v>#REF!</v>
      </c>
      <c r="M3290" s="33" t="str">
        <f t="shared" si="207"/>
        <v>P&amp;L</v>
      </c>
    </row>
    <row r="3291" spans="1:13" s="33" customFormat="true" ht="12.75" customHeight="true">
      <c r="A3291" s="33" t="str">
        <f t="shared" si="204"/>
        <v>ANG - Revenue</v>
      </c>
      <c r="B3291" s="33" t="str">
        <f t="shared" si="205"/>
        <v>ANG</v>
      </c>
      <c r="C3291" s="33" t="str">
        <f t="shared" si="206"/>
        <v>47420-0000</v>
      </c>
      <c r="D3291" s="64" t="s">
        <v>4153</v>
      </c>
      <c r="E3291" s="64" t="s">
        <v>4154</v>
      </c>
      <c r="F3291" s="64" t="s">
        <v>230</v>
      </c>
      <c r="G3291" s="64" t="s">
        <v>3717</v>
      </c>
      <c r="H3291" s="64" t="s">
        <v>2871</v>
      </c>
      <c r="I3291" s="64" t="s">
        <v>4155</v>
      </c>
      <c r="J3291" s="67">
        <v>-62.64</v>
      </c>
      <c r="K3291" s="62">
        <v>-657.5</v>
      </c>
      <c r="L3291" s="33" t="e">
        <f>HLOOKUP(B3291,#REF!,1,0)</f>
        <v>#REF!</v>
      </c>
      <c r="M3291" s="33" t="str">
        <f t="shared" si="207"/>
        <v>P&amp;L</v>
      </c>
    </row>
    <row r="3292" spans="1:13" s="33" customFormat="true" ht="12.75" customHeight="true">
      <c r="A3292" s="33" t="str">
        <f t="shared" si="204"/>
        <v>ANG - Revenue</v>
      </c>
      <c r="B3292" s="33" t="str">
        <f t="shared" si="205"/>
        <v>ANG</v>
      </c>
      <c r="C3292" s="33" t="str">
        <f t="shared" si="206"/>
        <v>47430-0000</v>
      </c>
      <c r="D3292" s="64" t="s">
        <v>4156</v>
      </c>
      <c r="E3292" s="64" t="s">
        <v>4053</v>
      </c>
      <c r="F3292" s="64" t="s">
        <v>230</v>
      </c>
      <c r="G3292" s="64" t="s">
        <v>3717</v>
      </c>
      <c r="H3292" s="64" t="s">
        <v>2871</v>
      </c>
      <c r="I3292" s="64" t="s">
        <v>4054</v>
      </c>
      <c r="J3292" s="67">
        <v>-204.65</v>
      </c>
      <c r="K3292" s="62">
        <v>-2022.05</v>
      </c>
      <c r="L3292" s="33" t="e">
        <f>HLOOKUP(B3292,#REF!,1,0)</f>
        <v>#REF!</v>
      </c>
      <c r="M3292" s="33" t="str">
        <f t="shared" si="207"/>
        <v>P&amp;L</v>
      </c>
    </row>
    <row r="3293" spans="1:13" s="33" customFormat="true" ht="12.75" customHeight="true">
      <c r="A3293" s="33" t="str">
        <f t="shared" si="204"/>
        <v>ANG - Revenue</v>
      </c>
      <c r="B3293" s="33" t="str">
        <f t="shared" si="205"/>
        <v>ANG</v>
      </c>
      <c r="C3293" s="33" t="str">
        <f t="shared" si="206"/>
        <v>47440-0000</v>
      </c>
      <c r="D3293" s="64" t="s">
        <v>4157</v>
      </c>
      <c r="E3293" s="64" t="s">
        <v>3720</v>
      </c>
      <c r="F3293" s="64" t="s">
        <v>230</v>
      </c>
      <c r="G3293" s="64" t="s">
        <v>3717</v>
      </c>
      <c r="H3293" s="64" t="s">
        <v>2871</v>
      </c>
      <c r="I3293" s="64" t="s">
        <v>3721</v>
      </c>
      <c r="J3293" s="67">
        <v>0</v>
      </c>
      <c r="K3293" s="62">
        <v>0</v>
      </c>
      <c r="L3293" s="33" t="e">
        <f>HLOOKUP(B3293,#REF!,1,0)</f>
        <v>#REF!</v>
      </c>
      <c r="M3293" s="33" t="str">
        <f t="shared" si="207"/>
        <v>P&amp;L</v>
      </c>
    </row>
    <row r="3294" spans="1:13" s="33" customFormat="true" ht="12.75" customHeight="true">
      <c r="A3294" s="33" t="str">
        <f t="shared" si="204"/>
        <v>ANG - Revenue</v>
      </c>
      <c r="B3294" s="33" t="str">
        <f t="shared" si="205"/>
        <v>ANG</v>
      </c>
      <c r="C3294" s="33" t="str">
        <f t="shared" si="206"/>
        <v>47450-0000</v>
      </c>
      <c r="D3294" s="64" t="s">
        <v>4158</v>
      </c>
      <c r="E3294" s="64" t="s">
        <v>3723</v>
      </c>
      <c r="F3294" s="64" t="s">
        <v>230</v>
      </c>
      <c r="G3294" s="64" t="s">
        <v>3717</v>
      </c>
      <c r="H3294" s="64" t="s">
        <v>2871</v>
      </c>
      <c r="I3294" s="64" t="s">
        <v>3724</v>
      </c>
      <c r="J3294" s="67">
        <v>0</v>
      </c>
      <c r="K3294" s="62">
        <v>0</v>
      </c>
      <c r="L3294" s="33" t="e">
        <f>HLOOKUP(B3294,#REF!,1,0)</f>
        <v>#REF!</v>
      </c>
      <c r="M3294" s="33" t="str">
        <f t="shared" si="207"/>
        <v>P&amp;L</v>
      </c>
    </row>
    <row r="3295" spans="1:13" s="33" customFormat="true" ht="12.75" customHeight="true">
      <c r="A3295" s="33" t="str">
        <f t="shared" si="204"/>
        <v>ANG - Revenue</v>
      </c>
      <c r="B3295" s="33" t="str">
        <f t="shared" si="205"/>
        <v>ANG</v>
      </c>
      <c r="C3295" s="33" t="str">
        <f t="shared" si="206"/>
        <v>47460-0000</v>
      </c>
      <c r="D3295" s="64" t="s">
        <v>4159</v>
      </c>
      <c r="E3295" s="64" t="s">
        <v>3726</v>
      </c>
      <c r="F3295" s="64" t="s">
        <v>230</v>
      </c>
      <c r="G3295" s="64" t="s">
        <v>3717</v>
      </c>
      <c r="H3295" s="64" t="s">
        <v>2871</v>
      </c>
      <c r="I3295" s="64" t="s">
        <v>3727</v>
      </c>
      <c r="J3295" s="67">
        <v>0</v>
      </c>
      <c r="K3295" s="62">
        <v>0</v>
      </c>
      <c r="L3295" s="33" t="e">
        <f>HLOOKUP(B3295,#REF!,1,0)</f>
        <v>#REF!</v>
      </c>
      <c r="M3295" s="33" t="str">
        <f t="shared" si="207"/>
        <v>P&amp;L</v>
      </c>
    </row>
    <row r="3296" spans="1:13" s="33" customFormat="true" ht="12.75" customHeight="true">
      <c r="A3296" s="33" t="str">
        <f t="shared" si="204"/>
        <v>ANG - Revenue</v>
      </c>
      <c r="B3296" s="33" t="str">
        <f t="shared" si="205"/>
        <v>ANG</v>
      </c>
      <c r="C3296" s="33" t="str">
        <f t="shared" si="206"/>
        <v>47480-0000</v>
      </c>
      <c r="D3296" s="64" t="s">
        <v>4160</v>
      </c>
      <c r="E3296" s="64" t="s">
        <v>3729</v>
      </c>
      <c r="F3296" s="64" t="s">
        <v>230</v>
      </c>
      <c r="G3296" s="64" t="s">
        <v>3717</v>
      </c>
      <c r="H3296" s="64" t="s">
        <v>2871</v>
      </c>
      <c r="I3296" s="64" t="s">
        <v>3721</v>
      </c>
      <c r="J3296" s="67">
        <v>0</v>
      </c>
      <c r="K3296" s="62">
        <v>0</v>
      </c>
      <c r="L3296" s="33" t="e">
        <f>HLOOKUP(B3296,#REF!,1,0)</f>
        <v>#REF!</v>
      </c>
      <c r="M3296" s="33" t="str">
        <f t="shared" si="207"/>
        <v>P&amp;L</v>
      </c>
    </row>
    <row r="3297" spans="1:13" s="33" customFormat="true" ht="12.75" customHeight="true">
      <c r="A3297" s="33" t="str">
        <f t="shared" si="204"/>
        <v>ANG - Revenue</v>
      </c>
      <c r="B3297" s="33" t="str">
        <f t="shared" si="205"/>
        <v>ANG</v>
      </c>
      <c r="C3297" s="33" t="str">
        <f t="shared" si="206"/>
        <v>47490-0000</v>
      </c>
      <c r="D3297" s="64" t="s">
        <v>4161</v>
      </c>
      <c r="E3297" s="64" t="s">
        <v>3731</v>
      </c>
      <c r="F3297" s="64" t="s">
        <v>230</v>
      </c>
      <c r="G3297" s="64" t="s">
        <v>3717</v>
      </c>
      <c r="H3297" s="64" t="s">
        <v>2871</v>
      </c>
      <c r="I3297" s="64" t="s">
        <v>3721</v>
      </c>
      <c r="J3297" s="67">
        <v>0</v>
      </c>
      <c r="K3297" s="62">
        <v>0</v>
      </c>
      <c r="L3297" s="33" t="e">
        <f>HLOOKUP(B3297,#REF!,1,0)</f>
        <v>#REF!</v>
      </c>
      <c r="M3297" s="33" t="str">
        <f t="shared" si="207"/>
        <v>P&amp;L</v>
      </c>
    </row>
    <row r="3298" spans="1:13" s="33" customFormat="true" ht="12.75" customHeight="true">
      <c r="A3298" s="33" t="str">
        <f t="shared" si="204"/>
        <v>ANG - Revenue</v>
      </c>
      <c r="B3298" s="33" t="str">
        <f t="shared" si="205"/>
        <v>ANG</v>
      </c>
      <c r="C3298" s="33" t="str">
        <f t="shared" si="206"/>
        <v>47491-0000</v>
      </c>
      <c r="D3298" s="64" t="s">
        <v>4162</v>
      </c>
      <c r="E3298" s="64" t="s">
        <v>3733</v>
      </c>
      <c r="F3298" s="64" t="s">
        <v>230</v>
      </c>
      <c r="G3298" s="64" t="s">
        <v>3717</v>
      </c>
      <c r="H3298" s="64" t="s">
        <v>2871</v>
      </c>
      <c r="I3298" s="64" t="s">
        <v>3734</v>
      </c>
      <c r="J3298" s="67">
        <v>0</v>
      </c>
      <c r="K3298" s="62">
        <v>-128.22</v>
      </c>
      <c r="L3298" s="33" t="e">
        <f>HLOOKUP(B3298,#REF!,1,0)</f>
        <v>#REF!</v>
      </c>
      <c r="M3298" s="33" t="str">
        <f t="shared" si="207"/>
        <v>P&amp;L</v>
      </c>
    </row>
    <row r="3299" spans="1:13" s="33" customFormat="true" ht="12.75" customHeight="true">
      <c r="A3299" s="33" t="str">
        <f t="shared" si="204"/>
        <v>ANG - Revenue</v>
      </c>
      <c r="B3299" s="33" t="str">
        <f t="shared" si="205"/>
        <v>ANG</v>
      </c>
      <c r="C3299" s="33" t="str">
        <f t="shared" si="206"/>
        <v>47492-0000</v>
      </c>
      <c r="D3299" s="64" t="s">
        <v>4163</v>
      </c>
      <c r="E3299" s="64" t="s">
        <v>3736</v>
      </c>
      <c r="F3299" s="64" t="s">
        <v>230</v>
      </c>
      <c r="G3299" s="64" t="s">
        <v>3717</v>
      </c>
      <c r="H3299" s="64" t="s">
        <v>2871</v>
      </c>
      <c r="I3299" s="64" t="s">
        <v>3737</v>
      </c>
      <c r="J3299" s="67">
        <v>-105</v>
      </c>
      <c r="K3299" s="62">
        <v>-915</v>
      </c>
      <c r="L3299" s="33" t="e">
        <f>HLOOKUP(B3299,#REF!,1,0)</f>
        <v>#REF!</v>
      </c>
      <c r="M3299" s="33" t="str">
        <f t="shared" si="207"/>
        <v>P&amp;L</v>
      </c>
    </row>
    <row r="3300" spans="1:13" s="33" customFormat="true" ht="12.75" customHeight="true">
      <c r="A3300" s="33" t="str">
        <f t="shared" si="204"/>
        <v>ANG - CGS</v>
      </c>
      <c r="B3300" s="33" t="str">
        <f t="shared" si="205"/>
        <v>ANG</v>
      </c>
      <c r="C3300" s="33" t="str">
        <f t="shared" si="206"/>
        <v>51005-0000</v>
      </c>
      <c r="D3300" s="64" t="s">
        <v>4164</v>
      </c>
      <c r="E3300" s="64" t="s">
        <v>3968</v>
      </c>
      <c r="F3300" s="64" t="s">
        <v>230</v>
      </c>
      <c r="G3300" s="64" t="s">
        <v>3740</v>
      </c>
      <c r="H3300" s="64" t="s">
        <v>1875</v>
      </c>
      <c r="I3300" s="64" t="s">
        <v>3969</v>
      </c>
      <c r="J3300" s="67">
        <v>0</v>
      </c>
      <c r="K3300" s="62">
        <v>25.7</v>
      </c>
      <c r="L3300" s="33" t="e">
        <f>HLOOKUP(B3300,#REF!,1,0)</f>
        <v>#REF!</v>
      </c>
      <c r="M3300" s="33" t="str">
        <f t="shared" si="207"/>
        <v>P&amp;L</v>
      </c>
    </row>
    <row r="3301" spans="1:13" s="33" customFormat="true" ht="12.75" customHeight="true">
      <c r="A3301" s="33" t="str">
        <f t="shared" si="204"/>
        <v>ANG - CGS</v>
      </c>
      <c r="B3301" s="33" t="str">
        <f t="shared" si="205"/>
        <v>ANG</v>
      </c>
      <c r="C3301" s="33" t="str">
        <f t="shared" si="206"/>
        <v>51006-0000</v>
      </c>
      <c r="D3301" s="64" t="s">
        <v>4165</v>
      </c>
      <c r="E3301" s="64" t="s">
        <v>3739</v>
      </c>
      <c r="F3301" s="64" t="s">
        <v>230</v>
      </c>
      <c r="G3301" s="64" t="s">
        <v>3740</v>
      </c>
      <c r="H3301" s="64" t="s">
        <v>1875</v>
      </c>
      <c r="I3301" s="64" t="s">
        <v>3741</v>
      </c>
      <c r="J3301" s="67">
        <v>513.87</v>
      </c>
      <c r="K3301" s="62">
        <v>1474.56</v>
      </c>
      <c r="L3301" s="33" t="e">
        <f>HLOOKUP(B3301,#REF!,1,0)</f>
        <v>#REF!</v>
      </c>
      <c r="M3301" s="33" t="str">
        <f t="shared" si="207"/>
        <v>P&amp;L</v>
      </c>
    </row>
    <row r="3302" spans="1:13" s="33" customFormat="true" ht="12.75" customHeight="true">
      <c r="A3302" s="33" t="str">
        <f t="shared" si="204"/>
        <v>ANG - CGS</v>
      </c>
      <c r="B3302" s="33" t="str">
        <f t="shared" si="205"/>
        <v>ANG</v>
      </c>
      <c r="C3302" s="33" t="str">
        <f t="shared" si="206"/>
        <v>51008-0000</v>
      </c>
      <c r="D3302" s="64" t="s">
        <v>4166</v>
      </c>
      <c r="E3302" s="64" t="s">
        <v>3743</v>
      </c>
      <c r="F3302" s="64" t="s">
        <v>230</v>
      </c>
      <c r="G3302" s="64" t="s">
        <v>3740</v>
      </c>
      <c r="H3302" s="64" t="s">
        <v>1875</v>
      </c>
      <c r="I3302" s="64" t="s">
        <v>3744</v>
      </c>
      <c r="J3302" s="67">
        <v>105.81</v>
      </c>
      <c r="K3302" s="62">
        <v>1296.81</v>
      </c>
      <c r="L3302" s="33" t="e">
        <f>HLOOKUP(B3302,#REF!,1,0)</f>
        <v>#REF!</v>
      </c>
      <c r="M3302" s="33" t="str">
        <f t="shared" si="207"/>
        <v>P&amp;L</v>
      </c>
    </row>
    <row r="3303" spans="1:13" s="33" customFormat="true" ht="12.75" customHeight="true">
      <c r="A3303" s="33" t="str">
        <f t="shared" si="204"/>
        <v>ANG - CGS</v>
      </c>
      <c r="B3303" s="33" t="str">
        <f t="shared" si="205"/>
        <v>ANG</v>
      </c>
      <c r="C3303" s="33" t="str">
        <f t="shared" si="206"/>
        <v>51009-0000</v>
      </c>
      <c r="D3303" s="64" t="s">
        <v>4167</v>
      </c>
      <c r="E3303" s="64" t="s">
        <v>3746</v>
      </c>
      <c r="F3303" s="64" t="s">
        <v>230</v>
      </c>
      <c r="G3303" s="64" t="s">
        <v>3740</v>
      </c>
      <c r="H3303" s="64" t="s">
        <v>1875</v>
      </c>
      <c r="I3303" s="64" t="s">
        <v>3747</v>
      </c>
      <c r="J3303" s="67">
        <v>-41.58</v>
      </c>
      <c r="K3303" s="62">
        <v>559.15</v>
      </c>
      <c r="L3303" s="33" t="e">
        <f>HLOOKUP(B3303,#REF!,1,0)</f>
        <v>#REF!</v>
      </c>
      <c r="M3303" s="33" t="str">
        <f t="shared" si="207"/>
        <v>P&amp;L</v>
      </c>
    </row>
    <row r="3304" spans="1:13" s="33" customFormat="true" ht="12.75" customHeight="true">
      <c r="A3304" s="33" t="str">
        <f t="shared" si="204"/>
        <v>ANG - CGS</v>
      </c>
      <c r="B3304" s="33" t="str">
        <f t="shared" si="205"/>
        <v>ANG</v>
      </c>
      <c r="C3304" s="33" t="str">
        <f t="shared" si="206"/>
        <v>51011-0000</v>
      </c>
      <c r="D3304" s="64" t="s">
        <v>4168</v>
      </c>
      <c r="E3304" s="64" t="s">
        <v>3749</v>
      </c>
      <c r="F3304" s="64" t="s">
        <v>230</v>
      </c>
      <c r="G3304" s="64" t="s">
        <v>3740</v>
      </c>
      <c r="H3304" s="64" t="s">
        <v>1875</v>
      </c>
      <c r="I3304" s="64" t="s">
        <v>3750</v>
      </c>
      <c r="J3304" s="67">
        <v>200</v>
      </c>
      <c r="K3304" s="62">
        <v>2000</v>
      </c>
      <c r="L3304" s="33" t="e">
        <f>HLOOKUP(B3304,#REF!,1,0)</f>
        <v>#REF!</v>
      </c>
      <c r="M3304" s="33" t="str">
        <f t="shared" si="207"/>
        <v>P&amp;L</v>
      </c>
    </row>
    <row r="3305" spans="1:13" s="33" customFormat="true" ht="12.75" customHeight="true">
      <c r="A3305" s="33" t="str">
        <f t="shared" si="204"/>
        <v>ANG - CGS</v>
      </c>
      <c r="B3305" s="33" t="str">
        <f t="shared" si="205"/>
        <v>ANG</v>
      </c>
      <c r="C3305" s="33" t="str">
        <f t="shared" si="206"/>
        <v>51012-0000</v>
      </c>
      <c r="D3305" s="64" t="s">
        <v>4169</v>
      </c>
      <c r="E3305" s="64" t="s">
        <v>3752</v>
      </c>
      <c r="F3305" s="64" t="s">
        <v>230</v>
      </c>
      <c r="G3305" s="64" t="s">
        <v>3740</v>
      </c>
      <c r="H3305" s="64" t="s">
        <v>1875</v>
      </c>
      <c r="I3305" s="64" t="s">
        <v>3753</v>
      </c>
      <c r="J3305" s="67">
        <v>0</v>
      </c>
      <c r="K3305" s="62">
        <v>450</v>
      </c>
      <c r="L3305" s="33" t="e">
        <f>HLOOKUP(B3305,#REF!,1,0)</f>
        <v>#REF!</v>
      </c>
      <c r="M3305" s="33" t="str">
        <f t="shared" si="207"/>
        <v>P&amp;L</v>
      </c>
    </row>
    <row r="3306" spans="1:13" s="33" customFormat="true" ht="12.75" customHeight="true">
      <c r="A3306" s="33" t="str">
        <f t="shared" si="204"/>
        <v>ANG - CGS</v>
      </c>
      <c r="B3306" s="33" t="str">
        <f t="shared" si="205"/>
        <v>ANG</v>
      </c>
      <c r="C3306" s="33" t="str">
        <f t="shared" si="206"/>
        <v>51013-0000</v>
      </c>
      <c r="D3306" s="64" t="s">
        <v>4170</v>
      </c>
      <c r="E3306" s="64" t="s">
        <v>3979</v>
      </c>
      <c r="F3306" s="64" t="s">
        <v>230</v>
      </c>
      <c r="G3306" s="64" t="s">
        <v>3740</v>
      </c>
      <c r="H3306" s="64" t="s">
        <v>1875</v>
      </c>
      <c r="I3306" s="64" t="s">
        <v>3980</v>
      </c>
      <c r="J3306" s="67">
        <v>0</v>
      </c>
      <c r="K3306" s="62">
        <v>2225</v>
      </c>
      <c r="L3306" s="33" t="e">
        <f>HLOOKUP(B3306,#REF!,1,0)</f>
        <v>#REF!</v>
      </c>
      <c r="M3306" s="33" t="str">
        <f t="shared" si="207"/>
        <v>P&amp;L</v>
      </c>
    </row>
    <row r="3307" spans="1:13" s="33" customFormat="true" ht="12.75" customHeight="true">
      <c r="A3307" s="33" t="str">
        <f t="shared" si="204"/>
        <v>ANG - CGS</v>
      </c>
      <c r="B3307" s="33" t="str">
        <f t="shared" si="205"/>
        <v>ANG</v>
      </c>
      <c r="C3307" s="33" t="str">
        <f t="shared" si="206"/>
        <v>51020-0000</v>
      </c>
      <c r="D3307" s="64" t="s">
        <v>4171</v>
      </c>
      <c r="E3307" s="64" t="s">
        <v>3763</v>
      </c>
      <c r="F3307" s="64" t="s">
        <v>230</v>
      </c>
      <c r="G3307" s="64" t="s">
        <v>3740</v>
      </c>
      <c r="H3307" s="64" t="s">
        <v>1875</v>
      </c>
      <c r="I3307" s="64" t="s">
        <v>3345</v>
      </c>
      <c r="J3307" s="67">
        <v>0</v>
      </c>
      <c r="K3307" s="62">
        <v>40.75</v>
      </c>
      <c r="L3307" s="33" t="e">
        <f>HLOOKUP(B3307,#REF!,1,0)</f>
        <v>#REF!</v>
      </c>
      <c r="M3307" s="33" t="str">
        <f t="shared" si="207"/>
        <v>P&amp;L</v>
      </c>
    </row>
    <row r="3308" spans="1:13" s="33" customFormat="true" ht="12.75" customHeight="true">
      <c r="A3308" s="33" t="str">
        <f t="shared" si="204"/>
        <v>ANG - CGS</v>
      </c>
      <c r="B3308" s="33" t="str">
        <f t="shared" si="205"/>
        <v>ANG</v>
      </c>
      <c r="C3308" s="33" t="str">
        <f t="shared" si="206"/>
        <v>53001-0000</v>
      </c>
      <c r="D3308" s="64" t="s">
        <v>4172</v>
      </c>
      <c r="E3308" s="64" t="s">
        <v>3781</v>
      </c>
      <c r="F3308" s="64" t="s">
        <v>230</v>
      </c>
      <c r="G3308" s="64" t="s">
        <v>3160</v>
      </c>
      <c r="H3308" s="64" t="s">
        <v>1875</v>
      </c>
      <c r="I3308" s="64" t="s">
        <v>3782</v>
      </c>
      <c r="J3308" s="67">
        <v>0</v>
      </c>
      <c r="K3308" s="62">
        <v>28.04</v>
      </c>
      <c r="L3308" s="33" t="e">
        <f>HLOOKUP(B3308,#REF!,1,0)</f>
        <v>#REF!</v>
      </c>
      <c r="M3308" s="33" t="str">
        <f t="shared" si="207"/>
        <v>P&amp;L</v>
      </c>
    </row>
    <row r="3309" spans="1:13" s="33" customFormat="true" ht="12.75" customHeight="true">
      <c r="A3309" s="33" t="str">
        <f t="shared" si="204"/>
        <v>ANG - CGS</v>
      </c>
      <c r="B3309" s="33" t="str">
        <f t="shared" si="205"/>
        <v>ANG</v>
      </c>
      <c r="C3309" s="33" t="str">
        <f t="shared" si="206"/>
        <v>53002-0000</v>
      </c>
      <c r="D3309" s="64" t="s">
        <v>4173</v>
      </c>
      <c r="E3309" s="64" t="s">
        <v>3784</v>
      </c>
      <c r="F3309" s="64" t="s">
        <v>230</v>
      </c>
      <c r="G3309" s="64" t="s">
        <v>3160</v>
      </c>
      <c r="H3309" s="64" t="s">
        <v>1875</v>
      </c>
      <c r="I3309" s="64" t="s">
        <v>3785</v>
      </c>
      <c r="J3309" s="67">
        <v>478.62</v>
      </c>
      <c r="K3309" s="62">
        <v>4793.38</v>
      </c>
      <c r="L3309" s="33" t="e">
        <f>HLOOKUP(B3309,#REF!,1,0)</f>
        <v>#REF!</v>
      </c>
      <c r="M3309" s="33" t="str">
        <f t="shared" si="207"/>
        <v>P&amp;L</v>
      </c>
    </row>
    <row r="3310" spans="1:13" s="33" customFormat="true" ht="12.75" customHeight="true">
      <c r="A3310" s="33" t="str">
        <f t="shared" si="204"/>
        <v>ANG - CGS</v>
      </c>
      <c r="B3310" s="33" t="str">
        <f t="shared" si="205"/>
        <v>ANG</v>
      </c>
      <c r="C3310" s="33" t="str">
        <f t="shared" si="206"/>
        <v>53003-0000</v>
      </c>
      <c r="D3310" s="64" t="s">
        <v>4174</v>
      </c>
      <c r="E3310" s="64" t="s">
        <v>3787</v>
      </c>
      <c r="F3310" s="64" t="s">
        <v>230</v>
      </c>
      <c r="G3310" s="64" t="s">
        <v>3160</v>
      </c>
      <c r="H3310" s="64" t="s">
        <v>1875</v>
      </c>
      <c r="I3310" s="64" t="s">
        <v>3788</v>
      </c>
      <c r="J3310" s="67">
        <v>0</v>
      </c>
      <c r="K3310" s="62">
        <v>3368.51</v>
      </c>
      <c r="L3310" s="33" t="e">
        <f>HLOOKUP(B3310,#REF!,1,0)</f>
        <v>#REF!</v>
      </c>
      <c r="M3310" s="33" t="str">
        <f t="shared" si="207"/>
        <v>P&amp;L</v>
      </c>
    </row>
    <row r="3311" spans="1:13" s="33" customFormat="true" ht="12.75" customHeight="true">
      <c r="A3311" s="33" t="str">
        <f t="shared" si="204"/>
        <v>ANG - CGS</v>
      </c>
      <c r="B3311" s="33" t="str">
        <f t="shared" si="205"/>
        <v>ANG</v>
      </c>
      <c r="C3311" s="33" t="str">
        <f t="shared" si="206"/>
        <v>53004-0000</v>
      </c>
      <c r="D3311" s="64" t="s">
        <v>4175</v>
      </c>
      <c r="E3311" s="64" t="s">
        <v>3790</v>
      </c>
      <c r="F3311" s="64" t="s">
        <v>230</v>
      </c>
      <c r="G3311" s="64" t="s">
        <v>3160</v>
      </c>
      <c r="H3311" s="64" t="s">
        <v>1875</v>
      </c>
      <c r="I3311" s="64" t="s">
        <v>3791</v>
      </c>
      <c r="J3311" s="67">
        <v>211.92</v>
      </c>
      <c r="K3311" s="62">
        <v>2794.61</v>
      </c>
      <c r="L3311" s="33" t="e">
        <f>HLOOKUP(B3311,#REF!,1,0)</f>
        <v>#REF!</v>
      </c>
      <c r="M3311" s="33" t="str">
        <f t="shared" si="207"/>
        <v>P&amp;L</v>
      </c>
    </row>
    <row r="3312" spans="1:13" s="33" customFormat="true" ht="12.75" customHeight="true">
      <c r="A3312" s="33" t="str">
        <f t="shared" si="204"/>
        <v>ANG - CGS</v>
      </c>
      <c r="B3312" s="33" t="str">
        <f t="shared" si="205"/>
        <v>ANG</v>
      </c>
      <c r="C3312" s="33" t="str">
        <f t="shared" si="206"/>
        <v>53005-0000</v>
      </c>
      <c r="D3312" s="64" t="s">
        <v>4176</v>
      </c>
      <c r="E3312" s="64" t="s">
        <v>3793</v>
      </c>
      <c r="F3312" s="64" t="s">
        <v>230</v>
      </c>
      <c r="G3312" s="64" t="s">
        <v>3160</v>
      </c>
      <c r="H3312" s="64" t="s">
        <v>1875</v>
      </c>
      <c r="I3312" s="64" t="s">
        <v>3794</v>
      </c>
      <c r="J3312" s="67">
        <v>0</v>
      </c>
      <c r="K3312" s="62">
        <v>3262.36</v>
      </c>
      <c r="L3312" s="33" t="e">
        <f>HLOOKUP(B3312,#REF!,1,0)</f>
        <v>#REF!</v>
      </c>
      <c r="M3312" s="33" t="str">
        <f t="shared" si="207"/>
        <v>P&amp;L</v>
      </c>
    </row>
    <row r="3313" spans="1:13" s="33" customFormat="true" ht="12.75" customHeight="true">
      <c r="A3313" s="33" t="str">
        <f t="shared" si="204"/>
        <v>ANG - CGS</v>
      </c>
      <c r="B3313" s="33" t="str">
        <f t="shared" si="205"/>
        <v>ANG</v>
      </c>
      <c r="C3313" s="33" t="str">
        <f t="shared" si="206"/>
        <v>53006-0000</v>
      </c>
      <c r="D3313" s="64" t="s">
        <v>4177</v>
      </c>
      <c r="E3313" s="64" t="s">
        <v>3796</v>
      </c>
      <c r="F3313" s="64" t="s">
        <v>230</v>
      </c>
      <c r="G3313" s="64" t="s">
        <v>3160</v>
      </c>
      <c r="H3313" s="64" t="s">
        <v>1875</v>
      </c>
      <c r="I3313" s="64" t="s">
        <v>3797</v>
      </c>
      <c r="J3313" s="67">
        <v>0</v>
      </c>
      <c r="K3313" s="62">
        <v>4406.05</v>
      </c>
      <c r="L3313" s="33" t="e">
        <f>HLOOKUP(B3313,#REF!,1,0)</f>
        <v>#REF!</v>
      </c>
      <c r="M3313" s="33" t="str">
        <f t="shared" si="207"/>
        <v>P&amp;L</v>
      </c>
    </row>
    <row r="3314" spans="1:13" s="33" customFormat="true" ht="12.75" customHeight="true">
      <c r="A3314" s="33" t="str">
        <f t="shared" si="204"/>
        <v>ANG - CGS</v>
      </c>
      <c r="B3314" s="33" t="str">
        <f t="shared" si="205"/>
        <v>ANG</v>
      </c>
      <c r="C3314" s="33" t="str">
        <f t="shared" si="206"/>
        <v>54003-0000</v>
      </c>
      <c r="D3314" s="64" t="s">
        <v>4178</v>
      </c>
      <c r="E3314" s="64" t="s">
        <v>3803</v>
      </c>
      <c r="F3314" s="64" t="s">
        <v>230</v>
      </c>
      <c r="G3314" s="64" t="s">
        <v>3800</v>
      </c>
      <c r="H3314" s="64" t="s">
        <v>1875</v>
      </c>
      <c r="I3314" s="64" t="s">
        <v>3804</v>
      </c>
      <c r="J3314" s="67">
        <v>0</v>
      </c>
      <c r="K3314" s="62">
        <v>0</v>
      </c>
      <c r="L3314" s="33" t="e">
        <f>HLOOKUP(B3314,#REF!,1,0)</f>
        <v>#REF!</v>
      </c>
      <c r="M3314" s="33" t="str">
        <f t="shared" si="207"/>
        <v>P&amp;L</v>
      </c>
    </row>
    <row r="3315" spans="1:13" s="33" customFormat="true" ht="12.75" customHeight="true">
      <c r="A3315" s="33" t="str">
        <f t="shared" si="204"/>
        <v>ANG - CGS</v>
      </c>
      <c r="B3315" s="33" t="str">
        <f t="shared" si="205"/>
        <v>ANG</v>
      </c>
      <c r="C3315" s="33" t="str">
        <f t="shared" si="206"/>
        <v>54004-0000</v>
      </c>
      <c r="D3315" s="64" t="s">
        <v>4179</v>
      </c>
      <c r="E3315" s="64" t="s">
        <v>3806</v>
      </c>
      <c r="F3315" s="64" t="s">
        <v>230</v>
      </c>
      <c r="G3315" s="64" t="s">
        <v>3800</v>
      </c>
      <c r="H3315" s="64" t="s">
        <v>1875</v>
      </c>
      <c r="I3315" s="64" t="s">
        <v>3807</v>
      </c>
      <c r="J3315" s="67">
        <v>0</v>
      </c>
      <c r="K3315" s="62">
        <v>0</v>
      </c>
      <c r="L3315" s="33" t="e">
        <f>HLOOKUP(B3315,#REF!,1,0)</f>
        <v>#REF!</v>
      </c>
      <c r="M3315" s="33" t="str">
        <f t="shared" si="207"/>
        <v>P&amp;L</v>
      </c>
    </row>
    <row r="3316" spans="1:13" s="33" customFormat="true" ht="12.75" customHeight="true">
      <c r="A3316" s="33" t="str">
        <f t="shared" si="204"/>
        <v>ANG - CGS</v>
      </c>
      <c r="B3316" s="33" t="str">
        <f t="shared" si="205"/>
        <v>ANG</v>
      </c>
      <c r="C3316" s="33" t="str">
        <f t="shared" si="206"/>
        <v>54006-0000</v>
      </c>
      <c r="D3316" s="64" t="s">
        <v>4180</v>
      </c>
      <c r="E3316" s="64" t="s">
        <v>3812</v>
      </c>
      <c r="F3316" s="64" t="s">
        <v>230</v>
      </c>
      <c r="G3316" s="64" t="s">
        <v>3800</v>
      </c>
      <c r="H3316" s="64" t="s">
        <v>1875</v>
      </c>
      <c r="I3316" s="64" t="s">
        <v>3003</v>
      </c>
      <c r="J3316" s="67">
        <v>0</v>
      </c>
      <c r="K3316" s="62">
        <v>0</v>
      </c>
      <c r="L3316" s="33" t="e">
        <f>HLOOKUP(B3316,#REF!,1,0)</f>
        <v>#REF!</v>
      </c>
      <c r="M3316" s="33" t="str">
        <f t="shared" si="207"/>
        <v>P&amp;L</v>
      </c>
    </row>
    <row r="3317" spans="1:13" s="33" customFormat="true" ht="12.75" customHeight="true">
      <c r="A3317" s="33" t="str">
        <f t="shared" si="204"/>
        <v>ANG - CGS</v>
      </c>
      <c r="B3317" s="33" t="str">
        <f t="shared" si="205"/>
        <v>ANG</v>
      </c>
      <c r="C3317" s="33" t="str">
        <f t="shared" si="206"/>
        <v>54007-0000</v>
      </c>
      <c r="D3317" s="64" t="s">
        <v>4181</v>
      </c>
      <c r="E3317" s="64" t="s">
        <v>4182</v>
      </c>
      <c r="F3317" s="64" t="s">
        <v>230</v>
      </c>
      <c r="G3317" s="64" t="s">
        <v>3800</v>
      </c>
      <c r="H3317" s="64" t="s">
        <v>1875</v>
      </c>
      <c r="I3317" s="64" t="s">
        <v>3815</v>
      </c>
      <c r="J3317" s="67">
        <v>2066.5</v>
      </c>
      <c r="K3317" s="62">
        <v>3966.83</v>
      </c>
      <c r="L3317" s="33" t="e">
        <f>HLOOKUP(B3317,#REF!,1,0)</f>
        <v>#REF!</v>
      </c>
      <c r="M3317" s="33" t="str">
        <f t="shared" si="207"/>
        <v>P&amp;L</v>
      </c>
    </row>
    <row r="3318" spans="1:13" s="33" customFormat="true" ht="12.75" customHeight="true">
      <c r="A3318" s="33" t="str">
        <f t="shared" si="204"/>
        <v>ANG - Capital-Remodel</v>
      </c>
      <c r="B3318" s="33" t="str">
        <f t="shared" si="205"/>
        <v>ANG</v>
      </c>
      <c r="C3318" s="33" t="str">
        <f t="shared" si="206"/>
        <v>55000-0000</v>
      </c>
      <c r="D3318" s="64" t="s">
        <v>4183</v>
      </c>
      <c r="E3318" s="64" t="s">
        <v>4020</v>
      </c>
      <c r="F3318" s="64" t="s">
        <v>230</v>
      </c>
      <c r="G3318" s="64" t="s">
        <v>3818</v>
      </c>
      <c r="H3318" s="64" t="s">
        <v>4021</v>
      </c>
      <c r="I3318" s="64" t="s">
        <v>4022</v>
      </c>
      <c r="J3318" s="67">
        <v>0</v>
      </c>
      <c r="K3318" s="62">
        <v>960</v>
      </c>
      <c r="L3318" s="33" t="e">
        <f>HLOOKUP(B3318,#REF!,1,0)</f>
        <v>#REF!</v>
      </c>
      <c r="M3318" s="33" t="str">
        <f t="shared" si="207"/>
        <v>P&amp;L</v>
      </c>
    </row>
    <row r="3319" spans="1:13" s="33" customFormat="true" ht="12.75" customHeight="true">
      <c r="A3319" s="33" t="str">
        <f t="shared" si="204"/>
        <v>ANG - PM Expenses</v>
      </c>
      <c r="B3319" s="33" t="str">
        <f t="shared" si="205"/>
        <v>ANG</v>
      </c>
      <c r="C3319" s="33" t="str">
        <f t="shared" si="206"/>
        <v>55501-0000</v>
      </c>
      <c r="D3319" s="64" t="s">
        <v>4184</v>
      </c>
      <c r="E3319" s="64" t="s">
        <v>3817</v>
      </c>
      <c r="F3319" s="64" t="s">
        <v>230</v>
      </c>
      <c r="G3319" s="64" t="s">
        <v>3818</v>
      </c>
      <c r="H3319" s="64" t="s">
        <v>3819</v>
      </c>
      <c r="I3319" s="64" t="s">
        <v>3820</v>
      </c>
      <c r="J3319" s="67">
        <v>0</v>
      </c>
      <c r="K3319" s="62">
        <v>60</v>
      </c>
      <c r="L3319" s="33" t="e">
        <f>HLOOKUP(B3319,#REF!,1,0)</f>
        <v>#REF!</v>
      </c>
      <c r="M3319" s="33" t="str">
        <f t="shared" si="207"/>
        <v>P&amp;L</v>
      </c>
    </row>
    <row r="3320" spans="1:13" s="33" customFormat="true" ht="12.75" customHeight="true">
      <c r="A3320" s="33" t="str">
        <f t="shared" si="204"/>
        <v>ANG - PM Expenses</v>
      </c>
      <c r="B3320" s="33" t="str">
        <f t="shared" si="205"/>
        <v>ANG</v>
      </c>
      <c r="C3320" s="33" t="str">
        <f t="shared" si="206"/>
        <v>55502-0000</v>
      </c>
      <c r="D3320" s="64" t="s">
        <v>4185</v>
      </c>
      <c r="E3320" s="64" t="s">
        <v>3822</v>
      </c>
      <c r="F3320" s="64" t="s">
        <v>230</v>
      </c>
      <c r="G3320" s="64" t="s">
        <v>3818</v>
      </c>
      <c r="H3320" s="64" t="s">
        <v>3819</v>
      </c>
      <c r="I3320" s="64" t="s">
        <v>3823</v>
      </c>
      <c r="J3320" s="67">
        <v>0</v>
      </c>
      <c r="K3320" s="62">
        <v>1119.1</v>
      </c>
      <c r="L3320" s="33" t="e">
        <f>HLOOKUP(B3320,#REF!,1,0)</f>
        <v>#REF!</v>
      </c>
      <c r="M3320" s="33" t="str">
        <f t="shared" si="207"/>
        <v>P&amp;L</v>
      </c>
    </row>
    <row r="3321" spans="1:13" s="33" customFormat="true" ht="12.75" customHeight="true">
      <c r="A3321" s="33" t="str">
        <f t="shared" si="204"/>
        <v>ANG - PM Expenses</v>
      </c>
      <c r="B3321" s="33" t="str">
        <f t="shared" si="205"/>
        <v>ANG</v>
      </c>
      <c r="C3321" s="33" t="str">
        <f t="shared" si="206"/>
        <v>55503-0000</v>
      </c>
      <c r="D3321" s="64" t="s">
        <v>4186</v>
      </c>
      <c r="E3321" s="64" t="s">
        <v>3825</v>
      </c>
      <c r="F3321" s="64" t="s">
        <v>230</v>
      </c>
      <c r="G3321" s="64" t="s">
        <v>3818</v>
      </c>
      <c r="H3321" s="64" t="s">
        <v>3819</v>
      </c>
      <c r="I3321" s="64" t="s">
        <v>3826</v>
      </c>
      <c r="J3321" s="67">
        <v>234</v>
      </c>
      <c r="K3321" s="62">
        <v>1635.46</v>
      </c>
      <c r="L3321" s="33" t="e">
        <f>HLOOKUP(B3321,#REF!,1,0)</f>
        <v>#REF!</v>
      </c>
      <c r="M3321" s="33" t="str">
        <f t="shared" si="207"/>
        <v>P&amp;L</v>
      </c>
    </row>
    <row r="3322" spans="1:13" s="33" customFormat="true" ht="12.75" customHeight="true">
      <c r="A3322" s="33" t="str">
        <f t="shared" si="204"/>
        <v>ANG - PM Expenses</v>
      </c>
      <c r="B3322" s="33" t="str">
        <f t="shared" si="205"/>
        <v>ANG</v>
      </c>
      <c r="C3322" s="33" t="str">
        <f t="shared" si="206"/>
        <v>55504-0000</v>
      </c>
      <c r="D3322" s="64" t="s">
        <v>4187</v>
      </c>
      <c r="E3322" s="64" t="s">
        <v>4027</v>
      </c>
      <c r="F3322" s="64" t="s">
        <v>230</v>
      </c>
      <c r="G3322" s="64" t="s">
        <v>3818</v>
      </c>
      <c r="H3322" s="64" t="s">
        <v>3819</v>
      </c>
      <c r="I3322" s="64" t="s">
        <v>4028</v>
      </c>
      <c r="J3322" s="67">
        <v>0</v>
      </c>
      <c r="K3322" s="62">
        <v>1473.6</v>
      </c>
      <c r="L3322" s="33" t="e">
        <f>HLOOKUP(B3322,#REF!,1,0)</f>
        <v>#REF!</v>
      </c>
      <c r="M3322" s="33" t="str">
        <f t="shared" si="207"/>
        <v>P&amp;L</v>
      </c>
    </row>
    <row r="3323" spans="1:13" s="33" customFormat="true" ht="12.75" customHeight="true">
      <c r="A3323" s="33" t="str">
        <f t="shared" si="204"/>
        <v>ANG - PM Expenses</v>
      </c>
      <c r="B3323" s="33" t="str">
        <f t="shared" si="205"/>
        <v>ANG</v>
      </c>
      <c r="C3323" s="33" t="str">
        <f t="shared" si="206"/>
        <v>55505-0000</v>
      </c>
      <c r="D3323" s="64" t="s">
        <v>4188</v>
      </c>
      <c r="E3323" s="64" t="s">
        <v>3828</v>
      </c>
      <c r="F3323" s="64" t="s">
        <v>230</v>
      </c>
      <c r="G3323" s="64" t="s">
        <v>3818</v>
      </c>
      <c r="H3323" s="64" t="s">
        <v>3819</v>
      </c>
      <c r="I3323" s="64" t="s">
        <v>3829</v>
      </c>
      <c r="J3323" s="67">
        <v>696</v>
      </c>
      <c r="K3323" s="62">
        <v>3495.78</v>
      </c>
      <c r="L3323" s="33" t="e">
        <f>HLOOKUP(B3323,#REF!,1,0)</f>
        <v>#REF!</v>
      </c>
      <c r="M3323" s="33" t="str">
        <f t="shared" si="207"/>
        <v>P&amp;L</v>
      </c>
    </row>
    <row r="3324" spans="1:13" s="33" customFormat="true" ht="12.75" customHeight="true">
      <c r="A3324" s="33" t="str">
        <f t="shared" si="204"/>
        <v>ANG - PM Expenses</v>
      </c>
      <c r="B3324" s="33" t="str">
        <f t="shared" si="205"/>
        <v>ANG</v>
      </c>
      <c r="C3324" s="33" t="str">
        <f t="shared" si="206"/>
        <v>55506-0000</v>
      </c>
      <c r="D3324" s="64" t="s">
        <v>4189</v>
      </c>
      <c r="E3324" s="64" t="s">
        <v>3831</v>
      </c>
      <c r="F3324" s="64" t="s">
        <v>230</v>
      </c>
      <c r="G3324" s="64" t="s">
        <v>3818</v>
      </c>
      <c r="H3324" s="64" t="s">
        <v>3819</v>
      </c>
      <c r="I3324" s="64" t="s">
        <v>3832</v>
      </c>
      <c r="J3324" s="67">
        <v>170</v>
      </c>
      <c r="K3324" s="62">
        <v>170</v>
      </c>
      <c r="L3324" s="33" t="e">
        <f>HLOOKUP(B3324,#REF!,1,0)</f>
        <v>#REF!</v>
      </c>
      <c r="M3324" s="33" t="str">
        <f t="shared" si="207"/>
        <v>P&amp;L</v>
      </c>
    </row>
    <row r="3325" spans="1:13" s="33" customFormat="true" ht="12.75" customHeight="true">
      <c r="A3325" s="33" t="str">
        <f t="shared" si="204"/>
        <v>ANG - PM Expenses</v>
      </c>
      <c r="B3325" s="33" t="str">
        <f t="shared" si="205"/>
        <v>ANG</v>
      </c>
      <c r="C3325" s="33" t="str">
        <f t="shared" si="206"/>
        <v>55507-0000</v>
      </c>
      <c r="D3325" s="64" t="s">
        <v>4190</v>
      </c>
      <c r="E3325" s="64" t="s">
        <v>3834</v>
      </c>
      <c r="F3325" s="64" t="s">
        <v>230</v>
      </c>
      <c r="G3325" s="64" t="s">
        <v>3818</v>
      </c>
      <c r="H3325" s="64" t="s">
        <v>3819</v>
      </c>
      <c r="I3325" s="64" t="s">
        <v>3835</v>
      </c>
      <c r="J3325" s="67">
        <v>0</v>
      </c>
      <c r="K3325" s="62">
        <v>1127.36</v>
      </c>
      <c r="L3325" s="33" t="e">
        <f>HLOOKUP(B3325,#REF!,1,0)</f>
        <v>#REF!</v>
      </c>
      <c r="M3325" s="33" t="str">
        <f t="shared" si="207"/>
        <v>P&amp;L</v>
      </c>
    </row>
    <row r="3326" spans="1:13" s="33" customFormat="true" ht="12.75" customHeight="true">
      <c r="A3326" s="33" t="str">
        <f t="shared" si="204"/>
        <v>ANG - CGS</v>
      </c>
      <c r="B3326" s="33" t="str">
        <f t="shared" si="205"/>
        <v>ANG</v>
      </c>
      <c r="C3326" s="33" t="str">
        <f t="shared" si="206"/>
        <v>60001-0000</v>
      </c>
      <c r="D3326" s="64" t="s">
        <v>4191</v>
      </c>
      <c r="E3326" s="64" t="s">
        <v>4192</v>
      </c>
      <c r="F3326" s="64" t="s">
        <v>230</v>
      </c>
      <c r="G3326" s="64" t="s">
        <v>3838</v>
      </c>
      <c r="H3326" s="64" t="s">
        <v>1875</v>
      </c>
      <c r="I3326" s="64" t="s">
        <v>4193</v>
      </c>
      <c r="J3326" s="67">
        <v>0</v>
      </c>
      <c r="K3326" s="62">
        <v>1386.97</v>
      </c>
      <c r="L3326" s="33" t="e">
        <f>HLOOKUP(B3326,#REF!,1,0)</f>
        <v>#REF!</v>
      </c>
      <c r="M3326" s="33" t="str">
        <f t="shared" si="207"/>
        <v>P&amp;L</v>
      </c>
    </row>
    <row r="3327" spans="1:13" s="33" customFormat="true" ht="12.75" customHeight="true">
      <c r="A3327" s="33" t="str">
        <f t="shared" si="204"/>
        <v>ANG - CGS</v>
      </c>
      <c r="B3327" s="33" t="str">
        <f t="shared" si="205"/>
        <v>ANG</v>
      </c>
      <c r="C3327" s="33" t="str">
        <f t="shared" si="206"/>
        <v>60002-0000</v>
      </c>
      <c r="D3327" s="64" t="s">
        <v>4194</v>
      </c>
      <c r="E3327" s="64" t="s">
        <v>3837</v>
      </c>
      <c r="F3327" s="64" t="s">
        <v>230</v>
      </c>
      <c r="G3327" s="64" t="s">
        <v>3838</v>
      </c>
      <c r="H3327" s="64" t="s">
        <v>1875</v>
      </c>
      <c r="I3327" s="64" t="s">
        <v>3839</v>
      </c>
      <c r="J3327" s="67">
        <v>65.14</v>
      </c>
      <c r="K3327" s="62">
        <v>743.68</v>
      </c>
      <c r="L3327" s="33" t="e">
        <f>HLOOKUP(B3327,#REF!,1,0)</f>
        <v>#REF!</v>
      </c>
      <c r="M3327" s="33" t="str">
        <f t="shared" si="207"/>
        <v>P&amp;L</v>
      </c>
    </row>
    <row r="3328" spans="1:13" s="33" customFormat="true" ht="12.75" customHeight="true">
      <c r="A3328" s="33" t="str">
        <f t="shared" si="204"/>
        <v>ANG - CGS</v>
      </c>
      <c r="B3328" s="33" t="str">
        <f t="shared" si="205"/>
        <v>ANG</v>
      </c>
      <c r="C3328" s="33" t="str">
        <f t="shared" si="206"/>
        <v>60005-0000</v>
      </c>
      <c r="D3328" s="64" t="s">
        <v>4195</v>
      </c>
      <c r="E3328" s="64" t="s">
        <v>3841</v>
      </c>
      <c r="F3328" s="64" t="s">
        <v>230</v>
      </c>
      <c r="G3328" s="64" t="s">
        <v>3838</v>
      </c>
      <c r="H3328" s="64" t="s">
        <v>1875</v>
      </c>
      <c r="I3328" s="64" t="s">
        <v>3842</v>
      </c>
      <c r="J3328" s="67">
        <v>0</v>
      </c>
      <c r="K3328" s="62">
        <v>7369.14</v>
      </c>
      <c r="L3328" s="33" t="e">
        <f>HLOOKUP(B3328,#REF!,1,0)</f>
        <v>#REF!</v>
      </c>
      <c r="M3328" s="33" t="str">
        <f t="shared" si="207"/>
        <v>P&amp;L</v>
      </c>
    </row>
    <row r="3329" spans="1:13" s="33" customFormat="true" ht="12.75" customHeight="true">
      <c r="A3329" s="33" t="str">
        <f t="shared" si="204"/>
        <v>ANG - Interest Expense</v>
      </c>
      <c r="B3329" s="33" t="str">
        <f t="shared" si="205"/>
        <v>ANG</v>
      </c>
      <c r="C3329" s="33" t="str">
        <f t="shared" si="206"/>
        <v>60006-0000</v>
      </c>
      <c r="D3329" s="64" t="s">
        <v>4196</v>
      </c>
      <c r="E3329" s="64" t="s">
        <v>3325</v>
      </c>
      <c r="F3329" s="64" t="s">
        <v>230</v>
      </c>
      <c r="G3329" s="64" t="s">
        <v>3844</v>
      </c>
      <c r="H3329" s="64" t="s">
        <v>3327</v>
      </c>
      <c r="I3329" s="64" t="s">
        <v>3328</v>
      </c>
      <c r="J3329" s="67">
        <v>6148.85</v>
      </c>
      <c r="K3329" s="62">
        <v>61920.13</v>
      </c>
      <c r="L3329" s="33" t="e">
        <f>HLOOKUP(B3329,#REF!,1,0)</f>
        <v>#REF!</v>
      </c>
      <c r="M3329" s="33" t="str">
        <f t="shared" si="207"/>
        <v>P&amp;L</v>
      </c>
    </row>
    <row r="3330" spans="1:13" s="33" customFormat="true" ht="12.75" customHeight="true">
      <c r="A3330" s="33" t="str">
        <f t="shared" ref="A3330:A3393" si="208">B3330&amp;" - "&amp;TRIM(H3330)</f>
        <v>ANG - CGS</v>
      </c>
      <c r="B3330" s="33" t="str">
        <f t="shared" ref="B3330:B3393" si="209">LEFT(D3330,3)</f>
        <v>ANG</v>
      </c>
      <c r="C3330" s="33" t="str">
        <f t="shared" ref="C3330:C3393" si="210">RIGHT(D3330,10)</f>
        <v>60007-0000</v>
      </c>
      <c r="D3330" s="64" t="s">
        <v>4197</v>
      </c>
      <c r="E3330" s="64" t="s">
        <v>3846</v>
      </c>
      <c r="F3330" s="64" t="s">
        <v>230</v>
      </c>
      <c r="G3330" s="64" t="s">
        <v>3838</v>
      </c>
      <c r="H3330" s="64" t="s">
        <v>1875</v>
      </c>
      <c r="I3330" s="64" t="s">
        <v>3847</v>
      </c>
      <c r="J3330" s="67">
        <v>0</v>
      </c>
      <c r="K3330" s="62">
        <v>801</v>
      </c>
      <c r="L3330" s="33" t="e">
        <f>HLOOKUP(B3330,#REF!,1,0)</f>
        <v>#REF!</v>
      </c>
      <c r="M3330" s="33" t="str">
        <f t="shared" ref="M3330:M3393" si="211">IF(VALUE(LEFT(C3330,5))&gt;40000,"P&amp;L","BS")</f>
        <v>P&amp;L</v>
      </c>
    </row>
    <row r="3331" spans="1:13" s="33" customFormat="true" ht="12.75" customHeight="true">
      <c r="A3331" s="33" t="str">
        <f t="shared" si="208"/>
        <v>ANG - CGS</v>
      </c>
      <c r="B3331" s="33" t="str">
        <f t="shared" si="209"/>
        <v>ANG</v>
      </c>
      <c r="C3331" s="33" t="str">
        <f t="shared" si="210"/>
        <v>60011-0000</v>
      </c>
      <c r="D3331" s="64" t="s">
        <v>4198</v>
      </c>
      <c r="E3331" s="64" t="s">
        <v>4199</v>
      </c>
      <c r="F3331" s="64" t="s">
        <v>230</v>
      </c>
      <c r="G3331" s="64" t="s">
        <v>3838</v>
      </c>
      <c r="H3331" s="64" t="s">
        <v>1875</v>
      </c>
      <c r="I3331" s="64" t="s">
        <v>4200</v>
      </c>
      <c r="J3331" s="67">
        <v>0</v>
      </c>
      <c r="K3331" s="62">
        <v>1001.48</v>
      </c>
      <c r="L3331" s="33" t="e">
        <f>HLOOKUP(B3331,#REF!,1,0)</f>
        <v>#REF!</v>
      </c>
      <c r="M3331" s="33" t="str">
        <f t="shared" si="211"/>
        <v>P&amp;L</v>
      </c>
    </row>
    <row r="3332" spans="1:13" s="33" customFormat="true" ht="12.75" customHeight="true">
      <c r="A3332" s="33" t="str">
        <f t="shared" si="208"/>
        <v>ANG - CGS</v>
      </c>
      <c r="B3332" s="33" t="str">
        <f t="shared" si="209"/>
        <v>ANG</v>
      </c>
      <c r="C3332" s="33" t="str">
        <f t="shared" si="210"/>
        <v>60012-0000</v>
      </c>
      <c r="D3332" s="64" t="s">
        <v>4201</v>
      </c>
      <c r="E3332" s="64" t="s">
        <v>3852</v>
      </c>
      <c r="F3332" s="64" t="s">
        <v>230</v>
      </c>
      <c r="G3332" s="64" t="s">
        <v>3838</v>
      </c>
      <c r="H3332" s="64" t="s">
        <v>1875</v>
      </c>
      <c r="I3332" s="64" t="s">
        <v>3853</v>
      </c>
      <c r="J3332" s="67">
        <v>0</v>
      </c>
      <c r="K3332" s="62">
        <v>22328.58</v>
      </c>
      <c r="L3332" s="33" t="e">
        <f>HLOOKUP(B3332,#REF!,1,0)</f>
        <v>#REF!</v>
      </c>
      <c r="M3332" s="33" t="str">
        <f t="shared" si="211"/>
        <v>P&amp;L</v>
      </c>
    </row>
    <row r="3333" spans="1:13" s="33" customFormat="true" ht="12.75" customHeight="true">
      <c r="A3333" s="33" t="str">
        <f t="shared" si="208"/>
        <v>ANG - CGS</v>
      </c>
      <c r="B3333" s="33" t="str">
        <f t="shared" si="209"/>
        <v>ANG</v>
      </c>
      <c r="C3333" s="33" t="str">
        <f t="shared" si="210"/>
        <v>60014-0000</v>
      </c>
      <c r="D3333" s="64" t="s">
        <v>4202</v>
      </c>
      <c r="E3333" s="64" t="s">
        <v>3855</v>
      </c>
      <c r="F3333" s="64" t="s">
        <v>230</v>
      </c>
      <c r="G3333" s="64" t="s">
        <v>3838</v>
      </c>
      <c r="H3333" s="64" t="s">
        <v>1875</v>
      </c>
      <c r="I3333" s="64" t="s">
        <v>3856</v>
      </c>
      <c r="J3333" s="67">
        <v>725.26</v>
      </c>
      <c r="K3333" s="62">
        <v>7417.56</v>
      </c>
      <c r="L3333" s="33" t="e">
        <f>HLOOKUP(B3333,#REF!,1,0)</f>
        <v>#REF!</v>
      </c>
      <c r="M3333" s="33" t="str">
        <f t="shared" si="211"/>
        <v>P&amp;L</v>
      </c>
    </row>
    <row r="3334" spans="1:13" s="33" customFormat="true" ht="12.75" customHeight="true">
      <c r="A3334" s="33" t="str">
        <f t="shared" si="208"/>
        <v>ANG - CGS</v>
      </c>
      <c r="B3334" s="33" t="str">
        <f t="shared" si="209"/>
        <v>ANG</v>
      </c>
      <c r="C3334" s="33" t="str">
        <f t="shared" si="210"/>
        <v>60015-0000</v>
      </c>
      <c r="D3334" s="64" t="s">
        <v>4203</v>
      </c>
      <c r="E3334" s="64" t="s">
        <v>3858</v>
      </c>
      <c r="F3334" s="64" t="s">
        <v>230</v>
      </c>
      <c r="G3334" s="64" t="s">
        <v>3838</v>
      </c>
      <c r="H3334" s="64" t="s">
        <v>1875</v>
      </c>
      <c r="I3334" s="64" t="s">
        <v>3859</v>
      </c>
      <c r="J3334" s="67">
        <v>0</v>
      </c>
      <c r="K3334" s="62">
        <v>69.73</v>
      </c>
      <c r="L3334" s="33" t="e">
        <f>HLOOKUP(B3334,#REF!,1,0)</f>
        <v>#REF!</v>
      </c>
      <c r="M3334" s="33" t="str">
        <f t="shared" si="211"/>
        <v>P&amp;L</v>
      </c>
    </row>
    <row r="3335" spans="1:13" s="33" customFormat="true" ht="12.75" customHeight="true">
      <c r="A3335" s="33" t="str">
        <f t="shared" si="208"/>
        <v>ANG - Income Tax</v>
      </c>
      <c r="B3335" s="33" t="str">
        <f t="shared" si="209"/>
        <v>ANG</v>
      </c>
      <c r="C3335" s="33" t="str">
        <f t="shared" si="210"/>
        <v>61019-0000</v>
      </c>
      <c r="D3335" s="64" t="s">
        <v>4204</v>
      </c>
      <c r="E3335" s="64" t="s">
        <v>4041</v>
      </c>
      <c r="F3335" s="64" t="s">
        <v>230</v>
      </c>
      <c r="G3335" s="64" t="s">
        <v>3844</v>
      </c>
      <c r="H3335" s="64" t="s">
        <v>3378</v>
      </c>
      <c r="I3335" s="64" t="s">
        <v>4042</v>
      </c>
      <c r="J3335" s="67">
        <v>0</v>
      </c>
      <c r="K3335" s="62">
        <v>800</v>
      </c>
      <c r="L3335" s="33" t="e">
        <f>HLOOKUP(B3335,#REF!,1,0)</f>
        <v>#REF!</v>
      </c>
      <c r="M3335" s="33" t="str">
        <f t="shared" si="211"/>
        <v>P&amp;L</v>
      </c>
    </row>
    <row r="3336" spans="1:13" s="33" customFormat="true" ht="12.75" customHeight="true">
      <c r="A3336" s="33" t="str">
        <f t="shared" si="208"/>
        <v>API - Fixed Assets</v>
      </c>
      <c r="B3336" s="33" t="str">
        <f t="shared" si="209"/>
        <v>API</v>
      </c>
      <c r="C3336" s="33" t="str">
        <f t="shared" si="210"/>
        <v>15501-0000</v>
      </c>
      <c r="D3336" s="283" t="s">
        <v>4205</v>
      </c>
      <c r="E3336" s="64" t="s">
        <v>2635</v>
      </c>
      <c r="F3336" s="64" t="s">
        <v>230</v>
      </c>
      <c r="G3336" s="64" t="s">
        <v>62</v>
      </c>
      <c r="H3336" s="64" t="s">
        <v>63</v>
      </c>
      <c r="I3336" s="64" t="s">
        <v>64</v>
      </c>
      <c r="J3336" s="67">
        <v>0</v>
      </c>
      <c r="K3336" s="62">
        <v>6431.81</v>
      </c>
      <c r="L3336" s="33" t="e">
        <f>HLOOKUP(B3336,#REF!,1,0)</f>
        <v>#REF!</v>
      </c>
      <c r="M3336" s="33" t="str">
        <f t="shared" si="211"/>
        <v>BS</v>
      </c>
    </row>
    <row r="3337" spans="1:13" s="33" customFormat="true" ht="12.75" customHeight="true">
      <c r="A3337" s="33" t="str">
        <f t="shared" si="208"/>
        <v>API - AP-Accr Exp</v>
      </c>
      <c r="B3337" s="33" t="str">
        <f t="shared" si="209"/>
        <v>API</v>
      </c>
      <c r="C3337" s="33" t="str">
        <f t="shared" si="210"/>
        <v>25300-0000</v>
      </c>
      <c r="D3337" s="283" t="s">
        <v>4206</v>
      </c>
      <c r="E3337" s="64" t="s">
        <v>3677</v>
      </c>
      <c r="F3337" s="64" t="s">
        <v>230</v>
      </c>
      <c r="G3337" s="64" t="s">
        <v>3678</v>
      </c>
      <c r="H3337" s="64" t="s">
        <v>98</v>
      </c>
      <c r="I3337" s="64" t="s">
        <v>102</v>
      </c>
      <c r="J3337" s="67">
        <v>0</v>
      </c>
      <c r="K3337" s="62">
        <v>0</v>
      </c>
      <c r="L3337" s="33" t="e">
        <f>HLOOKUP(B3337,#REF!,1,0)</f>
        <v>#REF!</v>
      </c>
      <c r="M3337" s="33" t="str">
        <f t="shared" si="211"/>
        <v>BS</v>
      </c>
    </row>
    <row r="3338" spans="1:13" s="33" customFormat="true" ht="12.75" customHeight="true">
      <c r="A3338" s="33" t="str">
        <f t="shared" si="208"/>
        <v>API - Revenue</v>
      </c>
      <c r="B3338" s="33" t="str">
        <f t="shared" si="209"/>
        <v>API</v>
      </c>
      <c r="C3338" s="33" t="str">
        <f t="shared" si="210"/>
        <v>40110-0000</v>
      </c>
      <c r="D3338" s="283" t="s">
        <v>4207</v>
      </c>
      <c r="E3338" s="64" t="s">
        <v>3683</v>
      </c>
      <c r="F3338" s="64" t="s">
        <v>230</v>
      </c>
      <c r="G3338" s="64" t="s">
        <v>3684</v>
      </c>
      <c r="H3338" s="64" t="s">
        <v>2871</v>
      </c>
      <c r="I3338" s="64" t="s">
        <v>3685</v>
      </c>
      <c r="J3338" s="67">
        <v>0</v>
      </c>
      <c r="K3338" s="62">
        <v>-3028833</v>
      </c>
      <c r="L3338" s="33" t="e">
        <f>HLOOKUP(B3338,#REF!,1,0)</f>
        <v>#REF!</v>
      </c>
      <c r="M3338" s="33" t="str">
        <f t="shared" si="211"/>
        <v>P&amp;L</v>
      </c>
    </row>
    <row r="3339" spans="1:13" s="33" customFormat="true" ht="12.75" customHeight="true">
      <c r="A3339" s="33" t="str">
        <f t="shared" si="208"/>
        <v>API - Revenue</v>
      </c>
      <c r="B3339" s="33" t="str">
        <f t="shared" si="209"/>
        <v>API</v>
      </c>
      <c r="C3339" s="33" t="str">
        <f t="shared" si="210"/>
        <v>40120-0000</v>
      </c>
      <c r="D3339" s="283" t="s">
        <v>4208</v>
      </c>
      <c r="E3339" s="64" t="s">
        <v>3687</v>
      </c>
      <c r="F3339" s="64" t="s">
        <v>230</v>
      </c>
      <c r="G3339" s="64" t="s">
        <v>3684</v>
      </c>
      <c r="H3339" s="64" t="s">
        <v>2871</v>
      </c>
      <c r="I3339" s="64" t="s">
        <v>3688</v>
      </c>
      <c r="J3339" s="67">
        <v>0</v>
      </c>
      <c r="K3339" s="62">
        <v>-53255</v>
      </c>
      <c r="L3339" s="33" t="e">
        <f>HLOOKUP(B3339,#REF!,1,0)</f>
        <v>#REF!</v>
      </c>
      <c r="M3339" s="33" t="str">
        <f t="shared" si="211"/>
        <v>P&amp;L</v>
      </c>
    </row>
    <row r="3340" spans="1:13" s="33" customFormat="true" ht="12.75" customHeight="true">
      <c r="A3340" s="33" t="str">
        <f t="shared" si="208"/>
        <v>API - Revenue</v>
      </c>
      <c r="B3340" s="33" t="str">
        <f t="shared" si="209"/>
        <v>API</v>
      </c>
      <c r="C3340" s="33" t="str">
        <f t="shared" si="210"/>
        <v>40130-0000</v>
      </c>
      <c r="D3340" s="283" t="s">
        <v>4209</v>
      </c>
      <c r="E3340" s="64" t="s">
        <v>3690</v>
      </c>
      <c r="F3340" s="64" t="s">
        <v>230</v>
      </c>
      <c r="G3340" s="64" t="s">
        <v>3684</v>
      </c>
      <c r="H3340" s="64" t="s">
        <v>2871</v>
      </c>
      <c r="I3340" s="64" t="s">
        <v>3691</v>
      </c>
      <c r="J3340" s="67">
        <v>0</v>
      </c>
      <c r="K3340" s="62">
        <v>-69032</v>
      </c>
      <c r="L3340" s="33" t="e">
        <f>HLOOKUP(B3340,#REF!,1,0)</f>
        <v>#REF!</v>
      </c>
      <c r="M3340" s="33" t="str">
        <f t="shared" si="211"/>
        <v>P&amp;L</v>
      </c>
    </row>
    <row r="3341" spans="1:13" s="33" customFormat="true" ht="12.75" customHeight="true">
      <c r="A3341" s="33" t="str">
        <f t="shared" si="208"/>
        <v>API - Revenue</v>
      </c>
      <c r="B3341" s="33" t="str">
        <f t="shared" si="209"/>
        <v>API</v>
      </c>
      <c r="C3341" s="33" t="str">
        <f t="shared" si="210"/>
        <v>40140-0000</v>
      </c>
      <c r="D3341" s="283" t="s">
        <v>4210</v>
      </c>
      <c r="E3341" s="64" t="s">
        <v>3948</v>
      </c>
      <c r="F3341" s="64" t="s">
        <v>230</v>
      </c>
      <c r="G3341" s="64" t="s">
        <v>3684</v>
      </c>
      <c r="H3341" s="64" t="s">
        <v>2871</v>
      </c>
      <c r="I3341" s="64" t="s">
        <v>3949</v>
      </c>
      <c r="J3341" s="67">
        <v>0</v>
      </c>
      <c r="K3341" s="62">
        <v>0</v>
      </c>
      <c r="L3341" s="33" t="e">
        <f>HLOOKUP(B3341,#REF!,1,0)</f>
        <v>#REF!</v>
      </c>
      <c r="M3341" s="33" t="str">
        <f t="shared" si="211"/>
        <v>P&amp;L</v>
      </c>
    </row>
    <row r="3342" spans="1:13" s="33" customFormat="true" ht="12.75" customHeight="true">
      <c r="A3342" s="33" t="str">
        <f t="shared" si="208"/>
        <v>API - Revenue</v>
      </c>
      <c r="B3342" s="33" t="str">
        <f t="shared" si="209"/>
        <v>API</v>
      </c>
      <c r="C3342" s="33" t="str">
        <f t="shared" si="210"/>
        <v>41110-0000</v>
      </c>
      <c r="D3342" s="283" t="s">
        <v>4211</v>
      </c>
      <c r="E3342" s="64" t="s">
        <v>3693</v>
      </c>
      <c r="F3342" s="64" t="s">
        <v>230</v>
      </c>
      <c r="G3342" s="64" t="s">
        <v>3694</v>
      </c>
      <c r="H3342" s="64" t="s">
        <v>2871</v>
      </c>
      <c r="I3342" s="64" t="s">
        <v>3695</v>
      </c>
      <c r="J3342" s="67">
        <v>0</v>
      </c>
      <c r="K3342" s="62">
        <v>129556.58</v>
      </c>
      <c r="L3342" s="33" t="e">
        <f>HLOOKUP(B3342,#REF!,1,0)</f>
        <v>#REF!</v>
      </c>
      <c r="M3342" s="33" t="str">
        <f t="shared" si="211"/>
        <v>P&amp;L</v>
      </c>
    </row>
    <row r="3343" spans="1:13" s="33" customFormat="true" ht="12.75" customHeight="true">
      <c r="A3343" s="33" t="str">
        <f t="shared" si="208"/>
        <v>API - Revenue</v>
      </c>
      <c r="B3343" s="33" t="str">
        <f t="shared" si="209"/>
        <v>API</v>
      </c>
      <c r="C3343" s="33" t="str">
        <f t="shared" si="210"/>
        <v>41121-0000</v>
      </c>
      <c r="D3343" s="283" t="s">
        <v>4212</v>
      </c>
      <c r="E3343" s="64" t="s">
        <v>3697</v>
      </c>
      <c r="F3343" s="64" t="s">
        <v>230</v>
      </c>
      <c r="G3343" s="64" t="s">
        <v>3694</v>
      </c>
      <c r="H3343" s="64" t="s">
        <v>2871</v>
      </c>
      <c r="I3343" s="64" t="s">
        <v>3698</v>
      </c>
      <c r="J3343" s="67">
        <v>0</v>
      </c>
      <c r="K3343" s="62">
        <v>167470.61</v>
      </c>
      <c r="L3343" s="33" t="e">
        <f>HLOOKUP(B3343,#REF!,1,0)</f>
        <v>#REF!</v>
      </c>
      <c r="M3343" s="33" t="str">
        <f t="shared" si="211"/>
        <v>P&amp;L</v>
      </c>
    </row>
    <row r="3344" spans="1:13" s="33" customFormat="true" ht="12.75" customHeight="true">
      <c r="A3344" s="33" t="str">
        <f t="shared" si="208"/>
        <v>API - Revenue</v>
      </c>
      <c r="B3344" s="33" t="str">
        <f t="shared" si="209"/>
        <v>API</v>
      </c>
      <c r="C3344" s="33" t="str">
        <f t="shared" si="210"/>
        <v>41122-0000</v>
      </c>
      <c r="D3344" s="283" t="s">
        <v>4213</v>
      </c>
      <c r="E3344" s="64" t="s">
        <v>3700</v>
      </c>
      <c r="F3344" s="64" t="s">
        <v>230</v>
      </c>
      <c r="G3344" s="64" t="s">
        <v>3694</v>
      </c>
      <c r="H3344" s="64" t="s">
        <v>2871</v>
      </c>
      <c r="I3344" s="64" t="s">
        <v>3701</v>
      </c>
      <c r="J3344" s="67">
        <v>0</v>
      </c>
      <c r="K3344" s="62">
        <v>-44331.25</v>
      </c>
      <c r="L3344" s="33" t="e">
        <f>HLOOKUP(B3344,#REF!,1,0)</f>
        <v>#REF!</v>
      </c>
      <c r="M3344" s="33" t="str">
        <f t="shared" si="211"/>
        <v>P&amp;L</v>
      </c>
    </row>
    <row r="3345" spans="1:13" s="33" customFormat="true" ht="12.75" customHeight="true">
      <c r="A3345" s="33" t="str">
        <f t="shared" si="208"/>
        <v>API - Revenue</v>
      </c>
      <c r="B3345" s="33" t="str">
        <f t="shared" si="209"/>
        <v>API</v>
      </c>
      <c r="C3345" s="33" t="str">
        <f t="shared" si="210"/>
        <v>41130-0000</v>
      </c>
      <c r="D3345" s="283" t="s">
        <v>4214</v>
      </c>
      <c r="E3345" s="64" t="s">
        <v>3703</v>
      </c>
      <c r="F3345" s="64" t="s">
        <v>230</v>
      </c>
      <c r="G3345" s="64" t="s">
        <v>3694</v>
      </c>
      <c r="H3345" s="64" t="s">
        <v>2871</v>
      </c>
      <c r="I3345" s="64" t="s">
        <v>3704</v>
      </c>
      <c r="J3345" s="67">
        <v>0</v>
      </c>
      <c r="K3345" s="62">
        <v>3180</v>
      </c>
      <c r="L3345" s="33" t="e">
        <f>HLOOKUP(B3345,#REF!,1,0)</f>
        <v>#REF!</v>
      </c>
      <c r="M3345" s="33" t="str">
        <f t="shared" si="211"/>
        <v>P&amp;L</v>
      </c>
    </row>
    <row r="3346" spans="1:13" s="33" customFormat="true" ht="12.75" customHeight="true">
      <c r="A3346" s="33" t="str">
        <f t="shared" si="208"/>
        <v>API - Revenue</v>
      </c>
      <c r="B3346" s="33" t="str">
        <f t="shared" si="209"/>
        <v>API</v>
      </c>
      <c r="C3346" s="33" t="str">
        <f t="shared" si="210"/>
        <v>41140-0000</v>
      </c>
      <c r="D3346" s="283" t="s">
        <v>4215</v>
      </c>
      <c r="E3346" s="64" t="s">
        <v>3706</v>
      </c>
      <c r="F3346" s="64" t="s">
        <v>230</v>
      </c>
      <c r="G3346" s="64" t="s">
        <v>3694</v>
      </c>
      <c r="H3346" s="64" t="s">
        <v>2871</v>
      </c>
      <c r="I3346" s="64" t="s">
        <v>3707</v>
      </c>
      <c r="J3346" s="67">
        <v>0</v>
      </c>
      <c r="K3346" s="62">
        <v>0</v>
      </c>
      <c r="L3346" s="33" t="e">
        <f>HLOOKUP(B3346,#REF!,1,0)</f>
        <v>#REF!</v>
      </c>
      <c r="M3346" s="33" t="str">
        <f t="shared" si="211"/>
        <v>P&amp;L</v>
      </c>
    </row>
    <row r="3347" spans="1:13" s="33" customFormat="true" ht="14.25" customHeight="true">
      <c r="A3347" s="33" t="str">
        <f t="shared" si="208"/>
        <v>API - Revenue</v>
      </c>
      <c r="B3347" s="33" t="str">
        <f t="shared" si="209"/>
        <v>API</v>
      </c>
      <c r="C3347" s="33" t="str">
        <f t="shared" si="210"/>
        <v>41150-0000</v>
      </c>
      <c r="D3347" s="283" t="s">
        <v>4216</v>
      </c>
      <c r="E3347" s="64" t="s">
        <v>3709</v>
      </c>
      <c r="F3347" s="64" t="s">
        <v>230</v>
      </c>
      <c r="G3347" s="64" t="s">
        <v>3694</v>
      </c>
      <c r="H3347" s="33" t="s">
        <v>2871</v>
      </c>
      <c r="I3347" s="64" t="s">
        <v>3710</v>
      </c>
      <c r="J3347" s="67">
        <v>0</v>
      </c>
      <c r="K3347" s="62">
        <v>36285</v>
      </c>
      <c r="L3347" s="33" t="e">
        <f>HLOOKUP(B3347,#REF!,1,0)</f>
        <v>#REF!</v>
      </c>
      <c r="M3347" s="33" t="str">
        <f t="shared" si="211"/>
        <v>P&amp;L</v>
      </c>
    </row>
    <row r="3348" spans="1:13" s="33" customFormat="true" ht="12.75" customHeight="true">
      <c r="A3348" s="33" t="str">
        <f t="shared" si="208"/>
        <v>API - Revenue</v>
      </c>
      <c r="B3348" s="33" t="str">
        <f t="shared" si="209"/>
        <v>API</v>
      </c>
      <c r="C3348" s="33" t="str">
        <f t="shared" si="210"/>
        <v>41160-0000</v>
      </c>
      <c r="D3348" s="283" t="s">
        <v>4217</v>
      </c>
      <c r="E3348" s="64" t="s">
        <v>3957</v>
      </c>
      <c r="F3348" s="64" t="s">
        <v>230</v>
      </c>
      <c r="G3348" s="64" t="s">
        <v>3694</v>
      </c>
      <c r="H3348" s="64" t="s">
        <v>2871</v>
      </c>
      <c r="I3348" s="64" t="s">
        <v>3701</v>
      </c>
      <c r="J3348" s="67">
        <v>0</v>
      </c>
      <c r="K3348" s="62">
        <v>-102643.04</v>
      </c>
      <c r="L3348" s="33" t="e">
        <f>HLOOKUP(B3348,#REF!,1,0)</f>
        <v>#REF!</v>
      </c>
      <c r="M3348" s="33" t="str">
        <f t="shared" si="211"/>
        <v>P&amp;L</v>
      </c>
    </row>
    <row r="3349" spans="1:13" s="33" customFormat="true" ht="12.75" customHeight="true">
      <c r="A3349" s="33" t="str">
        <f t="shared" si="208"/>
        <v>API - Revenue</v>
      </c>
      <c r="B3349" s="33" t="str">
        <f t="shared" si="209"/>
        <v>API</v>
      </c>
      <c r="C3349" s="33" t="str">
        <f t="shared" si="210"/>
        <v>41999-0000</v>
      </c>
      <c r="D3349" s="283" t="s">
        <v>4218</v>
      </c>
      <c r="E3349" s="64" t="s">
        <v>3712</v>
      </c>
      <c r="F3349" s="64" t="s">
        <v>230</v>
      </c>
      <c r="G3349" s="64" t="s">
        <v>3713</v>
      </c>
      <c r="H3349" s="64" t="s">
        <v>2871</v>
      </c>
      <c r="I3349" s="64" t="s">
        <v>3714</v>
      </c>
      <c r="J3349" s="67">
        <v>0</v>
      </c>
      <c r="K3349" s="62">
        <v>2961388.1</v>
      </c>
      <c r="L3349" s="33" t="e">
        <f>HLOOKUP(B3349,#REF!,1,0)</f>
        <v>#REF!</v>
      </c>
      <c r="M3349" s="33" t="str">
        <f t="shared" si="211"/>
        <v>P&amp;L</v>
      </c>
    </row>
    <row r="3350" spans="1:13" s="33" customFormat="true" ht="12.75" customHeight="true">
      <c r="A3350" s="33" t="str">
        <f t="shared" si="208"/>
        <v>API - Revenue</v>
      </c>
      <c r="B3350" s="33" t="str">
        <f t="shared" si="209"/>
        <v>API</v>
      </c>
      <c r="C3350" s="33" t="str">
        <f t="shared" si="210"/>
        <v>47400-0000</v>
      </c>
      <c r="D3350" s="283" t="s">
        <v>4219</v>
      </c>
      <c r="E3350" s="64" t="s">
        <v>3716</v>
      </c>
      <c r="F3350" s="64" t="s">
        <v>230</v>
      </c>
      <c r="G3350" s="64" t="s">
        <v>3717</v>
      </c>
      <c r="H3350" s="64" t="s">
        <v>2871</v>
      </c>
      <c r="I3350" s="64" t="s">
        <v>3718</v>
      </c>
      <c r="J3350" s="67">
        <v>0</v>
      </c>
      <c r="K3350" s="62">
        <v>-2961432.85</v>
      </c>
      <c r="L3350" s="33" t="e">
        <f>HLOOKUP(B3350,#REF!,1,0)</f>
        <v>#REF!</v>
      </c>
      <c r="M3350" s="33" t="str">
        <f t="shared" si="211"/>
        <v>P&amp;L</v>
      </c>
    </row>
    <row r="3351" spans="1:13" s="33" customFormat="true" ht="12.75" customHeight="true">
      <c r="A3351" s="33" t="str">
        <f t="shared" si="208"/>
        <v>API - Revenue</v>
      </c>
      <c r="B3351" s="33" t="str">
        <f t="shared" si="209"/>
        <v>API</v>
      </c>
      <c r="C3351" s="33" t="str">
        <f t="shared" si="210"/>
        <v>47430-0000</v>
      </c>
      <c r="D3351" s="283" t="s">
        <v>4220</v>
      </c>
      <c r="E3351" s="64" t="s">
        <v>4053</v>
      </c>
      <c r="F3351" s="64" t="s">
        <v>230</v>
      </c>
      <c r="G3351" s="64" t="s">
        <v>3717</v>
      </c>
      <c r="H3351" s="64" t="s">
        <v>2871</v>
      </c>
      <c r="I3351" s="64" t="s">
        <v>4054</v>
      </c>
      <c r="J3351" s="67">
        <v>0</v>
      </c>
      <c r="K3351" s="62">
        <v>-2461.07</v>
      </c>
      <c r="L3351" s="33" t="e">
        <f>HLOOKUP(B3351,#REF!,1,0)</f>
        <v>#REF!</v>
      </c>
      <c r="M3351" s="33" t="str">
        <f t="shared" si="211"/>
        <v>P&amp;L</v>
      </c>
    </row>
    <row r="3352" spans="1:13" s="33" customFormat="true" ht="12.75" customHeight="true">
      <c r="A3352" s="33" t="str">
        <f t="shared" si="208"/>
        <v>API - Revenue</v>
      </c>
      <c r="B3352" s="33" t="str">
        <f t="shared" si="209"/>
        <v>API</v>
      </c>
      <c r="C3352" s="33" t="str">
        <f t="shared" si="210"/>
        <v>47440-0000</v>
      </c>
      <c r="D3352" s="283" t="s">
        <v>4221</v>
      </c>
      <c r="E3352" s="64" t="s">
        <v>3720</v>
      </c>
      <c r="F3352" s="64" t="s">
        <v>230</v>
      </c>
      <c r="G3352" s="64" t="s">
        <v>3717</v>
      </c>
      <c r="H3352" s="64" t="s">
        <v>2871</v>
      </c>
      <c r="I3352" s="64" t="s">
        <v>3721</v>
      </c>
      <c r="J3352" s="67">
        <v>0</v>
      </c>
      <c r="K3352" s="62">
        <v>-13279.03</v>
      </c>
      <c r="L3352" s="33" t="e">
        <f>HLOOKUP(B3352,#REF!,1,0)</f>
        <v>#REF!</v>
      </c>
      <c r="M3352" s="33" t="str">
        <f t="shared" si="211"/>
        <v>P&amp;L</v>
      </c>
    </row>
    <row r="3353" spans="1:13" s="33" customFormat="true" ht="12.75" customHeight="true">
      <c r="A3353" s="33" t="str">
        <f t="shared" si="208"/>
        <v>API - Revenue</v>
      </c>
      <c r="B3353" s="33" t="str">
        <f t="shared" si="209"/>
        <v>API</v>
      </c>
      <c r="C3353" s="33" t="str">
        <f t="shared" si="210"/>
        <v>47450-0000</v>
      </c>
      <c r="D3353" s="283" t="s">
        <v>4222</v>
      </c>
      <c r="E3353" s="64" t="s">
        <v>3723</v>
      </c>
      <c r="F3353" s="64" t="s">
        <v>230</v>
      </c>
      <c r="G3353" s="64" t="s">
        <v>3717</v>
      </c>
      <c r="H3353" s="64" t="s">
        <v>2871</v>
      </c>
      <c r="I3353" s="64" t="s">
        <v>3724</v>
      </c>
      <c r="J3353" s="67">
        <v>0</v>
      </c>
      <c r="K3353" s="62">
        <v>-6874.18</v>
      </c>
      <c r="L3353" s="33" t="e">
        <f>HLOOKUP(B3353,#REF!,1,0)</f>
        <v>#REF!</v>
      </c>
      <c r="M3353" s="33" t="str">
        <f t="shared" si="211"/>
        <v>P&amp;L</v>
      </c>
    </row>
    <row r="3354" spans="1:13" s="33" customFormat="true" ht="12.75" customHeight="true">
      <c r="A3354" s="33" t="str">
        <f t="shared" si="208"/>
        <v>API - Revenue</v>
      </c>
      <c r="B3354" s="33" t="str">
        <f t="shared" si="209"/>
        <v>API</v>
      </c>
      <c r="C3354" s="33" t="str">
        <f t="shared" si="210"/>
        <v>47460-0000</v>
      </c>
      <c r="D3354" s="283" t="s">
        <v>4223</v>
      </c>
      <c r="E3354" s="64" t="s">
        <v>3726</v>
      </c>
      <c r="F3354" s="64" t="s">
        <v>230</v>
      </c>
      <c r="G3354" s="64" t="s">
        <v>3717</v>
      </c>
      <c r="H3354" s="64" t="s">
        <v>2871</v>
      </c>
      <c r="I3354" s="64" t="s">
        <v>3727</v>
      </c>
      <c r="J3354" s="67">
        <v>0</v>
      </c>
      <c r="K3354" s="62">
        <v>-7847.73</v>
      </c>
      <c r="L3354" s="33" t="e">
        <f>HLOOKUP(B3354,#REF!,1,0)</f>
        <v>#REF!</v>
      </c>
      <c r="M3354" s="33" t="str">
        <f t="shared" si="211"/>
        <v>P&amp;L</v>
      </c>
    </row>
    <row r="3355" spans="1:13" s="33" customFormat="true" ht="12.75" customHeight="true">
      <c r="A3355" s="33" t="str">
        <f t="shared" si="208"/>
        <v>API - Revenue</v>
      </c>
      <c r="B3355" s="33" t="str">
        <f t="shared" si="209"/>
        <v>API</v>
      </c>
      <c r="C3355" s="33" t="str">
        <f t="shared" si="210"/>
        <v>47480-0000</v>
      </c>
      <c r="D3355" s="283" t="s">
        <v>4224</v>
      </c>
      <c r="E3355" s="64" t="s">
        <v>3729</v>
      </c>
      <c r="F3355" s="64" t="s">
        <v>230</v>
      </c>
      <c r="G3355" s="64" t="s">
        <v>3717</v>
      </c>
      <c r="H3355" s="64" t="s">
        <v>2871</v>
      </c>
      <c r="I3355" s="64" t="s">
        <v>3721</v>
      </c>
      <c r="J3355" s="67">
        <v>0</v>
      </c>
      <c r="K3355" s="62">
        <v>-4618.4</v>
      </c>
      <c r="L3355" s="33" t="e">
        <f>HLOOKUP(B3355,#REF!,1,0)</f>
        <v>#REF!</v>
      </c>
      <c r="M3355" s="33" t="str">
        <f t="shared" si="211"/>
        <v>P&amp;L</v>
      </c>
    </row>
    <row r="3356" spans="1:13" s="33" customFormat="true" ht="12.75" customHeight="true">
      <c r="A3356" s="33" t="str">
        <f t="shared" si="208"/>
        <v>API - Revenue</v>
      </c>
      <c r="B3356" s="33" t="str">
        <f t="shared" si="209"/>
        <v>API</v>
      </c>
      <c r="C3356" s="33" t="str">
        <f t="shared" si="210"/>
        <v>47490-0000</v>
      </c>
      <c r="D3356" s="283" t="s">
        <v>4225</v>
      </c>
      <c r="E3356" s="64" t="s">
        <v>3731</v>
      </c>
      <c r="F3356" s="64" t="s">
        <v>230</v>
      </c>
      <c r="G3356" s="64" t="s">
        <v>3717</v>
      </c>
      <c r="H3356" s="64" t="s">
        <v>2871</v>
      </c>
      <c r="I3356" s="64" t="s">
        <v>3721</v>
      </c>
      <c r="J3356" s="67">
        <v>0</v>
      </c>
      <c r="K3356" s="62">
        <v>-10805.18</v>
      </c>
      <c r="L3356" s="33" t="e">
        <f>HLOOKUP(B3356,#REF!,1,0)</f>
        <v>#REF!</v>
      </c>
      <c r="M3356" s="33" t="str">
        <f t="shared" si="211"/>
        <v>P&amp;L</v>
      </c>
    </row>
    <row r="3357" spans="1:13" s="33" customFormat="true" ht="12.75" customHeight="true">
      <c r="A3357" s="33" t="str">
        <f t="shared" si="208"/>
        <v>API - Revenue</v>
      </c>
      <c r="B3357" s="33" t="str">
        <f t="shared" si="209"/>
        <v>API</v>
      </c>
      <c r="C3357" s="33" t="str">
        <f t="shared" si="210"/>
        <v>47491-0000</v>
      </c>
      <c r="D3357" s="283" t="s">
        <v>4226</v>
      </c>
      <c r="E3357" s="64" t="s">
        <v>3733</v>
      </c>
      <c r="F3357" s="64" t="s">
        <v>230</v>
      </c>
      <c r="G3357" s="64" t="s">
        <v>3717</v>
      </c>
      <c r="H3357" s="64" t="s">
        <v>2871</v>
      </c>
      <c r="I3357" s="64" t="s">
        <v>3734</v>
      </c>
      <c r="J3357" s="67">
        <v>0</v>
      </c>
      <c r="K3357" s="62">
        <v>-123471.46</v>
      </c>
      <c r="L3357" s="33" t="e">
        <f>HLOOKUP(B3357,#REF!,1,0)</f>
        <v>#REF!</v>
      </c>
      <c r="M3357" s="33" t="str">
        <f t="shared" si="211"/>
        <v>P&amp;L</v>
      </c>
    </row>
    <row r="3358" spans="1:13" s="33" customFormat="true" ht="12.75" customHeight="true">
      <c r="A3358" s="33" t="str">
        <f t="shared" si="208"/>
        <v>API - Revenue</v>
      </c>
      <c r="B3358" s="33" t="str">
        <f t="shared" si="209"/>
        <v>API</v>
      </c>
      <c r="C3358" s="33" t="str">
        <f t="shared" si="210"/>
        <v>47492-0000</v>
      </c>
      <c r="D3358" s="283" t="s">
        <v>4227</v>
      </c>
      <c r="E3358" s="64" t="s">
        <v>3736</v>
      </c>
      <c r="F3358" s="64" t="s">
        <v>230</v>
      </c>
      <c r="G3358" s="64" t="s">
        <v>3717</v>
      </c>
      <c r="H3358" s="64" t="s">
        <v>2871</v>
      </c>
      <c r="I3358" s="64" t="s">
        <v>3737</v>
      </c>
      <c r="J3358" s="67">
        <v>0</v>
      </c>
      <c r="K3358" s="62">
        <v>-6449.98</v>
      </c>
      <c r="L3358" s="33" t="e">
        <f>HLOOKUP(B3358,#REF!,1,0)</f>
        <v>#REF!</v>
      </c>
      <c r="M3358" s="33" t="str">
        <f t="shared" si="211"/>
        <v>P&amp;L</v>
      </c>
    </row>
    <row r="3359" spans="1:13" s="33" customFormat="true" ht="12.75" customHeight="true">
      <c r="A3359" s="33" t="str">
        <f t="shared" si="208"/>
        <v>API - Revenue</v>
      </c>
      <c r="B3359" s="33" t="str">
        <f t="shared" si="209"/>
        <v>API</v>
      </c>
      <c r="C3359" s="33" t="str">
        <f t="shared" si="210"/>
        <v>47493-0000</v>
      </c>
      <c r="D3359" s="283" t="s">
        <v>4228</v>
      </c>
      <c r="E3359" s="64" t="s">
        <v>4229</v>
      </c>
      <c r="F3359" s="64" t="s">
        <v>230</v>
      </c>
      <c r="G3359" s="64" t="s">
        <v>3717</v>
      </c>
      <c r="H3359" s="64" t="s">
        <v>2871</v>
      </c>
      <c r="I3359" s="64" t="s">
        <v>4230</v>
      </c>
      <c r="J3359" s="67">
        <v>0</v>
      </c>
      <c r="K3359" s="62">
        <v>-6979.83</v>
      </c>
      <c r="L3359" s="33" t="e">
        <f>HLOOKUP(B3359,#REF!,1,0)</f>
        <v>#REF!</v>
      </c>
      <c r="M3359" s="33" t="str">
        <f t="shared" si="211"/>
        <v>P&amp;L</v>
      </c>
    </row>
    <row r="3360" spans="1:13" s="33" customFormat="true" ht="12.75" customHeight="true">
      <c r="A3360" s="33" t="str">
        <f t="shared" si="208"/>
        <v>API - CGS</v>
      </c>
      <c r="B3360" s="33" t="str">
        <f t="shared" si="209"/>
        <v>API</v>
      </c>
      <c r="C3360" s="33" t="str">
        <f t="shared" si="210"/>
        <v>51003-0000</v>
      </c>
      <c r="D3360" s="283" t="s">
        <v>4231</v>
      </c>
      <c r="E3360" s="64" t="s">
        <v>4232</v>
      </c>
      <c r="F3360" s="64" t="s">
        <v>230</v>
      </c>
      <c r="G3360" s="64" t="s">
        <v>3740</v>
      </c>
      <c r="H3360" s="64" t="s">
        <v>1875</v>
      </c>
      <c r="I3360" s="64" t="s">
        <v>4233</v>
      </c>
      <c r="J3360" s="67">
        <v>0</v>
      </c>
      <c r="K3360" s="62">
        <v>186.45</v>
      </c>
      <c r="L3360" s="33" t="e">
        <f>HLOOKUP(B3360,#REF!,1,0)</f>
        <v>#REF!</v>
      </c>
      <c r="M3360" s="33" t="str">
        <f t="shared" si="211"/>
        <v>P&amp;L</v>
      </c>
    </row>
    <row r="3361" spans="1:13" s="33" customFormat="true" ht="12.75" customHeight="true">
      <c r="A3361" s="33" t="str">
        <f t="shared" si="208"/>
        <v>API - CGS</v>
      </c>
      <c r="B3361" s="33" t="str">
        <f t="shared" si="209"/>
        <v>API</v>
      </c>
      <c r="C3361" s="33" t="str">
        <f t="shared" si="210"/>
        <v>51005-0000</v>
      </c>
      <c r="D3361" s="283" t="s">
        <v>4234</v>
      </c>
      <c r="E3361" s="64" t="s">
        <v>3968</v>
      </c>
      <c r="F3361" s="64" t="s">
        <v>230</v>
      </c>
      <c r="G3361" s="64" t="s">
        <v>3740</v>
      </c>
      <c r="H3361" s="64" t="s">
        <v>1875</v>
      </c>
      <c r="I3361" s="64" t="s">
        <v>3969</v>
      </c>
      <c r="J3361" s="67">
        <v>0</v>
      </c>
      <c r="K3361" s="62">
        <v>180</v>
      </c>
      <c r="L3361" s="33" t="e">
        <f>HLOOKUP(B3361,#REF!,1,0)</f>
        <v>#REF!</v>
      </c>
      <c r="M3361" s="33" t="str">
        <f t="shared" si="211"/>
        <v>P&amp;L</v>
      </c>
    </row>
    <row r="3362" spans="1:13" s="33" customFormat="true" ht="12.75" customHeight="true">
      <c r="A3362" s="33" t="str">
        <f t="shared" si="208"/>
        <v>API - CGS</v>
      </c>
      <c r="B3362" s="33" t="str">
        <f t="shared" si="209"/>
        <v>API</v>
      </c>
      <c r="C3362" s="33" t="str">
        <f t="shared" si="210"/>
        <v>51006-0000</v>
      </c>
      <c r="D3362" s="283" t="s">
        <v>4235</v>
      </c>
      <c r="E3362" s="64" t="s">
        <v>3739</v>
      </c>
      <c r="F3362" s="64" t="s">
        <v>230</v>
      </c>
      <c r="G3362" s="64" t="s">
        <v>3740</v>
      </c>
      <c r="H3362" s="64" t="s">
        <v>1875</v>
      </c>
      <c r="I3362" s="64" t="s">
        <v>3741</v>
      </c>
      <c r="J3362" s="67">
        <v>0</v>
      </c>
      <c r="K3362" s="62">
        <v>5635.56</v>
      </c>
      <c r="L3362" s="33" t="e">
        <f>HLOOKUP(B3362,#REF!,1,0)</f>
        <v>#REF!</v>
      </c>
      <c r="M3362" s="33" t="str">
        <f t="shared" si="211"/>
        <v>P&amp;L</v>
      </c>
    </row>
    <row r="3363" spans="1:13" s="33" customFormat="true" ht="12.75" customHeight="true">
      <c r="A3363" s="33" t="str">
        <f t="shared" si="208"/>
        <v>API - CGS</v>
      </c>
      <c r="B3363" s="33" t="str">
        <f t="shared" si="209"/>
        <v>API</v>
      </c>
      <c r="C3363" s="33" t="str">
        <f t="shared" si="210"/>
        <v>51007-0000</v>
      </c>
      <c r="D3363" s="283" t="s">
        <v>4236</v>
      </c>
      <c r="E3363" s="64" t="s">
        <v>3972</v>
      </c>
      <c r="F3363" s="64" t="s">
        <v>230</v>
      </c>
      <c r="G3363" s="64" t="s">
        <v>3740</v>
      </c>
      <c r="H3363" s="64" t="s">
        <v>1875</v>
      </c>
      <c r="I3363" s="64" t="s">
        <v>3973</v>
      </c>
      <c r="J3363" s="67">
        <v>0</v>
      </c>
      <c r="K3363" s="62">
        <v>151.44</v>
      </c>
      <c r="L3363" s="33" t="e">
        <f>HLOOKUP(B3363,#REF!,1,0)</f>
        <v>#REF!</v>
      </c>
      <c r="M3363" s="33" t="str">
        <f t="shared" si="211"/>
        <v>P&amp;L</v>
      </c>
    </row>
    <row r="3364" spans="1:13" s="33" customFormat="true" ht="12.75" customHeight="true">
      <c r="A3364" s="33" t="str">
        <f t="shared" si="208"/>
        <v>API - CGS</v>
      </c>
      <c r="B3364" s="33" t="str">
        <f t="shared" si="209"/>
        <v>API</v>
      </c>
      <c r="C3364" s="33" t="str">
        <f t="shared" si="210"/>
        <v>51008-0000</v>
      </c>
      <c r="D3364" s="283" t="s">
        <v>4237</v>
      </c>
      <c r="E3364" s="64" t="s">
        <v>3743</v>
      </c>
      <c r="F3364" s="64" t="s">
        <v>230</v>
      </c>
      <c r="G3364" s="64" t="s">
        <v>3740</v>
      </c>
      <c r="H3364" s="64" t="s">
        <v>1875</v>
      </c>
      <c r="I3364" s="64" t="s">
        <v>3744</v>
      </c>
      <c r="J3364" s="67">
        <v>0</v>
      </c>
      <c r="K3364" s="62">
        <v>8387.15</v>
      </c>
      <c r="L3364" s="33" t="e">
        <f>HLOOKUP(B3364,#REF!,1,0)</f>
        <v>#REF!</v>
      </c>
      <c r="M3364" s="33" t="str">
        <f t="shared" si="211"/>
        <v>P&amp;L</v>
      </c>
    </row>
    <row r="3365" spans="1:13" s="33" customFormat="true" ht="12.75" customHeight="true">
      <c r="A3365" s="33" t="str">
        <f t="shared" si="208"/>
        <v>API - CGS</v>
      </c>
      <c r="B3365" s="33" t="str">
        <f t="shared" si="209"/>
        <v>API</v>
      </c>
      <c r="C3365" s="33" t="str">
        <f t="shared" si="210"/>
        <v>51009-0000</v>
      </c>
      <c r="D3365" s="283" t="s">
        <v>4238</v>
      </c>
      <c r="E3365" s="64" t="s">
        <v>3746</v>
      </c>
      <c r="F3365" s="64" t="s">
        <v>230</v>
      </c>
      <c r="G3365" s="64" t="s">
        <v>3740</v>
      </c>
      <c r="H3365" s="64" t="s">
        <v>1875</v>
      </c>
      <c r="I3365" s="64" t="s">
        <v>3747</v>
      </c>
      <c r="J3365" s="67">
        <v>0</v>
      </c>
      <c r="K3365" s="62">
        <v>5085.74</v>
      </c>
      <c r="L3365" s="33" t="e">
        <f>HLOOKUP(B3365,#REF!,1,0)</f>
        <v>#REF!</v>
      </c>
      <c r="M3365" s="33" t="str">
        <f t="shared" si="211"/>
        <v>P&amp;L</v>
      </c>
    </row>
    <row r="3366" spans="1:13" s="33" customFormat="true" ht="12.75" customHeight="true">
      <c r="A3366" s="33" t="str">
        <f t="shared" si="208"/>
        <v>API - CGS</v>
      </c>
      <c r="B3366" s="33" t="str">
        <f t="shared" si="209"/>
        <v>API</v>
      </c>
      <c r="C3366" s="33" t="str">
        <f t="shared" si="210"/>
        <v>51011-0000</v>
      </c>
      <c r="D3366" s="283" t="s">
        <v>4239</v>
      </c>
      <c r="E3366" s="64" t="s">
        <v>3749</v>
      </c>
      <c r="F3366" s="64" t="s">
        <v>230</v>
      </c>
      <c r="G3366" s="64" t="s">
        <v>3740</v>
      </c>
      <c r="H3366" s="64" t="s">
        <v>1875</v>
      </c>
      <c r="I3366" s="64" t="s">
        <v>3750</v>
      </c>
      <c r="J3366" s="67">
        <v>0</v>
      </c>
      <c r="K3366" s="62">
        <v>54510</v>
      </c>
      <c r="L3366" s="33" t="e">
        <f>HLOOKUP(B3366,#REF!,1,0)</f>
        <v>#REF!</v>
      </c>
      <c r="M3366" s="33" t="str">
        <f t="shared" si="211"/>
        <v>P&amp;L</v>
      </c>
    </row>
    <row r="3367" spans="1:13" s="33" customFormat="true" ht="12.75" customHeight="true">
      <c r="A3367" s="33" t="str">
        <f t="shared" si="208"/>
        <v>API - CGS</v>
      </c>
      <c r="B3367" s="33" t="str">
        <f t="shared" si="209"/>
        <v>API</v>
      </c>
      <c r="C3367" s="33" t="str">
        <f t="shared" si="210"/>
        <v>51012-0000</v>
      </c>
      <c r="D3367" s="283" t="s">
        <v>4240</v>
      </c>
      <c r="E3367" s="64" t="s">
        <v>3752</v>
      </c>
      <c r="F3367" s="64" t="s">
        <v>230</v>
      </c>
      <c r="G3367" s="64" t="s">
        <v>3740</v>
      </c>
      <c r="H3367" s="64" t="s">
        <v>1875</v>
      </c>
      <c r="I3367" s="64" t="s">
        <v>3753</v>
      </c>
      <c r="J3367" s="67">
        <v>0</v>
      </c>
      <c r="K3367" s="62">
        <v>2255</v>
      </c>
      <c r="L3367" s="33" t="e">
        <f>HLOOKUP(B3367,#REF!,1,0)</f>
        <v>#REF!</v>
      </c>
      <c r="M3367" s="33" t="str">
        <f t="shared" si="211"/>
        <v>P&amp;L</v>
      </c>
    </row>
    <row r="3368" spans="1:13" s="33" customFormat="true" ht="12.75" customHeight="true">
      <c r="A3368" s="33" t="str">
        <f t="shared" si="208"/>
        <v>API - CGS</v>
      </c>
      <c r="B3368" s="33" t="str">
        <f t="shared" si="209"/>
        <v>API</v>
      </c>
      <c r="C3368" s="33" t="str">
        <f t="shared" si="210"/>
        <v>51013-0000</v>
      </c>
      <c r="D3368" s="283" t="s">
        <v>4241</v>
      </c>
      <c r="E3368" s="64" t="s">
        <v>3979</v>
      </c>
      <c r="F3368" s="64" t="s">
        <v>230</v>
      </c>
      <c r="G3368" s="64" t="s">
        <v>3740</v>
      </c>
      <c r="H3368" s="64" t="s">
        <v>1875</v>
      </c>
      <c r="I3368" s="64" t="s">
        <v>3980</v>
      </c>
      <c r="J3368" s="67">
        <v>0</v>
      </c>
      <c r="K3368" s="62">
        <v>4155</v>
      </c>
      <c r="L3368" s="33" t="e">
        <f>HLOOKUP(B3368,#REF!,1,0)</f>
        <v>#REF!</v>
      </c>
      <c r="M3368" s="33" t="str">
        <f t="shared" si="211"/>
        <v>P&amp;L</v>
      </c>
    </row>
    <row r="3369" spans="1:13" s="33" customFormat="true" ht="12.75" customHeight="true">
      <c r="A3369" s="33" t="str">
        <f t="shared" si="208"/>
        <v>API - CGS</v>
      </c>
      <c r="B3369" s="33" t="str">
        <f t="shared" si="209"/>
        <v>API</v>
      </c>
      <c r="C3369" s="33" t="str">
        <f t="shared" si="210"/>
        <v>51015-0000</v>
      </c>
      <c r="D3369" s="283" t="s">
        <v>4242</v>
      </c>
      <c r="E3369" s="64" t="s">
        <v>3755</v>
      </c>
      <c r="F3369" s="64" t="s">
        <v>230</v>
      </c>
      <c r="G3369" s="64" t="s">
        <v>3740</v>
      </c>
      <c r="H3369" s="64" t="s">
        <v>1875</v>
      </c>
      <c r="I3369" s="64" t="s">
        <v>3756</v>
      </c>
      <c r="J3369" s="67">
        <v>0</v>
      </c>
      <c r="K3369" s="62">
        <v>507.87</v>
      </c>
      <c r="L3369" s="33" t="e">
        <f>HLOOKUP(B3369,#REF!,1,0)</f>
        <v>#REF!</v>
      </c>
      <c r="M3369" s="33" t="str">
        <f t="shared" si="211"/>
        <v>P&amp;L</v>
      </c>
    </row>
    <row r="3370" spans="1:13" s="33" customFormat="true" ht="12.75" customHeight="true">
      <c r="A3370" s="33" t="str">
        <f t="shared" si="208"/>
        <v>API - CGS</v>
      </c>
      <c r="B3370" s="33" t="str">
        <f t="shared" si="209"/>
        <v>API</v>
      </c>
      <c r="C3370" s="33" t="str">
        <f t="shared" si="210"/>
        <v>51017-0000</v>
      </c>
      <c r="D3370" s="283" t="s">
        <v>4243</v>
      </c>
      <c r="E3370" s="64" t="s">
        <v>3758</v>
      </c>
      <c r="F3370" s="64" t="s">
        <v>230</v>
      </c>
      <c r="G3370" s="64" t="s">
        <v>3160</v>
      </c>
      <c r="H3370" s="64" t="s">
        <v>1875</v>
      </c>
      <c r="I3370" s="64" t="s">
        <v>3759</v>
      </c>
      <c r="J3370" s="67">
        <v>0</v>
      </c>
      <c r="K3370" s="62">
        <v>2475.71</v>
      </c>
      <c r="L3370" s="33" t="e">
        <f>HLOOKUP(B3370,#REF!,1,0)</f>
        <v>#REF!</v>
      </c>
      <c r="M3370" s="33" t="str">
        <f t="shared" si="211"/>
        <v>P&amp;L</v>
      </c>
    </row>
    <row r="3371" spans="1:13" s="33" customFormat="true" ht="12.75" customHeight="true">
      <c r="A3371" s="33" t="str">
        <f t="shared" si="208"/>
        <v>API - CGS</v>
      </c>
      <c r="B3371" s="33" t="str">
        <f t="shared" si="209"/>
        <v>API</v>
      </c>
      <c r="C3371" s="33" t="str">
        <f t="shared" si="210"/>
        <v>51019-0000</v>
      </c>
      <c r="D3371" s="283" t="s">
        <v>4244</v>
      </c>
      <c r="E3371" s="64" t="s">
        <v>3761</v>
      </c>
      <c r="F3371" s="64" t="s">
        <v>230</v>
      </c>
      <c r="G3371" s="64" t="s">
        <v>3740</v>
      </c>
      <c r="H3371" s="64" t="s">
        <v>1875</v>
      </c>
      <c r="I3371" s="64" t="s">
        <v>3340</v>
      </c>
      <c r="J3371" s="67">
        <v>0</v>
      </c>
      <c r="K3371" s="62">
        <v>212.34</v>
      </c>
      <c r="L3371" s="33" t="e">
        <f>HLOOKUP(B3371,#REF!,1,0)</f>
        <v>#REF!</v>
      </c>
      <c r="M3371" s="33" t="str">
        <f t="shared" si="211"/>
        <v>P&amp;L</v>
      </c>
    </row>
    <row r="3372" spans="1:13" s="33" customFormat="true" ht="12.75" customHeight="true">
      <c r="A3372" s="33" t="str">
        <f t="shared" si="208"/>
        <v>API - CGS</v>
      </c>
      <c r="B3372" s="33" t="str">
        <f t="shared" si="209"/>
        <v>API</v>
      </c>
      <c r="C3372" s="33" t="str">
        <f t="shared" si="210"/>
        <v>51020-0000</v>
      </c>
      <c r="D3372" s="283" t="s">
        <v>4245</v>
      </c>
      <c r="E3372" s="64" t="s">
        <v>3763</v>
      </c>
      <c r="F3372" s="64" t="s">
        <v>230</v>
      </c>
      <c r="G3372" s="64" t="s">
        <v>3740</v>
      </c>
      <c r="H3372" s="64" t="s">
        <v>1875</v>
      </c>
      <c r="I3372" s="64" t="s">
        <v>3345</v>
      </c>
      <c r="J3372" s="67">
        <v>0</v>
      </c>
      <c r="K3372" s="62">
        <v>3171.4</v>
      </c>
      <c r="L3372" s="33" t="e">
        <f>HLOOKUP(B3372,#REF!,1,0)</f>
        <v>#REF!</v>
      </c>
      <c r="M3372" s="33" t="str">
        <f t="shared" si="211"/>
        <v>P&amp;L</v>
      </c>
    </row>
    <row r="3373" spans="1:13" s="33" customFormat="true" ht="12.75" customHeight="true">
      <c r="A3373" s="33" t="str">
        <f t="shared" si="208"/>
        <v>API - CGS</v>
      </c>
      <c r="B3373" s="33" t="str">
        <f t="shared" si="209"/>
        <v>API</v>
      </c>
      <c r="C3373" s="33" t="str">
        <f t="shared" si="210"/>
        <v>51024-0000</v>
      </c>
      <c r="D3373" s="283" t="s">
        <v>4246</v>
      </c>
      <c r="E3373" s="64" t="s">
        <v>3765</v>
      </c>
      <c r="F3373" s="64" t="s">
        <v>230</v>
      </c>
      <c r="G3373" s="64" t="s">
        <v>3740</v>
      </c>
      <c r="H3373" s="64" t="s">
        <v>1875</v>
      </c>
      <c r="I3373" s="64" t="s">
        <v>3766</v>
      </c>
      <c r="J3373" s="67">
        <v>0</v>
      </c>
      <c r="K3373" s="62">
        <v>0</v>
      </c>
      <c r="L3373" s="33" t="e">
        <f>HLOOKUP(B3373,#REF!,1,0)</f>
        <v>#REF!</v>
      </c>
      <c r="M3373" s="33" t="str">
        <f t="shared" si="211"/>
        <v>P&amp;L</v>
      </c>
    </row>
    <row r="3374" spans="1:13" s="33" customFormat="true" ht="12.75" customHeight="true">
      <c r="A3374" s="33" t="str">
        <f t="shared" si="208"/>
        <v>API - CGS</v>
      </c>
      <c r="B3374" s="33" t="str">
        <f t="shared" si="209"/>
        <v>API</v>
      </c>
      <c r="C3374" s="33" t="str">
        <f t="shared" si="210"/>
        <v>51025-0000</v>
      </c>
      <c r="D3374" s="283" t="s">
        <v>4247</v>
      </c>
      <c r="E3374" s="64" t="s">
        <v>3988</v>
      </c>
      <c r="F3374" s="64" t="s">
        <v>230</v>
      </c>
      <c r="G3374" s="64" t="s">
        <v>3740</v>
      </c>
      <c r="H3374" s="64" t="s">
        <v>1875</v>
      </c>
      <c r="I3374" s="64" t="s">
        <v>3989</v>
      </c>
      <c r="J3374" s="67">
        <v>0</v>
      </c>
      <c r="K3374" s="62">
        <v>12740.35</v>
      </c>
      <c r="L3374" s="33" t="e">
        <f>HLOOKUP(B3374,#REF!,1,0)</f>
        <v>#REF!</v>
      </c>
      <c r="M3374" s="33" t="str">
        <f t="shared" si="211"/>
        <v>P&amp;L</v>
      </c>
    </row>
    <row r="3375" spans="1:13" s="33" customFormat="true" ht="12.75" customHeight="true">
      <c r="A3375" s="33" t="str">
        <f t="shared" si="208"/>
        <v>API - CGS</v>
      </c>
      <c r="B3375" s="33" t="str">
        <f t="shared" si="209"/>
        <v>API</v>
      </c>
      <c r="C3375" s="33" t="str">
        <f t="shared" si="210"/>
        <v>51029-0000</v>
      </c>
      <c r="D3375" s="283" t="s">
        <v>4248</v>
      </c>
      <c r="E3375" s="64" t="s">
        <v>3993</v>
      </c>
      <c r="F3375" s="64" t="s">
        <v>230</v>
      </c>
      <c r="G3375" s="64" t="s">
        <v>3740</v>
      </c>
      <c r="H3375" s="64" t="s">
        <v>1875</v>
      </c>
      <c r="I3375" s="64" t="s">
        <v>3994</v>
      </c>
      <c r="J3375" s="67">
        <v>0</v>
      </c>
      <c r="K3375" s="62">
        <v>1734.92</v>
      </c>
      <c r="L3375" s="33" t="e">
        <f>HLOOKUP(B3375,#REF!,1,0)</f>
        <v>#REF!</v>
      </c>
      <c r="M3375" s="33" t="str">
        <f t="shared" si="211"/>
        <v>P&amp;L</v>
      </c>
    </row>
    <row r="3376" spans="1:13" s="33" customFormat="true" ht="12.75" customHeight="true">
      <c r="A3376" s="33" t="str">
        <f t="shared" si="208"/>
        <v>API - CGS</v>
      </c>
      <c r="B3376" s="33" t="str">
        <f t="shared" si="209"/>
        <v>API</v>
      </c>
      <c r="C3376" s="33" t="str">
        <f t="shared" si="210"/>
        <v>52001-0000</v>
      </c>
      <c r="D3376" s="283" t="s">
        <v>4249</v>
      </c>
      <c r="E3376" s="64" t="s">
        <v>3768</v>
      </c>
      <c r="F3376" s="64" t="s">
        <v>230</v>
      </c>
      <c r="G3376" s="64" t="s">
        <v>3769</v>
      </c>
      <c r="H3376" s="64" t="s">
        <v>1875</v>
      </c>
      <c r="I3376" s="64" t="s">
        <v>3770</v>
      </c>
      <c r="J3376" s="67">
        <v>0</v>
      </c>
      <c r="K3376" s="62">
        <v>5901.48</v>
      </c>
      <c r="L3376" s="33" t="e">
        <f>HLOOKUP(B3376,#REF!,1,0)</f>
        <v>#REF!</v>
      </c>
      <c r="M3376" s="33" t="str">
        <f t="shared" si="211"/>
        <v>P&amp;L</v>
      </c>
    </row>
    <row r="3377" spans="1:13" s="33" customFormat="true" ht="12.75" customHeight="true">
      <c r="A3377" s="33" t="str">
        <f t="shared" si="208"/>
        <v>API - CGS</v>
      </c>
      <c r="B3377" s="33" t="str">
        <f t="shared" si="209"/>
        <v>API</v>
      </c>
      <c r="C3377" s="33" t="str">
        <f t="shared" si="210"/>
        <v>52002-0000</v>
      </c>
      <c r="D3377" s="283" t="s">
        <v>4250</v>
      </c>
      <c r="E3377" s="64" t="s">
        <v>3997</v>
      </c>
      <c r="F3377" s="64" t="s">
        <v>230</v>
      </c>
      <c r="G3377" s="64" t="s">
        <v>3769</v>
      </c>
      <c r="H3377" s="64" t="s">
        <v>1875</v>
      </c>
      <c r="I3377" s="64" t="s">
        <v>3998</v>
      </c>
      <c r="J3377" s="67">
        <v>0</v>
      </c>
      <c r="K3377" s="62">
        <v>-746.17</v>
      </c>
      <c r="L3377" s="33" t="e">
        <f>HLOOKUP(B3377,#REF!,1,0)</f>
        <v>#REF!</v>
      </c>
      <c r="M3377" s="33" t="str">
        <f t="shared" si="211"/>
        <v>P&amp;L</v>
      </c>
    </row>
    <row r="3378" spans="1:13" s="33" customFormat="true" ht="12.75" customHeight="true">
      <c r="A3378" s="33" t="str">
        <f t="shared" si="208"/>
        <v>API - CGS</v>
      </c>
      <c r="B3378" s="33" t="str">
        <f t="shared" si="209"/>
        <v>API</v>
      </c>
      <c r="C3378" s="33" t="str">
        <f t="shared" si="210"/>
        <v>52003-0000</v>
      </c>
      <c r="D3378" s="283" t="s">
        <v>4251</v>
      </c>
      <c r="E3378" s="64" t="s">
        <v>3772</v>
      </c>
      <c r="F3378" s="64" t="s">
        <v>230</v>
      </c>
      <c r="G3378" s="64" t="s">
        <v>3769</v>
      </c>
      <c r="H3378" s="64" t="s">
        <v>1875</v>
      </c>
      <c r="I3378" s="64" t="s">
        <v>3773</v>
      </c>
      <c r="J3378" s="67">
        <v>0</v>
      </c>
      <c r="K3378" s="62">
        <v>4315</v>
      </c>
      <c r="L3378" s="33" t="e">
        <f>HLOOKUP(B3378,#REF!,1,0)</f>
        <v>#REF!</v>
      </c>
      <c r="M3378" s="33" t="str">
        <f t="shared" si="211"/>
        <v>P&amp;L</v>
      </c>
    </row>
    <row r="3379" spans="1:13" s="33" customFormat="true" ht="12.75" customHeight="true">
      <c r="A3379" s="33" t="str">
        <f t="shared" si="208"/>
        <v>API - CGS</v>
      </c>
      <c r="B3379" s="33" t="str">
        <f t="shared" si="209"/>
        <v>API</v>
      </c>
      <c r="C3379" s="33" t="str">
        <f t="shared" si="210"/>
        <v>52004-0000</v>
      </c>
      <c r="D3379" s="283" t="s">
        <v>4252</v>
      </c>
      <c r="E3379" s="64" t="s">
        <v>3775</v>
      </c>
      <c r="F3379" s="64" t="s">
        <v>230</v>
      </c>
      <c r="G3379" s="64" t="s">
        <v>3769</v>
      </c>
      <c r="H3379" s="64" t="s">
        <v>1875</v>
      </c>
      <c r="I3379" s="64" t="s">
        <v>3776</v>
      </c>
      <c r="J3379" s="67">
        <v>0</v>
      </c>
      <c r="K3379" s="62">
        <v>2487.7</v>
      </c>
      <c r="L3379" s="33" t="e">
        <f>HLOOKUP(B3379,#REF!,1,0)</f>
        <v>#REF!</v>
      </c>
      <c r="M3379" s="33" t="str">
        <f t="shared" si="211"/>
        <v>P&amp;L</v>
      </c>
    </row>
    <row r="3380" spans="1:13" s="33" customFormat="true" ht="12.75" customHeight="true">
      <c r="A3380" s="33" t="str">
        <f t="shared" si="208"/>
        <v>API - CGS</v>
      </c>
      <c r="B3380" s="33" t="str">
        <f t="shared" si="209"/>
        <v>API</v>
      </c>
      <c r="C3380" s="33" t="str">
        <f t="shared" si="210"/>
        <v>52006-0000</v>
      </c>
      <c r="D3380" s="283" t="s">
        <v>4253</v>
      </c>
      <c r="E3380" s="64" t="s">
        <v>3778</v>
      </c>
      <c r="F3380" s="64" t="s">
        <v>230</v>
      </c>
      <c r="G3380" s="64" t="s">
        <v>3769</v>
      </c>
      <c r="H3380" s="64" t="s">
        <v>1875</v>
      </c>
      <c r="I3380" s="64" t="s">
        <v>3779</v>
      </c>
      <c r="J3380" s="67">
        <v>0</v>
      </c>
      <c r="K3380" s="62">
        <v>10238.38</v>
      </c>
      <c r="L3380" s="33" t="e">
        <f>HLOOKUP(B3380,#REF!,1,0)</f>
        <v>#REF!</v>
      </c>
      <c r="M3380" s="33" t="str">
        <f t="shared" si="211"/>
        <v>P&amp;L</v>
      </c>
    </row>
    <row r="3381" spans="1:13" s="33" customFormat="true" ht="12.75" customHeight="true">
      <c r="A3381" s="33" t="str">
        <f t="shared" si="208"/>
        <v>API - CGS</v>
      </c>
      <c r="B3381" s="33" t="str">
        <f t="shared" si="209"/>
        <v>API</v>
      </c>
      <c r="C3381" s="33" t="str">
        <f t="shared" si="210"/>
        <v>53001-0000</v>
      </c>
      <c r="D3381" s="283" t="s">
        <v>4254</v>
      </c>
      <c r="E3381" s="64" t="s">
        <v>3781</v>
      </c>
      <c r="F3381" s="64" t="s">
        <v>230</v>
      </c>
      <c r="G3381" s="64" t="s">
        <v>3160</v>
      </c>
      <c r="H3381" s="64" t="s">
        <v>1875</v>
      </c>
      <c r="I3381" s="64" t="s">
        <v>3782</v>
      </c>
      <c r="J3381" s="67">
        <v>0</v>
      </c>
      <c r="K3381" s="62">
        <v>3361.51</v>
      </c>
      <c r="L3381" s="33" t="e">
        <f>HLOOKUP(B3381,#REF!,1,0)</f>
        <v>#REF!</v>
      </c>
      <c r="M3381" s="33" t="str">
        <f t="shared" si="211"/>
        <v>P&amp;L</v>
      </c>
    </row>
    <row r="3382" spans="1:13" s="33" customFormat="true" ht="12.75" customHeight="true">
      <c r="A3382" s="33" t="str">
        <f t="shared" si="208"/>
        <v>API - CGS</v>
      </c>
      <c r="B3382" s="33" t="str">
        <f t="shared" si="209"/>
        <v>API</v>
      </c>
      <c r="C3382" s="33" t="str">
        <f t="shared" si="210"/>
        <v>53002-0000</v>
      </c>
      <c r="D3382" s="283" t="s">
        <v>4255</v>
      </c>
      <c r="E3382" s="64" t="s">
        <v>3784</v>
      </c>
      <c r="F3382" s="64" t="s">
        <v>230</v>
      </c>
      <c r="G3382" s="64" t="s">
        <v>3160</v>
      </c>
      <c r="H3382" s="64" t="s">
        <v>1875</v>
      </c>
      <c r="I3382" s="64" t="s">
        <v>3785</v>
      </c>
      <c r="J3382" s="67">
        <v>0</v>
      </c>
      <c r="K3382" s="62">
        <v>49204.21</v>
      </c>
      <c r="L3382" s="33" t="e">
        <f>HLOOKUP(B3382,#REF!,1,0)</f>
        <v>#REF!</v>
      </c>
      <c r="M3382" s="33" t="str">
        <f t="shared" si="211"/>
        <v>P&amp;L</v>
      </c>
    </row>
    <row r="3383" spans="1:13" s="33" customFormat="true" ht="12.75" customHeight="true">
      <c r="A3383" s="33" t="str">
        <f t="shared" si="208"/>
        <v>API - CGS</v>
      </c>
      <c r="B3383" s="33" t="str">
        <f t="shared" si="209"/>
        <v>API</v>
      </c>
      <c r="C3383" s="33" t="str">
        <f t="shared" si="210"/>
        <v>53003-0000</v>
      </c>
      <c r="D3383" s="283" t="s">
        <v>4256</v>
      </c>
      <c r="E3383" s="64" t="s">
        <v>3787</v>
      </c>
      <c r="F3383" s="64" t="s">
        <v>230</v>
      </c>
      <c r="G3383" s="64" t="s">
        <v>3160</v>
      </c>
      <c r="H3383" s="64" t="s">
        <v>1875</v>
      </c>
      <c r="I3383" s="64" t="s">
        <v>3788</v>
      </c>
      <c r="J3383" s="67">
        <v>0</v>
      </c>
      <c r="K3383" s="62">
        <v>35630.23</v>
      </c>
      <c r="L3383" s="33" t="e">
        <f>HLOOKUP(B3383,#REF!,1,0)</f>
        <v>#REF!</v>
      </c>
      <c r="M3383" s="33" t="str">
        <f t="shared" si="211"/>
        <v>P&amp;L</v>
      </c>
    </row>
    <row r="3384" spans="1:13" s="33" customFormat="true" ht="12.75" customHeight="true">
      <c r="A3384" s="33" t="str">
        <f t="shared" si="208"/>
        <v>API - CGS</v>
      </c>
      <c r="B3384" s="33" t="str">
        <f t="shared" si="209"/>
        <v>API</v>
      </c>
      <c r="C3384" s="33" t="str">
        <f t="shared" si="210"/>
        <v>53004-0000</v>
      </c>
      <c r="D3384" s="283" t="s">
        <v>4257</v>
      </c>
      <c r="E3384" s="64" t="s">
        <v>3790</v>
      </c>
      <c r="F3384" s="64" t="s">
        <v>230</v>
      </c>
      <c r="G3384" s="64" t="s">
        <v>3160</v>
      </c>
      <c r="H3384" s="64" t="s">
        <v>1875</v>
      </c>
      <c r="I3384" s="64" t="s">
        <v>3791</v>
      </c>
      <c r="J3384" s="67">
        <v>0</v>
      </c>
      <c r="K3384" s="62">
        <v>33587.2</v>
      </c>
      <c r="L3384" s="33" t="e">
        <f>HLOOKUP(B3384,#REF!,1,0)</f>
        <v>#REF!</v>
      </c>
      <c r="M3384" s="33" t="str">
        <f t="shared" si="211"/>
        <v>P&amp;L</v>
      </c>
    </row>
    <row r="3385" spans="1:13" s="33" customFormat="true" ht="12.75" customHeight="true">
      <c r="A3385" s="33" t="str">
        <f t="shared" si="208"/>
        <v>API - CGS</v>
      </c>
      <c r="B3385" s="33" t="str">
        <f t="shared" si="209"/>
        <v>API</v>
      </c>
      <c r="C3385" s="33" t="str">
        <f t="shared" si="210"/>
        <v>53005-0000</v>
      </c>
      <c r="D3385" s="283" t="s">
        <v>4258</v>
      </c>
      <c r="E3385" s="64" t="s">
        <v>3793</v>
      </c>
      <c r="F3385" s="64" t="s">
        <v>230</v>
      </c>
      <c r="G3385" s="64" t="s">
        <v>3160</v>
      </c>
      <c r="H3385" s="64" t="s">
        <v>1875</v>
      </c>
      <c r="I3385" s="64" t="s">
        <v>3794</v>
      </c>
      <c r="J3385" s="67">
        <v>0</v>
      </c>
      <c r="K3385" s="62">
        <v>17221.05</v>
      </c>
      <c r="L3385" s="33" t="e">
        <f>HLOOKUP(B3385,#REF!,1,0)</f>
        <v>#REF!</v>
      </c>
      <c r="M3385" s="33" t="str">
        <f t="shared" si="211"/>
        <v>P&amp;L</v>
      </c>
    </row>
    <row r="3386" spans="1:13" s="33" customFormat="true" ht="12.75" customHeight="true">
      <c r="A3386" s="33" t="str">
        <f t="shared" si="208"/>
        <v>API - CGS</v>
      </c>
      <c r="B3386" s="33" t="str">
        <f t="shared" si="209"/>
        <v>API</v>
      </c>
      <c r="C3386" s="33" t="str">
        <f t="shared" si="210"/>
        <v>53006-0000</v>
      </c>
      <c r="D3386" s="283" t="s">
        <v>4259</v>
      </c>
      <c r="E3386" s="64" t="s">
        <v>3796</v>
      </c>
      <c r="F3386" s="64" t="s">
        <v>230</v>
      </c>
      <c r="G3386" s="64" t="s">
        <v>3160</v>
      </c>
      <c r="H3386" s="64" t="s">
        <v>1875</v>
      </c>
      <c r="I3386" s="64" t="s">
        <v>3797</v>
      </c>
      <c r="J3386" s="67">
        <v>0</v>
      </c>
      <c r="K3386" s="62">
        <v>73054.59</v>
      </c>
      <c r="L3386" s="33" t="e">
        <f>HLOOKUP(B3386,#REF!,1,0)</f>
        <v>#REF!</v>
      </c>
      <c r="M3386" s="33" t="str">
        <f t="shared" si="211"/>
        <v>P&amp;L</v>
      </c>
    </row>
    <row r="3387" spans="1:13" s="33" customFormat="true" ht="12.75" customHeight="true">
      <c r="A3387" s="33" t="str">
        <f t="shared" si="208"/>
        <v>API - CGS</v>
      </c>
      <c r="B3387" s="33" t="str">
        <f t="shared" si="209"/>
        <v>API</v>
      </c>
      <c r="C3387" s="33" t="str">
        <f t="shared" si="210"/>
        <v>54001-0000</v>
      </c>
      <c r="D3387" s="283" t="s">
        <v>4260</v>
      </c>
      <c r="E3387" s="64" t="s">
        <v>4008</v>
      </c>
      <c r="F3387" s="64" t="s">
        <v>230</v>
      </c>
      <c r="G3387" s="64" t="s">
        <v>3800</v>
      </c>
      <c r="H3387" s="64" t="s">
        <v>1875</v>
      </c>
      <c r="I3387" s="64" t="s">
        <v>4009</v>
      </c>
      <c r="J3387" s="67">
        <v>0</v>
      </c>
      <c r="K3387" s="62">
        <v>-1068</v>
      </c>
      <c r="L3387" s="33" t="e">
        <f>HLOOKUP(B3387,#REF!,1,0)</f>
        <v>#REF!</v>
      </c>
      <c r="M3387" s="33" t="str">
        <f t="shared" si="211"/>
        <v>P&amp;L</v>
      </c>
    </row>
    <row r="3388" spans="1:13" s="33" customFormat="true" ht="12.75" customHeight="true">
      <c r="A3388" s="33" t="str">
        <f t="shared" si="208"/>
        <v>API - CGS</v>
      </c>
      <c r="B3388" s="33" t="str">
        <f t="shared" si="209"/>
        <v>API</v>
      </c>
      <c r="C3388" s="33" t="str">
        <f t="shared" si="210"/>
        <v>54002-0000</v>
      </c>
      <c r="D3388" s="283" t="s">
        <v>4261</v>
      </c>
      <c r="E3388" s="64" t="s">
        <v>3799</v>
      </c>
      <c r="F3388" s="64" t="s">
        <v>230</v>
      </c>
      <c r="G3388" s="64" t="s">
        <v>3800</v>
      </c>
      <c r="H3388" s="64" t="s">
        <v>1875</v>
      </c>
      <c r="I3388" s="64" t="s">
        <v>3801</v>
      </c>
      <c r="J3388" s="67">
        <v>0</v>
      </c>
      <c r="K3388" s="62">
        <v>16197</v>
      </c>
      <c r="L3388" s="33" t="e">
        <f>HLOOKUP(B3388,#REF!,1,0)</f>
        <v>#REF!</v>
      </c>
      <c r="M3388" s="33" t="str">
        <f t="shared" si="211"/>
        <v>P&amp;L</v>
      </c>
    </row>
    <row r="3389" spans="1:13" s="33" customFormat="true" ht="12.75" customHeight="true">
      <c r="A3389" s="33" t="str">
        <f t="shared" si="208"/>
        <v>API - CGS</v>
      </c>
      <c r="B3389" s="33" t="str">
        <f t="shared" si="209"/>
        <v>API</v>
      </c>
      <c r="C3389" s="33" t="str">
        <f t="shared" si="210"/>
        <v>54003-0000</v>
      </c>
      <c r="D3389" s="283" t="s">
        <v>4262</v>
      </c>
      <c r="E3389" s="64" t="s">
        <v>3803</v>
      </c>
      <c r="F3389" s="64" t="s">
        <v>230</v>
      </c>
      <c r="G3389" s="64" t="s">
        <v>3800</v>
      </c>
      <c r="H3389" s="64" t="s">
        <v>1875</v>
      </c>
      <c r="I3389" s="64" t="s">
        <v>3804</v>
      </c>
      <c r="J3389" s="67">
        <v>0</v>
      </c>
      <c r="K3389" s="62">
        <v>0</v>
      </c>
      <c r="L3389" s="33" t="e">
        <f>HLOOKUP(B3389,#REF!,1,0)</f>
        <v>#REF!</v>
      </c>
      <c r="M3389" s="33" t="str">
        <f t="shared" si="211"/>
        <v>P&amp;L</v>
      </c>
    </row>
    <row r="3390" spans="1:13" s="33" customFormat="true" ht="12.75" customHeight="true">
      <c r="A3390" s="33" t="str">
        <f t="shared" si="208"/>
        <v>API - CGS</v>
      </c>
      <c r="B3390" s="33" t="str">
        <f t="shared" si="209"/>
        <v>API</v>
      </c>
      <c r="C3390" s="33" t="str">
        <f t="shared" si="210"/>
        <v>54004-0000</v>
      </c>
      <c r="D3390" s="283" t="s">
        <v>4263</v>
      </c>
      <c r="E3390" s="64" t="s">
        <v>3806</v>
      </c>
      <c r="F3390" s="64" t="s">
        <v>230</v>
      </c>
      <c r="G3390" s="64" t="s">
        <v>3800</v>
      </c>
      <c r="H3390" s="64" t="s">
        <v>1875</v>
      </c>
      <c r="I3390" s="64" t="s">
        <v>3807</v>
      </c>
      <c r="J3390" s="67">
        <v>0</v>
      </c>
      <c r="K3390" s="62">
        <v>85355</v>
      </c>
      <c r="L3390" s="33" t="e">
        <f>HLOOKUP(B3390,#REF!,1,0)</f>
        <v>#REF!</v>
      </c>
      <c r="M3390" s="33" t="str">
        <f t="shared" si="211"/>
        <v>P&amp;L</v>
      </c>
    </row>
    <row r="3391" spans="1:13" s="33" customFormat="true" ht="12.75" customHeight="true">
      <c r="A3391" s="33" t="str">
        <f t="shared" si="208"/>
        <v>API - CGS</v>
      </c>
      <c r="B3391" s="33" t="str">
        <f t="shared" si="209"/>
        <v>API</v>
      </c>
      <c r="C3391" s="33" t="str">
        <f t="shared" si="210"/>
        <v>54005-0000</v>
      </c>
      <c r="D3391" s="283" t="s">
        <v>4264</v>
      </c>
      <c r="E3391" s="64" t="s">
        <v>3809</v>
      </c>
      <c r="F3391" s="64" t="s">
        <v>230</v>
      </c>
      <c r="G3391" s="64" t="s">
        <v>3800</v>
      </c>
      <c r="H3391" s="64" t="s">
        <v>1875</v>
      </c>
      <c r="I3391" s="64" t="s">
        <v>3810</v>
      </c>
      <c r="J3391" s="67">
        <v>0</v>
      </c>
      <c r="K3391" s="62">
        <v>747.89</v>
      </c>
      <c r="L3391" s="33" t="e">
        <f>HLOOKUP(B3391,#REF!,1,0)</f>
        <v>#REF!</v>
      </c>
      <c r="M3391" s="33" t="str">
        <f t="shared" si="211"/>
        <v>P&amp;L</v>
      </c>
    </row>
    <row r="3392" spans="1:13" s="33" customFormat="true" ht="12.75" customHeight="true">
      <c r="A3392" s="33" t="str">
        <f t="shared" si="208"/>
        <v>API - CGS</v>
      </c>
      <c r="B3392" s="33" t="str">
        <f t="shared" si="209"/>
        <v>API</v>
      </c>
      <c r="C3392" s="33" t="str">
        <f t="shared" si="210"/>
        <v>54006-0000</v>
      </c>
      <c r="D3392" s="283" t="s">
        <v>4265</v>
      </c>
      <c r="E3392" s="64" t="s">
        <v>3812</v>
      </c>
      <c r="F3392" s="64" t="s">
        <v>230</v>
      </c>
      <c r="G3392" s="64" t="s">
        <v>3800</v>
      </c>
      <c r="H3392" s="64" t="s">
        <v>1875</v>
      </c>
      <c r="I3392" s="64" t="s">
        <v>3003</v>
      </c>
      <c r="J3392" s="67">
        <v>0</v>
      </c>
      <c r="K3392" s="62">
        <v>14421.3</v>
      </c>
      <c r="L3392" s="33" t="e">
        <f>HLOOKUP(B3392,#REF!,1,0)</f>
        <v>#REF!</v>
      </c>
      <c r="M3392" s="33" t="str">
        <f t="shared" si="211"/>
        <v>P&amp;L</v>
      </c>
    </row>
    <row r="3393" spans="1:13" s="33" customFormat="true" ht="12.75" customHeight="true">
      <c r="A3393" s="33" t="str">
        <f t="shared" si="208"/>
        <v>API - CGS</v>
      </c>
      <c r="B3393" s="33" t="str">
        <f t="shared" si="209"/>
        <v>API</v>
      </c>
      <c r="C3393" s="33" t="str">
        <f t="shared" si="210"/>
        <v>54007-0000</v>
      </c>
      <c r="D3393" s="283" t="s">
        <v>4266</v>
      </c>
      <c r="E3393" s="64" t="s">
        <v>3814</v>
      </c>
      <c r="F3393" s="64" t="s">
        <v>230</v>
      </c>
      <c r="G3393" s="64" t="s">
        <v>3800</v>
      </c>
      <c r="H3393" s="64" t="s">
        <v>1875</v>
      </c>
      <c r="I3393" s="64" t="s">
        <v>3815</v>
      </c>
      <c r="J3393" s="67">
        <v>0</v>
      </c>
      <c r="K3393" s="62">
        <v>78274.24</v>
      </c>
      <c r="L3393" s="33" t="e">
        <f>HLOOKUP(B3393,#REF!,1,0)</f>
        <v>#REF!</v>
      </c>
      <c r="M3393" s="33" t="str">
        <f t="shared" si="211"/>
        <v>P&amp;L</v>
      </c>
    </row>
    <row r="3394" spans="1:13" s="33" customFormat="true" ht="12.75" customHeight="true">
      <c r="A3394" s="33" t="str">
        <f t="shared" ref="A3394:A3457" si="212">B3394&amp;" - "&amp;TRIM(H3394)</f>
        <v>API - CGS</v>
      </c>
      <c r="B3394" s="33" t="str">
        <f t="shared" ref="B3394:B3457" si="213">LEFT(D3394,3)</f>
        <v>API</v>
      </c>
      <c r="C3394" s="33" t="str">
        <f t="shared" ref="C3394:C3457" si="214">RIGHT(D3394,10)</f>
        <v>54008-0000</v>
      </c>
      <c r="D3394" s="283" t="s">
        <v>4267</v>
      </c>
      <c r="E3394" s="64" t="s">
        <v>4017</v>
      </c>
      <c r="F3394" s="64" t="s">
        <v>230</v>
      </c>
      <c r="G3394" s="64" t="s">
        <v>3800</v>
      </c>
      <c r="H3394" s="64" t="s">
        <v>1875</v>
      </c>
      <c r="I3394" s="64" t="s">
        <v>4018</v>
      </c>
      <c r="J3394" s="67">
        <v>0</v>
      </c>
      <c r="K3394" s="62">
        <v>-140.4</v>
      </c>
      <c r="L3394" s="33" t="e">
        <f>HLOOKUP(B3394,#REF!,1,0)</f>
        <v>#REF!</v>
      </c>
      <c r="M3394" s="33" t="str">
        <f t="shared" ref="M3394:M3457" si="215">IF(VALUE(LEFT(C3394,5))&gt;40000,"P&amp;L","BS")</f>
        <v>P&amp;L</v>
      </c>
    </row>
    <row r="3395" spans="1:13" s="33" customFormat="true" ht="12.75" customHeight="true">
      <c r="A3395" s="33" t="str">
        <f t="shared" si="212"/>
        <v>API - PM Expenses</v>
      </c>
      <c r="B3395" s="33" t="str">
        <f t="shared" si="213"/>
        <v>API</v>
      </c>
      <c r="C3395" s="33" t="str">
        <f t="shared" si="214"/>
        <v>55501-0000</v>
      </c>
      <c r="D3395" s="283" t="s">
        <v>4268</v>
      </c>
      <c r="E3395" s="64" t="s">
        <v>4120</v>
      </c>
      <c r="F3395" s="64" t="s">
        <v>230</v>
      </c>
      <c r="G3395" s="64" t="s">
        <v>3818</v>
      </c>
      <c r="H3395" s="64" t="s">
        <v>3819</v>
      </c>
      <c r="I3395" s="64" t="s">
        <v>3820</v>
      </c>
      <c r="J3395" s="67">
        <v>0</v>
      </c>
      <c r="K3395" s="62">
        <v>73233.25</v>
      </c>
      <c r="L3395" s="33" t="e">
        <f>HLOOKUP(B3395,#REF!,1,0)</f>
        <v>#REF!</v>
      </c>
      <c r="M3395" s="33" t="str">
        <f t="shared" si="215"/>
        <v>P&amp;L</v>
      </c>
    </row>
    <row r="3396" spans="1:13" s="33" customFormat="true" ht="12.75" customHeight="true">
      <c r="A3396" s="33" t="str">
        <f t="shared" si="212"/>
        <v>API - PM Expenses</v>
      </c>
      <c r="B3396" s="33" t="str">
        <f t="shared" si="213"/>
        <v>API</v>
      </c>
      <c r="C3396" s="33" t="str">
        <f t="shared" si="214"/>
        <v>55502-0000</v>
      </c>
      <c r="D3396" s="283" t="s">
        <v>4269</v>
      </c>
      <c r="E3396" s="64" t="s">
        <v>3822</v>
      </c>
      <c r="F3396" s="64" t="s">
        <v>230</v>
      </c>
      <c r="G3396" s="64" t="s">
        <v>3818</v>
      </c>
      <c r="H3396" s="64" t="s">
        <v>3819</v>
      </c>
      <c r="I3396" s="64" t="s">
        <v>3823</v>
      </c>
      <c r="J3396" s="67">
        <v>0</v>
      </c>
      <c r="K3396" s="62">
        <v>14760.21</v>
      </c>
      <c r="L3396" s="33" t="e">
        <f>HLOOKUP(B3396,#REF!,1,0)</f>
        <v>#REF!</v>
      </c>
      <c r="M3396" s="33" t="str">
        <f t="shared" si="215"/>
        <v>P&amp;L</v>
      </c>
    </row>
    <row r="3397" spans="1:13" s="33" customFormat="true" ht="12.75" customHeight="true">
      <c r="A3397" s="33" t="str">
        <f t="shared" si="212"/>
        <v>API - PM Expenses</v>
      </c>
      <c r="B3397" s="33" t="str">
        <f t="shared" si="213"/>
        <v>API</v>
      </c>
      <c r="C3397" s="33" t="str">
        <f t="shared" si="214"/>
        <v>55503-0000</v>
      </c>
      <c r="D3397" s="283" t="s">
        <v>4270</v>
      </c>
      <c r="E3397" s="64" t="s">
        <v>3825</v>
      </c>
      <c r="F3397" s="64" t="s">
        <v>230</v>
      </c>
      <c r="G3397" s="64" t="s">
        <v>3818</v>
      </c>
      <c r="H3397" s="64" t="s">
        <v>3819</v>
      </c>
      <c r="I3397" s="64" t="s">
        <v>3826</v>
      </c>
      <c r="J3397" s="67">
        <v>0</v>
      </c>
      <c r="K3397" s="62">
        <v>22502.19</v>
      </c>
      <c r="L3397" s="33" t="e">
        <f>HLOOKUP(B3397,#REF!,1,0)</f>
        <v>#REF!</v>
      </c>
      <c r="M3397" s="33" t="str">
        <f t="shared" si="215"/>
        <v>P&amp;L</v>
      </c>
    </row>
    <row r="3398" spans="1:13" s="33" customFormat="true" ht="12.75" customHeight="true">
      <c r="A3398" s="33" t="str">
        <f t="shared" si="212"/>
        <v>API - PM Expenses</v>
      </c>
      <c r="B3398" s="33" t="str">
        <f t="shared" si="213"/>
        <v>API</v>
      </c>
      <c r="C3398" s="33" t="str">
        <f t="shared" si="214"/>
        <v>55504-0000</v>
      </c>
      <c r="D3398" s="283" t="s">
        <v>4271</v>
      </c>
      <c r="E3398" s="64" t="s">
        <v>4027</v>
      </c>
      <c r="F3398" s="64" t="s">
        <v>230</v>
      </c>
      <c r="G3398" s="64" t="s">
        <v>3818</v>
      </c>
      <c r="H3398" s="64" t="s">
        <v>3819</v>
      </c>
      <c r="I3398" s="64" t="s">
        <v>4028</v>
      </c>
      <c r="J3398" s="67">
        <v>0</v>
      </c>
      <c r="K3398" s="62">
        <v>800</v>
      </c>
      <c r="L3398" s="33" t="e">
        <f>HLOOKUP(B3398,#REF!,1,0)</f>
        <v>#REF!</v>
      </c>
      <c r="M3398" s="33" t="str">
        <f t="shared" si="215"/>
        <v>P&amp;L</v>
      </c>
    </row>
    <row r="3399" spans="1:13" s="33" customFormat="true" ht="12.75" customHeight="true">
      <c r="A3399" s="33" t="str">
        <f t="shared" si="212"/>
        <v>API - PM Expenses</v>
      </c>
      <c r="B3399" s="33" t="str">
        <f t="shared" si="213"/>
        <v>API</v>
      </c>
      <c r="C3399" s="33" t="str">
        <f t="shared" si="214"/>
        <v>55505-0000</v>
      </c>
      <c r="D3399" s="283" t="s">
        <v>4272</v>
      </c>
      <c r="E3399" s="64" t="s">
        <v>3828</v>
      </c>
      <c r="F3399" s="64" t="s">
        <v>230</v>
      </c>
      <c r="G3399" s="64" t="s">
        <v>3818</v>
      </c>
      <c r="H3399" s="64" t="s">
        <v>3819</v>
      </c>
      <c r="I3399" s="64" t="s">
        <v>3829</v>
      </c>
      <c r="J3399" s="67">
        <v>0</v>
      </c>
      <c r="K3399" s="62">
        <v>50358.22</v>
      </c>
      <c r="L3399" s="33" t="e">
        <f>HLOOKUP(B3399,#REF!,1,0)</f>
        <v>#REF!</v>
      </c>
      <c r="M3399" s="33" t="str">
        <f t="shared" si="215"/>
        <v>P&amp;L</v>
      </c>
    </row>
    <row r="3400" spans="1:13" s="33" customFormat="true" ht="12.75" customHeight="true">
      <c r="A3400" s="33" t="str">
        <f t="shared" si="212"/>
        <v>API - PM Expenses</v>
      </c>
      <c r="B3400" s="33" t="str">
        <f t="shared" si="213"/>
        <v>API</v>
      </c>
      <c r="C3400" s="33" t="str">
        <f t="shared" si="214"/>
        <v>55506-0000</v>
      </c>
      <c r="D3400" s="283" t="s">
        <v>4273</v>
      </c>
      <c r="E3400" s="64" t="s">
        <v>3831</v>
      </c>
      <c r="F3400" s="64" t="s">
        <v>230</v>
      </c>
      <c r="G3400" s="64" t="s">
        <v>3818</v>
      </c>
      <c r="H3400" s="64" t="s">
        <v>3819</v>
      </c>
      <c r="I3400" s="64" t="s">
        <v>3832</v>
      </c>
      <c r="J3400" s="67">
        <v>0</v>
      </c>
      <c r="K3400" s="62">
        <v>291435.92</v>
      </c>
      <c r="L3400" s="33" t="e">
        <f>HLOOKUP(B3400,#REF!,1,0)</f>
        <v>#REF!</v>
      </c>
      <c r="M3400" s="33" t="str">
        <f t="shared" si="215"/>
        <v>P&amp;L</v>
      </c>
    </row>
    <row r="3401" spans="1:13" s="33" customFormat="true" ht="12.75" customHeight="true">
      <c r="A3401" s="33" t="str">
        <f t="shared" si="212"/>
        <v>API - PM Expenses</v>
      </c>
      <c r="B3401" s="33" t="str">
        <f t="shared" si="213"/>
        <v>API</v>
      </c>
      <c r="C3401" s="33" t="str">
        <f t="shared" si="214"/>
        <v>55507-0000</v>
      </c>
      <c r="D3401" s="283" t="s">
        <v>4274</v>
      </c>
      <c r="E3401" s="64" t="s">
        <v>3834</v>
      </c>
      <c r="F3401" s="64" t="s">
        <v>230</v>
      </c>
      <c r="G3401" s="64" t="s">
        <v>3818</v>
      </c>
      <c r="H3401" s="64" t="s">
        <v>3819</v>
      </c>
      <c r="I3401" s="64" t="s">
        <v>3835</v>
      </c>
      <c r="J3401" s="67">
        <v>0</v>
      </c>
      <c r="K3401" s="62">
        <v>586.21</v>
      </c>
      <c r="L3401" s="33" t="e">
        <f>HLOOKUP(B3401,#REF!,1,0)</f>
        <v>#REF!</v>
      </c>
      <c r="M3401" s="33" t="str">
        <f t="shared" si="215"/>
        <v>P&amp;L</v>
      </c>
    </row>
    <row r="3402" spans="1:13" s="33" customFormat="true" ht="12.75" customHeight="true">
      <c r="A3402" s="33" t="str">
        <f t="shared" si="212"/>
        <v>API - CGS</v>
      </c>
      <c r="B3402" s="33" t="str">
        <f t="shared" si="213"/>
        <v>API</v>
      </c>
      <c r="C3402" s="33" t="str">
        <f t="shared" si="214"/>
        <v>60002-0000</v>
      </c>
      <c r="D3402" s="283" t="s">
        <v>4275</v>
      </c>
      <c r="E3402" s="64" t="s">
        <v>3837</v>
      </c>
      <c r="F3402" s="64" t="s">
        <v>230</v>
      </c>
      <c r="G3402" s="64" t="s">
        <v>3838</v>
      </c>
      <c r="H3402" s="64" t="s">
        <v>1875</v>
      </c>
      <c r="I3402" s="64" t="s">
        <v>3839</v>
      </c>
      <c r="J3402" s="67">
        <v>0</v>
      </c>
      <c r="K3402" s="62">
        <v>1088.2</v>
      </c>
      <c r="L3402" s="33" t="e">
        <f>HLOOKUP(B3402,#REF!,1,0)</f>
        <v>#REF!</v>
      </c>
      <c r="M3402" s="33" t="str">
        <f t="shared" si="215"/>
        <v>P&amp;L</v>
      </c>
    </row>
    <row r="3403" spans="1:13" s="33" customFormat="true" ht="12.75" customHeight="true">
      <c r="A3403" s="33" t="str">
        <f t="shared" si="212"/>
        <v>API - CGS</v>
      </c>
      <c r="B3403" s="33" t="str">
        <f t="shared" si="213"/>
        <v>API</v>
      </c>
      <c r="C3403" s="33" t="str">
        <f t="shared" si="214"/>
        <v>60005-0000</v>
      </c>
      <c r="D3403" s="283" t="s">
        <v>4276</v>
      </c>
      <c r="E3403" s="64" t="s">
        <v>3841</v>
      </c>
      <c r="F3403" s="64" t="s">
        <v>230</v>
      </c>
      <c r="G3403" s="64" t="s">
        <v>3838</v>
      </c>
      <c r="H3403" s="64" t="s">
        <v>1875</v>
      </c>
      <c r="I3403" s="64" t="s">
        <v>3842</v>
      </c>
      <c r="J3403" s="67">
        <v>0</v>
      </c>
      <c r="K3403" s="62">
        <v>30266.61</v>
      </c>
      <c r="L3403" s="33" t="e">
        <f>HLOOKUP(B3403,#REF!,1,0)</f>
        <v>#REF!</v>
      </c>
      <c r="M3403" s="33" t="str">
        <f t="shared" si="215"/>
        <v>P&amp;L</v>
      </c>
    </row>
    <row r="3404" spans="1:13" s="33" customFormat="true" ht="12.75" customHeight="true">
      <c r="A3404" s="33" t="str">
        <f t="shared" si="212"/>
        <v>API - Interest Expense</v>
      </c>
      <c r="B3404" s="33" t="str">
        <f t="shared" si="213"/>
        <v>API</v>
      </c>
      <c r="C3404" s="33" t="str">
        <f t="shared" si="214"/>
        <v>60006-0000</v>
      </c>
      <c r="D3404" s="283" t="s">
        <v>4277</v>
      </c>
      <c r="E3404" s="64" t="s">
        <v>3325</v>
      </c>
      <c r="F3404" s="64" t="s">
        <v>230</v>
      </c>
      <c r="G3404" s="64" t="s">
        <v>3844</v>
      </c>
      <c r="H3404" s="64" t="s">
        <v>3327</v>
      </c>
      <c r="I3404" s="64" t="s">
        <v>3328</v>
      </c>
      <c r="J3404" s="67">
        <v>212329.24</v>
      </c>
      <c r="K3404" s="62">
        <v>1645312.58</v>
      </c>
      <c r="L3404" s="33" t="e">
        <f>HLOOKUP(B3404,#REF!,1,0)</f>
        <v>#REF!</v>
      </c>
      <c r="M3404" s="33" t="str">
        <f t="shared" si="215"/>
        <v>P&amp;L</v>
      </c>
    </row>
    <row r="3405" spans="1:13" s="33" customFormat="true" ht="12.75" customHeight="true">
      <c r="A3405" s="33" t="str">
        <f t="shared" si="212"/>
        <v>API - CGS</v>
      </c>
      <c r="B3405" s="33" t="str">
        <f t="shared" si="213"/>
        <v>API</v>
      </c>
      <c r="C3405" s="33" t="str">
        <f t="shared" si="214"/>
        <v>60007-0000</v>
      </c>
      <c r="D3405" s="283" t="s">
        <v>4278</v>
      </c>
      <c r="E3405" s="64" t="s">
        <v>3846</v>
      </c>
      <c r="F3405" s="64" t="s">
        <v>230</v>
      </c>
      <c r="G3405" s="64" t="s">
        <v>3838</v>
      </c>
      <c r="H3405" s="64" t="s">
        <v>1875</v>
      </c>
      <c r="I3405" s="64" t="s">
        <v>3847</v>
      </c>
      <c r="J3405" s="67">
        <v>0</v>
      </c>
      <c r="K3405" s="62">
        <v>13583</v>
      </c>
      <c r="L3405" s="33" t="e">
        <f>HLOOKUP(B3405,#REF!,1,0)</f>
        <v>#REF!</v>
      </c>
      <c r="M3405" s="33" t="str">
        <f t="shared" si="215"/>
        <v>P&amp;L</v>
      </c>
    </row>
    <row r="3406" spans="1:13" s="33" customFormat="true" ht="12.75" customHeight="true">
      <c r="A3406" s="33" t="str">
        <f t="shared" si="212"/>
        <v>API - CGS</v>
      </c>
      <c r="B3406" s="33" t="str">
        <f t="shared" si="213"/>
        <v>API</v>
      </c>
      <c r="C3406" s="33" t="str">
        <f t="shared" si="214"/>
        <v>60008-0000</v>
      </c>
      <c r="D3406" s="283" t="s">
        <v>4279</v>
      </c>
      <c r="E3406" s="64" t="s">
        <v>3849</v>
      </c>
      <c r="F3406" s="64" t="s">
        <v>230</v>
      </c>
      <c r="G3406" s="64" t="s">
        <v>3838</v>
      </c>
      <c r="H3406" s="64" t="s">
        <v>1875</v>
      </c>
      <c r="I3406" s="64" t="s">
        <v>3850</v>
      </c>
      <c r="J3406" s="67">
        <v>0</v>
      </c>
      <c r="K3406" s="62">
        <v>7375</v>
      </c>
      <c r="L3406" s="33" t="e">
        <f>HLOOKUP(B3406,#REF!,1,0)</f>
        <v>#REF!</v>
      </c>
      <c r="M3406" s="33" t="str">
        <f t="shared" si="215"/>
        <v>P&amp;L</v>
      </c>
    </row>
    <row r="3407" spans="1:13" s="33" customFormat="true" ht="12.75" customHeight="true">
      <c r="A3407" s="33" t="str">
        <f t="shared" si="212"/>
        <v>API - CGS</v>
      </c>
      <c r="B3407" s="33" t="str">
        <f t="shared" si="213"/>
        <v>API</v>
      </c>
      <c r="C3407" s="33" t="str">
        <f t="shared" si="214"/>
        <v>60012-0000</v>
      </c>
      <c r="D3407" s="283" t="s">
        <v>4280</v>
      </c>
      <c r="E3407" s="64" t="s">
        <v>3852</v>
      </c>
      <c r="F3407" s="64" t="s">
        <v>230</v>
      </c>
      <c r="G3407" s="64" t="s">
        <v>3838</v>
      </c>
      <c r="H3407" s="64" t="s">
        <v>1875</v>
      </c>
      <c r="I3407" s="64" t="s">
        <v>3853</v>
      </c>
      <c r="J3407" s="67">
        <v>0</v>
      </c>
      <c r="K3407" s="62">
        <v>297385.69</v>
      </c>
      <c r="L3407" s="33" t="e">
        <f>HLOOKUP(B3407,#REF!,1,0)</f>
        <v>#REF!</v>
      </c>
      <c r="M3407" s="33" t="str">
        <f t="shared" si="215"/>
        <v>P&amp;L</v>
      </c>
    </row>
    <row r="3408" spans="1:13" s="33" customFormat="true" ht="12.75" customHeight="true">
      <c r="A3408" s="33" t="str">
        <f t="shared" si="212"/>
        <v>API - CGS</v>
      </c>
      <c r="B3408" s="33" t="str">
        <f t="shared" si="213"/>
        <v>API</v>
      </c>
      <c r="C3408" s="33" t="str">
        <f t="shared" si="214"/>
        <v>60014-0000</v>
      </c>
      <c r="D3408" s="283" t="s">
        <v>4281</v>
      </c>
      <c r="E3408" s="64" t="s">
        <v>3855</v>
      </c>
      <c r="F3408" s="64" t="s">
        <v>230</v>
      </c>
      <c r="G3408" s="64" t="s">
        <v>3838</v>
      </c>
      <c r="H3408" s="64" t="s">
        <v>1875</v>
      </c>
      <c r="I3408" s="64" t="s">
        <v>3856</v>
      </c>
      <c r="J3408" s="67">
        <v>0</v>
      </c>
      <c r="K3408" s="62">
        <v>119139.97</v>
      </c>
      <c r="L3408" s="33" t="e">
        <f>HLOOKUP(B3408,#REF!,1,0)</f>
        <v>#REF!</v>
      </c>
      <c r="M3408" s="33" t="str">
        <f t="shared" si="215"/>
        <v>P&amp;L</v>
      </c>
    </row>
    <row r="3409" spans="1:13" s="33" customFormat="true" ht="12.75" customHeight="true">
      <c r="A3409" s="33" t="str">
        <f t="shared" si="212"/>
        <v>API - CGS</v>
      </c>
      <c r="B3409" s="33" t="str">
        <f t="shared" si="213"/>
        <v>API</v>
      </c>
      <c r="C3409" s="33" t="str">
        <f t="shared" si="214"/>
        <v>60015-0000</v>
      </c>
      <c r="D3409" s="283" t="s">
        <v>4282</v>
      </c>
      <c r="E3409" s="64" t="s">
        <v>3858</v>
      </c>
      <c r="F3409" s="64" t="s">
        <v>230</v>
      </c>
      <c r="G3409" s="64" t="s">
        <v>3838</v>
      </c>
      <c r="H3409" s="64" t="s">
        <v>1875</v>
      </c>
      <c r="I3409" s="64" t="s">
        <v>3859</v>
      </c>
      <c r="J3409" s="67">
        <v>0</v>
      </c>
      <c r="K3409" s="62">
        <v>5557.97</v>
      </c>
      <c r="L3409" s="33" t="e">
        <f>HLOOKUP(B3409,#REF!,1,0)</f>
        <v>#REF!</v>
      </c>
      <c r="M3409" s="33" t="str">
        <f t="shared" si="215"/>
        <v>P&amp;L</v>
      </c>
    </row>
    <row r="3410" spans="1:13" s="33" customFormat="true" ht="12.75" customHeight="true">
      <c r="A3410" s="33" t="str">
        <f t="shared" si="212"/>
        <v>API - Other Expenses</v>
      </c>
      <c r="B3410" s="33" t="str">
        <f t="shared" si="213"/>
        <v>API</v>
      </c>
      <c r="C3410" s="33" t="str">
        <f t="shared" si="214"/>
        <v>61018-0000</v>
      </c>
      <c r="D3410" s="283" t="s">
        <v>4283</v>
      </c>
      <c r="E3410" s="64" t="s">
        <v>3864</v>
      </c>
      <c r="F3410" s="64" t="s">
        <v>230</v>
      </c>
      <c r="G3410" s="64" t="s">
        <v>3838</v>
      </c>
      <c r="H3410" s="64" t="s">
        <v>3865</v>
      </c>
      <c r="I3410" s="64" t="s">
        <v>3866</v>
      </c>
      <c r="J3410" s="67">
        <v>0</v>
      </c>
      <c r="K3410" s="62">
        <v>-2409.29</v>
      </c>
      <c r="L3410" s="33" t="e">
        <f>HLOOKUP(B3410,#REF!,1,0)</f>
        <v>#REF!</v>
      </c>
      <c r="M3410" s="33" t="str">
        <f t="shared" si="215"/>
        <v>P&amp;L</v>
      </c>
    </row>
    <row r="3411" spans="1:13" s="33" customFormat="true" ht="12.75" customHeight="true">
      <c r="A3411" s="33" t="str">
        <f t="shared" si="212"/>
        <v>API - Income Tax</v>
      </c>
      <c r="B3411" s="33" t="str">
        <f t="shared" si="213"/>
        <v>API</v>
      </c>
      <c r="C3411" s="33" t="str">
        <f t="shared" si="214"/>
        <v>61019-0000</v>
      </c>
      <c r="D3411" s="283" t="s">
        <v>4284</v>
      </c>
      <c r="E3411" s="64" t="s">
        <v>4041</v>
      </c>
      <c r="F3411" s="64" t="s">
        <v>230</v>
      </c>
      <c r="G3411" s="64" t="s">
        <v>3844</v>
      </c>
      <c r="H3411" s="64" t="s">
        <v>3378</v>
      </c>
      <c r="I3411" s="64" t="s">
        <v>4042</v>
      </c>
      <c r="J3411" s="67">
        <v>0</v>
      </c>
      <c r="K3411" s="62">
        <v>9070.96</v>
      </c>
      <c r="L3411" s="33" t="e">
        <f>HLOOKUP(B3411,#REF!,1,0)</f>
        <v>#REF!</v>
      </c>
      <c r="M3411" s="33" t="str">
        <f t="shared" si="215"/>
        <v>P&amp;L</v>
      </c>
    </row>
    <row r="3412" spans="1:13" s="33" customFormat="true" ht="12.75" customHeight="true">
      <c r="A3412" s="33" t="str">
        <f t="shared" si="212"/>
        <v>API - Other Income/Expense</v>
      </c>
      <c r="B3412" s="33" t="str">
        <f t="shared" si="213"/>
        <v>API</v>
      </c>
      <c r="C3412" s="33" t="str">
        <f t="shared" si="214"/>
        <v>61022-0000</v>
      </c>
      <c r="D3412" s="283" t="s">
        <v>4285</v>
      </c>
      <c r="E3412" s="64" t="s">
        <v>4286</v>
      </c>
      <c r="F3412" s="64" t="s">
        <v>230</v>
      </c>
      <c r="G3412" s="64" t="s">
        <v>3838</v>
      </c>
      <c r="H3412" s="64" t="s">
        <v>3300</v>
      </c>
      <c r="I3412" s="64" t="s">
        <v>4287</v>
      </c>
      <c r="J3412" s="67">
        <v>0</v>
      </c>
      <c r="K3412" s="62">
        <v>20986.99</v>
      </c>
      <c r="L3412" s="33" t="e">
        <f>HLOOKUP(B3412,#REF!,1,0)</f>
        <v>#REF!</v>
      </c>
      <c r="M3412" s="33" t="str">
        <f t="shared" si="215"/>
        <v>P&amp;L</v>
      </c>
    </row>
    <row r="3413" spans="1:13" s="33" customFormat="true" ht="12.75" customHeight="true">
      <c r="A3413" s="33" t="str">
        <f t="shared" si="212"/>
        <v>API - CGS</v>
      </c>
      <c r="B3413" s="33" t="str">
        <f t="shared" si="213"/>
        <v>API</v>
      </c>
      <c r="C3413" s="33" t="str">
        <f t="shared" si="214"/>
        <v>61023-0000</v>
      </c>
      <c r="D3413" s="283" t="s">
        <v>4288</v>
      </c>
      <c r="E3413" s="64" t="s">
        <v>3868</v>
      </c>
      <c r="F3413" s="64" t="s">
        <v>230</v>
      </c>
      <c r="G3413" s="64" t="s">
        <v>3838</v>
      </c>
      <c r="H3413" s="64" t="s">
        <v>1875</v>
      </c>
      <c r="I3413" s="64" t="s">
        <v>1876</v>
      </c>
      <c r="J3413" s="67">
        <v>0</v>
      </c>
      <c r="K3413" s="62">
        <v>5037.88</v>
      </c>
      <c r="L3413" s="33" t="e">
        <f>HLOOKUP(B3413,#REF!,1,0)</f>
        <v>#REF!</v>
      </c>
      <c r="M3413" s="33" t="str">
        <f t="shared" si="215"/>
        <v>P&amp;L</v>
      </c>
    </row>
    <row r="3414" spans="1:13" s="33" customFormat="true" ht="12.75" customHeight="true">
      <c r="A3414" s="33" t="str">
        <f t="shared" si="212"/>
        <v>BET - Fixed Assets</v>
      </c>
      <c r="B3414" s="33" t="str">
        <f t="shared" si="213"/>
        <v>BET</v>
      </c>
      <c r="C3414" s="33" t="str">
        <f t="shared" si="214"/>
        <v>15501-0000</v>
      </c>
      <c r="D3414" s="283" t="s">
        <v>4289</v>
      </c>
      <c r="E3414" s="64" t="s">
        <v>2635</v>
      </c>
      <c r="F3414" s="64" t="s">
        <v>230</v>
      </c>
      <c r="G3414" s="64" t="s">
        <v>62</v>
      </c>
      <c r="H3414" s="64" t="s">
        <v>63</v>
      </c>
      <c r="I3414" s="64" t="s">
        <v>64</v>
      </c>
      <c r="J3414" s="67">
        <v>0</v>
      </c>
      <c r="K3414" s="62">
        <v>5075.43</v>
      </c>
      <c r="L3414" s="33" t="e">
        <f>HLOOKUP(B3414,#REF!,1,0)</f>
        <v>#REF!</v>
      </c>
      <c r="M3414" s="33" t="str">
        <f t="shared" si="215"/>
        <v>BS</v>
      </c>
    </row>
    <row r="3415" spans="1:13" s="33" customFormat="true" ht="12.75" customHeight="true">
      <c r="A3415" s="33" t="str">
        <f t="shared" si="212"/>
        <v>BET - AR-PPD</v>
      </c>
      <c r="B3415" s="33" t="str">
        <f t="shared" si="213"/>
        <v>BET</v>
      </c>
      <c r="C3415" s="33" t="str">
        <f t="shared" si="214"/>
        <v>25300-0000</v>
      </c>
      <c r="D3415" s="283" t="s">
        <v>4290</v>
      </c>
      <c r="E3415" s="64" t="s">
        <v>3677</v>
      </c>
      <c r="F3415" s="64" t="s">
        <v>230</v>
      </c>
      <c r="G3415" s="64" t="s">
        <v>3678</v>
      </c>
      <c r="H3415" s="64" t="s">
        <v>35</v>
      </c>
      <c r="I3415" s="64" t="s">
        <v>102</v>
      </c>
      <c r="J3415" s="67">
        <v>0</v>
      </c>
      <c r="K3415" s="62">
        <v>-8429.34</v>
      </c>
      <c r="L3415" s="33" t="e">
        <f>HLOOKUP(B3415,#REF!,1,0)</f>
        <v>#REF!</v>
      </c>
      <c r="M3415" s="33" t="str">
        <f t="shared" si="215"/>
        <v>BS</v>
      </c>
    </row>
    <row r="3416" spans="1:13" s="33" customFormat="true" ht="12.75" customHeight="true">
      <c r="A3416" s="33" t="str">
        <f t="shared" si="212"/>
        <v>BET - Revenue</v>
      </c>
      <c r="B3416" s="33" t="str">
        <f t="shared" si="213"/>
        <v>BET</v>
      </c>
      <c r="C3416" s="33" t="str">
        <f t="shared" si="214"/>
        <v>40110-0000</v>
      </c>
      <c r="D3416" s="283" t="s">
        <v>4291</v>
      </c>
      <c r="E3416" s="64" t="s">
        <v>3683</v>
      </c>
      <c r="F3416" s="64" t="s">
        <v>230</v>
      </c>
      <c r="G3416" s="64" t="s">
        <v>3684</v>
      </c>
      <c r="H3416" s="64" t="s">
        <v>2871</v>
      </c>
      <c r="I3416" s="64" t="s">
        <v>3685</v>
      </c>
      <c r="J3416" s="67">
        <v>0</v>
      </c>
      <c r="K3416" s="62">
        <v>-998352</v>
      </c>
      <c r="L3416" s="33" t="e">
        <f>HLOOKUP(B3416,#REF!,1,0)</f>
        <v>#REF!</v>
      </c>
      <c r="M3416" s="33" t="str">
        <f t="shared" si="215"/>
        <v>P&amp;L</v>
      </c>
    </row>
    <row r="3417" spans="1:13" s="33" customFormat="true" ht="12.75" customHeight="true">
      <c r="A3417" s="33" t="str">
        <f t="shared" si="212"/>
        <v>BET - Revenue</v>
      </c>
      <c r="B3417" s="33" t="str">
        <f t="shared" si="213"/>
        <v>BET</v>
      </c>
      <c r="C3417" s="33" t="str">
        <f t="shared" si="214"/>
        <v>40120-0000</v>
      </c>
      <c r="D3417" s="283" t="s">
        <v>4292</v>
      </c>
      <c r="E3417" s="64" t="s">
        <v>3687</v>
      </c>
      <c r="F3417" s="64" t="s">
        <v>230</v>
      </c>
      <c r="G3417" s="64" t="s">
        <v>3684</v>
      </c>
      <c r="H3417" s="64" t="s">
        <v>2871</v>
      </c>
      <c r="I3417" s="64" t="s">
        <v>3688</v>
      </c>
      <c r="J3417" s="67">
        <v>0</v>
      </c>
      <c r="K3417" s="62">
        <v>-30580</v>
      </c>
      <c r="L3417" s="33" t="e">
        <f>HLOOKUP(B3417,#REF!,1,0)</f>
        <v>#REF!</v>
      </c>
      <c r="M3417" s="33" t="str">
        <f t="shared" si="215"/>
        <v>P&amp;L</v>
      </c>
    </row>
    <row r="3418" spans="1:13" s="33" customFormat="true" ht="12.75" customHeight="true">
      <c r="A3418" s="33" t="str">
        <f t="shared" si="212"/>
        <v>BET - Revenue</v>
      </c>
      <c r="B3418" s="33" t="str">
        <f t="shared" si="213"/>
        <v>BET</v>
      </c>
      <c r="C3418" s="33" t="str">
        <f t="shared" si="214"/>
        <v>40130-0000</v>
      </c>
      <c r="D3418" s="283" t="s">
        <v>4293</v>
      </c>
      <c r="E3418" s="64" t="s">
        <v>3690</v>
      </c>
      <c r="F3418" s="64" t="s">
        <v>230</v>
      </c>
      <c r="G3418" s="64" t="s">
        <v>3684</v>
      </c>
      <c r="H3418" s="64" t="s">
        <v>2871</v>
      </c>
      <c r="I3418" s="64" t="s">
        <v>3691</v>
      </c>
      <c r="J3418" s="67">
        <v>0</v>
      </c>
      <c r="K3418" s="62">
        <v>-32563</v>
      </c>
      <c r="L3418" s="33" t="e">
        <f>HLOOKUP(B3418,#REF!,1,0)</f>
        <v>#REF!</v>
      </c>
      <c r="M3418" s="33" t="str">
        <f t="shared" si="215"/>
        <v>P&amp;L</v>
      </c>
    </row>
    <row r="3419" spans="1:13" s="33" customFormat="true" ht="12.75" customHeight="true">
      <c r="A3419" s="33" t="str">
        <f t="shared" si="212"/>
        <v>BET - Revenue</v>
      </c>
      <c r="B3419" s="33" t="str">
        <f t="shared" si="213"/>
        <v>BET</v>
      </c>
      <c r="C3419" s="33" t="str">
        <f t="shared" si="214"/>
        <v>40140-0000</v>
      </c>
      <c r="D3419" s="283" t="s">
        <v>4294</v>
      </c>
      <c r="E3419" s="64" t="s">
        <v>3948</v>
      </c>
      <c r="F3419" s="64" t="s">
        <v>230</v>
      </c>
      <c r="G3419" s="64" t="s">
        <v>3684</v>
      </c>
      <c r="H3419" s="64" t="s">
        <v>2871</v>
      </c>
      <c r="I3419" s="64" t="s">
        <v>3949</v>
      </c>
      <c r="J3419" s="67">
        <v>0</v>
      </c>
      <c r="K3419" s="62">
        <v>0</v>
      </c>
      <c r="L3419" s="33" t="e">
        <f>HLOOKUP(B3419,#REF!,1,0)</f>
        <v>#REF!</v>
      </c>
      <c r="M3419" s="33" t="str">
        <f t="shared" si="215"/>
        <v>P&amp;L</v>
      </c>
    </row>
    <row r="3420" spans="1:13" s="33" customFormat="true" ht="12.75" customHeight="true">
      <c r="A3420" s="33" t="str">
        <f t="shared" si="212"/>
        <v>BET - Revenue</v>
      </c>
      <c r="B3420" s="33" t="str">
        <f t="shared" si="213"/>
        <v>BET</v>
      </c>
      <c r="C3420" s="33" t="str">
        <f t="shared" si="214"/>
        <v>41110-0000</v>
      </c>
      <c r="D3420" s="283" t="s">
        <v>4295</v>
      </c>
      <c r="E3420" s="64" t="s">
        <v>3693</v>
      </c>
      <c r="F3420" s="64" t="s">
        <v>230</v>
      </c>
      <c r="G3420" s="64" t="s">
        <v>3694</v>
      </c>
      <c r="H3420" s="64" t="s">
        <v>2871</v>
      </c>
      <c r="I3420" s="64" t="s">
        <v>3695</v>
      </c>
      <c r="J3420" s="67">
        <v>0</v>
      </c>
      <c r="K3420" s="62">
        <v>50620</v>
      </c>
      <c r="L3420" s="33" t="e">
        <f>HLOOKUP(B3420,#REF!,1,0)</f>
        <v>#REF!</v>
      </c>
      <c r="M3420" s="33" t="str">
        <f t="shared" si="215"/>
        <v>P&amp;L</v>
      </c>
    </row>
    <row r="3421" spans="1:13" s="33" customFormat="true" ht="12.75" customHeight="true">
      <c r="A3421" s="33" t="str">
        <f t="shared" si="212"/>
        <v>BET - Revenue</v>
      </c>
      <c r="B3421" s="33" t="str">
        <f t="shared" si="213"/>
        <v>BET</v>
      </c>
      <c r="C3421" s="33" t="str">
        <f t="shared" si="214"/>
        <v>41121-0000</v>
      </c>
      <c r="D3421" s="283" t="s">
        <v>4296</v>
      </c>
      <c r="E3421" s="64" t="s">
        <v>3697</v>
      </c>
      <c r="F3421" s="64" t="s">
        <v>230</v>
      </c>
      <c r="G3421" s="64" t="s">
        <v>3694</v>
      </c>
      <c r="H3421" s="64" t="s">
        <v>2871</v>
      </c>
      <c r="I3421" s="64" t="s">
        <v>3698</v>
      </c>
      <c r="J3421" s="67">
        <v>0</v>
      </c>
      <c r="K3421" s="62">
        <v>56414.2</v>
      </c>
      <c r="L3421" s="33" t="e">
        <f>HLOOKUP(B3421,#REF!,1,0)</f>
        <v>#REF!</v>
      </c>
      <c r="M3421" s="33" t="str">
        <f t="shared" si="215"/>
        <v>P&amp;L</v>
      </c>
    </row>
    <row r="3422" spans="1:13" s="33" customFormat="true" ht="12.75" customHeight="true">
      <c r="A3422" s="33" t="str">
        <f t="shared" si="212"/>
        <v>BET - Revenue</v>
      </c>
      <c r="B3422" s="33" t="str">
        <f t="shared" si="213"/>
        <v>BET</v>
      </c>
      <c r="C3422" s="33" t="str">
        <f t="shared" si="214"/>
        <v>41122-0000</v>
      </c>
      <c r="D3422" s="283" t="s">
        <v>4297</v>
      </c>
      <c r="E3422" s="64" t="s">
        <v>3700</v>
      </c>
      <c r="F3422" s="64" t="s">
        <v>230</v>
      </c>
      <c r="G3422" s="64" t="s">
        <v>3694</v>
      </c>
      <c r="H3422" s="64" t="s">
        <v>2871</v>
      </c>
      <c r="I3422" s="64" t="s">
        <v>3701</v>
      </c>
      <c r="J3422" s="67">
        <v>0</v>
      </c>
      <c r="K3422" s="62">
        <v>-15684.09</v>
      </c>
      <c r="L3422" s="33" t="e">
        <f>HLOOKUP(B3422,#REF!,1,0)</f>
        <v>#REF!</v>
      </c>
      <c r="M3422" s="33" t="str">
        <f t="shared" si="215"/>
        <v>P&amp;L</v>
      </c>
    </row>
    <row r="3423" spans="1:13" s="33" customFormat="true" ht="12.75" customHeight="true">
      <c r="A3423" s="33" t="str">
        <f t="shared" si="212"/>
        <v>BET - Revenue</v>
      </c>
      <c r="B3423" s="33" t="str">
        <f t="shared" si="213"/>
        <v>BET</v>
      </c>
      <c r="C3423" s="33" t="str">
        <f t="shared" si="214"/>
        <v>41130-0000</v>
      </c>
      <c r="D3423" s="283" t="s">
        <v>4298</v>
      </c>
      <c r="E3423" s="64" t="s">
        <v>3703</v>
      </c>
      <c r="F3423" s="64" t="s">
        <v>230</v>
      </c>
      <c r="G3423" s="64" t="s">
        <v>3694</v>
      </c>
      <c r="H3423" s="64" t="s">
        <v>2871</v>
      </c>
      <c r="I3423" s="64" t="s">
        <v>3704</v>
      </c>
      <c r="J3423" s="67">
        <v>0</v>
      </c>
      <c r="K3423" s="62">
        <v>118</v>
      </c>
      <c r="L3423" s="33" t="e">
        <f>HLOOKUP(B3423,#REF!,1,0)</f>
        <v>#REF!</v>
      </c>
      <c r="M3423" s="33" t="str">
        <f t="shared" si="215"/>
        <v>P&amp;L</v>
      </c>
    </row>
    <row r="3424" spans="1:13" s="33" customFormat="true" ht="12.75" customHeight="true">
      <c r="A3424" s="33" t="str">
        <f t="shared" si="212"/>
        <v>BET - Revenue</v>
      </c>
      <c r="B3424" s="33" t="str">
        <f t="shared" si="213"/>
        <v>BET</v>
      </c>
      <c r="C3424" s="33" t="str">
        <f t="shared" si="214"/>
        <v>41150-0000</v>
      </c>
      <c r="D3424" s="283" t="s">
        <v>4299</v>
      </c>
      <c r="E3424" s="64" t="s">
        <v>3709</v>
      </c>
      <c r="F3424" s="64" t="s">
        <v>230</v>
      </c>
      <c r="G3424" s="64" t="s">
        <v>3694</v>
      </c>
      <c r="H3424" s="64" t="s">
        <v>2871</v>
      </c>
      <c r="I3424" s="64" t="s">
        <v>3710</v>
      </c>
      <c r="J3424" s="67">
        <v>0</v>
      </c>
      <c r="K3424" s="62">
        <v>0</v>
      </c>
      <c r="L3424" s="33" t="e">
        <f>HLOOKUP(B3424,#REF!,1,0)</f>
        <v>#REF!</v>
      </c>
      <c r="M3424" s="33" t="str">
        <f t="shared" si="215"/>
        <v>P&amp;L</v>
      </c>
    </row>
    <row r="3425" spans="1:13" s="33" customFormat="true" ht="12.75" customHeight="true">
      <c r="A3425" s="33" t="str">
        <f t="shared" si="212"/>
        <v>BET - Revenue</v>
      </c>
      <c r="B3425" s="33" t="str">
        <f t="shared" si="213"/>
        <v>BET</v>
      </c>
      <c r="C3425" s="33" t="str">
        <f t="shared" si="214"/>
        <v>41160-0000</v>
      </c>
      <c r="D3425" s="283" t="s">
        <v>4300</v>
      </c>
      <c r="E3425" s="64" t="s">
        <v>3957</v>
      </c>
      <c r="F3425" s="64" t="s">
        <v>230</v>
      </c>
      <c r="G3425" s="64" t="s">
        <v>3694</v>
      </c>
      <c r="H3425" s="64" t="s">
        <v>2871</v>
      </c>
      <c r="I3425" s="64" t="s">
        <v>3701</v>
      </c>
      <c r="J3425" s="67">
        <v>0</v>
      </c>
      <c r="K3425" s="62">
        <v>-26933</v>
      </c>
      <c r="L3425" s="33" t="e">
        <f>HLOOKUP(B3425,#REF!,1,0)</f>
        <v>#REF!</v>
      </c>
      <c r="M3425" s="33" t="str">
        <f t="shared" si="215"/>
        <v>P&amp;L</v>
      </c>
    </row>
    <row r="3426" spans="1:13" s="33" customFormat="true" ht="12.75" customHeight="true">
      <c r="A3426" s="33" t="str">
        <f t="shared" si="212"/>
        <v>BET - Revenue</v>
      </c>
      <c r="B3426" s="33" t="str">
        <f t="shared" si="213"/>
        <v>BET</v>
      </c>
      <c r="C3426" s="33" t="str">
        <f t="shared" si="214"/>
        <v>41999-0000</v>
      </c>
      <c r="D3426" s="283" t="s">
        <v>4301</v>
      </c>
      <c r="E3426" s="64" t="s">
        <v>3712</v>
      </c>
      <c r="F3426" s="64" t="s">
        <v>230</v>
      </c>
      <c r="G3426" s="64" t="s">
        <v>3713</v>
      </c>
      <c r="H3426" s="64" t="s">
        <v>2871</v>
      </c>
      <c r="I3426" s="64" t="s">
        <v>3714</v>
      </c>
      <c r="J3426" s="67">
        <v>0</v>
      </c>
      <c r="K3426" s="62">
        <v>996959.89</v>
      </c>
      <c r="L3426" s="33" t="e">
        <f>HLOOKUP(B3426,#REF!,1,0)</f>
        <v>#REF!</v>
      </c>
      <c r="M3426" s="33" t="str">
        <f t="shared" si="215"/>
        <v>P&amp;L</v>
      </c>
    </row>
    <row r="3427" spans="1:13" s="33" customFormat="true" ht="12.75" customHeight="true">
      <c r="A3427" s="33" t="str">
        <f t="shared" si="212"/>
        <v>BET - Revenue</v>
      </c>
      <c r="B3427" s="33" t="str">
        <f t="shared" si="213"/>
        <v>BET</v>
      </c>
      <c r="C3427" s="33" t="str">
        <f t="shared" si="214"/>
        <v>47400-0000</v>
      </c>
      <c r="D3427" s="283" t="s">
        <v>4302</v>
      </c>
      <c r="E3427" s="64" t="s">
        <v>3716</v>
      </c>
      <c r="F3427" s="64" t="s">
        <v>230</v>
      </c>
      <c r="G3427" s="64" t="s">
        <v>3717</v>
      </c>
      <c r="H3427" s="64" t="s">
        <v>2871</v>
      </c>
      <c r="I3427" s="64" t="s">
        <v>3718</v>
      </c>
      <c r="J3427" s="67">
        <v>0</v>
      </c>
      <c r="K3427" s="62">
        <v>-996959.89</v>
      </c>
      <c r="L3427" s="33" t="e">
        <f>HLOOKUP(B3427,#REF!,1,0)</f>
        <v>#REF!</v>
      </c>
      <c r="M3427" s="33" t="str">
        <f t="shared" si="215"/>
        <v>P&amp;L</v>
      </c>
    </row>
    <row r="3428" spans="1:13" s="33" customFormat="true" ht="12.75" customHeight="true">
      <c r="A3428" s="33" t="str">
        <f t="shared" si="212"/>
        <v>BET - Revenue</v>
      </c>
      <c r="B3428" s="33" t="str">
        <f t="shared" si="213"/>
        <v>BET</v>
      </c>
      <c r="C3428" s="33" t="str">
        <f t="shared" si="214"/>
        <v>47430-0000</v>
      </c>
      <c r="D3428" s="283" t="s">
        <v>4303</v>
      </c>
      <c r="E3428" s="64" t="s">
        <v>4053</v>
      </c>
      <c r="F3428" s="64" t="s">
        <v>230</v>
      </c>
      <c r="G3428" s="64" t="s">
        <v>3717</v>
      </c>
      <c r="H3428" s="64" t="s">
        <v>2871</v>
      </c>
      <c r="I3428" s="64" t="s">
        <v>4054</v>
      </c>
      <c r="J3428" s="67">
        <v>-544.45</v>
      </c>
      <c r="K3428" s="62">
        <v>-8493.52</v>
      </c>
      <c r="L3428" s="33" t="e">
        <f>HLOOKUP(B3428,#REF!,1,0)</f>
        <v>#REF!</v>
      </c>
      <c r="M3428" s="33" t="str">
        <f t="shared" si="215"/>
        <v>P&amp;L</v>
      </c>
    </row>
    <row r="3429" spans="1:13" s="33" customFormat="true" ht="12.75" customHeight="true">
      <c r="A3429" s="33" t="str">
        <f t="shared" si="212"/>
        <v>BET - Revenue</v>
      </c>
      <c r="B3429" s="33" t="str">
        <f t="shared" si="213"/>
        <v>BET</v>
      </c>
      <c r="C3429" s="33" t="str">
        <f t="shared" si="214"/>
        <v>47440-0000</v>
      </c>
      <c r="D3429" s="283" t="s">
        <v>4304</v>
      </c>
      <c r="E3429" s="64" t="s">
        <v>3720</v>
      </c>
      <c r="F3429" s="64" t="s">
        <v>230</v>
      </c>
      <c r="G3429" s="64" t="s">
        <v>3717</v>
      </c>
      <c r="H3429" s="64" t="s">
        <v>2871</v>
      </c>
      <c r="I3429" s="64" t="s">
        <v>3721</v>
      </c>
      <c r="J3429" s="67">
        <v>0</v>
      </c>
      <c r="K3429" s="62">
        <v>-39865.56</v>
      </c>
      <c r="L3429" s="33" t="e">
        <f>HLOOKUP(B3429,#REF!,1,0)</f>
        <v>#REF!</v>
      </c>
      <c r="M3429" s="33" t="str">
        <f t="shared" si="215"/>
        <v>P&amp;L</v>
      </c>
    </row>
    <row r="3430" spans="1:13" s="33" customFormat="true" ht="12.75" customHeight="true">
      <c r="A3430" s="33" t="str">
        <f t="shared" si="212"/>
        <v>BET - Revenue</v>
      </c>
      <c r="B3430" s="33" t="str">
        <f t="shared" si="213"/>
        <v>BET</v>
      </c>
      <c r="C3430" s="33" t="str">
        <f t="shared" si="214"/>
        <v>47450-0000</v>
      </c>
      <c r="D3430" s="283" t="s">
        <v>4305</v>
      </c>
      <c r="E3430" s="64" t="s">
        <v>3723</v>
      </c>
      <c r="F3430" s="64" t="s">
        <v>230</v>
      </c>
      <c r="G3430" s="64" t="s">
        <v>3717</v>
      </c>
      <c r="H3430" s="64" t="s">
        <v>2871</v>
      </c>
      <c r="I3430" s="64" t="s">
        <v>3724</v>
      </c>
      <c r="J3430" s="67">
        <v>0</v>
      </c>
      <c r="K3430" s="62">
        <v>0</v>
      </c>
      <c r="L3430" s="33" t="e">
        <f>HLOOKUP(B3430,#REF!,1,0)</f>
        <v>#REF!</v>
      </c>
      <c r="M3430" s="33" t="str">
        <f t="shared" si="215"/>
        <v>P&amp;L</v>
      </c>
    </row>
    <row r="3431" spans="1:13" s="33" customFormat="true" ht="12.75" customHeight="true">
      <c r="A3431" s="33" t="str">
        <f t="shared" si="212"/>
        <v>BET - Revenue</v>
      </c>
      <c r="B3431" s="33" t="str">
        <f t="shared" si="213"/>
        <v>BET</v>
      </c>
      <c r="C3431" s="33" t="str">
        <f t="shared" si="214"/>
        <v>47460-0000</v>
      </c>
      <c r="D3431" s="283" t="s">
        <v>4306</v>
      </c>
      <c r="E3431" s="64" t="s">
        <v>3726</v>
      </c>
      <c r="F3431" s="64" t="s">
        <v>230</v>
      </c>
      <c r="G3431" s="64" t="s">
        <v>3717</v>
      </c>
      <c r="H3431" s="64" t="s">
        <v>2871</v>
      </c>
      <c r="I3431" s="64" t="s">
        <v>3727</v>
      </c>
      <c r="J3431" s="67">
        <v>0</v>
      </c>
      <c r="K3431" s="62">
        <v>-12952.5</v>
      </c>
      <c r="L3431" s="33" t="e">
        <f>HLOOKUP(B3431,#REF!,1,0)</f>
        <v>#REF!</v>
      </c>
      <c r="M3431" s="33" t="str">
        <f t="shared" si="215"/>
        <v>P&amp;L</v>
      </c>
    </row>
    <row r="3432" spans="1:13" s="33" customFormat="true" ht="12.75" customHeight="true">
      <c r="A3432" s="33" t="str">
        <f t="shared" si="212"/>
        <v>BET - Revenue</v>
      </c>
      <c r="B3432" s="33" t="str">
        <f t="shared" si="213"/>
        <v>BET</v>
      </c>
      <c r="C3432" s="33" t="str">
        <f t="shared" si="214"/>
        <v>47480-0000</v>
      </c>
      <c r="D3432" s="283" t="s">
        <v>4307</v>
      </c>
      <c r="E3432" s="64" t="s">
        <v>3729</v>
      </c>
      <c r="F3432" s="64" t="s">
        <v>230</v>
      </c>
      <c r="G3432" s="64" t="s">
        <v>3717</v>
      </c>
      <c r="H3432" s="64" t="s">
        <v>2871</v>
      </c>
      <c r="I3432" s="64" t="s">
        <v>3721</v>
      </c>
      <c r="J3432" s="67">
        <v>0</v>
      </c>
      <c r="K3432" s="62">
        <v>-1525</v>
      </c>
      <c r="L3432" s="33" t="e">
        <f>HLOOKUP(B3432,#REF!,1,0)</f>
        <v>#REF!</v>
      </c>
      <c r="M3432" s="33" t="str">
        <f t="shared" si="215"/>
        <v>P&amp;L</v>
      </c>
    </row>
    <row r="3433" spans="1:13" s="33" customFormat="true" ht="12.75" customHeight="true">
      <c r="A3433" s="33" t="str">
        <f t="shared" si="212"/>
        <v>BET - Revenue</v>
      </c>
      <c r="B3433" s="33" t="str">
        <f t="shared" si="213"/>
        <v>BET</v>
      </c>
      <c r="C3433" s="33" t="str">
        <f t="shared" si="214"/>
        <v>47491-0000</v>
      </c>
      <c r="D3433" s="283" t="s">
        <v>4308</v>
      </c>
      <c r="E3433" s="64" t="s">
        <v>3733</v>
      </c>
      <c r="F3433" s="64" t="s">
        <v>230</v>
      </c>
      <c r="G3433" s="64" t="s">
        <v>3717</v>
      </c>
      <c r="H3433" s="64" t="s">
        <v>2871</v>
      </c>
      <c r="I3433" s="64" t="s">
        <v>3734</v>
      </c>
      <c r="J3433" s="67">
        <v>0</v>
      </c>
      <c r="K3433" s="62">
        <v>-35036.42</v>
      </c>
      <c r="L3433" s="33" t="e">
        <f>HLOOKUP(B3433,#REF!,1,0)</f>
        <v>#REF!</v>
      </c>
      <c r="M3433" s="33" t="str">
        <f t="shared" si="215"/>
        <v>P&amp;L</v>
      </c>
    </row>
    <row r="3434" spans="1:13" s="33" customFormat="true" ht="12.75" customHeight="true">
      <c r="A3434" s="33" t="str">
        <f t="shared" si="212"/>
        <v>BET - Revenue</v>
      </c>
      <c r="B3434" s="33" t="str">
        <f t="shared" si="213"/>
        <v>BET</v>
      </c>
      <c r="C3434" s="33" t="str">
        <f t="shared" si="214"/>
        <v>47492-0000</v>
      </c>
      <c r="D3434" s="283" t="s">
        <v>4309</v>
      </c>
      <c r="E3434" s="64" t="s">
        <v>3736</v>
      </c>
      <c r="F3434" s="64" t="s">
        <v>230</v>
      </c>
      <c r="G3434" s="64" t="s">
        <v>3717</v>
      </c>
      <c r="H3434" s="64" t="s">
        <v>2871</v>
      </c>
      <c r="I3434" s="64" t="s">
        <v>3737</v>
      </c>
      <c r="J3434" s="67">
        <v>0</v>
      </c>
      <c r="K3434" s="62">
        <v>-8853.7</v>
      </c>
      <c r="L3434" s="33" t="e">
        <f>HLOOKUP(B3434,#REF!,1,0)</f>
        <v>#REF!</v>
      </c>
      <c r="M3434" s="33" t="str">
        <f t="shared" si="215"/>
        <v>P&amp;L</v>
      </c>
    </row>
    <row r="3435" spans="1:13" s="33" customFormat="true" ht="12.75" customHeight="true">
      <c r="A3435" s="33" t="str">
        <f t="shared" si="212"/>
        <v>BET - CGS</v>
      </c>
      <c r="B3435" s="33" t="str">
        <f t="shared" si="213"/>
        <v>BET</v>
      </c>
      <c r="C3435" s="33" t="str">
        <f t="shared" si="214"/>
        <v>51005-0000</v>
      </c>
      <c r="D3435" s="283" t="s">
        <v>4310</v>
      </c>
      <c r="E3435" s="64" t="s">
        <v>3968</v>
      </c>
      <c r="F3435" s="64" t="s">
        <v>230</v>
      </c>
      <c r="G3435" s="64" t="s">
        <v>3740</v>
      </c>
      <c r="H3435" s="64" t="s">
        <v>1875</v>
      </c>
      <c r="I3435" s="64" t="s">
        <v>3969</v>
      </c>
      <c r="J3435" s="67">
        <v>0</v>
      </c>
      <c r="K3435" s="62">
        <v>-10</v>
      </c>
      <c r="L3435" s="33" t="e">
        <f>HLOOKUP(B3435,#REF!,1,0)</f>
        <v>#REF!</v>
      </c>
      <c r="M3435" s="33" t="str">
        <f t="shared" si="215"/>
        <v>P&amp;L</v>
      </c>
    </row>
    <row r="3436" spans="1:13" s="33" customFormat="true" ht="12.75" customHeight="true">
      <c r="A3436" s="33" t="str">
        <f t="shared" si="212"/>
        <v>BET - CGS</v>
      </c>
      <c r="B3436" s="33" t="str">
        <f t="shared" si="213"/>
        <v>BET</v>
      </c>
      <c r="C3436" s="33" t="str">
        <f t="shared" si="214"/>
        <v>51006-0000</v>
      </c>
      <c r="D3436" s="283" t="s">
        <v>4311</v>
      </c>
      <c r="E3436" s="64" t="s">
        <v>3739</v>
      </c>
      <c r="F3436" s="64" t="s">
        <v>230</v>
      </c>
      <c r="G3436" s="64" t="s">
        <v>3740</v>
      </c>
      <c r="H3436" s="64" t="s">
        <v>1875</v>
      </c>
      <c r="I3436" s="64" t="s">
        <v>3741</v>
      </c>
      <c r="J3436" s="67">
        <v>0</v>
      </c>
      <c r="K3436" s="62">
        <v>2355.11</v>
      </c>
      <c r="L3436" s="33" t="e">
        <f>HLOOKUP(B3436,#REF!,1,0)</f>
        <v>#REF!</v>
      </c>
      <c r="M3436" s="33" t="str">
        <f t="shared" si="215"/>
        <v>P&amp;L</v>
      </c>
    </row>
    <row r="3437" spans="1:13" s="33" customFormat="true" ht="12.75" customHeight="true">
      <c r="A3437" s="33" t="str">
        <f t="shared" si="212"/>
        <v>BET - CGS</v>
      </c>
      <c r="B3437" s="33" t="str">
        <f t="shared" si="213"/>
        <v>BET</v>
      </c>
      <c r="C3437" s="33" t="str">
        <f t="shared" si="214"/>
        <v>51007-0000</v>
      </c>
      <c r="D3437" s="283" t="s">
        <v>4312</v>
      </c>
      <c r="E3437" s="64" t="s">
        <v>3972</v>
      </c>
      <c r="F3437" s="64" t="s">
        <v>230</v>
      </c>
      <c r="G3437" s="64" t="s">
        <v>3740</v>
      </c>
      <c r="H3437" s="64" t="s">
        <v>1875</v>
      </c>
      <c r="I3437" s="64" t="s">
        <v>3973</v>
      </c>
      <c r="J3437" s="67">
        <v>0</v>
      </c>
      <c r="K3437" s="62">
        <v>107.3</v>
      </c>
      <c r="L3437" s="33" t="e">
        <f>HLOOKUP(B3437,#REF!,1,0)</f>
        <v>#REF!</v>
      </c>
      <c r="M3437" s="33" t="str">
        <f t="shared" si="215"/>
        <v>P&amp;L</v>
      </c>
    </row>
    <row r="3438" spans="1:13" s="33" customFormat="true" ht="12.75" customHeight="true">
      <c r="A3438" s="33" t="str">
        <f t="shared" si="212"/>
        <v>BET - CGS</v>
      </c>
      <c r="B3438" s="33" t="str">
        <f t="shared" si="213"/>
        <v>BET</v>
      </c>
      <c r="C3438" s="33" t="str">
        <f t="shared" si="214"/>
        <v>51008-0000</v>
      </c>
      <c r="D3438" s="283" t="s">
        <v>4313</v>
      </c>
      <c r="E3438" s="64" t="s">
        <v>3743</v>
      </c>
      <c r="F3438" s="64" t="s">
        <v>230</v>
      </c>
      <c r="G3438" s="64" t="s">
        <v>3740</v>
      </c>
      <c r="H3438" s="64" t="s">
        <v>1875</v>
      </c>
      <c r="I3438" s="64" t="s">
        <v>3744</v>
      </c>
      <c r="J3438" s="67">
        <v>0</v>
      </c>
      <c r="K3438" s="62">
        <v>4409.61</v>
      </c>
      <c r="L3438" s="33" t="e">
        <f>HLOOKUP(B3438,#REF!,1,0)</f>
        <v>#REF!</v>
      </c>
      <c r="M3438" s="33" t="str">
        <f t="shared" si="215"/>
        <v>P&amp;L</v>
      </c>
    </row>
    <row r="3439" spans="1:13" s="33" customFormat="true" ht="12.75" customHeight="true">
      <c r="A3439" s="33" t="str">
        <f t="shared" si="212"/>
        <v>BET - CGS</v>
      </c>
      <c r="B3439" s="33" t="str">
        <f t="shared" si="213"/>
        <v>BET</v>
      </c>
      <c r="C3439" s="33" t="str">
        <f t="shared" si="214"/>
        <v>51009-0000</v>
      </c>
      <c r="D3439" s="283" t="s">
        <v>4314</v>
      </c>
      <c r="E3439" s="64" t="s">
        <v>3746</v>
      </c>
      <c r="F3439" s="64" t="s">
        <v>230</v>
      </c>
      <c r="G3439" s="64" t="s">
        <v>3740</v>
      </c>
      <c r="H3439" s="64" t="s">
        <v>1875</v>
      </c>
      <c r="I3439" s="64" t="s">
        <v>3747</v>
      </c>
      <c r="J3439" s="67">
        <v>0</v>
      </c>
      <c r="K3439" s="62">
        <v>595.79</v>
      </c>
      <c r="L3439" s="33" t="e">
        <f>HLOOKUP(B3439,#REF!,1,0)</f>
        <v>#REF!</v>
      </c>
      <c r="M3439" s="33" t="str">
        <f t="shared" si="215"/>
        <v>P&amp;L</v>
      </c>
    </row>
    <row r="3440" spans="1:13" s="33" customFormat="true" ht="12.75" customHeight="true">
      <c r="A3440" s="33" t="str">
        <f t="shared" si="212"/>
        <v>BET - CGS</v>
      </c>
      <c r="B3440" s="33" t="str">
        <f t="shared" si="213"/>
        <v>BET</v>
      </c>
      <c r="C3440" s="33" t="str">
        <f t="shared" si="214"/>
        <v>51011-0000</v>
      </c>
      <c r="D3440" s="283" t="s">
        <v>4315</v>
      </c>
      <c r="E3440" s="64" t="s">
        <v>3749</v>
      </c>
      <c r="F3440" s="64" t="s">
        <v>230</v>
      </c>
      <c r="G3440" s="64" t="s">
        <v>3740</v>
      </c>
      <c r="H3440" s="64" t="s">
        <v>1875</v>
      </c>
      <c r="I3440" s="64" t="s">
        <v>3750</v>
      </c>
      <c r="J3440" s="67">
        <v>0</v>
      </c>
      <c r="K3440" s="62">
        <v>12375</v>
      </c>
      <c r="L3440" s="33" t="e">
        <f>HLOOKUP(B3440,#REF!,1,0)</f>
        <v>#REF!</v>
      </c>
      <c r="M3440" s="33" t="str">
        <f t="shared" si="215"/>
        <v>P&amp;L</v>
      </c>
    </row>
    <row r="3441" spans="1:13" s="33" customFormat="true" ht="12.75" customHeight="true">
      <c r="A3441" s="33" t="str">
        <f t="shared" si="212"/>
        <v>BET - CGS</v>
      </c>
      <c r="B3441" s="33" t="str">
        <f t="shared" si="213"/>
        <v>BET</v>
      </c>
      <c r="C3441" s="33" t="str">
        <f t="shared" si="214"/>
        <v>51012-0000</v>
      </c>
      <c r="D3441" s="283" t="s">
        <v>4316</v>
      </c>
      <c r="E3441" s="64" t="s">
        <v>3752</v>
      </c>
      <c r="F3441" s="64" t="s">
        <v>230</v>
      </c>
      <c r="G3441" s="64" t="s">
        <v>3740</v>
      </c>
      <c r="H3441" s="64" t="s">
        <v>1875</v>
      </c>
      <c r="I3441" s="64" t="s">
        <v>3753</v>
      </c>
      <c r="J3441" s="67">
        <v>0</v>
      </c>
      <c r="K3441" s="62">
        <v>1705</v>
      </c>
      <c r="L3441" s="33" t="e">
        <f>HLOOKUP(B3441,#REF!,1,0)</f>
        <v>#REF!</v>
      </c>
      <c r="M3441" s="33" t="str">
        <f t="shared" si="215"/>
        <v>P&amp;L</v>
      </c>
    </row>
    <row r="3442" spans="1:13" s="33" customFormat="true" ht="12.75" customHeight="true">
      <c r="A3442" s="33" t="str">
        <f t="shared" si="212"/>
        <v>BET - CGS</v>
      </c>
      <c r="B3442" s="33" t="str">
        <f t="shared" si="213"/>
        <v>BET</v>
      </c>
      <c r="C3442" s="33" t="str">
        <f t="shared" si="214"/>
        <v>51013-0000</v>
      </c>
      <c r="D3442" s="283" t="s">
        <v>4317</v>
      </c>
      <c r="E3442" s="64" t="s">
        <v>3979</v>
      </c>
      <c r="F3442" s="64" t="s">
        <v>230</v>
      </c>
      <c r="G3442" s="64" t="s">
        <v>3740</v>
      </c>
      <c r="H3442" s="64" t="s">
        <v>1875</v>
      </c>
      <c r="I3442" s="64" t="s">
        <v>3980</v>
      </c>
      <c r="J3442" s="67">
        <v>0</v>
      </c>
      <c r="K3442" s="62">
        <v>3000</v>
      </c>
      <c r="L3442" s="33" t="e">
        <f>HLOOKUP(B3442,#REF!,1,0)</f>
        <v>#REF!</v>
      </c>
      <c r="M3442" s="33" t="str">
        <f t="shared" si="215"/>
        <v>P&amp;L</v>
      </c>
    </row>
    <row r="3443" spans="1:13" s="33" customFormat="true" ht="12.75" customHeight="true">
      <c r="A3443" s="33" t="str">
        <f t="shared" si="212"/>
        <v>BET - CGS</v>
      </c>
      <c r="B3443" s="33" t="str">
        <f t="shared" si="213"/>
        <v>BET</v>
      </c>
      <c r="C3443" s="33" t="str">
        <f t="shared" si="214"/>
        <v>51015-0000</v>
      </c>
      <c r="D3443" s="283" t="s">
        <v>4318</v>
      </c>
      <c r="E3443" s="64" t="s">
        <v>3755</v>
      </c>
      <c r="F3443" s="64" t="s">
        <v>230</v>
      </c>
      <c r="G3443" s="64" t="s">
        <v>3740</v>
      </c>
      <c r="H3443" s="64" t="s">
        <v>1875</v>
      </c>
      <c r="I3443" s="64" t="s">
        <v>3756</v>
      </c>
      <c r="J3443" s="67">
        <v>0</v>
      </c>
      <c r="K3443" s="62">
        <v>110.58</v>
      </c>
      <c r="L3443" s="33" t="e">
        <f>HLOOKUP(B3443,#REF!,1,0)</f>
        <v>#REF!</v>
      </c>
      <c r="M3443" s="33" t="str">
        <f t="shared" si="215"/>
        <v>P&amp;L</v>
      </c>
    </row>
    <row r="3444" spans="1:13" s="33" customFormat="true" ht="12.75" customHeight="true">
      <c r="A3444" s="33" t="str">
        <f t="shared" si="212"/>
        <v>BET - CGS</v>
      </c>
      <c r="B3444" s="33" t="str">
        <f t="shared" si="213"/>
        <v>BET</v>
      </c>
      <c r="C3444" s="33" t="str">
        <f t="shared" si="214"/>
        <v>51017-0000</v>
      </c>
      <c r="D3444" s="283" t="s">
        <v>4319</v>
      </c>
      <c r="E3444" s="64" t="s">
        <v>3758</v>
      </c>
      <c r="F3444" s="64" t="s">
        <v>230</v>
      </c>
      <c r="G3444" s="64" t="s">
        <v>3160</v>
      </c>
      <c r="H3444" s="64" t="s">
        <v>1875</v>
      </c>
      <c r="I3444" s="64" t="s">
        <v>3759</v>
      </c>
      <c r="J3444" s="67">
        <v>0</v>
      </c>
      <c r="K3444" s="62">
        <v>712.14</v>
      </c>
      <c r="L3444" s="33" t="e">
        <f>HLOOKUP(B3444,#REF!,1,0)</f>
        <v>#REF!</v>
      </c>
      <c r="M3444" s="33" t="str">
        <f t="shared" si="215"/>
        <v>P&amp;L</v>
      </c>
    </row>
    <row r="3445" spans="1:13" s="33" customFormat="true" ht="12.75" customHeight="true">
      <c r="A3445" s="33" t="str">
        <f t="shared" si="212"/>
        <v>BET - CGS</v>
      </c>
      <c r="B3445" s="33" t="str">
        <f t="shared" si="213"/>
        <v>BET</v>
      </c>
      <c r="C3445" s="33" t="str">
        <f t="shared" si="214"/>
        <v>51018-0000</v>
      </c>
      <c r="D3445" s="283" t="s">
        <v>4320</v>
      </c>
      <c r="E3445" s="64" t="s">
        <v>3984</v>
      </c>
      <c r="F3445" s="64" t="s">
        <v>230</v>
      </c>
      <c r="G3445" s="64" t="s">
        <v>3740</v>
      </c>
      <c r="H3445" s="64" t="s">
        <v>1875</v>
      </c>
      <c r="I3445" s="64" t="s">
        <v>3319</v>
      </c>
      <c r="J3445" s="67">
        <v>0</v>
      </c>
      <c r="K3445" s="62">
        <v>1714.76</v>
      </c>
      <c r="L3445" s="33" t="e">
        <f>HLOOKUP(B3445,#REF!,1,0)</f>
        <v>#REF!</v>
      </c>
      <c r="M3445" s="33" t="str">
        <f t="shared" si="215"/>
        <v>P&amp;L</v>
      </c>
    </row>
    <row r="3446" spans="1:13" s="33" customFormat="true" ht="12.75" customHeight="true">
      <c r="A3446" s="33" t="str">
        <f t="shared" si="212"/>
        <v>BET - CGS</v>
      </c>
      <c r="B3446" s="33" t="str">
        <f t="shared" si="213"/>
        <v>BET</v>
      </c>
      <c r="C3446" s="33" t="str">
        <f t="shared" si="214"/>
        <v>51019-0000</v>
      </c>
      <c r="D3446" s="283" t="s">
        <v>4321</v>
      </c>
      <c r="E3446" s="64" t="s">
        <v>3761</v>
      </c>
      <c r="F3446" s="64" t="s">
        <v>230</v>
      </c>
      <c r="G3446" s="64" t="s">
        <v>3740</v>
      </c>
      <c r="H3446" s="64" t="s">
        <v>1875</v>
      </c>
      <c r="I3446" s="64" t="s">
        <v>3340</v>
      </c>
      <c r="J3446" s="67">
        <v>0</v>
      </c>
      <c r="K3446" s="62">
        <v>66.5</v>
      </c>
      <c r="L3446" s="33" t="e">
        <f>HLOOKUP(B3446,#REF!,1,0)</f>
        <v>#REF!</v>
      </c>
      <c r="M3446" s="33" t="str">
        <f t="shared" si="215"/>
        <v>P&amp;L</v>
      </c>
    </row>
    <row r="3447" spans="1:13" s="33" customFormat="true" ht="12.75" customHeight="true">
      <c r="A3447" s="33" t="str">
        <f t="shared" si="212"/>
        <v>BET - CGS</v>
      </c>
      <c r="B3447" s="33" t="str">
        <f t="shared" si="213"/>
        <v>BET</v>
      </c>
      <c r="C3447" s="33" t="str">
        <f t="shared" si="214"/>
        <v>51020-0000</v>
      </c>
      <c r="D3447" s="283" t="s">
        <v>4322</v>
      </c>
      <c r="E3447" s="64" t="s">
        <v>3763</v>
      </c>
      <c r="F3447" s="64" t="s">
        <v>230</v>
      </c>
      <c r="G3447" s="64" t="s">
        <v>3740</v>
      </c>
      <c r="H3447" s="64" t="s">
        <v>1875</v>
      </c>
      <c r="I3447" s="64" t="s">
        <v>3345</v>
      </c>
      <c r="J3447" s="67">
        <v>0</v>
      </c>
      <c r="K3447" s="62">
        <v>1296.59</v>
      </c>
      <c r="L3447" s="33" t="e">
        <f>HLOOKUP(B3447,#REF!,1,0)</f>
        <v>#REF!</v>
      </c>
      <c r="M3447" s="33" t="str">
        <f t="shared" si="215"/>
        <v>P&amp;L</v>
      </c>
    </row>
    <row r="3448" spans="1:13" s="33" customFormat="true" ht="12.75" customHeight="true">
      <c r="A3448" s="33" t="str">
        <f t="shared" si="212"/>
        <v>BET - CGS</v>
      </c>
      <c r="B3448" s="33" t="str">
        <f t="shared" si="213"/>
        <v>BET</v>
      </c>
      <c r="C3448" s="33" t="str">
        <f t="shared" si="214"/>
        <v>51025-0000</v>
      </c>
      <c r="D3448" s="283" t="s">
        <v>4323</v>
      </c>
      <c r="E3448" s="64" t="s">
        <v>3988</v>
      </c>
      <c r="F3448" s="64" t="s">
        <v>230</v>
      </c>
      <c r="G3448" s="64" t="s">
        <v>3740</v>
      </c>
      <c r="H3448" s="64" t="s">
        <v>1875</v>
      </c>
      <c r="I3448" s="64" t="s">
        <v>3989</v>
      </c>
      <c r="J3448" s="67">
        <v>0</v>
      </c>
      <c r="K3448" s="62">
        <v>8580.81</v>
      </c>
      <c r="L3448" s="33" t="e">
        <f>HLOOKUP(B3448,#REF!,1,0)</f>
        <v>#REF!</v>
      </c>
      <c r="M3448" s="33" t="str">
        <f t="shared" si="215"/>
        <v>P&amp;L</v>
      </c>
    </row>
    <row r="3449" spans="1:13" s="33" customFormat="true" ht="12.75" customHeight="true">
      <c r="A3449" s="33" t="str">
        <f t="shared" si="212"/>
        <v>BET - CGS</v>
      </c>
      <c r="B3449" s="33" t="str">
        <f t="shared" si="213"/>
        <v>BET</v>
      </c>
      <c r="C3449" s="33" t="str">
        <f t="shared" si="214"/>
        <v>51029-0000</v>
      </c>
      <c r="D3449" s="283" t="s">
        <v>4324</v>
      </c>
      <c r="E3449" s="64" t="s">
        <v>3993</v>
      </c>
      <c r="F3449" s="64" t="s">
        <v>230</v>
      </c>
      <c r="G3449" s="64" t="s">
        <v>3740</v>
      </c>
      <c r="H3449" s="64" t="s">
        <v>1875</v>
      </c>
      <c r="I3449" s="64" t="s">
        <v>3994</v>
      </c>
      <c r="J3449" s="67">
        <v>0</v>
      </c>
      <c r="K3449" s="62">
        <v>7370</v>
      </c>
      <c r="L3449" s="33" t="e">
        <f>HLOOKUP(B3449,#REF!,1,0)</f>
        <v>#REF!</v>
      </c>
      <c r="M3449" s="33" t="str">
        <f t="shared" si="215"/>
        <v>P&amp;L</v>
      </c>
    </row>
    <row r="3450" spans="1:13" s="33" customFormat="true" ht="12.75" customHeight="true">
      <c r="A3450" s="33" t="str">
        <f t="shared" si="212"/>
        <v>BET - CGS</v>
      </c>
      <c r="B3450" s="33" t="str">
        <f t="shared" si="213"/>
        <v>BET</v>
      </c>
      <c r="C3450" s="33" t="str">
        <f t="shared" si="214"/>
        <v>52001-0000</v>
      </c>
      <c r="D3450" s="283" t="s">
        <v>4325</v>
      </c>
      <c r="E3450" s="64" t="s">
        <v>3768</v>
      </c>
      <c r="F3450" s="64" t="s">
        <v>230</v>
      </c>
      <c r="G3450" s="64" t="s">
        <v>3769</v>
      </c>
      <c r="H3450" s="64" t="s">
        <v>1875</v>
      </c>
      <c r="I3450" s="64" t="s">
        <v>3770</v>
      </c>
      <c r="J3450" s="67">
        <v>0</v>
      </c>
      <c r="K3450" s="62">
        <v>8086.62</v>
      </c>
      <c r="L3450" s="33" t="e">
        <f>HLOOKUP(B3450,#REF!,1,0)</f>
        <v>#REF!</v>
      </c>
      <c r="M3450" s="33" t="str">
        <f t="shared" si="215"/>
        <v>P&amp;L</v>
      </c>
    </row>
    <row r="3451" spans="1:13" s="33" customFormat="true" ht="12.75" customHeight="true">
      <c r="A3451" s="33" t="str">
        <f t="shared" si="212"/>
        <v>BET - CGS</v>
      </c>
      <c r="B3451" s="33" t="str">
        <f t="shared" si="213"/>
        <v>BET</v>
      </c>
      <c r="C3451" s="33" t="str">
        <f t="shared" si="214"/>
        <v>52002-0000</v>
      </c>
      <c r="D3451" s="283" t="s">
        <v>4326</v>
      </c>
      <c r="E3451" s="64" t="s">
        <v>3997</v>
      </c>
      <c r="F3451" s="64" t="s">
        <v>230</v>
      </c>
      <c r="G3451" s="64" t="s">
        <v>3769</v>
      </c>
      <c r="H3451" s="64" t="s">
        <v>1875</v>
      </c>
      <c r="I3451" s="64" t="s">
        <v>3998</v>
      </c>
      <c r="J3451" s="67">
        <v>0</v>
      </c>
      <c r="K3451" s="62">
        <v>50</v>
      </c>
      <c r="L3451" s="33" t="e">
        <f>HLOOKUP(B3451,#REF!,1,0)</f>
        <v>#REF!</v>
      </c>
      <c r="M3451" s="33" t="str">
        <f t="shared" si="215"/>
        <v>P&amp;L</v>
      </c>
    </row>
    <row r="3452" spans="1:13" s="33" customFormat="true" ht="12.75" customHeight="true">
      <c r="A3452" s="33" t="str">
        <f t="shared" si="212"/>
        <v>BET - CGS</v>
      </c>
      <c r="B3452" s="33" t="str">
        <f t="shared" si="213"/>
        <v>BET</v>
      </c>
      <c r="C3452" s="33" t="str">
        <f t="shared" si="214"/>
        <v>52003-0000</v>
      </c>
      <c r="D3452" s="283" t="s">
        <v>4327</v>
      </c>
      <c r="E3452" s="64" t="s">
        <v>3772</v>
      </c>
      <c r="F3452" s="64" t="s">
        <v>230</v>
      </c>
      <c r="G3452" s="64" t="s">
        <v>3769</v>
      </c>
      <c r="H3452" s="64" t="s">
        <v>1875</v>
      </c>
      <c r="I3452" s="64" t="s">
        <v>3773</v>
      </c>
      <c r="J3452" s="67">
        <v>0</v>
      </c>
      <c r="K3452" s="62">
        <v>3110</v>
      </c>
      <c r="L3452" s="33" t="e">
        <f>HLOOKUP(B3452,#REF!,1,0)</f>
        <v>#REF!</v>
      </c>
      <c r="M3452" s="33" t="str">
        <f t="shared" si="215"/>
        <v>P&amp;L</v>
      </c>
    </row>
    <row r="3453" spans="1:13" s="33" customFormat="true" ht="12.75" customHeight="true">
      <c r="A3453" s="33" t="str">
        <f t="shared" si="212"/>
        <v>BET - CGS</v>
      </c>
      <c r="B3453" s="33" t="str">
        <f t="shared" si="213"/>
        <v>BET</v>
      </c>
      <c r="C3453" s="33" t="str">
        <f t="shared" si="214"/>
        <v>52004-0000</v>
      </c>
      <c r="D3453" s="283" t="s">
        <v>4328</v>
      </c>
      <c r="E3453" s="64" t="s">
        <v>3775</v>
      </c>
      <c r="F3453" s="64" t="s">
        <v>230</v>
      </c>
      <c r="G3453" s="64" t="s">
        <v>3769</v>
      </c>
      <c r="H3453" s="64" t="s">
        <v>1875</v>
      </c>
      <c r="I3453" s="64" t="s">
        <v>3776</v>
      </c>
      <c r="J3453" s="67">
        <v>0</v>
      </c>
      <c r="K3453" s="62">
        <v>2456.01</v>
      </c>
      <c r="L3453" s="33" t="e">
        <f>HLOOKUP(B3453,#REF!,1,0)</f>
        <v>#REF!</v>
      </c>
      <c r="M3453" s="33" t="str">
        <f t="shared" si="215"/>
        <v>P&amp;L</v>
      </c>
    </row>
    <row r="3454" spans="1:13" s="33" customFormat="true" ht="12.75" customHeight="true">
      <c r="A3454" s="33" t="str">
        <f t="shared" si="212"/>
        <v>BET - CGS</v>
      </c>
      <c r="B3454" s="33" t="str">
        <f t="shared" si="213"/>
        <v>BET</v>
      </c>
      <c r="C3454" s="33" t="str">
        <f t="shared" si="214"/>
        <v>52006-0000</v>
      </c>
      <c r="D3454" s="283" t="s">
        <v>4329</v>
      </c>
      <c r="E3454" s="64" t="s">
        <v>3778</v>
      </c>
      <c r="F3454" s="64" t="s">
        <v>230</v>
      </c>
      <c r="G3454" s="64" t="s">
        <v>3769</v>
      </c>
      <c r="H3454" s="64" t="s">
        <v>1875</v>
      </c>
      <c r="I3454" s="64" t="s">
        <v>3779</v>
      </c>
      <c r="J3454" s="67">
        <v>0</v>
      </c>
      <c r="K3454" s="62">
        <v>-287.8</v>
      </c>
      <c r="L3454" s="33" t="e">
        <f>HLOOKUP(B3454,#REF!,1,0)</f>
        <v>#REF!</v>
      </c>
      <c r="M3454" s="33" t="str">
        <f t="shared" si="215"/>
        <v>P&amp;L</v>
      </c>
    </row>
    <row r="3455" spans="1:13" s="33" customFormat="true" ht="12.75" customHeight="true">
      <c r="A3455" s="33" t="str">
        <f t="shared" si="212"/>
        <v>BET - CGS</v>
      </c>
      <c r="B3455" s="33" t="str">
        <f t="shared" si="213"/>
        <v>BET</v>
      </c>
      <c r="C3455" s="33" t="str">
        <f t="shared" si="214"/>
        <v>53001-0000</v>
      </c>
      <c r="D3455" s="283" t="s">
        <v>4330</v>
      </c>
      <c r="E3455" s="64" t="s">
        <v>3781</v>
      </c>
      <c r="F3455" s="64" t="s">
        <v>230</v>
      </c>
      <c r="G3455" s="64" t="s">
        <v>3160</v>
      </c>
      <c r="H3455" s="64" t="s">
        <v>1875</v>
      </c>
      <c r="I3455" s="64" t="s">
        <v>3782</v>
      </c>
      <c r="J3455" s="67">
        <v>0</v>
      </c>
      <c r="K3455" s="62">
        <v>1829.05</v>
      </c>
      <c r="L3455" s="33" t="e">
        <f>HLOOKUP(B3455,#REF!,1,0)</f>
        <v>#REF!</v>
      </c>
      <c r="M3455" s="33" t="str">
        <f t="shared" si="215"/>
        <v>P&amp;L</v>
      </c>
    </row>
    <row r="3456" spans="1:13" s="33" customFormat="true" ht="12.75" customHeight="true">
      <c r="A3456" s="33" t="str">
        <f t="shared" si="212"/>
        <v>BET - CGS</v>
      </c>
      <c r="B3456" s="33" t="str">
        <f t="shared" si="213"/>
        <v>BET</v>
      </c>
      <c r="C3456" s="33" t="str">
        <f t="shared" si="214"/>
        <v>53002-0000</v>
      </c>
      <c r="D3456" s="283" t="s">
        <v>4331</v>
      </c>
      <c r="E3456" s="64" t="s">
        <v>3784</v>
      </c>
      <c r="F3456" s="64" t="s">
        <v>230</v>
      </c>
      <c r="G3456" s="64" t="s">
        <v>3160</v>
      </c>
      <c r="H3456" s="64" t="s">
        <v>1875</v>
      </c>
      <c r="I3456" s="64" t="s">
        <v>3785</v>
      </c>
      <c r="J3456" s="67">
        <v>0</v>
      </c>
      <c r="K3456" s="62">
        <v>18939.42</v>
      </c>
      <c r="L3456" s="33" t="e">
        <f>HLOOKUP(B3456,#REF!,1,0)</f>
        <v>#REF!</v>
      </c>
      <c r="M3456" s="33" t="str">
        <f t="shared" si="215"/>
        <v>P&amp;L</v>
      </c>
    </row>
    <row r="3457" spans="1:13" s="33" customFormat="true" ht="12.75" customHeight="true">
      <c r="A3457" s="33" t="str">
        <f t="shared" si="212"/>
        <v>BET - CGS</v>
      </c>
      <c r="B3457" s="33" t="str">
        <f t="shared" si="213"/>
        <v>BET</v>
      </c>
      <c r="C3457" s="33" t="str">
        <f t="shared" si="214"/>
        <v>53003-0000</v>
      </c>
      <c r="D3457" s="283" t="s">
        <v>4332</v>
      </c>
      <c r="E3457" s="64" t="s">
        <v>3787</v>
      </c>
      <c r="F3457" s="64" t="s">
        <v>230</v>
      </c>
      <c r="G3457" s="64" t="s">
        <v>3160</v>
      </c>
      <c r="H3457" s="64" t="s">
        <v>1875</v>
      </c>
      <c r="I3457" s="64" t="s">
        <v>3788</v>
      </c>
      <c r="J3457" s="67">
        <v>0</v>
      </c>
      <c r="K3457" s="62">
        <v>13567.54</v>
      </c>
      <c r="L3457" s="33" t="e">
        <f>HLOOKUP(B3457,#REF!,1,0)</f>
        <v>#REF!</v>
      </c>
      <c r="M3457" s="33" t="str">
        <f t="shared" si="215"/>
        <v>P&amp;L</v>
      </c>
    </row>
    <row r="3458" spans="1:13" s="33" customFormat="true" ht="12.75" customHeight="true">
      <c r="A3458" s="33" t="str">
        <f t="shared" ref="A3458:A3521" si="216">B3458&amp;" - "&amp;TRIM(H3458)</f>
        <v>BET - CGS</v>
      </c>
      <c r="B3458" s="33" t="str">
        <f t="shared" ref="B3458:B3521" si="217">LEFT(D3458,3)</f>
        <v>BET</v>
      </c>
      <c r="C3458" s="33" t="str">
        <f t="shared" ref="C3458:C3521" si="218">RIGHT(D3458,10)</f>
        <v>53004-0000</v>
      </c>
      <c r="D3458" s="283" t="s">
        <v>4333</v>
      </c>
      <c r="E3458" s="64" t="s">
        <v>3790</v>
      </c>
      <c r="F3458" s="64" t="s">
        <v>230</v>
      </c>
      <c r="G3458" s="64" t="s">
        <v>3160</v>
      </c>
      <c r="H3458" s="64" t="s">
        <v>1875</v>
      </c>
      <c r="I3458" s="64" t="s">
        <v>3791</v>
      </c>
      <c r="J3458" s="67">
        <v>0</v>
      </c>
      <c r="K3458" s="62">
        <v>11252.16</v>
      </c>
      <c r="L3458" s="33" t="e">
        <f>HLOOKUP(B3458,#REF!,1,0)</f>
        <v>#REF!</v>
      </c>
      <c r="M3458" s="33" t="str">
        <f t="shared" ref="M3458:M3521" si="219">IF(VALUE(LEFT(C3458,5))&gt;40000,"P&amp;L","BS")</f>
        <v>P&amp;L</v>
      </c>
    </row>
    <row r="3459" spans="1:13" s="33" customFormat="true" ht="12.75" customHeight="true">
      <c r="A3459" s="33" t="str">
        <f t="shared" si="216"/>
        <v>BET - CGS</v>
      </c>
      <c r="B3459" s="33" t="str">
        <f t="shared" si="217"/>
        <v>BET</v>
      </c>
      <c r="C3459" s="33" t="str">
        <f t="shared" si="218"/>
        <v>53006-0000</v>
      </c>
      <c r="D3459" s="283" t="s">
        <v>4334</v>
      </c>
      <c r="E3459" s="64" t="s">
        <v>3796</v>
      </c>
      <c r="F3459" s="64" t="s">
        <v>230</v>
      </c>
      <c r="G3459" s="64" t="s">
        <v>3160</v>
      </c>
      <c r="H3459" s="64" t="s">
        <v>1875</v>
      </c>
      <c r="I3459" s="64" t="s">
        <v>3797</v>
      </c>
      <c r="J3459" s="67">
        <v>0</v>
      </c>
      <c r="K3459" s="62">
        <v>23427.95</v>
      </c>
      <c r="L3459" s="33" t="e">
        <f>HLOOKUP(B3459,#REF!,1,0)</f>
        <v>#REF!</v>
      </c>
      <c r="M3459" s="33" t="str">
        <f t="shared" si="219"/>
        <v>P&amp;L</v>
      </c>
    </row>
    <row r="3460" spans="1:13" s="33" customFormat="true" ht="12.75" customHeight="true">
      <c r="A3460" s="33" t="str">
        <f t="shared" si="216"/>
        <v>BET - CGS</v>
      </c>
      <c r="B3460" s="33" t="str">
        <f t="shared" si="217"/>
        <v>BET</v>
      </c>
      <c r="C3460" s="33" t="str">
        <f t="shared" si="218"/>
        <v>54001-0000</v>
      </c>
      <c r="D3460" s="283" t="s">
        <v>4335</v>
      </c>
      <c r="E3460" s="64" t="s">
        <v>4008</v>
      </c>
      <c r="F3460" s="64" t="s">
        <v>230</v>
      </c>
      <c r="G3460" s="64" t="s">
        <v>3800</v>
      </c>
      <c r="H3460" s="64" t="s">
        <v>1875</v>
      </c>
      <c r="I3460" s="64" t="s">
        <v>4009</v>
      </c>
      <c r="J3460" s="67">
        <v>0</v>
      </c>
      <c r="K3460" s="62">
        <v>469.81</v>
      </c>
      <c r="L3460" s="33" t="e">
        <f>HLOOKUP(B3460,#REF!,1,0)</f>
        <v>#REF!</v>
      </c>
      <c r="M3460" s="33" t="str">
        <f t="shared" si="219"/>
        <v>P&amp;L</v>
      </c>
    </row>
    <row r="3461" spans="1:13" s="33" customFormat="true" ht="12.75" customHeight="true">
      <c r="A3461" s="33" t="str">
        <f t="shared" si="216"/>
        <v>BET - CGS</v>
      </c>
      <c r="B3461" s="33" t="str">
        <f t="shared" si="217"/>
        <v>BET</v>
      </c>
      <c r="C3461" s="33" t="str">
        <f t="shared" si="218"/>
        <v>54002-0000</v>
      </c>
      <c r="D3461" s="283" t="s">
        <v>4336</v>
      </c>
      <c r="E3461" s="64" t="s">
        <v>3799</v>
      </c>
      <c r="F3461" s="64" t="s">
        <v>230</v>
      </c>
      <c r="G3461" s="64" t="s">
        <v>3800</v>
      </c>
      <c r="H3461" s="64" t="s">
        <v>1875</v>
      </c>
      <c r="I3461" s="64" t="s">
        <v>3801</v>
      </c>
      <c r="J3461" s="67">
        <v>0</v>
      </c>
      <c r="K3461" s="62">
        <v>9351.37</v>
      </c>
      <c r="L3461" s="33" t="e">
        <f>HLOOKUP(B3461,#REF!,1,0)</f>
        <v>#REF!</v>
      </c>
      <c r="M3461" s="33" t="str">
        <f t="shared" si="219"/>
        <v>P&amp;L</v>
      </c>
    </row>
    <row r="3462" spans="1:13" s="33" customFormat="true" ht="12.75" customHeight="true">
      <c r="A3462" s="33" t="str">
        <f t="shared" si="216"/>
        <v>BET - CGS</v>
      </c>
      <c r="B3462" s="33" t="str">
        <f t="shared" si="217"/>
        <v>BET</v>
      </c>
      <c r="C3462" s="33" t="str">
        <f t="shared" si="218"/>
        <v>54003-0000</v>
      </c>
      <c r="D3462" s="283" t="s">
        <v>4337</v>
      </c>
      <c r="E3462" s="64" t="s">
        <v>3803</v>
      </c>
      <c r="F3462" s="64" t="s">
        <v>230</v>
      </c>
      <c r="G3462" s="64" t="s">
        <v>3800</v>
      </c>
      <c r="H3462" s="64" t="s">
        <v>1875</v>
      </c>
      <c r="I3462" s="64" t="s">
        <v>3804</v>
      </c>
      <c r="J3462" s="67">
        <v>0</v>
      </c>
      <c r="K3462" s="62">
        <v>0</v>
      </c>
      <c r="L3462" s="33" t="e">
        <f>HLOOKUP(B3462,#REF!,1,0)</f>
        <v>#REF!</v>
      </c>
      <c r="M3462" s="33" t="str">
        <f t="shared" si="219"/>
        <v>P&amp;L</v>
      </c>
    </row>
    <row r="3463" spans="1:13" s="33" customFormat="true" ht="12.75" customHeight="true">
      <c r="A3463" s="33" t="str">
        <f t="shared" si="216"/>
        <v>BET - CGS</v>
      </c>
      <c r="B3463" s="33" t="str">
        <f t="shared" si="217"/>
        <v>BET</v>
      </c>
      <c r="C3463" s="33" t="str">
        <f t="shared" si="218"/>
        <v>54004-0000</v>
      </c>
      <c r="D3463" s="283" t="s">
        <v>4338</v>
      </c>
      <c r="E3463" s="64" t="s">
        <v>3806</v>
      </c>
      <c r="F3463" s="64" t="s">
        <v>230</v>
      </c>
      <c r="G3463" s="64" t="s">
        <v>3800</v>
      </c>
      <c r="H3463" s="64" t="s">
        <v>1875</v>
      </c>
      <c r="I3463" s="64" t="s">
        <v>3807</v>
      </c>
      <c r="J3463" s="67">
        <v>0</v>
      </c>
      <c r="K3463" s="62">
        <v>23655.33</v>
      </c>
      <c r="L3463" s="33" t="e">
        <f>HLOOKUP(B3463,#REF!,1,0)</f>
        <v>#REF!</v>
      </c>
      <c r="M3463" s="33" t="str">
        <f t="shared" si="219"/>
        <v>P&amp;L</v>
      </c>
    </row>
    <row r="3464" spans="1:13" s="33" customFormat="true" ht="12.75" customHeight="true">
      <c r="A3464" s="33" t="str">
        <f t="shared" si="216"/>
        <v>BET - CGS</v>
      </c>
      <c r="B3464" s="33" t="str">
        <f t="shared" si="217"/>
        <v>BET</v>
      </c>
      <c r="C3464" s="33" t="str">
        <f t="shared" si="218"/>
        <v>54005-0000</v>
      </c>
      <c r="D3464" s="283" t="s">
        <v>4339</v>
      </c>
      <c r="E3464" s="64" t="s">
        <v>3809</v>
      </c>
      <c r="F3464" s="64" t="s">
        <v>230</v>
      </c>
      <c r="G3464" s="64" t="s">
        <v>3800</v>
      </c>
      <c r="H3464" s="64" t="s">
        <v>1875</v>
      </c>
      <c r="I3464" s="64" t="s">
        <v>3810</v>
      </c>
      <c r="J3464" s="67">
        <v>0</v>
      </c>
      <c r="K3464" s="62">
        <v>535.07</v>
      </c>
      <c r="L3464" s="33" t="e">
        <f>HLOOKUP(B3464,#REF!,1,0)</f>
        <v>#REF!</v>
      </c>
      <c r="M3464" s="33" t="str">
        <f t="shared" si="219"/>
        <v>P&amp;L</v>
      </c>
    </row>
    <row r="3465" spans="1:13" s="33" customFormat="true" ht="12.75" customHeight="true">
      <c r="A3465" s="33" t="str">
        <f t="shared" si="216"/>
        <v>BET - CGS</v>
      </c>
      <c r="B3465" s="33" t="str">
        <f t="shared" si="217"/>
        <v>BET</v>
      </c>
      <c r="C3465" s="33" t="str">
        <f t="shared" si="218"/>
        <v>54006-0000</v>
      </c>
      <c r="D3465" s="283" t="s">
        <v>4340</v>
      </c>
      <c r="E3465" s="64" t="s">
        <v>3812</v>
      </c>
      <c r="F3465" s="64" t="s">
        <v>230</v>
      </c>
      <c r="G3465" s="64" t="s">
        <v>3800</v>
      </c>
      <c r="H3465" s="64" t="s">
        <v>1875</v>
      </c>
      <c r="I3465" s="64" t="s">
        <v>3003</v>
      </c>
      <c r="J3465" s="67">
        <v>0</v>
      </c>
      <c r="K3465" s="62">
        <v>6590.81</v>
      </c>
      <c r="L3465" s="33" t="e">
        <f>HLOOKUP(B3465,#REF!,1,0)</f>
        <v>#REF!</v>
      </c>
      <c r="M3465" s="33" t="str">
        <f t="shared" si="219"/>
        <v>P&amp;L</v>
      </c>
    </row>
    <row r="3466" spans="1:13" s="33" customFormat="true" ht="12.75" customHeight="true">
      <c r="A3466" s="33" t="str">
        <f t="shared" si="216"/>
        <v>BET - CGS</v>
      </c>
      <c r="B3466" s="33" t="str">
        <f t="shared" si="217"/>
        <v>BET</v>
      </c>
      <c r="C3466" s="33" t="str">
        <f t="shared" si="218"/>
        <v>54007-0000</v>
      </c>
      <c r="D3466" s="283" t="s">
        <v>4341</v>
      </c>
      <c r="E3466" s="64" t="s">
        <v>3814</v>
      </c>
      <c r="F3466" s="64" t="s">
        <v>230</v>
      </c>
      <c r="G3466" s="64" t="s">
        <v>3800</v>
      </c>
      <c r="H3466" s="64" t="s">
        <v>1875</v>
      </c>
      <c r="I3466" s="64" t="s">
        <v>3815</v>
      </c>
      <c r="J3466" s="67">
        <v>0</v>
      </c>
      <c r="K3466" s="62">
        <v>52767.66</v>
      </c>
      <c r="L3466" s="33" t="e">
        <f>HLOOKUP(B3466,#REF!,1,0)</f>
        <v>#REF!</v>
      </c>
      <c r="M3466" s="33" t="str">
        <f t="shared" si="219"/>
        <v>P&amp;L</v>
      </c>
    </row>
    <row r="3467" spans="1:13" s="33" customFormat="true" ht="12.75" customHeight="true">
      <c r="A3467" s="33" t="str">
        <f t="shared" si="216"/>
        <v>BET - Capital-Remodel</v>
      </c>
      <c r="B3467" s="33" t="str">
        <f t="shared" si="217"/>
        <v>BET</v>
      </c>
      <c r="C3467" s="33" t="str">
        <f t="shared" si="218"/>
        <v>55000-0000</v>
      </c>
      <c r="D3467" s="283" t="s">
        <v>4342</v>
      </c>
      <c r="E3467" s="64" t="s">
        <v>4020</v>
      </c>
      <c r="F3467" s="64" t="s">
        <v>230</v>
      </c>
      <c r="G3467" s="64" t="s">
        <v>3818</v>
      </c>
      <c r="H3467" s="64" t="s">
        <v>4021</v>
      </c>
      <c r="I3467" s="64" t="s">
        <v>4022</v>
      </c>
      <c r="J3467" s="67">
        <v>0</v>
      </c>
      <c r="K3467" s="62">
        <v>-744.66</v>
      </c>
      <c r="L3467" s="33" t="e">
        <f>HLOOKUP(B3467,#REF!,1,0)</f>
        <v>#REF!</v>
      </c>
      <c r="M3467" s="33" t="str">
        <f t="shared" si="219"/>
        <v>P&amp;L</v>
      </c>
    </row>
    <row r="3468" spans="1:13" s="33" customFormat="true" ht="12.75" customHeight="true">
      <c r="A3468" s="33" t="str">
        <f t="shared" si="216"/>
        <v>BET - PM Expenses</v>
      </c>
      <c r="B3468" s="33" t="str">
        <f t="shared" si="217"/>
        <v>BET</v>
      </c>
      <c r="C3468" s="33" t="str">
        <f t="shared" si="218"/>
        <v>55501-0000</v>
      </c>
      <c r="D3468" s="283" t="s">
        <v>4343</v>
      </c>
      <c r="E3468" s="64" t="s">
        <v>3817</v>
      </c>
      <c r="F3468" s="64" t="s">
        <v>230</v>
      </c>
      <c r="G3468" s="64" t="s">
        <v>3818</v>
      </c>
      <c r="H3468" s="64" t="s">
        <v>3819</v>
      </c>
      <c r="I3468" s="64" t="s">
        <v>3820</v>
      </c>
      <c r="J3468" s="67">
        <v>0</v>
      </c>
      <c r="K3468" s="62">
        <v>2294.71</v>
      </c>
      <c r="L3468" s="33" t="e">
        <f>HLOOKUP(B3468,#REF!,1,0)</f>
        <v>#REF!</v>
      </c>
      <c r="M3468" s="33" t="str">
        <f t="shared" si="219"/>
        <v>P&amp;L</v>
      </c>
    </row>
    <row r="3469" spans="1:13" s="33" customFormat="true" ht="12.75" customHeight="true">
      <c r="A3469" s="33" t="str">
        <f t="shared" si="216"/>
        <v>BET - PM Expenses</v>
      </c>
      <c r="B3469" s="33" t="str">
        <f t="shared" si="217"/>
        <v>BET</v>
      </c>
      <c r="C3469" s="33" t="str">
        <f t="shared" si="218"/>
        <v>55502-0000</v>
      </c>
      <c r="D3469" s="283" t="s">
        <v>4344</v>
      </c>
      <c r="E3469" s="64" t="s">
        <v>3822</v>
      </c>
      <c r="F3469" s="64" t="s">
        <v>230</v>
      </c>
      <c r="G3469" s="64" t="s">
        <v>3818</v>
      </c>
      <c r="H3469" s="64" t="s">
        <v>3819</v>
      </c>
      <c r="I3469" s="64" t="s">
        <v>3823</v>
      </c>
      <c r="J3469" s="67">
        <v>0</v>
      </c>
      <c r="K3469" s="62">
        <v>24204.12</v>
      </c>
      <c r="L3469" s="33" t="e">
        <f>HLOOKUP(B3469,#REF!,1,0)</f>
        <v>#REF!</v>
      </c>
      <c r="M3469" s="33" t="str">
        <f t="shared" si="219"/>
        <v>P&amp;L</v>
      </c>
    </row>
    <row r="3470" spans="1:13" s="33" customFormat="true" ht="12.75" customHeight="true">
      <c r="A3470" s="33" t="str">
        <f t="shared" si="216"/>
        <v>BET - PM Expenses</v>
      </c>
      <c r="B3470" s="33" t="str">
        <f t="shared" si="217"/>
        <v>BET</v>
      </c>
      <c r="C3470" s="33" t="str">
        <f t="shared" si="218"/>
        <v>55503-0000</v>
      </c>
      <c r="D3470" s="283" t="s">
        <v>4345</v>
      </c>
      <c r="E3470" s="64" t="s">
        <v>3825</v>
      </c>
      <c r="F3470" s="64" t="s">
        <v>230</v>
      </c>
      <c r="G3470" s="64" t="s">
        <v>3818</v>
      </c>
      <c r="H3470" s="64" t="s">
        <v>3819</v>
      </c>
      <c r="I3470" s="64" t="s">
        <v>3826</v>
      </c>
      <c r="J3470" s="67">
        <v>0</v>
      </c>
      <c r="K3470" s="62">
        <v>5623</v>
      </c>
      <c r="L3470" s="33" t="e">
        <f>HLOOKUP(B3470,#REF!,1,0)</f>
        <v>#REF!</v>
      </c>
      <c r="M3470" s="33" t="str">
        <f t="shared" si="219"/>
        <v>P&amp;L</v>
      </c>
    </row>
    <row r="3471" spans="1:13" s="33" customFormat="true" ht="12.75" customHeight="true">
      <c r="A3471" s="33" t="str">
        <f t="shared" si="216"/>
        <v>BET - PM Expenses</v>
      </c>
      <c r="B3471" s="33" t="str">
        <f t="shared" si="217"/>
        <v>BET</v>
      </c>
      <c r="C3471" s="33" t="str">
        <f t="shared" si="218"/>
        <v>55504-0000</v>
      </c>
      <c r="D3471" s="283" t="s">
        <v>4346</v>
      </c>
      <c r="E3471" s="64" t="s">
        <v>4027</v>
      </c>
      <c r="F3471" s="64" t="s">
        <v>230</v>
      </c>
      <c r="G3471" s="64" t="s">
        <v>3818</v>
      </c>
      <c r="H3471" s="64" t="s">
        <v>3819</v>
      </c>
      <c r="I3471" s="64" t="s">
        <v>4028</v>
      </c>
      <c r="J3471" s="67">
        <v>0</v>
      </c>
      <c r="K3471" s="62">
        <v>1007.71</v>
      </c>
      <c r="L3471" s="33" t="e">
        <f>HLOOKUP(B3471,#REF!,1,0)</f>
        <v>#REF!</v>
      </c>
      <c r="M3471" s="33" t="str">
        <f t="shared" si="219"/>
        <v>P&amp;L</v>
      </c>
    </row>
    <row r="3472" spans="1:13" s="33" customFormat="true" ht="12.75" customHeight="true">
      <c r="A3472" s="33" t="str">
        <f t="shared" si="216"/>
        <v>BET - PM Expenses</v>
      </c>
      <c r="B3472" s="33" t="str">
        <f t="shared" si="217"/>
        <v>BET</v>
      </c>
      <c r="C3472" s="33" t="str">
        <f t="shared" si="218"/>
        <v>55505-0000</v>
      </c>
      <c r="D3472" s="283" t="s">
        <v>4347</v>
      </c>
      <c r="E3472" s="64" t="s">
        <v>3828</v>
      </c>
      <c r="F3472" s="64" t="s">
        <v>230</v>
      </c>
      <c r="G3472" s="64" t="s">
        <v>3818</v>
      </c>
      <c r="H3472" s="64" t="s">
        <v>3819</v>
      </c>
      <c r="I3472" s="64" t="s">
        <v>3829</v>
      </c>
      <c r="J3472" s="67">
        <v>0</v>
      </c>
      <c r="K3472" s="62">
        <v>122779.87</v>
      </c>
      <c r="L3472" s="33" t="e">
        <f>HLOOKUP(B3472,#REF!,1,0)</f>
        <v>#REF!</v>
      </c>
      <c r="M3472" s="33" t="str">
        <f t="shared" si="219"/>
        <v>P&amp;L</v>
      </c>
    </row>
    <row r="3473" spans="1:13" s="33" customFormat="true" ht="12.75" customHeight="true">
      <c r="A3473" s="33" t="str">
        <f t="shared" si="216"/>
        <v>BET - PM Expenses</v>
      </c>
      <c r="B3473" s="33" t="str">
        <f t="shared" si="217"/>
        <v>BET</v>
      </c>
      <c r="C3473" s="33" t="str">
        <f t="shared" si="218"/>
        <v>55506-0000</v>
      </c>
      <c r="D3473" s="283" t="s">
        <v>4348</v>
      </c>
      <c r="E3473" s="64" t="s">
        <v>3831</v>
      </c>
      <c r="F3473" s="64" t="s">
        <v>230</v>
      </c>
      <c r="G3473" s="64" t="s">
        <v>3818</v>
      </c>
      <c r="H3473" s="64" t="s">
        <v>3819</v>
      </c>
      <c r="I3473" s="64" t="s">
        <v>3832</v>
      </c>
      <c r="J3473" s="67">
        <v>0</v>
      </c>
      <c r="K3473" s="62">
        <v>64189.4</v>
      </c>
      <c r="L3473" s="33" t="e">
        <f>HLOOKUP(B3473,#REF!,1,0)</f>
        <v>#REF!</v>
      </c>
      <c r="M3473" s="33" t="str">
        <f t="shared" si="219"/>
        <v>P&amp;L</v>
      </c>
    </row>
    <row r="3474" spans="1:13" s="33" customFormat="true" ht="12.75" customHeight="true">
      <c r="A3474" s="33" t="str">
        <f t="shared" si="216"/>
        <v>BET - PM Expenses</v>
      </c>
      <c r="B3474" s="33" t="str">
        <f t="shared" si="217"/>
        <v>BET</v>
      </c>
      <c r="C3474" s="33" t="str">
        <f t="shared" si="218"/>
        <v>55507-0000</v>
      </c>
      <c r="D3474" s="283" t="s">
        <v>4349</v>
      </c>
      <c r="E3474" s="64" t="s">
        <v>3834</v>
      </c>
      <c r="F3474" s="64" t="s">
        <v>230</v>
      </c>
      <c r="G3474" s="64" t="s">
        <v>3818</v>
      </c>
      <c r="H3474" s="64" t="s">
        <v>3819</v>
      </c>
      <c r="I3474" s="64" t="s">
        <v>3835</v>
      </c>
      <c r="J3474" s="67">
        <v>0</v>
      </c>
      <c r="K3474" s="62">
        <v>1584.67</v>
      </c>
      <c r="L3474" s="33" t="e">
        <f>HLOOKUP(B3474,#REF!,1,0)</f>
        <v>#REF!</v>
      </c>
      <c r="M3474" s="33" t="str">
        <f t="shared" si="219"/>
        <v>P&amp;L</v>
      </c>
    </row>
    <row r="3475" spans="1:13" s="33" customFormat="true" ht="12.75" customHeight="true">
      <c r="A3475" s="33" t="str">
        <f t="shared" si="216"/>
        <v>BET - PM Expenses</v>
      </c>
      <c r="B3475" s="33" t="str">
        <f t="shared" si="217"/>
        <v>BET</v>
      </c>
      <c r="C3475" s="33" t="str">
        <f t="shared" si="218"/>
        <v>55508-0000</v>
      </c>
      <c r="D3475" s="283" t="s">
        <v>4350</v>
      </c>
      <c r="E3475" s="64" t="s">
        <v>4351</v>
      </c>
      <c r="F3475" s="64" t="s">
        <v>230</v>
      </c>
      <c r="G3475" s="64" t="s">
        <v>3818</v>
      </c>
      <c r="H3475" s="64" t="s">
        <v>3819</v>
      </c>
      <c r="I3475" s="64" t="s">
        <v>4352</v>
      </c>
      <c r="J3475" s="67">
        <v>0</v>
      </c>
      <c r="K3475" s="62">
        <v>2480</v>
      </c>
      <c r="L3475" s="33" t="e">
        <f>HLOOKUP(B3475,#REF!,1,0)</f>
        <v>#REF!</v>
      </c>
      <c r="M3475" s="33" t="str">
        <f t="shared" si="219"/>
        <v>P&amp;L</v>
      </c>
    </row>
    <row r="3476" spans="1:13" s="33" customFormat="true" ht="12.75" customHeight="true">
      <c r="A3476" s="33" t="str">
        <f t="shared" si="216"/>
        <v>BET - CGS</v>
      </c>
      <c r="B3476" s="33" t="str">
        <f t="shared" si="217"/>
        <v>BET</v>
      </c>
      <c r="C3476" s="33" t="str">
        <f t="shared" si="218"/>
        <v>57700-0000</v>
      </c>
      <c r="D3476" s="283" t="s">
        <v>4353</v>
      </c>
      <c r="E3476" s="64" t="s">
        <v>4354</v>
      </c>
      <c r="F3476" s="64" t="s">
        <v>230</v>
      </c>
      <c r="G3476" s="64" t="s">
        <v>4355</v>
      </c>
      <c r="H3476" s="64" t="s">
        <v>1875</v>
      </c>
      <c r="I3476" s="64" t="s">
        <v>3354</v>
      </c>
      <c r="J3476" s="67">
        <v>0</v>
      </c>
      <c r="K3476" s="62">
        <v>50000</v>
      </c>
      <c r="L3476" s="33" t="e">
        <f>HLOOKUP(B3476,#REF!,1,0)</f>
        <v>#REF!</v>
      </c>
      <c r="M3476" s="33" t="str">
        <f t="shared" si="219"/>
        <v>P&amp;L</v>
      </c>
    </row>
    <row r="3477" spans="1:13" s="33" customFormat="true" ht="12.75" customHeight="true">
      <c r="A3477" s="33" t="str">
        <f t="shared" si="216"/>
        <v>BET - CGS</v>
      </c>
      <c r="B3477" s="33" t="str">
        <f t="shared" si="217"/>
        <v>BET</v>
      </c>
      <c r="C3477" s="33" t="str">
        <f t="shared" si="218"/>
        <v>60002-0000</v>
      </c>
      <c r="D3477" s="283" t="s">
        <v>4356</v>
      </c>
      <c r="E3477" s="64" t="s">
        <v>3837</v>
      </c>
      <c r="F3477" s="64" t="s">
        <v>230</v>
      </c>
      <c r="G3477" s="64" t="s">
        <v>3838</v>
      </c>
      <c r="H3477" s="64" t="s">
        <v>1875</v>
      </c>
      <c r="I3477" s="64" t="s">
        <v>3839</v>
      </c>
      <c r="J3477" s="67">
        <v>0</v>
      </c>
      <c r="K3477" s="62">
        <v>1872.23</v>
      </c>
      <c r="L3477" s="33" t="e">
        <f>HLOOKUP(B3477,#REF!,1,0)</f>
        <v>#REF!</v>
      </c>
      <c r="M3477" s="33" t="str">
        <f t="shared" si="219"/>
        <v>P&amp;L</v>
      </c>
    </row>
    <row r="3478" spans="1:13" s="33" customFormat="true" ht="12.75" customHeight="true">
      <c r="A3478" s="33" t="str">
        <f t="shared" si="216"/>
        <v>BET - CGS</v>
      </c>
      <c r="B3478" s="33" t="str">
        <f t="shared" si="217"/>
        <v>BET</v>
      </c>
      <c r="C3478" s="33" t="str">
        <f t="shared" si="218"/>
        <v>60005-0000</v>
      </c>
      <c r="D3478" s="283" t="s">
        <v>4357</v>
      </c>
      <c r="E3478" s="64" t="s">
        <v>3841</v>
      </c>
      <c r="F3478" s="64" t="s">
        <v>230</v>
      </c>
      <c r="G3478" s="64" t="s">
        <v>3838</v>
      </c>
      <c r="H3478" s="64" t="s">
        <v>1875</v>
      </c>
      <c r="I3478" s="64" t="s">
        <v>3842</v>
      </c>
      <c r="J3478" s="67">
        <v>0</v>
      </c>
      <c r="K3478" s="62">
        <v>48958.12</v>
      </c>
      <c r="L3478" s="33" t="e">
        <f>HLOOKUP(B3478,#REF!,1,0)</f>
        <v>#REF!</v>
      </c>
      <c r="M3478" s="33" t="str">
        <f t="shared" si="219"/>
        <v>P&amp;L</v>
      </c>
    </row>
    <row r="3479" spans="1:13" s="33" customFormat="true" ht="12.75" customHeight="true">
      <c r="A3479" s="33" t="str">
        <f t="shared" si="216"/>
        <v>BET - Interest Expense</v>
      </c>
      <c r="B3479" s="33" t="str">
        <f t="shared" si="217"/>
        <v>BET</v>
      </c>
      <c r="C3479" s="33" t="str">
        <f t="shared" si="218"/>
        <v>60006-0000</v>
      </c>
      <c r="D3479" s="283" t="s">
        <v>4358</v>
      </c>
      <c r="E3479" s="64" t="s">
        <v>3325</v>
      </c>
      <c r="F3479" s="64" t="s">
        <v>230</v>
      </c>
      <c r="G3479" s="64" t="s">
        <v>3844</v>
      </c>
      <c r="H3479" s="64" t="s">
        <v>3327</v>
      </c>
      <c r="I3479" s="64" t="s">
        <v>3328</v>
      </c>
      <c r="J3479" s="67">
        <v>0</v>
      </c>
      <c r="K3479" s="62">
        <v>273139.19</v>
      </c>
      <c r="L3479" s="33" t="e">
        <f>HLOOKUP(B3479,#REF!,1,0)</f>
        <v>#REF!</v>
      </c>
      <c r="M3479" s="33" t="str">
        <f t="shared" si="219"/>
        <v>P&amp;L</v>
      </c>
    </row>
    <row r="3480" spans="1:13" s="33" customFormat="true" ht="12.75" customHeight="true">
      <c r="A3480" s="33" t="str">
        <f t="shared" si="216"/>
        <v>BET - CGS</v>
      </c>
      <c r="B3480" s="33" t="str">
        <f t="shared" si="217"/>
        <v>BET</v>
      </c>
      <c r="C3480" s="33" t="str">
        <f t="shared" si="218"/>
        <v>60007-0000</v>
      </c>
      <c r="D3480" s="283" t="s">
        <v>4359</v>
      </c>
      <c r="E3480" s="64" t="s">
        <v>3846</v>
      </c>
      <c r="F3480" s="64" t="s">
        <v>230</v>
      </c>
      <c r="G3480" s="64" t="s">
        <v>3838</v>
      </c>
      <c r="H3480" s="64" t="s">
        <v>1875</v>
      </c>
      <c r="I3480" s="64" t="s">
        <v>3847</v>
      </c>
      <c r="J3480" s="67">
        <v>0</v>
      </c>
      <c r="K3480" s="62">
        <v>40801</v>
      </c>
      <c r="L3480" s="33" t="e">
        <f>HLOOKUP(B3480,#REF!,1,0)</f>
        <v>#REF!</v>
      </c>
      <c r="M3480" s="33" t="str">
        <f t="shared" si="219"/>
        <v>P&amp;L</v>
      </c>
    </row>
    <row r="3481" spans="1:13" s="33" customFormat="true" ht="12.75" customHeight="true">
      <c r="A3481" s="33" t="str">
        <f t="shared" si="216"/>
        <v>BET - CGS</v>
      </c>
      <c r="B3481" s="33" t="str">
        <f t="shared" si="217"/>
        <v>BET</v>
      </c>
      <c r="C3481" s="33" t="str">
        <f t="shared" si="218"/>
        <v>60008-0000</v>
      </c>
      <c r="D3481" s="283" t="s">
        <v>4360</v>
      </c>
      <c r="E3481" s="64" t="s">
        <v>3849</v>
      </c>
      <c r="F3481" s="64" t="s">
        <v>230</v>
      </c>
      <c r="G3481" s="64" t="s">
        <v>3838</v>
      </c>
      <c r="H3481" s="64" t="s">
        <v>1875</v>
      </c>
      <c r="I3481" s="64" t="s">
        <v>3850</v>
      </c>
      <c r="J3481" s="67">
        <v>0</v>
      </c>
      <c r="K3481" s="62">
        <v>2790.59</v>
      </c>
      <c r="L3481" s="33" t="e">
        <f>HLOOKUP(B3481,#REF!,1,0)</f>
        <v>#REF!</v>
      </c>
      <c r="M3481" s="33" t="str">
        <f t="shared" si="219"/>
        <v>P&amp;L</v>
      </c>
    </row>
    <row r="3482" spans="1:13" s="33" customFormat="true" ht="12.75" customHeight="true">
      <c r="A3482" s="33" t="str">
        <f t="shared" si="216"/>
        <v>BET - CGS</v>
      </c>
      <c r="B3482" s="33" t="str">
        <f t="shared" si="217"/>
        <v>BET</v>
      </c>
      <c r="C3482" s="33" t="str">
        <f t="shared" si="218"/>
        <v>60012-0000</v>
      </c>
      <c r="D3482" s="283" t="s">
        <v>4361</v>
      </c>
      <c r="E3482" s="64" t="s">
        <v>3852</v>
      </c>
      <c r="F3482" s="64" t="s">
        <v>230</v>
      </c>
      <c r="G3482" s="64" t="s">
        <v>3838</v>
      </c>
      <c r="H3482" s="64" t="s">
        <v>1875</v>
      </c>
      <c r="I3482" s="64" t="s">
        <v>3853</v>
      </c>
      <c r="J3482" s="67">
        <v>0</v>
      </c>
      <c r="K3482" s="62">
        <v>55432</v>
      </c>
      <c r="L3482" s="33" t="e">
        <f>HLOOKUP(B3482,#REF!,1,0)</f>
        <v>#REF!</v>
      </c>
      <c r="M3482" s="33" t="str">
        <f t="shared" si="219"/>
        <v>P&amp;L</v>
      </c>
    </row>
    <row r="3483" spans="1:13" s="33" customFormat="true" ht="12.75" customHeight="true">
      <c r="A3483" s="33" t="str">
        <f t="shared" si="216"/>
        <v>BET - CGS</v>
      </c>
      <c r="B3483" s="33" t="str">
        <f t="shared" si="217"/>
        <v>BET</v>
      </c>
      <c r="C3483" s="33" t="str">
        <f t="shared" si="218"/>
        <v>60014-0000</v>
      </c>
      <c r="D3483" s="283" t="s">
        <v>4362</v>
      </c>
      <c r="E3483" s="64" t="s">
        <v>3855</v>
      </c>
      <c r="F3483" s="64" t="s">
        <v>230</v>
      </c>
      <c r="G3483" s="64" t="s">
        <v>3838</v>
      </c>
      <c r="H3483" s="64" t="s">
        <v>1875</v>
      </c>
      <c r="I3483" s="64" t="s">
        <v>3856</v>
      </c>
      <c r="J3483" s="67">
        <v>0</v>
      </c>
      <c r="K3483" s="62">
        <v>40766.97</v>
      </c>
      <c r="L3483" s="33" t="e">
        <f>HLOOKUP(B3483,#REF!,1,0)</f>
        <v>#REF!</v>
      </c>
      <c r="M3483" s="33" t="str">
        <f t="shared" si="219"/>
        <v>P&amp;L</v>
      </c>
    </row>
    <row r="3484" spans="1:13" s="33" customFormat="true" ht="12.75" customHeight="true">
      <c r="A3484" s="33" t="str">
        <f t="shared" si="216"/>
        <v>BET - CGS</v>
      </c>
      <c r="B3484" s="33" t="str">
        <f t="shared" si="217"/>
        <v>BET</v>
      </c>
      <c r="C3484" s="33" t="str">
        <f t="shared" si="218"/>
        <v>60015-0000</v>
      </c>
      <c r="D3484" s="283" t="s">
        <v>4363</v>
      </c>
      <c r="E3484" s="64" t="s">
        <v>3858</v>
      </c>
      <c r="F3484" s="64" t="s">
        <v>230</v>
      </c>
      <c r="G3484" s="64" t="s">
        <v>3838</v>
      </c>
      <c r="H3484" s="64" t="s">
        <v>1875</v>
      </c>
      <c r="I3484" s="64" t="s">
        <v>3859</v>
      </c>
      <c r="J3484" s="67">
        <v>0</v>
      </c>
      <c r="K3484" s="62">
        <v>1369</v>
      </c>
      <c r="L3484" s="33" t="e">
        <f>HLOOKUP(B3484,#REF!,1,0)</f>
        <v>#REF!</v>
      </c>
      <c r="M3484" s="33" t="str">
        <f t="shared" si="219"/>
        <v>P&amp;L</v>
      </c>
    </row>
    <row r="3485" spans="1:13" s="33" customFormat="true" ht="12.75" customHeight="true">
      <c r="A3485" s="33" t="str">
        <f t="shared" si="216"/>
        <v>BET - Other Expenses</v>
      </c>
      <c r="B3485" s="33" t="str">
        <f t="shared" si="217"/>
        <v>BET</v>
      </c>
      <c r="C3485" s="33" t="str">
        <f t="shared" si="218"/>
        <v>61018-0000</v>
      </c>
      <c r="D3485" s="283" t="s">
        <v>4364</v>
      </c>
      <c r="E3485" s="64" t="s">
        <v>3864</v>
      </c>
      <c r="F3485" s="64" t="s">
        <v>230</v>
      </c>
      <c r="G3485" s="64" t="s">
        <v>3838</v>
      </c>
      <c r="H3485" s="64" t="s">
        <v>3865</v>
      </c>
      <c r="I3485" s="64" t="s">
        <v>3866</v>
      </c>
      <c r="J3485" s="67">
        <v>0</v>
      </c>
      <c r="K3485" s="62">
        <v>-22555.56</v>
      </c>
      <c r="L3485" s="33" t="e">
        <f>HLOOKUP(B3485,#REF!,1,0)</f>
        <v>#REF!</v>
      </c>
      <c r="M3485" s="33" t="str">
        <f t="shared" si="219"/>
        <v>P&amp;L</v>
      </c>
    </row>
    <row r="3486" spans="1:13" s="33" customFormat="true" ht="12.75" customHeight="true">
      <c r="A3486" s="33" t="str">
        <f t="shared" si="216"/>
        <v>BET - Income Tax</v>
      </c>
      <c r="B3486" s="33" t="str">
        <f t="shared" si="217"/>
        <v>BET</v>
      </c>
      <c r="C3486" s="33" t="str">
        <f t="shared" si="218"/>
        <v>61019-0000</v>
      </c>
      <c r="D3486" s="283" t="s">
        <v>4365</v>
      </c>
      <c r="E3486" s="64" t="s">
        <v>4041</v>
      </c>
      <c r="F3486" s="64" t="s">
        <v>230</v>
      </c>
      <c r="G3486" s="64" t="s">
        <v>3844</v>
      </c>
      <c r="H3486" s="64" t="s">
        <v>3378</v>
      </c>
      <c r="I3486" s="64" t="s">
        <v>4042</v>
      </c>
      <c r="J3486" s="67">
        <v>0</v>
      </c>
      <c r="K3486" s="62">
        <v>6800</v>
      </c>
      <c r="L3486" s="33" t="e">
        <f>HLOOKUP(B3486,#REF!,1,0)</f>
        <v>#REF!</v>
      </c>
      <c r="M3486" s="33" t="str">
        <f t="shared" si="219"/>
        <v>P&amp;L</v>
      </c>
    </row>
    <row r="3487" spans="1:13" s="33" customFormat="true" ht="12.75" customHeight="true">
      <c r="A3487" s="33" t="str">
        <f t="shared" si="216"/>
        <v>BET - CGS</v>
      </c>
      <c r="B3487" s="33" t="str">
        <f t="shared" si="217"/>
        <v>BET</v>
      </c>
      <c r="C3487" s="33" t="str">
        <f t="shared" si="218"/>
        <v>61023-0000</v>
      </c>
      <c r="D3487" s="283" t="s">
        <v>4366</v>
      </c>
      <c r="E3487" s="64" t="s">
        <v>4367</v>
      </c>
      <c r="F3487" s="64" t="s">
        <v>230</v>
      </c>
      <c r="G3487" s="64" t="s">
        <v>4044</v>
      </c>
      <c r="H3487" s="64" t="s">
        <v>1875</v>
      </c>
      <c r="I3487" s="64" t="s">
        <v>1876</v>
      </c>
      <c r="J3487" s="67">
        <v>0</v>
      </c>
      <c r="K3487" s="62">
        <v>245.27</v>
      </c>
      <c r="L3487" s="33" t="e">
        <f>HLOOKUP(B3487,#REF!,1,0)</f>
        <v>#REF!</v>
      </c>
      <c r="M3487" s="33" t="str">
        <f t="shared" si="219"/>
        <v>P&amp;L</v>
      </c>
    </row>
    <row r="3488" spans="1:13" s="33" customFormat="true" ht="12.75" customHeight="true">
      <c r="A3488" s="33" t="str">
        <f t="shared" si="216"/>
        <v>BRU - Fixed Assets</v>
      </c>
      <c r="B3488" s="33" t="str">
        <f t="shared" si="217"/>
        <v>BRU</v>
      </c>
      <c r="C3488" s="33" t="str">
        <f t="shared" si="218"/>
        <v>15501-0000</v>
      </c>
      <c r="D3488" s="64" t="s">
        <v>4368</v>
      </c>
      <c r="E3488" s="64" t="s">
        <v>2635</v>
      </c>
      <c r="F3488" s="64" t="s">
        <v>230</v>
      </c>
      <c r="G3488" s="64" t="s">
        <v>62</v>
      </c>
      <c r="H3488" s="64" t="s">
        <v>63</v>
      </c>
      <c r="I3488" s="64" t="s">
        <v>64</v>
      </c>
      <c r="J3488" s="67">
        <v>179.52</v>
      </c>
      <c r="K3488" s="62">
        <v>704.56</v>
      </c>
      <c r="L3488" s="33" t="e">
        <f>HLOOKUP(B3488,#REF!,1,0)</f>
        <v>#REF!</v>
      </c>
      <c r="M3488" s="33" t="str">
        <f t="shared" si="219"/>
        <v>BS</v>
      </c>
    </row>
    <row r="3489" spans="1:13" s="33" customFormat="true" ht="12.75" customHeight="true">
      <c r="A3489" s="33" t="str">
        <f t="shared" si="216"/>
        <v>BRU - Prepaid Income</v>
      </c>
      <c r="B3489" s="33" t="str">
        <f t="shared" si="217"/>
        <v>BRU</v>
      </c>
      <c r="C3489" s="33" t="str">
        <f t="shared" si="218"/>
        <v>25300-0000</v>
      </c>
      <c r="D3489" s="64" t="s">
        <v>4369</v>
      </c>
      <c r="E3489" s="64" t="s">
        <v>3677</v>
      </c>
      <c r="F3489" s="64" t="s">
        <v>230</v>
      </c>
      <c r="G3489" s="64" t="s">
        <v>3678</v>
      </c>
      <c r="H3489" s="64" t="s">
        <v>3881</v>
      </c>
      <c r="I3489" s="64" t="s">
        <v>102</v>
      </c>
      <c r="J3489" s="67">
        <v>-2725.94</v>
      </c>
      <c r="K3489" s="62">
        <v>-2725.94</v>
      </c>
      <c r="L3489" s="33" t="e">
        <f>HLOOKUP(B3489,#REF!,1,0)</f>
        <v>#REF!</v>
      </c>
      <c r="M3489" s="33" t="str">
        <f t="shared" si="219"/>
        <v>BS</v>
      </c>
    </row>
    <row r="3490" spans="1:13" s="33" customFormat="true" ht="12.75" customHeight="true">
      <c r="A3490" s="33" t="str">
        <f t="shared" si="216"/>
        <v>BRU - Revenue</v>
      </c>
      <c r="B3490" s="33" t="str">
        <f t="shared" si="217"/>
        <v>BRU</v>
      </c>
      <c r="C3490" s="33" t="str">
        <f t="shared" si="218"/>
        <v>40110-0000</v>
      </c>
      <c r="D3490" s="64" t="s">
        <v>4370</v>
      </c>
      <c r="E3490" s="64" t="s">
        <v>3683</v>
      </c>
      <c r="F3490" s="64" t="s">
        <v>230</v>
      </c>
      <c r="G3490" s="64" t="s">
        <v>3684</v>
      </c>
      <c r="H3490" s="64" t="s">
        <v>2871</v>
      </c>
      <c r="I3490" s="64" t="s">
        <v>3685</v>
      </c>
      <c r="J3490" s="67">
        <v>-19795.92</v>
      </c>
      <c r="K3490" s="62">
        <v>-197959.2</v>
      </c>
      <c r="L3490" s="33" t="e">
        <f>HLOOKUP(B3490,#REF!,1,0)</f>
        <v>#REF!</v>
      </c>
      <c r="M3490" s="33" t="str">
        <f t="shared" si="219"/>
        <v>P&amp;L</v>
      </c>
    </row>
    <row r="3491" spans="1:13" s="33" customFormat="true" ht="12.75" customHeight="true">
      <c r="A3491" s="33" t="str">
        <f t="shared" si="216"/>
        <v>BRU - Revenue</v>
      </c>
      <c r="B3491" s="33" t="str">
        <f t="shared" si="217"/>
        <v>BRU</v>
      </c>
      <c r="C3491" s="33" t="str">
        <f t="shared" si="218"/>
        <v>40120-0000</v>
      </c>
      <c r="D3491" s="64" t="s">
        <v>4371</v>
      </c>
      <c r="E3491" s="64" t="s">
        <v>3687</v>
      </c>
      <c r="F3491" s="64" t="s">
        <v>230</v>
      </c>
      <c r="G3491" s="64" t="s">
        <v>3684</v>
      </c>
      <c r="H3491" s="64" t="s">
        <v>2871</v>
      </c>
      <c r="I3491" s="64" t="s">
        <v>3688</v>
      </c>
      <c r="J3491" s="67">
        <v>-1647.83</v>
      </c>
      <c r="K3491" s="62">
        <v>-11330.99</v>
      </c>
      <c r="L3491" s="33" t="e">
        <f>HLOOKUP(B3491,#REF!,1,0)</f>
        <v>#REF!</v>
      </c>
      <c r="M3491" s="33" t="str">
        <f t="shared" si="219"/>
        <v>P&amp;L</v>
      </c>
    </row>
    <row r="3492" spans="1:13" s="33" customFormat="true" ht="12.75" customHeight="true">
      <c r="A3492" s="33" t="str">
        <f t="shared" si="216"/>
        <v>BRU - Revenue</v>
      </c>
      <c r="B3492" s="33" t="str">
        <f t="shared" si="217"/>
        <v>BRU</v>
      </c>
      <c r="C3492" s="33" t="str">
        <f t="shared" si="218"/>
        <v>40130-0000</v>
      </c>
      <c r="D3492" s="64" t="s">
        <v>4372</v>
      </c>
      <c r="E3492" s="64" t="s">
        <v>3690</v>
      </c>
      <c r="F3492" s="64" t="s">
        <v>230</v>
      </c>
      <c r="G3492" s="64" t="s">
        <v>3684</v>
      </c>
      <c r="H3492" s="64" t="s">
        <v>2871</v>
      </c>
      <c r="I3492" s="64" t="s">
        <v>3691</v>
      </c>
      <c r="J3492" s="67">
        <v>0</v>
      </c>
      <c r="K3492" s="62">
        <v>0</v>
      </c>
      <c r="L3492" s="33" t="e">
        <f>HLOOKUP(B3492,#REF!,1,0)</f>
        <v>#REF!</v>
      </c>
      <c r="M3492" s="33" t="str">
        <f t="shared" si="219"/>
        <v>P&amp;L</v>
      </c>
    </row>
    <row r="3493" spans="1:13" s="33" customFormat="true" ht="12.75" customHeight="true">
      <c r="A3493" s="33" t="str">
        <f t="shared" si="216"/>
        <v>BRU - Revenue</v>
      </c>
      <c r="B3493" s="33" t="str">
        <f t="shared" si="217"/>
        <v>BRU</v>
      </c>
      <c r="C3493" s="33" t="str">
        <f t="shared" si="218"/>
        <v>41110-0000</v>
      </c>
      <c r="D3493" s="64" t="s">
        <v>4373</v>
      </c>
      <c r="E3493" s="64" t="s">
        <v>3693</v>
      </c>
      <c r="F3493" s="64" t="s">
        <v>230</v>
      </c>
      <c r="G3493" s="64" t="s">
        <v>3694</v>
      </c>
      <c r="H3493" s="64" t="s">
        <v>2871</v>
      </c>
      <c r="I3493" s="64" t="s">
        <v>3695</v>
      </c>
      <c r="J3493" s="67">
        <v>0</v>
      </c>
      <c r="K3493" s="62">
        <v>6483.85</v>
      </c>
      <c r="L3493" s="33" t="e">
        <f>HLOOKUP(B3493,#REF!,1,0)</f>
        <v>#REF!</v>
      </c>
      <c r="M3493" s="33" t="str">
        <f t="shared" si="219"/>
        <v>P&amp;L</v>
      </c>
    </row>
    <row r="3494" spans="1:13" s="33" customFormat="true" ht="12.75" customHeight="true">
      <c r="A3494" s="33" t="str">
        <f t="shared" si="216"/>
        <v>BRU - Revenue</v>
      </c>
      <c r="B3494" s="33" t="str">
        <f t="shared" si="217"/>
        <v>BRU</v>
      </c>
      <c r="C3494" s="33" t="str">
        <f t="shared" si="218"/>
        <v>41121-0000</v>
      </c>
      <c r="D3494" s="64" t="s">
        <v>4374</v>
      </c>
      <c r="E3494" s="64" t="s">
        <v>4146</v>
      </c>
      <c r="F3494" s="64" t="s">
        <v>230</v>
      </c>
      <c r="G3494" s="64" t="s">
        <v>3694</v>
      </c>
      <c r="H3494" s="64" t="s">
        <v>2871</v>
      </c>
      <c r="I3494" s="64" t="s">
        <v>3698</v>
      </c>
      <c r="J3494" s="67">
        <v>5154.72</v>
      </c>
      <c r="K3494" s="62">
        <v>15990.19</v>
      </c>
      <c r="L3494" s="33" t="e">
        <f>HLOOKUP(B3494,#REF!,1,0)</f>
        <v>#REF!</v>
      </c>
      <c r="M3494" s="33" t="str">
        <f t="shared" si="219"/>
        <v>P&amp;L</v>
      </c>
    </row>
    <row r="3495" spans="1:13" s="33" customFormat="true" ht="12.75" customHeight="true">
      <c r="A3495" s="33" t="str">
        <f t="shared" si="216"/>
        <v>BRU - Revenue</v>
      </c>
      <c r="B3495" s="33" t="str">
        <f t="shared" si="217"/>
        <v>BRU</v>
      </c>
      <c r="C3495" s="33" t="str">
        <f t="shared" si="218"/>
        <v>41122-0000</v>
      </c>
      <c r="D3495" s="64" t="s">
        <v>4375</v>
      </c>
      <c r="E3495" s="64" t="s">
        <v>3700</v>
      </c>
      <c r="F3495" s="64" t="s">
        <v>230</v>
      </c>
      <c r="G3495" s="64" t="s">
        <v>3694</v>
      </c>
      <c r="H3495" s="64" t="s">
        <v>2871</v>
      </c>
      <c r="I3495" s="64" t="s">
        <v>3701</v>
      </c>
      <c r="J3495" s="67">
        <v>0</v>
      </c>
      <c r="K3495" s="62">
        <v>-10726.05</v>
      </c>
      <c r="L3495" s="33" t="e">
        <f>HLOOKUP(B3495,#REF!,1,0)</f>
        <v>#REF!</v>
      </c>
      <c r="M3495" s="33" t="str">
        <f t="shared" si="219"/>
        <v>P&amp;L</v>
      </c>
    </row>
    <row r="3496" spans="1:13" s="33" customFormat="true" ht="12.75" customHeight="true">
      <c r="A3496" s="33" t="str">
        <f t="shared" si="216"/>
        <v>BRU - Revenue</v>
      </c>
      <c r="B3496" s="33" t="str">
        <f t="shared" si="217"/>
        <v>BRU</v>
      </c>
      <c r="C3496" s="33" t="str">
        <f t="shared" si="218"/>
        <v>41130-0000</v>
      </c>
      <c r="D3496" s="64" t="s">
        <v>4376</v>
      </c>
      <c r="E3496" s="64" t="s">
        <v>3703</v>
      </c>
      <c r="F3496" s="64" t="s">
        <v>230</v>
      </c>
      <c r="G3496" s="64" t="s">
        <v>3694</v>
      </c>
      <c r="H3496" s="64" t="s">
        <v>2871</v>
      </c>
      <c r="I3496" s="64" t="s">
        <v>3704</v>
      </c>
      <c r="J3496" s="67">
        <v>100</v>
      </c>
      <c r="K3496" s="62">
        <v>843.33</v>
      </c>
      <c r="L3496" s="33" t="e">
        <f>HLOOKUP(B3496,#REF!,1,0)</f>
        <v>#REF!</v>
      </c>
      <c r="M3496" s="33" t="str">
        <f t="shared" si="219"/>
        <v>P&amp;L</v>
      </c>
    </row>
    <row r="3497" spans="1:13" s="33" customFormat="true" ht="12.75" customHeight="true">
      <c r="A3497" s="33" t="str">
        <f t="shared" si="216"/>
        <v>BRU - Revenue</v>
      </c>
      <c r="B3497" s="33" t="str">
        <f t="shared" si="217"/>
        <v>BRU</v>
      </c>
      <c r="C3497" s="33" t="str">
        <f t="shared" si="218"/>
        <v>41140-0000</v>
      </c>
      <c r="D3497" s="64" t="s">
        <v>4377</v>
      </c>
      <c r="E3497" s="64" t="s">
        <v>3706</v>
      </c>
      <c r="F3497" s="64" t="s">
        <v>230</v>
      </c>
      <c r="G3497" s="64" t="s">
        <v>3694</v>
      </c>
      <c r="H3497" s="64" t="s">
        <v>2871</v>
      </c>
      <c r="I3497" s="64" t="s">
        <v>3707</v>
      </c>
      <c r="J3497" s="67">
        <v>0</v>
      </c>
      <c r="K3497" s="62">
        <v>0</v>
      </c>
      <c r="L3497" s="33" t="e">
        <f>HLOOKUP(B3497,#REF!,1,0)</f>
        <v>#REF!</v>
      </c>
      <c r="M3497" s="33" t="str">
        <f t="shared" si="219"/>
        <v>P&amp;L</v>
      </c>
    </row>
    <row r="3498" spans="1:13" s="33" customFormat="true" ht="12.75" customHeight="true">
      <c r="A3498" s="33" t="str">
        <f t="shared" si="216"/>
        <v>BRU - Revenue</v>
      </c>
      <c r="B3498" s="33" t="str">
        <f t="shared" si="217"/>
        <v>BRU</v>
      </c>
      <c r="C3498" s="33" t="str">
        <f t="shared" si="218"/>
        <v>41150-0000</v>
      </c>
      <c r="D3498" s="64" t="s">
        <v>4378</v>
      </c>
      <c r="E3498" s="64" t="s">
        <v>3709</v>
      </c>
      <c r="F3498" s="64" t="s">
        <v>230</v>
      </c>
      <c r="G3498" s="64" t="s">
        <v>3694</v>
      </c>
      <c r="H3498" s="64" t="s">
        <v>2871</v>
      </c>
      <c r="I3498" s="64" t="s">
        <v>3710</v>
      </c>
      <c r="J3498" s="67">
        <v>0</v>
      </c>
      <c r="K3498" s="62">
        <v>0</v>
      </c>
      <c r="L3498" s="33" t="e">
        <f>HLOOKUP(B3498,#REF!,1,0)</f>
        <v>#REF!</v>
      </c>
      <c r="M3498" s="33" t="str">
        <f t="shared" si="219"/>
        <v>P&amp;L</v>
      </c>
    </row>
    <row r="3499" spans="1:13" s="33" customFormat="true" ht="12.75" customHeight="true">
      <c r="A3499" s="33" t="str">
        <f t="shared" si="216"/>
        <v>BRU - Revenue</v>
      </c>
      <c r="B3499" s="33" t="str">
        <f t="shared" si="217"/>
        <v>BRU</v>
      </c>
      <c r="C3499" s="33" t="str">
        <f t="shared" si="218"/>
        <v>41160-0000</v>
      </c>
      <c r="D3499" s="64" t="s">
        <v>4379</v>
      </c>
      <c r="E3499" s="64" t="s">
        <v>3957</v>
      </c>
      <c r="F3499" s="64" t="s">
        <v>230</v>
      </c>
      <c r="G3499" s="64" t="s">
        <v>3694</v>
      </c>
      <c r="H3499" s="64" t="s">
        <v>2871</v>
      </c>
      <c r="I3499" s="64" t="s">
        <v>3701</v>
      </c>
      <c r="J3499" s="67">
        <v>0</v>
      </c>
      <c r="K3499" s="62">
        <v>-13552.82</v>
      </c>
      <c r="L3499" s="33" t="e">
        <f>HLOOKUP(B3499,#REF!,1,0)</f>
        <v>#REF!</v>
      </c>
      <c r="M3499" s="33" t="str">
        <f t="shared" si="219"/>
        <v>P&amp;L</v>
      </c>
    </row>
    <row r="3500" spans="1:13" s="33" customFormat="true" ht="12.75" customHeight="true">
      <c r="A3500" s="33" t="str">
        <f t="shared" si="216"/>
        <v>BRU - Revenue</v>
      </c>
      <c r="B3500" s="33" t="str">
        <f t="shared" si="217"/>
        <v>BRU</v>
      </c>
      <c r="C3500" s="33" t="str">
        <f t="shared" si="218"/>
        <v>41999-0000</v>
      </c>
      <c r="D3500" s="64" t="s">
        <v>4380</v>
      </c>
      <c r="E3500" s="64" t="s">
        <v>3712</v>
      </c>
      <c r="F3500" s="64" t="s">
        <v>230</v>
      </c>
      <c r="G3500" s="64" t="s">
        <v>3713</v>
      </c>
      <c r="H3500" s="64" t="s">
        <v>2871</v>
      </c>
      <c r="I3500" s="64" t="s">
        <v>3714</v>
      </c>
      <c r="J3500" s="67">
        <v>16189.03</v>
      </c>
      <c r="K3500" s="62">
        <v>210251.69</v>
      </c>
      <c r="L3500" s="33" t="e">
        <f>HLOOKUP(B3500,#REF!,1,0)</f>
        <v>#REF!</v>
      </c>
      <c r="M3500" s="33" t="str">
        <f t="shared" si="219"/>
        <v>P&amp;L</v>
      </c>
    </row>
    <row r="3501" spans="1:13" s="33" customFormat="true" ht="12.75" customHeight="true">
      <c r="A3501" s="33" t="str">
        <f t="shared" si="216"/>
        <v>BRU - Revenue</v>
      </c>
      <c r="B3501" s="33" t="str">
        <f t="shared" si="217"/>
        <v>BRU</v>
      </c>
      <c r="C3501" s="33" t="str">
        <f t="shared" si="218"/>
        <v>47400-0000</v>
      </c>
      <c r="D3501" s="64" t="s">
        <v>4381</v>
      </c>
      <c r="E3501" s="64" t="s">
        <v>3716</v>
      </c>
      <c r="F3501" s="64" t="s">
        <v>230</v>
      </c>
      <c r="G3501" s="64" t="s">
        <v>3717</v>
      </c>
      <c r="H3501" s="64" t="s">
        <v>2871</v>
      </c>
      <c r="I3501" s="64" t="s">
        <v>3718</v>
      </c>
      <c r="J3501" s="67">
        <v>-16189.03</v>
      </c>
      <c r="K3501" s="62">
        <v>-210251.69</v>
      </c>
      <c r="L3501" s="33" t="e">
        <f>HLOOKUP(B3501,#REF!,1,0)</f>
        <v>#REF!</v>
      </c>
      <c r="M3501" s="33" t="str">
        <f t="shared" si="219"/>
        <v>P&amp;L</v>
      </c>
    </row>
    <row r="3502" spans="1:13" s="33" customFormat="true" ht="12.75" customHeight="true">
      <c r="A3502" s="33" t="str">
        <f t="shared" si="216"/>
        <v>BRU - Revenue</v>
      </c>
      <c r="B3502" s="33" t="str">
        <f t="shared" si="217"/>
        <v>BRU</v>
      </c>
      <c r="C3502" s="33" t="str">
        <f t="shared" si="218"/>
        <v>47420-0000</v>
      </c>
      <c r="D3502" s="64" t="s">
        <v>4382</v>
      </c>
      <c r="E3502" s="64" t="s">
        <v>4154</v>
      </c>
      <c r="F3502" s="64" t="s">
        <v>230</v>
      </c>
      <c r="G3502" s="64" t="s">
        <v>3717</v>
      </c>
      <c r="H3502" s="64" t="s">
        <v>2871</v>
      </c>
      <c r="I3502" s="64" t="s">
        <v>4155</v>
      </c>
      <c r="J3502" s="67">
        <v>-46.98</v>
      </c>
      <c r="K3502" s="62">
        <v>-664.68</v>
      </c>
      <c r="L3502" s="33" t="e">
        <f>HLOOKUP(B3502,#REF!,1,0)</f>
        <v>#REF!</v>
      </c>
      <c r="M3502" s="33" t="str">
        <f t="shared" si="219"/>
        <v>P&amp;L</v>
      </c>
    </row>
    <row r="3503" spans="1:13" s="33" customFormat="true" ht="12.75" customHeight="true">
      <c r="A3503" s="33" t="str">
        <f t="shared" si="216"/>
        <v>BRU - Revenue</v>
      </c>
      <c r="B3503" s="33" t="str">
        <f t="shared" si="217"/>
        <v>BRU</v>
      </c>
      <c r="C3503" s="33" t="str">
        <f t="shared" si="218"/>
        <v>47460-0000</v>
      </c>
      <c r="D3503" s="64" t="s">
        <v>4383</v>
      </c>
      <c r="E3503" s="64" t="s">
        <v>3726</v>
      </c>
      <c r="F3503" s="64" t="s">
        <v>230</v>
      </c>
      <c r="G3503" s="64" t="s">
        <v>3717</v>
      </c>
      <c r="H3503" s="64" t="s">
        <v>2871</v>
      </c>
      <c r="I3503" s="64" t="s">
        <v>3727</v>
      </c>
      <c r="J3503" s="67">
        <v>0</v>
      </c>
      <c r="K3503" s="62">
        <v>-25</v>
      </c>
      <c r="L3503" s="33" t="e">
        <f>HLOOKUP(B3503,#REF!,1,0)</f>
        <v>#REF!</v>
      </c>
      <c r="M3503" s="33" t="str">
        <f t="shared" si="219"/>
        <v>P&amp;L</v>
      </c>
    </row>
    <row r="3504" spans="1:13" s="33" customFormat="true" ht="12.75" customHeight="true">
      <c r="A3504" s="33" t="str">
        <f t="shared" si="216"/>
        <v>BRU - Revenue</v>
      </c>
      <c r="B3504" s="33" t="str">
        <f t="shared" si="217"/>
        <v>BRU</v>
      </c>
      <c r="C3504" s="33" t="str">
        <f t="shared" si="218"/>
        <v>47480-0000</v>
      </c>
      <c r="D3504" s="64" t="s">
        <v>4384</v>
      </c>
      <c r="E3504" s="64" t="s">
        <v>3729</v>
      </c>
      <c r="F3504" s="64" t="s">
        <v>230</v>
      </c>
      <c r="G3504" s="64" t="s">
        <v>3717</v>
      </c>
      <c r="H3504" s="64" t="s">
        <v>2871</v>
      </c>
      <c r="I3504" s="64" t="s">
        <v>3721</v>
      </c>
      <c r="J3504" s="67">
        <v>0</v>
      </c>
      <c r="K3504" s="62">
        <v>-780</v>
      </c>
      <c r="L3504" s="33" t="e">
        <f>HLOOKUP(B3504,#REF!,1,0)</f>
        <v>#REF!</v>
      </c>
      <c r="M3504" s="33" t="str">
        <f t="shared" si="219"/>
        <v>P&amp;L</v>
      </c>
    </row>
    <row r="3505" spans="1:13" s="33" customFormat="true" ht="12.75" customHeight="true">
      <c r="A3505" s="33" t="str">
        <f t="shared" si="216"/>
        <v>BRU - Revenue</v>
      </c>
      <c r="B3505" s="33" t="str">
        <f t="shared" si="217"/>
        <v>BRU</v>
      </c>
      <c r="C3505" s="33" t="str">
        <f t="shared" si="218"/>
        <v>47492-0000</v>
      </c>
      <c r="D3505" s="64" t="s">
        <v>4385</v>
      </c>
      <c r="E3505" s="64" t="s">
        <v>3736</v>
      </c>
      <c r="F3505" s="64" t="s">
        <v>230</v>
      </c>
      <c r="G3505" s="64" t="s">
        <v>3717</v>
      </c>
      <c r="H3505" s="64" t="s">
        <v>2871</v>
      </c>
      <c r="I3505" s="64" t="s">
        <v>3737</v>
      </c>
      <c r="J3505" s="67">
        <v>-30</v>
      </c>
      <c r="K3505" s="62">
        <v>-440</v>
      </c>
      <c r="L3505" s="33" t="e">
        <f>HLOOKUP(B3505,#REF!,1,0)</f>
        <v>#REF!</v>
      </c>
      <c r="M3505" s="33" t="str">
        <f t="shared" si="219"/>
        <v>P&amp;L</v>
      </c>
    </row>
    <row r="3506" spans="1:13" s="33" customFormat="true" ht="12.75" customHeight="true">
      <c r="A3506" s="33" t="str">
        <f t="shared" si="216"/>
        <v>BRU - CGS</v>
      </c>
      <c r="B3506" s="33" t="str">
        <f t="shared" si="217"/>
        <v>BRU</v>
      </c>
      <c r="C3506" s="33" t="str">
        <f t="shared" si="218"/>
        <v>51006-0000</v>
      </c>
      <c r="D3506" s="64" t="s">
        <v>4386</v>
      </c>
      <c r="E3506" s="64" t="s">
        <v>3739</v>
      </c>
      <c r="F3506" s="64" t="s">
        <v>230</v>
      </c>
      <c r="G3506" s="64" t="s">
        <v>3740</v>
      </c>
      <c r="H3506" s="64" t="s">
        <v>1875</v>
      </c>
      <c r="I3506" s="64" t="s">
        <v>3741</v>
      </c>
      <c r="J3506" s="67">
        <v>0</v>
      </c>
      <c r="K3506" s="62">
        <v>234.27</v>
      </c>
      <c r="L3506" s="33" t="e">
        <f>HLOOKUP(B3506,#REF!,1,0)</f>
        <v>#REF!</v>
      </c>
      <c r="M3506" s="33" t="str">
        <f t="shared" si="219"/>
        <v>P&amp;L</v>
      </c>
    </row>
    <row r="3507" spans="1:13" s="33" customFormat="true" ht="12.75" customHeight="true">
      <c r="A3507" s="33" t="str">
        <f t="shared" si="216"/>
        <v>BRU - CGS</v>
      </c>
      <c r="B3507" s="33" t="str">
        <f t="shared" si="217"/>
        <v>BRU</v>
      </c>
      <c r="C3507" s="33" t="str">
        <f t="shared" si="218"/>
        <v>51008-0000</v>
      </c>
      <c r="D3507" s="64" t="s">
        <v>4387</v>
      </c>
      <c r="E3507" s="64" t="s">
        <v>3743</v>
      </c>
      <c r="F3507" s="64" t="s">
        <v>230</v>
      </c>
      <c r="G3507" s="64" t="s">
        <v>3740</v>
      </c>
      <c r="H3507" s="64" t="s">
        <v>1875</v>
      </c>
      <c r="I3507" s="64" t="s">
        <v>3744</v>
      </c>
      <c r="J3507" s="67">
        <v>185.99</v>
      </c>
      <c r="K3507" s="62">
        <v>876.09</v>
      </c>
      <c r="L3507" s="33" t="e">
        <f>HLOOKUP(B3507,#REF!,1,0)</f>
        <v>#REF!</v>
      </c>
      <c r="M3507" s="33" t="str">
        <f t="shared" si="219"/>
        <v>P&amp;L</v>
      </c>
    </row>
    <row r="3508" spans="1:13" s="33" customFormat="true" ht="12.75" customHeight="true">
      <c r="A3508" s="33" t="str">
        <f t="shared" si="216"/>
        <v>BRU - CGS</v>
      </c>
      <c r="B3508" s="33" t="str">
        <f t="shared" si="217"/>
        <v>BRU</v>
      </c>
      <c r="C3508" s="33" t="str">
        <f t="shared" si="218"/>
        <v>51009-0000</v>
      </c>
      <c r="D3508" s="64" t="s">
        <v>4388</v>
      </c>
      <c r="E3508" s="64" t="s">
        <v>3746</v>
      </c>
      <c r="F3508" s="64" t="s">
        <v>230</v>
      </c>
      <c r="G3508" s="64" t="s">
        <v>3740</v>
      </c>
      <c r="H3508" s="64" t="s">
        <v>1875</v>
      </c>
      <c r="I3508" s="64" t="s">
        <v>3747</v>
      </c>
      <c r="J3508" s="67">
        <v>0</v>
      </c>
      <c r="K3508" s="62">
        <v>256.61</v>
      </c>
      <c r="L3508" s="33" t="e">
        <f>HLOOKUP(B3508,#REF!,1,0)</f>
        <v>#REF!</v>
      </c>
      <c r="M3508" s="33" t="str">
        <f t="shared" si="219"/>
        <v>P&amp;L</v>
      </c>
    </row>
    <row r="3509" spans="1:13" s="33" customFormat="true" ht="12.75" customHeight="true">
      <c r="A3509" s="33" t="str">
        <f t="shared" si="216"/>
        <v>BRU - CGS</v>
      </c>
      <c r="B3509" s="33" t="str">
        <f t="shared" si="217"/>
        <v>BRU</v>
      </c>
      <c r="C3509" s="33" t="str">
        <f t="shared" si="218"/>
        <v>51011-0000</v>
      </c>
      <c r="D3509" s="64" t="s">
        <v>4389</v>
      </c>
      <c r="E3509" s="64" t="s">
        <v>3749</v>
      </c>
      <c r="F3509" s="64" t="s">
        <v>230</v>
      </c>
      <c r="G3509" s="64" t="s">
        <v>3740</v>
      </c>
      <c r="H3509" s="64" t="s">
        <v>1875</v>
      </c>
      <c r="I3509" s="64" t="s">
        <v>3750</v>
      </c>
      <c r="J3509" s="67">
        <v>300</v>
      </c>
      <c r="K3509" s="62">
        <v>3050</v>
      </c>
      <c r="L3509" s="33" t="e">
        <f>HLOOKUP(B3509,#REF!,1,0)</f>
        <v>#REF!</v>
      </c>
      <c r="M3509" s="33" t="str">
        <f t="shared" si="219"/>
        <v>P&amp;L</v>
      </c>
    </row>
    <row r="3510" spans="1:13" s="33" customFormat="true" ht="12.75" customHeight="true">
      <c r="A3510" s="33" t="str">
        <f t="shared" si="216"/>
        <v>BRU - CGS</v>
      </c>
      <c r="B3510" s="33" t="str">
        <f t="shared" si="217"/>
        <v>BRU</v>
      </c>
      <c r="C3510" s="33" t="str">
        <f t="shared" si="218"/>
        <v>51012-0000</v>
      </c>
      <c r="D3510" s="64" t="s">
        <v>4390</v>
      </c>
      <c r="E3510" s="64" t="s">
        <v>3752</v>
      </c>
      <c r="F3510" s="64" t="s">
        <v>230</v>
      </c>
      <c r="G3510" s="64" t="s">
        <v>3740</v>
      </c>
      <c r="H3510" s="64" t="s">
        <v>1875</v>
      </c>
      <c r="I3510" s="64" t="s">
        <v>3753</v>
      </c>
      <c r="J3510" s="67">
        <v>50</v>
      </c>
      <c r="K3510" s="62">
        <v>400</v>
      </c>
      <c r="L3510" s="33" t="e">
        <f>HLOOKUP(B3510,#REF!,1,0)</f>
        <v>#REF!</v>
      </c>
      <c r="M3510" s="33" t="str">
        <f t="shared" si="219"/>
        <v>P&amp;L</v>
      </c>
    </row>
    <row r="3511" spans="1:13" s="33" customFormat="true" ht="12.75" customHeight="true">
      <c r="A3511" s="33" t="str">
        <f t="shared" si="216"/>
        <v>BRU - CGS</v>
      </c>
      <c r="B3511" s="33" t="str">
        <f t="shared" si="217"/>
        <v>BRU</v>
      </c>
      <c r="C3511" s="33" t="str">
        <f t="shared" si="218"/>
        <v>51013-0000</v>
      </c>
      <c r="D3511" s="64" t="s">
        <v>4391</v>
      </c>
      <c r="E3511" s="64" t="s">
        <v>3979</v>
      </c>
      <c r="F3511" s="64" t="s">
        <v>230</v>
      </c>
      <c r="G3511" s="64" t="s">
        <v>3740</v>
      </c>
      <c r="H3511" s="64" t="s">
        <v>1875</v>
      </c>
      <c r="I3511" s="64" t="s">
        <v>3980</v>
      </c>
      <c r="J3511" s="67">
        <v>0</v>
      </c>
      <c r="K3511" s="62">
        <v>2225</v>
      </c>
      <c r="L3511" s="33" t="e">
        <f>HLOOKUP(B3511,#REF!,1,0)</f>
        <v>#REF!</v>
      </c>
      <c r="M3511" s="33" t="str">
        <f t="shared" si="219"/>
        <v>P&amp;L</v>
      </c>
    </row>
    <row r="3512" spans="1:13" s="33" customFormat="true" ht="12.75" customHeight="true">
      <c r="A3512" s="33" t="str">
        <f t="shared" si="216"/>
        <v>BRU - CGS</v>
      </c>
      <c r="B3512" s="33" t="str">
        <f t="shared" si="217"/>
        <v>BRU</v>
      </c>
      <c r="C3512" s="33" t="str">
        <f t="shared" si="218"/>
        <v>51020-0000</v>
      </c>
      <c r="D3512" s="64" t="s">
        <v>4392</v>
      </c>
      <c r="E3512" s="64" t="s">
        <v>3763</v>
      </c>
      <c r="F3512" s="64" t="s">
        <v>230</v>
      </c>
      <c r="G3512" s="64" t="s">
        <v>3740</v>
      </c>
      <c r="H3512" s="64" t="s">
        <v>1875</v>
      </c>
      <c r="I3512" s="64" t="s">
        <v>3345</v>
      </c>
      <c r="J3512" s="67">
        <v>0</v>
      </c>
      <c r="K3512" s="62">
        <v>13.33</v>
      </c>
      <c r="L3512" s="33" t="e">
        <f>HLOOKUP(B3512,#REF!,1,0)</f>
        <v>#REF!</v>
      </c>
      <c r="M3512" s="33" t="str">
        <f t="shared" si="219"/>
        <v>P&amp;L</v>
      </c>
    </row>
    <row r="3513" spans="1:13" s="33" customFormat="true" ht="12.75" customHeight="true">
      <c r="A3513" s="33" t="str">
        <f t="shared" si="216"/>
        <v>BRU - CGS</v>
      </c>
      <c r="B3513" s="33" t="str">
        <f t="shared" si="217"/>
        <v>BRU</v>
      </c>
      <c r="C3513" s="33" t="str">
        <f t="shared" si="218"/>
        <v>52001-0000</v>
      </c>
      <c r="D3513" s="64" t="s">
        <v>4393</v>
      </c>
      <c r="E3513" s="64" t="s">
        <v>3768</v>
      </c>
      <c r="F3513" s="64" t="s">
        <v>230</v>
      </c>
      <c r="G3513" s="64" t="s">
        <v>3769</v>
      </c>
      <c r="H3513" s="64" t="s">
        <v>1875</v>
      </c>
      <c r="I3513" s="64" t="s">
        <v>3770</v>
      </c>
      <c r="J3513" s="67">
        <v>0</v>
      </c>
      <c r="K3513" s="62">
        <v>213.56</v>
      </c>
      <c r="L3513" s="33" t="e">
        <f>HLOOKUP(B3513,#REF!,1,0)</f>
        <v>#REF!</v>
      </c>
      <c r="M3513" s="33" t="str">
        <f t="shared" si="219"/>
        <v>P&amp;L</v>
      </c>
    </row>
    <row r="3514" spans="1:13" s="33" customFormat="true" ht="12.75" customHeight="true">
      <c r="A3514" s="33" t="str">
        <f t="shared" si="216"/>
        <v>BRU - CGS</v>
      </c>
      <c r="B3514" s="33" t="str">
        <f t="shared" si="217"/>
        <v>BRU</v>
      </c>
      <c r="C3514" s="33" t="str">
        <f t="shared" si="218"/>
        <v>52003-0000</v>
      </c>
      <c r="D3514" s="64" t="s">
        <v>4394</v>
      </c>
      <c r="E3514" s="64" t="s">
        <v>3772</v>
      </c>
      <c r="F3514" s="64" t="s">
        <v>230</v>
      </c>
      <c r="G3514" s="64" t="s">
        <v>3769</v>
      </c>
      <c r="H3514" s="64" t="s">
        <v>1875</v>
      </c>
      <c r="I3514" s="64" t="s">
        <v>3773</v>
      </c>
      <c r="J3514" s="67">
        <v>0</v>
      </c>
      <c r="K3514" s="62">
        <v>275</v>
      </c>
      <c r="L3514" s="33" t="e">
        <f>HLOOKUP(B3514,#REF!,1,0)</f>
        <v>#REF!</v>
      </c>
      <c r="M3514" s="33" t="str">
        <f t="shared" si="219"/>
        <v>P&amp;L</v>
      </c>
    </row>
    <row r="3515" spans="1:13" s="33" customFormat="true" ht="12.75" customHeight="true">
      <c r="A3515" s="33" t="str">
        <f t="shared" si="216"/>
        <v>BRU - CGS</v>
      </c>
      <c r="B3515" s="33" t="str">
        <f t="shared" si="217"/>
        <v>BRU</v>
      </c>
      <c r="C3515" s="33" t="str">
        <f t="shared" si="218"/>
        <v>52006-0000</v>
      </c>
      <c r="D3515" s="64" t="s">
        <v>4395</v>
      </c>
      <c r="E3515" s="64" t="s">
        <v>3778</v>
      </c>
      <c r="F3515" s="64" t="s">
        <v>230</v>
      </c>
      <c r="G3515" s="64" t="s">
        <v>3769</v>
      </c>
      <c r="H3515" s="64" t="s">
        <v>1875</v>
      </c>
      <c r="I3515" s="64" t="s">
        <v>3779</v>
      </c>
      <c r="J3515" s="67">
        <v>0</v>
      </c>
      <c r="K3515" s="62">
        <v>502.86</v>
      </c>
      <c r="L3515" s="33" t="e">
        <f>HLOOKUP(B3515,#REF!,1,0)</f>
        <v>#REF!</v>
      </c>
      <c r="M3515" s="33" t="str">
        <f t="shared" si="219"/>
        <v>P&amp;L</v>
      </c>
    </row>
    <row r="3516" spans="1:13" s="33" customFormat="true" ht="12.75" customHeight="true">
      <c r="A3516" s="33" t="str">
        <f t="shared" si="216"/>
        <v>BRU - CGS</v>
      </c>
      <c r="B3516" s="33" t="str">
        <f t="shared" si="217"/>
        <v>BRU</v>
      </c>
      <c r="C3516" s="33" t="str">
        <f t="shared" si="218"/>
        <v>53001-0000</v>
      </c>
      <c r="D3516" s="64" t="s">
        <v>4396</v>
      </c>
      <c r="E3516" s="64" t="s">
        <v>3781</v>
      </c>
      <c r="F3516" s="64" t="s">
        <v>230</v>
      </c>
      <c r="G3516" s="64" t="s">
        <v>3160</v>
      </c>
      <c r="H3516" s="64" t="s">
        <v>1875</v>
      </c>
      <c r="I3516" s="64" t="s">
        <v>3782</v>
      </c>
      <c r="J3516" s="67">
        <v>0</v>
      </c>
      <c r="K3516" s="62">
        <v>28.04</v>
      </c>
      <c r="L3516" s="33" t="e">
        <f>HLOOKUP(B3516,#REF!,1,0)</f>
        <v>#REF!</v>
      </c>
      <c r="M3516" s="33" t="str">
        <f t="shared" si="219"/>
        <v>P&amp;L</v>
      </c>
    </row>
    <row r="3517" spans="1:13" s="33" customFormat="true" ht="12.75" customHeight="true">
      <c r="A3517" s="33" t="str">
        <f t="shared" si="216"/>
        <v>BRU - CGS</v>
      </c>
      <c r="B3517" s="33" t="str">
        <f t="shared" si="217"/>
        <v>BRU</v>
      </c>
      <c r="C3517" s="33" t="str">
        <f t="shared" si="218"/>
        <v>53002-0000</v>
      </c>
      <c r="D3517" s="64" t="s">
        <v>4397</v>
      </c>
      <c r="E3517" s="64" t="s">
        <v>3784</v>
      </c>
      <c r="F3517" s="64" t="s">
        <v>230</v>
      </c>
      <c r="G3517" s="64" t="s">
        <v>3160</v>
      </c>
      <c r="H3517" s="64" t="s">
        <v>1875</v>
      </c>
      <c r="I3517" s="64" t="s">
        <v>3785</v>
      </c>
      <c r="J3517" s="67">
        <v>442.85</v>
      </c>
      <c r="K3517" s="62">
        <v>4504.01</v>
      </c>
      <c r="L3517" s="33" t="e">
        <f>HLOOKUP(B3517,#REF!,1,0)</f>
        <v>#REF!</v>
      </c>
      <c r="M3517" s="33" t="str">
        <f t="shared" si="219"/>
        <v>P&amp;L</v>
      </c>
    </row>
    <row r="3518" spans="1:13" s="33" customFormat="true" ht="12.75" customHeight="true">
      <c r="A3518" s="33" t="str">
        <f t="shared" si="216"/>
        <v>BRU - CGS</v>
      </c>
      <c r="B3518" s="33" t="str">
        <f t="shared" si="217"/>
        <v>BRU</v>
      </c>
      <c r="C3518" s="33" t="str">
        <f t="shared" si="218"/>
        <v>53003-0000</v>
      </c>
      <c r="D3518" s="64" t="s">
        <v>4398</v>
      </c>
      <c r="E3518" s="64" t="s">
        <v>3787</v>
      </c>
      <c r="F3518" s="64" t="s">
        <v>230</v>
      </c>
      <c r="G3518" s="64" t="s">
        <v>3160</v>
      </c>
      <c r="H3518" s="64" t="s">
        <v>1875</v>
      </c>
      <c r="I3518" s="64" t="s">
        <v>3788</v>
      </c>
      <c r="J3518" s="67">
        <v>540.57</v>
      </c>
      <c r="K3518" s="62">
        <v>2688.26</v>
      </c>
      <c r="L3518" s="33" t="e">
        <f>HLOOKUP(B3518,#REF!,1,0)</f>
        <v>#REF!</v>
      </c>
      <c r="M3518" s="33" t="str">
        <f t="shared" si="219"/>
        <v>P&amp;L</v>
      </c>
    </row>
    <row r="3519" spans="1:13" s="33" customFormat="true" ht="12.75" customHeight="true">
      <c r="A3519" s="33" t="str">
        <f t="shared" si="216"/>
        <v>BRU - CGS</v>
      </c>
      <c r="B3519" s="33" t="str">
        <f t="shared" si="217"/>
        <v>BRU</v>
      </c>
      <c r="C3519" s="33" t="str">
        <f t="shared" si="218"/>
        <v>53005-0000</v>
      </c>
      <c r="D3519" s="64" t="s">
        <v>4399</v>
      </c>
      <c r="E3519" s="64" t="s">
        <v>3793</v>
      </c>
      <c r="F3519" s="64" t="s">
        <v>230</v>
      </c>
      <c r="G3519" s="64" t="s">
        <v>3160</v>
      </c>
      <c r="H3519" s="64" t="s">
        <v>1875</v>
      </c>
      <c r="I3519" s="64" t="s">
        <v>3794</v>
      </c>
      <c r="J3519" s="67">
        <v>578.93</v>
      </c>
      <c r="K3519" s="62">
        <v>3354.14</v>
      </c>
      <c r="L3519" s="33" t="e">
        <f>HLOOKUP(B3519,#REF!,1,0)</f>
        <v>#REF!</v>
      </c>
      <c r="M3519" s="33" t="str">
        <f t="shared" si="219"/>
        <v>P&amp;L</v>
      </c>
    </row>
    <row r="3520" spans="1:13" s="33" customFormat="true" ht="12.75" customHeight="true">
      <c r="A3520" s="33" t="str">
        <f t="shared" si="216"/>
        <v>BRU - CGS</v>
      </c>
      <c r="B3520" s="33" t="str">
        <f t="shared" si="217"/>
        <v>BRU</v>
      </c>
      <c r="C3520" s="33" t="str">
        <f t="shared" si="218"/>
        <v>53006-0000</v>
      </c>
      <c r="D3520" s="64" t="s">
        <v>4400</v>
      </c>
      <c r="E3520" s="64" t="s">
        <v>3796</v>
      </c>
      <c r="F3520" s="64" t="s">
        <v>230</v>
      </c>
      <c r="G3520" s="64" t="s">
        <v>3160</v>
      </c>
      <c r="H3520" s="64" t="s">
        <v>1875</v>
      </c>
      <c r="I3520" s="64" t="s">
        <v>3797</v>
      </c>
      <c r="J3520" s="67">
        <v>895.31</v>
      </c>
      <c r="K3520" s="62">
        <v>5105.9</v>
      </c>
      <c r="L3520" s="33" t="e">
        <f>HLOOKUP(B3520,#REF!,1,0)</f>
        <v>#REF!</v>
      </c>
      <c r="M3520" s="33" t="str">
        <f t="shared" si="219"/>
        <v>P&amp;L</v>
      </c>
    </row>
    <row r="3521" spans="1:13" s="33" customFormat="true" ht="12.75" customHeight="true">
      <c r="A3521" s="33" t="str">
        <f t="shared" si="216"/>
        <v>BRU - CGS</v>
      </c>
      <c r="B3521" s="33" t="str">
        <f t="shared" si="217"/>
        <v>BRU</v>
      </c>
      <c r="C3521" s="33" t="str">
        <f t="shared" si="218"/>
        <v>54003-0000</v>
      </c>
      <c r="D3521" s="64" t="s">
        <v>4401</v>
      </c>
      <c r="E3521" s="64" t="s">
        <v>3803</v>
      </c>
      <c r="F3521" s="64" t="s">
        <v>230</v>
      </c>
      <c r="G3521" s="64" t="s">
        <v>3800</v>
      </c>
      <c r="H3521" s="64" t="s">
        <v>1875</v>
      </c>
      <c r="I3521" s="64" t="s">
        <v>3804</v>
      </c>
      <c r="J3521" s="67">
        <v>0</v>
      </c>
      <c r="K3521" s="62">
        <v>0</v>
      </c>
      <c r="L3521" s="33" t="e">
        <f>HLOOKUP(B3521,#REF!,1,0)</f>
        <v>#REF!</v>
      </c>
      <c r="M3521" s="33" t="str">
        <f t="shared" si="219"/>
        <v>P&amp;L</v>
      </c>
    </row>
    <row r="3522" spans="1:13" s="33" customFormat="true" ht="12.75" customHeight="true">
      <c r="A3522" s="33" t="str">
        <f t="shared" ref="A3522:A3585" si="220">B3522&amp;" - "&amp;TRIM(H3522)</f>
        <v>BRU - CGS</v>
      </c>
      <c r="B3522" s="33" t="str">
        <f t="shared" ref="B3522:B3585" si="221">LEFT(D3522,3)</f>
        <v>BRU</v>
      </c>
      <c r="C3522" s="33" t="str">
        <f t="shared" ref="C3522:C3585" si="222">RIGHT(D3522,10)</f>
        <v>54004-0000</v>
      </c>
      <c r="D3522" s="64" t="s">
        <v>4402</v>
      </c>
      <c r="E3522" s="64" t="s">
        <v>3806</v>
      </c>
      <c r="F3522" s="64" t="s">
        <v>230</v>
      </c>
      <c r="G3522" s="64" t="s">
        <v>3800</v>
      </c>
      <c r="H3522" s="64" t="s">
        <v>1875</v>
      </c>
      <c r="I3522" s="64" t="s">
        <v>3807</v>
      </c>
      <c r="J3522" s="67">
        <v>0</v>
      </c>
      <c r="K3522" s="62">
        <v>0</v>
      </c>
      <c r="L3522" s="33" t="e">
        <f>HLOOKUP(B3522,#REF!,1,0)</f>
        <v>#REF!</v>
      </c>
      <c r="M3522" s="33" t="str">
        <f t="shared" ref="M3522:M3585" si="223">IF(VALUE(LEFT(C3522,5))&gt;40000,"P&amp;L","BS")</f>
        <v>P&amp;L</v>
      </c>
    </row>
    <row r="3523" spans="1:13" s="33" customFormat="true" ht="12.75" customHeight="true">
      <c r="A3523" s="33" t="str">
        <f t="shared" si="220"/>
        <v>BRU - CGS</v>
      </c>
      <c r="B3523" s="33" t="str">
        <f t="shared" si="221"/>
        <v>BRU</v>
      </c>
      <c r="C3523" s="33" t="str">
        <f t="shared" si="222"/>
        <v>54006-0000</v>
      </c>
      <c r="D3523" s="64" t="s">
        <v>4403</v>
      </c>
      <c r="E3523" s="64" t="s">
        <v>3812</v>
      </c>
      <c r="F3523" s="64" t="s">
        <v>230</v>
      </c>
      <c r="G3523" s="64" t="s">
        <v>3800</v>
      </c>
      <c r="H3523" s="64" t="s">
        <v>1875</v>
      </c>
      <c r="I3523" s="64" t="s">
        <v>3003</v>
      </c>
      <c r="J3523" s="67">
        <v>0</v>
      </c>
      <c r="K3523" s="62">
        <v>0</v>
      </c>
      <c r="L3523" s="33" t="e">
        <f>HLOOKUP(B3523,#REF!,1,0)</f>
        <v>#REF!</v>
      </c>
      <c r="M3523" s="33" t="str">
        <f t="shared" si="223"/>
        <v>P&amp;L</v>
      </c>
    </row>
    <row r="3524" spans="1:13" s="33" customFormat="true" ht="12.75" customHeight="true">
      <c r="A3524" s="33" t="str">
        <f t="shared" si="220"/>
        <v>BRU - CGS</v>
      </c>
      <c r="B3524" s="33" t="str">
        <f t="shared" si="221"/>
        <v>BRU</v>
      </c>
      <c r="C3524" s="33" t="str">
        <f t="shared" si="222"/>
        <v>54007-0000</v>
      </c>
      <c r="D3524" s="64" t="s">
        <v>4404</v>
      </c>
      <c r="E3524" s="64" t="s">
        <v>4182</v>
      </c>
      <c r="F3524" s="64" t="s">
        <v>230</v>
      </c>
      <c r="G3524" s="64" t="s">
        <v>3800</v>
      </c>
      <c r="H3524" s="64" t="s">
        <v>1875</v>
      </c>
      <c r="I3524" s="64" t="s">
        <v>3815</v>
      </c>
      <c r="J3524" s="67">
        <v>334.08</v>
      </c>
      <c r="K3524" s="62">
        <v>3936.5</v>
      </c>
      <c r="L3524" s="33" t="e">
        <f>HLOOKUP(B3524,#REF!,1,0)</f>
        <v>#REF!</v>
      </c>
      <c r="M3524" s="33" t="str">
        <f t="shared" si="223"/>
        <v>P&amp;L</v>
      </c>
    </row>
    <row r="3525" spans="1:13" s="33" customFormat="true" ht="12.75" customHeight="true">
      <c r="A3525" s="33" t="str">
        <f t="shared" si="220"/>
        <v>BRU - PM Expenses</v>
      </c>
      <c r="B3525" s="33" t="str">
        <f t="shared" si="221"/>
        <v>BRU</v>
      </c>
      <c r="C3525" s="33" t="str">
        <f t="shared" si="222"/>
        <v>55502-0000</v>
      </c>
      <c r="D3525" s="64" t="s">
        <v>4405</v>
      </c>
      <c r="E3525" s="64" t="s">
        <v>3822</v>
      </c>
      <c r="F3525" s="64" t="s">
        <v>230</v>
      </c>
      <c r="G3525" s="64" t="s">
        <v>3818</v>
      </c>
      <c r="H3525" s="64" t="s">
        <v>3819</v>
      </c>
      <c r="I3525" s="64" t="s">
        <v>3823</v>
      </c>
      <c r="J3525" s="67">
        <v>0</v>
      </c>
      <c r="K3525" s="62">
        <v>843.43</v>
      </c>
      <c r="L3525" s="33" t="e">
        <f>HLOOKUP(B3525,#REF!,1,0)</f>
        <v>#REF!</v>
      </c>
      <c r="M3525" s="33" t="str">
        <f t="shared" si="223"/>
        <v>P&amp;L</v>
      </c>
    </row>
    <row r="3526" spans="1:13" s="33" customFormat="true" ht="12.75" customHeight="true">
      <c r="A3526" s="33" t="str">
        <f t="shared" si="220"/>
        <v>BRU - PM Expenses</v>
      </c>
      <c r="B3526" s="33" t="str">
        <f t="shared" si="221"/>
        <v>BRU</v>
      </c>
      <c r="C3526" s="33" t="str">
        <f t="shared" si="222"/>
        <v>55503-0000</v>
      </c>
      <c r="D3526" s="64" t="s">
        <v>4406</v>
      </c>
      <c r="E3526" s="64" t="s">
        <v>3825</v>
      </c>
      <c r="F3526" s="64" t="s">
        <v>230</v>
      </c>
      <c r="G3526" s="64" t="s">
        <v>3818</v>
      </c>
      <c r="H3526" s="64" t="s">
        <v>3819</v>
      </c>
      <c r="I3526" s="64" t="s">
        <v>3826</v>
      </c>
      <c r="J3526" s="67">
        <v>235.5</v>
      </c>
      <c r="K3526" s="62">
        <v>1284.76</v>
      </c>
      <c r="L3526" s="33" t="e">
        <f>HLOOKUP(B3526,#REF!,1,0)</f>
        <v>#REF!</v>
      </c>
      <c r="M3526" s="33" t="str">
        <f t="shared" si="223"/>
        <v>P&amp;L</v>
      </c>
    </row>
    <row r="3527" spans="1:13" s="33" customFormat="true" ht="12.75" customHeight="true">
      <c r="A3527" s="33" t="str">
        <f t="shared" si="220"/>
        <v>BRU - PM Expenses</v>
      </c>
      <c r="B3527" s="33" t="str">
        <f t="shared" si="221"/>
        <v>BRU</v>
      </c>
      <c r="C3527" s="33" t="str">
        <f t="shared" si="222"/>
        <v>55505-0000</v>
      </c>
      <c r="D3527" s="64" t="s">
        <v>4407</v>
      </c>
      <c r="E3527" s="64" t="s">
        <v>3828</v>
      </c>
      <c r="F3527" s="64" t="s">
        <v>230</v>
      </c>
      <c r="G3527" s="64" t="s">
        <v>3818</v>
      </c>
      <c r="H3527" s="64" t="s">
        <v>3819</v>
      </c>
      <c r="I3527" s="64" t="s">
        <v>3829</v>
      </c>
      <c r="J3527" s="67">
        <v>0</v>
      </c>
      <c r="K3527" s="62">
        <v>998.24</v>
      </c>
      <c r="L3527" s="33" t="e">
        <f>HLOOKUP(B3527,#REF!,1,0)</f>
        <v>#REF!</v>
      </c>
      <c r="M3527" s="33" t="str">
        <f t="shared" si="223"/>
        <v>P&amp;L</v>
      </c>
    </row>
    <row r="3528" spans="1:13" s="33" customFormat="true" ht="12.75" customHeight="true">
      <c r="A3528" s="33" t="str">
        <f t="shared" si="220"/>
        <v>BRU - PM Expenses</v>
      </c>
      <c r="B3528" s="33" t="str">
        <f t="shared" si="221"/>
        <v>BRU</v>
      </c>
      <c r="C3528" s="33" t="str">
        <f t="shared" si="222"/>
        <v>55506-0000</v>
      </c>
      <c r="D3528" s="64" t="s">
        <v>4408</v>
      </c>
      <c r="E3528" s="64" t="s">
        <v>3831</v>
      </c>
      <c r="F3528" s="64" t="s">
        <v>230</v>
      </c>
      <c r="G3528" s="64" t="s">
        <v>3818</v>
      </c>
      <c r="H3528" s="64" t="s">
        <v>3819</v>
      </c>
      <c r="I3528" s="64" t="s">
        <v>3832</v>
      </c>
      <c r="J3528" s="67">
        <v>800.28</v>
      </c>
      <c r="K3528" s="62">
        <v>19060.45</v>
      </c>
      <c r="L3528" s="33" t="e">
        <f>HLOOKUP(B3528,#REF!,1,0)</f>
        <v>#REF!</v>
      </c>
      <c r="M3528" s="33" t="str">
        <f t="shared" si="223"/>
        <v>P&amp;L</v>
      </c>
    </row>
    <row r="3529" spans="1:13" s="33" customFormat="true" ht="12.75" customHeight="true">
      <c r="A3529" s="33" t="str">
        <f t="shared" si="220"/>
        <v>BRU - PM Expenses</v>
      </c>
      <c r="B3529" s="33" t="str">
        <f t="shared" si="221"/>
        <v>BRU</v>
      </c>
      <c r="C3529" s="33" t="str">
        <f t="shared" si="222"/>
        <v>55507-0000</v>
      </c>
      <c r="D3529" s="64" t="s">
        <v>4409</v>
      </c>
      <c r="E3529" s="64" t="s">
        <v>3834</v>
      </c>
      <c r="F3529" s="64" t="s">
        <v>230</v>
      </c>
      <c r="G3529" s="64" t="s">
        <v>3818</v>
      </c>
      <c r="H3529" s="64" t="s">
        <v>3819</v>
      </c>
      <c r="I3529" s="64" t="s">
        <v>3835</v>
      </c>
      <c r="J3529" s="67">
        <v>0</v>
      </c>
      <c r="K3529" s="62">
        <v>1380</v>
      </c>
      <c r="L3529" s="33" t="e">
        <f>HLOOKUP(B3529,#REF!,1,0)</f>
        <v>#REF!</v>
      </c>
      <c r="M3529" s="33" t="str">
        <f t="shared" si="223"/>
        <v>P&amp;L</v>
      </c>
    </row>
    <row r="3530" spans="1:13" s="33" customFormat="true" ht="12.75" customHeight="true">
      <c r="A3530" s="33" t="str">
        <f t="shared" si="220"/>
        <v>BRU - CGS</v>
      </c>
      <c r="B3530" s="33" t="str">
        <f t="shared" si="221"/>
        <v>BRU</v>
      </c>
      <c r="C3530" s="33" t="str">
        <f t="shared" si="222"/>
        <v>60001-0000</v>
      </c>
      <c r="D3530" s="64" t="s">
        <v>4410</v>
      </c>
      <c r="E3530" s="64" t="s">
        <v>4192</v>
      </c>
      <c r="F3530" s="64" t="s">
        <v>230</v>
      </c>
      <c r="G3530" s="64" t="s">
        <v>3838</v>
      </c>
      <c r="H3530" s="64" t="s">
        <v>1875</v>
      </c>
      <c r="I3530" s="64" t="s">
        <v>4193</v>
      </c>
      <c r="J3530" s="67">
        <v>0</v>
      </c>
      <c r="K3530" s="62">
        <v>1280.28</v>
      </c>
      <c r="L3530" s="33" t="e">
        <f>HLOOKUP(B3530,#REF!,1,0)</f>
        <v>#REF!</v>
      </c>
      <c r="M3530" s="33" t="str">
        <f t="shared" si="223"/>
        <v>P&amp;L</v>
      </c>
    </row>
    <row r="3531" spans="1:13" s="33" customFormat="true" ht="12.75" customHeight="true">
      <c r="A3531" s="33" t="str">
        <f t="shared" si="220"/>
        <v>BRU - CGS</v>
      </c>
      <c r="B3531" s="33" t="str">
        <f t="shared" si="221"/>
        <v>BRU</v>
      </c>
      <c r="C3531" s="33" t="str">
        <f t="shared" si="222"/>
        <v>60002-0000</v>
      </c>
      <c r="D3531" s="64" t="s">
        <v>4411</v>
      </c>
      <c r="E3531" s="64" t="s">
        <v>3837</v>
      </c>
      <c r="F3531" s="64" t="s">
        <v>230</v>
      </c>
      <c r="G3531" s="64" t="s">
        <v>3838</v>
      </c>
      <c r="H3531" s="64" t="s">
        <v>1875</v>
      </c>
      <c r="I3531" s="64" t="s">
        <v>3839</v>
      </c>
      <c r="J3531" s="67">
        <v>66.22</v>
      </c>
      <c r="K3531" s="62">
        <v>770.21</v>
      </c>
      <c r="L3531" s="33" t="e">
        <f>HLOOKUP(B3531,#REF!,1,0)</f>
        <v>#REF!</v>
      </c>
      <c r="M3531" s="33" t="str">
        <f t="shared" si="223"/>
        <v>P&amp;L</v>
      </c>
    </row>
    <row r="3532" spans="1:13" s="33" customFormat="true" ht="12.75" customHeight="true">
      <c r="A3532" s="33" t="str">
        <f t="shared" si="220"/>
        <v>BRU - CGS</v>
      </c>
      <c r="B3532" s="33" t="str">
        <f t="shared" si="221"/>
        <v>BRU</v>
      </c>
      <c r="C3532" s="33" t="str">
        <f t="shared" si="222"/>
        <v>60005-0000</v>
      </c>
      <c r="D3532" s="64" t="s">
        <v>4412</v>
      </c>
      <c r="E3532" s="64" t="s">
        <v>3841</v>
      </c>
      <c r="F3532" s="64" t="s">
        <v>230</v>
      </c>
      <c r="G3532" s="64" t="s">
        <v>3838</v>
      </c>
      <c r="H3532" s="64" t="s">
        <v>1875</v>
      </c>
      <c r="I3532" s="64" t="s">
        <v>3842</v>
      </c>
      <c r="J3532" s="67">
        <v>0</v>
      </c>
      <c r="K3532" s="62">
        <v>7368.59</v>
      </c>
      <c r="L3532" s="33" t="e">
        <f>HLOOKUP(B3532,#REF!,1,0)</f>
        <v>#REF!</v>
      </c>
      <c r="M3532" s="33" t="str">
        <f t="shared" si="223"/>
        <v>P&amp;L</v>
      </c>
    </row>
    <row r="3533" spans="1:13" s="33" customFormat="true" ht="12.75" customHeight="true">
      <c r="A3533" s="33" t="str">
        <f t="shared" si="220"/>
        <v>BRU - Interest Expense</v>
      </c>
      <c r="B3533" s="33" t="str">
        <f t="shared" si="221"/>
        <v>BRU</v>
      </c>
      <c r="C3533" s="33" t="str">
        <f t="shared" si="222"/>
        <v>60006-0000</v>
      </c>
      <c r="D3533" s="64" t="s">
        <v>4413</v>
      </c>
      <c r="E3533" s="64" t="s">
        <v>3325</v>
      </c>
      <c r="F3533" s="64" t="s">
        <v>230</v>
      </c>
      <c r="G3533" s="64" t="s">
        <v>3844</v>
      </c>
      <c r="H3533" s="64" t="s">
        <v>3327</v>
      </c>
      <c r="I3533" s="64" t="s">
        <v>3328</v>
      </c>
      <c r="J3533" s="67">
        <v>6594.12</v>
      </c>
      <c r="K3533" s="62">
        <v>66422.65</v>
      </c>
      <c r="L3533" s="33" t="e">
        <f>HLOOKUP(B3533,#REF!,1,0)</f>
        <v>#REF!</v>
      </c>
      <c r="M3533" s="33" t="str">
        <f t="shared" si="223"/>
        <v>P&amp;L</v>
      </c>
    </row>
    <row r="3534" spans="1:13" s="33" customFormat="true" ht="12.75" customHeight="true">
      <c r="A3534" s="33" t="str">
        <f t="shared" si="220"/>
        <v>BRU - CGS</v>
      </c>
      <c r="B3534" s="33" t="str">
        <f t="shared" si="221"/>
        <v>BRU</v>
      </c>
      <c r="C3534" s="33" t="str">
        <f t="shared" si="222"/>
        <v>60007-0000</v>
      </c>
      <c r="D3534" s="64" t="s">
        <v>4414</v>
      </c>
      <c r="E3534" s="64" t="s">
        <v>3846</v>
      </c>
      <c r="F3534" s="64" t="s">
        <v>230</v>
      </c>
      <c r="G3534" s="64" t="s">
        <v>3838</v>
      </c>
      <c r="H3534" s="64" t="s">
        <v>1875</v>
      </c>
      <c r="I3534" s="64" t="s">
        <v>3847</v>
      </c>
      <c r="J3534" s="67">
        <v>0</v>
      </c>
      <c r="K3534" s="62">
        <v>801</v>
      </c>
      <c r="L3534" s="33" t="e">
        <f>HLOOKUP(B3534,#REF!,1,0)</f>
        <v>#REF!</v>
      </c>
      <c r="M3534" s="33" t="str">
        <f t="shared" si="223"/>
        <v>P&amp;L</v>
      </c>
    </row>
    <row r="3535" spans="1:13" s="33" customFormat="true" ht="12.75" customHeight="true">
      <c r="A3535" s="33" t="str">
        <f t="shared" si="220"/>
        <v>BRU - CGS</v>
      </c>
      <c r="B3535" s="33" t="str">
        <f t="shared" si="221"/>
        <v>BRU</v>
      </c>
      <c r="C3535" s="33" t="str">
        <f t="shared" si="222"/>
        <v>60011-0000</v>
      </c>
      <c r="D3535" s="64" t="s">
        <v>4415</v>
      </c>
      <c r="E3535" s="64" t="s">
        <v>4199</v>
      </c>
      <c r="F3535" s="64" t="s">
        <v>230</v>
      </c>
      <c r="G3535" s="64" t="s">
        <v>3838</v>
      </c>
      <c r="H3535" s="64" t="s">
        <v>1875</v>
      </c>
      <c r="I3535" s="64" t="s">
        <v>4200</v>
      </c>
      <c r="J3535" s="67">
        <v>0</v>
      </c>
      <c r="K3535" s="62">
        <v>266.4</v>
      </c>
      <c r="L3535" s="33" t="e">
        <f>HLOOKUP(B3535,#REF!,1,0)</f>
        <v>#REF!</v>
      </c>
      <c r="M3535" s="33" t="str">
        <f t="shared" si="223"/>
        <v>P&amp;L</v>
      </c>
    </row>
    <row r="3536" spans="1:13" s="33" customFormat="true" ht="12.75" customHeight="true">
      <c r="A3536" s="33" t="str">
        <f t="shared" si="220"/>
        <v>BRU - CGS</v>
      </c>
      <c r="B3536" s="33" t="str">
        <f t="shared" si="221"/>
        <v>BRU</v>
      </c>
      <c r="C3536" s="33" t="str">
        <f t="shared" si="222"/>
        <v>60012-0000</v>
      </c>
      <c r="D3536" s="64" t="s">
        <v>4416</v>
      </c>
      <c r="E3536" s="64" t="s">
        <v>3852</v>
      </c>
      <c r="F3536" s="64" t="s">
        <v>230</v>
      </c>
      <c r="G3536" s="64" t="s">
        <v>3838</v>
      </c>
      <c r="H3536" s="64" t="s">
        <v>1875</v>
      </c>
      <c r="I3536" s="64" t="s">
        <v>3853</v>
      </c>
      <c r="J3536" s="67">
        <v>0</v>
      </c>
      <c r="K3536" s="62">
        <v>20907.64</v>
      </c>
      <c r="L3536" s="33" t="e">
        <f>HLOOKUP(B3536,#REF!,1,0)</f>
        <v>#REF!</v>
      </c>
      <c r="M3536" s="33" t="str">
        <f t="shared" si="223"/>
        <v>P&amp;L</v>
      </c>
    </row>
    <row r="3537" spans="1:13" s="33" customFormat="true" ht="12.75" customHeight="true">
      <c r="A3537" s="33" t="str">
        <f t="shared" si="220"/>
        <v>BRU - CGS</v>
      </c>
      <c r="B3537" s="33" t="str">
        <f t="shared" si="221"/>
        <v>BRU</v>
      </c>
      <c r="C3537" s="33" t="str">
        <f t="shared" si="222"/>
        <v>60014-0000</v>
      </c>
      <c r="D3537" s="64" t="s">
        <v>4417</v>
      </c>
      <c r="E3537" s="64" t="s">
        <v>3855</v>
      </c>
      <c r="F3537" s="64" t="s">
        <v>230</v>
      </c>
      <c r="G3537" s="64" t="s">
        <v>3838</v>
      </c>
      <c r="H3537" s="64" t="s">
        <v>1875</v>
      </c>
      <c r="I3537" s="64" t="s">
        <v>3856</v>
      </c>
      <c r="J3537" s="67">
        <v>487.98</v>
      </c>
      <c r="K3537" s="62">
        <v>5953.65</v>
      </c>
      <c r="L3537" s="33" t="e">
        <f>HLOOKUP(B3537,#REF!,1,0)</f>
        <v>#REF!</v>
      </c>
      <c r="M3537" s="33" t="str">
        <f t="shared" si="223"/>
        <v>P&amp;L</v>
      </c>
    </row>
    <row r="3538" spans="1:13" s="33" customFormat="true" ht="12.75" customHeight="true">
      <c r="A3538" s="33" t="str">
        <f t="shared" si="220"/>
        <v>BRU - CGS</v>
      </c>
      <c r="B3538" s="33" t="str">
        <f t="shared" si="221"/>
        <v>BRU</v>
      </c>
      <c r="C3538" s="33" t="str">
        <f t="shared" si="222"/>
        <v>60015-0000</v>
      </c>
      <c r="D3538" s="64" t="s">
        <v>4418</v>
      </c>
      <c r="E3538" s="64" t="s">
        <v>3858</v>
      </c>
      <c r="F3538" s="64" t="s">
        <v>230</v>
      </c>
      <c r="G3538" s="64" t="s">
        <v>3838</v>
      </c>
      <c r="H3538" s="64" t="s">
        <v>1875</v>
      </c>
      <c r="I3538" s="64" t="s">
        <v>3859</v>
      </c>
      <c r="J3538" s="67">
        <v>0</v>
      </c>
      <c r="K3538" s="62">
        <v>20</v>
      </c>
      <c r="L3538" s="33" t="e">
        <f>HLOOKUP(B3538,#REF!,1,0)</f>
        <v>#REF!</v>
      </c>
      <c r="M3538" s="33" t="str">
        <f t="shared" si="223"/>
        <v>P&amp;L</v>
      </c>
    </row>
    <row r="3539" spans="1:13" s="33" customFormat="true" ht="12.75" customHeight="true">
      <c r="A3539" s="33" t="str">
        <f t="shared" si="220"/>
        <v>BRU - Income Tax</v>
      </c>
      <c r="B3539" s="33" t="str">
        <f t="shared" si="221"/>
        <v>BRU</v>
      </c>
      <c r="C3539" s="33" t="str">
        <f t="shared" si="222"/>
        <v>61019-0000</v>
      </c>
      <c r="D3539" s="64" t="s">
        <v>4419</v>
      </c>
      <c r="E3539" s="64" t="s">
        <v>4041</v>
      </c>
      <c r="F3539" s="64" t="s">
        <v>230</v>
      </c>
      <c r="G3539" s="64" t="s">
        <v>3844</v>
      </c>
      <c r="H3539" s="64" t="s">
        <v>3378</v>
      </c>
      <c r="I3539" s="64" t="s">
        <v>4042</v>
      </c>
      <c r="J3539" s="67">
        <v>0</v>
      </c>
      <c r="K3539" s="62">
        <v>800</v>
      </c>
      <c r="L3539" s="33" t="e">
        <f>HLOOKUP(B3539,#REF!,1,0)</f>
        <v>#REF!</v>
      </c>
      <c r="M3539" s="33" t="str">
        <f t="shared" si="223"/>
        <v>P&amp;L</v>
      </c>
    </row>
    <row r="3540" spans="1:13" s="33" customFormat="true" ht="12.75" customHeight="true">
      <c r="A3540" s="33" t="str">
        <f t="shared" si="220"/>
        <v>BVI - AP-Accr Exp</v>
      </c>
      <c r="B3540" s="33" t="str">
        <f t="shared" si="221"/>
        <v>BVI</v>
      </c>
      <c r="C3540" s="33" t="str">
        <f t="shared" si="222"/>
        <v>20001-0000</v>
      </c>
      <c r="D3540" s="64" t="s">
        <v>4420</v>
      </c>
      <c r="E3540" s="64" t="s">
        <v>96</v>
      </c>
      <c r="F3540" s="64" t="s">
        <v>547</v>
      </c>
      <c r="G3540" s="64" t="s">
        <v>97</v>
      </c>
      <c r="H3540" s="64" t="s">
        <v>98</v>
      </c>
      <c r="I3540" s="64" t="s">
        <v>99</v>
      </c>
      <c r="J3540" s="67">
        <v>0</v>
      </c>
      <c r="K3540" s="62">
        <v>0</v>
      </c>
      <c r="L3540" s="33" t="e">
        <f>HLOOKUP(B3540,#REF!,1,0)</f>
        <v>#REF!</v>
      </c>
      <c r="M3540" s="33" t="str">
        <f t="shared" si="223"/>
        <v>BS</v>
      </c>
    </row>
    <row r="3541" spans="1:13" s="33" customFormat="true" ht="12.75" customHeight="true">
      <c r="A3541" s="33" t="str">
        <f t="shared" si="220"/>
        <v>BVI - Revenue</v>
      </c>
      <c r="B3541" s="33" t="str">
        <f t="shared" si="221"/>
        <v>BVI</v>
      </c>
      <c r="C3541" s="33" t="str">
        <f t="shared" si="222"/>
        <v>40700-0862</v>
      </c>
      <c r="D3541" s="64" t="s">
        <v>4421</v>
      </c>
      <c r="E3541" s="64" t="s">
        <v>3716</v>
      </c>
      <c r="F3541" s="64" t="s">
        <v>547</v>
      </c>
      <c r="G3541" s="64" t="s">
        <v>2870</v>
      </c>
      <c r="H3541" s="64" t="s">
        <v>2871</v>
      </c>
      <c r="I3541" s="64" t="s">
        <v>4422</v>
      </c>
      <c r="J3541" s="67">
        <v>-13000</v>
      </c>
      <c r="K3541" s="62">
        <v>-130000</v>
      </c>
      <c r="L3541" s="33" t="e">
        <f>HLOOKUP(B3541,#REF!,1,0)</f>
        <v>#REF!</v>
      </c>
      <c r="M3541" s="33" t="str">
        <f t="shared" si="223"/>
        <v>P&amp;L</v>
      </c>
    </row>
    <row r="3542" spans="1:13" s="33" customFormat="true" ht="12.75" customHeight="true">
      <c r="A3542" s="33" t="str">
        <f t="shared" si="220"/>
        <v>BVI - Revenue</v>
      </c>
      <c r="B3542" s="33" t="str">
        <f t="shared" si="221"/>
        <v>BVI</v>
      </c>
      <c r="C3542" s="33" t="str">
        <f t="shared" si="222"/>
        <v>40700-7780</v>
      </c>
      <c r="D3542" s="64" t="s">
        <v>4423</v>
      </c>
      <c r="E3542" s="64" t="s">
        <v>3716</v>
      </c>
      <c r="F3542" s="64" t="s">
        <v>547</v>
      </c>
      <c r="G3542" s="64" t="s">
        <v>2870</v>
      </c>
      <c r="H3542" s="64" t="s">
        <v>2871</v>
      </c>
      <c r="I3542" s="64" t="s">
        <v>4422</v>
      </c>
      <c r="J3542" s="67">
        <v>-8583.33</v>
      </c>
      <c r="K3542" s="62">
        <v>-85833.3</v>
      </c>
      <c r="L3542" s="33" t="e">
        <f>HLOOKUP(B3542,#REF!,1,0)</f>
        <v>#REF!</v>
      </c>
      <c r="M3542" s="33" t="str">
        <f t="shared" si="223"/>
        <v>P&amp;L</v>
      </c>
    </row>
    <row r="3543" spans="1:13" s="33" customFormat="true" ht="12.75" customHeight="true">
      <c r="A3543" s="33" t="str">
        <f t="shared" si="220"/>
        <v>BVI - CGS</v>
      </c>
      <c r="B3543" s="33" t="str">
        <f t="shared" si="221"/>
        <v>BVI</v>
      </c>
      <c r="C3543" s="33" t="str">
        <f t="shared" si="222"/>
        <v>57900-0000</v>
      </c>
      <c r="D3543" s="64" t="s">
        <v>4424</v>
      </c>
      <c r="E3543" s="64" t="s">
        <v>4425</v>
      </c>
      <c r="F3543" s="64" t="s">
        <v>562</v>
      </c>
      <c r="G3543" s="64" t="s">
        <v>4426</v>
      </c>
      <c r="H3543" s="64" t="s">
        <v>1875</v>
      </c>
      <c r="I3543" s="64" t="s">
        <v>4427</v>
      </c>
      <c r="J3543" s="67">
        <v>0</v>
      </c>
      <c r="K3543" s="62">
        <v>801</v>
      </c>
      <c r="L3543" s="33" t="e">
        <f>HLOOKUP(B3543,#REF!,1,0)</f>
        <v>#REF!</v>
      </c>
      <c r="M3543" s="33" t="str">
        <f t="shared" si="223"/>
        <v>P&amp;L</v>
      </c>
    </row>
    <row r="3544" spans="1:13" s="33" customFormat="true" ht="12.75" customHeight="true">
      <c r="A3544" s="33" t="str">
        <f t="shared" si="220"/>
        <v>BVI - Operating Expense</v>
      </c>
      <c r="B3544" s="33" t="str">
        <f t="shared" si="221"/>
        <v>BVI</v>
      </c>
      <c r="C3544" s="33" t="str">
        <f t="shared" si="222"/>
        <v>75001-0000</v>
      </c>
      <c r="D3544" s="64" t="s">
        <v>4428</v>
      </c>
      <c r="E3544" s="64" t="s">
        <v>4429</v>
      </c>
      <c r="F3544" s="64" t="s">
        <v>547</v>
      </c>
      <c r="G3544" s="64" t="s">
        <v>4430</v>
      </c>
      <c r="H3544" s="64" t="s">
        <v>3022</v>
      </c>
      <c r="I3544" s="64" t="s">
        <v>3294</v>
      </c>
      <c r="J3544" s="67">
        <v>0</v>
      </c>
      <c r="K3544" s="62">
        <v>105.52</v>
      </c>
      <c r="L3544" s="33" t="e">
        <f>HLOOKUP(B3544,#REF!,1,0)</f>
        <v>#REF!</v>
      </c>
      <c r="M3544" s="33" t="str">
        <f t="shared" si="223"/>
        <v>P&amp;L</v>
      </c>
    </row>
    <row r="3545" spans="1:13" s="33" customFormat="true" ht="12.75" customHeight="true">
      <c r="A3545" s="33" t="str">
        <f t="shared" si="220"/>
        <v>BVI - Operating Expense</v>
      </c>
      <c r="B3545" s="33" t="str">
        <f t="shared" si="221"/>
        <v>BVI</v>
      </c>
      <c r="C3545" s="33" t="str">
        <f t="shared" si="222"/>
        <v>91001-0000</v>
      </c>
      <c r="D3545" s="64" t="s">
        <v>4431</v>
      </c>
      <c r="E3545" s="64" t="s">
        <v>4432</v>
      </c>
      <c r="F3545" s="64" t="s">
        <v>547</v>
      </c>
      <c r="G3545" s="64" t="s">
        <v>4430</v>
      </c>
      <c r="H3545" s="64" t="s">
        <v>3022</v>
      </c>
      <c r="I3545" s="64" t="s">
        <v>4433</v>
      </c>
      <c r="J3545" s="67">
        <v>21.17</v>
      </c>
      <c r="K3545" s="62">
        <v>272.08</v>
      </c>
      <c r="L3545" s="33" t="e">
        <f>HLOOKUP(B3545,#REF!,1,0)</f>
        <v>#REF!</v>
      </c>
      <c r="M3545" s="33" t="str">
        <f t="shared" si="223"/>
        <v>P&amp;L</v>
      </c>
    </row>
    <row r="3546" spans="1:13" s="33" customFormat="true" ht="12.75" customHeight="true">
      <c r="A3546" s="33" t="str">
        <f t="shared" si="220"/>
        <v>BVI - Interest Expense</v>
      </c>
      <c r="B3546" s="33" t="str">
        <f t="shared" si="221"/>
        <v>BVI</v>
      </c>
      <c r="C3546" s="33" t="str">
        <f t="shared" si="222"/>
        <v>92401-0862</v>
      </c>
      <c r="D3546" s="64" t="s">
        <v>4434</v>
      </c>
      <c r="E3546" s="64" t="s">
        <v>3325</v>
      </c>
      <c r="F3546" s="64" t="s">
        <v>547</v>
      </c>
      <c r="G3546" s="64" t="s">
        <v>3326</v>
      </c>
      <c r="H3546" s="64" t="s">
        <v>3327</v>
      </c>
      <c r="I3546" s="64" t="s">
        <v>3328</v>
      </c>
      <c r="J3546" s="67">
        <v>6977.75</v>
      </c>
      <c r="K3546" s="62">
        <v>67622.68</v>
      </c>
      <c r="L3546" s="33" t="e">
        <f>HLOOKUP(B3546,#REF!,1,0)</f>
        <v>#REF!</v>
      </c>
      <c r="M3546" s="33" t="str">
        <f t="shared" si="223"/>
        <v>P&amp;L</v>
      </c>
    </row>
    <row r="3547" spans="1:13" s="33" customFormat="true" ht="12.75" customHeight="true">
      <c r="A3547" s="33" t="str">
        <f t="shared" si="220"/>
        <v>BVI - Interest Expense</v>
      </c>
      <c r="B3547" s="33" t="str">
        <f t="shared" si="221"/>
        <v>BVI</v>
      </c>
      <c r="C3547" s="33" t="str">
        <f t="shared" si="222"/>
        <v>92401-7780</v>
      </c>
      <c r="D3547" s="64" t="s">
        <v>4435</v>
      </c>
      <c r="E3547" s="64" t="s">
        <v>3325</v>
      </c>
      <c r="F3547" s="64" t="s">
        <v>547</v>
      </c>
      <c r="G3547" s="64" t="s">
        <v>3326</v>
      </c>
      <c r="H3547" s="64" t="s">
        <v>3327</v>
      </c>
      <c r="I3547" s="64" t="s">
        <v>3328</v>
      </c>
      <c r="J3547" s="67">
        <v>5942.24</v>
      </c>
      <c r="K3547" s="62">
        <v>57587.35</v>
      </c>
      <c r="L3547" s="33" t="e">
        <f>HLOOKUP(B3547,#REF!,1,0)</f>
        <v>#REF!</v>
      </c>
      <c r="M3547" s="33" t="str">
        <f t="shared" si="223"/>
        <v>P&amp;L</v>
      </c>
    </row>
    <row r="3548" spans="1:13" s="33" customFormat="true" ht="12.75" customHeight="true">
      <c r="A3548" s="33" t="str">
        <f t="shared" si="220"/>
        <v>BVI - Other Income/Expense</v>
      </c>
      <c r="B3548" s="33" t="str">
        <f t="shared" si="221"/>
        <v>BVI</v>
      </c>
      <c r="C3548" s="33" t="str">
        <f t="shared" si="222"/>
        <v>99001-0000</v>
      </c>
      <c r="D3548" s="64" t="s">
        <v>4436</v>
      </c>
      <c r="E3548" s="64" t="s">
        <v>4437</v>
      </c>
      <c r="F3548" s="64" t="s">
        <v>547</v>
      </c>
      <c r="G3548" s="64" t="s">
        <v>4430</v>
      </c>
      <c r="H3548" s="64" t="s">
        <v>3300</v>
      </c>
      <c r="I3548" s="64" t="s">
        <v>4438</v>
      </c>
      <c r="J3548" s="67">
        <v>0</v>
      </c>
      <c r="K3548" s="62">
        <v>649</v>
      </c>
      <c r="L3548" s="33" t="e">
        <f>HLOOKUP(B3548,#REF!,1,0)</f>
        <v>#REF!</v>
      </c>
      <c r="M3548" s="33" t="str">
        <f t="shared" si="223"/>
        <v>P&amp;L</v>
      </c>
    </row>
    <row r="3549" spans="1:13" s="33" customFormat="true" ht="12.75" customHeight="true">
      <c r="A3549" s="33" t="str">
        <f t="shared" si="220"/>
        <v>BVI - Income Tax</v>
      </c>
      <c r="B3549" s="33" t="str">
        <f t="shared" si="221"/>
        <v>BVI</v>
      </c>
      <c r="C3549" s="33" t="str">
        <f t="shared" si="222"/>
        <v>99901-0000</v>
      </c>
      <c r="D3549" s="64" t="s">
        <v>4439</v>
      </c>
      <c r="E3549" s="64" t="s">
        <v>4440</v>
      </c>
      <c r="F3549" s="64" t="s">
        <v>547</v>
      </c>
      <c r="G3549" s="64" t="s">
        <v>3326</v>
      </c>
      <c r="H3549" s="64" t="s">
        <v>3378</v>
      </c>
      <c r="I3549" s="64" t="s">
        <v>3379</v>
      </c>
      <c r="J3549" s="67">
        <v>0</v>
      </c>
      <c r="K3549" s="62">
        <v>1700</v>
      </c>
      <c r="L3549" s="33" t="e">
        <f>HLOOKUP(B3549,#REF!,1,0)</f>
        <v>#REF!</v>
      </c>
      <c r="M3549" s="33" t="str">
        <f t="shared" si="223"/>
        <v>P&amp;L</v>
      </c>
    </row>
    <row r="3550" spans="1:13" s="33" customFormat="true" ht="12.75" customHeight="true">
      <c r="A3550" s="33" t="str">
        <f t="shared" si="220"/>
        <v>CDP - AR-PPD</v>
      </c>
      <c r="B3550" s="33" t="str">
        <f t="shared" si="221"/>
        <v>CDP</v>
      </c>
      <c r="C3550" s="33" t="str">
        <f t="shared" si="222"/>
        <v>12000-0000</v>
      </c>
      <c r="D3550" s="64" t="s">
        <v>4441</v>
      </c>
      <c r="E3550" s="64" t="s">
        <v>56</v>
      </c>
      <c r="F3550" s="64" t="s">
        <v>574</v>
      </c>
      <c r="G3550" s="64" t="s">
        <v>16</v>
      </c>
      <c r="H3550" s="64" t="s">
        <v>35</v>
      </c>
      <c r="I3550" s="64" t="s">
        <v>57</v>
      </c>
      <c r="J3550" s="67">
        <v>0</v>
      </c>
      <c r="K3550" s="62">
        <v>0</v>
      </c>
      <c r="L3550" s="33" t="e">
        <f>HLOOKUP(B3550,#REF!,1,0)</f>
        <v>#REF!</v>
      </c>
      <c r="M3550" s="33" t="str">
        <f t="shared" si="223"/>
        <v>BS</v>
      </c>
    </row>
    <row r="3551" spans="1:13" s="33" customFormat="true" ht="12.75" customHeight="true">
      <c r="A3551" s="33" t="str">
        <f t="shared" si="220"/>
        <v>CDP - AP-Accr Exp</v>
      </c>
      <c r="B3551" s="33" t="str">
        <f t="shared" si="221"/>
        <v>CDP</v>
      </c>
      <c r="C3551" s="33" t="str">
        <f t="shared" si="222"/>
        <v>20100-0000</v>
      </c>
      <c r="D3551" s="64" t="s">
        <v>4442</v>
      </c>
      <c r="E3551" s="64" t="s">
        <v>96</v>
      </c>
      <c r="F3551" s="64" t="s">
        <v>574</v>
      </c>
      <c r="G3551" s="64" t="s">
        <v>97</v>
      </c>
      <c r="H3551" s="64" t="s">
        <v>98</v>
      </c>
      <c r="I3551" s="64" t="s">
        <v>99</v>
      </c>
      <c r="J3551" s="67">
        <v>0</v>
      </c>
      <c r="K3551" s="62">
        <v>0</v>
      </c>
      <c r="L3551" s="33" t="e">
        <f>HLOOKUP(B3551,#REF!,1,0)</f>
        <v>#REF!</v>
      </c>
      <c r="M3551" s="33" t="str">
        <f t="shared" si="223"/>
        <v>BS</v>
      </c>
    </row>
    <row r="3552" spans="1:13" s="33" customFormat="true" ht="12.75" customHeight="true">
      <c r="A3552" s="33" t="str">
        <f t="shared" si="220"/>
        <v>CDP - AP-Accr Exp</v>
      </c>
      <c r="B3552" s="33" t="str">
        <f t="shared" si="221"/>
        <v>CDP</v>
      </c>
      <c r="C3552" s="33" t="str">
        <f t="shared" si="222"/>
        <v>23509-0000</v>
      </c>
      <c r="D3552" s="64" t="s">
        <v>4443</v>
      </c>
      <c r="E3552" s="64" t="s">
        <v>111</v>
      </c>
      <c r="F3552" s="64" t="s">
        <v>230</v>
      </c>
      <c r="G3552" s="64" t="s">
        <v>4444</v>
      </c>
      <c r="H3552" s="64" t="s">
        <v>98</v>
      </c>
      <c r="I3552" s="64" t="s">
        <v>102</v>
      </c>
      <c r="J3552" s="67">
        <v>0</v>
      </c>
      <c r="K3552" s="62">
        <v>-2844.99</v>
      </c>
      <c r="L3552" s="33" t="e">
        <f>HLOOKUP(B3552,#REF!,1,0)</f>
        <v>#REF!</v>
      </c>
      <c r="M3552" s="33" t="str">
        <f t="shared" si="223"/>
        <v>BS</v>
      </c>
    </row>
    <row r="3553" spans="1:13" s="33" customFormat="true" ht="12.75" customHeight="true">
      <c r="A3553" s="33" t="str">
        <f t="shared" si="220"/>
        <v>CDP - Revenue</v>
      </c>
      <c r="B3553" s="33" t="str">
        <f t="shared" si="221"/>
        <v>CDP</v>
      </c>
      <c r="C3553" s="33" t="str">
        <f t="shared" si="222"/>
        <v>40300-0000</v>
      </c>
      <c r="D3553" s="64" t="s">
        <v>4445</v>
      </c>
      <c r="E3553" s="64" t="s">
        <v>4446</v>
      </c>
      <c r="F3553" s="64" t="s">
        <v>574</v>
      </c>
      <c r="G3553" s="64" t="s">
        <v>4447</v>
      </c>
      <c r="H3553" s="64" t="s">
        <v>2871</v>
      </c>
      <c r="I3553" s="64" t="s">
        <v>4448</v>
      </c>
      <c r="J3553" s="67">
        <v>-191667.09</v>
      </c>
      <c r="K3553" s="62">
        <v>-1916670.9</v>
      </c>
      <c r="L3553" s="33" t="e">
        <f>HLOOKUP(B3553,#REF!,1,0)</f>
        <v>#REF!</v>
      </c>
      <c r="M3553" s="33" t="str">
        <f t="shared" si="223"/>
        <v>P&amp;L</v>
      </c>
    </row>
    <row r="3554" spans="1:13" s="33" customFormat="true" ht="12.75" customHeight="true">
      <c r="A3554" s="33" t="str">
        <f t="shared" si="220"/>
        <v>CDP - Operating Expense</v>
      </c>
      <c r="B3554" s="33" t="str">
        <f t="shared" si="221"/>
        <v>CDP</v>
      </c>
      <c r="C3554" s="33" t="str">
        <f t="shared" si="222"/>
        <v>50100-0000</v>
      </c>
      <c r="D3554" s="64" t="s">
        <v>4449</v>
      </c>
      <c r="E3554" s="64" t="s">
        <v>4450</v>
      </c>
      <c r="F3554" s="64" t="s">
        <v>574</v>
      </c>
      <c r="G3554" s="64" t="s">
        <v>4426</v>
      </c>
      <c r="H3554" s="64" t="s">
        <v>3022</v>
      </c>
      <c r="I3554" s="64" t="s">
        <v>4451</v>
      </c>
      <c r="J3554" s="67">
        <v>26231</v>
      </c>
      <c r="K3554" s="62">
        <v>435021</v>
      </c>
      <c r="L3554" s="33" t="e">
        <f>HLOOKUP(B3554,#REF!,1,0)</f>
        <v>#REF!</v>
      </c>
      <c r="M3554" s="33" t="str">
        <f t="shared" si="223"/>
        <v>P&amp;L</v>
      </c>
    </row>
    <row r="3555" spans="1:13" s="33" customFormat="true" ht="12.75" customHeight="true">
      <c r="A3555" s="33" t="str">
        <f t="shared" si="220"/>
        <v>CDP - Operating Expense</v>
      </c>
      <c r="B3555" s="33" t="str">
        <f t="shared" si="221"/>
        <v>CDP</v>
      </c>
      <c r="C3555" s="33" t="str">
        <f t="shared" si="222"/>
        <v>51010-0000</v>
      </c>
      <c r="D3555" s="64" t="s">
        <v>4452</v>
      </c>
      <c r="E3555" s="64" t="s">
        <v>4453</v>
      </c>
      <c r="F3555" s="64" t="s">
        <v>574</v>
      </c>
      <c r="G3555" s="64" t="s">
        <v>4426</v>
      </c>
      <c r="H3555" s="64" t="s">
        <v>3022</v>
      </c>
      <c r="I3555" s="64" t="s">
        <v>4454</v>
      </c>
      <c r="J3555" s="67">
        <v>4221.41</v>
      </c>
      <c r="K3555" s="62">
        <v>40219.36</v>
      </c>
      <c r="L3555" s="33" t="e">
        <f>HLOOKUP(B3555,#REF!,1,0)</f>
        <v>#REF!</v>
      </c>
      <c r="M3555" s="33" t="str">
        <f t="shared" si="223"/>
        <v>P&amp;L</v>
      </c>
    </row>
    <row r="3556" spans="1:13" s="33" customFormat="true" ht="12.75" customHeight="true">
      <c r="A3556" s="33" t="str">
        <f t="shared" si="220"/>
        <v>CDP - Operating Expense</v>
      </c>
      <c r="B3556" s="33" t="str">
        <f t="shared" si="221"/>
        <v>CDP</v>
      </c>
      <c r="C3556" s="33" t="str">
        <f t="shared" si="222"/>
        <v>51010-0001</v>
      </c>
      <c r="D3556" s="64" t="s">
        <v>4455</v>
      </c>
      <c r="E3556" s="64" t="s">
        <v>4456</v>
      </c>
      <c r="F3556" s="64" t="s">
        <v>574</v>
      </c>
      <c r="G3556" s="64" t="s">
        <v>4426</v>
      </c>
      <c r="H3556" s="64" t="s">
        <v>3022</v>
      </c>
      <c r="I3556" s="64" t="s">
        <v>4454</v>
      </c>
      <c r="J3556" s="67">
        <v>0</v>
      </c>
      <c r="K3556" s="62">
        <v>84341.58</v>
      </c>
      <c r="L3556" s="33" t="e">
        <f>HLOOKUP(B3556,#REF!,1,0)</f>
        <v>#REF!</v>
      </c>
      <c r="M3556" s="33" t="str">
        <f t="shared" si="223"/>
        <v>P&amp;L</v>
      </c>
    </row>
    <row r="3557" spans="1:13" s="33" customFormat="true" ht="12.75" customHeight="true">
      <c r="A3557" s="33" t="str">
        <f t="shared" si="220"/>
        <v>CDP - Operating Expense</v>
      </c>
      <c r="B3557" s="33" t="str">
        <f t="shared" si="221"/>
        <v>CDP</v>
      </c>
      <c r="C3557" s="33" t="str">
        <f t="shared" si="222"/>
        <v>51020-0000</v>
      </c>
      <c r="D3557" s="64" t="s">
        <v>4457</v>
      </c>
      <c r="E3557" s="64" t="s">
        <v>4458</v>
      </c>
      <c r="F3557" s="64" t="s">
        <v>574</v>
      </c>
      <c r="G3557" s="64" t="s">
        <v>4426</v>
      </c>
      <c r="H3557" s="64" t="s">
        <v>3022</v>
      </c>
      <c r="I3557" s="64" t="s">
        <v>4459</v>
      </c>
      <c r="J3557" s="67">
        <v>32667.35</v>
      </c>
      <c r="K3557" s="62">
        <v>197149.3</v>
      </c>
      <c r="L3557" s="33" t="e">
        <f>HLOOKUP(B3557,#REF!,1,0)</f>
        <v>#REF!</v>
      </c>
      <c r="M3557" s="33" t="str">
        <f t="shared" si="223"/>
        <v>P&amp;L</v>
      </c>
    </row>
    <row r="3558" spans="1:13" s="33" customFormat="true" ht="12.75" customHeight="true">
      <c r="A3558" s="33" t="str">
        <f t="shared" si="220"/>
        <v>CDP - Operating Expense</v>
      </c>
      <c r="B3558" s="33" t="str">
        <f t="shared" si="221"/>
        <v>CDP</v>
      </c>
      <c r="C3558" s="33" t="str">
        <f t="shared" si="222"/>
        <v>51020-0001</v>
      </c>
      <c r="D3558" s="64" t="s">
        <v>4460</v>
      </c>
      <c r="E3558" s="64" t="s">
        <v>4461</v>
      </c>
      <c r="F3558" s="64" t="s">
        <v>574</v>
      </c>
      <c r="G3558" s="64" t="s">
        <v>4426</v>
      </c>
      <c r="H3558" s="64" t="s">
        <v>3022</v>
      </c>
      <c r="I3558" s="64" t="s">
        <v>4459</v>
      </c>
      <c r="J3558" s="67">
        <v>0</v>
      </c>
      <c r="K3558" s="62">
        <v>45215.66</v>
      </c>
      <c r="L3558" s="33" t="e">
        <f>HLOOKUP(B3558,#REF!,1,0)</f>
        <v>#REF!</v>
      </c>
      <c r="M3558" s="33" t="str">
        <f t="shared" si="223"/>
        <v>P&amp;L</v>
      </c>
    </row>
    <row r="3559" spans="1:13" s="33" customFormat="true" ht="12.75" customHeight="true">
      <c r="A3559" s="33" t="str">
        <f t="shared" si="220"/>
        <v>CDP - Operating Expense</v>
      </c>
      <c r="B3559" s="33" t="str">
        <f t="shared" si="221"/>
        <v>CDP</v>
      </c>
      <c r="C3559" s="33" t="str">
        <f t="shared" si="222"/>
        <v>51020-0003</v>
      </c>
      <c r="D3559" s="64" t="s">
        <v>4462</v>
      </c>
      <c r="E3559" s="64" t="s">
        <v>4463</v>
      </c>
      <c r="F3559" s="64" t="s">
        <v>574</v>
      </c>
      <c r="G3559" s="64" t="s">
        <v>4426</v>
      </c>
      <c r="H3559" s="64" t="s">
        <v>3022</v>
      </c>
      <c r="I3559" s="64" t="s">
        <v>4459</v>
      </c>
      <c r="J3559" s="67">
        <v>0</v>
      </c>
      <c r="K3559" s="62">
        <v>110907.88</v>
      </c>
      <c r="L3559" s="33" t="e">
        <f>HLOOKUP(B3559,#REF!,1,0)</f>
        <v>#REF!</v>
      </c>
      <c r="M3559" s="33" t="str">
        <f t="shared" si="223"/>
        <v>P&amp;L</v>
      </c>
    </row>
    <row r="3560" spans="1:13" s="33" customFormat="true" ht="12.75" customHeight="true">
      <c r="A3560" s="33" t="str">
        <f t="shared" si="220"/>
        <v>CDP - Operating Expense</v>
      </c>
      <c r="B3560" s="33" t="str">
        <f t="shared" si="221"/>
        <v>CDP</v>
      </c>
      <c r="C3560" s="33" t="str">
        <f t="shared" si="222"/>
        <v>51030-0000</v>
      </c>
      <c r="D3560" s="64" t="s">
        <v>4464</v>
      </c>
      <c r="E3560" s="64" t="s">
        <v>4465</v>
      </c>
      <c r="F3560" s="64" t="s">
        <v>574</v>
      </c>
      <c r="G3560" s="64" t="s">
        <v>4426</v>
      </c>
      <c r="H3560" s="64" t="s">
        <v>3022</v>
      </c>
      <c r="I3560" s="64" t="s">
        <v>4466</v>
      </c>
      <c r="J3560" s="67">
        <v>4862.53</v>
      </c>
      <c r="K3560" s="62">
        <v>58319.15</v>
      </c>
      <c r="L3560" s="33" t="e">
        <f>HLOOKUP(B3560,#REF!,1,0)</f>
        <v>#REF!</v>
      </c>
      <c r="M3560" s="33" t="str">
        <f t="shared" si="223"/>
        <v>P&amp;L</v>
      </c>
    </row>
    <row r="3561" spans="1:13" s="33" customFormat="true" ht="12.75" customHeight="true">
      <c r="A3561" s="33" t="str">
        <f t="shared" si="220"/>
        <v>CDP - Operating Expense</v>
      </c>
      <c r="B3561" s="33" t="str">
        <f t="shared" si="221"/>
        <v>CDP</v>
      </c>
      <c r="C3561" s="33" t="str">
        <f t="shared" si="222"/>
        <v>51040-0000</v>
      </c>
      <c r="D3561" s="64" t="s">
        <v>4467</v>
      </c>
      <c r="E3561" s="64" t="s">
        <v>4468</v>
      </c>
      <c r="F3561" s="64" t="s">
        <v>574</v>
      </c>
      <c r="G3561" s="64" t="s">
        <v>4426</v>
      </c>
      <c r="H3561" s="64" t="s">
        <v>3022</v>
      </c>
      <c r="I3561" s="64" t="s">
        <v>4469</v>
      </c>
      <c r="J3561" s="67">
        <v>10527.9</v>
      </c>
      <c r="K3561" s="62">
        <v>207221.92</v>
      </c>
      <c r="L3561" s="33" t="e">
        <f>HLOOKUP(B3561,#REF!,1,0)</f>
        <v>#REF!</v>
      </c>
      <c r="M3561" s="33" t="str">
        <f t="shared" si="223"/>
        <v>P&amp;L</v>
      </c>
    </row>
    <row r="3562" spans="1:13" s="33" customFormat="true" ht="12.75" customHeight="true">
      <c r="A3562" s="33" t="str">
        <f t="shared" si="220"/>
        <v>CDP - Operating Expense</v>
      </c>
      <c r="B3562" s="33" t="str">
        <f t="shared" si="221"/>
        <v>CDP</v>
      </c>
      <c r="C3562" s="33" t="str">
        <f t="shared" si="222"/>
        <v>51050-0000</v>
      </c>
      <c r="D3562" s="64" t="s">
        <v>4470</v>
      </c>
      <c r="E3562" s="64" t="s">
        <v>4471</v>
      </c>
      <c r="F3562" s="64" t="s">
        <v>574</v>
      </c>
      <c r="G3562" s="64" t="s">
        <v>4426</v>
      </c>
      <c r="H3562" s="64" t="s">
        <v>3022</v>
      </c>
      <c r="I3562" s="64" t="s">
        <v>4472</v>
      </c>
      <c r="J3562" s="67">
        <v>11998.61</v>
      </c>
      <c r="K3562" s="62">
        <v>89205.49</v>
      </c>
      <c r="L3562" s="33" t="e">
        <f>HLOOKUP(B3562,#REF!,1,0)</f>
        <v>#REF!</v>
      </c>
      <c r="M3562" s="33" t="str">
        <f t="shared" si="223"/>
        <v>P&amp;L</v>
      </c>
    </row>
    <row r="3563" spans="1:13" s="33" customFormat="true" ht="12.75" customHeight="true">
      <c r="A3563" s="33" t="str">
        <f t="shared" si="220"/>
        <v>CDP - Operating Expense</v>
      </c>
      <c r="B3563" s="33" t="str">
        <f t="shared" si="221"/>
        <v>CDP</v>
      </c>
      <c r="C3563" s="33" t="str">
        <f t="shared" si="222"/>
        <v>52010-0000</v>
      </c>
      <c r="D3563" s="64" t="s">
        <v>4473</v>
      </c>
      <c r="E3563" s="64" t="s">
        <v>4474</v>
      </c>
      <c r="F3563" s="64" t="s">
        <v>574</v>
      </c>
      <c r="G3563" s="64" t="s">
        <v>4426</v>
      </c>
      <c r="H3563" s="64" t="s">
        <v>3022</v>
      </c>
      <c r="I3563" s="64" t="s">
        <v>4475</v>
      </c>
      <c r="J3563" s="67">
        <v>959.34</v>
      </c>
      <c r="K3563" s="62">
        <v>6180.29</v>
      </c>
      <c r="L3563" s="33" t="e">
        <f>HLOOKUP(B3563,#REF!,1,0)</f>
        <v>#REF!</v>
      </c>
      <c r="M3563" s="33" t="str">
        <f t="shared" si="223"/>
        <v>P&amp;L</v>
      </c>
    </row>
    <row r="3564" spans="1:13" s="33" customFormat="true" ht="12.75" customHeight="true">
      <c r="A3564" s="33" t="str">
        <f t="shared" si="220"/>
        <v>CDP - CGS</v>
      </c>
      <c r="B3564" s="33" t="str">
        <f t="shared" si="221"/>
        <v>CDP</v>
      </c>
      <c r="C3564" s="33" t="str">
        <f t="shared" si="222"/>
        <v>57900-0000</v>
      </c>
      <c r="D3564" s="64" t="s">
        <v>4476</v>
      </c>
      <c r="E3564" s="64" t="s">
        <v>4425</v>
      </c>
      <c r="F3564" s="64" t="s">
        <v>574</v>
      </c>
      <c r="G3564" s="64" t="s">
        <v>4426</v>
      </c>
      <c r="H3564" s="64" t="s">
        <v>1875</v>
      </c>
      <c r="I3564" s="64" t="s">
        <v>4427</v>
      </c>
      <c r="J3564" s="67">
        <v>0</v>
      </c>
      <c r="K3564" s="62">
        <v>1315</v>
      </c>
      <c r="L3564" s="33" t="e">
        <f>HLOOKUP(B3564,#REF!,1,0)</f>
        <v>#REF!</v>
      </c>
      <c r="M3564" s="33" t="str">
        <f t="shared" si="223"/>
        <v>P&amp;L</v>
      </c>
    </row>
    <row r="3565" spans="1:13" s="33" customFormat="true" ht="12.75" customHeight="true">
      <c r="A3565" s="33" t="str">
        <f t="shared" si="220"/>
        <v>CDP - Operating Expense</v>
      </c>
      <c r="B3565" s="33" t="str">
        <f t="shared" si="221"/>
        <v>CDP</v>
      </c>
      <c r="C3565" s="33" t="str">
        <f t="shared" si="222"/>
        <v>64510-0000</v>
      </c>
      <c r="D3565" s="64" t="s">
        <v>4477</v>
      </c>
      <c r="E3565" s="64" t="s">
        <v>4478</v>
      </c>
      <c r="F3565" s="64" t="s">
        <v>574</v>
      </c>
      <c r="G3565" s="64" t="s">
        <v>4426</v>
      </c>
      <c r="H3565" s="64" t="s">
        <v>3022</v>
      </c>
      <c r="I3565" s="64" t="s">
        <v>4479</v>
      </c>
      <c r="J3565" s="67">
        <v>122.32</v>
      </c>
      <c r="K3565" s="62">
        <v>963.24</v>
      </c>
      <c r="L3565" s="33" t="e">
        <f>HLOOKUP(B3565,#REF!,1,0)</f>
        <v>#REF!</v>
      </c>
      <c r="M3565" s="33" t="str">
        <f t="shared" si="223"/>
        <v>P&amp;L</v>
      </c>
    </row>
    <row r="3566" spans="1:13" s="33" customFormat="true" ht="12.75" customHeight="true">
      <c r="A3566" s="33" t="str">
        <f t="shared" si="220"/>
        <v>CDP - Operating Expense</v>
      </c>
      <c r="B3566" s="33" t="str">
        <f t="shared" si="221"/>
        <v>CDP</v>
      </c>
      <c r="C3566" s="33" t="str">
        <f t="shared" si="222"/>
        <v>64520-0000</v>
      </c>
      <c r="D3566" s="64" t="s">
        <v>4480</v>
      </c>
      <c r="E3566" s="64" t="s">
        <v>4481</v>
      </c>
      <c r="F3566" s="64" t="s">
        <v>574</v>
      </c>
      <c r="G3566" s="64" t="s">
        <v>4426</v>
      </c>
      <c r="H3566" s="64" t="s">
        <v>3022</v>
      </c>
      <c r="I3566" s="64" t="s">
        <v>4482</v>
      </c>
      <c r="J3566" s="67">
        <v>0</v>
      </c>
      <c r="K3566" s="62">
        <v>18503.47</v>
      </c>
      <c r="L3566" s="33" t="e">
        <f>HLOOKUP(B3566,#REF!,1,0)</f>
        <v>#REF!</v>
      </c>
      <c r="M3566" s="33" t="str">
        <f t="shared" si="223"/>
        <v>P&amp;L</v>
      </c>
    </row>
    <row r="3567" spans="1:13" s="33" customFormat="true" ht="12.75" customHeight="true">
      <c r="A3567" s="33" t="str">
        <f t="shared" si="220"/>
        <v>CDP - Operating Expense</v>
      </c>
      <c r="B3567" s="33" t="str">
        <f t="shared" si="221"/>
        <v>CDP</v>
      </c>
      <c r="C3567" s="33" t="str">
        <f t="shared" si="222"/>
        <v>64530-0000</v>
      </c>
      <c r="D3567" s="64" t="s">
        <v>4483</v>
      </c>
      <c r="E3567" s="64" t="s">
        <v>4484</v>
      </c>
      <c r="F3567" s="64" t="s">
        <v>574</v>
      </c>
      <c r="G3567" s="64" t="s">
        <v>4426</v>
      </c>
      <c r="H3567" s="64" t="s">
        <v>3022</v>
      </c>
      <c r="I3567" s="64" t="s">
        <v>4479</v>
      </c>
      <c r="J3567" s="67">
        <v>221.88</v>
      </c>
      <c r="K3567" s="62">
        <v>2590.45</v>
      </c>
      <c r="L3567" s="33" t="e">
        <f>HLOOKUP(B3567,#REF!,1,0)</f>
        <v>#REF!</v>
      </c>
      <c r="M3567" s="33" t="str">
        <f t="shared" si="223"/>
        <v>P&amp;L</v>
      </c>
    </row>
    <row r="3568" spans="1:13" s="33" customFormat="true" ht="12.75" customHeight="true">
      <c r="A3568" s="33" t="str">
        <f t="shared" si="220"/>
        <v>CDP - Operating Expense</v>
      </c>
      <c r="B3568" s="33" t="str">
        <f t="shared" si="221"/>
        <v>CDP</v>
      </c>
      <c r="C3568" s="33" t="str">
        <f t="shared" si="222"/>
        <v>66010-0000</v>
      </c>
      <c r="D3568" s="64" t="s">
        <v>4485</v>
      </c>
      <c r="E3568" s="64" t="s">
        <v>4486</v>
      </c>
      <c r="F3568" s="64" t="s">
        <v>574</v>
      </c>
      <c r="G3568" s="64" t="s">
        <v>4426</v>
      </c>
      <c r="H3568" s="64" t="s">
        <v>3022</v>
      </c>
      <c r="I3568" s="64" t="s">
        <v>4487</v>
      </c>
      <c r="J3568" s="67">
        <v>0</v>
      </c>
      <c r="K3568" s="62">
        <v>31.07</v>
      </c>
      <c r="L3568" s="33" t="e">
        <f>HLOOKUP(B3568,#REF!,1,0)</f>
        <v>#REF!</v>
      </c>
      <c r="M3568" s="33" t="str">
        <f t="shared" si="223"/>
        <v>P&amp;L</v>
      </c>
    </row>
    <row r="3569" spans="1:13" s="33" customFormat="true" ht="12.75" customHeight="true">
      <c r="A3569" s="33" t="str">
        <f t="shared" si="220"/>
        <v>CDP - Operating Expense</v>
      </c>
      <c r="B3569" s="33" t="str">
        <f t="shared" si="221"/>
        <v>CDP</v>
      </c>
      <c r="C3569" s="33" t="str">
        <f t="shared" si="222"/>
        <v>90010-0000</v>
      </c>
      <c r="D3569" s="64" t="s">
        <v>4488</v>
      </c>
      <c r="E3569" s="64" t="s">
        <v>4489</v>
      </c>
      <c r="F3569" s="64" t="s">
        <v>574</v>
      </c>
      <c r="G3569" s="64" t="s">
        <v>4490</v>
      </c>
      <c r="H3569" s="64" t="s">
        <v>3022</v>
      </c>
      <c r="I3569" s="64" t="s">
        <v>4491</v>
      </c>
      <c r="J3569" s="67">
        <v>32067.87</v>
      </c>
      <c r="K3569" s="62">
        <v>335978.11</v>
      </c>
      <c r="L3569" s="33" t="e">
        <f>HLOOKUP(B3569,#REF!,1,0)</f>
        <v>#REF!</v>
      </c>
      <c r="M3569" s="33" t="str">
        <f t="shared" si="223"/>
        <v>P&amp;L</v>
      </c>
    </row>
    <row r="3570" spans="1:13" s="33" customFormat="true" ht="12.75" customHeight="true">
      <c r="A3570" s="33" t="str">
        <f t="shared" si="220"/>
        <v>CDP - Operating Expense</v>
      </c>
      <c r="B3570" s="33" t="str">
        <f t="shared" si="221"/>
        <v>CDP</v>
      </c>
      <c r="C3570" s="33" t="str">
        <f t="shared" si="222"/>
        <v>90110-0000</v>
      </c>
      <c r="D3570" s="64" t="s">
        <v>4492</v>
      </c>
      <c r="E3570" s="64" t="s">
        <v>4493</v>
      </c>
      <c r="F3570" s="64" t="s">
        <v>574</v>
      </c>
      <c r="G3570" s="64" t="s">
        <v>4490</v>
      </c>
      <c r="H3570" s="64" t="s">
        <v>3022</v>
      </c>
      <c r="I3570" s="64" t="s">
        <v>4494</v>
      </c>
      <c r="J3570" s="67">
        <v>2215.28</v>
      </c>
      <c r="K3570" s="62">
        <v>25781.33</v>
      </c>
      <c r="L3570" s="33" t="e">
        <f>HLOOKUP(B3570,#REF!,1,0)</f>
        <v>#REF!</v>
      </c>
      <c r="M3570" s="33" t="str">
        <f t="shared" si="223"/>
        <v>P&amp;L</v>
      </c>
    </row>
    <row r="3571" spans="1:13" s="33" customFormat="true" ht="12.75" customHeight="true">
      <c r="A3571" s="33" t="str">
        <f t="shared" si="220"/>
        <v>CDP - Operating Expense</v>
      </c>
      <c r="B3571" s="33" t="str">
        <f t="shared" si="221"/>
        <v>CDP</v>
      </c>
      <c r="C3571" s="33" t="str">
        <f t="shared" si="222"/>
        <v>90120-0000</v>
      </c>
      <c r="D3571" s="64" t="s">
        <v>4495</v>
      </c>
      <c r="E3571" s="64" t="s">
        <v>4496</v>
      </c>
      <c r="F3571" s="64" t="s">
        <v>574</v>
      </c>
      <c r="G3571" s="64" t="s">
        <v>4490</v>
      </c>
      <c r="H3571" s="64" t="s">
        <v>3022</v>
      </c>
      <c r="I3571" s="64" t="s">
        <v>4497</v>
      </c>
      <c r="J3571" s="67">
        <v>2027.09</v>
      </c>
      <c r="K3571" s="62">
        <v>21837.03</v>
      </c>
      <c r="L3571" s="33" t="e">
        <f>HLOOKUP(B3571,#REF!,1,0)</f>
        <v>#REF!</v>
      </c>
      <c r="M3571" s="33" t="str">
        <f t="shared" si="223"/>
        <v>P&amp;L</v>
      </c>
    </row>
    <row r="3572" spans="1:13" s="33" customFormat="true" ht="12.75" customHeight="true">
      <c r="A3572" s="33" t="str">
        <f t="shared" si="220"/>
        <v>CDP - Operating Expense</v>
      </c>
      <c r="B3572" s="33" t="str">
        <f t="shared" si="221"/>
        <v>CDP</v>
      </c>
      <c r="C3572" s="33" t="str">
        <f t="shared" si="222"/>
        <v>90200-0000</v>
      </c>
      <c r="D3572" s="64" t="s">
        <v>4498</v>
      </c>
      <c r="E3572" s="64" t="s">
        <v>1873</v>
      </c>
      <c r="F3572" s="64" t="s">
        <v>574</v>
      </c>
      <c r="G3572" s="64" t="s">
        <v>4490</v>
      </c>
      <c r="H3572" s="64" t="s">
        <v>3022</v>
      </c>
      <c r="I3572" s="64" t="s">
        <v>1876</v>
      </c>
      <c r="J3572" s="67">
        <v>0</v>
      </c>
      <c r="K3572" s="62">
        <v>3347.55</v>
      </c>
      <c r="L3572" s="33" t="e">
        <f>HLOOKUP(B3572,#REF!,1,0)</f>
        <v>#REF!</v>
      </c>
      <c r="M3572" s="33" t="str">
        <f t="shared" si="223"/>
        <v>P&amp;L</v>
      </c>
    </row>
    <row r="3573" spans="1:13" s="33" customFormat="true" ht="12.75" customHeight="true">
      <c r="A3573" s="33" t="str">
        <f t="shared" si="220"/>
        <v>CDP - Operating Expense</v>
      </c>
      <c r="B3573" s="33" t="str">
        <f t="shared" si="221"/>
        <v>CDP</v>
      </c>
      <c r="C3573" s="33" t="str">
        <f t="shared" si="222"/>
        <v>91010-0000</v>
      </c>
      <c r="D3573" s="64" t="s">
        <v>4499</v>
      </c>
      <c r="E3573" s="64" t="s">
        <v>4500</v>
      </c>
      <c r="F3573" s="64" t="s">
        <v>574</v>
      </c>
      <c r="G3573" s="64" t="s">
        <v>3326</v>
      </c>
      <c r="H3573" s="64" t="s">
        <v>3022</v>
      </c>
      <c r="I3573" s="64" t="s">
        <v>4501</v>
      </c>
      <c r="J3573" s="67">
        <v>4619.89</v>
      </c>
      <c r="K3573" s="62">
        <v>48078.47</v>
      </c>
      <c r="L3573" s="33" t="e">
        <f>HLOOKUP(B3573,#REF!,1,0)</f>
        <v>#REF!</v>
      </c>
      <c r="M3573" s="33" t="str">
        <f t="shared" si="223"/>
        <v>P&amp;L</v>
      </c>
    </row>
    <row r="3574" spans="1:13" s="33" customFormat="true" ht="12.75" customHeight="true">
      <c r="A3574" s="33" t="str">
        <f t="shared" si="220"/>
        <v>CDP - Operating Expense</v>
      </c>
      <c r="B3574" s="33" t="str">
        <f t="shared" si="221"/>
        <v>CDP</v>
      </c>
      <c r="C3574" s="33" t="str">
        <f t="shared" si="222"/>
        <v>91020-0000</v>
      </c>
      <c r="D3574" s="64" t="s">
        <v>4502</v>
      </c>
      <c r="E3574" s="64" t="s">
        <v>4503</v>
      </c>
      <c r="F3574" s="64" t="s">
        <v>574</v>
      </c>
      <c r="G3574" s="64" t="s">
        <v>4490</v>
      </c>
      <c r="H3574" s="64" t="s">
        <v>3022</v>
      </c>
      <c r="I3574" s="64" t="s">
        <v>3340</v>
      </c>
      <c r="J3574" s="67">
        <v>0</v>
      </c>
      <c r="K3574" s="62">
        <v>190.04</v>
      </c>
      <c r="L3574" s="33" t="e">
        <f>HLOOKUP(B3574,#REF!,1,0)</f>
        <v>#REF!</v>
      </c>
      <c r="M3574" s="33" t="str">
        <f t="shared" si="223"/>
        <v>P&amp;L</v>
      </c>
    </row>
    <row r="3575" spans="1:13" s="33" customFormat="true" ht="12.75" customHeight="true">
      <c r="A3575" s="33" t="str">
        <f t="shared" si="220"/>
        <v>CDP - Operating Expense</v>
      </c>
      <c r="B3575" s="33" t="str">
        <f t="shared" si="221"/>
        <v>CDP</v>
      </c>
      <c r="C3575" s="33" t="str">
        <f t="shared" si="222"/>
        <v>91040-0000</v>
      </c>
      <c r="D3575" s="64" t="s">
        <v>4504</v>
      </c>
      <c r="E3575" s="64" t="s">
        <v>3159</v>
      </c>
      <c r="F3575" s="64" t="s">
        <v>574</v>
      </c>
      <c r="G3575" s="64" t="s">
        <v>4490</v>
      </c>
      <c r="H3575" s="64" t="s">
        <v>3022</v>
      </c>
      <c r="I3575" s="64" t="s">
        <v>3782</v>
      </c>
      <c r="J3575" s="67">
        <v>228.39</v>
      </c>
      <c r="K3575" s="62">
        <v>2292.32</v>
      </c>
      <c r="L3575" s="33" t="e">
        <f>HLOOKUP(B3575,#REF!,1,0)</f>
        <v>#REF!</v>
      </c>
      <c r="M3575" s="33" t="str">
        <f t="shared" si="223"/>
        <v>P&amp;L</v>
      </c>
    </row>
    <row r="3576" spans="1:13" s="33" customFormat="true" ht="12.75" customHeight="true">
      <c r="A3576" s="33" t="str">
        <f t="shared" si="220"/>
        <v>CDP - Operating Expense</v>
      </c>
      <c r="B3576" s="33" t="str">
        <f t="shared" si="221"/>
        <v>CDP</v>
      </c>
      <c r="C3576" s="33" t="str">
        <f t="shared" si="222"/>
        <v>91050-0000</v>
      </c>
      <c r="D3576" s="64" t="s">
        <v>4505</v>
      </c>
      <c r="E3576" s="64" t="s">
        <v>4506</v>
      </c>
      <c r="F3576" s="64" t="s">
        <v>574</v>
      </c>
      <c r="G3576" s="64" t="s">
        <v>4490</v>
      </c>
      <c r="H3576" s="64" t="s">
        <v>3022</v>
      </c>
      <c r="I3576" s="64" t="s">
        <v>4507</v>
      </c>
      <c r="J3576" s="67">
        <v>0</v>
      </c>
      <c r="K3576" s="62">
        <v>0</v>
      </c>
      <c r="L3576" s="33" t="e">
        <f>HLOOKUP(B3576,#REF!,1,0)</f>
        <v>#REF!</v>
      </c>
      <c r="M3576" s="33" t="str">
        <f t="shared" si="223"/>
        <v>P&amp;L</v>
      </c>
    </row>
    <row r="3577" spans="1:13" s="33" customFormat="true" ht="12.75" customHeight="true">
      <c r="A3577" s="33" t="str">
        <f t="shared" si="220"/>
        <v>CDP - Operating Expense</v>
      </c>
      <c r="B3577" s="33" t="str">
        <f t="shared" si="221"/>
        <v>CDP</v>
      </c>
      <c r="C3577" s="33" t="str">
        <f t="shared" si="222"/>
        <v>94601-0000</v>
      </c>
      <c r="D3577" s="64" t="s">
        <v>4508</v>
      </c>
      <c r="E3577" s="64" t="s">
        <v>4509</v>
      </c>
      <c r="F3577" s="64" t="s">
        <v>574</v>
      </c>
      <c r="G3577" s="64" t="s">
        <v>3326</v>
      </c>
      <c r="H3577" s="64" t="s">
        <v>3022</v>
      </c>
      <c r="I3577" s="64" t="s">
        <v>4510</v>
      </c>
      <c r="J3577" s="67">
        <v>0</v>
      </c>
      <c r="K3577" s="62">
        <v>7150</v>
      </c>
      <c r="L3577" s="33" t="e">
        <f>HLOOKUP(B3577,#REF!,1,0)</f>
        <v>#REF!</v>
      </c>
      <c r="M3577" s="33" t="str">
        <f t="shared" si="223"/>
        <v>P&amp;L</v>
      </c>
    </row>
    <row r="3578" spans="1:13" s="33" customFormat="true" ht="12.75" customHeight="true">
      <c r="A3578" s="33" t="str">
        <f t="shared" si="220"/>
        <v>CHA - Fixed Assets</v>
      </c>
      <c r="B3578" s="33" t="str">
        <f t="shared" si="221"/>
        <v>CHA</v>
      </c>
      <c r="C3578" s="33" t="str">
        <f t="shared" si="222"/>
        <v>15501-0000</v>
      </c>
      <c r="D3578" s="64" t="s">
        <v>4511</v>
      </c>
      <c r="E3578" s="64" t="s">
        <v>2635</v>
      </c>
      <c r="F3578" s="64" t="s">
        <v>230</v>
      </c>
      <c r="G3578" s="64" t="s">
        <v>62</v>
      </c>
      <c r="H3578" s="64" t="s">
        <v>63</v>
      </c>
      <c r="I3578" s="64" t="s">
        <v>64</v>
      </c>
      <c r="J3578" s="67">
        <v>418.89</v>
      </c>
      <c r="K3578" s="62">
        <v>1644</v>
      </c>
      <c r="L3578" s="33" t="e">
        <f>HLOOKUP(B3578,#REF!,1,0)</f>
        <v>#REF!</v>
      </c>
      <c r="M3578" s="33" t="str">
        <f t="shared" si="223"/>
        <v>BS</v>
      </c>
    </row>
    <row r="3579" spans="1:13" s="33" customFormat="true" ht="12.75" customHeight="true">
      <c r="A3579" s="33" t="str">
        <f t="shared" si="220"/>
        <v>CHA - Prepaid Income</v>
      </c>
      <c r="B3579" s="33" t="str">
        <f t="shared" si="221"/>
        <v>CHA</v>
      </c>
      <c r="C3579" s="33" t="str">
        <f t="shared" si="222"/>
        <v>25300-0000</v>
      </c>
      <c r="D3579" s="64" t="s">
        <v>4512</v>
      </c>
      <c r="E3579" s="64" t="s">
        <v>3677</v>
      </c>
      <c r="F3579" s="64" t="s">
        <v>230</v>
      </c>
      <c r="G3579" s="64" t="s">
        <v>3678</v>
      </c>
      <c r="H3579" s="64" t="s">
        <v>3881</v>
      </c>
      <c r="I3579" s="64" t="s">
        <v>102</v>
      </c>
      <c r="J3579" s="67">
        <v>-4958.75</v>
      </c>
      <c r="K3579" s="62">
        <v>-4958.75</v>
      </c>
      <c r="L3579" s="33" t="e">
        <f>HLOOKUP(B3579,#REF!,1,0)</f>
        <v>#REF!</v>
      </c>
      <c r="M3579" s="33" t="str">
        <f t="shared" si="223"/>
        <v>BS</v>
      </c>
    </row>
    <row r="3580" spans="1:13" s="33" customFormat="true" ht="12.75" customHeight="true">
      <c r="A3580" s="33" t="str">
        <f t="shared" si="220"/>
        <v>CHA - Revenue</v>
      </c>
      <c r="B3580" s="33" t="str">
        <f t="shared" si="221"/>
        <v>CHA</v>
      </c>
      <c r="C3580" s="33" t="str">
        <f t="shared" si="222"/>
        <v>40110-0000</v>
      </c>
      <c r="D3580" s="64" t="s">
        <v>4513</v>
      </c>
      <c r="E3580" s="64" t="s">
        <v>3683</v>
      </c>
      <c r="F3580" s="64" t="s">
        <v>230</v>
      </c>
      <c r="G3580" s="64" t="s">
        <v>3684</v>
      </c>
      <c r="H3580" s="64" t="s">
        <v>2871</v>
      </c>
      <c r="I3580" s="64" t="s">
        <v>3685</v>
      </c>
      <c r="J3580" s="67">
        <v>-38663.18</v>
      </c>
      <c r="K3580" s="62">
        <v>-386631.8</v>
      </c>
      <c r="L3580" s="33" t="e">
        <f>HLOOKUP(B3580,#REF!,1,0)</f>
        <v>#REF!</v>
      </c>
      <c r="M3580" s="33" t="str">
        <f t="shared" si="223"/>
        <v>P&amp;L</v>
      </c>
    </row>
    <row r="3581" spans="1:13" s="33" customFormat="true" ht="12.75" customHeight="true">
      <c r="A3581" s="33" t="str">
        <f t="shared" si="220"/>
        <v>CHA - Revenue</v>
      </c>
      <c r="B3581" s="33" t="str">
        <f t="shared" si="221"/>
        <v>CHA</v>
      </c>
      <c r="C3581" s="33" t="str">
        <f t="shared" si="222"/>
        <v>40120-0000</v>
      </c>
      <c r="D3581" s="64" t="s">
        <v>4514</v>
      </c>
      <c r="E3581" s="64" t="s">
        <v>3687</v>
      </c>
      <c r="F3581" s="64" t="s">
        <v>230</v>
      </c>
      <c r="G3581" s="64" t="s">
        <v>3684</v>
      </c>
      <c r="H3581" s="64" t="s">
        <v>2871</v>
      </c>
      <c r="I3581" s="64" t="s">
        <v>3688</v>
      </c>
      <c r="J3581" s="67">
        <v>-928</v>
      </c>
      <c r="K3581" s="62">
        <v>-6731</v>
      </c>
      <c r="L3581" s="33" t="e">
        <f>HLOOKUP(B3581,#REF!,1,0)</f>
        <v>#REF!</v>
      </c>
      <c r="M3581" s="33" t="str">
        <f t="shared" si="223"/>
        <v>P&amp;L</v>
      </c>
    </row>
    <row r="3582" spans="1:13" s="33" customFormat="true" ht="12.75" customHeight="true">
      <c r="A3582" s="33" t="str">
        <f t="shared" si="220"/>
        <v>CHA - Revenue</v>
      </c>
      <c r="B3582" s="33" t="str">
        <f t="shared" si="221"/>
        <v>CHA</v>
      </c>
      <c r="C3582" s="33" t="str">
        <f t="shared" si="222"/>
        <v>40130-0000</v>
      </c>
      <c r="D3582" s="64" t="s">
        <v>4515</v>
      </c>
      <c r="E3582" s="64" t="s">
        <v>3690</v>
      </c>
      <c r="F3582" s="64" t="s">
        <v>230</v>
      </c>
      <c r="G3582" s="64" t="s">
        <v>3684</v>
      </c>
      <c r="H3582" s="64" t="s">
        <v>2871</v>
      </c>
      <c r="I3582" s="64" t="s">
        <v>3691</v>
      </c>
      <c r="J3582" s="67">
        <v>-366.76</v>
      </c>
      <c r="K3582" s="62">
        <v>-733.52</v>
      </c>
      <c r="L3582" s="33" t="e">
        <f>HLOOKUP(B3582,#REF!,1,0)</f>
        <v>#REF!</v>
      </c>
      <c r="M3582" s="33" t="str">
        <f t="shared" si="223"/>
        <v>P&amp;L</v>
      </c>
    </row>
    <row r="3583" spans="1:13" s="33" customFormat="true" ht="12.75" customHeight="true">
      <c r="A3583" s="33" t="str">
        <f t="shared" si="220"/>
        <v>CHA - Revenue</v>
      </c>
      <c r="B3583" s="33" t="str">
        <f t="shared" si="221"/>
        <v>CHA</v>
      </c>
      <c r="C3583" s="33" t="str">
        <f t="shared" si="222"/>
        <v>40140-0000</v>
      </c>
      <c r="D3583" s="64" t="s">
        <v>4516</v>
      </c>
      <c r="E3583" s="64" t="s">
        <v>3948</v>
      </c>
      <c r="F3583" s="64" t="s">
        <v>230</v>
      </c>
      <c r="G3583" s="64" t="s">
        <v>3684</v>
      </c>
      <c r="H3583" s="64" t="s">
        <v>2871</v>
      </c>
      <c r="I3583" s="64" t="s">
        <v>3949</v>
      </c>
      <c r="J3583" s="67">
        <v>0</v>
      </c>
      <c r="K3583" s="62">
        <v>1553.24</v>
      </c>
      <c r="L3583" s="33" t="e">
        <f>HLOOKUP(B3583,#REF!,1,0)</f>
        <v>#REF!</v>
      </c>
      <c r="M3583" s="33" t="str">
        <f t="shared" si="223"/>
        <v>P&amp;L</v>
      </c>
    </row>
    <row r="3584" spans="1:13" s="33" customFormat="true" ht="12.75" customHeight="true">
      <c r="A3584" s="33" t="str">
        <f t="shared" si="220"/>
        <v>CHA - Revenue</v>
      </c>
      <c r="B3584" s="33" t="str">
        <f t="shared" si="221"/>
        <v>CHA</v>
      </c>
      <c r="C3584" s="33" t="str">
        <f t="shared" si="222"/>
        <v>41110-0000</v>
      </c>
      <c r="D3584" s="64" t="s">
        <v>4517</v>
      </c>
      <c r="E3584" s="64" t="s">
        <v>3693</v>
      </c>
      <c r="F3584" s="64" t="s">
        <v>230</v>
      </c>
      <c r="G3584" s="64" t="s">
        <v>3694</v>
      </c>
      <c r="H3584" s="64" t="s">
        <v>2871</v>
      </c>
      <c r="I3584" s="64" t="s">
        <v>3695</v>
      </c>
      <c r="J3584" s="67">
        <v>619.35</v>
      </c>
      <c r="K3584" s="62">
        <v>10215.6</v>
      </c>
      <c r="L3584" s="33" t="e">
        <f>HLOOKUP(B3584,#REF!,1,0)</f>
        <v>#REF!</v>
      </c>
      <c r="M3584" s="33" t="str">
        <f t="shared" si="223"/>
        <v>P&amp;L</v>
      </c>
    </row>
    <row r="3585" spans="1:13" s="33" customFormat="true" ht="12.75" customHeight="true">
      <c r="A3585" s="33" t="str">
        <f t="shared" si="220"/>
        <v>CHA - Revenue</v>
      </c>
      <c r="B3585" s="33" t="str">
        <f t="shared" si="221"/>
        <v>CHA</v>
      </c>
      <c r="C3585" s="33" t="str">
        <f t="shared" si="222"/>
        <v>41121-0000</v>
      </c>
      <c r="D3585" s="64" t="s">
        <v>4518</v>
      </c>
      <c r="E3585" s="64" t="s">
        <v>3697</v>
      </c>
      <c r="F3585" s="64" t="s">
        <v>230</v>
      </c>
      <c r="G3585" s="64" t="s">
        <v>3694</v>
      </c>
      <c r="H3585" s="64" t="s">
        <v>2871</v>
      </c>
      <c r="I3585" s="64" t="s">
        <v>3698</v>
      </c>
      <c r="J3585" s="67">
        <v>8072.99</v>
      </c>
      <c r="K3585" s="62">
        <v>52234.4</v>
      </c>
      <c r="L3585" s="33" t="e">
        <f>HLOOKUP(B3585,#REF!,1,0)</f>
        <v>#REF!</v>
      </c>
      <c r="M3585" s="33" t="str">
        <f t="shared" si="223"/>
        <v>P&amp;L</v>
      </c>
    </row>
    <row r="3586" spans="1:13" s="33" customFormat="true" ht="12.75" customHeight="true">
      <c r="A3586" s="33" t="str">
        <f t="shared" ref="A3586:A3649" si="224">B3586&amp;" - "&amp;TRIM(H3586)</f>
        <v>CHA - Revenue</v>
      </c>
      <c r="B3586" s="33" t="str">
        <f t="shared" ref="B3586:B3649" si="225">LEFT(D3586,3)</f>
        <v>CHA</v>
      </c>
      <c r="C3586" s="33" t="str">
        <f t="shared" ref="C3586:C3649" si="226">RIGHT(D3586,10)</f>
        <v>41122-0000</v>
      </c>
      <c r="D3586" s="64" t="s">
        <v>4519</v>
      </c>
      <c r="E3586" s="64" t="s">
        <v>3700</v>
      </c>
      <c r="F3586" s="64" t="s">
        <v>230</v>
      </c>
      <c r="G3586" s="64" t="s">
        <v>3694</v>
      </c>
      <c r="H3586" s="64" t="s">
        <v>2871</v>
      </c>
      <c r="I3586" s="64" t="s">
        <v>3701</v>
      </c>
      <c r="J3586" s="67">
        <v>-2002.66</v>
      </c>
      <c r="K3586" s="62">
        <v>-20944.61</v>
      </c>
      <c r="L3586" s="33" t="e">
        <f>HLOOKUP(B3586,#REF!,1,0)</f>
        <v>#REF!</v>
      </c>
      <c r="M3586" s="33" t="str">
        <f t="shared" ref="M3586:M3649" si="227">IF(VALUE(LEFT(C3586,5))&gt;40000,"P&amp;L","BS")</f>
        <v>P&amp;L</v>
      </c>
    </row>
    <row r="3587" spans="1:13" s="33" customFormat="true" ht="12.75" customHeight="true">
      <c r="A3587" s="33" t="str">
        <f t="shared" si="224"/>
        <v>CHA - Revenue</v>
      </c>
      <c r="B3587" s="33" t="str">
        <f t="shared" si="225"/>
        <v>CHA</v>
      </c>
      <c r="C3587" s="33" t="str">
        <f t="shared" si="226"/>
        <v>41130-0000</v>
      </c>
      <c r="D3587" s="64" t="s">
        <v>4520</v>
      </c>
      <c r="E3587" s="64" t="s">
        <v>3703</v>
      </c>
      <c r="F3587" s="64" t="s">
        <v>230</v>
      </c>
      <c r="G3587" s="64" t="s">
        <v>3694</v>
      </c>
      <c r="H3587" s="64" t="s">
        <v>2871</v>
      </c>
      <c r="I3587" s="64" t="s">
        <v>3704</v>
      </c>
      <c r="J3587" s="67">
        <v>100</v>
      </c>
      <c r="K3587" s="62">
        <v>916.67</v>
      </c>
      <c r="L3587" s="33" t="e">
        <f>HLOOKUP(B3587,#REF!,1,0)</f>
        <v>#REF!</v>
      </c>
      <c r="M3587" s="33" t="str">
        <f t="shared" si="227"/>
        <v>P&amp;L</v>
      </c>
    </row>
    <row r="3588" spans="1:13" s="33" customFormat="true" ht="12.75" customHeight="true">
      <c r="A3588" s="33" t="str">
        <f t="shared" si="224"/>
        <v>CHA - Revenue</v>
      </c>
      <c r="B3588" s="33" t="str">
        <f t="shared" si="225"/>
        <v>CHA</v>
      </c>
      <c r="C3588" s="33" t="str">
        <f t="shared" si="226"/>
        <v>41140-0000</v>
      </c>
      <c r="D3588" s="64" t="s">
        <v>4521</v>
      </c>
      <c r="E3588" s="64" t="s">
        <v>3706</v>
      </c>
      <c r="F3588" s="64" t="s">
        <v>230</v>
      </c>
      <c r="G3588" s="64" t="s">
        <v>3694</v>
      </c>
      <c r="H3588" s="64" t="s">
        <v>2871</v>
      </c>
      <c r="I3588" s="64" t="s">
        <v>3707</v>
      </c>
      <c r="J3588" s="67">
        <v>0</v>
      </c>
      <c r="K3588" s="62">
        <v>0</v>
      </c>
      <c r="L3588" s="33" t="e">
        <f>HLOOKUP(B3588,#REF!,1,0)</f>
        <v>#REF!</v>
      </c>
      <c r="M3588" s="33" t="str">
        <f t="shared" si="227"/>
        <v>P&amp;L</v>
      </c>
    </row>
    <row r="3589" spans="1:13" s="33" customFormat="true" ht="12.75" customHeight="true">
      <c r="A3589" s="33" t="str">
        <f t="shared" si="224"/>
        <v>CHA - Revenue</v>
      </c>
      <c r="B3589" s="33" t="str">
        <f t="shared" si="225"/>
        <v>CHA</v>
      </c>
      <c r="C3589" s="33" t="str">
        <f t="shared" si="226"/>
        <v>41150-0000</v>
      </c>
      <c r="D3589" s="64" t="s">
        <v>4522</v>
      </c>
      <c r="E3589" s="64" t="s">
        <v>3709</v>
      </c>
      <c r="F3589" s="64" t="s">
        <v>230</v>
      </c>
      <c r="G3589" s="64" t="s">
        <v>3694</v>
      </c>
      <c r="H3589" s="64" t="s">
        <v>2871</v>
      </c>
      <c r="I3589" s="64" t="s">
        <v>3710</v>
      </c>
      <c r="J3589" s="67">
        <v>1792</v>
      </c>
      <c r="K3589" s="62">
        <v>15436</v>
      </c>
      <c r="L3589" s="33" t="e">
        <f>HLOOKUP(B3589,#REF!,1,0)</f>
        <v>#REF!</v>
      </c>
      <c r="M3589" s="33" t="str">
        <f t="shared" si="227"/>
        <v>P&amp;L</v>
      </c>
    </row>
    <row r="3590" spans="1:13" s="33" customFormat="true" ht="12.75" customHeight="true">
      <c r="A3590" s="33" t="str">
        <f t="shared" si="224"/>
        <v>CHA - Revenue</v>
      </c>
      <c r="B3590" s="33" t="str">
        <f t="shared" si="225"/>
        <v>CHA</v>
      </c>
      <c r="C3590" s="33" t="str">
        <f t="shared" si="226"/>
        <v>41160-0000</v>
      </c>
      <c r="D3590" s="64" t="s">
        <v>4523</v>
      </c>
      <c r="E3590" s="64" t="s">
        <v>3957</v>
      </c>
      <c r="F3590" s="64" t="s">
        <v>230</v>
      </c>
      <c r="G3590" s="64" t="s">
        <v>3694</v>
      </c>
      <c r="H3590" s="64" t="s">
        <v>2871</v>
      </c>
      <c r="I3590" s="64" t="s">
        <v>3701</v>
      </c>
      <c r="J3590" s="67">
        <v>0</v>
      </c>
      <c r="K3590" s="62">
        <v>-20696.82</v>
      </c>
      <c r="L3590" s="33" t="e">
        <f>HLOOKUP(B3590,#REF!,1,0)</f>
        <v>#REF!</v>
      </c>
      <c r="M3590" s="33" t="str">
        <f t="shared" si="227"/>
        <v>P&amp;L</v>
      </c>
    </row>
    <row r="3591" spans="1:13" s="33" customFormat="true" ht="12.75" customHeight="true">
      <c r="A3591" s="33" t="str">
        <f t="shared" si="224"/>
        <v>CHA - Revenue</v>
      </c>
      <c r="B3591" s="33" t="str">
        <f t="shared" si="225"/>
        <v>CHA</v>
      </c>
      <c r="C3591" s="33" t="str">
        <f t="shared" si="226"/>
        <v>41999-0000</v>
      </c>
      <c r="D3591" s="64" t="s">
        <v>4524</v>
      </c>
      <c r="E3591" s="64" t="s">
        <v>3712</v>
      </c>
      <c r="F3591" s="64" t="s">
        <v>230</v>
      </c>
      <c r="G3591" s="64" t="s">
        <v>3713</v>
      </c>
      <c r="H3591" s="64" t="s">
        <v>2871</v>
      </c>
      <c r="I3591" s="64" t="s">
        <v>3714</v>
      </c>
      <c r="J3591" s="67">
        <v>31376.26</v>
      </c>
      <c r="K3591" s="62">
        <v>355381.84</v>
      </c>
      <c r="L3591" s="33" t="e">
        <f>HLOOKUP(B3591,#REF!,1,0)</f>
        <v>#REF!</v>
      </c>
      <c r="M3591" s="33" t="str">
        <f t="shared" si="227"/>
        <v>P&amp;L</v>
      </c>
    </row>
    <row r="3592" spans="1:13" s="33" customFormat="true" ht="12.75" customHeight="true">
      <c r="A3592" s="33" t="str">
        <f t="shared" si="224"/>
        <v>CHA - Revenue</v>
      </c>
      <c r="B3592" s="33" t="str">
        <f t="shared" si="225"/>
        <v>CHA</v>
      </c>
      <c r="C3592" s="33" t="str">
        <f t="shared" si="226"/>
        <v>47400-0000</v>
      </c>
      <c r="D3592" s="64" t="s">
        <v>4525</v>
      </c>
      <c r="E3592" s="64" t="s">
        <v>3716</v>
      </c>
      <c r="F3592" s="64" t="s">
        <v>230</v>
      </c>
      <c r="G3592" s="64" t="s">
        <v>3717</v>
      </c>
      <c r="H3592" s="64" t="s">
        <v>2871</v>
      </c>
      <c r="I3592" s="64" t="s">
        <v>3718</v>
      </c>
      <c r="J3592" s="67">
        <v>-31376.26</v>
      </c>
      <c r="K3592" s="62">
        <v>-355381.84</v>
      </c>
      <c r="L3592" s="33" t="e">
        <f>HLOOKUP(B3592,#REF!,1,0)</f>
        <v>#REF!</v>
      </c>
      <c r="M3592" s="33" t="str">
        <f t="shared" si="227"/>
        <v>P&amp;L</v>
      </c>
    </row>
    <row r="3593" spans="1:13" s="33" customFormat="true" ht="12.75" customHeight="true">
      <c r="A3593" s="33" t="str">
        <f t="shared" si="224"/>
        <v>CHA - Revenue</v>
      </c>
      <c r="B3593" s="33" t="str">
        <f t="shared" si="225"/>
        <v>CHA</v>
      </c>
      <c r="C3593" s="33" t="str">
        <f t="shared" si="226"/>
        <v>47420-0000</v>
      </c>
      <c r="D3593" s="64" t="s">
        <v>4526</v>
      </c>
      <c r="E3593" s="64" t="s">
        <v>4154</v>
      </c>
      <c r="F3593" s="64" t="s">
        <v>230</v>
      </c>
      <c r="G3593" s="64" t="s">
        <v>3717</v>
      </c>
      <c r="H3593" s="64" t="s">
        <v>2871</v>
      </c>
      <c r="I3593" s="64" t="s">
        <v>4155</v>
      </c>
      <c r="J3593" s="67">
        <v>-146.37</v>
      </c>
      <c r="K3593" s="62">
        <v>-1472.92</v>
      </c>
      <c r="L3593" s="33" t="e">
        <f>HLOOKUP(B3593,#REF!,1,0)</f>
        <v>#REF!</v>
      </c>
      <c r="M3593" s="33" t="str">
        <f t="shared" si="227"/>
        <v>P&amp;L</v>
      </c>
    </row>
    <row r="3594" spans="1:13" s="33" customFormat="true" ht="12.75" customHeight="true">
      <c r="A3594" s="33" t="str">
        <f t="shared" si="224"/>
        <v>CHA - Revenue</v>
      </c>
      <c r="B3594" s="33" t="str">
        <f t="shared" si="225"/>
        <v>CHA</v>
      </c>
      <c r="C3594" s="33" t="str">
        <f t="shared" si="226"/>
        <v>47430-0000</v>
      </c>
      <c r="D3594" s="64" t="s">
        <v>4527</v>
      </c>
      <c r="E3594" s="64" t="s">
        <v>4053</v>
      </c>
      <c r="F3594" s="64" t="s">
        <v>230</v>
      </c>
      <c r="G3594" s="64" t="s">
        <v>3717</v>
      </c>
      <c r="H3594" s="64" t="s">
        <v>2871</v>
      </c>
      <c r="I3594" s="64" t="s">
        <v>4054</v>
      </c>
      <c r="J3594" s="67">
        <v>-160.88</v>
      </c>
      <c r="K3594" s="62">
        <v>-2062.4</v>
      </c>
      <c r="L3594" s="33" t="e">
        <f>HLOOKUP(B3594,#REF!,1,0)</f>
        <v>#REF!</v>
      </c>
      <c r="M3594" s="33" t="str">
        <f t="shared" si="227"/>
        <v>P&amp;L</v>
      </c>
    </row>
    <row r="3595" spans="1:13" s="33" customFormat="true" ht="12.75" customHeight="true">
      <c r="A3595" s="33" t="str">
        <f t="shared" si="224"/>
        <v>CHA - Revenue</v>
      </c>
      <c r="B3595" s="33" t="str">
        <f t="shared" si="225"/>
        <v>CHA</v>
      </c>
      <c r="C3595" s="33" t="str">
        <f t="shared" si="226"/>
        <v>47440-0000</v>
      </c>
      <c r="D3595" s="64" t="s">
        <v>4528</v>
      </c>
      <c r="E3595" s="64" t="s">
        <v>3720</v>
      </c>
      <c r="F3595" s="64" t="s">
        <v>230</v>
      </c>
      <c r="G3595" s="64" t="s">
        <v>3717</v>
      </c>
      <c r="H3595" s="64" t="s">
        <v>2871</v>
      </c>
      <c r="I3595" s="64" t="s">
        <v>3721</v>
      </c>
      <c r="J3595" s="67">
        <v>-45</v>
      </c>
      <c r="K3595" s="62">
        <v>-919.78</v>
      </c>
      <c r="L3595" s="33" t="e">
        <f>HLOOKUP(B3595,#REF!,1,0)</f>
        <v>#REF!</v>
      </c>
      <c r="M3595" s="33" t="str">
        <f t="shared" si="227"/>
        <v>P&amp;L</v>
      </c>
    </row>
    <row r="3596" spans="1:13" s="33" customFormat="true" ht="12.75" customHeight="true">
      <c r="A3596" s="33" t="str">
        <f t="shared" si="224"/>
        <v>CHA - Revenue</v>
      </c>
      <c r="B3596" s="33" t="str">
        <f t="shared" si="225"/>
        <v>CHA</v>
      </c>
      <c r="C3596" s="33" t="str">
        <f t="shared" si="226"/>
        <v>47450-0000</v>
      </c>
      <c r="D3596" s="64" t="s">
        <v>4529</v>
      </c>
      <c r="E3596" s="64" t="s">
        <v>3723</v>
      </c>
      <c r="F3596" s="64" t="s">
        <v>230</v>
      </c>
      <c r="G3596" s="64" t="s">
        <v>3717</v>
      </c>
      <c r="H3596" s="64" t="s">
        <v>2871</v>
      </c>
      <c r="I3596" s="64" t="s">
        <v>3724</v>
      </c>
      <c r="J3596" s="67">
        <v>-225</v>
      </c>
      <c r="K3596" s="62">
        <v>-1791.67</v>
      </c>
      <c r="L3596" s="33" t="e">
        <f>HLOOKUP(B3596,#REF!,1,0)</f>
        <v>#REF!</v>
      </c>
      <c r="M3596" s="33" t="str">
        <f t="shared" si="227"/>
        <v>P&amp;L</v>
      </c>
    </row>
    <row r="3597" spans="1:13" s="33" customFormat="true" ht="12.75" customHeight="true">
      <c r="A3597" s="33" t="str">
        <f t="shared" si="224"/>
        <v>CHA - Revenue</v>
      </c>
      <c r="B3597" s="33" t="str">
        <f t="shared" si="225"/>
        <v>CHA</v>
      </c>
      <c r="C3597" s="33" t="str">
        <f t="shared" si="226"/>
        <v>47460-0000</v>
      </c>
      <c r="D3597" s="64" t="s">
        <v>4530</v>
      </c>
      <c r="E3597" s="64" t="s">
        <v>3726</v>
      </c>
      <c r="F3597" s="64" t="s">
        <v>230</v>
      </c>
      <c r="G3597" s="64" t="s">
        <v>3717</v>
      </c>
      <c r="H3597" s="64" t="s">
        <v>2871</v>
      </c>
      <c r="I3597" s="64" t="s">
        <v>3727</v>
      </c>
      <c r="J3597" s="67">
        <v>0</v>
      </c>
      <c r="K3597" s="62">
        <v>-50</v>
      </c>
      <c r="L3597" s="33" t="e">
        <f>HLOOKUP(B3597,#REF!,1,0)</f>
        <v>#REF!</v>
      </c>
      <c r="M3597" s="33" t="str">
        <f t="shared" si="227"/>
        <v>P&amp;L</v>
      </c>
    </row>
    <row r="3598" spans="1:13" s="33" customFormat="true" ht="12.75" customHeight="true">
      <c r="A3598" s="33" t="str">
        <f t="shared" si="224"/>
        <v>CHA - Revenue</v>
      </c>
      <c r="B3598" s="33" t="str">
        <f t="shared" si="225"/>
        <v>CHA</v>
      </c>
      <c r="C3598" s="33" t="str">
        <f t="shared" si="226"/>
        <v>47480-0000</v>
      </c>
      <c r="D3598" s="64" t="s">
        <v>4531</v>
      </c>
      <c r="E3598" s="64" t="s">
        <v>3729</v>
      </c>
      <c r="F3598" s="64" t="s">
        <v>230</v>
      </c>
      <c r="G3598" s="64" t="s">
        <v>3717</v>
      </c>
      <c r="H3598" s="64" t="s">
        <v>2871</v>
      </c>
      <c r="I3598" s="64" t="s">
        <v>3721</v>
      </c>
      <c r="J3598" s="67">
        <v>-90</v>
      </c>
      <c r="K3598" s="62">
        <v>-630</v>
      </c>
      <c r="L3598" s="33" t="e">
        <f>HLOOKUP(B3598,#REF!,1,0)</f>
        <v>#REF!</v>
      </c>
      <c r="M3598" s="33" t="str">
        <f t="shared" si="227"/>
        <v>P&amp;L</v>
      </c>
    </row>
    <row r="3599" spans="1:13" s="33" customFormat="true" ht="12.75" customHeight="true">
      <c r="A3599" s="33" t="str">
        <f t="shared" si="224"/>
        <v>CHA - Revenue</v>
      </c>
      <c r="B3599" s="33" t="str">
        <f t="shared" si="225"/>
        <v>CHA</v>
      </c>
      <c r="C3599" s="33" t="str">
        <f t="shared" si="226"/>
        <v>47490-0000</v>
      </c>
      <c r="D3599" s="64" t="s">
        <v>4532</v>
      </c>
      <c r="E3599" s="64" t="s">
        <v>3731</v>
      </c>
      <c r="F3599" s="64" t="s">
        <v>230</v>
      </c>
      <c r="G3599" s="64" t="s">
        <v>3717</v>
      </c>
      <c r="H3599" s="64" t="s">
        <v>2871</v>
      </c>
      <c r="I3599" s="64" t="s">
        <v>3721</v>
      </c>
      <c r="J3599" s="67">
        <v>-240.45</v>
      </c>
      <c r="K3599" s="62">
        <v>-2996.29</v>
      </c>
      <c r="L3599" s="33" t="e">
        <f>HLOOKUP(B3599,#REF!,1,0)</f>
        <v>#REF!</v>
      </c>
      <c r="M3599" s="33" t="str">
        <f t="shared" si="227"/>
        <v>P&amp;L</v>
      </c>
    </row>
    <row r="3600" spans="1:13" s="33" customFormat="true" ht="12.75" customHeight="true">
      <c r="A3600" s="33" t="str">
        <f t="shared" si="224"/>
        <v>CHA - Revenue</v>
      </c>
      <c r="B3600" s="33" t="str">
        <f t="shared" si="225"/>
        <v>CHA</v>
      </c>
      <c r="C3600" s="33" t="str">
        <f t="shared" si="226"/>
        <v>47491-0000</v>
      </c>
      <c r="D3600" s="64" t="s">
        <v>4533</v>
      </c>
      <c r="E3600" s="64" t="s">
        <v>3733</v>
      </c>
      <c r="F3600" s="64" t="s">
        <v>230</v>
      </c>
      <c r="G3600" s="64" t="s">
        <v>3717</v>
      </c>
      <c r="H3600" s="64" t="s">
        <v>2871</v>
      </c>
      <c r="I3600" s="64" t="s">
        <v>3734</v>
      </c>
      <c r="J3600" s="67">
        <v>0</v>
      </c>
      <c r="K3600" s="62">
        <v>-539.01</v>
      </c>
      <c r="L3600" s="33" t="e">
        <f>HLOOKUP(B3600,#REF!,1,0)</f>
        <v>#REF!</v>
      </c>
      <c r="M3600" s="33" t="str">
        <f t="shared" si="227"/>
        <v>P&amp;L</v>
      </c>
    </row>
    <row r="3601" spans="1:13" s="33" customFormat="true" ht="12.75" customHeight="true">
      <c r="A3601" s="33" t="str">
        <f t="shared" si="224"/>
        <v>CHA - Revenue</v>
      </c>
      <c r="B3601" s="33" t="str">
        <f t="shared" si="225"/>
        <v>CHA</v>
      </c>
      <c r="C3601" s="33" t="str">
        <f t="shared" si="226"/>
        <v>47492-0000</v>
      </c>
      <c r="D3601" s="64" t="s">
        <v>4534</v>
      </c>
      <c r="E3601" s="64" t="s">
        <v>3736</v>
      </c>
      <c r="F3601" s="64" t="s">
        <v>230</v>
      </c>
      <c r="G3601" s="64" t="s">
        <v>3717</v>
      </c>
      <c r="H3601" s="64" t="s">
        <v>2871</v>
      </c>
      <c r="I3601" s="64" t="s">
        <v>3737</v>
      </c>
      <c r="J3601" s="67">
        <v>-265.22</v>
      </c>
      <c r="K3601" s="62">
        <v>-1868.22</v>
      </c>
      <c r="L3601" s="33" t="e">
        <f>HLOOKUP(B3601,#REF!,1,0)</f>
        <v>#REF!</v>
      </c>
      <c r="M3601" s="33" t="str">
        <f t="shared" si="227"/>
        <v>P&amp;L</v>
      </c>
    </row>
    <row r="3602" spans="1:13" s="33" customFormat="true" ht="12.75" customHeight="true">
      <c r="A3602" s="33" t="str">
        <f t="shared" si="224"/>
        <v>CHA - CGS</v>
      </c>
      <c r="B3602" s="33" t="str">
        <f t="shared" si="225"/>
        <v>CHA</v>
      </c>
      <c r="C3602" s="33" t="str">
        <f t="shared" si="226"/>
        <v>51001-0000</v>
      </c>
      <c r="D3602" s="64" t="s">
        <v>4535</v>
      </c>
      <c r="E3602" s="64" t="s">
        <v>4536</v>
      </c>
      <c r="F3602" s="64" t="s">
        <v>230</v>
      </c>
      <c r="G3602" s="64" t="s">
        <v>3740</v>
      </c>
      <c r="H3602" s="64" t="s">
        <v>1875</v>
      </c>
      <c r="I3602" s="64" t="s">
        <v>4537</v>
      </c>
      <c r="J3602" s="67">
        <v>0</v>
      </c>
      <c r="K3602" s="62">
        <v>100.3</v>
      </c>
      <c r="L3602" s="33" t="e">
        <f>HLOOKUP(B3602,#REF!,1,0)</f>
        <v>#REF!</v>
      </c>
      <c r="M3602" s="33" t="str">
        <f t="shared" si="227"/>
        <v>P&amp;L</v>
      </c>
    </row>
    <row r="3603" spans="1:13" s="33" customFormat="true" ht="12.75" customHeight="true">
      <c r="A3603" s="33" t="str">
        <f t="shared" si="224"/>
        <v>CHA - CGS</v>
      </c>
      <c r="B3603" s="33" t="str">
        <f t="shared" si="225"/>
        <v>CHA</v>
      </c>
      <c r="C3603" s="33" t="str">
        <f t="shared" si="226"/>
        <v>51002-0000</v>
      </c>
      <c r="D3603" s="64" t="s">
        <v>4538</v>
      </c>
      <c r="E3603" s="64" t="s">
        <v>4086</v>
      </c>
      <c r="F3603" s="64" t="s">
        <v>230</v>
      </c>
      <c r="G3603" s="64" t="s">
        <v>3740</v>
      </c>
      <c r="H3603" s="64" t="s">
        <v>1875</v>
      </c>
      <c r="I3603" s="64" t="s">
        <v>4087</v>
      </c>
      <c r="J3603" s="67">
        <v>-259.22</v>
      </c>
      <c r="K3603" s="62">
        <v>-259.22</v>
      </c>
      <c r="L3603" s="33" t="e">
        <f>HLOOKUP(B3603,#REF!,1,0)</f>
        <v>#REF!</v>
      </c>
      <c r="M3603" s="33" t="str">
        <f t="shared" si="227"/>
        <v>P&amp;L</v>
      </c>
    </row>
    <row r="3604" spans="1:13" s="33" customFormat="true" ht="12.75" customHeight="true">
      <c r="A3604" s="33" t="str">
        <f t="shared" si="224"/>
        <v>CHA - CGS</v>
      </c>
      <c r="B3604" s="33" t="str">
        <f t="shared" si="225"/>
        <v>CHA</v>
      </c>
      <c r="C3604" s="33" t="str">
        <f t="shared" si="226"/>
        <v>51005-0000</v>
      </c>
      <c r="D3604" s="64" t="s">
        <v>4539</v>
      </c>
      <c r="E3604" s="64" t="s">
        <v>3968</v>
      </c>
      <c r="F3604" s="64" t="s">
        <v>230</v>
      </c>
      <c r="G3604" s="64" t="s">
        <v>3740</v>
      </c>
      <c r="H3604" s="64" t="s">
        <v>1875</v>
      </c>
      <c r="I3604" s="64" t="s">
        <v>3969</v>
      </c>
      <c r="J3604" s="67">
        <v>0</v>
      </c>
      <c r="K3604" s="62">
        <v>161.07</v>
      </c>
      <c r="L3604" s="33" t="e">
        <f>HLOOKUP(B3604,#REF!,1,0)</f>
        <v>#REF!</v>
      </c>
      <c r="M3604" s="33" t="str">
        <f t="shared" si="227"/>
        <v>P&amp;L</v>
      </c>
    </row>
    <row r="3605" spans="1:13" s="33" customFormat="true" ht="12.75" customHeight="true">
      <c r="A3605" s="33" t="str">
        <f t="shared" si="224"/>
        <v>CHA - CGS</v>
      </c>
      <c r="B3605" s="33" t="str">
        <f t="shared" si="225"/>
        <v>CHA</v>
      </c>
      <c r="C3605" s="33" t="str">
        <f t="shared" si="226"/>
        <v>51006-0000</v>
      </c>
      <c r="D3605" s="64" t="s">
        <v>4540</v>
      </c>
      <c r="E3605" s="64" t="s">
        <v>3739</v>
      </c>
      <c r="F3605" s="64" t="s">
        <v>230</v>
      </c>
      <c r="G3605" s="64" t="s">
        <v>3740</v>
      </c>
      <c r="H3605" s="64" t="s">
        <v>1875</v>
      </c>
      <c r="I3605" s="64" t="s">
        <v>3741</v>
      </c>
      <c r="J3605" s="67">
        <v>0</v>
      </c>
      <c r="K3605" s="62">
        <v>54.4</v>
      </c>
      <c r="L3605" s="33" t="e">
        <f>HLOOKUP(B3605,#REF!,1,0)</f>
        <v>#REF!</v>
      </c>
      <c r="M3605" s="33" t="str">
        <f t="shared" si="227"/>
        <v>P&amp;L</v>
      </c>
    </row>
    <row r="3606" spans="1:13" s="33" customFormat="true" ht="12.75" customHeight="true">
      <c r="A3606" s="33" t="str">
        <f t="shared" si="224"/>
        <v>CHA - CGS</v>
      </c>
      <c r="B3606" s="33" t="str">
        <f t="shared" si="225"/>
        <v>CHA</v>
      </c>
      <c r="C3606" s="33" t="str">
        <f t="shared" si="226"/>
        <v>51007-0000</v>
      </c>
      <c r="D3606" s="64" t="s">
        <v>4541</v>
      </c>
      <c r="E3606" s="64" t="s">
        <v>3972</v>
      </c>
      <c r="F3606" s="64" t="s">
        <v>230</v>
      </c>
      <c r="G3606" s="64" t="s">
        <v>3740</v>
      </c>
      <c r="H3606" s="64" t="s">
        <v>1875</v>
      </c>
      <c r="I3606" s="64" t="s">
        <v>3973</v>
      </c>
      <c r="J3606" s="67">
        <v>0</v>
      </c>
      <c r="K3606" s="62">
        <v>277.73</v>
      </c>
      <c r="L3606" s="33" t="e">
        <f>HLOOKUP(B3606,#REF!,1,0)</f>
        <v>#REF!</v>
      </c>
      <c r="M3606" s="33" t="str">
        <f t="shared" si="227"/>
        <v>P&amp;L</v>
      </c>
    </row>
    <row r="3607" spans="1:13" s="33" customFormat="true" ht="12.75" customHeight="true">
      <c r="A3607" s="33" t="str">
        <f t="shared" si="224"/>
        <v>CHA - CGS</v>
      </c>
      <c r="B3607" s="33" t="str">
        <f t="shared" si="225"/>
        <v>CHA</v>
      </c>
      <c r="C3607" s="33" t="str">
        <f t="shared" si="226"/>
        <v>51008-0000</v>
      </c>
      <c r="D3607" s="64" t="s">
        <v>4542</v>
      </c>
      <c r="E3607" s="64" t="s">
        <v>3743</v>
      </c>
      <c r="F3607" s="64" t="s">
        <v>230</v>
      </c>
      <c r="G3607" s="64" t="s">
        <v>3740</v>
      </c>
      <c r="H3607" s="64" t="s">
        <v>1875</v>
      </c>
      <c r="I3607" s="64" t="s">
        <v>3744</v>
      </c>
      <c r="J3607" s="67">
        <v>3.31</v>
      </c>
      <c r="K3607" s="62">
        <v>4169.65</v>
      </c>
      <c r="L3607" s="33" t="e">
        <f>HLOOKUP(B3607,#REF!,1,0)</f>
        <v>#REF!</v>
      </c>
      <c r="M3607" s="33" t="str">
        <f t="shared" si="227"/>
        <v>P&amp;L</v>
      </c>
    </row>
    <row r="3608" spans="1:13" s="33" customFormat="true" ht="12.75" customHeight="true">
      <c r="A3608" s="33" t="str">
        <f t="shared" si="224"/>
        <v>CHA - CGS</v>
      </c>
      <c r="B3608" s="33" t="str">
        <f t="shared" si="225"/>
        <v>CHA</v>
      </c>
      <c r="C3608" s="33" t="str">
        <f t="shared" si="226"/>
        <v>51009-0000</v>
      </c>
      <c r="D3608" s="64" t="s">
        <v>4543</v>
      </c>
      <c r="E3608" s="64" t="s">
        <v>3746</v>
      </c>
      <c r="F3608" s="64" t="s">
        <v>230</v>
      </c>
      <c r="G3608" s="64" t="s">
        <v>3740</v>
      </c>
      <c r="H3608" s="64" t="s">
        <v>1875</v>
      </c>
      <c r="I3608" s="64" t="s">
        <v>3747</v>
      </c>
      <c r="J3608" s="67">
        <v>64.11</v>
      </c>
      <c r="K3608" s="62">
        <v>2762.54</v>
      </c>
      <c r="L3608" s="33" t="e">
        <f>HLOOKUP(B3608,#REF!,1,0)</f>
        <v>#REF!</v>
      </c>
      <c r="M3608" s="33" t="str">
        <f t="shared" si="227"/>
        <v>P&amp;L</v>
      </c>
    </row>
    <row r="3609" spans="1:13" s="33" customFormat="true" ht="12.75" customHeight="true">
      <c r="A3609" s="33" t="str">
        <f t="shared" si="224"/>
        <v>CHA - CGS</v>
      </c>
      <c r="B3609" s="33" t="str">
        <f t="shared" si="225"/>
        <v>CHA</v>
      </c>
      <c r="C3609" s="33" t="str">
        <f t="shared" si="226"/>
        <v>51011-0000</v>
      </c>
      <c r="D3609" s="64" t="s">
        <v>4544</v>
      </c>
      <c r="E3609" s="64" t="s">
        <v>3749</v>
      </c>
      <c r="F3609" s="64" t="s">
        <v>230</v>
      </c>
      <c r="G3609" s="64" t="s">
        <v>3740</v>
      </c>
      <c r="H3609" s="64" t="s">
        <v>1875</v>
      </c>
      <c r="I3609" s="64" t="s">
        <v>3750</v>
      </c>
      <c r="J3609" s="67">
        <v>-90</v>
      </c>
      <c r="K3609" s="62">
        <v>3531</v>
      </c>
      <c r="L3609" s="33" t="e">
        <f>HLOOKUP(B3609,#REF!,1,0)</f>
        <v>#REF!</v>
      </c>
      <c r="M3609" s="33" t="str">
        <f t="shared" si="227"/>
        <v>P&amp;L</v>
      </c>
    </row>
    <row r="3610" spans="1:13" s="33" customFormat="true" ht="12.75" customHeight="true">
      <c r="A3610" s="33" t="str">
        <f t="shared" si="224"/>
        <v>CHA - CGS</v>
      </c>
      <c r="B3610" s="33" t="str">
        <f t="shared" si="225"/>
        <v>CHA</v>
      </c>
      <c r="C3610" s="33" t="str">
        <f t="shared" si="226"/>
        <v>51012-0000</v>
      </c>
      <c r="D3610" s="64" t="s">
        <v>4545</v>
      </c>
      <c r="E3610" s="64" t="s">
        <v>3752</v>
      </c>
      <c r="F3610" s="64" t="s">
        <v>230</v>
      </c>
      <c r="G3610" s="64" t="s">
        <v>3740</v>
      </c>
      <c r="H3610" s="64" t="s">
        <v>1875</v>
      </c>
      <c r="I3610" s="64" t="s">
        <v>3753</v>
      </c>
      <c r="J3610" s="67">
        <v>63</v>
      </c>
      <c r="K3610" s="62">
        <v>630</v>
      </c>
      <c r="L3610" s="33" t="e">
        <f>HLOOKUP(B3610,#REF!,1,0)</f>
        <v>#REF!</v>
      </c>
      <c r="M3610" s="33" t="str">
        <f t="shared" si="227"/>
        <v>P&amp;L</v>
      </c>
    </row>
    <row r="3611" spans="1:13" s="33" customFormat="true" ht="12.75" customHeight="true">
      <c r="A3611" s="33" t="str">
        <f t="shared" si="224"/>
        <v>CHA - CGS</v>
      </c>
      <c r="B3611" s="33" t="str">
        <f t="shared" si="225"/>
        <v>CHA</v>
      </c>
      <c r="C3611" s="33" t="str">
        <f t="shared" si="226"/>
        <v>51013-0000</v>
      </c>
      <c r="D3611" s="64" t="s">
        <v>4546</v>
      </c>
      <c r="E3611" s="64" t="s">
        <v>3979</v>
      </c>
      <c r="F3611" s="64" t="s">
        <v>230</v>
      </c>
      <c r="G3611" s="64" t="s">
        <v>3740</v>
      </c>
      <c r="H3611" s="64" t="s">
        <v>1875</v>
      </c>
      <c r="I3611" s="64" t="s">
        <v>3980</v>
      </c>
      <c r="J3611" s="67">
        <v>0</v>
      </c>
      <c r="K3611" s="62">
        <v>1975</v>
      </c>
      <c r="L3611" s="33" t="e">
        <f>HLOOKUP(B3611,#REF!,1,0)</f>
        <v>#REF!</v>
      </c>
      <c r="M3611" s="33" t="str">
        <f t="shared" si="227"/>
        <v>P&amp;L</v>
      </c>
    </row>
    <row r="3612" spans="1:13" s="33" customFormat="true" ht="12.75" customHeight="true">
      <c r="A3612" s="33" t="str">
        <f t="shared" si="224"/>
        <v>CHA - CGS</v>
      </c>
      <c r="B3612" s="33" t="str">
        <f t="shared" si="225"/>
        <v>CHA</v>
      </c>
      <c r="C3612" s="33" t="str">
        <f t="shared" si="226"/>
        <v>51015-0000</v>
      </c>
      <c r="D3612" s="64" t="s">
        <v>4547</v>
      </c>
      <c r="E3612" s="64" t="s">
        <v>3755</v>
      </c>
      <c r="F3612" s="64" t="s">
        <v>230</v>
      </c>
      <c r="G3612" s="64" t="s">
        <v>3740</v>
      </c>
      <c r="H3612" s="64" t="s">
        <v>1875</v>
      </c>
      <c r="I3612" s="64" t="s">
        <v>3756</v>
      </c>
      <c r="J3612" s="67">
        <v>0</v>
      </c>
      <c r="K3612" s="62">
        <v>0</v>
      </c>
      <c r="L3612" s="33" t="e">
        <f>HLOOKUP(B3612,#REF!,1,0)</f>
        <v>#REF!</v>
      </c>
      <c r="M3612" s="33" t="str">
        <f t="shared" si="227"/>
        <v>P&amp;L</v>
      </c>
    </row>
    <row r="3613" spans="1:13" s="33" customFormat="true" ht="12.75" customHeight="true">
      <c r="A3613" s="33" t="str">
        <f t="shared" si="224"/>
        <v>CHA - CGS</v>
      </c>
      <c r="B3613" s="33" t="str">
        <f t="shared" si="225"/>
        <v>CHA</v>
      </c>
      <c r="C3613" s="33" t="str">
        <f t="shared" si="226"/>
        <v>51018-0000</v>
      </c>
      <c r="D3613" s="64" t="s">
        <v>4548</v>
      </c>
      <c r="E3613" s="64" t="s">
        <v>3984</v>
      </c>
      <c r="F3613" s="64" t="s">
        <v>230</v>
      </c>
      <c r="G3613" s="64" t="s">
        <v>3740</v>
      </c>
      <c r="H3613" s="64" t="s">
        <v>1875</v>
      </c>
      <c r="I3613" s="64" t="s">
        <v>3319</v>
      </c>
      <c r="J3613" s="67">
        <v>0</v>
      </c>
      <c r="K3613" s="62">
        <v>67.8</v>
      </c>
      <c r="L3613" s="33" t="e">
        <f>HLOOKUP(B3613,#REF!,1,0)</f>
        <v>#REF!</v>
      </c>
      <c r="M3613" s="33" t="str">
        <f t="shared" si="227"/>
        <v>P&amp;L</v>
      </c>
    </row>
    <row r="3614" spans="1:13" s="33" customFormat="true" ht="12.75" customHeight="true">
      <c r="A3614" s="33" t="str">
        <f t="shared" si="224"/>
        <v>CHA - CGS</v>
      </c>
      <c r="B3614" s="33" t="str">
        <f t="shared" si="225"/>
        <v>CHA</v>
      </c>
      <c r="C3614" s="33" t="str">
        <f t="shared" si="226"/>
        <v>51020-0000</v>
      </c>
      <c r="D3614" s="64" t="s">
        <v>4549</v>
      </c>
      <c r="E3614" s="64" t="s">
        <v>3763</v>
      </c>
      <c r="F3614" s="64" t="s">
        <v>230</v>
      </c>
      <c r="G3614" s="64" t="s">
        <v>3740</v>
      </c>
      <c r="H3614" s="64" t="s">
        <v>1875</v>
      </c>
      <c r="I3614" s="64" t="s">
        <v>3345</v>
      </c>
      <c r="J3614" s="67">
        <v>0</v>
      </c>
      <c r="K3614" s="62">
        <v>257.15</v>
      </c>
      <c r="L3614" s="33" t="e">
        <f>HLOOKUP(B3614,#REF!,1,0)</f>
        <v>#REF!</v>
      </c>
      <c r="M3614" s="33" t="str">
        <f t="shared" si="227"/>
        <v>P&amp;L</v>
      </c>
    </row>
    <row r="3615" spans="1:13" s="33" customFormat="true" ht="12.75" customHeight="true">
      <c r="A3615" s="33" t="str">
        <f t="shared" si="224"/>
        <v>CHA - CGS</v>
      </c>
      <c r="B3615" s="33" t="str">
        <f t="shared" si="225"/>
        <v>CHA</v>
      </c>
      <c r="C3615" s="33" t="str">
        <f t="shared" si="226"/>
        <v>51025-0000</v>
      </c>
      <c r="D3615" s="64" t="s">
        <v>4550</v>
      </c>
      <c r="E3615" s="64" t="s">
        <v>3988</v>
      </c>
      <c r="F3615" s="64" t="s">
        <v>230</v>
      </c>
      <c r="G3615" s="64" t="s">
        <v>3740</v>
      </c>
      <c r="H3615" s="64" t="s">
        <v>1875</v>
      </c>
      <c r="I3615" s="64" t="s">
        <v>3989</v>
      </c>
      <c r="J3615" s="67">
        <v>312.21</v>
      </c>
      <c r="K3615" s="62">
        <v>3172.49</v>
      </c>
      <c r="L3615" s="33" t="e">
        <f>HLOOKUP(B3615,#REF!,1,0)</f>
        <v>#REF!</v>
      </c>
      <c r="M3615" s="33" t="str">
        <f t="shared" si="227"/>
        <v>P&amp;L</v>
      </c>
    </row>
    <row r="3616" spans="1:13" s="33" customFormat="true" ht="12.75" customHeight="true">
      <c r="A3616" s="33" t="str">
        <f t="shared" si="224"/>
        <v>CHA - CGS</v>
      </c>
      <c r="B3616" s="33" t="str">
        <f t="shared" si="225"/>
        <v>CHA</v>
      </c>
      <c r="C3616" s="33" t="str">
        <f t="shared" si="226"/>
        <v>52001-0000</v>
      </c>
      <c r="D3616" s="64" t="s">
        <v>4551</v>
      </c>
      <c r="E3616" s="64" t="s">
        <v>3768</v>
      </c>
      <c r="F3616" s="64" t="s">
        <v>230</v>
      </c>
      <c r="G3616" s="64" t="s">
        <v>3769</v>
      </c>
      <c r="H3616" s="64" t="s">
        <v>1875</v>
      </c>
      <c r="I3616" s="64" t="s">
        <v>3770</v>
      </c>
      <c r="J3616" s="67">
        <v>0</v>
      </c>
      <c r="K3616" s="62">
        <v>132.1</v>
      </c>
      <c r="L3616" s="33" t="e">
        <f>HLOOKUP(B3616,#REF!,1,0)</f>
        <v>#REF!</v>
      </c>
      <c r="M3616" s="33" t="str">
        <f t="shared" si="227"/>
        <v>P&amp;L</v>
      </c>
    </row>
    <row r="3617" spans="1:13" s="33" customFormat="true" ht="12.75" customHeight="true">
      <c r="A3617" s="33" t="str">
        <f t="shared" si="224"/>
        <v>CHA - CGS</v>
      </c>
      <c r="B3617" s="33" t="str">
        <f t="shared" si="225"/>
        <v>CHA</v>
      </c>
      <c r="C3617" s="33" t="str">
        <f t="shared" si="226"/>
        <v>52003-0000</v>
      </c>
      <c r="D3617" s="64" t="s">
        <v>4552</v>
      </c>
      <c r="E3617" s="64" t="s">
        <v>3772</v>
      </c>
      <c r="F3617" s="64" t="s">
        <v>230</v>
      </c>
      <c r="G3617" s="64" t="s">
        <v>3769</v>
      </c>
      <c r="H3617" s="64" t="s">
        <v>1875</v>
      </c>
      <c r="I3617" s="64" t="s">
        <v>3773</v>
      </c>
      <c r="J3617" s="67">
        <v>125</v>
      </c>
      <c r="K3617" s="62">
        <v>477.61</v>
      </c>
      <c r="L3617" s="33" t="e">
        <f>HLOOKUP(B3617,#REF!,1,0)</f>
        <v>#REF!</v>
      </c>
      <c r="M3617" s="33" t="str">
        <f t="shared" si="227"/>
        <v>P&amp;L</v>
      </c>
    </row>
    <row r="3618" spans="1:13" s="33" customFormat="true" ht="12.75" customHeight="true">
      <c r="A3618" s="33" t="str">
        <f t="shared" si="224"/>
        <v>CHA - CGS</v>
      </c>
      <c r="B3618" s="33" t="str">
        <f t="shared" si="225"/>
        <v>CHA</v>
      </c>
      <c r="C3618" s="33" t="str">
        <f t="shared" si="226"/>
        <v>52004-0000</v>
      </c>
      <c r="D3618" s="64" t="s">
        <v>4553</v>
      </c>
      <c r="E3618" s="64" t="s">
        <v>3775</v>
      </c>
      <c r="F3618" s="64" t="s">
        <v>230</v>
      </c>
      <c r="G3618" s="64" t="s">
        <v>3769</v>
      </c>
      <c r="H3618" s="64" t="s">
        <v>1875</v>
      </c>
      <c r="I3618" s="64" t="s">
        <v>3776</v>
      </c>
      <c r="J3618" s="67">
        <v>0</v>
      </c>
      <c r="K3618" s="62">
        <v>-150</v>
      </c>
      <c r="L3618" s="33" t="e">
        <f>HLOOKUP(B3618,#REF!,1,0)</f>
        <v>#REF!</v>
      </c>
      <c r="M3618" s="33" t="str">
        <f t="shared" si="227"/>
        <v>P&amp;L</v>
      </c>
    </row>
    <row r="3619" spans="1:13" s="33" customFormat="true" ht="12.75" customHeight="true">
      <c r="A3619" s="33" t="str">
        <f t="shared" si="224"/>
        <v>CHA - CGS</v>
      </c>
      <c r="B3619" s="33" t="str">
        <f t="shared" si="225"/>
        <v>CHA</v>
      </c>
      <c r="C3619" s="33" t="str">
        <f t="shared" si="226"/>
        <v>52006-0000</v>
      </c>
      <c r="D3619" s="64" t="s">
        <v>4554</v>
      </c>
      <c r="E3619" s="64" t="s">
        <v>3778</v>
      </c>
      <c r="F3619" s="64" t="s">
        <v>230</v>
      </c>
      <c r="G3619" s="64" t="s">
        <v>3769</v>
      </c>
      <c r="H3619" s="64" t="s">
        <v>1875</v>
      </c>
      <c r="I3619" s="64" t="s">
        <v>3779</v>
      </c>
      <c r="J3619" s="67">
        <v>0</v>
      </c>
      <c r="K3619" s="62">
        <v>-143</v>
      </c>
      <c r="L3619" s="33" t="e">
        <f>HLOOKUP(B3619,#REF!,1,0)</f>
        <v>#REF!</v>
      </c>
      <c r="M3619" s="33" t="str">
        <f t="shared" si="227"/>
        <v>P&amp;L</v>
      </c>
    </row>
    <row r="3620" spans="1:13" s="33" customFormat="true" ht="12.75" customHeight="true">
      <c r="A3620" s="33" t="str">
        <f t="shared" si="224"/>
        <v>CHA - CGS</v>
      </c>
      <c r="B3620" s="33" t="str">
        <f t="shared" si="225"/>
        <v>CHA</v>
      </c>
      <c r="C3620" s="33" t="str">
        <f t="shared" si="226"/>
        <v>53001-0000</v>
      </c>
      <c r="D3620" s="64" t="s">
        <v>4555</v>
      </c>
      <c r="E3620" s="64" t="s">
        <v>3781</v>
      </c>
      <c r="F3620" s="64" t="s">
        <v>230</v>
      </c>
      <c r="G3620" s="64" t="s">
        <v>3160</v>
      </c>
      <c r="H3620" s="64" t="s">
        <v>1875</v>
      </c>
      <c r="I3620" s="64" t="s">
        <v>3782</v>
      </c>
      <c r="J3620" s="67">
        <v>96.95</v>
      </c>
      <c r="K3620" s="62">
        <v>1352.04</v>
      </c>
      <c r="L3620" s="33" t="e">
        <f>HLOOKUP(B3620,#REF!,1,0)</f>
        <v>#REF!</v>
      </c>
      <c r="M3620" s="33" t="str">
        <f t="shared" si="227"/>
        <v>P&amp;L</v>
      </c>
    </row>
    <row r="3621" spans="1:13" s="33" customFormat="true" ht="12.75" customHeight="true">
      <c r="A3621" s="33" t="str">
        <f t="shared" si="224"/>
        <v>CHA - CGS</v>
      </c>
      <c r="B3621" s="33" t="str">
        <f t="shared" si="225"/>
        <v>CHA</v>
      </c>
      <c r="C3621" s="33" t="str">
        <f t="shared" si="226"/>
        <v>53002-0000</v>
      </c>
      <c r="D3621" s="64" t="s">
        <v>4556</v>
      </c>
      <c r="E3621" s="64" t="s">
        <v>3784</v>
      </c>
      <c r="F3621" s="64" t="s">
        <v>230</v>
      </c>
      <c r="G3621" s="64" t="s">
        <v>3160</v>
      </c>
      <c r="H3621" s="64" t="s">
        <v>1875</v>
      </c>
      <c r="I3621" s="64" t="s">
        <v>3785</v>
      </c>
      <c r="J3621" s="67">
        <v>774.71</v>
      </c>
      <c r="K3621" s="62">
        <v>7887.32</v>
      </c>
      <c r="L3621" s="33" t="e">
        <f>HLOOKUP(B3621,#REF!,1,0)</f>
        <v>#REF!</v>
      </c>
      <c r="M3621" s="33" t="str">
        <f t="shared" si="227"/>
        <v>P&amp;L</v>
      </c>
    </row>
    <row r="3622" spans="1:13" s="33" customFormat="true" ht="12.75" customHeight="true">
      <c r="A3622" s="33" t="str">
        <f t="shared" si="224"/>
        <v>CHA - CGS</v>
      </c>
      <c r="B3622" s="33" t="str">
        <f t="shared" si="225"/>
        <v>CHA</v>
      </c>
      <c r="C3622" s="33" t="str">
        <f t="shared" si="226"/>
        <v>53003-0000</v>
      </c>
      <c r="D3622" s="64" t="s">
        <v>4557</v>
      </c>
      <c r="E3622" s="64" t="s">
        <v>3787</v>
      </c>
      <c r="F3622" s="64" t="s">
        <v>230</v>
      </c>
      <c r="G3622" s="64" t="s">
        <v>3160</v>
      </c>
      <c r="H3622" s="64" t="s">
        <v>1875</v>
      </c>
      <c r="I3622" s="64" t="s">
        <v>3788</v>
      </c>
      <c r="J3622" s="67">
        <v>468.77</v>
      </c>
      <c r="K3622" s="62">
        <v>2967.06</v>
      </c>
      <c r="L3622" s="33" t="e">
        <f>HLOOKUP(B3622,#REF!,1,0)</f>
        <v>#REF!</v>
      </c>
      <c r="M3622" s="33" t="str">
        <f t="shared" si="227"/>
        <v>P&amp;L</v>
      </c>
    </row>
    <row r="3623" spans="1:13" s="33" customFormat="true" ht="12.75" customHeight="true">
      <c r="A3623" s="33" t="str">
        <f t="shared" si="224"/>
        <v>CHA - CGS</v>
      </c>
      <c r="B3623" s="33" t="str">
        <f t="shared" si="225"/>
        <v>CHA</v>
      </c>
      <c r="C3623" s="33" t="str">
        <f t="shared" si="226"/>
        <v>53004-0000</v>
      </c>
      <c r="D3623" s="64" t="s">
        <v>4558</v>
      </c>
      <c r="E3623" s="64" t="s">
        <v>3790</v>
      </c>
      <c r="F3623" s="64" t="s">
        <v>230</v>
      </c>
      <c r="G3623" s="64" t="s">
        <v>3160</v>
      </c>
      <c r="H3623" s="64" t="s">
        <v>1875</v>
      </c>
      <c r="I3623" s="64" t="s">
        <v>3791</v>
      </c>
      <c r="J3623" s="67">
        <v>645.62</v>
      </c>
      <c r="K3623" s="62">
        <v>8013.61</v>
      </c>
      <c r="L3623" s="33" t="e">
        <f>HLOOKUP(B3623,#REF!,1,0)</f>
        <v>#REF!</v>
      </c>
      <c r="M3623" s="33" t="str">
        <f t="shared" si="227"/>
        <v>P&amp;L</v>
      </c>
    </row>
    <row r="3624" spans="1:13" s="33" customFormat="true" ht="12.75" customHeight="true">
      <c r="A3624" s="33" t="str">
        <f t="shared" si="224"/>
        <v>CHA - CGS</v>
      </c>
      <c r="B3624" s="33" t="str">
        <f t="shared" si="225"/>
        <v>CHA</v>
      </c>
      <c r="C3624" s="33" t="str">
        <f t="shared" si="226"/>
        <v>53005-0000</v>
      </c>
      <c r="D3624" s="64" t="s">
        <v>4559</v>
      </c>
      <c r="E3624" s="64" t="s">
        <v>3793</v>
      </c>
      <c r="F3624" s="64" t="s">
        <v>230</v>
      </c>
      <c r="G3624" s="64" t="s">
        <v>3160</v>
      </c>
      <c r="H3624" s="64" t="s">
        <v>1875</v>
      </c>
      <c r="I3624" s="64" t="s">
        <v>3794</v>
      </c>
      <c r="J3624" s="67">
        <v>1370.07</v>
      </c>
      <c r="K3624" s="62">
        <v>7677.58</v>
      </c>
      <c r="L3624" s="33" t="e">
        <f>HLOOKUP(B3624,#REF!,1,0)</f>
        <v>#REF!</v>
      </c>
      <c r="M3624" s="33" t="str">
        <f t="shared" si="227"/>
        <v>P&amp;L</v>
      </c>
    </row>
    <row r="3625" spans="1:13" s="33" customFormat="true" ht="12.75" customHeight="true">
      <c r="A3625" s="33" t="str">
        <f t="shared" si="224"/>
        <v>CHA - CGS</v>
      </c>
      <c r="B3625" s="33" t="str">
        <f t="shared" si="225"/>
        <v>CHA</v>
      </c>
      <c r="C3625" s="33" t="str">
        <f t="shared" si="226"/>
        <v>53006-0000</v>
      </c>
      <c r="D3625" s="64" t="s">
        <v>4560</v>
      </c>
      <c r="E3625" s="64" t="s">
        <v>3796</v>
      </c>
      <c r="F3625" s="64" t="s">
        <v>230</v>
      </c>
      <c r="G3625" s="64" t="s">
        <v>3160</v>
      </c>
      <c r="H3625" s="64" t="s">
        <v>1875</v>
      </c>
      <c r="I3625" s="64" t="s">
        <v>3797</v>
      </c>
      <c r="J3625" s="67">
        <v>3599.38</v>
      </c>
      <c r="K3625" s="62">
        <v>12119.71</v>
      </c>
      <c r="L3625" s="33" t="e">
        <f>HLOOKUP(B3625,#REF!,1,0)</f>
        <v>#REF!</v>
      </c>
      <c r="M3625" s="33" t="str">
        <f t="shared" si="227"/>
        <v>P&amp;L</v>
      </c>
    </row>
    <row r="3626" spans="1:13" s="33" customFormat="true" ht="12.75" customHeight="true">
      <c r="A3626" s="33" t="str">
        <f t="shared" si="224"/>
        <v>CHA - CGS</v>
      </c>
      <c r="B3626" s="33" t="str">
        <f t="shared" si="225"/>
        <v>CHA</v>
      </c>
      <c r="C3626" s="33" t="str">
        <f t="shared" si="226"/>
        <v>54001-0000</v>
      </c>
      <c r="D3626" s="64" t="s">
        <v>4561</v>
      </c>
      <c r="E3626" s="64" t="s">
        <v>4008</v>
      </c>
      <c r="F3626" s="64" t="s">
        <v>230</v>
      </c>
      <c r="G3626" s="64" t="s">
        <v>3800</v>
      </c>
      <c r="H3626" s="64" t="s">
        <v>1875</v>
      </c>
      <c r="I3626" s="64" t="s">
        <v>4009</v>
      </c>
      <c r="J3626" s="67">
        <v>0</v>
      </c>
      <c r="K3626" s="62">
        <v>0</v>
      </c>
      <c r="L3626" s="33" t="e">
        <f>HLOOKUP(B3626,#REF!,1,0)</f>
        <v>#REF!</v>
      </c>
      <c r="M3626" s="33" t="str">
        <f t="shared" si="227"/>
        <v>P&amp;L</v>
      </c>
    </row>
    <row r="3627" spans="1:13" s="33" customFormat="true" ht="12.75" customHeight="true">
      <c r="A3627" s="33" t="str">
        <f t="shared" si="224"/>
        <v>CHA - CGS</v>
      </c>
      <c r="B3627" s="33" t="str">
        <f t="shared" si="225"/>
        <v>CHA</v>
      </c>
      <c r="C3627" s="33" t="str">
        <f t="shared" si="226"/>
        <v>54002-0000</v>
      </c>
      <c r="D3627" s="64" t="s">
        <v>4562</v>
      </c>
      <c r="E3627" s="64" t="s">
        <v>3799</v>
      </c>
      <c r="F3627" s="64" t="s">
        <v>230</v>
      </c>
      <c r="G3627" s="64" t="s">
        <v>3800</v>
      </c>
      <c r="H3627" s="64" t="s">
        <v>1875</v>
      </c>
      <c r="I3627" s="64" t="s">
        <v>3801</v>
      </c>
      <c r="J3627" s="67">
        <v>0</v>
      </c>
      <c r="K3627" s="62">
        <v>2961</v>
      </c>
      <c r="L3627" s="33" t="e">
        <f>HLOOKUP(B3627,#REF!,1,0)</f>
        <v>#REF!</v>
      </c>
      <c r="M3627" s="33" t="str">
        <f t="shared" si="227"/>
        <v>P&amp;L</v>
      </c>
    </row>
    <row r="3628" spans="1:13" s="33" customFormat="true" ht="12.75" customHeight="true">
      <c r="A3628" s="33" t="str">
        <f t="shared" si="224"/>
        <v>CHA - CGS</v>
      </c>
      <c r="B3628" s="33" t="str">
        <f t="shared" si="225"/>
        <v>CHA</v>
      </c>
      <c r="C3628" s="33" t="str">
        <f t="shared" si="226"/>
        <v>54003-0000</v>
      </c>
      <c r="D3628" s="64" t="s">
        <v>4563</v>
      </c>
      <c r="E3628" s="64" t="s">
        <v>3803</v>
      </c>
      <c r="F3628" s="64" t="s">
        <v>230</v>
      </c>
      <c r="G3628" s="64" t="s">
        <v>3800</v>
      </c>
      <c r="H3628" s="64" t="s">
        <v>1875</v>
      </c>
      <c r="I3628" s="64" t="s">
        <v>3804</v>
      </c>
      <c r="J3628" s="67">
        <v>0</v>
      </c>
      <c r="K3628" s="62">
        <v>0</v>
      </c>
      <c r="L3628" s="33" t="e">
        <f>HLOOKUP(B3628,#REF!,1,0)</f>
        <v>#REF!</v>
      </c>
      <c r="M3628" s="33" t="str">
        <f t="shared" si="227"/>
        <v>P&amp;L</v>
      </c>
    </row>
    <row r="3629" spans="1:13" s="33" customFormat="true" ht="12.75" customHeight="true">
      <c r="A3629" s="33" t="str">
        <f t="shared" si="224"/>
        <v>CHA - CGS</v>
      </c>
      <c r="B3629" s="33" t="str">
        <f t="shared" si="225"/>
        <v>CHA</v>
      </c>
      <c r="C3629" s="33" t="str">
        <f t="shared" si="226"/>
        <v>54004-0000</v>
      </c>
      <c r="D3629" s="64" t="s">
        <v>4564</v>
      </c>
      <c r="E3629" s="64" t="s">
        <v>3806</v>
      </c>
      <c r="F3629" s="64" t="s">
        <v>230</v>
      </c>
      <c r="G3629" s="64" t="s">
        <v>3800</v>
      </c>
      <c r="H3629" s="64" t="s">
        <v>1875</v>
      </c>
      <c r="I3629" s="64" t="s">
        <v>3807</v>
      </c>
      <c r="J3629" s="67">
        <v>800</v>
      </c>
      <c r="K3629" s="62">
        <v>8031.07</v>
      </c>
      <c r="L3629" s="33" t="e">
        <f>HLOOKUP(B3629,#REF!,1,0)</f>
        <v>#REF!</v>
      </c>
      <c r="M3629" s="33" t="str">
        <f t="shared" si="227"/>
        <v>P&amp;L</v>
      </c>
    </row>
    <row r="3630" spans="1:13" s="33" customFormat="true" ht="12.75" customHeight="true">
      <c r="A3630" s="33" t="str">
        <f t="shared" si="224"/>
        <v>CHA - CGS</v>
      </c>
      <c r="B3630" s="33" t="str">
        <f t="shared" si="225"/>
        <v>CHA</v>
      </c>
      <c r="C3630" s="33" t="str">
        <f t="shared" si="226"/>
        <v>54005-0000</v>
      </c>
      <c r="D3630" s="64" t="s">
        <v>4565</v>
      </c>
      <c r="E3630" s="64" t="s">
        <v>3809</v>
      </c>
      <c r="F3630" s="64" t="s">
        <v>230</v>
      </c>
      <c r="G3630" s="64" t="s">
        <v>3800</v>
      </c>
      <c r="H3630" s="64" t="s">
        <v>1875</v>
      </c>
      <c r="I3630" s="64" t="s">
        <v>3810</v>
      </c>
      <c r="J3630" s="67">
        <v>11.73</v>
      </c>
      <c r="K3630" s="62">
        <v>148.28</v>
      </c>
      <c r="L3630" s="33" t="e">
        <f>HLOOKUP(B3630,#REF!,1,0)</f>
        <v>#REF!</v>
      </c>
      <c r="M3630" s="33" t="str">
        <f t="shared" si="227"/>
        <v>P&amp;L</v>
      </c>
    </row>
    <row r="3631" spans="1:13" s="33" customFormat="true" ht="12.75" customHeight="true">
      <c r="A3631" s="33" t="str">
        <f t="shared" si="224"/>
        <v>CHA - CGS</v>
      </c>
      <c r="B3631" s="33" t="str">
        <f t="shared" si="225"/>
        <v>CHA</v>
      </c>
      <c r="C3631" s="33" t="str">
        <f t="shared" si="226"/>
        <v>54006-0000</v>
      </c>
      <c r="D3631" s="64" t="s">
        <v>4566</v>
      </c>
      <c r="E3631" s="64" t="s">
        <v>3812</v>
      </c>
      <c r="F3631" s="64" t="s">
        <v>230</v>
      </c>
      <c r="G3631" s="64" t="s">
        <v>3800</v>
      </c>
      <c r="H3631" s="64" t="s">
        <v>1875</v>
      </c>
      <c r="I3631" s="64" t="s">
        <v>3003</v>
      </c>
      <c r="J3631" s="67">
        <v>61.2</v>
      </c>
      <c r="K3631" s="62">
        <v>1100.61</v>
      </c>
      <c r="L3631" s="33" t="e">
        <f>HLOOKUP(B3631,#REF!,1,0)</f>
        <v>#REF!</v>
      </c>
      <c r="M3631" s="33" t="str">
        <f t="shared" si="227"/>
        <v>P&amp;L</v>
      </c>
    </row>
    <row r="3632" spans="1:13" s="33" customFormat="true" ht="12.75" customHeight="true">
      <c r="A3632" s="33" t="str">
        <f t="shared" si="224"/>
        <v>CHA - CGS</v>
      </c>
      <c r="B3632" s="33" t="str">
        <f t="shared" si="225"/>
        <v>CHA</v>
      </c>
      <c r="C3632" s="33" t="str">
        <f t="shared" si="226"/>
        <v>54007-0000</v>
      </c>
      <c r="D3632" s="64" t="s">
        <v>4567</v>
      </c>
      <c r="E3632" s="64" t="s">
        <v>3814</v>
      </c>
      <c r="F3632" s="64" t="s">
        <v>230</v>
      </c>
      <c r="G3632" s="64" t="s">
        <v>3800</v>
      </c>
      <c r="H3632" s="64" t="s">
        <v>1875</v>
      </c>
      <c r="I3632" s="64" t="s">
        <v>3815</v>
      </c>
      <c r="J3632" s="67">
        <v>254.94</v>
      </c>
      <c r="K3632" s="62">
        <v>6406.96</v>
      </c>
      <c r="L3632" s="33" t="e">
        <f>HLOOKUP(B3632,#REF!,1,0)</f>
        <v>#REF!</v>
      </c>
      <c r="M3632" s="33" t="str">
        <f t="shared" si="227"/>
        <v>P&amp;L</v>
      </c>
    </row>
    <row r="3633" spans="1:13" s="33" customFormat="true" ht="12.75" customHeight="true">
      <c r="A3633" s="33" t="str">
        <f t="shared" si="224"/>
        <v>CHA - PM Expenses</v>
      </c>
      <c r="B3633" s="33" t="str">
        <f t="shared" si="225"/>
        <v>CHA</v>
      </c>
      <c r="C3633" s="33" t="str">
        <f t="shared" si="226"/>
        <v>55501-0000</v>
      </c>
      <c r="D3633" s="64" t="s">
        <v>4568</v>
      </c>
      <c r="E3633" s="64" t="s">
        <v>3817</v>
      </c>
      <c r="F3633" s="64" t="s">
        <v>230</v>
      </c>
      <c r="G3633" s="64" t="s">
        <v>3818</v>
      </c>
      <c r="H3633" s="64" t="s">
        <v>3819</v>
      </c>
      <c r="I3633" s="64" t="s">
        <v>3820</v>
      </c>
      <c r="J3633" s="67">
        <v>250</v>
      </c>
      <c r="K3633" s="62">
        <v>1875.62</v>
      </c>
      <c r="L3633" s="33" t="e">
        <f>HLOOKUP(B3633,#REF!,1,0)</f>
        <v>#REF!</v>
      </c>
      <c r="M3633" s="33" t="str">
        <f t="shared" si="227"/>
        <v>P&amp;L</v>
      </c>
    </row>
    <row r="3634" spans="1:13" s="33" customFormat="true" ht="12.75" customHeight="true">
      <c r="A3634" s="33" t="str">
        <f t="shared" si="224"/>
        <v>CHA - PM Expenses</v>
      </c>
      <c r="B3634" s="33" t="str">
        <f t="shared" si="225"/>
        <v>CHA</v>
      </c>
      <c r="C3634" s="33" t="str">
        <f t="shared" si="226"/>
        <v>55502-0000</v>
      </c>
      <c r="D3634" s="64" t="s">
        <v>4569</v>
      </c>
      <c r="E3634" s="64" t="s">
        <v>3822</v>
      </c>
      <c r="F3634" s="64" t="s">
        <v>230</v>
      </c>
      <c r="G3634" s="64" t="s">
        <v>3818</v>
      </c>
      <c r="H3634" s="64" t="s">
        <v>3819</v>
      </c>
      <c r="I3634" s="64" t="s">
        <v>3823</v>
      </c>
      <c r="J3634" s="67">
        <v>0</v>
      </c>
      <c r="K3634" s="62">
        <v>791.72</v>
      </c>
      <c r="L3634" s="33" t="e">
        <f>HLOOKUP(B3634,#REF!,1,0)</f>
        <v>#REF!</v>
      </c>
      <c r="M3634" s="33" t="str">
        <f t="shared" si="227"/>
        <v>P&amp;L</v>
      </c>
    </row>
    <row r="3635" spans="1:13" s="33" customFormat="true" ht="12.75" customHeight="true">
      <c r="A3635" s="33" t="str">
        <f t="shared" si="224"/>
        <v>CHA - PM Expenses</v>
      </c>
      <c r="B3635" s="33" t="str">
        <f t="shared" si="225"/>
        <v>CHA</v>
      </c>
      <c r="C3635" s="33" t="str">
        <f t="shared" si="226"/>
        <v>55503-0000</v>
      </c>
      <c r="D3635" s="64" t="s">
        <v>4570</v>
      </c>
      <c r="E3635" s="64" t="s">
        <v>3825</v>
      </c>
      <c r="F3635" s="64" t="s">
        <v>230</v>
      </c>
      <c r="G3635" s="64" t="s">
        <v>3818</v>
      </c>
      <c r="H3635" s="64" t="s">
        <v>3819</v>
      </c>
      <c r="I3635" s="64" t="s">
        <v>3826</v>
      </c>
      <c r="J3635" s="67">
        <v>1222.74</v>
      </c>
      <c r="K3635" s="62">
        <v>3996.6</v>
      </c>
      <c r="L3635" s="33" t="e">
        <f>HLOOKUP(B3635,#REF!,1,0)</f>
        <v>#REF!</v>
      </c>
      <c r="M3635" s="33" t="str">
        <f t="shared" si="227"/>
        <v>P&amp;L</v>
      </c>
    </row>
    <row r="3636" spans="1:13" s="33" customFormat="true" ht="12.75" customHeight="true">
      <c r="A3636" s="33" t="str">
        <f t="shared" si="224"/>
        <v>CHA - PM Expenses</v>
      </c>
      <c r="B3636" s="33" t="str">
        <f t="shared" si="225"/>
        <v>CHA</v>
      </c>
      <c r="C3636" s="33" t="str">
        <f t="shared" si="226"/>
        <v>55504-0000</v>
      </c>
      <c r="D3636" s="64" t="s">
        <v>4571</v>
      </c>
      <c r="E3636" s="64" t="s">
        <v>4027</v>
      </c>
      <c r="F3636" s="64" t="s">
        <v>230</v>
      </c>
      <c r="G3636" s="64" t="s">
        <v>3818</v>
      </c>
      <c r="H3636" s="64" t="s">
        <v>3819</v>
      </c>
      <c r="I3636" s="64" t="s">
        <v>4028</v>
      </c>
      <c r="J3636" s="67">
        <v>0</v>
      </c>
      <c r="K3636" s="62">
        <v>229.03</v>
      </c>
      <c r="L3636" s="33" t="e">
        <f>HLOOKUP(B3636,#REF!,1,0)</f>
        <v>#REF!</v>
      </c>
      <c r="M3636" s="33" t="str">
        <f t="shared" si="227"/>
        <v>P&amp;L</v>
      </c>
    </row>
    <row r="3637" spans="1:13" s="33" customFormat="true" ht="12.75" customHeight="true">
      <c r="A3637" s="33" t="str">
        <f t="shared" si="224"/>
        <v>CHA - PM Expenses</v>
      </c>
      <c r="B3637" s="33" t="str">
        <f t="shared" si="225"/>
        <v>CHA</v>
      </c>
      <c r="C3637" s="33" t="str">
        <f t="shared" si="226"/>
        <v>55505-0000</v>
      </c>
      <c r="D3637" s="64" t="s">
        <v>4572</v>
      </c>
      <c r="E3637" s="64" t="s">
        <v>3828</v>
      </c>
      <c r="F3637" s="64" t="s">
        <v>230</v>
      </c>
      <c r="G3637" s="64" t="s">
        <v>3818</v>
      </c>
      <c r="H3637" s="64" t="s">
        <v>3819</v>
      </c>
      <c r="I3637" s="64" t="s">
        <v>3829</v>
      </c>
      <c r="J3637" s="67">
        <v>207</v>
      </c>
      <c r="K3637" s="62">
        <v>10403.44</v>
      </c>
      <c r="L3637" s="33" t="e">
        <f>HLOOKUP(B3637,#REF!,1,0)</f>
        <v>#REF!</v>
      </c>
      <c r="M3637" s="33" t="str">
        <f t="shared" si="227"/>
        <v>P&amp;L</v>
      </c>
    </row>
    <row r="3638" spans="1:13" s="33" customFormat="true" ht="12.75" customHeight="true">
      <c r="A3638" s="33" t="str">
        <f t="shared" si="224"/>
        <v>CHA - PM Expenses</v>
      </c>
      <c r="B3638" s="33" t="str">
        <f t="shared" si="225"/>
        <v>CHA</v>
      </c>
      <c r="C3638" s="33" t="str">
        <f t="shared" si="226"/>
        <v>55506-0000</v>
      </c>
      <c r="D3638" s="64" t="s">
        <v>4573</v>
      </c>
      <c r="E3638" s="64" t="s">
        <v>3831</v>
      </c>
      <c r="F3638" s="64" t="s">
        <v>230</v>
      </c>
      <c r="G3638" s="64" t="s">
        <v>3818</v>
      </c>
      <c r="H3638" s="64" t="s">
        <v>3819</v>
      </c>
      <c r="I3638" s="64" t="s">
        <v>3832</v>
      </c>
      <c r="J3638" s="67">
        <v>3751.35</v>
      </c>
      <c r="K3638" s="62">
        <v>34476.01</v>
      </c>
      <c r="L3638" s="33" t="e">
        <f>HLOOKUP(B3638,#REF!,1,0)</f>
        <v>#REF!</v>
      </c>
      <c r="M3638" s="33" t="str">
        <f t="shared" si="227"/>
        <v>P&amp;L</v>
      </c>
    </row>
    <row r="3639" spans="1:13" s="33" customFormat="true" ht="12.75" customHeight="true">
      <c r="A3639" s="33" t="str">
        <f t="shared" si="224"/>
        <v>CHA - PM Expenses</v>
      </c>
      <c r="B3639" s="33" t="str">
        <f t="shared" si="225"/>
        <v>CHA</v>
      </c>
      <c r="C3639" s="33" t="str">
        <f t="shared" si="226"/>
        <v>55507-0000</v>
      </c>
      <c r="D3639" s="64" t="s">
        <v>4574</v>
      </c>
      <c r="E3639" s="64" t="s">
        <v>3834</v>
      </c>
      <c r="F3639" s="64" t="s">
        <v>230</v>
      </c>
      <c r="G3639" s="64" t="s">
        <v>3818</v>
      </c>
      <c r="H3639" s="64" t="s">
        <v>3819</v>
      </c>
      <c r="I3639" s="64" t="s">
        <v>3835</v>
      </c>
      <c r="J3639" s="67">
        <v>0</v>
      </c>
      <c r="K3639" s="62">
        <v>680</v>
      </c>
      <c r="L3639" s="33" t="e">
        <f>HLOOKUP(B3639,#REF!,1,0)</f>
        <v>#REF!</v>
      </c>
      <c r="M3639" s="33" t="str">
        <f t="shared" si="227"/>
        <v>P&amp;L</v>
      </c>
    </row>
    <row r="3640" spans="1:13" s="33" customFormat="true" ht="12.75" customHeight="true">
      <c r="A3640" s="33" t="str">
        <f t="shared" si="224"/>
        <v>CHA - CGS</v>
      </c>
      <c r="B3640" s="33" t="str">
        <f t="shared" si="225"/>
        <v>CHA</v>
      </c>
      <c r="C3640" s="33" t="str">
        <f t="shared" si="226"/>
        <v>60001-0000</v>
      </c>
      <c r="D3640" s="64" t="s">
        <v>4575</v>
      </c>
      <c r="E3640" s="64" t="s">
        <v>4192</v>
      </c>
      <c r="F3640" s="64" t="s">
        <v>230</v>
      </c>
      <c r="G3640" s="64" t="s">
        <v>3838</v>
      </c>
      <c r="H3640" s="64" t="s">
        <v>1875</v>
      </c>
      <c r="I3640" s="64" t="s">
        <v>4193</v>
      </c>
      <c r="J3640" s="67">
        <v>0</v>
      </c>
      <c r="K3640" s="62">
        <v>2987.32</v>
      </c>
      <c r="L3640" s="33" t="e">
        <f>HLOOKUP(B3640,#REF!,1,0)</f>
        <v>#REF!</v>
      </c>
      <c r="M3640" s="33" t="str">
        <f t="shared" si="227"/>
        <v>P&amp;L</v>
      </c>
    </row>
    <row r="3641" spans="1:13" s="33" customFormat="true" ht="12.75" customHeight="true">
      <c r="A3641" s="33" t="str">
        <f t="shared" si="224"/>
        <v>CHA - CGS</v>
      </c>
      <c r="B3641" s="33" t="str">
        <f t="shared" si="225"/>
        <v>CHA</v>
      </c>
      <c r="C3641" s="33" t="str">
        <f t="shared" si="226"/>
        <v>60002-0000</v>
      </c>
      <c r="D3641" s="64" t="s">
        <v>4576</v>
      </c>
      <c r="E3641" s="64" t="s">
        <v>3837</v>
      </c>
      <c r="F3641" s="64" t="s">
        <v>230</v>
      </c>
      <c r="G3641" s="64" t="s">
        <v>3838</v>
      </c>
      <c r="H3641" s="64" t="s">
        <v>1875</v>
      </c>
      <c r="I3641" s="64" t="s">
        <v>3839</v>
      </c>
      <c r="J3641" s="67">
        <v>77.6</v>
      </c>
      <c r="K3641" s="62">
        <v>766.68</v>
      </c>
      <c r="L3641" s="33" t="e">
        <f>HLOOKUP(B3641,#REF!,1,0)</f>
        <v>#REF!</v>
      </c>
      <c r="M3641" s="33" t="str">
        <f t="shared" si="227"/>
        <v>P&amp;L</v>
      </c>
    </row>
    <row r="3642" spans="1:13" s="33" customFormat="true" ht="12.75" customHeight="true">
      <c r="A3642" s="33" t="str">
        <f t="shared" si="224"/>
        <v>CHA - CGS</v>
      </c>
      <c r="B3642" s="33" t="str">
        <f t="shared" si="225"/>
        <v>CHA</v>
      </c>
      <c r="C3642" s="33" t="str">
        <f t="shared" si="226"/>
        <v>60005-0000</v>
      </c>
      <c r="D3642" s="64" t="s">
        <v>4577</v>
      </c>
      <c r="E3642" s="64" t="s">
        <v>3841</v>
      </c>
      <c r="F3642" s="64" t="s">
        <v>230</v>
      </c>
      <c r="G3642" s="64" t="s">
        <v>3838</v>
      </c>
      <c r="H3642" s="64" t="s">
        <v>1875</v>
      </c>
      <c r="I3642" s="64" t="s">
        <v>3842</v>
      </c>
      <c r="J3642" s="67">
        <v>905.75</v>
      </c>
      <c r="K3642" s="62">
        <v>9282.64</v>
      </c>
      <c r="L3642" s="33" t="e">
        <f>HLOOKUP(B3642,#REF!,1,0)</f>
        <v>#REF!</v>
      </c>
      <c r="M3642" s="33" t="str">
        <f t="shared" si="227"/>
        <v>P&amp;L</v>
      </c>
    </row>
    <row r="3643" spans="1:13" s="33" customFormat="true" ht="12.75" customHeight="true">
      <c r="A3643" s="33" t="str">
        <f t="shared" si="224"/>
        <v>CHA - Interest Expense</v>
      </c>
      <c r="B3643" s="33" t="str">
        <f t="shared" si="225"/>
        <v>CHA</v>
      </c>
      <c r="C3643" s="33" t="str">
        <f t="shared" si="226"/>
        <v>60006-0000</v>
      </c>
      <c r="D3643" s="64" t="s">
        <v>4578</v>
      </c>
      <c r="E3643" s="64" t="s">
        <v>3325</v>
      </c>
      <c r="F3643" s="64" t="s">
        <v>230</v>
      </c>
      <c r="G3643" s="64" t="s">
        <v>3844</v>
      </c>
      <c r="H3643" s="64" t="s">
        <v>3327</v>
      </c>
      <c r="I3643" s="64" t="s">
        <v>3328</v>
      </c>
      <c r="J3643" s="67">
        <v>11478.3</v>
      </c>
      <c r="K3643" s="62">
        <v>116323.27</v>
      </c>
      <c r="L3643" s="33" t="e">
        <f>HLOOKUP(B3643,#REF!,1,0)</f>
        <v>#REF!</v>
      </c>
      <c r="M3643" s="33" t="str">
        <f t="shared" si="227"/>
        <v>P&amp;L</v>
      </c>
    </row>
    <row r="3644" spans="1:13" s="33" customFormat="true" ht="12.75" customHeight="true">
      <c r="A3644" s="33" t="str">
        <f t="shared" si="224"/>
        <v>CHA - CGS</v>
      </c>
      <c r="B3644" s="33" t="str">
        <f t="shared" si="225"/>
        <v>CHA</v>
      </c>
      <c r="C3644" s="33" t="str">
        <f t="shared" si="226"/>
        <v>60007-0000</v>
      </c>
      <c r="D3644" s="64" t="s">
        <v>4579</v>
      </c>
      <c r="E3644" s="64" t="s">
        <v>3846</v>
      </c>
      <c r="F3644" s="64" t="s">
        <v>230</v>
      </c>
      <c r="G3644" s="64" t="s">
        <v>3838</v>
      </c>
      <c r="H3644" s="64" t="s">
        <v>1875</v>
      </c>
      <c r="I3644" s="64" t="s">
        <v>3847</v>
      </c>
      <c r="J3644" s="67">
        <v>0</v>
      </c>
      <c r="K3644" s="62">
        <v>60801</v>
      </c>
      <c r="L3644" s="33" t="e">
        <f>HLOOKUP(B3644,#REF!,1,0)</f>
        <v>#REF!</v>
      </c>
      <c r="M3644" s="33" t="str">
        <f t="shared" si="227"/>
        <v>P&amp;L</v>
      </c>
    </row>
    <row r="3645" spans="1:13" s="33" customFormat="true" ht="12.75" customHeight="true">
      <c r="A3645" s="33" t="str">
        <f t="shared" si="224"/>
        <v>CHA - CGS</v>
      </c>
      <c r="B3645" s="33" t="str">
        <f t="shared" si="225"/>
        <v>CHA</v>
      </c>
      <c r="C3645" s="33" t="str">
        <f t="shared" si="226"/>
        <v>60008-0000</v>
      </c>
      <c r="D3645" s="64" t="s">
        <v>4580</v>
      </c>
      <c r="E3645" s="64" t="s">
        <v>3849</v>
      </c>
      <c r="F3645" s="64" t="s">
        <v>230</v>
      </c>
      <c r="G3645" s="64" t="s">
        <v>3838</v>
      </c>
      <c r="H3645" s="64" t="s">
        <v>1875</v>
      </c>
      <c r="I3645" s="64" t="s">
        <v>3850</v>
      </c>
      <c r="J3645" s="67">
        <v>0</v>
      </c>
      <c r="K3645" s="62">
        <v>1219.5</v>
      </c>
      <c r="L3645" s="33" t="e">
        <f>HLOOKUP(B3645,#REF!,1,0)</f>
        <v>#REF!</v>
      </c>
      <c r="M3645" s="33" t="str">
        <f t="shared" si="227"/>
        <v>P&amp;L</v>
      </c>
    </row>
    <row r="3646" spans="1:13" s="33" customFormat="true" ht="12.75" customHeight="true">
      <c r="A3646" s="33" t="str">
        <f t="shared" si="224"/>
        <v>CHA - CGS</v>
      </c>
      <c r="B3646" s="33" t="str">
        <f t="shared" si="225"/>
        <v>CHA</v>
      </c>
      <c r="C3646" s="33" t="str">
        <f t="shared" si="226"/>
        <v>60011-0000</v>
      </c>
      <c r="D3646" s="64" t="s">
        <v>4581</v>
      </c>
      <c r="E3646" s="64" t="s">
        <v>4199</v>
      </c>
      <c r="F3646" s="64" t="s">
        <v>230</v>
      </c>
      <c r="G3646" s="64" t="s">
        <v>3838</v>
      </c>
      <c r="H3646" s="64" t="s">
        <v>1875</v>
      </c>
      <c r="I3646" s="64" t="s">
        <v>4200</v>
      </c>
      <c r="J3646" s="67">
        <v>0</v>
      </c>
      <c r="K3646" s="62">
        <v>582.31</v>
      </c>
      <c r="L3646" s="33" t="e">
        <f>HLOOKUP(B3646,#REF!,1,0)</f>
        <v>#REF!</v>
      </c>
      <c r="M3646" s="33" t="str">
        <f t="shared" si="227"/>
        <v>P&amp;L</v>
      </c>
    </row>
    <row r="3647" spans="1:13" s="33" customFormat="true" ht="12.75" customHeight="true">
      <c r="A3647" s="33" t="str">
        <f t="shared" si="224"/>
        <v>CHA - CGS</v>
      </c>
      <c r="B3647" s="33" t="str">
        <f t="shared" si="225"/>
        <v>CHA</v>
      </c>
      <c r="C3647" s="33" t="str">
        <f t="shared" si="226"/>
        <v>60012-0000</v>
      </c>
      <c r="D3647" s="64" t="s">
        <v>4582</v>
      </c>
      <c r="E3647" s="64" t="s">
        <v>3852</v>
      </c>
      <c r="F3647" s="64" t="s">
        <v>230</v>
      </c>
      <c r="G3647" s="64" t="s">
        <v>3838</v>
      </c>
      <c r="H3647" s="64" t="s">
        <v>1875</v>
      </c>
      <c r="I3647" s="64" t="s">
        <v>3853</v>
      </c>
      <c r="J3647" s="67">
        <v>0</v>
      </c>
      <c r="K3647" s="62">
        <v>19116.1</v>
      </c>
      <c r="L3647" s="33" t="e">
        <f>HLOOKUP(B3647,#REF!,1,0)</f>
        <v>#REF!</v>
      </c>
      <c r="M3647" s="33" t="str">
        <f t="shared" si="227"/>
        <v>P&amp;L</v>
      </c>
    </row>
    <row r="3648" spans="1:13" s="33" customFormat="true" ht="12.75" customHeight="true">
      <c r="A3648" s="33" t="str">
        <f t="shared" si="224"/>
        <v>CHA - CGS</v>
      </c>
      <c r="B3648" s="33" t="str">
        <f t="shared" si="225"/>
        <v>CHA</v>
      </c>
      <c r="C3648" s="33" t="str">
        <f t="shared" si="226"/>
        <v>60014-0000</v>
      </c>
      <c r="D3648" s="64" t="s">
        <v>4583</v>
      </c>
      <c r="E3648" s="64" t="s">
        <v>3855</v>
      </c>
      <c r="F3648" s="64" t="s">
        <v>230</v>
      </c>
      <c r="G3648" s="64" t="s">
        <v>3838</v>
      </c>
      <c r="H3648" s="64" t="s">
        <v>1875</v>
      </c>
      <c r="I3648" s="64" t="s">
        <v>3856</v>
      </c>
      <c r="J3648" s="67">
        <v>976.48</v>
      </c>
      <c r="K3648" s="62">
        <v>10658.68</v>
      </c>
      <c r="L3648" s="33" t="e">
        <f>HLOOKUP(B3648,#REF!,1,0)</f>
        <v>#REF!</v>
      </c>
      <c r="M3648" s="33" t="str">
        <f t="shared" si="227"/>
        <v>P&amp;L</v>
      </c>
    </row>
    <row r="3649" spans="1:13" s="33" customFormat="true" ht="12.75" customHeight="true">
      <c r="A3649" s="33" t="str">
        <f t="shared" si="224"/>
        <v>CHA - CGS</v>
      </c>
      <c r="B3649" s="33" t="str">
        <f t="shared" si="225"/>
        <v>CHA</v>
      </c>
      <c r="C3649" s="33" t="str">
        <f t="shared" si="226"/>
        <v>60015-0000</v>
      </c>
      <c r="D3649" s="64" t="s">
        <v>4584</v>
      </c>
      <c r="E3649" s="64" t="s">
        <v>3858</v>
      </c>
      <c r="F3649" s="64" t="s">
        <v>230</v>
      </c>
      <c r="G3649" s="64" t="s">
        <v>3838</v>
      </c>
      <c r="H3649" s="64" t="s">
        <v>1875</v>
      </c>
      <c r="I3649" s="64" t="s">
        <v>3859</v>
      </c>
      <c r="J3649" s="67">
        <v>0</v>
      </c>
      <c r="K3649" s="62">
        <v>20</v>
      </c>
      <c r="L3649" s="33" t="e">
        <f>HLOOKUP(B3649,#REF!,1,0)</f>
        <v>#REF!</v>
      </c>
      <c r="M3649" s="33" t="str">
        <f t="shared" si="227"/>
        <v>P&amp;L</v>
      </c>
    </row>
    <row r="3650" spans="1:13" s="33" customFormat="true" ht="12.75" customHeight="true">
      <c r="A3650" s="33" t="str">
        <f t="shared" ref="A3650:A3713" si="228">B3650&amp;" - "&amp;TRIM(H3650)</f>
        <v>CHA - CGS</v>
      </c>
      <c r="B3650" s="33" t="str">
        <f t="shared" ref="B3650:B3713" si="229">LEFT(D3650,3)</f>
        <v>CHA</v>
      </c>
      <c r="C3650" s="33" t="str">
        <f t="shared" ref="C3650:C3713" si="230">RIGHT(D3650,10)</f>
        <v>61016-0000</v>
      </c>
      <c r="D3650" s="64" t="s">
        <v>4585</v>
      </c>
      <c r="E3650" s="64" t="s">
        <v>3861</v>
      </c>
      <c r="F3650" s="64" t="s">
        <v>230</v>
      </c>
      <c r="G3650" s="64" t="s">
        <v>3838</v>
      </c>
      <c r="H3650" s="64" t="s">
        <v>1875</v>
      </c>
      <c r="I3650" s="64" t="s">
        <v>3862</v>
      </c>
      <c r="J3650" s="67">
        <v>0</v>
      </c>
      <c r="K3650" s="62">
        <v>0</v>
      </c>
      <c r="L3650" s="33" t="e">
        <f>HLOOKUP(B3650,#REF!,1,0)</f>
        <v>#REF!</v>
      </c>
      <c r="M3650" s="33" t="str">
        <f t="shared" ref="M3650:M3713" si="231">IF(VALUE(LEFT(C3650,5))&gt;40000,"P&amp;L","BS")</f>
        <v>P&amp;L</v>
      </c>
    </row>
    <row r="3651" spans="1:13" s="33" customFormat="true" ht="12.75" customHeight="true">
      <c r="A3651" s="33" t="str">
        <f t="shared" si="228"/>
        <v>CHA - CGS</v>
      </c>
      <c r="B3651" s="33" t="str">
        <f t="shared" si="229"/>
        <v>CHA</v>
      </c>
      <c r="C3651" s="33" t="str">
        <f t="shared" si="230"/>
        <v>61018-0000</v>
      </c>
      <c r="D3651" s="64" t="s">
        <v>4586</v>
      </c>
      <c r="E3651" s="64" t="s">
        <v>3864</v>
      </c>
      <c r="F3651" s="64" t="s">
        <v>230</v>
      </c>
      <c r="G3651" s="64" t="s">
        <v>3838</v>
      </c>
      <c r="H3651" s="64" t="s">
        <v>1875</v>
      </c>
      <c r="I3651" s="64" t="s">
        <v>3866</v>
      </c>
      <c r="J3651" s="67">
        <v>0</v>
      </c>
      <c r="K3651" s="62">
        <v>-509.22</v>
      </c>
      <c r="L3651" s="33" t="e">
        <f>HLOOKUP(B3651,#REF!,1,0)</f>
        <v>#REF!</v>
      </c>
      <c r="M3651" s="33" t="str">
        <f t="shared" si="231"/>
        <v>P&amp;L</v>
      </c>
    </row>
    <row r="3652" spans="1:13" s="33" customFormat="true" ht="12.75" customHeight="true">
      <c r="A3652" s="33" t="str">
        <f t="shared" si="228"/>
        <v>CHA - Income Tax</v>
      </c>
      <c r="B3652" s="33" t="str">
        <f t="shared" si="229"/>
        <v>CHA</v>
      </c>
      <c r="C3652" s="33" t="str">
        <f t="shared" si="230"/>
        <v>61019-0000</v>
      </c>
      <c r="D3652" s="64" t="s">
        <v>4587</v>
      </c>
      <c r="E3652" s="64" t="s">
        <v>4041</v>
      </c>
      <c r="F3652" s="64" t="s">
        <v>230</v>
      </c>
      <c r="G3652" s="64" t="s">
        <v>3844</v>
      </c>
      <c r="H3652" s="64" t="s">
        <v>3378</v>
      </c>
      <c r="I3652" s="64" t="s">
        <v>4042</v>
      </c>
      <c r="J3652" s="67">
        <v>0</v>
      </c>
      <c r="K3652" s="62">
        <v>1700</v>
      </c>
      <c r="L3652" s="33" t="e">
        <f>HLOOKUP(B3652,#REF!,1,0)</f>
        <v>#REF!</v>
      </c>
      <c r="M3652" s="33" t="str">
        <f t="shared" si="231"/>
        <v>P&amp;L</v>
      </c>
    </row>
    <row r="3653" spans="1:13" s="33" customFormat="true" ht="12.75" customHeight="true">
      <c r="A3653" s="33" t="str">
        <f t="shared" si="228"/>
        <v>CLI - AP-Accr Exp</v>
      </c>
      <c r="B3653" s="33" t="str">
        <f t="shared" si="229"/>
        <v>CLI</v>
      </c>
      <c r="C3653" s="33" t="str">
        <f t="shared" si="230"/>
        <v>20001-0000</v>
      </c>
      <c r="D3653" s="64" t="s">
        <v>4588</v>
      </c>
      <c r="E3653" s="64" t="s">
        <v>96</v>
      </c>
      <c r="F3653" s="64" t="s">
        <v>547</v>
      </c>
      <c r="G3653" s="64" t="s">
        <v>97</v>
      </c>
      <c r="H3653" s="64" t="s">
        <v>98</v>
      </c>
      <c r="I3653" s="64" t="s">
        <v>99</v>
      </c>
      <c r="J3653" s="67">
        <v>0</v>
      </c>
      <c r="K3653" s="62">
        <v>0</v>
      </c>
      <c r="L3653" s="33" t="e">
        <f>HLOOKUP(B3653,#REF!,1,0)</f>
        <v>#REF!</v>
      </c>
      <c r="M3653" s="33" t="str">
        <f t="shared" si="231"/>
        <v>BS</v>
      </c>
    </row>
    <row r="3654" spans="1:13" s="33" customFormat="true" ht="12.75" customHeight="true">
      <c r="A3654" s="33" t="str">
        <f t="shared" si="228"/>
        <v>CLI - Revenue</v>
      </c>
      <c r="B3654" s="33" t="str">
        <f t="shared" si="229"/>
        <v>CLI</v>
      </c>
      <c r="C3654" s="33" t="str">
        <f t="shared" si="230"/>
        <v>40700-7368</v>
      </c>
      <c r="D3654" s="64" t="s">
        <v>4589</v>
      </c>
      <c r="E3654" s="64" t="s">
        <v>3716</v>
      </c>
      <c r="F3654" s="64" t="s">
        <v>547</v>
      </c>
      <c r="G3654" s="64" t="s">
        <v>2870</v>
      </c>
      <c r="H3654" s="64" t="s">
        <v>2871</v>
      </c>
      <c r="I3654" s="64" t="s">
        <v>4422</v>
      </c>
      <c r="J3654" s="67">
        <v>-10000</v>
      </c>
      <c r="K3654" s="62">
        <v>-100000</v>
      </c>
      <c r="L3654" s="33" t="e">
        <f>HLOOKUP(B3654,#REF!,1,0)</f>
        <v>#REF!</v>
      </c>
      <c r="M3654" s="33" t="str">
        <f t="shared" si="231"/>
        <v>P&amp;L</v>
      </c>
    </row>
    <row r="3655" spans="1:13" s="33" customFormat="true" ht="12.75" customHeight="true">
      <c r="A3655" s="33" t="str">
        <f t="shared" si="228"/>
        <v>CLI - Operating Expense</v>
      </c>
      <c r="B3655" s="33" t="str">
        <f t="shared" si="229"/>
        <v>CLI</v>
      </c>
      <c r="C3655" s="33" t="str">
        <f t="shared" si="230"/>
        <v>91001-0000</v>
      </c>
      <c r="D3655" s="64" t="s">
        <v>4590</v>
      </c>
      <c r="E3655" s="64" t="s">
        <v>4432</v>
      </c>
      <c r="F3655" s="64" t="s">
        <v>547</v>
      </c>
      <c r="G3655" s="64" t="s">
        <v>4430</v>
      </c>
      <c r="H3655" s="64" t="s">
        <v>3022</v>
      </c>
      <c r="I3655" s="64" t="s">
        <v>4433</v>
      </c>
      <c r="J3655" s="67">
        <v>45.92</v>
      </c>
      <c r="K3655" s="62">
        <v>478.96</v>
      </c>
      <c r="L3655" s="33" t="e">
        <f>HLOOKUP(B3655,#REF!,1,0)</f>
        <v>#REF!</v>
      </c>
      <c r="M3655" s="33" t="str">
        <f t="shared" si="231"/>
        <v>P&amp;L</v>
      </c>
    </row>
    <row r="3656" spans="1:13" s="33" customFormat="true" ht="12.75" customHeight="true">
      <c r="A3656" s="33" t="str">
        <f t="shared" si="228"/>
        <v>CLI - Operating Expense</v>
      </c>
      <c r="B3656" s="33" t="str">
        <f t="shared" si="229"/>
        <v>CLI</v>
      </c>
      <c r="C3656" s="33" t="str">
        <f t="shared" si="230"/>
        <v>94201-0000</v>
      </c>
      <c r="D3656" s="64" t="s">
        <v>4591</v>
      </c>
      <c r="E3656" s="64" t="s">
        <v>4354</v>
      </c>
      <c r="F3656" s="64" t="s">
        <v>547</v>
      </c>
      <c r="G3656" s="64" t="s">
        <v>4430</v>
      </c>
      <c r="H3656" s="64" t="s">
        <v>3022</v>
      </c>
      <c r="I3656" s="64" t="s">
        <v>3354</v>
      </c>
      <c r="J3656" s="67">
        <v>0</v>
      </c>
      <c r="K3656" s="62">
        <v>801</v>
      </c>
      <c r="L3656" s="33" t="e">
        <f>HLOOKUP(B3656,#REF!,1,0)</f>
        <v>#REF!</v>
      </c>
      <c r="M3656" s="33" t="str">
        <f t="shared" si="231"/>
        <v>P&amp;L</v>
      </c>
    </row>
    <row r="3657" spans="1:13" s="33" customFormat="true" ht="12.75" customHeight="true">
      <c r="A3657" s="33" t="str">
        <f t="shared" si="228"/>
        <v>CLI - Income Tax</v>
      </c>
      <c r="B3657" s="33" t="str">
        <f t="shared" si="229"/>
        <v>CLI</v>
      </c>
      <c r="C3657" s="33" t="str">
        <f t="shared" si="230"/>
        <v>99901-0000</v>
      </c>
      <c r="D3657" s="64" t="s">
        <v>4592</v>
      </c>
      <c r="E3657" s="64" t="s">
        <v>4440</v>
      </c>
      <c r="F3657" s="64" t="s">
        <v>547</v>
      </c>
      <c r="G3657" s="64" t="s">
        <v>3326</v>
      </c>
      <c r="H3657" s="64" t="s">
        <v>3378</v>
      </c>
      <c r="I3657" s="64" t="s">
        <v>3379</v>
      </c>
      <c r="J3657" s="67">
        <v>0</v>
      </c>
      <c r="K3657" s="62">
        <v>800</v>
      </c>
      <c r="L3657" s="33" t="e">
        <f>HLOOKUP(B3657,#REF!,1,0)</f>
        <v>#REF!</v>
      </c>
      <c r="M3657" s="33" t="str">
        <f t="shared" si="231"/>
        <v>P&amp;L</v>
      </c>
    </row>
    <row r="3658" spans="1:13" s="33" customFormat="true" ht="12.75" customHeight="true">
      <c r="A3658" s="33" t="str">
        <f t="shared" si="228"/>
        <v>CPI - Fixed Assets</v>
      </c>
      <c r="B3658" s="33" t="str">
        <f t="shared" si="229"/>
        <v>CPI</v>
      </c>
      <c r="C3658" s="33" t="str">
        <f t="shared" si="230"/>
        <v>15501-0000</v>
      </c>
      <c r="D3658" s="64" t="s">
        <v>4593</v>
      </c>
      <c r="E3658" s="64" t="s">
        <v>2635</v>
      </c>
      <c r="F3658" s="64" t="s">
        <v>230</v>
      </c>
      <c r="G3658" s="64" t="s">
        <v>62</v>
      </c>
      <c r="H3658" s="64" t="s">
        <v>63</v>
      </c>
      <c r="I3658" s="64" t="s">
        <v>64</v>
      </c>
      <c r="J3658" s="67">
        <v>359.05</v>
      </c>
      <c r="K3658" s="62">
        <v>1409.14</v>
      </c>
      <c r="L3658" s="33" t="e">
        <f>HLOOKUP(B3658,#REF!,1,0)</f>
        <v>#REF!</v>
      </c>
      <c r="M3658" s="33" t="str">
        <f t="shared" si="231"/>
        <v>BS</v>
      </c>
    </row>
    <row r="3659" spans="1:13" s="33" customFormat="true" ht="12.75" customHeight="true">
      <c r="A3659" s="33" t="str">
        <f t="shared" si="228"/>
        <v>CPI - Revenue</v>
      </c>
      <c r="B3659" s="33" t="str">
        <f t="shared" si="229"/>
        <v>CPI</v>
      </c>
      <c r="C3659" s="33" t="str">
        <f t="shared" si="230"/>
        <v>40110-0000</v>
      </c>
      <c r="D3659" s="64" t="s">
        <v>4594</v>
      </c>
      <c r="E3659" s="64" t="s">
        <v>3683</v>
      </c>
      <c r="F3659" s="64" t="s">
        <v>230</v>
      </c>
      <c r="G3659" s="64" t="s">
        <v>3684</v>
      </c>
      <c r="H3659" s="64" t="s">
        <v>2871</v>
      </c>
      <c r="I3659" s="64" t="s">
        <v>3685</v>
      </c>
      <c r="J3659" s="67">
        <v>-26706.91</v>
      </c>
      <c r="K3659" s="62">
        <v>-267069.1</v>
      </c>
      <c r="L3659" s="33" t="e">
        <f>HLOOKUP(B3659,#REF!,1,0)</f>
        <v>#REF!</v>
      </c>
      <c r="M3659" s="33" t="str">
        <f t="shared" si="231"/>
        <v>P&amp;L</v>
      </c>
    </row>
    <row r="3660" spans="1:13" s="33" customFormat="true" ht="12.75" customHeight="true">
      <c r="A3660" s="33" t="str">
        <f t="shared" si="228"/>
        <v>CPI - Revenue</v>
      </c>
      <c r="B3660" s="33" t="str">
        <f t="shared" si="229"/>
        <v>CPI</v>
      </c>
      <c r="C3660" s="33" t="str">
        <f t="shared" si="230"/>
        <v>40120-0000</v>
      </c>
      <c r="D3660" s="64" t="s">
        <v>4595</v>
      </c>
      <c r="E3660" s="64" t="s">
        <v>3687</v>
      </c>
      <c r="F3660" s="64" t="s">
        <v>230</v>
      </c>
      <c r="G3660" s="64" t="s">
        <v>3684</v>
      </c>
      <c r="H3660" s="64" t="s">
        <v>2871</v>
      </c>
      <c r="I3660" s="64" t="s">
        <v>3688</v>
      </c>
      <c r="J3660" s="67">
        <v>0</v>
      </c>
      <c r="K3660" s="62">
        <v>0</v>
      </c>
      <c r="L3660" s="33" t="e">
        <f>HLOOKUP(B3660,#REF!,1,0)</f>
        <v>#REF!</v>
      </c>
      <c r="M3660" s="33" t="str">
        <f t="shared" si="231"/>
        <v>P&amp;L</v>
      </c>
    </row>
    <row r="3661" spans="1:13" s="33" customFormat="true" ht="12.75" customHeight="true">
      <c r="A3661" s="33" t="str">
        <f t="shared" si="228"/>
        <v>CPI - Revenue</v>
      </c>
      <c r="B3661" s="33" t="str">
        <f t="shared" si="229"/>
        <v>CPI</v>
      </c>
      <c r="C3661" s="33" t="str">
        <f t="shared" si="230"/>
        <v>40130-0000</v>
      </c>
      <c r="D3661" s="64" t="s">
        <v>4596</v>
      </c>
      <c r="E3661" s="64" t="s">
        <v>3690</v>
      </c>
      <c r="F3661" s="64" t="s">
        <v>230</v>
      </c>
      <c r="G3661" s="64" t="s">
        <v>3684</v>
      </c>
      <c r="H3661" s="64" t="s">
        <v>2871</v>
      </c>
      <c r="I3661" s="64" t="s">
        <v>3691</v>
      </c>
      <c r="J3661" s="67">
        <v>0</v>
      </c>
      <c r="K3661" s="62">
        <v>0</v>
      </c>
      <c r="L3661" s="33" t="e">
        <f>HLOOKUP(B3661,#REF!,1,0)</f>
        <v>#REF!</v>
      </c>
      <c r="M3661" s="33" t="str">
        <f t="shared" si="231"/>
        <v>P&amp;L</v>
      </c>
    </row>
    <row r="3662" spans="1:13" s="33" customFormat="true" ht="12.75" customHeight="true">
      <c r="A3662" s="33" t="str">
        <f t="shared" si="228"/>
        <v>CPI - Revenue</v>
      </c>
      <c r="B3662" s="33" t="str">
        <f t="shared" si="229"/>
        <v>CPI</v>
      </c>
      <c r="C3662" s="33" t="str">
        <f t="shared" si="230"/>
        <v>40140-0000</v>
      </c>
      <c r="D3662" s="64" t="s">
        <v>4597</v>
      </c>
      <c r="E3662" s="64" t="s">
        <v>3948</v>
      </c>
      <c r="F3662" s="64" t="s">
        <v>230</v>
      </c>
      <c r="G3662" s="64" t="s">
        <v>3684</v>
      </c>
      <c r="H3662" s="64" t="s">
        <v>2871</v>
      </c>
      <c r="I3662" s="64" t="s">
        <v>3949</v>
      </c>
      <c r="J3662" s="67">
        <v>0</v>
      </c>
      <c r="K3662" s="62">
        <v>0</v>
      </c>
      <c r="L3662" s="33" t="e">
        <f>HLOOKUP(B3662,#REF!,1,0)</f>
        <v>#REF!</v>
      </c>
      <c r="M3662" s="33" t="str">
        <f t="shared" si="231"/>
        <v>P&amp;L</v>
      </c>
    </row>
    <row r="3663" spans="1:13" s="33" customFormat="true" ht="12.75" customHeight="true">
      <c r="A3663" s="33" t="str">
        <f t="shared" si="228"/>
        <v>CPI - Revenue</v>
      </c>
      <c r="B3663" s="33" t="str">
        <f t="shared" si="229"/>
        <v>CPI</v>
      </c>
      <c r="C3663" s="33" t="str">
        <f t="shared" si="230"/>
        <v>41110-0000</v>
      </c>
      <c r="D3663" s="64" t="s">
        <v>4598</v>
      </c>
      <c r="E3663" s="64" t="s">
        <v>3693</v>
      </c>
      <c r="F3663" s="64" t="s">
        <v>230</v>
      </c>
      <c r="G3663" s="64" t="s">
        <v>3694</v>
      </c>
      <c r="H3663" s="64" t="s">
        <v>2871</v>
      </c>
      <c r="I3663" s="64" t="s">
        <v>3695</v>
      </c>
      <c r="J3663" s="67">
        <v>0</v>
      </c>
      <c r="K3663" s="62">
        <v>0</v>
      </c>
      <c r="L3663" s="33" t="e">
        <f>HLOOKUP(B3663,#REF!,1,0)</f>
        <v>#REF!</v>
      </c>
      <c r="M3663" s="33" t="str">
        <f t="shared" si="231"/>
        <v>P&amp;L</v>
      </c>
    </row>
    <row r="3664" spans="1:13" s="33" customFormat="true" ht="12.75" customHeight="true">
      <c r="A3664" s="33" t="str">
        <f t="shared" si="228"/>
        <v>CPI - Revenue</v>
      </c>
      <c r="B3664" s="33" t="str">
        <f t="shared" si="229"/>
        <v>CPI</v>
      </c>
      <c r="C3664" s="33" t="str">
        <f t="shared" si="230"/>
        <v>41121-0000</v>
      </c>
      <c r="D3664" s="64" t="s">
        <v>4599</v>
      </c>
      <c r="E3664" s="64" t="s">
        <v>4146</v>
      </c>
      <c r="F3664" s="64" t="s">
        <v>230</v>
      </c>
      <c r="G3664" s="64" t="s">
        <v>3694</v>
      </c>
      <c r="H3664" s="64" t="s">
        <v>2871</v>
      </c>
      <c r="I3664" s="64" t="s">
        <v>3698</v>
      </c>
      <c r="J3664" s="67">
        <v>27.5</v>
      </c>
      <c r="K3664" s="62">
        <v>3542.88</v>
      </c>
      <c r="L3664" s="33" t="e">
        <f>HLOOKUP(B3664,#REF!,1,0)</f>
        <v>#REF!</v>
      </c>
      <c r="M3664" s="33" t="str">
        <f t="shared" si="231"/>
        <v>P&amp;L</v>
      </c>
    </row>
    <row r="3665" spans="1:13" s="33" customFormat="true" ht="12.75" customHeight="true">
      <c r="A3665" s="33" t="str">
        <f t="shared" si="228"/>
        <v>CPI - Revenue</v>
      </c>
      <c r="B3665" s="33" t="str">
        <f t="shared" si="229"/>
        <v>CPI</v>
      </c>
      <c r="C3665" s="33" t="str">
        <f t="shared" si="230"/>
        <v>41122-0000</v>
      </c>
      <c r="D3665" s="64" t="s">
        <v>4600</v>
      </c>
      <c r="E3665" s="64" t="s">
        <v>3700</v>
      </c>
      <c r="F3665" s="64" t="s">
        <v>230</v>
      </c>
      <c r="G3665" s="64" t="s">
        <v>3694</v>
      </c>
      <c r="H3665" s="64" t="s">
        <v>2871</v>
      </c>
      <c r="I3665" s="64" t="s">
        <v>3701</v>
      </c>
      <c r="J3665" s="67">
        <v>-1977.22</v>
      </c>
      <c r="K3665" s="62">
        <v>-1977.22</v>
      </c>
      <c r="L3665" s="33" t="e">
        <f>HLOOKUP(B3665,#REF!,1,0)</f>
        <v>#REF!</v>
      </c>
      <c r="M3665" s="33" t="str">
        <f t="shared" si="231"/>
        <v>P&amp;L</v>
      </c>
    </row>
    <row r="3666" spans="1:13" s="33" customFormat="true" ht="12.75" customHeight="true">
      <c r="A3666" s="33" t="str">
        <f t="shared" si="228"/>
        <v>CPI - Revenue</v>
      </c>
      <c r="B3666" s="33" t="str">
        <f t="shared" si="229"/>
        <v>CPI</v>
      </c>
      <c r="C3666" s="33" t="str">
        <f t="shared" si="230"/>
        <v>41130-0000</v>
      </c>
      <c r="D3666" s="64" t="s">
        <v>4601</v>
      </c>
      <c r="E3666" s="64" t="s">
        <v>3703</v>
      </c>
      <c r="F3666" s="64" t="s">
        <v>230</v>
      </c>
      <c r="G3666" s="64" t="s">
        <v>3694</v>
      </c>
      <c r="H3666" s="64" t="s">
        <v>2871</v>
      </c>
      <c r="I3666" s="64" t="s">
        <v>3704</v>
      </c>
      <c r="J3666" s="67">
        <v>0</v>
      </c>
      <c r="K3666" s="62">
        <v>0</v>
      </c>
      <c r="L3666" s="33" t="e">
        <f>HLOOKUP(B3666,#REF!,1,0)</f>
        <v>#REF!</v>
      </c>
      <c r="M3666" s="33" t="str">
        <f t="shared" si="231"/>
        <v>P&amp;L</v>
      </c>
    </row>
    <row r="3667" spans="1:13" s="33" customFormat="true" ht="12.75" customHeight="true">
      <c r="A3667" s="33" t="str">
        <f t="shared" si="228"/>
        <v>CPI - Revenue</v>
      </c>
      <c r="B3667" s="33" t="str">
        <f t="shared" si="229"/>
        <v>CPI</v>
      </c>
      <c r="C3667" s="33" t="str">
        <f t="shared" si="230"/>
        <v>41140-0000</v>
      </c>
      <c r="D3667" s="64" t="s">
        <v>4602</v>
      </c>
      <c r="E3667" s="64" t="s">
        <v>3706</v>
      </c>
      <c r="F3667" s="64" t="s">
        <v>230</v>
      </c>
      <c r="G3667" s="64" t="s">
        <v>3694</v>
      </c>
      <c r="H3667" s="64" t="s">
        <v>2871</v>
      </c>
      <c r="I3667" s="64" t="s">
        <v>3707</v>
      </c>
      <c r="J3667" s="67">
        <v>0</v>
      </c>
      <c r="K3667" s="62">
        <v>0</v>
      </c>
      <c r="L3667" s="33" t="e">
        <f>HLOOKUP(B3667,#REF!,1,0)</f>
        <v>#REF!</v>
      </c>
      <c r="M3667" s="33" t="str">
        <f t="shared" si="231"/>
        <v>P&amp;L</v>
      </c>
    </row>
    <row r="3668" spans="1:13" s="33" customFormat="true" ht="12.75" customHeight="true">
      <c r="A3668" s="33" t="str">
        <f t="shared" si="228"/>
        <v>CPI - Revenue</v>
      </c>
      <c r="B3668" s="33" t="str">
        <f t="shared" si="229"/>
        <v>CPI</v>
      </c>
      <c r="C3668" s="33" t="str">
        <f t="shared" si="230"/>
        <v>41150-0000</v>
      </c>
      <c r="D3668" s="64" t="s">
        <v>4603</v>
      </c>
      <c r="E3668" s="64" t="s">
        <v>3709</v>
      </c>
      <c r="F3668" s="64" t="s">
        <v>230</v>
      </c>
      <c r="G3668" s="64" t="s">
        <v>3694</v>
      </c>
      <c r="H3668" s="64" t="s">
        <v>2871</v>
      </c>
      <c r="I3668" s="64" t="s">
        <v>3710</v>
      </c>
      <c r="J3668" s="67">
        <v>900</v>
      </c>
      <c r="K3668" s="62">
        <v>9000</v>
      </c>
      <c r="L3668" s="33" t="e">
        <f>HLOOKUP(B3668,#REF!,1,0)</f>
        <v>#REF!</v>
      </c>
      <c r="M3668" s="33" t="str">
        <f t="shared" si="231"/>
        <v>P&amp;L</v>
      </c>
    </row>
    <row r="3669" spans="1:13" s="33" customFormat="true" ht="12.75" customHeight="true">
      <c r="A3669" s="33" t="str">
        <f t="shared" si="228"/>
        <v>CPI - Revenue</v>
      </c>
      <c r="B3669" s="33" t="str">
        <f t="shared" si="229"/>
        <v>CPI</v>
      </c>
      <c r="C3669" s="33" t="str">
        <f t="shared" si="230"/>
        <v>41160-0000</v>
      </c>
      <c r="D3669" s="64" t="s">
        <v>4604</v>
      </c>
      <c r="E3669" s="64" t="s">
        <v>3957</v>
      </c>
      <c r="F3669" s="64" t="s">
        <v>230</v>
      </c>
      <c r="G3669" s="64" t="s">
        <v>3694</v>
      </c>
      <c r="H3669" s="64" t="s">
        <v>2871</v>
      </c>
      <c r="I3669" s="64" t="s">
        <v>3701</v>
      </c>
      <c r="J3669" s="67">
        <v>0</v>
      </c>
      <c r="K3669" s="62">
        <v>-4678.59</v>
      </c>
      <c r="L3669" s="33" t="e">
        <f>HLOOKUP(B3669,#REF!,1,0)</f>
        <v>#REF!</v>
      </c>
      <c r="M3669" s="33" t="str">
        <f t="shared" si="231"/>
        <v>P&amp;L</v>
      </c>
    </row>
    <row r="3670" spans="1:13" s="33" customFormat="true" ht="12.75" customHeight="true">
      <c r="A3670" s="33" t="str">
        <f t="shared" si="228"/>
        <v>CPI - Revenue</v>
      </c>
      <c r="B3670" s="33" t="str">
        <f t="shared" si="229"/>
        <v>CPI</v>
      </c>
      <c r="C3670" s="33" t="str">
        <f t="shared" si="230"/>
        <v>41999-0000</v>
      </c>
      <c r="D3670" s="64" t="s">
        <v>4605</v>
      </c>
      <c r="E3670" s="64" t="s">
        <v>3712</v>
      </c>
      <c r="F3670" s="64" t="s">
        <v>230</v>
      </c>
      <c r="G3670" s="64" t="s">
        <v>3713</v>
      </c>
      <c r="H3670" s="64" t="s">
        <v>2871</v>
      </c>
      <c r="I3670" s="64" t="s">
        <v>3714</v>
      </c>
      <c r="J3670" s="67">
        <v>27756.63</v>
      </c>
      <c r="K3670" s="62">
        <v>261182.03</v>
      </c>
      <c r="L3670" s="33" t="e">
        <f>HLOOKUP(B3670,#REF!,1,0)</f>
        <v>#REF!</v>
      </c>
      <c r="M3670" s="33" t="str">
        <f t="shared" si="231"/>
        <v>P&amp;L</v>
      </c>
    </row>
    <row r="3671" spans="1:13" s="33" customFormat="true" ht="12.75" customHeight="true">
      <c r="A3671" s="33" t="str">
        <f t="shared" si="228"/>
        <v>CPI - Revenue</v>
      </c>
      <c r="B3671" s="33" t="str">
        <f t="shared" si="229"/>
        <v>CPI</v>
      </c>
      <c r="C3671" s="33" t="str">
        <f t="shared" si="230"/>
        <v>47400-0000</v>
      </c>
      <c r="D3671" s="64" t="s">
        <v>4606</v>
      </c>
      <c r="E3671" s="64" t="s">
        <v>3716</v>
      </c>
      <c r="F3671" s="64" t="s">
        <v>230</v>
      </c>
      <c r="G3671" s="64" t="s">
        <v>3717</v>
      </c>
      <c r="H3671" s="64" t="s">
        <v>2871</v>
      </c>
      <c r="I3671" s="64" t="s">
        <v>3718</v>
      </c>
      <c r="J3671" s="67">
        <v>-27756.63</v>
      </c>
      <c r="K3671" s="62">
        <v>-261182.03</v>
      </c>
      <c r="L3671" s="33" t="e">
        <f>HLOOKUP(B3671,#REF!,1,0)</f>
        <v>#REF!</v>
      </c>
      <c r="M3671" s="33" t="str">
        <f t="shared" si="231"/>
        <v>P&amp;L</v>
      </c>
    </row>
    <row r="3672" spans="1:13" s="33" customFormat="true" ht="12.75" customHeight="true">
      <c r="A3672" s="33" t="str">
        <f t="shared" si="228"/>
        <v>CPI - Revenue</v>
      </c>
      <c r="B3672" s="33" t="str">
        <f t="shared" si="229"/>
        <v>CPI</v>
      </c>
      <c r="C3672" s="33" t="str">
        <f t="shared" si="230"/>
        <v>47420-0000</v>
      </c>
      <c r="D3672" s="64" t="s">
        <v>4607</v>
      </c>
      <c r="E3672" s="64" t="s">
        <v>4154</v>
      </c>
      <c r="F3672" s="64" t="s">
        <v>230</v>
      </c>
      <c r="G3672" s="64" t="s">
        <v>3717</v>
      </c>
      <c r="H3672" s="64" t="s">
        <v>2871</v>
      </c>
      <c r="I3672" s="64" t="s">
        <v>4155</v>
      </c>
      <c r="J3672" s="67">
        <v>-120.06</v>
      </c>
      <c r="K3672" s="62">
        <v>-1200.59</v>
      </c>
      <c r="L3672" s="33" t="e">
        <f>HLOOKUP(B3672,#REF!,1,0)</f>
        <v>#REF!</v>
      </c>
      <c r="M3672" s="33" t="str">
        <f t="shared" si="231"/>
        <v>P&amp;L</v>
      </c>
    </row>
    <row r="3673" spans="1:13" s="33" customFormat="true" ht="12.75" customHeight="true">
      <c r="A3673" s="33" t="str">
        <f t="shared" si="228"/>
        <v>CPI - Revenue</v>
      </c>
      <c r="B3673" s="33" t="str">
        <f t="shared" si="229"/>
        <v>CPI</v>
      </c>
      <c r="C3673" s="33" t="str">
        <f t="shared" si="230"/>
        <v>47430-0000</v>
      </c>
      <c r="D3673" s="64" t="s">
        <v>4608</v>
      </c>
      <c r="E3673" s="64" t="s">
        <v>4053</v>
      </c>
      <c r="F3673" s="64" t="s">
        <v>230</v>
      </c>
      <c r="G3673" s="64" t="s">
        <v>3717</v>
      </c>
      <c r="H3673" s="64" t="s">
        <v>2871</v>
      </c>
      <c r="I3673" s="64" t="s">
        <v>4054</v>
      </c>
      <c r="J3673" s="67">
        <v>0</v>
      </c>
      <c r="K3673" s="62">
        <v>-3974.63</v>
      </c>
      <c r="L3673" s="33" t="e">
        <f>HLOOKUP(B3673,#REF!,1,0)</f>
        <v>#REF!</v>
      </c>
      <c r="M3673" s="33" t="str">
        <f t="shared" si="231"/>
        <v>P&amp;L</v>
      </c>
    </row>
    <row r="3674" spans="1:13" s="33" customFormat="true" ht="12.75" customHeight="true">
      <c r="A3674" s="33" t="str">
        <f t="shared" si="228"/>
        <v>CPI - Revenue</v>
      </c>
      <c r="B3674" s="33" t="str">
        <f t="shared" si="229"/>
        <v>CPI</v>
      </c>
      <c r="C3674" s="33" t="str">
        <f t="shared" si="230"/>
        <v>47440-0000</v>
      </c>
      <c r="D3674" s="64" t="s">
        <v>4609</v>
      </c>
      <c r="E3674" s="64" t="s">
        <v>3720</v>
      </c>
      <c r="F3674" s="64" t="s">
        <v>230</v>
      </c>
      <c r="G3674" s="64" t="s">
        <v>3717</v>
      </c>
      <c r="H3674" s="64" t="s">
        <v>2871</v>
      </c>
      <c r="I3674" s="64" t="s">
        <v>3721</v>
      </c>
      <c r="J3674" s="67">
        <v>-100</v>
      </c>
      <c r="K3674" s="62">
        <v>-1050</v>
      </c>
      <c r="L3674" s="33" t="e">
        <f>HLOOKUP(B3674,#REF!,1,0)</f>
        <v>#REF!</v>
      </c>
      <c r="M3674" s="33" t="str">
        <f t="shared" si="231"/>
        <v>P&amp;L</v>
      </c>
    </row>
    <row r="3675" spans="1:13" s="33" customFormat="true" ht="12.75" customHeight="true">
      <c r="A3675" s="33" t="str">
        <f t="shared" si="228"/>
        <v>CPI - Revenue</v>
      </c>
      <c r="B3675" s="33" t="str">
        <f t="shared" si="229"/>
        <v>CPI</v>
      </c>
      <c r="C3675" s="33" t="str">
        <f t="shared" si="230"/>
        <v>47450-0000</v>
      </c>
      <c r="D3675" s="64" t="s">
        <v>4610</v>
      </c>
      <c r="E3675" s="64" t="s">
        <v>3723</v>
      </c>
      <c r="F3675" s="64" t="s">
        <v>230</v>
      </c>
      <c r="G3675" s="64" t="s">
        <v>3717</v>
      </c>
      <c r="H3675" s="64" t="s">
        <v>2871</v>
      </c>
      <c r="I3675" s="64" t="s">
        <v>3724</v>
      </c>
      <c r="J3675" s="67">
        <v>0</v>
      </c>
      <c r="K3675" s="62">
        <v>0</v>
      </c>
      <c r="L3675" s="33" t="e">
        <f>HLOOKUP(B3675,#REF!,1,0)</f>
        <v>#REF!</v>
      </c>
      <c r="M3675" s="33" t="str">
        <f t="shared" si="231"/>
        <v>P&amp;L</v>
      </c>
    </row>
    <row r="3676" spans="1:13" s="33" customFormat="true" ht="12.75" customHeight="true">
      <c r="A3676" s="33" t="str">
        <f t="shared" si="228"/>
        <v>CPI - Revenue</v>
      </c>
      <c r="B3676" s="33" t="str">
        <f t="shared" si="229"/>
        <v>CPI</v>
      </c>
      <c r="C3676" s="33" t="str">
        <f t="shared" si="230"/>
        <v>47460-0000</v>
      </c>
      <c r="D3676" s="64" t="s">
        <v>4611</v>
      </c>
      <c r="E3676" s="64" t="s">
        <v>3726</v>
      </c>
      <c r="F3676" s="64" t="s">
        <v>230</v>
      </c>
      <c r="G3676" s="64" t="s">
        <v>3717</v>
      </c>
      <c r="H3676" s="64" t="s">
        <v>2871</v>
      </c>
      <c r="I3676" s="64" t="s">
        <v>3727</v>
      </c>
      <c r="J3676" s="67">
        <v>0</v>
      </c>
      <c r="K3676" s="62">
        <v>0</v>
      </c>
      <c r="L3676" s="33" t="e">
        <f>HLOOKUP(B3676,#REF!,1,0)</f>
        <v>#REF!</v>
      </c>
      <c r="M3676" s="33" t="str">
        <f t="shared" si="231"/>
        <v>P&amp;L</v>
      </c>
    </row>
    <row r="3677" spans="1:13" s="33" customFormat="true" ht="12.75" customHeight="true">
      <c r="A3677" s="33" t="str">
        <f t="shared" si="228"/>
        <v>CPI - Revenue</v>
      </c>
      <c r="B3677" s="33" t="str">
        <f t="shared" si="229"/>
        <v>CPI</v>
      </c>
      <c r="C3677" s="33" t="str">
        <f t="shared" si="230"/>
        <v>47480-0000</v>
      </c>
      <c r="D3677" s="64" t="s">
        <v>4612</v>
      </c>
      <c r="E3677" s="64" t="s">
        <v>3729</v>
      </c>
      <c r="F3677" s="64" t="s">
        <v>230</v>
      </c>
      <c r="G3677" s="64" t="s">
        <v>3717</v>
      </c>
      <c r="H3677" s="64" t="s">
        <v>2871</v>
      </c>
      <c r="I3677" s="64" t="s">
        <v>3721</v>
      </c>
      <c r="J3677" s="67">
        <v>0</v>
      </c>
      <c r="K3677" s="62">
        <v>-90</v>
      </c>
      <c r="L3677" s="33" t="e">
        <f>HLOOKUP(B3677,#REF!,1,0)</f>
        <v>#REF!</v>
      </c>
      <c r="M3677" s="33" t="str">
        <f t="shared" si="231"/>
        <v>P&amp;L</v>
      </c>
    </row>
    <row r="3678" spans="1:13" s="33" customFormat="true" ht="12.75" customHeight="true">
      <c r="A3678" s="33" t="str">
        <f t="shared" si="228"/>
        <v>CPI - Revenue</v>
      </c>
      <c r="B3678" s="33" t="str">
        <f t="shared" si="229"/>
        <v>CPI</v>
      </c>
      <c r="C3678" s="33" t="str">
        <f t="shared" si="230"/>
        <v>47490-0000</v>
      </c>
      <c r="D3678" s="64" t="s">
        <v>4613</v>
      </c>
      <c r="E3678" s="64" t="s">
        <v>3731</v>
      </c>
      <c r="F3678" s="64" t="s">
        <v>230</v>
      </c>
      <c r="G3678" s="64" t="s">
        <v>3717</v>
      </c>
      <c r="H3678" s="64" t="s">
        <v>2871</v>
      </c>
      <c r="I3678" s="64" t="s">
        <v>3721</v>
      </c>
      <c r="J3678" s="67">
        <v>-200</v>
      </c>
      <c r="K3678" s="62">
        <v>-2000</v>
      </c>
      <c r="L3678" s="33" t="e">
        <f>HLOOKUP(B3678,#REF!,1,0)</f>
        <v>#REF!</v>
      </c>
      <c r="M3678" s="33" t="str">
        <f t="shared" si="231"/>
        <v>P&amp;L</v>
      </c>
    </row>
    <row r="3679" spans="1:13" s="33" customFormat="true" ht="12.75" customHeight="true">
      <c r="A3679" s="33" t="str">
        <f t="shared" si="228"/>
        <v>CPI - Revenue</v>
      </c>
      <c r="B3679" s="33" t="str">
        <f t="shared" si="229"/>
        <v>CPI</v>
      </c>
      <c r="C3679" s="33" t="str">
        <f t="shared" si="230"/>
        <v>47492-0000</v>
      </c>
      <c r="D3679" s="64" t="s">
        <v>4614</v>
      </c>
      <c r="E3679" s="64" t="s">
        <v>3736</v>
      </c>
      <c r="F3679" s="64" t="s">
        <v>230</v>
      </c>
      <c r="G3679" s="64" t="s">
        <v>3717</v>
      </c>
      <c r="H3679" s="64" t="s">
        <v>2871</v>
      </c>
      <c r="I3679" s="64" t="s">
        <v>3737</v>
      </c>
      <c r="J3679" s="67">
        <v>-299.56</v>
      </c>
      <c r="K3679" s="62">
        <v>-2336.24</v>
      </c>
      <c r="L3679" s="33" t="e">
        <f>HLOOKUP(B3679,#REF!,1,0)</f>
        <v>#REF!</v>
      </c>
      <c r="M3679" s="33" t="str">
        <f t="shared" si="231"/>
        <v>P&amp;L</v>
      </c>
    </row>
    <row r="3680" spans="1:13" s="33" customFormat="true" ht="12.75" customHeight="true">
      <c r="A3680" s="33" t="str">
        <f t="shared" si="228"/>
        <v>CPI - CGS</v>
      </c>
      <c r="B3680" s="33" t="str">
        <f t="shared" si="229"/>
        <v>CPI</v>
      </c>
      <c r="C3680" s="33" t="str">
        <f t="shared" si="230"/>
        <v>51005-0000</v>
      </c>
      <c r="D3680" s="64" t="s">
        <v>4615</v>
      </c>
      <c r="E3680" s="64" t="s">
        <v>3968</v>
      </c>
      <c r="F3680" s="64" t="s">
        <v>230</v>
      </c>
      <c r="G3680" s="64" t="s">
        <v>3740</v>
      </c>
      <c r="H3680" s="64" t="s">
        <v>1875</v>
      </c>
      <c r="I3680" s="64" t="s">
        <v>3969</v>
      </c>
      <c r="J3680" s="67">
        <v>0</v>
      </c>
      <c r="K3680" s="62">
        <v>293.08</v>
      </c>
      <c r="L3680" s="33" t="e">
        <f>HLOOKUP(B3680,#REF!,1,0)</f>
        <v>#REF!</v>
      </c>
      <c r="M3680" s="33" t="str">
        <f t="shared" si="231"/>
        <v>P&amp;L</v>
      </c>
    </row>
    <row r="3681" spans="1:13" s="33" customFormat="true" ht="12.75" customHeight="true">
      <c r="A3681" s="33" t="str">
        <f t="shared" si="228"/>
        <v>CPI - CGS</v>
      </c>
      <c r="B3681" s="33" t="str">
        <f t="shared" si="229"/>
        <v>CPI</v>
      </c>
      <c r="C3681" s="33" t="str">
        <f t="shared" si="230"/>
        <v>51006-0000</v>
      </c>
      <c r="D3681" s="64" t="s">
        <v>4616</v>
      </c>
      <c r="E3681" s="64" t="s">
        <v>3739</v>
      </c>
      <c r="F3681" s="64" t="s">
        <v>230</v>
      </c>
      <c r="G3681" s="64" t="s">
        <v>3740</v>
      </c>
      <c r="H3681" s="64" t="s">
        <v>1875</v>
      </c>
      <c r="I3681" s="64" t="s">
        <v>3741</v>
      </c>
      <c r="J3681" s="67">
        <v>0</v>
      </c>
      <c r="K3681" s="62">
        <v>3342.14</v>
      </c>
      <c r="L3681" s="33" t="e">
        <f>HLOOKUP(B3681,#REF!,1,0)</f>
        <v>#REF!</v>
      </c>
      <c r="M3681" s="33" t="str">
        <f t="shared" si="231"/>
        <v>P&amp;L</v>
      </c>
    </row>
    <row r="3682" spans="1:13" s="33" customFormat="true" ht="12.75" customHeight="true">
      <c r="A3682" s="33" t="str">
        <f t="shared" si="228"/>
        <v>CPI - CGS</v>
      </c>
      <c r="B3682" s="33" t="str">
        <f t="shared" si="229"/>
        <v>CPI</v>
      </c>
      <c r="C3682" s="33" t="str">
        <f t="shared" si="230"/>
        <v>51007-0000</v>
      </c>
      <c r="D3682" s="64" t="s">
        <v>4617</v>
      </c>
      <c r="E3682" s="64" t="s">
        <v>3972</v>
      </c>
      <c r="F3682" s="64" t="s">
        <v>230</v>
      </c>
      <c r="G3682" s="64" t="s">
        <v>3740</v>
      </c>
      <c r="H3682" s="64" t="s">
        <v>1875</v>
      </c>
      <c r="I3682" s="64" t="s">
        <v>3973</v>
      </c>
      <c r="J3682" s="67">
        <v>0</v>
      </c>
      <c r="K3682" s="62">
        <v>195</v>
      </c>
      <c r="L3682" s="33" t="e">
        <f>HLOOKUP(B3682,#REF!,1,0)</f>
        <v>#REF!</v>
      </c>
      <c r="M3682" s="33" t="str">
        <f t="shared" si="231"/>
        <v>P&amp;L</v>
      </c>
    </row>
    <row r="3683" spans="1:13" s="33" customFormat="true" ht="12.75" customHeight="true">
      <c r="A3683" s="33" t="str">
        <f t="shared" si="228"/>
        <v>CPI - CGS</v>
      </c>
      <c r="B3683" s="33" t="str">
        <f t="shared" si="229"/>
        <v>CPI</v>
      </c>
      <c r="C3683" s="33" t="str">
        <f t="shared" si="230"/>
        <v>51008-0000</v>
      </c>
      <c r="D3683" s="64" t="s">
        <v>4618</v>
      </c>
      <c r="E3683" s="64" t="s">
        <v>3743</v>
      </c>
      <c r="F3683" s="64" t="s">
        <v>230</v>
      </c>
      <c r="G3683" s="64" t="s">
        <v>3740</v>
      </c>
      <c r="H3683" s="64" t="s">
        <v>1875</v>
      </c>
      <c r="I3683" s="64" t="s">
        <v>3744</v>
      </c>
      <c r="J3683" s="67">
        <v>0</v>
      </c>
      <c r="K3683" s="62">
        <v>6723.7</v>
      </c>
      <c r="L3683" s="33" t="e">
        <f>HLOOKUP(B3683,#REF!,1,0)</f>
        <v>#REF!</v>
      </c>
      <c r="M3683" s="33" t="str">
        <f t="shared" si="231"/>
        <v>P&amp;L</v>
      </c>
    </row>
    <row r="3684" spans="1:13" s="33" customFormat="true" ht="12.75" customHeight="true">
      <c r="A3684" s="33" t="str">
        <f t="shared" si="228"/>
        <v>CPI - CGS</v>
      </c>
      <c r="B3684" s="33" t="str">
        <f t="shared" si="229"/>
        <v>CPI</v>
      </c>
      <c r="C3684" s="33" t="str">
        <f t="shared" si="230"/>
        <v>51009-0000</v>
      </c>
      <c r="D3684" s="64" t="s">
        <v>4619</v>
      </c>
      <c r="E3684" s="64" t="s">
        <v>3746</v>
      </c>
      <c r="F3684" s="64" t="s">
        <v>230</v>
      </c>
      <c r="G3684" s="64" t="s">
        <v>3740</v>
      </c>
      <c r="H3684" s="64" t="s">
        <v>1875</v>
      </c>
      <c r="I3684" s="64" t="s">
        <v>3747</v>
      </c>
      <c r="J3684" s="67">
        <v>163.51</v>
      </c>
      <c r="K3684" s="62">
        <v>2898.03</v>
      </c>
      <c r="L3684" s="33" t="e">
        <f>HLOOKUP(B3684,#REF!,1,0)</f>
        <v>#REF!</v>
      </c>
      <c r="M3684" s="33" t="str">
        <f t="shared" si="231"/>
        <v>P&amp;L</v>
      </c>
    </row>
    <row r="3685" spans="1:13" s="33" customFormat="true" ht="12.75" customHeight="true">
      <c r="A3685" s="33" t="str">
        <f t="shared" si="228"/>
        <v>CPI - CGS</v>
      </c>
      <c r="B3685" s="33" t="str">
        <f t="shared" si="229"/>
        <v>CPI</v>
      </c>
      <c r="C3685" s="33" t="str">
        <f t="shared" si="230"/>
        <v>51011-0000</v>
      </c>
      <c r="D3685" s="64" t="s">
        <v>4620</v>
      </c>
      <c r="E3685" s="64" t="s">
        <v>3749</v>
      </c>
      <c r="F3685" s="64" t="s">
        <v>230</v>
      </c>
      <c r="G3685" s="64" t="s">
        <v>3740</v>
      </c>
      <c r="H3685" s="64" t="s">
        <v>1875</v>
      </c>
      <c r="I3685" s="64" t="s">
        <v>3750</v>
      </c>
      <c r="J3685" s="67">
        <v>0</v>
      </c>
      <c r="K3685" s="62">
        <v>2250</v>
      </c>
      <c r="L3685" s="33" t="e">
        <f>HLOOKUP(B3685,#REF!,1,0)</f>
        <v>#REF!</v>
      </c>
      <c r="M3685" s="33" t="str">
        <f t="shared" si="231"/>
        <v>P&amp;L</v>
      </c>
    </row>
    <row r="3686" spans="1:13" s="33" customFormat="true" ht="12.75" customHeight="true">
      <c r="A3686" s="33" t="str">
        <f t="shared" si="228"/>
        <v>CPI - CGS</v>
      </c>
      <c r="B3686" s="33" t="str">
        <f t="shared" si="229"/>
        <v>CPI</v>
      </c>
      <c r="C3686" s="33" t="str">
        <f t="shared" si="230"/>
        <v>51012-0000</v>
      </c>
      <c r="D3686" s="64" t="s">
        <v>4621</v>
      </c>
      <c r="E3686" s="64" t="s">
        <v>3752</v>
      </c>
      <c r="F3686" s="64" t="s">
        <v>230</v>
      </c>
      <c r="G3686" s="64" t="s">
        <v>3740</v>
      </c>
      <c r="H3686" s="64" t="s">
        <v>1875</v>
      </c>
      <c r="I3686" s="64" t="s">
        <v>3753</v>
      </c>
      <c r="J3686" s="67">
        <v>120</v>
      </c>
      <c r="K3686" s="62">
        <v>1200</v>
      </c>
      <c r="L3686" s="33" t="e">
        <f>HLOOKUP(B3686,#REF!,1,0)</f>
        <v>#REF!</v>
      </c>
      <c r="M3686" s="33" t="str">
        <f t="shared" si="231"/>
        <v>P&amp;L</v>
      </c>
    </row>
    <row r="3687" spans="1:13" s="33" customFormat="true" ht="12.75" customHeight="true">
      <c r="A3687" s="33" t="str">
        <f t="shared" si="228"/>
        <v>CPI - CGS</v>
      </c>
      <c r="B3687" s="33" t="str">
        <f t="shared" si="229"/>
        <v>CPI</v>
      </c>
      <c r="C3687" s="33" t="str">
        <f t="shared" si="230"/>
        <v>51013-0000</v>
      </c>
      <c r="D3687" s="64" t="s">
        <v>4622</v>
      </c>
      <c r="E3687" s="64" t="s">
        <v>3979</v>
      </c>
      <c r="F3687" s="64" t="s">
        <v>230</v>
      </c>
      <c r="G3687" s="64" t="s">
        <v>3740</v>
      </c>
      <c r="H3687" s="64" t="s">
        <v>1875</v>
      </c>
      <c r="I3687" s="64" t="s">
        <v>3980</v>
      </c>
      <c r="J3687" s="67">
        <v>0</v>
      </c>
      <c r="K3687" s="62">
        <v>2325</v>
      </c>
      <c r="L3687" s="33" t="e">
        <f>HLOOKUP(B3687,#REF!,1,0)</f>
        <v>#REF!</v>
      </c>
      <c r="M3687" s="33" t="str">
        <f t="shared" si="231"/>
        <v>P&amp;L</v>
      </c>
    </row>
    <row r="3688" spans="1:13" s="33" customFormat="true" ht="12.75" customHeight="true">
      <c r="A3688" s="33" t="str">
        <f t="shared" si="228"/>
        <v>CPI - CGS</v>
      </c>
      <c r="B3688" s="33" t="str">
        <f t="shared" si="229"/>
        <v>CPI</v>
      </c>
      <c r="C3688" s="33" t="str">
        <f t="shared" si="230"/>
        <v>51015-0000</v>
      </c>
      <c r="D3688" s="64" t="s">
        <v>4623</v>
      </c>
      <c r="E3688" s="64" t="s">
        <v>3755</v>
      </c>
      <c r="F3688" s="64" t="s">
        <v>230</v>
      </c>
      <c r="G3688" s="64" t="s">
        <v>3740</v>
      </c>
      <c r="H3688" s="64" t="s">
        <v>1875</v>
      </c>
      <c r="I3688" s="64" t="s">
        <v>3756</v>
      </c>
      <c r="J3688" s="67">
        <v>0</v>
      </c>
      <c r="K3688" s="62">
        <v>0</v>
      </c>
      <c r="L3688" s="33" t="e">
        <f>HLOOKUP(B3688,#REF!,1,0)</f>
        <v>#REF!</v>
      </c>
      <c r="M3688" s="33" t="str">
        <f t="shared" si="231"/>
        <v>P&amp;L</v>
      </c>
    </row>
    <row r="3689" spans="1:13" s="33" customFormat="true" ht="12.75" customHeight="true">
      <c r="A3689" s="33" t="str">
        <f t="shared" si="228"/>
        <v>CPI - CGS</v>
      </c>
      <c r="B3689" s="33" t="str">
        <f t="shared" si="229"/>
        <v>CPI</v>
      </c>
      <c r="C3689" s="33" t="str">
        <f t="shared" si="230"/>
        <v>51020-0000</v>
      </c>
      <c r="D3689" s="64" t="s">
        <v>4624</v>
      </c>
      <c r="E3689" s="64" t="s">
        <v>3763</v>
      </c>
      <c r="F3689" s="64" t="s">
        <v>230</v>
      </c>
      <c r="G3689" s="64" t="s">
        <v>3740</v>
      </c>
      <c r="H3689" s="64" t="s">
        <v>1875</v>
      </c>
      <c r="I3689" s="64" t="s">
        <v>3345</v>
      </c>
      <c r="J3689" s="67">
        <v>0</v>
      </c>
      <c r="K3689" s="62">
        <v>74.25</v>
      </c>
      <c r="L3689" s="33" t="e">
        <f>HLOOKUP(B3689,#REF!,1,0)</f>
        <v>#REF!</v>
      </c>
      <c r="M3689" s="33" t="str">
        <f t="shared" si="231"/>
        <v>P&amp;L</v>
      </c>
    </row>
    <row r="3690" spans="1:13" s="33" customFormat="true" ht="12.75" customHeight="true">
      <c r="A3690" s="33" t="str">
        <f t="shared" si="228"/>
        <v>CPI - CGS</v>
      </c>
      <c r="B3690" s="33" t="str">
        <f t="shared" si="229"/>
        <v>CPI</v>
      </c>
      <c r="C3690" s="33" t="str">
        <f t="shared" si="230"/>
        <v>51025-0000</v>
      </c>
      <c r="D3690" s="64" t="s">
        <v>4625</v>
      </c>
      <c r="E3690" s="64" t="s">
        <v>3988</v>
      </c>
      <c r="F3690" s="64" t="s">
        <v>230</v>
      </c>
      <c r="G3690" s="64" t="s">
        <v>3740</v>
      </c>
      <c r="H3690" s="64" t="s">
        <v>1875</v>
      </c>
      <c r="I3690" s="64" t="s">
        <v>3989</v>
      </c>
      <c r="J3690" s="67">
        <v>312.21</v>
      </c>
      <c r="K3690" s="62">
        <v>3172.49</v>
      </c>
      <c r="L3690" s="33" t="e">
        <f>HLOOKUP(B3690,#REF!,1,0)</f>
        <v>#REF!</v>
      </c>
      <c r="M3690" s="33" t="str">
        <f t="shared" si="231"/>
        <v>P&amp;L</v>
      </c>
    </row>
    <row r="3691" spans="1:13" s="33" customFormat="true" ht="12.75" customHeight="true">
      <c r="A3691" s="33" t="str">
        <f t="shared" si="228"/>
        <v>CPI - CGS</v>
      </c>
      <c r="B3691" s="33" t="str">
        <f t="shared" si="229"/>
        <v>CPI</v>
      </c>
      <c r="C3691" s="33" t="str">
        <f t="shared" si="230"/>
        <v>53001-0000</v>
      </c>
      <c r="D3691" s="64" t="s">
        <v>4626</v>
      </c>
      <c r="E3691" s="64" t="s">
        <v>3781</v>
      </c>
      <c r="F3691" s="64" t="s">
        <v>230</v>
      </c>
      <c r="G3691" s="64" t="s">
        <v>3160</v>
      </c>
      <c r="H3691" s="64" t="s">
        <v>1875</v>
      </c>
      <c r="I3691" s="64" t="s">
        <v>3782</v>
      </c>
      <c r="J3691" s="67">
        <v>96.95</v>
      </c>
      <c r="K3691" s="62">
        <v>1135.87</v>
      </c>
      <c r="L3691" s="33" t="e">
        <f>HLOOKUP(B3691,#REF!,1,0)</f>
        <v>#REF!</v>
      </c>
      <c r="M3691" s="33" t="str">
        <f t="shared" si="231"/>
        <v>P&amp;L</v>
      </c>
    </row>
    <row r="3692" spans="1:13" s="33" customFormat="true" ht="12.75" customHeight="true">
      <c r="A3692" s="33" t="str">
        <f t="shared" si="228"/>
        <v>CPI - CGS</v>
      </c>
      <c r="B3692" s="33" t="str">
        <f t="shared" si="229"/>
        <v>CPI</v>
      </c>
      <c r="C3692" s="33" t="str">
        <f t="shared" si="230"/>
        <v>53002-0000</v>
      </c>
      <c r="D3692" s="64" t="s">
        <v>4627</v>
      </c>
      <c r="E3692" s="64" t="s">
        <v>3784</v>
      </c>
      <c r="F3692" s="64" t="s">
        <v>230</v>
      </c>
      <c r="G3692" s="64" t="s">
        <v>3160</v>
      </c>
      <c r="H3692" s="64" t="s">
        <v>1875</v>
      </c>
      <c r="I3692" s="64" t="s">
        <v>3785</v>
      </c>
      <c r="J3692" s="67">
        <v>943.45</v>
      </c>
      <c r="K3692" s="62">
        <v>7612.58</v>
      </c>
      <c r="L3692" s="33" t="e">
        <f>HLOOKUP(B3692,#REF!,1,0)</f>
        <v>#REF!</v>
      </c>
      <c r="M3692" s="33" t="str">
        <f t="shared" si="231"/>
        <v>P&amp;L</v>
      </c>
    </row>
    <row r="3693" spans="1:13" s="33" customFormat="true" ht="12.75" customHeight="true">
      <c r="A3693" s="33" t="str">
        <f t="shared" si="228"/>
        <v>CPI - CGS</v>
      </c>
      <c r="B3693" s="33" t="str">
        <f t="shared" si="229"/>
        <v>CPI</v>
      </c>
      <c r="C3693" s="33" t="str">
        <f t="shared" si="230"/>
        <v>53003-0000</v>
      </c>
      <c r="D3693" s="64" t="s">
        <v>4628</v>
      </c>
      <c r="E3693" s="64" t="s">
        <v>3787</v>
      </c>
      <c r="F3693" s="64" t="s">
        <v>230</v>
      </c>
      <c r="G3693" s="64" t="s">
        <v>3160</v>
      </c>
      <c r="H3693" s="64" t="s">
        <v>1875</v>
      </c>
      <c r="I3693" s="64" t="s">
        <v>3788</v>
      </c>
      <c r="J3693" s="67">
        <v>0</v>
      </c>
      <c r="K3693" s="62">
        <v>3796.83</v>
      </c>
      <c r="L3693" s="33" t="e">
        <f>HLOOKUP(B3693,#REF!,1,0)</f>
        <v>#REF!</v>
      </c>
      <c r="M3693" s="33" t="str">
        <f t="shared" si="231"/>
        <v>P&amp;L</v>
      </c>
    </row>
    <row r="3694" spans="1:13" s="33" customFormat="true" ht="12.75" customHeight="true">
      <c r="A3694" s="33" t="str">
        <f t="shared" si="228"/>
        <v>CPI - CGS</v>
      </c>
      <c r="B3694" s="33" t="str">
        <f t="shared" si="229"/>
        <v>CPI</v>
      </c>
      <c r="C3694" s="33" t="str">
        <f t="shared" si="230"/>
        <v>53004-0000</v>
      </c>
      <c r="D3694" s="64" t="s">
        <v>4629</v>
      </c>
      <c r="E3694" s="64" t="s">
        <v>3790</v>
      </c>
      <c r="F3694" s="64" t="s">
        <v>230</v>
      </c>
      <c r="G3694" s="64" t="s">
        <v>3160</v>
      </c>
      <c r="H3694" s="64" t="s">
        <v>1875</v>
      </c>
      <c r="I3694" s="64" t="s">
        <v>3791</v>
      </c>
      <c r="J3694" s="67">
        <v>622.29</v>
      </c>
      <c r="K3694" s="62">
        <v>9019.96</v>
      </c>
      <c r="L3694" s="33" t="e">
        <f>HLOOKUP(B3694,#REF!,1,0)</f>
        <v>#REF!</v>
      </c>
      <c r="M3694" s="33" t="str">
        <f t="shared" si="231"/>
        <v>P&amp;L</v>
      </c>
    </row>
    <row r="3695" spans="1:13" s="33" customFormat="true" ht="12.75" customHeight="true">
      <c r="A3695" s="33" t="str">
        <f t="shared" si="228"/>
        <v>CPI - CGS</v>
      </c>
      <c r="B3695" s="33" t="str">
        <f t="shared" si="229"/>
        <v>CPI</v>
      </c>
      <c r="C3695" s="33" t="str">
        <f t="shared" si="230"/>
        <v>53005-0000</v>
      </c>
      <c r="D3695" s="64" t="s">
        <v>4630</v>
      </c>
      <c r="E3695" s="64" t="s">
        <v>3793</v>
      </c>
      <c r="F3695" s="64" t="s">
        <v>230</v>
      </c>
      <c r="G3695" s="64" t="s">
        <v>3160</v>
      </c>
      <c r="H3695" s="64" t="s">
        <v>1875</v>
      </c>
      <c r="I3695" s="64" t="s">
        <v>3794</v>
      </c>
      <c r="J3695" s="67">
        <v>0</v>
      </c>
      <c r="K3695" s="62">
        <v>10345.44</v>
      </c>
      <c r="L3695" s="33" t="e">
        <f>HLOOKUP(B3695,#REF!,1,0)</f>
        <v>#REF!</v>
      </c>
      <c r="M3695" s="33" t="str">
        <f t="shared" si="231"/>
        <v>P&amp;L</v>
      </c>
    </row>
    <row r="3696" spans="1:13" s="33" customFormat="true" ht="12.75" customHeight="true">
      <c r="A3696" s="33" t="str">
        <f t="shared" si="228"/>
        <v>CPI - CGS</v>
      </c>
      <c r="B3696" s="33" t="str">
        <f t="shared" si="229"/>
        <v>CPI</v>
      </c>
      <c r="C3696" s="33" t="str">
        <f t="shared" si="230"/>
        <v>53006-0000</v>
      </c>
      <c r="D3696" s="64" t="s">
        <v>4631</v>
      </c>
      <c r="E3696" s="64" t="s">
        <v>3796</v>
      </c>
      <c r="F3696" s="64" t="s">
        <v>230</v>
      </c>
      <c r="G3696" s="64" t="s">
        <v>3160</v>
      </c>
      <c r="H3696" s="64" t="s">
        <v>1875</v>
      </c>
      <c r="I3696" s="64" t="s">
        <v>3797</v>
      </c>
      <c r="J3696" s="67">
        <v>0</v>
      </c>
      <c r="K3696" s="62">
        <v>15018.47</v>
      </c>
      <c r="L3696" s="33" t="e">
        <f>HLOOKUP(B3696,#REF!,1,0)</f>
        <v>#REF!</v>
      </c>
      <c r="M3696" s="33" t="str">
        <f t="shared" si="231"/>
        <v>P&amp;L</v>
      </c>
    </row>
    <row r="3697" spans="1:13" s="33" customFormat="true" ht="12.75" customHeight="true">
      <c r="A3697" s="33" t="str">
        <f t="shared" si="228"/>
        <v>CPI - CGS</v>
      </c>
      <c r="B3697" s="33" t="str">
        <f t="shared" si="229"/>
        <v>CPI</v>
      </c>
      <c r="C3697" s="33" t="str">
        <f t="shared" si="230"/>
        <v>54002-0000</v>
      </c>
      <c r="D3697" s="64" t="s">
        <v>4632</v>
      </c>
      <c r="E3697" s="64" t="s">
        <v>3799</v>
      </c>
      <c r="F3697" s="64" t="s">
        <v>230</v>
      </c>
      <c r="G3697" s="64" t="s">
        <v>3800</v>
      </c>
      <c r="H3697" s="64" t="s">
        <v>1875</v>
      </c>
      <c r="I3697" s="64" t="s">
        <v>3801</v>
      </c>
      <c r="J3697" s="67">
        <v>150</v>
      </c>
      <c r="K3697" s="62">
        <v>3916</v>
      </c>
      <c r="L3697" s="33" t="e">
        <f>HLOOKUP(B3697,#REF!,1,0)</f>
        <v>#REF!</v>
      </c>
      <c r="M3697" s="33" t="str">
        <f t="shared" si="231"/>
        <v>P&amp;L</v>
      </c>
    </row>
    <row r="3698" spans="1:13" s="33" customFormat="true" ht="12.75" customHeight="true">
      <c r="A3698" s="33" t="str">
        <f t="shared" si="228"/>
        <v>CPI - CGS</v>
      </c>
      <c r="B3698" s="33" t="str">
        <f t="shared" si="229"/>
        <v>CPI</v>
      </c>
      <c r="C3698" s="33" t="str">
        <f t="shared" si="230"/>
        <v>54003-0000</v>
      </c>
      <c r="D3698" s="64" t="s">
        <v>4633</v>
      </c>
      <c r="E3698" s="64" t="s">
        <v>3803</v>
      </c>
      <c r="F3698" s="64" t="s">
        <v>230</v>
      </c>
      <c r="G3698" s="64" t="s">
        <v>3800</v>
      </c>
      <c r="H3698" s="64" t="s">
        <v>1875</v>
      </c>
      <c r="I3698" s="64" t="s">
        <v>3804</v>
      </c>
      <c r="J3698" s="67">
        <v>0</v>
      </c>
      <c r="K3698" s="62">
        <v>0</v>
      </c>
      <c r="L3698" s="33" t="e">
        <f>HLOOKUP(B3698,#REF!,1,0)</f>
        <v>#REF!</v>
      </c>
      <c r="M3698" s="33" t="str">
        <f t="shared" si="231"/>
        <v>P&amp;L</v>
      </c>
    </row>
    <row r="3699" spans="1:13" s="33" customFormat="true" ht="12.75" customHeight="true">
      <c r="A3699" s="33" t="str">
        <f t="shared" si="228"/>
        <v>CPI - CGS</v>
      </c>
      <c r="B3699" s="33" t="str">
        <f t="shared" si="229"/>
        <v>CPI</v>
      </c>
      <c r="C3699" s="33" t="str">
        <f t="shared" si="230"/>
        <v>54004-0000</v>
      </c>
      <c r="D3699" s="64" t="s">
        <v>4634</v>
      </c>
      <c r="E3699" s="64" t="s">
        <v>3806</v>
      </c>
      <c r="F3699" s="64" t="s">
        <v>230</v>
      </c>
      <c r="G3699" s="64" t="s">
        <v>3800</v>
      </c>
      <c r="H3699" s="64" t="s">
        <v>1875</v>
      </c>
      <c r="I3699" s="64" t="s">
        <v>3807</v>
      </c>
      <c r="J3699" s="67">
        <v>800</v>
      </c>
      <c r="K3699" s="62">
        <v>8309.83</v>
      </c>
      <c r="L3699" s="33" t="e">
        <f>HLOOKUP(B3699,#REF!,1,0)</f>
        <v>#REF!</v>
      </c>
      <c r="M3699" s="33" t="str">
        <f t="shared" si="231"/>
        <v>P&amp;L</v>
      </c>
    </row>
    <row r="3700" spans="1:13" s="33" customFormat="true" ht="12.75" customHeight="true">
      <c r="A3700" s="33" t="str">
        <f t="shared" si="228"/>
        <v>CPI - CGS</v>
      </c>
      <c r="B3700" s="33" t="str">
        <f t="shared" si="229"/>
        <v>CPI</v>
      </c>
      <c r="C3700" s="33" t="str">
        <f t="shared" si="230"/>
        <v>54005-0000</v>
      </c>
      <c r="D3700" s="64" t="s">
        <v>4635</v>
      </c>
      <c r="E3700" s="64" t="s">
        <v>3809</v>
      </c>
      <c r="F3700" s="64" t="s">
        <v>230</v>
      </c>
      <c r="G3700" s="64" t="s">
        <v>3800</v>
      </c>
      <c r="H3700" s="64" t="s">
        <v>1875</v>
      </c>
      <c r="I3700" s="64" t="s">
        <v>3810</v>
      </c>
      <c r="J3700" s="67">
        <v>17.34</v>
      </c>
      <c r="K3700" s="62">
        <v>184.02</v>
      </c>
      <c r="L3700" s="33" t="e">
        <f>HLOOKUP(B3700,#REF!,1,0)</f>
        <v>#REF!</v>
      </c>
      <c r="M3700" s="33" t="str">
        <f t="shared" si="231"/>
        <v>P&amp;L</v>
      </c>
    </row>
    <row r="3701" spans="1:13" s="33" customFormat="true" ht="12.75" customHeight="true">
      <c r="A3701" s="33" t="str">
        <f t="shared" si="228"/>
        <v>CPI - CGS</v>
      </c>
      <c r="B3701" s="33" t="str">
        <f t="shared" si="229"/>
        <v>CPI</v>
      </c>
      <c r="C3701" s="33" t="str">
        <f t="shared" si="230"/>
        <v>54006-0000</v>
      </c>
      <c r="D3701" s="64" t="s">
        <v>4636</v>
      </c>
      <c r="E3701" s="64" t="s">
        <v>3812</v>
      </c>
      <c r="F3701" s="64" t="s">
        <v>230</v>
      </c>
      <c r="G3701" s="64" t="s">
        <v>3800</v>
      </c>
      <c r="H3701" s="64" t="s">
        <v>1875</v>
      </c>
      <c r="I3701" s="64" t="s">
        <v>3003</v>
      </c>
      <c r="J3701" s="67">
        <v>72.68</v>
      </c>
      <c r="K3701" s="62">
        <v>1217.24</v>
      </c>
      <c r="L3701" s="33" t="e">
        <f>HLOOKUP(B3701,#REF!,1,0)</f>
        <v>#REF!</v>
      </c>
      <c r="M3701" s="33" t="str">
        <f t="shared" si="231"/>
        <v>P&amp;L</v>
      </c>
    </row>
    <row r="3702" spans="1:13" s="33" customFormat="true" ht="12.75" customHeight="true">
      <c r="A3702" s="33" t="str">
        <f t="shared" si="228"/>
        <v>CPI - CGS</v>
      </c>
      <c r="B3702" s="33" t="str">
        <f t="shared" si="229"/>
        <v>CPI</v>
      </c>
      <c r="C3702" s="33" t="str">
        <f t="shared" si="230"/>
        <v>54007-0000</v>
      </c>
      <c r="D3702" s="64" t="s">
        <v>4637</v>
      </c>
      <c r="E3702" s="64" t="s">
        <v>4182</v>
      </c>
      <c r="F3702" s="64" t="s">
        <v>230</v>
      </c>
      <c r="G3702" s="64" t="s">
        <v>3800</v>
      </c>
      <c r="H3702" s="64" t="s">
        <v>1875</v>
      </c>
      <c r="I3702" s="64" t="s">
        <v>3815</v>
      </c>
      <c r="J3702" s="67">
        <v>0</v>
      </c>
      <c r="K3702" s="62">
        <v>5540.1</v>
      </c>
      <c r="L3702" s="33" t="e">
        <f>HLOOKUP(B3702,#REF!,1,0)</f>
        <v>#REF!</v>
      </c>
      <c r="M3702" s="33" t="str">
        <f t="shared" si="231"/>
        <v>P&amp;L</v>
      </c>
    </row>
    <row r="3703" spans="1:13" s="33" customFormat="true" ht="12.75" customHeight="true">
      <c r="A3703" s="33" t="str">
        <f t="shared" si="228"/>
        <v>CPI - PM Expenses</v>
      </c>
      <c r="B3703" s="33" t="str">
        <f t="shared" si="229"/>
        <v>CPI</v>
      </c>
      <c r="C3703" s="33" t="str">
        <f t="shared" si="230"/>
        <v>55501-0000</v>
      </c>
      <c r="D3703" s="64" t="s">
        <v>4638</v>
      </c>
      <c r="E3703" s="64" t="s">
        <v>3817</v>
      </c>
      <c r="F3703" s="64" t="s">
        <v>230</v>
      </c>
      <c r="G3703" s="64" t="s">
        <v>3818</v>
      </c>
      <c r="H3703" s="64" t="s">
        <v>3819</v>
      </c>
      <c r="I3703" s="64" t="s">
        <v>3820</v>
      </c>
      <c r="J3703" s="67">
        <v>0</v>
      </c>
      <c r="K3703" s="62">
        <v>153.26</v>
      </c>
      <c r="L3703" s="33" t="e">
        <f>HLOOKUP(B3703,#REF!,1,0)</f>
        <v>#REF!</v>
      </c>
      <c r="M3703" s="33" t="str">
        <f t="shared" si="231"/>
        <v>P&amp;L</v>
      </c>
    </row>
    <row r="3704" spans="1:13" s="33" customFormat="true" ht="12.75" customHeight="true">
      <c r="A3704" s="33" t="str">
        <f t="shared" si="228"/>
        <v>CPI - PM Expenses</v>
      </c>
      <c r="B3704" s="33" t="str">
        <f t="shared" si="229"/>
        <v>CPI</v>
      </c>
      <c r="C3704" s="33" t="str">
        <f t="shared" si="230"/>
        <v>55502-0000</v>
      </c>
      <c r="D3704" s="64" t="s">
        <v>4639</v>
      </c>
      <c r="E3704" s="64" t="s">
        <v>3822</v>
      </c>
      <c r="F3704" s="64" t="s">
        <v>230</v>
      </c>
      <c r="G3704" s="64" t="s">
        <v>3818</v>
      </c>
      <c r="H3704" s="64" t="s">
        <v>3819</v>
      </c>
      <c r="I3704" s="64" t="s">
        <v>3823</v>
      </c>
      <c r="J3704" s="67">
        <v>0</v>
      </c>
      <c r="K3704" s="62">
        <v>37549.37</v>
      </c>
      <c r="L3704" s="33" t="e">
        <f>HLOOKUP(B3704,#REF!,1,0)</f>
        <v>#REF!</v>
      </c>
      <c r="M3704" s="33" t="str">
        <f t="shared" si="231"/>
        <v>P&amp;L</v>
      </c>
    </row>
    <row r="3705" spans="1:13" s="33" customFormat="true" ht="12.75" customHeight="true">
      <c r="A3705" s="33" t="str">
        <f t="shared" si="228"/>
        <v>CPI - PM Expenses</v>
      </c>
      <c r="B3705" s="33" t="str">
        <f t="shared" si="229"/>
        <v>CPI</v>
      </c>
      <c r="C3705" s="33" t="str">
        <f t="shared" si="230"/>
        <v>55503-0000</v>
      </c>
      <c r="D3705" s="64" t="s">
        <v>4640</v>
      </c>
      <c r="E3705" s="64" t="s">
        <v>3825</v>
      </c>
      <c r="F3705" s="64" t="s">
        <v>230</v>
      </c>
      <c r="G3705" s="64" t="s">
        <v>3818</v>
      </c>
      <c r="H3705" s="64" t="s">
        <v>3819</v>
      </c>
      <c r="I3705" s="64" t="s">
        <v>3826</v>
      </c>
      <c r="J3705" s="67">
        <v>0</v>
      </c>
      <c r="K3705" s="62">
        <v>3107.5</v>
      </c>
      <c r="L3705" s="33" t="e">
        <f>HLOOKUP(B3705,#REF!,1,0)</f>
        <v>#REF!</v>
      </c>
      <c r="M3705" s="33" t="str">
        <f t="shared" si="231"/>
        <v>P&amp;L</v>
      </c>
    </row>
    <row r="3706" spans="1:13" s="33" customFormat="true" ht="12.75" customHeight="true">
      <c r="A3706" s="33" t="str">
        <f t="shared" si="228"/>
        <v>CPI - PM Expenses</v>
      </c>
      <c r="B3706" s="33" t="str">
        <f t="shared" si="229"/>
        <v>CPI</v>
      </c>
      <c r="C3706" s="33" t="str">
        <f t="shared" si="230"/>
        <v>55505-0000</v>
      </c>
      <c r="D3706" s="64" t="s">
        <v>4641</v>
      </c>
      <c r="E3706" s="64" t="s">
        <v>3828</v>
      </c>
      <c r="F3706" s="64" t="s">
        <v>230</v>
      </c>
      <c r="G3706" s="64" t="s">
        <v>3818</v>
      </c>
      <c r="H3706" s="64" t="s">
        <v>3819</v>
      </c>
      <c r="I3706" s="64" t="s">
        <v>3829</v>
      </c>
      <c r="J3706" s="67">
        <v>0</v>
      </c>
      <c r="K3706" s="62">
        <v>13076.14</v>
      </c>
      <c r="L3706" s="33" t="e">
        <f>HLOOKUP(B3706,#REF!,1,0)</f>
        <v>#REF!</v>
      </c>
      <c r="M3706" s="33" t="str">
        <f t="shared" si="231"/>
        <v>P&amp;L</v>
      </c>
    </row>
    <row r="3707" spans="1:13" s="33" customFormat="true" ht="12.75" customHeight="true">
      <c r="A3707" s="33" t="str">
        <f t="shared" si="228"/>
        <v>CPI - PM Expenses</v>
      </c>
      <c r="B3707" s="33" t="str">
        <f t="shared" si="229"/>
        <v>CPI</v>
      </c>
      <c r="C3707" s="33" t="str">
        <f t="shared" si="230"/>
        <v>55506-0000</v>
      </c>
      <c r="D3707" s="64" t="s">
        <v>4642</v>
      </c>
      <c r="E3707" s="64" t="s">
        <v>3831</v>
      </c>
      <c r="F3707" s="64" t="s">
        <v>230</v>
      </c>
      <c r="G3707" s="64" t="s">
        <v>3818</v>
      </c>
      <c r="H3707" s="64" t="s">
        <v>3819</v>
      </c>
      <c r="I3707" s="64" t="s">
        <v>3832</v>
      </c>
      <c r="J3707" s="67">
        <v>0</v>
      </c>
      <c r="K3707" s="62">
        <v>930.44</v>
      </c>
      <c r="L3707" s="33" t="e">
        <f>HLOOKUP(B3707,#REF!,1,0)</f>
        <v>#REF!</v>
      </c>
      <c r="M3707" s="33" t="str">
        <f t="shared" si="231"/>
        <v>P&amp;L</v>
      </c>
    </row>
    <row r="3708" spans="1:13" s="33" customFormat="true" ht="12.75" customHeight="true">
      <c r="A3708" s="33" t="str">
        <f t="shared" si="228"/>
        <v>CPI - PM Expenses</v>
      </c>
      <c r="B3708" s="33" t="str">
        <f t="shared" si="229"/>
        <v>CPI</v>
      </c>
      <c r="C3708" s="33" t="str">
        <f t="shared" si="230"/>
        <v>55507-0000</v>
      </c>
      <c r="D3708" s="64" t="s">
        <v>4643</v>
      </c>
      <c r="E3708" s="64" t="s">
        <v>3834</v>
      </c>
      <c r="F3708" s="64" t="s">
        <v>230</v>
      </c>
      <c r="G3708" s="64" t="s">
        <v>3818</v>
      </c>
      <c r="H3708" s="64" t="s">
        <v>3819</v>
      </c>
      <c r="I3708" s="64" t="s">
        <v>3835</v>
      </c>
      <c r="J3708" s="67">
        <v>0</v>
      </c>
      <c r="K3708" s="62">
        <v>459.54</v>
      </c>
      <c r="L3708" s="33" t="e">
        <f>HLOOKUP(B3708,#REF!,1,0)</f>
        <v>#REF!</v>
      </c>
      <c r="M3708" s="33" t="str">
        <f t="shared" si="231"/>
        <v>P&amp;L</v>
      </c>
    </row>
    <row r="3709" spans="1:13" s="33" customFormat="true" ht="12.75" customHeight="true">
      <c r="A3709" s="33" t="str">
        <f t="shared" si="228"/>
        <v>CPI - CGS</v>
      </c>
      <c r="B3709" s="33" t="str">
        <f t="shared" si="229"/>
        <v>CPI</v>
      </c>
      <c r="C3709" s="33" t="str">
        <f t="shared" si="230"/>
        <v>60001-0000</v>
      </c>
      <c r="D3709" s="64" t="s">
        <v>4644</v>
      </c>
      <c r="E3709" s="64" t="s">
        <v>4192</v>
      </c>
      <c r="F3709" s="64" t="s">
        <v>230</v>
      </c>
      <c r="G3709" s="64" t="s">
        <v>3838</v>
      </c>
      <c r="H3709" s="64" t="s">
        <v>1875</v>
      </c>
      <c r="I3709" s="64" t="s">
        <v>4193</v>
      </c>
      <c r="J3709" s="67">
        <v>0</v>
      </c>
      <c r="K3709" s="62">
        <v>2560.56</v>
      </c>
      <c r="L3709" s="33" t="e">
        <f>HLOOKUP(B3709,#REF!,1,0)</f>
        <v>#REF!</v>
      </c>
      <c r="M3709" s="33" t="str">
        <f t="shared" si="231"/>
        <v>P&amp;L</v>
      </c>
    </row>
    <row r="3710" spans="1:13" s="33" customFormat="true" ht="12.75" customHeight="true">
      <c r="A3710" s="33" t="str">
        <f t="shared" si="228"/>
        <v>CPI - CGS</v>
      </c>
      <c r="B3710" s="33" t="str">
        <f t="shared" si="229"/>
        <v>CPI</v>
      </c>
      <c r="C3710" s="33" t="str">
        <f t="shared" si="230"/>
        <v>60002-0000</v>
      </c>
      <c r="D3710" s="64" t="s">
        <v>4645</v>
      </c>
      <c r="E3710" s="64" t="s">
        <v>3837</v>
      </c>
      <c r="F3710" s="64" t="s">
        <v>230</v>
      </c>
      <c r="G3710" s="64" t="s">
        <v>3838</v>
      </c>
      <c r="H3710" s="64" t="s">
        <v>1875</v>
      </c>
      <c r="I3710" s="64" t="s">
        <v>3839</v>
      </c>
      <c r="J3710" s="67">
        <v>63.2</v>
      </c>
      <c r="K3710" s="62">
        <v>712.49</v>
      </c>
      <c r="L3710" s="33" t="e">
        <f>HLOOKUP(B3710,#REF!,1,0)</f>
        <v>#REF!</v>
      </c>
      <c r="M3710" s="33" t="str">
        <f t="shared" si="231"/>
        <v>P&amp;L</v>
      </c>
    </row>
    <row r="3711" spans="1:13" s="33" customFormat="true" ht="12.75" customHeight="true">
      <c r="A3711" s="33" t="str">
        <f t="shared" si="228"/>
        <v>CPI - CGS</v>
      </c>
      <c r="B3711" s="33" t="str">
        <f t="shared" si="229"/>
        <v>CPI</v>
      </c>
      <c r="C3711" s="33" t="str">
        <f t="shared" si="230"/>
        <v>60005-0000</v>
      </c>
      <c r="D3711" s="64" t="s">
        <v>4646</v>
      </c>
      <c r="E3711" s="64" t="s">
        <v>3841</v>
      </c>
      <c r="F3711" s="64" t="s">
        <v>230</v>
      </c>
      <c r="G3711" s="64" t="s">
        <v>3838</v>
      </c>
      <c r="H3711" s="64" t="s">
        <v>1875</v>
      </c>
      <c r="I3711" s="64" t="s">
        <v>3842</v>
      </c>
      <c r="J3711" s="67">
        <v>941.73</v>
      </c>
      <c r="K3711" s="62">
        <v>10284.41</v>
      </c>
      <c r="L3711" s="33" t="e">
        <f>HLOOKUP(B3711,#REF!,1,0)</f>
        <v>#REF!</v>
      </c>
      <c r="M3711" s="33" t="str">
        <f t="shared" si="231"/>
        <v>P&amp;L</v>
      </c>
    </row>
    <row r="3712" spans="1:13" s="33" customFormat="true" ht="12.75" customHeight="true">
      <c r="A3712" s="33" t="str">
        <f t="shared" si="228"/>
        <v>CPI - Interest Expense</v>
      </c>
      <c r="B3712" s="33" t="str">
        <f t="shared" si="229"/>
        <v>CPI</v>
      </c>
      <c r="C3712" s="33" t="str">
        <f t="shared" si="230"/>
        <v>60006-0000</v>
      </c>
      <c r="D3712" s="64" t="s">
        <v>4647</v>
      </c>
      <c r="E3712" s="64" t="s">
        <v>3325</v>
      </c>
      <c r="F3712" s="64" t="s">
        <v>230</v>
      </c>
      <c r="G3712" s="64" t="s">
        <v>3844</v>
      </c>
      <c r="H3712" s="64" t="s">
        <v>3327</v>
      </c>
      <c r="I3712" s="64" t="s">
        <v>3328</v>
      </c>
      <c r="J3712" s="67">
        <v>5707.24</v>
      </c>
      <c r="K3712" s="62">
        <v>57509.11</v>
      </c>
      <c r="L3712" s="33" t="e">
        <f>HLOOKUP(B3712,#REF!,1,0)</f>
        <v>#REF!</v>
      </c>
      <c r="M3712" s="33" t="str">
        <f t="shared" si="231"/>
        <v>P&amp;L</v>
      </c>
    </row>
    <row r="3713" spans="1:13" s="33" customFormat="true" ht="12.75" customHeight="true">
      <c r="A3713" s="33" t="str">
        <f t="shared" si="228"/>
        <v>CPI - CGS</v>
      </c>
      <c r="B3713" s="33" t="str">
        <f t="shared" si="229"/>
        <v>CPI</v>
      </c>
      <c r="C3713" s="33" t="str">
        <f t="shared" si="230"/>
        <v>60007-0000</v>
      </c>
      <c r="D3713" s="64" t="s">
        <v>4648</v>
      </c>
      <c r="E3713" s="64" t="s">
        <v>3846</v>
      </c>
      <c r="F3713" s="64" t="s">
        <v>230</v>
      </c>
      <c r="G3713" s="64" t="s">
        <v>3838</v>
      </c>
      <c r="H3713" s="64" t="s">
        <v>1875</v>
      </c>
      <c r="I3713" s="64" t="s">
        <v>3847</v>
      </c>
      <c r="J3713" s="67">
        <v>0</v>
      </c>
      <c r="K3713" s="62">
        <v>6610.5</v>
      </c>
      <c r="L3713" s="33" t="e">
        <f>HLOOKUP(B3713,#REF!,1,0)</f>
        <v>#REF!</v>
      </c>
      <c r="M3713" s="33" t="str">
        <f t="shared" si="231"/>
        <v>P&amp;L</v>
      </c>
    </row>
    <row r="3714" spans="1:13" s="33" customFormat="true" ht="12.75" customHeight="true">
      <c r="A3714" s="33" t="str">
        <f t="shared" ref="A3714:A3777" si="232">B3714&amp;" - "&amp;TRIM(H3714)</f>
        <v>CPI - CGS</v>
      </c>
      <c r="B3714" s="33" t="str">
        <f t="shared" ref="B3714:B3777" si="233">LEFT(D3714,3)</f>
        <v>CPI</v>
      </c>
      <c r="C3714" s="33" t="str">
        <f t="shared" ref="C3714:C3777" si="234">RIGHT(D3714,10)</f>
        <v>60011-0000</v>
      </c>
      <c r="D3714" s="64" t="s">
        <v>4649</v>
      </c>
      <c r="E3714" s="64" t="s">
        <v>4199</v>
      </c>
      <c r="F3714" s="64" t="s">
        <v>230</v>
      </c>
      <c r="G3714" s="64" t="s">
        <v>3838</v>
      </c>
      <c r="H3714" s="64" t="s">
        <v>1875</v>
      </c>
      <c r="I3714" s="64" t="s">
        <v>4200</v>
      </c>
      <c r="J3714" s="67">
        <v>0</v>
      </c>
      <c r="K3714" s="62">
        <v>406.52</v>
      </c>
      <c r="L3714" s="33" t="e">
        <f>HLOOKUP(B3714,#REF!,1,0)</f>
        <v>#REF!</v>
      </c>
      <c r="M3714" s="33" t="str">
        <f t="shared" ref="M3714:M3777" si="235">IF(VALUE(LEFT(C3714,5))&gt;40000,"P&amp;L","BS")</f>
        <v>P&amp;L</v>
      </c>
    </row>
    <row r="3715" spans="1:13" s="33" customFormat="true" ht="12.75" customHeight="true">
      <c r="A3715" s="33" t="str">
        <f t="shared" si="232"/>
        <v>CPI - CGS</v>
      </c>
      <c r="B3715" s="33" t="str">
        <f t="shared" si="233"/>
        <v>CPI</v>
      </c>
      <c r="C3715" s="33" t="str">
        <f t="shared" si="234"/>
        <v>60012-0000</v>
      </c>
      <c r="D3715" s="64" t="s">
        <v>4650</v>
      </c>
      <c r="E3715" s="64" t="s">
        <v>3852</v>
      </c>
      <c r="F3715" s="64" t="s">
        <v>230</v>
      </c>
      <c r="G3715" s="64" t="s">
        <v>3838</v>
      </c>
      <c r="H3715" s="64" t="s">
        <v>1875</v>
      </c>
      <c r="I3715" s="64" t="s">
        <v>3853</v>
      </c>
      <c r="J3715" s="67">
        <v>0</v>
      </c>
      <c r="K3715" s="62">
        <v>26437.91</v>
      </c>
      <c r="L3715" s="33" t="e">
        <f>HLOOKUP(B3715,#REF!,1,0)</f>
        <v>#REF!</v>
      </c>
      <c r="M3715" s="33" t="str">
        <f t="shared" si="235"/>
        <v>P&amp;L</v>
      </c>
    </row>
    <row r="3716" spans="1:13" s="33" customFormat="true" ht="12.75" customHeight="true">
      <c r="A3716" s="33" t="str">
        <f t="shared" si="232"/>
        <v>CPI - CGS</v>
      </c>
      <c r="B3716" s="33" t="str">
        <f t="shared" si="233"/>
        <v>CPI</v>
      </c>
      <c r="C3716" s="33" t="str">
        <f t="shared" si="234"/>
        <v>60014-0000</v>
      </c>
      <c r="D3716" s="64" t="s">
        <v>4651</v>
      </c>
      <c r="E3716" s="64" t="s">
        <v>3855</v>
      </c>
      <c r="F3716" s="64" t="s">
        <v>230</v>
      </c>
      <c r="G3716" s="64" t="s">
        <v>3838</v>
      </c>
      <c r="H3716" s="64" t="s">
        <v>1875</v>
      </c>
      <c r="I3716" s="64" t="s">
        <v>3856</v>
      </c>
      <c r="J3716" s="67">
        <v>1708.58</v>
      </c>
      <c r="K3716" s="62">
        <v>15803.18</v>
      </c>
      <c r="L3716" s="33" t="e">
        <f>HLOOKUP(B3716,#REF!,1,0)</f>
        <v>#REF!</v>
      </c>
      <c r="M3716" s="33" t="str">
        <f t="shared" si="235"/>
        <v>P&amp;L</v>
      </c>
    </row>
    <row r="3717" spans="1:13" s="33" customFormat="true" ht="12.75" customHeight="true">
      <c r="A3717" s="33" t="str">
        <f t="shared" si="232"/>
        <v>CPI - CGS</v>
      </c>
      <c r="B3717" s="33" t="str">
        <f t="shared" si="233"/>
        <v>CPI</v>
      </c>
      <c r="C3717" s="33" t="str">
        <f t="shared" si="234"/>
        <v>61018-0000</v>
      </c>
      <c r="D3717" s="64" t="s">
        <v>4652</v>
      </c>
      <c r="E3717" s="64" t="s">
        <v>3864</v>
      </c>
      <c r="F3717" s="64" t="s">
        <v>230</v>
      </c>
      <c r="G3717" s="64" t="s">
        <v>3838</v>
      </c>
      <c r="H3717" s="64" t="s">
        <v>1875</v>
      </c>
      <c r="I3717" s="64" t="s">
        <v>3866</v>
      </c>
      <c r="J3717" s="67">
        <v>0</v>
      </c>
      <c r="K3717" s="62">
        <v>7500</v>
      </c>
      <c r="L3717" s="33" t="e">
        <f>HLOOKUP(B3717,#REF!,1,0)</f>
        <v>#REF!</v>
      </c>
      <c r="M3717" s="33" t="str">
        <f t="shared" si="235"/>
        <v>P&amp;L</v>
      </c>
    </row>
    <row r="3718" spans="1:13" s="33" customFormat="true" ht="12.75" customHeight="true">
      <c r="A3718" s="33" t="str">
        <f t="shared" si="232"/>
        <v>CPI - Income Tax</v>
      </c>
      <c r="B3718" s="33" t="str">
        <f t="shared" si="233"/>
        <v>CPI</v>
      </c>
      <c r="C3718" s="33" t="str">
        <f t="shared" si="234"/>
        <v>61019-0000</v>
      </c>
      <c r="D3718" s="64" t="s">
        <v>4653</v>
      </c>
      <c r="E3718" s="64" t="s">
        <v>4041</v>
      </c>
      <c r="F3718" s="64" t="s">
        <v>230</v>
      </c>
      <c r="G3718" s="64" t="s">
        <v>3844</v>
      </c>
      <c r="H3718" s="64" t="s">
        <v>3378</v>
      </c>
      <c r="I3718" s="64" t="s">
        <v>4042</v>
      </c>
      <c r="J3718" s="67">
        <v>0</v>
      </c>
      <c r="K3718" s="62">
        <v>4945.77</v>
      </c>
      <c r="L3718" s="33" t="e">
        <f>HLOOKUP(B3718,#REF!,1,0)</f>
        <v>#REF!</v>
      </c>
      <c r="M3718" s="33" t="str">
        <f t="shared" si="235"/>
        <v>P&amp;L</v>
      </c>
    </row>
    <row r="3719" spans="1:13" s="33" customFormat="true" ht="12.75" customHeight="true">
      <c r="A3719" s="33" t="str">
        <f t="shared" si="232"/>
        <v>CRE - Fixed Assets</v>
      </c>
      <c r="B3719" s="33" t="str">
        <f t="shared" si="233"/>
        <v>CRE</v>
      </c>
      <c r="C3719" s="33" t="str">
        <f t="shared" si="234"/>
        <v>15501-0000</v>
      </c>
      <c r="D3719" s="64" t="s">
        <v>4654</v>
      </c>
      <c r="E3719" s="64" t="s">
        <v>2635</v>
      </c>
      <c r="F3719" s="64" t="s">
        <v>230</v>
      </c>
      <c r="G3719" s="64" t="s">
        <v>62</v>
      </c>
      <c r="H3719" s="64" t="s">
        <v>63</v>
      </c>
      <c r="I3719" s="64" t="s">
        <v>64</v>
      </c>
      <c r="J3719" s="67">
        <v>852.74</v>
      </c>
      <c r="K3719" s="62">
        <v>3346.7</v>
      </c>
      <c r="L3719" s="33" t="e">
        <f>HLOOKUP(B3719,#REF!,1,0)</f>
        <v>#REF!</v>
      </c>
      <c r="M3719" s="33" t="str">
        <f t="shared" si="235"/>
        <v>BS</v>
      </c>
    </row>
    <row r="3720" spans="1:13" s="33" customFormat="true" ht="12.75" customHeight="true">
      <c r="A3720" s="33" t="str">
        <f t="shared" si="232"/>
        <v>CRE - AP-Accr Exp</v>
      </c>
      <c r="B3720" s="33" t="str">
        <f t="shared" si="233"/>
        <v>CRE</v>
      </c>
      <c r="C3720" s="33" t="str">
        <f t="shared" si="234"/>
        <v>25300-0000</v>
      </c>
      <c r="D3720" s="64" t="s">
        <v>4655</v>
      </c>
      <c r="E3720" s="64" t="s">
        <v>3677</v>
      </c>
      <c r="F3720" s="64" t="s">
        <v>230</v>
      </c>
      <c r="G3720" s="64" t="s">
        <v>3678</v>
      </c>
      <c r="H3720" s="64" t="s">
        <v>98</v>
      </c>
      <c r="I3720" s="64" t="s">
        <v>102</v>
      </c>
      <c r="J3720" s="67">
        <v>-0.3</v>
      </c>
      <c r="K3720" s="62">
        <v>-4464.93</v>
      </c>
      <c r="L3720" s="33" t="e">
        <f>HLOOKUP(B3720,#REF!,1,0)</f>
        <v>#REF!</v>
      </c>
      <c r="M3720" s="33" t="str">
        <f t="shared" si="235"/>
        <v>BS</v>
      </c>
    </row>
    <row r="3721" spans="1:13" s="33" customFormat="true" ht="12.75" customHeight="true">
      <c r="A3721" s="33" t="str">
        <f t="shared" si="232"/>
        <v>CRE - Revenue</v>
      </c>
      <c r="B3721" s="33" t="str">
        <f t="shared" si="233"/>
        <v>CRE</v>
      </c>
      <c r="C3721" s="33" t="str">
        <f t="shared" si="234"/>
        <v>40110-0000</v>
      </c>
      <c r="D3721" s="64" t="s">
        <v>4656</v>
      </c>
      <c r="E3721" s="64" t="s">
        <v>3683</v>
      </c>
      <c r="F3721" s="64" t="s">
        <v>230</v>
      </c>
      <c r="G3721" s="64" t="s">
        <v>3684</v>
      </c>
      <c r="H3721" s="64" t="s">
        <v>2871</v>
      </c>
      <c r="I3721" s="64" t="s">
        <v>3685</v>
      </c>
      <c r="J3721" s="67">
        <v>-98718.14</v>
      </c>
      <c r="K3721" s="62">
        <v>-987181.4</v>
      </c>
      <c r="L3721" s="33" t="e">
        <f>HLOOKUP(B3721,#REF!,1,0)</f>
        <v>#REF!</v>
      </c>
      <c r="M3721" s="33" t="str">
        <f t="shared" si="235"/>
        <v>P&amp;L</v>
      </c>
    </row>
    <row r="3722" spans="1:13" s="33" customFormat="true" ht="12.75" customHeight="true">
      <c r="A3722" s="33" t="str">
        <f t="shared" si="232"/>
        <v>CRE - Revenue</v>
      </c>
      <c r="B3722" s="33" t="str">
        <f t="shared" si="233"/>
        <v>CRE</v>
      </c>
      <c r="C3722" s="33" t="str">
        <f t="shared" si="234"/>
        <v>40120-0000</v>
      </c>
      <c r="D3722" s="64" t="s">
        <v>4657</v>
      </c>
      <c r="E3722" s="64" t="s">
        <v>3687</v>
      </c>
      <c r="F3722" s="64" t="s">
        <v>230</v>
      </c>
      <c r="G3722" s="64" t="s">
        <v>3684</v>
      </c>
      <c r="H3722" s="64" t="s">
        <v>2871</v>
      </c>
      <c r="I3722" s="64" t="s">
        <v>3688</v>
      </c>
      <c r="J3722" s="67">
        <v>-4261.62</v>
      </c>
      <c r="K3722" s="62">
        <v>-16427.46</v>
      </c>
      <c r="L3722" s="33" t="e">
        <f>HLOOKUP(B3722,#REF!,1,0)</f>
        <v>#REF!</v>
      </c>
      <c r="M3722" s="33" t="str">
        <f t="shared" si="235"/>
        <v>P&amp;L</v>
      </c>
    </row>
    <row r="3723" spans="1:13" s="33" customFormat="true" ht="12.75" customHeight="true">
      <c r="A3723" s="33" t="str">
        <f t="shared" si="232"/>
        <v>CRE - Revenue</v>
      </c>
      <c r="B3723" s="33" t="str">
        <f t="shared" si="233"/>
        <v>CRE</v>
      </c>
      <c r="C3723" s="33" t="str">
        <f t="shared" si="234"/>
        <v>40130-0000</v>
      </c>
      <c r="D3723" s="64" t="s">
        <v>4658</v>
      </c>
      <c r="E3723" s="64" t="s">
        <v>3690</v>
      </c>
      <c r="F3723" s="64" t="s">
        <v>230</v>
      </c>
      <c r="G3723" s="64" t="s">
        <v>3684</v>
      </c>
      <c r="H3723" s="64" t="s">
        <v>2871</v>
      </c>
      <c r="I3723" s="64" t="s">
        <v>3691</v>
      </c>
      <c r="J3723" s="67">
        <v>-1447.63</v>
      </c>
      <c r="K3723" s="62">
        <v>-3667.89</v>
      </c>
      <c r="L3723" s="33" t="e">
        <f>HLOOKUP(B3723,#REF!,1,0)</f>
        <v>#REF!</v>
      </c>
      <c r="M3723" s="33" t="str">
        <f t="shared" si="235"/>
        <v>P&amp;L</v>
      </c>
    </row>
    <row r="3724" spans="1:13" s="33" customFormat="true" ht="12.75" customHeight="true">
      <c r="A3724" s="33" t="str">
        <f t="shared" si="232"/>
        <v>CRE - Revenue</v>
      </c>
      <c r="B3724" s="33" t="str">
        <f t="shared" si="233"/>
        <v>CRE</v>
      </c>
      <c r="C3724" s="33" t="str">
        <f t="shared" si="234"/>
        <v>40140-0000</v>
      </c>
      <c r="D3724" s="64" t="s">
        <v>4659</v>
      </c>
      <c r="E3724" s="64" t="s">
        <v>3948</v>
      </c>
      <c r="F3724" s="64" t="s">
        <v>230</v>
      </c>
      <c r="G3724" s="64" t="s">
        <v>3684</v>
      </c>
      <c r="H3724" s="64" t="s">
        <v>2871</v>
      </c>
      <c r="I3724" s="64" t="s">
        <v>3949</v>
      </c>
      <c r="J3724" s="67">
        <v>0</v>
      </c>
      <c r="K3724" s="62">
        <v>0</v>
      </c>
      <c r="L3724" s="33" t="e">
        <f>HLOOKUP(B3724,#REF!,1,0)</f>
        <v>#REF!</v>
      </c>
      <c r="M3724" s="33" t="str">
        <f t="shared" si="235"/>
        <v>P&amp;L</v>
      </c>
    </row>
    <row r="3725" spans="1:13" s="33" customFormat="true" ht="12.75" customHeight="true">
      <c r="A3725" s="33" t="str">
        <f t="shared" si="232"/>
        <v>CRE - Revenue</v>
      </c>
      <c r="B3725" s="33" t="str">
        <f t="shared" si="233"/>
        <v>CRE</v>
      </c>
      <c r="C3725" s="33" t="str">
        <f t="shared" si="234"/>
        <v>41110-0000</v>
      </c>
      <c r="D3725" s="64" t="s">
        <v>4660</v>
      </c>
      <c r="E3725" s="64" t="s">
        <v>3693</v>
      </c>
      <c r="F3725" s="64" t="s">
        <v>230</v>
      </c>
      <c r="G3725" s="64" t="s">
        <v>3694</v>
      </c>
      <c r="H3725" s="64" t="s">
        <v>2871</v>
      </c>
      <c r="I3725" s="64" t="s">
        <v>3695</v>
      </c>
      <c r="J3725" s="67">
        <v>2108.06</v>
      </c>
      <c r="K3725" s="62">
        <v>17862.74</v>
      </c>
      <c r="L3725" s="33" t="e">
        <f>HLOOKUP(B3725,#REF!,1,0)</f>
        <v>#REF!</v>
      </c>
      <c r="M3725" s="33" t="str">
        <f t="shared" si="235"/>
        <v>P&amp;L</v>
      </c>
    </row>
    <row r="3726" spans="1:13" s="33" customFormat="true" ht="12.75" customHeight="true">
      <c r="A3726" s="33" t="str">
        <f t="shared" si="232"/>
        <v>CRE - Revenue</v>
      </c>
      <c r="B3726" s="33" t="str">
        <f t="shared" si="233"/>
        <v>CRE</v>
      </c>
      <c r="C3726" s="33" t="str">
        <f t="shared" si="234"/>
        <v>41121-0000</v>
      </c>
      <c r="D3726" s="64" t="s">
        <v>4661</v>
      </c>
      <c r="E3726" s="64" t="s">
        <v>3697</v>
      </c>
      <c r="F3726" s="64" t="s">
        <v>230</v>
      </c>
      <c r="G3726" s="64" t="s">
        <v>3694</v>
      </c>
      <c r="H3726" s="64" t="s">
        <v>2871</v>
      </c>
      <c r="I3726" s="64" t="s">
        <v>3698</v>
      </c>
      <c r="J3726" s="67">
        <v>26637.15</v>
      </c>
      <c r="K3726" s="62">
        <v>298561.15</v>
      </c>
      <c r="L3726" s="33" t="e">
        <f>HLOOKUP(B3726,#REF!,1,0)</f>
        <v>#REF!</v>
      </c>
      <c r="M3726" s="33" t="str">
        <f t="shared" si="235"/>
        <v>P&amp;L</v>
      </c>
    </row>
    <row r="3727" spans="1:13" s="33" customFormat="true" ht="12.75" customHeight="true">
      <c r="A3727" s="33" t="str">
        <f t="shared" si="232"/>
        <v>CRE - Revenue</v>
      </c>
      <c r="B3727" s="33" t="str">
        <f t="shared" si="233"/>
        <v>CRE</v>
      </c>
      <c r="C3727" s="33" t="str">
        <f t="shared" si="234"/>
        <v>41122-0000</v>
      </c>
      <c r="D3727" s="64" t="s">
        <v>4662</v>
      </c>
      <c r="E3727" s="64" t="s">
        <v>3700</v>
      </c>
      <c r="F3727" s="64" t="s">
        <v>230</v>
      </c>
      <c r="G3727" s="64" t="s">
        <v>3694</v>
      </c>
      <c r="H3727" s="64" t="s">
        <v>2871</v>
      </c>
      <c r="I3727" s="64" t="s">
        <v>3701</v>
      </c>
      <c r="J3727" s="67">
        <v>1050.93</v>
      </c>
      <c r="K3727" s="62">
        <v>-77135.52</v>
      </c>
      <c r="L3727" s="33" t="e">
        <f>HLOOKUP(B3727,#REF!,1,0)</f>
        <v>#REF!</v>
      </c>
      <c r="M3727" s="33" t="str">
        <f t="shared" si="235"/>
        <v>P&amp;L</v>
      </c>
    </row>
    <row r="3728" spans="1:13" s="33" customFormat="true" ht="12.75" customHeight="true">
      <c r="A3728" s="33" t="str">
        <f t="shared" si="232"/>
        <v>CRE - Revenue</v>
      </c>
      <c r="B3728" s="33" t="str">
        <f t="shared" si="233"/>
        <v>CRE</v>
      </c>
      <c r="C3728" s="33" t="str">
        <f t="shared" si="234"/>
        <v>41130-0000</v>
      </c>
      <c r="D3728" s="64" t="s">
        <v>4663</v>
      </c>
      <c r="E3728" s="64" t="s">
        <v>3703</v>
      </c>
      <c r="F3728" s="64" t="s">
        <v>230</v>
      </c>
      <c r="G3728" s="64" t="s">
        <v>3694</v>
      </c>
      <c r="H3728" s="64" t="s">
        <v>2871</v>
      </c>
      <c r="I3728" s="64" t="s">
        <v>3704</v>
      </c>
      <c r="J3728" s="67">
        <v>0</v>
      </c>
      <c r="K3728" s="62">
        <v>7281.19</v>
      </c>
      <c r="L3728" s="33" t="e">
        <f>HLOOKUP(B3728,#REF!,1,0)</f>
        <v>#REF!</v>
      </c>
      <c r="M3728" s="33" t="str">
        <f t="shared" si="235"/>
        <v>P&amp;L</v>
      </c>
    </row>
    <row r="3729" spans="1:13" s="33" customFormat="true" ht="12.75" customHeight="true">
      <c r="A3729" s="33" t="str">
        <f t="shared" si="232"/>
        <v>CRE - Revenue</v>
      </c>
      <c r="B3729" s="33" t="str">
        <f t="shared" si="233"/>
        <v>CRE</v>
      </c>
      <c r="C3729" s="33" t="str">
        <f t="shared" si="234"/>
        <v>41140-0000</v>
      </c>
      <c r="D3729" s="64" t="s">
        <v>4664</v>
      </c>
      <c r="E3729" s="64" t="s">
        <v>3706</v>
      </c>
      <c r="F3729" s="64" t="s">
        <v>230</v>
      </c>
      <c r="G3729" s="64" t="s">
        <v>3694</v>
      </c>
      <c r="H3729" s="64" t="s">
        <v>2871</v>
      </c>
      <c r="I3729" s="64" t="s">
        <v>3707</v>
      </c>
      <c r="J3729" s="67">
        <v>0</v>
      </c>
      <c r="K3729" s="62">
        <v>20055.08</v>
      </c>
      <c r="L3729" s="33" t="e">
        <f>HLOOKUP(B3729,#REF!,1,0)</f>
        <v>#REF!</v>
      </c>
      <c r="M3729" s="33" t="str">
        <f t="shared" si="235"/>
        <v>P&amp;L</v>
      </c>
    </row>
    <row r="3730" spans="1:13" s="33" customFormat="true" ht="12.75" customHeight="true">
      <c r="A3730" s="33" t="str">
        <f t="shared" si="232"/>
        <v>CRE - Revenue</v>
      </c>
      <c r="B3730" s="33" t="str">
        <f t="shared" si="233"/>
        <v>CRE</v>
      </c>
      <c r="C3730" s="33" t="str">
        <f t="shared" si="234"/>
        <v>41150-0000</v>
      </c>
      <c r="D3730" s="64" t="s">
        <v>4665</v>
      </c>
      <c r="E3730" s="64" t="s">
        <v>3709</v>
      </c>
      <c r="F3730" s="64" t="s">
        <v>230</v>
      </c>
      <c r="G3730" s="64" t="s">
        <v>3694</v>
      </c>
      <c r="H3730" s="64" t="s">
        <v>2871</v>
      </c>
      <c r="I3730" s="64" t="s">
        <v>3710</v>
      </c>
      <c r="J3730" s="67">
        <v>1500</v>
      </c>
      <c r="K3730" s="62">
        <v>15000</v>
      </c>
      <c r="L3730" s="33" t="e">
        <f>HLOOKUP(B3730,#REF!,1,0)</f>
        <v>#REF!</v>
      </c>
      <c r="M3730" s="33" t="str">
        <f t="shared" si="235"/>
        <v>P&amp;L</v>
      </c>
    </row>
    <row r="3731" spans="1:13" s="33" customFormat="true" ht="12.75" customHeight="true">
      <c r="A3731" s="33" t="str">
        <f t="shared" si="232"/>
        <v>CRE - Revenue</v>
      </c>
      <c r="B3731" s="33" t="str">
        <f t="shared" si="233"/>
        <v>CRE</v>
      </c>
      <c r="C3731" s="33" t="str">
        <f t="shared" si="234"/>
        <v>41160-0000</v>
      </c>
      <c r="D3731" s="64" t="s">
        <v>4666</v>
      </c>
      <c r="E3731" s="64" t="s">
        <v>3957</v>
      </c>
      <c r="F3731" s="64" t="s">
        <v>230</v>
      </c>
      <c r="G3731" s="64" t="s">
        <v>3694</v>
      </c>
      <c r="H3731" s="64" t="s">
        <v>2871</v>
      </c>
      <c r="I3731" s="64" t="s">
        <v>3701</v>
      </c>
      <c r="J3731" s="67">
        <v>0</v>
      </c>
      <c r="K3731" s="62">
        <v>-323943.28</v>
      </c>
      <c r="L3731" s="33" t="e">
        <f>HLOOKUP(B3731,#REF!,1,0)</f>
        <v>#REF!</v>
      </c>
      <c r="M3731" s="33" t="str">
        <f t="shared" si="235"/>
        <v>P&amp;L</v>
      </c>
    </row>
    <row r="3732" spans="1:13" s="33" customFormat="true" ht="12.75" customHeight="true">
      <c r="A3732" s="33" t="str">
        <f t="shared" si="232"/>
        <v>CRE - Revenue</v>
      </c>
      <c r="B3732" s="33" t="str">
        <f t="shared" si="233"/>
        <v>CRE</v>
      </c>
      <c r="C3732" s="33" t="str">
        <f t="shared" si="234"/>
        <v>41999-0000</v>
      </c>
      <c r="D3732" s="64" t="s">
        <v>4667</v>
      </c>
      <c r="E3732" s="64" t="s">
        <v>3712</v>
      </c>
      <c r="F3732" s="64" t="s">
        <v>230</v>
      </c>
      <c r="G3732" s="64" t="s">
        <v>3713</v>
      </c>
      <c r="H3732" s="64" t="s">
        <v>2871</v>
      </c>
      <c r="I3732" s="64" t="s">
        <v>3714</v>
      </c>
      <c r="J3732" s="67">
        <v>73131.25</v>
      </c>
      <c r="K3732" s="62">
        <v>1049595.39</v>
      </c>
      <c r="L3732" s="33" t="e">
        <f>HLOOKUP(B3732,#REF!,1,0)</f>
        <v>#REF!</v>
      </c>
      <c r="M3732" s="33" t="str">
        <f t="shared" si="235"/>
        <v>P&amp;L</v>
      </c>
    </row>
    <row r="3733" spans="1:13" s="33" customFormat="true" ht="12.75" customHeight="true">
      <c r="A3733" s="33" t="str">
        <f t="shared" si="232"/>
        <v>CRE - Revenue</v>
      </c>
      <c r="B3733" s="33" t="str">
        <f t="shared" si="233"/>
        <v>CRE</v>
      </c>
      <c r="C3733" s="33" t="str">
        <f t="shared" si="234"/>
        <v>47400-0000</v>
      </c>
      <c r="D3733" s="64" t="s">
        <v>4668</v>
      </c>
      <c r="E3733" s="64" t="s">
        <v>3716</v>
      </c>
      <c r="F3733" s="64" t="s">
        <v>230</v>
      </c>
      <c r="G3733" s="64" t="s">
        <v>3717</v>
      </c>
      <c r="H3733" s="64" t="s">
        <v>2871</v>
      </c>
      <c r="I3733" s="64" t="s">
        <v>3718</v>
      </c>
      <c r="J3733" s="67">
        <v>-71797.95</v>
      </c>
      <c r="K3733" s="62">
        <v>-1048262.09</v>
      </c>
      <c r="L3733" s="33" t="e">
        <f>HLOOKUP(B3733,#REF!,1,0)</f>
        <v>#REF!</v>
      </c>
      <c r="M3733" s="33" t="str">
        <f t="shared" si="235"/>
        <v>P&amp;L</v>
      </c>
    </row>
    <row r="3734" spans="1:13" s="33" customFormat="true" ht="12.75" customHeight="true">
      <c r="A3734" s="33" t="str">
        <f t="shared" si="232"/>
        <v>CRE - Revenue</v>
      </c>
      <c r="B3734" s="33" t="str">
        <f t="shared" si="233"/>
        <v>CRE</v>
      </c>
      <c r="C3734" s="33" t="str">
        <f t="shared" si="234"/>
        <v>47420-0000</v>
      </c>
      <c r="D3734" s="64" t="s">
        <v>4669</v>
      </c>
      <c r="E3734" s="64" t="s">
        <v>4154</v>
      </c>
      <c r="F3734" s="64" t="s">
        <v>230</v>
      </c>
      <c r="G3734" s="64" t="s">
        <v>3717</v>
      </c>
      <c r="H3734" s="64" t="s">
        <v>2871</v>
      </c>
      <c r="I3734" s="64" t="s">
        <v>4155</v>
      </c>
      <c r="J3734" s="67">
        <v>-231.29</v>
      </c>
      <c r="K3734" s="62">
        <v>-2964.44</v>
      </c>
      <c r="L3734" s="33" t="e">
        <f>HLOOKUP(B3734,#REF!,1,0)</f>
        <v>#REF!</v>
      </c>
      <c r="M3734" s="33" t="str">
        <f t="shared" si="235"/>
        <v>P&amp;L</v>
      </c>
    </row>
    <row r="3735" spans="1:13" s="33" customFormat="true" ht="12.75" customHeight="true">
      <c r="A3735" s="33" t="str">
        <f t="shared" si="232"/>
        <v>CRE - Revenue</v>
      </c>
      <c r="B3735" s="33" t="str">
        <f t="shared" si="233"/>
        <v>CRE</v>
      </c>
      <c r="C3735" s="33" t="str">
        <f t="shared" si="234"/>
        <v>47430-0000</v>
      </c>
      <c r="D3735" s="64" t="s">
        <v>4670</v>
      </c>
      <c r="E3735" s="64" t="s">
        <v>4053</v>
      </c>
      <c r="F3735" s="64" t="s">
        <v>230</v>
      </c>
      <c r="G3735" s="64" t="s">
        <v>3717</v>
      </c>
      <c r="H3735" s="64" t="s">
        <v>2871</v>
      </c>
      <c r="I3735" s="64" t="s">
        <v>4054</v>
      </c>
      <c r="J3735" s="67">
        <v>-953.69</v>
      </c>
      <c r="K3735" s="62">
        <v>-8554.74</v>
      </c>
      <c r="L3735" s="33" t="e">
        <f>HLOOKUP(B3735,#REF!,1,0)</f>
        <v>#REF!</v>
      </c>
      <c r="M3735" s="33" t="str">
        <f t="shared" si="235"/>
        <v>P&amp;L</v>
      </c>
    </row>
    <row r="3736" spans="1:13" s="33" customFormat="true" ht="12.75" customHeight="true">
      <c r="A3736" s="33" t="str">
        <f t="shared" si="232"/>
        <v>CRE - Revenue</v>
      </c>
      <c r="B3736" s="33" t="str">
        <f t="shared" si="233"/>
        <v>CRE</v>
      </c>
      <c r="C3736" s="33" t="str">
        <f t="shared" si="234"/>
        <v>47440-0000</v>
      </c>
      <c r="D3736" s="64" t="s">
        <v>4671</v>
      </c>
      <c r="E3736" s="64" t="s">
        <v>3720</v>
      </c>
      <c r="F3736" s="64" t="s">
        <v>230</v>
      </c>
      <c r="G3736" s="64" t="s">
        <v>3717</v>
      </c>
      <c r="H3736" s="64" t="s">
        <v>2871</v>
      </c>
      <c r="I3736" s="64" t="s">
        <v>3721</v>
      </c>
      <c r="J3736" s="67">
        <v>0</v>
      </c>
      <c r="K3736" s="62">
        <v>0</v>
      </c>
      <c r="L3736" s="33" t="e">
        <f>HLOOKUP(B3736,#REF!,1,0)</f>
        <v>#REF!</v>
      </c>
      <c r="M3736" s="33" t="str">
        <f t="shared" si="235"/>
        <v>P&amp;L</v>
      </c>
    </row>
    <row r="3737" spans="1:13" s="33" customFormat="true" ht="12.75" customHeight="true">
      <c r="A3737" s="33" t="str">
        <f t="shared" si="232"/>
        <v>CRE - Revenue</v>
      </c>
      <c r="B3737" s="33" t="str">
        <f t="shared" si="233"/>
        <v>CRE</v>
      </c>
      <c r="C3737" s="33" t="str">
        <f t="shared" si="234"/>
        <v>47450-0000</v>
      </c>
      <c r="D3737" s="64" t="s">
        <v>4672</v>
      </c>
      <c r="E3737" s="64" t="s">
        <v>3723</v>
      </c>
      <c r="F3737" s="64" t="s">
        <v>230</v>
      </c>
      <c r="G3737" s="64" t="s">
        <v>3717</v>
      </c>
      <c r="H3737" s="64" t="s">
        <v>2871</v>
      </c>
      <c r="I3737" s="64" t="s">
        <v>3724</v>
      </c>
      <c r="J3737" s="67">
        <v>-30</v>
      </c>
      <c r="K3737" s="62">
        <v>-300</v>
      </c>
      <c r="L3737" s="33" t="e">
        <f>HLOOKUP(B3737,#REF!,1,0)</f>
        <v>#REF!</v>
      </c>
      <c r="M3737" s="33" t="str">
        <f t="shared" si="235"/>
        <v>P&amp;L</v>
      </c>
    </row>
    <row r="3738" spans="1:13" s="33" customFormat="true" ht="12.75" customHeight="true">
      <c r="A3738" s="33" t="str">
        <f t="shared" si="232"/>
        <v>CRE - Revenue</v>
      </c>
      <c r="B3738" s="33" t="str">
        <f t="shared" si="233"/>
        <v>CRE</v>
      </c>
      <c r="C3738" s="33" t="str">
        <f t="shared" si="234"/>
        <v>47460-0000</v>
      </c>
      <c r="D3738" s="64" t="s">
        <v>4673</v>
      </c>
      <c r="E3738" s="64" t="s">
        <v>3726</v>
      </c>
      <c r="F3738" s="64" t="s">
        <v>230</v>
      </c>
      <c r="G3738" s="64" t="s">
        <v>3717</v>
      </c>
      <c r="H3738" s="64" t="s">
        <v>2871</v>
      </c>
      <c r="I3738" s="64" t="s">
        <v>3727</v>
      </c>
      <c r="J3738" s="67">
        <v>0</v>
      </c>
      <c r="K3738" s="62">
        <v>-25</v>
      </c>
      <c r="L3738" s="33" t="e">
        <f>HLOOKUP(B3738,#REF!,1,0)</f>
        <v>#REF!</v>
      </c>
      <c r="M3738" s="33" t="str">
        <f t="shared" si="235"/>
        <v>P&amp;L</v>
      </c>
    </row>
    <row r="3739" spans="1:13" s="33" customFormat="true" ht="12.75" customHeight="true">
      <c r="A3739" s="33" t="str">
        <f t="shared" si="232"/>
        <v>CRE - Revenue</v>
      </c>
      <c r="B3739" s="33" t="str">
        <f t="shared" si="233"/>
        <v>CRE</v>
      </c>
      <c r="C3739" s="33" t="str">
        <f t="shared" si="234"/>
        <v>47480-0000</v>
      </c>
      <c r="D3739" s="64" t="s">
        <v>4674</v>
      </c>
      <c r="E3739" s="64" t="s">
        <v>3729</v>
      </c>
      <c r="F3739" s="64" t="s">
        <v>230</v>
      </c>
      <c r="G3739" s="64" t="s">
        <v>3717</v>
      </c>
      <c r="H3739" s="64" t="s">
        <v>2871</v>
      </c>
      <c r="I3739" s="64" t="s">
        <v>3721</v>
      </c>
      <c r="J3739" s="67">
        <v>-45</v>
      </c>
      <c r="K3739" s="62">
        <v>-410</v>
      </c>
      <c r="L3739" s="33" t="e">
        <f>HLOOKUP(B3739,#REF!,1,0)</f>
        <v>#REF!</v>
      </c>
      <c r="M3739" s="33" t="str">
        <f t="shared" si="235"/>
        <v>P&amp;L</v>
      </c>
    </row>
    <row r="3740" spans="1:13" s="33" customFormat="true" ht="12.75" customHeight="true">
      <c r="A3740" s="33" t="str">
        <f t="shared" si="232"/>
        <v>CRE - Revenue</v>
      </c>
      <c r="B3740" s="33" t="str">
        <f t="shared" si="233"/>
        <v>CRE</v>
      </c>
      <c r="C3740" s="33" t="str">
        <f t="shared" si="234"/>
        <v>47490-0000</v>
      </c>
      <c r="D3740" s="64" t="s">
        <v>4675</v>
      </c>
      <c r="E3740" s="64" t="s">
        <v>3731</v>
      </c>
      <c r="F3740" s="64" t="s">
        <v>230</v>
      </c>
      <c r="G3740" s="64" t="s">
        <v>3717</v>
      </c>
      <c r="H3740" s="64" t="s">
        <v>2871</v>
      </c>
      <c r="I3740" s="64" t="s">
        <v>3721</v>
      </c>
      <c r="J3740" s="67">
        <v>-210</v>
      </c>
      <c r="K3740" s="62">
        <v>-2183.61</v>
      </c>
      <c r="L3740" s="33" t="e">
        <f>HLOOKUP(B3740,#REF!,1,0)</f>
        <v>#REF!</v>
      </c>
      <c r="M3740" s="33" t="str">
        <f t="shared" si="235"/>
        <v>P&amp;L</v>
      </c>
    </row>
    <row r="3741" spans="1:13" s="33" customFormat="true" ht="12.75" customHeight="true">
      <c r="A3741" s="33" t="str">
        <f t="shared" si="232"/>
        <v>CRE - Revenue</v>
      </c>
      <c r="B3741" s="33" t="str">
        <f t="shared" si="233"/>
        <v>CRE</v>
      </c>
      <c r="C3741" s="33" t="str">
        <f t="shared" si="234"/>
        <v>47491-0000</v>
      </c>
      <c r="D3741" s="64" t="s">
        <v>4676</v>
      </c>
      <c r="E3741" s="64" t="s">
        <v>3733</v>
      </c>
      <c r="F3741" s="64" t="s">
        <v>230</v>
      </c>
      <c r="G3741" s="64" t="s">
        <v>3717</v>
      </c>
      <c r="H3741" s="64" t="s">
        <v>2871</v>
      </c>
      <c r="I3741" s="64" t="s">
        <v>3734</v>
      </c>
      <c r="J3741" s="67">
        <v>0</v>
      </c>
      <c r="K3741" s="62">
        <v>-732.86</v>
      </c>
      <c r="L3741" s="33" t="e">
        <f>HLOOKUP(B3741,#REF!,1,0)</f>
        <v>#REF!</v>
      </c>
      <c r="M3741" s="33" t="str">
        <f t="shared" si="235"/>
        <v>P&amp;L</v>
      </c>
    </row>
    <row r="3742" spans="1:13" s="33" customFormat="true" ht="12.75" customHeight="true">
      <c r="A3742" s="33" t="str">
        <f t="shared" si="232"/>
        <v>CRE - Revenue</v>
      </c>
      <c r="B3742" s="33" t="str">
        <f t="shared" si="233"/>
        <v>CRE</v>
      </c>
      <c r="C3742" s="33" t="str">
        <f t="shared" si="234"/>
        <v>47492-0000</v>
      </c>
      <c r="D3742" s="64" t="s">
        <v>4677</v>
      </c>
      <c r="E3742" s="64" t="s">
        <v>3736</v>
      </c>
      <c r="F3742" s="64" t="s">
        <v>230</v>
      </c>
      <c r="G3742" s="64" t="s">
        <v>3717</v>
      </c>
      <c r="H3742" s="64" t="s">
        <v>2871</v>
      </c>
      <c r="I3742" s="64" t="s">
        <v>3737</v>
      </c>
      <c r="J3742" s="67">
        <v>-600.44</v>
      </c>
      <c r="K3742" s="62">
        <v>-4391.9</v>
      </c>
      <c r="L3742" s="33" t="e">
        <f>HLOOKUP(B3742,#REF!,1,0)</f>
        <v>#REF!</v>
      </c>
      <c r="M3742" s="33" t="str">
        <f t="shared" si="235"/>
        <v>P&amp;L</v>
      </c>
    </row>
    <row r="3743" spans="1:13" s="33" customFormat="true" ht="12.75" customHeight="true">
      <c r="A3743" s="33" t="str">
        <f t="shared" si="232"/>
        <v>CRE - CGS</v>
      </c>
      <c r="B3743" s="33" t="str">
        <f t="shared" si="233"/>
        <v>CRE</v>
      </c>
      <c r="C3743" s="33" t="str">
        <f t="shared" si="234"/>
        <v>51001-0000</v>
      </c>
      <c r="D3743" s="64" t="s">
        <v>4678</v>
      </c>
      <c r="E3743" s="64" t="s">
        <v>4536</v>
      </c>
      <c r="F3743" s="64" t="s">
        <v>230</v>
      </c>
      <c r="G3743" s="64" t="s">
        <v>3740</v>
      </c>
      <c r="H3743" s="64" t="s">
        <v>1875</v>
      </c>
      <c r="I3743" s="64" t="s">
        <v>4537</v>
      </c>
      <c r="J3743" s="67">
        <v>0</v>
      </c>
      <c r="K3743" s="62">
        <v>57.42</v>
      </c>
      <c r="L3743" s="33" t="e">
        <f>HLOOKUP(B3743,#REF!,1,0)</f>
        <v>#REF!</v>
      </c>
      <c r="M3743" s="33" t="str">
        <f t="shared" si="235"/>
        <v>P&amp;L</v>
      </c>
    </row>
    <row r="3744" spans="1:13" s="33" customFormat="true" ht="12.75" customHeight="true">
      <c r="A3744" s="33" t="str">
        <f t="shared" si="232"/>
        <v>CRE - CGS</v>
      </c>
      <c r="B3744" s="33" t="str">
        <f t="shared" si="233"/>
        <v>CRE</v>
      </c>
      <c r="C3744" s="33" t="str">
        <f t="shared" si="234"/>
        <v>51006-0000</v>
      </c>
      <c r="D3744" s="64" t="s">
        <v>4679</v>
      </c>
      <c r="E3744" s="64" t="s">
        <v>3739</v>
      </c>
      <c r="F3744" s="64" t="s">
        <v>230</v>
      </c>
      <c r="G3744" s="64" t="s">
        <v>3740</v>
      </c>
      <c r="H3744" s="64" t="s">
        <v>1875</v>
      </c>
      <c r="I3744" s="64" t="s">
        <v>3741</v>
      </c>
      <c r="J3744" s="67">
        <v>0</v>
      </c>
      <c r="K3744" s="62">
        <v>1187.89</v>
      </c>
      <c r="L3744" s="33" t="e">
        <f>HLOOKUP(B3744,#REF!,1,0)</f>
        <v>#REF!</v>
      </c>
      <c r="M3744" s="33" t="str">
        <f t="shared" si="235"/>
        <v>P&amp;L</v>
      </c>
    </row>
    <row r="3745" spans="1:13" s="33" customFormat="true" ht="12.75" customHeight="true">
      <c r="A3745" s="33" t="str">
        <f t="shared" si="232"/>
        <v>CRE - CGS</v>
      </c>
      <c r="B3745" s="33" t="str">
        <f t="shared" si="233"/>
        <v>CRE</v>
      </c>
      <c r="C3745" s="33" t="str">
        <f t="shared" si="234"/>
        <v>51007-0000</v>
      </c>
      <c r="D3745" s="64" t="s">
        <v>4680</v>
      </c>
      <c r="E3745" s="64" t="s">
        <v>3972</v>
      </c>
      <c r="F3745" s="64" t="s">
        <v>230</v>
      </c>
      <c r="G3745" s="64" t="s">
        <v>3740</v>
      </c>
      <c r="H3745" s="64" t="s">
        <v>1875</v>
      </c>
      <c r="I3745" s="64" t="s">
        <v>3973</v>
      </c>
      <c r="J3745" s="67">
        <v>10.92</v>
      </c>
      <c r="K3745" s="62">
        <v>270.92</v>
      </c>
      <c r="L3745" s="33" t="e">
        <f>HLOOKUP(B3745,#REF!,1,0)</f>
        <v>#REF!</v>
      </c>
      <c r="M3745" s="33" t="str">
        <f t="shared" si="235"/>
        <v>P&amp;L</v>
      </c>
    </row>
    <row r="3746" spans="1:13" s="33" customFormat="true" ht="12.75" customHeight="true">
      <c r="A3746" s="33" t="str">
        <f t="shared" si="232"/>
        <v>CRE - CGS</v>
      </c>
      <c r="B3746" s="33" t="str">
        <f t="shared" si="233"/>
        <v>CRE</v>
      </c>
      <c r="C3746" s="33" t="str">
        <f t="shared" si="234"/>
        <v>51008-0000</v>
      </c>
      <c r="D3746" s="64" t="s">
        <v>4681</v>
      </c>
      <c r="E3746" s="64" t="s">
        <v>3743</v>
      </c>
      <c r="F3746" s="64" t="s">
        <v>230</v>
      </c>
      <c r="G3746" s="64" t="s">
        <v>3740</v>
      </c>
      <c r="H3746" s="64" t="s">
        <v>1875</v>
      </c>
      <c r="I3746" s="64" t="s">
        <v>3744</v>
      </c>
      <c r="J3746" s="67">
        <v>258.59</v>
      </c>
      <c r="K3746" s="62">
        <v>7599.42</v>
      </c>
      <c r="L3746" s="33" t="e">
        <f>HLOOKUP(B3746,#REF!,1,0)</f>
        <v>#REF!</v>
      </c>
      <c r="M3746" s="33" t="str">
        <f t="shared" si="235"/>
        <v>P&amp;L</v>
      </c>
    </row>
    <row r="3747" spans="1:13" s="33" customFormat="true" ht="12.75" customHeight="true">
      <c r="A3747" s="33" t="str">
        <f t="shared" si="232"/>
        <v>CRE - CGS</v>
      </c>
      <c r="B3747" s="33" t="str">
        <f t="shared" si="233"/>
        <v>CRE</v>
      </c>
      <c r="C3747" s="33" t="str">
        <f t="shared" si="234"/>
        <v>51009-0000</v>
      </c>
      <c r="D3747" s="64" t="s">
        <v>4682</v>
      </c>
      <c r="E3747" s="64" t="s">
        <v>3746</v>
      </c>
      <c r="F3747" s="64" t="s">
        <v>230</v>
      </c>
      <c r="G3747" s="64" t="s">
        <v>3740</v>
      </c>
      <c r="H3747" s="64" t="s">
        <v>1875</v>
      </c>
      <c r="I3747" s="64" t="s">
        <v>3747</v>
      </c>
      <c r="J3747" s="67">
        <v>361.03</v>
      </c>
      <c r="K3747" s="62">
        <v>4968.49</v>
      </c>
      <c r="L3747" s="33" t="e">
        <f>HLOOKUP(B3747,#REF!,1,0)</f>
        <v>#REF!</v>
      </c>
      <c r="M3747" s="33" t="str">
        <f t="shared" si="235"/>
        <v>P&amp;L</v>
      </c>
    </row>
    <row r="3748" spans="1:13" s="33" customFormat="true" ht="12.75" customHeight="true">
      <c r="A3748" s="33" t="str">
        <f t="shared" si="232"/>
        <v>CRE - CGS</v>
      </c>
      <c r="B3748" s="33" t="str">
        <f t="shared" si="233"/>
        <v>CRE</v>
      </c>
      <c r="C3748" s="33" t="str">
        <f t="shared" si="234"/>
        <v>51011-0000</v>
      </c>
      <c r="D3748" s="64" t="s">
        <v>4683</v>
      </c>
      <c r="E3748" s="64" t="s">
        <v>3749</v>
      </c>
      <c r="F3748" s="64" t="s">
        <v>230</v>
      </c>
      <c r="G3748" s="64" t="s">
        <v>3740</v>
      </c>
      <c r="H3748" s="64" t="s">
        <v>1875</v>
      </c>
      <c r="I3748" s="64" t="s">
        <v>3750</v>
      </c>
      <c r="J3748" s="67">
        <v>200</v>
      </c>
      <c r="K3748" s="62">
        <v>4960</v>
      </c>
      <c r="L3748" s="33" t="e">
        <f>HLOOKUP(B3748,#REF!,1,0)</f>
        <v>#REF!</v>
      </c>
      <c r="M3748" s="33" t="str">
        <f t="shared" si="235"/>
        <v>P&amp;L</v>
      </c>
    </row>
    <row r="3749" spans="1:13" s="33" customFormat="true" ht="12.75" customHeight="true">
      <c r="A3749" s="33" t="str">
        <f t="shared" si="232"/>
        <v>CRE - CGS</v>
      </c>
      <c r="B3749" s="33" t="str">
        <f t="shared" si="233"/>
        <v>CRE</v>
      </c>
      <c r="C3749" s="33" t="str">
        <f t="shared" si="234"/>
        <v>51012-0000</v>
      </c>
      <c r="D3749" s="64" t="s">
        <v>4684</v>
      </c>
      <c r="E3749" s="64" t="s">
        <v>3752</v>
      </c>
      <c r="F3749" s="64" t="s">
        <v>230</v>
      </c>
      <c r="G3749" s="64" t="s">
        <v>3740</v>
      </c>
      <c r="H3749" s="64" t="s">
        <v>1875</v>
      </c>
      <c r="I3749" s="64" t="s">
        <v>3753</v>
      </c>
      <c r="J3749" s="67">
        <v>92</v>
      </c>
      <c r="K3749" s="62">
        <v>1005</v>
      </c>
      <c r="L3749" s="33" t="e">
        <f>HLOOKUP(B3749,#REF!,1,0)</f>
        <v>#REF!</v>
      </c>
      <c r="M3749" s="33" t="str">
        <f t="shared" si="235"/>
        <v>P&amp;L</v>
      </c>
    </row>
    <row r="3750" spans="1:13" s="33" customFormat="true" ht="12.75" customHeight="true">
      <c r="A3750" s="33" t="str">
        <f t="shared" si="232"/>
        <v>CRE - CGS</v>
      </c>
      <c r="B3750" s="33" t="str">
        <f t="shared" si="233"/>
        <v>CRE</v>
      </c>
      <c r="C3750" s="33" t="str">
        <f t="shared" si="234"/>
        <v>51013-0000</v>
      </c>
      <c r="D3750" s="64" t="s">
        <v>4685</v>
      </c>
      <c r="E3750" s="64" t="s">
        <v>3979</v>
      </c>
      <c r="F3750" s="64" t="s">
        <v>230</v>
      </c>
      <c r="G3750" s="64" t="s">
        <v>3740</v>
      </c>
      <c r="H3750" s="64" t="s">
        <v>1875</v>
      </c>
      <c r="I3750" s="64" t="s">
        <v>3980</v>
      </c>
      <c r="J3750" s="67">
        <v>0</v>
      </c>
      <c r="K3750" s="62">
        <v>2225</v>
      </c>
      <c r="L3750" s="33" t="e">
        <f>HLOOKUP(B3750,#REF!,1,0)</f>
        <v>#REF!</v>
      </c>
      <c r="M3750" s="33" t="str">
        <f t="shared" si="235"/>
        <v>P&amp;L</v>
      </c>
    </row>
    <row r="3751" spans="1:13" s="33" customFormat="true" ht="12.75" customHeight="true">
      <c r="A3751" s="33" t="str">
        <f t="shared" si="232"/>
        <v>CRE - CGS</v>
      </c>
      <c r="B3751" s="33" t="str">
        <f t="shared" si="233"/>
        <v>CRE</v>
      </c>
      <c r="C3751" s="33" t="str">
        <f t="shared" si="234"/>
        <v>51015-0000</v>
      </c>
      <c r="D3751" s="64" t="s">
        <v>4686</v>
      </c>
      <c r="E3751" s="64" t="s">
        <v>3755</v>
      </c>
      <c r="F3751" s="64" t="s">
        <v>230</v>
      </c>
      <c r="G3751" s="64" t="s">
        <v>3740</v>
      </c>
      <c r="H3751" s="64" t="s">
        <v>1875</v>
      </c>
      <c r="I3751" s="64" t="s">
        <v>3756</v>
      </c>
      <c r="J3751" s="67">
        <v>0</v>
      </c>
      <c r="K3751" s="62">
        <v>0</v>
      </c>
      <c r="L3751" s="33" t="e">
        <f>HLOOKUP(B3751,#REF!,1,0)</f>
        <v>#REF!</v>
      </c>
      <c r="M3751" s="33" t="str">
        <f t="shared" si="235"/>
        <v>P&amp;L</v>
      </c>
    </row>
    <row r="3752" spans="1:13" s="33" customFormat="true" ht="12.75" customHeight="true">
      <c r="A3752" s="33" t="str">
        <f t="shared" si="232"/>
        <v>CRE - CGS</v>
      </c>
      <c r="B3752" s="33" t="str">
        <f t="shared" si="233"/>
        <v>CRE</v>
      </c>
      <c r="C3752" s="33" t="str">
        <f t="shared" si="234"/>
        <v>51019-0000</v>
      </c>
      <c r="D3752" s="64" t="s">
        <v>4687</v>
      </c>
      <c r="E3752" s="64" t="s">
        <v>3761</v>
      </c>
      <c r="F3752" s="64" t="s">
        <v>230</v>
      </c>
      <c r="G3752" s="64" t="s">
        <v>3740</v>
      </c>
      <c r="H3752" s="64" t="s">
        <v>1875</v>
      </c>
      <c r="I3752" s="64" t="s">
        <v>3340</v>
      </c>
      <c r="J3752" s="67">
        <v>0</v>
      </c>
      <c r="K3752" s="62">
        <v>62.01</v>
      </c>
      <c r="L3752" s="33" t="e">
        <f>HLOOKUP(B3752,#REF!,1,0)</f>
        <v>#REF!</v>
      </c>
      <c r="M3752" s="33" t="str">
        <f t="shared" si="235"/>
        <v>P&amp;L</v>
      </c>
    </row>
    <row r="3753" spans="1:13" s="33" customFormat="true" ht="12.75" customHeight="true">
      <c r="A3753" s="33" t="str">
        <f t="shared" si="232"/>
        <v>CRE - CGS</v>
      </c>
      <c r="B3753" s="33" t="str">
        <f t="shared" si="233"/>
        <v>CRE</v>
      </c>
      <c r="C3753" s="33" t="str">
        <f t="shared" si="234"/>
        <v>51020-0000</v>
      </c>
      <c r="D3753" s="64" t="s">
        <v>4688</v>
      </c>
      <c r="E3753" s="64" t="s">
        <v>3763</v>
      </c>
      <c r="F3753" s="64" t="s">
        <v>230</v>
      </c>
      <c r="G3753" s="64" t="s">
        <v>3740</v>
      </c>
      <c r="H3753" s="64" t="s">
        <v>1875</v>
      </c>
      <c r="I3753" s="64" t="s">
        <v>3345</v>
      </c>
      <c r="J3753" s="67">
        <v>71.58</v>
      </c>
      <c r="K3753" s="62">
        <v>411.33</v>
      </c>
      <c r="L3753" s="33" t="e">
        <f>HLOOKUP(B3753,#REF!,1,0)</f>
        <v>#REF!</v>
      </c>
      <c r="M3753" s="33" t="str">
        <f t="shared" si="235"/>
        <v>P&amp;L</v>
      </c>
    </row>
    <row r="3754" spans="1:13" s="33" customFormat="true" ht="12.75" customHeight="true">
      <c r="A3754" s="33" t="str">
        <f t="shared" si="232"/>
        <v>CRE - CGS</v>
      </c>
      <c r="B3754" s="33" t="str">
        <f t="shared" si="233"/>
        <v>CRE</v>
      </c>
      <c r="C3754" s="33" t="str">
        <f t="shared" si="234"/>
        <v>51025-0000</v>
      </c>
      <c r="D3754" s="64" t="s">
        <v>4689</v>
      </c>
      <c r="E3754" s="64" t="s">
        <v>3988</v>
      </c>
      <c r="F3754" s="64" t="s">
        <v>230</v>
      </c>
      <c r="G3754" s="64" t="s">
        <v>3740</v>
      </c>
      <c r="H3754" s="64" t="s">
        <v>1875</v>
      </c>
      <c r="I3754" s="64" t="s">
        <v>3989</v>
      </c>
      <c r="J3754" s="67">
        <v>312.21</v>
      </c>
      <c r="K3754" s="62">
        <v>3172.49</v>
      </c>
      <c r="L3754" s="33" t="e">
        <f>HLOOKUP(B3754,#REF!,1,0)</f>
        <v>#REF!</v>
      </c>
      <c r="M3754" s="33" t="str">
        <f t="shared" si="235"/>
        <v>P&amp;L</v>
      </c>
    </row>
    <row r="3755" spans="1:13" s="33" customFormat="true" ht="12.75" customHeight="true">
      <c r="A3755" s="33" t="str">
        <f t="shared" si="232"/>
        <v>CRE - CGS</v>
      </c>
      <c r="B3755" s="33" t="str">
        <f t="shared" si="233"/>
        <v>CRE</v>
      </c>
      <c r="C3755" s="33" t="str">
        <f t="shared" si="234"/>
        <v>52001-0000</v>
      </c>
      <c r="D3755" s="64" t="s">
        <v>4690</v>
      </c>
      <c r="E3755" s="64" t="s">
        <v>3768</v>
      </c>
      <c r="F3755" s="64" t="s">
        <v>230</v>
      </c>
      <c r="G3755" s="64" t="s">
        <v>3769</v>
      </c>
      <c r="H3755" s="64" t="s">
        <v>1875</v>
      </c>
      <c r="I3755" s="64" t="s">
        <v>3770</v>
      </c>
      <c r="J3755" s="67">
        <v>0</v>
      </c>
      <c r="K3755" s="62">
        <v>313.3</v>
      </c>
      <c r="L3755" s="33" t="e">
        <f>HLOOKUP(B3755,#REF!,1,0)</f>
        <v>#REF!</v>
      </c>
      <c r="M3755" s="33" t="str">
        <f t="shared" si="235"/>
        <v>P&amp;L</v>
      </c>
    </row>
    <row r="3756" spans="1:13" s="33" customFormat="true" ht="12.75" customHeight="true">
      <c r="A3756" s="33" t="str">
        <f t="shared" si="232"/>
        <v>CRE - CGS</v>
      </c>
      <c r="B3756" s="33" t="str">
        <f t="shared" si="233"/>
        <v>CRE</v>
      </c>
      <c r="C3756" s="33" t="str">
        <f t="shared" si="234"/>
        <v>52002-0000</v>
      </c>
      <c r="D3756" s="64" t="s">
        <v>4691</v>
      </c>
      <c r="E3756" s="64" t="s">
        <v>3997</v>
      </c>
      <c r="F3756" s="64" t="s">
        <v>230</v>
      </c>
      <c r="G3756" s="64" t="s">
        <v>3769</v>
      </c>
      <c r="H3756" s="64" t="s">
        <v>1875</v>
      </c>
      <c r="I3756" s="64" t="s">
        <v>3998</v>
      </c>
      <c r="J3756" s="67">
        <v>0</v>
      </c>
      <c r="K3756" s="62">
        <v>-41.03</v>
      </c>
      <c r="L3756" s="33" t="e">
        <f>HLOOKUP(B3756,#REF!,1,0)</f>
        <v>#REF!</v>
      </c>
      <c r="M3756" s="33" t="str">
        <f t="shared" si="235"/>
        <v>P&amp;L</v>
      </c>
    </row>
    <row r="3757" spans="1:13" s="33" customFormat="true" ht="12.75" customHeight="true">
      <c r="A3757" s="33" t="str">
        <f t="shared" si="232"/>
        <v>CRE - CGS</v>
      </c>
      <c r="B3757" s="33" t="str">
        <f t="shared" si="233"/>
        <v>CRE</v>
      </c>
      <c r="C3757" s="33" t="str">
        <f t="shared" si="234"/>
        <v>52003-0000</v>
      </c>
      <c r="D3757" s="64" t="s">
        <v>4692</v>
      </c>
      <c r="E3757" s="64" t="s">
        <v>3772</v>
      </c>
      <c r="F3757" s="64" t="s">
        <v>230</v>
      </c>
      <c r="G3757" s="64" t="s">
        <v>3769</v>
      </c>
      <c r="H3757" s="64" t="s">
        <v>1875</v>
      </c>
      <c r="I3757" s="64" t="s">
        <v>3773</v>
      </c>
      <c r="J3757" s="67">
        <v>-208.33</v>
      </c>
      <c r="K3757" s="62">
        <v>41.67</v>
      </c>
      <c r="L3757" s="33" t="e">
        <f>HLOOKUP(B3757,#REF!,1,0)</f>
        <v>#REF!</v>
      </c>
      <c r="M3757" s="33" t="str">
        <f t="shared" si="235"/>
        <v>P&amp;L</v>
      </c>
    </row>
    <row r="3758" spans="1:13" s="33" customFormat="true" ht="12.75" customHeight="true">
      <c r="A3758" s="33" t="str">
        <f t="shared" si="232"/>
        <v>CRE - CGS</v>
      </c>
      <c r="B3758" s="33" t="str">
        <f t="shared" si="233"/>
        <v>CRE</v>
      </c>
      <c r="C3758" s="33" t="str">
        <f t="shared" si="234"/>
        <v>52004-0000</v>
      </c>
      <c r="D3758" s="64" t="s">
        <v>4693</v>
      </c>
      <c r="E3758" s="64" t="s">
        <v>3775</v>
      </c>
      <c r="F3758" s="64" t="s">
        <v>230</v>
      </c>
      <c r="G3758" s="64" t="s">
        <v>3769</v>
      </c>
      <c r="H3758" s="64" t="s">
        <v>1875</v>
      </c>
      <c r="I3758" s="64" t="s">
        <v>3776</v>
      </c>
      <c r="J3758" s="67">
        <v>113</v>
      </c>
      <c r="K3758" s="62">
        <v>527.96</v>
      </c>
      <c r="L3758" s="33" t="e">
        <f>HLOOKUP(B3758,#REF!,1,0)</f>
        <v>#REF!</v>
      </c>
      <c r="M3758" s="33" t="str">
        <f t="shared" si="235"/>
        <v>P&amp;L</v>
      </c>
    </row>
    <row r="3759" spans="1:13" s="33" customFormat="true" ht="12.75" customHeight="true">
      <c r="A3759" s="33" t="str">
        <f t="shared" si="232"/>
        <v>CRE - CGS</v>
      </c>
      <c r="B3759" s="33" t="str">
        <f t="shared" si="233"/>
        <v>CRE</v>
      </c>
      <c r="C3759" s="33" t="str">
        <f t="shared" si="234"/>
        <v>52006-0000</v>
      </c>
      <c r="D3759" s="64" t="s">
        <v>4694</v>
      </c>
      <c r="E3759" s="64" t="s">
        <v>3778</v>
      </c>
      <c r="F3759" s="64" t="s">
        <v>230</v>
      </c>
      <c r="G3759" s="64" t="s">
        <v>3769</v>
      </c>
      <c r="H3759" s="64" t="s">
        <v>1875</v>
      </c>
      <c r="I3759" s="64" t="s">
        <v>3779</v>
      </c>
      <c r="J3759" s="67">
        <v>-175</v>
      </c>
      <c r="K3759" s="62">
        <v>884.17</v>
      </c>
      <c r="L3759" s="33" t="e">
        <f>HLOOKUP(B3759,#REF!,1,0)</f>
        <v>#REF!</v>
      </c>
      <c r="M3759" s="33" t="str">
        <f t="shared" si="235"/>
        <v>P&amp;L</v>
      </c>
    </row>
    <row r="3760" spans="1:13" s="33" customFormat="true" ht="12.75" customHeight="true">
      <c r="A3760" s="33" t="str">
        <f t="shared" si="232"/>
        <v>CRE - CGS</v>
      </c>
      <c r="B3760" s="33" t="str">
        <f t="shared" si="233"/>
        <v>CRE</v>
      </c>
      <c r="C3760" s="33" t="str">
        <f t="shared" si="234"/>
        <v>53001-0000</v>
      </c>
      <c r="D3760" s="64" t="s">
        <v>4695</v>
      </c>
      <c r="E3760" s="64" t="s">
        <v>3781</v>
      </c>
      <c r="F3760" s="64" t="s">
        <v>230</v>
      </c>
      <c r="G3760" s="64" t="s">
        <v>3160</v>
      </c>
      <c r="H3760" s="64" t="s">
        <v>1875</v>
      </c>
      <c r="I3760" s="64" t="s">
        <v>3782</v>
      </c>
      <c r="J3760" s="67">
        <v>101.57</v>
      </c>
      <c r="K3760" s="62">
        <v>1313.57</v>
      </c>
      <c r="L3760" s="33" t="e">
        <f>HLOOKUP(B3760,#REF!,1,0)</f>
        <v>#REF!</v>
      </c>
      <c r="M3760" s="33" t="str">
        <f t="shared" si="235"/>
        <v>P&amp;L</v>
      </c>
    </row>
    <row r="3761" spans="1:13" s="33" customFormat="true" ht="12.75" customHeight="true">
      <c r="A3761" s="33" t="str">
        <f t="shared" si="232"/>
        <v>CRE - CGS</v>
      </c>
      <c r="B3761" s="33" t="str">
        <f t="shared" si="233"/>
        <v>CRE</v>
      </c>
      <c r="C3761" s="33" t="str">
        <f t="shared" si="234"/>
        <v>53002-0000</v>
      </c>
      <c r="D3761" s="64" t="s">
        <v>4696</v>
      </c>
      <c r="E3761" s="64" t="s">
        <v>3784</v>
      </c>
      <c r="F3761" s="64" t="s">
        <v>230</v>
      </c>
      <c r="G3761" s="64" t="s">
        <v>3160</v>
      </c>
      <c r="H3761" s="64" t="s">
        <v>1875</v>
      </c>
      <c r="I3761" s="64" t="s">
        <v>3785</v>
      </c>
      <c r="J3761" s="67">
        <v>1563.22</v>
      </c>
      <c r="K3761" s="62">
        <v>16085.26</v>
      </c>
      <c r="L3761" s="33" t="e">
        <f>HLOOKUP(B3761,#REF!,1,0)</f>
        <v>#REF!</v>
      </c>
      <c r="M3761" s="33" t="str">
        <f t="shared" si="235"/>
        <v>P&amp;L</v>
      </c>
    </row>
    <row r="3762" spans="1:13" s="33" customFormat="true" ht="12.75" customHeight="true">
      <c r="A3762" s="33" t="str">
        <f t="shared" si="232"/>
        <v>CRE - CGS</v>
      </c>
      <c r="B3762" s="33" t="str">
        <f t="shared" si="233"/>
        <v>CRE</v>
      </c>
      <c r="C3762" s="33" t="str">
        <f t="shared" si="234"/>
        <v>53003-0000</v>
      </c>
      <c r="D3762" s="64" t="s">
        <v>4697</v>
      </c>
      <c r="E3762" s="64" t="s">
        <v>3787</v>
      </c>
      <c r="F3762" s="64" t="s">
        <v>230</v>
      </c>
      <c r="G3762" s="64" t="s">
        <v>3160</v>
      </c>
      <c r="H3762" s="64" t="s">
        <v>1875</v>
      </c>
      <c r="I3762" s="64" t="s">
        <v>3788</v>
      </c>
      <c r="J3762" s="67">
        <v>0</v>
      </c>
      <c r="K3762" s="62">
        <v>6533.75</v>
      </c>
      <c r="L3762" s="33" t="e">
        <f>HLOOKUP(B3762,#REF!,1,0)</f>
        <v>#REF!</v>
      </c>
      <c r="M3762" s="33" t="str">
        <f t="shared" si="235"/>
        <v>P&amp;L</v>
      </c>
    </row>
    <row r="3763" spans="1:13" s="33" customFormat="true" ht="12.75" customHeight="true">
      <c r="A3763" s="33" t="str">
        <f t="shared" si="232"/>
        <v>CRE - CGS</v>
      </c>
      <c r="B3763" s="33" t="str">
        <f t="shared" si="233"/>
        <v>CRE</v>
      </c>
      <c r="C3763" s="33" t="str">
        <f t="shared" si="234"/>
        <v>53004-0000</v>
      </c>
      <c r="D3763" s="64" t="s">
        <v>4698</v>
      </c>
      <c r="E3763" s="64" t="s">
        <v>3790</v>
      </c>
      <c r="F3763" s="64" t="s">
        <v>230</v>
      </c>
      <c r="G3763" s="64" t="s">
        <v>3160</v>
      </c>
      <c r="H3763" s="64" t="s">
        <v>1875</v>
      </c>
      <c r="I3763" s="64" t="s">
        <v>3791</v>
      </c>
      <c r="J3763" s="67">
        <v>2021.8</v>
      </c>
      <c r="K3763" s="62">
        <v>25062.35</v>
      </c>
      <c r="L3763" s="33" t="e">
        <f>HLOOKUP(B3763,#REF!,1,0)</f>
        <v>#REF!</v>
      </c>
      <c r="M3763" s="33" t="str">
        <f t="shared" si="235"/>
        <v>P&amp;L</v>
      </c>
    </row>
    <row r="3764" spans="1:13" s="33" customFormat="true" ht="12.75" customHeight="true">
      <c r="A3764" s="33" t="str">
        <f t="shared" si="232"/>
        <v>CRE - CGS</v>
      </c>
      <c r="B3764" s="33" t="str">
        <f t="shared" si="233"/>
        <v>CRE</v>
      </c>
      <c r="C3764" s="33" t="str">
        <f t="shared" si="234"/>
        <v>53005-0000</v>
      </c>
      <c r="D3764" s="64" t="s">
        <v>4699</v>
      </c>
      <c r="E3764" s="64" t="s">
        <v>3793</v>
      </c>
      <c r="F3764" s="64" t="s">
        <v>230</v>
      </c>
      <c r="G3764" s="64" t="s">
        <v>3160</v>
      </c>
      <c r="H3764" s="64" t="s">
        <v>1875</v>
      </c>
      <c r="I3764" s="64" t="s">
        <v>3794</v>
      </c>
      <c r="J3764" s="67">
        <v>0</v>
      </c>
      <c r="K3764" s="62">
        <v>33472.83</v>
      </c>
      <c r="L3764" s="33" t="e">
        <f>HLOOKUP(B3764,#REF!,1,0)</f>
        <v>#REF!</v>
      </c>
      <c r="M3764" s="33" t="str">
        <f t="shared" si="235"/>
        <v>P&amp;L</v>
      </c>
    </row>
    <row r="3765" spans="1:13" s="33" customFormat="true" ht="12.75" customHeight="true">
      <c r="A3765" s="33" t="str">
        <f t="shared" si="232"/>
        <v>CRE - CGS</v>
      </c>
      <c r="B3765" s="33" t="str">
        <f t="shared" si="233"/>
        <v>CRE</v>
      </c>
      <c r="C3765" s="33" t="str">
        <f t="shared" si="234"/>
        <v>53006-0000</v>
      </c>
      <c r="D3765" s="64" t="s">
        <v>4700</v>
      </c>
      <c r="E3765" s="64" t="s">
        <v>3796</v>
      </c>
      <c r="F3765" s="64" t="s">
        <v>230</v>
      </c>
      <c r="G3765" s="64" t="s">
        <v>3160</v>
      </c>
      <c r="H3765" s="64" t="s">
        <v>1875</v>
      </c>
      <c r="I3765" s="64" t="s">
        <v>3797</v>
      </c>
      <c r="J3765" s="67">
        <v>0</v>
      </c>
      <c r="K3765" s="62">
        <v>46333.75</v>
      </c>
      <c r="L3765" s="33" t="e">
        <f>HLOOKUP(B3765,#REF!,1,0)</f>
        <v>#REF!</v>
      </c>
      <c r="M3765" s="33" t="str">
        <f t="shared" si="235"/>
        <v>P&amp;L</v>
      </c>
    </row>
    <row r="3766" spans="1:13" s="33" customFormat="true" ht="12.75" customHeight="true">
      <c r="A3766" s="33" t="str">
        <f t="shared" si="232"/>
        <v>CRE - CGS</v>
      </c>
      <c r="B3766" s="33" t="str">
        <f t="shared" si="233"/>
        <v>CRE</v>
      </c>
      <c r="C3766" s="33" t="str">
        <f t="shared" si="234"/>
        <v>54002-0000</v>
      </c>
      <c r="D3766" s="64" t="s">
        <v>4701</v>
      </c>
      <c r="E3766" s="64" t="s">
        <v>3799</v>
      </c>
      <c r="F3766" s="64" t="s">
        <v>230</v>
      </c>
      <c r="G3766" s="64" t="s">
        <v>3800</v>
      </c>
      <c r="H3766" s="64" t="s">
        <v>1875</v>
      </c>
      <c r="I3766" s="64" t="s">
        <v>3801</v>
      </c>
      <c r="J3766" s="67">
        <v>0</v>
      </c>
      <c r="K3766" s="62">
        <v>4062</v>
      </c>
      <c r="L3766" s="33" t="e">
        <f>HLOOKUP(B3766,#REF!,1,0)</f>
        <v>#REF!</v>
      </c>
      <c r="M3766" s="33" t="str">
        <f t="shared" si="235"/>
        <v>P&amp;L</v>
      </c>
    </row>
    <row r="3767" spans="1:13" s="33" customFormat="true" ht="12.75" customHeight="true">
      <c r="A3767" s="33" t="str">
        <f t="shared" si="232"/>
        <v>CRE - CGS</v>
      </c>
      <c r="B3767" s="33" t="str">
        <f t="shared" si="233"/>
        <v>CRE</v>
      </c>
      <c r="C3767" s="33" t="str">
        <f t="shared" si="234"/>
        <v>54003-0000</v>
      </c>
      <c r="D3767" s="64" t="s">
        <v>4702</v>
      </c>
      <c r="E3767" s="64" t="s">
        <v>3803</v>
      </c>
      <c r="F3767" s="64" t="s">
        <v>230</v>
      </c>
      <c r="G3767" s="64" t="s">
        <v>3800</v>
      </c>
      <c r="H3767" s="64" t="s">
        <v>1875</v>
      </c>
      <c r="I3767" s="64" t="s">
        <v>3804</v>
      </c>
      <c r="J3767" s="67">
        <v>0</v>
      </c>
      <c r="K3767" s="62">
        <v>0</v>
      </c>
      <c r="L3767" s="33" t="e">
        <f>HLOOKUP(B3767,#REF!,1,0)</f>
        <v>#REF!</v>
      </c>
      <c r="M3767" s="33" t="str">
        <f t="shared" si="235"/>
        <v>P&amp;L</v>
      </c>
    </row>
    <row r="3768" spans="1:13" s="33" customFormat="true" ht="12.75" customHeight="true">
      <c r="A3768" s="33" t="str">
        <f t="shared" si="232"/>
        <v>CRE - CGS</v>
      </c>
      <c r="B3768" s="33" t="str">
        <f t="shared" si="233"/>
        <v>CRE</v>
      </c>
      <c r="C3768" s="33" t="str">
        <f t="shared" si="234"/>
        <v>54004-0000</v>
      </c>
      <c r="D3768" s="64" t="s">
        <v>4703</v>
      </c>
      <c r="E3768" s="64" t="s">
        <v>3806</v>
      </c>
      <c r="F3768" s="64" t="s">
        <v>230</v>
      </c>
      <c r="G3768" s="64" t="s">
        <v>3800</v>
      </c>
      <c r="H3768" s="64" t="s">
        <v>1875</v>
      </c>
      <c r="I3768" s="64" t="s">
        <v>3807</v>
      </c>
      <c r="J3768" s="67">
        <v>1000</v>
      </c>
      <c r="K3768" s="62">
        <v>10325.31</v>
      </c>
      <c r="L3768" s="33" t="e">
        <f>HLOOKUP(B3768,#REF!,1,0)</f>
        <v>#REF!</v>
      </c>
      <c r="M3768" s="33" t="str">
        <f t="shared" si="235"/>
        <v>P&amp;L</v>
      </c>
    </row>
    <row r="3769" spans="1:13" s="33" customFormat="true" ht="12.75" customHeight="true">
      <c r="A3769" s="33" t="str">
        <f t="shared" si="232"/>
        <v>CRE - CGS</v>
      </c>
      <c r="B3769" s="33" t="str">
        <f t="shared" si="233"/>
        <v>CRE</v>
      </c>
      <c r="C3769" s="33" t="str">
        <f t="shared" si="234"/>
        <v>54005-0000</v>
      </c>
      <c r="D3769" s="64" t="s">
        <v>4704</v>
      </c>
      <c r="E3769" s="64" t="s">
        <v>3809</v>
      </c>
      <c r="F3769" s="64" t="s">
        <v>230</v>
      </c>
      <c r="G3769" s="64" t="s">
        <v>3800</v>
      </c>
      <c r="H3769" s="64" t="s">
        <v>1875</v>
      </c>
      <c r="I3769" s="64" t="s">
        <v>3810</v>
      </c>
      <c r="J3769" s="67">
        <v>11.73</v>
      </c>
      <c r="K3769" s="62">
        <v>178.71</v>
      </c>
      <c r="L3769" s="33" t="e">
        <f>HLOOKUP(B3769,#REF!,1,0)</f>
        <v>#REF!</v>
      </c>
      <c r="M3769" s="33" t="str">
        <f t="shared" si="235"/>
        <v>P&amp;L</v>
      </c>
    </row>
    <row r="3770" spans="1:13" s="33" customFormat="true" ht="12.75" customHeight="true">
      <c r="A3770" s="33" t="str">
        <f t="shared" si="232"/>
        <v>CRE - CGS</v>
      </c>
      <c r="B3770" s="33" t="str">
        <f t="shared" si="233"/>
        <v>CRE</v>
      </c>
      <c r="C3770" s="33" t="str">
        <f t="shared" si="234"/>
        <v>54006-0000</v>
      </c>
      <c r="D3770" s="64" t="s">
        <v>4705</v>
      </c>
      <c r="E3770" s="64" t="s">
        <v>3812</v>
      </c>
      <c r="F3770" s="64" t="s">
        <v>230</v>
      </c>
      <c r="G3770" s="64" t="s">
        <v>3800</v>
      </c>
      <c r="H3770" s="64" t="s">
        <v>1875</v>
      </c>
      <c r="I3770" s="64" t="s">
        <v>3003</v>
      </c>
      <c r="J3770" s="67">
        <v>76.5</v>
      </c>
      <c r="K3770" s="62">
        <v>1372.48</v>
      </c>
      <c r="L3770" s="33" t="e">
        <f>HLOOKUP(B3770,#REF!,1,0)</f>
        <v>#REF!</v>
      </c>
      <c r="M3770" s="33" t="str">
        <f t="shared" si="235"/>
        <v>P&amp;L</v>
      </c>
    </row>
    <row r="3771" spans="1:13" s="33" customFormat="true" ht="12.75" customHeight="true">
      <c r="A3771" s="33" t="str">
        <f t="shared" si="232"/>
        <v>CRE - CGS</v>
      </c>
      <c r="B3771" s="33" t="str">
        <f t="shared" si="233"/>
        <v>CRE</v>
      </c>
      <c r="C3771" s="33" t="str">
        <f t="shared" si="234"/>
        <v>54007-0000</v>
      </c>
      <c r="D3771" s="64" t="s">
        <v>4706</v>
      </c>
      <c r="E3771" s="64" t="s">
        <v>3814</v>
      </c>
      <c r="F3771" s="64" t="s">
        <v>230</v>
      </c>
      <c r="G3771" s="64" t="s">
        <v>3800</v>
      </c>
      <c r="H3771" s="64" t="s">
        <v>1875</v>
      </c>
      <c r="I3771" s="64" t="s">
        <v>3815</v>
      </c>
      <c r="J3771" s="67">
        <v>1738</v>
      </c>
      <c r="K3771" s="62">
        <v>12333.76</v>
      </c>
      <c r="L3771" s="33" t="e">
        <f>HLOOKUP(B3771,#REF!,1,0)</f>
        <v>#REF!</v>
      </c>
      <c r="M3771" s="33" t="str">
        <f t="shared" si="235"/>
        <v>P&amp;L</v>
      </c>
    </row>
    <row r="3772" spans="1:13" s="33" customFormat="true" ht="12.75" customHeight="true">
      <c r="A3772" s="33" t="str">
        <f t="shared" si="232"/>
        <v>CRE - CGS</v>
      </c>
      <c r="B3772" s="33" t="str">
        <f t="shared" si="233"/>
        <v>CRE</v>
      </c>
      <c r="C3772" s="33" t="str">
        <f t="shared" si="234"/>
        <v>54008-0000</v>
      </c>
      <c r="D3772" s="64" t="s">
        <v>4707</v>
      </c>
      <c r="E3772" s="64" t="s">
        <v>4017</v>
      </c>
      <c r="F3772" s="64" t="s">
        <v>230</v>
      </c>
      <c r="G3772" s="64" t="s">
        <v>3800</v>
      </c>
      <c r="H3772" s="64" t="s">
        <v>1875</v>
      </c>
      <c r="I3772" s="64" t="s">
        <v>4018</v>
      </c>
      <c r="J3772" s="67">
        <v>30</v>
      </c>
      <c r="K3772" s="62">
        <v>-30</v>
      </c>
      <c r="L3772" s="33" t="e">
        <f>HLOOKUP(B3772,#REF!,1,0)</f>
        <v>#REF!</v>
      </c>
      <c r="M3772" s="33" t="str">
        <f t="shared" si="235"/>
        <v>P&amp;L</v>
      </c>
    </row>
    <row r="3773" spans="1:13" s="33" customFormat="true" ht="12.75" customHeight="true">
      <c r="A3773" s="33" t="str">
        <f t="shared" si="232"/>
        <v>CRE - PM Expenses</v>
      </c>
      <c r="B3773" s="33" t="str">
        <f t="shared" si="233"/>
        <v>CRE</v>
      </c>
      <c r="C3773" s="33" t="str">
        <f t="shared" si="234"/>
        <v>55501-0000</v>
      </c>
      <c r="D3773" s="64" t="s">
        <v>4708</v>
      </c>
      <c r="E3773" s="64" t="s">
        <v>3817</v>
      </c>
      <c r="F3773" s="64" t="s">
        <v>230</v>
      </c>
      <c r="G3773" s="64" t="s">
        <v>3818</v>
      </c>
      <c r="H3773" s="64" t="s">
        <v>3819</v>
      </c>
      <c r="I3773" s="64" t="s">
        <v>3820</v>
      </c>
      <c r="J3773" s="67">
        <v>300</v>
      </c>
      <c r="K3773" s="62">
        <v>1770</v>
      </c>
      <c r="L3773" s="33" t="e">
        <f>HLOOKUP(B3773,#REF!,1,0)</f>
        <v>#REF!</v>
      </c>
      <c r="M3773" s="33" t="str">
        <f t="shared" si="235"/>
        <v>P&amp;L</v>
      </c>
    </row>
    <row r="3774" spans="1:13" s="33" customFormat="true" ht="12.75" customHeight="true">
      <c r="A3774" s="33" t="str">
        <f t="shared" si="232"/>
        <v>CRE - PM Expenses</v>
      </c>
      <c r="B3774" s="33" t="str">
        <f t="shared" si="233"/>
        <v>CRE</v>
      </c>
      <c r="C3774" s="33" t="str">
        <f t="shared" si="234"/>
        <v>55502-0000</v>
      </c>
      <c r="D3774" s="64" t="s">
        <v>4709</v>
      </c>
      <c r="E3774" s="64" t="s">
        <v>3822</v>
      </c>
      <c r="F3774" s="64" t="s">
        <v>230</v>
      </c>
      <c r="G3774" s="64" t="s">
        <v>3818</v>
      </c>
      <c r="H3774" s="64" t="s">
        <v>3819</v>
      </c>
      <c r="I3774" s="64" t="s">
        <v>3823</v>
      </c>
      <c r="J3774" s="67">
        <v>58</v>
      </c>
      <c r="K3774" s="62">
        <v>2296.3</v>
      </c>
      <c r="L3774" s="33" t="e">
        <f>HLOOKUP(B3774,#REF!,1,0)</f>
        <v>#REF!</v>
      </c>
      <c r="M3774" s="33" t="str">
        <f t="shared" si="235"/>
        <v>P&amp;L</v>
      </c>
    </row>
    <row r="3775" spans="1:13" s="33" customFormat="true" ht="12.75" customHeight="true">
      <c r="A3775" s="33" t="str">
        <f t="shared" si="232"/>
        <v>CRE - PM Expenses</v>
      </c>
      <c r="B3775" s="33" t="str">
        <f t="shared" si="233"/>
        <v>CRE</v>
      </c>
      <c r="C3775" s="33" t="str">
        <f t="shared" si="234"/>
        <v>55503-0000</v>
      </c>
      <c r="D3775" s="64" t="s">
        <v>4710</v>
      </c>
      <c r="E3775" s="64" t="s">
        <v>3825</v>
      </c>
      <c r="F3775" s="64" t="s">
        <v>230</v>
      </c>
      <c r="G3775" s="64" t="s">
        <v>3818</v>
      </c>
      <c r="H3775" s="64" t="s">
        <v>3819</v>
      </c>
      <c r="I3775" s="64" t="s">
        <v>3826</v>
      </c>
      <c r="J3775" s="67">
        <v>1383.67</v>
      </c>
      <c r="K3775" s="62">
        <v>15002.95</v>
      </c>
      <c r="L3775" s="33" t="e">
        <f>HLOOKUP(B3775,#REF!,1,0)</f>
        <v>#REF!</v>
      </c>
      <c r="M3775" s="33" t="str">
        <f t="shared" si="235"/>
        <v>P&amp;L</v>
      </c>
    </row>
    <row r="3776" spans="1:13" s="33" customFormat="true" ht="12.75" customHeight="true">
      <c r="A3776" s="33" t="str">
        <f t="shared" si="232"/>
        <v>CRE - PM Expenses</v>
      </c>
      <c r="B3776" s="33" t="str">
        <f t="shared" si="233"/>
        <v>CRE</v>
      </c>
      <c r="C3776" s="33" t="str">
        <f t="shared" si="234"/>
        <v>55504-0000</v>
      </c>
      <c r="D3776" s="64" t="s">
        <v>4711</v>
      </c>
      <c r="E3776" s="64" t="s">
        <v>4027</v>
      </c>
      <c r="F3776" s="64" t="s">
        <v>230</v>
      </c>
      <c r="G3776" s="64" t="s">
        <v>3818</v>
      </c>
      <c r="H3776" s="64" t="s">
        <v>3819</v>
      </c>
      <c r="I3776" s="64" t="s">
        <v>4028</v>
      </c>
      <c r="J3776" s="67">
        <v>283.34</v>
      </c>
      <c r="K3776" s="62">
        <v>7692.34</v>
      </c>
      <c r="L3776" s="33" t="e">
        <f>HLOOKUP(B3776,#REF!,1,0)</f>
        <v>#REF!</v>
      </c>
      <c r="M3776" s="33" t="str">
        <f t="shared" si="235"/>
        <v>P&amp;L</v>
      </c>
    </row>
    <row r="3777" spans="1:13" s="33" customFormat="true" ht="12.75" customHeight="true">
      <c r="A3777" s="33" t="str">
        <f t="shared" si="232"/>
        <v>CRE - PM Expenses</v>
      </c>
      <c r="B3777" s="33" t="str">
        <f t="shared" si="233"/>
        <v>CRE</v>
      </c>
      <c r="C3777" s="33" t="str">
        <f t="shared" si="234"/>
        <v>55505-0000</v>
      </c>
      <c r="D3777" s="64" t="s">
        <v>4712</v>
      </c>
      <c r="E3777" s="64" t="s">
        <v>3828</v>
      </c>
      <c r="F3777" s="64" t="s">
        <v>230</v>
      </c>
      <c r="G3777" s="64" t="s">
        <v>3818</v>
      </c>
      <c r="H3777" s="64" t="s">
        <v>3819</v>
      </c>
      <c r="I3777" s="64" t="s">
        <v>3829</v>
      </c>
      <c r="J3777" s="67">
        <v>-5728.33</v>
      </c>
      <c r="K3777" s="62">
        <v>11633.63</v>
      </c>
      <c r="L3777" s="33" t="e">
        <f>HLOOKUP(B3777,#REF!,1,0)</f>
        <v>#REF!</v>
      </c>
      <c r="M3777" s="33" t="str">
        <f t="shared" si="235"/>
        <v>P&amp;L</v>
      </c>
    </row>
    <row r="3778" spans="1:13" s="33" customFormat="true" ht="12.75" customHeight="true">
      <c r="A3778" s="33" t="str">
        <f t="shared" ref="A3778:A3841" si="236">B3778&amp;" - "&amp;TRIM(H3778)</f>
        <v>CRE - PM Expenses</v>
      </c>
      <c r="B3778" s="33" t="str">
        <f t="shared" ref="B3778:B3841" si="237">LEFT(D3778,3)</f>
        <v>CRE</v>
      </c>
      <c r="C3778" s="33" t="str">
        <f t="shared" ref="C3778:C3841" si="238">RIGHT(D3778,10)</f>
        <v>55506-0000</v>
      </c>
      <c r="D3778" s="64" t="s">
        <v>4713</v>
      </c>
      <c r="E3778" s="64" t="s">
        <v>3831</v>
      </c>
      <c r="F3778" s="64" t="s">
        <v>230</v>
      </c>
      <c r="G3778" s="64" t="s">
        <v>3818</v>
      </c>
      <c r="H3778" s="64" t="s">
        <v>3819</v>
      </c>
      <c r="I3778" s="64" t="s">
        <v>3832</v>
      </c>
      <c r="J3778" s="67">
        <v>7646.48</v>
      </c>
      <c r="K3778" s="62">
        <v>87252.68</v>
      </c>
      <c r="L3778" s="33" t="e">
        <f>HLOOKUP(B3778,#REF!,1,0)</f>
        <v>#REF!</v>
      </c>
      <c r="M3778" s="33" t="str">
        <f t="shared" ref="M3778:M3841" si="239">IF(VALUE(LEFT(C3778,5))&gt;40000,"P&amp;L","BS")</f>
        <v>P&amp;L</v>
      </c>
    </row>
    <row r="3779" spans="1:13" s="33" customFormat="true" ht="12.75" customHeight="true">
      <c r="A3779" s="33" t="str">
        <f t="shared" si="236"/>
        <v>CRE - PM Expenses</v>
      </c>
      <c r="B3779" s="33" t="str">
        <f t="shared" si="237"/>
        <v>CRE</v>
      </c>
      <c r="C3779" s="33" t="str">
        <f t="shared" si="238"/>
        <v>55507-0000</v>
      </c>
      <c r="D3779" s="64" t="s">
        <v>4714</v>
      </c>
      <c r="E3779" s="64" t="s">
        <v>3834</v>
      </c>
      <c r="F3779" s="64" t="s">
        <v>230</v>
      </c>
      <c r="G3779" s="64" t="s">
        <v>3818</v>
      </c>
      <c r="H3779" s="64" t="s">
        <v>3819</v>
      </c>
      <c r="I3779" s="64" t="s">
        <v>3835</v>
      </c>
      <c r="J3779" s="67">
        <v>0</v>
      </c>
      <c r="K3779" s="62">
        <v>1071.56</v>
      </c>
      <c r="L3779" s="33" t="e">
        <f>HLOOKUP(B3779,#REF!,1,0)</f>
        <v>#REF!</v>
      </c>
      <c r="M3779" s="33" t="str">
        <f t="shared" si="239"/>
        <v>P&amp;L</v>
      </c>
    </row>
    <row r="3780" spans="1:13" s="33" customFormat="true" ht="12.75" customHeight="true">
      <c r="A3780" s="33" t="str">
        <f t="shared" si="236"/>
        <v>CRE - PM Expenses</v>
      </c>
      <c r="B3780" s="33" t="str">
        <f t="shared" si="237"/>
        <v>CRE</v>
      </c>
      <c r="C3780" s="33" t="str">
        <f t="shared" si="238"/>
        <v>55508-0000</v>
      </c>
      <c r="D3780" s="64" t="s">
        <v>4715</v>
      </c>
      <c r="E3780" s="64" t="s">
        <v>4351</v>
      </c>
      <c r="F3780" s="64" t="s">
        <v>230</v>
      </c>
      <c r="G3780" s="64" t="s">
        <v>3818</v>
      </c>
      <c r="H3780" s="64" t="s">
        <v>3819</v>
      </c>
      <c r="I3780" s="64" t="s">
        <v>4352</v>
      </c>
      <c r="J3780" s="67">
        <v>0</v>
      </c>
      <c r="K3780" s="62">
        <v>646.83</v>
      </c>
      <c r="L3780" s="33" t="e">
        <f>HLOOKUP(B3780,#REF!,1,0)</f>
        <v>#REF!</v>
      </c>
      <c r="M3780" s="33" t="str">
        <f t="shared" si="239"/>
        <v>P&amp;L</v>
      </c>
    </row>
    <row r="3781" spans="1:13" s="33" customFormat="true" ht="12.75" customHeight="true">
      <c r="A3781" s="33" t="str">
        <f t="shared" si="236"/>
        <v>CRE - CGS</v>
      </c>
      <c r="B3781" s="33" t="str">
        <f t="shared" si="237"/>
        <v>CRE</v>
      </c>
      <c r="C3781" s="33" t="str">
        <f t="shared" si="238"/>
        <v>60001-0000</v>
      </c>
      <c r="D3781" s="64" t="s">
        <v>4716</v>
      </c>
      <c r="E3781" s="64" t="s">
        <v>4192</v>
      </c>
      <c r="F3781" s="64" t="s">
        <v>230</v>
      </c>
      <c r="G3781" s="64" t="s">
        <v>3838</v>
      </c>
      <c r="H3781" s="64" t="s">
        <v>1875</v>
      </c>
      <c r="I3781" s="64" t="s">
        <v>4193</v>
      </c>
      <c r="J3781" s="67">
        <v>0</v>
      </c>
      <c r="K3781" s="62">
        <v>6081.33</v>
      </c>
      <c r="L3781" s="33" t="e">
        <f>HLOOKUP(B3781,#REF!,1,0)</f>
        <v>#REF!</v>
      </c>
      <c r="M3781" s="33" t="str">
        <f t="shared" si="239"/>
        <v>P&amp;L</v>
      </c>
    </row>
    <row r="3782" spans="1:13" s="33" customFormat="true" ht="12.75" customHeight="true">
      <c r="A3782" s="33" t="str">
        <f t="shared" si="236"/>
        <v>CRE - CGS</v>
      </c>
      <c r="B3782" s="33" t="str">
        <f t="shared" si="237"/>
        <v>CRE</v>
      </c>
      <c r="C3782" s="33" t="str">
        <f t="shared" si="238"/>
        <v>60002-0000</v>
      </c>
      <c r="D3782" s="64" t="s">
        <v>4717</v>
      </c>
      <c r="E3782" s="64" t="s">
        <v>3837</v>
      </c>
      <c r="F3782" s="64" t="s">
        <v>230</v>
      </c>
      <c r="G3782" s="64" t="s">
        <v>3838</v>
      </c>
      <c r="H3782" s="64" t="s">
        <v>1875</v>
      </c>
      <c r="I3782" s="64" t="s">
        <v>3839</v>
      </c>
      <c r="J3782" s="67">
        <v>95.93</v>
      </c>
      <c r="K3782" s="62">
        <v>905.79</v>
      </c>
      <c r="L3782" s="33" t="e">
        <f>HLOOKUP(B3782,#REF!,1,0)</f>
        <v>#REF!</v>
      </c>
      <c r="M3782" s="33" t="str">
        <f t="shared" si="239"/>
        <v>P&amp;L</v>
      </c>
    </row>
    <row r="3783" spans="1:13" s="33" customFormat="true" ht="12.75" customHeight="true">
      <c r="A3783" s="33" t="str">
        <f t="shared" si="236"/>
        <v>CRE - CGS</v>
      </c>
      <c r="B3783" s="33" t="str">
        <f t="shared" si="237"/>
        <v>CRE</v>
      </c>
      <c r="C3783" s="33" t="str">
        <f t="shared" si="238"/>
        <v>60005-0000</v>
      </c>
      <c r="D3783" s="64" t="s">
        <v>4718</v>
      </c>
      <c r="E3783" s="64" t="s">
        <v>3841</v>
      </c>
      <c r="F3783" s="64" t="s">
        <v>230</v>
      </c>
      <c r="G3783" s="64" t="s">
        <v>3838</v>
      </c>
      <c r="H3783" s="64" t="s">
        <v>1875</v>
      </c>
      <c r="I3783" s="64" t="s">
        <v>3842</v>
      </c>
      <c r="J3783" s="67">
        <v>0</v>
      </c>
      <c r="K3783" s="62">
        <v>54194.95</v>
      </c>
      <c r="L3783" s="33" t="e">
        <f>HLOOKUP(B3783,#REF!,1,0)</f>
        <v>#REF!</v>
      </c>
      <c r="M3783" s="33" t="str">
        <f t="shared" si="239"/>
        <v>P&amp;L</v>
      </c>
    </row>
    <row r="3784" spans="1:13" s="33" customFormat="true" ht="12.75" customHeight="true">
      <c r="A3784" s="33" t="str">
        <f t="shared" si="236"/>
        <v>CRE - Interest Expense</v>
      </c>
      <c r="B3784" s="33" t="str">
        <f t="shared" si="237"/>
        <v>CRE</v>
      </c>
      <c r="C3784" s="33" t="str">
        <f t="shared" si="238"/>
        <v>60006-0000</v>
      </c>
      <c r="D3784" s="64" t="s">
        <v>4719</v>
      </c>
      <c r="E3784" s="64" t="s">
        <v>3325</v>
      </c>
      <c r="F3784" s="64" t="s">
        <v>230</v>
      </c>
      <c r="G3784" s="64" t="s">
        <v>3844</v>
      </c>
      <c r="H3784" s="64" t="s">
        <v>3327</v>
      </c>
      <c r="I3784" s="64" t="s">
        <v>3328</v>
      </c>
      <c r="J3784" s="67">
        <v>26875.14</v>
      </c>
      <c r="K3784" s="62">
        <v>272357.67</v>
      </c>
      <c r="L3784" s="33" t="e">
        <f>HLOOKUP(B3784,#REF!,1,0)</f>
        <v>#REF!</v>
      </c>
      <c r="M3784" s="33" t="str">
        <f t="shared" si="239"/>
        <v>P&amp;L</v>
      </c>
    </row>
    <row r="3785" spans="1:13" s="33" customFormat="true" ht="12.75" customHeight="true">
      <c r="A3785" s="33" t="str">
        <f t="shared" si="236"/>
        <v>CRE - CGS</v>
      </c>
      <c r="B3785" s="33" t="str">
        <f t="shared" si="237"/>
        <v>CRE</v>
      </c>
      <c r="C3785" s="33" t="str">
        <f t="shared" si="238"/>
        <v>60007-0000</v>
      </c>
      <c r="D3785" s="64" t="s">
        <v>4720</v>
      </c>
      <c r="E3785" s="64" t="s">
        <v>3846</v>
      </c>
      <c r="F3785" s="64" t="s">
        <v>230</v>
      </c>
      <c r="G3785" s="64" t="s">
        <v>3838</v>
      </c>
      <c r="H3785" s="64" t="s">
        <v>1875</v>
      </c>
      <c r="I3785" s="64" t="s">
        <v>3847</v>
      </c>
      <c r="J3785" s="67">
        <v>0</v>
      </c>
      <c r="K3785" s="62">
        <v>42568</v>
      </c>
      <c r="L3785" s="33" t="e">
        <f>HLOOKUP(B3785,#REF!,1,0)</f>
        <v>#REF!</v>
      </c>
      <c r="M3785" s="33" t="str">
        <f t="shared" si="239"/>
        <v>P&amp;L</v>
      </c>
    </row>
    <row r="3786" spans="1:13" s="33" customFormat="true" ht="12.75" customHeight="true">
      <c r="A3786" s="33" t="str">
        <f t="shared" si="236"/>
        <v>CRE - CGS</v>
      </c>
      <c r="B3786" s="33" t="str">
        <f t="shared" si="237"/>
        <v>CRE</v>
      </c>
      <c r="C3786" s="33" t="str">
        <f t="shared" si="238"/>
        <v>60008-0000</v>
      </c>
      <c r="D3786" s="64" t="s">
        <v>4721</v>
      </c>
      <c r="E3786" s="64" t="s">
        <v>3849</v>
      </c>
      <c r="F3786" s="64" t="s">
        <v>230</v>
      </c>
      <c r="G3786" s="64" t="s">
        <v>3838</v>
      </c>
      <c r="H3786" s="64" t="s">
        <v>1875</v>
      </c>
      <c r="I3786" s="64" t="s">
        <v>3850</v>
      </c>
      <c r="J3786" s="67">
        <v>0</v>
      </c>
      <c r="K3786" s="62">
        <v>8527.5</v>
      </c>
      <c r="L3786" s="33" t="e">
        <f>HLOOKUP(B3786,#REF!,1,0)</f>
        <v>#REF!</v>
      </c>
      <c r="M3786" s="33" t="str">
        <f t="shared" si="239"/>
        <v>P&amp;L</v>
      </c>
    </row>
    <row r="3787" spans="1:13" s="33" customFormat="true" ht="12.75" customHeight="true">
      <c r="A3787" s="33" t="str">
        <f t="shared" si="236"/>
        <v>CRE - CGS</v>
      </c>
      <c r="B3787" s="33" t="str">
        <f t="shared" si="237"/>
        <v>CRE</v>
      </c>
      <c r="C3787" s="33" t="str">
        <f t="shared" si="238"/>
        <v>60011-0000</v>
      </c>
      <c r="D3787" s="64" t="s">
        <v>4722</v>
      </c>
      <c r="E3787" s="64" t="s">
        <v>4199</v>
      </c>
      <c r="F3787" s="64" t="s">
        <v>230</v>
      </c>
      <c r="G3787" s="64" t="s">
        <v>3838</v>
      </c>
      <c r="H3787" s="64" t="s">
        <v>1875</v>
      </c>
      <c r="I3787" s="64" t="s">
        <v>4200</v>
      </c>
      <c r="J3787" s="67">
        <v>0</v>
      </c>
      <c r="K3787" s="62">
        <v>1221.76</v>
      </c>
      <c r="L3787" s="33" t="e">
        <f>HLOOKUP(B3787,#REF!,1,0)</f>
        <v>#REF!</v>
      </c>
      <c r="M3787" s="33" t="str">
        <f t="shared" si="239"/>
        <v>P&amp;L</v>
      </c>
    </row>
    <row r="3788" spans="1:13" s="33" customFormat="true" ht="12.75" customHeight="true">
      <c r="A3788" s="33" t="str">
        <f t="shared" si="236"/>
        <v>CRE - CGS</v>
      </c>
      <c r="B3788" s="33" t="str">
        <f t="shared" si="237"/>
        <v>CRE</v>
      </c>
      <c r="C3788" s="33" t="str">
        <f t="shared" si="238"/>
        <v>60012-0000</v>
      </c>
      <c r="D3788" s="64" t="s">
        <v>4723</v>
      </c>
      <c r="E3788" s="64" t="s">
        <v>3852</v>
      </c>
      <c r="F3788" s="64" t="s">
        <v>230</v>
      </c>
      <c r="G3788" s="64" t="s">
        <v>3838</v>
      </c>
      <c r="H3788" s="64" t="s">
        <v>1875</v>
      </c>
      <c r="I3788" s="64" t="s">
        <v>3853</v>
      </c>
      <c r="J3788" s="67">
        <v>0</v>
      </c>
      <c r="K3788" s="62">
        <v>51655.71</v>
      </c>
      <c r="L3788" s="33" t="e">
        <f>HLOOKUP(B3788,#REF!,1,0)</f>
        <v>#REF!</v>
      </c>
      <c r="M3788" s="33" t="str">
        <f t="shared" si="239"/>
        <v>P&amp;L</v>
      </c>
    </row>
    <row r="3789" spans="1:13" s="33" customFormat="true" ht="12.75" customHeight="true">
      <c r="A3789" s="33" t="str">
        <f t="shared" si="236"/>
        <v>CRE - CGS</v>
      </c>
      <c r="B3789" s="33" t="str">
        <f t="shared" si="237"/>
        <v>CRE</v>
      </c>
      <c r="C3789" s="33" t="str">
        <f t="shared" si="238"/>
        <v>60014-0000</v>
      </c>
      <c r="D3789" s="64" t="s">
        <v>4724</v>
      </c>
      <c r="E3789" s="64" t="s">
        <v>3855</v>
      </c>
      <c r="F3789" s="64" t="s">
        <v>230</v>
      </c>
      <c r="G3789" s="64" t="s">
        <v>3838</v>
      </c>
      <c r="H3789" s="64" t="s">
        <v>1875</v>
      </c>
      <c r="I3789" s="64" t="s">
        <v>3856</v>
      </c>
      <c r="J3789" s="67">
        <v>2307.65</v>
      </c>
      <c r="K3789" s="62">
        <v>31448.56</v>
      </c>
      <c r="L3789" s="33" t="e">
        <f>HLOOKUP(B3789,#REF!,1,0)</f>
        <v>#REF!</v>
      </c>
      <c r="M3789" s="33" t="str">
        <f t="shared" si="239"/>
        <v>P&amp;L</v>
      </c>
    </row>
    <row r="3790" spans="1:13" s="33" customFormat="true" ht="12.75" customHeight="true">
      <c r="A3790" s="33" t="str">
        <f t="shared" si="236"/>
        <v>CRE - CGS</v>
      </c>
      <c r="B3790" s="33" t="str">
        <f t="shared" si="237"/>
        <v>CRE</v>
      </c>
      <c r="C3790" s="33" t="str">
        <f t="shared" si="238"/>
        <v>60015-0000</v>
      </c>
      <c r="D3790" s="64" t="s">
        <v>4725</v>
      </c>
      <c r="E3790" s="64" t="s">
        <v>3858</v>
      </c>
      <c r="F3790" s="64" t="s">
        <v>230</v>
      </c>
      <c r="G3790" s="64" t="s">
        <v>3838</v>
      </c>
      <c r="H3790" s="64" t="s">
        <v>1875</v>
      </c>
      <c r="I3790" s="64" t="s">
        <v>3859</v>
      </c>
      <c r="J3790" s="67">
        <v>0</v>
      </c>
      <c r="K3790" s="62">
        <v>80.71</v>
      </c>
      <c r="L3790" s="33" t="e">
        <f>HLOOKUP(B3790,#REF!,1,0)</f>
        <v>#REF!</v>
      </c>
      <c r="M3790" s="33" t="str">
        <f t="shared" si="239"/>
        <v>P&amp;L</v>
      </c>
    </row>
    <row r="3791" spans="1:13" s="33" customFormat="true" ht="12.75" customHeight="true">
      <c r="A3791" s="33" t="str">
        <f t="shared" si="236"/>
        <v>CRE - CGS</v>
      </c>
      <c r="B3791" s="33" t="str">
        <f t="shared" si="237"/>
        <v>CRE</v>
      </c>
      <c r="C3791" s="33" t="str">
        <f t="shared" si="238"/>
        <v>61016-0000</v>
      </c>
      <c r="D3791" s="64" t="s">
        <v>4726</v>
      </c>
      <c r="E3791" s="64" t="s">
        <v>3861</v>
      </c>
      <c r="F3791" s="64" t="s">
        <v>230</v>
      </c>
      <c r="G3791" s="64" t="s">
        <v>3838</v>
      </c>
      <c r="H3791" s="64" t="s">
        <v>1875</v>
      </c>
      <c r="I3791" s="64" t="s">
        <v>3862</v>
      </c>
      <c r="J3791" s="67">
        <v>0</v>
      </c>
      <c r="K3791" s="62">
        <v>0</v>
      </c>
      <c r="L3791" s="33" t="e">
        <f>HLOOKUP(B3791,#REF!,1,0)</f>
        <v>#REF!</v>
      </c>
      <c r="M3791" s="33" t="str">
        <f t="shared" si="239"/>
        <v>P&amp;L</v>
      </c>
    </row>
    <row r="3792" spans="1:13" s="33" customFormat="true" ht="12.75" customHeight="true">
      <c r="A3792" s="33" t="str">
        <f t="shared" si="236"/>
        <v>CRE - CGS</v>
      </c>
      <c r="B3792" s="33" t="str">
        <f t="shared" si="237"/>
        <v>CRE</v>
      </c>
      <c r="C3792" s="33" t="str">
        <f t="shared" si="238"/>
        <v>61018-0000</v>
      </c>
      <c r="D3792" s="64" t="s">
        <v>4727</v>
      </c>
      <c r="E3792" s="64" t="s">
        <v>3864</v>
      </c>
      <c r="F3792" s="64" t="s">
        <v>230</v>
      </c>
      <c r="G3792" s="64" t="s">
        <v>3838</v>
      </c>
      <c r="H3792" s="64" t="s">
        <v>1875</v>
      </c>
      <c r="I3792" s="64" t="s">
        <v>3866</v>
      </c>
      <c r="J3792" s="67">
        <v>0</v>
      </c>
      <c r="K3792" s="62">
        <v>-228.78</v>
      </c>
      <c r="L3792" s="33" t="e">
        <f>HLOOKUP(B3792,#REF!,1,0)</f>
        <v>#REF!</v>
      </c>
      <c r="M3792" s="33" t="str">
        <f t="shared" si="239"/>
        <v>P&amp;L</v>
      </c>
    </row>
    <row r="3793" spans="1:13" s="33" customFormat="true" ht="12.75" customHeight="true">
      <c r="A3793" s="33" t="str">
        <f t="shared" si="236"/>
        <v>CRE - Income Tax</v>
      </c>
      <c r="B3793" s="33" t="str">
        <f t="shared" si="237"/>
        <v>CRE</v>
      </c>
      <c r="C3793" s="33" t="str">
        <f t="shared" si="238"/>
        <v>61019-0000</v>
      </c>
      <c r="D3793" s="64" t="s">
        <v>4728</v>
      </c>
      <c r="E3793" s="64" t="s">
        <v>4041</v>
      </c>
      <c r="F3793" s="64" t="s">
        <v>230</v>
      </c>
      <c r="G3793" s="64" t="s">
        <v>3844</v>
      </c>
      <c r="H3793" s="64" t="s">
        <v>3378</v>
      </c>
      <c r="I3793" s="64" t="s">
        <v>4042</v>
      </c>
      <c r="J3793" s="67">
        <v>0</v>
      </c>
      <c r="K3793" s="62">
        <v>6800</v>
      </c>
      <c r="L3793" s="33" t="e">
        <f>HLOOKUP(B3793,#REF!,1,0)</f>
        <v>#REF!</v>
      </c>
      <c r="M3793" s="33" t="str">
        <f t="shared" si="239"/>
        <v>P&amp;L</v>
      </c>
    </row>
    <row r="3794" spans="1:13" s="33" customFormat="true" ht="12.75" customHeight="true">
      <c r="A3794" s="33" t="str">
        <f t="shared" si="236"/>
        <v>CST - AP-Accr Exp</v>
      </c>
      <c r="B3794" s="33" t="str">
        <f t="shared" si="237"/>
        <v>CST</v>
      </c>
      <c r="C3794" s="33" t="str">
        <f t="shared" si="238"/>
        <v>20100-0000</v>
      </c>
      <c r="D3794" s="64" t="s">
        <v>4729</v>
      </c>
      <c r="E3794" s="64" t="s">
        <v>96</v>
      </c>
      <c r="F3794" s="64" t="s">
        <v>679</v>
      </c>
      <c r="G3794" s="64" t="s">
        <v>97</v>
      </c>
      <c r="H3794" s="64" t="s">
        <v>98</v>
      </c>
      <c r="I3794" s="64" t="s">
        <v>99</v>
      </c>
      <c r="J3794" s="67">
        <v>-8428.14</v>
      </c>
      <c r="K3794" s="62">
        <v>-8028.14</v>
      </c>
      <c r="L3794" s="33" t="e">
        <f>HLOOKUP(B3794,#REF!,1,0)</f>
        <v>#REF!</v>
      </c>
      <c r="M3794" s="33" t="str">
        <f t="shared" si="239"/>
        <v>BS</v>
      </c>
    </row>
    <row r="3795" spans="1:13" s="33" customFormat="true" ht="12.75" customHeight="true">
      <c r="A3795" s="33" t="str">
        <f t="shared" si="236"/>
        <v>CST - Revenue</v>
      </c>
      <c r="B3795" s="33" t="str">
        <f t="shared" si="237"/>
        <v>CST</v>
      </c>
      <c r="C3795" s="33" t="str">
        <f t="shared" si="238"/>
        <v>40300-0000</v>
      </c>
      <c r="D3795" s="64" t="s">
        <v>4730</v>
      </c>
      <c r="E3795" s="64" t="s">
        <v>4731</v>
      </c>
      <c r="F3795" s="64" t="s">
        <v>679</v>
      </c>
      <c r="G3795" s="64" t="s">
        <v>4447</v>
      </c>
      <c r="H3795" s="64" t="s">
        <v>2871</v>
      </c>
      <c r="I3795" s="64" t="s">
        <v>4732</v>
      </c>
      <c r="J3795" s="67">
        <v>-58238.54</v>
      </c>
      <c r="K3795" s="62">
        <v>-1263185.56</v>
      </c>
      <c r="L3795" s="33" t="e">
        <f>HLOOKUP(B3795,#REF!,1,0)</f>
        <v>#REF!</v>
      </c>
      <c r="M3795" s="33" t="str">
        <f t="shared" si="239"/>
        <v>P&amp;L</v>
      </c>
    </row>
    <row r="3796" spans="1:13" s="33" customFormat="true" ht="12.75" customHeight="true">
      <c r="A3796" s="33" t="str">
        <f t="shared" si="236"/>
        <v>CST - Operating Expense</v>
      </c>
      <c r="B3796" s="33" t="str">
        <f t="shared" si="237"/>
        <v>CST</v>
      </c>
      <c r="C3796" s="33" t="str">
        <f t="shared" si="238"/>
        <v>51400-0000</v>
      </c>
      <c r="D3796" s="64" t="s">
        <v>4733</v>
      </c>
      <c r="E3796" s="64" t="s">
        <v>4734</v>
      </c>
      <c r="F3796" s="64" t="s">
        <v>679</v>
      </c>
      <c r="G3796" s="64" t="s">
        <v>4426</v>
      </c>
      <c r="H3796" s="64" t="s">
        <v>3022</v>
      </c>
      <c r="I3796" s="64" t="s">
        <v>4735</v>
      </c>
      <c r="J3796" s="67">
        <v>0</v>
      </c>
      <c r="K3796" s="62">
        <v>869.81</v>
      </c>
      <c r="L3796" s="33" t="e">
        <f>HLOOKUP(B3796,#REF!,1,0)</f>
        <v>#REF!</v>
      </c>
      <c r="M3796" s="33" t="str">
        <f t="shared" si="239"/>
        <v>P&amp;L</v>
      </c>
    </row>
    <row r="3797" spans="1:13" s="33" customFormat="true" ht="12.75" customHeight="true">
      <c r="A3797" s="33" t="str">
        <f t="shared" si="236"/>
        <v>CST - Operating Expense</v>
      </c>
      <c r="B3797" s="33" t="str">
        <f t="shared" si="237"/>
        <v>CST</v>
      </c>
      <c r="C3797" s="33" t="str">
        <f t="shared" si="238"/>
        <v>52001-0000</v>
      </c>
      <c r="D3797" s="64" t="s">
        <v>4736</v>
      </c>
      <c r="E3797" s="64" t="s">
        <v>4737</v>
      </c>
      <c r="F3797" s="64" t="s">
        <v>679</v>
      </c>
      <c r="G3797" s="64" t="s">
        <v>4426</v>
      </c>
      <c r="H3797" s="64" t="s">
        <v>3022</v>
      </c>
      <c r="I3797" s="64" t="s">
        <v>4738</v>
      </c>
      <c r="J3797" s="67">
        <v>73349.17</v>
      </c>
      <c r="K3797" s="62">
        <v>992070.25</v>
      </c>
      <c r="L3797" s="33" t="e">
        <f>HLOOKUP(B3797,#REF!,1,0)</f>
        <v>#REF!</v>
      </c>
      <c r="M3797" s="33" t="str">
        <f t="shared" si="239"/>
        <v>P&amp;L</v>
      </c>
    </row>
    <row r="3798" spans="1:13" s="33" customFormat="true" ht="12.75" customHeight="true">
      <c r="A3798" s="33" t="str">
        <f t="shared" si="236"/>
        <v>CST - CGS</v>
      </c>
      <c r="B3798" s="33" t="str">
        <f t="shared" si="237"/>
        <v>CST</v>
      </c>
      <c r="C3798" s="33" t="str">
        <f t="shared" si="238"/>
        <v>55400-0000</v>
      </c>
      <c r="D3798" s="64" t="s">
        <v>4739</v>
      </c>
      <c r="E3798" s="64" t="s">
        <v>4740</v>
      </c>
      <c r="F3798" s="64" t="s">
        <v>4741</v>
      </c>
      <c r="G3798" s="64" t="s">
        <v>4426</v>
      </c>
      <c r="H3798" s="64" t="s">
        <v>1875</v>
      </c>
      <c r="I3798" s="64" t="s">
        <v>4742</v>
      </c>
      <c r="J3798" s="67">
        <v>0</v>
      </c>
      <c r="K3798" s="62">
        <v>27.84</v>
      </c>
      <c r="L3798" s="33" t="e">
        <f>HLOOKUP(B3798,#REF!,1,0)</f>
        <v>#REF!</v>
      </c>
      <c r="M3798" s="33" t="str">
        <f t="shared" si="239"/>
        <v>P&amp;L</v>
      </c>
    </row>
    <row r="3799" spans="1:13" s="33" customFormat="true" ht="12.75" customHeight="true">
      <c r="A3799" s="33" t="str">
        <f t="shared" si="236"/>
        <v>CST - Operating Expense</v>
      </c>
      <c r="B3799" s="33" t="str">
        <f t="shared" si="237"/>
        <v>CST</v>
      </c>
      <c r="C3799" s="33" t="str">
        <f t="shared" si="238"/>
        <v>56001-0000</v>
      </c>
      <c r="D3799" s="64" t="s">
        <v>4743</v>
      </c>
      <c r="E3799" s="64" t="s">
        <v>4493</v>
      </c>
      <c r="F3799" s="64" t="s">
        <v>679</v>
      </c>
      <c r="G3799" s="64" t="s">
        <v>4426</v>
      </c>
      <c r="H3799" s="64" t="s">
        <v>3022</v>
      </c>
      <c r="I3799" s="64" t="s">
        <v>3003</v>
      </c>
      <c r="J3799" s="67">
        <v>5861.85</v>
      </c>
      <c r="K3799" s="62">
        <v>81498.83</v>
      </c>
      <c r="L3799" s="33" t="e">
        <f>HLOOKUP(B3799,#REF!,1,0)</f>
        <v>#REF!</v>
      </c>
      <c r="M3799" s="33" t="str">
        <f t="shared" si="239"/>
        <v>P&amp;L</v>
      </c>
    </row>
    <row r="3800" spans="1:13" s="33" customFormat="true" ht="12.75" customHeight="true">
      <c r="A3800" s="33" t="str">
        <f t="shared" si="236"/>
        <v>CST - Operating Expense</v>
      </c>
      <c r="B3800" s="33" t="str">
        <f t="shared" si="237"/>
        <v>CST</v>
      </c>
      <c r="C3800" s="33" t="str">
        <f t="shared" si="238"/>
        <v>56002-0000</v>
      </c>
      <c r="D3800" s="64" t="s">
        <v>4744</v>
      </c>
      <c r="E3800" s="64" t="s">
        <v>3009</v>
      </c>
      <c r="F3800" s="64" t="s">
        <v>679</v>
      </c>
      <c r="G3800" s="64" t="s">
        <v>4426</v>
      </c>
      <c r="H3800" s="64" t="s">
        <v>3022</v>
      </c>
      <c r="I3800" s="64" t="s">
        <v>3010</v>
      </c>
      <c r="J3800" s="67">
        <v>1211.15</v>
      </c>
      <c r="K3800" s="62">
        <v>3466.03</v>
      </c>
      <c r="L3800" s="33" t="e">
        <f>HLOOKUP(B3800,#REF!,1,0)</f>
        <v>#REF!</v>
      </c>
      <c r="M3800" s="33" t="str">
        <f t="shared" si="239"/>
        <v>P&amp;L</v>
      </c>
    </row>
    <row r="3801" spans="1:13" s="33" customFormat="true" ht="12.75" customHeight="true">
      <c r="A3801" s="33" t="str">
        <f t="shared" si="236"/>
        <v>CST - Operating Expense</v>
      </c>
      <c r="B3801" s="33" t="str">
        <f t="shared" si="237"/>
        <v>CST</v>
      </c>
      <c r="C3801" s="33" t="str">
        <f t="shared" si="238"/>
        <v>56900-0000</v>
      </c>
      <c r="D3801" s="64" t="s">
        <v>4745</v>
      </c>
      <c r="E3801" s="64" t="s">
        <v>1873</v>
      </c>
      <c r="F3801" s="64" t="s">
        <v>679</v>
      </c>
      <c r="G3801" s="64" t="s">
        <v>4426</v>
      </c>
      <c r="H3801" s="64" t="s">
        <v>3022</v>
      </c>
      <c r="I3801" s="64" t="s">
        <v>1876</v>
      </c>
      <c r="J3801" s="67">
        <v>239.88</v>
      </c>
      <c r="K3801" s="62">
        <v>36098.23</v>
      </c>
      <c r="L3801" s="33" t="e">
        <f>HLOOKUP(B3801,#REF!,1,0)</f>
        <v>#REF!</v>
      </c>
      <c r="M3801" s="33" t="str">
        <f t="shared" si="239"/>
        <v>P&amp;L</v>
      </c>
    </row>
    <row r="3802" spans="1:13" s="33" customFormat="true" ht="12.75" customHeight="true">
      <c r="A3802" s="33" t="str">
        <f t="shared" si="236"/>
        <v>CST - CGS</v>
      </c>
      <c r="B3802" s="33" t="str">
        <f t="shared" si="237"/>
        <v>CST</v>
      </c>
      <c r="C3802" s="33" t="str">
        <f t="shared" si="238"/>
        <v>57900-0000</v>
      </c>
      <c r="D3802" s="64" t="s">
        <v>4746</v>
      </c>
      <c r="E3802" s="64" t="s">
        <v>4425</v>
      </c>
      <c r="F3802" s="64" t="s">
        <v>681</v>
      </c>
      <c r="G3802" s="64" t="s">
        <v>4426</v>
      </c>
      <c r="H3802" s="64" t="s">
        <v>1875</v>
      </c>
      <c r="I3802" s="64" t="s">
        <v>4427</v>
      </c>
      <c r="J3802" s="67">
        <v>0</v>
      </c>
      <c r="K3802" s="62">
        <v>1801</v>
      </c>
      <c r="L3802" s="33" t="e">
        <f>HLOOKUP(B3802,#REF!,1,0)</f>
        <v>#REF!</v>
      </c>
      <c r="M3802" s="33" t="str">
        <f t="shared" si="239"/>
        <v>P&amp;L</v>
      </c>
    </row>
    <row r="3803" spans="1:13" s="33" customFormat="true" ht="12.75" customHeight="true">
      <c r="A3803" s="33" t="str">
        <f t="shared" si="236"/>
        <v>CST - Operating Expense</v>
      </c>
      <c r="B3803" s="33" t="str">
        <f t="shared" si="237"/>
        <v>CST</v>
      </c>
      <c r="C3803" s="33" t="str">
        <f t="shared" si="238"/>
        <v>58100-0000</v>
      </c>
      <c r="D3803" s="64" t="s">
        <v>4747</v>
      </c>
      <c r="E3803" s="64" t="s">
        <v>4748</v>
      </c>
      <c r="F3803" s="64" t="s">
        <v>679</v>
      </c>
      <c r="G3803" s="64" t="s">
        <v>4426</v>
      </c>
      <c r="H3803" s="64" t="s">
        <v>3022</v>
      </c>
      <c r="I3803" s="64" t="s">
        <v>4749</v>
      </c>
      <c r="J3803" s="67">
        <v>50</v>
      </c>
      <c r="K3803" s="62">
        <v>40308.83</v>
      </c>
      <c r="L3803" s="33" t="e">
        <f>HLOOKUP(B3803,#REF!,1,0)</f>
        <v>#REF!</v>
      </c>
      <c r="M3803" s="33" t="str">
        <f t="shared" si="239"/>
        <v>P&amp;L</v>
      </c>
    </row>
    <row r="3804" spans="1:13" s="33" customFormat="true" ht="12.75" customHeight="true">
      <c r="A3804" s="33" t="str">
        <f t="shared" si="236"/>
        <v>CST - Operating Expense</v>
      </c>
      <c r="B3804" s="33" t="str">
        <f t="shared" si="237"/>
        <v>CST</v>
      </c>
      <c r="C3804" s="33" t="str">
        <f t="shared" si="238"/>
        <v>58400-0000</v>
      </c>
      <c r="D3804" s="64" t="s">
        <v>4750</v>
      </c>
      <c r="E3804" s="64" t="s">
        <v>4751</v>
      </c>
      <c r="F3804" s="64" t="s">
        <v>679</v>
      </c>
      <c r="G3804" s="64" t="s">
        <v>4426</v>
      </c>
      <c r="H3804" s="64" t="s">
        <v>3022</v>
      </c>
      <c r="I3804" s="64" t="s">
        <v>4752</v>
      </c>
      <c r="J3804" s="67">
        <v>5300</v>
      </c>
      <c r="K3804" s="62">
        <v>51157</v>
      </c>
      <c r="L3804" s="33" t="e">
        <f>HLOOKUP(B3804,#REF!,1,0)</f>
        <v>#REF!</v>
      </c>
      <c r="M3804" s="33" t="str">
        <f t="shared" si="239"/>
        <v>P&amp;L</v>
      </c>
    </row>
    <row r="3805" spans="1:13" s="33" customFormat="true" ht="12.75" customHeight="true">
      <c r="A3805" s="33" t="str">
        <f t="shared" si="236"/>
        <v>CST - Operating Expense</v>
      </c>
      <c r="B3805" s="33" t="str">
        <f t="shared" si="237"/>
        <v>CST</v>
      </c>
      <c r="C3805" s="33" t="str">
        <f t="shared" si="238"/>
        <v>58500-0000</v>
      </c>
      <c r="D3805" s="64" t="s">
        <v>4753</v>
      </c>
      <c r="E3805" s="64" t="s">
        <v>4754</v>
      </c>
      <c r="F3805" s="64" t="s">
        <v>679</v>
      </c>
      <c r="G3805" s="64" t="s">
        <v>4426</v>
      </c>
      <c r="H3805" s="64" t="s">
        <v>3022</v>
      </c>
      <c r="I3805" s="64" t="s">
        <v>4752</v>
      </c>
      <c r="J3805" s="67">
        <v>50498.23</v>
      </c>
      <c r="K3805" s="62">
        <v>635163.13</v>
      </c>
      <c r="L3805" s="33" t="e">
        <f>HLOOKUP(B3805,#REF!,1,0)</f>
        <v>#REF!</v>
      </c>
      <c r="M3805" s="33" t="str">
        <f t="shared" si="239"/>
        <v>P&amp;L</v>
      </c>
    </row>
    <row r="3806" spans="1:13" s="33" customFormat="true" ht="12.75" customHeight="true">
      <c r="A3806" s="33" t="str">
        <f t="shared" si="236"/>
        <v>CST - CGS</v>
      </c>
      <c r="B3806" s="33" t="str">
        <f t="shared" si="237"/>
        <v>CST</v>
      </c>
      <c r="C3806" s="33" t="str">
        <f t="shared" si="238"/>
        <v>59750-0000</v>
      </c>
      <c r="D3806" s="64" t="s">
        <v>4755</v>
      </c>
      <c r="E3806" s="64" t="s">
        <v>4506</v>
      </c>
      <c r="F3806" s="64" t="s">
        <v>679</v>
      </c>
      <c r="G3806" s="64" t="s">
        <v>4426</v>
      </c>
      <c r="H3806" s="64" t="s">
        <v>1875</v>
      </c>
      <c r="I3806" s="64" t="s">
        <v>4756</v>
      </c>
      <c r="J3806" s="67">
        <v>0</v>
      </c>
      <c r="K3806" s="62">
        <v>17820</v>
      </c>
      <c r="L3806" s="33" t="e">
        <f>HLOOKUP(B3806,#REF!,1,0)</f>
        <v>#REF!</v>
      </c>
      <c r="M3806" s="33" t="str">
        <f t="shared" si="239"/>
        <v>P&amp;L</v>
      </c>
    </row>
    <row r="3807" spans="1:13" s="33" customFormat="true" ht="12.75" customHeight="true">
      <c r="A3807" s="33" t="str">
        <f t="shared" si="236"/>
        <v>CST - Operating Expense</v>
      </c>
      <c r="B3807" s="33" t="str">
        <f t="shared" si="237"/>
        <v>CST</v>
      </c>
      <c r="C3807" s="33" t="str">
        <f t="shared" si="238"/>
        <v>64502-0000</v>
      </c>
      <c r="D3807" s="64" t="s">
        <v>4757</v>
      </c>
      <c r="E3807" s="64" t="s">
        <v>3195</v>
      </c>
      <c r="F3807" s="64" t="s">
        <v>679</v>
      </c>
      <c r="G3807" s="64" t="s">
        <v>4426</v>
      </c>
      <c r="H3807" s="64" t="s">
        <v>3022</v>
      </c>
      <c r="I3807" s="64" t="s">
        <v>3196</v>
      </c>
      <c r="J3807" s="67">
        <v>323.36</v>
      </c>
      <c r="K3807" s="62">
        <v>2567.59</v>
      </c>
      <c r="L3807" s="33" t="e">
        <f>HLOOKUP(B3807,#REF!,1,0)</f>
        <v>#REF!</v>
      </c>
      <c r="M3807" s="33" t="str">
        <f t="shared" si="239"/>
        <v>P&amp;L</v>
      </c>
    </row>
    <row r="3808" spans="1:13" s="33" customFormat="true" ht="12.75" customHeight="true">
      <c r="A3808" s="33" t="str">
        <f t="shared" si="236"/>
        <v>CST - Operating Expense</v>
      </c>
      <c r="B3808" s="33" t="str">
        <f t="shared" si="237"/>
        <v>CST</v>
      </c>
      <c r="C3808" s="33" t="str">
        <f t="shared" si="238"/>
        <v>64530-0000</v>
      </c>
      <c r="D3808" s="64" t="s">
        <v>4758</v>
      </c>
      <c r="E3808" s="64" t="s">
        <v>4759</v>
      </c>
      <c r="F3808" s="64" t="s">
        <v>679</v>
      </c>
      <c r="G3808" s="64" t="s">
        <v>4426</v>
      </c>
      <c r="H3808" s="64" t="s">
        <v>3022</v>
      </c>
      <c r="I3808" s="64" t="s">
        <v>4760</v>
      </c>
      <c r="J3808" s="67">
        <v>323.15</v>
      </c>
      <c r="K3808" s="62">
        <v>3826.51</v>
      </c>
      <c r="L3808" s="33" t="e">
        <f>HLOOKUP(B3808,#REF!,1,0)</f>
        <v>#REF!</v>
      </c>
      <c r="M3808" s="33" t="str">
        <f t="shared" si="239"/>
        <v>P&amp;L</v>
      </c>
    </row>
    <row r="3809" spans="1:13" s="33" customFormat="true" ht="12.75" customHeight="true">
      <c r="A3809" s="33" t="str">
        <f t="shared" si="236"/>
        <v>CST - Operating Expense</v>
      </c>
      <c r="B3809" s="33" t="str">
        <f t="shared" si="237"/>
        <v>CST</v>
      </c>
      <c r="C3809" s="33" t="str">
        <f t="shared" si="238"/>
        <v>70100-0000</v>
      </c>
      <c r="D3809" s="64" t="s">
        <v>4761</v>
      </c>
      <c r="E3809" s="64" t="s">
        <v>4762</v>
      </c>
      <c r="F3809" s="64" t="s">
        <v>679</v>
      </c>
      <c r="G3809" s="64" t="s">
        <v>4426</v>
      </c>
      <c r="H3809" s="64" t="s">
        <v>3022</v>
      </c>
      <c r="I3809" s="64" t="s">
        <v>4763</v>
      </c>
      <c r="J3809" s="67">
        <v>55049.04</v>
      </c>
      <c r="K3809" s="62">
        <v>513029.38</v>
      </c>
      <c r="L3809" s="33" t="e">
        <f>HLOOKUP(B3809,#REF!,1,0)</f>
        <v>#REF!</v>
      </c>
      <c r="M3809" s="33" t="str">
        <f t="shared" si="239"/>
        <v>P&amp;L</v>
      </c>
    </row>
    <row r="3810" spans="1:13" s="33" customFormat="true" ht="12.75" customHeight="true">
      <c r="A3810" s="33" t="str">
        <f t="shared" si="236"/>
        <v>CST - Operating Expense</v>
      </c>
      <c r="B3810" s="33" t="str">
        <f t="shared" si="237"/>
        <v>CST</v>
      </c>
      <c r="C3810" s="33" t="str">
        <f t="shared" si="238"/>
        <v>75001-0000</v>
      </c>
      <c r="D3810" s="64" t="s">
        <v>4764</v>
      </c>
      <c r="E3810" s="64" t="s">
        <v>4765</v>
      </c>
      <c r="F3810" s="64" t="s">
        <v>679</v>
      </c>
      <c r="G3810" s="64" t="s">
        <v>4426</v>
      </c>
      <c r="H3810" s="64" t="s">
        <v>3022</v>
      </c>
      <c r="I3810" s="64" t="s">
        <v>3294</v>
      </c>
      <c r="J3810" s="67">
        <v>0</v>
      </c>
      <c r="K3810" s="62">
        <v>3650</v>
      </c>
      <c r="L3810" s="33" t="e">
        <f>HLOOKUP(B3810,#REF!,1,0)</f>
        <v>#REF!</v>
      </c>
      <c r="M3810" s="33" t="str">
        <f t="shared" si="239"/>
        <v>P&amp;L</v>
      </c>
    </row>
    <row r="3811" spans="1:13" s="33" customFormat="true" ht="12.75" customHeight="true">
      <c r="A3811" s="33" t="str">
        <f t="shared" si="236"/>
        <v>CST - Operating Expense</v>
      </c>
      <c r="B3811" s="33" t="str">
        <f t="shared" si="237"/>
        <v>CST</v>
      </c>
      <c r="C3811" s="33" t="str">
        <f t="shared" si="238"/>
        <v>90601-0000</v>
      </c>
      <c r="D3811" s="64" t="s">
        <v>4766</v>
      </c>
      <c r="E3811" s="64" t="s">
        <v>4500</v>
      </c>
      <c r="F3811" s="64" t="s">
        <v>679</v>
      </c>
      <c r="G3811" s="64" t="s">
        <v>4426</v>
      </c>
      <c r="H3811" s="64" t="s">
        <v>3022</v>
      </c>
      <c r="I3811" s="64" t="s">
        <v>3316</v>
      </c>
      <c r="J3811" s="67">
        <v>5726.68</v>
      </c>
      <c r="K3811" s="62">
        <v>77894.68</v>
      </c>
      <c r="L3811" s="33" t="e">
        <f>HLOOKUP(B3811,#REF!,1,0)</f>
        <v>#REF!</v>
      </c>
      <c r="M3811" s="33" t="str">
        <f t="shared" si="239"/>
        <v>P&amp;L</v>
      </c>
    </row>
    <row r="3812" spans="1:13" s="33" customFormat="true" ht="12.75" customHeight="true">
      <c r="A3812" s="33" t="str">
        <f t="shared" si="236"/>
        <v>CST - Operating Expense</v>
      </c>
      <c r="B3812" s="33" t="str">
        <f t="shared" si="237"/>
        <v>CST</v>
      </c>
      <c r="C3812" s="33" t="str">
        <f t="shared" si="238"/>
        <v>94001-0000</v>
      </c>
      <c r="D3812" s="64" t="s">
        <v>4767</v>
      </c>
      <c r="E3812" s="64" t="s">
        <v>4768</v>
      </c>
      <c r="F3812" s="64" t="s">
        <v>679</v>
      </c>
      <c r="G3812" s="64" t="s">
        <v>4426</v>
      </c>
      <c r="H3812" s="64" t="s">
        <v>3022</v>
      </c>
      <c r="I3812" s="64" t="s">
        <v>3351</v>
      </c>
      <c r="J3812" s="67">
        <v>0</v>
      </c>
      <c r="K3812" s="62">
        <v>453.45</v>
      </c>
      <c r="L3812" s="33" t="e">
        <f>HLOOKUP(B3812,#REF!,1,0)</f>
        <v>#REF!</v>
      </c>
      <c r="M3812" s="33" t="str">
        <f t="shared" si="239"/>
        <v>P&amp;L</v>
      </c>
    </row>
    <row r="3813" spans="1:13" s="33" customFormat="true" ht="12.75" customHeight="true">
      <c r="A3813" s="33" t="str">
        <f t="shared" si="236"/>
        <v>CST - Operating Expense</v>
      </c>
      <c r="B3813" s="33" t="str">
        <f t="shared" si="237"/>
        <v>CST</v>
      </c>
      <c r="C3813" s="33" t="str">
        <f t="shared" si="238"/>
        <v>94801-0000</v>
      </c>
      <c r="D3813" s="64" t="s">
        <v>4769</v>
      </c>
      <c r="E3813" s="64" t="s">
        <v>4770</v>
      </c>
      <c r="F3813" s="64" t="s">
        <v>679</v>
      </c>
      <c r="G3813" s="64" t="s">
        <v>4426</v>
      </c>
      <c r="H3813" s="64" t="s">
        <v>3022</v>
      </c>
      <c r="I3813" s="64" t="s">
        <v>4771</v>
      </c>
      <c r="J3813" s="67">
        <v>0</v>
      </c>
      <c r="K3813" s="62">
        <v>473.69</v>
      </c>
      <c r="L3813" s="33" t="e">
        <f>HLOOKUP(B3813,#REF!,1,0)</f>
        <v>#REF!</v>
      </c>
      <c r="M3813" s="33" t="str">
        <f t="shared" si="239"/>
        <v>P&amp;L</v>
      </c>
    </row>
    <row r="3814" spans="1:13" s="33" customFormat="true" ht="12.75" customHeight="true">
      <c r="A3814" s="33" t="str">
        <f t="shared" si="236"/>
        <v>DEL - AP-Accr Exp</v>
      </c>
      <c r="B3814" s="33" t="str">
        <f t="shared" si="237"/>
        <v>DEL</v>
      </c>
      <c r="C3814" s="33" t="str">
        <f t="shared" si="238"/>
        <v>20001-0000</v>
      </c>
      <c r="D3814" s="64" t="s">
        <v>4772</v>
      </c>
      <c r="E3814" s="64" t="s">
        <v>96</v>
      </c>
      <c r="F3814" s="64" t="s">
        <v>230</v>
      </c>
      <c r="G3814" s="64" t="s">
        <v>97</v>
      </c>
      <c r="H3814" s="64" t="s">
        <v>98</v>
      </c>
      <c r="I3814" s="64" t="s">
        <v>99</v>
      </c>
      <c r="J3814" s="67">
        <v>0</v>
      </c>
      <c r="K3814" s="62">
        <v>0</v>
      </c>
      <c r="L3814" s="33" t="e">
        <f>HLOOKUP(B3814,#REF!,1,0)</f>
        <v>#REF!</v>
      </c>
      <c r="M3814" s="33" t="str">
        <f t="shared" si="239"/>
        <v>BS</v>
      </c>
    </row>
    <row r="3815" spans="1:13" s="33" customFormat="true" ht="12.75" customHeight="true">
      <c r="A3815" s="33" t="str">
        <f t="shared" si="236"/>
        <v>DEL - CGS</v>
      </c>
      <c r="B3815" s="33" t="str">
        <f t="shared" si="237"/>
        <v>DEL</v>
      </c>
      <c r="C3815" s="33" t="str">
        <f t="shared" si="238"/>
        <v>60002-0000</v>
      </c>
      <c r="D3815" s="64" t="s">
        <v>4773</v>
      </c>
      <c r="E3815" s="64" t="s">
        <v>3837</v>
      </c>
      <c r="F3815" s="64" t="s">
        <v>230</v>
      </c>
      <c r="G3815" s="64" t="s">
        <v>3838</v>
      </c>
      <c r="H3815" s="64" t="s">
        <v>1875</v>
      </c>
      <c r="I3815" s="64" t="s">
        <v>3839</v>
      </c>
      <c r="J3815" s="67">
        <v>0</v>
      </c>
      <c r="K3815" s="62">
        <v>285.05</v>
      </c>
      <c r="L3815" s="33" t="e">
        <f>HLOOKUP(B3815,#REF!,1,0)</f>
        <v>#REF!</v>
      </c>
      <c r="M3815" s="33" t="str">
        <f t="shared" si="239"/>
        <v>P&amp;L</v>
      </c>
    </row>
    <row r="3816" spans="1:13" s="33" customFormat="true" ht="12.75" customHeight="true">
      <c r="A3816" s="33" t="str">
        <f t="shared" si="236"/>
        <v>DF2 - Revenue</v>
      </c>
      <c r="B3816" s="33" t="str">
        <f t="shared" si="237"/>
        <v>DF2</v>
      </c>
      <c r="C3816" s="33" t="str">
        <f t="shared" si="238"/>
        <v>40001-7367</v>
      </c>
      <c r="D3816" s="64" t="s">
        <v>4774</v>
      </c>
      <c r="E3816" s="64" t="s">
        <v>2869</v>
      </c>
      <c r="F3816" s="64" t="s">
        <v>15</v>
      </c>
      <c r="G3816" s="64" t="s">
        <v>2870</v>
      </c>
      <c r="H3816" s="64" t="s">
        <v>2871</v>
      </c>
      <c r="I3816" s="64" t="s">
        <v>2872</v>
      </c>
      <c r="J3816" s="67">
        <v>-166917.65</v>
      </c>
      <c r="K3816" s="62">
        <v>-1409338.9</v>
      </c>
      <c r="L3816" s="33" t="e">
        <f>HLOOKUP(B3816,#REF!,1,0)</f>
        <v>#REF!</v>
      </c>
      <c r="M3816" s="33" t="str">
        <f t="shared" si="239"/>
        <v>P&amp;L</v>
      </c>
    </row>
    <row r="3817" spans="1:13" s="33" customFormat="true" ht="12.75" customHeight="true">
      <c r="A3817" s="33" t="str">
        <f t="shared" si="236"/>
        <v>DF2 - Revenue</v>
      </c>
      <c r="B3817" s="33" t="str">
        <f t="shared" si="237"/>
        <v>DF2</v>
      </c>
      <c r="C3817" s="33" t="str">
        <f t="shared" si="238"/>
        <v>40001-7392</v>
      </c>
      <c r="D3817" s="64" t="s">
        <v>4775</v>
      </c>
      <c r="E3817" s="64" t="s">
        <v>2869</v>
      </c>
      <c r="F3817" s="64" t="s">
        <v>15</v>
      </c>
      <c r="G3817" s="64" t="s">
        <v>2870</v>
      </c>
      <c r="H3817" s="64" t="s">
        <v>2871</v>
      </c>
      <c r="I3817" s="64" t="s">
        <v>2872</v>
      </c>
      <c r="J3817" s="67">
        <v>-213343.73</v>
      </c>
      <c r="K3817" s="62">
        <v>-1894052.63</v>
      </c>
      <c r="L3817" s="33" t="e">
        <f>HLOOKUP(B3817,#REF!,1,0)</f>
        <v>#REF!</v>
      </c>
      <c r="M3817" s="33" t="str">
        <f t="shared" si="239"/>
        <v>P&amp;L</v>
      </c>
    </row>
    <row r="3818" spans="1:13" s="33" customFormat="true" ht="12.75" customHeight="true">
      <c r="A3818" s="33" t="str">
        <f t="shared" si="236"/>
        <v>DF2 - Revenue</v>
      </c>
      <c r="B3818" s="33" t="str">
        <f t="shared" si="237"/>
        <v>DF2</v>
      </c>
      <c r="C3818" s="33" t="str">
        <f t="shared" si="238"/>
        <v>40001-7487</v>
      </c>
      <c r="D3818" s="64" t="s">
        <v>4776</v>
      </c>
      <c r="E3818" s="64" t="s">
        <v>2869</v>
      </c>
      <c r="F3818" s="64" t="s">
        <v>15</v>
      </c>
      <c r="G3818" s="64" t="s">
        <v>2870</v>
      </c>
      <c r="H3818" s="64" t="s">
        <v>2871</v>
      </c>
      <c r="I3818" s="64" t="s">
        <v>2872</v>
      </c>
      <c r="J3818" s="67">
        <v>-123854.41</v>
      </c>
      <c r="K3818" s="62">
        <v>-1120619.9</v>
      </c>
      <c r="L3818" s="33" t="e">
        <f>HLOOKUP(B3818,#REF!,1,0)</f>
        <v>#REF!</v>
      </c>
      <c r="M3818" s="33" t="str">
        <f t="shared" si="239"/>
        <v>P&amp;L</v>
      </c>
    </row>
    <row r="3819" spans="1:13" s="33" customFormat="true" ht="12.75" customHeight="true">
      <c r="A3819" s="33" t="str">
        <f t="shared" si="236"/>
        <v>DF2 - Revenue</v>
      </c>
      <c r="B3819" s="33" t="str">
        <f t="shared" si="237"/>
        <v>DF2</v>
      </c>
      <c r="C3819" s="33" t="str">
        <f t="shared" si="238"/>
        <v>40001-7488</v>
      </c>
      <c r="D3819" s="64" t="s">
        <v>4777</v>
      </c>
      <c r="E3819" s="64" t="s">
        <v>2869</v>
      </c>
      <c r="F3819" s="64" t="s">
        <v>15</v>
      </c>
      <c r="G3819" s="64" t="s">
        <v>2870</v>
      </c>
      <c r="H3819" s="64" t="s">
        <v>2871</v>
      </c>
      <c r="I3819" s="64" t="s">
        <v>2872</v>
      </c>
      <c r="J3819" s="67">
        <v>-103526.32</v>
      </c>
      <c r="K3819" s="62">
        <v>-909014.56</v>
      </c>
      <c r="L3819" s="33" t="e">
        <f>HLOOKUP(B3819,#REF!,1,0)</f>
        <v>#REF!</v>
      </c>
      <c r="M3819" s="33" t="str">
        <f t="shared" si="239"/>
        <v>P&amp;L</v>
      </c>
    </row>
    <row r="3820" spans="1:13" s="33" customFormat="true" ht="12.75" customHeight="true">
      <c r="A3820" s="33" t="str">
        <f t="shared" si="236"/>
        <v>DF2 - Revenue</v>
      </c>
      <c r="B3820" s="33" t="str">
        <f t="shared" si="237"/>
        <v>DF2</v>
      </c>
      <c r="C3820" s="33" t="str">
        <f t="shared" si="238"/>
        <v>40001-7495</v>
      </c>
      <c r="D3820" s="64" t="s">
        <v>4778</v>
      </c>
      <c r="E3820" s="64" t="s">
        <v>2869</v>
      </c>
      <c r="F3820" s="64" t="s">
        <v>15</v>
      </c>
      <c r="G3820" s="64" t="s">
        <v>2870</v>
      </c>
      <c r="H3820" s="64" t="s">
        <v>2871</v>
      </c>
      <c r="I3820" s="64" t="s">
        <v>2872</v>
      </c>
      <c r="J3820" s="67">
        <v>-127653.56</v>
      </c>
      <c r="K3820" s="62">
        <v>-1134439.47</v>
      </c>
      <c r="L3820" s="33" t="e">
        <f>HLOOKUP(B3820,#REF!,1,0)</f>
        <v>#REF!</v>
      </c>
      <c r="M3820" s="33" t="str">
        <f t="shared" si="239"/>
        <v>P&amp;L</v>
      </c>
    </row>
    <row r="3821" spans="1:13" s="33" customFormat="true" ht="12.75" customHeight="true">
      <c r="A3821" s="33" t="str">
        <f t="shared" si="236"/>
        <v>DF2 - Revenue</v>
      </c>
      <c r="B3821" s="33" t="str">
        <f t="shared" si="237"/>
        <v>DF2</v>
      </c>
      <c r="C3821" s="33" t="str">
        <f t="shared" si="238"/>
        <v>40002-7367</v>
      </c>
      <c r="D3821" s="64" t="s">
        <v>4779</v>
      </c>
      <c r="E3821" s="64" t="s">
        <v>2877</v>
      </c>
      <c r="F3821" s="64" t="s">
        <v>15</v>
      </c>
      <c r="G3821" s="64" t="s">
        <v>2870</v>
      </c>
      <c r="H3821" s="64" t="s">
        <v>2871</v>
      </c>
      <c r="I3821" s="64" t="s">
        <v>2872</v>
      </c>
      <c r="J3821" s="67">
        <v>0</v>
      </c>
      <c r="K3821" s="62">
        <v>0</v>
      </c>
      <c r="L3821" s="33" t="e">
        <f>HLOOKUP(B3821,#REF!,1,0)</f>
        <v>#REF!</v>
      </c>
      <c r="M3821" s="33" t="str">
        <f t="shared" si="239"/>
        <v>P&amp;L</v>
      </c>
    </row>
    <row r="3822" spans="1:13" s="33" customFormat="true" ht="12.75" customHeight="true">
      <c r="A3822" s="33" t="str">
        <f t="shared" si="236"/>
        <v>DF2 - Revenue</v>
      </c>
      <c r="B3822" s="33" t="str">
        <f t="shared" si="237"/>
        <v>DF2</v>
      </c>
      <c r="C3822" s="33" t="str">
        <f t="shared" si="238"/>
        <v>40002-7392</v>
      </c>
      <c r="D3822" s="64" t="s">
        <v>4780</v>
      </c>
      <c r="E3822" s="64" t="s">
        <v>2877</v>
      </c>
      <c r="F3822" s="64" t="s">
        <v>15</v>
      </c>
      <c r="G3822" s="64" t="s">
        <v>2870</v>
      </c>
      <c r="H3822" s="64" t="s">
        <v>2871</v>
      </c>
      <c r="I3822" s="64" t="s">
        <v>2872</v>
      </c>
      <c r="J3822" s="67">
        <v>0</v>
      </c>
      <c r="K3822" s="62">
        <v>0</v>
      </c>
      <c r="L3822" s="33" t="e">
        <f>HLOOKUP(B3822,#REF!,1,0)</f>
        <v>#REF!</v>
      </c>
      <c r="M3822" s="33" t="str">
        <f t="shared" si="239"/>
        <v>P&amp;L</v>
      </c>
    </row>
    <row r="3823" spans="1:13" s="33" customFormat="true" ht="12.75" customHeight="true">
      <c r="A3823" s="33" t="str">
        <f t="shared" si="236"/>
        <v>DF2 - Revenue</v>
      </c>
      <c r="B3823" s="33" t="str">
        <f t="shared" si="237"/>
        <v>DF2</v>
      </c>
      <c r="C3823" s="33" t="str">
        <f t="shared" si="238"/>
        <v>40002-7487</v>
      </c>
      <c r="D3823" s="64" t="s">
        <v>4781</v>
      </c>
      <c r="E3823" s="64" t="s">
        <v>2877</v>
      </c>
      <c r="F3823" s="64" t="s">
        <v>15</v>
      </c>
      <c r="G3823" s="64" t="s">
        <v>2870</v>
      </c>
      <c r="H3823" s="64" t="s">
        <v>2871</v>
      </c>
      <c r="I3823" s="64" t="s">
        <v>2872</v>
      </c>
      <c r="J3823" s="67">
        <v>0</v>
      </c>
      <c r="K3823" s="62">
        <v>0</v>
      </c>
      <c r="L3823" s="33" t="e">
        <f>HLOOKUP(B3823,#REF!,1,0)</f>
        <v>#REF!</v>
      </c>
      <c r="M3823" s="33" t="str">
        <f t="shared" si="239"/>
        <v>P&amp;L</v>
      </c>
    </row>
    <row r="3824" spans="1:13" s="33" customFormat="true" ht="12.75" customHeight="true">
      <c r="A3824" s="33" t="str">
        <f t="shared" si="236"/>
        <v>DF2 - Revenue</v>
      </c>
      <c r="B3824" s="33" t="str">
        <f t="shared" si="237"/>
        <v>DF2</v>
      </c>
      <c r="C3824" s="33" t="str">
        <f t="shared" si="238"/>
        <v>40002-7488</v>
      </c>
      <c r="D3824" s="64" t="s">
        <v>4782</v>
      </c>
      <c r="E3824" s="64" t="s">
        <v>2877</v>
      </c>
      <c r="F3824" s="64" t="s">
        <v>15</v>
      </c>
      <c r="G3824" s="64" t="s">
        <v>2870</v>
      </c>
      <c r="H3824" s="64" t="s">
        <v>2871</v>
      </c>
      <c r="I3824" s="64" t="s">
        <v>2872</v>
      </c>
      <c r="J3824" s="67">
        <v>0</v>
      </c>
      <c r="K3824" s="62">
        <v>-1</v>
      </c>
      <c r="L3824" s="33" t="e">
        <f>HLOOKUP(B3824,#REF!,1,0)</f>
        <v>#REF!</v>
      </c>
      <c r="M3824" s="33" t="str">
        <f t="shared" si="239"/>
        <v>P&amp;L</v>
      </c>
    </row>
    <row r="3825" spans="1:13" s="33" customFormat="true" ht="12.75" customHeight="true">
      <c r="A3825" s="33" t="str">
        <f t="shared" si="236"/>
        <v>DF2 - Revenue</v>
      </c>
      <c r="B3825" s="33" t="str">
        <f t="shared" si="237"/>
        <v>DF2</v>
      </c>
      <c r="C3825" s="33" t="str">
        <f t="shared" si="238"/>
        <v>40002-7495</v>
      </c>
      <c r="D3825" s="64" t="s">
        <v>4783</v>
      </c>
      <c r="E3825" s="64" t="s">
        <v>2877</v>
      </c>
      <c r="F3825" s="64" t="s">
        <v>15</v>
      </c>
      <c r="G3825" s="64" t="s">
        <v>2870</v>
      </c>
      <c r="H3825" s="64" t="s">
        <v>2871</v>
      </c>
      <c r="I3825" s="64" t="s">
        <v>2872</v>
      </c>
      <c r="J3825" s="67">
        <v>0</v>
      </c>
      <c r="K3825" s="62">
        <v>0</v>
      </c>
      <c r="L3825" s="33" t="e">
        <f>HLOOKUP(B3825,#REF!,1,0)</f>
        <v>#REF!</v>
      </c>
      <c r="M3825" s="33" t="str">
        <f t="shared" si="239"/>
        <v>P&amp;L</v>
      </c>
    </row>
    <row r="3826" spans="1:13" s="33" customFormat="true" ht="12.75" customHeight="true">
      <c r="A3826" s="33" t="str">
        <f t="shared" si="236"/>
        <v>DF2 - Revenue</v>
      </c>
      <c r="B3826" s="33" t="str">
        <f t="shared" si="237"/>
        <v>DF2</v>
      </c>
      <c r="C3826" s="33" t="str">
        <f t="shared" si="238"/>
        <v>40091-7367</v>
      </c>
      <c r="D3826" s="64" t="s">
        <v>4784</v>
      </c>
      <c r="E3826" s="64" t="s">
        <v>2882</v>
      </c>
      <c r="F3826" s="64" t="s">
        <v>15</v>
      </c>
      <c r="G3826" s="64" t="s">
        <v>2870</v>
      </c>
      <c r="H3826" s="64" t="s">
        <v>2871</v>
      </c>
      <c r="I3826" s="64" t="s">
        <v>2883</v>
      </c>
      <c r="J3826" s="67">
        <v>35155.87</v>
      </c>
      <c r="K3826" s="62">
        <v>182408.48</v>
      </c>
      <c r="L3826" s="33" t="e">
        <f>HLOOKUP(B3826,#REF!,1,0)</f>
        <v>#REF!</v>
      </c>
      <c r="M3826" s="33" t="str">
        <f t="shared" si="239"/>
        <v>P&amp;L</v>
      </c>
    </row>
    <row r="3827" spans="1:13" s="33" customFormat="true" ht="12.75" customHeight="true">
      <c r="A3827" s="33" t="str">
        <f t="shared" si="236"/>
        <v>DF2 - Revenue</v>
      </c>
      <c r="B3827" s="33" t="str">
        <f t="shared" si="237"/>
        <v>DF2</v>
      </c>
      <c r="C3827" s="33" t="str">
        <f t="shared" si="238"/>
        <v>40091-7392</v>
      </c>
      <c r="D3827" s="64" t="s">
        <v>4785</v>
      </c>
      <c r="E3827" s="64" t="s">
        <v>2882</v>
      </c>
      <c r="F3827" s="64" t="s">
        <v>15</v>
      </c>
      <c r="G3827" s="64" t="s">
        <v>2870</v>
      </c>
      <c r="H3827" s="64" t="s">
        <v>2871</v>
      </c>
      <c r="I3827" s="64" t="s">
        <v>2883</v>
      </c>
      <c r="J3827" s="67">
        <v>32005.23</v>
      </c>
      <c r="K3827" s="62">
        <v>229803.92</v>
      </c>
      <c r="L3827" s="33" t="e">
        <f>HLOOKUP(B3827,#REF!,1,0)</f>
        <v>#REF!</v>
      </c>
      <c r="M3827" s="33" t="str">
        <f t="shared" si="239"/>
        <v>P&amp;L</v>
      </c>
    </row>
    <row r="3828" spans="1:13" s="33" customFormat="true" ht="12.75" customHeight="true">
      <c r="A3828" s="33" t="str">
        <f t="shared" si="236"/>
        <v>DF2 - Revenue</v>
      </c>
      <c r="B3828" s="33" t="str">
        <f t="shared" si="237"/>
        <v>DF2</v>
      </c>
      <c r="C3828" s="33" t="str">
        <f t="shared" si="238"/>
        <v>40091-7487</v>
      </c>
      <c r="D3828" s="64" t="s">
        <v>4786</v>
      </c>
      <c r="E3828" s="64" t="s">
        <v>2882</v>
      </c>
      <c r="F3828" s="64" t="s">
        <v>15</v>
      </c>
      <c r="G3828" s="64" t="s">
        <v>2870</v>
      </c>
      <c r="H3828" s="64" t="s">
        <v>2871</v>
      </c>
      <c r="I3828" s="64" t="s">
        <v>2883</v>
      </c>
      <c r="J3828" s="67">
        <v>19085.61</v>
      </c>
      <c r="K3828" s="62">
        <v>127564</v>
      </c>
      <c r="L3828" s="33" t="e">
        <f>HLOOKUP(B3828,#REF!,1,0)</f>
        <v>#REF!</v>
      </c>
      <c r="M3828" s="33" t="str">
        <f t="shared" si="239"/>
        <v>P&amp;L</v>
      </c>
    </row>
    <row r="3829" spans="1:13" s="33" customFormat="true" ht="12.75" customHeight="true">
      <c r="A3829" s="33" t="str">
        <f t="shared" si="236"/>
        <v>DF2 - Revenue</v>
      </c>
      <c r="B3829" s="33" t="str">
        <f t="shared" si="237"/>
        <v>DF2</v>
      </c>
      <c r="C3829" s="33" t="str">
        <f t="shared" si="238"/>
        <v>40091-7488</v>
      </c>
      <c r="D3829" s="64" t="s">
        <v>4787</v>
      </c>
      <c r="E3829" s="64" t="s">
        <v>2882</v>
      </c>
      <c r="F3829" s="64" t="s">
        <v>15</v>
      </c>
      <c r="G3829" s="64" t="s">
        <v>2870</v>
      </c>
      <c r="H3829" s="64" t="s">
        <v>2871</v>
      </c>
      <c r="I3829" s="64" t="s">
        <v>2883</v>
      </c>
      <c r="J3829" s="67">
        <v>12531.5</v>
      </c>
      <c r="K3829" s="62">
        <v>88491.08</v>
      </c>
      <c r="L3829" s="33" t="e">
        <f>HLOOKUP(B3829,#REF!,1,0)</f>
        <v>#REF!</v>
      </c>
      <c r="M3829" s="33" t="str">
        <f t="shared" si="239"/>
        <v>P&amp;L</v>
      </c>
    </row>
    <row r="3830" spans="1:13" s="33" customFormat="true" ht="12.75" customHeight="true">
      <c r="A3830" s="33" t="str">
        <f t="shared" si="236"/>
        <v>DF2 - Revenue</v>
      </c>
      <c r="B3830" s="33" t="str">
        <f t="shared" si="237"/>
        <v>DF2</v>
      </c>
      <c r="C3830" s="33" t="str">
        <f t="shared" si="238"/>
        <v>40091-7495</v>
      </c>
      <c r="D3830" s="64" t="s">
        <v>4788</v>
      </c>
      <c r="E3830" s="64" t="s">
        <v>2882</v>
      </c>
      <c r="F3830" s="64" t="s">
        <v>15</v>
      </c>
      <c r="G3830" s="64" t="s">
        <v>2870</v>
      </c>
      <c r="H3830" s="64" t="s">
        <v>2871</v>
      </c>
      <c r="I3830" s="64" t="s">
        <v>2883</v>
      </c>
      <c r="J3830" s="67">
        <v>18652.41</v>
      </c>
      <c r="K3830" s="62">
        <v>132114.39</v>
      </c>
      <c r="L3830" s="33" t="e">
        <f>HLOOKUP(B3830,#REF!,1,0)</f>
        <v>#REF!</v>
      </c>
      <c r="M3830" s="33" t="str">
        <f t="shared" si="239"/>
        <v>P&amp;L</v>
      </c>
    </row>
    <row r="3831" spans="1:13" s="33" customFormat="true" ht="12.75" customHeight="true">
      <c r="A3831" s="33" t="str">
        <f t="shared" si="236"/>
        <v>DF2 - CGS</v>
      </c>
      <c r="B3831" s="33" t="str">
        <f t="shared" si="237"/>
        <v>DF2</v>
      </c>
      <c r="C3831" s="33" t="str">
        <f t="shared" si="238"/>
        <v>50003-7367</v>
      </c>
      <c r="D3831" s="64" t="s">
        <v>4789</v>
      </c>
      <c r="E3831" s="64" t="s">
        <v>2888</v>
      </c>
      <c r="F3831" s="64" t="s">
        <v>15</v>
      </c>
      <c r="G3831" s="64" t="s">
        <v>2889</v>
      </c>
      <c r="H3831" s="64" t="s">
        <v>1875</v>
      </c>
      <c r="I3831" s="64" t="s">
        <v>2890</v>
      </c>
      <c r="J3831" s="67">
        <v>2658.83</v>
      </c>
      <c r="K3831" s="62">
        <v>19247.13</v>
      </c>
      <c r="L3831" s="33" t="e">
        <f>HLOOKUP(B3831,#REF!,1,0)</f>
        <v>#REF!</v>
      </c>
      <c r="M3831" s="33" t="str">
        <f t="shared" si="239"/>
        <v>P&amp;L</v>
      </c>
    </row>
    <row r="3832" spans="1:13" s="33" customFormat="true" ht="12.75" customHeight="true">
      <c r="A3832" s="33" t="str">
        <f t="shared" si="236"/>
        <v>DF2 - CGS</v>
      </c>
      <c r="B3832" s="33" t="str">
        <f t="shared" si="237"/>
        <v>DF2</v>
      </c>
      <c r="C3832" s="33" t="str">
        <f t="shared" si="238"/>
        <v>50003-7392</v>
      </c>
      <c r="D3832" s="64" t="s">
        <v>4790</v>
      </c>
      <c r="E3832" s="64" t="s">
        <v>2888</v>
      </c>
      <c r="F3832" s="64" t="s">
        <v>15</v>
      </c>
      <c r="G3832" s="64" t="s">
        <v>2889</v>
      </c>
      <c r="H3832" s="64" t="s">
        <v>1875</v>
      </c>
      <c r="I3832" s="64" t="s">
        <v>2890</v>
      </c>
      <c r="J3832" s="67">
        <v>3029.64</v>
      </c>
      <c r="K3832" s="62">
        <v>25597.51</v>
      </c>
      <c r="L3832" s="33" t="e">
        <f>HLOOKUP(B3832,#REF!,1,0)</f>
        <v>#REF!</v>
      </c>
      <c r="M3832" s="33" t="str">
        <f t="shared" si="239"/>
        <v>P&amp;L</v>
      </c>
    </row>
    <row r="3833" spans="1:13" s="33" customFormat="true" ht="12.75" customHeight="true">
      <c r="A3833" s="33" t="str">
        <f t="shared" si="236"/>
        <v>DF2 - CGS</v>
      </c>
      <c r="B3833" s="33" t="str">
        <f t="shared" si="237"/>
        <v>DF2</v>
      </c>
      <c r="C3833" s="33" t="str">
        <f t="shared" si="238"/>
        <v>50003-7487</v>
      </c>
      <c r="D3833" s="64" t="s">
        <v>4791</v>
      </c>
      <c r="E3833" s="64" t="s">
        <v>2888</v>
      </c>
      <c r="F3833" s="64" t="s">
        <v>15</v>
      </c>
      <c r="G3833" s="64" t="s">
        <v>2889</v>
      </c>
      <c r="H3833" s="64" t="s">
        <v>1875</v>
      </c>
      <c r="I3833" s="64" t="s">
        <v>2890</v>
      </c>
      <c r="J3833" s="67">
        <v>1862.6</v>
      </c>
      <c r="K3833" s="62">
        <v>15404.57</v>
      </c>
      <c r="L3833" s="33" t="e">
        <f>HLOOKUP(B3833,#REF!,1,0)</f>
        <v>#REF!</v>
      </c>
      <c r="M3833" s="33" t="str">
        <f t="shared" si="239"/>
        <v>P&amp;L</v>
      </c>
    </row>
    <row r="3834" spans="1:13" s="33" customFormat="true" ht="12.75" customHeight="true">
      <c r="A3834" s="33" t="str">
        <f t="shared" si="236"/>
        <v>DF2 - CGS</v>
      </c>
      <c r="B3834" s="33" t="str">
        <f t="shared" si="237"/>
        <v>DF2</v>
      </c>
      <c r="C3834" s="33" t="str">
        <f t="shared" si="238"/>
        <v>50003-7488</v>
      </c>
      <c r="D3834" s="64" t="s">
        <v>4792</v>
      </c>
      <c r="E3834" s="64" t="s">
        <v>2888</v>
      </c>
      <c r="F3834" s="64" t="s">
        <v>15</v>
      </c>
      <c r="G3834" s="64" t="s">
        <v>2889</v>
      </c>
      <c r="H3834" s="64" t="s">
        <v>1875</v>
      </c>
      <c r="I3834" s="64" t="s">
        <v>2890</v>
      </c>
      <c r="J3834" s="67">
        <v>1546.32</v>
      </c>
      <c r="K3834" s="62">
        <v>12105.43</v>
      </c>
      <c r="L3834" s="33" t="e">
        <f>HLOOKUP(B3834,#REF!,1,0)</f>
        <v>#REF!</v>
      </c>
      <c r="M3834" s="33" t="str">
        <f t="shared" si="239"/>
        <v>P&amp;L</v>
      </c>
    </row>
    <row r="3835" spans="1:13" s="33" customFormat="true" ht="12.75" customHeight="true">
      <c r="A3835" s="33" t="str">
        <f t="shared" si="236"/>
        <v>DF2 - CGS</v>
      </c>
      <c r="B3835" s="33" t="str">
        <f t="shared" si="237"/>
        <v>DF2</v>
      </c>
      <c r="C3835" s="33" t="str">
        <f t="shared" si="238"/>
        <v>50003-7495</v>
      </c>
      <c r="D3835" s="64" t="s">
        <v>4793</v>
      </c>
      <c r="E3835" s="64" t="s">
        <v>2888</v>
      </c>
      <c r="F3835" s="64" t="s">
        <v>15</v>
      </c>
      <c r="G3835" s="64" t="s">
        <v>2889</v>
      </c>
      <c r="H3835" s="64" t="s">
        <v>1875</v>
      </c>
      <c r="I3835" s="64" t="s">
        <v>2890</v>
      </c>
      <c r="J3835" s="67">
        <v>2003.32</v>
      </c>
      <c r="K3835" s="62">
        <v>16061.41</v>
      </c>
      <c r="L3835" s="33" t="e">
        <f>HLOOKUP(B3835,#REF!,1,0)</f>
        <v>#REF!</v>
      </c>
      <c r="M3835" s="33" t="str">
        <f t="shared" si="239"/>
        <v>P&amp;L</v>
      </c>
    </row>
    <row r="3836" spans="1:13" s="33" customFormat="true" ht="12.75" customHeight="true">
      <c r="A3836" s="33" t="str">
        <f t="shared" si="236"/>
        <v>DF2 - CGS</v>
      </c>
      <c r="B3836" s="33" t="str">
        <f t="shared" si="237"/>
        <v>DF2</v>
      </c>
      <c r="C3836" s="33" t="str">
        <f t="shared" si="238"/>
        <v>50007-7367</v>
      </c>
      <c r="D3836" s="64" t="s">
        <v>4794</v>
      </c>
      <c r="E3836" s="64" t="s">
        <v>2895</v>
      </c>
      <c r="F3836" s="64" t="s">
        <v>15</v>
      </c>
      <c r="G3836" s="64" t="s">
        <v>2889</v>
      </c>
      <c r="H3836" s="64" t="s">
        <v>1875</v>
      </c>
      <c r="I3836" s="64" t="s">
        <v>2890</v>
      </c>
      <c r="J3836" s="67">
        <v>26598.05</v>
      </c>
      <c r="K3836" s="62">
        <v>260553.63</v>
      </c>
      <c r="L3836" s="33" t="e">
        <f>HLOOKUP(B3836,#REF!,1,0)</f>
        <v>#REF!</v>
      </c>
      <c r="M3836" s="33" t="str">
        <f t="shared" si="239"/>
        <v>P&amp;L</v>
      </c>
    </row>
    <row r="3837" spans="1:13" s="33" customFormat="true" ht="12.75" customHeight="true">
      <c r="A3837" s="33" t="str">
        <f t="shared" si="236"/>
        <v>DF2 - CGS</v>
      </c>
      <c r="B3837" s="33" t="str">
        <f t="shared" si="237"/>
        <v>DF2</v>
      </c>
      <c r="C3837" s="33" t="str">
        <f t="shared" si="238"/>
        <v>50007-7392</v>
      </c>
      <c r="D3837" s="64" t="s">
        <v>4795</v>
      </c>
      <c r="E3837" s="64" t="s">
        <v>2895</v>
      </c>
      <c r="F3837" s="64" t="s">
        <v>15</v>
      </c>
      <c r="G3837" s="64" t="s">
        <v>2889</v>
      </c>
      <c r="H3837" s="64" t="s">
        <v>1875</v>
      </c>
      <c r="I3837" s="64" t="s">
        <v>2890</v>
      </c>
      <c r="J3837" s="67">
        <v>39594.21</v>
      </c>
      <c r="K3837" s="62">
        <v>360945.4</v>
      </c>
      <c r="L3837" s="33" t="e">
        <f>HLOOKUP(B3837,#REF!,1,0)</f>
        <v>#REF!</v>
      </c>
      <c r="M3837" s="33" t="str">
        <f t="shared" si="239"/>
        <v>P&amp;L</v>
      </c>
    </row>
    <row r="3838" spans="1:13" s="33" customFormat="true" ht="12.75" customHeight="true">
      <c r="A3838" s="33" t="str">
        <f t="shared" si="236"/>
        <v>DF2 - CGS</v>
      </c>
      <c r="B3838" s="33" t="str">
        <f t="shared" si="237"/>
        <v>DF2</v>
      </c>
      <c r="C3838" s="33" t="str">
        <f t="shared" si="238"/>
        <v>50007-7487</v>
      </c>
      <c r="D3838" s="64" t="s">
        <v>4796</v>
      </c>
      <c r="E3838" s="64" t="s">
        <v>2895</v>
      </c>
      <c r="F3838" s="64" t="s">
        <v>15</v>
      </c>
      <c r="G3838" s="64" t="s">
        <v>2889</v>
      </c>
      <c r="H3838" s="64" t="s">
        <v>1875</v>
      </c>
      <c r="I3838" s="64" t="s">
        <v>2890</v>
      </c>
      <c r="J3838" s="67">
        <v>20128.37</v>
      </c>
      <c r="K3838" s="62">
        <v>206204.87</v>
      </c>
      <c r="L3838" s="33" t="e">
        <f>HLOOKUP(B3838,#REF!,1,0)</f>
        <v>#REF!</v>
      </c>
      <c r="M3838" s="33" t="str">
        <f t="shared" si="239"/>
        <v>P&amp;L</v>
      </c>
    </row>
    <row r="3839" spans="1:13" s="33" customFormat="true" ht="12.75" customHeight="true">
      <c r="A3839" s="33" t="str">
        <f t="shared" si="236"/>
        <v>DF2 - CGS</v>
      </c>
      <c r="B3839" s="33" t="str">
        <f t="shared" si="237"/>
        <v>DF2</v>
      </c>
      <c r="C3839" s="33" t="str">
        <f t="shared" si="238"/>
        <v>50007-7488</v>
      </c>
      <c r="D3839" s="64" t="s">
        <v>4797</v>
      </c>
      <c r="E3839" s="64" t="s">
        <v>2895</v>
      </c>
      <c r="F3839" s="64" t="s">
        <v>15</v>
      </c>
      <c r="G3839" s="64" t="s">
        <v>2889</v>
      </c>
      <c r="H3839" s="64" t="s">
        <v>1875</v>
      </c>
      <c r="I3839" s="64" t="s">
        <v>2890</v>
      </c>
      <c r="J3839" s="67">
        <v>16823.71</v>
      </c>
      <c r="K3839" s="62">
        <v>171695.02</v>
      </c>
      <c r="L3839" s="33" t="e">
        <f>HLOOKUP(B3839,#REF!,1,0)</f>
        <v>#REF!</v>
      </c>
      <c r="M3839" s="33" t="str">
        <f t="shared" si="239"/>
        <v>P&amp;L</v>
      </c>
    </row>
    <row r="3840" spans="1:13" s="33" customFormat="true" ht="12.75" customHeight="true">
      <c r="A3840" s="33" t="str">
        <f t="shared" si="236"/>
        <v>DF2 - CGS</v>
      </c>
      <c r="B3840" s="33" t="str">
        <f t="shared" si="237"/>
        <v>DF2</v>
      </c>
      <c r="C3840" s="33" t="str">
        <f t="shared" si="238"/>
        <v>50007-7495</v>
      </c>
      <c r="D3840" s="64" t="s">
        <v>4798</v>
      </c>
      <c r="E3840" s="64" t="s">
        <v>2895</v>
      </c>
      <c r="F3840" s="64" t="s">
        <v>15</v>
      </c>
      <c r="G3840" s="64" t="s">
        <v>2889</v>
      </c>
      <c r="H3840" s="64" t="s">
        <v>1875</v>
      </c>
      <c r="I3840" s="64" t="s">
        <v>2890</v>
      </c>
      <c r="J3840" s="67">
        <v>22454.04</v>
      </c>
      <c r="K3840" s="62">
        <v>222443.38</v>
      </c>
      <c r="L3840" s="33" t="e">
        <f>HLOOKUP(B3840,#REF!,1,0)</f>
        <v>#REF!</v>
      </c>
      <c r="M3840" s="33" t="str">
        <f t="shared" si="239"/>
        <v>P&amp;L</v>
      </c>
    </row>
    <row r="3841" spans="1:13" s="33" customFormat="true" ht="12.75" customHeight="true">
      <c r="A3841" s="33" t="str">
        <f t="shared" si="236"/>
        <v>DF2 - CGS</v>
      </c>
      <c r="B3841" s="33" t="str">
        <f t="shared" si="237"/>
        <v>DF2</v>
      </c>
      <c r="C3841" s="33" t="str">
        <f t="shared" si="238"/>
        <v>50099-7367</v>
      </c>
      <c r="D3841" s="64" t="s">
        <v>4799</v>
      </c>
      <c r="E3841" s="64" t="s">
        <v>2900</v>
      </c>
      <c r="F3841" s="64" t="s">
        <v>15</v>
      </c>
      <c r="G3841" s="64" t="s">
        <v>2889</v>
      </c>
      <c r="H3841" s="64" t="s">
        <v>1875</v>
      </c>
      <c r="I3841" s="64" t="s">
        <v>2901</v>
      </c>
      <c r="J3841" s="67">
        <v>-30071.63</v>
      </c>
      <c r="K3841" s="62">
        <v>-275664.53</v>
      </c>
      <c r="L3841" s="33" t="e">
        <f>HLOOKUP(B3841,#REF!,1,0)</f>
        <v>#REF!</v>
      </c>
      <c r="M3841" s="33" t="str">
        <f t="shared" si="239"/>
        <v>P&amp;L</v>
      </c>
    </row>
    <row r="3842" spans="1:13" s="33" customFormat="true" ht="12.75" customHeight="true">
      <c r="A3842" s="33" t="str">
        <f t="shared" ref="A3842:A3905" si="240">B3842&amp;" - "&amp;TRIM(H3842)</f>
        <v>DF2 - CGS</v>
      </c>
      <c r="B3842" s="33" t="str">
        <f t="shared" ref="B3842:B3905" si="241">LEFT(D3842,3)</f>
        <v>DF2</v>
      </c>
      <c r="C3842" s="33" t="str">
        <f t="shared" ref="C3842:C3905" si="242">RIGHT(D3842,10)</f>
        <v>50099-7392</v>
      </c>
      <c r="D3842" s="64" t="s">
        <v>4800</v>
      </c>
      <c r="E3842" s="64" t="s">
        <v>2900</v>
      </c>
      <c r="F3842" s="64" t="s">
        <v>15</v>
      </c>
      <c r="G3842" s="64" t="s">
        <v>2889</v>
      </c>
      <c r="H3842" s="64" t="s">
        <v>1875</v>
      </c>
      <c r="I3842" s="64" t="s">
        <v>2901</v>
      </c>
      <c r="J3842" s="67">
        <v>-39197.36</v>
      </c>
      <c r="K3842" s="62">
        <v>-353897.14</v>
      </c>
      <c r="L3842" s="33" t="e">
        <f>HLOOKUP(B3842,#REF!,1,0)</f>
        <v>#REF!</v>
      </c>
      <c r="M3842" s="33" t="str">
        <f t="shared" ref="M3842:M3905" si="243">IF(VALUE(LEFT(C3842,5))&gt;40000,"P&amp;L","BS")</f>
        <v>P&amp;L</v>
      </c>
    </row>
    <row r="3843" spans="1:13" s="33" customFormat="true" ht="12.75" customHeight="true">
      <c r="A3843" s="33" t="str">
        <f t="shared" si="240"/>
        <v>DF2 - CGS</v>
      </c>
      <c r="B3843" s="33" t="str">
        <f t="shared" si="241"/>
        <v>DF2</v>
      </c>
      <c r="C3843" s="33" t="str">
        <f t="shared" si="242"/>
        <v>50099-7487</v>
      </c>
      <c r="D3843" s="64" t="s">
        <v>4801</v>
      </c>
      <c r="E3843" s="64" t="s">
        <v>2900</v>
      </c>
      <c r="F3843" s="64" t="s">
        <v>15</v>
      </c>
      <c r="G3843" s="64" t="s">
        <v>2889</v>
      </c>
      <c r="H3843" s="64" t="s">
        <v>1875</v>
      </c>
      <c r="I3843" s="64" t="s">
        <v>2901</v>
      </c>
      <c r="J3843" s="67">
        <v>-22817.48</v>
      </c>
      <c r="K3843" s="62">
        <v>-212676.82</v>
      </c>
      <c r="L3843" s="33" t="e">
        <f>HLOOKUP(B3843,#REF!,1,0)</f>
        <v>#REF!</v>
      </c>
      <c r="M3843" s="33" t="str">
        <f t="shared" si="243"/>
        <v>P&amp;L</v>
      </c>
    </row>
    <row r="3844" spans="1:13" s="33" customFormat="true" ht="12.75" customHeight="true">
      <c r="A3844" s="33" t="str">
        <f t="shared" si="240"/>
        <v>DF2 - CGS</v>
      </c>
      <c r="B3844" s="33" t="str">
        <f t="shared" si="241"/>
        <v>DF2</v>
      </c>
      <c r="C3844" s="33" t="str">
        <f t="shared" si="242"/>
        <v>50099-7488</v>
      </c>
      <c r="D3844" s="64" t="s">
        <v>4802</v>
      </c>
      <c r="E3844" s="64" t="s">
        <v>2900</v>
      </c>
      <c r="F3844" s="64" t="s">
        <v>15</v>
      </c>
      <c r="G3844" s="64" t="s">
        <v>2889</v>
      </c>
      <c r="H3844" s="64" t="s">
        <v>1875</v>
      </c>
      <c r="I3844" s="64" t="s">
        <v>2901</v>
      </c>
      <c r="J3844" s="67">
        <v>-19400.85</v>
      </c>
      <c r="K3844" s="62">
        <v>-172054.95</v>
      </c>
      <c r="L3844" s="33" t="e">
        <f>HLOOKUP(B3844,#REF!,1,0)</f>
        <v>#REF!</v>
      </c>
      <c r="M3844" s="33" t="str">
        <f t="shared" si="243"/>
        <v>P&amp;L</v>
      </c>
    </row>
    <row r="3845" spans="1:13" s="33" customFormat="true" ht="12.75" customHeight="true">
      <c r="A3845" s="33" t="str">
        <f t="shared" si="240"/>
        <v>DF2 - CGS</v>
      </c>
      <c r="B3845" s="33" t="str">
        <f t="shared" si="241"/>
        <v>DF2</v>
      </c>
      <c r="C3845" s="33" t="str">
        <f t="shared" si="242"/>
        <v>50099-7495</v>
      </c>
      <c r="D3845" s="64" t="s">
        <v>4803</v>
      </c>
      <c r="E3845" s="64" t="s">
        <v>2900</v>
      </c>
      <c r="F3845" s="64" t="s">
        <v>15</v>
      </c>
      <c r="G3845" s="64" t="s">
        <v>2889</v>
      </c>
      <c r="H3845" s="64" t="s">
        <v>1875</v>
      </c>
      <c r="I3845" s="64" t="s">
        <v>2901</v>
      </c>
      <c r="J3845" s="67">
        <v>-24062.9</v>
      </c>
      <c r="K3845" s="62">
        <v>-217754.99</v>
      </c>
      <c r="L3845" s="33" t="e">
        <f>HLOOKUP(B3845,#REF!,1,0)</f>
        <v>#REF!</v>
      </c>
      <c r="M3845" s="33" t="str">
        <f t="shared" si="243"/>
        <v>P&amp;L</v>
      </c>
    </row>
    <row r="3846" spans="1:13" s="33" customFormat="true" ht="12.75" customHeight="true">
      <c r="A3846" s="33" t="str">
        <f t="shared" si="240"/>
        <v>DF2 - CGS</v>
      </c>
      <c r="B3846" s="33" t="str">
        <f t="shared" si="241"/>
        <v>DF2</v>
      </c>
      <c r="C3846" s="33" t="str">
        <f t="shared" si="242"/>
        <v>50100-7367</v>
      </c>
      <c r="D3846" s="64" t="s">
        <v>4804</v>
      </c>
      <c r="E3846" s="64" t="s">
        <v>2907</v>
      </c>
      <c r="F3846" s="64" t="s">
        <v>15</v>
      </c>
      <c r="G3846" s="64" t="s">
        <v>2889</v>
      </c>
      <c r="H3846" s="64" t="s">
        <v>1875</v>
      </c>
      <c r="I3846" s="64" t="s">
        <v>2908</v>
      </c>
      <c r="J3846" s="67">
        <v>30071.63</v>
      </c>
      <c r="K3846" s="62">
        <v>275664.53</v>
      </c>
      <c r="L3846" s="33" t="e">
        <f>HLOOKUP(B3846,#REF!,1,0)</f>
        <v>#REF!</v>
      </c>
      <c r="M3846" s="33" t="str">
        <f t="shared" si="243"/>
        <v>P&amp;L</v>
      </c>
    </row>
    <row r="3847" spans="1:13" s="33" customFormat="true" ht="12.75" customHeight="true">
      <c r="A3847" s="33" t="str">
        <f t="shared" si="240"/>
        <v>DF2 - CGS</v>
      </c>
      <c r="B3847" s="33" t="str">
        <f t="shared" si="241"/>
        <v>DF2</v>
      </c>
      <c r="C3847" s="33" t="str">
        <f t="shared" si="242"/>
        <v>50100-7392</v>
      </c>
      <c r="D3847" s="64" t="s">
        <v>4805</v>
      </c>
      <c r="E3847" s="64" t="s">
        <v>2907</v>
      </c>
      <c r="F3847" s="64" t="s">
        <v>15</v>
      </c>
      <c r="G3847" s="64" t="s">
        <v>2889</v>
      </c>
      <c r="H3847" s="64" t="s">
        <v>1875</v>
      </c>
      <c r="I3847" s="64" t="s">
        <v>2908</v>
      </c>
      <c r="J3847" s="67">
        <v>39197.36</v>
      </c>
      <c r="K3847" s="62">
        <v>353897.14</v>
      </c>
      <c r="L3847" s="33" t="e">
        <f>HLOOKUP(B3847,#REF!,1,0)</f>
        <v>#REF!</v>
      </c>
      <c r="M3847" s="33" t="str">
        <f t="shared" si="243"/>
        <v>P&amp;L</v>
      </c>
    </row>
    <row r="3848" spans="1:13" s="33" customFormat="true" ht="12.75" customHeight="true">
      <c r="A3848" s="33" t="str">
        <f t="shared" si="240"/>
        <v>DF2 - CGS</v>
      </c>
      <c r="B3848" s="33" t="str">
        <f t="shared" si="241"/>
        <v>DF2</v>
      </c>
      <c r="C3848" s="33" t="str">
        <f t="shared" si="242"/>
        <v>50100-7487</v>
      </c>
      <c r="D3848" s="64" t="s">
        <v>4806</v>
      </c>
      <c r="E3848" s="64" t="s">
        <v>2907</v>
      </c>
      <c r="F3848" s="64" t="s">
        <v>15</v>
      </c>
      <c r="G3848" s="64" t="s">
        <v>2889</v>
      </c>
      <c r="H3848" s="64" t="s">
        <v>1875</v>
      </c>
      <c r="I3848" s="64" t="s">
        <v>2908</v>
      </c>
      <c r="J3848" s="67">
        <v>22817.48</v>
      </c>
      <c r="K3848" s="62">
        <v>212676.82</v>
      </c>
      <c r="L3848" s="33" t="e">
        <f>HLOOKUP(B3848,#REF!,1,0)</f>
        <v>#REF!</v>
      </c>
      <c r="M3848" s="33" t="str">
        <f t="shared" si="243"/>
        <v>P&amp;L</v>
      </c>
    </row>
    <row r="3849" spans="1:13" s="33" customFormat="true" ht="12.75" customHeight="true">
      <c r="A3849" s="33" t="str">
        <f t="shared" si="240"/>
        <v>DF2 - CGS</v>
      </c>
      <c r="B3849" s="33" t="str">
        <f t="shared" si="241"/>
        <v>DF2</v>
      </c>
      <c r="C3849" s="33" t="str">
        <f t="shared" si="242"/>
        <v>50100-7488</v>
      </c>
      <c r="D3849" s="64" t="s">
        <v>4807</v>
      </c>
      <c r="E3849" s="64" t="s">
        <v>2907</v>
      </c>
      <c r="F3849" s="64" t="s">
        <v>15</v>
      </c>
      <c r="G3849" s="64" t="s">
        <v>2889</v>
      </c>
      <c r="H3849" s="64" t="s">
        <v>1875</v>
      </c>
      <c r="I3849" s="64" t="s">
        <v>2908</v>
      </c>
      <c r="J3849" s="67">
        <v>19400.85</v>
      </c>
      <c r="K3849" s="62">
        <v>172054.95</v>
      </c>
      <c r="L3849" s="33" t="e">
        <f>HLOOKUP(B3849,#REF!,1,0)</f>
        <v>#REF!</v>
      </c>
      <c r="M3849" s="33" t="str">
        <f t="shared" si="243"/>
        <v>P&amp;L</v>
      </c>
    </row>
    <row r="3850" spans="1:13" s="33" customFormat="true" ht="12.75" customHeight="true">
      <c r="A3850" s="33" t="str">
        <f t="shared" si="240"/>
        <v>DF2 - CGS</v>
      </c>
      <c r="B3850" s="33" t="str">
        <f t="shared" si="241"/>
        <v>DF2</v>
      </c>
      <c r="C3850" s="33" t="str">
        <f t="shared" si="242"/>
        <v>50100-7495</v>
      </c>
      <c r="D3850" s="64" t="s">
        <v>4808</v>
      </c>
      <c r="E3850" s="64" t="s">
        <v>2907</v>
      </c>
      <c r="F3850" s="64" t="s">
        <v>15</v>
      </c>
      <c r="G3850" s="64" t="s">
        <v>2889</v>
      </c>
      <c r="H3850" s="64" t="s">
        <v>1875</v>
      </c>
      <c r="I3850" s="64" t="s">
        <v>2908</v>
      </c>
      <c r="J3850" s="67">
        <v>24062.9</v>
      </c>
      <c r="K3850" s="62">
        <v>217754.99</v>
      </c>
      <c r="L3850" s="33" t="e">
        <f>HLOOKUP(B3850,#REF!,1,0)</f>
        <v>#REF!</v>
      </c>
      <c r="M3850" s="33" t="str">
        <f t="shared" si="243"/>
        <v>P&amp;L</v>
      </c>
    </row>
    <row r="3851" spans="1:13" s="33" customFormat="true" ht="12.75" customHeight="true">
      <c r="A3851" s="33" t="str">
        <f t="shared" si="240"/>
        <v>DF2 - CGS</v>
      </c>
      <c r="B3851" s="33" t="str">
        <f t="shared" si="241"/>
        <v>DF2</v>
      </c>
      <c r="C3851" s="33" t="str">
        <f t="shared" si="242"/>
        <v>51001-7367</v>
      </c>
      <c r="D3851" s="64" t="s">
        <v>4809</v>
      </c>
      <c r="E3851" s="64" t="s">
        <v>2914</v>
      </c>
      <c r="F3851" s="64" t="s">
        <v>15</v>
      </c>
      <c r="G3851" s="64" t="s">
        <v>2889</v>
      </c>
      <c r="H3851" s="64" t="s">
        <v>1875</v>
      </c>
      <c r="I3851" s="64" t="s">
        <v>2915</v>
      </c>
      <c r="J3851" s="67">
        <v>1795.56</v>
      </c>
      <c r="K3851" s="62">
        <v>20836.76</v>
      </c>
      <c r="L3851" s="33" t="e">
        <f>HLOOKUP(B3851,#REF!,1,0)</f>
        <v>#REF!</v>
      </c>
      <c r="M3851" s="33" t="str">
        <f t="shared" si="243"/>
        <v>P&amp;L</v>
      </c>
    </row>
    <row r="3852" spans="1:13" s="33" customFormat="true" ht="12.75" customHeight="true">
      <c r="A3852" s="33" t="str">
        <f t="shared" si="240"/>
        <v>DF2 - CGS</v>
      </c>
      <c r="B3852" s="33" t="str">
        <f t="shared" si="241"/>
        <v>DF2</v>
      </c>
      <c r="C3852" s="33" t="str">
        <f t="shared" si="242"/>
        <v>51001-7392</v>
      </c>
      <c r="D3852" s="64" t="s">
        <v>4810</v>
      </c>
      <c r="E3852" s="64" t="s">
        <v>2914</v>
      </c>
      <c r="F3852" s="64" t="s">
        <v>15</v>
      </c>
      <c r="G3852" s="64" t="s">
        <v>2889</v>
      </c>
      <c r="H3852" s="64" t="s">
        <v>1875</v>
      </c>
      <c r="I3852" s="64" t="s">
        <v>2915</v>
      </c>
      <c r="J3852" s="67">
        <v>2665.59</v>
      </c>
      <c r="K3852" s="62">
        <v>28347.2</v>
      </c>
      <c r="L3852" s="33" t="e">
        <f>HLOOKUP(B3852,#REF!,1,0)</f>
        <v>#REF!</v>
      </c>
      <c r="M3852" s="33" t="str">
        <f t="shared" si="243"/>
        <v>P&amp;L</v>
      </c>
    </row>
    <row r="3853" spans="1:13" s="33" customFormat="true" ht="12.75" customHeight="true">
      <c r="A3853" s="33" t="str">
        <f t="shared" si="240"/>
        <v>DF2 - CGS</v>
      </c>
      <c r="B3853" s="33" t="str">
        <f t="shared" si="241"/>
        <v>DF2</v>
      </c>
      <c r="C3853" s="33" t="str">
        <f t="shared" si="242"/>
        <v>51001-7487</v>
      </c>
      <c r="D3853" s="64" t="s">
        <v>4811</v>
      </c>
      <c r="E3853" s="64" t="s">
        <v>2914</v>
      </c>
      <c r="F3853" s="64" t="s">
        <v>15</v>
      </c>
      <c r="G3853" s="64" t="s">
        <v>2889</v>
      </c>
      <c r="H3853" s="64" t="s">
        <v>1875</v>
      </c>
      <c r="I3853" s="64" t="s">
        <v>2915</v>
      </c>
      <c r="J3853" s="67">
        <v>1769.96</v>
      </c>
      <c r="K3853" s="62">
        <v>19166.26</v>
      </c>
      <c r="L3853" s="33" t="e">
        <f>HLOOKUP(B3853,#REF!,1,0)</f>
        <v>#REF!</v>
      </c>
      <c r="M3853" s="33" t="str">
        <f t="shared" si="243"/>
        <v>P&amp;L</v>
      </c>
    </row>
    <row r="3854" spans="1:13" s="33" customFormat="true" ht="12.75" customHeight="true">
      <c r="A3854" s="33" t="str">
        <f t="shared" si="240"/>
        <v>DF2 - CGS</v>
      </c>
      <c r="B3854" s="33" t="str">
        <f t="shared" si="241"/>
        <v>DF2</v>
      </c>
      <c r="C3854" s="33" t="str">
        <f t="shared" si="242"/>
        <v>51001-7488</v>
      </c>
      <c r="D3854" s="64" t="s">
        <v>4812</v>
      </c>
      <c r="E3854" s="64" t="s">
        <v>2914</v>
      </c>
      <c r="F3854" s="64" t="s">
        <v>15</v>
      </c>
      <c r="G3854" s="64" t="s">
        <v>2889</v>
      </c>
      <c r="H3854" s="64" t="s">
        <v>1875</v>
      </c>
      <c r="I3854" s="64" t="s">
        <v>2915</v>
      </c>
      <c r="J3854" s="67">
        <v>1121.52</v>
      </c>
      <c r="K3854" s="62">
        <v>15851.07</v>
      </c>
      <c r="L3854" s="33" t="e">
        <f>HLOOKUP(B3854,#REF!,1,0)</f>
        <v>#REF!</v>
      </c>
      <c r="M3854" s="33" t="str">
        <f t="shared" si="243"/>
        <v>P&amp;L</v>
      </c>
    </row>
    <row r="3855" spans="1:13" s="33" customFormat="true" ht="12.75" customHeight="true">
      <c r="A3855" s="33" t="str">
        <f t="shared" si="240"/>
        <v>DF2 - CGS</v>
      </c>
      <c r="B3855" s="33" t="str">
        <f t="shared" si="241"/>
        <v>DF2</v>
      </c>
      <c r="C3855" s="33" t="str">
        <f t="shared" si="242"/>
        <v>51001-7495</v>
      </c>
      <c r="D3855" s="64" t="s">
        <v>4813</v>
      </c>
      <c r="E3855" s="64" t="s">
        <v>2914</v>
      </c>
      <c r="F3855" s="64" t="s">
        <v>15</v>
      </c>
      <c r="G3855" s="64" t="s">
        <v>2889</v>
      </c>
      <c r="H3855" s="64" t="s">
        <v>1875</v>
      </c>
      <c r="I3855" s="64" t="s">
        <v>2915</v>
      </c>
      <c r="J3855" s="67">
        <v>1762.16</v>
      </c>
      <c r="K3855" s="62">
        <v>18416.15</v>
      </c>
      <c r="L3855" s="33" t="e">
        <f>HLOOKUP(B3855,#REF!,1,0)</f>
        <v>#REF!</v>
      </c>
      <c r="M3855" s="33" t="str">
        <f t="shared" si="243"/>
        <v>P&amp;L</v>
      </c>
    </row>
    <row r="3856" spans="1:13" s="33" customFormat="true" ht="12.75" customHeight="true">
      <c r="A3856" s="33" t="str">
        <f t="shared" si="240"/>
        <v>DF2 - CGS</v>
      </c>
      <c r="B3856" s="33" t="str">
        <f t="shared" si="241"/>
        <v>DF2</v>
      </c>
      <c r="C3856" s="33" t="str">
        <f t="shared" si="242"/>
        <v>52001-0000</v>
      </c>
      <c r="D3856" s="64" t="s">
        <v>4814</v>
      </c>
      <c r="E3856" s="64" t="s">
        <v>2920</v>
      </c>
      <c r="F3856" s="64" t="s">
        <v>15</v>
      </c>
      <c r="G3856" s="64" t="s">
        <v>2921</v>
      </c>
      <c r="H3856" s="64" t="s">
        <v>1875</v>
      </c>
      <c r="I3856" s="64" t="s">
        <v>2922</v>
      </c>
      <c r="J3856" s="67">
        <v>0</v>
      </c>
      <c r="K3856" s="62">
        <v>0</v>
      </c>
      <c r="L3856" s="33" t="e">
        <f>HLOOKUP(B3856,#REF!,1,0)</f>
        <v>#REF!</v>
      </c>
      <c r="M3856" s="33" t="str">
        <f t="shared" si="243"/>
        <v>P&amp;L</v>
      </c>
    </row>
    <row r="3857" spans="1:13" s="33" customFormat="true" ht="12.75" customHeight="true">
      <c r="A3857" s="33" t="str">
        <f t="shared" si="240"/>
        <v>DF2 - CGS</v>
      </c>
      <c r="B3857" s="33" t="str">
        <f t="shared" si="241"/>
        <v>DF2</v>
      </c>
      <c r="C3857" s="33" t="str">
        <f t="shared" si="242"/>
        <v>52001-7367</v>
      </c>
      <c r="D3857" s="64" t="s">
        <v>4815</v>
      </c>
      <c r="E3857" s="64" t="s">
        <v>2920</v>
      </c>
      <c r="F3857" s="64" t="s">
        <v>15</v>
      </c>
      <c r="G3857" s="64" t="s">
        <v>2921</v>
      </c>
      <c r="H3857" s="64" t="s">
        <v>1875</v>
      </c>
      <c r="I3857" s="64" t="s">
        <v>2922</v>
      </c>
      <c r="J3857" s="67">
        <v>13003.45</v>
      </c>
      <c r="K3857" s="62">
        <v>186624.67</v>
      </c>
      <c r="L3857" s="33" t="e">
        <f>HLOOKUP(B3857,#REF!,1,0)</f>
        <v>#REF!</v>
      </c>
      <c r="M3857" s="33" t="str">
        <f t="shared" si="243"/>
        <v>P&amp;L</v>
      </c>
    </row>
    <row r="3858" spans="1:13" s="33" customFormat="true" ht="12.75" customHeight="true">
      <c r="A3858" s="33" t="str">
        <f t="shared" si="240"/>
        <v>DF2 - CGS</v>
      </c>
      <c r="B3858" s="33" t="str">
        <f t="shared" si="241"/>
        <v>DF2</v>
      </c>
      <c r="C3858" s="33" t="str">
        <f t="shared" si="242"/>
        <v>52001-7392</v>
      </c>
      <c r="D3858" s="64" t="s">
        <v>4816</v>
      </c>
      <c r="E3858" s="64" t="s">
        <v>2920</v>
      </c>
      <c r="F3858" s="64" t="s">
        <v>15</v>
      </c>
      <c r="G3858" s="64" t="s">
        <v>2921</v>
      </c>
      <c r="H3858" s="64" t="s">
        <v>1875</v>
      </c>
      <c r="I3858" s="64" t="s">
        <v>2922</v>
      </c>
      <c r="J3858" s="67">
        <v>14211.76</v>
      </c>
      <c r="K3858" s="62">
        <v>191241.15</v>
      </c>
      <c r="L3858" s="33" t="e">
        <f>HLOOKUP(B3858,#REF!,1,0)</f>
        <v>#REF!</v>
      </c>
      <c r="M3858" s="33" t="str">
        <f t="shared" si="243"/>
        <v>P&amp;L</v>
      </c>
    </row>
    <row r="3859" spans="1:13" s="33" customFormat="true" ht="12.75" customHeight="true">
      <c r="A3859" s="33" t="str">
        <f t="shared" si="240"/>
        <v>DF2 - CGS</v>
      </c>
      <c r="B3859" s="33" t="str">
        <f t="shared" si="241"/>
        <v>DF2</v>
      </c>
      <c r="C3859" s="33" t="str">
        <f t="shared" si="242"/>
        <v>52001-7487</v>
      </c>
      <c r="D3859" s="64" t="s">
        <v>4817</v>
      </c>
      <c r="E3859" s="64" t="s">
        <v>2920</v>
      </c>
      <c r="F3859" s="64" t="s">
        <v>15</v>
      </c>
      <c r="G3859" s="64" t="s">
        <v>2921</v>
      </c>
      <c r="H3859" s="64" t="s">
        <v>1875</v>
      </c>
      <c r="I3859" s="64" t="s">
        <v>2922</v>
      </c>
      <c r="J3859" s="67">
        <v>15817.28</v>
      </c>
      <c r="K3859" s="62">
        <v>185064.71</v>
      </c>
      <c r="L3859" s="33" t="e">
        <f>HLOOKUP(B3859,#REF!,1,0)</f>
        <v>#REF!</v>
      </c>
      <c r="M3859" s="33" t="str">
        <f t="shared" si="243"/>
        <v>P&amp;L</v>
      </c>
    </row>
    <row r="3860" spans="1:13" s="33" customFormat="true" ht="12.75" customHeight="true">
      <c r="A3860" s="33" t="str">
        <f t="shared" si="240"/>
        <v>DF2 - CGS</v>
      </c>
      <c r="B3860" s="33" t="str">
        <f t="shared" si="241"/>
        <v>DF2</v>
      </c>
      <c r="C3860" s="33" t="str">
        <f t="shared" si="242"/>
        <v>52001-7488</v>
      </c>
      <c r="D3860" s="64" t="s">
        <v>4818</v>
      </c>
      <c r="E3860" s="64" t="s">
        <v>2920</v>
      </c>
      <c r="F3860" s="64" t="s">
        <v>15</v>
      </c>
      <c r="G3860" s="64" t="s">
        <v>2921</v>
      </c>
      <c r="H3860" s="64" t="s">
        <v>1875</v>
      </c>
      <c r="I3860" s="64" t="s">
        <v>2922</v>
      </c>
      <c r="J3860" s="67">
        <v>15266.41</v>
      </c>
      <c r="K3860" s="62">
        <v>158879.71</v>
      </c>
      <c r="L3860" s="33" t="e">
        <f>HLOOKUP(B3860,#REF!,1,0)</f>
        <v>#REF!</v>
      </c>
      <c r="M3860" s="33" t="str">
        <f t="shared" si="243"/>
        <v>P&amp;L</v>
      </c>
    </row>
    <row r="3861" spans="1:13" s="33" customFormat="true" ht="12.75" customHeight="true">
      <c r="A3861" s="33" t="str">
        <f t="shared" si="240"/>
        <v>DF2 - CGS</v>
      </c>
      <c r="B3861" s="33" t="str">
        <f t="shared" si="241"/>
        <v>DF2</v>
      </c>
      <c r="C3861" s="33" t="str">
        <f t="shared" si="242"/>
        <v>52001-7495</v>
      </c>
      <c r="D3861" s="64" t="s">
        <v>4819</v>
      </c>
      <c r="E3861" s="64" t="s">
        <v>2920</v>
      </c>
      <c r="F3861" s="64" t="s">
        <v>15</v>
      </c>
      <c r="G3861" s="64" t="s">
        <v>2921</v>
      </c>
      <c r="H3861" s="64" t="s">
        <v>1875</v>
      </c>
      <c r="I3861" s="64" t="s">
        <v>2922</v>
      </c>
      <c r="J3861" s="67">
        <v>18398.87</v>
      </c>
      <c r="K3861" s="62">
        <v>160477.63</v>
      </c>
      <c r="L3861" s="33" t="e">
        <f>HLOOKUP(B3861,#REF!,1,0)</f>
        <v>#REF!</v>
      </c>
      <c r="M3861" s="33" t="str">
        <f t="shared" si="243"/>
        <v>P&amp;L</v>
      </c>
    </row>
    <row r="3862" spans="1:13" s="33" customFormat="true" ht="12.75" customHeight="true">
      <c r="A3862" s="33" t="str">
        <f t="shared" si="240"/>
        <v>DF2 - CGS</v>
      </c>
      <c r="B3862" s="33" t="str">
        <f t="shared" si="241"/>
        <v>DF2</v>
      </c>
      <c r="C3862" s="33" t="str">
        <f t="shared" si="242"/>
        <v>52002-7367</v>
      </c>
      <c r="D3862" s="64" t="s">
        <v>4820</v>
      </c>
      <c r="E3862" s="64" t="s">
        <v>2927</v>
      </c>
      <c r="F3862" s="64" t="s">
        <v>15</v>
      </c>
      <c r="G3862" s="64" t="s">
        <v>2921</v>
      </c>
      <c r="H3862" s="64" t="s">
        <v>1875</v>
      </c>
      <c r="I3862" s="64" t="s">
        <v>2928</v>
      </c>
      <c r="J3862" s="67">
        <v>10560.65</v>
      </c>
      <c r="K3862" s="62">
        <v>54139.24</v>
      </c>
      <c r="L3862" s="33" t="e">
        <f>HLOOKUP(B3862,#REF!,1,0)</f>
        <v>#REF!</v>
      </c>
      <c r="M3862" s="33" t="str">
        <f t="shared" si="243"/>
        <v>P&amp;L</v>
      </c>
    </row>
    <row r="3863" spans="1:13" s="33" customFormat="true" ht="12.75" customHeight="true">
      <c r="A3863" s="33" t="str">
        <f t="shared" si="240"/>
        <v>DF2 - CGS</v>
      </c>
      <c r="B3863" s="33" t="str">
        <f t="shared" si="241"/>
        <v>DF2</v>
      </c>
      <c r="C3863" s="33" t="str">
        <f t="shared" si="242"/>
        <v>52002-7392</v>
      </c>
      <c r="D3863" s="64" t="s">
        <v>4821</v>
      </c>
      <c r="E3863" s="64" t="s">
        <v>2927</v>
      </c>
      <c r="F3863" s="64" t="s">
        <v>15</v>
      </c>
      <c r="G3863" s="64" t="s">
        <v>2921</v>
      </c>
      <c r="H3863" s="64" t="s">
        <v>1875</v>
      </c>
      <c r="I3863" s="64" t="s">
        <v>2928</v>
      </c>
      <c r="J3863" s="67">
        <v>13149.14</v>
      </c>
      <c r="K3863" s="62">
        <v>98260.89</v>
      </c>
      <c r="L3863" s="33" t="e">
        <f>HLOOKUP(B3863,#REF!,1,0)</f>
        <v>#REF!</v>
      </c>
      <c r="M3863" s="33" t="str">
        <f t="shared" si="243"/>
        <v>P&amp;L</v>
      </c>
    </row>
    <row r="3864" spans="1:13" s="33" customFormat="true" ht="12.75" customHeight="true">
      <c r="A3864" s="33" t="str">
        <f t="shared" si="240"/>
        <v>DF2 - CGS</v>
      </c>
      <c r="B3864" s="33" t="str">
        <f t="shared" si="241"/>
        <v>DF2</v>
      </c>
      <c r="C3864" s="33" t="str">
        <f t="shared" si="242"/>
        <v>52002-7487</v>
      </c>
      <c r="D3864" s="64" t="s">
        <v>4822</v>
      </c>
      <c r="E3864" s="64" t="s">
        <v>2927</v>
      </c>
      <c r="F3864" s="64" t="s">
        <v>15</v>
      </c>
      <c r="G3864" s="64" t="s">
        <v>2921</v>
      </c>
      <c r="H3864" s="64" t="s">
        <v>1875</v>
      </c>
      <c r="I3864" s="64" t="s">
        <v>2928</v>
      </c>
      <c r="J3864" s="67">
        <v>4274.07</v>
      </c>
      <c r="K3864" s="62">
        <v>29158.4</v>
      </c>
      <c r="L3864" s="33" t="e">
        <f>HLOOKUP(B3864,#REF!,1,0)</f>
        <v>#REF!</v>
      </c>
      <c r="M3864" s="33" t="str">
        <f t="shared" si="243"/>
        <v>P&amp;L</v>
      </c>
    </row>
    <row r="3865" spans="1:13" s="33" customFormat="true" ht="12.75" customHeight="true">
      <c r="A3865" s="33" t="str">
        <f t="shared" si="240"/>
        <v>DF2 - CGS</v>
      </c>
      <c r="B3865" s="33" t="str">
        <f t="shared" si="241"/>
        <v>DF2</v>
      </c>
      <c r="C3865" s="33" t="str">
        <f t="shared" si="242"/>
        <v>52002-7488</v>
      </c>
      <c r="D3865" s="64" t="s">
        <v>4823</v>
      </c>
      <c r="E3865" s="64" t="s">
        <v>2927</v>
      </c>
      <c r="F3865" s="64" t="s">
        <v>15</v>
      </c>
      <c r="G3865" s="64" t="s">
        <v>2921</v>
      </c>
      <c r="H3865" s="64" t="s">
        <v>1875</v>
      </c>
      <c r="I3865" s="64" t="s">
        <v>2928</v>
      </c>
      <c r="J3865" s="67">
        <v>3812.73</v>
      </c>
      <c r="K3865" s="62">
        <v>38207.45</v>
      </c>
      <c r="L3865" s="33" t="e">
        <f>HLOOKUP(B3865,#REF!,1,0)</f>
        <v>#REF!</v>
      </c>
      <c r="M3865" s="33" t="str">
        <f t="shared" si="243"/>
        <v>P&amp;L</v>
      </c>
    </row>
    <row r="3866" spans="1:13" s="33" customFormat="true" ht="12.75" customHeight="true">
      <c r="A3866" s="33" t="str">
        <f t="shared" si="240"/>
        <v>DF2 - CGS</v>
      </c>
      <c r="B3866" s="33" t="str">
        <f t="shared" si="241"/>
        <v>DF2</v>
      </c>
      <c r="C3866" s="33" t="str">
        <f t="shared" si="242"/>
        <v>52002-7495</v>
      </c>
      <c r="D3866" s="64" t="s">
        <v>4824</v>
      </c>
      <c r="E3866" s="64" t="s">
        <v>2927</v>
      </c>
      <c r="F3866" s="64" t="s">
        <v>15</v>
      </c>
      <c r="G3866" s="64" t="s">
        <v>2921</v>
      </c>
      <c r="H3866" s="64" t="s">
        <v>1875</v>
      </c>
      <c r="I3866" s="64" t="s">
        <v>2928</v>
      </c>
      <c r="J3866" s="67">
        <v>746.64</v>
      </c>
      <c r="K3866" s="62">
        <v>34084.06</v>
      </c>
      <c r="L3866" s="33" t="e">
        <f>HLOOKUP(B3866,#REF!,1,0)</f>
        <v>#REF!</v>
      </c>
      <c r="M3866" s="33" t="str">
        <f t="shared" si="243"/>
        <v>P&amp;L</v>
      </c>
    </row>
    <row r="3867" spans="1:13" s="33" customFormat="true" ht="12.75" customHeight="true">
      <c r="A3867" s="33" t="str">
        <f t="shared" si="240"/>
        <v>DF2 - CGS</v>
      </c>
      <c r="B3867" s="33" t="str">
        <f t="shared" si="241"/>
        <v>DF2</v>
      </c>
      <c r="C3867" s="33" t="str">
        <f t="shared" si="242"/>
        <v>52003-7367</v>
      </c>
      <c r="D3867" s="64" t="s">
        <v>4825</v>
      </c>
      <c r="E3867" s="64" t="s">
        <v>2933</v>
      </c>
      <c r="F3867" s="64" t="s">
        <v>15</v>
      </c>
      <c r="G3867" s="64" t="s">
        <v>2921</v>
      </c>
      <c r="H3867" s="64" t="s">
        <v>1875</v>
      </c>
      <c r="I3867" s="64" t="s">
        <v>2934</v>
      </c>
      <c r="J3867" s="67">
        <v>32</v>
      </c>
      <c r="K3867" s="62">
        <v>1585.32</v>
      </c>
      <c r="L3867" s="33" t="e">
        <f>HLOOKUP(B3867,#REF!,1,0)</f>
        <v>#REF!</v>
      </c>
      <c r="M3867" s="33" t="str">
        <f t="shared" si="243"/>
        <v>P&amp;L</v>
      </c>
    </row>
    <row r="3868" spans="1:13" s="33" customFormat="true" ht="12.75" customHeight="true">
      <c r="A3868" s="33" t="str">
        <f t="shared" si="240"/>
        <v>DF2 - CGS</v>
      </c>
      <c r="B3868" s="33" t="str">
        <f t="shared" si="241"/>
        <v>DF2</v>
      </c>
      <c r="C3868" s="33" t="str">
        <f t="shared" si="242"/>
        <v>52003-7392</v>
      </c>
      <c r="D3868" s="64" t="s">
        <v>4826</v>
      </c>
      <c r="E3868" s="64" t="s">
        <v>2933</v>
      </c>
      <c r="F3868" s="64" t="s">
        <v>15</v>
      </c>
      <c r="G3868" s="64" t="s">
        <v>2921</v>
      </c>
      <c r="H3868" s="64" t="s">
        <v>1875</v>
      </c>
      <c r="I3868" s="64" t="s">
        <v>2934</v>
      </c>
      <c r="J3868" s="67">
        <v>12.75</v>
      </c>
      <c r="K3868" s="62">
        <v>1475.21</v>
      </c>
      <c r="L3868" s="33" t="e">
        <f>HLOOKUP(B3868,#REF!,1,0)</f>
        <v>#REF!</v>
      </c>
      <c r="M3868" s="33" t="str">
        <f t="shared" si="243"/>
        <v>P&amp;L</v>
      </c>
    </row>
    <row r="3869" spans="1:13" s="33" customFormat="true" ht="12.75" customHeight="true">
      <c r="A3869" s="33" t="str">
        <f t="shared" si="240"/>
        <v>DF2 - CGS</v>
      </c>
      <c r="B3869" s="33" t="str">
        <f t="shared" si="241"/>
        <v>DF2</v>
      </c>
      <c r="C3869" s="33" t="str">
        <f t="shared" si="242"/>
        <v>52003-7487</v>
      </c>
      <c r="D3869" s="64" t="s">
        <v>4827</v>
      </c>
      <c r="E3869" s="64" t="s">
        <v>2933</v>
      </c>
      <c r="F3869" s="64" t="s">
        <v>15</v>
      </c>
      <c r="G3869" s="64" t="s">
        <v>2921</v>
      </c>
      <c r="H3869" s="64" t="s">
        <v>1875</v>
      </c>
      <c r="I3869" s="64" t="s">
        <v>2934</v>
      </c>
      <c r="J3869" s="67">
        <v>643.85</v>
      </c>
      <c r="K3869" s="62">
        <v>9949.2</v>
      </c>
      <c r="L3869" s="33" t="e">
        <f>HLOOKUP(B3869,#REF!,1,0)</f>
        <v>#REF!</v>
      </c>
      <c r="M3869" s="33" t="str">
        <f t="shared" si="243"/>
        <v>P&amp;L</v>
      </c>
    </row>
    <row r="3870" spans="1:13" s="33" customFormat="true" ht="12.75" customHeight="true">
      <c r="A3870" s="33" t="str">
        <f t="shared" si="240"/>
        <v>DF2 - CGS</v>
      </c>
      <c r="B3870" s="33" t="str">
        <f t="shared" si="241"/>
        <v>DF2</v>
      </c>
      <c r="C3870" s="33" t="str">
        <f t="shared" si="242"/>
        <v>52003-7488</v>
      </c>
      <c r="D3870" s="64" t="s">
        <v>4828</v>
      </c>
      <c r="E3870" s="64" t="s">
        <v>2933</v>
      </c>
      <c r="F3870" s="64" t="s">
        <v>15</v>
      </c>
      <c r="G3870" s="64" t="s">
        <v>2921</v>
      </c>
      <c r="H3870" s="64" t="s">
        <v>1875</v>
      </c>
      <c r="I3870" s="64" t="s">
        <v>2934</v>
      </c>
      <c r="J3870" s="67">
        <v>582.33</v>
      </c>
      <c r="K3870" s="62">
        <v>13288.87</v>
      </c>
      <c r="L3870" s="33" t="e">
        <f>HLOOKUP(B3870,#REF!,1,0)</f>
        <v>#REF!</v>
      </c>
      <c r="M3870" s="33" t="str">
        <f t="shared" si="243"/>
        <v>P&amp;L</v>
      </c>
    </row>
    <row r="3871" spans="1:13" s="33" customFormat="true" ht="12.75" customHeight="true">
      <c r="A3871" s="33" t="str">
        <f t="shared" si="240"/>
        <v>DF2 - CGS</v>
      </c>
      <c r="B3871" s="33" t="str">
        <f t="shared" si="241"/>
        <v>DF2</v>
      </c>
      <c r="C3871" s="33" t="str">
        <f t="shared" si="242"/>
        <v>52003-7495</v>
      </c>
      <c r="D3871" s="64" t="s">
        <v>4829</v>
      </c>
      <c r="E3871" s="64" t="s">
        <v>2933</v>
      </c>
      <c r="F3871" s="64" t="s">
        <v>15</v>
      </c>
      <c r="G3871" s="64" t="s">
        <v>2921</v>
      </c>
      <c r="H3871" s="64" t="s">
        <v>1875</v>
      </c>
      <c r="I3871" s="64" t="s">
        <v>2934</v>
      </c>
      <c r="J3871" s="67">
        <v>2590.86</v>
      </c>
      <c r="K3871" s="62">
        <v>17052.38</v>
      </c>
      <c r="L3871" s="33" t="e">
        <f>HLOOKUP(B3871,#REF!,1,0)</f>
        <v>#REF!</v>
      </c>
      <c r="M3871" s="33" t="str">
        <f t="shared" si="243"/>
        <v>P&amp;L</v>
      </c>
    </row>
    <row r="3872" spans="1:13" s="33" customFormat="true" ht="12.75" customHeight="true">
      <c r="A3872" s="33" t="str">
        <f t="shared" si="240"/>
        <v>DF2 - CGS</v>
      </c>
      <c r="B3872" s="33" t="str">
        <f t="shared" si="241"/>
        <v>DF2</v>
      </c>
      <c r="C3872" s="33" t="str">
        <f t="shared" si="242"/>
        <v>52004-7367</v>
      </c>
      <c r="D3872" s="64" t="s">
        <v>4830</v>
      </c>
      <c r="E3872" s="64" t="s">
        <v>2939</v>
      </c>
      <c r="F3872" s="64" t="s">
        <v>15</v>
      </c>
      <c r="G3872" s="64" t="s">
        <v>2921</v>
      </c>
      <c r="H3872" s="64" t="s">
        <v>1875</v>
      </c>
      <c r="I3872" s="64" t="s">
        <v>2940</v>
      </c>
      <c r="J3872" s="67">
        <v>107.43</v>
      </c>
      <c r="K3872" s="62">
        <v>279.52</v>
      </c>
      <c r="L3872" s="33" t="e">
        <f>HLOOKUP(B3872,#REF!,1,0)</f>
        <v>#REF!</v>
      </c>
      <c r="M3872" s="33" t="str">
        <f t="shared" si="243"/>
        <v>P&amp;L</v>
      </c>
    </row>
    <row r="3873" spans="1:13" s="33" customFormat="true" ht="12.75" customHeight="true">
      <c r="A3873" s="33" t="str">
        <f t="shared" si="240"/>
        <v>DF2 - CGS</v>
      </c>
      <c r="B3873" s="33" t="str">
        <f t="shared" si="241"/>
        <v>DF2</v>
      </c>
      <c r="C3873" s="33" t="str">
        <f t="shared" si="242"/>
        <v>52004-7392</v>
      </c>
      <c r="D3873" s="64" t="s">
        <v>4831</v>
      </c>
      <c r="E3873" s="64" t="s">
        <v>2939</v>
      </c>
      <c r="F3873" s="64" t="s">
        <v>15</v>
      </c>
      <c r="G3873" s="64" t="s">
        <v>2921</v>
      </c>
      <c r="H3873" s="64" t="s">
        <v>1875</v>
      </c>
      <c r="I3873" s="64" t="s">
        <v>2940</v>
      </c>
      <c r="J3873" s="67">
        <v>301.03</v>
      </c>
      <c r="K3873" s="62">
        <v>2791.71</v>
      </c>
      <c r="L3873" s="33" t="e">
        <f>HLOOKUP(B3873,#REF!,1,0)</f>
        <v>#REF!</v>
      </c>
      <c r="M3873" s="33" t="str">
        <f t="shared" si="243"/>
        <v>P&amp;L</v>
      </c>
    </row>
    <row r="3874" spans="1:13" s="33" customFormat="true" ht="12.75" customHeight="true">
      <c r="A3874" s="33" t="str">
        <f t="shared" si="240"/>
        <v>DF2 - CGS</v>
      </c>
      <c r="B3874" s="33" t="str">
        <f t="shared" si="241"/>
        <v>DF2</v>
      </c>
      <c r="C3874" s="33" t="str">
        <f t="shared" si="242"/>
        <v>52004-7487</v>
      </c>
      <c r="D3874" s="64" t="s">
        <v>4832</v>
      </c>
      <c r="E3874" s="64" t="s">
        <v>2939</v>
      </c>
      <c r="F3874" s="64" t="s">
        <v>15</v>
      </c>
      <c r="G3874" s="64" t="s">
        <v>2921</v>
      </c>
      <c r="H3874" s="64" t="s">
        <v>1875</v>
      </c>
      <c r="I3874" s="64" t="s">
        <v>2940</v>
      </c>
      <c r="J3874" s="67">
        <v>290.17</v>
      </c>
      <c r="K3874" s="62">
        <v>582.23</v>
      </c>
      <c r="L3874" s="33" t="e">
        <f>HLOOKUP(B3874,#REF!,1,0)</f>
        <v>#REF!</v>
      </c>
      <c r="M3874" s="33" t="str">
        <f t="shared" si="243"/>
        <v>P&amp;L</v>
      </c>
    </row>
    <row r="3875" spans="1:13" s="33" customFormat="true" ht="12.75" customHeight="true">
      <c r="A3875" s="33" t="str">
        <f t="shared" si="240"/>
        <v>DF2 - CGS</v>
      </c>
      <c r="B3875" s="33" t="str">
        <f t="shared" si="241"/>
        <v>DF2</v>
      </c>
      <c r="C3875" s="33" t="str">
        <f t="shared" si="242"/>
        <v>52004-7488</v>
      </c>
      <c r="D3875" s="64" t="s">
        <v>4833</v>
      </c>
      <c r="E3875" s="64" t="s">
        <v>2939</v>
      </c>
      <c r="F3875" s="64" t="s">
        <v>15</v>
      </c>
      <c r="G3875" s="64" t="s">
        <v>2921</v>
      </c>
      <c r="H3875" s="64" t="s">
        <v>1875</v>
      </c>
      <c r="I3875" s="64" t="s">
        <v>2940</v>
      </c>
      <c r="J3875" s="67">
        <v>29.84</v>
      </c>
      <c r="K3875" s="62">
        <v>571.45</v>
      </c>
      <c r="L3875" s="33" t="e">
        <f>HLOOKUP(B3875,#REF!,1,0)</f>
        <v>#REF!</v>
      </c>
      <c r="M3875" s="33" t="str">
        <f t="shared" si="243"/>
        <v>P&amp;L</v>
      </c>
    </row>
    <row r="3876" spans="1:13" s="33" customFormat="true" ht="12.75" customHeight="true">
      <c r="A3876" s="33" t="str">
        <f t="shared" si="240"/>
        <v>DF2 - CGS</v>
      </c>
      <c r="B3876" s="33" t="str">
        <f t="shared" si="241"/>
        <v>DF2</v>
      </c>
      <c r="C3876" s="33" t="str">
        <f t="shared" si="242"/>
        <v>52004-7495</v>
      </c>
      <c r="D3876" s="64" t="s">
        <v>4834</v>
      </c>
      <c r="E3876" s="64" t="s">
        <v>2939</v>
      </c>
      <c r="F3876" s="64" t="s">
        <v>15</v>
      </c>
      <c r="G3876" s="64" t="s">
        <v>2921</v>
      </c>
      <c r="H3876" s="64" t="s">
        <v>1875</v>
      </c>
      <c r="I3876" s="64" t="s">
        <v>2940</v>
      </c>
      <c r="J3876" s="67">
        <v>11.99</v>
      </c>
      <c r="K3876" s="62">
        <v>6431.78</v>
      </c>
      <c r="L3876" s="33" t="e">
        <f>HLOOKUP(B3876,#REF!,1,0)</f>
        <v>#REF!</v>
      </c>
      <c r="M3876" s="33" t="str">
        <f t="shared" si="243"/>
        <v>P&amp;L</v>
      </c>
    </row>
    <row r="3877" spans="1:13" s="33" customFormat="true" ht="12.75" customHeight="true">
      <c r="A3877" s="33" t="str">
        <f t="shared" si="240"/>
        <v>DF2 - CGS</v>
      </c>
      <c r="B3877" s="33" t="str">
        <f t="shared" si="241"/>
        <v>DF2</v>
      </c>
      <c r="C3877" s="33" t="str">
        <f t="shared" si="242"/>
        <v>52005-7367</v>
      </c>
      <c r="D3877" s="64" t="s">
        <v>4835</v>
      </c>
      <c r="E3877" s="64" t="s">
        <v>2945</v>
      </c>
      <c r="F3877" s="64" t="s">
        <v>15</v>
      </c>
      <c r="G3877" s="64" t="s">
        <v>2921</v>
      </c>
      <c r="H3877" s="64" t="s">
        <v>1875</v>
      </c>
      <c r="I3877" s="64" t="s">
        <v>2946</v>
      </c>
      <c r="J3877" s="67">
        <v>227.5</v>
      </c>
      <c r="K3877" s="62">
        <v>2982.1</v>
      </c>
      <c r="L3877" s="33" t="e">
        <f>HLOOKUP(B3877,#REF!,1,0)</f>
        <v>#REF!</v>
      </c>
      <c r="M3877" s="33" t="str">
        <f t="shared" si="243"/>
        <v>P&amp;L</v>
      </c>
    </row>
    <row r="3878" spans="1:13" s="33" customFormat="true" ht="12.75" customHeight="true">
      <c r="A3878" s="33" t="str">
        <f t="shared" si="240"/>
        <v>DF2 - CGS</v>
      </c>
      <c r="B3878" s="33" t="str">
        <f t="shared" si="241"/>
        <v>DF2</v>
      </c>
      <c r="C3878" s="33" t="str">
        <f t="shared" si="242"/>
        <v>52005-7392</v>
      </c>
      <c r="D3878" s="64" t="s">
        <v>4836</v>
      </c>
      <c r="E3878" s="64" t="s">
        <v>2945</v>
      </c>
      <c r="F3878" s="64" t="s">
        <v>15</v>
      </c>
      <c r="G3878" s="64" t="s">
        <v>2921</v>
      </c>
      <c r="H3878" s="64" t="s">
        <v>1875</v>
      </c>
      <c r="I3878" s="64" t="s">
        <v>2946</v>
      </c>
      <c r="J3878" s="67">
        <v>388.32</v>
      </c>
      <c r="K3878" s="62">
        <v>4100.39</v>
      </c>
      <c r="L3878" s="33" t="e">
        <f>HLOOKUP(B3878,#REF!,1,0)</f>
        <v>#REF!</v>
      </c>
      <c r="M3878" s="33" t="str">
        <f t="shared" si="243"/>
        <v>P&amp;L</v>
      </c>
    </row>
    <row r="3879" spans="1:13" s="33" customFormat="true" ht="12.75" customHeight="true">
      <c r="A3879" s="33" t="str">
        <f t="shared" si="240"/>
        <v>DF2 - CGS</v>
      </c>
      <c r="B3879" s="33" t="str">
        <f t="shared" si="241"/>
        <v>DF2</v>
      </c>
      <c r="C3879" s="33" t="str">
        <f t="shared" si="242"/>
        <v>52005-7487</v>
      </c>
      <c r="D3879" s="64" t="s">
        <v>4837</v>
      </c>
      <c r="E3879" s="64" t="s">
        <v>2945</v>
      </c>
      <c r="F3879" s="64" t="s">
        <v>15</v>
      </c>
      <c r="G3879" s="64" t="s">
        <v>2921</v>
      </c>
      <c r="H3879" s="64" t="s">
        <v>1875</v>
      </c>
      <c r="I3879" s="64" t="s">
        <v>2946</v>
      </c>
      <c r="J3879" s="67">
        <v>128.32</v>
      </c>
      <c r="K3879" s="62">
        <v>2932.85</v>
      </c>
      <c r="L3879" s="33" t="e">
        <f>HLOOKUP(B3879,#REF!,1,0)</f>
        <v>#REF!</v>
      </c>
      <c r="M3879" s="33" t="str">
        <f t="shared" si="243"/>
        <v>P&amp;L</v>
      </c>
    </row>
    <row r="3880" spans="1:13" s="33" customFormat="true" ht="12.75" customHeight="true">
      <c r="A3880" s="33" t="str">
        <f t="shared" si="240"/>
        <v>DF2 - CGS</v>
      </c>
      <c r="B3880" s="33" t="str">
        <f t="shared" si="241"/>
        <v>DF2</v>
      </c>
      <c r="C3880" s="33" t="str">
        <f t="shared" si="242"/>
        <v>52005-7488</v>
      </c>
      <c r="D3880" s="64" t="s">
        <v>4838</v>
      </c>
      <c r="E3880" s="64" t="s">
        <v>2945</v>
      </c>
      <c r="F3880" s="64" t="s">
        <v>15</v>
      </c>
      <c r="G3880" s="64" t="s">
        <v>2921</v>
      </c>
      <c r="H3880" s="64" t="s">
        <v>1875</v>
      </c>
      <c r="I3880" s="64" t="s">
        <v>2946</v>
      </c>
      <c r="J3880" s="67">
        <v>112.28</v>
      </c>
      <c r="K3880" s="62">
        <v>4140.37</v>
      </c>
      <c r="L3880" s="33" t="e">
        <f>HLOOKUP(B3880,#REF!,1,0)</f>
        <v>#REF!</v>
      </c>
      <c r="M3880" s="33" t="str">
        <f t="shared" si="243"/>
        <v>P&amp;L</v>
      </c>
    </row>
    <row r="3881" spans="1:13" s="33" customFormat="true" ht="12.75" customHeight="true">
      <c r="A3881" s="33" t="str">
        <f t="shared" si="240"/>
        <v>DF2 - CGS</v>
      </c>
      <c r="B3881" s="33" t="str">
        <f t="shared" si="241"/>
        <v>DF2</v>
      </c>
      <c r="C3881" s="33" t="str">
        <f t="shared" si="242"/>
        <v>52005-7495</v>
      </c>
      <c r="D3881" s="64" t="s">
        <v>4839</v>
      </c>
      <c r="E3881" s="64" t="s">
        <v>2945</v>
      </c>
      <c r="F3881" s="64" t="s">
        <v>15</v>
      </c>
      <c r="G3881" s="64" t="s">
        <v>2921</v>
      </c>
      <c r="H3881" s="64" t="s">
        <v>1875</v>
      </c>
      <c r="I3881" s="64" t="s">
        <v>2946</v>
      </c>
      <c r="J3881" s="67">
        <v>1571.3</v>
      </c>
      <c r="K3881" s="62">
        <v>4961.15</v>
      </c>
      <c r="L3881" s="33" t="e">
        <f>HLOOKUP(B3881,#REF!,1,0)</f>
        <v>#REF!</v>
      </c>
      <c r="M3881" s="33" t="str">
        <f t="shared" si="243"/>
        <v>P&amp;L</v>
      </c>
    </row>
    <row r="3882" spans="1:13" s="33" customFormat="true" ht="12.75" customHeight="true">
      <c r="A3882" s="33" t="str">
        <f t="shared" si="240"/>
        <v>DF2 - CGS</v>
      </c>
      <c r="B3882" s="33" t="str">
        <f t="shared" si="241"/>
        <v>DF2</v>
      </c>
      <c r="C3882" s="33" t="str">
        <f t="shared" si="242"/>
        <v>53001-7392</v>
      </c>
      <c r="D3882" s="64" t="s">
        <v>4840</v>
      </c>
      <c r="E3882" s="64" t="s">
        <v>3426</v>
      </c>
      <c r="F3882" s="64" t="s">
        <v>15</v>
      </c>
      <c r="G3882" s="64" t="s">
        <v>2921</v>
      </c>
      <c r="H3882" s="64" t="s">
        <v>1875</v>
      </c>
      <c r="I3882" s="64" t="s">
        <v>3427</v>
      </c>
      <c r="J3882" s="67">
        <v>0</v>
      </c>
      <c r="K3882" s="62">
        <v>959.4</v>
      </c>
      <c r="L3882" s="33" t="e">
        <f>HLOOKUP(B3882,#REF!,1,0)</f>
        <v>#REF!</v>
      </c>
      <c r="M3882" s="33" t="str">
        <f t="shared" si="243"/>
        <v>P&amp;L</v>
      </c>
    </row>
    <row r="3883" spans="1:13" s="33" customFormat="true" ht="12.75" customHeight="true">
      <c r="A3883" s="33" t="str">
        <f t="shared" si="240"/>
        <v>DF2 - CGS</v>
      </c>
      <c r="B3883" s="33" t="str">
        <f t="shared" si="241"/>
        <v>DF2</v>
      </c>
      <c r="C3883" s="33" t="str">
        <f t="shared" si="242"/>
        <v>53003-0000</v>
      </c>
      <c r="D3883" s="64" t="s">
        <v>4841</v>
      </c>
      <c r="E3883" s="64" t="s">
        <v>2954</v>
      </c>
      <c r="F3883" s="64" t="s">
        <v>15</v>
      </c>
      <c r="G3883" s="64" t="s">
        <v>2921</v>
      </c>
      <c r="H3883" s="64" t="s">
        <v>1875</v>
      </c>
      <c r="I3883" s="64" t="s">
        <v>2955</v>
      </c>
      <c r="J3883" s="67">
        <v>0</v>
      </c>
      <c r="K3883" s="62">
        <v>1442.31</v>
      </c>
      <c r="L3883" s="33" t="e">
        <f>HLOOKUP(B3883,#REF!,1,0)</f>
        <v>#REF!</v>
      </c>
      <c r="M3883" s="33" t="str">
        <f t="shared" si="243"/>
        <v>P&amp;L</v>
      </c>
    </row>
    <row r="3884" spans="1:13" s="33" customFormat="true" ht="12.75" customHeight="true">
      <c r="A3884" s="33" t="str">
        <f t="shared" si="240"/>
        <v>DF2 - CGS</v>
      </c>
      <c r="B3884" s="33" t="str">
        <f t="shared" si="241"/>
        <v>DF2</v>
      </c>
      <c r="C3884" s="33" t="str">
        <f t="shared" si="242"/>
        <v>53003-7367</v>
      </c>
      <c r="D3884" s="64" t="s">
        <v>4842</v>
      </c>
      <c r="E3884" s="64" t="s">
        <v>2954</v>
      </c>
      <c r="F3884" s="64" t="s">
        <v>15</v>
      </c>
      <c r="G3884" s="64" t="s">
        <v>2921</v>
      </c>
      <c r="H3884" s="64" t="s">
        <v>1875</v>
      </c>
      <c r="I3884" s="64" t="s">
        <v>2955</v>
      </c>
      <c r="J3884" s="67">
        <v>3200</v>
      </c>
      <c r="K3884" s="62">
        <v>33915.86</v>
      </c>
      <c r="L3884" s="33" t="e">
        <f>HLOOKUP(B3884,#REF!,1,0)</f>
        <v>#REF!</v>
      </c>
      <c r="M3884" s="33" t="str">
        <f t="shared" si="243"/>
        <v>P&amp;L</v>
      </c>
    </row>
    <row r="3885" spans="1:13" s="33" customFormat="true" ht="12.75" customHeight="true">
      <c r="A3885" s="33" t="str">
        <f t="shared" si="240"/>
        <v>DF2 - CGS</v>
      </c>
      <c r="B3885" s="33" t="str">
        <f t="shared" si="241"/>
        <v>DF2</v>
      </c>
      <c r="C3885" s="33" t="str">
        <f t="shared" si="242"/>
        <v>53003-7392</v>
      </c>
      <c r="D3885" s="64" t="s">
        <v>4843</v>
      </c>
      <c r="E3885" s="64" t="s">
        <v>2954</v>
      </c>
      <c r="F3885" s="64" t="s">
        <v>15</v>
      </c>
      <c r="G3885" s="64" t="s">
        <v>2921</v>
      </c>
      <c r="H3885" s="64" t="s">
        <v>1875</v>
      </c>
      <c r="I3885" s="64" t="s">
        <v>2955</v>
      </c>
      <c r="J3885" s="67">
        <v>3581.92</v>
      </c>
      <c r="K3885" s="62">
        <v>32579.32</v>
      </c>
      <c r="L3885" s="33" t="e">
        <f>HLOOKUP(B3885,#REF!,1,0)</f>
        <v>#REF!</v>
      </c>
      <c r="M3885" s="33" t="str">
        <f t="shared" si="243"/>
        <v>P&amp;L</v>
      </c>
    </row>
    <row r="3886" spans="1:13" s="33" customFormat="true" ht="12.75" customHeight="true">
      <c r="A3886" s="33" t="str">
        <f t="shared" si="240"/>
        <v>DF2 - CGS</v>
      </c>
      <c r="B3886" s="33" t="str">
        <f t="shared" si="241"/>
        <v>DF2</v>
      </c>
      <c r="C3886" s="33" t="str">
        <f t="shared" si="242"/>
        <v>53003-7487</v>
      </c>
      <c r="D3886" s="64" t="s">
        <v>4844</v>
      </c>
      <c r="E3886" s="64" t="s">
        <v>2954</v>
      </c>
      <c r="F3886" s="64" t="s">
        <v>15</v>
      </c>
      <c r="G3886" s="64" t="s">
        <v>2921</v>
      </c>
      <c r="H3886" s="64" t="s">
        <v>1875</v>
      </c>
      <c r="I3886" s="64" t="s">
        <v>2955</v>
      </c>
      <c r="J3886" s="67">
        <v>2788.98</v>
      </c>
      <c r="K3886" s="62">
        <v>24042.37</v>
      </c>
      <c r="L3886" s="33" t="e">
        <f>HLOOKUP(B3886,#REF!,1,0)</f>
        <v>#REF!</v>
      </c>
      <c r="M3886" s="33" t="str">
        <f t="shared" si="243"/>
        <v>P&amp;L</v>
      </c>
    </row>
    <row r="3887" spans="1:13" s="33" customFormat="true" ht="12.75" customHeight="true">
      <c r="A3887" s="33" t="str">
        <f t="shared" si="240"/>
        <v>DF2 - CGS</v>
      </c>
      <c r="B3887" s="33" t="str">
        <f t="shared" si="241"/>
        <v>DF2</v>
      </c>
      <c r="C3887" s="33" t="str">
        <f t="shared" si="242"/>
        <v>53003-7488</v>
      </c>
      <c r="D3887" s="64" t="s">
        <v>4845</v>
      </c>
      <c r="E3887" s="64" t="s">
        <v>2954</v>
      </c>
      <c r="F3887" s="64" t="s">
        <v>15</v>
      </c>
      <c r="G3887" s="64" t="s">
        <v>2921</v>
      </c>
      <c r="H3887" s="64" t="s">
        <v>1875</v>
      </c>
      <c r="I3887" s="64" t="s">
        <v>2955</v>
      </c>
      <c r="J3887" s="67">
        <v>3190.4</v>
      </c>
      <c r="K3887" s="62">
        <v>32285.82</v>
      </c>
      <c r="L3887" s="33" t="e">
        <f>HLOOKUP(B3887,#REF!,1,0)</f>
        <v>#REF!</v>
      </c>
      <c r="M3887" s="33" t="str">
        <f t="shared" si="243"/>
        <v>P&amp;L</v>
      </c>
    </row>
    <row r="3888" spans="1:13" s="33" customFormat="true" ht="12.75" customHeight="true">
      <c r="A3888" s="33" t="str">
        <f t="shared" si="240"/>
        <v>DF2 - CGS</v>
      </c>
      <c r="B3888" s="33" t="str">
        <f t="shared" si="241"/>
        <v>DF2</v>
      </c>
      <c r="C3888" s="33" t="str">
        <f t="shared" si="242"/>
        <v>53003-7495</v>
      </c>
      <c r="D3888" s="64" t="s">
        <v>4846</v>
      </c>
      <c r="E3888" s="64" t="s">
        <v>2954</v>
      </c>
      <c r="F3888" s="64" t="s">
        <v>15</v>
      </c>
      <c r="G3888" s="64" t="s">
        <v>2921</v>
      </c>
      <c r="H3888" s="64" t="s">
        <v>1875</v>
      </c>
      <c r="I3888" s="64" t="s">
        <v>2955</v>
      </c>
      <c r="J3888" s="67">
        <v>2487.15</v>
      </c>
      <c r="K3888" s="62">
        <v>28662.71</v>
      </c>
      <c r="L3888" s="33" t="e">
        <f>HLOOKUP(B3888,#REF!,1,0)</f>
        <v>#REF!</v>
      </c>
      <c r="M3888" s="33" t="str">
        <f t="shared" si="243"/>
        <v>P&amp;L</v>
      </c>
    </row>
    <row r="3889" spans="1:13" s="33" customFormat="true" ht="12.75" customHeight="true">
      <c r="A3889" s="33" t="str">
        <f t="shared" si="240"/>
        <v>DF2 - CGS</v>
      </c>
      <c r="B3889" s="33" t="str">
        <f t="shared" si="241"/>
        <v>DF2</v>
      </c>
      <c r="C3889" s="33" t="str">
        <f t="shared" si="242"/>
        <v>53004-7367</v>
      </c>
      <c r="D3889" s="64" t="s">
        <v>4847</v>
      </c>
      <c r="E3889" s="64" t="s">
        <v>2960</v>
      </c>
      <c r="F3889" s="64" t="s">
        <v>15</v>
      </c>
      <c r="G3889" s="64" t="s">
        <v>2921</v>
      </c>
      <c r="H3889" s="64" t="s">
        <v>1875</v>
      </c>
      <c r="I3889" s="64" t="s">
        <v>2961</v>
      </c>
      <c r="J3889" s="67">
        <v>976.5</v>
      </c>
      <c r="K3889" s="62">
        <v>10935.64</v>
      </c>
      <c r="L3889" s="33" t="e">
        <f>HLOOKUP(B3889,#REF!,1,0)</f>
        <v>#REF!</v>
      </c>
      <c r="M3889" s="33" t="str">
        <f t="shared" si="243"/>
        <v>P&amp;L</v>
      </c>
    </row>
    <row r="3890" spans="1:13" s="33" customFormat="true" ht="12.75" customHeight="true">
      <c r="A3890" s="33" t="str">
        <f t="shared" si="240"/>
        <v>DF2 - CGS</v>
      </c>
      <c r="B3890" s="33" t="str">
        <f t="shared" si="241"/>
        <v>DF2</v>
      </c>
      <c r="C3890" s="33" t="str">
        <f t="shared" si="242"/>
        <v>53004-7392</v>
      </c>
      <c r="D3890" s="64" t="s">
        <v>4848</v>
      </c>
      <c r="E3890" s="64" t="s">
        <v>2960</v>
      </c>
      <c r="F3890" s="64" t="s">
        <v>15</v>
      </c>
      <c r="G3890" s="64" t="s">
        <v>2921</v>
      </c>
      <c r="H3890" s="64" t="s">
        <v>1875</v>
      </c>
      <c r="I3890" s="64" t="s">
        <v>2961</v>
      </c>
      <c r="J3890" s="67">
        <v>372.9</v>
      </c>
      <c r="K3890" s="62">
        <v>6884.94</v>
      </c>
      <c r="L3890" s="33" t="e">
        <f>HLOOKUP(B3890,#REF!,1,0)</f>
        <v>#REF!</v>
      </c>
      <c r="M3890" s="33" t="str">
        <f t="shared" si="243"/>
        <v>P&amp;L</v>
      </c>
    </row>
    <row r="3891" spans="1:13" s="33" customFormat="true" ht="12.75" customHeight="true">
      <c r="A3891" s="33" t="str">
        <f t="shared" si="240"/>
        <v>DF2 - CGS</v>
      </c>
      <c r="B3891" s="33" t="str">
        <f t="shared" si="241"/>
        <v>DF2</v>
      </c>
      <c r="C3891" s="33" t="str">
        <f t="shared" si="242"/>
        <v>53004-7487</v>
      </c>
      <c r="D3891" s="64" t="s">
        <v>4849</v>
      </c>
      <c r="E3891" s="64" t="s">
        <v>2960</v>
      </c>
      <c r="F3891" s="64" t="s">
        <v>15</v>
      </c>
      <c r="G3891" s="64" t="s">
        <v>2921</v>
      </c>
      <c r="H3891" s="64" t="s">
        <v>1875</v>
      </c>
      <c r="I3891" s="64" t="s">
        <v>2961</v>
      </c>
      <c r="J3891" s="67">
        <v>959.44</v>
      </c>
      <c r="K3891" s="62">
        <v>10662.21</v>
      </c>
      <c r="L3891" s="33" t="e">
        <f>HLOOKUP(B3891,#REF!,1,0)</f>
        <v>#REF!</v>
      </c>
      <c r="M3891" s="33" t="str">
        <f t="shared" si="243"/>
        <v>P&amp;L</v>
      </c>
    </row>
    <row r="3892" spans="1:13" s="33" customFormat="true" ht="12.75" customHeight="true">
      <c r="A3892" s="33" t="str">
        <f t="shared" si="240"/>
        <v>DF2 - CGS</v>
      </c>
      <c r="B3892" s="33" t="str">
        <f t="shared" si="241"/>
        <v>DF2</v>
      </c>
      <c r="C3892" s="33" t="str">
        <f t="shared" si="242"/>
        <v>53004-7488</v>
      </c>
      <c r="D3892" s="64" t="s">
        <v>4850</v>
      </c>
      <c r="E3892" s="64" t="s">
        <v>2960</v>
      </c>
      <c r="F3892" s="64" t="s">
        <v>15</v>
      </c>
      <c r="G3892" s="64" t="s">
        <v>2921</v>
      </c>
      <c r="H3892" s="64" t="s">
        <v>1875</v>
      </c>
      <c r="I3892" s="64" t="s">
        <v>2961</v>
      </c>
      <c r="J3892" s="67">
        <v>1656.3</v>
      </c>
      <c r="K3892" s="62">
        <v>16413.25</v>
      </c>
      <c r="L3892" s="33" t="e">
        <f>HLOOKUP(B3892,#REF!,1,0)</f>
        <v>#REF!</v>
      </c>
      <c r="M3892" s="33" t="str">
        <f t="shared" si="243"/>
        <v>P&amp;L</v>
      </c>
    </row>
    <row r="3893" spans="1:13" s="33" customFormat="true" ht="12.75" customHeight="true">
      <c r="A3893" s="33" t="str">
        <f t="shared" si="240"/>
        <v>DF2 - CGS</v>
      </c>
      <c r="B3893" s="33" t="str">
        <f t="shared" si="241"/>
        <v>DF2</v>
      </c>
      <c r="C3893" s="33" t="str">
        <f t="shared" si="242"/>
        <v>53004-7495</v>
      </c>
      <c r="D3893" s="64" t="s">
        <v>4851</v>
      </c>
      <c r="E3893" s="64" t="s">
        <v>2960</v>
      </c>
      <c r="F3893" s="64" t="s">
        <v>15</v>
      </c>
      <c r="G3893" s="64" t="s">
        <v>2921</v>
      </c>
      <c r="H3893" s="64" t="s">
        <v>1875</v>
      </c>
      <c r="I3893" s="64" t="s">
        <v>2961</v>
      </c>
      <c r="J3893" s="67">
        <v>657.67</v>
      </c>
      <c r="K3893" s="62">
        <v>9177.26</v>
      </c>
      <c r="L3893" s="33" t="e">
        <f>HLOOKUP(B3893,#REF!,1,0)</f>
        <v>#REF!</v>
      </c>
      <c r="M3893" s="33" t="str">
        <f t="shared" si="243"/>
        <v>P&amp;L</v>
      </c>
    </row>
    <row r="3894" spans="1:13" s="33" customFormat="true" ht="12.75" customHeight="true">
      <c r="A3894" s="33" t="str">
        <f t="shared" si="240"/>
        <v>DF2 - CGS</v>
      </c>
      <c r="B3894" s="33" t="str">
        <f t="shared" si="241"/>
        <v>DF2</v>
      </c>
      <c r="C3894" s="33" t="str">
        <f t="shared" si="242"/>
        <v>53005-7392</v>
      </c>
      <c r="D3894" s="64" t="s">
        <v>4852</v>
      </c>
      <c r="E3894" s="64" t="s">
        <v>2966</v>
      </c>
      <c r="F3894" s="64" t="s">
        <v>15</v>
      </c>
      <c r="G3894" s="64" t="s">
        <v>2921</v>
      </c>
      <c r="H3894" s="64" t="s">
        <v>1875</v>
      </c>
      <c r="I3894" s="64" t="s">
        <v>2946</v>
      </c>
      <c r="J3894" s="67">
        <v>0</v>
      </c>
      <c r="K3894" s="62">
        <v>2236</v>
      </c>
      <c r="L3894" s="33" t="e">
        <f>HLOOKUP(B3894,#REF!,1,0)</f>
        <v>#REF!</v>
      </c>
      <c r="M3894" s="33" t="str">
        <f t="shared" si="243"/>
        <v>P&amp;L</v>
      </c>
    </row>
    <row r="3895" spans="1:13" s="33" customFormat="true" ht="12.75" customHeight="true">
      <c r="A3895" s="33" t="str">
        <f t="shared" si="240"/>
        <v>DF2 - CGS</v>
      </c>
      <c r="B3895" s="33" t="str">
        <f t="shared" si="241"/>
        <v>DF2</v>
      </c>
      <c r="C3895" s="33" t="str">
        <f t="shared" si="242"/>
        <v>53005-7487</v>
      </c>
      <c r="D3895" s="64" t="s">
        <v>4853</v>
      </c>
      <c r="E3895" s="64" t="s">
        <v>2966</v>
      </c>
      <c r="F3895" s="64" t="s">
        <v>15</v>
      </c>
      <c r="G3895" s="64" t="s">
        <v>2921</v>
      </c>
      <c r="H3895" s="64" t="s">
        <v>1875</v>
      </c>
      <c r="I3895" s="64" t="s">
        <v>2946</v>
      </c>
      <c r="J3895" s="67">
        <v>0</v>
      </c>
      <c r="K3895" s="62">
        <v>-143.86</v>
      </c>
      <c r="L3895" s="33" t="e">
        <f>HLOOKUP(B3895,#REF!,1,0)</f>
        <v>#REF!</v>
      </c>
      <c r="M3895" s="33" t="str">
        <f t="shared" si="243"/>
        <v>P&amp;L</v>
      </c>
    </row>
    <row r="3896" spans="1:13" s="33" customFormat="true" ht="12.75" customHeight="true">
      <c r="A3896" s="33" t="str">
        <f t="shared" si="240"/>
        <v>DF2 - CGS</v>
      </c>
      <c r="B3896" s="33" t="str">
        <f t="shared" si="241"/>
        <v>DF2</v>
      </c>
      <c r="C3896" s="33" t="str">
        <f t="shared" si="242"/>
        <v>53005-7495</v>
      </c>
      <c r="D3896" s="64" t="s">
        <v>4854</v>
      </c>
      <c r="E3896" s="64" t="s">
        <v>2966</v>
      </c>
      <c r="F3896" s="64" t="s">
        <v>15</v>
      </c>
      <c r="G3896" s="64" t="s">
        <v>2921</v>
      </c>
      <c r="H3896" s="64" t="s">
        <v>1875</v>
      </c>
      <c r="I3896" s="64" t="s">
        <v>2946</v>
      </c>
      <c r="J3896" s="67">
        <v>0</v>
      </c>
      <c r="K3896" s="62">
        <v>900</v>
      </c>
      <c r="L3896" s="33" t="e">
        <f>HLOOKUP(B3896,#REF!,1,0)</f>
        <v>#REF!</v>
      </c>
      <c r="M3896" s="33" t="str">
        <f t="shared" si="243"/>
        <v>P&amp;L</v>
      </c>
    </row>
    <row r="3897" spans="1:13" s="33" customFormat="true" ht="12.75" customHeight="true">
      <c r="A3897" s="33" t="str">
        <f t="shared" si="240"/>
        <v>DF2 - CGS</v>
      </c>
      <c r="B3897" s="33" t="str">
        <f t="shared" si="241"/>
        <v>DF2</v>
      </c>
      <c r="C3897" s="33" t="str">
        <f t="shared" si="242"/>
        <v>53006-7367</v>
      </c>
      <c r="D3897" s="64" t="s">
        <v>4855</v>
      </c>
      <c r="E3897" s="64" t="s">
        <v>2970</v>
      </c>
      <c r="F3897" s="64" t="s">
        <v>15</v>
      </c>
      <c r="G3897" s="64" t="s">
        <v>2921</v>
      </c>
      <c r="H3897" s="64" t="s">
        <v>1875</v>
      </c>
      <c r="I3897" s="64" t="s">
        <v>2946</v>
      </c>
      <c r="J3897" s="67">
        <v>0</v>
      </c>
      <c r="K3897" s="62">
        <v>1993.18</v>
      </c>
      <c r="L3897" s="33" t="e">
        <f>HLOOKUP(B3897,#REF!,1,0)</f>
        <v>#REF!</v>
      </c>
      <c r="M3897" s="33" t="str">
        <f t="shared" si="243"/>
        <v>P&amp;L</v>
      </c>
    </row>
    <row r="3898" spans="1:13" s="33" customFormat="true" ht="12.75" customHeight="true">
      <c r="A3898" s="33" t="str">
        <f t="shared" si="240"/>
        <v>DF2 - CGS</v>
      </c>
      <c r="B3898" s="33" t="str">
        <f t="shared" si="241"/>
        <v>DF2</v>
      </c>
      <c r="C3898" s="33" t="str">
        <f t="shared" si="242"/>
        <v>53006-7392</v>
      </c>
      <c r="D3898" s="64" t="s">
        <v>4856</v>
      </c>
      <c r="E3898" s="64" t="s">
        <v>2970</v>
      </c>
      <c r="F3898" s="64" t="s">
        <v>15</v>
      </c>
      <c r="G3898" s="64" t="s">
        <v>2921</v>
      </c>
      <c r="H3898" s="64" t="s">
        <v>1875</v>
      </c>
      <c r="I3898" s="64" t="s">
        <v>2946</v>
      </c>
      <c r="J3898" s="67">
        <v>0</v>
      </c>
      <c r="K3898" s="62">
        <v>2087.13</v>
      </c>
      <c r="L3898" s="33" t="e">
        <f>HLOOKUP(B3898,#REF!,1,0)</f>
        <v>#REF!</v>
      </c>
      <c r="M3898" s="33" t="str">
        <f t="shared" si="243"/>
        <v>P&amp;L</v>
      </c>
    </row>
    <row r="3899" spans="1:13" s="33" customFormat="true" ht="12.75" customHeight="true">
      <c r="A3899" s="33" t="str">
        <f t="shared" si="240"/>
        <v>DF2 - CGS</v>
      </c>
      <c r="B3899" s="33" t="str">
        <f t="shared" si="241"/>
        <v>DF2</v>
      </c>
      <c r="C3899" s="33" t="str">
        <f t="shared" si="242"/>
        <v>53006-7487</v>
      </c>
      <c r="D3899" s="64" t="s">
        <v>4857</v>
      </c>
      <c r="E3899" s="64" t="s">
        <v>2970</v>
      </c>
      <c r="F3899" s="64" t="s">
        <v>15</v>
      </c>
      <c r="G3899" s="64" t="s">
        <v>2921</v>
      </c>
      <c r="H3899" s="64" t="s">
        <v>1875</v>
      </c>
      <c r="I3899" s="64" t="s">
        <v>2946</v>
      </c>
      <c r="J3899" s="67">
        <v>0</v>
      </c>
      <c r="K3899" s="62">
        <v>1345.52</v>
      </c>
      <c r="L3899" s="33" t="e">
        <f>HLOOKUP(B3899,#REF!,1,0)</f>
        <v>#REF!</v>
      </c>
      <c r="M3899" s="33" t="str">
        <f t="shared" si="243"/>
        <v>P&amp;L</v>
      </c>
    </row>
    <row r="3900" spans="1:13" s="33" customFormat="true" ht="12.75" customHeight="true">
      <c r="A3900" s="33" t="str">
        <f t="shared" si="240"/>
        <v>DF2 - CGS</v>
      </c>
      <c r="B3900" s="33" t="str">
        <f t="shared" si="241"/>
        <v>DF2</v>
      </c>
      <c r="C3900" s="33" t="str">
        <f t="shared" si="242"/>
        <v>53006-7488</v>
      </c>
      <c r="D3900" s="64" t="s">
        <v>4858</v>
      </c>
      <c r="E3900" s="64" t="s">
        <v>2970</v>
      </c>
      <c r="F3900" s="64" t="s">
        <v>15</v>
      </c>
      <c r="G3900" s="64" t="s">
        <v>2921</v>
      </c>
      <c r="H3900" s="64" t="s">
        <v>1875</v>
      </c>
      <c r="I3900" s="64" t="s">
        <v>2946</v>
      </c>
      <c r="J3900" s="67">
        <v>0</v>
      </c>
      <c r="K3900" s="62">
        <v>1004.41</v>
      </c>
      <c r="L3900" s="33" t="e">
        <f>HLOOKUP(B3900,#REF!,1,0)</f>
        <v>#REF!</v>
      </c>
      <c r="M3900" s="33" t="str">
        <f t="shared" si="243"/>
        <v>P&amp;L</v>
      </c>
    </row>
    <row r="3901" spans="1:13" s="33" customFormat="true" ht="12.75" customHeight="true">
      <c r="A3901" s="33" t="str">
        <f t="shared" si="240"/>
        <v>DF2 - CGS</v>
      </c>
      <c r="B3901" s="33" t="str">
        <f t="shared" si="241"/>
        <v>DF2</v>
      </c>
      <c r="C3901" s="33" t="str">
        <f t="shared" si="242"/>
        <v>53006-7495</v>
      </c>
      <c r="D3901" s="64" t="s">
        <v>4859</v>
      </c>
      <c r="E3901" s="64" t="s">
        <v>2970</v>
      </c>
      <c r="F3901" s="64" t="s">
        <v>15</v>
      </c>
      <c r="G3901" s="64" t="s">
        <v>2921</v>
      </c>
      <c r="H3901" s="64" t="s">
        <v>1875</v>
      </c>
      <c r="I3901" s="64" t="s">
        <v>2946</v>
      </c>
      <c r="J3901" s="67">
        <v>0</v>
      </c>
      <c r="K3901" s="62">
        <v>1020.25</v>
      </c>
      <c r="L3901" s="33" t="e">
        <f>HLOOKUP(B3901,#REF!,1,0)</f>
        <v>#REF!</v>
      </c>
      <c r="M3901" s="33" t="str">
        <f t="shared" si="243"/>
        <v>P&amp;L</v>
      </c>
    </row>
    <row r="3902" spans="1:13" s="33" customFormat="true" ht="12.75" customHeight="true">
      <c r="A3902" s="33" t="str">
        <f t="shared" si="240"/>
        <v>DF2 - CGS</v>
      </c>
      <c r="B3902" s="33" t="str">
        <f t="shared" si="241"/>
        <v>DF2</v>
      </c>
      <c r="C3902" s="33" t="str">
        <f t="shared" si="242"/>
        <v>54001-0000</v>
      </c>
      <c r="D3902" s="64" t="s">
        <v>4860</v>
      </c>
      <c r="E3902" s="64" t="s">
        <v>2975</v>
      </c>
      <c r="F3902" s="64" t="s">
        <v>15</v>
      </c>
      <c r="G3902" s="64" t="s">
        <v>2976</v>
      </c>
      <c r="H3902" s="64" t="s">
        <v>1875</v>
      </c>
      <c r="I3902" s="64" t="s">
        <v>2977</v>
      </c>
      <c r="J3902" s="67">
        <v>0</v>
      </c>
      <c r="K3902" s="62">
        <v>37061.14</v>
      </c>
      <c r="L3902" s="33" t="e">
        <f>HLOOKUP(B3902,#REF!,1,0)</f>
        <v>#REF!</v>
      </c>
      <c r="M3902" s="33" t="str">
        <f t="shared" si="243"/>
        <v>P&amp;L</v>
      </c>
    </row>
    <row r="3903" spans="1:13" s="33" customFormat="true" ht="12.75" customHeight="true">
      <c r="A3903" s="33" t="str">
        <f t="shared" si="240"/>
        <v>DF2 - CGS</v>
      </c>
      <c r="B3903" s="33" t="str">
        <f t="shared" si="241"/>
        <v>DF2</v>
      </c>
      <c r="C3903" s="33" t="str">
        <f t="shared" si="242"/>
        <v>54001-7367</v>
      </c>
      <c r="D3903" s="64" t="s">
        <v>4861</v>
      </c>
      <c r="E3903" s="64" t="s">
        <v>2975</v>
      </c>
      <c r="F3903" s="64" t="s">
        <v>15</v>
      </c>
      <c r="G3903" s="64" t="s">
        <v>2976</v>
      </c>
      <c r="H3903" s="64" t="s">
        <v>1875</v>
      </c>
      <c r="I3903" s="64" t="s">
        <v>2977</v>
      </c>
      <c r="J3903" s="67">
        <v>3025.84</v>
      </c>
      <c r="K3903" s="62">
        <v>3413.84</v>
      </c>
      <c r="L3903" s="33" t="e">
        <f>HLOOKUP(B3903,#REF!,1,0)</f>
        <v>#REF!</v>
      </c>
      <c r="M3903" s="33" t="str">
        <f t="shared" si="243"/>
        <v>P&amp;L</v>
      </c>
    </row>
    <row r="3904" spans="1:13" s="33" customFormat="true" ht="12.75" customHeight="true">
      <c r="A3904" s="33" t="str">
        <f t="shared" si="240"/>
        <v>DF2 - CGS</v>
      </c>
      <c r="B3904" s="33" t="str">
        <f t="shared" si="241"/>
        <v>DF2</v>
      </c>
      <c r="C3904" s="33" t="str">
        <f t="shared" si="242"/>
        <v>54001-7392</v>
      </c>
      <c r="D3904" s="64" t="s">
        <v>4862</v>
      </c>
      <c r="E3904" s="64" t="s">
        <v>2975</v>
      </c>
      <c r="F3904" s="64" t="s">
        <v>15</v>
      </c>
      <c r="G3904" s="64" t="s">
        <v>2976</v>
      </c>
      <c r="H3904" s="64" t="s">
        <v>1875</v>
      </c>
      <c r="I3904" s="64" t="s">
        <v>2977</v>
      </c>
      <c r="J3904" s="67">
        <v>3433.38</v>
      </c>
      <c r="K3904" s="62">
        <v>3896.38</v>
      </c>
      <c r="L3904" s="33" t="e">
        <f>HLOOKUP(B3904,#REF!,1,0)</f>
        <v>#REF!</v>
      </c>
      <c r="M3904" s="33" t="str">
        <f t="shared" si="243"/>
        <v>P&amp;L</v>
      </c>
    </row>
    <row r="3905" spans="1:13" s="33" customFormat="true" ht="12.75" customHeight="true">
      <c r="A3905" s="33" t="str">
        <f t="shared" si="240"/>
        <v>DF2 - CGS</v>
      </c>
      <c r="B3905" s="33" t="str">
        <f t="shared" si="241"/>
        <v>DF2</v>
      </c>
      <c r="C3905" s="33" t="str">
        <f t="shared" si="242"/>
        <v>54001-7487</v>
      </c>
      <c r="D3905" s="64" t="s">
        <v>4863</v>
      </c>
      <c r="E3905" s="64" t="s">
        <v>2975</v>
      </c>
      <c r="F3905" s="64" t="s">
        <v>15</v>
      </c>
      <c r="G3905" s="64" t="s">
        <v>2976</v>
      </c>
      <c r="H3905" s="64" t="s">
        <v>1875</v>
      </c>
      <c r="I3905" s="64" t="s">
        <v>2977</v>
      </c>
      <c r="J3905" s="67">
        <v>2009.1</v>
      </c>
      <c r="K3905" s="62">
        <v>2353.1</v>
      </c>
      <c r="L3905" s="33" t="e">
        <f>HLOOKUP(B3905,#REF!,1,0)</f>
        <v>#REF!</v>
      </c>
      <c r="M3905" s="33" t="str">
        <f t="shared" si="243"/>
        <v>P&amp;L</v>
      </c>
    </row>
    <row r="3906" spans="1:13" s="33" customFormat="true" ht="12.75" customHeight="true">
      <c r="A3906" s="33" t="str">
        <f t="shared" ref="A3906:A3969" si="244">B3906&amp;" - "&amp;TRIM(H3906)</f>
        <v>DF2 - CGS</v>
      </c>
      <c r="B3906" s="33" t="str">
        <f t="shared" ref="B3906:B3969" si="245">LEFT(D3906,3)</f>
        <v>DF2</v>
      </c>
      <c r="C3906" s="33" t="str">
        <f t="shared" ref="C3906:C3969" si="246">RIGHT(D3906,10)</f>
        <v>54001-7488</v>
      </c>
      <c r="D3906" s="64" t="s">
        <v>4864</v>
      </c>
      <c r="E3906" s="64" t="s">
        <v>2975</v>
      </c>
      <c r="F3906" s="64" t="s">
        <v>15</v>
      </c>
      <c r="G3906" s="64" t="s">
        <v>2976</v>
      </c>
      <c r="H3906" s="64" t="s">
        <v>1875</v>
      </c>
      <c r="I3906" s="64" t="s">
        <v>2977</v>
      </c>
      <c r="J3906" s="67">
        <v>299.59</v>
      </c>
      <c r="K3906" s="62">
        <v>3383.59</v>
      </c>
      <c r="L3906" s="33" t="e">
        <f>HLOOKUP(B3906,#REF!,1,0)</f>
        <v>#REF!</v>
      </c>
      <c r="M3906" s="33" t="str">
        <f t="shared" ref="M3906:M3969" si="247">IF(VALUE(LEFT(C3906,5))&gt;40000,"P&amp;L","BS")</f>
        <v>P&amp;L</v>
      </c>
    </row>
    <row r="3907" spans="1:13" s="33" customFormat="true" ht="12.75" customHeight="true">
      <c r="A3907" s="33" t="str">
        <f t="shared" si="244"/>
        <v>DF2 - CGS</v>
      </c>
      <c r="B3907" s="33" t="str">
        <f t="shared" si="245"/>
        <v>DF2</v>
      </c>
      <c r="C3907" s="33" t="str">
        <f t="shared" si="246"/>
        <v>54001-7495</v>
      </c>
      <c r="D3907" s="64" t="s">
        <v>4865</v>
      </c>
      <c r="E3907" s="64" t="s">
        <v>2975</v>
      </c>
      <c r="F3907" s="64" t="s">
        <v>15</v>
      </c>
      <c r="G3907" s="64" t="s">
        <v>2976</v>
      </c>
      <c r="H3907" s="64" t="s">
        <v>1875</v>
      </c>
      <c r="I3907" s="64" t="s">
        <v>2977</v>
      </c>
      <c r="J3907" s="67">
        <v>1032.3</v>
      </c>
      <c r="K3907" s="62">
        <v>7922.8</v>
      </c>
      <c r="L3907" s="33" t="e">
        <f>HLOOKUP(B3907,#REF!,1,0)</f>
        <v>#REF!</v>
      </c>
      <c r="M3907" s="33" t="str">
        <f t="shared" si="247"/>
        <v>P&amp;L</v>
      </c>
    </row>
    <row r="3908" spans="1:13" s="33" customFormat="true" ht="12.75" customHeight="true">
      <c r="A3908" s="33" t="str">
        <f t="shared" si="244"/>
        <v>DF2 - CGS</v>
      </c>
      <c r="B3908" s="33" t="str">
        <f t="shared" si="245"/>
        <v>DF2</v>
      </c>
      <c r="C3908" s="33" t="str">
        <f t="shared" si="246"/>
        <v>54099-7367</v>
      </c>
      <c r="D3908" s="64" t="s">
        <v>4866</v>
      </c>
      <c r="E3908" s="64" t="s">
        <v>2982</v>
      </c>
      <c r="F3908" s="64" t="s">
        <v>15</v>
      </c>
      <c r="G3908" s="64" t="s">
        <v>2921</v>
      </c>
      <c r="H3908" s="64" t="s">
        <v>1875</v>
      </c>
      <c r="I3908" s="64" t="s">
        <v>2983</v>
      </c>
      <c r="J3908" s="67">
        <v>-29857.29</v>
      </c>
      <c r="K3908" s="62">
        <v>-277680.74</v>
      </c>
      <c r="L3908" s="33" t="e">
        <f>HLOOKUP(B3908,#REF!,1,0)</f>
        <v>#REF!</v>
      </c>
      <c r="M3908" s="33" t="str">
        <f t="shared" si="247"/>
        <v>P&amp;L</v>
      </c>
    </row>
    <row r="3909" spans="1:13" s="33" customFormat="true" ht="12.75" customHeight="true">
      <c r="A3909" s="33" t="str">
        <f t="shared" si="244"/>
        <v>DF2 - CGS</v>
      </c>
      <c r="B3909" s="33" t="str">
        <f t="shared" si="245"/>
        <v>DF2</v>
      </c>
      <c r="C3909" s="33" t="str">
        <f t="shared" si="246"/>
        <v>54099-7392</v>
      </c>
      <c r="D3909" s="64" t="s">
        <v>4867</v>
      </c>
      <c r="E3909" s="64" t="s">
        <v>2982</v>
      </c>
      <c r="F3909" s="64" t="s">
        <v>15</v>
      </c>
      <c r="G3909" s="64" t="s">
        <v>2921</v>
      </c>
      <c r="H3909" s="64" t="s">
        <v>1875</v>
      </c>
      <c r="I3909" s="64" t="s">
        <v>2983</v>
      </c>
      <c r="J3909" s="67">
        <v>-35460.54</v>
      </c>
      <c r="K3909" s="62">
        <v>-324721.33</v>
      </c>
      <c r="L3909" s="33" t="e">
        <f>HLOOKUP(B3909,#REF!,1,0)</f>
        <v>#REF!</v>
      </c>
      <c r="M3909" s="33" t="str">
        <f t="shared" si="247"/>
        <v>P&amp;L</v>
      </c>
    </row>
    <row r="3910" spans="1:13" s="33" customFormat="true" ht="12.75" customHeight="true">
      <c r="A3910" s="33" t="str">
        <f t="shared" si="244"/>
        <v>DF2 - CGS</v>
      </c>
      <c r="B3910" s="33" t="str">
        <f t="shared" si="245"/>
        <v>DF2</v>
      </c>
      <c r="C3910" s="33" t="str">
        <f t="shared" si="246"/>
        <v>54099-7487</v>
      </c>
      <c r="D3910" s="64" t="s">
        <v>4868</v>
      </c>
      <c r="E3910" s="64" t="s">
        <v>2982</v>
      </c>
      <c r="F3910" s="64" t="s">
        <v>15</v>
      </c>
      <c r="G3910" s="64" t="s">
        <v>2921</v>
      </c>
      <c r="H3910" s="64" t="s">
        <v>1875</v>
      </c>
      <c r="I3910" s="64" t="s">
        <v>2983</v>
      </c>
      <c r="J3910" s="67">
        <v>-26736.22</v>
      </c>
      <c r="K3910" s="62">
        <v>-252350.66</v>
      </c>
      <c r="L3910" s="33" t="e">
        <f>HLOOKUP(B3910,#REF!,1,0)</f>
        <v>#REF!</v>
      </c>
      <c r="M3910" s="33" t="str">
        <f t="shared" si="247"/>
        <v>P&amp;L</v>
      </c>
    </row>
    <row r="3911" spans="1:13" s="33" customFormat="true" ht="12.75" customHeight="true">
      <c r="A3911" s="33" t="str">
        <f t="shared" si="244"/>
        <v>DF2 - CGS</v>
      </c>
      <c r="B3911" s="33" t="str">
        <f t="shared" si="245"/>
        <v>DF2</v>
      </c>
      <c r="C3911" s="33" t="str">
        <f t="shared" si="246"/>
        <v>54099-7488</v>
      </c>
      <c r="D3911" s="64" t="s">
        <v>4869</v>
      </c>
      <c r="E3911" s="64" t="s">
        <v>2982</v>
      </c>
      <c r="F3911" s="64" t="s">
        <v>15</v>
      </c>
      <c r="G3911" s="64" t="s">
        <v>2921</v>
      </c>
      <c r="H3911" s="64" t="s">
        <v>1875</v>
      </c>
      <c r="I3911" s="64" t="s">
        <v>2983</v>
      </c>
      <c r="J3911" s="67">
        <v>-25959.97</v>
      </c>
      <c r="K3911" s="62">
        <v>-245117.67</v>
      </c>
      <c r="L3911" s="33" t="e">
        <f>HLOOKUP(B3911,#REF!,1,0)</f>
        <v>#REF!</v>
      </c>
      <c r="M3911" s="33" t="str">
        <f t="shared" si="247"/>
        <v>P&amp;L</v>
      </c>
    </row>
    <row r="3912" spans="1:13" s="33" customFormat="true" ht="12.75" customHeight="true">
      <c r="A3912" s="33" t="str">
        <f t="shared" si="244"/>
        <v>DF2 - CGS</v>
      </c>
      <c r="B3912" s="33" t="str">
        <f t="shared" si="245"/>
        <v>DF2</v>
      </c>
      <c r="C3912" s="33" t="str">
        <f t="shared" si="246"/>
        <v>54099-7495</v>
      </c>
      <c r="D3912" s="64" t="s">
        <v>4870</v>
      </c>
      <c r="E3912" s="64" t="s">
        <v>2982</v>
      </c>
      <c r="F3912" s="64" t="s">
        <v>15</v>
      </c>
      <c r="G3912" s="64" t="s">
        <v>2921</v>
      </c>
      <c r="H3912" s="64" t="s">
        <v>1875</v>
      </c>
      <c r="I3912" s="64" t="s">
        <v>2983</v>
      </c>
      <c r="J3912" s="67">
        <v>-27385.35</v>
      </c>
      <c r="K3912" s="62">
        <v>-252992.74</v>
      </c>
      <c r="L3912" s="33" t="e">
        <f>HLOOKUP(B3912,#REF!,1,0)</f>
        <v>#REF!</v>
      </c>
      <c r="M3912" s="33" t="str">
        <f t="shared" si="247"/>
        <v>P&amp;L</v>
      </c>
    </row>
    <row r="3913" spans="1:13" s="33" customFormat="true" ht="12.75" customHeight="true">
      <c r="A3913" s="33" t="str">
        <f t="shared" si="244"/>
        <v>DF2 - CGS</v>
      </c>
      <c r="B3913" s="33" t="str">
        <f t="shared" si="245"/>
        <v>DF2</v>
      </c>
      <c r="C3913" s="33" t="str">
        <f t="shared" si="246"/>
        <v>54100-7367</v>
      </c>
      <c r="D3913" s="64" t="s">
        <v>4871</v>
      </c>
      <c r="E3913" s="64" t="s">
        <v>2989</v>
      </c>
      <c r="F3913" s="64" t="s">
        <v>15</v>
      </c>
      <c r="G3913" s="64" t="s">
        <v>2921</v>
      </c>
      <c r="H3913" s="64" t="s">
        <v>1875</v>
      </c>
      <c r="I3913" s="64" t="s">
        <v>2990</v>
      </c>
      <c r="J3913" s="67">
        <v>29857.29</v>
      </c>
      <c r="K3913" s="62">
        <v>277680.74</v>
      </c>
      <c r="L3913" s="33" t="e">
        <f>HLOOKUP(B3913,#REF!,1,0)</f>
        <v>#REF!</v>
      </c>
      <c r="M3913" s="33" t="str">
        <f t="shared" si="247"/>
        <v>P&amp;L</v>
      </c>
    </row>
    <row r="3914" spans="1:13" s="33" customFormat="true" ht="12.75" customHeight="true">
      <c r="A3914" s="33" t="str">
        <f t="shared" si="244"/>
        <v>DF2 - CGS</v>
      </c>
      <c r="B3914" s="33" t="str">
        <f t="shared" si="245"/>
        <v>DF2</v>
      </c>
      <c r="C3914" s="33" t="str">
        <f t="shared" si="246"/>
        <v>54100-7392</v>
      </c>
      <c r="D3914" s="64" t="s">
        <v>4872</v>
      </c>
      <c r="E3914" s="64" t="s">
        <v>2989</v>
      </c>
      <c r="F3914" s="64" t="s">
        <v>15</v>
      </c>
      <c r="G3914" s="64" t="s">
        <v>2921</v>
      </c>
      <c r="H3914" s="64" t="s">
        <v>1875</v>
      </c>
      <c r="I3914" s="64" t="s">
        <v>2990</v>
      </c>
      <c r="J3914" s="67">
        <v>35460.54</v>
      </c>
      <c r="K3914" s="62">
        <v>324721.33</v>
      </c>
      <c r="L3914" s="33" t="e">
        <f>HLOOKUP(B3914,#REF!,1,0)</f>
        <v>#REF!</v>
      </c>
      <c r="M3914" s="33" t="str">
        <f t="shared" si="247"/>
        <v>P&amp;L</v>
      </c>
    </row>
    <row r="3915" spans="1:13" s="33" customFormat="true" ht="12.75" customHeight="true">
      <c r="A3915" s="33" t="str">
        <f t="shared" si="244"/>
        <v>DF2 - CGS</v>
      </c>
      <c r="B3915" s="33" t="str">
        <f t="shared" si="245"/>
        <v>DF2</v>
      </c>
      <c r="C3915" s="33" t="str">
        <f t="shared" si="246"/>
        <v>54100-7487</v>
      </c>
      <c r="D3915" s="64" t="s">
        <v>4873</v>
      </c>
      <c r="E3915" s="64" t="s">
        <v>2989</v>
      </c>
      <c r="F3915" s="64" t="s">
        <v>15</v>
      </c>
      <c r="G3915" s="64" t="s">
        <v>2921</v>
      </c>
      <c r="H3915" s="64" t="s">
        <v>1875</v>
      </c>
      <c r="I3915" s="64" t="s">
        <v>2990</v>
      </c>
      <c r="J3915" s="67">
        <v>26736.22</v>
      </c>
      <c r="K3915" s="62">
        <v>252350.66</v>
      </c>
      <c r="L3915" s="33" t="e">
        <f>HLOOKUP(B3915,#REF!,1,0)</f>
        <v>#REF!</v>
      </c>
      <c r="M3915" s="33" t="str">
        <f t="shared" si="247"/>
        <v>P&amp;L</v>
      </c>
    </row>
    <row r="3916" spans="1:13" s="33" customFormat="true" ht="12.75" customHeight="true">
      <c r="A3916" s="33" t="str">
        <f t="shared" si="244"/>
        <v>DF2 - CGS</v>
      </c>
      <c r="B3916" s="33" t="str">
        <f t="shared" si="245"/>
        <v>DF2</v>
      </c>
      <c r="C3916" s="33" t="str">
        <f t="shared" si="246"/>
        <v>54100-7488</v>
      </c>
      <c r="D3916" s="64" t="s">
        <v>4874</v>
      </c>
      <c r="E3916" s="64" t="s">
        <v>2989</v>
      </c>
      <c r="F3916" s="64" t="s">
        <v>15</v>
      </c>
      <c r="G3916" s="64" t="s">
        <v>2921</v>
      </c>
      <c r="H3916" s="64" t="s">
        <v>1875</v>
      </c>
      <c r="I3916" s="64" t="s">
        <v>2990</v>
      </c>
      <c r="J3916" s="67">
        <v>25959.97</v>
      </c>
      <c r="K3916" s="62">
        <v>245117.67</v>
      </c>
      <c r="L3916" s="33" t="e">
        <f>HLOOKUP(B3916,#REF!,1,0)</f>
        <v>#REF!</v>
      </c>
      <c r="M3916" s="33" t="str">
        <f t="shared" si="247"/>
        <v>P&amp;L</v>
      </c>
    </row>
    <row r="3917" spans="1:13" s="33" customFormat="true" ht="12.75" customHeight="true">
      <c r="A3917" s="33" t="str">
        <f t="shared" si="244"/>
        <v>DF2 - CGS</v>
      </c>
      <c r="B3917" s="33" t="str">
        <f t="shared" si="245"/>
        <v>DF2</v>
      </c>
      <c r="C3917" s="33" t="str">
        <f t="shared" si="246"/>
        <v>54100-7495</v>
      </c>
      <c r="D3917" s="64" t="s">
        <v>4875</v>
      </c>
      <c r="E3917" s="64" t="s">
        <v>2989</v>
      </c>
      <c r="F3917" s="64" t="s">
        <v>15</v>
      </c>
      <c r="G3917" s="64" t="s">
        <v>2921</v>
      </c>
      <c r="H3917" s="64" t="s">
        <v>1875</v>
      </c>
      <c r="I3917" s="64" t="s">
        <v>2990</v>
      </c>
      <c r="J3917" s="67">
        <v>27385.35</v>
      </c>
      <c r="K3917" s="62">
        <v>252992.74</v>
      </c>
      <c r="L3917" s="33" t="e">
        <f>HLOOKUP(B3917,#REF!,1,0)</f>
        <v>#REF!</v>
      </c>
      <c r="M3917" s="33" t="str">
        <f t="shared" si="247"/>
        <v>P&amp;L</v>
      </c>
    </row>
    <row r="3918" spans="1:13" s="33" customFormat="true" ht="12.75" customHeight="true">
      <c r="A3918" s="33" t="str">
        <f t="shared" si="244"/>
        <v>DF2 - CGS</v>
      </c>
      <c r="B3918" s="33" t="str">
        <f t="shared" si="245"/>
        <v>DF2</v>
      </c>
      <c r="C3918" s="33" t="str">
        <f t="shared" si="246"/>
        <v>55001-7367</v>
      </c>
      <c r="D3918" s="64" t="s">
        <v>4876</v>
      </c>
      <c r="E3918" s="64" t="s">
        <v>2996</v>
      </c>
      <c r="F3918" s="64" t="s">
        <v>15</v>
      </c>
      <c r="G3918" s="64" t="s">
        <v>2976</v>
      </c>
      <c r="H3918" s="64" t="s">
        <v>1875</v>
      </c>
      <c r="I3918" s="64" t="s">
        <v>2997</v>
      </c>
      <c r="J3918" s="67">
        <v>2702.14</v>
      </c>
      <c r="K3918" s="62">
        <v>27021.4</v>
      </c>
      <c r="L3918" s="33" t="e">
        <f>HLOOKUP(B3918,#REF!,1,0)</f>
        <v>#REF!</v>
      </c>
      <c r="M3918" s="33" t="str">
        <f t="shared" si="247"/>
        <v>P&amp;L</v>
      </c>
    </row>
    <row r="3919" spans="1:13" s="33" customFormat="true" ht="12.75" customHeight="true">
      <c r="A3919" s="33" t="str">
        <f t="shared" si="244"/>
        <v>DF2 - CGS</v>
      </c>
      <c r="B3919" s="33" t="str">
        <f t="shared" si="245"/>
        <v>DF2</v>
      </c>
      <c r="C3919" s="33" t="str">
        <f t="shared" si="246"/>
        <v>55001-7392</v>
      </c>
      <c r="D3919" s="64" t="s">
        <v>4877</v>
      </c>
      <c r="E3919" s="64" t="s">
        <v>2996</v>
      </c>
      <c r="F3919" s="64" t="s">
        <v>15</v>
      </c>
      <c r="G3919" s="64" t="s">
        <v>2976</v>
      </c>
      <c r="H3919" s="64" t="s">
        <v>1875</v>
      </c>
      <c r="I3919" s="64" t="s">
        <v>2997</v>
      </c>
      <c r="J3919" s="67">
        <v>2702.14</v>
      </c>
      <c r="K3919" s="62">
        <v>27021.4</v>
      </c>
      <c r="L3919" s="33" t="e">
        <f>HLOOKUP(B3919,#REF!,1,0)</f>
        <v>#REF!</v>
      </c>
      <c r="M3919" s="33" t="str">
        <f t="shared" si="247"/>
        <v>P&amp;L</v>
      </c>
    </row>
    <row r="3920" spans="1:13" s="33" customFormat="true" ht="12.75" customHeight="true">
      <c r="A3920" s="33" t="str">
        <f t="shared" si="244"/>
        <v>DF2 - CGS</v>
      </c>
      <c r="B3920" s="33" t="str">
        <f t="shared" si="245"/>
        <v>DF2</v>
      </c>
      <c r="C3920" s="33" t="str">
        <f t="shared" si="246"/>
        <v>55001-7487</v>
      </c>
      <c r="D3920" s="64" t="s">
        <v>4878</v>
      </c>
      <c r="E3920" s="64" t="s">
        <v>2996</v>
      </c>
      <c r="F3920" s="64" t="s">
        <v>15</v>
      </c>
      <c r="G3920" s="64" t="s">
        <v>2976</v>
      </c>
      <c r="H3920" s="64" t="s">
        <v>1875</v>
      </c>
      <c r="I3920" s="64" t="s">
        <v>2997</v>
      </c>
      <c r="J3920" s="67">
        <v>2702.14</v>
      </c>
      <c r="K3920" s="62">
        <v>27021.4</v>
      </c>
      <c r="L3920" s="33" t="e">
        <f>HLOOKUP(B3920,#REF!,1,0)</f>
        <v>#REF!</v>
      </c>
      <c r="M3920" s="33" t="str">
        <f t="shared" si="247"/>
        <v>P&amp;L</v>
      </c>
    </row>
    <row r="3921" spans="1:13" s="33" customFormat="true" ht="12.75" customHeight="true">
      <c r="A3921" s="33" t="str">
        <f t="shared" si="244"/>
        <v>DF2 - CGS</v>
      </c>
      <c r="B3921" s="33" t="str">
        <f t="shared" si="245"/>
        <v>DF2</v>
      </c>
      <c r="C3921" s="33" t="str">
        <f t="shared" si="246"/>
        <v>55001-7488</v>
      </c>
      <c r="D3921" s="64" t="s">
        <v>4879</v>
      </c>
      <c r="E3921" s="64" t="s">
        <v>2996</v>
      </c>
      <c r="F3921" s="64" t="s">
        <v>15</v>
      </c>
      <c r="G3921" s="64" t="s">
        <v>2976</v>
      </c>
      <c r="H3921" s="64" t="s">
        <v>1875</v>
      </c>
      <c r="I3921" s="64" t="s">
        <v>2997</v>
      </c>
      <c r="J3921" s="67">
        <v>2702.14</v>
      </c>
      <c r="K3921" s="62">
        <v>27021.4</v>
      </c>
      <c r="L3921" s="33" t="e">
        <f>HLOOKUP(B3921,#REF!,1,0)</f>
        <v>#REF!</v>
      </c>
      <c r="M3921" s="33" t="str">
        <f t="shared" si="247"/>
        <v>P&amp;L</v>
      </c>
    </row>
    <row r="3922" spans="1:13" s="33" customFormat="true" ht="12.75" customHeight="true">
      <c r="A3922" s="33" t="str">
        <f t="shared" si="244"/>
        <v>DF2 - CGS</v>
      </c>
      <c r="B3922" s="33" t="str">
        <f t="shared" si="245"/>
        <v>DF2</v>
      </c>
      <c r="C3922" s="33" t="str">
        <f t="shared" si="246"/>
        <v>55001-7495</v>
      </c>
      <c r="D3922" s="64" t="s">
        <v>4880</v>
      </c>
      <c r="E3922" s="64" t="s">
        <v>2996</v>
      </c>
      <c r="F3922" s="64" t="s">
        <v>15</v>
      </c>
      <c r="G3922" s="64" t="s">
        <v>2976</v>
      </c>
      <c r="H3922" s="64" t="s">
        <v>1875</v>
      </c>
      <c r="I3922" s="64" t="s">
        <v>2997</v>
      </c>
      <c r="J3922" s="67">
        <v>2702.14</v>
      </c>
      <c r="K3922" s="62">
        <v>27021.4</v>
      </c>
      <c r="L3922" s="33" t="e">
        <f>HLOOKUP(B3922,#REF!,1,0)</f>
        <v>#REF!</v>
      </c>
      <c r="M3922" s="33" t="str">
        <f t="shared" si="247"/>
        <v>P&amp;L</v>
      </c>
    </row>
    <row r="3923" spans="1:13" s="33" customFormat="true" ht="12.75" customHeight="true">
      <c r="A3923" s="33" t="str">
        <f t="shared" si="244"/>
        <v>DF2 - CGS</v>
      </c>
      <c r="B3923" s="33" t="str">
        <f t="shared" si="245"/>
        <v>DF2</v>
      </c>
      <c r="C3923" s="33" t="str">
        <f t="shared" si="246"/>
        <v>56001-0000</v>
      </c>
      <c r="D3923" s="64" t="s">
        <v>4881</v>
      </c>
      <c r="E3923" s="64" t="s">
        <v>3002</v>
      </c>
      <c r="F3923" s="64" t="s">
        <v>15</v>
      </c>
      <c r="G3923" s="64" t="s">
        <v>2976</v>
      </c>
      <c r="H3923" s="64" t="s">
        <v>1875</v>
      </c>
      <c r="I3923" s="64" t="s">
        <v>3003</v>
      </c>
      <c r="J3923" s="67">
        <v>0</v>
      </c>
      <c r="K3923" s="62">
        <v>0.01</v>
      </c>
      <c r="L3923" s="33" t="e">
        <f>HLOOKUP(B3923,#REF!,1,0)</f>
        <v>#REF!</v>
      </c>
      <c r="M3923" s="33" t="str">
        <f t="shared" si="247"/>
        <v>P&amp;L</v>
      </c>
    </row>
    <row r="3924" spans="1:13" s="33" customFormat="true" ht="12.75" customHeight="true">
      <c r="A3924" s="33" t="str">
        <f t="shared" si="244"/>
        <v>DF2 - CGS</v>
      </c>
      <c r="B3924" s="33" t="str">
        <f t="shared" si="245"/>
        <v>DF2</v>
      </c>
      <c r="C3924" s="33" t="str">
        <f t="shared" si="246"/>
        <v>56001-7367</v>
      </c>
      <c r="D3924" s="64" t="s">
        <v>4882</v>
      </c>
      <c r="E3924" s="64" t="s">
        <v>3002</v>
      </c>
      <c r="F3924" s="64" t="s">
        <v>15</v>
      </c>
      <c r="G3924" s="64" t="s">
        <v>2976</v>
      </c>
      <c r="H3924" s="64" t="s">
        <v>1875</v>
      </c>
      <c r="I3924" s="64" t="s">
        <v>3003</v>
      </c>
      <c r="J3924" s="67">
        <v>2643.6</v>
      </c>
      <c r="K3924" s="62">
        <v>26998.5</v>
      </c>
      <c r="L3924" s="33" t="e">
        <f>HLOOKUP(B3924,#REF!,1,0)</f>
        <v>#REF!</v>
      </c>
      <c r="M3924" s="33" t="str">
        <f t="shared" si="247"/>
        <v>P&amp;L</v>
      </c>
    </row>
    <row r="3925" spans="1:13" s="33" customFormat="true" ht="12.75" customHeight="true">
      <c r="A3925" s="33" t="str">
        <f t="shared" si="244"/>
        <v>DF2 - CGS</v>
      </c>
      <c r="B3925" s="33" t="str">
        <f t="shared" si="245"/>
        <v>DF2</v>
      </c>
      <c r="C3925" s="33" t="str">
        <f t="shared" si="246"/>
        <v>56001-7392</v>
      </c>
      <c r="D3925" s="64" t="s">
        <v>4883</v>
      </c>
      <c r="E3925" s="64" t="s">
        <v>3002</v>
      </c>
      <c r="F3925" s="64" t="s">
        <v>15</v>
      </c>
      <c r="G3925" s="64" t="s">
        <v>2976</v>
      </c>
      <c r="H3925" s="64" t="s">
        <v>1875</v>
      </c>
      <c r="I3925" s="64" t="s">
        <v>3003</v>
      </c>
      <c r="J3925" s="67">
        <v>2810.92</v>
      </c>
      <c r="K3925" s="62">
        <v>30837.31</v>
      </c>
      <c r="L3925" s="33" t="e">
        <f>HLOOKUP(B3925,#REF!,1,0)</f>
        <v>#REF!</v>
      </c>
      <c r="M3925" s="33" t="str">
        <f t="shared" si="247"/>
        <v>P&amp;L</v>
      </c>
    </row>
    <row r="3926" spans="1:13" s="33" customFormat="true" ht="12.75" customHeight="true">
      <c r="A3926" s="33" t="str">
        <f t="shared" si="244"/>
        <v>DF2 - CGS</v>
      </c>
      <c r="B3926" s="33" t="str">
        <f t="shared" si="245"/>
        <v>DF2</v>
      </c>
      <c r="C3926" s="33" t="str">
        <f t="shared" si="246"/>
        <v>56001-7487</v>
      </c>
      <c r="D3926" s="64" t="s">
        <v>4884</v>
      </c>
      <c r="E3926" s="64" t="s">
        <v>3002</v>
      </c>
      <c r="F3926" s="64" t="s">
        <v>15</v>
      </c>
      <c r="G3926" s="64" t="s">
        <v>2976</v>
      </c>
      <c r="H3926" s="64" t="s">
        <v>1875</v>
      </c>
      <c r="I3926" s="64" t="s">
        <v>3003</v>
      </c>
      <c r="J3926" s="67">
        <v>2032.35</v>
      </c>
      <c r="K3926" s="62">
        <v>23029.29</v>
      </c>
      <c r="L3926" s="33" t="e">
        <f>HLOOKUP(B3926,#REF!,1,0)</f>
        <v>#REF!</v>
      </c>
      <c r="M3926" s="33" t="str">
        <f t="shared" si="247"/>
        <v>P&amp;L</v>
      </c>
    </row>
    <row r="3927" spans="1:13" s="33" customFormat="true" ht="12.75" customHeight="true">
      <c r="A3927" s="33" t="str">
        <f t="shared" si="244"/>
        <v>DF2 - CGS</v>
      </c>
      <c r="B3927" s="33" t="str">
        <f t="shared" si="245"/>
        <v>DF2</v>
      </c>
      <c r="C3927" s="33" t="str">
        <f t="shared" si="246"/>
        <v>56001-7488</v>
      </c>
      <c r="D3927" s="64" t="s">
        <v>4885</v>
      </c>
      <c r="E3927" s="64" t="s">
        <v>3002</v>
      </c>
      <c r="F3927" s="64" t="s">
        <v>15</v>
      </c>
      <c r="G3927" s="64" t="s">
        <v>2976</v>
      </c>
      <c r="H3927" s="64" t="s">
        <v>1875</v>
      </c>
      <c r="I3927" s="64" t="s">
        <v>3003</v>
      </c>
      <c r="J3927" s="67">
        <v>1938.37</v>
      </c>
      <c r="K3927" s="62">
        <v>24326.7</v>
      </c>
      <c r="L3927" s="33" t="e">
        <f>HLOOKUP(B3927,#REF!,1,0)</f>
        <v>#REF!</v>
      </c>
      <c r="M3927" s="33" t="str">
        <f t="shared" si="247"/>
        <v>P&amp;L</v>
      </c>
    </row>
    <row r="3928" spans="1:13" s="33" customFormat="true" ht="12.75" customHeight="true">
      <c r="A3928" s="33" t="str">
        <f t="shared" si="244"/>
        <v>DF2 - CGS</v>
      </c>
      <c r="B3928" s="33" t="str">
        <f t="shared" si="245"/>
        <v>DF2</v>
      </c>
      <c r="C3928" s="33" t="str">
        <f t="shared" si="246"/>
        <v>56001-7495</v>
      </c>
      <c r="D3928" s="64" t="s">
        <v>4886</v>
      </c>
      <c r="E3928" s="64" t="s">
        <v>3002</v>
      </c>
      <c r="F3928" s="64" t="s">
        <v>15</v>
      </c>
      <c r="G3928" s="64" t="s">
        <v>2976</v>
      </c>
      <c r="H3928" s="64" t="s">
        <v>1875</v>
      </c>
      <c r="I3928" s="64" t="s">
        <v>3003</v>
      </c>
      <c r="J3928" s="67">
        <v>1962.03</v>
      </c>
      <c r="K3928" s="62">
        <v>23759.66</v>
      </c>
      <c r="L3928" s="33" t="e">
        <f>HLOOKUP(B3928,#REF!,1,0)</f>
        <v>#REF!</v>
      </c>
      <c r="M3928" s="33" t="str">
        <f t="shared" si="247"/>
        <v>P&amp;L</v>
      </c>
    </row>
    <row r="3929" spans="1:13" s="33" customFormat="true" ht="12.75" customHeight="true">
      <c r="A3929" s="33" t="str">
        <f t="shared" si="244"/>
        <v>DF2 - CGS</v>
      </c>
      <c r="B3929" s="33" t="str">
        <f t="shared" si="245"/>
        <v>DF2</v>
      </c>
      <c r="C3929" s="33" t="str">
        <f t="shared" si="246"/>
        <v>56002-0000</v>
      </c>
      <c r="D3929" s="64" t="s">
        <v>4887</v>
      </c>
      <c r="E3929" s="64" t="s">
        <v>3009</v>
      </c>
      <c r="F3929" s="64" t="s">
        <v>15</v>
      </c>
      <c r="G3929" s="64" t="s">
        <v>2976</v>
      </c>
      <c r="H3929" s="64" t="s">
        <v>1875</v>
      </c>
      <c r="I3929" s="64" t="s">
        <v>3010</v>
      </c>
      <c r="J3929" s="67">
        <v>866.55</v>
      </c>
      <c r="K3929" s="62">
        <v>7975.3</v>
      </c>
      <c r="L3929" s="33" t="e">
        <f>HLOOKUP(B3929,#REF!,1,0)</f>
        <v>#REF!</v>
      </c>
      <c r="M3929" s="33" t="str">
        <f t="shared" si="247"/>
        <v>P&amp;L</v>
      </c>
    </row>
    <row r="3930" spans="1:13" s="33" customFormat="true" ht="12.75" customHeight="true">
      <c r="A3930" s="33" t="str">
        <f t="shared" si="244"/>
        <v>DF2 - CGS</v>
      </c>
      <c r="B3930" s="33" t="str">
        <f t="shared" si="245"/>
        <v>DF2</v>
      </c>
      <c r="C3930" s="33" t="str">
        <f t="shared" si="246"/>
        <v>56002-7367</v>
      </c>
      <c r="D3930" s="64" t="s">
        <v>4888</v>
      </c>
      <c r="E3930" s="64" t="s">
        <v>3009</v>
      </c>
      <c r="F3930" s="64" t="s">
        <v>15</v>
      </c>
      <c r="G3930" s="64" t="s">
        <v>2976</v>
      </c>
      <c r="H3930" s="64" t="s">
        <v>1875</v>
      </c>
      <c r="I3930" s="64" t="s">
        <v>3010</v>
      </c>
      <c r="J3930" s="67">
        <v>-4.16</v>
      </c>
      <c r="K3930" s="62">
        <v>33.06</v>
      </c>
      <c r="L3930" s="33" t="e">
        <f>HLOOKUP(B3930,#REF!,1,0)</f>
        <v>#REF!</v>
      </c>
      <c r="M3930" s="33" t="str">
        <f t="shared" si="247"/>
        <v>P&amp;L</v>
      </c>
    </row>
    <row r="3931" spans="1:13" s="33" customFormat="true" ht="12.75" customHeight="true">
      <c r="A3931" s="33" t="str">
        <f t="shared" si="244"/>
        <v>DF2 - CGS</v>
      </c>
      <c r="B3931" s="33" t="str">
        <f t="shared" si="245"/>
        <v>DF2</v>
      </c>
      <c r="C3931" s="33" t="str">
        <f t="shared" si="246"/>
        <v>56002-7392</v>
      </c>
      <c r="D3931" s="64" t="s">
        <v>4889</v>
      </c>
      <c r="E3931" s="64" t="s">
        <v>3009</v>
      </c>
      <c r="F3931" s="64" t="s">
        <v>15</v>
      </c>
      <c r="G3931" s="64" t="s">
        <v>2976</v>
      </c>
      <c r="H3931" s="64" t="s">
        <v>1875</v>
      </c>
      <c r="I3931" s="64" t="s">
        <v>3010</v>
      </c>
      <c r="J3931" s="67">
        <v>0</v>
      </c>
      <c r="K3931" s="62">
        <v>690.12</v>
      </c>
      <c r="L3931" s="33" t="e">
        <f>HLOOKUP(B3931,#REF!,1,0)</f>
        <v>#REF!</v>
      </c>
      <c r="M3931" s="33" t="str">
        <f t="shared" si="247"/>
        <v>P&amp;L</v>
      </c>
    </row>
    <row r="3932" spans="1:13" s="33" customFormat="true" ht="12.75" customHeight="true">
      <c r="A3932" s="33" t="str">
        <f t="shared" si="244"/>
        <v>DF2 - CGS</v>
      </c>
      <c r="B3932" s="33" t="str">
        <f t="shared" si="245"/>
        <v>DF2</v>
      </c>
      <c r="C3932" s="33" t="str">
        <f t="shared" si="246"/>
        <v>56002-7487</v>
      </c>
      <c r="D3932" s="64" t="s">
        <v>4890</v>
      </c>
      <c r="E3932" s="64" t="s">
        <v>3009</v>
      </c>
      <c r="F3932" s="64" t="s">
        <v>15</v>
      </c>
      <c r="G3932" s="64" t="s">
        <v>2976</v>
      </c>
      <c r="H3932" s="64" t="s">
        <v>1875</v>
      </c>
      <c r="I3932" s="64" t="s">
        <v>3010</v>
      </c>
      <c r="J3932" s="67">
        <v>-10.19</v>
      </c>
      <c r="K3932" s="62">
        <v>-358</v>
      </c>
      <c r="L3932" s="33" t="e">
        <f>HLOOKUP(B3932,#REF!,1,0)</f>
        <v>#REF!</v>
      </c>
      <c r="M3932" s="33" t="str">
        <f t="shared" si="247"/>
        <v>P&amp;L</v>
      </c>
    </row>
    <row r="3933" spans="1:13" s="33" customFormat="true" ht="12.75" customHeight="true">
      <c r="A3933" s="33" t="str">
        <f t="shared" si="244"/>
        <v>DF2 - CGS</v>
      </c>
      <c r="B3933" s="33" t="str">
        <f t="shared" si="245"/>
        <v>DF2</v>
      </c>
      <c r="C3933" s="33" t="str">
        <f t="shared" si="246"/>
        <v>56002-7488</v>
      </c>
      <c r="D3933" s="64" t="s">
        <v>4891</v>
      </c>
      <c r="E3933" s="64" t="s">
        <v>3009</v>
      </c>
      <c r="F3933" s="64" t="s">
        <v>15</v>
      </c>
      <c r="G3933" s="64" t="s">
        <v>2976</v>
      </c>
      <c r="H3933" s="64" t="s">
        <v>1875</v>
      </c>
      <c r="I3933" s="64" t="s">
        <v>3010</v>
      </c>
      <c r="J3933" s="67">
        <v>559.63</v>
      </c>
      <c r="K3933" s="62">
        <v>6043.27</v>
      </c>
      <c r="L3933" s="33" t="e">
        <f>HLOOKUP(B3933,#REF!,1,0)</f>
        <v>#REF!</v>
      </c>
      <c r="M3933" s="33" t="str">
        <f t="shared" si="247"/>
        <v>P&amp;L</v>
      </c>
    </row>
    <row r="3934" spans="1:13" s="33" customFormat="true" ht="12.75" customHeight="true">
      <c r="A3934" s="33" t="str">
        <f t="shared" si="244"/>
        <v>DF2 - CGS</v>
      </c>
      <c r="B3934" s="33" t="str">
        <f t="shared" si="245"/>
        <v>DF2</v>
      </c>
      <c r="C3934" s="33" t="str">
        <f t="shared" si="246"/>
        <v>56050-0000</v>
      </c>
      <c r="D3934" s="64" t="s">
        <v>4892</v>
      </c>
      <c r="E3934" s="64" t="s">
        <v>3016</v>
      </c>
      <c r="F3934" s="64" t="s">
        <v>15</v>
      </c>
      <c r="G3934" s="64" t="s">
        <v>3017</v>
      </c>
      <c r="H3934" s="64" t="s">
        <v>1875</v>
      </c>
      <c r="I3934" s="64" t="s">
        <v>3018</v>
      </c>
      <c r="J3934" s="67">
        <v>-108.94</v>
      </c>
      <c r="K3934" s="62">
        <v>-1534.06</v>
      </c>
      <c r="L3934" s="33" t="e">
        <f>HLOOKUP(B3934,#REF!,1,0)</f>
        <v>#REF!</v>
      </c>
      <c r="M3934" s="33" t="str">
        <f t="shared" si="247"/>
        <v>P&amp;L</v>
      </c>
    </row>
    <row r="3935" spans="1:13" s="33" customFormat="true" ht="12.75" customHeight="true">
      <c r="A3935" s="33" t="str">
        <f t="shared" si="244"/>
        <v>DF2 - Operating Expense</v>
      </c>
      <c r="B3935" s="33" t="str">
        <f t="shared" si="245"/>
        <v>DF2</v>
      </c>
      <c r="C3935" s="33" t="str">
        <f t="shared" si="246"/>
        <v>60001-7367</v>
      </c>
      <c r="D3935" s="64" t="s">
        <v>4893</v>
      </c>
      <c r="E3935" s="64" t="s">
        <v>3020</v>
      </c>
      <c r="F3935" s="64" t="s">
        <v>15</v>
      </c>
      <c r="G3935" s="64" t="s">
        <v>3021</v>
      </c>
      <c r="H3935" s="64" t="s">
        <v>3022</v>
      </c>
      <c r="I3935" s="64" t="s">
        <v>3023</v>
      </c>
      <c r="J3935" s="67">
        <v>-9.27</v>
      </c>
      <c r="K3935" s="62">
        <v>95.36</v>
      </c>
      <c r="L3935" s="33" t="e">
        <f>HLOOKUP(B3935,#REF!,1,0)</f>
        <v>#REF!</v>
      </c>
      <c r="M3935" s="33" t="str">
        <f t="shared" si="247"/>
        <v>P&amp;L</v>
      </c>
    </row>
    <row r="3936" spans="1:13" s="33" customFormat="true" ht="12.75" customHeight="true">
      <c r="A3936" s="33" t="str">
        <f t="shared" si="244"/>
        <v>DF2 - Operating Expense</v>
      </c>
      <c r="B3936" s="33" t="str">
        <f t="shared" si="245"/>
        <v>DF2</v>
      </c>
      <c r="C3936" s="33" t="str">
        <f t="shared" si="246"/>
        <v>60001-7392</v>
      </c>
      <c r="D3936" s="64" t="s">
        <v>4894</v>
      </c>
      <c r="E3936" s="64" t="s">
        <v>3020</v>
      </c>
      <c r="F3936" s="64" t="s">
        <v>15</v>
      </c>
      <c r="G3936" s="64" t="s">
        <v>3021</v>
      </c>
      <c r="H3936" s="64" t="s">
        <v>3022</v>
      </c>
      <c r="I3936" s="64" t="s">
        <v>3023</v>
      </c>
      <c r="J3936" s="67">
        <v>-6.93</v>
      </c>
      <c r="K3936" s="62">
        <v>397.09</v>
      </c>
      <c r="L3936" s="33" t="e">
        <f>HLOOKUP(B3936,#REF!,1,0)</f>
        <v>#REF!</v>
      </c>
      <c r="M3936" s="33" t="str">
        <f t="shared" si="247"/>
        <v>P&amp;L</v>
      </c>
    </row>
    <row r="3937" spans="1:13" s="33" customFormat="true" ht="12.75" customHeight="true">
      <c r="A3937" s="33" t="str">
        <f t="shared" si="244"/>
        <v>DF2 - Operating Expense</v>
      </c>
      <c r="B3937" s="33" t="str">
        <f t="shared" si="245"/>
        <v>DF2</v>
      </c>
      <c r="C3937" s="33" t="str">
        <f t="shared" si="246"/>
        <v>60001-7487</v>
      </c>
      <c r="D3937" s="64" t="s">
        <v>4895</v>
      </c>
      <c r="E3937" s="64" t="s">
        <v>3020</v>
      </c>
      <c r="F3937" s="64" t="s">
        <v>15</v>
      </c>
      <c r="G3937" s="64" t="s">
        <v>3021</v>
      </c>
      <c r="H3937" s="64" t="s">
        <v>3022</v>
      </c>
      <c r="I3937" s="64" t="s">
        <v>3023</v>
      </c>
      <c r="J3937" s="67">
        <v>31.32</v>
      </c>
      <c r="K3937" s="62">
        <v>880.86</v>
      </c>
      <c r="L3937" s="33" t="e">
        <f>HLOOKUP(B3937,#REF!,1,0)</f>
        <v>#REF!</v>
      </c>
      <c r="M3937" s="33" t="str">
        <f t="shared" si="247"/>
        <v>P&amp;L</v>
      </c>
    </row>
    <row r="3938" spans="1:13" s="33" customFormat="true" ht="12.75" customHeight="true">
      <c r="A3938" s="33" t="str">
        <f t="shared" si="244"/>
        <v>DF2 - Operating Expense</v>
      </c>
      <c r="B3938" s="33" t="str">
        <f t="shared" si="245"/>
        <v>DF2</v>
      </c>
      <c r="C3938" s="33" t="str">
        <f t="shared" si="246"/>
        <v>60001-7488</v>
      </c>
      <c r="D3938" s="64" t="s">
        <v>4896</v>
      </c>
      <c r="E3938" s="64" t="s">
        <v>3020</v>
      </c>
      <c r="F3938" s="64" t="s">
        <v>15</v>
      </c>
      <c r="G3938" s="64" t="s">
        <v>3021</v>
      </c>
      <c r="H3938" s="64" t="s">
        <v>3022</v>
      </c>
      <c r="I3938" s="64" t="s">
        <v>3023</v>
      </c>
      <c r="J3938" s="67">
        <v>57.39</v>
      </c>
      <c r="K3938" s="62">
        <v>72.66</v>
      </c>
      <c r="L3938" s="33" t="e">
        <f>HLOOKUP(B3938,#REF!,1,0)</f>
        <v>#REF!</v>
      </c>
      <c r="M3938" s="33" t="str">
        <f t="shared" si="247"/>
        <v>P&amp;L</v>
      </c>
    </row>
    <row r="3939" spans="1:13" s="33" customFormat="true" ht="12.75" customHeight="true">
      <c r="A3939" s="33" t="str">
        <f t="shared" si="244"/>
        <v>DF2 - Operating Expense</v>
      </c>
      <c r="B3939" s="33" t="str">
        <f t="shared" si="245"/>
        <v>DF2</v>
      </c>
      <c r="C3939" s="33" t="str">
        <f t="shared" si="246"/>
        <v>60001-7495</v>
      </c>
      <c r="D3939" s="64" t="s">
        <v>4897</v>
      </c>
      <c r="E3939" s="64" t="s">
        <v>3020</v>
      </c>
      <c r="F3939" s="64" t="s">
        <v>15</v>
      </c>
      <c r="G3939" s="64" t="s">
        <v>3021</v>
      </c>
      <c r="H3939" s="64" t="s">
        <v>3022</v>
      </c>
      <c r="I3939" s="64" t="s">
        <v>3023</v>
      </c>
      <c r="J3939" s="67">
        <v>421.23</v>
      </c>
      <c r="K3939" s="62">
        <v>1287.17</v>
      </c>
      <c r="L3939" s="33" t="e">
        <f>HLOOKUP(B3939,#REF!,1,0)</f>
        <v>#REF!</v>
      </c>
      <c r="M3939" s="33" t="str">
        <f t="shared" si="247"/>
        <v>P&amp;L</v>
      </c>
    </row>
    <row r="3940" spans="1:13" s="33" customFormat="true" ht="12.75" customHeight="true">
      <c r="A3940" s="33" t="str">
        <f t="shared" si="244"/>
        <v>DF2 - Operating Expense</v>
      </c>
      <c r="B3940" s="33" t="str">
        <f t="shared" si="245"/>
        <v>DF2</v>
      </c>
      <c r="C3940" s="33" t="str">
        <f t="shared" si="246"/>
        <v>60503-7367</v>
      </c>
      <c r="D3940" s="64" t="s">
        <v>4898</v>
      </c>
      <c r="E3940" s="64" t="s">
        <v>3034</v>
      </c>
      <c r="F3940" s="64" t="s">
        <v>15</v>
      </c>
      <c r="G3940" s="64" t="s">
        <v>3035</v>
      </c>
      <c r="H3940" s="64" t="s">
        <v>3022</v>
      </c>
      <c r="I3940" s="64" t="s">
        <v>3036</v>
      </c>
      <c r="J3940" s="67">
        <v>0</v>
      </c>
      <c r="K3940" s="62">
        <v>535.57</v>
      </c>
      <c r="L3940" s="33" t="e">
        <f>HLOOKUP(B3940,#REF!,1,0)</f>
        <v>#REF!</v>
      </c>
      <c r="M3940" s="33" t="str">
        <f t="shared" si="247"/>
        <v>P&amp;L</v>
      </c>
    </row>
    <row r="3941" spans="1:13" s="33" customFormat="true" ht="12.75" customHeight="true">
      <c r="A3941" s="33" t="str">
        <f t="shared" si="244"/>
        <v>DF2 - Operating Expense</v>
      </c>
      <c r="B3941" s="33" t="str">
        <f t="shared" si="245"/>
        <v>DF2</v>
      </c>
      <c r="C3941" s="33" t="str">
        <f t="shared" si="246"/>
        <v>60503-7392</v>
      </c>
      <c r="D3941" s="64" t="s">
        <v>4899</v>
      </c>
      <c r="E3941" s="64" t="s">
        <v>3034</v>
      </c>
      <c r="F3941" s="64" t="s">
        <v>15</v>
      </c>
      <c r="G3941" s="64" t="s">
        <v>3035</v>
      </c>
      <c r="H3941" s="64" t="s">
        <v>3022</v>
      </c>
      <c r="I3941" s="64" t="s">
        <v>3036</v>
      </c>
      <c r="J3941" s="67">
        <v>0</v>
      </c>
      <c r="K3941" s="62">
        <v>298.37</v>
      </c>
      <c r="L3941" s="33" t="e">
        <f>HLOOKUP(B3941,#REF!,1,0)</f>
        <v>#REF!</v>
      </c>
      <c r="M3941" s="33" t="str">
        <f t="shared" si="247"/>
        <v>P&amp;L</v>
      </c>
    </row>
    <row r="3942" spans="1:13" s="33" customFormat="true" ht="12.75" customHeight="true">
      <c r="A3942" s="33" t="str">
        <f t="shared" si="244"/>
        <v>DF2 - Operating Expense</v>
      </c>
      <c r="B3942" s="33" t="str">
        <f t="shared" si="245"/>
        <v>DF2</v>
      </c>
      <c r="C3942" s="33" t="str">
        <f t="shared" si="246"/>
        <v>60503-7487</v>
      </c>
      <c r="D3942" s="64" t="s">
        <v>4900</v>
      </c>
      <c r="E3942" s="64" t="s">
        <v>3034</v>
      </c>
      <c r="F3942" s="64" t="s">
        <v>15</v>
      </c>
      <c r="G3942" s="64" t="s">
        <v>3035</v>
      </c>
      <c r="H3942" s="64" t="s">
        <v>3022</v>
      </c>
      <c r="I3942" s="64" t="s">
        <v>3036</v>
      </c>
      <c r="J3942" s="67">
        <v>0</v>
      </c>
      <c r="K3942" s="62">
        <v>239.48</v>
      </c>
      <c r="L3942" s="33" t="e">
        <f>HLOOKUP(B3942,#REF!,1,0)</f>
        <v>#REF!</v>
      </c>
      <c r="M3942" s="33" t="str">
        <f t="shared" si="247"/>
        <v>P&amp;L</v>
      </c>
    </row>
    <row r="3943" spans="1:13" s="33" customFormat="true" ht="12.75" customHeight="true">
      <c r="A3943" s="33" t="str">
        <f t="shared" si="244"/>
        <v>DF2 - Operating Expense</v>
      </c>
      <c r="B3943" s="33" t="str">
        <f t="shared" si="245"/>
        <v>DF2</v>
      </c>
      <c r="C3943" s="33" t="str">
        <f t="shared" si="246"/>
        <v>60503-7488</v>
      </c>
      <c r="D3943" s="64" t="s">
        <v>4901</v>
      </c>
      <c r="E3943" s="64" t="s">
        <v>3034</v>
      </c>
      <c r="F3943" s="64" t="s">
        <v>15</v>
      </c>
      <c r="G3943" s="64" t="s">
        <v>3035</v>
      </c>
      <c r="H3943" s="64" t="s">
        <v>3022</v>
      </c>
      <c r="I3943" s="64" t="s">
        <v>3036</v>
      </c>
      <c r="J3943" s="67">
        <v>0</v>
      </c>
      <c r="K3943" s="62">
        <v>434.98</v>
      </c>
      <c r="L3943" s="33" t="e">
        <f>HLOOKUP(B3943,#REF!,1,0)</f>
        <v>#REF!</v>
      </c>
      <c r="M3943" s="33" t="str">
        <f t="shared" si="247"/>
        <v>P&amp;L</v>
      </c>
    </row>
    <row r="3944" spans="1:13" s="33" customFormat="true" ht="12.75" customHeight="true">
      <c r="A3944" s="33" t="str">
        <f t="shared" si="244"/>
        <v>DF2 - Operating Expense</v>
      </c>
      <c r="B3944" s="33" t="str">
        <f t="shared" si="245"/>
        <v>DF2</v>
      </c>
      <c r="C3944" s="33" t="str">
        <f t="shared" si="246"/>
        <v>60503-7495</v>
      </c>
      <c r="D3944" s="64" t="s">
        <v>4902</v>
      </c>
      <c r="E3944" s="64" t="s">
        <v>3034</v>
      </c>
      <c r="F3944" s="64" t="s">
        <v>15</v>
      </c>
      <c r="G3944" s="64" t="s">
        <v>3035</v>
      </c>
      <c r="H3944" s="64" t="s">
        <v>3022</v>
      </c>
      <c r="I3944" s="64" t="s">
        <v>3036</v>
      </c>
      <c r="J3944" s="67">
        <v>0</v>
      </c>
      <c r="K3944" s="62">
        <v>441.83</v>
      </c>
      <c r="L3944" s="33" t="e">
        <f>HLOOKUP(B3944,#REF!,1,0)</f>
        <v>#REF!</v>
      </c>
      <c r="M3944" s="33" t="str">
        <f t="shared" si="247"/>
        <v>P&amp;L</v>
      </c>
    </row>
    <row r="3945" spans="1:13" s="33" customFormat="true" ht="12.75" customHeight="true">
      <c r="A3945" s="33" t="str">
        <f t="shared" si="244"/>
        <v>DF2 - Operating Expense</v>
      </c>
      <c r="B3945" s="33" t="str">
        <f t="shared" si="245"/>
        <v>DF2</v>
      </c>
      <c r="C3945" s="33" t="str">
        <f t="shared" si="246"/>
        <v>60505-7367</v>
      </c>
      <c r="D3945" s="64" t="s">
        <v>4903</v>
      </c>
      <c r="E3945" s="64" t="s">
        <v>3043</v>
      </c>
      <c r="F3945" s="64" t="s">
        <v>15</v>
      </c>
      <c r="G3945" s="64" t="s">
        <v>3044</v>
      </c>
      <c r="H3945" s="64" t="s">
        <v>3022</v>
      </c>
      <c r="I3945" s="64" t="s">
        <v>3045</v>
      </c>
      <c r="J3945" s="67">
        <v>0</v>
      </c>
      <c r="K3945" s="62">
        <v>516.84</v>
      </c>
      <c r="L3945" s="33" t="e">
        <f>HLOOKUP(B3945,#REF!,1,0)</f>
        <v>#REF!</v>
      </c>
      <c r="M3945" s="33" t="str">
        <f t="shared" si="247"/>
        <v>P&amp;L</v>
      </c>
    </row>
    <row r="3946" spans="1:13" s="33" customFormat="true" ht="12.75" customHeight="true">
      <c r="A3946" s="33" t="str">
        <f t="shared" si="244"/>
        <v>DF2 - Operating Expense</v>
      </c>
      <c r="B3946" s="33" t="str">
        <f t="shared" si="245"/>
        <v>DF2</v>
      </c>
      <c r="C3946" s="33" t="str">
        <f t="shared" si="246"/>
        <v>60505-7392</v>
      </c>
      <c r="D3946" s="64" t="s">
        <v>4904</v>
      </c>
      <c r="E3946" s="64" t="s">
        <v>3043</v>
      </c>
      <c r="F3946" s="64" t="s">
        <v>15</v>
      </c>
      <c r="G3946" s="64" t="s">
        <v>3044</v>
      </c>
      <c r="H3946" s="64" t="s">
        <v>3022</v>
      </c>
      <c r="I3946" s="64" t="s">
        <v>3045</v>
      </c>
      <c r="J3946" s="67">
        <v>0</v>
      </c>
      <c r="K3946" s="62">
        <v>650.48</v>
      </c>
      <c r="L3946" s="33" t="e">
        <f>HLOOKUP(B3946,#REF!,1,0)</f>
        <v>#REF!</v>
      </c>
      <c r="M3946" s="33" t="str">
        <f t="shared" si="247"/>
        <v>P&amp;L</v>
      </c>
    </row>
    <row r="3947" spans="1:13" s="33" customFormat="true" ht="12.75" customHeight="true">
      <c r="A3947" s="33" t="str">
        <f t="shared" si="244"/>
        <v>DF2 - Operating Expense</v>
      </c>
      <c r="B3947" s="33" t="str">
        <f t="shared" si="245"/>
        <v>DF2</v>
      </c>
      <c r="C3947" s="33" t="str">
        <f t="shared" si="246"/>
        <v>60505-7495</v>
      </c>
      <c r="D3947" s="64" t="s">
        <v>4905</v>
      </c>
      <c r="E3947" s="64" t="s">
        <v>3043</v>
      </c>
      <c r="F3947" s="64" t="s">
        <v>15</v>
      </c>
      <c r="G3947" s="64" t="s">
        <v>3044</v>
      </c>
      <c r="H3947" s="64" t="s">
        <v>3022</v>
      </c>
      <c r="I3947" s="64" t="s">
        <v>3045</v>
      </c>
      <c r="J3947" s="67">
        <v>0</v>
      </c>
      <c r="K3947" s="62">
        <v>520.38</v>
      </c>
      <c r="L3947" s="33" t="e">
        <f>HLOOKUP(B3947,#REF!,1,0)</f>
        <v>#REF!</v>
      </c>
      <c r="M3947" s="33" t="str">
        <f t="shared" si="247"/>
        <v>P&amp;L</v>
      </c>
    </row>
    <row r="3948" spans="1:13" s="33" customFormat="true" ht="12.75" customHeight="true">
      <c r="A3948" s="33" t="str">
        <f t="shared" si="244"/>
        <v>DF2 - Operating Expense</v>
      </c>
      <c r="B3948" s="33" t="str">
        <f t="shared" si="245"/>
        <v>DF2</v>
      </c>
      <c r="C3948" s="33" t="str">
        <f t="shared" si="246"/>
        <v>60507-7367</v>
      </c>
      <c r="D3948" s="64" t="s">
        <v>4906</v>
      </c>
      <c r="E3948" s="64" t="s">
        <v>3050</v>
      </c>
      <c r="F3948" s="64" t="s">
        <v>15</v>
      </c>
      <c r="G3948" s="64" t="s">
        <v>3021</v>
      </c>
      <c r="H3948" s="64" t="s">
        <v>3022</v>
      </c>
      <c r="I3948" s="64" t="s">
        <v>3051</v>
      </c>
      <c r="J3948" s="67">
        <v>694.38</v>
      </c>
      <c r="K3948" s="62">
        <v>5005.36</v>
      </c>
      <c r="L3948" s="33" t="e">
        <f>HLOOKUP(B3948,#REF!,1,0)</f>
        <v>#REF!</v>
      </c>
      <c r="M3948" s="33" t="str">
        <f t="shared" si="247"/>
        <v>P&amp;L</v>
      </c>
    </row>
    <row r="3949" spans="1:13" s="33" customFormat="true" ht="12.75" customHeight="true">
      <c r="A3949" s="33" t="str">
        <f t="shared" si="244"/>
        <v>DF2 - Operating Expense</v>
      </c>
      <c r="B3949" s="33" t="str">
        <f t="shared" si="245"/>
        <v>DF2</v>
      </c>
      <c r="C3949" s="33" t="str">
        <f t="shared" si="246"/>
        <v>60507-7392</v>
      </c>
      <c r="D3949" s="64" t="s">
        <v>4907</v>
      </c>
      <c r="E3949" s="64" t="s">
        <v>3050</v>
      </c>
      <c r="F3949" s="64" t="s">
        <v>15</v>
      </c>
      <c r="G3949" s="64" t="s">
        <v>3021</v>
      </c>
      <c r="H3949" s="64" t="s">
        <v>3022</v>
      </c>
      <c r="I3949" s="64" t="s">
        <v>3051</v>
      </c>
      <c r="J3949" s="67">
        <v>844.32</v>
      </c>
      <c r="K3949" s="62">
        <v>6692.08</v>
      </c>
      <c r="L3949" s="33" t="e">
        <f>HLOOKUP(B3949,#REF!,1,0)</f>
        <v>#REF!</v>
      </c>
      <c r="M3949" s="33" t="str">
        <f t="shared" si="247"/>
        <v>P&amp;L</v>
      </c>
    </row>
    <row r="3950" spans="1:13" s="33" customFormat="true" ht="12.75" customHeight="true">
      <c r="A3950" s="33" t="str">
        <f t="shared" si="244"/>
        <v>DF2 - Operating Expense</v>
      </c>
      <c r="B3950" s="33" t="str">
        <f t="shared" si="245"/>
        <v>DF2</v>
      </c>
      <c r="C3950" s="33" t="str">
        <f t="shared" si="246"/>
        <v>60507-7487</v>
      </c>
      <c r="D3950" s="64" t="s">
        <v>4908</v>
      </c>
      <c r="E3950" s="64" t="s">
        <v>3050</v>
      </c>
      <c r="F3950" s="64" t="s">
        <v>15</v>
      </c>
      <c r="G3950" s="64" t="s">
        <v>3021</v>
      </c>
      <c r="H3950" s="64" t="s">
        <v>3022</v>
      </c>
      <c r="I3950" s="64" t="s">
        <v>3051</v>
      </c>
      <c r="J3950" s="67">
        <v>654.56</v>
      </c>
      <c r="K3950" s="62">
        <v>6311.68</v>
      </c>
      <c r="L3950" s="33" t="e">
        <f>HLOOKUP(B3950,#REF!,1,0)</f>
        <v>#REF!</v>
      </c>
      <c r="M3950" s="33" t="str">
        <f t="shared" si="247"/>
        <v>P&amp;L</v>
      </c>
    </row>
    <row r="3951" spans="1:13" s="33" customFormat="true" ht="12.75" customHeight="true">
      <c r="A3951" s="33" t="str">
        <f t="shared" si="244"/>
        <v>DF2 - Operating Expense</v>
      </c>
      <c r="B3951" s="33" t="str">
        <f t="shared" si="245"/>
        <v>DF2</v>
      </c>
      <c r="C3951" s="33" t="str">
        <f t="shared" si="246"/>
        <v>60507-7488</v>
      </c>
      <c r="D3951" s="64" t="s">
        <v>4909</v>
      </c>
      <c r="E3951" s="64" t="s">
        <v>3050</v>
      </c>
      <c r="F3951" s="64" t="s">
        <v>15</v>
      </c>
      <c r="G3951" s="64" t="s">
        <v>3021</v>
      </c>
      <c r="H3951" s="64" t="s">
        <v>3022</v>
      </c>
      <c r="I3951" s="64" t="s">
        <v>3051</v>
      </c>
      <c r="J3951" s="67">
        <v>613.29</v>
      </c>
      <c r="K3951" s="62">
        <v>4309.78</v>
      </c>
      <c r="L3951" s="33" t="e">
        <f>HLOOKUP(B3951,#REF!,1,0)</f>
        <v>#REF!</v>
      </c>
      <c r="M3951" s="33" t="str">
        <f t="shared" si="247"/>
        <v>P&amp;L</v>
      </c>
    </row>
    <row r="3952" spans="1:13" s="33" customFormat="true" ht="12.75" customHeight="true">
      <c r="A3952" s="33" t="str">
        <f t="shared" si="244"/>
        <v>DF2 - Operating Expense</v>
      </c>
      <c r="B3952" s="33" t="str">
        <f t="shared" si="245"/>
        <v>DF2</v>
      </c>
      <c r="C3952" s="33" t="str">
        <f t="shared" si="246"/>
        <v>60507-7495</v>
      </c>
      <c r="D3952" s="64" t="s">
        <v>4910</v>
      </c>
      <c r="E3952" s="64" t="s">
        <v>3050</v>
      </c>
      <c r="F3952" s="64" t="s">
        <v>15</v>
      </c>
      <c r="G3952" s="64" t="s">
        <v>3021</v>
      </c>
      <c r="H3952" s="64" t="s">
        <v>3022</v>
      </c>
      <c r="I3952" s="64" t="s">
        <v>3051</v>
      </c>
      <c r="J3952" s="67">
        <v>789.49</v>
      </c>
      <c r="K3952" s="62">
        <v>6252.65</v>
      </c>
      <c r="L3952" s="33" t="e">
        <f>HLOOKUP(B3952,#REF!,1,0)</f>
        <v>#REF!</v>
      </c>
      <c r="M3952" s="33" t="str">
        <f t="shared" si="247"/>
        <v>P&amp;L</v>
      </c>
    </row>
    <row r="3953" spans="1:13" s="33" customFormat="true" ht="12.75" customHeight="true">
      <c r="A3953" s="33" t="str">
        <f t="shared" si="244"/>
        <v>DF2 - Operating Expense</v>
      </c>
      <c r="B3953" s="33" t="str">
        <f t="shared" si="245"/>
        <v>DF2</v>
      </c>
      <c r="C3953" s="33" t="str">
        <f t="shared" si="246"/>
        <v>60509-7367</v>
      </c>
      <c r="D3953" s="64" t="s">
        <v>4911</v>
      </c>
      <c r="E3953" s="64" t="s">
        <v>3056</v>
      </c>
      <c r="F3953" s="64" t="s">
        <v>15</v>
      </c>
      <c r="G3953" s="64" t="s">
        <v>3021</v>
      </c>
      <c r="H3953" s="64" t="s">
        <v>3022</v>
      </c>
      <c r="I3953" s="64" t="s">
        <v>3051</v>
      </c>
      <c r="J3953" s="67">
        <v>231.05</v>
      </c>
      <c r="K3953" s="62">
        <v>1233.48</v>
      </c>
      <c r="L3953" s="33" t="e">
        <f>HLOOKUP(B3953,#REF!,1,0)</f>
        <v>#REF!</v>
      </c>
      <c r="M3953" s="33" t="str">
        <f t="shared" si="247"/>
        <v>P&amp;L</v>
      </c>
    </row>
    <row r="3954" spans="1:13" s="33" customFormat="true" ht="12.75" customHeight="true">
      <c r="A3954" s="33" t="str">
        <f t="shared" si="244"/>
        <v>DF2 - Operating Expense</v>
      </c>
      <c r="B3954" s="33" t="str">
        <f t="shared" si="245"/>
        <v>DF2</v>
      </c>
      <c r="C3954" s="33" t="str">
        <f t="shared" si="246"/>
        <v>60509-7392</v>
      </c>
      <c r="D3954" s="64" t="s">
        <v>4912</v>
      </c>
      <c r="E3954" s="64" t="s">
        <v>3056</v>
      </c>
      <c r="F3954" s="64" t="s">
        <v>15</v>
      </c>
      <c r="G3954" s="64" t="s">
        <v>3021</v>
      </c>
      <c r="H3954" s="64" t="s">
        <v>3022</v>
      </c>
      <c r="I3954" s="64" t="s">
        <v>3051</v>
      </c>
      <c r="J3954" s="67">
        <v>56.78</v>
      </c>
      <c r="K3954" s="62">
        <v>477.43</v>
      </c>
      <c r="L3954" s="33" t="e">
        <f>HLOOKUP(B3954,#REF!,1,0)</f>
        <v>#REF!</v>
      </c>
      <c r="M3954" s="33" t="str">
        <f t="shared" si="247"/>
        <v>P&amp;L</v>
      </c>
    </row>
    <row r="3955" spans="1:13" s="33" customFormat="true" ht="12.75" customHeight="true">
      <c r="A3955" s="33" t="str">
        <f t="shared" si="244"/>
        <v>DF2 - Operating Expense</v>
      </c>
      <c r="B3955" s="33" t="str">
        <f t="shared" si="245"/>
        <v>DF2</v>
      </c>
      <c r="C3955" s="33" t="str">
        <f t="shared" si="246"/>
        <v>60509-7487</v>
      </c>
      <c r="D3955" s="64" t="s">
        <v>4913</v>
      </c>
      <c r="E3955" s="64" t="s">
        <v>3056</v>
      </c>
      <c r="F3955" s="64" t="s">
        <v>15</v>
      </c>
      <c r="G3955" s="64" t="s">
        <v>3021</v>
      </c>
      <c r="H3955" s="64" t="s">
        <v>3022</v>
      </c>
      <c r="I3955" s="64" t="s">
        <v>3051</v>
      </c>
      <c r="J3955" s="67">
        <v>160.47</v>
      </c>
      <c r="K3955" s="62">
        <v>1052.23</v>
      </c>
      <c r="L3955" s="33" t="e">
        <f>HLOOKUP(B3955,#REF!,1,0)</f>
        <v>#REF!</v>
      </c>
      <c r="M3955" s="33" t="str">
        <f t="shared" si="247"/>
        <v>P&amp;L</v>
      </c>
    </row>
    <row r="3956" spans="1:13" s="33" customFormat="true" ht="12.75" customHeight="true">
      <c r="A3956" s="33" t="str">
        <f t="shared" si="244"/>
        <v>DF2 - Operating Expense</v>
      </c>
      <c r="B3956" s="33" t="str">
        <f t="shared" si="245"/>
        <v>DF2</v>
      </c>
      <c r="C3956" s="33" t="str">
        <f t="shared" si="246"/>
        <v>60509-7488</v>
      </c>
      <c r="D3956" s="64" t="s">
        <v>4914</v>
      </c>
      <c r="E3956" s="64" t="s">
        <v>3056</v>
      </c>
      <c r="F3956" s="64" t="s">
        <v>15</v>
      </c>
      <c r="G3956" s="64" t="s">
        <v>3021</v>
      </c>
      <c r="H3956" s="64" t="s">
        <v>3022</v>
      </c>
      <c r="I3956" s="64" t="s">
        <v>3051</v>
      </c>
      <c r="J3956" s="67">
        <v>180.39</v>
      </c>
      <c r="K3956" s="62">
        <v>1134.19</v>
      </c>
      <c r="L3956" s="33" t="e">
        <f>HLOOKUP(B3956,#REF!,1,0)</f>
        <v>#REF!</v>
      </c>
      <c r="M3956" s="33" t="str">
        <f t="shared" si="247"/>
        <v>P&amp;L</v>
      </c>
    </row>
    <row r="3957" spans="1:13" s="33" customFormat="true" ht="12.75" customHeight="true">
      <c r="A3957" s="33" t="str">
        <f t="shared" si="244"/>
        <v>DF2 - Operating Expense</v>
      </c>
      <c r="B3957" s="33" t="str">
        <f t="shared" si="245"/>
        <v>DF2</v>
      </c>
      <c r="C3957" s="33" t="str">
        <f t="shared" si="246"/>
        <v>60509-7495</v>
      </c>
      <c r="D3957" s="64" t="s">
        <v>4915</v>
      </c>
      <c r="E3957" s="64" t="s">
        <v>3056</v>
      </c>
      <c r="F3957" s="64" t="s">
        <v>15</v>
      </c>
      <c r="G3957" s="64" t="s">
        <v>3021</v>
      </c>
      <c r="H3957" s="64" t="s">
        <v>3022</v>
      </c>
      <c r="I3957" s="64" t="s">
        <v>3051</v>
      </c>
      <c r="J3957" s="67">
        <v>73.81</v>
      </c>
      <c r="K3957" s="62">
        <v>513.84</v>
      </c>
      <c r="L3957" s="33" t="e">
        <f>HLOOKUP(B3957,#REF!,1,0)</f>
        <v>#REF!</v>
      </c>
      <c r="M3957" s="33" t="str">
        <f t="shared" si="247"/>
        <v>P&amp;L</v>
      </c>
    </row>
    <row r="3958" spans="1:13" s="33" customFormat="true" ht="12.75" customHeight="true">
      <c r="A3958" s="33" t="str">
        <f t="shared" si="244"/>
        <v>DF2 - Operating Expense</v>
      </c>
      <c r="B3958" s="33" t="str">
        <f t="shared" si="245"/>
        <v>DF2</v>
      </c>
      <c r="C3958" s="33" t="str">
        <f t="shared" si="246"/>
        <v>61001-0000</v>
      </c>
      <c r="D3958" s="64" t="s">
        <v>4916</v>
      </c>
      <c r="E3958" s="64" t="s">
        <v>3062</v>
      </c>
      <c r="F3958" s="64" t="s">
        <v>15</v>
      </c>
      <c r="G3958" s="64" t="s">
        <v>3021</v>
      </c>
      <c r="H3958" s="64" t="s">
        <v>3022</v>
      </c>
      <c r="I3958" s="64" t="s">
        <v>3063</v>
      </c>
      <c r="J3958" s="67">
        <v>0</v>
      </c>
      <c r="K3958" s="62">
        <v>-1125</v>
      </c>
      <c r="L3958" s="33" t="e">
        <f>HLOOKUP(B3958,#REF!,1,0)</f>
        <v>#REF!</v>
      </c>
      <c r="M3958" s="33" t="str">
        <f t="shared" si="247"/>
        <v>P&amp;L</v>
      </c>
    </row>
    <row r="3959" spans="1:13" s="33" customFormat="true" ht="12.75" customHeight="true">
      <c r="A3959" s="33" t="str">
        <f t="shared" si="244"/>
        <v>DF2 - Operating Expense</v>
      </c>
      <c r="B3959" s="33" t="str">
        <f t="shared" si="245"/>
        <v>DF2</v>
      </c>
      <c r="C3959" s="33" t="str">
        <f t="shared" si="246"/>
        <v>61001-7392</v>
      </c>
      <c r="D3959" s="64" t="s">
        <v>4917</v>
      </c>
      <c r="E3959" s="64" t="s">
        <v>3062</v>
      </c>
      <c r="F3959" s="64" t="s">
        <v>15</v>
      </c>
      <c r="G3959" s="64" t="s">
        <v>3021</v>
      </c>
      <c r="H3959" s="64" t="s">
        <v>3022</v>
      </c>
      <c r="I3959" s="64" t="s">
        <v>3063</v>
      </c>
      <c r="J3959" s="67">
        <v>0</v>
      </c>
      <c r="K3959" s="62">
        <v>766.16</v>
      </c>
      <c r="L3959" s="33" t="e">
        <f>HLOOKUP(B3959,#REF!,1,0)</f>
        <v>#REF!</v>
      </c>
      <c r="M3959" s="33" t="str">
        <f t="shared" si="247"/>
        <v>P&amp;L</v>
      </c>
    </row>
    <row r="3960" spans="1:13" s="33" customFormat="true" ht="12.75" customHeight="true">
      <c r="A3960" s="33" t="str">
        <f t="shared" si="244"/>
        <v>DF2 - Operating Expense</v>
      </c>
      <c r="B3960" s="33" t="str">
        <f t="shared" si="245"/>
        <v>DF2</v>
      </c>
      <c r="C3960" s="33" t="str">
        <f t="shared" si="246"/>
        <v>61001-7487</v>
      </c>
      <c r="D3960" s="64" t="s">
        <v>4918</v>
      </c>
      <c r="E3960" s="64" t="s">
        <v>3062</v>
      </c>
      <c r="F3960" s="64" t="s">
        <v>15</v>
      </c>
      <c r="G3960" s="64" t="s">
        <v>3021</v>
      </c>
      <c r="H3960" s="64" t="s">
        <v>3022</v>
      </c>
      <c r="I3960" s="64" t="s">
        <v>3063</v>
      </c>
      <c r="J3960" s="67">
        <v>46.32</v>
      </c>
      <c r="K3960" s="62">
        <v>825.78</v>
      </c>
      <c r="L3960" s="33" t="e">
        <f>HLOOKUP(B3960,#REF!,1,0)</f>
        <v>#REF!</v>
      </c>
      <c r="M3960" s="33" t="str">
        <f t="shared" si="247"/>
        <v>P&amp;L</v>
      </c>
    </row>
    <row r="3961" spans="1:13" s="33" customFormat="true" ht="12.75" customHeight="true">
      <c r="A3961" s="33" t="str">
        <f t="shared" si="244"/>
        <v>DF2 - Operating Expense</v>
      </c>
      <c r="B3961" s="33" t="str">
        <f t="shared" si="245"/>
        <v>DF2</v>
      </c>
      <c r="C3961" s="33" t="str">
        <f t="shared" si="246"/>
        <v>61001-7495</v>
      </c>
      <c r="D3961" s="64" t="s">
        <v>4919</v>
      </c>
      <c r="E3961" s="64" t="s">
        <v>3062</v>
      </c>
      <c r="F3961" s="64" t="s">
        <v>15</v>
      </c>
      <c r="G3961" s="64" t="s">
        <v>3021</v>
      </c>
      <c r="H3961" s="64" t="s">
        <v>3022</v>
      </c>
      <c r="I3961" s="64" t="s">
        <v>3063</v>
      </c>
      <c r="J3961" s="67">
        <v>0</v>
      </c>
      <c r="K3961" s="62">
        <v>76.95</v>
      </c>
      <c r="L3961" s="33" t="e">
        <f>HLOOKUP(B3961,#REF!,1,0)</f>
        <v>#REF!</v>
      </c>
      <c r="M3961" s="33" t="str">
        <f t="shared" si="247"/>
        <v>P&amp;L</v>
      </c>
    </row>
    <row r="3962" spans="1:13" s="33" customFormat="true" ht="12.75" customHeight="true">
      <c r="A3962" s="33" t="str">
        <f t="shared" si="244"/>
        <v>DF2 - Operating Expense</v>
      </c>
      <c r="B3962" s="33" t="str">
        <f t="shared" si="245"/>
        <v>DF2</v>
      </c>
      <c r="C3962" s="33" t="str">
        <f t="shared" si="246"/>
        <v>61002-0000</v>
      </c>
      <c r="D3962" s="64" t="s">
        <v>4920</v>
      </c>
      <c r="E3962" s="64" t="s">
        <v>3067</v>
      </c>
      <c r="F3962" s="64" t="s">
        <v>15</v>
      </c>
      <c r="G3962" s="64" t="s">
        <v>3035</v>
      </c>
      <c r="H3962" s="64" t="s">
        <v>3022</v>
      </c>
      <c r="I3962" s="64" t="s">
        <v>3036</v>
      </c>
      <c r="J3962" s="67">
        <v>0</v>
      </c>
      <c r="K3962" s="62">
        <v>191.55</v>
      </c>
      <c r="L3962" s="33" t="e">
        <f>HLOOKUP(B3962,#REF!,1,0)</f>
        <v>#REF!</v>
      </c>
      <c r="M3962" s="33" t="str">
        <f t="shared" si="247"/>
        <v>P&amp;L</v>
      </c>
    </row>
    <row r="3963" spans="1:13" s="33" customFormat="true" ht="12.75" customHeight="true">
      <c r="A3963" s="33" t="str">
        <f t="shared" si="244"/>
        <v>DF2 - Operating Expense</v>
      </c>
      <c r="B3963" s="33" t="str">
        <f t="shared" si="245"/>
        <v>DF2</v>
      </c>
      <c r="C3963" s="33" t="str">
        <f t="shared" si="246"/>
        <v>61002-7392</v>
      </c>
      <c r="D3963" s="64" t="s">
        <v>4921</v>
      </c>
      <c r="E3963" s="64" t="s">
        <v>3067</v>
      </c>
      <c r="F3963" s="64" t="s">
        <v>15</v>
      </c>
      <c r="G3963" s="64" t="s">
        <v>3035</v>
      </c>
      <c r="H3963" s="64" t="s">
        <v>3022</v>
      </c>
      <c r="I3963" s="64" t="s">
        <v>3036</v>
      </c>
      <c r="J3963" s="67">
        <v>0</v>
      </c>
      <c r="K3963" s="62">
        <v>551.57</v>
      </c>
      <c r="L3963" s="33" t="e">
        <f>HLOOKUP(B3963,#REF!,1,0)</f>
        <v>#REF!</v>
      </c>
      <c r="M3963" s="33" t="str">
        <f t="shared" si="247"/>
        <v>P&amp;L</v>
      </c>
    </row>
    <row r="3964" spans="1:13" s="33" customFormat="true" ht="12.75" customHeight="true">
      <c r="A3964" s="33" t="str">
        <f t="shared" si="244"/>
        <v>DF2 - Operating Expense</v>
      </c>
      <c r="B3964" s="33" t="str">
        <f t="shared" si="245"/>
        <v>DF2</v>
      </c>
      <c r="C3964" s="33" t="str">
        <f t="shared" si="246"/>
        <v>61002-7487</v>
      </c>
      <c r="D3964" s="64" t="s">
        <v>4922</v>
      </c>
      <c r="E3964" s="64" t="s">
        <v>3067</v>
      </c>
      <c r="F3964" s="64" t="s">
        <v>15</v>
      </c>
      <c r="G3964" s="64" t="s">
        <v>3035</v>
      </c>
      <c r="H3964" s="64" t="s">
        <v>3022</v>
      </c>
      <c r="I3964" s="64" t="s">
        <v>3036</v>
      </c>
      <c r="J3964" s="67">
        <v>0</v>
      </c>
      <c r="K3964" s="62">
        <v>529.43</v>
      </c>
      <c r="L3964" s="33" t="e">
        <f>HLOOKUP(B3964,#REF!,1,0)</f>
        <v>#REF!</v>
      </c>
      <c r="M3964" s="33" t="str">
        <f t="shared" si="247"/>
        <v>P&amp;L</v>
      </c>
    </row>
    <row r="3965" spans="1:13" s="33" customFormat="true" ht="12.75" customHeight="true">
      <c r="A3965" s="33" t="str">
        <f t="shared" si="244"/>
        <v>DF2 - Operating Expense</v>
      </c>
      <c r="B3965" s="33" t="str">
        <f t="shared" si="245"/>
        <v>DF2</v>
      </c>
      <c r="C3965" s="33" t="str">
        <f t="shared" si="246"/>
        <v>61002-7495</v>
      </c>
      <c r="D3965" s="64" t="s">
        <v>4923</v>
      </c>
      <c r="E3965" s="64" t="s">
        <v>3067</v>
      </c>
      <c r="F3965" s="64" t="s">
        <v>15</v>
      </c>
      <c r="G3965" s="64" t="s">
        <v>3035</v>
      </c>
      <c r="H3965" s="64" t="s">
        <v>3022</v>
      </c>
      <c r="I3965" s="64" t="s">
        <v>3036</v>
      </c>
      <c r="J3965" s="67">
        <v>0</v>
      </c>
      <c r="K3965" s="62">
        <v>764.6</v>
      </c>
      <c r="L3965" s="33" t="e">
        <f>HLOOKUP(B3965,#REF!,1,0)</f>
        <v>#REF!</v>
      </c>
      <c r="M3965" s="33" t="str">
        <f t="shared" si="247"/>
        <v>P&amp;L</v>
      </c>
    </row>
    <row r="3966" spans="1:13" s="33" customFormat="true" ht="12.75" customHeight="true">
      <c r="A3966" s="33" t="str">
        <f t="shared" si="244"/>
        <v>DF2 - Operating Expense</v>
      </c>
      <c r="B3966" s="33" t="str">
        <f t="shared" si="245"/>
        <v>DF2</v>
      </c>
      <c r="C3966" s="33" t="str">
        <f t="shared" si="246"/>
        <v>61201-7367</v>
      </c>
      <c r="D3966" s="64" t="s">
        <v>4924</v>
      </c>
      <c r="E3966" s="64" t="s">
        <v>3073</v>
      </c>
      <c r="F3966" s="64" t="s">
        <v>15</v>
      </c>
      <c r="G3966" s="64" t="s">
        <v>3035</v>
      </c>
      <c r="H3966" s="64" t="s">
        <v>3022</v>
      </c>
      <c r="I3966" s="64" t="s">
        <v>3074</v>
      </c>
      <c r="J3966" s="67">
        <v>119.35</v>
      </c>
      <c r="K3966" s="62">
        <v>2667.47</v>
      </c>
      <c r="L3966" s="33" t="e">
        <f>HLOOKUP(B3966,#REF!,1,0)</f>
        <v>#REF!</v>
      </c>
      <c r="M3966" s="33" t="str">
        <f t="shared" si="247"/>
        <v>P&amp;L</v>
      </c>
    </row>
    <row r="3967" spans="1:13" s="33" customFormat="true" ht="12.75" customHeight="true">
      <c r="A3967" s="33" t="str">
        <f t="shared" si="244"/>
        <v>DF2 - Operating Expense</v>
      </c>
      <c r="B3967" s="33" t="str">
        <f t="shared" si="245"/>
        <v>DF2</v>
      </c>
      <c r="C3967" s="33" t="str">
        <f t="shared" si="246"/>
        <v>61201-7392</v>
      </c>
      <c r="D3967" s="64" t="s">
        <v>4925</v>
      </c>
      <c r="E3967" s="64" t="s">
        <v>3073</v>
      </c>
      <c r="F3967" s="64" t="s">
        <v>15</v>
      </c>
      <c r="G3967" s="64" t="s">
        <v>3035</v>
      </c>
      <c r="H3967" s="64" t="s">
        <v>3022</v>
      </c>
      <c r="I3967" s="64" t="s">
        <v>3074</v>
      </c>
      <c r="J3967" s="67">
        <v>120.17</v>
      </c>
      <c r="K3967" s="62">
        <v>2675.67</v>
      </c>
      <c r="L3967" s="33" t="e">
        <f>HLOOKUP(B3967,#REF!,1,0)</f>
        <v>#REF!</v>
      </c>
      <c r="M3967" s="33" t="str">
        <f t="shared" si="247"/>
        <v>P&amp;L</v>
      </c>
    </row>
    <row r="3968" spans="1:13" s="33" customFormat="true" ht="12.75" customHeight="true">
      <c r="A3968" s="33" t="str">
        <f t="shared" si="244"/>
        <v>DF2 - Operating Expense</v>
      </c>
      <c r="B3968" s="33" t="str">
        <f t="shared" si="245"/>
        <v>DF2</v>
      </c>
      <c r="C3968" s="33" t="str">
        <f t="shared" si="246"/>
        <v>61201-7487</v>
      </c>
      <c r="D3968" s="64" t="s">
        <v>4926</v>
      </c>
      <c r="E3968" s="64" t="s">
        <v>3073</v>
      </c>
      <c r="F3968" s="64" t="s">
        <v>15</v>
      </c>
      <c r="G3968" s="64" t="s">
        <v>3035</v>
      </c>
      <c r="H3968" s="64" t="s">
        <v>3022</v>
      </c>
      <c r="I3968" s="64" t="s">
        <v>3074</v>
      </c>
      <c r="J3968" s="67">
        <v>119.35</v>
      </c>
      <c r="K3968" s="62">
        <v>2667.47</v>
      </c>
      <c r="L3968" s="33" t="e">
        <f>HLOOKUP(B3968,#REF!,1,0)</f>
        <v>#REF!</v>
      </c>
      <c r="M3968" s="33" t="str">
        <f t="shared" si="247"/>
        <v>P&amp;L</v>
      </c>
    </row>
    <row r="3969" spans="1:13" s="33" customFormat="true" ht="12.75" customHeight="true">
      <c r="A3969" s="33" t="str">
        <f t="shared" si="244"/>
        <v>DF2 - Operating Expense</v>
      </c>
      <c r="B3969" s="33" t="str">
        <f t="shared" si="245"/>
        <v>DF2</v>
      </c>
      <c r="C3969" s="33" t="str">
        <f t="shared" si="246"/>
        <v>61201-7488</v>
      </c>
      <c r="D3969" s="64" t="s">
        <v>4927</v>
      </c>
      <c r="E3969" s="64" t="s">
        <v>3073</v>
      </c>
      <c r="F3969" s="64" t="s">
        <v>15</v>
      </c>
      <c r="G3969" s="64" t="s">
        <v>3035</v>
      </c>
      <c r="H3969" s="64" t="s">
        <v>3022</v>
      </c>
      <c r="I3969" s="64" t="s">
        <v>3074</v>
      </c>
      <c r="J3969" s="67">
        <v>119.35</v>
      </c>
      <c r="K3969" s="62">
        <v>2667.42</v>
      </c>
      <c r="L3969" s="33" t="e">
        <f>HLOOKUP(B3969,#REF!,1,0)</f>
        <v>#REF!</v>
      </c>
      <c r="M3969" s="33" t="str">
        <f t="shared" si="247"/>
        <v>P&amp;L</v>
      </c>
    </row>
    <row r="3970" spans="1:13" s="33" customFormat="true" ht="12.75" customHeight="true">
      <c r="A3970" s="33" t="str">
        <f t="shared" ref="A3970:A4033" si="248">B3970&amp;" - "&amp;TRIM(H3970)</f>
        <v>DF2 - Operating Expense</v>
      </c>
      <c r="B3970" s="33" t="str">
        <f t="shared" ref="B3970:B4033" si="249">LEFT(D3970,3)</f>
        <v>DF2</v>
      </c>
      <c r="C3970" s="33" t="str">
        <f t="shared" ref="C3970:C4033" si="250">RIGHT(D3970,10)</f>
        <v>61201-7495</v>
      </c>
      <c r="D3970" s="64" t="s">
        <v>4928</v>
      </c>
      <c r="E3970" s="64" t="s">
        <v>3073</v>
      </c>
      <c r="F3970" s="64" t="s">
        <v>15</v>
      </c>
      <c r="G3970" s="64" t="s">
        <v>3035</v>
      </c>
      <c r="H3970" s="64" t="s">
        <v>3022</v>
      </c>
      <c r="I3970" s="64" t="s">
        <v>3074</v>
      </c>
      <c r="J3970" s="67">
        <v>120.17</v>
      </c>
      <c r="K3970" s="62">
        <v>2675.62</v>
      </c>
      <c r="L3970" s="33" t="e">
        <f>HLOOKUP(B3970,#REF!,1,0)</f>
        <v>#REF!</v>
      </c>
      <c r="M3970" s="33" t="str">
        <f t="shared" ref="M3970:M4033" si="251">IF(VALUE(LEFT(C3970,5))&gt;40000,"P&amp;L","BS")</f>
        <v>P&amp;L</v>
      </c>
    </row>
    <row r="3971" spans="1:13" s="33" customFormat="true" ht="12.75" customHeight="true">
      <c r="A3971" s="33" t="str">
        <f t="shared" si="248"/>
        <v>DF2 - Operating Expense</v>
      </c>
      <c r="B3971" s="33" t="str">
        <f t="shared" si="249"/>
        <v>DF2</v>
      </c>
      <c r="C3971" s="33" t="str">
        <f t="shared" si="250"/>
        <v>61501-7392</v>
      </c>
      <c r="D3971" s="64" t="s">
        <v>4929</v>
      </c>
      <c r="E3971" s="64" t="s">
        <v>3079</v>
      </c>
      <c r="F3971" s="64" t="s">
        <v>15</v>
      </c>
      <c r="G3971" s="64" t="s">
        <v>3035</v>
      </c>
      <c r="H3971" s="64" t="s">
        <v>3022</v>
      </c>
      <c r="I3971" s="64" t="s">
        <v>3036</v>
      </c>
      <c r="J3971" s="67">
        <v>0</v>
      </c>
      <c r="K3971" s="62">
        <v>122.63</v>
      </c>
      <c r="L3971" s="33" t="e">
        <f>HLOOKUP(B3971,#REF!,1,0)</f>
        <v>#REF!</v>
      </c>
      <c r="M3971" s="33" t="str">
        <f t="shared" si="251"/>
        <v>P&amp;L</v>
      </c>
    </row>
    <row r="3972" spans="1:13" s="33" customFormat="true" ht="12.75" customHeight="true">
      <c r="A3972" s="33" t="str">
        <f t="shared" si="248"/>
        <v>DF2 - Operating Expense</v>
      </c>
      <c r="B3972" s="33" t="str">
        <f t="shared" si="249"/>
        <v>DF2</v>
      </c>
      <c r="C3972" s="33" t="str">
        <f t="shared" si="250"/>
        <v>61501-7487</v>
      </c>
      <c r="D3972" s="64" t="s">
        <v>4930</v>
      </c>
      <c r="E3972" s="64" t="s">
        <v>3079</v>
      </c>
      <c r="F3972" s="64" t="s">
        <v>15</v>
      </c>
      <c r="G3972" s="64" t="s">
        <v>3035</v>
      </c>
      <c r="H3972" s="64" t="s">
        <v>3022</v>
      </c>
      <c r="I3972" s="64" t="s">
        <v>3036</v>
      </c>
      <c r="J3972" s="67">
        <v>0</v>
      </c>
      <c r="K3972" s="62">
        <v>17.51</v>
      </c>
      <c r="L3972" s="33" t="e">
        <f>HLOOKUP(B3972,#REF!,1,0)</f>
        <v>#REF!</v>
      </c>
      <c r="M3972" s="33" t="str">
        <f t="shared" si="251"/>
        <v>P&amp;L</v>
      </c>
    </row>
    <row r="3973" spans="1:13" s="33" customFormat="true" ht="12.75" customHeight="true">
      <c r="A3973" s="33" t="str">
        <f t="shared" si="248"/>
        <v>DF2 - Operating Expense</v>
      </c>
      <c r="B3973" s="33" t="str">
        <f t="shared" si="249"/>
        <v>DF2</v>
      </c>
      <c r="C3973" s="33" t="str">
        <f t="shared" si="250"/>
        <v>61501-7495</v>
      </c>
      <c r="D3973" s="64" t="s">
        <v>4931</v>
      </c>
      <c r="E3973" s="64" t="s">
        <v>3079</v>
      </c>
      <c r="F3973" s="64" t="s">
        <v>15</v>
      </c>
      <c r="G3973" s="64" t="s">
        <v>3035</v>
      </c>
      <c r="H3973" s="64" t="s">
        <v>3022</v>
      </c>
      <c r="I3973" s="64" t="s">
        <v>3036</v>
      </c>
      <c r="J3973" s="67">
        <v>0</v>
      </c>
      <c r="K3973" s="62">
        <v>48.31</v>
      </c>
      <c r="L3973" s="33" t="e">
        <f>HLOOKUP(B3973,#REF!,1,0)</f>
        <v>#REF!</v>
      </c>
      <c r="M3973" s="33" t="str">
        <f t="shared" si="251"/>
        <v>P&amp;L</v>
      </c>
    </row>
    <row r="3974" spans="1:13" s="33" customFormat="true" ht="12.75" customHeight="true">
      <c r="A3974" s="33" t="str">
        <f t="shared" si="248"/>
        <v>DF2 - Operating Expense</v>
      </c>
      <c r="B3974" s="33" t="str">
        <f t="shared" si="249"/>
        <v>DF2</v>
      </c>
      <c r="C3974" s="33" t="str">
        <f t="shared" si="250"/>
        <v>61502-7487</v>
      </c>
      <c r="D3974" s="64" t="s">
        <v>4932</v>
      </c>
      <c r="E3974" s="64" t="s">
        <v>3084</v>
      </c>
      <c r="F3974" s="64" t="s">
        <v>15</v>
      </c>
      <c r="G3974" s="64" t="s">
        <v>3035</v>
      </c>
      <c r="H3974" s="64" t="s">
        <v>3022</v>
      </c>
      <c r="I3974" s="64" t="s">
        <v>3036</v>
      </c>
      <c r="J3974" s="67">
        <v>0</v>
      </c>
      <c r="K3974" s="62">
        <v>2674.16</v>
      </c>
      <c r="L3974" s="33" t="e">
        <f>HLOOKUP(B3974,#REF!,1,0)</f>
        <v>#REF!</v>
      </c>
      <c r="M3974" s="33" t="str">
        <f t="shared" si="251"/>
        <v>P&amp;L</v>
      </c>
    </row>
    <row r="3975" spans="1:13" s="33" customFormat="true" ht="12.75" customHeight="true">
      <c r="A3975" s="33" t="str">
        <f t="shared" si="248"/>
        <v>DF2 - Operating Expense</v>
      </c>
      <c r="B3975" s="33" t="str">
        <f t="shared" si="249"/>
        <v>DF2</v>
      </c>
      <c r="C3975" s="33" t="str">
        <f t="shared" si="250"/>
        <v>61505-7367</v>
      </c>
      <c r="D3975" s="64" t="s">
        <v>4933</v>
      </c>
      <c r="E3975" s="64" t="s">
        <v>4934</v>
      </c>
      <c r="F3975" s="64" t="s">
        <v>15</v>
      </c>
      <c r="G3975" s="64" t="s">
        <v>3044</v>
      </c>
      <c r="H3975" s="64" t="s">
        <v>3022</v>
      </c>
      <c r="I3975" s="64" t="s">
        <v>3045</v>
      </c>
      <c r="J3975" s="67">
        <v>0</v>
      </c>
      <c r="K3975" s="62">
        <v>35.71</v>
      </c>
      <c r="L3975" s="33" t="e">
        <f>HLOOKUP(B3975,#REF!,1,0)</f>
        <v>#REF!</v>
      </c>
      <c r="M3975" s="33" t="str">
        <f t="shared" si="251"/>
        <v>P&amp;L</v>
      </c>
    </row>
    <row r="3976" spans="1:13" s="33" customFormat="true" ht="12.75" customHeight="true">
      <c r="A3976" s="33" t="str">
        <f t="shared" si="248"/>
        <v>DF2 - Operating Expense</v>
      </c>
      <c r="B3976" s="33" t="str">
        <f t="shared" si="249"/>
        <v>DF2</v>
      </c>
      <c r="C3976" s="33" t="str">
        <f t="shared" si="250"/>
        <v>61505-7392</v>
      </c>
      <c r="D3976" s="64" t="s">
        <v>4935</v>
      </c>
      <c r="E3976" s="64" t="s">
        <v>4934</v>
      </c>
      <c r="F3976" s="64" t="s">
        <v>15</v>
      </c>
      <c r="G3976" s="64" t="s">
        <v>3044</v>
      </c>
      <c r="H3976" s="64" t="s">
        <v>3022</v>
      </c>
      <c r="I3976" s="64" t="s">
        <v>3045</v>
      </c>
      <c r="J3976" s="67">
        <v>0</v>
      </c>
      <c r="K3976" s="62">
        <v>35.72</v>
      </c>
      <c r="L3976" s="33" t="e">
        <f>HLOOKUP(B3976,#REF!,1,0)</f>
        <v>#REF!</v>
      </c>
      <c r="M3976" s="33" t="str">
        <f t="shared" si="251"/>
        <v>P&amp;L</v>
      </c>
    </row>
    <row r="3977" spans="1:13" s="33" customFormat="true" ht="12.75" customHeight="true">
      <c r="A3977" s="33" t="str">
        <f t="shared" si="248"/>
        <v>DF2 - Operating Expense</v>
      </c>
      <c r="B3977" s="33" t="str">
        <f t="shared" si="249"/>
        <v>DF2</v>
      </c>
      <c r="C3977" s="33" t="str">
        <f t="shared" si="250"/>
        <v>61505-7487</v>
      </c>
      <c r="D3977" s="64" t="s">
        <v>4936</v>
      </c>
      <c r="E3977" s="64" t="s">
        <v>4934</v>
      </c>
      <c r="F3977" s="64" t="s">
        <v>15</v>
      </c>
      <c r="G3977" s="64" t="s">
        <v>3044</v>
      </c>
      <c r="H3977" s="64" t="s">
        <v>3022</v>
      </c>
      <c r="I3977" s="64" t="s">
        <v>3045</v>
      </c>
      <c r="J3977" s="67">
        <v>0</v>
      </c>
      <c r="K3977" s="62">
        <v>35.72</v>
      </c>
      <c r="L3977" s="33" t="e">
        <f>HLOOKUP(B3977,#REF!,1,0)</f>
        <v>#REF!</v>
      </c>
      <c r="M3977" s="33" t="str">
        <f t="shared" si="251"/>
        <v>P&amp;L</v>
      </c>
    </row>
    <row r="3978" spans="1:13" s="33" customFormat="true" ht="12.75" customHeight="true">
      <c r="A3978" s="33" t="str">
        <f t="shared" si="248"/>
        <v>DF2 - Operating Expense</v>
      </c>
      <c r="B3978" s="33" t="str">
        <f t="shared" si="249"/>
        <v>DF2</v>
      </c>
      <c r="C3978" s="33" t="str">
        <f t="shared" si="250"/>
        <v>61505-7488</v>
      </c>
      <c r="D3978" s="64" t="s">
        <v>4937</v>
      </c>
      <c r="E3978" s="64" t="s">
        <v>4934</v>
      </c>
      <c r="F3978" s="64" t="s">
        <v>15</v>
      </c>
      <c r="G3978" s="64" t="s">
        <v>3044</v>
      </c>
      <c r="H3978" s="64" t="s">
        <v>3022</v>
      </c>
      <c r="I3978" s="64" t="s">
        <v>3045</v>
      </c>
      <c r="J3978" s="67">
        <v>0</v>
      </c>
      <c r="K3978" s="62">
        <v>35.71</v>
      </c>
      <c r="L3978" s="33" t="e">
        <f>HLOOKUP(B3978,#REF!,1,0)</f>
        <v>#REF!</v>
      </c>
      <c r="M3978" s="33" t="str">
        <f t="shared" si="251"/>
        <v>P&amp;L</v>
      </c>
    </row>
    <row r="3979" spans="1:13" s="33" customFormat="true" ht="12.75" customHeight="true">
      <c r="A3979" s="33" t="str">
        <f t="shared" si="248"/>
        <v>DF2 - Operating Expense</v>
      </c>
      <c r="B3979" s="33" t="str">
        <f t="shared" si="249"/>
        <v>DF2</v>
      </c>
      <c r="C3979" s="33" t="str">
        <f t="shared" si="250"/>
        <v>61505-7495</v>
      </c>
      <c r="D3979" s="64" t="s">
        <v>4938</v>
      </c>
      <c r="E3979" s="64" t="s">
        <v>4934</v>
      </c>
      <c r="F3979" s="64" t="s">
        <v>15</v>
      </c>
      <c r="G3979" s="64" t="s">
        <v>3044</v>
      </c>
      <c r="H3979" s="64" t="s">
        <v>3022</v>
      </c>
      <c r="I3979" s="64" t="s">
        <v>3045</v>
      </c>
      <c r="J3979" s="67">
        <v>0</v>
      </c>
      <c r="K3979" s="62">
        <v>35.72</v>
      </c>
      <c r="L3979" s="33" t="e">
        <f>HLOOKUP(B3979,#REF!,1,0)</f>
        <v>#REF!</v>
      </c>
      <c r="M3979" s="33" t="str">
        <f t="shared" si="251"/>
        <v>P&amp;L</v>
      </c>
    </row>
    <row r="3980" spans="1:13" s="33" customFormat="true" ht="12.75" customHeight="true">
      <c r="A3980" s="33" t="str">
        <f t="shared" si="248"/>
        <v>DF2 - Operating Expense</v>
      </c>
      <c r="B3980" s="33" t="str">
        <f t="shared" si="249"/>
        <v>DF2</v>
      </c>
      <c r="C3980" s="33" t="str">
        <f t="shared" si="250"/>
        <v>62001-7495</v>
      </c>
      <c r="D3980" s="64" t="s">
        <v>4939</v>
      </c>
      <c r="E3980" s="64" t="s">
        <v>3087</v>
      </c>
      <c r="F3980" s="64" t="s">
        <v>15</v>
      </c>
      <c r="G3980" s="64" t="s">
        <v>3035</v>
      </c>
      <c r="H3980" s="64" t="s">
        <v>3022</v>
      </c>
      <c r="I3980" s="64" t="s">
        <v>3074</v>
      </c>
      <c r="J3980" s="67">
        <v>0</v>
      </c>
      <c r="K3980" s="62">
        <v>39.86</v>
      </c>
      <c r="L3980" s="33" t="e">
        <f>HLOOKUP(B3980,#REF!,1,0)</f>
        <v>#REF!</v>
      </c>
      <c r="M3980" s="33" t="str">
        <f t="shared" si="251"/>
        <v>P&amp;L</v>
      </c>
    </row>
    <row r="3981" spans="1:13" s="33" customFormat="true" ht="12.75" customHeight="true">
      <c r="A3981" s="33" t="str">
        <f t="shared" si="248"/>
        <v>DF2 - Operating Expense</v>
      </c>
      <c r="B3981" s="33" t="str">
        <f t="shared" si="249"/>
        <v>DF2</v>
      </c>
      <c r="C3981" s="33" t="str">
        <f t="shared" si="250"/>
        <v>62002-7367</v>
      </c>
      <c r="D3981" s="64" t="s">
        <v>4940</v>
      </c>
      <c r="E3981" s="64" t="s">
        <v>3090</v>
      </c>
      <c r="F3981" s="64" t="s">
        <v>15</v>
      </c>
      <c r="G3981" s="64" t="s">
        <v>3035</v>
      </c>
      <c r="H3981" s="64" t="s">
        <v>3022</v>
      </c>
      <c r="I3981" s="64" t="s">
        <v>3074</v>
      </c>
      <c r="J3981" s="67">
        <v>0</v>
      </c>
      <c r="K3981" s="62">
        <v>1064.58</v>
      </c>
      <c r="L3981" s="33" t="e">
        <f>HLOOKUP(B3981,#REF!,1,0)</f>
        <v>#REF!</v>
      </c>
      <c r="M3981" s="33" t="str">
        <f t="shared" si="251"/>
        <v>P&amp;L</v>
      </c>
    </row>
    <row r="3982" spans="1:13" s="33" customFormat="true" ht="12.75" customHeight="true">
      <c r="A3982" s="33" t="str">
        <f t="shared" si="248"/>
        <v>DF2 - Operating Expense</v>
      </c>
      <c r="B3982" s="33" t="str">
        <f t="shared" si="249"/>
        <v>DF2</v>
      </c>
      <c r="C3982" s="33" t="str">
        <f t="shared" si="250"/>
        <v>62002-7392</v>
      </c>
      <c r="D3982" s="64" t="s">
        <v>4941</v>
      </c>
      <c r="E3982" s="64" t="s">
        <v>3090</v>
      </c>
      <c r="F3982" s="64" t="s">
        <v>15</v>
      </c>
      <c r="G3982" s="64" t="s">
        <v>3035</v>
      </c>
      <c r="H3982" s="64" t="s">
        <v>3022</v>
      </c>
      <c r="I3982" s="64" t="s">
        <v>3074</v>
      </c>
      <c r="J3982" s="67">
        <v>225</v>
      </c>
      <c r="K3982" s="62">
        <v>1050</v>
      </c>
      <c r="L3982" s="33" t="e">
        <f>HLOOKUP(B3982,#REF!,1,0)</f>
        <v>#REF!</v>
      </c>
      <c r="M3982" s="33" t="str">
        <f t="shared" si="251"/>
        <v>P&amp;L</v>
      </c>
    </row>
    <row r="3983" spans="1:13" s="33" customFormat="true" ht="12.75" customHeight="true">
      <c r="A3983" s="33" t="str">
        <f t="shared" si="248"/>
        <v>DF2 - Operating Expense</v>
      </c>
      <c r="B3983" s="33" t="str">
        <f t="shared" si="249"/>
        <v>DF2</v>
      </c>
      <c r="C3983" s="33" t="str">
        <f t="shared" si="250"/>
        <v>62002-7487</v>
      </c>
      <c r="D3983" s="64" t="s">
        <v>4942</v>
      </c>
      <c r="E3983" s="64" t="s">
        <v>3090</v>
      </c>
      <c r="F3983" s="64" t="s">
        <v>15</v>
      </c>
      <c r="G3983" s="64" t="s">
        <v>3035</v>
      </c>
      <c r="H3983" s="64" t="s">
        <v>3022</v>
      </c>
      <c r="I3983" s="64" t="s">
        <v>3074</v>
      </c>
      <c r="J3983" s="67">
        <v>0</v>
      </c>
      <c r="K3983" s="62">
        <v>3340.33</v>
      </c>
      <c r="L3983" s="33" t="e">
        <f>HLOOKUP(B3983,#REF!,1,0)</f>
        <v>#REF!</v>
      </c>
      <c r="M3983" s="33" t="str">
        <f t="shared" si="251"/>
        <v>P&amp;L</v>
      </c>
    </row>
    <row r="3984" spans="1:13" s="33" customFormat="true" ht="12.75" customHeight="true">
      <c r="A3984" s="33" t="str">
        <f t="shared" si="248"/>
        <v>DF2 - Operating Expense</v>
      </c>
      <c r="B3984" s="33" t="str">
        <f t="shared" si="249"/>
        <v>DF2</v>
      </c>
      <c r="C3984" s="33" t="str">
        <f t="shared" si="250"/>
        <v>62002-7488</v>
      </c>
      <c r="D3984" s="64" t="s">
        <v>4943</v>
      </c>
      <c r="E3984" s="64" t="s">
        <v>3090</v>
      </c>
      <c r="F3984" s="64" t="s">
        <v>15</v>
      </c>
      <c r="G3984" s="64" t="s">
        <v>3035</v>
      </c>
      <c r="H3984" s="64" t="s">
        <v>3022</v>
      </c>
      <c r="I3984" s="64" t="s">
        <v>3074</v>
      </c>
      <c r="J3984" s="67">
        <v>0</v>
      </c>
      <c r="K3984" s="62">
        <v>1314.58</v>
      </c>
      <c r="L3984" s="33" t="e">
        <f>HLOOKUP(B3984,#REF!,1,0)</f>
        <v>#REF!</v>
      </c>
      <c r="M3984" s="33" t="str">
        <f t="shared" si="251"/>
        <v>P&amp;L</v>
      </c>
    </row>
    <row r="3985" spans="1:13" s="33" customFormat="true" ht="12.75" customHeight="true">
      <c r="A3985" s="33" t="str">
        <f t="shared" si="248"/>
        <v>DF2 - Operating Expense</v>
      </c>
      <c r="B3985" s="33" t="str">
        <f t="shared" si="249"/>
        <v>DF2</v>
      </c>
      <c r="C3985" s="33" t="str">
        <f t="shared" si="250"/>
        <v>62002-7495</v>
      </c>
      <c r="D3985" s="64" t="s">
        <v>4944</v>
      </c>
      <c r="E3985" s="64" t="s">
        <v>3090</v>
      </c>
      <c r="F3985" s="64" t="s">
        <v>15</v>
      </c>
      <c r="G3985" s="64" t="s">
        <v>3035</v>
      </c>
      <c r="H3985" s="64" t="s">
        <v>3022</v>
      </c>
      <c r="I3985" s="64" t="s">
        <v>3074</v>
      </c>
      <c r="J3985" s="67">
        <v>0</v>
      </c>
      <c r="K3985" s="62">
        <v>5561.55</v>
      </c>
      <c r="L3985" s="33" t="e">
        <f>HLOOKUP(B3985,#REF!,1,0)</f>
        <v>#REF!</v>
      </c>
      <c r="M3985" s="33" t="str">
        <f t="shared" si="251"/>
        <v>P&amp;L</v>
      </c>
    </row>
    <row r="3986" spans="1:13" s="33" customFormat="true" ht="12.75" customHeight="true">
      <c r="A3986" s="33" t="str">
        <f t="shared" si="248"/>
        <v>DF2 - Operating Expense</v>
      </c>
      <c r="B3986" s="33" t="str">
        <f t="shared" si="249"/>
        <v>DF2</v>
      </c>
      <c r="C3986" s="33" t="str">
        <f t="shared" si="250"/>
        <v>62097-7367</v>
      </c>
      <c r="D3986" s="64" t="s">
        <v>4945</v>
      </c>
      <c r="E3986" s="64" t="s">
        <v>3095</v>
      </c>
      <c r="F3986" s="64" t="s">
        <v>15</v>
      </c>
      <c r="G3986" s="64" t="s">
        <v>3035</v>
      </c>
      <c r="H3986" s="64" t="s">
        <v>3022</v>
      </c>
      <c r="I3986" s="64" t="s">
        <v>3096</v>
      </c>
      <c r="J3986" s="67">
        <v>0</v>
      </c>
      <c r="K3986" s="62">
        <v>150</v>
      </c>
      <c r="L3986" s="33" t="e">
        <f>HLOOKUP(B3986,#REF!,1,0)</f>
        <v>#REF!</v>
      </c>
      <c r="M3986" s="33" t="str">
        <f t="shared" si="251"/>
        <v>P&amp;L</v>
      </c>
    </row>
    <row r="3987" spans="1:13" s="33" customFormat="true" ht="12.75" customHeight="true">
      <c r="A3987" s="33" t="str">
        <f t="shared" si="248"/>
        <v>DF2 - Operating Expense</v>
      </c>
      <c r="B3987" s="33" t="str">
        <f t="shared" si="249"/>
        <v>DF2</v>
      </c>
      <c r="C3987" s="33" t="str">
        <f t="shared" si="250"/>
        <v>62097-7392</v>
      </c>
      <c r="D3987" s="64" t="s">
        <v>4946</v>
      </c>
      <c r="E3987" s="64" t="s">
        <v>3095</v>
      </c>
      <c r="F3987" s="64" t="s">
        <v>15</v>
      </c>
      <c r="G3987" s="64" t="s">
        <v>3035</v>
      </c>
      <c r="H3987" s="64" t="s">
        <v>3022</v>
      </c>
      <c r="I3987" s="64" t="s">
        <v>3096</v>
      </c>
      <c r="J3987" s="67">
        <v>0</v>
      </c>
      <c r="K3987" s="62">
        <v>150</v>
      </c>
      <c r="L3987" s="33" t="e">
        <f>HLOOKUP(B3987,#REF!,1,0)</f>
        <v>#REF!</v>
      </c>
      <c r="M3987" s="33" t="str">
        <f t="shared" si="251"/>
        <v>P&amp;L</v>
      </c>
    </row>
    <row r="3988" spans="1:13" s="33" customFormat="true" ht="12.75" customHeight="true">
      <c r="A3988" s="33" t="str">
        <f t="shared" si="248"/>
        <v>DF2 - Operating Expense</v>
      </c>
      <c r="B3988" s="33" t="str">
        <f t="shared" si="249"/>
        <v>DF2</v>
      </c>
      <c r="C3988" s="33" t="str">
        <f t="shared" si="250"/>
        <v>62097-7487</v>
      </c>
      <c r="D3988" s="64" t="s">
        <v>4947</v>
      </c>
      <c r="E3988" s="64" t="s">
        <v>3095</v>
      </c>
      <c r="F3988" s="64" t="s">
        <v>15</v>
      </c>
      <c r="G3988" s="64" t="s">
        <v>3035</v>
      </c>
      <c r="H3988" s="64" t="s">
        <v>3022</v>
      </c>
      <c r="I3988" s="64" t="s">
        <v>3096</v>
      </c>
      <c r="J3988" s="67">
        <v>0</v>
      </c>
      <c r="K3988" s="62">
        <v>150</v>
      </c>
      <c r="L3988" s="33" t="e">
        <f>HLOOKUP(B3988,#REF!,1,0)</f>
        <v>#REF!</v>
      </c>
      <c r="M3988" s="33" t="str">
        <f t="shared" si="251"/>
        <v>P&amp;L</v>
      </c>
    </row>
    <row r="3989" spans="1:13" s="33" customFormat="true" ht="12.75" customHeight="true">
      <c r="A3989" s="33" t="str">
        <f t="shared" si="248"/>
        <v>DF2 - Operating Expense</v>
      </c>
      <c r="B3989" s="33" t="str">
        <f t="shared" si="249"/>
        <v>DF2</v>
      </c>
      <c r="C3989" s="33" t="str">
        <f t="shared" si="250"/>
        <v>62097-7488</v>
      </c>
      <c r="D3989" s="64" t="s">
        <v>4948</v>
      </c>
      <c r="E3989" s="64" t="s">
        <v>3095</v>
      </c>
      <c r="F3989" s="64" t="s">
        <v>15</v>
      </c>
      <c r="G3989" s="64" t="s">
        <v>3035</v>
      </c>
      <c r="H3989" s="64" t="s">
        <v>3022</v>
      </c>
      <c r="I3989" s="64" t="s">
        <v>3096</v>
      </c>
      <c r="J3989" s="67">
        <v>0</v>
      </c>
      <c r="K3989" s="62">
        <v>150</v>
      </c>
      <c r="L3989" s="33" t="e">
        <f>HLOOKUP(B3989,#REF!,1,0)</f>
        <v>#REF!</v>
      </c>
      <c r="M3989" s="33" t="str">
        <f t="shared" si="251"/>
        <v>P&amp;L</v>
      </c>
    </row>
    <row r="3990" spans="1:13" s="33" customFormat="true" ht="12.75" customHeight="true">
      <c r="A3990" s="33" t="str">
        <f t="shared" si="248"/>
        <v>DF2 - Operating Expense</v>
      </c>
      <c r="B3990" s="33" t="str">
        <f t="shared" si="249"/>
        <v>DF2</v>
      </c>
      <c r="C3990" s="33" t="str">
        <f t="shared" si="250"/>
        <v>62097-7495</v>
      </c>
      <c r="D3990" s="64" t="s">
        <v>4949</v>
      </c>
      <c r="E3990" s="64" t="s">
        <v>3095</v>
      </c>
      <c r="F3990" s="64" t="s">
        <v>15</v>
      </c>
      <c r="G3990" s="64" t="s">
        <v>3035</v>
      </c>
      <c r="H3990" s="64" t="s">
        <v>3022</v>
      </c>
      <c r="I3990" s="64" t="s">
        <v>3096</v>
      </c>
      <c r="J3990" s="67">
        <v>0</v>
      </c>
      <c r="K3990" s="62">
        <v>150</v>
      </c>
      <c r="L3990" s="33" t="e">
        <f>HLOOKUP(B3990,#REF!,1,0)</f>
        <v>#REF!</v>
      </c>
      <c r="M3990" s="33" t="str">
        <f t="shared" si="251"/>
        <v>P&amp;L</v>
      </c>
    </row>
    <row r="3991" spans="1:13" s="33" customFormat="true" ht="12.75" customHeight="true">
      <c r="A3991" s="33" t="str">
        <f t="shared" si="248"/>
        <v>DF2 - Operating Expense</v>
      </c>
      <c r="B3991" s="33" t="str">
        <f t="shared" si="249"/>
        <v>DF2</v>
      </c>
      <c r="C3991" s="33" t="str">
        <f t="shared" si="250"/>
        <v>62501-7367</v>
      </c>
      <c r="D3991" s="64" t="s">
        <v>4950</v>
      </c>
      <c r="E3991" s="64" t="s">
        <v>3101</v>
      </c>
      <c r="F3991" s="64" t="s">
        <v>15</v>
      </c>
      <c r="G3991" s="64" t="s">
        <v>3035</v>
      </c>
      <c r="H3991" s="64" t="s">
        <v>3022</v>
      </c>
      <c r="I3991" s="64" t="s">
        <v>3102</v>
      </c>
      <c r="J3991" s="67">
        <v>0</v>
      </c>
      <c r="K3991" s="62">
        <v>318</v>
      </c>
      <c r="L3991" s="33" t="e">
        <f>HLOOKUP(B3991,#REF!,1,0)</f>
        <v>#REF!</v>
      </c>
      <c r="M3991" s="33" t="str">
        <f t="shared" si="251"/>
        <v>P&amp;L</v>
      </c>
    </row>
    <row r="3992" spans="1:13" s="33" customFormat="true" ht="12.75" customHeight="true">
      <c r="A3992" s="33" t="str">
        <f t="shared" si="248"/>
        <v>DF2 - Operating Expense</v>
      </c>
      <c r="B3992" s="33" t="str">
        <f t="shared" si="249"/>
        <v>DF2</v>
      </c>
      <c r="C3992" s="33" t="str">
        <f t="shared" si="250"/>
        <v>62501-7392</v>
      </c>
      <c r="D3992" s="64" t="s">
        <v>4951</v>
      </c>
      <c r="E3992" s="64" t="s">
        <v>3101</v>
      </c>
      <c r="F3992" s="64" t="s">
        <v>15</v>
      </c>
      <c r="G3992" s="64" t="s">
        <v>3035</v>
      </c>
      <c r="H3992" s="64" t="s">
        <v>3022</v>
      </c>
      <c r="I3992" s="64" t="s">
        <v>3102</v>
      </c>
      <c r="J3992" s="67">
        <v>1345</v>
      </c>
      <c r="K3992" s="62">
        <v>10278</v>
      </c>
      <c r="L3992" s="33" t="e">
        <f>HLOOKUP(B3992,#REF!,1,0)</f>
        <v>#REF!</v>
      </c>
      <c r="M3992" s="33" t="str">
        <f t="shared" si="251"/>
        <v>P&amp;L</v>
      </c>
    </row>
    <row r="3993" spans="1:13" s="33" customFormat="true" ht="12.75" customHeight="true">
      <c r="A3993" s="33" t="str">
        <f t="shared" si="248"/>
        <v>DF2 - Operating Expense</v>
      </c>
      <c r="B3993" s="33" t="str">
        <f t="shared" si="249"/>
        <v>DF2</v>
      </c>
      <c r="C3993" s="33" t="str">
        <f t="shared" si="250"/>
        <v>62501-7487</v>
      </c>
      <c r="D3993" s="64" t="s">
        <v>4952</v>
      </c>
      <c r="E3993" s="64" t="s">
        <v>3101</v>
      </c>
      <c r="F3993" s="64" t="s">
        <v>15</v>
      </c>
      <c r="G3993" s="64" t="s">
        <v>3035</v>
      </c>
      <c r="H3993" s="64" t="s">
        <v>3022</v>
      </c>
      <c r="I3993" s="64" t="s">
        <v>3102</v>
      </c>
      <c r="J3993" s="67">
        <v>0</v>
      </c>
      <c r="K3993" s="62">
        <v>825</v>
      </c>
      <c r="L3993" s="33" t="e">
        <f>HLOOKUP(B3993,#REF!,1,0)</f>
        <v>#REF!</v>
      </c>
      <c r="M3993" s="33" t="str">
        <f t="shared" si="251"/>
        <v>P&amp;L</v>
      </c>
    </row>
    <row r="3994" spans="1:13" s="33" customFormat="true" ht="12.75" customHeight="true">
      <c r="A3994" s="33" t="str">
        <f t="shared" si="248"/>
        <v>DF2 - Operating Expense</v>
      </c>
      <c r="B3994" s="33" t="str">
        <f t="shared" si="249"/>
        <v>DF2</v>
      </c>
      <c r="C3994" s="33" t="str">
        <f t="shared" si="250"/>
        <v>62501-7488</v>
      </c>
      <c r="D3994" s="64" t="s">
        <v>4953</v>
      </c>
      <c r="E3994" s="64" t="s">
        <v>3101</v>
      </c>
      <c r="F3994" s="64" t="s">
        <v>15</v>
      </c>
      <c r="G3994" s="64" t="s">
        <v>3035</v>
      </c>
      <c r="H3994" s="64" t="s">
        <v>3022</v>
      </c>
      <c r="I3994" s="64" t="s">
        <v>3102</v>
      </c>
      <c r="J3994" s="67">
        <v>350</v>
      </c>
      <c r="K3994" s="62">
        <v>5685</v>
      </c>
      <c r="L3994" s="33" t="e">
        <f>HLOOKUP(B3994,#REF!,1,0)</f>
        <v>#REF!</v>
      </c>
      <c r="M3994" s="33" t="str">
        <f t="shared" si="251"/>
        <v>P&amp;L</v>
      </c>
    </row>
    <row r="3995" spans="1:13" s="33" customFormat="true" ht="12.75" customHeight="true">
      <c r="A3995" s="33" t="str">
        <f t="shared" si="248"/>
        <v>DF2 - Operating Expense</v>
      </c>
      <c r="B3995" s="33" t="str">
        <f t="shared" si="249"/>
        <v>DF2</v>
      </c>
      <c r="C3995" s="33" t="str">
        <f t="shared" si="250"/>
        <v>62501-7495</v>
      </c>
      <c r="D3995" s="64" t="s">
        <v>4954</v>
      </c>
      <c r="E3995" s="64" t="s">
        <v>3101</v>
      </c>
      <c r="F3995" s="64" t="s">
        <v>15</v>
      </c>
      <c r="G3995" s="64" t="s">
        <v>3035</v>
      </c>
      <c r="H3995" s="64" t="s">
        <v>3022</v>
      </c>
      <c r="I3995" s="64" t="s">
        <v>3102</v>
      </c>
      <c r="J3995" s="67">
        <v>0</v>
      </c>
      <c r="K3995" s="62">
        <v>2935</v>
      </c>
      <c r="L3995" s="33" t="e">
        <f>HLOOKUP(B3995,#REF!,1,0)</f>
        <v>#REF!</v>
      </c>
      <c r="M3995" s="33" t="str">
        <f t="shared" si="251"/>
        <v>P&amp;L</v>
      </c>
    </row>
    <row r="3996" spans="1:13" s="33" customFormat="true" ht="12.75" customHeight="true">
      <c r="A3996" s="33" t="str">
        <f t="shared" si="248"/>
        <v>DF2 - Operating Expense</v>
      </c>
      <c r="B3996" s="33" t="str">
        <f t="shared" si="249"/>
        <v>DF2</v>
      </c>
      <c r="C3996" s="33" t="str">
        <f t="shared" si="250"/>
        <v>62510-7367</v>
      </c>
      <c r="D3996" s="64" t="s">
        <v>4955</v>
      </c>
      <c r="E3996" s="64" t="s">
        <v>3111</v>
      </c>
      <c r="F3996" s="64" t="s">
        <v>15</v>
      </c>
      <c r="G3996" s="64" t="s">
        <v>3035</v>
      </c>
      <c r="H3996" s="64" t="s">
        <v>3022</v>
      </c>
      <c r="I3996" s="64" t="s">
        <v>3102</v>
      </c>
      <c r="J3996" s="67">
        <v>75</v>
      </c>
      <c r="K3996" s="62">
        <v>708</v>
      </c>
      <c r="L3996" s="33" t="e">
        <f>HLOOKUP(B3996,#REF!,1,0)</f>
        <v>#REF!</v>
      </c>
      <c r="M3996" s="33" t="str">
        <f t="shared" si="251"/>
        <v>P&amp;L</v>
      </c>
    </row>
    <row r="3997" spans="1:13" s="33" customFormat="true" ht="12.75" customHeight="true">
      <c r="A3997" s="33" t="str">
        <f t="shared" si="248"/>
        <v>DF2 - Operating Expense</v>
      </c>
      <c r="B3997" s="33" t="str">
        <f t="shared" si="249"/>
        <v>DF2</v>
      </c>
      <c r="C3997" s="33" t="str">
        <f t="shared" si="250"/>
        <v>62510-7392</v>
      </c>
      <c r="D3997" s="64" t="s">
        <v>4956</v>
      </c>
      <c r="E3997" s="64" t="s">
        <v>3111</v>
      </c>
      <c r="F3997" s="64" t="s">
        <v>15</v>
      </c>
      <c r="G3997" s="64" t="s">
        <v>3035</v>
      </c>
      <c r="H3997" s="64" t="s">
        <v>3022</v>
      </c>
      <c r="I3997" s="64" t="s">
        <v>3102</v>
      </c>
      <c r="J3997" s="67">
        <v>85.03</v>
      </c>
      <c r="K3997" s="62">
        <v>802.86</v>
      </c>
      <c r="L3997" s="33" t="e">
        <f>HLOOKUP(B3997,#REF!,1,0)</f>
        <v>#REF!</v>
      </c>
      <c r="M3997" s="33" t="str">
        <f t="shared" si="251"/>
        <v>P&amp;L</v>
      </c>
    </row>
    <row r="3998" spans="1:13" s="33" customFormat="true" ht="12.75" customHeight="true">
      <c r="A3998" s="33" t="str">
        <f t="shared" si="248"/>
        <v>DF2 - Operating Expense</v>
      </c>
      <c r="B3998" s="33" t="str">
        <f t="shared" si="249"/>
        <v>DF2</v>
      </c>
      <c r="C3998" s="33" t="str">
        <f t="shared" si="250"/>
        <v>62510-7487</v>
      </c>
      <c r="D3998" s="64" t="s">
        <v>4957</v>
      </c>
      <c r="E3998" s="64" t="s">
        <v>3111</v>
      </c>
      <c r="F3998" s="64" t="s">
        <v>15</v>
      </c>
      <c r="G3998" s="64" t="s">
        <v>3035</v>
      </c>
      <c r="H3998" s="64" t="s">
        <v>3022</v>
      </c>
      <c r="I3998" s="64" t="s">
        <v>3102</v>
      </c>
      <c r="J3998" s="67">
        <v>85.03</v>
      </c>
      <c r="K3998" s="62">
        <v>802.86</v>
      </c>
      <c r="L3998" s="33" t="e">
        <f>HLOOKUP(B3998,#REF!,1,0)</f>
        <v>#REF!</v>
      </c>
      <c r="M3998" s="33" t="str">
        <f t="shared" si="251"/>
        <v>P&amp;L</v>
      </c>
    </row>
    <row r="3999" spans="1:13" s="33" customFormat="true" ht="12.75" customHeight="true">
      <c r="A3999" s="33" t="str">
        <f t="shared" si="248"/>
        <v>DF2 - Operating Expense</v>
      </c>
      <c r="B3999" s="33" t="str">
        <f t="shared" si="249"/>
        <v>DF2</v>
      </c>
      <c r="C3999" s="33" t="str">
        <f t="shared" si="250"/>
        <v>62510-7488</v>
      </c>
      <c r="D3999" s="64" t="s">
        <v>4958</v>
      </c>
      <c r="E3999" s="64" t="s">
        <v>3111</v>
      </c>
      <c r="F3999" s="64" t="s">
        <v>15</v>
      </c>
      <c r="G3999" s="64" t="s">
        <v>3035</v>
      </c>
      <c r="H3999" s="64" t="s">
        <v>3022</v>
      </c>
      <c r="I3999" s="64" t="s">
        <v>3102</v>
      </c>
      <c r="J3999" s="67">
        <v>75</v>
      </c>
      <c r="K3999" s="62">
        <v>708</v>
      </c>
      <c r="L3999" s="33" t="e">
        <f>HLOOKUP(B3999,#REF!,1,0)</f>
        <v>#REF!</v>
      </c>
      <c r="M3999" s="33" t="str">
        <f t="shared" si="251"/>
        <v>P&amp;L</v>
      </c>
    </row>
    <row r="4000" spans="1:13" s="33" customFormat="true" ht="12.75" customHeight="true">
      <c r="A4000" s="33" t="str">
        <f t="shared" si="248"/>
        <v>DF2 - Operating Expense</v>
      </c>
      <c r="B4000" s="33" t="str">
        <f t="shared" si="249"/>
        <v>DF2</v>
      </c>
      <c r="C4000" s="33" t="str">
        <f t="shared" si="250"/>
        <v>62510-7495</v>
      </c>
      <c r="D4000" s="64" t="s">
        <v>4959</v>
      </c>
      <c r="E4000" s="64" t="s">
        <v>3111</v>
      </c>
      <c r="F4000" s="64" t="s">
        <v>15</v>
      </c>
      <c r="G4000" s="64" t="s">
        <v>3035</v>
      </c>
      <c r="H4000" s="64" t="s">
        <v>3022</v>
      </c>
      <c r="I4000" s="64" t="s">
        <v>3102</v>
      </c>
      <c r="J4000" s="67">
        <v>85.03</v>
      </c>
      <c r="K4000" s="62">
        <v>1081.26</v>
      </c>
      <c r="L4000" s="33" t="e">
        <f>HLOOKUP(B4000,#REF!,1,0)</f>
        <v>#REF!</v>
      </c>
      <c r="M4000" s="33" t="str">
        <f t="shared" si="251"/>
        <v>P&amp;L</v>
      </c>
    </row>
    <row r="4001" spans="1:13" s="33" customFormat="true" ht="12.75" customHeight="true">
      <c r="A4001" s="33" t="str">
        <f t="shared" si="248"/>
        <v>DF2 - Operating Expense</v>
      </c>
      <c r="B4001" s="33" t="str">
        <f t="shared" si="249"/>
        <v>DF2</v>
      </c>
      <c r="C4001" s="33" t="str">
        <f t="shared" si="250"/>
        <v>62511-7367</v>
      </c>
      <c r="D4001" s="64" t="s">
        <v>4960</v>
      </c>
      <c r="E4001" s="64" t="s">
        <v>3116</v>
      </c>
      <c r="F4001" s="64" t="s">
        <v>15</v>
      </c>
      <c r="G4001" s="64" t="s">
        <v>3035</v>
      </c>
      <c r="H4001" s="64" t="s">
        <v>3022</v>
      </c>
      <c r="I4001" s="64" t="s">
        <v>3036</v>
      </c>
      <c r="J4001" s="67">
        <v>375.64</v>
      </c>
      <c r="K4001" s="62">
        <v>796.28</v>
      </c>
      <c r="L4001" s="33" t="e">
        <f>HLOOKUP(B4001,#REF!,1,0)</f>
        <v>#REF!</v>
      </c>
      <c r="M4001" s="33" t="str">
        <f t="shared" si="251"/>
        <v>P&amp;L</v>
      </c>
    </row>
    <row r="4002" spans="1:13" s="33" customFormat="true" ht="12.75" customHeight="true">
      <c r="A4002" s="33" t="str">
        <f t="shared" si="248"/>
        <v>DF2 - Operating Expense</v>
      </c>
      <c r="B4002" s="33" t="str">
        <f t="shared" si="249"/>
        <v>DF2</v>
      </c>
      <c r="C4002" s="33" t="str">
        <f t="shared" si="250"/>
        <v>62511-7392</v>
      </c>
      <c r="D4002" s="64" t="s">
        <v>4961</v>
      </c>
      <c r="E4002" s="64" t="s">
        <v>3116</v>
      </c>
      <c r="F4002" s="64" t="s">
        <v>15</v>
      </c>
      <c r="G4002" s="64" t="s">
        <v>3035</v>
      </c>
      <c r="H4002" s="64" t="s">
        <v>3022</v>
      </c>
      <c r="I4002" s="64" t="s">
        <v>3036</v>
      </c>
      <c r="J4002" s="67">
        <v>0</v>
      </c>
      <c r="K4002" s="62">
        <v>364.04</v>
      </c>
      <c r="L4002" s="33" t="e">
        <f>HLOOKUP(B4002,#REF!,1,0)</f>
        <v>#REF!</v>
      </c>
      <c r="M4002" s="33" t="str">
        <f t="shared" si="251"/>
        <v>P&amp;L</v>
      </c>
    </row>
    <row r="4003" spans="1:13" s="33" customFormat="true" ht="12.75" customHeight="true">
      <c r="A4003" s="33" t="str">
        <f t="shared" si="248"/>
        <v>DF2 - Operating Expense</v>
      </c>
      <c r="B4003" s="33" t="str">
        <f t="shared" si="249"/>
        <v>DF2</v>
      </c>
      <c r="C4003" s="33" t="str">
        <f t="shared" si="250"/>
        <v>62511-7487</v>
      </c>
      <c r="D4003" s="64" t="s">
        <v>4962</v>
      </c>
      <c r="E4003" s="64" t="s">
        <v>3116</v>
      </c>
      <c r="F4003" s="64" t="s">
        <v>15</v>
      </c>
      <c r="G4003" s="64" t="s">
        <v>3035</v>
      </c>
      <c r="H4003" s="64" t="s">
        <v>3022</v>
      </c>
      <c r="I4003" s="64" t="s">
        <v>3036</v>
      </c>
      <c r="J4003" s="67">
        <v>0</v>
      </c>
      <c r="K4003" s="62">
        <v>653.24</v>
      </c>
      <c r="L4003" s="33" t="e">
        <f>HLOOKUP(B4003,#REF!,1,0)</f>
        <v>#REF!</v>
      </c>
      <c r="M4003" s="33" t="str">
        <f t="shared" si="251"/>
        <v>P&amp;L</v>
      </c>
    </row>
    <row r="4004" spans="1:13" s="33" customFormat="true" ht="12.75" customHeight="true">
      <c r="A4004" s="33" t="str">
        <f t="shared" si="248"/>
        <v>DF2 - Operating Expense</v>
      </c>
      <c r="B4004" s="33" t="str">
        <f t="shared" si="249"/>
        <v>DF2</v>
      </c>
      <c r="C4004" s="33" t="str">
        <f t="shared" si="250"/>
        <v>62511-7488</v>
      </c>
      <c r="D4004" s="64" t="s">
        <v>4963</v>
      </c>
      <c r="E4004" s="64" t="s">
        <v>3116</v>
      </c>
      <c r="F4004" s="64" t="s">
        <v>15</v>
      </c>
      <c r="G4004" s="64" t="s">
        <v>3035</v>
      </c>
      <c r="H4004" s="64" t="s">
        <v>3022</v>
      </c>
      <c r="I4004" s="64" t="s">
        <v>3036</v>
      </c>
      <c r="J4004" s="67">
        <v>0</v>
      </c>
      <c r="K4004" s="62">
        <v>604.28</v>
      </c>
      <c r="L4004" s="33" t="e">
        <f>HLOOKUP(B4004,#REF!,1,0)</f>
        <v>#REF!</v>
      </c>
      <c r="M4004" s="33" t="str">
        <f t="shared" si="251"/>
        <v>P&amp;L</v>
      </c>
    </row>
    <row r="4005" spans="1:13" s="33" customFormat="true" ht="12.75" customHeight="true">
      <c r="A4005" s="33" t="str">
        <f t="shared" si="248"/>
        <v>DF2 - Operating Expense</v>
      </c>
      <c r="B4005" s="33" t="str">
        <f t="shared" si="249"/>
        <v>DF2</v>
      </c>
      <c r="C4005" s="33" t="str">
        <f t="shared" si="250"/>
        <v>62511-7495</v>
      </c>
      <c r="D4005" s="64" t="s">
        <v>4964</v>
      </c>
      <c r="E4005" s="64" t="s">
        <v>3116</v>
      </c>
      <c r="F4005" s="64" t="s">
        <v>15</v>
      </c>
      <c r="G4005" s="64" t="s">
        <v>3035</v>
      </c>
      <c r="H4005" s="64" t="s">
        <v>3022</v>
      </c>
      <c r="I4005" s="64" t="s">
        <v>3036</v>
      </c>
      <c r="J4005" s="67">
        <v>0</v>
      </c>
      <c r="K4005" s="62">
        <v>527.1</v>
      </c>
      <c r="L4005" s="33" t="e">
        <f>HLOOKUP(B4005,#REF!,1,0)</f>
        <v>#REF!</v>
      </c>
      <c r="M4005" s="33" t="str">
        <f t="shared" si="251"/>
        <v>P&amp;L</v>
      </c>
    </row>
    <row r="4006" spans="1:13" s="33" customFormat="true" ht="12.75" customHeight="true">
      <c r="A4006" s="33" t="str">
        <f t="shared" si="248"/>
        <v>DF2 - Operating Expense</v>
      </c>
      <c r="B4006" s="33" t="str">
        <f t="shared" si="249"/>
        <v>DF2</v>
      </c>
      <c r="C4006" s="33" t="str">
        <f t="shared" si="250"/>
        <v>62512-7392</v>
      </c>
      <c r="D4006" s="64" t="s">
        <v>4965</v>
      </c>
      <c r="E4006" s="64" t="s">
        <v>3121</v>
      </c>
      <c r="F4006" s="64" t="s">
        <v>15</v>
      </c>
      <c r="G4006" s="64" t="s">
        <v>3035</v>
      </c>
      <c r="H4006" s="64" t="s">
        <v>3022</v>
      </c>
      <c r="I4006" s="64" t="s">
        <v>3102</v>
      </c>
      <c r="J4006" s="67">
        <v>0</v>
      </c>
      <c r="K4006" s="62">
        <v>977.28</v>
      </c>
      <c r="L4006" s="33" t="e">
        <f>HLOOKUP(B4006,#REF!,1,0)</f>
        <v>#REF!</v>
      </c>
      <c r="M4006" s="33" t="str">
        <f t="shared" si="251"/>
        <v>P&amp;L</v>
      </c>
    </row>
    <row r="4007" spans="1:13" s="33" customFormat="true" ht="12.75" customHeight="true">
      <c r="A4007" s="33" t="str">
        <f t="shared" si="248"/>
        <v>DF2 - Operating Expense</v>
      </c>
      <c r="B4007" s="33" t="str">
        <f t="shared" si="249"/>
        <v>DF2</v>
      </c>
      <c r="C4007" s="33" t="str">
        <f t="shared" si="250"/>
        <v>62512-7495</v>
      </c>
      <c r="D4007" s="64" t="s">
        <v>4966</v>
      </c>
      <c r="E4007" s="64" t="s">
        <v>3121</v>
      </c>
      <c r="F4007" s="64" t="s">
        <v>15</v>
      </c>
      <c r="G4007" s="64" t="s">
        <v>3035</v>
      </c>
      <c r="H4007" s="64" t="s">
        <v>3022</v>
      </c>
      <c r="I4007" s="64" t="s">
        <v>3102</v>
      </c>
      <c r="J4007" s="67">
        <v>0</v>
      </c>
      <c r="K4007" s="62">
        <v>275</v>
      </c>
      <c r="L4007" s="33" t="e">
        <f>HLOOKUP(B4007,#REF!,1,0)</f>
        <v>#REF!</v>
      </c>
      <c r="M4007" s="33" t="str">
        <f t="shared" si="251"/>
        <v>P&amp;L</v>
      </c>
    </row>
    <row r="4008" spans="1:13" s="33" customFormat="true" ht="12.75" customHeight="true">
      <c r="A4008" s="33" t="str">
        <f t="shared" si="248"/>
        <v>DF2 - Operating Expense</v>
      </c>
      <c r="B4008" s="33" t="str">
        <f t="shared" si="249"/>
        <v>DF2</v>
      </c>
      <c r="C4008" s="33" t="str">
        <f t="shared" si="250"/>
        <v>62513-7367</v>
      </c>
      <c r="D4008" s="64" t="s">
        <v>4967</v>
      </c>
      <c r="E4008" s="64" t="s">
        <v>3124</v>
      </c>
      <c r="F4008" s="64" t="s">
        <v>15</v>
      </c>
      <c r="G4008" s="64" t="s">
        <v>3035</v>
      </c>
      <c r="H4008" s="64" t="s">
        <v>3022</v>
      </c>
      <c r="I4008" s="64" t="s">
        <v>3102</v>
      </c>
      <c r="J4008" s="67">
        <v>0</v>
      </c>
      <c r="K4008" s="62">
        <v>45.59</v>
      </c>
      <c r="L4008" s="33" t="e">
        <f>HLOOKUP(B4008,#REF!,1,0)</f>
        <v>#REF!</v>
      </c>
      <c r="M4008" s="33" t="str">
        <f t="shared" si="251"/>
        <v>P&amp;L</v>
      </c>
    </row>
    <row r="4009" spans="1:13" s="33" customFormat="true" ht="12.75" customHeight="true">
      <c r="A4009" s="33" t="str">
        <f t="shared" si="248"/>
        <v>DF2 - Operating Expense</v>
      </c>
      <c r="B4009" s="33" t="str">
        <f t="shared" si="249"/>
        <v>DF2</v>
      </c>
      <c r="C4009" s="33" t="str">
        <f t="shared" si="250"/>
        <v>62513-7392</v>
      </c>
      <c r="D4009" s="64" t="s">
        <v>4968</v>
      </c>
      <c r="E4009" s="64" t="s">
        <v>3124</v>
      </c>
      <c r="F4009" s="64" t="s">
        <v>15</v>
      </c>
      <c r="G4009" s="64" t="s">
        <v>3035</v>
      </c>
      <c r="H4009" s="64" t="s">
        <v>3022</v>
      </c>
      <c r="I4009" s="64" t="s">
        <v>3102</v>
      </c>
      <c r="J4009" s="67">
        <v>15.33</v>
      </c>
      <c r="K4009" s="62">
        <v>414.36</v>
      </c>
      <c r="L4009" s="33" t="e">
        <f>HLOOKUP(B4009,#REF!,1,0)</f>
        <v>#REF!</v>
      </c>
      <c r="M4009" s="33" t="str">
        <f t="shared" si="251"/>
        <v>P&amp;L</v>
      </c>
    </row>
    <row r="4010" spans="1:13" s="33" customFormat="true" ht="12.75" customHeight="true">
      <c r="A4010" s="33" t="str">
        <f t="shared" si="248"/>
        <v>DF2 - Operating Expense</v>
      </c>
      <c r="B4010" s="33" t="str">
        <f t="shared" si="249"/>
        <v>DF2</v>
      </c>
      <c r="C4010" s="33" t="str">
        <f t="shared" si="250"/>
        <v>62513-7487</v>
      </c>
      <c r="D4010" s="64" t="s">
        <v>4969</v>
      </c>
      <c r="E4010" s="64" t="s">
        <v>3124</v>
      </c>
      <c r="F4010" s="64" t="s">
        <v>15</v>
      </c>
      <c r="G4010" s="64" t="s">
        <v>3035</v>
      </c>
      <c r="H4010" s="64" t="s">
        <v>3022</v>
      </c>
      <c r="I4010" s="64" t="s">
        <v>3102</v>
      </c>
      <c r="J4010" s="67">
        <v>0</v>
      </c>
      <c r="K4010" s="62">
        <v>162.78</v>
      </c>
      <c r="L4010" s="33" t="e">
        <f>HLOOKUP(B4010,#REF!,1,0)</f>
        <v>#REF!</v>
      </c>
      <c r="M4010" s="33" t="str">
        <f t="shared" si="251"/>
        <v>P&amp;L</v>
      </c>
    </row>
    <row r="4011" spans="1:13" s="33" customFormat="true" ht="12.75" customHeight="true">
      <c r="A4011" s="33" t="str">
        <f t="shared" si="248"/>
        <v>DF2 - Operating Expense</v>
      </c>
      <c r="B4011" s="33" t="str">
        <f t="shared" si="249"/>
        <v>DF2</v>
      </c>
      <c r="C4011" s="33" t="str">
        <f t="shared" si="250"/>
        <v>62513-7488</v>
      </c>
      <c r="D4011" s="64" t="s">
        <v>4970</v>
      </c>
      <c r="E4011" s="64" t="s">
        <v>3124</v>
      </c>
      <c r="F4011" s="64" t="s">
        <v>15</v>
      </c>
      <c r="G4011" s="64" t="s">
        <v>3035</v>
      </c>
      <c r="H4011" s="64" t="s">
        <v>3022</v>
      </c>
      <c r="I4011" s="64" t="s">
        <v>3102</v>
      </c>
      <c r="J4011" s="67">
        <v>0</v>
      </c>
      <c r="K4011" s="62">
        <v>63.03</v>
      </c>
      <c r="L4011" s="33" t="e">
        <f>HLOOKUP(B4011,#REF!,1,0)</f>
        <v>#REF!</v>
      </c>
      <c r="M4011" s="33" t="str">
        <f t="shared" si="251"/>
        <v>P&amp;L</v>
      </c>
    </row>
    <row r="4012" spans="1:13" s="33" customFormat="true" ht="12.75" customHeight="true">
      <c r="A4012" s="33" t="str">
        <f t="shared" si="248"/>
        <v>DF2 - Operating Expense</v>
      </c>
      <c r="B4012" s="33" t="str">
        <f t="shared" si="249"/>
        <v>DF2</v>
      </c>
      <c r="C4012" s="33" t="str">
        <f t="shared" si="250"/>
        <v>62513-7495</v>
      </c>
      <c r="D4012" s="64" t="s">
        <v>4971</v>
      </c>
      <c r="E4012" s="64" t="s">
        <v>3124</v>
      </c>
      <c r="F4012" s="64" t="s">
        <v>15</v>
      </c>
      <c r="G4012" s="64" t="s">
        <v>3035</v>
      </c>
      <c r="H4012" s="64" t="s">
        <v>3022</v>
      </c>
      <c r="I4012" s="64" t="s">
        <v>3102</v>
      </c>
      <c r="J4012" s="67">
        <v>15.34</v>
      </c>
      <c r="K4012" s="62">
        <v>846.58</v>
      </c>
      <c r="L4012" s="33" t="e">
        <f>HLOOKUP(B4012,#REF!,1,0)</f>
        <v>#REF!</v>
      </c>
      <c r="M4012" s="33" t="str">
        <f t="shared" si="251"/>
        <v>P&amp;L</v>
      </c>
    </row>
    <row r="4013" spans="1:13" s="33" customFormat="true" ht="12.75" customHeight="true">
      <c r="A4013" s="33" t="str">
        <f t="shared" si="248"/>
        <v>DF2 - Operating Expense</v>
      </c>
      <c r="B4013" s="33" t="str">
        <f t="shared" si="249"/>
        <v>DF2</v>
      </c>
      <c r="C4013" s="33" t="str">
        <f t="shared" si="250"/>
        <v>62550-7367</v>
      </c>
      <c r="D4013" s="64" t="s">
        <v>4972</v>
      </c>
      <c r="E4013" s="64" t="s">
        <v>3129</v>
      </c>
      <c r="F4013" s="64" t="s">
        <v>15</v>
      </c>
      <c r="G4013" s="64" t="s">
        <v>3035</v>
      </c>
      <c r="H4013" s="64" t="s">
        <v>3022</v>
      </c>
      <c r="I4013" s="64" t="s">
        <v>3130</v>
      </c>
      <c r="J4013" s="67">
        <v>220.66</v>
      </c>
      <c r="K4013" s="62">
        <v>5483.36</v>
      </c>
      <c r="L4013" s="33" t="e">
        <f>HLOOKUP(B4013,#REF!,1,0)</f>
        <v>#REF!</v>
      </c>
      <c r="M4013" s="33" t="str">
        <f t="shared" si="251"/>
        <v>P&amp;L</v>
      </c>
    </row>
    <row r="4014" spans="1:13" s="33" customFormat="true" ht="12.75" customHeight="true">
      <c r="A4014" s="33" t="str">
        <f t="shared" si="248"/>
        <v>DF2 - Operating Expense</v>
      </c>
      <c r="B4014" s="33" t="str">
        <f t="shared" si="249"/>
        <v>DF2</v>
      </c>
      <c r="C4014" s="33" t="str">
        <f t="shared" si="250"/>
        <v>62550-7392</v>
      </c>
      <c r="D4014" s="64" t="s">
        <v>4973</v>
      </c>
      <c r="E4014" s="64" t="s">
        <v>3129</v>
      </c>
      <c r="F4014" s="64" t="s">
        <v>15</v>
      </c>
      <c r="G4014" s="64" t="s">
        <v>3035</v>
      </c>
      <c r="H4014" s="64" t="s">
        <v>3022</v>
      </c>
      <c r="I4014" s="64" t="s">
        <v>3130</v>
      </c>
      <c r="J4014" s="67">
        <v>430</v>
      </c>
      <c r="K4014" s="62">
        <v>9337.64</v>
      </c>
      <c r="L4014" s="33" t="e">
        <f>HLOOKUP(B4014,#REF!,1,0)</f>
        <v>#REF!</v>
      </c>
      <c r="M4014" s="33" t="str">
        <f t="shared" si="251"/>
        <v>P&amp;L</v>
      </c>
    </row>
    <row r="4015" spans="1:13" s="33" customFormat="true" ht="12.75" customHeight="true">
      <c r="A4015" s="33" t="str">
        <f t="shared" si="248"/>
        <v>DF2 - Operating Expense</v>
      </c>
      <c r="B4015" s="33" t="str">
        <f t="shared" si="249"/>
        <v>DF2</v>
      </c>
      <c r="C4015" s="33" t="str">
        <f t="shared" si="250"/>
        <v>62550-7487</v>
      </c>
      <c r="D4015" s="64" t="s">
        <v>4974</v>
      </c>
      <c r="E4015" s="64" t="s">
        <v>3129</v>
      </c>
      <c r="F4015" s="64" t="s">
        <v>15</v>
      </c>
      <c r="G4015" s="64" t="s">
        <v>3035</v>
      </c>
      <c r="H4015" s="64" t="s">
        <v>3022</v>
      </c>
      <c r="I4015" s="64" t="s">
        <v>3130</v>
      </c>
      <c r="J4015" s="67">
        <v>137.25</v>
      </c>
      <c r="K4015" s="62">
        <v>7490.49</v>
      </c>
      <c r="L4015" s="33" t="e">
        <f>HLOOKUP(B4015,#REF!,1,0)</f>
        <v>#REF!</v>
      </c>
      <c r="M4015" s="33" t="str">
        <f t="shared" si="251"/>
        <v>P&amp;L</v>
      </c>
    </row>
    <row r="4016" spans="1:13" s="33" customFormat="true" ht="12.75" customHeight="true">
      <c r="A4016" s="33" t="str">
        <f t="shared" si="248"/>
        <v>DF2 - Operating Expense</v>
      </c>
      <c r="B4016" s="33" t="str">
        <f t="shared" si="249"/>
        <v>DF2</v>
      </c>
      <c r="C4016" s="33" t="str">
        <f t="shared" si="250"/>
        <v>62550-7488</v>
      </c>
      <c r="D4016" s="64" t="s">
        <v>4975</v>
      </c>
      <c r="E4016" s="64" t="s">
        <v>3129</v>
      </c>
      <c r="F4016" s="64" t="s">
        <v>15</v>
      </c>
      <c r="G4016" s="64" t="s">
        <v>3035</v>
      </c>
      <c r="H4016" s="64" t="s">
        <v>3022</v>
      </c>
      <c r="I4016" s="64" t="s">
        <v>3130</v>
      </c>
      <c r="J4016" s="67">
        <v>0</v>
      </c>
      <c r="K4016" s="62">
        <v>2659.96</v>
      </c>
      <c r="L4016" s="33" t="e">
        <f>HLOOKUP(B4016,#REF!,1,0)</f>
        <v>#REF!</v>
      </c>
      <c r="M4016" s="33" t="str">
        <f t="shared" si="251"/>
        <v>P&amp;L</v>
      </c>
    </row>
    <row r="4017" spans="1:13" s="33" customFormat="true" ht="12.75" customHeight="true">
      <c r="A4017" s="33" t="str">
        <f t="shared" si="248"/>
        <v>DF2 - Operating Expense</v>
      </c>
      <c r="B4017" s="33" t="str">
        <f t="shared" si="249"/>
        <v>DF2</v>
      </c>
      <c r="C4017" s="33" t="str">
        <f t="shared" si="250"/>
        <v>62550-7495</v>
      </c>
      <c r="D4017" s="64" t="s">
        <v>4976</v>
      </c>
      <c r="E4017" s="64" t="s">
        <v>3129</v>
      </c>
      <c r="F4017" s="64" t="s">
        <v>15</v>
      </c>
      <c r="G4017" s="64" t="s">
        <v>3035</v>
      </c>
      <c r="H4017" s="64" t="s">
        <v>3022</v>
      </c>
      <c r="I4017" s="64" t="s">
        <v>3130</v>
      </c>
      <c r="J4017" s="67">
        <v>135</v>
      </c>
      <c r="K4017" s="62">
        <v>3308.46</v>
      </c>
      <c r="L4017" s="33" t="e">
        <f>HLOOKUP(B4017,#REF!,1,0)</f>
        <v>#REF!</v>
      </c>
      <c r="M4017" s="33" t="str">
        <f t="shared" si="251"/>
        <v>P&amp;L</v>
      </c>
    </row>
    <row r="4018" spans="1:13" s="33" customFormat="true" ht="12.75" customHeight="true">
      <c r="A4018" s="33" t="str">
        <f t="shared" si="248"/>
        <v>DF2 - Operating Expense</v>
      </c>
      <c r="B4018" s="33" t="str">
        <f t="shared" si="249"/>
        <v>DF2</v>
      </c>
      <c r="C4018" s="33" t="str">
        <f t="shared" si="250"/>
        <v>62551-7367</v>
      </c>
      <c r="D4018" s="64" t="s">
        <v>4977</v>
      </c>
      <c r="E4018" s="64" t="s">
        <v>3132</v>
      </c>
      <c r="F4018" s="64" t="s">
        <v>15</v>
      </c>
      <c r="G4018" s="64" t="s">
        <v>3035</v>
      </c>
      <c r="H4018" s="64" t="s">
        <v>3022</v>
      </c>
      <c r="I4018" s="64" t="s">
        <v>3130</v>
      </c>
      <c r="J4018" s="67">
        <v>126.31</v>
      </c>
      <c r="K4018" s="62">
        <v>2598.7</v>
      </c>
      <c r="L4018" s="33" t="e">
        <f>HLOOKUP(B4018,#REF!,1,0)</f>
        <v>#REF!</v>
      </c>
      <c r="M4018" s="33" t="str">
        <f t="shared" si="251"/>
        <v>P&amp;L</v>
      </c>
    </row>
    <row r="4019" spans="1:13" s="33" customFormat="true" ht="12.75" customHeight="true">
      <c r="A4019" s="33" t="str">
        <f t="shared" si="248"/>
        <v>DF2 - Operating Expense</v>
      </c>
      <c r="B4019" s="33" t="str">
        <f t="shared" si="249"/>
        <v>DF2</v>
      </c>
      <c r="C4019" s="33" t="str">
        <f t="shared" si="250"/>
        <v>62551-7392</v>
      </c>
      <c r="D4019" s="64" t="s">
        <v>4978</v>
      </c>
      <c r="E4019" s="64" t="s">
        <v>3132</v>
      </c>
      <c r="F4019" s="64" t="s">
        <v>15</v>
      </c>
      <c r="G4019" s="64" t="s">
        <v>3035</v>
      </c>
      <c r="H4019" s="64" t="s">
        <v>3022</v>
      </c>
      <c r="I4019" s="64" t="s">
        <v>3130</v>
      </c>
      <c r="J4019" s="67">
        <v>725.92</v>
      </c>
      <c r="K4019" s="62">
        <v>5337.41</v>
      </c>
      <c r="L4019" s="33" t="e">
        <f>HLOOKUP(B4019,#REF!,1,0)</f>
        <v>#REF!</v>
      </c>
      <c r="M4019" s="33" t="str">
        <f t="shared" si="251"/>
        <v>P&amp;L</v>
      </c>
    </row>
    <row r="4020" spans="1:13" s="33" customFormat="true" ht="12.75" customHeight="true">
      <c r="A4020" s="33" t="str">
        <f t="shared" si="248"/>
        <v>DF2 - Operating Expense</v>
      </c>
      <c r="B4020" s="33" t="str">
        <f t="shared" si="249"/>
        <v>DF2</v>
      </c>
      <c r="C4020" s="33" t="str">
        <f t="shared" si="250"/>
        <v>62551-7487</v>
      </c>
      <c r="D4020" s="64" t="s">
        <v>4979</v>
      </c>
      <c r="E4020" s="64" t="s">
        <v>3132</v>
      </c>
      <c r="F4020" s="64" t="s">
        <v>15</v>
      </c>
      <c r="G4020" s="64" t="s">
        <v>3035</v>
      </c>
      <c r="H4020" s="64" t="s">
        <v>3022</v>
      </c>
      <c r="I4020" s="64" t="s">
        <v>3130</v>
      </c>
      <c r="J4020" s="67">
        <v>4.5</v>
      </c>
      <c r="K4020" s="62">
        <v>3766.6</v>
      </c>
      <c r="L4020" s="33" t="e">
        <f>HLOOKUP(B4020,#REF!,1,0)</f>
        <v>#REF!</v>
      </c>
      <c r="M4020" s="33" t="str">
        <f t="shared" si="251"/>
        <v>P&amp;L</v>
      </c>
    </row>
    <row r="4021" spans="1:13" s="33" customFormat="true" ht="12.75" customHeight="true">
      <c r="A4021" s="33" t="str">
        <f t="shared" si="248"/>
        <v>DF2 - Operating Expense</v>
      </c>
      <c r="B4021" s="33" t="str">
        <f t="shared" si="249"/>
        <v>DF2</v>
      </c>
      <c r="C4021" s="33" t="str">
        <f t="shared" si="250"/>
        <v>62551-7488</v>
      </c>
      <c r="D4021" s="64" t="s">
        <v>4980</v>
      </c>
      <c r="E4021" s="64" t="s">
        <v>3132</v>
      </c>
      <c r="F4021" s="64" t="s">
        <v>15</v>
      </c>
      <c r="G4021" s="64" t="s">
        <v>3035</v>
      </c>
      <c r="H4021" s="64" t="s">
        <v>3022</v>
      </c>
      <c r="I4021" s="64" t="s">
        <v>3130</v>
      </c>
      <c r="J4021" s="67">
        <v>0</v>
      </c>
      <c r="K4021" s="62">
        <v>474.91</v>
      </c>
      <c r="L4021" s="33" t="e">
        <f>HLOOKUP(B4021,#REF!,1,0)</f>
        <v>#REF!</v>
      </c>
      <c r="M4021" s="33" t="str">
        <f t="shared" si="251"/>
        <v>P&amp;L</v>
      </c>
    </row>
    <row r="4022" spans="1:13" s="33" customFormat="true" ht="12.75" customHeight="true">
      <c r="A4022" s="33" t="str">
        <f t="shared" si="248"/>
        <v>DF2 - Operating Expense</v>
      </c>
      <c r="B4022" s="33" t="str">
        <f t="shared" si="249"/>
        <v>DF2</v>
      </c>
      <c r="C4022" s="33" t="str">
        <f t="shared" si="250"/>
        <v>62551-7495</v>
      </c>
      <c r="D4022" s="64" t="s">
        <v>4981</v>
      </c>
      <c r="E4022" s="64" t="s">
        <v>3132</v>
      </c>
      <c r="F4022" s="64" t="s">
        <v>15</v>
      </c>
      <c r="G4022" s="64" t="s">
        <v>3035</v>
      </c>
      <c r="H4022" s="64" t="s">
        <v>3022</v>
      </c>
      <c r="I4022" s="64" t="s">
        <v>3130</v>
      </c>
      <c r="J4022" s="67">
        <v>0</v>
      </c>
      <c r="K4022" s="62">
        <v>1075.6</v>
      </c>
      <c r="L4022" s="33" t="e">
        <f>HLOOKUP(B4022,#REF!,1,0)</f>
        <v>#REF!</v>
      </c>
      <c r="M4022" s="33" t="str">
        <f t="shared" si="251"/>
        <v>P&amp;L</v>
      </c>
    </row>
    <row r="4023" spans="1:13" s="33" customFormat="true" ht="12.75" customHeight="true">
      <c r="A4023" s="33" t="str">
        <f t="shared" si="248"/>
        <v>DF2 - Operating Expense</v>
      </c>
      <c r="B4023" s="33" t="str">
        <f t="shared" si="249"/>
        <v>DF2</v>
      </c>
      <c r="C4023" s="33" t="str">
        <f t="shared" si="250"/>
        <v>63001-7367</v>
      </c>
      <c r="D4023" s="64" t="s">
        <v>4982</v>
      </c>
      <c r="E4023" s="64" t="s">
        <v>3134</v>
      </c>
      <c r="F4023" s="64" t="s">
        <v>15</v>
      </c>
      <c r="G4023" s="64" t="s">
        <v>3035</v>
      </c>
      <c r="H4023" s="64" t="s">
        <v>3022</v>
      </c>
      <c r="I4023" s="64" t="s">
        <v>3036</v>
      </c>
      <c r="J4023" s="67">
        <v>0</v>
      </c>
      <c r="K4023" s="62">
        <v>250</v>
      </c>
      <c r="L4023" s="33" t="e">
        <f>HLOOKUP(B4023,#REF!,1,0)</f>
        <v>#REF!</v>
      </c>
      <c r="M4023" s="33" t="str">
        <f t="shared" si="251"/>
        <v>P&amp;L</v>
      </c>
    </row>
    <row r="4024" spans="1:13" s="33" customFormat="true" ht="12.75" customHeight="true">
      <c r="A4024" s="33" t="str">
        <f t="shared" si="248"/>
        <v>DF2 - Operating Expense</v>
      </c>
      <c r="B4024" s="33" t="str">
        <f t="shared" si="249"/>
        <v>DF2</v>
      </c>
      <c r="C4024" s="33" t="str">
        <f t="shared" si="250"/>
        <v>63001-7392</v>
      </c>
      <c r="D4024" s="64" t="s">
        <v>4983</v>
      </c>
      <c r="E4024" s="64" t="s">
        <v>3134</v>
      </c>
      <c r="F4024" s="64" t="s">
        <v>15</v>
      </c>
      <c r="G4024" s="64" t="s">
        <v>3035</v>
      </c>
      <c r="H4024" s="64" t="s">
        <v>3022</v>
      </c>
      <c r="I4024" s="64" t="s">
        <v>3036</v>
      </c>
      <c r="J4024" s="67">
        <v>0</v>
      </c>
      <c r="K4024" s="62">
        <v>250</v>
      </c>
      <c r="L4024" s="33" t="e">
        <f>HLOOKUP(B4024,#REF!,1,0)</f>
        <v>#REF!</v>
      </c>
      <c r="M4024" s="33" t="str">
        <f t="shared" si="251"/>
        <v>P&amp;L</v>
      </c>
    </row>
    <row r="4025" spans="1:13" s="33" customFormat="true" ht="12.75" customHeight="true">
      <c r="A4025" s="33" t="str">
        <f t="shared" si="248"/>
        <v>DF2 - Operating Expense</v>
      </c>
      <c r="B4025" s="33" t="str">
        <f t="shared" si="249"/>
        <v>DF2</v>
      </c>
      <c r="C4025" s="33" t="str">
        <f t="shared" si="250"/>
        <v>63001-7487</v>
      </c>
      <c r="D4025" s="64" t="s">
        <v>4984</v>
      </c>
      <c r="E4025" s="64" t="s">
        <v>3134</v>
      </c>
      <c r="F4025" s="64" t="s">
        <v>15</v>
      </c>
      <c r="G4025" s="64" t="s">
        <v>3035</v>
      </c>
      <c r="H4025" s="64" t="s">
        <v>3022</v>
      </c>
      <c r="I4025" s="64" t="s">
        <v>3036</v>
      </c>
      <c r="J4025" s="67">
        <v>329.5</v>
      </c>
      <c r="K4025" s="62">
        <v>839.5</v>
      </c>
      <c r="L4025" s="33" t="e">
        <f>HLOOKUP(B4025,#REF!,1,0)</f>
        <v>#REF!</v>
      </c>
      <c r="M4025" s="33" t="str">
        <f t="shared" si="251"/>
        <v>P&amp;L</v>
      </c>
    </row>
    <row r="4026" spans="1:13" s="33" customFormat="true" ht="12.75" customHeight="true">
      <c r="A4026" s="33" t="str">
        <f t="shared" si="248"/>
        <v>DF2 - Operating Expense</v>
      </c>
      <c r="B4026" s="33" t="str">
        <f t="shared" si="249"/>
        <v>DF2</v>
      </c>
      <c r="C4026" s="33" t="str">
        <f t="shared" si="250"/>
        <v>63001-7488</v>
      </c>
      <c r="D4026" s="64" t="s">
        <v>4985</v>
      </c>
      <c r="E4026" s="64" t="s">
        <v>3134</v>
      </c>
      <c r="F4026" s="64" t="s">
        <v>15</v>
      </c>
      <c r="G4026" s="64" t="s">
        <v>3035</v>
      </c>
      <c r="H4026" s="64" t="s">
        <v>3022</v>
      </c>
      <c r="I4026" s="64" t="s">
        <v>3036</v>
      </c>
      <c r="J4026" s="67">
        <v>324.5</v>
      </c>
      <c r="K4026" s="62">
        <v>834.5</v>
      </c>
      <c r="L4026" s="33" t="e">
        <f>HLOOKUP(B4026,#REF!,1,0)</f>
        <v>#REF!</v>
      </c>
      <c r="M4026" s="33" t="str">
        <f t="shared" si="251"/>
        <v>P&amp;L</v>
      </c>
    </row>
    <row r="4027" spans="1:13" s="33" customFormat="true" ht="12.75" customHeight="true">
      <c r="A4027" s="33" t="str">
        <f t="shared" si="248"/>
        <v>DF2 - Operating Expense</v>
      </c>
      <c r="B4027" s="33" t="str">
        <f t="shared" si="249"/>
        <v>DF2</v>
      </c>
      <c r="C4027" s="33" t="str">
        <f t="shared" si="250"/>
        <v>63001-7495</v>
      </c>
      <c r="D4027" s="64" t="s">
        <v>4986</v>
      </c>
      <c r="E4027" s="64" t="s">
        <v>3134</v>
      </c>
      <c r="F4027" s="64" t="s">
        <v>15</v>
      </c>
      <c r="G4027" s="64" t="s">
        <v>3035</v>
      </c>
      <c r="H4027" s="64" t="s">
        <v>3022</v>
      </c>
      <c r="I4027" s="64" t="s">
        <v>3036</v>
      </c>
      <c r="J4027" s="67">
        <v>0</v>
      </c>
      <c r="K4027" s="62">
        <v>696.5</v>
      </c>
      <c r="L4027" s="33" t="e">
        <f>HLOOKUP(B4027,#REF!,1,0)</f>
        <v>#REF!</v>
      </c>
      <c r="M4027" s="33" t="str">
        <f t="shared" si="251"/>
        <v>P&amp;L</v>
      </c>
    </row>
    <row r="4028" spans="1:13" s="33" customFormat="true" ht="12.75" customHeight="true">
      <c r="A4028" s="33" t="str">
        <f t="shared" si="248"/>
        <v>DF2 - Operating Expense</v>
      </c>
      <c r="B4028" s="33" t="str">
        <f t="shared" si="249"/>
        <v>DF2</v>
      </c>
      <c r="C4028" s="33" t="str">
        <f t="shared" si="250"/>
        <v>63003-7487</v>
      </c>
      <c r="D4028" s="64" t="s">
        <v>4987</v>
      </c>
      <c r="E4028" s="64" t="s">
        <v>4988</v>
      </c>
      <c r="F4028" s="64" t="s">
        <v>15</v>
      </c>
      <c r="G4028" s="64" t="s">
        <v>3035</v>
      </c>
      <c r="H4028" s="64" t="s">
        <v>3022</v>
      </c>
      <c r="I4028" s="64" t="s">
        <v>3140</v>
      </c>
      <c r="J4028" s="67">
        <v>422.5</v>
      </c>
      <c r="K4028" s="62">
        <v>2640.1</v>
      </c>
      <c r="L4028" s="33" t="e">
        <f>HLOOKUP(B4028,#REF!,1,0)</f>
        <v>#REF!</v>
      </c>
      <c r="M4028" s="33" t="str">
        <f t="shared" si="251"/>
        <v>P&amp;L</v>
      </c>
    </row>
    <row r="4029" spans="1:13" s="33" customFormat="true" ht="12.75" customHeight="true">
      <c r="A4029" s="33" t="str">
        <f t="shared" si="248"/>
        <v>DF2 - Operating Expense</v>
      </c>
      <c r="B4029" s="33" t="str">
        <f t="shared" si="249"/>
        <v>DF2</v>
      </c>
      <c r="C4029" s="33" t="str">
        <f t="shared" si="250"/>
        <v>63003-7488</v>
      </c>
      <c r="D4029" s="64" t="s">
        <v>4989</v>
      </c>
      <c r="E4029" s="64" t="s">
        <v>4988</v>
      </c>
      <c r="F4029" s="64" t="s">
        <v>15</v>
      </c>
      <c r="G4029" s="64" t="s">
        <v>3035</v>
      </c>
      <c r="H4029" s="64" t="s">
        <v>3022</v>
      </c>
      <c r="I4029" s="64" t="s">
        <v>3140</v>
      </c>
      <c r="J4029" s="67">
        <v>0</v>
      </c>
      <c r="K4029" s="62">
        <v>1490.49</v>
      </c>
      <c r="L4029" s="33" t="e">
        <f>HLOOKUP(B4029,#REF!,1,0)</f>
        <v>#REF!</v>
      </c>
      <c r="M4029" s="33" t="str">
        <f t="shared" si="251"/>
        <v>P&amp;L</v>
      </c>
    </row>
    <row r="4030" spans="1:13" s="33" customFormat="true" ht="12.75" customHeight="true">
      <c r="A4030" s="33" t="str">
        <f t="shared" si="248"/>
        <v>DF2 - Operating Expense</v>
      </c>
      <c r="B4030" s="33" t="str">
        <f t="shared" si="249"/>
        <v>DF2</v>
      </c>
      <c r="C4030" s="33" t="str">
        <f t="shared" si="250"/>
        <v>63003-7495</v>
      </c>
      <c r="D4030" s="64" t="s">
        <v>4990</v>
      </c>
      <c r="E4030" s="64" t="s">
        <v>4988</v>
      </c>
      <c r="F4030" s="64" t="s">
        <v>15</v>
      </c>
      <c r="G4030" s="64" t="s">
        <v>3035</v>
      </c>
      <c r="H4030" s="64" t="s">
        <v>3022</v>
      </c>
      <c r="I4030" s="64" t="s">
        <v>3140</v>
      </c>
      <c r="J4030" s="67">
        <v>1092.93</v>
      </c>
      <c r="K4030" s="62">
        <v>2028.15</v>
      </c>
      <c r="L4030" s="33" t="e">
        <f>HLOOKUP(B4030,#REF!,1,0)</f>
        <v>#REF!</v>
      </c>
      <c r="M4030" s="33" t="str">
        <f t="shared" si="251"/>
        <v>P&amp;L</v>
      </c>
    </row>
    <row r="4031" spans="1:13" s="33" customFormat="true" ht="12.75" customHeight="true">
      <c r="A4031" s="33" t="str">
        <f t="shared" si="248"/>
        <v>DF2 - Operating Expense</v>
      </c>
      <c r="B4031" s="33" t="str">
        <f t="shared" si="249"/>
        <v>DF2</v>
      </c>
      <c r="C4031" s="33" t="str">
        <f t="shared" si="250"/>
        <v>63004-7367</v>
      </c>
      <c r="D4031" s="64" t="s">
        <v>4991</v>
      </c>
      <c r="E4031" s="64" t="s">
        <v>3139</v>
      </c>
      <c r="F4031" s="64" t="s">
        <v>15</v>
      </c>
      <c r="G4031" s="64" t="s">
        <v>3035</v>
      </c>
      <c r="H4031" s="64" t="s">
        <v>3022</v>
      </c>
      <c r="I4031" s="64" t="s">
        <v>3140</v>
      </c>
      <c r="J4031" s="67">
        <v>190</v>
      </c>
      <c r="K4031" s="62">
        <v>1900</v>
      </c>
      <c r="L4031" s="33" t="e">
        <f>HLOOKUP(B4031,#REF!,1,0)</f>
        <v>#REF!</v>
      </c>
      <c r="M4031" s="33" t="str">
        <f t="shared" si="251"/>
        <v>P&amp;L</v>
      </c>
    </row>
    <row r="4032" spans="1:13" s="33" customFormat="true" ht="12.75" customHeight="true">
      <c r="A4032" s="33" t="str">
        <f t="shared" si="248"/>
        <v>DF2 - Operating Expense</v>
      </c>
      <c r="B4032" s="33" t="str">
        <f t="shared" si="249"/>
        <v>DF2</v>
      </c>
      <c r="C4032" s="33" t="str">
        <f t="shared" si="250"/>
        <v>63004-7392</v>
      </c>
      <c r="D4032" s="64" t="s">
        <v>4992</v>
      </c>
      <c r="E4032" s="64" t="s">
        <v>3139</v>
      </c>
      <c r="F4032" s="64" t="s">
        <v>15</v>
      </c>
      <c r="G4032" s="64" t="s">
        <v>3035</v>
      </c>
      <c r="H4032" s="64" t="s">
        <v>3022</v>
      </c>
      <c r="I4032" s="64" t="s">
        <v>3140</v>
      </c>
      <c r="J4032" s="67">
        <v>0</v>
      </c>
      <c r="K4032" s="62">
        <v>125</v>
      </c>
      <c r="L4032" s="33" t="e">
        <f>HLOOKUP(B4032,#REF!,1,0)</f>
        <v>#REF!</v>
      </c>
      <c r="M4032" s="33" t="str">
        <f t="shared" si="251"/>
        <v>P&amp;L</v>
      </c>
    </row>
    <row r="4033" spans="1:13" s="33" customFormat="true" ht="12.75" customHeight="true">
      <c r="A4033" s="33" t="str">
        <f t="shared" si="248"/>
        <v>DF2 - Operating Expense</v>
      </c>
      <c r="B4033" s="33" t="str">
        <f t="shared" si="249"/>
        <v>DF2</v>
      </c>
      <c r="C4033" s="33" t="str">
        <f t="shared" si="250"/>
        <v>63004-7487</v>
      </c>
      <c r="D4033" s="64" t="s">
        <v>4993</v>
      </c>
      <c r="E4033" s="64" t="s">
        <v>3139</v>
      </c>
      <c r="F4033" s="64" t="s">
        <v>15</v>
      </c>
      <c r="G4033" s="64" t="s">
        <v>3035</v>
      </c>
      <c r="H4033" s="64" t="s">
        <v>3022</v>
      </c>
      <c r="I4033" s="64" t="s">
        <v>3140</v>
      </c>
      <c r="J4033" s="67">
        <v>235</v>
      </c>
      <c r="K4033" s="62">
        <v>2830.15</v>
      </c>
      <c r="L4033" s="33" t="e">
        <f>HLOOKUP(B4033,#REF!,1,0)</f>
        <v>#REF!</v>
      </c>
      <c r="M4033" s="33" t="str">
        <f t="shared" si="251"/>
        <v>P&amp;L</v>
      </c>
    </row>
    <row r="4034" spans="1:13" s="33" customFormat="true" ht="12.75" customHeight="true">
      <c r="A4034" s="33" t="str">
        <f t="shared" ref="A4034:A4097" si="252">B4034&amp;" - "&amp;TRIM(H4034)</f>
        <v>DF2 - Operating Expense</v>
      </c>
      <c r="B4034" s="33" t="str">
        <f t="shared" ref="B4034:B4097" si="253">LEFT(D4034,3)</f>
        <v>DF2</v>
      </c>
      <c r="C4034" s="33" t="str">
        <f t="shared" ref="C4034:C4097" si="254">RIGHT(D4034,10)</f>
        <v>63004-7495</v>
      </c>
      <c r="D4034" s="64" t="s">
        <v>4994</v>
      </c>
      <c r="E4034" s="64" t="s">
        <v>3139</v>
      </c>
      <c r="F4034" s="64" t="s">
        <v>15</v>
      </c>
      <c r="G4034" s="64" t="s">
        <v>3035</v>
      </c>
      <c r="H4034" s="64" t="s">
        <v>3022</v>
      </c>
      <c r="I4034" s="64" t="s">
        <v>3140</v>
      </c>
      <c r="J4034" s="67">
        <v>-40</v>
      </c>
      <c r="K4034" s="62">
        <v>1590</v>
      </c>
      <c r="L4034" s="33" t="e">
        <f>HLOOKUP(B4034,#REF!,1,0)</f>
        <v>#REF!</v>
      </c>
      <c r="M4034" s="33" t="str">
        <f t="shared" ref="M4034:M4097" si="255">IF(VALUE(LEFT(C4034,5))&gt;40000,"P&amp;L","BS")</f>
        <v>P&amp;L</v>
      </c>
    </row>
    <row r="4035" spans="1:13" s="33" customFormat="true" ht="12.75" customHeight="true">
      <c r="A4035" s="33" t="str">
        <f t="shared" si="252"/>
        <v>DF2 - Operating Expense</v>
      </c>
      <c r="B4035" s="33" t="str">
        <f t="shared" si="253"/>
        <v>DF2</v>
      </c>
      <c r="C4035" s="33" t="str">
        <f t="shared" si="254"/>
        <v>63005-7367</v>
      </c>
      <c r="D4035" s="64" t="s">
        <v>4995</v>
      </c>
      <c r="E4035" s="64" t="s">
        <v>4996</v>
      </c>
      <c r="F4035" s="64" t="s">
        <v>15</v>
      </c>
      <c r="G4035" s="64" t="s">
        <v>3035</v>
      </c>
      <c r="H4035" s="64" t="s">
        <v>3022</v>
      </c>
      <c r="I4035" s="64" t="s">
        <v>3036</v>
      </c>
      <c r="J4035" s="67">
        <v>0</v>
      </c>
      <c r="K4035" s="62">
        <v>246</v>
      </c>
      <c r="L4035" s="33" t="e">
        <f>HLOOKUP(B4035,#REF!,1,0)</f>
        <v>#REF!</v>
      </c>
      <c r="M4035" s="33" t="str">
        <f t="shared" si="255"/>
        <v>P&amp;L</v>
      </c>
    </row>
    <row r="4036" spans="1:13" s="33" customFormat="true" ht="12.75" customHeight="true">
      <c r="A4036" s="33" t="str">
        <f t="shared" si="252"/>
        <v>DF2 - Operating Expense</v>
      </c>
      <c r="B4036" s="33" t="str">
        <f t="shared" si="253"/>
        <v>DF2</v>
      </c>
      <c r="C4036" s="33" t="str">
        <f t="shared" si="254"/>
        <v>63005-7392</v>
      </c>
      <c r="D4036" s="64" t="s">
        <v>4997</v>
      </c>
      <c r="E4036" s="64" t="s">
        <v>4996</v>
      </c>
      <c r="F4036" s="64" t="s">
        <v>15</v>
      </c>
      <c r="G4036" s="64" t="s">
        <v>3035</v>
      </c>
      <c r="H4036" s="64" t="s">
        <v>3022</v>
      </c>
      <c r="I4036" s="64" t="s">
        <v>3036</v>
      </c>
      <c r="J4036" s="67">
        <v>0</v>
      </c>
      <c r="K4036" s="62">
        <v>125.5</v>
      </c>
      <c r="L4036" s="33" t="e">
        <f>HLOOKUP(B4036,#REF!,1,0)</f>
        <v>#REF!</v>
      </c>
      <c r="M4036" s="33" t="str">
        <f t="shared" si="255"/>
        <v>P&amp;L</v>
      </c>
    </row>
    <row r="4037" spans="1:13" s="33" customFormat="true" ht="12.75" customHeight="true">
      <c r="A4037" s="33" t="str">
        <f t="shared" si="252"/>
        <v>DF2 - Operating Expense</v>
      </c>
      <c r="B4037" s="33" t="str">
        <f t="shared" si="253"/>
        <v>DF2</v>
      </c>
      <c r="C4037" s="33" t="str">
        <f t="shared" si="254"/>
        <v>63005-7487</v>
      </c>
      <c r="D4037" s="64" t="s">
        <v>4998</v>
      </c>
      <c r="E4037" s="64" t="s">
        <v>4996</v>
      </c>
      <c r="F4037" s="64" t="s">
        <v>15</v>
      </c>
      <c r="G4037" s="64" t="s">
        <v>3035</v>
      </c>
      <c r="H4037" s="64" t="s">
        <v>3022</v>
      </c>
      <c r="I4037" s="64" t="s">
        <v>3036</v>
      </c>
      <c r="J4037" s="67">
        <v>0</v>
      </c>
      <c r="K4037" s="62">
        <v>251</v>
      </c>
      <c r="L4037" s="33" t="e">
        <f>HLOOKUP(B4037,#REF!,1,0)</f>
        <v>#REF!</v>
      </c>
      <c r="M4037" s="33" t="str">
        <f t="shared" si="255"/>
        <v>P&amp;L</v>
      </c>
    </row>
    <row r="4038" spans="1:13" s="33" customFormat="true" ht="12.75" customHeight="true">
      <c r="A4038" s="33" t="str">
        <f t="shared" si="252"/>
        <v>DF2 - Operating Expense</v>
      </c>
      <c r="B4038" s="33" t="str">
        <f t="shared" si="253"/>
        <v>DF2</v>
      </c>
      <c r="C4038" s="33" t="str">
        <f t="shared" si="254"/>
        <v>63005-7488</v>
      </c>
      <c r="D4038" s="64" t="s">
        <v>4999</v>
      </c>
      <c r="E4038" s="64" t="s">
        <v>4996</v>
      </c>
      <c r="F4038" s="64" t="s">
        <v>15</v>
      </c>
      <c r="G4038" s="64" t="s">
        <v>3035</v>
      </c>
      <c r="H4038" s="64" t="s">
        <v>3022</v>
      </c>
      <c r="I4038" s="64" t="s">
        <v>3036</v>
      </c>
      <c r="J4038" s="67">
        <v>0</v>
      </c>
      <c r="K4038" s="62">
        <v>246</v>
      </c>
      <c r="L4038" s="33" t="e">
        <f>HLOOKUP(B4038,#REF!,1,0)</f>
        <v>#REF!</v>
      </c>
      <c r="M4038" s="33" t="str">
        <f t="shared" si="255"/>
        <v>P&amp;L</v>
      </c>
    </row>
    <row r="4039" spans="1:13" s="33" customFormat="true" ht="12.75" customHeight="true">
      <c r="A4039" s="33" t="str">
        <f t="shared" si="252"/>
        <v>DF2 - Operating Expense</v>
      </c>
      <c r="B4039" s="33" t="str">
        <f t="shared" si="253"/>
        <v>DF2</v>
      </c>
      <c r="C4039" s="33" t="str">
        <f t="shared" si="254"/>
        <v>63005-7495</v>
      </c>
      <c r="D4039" s="64" t="s">
        <v>5000</v>
      </c>
      <c r="E4039" s="64" t="s">
        <v>4996</v>
      </c>
      <c r="F4039" s="64" t="s">
        <v>15</v>
      </c>
      <c r="G4039" s="64" t="s">
        <v>3035</v>
      </c>
      <c r="H4039" s="64" t="s">
        <v>3022</v>
      </c>
      <c r="I4039" s="64" t="s">
        <v>3036</v>
      </c>
      <c r="J4039" s="67">
        <v>0</v>
      </c>
      <c r="K4039" s="62">
        <v>302</v>
      </c>
      <c r="L4039" s="33" t="e">
        <f>HLOOKUP(B4039,#REF!,1,0)</f>
        <v>#REF!</v>
      </c>
      <c r="M4039" s="33" t="str">
        <f t="shared" si="255"/>
        <v>P&amp;L</v>
      </c>
    </row>
    <row r="4040" spans="1:13" s="33" customFormat="true" ht="12.75" customHeight="true">
      <c r="A4040" s="33" t="str">
        <f t="shared" si="252"/>
        <v>DF2 - Operating Expense</v>
      </c>
      <c r="B4040" s="33" t="str">
        <f t="shared" si="253"/>
        <v>DF2</v>
      </c>
      <c r="C4040" s="33" t="str">
        <f t="shared" si="254"/>
        <v>63006-7392</v>
      </c>
      <c r="D4040" s="64" t="s">
        <v>5001</v>
      </c>
      <c r="E4040" s="64" t="s">
        <v>3146</v>
      </c>
      <c r="F4040" s="64" t="s">
        <v>15</v>
      </c>
      <c r="G4040" s="64" t="s">
        <v>3035</v>
      </c>
      <c r="H4040" s="64" t="s">
        <v>3022</v>
      </c>
      <c r="I4040" s="64" t="s">
        <v>3036</v>
      </c>
      <c r="J4040" s="67">
        <v>215</v>
      </c>
      <c r="K4040" s="62">
        <v>645</v>
      </c>
      <c r="L4040" s="33" t="e">
        <f>HLOOKUP(B4040,#REF!,1,0)</f>
        <v>#REF!</v>
      </c>
      <c r="M4040" s="33" t="str">
        <f t="shared" si="255"/>
        <v>P&amp;L</v>
      </c>
    </row>
    <row r="4041" spans="1:13" s="33" customFormat="true" ht="12.75" customHeight="true">
      <c r="A4041" s="33" t="str">
        <f t="shared" si="252"/>
        <v>DF2 - Operating Expense</v>
      </c>
      <c r="B4041" s="33" t="str">
        <f t="shared" si="253"/>
        <v>DF2</v>
      </c>
      <c r="C4041" s="33" t="str">
        <f t="shared" si="254"/>
        <v>63006-7488</v>
      </c>
      <c r="D4041" s="64" t="s">
        <v>5002</v>
      </c>
      <c r="E4041" s="64" t="s">
        <v>3146</v>
      </c>
      <c r="F4041" s="64" t="s">
        <v>15</v>
      </c>
      <c r="G4041" s="64" t="s">
        <v>3035</v>
      </c>
      <c r="H4041" s="64" t="s">
        <v>3022</v>
      </c>
      <c r="I4041" s="64" t="s">
        <v>3036</v>
      </c>
      <c r="J4041" s="67">
        <v>0</v>
      </c>
      <c r="K4041" s="62">
        <v>215</v>
      </c>
      <c r="L4041" s="33" t="e">
        <f>HLOOKUP(B4041,#REF!,1,0)</f>
        <v>#REF!</v>
      </c>
      <c r="M4041" s="33" t="str">
        <f t="shared" si="255"/>
        <v>P&amp;L</v>
      </c>
    </row>
    <row r="4042" spans="1:13" s="33" customFormat="true" ht="12.75" customHeight="true">
      <c r="A4042" s="33" t="str">
        <f t="shared" si="252"/>
        <v>DF2 - Operating Expense</v>
      </c>
      <c r="B4042" s="33" t="str">
        <f t="shared" si="253"/>
        <v>DF2</v>
      </c>
      <c r="C4042" s="33" t="str">
        <f t="shared" si="254"/>
        <v>63006-7495</v>
      </c>
      <c r="D4042" s="64" t="s">
        <v>5003</v>
      </c>
      <c r="E4042" s="64" t="s">
        <v>3146</v>
      </c>
      <c r="F4042" s="64" t="s">
        <v>15</v>
      </c>
      <c r="G4042" s="64" t="s">
        <v>3035</v>
      </c>
      <c r="H4042" s="64" t="s">
        <v>3022</v>
      </c>
      <c r="I4042" s="64" t="s">
        <v>3036</v>
      </c>
      <c r="J4042" s="67">
        <v>0</v>
      </c>
      <c r="K4042" s="62">
        <v>591</v>
      </c>
      <c r="L4042" s="33" t="e">
        <f>HLOOKUP(B4042,#REF!,1,0)</f>
        <v>#REF!</v>
      </c>
      <c r="M4042" s="33" t="str">
        <f t="shared" si="255"/>
        <v>P&amp;L</v>
      </c>
    </row>
    <row r="4043" spans="1:13" s="33" customFormat="true" ht="12.75" customHeight="true">
      <c r="A4043" s="33" t="str">
        <f t="shared" si="252"/>
        <v>DF2 - Operating Expense</v>
      </c>
      <c r="B4043" s="33" t="str">
        <f t="shared" si="253"/>
        <v>DF2</v>
      </c>
      <c r="C4043" s="33" t="str">
        <f t="shared" si="254"/>
        <v>63007-7392</v>
      </c>
      <c r="D4043" s="64" t="s">
        <v>5004</v>
      </c>
      <c r="E4043" s="64" t="s">
        <v>3151</v>
      </c>
      <c r="F4043" s="64" t="s">
        <v>15</v>
      </c>
      <c r="G4043" s="64" t="s">
        <v>3035</v>
      </c>
      <c r="H4043" s="64" t="s">
        <v>3022</v>
      </c>
      <c r="I4043" s="64" t="s">
        <v>3140</v>
      </c>
      <c r="J4043" s="67">
        <v>0</v>
      </c>
      <c r="K4043" s="62">
        <v>23.46</v>
      </c>
      <c r="L4043" s="33" t="e">
        <f>HLOOKUP(B4043,#REF!,1,0)</f>
        <v>#REF!</v>
      </c>
      <c r="M4043" s="33" t="str">
        <f t="shared" si="255"/>
        <v>P&amp;L</v>
      </c>
    </row>
    <row r="4044" spans="1:13" s="33" customFormat="true" ht="12.75" customHeight="true">
      <c r="A4044" s="33" t="str">
        <f t="shared" si="252"/>
        <v>DF2 - Operating Expense</v>
      </c>
      <c r="B4044" s="33" t="str">
        <f t="shared" si="253"/>
        <v>DF2</v>
      </c>
      <c r="C4044" s="33" t="str">
        <f t="shared" si="254"/>
        <v>63007-7495</v>
      </c>
      <c r="D4044" s="64" t="s">
        <v>5005</v>
      </c>
      <c r="E4044" s="64" t="s">
        <v>3151</v>
      </c>
      <c r="F4044" s="64" t="s">
        <v>15</v>
      </c>
      <c r="G4044" s="64" t="s">
        <v>3035</v>
      </c>
      <c r="H4044" s="64" t="s">
        <v>3022</v>
      </c>
      <c r="I4044" s="64" t="s">
        <v>3140</v>
      </c>
      <c r="J4044" s="67">
        <v>0</v>
      </c>
      <c r="K4044" s="62">
        <v>23.46</v>
      </c>
      <c r="L4044" s="33" t="e">
        <f>HLOOKUP(B4044,#REF!,1,0)</f>
        <v>#REF!</v>
      </c>
      <c r="M4044" s="33" t="str">
        <f t="shared" si="255"/>
        <v>P&amp;L</v>
      </c>
    </row>
    <row r="4045" spans="1:13" s="33" customFormat="true" ht="12.75" customHeight="true">
      <c r="A4045" s="33" t="str">
        <f t="shared" si="252"/>
        <v>DF2 - Operating Expense</v>
      </c>
      <c r="B4045" s="33" t="str">
        <f t="shared" si="253"/>
        <v>DF2</v>
      </c>
      <c r="C4045" s="33" t="str">
        <f t="shared" si="254"/>
        <v>63009-7367</v>
      </c>
      <c r="D4045" s="64" t="s">
        <v>5006</v>
      </c>
      <c r="E4045" s="64" t="s">
        <v>3155</v>
      </c>
      <c r="F4045" s="64" t="s">
        <v>15</v>
      </c>
      <c r="G4045" s="64" t="s">
        <v>3035</v>
      </c>
      <c r="H4045" s="64" t="s">
        <v>3022</v>
      </c>
      <c r="I4045" s="64" t="s">
        <v>3140</v>
      </c>
      <c r="J4045" s="67">
        <v>0</v>
      </c>
      <c r="K4045" s="62">
        <v>6877.18</v>
      </c>
      <c r="L4045" s="33" t="e">
        <f>HLOOKUP(B4045,#REF!,1,0)</f>
        <v>#REF!</v>
      </c>
      <c r="M4045" s="33" t="str">
        <f t="shared" si="255"/>
        <v>P&amp;L</v>
      </c>
    </row>
    <row r="4046" spans="1:13" s="33" customFormat="true" ht="12.75" customHeight="true">
      <c r="A4046" s="33" t="str">
        <f t="shared" si="252"/>
        <v>DF2 - Operating Expense</v>
      </c>
      <c r="B4046" s="33" t="str">
        <f t="shared" si="253"/>
        <v>DF2</v>
      </c>
      <c r="C4046" s="33" t="str">
        <f t="shared" si="254"/>
        <v>63009-7392</v>
      </c>
      <c r="D4046" s="64" t="s">
        <v>5007</v>
      </c>
      <c r="E4046" s="64" t="s">
        <v>3155</v>
      </c>
      <c r="F4046" s="64" t="s">
        <v>15</v>
      </c>
      <c r="G4046" s="64" t="s">
        <v>3035</v>
      </c>
      <c r="H4046" s="64" t="s">
        <v>3022</v>
      </c>
      <c r="I4046" s="64" t="s">
        <v>3140</v>
      </c>
      <c r="J4046" s="67">
        <v>0</v>
      </c>
      <c r="K4046" s="62">
        <v>379.53</v>
      </c>
      <c r="L4046" s="33" t="e">
        <f>HLOOKUP(B4046,#REF!,1,0)</f>
        <v>#REF!</v>
      </c>
      <c r="M4046" s="33" t="str">
        <f t="shared" si="255"/>
        <v>P&amp;L</v>
      </c>
    </row>
    <row r="4047" spans="1:13" s="33" customFormat="true" ht="12.75" customHeight="true">
      <c r="A4047" s="33" t="str">
        <f t="shared" si="252"/>
        <v>DF2 - Operating Expense</v>
      </c>
      <c r="B4047" s="33" t="str">
        <f t="shared" si="253"/>
        <v>DF2</v>
      </c>
      <c r="C4047" s="33" t="str">
        <f t="shared" si="254"/>
        <v>63009-7495</v>
      </c>
      <c r="D4047" s="64" t="s">
        <v>5008</v>
      </c>
      <c r="E4047" s="64" t="s">
        <v>3155</v>
      </c>
      <c r="F4047" s="64" t="s">
        <v>15</v>
      </c>
      <c r="G4047" s="64" t="s">
        <v>3035</v>
      </c>
      <c r="H4047" s="64" t="s">
        <v>3022</v>
      </c>
      <c r="I4047" s="64" t="s">
        <v>3140</v>
      </c>
      <c r="J4047" s="67">
        <v>0</v>
      </c>
      <c r="K4047" s="62">
        <v>523.23</v>
      </c>
      <c r="L4047" s="33" t="e">
        <f>HLOOKUP(B4047,#REF!,1,0)</f>
        <v>#REF!</v>
      </c>
      <c r="M4047" s="33" t="str">
        <f t="shared" si="255"/>
        <v>P&amp;L</v>
      </c>
    </row>
    <row r="4048" spans="1:13" s="33" customFormat="true" ht="12.75" customHeight="true">
      <c r="A4048" s="33" t="str">
        <f t="shared" si="252"/>
        <v>DF2 - Operating Expense</v>
      </c>
      <c r="B4048" s="33" t="str">
        <f t="shared" si="253"/>
        <v>DF2</v>
      </c>
      <c r="C4048" s="33" t="str">
        <f t="shared" si="254"/>
        <v>63501-0000</v>
      </c>
      <c r="D4048" s="64" t="s">
        <v>5009</v>
      </c>
      <c r="E4048" s="64" t="s">
        <v>3159</v>
      </c>
      <c r="F4048" s="64" t="s">
        <v>15</v>
      </c>
      <c r="G4048" s="64" t="s">
        <v>3160</v>
      </c>
      <c r="H4048" s="64" t="s">
        <v>3022</v>
      </c>
      <c r="I4048" s="64" t="s">
        <v>3161</v>
      </c>
      <c r="J4048" s="67">
        <v>0</v>
      </c>
      <c r="K4048" s="62">
        <v>74.91</v>
      </c>
      <c r="L4048" s="33" t="e">
        <f>HLOOKUP(B4048,#REF!,1,0)</f>
        <v>#REF!</v>
      </c>
      <c r="M4048" s="33" t="str">
        <f t="shared" si="255"/>
        <v>P&amp;L</v>
      </c>
    </row>
    <row r="4049" spans="1:13" s="33" customFormat="true" ht="12.75" customHeight="true">
      <c r="A4049" s="33" t="str">
        <f t="shared" si="252"/>
        <v>DF2 - Operating Expense</v>
      </c>
      <c r="B4049" s="33" t="str">
        <f t="shared" si="253"/>
        <v>DF2</v>
      </c>
      <c r="C4049" s="33" t="str">
        <f t="shared" si="254"/>
        <v>63501-7367</v>
      </c>
      <c r="D4049" s="64" t="s">
        <v>5010</v>
      </c>
      <c r="E4049" s="64" t="s">
        <v>3159</v>
      </c>
      <c r="F4049" s="64" t="s">
        <v>15</v>
      </c>
      <c r="G4049" s="64" t="s">
        <v>3160</v>
      </c>
      <c r="H4049" s="64" t="s">
        <v>3022</v>
      </c>
      <c r="I4049" s="64" t="s">
        <v>3161</v>
      </c>
      <c r="J4049" s="67">
        <v>173.52</v>
      </c>
      <c r="K4049" s="62">
        <v>1776.41</v>
      </c>
      <c r="L4049" s="33" t="e">
        <f>HLOOKUP(B4049,#REF!,1,0)</f>
        <v>#REF!</v>
      </c>
      <c r="M4049" s="33" t="str">
        <f t="shared" si="255"/>
        <v>P&amp;L</v>
      </c>
    </row>
    <row r="4050" spans="1:13" s="33" customFormat="true" ht="12.75" customHeight="true">
      <c r="A4050" s="33" t="str">
        <f t="shared" si="252"/>
        <v>DF2 - Operating Expense</v>
      </c>
      <c r="B4050" s="33" t="str">
        <f t="shared" si="253"/>
        <v>DF2</v>
      </c>
      <c r="C4050" s="33" t="str">
        <f t="shared" si="254"/>
        <v>63501-7392</v>
      </c>
      <c r="D4050" s="64" t="s">
        <v>5011</v>
      </c>
      <c r="E4050" s="64" t="s">
        <v>3159</v>
      </c>
      <c r="F4050" s="64" t="s">
        <v>15</v>
      </c>
      <c r="G4050" s="64" t="s">
        <v>3160</v>
      </c>
      <c r="H4050" s="64" t="s">
        <v>3022</v>
      </c>
      <c r="I4050" s="64" t="s">
        <v>3161</v>
      </c>
      <c r="J4050" s="67">
        <v>132.38</v>
      </c>
      <c r="K4050" s="62">
        <v>1375.01</v>
      </c>
      <c r="L4050" s="33" t="e">
        <f>HLOOKUP(B4050,#REF!,1,0)</f>
        <v>#REF!</v>
      </c>
      <c r="M4050" s="33" t="str">
        <f t="shared" si="255"/>
        <v>P&amp;L</v>
      </c>
    </row>
    <row r="4051" spans="1:13" s="33" customFormat="true" ht="12.75" customHeight="true">
      <c r="A4051" s="33" t="str">
        <f t="shared" si="252"/>
        <v>DF2 - Operating Expense</v>
      </c>
      <c r="B4051" s="33" t="str">
        <f t="shared" si="253"/>
        <v>DF2</v>
      </c>
      <c r="C4051" s="33" t="str">
        <f t="shared" si="254"/>
        <v>63501-7487</v>
      </c>
      <c r="D4051" s="64" t="s">
        <v>5012</v>
      </c>
      <c r="E4051" s="64" t="s">
        <v>3159</v>
      </c>
      <c r="F4051" s="64" t="s">
        <v>15</v>
      </c>
      <c r="G4051" s="64" t="s">
        <v>3160</v>
      </c>
      <c r="H4051" s="64" t="s">
        <v>3022</v>
      </c>
      <c r="I4051" s="64" t="s">
        <v>3161</v>
      </c>
      <c r="J4051" s="67">
        <v>198.51</v>
      </c>
      <c r="K4051" s="62">
        <v>1736.32</v>
      </c>
      <c r="L4051" s="33" t="e">
        <f>HLOOKUP(B4051,#REF!,1,0)</f>
        <v>#REF!</v>
      </c>
      <c r="M4051" s="33" t="str">
        <f t="shared" si="255"/>
        <v>P&amp;L</v>
      </c>
    </row>
    <row r="4052" spans="1:13" s="33" customFormat="true" ht="12.75" customHeight="true">
      <c r="A4052" s="33" t="str">
        <f t="shared" si="252"/>
        <v>DF2 - Operating Expense</v>
      </c>
      <c r="B4052" s="33" t="str">
        <f t="shared" si="253"/>
        <v>DF2</v>
      </c>
      <c r="C4052" s="33" t="str">
        <f t="shared" si="254"/>
        <v>63501-7488</v>
      </c>
      <c r="D4052" s="64" t="s">
        <v>5013</v>
      </c>
      <c r="E4052" s="64" t="s">
        <v>3159</v>
      </c>
      <c r="F4052" s="64" t="s">
        <v>15</v>
      </c>
      <c r="G4052" s="64" t="s">
        <v>3160</v>
      </c>
      <c r="H4052" s="64" t="s">
        <v>3022</v>
      </c>
      <c r="I4052" s="64" t="s">
        <v>3161</v>
      </c>
      <c r="J4052" s="67">
        <v>118.61</v>
      </c>
      <c r="K4052" s="62">
        <v>1308.95</v>
      </c>
      <c r="L4052" s="33" t="e">
        <f>HLOOKUP(B4052,#REF!,1,0)</f>
        <v>#REF!</v>
      </c>
      <c r="M4052" s="33" t="str">
        <f t="shared" si="255"/>
        <v>P&amp;L</v>
      </c>
    </row>
    <row r="4053" spans="1:13" s="33" customFormat="true" ht="12.75" customHeight="true">
      <c r="A4053" s="33" t="str">
        <f t="shared" si="252"/>
        <v>DF2 - Operating Expense</v>
      </c>
      <c r="B4053" s="33" t="str">
        <f t="shared" si="253"/>
        <v>DF2</v>
      </c>
      <c r="C4053" s="33" t="str">
        <f t="shared" si="254"/>
        <v>63501-7495</v>
      </c>
      <c r="D4053" s="64" t="s">
        <v>5014</v>
      </c>
      <c r="E4053" s="64" t="s">
        <v>3159</v>
      </c>
      <c r="F4053" s="64" t="s">
        <v>15</v>
      </c>
      <c r="G4053" s="64" t="s">
        <v>3160</v>
      </c>
      <c r="H4053" s="64" t="s">
        <v>3022</v>
      </c>
      <c r="I4053" s="64" t="s">
        <v>3161</v>
      </c>
      <c r="J4053" s="67">
        <v>118.62</v>
      </c>
      <c r="K4053" s="62">
        <v>1268.96</v>
      </c>
      <c r="L4053" s="33" t="e">
        <f>HLOOKUP(B4053,#REF!,1,0)</f>
        <v>#REF!</v>
      </c>
      <c r="M4053" s="33" t="str">
        <f t="shared" si="255"/>
        <v>P&amp;L</v>
      </c>
    </row>
    <row r="4054" spans="1:13" s="33" customFormat="true" ht="12.75" customHeight="true">
      <c r="A4054" s="33" t="str">
        <f t="shared" si="252"/>
        <v>DF2 - Operating Expense</v>
      </c>
      <c r="B4054" s="33" t="str">
        <f t="shared" si="253"/>
        <v>DF2</v>
      </c>
      <c r="C4054" s="33" t="str">
        <f t="shared" si="254"/>
        <v>63502-7367</v>
      </c>
      <c r="D4054" s="64" t="s">
        <v>5015</v>
      </c>
      <c r="E4054" s="64" t="s">
        <v>3167</v>
      </c>
      <c r="F4054" s="64" t="s">
        <v>15</v>
      </c>
      <c r="G4054" s="64" t="s">
        <v>3160</v>
      </c>
      <c r="H4054" s="64" t="s">
        <v>3022</v>
      </c>
      <c r="I4054" s="64" t="s">
        <v>3168</v>
      </c>
      <c r="J4054" s="67">
        <v>4112.88</v>
      </c>
      <c r="K4054" s="62">
        <v>45069.56</v>
      </c>
      <c r="L4054" s="33" t="e">
        <f>HLOOKUP(B4054,#REF!,1,0)</f>
        <v>#REF!</v>
      </c>
      <c r="M4054" s="33" t="str">
        <f t="shared" si="255"/>
        <v>P&amp;L</v>
      </c>
    </row>
    <row r="4055" spans="1:13" s="33" customFormat="true" ht="12.75" customHeight="true">
      <c r="A4055" s="33" t="str">
        <f t="shared" si="252"/>
        <v>DF2 - Operating Expense</v>
      </c>
      <c r="B4055" s="33" t="str">
        <f t="shared" si="253"/>
        <v>DF2</v>
      </c>
      <c r="C4055" s="33" t="str">
        <f t="shared" si="254"/>
        <v>63502-7392</v>
      </c>
      <c r="D4055" s="64" t="s">
        <v>5016</v>
      </c>
      <c r="E4055" s="64" t="s">
        <v>3167</v>
      </c>
      <c r="F4055" s="64" t="s">
        <v>15</v>
      </c>
      <c r="G4055" s="64" t="s">
        <v>3160</v>
      </c>
      <c r="H4055" s="64" t="s">
        <v>3022</v>
      </c>
      <c r="I4055" s="64" t="s">
        <v>3168</v>
      </c>
      <c r="J4055" s="67">
        <v>5357.22</v>
      </c>
      <c r="K4055" s="62">
        <v>40903.94</v>
      </c>
      <c r="L4055" s="33" t="e">
        <f>HLOOKUP(B4055,#REF!,1,0)</f>
        <v>#REF!</v>
      </c>
      <c r="M4055" s="33" t="str">
        <f t="shared" si="255"/>
        <v>P&amp;L</v>
      </c>
    </row>
    <row r="4056" spans="1:13" s="33" customFormat="true" ht="12.75" customHeight="true">
      <c r="A4056" s="33" t="str">
        <f t="shared" si="252"/>
        <v>DF2 - Operating Expense</v>
      </c>
      <c r="B4056" s="33" t="str">
        <f t="shared" si="253"/>
        <v>DF2</v>
      </c>
      <c r="C4056" s="33" t="str">
        <f t="shared" si="254"/>
        <v>63502-7487</v>
      </c>
      <c r="D4056" s="64" t="s">
        <v>5017</v>
      </c>
      <c r="E4056" s="64" t="s">
        <v>3167</v>
      </c>
      <c r="F4056" s="64" t="s">
        <v>15</v>
      </c>
      <c r="G4056" s="64" t="s">
        <v>3160</v>
      </c>
      <c r="H4056" s="64" t="s">
        <v>3022</v>
      </c>
      <c r="I4056" s="64" t="s">
        <v>3168</v>
      </c>
      <c r="J4056" s="67">
        <v>4242.95</v>
      </c>
      <c r="K4056" s="62">
        <v>33058.14</v>
      </c>
      <c r="L4056" s="33" t="e">
        <f>HLOOKUP(B4056,#REF!,1,0)</f>
        <v>#REF!</v>
      </c>
      <c r="M4056" s="33" t="str">
        <f t="shared" si="255"/>
        <v>P&amp;L</v>
      </c>
    </row>
    <row r="4057" spans="1:13" s="33" customFormat="true" ht="12.75" customHeight="true">
      <c r="A4057" s="33" t="str">
        <f t="shared" si="252"/>
        <v>DF2 - Operating Expense</v>
      </c>
      <c r="B4057" s="33" t="str">
        <f t="shared" si="253"/>
        <v>DF2</v>
      </c>
      <c r="C4057" s="33" t="str">
        <f t="shared" si="254"/>
        <v>63502-7488</v>
      </c>
      <c r="D4057" s="64" t="s">
        <v>5018</v>
      </c>
      <c r="E4057" s="64" t="s">
        <v>3167</v>
      </c>
      <c r="F4057" s="64" t="s">
        <v>15</v>
      </c>
      <c r="G4057" s="64" t="s">
        <v>3160</v>
      </c>
      <c r="H4057" s="64" t="s">
        <v>3022</v>
      </c>
      <c r="I4057" s="64" t="s">
        <v>3168</v>
      </c>
      <c r="J4057" s="67">
        <v>3221.81</v>
      </c>
      <c r="K4057" s="62">
        <v>33521.85</v>
      </c>
      <c r="L4057" s="33" t="e">
        <f>HLOOKUP(B4057,#REF!,1,0)</f>
        <v>#REF!</v>
      </c>
      <c r="M4057" s="33" t="str">
        <f t="shared" si="255"/>
        <v>P&amp;L</v>
      </c>
    </row>
    <row r="4058" spans="1:13" s="33" customFormat="true" ht="12.75" customHeight="true">
      <c r="A4058" s="33" t="str">
        <f t="shared" si="252"/>
        <v>DF2 - Operating Expense</v>
      </c>
      <c r="B4058" s="33" t="str">
        <f t="shared" si="253"/>
        <v>DF2</v>
      </c>
      <c r="C4058" s="33" t="str">
        <f t="shared" si="254"/>
        <v>63502-7495</v>
      </c>
      <c r="D4058" s="64" t="s">
        <v>5019</v>
      </c>
      <c r="E4058" s="64" t="s">
        <v>3167</v>
      </c>
      <c r="F4058" s="64" t="s">
        <v>15</v>
      </c>
      <c r="G4058" s="64" t="s">
        <v>3160</v>
      </c>
      <c r="H4058" s="64" t="s">
        <v>3022</v>
      </c>
      <c r="I4058" s="64" t="s">
        <v>3168</v>
      </c>
      <c r="J4058" s="67">
        <v>5739.98</v>
      </c>
      <c r="K4058" s="62">
        <v>50923.54</v>
      </c>
      <c r="L4058" s="33" t="e">
        <f>HLOOKUP(B4058,#REF!,1,0)</f>
        <v>#REF!</v>
      </c>
      <c r="M4058" s="33" t="str">
        <f t="shared" si="255"/>
        <v>P&amp;L</v>
      </c>
    </row>
    <row r="4059" spans="1:13" s="33" customFormat="true" ht="12.75" customHeight="true">
      <c r="A4059" s="33" t="str">
        <f t="shared" si="252"/>
        <v>DF2 - Operating Expense</v>
      </c>
      <c r="B4059" s="33" t="str">
        <f t="shared" si="253"/>
        <v>DF2</v>
      </c>
      <c r="C4059" s="33" t="str">
        <f t="shared" si="254"/>
        <v>63503-7367</v>
      </c>
      <c r="D4059" s="64" t="s">
        <v>5020</v>
      </c>
      <c r="E4059" s="64" t="s">
        <v>3174</v>
      </c>
      <c r="F4059" s="64" t="s">
        <v>15</v>
      </c>
      <c r="G4059" s="64" t="s">
        <v>3160</v>
      </c>
      <c r="H4059" s="64" t="s">
        <v>3022</v>
      </c>
      <c r="I4059" s="64" t="s">
        <v>3175</v>
      </c>
      <c r="J4059" s="67">
        <v>1356.46</v>
      </c>
      <c r="K4059" s="62">
        <v>11298.23</v>
      </c>
      <c r="L4059" s="33" t="e">
        <f>HLOOKUP(B4059,#REF!,1,0)</f>
        <v>#REF!</v>
      </c>
      <c r="M4059" s="33" t="str">
        <f t="shared" si="255"/>
        <v>P&amp;L</v>
      </c>
    </row>
    <row r="4060" spans="1:13" s="33" customFormat="true" ht="12.75" customHeight="true">
      <c r="A4060" s="33" t="str">
        <f t="shared" si="252"/>
        <v>DF2 - Operating Expense</v>
      </c>
      <c r="B4060" s="33" t="str">
        <f t="shared" si="253"/>
        <v>DF2</v>
      </c>
      <c r="C4060" s="33" t="str">
        <f t="shared" si="254"/>
        <v>63503-7392</v>
      </c>
      <c r="D4060" s="64" t="s">
        <v>5021</v>
      </c>
      <c r="E4060" s="64" t="s">
        <v>3174</v>
      </c>
      <c r="F4060" s="64" t="s">
        <v>15</v>
      </c>
      <c r="G4060" s="64" t="s">
        <v>3160</v>
      </c>
      <c r="H4060" s="64" t="s">
        <v>3022</v>
      </c>
      <c r="I4060" s="64" t="s">
        <v>3175</v>
      </c>
      <c r="J4060" s="67">
        <v>913.09</v>
      </c>
      <c r="K4060" s="62">
        <v>8459.63</v>
      </c>
      <c r="L4060" s="33" t="e">
        <f>HLOOKUP(B4060,#REF!,1,0)</f>
        <v>#REF!</v>
      </c>
      <c r="M4060" s="33" t="str">
        <f t="shared" si="255"/>
        <v>P&amp;L</v>
      </c>
    </row>
    <row r="4061" spans="1:13" s="33" customFormat="true" ht="12.75" customHeight="true">
      <c r="A4061" s="33" t="str">
        <f t="shared" si="252"/>
        <v>DF2 - Operating Expense</v>
      </c>
      <c r="B4061" s="33" t="str">
        <f t="shared" si="253"/>
        <v>DF2</v>
      </c>
      <c r="C4061" s="33" t="str">
        <f t="shared" si="254"/>
        <v>63503-7487</v>
      </c>
      <c r="D4061" s="64" t="s">
        <v>5022</v>
      </c>
      <c r="E4061" s="64" t="s">
        <v>3174</v>
      </c>
      <c r="F4061" s="64" t="s">
        <v>15</v>
      </c>
      <c r="G4061" s="64" t="s">
        <v>3160</v>
      </c>
      <c r="H4061" s="64" t="s">
        <v>3022</v>
      </c>
      <c r="I4061" s="64" t="s">
        <v>3175</v>
      </c>
      <c r="J4061" s="67">
        <v>1403.25</v>
      </c>
      <c r="K4061" s="62">
        <v>11860.74</v>
      </c>
      <c r="L4061" s="33" t="e">
        <f>HLOOKUP(B4061,#REF!,1,0)</f>
        <v>#REF!</v>
      </c>
      <c r="M4061" s="33" t="str">
        <f t="shared" si="255"/>
        <v>P&amp;L</v>
      </c>
    </row>
    <row r="4062" spans="1:13" s="33" customFormat="true" ht="12.75" customHeight="true">
      <c r="A4062" s="33" t="str">
        <f t="shared" si="252"/>
        <v>DF2 - Operating Expense</v>
      </c>
      <c r="B4062" s="33" t="str">
        <f t="shared" si="253"/>
        <v>DF2</v>
      </c>
      <c r="C4062" s="33" t="str">
        <f t="shared" si="254"/>
        <v>63503-7488</v>
      </c>
      <c r="D4062" s="64" t="s">
        <v>5023</v>
      </c>
      <c r="E4062" s="64" t="s">
        <v>3174</v>
      </c>
      <c r="F4062" s="64" t="s">
        <v>15</v>
      </c>
      <c r="G4062" s="64" t="s">
        <v>3160</v>
      </c>
      <c r="H4062" s="64" t="s">
        <v>3022</v>
      </c>
      <c r="I4062" s="64" t="s">
        <v>3175</v>
      </c>
      <c r="J4062" s="67">
        <v>1336.1</v>
      </c>
      <c r="K4062" s="62">
        <v>11874.1</v>
      </c>
      <c r="L4062" s="33" t="e">
        <f>HLOOKUP(B4062,#REF!,1,0)</f>
        <v>#REF!</v>
      </c>
      <c r="M4062" s="33" t="str">
        <f t="shared" si="255"/>
        <v>P&amp;L</v>
      </c>
    </row>
    <row r="4063" spans="1:13" s="33" customFormat="true" ht="12.75" customHeight="true">
      <c r="A4063" s="33" t="str">
        <f t="shared" si="252"/>
        <v>DF2 - Operating Expense</v>
      </c>
      <c r="B4063" s="33" t="str">
        <f t="shared" si="253"/>
        <v>DF2</v>
      </c>
      <c r="C4063" s="33" t="str">
        <f t="shared" si="254"/>
        <v>63503-7495</v>
      </c>
      <c r="D4063" s="64" t="s">
        <v>5024</v>
      </c>
      <c r="E4063" s="64" t="s">
        <v>3174</v>
      </c>
      <c r="F4063" s="64" t="s">
        <v>15</v>
      </c>
      <c r="G4063" s="64" t="s">
        <v>3160</v>
      </c>
      <c r="H4063" s="64" t="s">
        <v>3022</v>
      </c>
      <c r="I4063" s="64" t="s">
        <v>3175</v>
      </c>
      <c r="J4063" s="67">
        <v>1245.81</v>
      </c>
      <c r="K4063" s="62">
        <v>10668.42</v>
      </c>
      <c r="L4063" s="33" t="e">
        <f>HLOOKUP(B4063,#REF!,1,0)</f>
        <v>#REF!</v>
      </c>
      <c r="M4063" s="33" t="str">
        <f t="shared" si="255"/>
        <v>P&amp;L</v>
      </c>
    </row>
    <row r="4064" spans="1:13" s="33" customFormat="true" ht="12.75" customHeight="true">
      <c r="A4064" s="33" t="str">
        <f t="shared" si="252"/>
        <v>DF2 - Operating Expense</v>
      </c>
      <c r="B4064" s="33" t="str">
        <f t="shared" si="253"/>
        <v>DF2</v>
      </c>
      <c r="C4064" s="33" t="str">
        <f t="shared" si="254"/>
        <v>63504-7367</v>
      </c>
      <c r="D4064" s="64" t="s">
        <v>5025</v>
      </c>
      <c r="E4064" s="64" t="s">
        <v>3181</v>
      </c>
      <c r="F4064" s="64" t="s">
        <v>15</v>
      </c>
      <c r="G4064" s="64" t="s">
        <v>3160</v>
      </c>
      <c r="H4064" s="64" t="s">
        <v>3022</v>
      </c>
      <c r="I4064" s="64" t="s">
        <v>3182</v>
      </c>
      <c r="J4064" s="67">
        <v>347.63</v>
      </c>
      <c r="K4064" s="62">
        <v>10023.27</v>
      </c>
      <c r="L4064" s="33" t="e">
        <f>HLOOKUP(B4064,#REF!,1,0)</f>
        <v>#REF!</v>
      </c>
      <c r="M4064" s="33" t="str">
        <f t="shared" si="255"/>
        <v>P&amp;L</v>
      </c>
    </row>
    <row r="4065" spans="1:13" s="33" customFormat="true" ht="12.75" customHeight="true">
      <c r="A4065" s="33" t="str">
        <f t="shared" si="252"/>
        <v>DF2 - Operating Expense</v>
      </c>
      <c r="B4065" s="33" t="str">
        <f t="shared" si="253"/>
        <v>DF2</v>
      </c>
      <c r="C4065" s="33" t="str">
        <f t="shared" si="254"/>
        <v>63504-7392</v>
      </c>
      <c r="D4065" s="64" t="s">
        <v>5026</v>
      </c>
      <c r="E4065" s="64" t="s">
        <v>3181</v>
      </c>
      <c r="F4065" s="64" t="s">
        <v>15</v>
      </c>
      <c r="G4065" s="64" t="s">
        <v>3160</v>
      </c>
      <c r="H4065" s="64" t="s">
        <v>3022</v>
      </c>
      <c r="I4065" s="64" t="s">
        <v>3182</v>
      </c>
      <c r="J4065" s="67">
        <v>0</v>
      </c>
      <c r="K4065" s="62">
        <v>2590.8</v>
      </c>
      <c r="L4065" s="33" t="e">
        <f>HLOOKUP(B4065,#REF!,1,0)</f>
        <v>#REF!</v>
      </c>
      <c r="M4065" s="33" t="str">
        <f t="shared" si="255"/>
        <v>P&amp;L</v>
      </c>
    </row>
    <row r="4066" spans="1:13" s="33" customFormat="true" ht="12.75" customHeight="true">
      <c r="A4066" s="33" t="str">
        <f t="shared" si="252"/>
        <v>DF2 - Operating Expense</v>
      </c>
      <c r="B4066" s="33" t="str">
        <f t="shared" si="253"/>
        <v>DF2</v>
      </c>
      <c r="C4066" s="33" t="str">
        <f t="shared" si="254"/>
        <v>63504-7487</v>
      </c>
      <c r="D4066" s="64" t="s">
        <v>5027</v>
      </c>
      <c r="E4066" s="64" t="s">
        <v>3181</v>
      </c>
      <c r="F4066" s="64" t="s">
        <v>15</v>
      </c>
      <c r="G4066" s="64" t="s">
        <v>3160</v>
      </c>
      <c r="H4066" s="64" t="s">
        <v>3022</v>
      </c>
      <c r="I4066" s="64" t="s">
        <v>3182</v>
      </c>
      <c r="J4066" s="67">
        <v>772.38</v>
      </c>
      <c r="K4066" s="62">
        <v>6454.77</v>
      </c>
      <c r="L4066" s="33" t="e">
        <f>HLOOKUP(B4066,#REF!,1,0)</f>
        <v>#REF!</v>
      </c>
      <c r="M4066" s="33" t="str">
        <f t="shared" si="255"/>
        <v>P&amp;L</v>
      </c>
    </row>
    <row r="4067" spans="1:13" s="33" customFormat="true" ht="12.75" customHeight="true">
      <c r="A4067" s="33" t="str">
        <f t="shared" si="252"/>
        <v>DF2 - Operating Expense</v>
      </c>
      <c r="B4067" s="33" t="str">
        <f t="shared" si="253"/>
        <v>DF2</v>
      </c>
      <c r="C4067" s="33" t="str">
        <f t="shared" si="254"/>
        <v>63504-7488</v>
      </c>
      <c r="D4067" s="64" t="s">
        <v>5028</v>
      </c>
      <c r="E4067" s="64" t="s">
        <v>3181</v>
      </c>
      <c r="F4067" s="64" t="s">
        <v>15</v>
      </c>
      <c r="G4067" s="64" t="s">
        <v>3160</v>
      </c>
      <c r="H4067" s="64" t="s">
        <v>3022</v>
      </c>
      <c r="I4067" s="64" t="s">
        <v>3182</v>
      </c>
      <c r="J4067" s="67">
        <v>498.45</v>
      </c>
      <c r="K4067" s="62">
        <v>3718.69</v>
      </c>
      <c r="L4067" s="33" t="e">
        <f>HLOOKUP(B4067,#REF!,1,0)</f>
        <v>#REF!</v>
      </c>
      <c r="M4067" s="33" t="str">
        <f t="shared" si="255"/>
        <v>P&amp;L</v>
      </c>
    </row>
    <row r="4068" spans="1:13" s="33" customFormat="true" ht="12.75" customHeight="true">
      <c r="A4068" s="33" t="str">
        <f t="shared" si="252"/>
        <v>DF2 - Operating Expense</v>
      </c>
      <c r="B4068" s="33" t="str">
        <f t="shared" si="253"/>
        <v>DF2</v>
      </c>
      <c r="C4068" s="33" t="str">
        <f t="shared" si="254"/>
        <v>63504-7495</v>
      </c>
      <c r="D4068" s="64" t="s">
        <v>5029</v>
      </c>
      <c r="E4068" s="64" t="s">
        <v>3181</v>
      </c>
      <c r="F4068" s="64" t="s">
        <v>15</v>
      </c>
      <c r="G4068" s="64" t="s">
        <v>3160</v>
      </c>
      <c r="H4068" s="64" t="s">
        <v>3022</v>
      </c>
      <c r="I4068" s="64" t="s">
        <v>3182</v>
      </c>
      <c r="J4068" s="67">
        <v>463.94</v>
      </c>
      <c r="K4068" s="62">
        <v>4492.89</v>
      </c>
      <c r="L4068" s="33" t="e">
        <f>HLOOKUP(B4068,#REF!,1,0)</f>
        <v>#REF!</v>
      </c>
      <c r="M4068" s="33" t="str">
        <f t="shared" si="255"/>
        <v>P&amp;L</v>
      </c>
    </row>
    <row r="4069" spans="1:13" s="33" customFormat="true" ht="12.75" customHeight="true">
      <c r="A4069" s="33" t="str">
        <f t="shared" si="252"/>
        <v>DF2 - Operating Expense</v>
      </c>
      <c r="B4069" s="33" t="str">
        <f t="shared" si="253"/>
        <v>DF2</v>
      </c>
      <c r="C4069" s="33" t="str">
        <f t="shared" si="254"/>
        <v>64001-7367</v>
      </c>
      <c r="D4069" s="64" t="s">
        <v>5030</v>
      </c>
      <c r="E4069" s="64" t="s">
        <v>5031</v>
      </c>
      <c r="F4069" s="64" t="s">
        <v>15</v>
      </c>
      <c r="G4069" s="64" t="s">
        <v>3044</v>
      </c>
      <c r="H4069" s="64" t="s">
        <v>3022</v>
      </c>
      <c r="I4069" s="64" t="s">
        <v>5032</v>
      </c>
      <c r="J4069" s="67">
        <v>473.32</v>
      </c>
      <c r="K4069" s="62">
        <v>4620.54</v>
      </c>
      <c r="L4069" s="33" t="e">
        <f>HLOOKUP(B4069,#REF!,1,0)</f>
        <v>#REF!</v>
      </c>
      <c r="M4069" s="33" t="str">
        <f t="shared" si="255"/>
        <v>P&amp;L</v>
      </c>
    </row>
    <row r="4070" spans="1:13" s="33" customFormat="true" ht="12.75" customHeight="true">
      <c r="A4070" s="33" t="str">
        <f t="shared" si="252"/>
        <v>DF2 - Operating Expense</v>
      </c>
      <c r="B4070" s="33" t="str">
        <f t="shared" si="253"/>
        <v>DF2</v>
      </c>
      <c r="C4070" s="33" t="str">
        <f t="shared" si="254"/>
        <v>64001-7392</v>
      </c>
      <c r="D4070" s="64" t="s">
        <v>5033</v>
      </c>
      <c r="E4070" s="64" t="s">
        <v>5031</v>
      </c>
      <c r="F4070" s="64" t="s">
        <v>15</v>
      </c>
      <c r="G4070" s="64" t="s">
        <v>3044</v>
      </c>
      <c r="H4070" s="64" t="s">
        <v>3022</v>
      </c>
      <c r="I4070" s="64" t="s">
        <v>5032</v>
      </c>
      <c r="J4070" s="67">
        <v>473.32</v>
      </c>
      <c r="K4070" s="62">
        <v>4620.52</v>
      </c>
      <c r="L4070" s="33" t="e">
        <f>HLOOKUP(B4070,#REF!,1,0)</f>
        <v>#REF!</v>
      </c>
      <c r="M4070" s="33" t="str">
        <f t="shared" si="255"/>
        <v>P&amp;L</v>
      </c>
    </row>
    <row r="4071" spans="1:13" s="33" customFormat="true" ht="12.75" customHeight="true">
      <c r="A4071" s="33" t="str">
        <f t="shared" si="252"/>
        <v>DF2 - Operating Expense</v>
      </c>
      <c r="B4071" s="33" t="str">
        <f t="shared" si="253"/>
        <v>DF2</v>
      </c>
      <c r="C4071" s="33" t="str">
        <f t="shared" si="254"/>
        <v>64001-7487</v>
      </c>
      <c r="D4071" s="64" t="s">
        <v>5034</v>
      </c>
      <c r="E4071" s="64" t="s">
        <v>5031</v>
      </c>
      <c r="F4071" s="64" t="s">
        <v>15</v>
      </c>
      <c r="G4071" s="64" t="s">
        <v>3044</v>
      </c>
      <c r="H4071" s="64" t="s">
        <v>3022</v>
      </c>
      <c r="I4071" s="64" t="s">
        <v>5032</v>
      </c>
      <c r="J4071" s="67">
        <v>473.32</v>
      </c>
      <c r="K4071" s="62">
        <v>4620.53</v>
      </c>
      <c r="L4071" s="33" t="e">
        <f>HLOOKUP(B4071,#REF!,1,0)</f>
        <v>#REF!</v>
      </c>
      <c r="M4071" s="33" t="str">
        <f t="shared" si="255"/>
        <v>P&amp;L</v>
      </c>
    </row>
    <row r="4072" spans="1:13" s="33" customFormat="true" ht="12.75" customHeight="true">
      <c r="A4072" s="33" t="str">
        <f t="shared" si="252"/>
        <v>DF2 - Operating Expense</v>
      </c>
      <c r="B4072" s="33" t="str">
        <f t="shared" si="253"/>
        <v>DF2</v>
      </c>
      <c r="C4072" s="33" t="str">
        <f t="shared" si="254"/>
        <v>64001-7488</v>
      </c>
      <c r="D4072" s="64" t="s">
        <v>5035</v>
      </c>
      <c r="E4072" s="64" t="s">
        <v>5031</v>
      </c>
      <c r="F4072" s="64" t="s">
        <v>15</v>
      </c>
      <c r="G4072" s="64" t="s">
        <v>3044</v>
      </c>
      <c r="H4072" s="64" t="s">
        <v>3022</v>
      </c>
      <c r="I4072" s="64" t="s">
        <v>5032</v>
      </c>
      <c r="J4072" s="67">
        <v>473.32</v>
      </c>
      <c r="K4072" s="62">
        <v>4620.53</v>
      </c>
      <c r="L4072" s="33" t="e">
        <f>HLOOKUP(B4072,#REF!,1,0)</f>
        <v>#REF!</v>
      </c>
      <c r="M4072" s="33" t="str">
        <f t="shared" si="255"/>
        <v>P&amp;L</v>
      </c>
    </row>
    <row r="4073" spans="1:13" s="33" customFormat="true" ht="12.75" customHeight="true">
      <c r="A4073" s="33" t="str">
        <f t="shared" si="252"/>
        <v>DF2 - Operating Expense</v>
      </c>
      <c r="B4073" s="33" t="str">
        <f t="shared" si="253"/>
        <v>DF2</v>
      </c>
      <c r="C4073" s="33" t="str">
        <f t="shared" si="254"/>
        <v>64001-7495</v>
      </c>
      <c r="D4073" s="64" t="s">
        <v>5036</v>
      </c>
      <c r="E4073" s="64" t="s">
        <v>5031</v>
      </c>
      <c r="F4073" s="64" t="s">
        <v>15</v>
      </c>
      <c r="G4073" s="64" t="s">
        <v>3044</v>
      </c>
      <c r="H4073" s="64" t="s">
        <v>3022</v>
      </c>
      <c r="I4073" s="64" t="s">
        <v>5032</v>
      </c>
      <c r="J4073" s="67">
        <v>473.32</v>
      </c>
      <c r="K4073" s="62">
        <v>4620.53</v>
      </c>
      <c r="L4073" s="33" t="e">
        <f>HLOOKUP(B4073,#REF!,1,0)</f>
        <v>#REF!</v>
      </c>
      <c r="M4073" s="33" t="str">
        <f t="shared" si="255"/>
        <v>P&amp;L</v>
      </c>
    </row>
    <row r="4074" spans="1:13" s="33" customFormat="true" ht="12.75" customHeight="true">
      <c r="A4074" s="33" t="str">
        <f t="shared" si="252"/>
        <v>DF2 - Operating Expense</v>
      </c>
      <c r="B4074" s="33" t="str">
        <f t="shared" si="253"/>
        <v>DF2</v>
      </c>
      <c r="C4074" s="33" t="str">
        <f t="shared" si="254"/>
        <v>64501-7367</v>
      </c>
      <c r="D4074" s="64" t="s">
        <v>5037</v>
      </c>
      <c r="E4074" s="64" t="s">
        <v>3188</v>
      </c>
      <c r="F4074" s="64" t="s">
        <v>15</v>
      </c>
      <c r="G4074" s="64" t="s">
        <v>3044</v>
      </c>
      <c r="H4074" s="64" t="s">
        <v>3022</v>
      </c>
      <c r="I4074" s="64" t="s">
        <v>3189</v>
      </c>
      <c r="J4074" s="67">
        <v>1733.05</v>
      </c>
      <c r="K4074" s="62">
        <v>16087.88</v>
      </c>
      <c r="L4074" s="33" t="e">
        <f>HLOOKUP(B4074,#REF!,1,0)</f>
        <v>#REF!</v>
      </c>
      <c r="M4074" s="33" t="str">
        <f t="shared" si="255"/>
        <v>P&amp;L</v>
      </c>
    </row>
    <row r="4075" spans="1:13" s="33" customFormat="true" ht="12.75" customHeight="true">
      <c r="A4075" s="33" t="str">
        <f t="shared" si="252"/>
        <v>DF2 - Operating Expense</v>
      </c>
      <c r="B4075" s="33" t="str">
        <f t="shared" si="253"/>
        <v>DF2</v>
      </c>
      <c r="C4075" s="33" t="str">
        <f t="shared" si="254"/>
        <v>64501-7392</v>
      </c>
      <c r="D4075" s="64" t="s">
        <v>5038</v>
      </c>
      <c r="E4075" s="64" t="s">
        <v>3188</v>
      </c>
      <c r="F4075" s="64" t="s">
        <v>15</v>
      </c>
      <c r="G4075" s="64" t="s">
        <v>3044</v>
      </c>
      <c r="H4075" s="64" t="s">
        <v>3022</v>
      </c>
      <c r="I4075" s="64" t="s">
        <v>3189</v>
      </c>
      <c r="J4075" s="67">
        <v>2815.52</v>
      </c>
      <c r="K4075" s="62">
        <v>25114.43</v>
      </c>
      <c r="L4075" s="33" t="e">
        <f>HLOOKUP(B4075,#REF!,1,0)</f>
        <v>#REF!</v>
      </c>
      <c r="M4075" s="33" t="str">
        <f t="shared" si="255"/>
        <v>P&amp;L</v>
      </c>
    </row>
    <row r="4076" spans="1:13" s="33" customFormat="true" ht="12.75" customHeight="true">
      <c r="A4076" s="33" t="str">
        <f t="shared" si="252"/>
        <v>DF2 - Operating Expense</v>
      </c>
      <c r="B4076" s="33" t="str">
        <f t="shared" si="253"/>
        <v>DF2</v>
      </c>
      <c r="C4076" s="33" t="str">
        <f t="shared" si="254"/>
        <v>64501-7487</v>
      </c>
      <c r="D4076" s="64" t="s">
        <v>5039</v>
      </c>
      <c r="E4076" s="64" t="s">
        <v>3188</v>
      </c>
      <c r="F4076" s="64" t="s">
        <v>15</v>
      </c>
      <c r="G4076" s="64" t="s">
        <v>3044</v>
      </c>
      <c r="H4076" s="64" t="s">
        <v>3022</v>
      </c>
      <c r="I4076" s="64" t="s">
        <v>3189</v>
      </c>
      <c r="J4076" s="67">
        <v>1157.02</v>
      </c>
      <c r="K4076" s="62">
        <v>10380.94</v>
      </c>
      <c r="L4076" s="33" t="e">
        <f>HLOOKUP(B4076,#REF!,1,0)</f>
        <v>#REF!</v>
      </c>
      <c r="M4076" s="33" t="str">
        <f t="shared" si="255"/>
        <v>P&amp;L</v>
      </c>
    </row>
    <row r="4077" spans="1:13" s="33" customFormat="true" ht="12.75" customHeight="true">
      <c r="A4077" s="33" t="str">
        <f t="shared" si="252"/>
        <v>DF2 - Operating Expense</v>
      </c>
      <c r="B4077" s="33" t="str">
        <f t="shared" si="253"/>
        <v>DF2</v>
      </c>
      <c r="C4077" s="33" t="str">
        <f t="shared" si="254"/>
        <v>64501-7488</v>
      </c>
      <c r="D4077" s="64" t="s">
        <v>5040</v>
      </c>
      <c r="E4077" s="64" t="s">
        <v>3188</v>
      </c>
      <c r="F4077" s="64" t="s">
        <v>15</v>
      </c>
      <c r="G4077" s="64" t="s">
        <v>3044</v>
      </c>
      <c r="H4077" s="64" t="s">
        <v>3022</v>
      </c>
      <c r="I4077" s="64" t="s">
        <v>3189</v>
      </c>
      <c r="J4077" s="67">
        <v>1526.27</v>
      </c>
      <c r="K4077" s="62">
        <v>13369.83</v>
      </c>
      <c r="L4077" s="33" t="e">
        <f>HLOOKUP(B4077,#REF!,1,0)</f>
        <v>#REF!</v>
      </c>
      <c r="M4077" s="33" t="str">
        <f t="shared" si="255"/>
        <v>P&amp;L</v>
      </c>
    </row>
    <row r="4078" spans="1:13" s="33" customFormat="true" ht="12.75" customHeight="true">
      <c r="A4078" s="33" t="str">
        <f t="shared" si="252"/>
        <v>DF2 - Operating Expense</v>
      </c>
      <c r="B4078" s="33" t="str">
        <f t="shared" si="253"/>
        <v>DF2</v>
      </c>
      <c r="C4078" s="33" t="str">
        <f t="shared" si="254"/>
        <v>64501-7495</v>
      </c>
      <c r="D4078" s="64" t="s">
        <v>5041</v>
      </c>
      <c r="E4078" s="64" t="s">
        <v>3188</v>
      </c>
      <c r="F4078" s="64" t="s">
        <v>15</v>
      </c>
      <c r="G4078" s="64" t="s">
        <v>3044</v>
      </c>
      <c r="H4078" s="64" t="s">
        <v>3022</v>
      </c>
      <c r="I4078" s="64" t="s">
        <v>3189</v>
      </c>
      <c r="J4078" s="67">
        <v>1740.37</v>
      </c>
      <c r="K4078" s="62">
        <v>15771.97</v>
      </c>
      <c r="L4078" s="33" t="e">
        <f>HLOOKUP(B4078,#REF!,1,0)</f>
        <v>#REF!</v>
      </c>
      <c r="M4078" s="33" t="str">
        <f t="shared" si="255"/>
        <v>P&amp;L</v>
      </c>
    </row>
    <row r="4079" spans="1:13" s="33" customFormat="true" ht="12.75" customHeight="true">
      <c r="A4079" s="33" t="str">
        <f t="shared" si="252"/>
        <v>DF2 - Operating Expense</v>
      </c>
      <c r="B4079" s="33" t="str">
        <f t="shared" si="253"/>
        <v>DF2</v>
      </c>
      <c r="C4079" s="33" t="str">
        <f t="shared" si="254"/>
        <v>64502-0000</v>
      </c>
      <c r="D4079" s="64" t="s">
        <v>5042</v>
      </c>
      <c r="E4079" s="64" t="s">
        <v>3195</v>
      </c>
      <c r="F4079" s="64" t="s">
        <v>15</v>
      </c>
      <c r="G4079" s="64" t="s">
        <v>3044</v>
      </c>
      <c r="H4079" s="64" t="s">
        <v>3022</v>
      </c>
      <c r="I4079" s="64" t="s">
        <v>3196</v>
      </c>
      <c r="J4079" s="67">
        <v>278.02</v>
      </c>
      <c r="K4079" s="62">
        <v>278.02</v>
      </c>
      <c r="L4079" s="33" t="e">
        <f>HLOOKUP(B4079,#REF!,1,0)</f>
        <v>#REF!</v>
      </c>
      <c r="M4079" s="33" t="str">
        <f t="shared" si="255"/>
        <v>P&amp;L</v>
      </c>
    </row>
    <row r="4080" spans="1:13" s="33" customFormat="true" ht="12.75" customHeight="true">
      <c r="A4080" s="33" t="str">
        <f t="shared" si="252"/>
        <v>DF2 - Operating Expense</v>
      </c>
      <c r="B4080" s="33" t="str">
        <f t="shared" si="253"/>
        <v>DF2</v>
      </c>
      <c r="C4080" s="33" t="str">
        <f t="shared" si="254"/>
        <v>64502-7357</v>
      </c>
      <c r="D4080" s="64" t="s">
        <v>5043</v>
      </c>
      <c r="E4080" s="64" t="s">
        <v>3195</v>
      </c>
      <c r="F4080" s="64" t="s">
        <v>15</v>
      </c>
      <c r="G4080" s="64" t="s">
        <v>3044</v>
      </c>
      <c r="H4080" s="64" t="s">
        <v>3022</v>
      </c>
      <c r="I4080" s="64" t="s">
        <v>3196</v>
      </c>
      <c r="J4080" s="67">
        <v>0</v>
      </c>
      <c r="K4080" s="62">
        <v>39.04</v>
      </c>
      <c r="L4080" s="33" t="e">
        <f>HLOOKUP(B4080,#REF!,1,0)</f>
        <v>#REF!</v>
      </c>
      <c r="M4080" s="33" t="str">
        <f t="shared" si="255"/>
        <v>P&amp;L</v>
      </c>
    </row>
    <row r="4081" spans="1:13" s="33" customFormat="true" ht="12.75" customHeight="true">
      <c r="A4081" s="33" t="str">
        <f t="shared" si="252"/>
        <v>DF2 - Operating Expense</v>
      </c>
      <c r="B4081" s="33" t="str">
        <f t="shared" si="253"/>
        <v>DF2</v>
      </c>
      <c r="C4081" s="33" t="str">
        <f t="shared" si="254"/>
        <v>64502-7367</v>
      </c>
      <c r="D4081" s="64" t="s">
        <v>5044</v>
      </c>
      <c r="E4081" s="64" t="s">
        <v>3195</v>
      </c>
      <c r="F4081" s="64" t="s">
        <v>15</v>
      </c>
      <c r="G4081" s="64" t="s">
        <v>3044</v>
      </c>
      <c r="H4081" s="64" t="s">
        <v>3022</v>
      </c>
      <c r="I4081" s="64" t="s">
        <v>3196</v>
      </c>
      <c r="J4081" s="67">
        <v>268.01</v>
      </c>
      <c r="K4081" s="62">
        <v>2465.03</v>
      </c>
      <c r="L4081" s="33" t="e">
        <f>HLOOKUP(B4081,#REF!,1,0)</f>
        <v>#REF!</v>
      </c>
      <c r="M4081" s="33" t="str">
        <f t="shared" si="255"/>
        <v>P&amp;L</v>
      </c>
    </row>
    <row r="4082" spans="1:13" s="33" customFormat="true" ht="12.75" customHeight="true">
      <c r="A4082" s="33" t="str">
        <f t="shared" si="252"/>
        <v>DF2 - Operating Expense</v>
      </c>
      <c r="B4082" s="33" t="str">
        <f t="shared" si="253"/>
        <v>DF2</v>
      </c>
      <c r="C4082" s="33" t="str">
        <f t="shared" si="254"/>
        <v>64502-7392</v>
      </c>
      <c r="D4082" s="64" t="s">
        <v>5045</v>
      </c>
      <c r="E4082" s="64" t="s">
        <v>3195</v>
      </c>
      <c r="F4082" s="64" t="s">
        <v>15</v>
      </c>
      <c r="G4082" s="64" t="s">
        <v>3044</v>
      </c>
      <c r="H4082" s="64" t="s">
        <v>3022</v>
      </c>
      <c r="I4082" s="64" t="s">
        <v>3196</v>
      </c>
      <c r="J4082" s="67">
        <v>253.79</v>
      </c>
      <c r="K4082" s="62">
        <v>2130.98</v>
      </c>
      <c r="L4082" s="33" t="e">
        <f>HLOOKUP(B4082,#REF!,1,0)</f>
        <v>#REF!</v>
      </c>
      <c r="M4082" s="33" t="str">
        <f t="shared" si="255"/>
        <v>P&amp;L</v>
      </c>
    </row>
    <row r="4083" spans="1:13" s="33" customFormat="true" ht="12.75" customHeight="true">
      <c r="A4083" s="33" t="str">
        <f t="shared" si="252"/>
        <v>DF2 - Operating Expense</v>
      </c>
      <c r="B4083" s="33" t="str">
        <f t="shared" si="253"/>
        <v>DF2</v>
      </c>
      <c r="C4083" s="33" t="str">
        <f t="shared" si="254"/>
        <v>64502-7487</v>
      </c>
      <c r="D4083" s="64" t="s">
        <v>5046</v>
      </c>
      <c r="E4083" s="64" t="s">
        <v>3195</v>
      </c>
      <c r="F4083" s="64" t="s">
        <v>15</v>
      </c>
      <c r="G4083" s="64" t="s">
        <v>3044</v>
      </c>
      <c r="H4083" s="64" t="s">
        <v>3022</v>
      </c>
      <c r="I4083" s="64" t="s">
        <v>3196</v>
      </c>
      <c r="J4083" s="67">
        <v>306.3</v>
      </c>
      <c r="K4083" s="62">
        <v>2841.7</v>
      </c>
      <c r="L4083" s="33" t="e">
        <f>HLOOKUP(B4083,#REF!,1,0)</f>
        <v>#REF!</v>
      </c>
      <c r="M4083" s="33" t="str">
        <f t="shared" si="255"/>
        <v>P&amp;L</v>
      </c>
    </row>
    <row r="4084" spans="1:13" s="33" customFormat="true" ht="12.75" customHeight="true">
      <c r="A4084" s="33" t="str">
        <f t="shared" si="252"/>
        <v>DF2 - Operating Expense</v>
      </c>
      <c r="B4084" s="33" t="str">
        <f t="shared" si="253"/>
        <v>DF2</v>
      </c>
      <c r="C4084" s="33" t="str">
        <f t="shared" si="254"/>
        <v>64502-7488</v>
      </c>
      <c r="D4084" s="64" t="s">
        <v>5047</v>
      </c>
      <c r="E4084" s="64" t="s">
        <v>3195</v>
      </c>
      <c r="F4084" s="64" t="s">
        <v>15</v>
      </c>
      <c r="G4084" s="64" t="s">
        <v>3044</v>
      </c>
      <c r="H4084" s="64" t="s">
        <v>3022</v>
      </c>
      <c r="I4084" s="64" t="s">
        <v>3196</v>
      </c>
      <c r="J4084" s="67">
        <v>276.21</v>
      </c>
      <c r="K4084" s="62">
        <v>2552.43</v>
      </c>
      <c r="L4084" s="33" t="e">
        <f>HLOOKUP(B4084,#REF!,1,0)</f>
        <v>#REF!</v>
      </c>
      <c r="M4084" s="33" t="str">
        <f t="shared" si="255"/>
        <v>P&amp;L</v>
      </c>
    </row>
    <row r="4085" spans="1:13" s="33" customFormat="true" ht="12.75" customHeight="true">
      <c r="A4085" s="33" t="str">
        <f t="shared" si="252"/>
        <v>DF2 - Operating Expense</v>
      </c>
      <c r="B4085" s="33" t="str">
        <f t="shared" si="253"/>
        <v>DF2</v>
      </c>
      <c r="C4085" s="33" t="str">
        <f t="shared" si="254"/>
        <v>64502-7495</v>
      </c>
      <c r="D4085" s="64" t="s">
        <v>5048</v>
      </c>
      <c r="E4085" s="64" t="s">
        <v>3195</v>
      </c>
      <c r="F4085" s="64" t="s">
        <v>15</v>
      </c>
      <c r="G4085" s="64" t="s">
        <v>3044</v>
      </c>
      <c r="H4085" s="64" t="s">
        <v>3022</v>
      </c>
      <c r="I4085" s="64" t="s">
        <v>3196</v>
      </c>
      <c r="J4085" s="67">
        <v>254.02</v>
      </c>
      <c r="K4085" s="62">
        <v>2354.13</v>
      </c>
      <c r="L4085" s="33" t="e">
        <f>HLOOKUP(B4085,#REF!,1,0)</f>
        <v>#REF!</v>
      </c>
      <c r="M4085" s="33" t="str">
        <f t="shared" si="255"/>
        <v>P&amp;L</v>
      </c>
    </row>
    <row r="4086" spans="1:13" s="33" customFormat="true" ht="12.75" customHeight="true">
      <c r="A4086" s="33" t="str">
        <f t="shared" si="252"/>
        <v>DF2 - Operating Expense</v>
      </c>
      <c r="B4086" s="33" t="str">
        <f t="shared" si="253"/>
        <v>DF2</v>
      </c>
      <c r="C4086" s="33" t="str">
        <f t="shared" si="254"/>
        <v>64503-7367</v>
      </c>
      <c r="D4086" s="64" t="s">
        <v>5049</v>
      </c>
      <c r="E4086" s="64" t="s">
        <v>3202</v>
      </c>
      <c r="F4086" s="64" t="s">
        <v>15</v>
      </c>
      <c r="G4086" s="64" t="s">
        <v>3044</v>
      </c>
      <c r="H4086" s="64" t="s">
        <v>3022</v>
      </c>
      <c r="I4086" s="64" t="s">
        <v>3189</v>
      </c>
      <c r="J4086" s="67">
        <v>1596.55</v>
      </c>
      <c r="K4086" s="62">
        <v>13409.76</v>
      </c>
      <c r="L4086" s="33" t="e">
        <f>HLOOKUP(B4086,#REF!,1,0)</f>
        <v>#REF!</v>
      </c>
      <c r="M4086" s="33" t="str">
        <f t="shared" si="255"/>
        <v>P&amp;L</v>
      </c>
    </row>
    <row r="4087" spans="1:13" s="33" customFormat="true" ht="12.75" customHeight="true">
      <c r="A4087" s="33" t="str">
        <f t="shared" si="252"/>
        <v>DF2 - Operating Expense</v>
      </c>
      <c r="B4087" s="33" t="str">
        <f t="shared" si="253"/>
        <v>DF2</v>
      </c>
      <c r="C4087" s="33" t="str">
        <f t="shared" si="254"/>
        <v>64503-7392</v>
      </c>
      <c r="D4087" s="64" t="s">
        <v>5050</v>
      </c>
      <c r="E4087" s="64" t="s">
        <v>3202</v>
      </c>
      <c r="F4087" s="64" t="s">
        <v>15</v>
      </c>
      <c r="G4087" s="64" t="s">
        <v>3044</v>
      </c>
      <c r="H4087" s="64" t="s">
        <v>3022</v>
      </c>
      <c r="I4087" s="64" t="s">
        <v>3189</v>
      </c>
      <c r="J4087" s="67">
        <v>3305.32</v>
      </c>
      <c r="K4087" s="62">
        <v>23980.85</v>
      </c>
      <c r="L4087" s="33" t="e">
        <f>HLOOKUP(B4087,#REF!,1,0)</f>
        <v>#REF!</v>
      </c>
      <c r="M4087" s="33" t="str">
        <f t="shared" si="255"/>
        <v>P&amp;L</v>
      </c>
    </row>
    <row r="4088" spans="1:13" s="33" customFormat="true" ht="12.75" customHeight="true">
      <c r="A4088" s="33" t="str">
        <f t="shared" si="252"/>
        <v>DF2 - Operating Expense</v>
      </c>
      <c r="B4088" s="33" t="str">
        <f t="shared" si="253"/>
        <v>DF2</v>
      </c>
      <c r="C4088" s="33" t="str">
        <f t="shared" si="254"/>
        <v>64503-7487</v>
      </c>
      <c r="D4088" s="64" t="s">
        <v>5051</v>
      </c>
      <c r="E4088" s="64" t="s">
        <v>3202</v>
      </c>
      <c r="F4088" s="64" t="s">
        <v>15</v>
      </c>
      <c r="G4088" s="64" t="s">
        <v>3044</v>
      </c>
      <c r="H4088" s="64" t="s">
        <v>3022</v>
      </c>
      <c r="I4088" s="64" t="s">
        <v>3189</v>
      </c>
      <c r="J4088" s="67">
        <v>1203.31</v>
      </c>
      <c r="K4088" s="62">
        <v>10632.41</v>
      </c>
      <c r="L4088" s="33" t="e">
        <f>HLOOKUP(B4088,#REF!,1,0)</f>
        <v>#REF!</v>
      </c>
      <c r="M4088" s="33" t="str">
        <f t="shared" si="255"/>
        <v>P&amp;L</v>
      </c>
    </row>
    <row r="4089" spans="1:13" s="33" customFormat="true" ht="12.75" customHeight="true">
      <c r="A4089" s="33" t="str">
        <f t="shared" si="252"/>
        <v>DF2 - Operating Expense</v>
      </c>
      <c r="B4089" s="33" t="str">
        <f t="shared" si="253"/>
        <v>DF2</v>
      </c>
      <c r="C4089" s="33" t="str">
        <f t="shared" si="254"/>
        <v>64503-7488</v>
      </c>
      <c r="D4089" s="64" t="s">
        <v>5052</v>
      </c>
      <c r="E4089" s="64" t="s">
        <v>3202</v>
      </c>
      <c r="F4089" s="64" t="s">
        <v>15</v>
      </c>
      <c r="G4089" s="64" t="s">
        <v>3044</v>
      </c>
      <c r="H4089" s="64" t="s">
        <v>3022</v>
      </c>
      <c r="I4089" s="64" t="s">
        <v>3189</v>
      </c>
      <c r="J4089" s="67">
        <v>497.61</v>
      </c>
      <c r="K4089" s="62">
        <v>3814.17</v>
      </c>
      <c r="L4089" s="33" t="e">
        <f>HLOOKUP(B4089,#REF!,1,0)</f>
        <v>#REF!</v>
      </c>
      <c r="M4089" s="33" t="str">
        <f t="shared" si="255"/>
        <v>P&amp;L</v>
      </c>
    </row>
    <row r="4090" spans="1:13" s="33" customFormat="true" ht="12.75" customHeight="true">
      <c r="A4090" s="33" t="str">
        <f t="shared" si="252"/>
        <v>DF2 - Operating Expense</v>
      </c>
      <c r="B4090" s="33" t="str">
        <f t="shared" si="253"/>
        <v>DF2</v>
      </c>
      <c r="C4090" s="33" t="str">
        <f t="shared" si="254"/>
        <v>64503-7495</v>
      </c>
      <c r="D4090" s="64" t="s">
        <v>5053</v>
      </c>
      <c r="E4090" s="64" t="s">
        <v>3202</v>
      </c>
      <c r="F4090" s="64" t="s">
        <v>15</v>
      </c>
      <c r="G4090" s="64" t="s">
        <v>3044</v>
      </c>
      <c r="H4090" s="64" t="s">
        <v>3022</v>
      </c>
      <c r="I4090" s="64" t="s">
        <v>3189</v>
      </c>
      <c r="J4090" s="67">
        <v>1022.08</v>
      </c>
      <c r="K4090" s="62">
        <v>8240.1</v>
      </c>
      <c r="L4090" s="33" t="e">
        <f>HLOOKUP(B4090,#REF!,1,0)</f>
        <v>#REF!</v>
      </c>
      <c r="M4090" s="33" t="str">
        <f t="shared" si="255"/>
        <v>P&amp;L</v>
      </c>
    </row>
    <row r="4091" spans="1:13" s="33" customFormat="true" ht="12.75" customHeight="true">
      <c r="A4091" s="33" t="str">
        <f t="shared" si="252"/>
        <v>DF2 - Operating Expense</v>
      </c>
      <c r="B4091" s="33" t="str">
        <f t="shared" si="253"/>
        <v>DF2</v>
      </c>
      <c r="C4091" s="33" t="str">
        <f t="shared" si="254"/>
        <v>65002-7367</v>
      </c>
      <c r="D4091" s="64" t="s">
        <v>5054</v>
      </c>
      <c r="E4091" s="64" t="s">
        <v>3209</v>
      </c>
      <c r="F4091" s="64" t="s">
        <v>15</v>
      </c>
      <c r="G4091" s="64" t="s">
        <v>3044</v>
      </c>
      <c r="H4091" s="64" t="s">
        <v>3022</v>
      </c>
      <c r="I4091" s="64" t="s">
        <v>3045</v>
      </c>
      <c r="J4091" s="67">
        <v>195.71</v>
      </c>
      <c r="K4091" s="62">
        <v>1651.04</v>
      </c>
      <c r="L4091" s="33" t="e">
        <f>HLOOKUP(B4091,#REF!,1,0)</f>
        <v>#REF!</v>
      </c>
      <c r="M4091" s="33" t="str">
        <f t="shared" si="255"/>
        <v>P&amp;L</v>
      </c>
    </row>
    <row r="4092" spans="1:13" s="33" customFormat="true" ht="12.75" customHeight="true">
      <c r="A4092" s="33" t="str">
        <f t="shared" si="252"/>
        <v>DF2 - Operating Expense</v>
      </c>
      <c r="B4092" s="33" t="str">
        <f t="shared" si="253"/>
        <v>DF2</v>
      </c>
      <c r="C4092" s="33" t="str">
        <f t="shared" si="254"/>
        <v>65002-7392</v>
      </c>
      <c r="D4092" s="64" t="s">
        <v>5055</v>
      </c>
      <c r="E4092" s="64" t="s">
        <v>3209</v>
      </c>
      <c r="F4092" s="64" t="s">
        <v>15</v>
      </c>
      <c r="G4092" s="64" t="s">
        <v>3044</v>
      </c>
      <c r="H4092" s="64" t="s">
        <v>3022</v>
      </c>
      <c r="I4092" s="64" t="s">
        <v>3045</v>
      </c>
      <c r="J4092" s="67">
        <v>195.71</v>
      </c>
      <c r="K4092" s="62">
        <v>1651.04</v>
      </c>
      <c r="L4092" s="33" t="e">
        <f>HLOOKUP(B4092,#REF!,1,0)</f>
        <v>#REF!</v>
      </c>
      <c r="M4092" s="33" t="str">
        <f t="shared" si="255"/>
        <v>P&amp;L</v>
      </c>
    </row>
    <row r="4093" spans="1:13" s="33" customFormat="true" ht="12.75" customHeight="true">
      <c r="A4093" s="33" t="str">
        <f t="shared" si="252"/>
        <v>DF2 - Operating Expense</v>
      </c>
      <c r="B4093" s="33" t="str">
        <f t="shared" si="253"/>
        <v>DF2</v>
      </c>
      <c r="C4093" s="33" t="str">
        <f t="shared" si="254"/>
        <v>65002-7487</v>
      </c>
      <c r="D4093" s="64" t="s">
        <v>5056</v>
      </c>
      <c r="E4093" s="64" t="s">
        <v>3209</v>
      </c>
      <c r="F4093" s="64" t="s">
        <v>15</v>
      </c>
      <c r="G4093" s="64" t="s">
        <v>3044</v>
      </c>
      <c r="H4093" s="64" t="s">
        <v>3022</v>
      </c>
      <c r="I4093" s="64" t="s">
        <v>3045</v>
      </c>
      <c r="J4093" s="67">
        <v>195.71</v>
      </c>
      <c r="K4093" s="62">
        <v>1651.04</v>
      </c>
      <c r="L4093" s="33" t="e">
        <f>HLOOKUP(B4093,#REF!,1,0)</f>
        <v>#REF!</v>
      </c>
      <c r="M4093" s="33" t="str">
        <f t="shared" si="255"/>
        <v>P&amp;L</v>
      </c>
    </row>
    <row r="4094" spans="1:13" s="33" customFormat="true" ht="12.75" customHeight="true">
      <c r="A4094" s="33" t="str">
        <f t="shared" si="252"/>
        <v>DF2 - Operating Expense</v>
      </c>
      <c r="B4094" s="33" t="str">
        <f t="shared" si="253"/>
        <v>DF2</v>
      </c>
      <c r="C4094" s="33" t="str">
        <f t="shared" si="254"/>
        <v>65002-7488</v>
      </c>
      <c r="D4094" s="64" t="s">
        <v>5057</v>
      </c>
      <c r="E4094" s="64" t="s">
        <v>3209</v>
      </c>
      <c r="F4094" s="64" t="s">
        <v>15</v>
      </c>
      <c r="G4094" s="64" t="s">
        <v>3044</v>
      </c>
      <c r="H4094" s="64" t="s">
        <v>3022</v>
      </c>
      <c r="I4094" s="64" t="s">
        <v>3045</v>
      </c>
      <c r="J4094" s="67">
        <v>195.71</v>
      </c>
      <c r="K4094" s="62">
        <v>1651.04</v>
      </c>
      <c r="L4094" s="33" t="e">
        <f>HLOOKUP(B4094,#REF!,1,0)</f>
        <v>#REF!</v>
      </c>
      <c r="M4094" s="33" t="str">
        <f t="shared" si="255"/>
        <v>P&amp;L</v>
      </c>
    </row>
    <row r="4095" spans="1:13" s="33" customFormat="true" ht="12.75" customHeight="true">
      <c r="A4095" s="33" t="str">
        <f t="shared" si="252"/>
        <v>DF2 - Operating Expense</v>
      </c>
      <c r="B4095" s="33" t="str">
        <f t="shared" si="253"/>
        <v>DF2</v>
      </c>
      <c r="C4095" s="33" t="str">
        <f t="shared" si="254"/>
        <v>65002-7495</v>
      </c>
      <c r="D4095" s="64" t="s">
        <v>5058</v>
      </c>
      <c r="E4095" s="64" t="s">
        <v>3209</v>
      </c>
      <c r="F4095" s="64" t="s">
        <v>15</v>
      </c>
      <c r="G4095" s="64" t="s">
        <v>3044</v>
      </c>
      <c r="H4095" s="64" t="s">
        <v>3022</v>
      </c>
      <c r="I4095" s="64" t="s">
        <v>3045</v>
      </c>
      <c r="J4095" s="67">
        <v>195.71</v>
      </c>
      <c r="K4095" s="62">
        <v>1651.04</v>
      </c>
      <c r="L4095" s="33" t="e">
        <f>HLOOKUP(B4095,#REF!,1,0)</f>
        <v>#REF!</v>
      </c>
      <c r="M4095" s="33" t="str">
        <f t="shared" si="255"/>
        <v>P&amp;L</v>
      </c>
    </row>
    <row r="4096" spans="1:13" s="33" customFormat="true" ht="12.75" customHeight="true">
      <c r="A4096" s="33" t="str">
        <f t="shared" si="252"/>
        <v>DF2 - Operating Expense</v>
      </c>
      <c r="B4096" s="33" t="str">
        <f t="shared" si="253"/>
        <v>DF2</v>
      </c>
      <c r="C4096" s="33" t="str">
        <f t="shared" si="254"/>
        <v>65501-0000</v>
      </c>
      <c r="D4096" s="64" t="s">
        <v>5059</v>
      </c>
      <c r="E4096" s="64" t="s">
        <v>3214</v>
      </c>
      <c r="F4096" s="64" t="s">
        <v>15</v>
      </c>
      <c r="G4096" s="64" t="s">
        <v>3044</v>
      </c>
      <c r="H4096" s="64" t="s">
        <v>3022</v>
      </c>
      <c r="I4096" s="64" t="s">
        <v>3215</v>
      </c>
      <c r="J4096" s="67">
        <v>0</v>
      </c>
      <c r="K4096" s="62">
        <v>0</v>
      </c>
      <c r="L4096" s="33" t="e">
        <f>HLOOKUP(B4096,#REF!,1,0)</f>
        <v>#REF!</v>
      </c>
      <c r="M4096" s="33" t="str">
        <f t="shared" si="255"/>
        <v>P&amp;L</v>
      </c>
    </row>
    <row r="4097" spans="1:13" s="33" customFormat="true" ht="12.75" customHeight="true">
      <c r="A4097" s="33" t="str">
        <f t="shared" si="252"/>
        <v>DF2 - Operating Expense</v>
      </c>
      <c r="B4097" s="33" t="str">
        <f t="shared" si="253"/>
        <v>DF2</v>
      </c>
      <c r="C4097" s="33" t="str">
        <f t="shared" si="254"/>
        <v>65501-7367</v>
      </c>
      <c r="D4097" s="64" t="s">
        <v>5060</v>
      </c>
      <c r="E4097" s="64" t="s">
        <v>3214</v>
      </c>
      <c r="F4097" s="64" t="s">
        <v>15</v>
      </c>
      <c r="G4097" s="64" t="s">
        <v>3044</v>
      </c>
      <c r="H4097" s="64" t="s">
        <v>3022</v>
      </c>
      <c r="I4097" s="64" t="s">
        <v>3215</v>
      </c>
      <c r="J4097" s="67">
        <v>901.69</v>
      </c>
      <c r="K4097" s="62">
        <v>8644.94</v>
      </c>
      <c r="L4097" s="33" t="e">
        <f>HLOOKUP(B4097,#REF!,1,0)</f>
        <v>#REF!</v>
      </c>
      <c r="M4097" s="33" t="str">
        <f t="shared" si="255"/>
        <v>P&amp;L</v>
      </c>
    </row>
    <row r="4098" spans="1:13" s="33" customFormat="true" ht="12.75" customHeight="true">
      <c r="A4098" s="33" t="str">
        <f t="shared" ref="A4098:A4161" si="256">B4098&amp;" - "&amp;TRIM(H4098)</f>
        <v>DF2 - Operating Expense</v>
      </c>
      <c r="B4098" s="33" t="str">
        <f t="shared" ref="B4098:B4161" si="257">LEFT(D4098,3)</f>
        <v>DF2</v>
      </c>
      <c r="C4098" s="33" t="str">
        <f t="shared" ref="C4098:C4161" si="258">RIGHT(D4098,10)</f>
        <v>65501-7392</v>
      </c>
      <c r="D4098" s="64" t="s">
        <v>5061</v>
      </c>
      <c r="E4098" s="64" t="s">
        <v>3214</v>
      </c>
      <c r="F4098" s="64" t="s">
        <v>15</v>
      </c>
      <c r="G4098" s="64" t="s">
        <v>3044</v>
      </c>
      <c r="H4098" s="64" t="s">
        <v>3022</v>
      </c>
      <c r="I4098" s="64" t="s">
        <v>3215</v>
      </c>
      <c r="J4098" s="67">
        <v>1123.77</v>
      </c>
      <c r="K4098" s="62">
        <v>10408</v>
      </c>
      <c r="L4098" s="33" t="e">
        <f>HLOOKUP(B4098,#REF!,1,0)</f>
        <v>#REF!</v>
      </c>
      <c r="M4098" s="33" t="str">
        <f t="shared" ref="M4098:M4161" si="259">IF(VALUE(LEFT(C4098,5))&gt;40000,"P&amp;L","BS")</f>
        <v>P&amp;L</v>
      </c>
    </row>
    <row r="4099" spans="1:13" s="33" customFormat="true" ht="12.75" customHeight="true">
      <c r="A4099" s="33" t="str">
        <f t="shared" si="256"/>
        <v>DF2 - Operating Expense</v>
      </c>
      <c r="B4099" s="33" t="str">
        <f t="shared" si="257"/>
        <v>DF2</v>
      </c>
      <c r="C4099" s="33" t="str">
        <f t="shared" si="258"/>
        <v>65501-7487</v>
      </c>
      <c r="D4099" s="64" t="s">
        <v>5062</v>
      </c>
      <c r="E4099" s="64" t="s">
        <v>3214</v>
      </c>
      <c r="F4099" s="64" t="s">
        <v>15</v>
      </c>
      <c r="G4099" s="64" t="s">
        <v>3044</v>
      </c>
      <c r="H4099" s="64" t="s">
        <v>3022</v>
      </c>
      <c r="I4099" s="64" t="s">
        <v>3215</v>
      </c>
      <c r="J4099" s="67">
        <v>569.19</v>
      </c>
      <c r="K4099" s="62">
        <v>5122.71</v>
      </c>
      <c r="L4099" s="33" t="e">
        <f>HLOOKUP(B4099,#REF!,1,0)</f>
        <v>#REF!</v>
      </c>
      <c r="M4099" s="33" t="str">
        <f t="shared" si="259"/>
        <v>P&amp;L</v>
      </c>
    </row>
    <row r="4100" spans="1:13" s="33" customFormat="true" ht="12.75" customHeight="true">
      <c r="A4100" s="33" t="str">
        <f t="shared" si="256"/>
        <v>DF2 - Operating Expense</v>
      </c>
      <c r="B4100" s="33" t="str">
        <f t="shared" si="257"/>
        <v>DF2</v>
      </c>
      <c r="C4100" s="33" t="str">
        <f t="shared" si="258"/>
        <v>65501-7488</v>
      </c>
      <c r="D4100" s="64" t="s">
        <v>5063</v>
      </c>
      <c r="E4100" s="64" t="s">
        <v>3214</v>
      </c>
      <c r="F4100" s="64" t="s">
        <v>15</v>
      </c>
      <c r="G4100" s="64" t="s">
        <v>3044</v>
      </c>
      <c r="H4100" s="64" t="s">
        <v>3022</v>
      </c>
      <c r="I4100" s="64" t="s">
        <v>3215</v>
      </c>
      <c r="J4100" s="67">
        <v>600.37</v>
      </c>
      <c r="K4100" s="62">
        <v>4235.56</v>
      </c>
      <c r="L4100" s="33" t="e">
        <f>HLOOKUP(B4100,#REF!,1,0)</f>
        <v>#REF!</v>
      </c>
      <c r="M4100" s="33" t="str">
        <f t="shared" si="259"/>
        <v>P&amp;L</v>
      </c>
    </row>
    <row r="4101" spans="1:13" s="33" customFormat="true" ht="12.75" customHeight="true">
      <c r="A4101" s="33" t="str">
        <f t="shared" si="256"/>
        <v>DF2 - Operating Expense</v>
      </c>
      <c r="B4101" s="33" t="str">
        <f t="shared" si="257"/>
        <v>DF2</v>
      </c>
      <c r="C4101" s="33" t="str">
        <f t="shared" si="258"/>
        <v>65501-7495</v>
      </c>
      <c r="D4101" s="64" t="s">
        <v>5064</v>
      </c>
      <c r="E4101" s="64" t="s">
        <v>3214</v>
      </c>
      <c r="F4101" s="64" t="s">
        <v>15</v>
      </c>
      <c r="G4101" s="64" t="s">
        <v>3044</v>
      </c>
      <c r="H4101" s="64" t="s">
        <v>3022</v>
      </c>
      <c r="I4101" s="64" t="s">
        <v>3215</v>
      </c>
      <c r="J4101" s="67">
        <v>1624.4</v>
      </c>
      <c r="K4101" s="62">
        <v>13395.59</v>
      </c>
      <c r="L4101" s="33" t="e">
        <f>HLOOKUP(B4101,#REF!,1,0)</f>
        <v>#REF!</v>
      </c>
      <c r="M4101" s="33" t="str">
        <f t="shared" si="259"/>
        <v>P&amp;L</v>
      </c>
    </row>
    <row r="4102" spans="1:13" s="33" customFormat="true" ht="12.75" customHeight="true">
      <c r="A4102" s="33" t="str">
        <f t="shared" si="256"/>
        <v>DF2 - Operating Expense</v>
      </c>
      <c r="B4102" s="33" t="str">
        <f t="shared" si="257"/>
        <v>DF2</v>
      </c>
      <c r="C4102" s="33" t="str">
        <f t="shared" si="258"/>
        <v>66001-7367</v>
      </c>
      <c r="D4102" s="64" t="s">
        <v>5065</v>
      </c>
      <c r="E4102" s="64" t="s">
        <v>3220</v>
      </c>
      <c r="F4102" s="64" t="s">
        <v>15</v>
      </c>
      <c r="G4102" s="64" t="s">
        <v>3044</v>
      </c>
      <c r="H4102" s="64" t="s">
        <v>3022</v>
      </c>
      <c r="I4102" s="64" t="s">
        <v>3221</v>
      </c>
      <c r="J4102" s="67">
        <v>0</v>
      </c>
      <c r="K4102" s="62">
        <v>166</v>
      </c>
      <c r="L4102" s="33" t="e">
        <f>HLOOKUP(B4102,#REF!,1,0)</f>
        <v>#REF!</v>
      </c>
      <c r="M4102" s="33" t="str">
        <f t="shared" si="259"/>
        <v>P&amp;L</v>
      </c>
    </row>
    <row r="4103" spans="1:13" s="33" customFormat="true" ht="12.75" customHeight="true">
      <c r="A4103" s="33" t="str">
        <f t="shared" si="256"/>
        <v>DF2 - Operating Expense</v>
      </c>
      <c r="B4103" s="33" t="str">
        <f t="shared" si="257"/>
        <v>DF2</v>
      </c>
      <c r="C4103" s="33" t="str">
        <f t="shared" si="258"/>
        <v>66001-7392</v>
      </c>
      <c r="D4103" s="64" t="s">
        <v>5066</v>
      </c>
      <c r="E4103" s="64" t="s">
        <v>3220</v>
      </c>
      <c r="F4103" s="64" t="s">
        <v>15</v>
      </c>
      <c r="G4103" s="64" t="s">
        <v>3044</v>
      </c>
      <c r="H4103" s="64" t="s">
        <v>3022</v>
      </c>
      <c r="I4103" s="64" t="s">
        <v>3221</v>
      </c>
      <c r="J4103" s="67">
        <v>0</v>
      </c>
      <c r="K4103" s="62">
        <v>457.37</v>
      </c>
      <c r="L4103" s="33" t="e">
        <f>HLOOKUP(B4103,#REF!,1,0)</f>
        <v>#REF!</v>
      </c>
      <c r="M4103" s="33" t="str">
        <f t="shared" si="259"/>
        <v>P&amp;L</v>
      </c>
    </row>
    <row r="4104" spans="1:13" s="33" customFormat="true" ht="12.75" customHeight="true">
      <c r="A4104" s="33" t="str">
        <f t="shared" si="256"/>
        <v>DF2 - Operating Expense</v>
      </c>
      <c r="B4104" s="33" t="str">
        <f t="shared" si="257"/>
        <v>DF2</v>
      </c>
      <c r="C4104" s="33" t="str">
        <f t="shared" si="258"/>
        <v>66001-7488</v>
      </c>
      <c r="D4104" s="64" t="s">
        <v>5067</v>
      </c>
      <c r="E4104" s="64" t="s">
        <v>3220</v>
      </c>
      <c r="F4104" s="64" t="s">
        <v>15</v>
      </c>
      <c r="G4104" s="64" t="s">
        <v>3044</v>
      </c>
      <c r="H4104" s="64" t="s">
        <v>3022</v>
      </c>
      <c r="I4104" s="64" t="s">
        <v>3221</v>
      </c>
      <c r="J4104" s="67">
        <v>60</v>
      </c>
      <c r="K4104" s="62">
        <v>375.79</v>
      </c>
      <c r="L4104" s="33" t="e">
        <f>HLOOKUP(B4104,#REF!,1,0)</f>
        <v>#REF!</v>
      </c>
      <c r="M4104" s="33" t="str">
        <f t="shared" si="259"/>
        <v>P&amp;L</v>
      </c>
    </row>
    <row r="4105" spans="1:13" s="33" customFormat="true" ht="12.75" customHeight="true">
      <c r="A4105" s="33" t="str">
        <f t="shared" si="256"/>
        <v>DF2 - Operating Expense</v>
      </c>
      <c r="B4105" s="33" t="str">
        <f t="shared" si="257"/>
        <v>DF2</v>
      </c>
      <c r="C4105" s="33" t="str">
        <f t="shared" si="258"/>
        <v>66001-7495</v>
      </c>
      <c r="D4105" s="64" t="s">
        <v>5068</v>
      </c>
      <c r="E4105" s="64" t="s">
        <v>3220</v>
      </c>
      <c r="F4105" s="64" t="s">
        <v>15</v>
      </c>
      <c r="G4105" s="64" t="s">
        <v>3044</v>
      </c>
      <c r="H4105" s="64" t="s">
        <v>3022</v>
      </c>
      <c r="I4105" s="64" t="s">
        <v>3221</v>
      </c>
      <c r="J4105" s="67">
        <v>0</v>
      </c>
      <c r="K4105" s="62">
        <v>166</v>
      </c>
      <c r="L4105" s="33" t="e">
        <f>HLOOKUP(B4105,#REF!,1,0)</f>
        <v>#REF!</v>
      </c>
      <c r="M4105" s="33" t="str">
        <f t="shared" si="259"/>
        <v>P&amp;L</v>
      </c>
    </row>
    <row r="4106" spans="1:13" s="33" customFormat="true" ht="12.75" customHeight="true">
      <c r="A4106" s="33" t="str">
        <f t="shared" si="256"/>
        <v>DF2 - Operating Expense</v>
      </c>
      <c r="B4106" s="33" t="str">
        <f t="shared" si="257"/>
        <v>DF2</v>
      </c>
      <c r="C4106" s="33" t="str">
        <f t="shared" si="258"/>
        <v>66501-7367</v>
      </c>
      <c r="D4106" s="64" t="s">
        <v>5069</v>
      </c>
      <c r="E4106" s="64" t="s">
        <v>3231</v>
      </c>
      <c r="F4106" s="64" t="s">
        <v>15</v>
      </c>
      <c r="G4106" s="64" t="s">
        <v>2889</v>
      </c>
      <c r="H4106" s="64" t="s">
        <v>3022</v>
      </c>
      <c r="I4106" s="64" t="s">
        <v>2915</v>
      </c>
      <c r="J4106" s="67">
        <v>349.02</v>
      </c>
      <c r="K4106" s="62">
        <v>3388.28</v>
      </c>
      <c r="L4106" s="33" t="e">
        <f>HLOOKUP(B4106,#REF!,1,0)</f>
        <v>#REF!</v>
      </c>
      <c r="M4106" s="33" t="str">
        <f t="shared" si="259"/>
        <v>P&amp;L</v>
      </c>
    </row>
    <row r="4107" spans="1:13" s="33" customFormat="true" ht="12.75" customHeight="true">
      <c r="A4107" s="33" t="str">
        <f t="shared" si="256"/>
        <v>DF2 - Operating Expense</v>
      </c>
      <c r="B4107" s="33" t="str">
        <f t="shared" si="257"/>
        <v>DF2</v>
      </c>
      <c r="C4107" s="33" t="str">
        <f t="shared" si="258"/>
        <v>66501-7392</v>
      </c>
      <c r="D4107" s="64" t="s">
        <v>5070</v>
      </c>
      <c r="E4107" s="64" t="s">
        <v>3231</v>
      </c>
      <c r="F4107" s="64" t="s">
        <v>15</v>
      </c>
      <c r="G4107" s="64" t="s">
        <v>2889</v>
      </c>
      <c r="H4107" s="64" t="s">
        <v>3022</v>
      </c>
      <c r="I4107" s="64" t="s">
        <v>2915</v>
      </c>
      <c r="J4107" s="67">
        <v>479.3</v>
      </c>
      <c r="K4107" s="62">
        <v>4092.2</v>
      </c>
      <c r="L4107" s="33" t="e">
        <f>HLOOKUP(B4107,#REF!,1,0)</f>
        <v>#REF!</v>
      </c>
      <c r="M4107" s="33" t="str">
        <f t="shared" si="259"/>
        <v>P&amp;L</v>
      </c>
    </row>
    <row r="4108" spans="1:13" s="33" customFormat="true" ht="12.75" customHeight="true">
      <c r="A4108" s="33" t="str">
        <f t="shared" si="256"/>
        <v>DF2 - Operating Expense</v>
      </c>
      <c r="B4108" s="33" t="str">
        <f t="shared" si="257"/>
        <v>DF2</v>
      </c>
      <c r="C4108" s="33" t="str">
        <f t="shared" si="258"/>
        <v>66501-7487</v>
      </c>
      <c r="D4108" s="64" t="s">
        <v>5071</v>
      </c>
      <c r="E4108" s="64" t="s">
        <v>3231</v>
      </c>
      <c r="F4108" s="64" t="s">
        <v>15</v>
      </c>
      <c r="G4108" s="64" t="s">
        <v>2889</v>
      </c>
      <c r="H4108" s="64" t="s">
        <v>3022</v>
      </c>
      <c r="I4108" s="64" t="s">
        <v>2915</v>
      </c>
      <c r="J4108" s="67">
        <v>305.49</v>
      </c>
      <c r="K4108" s="62">
        <v>1923.08</v>
      </c>
      <c r="L4108" s="33" t="e">
        <f>HLOOKUP(B4108,#REF!,1,0)</f>
        <v>#REF!</v>
      </c>
      <c r="M4108" s="33" t="str">
        <f t="shared" si="259"/>
        <v>P&amp;L</v>
      </c>
    </row>
    <row r="4109" spans="1:13" s="33" customFormat="true" ht="12.75" customHeight="true">
      <c r="A4109" s="33" t="str">
        <f t="shared" si="256"/>
        <v>DF2 - Operating Expense</v>
      </c>
      <c r="B4109" s="33" t="str">
        <f t="shared" si="257"/>
        <v>DF2</v>
      </c>
      <c r="C4109" s="33" t="str">
        <f t="shared" si="258"/>
        <v>66501-7488</v>
      </c>
      <c r="D4109" s="64" t="s">
        <v>5072</v>
      </c>
      <c r="E4109" s="64" t="s">
        <v>3231</v>
      </c>
      <c r="F4109" s="64" t="s">
        <v>15</v>
      </c>
      <c r="G4109" s="64" t="s">
        <v>2889</v>
      </c>
      <c r="H4109" s="64" t="s">
        <v>3022</v>
      </c>
      <c r="I4109" s="64" t="s">
        <v>2915</v>
      </c>
      <c r="J4109" s="67">
        <v>145.66</v>
      </c>
      <c r="K4109" s="62">
        <v>2242.91</v>
      </c>
      <c r="L4109" s="33" t="e">
        <f>HLOOKUP(B4109,#REF!,1,0)</f>
        <v>#REF!</v>
      </c>
      <c r="M4109" s="33" t="str">
        <f t="shared" si="259"/>
        <v>P&amp;L</v>
      </c>
    </row>
    <row r="4110" spans="1:13" s="33" customFormat="true" ht="12.75" customHeight="true">
      <c r="A4110" s="33" t="str">
        <f t="shared" si="256"/>
        <v>DF2 - Operating Expense</v>
      </c>
      <c r="B4110" s="33" t="str">
        <f t="shared" si="257"/>
        <v>DF2</v>
      </c>
      <c r="C4110" s="33" t="str">
        <f t="shared" si="258"/>
        <v>66501-7495</v>
      </c>
      <c r="D4110" s="64" t="s">
        <v>5073</v>
      </c>
      <c r="E4110" s="64" t="s">
        <v>3231</v>
      </c>
      <c r="F4110" s="64" t="s">
        <v>15</v>
      </c>
      <c r="G4110" s="64" t="s">
        <v>2889</v>
      </c>
      <c r="H4110" s="64" t="s">
        <v>3022</v>
      </c>
      <c r="I4110" s="64" t="s">
        <v>2915</v>
      </c>
      <c r="J4110" s="67">
        <v>189.19</v>
      </c>
      <c r="K4110" s="62">
        <v>2582.41</v>
      </c>
      <c r="L4110" s="33" t="e">
        <f>HLOOKUP(B4110,#REF!,1,0)</f>
        <v>#REF!</v>
      </c>
      <c r="M4110" s="33" t="str">
        <f t="shared" si="259"/>
        <v>P&amp;L</v>
      </c>
    </row>
    <row r="4111" spans="1:13" s="33" customFormat="true" ht="12.75" customHeight="true">
      <c r="A4111" s="33" t="str">
        <f t="shared" si="256"/>
        <v>DF2 - Operating Expense</v>
      </c>
      <c r="B4111" s="33" t="str">
        <f t="shared" si="257"/>
        <v>DF2</v>
      </c>
      <c r="C4111" s="33" t="str">
        <f t="shared" si="258"/>
        <v>66701-7367</v>
      </c>
      <c r="D4111" s="64" t="s">
        <v>5074</v>
      </c>
      <c r="E4111" s="64" t="s">
        <v>3236</v>
      </c>
      <c r="F4111" s="64" t="s">
        <v>15</v>
      </c>
      <c r="G4111" s="64" t="s">
        <v>3017</v>
      </c>
      <c r="H4111" s="64" t="s">
        <v>3022</v>
      </c>
      <c r="I4111" s="64" t="s">
        <v>3237</v>
      </c>
      <c r="J4111" s="67">
        <v>14</v>
      </c>
      <c r="K4111" s="62">
        <v>140</v>
      </c>
      <c r="L4111" s="33" t="e">
        <f>HLOOKUP(B4111,#REF!,1,0)</f>
        <v>#REF!</v>
      </c>
      <c r="M4111" s="33" t="str">
        <f t="shared" si="259"/>
        <v>P&amp;L</v>
      </c>
    </row>
    <row r="4112" spans="1:13" s="33" customFormat="true" ht="12.75" customHeight="true">
      <c r="A4112" s="33" t="str">
        <f t="shared" si="256"/>
        <v>DF2 - Operating Expense</v>
      </c>
      <c r="B4112" s="33" t="str">
        <f t="shared" si="257"/>
        <v>DF2</v>
      </c>
      <c r="C4112" s="33" t="str">
        <f t="shared" si="258"/>
        <v>66701-7392</v>
      </c>
      <c r="D4112" s="64" t="s">
        <v>5075</v>
      </c>
      <c r="E4112" s="64" t="s">
        <v>3236</v>
      </c>
      <c r="F4112" s="64" t="s">
        <v>15</v>
      </c>
      <c r="G4112" s="64" t="s">
        <v>3017</v>
      </c>
      <c r="H4112" s="64" t="s">
        <v>3022</v>
      </c>
      <c r="I4112" s="64" t="s">
        <v>3237</v>
      </c>
      <c r="J4112" s="67">
        <v>14</v>
      </c>
      <c r="K4112" s="62">
        <v>140</v>
      </c>
      <c r="L4112" s="33" t="e">
        <f>HLOOKUP(B4112,#REF!,1,0)</f>
        <v>#REF!</v>
      </c>
      <c r="M4112" s="33" t="str">
        <f t="shared" si="259"/>
        <v>P&amp;L</v>
      </c>
    </row>
    <row r="4113" spans="1:13" s="33" customFormat="true" ht="12.75" customHeight="true">
      <c r="A4113" s="33" t="str">
        <f t="shared" si="256"/>
        <v>DF2 - Operating Expense</v>
      </c>
      <c r="B4113" s="33" t="str">
        <f t="shared" si="257"/>
        <v>DF2</v>
      </c>
      <c r="C4113" s="33" t="str">
        <f t="shared" si="258"/>
        <v>66701-7487</v>
      </c>
      <c r="D4113" s="64" t="s">
        <v>5076</v>
      </c>
      <c r="E4113" s="64" t="s">
        <v>3236</v>
      </c>
      <c r="F4113" s="64" t="s">
        <v>15</v>
      </c>
      <c r="G4113" s="64" t="s">
        <v>3017</v>
      </c>
      <c r="H4113" s="64" t="s">
        <v>3022</v>
      </c>
      <c r="I4113" s="64" t="s">
        <v>3237</v>
      </c>
      <c r="J4113" s="67">
        <v>14</v>
      </c>
      <c r="K4113" s="62">
        <v>164.48</v>
      </c>
      <c r="L4113" s="33" t="e">
        <f>HLOOKUP(B4113,#REF!,1,0)</f>
        <v>#REF!</v>
      </c>
      <c r="M4113" s="33" t="str">
        <f t="shared" si="259"/>
        <v>P&amp;L</v>
      </c>
    </row>
    <row r="4114" spans="1:13" s="33" customFormat="true" ht="12.75" customHeight="true">
      <c r="A4114" s="33" t="str">
        <f t="shared" si="256"/>
        <v>DF2 - Operating Expense</v>
      </c>
      <c r="B4114" s="33" t="str">
        <f t="shared" si="257"/>
        <v>DF2</v>
      </c>
      <c r="C4114" s="33" t="str">
        <f t="shared" si="258"/>
        <v>66701-7488</v>
      </c>
      <c r="D4114" s="64" t="s">
        <v>5077</v>
      </c>
      <c r="E4114" s="64" t="s">
        <v>3236</v>
      </c>
      <c r="F4114" s="64" t="s">
        <v>15</v>
      </c>
      <c r="G4114" s="64" t="s">
        <v>3017</v>
      </c>
      <c r="H4114" s="64" t="s">
        <v>3022</v>
      </c>
      <c r="I4114" s="64" t="s">
        <v>3237</v>
      </c>
      <c r="J4114" s="67">
        <v>14</v>
      </c>
      <c r="K4114" s="62">
        <v>164.48</v>
      </c>
      <c r="L4114" s="33" t="e">
        <f>HLOOKUP(B4114,#REF!,1,0)</f>
        <v>#REF!</v>
      </c>
      <c r="M4114" s="33" t="str">
        <f t="shared" si="259"/>
        <v>P&amp;L</v>
      </c>
    </row>
    <row r="4115" spans="1:13" s="33" customFormat="true" ht="12.75" customHeight="true">
      <c r="A4115" s="33" t="str">
        <f t="shared" si="256"/>
        <v>DF2 - Operating Expense</v>
      </c>
      <c r="B4115" s="33" t="str">
        <f t="shared" si="257"/>
        <v>DF2</v>
      </c>
      <c r="C4115" s="33" t="str">
        <f t="shared" si="258"/>
        <v>66701-7495</v>
      </c>
      <c r="D4115" s="64" t="s">
        <v>5078</v>
      </c>
      <c r="E4115" s="64" t="s">
        <v>3236</v>
      </c>
      <c r="F4115" s="64" t="s">
        <v>15</v>
      </c>
      <c r="G4115" s="64" t="s">
        <v>3017</v>
      </c>
      <c r="H4115" s="64" t="s">
        <v>3022</v>
      </c>
      <c r="I4115" s="64" t="s">
        <v>3237</v>
      </c>
      <c r="J4115" s="67">
        <v>14</v>
      </c>
      <c r="K4115" s="62">
        <v>140</v>
      </c>
      <c r="L4115" s="33" t="e">
        <f>HLOOKUP(B4115,#REF!,1,0)</f>
        <v>#REF!</v>
      </c>
      <c r="M4115" s="33" t="str">
        <f t="shared" si="259"/>
        <v>P&amp;L</v>
      </c>
    </row>
    <row r="4116" spans="1:13" s="33" customFormat="true" ht="12.75" customHeight="true">
      <c r="A4116" s="33" t="str">
        <f t="shared" si="256"/>
        <v>DF2 - Operating Expense</v>
      </c>
      <c r="B4116" s="33" t="str">
        <f t="shared" si="257"/>
        <v>DF2</v>
      </c>
      <c r="C4116" s="33" t="str">
        <f t="shared" si="258"/>
        <v>67001-7367</v>
      </c>
      <c r="D4116" s="64" t="s">
        <v>5079</v>
      </c>
      <c r="E4116" s="64" t="s">
        <v>3242</v>
      </c>
      <c r="F4116" s="64" t="s">
        <v>15</v>
      </c>
      <c r="G4116" s="64" t="s">
        <v>3044</v>
      </c>
      <c r="H4116" s="64" t="s">
        <v>3022</v>
      </c>
      <c r="I4116" s="64" t="s">
        <v>3243</v>
      </c>
      <c r="J4116" s="67">
        <v>5878.65</v>
      </c>
      <c r="K4116" s="62">
        <v>47308.67</v>
      </c>
      <c r="L4116" s="33" t="e">
        <f>HLOOKUP(B4116,#REF!,1,0)</f>
        <v>#REF!</v>
      </c>
      <c r="M4116" s="33" t="str">
        <f t="shared" si="259"/>
        <v>P&amp;L</v>
      </c>
    </row>
    <row r="4117" spans="1:13" s="33" customFormat="true" ht="12.75" customHeight="true">
      <c r="A4117" s="33" t="str">
        <f t="shared" si="256"/>
        <v>DF2 - Operating Expense</v>
      </c>
      <c r="B4117" s="33" t="str">
        <f t="shared" si="257"/>
        <v>DF2</v>
      </c>
      <c r="C4117" s="33" t="str">
        <f t="shared" si="258"/>
        <v>67001-7392</v>
      </c>
      <c r="D4117" s="64" t="s">
        <v>5080</v>
      </c>
      <c r="E4117" s="64" t="s">
        <v>3242</v>
      </c>
      <c r="F4117" s="64" t="s">
        <v>15</v>
      </c>
      <c r="G4117" s="64" t="s">
        <v>3044</v>
      </c>
      <c r="H4117" s="64" t="s">
        <v>3022</v>
      </c>
      <c r="I4117" s="64" t="s">
        <v>3243</v>
      </c>
      <c r="J4117" s="67">
        <v>7976.78</v>
      </c>
      <c r="K4117" s="62">
        <v>64115.37</v>
      </c>
      <c r="L4117" s="33" t="e">
        <f>HLOOKUP(B4117,#REF!,1,0)</f>
        <v>#REF!</v>
      </c>
      <c r="M4117" s="33" t="str">
        <f t="shared" si="259"/>
        <v>P&amp;L</v>
      </c>
    </row>
    <row r="4118" spans="1:13" s="33" customFormat="true" ht="12.75" customHeight="true">
      <c r="A4118" s="33" t="str">
        <f t="shared" si="256"/>
        <v>DF2 - Operating Expense</v>
      </c>
      <c r="B4118" s="33" t="str">
        <f t="shared" si="257"/>
        <v>DF2</v>
      </c>
      <c r="C4118" s="33" t="str">
        <f t="shared" si="258"/>
        <v>67001-7487</v>
      </c>
      <c r="D4118" s="64" t="s">
        <v>5081</v>
      </c>
      <c r="E4118" s="64" t="s">
        <v>3242</v>
      </c>
      <c r="F4118" s="64" t="s">
        <v>15</v>
      </c>
      <c r="G4118" s="64" t="s">
        <v>3044</v>
      </c>
      <c r="H4118" s="64" t="s">
        <v>3022</v>
      </c>
      <c r="I4118" s="64" t="s">
        <v>3243</v>
      </c>
      <c r="J4118" s="67">
        <v>4624</v>
      </c>
      <c r="K4118" s="62">
        <v>38278</v>
      </c>
      <c r="L4118" s="33" t="e">
        <f>HLOOKUP(B4118,#REF!,1,0)</f>
        <v>#REF!</v>
      </c>
      <c r="M4118" s="33" t="str">
        <f t="shared" si="259"/>
        <v>P&amp;L</v>
      </c>
    </row>
    <row r="4119" spans="1:13" s="33" customFormat="true" ht="12.75" customHeight="true">
      <c r="A4119" s="33" t="str">
        <f t="shared" si="256"/>
        <v>DF2 - Operating Expense</v>
      </c>
      <c r="B4119" s="33" t="str">
        <f t="shared" si="257"/>
        <v>DF2</v>
      </c>
      <c r="C4119" s="33" t="str">
        <f t="shared" si="258"/>
        <v>67001-7488</v>
      </c>
      <c r="D4119" s="64" t="s">
        <v>5082</v>
      </c>
      <c r="E4119" s="64" t="s">
        <v>3242</v>
      </c>
      <c r="F4119" s="64" t="s">
        <v>15</v>
      </c>
      <c r="G4119" s="64" t="s">
        <v>3044</v>
      </c>
      <c r="H4119" s="64" t="s">
        <v>3022</v>
      </c>
      <c r="I4119" s="64" t="s">
        <v>3243</v>
      </c>
      <c r="J4119" s="67">
        <v>4106.71</v>
      </c>
      <c r="K4119" s="62">
        <v>31458.2</v>
      </c>
      <c r="L4119" s="33" t="e">
        <f>HLOOKUP(B4119,#REF!,1,0)</f>
        <v>#REF!</v>
      </c>
      <c r="M4119" s="33" t="str">
        <f t="shared" si="259"/>
        <v>P&amp;L</v>
      </c>
    </row>
    <row r="4120" spans="1:13" s="33" customFormat="true" ht="12.75" customHeight="true">
      <c r="A4120" s="33" t="str">
        <f t="shared" si="256"/>
        <v>DF2 - Operating Expense</v>
      </c>
      <c r="B4120" s="33" t="str">
        <f t="shared" si="257"/>
        <v>DF2</v>
      </c>
      <c r="C4120" s="33" t="str">
        <f t="shared" si="258"/>
        <v>67001-7495</v>
      </c>
      <c r="D4120" s="64" t="s">
        <v>5083</v>
      </c>
      <c r="E4120" s="64" t="s">
        <v>3242</v>
      </c>
      <c r="F4120" s="64" t="s">
        <v>15</v>
      </c>
      <c r="G4120" s="64" t="s">
        <v>3044</v>
      </c>
      <c r="H4120" s="64" t="s">
        <v>3022</v>
      </c>
      <c r="I4120" s="64" t="s">
        <v>3243</v>
      </c>
      <c r="J4120" s="67">
        <v>4882.38</v>
      </c>
      <c r="K4120" s="62">
        <v>38614.69</v>
      </c>
      <c r="L4120" s="33" t="e">
        <f>HLOOKUP(B4120,#REF!,1,0)</f>
        <v>#REF!</v>
      </c>
      <c r="M4120" s="33" t="str">
        <f t="shared" si="259"/>
        <v>P&amp;L</v>
      </c>
    </row>
    <row r="4121" spans="1:13" s="33" customFormat="true" ht="12.75" customHeight="true">
      <c r="A4121" s="33" t="str">
        <f t="shared" si="256"/>
        <v>DF2 - Operating Expense</v>
      </c>
      <c r="B4121" s="33" t="str">
        <f t="shared" si="257"/>
        <v>DF2</v>
      </c>
      <c r="C4121" s="33" t="str">
        <f t="shared" si="258"/>
        <v>67501-7367</v>
      </c>
      <c r="D4121" s="64" t="s">
        <v>5084</v>
      </c>
      <c r="E4121" s="64" t="s">
        <v>3248</v>
      </c>
      <c r="F4121" s="64" t="s">
        <v>15</v>
      </c>
      <c r="G4121" s="64" t="s">
        <v>3044</v>
      </c>
      <c r="H4121" s="64" t="s">
        <v>3022</v>
      </c>
      <c r="I4121" s="64" t="s">
        <v>3249</v>
      </c>
      <c r="J4121" s="67">
        <v>8817.99</v>
      </c>
      <c r="K4121" s="62">
        <v>70963.01</v>
      </c>
      <c r="L4121" s="33" t="e">
        <f>HLOOKUP(B4121,#REF!,1,0)</f>
        <v>#REF!</v>
      </c>
      <c r="M4121" s="33" t="str">
        <f t="shared" si="259"/>
        <v>P&amp;L</v>
      </c>
    </row>
    <row r="4122" spans="1:13" s="33" customFormat="true" ht="12.75" customHeight="true">
      <c r="A4122" s="33" t="str">
        <f t="shared" si="256"/>
        <v>DF2 - Operating Expense</v>
      </c>
      <c r="B4122" s="33" t="str">
        <f t="shared" si="257"/>
        <v>DF2</v>
      </c>
      <c r="C4122" s="33" t="str">
        <f t="shared" si="258"/>
        <v>67501-7392</v>
      </c>
      <c r="D4122" s="64" t="s">
        <v>5085</v>
      </c>
      <c r="E4122" s="64" t="s">
        <v>3248</v>
      </c>
      <c r="F4122" s="64" t="s">
        <v>15</v>
      </c>
      <c r="G4122" s="64" t="s">
        <v>3044</v>
      </c>
      <c r="H4122" s="64" t="s">
        <v>3022</v>
      </c>
      <c r="I4122" s="64" t="s">
        <v>3249</v>
      </c>
      <c r="J4122" s="67">
        <v>11965.16</v>
      </c>
      <c r="K4122" s="62">
        <v>96173.09</v>
      </c>
      <c r="L4122" s="33" t="e">
        <f>HLOOKUP(B4122,#REF!,1,0)</f>
        <v>#REF!</v>
      </c>
      <c r="M4122" s="33" t="str">
        <f t="shared" si="259"/>
        <v>P&amp;L</v>
      </c>
    </row>
    <row r="4123" spans="1:13" s="33" customFormat="true" ht="12.75" customHeight="true">
      <c r="A4123" s="33" t="str">
        <f t="shared" si="256"/>
        <v>DF2 - Operating Expense</v>
      </c>
      <c r="B4123" s="33" t="str">
        <f t="shared" si="257"/>
        <v>DF2</v>
      </c>
      <c r="C4123" s="33" t="str">
        <f t="shared" si="258"/>
        <v>67501-7487</v>
      </c>
      <c r="D4123" s="64" t="s">
        <v>5086</v>
      </c>
      <c r="E4123" s="64" t="s">
        <v>3248</v>
      </c>
      <c r="F4123" s="64" t="s">
        <v>15</v>
      </c>
      <c r="G4123" s="64" t="s">
        <v>3044</v>
      </c>
      <c r="H4123" s="64" t="s">
        <v>3022</v>
      </c>
      <c r="I4123" s="64" t="s">
        <v>3249</v>
      </c>
      <c r="J4123" s="67">
        <v>6936</v>
      </c>
      <c r="K4123" s="62">
        <v>57416.99</v>
      </c>
      <c r="L4123" s="33" t="e">
        <f>HLOOKUP(B4123,#REF!,1,0)</f>
        <v>#REF!</v>
      </c>
      <c r="M4123" s="33" t="str">
        <f t="shared" si="259"/>
        <v>P&amp;L</v>
      </c>
    </row>
    <row r="4124" spans="1:13" s="33" customFormat="true" ht="12.75" customHeight="true">
      <c r="A4124" s="33" t="str">
        <f t="shared" si="256"/>
        <v>DF2 - Operating Expense</v>
      </c>
      <c r="B4124" s="33" t="str">
        <f t="shared" si="257"/>
        <v>DF2</v>
      </c>
      <c r="C4124" s="33" t="str">
        <f t="shared" si="258"/>
        <v>67501-7488</v>
      </c>
      <c r="D4124" s="64" t="s">
        <v>5087</v>
      </c>
      <c r="E4124" s="64" t="s">
        <v>3248</v>
      </c>
      <c r="F4124" s="64" t="s">
        <v>15</v>
      </c>
      <c r="G4124" s="64" t="s">
        <v>3044</v>
      </c>
      <c r="H4124" s="64" t="s">
        <v>3022</v>
      </c>
      <c r="I4124" s="64" t="s">
        <v>3249</v>
      </c>
      <c r="J4124" s="67">
        <v>6160.06</v>
      </c>
      <c r="K4124" s="62">
        <v>47187.22</v>
      </c>
      <c r="L4124" s="33" t="e">
        <f>HLOOKUP(B4124,#REF!,1,0)</f>
        <v>#REF!</v>
      </c>
      <c r="M4124" s="33" t="str">
        <f t="shared" si="259"/>
        <v>P&amp;L</v>
      </c>
    </row>
    <row r="4125" spans="1:13" s="33" customFormat="true" ht="12.75" customHeight="true">
      <c r="A4125" s="33" t="str">
        <f t="shared" si="256"/>
        <v>DF2 - Operating Expense</v>
      </c>
      <c r="B4125" s="33" t="str">
        <f t="shared" si="257"/>
        <v>DF2</v>
      </c>
      <c r="C4125" s="33" t="str">
        <f t="shared" si="258"/>
        <v>67501-7495</v>
      </c>
      <c r="D4125" s="64" t="s">
        <v>5088</v>
      </c>
      <c r="E4125" s="64" t="s">
        <v>3248</v>
      </c>
      <c r="F4125" s="64" t="s">
        <v>15</v>
      </c>
      <c r="G4125" s="64" t="s">
        <v>3044</v>
      </c>
      <c r="H4125" s="64" t="s">
        <v>3022</v>
      </c>
      <c r="I4125" s="64" t="s">
        <v>3249</v>
      </c>
      <c r="J4125" s="67">
        <v>7323.56</v>
      </c>
      <c r="K4125" s="62">
        <v>57921.99</v>
      </c>
      <c r="L4125" s="33" t="e">
        <f>HLOOKUP(B4125,#REF!,1,0)</f>
        <v>#REF!</v>
      </c>
      <c r="M4125" s="33" t="str">
        <f t="shared" si="259"/>
        <v>P&amp;L</v>
      </c>
    </row>
    <row r="4126" spans="1:13" s="33" customFormat="true" ht="12.75" customHeight="true">
      <c r="A4126" s="33" t="str">
        <f t="shared" si="256"/>
        <v>DF2 - Operating Expense</v>
      </c>
      <c r="B4126" s="33" t="str">
        <f t="shared" si="257"/>
        <v>DF2</v>
      </c>
      <c r="C4126" s="33" t="str">
        <f t="shared" si="258"/>
        <v>68000-7367</v>
      </c>
      <c r="D4126" s="64" t="s">
        <v>5089</v>
      </c>
      <c r="E4126" s="64" t="s">
        <v>3254</v>
      </c>
      <c r="F4126" s="64" t="s">
        <v>15</v>
      </c>
      <c r="G4126" s="64" t="s">
        <v>3044</v>
      </c>
      <c r="H4126" s="64" t="s">
        <v>3022</v>
      </c>
      <c r="I4126" s="64" t="s">
        <v>3255</v>
      </c>
      <c r="J4126" s="67">
        <v>298.6</v>
      </c>
      <c r="K4126" s="62">
        <v>1333.36</v>
      </c>
      <c r="L4126" s="33" t="e">
        <f>HLOOKUP(B4126,#REF!,1,0)</f>
        <v>#REF!</v>
      </c>
      <c r="M4126" s="33" t="str">
        <f t="shared" si="259"/>
        <v>P&amp;L</v>
      </c>
    </row>
    <row r="4127" spans="1:13" s="33" customFormat="true" ht="12.75" customHeight="true">
      <c r="A4127" s="33" t="str">
        <f t="shared" si="256"/>
        <v>DF2 - Operating Expense</v>
      </c>
      <c r="B4127" s="33" t="str">
        <f t="shared" si="257"/>
        <v>DF2</v>
      </c>
      <c r="C4127" s="33" t="str">
        <f t="shared" si="258"/>
        <v>68000-7392</v>
      </c>
      <c r="D4127" s="64" t="s">
        <v>5090</v>
      </c>
      <c r="E4127" s="64" t="s">
        <v>3254</v>
      </c>
      <c r="F4127" s="64" t="s">
        <v>15</v>
      </c>
      <c r="G4127" s="64" t="s">
        <v>3044</v>
      </c>
      <c r="H4127" s="64" t="s">
        <v>3022</v>
      </c>
      <c r="I4127" s="64" t="s">
        <v>3255</v>
      </c>
      <c r="J4127" s="67">
        <v>298.61</v>
      </c>
      <c r="K4127" s="62">
        <v>1333.37</v>
      </c>
      <c r="L4127" s="33" t="e">
        <f>HLOOKUP(B4127,#REF!,1,0)</f>
        <v>#REF!</v>
      </c>
      <c r="M4127" s="33" t="str">
        <f t="shared" si="259"/>
        <v>P&amp;L</v>
      </c>
    </row>
    <row r="4128" spans="1:13" s="33" customFormat="true" ht="12.75" customHeight="true">
      <c r="A4128" s="33" t="str">
        <f t="shared" si="256"/>
        <v>DF2 - Operating Expense</v>
      </c>
      <c r="B4128" s="33" t="str">
        <f t="shared" si="257"/>
        <v>DF2</v>
      </c>
      <c r="C4128" s="33" t="str">
        <f t="shared" si="258"/>
        <v>68000-7487</v>
      </c>
      <c r="D4128" s="64" t="s">
        <v>5091</v>
      </c>
      <c r="E4128" s="64" t="s">
        <v>3254</v>
      </c>
      <c r="F4128" s="64" t="s">
        <v>15</v>
      </c>
      <c r="G4128" s="64" t="s">
        <v>3044</v>
      </c>
      <c r="H4128" s="64" t="s">
        <v>3022</v>
      </c>
      <c r="I4128" s="64" t="s">
        <v>3255</v>
      </c>
      <c r="J4128" s="67">
        <v>298.61</v>
      </c>
      <c r="K4128" s="62">
        <v>1337.83</v>
      </c>
      <c r="L4128" s="33" t="e">
        <f>HLOOKUP(B4128,#REF!,1,0)</f>
        <v>#REF!</v>
      </c>
      <c r="M4128" s="33" t="str">
        <f t="shared" si="259"/>
        <v>P&amp;L</v>
      </c>
    </row>
    <row r="4129" spans="1:13" s="33" customFormat="true" ht="12.75" customHeight="true">
      <c r="A4129" s="33" t="str">
        <f t="shared" si="256"/>
        <v>DF2 - Operating Expense</v>
      </c>
      <c r="B4129" s="33" t="str">
        <f t="shared" si="257"/>
        <v>DF2</v>
      </c>
      <c r="C4129" s="33" t="str">
        <f t="shared" si="258"/>
        <v>68000-7488</v>
      </c>
      <c r="D4129" s="64" t="s">
        <v>5092</v>
      </c>
      <c r="E4129" s="64" t="s">
        <v>3254</v>
      </c>
      <c r="F4129" s="64" t="s">
        <v>15</v>
      </c>
      <c r="G4129" s="64" t="s">
        <v>3044</v>
      </c>
      <c r="H4129" s="64" t="s">
        <v>3022</v>
      </c>
      <c r="I4129" s="64" t="s">
        <v>3255</v>
      </c>
      <c r="J4129" s="67">
        <v>298.6</v>
      </c>
      <c r="K4129" s="62">
        <v>1333.36</v>
      </c>
      <c r="L4129" s="33" t="e">
        <f>HLOOKUP(B4129,#REF!,1,0)</f>
        <v>#REF!</v>
      </c>
      <c r="M4129" s="33" t="str">
        <f t="shared" si="259"/>
        <v>P&amp;L</v>
      </c>
    </row>
    <row r="4130" spans="1:13" s="33" customFormat="true" ht="12.75" customHeight="true">
      <c r="A4130" s="33" t="str">
        <f t="shared" si="256"/>
        <v>DF2 - Operating Expense</v>
      </c>
      <c r="B4130" s="33" t="str">
        <f t="shared" si="257"/>
        <v>DF2</v>
      </c>
      <c r="C4130" s="33" t="str">
        <f t="shared" si="258"/>
        <v>68000-7495</v>
      </c>
      <c r="D4130" s="64" t="s">
        <v>5093</v>
      </c>
      <c r="E4130" s="64" t="s">
        <v>3254</v>
      </c>
      <c r="F4130" s="64" t="s">
        <v>15</v>
      </c>
      <c r="G4130" s="64" t="s">
        <v>3044</v>
      </c>
      <c r="H4130" s="64" t="s">
        <v>3022</v>
      </c>
      <c r="I4130" s="64" t="s">
        <v>3255</v>
      </c>
      <c r="J4130" s="67">
        <v>298.61</v>
      </c>
      <c r="K4130" s="62">
        <v>1337.83</v>
      </c>
      <c r="L4130" s="33" t="e">
        <f>HLOOKUP(B4130,#REF!,1,0)</f>
        <v>#REF!</v>
      </c>
      <c r="M4130" s="33" t="str">
        <f t="shared" si="259"/>
        <v>P&amp;L</v>
      </c>
    </row>
    <row r="4131" spans="1:13" s="33" customFormat="true" ht="12.75" customHeight="true">
      <c r="A4131" s="33" t="str">
        <f t="shared" si="256"/>
        <v>DF2 - Operating Expense</v>
      </c>
      <c r="B4131" s="33" t="str">
        <f t="shared" si="257"/>
        <v>DF2</v>
      </c>
      <c r="C4131" s="33" t="str">
        <f t="shared" si="258"/>
        <v>68001-7367</v>
      </c>
      <c r="D4131" s="64" t="s">
        <v>5094</v>
      </c>
      <c r="E4131" s="64" t="s">
        <v>3260</v>
      </c>
      <c r="F4131" s="64" t="s">
        <v>15</v>
      </c>
      <c r="G4131" s="64" t="s">
        <v>3044</v>
      </c>
      <c r="H4131" s="64" t="s">
        <v>3022</v>
      </c>
      <c r="I4131" s="64" t="s">
        <v>3255</v>
      </c>
      <c r="J4131" s="67">
        <v>145.58</v>
      </c>
      <c r="K4131" s="62">
        <v>1016.23</v>
      </c>
      <c r="L4131" s="33" t="e">
        <f>HLOOKUP(B4131,#REF!,1,0)</f>
        <v>#REF!</v>
      </c>
      <c r="M4131" s="33" t="str">
        <f t="shared" si="259"/>
        <v>P&amp;L</v>
      </c>
    </row>
    <row r="4132" spans="1:13" s="33" customFormat="true" ht="12.75" customHeight="true">
      <c r="A4132" s="33" t="str">
        <f t="shared" si="256"/>
        <v>DF2 - Operating Expense</v>
      </c>
      <c r="B4132" s="33" t="str">
        <f t="shared" si="257"/>
        <v>DF2</v>
      </c>
      <c r="C4132" s="33" t="str">
        <f t="shared" si="258"/>
        <v>68001-7392</v>
      </c>
      <c r="D4132" s="64" t="s">
        <v>5095</v>
      </c>
      <c r="E4132" s="64" t="s">
        <v>3260</v>
      </c>
      <c r="F4132" s="64" t="s">
        <v>15</v>
      </c>
      <c r="G4132" s="64" t="s">
        <v>3044</v>
      </c>
      <c r="H4132" s="64" t="s">
        <v>3022</v>
      </c>
      <c r="I4132" s="64" t="s">
        <v>3255</v>
      </c>
      <c r="J4132" s="67">
        <v>151</v>
      </c>
      <c r="K4132" s="62">
        <v>1046.41</v>
      </c>
      <c r="L4132" s="33" t="e">
        <f>HLOOKUP(B4132,#REF!,1,0)</f>
        <v>#REF!</v>
      </c>
      <c r="M4132" s="33" t="str">
        <f t="shared" si="259"/>
        <v>P&amp;L</v>
      </c>
    </row>
    <row r="4133" spans="1:13" s="33" customFormat="true" ht="12.75" customHeight="true">
      <c r="A4133" s="33" t="str">
        <f t="shared" si="256"/>
        <v>DF2 - Operating Expense</v>
      </c>
      <c r="B4133" s="33" t="str">
        <f t="shared" si="257"/>
        <v>DF2</v>
      </c>
      <c r="C4133" s="33" t="str">
        <f t="shared" si="258"/>
        <v>68001-7487</v>
      </c>
      <c r="D4133" s="64" t="s">
        <v>5096</v>
      </c>
      <c r="E4133" s="64" t="s">
        <v>3260</v>
      </c>
      <c r="F4133" s="64" t="s">
        <v>15</v>
      </c>
      <c r="G4133" s="64" t="s">
        <v>3044</v>
      </c>
      <c r="H4133" s="64" t="s">
        <v>3022</v>
      </c>
      <c r="I4133" s="64" t="s">
        <v>3255</v>
      </c>
      <c r="J4133" s="67">
        <v>150.15</v>
      </c>
      <c r="K4133" s="62">
        <v>1508.83</v>
      </c>
      <c r="L4133" s="33" t="e">
        <f>HLOOKUP(B4133,#REF!,1,0)</f>
        <v>#REF!</v>
      </c>
      <c r="M4133" s="33" t="str">
        <f t="shared" si="259"/>
        <v>P&amp;L</v>
      </c>
    </row>
    <row r="4134" spans="1:13" s="33" customFormat="true" ht="12.75" customHeight="true">
      <c r="A4134" s="33" t="str">
        <f t="shared" si="256"/>
        <v>DF2 - Operating Expense</v>
      </c>
      <c r="B4134" s="33" t="str">
        <f t="shared" si="257"/>
        <v>DF2</v>
      </c>
      <c r="C4134" s="33" t="str">
        <f t="shared" si="258"/>
        <v>68001-7488</v>
      </c>
      <c r="D4134" s="64" t="s">
        <v>5097</v>
      </c>
      <c r="E4134" s="64" t="s">
        <v>3260</v>
      </c>
      <c r="F4134" s="64" t="s">
        <v>15</v>
      </c>
      <c r="G4134" s="64" t="s">
        <v>3044</v>
      </c>
      <c r="H4134" s="64" t="s">
        <v>3022</v>
      </c>
      <c r="I4134" s="64" t="s">
        <v>3255</v>
      </c>
      <c r="J4134" s="67">
        <v>150.15</v>
      </c>
      <c r="K4134" s="62">
        <v>1051.65</v>
      </c>
      <c r="L4134" s="33" t="e">
        <f>HLOOKUP(B4134,#REF!,1,0)</f>
        <v>#REF!</v>
      </c>
      <c r="M4134" s="33" t="str">
        <f t="shared" si="259"/>
        <v>P&amp;L</v>
      </c>
    </row>
    <row r="4135" spans="1:13" s="33" customFormat="true" ht="12.75" customHeight="true">
      <c r="A4135" s="33" t="str">
        <f t="shared" si="256"/>
        <v>DF2 - Operating Expense</v>
      </c>
      <c r="B4135" s="33" t="str">
        <f t="shared" si="257"/>
        <v>DF2</v>
      </c>
      <c r="C4135" s="33" t="str">
        <f t="shared" si="258"/>
        <v>68001-7495</v>
      </c>
      <c r="D4135" s="64" t="s">
        <v>5098</v>
      </c>
      <c r="E4135" s="64" t="s">
        <v>3260</v>
      </c>
      <c r="F4135" s="64" t="s">
        <v>15</v>
      </c>
      <c r="G4135" s="64" t="s">
        <v>3044</v>
      </c>
      <c r="H4135" s="64" t="s">
        <v>3022</v>
      </c>
      <c r="I4135" s="64" t="s">
        <v>3255</v>
      </c>
      <c r="J4135" s="67">
        <v>142.56</v>
      </c>
      <c r="K4135" s="62">
        <v>1017.72</v>
      </c>
      <c r="L4135" s="33" t="e">
        <f>HLOOKUP(B4135,#REF!,1,0)</f>
        <v>#REF!</v>
      </c>
      <c r="M4135" s="33" t="str">
        <f t="shared" si="259"/>
        <v>P&amp;L</v>
      </c>
    </row>
    <row r="4136" spans="1:13" s="33" customFormat="true" ht="12.75" customHeight="true">
      <c r="A4136" s="33" t="str">
        <f t="shared" si="256"/>
        <v>DF2 - Facility</v>
      </c>
      <c r="B4136" s="33" t="str">
        <f t="shared" si="257"/>
        <v>DF2</v>
      </c>
      <c r="C4136" s="33" t="str">
        <f t="shared" si="258"/>
        <v>70001-7367</v>
      </c>
      <c r="D4136" s="64" t="s">
        <v>5099</v>
      </c>
      <c r="E4136" s="64" t="s">
        <v>3265</v>
      </c>
      <c r="F4136" s="64" t="s">
        <v>15</v>
      </c>
      <c r="G4136" s="64" t="s">
        <v>3266</v>
      </c>
      <c r="H4136" s="64" t="s">
        <v>3267</v>
      </c>
      <c r="I4136" s="64" t="s">
        <v>3268</v>
      </c>
      <c r="J4136" s="67">
        <v>9156.58</v>
      </c>
      <c r="K4136" s="62">
        <v>91565.8</v>
      </c>
      <c r="L4136" s="33" t="e">
        <f>HLOOKUP(B4136,#REF!,1,0)</f>
        <v>#REF!</v>
      </c>
      <c r="M4136" s="33" t="str">
        <f t="shared" si="259"/>
        <v>P&amp;L</v>
      </c>
    </row>
    <row r="4137" spans="1:13" s="33" customFormat="true" ht="12.75" customHeight="true">
      <c r="A4137" s="33" t="str">
        <f t="shared" si="256"/>
        <v>DF2 - Facility</v>
      </c>
      <c r="B4137" s="33" t="str">
        <f t="shared" si="257"/>
        <v>DF2</v>
      </c>
      <c r="C4137" s="33" t="str">
        <f t="shared" si="258"/>
        <v>70001-7392</v>
      </c>
      <c r="D4137" s="64" t="s">
        <v>5100</v>
      </c>
      <c r="E4137" s="64" t="s">
        <v>3265</v>
      </c>
      <c r="F4137" s="64" t="s">
        <v>15</v>
      </c>
      <c r="G4137" s="64" t="s">
        <v>3266</v>
      </c>
      <c r="H4137" s="64" t="s">
        <v>3267</v>
      </c>
      <c r="I4137" s="64" t="s">
        <v>3268</v>
      </c>
      <c r="J4137" s="67">
        <v>9750</v>
      </c>
      <c r="K4137" s="62">
        <v>97500</v>
      </c>
      <c r="L4137" s="33" t="e">
        <f>HLOOKUP(B4137,#REF!,1,0)</f>
        <v>#REF!</v>
      </c>
      <c r="M4137" s="33" t="str">
        <f t="shared" si="259"/>
        <v>P&amp;L</v>
      </c>
    </row>
    <row r="4138" spans="1:13" s="33" customFormat="true" ht="12.75" customHeight="true">
      <c r="A4138" s="33" t="str">
        <f t="shared" si="256"/>
        <v>DF2 - Facility</v>
      </c>
      <c r="B4138" s="33" t="str">
        <f t="shared" si="257"/>
        <v>DF2</v>
      </c>
      <c r="C4138" s="33" t="str">
        <f t="shared" si="258"/>
        <v>70001-7487</v>
      </c>
      <c r="D4138" s="64" t="s">
        <v>5101</v>
      </c>
      <c r="E4138" s="64" t="s">
        <v>3265</v>
      </c>
      <c r="F4138" s="64" t="s">
        <v>15</v>
      </c>
      <c r="G4138" s="64" t="s">
        <v>3266</v>
      </c>
      <c r="H4138" s="64" t="s">
        <v>3267</v>
      </c>
      <c r="I4138" s="64" t="s">
        <v>3268</v>
      </c>
      <c r="J4138" s="67">
        <v>9808.33</v>
      </c>
      <c r="K4138" s="62">
        <v>98083.3</v>
      </c>
      <c r="L4138" s="33" t="e">
        <f>HLOOKUP(B4138,#REF!,1,0)</f>
        <v>#REF!</v>
      </c>
      <c r="M4138" s="33" t="str">
        <f t="shared" si="259"/>
        <v>P&amp;L</v>
      </c>
    </row>
    <row r="4139" spans="1:13" s="33" customFormat="true" ht="12.75" customHeight="true">
      <c r="A4139" s="33" t="str">
        <f t="shared" si="256"/>
        <v>DF2 - Facility</v>
      </c>
      <c r="B4139" s="33" t="str">
        <f t="shared" si="257"/>
        <v>DF2</v>
      </c>
      <c r="C4139" s="33" t="str">
        <f t="shared" si="258"/>
        <v>70001-7488</v>
      </c>
      <c r="D4139" s="64" t="s">
        <v>5102</v>
      </c>
      <c r="E4139" s="64" t="s">
        <v>3265</v>
      </c>
      <c r="F4139" s="64" t="s">
        <v>15</v>
      </c>
      <c r="G4139" s="64" t="s">
        <v>3266</v>
      </c>
      <c r="H4139" s="64" t="s">
        <v>3267</v>
      </c>
      <c r="I4139" s="64" t="s">
        <v>3268</v>
      </c>
      <c r="J4139" s="67">
        <v>11000</v>
      </c>
      <c r="K4139" s="62">
        <v>110000</v>
      </c>
      <c r="L4139" s="33" t="e">
        <f>HLOOKUP(B4139,#REF!,1,0)</f>
        <v>#REF!</v>
      </c>
      <c r="M4139" s="33" t="str">
        <f t="shared" si="259"/>
        <v>P&amp;L</v>
      </c>
    </row>
    <row r="4140" spans="1:13" s="33" customFormat="true" ht="12.75" customHeight="true">
      <c r="A4140" s="33" t="str">
        <f t="shared" si="256"/>
        <v>DF2 - Facility</v>
      </c>
      <c r="B4140" s="33" t="str">
        <f t="shared" si="257"/>
        <v>DF2</v>
      </c>
      <c r="C4140" s="33" t="str">
        <f t="shared" si="258"/>
        <v>70001-7495</v>
      </c>
      <c r="D4140" s="64" t="s">
        <v>5103</v>
      </c>
      <c r="E4140" s="64" t="s">
        <v>3265</v>
      </c>
      <c r="F4140" s="64" t="s">
        <v>15</v>
      </c>
      <c r="G4140" s="64" t="s">
        <v>3266</v>
      </c>
      <c r="H4140" s="64" t="s">
        <v>3267</v>
      </c>
      <c r="I4140" s="64" t="s">
        <v>3268</v>
      </c>
      <c r="J4140" s="67">
        <v>12213</v>
      </c>
      <c r="K4140" s="62">
        <v>118944</v>
      </c>
      <c r="L4140" s="33" t="e">
        <f>HLOOKUP(B4140,#REF!,1,0)</f>
        <v>#REF!</v>
      </c>
      <c r="M4140" s="33" t="str">
        <f t="shared" si="259"/>
        <v>P&amp;L</v>
      </c>
    </row>
    <row r="4141" spans="1:13" s="33" customFormat="true" ht="12.75" customHeight="true">
      <c r="A4141" s="33" t="str">
        <f t="shared" si="256"/>
        <v>DF2 - Facility</v>
      </c>
      <c r="B4141" s="33" t="str">
        <f t="shared" si="257"/>
        <v>DF2</v>
      </c>
      <c r="C4141" s="33" t="str">
        <f t="shared" si="258"/>
        <v>71001-7367</v>
      </c>
      <c r="D4141" s="64" t="s">
        <v>5104</v>
      </c>
      <c r="E4141" s="64" t="s">
        <v>3274</v>
      </c>
      <c r="F4141" s="64" t="s">
        <v>15</v>
      </c>
      <c r="G4141" s="64" t="s">
        <v>3266</v>
      </c>
      <c r="H4141" s="64" t="s">
        <v>3267</v>
      </c>
      <c r="I4141" s="64" t="s">
        <v>3275</v>
      </c>
      <c r="J4141" s="67">
        <v>208.33</v>
      </c>
      <c r="K4141" s="62">
        <v>7256.07</v>
      </c>
      <c r="L4141" s="33" t="e">
        <f>HLOOKUP(B4141,#REF!,1,0)</f>
        <v>#REF!</v>
      </c>
      <c r="M4141" s="33" t="str">
        <f t="shared" si="259"/>
        <v>P&amp;L</v>
      </c>
    </row>
    <row r="4142" spans="1:13" s="33" customFormat="true" ht="12.75" customHeight="true">
      <c r="A4142" s="33" t="str">
        <f t="shared" si="256"/>
        <v>DF2 - Facility</v>
      </c>
      <c r="B4142" s="33" t="str">
        <f t="shared" si="257"/>
        <v>DF2</v>
      </c>
      <c r="C4142" s="33" t="str">
        <f t="shared" si="258"/>
        <v>71001-7392</v>
      </c>
      <c r="D4142" s="64" t="s">
        <v>5105</v>
      </c>
      <c r="E4142" s="64" t="s">
        <v>3274</v>
      </c>
      <c r="F4142" s="64" t="s">
        <v>15</v>
      </c>
      <c r="G4142" s="64" t="s">
        <v>3266</v>
      </c>
      <c r="H4142" s="64" t="s">
        <v>3267</v>
      </c>
      <c r="I4142" s="64" t="s">
        <v>3275</v>
      </c>
      <c r="J4142" s="67">
        <v>769</v>
      </c>
      <c r="K4142" s="62">
        <v>7690</v>
      </c>
      <c r="L4142" s="33" t="e">
        <f>HLOOKUP(B4142,#REF!,1,0)</f>
        <v>#REF!</v>
      </c>
      <c r="M4142" s="33" t="str">
        <f t="shared" si="259"/>
        <v>P&amp;L</v>
      </c>
    </row>
    <row r="4143" spans="1:13" s="33" customFormat="true" ht="12.75" customHeight="true">
      <c r="A4143" s="33" t="str">
        <f t="shared" si="256"/>
        <v>DF2 - Facility</v>
      </c>
      <c r="B4143" s="33" t="str">
        <f t="shared" si="257"/>
        <v>DF2</v>
      </c>
      <c r="C4143" s="33" t="str">
        <f t="shared" si="258"/>
        <v>71001-7487</v>
      </c>
      <c r="D4143" s="64" t="s">
        <v>5106</v>
      </c>
      <c r="E4143" s="64" t="s">
        <v>3274</v>
      </c>
      <c r="F4143" s="64" t="s">
        <v>15</v>
      </c>
      <c r="G4143" s="64" t="s">
        <v>3266</v>
      </c>
      <c r="H4143" s="64" t="s">
        <v>3267</v>
      </c>
      <c r="I4143" s="64" t="s">
        <v>3275</v>
      </c>
      <c r="J4143" s="67">
        <v>208.33</v>
      </c>
      <c r="K4143" s="62">
        <v>2083.3</v>
      </c>
      <c r="L4143" s="33" t="e">
        <f>HLOOKUP(B4143,#REF!,1,0)</f>
        <v>#REF!</v>
      </c>
      <c r="M4143" s="33" t="str">
        <f t="shared" si="259"/>
        <v>P&amp;L</v>
      </c>
    </row>
    <row r="4144" spans="1:13" s="33" customFormat="true" ht="12.75" customHeight="true">
      <c r="A4144" s="33" t="str">
        <f t="shared" si="256"/>
        <v>DF2 - Facility</v>
      </c>
      <c r="B4144" s="33" t="str">
        <f t="shared" si="257"/>
        <v>DF2</v>
      </c>
      <c r="C4144" s="33" t="str">
        <f t="shared" si="258"/>
        <v>71001-7488</v>
      </c>
      <c r="D4144" s="64" t="s">
        <v>5107</v>
      </c>
      <c r="E4144" s="64" t="s">
        <v>3274</v>
      </c>
      <c r="F4144" s="64" t="s">
        <v>15</v>
      </c>
      <c r="G4144" s="64" t="s">
        <v>3266</v>
      </c>
      <c r="H4144" s="64" t="s">
        <v>3267</v>
      </c>
      <c r="I4144" s="64" t="s">
        <v>3275</v>
      </c>
      <c r="J4144" s="67">
        <v>2034.81</v>
      </c>
      <c r="K4144" s="62">
        <v>21050.98</v>
      </c>
      <c r="L4144" s="33" t="e">
        <f>HLOOKUP(B4144,#REF!,1,0)</f>
        <v>#REF!</v>
      </c>
      <c r="M4144" s="33" t="str">
        <f t="shared" si="259"/>
        <v>P&amp;L</v>
      </c>
    </row>
    <row r="4145" spans="1:13" s="33" customFormat="true" ht="12.75" customHeight="true">
      <c r="A4145" s="33" t="str">
        <f t="shared" si="256"/>
        <v>DF2 - Facility</v>
      </c>
      <c r="B4145" s="33" t="str">
        <f t="shared" si="257"/>
        <v>DF2</v>
      </c>
      <c r="C4145" s="33" t="str">
        <f t="shared" si="258"/>
        <v>71001-7495</v>
      </c>
      <c r="D4145" s="64" t="s">
        <v>5108</v>
      </c>
      <c r="E4145" s="64" t="s">
        <v>3274</v>
      </c>
      <c r="F4145" s="64" t="s">
        <v>15</v>
      </c>
      <c r="G4145" s="64" t="s">
        <v>3266</v>
      </c>
      <c r="H4145" s="64" t="s">
        <v>3267</v>
      </c>
      <c r="I4145" s="64" t="s">
        <v>3275</v>
      </c>
      <c r="J4145" s="67">
        <v>2460.01</v>
      </c>
      <c r="K4145" s="62">
        <v>56864.82</v>
      </c>
      <c r="L4145" s="33" t="e">
        <f>HLOOKUP(B4145,#REF!,1,0)</f>
        <v>#REF!</v>
      </c>
      <c r="M4145" s="33" t="str">
        <f t="shared" si="259"/>
        <v>P&amp;L</v>
      </c>
    </row>
    <row r="4146" spans="1:13" s="33" customFormat="true" ht="12.75" customHeight="true">
      <c r="A4146" s="33" t="str">
        <f t="shared" si="256"/>
        <v>DF2 - Facility</v>
      </c>
      <c r="B4146" s="33" t="str">
        <f t="shared" si="257"/>
        <v>DF2</v>
      </c>
      <c r="C4146" s="33" t="str">
        <f t="shared" si="258"/>
        <v>72001-7367</v>
      </c>
      <c r="D4146" s="64" t="s">
        <v>5109</v>
      </c>
      <c r="E4146" s="64" t="s">
        <v>3279</v>
      </c>
      <c r="F4146" s="64" t="s">
        <v>15</v>
      </c>
      <c r="G4146" s="64" t="s">
        <v>3266</v>
      </c>
      <c r="H4146" s="64" t="s">
        <v>3267</v>
      </c>
      <c r="I4146" s="64" t="s">
        <v>3280</v>
      </c>
      <c r="J4146" s="67">
        <v>1293</v>
      </c>
      <c r="K4146" s="62">
        <v>13588.53</v>
      </c>
      <c r="L4146" s="33" t="e">
        <f>HLOOKUP(B4146,#REF!,1,0)</f>
        <v>#REF!</v>
      </c>
      <c r="M4146" s="33" t="str">
        <f t="shared" si="259"/>
        <v>P&amp;L</v>
      </c>
    </row>
    <row r="4147" spans="1:13" s="33" customFormat="true" ht="12.75" customHeight="true">
      <c r="A4147" s="33" t="str">
        <f t="shared" si="256"/>
        <v>DF2 - Facility</v>
      </c>
      <c r="B4147" s="33" t="str">
        <f t="shared" si="257"/>
        <v>DF2</v>
      </c>
      <c r="C4147" s="33" t="str">
        <f t="shared" si="258"/>
        <v>72001-7392</v>
      </c>
      <c r="D4147" s="64" t="s">
        <v>5110</v>
      </c>
      <c r="E4147" s="64" t="s">
        <v>3279</v>
      </c>
      <c r="F4147" s="64" t="s">
        <v>15</v>
      </c>
      <c r="G4147" s="64" t="s">
        <v>3266</v>
      </c>
      <c r="H4147" s="64" t="s">
        <v>3267</v>
      </c>
      <c r="I4147" s="64" t="s">
        <v>3280</v>
      </c>
      <c r="J4147" s="67">
        <v>800</v>
      </c>
      <c r="K4147" s="62">
        <v>8607.93</v>
      </c>
      <c r="L4147" s="33" t="e">
        <f>HLOOKUP(B4147,#REF!,1,0)</f>
        <v>#REF!</v>
      </c>
      <c r="M4147" s="33" t="str">
        <f t="shared" si="259"/>
        <v>P&amp;L</v>
      </c>
    </row>
    <row r="4148" spans="1:13" s="33" customFormat="true" ht="12.75" customHeight="true">
      <c r="A4148" s="33" t="str">
        <f t="shared" si="256"/>
        <v>DF2 - Facility</v>
      </c>
      <c r="B4148" s="33" t="str">
        <f t="shared" si="257"/>
        <v>DF2</v>
      </c>
      <c r="C4148" s="33" t="str">
        <f t="shared" si="258"/>
        <v>72001-7487</v>
      </c>
      <c r="D4148" s="64" t="s">
        <v>5111</v>
      </c>
      <c r="E4148" s="64" t="s">
        <v>3279</v>
      </c>
      <c r="F4148" s="64" t="s">
        <v>15</v>
      </c>
      <c r="G4148" s="64" t="s">
        <v>3266</v>
      </c>
      <c r="H4148" s="64" t="s">
        <v>3267</v>
      </c>
      <c r="I4148" s="64" t="s">
        <v>3280</v>
      </c>
      <c r="J4148" s="67">
        <v>1263</v>
      </c>
      <c r="K4148" s="62">
        <v>12724.09</v>
      </c>
      <c r="L4148" s="33" t="e">
        <f>HLOOKUP(B4148,#REF!,1,0)</f>
        <v>#REF!</v>
      </c>
      <c r="M4148" s="33" t="str">
        <f t="shared" si="259"/>
        <v>P&amp;L</v>
      </c>
    </row>
    <row r="4149" spans="1:13" s="33" customFormat="true" ht="12.75" customHeight="true">
      <c r="A4149" s="33" t="str">
        <f t="shared" si="256"/>
        <v>DF2 - Facility</v>
      </c>
      <c r="B4149" s="33" t="str">
        <f t="shared" si="257"/>
        <v>DF2</v>
      </c>
      <c r="C4149" s="33" t="str">
        <f t="shared" si="258"/>
        <v>72001-7488</v>
      </c>
      <c r="D4149" s="64" t="s">
        <v>5112</v>
      </c>
      <c r="E4149" s="64" t="s">
        <v>3279</v>
      </c>
      <c r="F4149" s="64" t="s">
        <v>15</v>
      </c>
      <c r="G4149" s="64" t="s">
        <v>3266</v>
      </c>
      <c r="H4149" s="64" t="s">
        <v>3267</v>
      </c>
      <c r="I4149" s="64" t="s">
        <v>3280</v>
      </c>
      <c r="J4149" s="67">
        <v>2143</v>
      </c>
      <c r="K4149" s="62">
        <v>22936.51</v>
      </c>
      <c r="L4149" s="33" t="e">
        <f>HLOOKUP(B4149,#REF!,1,0)</f>
        <v>#REF!</v>
      </c>
      <c r="M4149" s="33" t="str">
        <f t="shared" si="259"/>
        <v>P&amp;L</v>
      </c>
    </row>
    <row r="4150" spans="1:13" s="33" customFormat="true" ht="12.75" customHeight="true">
      <c r="A4150" s="33" t="str">
        <f t="shared" si="256"/>
        <v>DF2 - Facility</v>
      </c>
      <c r="B4150" s="33" t="str">
        <f t="shared" si="257"/>
        <v>DF2</v>
      </c>
      <c r="C4150" s="33" t="str">
        <f t="shared" si="258"/>
        <v>72001-7495</v>
      </c>
      <c r="D4150" s="64" t="s">
        <v>5113</v>
      </c>
      <c r="E4150" s="64" t="s">
        <v>3279</v>
      </c>
      <c r="F4150" s="64" t="s">
        <v>15</v>
      </c>
      <c r="G4150" s="64" t="s">
        <v>3266</v>
      </c>
      <c r="H4150" s="64" t="s">
        <v>3267</v>
      </c>
      <c r="I4150" s="64" t="s">
        <v>3280</v>
      </c>
      <c r="J4150" s="67">
        <v>2974.32</v>
      </c>
      <c r="K4150" s="62">
        <v>15337.31</v>
      </c>
      <c r="L4150" s="33" t="e">
        <f>HLOOKUP(B4150,#REF!,1,0)</f>
        <v>#REF!</v>
      </c>
      <c r="M4150" s="33" t="str">
        <f t="shared" si="259"/>
        <v>P&amp;L</v>
      </c>
    </row>
    <row r="4151" spans="1:13" s="33" customFormat="true" ht="12.75" customHeight="true">
      <c r="A4151" s="33" t="str">
        <f t="shared" si="256"/>
        <v>DF2 - Facility</v>
      </c>
      <c r="B4151" s="33" t="str">
        <f t="shared" si="257"/>
        <v>DF2</v>
      </c>
      <c r="C4151" s="33" t="str">
        <f t="shared" si="258"/>
        <v>73001-7495</v>
      </c>
      <c r="D4151" s="64" t="s">
        <v>5114</v>
      </c>
      <c r="E4151" s="64" t="s">
        <v>3285</v>
      </c>
      <c r="F4151" s="64" t="s">
        <v>15</v>
      </c>
      <c r="G4151" s="64" t="s">
        <v>3266</v>
      </c>
      <c r="H4151" s="64" t="s">
        <v>3267</v>
      </c>
      <c r="I4151" s="64" t="s">
        <v>3286</v>
      </c>
      <c r="J4151" s="67">
        <v>110.68</v>
      </c>
      <c r="K4151" s="62">
        <v>442.72</v>
      </c>
      <c r="L4151" s="33" t="e">
        <f>HLOOKUP(B4151,#REF!,1,0)</f>
        <v>#REF!</v>
      </c>
      <c r="M4151" s="33" t="str">
        <f t="shared" si="259"/>
        <v>P&amp;L</v>
      </c>
    </row>
    <row r="4152" spans="1:13" s="33" customFormat="true" ht="12.75" customHeight="true">
      <c r="A4152" s="33" t="str">
        <f t="shared" si="256"/>
        <v>DF2 - Facility</v>
      </c>
      <c r="B4152" s="33" t="str">
        <f t="shared" si="257"/>
        <v>DF2</v>
      </c>
      <c r="C4152" s="33" t="str">
        <f t="shared" si="258"/>
        <v>74001-0000</v>
      </c>
      <c r="D4152" s="64" t="s">
        <v>5115</v>
      </c>
      <c r="E4152" s="64" t="s">
        <v>3288</v>
      </c>
      <c r="F4152" s="64" t="s">
        <v>15</v>
      </c>
      <c r="G4152" s="64" t="s">
        <v>3266</v>
      </c>
      <c r="H4152" s="64" t="s">
        <v>3267</v>
      </c>
      <c r="I4152" s="64" t="s">
        <v>3286</v>
      </c>
      <c r="J4152" s="67">
        <v>1030.32</v>
      </c>
      <c r="K4152" s="62">
        <v>1030.32</v>
      </c>
      <c r="L4152" s="33" t="e">
        <f>HLOOKUP(B4152,#REF!,1,0)</f>
        <v>#REF!</v>
      </c>
      <c r="M4152" s="33" t="str">
        <f t="shared" si="259"/>
        <v>P&amp;L</v>
      </c>
    </row>
    <row r="4153" spans="1:13" s="33" customFormat="true" ht="12.75" customHeight="true">
      <c r="A4153" s="33" t="str">
        <f t="shared" si="256"/>
        <v>DF2 - Facility</v>
      </c>
      <c r="B4153" s="33" t="str">
        <f t="shared" si="257"/>
        <v>DF2</v>
      </c>
      <c r="C4153" s="33" t="str">
        <f t="shared" si="258"/>
        <v>74001-7367</v>
      </c>
      <c r="D4153" s="64" t="s">
        <v>5116</v>
      </c>
      <c r="E4153" s="64" t="s">
        <v>3288</v>
      </c>
      <c r="F4153" s="64" t="s">
        <v>15</v>
      </c>
      <c r="G4153" s="64" t="s">
        <v>3266</v>
      </c>
      <c r="H4153" s="64" t="s">
        <v>3267</v>
      </c>
      <c r="I4153" s="64" t="s">
        <v>3286</v>
      </c>
      <c r="J4153" s="67">
        <v>439.62</v>
      </c>
      <c r="K4153" s="62">
        <v>4243.06</v>
      </c>
      <c r="L4153" s="33" t="e">
        <f>HLOOKUP(B4153,#REF!,1,0)</f>
        <v>#REF!</v>
      </c>
      <c r="M4153" s="33" t="str">
        <f t="shared" si="259"/>
        <v>P&amp;L</v>
      </c>
    </row>
    <row r="4154" spans="1:13" s="33" customFormat="true" ht="12.75" customHeight="true">
      <c r="A4154" s="33" t="str">
        <f t="shared" si="256"/>
        <v>DF2 - Facility</v>
      </c>
      <c r="B4154" s="33" t="str">
        <f t="shared" si="257"/>
        <v>DF2</v>
      </c>
      <c r="C4154" s="33" t="str">
        <f t="shared" si="258"/>
        <v>74001-7392</v>
      </c>
      <c r="D4154" s="64" t="s">
        <v>5117</v>
      </c>
      <c r="E4154" s="64" t="s">
        <v>3288</v>
      </c>
      <c r="F4154" s="64" t="s">
        <v>15</v>
      </c>
      <c r="G4154" s="64" t="s">
        <v>3266</v>
      </c>
      <c r="H4154" s="64" t="s">
        <v>3267</v>
      </c>
      <c r="I4154" s="64" t="s">
        <v>3286</v>
      </c>
      <c r="J4154" s="67">
        <v>439.62</v>
      </c>
      <c r="K4154" s="62">
        <v>4243.06</v>
      </c>
      <c r="L4154" s="33" t="e">
        <f>HLOOKUP(B4154,#REF!,1,0)</f>
        <v>#REF!</v>
      </c>
      <c r="M4154" s="33" t="str">
        <f t="shared" si="259"/>
        <v>P&amp;L</v>
      </c>
    </row>
    <row r="4155" spans="1:13" s="33" customFormat="true" ht="12.75" customHeight="true">
      <c r="A4155" s="33" t="str">
        <f t="shared" si="256"/>
        <v>DF2 - Facility</v>
      </c>
      <c r="B4155" s="33" t="str">
        <f t="shared" si="257"/>
        <v>DF2</v>
      </c>
      <c r="C4155" s="33" t="str">
        <f t="shared" si="258"/>
        <v>74001-7487</v>
      </c>
      <c r="D4155" s="64" t="s">
        <v>5118</v>
      </c>
      <c r="E4155" s="64" t="s">
        <v>3288</v>
      </c>
      <c r="F4155" s="64" t="s">
        <v>15</v>
      </c>
      <c r="G4155" s="64" t="s">
        <v>3266</v>
      </c>
      <c r="H4155" s="64" t="s">
        <v>3267</v>
      </c>
      <c r="I4155" s="64" t="s">
        <v>3286</v>
      </c>
      <c r="J4155" s="67">
        <v>439.62</v>
      </c>
      <c r="K4155" s="62">
        <v>4243.06</v>
      </c>
      <c r="L4155" s="33" t="e">
        <f>HLOOKUP(B4155,#REF!,1,0)</f>
        <v>#REF!</v>
      </c>
      <c r="M4155" s="33" t="str">
        <f t="shared" si="259"/>
        <v>P&amp;L</v>
      </c>
    </row>
    <row r="4156" spans="1:13" s="33" customFormat="true" ht="12.75" customHeight="true">
      <c r="A4156" s="33" t="str">
        <f t="shared" si="256"/>
        <v>DF2 - Facility</v>
      </c>
      <c r="B4156" s="33" t="str">
        <f t="shared" si="257"/>
        <v>DF2</v>
      </c>
      <c r="C4156" s="33" t="str">
        <f t="shared" si="258"/>
        <v>74001-7488</v>
      </c>
      <c r="D4156" s="64" t="s">
        <v>5119</v>
      </c>
      <c r="E4156" s="64" t="s">
        <v>3288</v>
      </c>
      <c r="F4156" s="64" t="s">
        <v>15</v>
      </c>
      <c r="G4156" s="64" t="s">
        <v>3266</v>
      </c>
      <c r="H4156" s="64" t="s">
        <v>3267</v>
      </c>
      <c r="I4156" s="64" t="s">
        <v>3286</v>
      </c>
      <c r="J4156" s="67">
        <v>439.62</v>
      </c>
      <c r="K4156" s="62">
        <v>4243.06</v>
      </c>
      <c r="L4156" s="33" t="e">
        <f>HLOOKUP(B4156,#REF!,1,0)</f>
        <v>#REF!</v>
      </c>
      <c r="M4156" s="33" t="str">
        <f t="shared" si="259"/>
        <v>P&amp;L</v>
      </c>
    </row>
    <row r="4157" spans="1:13" s="33" customFormat="true" ht="12.75" customHeight="true">
      <c r="A4157" s="33" t="str">
        <f t="shared" si="256"/>
        <v>DF2 - Facility</v>
      </c>
      <c r="B4157" s="33" t="str">
        <f t="shared" si="257"/>
        <v>DF2</v>
      </c>
      <c r="C4157" s="33" t="str">
        <f t="shared" si="258"/>
        <v>74001-7495</v>
      </c>
      <c r="D4157" s="64" t="s">
        <v>5120</v>
      </c>
      <c r="E4157" s="64" t="s">
        <v>3288</v>
      </c>
      <c r="F4157" s="64" t="s">
        <v>15</v>
      </c>
      <c r="G4157" s="64" t="s">
        <v>3266</v>
      </c>
      <c r="H4157" s="64" t="s">
        <v>3267</v>
      </c>
      <c r="I4157" s="64" t="s">
        <v>3286</v>
      </c>
      <c r="J4157" s="67">
        <v>439.62</v>
      </c>
      <c r="K4157" s="62">
        <v>4243.06</v>
      </c>
      <c r="L4157" s="33" t="e">
        <f>HLOOKUP(B4157,#REF!,1,0)</f>
        <v>#REF!</v>
      </c>
      <c r="M4157" s="33" t="str">
        <f t="shared" si="259"/>
        <v>P&amp;L</v>
      </c>
    </row>
    <row r="4158" spans="1:13" s="33" customFormat="true" ht="12.75" customHeight="true">
      <c r="A4158" s="33" t="str">
        <f t="shared" si="256"/>
        <v>DF2 - Facility</v>
      </c>
      <c r="B4158" s="33" t="str">
        <f t="shared" si="257"/>
        <v>DF2</v>
      </c>
      <c r="C4158" s="33" t="str">
        <f t="shared" si="258"/>
        <v>75001-0000</v>
      </c>
      <c r="D4158" s="64" t="s">
        <v>5121</v>
      </c>
      <c r="E4158" s="64" t="s">
        <v>3293</v>
      </c>
      <c r="F4158" s="64" t="s">
        <v>15</v>
      </c>
      <c r="G4158" s="64" t="s">
        <v>3266</v>
      </c>
      <c r="H4158" s="64" t="s">
        <v>3267</v>
      </c>
      <c r="I4158" s="64" t="s">
        <v>3294</v>
      </c>
      <c r="J4158" s="67">
        <v>0</v>
      </c>
      <c r="K4158" s="62">
        <v>383.78</v>
      </c>
      <c r="L4158" s="33" t="e">
        <f>HLOOKUP(B4158,#REF!,1,0)</f>
        <v>#REF!</v>
      </c>
      <c r="M4158" s="33" t="str">
        <f t="shared" si="259"/>
        <v>P&amp;L</v>
      </c>
    </row>
    <row r="4159" spans="1:13" s="33" customFormat="true" ht="12.75" customHeight="true">
      <c r="A4159" s="33" t="str">
        <f t="shared" si="256"/>
        <v>DF2 - Facility</v>
      </c>
      <c r="B4159" s="33" t="str">
        <f t="shared" si="257"/>
        <v>DF2</v>
      </c>
      <c r="C4159" s="33" t="str">
        <f t="shared" si="258"/>
        <v>75001-7367</v>
      </c>
      <c r="D4159" s="64" t="s">
        <v>5122</v>
      </c>
      <c r="E4159" s="64" t="s">
        <v>3293</v>
      </c>
      <c r="F4159" s="64" t="s">
        <v>15</v>
      </c>
      <c r="G4159" s="64" t="s">
        <v>3266</v>
      </c>
      <c r="H4159" s="64" t="s">
        <v>3267</v>
      </c>
      <c r="I4159" s="64" t="s">
        <v>3294</v>
      </c>
      <c r="J4159" s="67">
        <v>241.95</v>
      </c>
      <c r="K4159" s="62">
        <v>1571</v>
      </c>
      <c r="L4159" s="33" t="e">
        <f>HLOOKUP(B4159,#REF!,1,0)</f>
        <v>#REF!</v>
      </c>
      <c r="M4159" s="33" t="str">
        <f t="shared" si="259"/>
        <v>P&amp;L</v>
      </c>
    </row>
    <row r="4160" spans="1:13" s="33" customFormat="true" ht="12.75" customHeight="true">
      <c r="A4160" s="33" t="str">
        <f t="shared" si="256"/>
        <v>DF2 - Facility</v>
      </c>
      <c r="B4160" s="33" t="str">
        <f t="shared" si="257"/>
        <v>DF2</v>
      </c>
      <c r="C4160" s="33" t="str">
        <f t="shared" si="258"/>
        <v>75001-7392</v>
      </c>
      <c r="D4160" s="64" t="s">
        <v>5123</v>
      </c>
      <c r="E4160" s="64" t="s">
        <v>3293</v>
      </c>
      <c r="F4160" s="64" t="s">
        <v>15</v>
      </c>
      <c r="G4160" s="64" t="s">
        <v>3266</v>
      </c>
      <c r="H4160" s="64" t="s">
        <v>3267</v>
      </c>
      <c r="I4160" s="64" t="s">
        <v>3294</v>
      </c>
      <c r="J4160" s="67">
        <v>241.95</v>
      </c>
      <c r="K4160" s="62">
        <v>1994.56</v>
      </c>
      <c r="L4160" s="33" t="e">
        <f>HLOOKUP(B4160,#REF!,1,0)</f>
        <v>#REF!</v>
      </c>
      <c r="M4160" s="33" t="str">
        <f t="shared" si="259"/>
        <v>P&amp;L</v>
      </c>
    </row>
    <row r="4161" spans="1:13" s="33" customFormat="true" ht="12.75" customHeight="true">
      <c r="A4161" s="33" t="str">
        <f t="shared" si="256"/>
        <v>DF2 - Facility</v>
      </c>
      <c r="B4161" s="33" t="str">
        <f t="shared" si="257"/>
        <v>DF2</v>
      </c>
      <c r="C4161" s="33" t="str">
        <f t="shared" si="258"/>
        <v>75001-7487</v>
      </c>
      <c r="D4161" s="64" t="s">
        <v>5124</v>
      </c>
      <c r="E4161" s="64" t="s">
        <v>3293</v>
      </c>
      <c r="F4161" s="64" t="s">
        <v>15</v>
      </c>
      <c r="G4161" s="64" t="s">
        <v>3266</v>
      </c>
      <c r="H4161" s="64" t="s">
        <v>3267</v>
      </c>
      <c r="I4161" s="64" t="s">
        <v>3294</v>
      </c>
      <c r="J4161" s="67">
        <v>1127.2</v>
      </c>
      <c r="K4161" s="62">
        <v>4789.78</v>
      </c>
      <c r="L4161" s="33" t="e">
        <f>HLOOKUP(B4161,#REF!,1,0)</f>
        <v>#REF!</v>
      </c>
      <c r="M4161" s="33" t="str">
        <f t="shared" si="259"/>
        <v>P&amp;L</v>
      </c>
    </row>
    <row r="4162" spans="1:13" s="33" customFormat="true" ht="12.75" customHeight="true">
      <c r="A4162" s="33" t="str">
        <f t="shared" ref="A4162:A4225" si="260">B4162&amp;" - "&amp;TRIM(H4162)</f>
        <v>DF2 - Facility</v>
      </c>
      <c r="B4162" s="33" t="str">
        <f t="shared" ref="B4162:B4225" si="261">LEFT(D4162,3)</f>
        <v>DF2</v>
      </c>
      <c r="C4162" s="33" t="str">
        <f t="shared" ref="C4162:C4225" si="262">RIGHT(D4162,10)</f>
        <v>75001-7488</v>
      </c>
      <c r="D4162" s="64" t="s">
        <v>5125</v>
      </c>
      <c r="E4162" s="64" t="s">
        <v>3293</v>
      </c>
      <c r="F4162" s="64" t="s">
        <v>15</v>
      </c>
      <c r="G4162" s="64" t="s">
        <v>3266</v>
      </c>
      <c r="H4162" s="64" t="s">
        <v>3267</v>
      </c>
      <c r="I4162" s="64" t="s">
        <v>3294</v>
      </c>
      <c r="J4162" s="67">
        <v>241.95</v>
      </c>
      <c r="K4162" s="62">
        <v>1564.56</v>
      </c>
      <c r="L4162" s="33" t="e">
        <f>HLOOKUP(B4162,#REF!,1,0)</f>
        <v>#REF!</v>
      </c>
      <c r="M4162" s="33" t="str">
        <f t="shared" ref="M4162:M4225" si="263">IF(VALUE(LEFT(C4162,5))&gt;40000,"P&amp;L","BS")</f>
        <v>P&amp;L</v>
      </c>
    </row>
    <row r="4163" spans="1:13" s="33" customFormat="true" ht="12.75" customHeight="true">
      <c r="A4163" s="33" t="str">
        <f t="shared" si="260"/>
        <v>DF2 - Facility</v>
      </c>
      <c r="B4163" s="33" t="str">
        <f t="shared" si="261"/>
        <v>DF2</v>
      </c>
      <c r="C4163" s="33" t="str">
        <f t="shared" si="262"/>
        <v>75001-7495</v>
      </c>
      <c r="D4163" s="64" t="s">
        <v>5126</v>
      </c>
      <c r="E4163" s="64" t="s">
        <v>3293</v>
      </c>
      <c r="F4163" s="64" t="s">
        <v>15</v>
      </c>
      <c r="G4163" s="64" t="s">
        <v>3266</v>
      </c>
      <c r="H4163" s="64" t="s">
        <v>3267</v>
      </c>
      <c r="I4163" s="64" t="s">
        <v>3294</v>
      </c>
      <c r="J4163" s="67">
        <v>541.95</v>
      </c>
      <c r="K4163" s="62">
        <v>3193.94</v>
      </c>
      <c r="L4163" s="33" t="e">
        <f>HLOOKUP(B4163,#REF!,1,0)</f>
        <v>#REF!</v>
      </c>
      <c r="M4163" s="33" t="str">
        <f t="shared" si="263"/>
        <v>P&amp;L</v>
      </c>
    </row>
    <row r="4164" spans="1:13" s="33" customFormat="true" ht="12.75" customHeight="true">
      <c r="A4164" s="33" t="str">
        <f t="shared" si="260"/>
        <v>DF2 - Other Income/Expense</v>
      </c>
      <c r="B4164" s="33" t="str">
        <f t="shared" si="261"/>
        <v>DF2</v>
      </c>
      <c r="C4164" s="33" t="str">
        <f t="shared" si="262"/>
        <v>80001-7367</v>
      </c>
      <c r="D4164" s="64" t="s">
        <v>5127</v>
      </c>
      <c r="E4164" s="64" t="s">
        <v>3299</v>
      </c>
      <c r="F4164" s="64" t="s">
        <v>15</v>
      </c>
      <c r="G4164" s="64" t="s">
        <v>3021</v>
      </c>
      <c r="H4164" s="64" t="s">
        <v>3300</v>
      </c>
      <c r="I4164" s="64" t="s">
        <v>3023</v>
      </c>
      <c r="J4164" s="67">
        <v>0</v>
      </c>
      <c r="K4164" s="62">
        <v>289.44</v>
      </c>
      <c r="L4164" s="33" t="e">
        <f>HLOOKUP(B4164,#REF!,1,0)</f>
        <v>#REF!</v>
      </c>
      <c r="M4164" s="33" t="str">
        <f t="shared" si="263"/>
        <v>P&amp;L</v>
      </c>
    </row>
    <row r="4165" spans="1:13" s="33" customFormat="true" ht="12.75" customHeight="true">
      <c r="A4165" s="33" t="str">
        <f t="shared" si="260"/>
        <v>DF2 - Other Income/Expense</v>
      </c>
      <c r="B4165" s="33" t="str">
        <f t="shared" si="261"/>
        <v>DF2</v>
      </c>
      <c r="C4165" s="33" t="str">
        <f t="shared" si="262"/>
        <v>80001-7392</v>
      </c>
      <c r="D4165" s="64" t="s">
        <v>5128</v>
      </c>
      <c r="E4165" s="64" t="s">
        <v>3299</v>
      </c>
      <c r="F4165" s="64" t="s">
        <v>15</v>
      </c>
      <c r="G4165" s="64" t="s">
        <v>3021</v>
      </c>
      <c r="H4165" s="64" t="s">
        <v>3300</v>
      </c>
      <c r="I4165" s="64" t="s">
        <v>3023</v>
      </c>
      <c r="J4165" s="67">
        <v>13.45</v>
      </c>
      <c r="K4165" s="62">
        <v>383.49</v>
      </c>
      <c r="L4165" s="33" t="e">
        <f>HLOOKUP(B4165,#REF!,1,0)</f>
        <v>#REF!</v>
      </c>
      <c r="M4165" s="33" t="str">
        <f t="shared" si="263"/>
        <v>P&amp;L</v>
      </c>
    </row>
    <row r="4166" spans="1:13" s="33" customFormat="true" ht="12.75" customHeight="true">
      <c r="A4166" s="33" t="str">
        <f t="shared" si="260"/>
        <v>DF2 - Other Income/Expense</v>
      </c>
      <c r="B4166" s="33" t="str">
        <f t="shared" si="261"/>
        <v>DF2</v>
      </c>
      <c r="C4166" s="33" t="str">
        <f t="shared" si="262"/>
        <v>80001-7487</v>
      </c>
      <c r="D4166" s="64" t="s">
        <v>5129</v>
      </c>
      <c r="E4166" s="64" t="s">
        <v>3299</v>
      </c>
      <c r="F4166" s="64" t="s">
        <v>15</v>
      </c>
      <c r="G4166" s="64" t="s">
        <v>3021</v>
      </c>
      <c r="H4166" s="64" t="s">
        <v>3300</v>
      </c>
      <c r="I4166" s="64" t="s">
        <v>3023</v>
      </c>
      <c r="J4166" s="67">
        <v>0</v>
      </c>
      <c r="K4166" s="62">
        <v>284.73</v>
      </c>
      <c r="L4166" s="33" t="e">
        <f>HLOOKUP(B4166,#REF!,1,0)</f>
        <v>#REF!</v>
      </c>
      <c r="M4166" s="33" t="str">
        <f t="shared" si="263"/>
        <v>P&amp;L</v>
      </c>
    </row>
    <row r="4167" spans="1:13" s="33" customFormat="true" ht="14.25" customHeight="true">
      <c r="A4167" s="33" t="str">
        <f t="shared" si="260"/>
        <v>DF2 - Other Income/Expense</v>
      </c>
      <c r="B4167" s="33" t="str">
        <f t="shared" si="261"/>
        <v>DF2</v>
      </c>
      <c r="C4167" s="33" t="str">
        <f t="shared" si="262"/>
        <v>80001-7488</v>
      </c>
      <c r="D4167" s="64" t="s">
        <v>5130</v>
      </c>
      <c r="E4167" s="64" t="s">
        <v>3299</v>
      </c>
      <c r="F4167" s="64" t="s">
        <v>15</v>
      </c>
      <c r="G4167" s="64" t="s">
        <v>3021</v>
      </c>
      <c r="H4167" s="33" t="s">
        <v>3300</v>
      </c>
      <c r="I4167" s="64" t="s">
        <v>3023</v>
      </c>
      <c r="J4167" s="67">
        <v>114.18</v>
      </c>
      <c r="K4167" s="62">
        <v>224.28</v>
      </c>
      <c r="L4167" s="33" t="e">
        <f>HLOOKUP(B4167,#REF!,1,0)</f>
        <v>#REF!</v>
      </c>
      <c r="M4167" s="33" t="str">
        <f t="shared" si="263"/>
        <v>P&amp;L</v>
      </c>
    </row>
    <row r="4168" spans="1:13" s="33" customFormat="true" ht="12.75" customHeight="true">
      <c r="A4168" s="33" t="str">
        <f t="shared" si="260"/>
        <v>DF2 - Other Income/Expense</v>
      </c>
      <c r="B4168" s="33" t="str">
        <f t="shared" si="261"/>
        <v>DF2</v>
      </c>
      <c r="C4168" s="33" t="str">
        <f t="shared" si="262"/>
        <v>80001-7495</v>
      </c>
      <c r="D4168" s="64" t="s">
        <v>5131</v>
      </c>
      <c r="E4168" s="64" t="s">
        <v>3299</v>
      </c>
      <c r="F4168" s="64" t="s">
        <v>15</v>
      </c>
      <c r="G4168" s="64" t="s">
        <v>3021</v>
      </c>
      <c r="H4168" s="64" t="s">
        <v>3300</v>
      </c>
      <c r="I4168" s="64" t="s">
        <v>3023</v>
      </c>
      <c r="J4168" s="67">
        <v>0</v>
      </c>
      <c r="K4168" s="62">
        <v>11.34</v>
      </c>
      <c r="L4168" s="33" t="e">
        <f>HLOOKUP(B4168,#REF!,1,0)</f>
        <v>#REF!</v>
      </c>
      <c r="M4168" s="33" t="str">
        <f t="shared" si="263"/>
        <v>P&amp;L</v>
      </c>
    </row>
    <row r="4169" spans="1:13" s="33" customFormat="true" ht="12.75" customHeight="true">
      <c r="A4169" s="33" t="str">
        <f t="shared" si="260"/>
        <v>DF2 - Other Income/Expense</v>
      </c>
      <c r="B4169" s="33" t="str">
        <f t="shared" si="261"/>
        <v>DF2</v>
      </c>
      <c r="C4169" s="33" t="str">
        <f t="shared" si="262"/>
        <v>90002-0000</v>
      </c>
      <c r="D4169" s="64" t="s">
        <v>5132</v>
      </c>
      <c r="E4169" s="64" t="s">
        <v>3306</v>
      </c>
      <c r="F4169" s="64" t="s">
        <v>15</v>
      </c>
      <c r="G4169" s="64" t="s">
        <v>3017</v>
      </c>
      <c r="H4169" s="64" t="s">
        <v>3300</v>
      </c>
      <c r="I4169" s="64" t="s">
        <v>3307</v>
      </c>
      <c r="J4169" s="67">
        <v>49734.94</v>
      </c>
      <c r="K4169" s="62">
        <v>693349.25</v>
      </c>
      <c r="L4169" s="33" t="e">
        <f>HLOOKUP(B4169,#REF!,1,0)</f>
        <v>#REF!</v>
      </c>
      <c r="M4169" s="33" t="str">
        <f t="shared" si="263"/>
        <v>P&amp;L</v>
      </c>
    </row>
    <row r="4170" spans="1:13" s="33" customFormat="true" ht="12.75" customHeight="true">
      <c r="A4170" s="33" t="str">
        <f t="shared" si="260"/>
        <v>DF2 - Other Income/Expense</v>
      </c>
      <c r="B4170" s="33" t="str">
        <f t="shared" si="261"/>
        <v>DF2</v>
      </c>
      <c r="C4170" s="33" t="str">
        <f t="shared" si="262"/>
        <v>90002-7495</v>
      </c>
      <c r="D4170" s="64" t="s">
        <v>5133</v>
      </c>
      <c r="E4170" s="64" t="s">
        <v>3306</v>
      </c>
      <c r="F4170" s="64" t="s">
        <v>15</v>
      </c>
      <c r="G4170" s="64" t="s">
        <v>3017</v>
      </c>
      <c r="H4170" s="64" t="s">
        <v>3300</v>
      </c>
      <c r="I4170" s="64" t="s">
        <v>3307</v>
      </c>
      <c r="J4170" s="67">
        <v>91.35</v>
      </c>
      <c r="K4170" s="62">
        <v>91.35</v>
      </c>
      <c r="L4170" s="33" t="e">
        <f>HLOOKUP(B4170,#REF!,1,0)</f>
        <v>#REF!</v>
      </c>
      <c r="M4170" s="33" t="str">
        <f t="shared" si="263"/>
        <v>P&amp;L</v>
      </c>
    </row>
    <row r="4171" spans="1:13" s="33" customFormat="true" ht="12.75" customHeight="true">
      <c r="A4171" s="33" t="str">
        <f t="shared" si="260"/>
        <v>DF2 - Other Income/Expense</v>
      </c>
      <c r="B4171" s="33" t="str">
        <f t="shared" si="261"/>
        <v>DF2</v>
      </c>
      <c r="C4171" s="33" t="str">
        <f t="shared" si="262"/>
        <v>90013-0000</v>
      </c>
      <c r="D4171" s="64" t="s">
        <v>5134</v>
      </c>
      <c r="E4171" s="64" t="s">
        <v>3309</v>
      </c>
      <c r="F4171" s="64" t="s">
        <v>15</v>
      </c>
      <c r="G4171" s="64" t="s">
        <v>3017</v>
      </c>
      <c r="H4171" s="64" t="s">
        <v>3300</v>
      </c>
      <c r="I4171" s="64" t="s">
        <v>3307</v>
      </c>
      <c r="J4171" s="67">
        <v>0</v>
      </c>
      <c r="K4171" s="62">
        <v>5734.21</v>
      </c>
      <c r="L4171" s="33" t="e">
        <f>HLOOKUP(B4171,#REF!,1,0)</f>
        <v>#REF!</v>
      </c>
      <c r="M4171" s="33" t="str">
        <f t="shared" si="263"/>
        <v>P&amp;L</v>
      </c>
    </row>
    <row r="4172" spans="1:13" s="33" customFormat="true" ht="12.75" customHeight="true">
      <c r="A4172" s="33" t="str">
        <f t="shared" si="260"/>
        <v>DF2 - Other Income/Expense</v>
      </c>
      <c r="B4172" s="33" t="str">
        <f t="shared" si="261"/>
        <v>DF2</v>
      </c>
      <c r="C4172" s="33" t="str">
        <f t="shared" si="262"/>
        <v>90014-0000</v>
      </c>
      <c r="D4172" s="64" t="s">
        <v>5135</v>
      </c>
      <c r="E4172" s="64" t="s">
        <v>3311</v>
      </c>
      <c r="F4172" s="64" t="s">
        <v>15</v>
      </c>
      <c r="G4172" s="64" t="s">
        <v>3017</v>
      </c>
      <c r="H4172" s="64" t="s">
        <v>3300</v>
      </c>
      <c r="I4172" s="64" t="s">
        <v>3307</v>
      </c>
      <c r="J4172" s="67">
        <v>9164.88</v>
      </c>
      <c r="K4172" s="62">
        <v>9164.88</v>
      </c>
      <c r="L4172" s="33" t="e">
        <f>HLOOKUP(B4172,#REF!,1,0)</f>
        <v>#REF!</v>
      </c>
      <c r="M4172" s="33" t="str">
        <f t="shared" si="263"/>
        <v>P&amp;L</v>
      </c>
    </row>
    <row r="4173" spans="1:13" s="33" customFormat="true" ht="12.75" customHeight="true">
      <c r="A4173" s="33" t="str">
        <f t="shared" si="260"/>
        <v>DF2 - Other Income/Expense</v>
      </c>
      <c r="B4173" s="33" t="str">
        <f t="shared" si="261"/>
        <v>DF2</v>
      </c>
      <c r="C4173" s="33" t="str">
        <f t="shared" si="262"/>
        <v>90015-0000</v>
      </c>
      <c r="D4173" s="64" t="s">
        <v>5136</v>
      </c>
      <c r="E4173" s="64" t="s">
        <v>5137</v>
      </c>
      <c r="F4173" s="64" t="s">
        <v>15</v>
      </c>
      <c r="G4173" s="64" t="s">
        <v>3017</v>
      </c>
      <c r="H4173" s="64" t="s">
        <v>3300</v>
      </c>
      <c r="I4173" s="64" t="s">
        <v>5138</v>
      </c>
      <c r="J4173" s="67">
        <v>0</v>
      </c>
      <c r="K4173" s="62">
        <v>0</v>
      </c>
      <c r="L4173" s="33" t="e">
        <f>HLOOKUP(B4173,#REF!,1,0)</f>
        <v>#REF!</v>
      </c>
      <c r="M4173" s="33" t="str">
        <f t="shared" si="263"/>
        <v>P&amp;L</v>
      </c>
    </row>
    <row r="4174" spans="1:13" s="33" customFormat="true" ht="12.75" customHeight="true">
      <c r="A4174" s="33" t="str">
        <f t="shared" si="260"/>
        <v>DF2 - Other Income/Expense</v>
      </c>
      <c r="B4174" s="33" t="str">
        <f t="shared" si="261"/>
        <v>DF2</v>
      </c>
      <c r="C4174" s="33" t="str">
        <f t="shared" si="262"/>
        <v>90201-0000</v>
      </c>
      <c r="D4174" s="64" t="s">
        <v>5139</v>
      </c>
      <c r="E4174" s="64" t="s">
        <v>5140</v>
      </c>
      <c r="F4174" s="64" t="s">
        <v>15</v>
      </c>
      <c r="G4174" s="64" t="s">
        <v>3017</v>
      </c>
      <c r="H4174" s="64" t="s">
        <v>3300</v>
      </c>
      <c r="I4174" s="64" t="s">
        <v>5141</v>
      </c>
      <c r="J4174" s="67">
        <v>6807.72</v>
      </c>
      <c r="K4174" s="62">
        <v>64140.9</v>
      </c>
      <c r="L4174" s="33" t="e">
        <f>HLOOKUP(B4174,#REF!,1,0)</f>
        <v>#REF!</v>
      </c>
      <c r="M4174" s="33" t="str">
        <f t="shared" si="263"/>
        <v>P&amp;L</v>
      </c>
    </row>
    <row r="4175" spans="1:13" s="33" customFormat="true" ht="12.75" customHeight="true">
      <c r="A4175" s="33" t="str">
        <f t="shared" si="260"/>
        <v>DF2 - Other Income/Expense</v>
      </c>
      <c r="B4175" s="33" t="str">
        <f t="shared" si="261"/>
        <v>DF2</v>
      </c>
      <c r="C4175" s="33" t="str">
        <f t="shared" si="262"/>
        <v>90202-0000</v>
      </c>
      <c r="D4175" s="64" t="s">
        <v>5142</v>
      </c>
      <c r="E4175" s="64" t="s">
        <v>3313</v>
      </c>
      <c r="F4175" s="64" t="s">
        <v>15</v>
      </c>
      <c r="G4175" s="64" t="s">
        <v>3017</v>
      </c>
      <c r="H4175" s="64" t="s">
        <v>3300</v>
      </c>
      <c r="I4175" s="64" t="s">
        <v>3010</v>
      </c>
      <c r="J4175" s="67">
        <v>3914.34</v>
      </c>
      <c r="K4175" s="62">
        <v>30196.3</v>
      </c>
      <c r="L4175" s="33" t="e">
        <f>HLOOKUP(B4175,#REF!,1,0)</f>
        <v>#REF!</v>
      </c>
      <c r="M4175" s="33" t="str">
        <f t="shared" si="263"/>
        <v>P&amp;L</v>
      </c>
    </row>
    <row r="4176" spans="1:13" s="33" customFormat="true" ht="12.75" customHeight="true">
      <c r="A4176" s="33" t="str">
        <f t="shared" si="260"/>
        <v>DF2 - Other Income/Expense</v>
      </c>
      <c r="B4176" s="33" t="str">
        <f t="shared" si="261"/>
        <v>DF2</v>
      </c>
      <c r="C4176" s="33" t="str">
        <f t="shared" si="262"/>
        <v>90601-0000</v>
      </c>
      <c r="D4176" s="64" t="s">
        <v>5143</v>
      </c>
      <c r="E4176" s="64" t="s">
        <v>3315</v>
      </c>
      <c r="F4176" s="64" t="s">
        <v>15</v>
      </c>
      <c r="G4176" s="64" t="s">
        <v>3017</v>
      </c>
      <c r="H4176" s="64" t="s">
        <v>3300</v>
      </c>
      <c r="I4176" s="64" t="s">
        <v>3316</v>
      </c>
      <c r="J4176" s="67">
        <v>8479.3</v>
      </c>
      <c r="K4176" s="62">
        <v>144200.12</v>
      </c>
      <c r="L4176" s="33" t="e">
        <f>HLOOKUP(B4176,#REF!,1,0)</f>
        <v>#REF!</v>
      </c>
      <c r="M4176" s="33" t="str">
        <f t="shared" si="263"/>
        <v>P&amp;L</v>
      </c>
    </row>
    <row r="4177" spans="1:13" s="33" customFormat="true" ht="12.75" customHeight="true">
      <c r="A4177" s="33" t="str">
        <f t="shared" si="260"/>
        <v>DF2 - Other Income/Expense</v>
      </c>
      <c r="B4177" s="33" t="str">
        <f t="shared" si="261"/>
        <v>DF2</v>
      </c>
      <c r="C4177" s="33" t="str">
        <f t="shared" si="262"/>
        <v>91801-7367</v>
      </c>
      <c r="D4177" s="64" t="s">
        <v>5144</v>
      </c>
      <c r="E4177" s="64" t="s">
        <v>3318</v>
      </c>
      <c r="F4177" s="64" t="s">
        <v>15</v>
      </c>
      <c r="G4177" s="64" t="s">
        <v>3017</v>
      </c>
      <c r="H4177" s="64" t="s">
        <v>3300</v>
      </c>
      <c r="I4177" s="64" t="s">
        <v>3319</v>
      </c>
      <c r="J4177" s="67">
        <v>0</v>
      </c>
      <c r="K4177" s="62">
        <v>187.48</v>
      </c>
      <c r="L4177" s="33" t="e">
        <f>HLOOKUP(B4177,#REF!,1,0)</f>
        <v>#REF!</v>
      </c>
      <c r="M4177" s="33" t="str">
        <f t="shared" si="263"/>
        <v>P&amp;L</v>
      </c>
    </row>
    <row r="4178" spans="1:13" s="33" customFormat="true" ht="12.75" customHeight="true">
      <c r="A4178" s="33" t="str">
        <f t="shared" si="260"/>
        <v>DF2 - Other Income/Expense</v>
      </c>
      <c r="B4178" s="33" t="str">
        <f t="shared" si="261"/>
        <v>DF2</v>
      </c>
      <c r="C4178" s="33" t="str">
        <f t="shared" si="262"/>
        <v>91801-7392</v>
      </c>
      <c r="D4178" s="64" t="s">
        <v>5145</v>
      </c>
      <c r="E4178" s="64" t="s">
        <v>3318</v>
      </c>
      <c r="F4178" s="64" t="s">
        <v>15</v>
      </c>
      <c r="G4178" s="64" t="s">
        <v>3017</v>
      </c>
      <c r="H4178" s="64" t="s">
        <v>3300</v>
      </c>
      <c r="I4178" s="64" t="s">
        <v>3319</v>
      </c>
      <c r="J4178" s="67">
        <v>0</v>
      </c>
      <c r="K4178" s="62">
        <v>100</v>
      </c>
      <c r="L4178" s="33" t="e">
        <f>HLOOKUP(B4178,#REF!,1,0)</f>
        <v>#REF!</v>
      </c>
      <c r="M4178" s="33" t="str">
        <f t="shared" si="263"/>
        <v>P&amp;L</v>
      </c>
    </row>
    <row r="4179" spans="1:13" s="33" customFormat="true" ht="12.75" customHeight="true">
      <c r="A4179" s="33" t="str">
        <f t="shared" si="260"/>
        <v>DF2 - Other Income/Expense</v>
      </c>
      <c r="B4179" s="33" t="str">
        <f t="shared" si="261"/>
        <v>DF2</v>
      </c>
      <c r="C4179" s="33" t="str">
        <f t="shared" si="262"/>
        <v>91801-7487</v>
      </c>
      <c r="D4179" s="64" t="s">
        <v>5146</v>
      </c>
      <c r="E4179" s="64" t="s">
        <v>3318</v>
      </c>
      <c r="F4179" s="64" t="s">
        <v>15</v>
      </c>
      <c r="G4179" s="64" t="s">
        <v>3017</v>
      </c>
      <c r="H4179" s="64" t="s">
        <v>3300</v>
      </c>
      <c r="I4179" s="64" t="s">
        <v>3319</v>
      </c>
      <c r="J4179" s="67">
        <v>0</v>
      </c>
      <c r="K4179" s="62">
        <v>187.48</v>
      </c>
      <c r="L4179" s="33" t="e">
        <f>HLOOKUP(B4179,#REF!,1,0)</f>
        <v>#REF!</v>
      </c>
      <c r="M4179" s="33" t="str">
        <f t="shared" si="263"/>
        <v>P&amp;L</v>
      </c>
    </row>
    <row r="4180" spans="1:13" s="33" customFormat="true" ht="12.75" customHeight="true">
      <c r="A4180" s="33" t="str">
        <f t="shared" si="260"/>
        <v>DF2 - Other Income/Expense</v>
      </c>
      <c r="B4180" s="33" t="str">
        <f t="shared" si="261"/>
        <v>DF2</v>
      </c>
      <c r="C4180" s="33" t="str">
        <f t="shared" si="262"/>
        <v>91801-7488</v>
      </c>
      <c r="D4180" s="64" t="s">
        <v>5147</v>
      </c>
      <c r="E4180" s="64" t="s">
        <v>3318</v>
      </c>
      <c r="F4180" s="64" t="s">
        <v>15</v>
      </c>
      <c r="G4180" s="64" t="s">
        <v>3017</v>
      </c>
      <c r="H4180" s="64" t="s">
        <v>3300</v>
      </c>
      <c r="I4180" s="64" t="s">
        <v>3319</v>
      </c>
      <c r="J4180" s="67">
        <v>0</v>
      </c>
      <c r="K4180" s="62">
        <v>187.48</v>
      </c>
      <c r="L4180" s="33" t="e">
        <f>HLOOKUP(B4180,#REF!,1,0)</f>
        <v>#REF!</v>
      </c>
      <c r="M4180" s="33" t="str">
        <f t="shared" si="263"/>
        <v>P&amp;L</v>
      </c>
    </row>
    <row r="4181" spans="1:13" s="33" customFormat="true" ht="12.75" customHeight="true">
      <c r="A4181" s="33" t="str">
        <f t="shared" si="260"/>
        <v>DF2 - Other Income/Expense</v>
      </c>
      <c r="B4181" s="33" t="str">
        <f t="shared" si="261"/>
        <v>DF2</v>
      </c>
      <c r="C4181" s="33" t="str">
        <f t="shared" si="262"/>
        <v>91801-7495</v>
      </c>
      <c r="D4181" s="64" t="s">
        <v>5148</v>
      </c>
      <c r="E4181" s="64" t="s">
        <v>3318</v>
      </c>
      <c r="F4181" s="64" t="s">
        <v>15</v>
      </c>
      <c r="G4181" s="64" t="s">
        <v>3017</v>
      </c>
      <c r="H4181" s="64" t="s">
        <v>3300</v>
      </c>
      <c r="I4181" s="64" t="s">
        <v>3319</v>
      </c>
      <c r="J4181" s="67">
        <v>0</v>
      </c>
      <c r="K4181" s="62">
        <v>100</v>
      </c>
      <c r="L4181" s="33" t="e">
        <f>HLOOKUP(B4181,#REF!,1,0)</f>
        <v>#REF!</v>
      </c>
      <c r="M4181" s="33" t="str">
        <f t="shared" si="263"/>
        <v>P&amp;L</v>
      </c>
    </row>
    <row r="4182" spans="1:13" s="33" customFormat="true" ht="12.75" customHeight="true">
      <c r="A4182" s="33" t="str">
        <f t="shared" si="260"/>
        <v>DF2 - Interest Expense</v>
      </c>
      <c r="B4182" s="33" t="str">
        <f t="shared" si="261"/>
        <v>DF2</v>
      </c>
      <c r="C4182" s="33" t="str">
        <f t="shared" si="262"/>
        <v>92401-7367</v>
      </c>
      <c r="D4182" s="64" t="s">
        <v>5149</v>
      </c>
      <c r="E4182" s="64" t="s">
        <v>3325</v>
      </c>
      <c r="F4182" s="64" t="s">
        <v>15</v>
      </c>
      <c r="G4182" s="64" t="s">
        <v>3326</v>
      </c>
      <c r="H4182" s="64" t="s">
        <v>3327</v>
      </c>
      <c r="I4182" s="64" t="s">
        <v>3328</v>
      </c>
      <c r="J4182" s="67">
        <v>1796.47</v>
      </c>
      <c r="K4182" s="62">
        <v>15226.37</v>
      </c>
      <c r="L4182" s="33" t="e">
        <f>HLOOKUP(B4182,#REF!,1,0)</f>
        <v>#REF!</v>
      </c>
      <c r="M4182" s="33" t="str">
        <f t="shared" si="263"/>
        <v>P&amp;L</v>
      </c>
    </row>
    <row r="4183" spans="1:13" s="33" customFormat="true" ht="12.75" customHeight="true">
      <c r="A4183" s="33" t="str">
        <f t="shared" si="260"/>
        <v>DF2 - Interest Expense</v>
      </c>
      <c r="B4183" s="33" t="str">
        <f t="shared" si="261"/>
        <v>DF2</v>
      </c>
      <c r="C4183" s="33" t="str">
        <f t="shared" si="262"/>
        <v>92401-7392</v>
      </c>
      <c r="D4183" s="64" t="s">
        <v>5150</v>
      </c>
      <c r="E4183" s="64" t="s">
        <v>3325</v>
      </c>
      <c r="F4183" s="64" t="s">
        <v>15</v>
      </c>
      <c r="G4183" s="64" t="s">
        <v>3326</v>
      </c>
      <c r="H4183" s="64" t="s">
        <v>3327</v>
      </c>
      <c r="I4183" s="64" t="s">
        <v>3328</v>
      </c>
      <c r="J4183" s="67">
        <v>1796.47</v>
      </c>
      <c r="K4183" s="62">
        <v>15226.37</v>
      </c>
      <c r="L4183" s="33" t="e">
        <f>HLOOKUP(B4183,#REF!,1,0)</f>
        <v>#REF!</v>
      </c>
      <c r="M4183" s="33" t="str">
        <f t="shared" si="263"/>
        <v>P&amp;L</v>
      </c>
    </row>
    <row r="4184" spans="1:13" s="33" customFormat="true" ht="12.75" customHeight="true">
      <c r="A4184" s="33" t="str">
        <f t="shared" si="260"/>
        <v>DF2 - Interest Expense</v>
      </c>
      <c r="B4184" s="33" t="str">
        <f t="shared" si="261"/>
        <v>DF2</v>
      </c>
      <c r="C4184" s="33" t="str">
        <f t="shared" si="262"/>
        <v>92401-7487</v>
      </c>
      <c r="D4184" s="64" t="s">
        <v>5151</v>
      </c>
      <c r="E4184" s="64" t="s">
        <v>3325</v>
      </c>
      <c r="F4184" s="64" t="s">
        <v>15</v>
      </c>
      <c r="G4184" s="64" t="s">
        <v>3326</v>
      </c>
      <c r="H4184" s="64" t="s">
        <v>3327</v>
      </c>
      <c r="I4184" s="64" t="s">
        <v>3328</v>
      </c>
      <c r="J4184" s="67">
        <v>1796.47</v>
      </c>
      <c r="K4184" s="62">
        <v>15226.37</v>
      </c>
      <c r="L4184" s="33" t="e">
        <f>HLOOKUP(B4184,#REF!,1,0)</f>
        <v>#REF!</v>
      </c>
      <c r="M4184" s="33" t="str">
        <f t="shared" si="263"/>
        <v>P&amp;L</v>
      </c>
    </row>
    <row r="4185" spans="1:13" s="33" customFormat="true" ht="12.75" customHeight="true">
      <c r="A4185" s="33" t="str">
        <f t="shared" si="260"/>
        <v>DF2 - Interest Expense</v>
      </c>
      <c r="B4185" s="33" t="str">
        <f t="shared" si="261"/>
        <v>DF2</v>
      </c>
      <c r="C4185" s="33" t="str">
        <f t="shared" si="262"/>
        <v>92401-7488</v>
      </c>
      <c r="D4185" s="64" t="s">
        <v>5152</v>
      </c>
      <c r="E4185" s="64" t="s">
        <v>3325</v>
      </c>
      <c r="F4185" s="64" t="s">
        <v>15</v>
      </c>
      <c r="G4185" s="64" t="s">
        <v>3326</v>
      </c>
      <c r="H4185" s="64" t="s">
        <v>3327</v>
      </c>
      <c r="I4185" s="64" t="s">
        <v>3328</v>
      </c>
      <c r="J4185" s="67">
        <v>1796.47</v>
      </c>
      <c r="K4185" s="62">
        <v>15226.37</v>
      </c>
      <c r="L4185" s="33" t="e">
        <f>HLOOKUP(B4185,#REF!,1,0)</f>
        <v>#REF!</v>
      </c>
      <c r="M4185" s="33" t="str">
        <f t="shared" si="263"/>
        <v>P&amp;L</v>
      </c>
    </row>
    <row r="4186" spans="1:13" s="33" customFormat="true" ht="12.75" customHeight="true">
      <c r="A4186" s="33" t="str">
        <f t="shared" si="260"/>
        <v>DF2 - Interest Expense</v>
      </c>
      <c r="B4186" s="33" t="str">
        <f t="shared" si="261"/>
        <v>DF2</v>
      </c>
      <c r="C4186" s="33" t="str">
        <f t="shared" si="262"/>
        <v>92401-7495</v>
      </c>
      <c r="D4186" s="64" t="s">
        <v>5153</v>
      </c>
      <c r="E4186" s="64" t="s">
        <v>3325</v>
      </c>
      <c r="F4186" s="64" t="s">
        <v>15</v>
      </c>
      <c r="G4186" s="64" t="s">
        <v>3326</v>
      </c>
      <c r="H4186" s="64" t="s">
        <v>3327</v>
      </c>
      <c r="I4186" s="64" t="s">
        <v>3328</v>
      </c>
      <c r="J4186" s="67">
        <v>1796.47</v>
      </c>
      <c r="K4186" s="62">
        <v>15226.37</v>
      </c>
      <c r="L4186" s="33" t="e">
        <f>HLOOKUP(B4186,#REF!,1,0)</f>
        <v>#REF!</v>
      </c>
      <c r="M4186" s="33" t="str">
        <f t="shared" si="263"/>
        <v>P&amp;L</v>
      </c>
    </row>
    <row r="4187" spans="1:13" s="33" customFormat="true" ht="12.75" customHeight="true">
      <c r="A4187" s="33" t="str">
        <f t="shared" si="260"/>
        <v>DF2 - Other Income/Expense</v>
      </c>
      <c r="B4187" s="33" t="str">
        <f t="shared" si="261"/>
        <v>DF2</v>
      </c>
      <c r="C4187" s="33" t="str">
        <f t="shared" si="262"/>
        <v>92801-0000</v>
      </c>
      <c r="D4187" s="64" t="s">
        <v>5154</v>
      </c>
      <c r="E4187" s="64" t="s">
        <v>5155</v>
      </c>
      <c r="F4187" s="64" t="s">
        <v>15</v>
      </c>
      <c r="G4187" s="64" t="s">
        <v>3017</v>
      </c>
      <c r="H4187" s="64" t="s">
        <v>3300</v>
      </c>
      <c r="I4187" s="64" t="s">
        <v>5156</v>
      </c>
      <c r="J4187" s="67">
        <v>2147.1</v>
      </c>
      <c r="K4187" s="62">
        <v>36794.49</v>
      </c>
      <c r="L4187" s="33" t="e">
        <f>HLOOKUP(B4187,#REF!,1,0)</f>
        <v>#REF!</v>
      </c>
      <c r="M4187" s="33" t="str">
        <f t="shared" si="263"/>
        <v>P&amp;L</v>
      </c>
    </row>
    <row r="4188" spans="1:13" s="33" customFormat="true" ht="12.75" customHeight="true">
      <c r="A4188" s="33" t="str">
        <f t="shared" si="260"/>
        <v>DF2 - Legal Settlement</v>
      </c>
      <c r="B4188" s="33" t="str">
        <f t="shared" si="261"/>
        <v>DF2</v>
      </c>
      <c r="C4188" s="33" t="str">
        <f t="shared" si="262"/>
        <v>92802-0000</v>
      </c>
      <c r="D4188" s="64" t="s">
        <v>5157</v>
      </c>
      <c r="E4188" s="64" t="s">
        <v>5158</v>
      </c>
      <c r="F4188" s="64" t="s">
        <v>15</v>
      </c>
      <c r="G4188" s="64" t="s">
        <v>3326</v>
      </c>
      <c r="H4188" s="64" t="s">
        <v>5159</v>
      </c>
      <c r="I4188" s="64" t="s">
        <v>5160</v>
      </c>
      <c r="J4188" s="67">
        <v>0</v>
      </c>
      <c r="K4188" s="62">
        <v>36562.5</v>
      </c>
      <c r="L4188" s="33" t="e">
        <f>HLOOKUP(B4188,#REF!,1,0)</f>
        <v>#REF!</v>
      </c>
      <c r="M4188" s="33" t="str">
        <f t="shared" si="263"/>
        <v>P&amp;L</v>
      </c>
    </row>
    <row r="4189" spans="1:13" s="33" customFormat="true" ht="12.75" customHeight="true">
      <c r="A4189" s="33" t="str">
        <f t="shared" si="260"/>
        <v>DF2 - Other Income/Expense</v>
      </c>
      <c r="B4189" s="33" t="str">
        <f t="shared" si="261"/>
        <v>DF2</v>
      </c>
      <c r="C4189" s="33" t="str">
        <f t="shared" si="262"/>
        <v>92901-7367</v>
      </c>
      <c r="D4189" s="64" t="s">
        <v>5161</v>
      </c>
      <c r="E4189" s="64" t="s">
        <v>3333</v>
      </c>
      <c r="F4189" s="64" t="s">
        <v>15</v>
      </c>
      <c r="G4189" s="64" t="s">
        <v>3017</v>
      </c>
      <c r="H4189" s="64" t="s">
        <v>3300</v>
      </c>
      <c r="I4189" s="64" t="s">
        <v>3334</v>
      </c>
      <c r="J4189" s="67">
        <v>3319.35</v>
      </c>
      <c r="K4189" s="62">
        <v>70386.95</v>
      </c>
      <c r="L4189" s="33" t="e">
        <f>HLOOKUP(B4189,#REF!,1,0)</f>
        <v>#REF!</v>
      </c>
      <c r="M4189" s="33" t="str">
        <f t="shared" si="263"/>
        <v>P&amp;L</v>
      </c>
    </row>
    <row r="4190" spans="1:13" s="33" customFormat="true" ht="12.75" customHeight="true">
      <c r="A4190" s="33" t="str">
        <f t="shared" si="260"/>
        <v>DF2 - Other Income/Expense</v>
      </c>
      <c r="B4190" s="33" t="str">
        <f t="shared" si="261"/>
        <v>DF2</v>
      </c>
      <c r="C4190" s="33" t="str">
        <f t="shared" si="262"/>
        <v>92901-7392</v>
      </c>
      <c r="D4190" s="64" t="s">
        <v>5162</v>
      </c>
      <c r="E4190" s="64" t="s">
        <v>3333</v>
      </c>
      <c r="F4190" s="64" t="s">
        <v>15</v>
      </c>
      <c r="G4190" s="64" t="s">
        <v>3017</v>
      </c>
      <c r="H4190" s="64" t="s">
        <v>3300</v>
      </c>
      <c r="I4190" s="64" t="s">
        <v>3334</v>
      </c>
      <c r="J4190" s="67">
        <v>4569.45</v>
      </c>
      <c r="K4190" s="62">
        <v>95289.3</v>
      </c>
      <c r="L4190" s="33" t="e">
        <f>HLOOKUP(B4190,#REF!,1,0)</f>
        <v>#REF!</v>
      </c>
      <c r="M4190" s="33" t="str">
        <f t="shared" si="263"/>
        <v>P&amp;L</v>
      </c>
    </row>
    <row r="4191" spans="1:13" s="33" customFormat="true" ht="12.75" customHeight="true">
      <c r="A4191" s="33" t="str">
        <f t="shared" si="260"/>
        <v>DF2 - Other Income/Expense</v>
      </c>
      <c r="B4191" s="33" t="str">
        <f t="shared" si="261"/>
        <v>DF2</v>
      </c>
      <c r="C4191" s="33" t="str">
        <f t="shared" si="262"/>
        <v>92901-7487</v>
      </c>
      <c r="D4191" s="64" t="s">
        <v>5163</v>
      </c>
      <c r="E4191" s="64" t="s">
        <v>3333</v>
      </c>
      <c r="F4191" s="64" t="s">
        <v>15</v>
      </c>
      <c r="G4191" s="64" t="s">
        <v>3017</v>
      </c>
      <c r="H4191" s="64" t="s">
        <v>3300</v>
      </c>
      <c r="I4191" s="64" t="s">
        <v>3334</v>
      </c>
      <c r="J4191" s="67">
        <v>2638.69</v>
      </c>
      <c r="K4191" s="62">
        <v>57085.63</v>
      </c>
      <c r="L4191" s="33" t="e">
        <f>HLOOKUP(B4191,#REF!,1,0)</f>
        <v>#REF!</v>
      </c>
      <c r="M4191" s="33" t="str">
        <f t="shared" si="263"/>
        <v>P&amp;L</v>
      </c>
    </row>
    <row r="4192" spans="1:13" s="33" customFormat="true" ht="12.75" customHeight="true">
      <c r="A4192" s="33" t="str">
        <f t="shared" si="260"/>
        <v>DF2 - Other Income/Expense</v>
      </c>
      <c r="B4192" s="33" t="str">
        <f t="shared" si="261"/>
        <v>DF2</v>
      </c>
      <c r="C4192" s="33" t="str">
        <f t="shared" si="262"/>
        <v>92901-7488</v>
      </c>
      <c r="D4192" s="64" t="s">
        <v>5164</v>
      </c>
      <c r="E4192" s="64" t="s">
        <v>3333</v>
      </c>
      <c r="F4192" s="64" t="s">
        <v>15</v>
      </c>
      <c r="G4192" s="64" t="s">
        <v>3017</v>
      </c>
      <c r="H4192" s="64" t="s">
        <v>3300</v>
      </c>
      <c r="I4192" s="64" t="s">
        <v>3334</v>
      </c>
      <c r="J4192" s="67">
        <v>2291.37</v>
      </c>
      <c r="K4192" s="62">
        <v>46993.34</v>
      </c>
      <c r="L4192" s="33" t="e">
        <f>HLOOKUP(B4192,#REF!,1,0)</f>
        <v>#REF!</v>
      </c>
      <c r="M4192" s="33" t="str">
        <f t="shared" si="263"/>
        <v>P&amp;L</v>
      </c>
    </row>
    <row r="4193" spans="1:13" s="33" customFormat="true" ht="12.75" customHeight="true">
      <c r="A4193" s="33" t="str">
        <f t="shared" si="260"/>
        <v>DF2 - Other Income/Expense</v>
      </c>
      <c r="B4193" s="33" t="str">
        <f t="shared" si="261"/>
        <v>DF2</v>
      </c>
      <c r="C4193" s="33" t="str">
        <f t="shared" si="262"/>
        <v>92901-7495</v>
      </c>
      <c r="D4193" s="64" t="s">
        <v>5165</v>
      </c>
      <c r="E4193" s="64" t="s">
        <v>3333</v>
      </c>
      <c r="F4193" s="64" t="s">
        <v>15</v>
      </c>
      <c r="G4193" s="64" t="s">
        <v>3017</v>
      </c>
      <c r="H4193" s="64" t="s">
        <v>3300</v>
      </c>
      <c r="I4193" s="64" t="s">
        <v>3334</v>
      </c>
      <c r="J4193" s="67">
        <v>2745.42</v>
      </c>
      <c r="K4193" s="62">
        <v>57435.68</v>
      </c>
      <c r="L4193" s="33" t="e">
        <f>HLOOKUP(B4193,#REF!,1,0)</f>
        <v>#REF!</v>
      </c>
      <c r="M4193" s="33" t="str">
        <f t="shared" si="263"/>
        <v>P&amp;L</v>
      </c>
    </row>
    <row r="4194" spans="1:13" s="33" customFormat="true" ht="12.75" customHeight="true">
      <c r="A4194" s="33" t="str">
        <f t="shared" si="260"/>
        <v>DF2 - Other Income/Expense</v>
      </c>
      <c r="B4194" s="33" t="str">
        <f t="shared" si="261"/>
        <v>DF2</v>
      </c>
      <c r="C4194" s="33" t="str">
        <f t="shared" si="262"/>
        <v>93001-0000</v>
      </c>
      <c r="D4194" s="64" t="s">
        <v>5166</v>
      </c>
      <c r="E4194" s="64" t="s">
        <v>3339</v>
      </c>
      <c r="F4194" s="64" t="s">
        <v>15</v>
      </c>
      <c r="G4194" s="64" t="s">
        <v>3017</v>
      </c>
      <c r="H4194" s="64" t="s">
        <v>3300</v>
      </c>
      <c r="I4194" s="64" t="s">
        <v>3340</v>
      </c>
      <c r="J4194" s="67">
        <v>0</v>
      </c>
      <c r="K4194" s="62">
        <v>32.99</v>
      </c>
      <c r="L4194" s="33" t="e">
        <f>HLOOKUP(B4194,#REF!,1,0)</f>
        <v>#REF!</v>
      </c>
      <c r="M4194" s="33" t="str">
        <f t="shared" si="263"/>
        <v>P&amp;L</v>
      </c>
    </row>
    <row r="4195" spans="1:13" s="33" customFormat="true" ht="12.75" customHeight="true">
      <c r="A4195" s="33" t="str">
        <f t="shared" si="260"/>
        <v>DF2 - Other Income/Expense</v>
      </c>
      <c r="B4195" s="33" t="str">
        <f t="shared" si="261"/>
        <v>DF2</v>
      </c>
      <c r="C4195" s="33" t="str">
        <f t="shared" si="262"/>
        <v>93001-7367</v>
      </c>
      <c r="D4195" s="64" t="s">
        <v>5167</v>
      </c>
      <c r="E4195" s="64" t="s">
        <v>3339</v>
      </c>
      <c r="F4195" s="64" t="s">
        <v>15</v>
      </c>
      <c r="G4195" s="64" t="s">
        <v>3017</v>
      </c>
      <c r="H4195" s="64" t="s">
        <v>3300</v>
      </c>
      <c r="I4195" s="64" t="s">
        <v>3340</v>
      </c>
      <c r="J4195" s="67">
        <v>0</v>
      </c>
      <c r="K4195" s="62">
        <v>30.93</v>
      </c>
      <c r="L4195" s="33" t="e">
        <f>HLOOKUP(B4195,#REF!,1,0)</f>
        <v>#REF!</v>
      </c>
      <c r="M4195" s="33" t="str">
        <f t="shared" si="263"/>
        <v>P&amp;L</v>
      </c>
    </row>
    <row r="4196" spans="1:13" s="33" customFormat="true" ht="12.75" customHeight="true">
      <c r="A4196" s="33" t="str">
        <f t="shared" si="260"/>
        <v>DF2 - Other Income/Expense</v>
      </c>
      <c r="B4196" s="33" t="str">
        <f t="shared" si="261"/>
        <v>DF2</v>
      </c>
      <c r="C4196" s="33" t="str">
        <f t="shared" si="262"/>
        <v>93001-7392</v>
      </c>
      <c r="D4196" s="64" t="s">
        <v>5168</v>
      </c>
      <c r="E4196" s="64" t="s">
        <v>3339</v>
      </c>
      <c r="F4196" s="64" t="s">
        <v>15</v>
      </c>
      <c r="G4196" s="64" t="s">
        <v>3017</v>
      </c>
      <c r="H4196" s="64" t="s">
        <v>3300</v>
      </c>
      <c r="I4196" s="64" t="s">
        <v>3340</v>
      </c>
      <c r="J4196" s="67">
        <v>0</v>
      </c>
      <c r="K4196" s="62">
        <v>283.79</v>
      </c>
      <c r="L4196" s="33" t="e">
        <f>HLOOKUP(B4196,#REF!,1,0)</f>
        <v>#REF!</v>
      </c>
      <c r="M4196" s="33" t="str">
        <f t="shared" si="263"/>
        <v>P&amp;L</v>
      </c>
    </row>
    <row r="4197" spans="1:13" s="33" customFormat="true" ht="12.75" customHeight="true">
      <c r="A4197" s="33" t="str">
        <f t="shared" si="260"/>
        <v>DF2 - Other Income/Expense</v>
      </c>
      <c r="B4197" s="33" t="str">
        <f t="shared" si="261"/>
        <v>DF2</v>
      </c>
      <c r="C4197" s="33" t="str">
        <f t="shared" si="262"/>
        <v>93001-7487</v>
      </c>
      <c r="D4197" s="64" t="s">
        <v>5169</v>
      </c>
      <c r="E4197" s="64" t="s">
        <v>3339</v>
      </c>
      <c r="F4197" s="64" t="s">
        <v>15</v>
      </c>
      <c r="G4197" s="64" t="s">
        <v>3017</v>
      </c>
      <c r="H4197" s="64" t="s">
        <v>3300</v>
      </c>
      <c r="I4197" s="64" t="s">
        <v>3340</v>
      </c>
      <c r="J4197" s="67">
        <v>0</v>
      </c>
      <c r="K4197" s="62">
        <v>5.61</v>
      </c>
      <c r="L4197" s="33" t="e">
        <f>HLOOKUP(B4197,#REF!,1,0)</f>
        <v>#REF!</v>
      </c>
      <c r="M4197" s="33" t="str">
        <f t="shared" si="263"/>
        <v>P&amp;L</v>
      </c>
    </row>
    <row r="4198" spans="1:13" s="33" customFormat="true" ht="12.75" customHeight="true">
      <c r="A4198" s="33" t="str">
        <f t="shared" si="260"/>
        <v>DF2 - Other Income/Expense</v>
      </c>
      <c r="B4198" s="33" t="str">
        <f t="shared" si="261"/>
        <v>DF2</v>
      </c>
      <c r="C4198" s="33" t="str">
        <f t="shared" si="262"/>
        <v>93001-7488</v>
      </c>
      <c r="D4198" s="64" t="s">
        <v>5170</v>
      </c>
      <c r="E4198" s="64" t="s">
        <v>3339</v>
      </c>
      <c r="F4198" s="64" t="s">
        <v>15</v>
      </c>
      <c r="G4198" s="64" t="s">
        <v>3017</v>
      </c>
      <c r="H4198" s="64" t="s">
        <v>3300</v>
      </c>
      <c r="I4198" s="64" t="s">
        <v>3340</v>
      </c>
      <c r="J4198" s="67">
        <v>0</v>
      </c>
      <c r="K4198" s="62">
        <v>40.31</v>
      </c>
      <c r="L4198" s="33" t="e">
        <f>HLOOKUP(B4198,#REF!,1,0)</f>
        <v>#REF!</v>
      </c>
      <c r="M4198" s="33" t="str">
        <f t="shared" si="263"/>
        <v>P&amp;L</v>
      </c>
    </row>
    <row r="4199" spans="1:13" s="33" customFormat="true" ht="12.75" customHeight="true">
      <c r="A4199" s="33" t="str">
        <f t="shared" si="260"/>
        <v>DF2 - Other Income/Expense</v>
      </c>
      <c r="B4199" s="33" t="str">
        <f t="shared" si="261"/>
        <v>DF2</v>
      </c>
      <c r="C4199" s="33" t="str">
        <f t="shared" si="262"/>
        <v>93001-7495</v>
      </c>
      <c r="D4199" s="64" t="s">
        <v>5171</v>
      </c>
      <c r="E4199" s="64" t="s">
        <v>3339</v>
      </c>
      <c r="F4199" s="64" t="s">
        <v>15</v>
      </c>
      <c r="G4199" s="64" t="s">
        <v>3017</v>
      </c>
      <c r="H4199" s="64" t="s">
        <v>3300</v>
      </c>
      <c r="I4199" s="64" t="s">
        <v>3340</v>
      </c>
      <c r="J4199" s="67">
        <v>0</v>
      </c>
      <c r="K4199" s="62">
        <v>14.66</v>
      </c>
      <c r="L4199" s="33" t="e">
        <f>HLOOKUP(B4199,#REF!,1,0)</f>
        <v>#REF!</v>
      </c>
      <c r="M4199" s="33" t="str">
        <f t="shared" si="263"/>
        <v>P&amp;L</v>
      </c>
    </row>
    <row r="4200" spans="1:13" s="33" customFormat="true" ht="12.75" customHeight="true">
      <c r="A4200" s="33" t="str">
        <f t="shared" si="260"/>
        <v>DF2 - Other Income/Expense</v>
      </c>
      <c r="B4200" s="33" t="str">
        <f t="shared" si="261"/>
        <v>DF2</v>
      </c>
      <c r="C4200" s="33" t="str">
        <f t="shared" si="262"/>
        <v>93201-7367</v>
      </c>
      <c r="D4200" s="64" t="s">
        <v>5172</v>
      </c>
      <c r="E4200" s="64" t="s">
        <v>3226</v>
      </c>
      <c r="F4200" s="64" t="s">
        <v>15</v>
      </c>
      <c r="G4200" s="64" t="s">
        <v>3017</v>
      </c>
      <c r="H4200" s="64" t="s">
        <v>3300</v>
      </c>
      <c r="I4200" s="64" t="s">
        <v>3342</v>
      </c>
      <c r="J4200" s="67">
        <v>57</v>
      </c>
      <c r="K4200" s="62">
        <v>570</v>
      </c>
      <c r="L4200" s="33" t="e">
        <f>HLOOKUP(B4200,#REF!,1,0)</f>
        <v>#REF!</v>
      </c>
      <c r="M4200" s="33" t="str">
        <f t="shared" si="263"/>
        <v>P&amp;L</v>
      </c>
    </row>
    <row r="4201" spans="1:13" s="33" customFormat="true" ht="12.75" customHeight="true">
      <c r="A4201" s="33" t="str">
        <f t="shared" si="260"/>
        <v>DF2 - Other Income/Expense</v>
      </c>
      <c r="B4201" s="33" t="str">
        <f t="shared" si="261"/>
        <v>DF2</v>
      </c>
      <c r="C4201" s="33" t="str">
        <f t="shared" si="262"/>
        <v>93201-7392</v>
      </c>
      <c r="D4201" s="64" t="s">
        <v>5173</v>
      </c>
      <c r="E4201" s="64" t="s">
        <v>3226</v>
      </c>
      <c r="F4201" s="64" t="s">
        <v>15</v>
      </c>
      <c r="G4201" s="64" t="s">
        <v>3017</v>
      </c>
      <c r="H4201" s="64" t="s">
        <v>3300</v>
      </c>
      <c r="I4201" s="64" t="s">
        <v>3342</v>
      </c>
      <c r="J4201" s="67">
        <v>57</v>
      </c>
      <c r="K4201" s="62">
        <v>570</v>
      </c>
      <c r="L4201" s="33" t="e">
        <f>HLOOKUP(B4201,#REF!,1,0)</f>
        <v>#REF!</v>
      </c>
      <c r="M4201" s="33" t="str">
        <f t="shared" si="263"/>
        <v>P&amp;L</v>
      </c>
    </row>
    <row r="4202" spans="1:13" s="33" customFormat="true" ht="12.75" customHeight="true">
      <c r="A4202" s="33" t="str">
        <f t="shared" si="260"/>
        <v>DF2 - Other Income/Expense</v>
      </c>
      <c r="B4202" s="33" t="str">
        <f t="shared" si="261"/>
        <v>DF2</v>
      </c>
      <c r="C4202" s="33" t="str">
        <f t="shared" si="262"/>
        <v>93201-7487</v>
      </c>
      <c r="D4202" s="64" t="s">
        <v>5174</v>
      </c>
      <c r="E4202" s="64" t="s">
        <v>3226</v>
      </c>
      <c r="F4202" s="64" t="s">
        <v>15</v>
      </c>
      <c r="G4202" s="64" t="s">
        <v>3017</v>
      </c>
      <c r="H4202" s="64" t="s">
        <v>3300</v>
      </c>
      <c r="I4202" s="64" t="s">
        <v>3342</v>
      </c>
      <c r="J4202" s="67">
        <v>57</v>
      </c>
      <c r="K4202" s="62">
        <v>570</v>
      </c>
      <c r="L4202" s="33" t="e">
        <f>HLOOKUP(B4202,#REF!,1,0)</f>
        <v>#REF!</v>
      </c>
      <c r="M4202" s="33" t="str">
        <f t="shared" si="263"/>
        <v>P&amp;L</v>
      </c>
    </row>
    <row r="4203" spans="1:13" s="33" customFormat="true" ht="12.75" customHeight="true">
      <c r="A4203" s="33" t="str">
        <f t="shared" si="260"/>
        <v>DF2 - Other Income/Expense</v>
      </c>
      <c r="B4203" s="33" t="str">
        <f t="shared" si="261"/>
        <v>DF2</v>
      </c>
      <c r="C4203" s="33" t="str">
        <f t="shared" si="262"/>
        <v>93201-7488</v>
      </c>
      <c r="D4203" s="64" t="s">
        <v>5175</v>
      </c>
      <c r="E4203" s="64" t="s">
        <v>3226</v>
      </c>
      <c r="F4203" s="64" t="s">
        <v>15</v>
      </c>
      <c r="G4203" s="64" t="s">
        <v>3017</v>
      </c>
      <c r="H4203" s="64" t="s">
        <v>3300</v>
      </c>
      <c r="I4203" s="64" t="s">
        <v>3342</v>
      </c>
      <c r="J4203" s="67">
        <v>57</v>
      </c>
      <c r="K4203" s="62">
        <v>570</v>
      </c>
      <c r="L4203" s="33" t="e">
        <f>HLOOKUP(B4203,#REF!,1,0)</f>
        <v>#REF!</v>
      </c>
      <c r="M4203" s="33" t="str">
        <f t="shared" si="263"/>
        <v>P&amp;L</v>
      </c>
    </row>
    <row r="4204" spans="1:13" s="33" customFormat="true" ht="12.75" customHeight="true">
      <c r="A4204" s="33" t="str">
        <f t="shared" si="260"/>
        <v>DF2 - Other Income/Expense</v>
      </c>
      <c r="B4204" s="33" t="str">
        <f t="shared" si="261"/>
        <v>DF2</v>
      </c>
      <c r="C4204" s="33" t="str">
        <f t="shared" si="262"/>
        <v>93201-7495</v>
      </c>
      <c r="D4204" s="64" t="s">
        <v>5176</v>
      </c>
      <c r="E4204" s="64" t="s">
        <v>3226</v>
      </c>
      <c r="F4204" s="64" t="s">
        <v>15</v>
      </c>
      <c r="G4204" s="64" t="s">
        <v>3017</v>
      </c>
      <c r="H4204" s="64" t="s">
        <v>3300</v>
      </c>
      <c r="I4204" s="64" t="s">
        <v>3342</v>
      </c>
      <c r="J4204" s="67">
        <v>57</v>
      </c>
      <c r="K4204" s="62">
        <v>570</v>
      </c>
      <c r="L4204" s="33" t="e">
        <f>HLOOKUP(B4204,#REF!,1,0)</f>
        <v>#REF!</v>
      </c>
      <c r="M4204" s="33" t="str">
        <f t="shared" si="263"/>
        <v>P&amp;L</v>
      </c>
    </row>
    <row r="4205" spans="1:13" s="33" customFormat="true" ht="12.75" customHeight="true">
      <c r="A4205" s="33" t="str">
        <f t="shared" si="260"/>
        <v>DF2 - Other Income/Expense</v>
      </c>
      <c r="B4205" s="33" t="str">
        <f t="shared" si="261"/>
        <v>DF2</v>
      </c>
      <c r="C4205" s="33" t="str">
        <f t="shared" si="262"/>
        <v>93601-7367</v>
      </c>
      <c r="D4205" s="64" t="s">
        <v>5177</v>
      </c>
      <c r="E4205" s="64" t="s">
        <v>3344</v>
      </c>
      <c r="F4205" s="64" t="s">
        <v>15</v>
      </c>
      <c r="G4205" s="64" t="s">
        <v>3017</v>
      </c>
      <c r="H4205" s="64" t="s">
        <v>3300</v>
      </c>
      <c r="I4205" s="64" t="s">
        <v>3345</v>
      </c>
      <c r="J4205" s="67">
        <v>0</v>
      </c>
      <c r="K4205" s="62">
        <v>67.55</v>
      </c>
      <c r="L4205" s="33" t="e">
        <f>HLOOKUP(B4205,#REF!,1,0)</f>
        <v>#REF!</v>
      </c>
      <c r="M4205" s="33" t="str">
        <f t="shared" si="263"/>
        <v>P&amp;L</v>
      </c>
    </row>
    <row r="4206" spans="1:13" s="33" customFormat="true" ht="12.75" customHeight="true">
      <c r="A4206" s="33" t="str">
        <f t="shared" si="260"/>
        <v>DF2 - Other Income/Expense</v>
      </c>
      <c r="B4206" s="33" t="str">
        <f t="shared" si="261"/>
        <v>DF2</v>
      </c>
      <c r="C4206" s="33" t="str">
        <f t="shared" si="262"/>
        <v>93601-7392</v>
      </c>
      <c r="D4206" s="64" t="s">
        <v>5178</v>
      </c>
      <c r="E4206" s="64" t="s">
        <v>3344</v>
      </c>
      <c r="F4206" s="64" t="s">
        <v>15</v>
      </c>
      <c r="G4206" s="64" t="s">
        <v>3017</v>
      </c>
      <c r="H4206" s="64" t="s">
        <v>3300</v>
      </c>
      <c r="I4206" s="64" t="s">
        <v>3345</v>
      </c>
      <c r="J4206" s="67">
        <v>0</v>
      </c>
      <c r="K4206" s="62">
        <v>1086.13</v>
      </c>
      <c r="L4206" s="33" t="e">
        <f>HLOOKUP(B4206,#REF!,1,0)</f>
        <v>#REF!</v>
      </c>
      <c r="M4206" s="33" t="str">
        <f t="shared" si="263"/>
        <v>P&amp;L</v>
      </c>
    </row>
    <row r="4207" spans="1:13" s="33" customFormat="true" ht="12.75" customHeight="true">
      <c r="A4207" s="33" t="str">
        <f t="shared" si="260"/>
        <v>DF2 - Other Income/Expense</v>
      </c>
      <c r="B4207" s="33" t="str">
        <f t="shared" si="261"/>
        <v>DF2</v>
      </c>
      <c r="C4207" s="33" t="str">
        <f t="shared" si="262"/>
        <v>93601-7487</v>
      </c>
      <c r="D4207" s="64" t="s">
        <v>5179</v>
      </c>
      <c r="E4207" s="64" t="s">
        <v>3344</v>
      </c>
      <c r="F4207" s="64" t="s">
        <v>15</v>
      </c>
      <c r="G4207" s="64" t="s">
        <v>3017</v>
      </c>
      <c r="H4207" s="64" t="s">
        <v>3300</v>
      </c>
      <c r="I4207" s="64" t="s">
        <v>3345</v>
      </c>
      <c r="J4207" s="67">
        <v>99.19</v>
      </c>
      <c r="K4207" s="62">
        <v>1038.69</v>
      </c>
      <c r="L4207" s="33" t="e">
        <f>HLOOKUP(B4207,#REF!,1,0)</f>
        <v>#REF!</v>
      </c>
      <c r="M4207" s="33" t="str">
        <f t="shared" si="263"/>
        <v>P&amp;L</v>
      </c>
    </row>
    <row r="4208" spans="1:13" s="33" customFormat="true" ht="12.75" customHeight="true">
      <c r="A4208" s="33" t="str">
        <f t="shared" si="260"/>
        <v>DF2 - Other Income/Expense</v>
      </c>
      <c r="B4208" s="33" t="str">
        <f t="shared" si="261"/>
        <v>DF2</v>
      </c>
      <c r="C4208" s="33" t="str">
        <f t="shared" si="262"/>
        <v>93601-7488</v>
      </c>
      <c r="D4208" s="64" t="s">
        <v>5180</v>
      </c>
      <c r="E4208" s="64" t="s">
        <v>3344</v>
      </c>
      <c r="F4208" s="64" t="s">
        <v>15</v>
      </c>
      <c r="G4208" s="64" t="s">
        <v>3017</v>
      </c>
      <c r="H4208" s="64" t="s">
        <v>3300</v>
      </c>
      <c r="I4208" s="64" t="s">
        <v>3345</v>
      </c>
      <c r="J4208" s="67">
        <v>0</v>
      </c>
      <c r="K4208" s="62">
        <v>144.38</v>
      </c>
      <c r="L4208" s="33" t="e">
        <f>HLOOKUP(B4208,#REF!,1,0)</f>
        <v>#REF!</v>
      </c>
      <c r="M4208" s="33" t="str">
        <f t="shared" si="263"/>
        <v>P&amp;L</v>
      </c>
    </row>
    <row r="4209" spans="1:13" s="33" customFormat="true" ht="12.75" customHeight="true">
      <c r="A4209" s="33" t="str">
        <f t="shared" si="260"/>
        <v>DF2 - Other Income/Expense</v>
      </c>
      <c r="B4209" s="33" t="str">
        <f t="shared" si="261"/>
        <v>DF2</v>
      </c>
      <c r="C4209" s="33" t="str">
        <f t="shared" si="262"/>
        <v>93601-7495</v>
      </c>
      <c r="D4209" s="64" t="s">
        <v>5181</v>
      </c>
      <c r="E4209" s="64" t="s">
        <v>3344</v>
      </c>
      <c r="F4209" s="64" t="s">
        <v>15</v>
      </c>
      <c r="G4209" s="64" t="s">
        <v>3017</v>
      </c>
      <c r="H4209" s="64" t="s">
        <v>3300</v>
      </c>
      <c r="I4209" s="64" t="s">
        <v>3345</v>
      </c>
      <c r="J4209" s="67">
        <v>451.29</v>
      </c>
      <c r="K4209" s="62">
        <v>757.65</v>
      </c>
      <c r="L4209" s="33" t="e">
        <f>HLOOKUP(B4209,#REF!,1,0)</f>
        <v>#REF!</v>
      </c>
      <c r="M4209" s="33" t="str">
        <f t="shared" si="263"/>
        <v>P&amp;L</v>
      </c>
    </row>
    <row r="4210" spans="1:13" s="33" customFormat="true" ht="12.75" customHeight="true">
      <c r="A4210" s="33" t="str">
        <f t="shared" si="260"/>
        <v>DF2 - Other Income/Expense</v>
      </c>
      <c r="B4210" s="33" t="str">
        <f t="shared" si="261"/>
        <v>DF2</v>
      </c>
      <c r="C4210" s="33" t="str">
        <f t="shared" si="262"/>
        <v>93801-0000</v>
      </c>
      <c r="D4210" s="64" t="s">
        <v>5182</v>
      </c>
      <c r="E4210" s="64" t="s">
        <v>5183</v>
      </c>
      <c r="F4210" s="64" t="s">
        <v>15</v>
      </c>
      <c r="G4210" s="64" t="s">
        <v>3044</v>
      </c>
      <c r="H4210" s="64" t="s">
        <v>3300</v>
      </c>
      <c r="I4210" s="64" t="s">
        <v>5184</v>
      </c>
      <c r="J4210" s="67">
        <v>61.2</v>
      </c>
      <c r="K4210" s="62">
        <v>543.26</v>
      </c>
      <c r="L4210" s="33" t="e">
        <f>HLOOKUP(B4210,#REF!,1,0)</f>
        <v>#REF!</v>
      </c>
      <c r="M4210" s="33" t="str">
        <f t="shared" si="263"/>
        <v>P&amp;L</v>
      </c>
    </row>
    <row r="4211" spans="1:13" s="33" customFormat="true" ht="12.75" customHeight="true">
      <c r="A4211" s="33" t="str">
        <f t="shared" si="260"/>
        <v>DF2 - Other Income/Expense</v>
      </c>
      <c r="B4211" s="33" t="str">
        <f t="shared" si="261"/>
        <v>DF2</v>
      </c>
      <c r="C4211" s="33" t="str">
        <f t="shared" si="262"/>
        <v>93801-7367</v>
      </c>
      <c r="D4211" s="64" t="s">
        <v>5185</v>
      </c>
      <c r="E4211" s="64" t="s">
        <v>5183</v>
      </c>
      <c r="F4211" s="64" t="s">
        <v>15</v>
      </c>
      <c r="G4211" s="64" t="s">
        <v>3044</v>
      </c>
      <c r="H4211" s="64" t="s">
        <v>3300</v>
      </c>
      <c r="I4211" s="64" t="s">
        <v>5184</v>
      </c>
      <c r="J4211" s="67">
        <v>165.58</v>
      </c>
      <c r="K4211" s="62">
        <v>1740.94</v>
      </c>
      <c r="L4211" s="33" t="e">
        <f>HLOOKUP(B4211,#REF!,1,0)</f>
        <v>#REF!</v>
      </c>
      <c r="M4211" s="33" t="str">
        <f t="shared" si="263"/>
        <v>P&amp;L</v>
      </c>
    </row>
    <row r="4212" spans="1:13" s="33" customFormat="true" ht="12.75" customHeight="true">
      <c r="A4212" s="33" t="str">
        <f t="shared" si="260"/>
        <v>DF2 - Other Income/Expense</v>
      </c>
      <c r="B4212" s="33" t="str">
        <f t="shared" si="261"/>
        <v>DF2</v>
      </c>
      <c r="C4212" s="33" t="str">
        <f t="shared" si="262"/>
        <v>93801-7392</v>
      </c>
      <c r="D4212" s="64" t="s">
        <v>5186</v>
      </c>
      <c r="E4212" s="64" t="s">
        <v>5183</v>
      </c>
      <c r="F4212" s="64" t="s">
        <v>15</v>
      </c>
      <c r="G4212" s="64" t="s">
        <v>3044</v>
      </c>
      <c r="H4212" s="64" t="s">
        <v>3300</v>
      </c>
      <c r="I4212" s="64" t="s">
        <v>5184</v>
      </c>
      <c r="J4212" s="67">
        <v>165.58</v>
      </c>
      <c r="K4212" s="62">
        <v>1740.94</v>
      </c>
      <c r="L4212" s="33" t="e">
        <f>HLOOKUP(B4212,#REF!,1,0)</f>
        <v>#REF!</v>
      </c>
      <c r="M4212" s="33" t="str">
        <f t="shared" si="263"/>
        <v>P&amp;L</v>
      </c>
    </row>
    <row r="4213" spans="1:13" s="33" customFormat="true" ht="12.75" customHeight="true">
      <c r="A4213" s="33" t="str">
        <f t="shared" si="260"/>
        <v>DF2 - Other Income/Expense</v>
      </c>
      <c r="B4213" s="33" t="str">
        <f t="shared" si="261"/>
        <v>DF2</v>
      </c>
      <c r="C4213" s="33" t="str">
        <f t="shared" si="262"/>
        <v>93801-7487</v>
      </c>
      <c r="D4213" s="64" t="s">
        <v>5187</v>
      </c>
      <c r="E4213" s="64" t="s">
        <v>5183</v>
      </c>
      <c r="F4213" s="64" t="s">
        <v>15</v>
      </c>
      <c r="G4213" s="64" t="s">
        <v>3044</v>
      </c>
      <c r="H4213" s="64" t="s">
        <v>3300</v>
      </c>
      <c r="I4213" s="64" t="s">
        <v>5184</v>
      </c>
      <c r="J4213" s="67">
        <v>165.58</v>
      </c>
      <c r="K4213" s="62">
        <v>1475.76</v>
      </c>
      <c r="L4213" s="33" t="e">
        <f>HLOOKUP(B4213,#REF!,1,0)</f>
        <v>#REF!</v>
      </c>
      <c r="M4213" s="33" t="str">
        <f t="shared" si="263"/>
        <v>P&amp;L</v>
      </c>
    </row>
    <row r="4214" spans="1:13" s="33" customFormat="true" ht="12.75" customHeight="true">
      <c r="A4214" s="33" t="str">
        <f t="shared" si="260"/>
        <v>DF2 - Other Income/Expense</v>
      </c>
      <c r="B4214" s="33" t="str">
        <f t="shared" si="261"/>
        <v>DF2</v>
      </c>
      <c r="C4214" s="33" t="str">
        <f t="shared" si="262"/>
        <v>93801-7488</v>
      </c>
      <c r="D4214" s="64" t="s">
        <v>5188</v>
      </c>
      <c r="E4214" s="64" t="s">
        <v>5183</v>
      </c>
      <c r="F4214" s="64" t="s">
        <v>15</v>
      </c>
      <c r="G4214" s="64" t="s">
        <v>3044</v>
      </c>
      <c r="H4214" s="64" t="s">
        <v>3300</v>
      </c>
      <c r="I4214" s="64" t="s">
        <v>5184</v>
      </c>
      <c r="J4214" s="67">
        <v>165.58</v>
      </c>
      <c r="K4214" s="62">
        <v>1740.93</v>
      </c>
      <c r="L4214" s="33" t="e">
        <f>HLOOKUP(B4214,#REF!,1,0)</f>
        <v>#REF!</v>
      </c>
      <c r="M4214" s="33" t="str">
        <f t="shared" si="263"/>
        <v>P&amp;L</v>
      </c>
    </row>
    <row r="4215" spans="1:13" s="33" customFormat="true" ht="12.75" customHeight="true">
      <c r="A4215" s="33" t="str">
        <f t="shared" si="260"/>
        <v>DF2 - Other Income/Expense</v>
      </c>
      <c r="B4215" s="33" t="str">
        <f t="shared" si="261"/>
        <v>DF2</v>
      </c>
      <c r="C4215" s="33" t="str">
        <f t="shared" si="262"/>
        <v>93801-7495</v>
      </c>
      <c r="D4215" s="64" t="s">
        <v>5189</v>
      </c>
      <c r="E4215" s="64" t="s">
        <v>5183</v>
      </c>
      <c r="F4215" s="64" t="s">
        <v>15</v>
      </c>
      <c r="G4215" s="64" t="s">
        <v>3044</v>
      </c>
      <c r="H4215" s="64" t="s">
        <v>3300</v>
      </c>
      <c r="I4215" s="64" t="s">
        <v>5184</v>
      </c>
      <c r="J4215" s="67">
        <v>165.58</v>
      </c>
      <c r="K4215" s="62">
        <v>1740.92</v>
      </c>
      <c r="L4215" s="33" t="e">
        <f>HLOOKUP(B4215,#REF!,1,0)</f>
        <v>#REF!</v>
      </c>
      <c r="M4215" s="33" t="str">
        <f t="shared" si="263"/>
        <v>P&amp;L</v>
      </c>
    </row>
    <row r="4216" spans="1:13" s="33" customFormat="true" ht="12.75" customHeight="true">
      <c r="A4216" s="33" t="str">
        <f t="shared" si="260"/>
        <v>DF2 - Other Income/Expense</v>
      </c>
      <c r="B4216" s="33" t="str">
        <f t="shared" si="261"/>
        <v>DF2</v>
      </c>
      <c r="C4216" s="33" t="str">
        <f t="shared" si="262"/>
        <v>94001-0000</v>
      </c>
      <c r="D4216" s="64" t="s">
        <v>5190</v>
      </c>
      <c r="E4216" s="64" t="s">
        <v>3350</v>
      </c>
      <c r="F4216" s="64" t="s">
        <v>15</v>
      </c>
      <c r="G4216" s="64" t="s">
        <v>3017</v>
      </c>
      <c r="H4216" s="64" t="s">
        <v>3300</v>
      </c>
      <c r="I4216" s="64" t="s">
        <v>3351</v>
      </c>
      <c r="J4216" s="67">
        <v>0</v>
      </c>
      <c r="K4216" s="62">
        <v>110.07</v>
      </c>
      <c r="L4216" s="33" t="e">
        <f>HLOOKUP(B4216,#REF!,1,0)</f>
        <v>#REF!</v>
      </c>
      <c r="M4216" s="33" t="str">
        <f t="shared" si="263"/>
        <v>P&amp;L</v>
      </c>
    </row>
    <row r="4217" spans="1:13" s="33" customFormat="true" ht="12.75" customHeight="true">
      <c r="A4217" s="33" t="str">
        <f t="shared" si="260"/>
        <v>DF2 - Other Income/Expense</v>
      </c>
      <c r="B4217" s="33" t="str">
        <f t="shared" si="261"/>
        <v>DF2</v>
      </c>
      <c r="C4217" s="33" t="str">
        <f t="shared" si="262"/>
        <v>94201-0000</v>
      </c>
      <c r="D4217" s="64" t="s">
        <v>5191</v>
      </c>
      <c r="E4217" s="64" t="s">
        <v>3353</v>
      </c>
      <c r="F4217" s="64" t="s">
        <v>15</v>
      </c>
      <c r="G4217" s="64" t="s">
        <v>3017</v>
      </c>
      <c r="H4217" s="64" t="s">
        <v>3300</v>
      </c>
      <c r="I4217" s="64" t="s">
        <v>3354</v>
      </c>
      <c r="J4217" s="67">
        <v>254.23</v>
      </c>
      <c r="K4217" s="62">
        <v>8581.53</v>
      </c>
      <c r="L4217" s="33" t="e">
        <f>HLOOKUP(B4217,#REF!,1,0)</f>
        <v>#REF!</v>
      </c>
      <c r="M4217" s="33" t="str">
        <f t="shared" si="263"/>
        <v>P&amp;L</v>
      </c>
    </row>
    <row r="4218" spans="1:13" s="33" customFormat="true" ht="12.75" customHeight="true">
      <c r="A4218" s="33" t="str">
        <f t="shared" si="260"/>
        <v>DF2 - Other Income/Expense</v>
      </c>
      <c r="B4218" s="33" t="str">
        <f t="shared" si="261"/>
        <v>DF2</v>
      </c>
      <c r="C4218" s="33" t="str">
        <f t="shared" si="262"/>
        <v>94201-7367</v>
      </c>
      <c r="D4218" s="64" t="s">
        <v>5192</v>
      </c>
      <c r="E4218" s="64" t="s">
        <v>3353</v>
      </c>
      <c r="F4218" s="64" t="s">
        <v>15</v>
      </c>
      <c r="G4218" s="64" t="s">
        <v>3017</v>
      </c>
      <c r="H4218" s="64" t="s">
        <v>3300</v>
      </c>
      <c r="I4218" s="64" t="s">
        <v>3354</v>
      </c>
      <c r="J4218" s="67">
        <v>0</v>
      </c>
      <c r="K4218" s="62">
        <v>303.6</v>
      </c>
      <c r="L4218" s="33" t="e">
        <f>HLOOKUP(B4218,#REF!,1,0)</f>
        <v>#REF!</v>
      </c>
      <c r="M4218" s="33" t="str">
        <f t="shared" si="263"/>
        <v>P&amp;L</v>
      </c>
    </row>
    <row r="4219" spans="1:13" s="33" customFormat="true" ht="12.75" customHeight="true">
      <c r="A4219" s="33" t="str">
        <f t="shared" si="260"/>
        <v>DF2 - Other Income/Expense</v>
      </c>
      <c r="B4219" s="33" t="str">
        <f t="shared" si="261"/>
        <v>DF2</v>
      </c>
      <c r="C4219" s="33" t="str">
        <f t="shared" si="262"/>
        <v>94201-7392</v>
      </c>
      <c r="D4219" s="64" t="s">
        <v>5193</v>
      </c>
      <c r="E4219" s="64" t="s">
        <v>3353</v>
      </c>
      <c r="F4219" s="64" t="s">
        <v>15</v>
      </c>
      <c r="G4219" s="64" t="s">
        <v>3017</v>
      </c>
      <c r="H4219" s="64" t="s">
        <v>3300</v>
      </c>
      <c r="I4219" s="64" t="s">
        <v>3354</v>
      </c>
      <c r="J4219" s="67">
        <v>0</v>
      </c>
      <c r="K4219" s="62">
        <v>303.6</v>
      </c>
      <c r="L4219" s="33" t="e">
        <f>HLOOKUP(B4219,#REF!,1,0)</f>
        <v>#REF!</v>
      </c>
      <c r="M4219" s="33" t="str">
        <f t="shared" si="263"/>
        <v>P&amp;L</v>
      </c>
    </row>
    <row r="4220" spans="1:13" s="33" customFormat="true" ht="12.75" customHeight="true">
      <c r="A4220" s="33" t="str">
        <f t="shared" si="260"/>
        <v>DF2 - Other Income/Expense</v>
      </c>
      <c r="B4220" s="33" t="str">
        <f t="shared" si="261"/>
        <v>DF2</v>
      </c>
      <c r="C4220" s="33" t="str">
        <f t="shared" si="262"/>
        <v>94201-7487</v>
      </c>
      <c r="D4220" s="64" t="s">
        <v>5194</v>
      </c>
      <c r="E4220" s="64" t="s">
        <v>3353</v>
      </c>
      <c r="F4220" s="64" t="s">
        <v>15</v>
      </c>
      <c r="G4220" s="64" t="s">
        <v>3017</v>
      </c>
      <c r="H4220" s="64" t="s">
        <v>3300</v>
      </c>
      <c r="I4220" s="64" t="s">
        <v>3354</v>
      </c>
      <c r="J4220" s="67">
        <v>0</v>
      </c>
      <c r="K4220" s="62">
        <v>303.6</v>
      </c>
      <c r="L4220" s="33" t="e">
        <f>HLOOKUP(B4220,#REF!,1,0)</f>
        <v>#REF!</v>
      </c>
      <c r="M4220" s="33" t="str">
        <f t="shared" si="263"/>
        <v>P&amp;L</v>
      </c>
    </row>
    <row r="4221" spans="1:13" s="33" customFormat="true" ht="12.75" customHeight="true">
      <c r="A4221" s="33" t="str">
        <f t="shared" si="260"/>
        <v>DF2 - Other Income/Expense</v>
      </c>
      <c r="B4221" s="33" t="str">
        <f t="shared" si="261"/>
        <v>DF2</v>
      </c>
      <c r="C4221" s="33" t="str">
        <f t="shared" si="262"/>
        <v>94201-7488</v>
      </c>
      <c r="D4221" s="64" t="s">
        <v>5195</v>
      </c>
      <c r="E4221" s="64" t="s">
        <v>3353</v>
      </c>
      <c r="F4221" s="64" t="s">
        <v>15</v>
      </c>
      <c r="G4221" s="64" t="s">
        <v>3017</v>
      </c>
      <c r="H4221" s="64" t="s">
        <v>3300</v>
      </c>
      <c r="I4221" s="64" t="s">
        <v>3354</v>
      </c>
      <c r="J4221" s="67">
        <v>0</v>
      </c>
      <c r="K4221" s="62">
        <v>303.6</v>
      </c>
      <c r="L4221" s="33" t="e">
        <f>HLOOKUP(B4221,#REF!,1,0)</f>
        <v>#REF!</v>
      </c>
      <c r="M4221" s="33" t="str">
        <f t="shared" si="263"/>
        <v>P&amp;L</v>
      </c>
    </row>
    <row r="4222" spans="1:13" s="33" customFormat="true" ht="12.75" customHeight="true">
      <c r="A4222" s="33" t="str">
        <f t="shared" si="260"/>
        <v>DF2 - Other Income/Expense</v>
      </c>
      <c r="B4222" s="33" t="str">
        <f t="shared" si="261"/>
        <v>DF2</v>
      </c>
      <c r="C4222" s="33" t="str">
        <f t="shared" si="262"/>
        <v>94201-7495</v>
      </c>
      <c r="D4222" s="64" t="s">
        <v>5196</v>
      </c>
      <c r="E4222" s="64" t="s">
        <v>3353</v>
      </c>
      <c r="F4222" s="64" t="s">
        <v>15</v>
      </c>
      <c r="G4222" s="64" t="s">
        <v>3017</v>
      </c>
      <c r="H4222" s="64" t="s">
        <v>3300</v>
      </c>
      <c r="I4222" s="64" t="s">
        <v>3354</v>
      </c>
      <c r="J4222" s="67">
        <v>0</v>
      </c>
      <c r="K4222" s="62">
        <v>303.6</v>
      </c>
      <c r="L4222" s="33" t="e">
        <f>HLOOKUP(B4222,#REF!,1,0)</f>
        <v>#REF!</v>
      </c>
      <c r="M4222" s="33" t="str">
        <f t="shared" si="263"/>
        <v>P&amp;L</v>
      </c>
    </row>
    <row r="4223" spans="1:13" s="33" customFormat="true" ht="12.75" customHeight="true">
      <c r="A4223" s="33" t="str">
        <f t="shared" si="260"/>
        <v>DF2 - Other Income/Expense</v>
      </c>
      <c r="B4223" s="33" t="str">
        <f t="shared" si="261"/>
        <v>DF2</v>
      </c>
      <c r="C4223" s="33" t="str">
        <f t="shared" si="262"/>
        <v>94401-0000</v>
      </c>
      <c r="D4223" s="64" t="s">
        <v>5197</v>
      </c>
      <c r="E4223" s="64" t="s">
        <v>3360</v>
      </c>
      <c r="F4223" s="64" t="s">
        <v>15</v>
      </c>
      <c r="G4223" s="64" t="s">
        <v>3017</v>
      </c>
      <c r="H4223" s="64" t="s">
        <v>3300</v>
      </c>
      <c r="I4223" s="64" t="s">
        <v>3361</v>
      </c>
      <c r="J4223" s="67">
        <v>0</v>
      </c>
      <c r="K4223" s="62">
        <v>-98.6</v>
      </c>
      <c r="L4223" s="33" t="e">
        <f>HLOOKUP(B4223,#REF!,1,0)</f>
        <v>#REF!</v>
      </c>
      <c r="M4223" s="33" t="str">
        <f t="shared" si="263"/>
        <v>P&amp;L</v>
      </c>
    </row>
    <row r="4224" spans="1:13" s="33" customFormat="true" ht="12.75" customHeight="true">
      <c r="A4224" s="33" t="str">
        <f t="shared" si="260"/>
        <v>DF2 - Other Income/Expense</v>
      </c>
      <c r="B4224" s="33" t="str">
        <f t="shared" si="261"/>
        <v>DF2</v>
      </c>
      <c r="C4224" s="33" t="str">
        <f t="shared" si="262"/>
        <v>94401-7367</v>
      </c>
      <c r="D4224" s="64" t="s">
        <v>5198</v>
      </c>
      <c r="E4224" s="64" t="s">
        <v>3360</v>
      </c>
      <c r="F4224" s="64" t="s">
        <v>15</v>
      </c>
      <c r="G4224" s="64" t="s">
        <v>3017</v>
      </c>
      <c r="H4224" s="64" t="s">
        <v>3300</v>
      </c>
      <c r="I4224" s="64" t="s">
        <v>3361</v>
      </c>
      <c r="J4224" s="67">
        <v>0</v>
      </c>
      <c r="K4224" s="62">
        <v>-22109.64</v>
      </c>
      <c r="L4224" s="33" t="e">
        <f>HLOOKUP(B4224,#REF!,1,0)</f>
        <v>#REF!</v>
      </c>
      <c r="M4224" s="33" t="str">
        <f t="shared" si="263"/>
        <v>P&amp;L</v>
      </c>
    </row>
    <row r="4225" spans="1:13" s="33" customFormat="true" ht="12.75" customHeight="true">
      <c r="A4225" s="33" t="str">
        <f t="shared" si="260"/>
        <v>DF2 - Other Income/Expense</v>
      </c>
      <c r="B4225" s="33" t="str">
        <f t="shared" si="261"/>
        <v>DF2</v>
      </c>
      <c r="C4225" s="33" t="str">
        <f t="shared" si="262"/>
        <v>94401-7392</v>
      </c>
      <c r="D4225" s="64" t="s">
        <v>5199</v>
      </c>
      <c r="E4225" s="64" t="s">
        <v>3360</v>
      </c>
      <c r="F4225" s="64" t="s">
        <v>15</v>
      </c>
      <c r="G4225" s="64" t="s">
        <v>3017</v>
      </c>
      <c r="H4225" s="64" t="s">
        <v>3300</v>
      </c>
      <c r="I4225" s="64" t="s">
        <v>3361</v>
      </c>
      <c r="J4225" s="67">
        <v>0</v>
      </c>
      <c r="K4225" s="62">
        <v>-27989.32</v>
      </c>
      <c r="L4225" s="33" t="e">
        <f>HLOOKUP(B4225,#REF!,1,0)</f>
        <v>#REF!</v>
      </c>
      <c r="M4225" s="33" t="str">
        <f t="shared" si="263"/>
        <v>P&amp;L</v>
      </c>
    </row>
    <row r="4226" spans="1:13" s="33" customFormat="true" ht="12.75" customHeight="true">
      <c r="A4226" s="33" t="str">
        <f t="shared" ref="A4226:A4289" si="264">B4226&amp;" - "&amp;TRIM(H4226)</f>
        <v>DF2 - Other Income/Expense</v>
      </c>
      <c r="B4226" s="33" t="str">
        <f t="shared" ref="B4226:B4289" si="265">LEFT(D4226,3)</f>
        <v>DF2</v>
      </c>
      <c r="C4226" s="33" t="str">
        <f t="shared" ref="C4226:C4289" si="266">RIGHT(D4226,10)</f>
        <v>94401-7487</v>
      </c>
      <c r="D4226" s="64" t="s">
        <v>5200</v>
      </c>
      <c r="E4226" s="64" t="s">
        <v>3360</v>
      </c>
      <c r="F4226" s="64" t="s">
        <v>15</v>
      </c>
      <c r="G4226" s="64" t="s">
        <v>3017</v>
      </c>
      <c r="H4226" s="64" t="s">
        <v>3300</v>
      </c>
      <c r="I4226" s="64" t="s">
        <v>3361</v>
      </c>
      <c r="J4226" s="67">
        <v>0</v>
      </c>
      <c r="K4226" s="62">
        <v>-21518.41</v>
      </c>
      <c r="L4226" s="33" t="e">
        <f>HLOOKUP(B4226,#REF!,1,0)</f>
        <v>#REF!</v>
      </c>
      <c r="M4226" s="33" t="str">
        <f t="shared" ref="M4226:M4289" si="267">IF(VALUE(LEFT(C4226,5))&gt;40000,"P&amp;L","BS")</f>
        <v>P&amp;L</v>
      </c>
    </row>
    <row r="4227" spans="1:13" s="33" customFormat="true" ht="12.75" customHeight="true">
      <c r="A4227" s="33" t="str">
        <f t="shared" si="264"/>
        <v>DF2 - Other Income/Expense</v>
      </c>
      <c r="B4227" s="33" t="str">
        <f t="shared" si="265"/>
        <v>DF2</v>
      </c>
      <c r="C4227" s="33" t="str">
        <f t="shared" si="266"/>
        <v>94401-7488</v>
      </c>
      <c r="D4227" s="64" t="s">
        <v>5201</v>
      </c>
      <c r="E4227" s="64" t="s">
        <v>3360</v>
      </c>
      <c r="F4227" s="64" t="s">
        <v>15</v>
      </c>
      <c r="G4227" s="64" t="s">
        <v>3017</v>
      </c>
      <c r="H4227" s="64" t="s">
        <v>3300</v>
      </c>
      <c r="I4227" s="64" t="s">
        <v>3361</v>
      </c>
      <c r="J4227" s="67">
        <v>0</v>
      </c>
      <c r="K4227" s="62">
        <v>-16966.81</v>
      </c>
      <c r="L4227" s="33" t="e">
        <f>HLOOKUP(B4227,#REF!,1,0)</f>
        <v>#REF!</v>
      </c>
      <c r="M4227" s="33" t="str">
        <f t="shared" si="267"/>
        <v>P&amp;L</v>
      </c>
    </row>
    <row r="4228" spans="1:13" s="33" customFormat="true" ht="12.75" customHeight="true">
      <c r="A4228" s="33" t="str">
        <f t="shared" si="264"/>
        <v>DF2 - Other Income/Expense</v>
      </c>
      <c r="B4228" s="33" t="str">
        <f t="shared" si="265"/>
        <v>DF2</v>
      </c>
      <c r="C4228" s="33" t="str">
        <f t="shared" si="266"/>
        <v>94401-7495</v>
      </c>
      <c r="D4228" s="64" t="s">
        <v>5202</v>
      </c>
      <c r="E4228" s="64" t="s">
        <v>3360</v>
      </c>
      <c r="F4228" s="64" t="s">
        <v>15</v>
      </c>
      <c r="G4228" s="64" t="s">
        <v>3017</v>
      </c>
      <c r="H4228" s="64" t="s">
        <v>3300</v>
      </c>
      <c r="I4228" s="64" t="s">
        <v>3361</v>
      </c>
      <c r="J4228" s="67">
        <v>0</v>
      </c>
      <c r="K4228" s="62">
        <v>-20014.85</v>
      </c>
      <c r="L4228" s="33" t="e">
        <f>HLOOKUP(B4228,#REF!,1,0)</f>
        <v>#REF!</v>
      </c>
      <c r="M4228" s="33" t="str">
        <f t="shared" si="267"/>
        <v>P&amp;L</v>
      </c>
    </row>
    <row r="4229" spans="1:13" s="33" customFormat="true" ht="12.75" customHeight="true">
      <c r="A4229" s="33" t="str">
        <f t="shared" si="264"/>
        <v>DF2 - Other Income/Expense</v>
      </c>
      <c r="B4229" s="33" t="str">
        <f t="shared" si="265"/>
        <v>DF2</v>
      </c>
      <c r="C4229" s="33" t="str">
        <f t="shared" si="266"/>
        <v>94801-0000</v>
      </c>
      <c r="D4229" s="64" t="s">
        <v>5203</v>
      </c>
      <c r="E4229" s="64" t="s">
        <v>3159</v>
      </c>
      <c r="F4229" s="64" t="s">
        <v>15</v>
      </c>
      <c r="G4229" s="64" t="s">
        <v>3017</v>
      </c>
      <c r="H4229" s="64" t="s">
        <v>3300</v>
      </c>
      <c r="I4229" s="64" t="s">
        <v>4771</v>
      </c>
      <c r="J4229" s="67">
        <v>410</v>
      </c>
      <c r="K4229" s="62">
        <v>5332.3</v>
      </c>
      <c r="L4229" s="33" t="e">
        <f>HLOOKUP(B4229,#REF!,1,0)</f>
        <v>#REF!</v>
      </c>
      <c r="M4229" s="33" t="str">
        <f t="shared" si="267"/>
        <v>P&amp;L</v>
      </c>
    </row>
    <row r="4230" spans="1:13" s="33" customFormat="true" ht="12.75" customHeight="true">
      <c r="A4230" s="33" t="str">
        <f t="shared" si="264"/>
        <v>DF2 - Other Income/Expense</v>
      </c>
      <c r="B4230" s="33" t="str">
        <f t="shared" si="265"/>
        <v>DF2</v>
      </c>
      <c r="C4230" s="33" t="str">
        <f t="shared" si="266"/>
        <v>99001-7367</v>
      </c>
      <c r="D4230" s="64" t="s">
        <v>5204</v>
      </c>
      <c r="E4230" s="64" t="s">
        <v>3370</v>
      </c>
      <c r="F4230" s="64" t="s">
        <v>15</v>
      </c>
      <c r="G4230" s="64" t="s">
        <v>3017</v>
      </c>
      <c r="H4230" s="64" t="s">
        <v>3300</v>
      </c>
      <c r="I4230" s="64" t="s">
        <v>3371</v>
      </c>
      <c r="J4230" s="67">
        <v>-442.4</v>
      </c>
      <c r="K4230" s="62">
        <v>-2923.36</v>
      </c>
      <c r="L4230" s="33" t="e">
        <f>HLOOKUP(B4230,#REF!,1,0)</f>
        <v>#REF!</v>
      </c>
      <c r="M4230" s="33" t="str">
        <f t="shared" si="267"/>
        <v>P&amp;L</v>
      </c>
    </row>
    <row r="4231" spans="1:13" s="33" customFormat="true" ht="12.75" customHeight="true">
      <c r="A4231" s="33" t="str">
        <f t="shared" si="264"/>
        <v>DF2 - Other Income/Expense</v>
      </c>
      <c r="B4231" s="33" t="str">
        <f t="shared" si="265"/>
        <v>DF2</v>
      </c>
      <c r="C4231" s="33" t="str">
        <f t="shared" si="266"/>
        <v>99001-7392</v>
      </c>
      <c r="D4231" s="64" t="s">
        <v>5205</v>
      </c>
      <c r="E4231" s="64" t="s">
        <v>3370</v>
      </c>
      <c r="F4231" s="64" t="s">
        <v>15</v>
      </c>
      <c r="G4231" s="64" t="s">
        <v>3017</v>
      </c>
      <c r="H4231" s="64" t="s">
        <v>3300</v>
      </c>
      <c r="I4231" s="64" t="s">
        <v>3371</v>
      </c>
      <c r="J4231" s="67">
        <v>-151.68</v>
      </c>
      <c r="K4231" s="62">
        <v>-1365.13</v>
      </c>
      <c r="L4231" s="33" t="e">
        <f>HLOOKUP(B4231,#REF!,1,0)</f>
        <v>#REF!</v>
      </c>
      <c r="M4231" s="33" t="str">
        <f t="shared" si="267"/>
        <v>P&amp;L</v>
      </c>
    </row>
    <row r="4232" spans="1:13" s="33" customFormat="true" ht="12.75" customHeight="true">
      <c r="A4232" s="33" t="str">
        <f t="shared" si="264"/>
        <v>DF2 - Other Income/Expense</v>
      </c>
      <c r="B4232" s="33" t="str">
        <f t="shared" si="265"/>
        <v>DF2</v>
      </c>
      <c r="C4232" s="33" t="str">
        <f t="shared" si="266"/>
        <v>99001-7487</v>
      </c>
      <c r="D4232" s="64" t="s">
        <v>5206</v>
      </c>
      <c r="E4232" s="64" t="s">
        <v>3370</v>
      </c>
      <c r="F4232" s="64" t="s">
        <v>15</v>
      </c>
      <c r="G4232" s="64" t="s">
        <v>3017</v>
      </c>
      <c r="H4232" s="64" t="s">
        <v>3300</v>
      </c>
      <c r="I4232" s="64" t="s">
        <v>3371</v>
      </c>
      <c r="J4232" s="67">
        <v>-252.8</v>
      </c>
      <c r="K4232" s="62">
        <v>-2022.66</v>
      </c>
      <c r="L4232" s="33" t="e">
        <f>HLOOKUP(B4232,#REF!,1,0)</f>
        <v>#REF!</v>
      </c>
      <c r="M4232" s="33" t="str">
        <f t="shared" si="267"/>
        <v>P&amp;L</v>
      </c>
    </row>
    <row r="4233" spans="1:13" s="33" customFormat="true" ht="12.75" customHeight="true">
      <c r="A4233" s="33" t="str">
        <f t="shared" si="264"/>
        <v>DF2 - Other Income/Expense</v>
      </c>
      <c r="B4233" s="33" t="str">
        <f t="shared" si="265"/>
        <v>DF2</v>
      </c>
      <c r="C4233" s="33" t="str">
        <f t="shared" si="266"/>
        <v>99001-7488</v>
      </c>
      <c r="D4233" s="64" t="s">
        <v>5207</v>
      </c>
      <c r="E4233" s="64" t="s">
        <v>3370</v>
      </c>
      <c r="F4233" s="64" t="s">
        <v>15</v>
      </c>
      <c r="G4233" s="64" t="s">
        <v>3017</v>
      </c>
      <c r="H4233" s="64" t="s">
        <v>3300</v>
      </c>
      <c r="I4233" s="64" t="s">
        <v>3371</v>
      </c>
      <c r="J4233" s="67">
        <v>-252.8</v>
      </c>
      <c r="K4233" s="62">
        <v>-2004.49</v>
      </c>
      <c r="L4233" s="33" t="e">
        <f>HLOOKUP(B4233,#REF!,1,0)</f>
        <v>#REF!</v>
      </c>
      <c r="M4233" s="33" t="str">
        <f t="shared" si="267"/>
        <v>P&amp;L</v>
      </c>
    </row>
    <row r="4234" spans="1:13" s="33" customFormat="true" ht="12.75" customHeight="true">
      <c r="A4234" s="33" t="str">
        <f t="shared" si="264"/>
        <v>DF2 - Other Income/Expense</v>
      </c>
      <c r="B4234" s="33" t="str">
        <f t="shared" si="265"/>
        <v>DF2</v>
      </c>
      <c r="C4234" s="33" t="str">
        <f t="shared" si="266"/>
        <v>99001-7495</v>
      </c>
      <c r="D4234" s="64" t="s">
        <v>5208</v>
      </c>
      <c r="E4234" s="64" t="s">
        <v>3370</v>
      </c>
      <c r="F4234" s="64" t="s">
        <v>15</v>
      </c>
      <c r="G4234" s="64" t="s">
        <v>3017</v>
      </c>
      <c r="H4234" s="64" t="s">
        <v>3300</v>
      </c>
      <c r="I4234" s="64" t="s">
        <v>3371</v>
      </c>
      <c r="J4234" s="67">
        <v>-237</v>
      </c>
      <c r="K4234" s="62">
        <v>-2154.04</v>
      </c>
      <c r="L4234" s="33" t="e">
        <f>HLOOKUP(B4234,#REF!,1,0)</f>
        <v>#REF!</v>
      </c>
      <c r="M4234" s="33" t="str">
        <f t="shared" si="267"/>
        <v>P&amp;L</v>
      </c>
    </row>
    <row r="4235" spans="1:13" s="33" customFormat="true" ht="12.75" customHeight="true">
      <c r="A4235" s="33" t="str">
        <f t="shared" si="264"/>
        <v>DF2 - Income Tax</v>
      </c>
      <c r="B4235" s="33" t="str">
        <f t="shared" si="265"/>
        <v>DF2</v>
      </c>
      <c r="C4235" s="33" t="str">
        <f t="shared" si="266"/>
        <v>99901-0000</v>
      </c>
      <c r="D4235" s="64" t="s">
        <v>5209</v>
      </c>
      <c r="E4235" s="64" t="s">
        <v>3377</v>
      </c>
      <c r="F4235" s="64" t="s">
        <v>15</v>
      </c>
      <c r="G4235" s="64" t="s">
        <v>3326</v>
      </c>
      <c r="H4235" s="64" t="s">
        <v>3378</v>
      </c>
      <c r="I4235" s="64" t="s">
        <v>3379</v>
      </c>
      <c r="J4235" s="67">
        <v>0</v>
      </c>
      <c r="K4235" s="62">
        <v>800</v>
      </c>
      <c r="L4235" s="33" t="e">
        <f>HLOOKUP(B4235,#REF!,1,0)</f>
        <v>#REF!</v>
      </c>
      <c r="M4235" s="33" t="str">
        <f t="shared" si="267"/>
        <v>P&amp;L</v>
      </c>
    </row>
    <row r="4236" spans="1:13" s="33" customFormat="true" ht="12.75" customHeight="true">
      <c r="A4236" s="33" t="str">
        <f t="shared" si="264"/>
        <v>DFL - Cash</v>
      </c>
      <c r="B4236" s="33" t="str">
        <f t="shared" si="265"/>
        <v>DFL</v>
      </c>
      <c r="C4236" s="33" t="str">
        <f t="shared" si="266"/>
        <v>10503-0000</v>
      </c>
      <c r="D4236" s="64" t="s">
        <v>5210</v>
      </c>
      <c r="E4236" s="64" t="s">
        <v>5211</v>
      </c>
      <c r="F4236" s="64" t="s">
        <v>681</v>
      </c>
      <c r="G4236" s="64" t="s">
        <v>16</v>
      </c>
      <c r="H4236" s="64" t="s">
        <v>25</v>
      </c>
      <c r="I4236" s="64" t="s">
        <v>18</v>
      </c>
      <c r="J4236" s="67">
        <v>0</v>
      </c>
      <c r="K4236" s="62">
        <v>0</v>
      </c>
      <c r="L4236" s="33" t="e">
        <f>HLOOKUP(B4236,#REF!,1,0)</f>
        <v>#REF!</v>
      </c>
      <c r="M4236" s="33" t="str">
        <f t="shared" si="267"/>
        <v>BS</v>
      </c>
    </row>
    <row r="4237" spans="1:13" s="33" customFormat="true" ht="12.75" customHeight="true">
      <c r="A4237" s="33" t="str">
        <f t="shared" si="264"/>
        <v>DFL - Interco Notes</v>
      </c>
      <c r="B4237" s="33" t="str">
        <f t="shared" si="265"/>
        <v>DFL</v>
      </c>
      <c r="C4237" s="33" t="str">
        <f t="shared" si="266"/>
        <v>11031-0000</v>
      </c>
      <c r="D4237" s="64" t="s">
        <v>5212</v>
      </c>
      <c r="E4237" s="64" t="s">
        <v>5213</v>
      </c>
      <c r="F4237" s="64" t="s">
        <v>679</v>
      </c>
      <c r="G4237" s="64" t="s">
        <v>16</v>
      </c>
      <c r="H4237" s="64" t="s">
        <v>721</v>
      </c>
      <c r="I4237" s="64" t="s">
        <v>40</v>
      </c>
      <c r="J4237" s="67">
        <v>40000</v>
      </c>
      <c r="K4237" s="62">
        <v>45000</v>
      </c>
      <c r="L4237" s="33" t="e">
        <f>HLOOKUP(B4237,#REF!,1,0)</f>
        <v>#REF!</v>
      </c>
      <c r="M4237" s="33" t="str">
        <f t="shared" si="267"/>
        <v>BS</v>
      </c>
    </row>
    <row r="4238" spans="1:13" s="33" customFormat="true" ht="12.75" customHeight="true">
      <c r="A4238" s="33" t="str">
        <f t="shared" si="264"/>
        <v>DFL - Interco Notes</v>
      </c>
      <c r="B4238" s="33" t="str">
        <f t="shared" si="265"/>
        <v>DFL</v>
      </c>
      <c r="C4238" s="33" t="str">
        <f t="shared" si="266"/>
        <v>11032-0000</v>
      </c>
      <c r="D4238" s="64" t="s">
        <v>5214</v>
      </c>
      <c r="E4238" s="64" t="s">
        <v>5215</v>
      </c>
      <c r="F4238" s="64" t="s">
        <v>679</v>
      </c>
      <c r="G4238" s="64" t="s">
        <v>16</v>
      </c>
      <c r="H4238" s="64" t="s">
        <v>721</v>
      </c>
      <c r="I4238" s="64" t="s">
        <v>40</v>
      </c>
      <c r="J4238" s="67">
        <v>80000</v>
      </c>
      <c r="K4238" s="62">
        <v>120000</v>
      </c>
      <c r="L4238" s="33" t="e">
        <f>HLOOKUP(B4238,#REF!,1,0)</f>
        <v>#REF!</v>
      </c>
      <c r="M4238" s="33" t="str">
        <f t="shared" si="267"/>
        <v>BS</v>
      </c>
    </row>
    <row r="4239" spans="1:13" s="33" customFormat="true" ht="12.75" customHeight="true">
      <c r="A4239" s="33" t="str">
        <f t="shared" si="264"/>
        <v>DFL - Interco Notes</v>
      </c>
      <c r="B4239" s="33" t="str">
        <f t="shared" si="265"/>
        <v>DFL</v>
      </c>
      <c r="C4239" s="33" t="str">
        <f t="shared" si="266"/>
        <v>11033-0000</v>
      </c>
      <c r="D4239" s="64" t="s">
        <v>5216</v>
      </c>
      <c r="E4239" s="64" t="s">
        <v>5217</v>
      </c>
      <c r="F4239" s="64" t="s">
        <v>679</v>
      </c>
      <c r="G4239" s="64" t="s">
        <v>16</v>
      </c>
      <c r="H4239" s="64" t="s">
        <v>721</v>
      </c>
      <c r="I4239" s="64" t="s">
        <v>40</v>
      </c>
      <c r="J4239" s="67">
        <v>0</v>
      </c>
      <c r="K4239" s="62">
        <v>40000</v>
      </c>
      <c r="L4239" s="33" t="e">
        <f>HLOOKUP(B4239,#REF!,1,0)</f>
        <v>#REF!</v>
      </c>
      <c r="M4239" s="33" t="str">
        <f t="shared" si="267"/>
        <v>BS</v>
      </c>
    </row>
    <row r="4240" spans="1:13" s="33" customFormat="true" ht="12.75" customHeight="true">
      <c r="A4240" s="33" t="str">
        <f t="shared" si="264"/>
        <v>DFL - InterCo Notes</v>
      </c>
      <c r="B4240" s="33" t="str">
        <f t="shared" si="265"/>
        <v>DFL</v>
      </c>
      <c r="C4240" s="33" t="str">
        <f t="shared" si="266"/>
        <v>11075-0000</v>
      </c>
      <c r="D4240" s="64" t="s">
        <v>5218</v>
      </c>
      <c r="E4240" s="64" t="s">
        <v>5219</v>
      </c>
      <c r="F4240" s="64" t="s">
        <v>679</v>
      </c>
      <c r="G4240" s="64" t="s">
        <v>16</v>
      </c>
      <c r="H4240" s="64" t="s">
        <v>315</v>
      </c>
      <c r="I4240" s="64" t="s">
        <v>40</v>
      </c>
      <c r="J4240" s="67">
        <v>20000</v>
      </c>
      <c r="K4240" s="62">
        <v>208000</v>
      </c>
      <c r="L4240" s="33" t="e">
        <f>HLOOKUP(B4240,#REF!,1,0)</f>
        <v>#REF!</v>
      </c>
      <c r="M4240" s="33" t="str">
        <f t="shared" si="267"/>
        <v>BS</v>
      </c>
    </row>
    <row r="4241" spans="1:13" s="33" customFormat="true" ht="12.75" customHeight="true">
      <c r="A4241" s="33" t="str">
        <f t="shared" si="264"/>
        <v>DFL - Interco Notes</v>
      </c>
      <c r="B4241" s="33" t="str">
        <f t="shared" si="265"/>
        <v>DFL</v>
      </c>
      <c r="C4241" s="33" t="str">
        <f t="shared" si="266"/>
        <v>11077-0000</v>
      </c>
      <c r="D4241" s="64" t="s">
        <v>5220</v>
      </c>
      <c r="E4241" s="64" t="s">
        <v>5221</v>
      </c>
      <c r="F4241" s="64" t="s">
        <v>679</v>
      </c>
      <c r="G4241" s="64" t="s">
        <v>16</v>
      </c>
      <c r="H4241" s="64" t="s">
        <v>721</v>
      </c>
      <c r="I4241" s="64" t="s">
        <v>40</v>
      </c>
      <c r="J4241" s="67">
        <v>50000</v>
      </c>
      <c r="K4241" s="62">
        <v>50000</v>
      </c>
      <c r="L4241" s="33" t="e">
        <f>HLOOKUP(B4241,#REF!,1,0)</f>
        <v>#REF!</v>
      </c>
      <c r="M4241" s="33" t="str">
        <f t="shared" si="267"/>
        <v>BS</v>
      </c>
    </row>
    <row r="4242" spans="1:13" s="33" customFormat="true" ht="12.75" customHeight="true">
      <c r="A4242" s="33" t="str">
        <f t="shared" si="264"/>
        <v>DFL - Intercompany</v>
      </c>
      <c r="B4242" s="33" t="str">
        <f t="shared" si="265"/>
        <v>DFL</v>
      </c>
      <c r="C4242" s="33" t="str">
        <f t="shared" si="266"/>
        <v>11360-0000</v>
      </c>
      <c r="D4242" s="64" t="s">
        <v>5222</v>
      </c>
      <c r="E4242" s="64" t="s">
        <v>5223</v>
      </c>
      <c r="F4242" s="64" t="s">
        <v>5224</v>
      </c>
      <c r="G4242" s="64" t="s">
        <v>16</v>
      </c>
      <c r="H4242" s="64" t="s">
        <v>39</v>
      </c>
      <c r="I4242" s="64" t="s">
        <v>40</v>
      </c>
      <c r="J4242" s="67">
        <v>0</v>
      </c>
      <c r="K4242" s="62">
        <v>1305694.44</v>
      </c>
      <c r="L4242" s="33" t="e">
        <f>HLOOKUP(B4242,#REF!,1,0)</f>
        <v>#REF!</v>
      </c>
      <c r="M4242" s="33" t="str">
        <f t="shared" si="267"/>
        <v>BS</v>
      </c>
    </row>
    <row r="4243" spans="1:13" s="33" customFormat="true" ht="12.75" customHeight="true">
      <c r="A4243" s="33" t="str">
        <f t="shared" si="264"/>
        <v>DFL - Intercompany</v>
      </c>
      <c r="B4243" s="33" t="str">
        <f t="shared" si="265"/>
        <v>DFL</v>
      </c>
      <c r="C4243" s="33" t="str">
        <f t="shared" si="266"/>
        <v>11403-0000</v>
      </c>
      <c r="D4243" s="64" t="s">
        <v>5225</v>
      </c>
      <c r="E4243" s="64" t="s">
        <v>5226</v>
      </c>
      <c r="F4243" s="64" t="s">
        <v>679</v>
      </c>
      <c r="G4243" s="64" t="s">
        <v>16</v>
      </c>
      <c r="H4243" s="64" t="s">
        <v>39</v>
      </c>
      <c r="I4243" s="64" t="s">
        <v>40</v>
      </c>
      <c r="J4243" s="67">
        <v>0</v>
      </c>
      <c r="K4243" s="62">
        <v>20000</v>
      </c>
      <c r="L4243" s="33" t="e">
        <f>HLOOKUP(B4243,#REF!,1,0)</f>
        <v>#REF!</v>
      </c>
      <c r="M4243" s="33" t="str">
        <f t="shared" si="267"/>
        <v>BS</v>
      </c>
    </row>
    <row r="4244" spans="1:13" s="33" customFormat="true" ht="12.75" customHeight="true">
      <c r="A4244" s="33" t="str">
        <f t="shared" si="264"/>
        <v>DFL - AP-Accr Exp</v>
      </c>
      <c r="B4244" s="33" t="str">
        <f t="shared" si="265"/>
        <v>DFL</v>
      </c>
      <c r="C4244" s="33" t="str">
        <f t="shared" si="266"/>
        <v>20001-0000</v>
      </c>
      <c r="D4244" s="64" t="s">
        <v>5227</v>
      </c>
      <c r="E4244" s="64" t="s">
        <v>96</v>
      </c>
      <c r="F4244" s="64" t="s">
        <v>679</v>
      </c>
      <c r="G4244" s="64" t="s">
        <v>97</v>
      </c>
      <c r="H4244" s="64" t="s">
        <v>98</v>
      </c>
      <c r="I4244" s="64" t="s">
        <v>99</v>
      </c>
      <c r="J4244" s="67">
        <v>0</v>
      </c>
      <c r="K4244" s="62">
        <v>0</v>
      </c>
      <c r="L4244" s="33" t="e">
        <f>HLOOKUP(B4244,#REF!,1,0)</f>
        <v>#REF!</v>
      </c>
      <c r="M4244" s="33" t="str">
        <f t="shared" si="267"/>
        <v>BS</v>
      </c>
    </row>
    <row r="4245" spans="1:13" s="33" customFormat="true" ht="12.75" customHeight="true">
      <c r="A4245" s="33" t="str">
        <f t="shared" si="264"/>
        <v>DFL - Principal</v>
      </c>
      <c r="B4245" s="33" t="str">
        <f t="shared" si="265"/>
        <v>DFL</v>
      </c>
      <c r="C4245" s="33" t="str">
        <f t="shared" si="266"/>
        <v>28008-0000</v>
      </c>
      <c r="D4245" s="64" t="s">
        <v>5228</v>
      </c>
      <c r="E4245" s="64" t="s">
        <v>5229</v>
      </c>
      <c r="F4245" s="64" t="s">
        <v>679</v>
      </c>
      <c r="G4245" s="64" t="s">
        <v>876</v>
      </c>
      <c r="H4245" s="64" t="s">
        <v>127</v>
      </c>
      <c r="I4245" s="64" t="s">
        <v>133</v>
      </c>
      <c r="J4245" s="67">
        <v>0</v>
      </c>
      <c r="K4245" s="62">
        <v>-1300000</v>
      </c>
      <c r="L4245" s="33" t="e">
        <f>HLOOKUP(B4245,#REF!,1,0)</f>
        <v>#REF!</v>
      </c>
      <c r="M4245" s="33" t="str">
        <f t="shared" si="267"/>
        <v>BS</v>
      </c>
    </row>
    <row r="4246" spans="1:13" s="33" customFormat="true" ht="12.75" customHeight="true">
      <c r="A4246" s="33" t="str">
        <f t="shared" si="264"/>
        <v>DFL - Revenue</v>
      </c>
      <c r="B4246" s="33" t="str">
        <f t="shared" si="265"/>
        <v>DFL</v>
      </c>
      <c r="C4246" s="33" t="str">
        <f t="shared" si="266"/>
        <v>40400-0000</v>
      </c>
      <c r="D4246" s="64" t="s">
        <v>5230</v>
      </c>
      <c r="E4246" s="64" t="s">
        <v>3895</v>
      </c>
      <c r="F4246" s="64" t="s">
        <v>679</v>
      </c>
      <c r="G4246" s="64" t="s">
        <v>4447</v>
      </c>
      <c r="H4246" s="64" t="s">
        <v>2871</v>
      </c>
      <c r="I4246" s="64" t="s">
        <v>5231</v>
      </c>
      <c r="J4246" s="67">
        <v>-2894.64</v>
      </c>
      <c r="K4246" s="62">
        <v>-35146.86</v>
      </c>
      <c r="L4246" s="33" t="e">
        <f>HLOOKUP(B4246,#REF!,1,0)</f>
        <v>#REF!</v>
      </c>
      <c r="M4246" s="33" t="str">
        <f t="shared" si="267"/>
        <v>P&amp;L</v>
      </c>
    </row>
    <row r="4247" spans="1:13" s="33" customFormat="true" ht="12.75" customHeight="true">
      <c r="A4247" s="33" t="str">
        <f t="shared" si="264"/>
        <v>DFL - Operating Expense</v>
      </c>
      <c r="B4247" s="33" t="str">
        <f t="shared" si="265"/>
        <v>DFL</v>
      </c>
      <c r="C4247" s="33" t="str">
        <f t="shared" si="266"/>
        <v>50400-0000</v>
      </c>
      <c r="D4247" s="64" t="s">
        <v>5232</v>
      </c>
      <c r="E4247" s="64" t="s">
        <v>3837</v>
      </c>
      <c r="F4247" s="64" t="s">
        <v>679</v>
      </c>
      <c r="G4247" s="64" t="s">
        <v>4426</v>
      </c>
      <c r="H4247" s="64" t="s">
        <v>3022</v>
      </c>
      <c r="I4247" s="64" t="s">
        <v>5233</v>
      </c>
      <c r="J4247" s="67">
        <v>66</v>
      </c>
      <c r="K4247" s="62">
        <v>123233.75</v>
      </c>
      <c r="L4247" s="33" t="e">
        <f>HLOOKUP(B4247,#REF!,1,0)</f>
        <v>#REF!</v>
      </c>
      <c r="M4247" s="33" t="str">
        <f t="shared" si="267"/>
        <v>P&amp;L</v>
      </c>
    </row>
    <row r="4248" spans="1:13" s="33" customFormat="true" ht="12.75" customHeight="true">
      <c r="A4248" s="33" t="str">
        <f t="shared" si="264"/>
        <v>DFL - Interest Expense</v>
      </c>
      <c r="B4248" s="33" t="str">
        <f t="shared" si="265"/>
        <v>DFL</v>
      </c>
      <c r="C4248" s="33" t="str">
        <f t="shared" si="266"/>
        <v>54500-0000</v>
      </c>
      <c r="D4248" s="64" t="s">
        <v>5234</v>
      </c>
      <c r="E4248" s="64" t="s">
        <v>3325</v>
      </c>
      <c r="F4248" s="64" t="s">
        <v>679</v>
      </c>
      <c r="G4248" s="64" t="s">
        <v>5235</v>
      </c>
      <c r="H4248" s="64" t="s">
        <v>3327</v>
      </c>
      <c r="I4248" s="64" t="s">
        <v>5236</v>
      </c>
      <c r="J4248" s="67">
        <v>41487.29</v>
      </c>
      <c r="K4248" s="62">
        <v>531632.28</v>
      </c>
      <c r="L4248" s="33" t="e">
        <f>HLOOKUP(B4248,#REF!,1,0)</f>
        <v>#REF!</v>
      </c>
      <c r="M4248" s="33" t="str">
        <f t="shared" si="267"/>
        <v>P&amp;L</v>
      </c>
    </row>
    <row r="4249" spans="1:13" s="33" customFormat="true" ht="12.75" customHeight="true">
      <c r="A4249" s="33" t="str">
        <f t="shared" si="264"/>
        <v>DFL - CGS</v>
      </c>
      <c r="B4249" s="33" t="str">
        <f t="shared" si="265"/>
        <v>DFL</v>
      </c>
      <c r="C4249" s="33" t="str">
        <f t="shared" si="266"/>
        <v>57700-0000</v>
      </c>
      <c r="D4249" s="64" t="s">
        <v>5237</v>
      </c>
      <c r="E4249" s="64" t="s">
        <v>4354</v>
      </c>
      <c r="F4249" s="64" t="s">
        <v>679</v>
      </c>
      <c r="G4249" s="64" t="s">
        <v>4426</v>
      </c>
      <c r="H4249" s="64" t="s">
        <v>1875</v>
      </c>
      <c r="I4249" s="64" t="s">
        <v>3354</v>
      </c>
      <c r="J4249" s="67">
        <v>0</v>
      </c>
      <c r="K4249" s="62">
        <v>10000</v>
      </c>
      <c r="L4249" s="33" t="e">
        <f>HLOOKUP(B4249,#REF!,1,0)</f>
        <v>#REF!</v>
      </c>
      <c r="M4249" s="33" t="str">
        <f t="shared" si="267"/>
        <v>P&amp;L</v>
      </c>
    </row>
    <row r="4250" spans="1:13" s="33" customFormat="true" ht="12.75" customHeight="true">
      <c r="A4250" s="33" t="str">
        <f t="shared" si="264"/>
        <v>DFL - Other Income/Expense</v>
      </c>
      <c r="B4250" s="33" t="str">
        <f t="shared" si="265"/>
        <v>DFL</v>
      </c>
      <c r="C4250" s="33" t="str">
        <f t="shared" si="266"/>
        <v>93202-0000</v>
      </c>
      <c r="D4250" s="64" t="s">
        <v>5238</v>
      </c>
      <c r="E4250" s="64" t="s">
        <v>5239</v>
      </c>
      <c r="F4250" s="64" t="s">
        <v>679</v>
      </c>
      <c r="G4250" s="64" t="s">
        <v>3017</v>
      </c>
      <c r="H4250" s="64" t="s">
        <v>3300</v>
      </c>
      <c r="I4250" s="64" t="s">
        <v>3342</v>
      </c>
      <c r="J4250" s="67">
        <v>-312.72</v>
      </c>
      <c r="K4250" s="62">
        <v>10855.86</v>
      </c>
      <c r="L4250" s="33" t="e">
        <f>HLOOKUP(B4250,#REF!,1,0)</f>
        <v>#REF!</v>
      </c>
      <c r="M4250" s="33" t="str">
        <f t="shared" si="267"/>
        <v>P&amp;L</v>
      </c>
    </row>
    <row r="4251" spans="1:13" s="33" customFormat="true" ht="12.75" customHeight="true">
      <c r="A4251" s="33" t="str">
        <f t="shared" si="264"/>
        <v>DFL - Other INcome/Expense</v>
      </c>
      <c r="B4251" s="33" t="str">
        <f t="shared" si="265"/>
        <v>DFL</v>
      </c>
      <c r="C4251" s="33" t="str">
        <f t="shared" si="266"/>
        <v>94201-0000</v>
      </c>
      <c r="D4251" s="64" t="s">
        <v>5240</v>
      </c>
      <c r="E4251" s="64" t="s">
        <v>5241</v>
      </c>
      <c r="F4251" s="64" t="s">
        <v>679</v>
      </c>
      <c r="G4251" s="64" t="s">
        <v>3017</v>
      </c>
      <c r="H4251" s="64" t="s">
        <v>5242</v>
      </c>
      <c r="I4251" s="64" t="s">
        <v>3354</v>
      </c>
      <c r="J4251" s="67">
        <v>0</v>
      </c>
      <c r="K4251" s="62">
        <v>28565</v>
      </c>
      <c r="L4251" s="33" t="e">
        <f>HLOOKUP(B4251,#REF!,1,0)</f>
        <v>#REF!</v>
      </c>
      <c r="M4251" s="33" t="str">
        <f t="shared" si="267"/>
        <v>P&amp;L</v>
      </c>
    </row>
    <row r="4252" spans="1:13" s="33" customFormat="true" ht="12.75" customHeight="true">
      <c r="A4252" s="33" t="str">
        <f t="shared" si="264"/>
        <v>DFL - Income Tax</v>
      </c>
      <c r="B4252" s="33" t="str">
        <f t="shared" si="265"/>
        <v>DFL</v>
      </c>
      <c r="C4252" s="33" t="str">
        <f t="shared" si="266"/>
        <v>99901-0000</v>
      </c>
      <c r="D4252" s="64" t="s">
        <v>5243</v>
      </c>
      <c r="E4252" s="64" t="s">
        <v>5244</v>
      </c>
      <c r="F4252" s="64" t="s">
        <v>679</v>
      </c>
      <c r="G4252" s="64" t="s">
        <v>5235</v>
      </c>
      <c r="H4252" s="64" t="s">
        <v>3378</v>
      </c>
      <c r="I4252" s="64" t="s">
        <v>5245</v>
      </c>
      <c r="J4252" s="67">
        <v>52329</v>
      </c>
      <c r="K4252" s="62">
        <v>98836.45</v>
      </c>
      <c r="L4252" s="33" t="e">
        <f>HLOOKUP(B4252,#REF!,1,0)</f>
        <v>#REF!</v>
      </c>
      <c r="M4252" s="33" t="str">
        <f t="shared" si="267"/>
        <v>P&amp;L</v>
      </c>
    </row>
    <row r="4253" spans="1:13" s="33" customFormat="true" ht="12.75" customHeight="true">
      <c r="A4253" s="33" t="str">
        <f t="shared" si="264"/>
        <v>DIA - Fixed Assets</v>
      </c>
      <c r="B4253" s="33" t="str">
        <f t="shared" si="265"/>
        <v>DIA</v>
      </c>
      <c r="C4253" s="33" t="str">
        <f t="shared" si="266"/>
        <v>15501-0000</v>
      </c>
      <c r="D4253" s="64" t="s">
        <v>5246</v>
      </c>
      <c r="E4253" s="64" t="s">
        <v>2635</v>
      </c>
      <c r="F4253" s="64" t="s">
        <v>230</v>
      </c>
      <c r="G4253" s="64" t="s">
        <v>62</v>
      </c>
      <c r="H4253" s="64" t="s">
        <v>63</v>
      </c>
      <c r="I4253" s="64" t="s">
        <v>64</v>
      </c>
      <c r="J4253" s="67">
        <v>598.41</v>
      </c>
      <c r="K4253" s="62">
        <v>2348.56</v>
      </c>
      <c r="L4253" s="33" t="e">
        <f>HLOOKUP(B4253,#REF!,1,0)</f>
        <v>#REF!</v>
      </c>
      <c r="M4253" s="33" t="str">
        <f t="shared" si="267"/>
        <v>BS</v>
      </c>
    </row>
    <row r="4254" spans="1:13" s="33" customFormat="true" ht="12.75" customHeight="true">
      <c r="A4254" s="33" t="str">
        <f t="shared" si="264"/>
        <v>DIA - Prepaid Income</v>
      </c>
      <c r="B4254" s="33" t="str">
        <f t="shared" si="265"/>
        <v>DIA</v>
      </c>
      <c r="C4254" s="33" t="str">
        <f t="shared" si="266"/>
        <v>25300-0000</v>
      </c>
      <c r="D4254" s="64" t="s">
        <v>5247</v>
      </c>
      <c r="E4254" s="64" t="s">
        <v>3677</v>
      </c>
      <c r="F4254" s="64" t="s">
        <v>230</v>
      </c>
      <c r="G4254" s="64" t="s">
        <v>3678</v>
      </c>
      <c r="H4254" s="64" t="s">
        <v>3881</v>
      </c>
      <c r="I4254" s="64" t="s">
        <v>102</v>
      </c>
      <c r="J4254" s="67">
        <v>-314.22</v>
      </c>
      <c r="K4254" s="62">
        <v>-314.22</v>
      </c>
      <c r="L4254" s="33" t="e">
        <f>HLOOKUP(B4254,#REF!,1,0)</f>
        <v>#REF!</v>
      </c>
      <c r="M4254" s="33" t="str">
        <f t="shared" si="267"/>
        <v>BS</v>
      </c>
    </row>
    <row r="4255" spans="1:13" s="33" customFormat="true" ht="12.75" customHeight="true">
      <c r="A4255" s="33" t="str">
        <f t="shared" si="264"/>
        <v>DIA - Revenue</v>
      </c>
      <c r="B4255" s="33" t="str">
        <f t="shared" si="265"/>
        <v>DIA</v>
      </c>
      <c r="C4255" s="33" t="str">
        <f t="shared" si="266"/>
        <v>40110-0000</v>
      </c>
      <c r="D4255" s="64" t="s">
        <v>5248</v>
      </c>
      <c r="E4255" s="64" t="s">
        <v>3683</v>
      </c>
      <c r="F4255" s="64" t="s">
        <v>230</v>
      </c>
      <c r="G4255" s="64" t="s">
        <v>3684</v>
      </c>
      <c r="H4255" s="64" t="s">
        <v>2871</v>
      </c>
      <c r="I4255" s="64" t="s">
        <v>3685</v>
      </c>
      <c r="J4255" s="67">
        <v>-50941.11</v>
      </c>
      <c r="K4255" s="62">
        <v>-509411.1</v>
      </c>
      <c r="L4255" s="33" t="e">
        <f>HLOOKUP(B4255,#REF!,1,0)</f>
        <v>#REF!</v>
      </c>
      <c r="M4255" s="33" t="str">
        <f t="shared" si="267"/>
        <v>P&amp;L</v>
      </c>
    </row>
    <row r="4256" spans="1:13" s="33" customFormat="true" ht="12.75" customHeight="true">
      <c r="A4256" s="33" t="str">
        <f t="shared" si="264"/>
        <v>DIA - Revenue</v>
      </c>
      <c r="B4256" s="33" t="str">
        <f t="shared" si="265"/>
        <v>DIA</v>
      </c>
      <c r="C4256" s="33" t="str">
        <f t="shared" si="266"/>
        <v>40120-0000</v>
      </c>
      <c r="D4256" s="64" t="s">
        <v>5249</v>
      </c>
      <c r="E4256" s="64" t="s">
        <v>3687</v>
      </c>
      <c r="F4256" s="64" t="s">
        <v>230</v>
      </c>
      <c r="G4256" s="64" t="s">
        <v>3684</v>
      </c>
      <c r="H4256" s="64" t="s">
        <v>2871</v>
      </c>
      <c r="I4256" s="64" t="s">
        <v>3688</v>
      </c>
      <c r="J4256" s="67">
        <v>-3834</v>
      </c>
      <c r="K4256" s="62">
        <v>-21692</v>
      </c>
      <c r="L4256" s="33" t="e">
        <f>HLOOKUP(B4256,#REF!,1,0)</f>
        <v>#REF!</v>
      </c>
      <c r="M4256" s="33" t="str">
        <f t="shared" si="267"/>
        <v>P&amp;L</v>
      </c>
    </row>
    <row r="4257" spans="1:13" s="33" customFormat="true" ht="12.75" customHeight="true">
      <c r="A4257" s="33" t="str">
        <f t="shared" si="264"/>
        <v>DIA - Revenue</v>
      </c>
      <c r="B4257" s="33" t="str">
        <f t="shared" si="265"/>
        <v>DIA</v>
      </c>
      <c r="C4257" s="33" t="str">
        <f t="shared" si="266"/>
        <v>40130-0000</v>
      </c>
      <c r="D4257" s="64" t="s">
        <v>5250</v>
      </c>
      <c r="E4257" s="64" t="s">
        <v>3690</v>
      </c>
      <c r="F4257" s="64" t="s">
        <v>230</v>
      </c>
      <c r="G4257" s="64" t="s">
        <v>3684</v>
      </c>
      <c r="H4257" s="64" t="s">
        <v>2871</v>
      </c>
      <c r="I4257" s="64" t="s">
        <v>3691</v>
      </c>
      <c r="J4257" s="67">
        <v>0</v>
      </c>
      <c r="K4257" s="62">
        <v>0</v>
      </c>
      <c r="L4257" s="33" t="e">
        <f>HLOOKUP(B4257,#REF!,1,0)</f>
        <v>#REF!</v>
      </c>
      <c r="M4257" s="33" t="str">
        <f t="shared" si="267"/>
        <v>P&amp;L</v>
      </c>
    </row>
    <row r="4258" spans="1:13" s="33" customFormat="true" ht="12.75" customHeight="true">
      <c r="A4258" s="33" t="str">
        <f t="shared" si="264"/>
        <v>DIA - Revenue</v>
      </c>
      <c r="B4258" s="33" t="str">
        <f t="shared" si="265"/>
        <v>DIA</v>
      </c>
      <c r="C4258" s="33" t="str">
        <f t="shared" si="266"/>
        <v>40140-0000</v>
      </c>
      <c r="D4258" s="64" t="s">
        <v>5251</v>
      </c>
      <c r="E4258" s="64" t="s">
        <v>3948</v>
      </c>
      <c r="F4258" s="64" t="s">
        <v>230</v>
      </c>
      <c r="G4258" s="64" t="s">
        <v>3684</v>
      </c>
      <c r="H4258" s="64" t="s">
        <v>2871</v>
      </c>
      <c r="I4258" s="64" t="s">
        <v>3949</v>
      </c>
      <c r="J4258" s="67">
        <v>0</v>
      </c>
      <c r="K4258" s="62">
        <v>0</v>
      </c>
      <c r="L4258" s="33" t="e">
        <f>HLOOKUP(B4258,#REF!,1,0)</f>
        <v>#REF!</v>
      </c>
      <c r="M4258" s="33" t="str">
        <f t="shared" si="267"/>
        <v>P&amp;L</v>
      </c>
    </row>
    <row r="4259" spans="1:13" s="33" customFormat="true" ht="12.75" customHeight="true">
      <c r="A4259" s="33" t="str">
        <f t="shared" si="264"/>
        <v>DIA - Revenue</v>
      </c>
      <c r="B4259" s="33" t="str">
        <f t="shared" si="265"/>
        <v>DIA</v>
      </c>
      <c r="C4259" s="33" t="str">
        <f t="shared" si="266"/>
        <v>41110-0000</v>
      </c>
      <c r="D4259" s="64" t="s">
        <v>5252</v>
      </c>
      <c r="E4259" s="64" t="s">
        <v>3693</v>
      </c>
      <c r="F4259" s="64" t="s">
        <v>230</v>
      </c>
      <c r="G4259" s="64" t="s">
        <v>3694</v>
      </c>
      <c r="H4259" s="64" t="s">
        <v>2871</v>
      </c>
      <c r="I4259" s="64" t="s">
        <v>3695</v>
      </c>
      <c r="J4259" s="67">
        <v>0</v>
      </c>
      <c r="K4259" s="62">
        <v>5690</v>
      </c>
      <c r="L4259" s="33" t="e">
        <f>HLOOKUP(B4259,#REF!,1,0)</f>
        <v>#REF!</v>
      </c>
      <c r="M4259" s="33" t="str">
        <f t="shared" si="267"/>
        <v>P&amp;L</v>
      </c>
    </row>
    <row r="4260" spans="1:13" s="33" customFormat="true" ht="12.75" customHeight="true">
      <c r="A4260" s="33" t="str">
        <f t="shared" si="264"/>
        <v>DIA - Revenue</v>
      </c>
      <c r="B4260" s="33" t="str">
        <f t="shared" si="265"/>
        <v>DIA</v>
      </c>
      <c r="C4260" s="33" t="str">
        <f t="shared" si="266"/>
        <v>41121-0000</v>
      </c>
      <c r="D4260" s="64" t="s">
        <v>5253</v>
      </c>
      <c r="E4260" s="64" t="s">
        <v>3697</v>
      </c>
      <c r="F4260" s="64" t="s">
        <v>230</v>
      </c>
      <c r="G4260" s="64" t="s">
        <v>3694</v>
      </c>
      <c r="H4260" s="64" t="s">
        <v>2871</v>
      </c>
      <c r="I4260" s="64" t="s">
        <v>3698</v>
      </c>
      <c r="J4260" s="67">
        <v>6637.15</v>
      </c>
      <c r="K4260" s="62">
        <v>46329.4</v>
      </c>
      <c r="L4260" s="33" t="e">
        <f>HLOOKUP(B4260,#REF!,1,0)</f>
        <v>#REF!</v>
      </c>
      <c r="M4260" s="33" t="str">
        <f t="shared" si="267"/>
        <v>P&amp;L</v>
      </c>
    </row>
    <row r="4261" spans="1:13" s="33" customFormat="true" ht="12.75" customHeight="true">
      <c r="A4261" s="33" t="str">
        <f t="shared" si="264"/>
        <v>DIA - Revenue</v>
      </c>
      <c r="B4261" s="33" t="str">
        <f t="shared" si="265"/>
        <v>DIA</v>
      </c>
      <c r="C4261" s="33" t="str">
        <f t="shared" si="266"/>
        <v>41122-0000</v>
      </c>
      <c r="D4261" s="64" t="s">
        <v>5254</v>
      </c>
      <c r="E4261" s="64" t="s">
        <v>3700</v>
      </c>
      <c r="F4261" s="64" t="s">
        <v>230</v>
      </c>
      <c r="G4261" s="64" t="s">
        <v>3694</v>
      </c>
      <c r="H4261" s="64" t="s">
        <v>2871</v>
      </c>
      <c r="I4261" s="64" t="s">
        <v>3701</v>
      </c>
      <c r="J4261" s="67">
        <v>-594</v>
      </c>
      <c r="K4261" s="62">
        <v>-24077.4</v>
      </c>
      <c r="L4261" s="33" t="e">
        <f>HLOOKUP(B4261,#REF!,1,0)</f>
        <v>#REF!</v>
      </c>
      <c r="M4261" s="33" t="str">
        <f t="shared" si="267"/>
        <v>P&amp;L</v>
      </c>
    </row>
    <row r="4262" spans="1:13" s="33" customFormat="true" ht="12.75" customHeight="true">
      <c r="A4262" s="33" t="str">
        <f t="shared" si="264"/>
        <v>DIA - Revenue</v>
      </c>
      <c r="B4262" s="33" t="str">
        <f t="shared" si="265"/>
        <v>DIA</v>
      </c>
      <c r="C4262" s="33" t="str">
        <f t="shared" si="266"/>
        <v>41130-0000</v>
      </c>
      <c r="D4262" s="64" t="s">
        <v>5255</v>
      </c>
      <c r="E4262" s="64" t="s">
        <v>3703</v>
      </c>
      <c r="F4262" s="64" t="s">
        <v>230</v>
      </c>
      <c r="G4262" s="64" t="s">
        <v>3694</v>
      </c>
      <c r="H4262" s="64" t="s">
        <v>2871</v>
      </c>
      <c r="I4262" s="64" t="s">
        <v>3704</v>
      </c>
      <c r="J4262" s="67">
        <v>100</v>
      </c>
      <c r="K4262" s="62">
        <v>2500</v>
      </c>
      <c r="L4262" s="33" t="e">
        <f>HLOOKUP(B4262,#REF!,1,0)</f>
        <v>#REF!</v>
      </c>
      <c r="M4262" s="33" t="str">
        <f t="shared" si="267"/>
        <v>P&amp;L</v>
      </c>
    </row>
    <row r="4263" spans="1:13" s="33" customFormat="true" ht="12.75" customHeight="true">
      <c r="A4263" s="33" t="str">
        <f t="shared" si="264"/>
        <v>DIA - Revenue</v>
      </c>
      <c r="B4263" s="33" t="str">
        <f t="shared" si="265"/>
        <v>DIA</v>
      </c>
      <c r="C4263" s="33" t="str">
        <f t="shared" si="266"/>
        <v>41140-0000</v>
      </c>
      <c r="D4263" s="64" t="s">
        <v>5256</v>
      </c>
      <c r="E4263" s="64" t="s">
        <v>3706</v>
      </c>
      <c r="F4263" s="64" t="s">
        <v>230</v>
      </c>
      <c r="G4263" s="64" t="s">
        <v>3694</v>
      </c>
      <c r="H4263" s="64" t="s">
        <v>2871</v>
      </c>
      <c r="I4263" s="64" t="s">
        <v>3707</v>
      </c>
      <c r="J4263" s="67">
        <v>0</v>
      </c>
      <c r="K4263" s="62">
        <v>0</v>
      </c>
      <c r="L4263" s="33" t="e">
        <f>HLOOKUP(B4263,#REF!,1,0)</f>
        <v>#REF!</v>
      </c>
      <c r="M4263" s="33" t="str">
        <f t="shared" si="267"/>
        <v>P&amp;L</v>
      </c>
    </row>
    <row r="4264" spans="1:13" s="33" customFormat="true" ht="12.75" customHeight="true">
      <c r="A4264" s="33" t="str">
        <f t="shared" si="264"/>
        <v>DIA - Revenue</v>
      </c>
      <c r="B4264" s="33" t="str">
        <f t="shared" si="265"/>
        <v>DIA</v>
      </c>
      <c r="C4264" s="33" t="str">
        <f t="shared" si="266"/>
        <v>41150-0000</v>
      </c>
      <c r="D4264" s="64" t="s">
        <v>5257</v>
      </c>
      <c r="E4264" s="64" t="s">
        <v>3709</v>
      </c>
      <c r="F4264" s="64" t="s">
        <v>230</v>
      </c>
      <c r="G4264" s="64" t="s">
        <v>3694</v>
      </c>
      <c r="H4264" s="64" t="s">
        <v>2871</v>
      </c>
      <c r="I4264" s="64" t="s">
        <v>3710</v>
      </c>
      <c r="J4264" s="67">
        <v>1100</v>
      </c>
      <c r="K4264" s="62">
        <v>9900</v>
      </c>
      <c r="L4264" s="33" t="e">
        <f>HLOOKUP(B4264,#REF!,1,0)</f>
        <v>#REF!</v>
      </c>
      <c r="M4264" s="33" t="str">
        <f t="shared" si="267"/>
        <v>P&amp;L</v>
      </c>
    </row>
    <row r="4265" spans="1:13" s="33" customFormat="true" ht="12.75" customHeight="true">
      <c r="A4265" s="33" t="str">
        <f t="shared" si="264"/>
        <v>DIA - Revenue</v>
      </c>
      <c r="B4265" s="33" t="str">
        <f t="shared" si="265"/>
        <v>DIA</v>
      </c>
      <c r="C4265" s="33" t="str">
        <f t="shared" si="266"/>
        <v>41160-0000</v>
      </c>
      <c r="D4265" s="64" t="s">
        <v>5258</v>
      </c>
      <c r="E4265" s="64" t="s">
        <v>3957</v>
      </c>
      <c r="F4265" s="64" t="s">
        <v>230</v>
      </c>
      <c r="G4265" s="64" t="s">
        <v>3694</v>
      </c>
      <c r="H4265" s="64" t="s">
        <v>2871</v>
      </c>
      <c r="I4265" s="64" t="s">
        <v>3701</v>
      </c>
      <c r="J4265" s="67">
        <v>0</v>
      </c>
      <c r="K4265" s="62">
        <v>-24820.31</v>
      </c>
      <c r="L4265" s="33" t="e">
        <f>HLOOKUP(B4265,#REF!,1,0)</f>
        <v>#REF!</v>
      </c>
      <c r="M4265" s="33" t="str">
        <f t="shared" si="267"/>
        <v>P&amp;L</v>
      </c>
    </row>
    <row r="4266" spans="1:13" s="33" customFormat="true" ht="12.75" customHeight="true">
      <c r="A4266" s="33" t="str">
        <f t="shared" si="264"/>
        <v>DIA - Revenue</v>
      </c>
      <c r="B4266" s="33" t="str">
        <f t="shared" si="265"/>
        <v>DIA</v>
      </c>
      <c r="C4266" s="33" t="str">
        <f t="shared" si="266"/>
        <v>41999-0000</v>
      </c>
      <c r="D4266" s="64" t="s">
        <v>5259</v>
      </c>
      <c r="E4266" s="64" t="s">
        <v>3712</v>
      </c>
      <c r="F4266" s="64" t="s">
        <v>230</v>
      </c>
      <c r="G4266" s="64" t="s">
        <v>3713</v>
      </c>
      <c r="H4266" s="64" t="s">
        <v>2871</v>
      </c>
      <c r="I4266" s="64" t="s">
        <v>3714</v>
      </c>
      <c r="J4266" s="67">
        <v>47531.96</v>
      </c>
      <c r="K4266" s="62">
        <v>515581.41</v>
      </c>
      <c r="L4266" s="33" t="e">
        <f>HLOOKUP(B4266,#REF!,1,0)</f>
        <v>#REF!</v>
      </c>
      <c r="M4266" s="33" t="str">
        <f t="shared" si="267"/>
        <v>P&amp;L</v>
      </c>
    </row>
    <row r="4267" spans="1:13" s="33" customFormat="true" ht="12.75" customHeight="true">
      <c r="A4267" s="33" t="str">
        <f t="shared" si="264"/>
        <v>DIA - Revenue</v>
      </c>
      <c r="B4267" s="33" t="str">
        <f t="shared" si="265"/>
        <v>DIA</v>
      </c>
      <c r="C4267" s="33" t="str">
        <f t="shared" si="266"/>
        <v>47400-0000</v>
      </c>
      <c r="D4267" s="64" t="s">
        <v>5260</v>
      </c>
      <c r="E4267" s="64" t="s">
        <v>3716</v>
      </c>
      <c r="F4267" s="64" t="s">
        <v>230</v>
      </c>
      <c r="G4267" s="64" t="s">
        <v>3717</v>
      </c>
      <c r="H4267" s="64" t="s">
        <v>2871</v>
      </c>
      <c r="I4267" s="64" t="s">
        <v>3718</v>
      </c>
      <c r="J4267" s="67">
        <v>-47531.96</v>
      </c>
      <c r="K4267" s="62">
        <v>-515581.41</v>
      </c>
      <c r="L4267" s="33" t="e">
        <f>HLOOKUP(B4267,#REF!,1,0)</f>
        <v>#REF!</v>
      </c>
      <c r="M4267" s="33" t="str">
        <f t="shared" si="267"/>
        <v>P&amp;L</v>
      </c>
    </row>
    <row r="4268" spans="1:13" s="33" customFormat="true" ht="12.75" customHeight="true">
      <c r="A4268" s="33" t="str">
        <f t="shared" si="264"/>
        <v>DIA - Revenue</v>
      </c>
      <c r="B4268" s="33" t="str">
        <f t="shared" si="265"/>
        <v>DIA</v>
      </c>
      <c r="C4268" s="33" t="str">
        <f t="shared" si="266"/>
        <v>47420-0000</v>
      </c>
      <c r="D4268" s="64" t="s">
        <v>5261</v>
      </c>
      <c r="E4268" s="64" t="s">
        <v>4154</v>
      </c>
      <c r="F4268" s="64" t="s">
        <v>230</v>
      </c>
      <c r="G4268" s="64" t="s">
        <v>3717</v>
      </c>
      <c r="H4268" s="64" t="s">
        <v>2871</v>
      </c>
      <c r="I4268" s="64" t="s">
        <v>4155</v>
      </c>
      <c r="J4268" s="67">
        <v>-169.99</v>
      </c>
      <c r="K4268" s="62">
        <v>-1786.08</v>
      </c>
      <c r="L4268" s="33" t="e">
        <f>HLOOKUP(B4268,#REF!,1,0)</f>
        <v>#REF!</v>
      </c>
      <c r="M4268" s="33" t="str">
        <f t="shared" si="267"/>
        <v>P&amp;L</v>
      </c>
    </row>
    <row r="4269" spans="1:13" s="33" customFormat="true" ht="12.75" customHeight="true">
      <c r="A4269" s="33" t="str">
        <f t="shared" si="264"/>
        <v>DIA - Revenue</v>
      </c>
      <c r="B4269" s="33" t="str">
        <f t="shared" si="265"/>
        <v>DIA</v>
      </c>
      <c r="C4269" s="33" t="str">
        <f t="shared" si="266"/>
        <v>47430-0000</v>
      </c>
      <c r="D4269" s="64" t="s">
        <v>5262</v>
      </c>
      <c r="E4269" s="64" t="s">
        <v>4053</v>
      </c>
      <c r="F4269" s="64" t="s">
        <v>230</v>
      </c>
      <c r="G4269" s="64" t="s">
        <v>3717</v>
      </c>
      <c r="H4269" s="64" t="s">
        <v>2871</v>
      </c>
      <c r="I4269" s="64" t="s">
        <v>4054</v>
      </c>
      <c r="J4269" s="67">
        <v>-395.78</v>
      </c>
      <c r="K4269" s="62">
        <v>-5118.02</v>
      </c>
      <c r="L4269" s="33" t="e">
        <f>HLOOKUP(B4269,#REF!,1,0)</f>
        <v>#REF!</v>
      </c>
      <c r="M4269" s="33" t="str">
        <f t="shared" si="267"/>
        <v>P&amp;L</v>
      </c>
    </row>
    <row r="4270" spans="1:13" s="33" customFormat="true" ht="12.75" customHeight="true">
      <c r="A4270" s="33" t="str">
        <f t="shared" si="264"/>
        <v>DIA - Revenue</v>
      </c>
      <c r="B4270" s="33" t="str">
        <f t="shared" si="265"/>
        <v>DIA</v>
      </c>
      <c r="C4270" s="33" t="str">
        <f t="shared" si="266"/>
        <v>47440-0000</v>
      </c>
      <c r="D4270" s="64" t="s">
        <v>5263</v>
      </c>
      <c r="E4270" s="64" t="s">
        <v>3720</v>
      </c>
      <c r="F4270" s="64" t="s">
        <v>230</v>
      </c>
      <c r="G4270" s="64" t="s">
        <v>3717</v>
      </c>
      <c r="H4270" s="64" t="s">
        <v>2871</v>
      </c>
      <c r="I4270" s="64" t="s">
        <v>3721</v>
      </c>
      <c r="J4270" s="67">
        <v>-403.79</v>
      </c>
      <c r="K4270" s="62">
        <v>-809.25</v>
      </c>
      <c r="L4270" s="33" t="e">
        <f>HLOOKUP(B4270,#REF!,1,0)</f>
        <v>#REF!</v>
      </c>
      <c r="M4270" s="33" t="str">
        <f t="shared" si="267"/>
        <v>P&amp;L</v>
      </c>
    </row>
    <row r="4271" spans="1:13" s="33" customFormat="true" ht="12.75" customHeight="true">
      <c r="A4271" s="33" t="str">
        <f t="shared" si="264"/>
        <v>DIA - Revenue</v>
      </c>
      <c r="B4271" s="33" t="str">
        <f t="shared" si="265"/>
        <v>DIA</v>
      </c>
      <c r="C4271" s="33" t="str">
        <f t="shared" si="266"/>
        <v>47450-0000</v>
      </c>
      <c r="D4271" s="64" t="s">
        <v>5264</v>
      </c>
      <c r="E4271" s="64" t="s">
        <v>3723</v>
      </c>
      <c r="F4271" s="64" t="s">
        <v>230</v>
      </c>
      <c r="G4271" s="64" t="s">
        <v>3717</v>
      </c>
      <c r="H4271" s="64" t="s">
        <v>2871</v>
      </c>
      <c r="I4271" s="64" t="s">
        <v>3724</v>
      </c>
      <c r="J4271" s="67">
        <v>-200</v>
      </c>
      <c r="K4271" s="62">
        <v>-2000</v>
      </c>
      <c r="L4271" s="33" t="e">
        <f>HLOOKUP(B4271,#REF!,1,0)</f>
        <v>#REF!</v>
      </c>
      <c r="M4271" s="33" t="str">
        <f t="shared" si="267"/>
        <v>P&amp;L</v>
      </c>
    </row>
    <row r="4272" spans="1:13" s="33" customFormat="true" ht="12.75" customHeight="true">
      <c r="A4272" s="33" t="str">
        <f t="shared" si="264"/>
        <v>DIA - Revenue</v>
      </c>
      <c r="B4272" s="33" t="str">
        <f t="shared" si="265"/>
        <v>DIA</v>
      </c>
      <c r="C4272" s="33" t="str">
        <f t="shared" si="266"/>
        <v>47460-0000</v>
      </c>
      <c r="D4272" s="64" t="s">
        <v>5265</v>
      </c>
      <c r="E4272" s="64" t="s">
        <v>3726</v>
      </c>
      <c r="F4272" s="64" t="s">
        <v>230</v>
      </c>
      <c r="G4272" s="64" t="s">
        <v>3717</v>
      </c>
      <c r="H4272" s="64" t="s">
        <v>2871</v>
      </c>
      <c r="I4272" s="64" t="s">
        <v>3727</v>
      </c>
      <c r="J4272" s="67">
        <v>0</v>
      </c>
      <c r="K4272" s="62">
        <v>-100</v>
      </c>
      <c r="L4272" s="33" t="e">
        <f>HLOOKUP(B4272,#REF!,1,0)</f>
        <v>#REF!</v>
      </c>
      <c r="M4272" s="33" t="str">
        <f t="shared" si="267"/>
        <v>P&amp;L</v>
      </c>
    </row>
    <row r="4273" spans="1:13" s="33" customFormat="true" ht="12.75" customHeight="true">
      <c r="A4273" s="33" t="str">
        <f t="shared" si="264"/>
        <v>DIA - Revenue</v>
      </c>
      <c r="B4273" s="33" t="str">
        <f t="shared" si="265"/>
        <v>DIA</v>
      </c>
      <c r="C4273" s="33" t="str">
        <f t="shared" si="266"/>
        <v>47480-0000</v>
      </c>
      <c r="D4273" s="64" t="s">
        <v>5266</v>
      </c>
      <c r="E4273" s="64" t="s">
        <v>3729</v>
      </c>
      <c r="F4273" s="64" t="s">
        <v>230</v>
      </c>
      <c r="G4273" s="64" t="s">
        <v>3717</v>
      </c>
      <c r="H4273" s="64" t="s">
        <v>2871</v>
      </c>
      <c r="I4273" s="64" t="s">
        <v>3721</v>
      </c>
      <c r="J4273" s="67">
        <v>0</v>
      </c>
      <c r="K4273" s="62">
        <v>-855</v>
      </c>
      <c r="L4273" s="33" t="e">
        <f>HLOOKUP(B4273,#REF!,1,0)</f>
        <v>#REF!</v>
      </c>
      <c r="M4273" s="33" t="str">
        <f t="shared" si="267"/>
        <v>P&amp;L</v>
      </c>
    </row>
    <row r="4274" spans="1:13" s="33" customFormat="true" ht="12.75" customHeight="true">
      <c r="A4274" s="33" t="str">
        <f t="shared" si="264"/>
        <v>DIA - Revenue</v>
      </c>
      <c r="B4274" s="33" t="str">
        <f t="shared" si="265"/>
        <v>DIA</v>
      </c>
      <c r="C4274" s="33" t="str">
        <f t="shared" si="266"/>
        <v>47490-0000</v>
      </c>
      <c r="D4274" s="64" t="s">
        <v>5267</v>
      </c>
      <c r="E4274" s="64" t="s">
        <v>3731</v>
      </c>
      <c r="F4274" s="64" t="s">
        <v>230</v>
      </c>
      <c r="G4274" s="64" t="s">
        <v>3717</v>
      </c>
      <c r="H4274" s="64" t="s">
        <v>2871</v>
      </c>
      <c r="I4274" s="64" t="s">
        <v>3721</v>
      </c>
      <c r="J4274" s="67">
        <v>-350</v>
      </c>
      <c r="K4274" s="62">
        <v>-3250</v>
      </c>
      <c r="L4274" s="33" t="e">
        <f>HLOOKUP(B4274,#REF!,1,0)</f>
        <v>#REF!</v>
      </c>
      <c r="M4274" s="33" t="str">
        <f t="shared" si="267"/>
        <v>P&amp;L</v>
      </c>
    </row>
    <row r="4275" spans="1:13" s="33" customFormat="true" ht="12.75" customHeight="true">
      <c r="A4275" s="33" t="str">
        <f t="shared" si="264"/>
        <v>DIA - Revenue</v>
      </c>
      <c r="B4275" s="33" t="str">
        <f t="shared" si="265"/>
        <v>DIA</v>
      </c>
      <c r="C4275" s="33" t="str">
        <f t="shared" si="266"/>
        <v>47492-0000</v>
      </c>
      <c r="D4275" s="64" t="s">
        <v>5268</v>
      </c>
      <c r="E4275" s="64" t="s">
        <v>3736</v>
      </c>
      <c r="F4275" s="64" t="s">
        <v>230</v>
      </c>
      <c r="G4275" s="64" t="s">
        <v>3717</v>
      </c>
      <c r="H4275" s="64" t="s">
        <v>2871</v>
      </c>
      <c r="I4275" s="64" t="s">
        <v>3737</v>
      </c>
      <c r="J4275" s="67">
        <v>-240</v>
      </c>
      <c r="K4275" s="62">
        <v>-1950</v>
      </c>
      <c r="L4275" s="33" t="e">
        <f>HLOOKUP(B4275,#REF!,1,0)</f>
        <v>#REF!</v>
      </c>
      <c r="M4275" s="33" t="str">
        <f t="shared" si="267"/>
        <v>P&amp;L</v>
      </c>
    </row>
    <row r="4276" spans="1:13" s="33" customFormat="true" ht="12.75" customHeight="true">
      <c r="A4276" s="33" t="str">
        <f t="shared" si="264"/>
        <v>DIA - CGS</v>
      </c>
      <c r="B4276" s="33" t="str">
        <f t="shared" si="265"/>
        <v>DIA</v>
      </c>
      <c r="C4276" s="33" t="str">
        <f t="shared" si="266"/>
        <v>51005-0000</v>
      </c>
      <c r="D4276" s="64" t="s">
        <v>5269</v>
      </c>
      <c r="E4276" s="64" t="s">
        <v>3968</v>
      </c>
      <c r="F4276" s="64" t="s">
        <v>230</v>
      </c>
      <c r="G4276" s="64" t="s">
        <v>3740</v>
      </c>
      <c r="H4276" s="64" t="s">
        <v>1875</v>
      </c>
      <c r="I4276" s="64" t="s">
        <v>3969</v>
      </c>
      <c r="J4276" s="67">
        <v>0</v>
      </c>
      <c r="K4276" s="62">
        <v>244.92</v>
      </c>
      <c r="L4276" s="33" t="e">
        <f>HLOOKUP(B4276,#REF!,1,0)</f>
        <v>#REF!</v>
      </c>
      <c r="M4276" s="33" t="str">
        <f t="shared" si="267"/>
        <v>P&amp;L</v>
      </c>
    </row>
    <row r="4277" spans="1:13" s="33" customFormat="true" ht="12.75" customHeight="true">
      <c r="A4277" s="33" t="str">
        <f t="shared" si="264"/>
        <v>DIA - CGS</v>
      </c>
      <c r="B4277" s="33" t="str">
        <f t="shared" si="265"/>
        <v>DIA</v>
      </c>
      <c r="C4277" s="33" t="str">
        <f t="shared" si="266"/>
        <v>51006-0000</v>
      </c>
      <c r="D4277" s="64" t="s">
        <v>5270</v>
      </c>
      <c r="E4277" s="64" t="s">
        <v>3739</v>
      </c>
      <c r="F4277" s="64" t="s">
        <v>230</v>
      </c>
      <c r="G4277" s="64" t="s">
        <v>3740</v>
      </c>
      <c r="H4277" s="64" t="s">
        <v>1875</v>
      </c>
      <c r="I4277" s="64" t="s">
        <v>3741</v>
      </c>
      <c r="J4277" s="67">
        <v>0</v>
      </c>
      <c r="K4277" s="62">
        <v>511.11</v>
      </c>
      <c r="L4277" s="33" t="e">
        <f>HLOOKUP(B4277,#REF!,1,0)</f>
        <v>#REF!</v>
      </c>
      <c r="M4277" s="33" t="str">
        <f t="shared" si="267"/>
        <v>P&amp;L</v>
      </c>
    </row>
    <row r="4278" spans="1:13" s="33" customFormat="true" ht="12.75" customHeight="true">
      <c r="A4278" s="33" t="str">
        <f t="shared" si="264"/>
        <v>DIA - CGS</v>
      </c>
      <c r="B4278" s="33" t="str">
        <f t="shared" si="265"/>
        <v>DIA</v>
      </c>
      <c r="C4278" s="33" t="str">
        <f t="shared" si="266"/>
        <v>51007-0000</v>
      </c>
      <c r="D4278" s="64" t="s">
        <v>5271</v>
      </c>
      <c r="E4278" s="64" t="s">
        <v>3972</v>
      </c>
      <c r="F4278" s="64" t="s">
        <v>230</v>
      </c>
      <c r="G4278" s="64" t="s">
        <v>3740</v>
      </c>
      <c r="H4278" s="64" t="s">
        <v>1875</v>
      </c>
      <c r="I4278" s="64" t="s">
        <v>3973</v>
      </c>
      <c r="J4278" s="67">
        <v>0</v>
      </c>
      <c r="K4278" s="62">
        <v>26.99</v>
      </c>
      <c r="L4278" s="33" t="e">
        <f>HLOOKUP(B4278,#REF!,1,0)</f>
        <v>#REF!</v>
      </c>
      <c r="M4278" s="33" t="str">
        <f t="shared" si="267"/>
        <v>P&amp;L</v>
      </c>
    </row>
    <row r="4279" spans="1:13" s="33" customFormat="true" ht="12.75" customHeight="true">
      <c r="A4279" s="33" t="str">
        <f t="shared" si="264"/>
        <v>DIA - CGS</v>
      </c>
      <c r="B4279" s="33" t="str">
        <f t="shared" si="265"/>
        <v>DIA</v>
      </c>
      <c r="C4279" s="33" t="str">
        <f t="shared" si="266"/>
        <v>51008-0000</v>
      </c>
      <c r="D4279" s="64" t="s">
        <v>5272</v>
      </c>
      <c r="E4279" s="64" t="s">
        <v>3743</v>
      </c>
      <c r="F4279" s="64" t="s">
        <v>230</v>
      </c>
      <c r="G4279" s="64" t="s">
        <v>3740</v>
      </c>
      <c r="H4279" s="64" t="s">
        <v>1875</v>
      </c>
      <c r="I4279" s="64" t="s">
        <v>3744</v>
      </c>
      <c r="J4279" s="67">
        <v>0</v>
      </c>
      <c r="K4279" s="62">
        <v>4830.47</v>
      </c>
      <c r="L4279" s="33" t="e">
        <f>HLOOKUP(B4279,#REF!,1,0)</f>
        <v>#REF!</v>
      </c>
      <c r="M4279" s="33" t="str">
        <f t="shared" si="267"/>
        <v>P&amp;L</v>
      </c>
    </row>
    <row r="4280" spans="1:13" s="33" customFormat="true" ht="12.75" customHeight="true">
      <c r="A4280" s="33" t="str">
        <f t="shared" si="264"/>
        <v>DIA - CGS</v>
      </c>
      <c r="B4280" s="33" t="str">
        <f t="shared" si="265"/>
        <v>DIA</v>
      </c>
      <c r="C4280" s="33" t="str">
        <f t="shared" si="266"/>
        <v>51009-0000</v>
      </c>
      <c r="D4280" s="64" t="s">
        <v>5273</v>
      </c>
      <c r="E4280" s="64" t="s">
        <v>3746</v>
      </c>
      <c r="F4280" s="64" t="s">
        <v>230</v>
      </c>
      <c r="G4280" s="64" t="s">
        <v>3740</v>
      </c>
      <c r="H4280" s="64" t="s">
        <v>1875</v>
      </c>
      <c r="I4280" s="64" t="s">
        <v>3747</v>
      </c>
      <c r="J4280" s="67">
        <v>-16.38</v>
      </c>
      <c r="K4280" s="62">
        <v>3431.83</v>
      </c>
      <c r="L4280" s="33" t="e">
        <f>HLOOKUP(B4280,#REF!,1,0)</f>
        <v>#REF!</v>
      </c>
      <c r="M4280" s="33" t="str">
        <f t="shared" si="267"/>
        <v>P&amp;L</v>
      </c>
    </row>
    <row r="4281" spans="1:13" s="33" customFormat="true" ht="12.75" customHeight="true">
      <c r="A4281" s="33" t="str">
        <f t="shared" si="264"/>
        <v>DIA - CGS</v>
      </c>
      <c r="B4281" s="33" t="str">
        <f t="shared" si="265"/>
        <v>DIA</v>
      </c>
      <c r="C4281" s="33" t="str">
        <f t="shared" si="266"/>
        <v>51011-0000</v>
      </c>
      <c r="D4281" s="64" t="s">
        <v>5274</v>
      </c>
      <c r="E4281" s="64" t="s">
        <v>3749</v>
      </c>
      <c r="F4281" s="64" t="s">
        <v>230</v>
      </c>
      <c r="G4281" s="64" t="s">
        <v>3740</v>
      </c>
      <c r="H4281" s="64" t="s">
        <v>1875</v>
      </c>
      <c r="I4281" s="64" t="s">
        <v>3750</v>
      </c>
      <c r="J4281" s="67">
        <v>650</v>
      </c>
      <c r="K4281" s="62">
        <v>6500</v>
      </c>
      <c r="L4281" s="33" t="e">
        <f>HLOOKUP(B4281,#REF!,1,0)</f>
        <v>#REF!</v>
      </c>
      <c r="M4281" s="33" t="str">
        <f t="shared" si="267"/>
        <v>P&amp;L</v>
      </c>
    </row>
    <row r="4282" spans="1:13" s="33" customFormat="true" ht="12.75" customHeight="true">
      <c r="A4282" s="33" t="str">
        <f t="shared" si="264"/>
        <v>DIA - CGS</v>
      </c>
      <c r="B4282" s="33" t="str">
        <f t="shared" si="265"/>
        <v>DIA</v>
      </c>
      <c r="C4282" s="33" t="str">
        <f t="shared" si="266"/>
        <v>51012-0000</v>
      </c>
      <c r="D4282" s="64" t="s">
        <v>5275</v>
      </c>
      <c r="E4282" s="64" t="s">
        <v>3752</v>
      </c>
      <c r="F4282" s="64" t="s">
        <v>230</v>
      </c>
      <c r="G4282" s="64" t="s">
        <v>3740</v>
      </c>
      <c r="H4282" s="64" t="s">
        <v>1875</v>
      </c>
      <c r="I4282" s="64" t="s">
        <v>3753</v>
      </c>
      <c r="J4282" s="67">
        <v>150</v>
      </c>
      <c r="K4282" s="62">
        <v>1500</v>
      </c>
      <c r="L4282" s="33" t="e">
        <f>HLOOKUP(B4282,#REF!,1,0)</f>
        <v>#REF!</v>
      </c>
      <c r="M4282" s="33" t="str">
        <f t="shared" si="267"/>
        <v>P&amp;L</v>
      </c>
    </row>
    <row r="4283" spans="1:13" s="33" customFormat="true" ht="12.75" customHeight="true">
      <c r="A4283" s="33" t="str">
        <f t="shared" si="264"/>
        <v>DIA - CGS</v>
      </c>
      <c r="B4283" s="33" t="str">
        <f t="shared" si="265"/>
        <v>DIA</v>
      </c>
      <c r="C4283" s="33" t="str">
        <f t="shared" si="266"/>
        <v>51015-0000</v>
      </c>
      <c r="D4283" s="64" t="s">
        <v>5276</v>
      </c>
      <c r="E4283" s="64" t="s">
        <v>3755</v>
      </c>
      <c r="F4283" s="64" t="s">
        <v>230</v>
      </c>
      <c r="G4283" s="64" t="s">
        <v>3740</v>
      </c>
      <c r="H4283" s="64" t="s">
        <v>1875</v>
      </c>
      <c r="I4283" s="64" t="s">
        <v>3756</v>
      </c>
      <c r="J4283" s="67">
        <v>0</v>
      </c>
      <c r="K4283" s="62">
        <v>0</v>
      </c>
      <c r="L4283" s="33" t="e">
        <f>HLOOKUP(B4283,#REF!,1,0)</f>
        <v>#REF!</v>
      </c>
      <c r="M4283" s="33" t="str">
        <f t="shared" si="267"/>
        <v>P&amp;L</v>
      </c>
    </row>
    <row r="4284" spans="1:13" s="33" customFormat="true" ht="12.75" customHeight="true">
      <c r="A4284" s="33" t="str">
        <f t="shared" si="264"/>
        <v>DIA - CGS</v>
      </c>
      <c r="B4284" s="33" t="str">
        <f t="shared" si="265"/>
        <v>DIA</v>
      </c>
      <c r="C4284" s="33" t="str">
        <f t="shared" si="266"/>
        <v>51020-0000</v>
      </c>
      <c r="D4284" s="64" t="s">
        <v>5277</v>
      </c>
      <c r="E4284" s="64" t="s">
        <v>3763</v>
      </c>
      <c r="F4284" s="64" t="s">
        <v>230</v>
      </c>
      <c r="G4284" s="64" t="s">
        <v>3740</v>
      </c>
      <c r="H4284" s="64" t="s">
        <v>1875</v>
      </c>
      <c r="I4284" s="64" t="s">
        <v>3345</v>
      </c>
      <c r="J4284" s="67">
        <v>0</v>
      </c>
      <c r="K4284" s="62">
        <v>376.55</v>
      </c>
      <c r="L4284" s="33" t="e">
        <f>HLOOKUP(B4284,#REF!,1,0)</f>
        <v>#REF!</v>
      </c>
      <c r="M4284" s="33" t="str">
        <f t="shared" si="267"/>
        <v>P&amp;L</v>
      </c>
    </row>
    <row r="4285" spans="1:13" s="33" customFormat="true" ht="12.75" customHeight="true">
      <c r="A4285" s="33" t="str">
        <f t="shared" si="264"/>
        <v>DIA - CGS</v>
      </c>
      <c r="B4285" s="33" t="str">
        <f t="shared" si="265"/>
        <v>DIA</v>
      </c>
      <c r="C4285" s="33" t="str">
        <f t="shared" si="266"/>
        <v>51023-0000</v>
      </c>
      <c r="D4285" s="64" t="s">
        <v>5278</v>
      </c>
      <c r="E4285" s="64" t="s">
        <v>5279</v>
      </c>
      <c r="F4285" s="64" t="s">
        <v>230</v>
      </c>
      <c r="G4285" s="64" t="s">
        <v>3740</v>
      </c>
      <c r="H4285" s="64" t="s">
        <v>1875</v>
      </c>
      <c r="I4285" s="64" t="s">
        <v>5280</v>
      </c>
      <c r="J4285" s="67">
        <v>0</v>
      </c>
      <c r="K4285" s="62">
        <v>201.5</v>
      </c>
      <c r="L4285" s="33" t="e">
        <f>HLOOKUP(B4285,#REF!,1,0)</f>
        <v>#REF!</v>
      </c>
      <c r="M4285" s="33" t="str">
        <f t="shared" si="267"/>
        <v>P&amp;L</v>
      </c>
    </row>
    <row r="4286" spans="1:13" s="33" customFormat="true" ht="12.75" customHeight="true">
      <c r="A4286" s="33" t="str">
        <f t="shared" si="264"/>
        <v>DIA - CGS</v>
      </c>
      <c r="B4286" s="33" t="str">
        <f t="shared" si="265"/>
        <v>DIA</v>
      </c>
      <c r="C4286" s="33" t="str">
        <f t="shared" si="266"/>
        <v>51025-0000</v>
      </c>
      <c r="D4286" s="64" t="s">
        <v>5281</v>
      </c>
      <c r="E4286" s="64" t="s">
        <v>3988</v>
      </c>
      <c r="F4286" s="64" t="s">
        <v>230</v>
      </c>
      <c r="G4286" s="64" t="s">
        <v>3740</v>
      </c>
      <c r="H4286" s="64" t="s">
        <v>1875</v>
      </c>
      <c r="I4286" s="64" t="s">
        <v>3989</v>
      </c>
      <c r="J4286" s="67">
        <v>624.42</v>
      </c>
      <c r="K4286" s="62">
        <v>6344.95</v>
      </c>
      <c r="L4286" s="33" t="e">
        <f>HLOOKUP(B4286,#REF!,1,0)</f>
        <v>#REF!</v>
      </c>
      <c r="M4286" s="33" t="str">
        <f t="shared" si="267"/>
        <v>P&amp;L</v>
      </c>
    </row>
    <row r="4287" spans="1:13" s="33" customFormat="true" ht="12.75" customHeight="true">
      <c r="A4287" s="33" t="str">
        <f t="shared" si="264"/>
        <v>DIA - CGS</v>
      </c>
      <c r="B4287" s="33" t="str">
        <f t="shared" si="265"/>
        <v>DIA</v>
      </c>
      <c r="C4287" s="33" t="str">
        <f t="shared" si="266"/>
        <v>52001-0000</v>
      </c>
      <c r="D4287" s="64" t="s">
        <v>5282</v>
      </c>
      <c r="E4287" s="64" t="s">
        <v>3768</v>
      </c>
      <c r="F4287" s="64" t="s">
        <v>230</v>
      </c>
      <c r="G4287" s="64" t="s">
        <v>3769</v>
      </c>
      <c r="H4287" s="64" t="s">
        <v>1875</v>
      </c>
      <c r="I4287" s="64" t="s">
        <v>3770</v>
      </c>
      <c r="J4287" s="67">
        <v>0</v>
      </c>
      <c r="K4287" s="62">
        <v>531.16</v>
      </c>
      <c r="L4287" s="33" t="e">
        <f>HLOOKUP(B4287,#REF!,1,0)</f>
        <v>#REF!</v>
      </c>
      <c r="M4287" s="33" t="str">
        <f t="shared" si="267"/>
        <v>P&amp;L</v>
      </c>
    </row>
    <row r="4288" spans="1:13" s="33" customFormat="true" ht="12.75" customHeight="true">
      <c r="A4288" s="33" t="str">
        <f t="shared" si="264"/>
        <v>DIA - CGS</v>
      </c>
      <c r="B4288" s="33" t="str">
        <f t="shared" si="265"/>
        <v>DIA</v>
      </c>
      <c r="C4288" s="33" t="str">
        <f t="shared" si="266"/>
        <v>52003-0000</v>
      </c>
      <c r="D4288" s="64" t="s">
        <v>5283</v>
      </c>
      <c r="E4288" s="64" t="s">
        <v>3772</v>
      </c>
      <c r="F4288" s="64" t="s">
        <v>230</v>
      </c>
      <c r="G4288" s="64" t="s">
        <v>3769</v>
      </c>
      <c r="H4288" s="64" t="s">
        <v>1875</v>
      </c>
      <c r="I4288" s="64" t="s">
        <v>3773</v>
      </c>
      <c r="J4288" s="67">
        <v>200</v>
      </c>
      <c r="K4288" s="62">
        <v>476.79</v>
      </c>
      <c r="L4288" s="33" t="e">
        <f>HLOOKUP(B4288,#REF!,1,0)</f>
        <v>#REF!</v>
      </c>
      <c r="M4288" s="33" t="str">
        <f t="shared" si="267"/>
        <v>P&amp;L</v>
      </c>
    </row>
    <row r="4289" spans="1:13" s="33" customFormat="true" ht="12.75" customHeight="true">
      <c r="A4289" s="33" t="str">
        <f t="shared" si="264"/>
        <v>DIA - CGS</v>
      </c>
      <c r="B4289" s="33" t="str">
        <f t="shared" si="265"/>
        <v>DIA</v>
      </c>
      <c r="C4289" s="33" t="str">
        <f t="shared" si="266"/>
        <v>52004-0000</v>
      </c>
      <c r="D4289" s="64" t="s">
        <v>5284</v>
      </c>
      <c r="E4289" s="64" t="s">
        <v>3775</v>
      </c>
      <c r="F4289" s="64" t="s">
        <v>230</v>
      </c>
      <c r="G4289" s="64" t="s">
        <v>3769</v>
      </c>
      <c r="H4289" s="64" t="s">
        <v>1875</v>
      </c>
      <c r="I4289" s="64" t="s">
        <v>3776</v>
      </c>
      <c r="J4289" s="67">
        <v>0</v>
      </c>
      <c r="K4289" s="62">
        <v>-607.26</v>
      </c>
      <c r="L4289" s="33" t="e">
        <f>HLOOKUP(B4289,#REF!,1,0)</f>
        <v>#REF!</v>
      </c>
      <c r="M4289" s="33" t="str">
        <f t="shared" si="267"/>
        <v>P&amp;L</v>
      </c>
    </row>
    <row r="4290" spans="1:13" s="33" customFormat="true" ht="12.75" customHeight="true">
      <c r="A4290" s="33" t="str">
        <f t="shared" ref="A4290:A4353" si="268">B4290&amp;" - "&amp;TRIM(H4290)</f>
        <v>DIA - CGS</v>
      </c>
      <c r="B4290" s="33" t="str">
        <f t="shared" ref="B4290:B4353" si="269">LEFT(D4290,3)</f>
        <v>DIA</v>
      </c>
      <c r="C4290" s="33" t="str">
        <f t="shared" ref="C4290:C4353" si="270">RIGHT(D4290,10)</f>
        <v>52006-0000</v>
      </c>
      <c r="D4290" s="64" t="s">
        <v>5285</v>
      </c>
      <c r="E4290" s="64" t="s">
        <v>3778</v>
      </c>
      <c r="F4290" s="64" t="s">
        <v>230</v>
      </c>
      <c r="G4290" s="64" t="s">
        <v>3769</v>
      </c>
      <c r="H4290" s="64" t="s">
        <v>1875</v>
      </c>
      <c r="I4290" s="64" t="s">
        <v>3779</v>
      </c>
      <c r="J4290" s="67">
        <v>40</v>
      </c>
      <c r="K4290" s="62">
        <v>1217.18</v>
      </c>
      <c r="L4290" s="33" t="e">
        <f>HLOOKUP(B4290,#REF!,1,0)</f>
        <v>#REF!</v>
      </c>
      <c r="M4290" s="33" t="str">
        <f t="shared" ref="M4290:M4353" si="271">IF(VALUE(LEFT(C4290,5))&gt;40000,"P&amp;L","BS")</f>
        <v>P&amp;L</v>
      </c>
    </row>
    <row r="4291" spans="1:13" s="33" customFormat="true" ht="12.75" customHeight="true">
      <c r="A4291" s="33" t="str">
        <f t="shared" si="268"/>
        <v>DIA - CGS</v>
      </c>
      <c r="B4291" s="33" t="str">
        <f t="shared" si="269"/>
        <v>DIA</v>
      </c>
      <c r="C4291" s="33" t="str">
        <f t="shared" si="270"/>
        <v>53001-0000</v>
      </c>
      <c r="D4291" s="64" t="s">
        <v>5286</v>
      </c>
      <c r="E4291" s="64" t="s">
        <v>3781</v>
      </c>
      <c r="F4291" s="64" t="s">
        <v>230</v>
      </c>
      <c r="G4291" s="64" t="s">
        <v>3160</v>
      </c>
      <c r="H4291" s="64" t="s">
        <v>1875</v>
      </c>
      <c r="I4291" s="64" t="s">
        <v>3782</v>
      </c>
      <c r="J4291" s="67">
        <v>141.95</v>
      </c>
      <c r="K4291" s="62">
        <v>1296.82</v>
      </c>
      <c r="L4291" s="33" t="e">
        <f>HLOOKUP(B4291,#REF!,1,0)</f>
        <v>#REF!</v>
      </c>
      <c r="M4291" s="33" t="str">
        <f t="shared" si="271"/>
        <v>P&amp;L</v>
      </c>
    </row>
    <row r="4292" spans="1:13" s="33" customFormat="true" ht="12.75" customHeight="true">
      <c r="A4292" s="33" t="str">
        <f t="shared" si="268"/>
        <v>DIA - CGS</v>
      </c>
      <c r="B4292" s="33" t="str">
        <f t="shared" si="269"/>
        <v>DIA</v>
      </c>
      <c r="C4292" s="33" t="str">
        <f t="shared" si="270"/>
        <v>53002-0000</v>
      </c>
      <c r="D4292" s="64" t="s">
        <v>5287</v>
      </c>
      <c r="E4292" s="64" t="s">
        <v>3784</v>
      </c>
      <c r="F4292" s="64" t="s">
        <v>230</v>
      </c>
      <c r="G4292" s="64" t="s">
        <v>3160</v>
      </c>
      <c r="H4292" s="64" t="s">
        <v>1875</v>
      </c>
      <c r="I4292" s="64" t="s">
        <v>3785</v>
      </c>
      <c r="J4292" s="67">
        <v>966.77</v>
      </c>
      <c r="K4292" s="62">
        <v>10272.01</v>
      </c>
      <c r="L4292" s="33" t="e">
        <f>HLOOKUP(B4292,#REF!,1,0)</f>
        <v>#REF!</v>
      </c>
      <c r="M4292" s="33" t="str">
        <f t="shared" si="271"/>
        <v>P&amp;L</v>
      </c>
    </row>
    <row r="4293" spans="1:13" s="33" customFormat="true" ht="12.75" customHeight="true">
      <c r="A4293" s="33" t="str">
        <f t="shared" si="268"/>
        <v>DIA - CGS</v>
      </c>
      <c r="B4293" s="33" t="str">
        <f t="shared" si="269"/>
        <v>DIA</v>
      </c>
      <c r="C4293" s="33" t="str">
        <f t="shared" si="270"/>
        <v>53003-0000</v>
      </c>
      <c r="D4293" s="64" t="s">
        <v>5288</v>
      </c>
      <c r="E4293" s="64" t="s">
        <v>3787</v>
      </c>
      <c r="F4293" s="64" t="s">
        <v>230</v>
      </c>
      <c r="G4293" s="64" t="s">
        <v>3160</v>
      </c>
      <c r="H4293" s="64" t="s">
        <v>1875</v>
      </c>
      <c r="I4293" s="64" t="s">
        <v>3788</v>
      </c>
      <c r="J4293" s="67">
        <v>0</v>
      </c>
      <c r="K4293" s="62">
        <v>3141.2</v>
      </c>
      <c r="L4293" s="33" t="e">
        <f>HLOOKUP(B4293,#REF!,1,0)</f>
        <v>#REF!</v>
      </c>
      <c r="M4293" s="33" t="str">
        <f t="shared" si="271"/>
        <v>P&amp;L</v>
      </c>
    </row>
    <row r="4294" spans="1:13" s="33" customFormat="true" ht="12.75" customHeight="true">
      <c r="A4294" s="33" t="str">
        <f t="shared" si="268"/>
        <v>DIA - CGS</v>
      </c>
      <c r="B4294" s="33" t="str">
        <f t="shared" si="269"/>
        <v>DIA</v>
      </c>
      <c r="C4294" s="33" t="str">
        <f t="shared" si="270"/>
        <v>53004-0000</v>
      </c>
      <c r="D4294" s="64" t="s">
        <v>5289</v>
      </c>
      <c r="E4294" s="64" t="s">
        <v>3790</v>
      </c>
      <c r="F4294" s="64" t="s">
        <v>230</v>
      </c>
      <c r="G4294" s="64" t="s">
        <v>3160</v>
      </c>
      <c r="H4294" s="64" t="s">
        <v>1875</v>
      </c>
      <c r="I4294" s="64" t="s">
        <v>3791</v>
      </c>
      <c r="J4294" s="67">
        <v>159.59</v>
      </c>
      <c r="K4294" s="62">
        <v>14530.56</v>
      </c>
      <c r="L4294" s="33" t="e">
        <f>HLOOKUP(B4294,#REF!,1,0)</f>
        <v>#REF!</v>
      </c>
      <c r="M4294" s="33" t="str">
        <f t="shared" si="271"/>
        <v>P&amp;L</v>
      </c>
    </row>
    <row r="4295" spans="1:13" s="33" customFormat="true" ht="12.75" customHeight="true">
      <c r="A4295" s="33" t="str">
        <f t="shared" si="268"/>
        <v>DIA - CGS</v>
      </c>
      <c r="B4295" s="33" t="str">
        <f t="shared" si="269"/>
        <v>DIA</v>
      </c>
      <c r="C4295" s="33" t="str">
        <f t="shared" si="270"/>
        <v>53005-0000</v>
      </c>
      <c r="D4295" s="64" t="s">
        <v>5290</v>
      </c>
      <c r="E4295" s="64" t="s">
        <v>3793</v>
      </c>
      <c r="F4295" s="64" t="s">
        <v>230</v>
      </c>
      <c r="G4295" s="64" t="s">
        <v>3160</v>
      </c>
      <c r="H4295" s="64" t="s">
        <v>1875</v>
      </c>
      <c r="I4295" s="64" t="s">
        <v>3794</v>
      </c>
      <c r="J4295" s="67">
        <v>0</v>
      </c>
      <c r="K4295" s="62">
        <v>24305.32</v>
      </c>
      <c r="L4295" s="33" t="e">
        <f>HLOOKUP(B4295,#REF!,1,0)</f>
        <v>#REF!</v>
      </c>
      <c r="M4295" s="33" t="str">
        <f t="shared" si="271"/>
        <v>P&amp;L</v>
      </c>
    </row>
    <row r="4296" spans="1:13" s="33" customFormat="true" ht="12.75" customHeight="true">
      <c r="A4296" s="33" t="str">
        <f t="shared" si="268"/>
        <v>DIA - CGS</v>
      </c>
      <c r="B4296" s="33" t="str">
        <f t="shared" si="269"/>
        <v>DIA</v>
      </c>
      <c r="C4296" s="33" t="str">
        <f t="shared" si="270"/>
        <v>53006-0000</v>
      </c>
      <c r="D4296" s="64" t="s">
        <v>5291</v>
      </c>
      <c r="E4296" s="64" t="s">
        <v>3796</v>
      </c>
      <c r="F4296" s="64" t="s">
        <v>230</v>
      </c>
      <c r="G4296" s="64" t="s">
        <v>3160</v>
      </c>
      <c r="H4296" s="64" t="s">
        <v>1875</v>
      </c>
      <c r="I4296" s="64" t="s">
        <v>3797</v>
      </c>
      <c r="J4296" s="67">
        <v>0</v>
      </c>
      <c r="K4296" s="62">
        <v>36294.96</v>
      </c>
      <c r="L4296" s="33" t="e">
        <f>HLOOKUP(B4296,#REF!,1,0)</f>
        <v>#REF!</v>
      </c>
      <c r="M4296" s="33" t="str">
        <f t="shared" si="271"/>
        <v>P&amp;L</v>
      </c>
    </row>
    <row r="4297" spans="1:13" s="33" customFormat="true" ht="12.75" customHeight="true">
      <c r="A4297" s="33" t="str">
        <f t="shared" si="268"/>
        <v>DIA - CGS</v>
      </c>
      <c r="B4297" s="33" t="str">
        <f t="shared" si="269"/>
        <v>DIA</v>
      </c>
      <c r="C4297" s="33" t="str">
        <f t="shared" si="270"/>
        <v>54001-0000</v>
      </c>
      <c r="D4297" s="64" t="s">
        <v>5292</v>
      </c>
      <c r="E4297" s="64" t="s">
        <v>4008</v>
      </c>
      <c r="F4297" s="64" t="s">
        <v>230</v>
      </c>
      <c r="G4297" s="64" t="s">
        <v>3800</v>
      </c>
      <c r="H4297" s="64" t="s">
        <v>1875</v>
      </c>
      <c r="I4297" s="64" t="s">
        <v>4009</v>
      </c>
      <c r="J4297" s="67">
        <v>0</v>
      </c>
      <c r="K4297" s="62">
        <v>0</v>
      </c>
      <c r="L4297" s="33" t="e">
        <f>HLOOKUP(B4297,#REF!,1,0)</f>
        <v>#REF!</v>
      </c>
      <c r="M4297" s="33" t="str">
        <f t="shared" si="271"/>
        <v>P&amp;L</v>
      </c>
    </row>
    <row r="4298" spans="1:13" s="33" customFormat="true" ht="12.75" customHeight="true">
      <c r="A4298" s="33" t="str">
        <f t="shared" si="268"/>
        <v>DIA - CGS</v>
      </c>
      <c r="B4298" s="33" t="str">
        <f t="shared" si="269"/>
        <v>DIA</v>
      </c>
      <c r="C4298" s="33" t="str">
        <f t="shared" si="270"/>
        <v>54002-0000</v>
      </c>
      <c r="D4298" s="64" t="s">
        <v>5293</v>
      </c>
      <c r="E4298" s="64" t="s">
        <v>3799</v>
      </c>
      <c r="F4298" s="64" t="s">
        <v>230</v>
      </c>
      <c r="G4298" s="64" t="s">
        <v>3800</v>
      </c>
      <c r="H4298" s="64" t="s">
        <v>1875</v>
      </c>
      <c r="I4298" s="64" t="s">
        <v>3801</v>
      </c>
      <c r="J4298" s="67">
        <v>0</v>
      </c>
      <c r="K4298" s="62">
        <v>2910</v>
      </c>
      <c r="L4298" s="33" t="e">
        <f>HLOOKUP(B4298,#REF!,1,0)</f>
        <v>#REF!</v>
      </c>
      <c r="M4298" s="33" t="str">
        <f t="shared" si="271"/>
        <v>P&amp;L</v>
      </c>
    </row>
    <row r="4299" spans="1:13" s="33" customFormat="true" ht="12.75" customHeight="true">
      <c r="A4299" s="33" t="str">
        <f t="shared" si="268"/>
        <v>DIA - CGS</v>
      </c>
      <c r="B4299" s="33" t="str">
        <f t="shared" si="269"/>
        <v>DIA</v>
      </c>
      <c r="C4299" s="33" t="str">
        <f t="shared" si="270"/>
        <v>54003-0000</v>
      </c>
      <c r="D4299" s="64" t="s">
        <v>5294</v>
      </c>
      <c r="E4299" s="64" t="s">
        <v>3803</v>
      </c>
      <c r="F4299" s="64" t="s">
        <v>230</v>
      </c>
      <c r="G4299" s="64" t="s">
        <v>3800</v>
      </c>
      <c r="H4299" s="64" t="s">
        <v>1875</v>
      </c>
      <c r="I4299" s="64" t="s">
        <v>3804</v>
      </c>
      <c r="J4299" s="67">
        <v>0</v>
      </c>
      <c r="K4299" s="62">
        <v>0</v>
      </c>
      <c r="L4299" s="33" t="e">
        <f>HLOOKUP(B4299,#REF!,1,0)</f>
        <v>#REF!</v>
      </c>
      <c r="M4299" s="33" t="str">
        <f t="shared" si="271"/>
        <v>P&amp;L</v>
      </c>
    </row>
    <row r="4300" spans="1:13" s="33" customFormat="true" ht="12.75" customHeight="true">
      <c r="A4300" s="33" t="str">
        <f t="shared" si="268"/>
        <v>DIA - CGS</v>
      </c>
      <c r="B4300" s="33" t="str">
        <f t="shared" si="269"/>
        <v>DIA</v>
      </c>
      <c r="C4300" s="33" t="str">
        <f t="shared" si="270"/>
        <v>54004-0000</v>
      </c>
      <c r="D4300" s="64" t="s">
        <v>5295</v>
      </c>
      <c r="E4300" s="64" t="s">
        <v>3806</v>
      </c>
      <c r="F4300" s="64" t="s">
        <v>230</v>
      </c>
      <c r="G4300" s="64" t="s">
        <v>3800</v>
      </c>
      <c r="H4300" s="64" t="s">
        <v>1875</v>
      </c>
      <c r="I4300" s="64" t="s">
        <v>3807</v>
      </c>
      <c r="J4300" s="67">
        <v>803.4</v>
      </c>
      <c r="K4300" s="62">
        <v>8407.82</v>
      </c>
      <c r="L4300" s="33" t="e">
        <f>HLOOKUP(B4300,#REF!,1,0)</f>
        <v>#REF!</v>
      </c>
      <c r="M4300" s="33" t="str">
        <f t="shared" si="271"/>
        <v>P&amp;L</v>
      </c>
    </row>
    <row r="4301" spans="1:13" s="33" customFormat="true" ht="12.75" customHeight="true">
      <c r="A4301" s="33" t="str">
        <f t="shared" si="268"/>
        <v>DIA - CGS</v>
      </c>
      <c r="B4301" s="33" t="str">
        <f t="shared" si="269"/>
        <v>DIA</v>
      </c>
      <c r="C4301" s="33" t="str">
        <f t="shared" si="270"/>
        <v>54005-0000</v>
      </c>
      <c r="D4301" s="64" t="s">
        <v>5296</v>
      </c>
      <c r="E4301" s="64" t="s">
        <v>3809</v>
      </c>
      <c r="F4301" s="64" t="s">
        <v>230</v>
      </c>
      <c r="G4301" s="64" t="s">
        <v>3800</v>
      </c>
      <c r="H4301" s="64" t="s">
        <v>1875</v>
      </c>
      <c r="I4301" s="64" t="s">
        <v>3810</v>
      </c>
      <c r="J4301" s="67">
        <v>23.46</v>
      </c>
      <c r="K4301" s="62">
        <v>281.05</v>
      </c>
      <c r="L4301" s="33" t="e">
        <f>HLOOKUP(B4301,#REF!,1,0)</f>
        <v>#REF!</v>
      </c>
      <c r="M4301" s="33" t="str">
        <f t="shared" si="271"/>
        <v>P&amp;L</v>
      </c>
    </row>
    <row r="4302" spans="1:13" s="33" customFormat="true" ht="12.75" customHeight="true">
      <c r="A4302" s="33" t="str">
        <f t="shared" si="268"/>
        <v>DIA - CGS</v>
      </c>
      <c r="B4302" s="33" t="str">
        <f t="shared" si="269"/>
        <v>DIA</v>
      </c>
      <c r="C4302" s="33" t="str">
        <f t="shared" si="270"/>
        <v>54006-0000</v>
      </c>
      <c r="D4302" s="64" t="s">
        <v>5297</v>
      </c>
      <c r="E4302" s="64" t="s">
        <v>3812</v>
      </c>
      <c r="F4302" s="64" t="s">
        <v>230</v>
      </c>
      <c r="G4302" s="64" t="s">
        <v>3800</v>
      </c>
      <c r="H4302" s="64" t="s">
        <v>1875</v>
      </c>
      <c r="I4302" s="64" t="s">
        <v>3003</v>
      </c>
      <c r="J4302" s="67">
        <v>299.83</v>
      </c>
      <c r="K4302" s="62">
        <v>3635.85</v>
      </c>
      <c r="L4302" s="33" t="e">
        <f>HLOOKUP(B4302,#REF!,1,0)</f>
        <v>#REF!</v>
      </c>
      <c r="M4302" s="33" t="str">
        <f t="shared" si="271"/>
        <v>P&amp;L</v>
      </c>
    </row>
    <row r="4303" spans="1:13" s="33" customFormat="true" ht="12.75" customHeight="true">
      <c r="A4303" s="33" t="str">
        <f t="shared" si="268"/>
        <v>DIA - CGS</v>
      </c>
      <c r="B4303" s="33" t="str">
        <f t="shared" si="269"/>
        <v>DIA</v>
      </c>
      <c r="C4303" s="33" t="str">
        <f t="shared" si="270"/>
        <v>54007-0000</v>
      </c>
      <c r="D4303" s="64" t="s">
        <v>5298</v>
      </c>
      <c r="E4303" s="64" t="s">
        <v>3814</v>
      </c>
      <c r="F4303" s="64" t="s">
        <v>230</v>
      </c>
      <c r="G4303" s="64" t="s">
        <v>3800</v>
      </c>
      <c r="H4303" s="64" t="s">
        <v>1875</v>
      </c>
      <c r="I4303" s="64" t="s">
        <v>3815</v>
      </c>
      <c r="J4303" s="67">
        <v>302.02</v>
      </c>
      <c r="K4303" s="62">
        <v>3755.62</v>
      </c>
      <c r="L4303" s="33" t="e">
        <f>HLOOKUP(B4303,#REF!,1,0)</f>
        <v>#REF!</v>
      </c>
      <c r="M4303" s="33" t="str">
        <f t="shared" si="271"/>
        <v>P&amp;L</v>
      </c>
    </row>
    <row r="4304" spans="1:13" s="33" customFormat="true" ht="12.75" customHeight="true">
      <c r="A4304" s="33" t="str">
        <f t="shared" si="268"/>
        <v>DIA - CGS</v>
      </c>
      <c r="B4304" s="33" t="str">
        <f t="shared" si="269"/>
        <v>DIA</v>
      </c>
      <c r="C4304" s="33" t="str">
        <f t="shared" si="270"/>
        <v>54008-0000</v>
      </c>
      <c r="D4304" s="64" t="s">
        <v>5299</v>
      </c>
      <c r="E4304" s="64" t="s">
        <v>4017</v>
      </c>
      <c r="F4304" s="64" t="s">
        <v>230</v>
      </c>
      <c r="G4304" s="64" t="s">
        <v>3800</v>
      </c>
      <c r="H4304" s="64" t="s">
        <v>1875</v>
      </c>
      <c r="I4304" s="64" t="s">
        <v>4018</v>
      </c>
      <c r="J4304" s="67">
        <v>98.4</v>
      </c>
      <c r="K4304" s="62">
        <v>-88.56</v>
      </c>
      <c r="L4304" s="33" t="e">
        <f>HLOOKUP(B4304,#REF!,1,0)</f>
        <v>#REF!</v>
      </c>
      <c r="M4304" s="33" t="str">
        <f t="shared" si="271"/>
        <v>P&amp;L</v>
      </c>
    </row>
    <row r="4305" spans="1:13" s="33" customFormat="true" ht="12.75" customHeight="true">
      <c r="A4305" s="33" t="str">
        <f t="shared" si="268"/>
        <v>DIA - PM Expenses</v>
      </c>
      <c r="B4305" s="33" t="str">
        <f t="shared" si="269"/>
        <v>DIA</v>
      </c>
      <c r="C4305" s="33" t="str">
        <f t="shared" si="270"/>
        <v>55501-0000</v>
      </c>
      <c r="D4305" s="64" t="s">
        <v>5300</v>
      </c>
      <c r="E4305" s="64" t="s">
        <v>3817</v>
      </c>
      <c r="F4305" s="64" t="s">
        <v>230</v>
      </c>
      <c r="G4305" s="64" t="s">
        <v>3818</v>
      </c>
      <c r="H4305" s="64" t="s">
        <v>3819</v>
      </c>
      <c r="I4305" s="64" t="s">
        <v>3820</v>
      </c>
      <c r="J4305" s="67">
        <v>0</v>
      </c>
      <c r="K4305" s="62">
        <v>1050</v>
      </c>
      <c r="L4305" s="33" t="e">
        <f>HLOOKUP(B4305,#REF!,1,0)</f>
        <v>#REF!</v>
      </c>
      <c r="M4305" s="33" t="str">
        <f t="shared" si="271"/>
        <v>P&amp;L</v>
      </c>
    </row>
    <row r="4306" spans="1:13" s="33" customFormat="true" ht="12.75" customHeight="true">
      <c r="A4306" s="33" t="str">
        <f t="shared" si="268"/>
        <v>DIA - PM Expenses</v>
      </c>
      <c r="B4306" s="33" t="str">
        <f t="shared" si="269"/>
        <v>DIA</v>
      </c>
      <c r="C4306" s="33" t="str">
        <f t="shared" si="270"/>
        <v>55502-0000</v>
      </c>
      <c r="D4306" s="64" t="s">
        <v>5301</v>
      </c>
      <c r="E4306" s="64" t="s">
        <v>3822</v>
      </c>
      <c r="F4306" s="64" t="s">
        <v>230</v>
      </c>
      <c r="G4306" s="64" t="s">
        <v>3818</v>
      </c>
      <c r="H4306" s="64" t="s">
        <v>3819</v>
      </c>
      <c r="I4306" s="64" t="s">
        <v>3823</v>
      </c>
      <c r="J4306" s="67">
        <v>584.51</v>
      </c>
      <c r="K4306" s="62">
        <v>5933.03</v>
      </c>
      <c r="L4306" s="33" t="e">
        <f>HLOOKUP(B4306,#REF!,1,0)</f>
        <v>#REF!</v>
      </c>
      <c r="M4306" s="33" t="str">
        <f t="shared" si="271"/>
        <v>P&amp;L</v>
      </c>
    </row>
    <row r="4307" spans="1:13" s="33" customFormat="true" ht="12.75" customHeight="true">
      <c r="A4307" s="33" t="str">
        <f t="shared" si="268"/>
        <v>DIA - PM Expenses</v>
      </c>
      <c r="B4307" s="33" t="str">
        <f t="shared" si="269"/>
        <v>DIA</v>
      </c>
      <c r="C4307" s="33" t="str">
        <f t="shared" si="270"/>
        <v>55503-0000</v>
      </c>
      <c r="D4307" s="64" t="s">
        <v>5302</v>
      </c>
      <c r="E4307" s="64" t="s">
        <v>3825</v>
      </c>
      <c r="F4307" s="64" t="s">
        <v>230</v>
      </c>
      <c r="G4307" s="64" t="s">
        <v>3818</v>
      </c>
      <c r="H4307" s="64" t="s">
        <v>3819</v>
      </c>
      <c r="I4307" s="64" t="s">
        <v>3826</v>
      </c>
      <c r="J4307" s="67">
        <v>322.3</v>
      </c>
      <c r="K4307" s="62">
        <v>3591.41</v>
      </c>
      <c r="L4307" s="33" t="e">
        <f>HLOOKUP(B4307,#REF!,1,0)</f>
        <v>#REF!</v>
      </c>
      <c r="M4307" s="33" t="str">
        <f t="shared" si="271"/>
        <v>P&amp;L</v>
      </c>
    </row>
    <row r="4308" spans="1:13" s="33" customFormat="true" ht="12.75" customHeight="true">
      <c r="A4308" s="33" t="str">
        <f t="shared" si="268"/>
        <v>DIA - PM Expenses</v>
      </c>
      <c r="B4308" s="33" t="str">
        <f t="shared" si="269"/>
        <v>DIA</v>
      </c>
      <c r="C4308" s="33" t="str">
        <f t="shared" si="270"/>
        <v>55504-0000</v>
      </c>
      <c r="D4308" s="64" t="s">
        <v>5303</v>
      </c>
      <c r="E4308" s="64" t="s">
        <v>4027</v>
      </c>
      <c r="F4308" s="64" t="s">
        <v>230</v>
      </c>
      <c r="G4308" s="64" t="s">
        <v>3818</v>
      </c>
      <c r="H4308" s="64" t="s">
        <v>3819</v>
      </c>
      <c r="I4308" s="64" t="s">
        <v>4028</v>
      </c>
      <c r="J4308" s="67">
        <v>283.33</v>
      </c>
      <c r="K4308" s="62">
        <v>283.33</v>
      </c>
      <c r="L4308" s="33" t="e">
        <f>HLOOKUP(B4308,#REF!,1,0)</f>
        <v>#REF!</v>
      </c>
      <c r="M4308" s="33" t="str">
        <f t="shared" si="271"/>
        <v>P&amp;L</v>
      </c>
    </row>
    <row r="4309" spans="1:13" s="33" customFormat="true" ht="12.75" customHeight="true">
      <c r="A4309" s="33" t="str">
        <f t="shared" si="268"/>
        <v>DIA - PM Expenses</v>
      </c>
      <c r="B4309" s="33" t="str">
        <f t="shared" si="269"/>
        <v>DIA</v>
      </c>
      <c r="C4309" s="33" t="str">
        <f t="shared" si="270"/>
        <v>55505-0000</v>
      </c>
      <c r="D4309" s="64" t="s">
        <v>5304</v>
      </c>
      <c r="E4309" s="64" t="s">
        <v>3828</v>
      </c>
      <c r="F4309" s="64" t="s">
        <v>230</v>
      </c>
      <c r="G4309" s="64" t="s">
        <v>3818</v>
      </c>
      <c r="H4309" s="64" t="s">
        <v>3819</v>
      </c>
      <c r="I4309" s="64" t="s">
        <v>3829</v>
      </c>
      <c r="J4309" s="67">
        <v>394</v>
      </c>
      <c r="K4309" s="62">
        <v>6896.72</v>
      </c>
      <c r="L4309" s="33" t="e">
        <f>HLOOKUP(B4309,#REF!,1,0)</f>
        <v>#REF!</v>
      </c>
      <c r="M4309" s="33" t="str">
        <f t="shared" si="271"/>
        <v>P&amp;L</v>
      </c>
    </row>
    <row r="4310" spans="1:13" s="33" customFormat="true" ht="12.75" customHeight="true">
      <c r="A4310" s="33" t="str">
        <f t="shared" si="268"/>
        <v>DIA - PM Expenses</v>
      </c>
      <c r="B4310" s="33" t="str">
        <f t="shared" si="269"/>
        <v>DIA</v>
      </c>
      <c r="C4310" s="33" t="str">
        <f t="shared" si="270"/>
        <v>55506-0000</v>
      </c>
      <c r="D4310" s="64" t="s">
        <v>5305</v>
      </c>
      <c r="E4310" s="64" t="s">
        <v>3831</v>
      </c>
      <c r="F4310" s="64" t="s">
        <v>230</v>
      </c>
      <c r="G4310" s="64" t="s">
        <v>3818</v>
      </c>
      <c r="H4310" s="64" t="s">
        <v>3819</v>
      </c>
      <c r="I4310" s="64" t="s">
        <v>3832</v>
      </c>
      <c r="J4310" s="67">
        <v>2629.09</v>
      </c>
      <c r="K4310" s="62">
        <v>44304.76</v>
      </c>
      <c r="L4310" s="33" t="e">
        <f>HLOOKUP(B4310,#REF!,1,0)</f>
        <v>#REF!</v>
      </c>
      <c r="M4310" s="33" t="str">
        <f t="shared" si="271"/>
        <v>P&amp;L</v>
      </c>
    </row>
    <row r="4311" spans="1:13" s="33" customFormat="true" ht="12.75" customHeight="true">
      <c r="A4311" s="33" t="str">
        <f t="shared" si="268"/>
        <v>DIA - CGS</v>
      </c>
      <c r="B4311" s="33" t="str">
        <f t="shared" si="269"/>
        <v>DIA</v>
      </c>
      <c r="C4311" s="33" t="str">
        <f t="shared" si="270"/>
        <v>60001-0000</v>
      </c>
      <c r="D4311" s="64" t="s">
        <v>5306</v>
      </c>
      <c r="E4311" s="64" t="s">
        <v>4192</v>
      </c>
      <c r="F4311" s="64" t="s">
        <v>230</v>
      </c>
      <c r="G4311" s="64" t="s">
        <v>3838</v>
      </c>
      <c r="H4311" s="64" t="s">
        <v>1875</v>
      </c>
      <c r="I4311" s="64" t="s">
        <v>4193</v>
      </c>
      <c r="J4311" s="67">
        <v>0</v>
      </c>
      <c r="K4311" s="62">
        <v>4267.6</v>
      </c>
      <c r="L4311" s="33" t="e">
        <f>HLOOKUP(B4311,#REF!,1,0)</f>
        <v>#REF!</v>
      </c>
      <c r="M4311" s="33" t="str">
        <f t="shared" si="271"/>
        <v>P&amp;L</v>
      </c>
    </row>
    <row r="4312" spans="1:13" s="33" customFormat="true" ht="12.75" customHeight="true">
      <c r="A4312" s="33" t="str">
        <f t="shared" si="268"/>
        <v>DIA - CGS</v>
      </c>
      <c r="B4312" s="33" t="str">
        <f t="shared" si="269"/>
        <v>DIA</v>
      </c>
      <c r="C4312" s="33" t="str">
        <f t="shared" si="270"/>
        <v>60002-0000</v>
      </c>
      <c r="D4312" s="64" t="s">
        <v>5307</v>
      </c>
      <c r="E4312" s="64" t="s">
        <v>3837</v>
      </c>
      <c r="F4312" s="64" t="s">
        <v>230</v>
      </c>
      <c r="G4312" s="64" t="s">
        <v>3838</v>
      </c>
      <c r="H4312" s="64" t="s">
        <v>1875</v>
      </c>
      <c r="I4312" s="64" t="s">
        <v>3839</v>
      </c>
      <c r="J4312" s="67">
        <v>65.67</v>
      </c>
      <c r="K4312" s="62">
        <v>695.82</v>
      </c>
      <c r="L4312" s="33" t="e">
        <f>HLOOKUP(B4312,#REF!,1,0)</f>
        <v>#REF!</v>
      </c>
      <c r="M4312" s="33" t="str">
        <f t="shared" si="271"/>
        <v>P&amp;L</v>
      </c>
    </row>
    <row r="4313" spans="1:13" s="33" customFormat="true" ht="12.75" customHeight="true">
      <c r="A4313" s="33" t="str">
        <f t="shared" si="268"/>
        <v>DIA - CGS</v>
      </c>
      <c r="B4313" s="33" t="str">
        <f t="shared" si="269"/>
        <v>DIA</v>
      </c>
      <c r="C4313" s="33" t="str">
        <f t="shared" si="270"/>
        <v>60005-0000</v>
      </c>
      <c r="D4313" s="64" t="s">
        <v>5308</v>
      </c>
      <c r="E4313" s="64" t="s">
        <v>3841</v>
      </c>
      <c r="F4313" s="64" t="s">
        <v>230</v>
      </c>
      <c r="G4313" s="64" t="s">
        <v>3838</v>
      </c>
      <c r="H4313" s="64" t="s">
        <v>1875</v>
      </c>
      <c r="I4313" s="64" t="s">
        <v>3842</v>
      </c>
      <c r="J4313" s="67">
        <v>1881.46</v>
      </c>
      <c r="K4313" s="62">
        <v>20254.14</v>
      </c>
      <c r="L4313" s="33" t="e">
        <f>HLOOKUP(B4313,#REF!,1,0)</f>
        <v>#REF!</v>
      </c>
      <c r="M4313" s="33" t="str">
        <f t="shared" si="271"/>
        <v>P&amp;L</v>
      </c>
    </row>
    <row r="4314" spans="1:13" s="33" customFormat="true" ht="12.75" customHeight="true">
      <c r="A4314" s="33" t="str">
        <f t="shared" si="268"/>
        <v>DIA - Interest Expense</v>
      </c>
      <c r="B4314" s="33" t="str">
        <f t="shared" si="269"/>
        <v>DIA</v>
      </c>
      <c r="C4314" s="33" t="str">
        <f t="shared" si="270"/>
        <v>60006-0000</v>
      </c>
      <c r="D4314" s="64" t="s">
        <v>5309</v>
      </c>
      <c r="E4314" s="64" t="s">
        <v>3325</v>
      </c>
      <c r="F4314" s="64" t="s">
        <v>230</v>
      </c>
      <c r="G4314" s="64" t="s">
        <v>3844</v>
      </c>
      <c r="H4314" s="64" t="s">
        <v>3327</v>
      </c>
      <c r="I4314" s="64" t="s">
        <v>3328</v>
      </c>
      <c r="J4314" s="67">
        <v>9228.73</v>
      </c>
      <c r="K4314" s="62">
        <v>94578.84</v>
      </c>
      <c r="L4314" s="33" t="e">
        <f>HLOOKUP(B4314,#REF!,1,0)</f>
        <v>#REF!</v>
      </c>
      <c r="M4314" s="33" t="str">
        <f t="shared" si="271"/>
        <v>P&amp;L</v>
      </c>
    </row>
    <row r="4315" spans="1:13" s="33" customFormat="true" ht="12.75" customHeight="true">
      <c r="A4315" s="33" t="str">
        <f t="shared" si="268"/>
        <v>DIA - CGS</v>
      </c>
      <c r="B4315" s="33" t="str">
        <f t="shared" si="269"/>
        <v>DIA</v>
      </c>
      <c r="C4315" s="33" t="str">
        <f t="shared" si="270"/>
        <v>60007-0000</v>
      </c>
      <c r="D4315" s="64" t="s">
        <v>5310</v>
      </c>
      <c r="E4315" s="64" t="s">
        <v>3846</v>
      </c>
      <c r="F4315" s="64" t="s">
        <v>230</v>
      </c>
      <c r="G4315" s="64" t="s">
        <v>3838</v>
      </c>
      <c r="H4315" s="64" t="s">
        <v>1875</v>
      </c>
      <c r="I4315" s="64" t="s">
        <v>3847</v>
      </c>
      <c r="J4315" s="67">
        <v>0</v>
      </c>
      <c r="K4315" s="62">
        <v>90801</v>
      </c>
      <c r="L4315" s="33" t="e">
        <f>HLOOKUP(B4315,#REF!,1,0)</f>
        <v>#REF!</v>
      </c>
      <c r="M4315" s="33" t="str">
        <f t="shared" si="271"/>
        <v>P&amp;L</v>
      </c>
    </row>
    <row r="4316" spans="1:13" s="33" customFormat="true" ht="12.75" customHeight="true">
      <c r="A4316" s="33" t="str">
        <f t="shared" si="268"/>
        <v>DIA - CGS</v>
      </c>
      <c r="B4316" s="33" t="str">
        <f t="shared" si="269"/>
        <v>DIA</v>
      </c>
      <c r="C4316" s="33" t="str">
        <f t="shared" si="270"/>
        <v>60011-0000</v>
      </c>
      <c r="D4316" s="64" t="s">
        <v>5311</v>
      </c>
      <c r="E4316" s="64" t="s">
        <v>4199</v>
      </c>
      <c r="F4316" s="64" t="s">
        <v>230</v>
      </c>
      <c r="G4316" s="64" t="s">
        <v>3838</v>
      </c>
      <c r="H4316" s="64" t="s">
        <v>1875</v>
      </c>
      <c r="I4316" s="64" t="s">
        <v>4200</v>
      </c>
      <c r="J4316" s="67">
        <v>0</v>
      </c>
      <c r="K4316" s="62">
        <v>777.2</v>
      </c>
      <c r="L4316" s="33" t="e">
        <f>HLOOKUP(B4316,#REF!,1,0)</f>
        <v>#REF!</v>
      </c>
      <c r="M4316" s="33" t="str">
        <f t="shared" si="271"/>
        <v>P&amp;L</v>
      </c>
    </row>
    <row r="4317" spans="1:13" s="33" customFormat="true" ht="12.75" customHeight="true">
      <c r="A4317" s="33" t="str">
        <f t="shared" si="268"/>
        <v>DIA - CGS</v>
      </c>
      <c r="B4317" s="33" t="str">
        <f t="shared" si="269"/>
        <v>DIA</v>
      </c>
      <c r="C4317" s="33" t="str">
        <f t="shared" si="270"/>
        <v>60012-0000</v>
      </c>
      <c r="D4317" s="64" t="s">
        <v>5312</v>
      </c>
      <c r="E4317" s="64" t="s">
        <v>3852</v>
      </c>
      <c r="F4317" s="64" t="s">
        <v>230</v>
      </c>
      <c r="G4317" s="64" t="s">
        <v>3838</v>
      </c>
      <c r="H4317" s="64" t="s">
        <v>1875</v>
      </c>
      <c r="I4317" s="64" t="s">
        <v>3853</v>
      </c>
      <c r="J4317" s="67">
        <v>0</v>
      </c>
      <c r="K4317" s="62">
        <v>33720.23</v>
      </c>
      <c r="L4317" s="33" t="e">
        <f>HLOOKUP(B4317,#REF!,1,0)</f>
        <v>#REF!</v>
      </c>
      <c r="M4317" s="33" t="str">
        <f t="shared" si="271"/>
        <v>P&amp;L</v>
      </c>
    </row>
    <row r="4318" spans="1:13" s="33" customFormat="true" ht="12.75" customHeight="true">
      <c r="A4318" s="33" t="str">
        <f t="shared" si="268"/>
        <v>DIA - CGS</v>
      </c>
      <c r="B4318" s="33" t="str">
        <f t="shared" si="269"/>
        <v>DIA</v>
      </c>
      <c r="C4318" s="33" t="str">
        <f t="shared" si="270"/>
        <v>60014-0000</v>
      </c>
      <c r="D4318" s="64" t="s">
        <v>5313</v>
      </c>
      <c r="E4318" s="64" t="s">
        <v>3855</v>
      </c>
      <c r="F4318" s="64" t="s">
        <v>230</v>
      </c>
      <c r="G4318" s="64" t="s">
        <v>3838</v>
      </c>
      <c r="H4318" s="64" t="s">
        <v>1875</v>
      </c>
      <c r="I4318" s="64" t="s">
        <v>3856</v>
      </c>
      <c r="J4318" s="67">
        <v>2957.49</v>
      </c>
      <c r="K4318" s="62">
        <v>30277.8</v>
      </c>
      <c r="L4318" s="33" t="e">
        <f>HLOOKUP(B4318,#REF!,1,0)</f>
        <v>#REF!</v>
      </c>
      <c r="M4318" s="33" t="str">
        <f t="shared" si="271"/>
        <v>P&amp;L</v>
      </c>
    </row>
    <row r="4319" spans="1:13" s="33" customFormat="true" ht="12.75" customHeight="true">
      <c r="A4319" s="33" t="str">
        <f t="shared" si="268"/>
        <v>DIA - CGS</v>
      </c>
      <c r="B4319" s="33" t="str">
        <f t="shared" si="269"/>
        <v>DIA</v>
      </c>
      <c r="C4319" s="33" t="str">
        <f t="shared" si="270"/>
        <v>60015-0000</v>
      </c>
      <c r="D4319" s="64" t="s">
        <v>5314</v>
      </c>
      <c r="E4319" s="64" t="s">
        <v>3858</v>
      </c>
      <c r="F4319" s="64" t="s">
        <v>230</v>
      </c>
      <c r="G4319" s="64" t="s">
        <v>3838</v>
      </c>
      <c r="H4319" s="64" t="s">
        <v>1875</v>
      </c>
      <c r="I4319" s="64" t="s">
        <v>3859</v>
      </c>
      <c r="J4319" s="67">
        <v>0</v>
      </c>
      <c r="K4319" s="62">
        <v>100</v>
      </c>
      <c r="L4319" s="33" t="e">
        <f>HLOOKUP(B4319,#REF!,1,0)</f>
        <v>#REF!</v>
      </c>
      <c r="M4319" s="33" t="str">
        <f t="shared" si="271"/>
        <v>P&amp;L</v>
      </c>
    </row>
    <row r="4320" spans="1:13" s="33" customFormat="true" ht="12.75" customHeight="true">
      <c r="A4320" s="33" t="str">
        <f t="shared" si="268"/>
        <v>DIA - CGS</v>
      </c>
      <c r="B4320" s="33" t="str">
        <f t="shared" si="269"/>
        <v>DIA</v>
      </c>
      <c r="C4320" s="33" t="str">
        <f t="shared" si="270"/>
        <v>61018-0000</v>
      </c>
      <c r="D4320" s="64" t="s">
        <v>5315</v>
      </c>
      <c r="E4320" s="64" t="s">
        <v>3864</v>
      </c>
      <c r="F4320" s="64" t="s">
        <v>230</v>
      </c>
      <c r="G4320" s="64" t="s">
        <v>3838</v>
      </c>
      <c r="H4320" s="64" t="s">
        <v>1875</v>
      </c>
      <c r="I4320" s="64" t="s">
        <v>3866</v>
      </c>
      <c r="J4320" s="67">
        <v>0</v>
      </c>
      <c r="K4320" s="62">
        <v>0</v>
      </c>
      <c r="L4320" s="33" t="e">
        <f>HLOOKUP(B4320,#REF!,1,0)</f>
        <v>#REF!</v>
      </c>
      <c r="M4320" s="33" t="str">
        <f t="shared" si="271"/>
        <v>P&amp;L</v>
      </c>
    </row>
    <row r="4321" spans="1:13" s="33" customFormat="true" ht="12.75" customHeight="true">
      <c r="A4321" s="33" t="str">
        <f t="shared" si="268"/>
        <v>DIA - Income Tax</v>
      </c>
      <c r="B4321" s="33" t="str">
        <f t="shared" si="269"/>
        <v>DIA</v>
      </c>
      <c r="C4321" s="33" t="str">
        <f t="shared" si="270"/>
        <v>61019-0000</v>
      </c>
      <c r="D4321" s="64" t="s">
        <v>5316</v>
      </c>
      <c r="E4321" s="64" t="s">
        <v>4041</v>
      </c>
      <c r="F4321" s="64" t="s">
        <v>230</v>
      </c>
      <c r="G4321" s="64" t="s">
        <v>3844</v>
      </c>
      <c r="H4321" s="64" t="s">
        <v>3378</v>
      </c>
      <c r="I4321" s="64" t="s">
        <v>4042</v>
      </c>
      <c r="J4321" s="67">
        <v>0</v>
      </c>
      <c r="K4321" s="62">
        <v>3300</v>
      </c>
      <c r="L4321" s="33" t="e">
        <f>HLOOKUP(B4321,#REF!,1,0)</f>
        <v>#REF!</v>
      </c>
      <c r="M4321" s="33" t="str">
        <f t="shared" si="271"/>
        <v>P&amp;L</v>
      </c>
    </row>
    <row r="4322" spans="1:13" s="33" customFormat="true" ht="12.75" customHeight="true">
      <c r="A4322" s="33" t="str">
        <f t="shared" si="268"/>
        <v>DOL - Fixed Assets</v>
      </c>
      <c r="B4322" s="33" t="str">
        <f t="shared" si="269"/>
        <v>DOL</v>
      </c>
      <c r="C4322" s="33" t="str">
        <f t="shared" si="270"/>
        <v>15501-0000</v>
      </c>
      <c r="D4322" s="64" t="s">
        <v>5317</v>
      </c>
      <c r="E4322" s="64" t="s">
        <v>2635</v>
      </c>
      <c r="F4322" s="64" t="s">
        <v>230</v>
      </c>
      <c r="G4322" s="64" t="s">
        <v>62</v>
      </c>
      <c r="H4322" s="64" t="s">
        <v>63</v>
      </c>
      <c r="I4322" s="64" t="s">
        <v>64</v>
      </c>
      <c r="J4322" s="67">
        <v>658.26</v>
      </c>
      <c r="K4322" s="62">
        <v>2583.43</v>
      </c>
      <c r="L4322" s="33" t="e">
        <f>HLOOKUP(B4322,#REF!,1,0)</f>
        <v>#REF!</v>
      </c>
      <c r="M4322" s="33" t="str">
        <f t="shared" si="271"/>
        <v>BS</v>
      </c>
    </row>
    <row r="4323" spans="1:13" s="33" customFormat="true" ht="12.75" customHeight="true">
      <c r="A4323" s="33" t="str">
        <f t="shared" si="268"/>
        <v>DOL - AR-PPD</v>
      </c>
      <c r="B4323" s="33" t="str">
        <f t="shared" si="269"/>
        <v>DOL</v>
      </c>
      <c r="C4323" s="33" t="str">
        <f t="shared" si="270"/>
        <v>25300-0000</v>
      </c>
      <c r="D4323" s="64" t="s">
        <v>5318</v>
      </c>
      <c r="E4323" s="64" t="s">
        <v>3677</v>
      </c>
      <c r="F4323" s="64" t="s">
        <v>230</v>
      </c>
      <c r="G4323" s="64" t="s">
        <v>3678</v>
      </c>
      <c r="H4323" s="64" t="s">
        <v>35</v>
      </c>
      <c r="I4323" s="64" t="s">
        <v>102</v>
      </c>
      <c r="J4323" s="67">
        <v>584.06</v>
      </c>
      <c r="K4323" s="62">
        <v>0</v>
      </c>
      <c r="L4323" s="33" t="e">
        <f>HLOOKUP(B4323,#REF!,1,0)</f>
        <v>#REF!</v>
      </c>
      <c r="M4323" s="33" t="str">
        <f t="shared" si="271"/>
        <v>BS</v>
      </c>
    </row>
    <row r="4324" spans="1:13" s="33" customFormat="true" ht="12.75" customHeight="true">
      <c r="A4324" s="33" t="str">
        <f t="shared" si="268"/>
        <v>DOL - Revenue</v>
      </c>
      <c r="B4324" s="33" t="str">
        <f t="shared" si="269"/>
        <v>DOL</v>
      </c>
      <c r="C4324" s="33" t="str">
        <f t="shared" si="270"/>
        <v>40110-0000</v>
      </c>
      <c r="D4324" s="64" t="s">
        <v>5319</v>
      </c>
      <c r="E4324" s="64" t="s">
        <v>3683</v>
      </c>
      <c r="F4324" s="64" t="s">
        <v>230</v>
      </c>
      <c r="G4324" s="64" t="s">
        <v>3684</v>
      </c>
      <c r="H4324" s="64" t="s">
        <v>2871</v>
      </c>
      <c r="I4324" s="64" t="s">
        <v>3685</v>
      </c>
      <c r="J4324" s="67">
        <v>-69933.79</v>
      </c>
      <c r="K4324" s="62">
        <v>-699337.9</v>
      </c>
      <c r="L4324" s="33" t="e">
        <f>HLOOKUP(B4324,#REF!,1,0)</f>
        <v>#REF!</v>
      </c>
      <c r="M4324" s="33" t="str">
        <f t="shared" si="271"/>
        <v>P&amp;L</v>
      </c>
    </row>
    <row r="4325" spans="1:13" s="33" customFormat="true" ht="12.75" customHeight="true">
      <c r="A4325" s="33" t="str">
        <f t="shared" si="268"/>
        <v>DOL - Revenue</v>
      </c>
      <c r="B4325" s="33" t="str">
        <f t="shared" si="269"/>
        <v>DOL</v>
      </c>
      <c r="C4325" s="33" t="str">
        <f t="shared" si="270"/>
        <v>40120-0000</v>
      </c>
      <c r="D4325" s="64" t="s">
        <v>5320</v>
      </c>
      <c r="E4325" s="64" t="s">
        <v>3687</v>
      </c>
      <c r="F4325" s="64" t="s">
        <v>230</v>
      </c>
      <c r="G4325" s="64" t="s">
        <v>3684</v>
      </c>
      <c r="H4325" s="64" t="s">
        <v>2871</v>
      </c>
      <c r="I4325" s="64" t="s">
        <v>3688</v>
      </c>
      <c r="J4325" s="67">
        <v>-1563.95</v>
      </c>
      <c r="K4325" s="62">
        <v>-8704.38</v>
      </c>
      <c r="L4325" s="33" t="e">
        <f>HLOOKUP(B4325,#REF!,1,0)</f>
        <v>#REF!</v>
      </c>
      <c r="M4325" s="33" t="str">
        <f t="shared" si="271"/>
        <v>P&amp;L</v>
      </c>
    </row>
    <row r="4326" spans="1:13" s="33" customFormat="true" ht="12.75" customHeight="true">
      <c r="A4326" s="33" t="str">
        <f t="shared" si="268"/>
        <v>DOL - Revenue</v>
      </c>
      <c r="B4326" s="33" t="str">
        <f t="shared" si="269"/>
        <v>DOL</v>
      </c>
      <c r="C4326" s="33" t="str">
        <f t="shared" si="270"/>
        <v>40130-0000</v>
      </c>
      <c r="D4326" s="64" t="s">
        <v>5321</v>
      </c>
      <c r="E4326" s="64" t="s">
        <v>3690</v>
      </c>
      <c r="F4326" s="64" t="s">
        <v>230</v>
      </c>
      <c r="G4326" s="64" t="s">
        <v>3684</v>
      </c>
      <c r="H4326" s="64" t="s">
        <v>2871</v>
      </c>
      <c r="I4326" s="64" t="s">
        <v>3691</v>
      </c>
      <c r="J4326" s="67">
        <v>0</v>
      </c>
      <c r="K4326" s="62">
        <v>-178.42</v>
      </c>
      <c r="L4326" s="33" t="e">
        <f>HLOOKUP(B4326,#REF!,1,0)</f>
        <v>#REF!</v>
      </c>
      <c r="M4326" s="33" t="str">
        <f t="shared" si="271"/>
        <v>P&amp;L</v>
      </c>
    </row>
    <row r="4327" spans="1:13" s="33" customFormat="true" ht="12.75" customHeight="true">
      <c r="A4327" s="33" t="str">
        <f t="shared" si="268"/>
        <v>DOL - Revenue</v>
      </c>
      <c r="B4327" s="33" t="str">
        <f t="shared" si="269"/>
        <v>DOL</v>
      </c>
      <c r="C4327" s="33" t="str">
        <f t="shared" si="270"/>
        <v>40140-0000</v>
      </c>
      <c r="D4327" s="64" t="s">
        <v>5322</v>
      </c>
      <c r="E4327" s="64" t="s">
        <v>3948</v>
      </c>
      <c r="F4327" s="64" t="s">
        <v>230</v>
      </c>
      <c r="G4327" s="64" t="s">
        <v>3684</v>
      </c>
      <c r="H4327" s="64" t="s">
        <v>2871</v>
      </c>
      <c r="I4327" s="64" t="s">
        <v>3949</v>
      </c>
      <c r="J4327" s="67">
        <v>0</v>
      </c>
      <c r="K4327" s="62">
        <v>0</v>
      </c>
      <c r="L4327" s="33" t="e">
        <f>HLOOKUP(B4327,#REF!,1,0)</f>
        <v>#REF!</v>
      </c>
      <c r="M4327" s="33" t="str">
        <f t="shared" si="271"/>
        <v>P&amp;L</v>
      </c>
    </row>
    <row r="4328" spans="1:13" s="33" customFormat="true" ht="12.75" customHeight="true">
      <c r="A4328" s="33" t="str">
        <f t="shared" si="268"/>
        <v>DOL - Revenue</v>
      </c>
      <c r="B4328" s="33" t="str">
        <f t="shared" si="269"/>
        <v>DOL</v>
      </c>
      <c r="C4328" s="33" t="str">
        <f t="shared" si="270"/>
        <v>41110-0000</v>
      </c>
      <c r="D4328" s="64" t="s">
        <v>5323</v>
      </c>
      <c r="E4328" s="64" t="s">
        <v>3693</v>
      </c>
      <c r="F4328" s="64" t="s">
        <v>230</v>
      </c>
      <c r="G4328" s="64" t="s">
        <v>3694</v>
      </c>
      <c r="H4328" s="64" t="s">
        <v>2871</v>
      </c>
      <c r="I4328" s="64" t="s">
        <v>3695</v>
      </c>
      <c r="J4328" s="67">
        <v>0</v>
      </c>
      <c r="K4328" s="62">
        <v>8331.63</v>
      </c>
      <c r="L4328" s="33" t="e">
        <f>HLOOKUP(B4328,#REF!,1,0)</f>
        <v>#REF!</v>
      </c>
      <c r="M4328" s="33" t="str">
        <f t="shared" si="271"/>
        <v>P&amp;L</v>
      </c>
    </row>
    <row r="4329" spans="1:13" s="33" customFormat="true" ht="12.75" customHeight="true">
      <c r="A4329" s="33" t="str">
        <f t="shared" si="268"/>
        <v>DOL - Revenue</v>
      </c>
      <c r="B4329" s="33" t="str">
        <f t="shared" si="269"/>
        <v>DOL</v>
      </c>
      <c r="C4329" s="33" t="str">
        <f t="shared" si="270"/>
        <v>41121-0000</v>
      </c>
      <c r="D4329" s="64" t="s">
        <v>5324</v>
      </c>
      <c r="E4329" s="64" t="s">
        <v>3697</v>
      </c>
      <c r="F4329" s="64" t="s">
        <v>230</v>
      </c>
      <c r="G4329" s="64" t="s">
        <v>3694</v>
      </c>
      <c r="H4329" s="64" t="s">
        <v>2871</v>
      </c>
      <c r="I4329" s="64" t="s">
        <v>3698</v>
      </c>
      <c r="J4329" s="67">
        <v>137.67</v>
      </c>
      <c r="K4329" s="62">
        <v>20255.82</v>
      </c>
      <c r="L4329" s="33" t="e">
        <f>HLOOKUP(B4329,#REF!,1,0)</f>
        <v>#REF!</v>
      </c>
      <c r="M4329" s="33" t="str">
        <f t="shared" si="271"/>
        <v>P&amp;L</v>
      </c>
    </row>
    <row r="4330" spans="1:13" s="33" customFormat="true" ht="12.75" customHeight="true">
      <c r="A4330" s="33" t="str">
        <f t="shared" si="268"/>
        <v>DOL - Revenue</v>
      </c>
      <c r="B4330" s="33" t="str">
        <f t="shared" si="269"/>
        <v>DOL</v>
      </c>
      <c r="C4330" s="33" t="str">
        <f t="shared" si="270"/>
        <v>41122-0000</v>
      </c>
      <c r="D4330" s="64" t="s">
        <v>5325</v>
      </c>
      <c r="E4330" s="64" t="s">
        <v>3700</v>
      </c>
      <c r="F4330" s="64" t="s">
        <v>230</v>
      </c>
      <c r="G4330" s="64" t="s">
        <v>3694</v>
      </c>
      <c r="H4330" s="64" t="s">
        <v>2871</v>
      </c>
      <c r="I4330" s="64" t="s">
        <v>3701</v>
      </c>
      <c r="J4330" s="67">
        <v>-327.93</v>
      </c>
      <c r="K4330" s="62">
        <v>-6869.23</v>
      </c>
      <c r="L4330" s="33" t="e">
        <f>HLOOKUP(B4330,#REF!,1,0)</f>
        <v>#REF!</v>
      </c>
      <c r="M4330" s="33" t="str">
        <f t="shared" si="271"/>
        <v>P&amp;L</v>
      </c>
    </row>
    <row r="4331" spans="1:13" s="33" customFormat="true" ht="12.75" customHeight="true">
      <c r="A4331" s="33" t="str">
        <f t="shared" si="268"/>
        <v>DOL - Revenue</v>
      </c>
      <c r="B4331" s="33" t="str">
        <f t="shared" si="269"/>
        <v>DOL</v>
      </c>
      <c r="C4331" s="33" t="str">
        <f t="shared" si="270"/>
        <v>41130-0000</v>
      </c>
      <c r="D4331" s="64" t="s">
        <v>5326</v>
      </c>
      <c r="E4331" s="64" t="s">
        <v>3703</v>
      </c>
      <c r="F4331" s="64" t="s">
        <v>230</v>
      </c>
      <c r="G4331" s="64" t="s">
        <v>3694</v>
      </c>
      <c r="H4331" s="64" t="s">
        <v>2871</v>
      </c>
      <c r="I4331" s="64" t="s">
        <v>3704</v>
      </c>
      <c r="J4331" s="67">
        <v>100</v>
      </c>
      <c r="K4331" s="62">
        <v>833.33</v>
      </c>
      <c r="L4331" s="33" t="e">
        <f>HLOOKUP(B4331,#REF!,1,0)</f>
        <v>#REF!</v>
      </c>
      <c r="M4331" s="33" t="str">
        <f t="shared" si="271"/>
        <v>P&amp;L</v>
      </c>
    </row>
    <row r="4332" spans="1:13" s="33" customFormat="true" ht="12.75" customHeight="true">
      <c r="A4332" s="33" t="str">
        <f t="shared" si="268"/>
        <v>DOL - Revenue</v>
      </c>
      <c r="B4332" s="33" t="str">
        <f t="shared" si="269"/>
        <v>DOL</v>
      </c>
      <c r="C4332" s="33" t="str">
        <f t="shared" si="270"/>
        <v>41140-0000</v>
      </c>
      <c r="D4332" s="64" t="s">
        <v>5327</v>
      </c>
      <c r="E4332" s="64" t="s">
        <v>3706</v>
      </c>
      <c r="F4332" s="64" t="s">
        <v>230</v>
      </c>
      <c r="G4332" s="64" t="s">
        <v>3694</v>
      </c>
      <c r="H4332" s="64" t="s">
        <v>2871</v>
      </c>
      <c r="I4332" s="64" t="s">
        <v>3707</v>
      </c>
      <c r="J4332" s="67">
        <v>0</v>
      </c>
      <c r="K4332" s="62">
        <v>0</v>
      </c>
      <c r="L4332" s="33" t="e">
        <f>HLOOKUP(B4332,#REF!,1,0)</f>
        <v>#REF!</v>
      </c>
      <c r="M4332" s="33" t="str">
        <f t="shared" si="271"/>
        <v>P&amp;L</v>
      </c>
    </row>
    <row r="4333" spans="1:13" s="33" customFormat="true" ht="12.75" customHeight="true">
      <c r="A4333" s="33" t="str">
        <f t="shared" si="268"/>
        <v>DOL - Revenue</v>
      </c>
      <c r="B4333" s="33" t="str">
        <f t="shared" si="269"/>
        <v>DOL</v>
      </c>
      <c r="C4333" s="33" t="str">
        <f t="shared" si="270"/>
        <v>41150-0000</v>
      </c>
      <c r="D4333" s="64" t="s">
        <v>5328</v>
      </c>
      <c r="E4333" s="64" t="s">
        <v>3709</v>
      </c>
      <c r="F4333" s="64" t="s">
        <v>230</v>
      </c>
      <c r="G4333" s="64" t="s">
        <v>3694</v>
      </c>
      <c r="H4333" s="64" t="s">
        <v>2871</v>
      </c>
      <c r="I4333" s="64" t="s">
        <v>3710</v>
      </c>
      <c r="J4333" s="67">
        <v>1820.51</v>
      </c>
      <c r="K4333" s="62">
        <v>18205.1</v>
      </c>
      <c r="L4333" s="33" t="e">
        <f>HLOOKUP(B4333,#REF!,1,0)</f>
        <v>#REF!</v>
      </c>
      <c r="M4333" s="33" t="str">
        <f t="shared" si="271"/>
        <v>P&amp;L</v>
      </c>
    </row>
    <row r="4334" spans="1:13" s="33" customFormat="true" ht="12.75" customHeight="true">
      <c r="A4334" s="33" t="str">
        <f t="shared" si="268"/>
        <v>DOL - Revenue</v>
      </c>
      <c r="B4334" s="33" t="str">
        <f t="shared" si="269"/>
        <v>DOL</v>
      </c>
      <c r="C4334" s="33" t="str">
        <f t="shared" si="270"/>
        <v>41999-0000</v>
      </c>
      <c r="D4334" s="64" t="s">
        <v>5329</v>
      </c>
      <c r="E4334" s="64" t="s">
        <v>3712</v>
      </c>
      <c r="F4334" s="64" t="s">
        <v>230</v>
      </c>
      <c r="G4334" s="64" t="s">
        <v>3713</v>
      </c>
      <c r="H4334" s="64" t="s">
        <v>2871</v>
      </c>
      <c r="I4334" s="64" t="s">
        <v>3714</v>
      </c>
      <c r="J4334" s="67">
        <v>69767.49</v>
      </c>
      <c r="K4334" s="62">
        <v>667464.05</v>
      </c>
      <c r="L4334" s="33" t="e">
        <f>HLOOKUP(B4334,#REF!,1,0)</f>
        <v>#REF!</v>
      </c>
      <c r="M4334" s="33" t="str">
        <f t="shared" si="271"/>
        <v>P&amp;L</v>
      </c>
    </row>
    <row r="4335" spans="1:13" s="33" customFormat="true" ht="12.75" customHeight="true">
      <c r="A4335" s="33" t="str">
        <f t="shared" si="268"/>
        <v>DOL - Revenue</v>
      </c>
      <c r="B4335" s="33" t="str">
        <f t="shared" si="269"/>
        <v>DOL</v>
      </c>
      <c r="C4335" s="33" t="str">
        <f t="shared" si="270"/>
        <v>47400-0000</v>
      </c>
      <c r="D4335" s="64" t="s">
        <v>5330</v>
      </c>
      <c r="E4335" s="64" t="s">
        <v>3716</v>
      </c>
      <c r="F4335" s="64" t="s">
        <v>230</v>
      </c>
      <c r="G4335" s="64" t="s">
        <v>3717</v>
      </c>
      <c r="H4335" s="64" t="s">
        <v>2871</v>
      </c>
      <c r="I4335" s="64" t="s">
        <v>3718</v>
      </c>
      <c r="J4335" s="67">
        <v>-69767.49</v>
      </c>
      <c r="K4335" s="62">
        <v>-667464.05</v>
      </c>
      <c r="L4335" s="33" t="e">
        <f>HLOOKUP(B4335,#REF!,1,0)</f>
        <v>#REF!</v>
      </c>
      <c r="M4335" s="33" t="str">
        <f t="shared" si="271"/>
        <v>P&amp;L</v>
      </c>
    </row>
    <row r="4336" spans="1:13" s="33" customFormat="true" ht="12.75" customHeight="true">
      <c r="A4336" s="33" t="str">
        <f t="shared" si="268"/>
        <v>DOL - Revenue</v>
      </c>
      <c r="B4336" s="33" t="str">
        <f t="shared" si="269"/>
        <v>DOL</v>
      </c>
      <c r="C4336" s="33" t="str">
        <f t="shared" si="270"/>
        <v>47420-0000</v>
      </c>
      <c r="D4336" s="64" t="s">
        <v>5331</v>
      </c>
      <c r="E4336" s="64" t="s">
        <v>4154</v>
      </c>
      <c r="F4336" s="64" t="s">
        <v>230</v>
      </c>
      <c r="G4336" s="64" t="s">
        <v>3717</v>
      </c>
      <c r="H4336" s="64" t="s">
        <v>2871</v>
      </c>
      <c r="I4336" s="64" t="s">
        <v>4155</v>
      </c>
      <c r="J4336" s="67">
        <v>-219.26</v>
      </c>
      <c r="K4336" s="62">
        <v>-2164.43</v>
      </c>
      <c r="L4336" s="33" t="e">
        <f>HLOOKUP(B4336,#REF!,1,0)</f>
        <v>#REF!</v>
      </c>
      <c r="M4336" s="33" t="str">
        <f t="shared" si="271"/>
        <v>P&amp;L</v>
      </c>
    </row>
    <row r="4337" spans="1:13" s="33" customFormat="true" ht="12.75" customHeight="true">
      <c r="A4337" s="33" t="str">
        <f t="shared" si="268"/>
        <v>DOL - Revenue</v>
      </c>
      <c r="B4337" s="33" t="str">
        <f t="shared" si="269"/>
        <v>DOL</v>
      </c>
      <c r="C4337" s="33" t="str">
        <f t="shared" si="270"/>
        <v>47430-0000</v>
      </c>
      <c r="D4337" s="64" t="s">
        <v>5332</v>
      </c>
      <c r="E4337" s="64" t="s">
        <v>4053</v>
      </c>
      <c r="F4337" s="64" t="s">
        <v>230</v>
      </c>
      <c r="G4337" s="64" t="s">
        <v>3717</v>
      </c>
      <c r="H4337" s="64" t="s">
        <v>2871</v>
      </c>
      <c r="I4337" s="64" t="s">
        <v>4054</v>
      </c>
      <c r="J4337" s="67">
        <v>-826.27</v>
      </c>
      <c r="K4337" s="62">
        <v>-7251.31</v>
      </c>
      <c r="L4337" s="33" t="e">
        <f>HLOOKUP(B4337,#REF!,1,0)</f>
        <v>#REF!</v>
      </c>
      <c r="M4337" s="33" t="str">
        <f t="shared" si="271"/>
        <v>P&amp;L</v>
      </c>
    </row>
    <row r="4338" spans="1:13" s="33" customFormat="true" ht="12.75" customHeight="true">
      <c r="A4338" s="33" t="str">
        <f t="shared" si="268"/>
        <v>DOL - Revenue</v>
      </c>
      <c r="B4338" s="33" t="str">
        <f t="shared" si="269"/>
        <v>DOL</v>
      </c>
      <c r="C4338" s="33" t="str">
        <f t="shared" si="270"/>
        <v>47450-0000</v>
      </c>
      <c r="D4338" s="64" t="s">
        <v>5333</v>
      </c>
      <c r="E4338" s="64" t="s">
        <v>3723</v>
      </c>
      <c r="F4338" s="64" t="s">
        <v>230</v>
      </c>
      <c r="G4338" s="64" t="s">
        <v>3717</v>
      </c>
      <c r="H4338" s="64" t="s">
        <v>2871</v>
      </c>
      <c r="I4338" s="64" t="s">
        <v>3724</v>
      </c>
      <c r="J4338" s="67">
        <v>0</v>
      </c>
      <c r="K4338" s="62">
        <v>0</v>
      </c>
      <c r="L4338" s="33" t="e">
        <f>HLOOKUP(B4338,#REF!,1,0)</f>
        <v>#REF!</v>
      </c>
      <c r="M4338" s="33" t="str">
        <f t="shared" si="271"/>
        <v>P&amp;L</v>
      </c>
    </row>
    <row r="4339" spans="1:13" s="33" customFormat="true" ht="12.75" customHeight="true">
      <c r="A4339" s="33" t="str">
        <f t="shared" si="268"/>
        <v>DOL - Revenue</v>
      </c>
      <c r="B4339" s="33" t="str">
        <f t="shared" si="269"/>
        <v>DOL</v>
      </c>
      <c r="C4339" s="33" t="str">
        <f t="shared" si="270"/>
        <v>47460-0000</v>
      </c>
      <c r="D4339" s="64" t="s">
        <v>5334</v>
      </c>
      <c r="E4339" s="64" t="s">
        <v>3726</v>
      </c>
      <c r="F4339" s="64" t="s">
        <v>230</v>
      </c>
      <c r="G4339" s="64" t="s">
        <v>3717</v>
      </c>
      <c r="H4339" s="64" t="s">
        <v>2871</v>
      </c>
      <c r="I4339" s="64" t="s">
        <v>3727</v>
      </c>
      <c r="J4339" s="67">
        <v>0</v>
      </c>
      <c r="K4339" s="62">
        <v>-25</v>
      </c>
      <c r="L4339" s="33" t="e">
        <f>HLOOKUP(B4339,#REF!,1,0)</f>
        <v>#REF!</v>
      </c>
      <c r="M4339" s="33" t="str">
        <f t="shared" si="271"/>
        <v>P&amp;L</v>
      </c>
    </row>
    <row r="4340" spans="1:13" s="33" customFormat="true" ht="12.75" customHeight="true">
      <c r="A4340" s="33" t="str">
        <f t="shared" si="268"/>
        <v>DOL - Revenue</v>
      </c>
      <c r="B4340" s="33" t="str">
        <f t="shared" si="269"/>
        <v>DOL</v>
      </c>
      <c r="C4340" s="33" t="str">
        <f t="shared" si="270"/>
        <v>47480-0000</v>
      </c>
      <c r="D4340" s="64" t="s">
        <v>5335</v>
      </c>
      <c r="E4340" s="64" t="s">
        <v>3729</v>
      </c>
      <c r="F4340" s="64" t="s">
        <v>230</v>
      </c>
      <c r="G4340" s="64" t="s">
        <v>3717</v>
      </c>
      <c r="H4340" s="64" t="s">
        <v>2871</v>
      </c>
      <c r="I4340" s="64" t="s">
        <v>3721</v>
      </c>
      <c r="J4340" s="67">
        <v>0</v>
      </c>
      <c r="K4340" s="62">
        <v>-605</v>
      </c>
      <c r="L4340" s="33" t="e">
        <f>HLOOKUP(B4340,#REF!,1,0)</f>
        <v>#REF!</v>
      </c>
      <c r="M4340" s="33" t="str">
        <f t="shared" si="271"/>
        <v>P&amp;L</v>
      </c>
    </row>
    <row r="4341" spans="1:13" s="33" customFormat="true" ht="12.75" customHeight="true">
      <c r="A4341" s="33" t="str">
        <f t="shared" si="268"/>
        <v>DOL - Revenue</v>
      </c>
      <c r="B4341" s="33" t="str">
        <f t="shared" si="269"/>
        <v>DOL</v>
      </c>
      <c r="C4341" s="33" t="str">
        <f t="shared" si="270"/>
        <v>47490-0000</v>
      </c>
      <c r="D4341" s="64" t="s">
        <v>5336</v>
      </c>
      <c r="E4341" s="64" t="s">
        <v>3731</v>
      </c>
      <c r="F4341" s="64" t="s">
        <v>230</v>
      </c>
      <c r="G4341" s="64" t="s">
        <v>3717</v>
      </c>
      <c r="H4341" s="64" t="s">
        <v>2871</v>
      </c>
      <c r="I4341" s="64" t="s">
        <v>3721</v>
      </c>
      <c r="J4341" s="67">
        <v>-25</v>
      </c>
      <c r="K4341" s="62">
        <v>-250</v>
      </c>
      <c r="L4341" s="33" t="e">
        <f>HLOOKUP(B4341,#REF!,1,0)</f>
        <v>#REF!</v>
      </c>
      <c r="M4341" s="33" t="str">
        <f t="shared" si="271"/>
        <v>P&amp;L</v>
      </c>
    </row>
    <row r="4342" spans="1:13" s="33" customFormat="true" ht="12.75" customHeight="true">
      <c r="A4342" s="33" t="str">
        <f t="shared" si="268"/>
        <v>DOL - Revenue</v>
      </c>
      <c r="B4342" s="33" t="str">
        <f t="shared" si="269"/>
        <v>DOL</v>
      </c>
      <c r="C4342" s="33" t="str">
        <f t="shared" si="270"/>
        <v>47491-0000</v>
      </c>
      <c r="D4342" s="64" t="s">
        <v>5337</v>
      </c>
      <c r="E4342" s="64" t="s">
        <v>3733</v>
      </c>
      <c r="F4342" s="64" t="s">
        <v>230</v>
      </c>
      <c r="G4342" s="64" t="s">
        <v>3717</v>
      </c>
      <c r="H4342" s="64" t="s">
        <v>2871</v>
      </c>
      <c r="I4342" s="64" t="s">
        <v>3734</v>
      </c>
      <c r="J4342" s="67">
        <v>0</v>
      </c>
      <c r="K4342" s="62">
        <v>-111.57</v>
      </c>
      <c r="L4342" s="33" t="e">
        <f>HLOOKUP(B4342,#REF!,1,0)</f>
        <v>#REF!</v>
      </c>
      <c r="M4342" s="33" t="str">
        <f t="shared" si="271"/>
        <v>P&amp;L</v>
      </c>
    </row>
    <row r="4343" spans="1:13" s="33" customFormat="true" ht="12.75" customHeight="true">
      <c r="A4343" s="33" t="str">
        <f t="shared" si="268"/>
        <v>DOL - Revenue</v>
      </c>
      <c r="B4343" s="33" t="str">
        <f t="shared" si="269"/>
        <v>DOL</v>
      </c>
      <c r="C4343" s="33" t="str">
        <f t="shared" si="270"/>
        <v>47492-0000</v>
      </c>
      <c r="D4343" s="64" t="s">
        <v>5338</v>
      </c>
      <c r="E4343" s="64" t="s">
        <v>3736</v>
      </c>
      <c r="F4343" s="64" t="s">
        <v>230</v>
      </c>
      <c r="G4343" s="64" t="s">
        <v>3717</v>
      </c>
      <c r="H4343" s="64" t="s">
        <v>2871</v>
      </c>
      <c r="I4343" s="64" t="s">
        <v>3737</v>
      </c>
      <c r="J4343" s="67">
        <v>-643</v>
      </c>
      <c r="K4343" s="62">
        <v>-4950.49</v>
      </c>
      <c r="L4343" s="33" t="e">
        <f>HLOOKUP(B4343,#REF!,1,0)</f>
        <v>#REF!</v>
      </c>
      <c r="M4343" s="33" t="str">
        <f t="shared" si="271"/>
        <v>P&amp;L</v>
      </c>
    </row>
    <row r="4344" spans="1:13" s="33" customFormat="true" ht="12.75" customHeight="true">
      <c r="A4344" s="33" t="str">
        <f t="shared" si="268"/>
        <v>DOL - CGS</v>
      </c>
      <c r="B4344" s="33" t="str">
        <f t="shared" si="269"/>
        <v>DOL</v>
      </c>
      <c r="C4344" s="33" t="str">
        <f t="shared" si="270"/>
        <v>51005-0000</v>
      </c>
      <c r="D4344" s="64" t="s">
        <v>5339</v>
      </c>
      <c r="E4344" s="64" t="s">
        <v>3968</v>
      </c>
      <c r="F4344" s="64" t="s">
        <v>230</v>
      </c>
      <c r="G4344" s="64" t="s">
        <v>3740</v>
      </c>
      <c r="H4344" s="64" t="s">
        <v>1875</v>
      </c>
      <c r="I4344" s="64" t="s">
        <v>3969</v>
      </c>
      <c r="J4344" s="67">
        <v>0</v>
      </c>
      <c r="K4344" s="62">
        <v>170.77</v>
      </c>
      <c r="L4344" s="33" t="e">
        <f>HLOOKUP(B4344,#REF!,1,0)</f>
        <v>#REF!</v>
      </c>
      <c r="M4344" s="33" t="str">
        <f t="shared" si="271"/>
        <v>P&amp;L</v>
      </c>
    </row>
    <row r="4345" spans="1:13" s="33" customFormat="true" ht="12.75" customHeight="true">
      <c r="A4345" s="33" t="str">
        <f t="shared" si="268"/>
        <v>DOL - CGS</v>
      </c>
      <c r="B4345" s="33" t="str">
        <f t="shared" si="269"/>
        <v>DOL</v>
      </c>
      <c r="C4345" s="33" t="str">
        <f t="shared" si="270"/>
        <v>51006-0000</v>
      </c>
      <c r="D4345" s="64" t="s">
        <v>5340</v>
      </c>
      <c r="E4345" s="64" t="s">
        <v>3739</v>
      </c>
      <c r="F4345" s="64" t="s">
        <v>230</v>
      </c>
      <c r="G4345" s="64" t="s">
        <v>3740</v>
      </c>
      <c r="H4345" s="64" t="s">
        <v>1875</v>
      </c>
      <c r="I4345" s="64" t="s">
        <v>3741</v>
      </c>
      <c r="J4345" s="67">
        <v>0</v>
      </c>
      <c r="K4345" s="62">
        <v>82.66</v>
      </c>
      <c r="L4345" s="33" t="e">
        <f>HLOOKUP(B4345,#REF!,1,0)</f>
        <v>#REF!</v>
      </c>
      <c r="M4345" s="33" t="str">
        <f t="shared" si="271"/>
        <v>P&amp;L</v>
      </c>
    </row>
    <row r="4346" spans="1:13" s="33" customFormat="true" ht="12.75" customHeight="true">
      <c r="A4346" s="33" t="str">
        <f t="shared" si="268"/>
        <v>DOL - CGS</v>
      </c>
      <c r="B4346" s="33" t="str">
        <f t="shared" si="269"/>
        <v>DOL</v>
      </c>
      <c r="C4346" s="33" t="str">
        <f t="shared" si="270"/>
        <v>51008-0000</v>
      </c>
      <c r="D4346" s="64" t="s">
        <v>5341</v>
      </c>
      <c r="E4346" s="64" t="s">
        <v>3743</v>
      </c>
      <c r="F4346" s="64" t="s">
        <v>230</v>
      </c>
      <c r="G4346" s="64" t="s">
        <v>3740</v>
      </c>
      <c r="H4346" s="64" t="s">
        <v>1875</v>
      </c>
      <c r="I4346" s="64" t="s">
        <v>3744</v>
      </c>
      <c r="J4346" s="67">
        <v>0</v>
      </c>
      <c r="K4346" s="62">
        <v>4143.03</v>
      </c>
      <c r="L4346" s="33" t="e">
        <f>HLOOKUP(B4346,#REF!,1,0)</f>
        <v>#REF!</v>
      </c>
      <c r="M4346" s="33" t="str">
        <f t="shared" si="271"/>
        <v>P&amp;L</v>
      </c>
    </row>
    <row r="4347" spans="1:13" s="33" customFormat="true" ht="12.75" customHeight="true">
      <c r="A4347" s="33" t="str">
        <f t="shared" si="268"/>
        <v>DOL - CGS</v>
      </c>
      <c r="B4347" s="33" t="str">
        <f t="shared" si="269"/>
        <v>DOL</v>
      </c>
      <c r="C4347" s="33" t="str">
        <f t="shared" si="270"/>
        <v>51009-0000</v>
      </c>
      <c r="D4347" s="64" t="s">
        <v>5342</v>
      </c>
      <c r="E4347" s="64" t="s">
        <v>3746</v>
      </c>
      <c r="F4347" s="64" t="s">
        <v>230</v>
      </c>
      <c r="G4347" s="64" t="s">
        <v>3740</v>
      </c>
      <c r="H4347" s="64" t="s">
        <v>1875</v>
      </c>
      <c r="I4347" s="64" t="s">
        <v>3747</v>
      </c>
      <c r="J4347" s="67">
        <v>97.72</v>
      </c>
      <c r="K4347" s="62">
        <v>2596.25</v>
      </c>
      <c r="L4347" s="33" t="e">
        <f>HLOOKUP(B4347,#REF!,1,0)</f>
        <v>#REF!</v>
      </c>
      <c r="M4347" s="33" t="str">
        <f t="shared" si="271"/>
        <v>P&amp;L</v>
      </c>
    </row>
    <row r="4348" spans="1:13" s="33" customFormat="true" ht="12.75" customHeight="true">
      <c r="A4348" s="33" t="str">
        <f t="shared" si="268"/>
        <v>DOL - CGS</v>
      </c>
      <c r="B4348" s="33" t="str">
        <f t="shared" si="269"/>
        <v>DOL</v>
      </c>
      <c r="C4348" s="33" t="str">
        <f t="shared" si="270"/>
        <v>51011-0000</v>
      </c>
      <c r="D4348" s="64" t="s">
        <v>5343</v>
      </c>
      <c r="E4348" s="64" t="s">
        <v>3749</v>
      </c>
      <c r="F4348" s="64" t="s">
        <v>230</v>
      </c>
      <c r="G4348" s="64" t="s">
        <v>3740</v>
      </c>
      <c r="H4348" s="64" t="s">
        <v>1875</v>
      </c>
      <c r="I4348" s="64" t="s">
        <v>3750</v>
      </c>
      <c r="J4348" s="67">
        <v>350</v>
      </c>
      <c r="K4348" s="62">
        <v>6368</v>
      </c>
      <c r="L4348" s="33" t="e">
        <f>HLOOKUP(B4348,#REF!,1,0)</f>
        <v>#REF!</v>
      </c>
      <c r="M4348" s="33" t="str">
        <f t="shared" si="271"/>
        <v>P&amp;L</v>
      </c>
    </row>
    <row r="4349" spans="1:13" s="33" customFormat="true" ht="12.75" customHeight="true">
      <c r="A4349" s="33" t="str">
        <f t="shared" si="268"/>
        <v>DOL - CGS</v>
      </c>
      <c r="B4349" s="33" t="str">
        <f t="shared" si="269"/>
        <v>DOL</v>
      </c>
      <c r="C4349" s="33" t="str">
        <f t="shared" si="270"/>
        <v>51012-0000</v>
      </c>
      <c r="D4349" s="64" t="s">
        <v>5344</v>
      </c>
      <c r="E4349" s="64" t="s">
        <v>3752</v>
      </c>
      <c r="F4349" s="64" t="s">
        <v>230</v>
      </c>
      <c r="G4349" s="64" t="s">
        <v>3740</v>
      </c>
      <c r="H4349" s="64" t="s">
        <v>1875</v>
      </c>
      <c r="I4349" s="64" t="s">
        <v>3753</v>
      </c>
      <c r="J4349" s="67">
        <v>79</v>
      </c>
      <c r="K4349" s="62">
        <v>1165</v>
      </c>
      <c r="L4349" s="33" t="e">
        <f>HLOOKUP(B4349,#REF!,1,0)</f>
        <v>#REF!</v>
      </c>
      <c r="M4349" s="33" t="str">
        <f t="shared" si="271"/>
        <v>P&amp;L</v>
      </c>
    </row>
    <row r="4350" spans="1:13" s="33" customFormat="true" ht="12.75" customHeight="true">
      <c r="A4350" s="33" t="str">
        <f t="shared" si="268"/>
        <v>DOL - CGS</v>
      </c>
      <c r="B4350" s="33" t="str">
        <f t="shared" si="269"/>
        <v>DOL</v>
      </c>
      <c r="C4350" s="33" t="str">
        <f t="shared" si="270"/>
        <v>51013-0000</v>
      </c>
      <c r="D4350" s="64" t="s">
        <v>5345</v>
      </c>
      <c r="E4350" s="64" t="s">
        <v>3979</v>
      </c>
      <c r="F4350" s="64" t="s">
        <v>230</v>
      </c>
      <c r="G4350" s="64" t="s">
        <v>3740</v>
      </c>
      <c r="H4350" s="64" t="s">
        <v>1875</v>
      </c>
      <c r="I4350" s="64" t="s">
        <v>3980</v>
      </c>
      <c r="J4350" s="67">
        <v>0</v>
      </c>
      <c r="K4350" s="62">
        <v>1975</v>
      </c>
      <c r="L4350" s="33" t="e">
        <f>HLOOKUP(B4350,#REF!,1,0)</f>
        <v>#REF!</v>
      </c>
      <c r="M4350" s="33" t="str">
        <f t="shared" si="271"/>
        <v>P&amp;L</v>
      </c>
    </row>
    <row r="4351" spans="1:13" s="33" customFormat="true" ht="12.75" customHeight="true">
      <c r="A4351" s="33" t="str">
        <f t="shared" si="268"/>
        <v>DOL - CGS</v>
      </c>
      <c r="B4351" s="33" t="str">
        <f t="shared" si="269"/>
        <v>DOL</v>
      </c>
      <c r="C4351" s="33" t="str">
        <f t="shared" si="270"/>
        <v>51015-0000</v>
      </c>
      <c r="D4351" s="64" t="s">
        <v>5346</v>
      </c>
      <c r="E4351" s="64" t="s">
        <v>3755</v>
      </c>
      <c r="F4351" s="64" t="s">
        <v>230</v>
      </c>
      <c r="G4351" s="64" t="s">
        <v>3740</v>
      </c>
      <c r="H4351" s="64" t="s">
        <v>1875</v>
      </c>
      <c r="I4351" s="64" t="s">
        <v>3756</v>
      </c>
      <c r="J4351" s="67">
        <v>0</v>
      </c>
      <c r="K4351" s="62">
        <v>1118.1</v>
      </c>
      <c r="L4351" s="33" t="e">
        <f>HLOOKUP(B4351,#REF!,1,0)</f>
        <v>#REF!</v>
      </c>
      <c r="M4351" s="33" t="str">
        <f t="shared" si="271"/>
        <v>P&amp;L</v>
      </c>
    </row>
    <row r="4352" spans="1:13" s="33" customFormat="true" ht="12.75" customHeight="true">
      <c r="A4352" s="33" t="str">
        <f t="shared" si="268"/>
        <v>DOL - CGS</v>
      </c>
      <c r="B4352" s="33" t="str">
        <f t="shared" si="269"/>
        <v>DOL</v>
      </c>
      <c r="C4352" s="33" t="str">
        <f t="shared" si="270"/>
        <v>51017-0000</v>
      </c>
      <c r="D4352" s="64" t="s">
        <v>5347</v>
      </c>
      <c r="E4352" s="64" t="s">
        <v>3758</v>
      </c>
      <c r="F4352" s="64" t="s">
        <v>230</v>
      </c>
      <c r="G4352" s="64" t="s">
        <v>3160</v>
      </c>
      <c r="H4352" s="64" t="s">
        <v>1875</v>
      </c>
      <c r="I4352" s="64" t="s">
        <v>3759</v>
      </c>
      <c r="J4352" s="67">
        <v>175.96</v>
      </c>
      <c r="K4352" s="62">
        <v>2085.68</v>
      </c>
      <c r="L4352" s="33" t="e">
        <f>HLOOKUP(B4352,#REF!,1,0)</f>
        <v>#REF!</v>
      </c>
      <c r="M4352" s="33" t="str">
        <f t="shared" si="271"/>
        <v>P&amp;L</v>
      </c>
    </row>
    <row r="4353" spans="1:13" s="33" customFormat="true" ht="12.75" customHeight="true">
      <c r="A4353" s="33" t="str">
        <f t="shared" si="268"/>
        <v>DOL - CGS</v>
      </c>
      <c r="B4353" s="33" t="str">
        <f t="shared" si="269"/>
        <v>DOL</v>
      </c>
      <c r="C4353" s="33" t="str">
        <f t="shared" si="270"/>
        <v>51018-0000</v>
      </c>
      <c r="D4353" s="64" t="s">
        <v>5348</v>
      </c>
      <c r="E4353" s="64" t="s">
        <v>3984</v>
      </c>
      <c r="F4353" s="64" t="s">
        <v>230</v>
      </c>
      <c r="G4353" s="64" t="s">
        <v>3740</v>
      </c>
      <c r="H4353" s="64" t="s">
        <v>1875</v>
      </c>
      <c r="I4353" s="64" t="s">
        <v>3319</v>
      </c>
      <c r="J4353" s="67">
        <v>0</v>
      </c>
      <c r="K4353" s="62">
        <v>33.9</v>
      </c>
      <c r="L4353" s="33" t="e">
        <f>HLOOKUP(B4353,#REF!,1,0)</f>
        <v>#REF!</v>
      </c>
      <c r="M4353" s="33" t="str">
        <f t="shared" si="271"/>
        <v>P&amp;L</v>
      </c>
    </row>
    <row r="4354" spans="1:13" s="33" customFormat="true" ht="12.75" customHeight="true">
      <c r="A4354" s="33" t="str">
        <f t="shared" ref="A4354:A4417" si="272">B4354&amp;" - "&amp;TRIM(H4354)</f>
        <v>DOL - CGS</v>
      </c>
      <c r="B4354" s="33" t="str">
        <f t="shared" ref="B4354:B4417" si="273">LEFT(D4354,3)</f>
        <v>DOL</v>
      </c>
      <c r="C4354" s="33" t="str">
        <f t="shared" ref="C4354:C4417" si="274">RIGHT(D4354,10)</f>
        <v>51020-0000</v>
      </c>
      <c r="D4354" s="64" t="s">
        <v>5349</v>
      </c>
      <c r="E4354" s="64" t="s">
        <v>3763</v>
      </c>
      <c r="F4354" s="64" t="s">
        <v>230</v>
      </c>
      <c r="G4354" s="64" t="s">
        <v>3740</v>
      </c>
      <c r="H4354" s="64" t="s">
        <v>1875</v>
      </c>
      <c r="I4354" s="64" t="s">
        <v>3345</v>
      </c>
      <c r="J4354" s="67">
        <v>0</v>
      </c>
      <c r="K4354" s="62">
        <v>181.14</v>
      </c>
      <c r="L4354" s="33" t="e">
        <f>HLOOKUP(B4354,#REF!,1,0)</f>
        <v>#REF!</v>
      </c>
      <c r="M4354" s="33" t="str">
        <f t="shared" ref="M4354:M4417" si="275">IF(VALUE(LEFT(C4354,5))&gt;40000,"P&amp;L","BS")</f>
        <v>P&amp;L</v>
      </c>
    </row>
    <row r="4355" spans="1:13" s="33" customFormat="true" ht="12.75" customHeight="true">
      <c r="A4355" s="33" t="str">
        <f t="shared" si="272"/>
        <v>DOL - CGS</v>
      </c>
      <c r="B4355" s="33" t="str">
        <f t="shared" si="273"/>
        <v>DOL</v>
      </c>
      <c r="C4355" s="33" t="str">
        <f t="shared" si="274"/>
        <v>51025-0000</v>
      </c>
      <c r="D4355" s="64" t="s">
        <v>5350</v>
      </c>
      <c r="E4355" s="64" t="s">
        <v>3988</v>
      </c>
      <c r="F4355" s="64" t="s">
        <v>230</v>
      </c>
      <c r="G4355" s="64" t="s">
        <v>3740</v>
      </c>
      <c r="H4355" s="64" t="s">
        <v>1875</v>
      </c>
      <c r="I4355" s="64" t="s">
        <v>3989</v>
      </c>
      <c r="J4355" s="67">
        <v>624.42</v>
      </c>
      <c r="K4355" s="62">
        <v>6344.95</v>
      </c>
      <c r="L4355" s="33" t="e">
        <f>HLOOKUP(B4355,#REF!,1,0)</f>
        <v>#REF!</v>
      </c>
      <c r="M4355" s="33" t="str">
        <f t="shared" si="275"/>
        <v>P&amp;L</v>
      </c>
    </row>
    <row r="4356" spans="1:13" s="33" customFormat="true" ht="12.75" customHeight="true">
      <c r="A4356" s="33" t="str">
        <f t="shared" si="272"/>
        <v>DOL - CGS</v>
      </c>
      <c r="B4356" s="33" t="str">
        <f t="shared" si="273"/>
        <v>DOL</v>
      </c>
      <c r="C4356" s="33" t="str">
        <f t="shared" si="274"/>
        <v>52001-0000</v>
      </c>
      <c r="D4356" s="64" t="s">
        <v>5351</v>
      </c>
      <c r="E4356" s="64" t="s">
        <v>3768</v>
      </c>
      <c r="F4356" s="64" t="s">
        <v>230</v>
      </c>
      <c r="G4356" s="64" t="s">
        <v>3769</v>
      </c>
      <c r="H4356" s="64" t="s">
        <v>1875</v>
      </c>
      <c r="I4356" s="64" t="s">
        <v>3770</v>
      </c>
      <c r="J4356" s="67">
        <v>0</v>
      </c>
      <c r="K4356" s="62">
        <v>295.44</v>
      </c>
      <c r="L4356" s="33" t="e">
        <f>HLOOKUP(B4356,#REF!,1,0)</f>
        <v>#REF!</v>
      </c>
      <c r="M4356" s="33" t="str">
        <f t="shared" si="275"/>
        <v>P&amp;L</v>
      </c>
    </row>
    <row r="4357" spans="1:13" s="33" customFormat="true" ht="12.75" customHeight="true">
      <c r="A4357" s="33" t="str">
        <f t="shared" si="272"/>
        <v>DOL - CGS</v>
      </c>
      <c r="B4357" s="33" t="str">
        <f t="shared" si="273"/>
        <v>DOL</v>
      </c>
      <c r="C4357" s="33" t="str">
        <f t="shared" si="274"/>
        <v>52003-0000</v>
      </c>
      <c r="D4357" s="64" t="s">
        <v>5352</v>
      </c>
      <c r="E4357" s="64" t="s">
        <v>3772</v>
      </c>
      <c r="F4357" s="64" t="s">
        <v>230</v>
      </c>
      <c r="G4357" s="64" t="s">
        <v>3769</v>
      </c>
      <c r="H4357" s="64" t="s">
        <v>1875</v>
      </c>
      <c r="I4357" s="64" t="s">
        <v>3773</v>
      </c>
      <c r="J4357" s="67">
        <v>0</v>
      </c>
      <c r="K4357" s="62">
        <v>-165</v>
      </c>
      <c r="L4357" s="33" t="e">
        <f>HLOOKUP(B4357,#REF!,1,0)</f>
        <v>#REF!</v>
      </c>
      <c r="M4357" s="33" t="str">
        <f t="shared" si="275"/>
        <v>P&amp;L</v>
      </c>
    </row>
    <row r="4358" spans="1:13" s="33" customFormat="true" ht="12.75" customHeight="true">
      <c r="A4358" s="33" t="str">
        <f t="shared" si="272"/>
        <v>DOL - CGS</v>
      </c>
      <c r="B4358" s="33" t="str">
        <f t="shared" si="273"/>
        <v>DOL</v>
      </c>
      <c r="C4358" s="33" t="str">
        <f t="shared" si="274"/>
        <v>52004-0000</v>
      </c>
      <c r="D4358" s="64" t="s">
        <v>5353</v>
      </c>
      <c r="E4358" s="64" t="s">
        <v>3775</v>
      </c>
      <c r="F4358" s="64" t="s">
        <v>230</v>
      </c>
      <c r="G4358" s="64" t="s">
        <v>3769</v>
      </c>
      <c r="H4358" s="64" t="s">
        <v>1875</v>
      </c>
      <c r="I4358" s="64" t="s">
        <v>3776</v>
      </c>
      <c r="J4358" s="67">
        <v>0</v>
      </c>
      <c r="K4358" s="62">
        <v>-587.22</v>
      </c>
      <c r="L4358" s="33" t="e">
        <f>HLOOKUP(B4358,#REF!,1,0)</f>
        <v>#REF!</v>
      </c>
      <c r="M4358" s="33" t="str">
        <f t="shared" si="275"/>
        <v>P&amp;L</v>
      </c>
    </row>
    <row r="4359" spans="1:13" s="33" customFormat="true" ht="12.75" customHeight="true">
      <c r="A4359" s="33" t="str">
        <f t="shared" si="272"/>
        <v>DOL - CGS</v>
      </c>
      <c r="B4359" s="33" t="str">
        <f t="shared" si="273"/>
        <v>DOL</v>
      </c>
      <c r="C4359" s="33" t="str">
        <f t="shared" si="274"/>
        <v>52006-0000</v>
      </c>
      <c r="D4359" s="64" t="s">
        <v>5354</v>
      </c>
      <c r="E4359" s="64" t="s">
        <v>3778</v>
      </c>
      <c r="F4359" s="64" t="s">
        <v>230</v>
      </c>
      <c r="G4359" s="64" t="s">
        <v>3769</v>
      </c>
      <c r="H4359" s="64" t="s">
        <v>1875</v>
      </c>
      <c r="I4359" s="64" t="s">
        <v>3779</v>
      </c>
      <c r="J4359" s="67">
        <v>0</v>
      </c>
      <c r="K4359" s="62">
        <v>652.99</v>
      </c>
      <c r="L4359" s="33" t="e">
        <f>HLOOKUP(B4359,#REF!,1,0)</f>
        <v>#REF!</v>
      </c>
      <c r="M4359" s="33" t="str">
        <f t="shared" si="275"/>
        <v>P&amp;L</v>
      </c>
    </row>
    <row r="4360" spans="1:13" s="33" customFormat="true" ht="12.75" customHeight="true">
      <c r="A4360" s="33" t="str">
        <f t="shared" si="272"/>
        <v>DOL - CGS</v>
      </c>
      <c r="B4360" s="33" t="str">
        <f t="shared" si="273"/>
        <v>DOL</v>
      </c>
      <c r="C4360" s="33" t="str">
        <f t="shared" si="274"/>
        <v>53001-0000</v>
      </c>
      <c r="D4360" s="64" t="s">
        <v>5355</v>
      </c>
      <c r="E4360" s="64" t="s">
        <v>3781</v>
      </c>
      <c r="F4360" s="64" t="s">
        <v>230</v>
      </c>
      <c r="G4360" s="64" t="s">
        <v>3160</v>
      </c>
      <c r="H4360" s="64" t="s">
        <v>1875</v>
      </c>
      <c r="I4360" s="64" t="s">
        <v>3782</v>
      </c>
      <c r="J4360" s="67">
        <v>142.04</v>
      </c>
      <c r="K4360" s="62">
        <v>1239.46</v>
      </c>
      <c r="L4360" s="33" t="e">
        <f>HLOOKUP(B4360,#REF!,1,0)</f>
        <v>#REF!</v>
      </c>
      <c r="M4360" s="33" t="str">
        <f t="shared" si="275"/>
        <v>P&amp;L</v>
      </c>
    </row>
    <row r="4361" spans="1:13" s="33" customFormat="true" ht="12.75" customHeight="true">
      <c r="A4361" s="33" t="str">
        <f t="shared" si="272"/>
        <v>DOL - CGS</v>
      </c>
      <c r="B4361" s="33" t="str">
        <f t="shared" si="273"/>
        <v>DOL</v>
      </c>
      <c r="C4361" s="33" t="str">
        <f t="shared" si="274"/>
        <v>53002-0000</v>
      </c>
      <c r="D4361" s="64" t="s">
        <v>5356</v>
      </c>
      <c r="E4361" s="64" t="s">
        <v>3784</v>
      </c>
      <c r="F4361" s="64" t="s">
        <v>230</v>
      </c>
      <c r="G4361" s="64" t="s">
        <v>3160</v>
      </c>
      <c r="H4361" s="64" t="s">
        <v>1875</v>
      </c>
      <c r="I4361" s="64" t="s">
        <v>3785</v>
      </c>
      <c r="J4361" s="67">
        <v>2685.6</v>
      </c>
      <c r="K4361" s="62">
        <v>31592.98</v>
      </c>
      <c r="L4361" s="33" t="e">
        <f>HLOOKUP(B4361,#REF!,1,0)</f>
        <v>#REF!</v>
      </c>
      <c r="M4361" s="33" t="str">
        <f t="shared" si="275"/>
        <v>P&amp;L</v>
      </c>
    </row>
    <row r="4362" spans="1:13" s="33" customFormat="true" ht="12.75" customHeight="true">
      <c r="A4362" s="33" t="str">
        <f t="shared" si="272"/>
        <v>DOL - CGS</v>
      </c>
      <c r="B4362" s="33" t="str">
        <f t="shared" si="273"/>
        <v>DOL</v>
      </c>
      <c r="C4362" s="33" t="str">
        <f t="shared" si="274"/>
        <v>53003-0000</v>
      </c>
      <c r="D4362" s="64" t="s">
        <v>5357</v>
      </c>
      <c r="E4362" s="64" t="s">
        <v>3787</v>
      </c>
      <c r="F4362" s="64" t="s">
        <v>230</v>
      </c>
      <c r="G4362" s="64" t="s">
        <v>3160</v>
      </c>
      <c r="H4362" s="64" t="s">
        <v>1875</v>
      </c>
      <c r="I4362" s="64" t="s">
        <v>3788</v>
      </c>
      <c r="J4362" s="67">
        <v>0</v>
      </c>
      <c r="K4362" s="62">
        <v>4031.48</v>
      </c>
      <c r="L4362" s="33" t="e">
        <f>HLOOKUP(B4362,#REF!,1,0)</f>
        <v>#REF!</v>
      </c>
      <c r="M4362" s="33" t="str">
        <f t="shared" si="275"/>
        <v>P&amp;L</v>
      </c>
    </row>
    <row r="4363" spans="1:13" s="33" customFormat="true" ht="12.75" customHeight="true">
      <c r="A4363" s="33" t="str">
        <f t="shared" si="272"/>
        <v>DOL - CGS</v>
      </c>
      <c r="B4363" s="33" t="str">
        <f t="shared" si="273"/>
        <v>DOL</v>
      </c>
      <c r="C4363" s="33" t="str">
        <f t="shared" si="274"/>
        <v>53004-0000</v>
      </c>
      <c r="D4363" s="64" t="s">
        <v>5358</v>
      </c>
      <c r="E4363" s="64" t="s">
        <v>3790</v>
      </c>
      <c r="F4363" s="64" t="s">
        <v>230</v>
      </c>
      <c r="G4363" s="64" t="s">
        <v>3160</v>
      </c>
      <c r="H4363" s="64" t="s">
        <v>1875</v>
      </c>
      <c r="I4363" s="64" t="s">
        <v>3791</v>
      </c>
      <c r="J4363" s="67">
        <v>1320.69</v>
      </c>
      <c r="K4363" s="62">
        <v>16801.23</v>
      </c>
      <c r="L4363" s="33" t="e">
        <f>HLOOKUP(B4363,#REF!,1,0)</f>
        <v>#REF!</v>
      </c>
      <c r="M4363" s="33" t="str">
        <f t="shared" si="275"/>
        <v>P&amp;L</v>
      </c>
    </row>
    <row r="4364" spans="1:13" s="33" customFormat="true" ht="12.75" customHeight="true">
      <c r="A4364" s="33" t="str">
        <f t="shared" si="272"/>
        <v>DOL - CGS</v>
      </c>
      <c r="B4364" s="33" t="str">
        <f t="shared" si="273"/>
        <v>DOL</v>
      </c>
      <c r="C4364" s="33" t="str">
        <f t="shared" si="274"/>
        <v>53005-0000</v>
      </c>
      <c r="D4364" s="64" t="s">
        <v>5359</v>
      </c>
      <c r="E4364" s="64" t="s">
        <v>3793</v>
      </c>
      <c r="F4364" s="64" t="s">
        <v>230</v>
      </c>
      <c r="G4364" s="64" t="s">
        <v>3160</v>
      </c>
      <c r="H4364" s="64" t="s">
        <v>1875</v>
      </c>
      <c r="I4364" s="64" t="s">
        <v>3794</v>
      </c>
      <c r="J4364" s="67">
        <v>0</v>
      </c>
      <c r="K4364" s="62">
        <v>20214.82</v>
      </c>
      <c r="L4364" s="33" t="e">
        <f>HLOOKUP(B4364,#REF!,1,0)</f>
        <v>#REF!</v>
      </c>
      <c r="M4364" s="33" t="str">
        <f t="shared" si="275"/>
        <v>P&amp;L</v>
      </c>
    </row>
    <row r="4365" spans="1:13" s="33" customFormat="true" ht="12.75" customHeight="true">
      <c r="A4365" s="33" t="str">
        <f t="shared" si="272"/>
        <v>DOL - CGS</v>
      </c>
      <c r="B4365" s="33" t="str">
        <f t="shared" si="273"/>
        <v>DOL</v>
      </c>
      <c r="C4365" s="33" t="str">
        <f t="shared" si="274"/>
        <v>53006-0000</v>
      </c>
      <c r="D4365" s="64" t="s">
        <v>5360</v>
      </c>
      <c r="E4365" s="64" t="s">
        <v>3796</v>
      </c>
      <c r="F4365" s="64" t="s">
        <v>230</v>
      </c>
      <c r="G4365" s="64" t="s">
        <v>3160</v>
      </c>
      <c r="H4365" s="64" t="s">
        <v>1875</v>
      </c>
      <c r="I4365" s="64" t="s">
        <v>3797</v>
      </c>
      <c r="J4365" s="67">
        <v>0</v>
      </c>
      <c r="K4365" s="62">
        <v>29133.75</v>
      </c>
      <c r="L4365" s="33" t="e">
        <f>HLOOKUP(B4365,#REF!,1,0)</f>
        <v>#REF!</v>
      </c>
      <c r="M4365" s="33" t="str">
        <f t="shared" si="275"/>
        <v>P&amp;L</v>
      </c>
    </row>
    <row r="4366" spans="1:13" s="33" customFormat="true" ht="12.75" customHeight="true">
      <c r="A4366" s="33" t="str">
        <f t="shared" si="272"/>
        <v>DOL - CGS</v>
      </c>
      <c r="B4366" s="33" t="str">
        <f t="shared" si="273"/>
        <v>DOL</v>
      </c>
      <c r="C4366" s="33" t="str">
        <f t="shared" si="274"/>
        <v>54001-0000</v>
      </c>
      <c r="D4366" s="64" t="s">
        <v>5361</v>
      </c>
      <c r="E4366" s="64" t="s">
        <v>4008</v>
      </c>
      <c r="F4366" s="64" t="s">
        <v>230</v>
      </c>
      <c r="G4366" s="64" t="s">
        <v>3800</v>
      </c>
      <c r="H4366" s="64" t="s">
        <v>1875</v>
      </c>
      <c r="I4366" s="64" t="s">
        <v>4009</v>
      </c>
      <c r="J4366" s="67">
        <v>0</v>
      </c>
      <c r="K4366" s="62">
        <v>0</v>
      </c>
      <c r="L4366" s="33" t="e">
        <f>HLOOKUP(B4366,#REF!,1,0)</f>
        <v>#REF!</v>
      </c>
      <c r="M4366" s="33" t="str">
        <f t="shared" si="275"/>
        <v>P&amp;L</v>
      </c>
    </row>
    <row r="4367" spans="1:13" s="33" customFormat="true" ht="12.75" customHeight="true">
      <c r="A4367" s="33" t="str">
        <f t="shared" si="272"/>
        <v>DOL - CGS</v>
      </c>
      <c r="B4367" s="33" t="str">
        <f t="shared" si="273"/>
        <v>DOL</v>
      </c>
      <c r="C4367" s="33" t="str">
        <f t="shared" si="274"/>
        <v>54002-0000</v>
      </c>
      <c r="D4367" s="64" t="s">
        <v>5362</v>
      </c>
      <c r="E4367" s="64" t="s">
        <v>3799</v>
      </c>
      <c r="F4367" s="64" t="s">
        <v>230</v>
      </c>
      <c r="G4367" s="64" t="s">
        <v>3800</v>
      </c>
      <c r="H4367" s="64" t="s">
        <v>1875</v>
      </c>
      <c r="I4367" s="64" t="s">
        <v>3801</v>
      </c>
      <c r="J4367" s="67">
        <v>0</v>
      </c>
      <c r="K4367" s="62">
        <v>1883</v>
      </c>
      <c r="L4367" s="33" t="e">
        <f>HLOOKUP(B4367,#REF!,1,0)</f>
        <v>#REF!</v>
      </c>
      <c r="M4367" s="33" t="str">
        <f t="shared" si="275"/>
        <v>P&amp;L</v>
      </c>
    </row>
    <row r="4368" spans="1:13" s="33" customFormat="true" ht="12.75" customHeight="true">
      <c r="A4368" s="33" t="str">
        <f t="shared" si="272"/>
        <v>DOL - CGS</v>
      </c>
      <c r="B4368" s="33" t="str">
        <f t="shared" si="273"/>
        <v>DOL</v>
      </c>
      <c r="C4368" s="33" t="str">
        <f t="shared" si="274"/>
        <v>54003-0000</v>
      </c>
      <c r="D4368" s="64" t="s">
        <v>5363</v>
      </c>
      <c r="E4368" s="64" t="s">
        <v>3803</v>
      </c>
      <c r="F4368" s="64" t="s">
        <v>230</v>
      </c>
      <c r="G4368" s="64" t="s">
        <v>3800</v>
      </c>
      <c r="H4368" s="64" t="s">
        <v>1875</v>
      </c>
      <c r="I4368" s="64" t="s">
        <v>3804</v>
      </c>
      <c r="J4368" s="67">
        <v>0</v>
      </c>
      <c r="K4368" s="62">
        <v>0</v>
      </c>
      <c r="L4368" s="33" t="e">
        <f>HLOOKUP(B4368,#REF!,1,0)</f>
        <v>#REF!</v>
      </c>
      <c r="M4368" s="33" t="str">
        <f t="shared" si="275"/>
        <v>P&amp;L</v>
      </c>
    </row>
    <row r="4369" spans="1:13" s="33" customFormat="true" ht="12.75" customHeight="true">
      <c r="A4369" s="33" t="str">
        <f t="shared" si="272"/>
        <v>DOL - CGS</v>
      </c>
      <c r="B4369" s="33" t="str">
        <f t="shared" si="273"/>
        <v>DOL</v>
      </c>
      <c r="C4369" s="33" t="str">
        <f t="shared" si="274"/>
        <v>54004-0000</v>
      </c>
      <c r="D4369" s="64" t="s">
        <v>5364</v>
      </c>
      <c r="E4369" s="64" t="s">
        <v>3806</v>
      </c>
      <c r="F4369" s="64" t="s">
        <v>230</v>
      </c>
      <c r="G4369" s="64" t="s">
        <v>3800</v>
      </c>
      <c r="H4369" s="64" t="s">
        <v>1875</v>
      </c>
      <c r="I4369" s="64" t="s">
        <v>3807</v>
      </c>
      <c r="J4369" s="67">
        <v>1648</v>
      </c>
      <c r="K4369" s="62">
        <v>17331.43</v>
      </c>
      <c r="L4369" s="33" t="e">
        <f>HLOOKUP(B4369,#REF!,1,0)</f>
        <v>#REF!</v>
      </c>
      <c r="M4369" s="33" t="str">
        <f t="shared" si="275"/>
        <v>P&amp;L</v>
      </c>
    </row>
    <row r="4370" spans="1:13" s="33" customFormat="true" ht="12.75" customHeight="true">
      <c r="A4370" s="33" t="str">
        <f t="shared" si="272"/>
        <v>DOL - CGS</v>
      </c>
      <c r="B4370" s="33" t="str">
        <f t="shared" si="273"/>
        <v>DOL</v>
      </c>
      <c r="C4370" s="33" t="str">
        <f t="shared" si="274"/>
        <v>54005-0000</v>
      </c>
      <c r="D4370" s="64" t="s">
        <v>5365</v>
      </c>
      <c r="E4370" s="64" t="s">
        <v>3809</v>
      </c>
      <c r="F4370" s="64" t="s">
        <v>230</v>
      </c>
      <c r="G4370" s="64" t="s">
        <v>3800</v>
      </c>
      <c r="H4370" s="64" t="s">
        <v>1875</v>
      </c>
      <c r="I4370" s="64" t="s">
        <v>3810</v>
      </c>
      <c r="J4370" s="67">
        <v>23.46</v>
      </c>
      <c r="K4370" s="62">
        <v>281.02</v>
      </c>
      <c r="L4370" s="33" t="e">
        <f>HLOOKUP(B4370,#REF!,1,0)</f>
        <v>#REF!</v>
      </c>
      <c r="M4370" s="33" t="str">
        <f t="shared" si="275"/>
        <v>P&amp;L</v>
      </c>
    </row>
    <row r="4371" spans="1:13" s="33" customFormat="true" ht="12.75" customHeight="true">
      <c r="A4371" s="33" t="str">
        <f t="shared" si="272"/>
        <v>DOL - CGS</v>
      </c>
      <c r="B4371" s="33" t="str">
        <f t="shared" si="273"/>
        <v>DOL</v>
      </c>
      <c r="C4371" s="33" t="str">
        <f t="shared" si="274"/>
        <v>54006-0000</v>
      </c>
      <c r="D4371" s="64" t="s">
        <v>5366</v>
      </c>
      <c r="E4371" s="64" t="s">
        <v>3812</v>
      </c>
      <c r="F4371" s="64" t="s">
        <v>230</v>
      </c>
      <c r="G4371" s="64" t="s">
        <v>3800</v>
      </c>
      <c r="H4371" s="64" t="s">
        <v>1875</v>
      </c>
      <c r="I4371" s="64" t="s">
        <v>3003</v>
      </c>
      <c r="J4371" s="67">
        <v>346.16</v>
      </c>
      <c r="K4371" s="62">
        <v>4207.99</v>
      </c>
      <c r="L4371" s="33" t="e">
        <f>HLOOKUP(B4371,#REF!,1,0)</f>
        <v>#REF!</v>
      </c>
      <c r="M4371" s="33" t="str">
        <f t="shared" si="275"/>
        <v>P&amp;L</v>
      </c>
    </row>
    <row r="4372" spans="1:13" s="33" customFormat="true" ht="12.75" customHeight="true">
      <c r="A4372" s="33" t="str">
        <f t="shared" si="272"/>
        <v>DOL - CGS</v>
      </c>
      <c r="B4372" s="33" t="str">
        <f t="shared" si="273"/>
        <v>DOL</v>
      </c>
      <c r="C4372" s="33" t="str">
        <f t="shared" si="274"/>
        <v>54007-0000</v>
      </c>
      <c r="D4372" s="64" t="s">
        <v>5367</v>
      </c>
      <c r="E4372" s="64" t="s">
        <v>3814</v>
      </c>
      <c r="F4372" s="64" t="s">
        <v>230</v>
      </c>
      <c r="G4372" s="64" t="s">
        <v>3800</v>
      </c>
      <c r="H4372" s="64" t="s">
        <v>1875</v>
      </c>
      <c r="I4372" s="64" t="s">
        <v>3815</v>
      </c>
      <c r="J4372" s="67">
        <v>0</v>
      </c>
      <c r="K4372" s="62">
        <v>2295.5</v>
      </c>
      <c r="L4372" s="33" t="e">
        <f>HLOOKUP(B4372,#REF!,1,0)</f>
        <v>#REF!</v>
      </c>
      <c r="M4372" s="33" t="str">
        <f t="shared" si="275"/>
        <v>P&amp;L</v>
      </c>
    </row>
    <row r="4373" spans="1:13" s="33" customFormat="true" ht="12.75" customHeight="true">
      <c r="A4373" s="33" t="str">
        <f t="shared" si="272"/>
        <v>DOL - CGS</v>
      </c>
      <c r="B4373" s="33" t="str">
        <f t="shared" si="273"/>
        <v>DOL</v>
      </c>
      <c r="C4373" s="33" t="str">
        <f t="shared" si="274"/>
        <v>54008-0000</v>
      </c>
      <c r="D4373" s="64" t="s">
        <v>5368</v>
      </c>
      <c r="E4373" s="64" t="s">
        <v>4017</v>
      </c>
      <c r="F4373" s="64" t="s">
        <v>230</v>
      </c>
      <c r="G4373" s="64" t="s">
        <v>3800</v>
      </c>
      <c r="H4373" s="64" t="s">
        <v>1875</v>
      </c>
      <c r="I4373" s="64" t="s">
        <v>4018</v>
      </c>
      <c r="J4373" s="67">
        <v>49.44</v>
      </c>
      <c r="K4373" s="62">
        <v>-49.44</v>
      </c>
      <c r="L4373" s="33" t="e">
        <f>HLOOKUP(B4373,#REF!,1,0)</f>
        <v>#REF!</v>
      </c>
      <c r="M4373" s="33" t="str">
        <f t="shared" si="275"/>
        <v>P&amp;L</v>
      </c>
    </row>
    <row r="4374" spans="1:13" s="33" customFormat="true" ht="12.75" customHeight="true">
      <c r="A4374" s="33" t="str">
        <f t="shared" si="272"/>
        <v>DOL - PM Expenses</v>
      </c>
      <c r="B4374" s="33" t="str">
        <f t="shared" si="273"/>
        <v>DOL</v>
      </c>
      <c r="C4374" s="33" t="str">
        <f t="shared" si="274"/>
        <v>55501-0000</v>
      </c>
      <c r="D4374" s="64" t="s">
        <v>5369</v>
      </c>
      <c r="E4374" s="64" t="s">
        <v>3817</v>
      </c>
      <c r="F4374" s="64" t="s">
        <v>230</v>
      </c>
      <c r="G4374" s="64" t="s">
        <v>3818</v>
      </c>
      <c r="H4374" s="64" t="s">
        <v>3819</v>
      </c>
      <c r="I4374" s="64" t="s">
        <v>3820</v>
      </c>
      <c r="J4374" s="67">
        <v>-170</v>
      </c>
      <c r="K4374" s="62">
        <v>180</v>
      </c>
      <c r="L4374" s="33" t="e">
        <f>HLOOKUP(B4374,#REF!,1,0)</f>
        <v>#REF!</v>
      </c>
      <c r="M4374" s="33" t="str">
        <f t="shared" si="275"/>
        <v>P&amp;L</v>
      </c>
    </row>
    <row r="4375" spans="1:13" s="33" customFormat="true" ht="12.75" customHeight="true">
      <c r="A4375" s="33" t="str">
        <f t="shared" si="272"/>
        <v>DOL - PM Expenses</v>
      </c>
      <c r="B4375" s="33" t="str">
        <f t="shared" si="273"/>
        <v>DOL</v>
      </c>
      <c r="C4375" s="33" t="str">
        <f t="shared" si="274"/>
        <v>55502-0000</v>
      </c>
      <c r="D4375" s="64" t="s">
        <v>5370</v>
      </c>
      <c r="E4375" s="64" t="s">
        <v>3822</v>
      </c>
      <c r="F4375" s="64" t="s">
        <v>230</v>
      </c>
      <c r="G4375" s="64" t="s">
        <v>3818</v>
      </c>
      <c r="H4375" s="64" t="s">
        <v>3819</v>
      </c>
      <c r="I4375" s="64" t="s">
        <v>3823</v>
      </c>
      <c r="J4375" s="67">
        <v>0</v>
      </c>
      <c r="K4375" s="62">
        <v>1972.97</v>
      </c>
      <c r="L4375" s="33" t="e">
        <f>HLOOKUP(B4375,#REF!,1,0)</f>
        <v>#REF!</v>
      </c>
      <c r="M4375" s="33" t="str">
        <f t="shared" si="275"/>
        <v>P&amp;L</v>
      </c>
    </row>
    <row r="4376" spans="1:13" s="33" customFormat="true" ht="12.75" customHeight="true">
      <c r="A4376" s="33" t="str">
        <f t="shared" si="272"/>
        <v>DOL - PM Expenses</v>
      </c>
      <c r="B4376" s="33" t="str">
        <f t="shared" si="273"/>
        <v>DOL</v>
      </c>
      <c r="C4376" s="33" t="str">
        <f t="shared" si="274"/>
        <v>55503-0000</v>
      </c>
      <c r="D4376" s="64" t="s">
        <v>5371</v>
      </c>
      <c r="E4376" s="64" t="s">
        <v>3825</v>
      </c>
      <c r="F4376" s="64" t="s">
        <v>230</v>
      </c>
      <c r="G4376" s="64" t="s">
        <v>3818</v>
      </c>
      <c r="H4376" s="64" t="s">
        <v>3819</v>
      </c>
      <c r="I4376" s="64" t="s">
        <v>3826</v>
      </c>
      <c r="J4376" s="67">
        <v>0</v>
      </c>
      <c r="K4376" s="62">
        <v>2069.1</v>
      </c>
      <c r="L4376" s="33" t="e">
        <f>HLOOKUP(B4376,#REF!,1,0)</f>
        <v>#REF!</v>
      </c>
      <c r="M4376" s="33" t="str">
        <f t="shared" si="275"/>
        <v>P&amp;L</v>
      </c>
    </row>
    <row r="4377" spans="1:13" s="33" customFormat="true" ht="12.75" customHeight="true">
      <c r="A4377" s="33" t="str">
        <f t="shared" si="272"/>
        <v>DOL - PM Expenses</v>
      </c>
      <c r="B4377" s="33" t="str">
        <f t="shared" si="273"/>
        <v>DOL</v>
      </c>
      <c r="C4377" s="33" t="str">
        <f t="shared" si="274"/>
        <v>55504-0000</v>
      </c>
      <c r="D4377" s="64" t="s">
        <v>5372</v>
      </c>
      <c r="E4377" s="64" t="s">
        <v>4027</v>
      </c>
      <c r="F4377" s="64" t="s">
        <v>230</v>
      </c>
      <c r="G4377" s="64" t="s">
        <v>3818</v>
      </c>
      <c r="H4377" s="64" t="s">
        <v>3819</v>
      </c>
      <c r="I4377" s="64" t="s">
        <v>4028</v>
      </c>
      <c r="J4377" s="67">
        <v>0</v>
      </c>
      <c r="K4377" s="62">
        <v>350.6</v>
      </c>
      <c r="L4377" s="33" t="e">
        <f>HLOOKUP(B4377,#REF!,1,0)</f>
        <v>#REF!</v>
      </c>
      <c r="M4377" s="33" t="str">
        <f t="shared" si="275"/>
        <v>P&amp;L</v>
      </c>
    </row>
    <row r="4378" spans="1:13" s="33" customFormat="true" ht="12.75" customHeight="true">
      <c r="A4378" s="33" t="str">
        <f t="shared" si="272"/>
        <v>DOL - PM Expenses</v>
      </c>
      <c r="B4378" s="33" t="str">
        <f t="shared" si="273"/>
        <v>DOL</v>
      </c>
      <c r="C4378" s="33" t="str">
        <f t="shared" si="274"/>
        <v>55505-0000</v>
      </c>
      <c r="D4378" s="64" t="s">
        <v>5373</v>
      </c>
      <c r="E4378" s="64" t="s">
        <v>3828</v>
      </c>
      <c r="F4378" s="64" t="s">
        <v>230</v>
      </c>
      <c r="G4378" s="64" t="s">
        <v>3818</v>
      </c>
      <c r="H4378" s="64" t="s">
        <v>3819</v>
      </c>
      <c r="I4378" s="64" t="s">
        <v>3829</v>
      </c>
      <c r="J4378" s="67">
        <v>0</v>
      </c>
      <c r="K4378" s="62">
        <v>2383.5</v>
      </c>
      <c r="L4378" s="33" t="e">
        <f>HLOOKUP(B4378,#REF!,1,0)</f>
        <v>#REF!</v>
      </c>
      <c r="M4378" s="33" t="str">
        <f t="shared" si="275"/>
        <v>P&amp;L</v>
      </c>
    </row>
    <row r="4379" spans="1:13" s="33" customFormat="true" ht="12.75" customHeight="true">
      <c r="A4379" s="33" t="str">
        <f t="shared" si="272"/>
        <v>DOL - PM Expenses</v>
      </c>
      <c r="B4379" s="33" t="str">
        <f t="shared" si="273"/>
        <v>DOL</v>
      </c>
      <c r="C4379" s="33" t="str">
        <f t="shared" si="274"/>
        <v>55506-0000</v>
      </c>
      <c r="D4379" s="64" t="s">
        <v>5374</v>
      </c>
      <c r="E4379" s="64" t="s">
        <v>3831</v>
      </c>
      <c r="F4379" s="64" t="s">
        <v>230</v>
      </c>
      <c r="G4379" s="64" t="s">
        <v>3818</v>
      </c>
      <c r="H4379" s="64" t="s">
        <v>3819</v>
      </c>
      <c r="I4379" s="64" t="s">
        <v>3832</v>
      </c>
      <c r="J4379" s="67">
        <v>-1041.45</v>
      </c>
      <c r="K4379" s="62">
        <v>48839.59</v>
      </c>
      <c r="L4379" s="33" t="e">
        <f>HLOOKUP(B4379,#REF!,1,0)</f>
        <v>#REF!</v>
      </c>
      <c r="M4379" s="33" t="str">
        <f t="shared" si="275"/>
        <v>P&amp;L</v>
      </c>
    </row>
    <row r="4380" spans="1:13" s="33" customFormat="true" ht="12.75" customHeight="true">
      <c r="A4380" s="33" t="str">
        <f t="shared" si="272"/>
        <v>DOL - PM Expenses</v>
      </c>
      <c r="B4380" s="33" t="str">
        <f t="shared" si="273"/>
        <v>DOL</v>
      </c>
      <c r="C4380" s="33" t="str">
        <f t="shared" si="274"/>
        <v>55507-0000</v>
      </c>
      <c r="D4380" s="64" t="s">
        <v>5375</v>
      </c>
      <c r="E4380" s="64" t="s">
        <v>3834</v>
      </c>
      <c r="F4380" s="64" t="s">
        <v>230</v>
      </c>
      <c r="G4380" s="64" t="s">
        <v>3818</v>
      </c>
      <c r="H4380" s="64" t="s">
        <v>3819</v>
      </c>
      <c r="I4380" s="64" t="s">
        <v>3835</v>
      </c>
      <c r="J4380" s="67">
        <v>38.37</v>
      </c>
      <c r="K4380" s="62">
        <v>468.37</v>
      </c>
      <c r="L4380" s="33" t="e">
        <f>HLOOKUP(B4380,#REF!,1,0)</f>
        <v>#REF!</v>
      </c>
      <c r="M4380" s="33" t="str">
        <f t="shared" si="275"/>
        <v>P&amp;L</v>
      </c>
    </row>
    <row r="4381" spans="1:13" s="33" customFormat="true" ht="12.75" customHeight="true">
      <c r="A4381" s="33" t="str">
        <f t="shared" si="272"/>
        <v>DOL - CGS</v>
      </c>
      <c r="B4381" s="33" t="str">
        <f t="shared" si="273"/>
        <v>DOL</v>
      </c>
      <c r="C4381" s="33" t="str">
        <f t="shared" si="274"/>
        <v>60001-0000</v>
      </c>
      <c r="D4381" s="64" t="s">
        <v>5376</v>
      </c>
      <c r="E4381" s="64" t="s">
        <v>4192</v>
      </c>
      <c r="F4381" s="64" t="s">
        <v>230</v>
      </c>
      <c r="G4381" s="64" t="s">
        <v>3838</v>
      </c>
      <c r="H4381" s="64" t="s">
        <v>1875</v>
      </c>
      <c r="I4381" s="64" t="s">
        <v>4193</v>
      </c>
      <c r="J4381" s="67">
        <v>0</v>
      </c>
      <c r="K4381" s="62">
        <v>4694.36</v>
      </c>
      <c r="L4381" s="33" t="e">
        <f>HLOOKUP(B4381,#REF!,1,0)</f>
        <v>#REF!</v>
      </c>
      <c r="M4381" s="33" t="str">
        <f t="shared" si="275"/>
        <v>P&amp;L</v>
      </c>
    </row>
    <row r="4382" spans="1:13" s="33" customFormat="true" ht="12.75" customHeight="true">
      <c r="A4382" s="33" t="str">
        <f t="shared" si="272"/>
        <v>DOL - CGS</v>
      </c>
      <c r="B4382" s="33" t="str">
        <f t="shared" si="273"/>
        <v>DOL</v>
      </c>
      <c r="C4382" s="33" t="str">
        <f t="shared" si="274"/>
        <v>60002-0000</v>
      </c>
      <c r="D4382" s="64" t="s">
        <v>5377</v>
      </c>
      <c r="E4382" s="64" t="s">
        <v>3837</v>
      </c>
      <c r="F4382" s="64" t="s">
        <v>230</v>
      </c>
      <c r="G4382" s="64" t="s">
        <v>3838</v>
      </c>
      <c r="H4382" s="64" t="s">
        <v>1875</v>
      </c>
      <c r="I4382" s="64" t="s">
        <v>3839</v>
      </c>
      <c r="J4382" s="67">
        <v>76.51</v>
      </c>
      <c r="K4382" s="62">
        <v>820.31</v>
      </c>
      <c r="L4382" s="33" t="e">
        <f>HLOOKUP(B4382,#REF!,1,0)</f>
        <v>#REF!</v>
      </c>
      <c r="M4382" s="33" t="str">
        <f t="shared" si="275"/>
        <v>P&amp;L</v>
      </c>
    </row>
    <row r="4383" spans="1:13" s="33" customFormat="true" ht="12.75" customHeight="true">
      <c r="A4383" s="33" t="str">
        <f t="shared" si="272"/>
        <v>DOL - CGS</v>
      </c>
      <c r="B4383" s="33" t="str">
        <f t="shared" si="273"/>
        <v>DOL</v>
      </c>
      <c r="C4383" s="33" t="str">
        <f t="shared" si="274"/>
        <v>60005-0000</v>
      </c>
      <c r="D4383" s="64" t="s">
        <v>5378</v>
      </c>
      <c r="E4383" s="64" t="s">
        <v>3841</v>
      </c>
      <c r="F4383" s="64" t="s">
        <v>230</v>
      </c>
      <c r="G4383" s="64" t="s">
        <v>3838</v>
      </c>
      <c r="H4383" s="64" t="s">
        <v>1875</v>
      </c>
      <c r="I4383" s="64" t="s">
        <v>3842</v>
      </c>
      <c r="J4383" s="67">
        <v>0</v>
      </c>
      <c r="K4383" s="62">
        <v>19289.86</v>
      </c>
      <c r="L4383" s="33" t="e">
        <f>HLOOKUP(B4383,#REF!,1,0)</f>
        <v>#REF!</v>
      </c>
      <c r="M4383" s="33" t="str">
        <f t="shared" si="275"/>
        <v>P&amp;L</v>
      </c>
    </row>
    <row r="4384" spans="1:13" s="33" customFormat="true" ht="12.75" customHeight="true">
      <c r="A4384" s="33" t="str">
        <f t="shared" si="272"/>
        <v>DOL - Interest Expense</v>
      </c>
      <c r="B4384" s="33" t="str">
        <f t="shared" si="273"/>
        <v>DOL</v>
      </c>
      <c r="C4384" s="33" t="str">
        <f t="shared" si="274"/>
        <v>60006-0000</v>
      </c>
      <c r="D4384" s="64" t="s">
        <v>5379</v>
      </c>
      <c r="E4384" s="64" t="s">
        <v>3325</v>
      </c>
      <c r="F4384" s="64" t="s">
        <v>230</v>
      </c>
      <c r="G4384" s="64" t="s">
        <v>3844</v>
      </c>
      <c r="H4384" s="64" t="s">
        <v>3327</v>
      </c>
      <c r="I4384" s="64" t="s">
        <v>3328</v>
      </c>
      <c r="J4384" s="67">
        <v>14982.36</v>
      </c>
      <c r="K4384" s="62">
        <v>151324.84</v>
      </c>
      <c r="L4384" s="33" t="e">
        <f>HLOOKUP(B4384,#REF!,1,0)</f>
        <v>#REF!</v>
      </c>
      <c r="M4384" s="33" t="str">
        <f t="shared" si="275"/>
        <v>P&amp;L</v>
      </c>
    </row>
    <row r="4385" spans="1:13" s="33" customFormat="true" ht="12.75" customHeight="true">
      <c r="A4385" s="33" t="str">
        <f t="shared" si="272"/>
        <v>DOL - CGS</v>
      </c>
      <c r="B4385" s="33" t="str">
        <f t="shared" si="273"/>
        <v>DOL</v>
      </c>
      <c r="C4385" s="33" t="str">
        <f t="shared" si="274"/>
        <v>60007-0000</v>
      </c>
      <c r="D4385" s="64" t="s">
        <v>5380</v>
      </c>
      <c r="E4385" s="64" t="s">
        <v>3846</v>
      </c>
      <c r="F4385" s="64" t="s">
        <v>230</v>
      </c>
      <c r="G4385" s="64" t="s">
        <v>3838</v>
      </c>
      <c r="H4385" s="64" t="s">
        <v>1875</v>
      </c>
      <c r="I4385" s="64" t="s">
        <v>3847</v>
      </c>
      <c r="J4385" s="67">
        <v>40000</v>
      </c>
      <c r="K4385" s="62">
        <v>40801</v>
      </c>
      <c r="L4385" s="33" t="e">
        <f>HLOOKUP(B4385,#REF!,1,0)</f>
        <v>#REF!</v>
      </c>
      <c r="M4385" s="33" t="str">
        <f t="shared" si="275"/>
        <v>P&amp;L</v>
      </c>
    </row>
    <row r="4386" spans="1:13" s="33" customFormat="true" ht="12.75" customHeight="true">
      <c r="A4386" s="33" t="str">
        <f t="shared" si="272"/>
        <v>DOL - CGS</v>
      </c>
      <c r="B4386" s="33" t="str">
        <f t="shared" si="273"/>
        <v>DOL</v>
      </c>
      <c r="C4386" s="33" t="str">
        <f t="shared" si="274"/>
        <v>60011-0000</v>
      </c>
      <c r="D4386" s="64" t="s">
        <v>5381</v>
      </c>
      <c r="E4386" s="64" t="s">
        <v>4199</v>
      </c>
      <c r="F4386" s="64" t="s">
        <v>230</v>
      </c>
      <c r="G4386" s="64" t="s">
        <v>3838</v>
      </c>
      <c r="H4386" s="64" t="s">
        <v>1875</v>
      </c>
      <c r="I4386" s="64" t="s">
        <v>4200</v>
      </c>
      <c r="J4386" s="67">
        <v>0</v>
      </c>
      <c r="K4386" s="62">
        <v>3699.8</v>
      </c>
      <c r="L4386" s="33" t="e">
        <f>HLOOKUP(B4386,#REF!,1,0)</f>
        <v>#REF!</v>
      </c>
      <c r="M4386" s="33" t="str">
        <f t="shared" si="275"/>
        <v>P&amp;L</v>
      </c>
    </row>
    <row r="4387" spans="1:13" s="33" customFormat="true" ht="12.75" customHeight="true">
      <c r="A4387" s="33" t="str">
        <f t="shared" si="272"/>
        <v>DOL - CGS</v>
      </c>
      <c r="B4387" s="33" t="str">
        <f t="shared" si="273"/>
        <v>DOL</v>
      </c>
      <c r="C4387" s="33" t="str">
        <f t="shared" si="274"/>
        <v>60012-0000</v>
      </c>
      <c r="D4387" s="64" t="s">
        <v>5382</v>
      </c>
      <c r="E4387" s="64" t="s">
        <v>3852</v>
      </c>
      <c r="F4387" s="64" t="s">
        <v>230</v>
      </c>
      <c r="G4387" s="64" t="s">
        <v>3838</v>
      </c>
      <c r="H4387" s="64" t="s">
        <v>1875</v>
      </c>
      <c r="I4387" s="64" t="s">
        <v>3853</v>
      </c>
      <c r="J4387" s="67">
        <v>0</v>
      </c>
      <c r="K4387" s="62">
        <v>51419.6</v>
      </c>
      <c r="L4387" s="33" t="e">
        <f>HLOOKUP(B4387,#REF!,1,0)</f>
        <v>#REF!</v>
      </c>
      <c r="M4387" s="33" t="str">
        <f t="shared" si="275"/>
        <v>P&amp;L</v>
      </c>
    </row>
    <row r="4388" spans="1:13" s="33" customFormat="true" ht="12.75" customHeight="true">
      <c r="A4388" s="33" t="str">
        <f t="shared" si="272"/>
        <v>DOL - CGS</v>
      </c>
      <c r="B4388" s="33" t="str">
        <f t="shared" si="273"/>
        <v>DOL</v>
      </c>
      <c r="C4388" s="33" t="str">
        <f t="shared" si="274"/>
        <v>60014-0000</v>
      </c>
      <c r="D4388" s="64" t="s">
        <v>5383</v>
      </c>
      <c r="E4388" s="64" t="s">
        <v>3855</v>
      </c>
      <c r="F4388" s="64" t="s">
        <v>230</v>
      </c>
      <c r="G4388" s="64" t="s">
        <v>3838</v>
      </c>
      <c r="H4388" s="64" t="s">
        <v>1875</v>
      </c>
      <c r="I4388" s="64" t="s">
        <v>3856</v>
      </c>
      <c r="J4388" s="67">
        <v>4288.86</v>
      </c>
      <c r="K4388" s="62">
        <v>40264.37</v>
      </c>
      <c r="L4388" s="33" t="e">
        <f>HLOOKUP(B4388,#REF!,1,0)</f>
        <v>#REF!</v>
      </c>
      <c r="M4388" s="33" t="str">
        <f t="shared" si="275"/>
        <v>P&amp;L</v>
      </c>
    </row>
    <row r="4389" spans="1:13" s="33" customFormat="true" ht="12.75" customHeight="true">
      <c r="A4389" s="33" t="str">
        <f t="shared" si="272"/>
        <v>DOL - CGS</v>
      </c>
      <c r="B4389" s="33" t="str">
        <f t="shared" si="273"/>
        <v>DOL</v>
      </c>
      <c r="C4389" s="33" t="str">
        <f t="shared" si="274"/>
        <v>60015-0000</v>
      </c>
      <c r="D4389" s="64" t="s">
        <v>5384</v>
      </c>
      <c r="E4389" s="64" t="s">
        <v>3858</v>
      </c>
      <c r="F4389" s="64" t="s">
        <v>230</v>
      </c>
      <c r="G4389" s="64" t="s">
        <v>3838</v>
      </c>
      <c r="H4389" s="64" t="s">
        <v>1875</v>
      </c>
      <c r="I4389" s="64" t="s">
        <v>3859</v>
      </c>
      <c r="J4389" s="67">
        <v>0</v>
      </c>
      <c r="K4389" s="62">
        <v>833.24</v>
      </c>
      <c r="L4389" s="33" t="e">
        <f>HLOOKUP(B4389,#REF!,1,0)</f>
        <v>#REF!</v>
      </c>
      <c r="M4389" s="33" t="str">
        <f t="shared" si="275"/>
        <v>P&amp;L</v>
      </c>
    </row>
    <row r="4390" spans="1:13" s="33" customFormat="true" ht="12.75" customHeight="true">
      <c r="A4390" s="33" t="str">
        <f t="shared" si="272"/>
        <v>DOL - Other Expenses</v>
      </c>
      <c r="B4390" s="33" t="str">
        <f t="shared" si="273"/>
        <v>DOL</v>
      </c>
      <c r="C4390" s="33" t="str">
        <f t="shared" si="274"/>
        <v>61018-0000</v>
      </c>
      <c r="D4390" s="64" t="s">
        <v>5385</v>
      </c>
      <c r="E4390" s="64" t="s">
        <v>3864</v>
      </c>
      <c r="F4390" s="64" t="s">
        <v>230</v>
      </c>
      <c r="G4390" s="64" t="s">
        <v>3838</v>
      </c>
      <c r="H4390" s="64" t="s">
        <v>3865</v>
      </c>
      <c r="I4390" s="64" t="s">
        <v>3866</v>
      </c>
      <c r="J4390" s="67">
        <v>758.61</v>
      </c>
      <c r="K4390" s="62">
        <v>2519.87</v>
      </c>
      <c r="L4390" s="33" t="e">
        <f>HLOOKUP(B4390,#REF!,1,0)</f>
        <v>#REF!</v>
      </c>
      <c r="M4390" s="33" t="str">
        <f t="shared" si="275"/>
        <v>P&amp;L</v>
      </c>
    </row>
    <row r="4391" spans="1:13" s="33" customFormat="true" ht="12.75" customHeight="true">
      <c r="A4391" s="33" t="str">
        <f t="shared" si="272"/>
        <v>DOL - Income Tax</v>
      </c>
      <c r="B4391" s="33" t="str">
        <f t="shared" si="273"/>
        <v>DOL</v>
      </c>
      <c r="C4391" s="33" t="str">
        <f t="shared" si="274"/>
        <v>61019-0000</v>
      </c>
      <c r="D4391" s="64" t="s">
        <v>5386</v>
      </c>
      <c r="E4391" s="64" t="s">
        <v>4041</v>
      </c>
      <c r="F4391" s="64" t="s">
        <v>230</v>
      </c>
      <c r="G4391" s="64" t="s">
        <v>3844</v>
      </c>
      <c r="H4391" s="64" t="s">
        <v>3378</v>
      </c>
      <c r="I4391" s="64" t="s">
        <v>4042</v>
      </c>
      <c r="J4391" s="67">
        <v>0</v>
      </c>
      <c r="K4391" s="62">
        <v>3300</v>
      </c>
      <c r="L4391" s="33" t="e">
        <f>HLOOKUP(B4391,#REF!,1,0)</f>
        <v>#REF!</v>
      </c>
      <c r="M4391" s="33" t="str">
        <f t="shared" si="275"/>
        <v>P&amp;L</v>
      </c>
    </row>
    <row r="4392" spans="1:13" s="33" customFormat="true" ht="12.75" customHeight="true">
      <c r="A4392" s="33" t="str">
        <f t="shared" si="272"/>
        <v>DPH - Intercompany</v>
      </c>
      <c r="B4392" s="33" t="str">
        <f t="shared" si="273"/>
        <v>DPH</v>
      </c>
      <c r="C4392" s="33" t="str">
        <f t="shared" si="274"/>
        <v>11350-0000</v>
      </c>
      <c r="D4392" s="64" t="s">
        <v>5387</v>
      </c>
      <c r="E4392" s="64" t="s">
        <v>5388</v>
      </c>
      <c r="F4392" s="64" t="s">
        <v>230</v>
      </c>
      <c r="G4392" s="64" t="s">
        <v>16</v>
      </c>
      <c r="H4392" s="64" t="s">
        <v>39</v>
      </c>
      <c r="I4392" s="64" t="s">
        <v>40</v>
      </c>
      <c r="J4392" s="67">
        <v>0</v>
      </c>
      <c r="K4392" s="62">
        <v>0</v>
      </c>
      <c r="L4392" s="33" t="e">
        <f>HLOOKUP(B4392,#REF!,1,0)</f>
        <v>#REF!</v>
      </c>
      <c r="M4392" s="33" t="str">
        <f t="shared" si="275"/>
        <v>BS</v>
      </c>
    </row>
    <row r="4393" spans="1:13" s="33" customFormat="true" ht="12.75" customHeight="true">
      <c r="A4393" s="33" t="str">
        <f t="shared" si="272"/>
        <v>DPH - Intercompany</v>
      </c>
      <c r="B4393" s="33" t="str">
        <f t="shared" si="273"/>
        <v>DPH</v>
      </c>
      <c r="C4393" s="33" t="str">
        <f t="shared" si="274"/>
        <v>11351-0000</v>
      </c>
      <c r="D4393" s="64" t="s">
        <v>5389</v>
      </c>
      <c r="E4393" s="64" t="s">
        <v>5390</v>
      </c>
      <c r="F4393" s="64" t="s">
        <v>230</v>
      </c>
      <c r="G4393" s="64" t="s">
        <v>16</v>
      </c>
      <c r="H4393" s="64" t="s">
        <v>39</v>
      </c>
      <c r="I4393" s="64" t="s">
        <v>40</v>
      </c>
      <c r="J4393" s="67">
        <v>0</v>
      </c>
      <c r="K4393" s="62">
        <v>2257199.83</v>
      </c>
      <c r="L4393" s="33" t="e">
        <f>HLOOKUP(B4393,#REF!,1,0)</f>
        <v>#REF!</v>
      </c>
      <c r="M4393" s="33" t="str">
        <f t="shared" si="275"/>
        <v>BS</v>
      </c>
    </row>
    <row r="4394" spans="1:13" s="33" customFormat="true" ht="12.75" customHeight="true">
      <c r="A4394" s="33" t="str">
        <f t="shared" si="272"/>
        <v>DPH - Intercompany</v>
      </c>
      <c r="B4394" s="33" t="str">
        <f t="shared" si="273"/>
        <v>DPH</v>
      </c>
      <c r="C4394" s="33" t="str">
        <f t="shared" si="274"/>
        <v>11358-0000</v>
      </c>
      <c r="D4394" s="64" t="s">
        <v>5391</v>
      </c>
      <c r="E4394" s="64" t="s">
        <v>5392</v>
      </c>
      <c r="F4394" s="64" t="s">
        <v>230</v>
      </c>
      <c r="G4394" s="64" t="s">
        <v>16</v>
      </c>
      <c r="H4394" s="64" t="s">
        <v>39</v>
      </c>
      <c r="I4394" s="64" t="s">
        <v>40</v>
      </c>
      <c r="J4394" s="67">
        <v>0</v>
      </c>
      <c r="K4394" s="62">
        <v>2494789.76</v>
      </c>
      <c r="L4394" s="33" t="e">
        <f>HLOOKUP(B4394,#REF!,1,0)</f>
        <v>#REF!</v>
      </c>
      <c r="M4394" s="33" t="str">
        <f t="shared" si="275"/>
        <v>BS</v>
      </c>
    </row>
    <row r="4395" spans="1:13" s="33" customFormat="true" ht="12.75" customHeight="true">
      <c r="A4395" s="33" t="str">
        <f t="shared" si="272"/>
        <v>DPH - Revenue</v>
      </c>
      <c r="B4395" s="33" t="str">
        <f t="shared" si="273"/>
        <v>DPH</v>
      </c>
      <c r="C4395" s="33" t="str">
        <f t="shared" si="274"/>
        <v>41122-0000</v>
      </c>
      <c r="D4395" s="64" t="s">
        <v>5393</v>
      </c>
      <c r="E4395" s="64" t="s">
        <v>3700</v>
      </c>
      <c r="F4395" s="64" t="s">
        <v>230</v>
      </c>
      <c r="G4395" s="64" t="s">
        <v>3694</v>
      </c>
      <c r="H4395" s="64" t="s">
        <v>2871</v>
      </c>
      <c r="I4395" s="64" t="s">
        <v>3701</v>
      </c>
      <c r="J4395" s="67">
        <v>0</v>
      </c>
      <c r="K4395" s="62">
        <v>-12302</v>
      </c>
      <c r="L4395" s="33" t="e">
        <f>HLOOKUP(B4395,#REF!,1,0)</f>
        <v>#REF!</v>
      </c>
      <c r="M4395" s="33" t="str">
        <f t="shared" si="275"/>
        <v>P&amp;L</v>
      </c>
    </row>
    <row r="4396" spans="1:13" s="33" customFormat="true" ht="12.75" customHeight="true">
      <c r="A4396" s="33" t="str">
        <f t="shared" si="272"/>
        <v>DPH - Revenue</v>
      </c>
      <c r="B4396" s="33" t="str">
        <f t="shared" si="273"/>
        <v>DPH</v>
      </c>
      <c r="C4396" s="33" t="str">
        <f t="shared" si="274"/>
        <v>41160-0000</v>
      </c>
      <c r="D4396" s="64" t="s">
        <v>5394</v>
      </c>
      <c r="E4396" s="64" t="s">
        <v>3957</v>
      </c>
      <c r="F4396" s="64" t="s">
        <v>230</v>
      </c>
      <c r="G4396" s="64" t="s">
        <v>3694</v>
      </c>
      <c r="H4396" s="64" t="s">
        <v>2871</v>
      </c>
      <c r="I4396" s="64" t="s">
        <v>3701</v>
      </c>
      <c r="J4396" s="67">
        <v>0</v>
      </c>
      <c r="K4396" s="62">
        <v>-6250</v>
      </c>
      <c r="L4396" s="33" t="e">
        <f>HLOOKUP(B4396,#REF!,1,0)</f>
        <v>#REF!</v>
      </c>
      <c r="M4396" s="33" t="str">
        <f t="shared" si="275"/>
        <v>P&amp;L</v>
      </c>
    </row>
    <row r="4397" spans="1:13" s="33" customFormat="true" ht="12.75" customHeight="true">
      <c r="A4397" s="33" t="str">
        <f t="shared" si="272"/>
        <v>DPH - Revenue</v>
      </c>
      <c r="B4397" s="33" t="str">
        <f t="shared" si="273"/>
        <v>DPH</v>
      </c>
      <c r="C4397" s="33" t="str">
        <f t="shared" si="274"/>
        <v>41999-0000</v>
      </c>
      <c r="D4397" s="64" t="s">
        <v>5395</v>
      </c>
      <c r="E4397" s="64" t="s">
        <v>3712</v>
      </c>
      <c r="F4397" s="64" t="s">
        <v>230</v>
      </c>
      <c r="G4397" s="64" t="s">
        <v>3713</v>
      </c>
      <c r="H4397" s="64" t="s">
        <v>2871</v>
      </c>
      <c r="I4397" s="64" t="s">
        <v>3714</v>
      </c>
      <c r="J4397" s="67">
        <v>0</v>
      </c>
      <c r="K4397" s="62">
        <v>18552</v>
      </c>
      <c r="L4397" s="33" t="e">
        <f>HLOOKUP(B4397,#REF!,1,0)</f>
        <v>#REF!</v>
      </c>
      <c r="M4397" s="33" t="str">
        <f t="shared" si="275"/>
        <v>P&amp;L</v>
      </c>
    </row>
    <row r="4398" spans="1:13" s="33" customFormat="true" ht="12.75" customHeight="true">
      <c r="A4398" s="33" t="str">
        <f t="shared" si="272"/>
        <v>DPH - Revenue</v>
      </c>
      <c r="B4398" s="33" t="str">
        <f t="shared" si="273"/>
        <v>DPH</v>
      </c>
      <c r="C4398" s="33" t="str">
        <f t="shared" si="274"/>
        <v>47400-0000</v>
      </c>
      <c r="D4398" s="64" t="s">
        <v>5396</v>
      </c>
      <c r="E4398" s="64" t="s">
        <v>3716</v>
      </c>
      <c r="F4398" s="64" t="s">
        <v>230</v>
      </c>
      <c r="G4398" s="64" t="s">
        <v>3717</v>
      </c>
      <c r="H4398" s="64" t="s">
        <v>2871</v>
      </c>
      <c r="I4398" s="64" t="s">
        <v>3718</v>
      </c>
      <c r="J4398" s="67">
        <v>0</v>
      </c>
      <c r="K4398" s="62">
        <v>-18552</v>
      </c>
      <c r="L4398" s="33" t="e">
        <f>HLOOKUP(B4398,#REF!,1,0)</f>
        <v>#REF!</v>
      </c>
      <c r="M4398" s="33" t="str">
        <f t="shared" si="275"/>
        <v>P&amp;L</v>
      </c>
    </row>
    <row r="4399" spans="1:13" s="33" customFormat="true" ht="12.75" customHeight="true">
      <c r="A4399" s="33" t="str">
        <f t="shared" si="272"/>
        <v>DPH - Revenue</v>
      </c>
      <c r="B4399" s="33" t="str">
        <f t="shared" si="273"/>
        <v>DPH</v>
      </c>
      <c r="C4399" s="33" t="str">
        <f t="shared" si="274"/>
        <v>47430-0000</v>
      </c>
      <c r="D4399" s="64" t="s">
        <v>5397</v>
      </c>
      <c r="E4399" s="64" t="s">
        <v>4053</v>
      </c>
      <c r="F4399" s="64" t="s">
        <v>230</v>
      </c>
      <c r="G4399" s="64" t="s">
        <v>3717</v>
      </c>
      <c r="H4399" s="64" t="s">
        <v>2871</v>
      </c>
      <c r="I4399" s="64" t="s">
        <v>4054</v>
      </c>
      <c r="J4399" s="67">
        <v>0</v>
      </c>
      <c r="K4399" s="62">
        <v>-204.08</v>
      </c>
      <c r="L4399" s="33" t="e">
        <f>HLOOKUP(B4399,#REF!,1,0)</f>
        <v>#REF!</v>
      </c>
      <c r="M4399" s="33" t="str">
        <f t="shared" si="275"/>
        <v>P&amp;L</v>
      </c>
    </row>
    <row r="4400" spans="1:13" s="33" customFormat="true" ht="12.75" customHeight="true">
      <c r="A4400" s="33" t="str">
        <f t="shared" si="272"/>
        <v>DPH - CGS</v>
      </c>
      <c r="B4400" s="33" t="str">
        <f t="shared" si="273"/>
        <v>DPH</v>
      </c>
      <c r="C4400" s="33" t="str">
        <f t="shared" si="274"/>
        <v>51007-0000</v>
      </c>
      <c r="D4400" s="64" t="s">
        <v>5398</v>
      </c>
      <c r="E4400" s="64" t="s">
        <v>3972</v>
      </c>
      <c r="F4400" s="64" t="s">
        <v>230</v>
      </c>
      <c r="G4400" s="64" t="s">
        <v>3740</v>
      </c>
      <c r="H4400" s="64" t="s">
        <v>1875</v>
      </c>
      <c r="I4400" s="64" t="s">
        <v>3973</v>
      </c>
      <c r="J4400" s="67">
        <v>0</v>
      </c>
      <c r="K4400" s="62">
        <v>269.32</v>
      </c>
      <c r="L4400" s="33" t="e">
        <f>HLOOKUP(B4400,#REF!,1,0)</f>
        <v>#REF!</v>
      </c>
      <c r="M4400" s="33" t="str">
        <f t="shared" si="275"/>
        <v>P&amp;L</v>
      </c>
    </row>
    <row r="4401" spans="1:13" s="33" customFormat="true" ht="12.75" customHeight="true">
      <c r="A4401" s="33" t="str">
        <f t="shared" si="272"/>
        <v>DPH - CGS</v>
      </c>
      <c r="B4401" s="33" t="str">
        <f t="shared" si="273"/>
        <v>DPH</v>
      </c>
      <c r="C4401" s="33" t="str">
        <f t="shared" si="274"/>
        <v>51011-0000</v>
      </c>
      <c r="D4401" s="64" t="s">
        <v>5399</v>
      </c>
      <c r="E4401" s="64" t="s">
        <v>3749</v>
      </c>
      <c r="F4401" s="64" t="s">
        <v>230</v>
      </c>
      <c r="G4401" s="64" t="s">
        <v>3740</v>
      </c>
      <c r="H4401" s="64" t="s">
        <v>1875</v>
      </c>
      <c r="I4401" s="64" t="s">
        <v>3750</v>
      </c>
      <c r="J4401" s="67">
        <v>0</v>
      </c>
      <c r="K4401" s="62">
        <v>650</v>
      </c>
      <c r="L4401" s="33" t="e">
        <f>HLOOKUP(B4401,#REF!,1,0)</f>
        <v>#REF!</v>
      </c>
      <c r="M4401" s="33" t="str">
        <f t="shared" si="275"/>
        <v>P&amp;L</v>
      </c>
    </row>
    <row r="4402" spans="1:13" s="33" customFormat="true" ht="12.75" customHeight="true">
      <c r="A4402" s="33" t="str">
        <f t="shared" si="272"/>
        <v>DPH - CGS</v>
      </c>
      <c r="B4402" s="33" t="str">
        <f t="shared" si="273"/>
        <v>DPH</v>
      </c>
      <c r="C4402" s="33" t="str">
        <f t="shared" si="274"/>
        <v>51012-0000</v>
      </c>
      <c r="D4402" s="64" t="s">
        <v>5400</v>
      </c>
      <c r="E4402" s="64" t="s">
        <v>3752</v>
      </c>
      <c r="F4402" s="64" t="s">
        <v>230</v>
      </c>
      <c r="G4402" s="64" t="s">
        <v>3740</v>
      </c>
      <c r="H4402" s="64" t="s">
        <v>1875</v>
      </c>
      <c r="I4402" s="64" t="s">
        <v>3753</v>
      </c>
      <c r="J4402" s="67">
        <v>0</v>
      </c>
      <c r="K4402" s="62">
        <v>0</v>
      </c>
      <c r="L4402" s="33" t="e">
        <f>HLOOKUP(B4402,#REF!,1,0)</f>
        <v>#REF!</v>
      </c>
      <c r="M4402" s="33" t="str">
        <f t="shared" si="275"/>
        <v>P&amp;L</v>
      </c>
    </row>
    <row r="4403" spans="1:13" s="33" customFormat="true" ht="12.75" customHeight="true">
      <c r="A4403" s="33" t="str">
        <f t="shared" si="272"/>
        <v>DPH - CGS</v>
      </c>
      <c r="B4403" s="33" t="str">
        <f t="shared" si="273"/>
        <v>DPH</v>
      </c>
      <c r="C4403" s="33" t="str">
        <f t="shared" si="274"/>
        <v>51015-0000</v>
      </c>
      <c r="D4403" s="64" t="s">
        <v>5401</v>
      </c>
      <c r="E4403" s="64" t="s">
        <v>3755</v>
      </c>
      <c r="F4403" s="64" t="s">
        <v>230</v>
      </c>
      <c r="G4403" s="64" t="s">
        <v>3740</v>
      </c>
      <c r="H4403" s="64" t="s">
        <v>1875</v>
      </c>
      <c r="I4403" s="64" t="s">
        <v>3756</v>
      </c>
      <c r="J4403" s="67">
        <v>0</v>
      </c>
      <c r="K4403" s="62">
        <v>0</v>
      </c>
      <c r="L4403" s="33" t="e">
        <f>HLOOKUP(B4403,#REF!,1,0)</f>
        <v>#REF!</v>
      </c>
      <c r="M4403" s="33" t="str">
        <f t="shared" si="275"/>
        <v>P&amp;L</v>
      </c>
    </row>
    <row r="4404" spans="1:13" s="33" customFormat="true" ht="12.75" customHeight="true">
      <c r="A4404" s="33" t="str">
        <f t="shared" si="272"/>
        <v>DPH - CGS</v>
      </c>
      <c r="B4404" s="33" t="str">
        <f t="shared" si="273"/>
        <v>DPH</v>
      </c>
      <c r="C4404" s="33" t="str">
        <f t="shared" si="274"/>
        <v>53001-0000</v>
      </c>
      <c r="D4404" s="64" t="s">
        <v>5402</v>
      </c>
      <c r="E4404" s="64" t="s">
        <v>3781</v>
      </c>
      <c r="F4404" s="64" t="s">
        <v>230</v>
      </c>
      <c r="G4404" s="64" t="s">
        <v>3160</v>
      </c>
      <c r="H4404" s="64" t="s">
        <v>1875</v>
      </c>
      <c r="I4404" s="64" t="s">
        <v>3782</v>
      </c>
      <c r="J4404" s="67">
        <v>0</v>
      </c>
      <c r="K4404" s="62">
        <v>0</v>
      </c>
      <c r="L4404" s="33" t="e">
        <f>HLOOKUP(B4404,#REF!,1,0)</f>
        <v>#REF!</v>
      </c>
      <c r="M4404" s="33" t="str">
        <f t="shared" si="275"/>
        <v>P&amp;L</v>
      </c>
    </row>
    <row r="4405" spans="1:13" s="33" customFormat="true" ht="12.75" customHeight="true">
      <c r="A4405" s="33" t="str">
        <f t="shared" si="272"/>
        <v>DPH - CGS</v>
      </c>
      <c r="B4405" s="33" t="str">
        <f t="shared" si="273"/>
        <v>DPH</v>
      </c>
      <c r="C4405" s="33" t="str">
        <f t="shared" si="274"/>
        <v>53002-0000</v>
      </c>
      <c r="D4405" s="64" t="s">
        <v>5403</v>
      </c>
      <c r="E4405" s="64" t="s">
        <v>3784</v>
      </c>
      <c r="F4405" s="64" t="s">
        <v>230</v>
      </c>
      <c r="G4405" s="64" t="s">
        <v>3160</v>
      </c>
      <c r="H4405" s="64" t="s">
        <v>1875</v>
      </c>
      <c r="I4405" s="64" t="s">
        <v>3785</v>
      </c>
      <c r="J4405" s="67">
        <v>0</v>
      </c>
      <c r="K4405" s="62">
        <v>-467.65</v>
      </c>
      <c r="L4405" s="33" t="e">
        <f>HLOOKUP(B4405,#REF!,1,0)</f>
        <v>#REF!</v>
      </c>
      <c r="M4405" s="33" t="str">
        <f t="shared" si="275"/>
        <v>P&amp;L</v>
      </c>
    </row>
    <row r="4406" spans="1:13" s="33" customFormat="true" ht="12.75" customHeight="true">
      <c r="A4406" s="33" t="str">
        <f t="shared" si="272"/>
        <v>DPH - CGS</v>
      </c>
      <c r="B4406" s="33" t="str">
        <f t="shared" si="273"/>
        <v>DPH</v>
      </c>
      <c r="C4406" s="33" t="str">
        <f t="shared" si="274"/>
        <v>53004-0000</v>
      </c>
      <c r="D4406" s="64" t="s">
        <v>5404</v>
      </c>
      <c r="E4406" s="64" t="s">
        <v>3790</v>
      </c>
      <c r="F4406" s="64" t="s">
        <v>230</v>
      </c>
      <c r="G4406" s="64" t="s">
        <v>3160</v>
      </c>
      <c r="H4406" s="64" t="s">
        <v>1875</v>
      </c>
      <c r="I4406" s="64" t="s">
        <v>3791</v>
      </c>
      <c r="J4406" s="67">
        <v>0</v>
      </c>
      <c r="K4406" s="62">
        <v>-6.56</v>
      </c>
      <c r="L4406" s="33" t="e">
        <f>HLOOKUP(B4406,#REF!,1,0)</f>
        <v>#REF!</v>
      </c>
      <c r="M4406" s="33" t="str">
        <f t="shared" si="275"/>
        <v>P&amp;L</v>
      </c>
    </row>
    <row r="4407" spans="1:13" s="33" customFormat="true" ht="12.75" customHeight="true">
      <c r="A4407" s="33" t="str">
        <f t="shared" si="272"/>
        <v>DPH - CGS</v>
      </c>
      <c r="B4407" s="33" t="str">
        <f t="shared" si="273"/>
        <v>DPH</v>
      </c>
      <c r="C4407" s="33" t="str">
        <f t="shared" si="274"/>
        <v>54004-0000</v>
      </c>
      <c r="D4407" s="64" t="s">
        <v>5405</v>
      </c>
      <c r="E4407" s="64" t="s">
        <v>3806</v>
      </c>
      <c r="F4407" s="64" t="s">
        <v>230</v>
      </c>
      <c r="G4407" s="64" t="s">
        <v>3800</v>
      </c>
      <c r="H4407" s="64" t="s">
        <v>1875</v>
      </c>
      <c r="I4407" s="64" t="s">
        <v>3807</v>
      </c>
      <c r="J4407" s="67">
        <v>0</v>
      </c>
      <c r="K4407" s="62">
        <v>-565.71</v>
      </c>
      <c r="L4407" s="33" t="e">
        <f>HLOOKUP(B4407,#REF!,1,0)</f>
        <v>#REF!</v>
      </c>
      <c r="M4407" s="33" t="str">
        <f t="shared" si="275"/>
        <v>P&amp;L</v>
      </c>
    </row>
    <row r="4408" spans="1:13" s="33" customFormat="true" ht="12.75" customHeight="true">
      <c r="A4408" s="33" t="str">
        <f t="shared" si="272"/>
        <v>DPH - CGS</v>
      </c>
      <c r="B4408" s="33" t="str">
        <f t="shared" si="273"/>
        <v>DPH</v>
      </c>
      <c r="C4408" s="33" t="str">
        <f t="shared" si="274"/>
        <v>54005-0000</v>
      </c>
      <c r="D4408" s="64" t="s">
        <v>5406</v>
      </c>
      <c r="E4408" s="64" t="s">
        <v>3809</v>
      </c>
      <c r="F4408" s="64" t="s">
        <v>230</v>
      </c>
      <c r="G4408" s="64" t="s">
        <v>3800</v>
      </c>
      <c r="H4408" s="64" t="s">
        <v>1875</v>
      </c>
      <c r="I4408" s="64" t="s">
        <v>3810</v>
      </c>
      <c r="J4408" s="67">
        <v>0</v>
      </c>
      <c r="K4408" s="62">
        <v>0</v>
      </c>
      <c r="L4408" s="33" t="e">
        <f>HLOOKUP(B4408,#REF!,1,0)</f>
        <v>#REF!</v>
      </c>
      <c r="M4408" s="33" t="str">
        <f t="shared" si="275"/>
        <v>P&amp;L</v>
      </c>
    </row>
    <row r="4409" spans="1:13" s="33" customFormat="true" ht="12.75" customHeight="true">
      <c r="A4409" s="33" t="str">
        <f t="shared" si="272"/>
        <v>DPH - CGS</v>
      </c>
      <c r="B4409" s="33" t="str">
        <f t="shared" si="273"/>
        <v>DPH</v>
      </c>
      <c r="C4409" s="33" t="str">
        <f t="shared" si="274"/>
        <v>54006-0000</v>
      </c>
      <c r="D4409" s="64" t="s">
        <v>5407</v>
      </c>
      <c r="E4409" s="64" t="s">
        <v>3812</v>
      </c>
      <c r="F4409" s="64" t="s">
        <v>230</v>
      </c>
      <c r="G4409" s="64" t="s">
        <v>3800</v>
      </c>
      <c r="H4409" s="64" t="s">
        <v>1875</v>
      </c>
      <c r="I4409" s="64" t="s">
        <v>3003</v>
      </c>
      <c r="J4409" s="67">
        <v>0</v>
      </c>
      <c r="K4409" s="62">
        <v>-69.87</v>
      </c>
      <c r="L4409" s="33" t="e">
        <f>HLOOKUP(B4409,#REF!,1,0)</f>
        <v>#REF!</v>
      </c>
      <c r="M4409" s="33" t="str">
        <f t="shared" si="275"/>
        <v>P&amp;L</v>
      </c>
    </row>
    <row r="4410" spans="1:13" s="33" customFormat="true" ht="12.75" customHeight="true">
      <c r="A4410" s="33" t="str">
        <f t="shared" si="272"/>
        <v>DPH - PM Expenses</v>
      </c>
      <c r="B4410" s="33" t="str">
        <f t="shared" si="273"/>
        <v>DPH</v>
      </c>
      <c r="C4410" s="33" t="str">
        <f t="shared" si="274"/>
        <v>55501-0000</v>
      </c>
      <c r="D4410" s="64" t="s">
        <v>5408</v>
      </c>
      <c r="E4410" s="64" t="s">
        <v>3817</v>
      </c>
      <c r="F4410" s="64" t="s">
        <v>230</v>
      </c>
      <c r="G4410" s="64" t="s">
        <v>3818</v>
      </c>
      <c r="H4410" s="64" t="s">
        <v>3819</v>
      </c>
      <c r="I4410" s="64" t="s">
        <v>3820</v>
      </c>
      <c r="J4410" s="67">
        <v>0</v>
      </c>
      <c r="K4410" s="62">
        <v>81.1</v>
      </c>
      <c r="L4410" s="33" t="e">
        <f>HLOOKUP(B4410,#REF!,1,0)</f>
        <v>#REF!</v>
      </c>
      <c r="M4410" s="33" t="str">
        <f t="shared" si="275"/>
        <v>P&amp;L</v>
      </c>
    </row>
    <row r="4411" spans="1:13" s="33" customFormat="true" ht="12.75" customHeight="true">
      <c r="A4411" s="33" t="str">
        <f t="shared" si="272"/>
        <v>DPH - PM Expenses</v>
      </c>
      <c r="B4411" s="33" t="str">
        <f t="shared" si="273"/>
        <v>DPH</v>
      </c>
      <c r="C4411" s="33" t="str">
        <f t="shared" si="274"/>
        <v>55502-0000</v>
      </c>
      <c r="D4411" s="64" t="s">
        <v>5409</v>
      </c>
      <c r="E4411" s="64" t="s">
        <v>3822</v>
      </c>
      <c r="F4411" s="64" t="s">
        <v>230</v>
      </c>
      <c r="G4411" s="64" t="s">
        <v>3818</v>
      </c>
      <c r="H4411" s="64" t="s">
        <v>3819</v>
      </c>
      <c r="I4411" s="64" t="s">
        <v>3823</v>
      </c>
      <c r="J4411" s="67">
        <v>0</v>
      </c>
      <c r="K4411" s="62">
        <v>850</v>
      </c>
      <c r="L4411" s="33" t="e">
        <f>HLOOKUP(B4411,#REF!,1,0)</f>
        <v>#REF!</v>
      </c>
      <c r="M4411" s="33" t="str">
        <f t="shared" si="275"/>
        <v>P&amp;L</v>
      </c>
    </row>
    <row r="4412" spans="1:13" s="33" customFormat="true" ht="12.75" customHeight="true">
      <c r="A4412" s="33" t="str">
        <f t="shared" si="272"/>
        <v>DPH - CGS</v>
      </c>
      <c r="B4412" s="33" t="str">
        <f t="shared" si="273"/>
        <v>DPH</v>
      </c>
      <c r="C4412" s="33" t="str">
        <f t="shared" si="274"/>
        <v>60002-0000</v>
      </c>
      <c r="D4412" s="64" t="s">
        <v>5410</v>
      </c>
      <c r="E4412" s="64" t="s">
        <v>3837</v>
      </c>
      <c r="F4412" s="64" t="s">
        <v>230</v>
      </c>
      <c r="G4412" s="64" t="s">
        <v>3838</v>
      </c>
      <c r="H4412" s="64" t="s">
        <v>1875</v>
      </c>
      <c r="I4412" s="64" t="s">
        <v>3839</v>
      </c>
      <c r="J4412" s="67">
        <v>0</v>
      </c>
      <c r="K4412" s="62">
        <v>417.32</v>
      </c>
      <c r="L4412" s="33" t="e">
        <f>HLOOKUP(B4412,#REF!,1,0)</f>
        <v>#REF!</v>
      </c>
      <c r="M4412" s="33" t="str">
        <f t="shared" si="275"/>
        <v>P&amp;L</v>
      </c>
    </row>
    <row r="4413" spans="1:13" s="33" customFormat="true" ht="12.75" customHeight="true">
      <c r="A4413" s="33" t="str">
        <f t="shared" si="272"/>
        <v>DPH - CGS</v>
      </c>
      <c r="B4413" s="33" t="str">
        <f t="shared" si="273"/>
        <v>DPH</v>
      </c>
      <c r="C4413" s="33" t="str">
        <f t="shared" si="274"/>
        <v>60005-0000</v>
      </c>
      <c r="D4413" s="64" t="s">
        <v>5411</v>
      </c>
      <c r="E4413" s="64" t="s">
        <v>3841</v>
      </c>
      <c r="F4413" s="64" t="s">
        <v>230</v>
      </c>
      <c r="G4413" s="64" t="s">
        <v>3838</v>
      </c>
      <c r="H4413" s="64" t="s">
        <v>1875</v>
      </c>
      <c r="I4413" s="64" t="s">
        <v>3842</v>
      </c>
      <c r="J4413" s="67">
        <v>0</v>
      </c>
      <c r="K4413" s="62">
        <v>-4249</v>
      </c>
      <c r="L4413" s="33" t="e">
        <f>HLOOKUP(B4413,#REF!,1,0)</f>
        <v>#REF!</v>
      </c>
      <c r="M4413" s="33" t="str">
        <f t="shared" si="275"/>
        <v>P&amp;L</v>
      </c>
    </row>
    <row r="4414" spans="1:13" s="33" customFormat="true" ht="12.75" customHeight="true">
      <c r="A4414" s="33" t="str">
        <f t="shared" si="272"/>
        <v>DPH - Interest Expense</v>
      </c>
      <c r="B4414" s="33" t="str">
        <f t="shared" si="273"/>
        <v>DPH</v>
      </c>
      <c r="C4414" s="33" t="str">
        <f t="shared" si="274"/>
        <v>60006-0000</v>
      </c>
      <c r="D4414" s="64" t="s">
        <v>5412</v>
      </c>
      <c r="E4414" s="64" t="s">
        <v>3325</v>
      </c>
      <c r="F4414" s="64" t="s">
        <v>230</v>
      </c>
      <c r="G4414" s="64" t="s">
        <v>3844</v>
      </c>
      <c r="H4414" s="64" t="s">
        <v>3327</v>
      </c>
      <c r="I4414" s="64" t="s">
        <v>3328</v>
      </c>
      <c r="J4414" s="67">
        <v>0</v>
      </c>
      <c r="K4414" s="62">
        <v>-14162.5</v>
      </c>
      <c r="L4414" s="33" t="e">
        <f>HLOOKUP(B4414,#REF!,1,0)</f>
        <v>#REF!</v>
      </c>
      <c r="M4414" s="33" t="str">
        <f t="shared" si="275"/>
        <v>P&amp;L</v>
      </c>
    </row>
    <row r="4415" spans="1:13" s="33" customFormat="true" ht="12.75" customHeight="true">
      <c r="A4415" s="33" t="str">
        <f t="shared" si="272"/>
        <v>DPH - CGS</v>
      </c>
      <c r="B4415" s="33" t="str">
        <f t="shared" si="273"/>
        <v>DPH</v>
      </c>
      <c r="C4415" s="33" t="str">
        <f t="shared" si="274"/>
        <v>60007-0000</v>
      </c>
      <c r="D4415" s="64" t="s">
        <v>5413</v>
      </c>
      <c r="E4415" s="64" t="s">
        <v>3846</v>
      </c>
      <c r="F4415" s="64" t="s">
        <v>230</v>
      </c>
      <c r="G4415" s="64" t="s">
        <v>3838</v>
      </c>
      <c r="H4415" s="64" t="s">
        <v>1875</v>
      </c>
      <c r="I4415" s="64" t="s">
        <v>3847</v>
      </c>
      <c r="J4415" s="67">
        <v>0</v>
      </c>
      <c r="K4415" s="62">
        <v>801</v>
      </c>
      <c r="L4415" s="33" t="e">
        <f>HLOOKUP(B4415,#REF!,1,0)</f>
        <v>#REF!</v>
      </c>
      <c r="M4415" s="33" t="str">
        <f t="shared" si="275"/>
        <v>P&amp;L</v>
      </c>
    </row>
    <row r="4416" spans="1:13" s="33" customFormat="true" ht="12.75" customHeight="true">
      <c r="A4416" s="33" t="str">
        <f t="shared" si="272"/>
        <v>DPH - CGS</v>
      </c>
      <c r="B4416" s="33" t="str">
        <f t="shared" si="273"/>
        <v>DPH</v>
      </c>
      <c r="C4416" s="33" t="str">
        <f t="shared" si="274"/>
        <v>60015-0000</v>
      </c>
      <c r="D4416" s="64" t="s">
        <v>5414</v>
      </c>
      <c r="E4416" s="64" t="s">
        <v>3858</v>
      </c>
      <c r="F4416" s="64" t="s">
        <v>230</v>
      </c>
      <c r="G4416" s="64" t="s">
        <v>3838</v>
      </c>
      <c r="H4416" s="64" t="s">
        <v>1875</v>
      </c>
      <c r="I4416" s="64" t="s">
        <v>3859</v>
      </c>
      <c r="J4416" s="67">
        <v>0</v>
      </c>
      <c r="K4416" s="62">
        <v>790</v>
      </c>
      <c r="L4416" s="33" t="e">
        <f>HLOOKUP(B4416,#REF!,1,0)</f>
        <v>#REF!</v>
      </c>
      <c r="M4416" s="33" t="str">
        <f t="shared" si="275"/>
        <v>P&amp;L</v>
      </c>
    </row>
    <row r="4417" spans="1:13" s="33" customFormat="true" ht="12.75" customHeight="true">
      <c r="A4417" s="33" t="str">
        <f t="shared" si="272"/>
        <v>DPH - Income Tax</v>
      </c>
      <c r="B4417" s="33" t="str">
        <f t="shared" si="273"/>
        <v>DPH</v>
      </c>
      <c r="C4417" s="33" t="str">
        <f t="shared" si="274"/>
        <v>61019-0000</v>
      </c>
      <c r="D4417" s="64" t="s">
        <v>5415</v>
      </c>
      <c r="E4417" s="64" t="s">
        <v>4041</v>
      </c>
      <c r="F4417" s="64" t="s">
        <v>230</v>
      </c>
      <c r="G4417" s="64" t="s">
        <v>3844</v>
      </c>
      <c r="H4417" s="64" t="s">
        <v>3378</v>
      </c>
      <c r="I4417" s="64" t="s">
        <v>4042</v>
      </c>
      <c r="J4417" s="67">
        <v>0</v>
      </c>
      <c r="K4417" s="62">
        <v>800</v>
      </c>
      <c r="L4417" s="33" t="e">
        <f>HLOOKUP(B4417,#REF!,1,0)</f>
        <v>#REF!</v>
      </c>
      <c r="M4417" s="33" t="str">
        <f t="shared" si="275"/>
        <v>P&amp;L</v>
      </c>
    </row>
    <row r="4418" spans="1:13" s="33" customFormat="true" ht="12.75" customHeight="true">
      <c r="A4418" s="33" t="str">
        <f t="shared" ref="A4418:A4481" si="276">B4418&amp;" - "&amp;TRIM(H4418)</f>
        <v>DPI - Fixed Assets</v>
      </c>
      <c r="B4418" s="33" t="str">
        <f t="shared" ref="B4418:B4481" si="277">LEFT(D4418,3)</f>
        <v>DPI</v>
      </c>
      <c r="C4418" s="33" t="str">
        <f t="shared" ref="C4418:C4481" si="278">RIGHT(D4418,10)</f>
        <v>15501-0000</v>
      </c>
      <c r="D4418" s="64" t="s">
        <v>5416</v>
      </c>
      <c r="E4418" s="64" t="s">
        <v>2635</v>
      </c>
      <c r="F4418" s="64" t="s">
        <v>230</v>
      </c>
      <c r="G4418" s="64" t="s">
        <v>62</v>
      </c>
      <c r="H4418" s="64" t="s">
        <v>63</v>
      </c>
      <c r="I4418" s="64" t="s">
        <v>64</v>
      </c>
      <c r="J4418" s="67">
        <v>224.41</v>
      </c>
      <c r="K4418" s="62">
        <v>880.72</v>
      </c>
      <c r="L4418" s="33" t="e">
        <f>HLOOKUP(B4418,#REF!,1,0)</f>
        <v>#REF!</v>
      </c>
      <c r="M4418" s="33" t="str">
        <f t="shared" ref="M4418:M4481" si="279">IF(VALUE(LEFT(C4418,5))&gt;40000,"P&amp;L","BS")</f>
        <v>BS</v>
      </c>
    </row>
    <row r="4419" spans="1:13" s="33" customFormat="true" ht="12.75" customHeight="true">
      <c r="A4419" s="33" t="str">
        <f t="shared" si="276"/>
        <v>DPI - Prepaid Income</v>
      </c>
      <c r="B4419" s="33" t="str">
        <f t="shared" si="277"/>
        <v>DPI</v>
      </c>
      <c r="C4419" s="33" t="str">
        <f t="shared" si="278"/>
        <v>25300-0000</v>
      </c>
      <c r="D4419" s="64" t="s">
        <v>5417</v>
      </c>
      <c r="E4419" s="64" t="s">
        <v>5418</v>
      </c>
      <c r="F4419" s="64" t="s">
        <v>230</v>
      </c>
      <c r="G4419" s="64" t="s">
        <v>3678</v>
      </c>
      <c r="H4419" s="64" t="s">
        <v>3881</v>
      </c>
      <c r="I4419" s="64" t="s">
        <v>102</v>
      </c>
      <c r="J4419" s="67">
        <v>-26.53</v>
      </c>
      <c r="K4419" s="62">
        <v>-26.53</v>
      </c>
      <c r="L4419" s="33" t="e">
        <f>HLOOKUP(B4419,#REF!,1,0)</f>
        <v>#REF!</v>
      </c>
      <c r="M4419" s="33" t="str">
        <f t="shared" si="279"/>
        <v>BS</v>
      </c>
    </row>
    <row r="4420" spans="1:13" s="33" customFormat="true" ht="12.75" customHeight="true">
      <c r="A4420" s="33" t="str">
        <f t="shared" si="276"/>
        <v>DPI - Revenue</v>
      </c>
      <c r="B4420" s="33" t="str">
        <f t="shared" si="277"/>
        <v>DPI</v>
      </c>
      <c r="C4420" s="33" t="str">
        <f t="shared" si="278"/>
        <v>40110-0000</v>
      </c>
      <c r="D4420" s="64" t="s">
        <v>5419</v>
      </c>
      <c r="E4420" s="64" t="s">
        <v>3683</v>
      </c>
      <c r="F4420" s="64" t="s">
        <v>230</v>
      </c>
      <c r="G4420" s="64" t="s">
        <v>3684</v>
      </c>
      <c r="H4420" s="64" t="s">
        <v>2871</v>
      </c>
      <c r="I4420" s="64" t="s">
        <v>3685</v>
      </c>
      <c r="J4420" s="67">
        <v>-26705.2</v>
      </c>
      <c r="K4420" s="62">
        <v>-267052</v>
      </c>
      <c r="L4420" s="33" t="e">
        <f>HLOOKUP(B4420,#REF!,1,0)</f>
        <v>#REF!</v>
      </c>
      <c r="M4420" s="33" t="str">
        <f t="shared" si="279"/>
        <v>P&amp;L</v>
      </c>
    </row>
    <row r="4421" spans="1:13" s="33" customFormat="true" ht="12.75" customHeight="true">
      <c r="A4421" s="33" t="str">
        <f t="shared" si="276"/>
        <v>DPI - Revenue</v>
      </c>
      <c r="B4421" s="33" t="str">
        <f t="shared" si="277"/>
        <v>DPI</v>
      </c>
      <c r="C4421" s="33" t="str">
        <f t="shared" si="278"/>
        <v>40120-0000</v>
      </c>
      <c r="D4421" s="64" t="s">
        <v>5420</v>
      </c>
      <c r="E4421" s="64" t="s">
        <v>3687</v>
      </c>
      <c r="F4421" s="64" t="s">
        <v>230</v>
      </c>
      <c r="G4421" s="64" t="s">
        <v>3684</v>
      </c>
      <c r="H4421" s="64" t="s">
        <v>2871</v>
      </c>
      <c r="I4421" s="64" t="s">
        <v>3688</v>
      </c>
      <c r="J4421" s="67">
        <v>-861.98</v>
      </c>
      <c r="K4421" s="62">
        <v>-4020.9</v>
      </c>
      <c r="L4421" s="33" t="e">
        <f>HLOOKUP(B4421,#REF!,1,0)</f>
        <v>#REF!</v>
      </c>
      <c r="M4421" s="33" t="str">
        <f t="shared" si="279"/>
        <v>P&amp;L</v>
      </c>
    </row>
    <row r="4422" spans="1:13" s="33" customFormat="true" ht="12.75" customHeight="true">
      <c r="A4422" s="33" t="str">
        <f t="shared" si="276"/>
        <v>DPI - Revenue</v>
      </c>
      <c r="B4422" s="33" t="str">
        <f t="shared" si="277"/>
        <v>DPI</v>
      </c>
      <c r="C4422" s="33" t="str">
        <f t="shared" si="278"/>
        <v>40130-0000</v>
      </c>
      <c r="D4422" s="64" t="s">
        <v>5421</v>
      </c>
      <c r="E4422" s="64" t="s">
        <v>3690</v>
      </c>
      <c r="F4422" s="64" t="s">
        <v>230</v>
      </c>
      <c r="G4422" s="64" t="s">
        <v>3684</v>
      </c>
      <c r="H4422" s="64" t="s">
        <v>2871</v>
      </c>
      <c r="I4422" s="64" t="s">
        <v>3691</v>
      </c>
      <c r="J4422" s="67">
        <v>0</v>
      </c>
      <c r="K4422" s="62">
        <v>0</v>
      </c>
      <c r="L4422" s="33" t="e">
        <f>HLOOKUP(B4422,#REF!,1,0)</f>
        <v>#REF!</v>
      </c>
      <c r="M4422" s="33" t="str">
        <f t="shared" si="279"/>
        <v>P&amp;L</v>
      </c>
    </row>
    <row r="4423" spans="1:13" s="33" customFormat="true" ht="12.75" customHeight="true">
      <c r="A4423" s="33" t="str">
        <f t="shared" si="276"/>
        <v>DPI - Revenue</v>
      </c>
      <c r="B4423" s="33" t="str">
        <f t="shared" si="277"/>
        <v>DPI</v>
      </c>
      <c r="C4423" s="33" t="str">
        <f t="shared" si="278"/>
        <v>40140-0000</v>
      </c>
      <c r="D4423" s="64" t="s">
        <v>5422</v>
      </c>
      <c r="E4423" s="64" t="s">
        <v>3948</v>
      </c>
      <c r="F4423" s="64" t="s">
        <v>230</v>
      </c>
      <c r="G4423" s="64" t="s">
        <v>3684</v>
      </c>
      <c r="H4423" s="64" t="s">
        <v>2871</v>
      </c>
      <c r="I4423" s="64" t="s">
        <v>3949</v>
      </c>
      <c r="J4423" s="67">
        <v>0</v>
      </c>
      <c r="K4423" s="62">
        <v>0</v>
      </c>
      <c r="L4423" s="33" t="e">
        <f>HLOOKUP(B4423,#REF!,1,0)</f>
        <v>#REF!</v>
      </c>
      <c r="M4423" s="33" t="str">
        <f t="shared" si="279"/>
        <v>P&amp;L</v>
      </c>
    </row>
    <row r="4424" spans="1:13" s="33" customFormat="true" ht="12.75" customHeight="true">
      <c r="A4424" s="33" t="str">
        <f t="shared" si="276"/>
        <v>DPI - Revenue</v>
      </c>
      <c r="B4424" s="33" t="str">
        <f t="shared" si="277"/>
        <v>DPI</v>
      </c>
      <c r="C4424" s="33" t="str">
        <f t="shared" si="278"/>
        <v>41110-0000</v>
      </c>
      <c r="D4424" s="64" t="s">
        <v>5423</v>
      </c>
      <c r="E4424" s="64" t="s">
        <v>3693</v>
      </c>
      <c r="F4424" s="64" t="s">
        <v>230</v>
      </c>
      <c r="G4424" s="64" t="s">
        <v>3694</v>
      </c>
      <c r="H4424" s="64" t="s">
        <v>2871</v>
      </c>
      <c r="I4424" s="64" t="s">
        <v>3695</v>
      </c>
      <c r="J4424" s="67">
        <v>2031</v>
      </c>
      <c r="K4424" s="62">
        <v>6153.85</v>
      </c>
      <c r="L4424" s="33" t="e">
        <f>HLOOKUP(B4424,#REF!,1,0)</f>
        <v>#REF!</v>
      </c>
      <c r="M4424" s="33" t="str">
        <f t="shared" si="279"/>
        <v>P&amp;L</v>
      </c>
    </row>
    <row r="4425" spans="1:13" s="33" customFormat="true" ht="12.75" customHeight="true">
      <c r="A4425" s="33" t="str">
        <f t="shared" si="276"/>
        <v>DPI - Revenue</v>
      </c>
      <c r="B4425" s="33" t="str">
        <f t="shared" si="277"/>
        <v>DPI</v>
      </c>
      <c r="C4425" s="33" t="str">
        <f t="shared" si="278"/>
        <v>41121-0000</v>
      </c>
      <c r="D4425" s="64" t="s">
        <v>5424</v>
      </c>
      <c r="E4425" s="64" t="s">
        <v>4146</v>
      </c>
      <c r="F4425" s="64" t="s">
        <v>230</v>
      </c>
      <c r="G4425" s="64" t="s">
        <v>3694</v>
      </c>
      <c r="H4425" s="64" t="s">
        <v>2871</v>
      </c>
      <c r="I4425" s="64" t="s">
        <v>3698</v>
      </c>
      <c r="J4425" s="67">
        <v>7234.65</v>
      </c>
      <c r="K4425" s="62">
        <v>77662.86</v>
      </c>
      <c r="L4425" s="33" t="e">
        <f>HLOOKUP(B4425,#REF!,1,0)</f>
        <v>#REF!</v>
      </c>
      <c r="M4425" s="33" t="str">
        <f t="shared" si="279"/>
        <v>P&amp;L</v>
      </c>
    </row>
    <row r="4426" spans="1:13" s="33" customFormat="true" ht="12.75" customHeight="true">
      <c r="A4426" s="33" t="str">
        <f t="shared" si="276"/>
        <v>DPI - Revenue</v>
      </c>
      <c r="B4426" s="33" t="str">
        <f t="shared" si="277"/>
        <v>DPI</v>
      </c>
      <c r="C4426" s="33" t="str">
        <f t="shared" si="278"/>
        <v>41122-0000</v>
      </c>
      <c r="D4426" s="64" t="s">
        <v>5425</v>
      </c>
      <c r="E4426" s="64" t="s">
        <v>3700</v>
      </c>
      <c r="F4426" s="64" t="s">
        <v>230</v>
      </c>
      <c r="G4426" s="64" t="s">
        <v>3694</v>
      </c>
      <c r="H4426" s="64" t="s">
        <v>2871</v>
      </c>
      <c r="I4426" s="64" t="s">
        <v>3701</v>
      </c>
      <c r="J4426" s="67">
        <v>-3965.98</v>
      </c>
      <c r="K4426" s="62">
        <v>-25992.05</v>
      </c>
      <c r="L4426" s="33" t="e">
        <f>HLOOKUP(B4426,#REF!,1,0)</f>
        <v>#REF!</v>
      </c>
      <c r="M4426" s="33" t="str">
        <f t="shared" si="279"/>
        <v>P&amp;L</v>
      </c>
    </row>
    <row r="4427" spans="1:13" s="33" customFormat="true" ht="12.75" customHeight="true">
      <c r="A4427" s="33" t="str">
        <f t="shared" si="276"/>
        <v>DPI - Revenue</v>
      </c>
      <c r="B4427" s="33" t="str">
        <f t="shared" si="277"/>
        <v>DPI</v>
      </c>
      <c r="C4427" s="33" t="str">
        <f t="shared" si="278"/>
        <v>41130-0000</v>
      </c>
      <c r="D4427" s="64" t="s">
        <v>5426</v>
      </c>
      <c r="E4427" s="64" t="s">
        <v>3703</v>
      </c>
      <c r="F4427" s="64" t="s">
        <v>230</v>
      </c>
      <c r="G4427" s="64" t="s">
        <v>3694</v>
      </c>
      <c r="H4427" s="64" t="s">
        <v>2871</v>
      </c>
      <c r="I4427" s="64" t="s">
        <v>3704</v>
      </c>
      <c r="J4427" s="67">
        <v>100</v>
      </c>
      <c r="K4427" s="62">
        <v>883.33</v>
      </c>
      <c r="L4427" s="33" t="e">
        <f>HLOOKUP(B4427,#REF!,1,0)</f>
        <v>#REF!</v>
      </c>
      <c r="M4427" s="33" t="str">
        <f t="shared" si="279"/>
        <v>P&amp;L</v>
      </c>
    </row>
    <row r="4428" spans="1:13" s="33" customFormat="true" ht="12.75" customHeight="true">
      <c r="A4428" s="33" t="str">
        <f t="shared" si="276"/>
        <v>DPI - Revenue</v>
      </c>
      <c r="B4428" s="33" t="str">
        <f t="shared" si="277"/>
        <v>DPI</v>
      </c>
      <c r="C4428" s="33" t="str">
        <f t="shared" si="278"/>
        <v>41140-0000</v>
      </c>
      <c r="D4428" s="64" t="s">
        <v>5427</v>
      </c>
      <c r="E4428" s="64" t="s">
        <v>3706</v>
      </c>
      <c r="F4428" s="64" t="s">
        <v>230</v>
      </c>
      <c r="G4428" s="64" t="s">
        <v>3694</v>
      </c>
      <c r="H4428" s="64" t="s">
        <v>2871</v>
      </c>
      <c r="I4428" s="64" t="s">
        <v>3707</v>
      </c>
      <c r="J4428" s="67">
        <v>0</v>
      </c>
      <c r="K4428" s="62">
        <v>0</v>
      </c>
      <c r="L4428" s="33" t="e">
        <f>HLOOKUP(B4428,#REF!,1,0)</f>
        <v>#REF!</v>
      </c>
      <c r="M4428" s="33" t="str">
        <f t="shared" si="279"/>
        <v>P&amp;L</v>
      </c>
    </row>
    <row r="4429" spans="1:13" s="33" customFormat="true" ht="12.75" customHeight="true">
      <c r="A4429" s="33" t="str">
        <f t="shared" si="276"/>
        <v>DPI - Revenue</v>
      </c>
      <c r="B4429" s="33" t="str">
        <f t="shared" si="277"/>
        <v>DPI</v>
      </c>
      <c r="C4429" s="33" t="str">
        <f t="shared" si="278"/>
        <v>41150-0000</v>
      </c>
      <c r="D4429" s="64" t="s">
        <v>5428</v>
      </c>
      <c r="E4429" s="64" t="s">
        <v>3709</v>
      </c>
      <c r="F4429" s="64" t="s">
        <v>230</v>
      </c>
      <c r="G4429" s="64" t="s">
        <v>3694</v>
      </c>
      <c r="H4429" s="64" t="s">
        <v>2871</v>
      </c>
      <c r="I4429" s="64" t="s">
        <v>3710</v>
      </c>
      <c r="J4429" s="67">
        <v>0</v>
      </c>
      <c r="K4429" s="62">
        <v>0</v>
      </c>
      <c r="L4429" s="33" t="e">
        <f>HLOOKUP(B4429,#REF!,1,0)</f>
        <v>#REF!</v>
      </c>
      <c r="M4429" s="33" t="str">
        <f t="shared" si="279"/>
        <v>P&amp;L</v>
      </c>
    </row>
    <row r="4430" spans="1:13" s="33" customFormat="true" ht="12.75" customHeight="true">
      <c r="A4430" s="33" t="str">
        <f t="shared" si="276"/>
        <v>DPI - Revenue</v>
      </c>
      <c r="B4430" s="33" t="str">
        <f t="shared" si="277"/>
        <v>DPI</v>
      </c>
      <c r="C4430" s="33" t="str">
        <f t="shared" si="278"/>
        <v>41160-0000</v>
      </c>
      <c r="D4430" s="64" t="s">
        <v>5429</v>
      </c>
      <c r="E4430" s="64" t="s">
        <v>3957</v>
      </c>
      <c r="F4430" s="64" t="s">
        <v>230</v>
      </c>
      <c r="G4430" s="64" t="s">
        <v>3694</v>
      </c>
      <c r="H4430" s="64" t="s">
        <v>2871</v>
      </c>
      <c r="I4430" s="64" t="s">
        <v>3701</v>
      </c>
      <c r="J4430" s="67">
        <v>0</v>
      </c>
      <c r="K4430" s="62">
        <v>-46299.38</v>
      </c>
      <c r="L4430" s="33" t="e">
        <f>HLOOKUP(B4430,#REF!,1,0)</f>
        <v>#REF!</v>
      </c>
      <c r="M4430" s="33" t="str">
        <f t="shared" si="279"/>
        <v>P&amp;L</v>
      </c>
    </row>
    <row r="4431" spans="1:13" s="33" customFormat="true" ht="12.75" customHeight="true">
      <c r="A4431" s="33" t="str">
        <f t="shared" si="276"/>
        <v>DPI - Revenue</v>
      </c>
      <c r="B4431" s="33" t="str">
        <f t="shared" si="277"/>
        <v>DPI</v>
      </c>
      <c r="C4431" s="33" t="str">
        <f t="shared" si="278"/>
        <v>41999-0000</v>
      </c>
      <c r="D4431" s="64" t="s">
        <v>5430</v>
      </c>
      <c r="E4431" s="64" t="s">
        <v>3712</v>
      </c>
      <c r="F4431" s="64" t="s">
        <v>230</v>
      </c>
      <c r="G4431" s="64" t="s">
        <v>3713</v>
      </c>
      <c r="H4431" s="64" t="s">
        <v>2871</v>
      </c>
      <c r="I4431" s="64" t="s">
        <v>3714</v>
      </c>
      <c r="J4431" s="67">
        <v>22167.51</v>
      </c>
      <c r="K4431" s="62">
        <v>258664.29</v>
      </c>
      <c r="L4431" s="33" t="e">
        <f>HLOOKUP(B4431,#REF!,1,0)</f>
        <v>#REF!</v>
      </c>
      <c r="M4431" s="33" t="str">
        <f t="shared" si="279"/>
        <v>P&amp;L</v>
      </c>
    </row>
    <row r="4432" spans="1:13" s="33" customFormat="true" ht="12.75" customHeight="true">
      <c r="A4432" s="33" t="str">
        <f t="shared" si="276"/>
        <v>DPI - Revenue</v>
      </c>
      <c r="B4432" s="33" t="str">
        <f t="shared" si="277"/>
        <v>DPI</v>
      </c>
      <c r="C4432" s="33" t="str">
        <f t="shared" si="278"/>
        <v>47400-0000</v>
      </c>
      <c r="D4432" s="64" t="s">
        <v>5431</v>
      </c>
      <c r="E4432" s="64" t="s">
        <v>3716</v>
      </c>
      <c r="F4432" s="64" t="s">
        <v>230</v>
      </c>
      <c r="G4432" s="64" t="s">
        <v>3717</v>
      </c>
      <c r="H4432" s="64" t="s">
        <v>2871</v>
      </c>
      <c r="I4432" s="64" t="s">
        <v>3718</v>
      </c>
      <c r="J4432" s="67">
        <v>-22167.51</v>
      </c>
      <c r="K4432" s="62">
        <v>-258664.29</v>
      </c>
      <c r="L4432" s="33" t="e">
        <f>HLOOKUP(B4432,#REF!,1,0)</f>
        <v>#REF!</v>
      </c>
      <c r="M4432" s="33" t="str">
        <f t="shared" si="279"/>
        <v>P&amp;L</v>
      </c>
    </row>
    <row r="4433" spans="1:13" s="33" customFormat="true" ht="12.75" customHeight="true">
      <c r="A4433" s="33" t="str">
        <f t="shared" si="276"/>
        <v>DPI - Revenue</v>
      </c>
      <c r="B4433" s="33" t="str">
        <f t="shared" si="277"/>
        <v>DPI</v>
      </c>
      <c r="C4433" s="33" t="str">
        <f t="shared" si="278"/>
        <v>47420-0000</v>
      </c>
      <c r="D4433" s="64" t="s">
        <v>5432</v>
      </c>
      <c r="E4433" s="64" t="s">
        <v>4154</v>
      </c>
      <c r="F4433" s="64" t="s">
        <v>230</v>
      </c>
      <c r="G4433" s="64" t="s">
        <v>3717</v>
      </c>
      <c r="H4433" s="64" t="s">
        <v>2871</v>
      </c>
      <c r="I4433" s="64" t="s">
        <v>4155</v>
      </c>
      <c r="J4433" s="67">
        <v>-78.3</v>
      </c>
      <c r="K4433" s="62">
        <v>-775.47</v>
      </c>
      <c r="L4433" s="33" t="e">
        <f>HLOOKUP(B4433,#REF!,1,0)</f>
        <v>#REF!</v>
      </c>
      <c r="M4433" s="33" t="str">
        <f t="shared" si="279"/>
        <v>P&amp;L</v>
      </c>
    </row>
    <row r="4434" spans="1:13" s="33" customFormat="true" ht="12.75" customHeight="true">
      <c r="A4434" s="33" t="str">
        <f t="shared" si="276"/>
        <v>DPI - Revenue</v>
      </c>
      <c r="B4434" s="33" t="str">
        <f t="shared" si="277"/>
        <v>DPI</v>
      </c>
      <c r="C4434" s="33" t="str">
        <f t="shared" si="278"/>
        <v>47440-0000</v>
      </c>
      <c r="D4434" s="64" t="s">
        <v>5433</v>
      </c>
      <c r="E4434" s="64" t="s">
        <v>3720</v>
      </c>
      <c r="F4434" s="64" t="s">
        <v>230</v>
      </c>
      <c r="G4434" s="64" t="s">
        <v>3717</v>
      </c>
      <c r="H4434" s="64" t="s">
        <v>2871</v>
      </c>
      <c r="I4434" s="64" t="s">
        <v>3721</v>
      </c>
      <c r="J4434" s="67">
        <v>0</v>
      </c>
      <c r="K4434" s="62">
        <v>0</v>
      </c>
      <c r="L4434" s="33" t="e">
        <f>HLOOKUP(B4434,#REF!,1,0)</f>
        <v>#REF!</v>
      </c>
      <c r="M4434" s="33" t="str">
        <f t="shared" si="279"/>
        <v>P&amp;L</v>
      </c>
    </row>
    <row r="4435" spans="1:13" s="33" customFormat="true" ht="12.75" customHeight="true">
      <c r="A4435" s="33" t="str">
        <f t="shared" si="276"/>
        <v>DPI - Revenue</v>
      </c>
      <c r="B4435" s="33" t="str">
        <f t="shared" si="277"/>
        <v>DPI</v>
      </c>
      <c r="C4435" s="33" t="str">
        <f t="shared" si="278"/>
        <v>47450-0000</v>
      </c>
      <c r="D4435" s="64" t="s">
        <v>5434</v>
      </c>
      <c r="E4435" s="64" t="s">
        <v>3723</v>
      </c>
      <c r="F4435" s="64" t="s">
        <v>230</v>
      </c>
      <c r="G4435" s="64" t="s">
        <v>3717</v>
      </c>
      <c r="H4435" s="64" t="s">
        <v>2871</v>
      </c>
      <c r="I4435" s="64" t="s">
        <v>3724</v>
      </c>
      <c r="J4435" s="67">
        <v>0</v>
      </c>
      <c r="K4435" s="62">
        <v>0</v>
      </c>
      <c r="L4435" s="33" t="e">
        <f>HLOOKUP(B4435,#REF!,1,0)</f>
        <v>#REF!</v>
      </c>
      <c r="M4435" s="33" t="str">
        <f t="shared" si="279"/>
        <v>P&amp;L</v>
      </c>
    </row>
    <row r="4436" spans="1:13" s="33" customFormat="true" ht="12.75" customHeight="true">
      <c r="A4436" s="33" t="str">
        <f t="shared" si="276"/>
        <v>DPI - Revenue</v>
      </c>
      <c r="B4436" s="33" t="str">
        <f t="shared" si="277"/>
        <v>DPI</v>
      </c>
      <c r="C4436" s="33" t="str">
        <f t="shared" si="278"/>
        <v>47460-0000</v>
      </c>
      <c r="D4436" s="64" t="s">
        <v>5435</v>
      </c>
      <c r="E4436" s="64" t="s">
        <v>3726</v>
      </c>
      <c r="F4436" s="64" t="s">
        <v>230</v>
      </c>
      <c r="G4436" s="64" t="s">
        <v>3717</v>
      </c>
      <c r="H4436" s="64" t="s">
        <v>2871</v>
      </c>
      <c r="I4436" s="64" t="s">
        <v>3727</v>
      </c>
      <c r="J4436" s="67">
        <v>0</v>
      </c>
      <c r="K4436" s="62">
        <v>-50</v>
      </c>
      <c r="L4436" s="33" t="e">
        <f>HLOOKUP(B4436,#REF!,1,0)</f>
        <v>#REF!</v>
      </c>
      <c r="M4436" s="33" t="str">
        <f t="shared" si="279"/>
        <v>P&amp;L</v>
      </c>
    </row>
    <row r="4437" spans="1:13" s="33" customFormat="true" ht="12.75" customHeight="true">
      <c r="A4437" s="33" t="str">
        <f t="shared" si="276"/>
        <v>DPI - Revenue</v>
      </c>
      <c r="B4437" s="33" t="str">
        <f t="shared" si="277"/>
        <v>DPI</v>
      </c>
      <c r="C4437" s="33" t="str">
        <f t="shared" si="278"/>
        <v>47480-0000</v>
      </c>
      <c r="D4437" s="64" t="s">
        <v>5436</v>
      </c>
      <c r="E4437" s="64" t="s">
        <v>3729</v>
      </c>
      <c r="F4437" s="64" t="s">
        <v>230</v>
      </c>
      <c r="G4437" s="64" t="s">
        <v>3717</v>
      </c>
      <c r="H4437" s="64" t="s">
        <v>2871</v>
      </c>
      <c r="I4437" s="64" t="s">
        <v>3721</v>
      </c>
      <c r="J4437" s="67">
        <v>0</v>
      </c>
      <c r="K4437" s="62">
        <v>-360</v>
      </c>
      <c r="L4437" s="33" t="e">
        <f>HLOOKUP(B4437,#REF!,1,0)</f>
        <v>#REF!</v>
      </c>
      <c r="M4437" s="33" t="str">
        <f t="shared" si="279"/>
        <v>P&amp;L</v>
      </c>
    </row>
    <row r="4438" spans="1:13" s="33" customFormat="true" ht="12.75" customHeight="true">
      <c r="A4438" s="33" t="str">
        <f t="shared" si="276"/>
        <v>DPI - Revenue</v>
      </c>
      <c r="B4438" s="33" t="str">
        <f t="shared" si="277"/>
        <v>DPI</v>
      </c>
      <c r="C4438" s="33" t="str">
        <f t="shared" si="278"/>
        <v>47490-0000</v>
      </c>
      <c r="D4438" s="64" t="s">
        <v>5437</v>
      </c>
      <c r="E4438" s="64" t="s">
        <v>3731</v>
      </c>
      <c r="F4438" s="64" t="s">
        <v>230</v>
      </c>
      <c r="G4438" s="64" t="s">
        <v>3717</v>
      </c>
      <c r="H4438" s="64" t="s">
        <v>2871</v>
      </c>
      <c r="I4438" s="64" t="s">
        <v>3721</v>
      </c>
      <c r="J4438" s="67">
        <v>-75</v>
      </c>
      <c r="K4438" s="62">
        <v>-788.33</v>
      </c>
      <c r="L4438" s="33" t="e">
        <f>HLOOKUP(B4438,#REF!,1,0)</f>
        <v>#REF!</v>
      </c>
      <c r="M4438" s="33" t="str">
        <f t="shared" si="279"/>
        <v>P&amp;L</v>
      </c>
    </row>
    <row r="4439" spans="1:13" s="33" customFormat="true" ht="12.75" customHeight="true">
      <c r="A4439" s="33" t="str">
        <f t="shared" si="276"/>
        <v>DPI - Revenue</v>
      </c>
      <c r="B4439" s="33" t="str">
        <f t="shared" si="277"/>
        <v>DPI</v>
      </c>
      <c r="C4439" s="33" t="str">
        <f t="shared" si="278"/>
        <v>47492-0000</v>
      </c>
      <c r="D4439" s="64" t="s">
        <v>5438</v>
      </c>
      <c r="E4439" s="64" t="s">
        <v>3736</v>
      </c>
      <c r="F4439" s="64" t="s">
        <v>230</v>
      </c>
      <c r="G4439" s="64" t="s">
        <v>3717</v>
      </c>
      <c r="H4439" s="64" t="s">
        <v>2871</v>
      </c>
      <c r="I4439" s="64" t="s">
        <v>3737</v>
      </c>
      <c r="J4439" s="67">
        <v>-150</v>
      </c>
      <c r="K4439" s="62">
        <v>-893.5</v>
      </c>
      <c r="L4439" s="33" t="e">
        <f>HLOOKUP(B4439,#REF!,1,0)</f>
        <v>#REF!</v>
      </c>
      <c r="M4439" s="33" t="str">
        <f t="shared" si="279"/>
        <v>P&amp;L</v>
      </c>
    </row>
    <row r="4440" spans="1:13" s="33" customFormat="true" ht="12.75" customHeight="true">
      <c r="A4440" s="33" t="str">
        <f t="shared" si="276"/>
        <v>DPI - CGS</v>
      </c>
      <c r="B4440" s="33" t="str">
        <f t="shared" si="277"/>
        <v>DPI</v>
      </c>
      <c r="C4440" s="33" t="str">
        <f t="shared" si="278"/>
        <v>51002-0000</v>
      </c>
      <c r="D4440" s="64" t="s">
        <v>5439</v>
      </c>
      <c r="E4440" s="64" t="s">
        <v>4086</v>
      </c>
      <c r="F4440" s="64" t="s">
        <v>230</v>
      </c>
      <c r="G4440" s="64" t="s">
        <v>3740</v>
      </c>
      <c r="H4440" s="64" t="s">
        <v>1875</v>
      </c>
      <c r="I4440" s="64" t="s">
        <v>4087</v>
      </c>
      <c r="J4440" s="67">
        <v>-173.71</v>
      </c>
      <c r="K4440" s="62">
        <v>-173.71</v>
      </c>
      <c r="L4440" s="33" t="e">
        <f>HLOOKUP(B4440,#REF!,1,0)</f>
        <v>#REF!</v>
      </c>
      <c r="M4440" s="33" t="str">
        <f t="shared" si="279"/>
        <v>P&amp;L</v>
      </c>
    </row>
    <row r="4441" spans="1:13" s="33" customFormat="true" ht="12.75" customHeight="true">
      <c r="A4441" s="33" t="str">
        <f t="shared" si="276"/>
        <v>DPI - CGS</v>
      </c>
      <c r="B4441" s="33" t="str">
        <f t="shared" si="277"/>
        <v>DPI</v>
      </c>
      <c r="C4441" s="33" t="str">
        <f t="shared" si="278"/>
        <v>51005-0000</v>
      </c>
      <c r="D4441" s="64" t="s">
        <v>5440</v>
      </c>
      <c r="E4441" s="64" t="s">
        <v>3968</v>
      </c>
      <c r="F4441" s="64" t="s">
        <v>230</v>
      </c>
      <c r="G4441" s="64" t="s">
        <v>3740</v>
      </c>
      <c r="H4441" s="64" t="s">
        <v>1875</v>
      </c>
      <c r="I4441" s="64" t="s">
        <v>3969</v>
      </c>
      <c r="J4441" s="67">
        <v>0</v>
      </c>
      <c r="K4441" s="62">
        <v>699.69</v>
      </c>
      <c r="L4441" s="33" t="e">
        <f>HLOOKUP(B4441,#REF!,1,0)</f>
        <v>#REF!</v>
      </c>
      <c r="M4441" s="33" t="str">
        <f t="shared" si="279"/>
        <v>P&amp;L</v>
      </c>
    </row>
    <row r="4442" spans="1:13" s="33" customFormat="true" ht="12.75" customHeight="true">
      <c r="A4442" s="33" t="str">
        <f t="shared" si="276"/>
        <v>DPI - CGS</v>
      </c>
      <c r="B4442" s="33" t="str">
        <f t="shared" si="277"/>
        <v>DPI</v>
      </c>
      <c r="C4442" s="33" t="str">
        <f t="shared" si="278"/>
        <v>51006-0000</v>
      </c>
      <c r="D4442" s="64" t="s">
        <v>5441</v>
      </c>
      <c r="E4442" s="64" t="s">
        <v>3739</v>
      </c>
      <c r="F4442" s="64" t="s">
        <v>230</v>
      </c>
      <c r="G4442" s="64" t="s">
        <v>3740</v>
      </c>
      <c r="H4442" s="64" t="s">
        <v>1875</v>
      </c>
      <c r="I4442" s="64" t="s">
        <v>3741</v>
      </c>
      <c r="J4442" s="67">
        <v>0</v>
      </c>
      <c r="K4442" s="62">
        <v>779.09</v>
      </c>
      <c r="L4442" s="33" t="e">
        <f>HLOOKUP(B4442,#REF!,1,0)</f>
        <v>#REF!</v>
      </c>
      <c r="M4442" s="33" t="str">
        <f t="shared" si="279"/>
        <v>P&amp;L</v>
      </c>
    </row>
    <row r="4443" spans="1:13" s="33" customFormat="true" ht="12.75" customHeight="true">
      <c r="A4443" s="33" t="str">
        <f t="shared" si="276"/>
        <v>DPI - CGS</v>
      </c>
      <c r="B4443" s="33" t="str">
        <f t="shared" si="277"/>
        <v>DPI</v>
      </c>
      <c r="C4443" s="33" t="str">
        <f t="shared" si="278"/>
        <v>51007-0000</v>
      </c>
      <c r="D4443" s="64" t="s">
        <v>5442</v>
      </c>
      <c r="E4443" s="64" t="s">
        <v>3972</v>
      </c>
      <c r="F4443" s="64" t="s">
        <v>230</v>
      </c>
      <c r="G4443" s="64" t="s">
        <v>3740</v>
      </c>
      <c r="H4443" s="64" t="s">
        <v>1875</v>
      </c>
      <c r="I4443" s="64" t="s">
        <v>3973</v>
      </c>
      <c r="J4443" s="67">
        <v>0</v>
      </c>
      <c r="K4443" s="62">
        <v>185</v>
      </c>
      <c r="L4443" s="33" t="e">
        <f>HLOOKUP(B4443,#REF!,1,0)</f>
        <v>#REF!</v>
      </c>
      <c r="M4443" s="33" t="str">
        <f t="shared" si="279"/>
        <v>P&amp;L</v>
      </c>
    </row>
    <row r="4444" spans="1:13" s="33" customFormat="true" ht="12.75" customHeight="true">
      <c r="A4444" s="33" t="str">
        <f t="shared" si="276"/>
        <v>DPI - CGS</v>
      </c>
      <c r="B4444" s="33" t="str">
        <f t="shared" si="277"/>
        <v>DPI</v>
      </c>
      <c r="C4444" s="33" t="str">
        <f t="shared" si="278"/>
        <v>51008-0000</v>
      </c>
      <c r="D4444" s="64" t="s">
        <v>5443</v>
      </c>
      <c r="E4444" s="64" t="s">
        <v>3743</v>
      </c>
      <c r="F4444" s="64" t="s">
        <v>230</v>
      </c>
      <c r="G4444" s="64" t="s">
        <v>3740</v>
      </c>
      <c r="H4444" s="64" t="s">
        <v>1875</v>
      </c>
      <c r="I4444" s="64" t="s">
        <v>3744</v>
      </c>
      <c r="J4444" s="67">
        <v>0</v>
      </c>
      <c r="K4444" s="62">
        <v>545.69</v>
      </c>
      <c r="L4444" s="33" t="e">
        <f>HLOOKUP(B4444,#REF!,1,0)</f>
        <v>#REF!</v>
      </c>
      <c r="M4444" s="33" t="str">
        <f t="shared" si="279"/>
        <v>P&amp;L</v>
      </c>
    </row>
    <row r="4445" spans="1:13" s="33" customFormat="true" ht="12.75" customHeight="true">
      <c r="A4445" s="33" t="str">
        <f t="shared" si="276"/>
        <v>DPI - CGS</v>
      </c>
      <c r="B4445" s="33" t="str">
        <f t="shared" si="277"/>
        <v>DPI</v>
      </c>
      <c r="C4445" s="33" t="str">
        <f t="shared" si="278"/>
        <v>51009-0000</v>
      </c>
      <c r="D4445" s="64" t="s">
        <v>5444</v>
      </c>
      <c r="E4445" s="64" t="s">
        <v>3746</v>
      </c>
      <c r="F4445" s="64" t="s">
        <v>230</v>
      </c>
      <c r="G4445" s="64" t="s">
        <v>3740</v>
      </c>
      <c r="H4445" s="64" t="s">
        <v>1875</v>
      </c>
      <c r="I4445" s="64" t="s">
        <v>3747</v>
      </c>
      <c r="J4445" s="67">
        <v>0</v>
      </c>
      <c r="K4445" s="62">
        <v>2519.04</v>
      </c>
      <c r="L4445" s="33" t="e">
        <f>HLOOKUP(B4445,#REF!,1,0)</f>
        <v>#REF!</v>
      </c>
      <c r="M4445" s="33" t="str">
        <f t="shared" si="279"/>
        <v>P&amp;L</v>
      </c>
    </row>
    <row r="4446" spans="1:13" s="33" customFormat="true" ht="12.75" customHeight="true">
      <c r="A4446" s="33" t="str">
        <f t="shared" si="276"/>
        <v>DPI - CGS</v>
      </c>
      <c r="B4446" s="33" t="str">
        <f t="shared" si="277"/>
        <v>DPI</v>
      </c>
      <c r="C4446" s="33" t="str">
        <f t="shared" si="278"/>
        <v>51011-0000</v>
      </c>
      <c r="D4446" s="64" t="s">
        <v>5445</v>
      </c>
      <c r="E4446" s="64" t="s">
        <v>3749</v>
      </c>
      <c r="F4446" s="64" t="s">
        <v>230</v>
      </c>
      <c r="G4446" s="64" t="s">
        <v>3740</v>
      </c>
      <c r="H4446" s="64" t="s">
        <v>1875</v>
      </c>
      <c r="I4446" s="64" t="s">
        <v>3750</v>
      </c>
      <c r="J4446" s="67">
        <v>250</v>
      </c>
      <c r="K4446" s="62">
        <v>2500</v>
      </c>
      <c r="L4446" s="33" t="e">
        <f>HLOOKUP(B4446,#REF!,1,0)</f>
        <v>#REF!</v>
      </c>
      <c r="M4446" s="33" t="str">
        <f t="shared" si="279"/>
        <v>P&amp;L</v>
      </c>
    </row>
    <row r="4447" spans="1:13" s="33" customFormat="true" ht="12.75" customHeight="true">
      <c r="A4447" s="33" t="str">
        <f t="shared" si="276"/>
        <v>DPI - CGS</v>
      </c>
      <c r="B4447" s="33" t="str">
        <f t="shared" si="277"/>
        <v>DPI</v>
      </c>
      <c r="C4447" s="33" t="str">
        <f t="shared" si="278"/>
        <v>51012-0000</v>
      </c>
      <c r="D4447" s="64" t="s">
        <v>5446</v>
      </c>
      <c r="E4447" s="64" t="s">
        <v>3752</v>
      </c>
      <c r="F4447" s="64" t="s">
        <v>230</v>
      </c>
      <c r="G4447" s="64" t="s">
        <v>3740</v>
      </c>
      <c r="H4447" s="64" t="s">
        <v>1875</v>
      </c>
      <c r="I4447" s="64" t="s">
        <v>3753</v>
      </c>
      <c r="J4447" s="67">
        <v>50</v>
      </c>
      <c r="K4447" s="62">
        <v>1370</v>
      </c>
      <c r="L4447" s="33" t="e">
        <f>HLOOKUP(B4447,#REF!,1,0)</f>
        <v>#REF!</v>
      </c>
      <c r="M4447" s="33" t="str">
        <f t="shared" si="279"/>
        <v>P&amp;L</v>
      </c>
    </row>
    <row r="4448" spans="1:13" s="33" customFormat="true" ht="12.75" customHeight="true">
      <c r="A4448" s="33" t="str">
        <f t="shared" si="276"/>
        <v>DPI - CGS</v>
      </c>
      <c r="B4448" s="33" t="str">
        <f t="shared" si="277"/>
        <v>DPI</v>
      </c>
      <c r="C4448" s="33" t="str">
        <f t="shared" si="278"/>
        <v>51013-0000</v>
      </c>
      <c r="D4448" s="64" t="s">
        <v>5447</v>
      </c>
      <c r="E4448" s="64" t="s">
        <v>3979</v>
      </c>
      <c r="F4448" s="64" t="s">
        <v>230</v>
      </c>
      <c r="G4448" s="64" t="s">
        <v>3740</v>
      </c>
      <c r="H4448" s="64" t="s">
        <v>1875</v>
      </c>
      <c r="I4448" s="64" t="s">
        <v>3980</v>
      </c>
      <c r="J4448" s="67">
        <v>0</v>
      </c>
      <c r="K4448" s="62">
        <v>2225</v>
      </c>
      <c r="L4448" s="33" t="e">
        <f>HLOOKUP(B4448,#REF!,1,0)</f>
        <v>#REF!</v>
      </c>
      <c r="M4448" s="33" t="str">
        <f t="shared" si="279"/>
        <v>P&amp;L</v>
      </c>
    </row>
    <row r="4449" spans="1:13" s="33" customFormat="true" ht="12.75" customHeight="true">
      <c r="A4449" s="33" t="str">
        <f t="shared" si="276"/>
        <v>DPI - CGS</v>
      </c>
      <c r="B4449" s="33" t="str">
        <f t="shared" si="277"/>
        <v>DPI</v>
      </c>
      <c r="C4449" s="33" t="str">
        <f t="shared" si="278"/>
        <v>51020-0000</v>
      </c>
      <c r="D4449" s="64" t="s">
        <v>5448</v>
      </c>
      <c r="E4449" s="64" t="s">
        <v>3763</v>
      </c>
      <c r="F4449" s="64" t="s">
        <v>230</v>
      </c>
      <c r="G4449" s="64" t="s">
        <v>3740</v>
      </c>
      <c r="H4449" s="64" t="s">
        <v>1875</v>
      </c>
      <c r="I4449" s="64" t="s">
        <v>3345</v>
      </c>
      <c r="J4449" s="67">
        <v>0</v>
      </c>
      <c r="K4449" s="62">
        <v>44.86</v>
      </c>
      <c r="L4449" s="33" t="e">
        <f>HLOOKUP(B4449,#REF!,1,0)</f>
        <v>#REF!</v>
      </c>
      <c r="M4449" s="33" t="str">
        <f t="shared" si="279"/>
        <v>P&amp;L</v>
      </c>
    </row>
    <row r="4450" spans="1:13" s="33" customFormat="true" ht="12.75" customHeight="true">
      <c r="A4450" s="33" t="str">
        <f t="shared" si="276"/>
        <v>DPI - CGS</v>
      </c>
      <c r="B4450" s="33" t="str">
        <f t="shared" si="277"/>
        <v>DPI</v>
      </c>
      <c r="C4450" s="33" t="str">
        <f t="shared" si="278"/>
        <v>52001-0000</v>
      </c>
      <c r="D4450" s="64" t="s">
        <v>5449</v>
      </c>
      <c r="E4450" s="64" t="s">
        <v>3768</v>
      </c>
      <c r="F4450" s="64" t="s">
        <v>230</v>
      </c>
      <c r="G4450" s="64" t="s">
        <v>3769</v>
      </c>
      <c r="H4450" s="64" t="s">
        <v>1875</v>
      </c>
      <c r="I4450" s="64" t="s">
        <v>3770</v>
      </c>
      <c r="J4450" s="67">
        <v>0</v>
      </c>
      <c r="K4450" s="62">
        <v>96.52</v>
      </c>
      <c r="L4450" s="33" t="e">
        <f>HLOOKUP(B4450,#REF!,1,0)</f>
        <v>#REF!</v>
      </c>
      <c r="M4450" s="33" t="str">
        <f t="shared" si="279"/>
        <v>P&amp;L</v>
      </c>
    </row>
    <row r="4451" spans="1:13" s="33" customFormat="true" ht="12.75" customHeight="true">
      <c r="A4451" s="33" t="str">
        <f t="shared" si="276"/>
        <v>DPI - CGS</v>
      </c>
      <c r="B4451" s="33" t="str">
        <f t="shared" si="277"/>
        <v>DPI</v>
      </c>
      <c r="C4451" s="33" t="str">
        <f t="shared" si="278"/>
        <v>52003-0000</v>
      </c>
      <c r="D4451" s="64" t="s">
        <v>5450</v>
      </c>
      <c r="E4451" s="64" t="s">
        <v>3772</v>
      </c>
      <c r="F4451" s="64" t="s">
        <v>230</v>
      </c>
      <c r="G4451" s="64" t="s">
        <v>3769</v>
      </c>
      <c r="H4451" s="64" t="s">
        <v>1875</v>
      </c>
      <c r="I4451" s="64" t="s">
        <v>3773</v>
      </c>
      <c r="J4451" s="67">
        <v>125</v>
      </c>
      <c r="K4451" s="62">
        <v>232.79</v>
      </c>
      <c r="L4451" s="33" t="e">
        <f>HLOOKUP(B4451,#REF!,1,0)</f>
        <v>#REF!</v>
      </c>
      <c r="M4451" s="33" t="str">
        <f t="shared" si="279"/>
        <v>P&amp;L</v>
      </c>
    </row>
    <row r="4452" spans="1:13" s="33" customFormat="true" ht="12.75" customHeight="true">
      <c r="A4452" s="33" t="str">
        <f t="shared" si="276"/>
        <v>DPI - CGS</v>
      </c>
      <c r="B4452" s="33" t="str">
        <f t="shared" si="277"/>
        <v>DPI</v>
      </c>
      <c r="C4452" s="33" t="str">
        <f t="shared" si="278"/>
        <v>52006-0000</v>
      </c>
      <c r="D4452" s="64" t="s">
        <v>5451</v>
      </c>
      <c r="E4452" s="64" t="s">
        <v>3778</v>
      </c>
      <c r="F4452" s="64" t="s">
        <v>230</v>
      </c>
      <c r="G4452" s="64" t="s">
        <v>3769</v>
      </c>
      <c r="H4452" s="64" t="s">
        <v>1875</v>
      </c>
      <c r="I4452" s="64" t="s">
        <v>3779</v>
      </c>
      <c r="J4452" s="67">
        <v>0</v>
      </c>
      <c r="K4452" s="62">
        <v>597.81</v>
      </c>
      <c r="L4452" s="33" t="e">
        <f>HLOOKUP(B4452,#REF!,1,0)</f>
        <v>#REF!</v>
      </c>
      <c r="M4452" s="33" t="str">
        <f t="shared" si="279"/>
        <v>P&amp;L</v>
      </c>
    </row>
    <row r="4453" spans="1:13" s="33" customFormat="true" ht="12.75" customHeight="true">
      <c r="A4453" s="33" t="str">
        <f t="shared" si="276"/>
        <v>DPI - CGS</v>
      </c>
      <c r="B4453" s="33" t="str">
        <f t="shared" si="277"/>
        <v>DPI</v>
      </c>
      <c r="C4453" s="33" t="str">
        <f t="shared" si="278"/>
        <v>53001-0000</v>
      </c>
      <c r="D4453" s="64" t="s">
        <v>5452</v>
      </c>
      <c r="E4453" s="64" t="s">
        <v>3781</v>
      </c>
      <c r="F4453" s="64" t="s">
        <v>230</v>
      </c>
      <c r="G4453" s="64" t="s">
        <v>3160</v>
      </c>
      <c r="H4453" s="64" t="s">
        <v>1875</v>
      </c>
      <c r="I4453" s="64" t="s">
        <v>3782</v>
      </c>
      <c r="J4453" s="67">
        <v>36.95</v>
      </c>
      <c r="K4453" s="62">
        <v>393.58</v>
      </c>
      <c r="L4453" s="33" t="e">
        <f>HLOOKUP(B4453,#REF!,1,0)</f>
        <v>#REF!</v>
      </c>
      <c r="M4453" s="33" t="str">
        <f t="shared" si="279"/>
        <v>P&amp;L</v>
      </c>
    </row>
    <row r="4454" spans="1:13" s="33" customFormat="true" ht="12.75" customHeight="true">
      <c r="A4454" s="33" t="str">
        <f t="shared" si="276"/>
        <v>DPI - CGS</v>
      </c>
      <c r="B4454" s="33" t="str">
        <f t="shared" si="277"/>
        <v>DPI</v>
      </c>
      <c r="C4454" s="33" t="str">
        <f t="shared" si="278"/>
        <v>53002-0000</v>
      </c>
      <c r="D4454" s="64" t="s">
        <v>5453</v>
      </c>
      <c r="E4454" s="64" t="s">
        <v>3784</v>
      </c>
      <c r="F4454" s="64" t="s">
        <v>230</v>
      </c>
      <c r="G4454" s="64" t="s">
        <v>3160</v>
      </c>
      <c r="H4454" s="64" t="s">
        <v>1875</v>
      </c>
      <c r="I4454" s="64" t="s">
        <v>3785</v>
      </c>
      <c r="J4454" s="67">
        <v>640.68</v>
      </c>
      <c r="K4454" s="62">
        <v>6523.76</v>
      </c>
      <c r="L4454" s="33" t="e">
        <f>HLOOKUP(B4454,#REF!,1,0)</f>
        <v>#REF!</v>
      </c>
      <c r="M4454" s="33" t="str">
        <f t="shared" si="279"/>
        <v>P&amp;L</v>
      </c>
    </row>
    <row r="4455" spans="1:13" s="33" customFormat="true" ht="12.75" customHeight="true">
      <c r="A4455" s="33" t="str">
        <f t="shared" si="276"/>
        <v>DPI - CGS</v>
      </c>
      <c r="B4455" s="33" t="str">
        <f t="shared" si="277"/>
        <v>DPI</v>
      </c>
      <c r="C4455" s="33" t="str">
        <f t="shared" si="278"/>
        <v>53003-0000</v>
      </c>
      <c r="D4455" s="64" t="s">
        <v>5454</v>
      </c>
      <c r="E4455" s="64" t="s">
        <v>3787</v>
      </c>
      <c r="F4455" s="64" t="s">
        <v>230</v>
      </c>
      <c r="G4455" s="64" t="s">
        <v>3160</v>
      </c>
      <c r="H4455" s="64" t="s">
        <v>1875</v>
      </c>
      <c r="I4455" s="64" t="s">
        <v>3788</v>
      </c>
      <c r="J4455" s="67">
        <v>527.84</v>
      </c>
      <c r="K4455" s="62">
        <v>2268.54</v>
      </c>
      <c r="L4455" s="33" t="e">
        <f>HLOOKUP(B4455,#REF!,1,0)</f>
        <v>#REF!</v>
      </c>
      <c r="M4455" s="33" t="str">
        <f t="shared" si="279"/>
        <v>P&amp;L</v>
      </c>
    </row>
    <row r="4456" spans="1:13" s="33" customFormat="true" ht="12.75" customHeight="true">
      <c r="A4456" s="33" t="str">
        <f t="shared" si="276"/>
        <v>DPI - CGS</v>
      </c>
      <c r="B4456" s="33" t="str">
        <f t="shared" si="277"/>
        <v>DPI</v>
      </c>
      <c r="C4456" s="33" t="str">
        <f t="shared" si="278"/>
        <v>53004-0000</v>
      </c>
      <c r="D4456" s="64" t="s">
        <v>5455</v>
      </c>
      <c r="E4456" s="64" t="s">
        <v>3790</v>
      </c>
      <c r="F4456" s="64" t="s">
        <v>230</v>
      </c>
      <c r="G4456" s="64" t="s">
        <v>3160</v>
      </c>
      <c r="H4456" s="64" t="s">
        <v>1875</v>
      </c>
      <c r="I4456" s="64" t="s">
        <v>3791</v>
      </c>
      <c r="J4456" s="67">
        <v>-2.08</v>
      </c>
      <c r="K4456" s="62">
        <v>408.89</v>
      </c>
      <c r="L4456" s="33" t="e">
        <f>HLOOKUP(B4456,#REF!,1,0)</f>
        <v>#REF!</v>
      </c>
      <c r="M4456" s="33" t="str">
        <f t="shared" si="279"/>
        <v>P&amp;L</v>
      </c>
    </row>
    <row r="4457" spans="1:13" s="33" customFormat="true" ht="12.75" customHeight="true">
      <c r="A4457" s="33" t="str">
        <f t="shared" si="276"/>
        <v>DPI - CGS</v>
      </c>
      <c r="B4457" s="33" t="str">
        <f t="shared" si="277"/>
        <v>DPI</v>
      </c>
      <c r="C4457" s="33" t="str">
        <f t="shared" si="278"/>
        <v>53005-0000</v>
      </c>
      <c r="D4457" s="64" t="s">
        <v>5456</v>
      </c>
      <c r="E4457" s="64" t="s">
        <v>3793</v>
      </c>
      <c r="F4457" s="64" t="s">
        <v>230</v>
      </c>
      <c r="G4457" s="64" t="s">
        <v>3160</v>
      </c>
      <c r="H4457" s="64" t="s">
        <v>1875</v>
      </c>
      <c r="I4457" s="64" t="s">
        <v>3794</v>
      </c>
      <c r="J4457" s="67">
        <v>986.28</v>
      </c>
      <c r="K4457" s="62">
        <v>3627.65</v>
      </c>
      <c r="L4457" s="33" t="e">
        <f>HLOOKUP(B4457,#REF!,1,0)</f>
        <v>#REF!</v>
      </c>
      <c r="M4457" s="33" t="str">
        <f t="shared" si="279"/>
        <v>P&amp;L</v>
      </c>
    </row>
    <row r="4458" spans="1:13" s="33" customFormat="true" ht="12.75" customHeight="true">
      <c r="A4458" s="33" t="str">
        <f t="shared" si="276"/>
        <v>DPI - CGS</v>
      </c>
      <c r="B4458" s="33" t="str">
        <f t="shared" si="277"/>
        <v>DPI</v>
      </c>
      <c r="C4458" s="33" t="str">
        <f t="shared" si="278"/>
        <v>53006-0000</v>
      </c>
      <c r="D4458" s="64" t="s">
        <v>5457</v>
      </c>
      <c r="E4458" s="64" t="s">
        <v>3796</v>
      </c>
      <c r="F4458" s="64" t="s">
        <v>230</v>
      </c>
      <c r="G4458" s="64" t="s">
        <v>3160</v>
      </c>
      <c r="H4458" s="64" t="s">
        <v>1875</v>
      </c>
      <c r="I4458" s="64" t="s">
        <v>3797</v>
      </c>
      <c r="J4458" s="67">
        <v>1178.58</v>
      </c>
      <c r="K4458" s="62">
        <v>6612.38</v>
      </c>
      <c r="L4458" s="33" t="e">
        <f>HLOOKUP(B4458,#REF!,1,0)</f>
        <v>#REF!</v>
      </c>
      <c r="M4458" s="33" t="str">
        <f t="shared" si="279"/>
        <v>P&amp;L</v>
      </c>
    </row>
    <row r="4459" spans="1:13" s="33" customFormat="true" ht="12.75" customHeight="true">
      <c r="A4459" s="33" t="str">
        <f t="shared" si="276"/>
        <v>DPI - CGS</v>
      </c>
      <c r="B4459" s="33" t="str">
        <f t="shared" si="277"/>
        <v>DPI</v>
      </c>
      <c r="C4459" s="33" t="str">
        <f t="shared" si="278"/>
        <v>54003-0000</v>
      </c>
      <c r="D4459" s="64" t="s">
        <v>5458</v>
      </c>
      <c r="E4459" s="64" t="s">
        <v>3803</v>
      </c>
      <c r="F4459" s="64" t="s">
        <v>230</v>
      </c>
      <c r="G4459" s="64" t="s">
        <v>3800</v>
      </c>
      <c r="H4459" s="64" t="s">
        <v>1875</v>
      </c>
      <c r="I4459" s="64" t="s">
        <v>3804</v>
      </c>
      <c r="J4459" s="67">
        <v>0</v>
      </c>
      <c r="K4459" s="62">
        <v>0</v>
      </c>
      <c r="L4459" s="33" t="e">
        <f>HLOOKUP(B4459,#REF!,1,0)</f>
        <v>#REF!</v>
      </c>
      <c r="M4459" s="33" t="str">
        <f t="shared" si="279"/>
        <v>P&amp;L</v>
      </c>
    </row>
    <row r="4460" spans="1:13" s="33" customFormat="true" ht="12.75" customHeight="true">
      <c r="A4460" s="33" t="str">
        <f t="shared" si="276"/>
        <v>DPI - CGS</v>
      </c>
      <c r="B4460" s="33" t="str">
        <f t="shared" si="277"/>
        <v>DPI</v>
      </c>
      <c r="C4460" s="33" t="str">
        <f t="shared" si="278"/>
        <v>54004-0000</v>
      </c>
      <c r="D4460" s="64" t="s">
        <v>5459</v>
      </c>
      <c r="E4460" s="64" t="s">
        <v>3806</v>
      </c>
      <c r="F4460" s="64" t="s">
        <v>230</v>
      </c>
      <c r="G4460" s="64" t="s">
        <v>3800</v>
      </c>
      <c r="H4460" s="64" t="s">
        <v>1875</v>
      </c>
      <c r="I4460" s="64" t="s">
        <v>3807</v>
      </c>
      <c r="J4460" s="67">
        <v>0</v>
      </c>
      <c r="K4460" s="62">
        <v>0</v>
      </c>
      <c r="L4460" s="33" t="e">
        <f>HLOOKUP(B4460,#REF!,1,0)</f>
        <v>#REF!</v>
      </c>
      <c r="M4460" s="33" t="str">
        <f t="shared" si="279"/>
        <v>P&amp;L</v>
      </c>
    </row>
    <row r="4461" spans="1:13" s="33" customFormat="true" ht="12.75" customHeight="true">
      <c r="A4461" s="33" t="str">
        <f t="shared" si="276"/>
        <v>DPI - CGS</v>
      </c>
      <c r="B4461" s="33" t="str">
        <f t="shared" si="277"/>
        <v>DPI</v>
      </c>
      <c r="C4461" s="33" t="str">
        <f t="shared" si="278"/>
        <v>54006-0000</v>
      </c>
      <c r="D4461" s="64" t="s">
        <v>5460</v>
      </c>
      <c r="E4461" s="64" t="s">
        <v>3812</v>
      </c>
      <c r="F4461" s="64" t="s">
        <v>230</v>
      </c>
      <c r="G4461" s="64" t="s">
        <v>3800</v>
      </c>
      <c r="H4461" s="64" t="s">
        <v>1875</v>
      </c>
      <c r="I4461" s="64" t="s">
        <v>3003</v>
      </c>
      <c r="J4461" s="67">
        <v>0</v>
      </c>
      <c r="K4461" s="62">
        <v>0</v>
      </c>
      <c r="L4461" s="33" t="e">
        <f>HLOOKUP(B4461,#REF!,1,0)</f>
        <v>#REF!</v>
      </c>
      <c r="M4461" s="33" t="str">
        <f t="shared" si="279"/>
        <v>P&amp;L</v>
      </c>
    </row>
    <row r="4462" spans="1:13" s="33" customFormat="true" ht="12.75" customHeight="true">
      <c r="A4462" s="33" t="str">
        <f t="shared" si="276"/>
        <v>DPI - CGS</v>
      </c>
      <c r="B4462" s="33" t="str">
        <f t="shared" si="277"/>
        <v>DPI</v>
      </c>
      <c r="C4462" s="33" t="str">
        <f t="shared" si="278"/>
        <v>54007-0000</v>
      </c>
      <c r="D4462" s="64" t="s">
        <v>5461</v>
      </c>
      <c r="E4462" s="64" t="s">
        <v>4182</v>
      </c>
      <c r="F4462" s="64" t="s">
        <v>230</v>
      </c>
      <c r="G4462" s="64" t="s">
        <v>3800</v>
      </c>
      <c r="H4462" s="64" t="s">
        <v>1875</v>
      </c>
      <c r="I4462" s="64" t="s">
        <v>3815</v>
      </c>
      <c r="J4462" s="67">
        <v>486</v>
      </c>
      <c r="K4462" s="62">
        <v>2535</v>
      </c>
      <c r="L4462" s="33" t="e">
        <f>HLOOKUP(B4462,#REF!,1,0)</f>
        <v>#REF!</v>
      </c>
      <c r="M4462" s="33" t="str">
        <f t="shared" si="279"/>
        <v>P&amp;L</v>
      </c>
    </row>
    <row r="4463" spans="1:13" s="33" customFormat="true" ht="12.75" customHeight="true">
      <c r="A4463" s="33" t="str">
        <f t="shared" si="276"/>
        <v>DPI - PM Expenses</v>
      </c>
      <c r="B4463" s="33" t="str">
        <f t="shared" si="277"/>
        <v>DPI</v>
      </c>
      <c r="C4463" s="33" t="str">
        <f t="shared" si="278"/>
        <v>55501-0000</v>
      </c>
      <c r="D4463" s="64" t="s">
        <v>5462</v>
      </c>
      <c r="E4463" s="64" t="s">
        <v>3817</v>
      </c>
      <c r="F4463" s="64" t="s">
        <v>230</v>
      </c>
      <c r="G4463" s="64" t="s">
        <v>3818</v>
      </c>
      <c r="H4463" s="64" t="s">
        <v>3819</v>
      </c>
      <c r="I4463" s="64" t="s">
        <v>3820</v>
      </c>
      <c r="J4463" s="67">
        <v>0</v>
      </c>
      <c r="K4463" s="62">
        <v>100</v>
      </c>
      <c r="L4463" s="33" t="e">
        <f>HLOOKUP(B4463,#REF!,1,0)</f>
        <v>#REF!</v>
      </c>
      <c r="M4463" s="33" t="str">
        <f t="shared" si="279"/>
        <v>P&amp;L</v>
      </c>
    </row>
    <row r="4464" spans="1:13" s="33" customFormat="true" ht="12.75" customHeight="true">
      <c r="A4464" s="33" t="str">
        <f t="shared" si="276"/>
        <v>DPI - PM Expenses</v>
      </c>
      <c r="B4464" s="33" t="str">
        <f t="shared" si="277"/>
        <v>DPI</v>
      </c>
      <c r="C4464" s="33" t="str">
        <f t="shared" si="278"/>
        <v>55502-0000</v>
      </c>
      <c r="D4464" s="64" t="s">
        <v>5463</v>
      </c>
      <c r="E4464" s="64" t="s">
        <v>3822</v>
      </c>
      <c r="F4464" s="64" t="s">
        <v>230</v>
      </c>
      <c r="G4464" s="64" t="s">
        <v>3818</v>
      </c>
      <c r="H4464" s="64" t="s">
        <v>3819</v>
      </c>
      <c r="I4464" s="64" t="s">
        <v>3823</v>
      </c>
      <c r="J4464" s="67">
        <v>0</v>
      </c>
      <c r="K4464" s="62">
        <v>1259.34</v>
      </c>
      <c r="L4464" s="33" t="e">
        <f>HLOOKUP(B4464,#REF!,1,0)</f>
        <v>#REF!</v>
      </c>
      <c r="M4464" s="33" t="str">
        <f t="shared" si="279"/>
        <v>P&amp;L</v>
      </c>
    </row>
    <row r="4465" spans="1:13" s="33" customFormat="true" ht="12.75" customHeight="true">
      <c r="A4465" s="33" t="str">
        <f t="shared" si="276"/>
        <v>DPI - PM Expenses</v>
      </c>
      <c r="B4465" s="33" t="str">
        <f t="shared" si="277"/>
        <v>DPI</v>
      </c>
      <c r="C4465" s="33" t="str">
        <f t="shared" si="278"/>
        <v>55503-0000</v>
      </c>
      <c r="D4465" s="64" t="s">
        <v>5464</v>
      </c>
      <c r="E4465" s="64" t="s">
        <v>3825</v>
      </c>
      <c r="F4465" s="64" t="s">
        <v>230</v>
      </c>
      <c r="G4465" s="64" t="s">
        <v>3818</v>
      </c>
      <c r="H4465" s="64" t="s">
        <v>3819</v>
      </c>
      <c r="I4465" s="64" t="s">
        <v>3826</v>
      </c>
      <c r="J4465" s="67">
        <v>1371.25</v>
      </c>
      <c r="K4465" s="62">
        <v>1768.69</v>
      </c>
      <c r="L4465" s="33" t="e">
        <f>HLOOKUP(B4465,#REF!,1,0)</f>
        <v>#REF!</v>
      </c>
      <c r="M4465" s="33" t="str">
        <f t="shared" si="279"/>
        <v>P&amp;L</v>
      </c>
    </row>
    <row r="4466" spans="1:13" s="33" customFormat="true" ht="12.75" customHeight="true">
      <c r="A4466" s="33" t="str">
        <f t="shared" si="276"/>
        <v>DPI - PM Expenses</v>
      </c>
      <c r="B4466" s="33" t="str">
        <f t="shared" si="277"/>
        <v>DPI</v>
      </c>
      <c r="C4466" s="33" t="str">
        <f t="shared" si="278"/>
        <v>55505-0000</v>
      </c>
      <c r="D4466" s="64" t="s">
        <v>5465</v>
      </c>
      <c r="E4466" s="64" t="s">
        <v>3828</v>
      </c>
      <c r="F4466" s="64" t="s">
        <v>230</v>
      </c>
      <c r="G4466" s="64" t="s">
        <v>3818</v>
      </c>
      <c r="H4466" s="64" t="s">
        <v>3819</v>
      </c>
      <c r="I4466" s="64" t="s">
        <v>3829</v>
      </c>
      <c r="J4466" s="67">
        <v>176</v>
      </c>
      <c r="K4466" s="62">
        <v>1382.18</v>
      </c>
      <c r="L4466" s="33" t="e">
        <f>HLOOKUP(B4466,#REF!,1,0)</f>
        <v>#REF!</v>
      </c>
      <c r="M4466" s="33" t="str">
        <f t="shared" si="279"/>
        <v>P&amp;L</v>
      </c>
    </row>
    <row r="4467" spans="1:13" s="33" customFormat="true" ht="12.75" customHeight="true">
      <c r="A4467" s="33" t="str">
        <f t="shared" si="276"/>
        <v>DPI - PM Expenses</v>
      </c>
      <c r="B4467" s="33" t="str">
        <f t="shared" si="277"/>
        <v>DPI</v>
      </c>
      <c r="C4467" s="33" t="str">
        <f t="shared" si="278"/>
        <v>55506-0000</v>
      </c>
      <c r="D4467" s="64" t="s">
        <v>5466</v>
      </c>
      <c r="E4467" s="64" t="s">
        <v>3831</v>
      </c>
      <c r="F4467" s="64" t="s">
        <v>230</v>
      </c>
      <c r="G4467" s="64" t="s">
        <v>3818</v>
      </c>
      <c r="H4467" s="64" t="s">
        <v>3819</v>
      </c>
      <c r="I4467" s="64" t="s">
        <v>3832</v>
      </c>
      <c r="J4467" s="67">
        <v>-1848</v>
      </c>
      <c r="K4467" s="62">
        <v>15456.06</v>
      </c>
      <c r="L4467" s="33" t="e">
        <f>HLOOKUP(B4467,#REF!,1,0)</f>
        <v>#REF!</v>
      </c>
      <c r="M4467" s="33" t="str">
        <f t="shared" si="279"/>
        <v>P&amp;L</v>
      </c>
    </row>
    <row r="4468" spans="1:13" s="33" customFormat="true" ht="12.75" customHeight="true">
      <c r="A4468" s="33" t="str">
        <f t="shared" si="276"/>
        <v>DPI - PM Expenses</v>
      </c>
      <c r="B4468" s="33" t="str">
        <f t="shared" si="277"/>
        <v>DPI</v>
      </c>
      <c r="C4468" s="33" t="str">
        <f t="shared" si="278"/>
        <v>55507-0000</v>
      </c>
      <c r="D4468" s="64" t="s">
        <v>5467</v>
      </c>
      <c r="E4468" s="64" t="s">
        <v>3834</v>
      </c>
      <c r="F4468" s="64" t="s">
        <v>230</v>
      </c>
      <c r="G4468" s="64" t="s">
        <v>3818</v>
      </c>
      <c r="H4468" s="64" t="s">
        <v>3819</v>
      </c>
      <c r="I4468" s="64" t="s">
        <v>3835</v>
      </c>
      <c r="J4468" s="67">
        <v>0</v>
      </c>
      <c r="K4468" s="62">
        <v>484.74</v>
      </c>
      <c r="L4468" s="33" t="e">
        <f>HLOOKUP(B4468,#REF!,1,0)</f>
        <v>#REF!</v>
      </c>
      <c r="M4468" s="33" t="str">
        <f t="shared" si="279"/>
        <v>P&amp;L</v>
      </c>
    </row>
    <row r="4469" spans="1:13" s="33" customFormat="true" ht="14.25" customHeight="true">
      <c r="A4469" s="33" t="str">
        <f t="shared" si="276"/>
        <v>DPI - CGS</v>
      </c>
      <c r="B4469" s="33" t="str">
        <f t="shared" si="277"/>
        <v>DPI</v>
      </c>
      <c r="C4469" s="33" t="str">
        <f t="shared" si="278"/>
        <v>60001-0000</v>
      </c>
      <c r="D4469" s="64" t="s">
        <v>5468</v>
      </c>
      <c r="E4469" s="64" t="s">
        <v>4192</v>
      </c>
      <c r="F4469" s="64" t="s">
        <v>230</v>
      </c>
      <c r="G4469" s="64" t="s">
        <v>3838</v>
      </c>
      <c r="H4469" s="33" t="s">
        <v>1875</v>
      </c>
      <c r="I4469" s="64" t="s">
        <v>4193</v>
      </c>
      <c r="J4469" s="67">
        <v>0</v>
      </c>
      <c r="K4469" s="62">
        <v>1600.35</v>
      </c>
      <c r="L4469" s="33" t="e">
        <f>HLOOKUP(B4469,#REF!,1,0)</f>
        <v>#REF!</v>
      </c>
      <c r="M4469" s="33" t="str">
        <f t="shared" si="279"/>
        <v>P&amp;L</v>
      </c>
    </row>
    <row r="4470" spans="1:13" s="33" customFormat="true" ht="12.75" customHeight="true">
      <c r="A4470" s="33" t="str">
        <f t="shared" si="276"/>
        <v>DPI - CGS</v>
      </c>
      <c r="B4470" s="33" t="str">
        <f t="shared" si="277"/>
        <v>DPI</v>
      </c>
      <c r="C4470" s="33" t="str">
        <f t="shared" si="278"/>
        <v>60002-0000</v>
      </c>
      <c r="D4470" s="64" t="s">
        <v>5469</v>
      </c>
      <c r="E4470" s="64" t="s">
        <v>3837</v>
      </c>
      <c r="F4470" s="64" t="s">
        <v>230</v>
      </c>
      <c r="G4470" s="64" t="s">
        <v>3838</v>
      </c>
      <c r="H4470" s="64" t="s">
        <v>1875</v>
      </c>
      <c r="I4470" s="64" t="s">
        <v>3839</v>
      </c>
      <c r="J4470" s="67">
        <v>64.01</v>
      </c>
      <c r="K4470" s="62">
        <v>716.57</v>
      </c>
      <c r="L4470" s="33" t="e">
        <f>HLOOKUP(B4470,#REF!,1,0)</f>
        <v>#REF!</v>
      </c>
      <c r="M4470" s="33" t="str">
        <f t="shared" si="279"/>
        <v>P&amp;L</v>
      </c>
    </row>
    <row r="4471" spans="1:13" s="33" customFormat="true" ht="12.75" customHeight="true">
      <c r="A4471" s="33" t="str">
        <f t="shared" si="276"/>
        <v>DPI - CGS</v>
      </c>
      <c r="B4471" s="33" t="str">
        <f t="shared" si="277"/>
        <v>DPI</v>
      </c>
      <c r="C4471" s="33" t="str">
        <f t="shared" si="278"/>
        <v>60005-0000</v>
      </c>
      <c r="D4471" s="64" t="s">
        <v>5470</v>
      </c>
      <c r="E4471" s="64" t="s">
        <v>3841</v>
      </c>
      <c r="F4471" s="64" t="s">
        <v>230</v>
      </c>
      <c r="G4471" s="64" t="s">
        <v>3838</v>
      </c>
      <c r="H4471" s="64" t="s">
        <v>1875</v>
      </c>
      <c r="I4471" s="64" t="s">
        <v>3842</v>
      </c>
      <c r="J4471" s="67">
        <v>0</v>
      </c>
      <c r="K4471" s="62">
        <v>5319.53</v>
      </c>
      <c r="L4471" s="33" t="e">
        <f>HLOOKUP(B4471,#REF!,1,0)</f>
        <v>#REF!</v>
      </c>
      <c r="M4471" s="33" t="str">
        <f t="shared" si="279"/>
        <v>P&amp;L</v>
      </c>
    </row>
    <row r="4472" spans="1:13" s="33" customFormat="true" ht="12.75" customHeight="true">
      <c r="A4472" s="33" t="str">
        <f t="shared" si="276"/>
        <v>DPI - Interest Expense</v>
      </c>
      <c r="B4472" s="33" t="str">
        <f t="shared" si="277"/>
        <v>DPI</v>
      </c>
      <c r="C4472" s="33" t="str">
        <f t="shared" si="278"/>
        <v>60006-0000</v>
      </c>
      <c r="D4472" s="64" t="s">
        <v>5471</v>
      </c>
      <c r="E4472" s="64" t="s">
        <v>3325</v>
      </c>
      <c r="F4472" s="64" t="s">
        <v>230</v>
      </c>
      <c r="G4472" s="64" t="s">
        <v>3844</v>
      </c>
      <c r="H4472" s="64" t="s">
        <v>3327</v>
      </c>
      <c r="I4472" s="64" t="s">
        <v>3328</v>
      </c>
      <c r="J4472" s="67">
        <v>6794.1</v>
      </c>
      <c r="K4472" s="62">
        <v>68526.68</v>
      </c>
      <c r="L4472" s="33" t="e">
        <f>HLOOKUP(B4472,#REF!,1,0)</f>
        <v>#REF!</v>
      </c>
      <c r="M4472" s="33" t="str">
        <f t="shared" si="279"/>
        <v>P&amp;L</v>
      </c>
    </row>
    <row r="4473" spans="1:13" s="33" customFormat="true" ht="12.75" customHeight="true">
      <c r="A4473" s="33" t="str">
        <f t="shared" si="276"/>
        <v>DPI - CGS</v>
      </c>
      <c r="B4473" s="33" t="str">
        <f t="shared" si="277"/>
        <v>DPI</v>
      </c>
      <c r="C4473" s="33" t="str">
        <f t="shared" si="278"/>
        <v>60007-0000</v>
      </c>
      <c r="D4473" s="64" t="s">
        <v>5472</v>
      </c>
      <c r="E4473" s="64" t="s">
        <v>3846</v>
      </c>
      <c r="F4473" s="64" t="s">
        <v>230</v>
      </c>
      <c r="G4473" s="64" t="s">
        <v>3838</v>
      </c>
      <c r="H4473" s="64" t="s">
        <v>1875</v>
      </c>
      <c r="I4473" s="64" t="s">
        <v>3847</v>
      </c>
      <c r="J4473" s="67">
        <v>0</v>
      </c>
      <c r="K4473" s="62">
        <v>801</v>
      </c>
      <c r="L4473" s="33" t="e">
        <f>HLOOKUP(B4473,#REF!,1,0)</f>
        <v>#REF!</v>
      </c>
      <c r="M4473" s="33" t="str">
        <f t="shared" si="279"/>
        <v>P&amp;L</v>
      </c>
    </row>
    <row r="4474" spans="1:13" s="33" customFormat="true" ht="12.75" customHeight="true">
      <c r="A4474" s="33" t="str">
        <f t="shared" si="276"/>
        <v>DPI - CGS</v>
      </c>
      <c r="B4474" s="33" t="str">
        <f t="shared" si="277"/>
        <v>DPI</v>
      </c>
      <c r="C4474" s="33" t="str">
        <f t="shared" si="278"/>
        <v>60011-0000</v>
      </c>
      <c r="D4474" s="64" t="s">
        <v>5473</v>
      </c>
      <c r="E4474" s="64" t="s">
        <v>4199</v>
      </c>
      <c r="F4474" s="64" t="s">
        <v>230</v>
      </c>
      <c r="G4474" s="64" t="s">
        <v>3838</v>
      </c>
      <c r="H4474" s="64" t="s">
        <v>1875</v>
      </c>
      <c r="I4474" s="64" t="s">
        <v>4200</v>
      </c>
      <c r="J4474" s="67">
        <v>0</v>
      </c>
      <c r="K4474" s="62">
        <v>1316.93</v>
      </c>
      <c r="L4474" s="33" t="e">
        <f>HLOOKUP(B4474,#REF!,1,0)</f>
        <v>#REF!</v>
      </c>
      <c r="M4474" s="33" t="str">
        <f t="shared" si="279"/>
        <v>P&amp;L</v>
      </c>
    </row>
    <row r="4475" spans="1:13" s="33" customFormat="true" ht="12.75" customHeight="true">
      <c r="A4475" s="33" t="str">
        <f t="shared" si="276"/>
        <v>DPI - CGS</v>
      </c>
      <c r="B4475" s="33" t="str">
        <f t="shared" si="277"/>
        <v>DPI</v>
      </c>
      <c r="C4475" s="33" t="str">
        <f t="shared" si="278"/>
        <v>60012-0000</v>
      </c>
      <c r="D4475" s="64" t="s">
        <v>5474</v>
      </c>
      <c r="E4475" s="64" t="s">
        <v>3852</v>
      </c>
      <c r="F4475" s="64" t="s">
        <v>230</v>
      </c>
      <c r="G4475" s="64" t="s">
        <v>3838</v>
      </c>
      <c r="H4475" s="64" t="s">
        <v>1875</v>
      </c>
      <c r="I4475" s="64" t="s">
        <v>3853</v>
      </c>
      <c r="J4475" s="67">
        <v>0</v>
      </c>
      <c r="K4475" s="62">
        <v>27666.81</v>
      </c>
      <c r="L4475" s="33" t="e">
        <f>HLOOKUP(B4475,#REF!,1,0)</f>
        <v>#REF!</v>
      </c>
      <c r="M4475" s="33" t="str">
        <f t="shared" si="279"/>
        <v>P&amp;L</v>
      </c>
    </row>
    <row r="4476" spans="1:13" s="33" customFormat="true" ht="12.75" customHeight="true">
      <c r="A4476" s="33" t="str">
        <f t="shared" si="276"/>
        <v>DPI - CGS</v>
      </c>
      <c r="B4476" s="33" t="str">
        <f t="shared" si="277"/>
        <v>DPI</v>
      </c>
      <c r="C4476" s="33" t="str">
        <f t="shared" si="278"/>
        <v>60014-0000</v>
      </c>
      <c r="D4476" s="64" t="s">
        <v>5475</v>
      </c>
      <c r="E4476" s="64" t="s">
        <v>3855</v>
      </c>
      <c r="F4476" s="64" t="s">
        <v>230</v>
      </c>
      <c r="G4476" s="64" t="s">
        <v>3838</v>
      </c>
      <c r="H4476" s="64" t="s">
        <v>1875</v>
      </c>
      <c r="I4476" s="64" t="s">
        <v>3856</v>
      </c>
      <c r="J4476" s="67">
        <v>1348.25</v>
      </c>
      <c r="K4476" s="62">
        <v>15002.03</v>
      </c>
      <c r="L4476" s="33" t="e">
        <f>HLOOKUP(B4476,#REF!,1,0)</f>
        <v>#REF!</v>
      </c>
      <c r="M4476" s="33" t="str">
        <f t="shared" si="279"/>
        <v>P&amp;L</v>
      </c>
    </row>
    <row r="4477" spans="1:13" s="33" customFormat="true" ht="12.75" customHeight="true">
      <c r="A4477" s="33" t="str">
        <f t="shared" si="276"/>
        <v>DPI - CGS</v>
      </c>
      <c r="B4477" s="33" t="str">
        <f t="shared" si="277"/>
        <v>DPI</v>
      </c>
      <c r="C4477" s="33" t="str">
        <f t="shared" si="278"/>
        <v>60015-0000</v>
      </c>
      <c r="D4477" s="64" t="s">
        <v>5476</v>
      </c>
      <c r="E4477" s="64" t="s">
        <v>3858</v>
      </c>
      <c r="F4477" s="64" t="s">
        <v>230</v>
      </c>
      <c r="G4477" s="64" t="s">
        <v>3838</v>
      </c>
      <c r="H4477" s="64" t="s">
        <v>1875</v>
      </c>
      <c r="I4477" s="64" t="s">
        <v>3859</v>
      </c>
      <c r="J4477" s="67">
        <v>0</v>
      </c>
      <c r="K4477" s="62">
        <v>65.45</v>
      </c>
      <c r="L4477" s="33" t="e">
        <f>HLOOKUP(B4477,#REF!,1,0)</f>
        <v>#REF!</v>
      </c>
      <c r="M4477" s="33" t="str">
        <f t="shared" si="279"/>
        <v>P&amp;L</v>
      </c>
    </row>
    <row r="4478" spans="1:13" s="33" customFormat="true" ht="12.75" customHeight="true">
      <c r="A4478" s="33" t="str">
        <f t="shared" si="276"/>
        <v>DPI - Income Tax</v>
      </c>
      <c r="B4478" s="33" t="str">
        <f t="shared" si="277"/>
        <v>DPI</v>
      </c>
      <c r="C4478" s="33" t="str">
        <f t="shared" si="278"/>
        <v>61019-0000</v>
      </c>
      <c r="D4478" s="64" t="s">
        <v>5477</v>
      </c>
      <c r="E4478" s="64" t="s">
        <v>4041</v>
      </c>
      <c r="F4478" s="64" t="s">
        <v>230</v>
      </c>
      <c r="G4478" s="64" t="s">
        <v>3844</v>
      </c>
      <c r="H4478" s="64" t="s">
        <v>3378</v>
      </c>
      <c r="I4478" s="64" t="s">
        <v>4042</v>
      </c>
      <c r="J4478" s="67">
        <v>0</v>
      </c>
      <c r="K4478" s="62">
        <v>1700</v>
      </c>
      <c r="L4478" s="33" t="e">
        <f>HLOOKUP(B4478,#REF!,1,0)</f>
        <v>#REF!</v>
      </c>
      <c r="M4478" s="33" t="str">
        <f t="shared" si="279"/>
        <v>P&amp;L</v>
      </c>
    </row>
    <row r="4479" spans="1:13" s="33" customFormat="true" ht="12.75" customHeight="true">
      <c r="A4479" s="33" t="str">
        <f t="shared" si="276"/>
        <v>DPM - Cash</v>
      </c>
      <c r="B4479" s="33" t="str">
        <f t="shared" si="277"/>
        <v>DPM</v>
      </c>
      <c r="C4479" s="33" t="str">
        <f t="shared" si="278"/>
        <v>10001-0000</v>
      </c>
      <c r="D4479" s="64" t="s">
        <v>5478</v>
      </c>
      <c r="E4479" s="64" t="s">
        <v>240</v>
      </c>
      <c r="F4479" s="64" t="s">
        <v>230</v>
      </c>
      <c r="G4479" s="64" t="s">
        <v>16</v>
      </c>
      <c r="H4479" s="64" t="s">
        <v>25</v>
      </c>
      <c r="I4479" s="64" t="s">
        <v>18</v>
      </c>
      <c r="J4479" s="67">
        <v>-56406.8</v>
      </c>
      <c r="K4479" s="62">
        <v>-14018.33</v>
      </c>
      <c r="L4479" s="33" t="e">
        <f>HLOOKUP(B4479,#REF!,1,0)</f>
        <v>#REF!</v>
      </c>
      <c r="M4479" s="33" t="str">
        <f t="shared" si="279"/>
        <v>BS</v>
      </c>
    </row>
    <row r="4480" spans="1:13" s="33" customFormat="true" ht="12.75" customHeight="true">
      <c r="A4480" s="33" t="str">
        <f t="shared" si="276"/>
        <v>DPM - AR-PPD</v>
      </c>
      <c r="B4480" s="33" t="str">
        <f t="shared" si="277"/>
        <v>DPM</v>
      </c>
      <c r="C4480" s="33" t="str">
        <f t="shared" si="278"/>
        <v>11000-0000</v>
      </c>
      <c r="D4480" s="64" t="s">
        <v>5479</v>
      </c>
      <c r="E4480" s="64" t="s">
        <v>34</v>
      </c>
      <c r="F4480" s="64" t="s">
        <v>230</v>
      </c>
      <c r="G4480" s="64" t="s">
        <v>16</v>
      </c>
      <c r="H4480" s="64" t="s">
        <v>35</v>
      </c>
      <c r="I4480" s="64" t="s">
        <v>36</v>
      </c>
      <c r="J4480" s="67">
        <v>0</v>
      </c>
      <c r="K4480" s="62">
        <v>804.36</v>
      </c>
      <c r="L4480" s="33" t="e">
        <f>HLOOKUP(B4480,#REF!,1,0)</f>
        <v>#REF!</v>
      </c>
      <c r="M4480" s="33" t="str">
        <f t="shared" si="279"/>
        <v>BS</v>
      </c>
    </row>
    <row r="4481" spans="1:13" s="33" customFormat="true" ht="12.75" customHeight="true">
      <c r="A4481" s="33" t="str">
        <f t="shared" si="276"/>
        <v>DPM - Intercompany</v>
      </c>
      <c r="B4481" s="33" t="str">
        <f t="shared" si="277"/>
        <v>DPM</v>
      </c>
      <c r="C4481" s="33" t="str">
        <f t="shared" si="278"/>
        <v>11216-0000</v>
      </c>
      <c r="D4481" s="64" t="s">
        <v>5480</v>
      </c>
      <c r="E4481" s="64" t="s">
        <v>242</v>
      </c>
      <c r="F4481" s="64" t="s">
        <v>230</v>
      </c>
      <c r="G4481" s="64" t="s">
        <v>16</v>
      </c>
      <c r="H4481" s="64" t="s">
        <v>39</v>
      </c>
      <c r="I4481" s="64" t="s">
        <v>40</v>
      </c>
      <c r="J4481" s="67">
        <v>345.05</v>
      </c>
      <c r="K4481" s="62">
        <v>-3996.04</v>
      </c>
      <c r="L4481" s="33" t="e">
        <f>HLOOKUP(B4481,#REF!,1,0)</f>
        <v>#REF!</v>
      </c>
      <c r="M4481" s="33" t="str">
        <f t="shared" si="279"/>
        <v>BS</v>
      </c>
    </row>
    <row r="4482" spans="1:13" s="33" customFormat="true" ht="12.75" customHeight="true">
      <c r="A4482" s="33" t="str">
        <f t="shared" ref="A4482:A4545" si="280">B4482&amp;" - "&amp;TRIM(H4482)</f>
        <v>DPM - Intercompany</v>
      </c>
      <c r="B4482" s="33" t="str">
        <f t="shared" ref="B4482:B4545" si="281">LEFT(D4482,3)</f>
        <v>DPM</v>
      </c>
      <c r="C4482" s="33" t="str">
        <f t="shared" ref="C4482:C4545" si="282">RIGHT(D4482,10)</f>
        <v>11343-0000</v>
      </c>
      <c r="D4482" s="64" t="s">
        <v>5481</v>
      </c>
      <c r="E4482" s="64" t="s">
        <v>600</v>
      </c>
      <c r="F4482" s="64" t="s">
        <v>230</v>
      </c>
      <c r="G4482" s="64" t="s">
        <v>16</v>
      </c>
      <c r="H4482" s="64" t="s">
        <v>39</v>
      </c>
      <c r="I4482" s="64" t="s">
        <v>40</v>
      </c>
      <c r="J4482" s="67">
        <v>618.37</v>
      </c>
      <c r="K4482" s="62">
        <v>-7416.05</v>
      </c>
      <c r="L4482" s="33" t="e">
        <f>HLOOKUP(B4482,#REF!,1,0)</f>
        <v>#REF!</v>
      </c>
      <c r="M4482" s="33" t="str">
        <f t="shared" ref="M4482:M4545" si="283">IF(VALUE(LEFT(C4482,5))&gt;40000,"P&amp;L","BS")</f>
        <v>BS</v>
      </c>
    </row>
    <row r="4483" spans="1:13" s="33" customFormat="true" ht="12.75" customHeight="true">
      <c r="A4483" s="33" t="str">
        <f t="shared" si="280"/>
        <v>DPM - Intercompany</v>
      </c>
      <c r="B4483" s="33" t="str">
        <f t="shared" si="281"/>
        <v>DPM</v>
      </c>
      <c r="C4483" s="33" t="str">
        <f t="shared" si="282"/>
        <v>11346-0000</v>
      </c>
      <c r="D4483" s="64" t="s">
        <v>5482</v>
      </c>
      <c r="E4483" s="64" t="s">
        <v>739</v>
      </c>
      <c r="F4483" s="64" t="s">
        <v>230</v>
      </c>
      <c r="G4483" s="64" t="s">
        <v>16</v>
      </c>
      <c r="H4483" s="64" t="s">
        <v>39</v>
      </c>
      <c r="I4483" s="64" t="s">
        <v>40</v>
      </c>
      <c r="J4483" s="67">
        <v>0</v>
      </c>
      <c r="K4483" s="62">
        <v>-2494789.76</v>
      </c>
      <c r="L4483" s="33" t="e">
        <f>HLOOKUP(B4483,#REF!,1,0)</f>
        <v>#REF!</v>
      </c>
      <c r="M4483" s="33" t="str">
        <f t="shared" si="283"/>
        <v>BS</v>
      </c>
    </row>
    <row r="4484" spans="1:13" s="33" customFormat="true" ht="12.75" customHeight="true">
      <c r="A4484" s="33" t="str">
        <f t="shared" si="280"/>
        <v>DPM - Fixed Assets</v>
      </c>
      <c r="B4484" s="33" t="str">
        <f t="shared" si="281"/>
        <v>DPM</v>
      </c>
      <c r="C4484" s="33" t="str">
        <f t="shared" si="282"/>
        <v>14000-0000</v>
      </c>
      <c r="D4484" s="64" t="s">
        <v>5483</v>
      </c>
      <c r="E4484" s="64" t="s">
        <v>298</v>
      </c>
      <c r="F4484" s="64" t="s">
        <v>230</v>
      </c>
      <c r="G4484" s="64" t="s">
        <v>62</v>
      </c>
      <c r="H4484" s="64" t="s">
        <v>63</v>
      </c>
      <c r="I4484" s="64" t="s">
        <v>64</v>
      </c>
      <c r="J4484" s="67">
        <v>0</v>
      </c>
      <c r="K4484" s="62">
        <v>7950000</v>
      </c>
      <c r="L4484" s="33" t="e">
        <f>HLOOKUP(B4484,#REF!,1,0)</f>
        <v>#REF!</v>
      </c>
      <c r="M4484" s="33" t="str">
        <f t="shared" si="283"/>
        <v>BS</v>
      </c>
    </row>
    <row r="4485" spans="1:13" s="33" customFormat="true" ht="12.75" customHeight="true">
      <c r="A4485" s="33" t="str">
        <f t="shared" si="280"/>
        <v>DPM - Fixed Assets</v>
      </c>
      <c r="B4485" s="33" t="str">
        <f t="shared" si="281"/>
        <v>DPM</v>
      </c>
      <c r="C4485" s="33" t="str">
        <f t="shared" si="282"/>
        <v>15000-0000</v>
      </c>
      <c r="D4485" s="64" t="s">
        <v>5484</v>
      </c>
      <c r="E4485" s="64" t="s">
        <v>300</v>
      </c>
      <c r="F4485" s="64" t="s">
        <v>230</v>
      </c>
      <c r="G4485" s="64" t="s">
        <v>62</v>
      </c>
      <c r="H4485" s="64" t="s">
        <v>63</v>
      </c>
      <c r="I4485" s="64" t="s">
        <v>64</v>
      </c>
      <c r="J4485" s="67">
        <v>0</v>
      </c>
      <c r="K4485" s="62">
        <v>18550000</v>
      </c>
      <c r="L4485" s="33" t="e">
        <f>HLOOKUP(B4485,#REF!,1,0)</f>
        <v>#REF!</v>
      </c>
      <c r="M4485" s="33" t="str">
        <f t="shared" si="283"/>
        <v>BS</v>
      </c>
    </row>
    <row r="4486" spans="1:13" s="33" customFormat="true" ht="12.75" customHeight="true">
      <c r="A4486" s="33" t="str">
        <f t="shared" si="280"/>
        <v>DPM - Fixed Assets</v>
      </c>
      <c r="B4486" s="33" t="str">
        <f t="shared" si="281"/>
        <v>DPM</v>
      </c>
      <c r="C4486" s="33" t="str">
        <f t="shared" si="282"/>
        <v>15501-0000</v>
      </c>
      <c r="D4486" s="64" t="s">
        <v>5485</v>
      </c>
      <c r="E4486" s="64" t="s">
        <v>2635</v>
      </c>
      <c r="F4486" s="64" t="s">
        <v>230</v>
      </c>
      <c r="G4486" s="64" t="s">
        <v>62</v>
      </c>
      <c r="H4486" s="64" t="s">
        <v>63</v>
      </c>
      <c r="I4486" s="64" t="s">
        <v>64</v>
      </c>
      <c r="J4486" s="67">
        <v>1496.04</v>
      </c>
      <c r="K4486" s="62">
        <v>5871.42</v>
      </c>
      <c r="L4486" s="33" t="e">
        <f>HLOOKUP(B4486,#REF!,1,0)</f>
        <v>#REF!</v>
      </c>
      <c r="M4486" s="33" t="str">
        <f t="shared" si="283"/>
        <v>BS</v>
      </c>
    </row>
    <row r="4487" spans="1:13" s="33" customFormat="true" ht="12.75" customHeight="true">
      <c r="A4487" s="33" t="str">
        <f t="shared" si="280"/>
        <v>DPM - Deposits</v>
      </c>
      <c r="B4487" s="33" t="str">
        <f t="shared" si="281"/>
        <v>DPM</v>
      </c>
      <c r="C4487" s="33" t="str">
        <f t="shared" si="282"/>
        <v>19001-0000</v>
      </c>
      <c r="D4487" s="64" t="s">
        <v>5486</v>
      </c>
      <c r="E4487" s="64" t="s">
        <v>344</v>
      </c>
      <c r="F4487" s="64" t="s">
        <v>230</v>
      </c>
      <c r="G4487" s="64" t="s">
        <v>62</v>
      </c>
      <c r="H4487" s="64" t="s">
        <v>80</v>
      </c>
      <c r="I4487" s="64" t="s">
        <v>81</v>
      </c>
      <c r="J4487" s="67">
        <v>0</v>
      </c>
      <c r="K4487" s="62">
        <v>29320</v>
      </c>
      <c r="L4487" s="33" t="e">
        <f>HLOOKUP(B4487,#REF!,1,0)</f>
        <v>#REF!</v>
      </c>
      <c r="M4487" s="33" t="str">
        <f t="shared" si="283"/>
        <v>BS</v>
      </c>
    </row>
    <row r="4488" spans="1:13" s="33" customFormat="true" ht="12.75" customHeight="true">
      <c r="A4488" s="33" t="str">
        <f t="shared" si="280"/>
        <v>DPM - AP-Accr Exp</v>
      </c>
      <c r="B4488" s="33" t="str">
        <f t="shared" si="281"/>
        <v>DPM</v>
      </c>
      <c r="C4488" s="33" t="str">
        <f t="shared" si="282"/>
        <v>20001-0000</v>
      </c>
      <c r="D4488" s="64" t="s">
        <v>5487</v>
      </c>
      <c r="E4488" s="64" t="s">
        <v>96</v>
      </c>
      <c r="F4488" s="64" t="s">
        <v>230</v>
      </c>
      <c r="G4488" s="64" t="s">
        <v>97</v>
      </c>
      <c r="H4488" s="64" t="s">
        <v>98</v>
      </c>
      <c r="I4488" s="64" t="s">
        <v>99</v>
      </c>
      <c r="J4488" s="67">
        <v>7404.04</v>
      </c>
      <c r="K4488" s="62">
        <v>0</v>
      </c>
      <c r="L4488" s="33" t="e">
        <f>HLOOKUP(B4488,#REF!,1,0)</f>
        <v>#REF!</v>
      </c>
      <c r="M4488" s="33" t="str">
        <f t="shared" si="283"/>
        <v>BS</v>
      </c>
    </row>
    <row r="4489" spans="1:13" s="33" customFormat="true" ht="12.75" customHeight="true">
      <c r="A4489" s="33" t="str">
        <f t="shared" si="280"/>
        <v>DPM - Tax Accr</v>
      </c>
      <c r="B4489" s="33" t="str">
        <f t="shared" si="281"/>
        <v>DPM</v>
      </c>
      <c r="C4489" s="33" t="str">
        <f t="shared" si="282"/>
        <v>22001-0000</v>
      </c>
      <c r="D4489" s="64" t="s">
        <v>5488</v>
      </c>
      <c r="E4489" s="64" t="s">
        <v>1322</v>
      </c>
      <c r="F4489" s="64" t="s">
        <v>230</v>
      </c>
      <c r="G4489" s="64" t="s">
        <v>97</v>
      </c>
      <c r="H4489" s="64" t="s">
        <v>105</v>
      </c>
      <c r="I4489" s="64" t="s">
        <v>102</v>
      </c>
      <c r="J4489" s="67">
        <v>-3680.65</v>
      </c>
      <c r="K4489" s="62">
        <v>-14050.29</v>
      </c>
      <c r="L4489" s="33" t="e">
        <f>HLOOKUP(B4489,#REF!,1,0)</f>
        <v>#REF!</v>
      </c>
      <c r="M4489" s="33" t="str">
        <f t="shared" si="283"/>
        <v>BS</v>
      </c>
    </row>
    <row r="4490" spans="1:13" s="33" customFormat="true" ht="12.75" customHeight="true">
      <c r="A4490" s="33" t="str">
        <f t="shared" si="280"/>
        <v>DPM - AP-Accr Exp</v>
      </c>
      <c r="B4490" s="33" t="str">
        <f t="shared" si="281"/>
        <v>DPM</v>
      </c>
      <c r="C4490" s="33" t="str">
        <f t="shared" si="282"/>
        <v>23509-0000</v>
      </c>
      <c r="D4490" s="64" t="s">
        <v>5489</v>
      </c>
      <c r="E4490" s="64" t="s">
        <v>111</v>
      </c>
      <c r="F4490" s="64" t="s">
        <v>230</v>
      </c>
      <c r="G4490" s="64" t="s">
        <v>97</v>
      </c>
      <c r="H4490" s="64" t="s">
        <v>98</v>
      </c>
      <c r="I4490" s="64" t="s">
        <v>102</v>
      </c>
      <c r="J4490" s="67">
        <v>662.13</v>
      </c>
      <c r="K4490" s="62">
        <v>0</v>
      </c>
      <c r="L4490" s="33" t="e">
        <f>HLOOKUP(B4490,#REF!,1,0)</f>
        <v>#REF!</v>
      </c>
      <c r="M4490" s="33" t="str">
        <f t="shared" si="283"/>
        <v>BS</v>
      </c>
    </row>
    <row r="4491" spans="1:13" s="33" customFormat="true" ht="12.75" customHeight="true">
      <c r="A4491" s="33" t="str">
        <f t="shared" si="280"/>
        <v>DPM - InterCo Notes</v>
      </c>
      <c r="B4491" s="33" t="str">
        <f t="shared" si="281"/>
        <v>DPM</v>
      </c>
      <c r="C4491" s="33" t="str">
        <f t="shared" si="282"/>
        <v>25100-0000</v>
      </c>
      <c r="D4491" s="64" t="s">
        <v>5490</v>
      </c>
      <c r="E4491" s="64" t="s">
        <v>430</v>
      </c>
      <c r="F4491" s="64" t="s">
        <v>230</v>
      </c>
      <c r="G4491" s="64" t="s">
        <v>16</v>
      </c>
      <c r="H4491" s="64" t="s">
        <v>315</v>
      </c>
      <c r="I4491" s="64" t="s">
        <v>40</v>
      </c>
      <c r="J4491" s="67">
        <v>-20000</v>
      </c>
      <c r="K4491" s="62">
        <v>-208000</v>
      </c>
      <c r="L4491" s="33" t="e">
        <f>HLOOKUP(B4491,#REF!,1,0)</f>
        <v>#REF!</v>
      </c>
      <c r="M4491" s="33" t="str">
        <f t="shared" si="283"/>
        <v>BS</v>
      </c>
    </row>
    <row r="4492" spans="1:13" s="33" customFormat="true" ht="12.75" customHeight="true">
      <c r="A4492" s="33" t="str">
        <f t="shared" si="280"/>
        <v>DPM - AR-PPD</v>
      </c>
      <c r="B4492" s="33" t="str">
        <f t="shared" si="281"/>
        <v>DPM</v>
      </c>
      <c r="C4492" s="33" t="str">
        <f t="shared" si="282"/>
        <v>25300-0000</v>
      </c>
      <c r="D4492" s="64" t="s">
        <v>5491</v>
      </c>
      <c r="E4492" s="64" t="s">
        <v>3677</v>
      </c>
      <c r="F4492" s="64" t="s">
        <v>230</v>
      </c>
      <c r="G4492" s="64" t="s">
        <v>3678</v>
      </c>
      <c r="H4492" s="64" t="s">
        <v>35</v>
      </c>
      <c r="I4492" s="64" t="s">
        <v>102</v>
      </c>
      <c r="J4492" s="67">
        <v>-13938.08</v>
      </c>
      <c r="K4492" s="62">
        <v>-16154.08</v>
      </c>
      <c r="L4492" s="33" t="e">
        <f>HLOOKUP(B4492,#REF!,1,0)</f>
        <v>#REF!</v>
      </c>
      <c r="M4492" s="33" t="str">
        <f t="shared" si="283"/>
        <v>BS</v>
      </c>
    </row>
    <row r="4493" spans="1:13" s="33" customFormat="true" ht="12.75" customHeight="true">
      <c r="A4493" s="33" t="str">
        <f t="shared" si="280"/>
        <v>DPM - Principal</v>
      </c>
      <c r="B4493" s="33" t="str">
        <f t="shared" si="281"/>
        <v>DPM</v>
      </c>
      <c r="C4493" s="33" t="str">
        <f t="shared" si="282"/>
        <v>28001-0000</v>
      </c>
      <c r="D4493" s="64" t="s">
        <v>5492</v>
      </c>
      <c r="E4493" s="64" t="s">
        <v>3883</v>
      </c>
      <c r="F4493" s="64" t="s">
        <v>230</v>
      </c>
      <c r="G4493" s="64" t="s">
        <v>123</v>
      </c>
      <c r="H4493" s="64" t="s">
        <v>127</v>
      </c>
      <c r="I4493" s="64" t="s">
        <v>133</v>
      </c>
      <c r="J4493" s="67">
        <v>0</v>
      </c>
      <c r="K4493" s="62">
        <v>-19875000</v>
      </c>
      <c r="L4493" s="33" t="e">
        <f>HLOOKUP(B4493,#REF!,1,0)</f>
        <v>#REF!</v>
      </c>
      <c r="M4493" s="33" t="str">
        <f t="shared" si="283"/>
        <v>BS</v>
      </c>
    </row>
    <row r="4494" spans="1:13" s="33" customFormat="true" ht="12.75" customHeight="true">
      <c r="A4494" s="33" t="str">
        <f t="shared" si="280"/>
        <v>DPM - SH Dist</v>
      </c>
      <c r="B4494" s="33" t="str">
        <f t="shared" si="281"/>
        <v>DPM</v>
      </c>
      <c r="C4494" s="33" t="str">
        <f t="shared" si="282"/>
        <v>30700-0000</v>
      </c>
      <c r="D4494" s="64" t="s">
        <v>5493</v>
      </c>
      <c r="E4494" s="64" t="s">
        <v>319</v>
      </c>
      <c r="F4494" s="64" t="s">
        <v>230</v>
      </c>
      <c r="G4494" s="64" t="s">
        <v>142</v>
      </c>
      <c r="H4494" s="64" t="s">
        <v>143</v>
      </c>
      <c r="I4494" s="64" t="s">
        <v>144</v>
      </c>
      <c r="J4494" s="67">
        <v>0</v>
      </c>
      <c r="K4494" s="62">
        <v>-4620000</v>
      </c>
      <c r="L4494" s="33" t="e">
        <f>HLOOKUP(B4494,#REF!,1,0)</f>
        <v>#REF!</v>
      </c>
      <c r="M4494" s="33" t="str">
        <f t="shared" si="283"/>
        <v>BS</v>
      </c>
    </row>
    <row r="4495" spans="1:13" s="33" customFormat="true" ht="12.75" customHeight="true">
      <c r="A4495" s="33" t="str">
        <f t="shared" si="280"/>
        <v>DPM - Revenue</v>
      </c>
      <c r="B4495" s="33" t="str">
        <f t="shared" si="281"/>
        <v>DPM</v>
      </c>
      <c r="C4495" s="33" t="str">
        <f t="shared" si="282"/>
        <v>40110-0000</v>
      </c>
      <c r="D4495" s="64" t="s">
        <v>5494</v>
      </c>
      <c r="E4495" s="64" t="s">
        <v>3683</v>
      </c>
      <c r="F4495" s="64" t="s">
        <v>230</v>
      </c>
      <c r="G4495" s="64" t="s">
        <v>3684</v>
      </c>
      <c r="H4495" s="64" t="s">
        <v>2871</v>
      </c>
      <c r="I4495" s="64" t="s">
        <v>3685</v>
      </c>
      <c r="J4495" s="67">
        <v>-101710</v>
      </c>
      <c r="K4495" s="62">
        <v>-611220</v>
      </c>
      <c r="L4495" s="33" t="e">
        <f>HLOOKUP(B4495,#REF!,1,0)</f>
        <v>#REF!</v>
      </c>
      <c r="M4495" s="33" t="str">
        <f t="shared" si="283"/>
        <v>P&amp;L</v>
      </c>
    </row>
    <row r="4496" spans="1:13" s="33" customFormat="true" ht="12.75" customHeight="true">
      <c r="A4496" s="33" t="str">
        <f t="shared" si="280"/>
        <v>DPM - Revenue</v>
      </c>
      <c r="B4496" s="33" t="str">
        <f t="shared" si="281"/>
        <v>DPM</v>
      </c>
      <c r="C4496" s="33" t="str">
        <f t="shared" si="282"/>
        <v>40120-0000</v>
      </c>
      <c r="D4496" s="64" t="s">
        <v>5495</v>
      </c>
      <c r="E4496" s="64" t="s">
        <v>3687</v>
      </c>
      <c r="F4496" s="64" t="s">
        <v>230</v>
      </c>
      <c r="G4496" s="64" t="s">
        <v>3684</v>
      </c>
      <c r="H4496" s="64" t="s">
        <v>2871</v>
      </c>
      <c r="I4496" s="64" t="s">
        <v>3688</v>
      </c>
      <c r="J4496" s="67">
        <v>-4244</v>
      </c>
      <c r="K4496" s="62">
        <v>-9952</v>
      </c>
      <c r="L4496" s="33" t="e">
        <f>HLOOKUP(B4496,#REF!,1,0)</f>
        <v>#REF!</v>
      </c>
      <c r="M4496" s="33" t="str">
        <f t="shared" si="283"/>
        <v>P&amp;L</v>
      </c>
    </row>
    <row r="4497" spans="1:13" s="33" customFormat="true" ht="12.75" customHeight="true">
      <c r="A4497" s="33" t="str">
        <f t="shared" si="280"/>
        <v>DPM - Revenue</v>
      </c>
      <c r="B4497" s="33" t="str">
        <f t="shared" si="281"/>
        <v>DPM</v>
      </c>
      <c r="C4497" s="33" t="str">
        <f t="shared" si="282"/>
        <v>40130-0000</v>
      </c>
      <c r="D4497" s="64" t="s">
        <v>5496</v>
      </c>
      <c r="E4497" s="64" t="s">
        <v>3690</v>
      </c>
      <c r="F4497" s="64" t="s">
        <v>230</v>
      </c>
      <c r="G4497" s="64" t="s">
        <v>3684</v>
      </c>
      <c r="H4497" s="64" t="s">
        <v>2871</v>
      </c>
      <c r="I4497" s="64" t="s">
        <v>3691</v>
      </c>
      <c r="J4497" s="67">
        <v>-11233</v>
      </c>
      <c r="K4497" s="62">
        <v>-25079.92</v>
      </c>
      <c r="L4497" s="33" t="e">
        <f>HLOOKUP(B4497,#REF!,1,0)</f>
        <v>#REF!</v>
      </c>
      <c r="M4497" s="33" t="str">
        <f t="shared" si="283"/>
        <v>P&amp;L</v>
      </c>
    </row>
    <row r="4498" spans="1:13" s="33" customFormat="true" ht="12.75" customHeight="true">
      <c r="A4498" s="33" t="str">
        <f t="shared" si="280"/>
        <v>DPM - Revenue</v>
      </c>
      <c r="B4498" s="33" t="str">
        <f t="shared" si="281"/>
        <v>DPM</v>
      </c>
      <c r="C4498" s="33" t="str">
        <f t="shared" si="282"/>
        <v>41110-0000</v>
      </c>
      <c r="D4498" s="64" t="s">
        <v>5497</v>
      </c>
      <c r="E4498" s="64" t="s">
        <v>3693</v>
      </c>
      <c r="F4498" s="64" t="s">
        <v>230</v>
      </c>
      <c r="G4498" s="64" t="s">
        <v>3694</v>
      </c>
      <c r="H4498" s="64" t="s">
        <v>2871</v>
      </c>
      <c r="I4498" s="64" t="s">
        <v>3695</v>
      </c>
      <c r="J4498" s="67">
        <v>1545.48</v>
      </c>
      <c r="K4498" s="62">
        <v>9071.29</v>
      </c>
      <c r="L4498" s="33" t="e">
        <f>HLOOKUP(B4498,#REF!,1,0)</f>
        <v>#REF!</v>
      </c>
      <c r="M4498" s="33" t="str">
        <f t="shared" si="283"/>
        <v>P&amp;L</v>
      </c>
    </row>
    <row r="4499" spans="1:13" s="33" customFormat="true" ht="12.75" customHeight="true">
      <c r="A4499" s="33" t="str">
        <f t="shared" si="280"/>
        <v>DPM - Revenue</v>
      </c>
      <c r="B4499" s="33" t="str">
        <f t="shared" si="281"/>
        <v>DPM</v>
      </c>
      <c r="C4499" s="33" t="str">
        <f t="shared" si="282"/>
        <v>41121-0000</v>
      </c>
      <c r="D4499" s="64" t="s">
        <v>5498</v>
      </c>
      <c r="E4499" s="64" t="s">
        <v>3697</v>
      </c>
      <c r="F4499" s="64" t="s">
        <v>230</v>
      </c>
      <c r="G4499" s="64" t="s">
        <v>3694</v>
      </c>
      <c r="H4499" s="64" t="s">
        <v>2871</v>
      </c>
      <c r="I4499" s="64" t="s">
        <v>3698</v>
      </c>
      <c r="J4499" s="67">
        <v>35013.53</v>
      </c>
      <c r="K4499" s="62">
        <v>76451.11</v>
      </c>
      <c r="L4499" s="33" t="e">
        <f>HLOOKUP(B4499,#REF!,1,0)</f>
        <v>#REF!</v>
      </c>
      <c r="M4499" s="33" t="str">
        <f t="shared" si="283"/>
        <v>P&amp;L</v>
      </c>
    </row>
    <row r="4500" spans="1:13" s="33" customFormat="true" ht="12.75" customHeight="true">
      <c r="A4500" s="33" t="str">
        <f t="shared" si="280"/>
        <v>DPM - Revenue</v>
      </c>
      <c r="B4500" s="33" t="str">
        <f t="shared" si="281"/>
        <v>DPM</v>
      </c>
      <c r="C4500" s="33" t="str">
        <f t="shared" si="282"/>
        <v>41122-0000</v>
      </c>
      <c r="D4500" s="64" t="s">
        <v>5499</v>
      </c>
      <c r="E4500" s="64" t="s">
        <v>3700</v>
      </c>
      <c r="F4500" s="64" t="s">
        <v>230</v>
      </c>
      <c r="G4500" s="64" t="s">
        <v>3694</v>
      </c>
      <c r="H4500" s="64" t="s">
        <v>2871</v>
      </c>
      <c r="I4500" s="64" t="s">
        <v>3701</v>
      </c>
      <c r="J4500" s="67">
        <v>-14283.71</v>
      </c>
      <c r="K4500" s="62">
        <v>-84334.64</v>
      </c>
      <c r="L4500" s="33" t="e">
        <f>HLOOKUP(B4500,#REF!,1,0)</f>
        <v>#REF!</v>
      </c>
      <c r="M4500" s="33" t="str">
        <f t="shared" si="283"/>
        <v>P&amp;L</v>
      </c>
    </row>
    <row r="4501" spans="1:13" s="33" customFormat="true" ht="12.75" customHeight="true">
      <c r="A4501" s="33" t="str">
        <f t="shared" si="280"/>
        <v>DPM - Revenue</v>
      </c>
      <c r="B4501" s="33" t="str">
        <f t="shared" si="281"/>
        <v>DPM</v>
      </c>
      <c r="C4501" s="33" t="str">
        <f t="shared" si="282"/>
        <v>41130-0000</v>
      </c>
      <c r="D4501" s="64" t="s">
        <v>5500</v>
      </c>
      <c r="E4501" s="64" t="s">
        <v>3703</v>
      </c>
      <c r="F4501" s="64" t="s">
        <v>230</v>
      </c>
      <c r="G4501" s="64" t="s">
        <v>3694</v>
      </c>
      <c r="H4501" s="64" t="s">
        <v>2871</v>
      </c>
      <c r="I4501" s="64" t="s">
        <v>3704</v>
      </c>
      <c r="J4501" s="67">
        <v>500</v>
      </c>
      <c r="K4501" s="62">
        <v>1300</v>
      </c>
      <c r="L4501" s="33" t="e">
        <f>HLOOKUP(B4501,#REF!,1,0)</f>
        <v>#REF!</v>
      </c>
      <c r="M4501" s="33" t="str">
        <f t="shared" si="283"/>
        <v>P&amp;L</v>
      </c>
    </row>
    <row r="4502" spans="1:13" s="33" customFormat="true" ht="12.75" customHeight="true">
      <c r="A4502" s="33" t="str">
        <f t="shared" si="280"/>
        <v>DPM - Revenue</v>
      </c>
      <c r="B4502" s="33" t="str">
        <f t="shared" si="281"/>
        <v>DPM</v>
      </c>
      <c r="C4502" s="33" t="str">
        <f t="shared" si="282"/>
        <v>41140-0000</v>
      </c>
      <c r="D4502" s="64" t="s">
        <v>5501</v>
      </c>
      <c r="E4502" s="64" t="s">
        <v>3706</v>
      </c>
      <c r="F4502" s="64" t="s">
        <v>230</v>
      </c>
      <c r="G4502" s="64" t="s">
        <v>3694</v>
      </c>
      <c r="H4502" s="64" t="s">
        <v>2871</v>
      </c>
      <c r="I4502" s="64" t="s">
        <v>3707</v>
      </c>
      <c r="J4502" s="67">
        <v>1400</v>
      </c>
      <c r="K4502" s="62">
        <v>2330</v>
      </c>
      <c r="L4502" s="33" t="e">
        <f>HLOOKUP(B4502,#REF!,1,0)</f>
        <v>#REF!</v>
      </c>
      <c r="M4502" s="33" t="str">
        <f t="shared" si="283"/>
        <v>P&amp;L</v>
      </c>
    </row>
    <row r="4503" spans="1:13" s="33" customFormat="true" ht="12.75" customHeight="true">
      <c r="A4503" s="33" t="str">
        <f t="shared" si="280"/>
        <v>DPM - Revenue</v>
      </c>
      <c r="B4503" s="33" t="str">
        <f t="shared" si="281"/>
        <v>DPM</v>
      </c>
      <c r="C4503" s="33" t="str">
        <f t="shared" si="282"/>
        <v>41150-0000</v>
      </c>
      <c r="D4503" s="64" t="s">
        <v>5502</v>
      </c>
      <c r="E4503" s="64" t="s">
        <v>3709</v>
      </c>
      <c r="F4503" s="64" t="s">
        <v>230</v>
      </c>
      <c r="G4503" s="64" t="s">
        <v>3694</v>
      </c>
      <c r="H4503" s="64" t="s">
        <v>2871</v>
      </c>
      <c r="I4503" s="64" t="s">
        <v>3710</v>
      </c>
      <c r="J4503" s="67">
        <v>0</v>
      </c>
      <c r="K4503" s="62">
        <v>0</v>
      </c>
      <c r="L4503" s="33" t="e">
        <f>HLOOKUP(B4503,#REF!,1,0)</f>
        <v>#REF!</v>
      </c>
      <c r="M4503" s="33" t="str">
        <f t="shared" si="283"/>
        <v>P&amp;L</v>
      </c>
    </row>
    <row r="4504" spans="1:13" s="33" customFormat="true" ht="12.75" customHeight="true">
      <c r="A4504" s="33" t="str">
        <f t="shared" si="280"/>
        <v>DPM - Revenue</v>
      </c>
      <c r="B4504" s="33" t="str">
        <f t="shared" si="281"/>
        <v>DPM</v>
      </c>
      <c r="C4504" s="33" t="str">
        <f t="shared" si="282"/>
        <v>41999-0000</v>
      </c>
      <c r="D4504" s="64" t="s">
        <v>5503</v>
      </c>
      <c r="E4504" s="64" t="s">
        <v>3712</v>
      </c>
      <c r="F4504" s="64" t="s">
        <v>230</v>
      </c>
      <c r="G4504" s="64" t="s">
        <v>3713</v>
      </c>
      <c r="H4504" s="64" t="s">
        <v>2871</v>
      </c>
      <c r="I4504" s="64" t="s">
        <v>3714</v>
      </c>
      <c r="J4504" s="67">
        <v>93011.7</v>
      </c>
      <c r="K4504" s="62">
        <v>641434.16</v>
      </c>
      <c r="L4504" s="33" t="e">
        <f>HLOOKUP(B4504,#REF!,1,0)</f>
        <v>#REF!</v>
      </c>
      <c r="M4504" s="33" t="str">
        <f t="shared" si="283"/>
        <v>P&amp;L</v>
      </c>
    </row>
    <row r="4505" spans="1:13" s="33" customFormat="true" ht="12.75" customHeight="true">
      <c r="A4505" s="33" t="str">
        <f t="shared" si="280"/>
        <v>DPM - Revenue</v>
      </c>
      <c r="B4505" s="33" t="str">
        <f t="shared" si="281"/>
        <v>DPM</v>
      </c>
      <c r="C4505" s="33" t="str">
        <f t="shared" si="282"/>
        <v>46000-0000</v>
      </c>
      <c r="D4505" s="64" t="s">
        <v>5504</v>
      </c>
      <c r="E4505" s="64" t="s">
        <v>3895</v>
      </c>
      <c r="F4505" s="64" t="s">
        <v>230</v>
      </c>
      <c r="G4505" s="64" t="s">
        <v>3717</v>
      </c>
      <c r="H4505" s="64" t="s">
        <v>2871</v>
      </c>
      <c r="I4505" s="64" t="s">
        <v>3721</v>
      </c>
      <c r="J4505" s="67">
        <v>0</v>
      </c>
      <c r="K4505" s="62">
        <v>-575.4</v>
      </c>
      <c r="L4505" s="33" t="e">
        <f>HLOOKUP(B4505,#REF!,1,0)</f>
        <v>#REF!</v>
      </c>
      <c r="M4505" s="33" t="str">
        <f t="shared" si="283"/>
        <v>P&amp;L</v>
      </c>
    </row>
    <row r="4506" spans="1:13" s="33" customFormat="true" ht="12.75" customHeight="true">
      <c r="A4506" s="33" t="str">
        <f t="shared" si="280"/>
        <v>DPM - Revenue</v>
      </c>
      <c r="B4506" s="33" t="str">
        <f t="shared" si="281"/>
        <v>DPM</v>
      </c>
      <c r="C4506" s="33" t="str">
        <f t="shared" si="282"/>
        <v>47400-0000</v>
      </c>
      <c r="D4506" s="64" t="s">
        <v>5505</v>
      </c>
      <c r="E4506" s="64" t="s">
        <v>3716</v>
      </c>
      <c r="F4506" s="64" t="s">
        <v>230</v>
      </c>
      <c r="G4506" s="64" t="s">
        <v>3717</v>
      </c>
      <c r="H4506" s="64" t="s">
        <v>2871</v>
      </c>
      <c r="I4506" s="64" t="s">
        <v>3718</v>
      </c>
      <c r="J4506" s="67">
        <v>-93011.7</v>
      </c>
      <c r="K4506" s="62">
        <v>-641434.16</v>
      </c>
      <c r="L4506" s="33" t="e">
        <f>HLOOKUP(B4506,#REF!,1,0)</f>
        <v>#REF!</v>
      </c>
      <c r="M4506" s="33" t="str">
        <f t="shared" si="283"/>
        <v>P&amp;L</v>
      </c>
    </row>
    <row r="4507" spans="1:13" s="33" customFormat="true" ht="12.75" customHeight="true">
      <c r="A4507" s="33" t="str">
        <f t="shared" si="280"/>
        <v>DPM - Revenue</v>
      </c>
      <c r="B4507" s="33" t="str">
        <f t="shared" si="281"/>
        <v>DPM</v>
      </c>
      <c r="C4507" s="33" t="str">
        <f t="shared" si="282"/>
        <v>47430-0000</v>
      </c>
      <c r="D4507" s="64" t="s">
        <v>5506</v>
      </c>
      <c r="E4507" s="64" t="s">
        <v>4053</v>
      </c>
      <c r="F4507" s="64" t="s">
        <v>230</v>
      </c>
      <c r="G4507" s="64" t="s">
        <v>3717</v>
      </c>
      <c r="H4507" s="64" t="s">
        <v>2871</v>
      </c>
      <c r="I4507" s="64" t="s">
        <v>4054</v>
      </c>
      <c r="J4507" s="67">
        <v>-156.55</v>
      </c>
      <c r="K4507" s="62">
        <v>-4298.35</v>
      </c>
      <c r="L4507" s="33" t="e">
        <f>HLOOKUP(B4507,#REF!,1,0)</f>
        <v>#REF!</v>
      </c>
      <c r="M4507" s="33" t="str">
        <f t="shared" si="283"/>
        <v>P&amp;L</v>
      </c>
    </row>
    <row r="4508" spans="1:13" s="33" customFormat="true" ht="12.75" customHeight="true">
      <c r="A4508" s="33" t="str">
        <f t="shared" si="280"/>
        <v>DPM - Revenue</v>
      </c>
      <c r="B4508" s="33" t="str">
        <f t="shared" si="281"/>
        <v>DPM</v>
      </c>
      <c r="C4508" s="33" t="str">
        <f t="shared" si="282"/>
        <v>47440-0000</v>
      </c>
      <c r="D4508" s="64" t="s">
        <v>5507</v>
      </c>
      <c r="E4508" s="64" t="s">
        <v>3720</v>
      </c>
      <c r="F4508" s="64" t="s">
        <v>230</v>
      </c>
      <c r="G4508" s="64" t="s">
        <v>3717</v>
      </c>
      <c r="H4508" s="64" t="s">
        <v>2871</v>
      </c>
      <c r="I4508" s="64" t="s">
        <v>3721</v>
      </c>
      <c r="J4508" s="67">
        <v>-2367.3</v>
      </c>
      <c r="K4508" s="62">
        <v>-7255.75</v>
      </c>
      <c r="L4508" s="33" t="e">
        <f>HLOOKUP(B4508,#REF!,1,0)</f>
        <v>#REF!</v>
      </c>
      <c r="M4508" s="33" t="str">
        <f t="shared" si="283"/>
        <v>P&amp;L</v>
      </c>
    </row>
    <row r="4509" spans="1:13" s="33" customFormat="true" ht="12.75" customHeight="true">
      <c r="A4509" s="33" t="str">
        <f t="shared" si="280"/>
        <v>DPM - Revenue</v>
      </c>
      <c r="B4509" s="33" t="str">
        <f t="shared" si="281"/>
        <v>DPM</v>
      </c>
      <c r="C4509" s="33" t="str">
        <f t="shared" si="282"/>
        <v>47450-0000</v>
      </c>
      <c r="D4509" s="64" t="s">
        <v>5508</v>
      </c>
      <c r="E4509" s="64" t="s">
        <v>3723</v>
      </c>
      <c r="F4509" s="64" t="s">
        <v>230</v>
      </c>
      <c r="G4509" s="64" t="s">
        <v>3717</v>
      </c>
      <c r="H4509" s="64" t="s">
        <v>2871</v>
      </c>
      <c r="I4509" s="64" t="s">
        <v>3724</v>
      </c>
      <c r="J4509" s="67">
        <v>0</v>
      </c>
      <c r="K4509" s="62">
        <v>0</v>
      </c>
      <c r="L4509" s="33" t="e">
        <f>HLOOKUP(B4509,#REF!,1,0)</f>
        <v>#REF!</v>
      </c>
      <c r="M4509" s="33" t="str">
        <f t="shared" si="283"/>
        <v>P&amp;L</v>
      </c>
    </row>
    <row r="4510" spans="1:13" s="33" customFormat="true" ht="12.75" customHeight="true">
      <c r="A4510" s="33" t="str">
        <f t="shared" si="280"/>
        <v>DPM - Revenue</v>
      </c>
      <c r="B4510" s="33" t="str">
        <f t="shared" si="281"/>
        <v>DPM</v>
      </c>
      <c r="C4510" s="33" t="str">
        <f t="shared" si="282"/>
        <v>47460-0000</v>
      </c>
      <c r="D4510" s="64" t="s">
        <v>5509</v>
      </c>
      <c r="E4510" s="64" t="s">
        <v>3726</v>
      </c>
      <c r="F4510" s="64" t="s">
        <v>230</v>
      </c>
      <c r="G4510" s="64" t="s">
        <v>3717</v>
      </c>
      <c r="H4510" s="64" t="s">
        <v>2871</v>
      </c>
      <c r="I4510" s="64" t="s">
        <v>3727</v>
      </c>
      <c r="J4510" s="67">
        <v>-2409.61</v>
      </c>
      <c r="K4510" s="62">
        <v>-6440.75</v>
      </c>
      <c r="L4510" s="33" t="e">
        <f>HLOOKUP(B4510,#REF!,1,0)</f>
        <v>#REF!</v>
      </c>
      <c r="M4510" s="33" t="str">
        <f t="shared" si="283"/>
        <v>P&amp;L</v>
      </c>
    </row>
    <row r="4511" spans="1:13" s="33" customFormat="true" ht="12.75" customHeight="true">
      <c r="A4511" s="33" t="str">
        <f t="shared" si="280"/>
        <v>DPM - Revenue</v>
      </c>
      <c r="B4511" s="33" t="str">
        <f t="shared" si="281"/>
        <v>DPM</v>
      </c>
      <c r="C4511" s="33" t="str">
        <f t="shared" si="282"/>
        <v>47480-0000</v>
      </c>
      <c r="D4511" s="64" t="s">
        <v>5510</v>
      </c>
      <c r="E4511" s="64" t="s">
        <v>3729</v>
      </c>
      <c r="F4511" s="64" t="s">
        <v>230</v>
      </c>
      <c r="G4511" s="64" t="s">
        <v>3717</v>
      </c>
      <c r="H4511" s="64" t="s">
        <v>2871</v>
      </c>
      <c r="I4511" s="64" t="s">
        <v>3721</v>
      </c>
      <c r="J4511" s="67">
        <v>-45</v>
      </c>
      <c r="K4511" s="62">
        <v>-680</v>
      </c>
      <c r="L4511" s="33" t="e">
        <f>HLOOKUP(B4511,#REF!,1,0)</f>
        <v>#REF!</v>
      </c>
      <c r="M4511" s="33" t="str">
        <f t="shared" si="283"/>
        <v>P&amp;L</v>
      </c>
    </row>
    <row r="4512" spans="1:13" s="33" customFormat="true" ht="12.75" customHeight="true">
      <c r="A4512" s="33" t="str">
        <f t="shared" si="280"/>
        <v>DPM - Revenue</v>
      </c>
      <c r="B4512" s="33" t="str">
        <f t="shared" si="281"/>
        <v>DPM</v>
      </c>
      <c r="C4512" s="33" t="str">
        <f t="shared" si="282"/>
        <v>47490-0000</v>
      </c>
      <c r="D4512" s="64" t="s">
        <v>5511</v>
      </c>
      <c r="E4512" s="64" t="s">
        <v>3731</v>
      </c>
      <c r="F4512" s="64" t="s">
        <v>230</v>
      </c>
      <c r="G4512" s="64" t="s">
        <v>3717</v>
      </c>
      <c r="H4512" s="64" t="s">
        <v>2871</v>
      </c>
      <c r="I4512" s="64" t="s">
        <v>3721</v>
      </c>
      <c r="J4512" s="67">
        <v>-1603.05</v>
      </c>
      <c r="K4512" s="62">
        <v>-2581.1</v>
      </c>
      <c r="L4512" s="33" t="e">
        <f>HLOOKUP(B4512,#REF!,1,0)</f>
        <v>#REF!</v>
      </c>
      <c r="M4512" s="33" t="str">
        <f t="shared" si="283"/>
        <v>P&amp;L</v>
      </c>
    </row>
    <row r="4513" spans="1:13" s="33" customFormat="true" ht="12.75" customHeight="true">
      <c r="A4513" s="33" t="str">
        <f t="shared" si="280"/>
        <v>DPM - Revenue</v>
      </c>
      <c r="B4513" s="33" t="str">
        <f t="shared" si="281"/>
        <v>DPM</v>
      </c>
      <c r="C4513" s="33" t="str">
        <f t="shared" si="282"/>
        <v>47491-0000</v>
      </c>
      <c r="D4513" s="64" t="s">
        <v>5512</v>
      </c>
      <c r="E4513" s="64" t="s">
        <v>3733</v>
      </c>
      <c r="F4513" s="64" t="s">
        <v>230</v>
      </c>
      <c r="G4513" s="64" t="s">
        <v>3717</v>
      </c>
      <c r="H4513" s="64" t="s">
        <v>2871</v>
      </c>
      <c r="I4513" s="64" t="s">
        <v>3734</v>
      </c>
      <c r="J4513" s="67">
        <v>0</v>
      </c>
      <c r="K4513" s="62">
        <v>0</v>
      </c>
      <c r="L4513" s="33" t="e">
        <f>HLOOKUP(B4513,#REF!,1,0)</f>
        <v>#REF!</v>
      </c>
      <c r="M4513" s="33" t="str">
        <f t="shared" si="283"/>
        <v>P&amp;L</v>
      </c>
    </row>
    <row r="4514" spans="1:13" s="33" customFormat="true" ht="12.75" customHeight="true">
      <c r="A4514" s="33" t="str">
        <f t="shared" si="280"/>
        <v>DPM - Revenue</v>
      </c>
      <c r="B4514" s="33" t="str">
        <f t="shared" si="281"/>
        <v>DPM</v>
      </c>
      <c r="C4514" s="33" t="str">
        <f t="shared" si="282"/>
        <v>47492-0000</v>
      </c>
      <c r="D4514" s="64" t="s">
        <v>5513</v>
      </c>
      <c r="E4514" s="64" t="s">
        <v>3736</v>
      </c>
      <c r="F4514" s="64" t="s">
        <v>230</v>
      </c>
      <c r="G4514" s="64" t="s">
        <v>3717</v>
      </c>
      <c r="H4514" s="64" t="s">
        <v>2871</v>
      </c>
      <c r="I4514" s="64" t="s">
        <v>3737</v>
      </c>
      <c r="J4514" s="67">
        <v>-307.67</v>
      </c>
      <c r="K4514" s="62">
        <v>-532.67</v>
      </c>
      <c r="L4514" s="33" t="e">
        <f>HLOOKUP(B4514,#REF!,1,0)</f>
        <v>#REF!</v>
      </c>
      <c r="M4514" s="33" t="str">
        <f t="shared" si="283"/>
        <v>P&amp;L</v>
      </c>
    </row>
    <row r="4515" spans="1:13" s="33" customFormat="true" ht="12.75" customHeight="true">
      <c r="A4515" s="33" t="str">
        <f t="shared" si="280"/>
        <v>DPM - CGS</v>
      </c>
      <c r="B4515" s="33" t="str">
        <f t="shared" si="281"/>
        <v>DPM</v>
      </c>
      <c r="C4515" s="33" t="str">
        <f t="shared" si="282"/>
        <v>51006-0000</v>
      </c>
      <c r="D4515" s="64" t="s">
        <v>5514</v>
      </c>
      <c r="E4515" s="64" t="s">
        <v>3739</v>
      </c>
      <c r="F4515" s="64" t="s">
        <v>230</v>
      </c>
      <c r="G4515" s="64" t="s">
        <v>3740</v>
      </c>
      <c r="H4515" s="64" t="s">
        <v>1875</v>
      </c>
      <c r="I4515" s="64" t="s">
        <v>3741</v>
      </c>
      <c r="J4515" s="67">
        <v>181.37</v>
      </c>
      <c r="K4515" s="62">
        <v>4198.21</v>
      </c>
      <c r="L4515" s="33" t="e">
        <f>HLOOKUP(B4515,#REF!,1,0)</f>
        <v>#REF!</v>
      </c>
      <c r="M4515" s="33" t="str">
        <f t="shared" si="283"/>
        <v>P&amp;L</v>
      </c>
    </row>
    <row r="4516" spans="1:13" s="33" customFormat="true" ht="12.75" customHeight="true">
      <c r="A4516" s="33" t="str">
        <f t="shared" si="280"/>
        <v>DPM - CGS</v>
      </c>
      <c r="B4516" s="33" t="str">
        <f t="shared" si="281"/>
        <v>DPM</v>
      </c>
      <c r="C4516" s="33" t="str">
        <f t="shared" si="282"/>
        <v>51008-0000</v>
      </c>
      <c r="D4516" s="64" t="s">
        <v>5515</v>
      </c>
      <c r="E4516" s="64" t="s">
        <v>3743</v>
      </c>
      <c r="F4516" s="64" t="s">
        <v>230</v>
      </c>
      <c r="G4516" s="64" t="s">
        <v>3740</v>
      </c>
      <c r="H4516" s="64" t="s">
        <v>1875</v>
      </c>
      <c r="I4516" s="64" t="s">
        <v>3744</v>
      </c>
      <c r="J4516" s="67">
        <v>2279.12</v>
      </c>
      <c r="K4516" s="62">
        <v>10312.42</v>
      </c>
      <c r="L4516" s="33" t="e">
        <f>HLOOKUP(B4516,#REF!,1,0)</f>
        <v>#REF!</v>
      </c>
      <c r="M4516" s="33" t="str">
        <f t="shared" si="283"/>
        <v>P&amp;L</v>
      </c>
    </row>
    <row r="4517" spans="1:13" s="33" customFormat="true" ht="12.75" customHeight="true">
      <c r="A4517" s="33" t="str">
        <f t="shared" si="280"/>
        <v>DPM - CGS</v>
      </c>
      <c r="B4517" s="33" t="str">
        <f t="shared" si="281"/>
        <v>DPM</v>
      </c>
      <c r="C4517" s="33" t="str">
        <f t="shared" si="282"/>
        <v>51009-0000</v>
      </c>
      <c r="D4517" s="64" t="s">
        <v>5516</v>
      </c>
      <c r="E4517" s="64" t="s">
        <v>3746</v>
      </c>
      <c r="F4517" s="64" t="s">
        <v>230</v>
      </c>
      <c r="G4517" s="64" t="s">
        <v>3740</v>
      </c>
      <c r="H4517" s="64" t="s">
        <v>1875</v>
      </c>
      <c r="I4517" s="64" t="s">
        <v>3747</v>
      </c>
      <c r="J4517" s="67">
        <v>629.9</v>
      </c>
      <c r="K4517" s="62">
        <v>3282.72</v>
      </c>
      <c r="L4517" s="33" t="e">
        <f>HLOOKUP(B4517,#REF!,1,0)</f>
        <v>#REF!</v>
      </c>
      <c r="M4517" s="33" t="str">
        <f t="shared" si="283"/>
        <v>P&amp;L</v>
      </c>
    </row>
    <row r="4518" spans="1:13" s="33" customFormat="true" ht="12.75" customHeight="true">
      <c r="A4518" s="33" t="str">
        <f t="shared" si="280"/>
        <v>DPM - CGS</v>
      </c>
      <c r="B4518" s="33" t="str">
        <f t="shared" si="281"/>
        <v>DPM</v>
      </c>
      <c r="C4518" s="33" t="str">
        <f t="shared" si="282"/>
        <v>51011-0000</v>
      </c>
      <c r="D4518" s="64" t="s">
        <v>5517</v>
      </c>
      <c r="E4518" s="64" t="s">
        <v>3749</v>
      </c>
      <c r="F4518" s="64" t="s">
        <v>230</v>
      </c>
      <c r="G4518" s="64" t="s">
        <v>3740</v>
      </c>
      <c r="H4518" s="64" t="s">
        <v>1875</v>
      </c>
      <c r="I4518" s="64" t="s">
        <v>3750</v>
      </c>
      <c r="J4518" s="67">
        <v>0</v>
      </c>
      <c r="K4518" s="62">
        <v>8385</v>
      </c>
      <c r="L4518" s="33" t="e">
        <f>HLOOKUP(B4518,#REF!,1,0)</f>
        <v>#REF!</v>
      </c>
      <c r="M4518" s="33" t="str">
        <f t="shared" si="283"/>
        <v>P&amp;L</v>
      </c>
    </row>
    <row r="4519" spans="1:13" s="33" customFormat="true" ht="12.75" customHeight="true">
      <c r="A4519" s="33" t="str">
        <f t="shared" si="280"/>
        <v>DPM - CGS</v>
      </c>
      <c r="B4519" s="33" t="str">
        <f t="shared" si="281"/>
        <v>DPM</v>
      </c>
      <c r="C4519" s="33" t="str">
        <f t="shared" si="282"/>
        <v>51012-0000</v>
      </c>
      <c r="D4519" s="64" t="s">
        <v>5518</v>
      </c>
      <c r="E4519" s="64" t="s">
        <v>3752</v>
      </c>
      <c r="F4519" s="64" t="s">
        <v>230</v>
      </c>
      <c r="G4519" s="64" t="s">
        <v>3740</v>
      </c>
      <c r="H4519" s="64" t="s">
        <v>1875</v>
      </c>
      <c r="I4519" s="64" t="s">
        <v>3753</v>
      </c>
      <c r="J4519" s="67">
        <v>130</v>
      </c>
      <c r="K4519" s="62">
        <v>1025</v>
      </c>
      <c r="L4519" s="33" t="e">
        <f>HLOOKUP(B4519,#REF!,1,0)</f>
        <v>#REF!</v>
      </c>
      <c r="M4519" s="33" t="str">
        <f t="shared" si="283"/>
        <v>P&amp;L</v>
      </c>
    </row>
    <row r="4520" spans="1:13" s="33" customFormat="true" ht="12.75" customHeight="true">
      <c r="A4520" s="33" t="str">
        <f t="shared" si="280"/>
        <v>DPM - CGS</v>
      </c>
      <c r="B4520" s="33" t="str">
        <f t="shared" si="281"/>
        <v>DPM</v>
      </c>
      <c r="C4520" s="33" t="str">
        <f t="shared" si="282"/>
        <v>51015-0000</v>
      </c>
      <c r="D4520" s="64" t="s">
        <v>5519</v>
      </c>
      <c r="E4520" s="64" t="s">
        <v>3755</v>
      </c>
      <c r="F4520" s="64" t="s">
        <v>230</v>
      </c>
      <c r="G4520" s="64" t="s">
        <v>3740</v>
      </c>
      <c r="H4520" s="64" t="s">
        <v>1875</v>
      </c>
      <c r="I4520" s="64" t="s">
        <v>3756</v>
      </c>
      <c r="J4520" s="67">
        <v>0</v>
      </c>
      <c r="K4520" s="62">
        <v>20</v>
      </c>
      <c r="L4520" s="33" t="e">
        <f>HLOOKUP(B4520,#REF!,1,0)</f>
        <v>#REF!</v>
      </c>
      <c r="M4520" s="33" t="str">
        <f t="shared" si="283"/>
        <v>P&amp;L</v>
      </c>
    </row>
    <row r="4521" spans="1:13" s="33" customFormat="true" ht="12.75" customHeight="true">
      <c r="A4521" s="33" t="str">
        <f t="shared" si="280"/>
        <v>DPM - CGS</v>
      </c>
      <c r="B4521" s="33" t="str">
        <f t="shared" si="281"/>
        <v>DPM</v>
      </c>
      <c r="C4521" s="33" t="str">
        <f t="shared" si="282"/>
        <v>51017-0000</v>
      </c>
      <c r="D4521" s="64" t="s">
        <v>5520</v>
      </c>
      <c r="E4521" s="64" t="s">
        <v>3758</v>
      </c>
      <c r="F4521" s="64" t="s">
        <v>230</v>
      </c>
      <c r="G4521" s="64" t="s">
        <v>3160</v>
      </c>
      <c r="H4521" s="64" t="s">
        <v>1875</v>
      </c>
      <c r="I4521" s="64" t="s">
        <v>3759</v>
      </c>
      <c r="J4521" s="67">
        <v>109.91</v>
      </c>
      <c r="K4521" s="62">
        <v>906.6</v>
      </c>
      <c r="L4521" s="33" t="e">
        <f>HLOOKUP(B4521,#REF!,1,0)</f>
        <v>#REF!</v>
      </c>
      <c r="M4521" s="33" t="str">
        <f t="shared" si="283"/>
        <v>P&amp;L</v>
      </c>
    </row>
    <row r="4522" spans="1:13" s="33" customFormat="true" ht="12.75" customHeight="true">
      <c r="A4522" s="33" t="str">
        <f t="shared" si="280"/>
        <v>DPM - CGS</v>
      </c>
      <c r="B4522" s="33" t="str">
        <f t="shared" si="281"/>
        <v>DPM</v>
      </c>
      <c r="C4522" s="33" t="str">
        <f t="shared" si="282"/>
        <v>51018-0000</v>
      </c>
      <c r="D4522" s="64" t="s">
        <v>5521</v>
      </c>
      <c r="E4522" s="64" t="s">
        <v>3984</v>
      </c>
      <c r="F4522" s="64" t="s">
        <v>230</v>
      </c>
      <c r="G4522" s="64" t="s">
        <v>3740</v>
      </c>
      <c r="H4522" s="64" t="s">
        <v>1875</v>
      </c>
      <c r="I4522" s="64" t="s">
        <v>3319</v>
      </c>
      <c r="J4522" s="67">
        <v>0</v>
      </c>
      <c r="K4522" s="62">
        <v>624</v>
      </c>
      <c r="L4522" s="33" t="e">
        <f>HLOOKUP(B4522,#REF!,1,0)</f>
        <v>#REF!</v>
      </c>
      <c r="M4522" s="33" t="str">
        <f t="shared" si="283"/>
        <v>P&amp;L</v>
      </c>
    </row>
    <row r="4523" spans="1:13" s="33" customFormat="true" ht="12.75" customHeight="true">
      <c r="A4523" s="33" t="str">
        <f t="shared" si="280"/>
        <v>DPM - CGS</v>
      </c>
      <c r="B4523" s="33" t="str">
        <f t="shared" si="281"/>
        <v>DPM</v>
      </c>
      <c r="C4523" s="33" t="str">
        <f t="shared" si="282"/>
        <v>51019-0000</v>
      </c>
      <c r="D4523" s="64" t="s">
        <v>5522</v>
      </c>
      <c r="E4523" s="64" t="s">
        <v>3761</v>
      </c>
      <c r="F4523" s="64" t="s">
        <v>230</v>
      </c>
      <c r="G4523" s="64" t="s">
        <v>3740</v>
      </c>
      <c r="H4523" s="64" t="s">
        <v>1875</v>
      </c>
      <c r="I4523" s="64" t="s">
        <v>3340</v>
      </c>
      <c r="J4523" s="67">
        <v>57.12</v>
      </c>
      <c r="K4523" s="62">
        <v>372.31</v>
      </c>
      <c r="L4523" s="33" t="e">
        <f>HLOOKUP(B4523,#REF!,1,0)</f>
        <v>#REF!</v>
      </c>
      <c r="M4523" s="33" t="str">
        <f t="shared" si="283"/>
        <v>P&amp;L</v>
      </c>
    </row>
    <row r="4524" spans="1:13" s="33" customFormat="true" ht="12.75" customHeight="true">
      <c r="A4524" s="33" t="str">
        <f t="shared" si="280"/>
        <v>DPM - CGS</v>
      </c>
      <c r="B4524" s="33" t="str">
        <f t="shared" si="281"/>
        <v>DPM</v>
      </c>
      <c r="C4524" s="33" t="str">
        <f t="shared" si="282"/>
        <v>51020-0000</v>
      </c>
      <c r="D4524" s="64" t="s">
        <v>5523</v>
      </c>
      <c r="E4524" s="64" t="s">
        <v>3763</v>
      </c>
      <c r="F4524" s="64" t="s">
        <v>230</v>
      </c>
      <c r="G4524" s="64" t="s">
        <v>3740</v>
      </c>
      <c r="H4524" s="64" t="s">
        <v>1875</v>
      </c>
      <c r="I4524" s="64" t="s">
        <v>3345</v>
      </c>
      <c r="J4524" s="67">
        <v>204.54</v>
      </c>
      <c r="K4524" s="62">
        <v>4472.57</v>
      </c>
      <c r="L4524" s="33" t="e">
        <f>HLOOKUP(B4524,#REF!,1,0)</f>
        <v>#REF!</v>
      </c>
      <c r="M4524" s="33" t="str">
        <f t="shared" si="283"/>
        <v>P&amp;L</v>
      </c>
    </row>
    <row r="4525" spans="1:13" s="33" customFormat="true" ht="12.75" customHeight="true">
      <c r="A4525" s="33" t="str">
        <f t="shared" si="280"/>
        <v>DPM - CGS</v>
      </c>
      <c r="B4525" s="33" t="str">
        <f t="shared" si="281"/>
        <v>DPM</v>
      </c>
      <c r="C4525" s="33" t="str">
        <f t="shared" si="282"/>
        <v>51029-0000</v>
      </c>
      <c r="D4525" s="64" t="s">
        <v>5524</v>
      </c>
      <c r="E4525" s="64" t="s">
        <v>3993</v>
      </c>
      <c r="F4525" s="64" t="s">
        <v>230</v>
      </c>
      <c r="G4525" s="64" t="s">
        <v>3740</v>
      </c>
      <c r="H4525" s="64" t="s">
        <v>1875</v>
      </c>
      <c r="I4525" s="64" t="s">
        <v>3994</v>
      </c>
      <c r="J4525" s="67">
        <v>113.9</v>
      </c>
      <c r="K4525" s="62">
        <v>301.9</v>
      </c>
      <c r="L4525" s="33" t="e">
        <f>HLOOKUP(B4525,#REF!,1,0)</f>
        <v>#REF!</v>
      </c>
      <c r="M4525" s="33" t="str">
        <f t="shared" si="283"/>
        <v>P&amp;L</v>
      </c>
    </row>
    <row r="4526" spans="1:13" s="33" customFormat="true" ht="12.75" customHeight="true">
      <c r="A4526" s="33" t="str">
        <f t="shared" si="280"/>
        <v>DPM - CGS</v>
      </c>
      <c r="B4526" s="33" t="str">
        <f t="shared" si="281"/>
        <v>DPM</v>
      </c>
      <c r="C4526" s="33" t="str">
        <f t="shared" si="282"/>
        <v>52001-0000</v>
      </c>
      <c r="D4526" s="64" t="s">
        <v>5525</v>
      </c>
      <c r="E4526" s="64" t="s">
        <v>3768</v>
      </c>
      <c r="F4526" s="64" t="s">
        <v>230</v>
      </c>
      <c r="G4526" s="64" t="s">
        <v>3769</v>
      </c>
      <c r="H4526" s="64" t="s">
        <v>1875</v>
      </c>
      <c r="I4526" s="64" t="s">
        <v>3770</v>
      </c>
      <c r="J4526" s="67">
        <v>450</v>
      </c>
      <c r="K4526" s="62">
        <v>842.99</v>
      </c>
      <c r="L4526" s="33" t="e">
        <f>HLOOKUP(B4526,#REF!,1,0)</f>
        <v>#REF!</v>
      </c>
      <c r="M4526" s="33" t="str">
        <f t="shared" si="283"/>
        <v>P&amp;L</v>
      </c>
    </row>
    <row r="4527" spans="1:13" s="33" customFormat="true" ht="12.75" customHeight="true">
      <c r="A4527" s="33" t="str">
        <f t="shared" si="280"/>
        <v>DPM - CGS</v>
      </c>
      <c r="B4527" s="33" t="str">
        <f t="shared" si="281"/>
        <v>DPM</v>
      </c>
      <c r="C4527" s="33" t="str">
        <f t="shared" si="282"/>
        <v>52003-0000</v>
      </c>
      <c r="D4527" s="64" t="s">
        <v>5526</v>
      </c>
      <c r="E4527" s="64" t="s">
        <v>3772</v>
      </c>
      <c r="F4527" s="64" t="s">
        <v>230</v>
      </c>
      <c r="G4527" s="64" t="s">
        <v>3769</v>
      </c>
      <c r="H4527" s="64" t="s">
        <v>1875</v>
      </c>
      <c r="I4527" s="64" t="s">
        <v>3773</v>
      </c>
      <c r="J4527" s="67">
        <v>0</v>
      </c>
      <c r="K4527" s="62">
        <v>-35</v>
      </c>
      <c r="L4527" s="33" t="e">
        <f>HLOOKUP(B4527,#REF!,1,0)</f>
        <v>#REF!</v>
      </c>
      <c r="M4527" s="33" t="str">
        <f t="shared" si="283"/>
        <v>P&amp;L</v>
      </c>
    </row>
    <row r="4528" spans="1:13" s="33" customFormat="true" ht="12.75" customHeight="true">
      <c r="A4528" s="33" t="str">
        <f t="shared" si="280"/>
        <v>DPM - CGS</v>
      </c>
      <c r="B4528" s="33" t="str">
        <f t="shared" si="281"/>
        <v>DPM</v>
      </c>
      <c r="C4528" s="33" t="str">
        <f t="shared" si="282"/>
        <v>52004-0000</v>
      </c>
      <c r="D4528" s="64" t="s">
        <v>5527</v>
      </c>
      <c r="E4528" s="64" t="s">
        <v>3775</v>
      </c>
      <c r="F4528" s="64" t="s">
        <v>230</v>
      </c>
      <c r="G4528" s="64" t="s">
        <v>3769</v>
      </c>
      <c r="H4528" s="64" t="s">
        <v>1875</v>
      </c>
      <c r="I4528" s="64" t="s">
        <v>3776</v>
      </c>
      <c r="J4528" s="67">
        <v>125.85</v>
      </c>
      <c r="K4528" s="62">
        <v>-69.15</v>
      </c>
      <c r="L4528" s="33" t="e">
        <f>HLOOKUP(B4528,#REF!,1,0)</f>
        <v>#REF!</v>
      </c>
      <c r="M4528" s="33" t="str">
        <f t="shared" si="283"/>
        <v>P&amp;L</v>
      </c>
    </row>
    <row r="4529" spans="1:13" s="33" customFormat="true" ht="12.75" customHeight="true">
      <c r="A4529" s="33" t="str">
        <f t="shared" si="280"/>
        <v>DPM - CGS</v>
      </c>
      <c r="B4529" s="33" t="str">
        <f t="shared" si="281"/>
        <v>DPM</v>
      </c>
      <c r="C4529" s="33" t="str">
        <f t="shared" si="282"/>
        <v>53001-0000</v>
      </c>
      <c r="D4529" s="64" t="s">
        <v>5528</v>
      </c>
      <c r="E4529" s="64" t="s">
        <v>3781</v>
      </c>
      <c r="F4529" s="64" t="s">
        <v>230</v>
      </c>
      <c r="G4529" s="64" t="s">
        <v>3160</v>
      </c>
      <c r="H4529" s="64" t="s">
        <v>1875</v>
      </c>
      <c r="I4529" s="64" t="s">
        <v>3782</v>
      </c>
      <c r="J4529" s="67">
        <v>125</v>
      </c>
      <c r="K4529" s="62">
        <v>290</v>
      </c>
      <c r="L4529" s="33" t="e">
        <f>HLOOKUP(B4529,#REF!,1,0)</f>
        <v>#REF!</v>
      </c>
      <c r="M4529" s="33" t="str">
        <f t="shared" si="283"/>
        <v>P&amp;L</v>
      </c>
    </row>
    <row r="4530" spans="1:13" s="33" customFormat="true" ht="12.75" customHeight="true">
      <c r="A4530" s="33" t="str">
        <f t="shared" si="280"/>
        <v>DPM - CGS</v>
      </c>
      <c r="B4530" s="33" t="str">
        <f t="shared" si="281"/>
        <v>DPM</v>
      </c>
      <c r="C4530" s="33" t="str">
        <f t="shared" si="282"/>
        <v>53002-0000</v>
      </c>
      <c r="D4530" s="64" t="s">
        <v>5529</v>
      </c>
      <c r="E4530" s="64" t="s">
        <v>3784</v>
      </c>
      <c r="F4530" s="64" t="s">
        <v>230</v>
      </c>
      <c r="G4530" s="64" t="s">
        <v>3160</v>
      </c>
      <c r="H4530" s="64" t="s">
        <v>1875</v>
      </c>
      <c r="I4530" s="64" t="s">
        <v>3785</v>
      </c>
      <c r="J4530" s="67">
        <v>1453.98</v>
      </c>
      <c r="K4530" s="62">
        <v>1453.98</v>
      </c>
      <c r="L4530" s="33" t="e">
        <f>HLOOKUP(B4530,#REF!,1,0)</f>
        <v>#REF!</v>
      </c>
      <c r="M4530" s="33" t="str">
        <f t="shared" si="283"/>
        <v>P&amp;L</v>
      </c>
    </row>
    <row r="4531" spans="1:13" s="33" customFormat="true" ht="12.75" customHeight="true">
      <c r="A4531" s="33" t="str">
        <f t="shared" si="280"/>
        <v>DPM - CGS</v>
      </c>
      <c r="B4531" s="33" t="str">
        <f t="shared" si="281"/>
        <v>DPM</v>
      </c>
      <c r="C4531" s="33" t="str">
        <f t="shared" si="282"/>
        <v>53003-0000</v>
      </c>
      <c r="D4531" s="64" t="s">
        <v>5530</v>
      </c>
      <c r="E4531" s="64" t="s">
        <v>3787</v>
      </c>
      <c r="F4531" s="64" t="s">
        <v>230</v>
      </c>
      <c r="G4531" s="64" t="s">
        <v>3160</v>
      </c>
      <c r="H4531" s="64" t="s">
        <v>1875</v>
      </c>
      <c r="I4531" s="64" t="s">
        <v>3788</v>
      </c>
      <c r="J4531" s="67">
        <v>15248.21</v>
      </c>
      <c r="K4531" s="62">
        <v>78882.95</v>
      </c>
      <c r="L4531" s="33" t="e">
        <f>HLOOKUP(B4531,#REF!,1,0)</f>
        <v>#REF!</v>
      </c>
      <c r="M4531" s="33" t="str">
        <f t="shared" si="283"/>
        <v>P&amp;L</v>
      </c>
    </row>
    <row r="4532" spans="1:13" s="33" customFormat="true" ht="12.75" customHeight="true">
      <c r="A4532" s="33" t="str">
        <f t="shared" si="280"/>
        <v>DPM - CGS</v>
      </c>
      <c r="B4532" s="33" t="str">
        <f t="shared" si="281"/>
        <v>DPM</v>
      </c>
      <c r="C4532" s="33" t="str">
        <f t="shared" si="282"/>
        <v>53004-0000</v>
      </c>
      <c r="D4532" s="64" t="s">
        <v>5531</v>
      </c>
      <c r="E4532" s="64" t="s">
        <v>3790</v>
      </c>
      <c r="F4532" s="64" t="s">
        <v>230</v>
      </c>
      <c r="G4532" s="64" t="s">
        <v>3160</v>
      </c>
      <c r="H4532" s="64" t="s">
        <v>1875</v>
      </c>
      <c r="I4532" s="64" t="s">
        <v>3791</v>
      </c>
      <c r="J4532" s="67">
        <v>1223.29</v>
      </c>
      <c r="K4532" s="62">
        <v>8678.71</v>
      </c>
      <c r="L4532" s="33" t="e">
        <f>HLOOKUP(B4532,#REF!,1,0)</f>
        <v>#REF!</v>
      </c>
      <c r="M4532" s="33" t="str">
        <f t="shared" si="283"/>
        <v>P&amp;L</v>
      </c>
    </row>
    <row r="4533" spans="1:13" s="33" customFormat="true" ht="12.75" customHeight="true">
      <c r="A4533" s="33" t="str">
        <f t="shared" si="280"/>
        <v>DPM - CGS</v>
      </c>
      <c r="B4533" s="33" t="str">
        <f t="shared" si="281"/>
        <v>DPM</v>
      </c>
      <c r="C4533" s="33" t="str">
        <f t="shared" si="282"/>
        <v>53005-0000</v>
      </c>
      <c r="D4533" s="64" t="s">
        <v>5532</v>
      </c>
      <c r="E4533" s="64" t="s">
        <v>3793</v>
      </c>
      <c r="F4533" s="64" t="s">
        <v>230</v>
      </c>
      <c r="G4533" s="64" t="s">
        <v>3160</v>
      </c>
      <c r="H4533" s="64" t="s">
        <v>1875</v>
      </c>
      <c r="I4533" s="64" t="s">
        <v>3794</v>
      </c>
      <c r="J4533" s="67">
        <v>682.67</v>
      </c>
      <c r="K4533" s="62">
        <v>4415.75</v>
      </c>
      <c r="L4533" s="33" t="e">
        <f>HLOOKUP(B4533,#REF!,1,0)</f>
        <v>#REF!</v>
      </c>
      <c r="M4533" s="33" t="str">
        <f t="shared" si="283"/>
        <v>P&amp;L</v>
      </c>
    </row>
    <row r="4534" spans="1:13" s="33" customFormat="true" ht="12.75" customHeight="true">
      <c r="A4534" s="33" t="str">
        <f t="shared" si="280"/>
        <v>DPM - CGS</v>
      </c>
      <c r="B4534" s="33" t="str">
        <f t="shared" si="281"/>
        <v>DPM</v>
      </c>
      <c r="C4534" s="33" t="str">
        <f t="shared" si="282"/>
        <v>53006-0000</v>
      </c>
      <c r="D4534" s="64" t="s">
        <v>5533</v>
      </c>
      <c r="E4534" s="64" t="s">
        <v>3796</v>
      </c>
      <c r="F4534" s="64" t="s">
        <v>230</v>
      </c>
      <c r="G4534" s="64" t="s">
        <v>3160</v>
      </c>
      <c r="H4534" s="64" t="s">
        <v>1875</v>
      </c>
      <c r="I4534" s="64" t="s">
        <v>3797</v>
      </c>
      <c r="J4534" s="67">
        <v>5569.7</v>
      </c>
      <c r="K4534" s="62">
        <v>30046.03</v>
      </c>
      <c r="L4534" s="33" t="e">
        <f>HLOOKUP(B4534,#REF!,1,0)</f>
        <v>#REF!</v>
      </c>
      <c r="M4534" s="33" t="str">
        <f t="shared" si="283"/>
        <v>P&amp;L</v>
      </c>
    </row>
    <row r="4535" spans="1:13" s="33" customFormat="true" ht="12.75" customHeight="true">
      <c r="A4535" s="33" t="str">
        <f t="shared" si="280"/>
        <v>DPM - CGS</v>
      </c>
      <c r="B4535" s="33" t="str">
        <f t="shared" si="281"/>
        <v>DPM</v>
      </c>
      <c r="C4535" s="33" t="str">
        <f t="shared" si="282"/>
        <v>54001-0000</v>
      </c>
      <c r="D4535" s="64" t="s">
        <v>5534</v>
      </c>
      <c r="E4535" s="64" t="s">
        <v>4008</v>
      </c>
      <c r="F4535" s="64" t="s">
        <v>230</v>
      </c>
      <c r="G4535" s="64" t="s">
        <v>3800</v>
      </c>
      <c r="H4535" s="64" t="s">
        <v>1875</v>
      </c>
      <c r="I4535" s="64" t="s">
        <v>4009</v>
      </c>
      <c r="J4535" s="67">
        <v>0</v>
      </c>
      <c r="K4535" s="62">
        <v>0</v>
      </c>
      <c r="L4535" s="33" t="e">
        <f>HLOOKUP(B4535,#REF!,1,0)</f>
        <v>#REF!</v>
      </c>
      <c r="M4535" s="33" t="str">
        <f t="shared" si="283"/>
        <v>P&amp;L</v>
      </c>
    </row>
    <row r="4536" spans="1:13" s="33" customFormat="true" ht="12.75" customHeight="true">
      <c r="A4536" s="33" t="str">
        <f t="shared" si="280"/>
        <v>DPM - CGS</v>
      </c>
      <c r="B4536" s="33" t="str">
        <f t="shared" si="281"/>
        <v>DPM</v>
      </c>
      <c r="C4536" s="33" t="str">
        <f t="shared" si="282"/>
        <v>54002-0000</v>
      </c>
      <c r="D4536" s="64" t="s">
        <v>5535</v>
      </c>
      <c r="E4536" s="64" t="s">
        <v>3799</v>
      </c>
      <c r="F4536" s="64" t="s">
        <v>230</v>
      </c>
      <c r="G4536" s="64" t="s">
        <v>3800</v>
      </c>
      <c r="H4536" s="64" t="s">
        <v>1875</v>
      </c>
      <c r="I4536" s="64" t="s">
        <v>3801</v>
      </c>
      <c r="J4536" s="67">
        <v>0</v>
      </c>
      <c r="K4536" s="62">
        <v>3302</v>
      </c>
      <c r="L4536" s="33" t="e">
        <f>HLOOKUP(B4536,#REF!,1,0)</f>
        <v>#REF!</v>
      </c>
      <c r="M4536" s="33" t="str">
        <f t="shared" si="283"/>
        <v>P&amp;L</v>
      </c>
    </row>
    <row r="4537" spans="1:13" s="33" customFormat="true" ht="12.75" customHeight="true">
      <c r="A4537" s="33" t="str">
        <f t="shared" si="280"/>
        <v>DPM - CGS</v>
      </c>
      <c r="B4537" s="33" t="str">
        <f t="shared" si="281"/>
        <v>DPM</v>
      </c>
      <c r="C4537" s="33" t="str">
        <f t="shared" si="282"/>
        <v>54003-0000</v>
      </c>
      <c r="D4537" s="64" t="s">
        <v>5536</v>
      </c>
      <c r="E4537" s="64" t="s">
        <v>3803</v>
      </c>
      <c r="F4537" s="64" t="s">
        <v>230</v>
      </c>
      <c r="G4537" s="64" t="s">
        <v>3800</v>
      </c>
      <c r="H4537" s="64" t="s">
        <v>1875</v>
      </c>
      <c r="I4537" s="64" t="s">
        <v>3804</v>
      </c>
      <c r="J4537" s="67">
        <v>0</v>
      </c>
      <c r="K4537" s="62">
        <v>0</v>
      </c>
      <c r="L4537" s="33" t="e">
        <f>HLOOKUP(B4537,#REF!,1,0)</f>
        <v>#REF!</v>
      </c>
      <c r="M4537" s="33" t="str">
        <f t="shared" si="283"/>
        <v>P&amp;L</v>
      </c>
    </row>
    <row r="4538" spans="1:13" s="33" customFormat="true" ht="12.75" customHeight="true">
      <c r="A4538" s="33" t="str">
        <f t="shared" si="280"/>
        <v>DPM - CGS</v>
      </c>
      <c r="B4538" s="33" t="str">
        <f t="shared" si="281"/>
        <v>DPM</v>
      </c>
      <c r="C4538" s="33" t="str">
        <f t="shared" si="282"/>
        <v>54004-0000</v>
      </c>
      <c r="D4538" s="64" t="s">
        <v>5537</v>
      </c>
      <c r="E4538" s="64" t="s">
        <v>3806</v>
      </c>
      <c r="F4538" s="64" t="s">
        <v>230</v>
      </c>
      <c r="G4538" s="64" t="s">
        <v>3800</v>
      </c>
      <c r="H4538" s="64" t="s">
        <v>1875</v>
      </c>
      <c r="I4538" s="64" t="s">
        <v>3807</v>
      </c>
      <c r="J4538" s="67">
        <v>4000</v>
      </c>
      <c r="K4538" s="62">
        <v>31553.51</v>
      </c>
      <c r="L4538" s="33" t="e">
        <f>HLOOKUP(B4538,#REF!,1,0)</f>
        <v>#REF!</v>
      </c>
      <c r="M4538" s="33" t="str">
        <f t="shared" si="283"/>
        <v>P&amp;L</v>
      </c>
    </row>
    <row r="4539" spans="1:13" s="33" customFormat="true" ht="12.75" customHeight="true">
      <c r="A4539" s="33" t="str">
        <f t="shared" si="280"/>
        <v>DPM - CGS</v>
      </c>
      <c r="B4539" s="33" t="str">
        <f t="shared" si="281"/>
        <v>DPM</v>
      </c>
      <c r="C4539" s="33" t="str">
        <f t="shared" si="282"/>
        <v>54005-0000</v>
      </c>
      <c r="D4539" s="64" t="s">
        <v>5538</v>
      </c>
      <c r="E4539" s="64" t="s">
        <v>3809</v>
      </c>
      <c r="F4539" s="64" t="s">
        <v>230</v>
      </c>
      <c r="G4539" s="64" t="s">
        <v>3800</v>
      </c>
      <c r="H4539" s="64" t="s">
        <v>1875</v>
      </c>
      <c r="I4539" s="64" t="s">
        <v>3810</v>
      </c>
      <c r="J4539" s="67">
        <v>33.46</v>
      </c>
      <c r="K4539" s="62">
        <v>221.64</v>
      </c>
      <c r="L4539" s="33" t="e">
        <f>HLOOKUP(B4539,#REF!,1,0)</f>
        <v>#REF!</v>
      </c>
      <c r="M4539" s="33" t="str">
        <f t="shared" si="283"/>
        <v>P&amp;L</v>
      </c>
    </row>
    <row r="4540" spans="1:13" s="33" customFormat="true" ht="12.75" customHeight="true">
      <c r="A4540" s="33" t="str">
        <f t="shared" si="280"/>
        <v>DPM - CGS</v>
      </c>
      <c r="B4540" s="33" t="str">
        <f t="shared" si="281"/>
        <v>DPM</v>
      </c>
      <c r="C4540" s="33" t="str">
        <f t="shared" si="282"/>
        <v>54006-0000</v>
      </c>
      <c r="D4540" s="64" t="s">
        <v>5539</v>
      </c>
      <c r="E4540" s="64" t="s">
        <v>3812</v>
      </c>
      <c r="F4540" s="64" t="s">
        <v>230</v>
      </c>
      <c r="G4540" s="64" t="s">
        <v>3800</v>
      </c>
      <c r="H4540" s="64" t="s">
        <v>1875</v>
      </c>
      <c r="I4540" s="64" t="s">
        <v>3003</v>
      </c>
      <c r="J4540" s="67">
        <v>70.68</v>
      </c>
      <c r="K4540" s="62">
        <v>3716.67</v>
      </c>
      <c r="L4540" s="33" t="e">
        <f>HLOOKUP(B4540,#REF!,1,0)</f>
        <v>#REF!</v>
      </c>
      <c r="M4540" s="33" t="str">
        <f t="shared" si="283"/>
        <v>P&amp;L</v>
      </c>
    </row>
    <row r="4541" spans="1:13" s="33" customFormat="true" ht="12.75" customHeight="true">
      <c r="A4541" s="33" t="str">
        <f t="shared" si="280"/>
        <v>DPM - CGS</v>
      </c>
      <c r="B4541" s="33" t="str">
        <f t="shared" si="281"/>
        <v>DPM</v>
      </c>
      <c r="C4541" s="33" t="str">
        <f t="shared" si="282"/>
        <v>54007-0000</v>
      </c>
      <c r="D4541" s="64" t="s">
        <v>5540</v>
      </c>
      <c r="E4541" s="64" t="s">
        <v>3814</v>
      </c>
      <c r="F4541" s="64" t="s">
        <v>230</v>
      </c>
      <c r="G4541" s="64" t="s">
        <v>3800</v>
      </c>
      <c r="H4541" s="64" t="s">
        <v>1875</v>
      </c>
      <c r="I4541" s="64" t="s">
        <v>3815</v>
      </c>
      <c r="J4541" s="67">
        <v>2432</v>
      </c>
      <c r="K4541" s="62">
        <v>5375</v>
      </c>
      <c r="L4541" s="33" t="e">
        <f>HLOOKUP(B4541,#REF!,1,0)</f>
        <v>#REF!</v>
      </c>
      <c r="M4541" s="33" t="str">
        <f t="shared" si="283"/>
        <v>P&amp;L</v>
      </c>
    </row>
    <row r="4542" spans="1:13" s="33" customFormat="true" ht="12.75" customHeight="true">
      <c r="A4542" s="33" t="str">
        <f t="shared" si="280"/>
        <v>DPM - PM Expenses</v>
      </c>
      <c r="B4542" s="33" t="str">
        <f t="shared" si="281"/>
        <v>DPM</v>
      </c>
      <c r="C4542" s="33" t="str">
        <f t="shared" si="282"/>
        <v>55501-0000</v>
      </c>
      <c r="D4542" s="64" t="s">
        <v>5541</v>
      </c>
      <c r="E4542" s="64" t="s">
        <v>3817</v>
      </c>
      <c r="F4542" s="64" t="s">
        <v>230</v>
      </c>
      <c r="G4542" s="64" t="s">
        <v>3818</v>
      </c>
      <c r="H4542" s="64" t="s">
        <v>3819</v>
      </c>
      <c r="I4542" s="64" t="s">
        <v>3820</v>
      </c>
      <c r="J4542" s="67">
        <v>0</v>
      </c>
      <c r="K4542" s="62">
        <v>2750</v>
      </c>
      <c r="L4542" s="33" t="e">
        <f>HLOOKUP(B4542,#REF!,1,0)</f>
        <v>#REF!</v>
      </c>
      <c r="M4542" s="33" t="str">
        <f t="shared" si="283"/>
        <v>P&amp;L</v>
      </c>
    </row>
    <row r="4543" spans="1:13" s="33" customFormat="true" ht="14.25" customHeight="true">
      <c r="A4543" s="33" t="str">
        <f t="shared" si="280"/>
        <v>DPM - PM Expenses</v>
      </c>
      <c r="B4543" s="33" t="str">
        <f t="shared" si="281"/>
        <v>DPM</v>
      </c>
      <c r="C4543" s="33" t="str">
        <f t="shared" si="282"/>
        <v>55502-0000</v>
      </c>
      <c r="D4543" s="64" t="s">
        <v>5542</v>
      </c>
      <c r="E4543" s="64" t="s">
        <v>3822</v>
      </c>
      <c r="F4543" s="64" t="s">
        <v>230</v>
      </c>
      <c r="G4543" s="64" t="s">
        <v>3818</v>
      </c>
      <c r="H4543" s="33" t="s">
        <v>3819</v>
      </c>
      <c r="I4543" s="64" t="s">
        <v>3823</v>
      </c>
      <c r="J4543" s="67">
        <v>2762.75</v>
      </c>
      <c r="K4543" s="62">
        <v>37899.57</v>
      </c>
      <c r="L4543" s="33" t="e">
        <f>HLOOKUP(B4543,#REF!,1,0)</f>
        <v>#REF!</v>
      </c>
      <c r="M4543" s="33" t="str">
        <f t="shared" si="283"/>
        <v>P&amp;L</v>
      </c>
    </row>
    <row r="4544" spans="1:13" s="33" customFormat="true" ht="12.75" customHeight="true">
      <c r="A4544" s="33" t="str">
        <f t="shared" si="280"/>
        <v>DPM - PM Expenses</v>
      </c>
      <c r="B4544" s="33" t="str">
        <f t="shared" si="281"/>
        <v>DPM</v>
      </c>
      <c r="C4544" s="33" t="str">
        <f t="shared" si="282"/>
        <v>55503-0000</v>
      </c>
      <c r="D4544" s="64" t="s">
        <v>5543</v>
      </c>
      <c r="E4544" s="64" t="s">
        <v>3825</v>
      </c>
      <c r="F4544" s="64" t="s">
        <v>230</v>
      </c>
      <c r="G4544" s="64" t="s">
        <v>3818</v>
      </c>
      <c r="H4544" s="64" t="s">
        <v>3819</v>
      </c>
      <c r="I4544" s="64" t="s">
        <v>3826</v>
      </c>
      <c r="J4544" s="67">
        <v>158.67</v>
      </c>
      <c r="K4544" s="62">
        <v>13735.86</v>
      </c>
      <c r="L4544" s="33" t="e">
        <f>HLOOKUP(B4544,#REF!,1,0)</f>
        <v>#REF!</v>
      </c>
      <c r="M4544" s="33" t="str">
        <f t="shared" si="283"/>
        <v>P&amp;L</v>
      </c>
    </row>
    <row r="4545" spans="1:13" s="33" customFormat="true" ht="12.75" customHeight="true">
      <c r="A4545" s="33" t="str">
        <f t="shared" si="280"/>
        <v>DPM - PM Expenses</v>
      </c>
      <c r="B4545" s="33" t="str">
        <f t="shared" si="281"/>
        <v>DPM</v>
      </c>
      <c r="C4545" s="33" t="str">
        <f t="shared" si="282"/>
        <v>55505-0000</v>
      </c>
      <c r="D4545" s="64" t="s">
        <v>5544</v>
      </c>
      <c r="E4545" s="64" t="s">
        <v>3828</v>
      </c>
      <c r="F4545" s="64" t="s">
        <v>230</v>
      </c>
      <c r="G4545" s="64" t="s">
        <v>3818</v>
      </c>
      <c r="H4545" s="64" t="s">
        <v>3819</v>
      </c>
      <c r="I4545" s="64" t="s">
        <v>3829</v>
      </c>
      <c r="J4545" s="67">
        <v>6348.35</v>
      </c>
      <c r="K4545" s="62">
        <v>38090.63</v>
      </c>
      <c r="L4545" s="33" t="e">
        <f>HLOOKUP(B4545,#REF!,1,0)</f>
        <v>#REF!</v>
      </c>
      <c r="M4545" s="33" t="str">
        <f t="shared" si="283"/>
        <v>P&amp;L</v>
      </c>
    </row>
    <row r="4546" spans="1:13" s="33" customFormat="true" ht="12.75" customHeight="true">
      <c r="A4546" s="33" t="str">
        <f t="shared" ref="A4546:A4609" si="284">B4546&amp;" - "&amp;TRIM(H4546)</f>
        <v>DPM - PM Expenses</v>
      </c>
      <c r="B4546" s="33" t="str">
        <f t="shared" ref="B4546:B4609" si="285">LEFT(D4546,3)</f>
        <v>DPM</v>
      </c>
      <c r="C4546" s="33" t="str">
        <f t="shared" ref="C4546:C4609" si="286">RIGHT(D4546,10)</f>
        <v>55506-0000</v>
      </c>
      <c r="D4546" s="64" t="s">
        <v>5545</v>
      </c>
      <c r="E4546" s="64" t="s">
        <v>3831</v>
      </c>
      <c r="F4546" s="64" t="s">
        <v>230</v>
      </c>
      <c r="G4546" s="64" t="s">
        <v>3818</v>
      </c>
      <c r="H4546" s="64" t="s">
        <v>3819</v>
      </c>
      <c r="I4546" s="64" t="s">
        <v>3832</v>
      </c>
      <c r="J4546" s="67">
        <v>1428.73</v>
      </c>
      <c r="K4546" s="62">
        <v>18605.3</v>
      </c>
      <c r="L4546" s="33" t="e">
        <f>HLOOKUP(B4546,#REF!,1,0)</f>
        <v>#REF!</v>
      </c>
      <c r="M4546" s="33" t="str">
        <f t="shared" ref="M4546:M4609" si="287">IF(VALUE(LEFT(C4546,5))&gt;40000,"P&amp;L","BS")</f>
        <v>P&amp;L</v>
      </c>
    </row>
    <row r="4547" spans="1:13" s="33" customFormat="true" ht="12.75" customHeight="true">
      <c r="A4547" s="33" t="str">
        <f t="shared" si="284"/>
        <v>DPM - CGS</v>
      </c>
      <c r="B4547" s="33" t="str">
        <f t="shared" si="285"/>
        <v>DPM</v>
      </c>
      <c r="C4547" s="33" t="str">
        <f t="shared" si="286"/>
        <v>60002-0000</v>
      </c>
      <c r="D4547" s="64" t="s">
        <v>5546</v>
      </c>
      <c r="E4547" s="64" t="s">
        <v>3837</v>
      </c>
      <c r="F4547" s="64" t="s">
        <v>230</v>
      </c>
      <c r="G4547" s="64" t="s">
        <v>3838</v>
      </c>
      <c r="H4547" s="64" t="s">
        <v>1875</v>
      </c>
      <c r="I4547" s="64" t="s">
        <v>3839</v>
      </c>
      <c r="J4547" s="67">
        <v>0</v>
      </c>
      <c r="K4547" s="62">
        <v>237.63</v>
      </c>
      <c r="L4547" s="33" t="e">
        <f>HLOOKUP(B4547,#REF!,1,0)</f>
        <v>#REF!</v>
      </c>
      <c r="M4547" s="33" t="str">
        <f t="shared" si="287"/>
        <v>P&amp;L</v>
      </c>
    </row>
    <row r="4548" spans="1:13" s="33" customFormat="true" ht="12.75" customHeight="true">
      <c r="A4548" s="33" t="str">
        <f t="shared" si="284"/>
        <v>DPM - CGS</v>
      </c>
      <c r="B4548" s="33" t="str">
        <f t="shared" si="285"/>
        <v>DPM</v>
      </c>
      <c r="C4548" s="33" t="str">
        <f t="shared" si="286"/>
        <v>60005-0000</v>
      </c>
      <c r="D4548" s="64" t="s">
        <v>5547</v>
      </c>
      <c r="E4548" s="64" t="s">
        <v>3841</v>
      </c>
      <c r="F4548" s="64" t="s">
        <v>230</v>
      </c>
      <c r="G4548" s="64" t="s">
        <v>3838</v>
      </c>
      <c r="H4548" s="64" t="s">
        <v>1875</v>
      </c>
      <c r="I4548" s="64" t="s">
        <v>3842</v>
      </c>
      <c r="J4548" s="67">
        <v>0</v>
      </c>
      <c r="K4548" s="62">
        <v>36681</v>
      </c>
      <c r="L4548" s="33" t="e">
        <f>HLOOKUP(B4548,#REF!,1,0)</f>
        <v>#REF!</v>
      </c>
      <c r="M4548" s="33" t="str">
        <f t="shared" si="287"/>
        <v>P&amp;L</v>
      </c>
    </row>
    <row r="4549" spans="1:13" s="33" customFormat="true" ht="12.75" customHeight="true">
      <c r="A4549" s="33" t="str">
        <f t="shared" si="284"/>
        <v>DPM - Interest Expense</v>
      </c>
      <c r="B4549" s="33" t="str">
        <f t="shared" si="285"/>
        <v>DPM</v>
      </c>
      <c r="C4549" s="33" t="str">
        <f t="shared" si="286"/>
        <v>60006-0000</v>
      </c>
      <c r="D4549" s="64" t="s">
        <v>5548</v>
      </c>
      <c r="E4549" s="64" t="s">
        <v>3325</v>
      </c>
      <c r="F4549" s="64" t="s">
        <v>230</v>
      </c>
      <c r="G4549" s="64" t="s">
        <v>3844</v>
      </c>
      <c r="H4549" s="64" t="s">
        <v>3327</v>
      </c>
      <c r="I4549" s="64" t="s">
        <v>3328</v>
      </c>
      <c r="J4549" s="67">
        <v>115771.88</v>
      </c>
      <c r="K4549" s="62">
        <v>613590.96</v>
      </c>
      <c r="L4549" s="33" t="e">
        <f>HLOOKUP(B4549,#REF!,1,0)</f>
        <v>#REF!</v>
      </c>
      <c r="M4549" s="33" t="str">
        <f t="shared" si="287"/>
        <v>P&amp;L</v>
      </c>
    </row>
    <row r="4550" spans="1:13" s="33" customFormat="true" ht="12.75" customHeight="true">
      <c r="A4550" s="33" t="str">
        <f t="shared" si="284"/>
        <v>DPM - CGS</v>
      </c>
      <c r="B4550" s="33" t="str">
        <f t="shared" si="285"/>
        <v>DPM</v>
      </c>
      <c r="C4550" s="33" t="str">
        <f t="shared" si="286"/>
        <v>60007-0000</v>
      </c>
      <c r="D4550" s="64" t="s">
        <v>5549</v>
      </c>
      <c r="E4550" s="64" t="s">
        <v>3846</v>
      </c>
      <c r="F4550" s="64" t="s">
        <v>230</v>
      </c>
      <c r="G4550" s="64" t="s">
        <v>3838</v>
      </c>
      <c r="H4550" s="64" t="s">
        <v>1875</v>
      </c>
      <c r="I4550" s="64" t="s">
        <v>3847</v>
      </c>
      <c r="J4550" s="67">
        <v>0</v>
      </c>
      <c r="K4550" s="62">
        <v>0</v>
      </c>
      <c r="L4550" s="33" t="e">
        <f>HLOOKUP(B4550,#REF!,1,0)</f>
        <v>#REF!</v>
      </c>
      <c r="M4550" s="33" t="str">
        <f t="shared" si="287"/>
        <v>P&amp;L</v>
      </c>
    </row>
    <row r="4551" spans="1:13" s="33" customFormat="true" ht="12.75" customHeight="true">
      <c r="A4551" s="33" t="str">
        <f t="shared" si="284"/>
        <v>DPM - CGS</v>
      </c>
      <c r="B4551" s="33" t="str">
        <f t="shared" si="285"/>
        <v>DPM</v>
      </c>
      <c r="C4551" s="33" t="str">
        <f t="shared" si="286"/>
        <v>60008-0000</v>
      </c>
      <c r="D4551" s="64" t="s">
        <v>5550</v>
      </c>
      <c r="E4551" s="64" t="s">
        <v>3849</v>
      </c>
      <c r="F4551" s="64" t="s">
        <v>230</v>
      </c>
      <c r="G4551" s="64" t="s">
        <v>3838</v>
      </c>
      <c r="H4551" s="64" t="s">
        <v>1875</v>
      </c>
      <c r="I4551" s="64" t="s">
        <v>3850</v>
      </c>
      <c r="J4551" s="67">
        <v>336</v>
      </c>
      <c r="K4551" s="62">
        <v>1190</v>
      </c>
      <c r="L4551" s="33" t="e">
        <f>HLOOKUP(B4551,#REF!,1,0)</f>
        <v>#REF!</v>
      </c>
      <c r="M4551" s="33" t="str">
        <f t="shared" si="287"/>
        <v>P&amp;L</v>
      </c>
    </row>
    <row r="4552" spans="1:13" s="33" customFormat="true" ht="12.75" customHeight="true">
      <c r="A4552" s="33" t="str">
        <f t="shared" si="284"/>
        <v>DPM - CGS</v>
      </c>
      <c r="B4552" s="33" t="str">
        <f t="shared" si="285"/>
        <v>DPM</v>
      </c>
      <c r="C4552" s="33" t="str">
        <f t="shared" si="286"/>
        <v>60012-0000</v>
      </c>
      <c r="D4552" s="64" t="s">
        <v>5551</v>
      </c>
      <c r="E4552" s="64" t="s">
        <v>3852</v>
      </c>
      <c r="F4552" s="64" t="s">
        <v>230</v>
      </c>
      <c r="G4552" s="64" t="s">
        <v>3838</v>
      </c>
      <c r="H4552" s="64" t="s">
        <v>1875</v>
      </c>
      <c r="I4552" s="64" t="s">
        <v>3853</v>
      </c>
      <c r="J4552" s="67">
        <v>18042.66</v>
      </c>
      <c r="K4552" s="62">
        <v>6615.83</v>
      </c>
      <c r="L4552" s="33" t="e">
        <f>HLOOKUP(B4552,#REF!,1,0)</f>
        <v>#REF!</v>
      </c>
      <c r="M4552" s="33" t="str">
        <f t="shared" si="287"/>
        <v>P&amp;L</v>
      </c>
    </row>
    <row r="4553" spans="1:13" s="33" customFormat="true" ht="12.75" customHeight="true">
      <c r="A4553" s="33" t="str">
        <f t="shared" si="284"/>
        <v>DPM - CGS</v>
      </c>
      <c r="B4553" s="33" t="str">
        <f t="shared" si="285"/>
        <v>DPM</v>
      </c>
      <c r="C4553" s="33" t="str">
        <f t="shared" si="286"/>
        <v>60014-0000</v>
      </c>
      <c r="D4553" s="64" t="s">
        <v>5552</v>
      </c>
      <c r="E4553" s="64" t="s">
        <v>3855</v>
      </c>
      <c r="F4553" s="64" t="s">
        <v>230</v>
      </c>
      <c r="G4553" s="64" t="s">
        <v>3838</v>
      </c>
      <c r="H4553" s="64" t="s">
        <v>1875</v>
      </c>
      <c r="I4553" s="64" t="s">
        <v>3856</v>
      </c>
      <c r="J4553" s="67">
        <v>3996.04</v>
      </c>
      <c r="K4553" s="62">
        <v>24074.61</v>
      </c>
      <c r="L4553" s="33" t="e">
        <f>HLOOKUP(B4553,#REF!,1,0)</f>
        <v>#REF!</v>
      </c>
      <c r="M4553" s="33" t="str">
        <f t="shared" si="287"/>
        <v>P&amp;L</v>
      </c>
    </row>
    <row r="4554" spans="1:13" s="33" customFormat="true" ht="12.75" customHeight="true">
      <c r="A4554" s="33" t="str">
        <f t="shared" si="284"/>
        <v>DPM - CGS</v>
      </c>
      <c r="B4554" s="33" t="str">
        <f t="shared" si="285"/>
        <v>DPM</v>
      </c>
      <c r="C4554" s="33" t="str">
        <f t="shared" si="286"/>
        <v>60015-0000</v>
      </c>
      <c r="D4554" s="64" t="s">
        <v>5553</v>
      </c>
      <c r="E4554" s="64" t="s">
        <v>3858</v>
      </c>
      <c r="F4554" s="64" t="s">
        <v>230</v>
      </c>
      <c r="G4554" s="64" t="s">
        <v>3838</v>
      </c>
      <c r="H4554" s="64" t="s">
        <v>1875</v>
      </c>
      <c r="I4554" s="64" t="s">
        <v>3859</v>
      </c>
      <c r="J4554" s="67">
        <v>235</v>
      </c>
      <c r="K4554" s="62">
        <v>235</v>
      </c>
      <c r="L4554" s="33" t="e">
        <f>HLOOKUP(B4554,#REF!,1,0)</f>
        <v>#REF!</v>
      </c>
      <c r="M4554" s="33" t="str">
        <f t="shared" si="287"/>
        <v>P&amp;L</v>
      </c>
    </row>
    <row r="4555" spans="1:13" s="33" customFormat="true" ht="12.75" customHeight="true">
      <c r="A4555" s="33" t="str">
        <f t="shared" si="284"/>
        <v>DPM - Other Expenses</v>
      </c>
      <c r="B4555" s="33" t="str">
        <f t="shared" si="285"/>
        <v>DPM</v>
      </c>
      <c r="C4555" s="33" t="str">
        <f t="shared" si="286"/>
        <v>61018-0000</v>
      </c>
      <c r="D4555" s="64" t="s">
        <v>5554</v>
      </c>
      <c r="E4555" s="64" t="s">
        <v>3864</v>
      </c>
      <c r="F4555" s="64" t="s">
        <v>230</v>
      </c>
      <c r="G4555" s="64" t="s">
        <v>3838</v>
      </c>
      <c r="H4555" s="64" t="s">
        <v>3865</v>
      </c>
      <c r="I4555" s="64" t="s">
        <v>3866</v>
      </c>
      <c r="J4555" s="67">
        <v>0</v>
      </c>
      <c r="K4555" s="62">
        <v>414718</v>
      </c>
      <c r="L4555" s="33" t="e">
        <f>HLOOKUP(B4555,#REF!,1,0)</f>
        <v>#REF!</v>
      </c>
      <c r="M4555" s="33" t="str">
        <f t="shared" si="287"/>
        <v>P&amp;L</v>
      </c>
    </row>
    <row r="4556" spans="1:13" s="33" customFormat="true" ht="12.75" customHeight="true">
      <c r="A4556" s="33" t="str">
        <f t="shared" si="284"/>
        <v>DPM - Income Tax</v>
      </c>
      <c r="B4556" s="33" t="str">
        <f t="shared" si="285"/>
        <v>DPM</v>
      </c>
      <c r="C4556" s="33" t="str">
        <f t="shared" si="286"/>
        <v>61019-0000</v>
      </c>
      <c r="D4556" s="64" t="s">
        <v>5555</v>
      </c>
      <c r="E4556" s="64" t="s">
        <v>4041</v>
      </c>
      <c r="F4556" s="64" t="s">
        <v>230</v>
      </c>
      <c r="G4556" s="64" t="s">
        <v>3844</v>
      </c>
      <c r="H4556" s="64" t="s">
        <v>3378</v>
      </c>
      <c r="I4556" s="64" t="s">
        <v>4042</v>
      </c>
      <c r="J4556" s="67">
        <v>0</v>
      </c>
      <c r="K4556" s="62">
        <v>900</v>
      </c>
      <c r="L4556" s="33" t="e">
        <f>HLOOKUP(B4556,#REF!,1,0)</f>
        <v>#REF!</v>
      </c>
      <c r="M4556" s="33" t="str">
        <f t="shared" si="287"/>
        <v>P&amp;L</v>
      </c>
    </row>
    <row r="4557" spans="1:13" s="33" customFormat="true" ht="12.75" customHeight="true">
      <c r="A4557" s="33" t="str">
        <f t="shared" si="284"/>
        <v>DPM - CGS</v>
      </c>
      <c r="B4557" s="33" t="str">
        <f t="shared" si="285"/>
        <v>DPM</v>
      </c>
      <c r="C4557" s="33" t="str">
        <f t="shared" si="286"/>
        <v>61023-0000</v>
      </c>
      <c r="D4557" s="64" t="s">
        <v>5556</v>
      </c>
      <c r="E4557" s="64" t="s">
        <v>3868</v>
      </c>
      <c r="F4557" s="64" t="s">
        <v>230</v>
      </c>
      <c r="G4557" s="64" t="s">
        <v>3838</v>
      </c>
      <c r="H4557" s="64" t="s">
        <v>1875</v>
      </c>
      <c r="I4557" s="64" t="s">
        <v>1876</v>
      </c>
      <c r="J4557" s="67">
        <v>0</v>
      </c>
      <c r="K4557" s="62">
        <v>423</v>
      </c>
      <c r="L4557" s="33" t="e">
        <f>HLOOKUP(B4557,#REF!,1,0)</f>
        <v>#REF!</v>
      </c>
      <c r="M4557" s="33" t="str">
        <f t="shared" si="287"/>
        <v>P&amp;L</v>
      </c>
    </row>
    <row r="4558" spans="1:13" s="33" customFormat="true" ht="12.75" customHeight="true">
      <c r="A4558" s="33" t="str">
        <f t="shared" si="284"/>
        <v>DWO - AP-Accr Exp</v>
      </c>
      <c r="B4558" s="33" t="str">
        <f t="shared" si="285"/>
        <v>DWO</v>
      </c>
      <c r="C4558" s="33" t="str">
        <f t="shared" si="286"/>
        <v>20001-0000</v>
      </c>
      <c r="D4558" s="64" t="s">
        <v>5557</v>
      </c>
      <c r="E4558" s="64" t="s">
        <v>96</v>
      </c>
      <c r="F4558" s="64" t="s">
        <v>547</v>
      </c>
      <c r="G4558" s="64" t="s">
        <v>97</v>
      </c>
      <c r="H4558" s="64" t="s">
        <v>98</v>
      </c>
      <c r="I4558" s="64" t="s">
        <v>99</v>
      </c>
      <c r="J4558" s="67">
        <v>0</v>
      </c>
      <c r="K4558" s="62">
        <v>0</v>
      </c>
      <c r="L4558" s="33" t="e">
        <f>HLOOKUP(B4558,#REF!,1,0)</f>
        <v>#REF!</v>
      </c>
      <c r="M4558" s="33" t="str">
        <f t="shared" si="287"/>
        <v>BS</v>
      </c>
    </row>
    <row r="4559" spans="1:13" s="33" customFormat="true" ht="12.75" customHeight="true">
      <c r="A4559" s="33" t="str">
        <f t="shared" si="284"/>
        <v>DWO - Revenue</v>
      </c>
      <c r="B4559" s="33" t="str">
        <f t="shared" si="285"/>
        <v>DWO</v>
      </c>
      <c r="C4559" s="33" t="str">
        <f t="shared" si="286"/>
        <v>40700-7863</v>
      </c>
      <c r="D4559" s="64" t="s">
        <v>5558</v>
      </c>
      <c r="E4559" s="64" t="s">
        <v>5559</v>
      </c>
      <c r="F4559" s="64" t="s">
        <v>547</v>
      </c>
      <c r="G4559" s="64" t="s">
        <v>2870</v>
      </c>
      <c r="H4559" s="64" t="s">
        <v>2871</v>
      </c>
      <c r="I4559" s="64" t="s">
        <v>4422</v>
      </c>
      <c r="J4559" s="67">
        <v>-11342.7</v>
      </c>
      <c r="K4559" s="62">
        <v>-113427</v>
      </c>
      <c r="L4559" s="33" t="e">
        <f>HLOOKUP(B4559,#REF!,1,0)</f>
        <v>#REF!</v>
      </c>
      <c r="M4559" s="33" t="str">
        <f t="shared" si="287"/>
        <v>P&amp;L</v>
      </c>
    </row>
    <row r="4560" spans="1:13" s="33" customFormat="true" ht="12.75" customHeight="true">
      <c r="A4560" s="33" t="str">
        <f t="shared" si="284"/>
        <v>DWO - Operating Expense</v>
      </c>
      <c r="B4560" s="33" t="str">
        <f t="shared" si="285"/>
        <v>DWO</v>
      </c>
      <c r="C4560" s="33" t="str">
        <f t="shared" si="286"/>
        <v>64502-0000</v>
      </c>
      <c r="D4560" s="64" t="s">
        <v>5560</v>
      </c>
      <c r="E4560" s="64" t="s">
        <v>3195</v>
      </c>
      <c r="F4560" s="64" t="s">
        <v>547</v>
      </c>
      <c r="G4560" s="64" t="s">
        <v>4430</v>
      </c>
      <c r="H4560" s="64" t="s">
        <v>3022</v>
      </c>
      <c r="I4560" s="64" t="s">
        <v>4433</v>
      </c>
      <c r="J4560" s="67">
        <v>0</v>
      </c>
      <c r="K4560" s="62">
        <v>197.79</v>
      </c>
      <c r="L4560" s="33" t="e">
        <f>HLOOKUP(B4560,#REF!,1,0)</f>
        <v>#REF!</v>
      </c>
      <c r="M4560" s="33" t="str">
        <f t="shared" si="287"/>
        <v>P&amp;L</v>
      </c>
    </row>
    <row r="4561" spans="1:13" s="33" customFormat="true" ht="12.75" customHeight="true">
      <c r="A4561" s="33" t="str">
        <f t="shared" si="284"/>
        <v>DWO - Operating Expense</v>
      </c>
      <c r="B4561" s="33" t="str">
        <f t="shared" si="285"/>
        <v>DWO</v>
      </c>
      <c r="C4561" s="33" t="str">
        <f t="shared" si="286"/>
        <v>92901-7863</v>
      </c>
      <c r="D4561" s="64" t="s">
        <v>5561</v>
      </c>
      <c r="E4561" s="64" t="s">
        <v>5562</v>
      </c>
      <c r="F4561" s="64" t="s">
        <v>547</v>
      </c>
      <c r="G4561" s="64" t="s">
        <v>4430</v>
      </c>
      <c r="H4561" s="64" t="s">
        <v>3022</v>
      </c>
      <c r="I4561" s="64" t="s">
        <v>3334</v>
      </c>
      <c r="J4561" s="67">
        <v>510.42</v>
      </c>
      <c r="K4561" s="62">
        <v>5104.2</v>
      </c>
      <c r="L4561" s="33" t="e">
        <f>HLOOKUP(B4561,#REF!,1,0)</f>
        <v>#REF!</v>
      </c>
      <c r="M4561" s="33" t="str">
        <f t="shared" si="287"/>
        <v>P&amp;L</v>
      </c>
    </row>
    <row r="4562" spans="1:13" s="33" customFormat="true" ht="12.75" customHeight="true">
      <c r="A4562" s="33" t="str">
        <f t="shared" si="284"/>
        <v>DWO - Operating Expense</v>
      </c>
      <c r="B4562" s="33" t="str">
        <f t="shared" si="285"/>
        <v>DWO</v>
      </c>
      <c r="C4562" s="33" t="str">
        <f t="shared" si="286"/>
        <v>94201-0000</v>
      </c>
      <c r="D4562" s="64" t="s">
        <v>5563</v>
      </c>
      <c r="E4562" s="64" t="s">
        <v>5564</v>
      </c>
      <c r="F4562" s="64" t="s">
        <v>547</v>
      </c>
      <c r="G4562" s="64" t="s">
        <v>4430</v>
      </c>
      <c r="H4562" s="64" t="s">
        <v>3022</v>
      </c>
      <c r="I4562" s="64" t="s">
        <v>3354</v>
      </c>
      <c r="J4562" s="67">
        <v>0</v>
      </c>
      <c r="K4562" s="62">
        <v>468</v>
      </c>
      <c r="L4562" s="33" t="e">
        <f>HLOOKUP(B4562,#REF!,1,0)</f>
        <v>#REF!</v>
      </c>
      <c r="M4562" s="33" t="str">
        <f t="shared" si="287"/>
        <v>P&amp;L</v>
      </c>
    </row>
    <row r="4563" spans="1:13" s="33" customFormat="true" ht="12.75" customHeight="true">
      <c r="A4563" s="33" t="str">
        <f t="shared" si="284"/>
        <v>DWO - Other Income/Expense</v>
      </c>
      <c r="B4563" s="33" t="str">
        <f t="shared" si="285"/>
        <v>DWO</v>
      </c>
      <c r="C4563" s="33" t="str">
        <f t="shared" si="286"/>
        <v>99001-0000</v>
      </c>
      <c r="D4563" s="64" t="s">
        <v>5565</v>
      </c>
      <c r="E4563" s="64" t="s">
        <v>4437</v>
      </c>
      <c r="F4563" s="64" t="s">
        <v>547</v>
      </c>
      <c r="G4563" s="64" t="s">
        <v>4430</v>
      </c>
      <c r="H4563" s="64" t="s">
        <v>3300</v>
      </c>
      <c r="I4563" s="64" t="s">
        <v>4438</v>
      </c>
      <c r="J4563" s="67">
        <v>-624.28</v>
      </c>
      <c r="K4563" s="62">
        <v>-5911</v>
      </c>
      <c r="L4563" s="33" t="e">
        <f>HLOOKUP(B4563,#REF!,1,0)</f>
        <v>#REF!</v>
      </c>
      <c r="M4563" s="33" t="str">
        <f t="shared" si="287"/>
        <v>P&amp;L</v>
      </c>
    </row>
    <row r="4564" spans="1:13" s="33" customFormat="true" ht="12.75" customHeight="true">
      <c r="A4564" s="33" t="str">
        <f t="shared" si="284"/>
        <v>EAG - Fixed Assets</v>
      </c>
      <c r="B4564" s="33" t="str">
        <f t="shared" si="285"/>
        <v>EAG</v>
      </c>
      <c r="C4564" s="33" t="str">
        <f t="shared" si="286"/>
        <v>15501-0000</v>
      </c>
      <c r="D4564" s="64" t="s">
        <v>5566</v>
      </c>
      <c r="E4564" s="64" t="s">
        <v>2635</v>
      </c>
      <c r="F4564" s="64" t="s">
        <v>230</v>
      </c>
      <c r="G4564" s="64" t="s">
        <v>62</v>
      </c>
      <c r="H4564" s="64" t="s">
        <v>63</v>
      </c>
      <c r="I4564" s="64" t="s">
        <v>64</v>
      </c>
      <c r="J4564" s="67">
        <v>478.73</v>
      </c>
      <c r="K4564" s="62">
        <v>1878.85</v>
      </c>
      <c r="L4564" s="33" t="e">
        <f>HLOOKUP(B4564,#REF!,1,0)</f>
        <v>#REF!</v>
      </c>
      <c r="M4564" s="33" t="str">
        <f t="shared" si="287"/>
        <v>BS</v>
      </c>
    </row>
    <row r="4565" spans="1:13" s="33" customFormat="true" ht="12.75" customHeight="true">
      <c r="A4565" s="33" t="str">
        <f t="shared" si="284"/>
        <v>EAG - AR-PPD</v>
      </c>
      <c r="B4565" s="33" t="str">
        <f t="shared" si="285"/>
        <v>EAG</v>
      </c>
      <c r="C4565" s="33" t="str">
        <f t="shared" si="286"/>
        <v>25300-0000</v>
      </c>
      <c r="D4565" s="64" t="s">
        <v>5567</v>
      </c>
      <c r="E4565" s="64" t="s">
        <v>3677</v>
      </c>
      <c r="F4565" s="64" t="s">
        <v>230</v>
      </c>
      <c r="G4565" s="64" t="s">
        <v>3678</v>
      </c>
      <c r="H4565" s="64" t="s">
        <v>35</v>
      </c>
      <c r="I4565" s="64" t="s">
        <v>102</v>
      </c>
      <c r="J4565" s="67">
        <v>0</v>
      </c>
      <c r="K4565" s="62">
        <v>0</v>
      </c>
      <c r="L4565" s="33" t="e">
        <f>HLOOKUP(B4565,#REF!,1,0)</f>
        <v>#REF!</v>
      </c>
      <c r="M4565" s="33" t="str">
        <f t="shared" si="287"/>
        <v>BS</v>
      </c>
    </row>
    <row r="4566" spans="1:13" s="33" customFormat="true" ht="12.75" customHeight="true">
      <c r="A4566" s="33" t="str">
        <f t="shared" si="284"/>
        <v>EAG - Revenue</v>
      </c>
      <c r="B4566" s="33" t="str">
        <f t="shared" si="285"/>
        <v>EAG</v>
      </c>
      <c r="C4566" s="33" t="str">
        <f t="shared" si="286"/>
        <v>40110-0000</v>
      </c>
      <c r="D4566" s="64" t="s">
        <v>5568</v>
      </c>
      <c r="E4566" s="64" t="s">
        <v>3683</v>
      </c>
      <c r="F4566" s="64" t="s">
        <v>230</v>
      </c>
      <c r="G4566" s="64" t="s">
        <v>3684</v>
      </c>
      <c r="H4566" s="64" t="s">
        <v>2871</v>
      </c>
      <c r="I4566" s="64" t="s">
        <v>3685</v>
      </c>
      <c r="J4566" s="67">
        <v>-68558.06</v>
      </c>
      <c r="K4566" s="62">
        <v>-685580.6</v>
      </c>
      <c r="L4566" s="33" t="e">
        <f>HLOOKUP(B4566,#REF!,1,0)</f>
        <v>#REF!</v>
      </c>
      <c r="M4566" s="33" t="str">
        <f t="shared" si="287"/>
        <v>P&amp;L</v>
      </c>
    </row>
    <row r="4567" spans="1:13" s="33" customFormat="true" ht="12.75" customHeight="true">
      <c r="A4567" s="33" t="str">
        <f t="shared" si="284"/>
        <v>EAG - Revenue</v>
      </c>
      <c r="B4567" s="33" t="str">
        <f t="shared" si="285"/>
        <v>EAG</v>
      </c>
      <c r="C4567" s="33" t="str">
        <f t="shared" si="286"/>
        <v>40120-0000</v>
      </c>
      <c r="D4567" s="64" t="s">
        <v>5569</v>
      </c>
      <c r="E4567" s="64" t="s">
        <v>3687</v>
      </c>
      <c r="F4567" s="64" t="s">
        <v>230</v>
      </c>
      <c r="G4567" s="64" t="s">
        <v>3684</v>
      </c>
      <c r="H4567" s="64" t="s">
        <v>2871</v>
      </c>
      <c r="I4567" s="64" t="s">
        <v>3688</v>
      </c>
      <c r="J4567" s="67">
        <v>-994</v>
      </c>
      <c r="K4567" s="62">
        <v>-3552</v>
      </c>
      <c r="L4567" s="33" t="e">
        <f>HLOOKUP(B4567,#REF!,1,0)</f>
        <v>#REF!</v>
      </c>
      <c r="M4567" s="33" t="str">
        <f t="shared" si="287"/>
        <v>P&amp;L</v>
      </c>
    </row>
    <row r="4568" spans="1:13" s="33" customFormat="true" ht="12.75" customHeight="true">
      <c r="A4568" s="33" t="str">
        <f t="shared" si="284"/>
        <v>EAG - Revenue</v>
      </c>
      <c r="B4568" s="33" t="str">
        <f t="shared" si="285"/>
        <v>EAG</v>
      </c>
      <c r="C4568" s="33" t="str">
        <f t="shared" si="286"/>
        <v>40130-0000</v>
      </c>
      <c r="D4568" s="64" t="s">
        <v>5570</v>
      </c>
      <c r="E4568" s="64" t="s">
        <v>3690</v>
      </c>
      <c r="F4568" s="64" t="s">
        <v>230</v>
      </c>
      <c r="G4568" s="64" t="s">
        <v>3684</v>
      </c>
      <c r="H4568" s="64" t="s">
        <v>2871</v>
      </c>
      <c r="I4568" s="64" t="s">
        <v>3691</v>
      </c>
      <c r="J4568" s="67">
        <v>-5045.74</v>
      </c>
      <c r="K4568" s="62">
        <v>-15979.84</v>
      </c>
      <c r="L4568" s="33" t="e">
        <f>HLOOKUP(B4568,#REF!,1,0)</f>
        <v>#REF!</v>
      </c>
      <c r="M4568" s="33" t="str">
        <f t="shared" si="287"/>
        <v>P&amp;L</v>
      </c>
    </row>
    <row r="4569" spans="1:13" s="33" customFormat="true" ht="12.75" customHeight="true">
      <c r="A4569" s="33" t="str">
        <f t="shared" si="284"/>
        <v>EAG - Revenue</v>
      </c>
      <c r="B4569" s="33" t="str">
        <f t="shared" si="285"/>
        <v>EAG</v>
      </c>
      <c r="C4569" s="33" t="str">
        <f t="shared" si="286"/>
        <v>40140-0000</v>
      </c>
      <c r="D4569" s="64" t="s">
        <v>5571</v>
      </c>
      <c r="E4569" s="64" t="s">
        <v>3948</v>
      </c>
      <c r="F4569" s="64" t="s">
        <v>230</v>
      </c>
      <c r="G4569" s="64" t="s">
        <v>3684</v>
      </c>
      <c r="H4569" s="64" t="s">
        <v>2871</v>
      </c>
      <c r="I4569" s="64" t="s">
        <v>3949</v>
      </c>
      <c r="J4569" s="67">
        <v>0</v>
      </c>
      <c r="K4569" s="62">
        <v>0</v>
      </c>
      <c r="L4569" s="33" t="e">
        <f>HLOOKUP(B4569,#REF!,1,0)</f>
        <v>#REF!</v>
      </c>
      <c r="M4569" s="33" t="str">
        <f t="shared" si="287"/>
        <v>P&amp;L</v>
      </c>
    </row>
    <row r="4570" spans="1:13" s="33" customFormat="true" ht="12.75" customHeight="true">
      <c r="A4570" s="33" t="str">
        <f t="shared" si="284"/>
        <v>EAG - Revenue</v>
      </c>
      <c r="B4570" s="33" t="str">
        <f t="shared" si="285"/>
        <v>EAG</v>
      </c>
      <c r="C4570" s="33" t="str">
        <f t="shared" si="286"/>
        <v>41110-0000</v>
      </c>
      <c r="D4570" s="64" t="s">
        <v>5572</v>
      </c>
      <c r="E4570" s="64" t="s">
        <v>3693</v>
      </c>
      <c r="F4570" s="64" t="s">
        <v>230</v>
      </c>
      <c r="G4570" s="64" t="s">
        <v>3694</v>
      </c>
      <c r="H4570" s="64" t="s">
        <v>2871</v>
      </c>
      <c r="I4570" s="64" t="s">
        <v>3695</v>
      </c>
      <c r="J4570" s="67">
        <v>0</v>
      </c>
      <c r="K4570" s="62">
        <v>9017.14</v>
      </c>
      <c r="L4570" s="33" t="e">
        <f>HLOOKUP(B4570,#REF!,1,0)</f>
        <v>#REF!</v>
      </c>
      <c r="M4570" s="33" t="str">
        <f t="shared" si="287"/>
        <v>P&amp;L</v>
      </c>
    </row>
    <row r="4571" spans="1:13" s="33" customFormat="true" ht="12.75" customHeight="true">
      <c r="A4571" s="33" t="str">
        <f t="shared" si="284"/>
        <v>EAG - Revenue</v>
      </c>
      <c r="B4571" s="33" t="str">
        <f t="shared" si="285"/>
        <v>EAG</v>
      </c>
      <c r="C4571" s="33" t="str">
        <f t="shared" si="286"/>
        <v>41121-0000</v>
      </c>
      <c r="D4571" s="64" t="s">
        <v>5573</v>
      </c>
      <c r="E4571" s="64" t="s">
        <v>3697</v>
      </c>
      <c r="F4571" s="64" t="s">
        <v>230</v>
      </c>
      <c r="G4571" s="64" t="s">
        <v>3694</v>
      </c>
      <c r="H4571" s="64" t="s">
        <v>2871</v>
      </c>
      <c r="I4571" s="64" t="s">
        <v>3698</v>
      </c>
      <c r="J4571" s="67">
        <v>2752.67</v>
      </c>
      <c r="K4571" s="62">
        <v>14553.39</v>
      </c>
      <c r="L4571" s="33" t="e">
        <f>HLOOKUP(B4571,#REF!,1,0)</f>
        <v>#REF!</v>
      </c>
      <c r="M4571" s="33" t="str">
        <f t="shared" si="287"/>
        <v>P&amp;L</v>
      </c>
    </row>
    <row r="4572" spans="1:13" s="33" customFormat="true" ht="12.75" customHeight="true">
      <c r="A4572" s="33" t="str">
        <f t="shared" si="284"/>
        <v>EAG - Revenue</v>
      </c>
      <c r="B4572" s="33" t="str">
        <f t="shared" si="285"/>
        <v>EAG</v>
      </c>
      <c r="C4572" s="33" t="str">
        <f t="shared" si="286"/>
        <v>41122-0000</v>
      </c>
      <c r="D4572" s="64" t="s">
        <v>5574</v>
      </c>
      <c r="E4572" s="64" t="s">
        <v>3700</v>
      </c>
      <c r="F4572" s="64" t="s">
        <v>230</v>
      </c>
      <c r="G4572" s="64" t="s">
        <v>3694</v>
      </c>
      <c r="H4572" s="64" t="s">
        <v>2871</v>
      </c>
      <c r="I4572" s="64" t="s">
        <v>3701</v>
      </c>
      <c r="J4572" s="67">
        <v>0</v>
      </c>
      <c r="K4572" s="62">
        <v>-12577.3</v>
      </c>
      <c r="L4572" s="33" t="e">
        <f>HLOOKUP(B4572,#REF!,1,0)</f>
        <v>#REF!</v>
      </c>
      <c r="M4572" s="33" t="str">
        <f t="shared" si="287"/>
        <v>P&amp;L</v>
      </c>
    </row>
    <row r="4573" spans="1:13" s="33" customFormat="true" ht="12.75" customHeight="true">
      <c r="A4573" s="33" t="str">
        <f t="shared" si="284"/>
        <v>EAG - Revenue</v>
      </c>
      <c r="B4573" s="33" t="str">
        <f t="shared" si="285"/>
        <v>EAG</v>
      </c>
      <c r="C4573" s="33" t="str">
        <f t="shared" si="286"/>
        <v>41130-0000</v>
      </c>
      <c r="D4573" s="64" t="s">
        <v>5575</v>
      </c>
      <c r="E4573" s="64" t="s">
        <v>3703</v>
      </c>
      <c r="F4573" s="64" t="s">
        <v>230</v>
      </c>
      <c r="G4573" s="64" t="s">
        <v>3694</v>
      </c>
      <c r="H4573" s="64" t="s">
        <v>2871</v>
      </c>
      <c r="I4573" s="64" t="s">
        <v>3704</v>
      </c>
      <c r="J4573" s="67">
        <v>0</v>
      </c>
      <c r="K4573" s="62">
        <v>1057</v>
      </c>
      <c r="L4573" s="33" t="e">
        <f>HLOOKUP(B4573,#REF!,1,0)</f>
        <v>#REF!</v>
      </c>
      <c r="M4573" s="33" t="str">
        <f t="shared" si="287"/>
        <v>P&amp;L</v>
      </c>
    </row>
    <row r="4574" spans="1:13" s="33" customFormat="true" ht="12.75" customHeight="true">
      <c r="A4574" s="33" t="str">
        <f t="shared" si="284"/>
        <v>EAG - Revenue</v>
      </c>
      <c r="B4574" s="33" t="str">
        <f t="shared" si="285"/>
        <v>EAG</v>
      </c>
      <c r="C4574" s="33" t="str">
        <f t="shared" si="286"/>
        <v>41140-0000</v>
      </c>
      <c r="D4574" s="64" t="s">
        <v>5576</v>
      </c>
      <c r="E4574" s="64" t="s">
        <v>3706</v>
      </c>
      <c r="F4574" s="64" t="s">
        <v>230</v>
      </c>
      <c r="G4574" s="64" t="s">
        <v>3694</v>
      </c>
      <c r="H4574" s="64" t="s">
        <v>2871</v>
      </c>
      <c r="I4574" s="64" t="s">
        <v>3707</v>
      </c>
      <c r="J4574" s="67">
        <v>0</v>
      </c>
      <c r="K4574" s="62">
        <v>0</v>
      </c>
      <c r="L4574" s="33" t="e">
        <f>HLOOKUP(B4574,#REF!,1,0)</f>
        <v>#REF!</v>
      </c>
      <c r="M4574" s="33" t="str">
        <f t="shared" si="287"/>
        <v>P&amp;L</v>
      </c>
    </row>
    <row r="4575" spans="1:13" s="33" customFormat="true" ht="12.75" customHeight="true">
      <c r="A4575" s="33" t="str">
        <f t="shared" si="284"/>
        <v>EAG - Revenue</v>
      </c>
      <c r="B4575" s="33" t="str">
        <f t="shared" si="285"/>
        <v>EAG</v>
      </c>
      <c r="C4575" s="33" t="str">
        <f t="shared" si="286"/>
        <v>41150-0000</v>
      </c>
      <c r="D4575" s="64" t="s">
        <v>5577</v>
      </c>
      <c r="E4575" s="64" t="s">
        <v>3709</v>
      </c>
      <c r="F4575" s="64" t="s">
        <v>230</v>
      </c>
      <c r="G4575" s="64" t="s">
        <v>3694</v>
      </c>
      <c r="H4575" s="64" t="s">
        <v>2871</v>
      </c>
      <c r="I4575" s="64" t="s">
        <v>3710</v>
      </c>
      <c r="J4575" s="67">
        <v>2824</v>
      </c>
      <c r="K4575" s="62">
        <v>21230</v>
      </c>
      <c r="L4575" s="33" t="e">
        <f>HLOOKUP(B4575,#REF!,1,0)</f>
        <v>#REF!</v>
      </c>
      <c r="M4575" s="33" t="str">
        <f t="shared" si="287"/>
        <v>P&amp;L</v>
      </c>
    </row>
    <row r="4576" spans="1:13" s="33" customFormat="true" ht="12.75" customHeight="true">
      <c r="A4576" s="33" t="str">
        <f t="shared" si="284"/>
        <v>EAG - Revenue</v>
      </c>
      <c r="B4576" s="33" t="str">
        <f t="shared" si="285"/>
        <v>EAG</v>
      </c>
      <c r="C4576" s="33" t="str">
        <f t="shared" si="286"/>
        <v>41999-0000</v>
      </c>
      <c r="D4576" s="64" t="s">
        <v>5578</v>
      </c>
      <c r="E4576" s="64" t="s">
        <v>3712</v>
      </c>
      <c r="F4576" s="64" t="s">
        <v>230</v>
      </c>
      <c r="G4576" s="64" t="s">
        <v>3713</v>
      </c>
      <c r="H4576" s="64" t="s">
        <v>2871</v>
      </c>
      <c r="I4576" s="64" t="s">
        <v>3714</v>
      </c>
      <c r="J4576" s="67">
        <v>69021.13</v>
      </c>
      <c r="K4576" s="62">
        <v>671832.21</v>
      </c>
      <c r="L4576" s="33" t="e">
        <f>HLOOKUP(B4576,#REF!,1,0)</f>
        <v>#REF!</v>
      </c>
      <c r="M4576" s="33" t="str">
        <f t="shared" si="287"/>
        <v>P&amp;L</v>
      </c>
    </row>
    <row r="4577" spans="1:13" s="33" customFormat="true" ht="12.75" customHeight="true">
      <c r="A4577" s="33" t="str">
        <f t="shared" si="284"/>
        <v>EAG - Revenue</v>
      </c>
      <c r="B4577" s="33" t="str">
        <f t="shared" si="285"/>
        <v>EAG</v>
      </c>
      <c r="C4577" s="33" t="str">
        <f t="shared" si="286"/>
        <v>47400-0000</v>
      </c>
      <c r="D4577" s="64" t="s">
        <v>5579</v>
      </c>
      <c r="E4577" s="64" t="s">
        <v>3716</v>
      </c>
      <c r="F4577" s="64" t="s">
        <v>230</v>
      </c>
      <c r="G4577" s="64" t="s">
        <v>3717</v>
      </c>
      <c r="H4577" s="64" t="s">
        <v>2871</v>
      </c>
      <c r="I4577" s="64" t="s">
        <v>3718</v>
      </c>
      <c r="J4577" s="67">
        <v>-68527.16</v>
      </c>
      <c r="K4577" s="62">
        <v>-671579.04</v>
      </c>
      <c r="L4577" s="33" t="e">
        <f>HLOOKUP(B4577,#REF!,1,0)</f>
        <v>#REF!</v>
      </c>
      <c r="M4577" s="33" t="str">
        <f t="shared" si="287"/>
        <v>P&amp;L</v>
      </c>
    </row>
    <row r="4578" spans="1:13" s="33" customFormat="true" ht="12.75" customHeight="true">
      <c r="A4578" s="33" t="str">
        <f t="shared" si="284"/>
        <v>EAG - Revenue</v>
      </c>
      <c r="B4578" s="33" t="str">
        <f t="shared" si="285"/>
        <v>EAG</v>
      </c>
      <c r="C4578" s="33" t="str">
        <f t="shared" si="286"/>
        <v>47420-0000</v>
      </c>
      <c r="D4578" s="64" t="s">
        <v>5580</v>
      </c>
      <c r="E4578" s="64" t="s">
        <v>4154</v>
      </c>
      <c r="F4578" s="64" t="s">
        <v>230</v>
      </c>
      <c r="G4578" s="64" t="s">
        <v>3717</v>
      </c>
      <c r="H4578" s="64" t="s">
        <v>2871</v>
      </c>
      <c r="I4578" s="64" t="s">
        <v>4155</v>
      </c>
      <c r="J4578" s="67">
        <v>0</v>
      </c>
      <c r="K4578" s="62">
        <v>0</v>
      </c>
      <c r="L4578" s="33" t="e">
        <f>HLOOKUP(B4578,#REF!,1,0)</f>
        <v>#REF!</v>
      </c>
      <c r="M4578" s="33" t="str">
        <f t="shared" si="287"/>
        <v>P&amp;L</v>
      </c>
    </row>
    <row r="4579" spans="1:13" s="33" customFormat="true" ht="12.75" customHeight="true">
      <c r="A4579" s="33" t="str">
        <f t="shared" si="284"/>
        <v>EAG - Revenue</v>
      </c>
      <c r="B4579" s="33" t="str">
        <f t="shared" si="285"/>
        <v>EAG</v>
      </c>
      <c r="C4579" s="33" t="str">
        <f t="shared" si="286"/>
        <v>47430-0000</v>
      </c>
      <c r="D4579" s="64" t="s">
        <v>5581</v>
      </c>
      <c r="E4579" s="64" t="s">
        <v>4053</v>
      </c>
      <c r="F4579" s="64" t="s">
        <v>230</v>
      </c>
      <c r="G4579" s="64" t="s">
        <v>3717</v>
      </c>
      <c r="H4579" s="64" t="s">
        <v>2871</v>
      </c>
      <c r="I4579" s="64" t="s">
        <v>4054</v>
      </c>
      <c r="J4579" s="67">
        <v>0</v>
      </c>
      <c r="K4579" s="62">
        <v>-3594.82</v>
      </c>
      <c r="L4579" s="33" t="e">
        <f>HLOOKUP(B4579,#REF!,1,0)</f>
        <v>#REF!</v>
      </c>
      <c r="M4579" s="33" t="str">
        <f t="shared" si="287"/>
        <v>P&amp;L</v>
      </c>
    </row>
    <row r="4580" spans="1:13" s="33" customFormat="true" ht="12.75" customHeight="true">
      <c r="A4580" s="33" t="str">
        <f t="shared" si="284"/>
        <v>EAG - Revenue</v>
      </c>
      <c r="B4580" s="33" t="str">
        <f t="shared" si="285"/>
        <v>EAG</v>
      </c>
      <c r="C4580" s="33" t="str">
        <f t="shared" si="286"/>
        <v>47450-0000</v>
      </c>
      <c r="D4580" s="64" t="s">
        <v>5582</v>
      </c>
      <c r="E4580" s="64" t="s">
        <v>3723</v>
      </c>
      <c r="F4580" s="64" t="s">
        <v>230</v>
      </c>
      <c r="G4580" s="64" t="s">
        <v>3717</v>
      </c>
      <c r="H4580" s="64" t="s">
        <v>2871</v>
      </c>
      <c r="I4580" s="64" t="s">
        <v>3724</v>
      </c>
      <c r="J4580" s="67">
        <v>-240</v>
      </c>
      <c r="K4580" s="62">
        <v>-2370</v>
      </c>
      <c r="L4580" s="33" t="e">
        <f>HLOOKUP(B4580,#REF!,1,0)</f>
        <v>#REF!</v>
      </c>
      <c r="M4580" s="33" t="str">
        <f t="shared" si="287"/>
        <v>P&amp;L</v>
      </c>
    </row>
    <row r="4581" spans="1:13" s="33" customFormat="true" ht="12.75" customHeight="true">
      <c r="A4581" s="33" t="str">
        <f t="shared" si="284"/>
        <v>EAG - Revenue</v>
      </c>
      <c r="B4581" s="33" t="str">
        <f t="shared" si="285"/>
        <v>EAG</v>
      </c>
      <c r="C4581" s="33" t="str">
        <f t="shared" si="286"/>
        <v>47460-0000</v>
      </c>
      <c r="D4581" s="64" t="s">
        <v>5583</v>
      </c>
      <c r="E4581" s="64" t="s">
        <v>3726</v>
      </c>
      <c r="F4581" s="64" t="s">
        <v>230</v>
      </c>
      <c r="G4581" s="64" t="s">
        <v>3717</v>
      </c>
      <c r="H4581" s="64" t="s">
        <v>2871</v>
      </c>
      <c r="I4581" s="64" t="s">
        <v>3727</v>
      </c>
      <c r="J4581" s="67">
        <v>0</v>
      </c>
      <c r="K4581" s="62">
        <v>-50</v>
      </c>
      <c r="L4581" s="33" t="e">
        <f>HLOOKUP(B4581,#REF!,1,0)</f>
        <v>#REF!</v>
      </c>
      <c r="M4581" s="33" t="str">
        <f t="shared" si="287"/>
        <v>P&amp;L</v>
      </c>
    </row>
    <row r="4582" spans="1:13" s="33" customFormat="true" ht="12.75" customHeight="true">
      <c r="A4582" s="33" t="str">
        <f t="shared" si="284"/>
        <v>EAG - Revenue</v>
      </c>
      <c r="B4582" s="33" t="str">
        <f t="shared" si="285"/>
        <v>EAG</v>
      </c>
      <c r="C4582" s="33" t="str">
        <f t="shared" si="286"/>
        <v>47480-0000</v>
      </c>
      <c r="D4582" s="64" t="s">
        <v>5584</v>
      </c>
      <c r="E4582" s="64" t="s">
        <v>3729</v>
      </c>
      <c r="F4582" s="64" t="s">
        <v>230</v>
      </c>
      <c r="G4582" s="64" t="s">
        <v>3717</v>
      </c>
      <c r="H4582" s="64" t="s">
        <v>2871</v>
      </c>
      <c r="I4582" s="64" t="s">
        <v>3721</v>
      </c>
      <c r="J4582" s="67">
        <v>-35</v>
      </c>
      <c r="K4582" s="62">
        <v>-620</v>
      </c>
      <c r="L4582" s="33" t="e">
        <f>HLOOKUP(B4582,#REF!,1,0)</f>
        <v>#REF!</v>
      </c>
      <c r="M4582" s="33" t="str">
        <f t="shared" si="287"/>
        <v>P&amp;L</v>
      </c>
    </row>
    <row r="4583" spans="1:13" s="33" customFormat="true" ht="12.75" customHeight="true">
      <c r="A4583" s="33" t="str">
        <f t="shared" si="284"/>
        <v>EAG - Revenue</v>
      </c>
      <c r="B4583" s="33" t="str">
        <f t="shared" si="285"/>
        <v>EAG</v>
      </c>
      <c r="C4583" s="33" t="str">
        <f t="shared" si="286"/>
        <v>47490-0000</v>
      </c>
      <c r="D4583" s="64" t="s">
        <v>5585</v>
      </c>
      <c r="E4583" s="64" t="s">
        <v>3731</v>
      </c>
      <c r="F4583" s="64" t="s">
        <v>230</v>
      </c>
      <c r="G4583" s="64" t="s">
        <v>3717</v>
      </c>
      <c r="H4583" s="64" t="s">
        <v>2871</v>
      </c>
      <c r="I4583" s="64" t="s">
        <v>3721</v>
      </c>
      <c r="J4583" s="67">
        <v>-25</v>
      </c>
      <c r="K4583" s="62">
        <v>-1455</v>
      </c>
      <c r="L4583" s="33" t="e">
        <f>HLOOKUP(B4583,#REF!,1,0)</f>
        <v>#REF!</v>
      </c>
      <c r="M4583" s="33" t="str">
        <f t="shared" si="287"/>
        <v>P&amp;L</v>
      </c>
    </row>
    <row r="4584" spans="1:13" s="33" customFormat="true" ht="12.75" customHeight="true">
      <c r="A4584" s="33" t="str">
        <f t="shared" si="284"/>
        <v>EAG - Revenue</v>
      </c>
      <c r="B4584" s="33" t="str">
        <f t="shared" si="285"/>
        <v>EAG</v>
      </c>
      <c r="C4584" s="33" t="str">
        <f t="shared" si="286"/>
        <v>47491-0000</v>
      </c>
      <c r="D4584" s="64" t="s">
        <v>5586</v>
      </c>
      <c r="E4584" s="64" t="s">
        <v>3733</v>
      </c>
      <c r="F4584" s="64" t="s">
        <v>230</v>
      </c>
      <c r="G4584" s="64" t="s">
        <v>3717</v>
      </c>
      <c r="H4584" s="64" t="s">
        <v>2871</v>
      </c>
      <c r="I4584" s="64" t="s">
        <v>3734</v>
      </c>
      <c r="J4584" s="67">
        <v>0</v>
      </c>
      <c r="K4584" s="62">
        <v>-1190.13</v>
      </c>
      <c r="L4584" s="33" t="e">
        <f>HLOOKUP(B4584,#REF!,1,0)</f>
        <v>#REF!</v>
      </c>
      <c r="M4584" s="33" t="str">
        <f t="shared" si="287"/>
        <v>P&amp;L</v>
      </c>
    </row>
    <row r="4585" spans="1:13" s="33" customFormat="true" ht="12.75" customHeight="true">
      <c r="A4585" s="33" t="str">
        <f t="shared" si="284"/>
        <v>EAG - Revenue</v>
      </c>
      <c r="B4585" s="33" t="str">
        <f t="shared" si="285"/>
        <v>EAG</v>
      </c>
      <c r="C4585" s="33" t="str">
        <f t="shared" si="286"/>
        <v>47492-0000</v>
      </c>
      <c r="D4585" s="64" t="s">
        <v>5587</v>
      </c>
      <c r="E4585" s="64" t="s">
        <v>3736</v>
      </c>
      <c r="F4585" s="64" t="s">
        <v>230</v>
      </c>
      <c r="G4585" s="64" t="s">
        <v>3717</v>
      </c>
      <c r="H4585" s="64" t="s">
        <v>2871</v>
      </c>
      <c r="I4585" s="64" t="s">
        <v>3737</v>
      </c>
      <c r="J4585" s="67">
        <v>-389.92</v>
      </c>
      <c r="K4585" s="62">
        <v>-3143.92</v>
      </c>
      <c r="L4585" s="33" t="e">
        <f>HLOOKUP(B4585,#REF!,1,0)</f>
        <v>#REF!</v>
      </c>
      <c r="M4585" s="33" t="str">
        <f t="shared" si="287"/>
        <v>P&amp;L</v>
      </c>
    </row>
    <row r="4586" spans="1:13" s="33" customFormat="true" ht="12.75" customHeight="true">
      <c r="A4586" s="33" t="str">
        <f t="shared" si="284"/>
        <v>EAG - CGS</v>
      </c>
      <c r="B4586" s="33" t="str">
        <f t="shared" si="285"/>
        <v>EAG</v>
      </c>
      <c r="C4586" s="33" t="str">
        <f t="shared" si="286"/>
        <v>51006-0000</v>
      </c>
      <c r="D4586" s="64" t="s">
        <v>5588</v>
      </c>
      <c r="E4586" s="64" t="s">
        <v>3739</v>
      </c>
      <c r="F4586" s="64" t="s">
        <v>230</v>
      </c>
      <c r="G4586" s="64" t="s">
        <v>3740</v>
      </c>
      <c r="H4586" s="64" t="s">
        <v>1875</v>
      </c>
      <c r="I4586" s="64" t="s">
        <v>3741</v>
      </c>
      <c r="J4586" s="67">
        <v>0</v>
      </c>
      <c r="K4586" s="62">
        <v>999.18</v>
      </c>
      <c r="L4586" s="33" t="e">
        <f>HLOOKUP(B4586,#REF!,1,0)</f>
        <v>#REF!</v>
      </c>
      <c r="M4586" s="33" t="str">
        <f t="shared" si="287"/>
        <v>P&amp;L</v>
      </c>
    </row>
    <row r="4587" spans="1:13" s="33" customFormat="true" ht="12.75" customHeight="true">
      <c r="A4587" s="33" t="str">
        <f t="shared" si="284"/>
        <v>EAG - CGS</v>
      </c>
      <c r="B4587" s="33" t="str">
        <f t="shared" si="285"/>
        <v>EAG</v>
      </c>
      <c r="C4587" s="33" t="str">
        <f t="shared" si="286"/>
        <v>51007-0000</v>
      </c>
      <c r="D4587" s="64" t="s">
        <v>5589</v>
      </c>
      <c r="E4587" s="64" t="s">
        <v>3972</v>
      </c>
      <c r="F4587" s="64" t="s">
        <v>230</v>
      </c>
      <c r="G4587" s="64" t="s">
        <v>3740</v>
      </c>
      <c r="H4587" s="64" t="s">
        <v>1875</v>
      </c>
      <c r="I4587" s="64" t="s">
        <v>3973</v>
      </c>
      <c r="J4587" s="67">
        <v>-475</v>
      </c>
      <c r="K4587" s="62">
        <v>28</v>
      </c>
      <c r="L4587" s="33" t="e">
        <f>HLOOKUP(B4587,#REF!,1,0)</f>
        <v>#REF!</v>
      </c>
      <c r="M4587" s="33" t="str">
        <f t="shared" si="287"/>
        <v>P&amp;L</v>
      </c>
    </row>
    <row r="4588" spans="1:13" s="33" customFormat="true" ht="12.75" customHeight="true">
      <c r="A4588" s="33" t="str">
        <f t="shared" si="284"/>
        <v>EAG - CGS</v>
      </c>
      <c r="B4588" s="33" t="str">
        <f t="shared" si="285"/>
        <v>EAG</v>
      </c>
      <c r="C4588" s="33" t="str">
        <f t="shared" si="286"/>
        <v>51008-0000</v>
      </c>
      <c r="D4588" s="64" t="s">
        <v>5590</v>
      </c>
      <c r="E4588" s="64" t="s">
        <v>3743</v>
      </c>
      <c r="F4588" s="64" t="s">
        <v>230</v>
      </c>
      <c r="G4588" s="64" t="s">
        <v>3740</v>
      </c>
      <c r="H4588" s="64" t="s">
        <v>1875</v>
      </c>
      <c r="I4588" s="64" t="s">
        <v>3744</v>
      </c>
      <c r="J4588" s="67">
        <v>293.8</v>
      </c>
      <c r="K4588" s="62">
        <v>3260.56</v>
      </c>
      <c r="L4588" s="33" t="e">
        <f>HLOOKUP(B4588,#REF!,1,0)</f>
        <v>#REF!</v>
      </c>
      <c r="M4588" s="33" t="str">
        <f t="shared" si="287"/>
        <v>P&amp;L</v>
      </c>
    </row>
    <row r="4589" spans="1:13" s="33" customFormat="true" ht="12.75" customHeight="true">
      <c r="A4589" s="33" t="str">
        <f t="shared" si="284"/>
        <v>EAG - CGS</v>
      </c>
      <c r="B4589" s="33" t="str">
        <f t="shared" si="285"/>
        <v>EAG</v>
      </c>
      <c r="C4589" s="33" t="str">
        <f t="shared" si="286"/>
        <v>51009-0000</v>
      </c>
      <c r="D4589" s="64" t="s">
        <v>5591</v>
      </c>
      <c r="E4589" s="64" t="s">
        <v>3746</v>
      </c>
      <c r="F4589" s="64" t="s">
        <v>230</v>
      </c>
      <c r="G4589" s="64" t="s">
        <v>3740</v>
      </c>
      <c r="H4589" s="64" t="s">
        <v>1875</v>
      </c>
      <c r="I4589" s="64" t="s">
        <v>3747</v>
      </c>
      <c r="J4589" s="67">
        <v>0</v>
      </c>
      <c r="K4589" s="62">
        <v>4164.95</v>
      </c>
      <c r="L4589" s="33" t="e">
        <f>HLOOKUP(B4589,#REF!,1,0)</f>
        <v>#REF!</v>
      </c>
      <c r="M4589" s="33" t="str">
        <f t="shared" si="287"/>
        <v>P&amp;L</v>
      </c>
    </row>
    <row r="4590" spans="1:13" s="33" customFormat="true" ht="12.75" customHeight="true">
      <c r="A4590" s="33" t="str">
        <f t="shared" si="284"/>
        <v>EAG - CGS</v>
      </c>
      <c r="B4590" s="33" t="str">
        <f t="shared" si="285"/>
        <v>EAG</v>
      </c>
      <c r="C4590" s="33" t="str">
        <f t="shared" si="286"/>
        <v>51011-0000</v>
      </c>
      <c r="D4590" s="64" t="s">
        <v>5592</v>
      </c>
      <c r="E4590" s="64" t="s">
        <v>3749</v>
      </c>
      <c r="F4590" s="64" t="s">
        <v>230</v>
      </c>
      <c r="G4590" s="64" t="s">
        <v>3740</v>
      </c>
      <c r="H4590" s="64" t="s">
        <v>1875</v>
      </c>
      <c r="I4590" s="64" t="s">
        <v>3750</v>
      </c>
      <c r="J4590" s="67">
        <v>450</v>
      </c>
      <c r="K4590" s="62">
        <v>5733.17</v>
      </c>
      <c r="L4590" s="33" t="e">
        <f>HLOOKUP(B4590,#REF!,1,0)</f>
        <v>#REF!</v>
      </c>
      <c r="M4590" s="33" t="str">
        <f t="shared" si="287"/>
        <v>P&amp;L</v>
      </c>
    </row>
    <row r="4591" spans="1:13" s="33" customFormat="true" ht="12.75" customHeight="true">
      <c r="A4591" s="33" t="str">
        <f t="shared" si="284"/>
        <v>EAG - CGS</v>
      </c>
      <c r="B4591" s="33" t="str">
        <f t="shared" si="285"/>
        <v>EAG</v>
      </c>
      <c r="C4591" s="33" t="str">
        <f t="shared" si="286"/>
        <v>51012-0000</v>
      </c>
      <c r="D4591" s="64" t="s">
        <v>5593</v>
      </c>
      <c r="E4591" s="64" t="s">
        <v>3752</v>
      </c>
      <c r="F4591" s="64" t="s">
        <v>230</v>
      </c>
      <c r="G4591" s="64" t="s">
        <v>3740</v>
      </c>
      <c r="H4591" s="64" t="s">
        <v>1875</v>
      </c>
      <c r="I4591" s="64" t="s">
        <v>3753</v>
      </c>
      <c r="J4591" s="67">
        <v>0</v>
      </c>
      <c r="K4591" s="62">
        <v>603</v>
      </c>
      <c r="L4591" s="33" t="e">
        <f>HLOOKUP(B4591,#REF!,1,0)</f>
        <v>#REF!</v>
      </c>
      <c r="M4591" s="33" t="str">
        <f t="shared" si="287"/>
        <v>P&amp;L</v>
      </c>
    </row>
    <row r="4592" spans="1:13" s="33" customFormat="true" ht="12.75" customHeight="true">
      <c r="A4592" s="33" t="str">
        <f t="shared" si="284"/>
        <v>EAG - CGS</v>
      </c>
      <c r="B4592" s="33" t="str">
        <f t="shared" si="285"/>
        <v>EAG</v>
      </c>
      <c r="C4592" s="33" t="str">
        <f t="shared" si="286"/>
        <v>51013-0000</v>
      </c>
      <c r="D4592" s="64" t="s">
        <v>5594</v>
      </c>
      <c r="E4592" s="64" t="s">
        <v>3979</v>
      </c>
      <c r="F4592" s="64" t="s">
        <v>230</v>
      </c>
      <c r="G4592" s="64" t="s">
        <v>3740</v>
      </c>
      <c r="H4592" s="64" t="s">
        <v>1875</v>
      </c>
      <c r="I4592" s="64" t="s">
        <v>3980</v>
      </c>
      <c r="J4592" s="67">
        <v>280</v>
      </c>
      <c r="K4592" s="62">
        <v>2450</v>
      </c>
      <c r="L4592" s="33" t="e">
        <f>HLOOKUP(B4592,#REF!,1,0)</f>
        <v>#REF!</v>
      </c>
      <c r="M4592" s="33" t="str">
        <f t="shared" si="287"/>
        <v>P&amp;L</v>
      </c>
    </row>
    <row r="4593" spans="1:13" s="33" customFormat="true" ht="12.75" customHeight="true">
      <c r="A4593" s="33" t="str">
        <f t="shared" si="284"/>
        <v>EAG - CGS</v>
      </c>
      <c r="B4593" s="33" t="str">
        <f t="shared" si="285"/>
        <v>EAG</v>
      </c>
      <c r="C4593" s="33" t="str">
        <f t="shared" si="286"/>
        <v>51015-0000</v>
      </c>
      <c r="D4593" s="64" t="s">
        <v>5595</v>
      </c>
      <c r="E4593" s="64" t="s">
        <v>3755</v>
      </c>
      <c r="F4593" s="64" t="s">
        <v>230</v>
      </c>
      <c r="G4593" s="64" t="s">
        <v>3740</v>
      </c>
      <c r="H4593" s="64" t="s">
        <v>1875</v>
      </c>
      <c r="I4593" s="64" t="s">
        <v>3756</v>
      </c>
      <c r="J4593" s="67">
        <v>0</v>
      </c>
      <c r="K4593" s="62">
        <v>60</v>
      </c>
      <c r="L4593" s="33" t="e">
        <f>HLOOKUP(B4593,#REF!,1,0)</f>
        <v>#REF!</v>
      </c>
      <c r="M4593" s="33" t="str">
        <f t="shared" si="287"/>
        <v>P&amp;L</v>
      </c>
    </row>
    <row r="4594" spans="1:13" s="33" customFormat="true" ht="12.75" customHeight="true">
      <c r="A4594" s="33" t="str">
        <f t="shared" si="284"/>
        <v>EAG - CGS</v>
      </c>
      <c r="B4594" s="33" t="str">
        <f t="shared" si="285"/>
        <v>EAG</v>
      </c>
      <c r="C4594" s="33" t="str">
        <f t="shared" si="286"/>
        <v>51017-0000</v>
      </c>
      <c r="D4594" s="64" t="s">
        <v>5596</v>
      </c>
      <c r="E4594" s="64" t="s">
        <v>3758</v>
      </c>
      <c r="F4594" s="64" t="s">
        <v>230</v>
      </c>
      <c r="G4594" s="64" t="s">
        <v>3160</v>
      </c>
      <c r="H4594" s="64" t="s">
        <v>1875</v>
      </c>
      <c r="I4594" s="64" t="s">
        <v>3759</v>
      </c>
      <c r="J4594" s="67">
        <v>87.99</v>
      </c>
      <c r="K4594" s="62">
        <v>849.9</v>
      </c>
      <c r="L4594" s="33" t="e">
        <f>HLOOKUP(B4594,#REF!,1,0)</f>
        <v>#REF!</v>
      </c>
      <c r="M4594" s="33" t="str">
        <f t="shared" si="287"/>
        <v>P&amp;L</v>
      </c>
    </row>
    <row r="4595" spans="1:13" s="33" customFormat="true" ht="12.75" customHeight="true">
      <c r="A4595" s="33" t="str">
        <f t="shared" si="284"/>
        <v>EAG - CGS</v>
      </c>
      <c r="B4595" s="33" t="str">
        <f t="shared" si="285"/>
        <v>EAG</v>
      </c>
      <c r="C4595" s="33" t="str">
        <f t="shared" si="286"/>
        <v>51020-0000</v>
      </c>
      <c r="D4595" s="64" t="s">
        <v>5597</v>
      </c>
      <c r="E4595" s="64" t="s">
        <v>3763</v>
      </c>
      <c r="F4595" s="64" t="s">
        <v>230</v>
      </c>
      <c r="G4595" s="64" t="s">
        <v>3740</v>
      </c>
      <c r="H4595" s="64" t="s">
        <v>1875</v>
      </c>
      <c r="I4595" s="64" t="s">
        <v>3345</v>
      </c>
      <c r="J4595" s="67">
        <v>0</v>
      </c>
      <c r="K4595" s="62">
        <v>44.91</v>
      </c>
      <c r="L4595" s="33" t="e">
        <f>HLOOKUP(B4595,#REF!,1,0)</f>
        <v>#REF!</v>
      </c>
      <c r="M4595" s="33" t="str">
        <f t="shared" si="287"/>
        <v>P&amp;L</v>
      </c>
    </row>
    <row r="4596" spans="1:13" s="33" customFormat="true" ht="12.75" customHeight="true">
      <c r="A4596" s="33" t="str">
        <f t="shared" si="284"/>
        <v>EAG - CGS</v>
      </c>
      <c r="B4596" s="33" t="str">
        <f t="shared" si="285"/>
        <v>EAG</v>
      </c>
      <c r="C4596" s="33" t="str">
        <f t="shared" si="286"/>
        <v>51025-0000</v>
      </c>
      <c r="D4596" s="64" t="s">
        <v>5598</v>
      </c>
      <c r="E4596" s="64" t="s">
        <v>3988</v>
      </c>
      <c r="F4596" s="64" t="s">
        <v>230</v>
      </c>
      <c r="G4596" s="64" t="s">
        <v>3740</v>
      </c>
      <c r="H4596" s="64" t="s">
        <v>1875</v>
      </c>
      <c r="I4596" s="64" t="s">
        <v>3989</v>
      </c>
      <c r="J4596" s="67">
        <v>312.21</v>
      </c>
      <c r="K4596" s="62">
        <v>3172.49</v>
      </c>
      <c r="L4596" s="33" t="e">
        <f>HLOOKUP(B4596,#REF!,1,0)</f>
        <v>#REF!</v>
      </c>
      <c r="M4596" s="33" t="str">
        <f t="shared" si="287"/>
        <v>P&amp;L</v>
      </c>
    </row>
    <row r="4597" spans="1:13" s="33" customFormat="true" ht="12.75" customHeight="true">
      <c r="A4597" s="33" t="str">
        <f t="shared" si="284"/>
        <v>EAG - CGS</v>
      </c>
      <c r="B4597" s="33" t="str">
        <f t="shared" si="285"/>
        <v>EAG</v>
      </c>
      <c r="C4597" s="33" t="str">
        <f t="shared" si="286"/>
        <v>52001-0000</v>
      </c>
      <c r="D4597" s="64" t="s">
        <v>5599</v>
      </c>
      <c r="E4597" s="64" t="s">
        <v>3768</v>
      </c>
      <c r="F4597" s="64" t="s">
        <v>230</v>
      </c>
      <c r="G4597" s="64" t="s">
        <v>3769</v>
      </c>
      <c r="H4597" s="64" t="s">
        <v>1875</v>
      </c>
      <c r="I4597" s="64" t="s">
        <v>3770</v>
      </c>
      <c r="J4597" s="67">
        <v>0</v>
      </c>
      <c r="K4597" s="62">
        <v>19.98</v>
      </c>
      <c r="L4597" s="33" t="e">
        <f>HLOOKUP(B4597,#REF!,1,0)</f>
        <v>#REF!</v>
      </c>
      <c r="M4597" s="33" t="str">
        <f t="shared" si="287"/>
        <v>P&amp;L</v>
      </c>
    </row>
    <row r="4598" spans="1:13" s="33" customFormat="true" ht="12.75" customHeight="true">
      <c r="A4598" s="33" t="str">
        <f t="shared" si="284"/>
        <v>EAG - CGS</v>
      </c>
      <c r="B4598" s="33" t="str">
        <f t="shared" si="285"/>
        <v>EAG</v>
      </c>
      <c r="C4598" s="33" t="str">
        <f t="shared" si="286"/>
        <v>52002-0000</v>
      </c>
      <c r="D4598" s="64" t="s">
        <v>5600</v>
      </c>
      <c r="E4598" s="64" t="s">
        <v>3997</v>
      </c>
      <c r="F4598" s="64" t="s">
        <v>230</v>
      </c>
      <c r="G4598" s="64" t="s">
        <v>3769</v>
      </c>
      <c r="H4598" s="64" t="s">
        <v>1875</v>
      </c>
      <c r="I4598" s="64" t="s">
        <v>3998</v>
      </c>
      <c r="J4598" s="67">
        <v>0</v>
      </c>
      <c r="K4598" s="62">
        <v>0</v>
      </c>
      <c r="L4598" s="33" t="e">
        <f>HLOOKUP(B4598,#REF!,1,0)</f>
        <v>#REF!</v>
      </c>
      <c r="M4598" s="33" t="str">
        <f t="shared" si="287"/>
        <v>P&amp;L</v>
      </c>
    </row>
    <row r="4599" spans="1:13" s="33" customFormat="true" ht="12.75" customHeight="true">
      <c r="A4599" s="33" t="str">
        <f t="shared" si="284"/>
        <v>EAG - CGS</v>
      </c>
      <c r="B4599" s="33" t="str">
        <f t="shared" si="285"/>
        <v>EAG</v>
      </c>
      <c r="C4599" s="33" t="str">
        <f t="shared" si="286"/>
        <v>52003-0000</v>
      </c>
      <c r="D4599" s="64" t="s">
        <v>5601</v>
      </c>
      <c r="E4599" s="64" t="s">
        <v>3772</v>
      </c>
      <c r="F4599" s="64" t="s">
        <v>230</v>
      </c>
      <c r="G4599" s="64" t="s">
        <v>3769</v>
      </c>
      <c r="H4599" s="64" t="s">
        <v>1875</v>
      </c>
      <c r="I4599" s="64" t="s">
        <v>3773</v>
      </c>
      <c r="J4599" s="67">
        <v>-201.63</v>
      </c>
      <c r="K4599" s="62">
        <v>602.37</v>
      </c>
      <c r="L4599" s="33" t="e">
        <f>HLOOKUP(B4599,#REF!,1,0)</f>
        <v>#REF!</v>
      </c>
      <c r="M4599" s="33" t="str">
        <f t="shared" si="287"/>
        <v>P&amp;L</v>
      </c>
    </row>
    <row r="4600" spans="1:13" s="33" customFormat="true" ht="12.75" customHeight="true">
      <c r="A4600" s="33" t="str">
        <f t="shared" si="284"/>
        <v>EAG - CGS</v>
      </c>
      <c r="B4600" s="33" t="str">
        <f t="shared" si="285"/>
        <v>EAG</v>
      </c>
      <c r="C4600" s="33" t="str">
        <f t="shared" si="286"/>
        <v>52004-0000</v>
      </c>
      <c r="D4600" s="64" t="s">
        <v>5602</v>
      </c>
      <c r="E4600" s="64" t="s">
        <v>3775</v>
      </c>
      <c r="F4600" s="64" t="s">
        <v>230</v>
      </c>
      <c r="G4600" s="64" t="s">
        <v>3769</v>
      </c>
      <c r="H4600" s="64" t="s">
        <v>1875</v>
      </c>
      <c r="I4600" s="64" t="s">
        <v>3776</v>
      </c>
      <c r="J4600" s="67">
        <v>-720</v>
      </c>
      <c r="K4600" s="62">
        <v>-987.04</v>
      </c>
      <c r="L4600" s="33" t="e">
        <f>HLOOKUP(B4600,#REF!,1,0)</f>
        <v>#REF!</v>
      </c>
      <c r="M4600" s="33" t="str">
        <f t="shared" si="287"/>
        <v>P&amp;L</v>
      </c>
    </row>
    <row r="4601" spans="1:13" s="33" customFormat="true" ht="12.75" customHeight="true">
      <c r="A4601" s="33" t="str">
        <f t="shared" si="284"/>
        <v>EAG - CGS</v>
      </c>
      <c r="B4601" s="33" t="str">
        <f t="shared" si="285"/>
        <v>EAG</v>
      </c>
      <c r="C4601" s="33" t="str">
        <f t="shared" si="286"/>
        <v>52006-0000</v>
      </c>
      <c r="D4601" s="64" t="s">
        <v>5603</v>
      </c>
      <c r="E4601" s="64" t="s">
        <v>3778</v>
      </c>
      <c r="F4601" s="64" t="s">
        <v>230</v>
      </c>
      <c r="G4601" s="64" t="s">
        <v>3769</v>
      </c>
      <c r="H4601" s="64" t="s">
        <v>1875</v>
      </c>
      <c r="I4601" s="64" t="s">
        <v>3779</v>
      </c>
      <c r="J4601" s="67">
        <v>-190</v>
      </c>
      <c r="K4601" s="62">
        <v>-190</v>
      </c>
      <c r="L4601" s="33" t="e">
        <f>HLOOKUP(B4601,#REF!,1,0)</f>
        <v>#REF!</v>
      </c>
      <c r="M4601" s="33" t="str">
        <f t="shared" si="287"/>
        <v>P&amp;L</v>
      </c>
    </row>
    <row r="4602" spans="1:13" s="33" customFormat="true" ht="12.75" customHeight="true">
      <c r="A4602" s="33" t="str">
        <f t="shared" si="284"/>
        <v>EAG - CGS</v>
      </c>
      <c r="B4602" s="33" t="str">
        <f t="shared" si="285"/>
        <v>EAG</v>
      </c>
      <c r="C4602" s="33" t="str">
        <f t="shared" si="286"/>
        <v>53001-0000</v>
      </c>
      <c r="D4602" s="64" t="s">
        <v>5604</v>
      </c>
      <c r="E4602" s="64" t="s">
        <v>3781</v>
      </c>
      <c r="F4602" s="64" t="s">
        <v>230</v>
      </c>
      <c r="G4602" s="64" t="s">
        <v>3160</v>
      </c>
      <c r="H4602" s="64" t="s">
        <v>1875</v>
      </c>
      <c r="I4602" s="64" t="s">
        <v>3782</v>
      </c>
      <c r="J4602" s="67">
        <v>53.38</v>
      </c>
      <c r="K4602" s="62">
        <v>650.84</v>
      </c>
      <c r="L4602" s="33" t="e">
        <f>HLOOKUP(B4602,#REF!,1,0)</f>
        <v>#REF!</v>
      </c>
      <c r="M4602" s="33" t="str">
        <f t="shared" si="287"/>
        <v>P&amp;L</v>
      </c>
    </row>
    <row r="4603" spans="1:13" s="33" customFormat="true" ht="12.75" customHeight="true">
      <c r="A4603" s="33" t="str">
        <f t="shared" si="284"/>
        <v>EAG - CGS</v>
      </c>
      <c r="B4603" s="33" t="str">
        <f t="shared" si="285"/>
        <v>EAG</v>
      </c>
      <c r="C4603" s="33" t="str">
        <f t="shared" si="286"/>
        <v>53002-0000</v>
      </c>
      <c r="D4603" s="64" t="s">
        <v>5605</v>
      </c>
      <c r="E4603" s="64" t="s">
        <v>3784</v>
      </c>
      <c r="F4603" s="64" t="s">
        <v>230</v>
      </c>
      <c r="G4603" s="64" t="s">
        <v>3160</v>
      </c>
      <c r="H4603" s="64" t="s">
        <v>1875</v>
      </c>
      <c r="I4603" s="64" t="s">
        <v>3785</v>
      </c>
      <c r="J4603" s="67">
        <v>1051.1</v>
      </c>
      <c r="K4603" s="62">
        <v>10063</v>
      </c>
      <c r="L4603" s="33" t="e">
        <f>HLOOKUP(B4603,#REF!,1,0)</f>
        <v>#REF!</v>
      </c>
      <c r="M4603" s="33" t="str">
        <f t="shared" si="287"/>
        <v>P&amp;L</v>
      </c>
    </row>
    <row r="4604" spans="1:13" s="33" customFormat="true" ht="12.75" customHeight="true">
      <c r="A4604" s="33" t="str">
        <f t="shared" si="284"/>
        <v>EAG - CGS</v>
      </c>
      <c r="B4604" s="33" t="str">
        <f t="shared" si="285"/>
        <v>EAG</v>
      </c>
      <c r="C4604" s="33" t="str">
        <f t="shared" si="286"/>
        <v>53003-0000</v>
      </c>
      <c r="D4604" s="64" t="s">
        <v>5606</v>
      </c>
      <c r="E4604" s="64" t="s">
        <v>3787</v>
      </c>
      <c r="F4604" s="64" t="s">
        <v>230</v>
      </c>
      <c r="G4604" s="64" t="s">
        <v>3160</v>
      </c>
      <c r="H4604" s="64" t="s">
        <v>1875</v>
      </c>
      <c r="I4604" s="64" t="s">
        <v>3788</v>
      </c>
      <c r="J4604" s="67">
        <v>466.33</v>
      </c>
      <c r="K4604" s="62">
        <v>3858.78</v>
      </c>
      <c r="L4604" s="33" t="e">
        <f>HLOOKUP(B4604,#REF!,1,0)</f>
        <v>#REF!</v>
      </c>
      <c r="M4604" s="33" t="str">
        <f t="shared" si="287"/>
        <v>P&amp;L</v>
      </c>
    </row>
    <row r="4605" spans="1:13" s="33" customFormat="true" ht="12.75" customHeight="true">
      <c r="A4605" s="33" t="str">
        <f t="shared" si="284"/>
        <v>EAG - CGS</v>
      </c>
      <c r="B4605" s="33" t="str">
        <f t="shared" si="285"/>
        <v>EAG</v>
      </c>
      <c r="C4605" s="33" t="str">
        <f t="shared" si="286"/>
        <v>53004-0000</v>
      </c>
      <c r="D4605" s="64" t="s">
        <v>5607</v>
      </c>
      <c r="E4605" s="64" t="s">
        <v>3790</v>
      </c>
      <c r="F4605" s="64" t="s">
        <v>230</v>
      </c>
      <c r="G4605" s="64" t="s">
        <v>3160</v>
      </c>
      <c r="H4605" s="64" t="s">
        <v>1875</v>
      </c>
      <c r="I4605" s="64" t="s">
        <v>3791</v>
      </c>
      <c r="J4605" s="67">
        <v>800.92</v>
      </c>
      <c r="K4605" s="62">
        <v>9611.15</v>
      </c>
      <c r="L4605" s="33" t="e">
        <f>HLOOKUP(B4605,#REF!,1,0)</f>
        <v>#REF!</v>
      </c>
      <c r="M4605" s="33" t="str">
        <f t="shared" si="287"/>
        <v>P&amp;L</v>
      </c>
    </row>
    <row r="4606" spans="1:13" s="33" customFormat="true" ht="14.25" customHeight="true">
      <c r="A4606" s="33" t="str">
        <f t="shared" si="284"/>
        <v>EAG - CGS</v>
      </c>
      <c r="B4606" s="33" t="str">
        <f t="shared" si="285"/>
        <v>EAG</v>
      </c>
      <c r="C4606" s="33" t="str">
        <f t="shared" si="286"/>
        <v>53005-0000</v>
      </c>
      <c r="D4606" s="64" t="s">
        <v>5608</v>
      </c>
      <c r="E4606" s="64" t="s">
        <v>3793</v>
      </c>
      <c r="F4606" s="64" t="s">
        <v>230</v>
      </c>
      <c r="G4606" s="64" t="s">
        <v>3160</v>
      </c>
      <c r="H4606" s="33" t="s">
        <v>1875</v>
      </c>
      <c r="I4606" s="64" t="s">
        <v>3794</v>
      </c>
      <c r="J4606" s="67">
        <v>0</v>
      </c>
      <c r="K4606" s="62">
        <v>743.58</v>
      </c>
      <c r="L4606" s="33" t="e">
        <f>HLOOKUP(B4606,#REF!,1,0)</f>
        <v>#REF!</v>
      </c>
      <c r="M4606" s="33" t="str">
        <f t="shared" si="287"/>
        <v>P&amp;L</v>
      </c>
    </row>
    <row r="4607" spans="1:13" s="33" customFormat="true" ht="12.75" customHeight="true">
      <c r="A4607" s="33" t="str">
        <f t="shared" si="284"/>
        <v>EAG - CGS</v>
      </c>
      <c r="B4607" s="33" t="str">
        <f t="shared" si="285"/>
        <v>EAG</v>
      </c>
      <c r="C4607" s="33" t="str">
        <f t="shared" si="286"/>
        <v>53006-0000</v>
      </c>
      <c r="D4607" s="64" t="s">
        <v>5609</v>
      </c>
      <c r="E4607" s="64" t="s">
        <v>3796</v>
      </c>
      <c r="F4607" s="64" t="s">
        <v>230</v>
      </c>
      <c r="G4607" s="64" t="s">
        <v>3160</v>
      </c>
      <c r="H4607" s="64" t="s">
        <v>1875</v>
      </c>
      <c r="I4607" s="64" t="s">
        <v>3797</v>
      </c>
      <c r="J4607" s="67">
        <v>0</v>
      </c>
      <c r="K4607" s="62">
        <v>7435.98</v>
      </c>
      <c r="L4607" s="33" t="e">
        <f>HLOOKUP(B4607,#REF!,1,0)</f>
        <v>#REF!</v>
      </c>
      <c r="M4607" s="33" t="str">
        <f t="shared" si="287"/>
        <v>P&amp;L</v>
      </c>
    </row>
    <row r="4608" spans="1:13" s="33" customFormat="true" ht="12.75" customHeight="true">
      <c r="A4608" s="33" t="str">
        <f t="shared" si="284"/>
        <v>EAG - CGS</v>
      </c>
      <c r="B4608" s="33" t="str">
        <f t="shared" si="285"/>
        <v>EAG</v>
      </c>
      <c r="C4608" s="33" t="str">
        <f t="shared" si="286"/>
        <v>54002-0000</v>
      </c>
      <c r="D4608" s="64" t="s">
        <v>5610</v>
      </c>
      <c r="E4608" s="64" t="s">
        <v>3799</v>
      </c>
      <c r="F4608" s="64" t="s">
        <v>230</v>
      </c>
      <c r="G4608" s="64" t="s">
        <v>3800</v>
      </c>
      <c r="H4608" s="64" t="s">
        <v>1875</v>
      </c>
      <c r="I4608" s="64" t="s">
        <v>3801</v>
      </c>
      <c r="J4608" s="67">
        <v>0</v>
      </c>
      <c r="K4608" s="62">
        <v>3723</v>
      </c>
      <c r="L4608" s="33" t="e">
        <f>HLOOKUP(B4608,#REF!,1,0)</f>
        <v>#REF!</v>
      </c>
      <c r="M4608" s="33" t="str">
        <f t="shared" si="287"/>
        <v>P&amp;L</v>
      </c>
    </row>
    <row r="4609" spans="1:13" s="33" customFormat="true" ht="12.75" customHeight="true">
      <c r="A4609" s="33" t="str">
        <f t="shared" si="284"/>
        <v>EAG - CGS</v>
      </c>
      <c r="B4609" s="33" t="str">
        <f t="shared" si="285"/>
        <v>EAG</v>
      </c>
      <c r="C4609" s="33" t="str">
        <f t="shared" si="286"/>
        <v>54003-0000</v>
      </c>
      <c r="D4609" s="64" t="s">
        <v>5611</v>
      </c>
      <c r="E4609" s="64" t="s">
        <v>3803</v>
      </c>
      <c r="F4609" s="64" t="s">
        <v>230</v>
      </c>
      <c r="G4609" s="64" t="s">
        <v>3800</v>
      </c>
      <c r="H4609" s="64" t="s">
        <v>1875</v>
      </c>
      <c r="I4609" s="64" t="s">
        <v>3804</v>
      </c>
      <c r="J4609" s="67">
        <v>0</v>
      </c>
      <c r="K4609" s="62">
        <v>0</v>
      </c>
      <c r="L4609" s="33" t="e">
        <f>HLOOKUP(B4609,#REF!,1,0)</f>
        <v>#REF!</v>
      </c>
      <c r="M4609" s="33" t="str">
        <f t="shared" si="287"/>
        <v>P&amp;L</v>
      </c>
    </row>
    <row r="4610" spans="1:13" s="33" customFormat="true" ht="12.75" customHeight="true">
      <c r="A4610" s="33" t="str">
        <f t="shared" ref="A4610:A4673" si="288">B4610&amp;" - "&amp;TRIM(H4610)</f>
        <v>EAG - CGS</v>
      </c>
      <c r="B4610" s="33" t="str">
        <f t="shared" ref="B4610:B4673" si="289">LEFT(D4610,3)</f>
        <v>EAG</v>
      </c>
      <c r="C4610" s="33" t="str">
        <f t="shared" ref="C4610:C4673" si="290">RIGHT(D4610,10)</f>
        <v>54004-0000</v>
      </c>
      <c r="D4610" s="64" t="s">
        <v>5612</v>
      </c>
      <c r="E4610" s="64" t="s">
        <v>3806</v>
      </c>
      <c r="F4610" s="64" t="s">
        <v>230</v>
      </c>
      <c r="G4610" s="64" t="s">
        <v>3800</v>
      </c>
      <c r="H4610" s="64" t="s">
        <v>1875</v>
      </c>
      <c r="I4610" s="64" t="s">
        <v>3807</v>
      </c>
      <c r="J4610" s="67">
        <v>1091.8</v>
      </c>
      <c r="K4610" s="62">
        <v>11035.36</v>
      </c>
      <c r="L4610" s="33" t="e">
        <f>HLOOKUP(B4610,#REF!,1,0)</f>
        <v>#REF!</v>
      </c>
      <c r="M4610" s="33" t="str">
        <f t="shared" ref="M4610:M4673" si="291">IF(VALUE(LEFT(C4610,5))&gt;40000,"P&amp;L","BS")</f>
        <v>P&amp;L</v>
      </c>
    </row>
    <row r="4611" spans="1:13" s="33" customFormat="true" ht="12.75" customHeight="true">
      <c r="A4611" s="33" t="str">
        <f t="shared" si="288"/>
        <v>EAG - CGS</v>
      </c>
      <c r="B4611" s="33" t="str">
        <f t="shared" si="289"/>
        <v>EAG</v>
      </c>
      <c r="C4611" s="33" t="str">
        <f t="shared" si="290"/>
        <v>54005-0000</v>
      </c>
      <c r="D4611" s="64" t="s">
        <v>5613</v>
      </c>
      <c r="E4611" s="64" t="s">
        <v>3809</v>
      </c>
      <c r="F4611" s="64" t="s">
        <v>230</v>
      </c>
      <c r="G4611" s="64" t="s">
        <v>3800</v>
      </c>
      <c r="H4611" s="64" t="s">
        <v>1875</v>
      </c>
      <c r="I4611" s="64" t="s">
        <v>3810</v>
      </c>
      <c r="J4611" s="67">
        <v>11.73</v>
      </c>
      <c r="K4611" s="62">
        <v>187.34</v>
      </c>
      <c r="L4611" s="33" t="e">
        <f>HLOOKUP(B4611,#REF!,1,0)</f>
        <v>#REF!</v>
      </c>
      <c r="M4611" s="33" t="str">
        <f t="shared" si="291"/>
        <v>P&amp;L</v>
      </c>
    </row>
    <row r="4612" spans="1:13" s="33" customFormat="true" ht="12.75" customHeight="true">
      <c r="A4612" s="33" t="str">
        <f t="shared" si="288"/>
        <v>EAG - CGS</v>
      </c>
      <c r="B4612" s="33" t="str">
        <f t="shared" si="289"/>
        <v>EAG</v>
      </c>
      <c r="C4612" s="33" t="str">
        <f t="shared" si="290"/>
        <v>54006-0000</v>
      </c>
      <c r="D4612" s="64" t="s">
        <v>5614</v>
      </c>
      <c r="E4612" s="64" t="s">
        <v>3812</v>
      </c>
      <c r="F4612" s="64" t="s">
        <v>230</v>
      </c>
      <c r="G4612" s="64" t="s">
        <v>3800</v>
      </c>
      <c r="H4612" s="64" t="s">
        <v>1875</v>
      </c>
      <c r="I4612" s="64" t="s">
        <v>3003</v>
      </c>
      <c r="J4612" s="67">
        <v>83.54</v>
      </c>
      <c r="K4612" s="62">
        <v>1756.78</v>
      </c>
      <c r="L4612" s="33" t="e">
        <f>HLOOKUP(B4612,#REF!,1,0)</f>
        <v>#REF!</v>
      </c>
      <c r="M4612" s="33" t="str">
        <f t="shared" si="291"/>
        <v>P&amp;L</v>
      </c>
    </row>
    <row r="4613" spans="1:13" s="33" customFormat="true" ht="12.75" customHeight="true">
      <c r="A4613" s="33" t="str">
        <f t="shared" si="288"/>
        <v>EAG - CGS</v>
      </c>
      <c r="B4613" s="33" t="str">
        <f t="shared" si="289"/>
        <v>EAG</v>
      </c>
      <c r="C4613" s="33" t="str">
        <f t="shared" si="290"/>
        <v>54007-0000</v>
      </c>
      <c r="D4613" s="64" t="s">
        <v>5615</v>
      </c>
      <c r="E4613" s="64" t="s">
        <v>3814</v>
      </c>
      <c r="F4613" s="64" t="s">
        <v>230</v>
      </c>
      <c r="G4613" s="64" t="s">
        <v>3800</v>
      </c>
      <c r="H4613" s="64" t="s">
        <v>1875</v>
      </c>
      <c r="I4613" s="64" t="s">
        <v>3815</v>
      </c>
      <c r="J4613" s="67">
        <v>200</v>
      </c>
      <c r="K4613" s="62">
        <v>6656.25</v>
      </c>
      <c r="L4613" s="33" t="e">
        <f>HLOOKUP(B4613,#REF!,1,0)</f>
        <v>#REF!</v>
      </c>
      <c r="M4613" s="33" t="str">
        <f t="shared" si="291"/>
        <v>P&amp;L</v>
      </c>
    </row>
    <row r="4614" spans="1:13" s="33" customFormat="true" ht="12.75" customHeight="true">
      <c r="A4614" s="33" t="str">
        <f t="shared" si="288"/>
        <v>EAG - PM Expenses</v>
      </c>
      <c r="B4614" s="33" t="str">
        <f t="shared" si="289"/>
        <v>EAG</v>
      </c>
      <c r="C4614" s="33" t="str">
        <f t="shared" si="290"/>
        <v>55501-0000</v>
      </c>
      <c r="D4614" s="64" t="s">
        <v>5616</v>
      </c>
      <c r="E4614" s="64" t="s">
        <v>3817</v>
      </c>
      <c r="F4614" s="64" t="s">
        <v>230</v>
      </c>
      <c r="G4614" s="64" t="s">
        <v>3818</v>
      </c>
      <c r="H4614" s="64" t="s">
        <v>3819</v>
      </c>
      <c r="I4614" s="64" t="s">
        <v>3820</v>
      </c>
      <c r="J4614" s="67">
        <v>0</v>
      </c>
      <c r="K4614" s="62">
        <v>1020</v>
      </c>
      <c r="L4614" s="33" t="e">
        <f>HLOOKUP(B4614,#REF!,1,0)</f>
        <v>#REF!</v>
      </c>
      <c r="M4614" s="33" t="str">
        <f t="shared" si="291"/>
        <v>P&amp;L</v>
      </c>
    </row>
    <row r="4615" spans="1:13" s="33" customFormat="true" ht="12.75" customHeight="true">
      <c r="A4615" s="33" t="str">
        <f t="shared" si="288"/>
        <v>EAG - PM Expenses</v>
      </c>
      <c r="B4615" s="33" t="str">
        <f t="shared" si="289"/>
        <v>EAG</v>
      </c>
      <c r="C4615" s="33" t="str">
        <f t="shared" si="290"/>
        <v>55502-0000</v>
      </c>
      <c r="D4615" s="64" t="s">
        <v>5617</v>
      </c>
      <c r="E4615" s="64" t="s">
        <v>3822</v>
      </c>
      <c r="F4615" s="64" t="s">
        <v>230</v>
      </c>
      <c r="G4615" s="64" t="s">
        <v>3818</v>
      </c>
      <c r="H4615" s="64" t="s">
        <v>3819</v>
      </c>
      <c r="I4615" s="64" t="s">
        <v>3823</v>
      </c>
      <c r="J4615" s="67">
        <v>0</v>
      </c>
      <c r="K4615" s="62">
        <v>2023.51</v>
      </c>
      <c r="L4615" s="33" t="e">
        <f>HLOOKUP(B4615,#REF!,1,0)</f>
        <v>#REF!</v>
      </c>
      <c r="M4615" s="33" t="str">
        <f t="shared" si="291"/>
        <v>P&amp;L</v>
      </c>
    </row>
    <row r="4616" spans="1:13" s="33" customFormat="true" ht="12.75" customHeight="true">
      <c r="A4616" s="33" t="str">
        <f t="shared" si="288"/>
        <v>EAG - PM Expenses</v>
      </c>
      <c r="B4616" s="33" t="str">
        <f t="shared" si="289"/>
        <v>EAG</v>
      </c>
      <c r="C4616" s="33" t="str">
        <f t="shared" si="290"/>
        <v>55503-0000</v>
      </c>
      <c r="D4616" s="64" t="s">
        <v>5618</v>
      </c>
      <c r="E4616" s="64" t="s">
        <v>3825</v>
      </c>
      <c r="F4616" s="64" t="s">
        <v>230</v>
      </c>
      <c r="G4616" s="64" t="s">
        <v>3818</v>
      </c>
      <c r="H4616" s="64" t="s">
        <v>3819</v>
      </c>
      <c r="I4616" s="64" t="s">
        <v>3826</v>
      </c>
      <c r="J4616" s="67">
        <v>0</v>
      </c>
      <c r="K4616" s="62">
        <v>21942.2</v>
      </c>
      <c r="L4616" s="33" t="e">
        <f>HLOOKUP(B4616,#REF!,1,0)</f>
        <v>#REF!</v>
      </c>
      <c r="M4616" s="33" t="str">
        <f t="shared" si="291"/>
        <v>P&amp;L</v>
      </c>
    </row>
    <row r="4617" spans="1:13" s="33" customFormat="true" ht="12.75" customHeight="true">
      <c r="A4617" s="33" t="str">
        <f t="shared" si="288"/>
        <v>EAG - PM Expenses</v>
      </c>
      <c r="B4617" s="33" t="str">
        <f t="shared" si="289"/>
        <v>EAG</v>
      </c>
      <c r="C4617" s="33" t="str">
        <f t="shared" si="290"/>
        <v>55504-0000</v>
      </c>
      <c r="D4617" s="64" t="s">
        <v>5619</v>
      </c>
      <c r="E4617" s="64" t="s">
        <v>4027</v>
      </c>
      <c r="F4617" s="64" t="s">
        <v>230</v>
      </c>
      <c r="G4617" s="64" t="s">
        <v>3818</v>
      </c>
      <c r="H4617" s="64" t="s">
        <v>3819</v>
      </c>
      <c r="I4617" s="64" t="s">
        <v>4028</v>
      </c>
      <c r="J4617" s="67">
        <v>0</v>
      </c>
      <c r="K4617" s="62">
        <v>2060</v>
      </c>
      <c r="L4617" s="33" t="e">
        <f>HLOOKUP(B4617,#REF!,1,0)</f>
        <v>#REF!</v>
      </c>
      <c r="M4617" s="33" t="str">
        <f t="shared" si="291"/>
        <v>P&amp;L</v>
      </c>
    </row>
    <row r="4618" spans="1:13" s="33" customFormat="true" ht="12.75" customHeight="true">
      <c r="A4618" s="33" t="str">
        <f t="shared" si="288"/>
        <v>EAG - PM Expenses</v>
      </c>
      <c r="B4618" s="33" t="str">
        <f t="shared" si="289"/>
        <v>EAG</v>
      </c>
      <c r="C4618" s="33" t="str">
        <f t="shared" si="290"/>
        <v>55505-0000</v>
      </c>
      <c r="D4618" s="64" t="s">
        <v>5620</v>
      </c>
      <c r="E4618" s="64" t="s">
        <v>3828</v>
      </c>
      <c r="F4618" s="64" t="s">
        <v>230</v>
      </c>
      <c r="G4618" s="64" t="s">
        <v>3818</v>
      </c>
      <c r="H4618" s="64" t="s">
        <v>3819</v>
      </c>
      <c r="I4618" s="64" t="s">
        <v>3829</v>
      </c>
      <c r="J4618" s="67">
        <v>0</v>
      </c>
      <c r="K4618" s="62">
        <v>7541.85</v>
      </c>
      <c r="L4618" s="33" t="e">
        <f>HLOOKUP(B4618,#REF!,1,0)</f>
        <v>#REF!</v>
      </c>
      <c r="M4618" s="33" t="str">
        <f t="shared" si="291"/>
        <v>P&amp;L</v>
      </c>
    </row>
    <row r="4619" spans="1:13" s="33" customFormat="true" ht="12.75" customHeight="true">
      <c r="A4619" s="33" t="str">
        <f t="shared" si="288"/>
        <v>EAG - PM Expenses</v>
      </c>
      <c r="B4619" s="33" t="str">
        <f t="shared" si="289"/>
        <v>EAG</v>
      </c>
      <c r="C4619" s="33" t="str">
        <f t="shared" si="290"/>
        <v>55506-0000</v>
      </c>
      <c r="D4619" s="64" t="s">
        <v>5621</v>
      </c>
      <c r="E4619" s="64" t="s">
        <v>3831</v>
      </c>
      <c r="F4619" s="64" t="s">
        <v>230</v>
      </c>
      <c r="G4619" s="64" t="s">
        <v>3818</v>
      </c>
      <c r="H4619" s="64" t="s">
        <v>3819</v>
      </c>
      <c r="I4619" s="64" t="s">
        <v>3832</v>
      </c>
      <c r="J4619" s="67">
        <v>1116.93</v>
      </c>
      <c r="K4619" s="62">
        <v>20289.34</v>
      </c>
      <c r="L4619" s="33" t="e">
        <f>HLOOKUP(B4619,#REF!,1,0)</f>
        <v>#REF!</v>
      </c>
      <c r="M4619" s="33" t="str">
        <f t="shared" si="291"/>
        <v>P&amp;L</v>
      </c>
    </row>
    <row r="4620" spans="1:13" s="33" customFormat="true" ht="12.75" customHeight="true">
      <c r="A4620" s="33" t="str">
        <f t="shared" si="288"/>
        <v>EAG - PM Expenses</v>
      </c>
      <c r="B4620" s="33" t="str">
        <f t="shared" si="289"/>
        <v>EAG</v>
      </c>
      <c r="C4620" s="33" t="str">
        <f t="shared" si="290"/>
        <v>55507-0000</v>
      </c>
      <c r="D4620" s="64" t="s">
        <v>5622</v>
      </c>
      <c r="E4620" s="64" t="s">
        <v>3834</v>
      </c>
      <c r="F4620" s="64" t="s">
        <v>230</v>
      </c>
      <c r="G4620" s="64" t="s">
        <v>3818</v>
      </c>
      <c r="H4620" s="64" t="s">
        <v>3819</v>
      </c>
      <c r="I4620" s="64" t="s">
        <v>3835</v>
      </c>
      <c r="J4620" s="67">
        <v>115</v>
      </c>
      <c r="K4620" s="62">
        <v>1913.85</v>
      </c>
      <c r="L4620" s="33" t="e">
        <f>HLOOKUP(B4620,#REF!,1,0)</f>
        <v>#REF!</v>
      </c>
      <c r="M4620" s="33" t="str">
        <f t="shared" si="291"/>
        <v>P&amp;L</v>
      </c>
    </row>
    <row r="4621" spans="1:13" s="33" customFormat="true" ht="12.75" customHeight="true">
      <c r="A4621" s="33" t="str">
        <f t="shared" si="288"/>
        <v>EAG - CGS</v>
      </c>
      <c r="B4621" s="33" t="str">
        <f t="shared" si="289"/>
        <v>EAG</v>
      </c>
      <c r="C4621" s="33" t="str">
        <f t="shared" si="290"/>
        <v>60002-0000</v>
      </c>
      <c r="D4621" s="64" t="s">
        <v>5623</v>
      </c>
      <c r="E4621" s="64" t="s">
        <v>3837</v>
      </c>
      <c r="F4621" s="64" t="s">
        <v>230</v>
      </c>
      <c r="G4621" s="64" t="s">
        <v>3838</v>
      </c>
      <c r="H4621" s="64" t="s">
        <v>1875</v>
      </c>
      <c r="I4621" s="64" t="s">
        <v>3839</v>
      </c>
      <c r="J4621" s="67">
        <v>67.57</v>
      </c>
      <c r="K4621" s="62">
        <v>823.97</v>
      </c>
      <c r="L4621" s="33" t="e">
        <f>HLOOKUP(B4621,#REF!,1,0)</f>
        <v>#REF!</v>
      </c>
      <c r="M4621" s="33" t="str">
        <f t="shared" si="291"/>
        <v>P&amp;L</v>
      </c>
    </row>
    <row r="4622" spans="1:13" s="33" customFormat="true" ht="12.75" customHeight="true">
      <c r="A4622" s="33" t="str">
        <f t="shared" si="288"/>
        <v>EAG - CGS</v>
      </c>
      <c r="B4622" s="33" t="str">
        <f t="shared" si="289"/>
        <v>EAG</v>
      </c>
      <c r="C4622" s="33" t="str">
        <f t="shared" si="290"/>
        <v>60005-0000</v>
      </c>
      <c r="D4622" s="64" t="s">
        <v>5624</v>
      </c>
      <c r="E4622" s="64" t="s">
        <v>3841</v>
      </c>
      <c r="F4622" s="64" t="s">
        <v>230</v>
      </c>
      <c r="G4622" s="64" t="s">
        <v>3838</v>
      </c>
      <c r="H4622" s="64" t="s">
        <v>1875</v>
      </c>
      <c r="I4622" s="64" t="s">
        <v>3842</v>
      </c>
      <c r="J4622" s="67">
        <v>0</v>
      </c>
      <c r="K4622" s="62">
        <v>15860.81</v>
      </c>
      <c r="L4622" s="33" t="e">
        <f>HLOOKUP(B4622,#REF!,1,0)</f>
        <v>#REF!</v>
      </c>
      <c r="M4622" s="33" t="str">
        <f t="shared" si="291"/>
        <v>P&amp;L</v>
      </c>
    </row>
    <row r="4623" spans="1:13" s="33" customFormat="true" ht="12.75" customHeight="true">
      <c r="A4623" s="33" t="str">
        <f t="shared" si="288"/>
        <v>EAG - Interest Expense</v>
      </c>
      <c r="B4623" s="33" t="str">
        <f t="shared" si="289"/>
        <v>EAG</v>
      </c>
      <c r="C4623" s="33" t="str">
        <f t="shared" si="290"/>
        <v>60006-0000</v>
      </c>
      <c r="D4623" s="64" t="s">
        <v>5625</v>
      </c>
      <c r="E4623" s="64" t="s">
        <v>3325</v>
      </c>
      <c r="F4623" s="64" t="s">
        <v>230</v>
      </c>
      <c r="G4623" s="64" t="s">
        <v>3844</v>
      </c>
      <c r="H4623" s="64" t="s">
        <v>3327</v>
      </c>
      <c r="I4623" s="64" t="s">
        <v>3328</v>
      </c>
      <c r="J4623" s="67">
        <v>22883.53</v>
      </c>
      <c r="K4623" s="62">
        <v>226889.01</v>
      </c>
      <c r="L4623" s="33" t="e">
        <f>HLOOKUP(B4623,#REF!,1,0)</f>
        <v>#REF!</v>
      </c>
      <c r="M4623" s="33" t="str">
        <f t="shared" si="291"/>
        <v>P&amp;L</v>
      </c>
    </row>
    <row r="4624" spans="1:13" s="33" customFormat="true" ht="12.75" customHeight="true">
      <c r="A4624" s="33" t="str">
        <f t="shared" si="288"/>
        <v>EAG - CGS</v>
      </c>
      <c r="B4624" s="33" t="str">
        <f t="shared" si="289"/>
        <v>EAG</v>
      </c>
      <c r="C4624" s="33" t="str">
        <f t="shared" si="290"/>
        <v>60007-0000</v>
      </c>
      <c r="D4624" s="64" t="s">
        <v>5626</v>
      </c>
      <c r="E4624" s="64" t="s">
        <v>3846</v>
      </c>
      <c r="F4624" s="64" t="s">
        <v>230</v>
      </c>
      <c r="G4624" s="64" t="s">
        <v>3838</v>
      </c>
      <c r="H4624" s="64" t="s">
        <v>1875</v>
      </c>
      <c r="I4624" s="64" t="s">
        <v>3847</v>
      </c>
      <c r="J4624" s="67">
        <v>0</v>
      </c>
      <c r="K4624" s="62">
        <v>100801</v>
      </c>
      <c r="L4624" s="33" t="e">
        <f>HLOOKUP(B4624,#REF!,1,0)</f>
        <v>#REF!</v>
      </c>
      <c r="M4624" s="33" t="str">
        <f t="shared" si="291"/>
        <v>P&amp;L</v>
      </c>
    </row>
    <row r="4625" spans="1:13" s="33" customFormat="true" ht="12.75" customHeight="true">
      <c r="A4625" s="33" t="str">
        <f t="shared" si="288"/>
        <v>EAG - CGS</v>
      </c>
      <c r="B4625" s="33" t="str">
        <f t="shared" si="289"/>
        <v>EAG</v>
      </c>
      <c r="C4625" s="33" t="str">
        <f t="shared" si="290"/>
        <v>60012-0000</v>
      </c>
      <c r="D4625" s="64" t="s">
        <v>5627</v>
      </c>
      <c r="E4625" s="64" t="s">
        <v>3852</v>
      </c>
      <c r="F4625" s="64" t="s">
        <v>230</v>
      </c>
      <c r="G4625" s="64" t="s">
        <v>3838</v>
      </c>
      <c r="H4625" s="64" t="s">
        <v>1875</v>
      </c>
      <c r="I4625" s="64" t="s">
        <v>3853</v>
      </c>
      <c r="J4625" s="67">
        <v>0</v>
      </c>
      <c r="K4625" s="62">
        <v>0</v>
      </c>
      <c r="L4625" s="33" t="e">
        <f>HLOOKUP(B4625,#REF!,1,0)</f>
        <v>#REF!</v>
      </c>
      <c r="M4625" s="33" t="str">
        <f t="shared" si="291"/>
        <v>P&amp;L</v>
      </c>
    </row>
    <row r="4626" spans="1:13" s="33" customFormat="true" ht="12.75" customHeight="true">
      <c r="A4626" s="33" t="str">
        <f t="shared" si="288"/>
        <v>EAG - CGS</v>
      </c>
      <c r="B4626" s="33" t="str">
        <f t="shared" si="289"/>
        <v>EAG</v>
      </c>
      <c r="C4626" s="33" t="str">
        <f t="shared" si="290"/>
        <v>60014-0000</v>
      </c>
      <c r="D4626" s="64" t="s">
        <v>5628</v>
      </c>
      <c r="E4626" s="64" t="s">
        <v>3855</v>
      </c>
      <c r="F4626" s="64" t="s">
        <v>230</v>
      </c>
      <c r="G4626" s="64" t="s">
        <v>3838</v>
      </c>
      <c r="H4626" s="64" t="s">
        <v>1875</v>
      </c>
      <c r="I4626" s="64" t="s">
        <v>3856</v>
      </c>
      <c r="J4626" s="67">
        <v>4153.02</v>
      </c>
      <c r="K4626" s="62">
        <v>40132.04</v>
      </c>
      <c r="L4626" s="33" t="e">
        <f>HLOOKUP(B4626,#REF!,1,0)</f>
        <v>#REF!</v>
      </c>
      <c r="M4626" s="33" t="str">
        <f t="shared" si="291"/>
        <v>P&amp;L</v>
      </c>
    </row>
    <row r="4627" spans="1:13" s="33" customFormat="true" ht="12.75" customHeight="true">
      <c r="A4627" s="33" t="str">
        <f t="shared" si="288"/>
        <v>EAG - CGS</v>
      </c>
      <c r="B4627" s="33" t="str">
        <f t="shared" si="289"/>
        <v>EAG</v>
      </c>
      <c r="C4627" s="33" t="str">
        <f t="shared" si="290"/>
        <v>60015-0000</v>
      </c>
      <c r="D4627" s="64" t="s">
        <v>5629</v>
      </c>
      <c r="E4627" s="64" t="s">
        <v>3858</v>
      </c>
      <c r="F4627" s="64" t="s">
        <v>230</v>
      </c>
      <c r="G4627" s="64" t="s">
        <v>3838</v>
      </c>
      <c r="H4627" s="64" t="s">
        <v>1875</v>
      </c>
      <c r="I4627" s="64" t="s">
        <v>3859</v>
      </c>
      <c r="J4627" s="67">
        <v>0</v>
      </c>
      <c r="K4627" s="62">
        <v>258</v>
      </c>
      <c r="L4627" s="33" t="e">
        <f>HLOOKUP(B4627,#REF!,1,0)</f>
        <v>#REF!</v>
      </c>
      <c r="M4627" s="33" t="str">
        <f t="shared" si="291"/>
        <v>P&amp;L</v>
      </c>
    </row>
    <row r="4628" spans="1:13" s="33" customFormat="true" ht="12.75" customHeight="true">
      <c r="A4628" s="33" t="str">
        <f t="shared" si="288"/>
        <v>EAG - CGS</v>
      </c>
      <c r="B4628" s="33" t="str">
        <f t="shared" si="289"/>
        <v>EAG</v>
      </c>
      <c r="C4628" s="33" t="str">
        <f t="shared" si="290"/>
        <v>61016-0000</v>
      </c>
      <c r="D4628" s="64" t="s">
        <v>5630</v>
      </c>
      <c r="E4628" s="64" t="s">
        <v>3861</v>
      </c>
      <c r="F4628" s="64" t="s">
        <v>230</v>
      </c>
      <c r="G4628" s="64" t="s">
        <v>3838</v>
      </c>
      <c r="H4628" s="64" t="s">
        <v>1875</v>
      </c>
      <c r="I4628" s="64" t="s">
        <v>3862</v>
      </c>
      <c r="J4628" s="67">
        <v>0</v>
      </c>
      <c r="K4628" s="62">
        <v>0</v>
      </c>
      <c r="L4628" s="33" t="e">
        <f>HLOOKUP(B4628,#REF!,1,0)</f>
        <v>#REF!</v>
      </c>
      <c r="M4628" s="33" t="str">
        <f t="shared" si="291"/>
        <v>P&amp;L</v>
      </c>
    </row>
    <row r="4629" spans="1:13" s="33" customFormat="true" ht="12.75" customHeight="true">
      <c r="A4629" s="33" t="str">
        <f t="shared" si="288"/>
        <v>EAG - CGS</v>
      </c>
      <c r="B4629" s="33" t="str">
        <f t="shared" si="289"/>
        <v>EAG</v>
      </c>
      <c r="C4629" s="33" t="str">
        <f t="shared" si="290"/>
        <v>61018-0000</v>
      </c>
      <c r="D4629" s="64" t="s">
        <v>5631</v>
      </c>
      <c r="E4629" s="64" t="s">
        <v>3864</v>
      </c>
      <c r="F4629" s="64" t="s">
        <v>230</v>
      </c>
      <c r="G4629" s="64" t="s">
        <v>3838</v>
      </c>
      <c r="H4629" s="64" t="s">
        <v>1875</v>
      </c>
      <c r="I4629" s="64" t="s">
        <v>3866</v>
      </c>
      <c r="J4629" s="67">
        <v>0</v>
      </c>
      <c r="K4629" s="62">
        <v>-615</v>
      </c>
      <c r="L4629" s="33" t="e">
        <f>HLOOKUP(B4629,#REF!,1,0)</f>
        <v>#REF!</v>
      </c>
      <c r="M4629" s="33" t="str">
        <f t="shared" si="291"/>
        <v>P&amp;L</v>
      </c>
    </row>
    <row r="4630" spans="1:13" s="33" customFormat="true" ht="12.75" customHeight="true">
      <c r="A4630" s="33" t="str">
        <f t="shared" si="288"/>
        <v>EAG - Income Tax</v>
      </c>
      <c r="B4630" s="33" t="str">
        <f t="shared" si="289"/>
        <v>EAG</v>
      </c>
      <c r="C4630" s="33" t="str">
        <f t="shared" si="290"/>
        <v>61019-0000</v>
      </c>
      <c r="D4630" s="64" t="s">
        <v>5632</v>
      </c>
      <c r="E4630" s="64" t="s">
        <v>4041</v>
      </c>
      <c r="F4630" s="64" t="s">
        <v>230</v>
      </c>
      <c r="G4630" s="64" t="s">
        <v>3844</v>
      </c>
      <c r="H4630" s="64" t="s">
        <v>3378</v>
      </c>
      <c r="I4630" s="64" t="s">
        <v>4042</v>
      </c>
      <c r="J4630" s="67">
        <v>0</v>
      </c>
      <c r="K4630" s="62">
        <v>3300</v>
      </c>
      <c r="L4630" s="33" t="e">
        <f>HLOOKUP(B4630,#REF!,1,0)</f>
        <v>#REF!</v>
      </c>
      <c r="M4630" s="33" t="str">
        <f t="shared" si="291"/>
        <v>P&amp;L</v>
      </c>
    </row>
    <row r="4631" spans="1:13" s="33" customFormat="true" ht="12.75" customHeight="true">
      <c r="A4631" s="33" t="str">
        <f t="shared" si="288"/>
        <v>EAL - Cash</v>
      </c>
      <c r="B4631" s="33" t="str">
        <f t="shared" si="289"/>
        <v>EAL</v>
      </c>
      <c r="C4631" s="33" t="str">
        <f t="shared" si="290"/>
        <v>10001-0000</v>
      </c>
      <c r="D4631" s="64" t="s">
        <v>5633</v>
      </c>
      <c r="E4631" s="64" t="s">
        <v>240</v>
      </c>
      <c r="F4631" s="64" t="s">
        <v>230</v>
      </c>
      <c r="G4631" s="64" t="s">
        <v>16</v>
      </c>
      <c r="H4631" s="64" t="s">
        <v>25</v>
      </c>
      <c r="I4631" s="64" t="s">
        <v>18</v>
      </c>
      <c r="J4631" s="67">
        <v>1843.91</v>
      </c>
      <c r="K4631" s="62">
        <v>93902.24</v>
      </c>
      <c r="L4631" s="33" t="e">
        <f>HLOOKUP(B4631,#REF!,1,0)</f>
        <v>#REF!</v>
      </c>
      <c r="M4631" s="33" t="str">
        <f t="shared" si="291"/>
        <v>BS</v>
      </c>
    </row>
    <row r="4632" spans="1:13" s="33" customFormat="true" ht="12.75" customHeight="true">
      <c r="A4632" s="33" t="str">
        <f t="shared" si="288"/>
        <v>EAL - Intercompany</v>
      </c>
      <c r="B4632" s="33" t="str">
        <f t="shared" si="289"/>
        <v>EAL</v>
      </c>
      <c r="C4632" s="33" t="str">
        <f t="shared" si="290"/>
        <v>11216-0000</v>
      </c>
      <c r="D4632" s="64" t="s">
        <v>5634</v>
      </c>
      <c r="E4632" s="64" t="s">
        <v>242</v>
      </c>
      <c r="F4632" s="64" t="s">
        <v>230</v>
      </c>
      <c r="G4632" s="64" t="s">
        <v>16</v>
      </c>
      <c r="H4632" s="64" t="s">
        <v>39</v>
      </c>
      <c r="I4632" s="64" t="s">
        <v>40</v>
      </c>
      <c r="J4632" s="67">
        <v>767.25</v>
      </c>
      <c r="K4632" s="62">
        <v>-2621.75</v>
      </c>
      <c r="L4632" s="33" t="e">
        <f>HLOOKUP(B4632,#REF!,1,0)</f>
        <v>#REF!</v>
      </c>
      <c r="M4632" s="33" t="str">
        <f t="shared" si="291"/>
        <v>BS</v>
      </c>
    </row>
    <row r="4633" spans="1:13" s="33" customFormat="true" ht="12.75" customHeight="true">
      <c r="A4633" s="33" t="str">
        <f t="shared" si="288"/>
        <v>EAL - Intercompany</v>
      </c>
      <c r="B4633" s="33" t="str">
        <f t="shared" si="289"/>
        <v>EAL</v>
      </c>
      <c r="C4633" s="33" t="str">
        <f t="shared" si="290"/>
        <v>11342-0000</v>
      </c>
      <c r="D4633" s="64" t="s">
        <v>5635</v>
      </c>
      <c r="E4633" s="64" t="s">
        <v>384</v>
      </c>
      <c r="F4633" s="64" t="s">
        <v>230</v>
      </c>
      <c r="G4633" s="64" t="s">
        <v>16</v>
      </c>
      <c r="H4633" s="64" t="s">
        <v>39</v>
      </c>
      <c r="I4633" s="64" t="s">
        <v>40</v>
      </c>
      <c r="J4633" s="67">
        <v>0</v>
      </c>
      <c r="K4633" s="62">
        <v>-3447023.94</v>
      </c>
      <c r="L4633" s="33" t="e">
        <f>HLOOKUP(B4633,#REF!,1,0)</f>
        <v>#REF!</v>
      </c>
      <c r="M4633" s="33" t="str">
        <f t="shared" si="291"/>
        <v>BS</v>
      </c>
    </row>
    <row r="4634" spans="1:13" s="33" customFormat="true" ht="12.75" customHeight="true">
      <c r="A4634" s="33" t="str">
        <f t="shared" si="288"/>
        <v>EAL - Intercompany</v>
      </c>
      <c r="B4634" s="33" t="str">
        <f t="shared" si="289"/>
        <v>EAL</v>
      </c>
      <c r="C4634" s="33" t="str">
        <f t="shared" si="290"/>
        <v>11346-0000</v>
      </c>
      <c r="D4634" s="64" t="s">
        <v>5636</v>
      </c>
      <c r="E4634" s="64" t="s">
        <v>739</v>
      </c>
      <c r="F4634" s="64" t="s">
        <v>230</v>
      </c>
      <c r="G4634" s="64" t="s">
        <v>16</v>
      </c>
      <c r="H4634" s="64" t="s">
        <v>39</v>
      </c>
      <c r="I4634" s="64" t="s">
        <v>40</v>
      </c>
      <c r="J4634" s="67">
        <v>0</v>
      </c>
      <c r="K4634" s="62">
        <v>0</v>
      </c>
      <c r="L4634" s="33" t="e">
        <f>HLOOKUP(B4634,#REF!,1,0)</f>
        <v>#REF!</v>
      </c>
      <c r="M4634" s="33" t="str">
        <f t="shared" si="291"/>
        <v>BS</v>
      </c>
    </row>
    <row r="4635" spans="1:13" s="33" customFormat="true" ht="12.75" customHeight="true">
      <c r="A4635" s="33" t="str">
        <f t="shared" si="288"/>
        <v>EAL - Fixed Assets</v>
      </c>
      <c r="B4635" s="33" t="str">
        <f t="shared" si="289"/>
        <v>EAL</v>
      </c>
      <c r="C4635" s="33" t="str">
        <f t="shared" si="290"/>
        <v>14000-0000</v>
      </c>
      <c r="D4635" s="64" t="s">
        <v>5637</v>
      </c>
      <c r="E4635" s="64" t="s">
        <v>298</v>
      </c>
      <c r="F4635" s="64" t="s">
        <v>230</v>
      </c>
      <c r="G4635" s="64" t="s">
        <v>62</v>
      </c>
      <c r="H4635" s="64" t="s">
        <v>63</v>
      </c>
      <c r="I4635" s="64" t="s">
        <v>64</v>
      </c>
      <c r="J4635" s="67">
        <v>0</v>
      </c>
      <c r="K4635" s="62">
        <v>2467500</v>
      </c>
      <c r="L4635" s="33" t="e">
        <f>HLOOKUP(B4635,#REF!,1,0)</f>
        <v>#REF!</v>
      </c>
      <c r="M4635" s="33" t="str">
        <f t="shared" si="291"/>
        <v>BS</v>
      </c>
    </row>
    <row r="4636" spans="1:13" s="33" customFormat="true" ht="12.75" customHeight="true">
      <c r="A4636" s="33" t="str">
        <f t="shared" si="288"/>
        <v>EAL - Fixed Assets</v>
      </c>
      <c r="B4636" s="33" t="str">
        <f t="shared" si="289"/>
        <v>EAL</v>
      </c>
      <c r="C4636" s="33" t="str">
        <f t="shared" si="290"/>
        <v>15000-0000</v>
      </c>
      <c r="D4636" s="64" t="s">
        <v>5638</v>
      </c>
      <c r="E4636" s="64" t="s">
        <v>300</v>
      </c>
      <c r="F4636" s="64" t="s">
        <v>230</v>
      </c>
      <c r="G4636" s="64" t="s">
        <v>62</v>
      </c>
      <c r="H4636" s="64" t="s">
        <v>63</v>
      </c>
      <c r="I4636" s="64" t="s">
        <v>64</v>
      </c>
      <c r="J4636" s="67">
        <v>0</v>
      </c>
      <c r="K4636" s="62">
        <v>5757500</v>
      </c>
      <c r="L4636" s="33" t="e">
        <f>HLOOKUP(B4636,#REF!,1,0)</f>
        <v>#REF!</v>
      </c>
      <c r="M4636" s="33" t="str">
        <f t="shared" si="291"/>
        <v>BS</v>
      </c>
    </row>
    <row r="4637" spans="1:13" s="33" customFormat="true" ht="12.75" customHeight="true">
      <c r="A4637" s="33" t="str">
        <f t="shared" si="288"/>
        <v>EAL - Fixed Assets</v>
      </c>
      <c r="B4637" s="33" t="str">
        <f t="shared" si="289"/>
        <v>EAL</v>
      </c>
      <c r="C4637" s="33" t="str">
        <f t="shared" si="290"/>
        <v>15501-0000</v>
      </c>
      <c r="D4637" s="64" t="s">
        <v>5639</v>
      </c>
      <c r="E4637" s="64" t="s">
        <v>2635</v>
      </c>
      <c r="F4637" s="64" t="s">
        <v>230</v>
      </c>
      <c r="G4637" s="64" t="s">
        <v>62</v>
      </c>
      <c r="H4637" s="64" t="s">
        <v>63</v>
      </c>
      <c r="I4637" s="64" t="s">
        <v>64</v>
      </c>
      <c r="J4637" s="67">
        <v>254.33</v>
      </c>
      <c r="K4637" s="62">
        <v>998.11</v>
      </c>
      <c r="L4637" s="33" t="e">
        <f>HLOOKUP(B4637,#REF!,1,0)</f>
        <v>#REF!</v>
      </c>
      <c r="M4637" s="33" t="str">
        <f t="shared" si="291"/>
        <v>BS</v>
      </c>
    </row>
    <row r="4638" spans="1:13" s="33" customFormat="true" ht="12.75" customHeight="true">
      <c r="A4638" s="33" t="str">
        <f t="shared" si="288"/>
        <v>EAL - Deposits</v>
      </c>
      <c r="B4638" s="33" t="str">
        <f t="shared" si="289"/>
        <v>EAL</v>
      </c>
      <c r="C4638" s="33" t="str">
        <f t="shared" si="290"/>
        <v>19001-0000</v>
      </c>
      <c r="D4638" s="64" t="s">
        <v>5640</v>
      </c>
      <c r="E4638" s="64" t="s">
        <v>344</v>
      </c>
      <c r="F4638" s="64" t="s">
        <v>230</v>
      </c>
      <c r="G4638" s="64" t="s">
        <v>62</v>
      </c>
      <c r="H4638" s="64" t="s">
        <v>80</v>
      </c>
      <c r="I4638" s="64" t="s">
        <v>81</v>
      </c>
      <c r="J4638" s="67">
        <v>0</v>
      </c>
      <c r="K4638" s="62">
        <v>3013.31</v>
      </c>
      <c r="L4638" s="33" t="e">
        <f>HLOOKUP(B4638,#REF!,1,0)</f>
        <v>#REF!</v>
      </c>
      <c r="M4638" s="33" t="str">
        <f t="shared" si="291"/>
        <v>BS</v>
      </c>
    </row>
    <row r="4639" spans="1:13" s="33" customFormat="true" ht="12.75" customHeight="true">
      <c r="A4639" s="33" t="str">
        <f t="shared" si="288"/>
        <v>EAL - AP-Accr Exp</v>
      </c>
      <c r="B4639" s="33" t="str">
        <f t="shared" si="289"/>
        <v>EAL</v>
      </c>
      <c r="C4639" s="33" t="str">
        <f t="shared" si="290"/>
        <v>20001-0000</v>
      </c>
      <c r="D4639" s="64" t="s">
        <v>5641</v>
      </c>
      <c r="E4639" s="64" t="s">
        <v>96</v>
      </c>
      <c r="F4639" s="64" t="s">
        <v>230</v>
      </c>
      <c r="G4639" s="64" t="s">
        <v>97</v>
      </c>
      <c r="H4639" s="64" t="s">
        <v>98</v>
      </c>
      <c r="I4639" s="64" t="s">
        <v>99</v>
      </c>
      <c r="J4639" s="67">
        <v>160</v>
      </c>
      <c r="K4639" s="62">
        <v>0</v>
      </c>
      <c r="L4639" s="33" t="e">
        <f>HLOOKUP(B4639,#REF!,1,0)</f>
        <v>#REF!</v>
      </c>
      <c r="M4639" s="33" t="str">
        <f t="shared" si="291"/>
        <v>BS</v>
      </c>
    </row>
    <row r="4640" spans="1:13" s="33" customFormat="true" ht="12.75" customHeight="true">
      <c r="A4640" s="33" t="str">
        <f t="shared" si="288"/>
        <v>EAL - AP-Accr Exp</v>
      </c>
      <c r="B4640" s="33" t="str">
        <f t="shared" si="289"/>
        <v>EAL</v>
      </c>
      <c r="C4640" s="33" t="str">
        <f t="shared" si="290"/>
        <v>23509-0000</v>
      </c>
      <c r="D4640" s="64" t="s">
        <v>5642</v>
      </c>
      <c r="E4640" s="64" t="s">
        <v>111</v>
      </c>
      <c r="F4640" s="64" t="s">
        <v>230</v>
      </c>
      <c r="G4640" s="64" t="s">
        <v>97</v>
      </c>
      <c r="H4640" s="64" t="s">
        <v>98</v>
      </c>
      <c r="I4640" s="64" t="s">
        <v>102</v>
      </c>
      <c r="J4640" s="67">
        <v>0</v>
      </c>
      <c r="K4640" s="62">
        <v>0</v>
      </c>
      <c r="L4640" s="33" t="e">
        <f>HLOOKUP(B4640,#REF!,1,0)</f>
        <v>#REF!</v>
      </c>
      <c r="M4640" s="33" t="str">
        <f t="shared" si="291"/>
        <v>BS</v>
      </c>
    </row>
    <row r="4641" spans="1:13" s="33" customFormat="true" ht="12.75" customHeight="true">
      <c r="A4641" s="33" t="str">
        <f t="shared" si="288"/>
        <v>EAL - AR-PPD</v>
      </c>
      <c r="B4641" s="33" t="str">
        <f t="shared" si="289"/>
        <v>EAL</v>
      </c>
      <c r="C4641" s="33" t="str">
        <f t="shared" si="290"/>
        <v>25300-0000</v>
      </c>
      <c r="D4641" s="64" t="s">
        <v>5643</v>
      </c>
      <c r="E4641" s="64" t="s">
        <v>3677</v>
      </c>
      <c r="F4641" s="64" t="s">
        <v>230</v>
      </c>
      <c r="G4641" s="64" t="s">
        <v>3678</v>
      </c>
      <c r="H4641" s="64" t="s">
        <v>35</v>
      </c>
      <c r="I4641" s="64" t="s">
        <v>102</v>
      </c>
      <c r="J4641" s="67">
        <v>0</v>
      </c>
      <c r="K4641" s="62">
        <v>0</v>
      </c>
      <c r="L4641" s="33" t="e">
        <f>HLOOKUP(B4641,#REF!,1,0)</f>
        <v>#REF!</v>
      </c>
      <c r="M4641" s="33" t="str">
        <f t="shared" si="291"/>
        <v>BS</v>
      </c>
    </row>
    <row r="4642" spans="1:13" s="33" customFormat="true" ht="12.75" customHeight="true">
      <c r="A4642" s="33" t="str">
        <f t="shared" si="288"/>
        <v>EAL - Principal</v>
      </c>
      <c r="B4642" s="33" t="str">
        <f t="shared" si="289"/>
        <v>EAL</v>
      </c>
      <c r="C4642" s="33" t="str">
        <f t="shared" si="290"/>
        <v>28000-0000</v>
      </c>
      <c r="D4642" s="64" t="s">
        <v>5644</v>
      </c>
      <c r="E4642" s="64" t="s">
        <v>5645</v>
      </c>
      <c r="F4642" s="64" t="s">
        <v>230</v>
      </c>
      <c r="G4642" s="64" t="s">
        <v>123</v>
      </c>
      <c r="H4642" s="64" t="s">
        <v>127</v>
      </c>
      <c r="I4642" s="64" t="s">
        <v>133</v>
      </c>
      <c r="J4642" s="67">
        <v>7209.81</v>
      </c>
      <c r="K4642" s="62">
        <v>-4252516.95</v>
      </c>
      <c r="L4642" s="33" t="e">
        <f>HLOOKUP(B4642,#REF!,1,0)</f>
        <v>#REF!</v>
      </c>
      <c r="M4642" s="33" t="str">
        <f t="shared" si="291"/>
        <v>BS</v>
      </c>
    </row>
    <row r="4643" spans="1:13" s="33" customFormat="true" ht="12.75" customHeight="true">
      <c r="A4643" s="33" t="str">
        <f t="shared" si="288"/>
        <v>EAL - SH Dist</v>
      </c>
      <c r="B4643" s="33" t="str">
        <f t="shared" si="289"/>
        <v>EAL</v>
      </c>
      <c r="C4643" s="33" t="str">
        <f t="shared" si="290"/>
        <v>30700-0000</v>
      </c>
      <c r="D4643" s="64" t="s">
        <v>5646</v>
      </c>
      <c r="E4643" s="64" t="s">
        <v>319</v>
      </c>
      <c r="F4643" s="64" t="s">
        <v>230</v>
      </c>
      <c r="G4643" s="64" t="s">
        <v>142</v>
      </c>
      <c r="H4643" s="64" t="s">
        <v>143</v>
      </c>
      <c r="I4643" s="64" t="s">
        <v>144</v>
      </c>
      <c r="J4643" s="67">
        <v>0</v>
      </c>
      <c r="K4643" s="62">
        <v>-550000</v>
      </c>
      <c r="L4643" s="33" t="e">
        <f>HLOOKUP(B4643,#REF!,1,0)</f>
        <v>#REF!</v>
      </c>
      <c r="M4643" s="33" t="str">
        <f t="shared" si="291"/>
        <v>BS</v>
      </c>
    </row>
    <row r="4644" spans="1:13" s="33" customFormat="true" ht="12.75" customHeight="true">
      <c r="A4644" s="33" t="str">
        <f t="shared" si="288"/>
        <v>EAL - Revenue</v>
      </c>
      <c r="B4644" s="33" t="str">
        <f t="shared" si="289"/>
        <v>EAL</v>
      </c>
      <c r="C4644" s="33" t="str">
        <f t="shared" si="290"/>
        <v>40110-0000</v>
      </c>
      <c r="D4644" s="64" t="s">
        <v>5647</v>
      </c>
      <c r="E4644" s="64" t="s">
        <v>3683</v>
      </c>
      <c r="F4644" s="64" t="s">
        <v>230</v>
      </c>
      <c r="G4644" s="64" t="s">
        <v>3684</v>
      </c>
      <c r="H4644" s="64" t="s">
        <v>2871</v>
      </c>
      <c r="I4644" s="64" t="s">
        <v>3685</v>
      </c>
      <c r="J4644" s="67">
        <v>-37970</v>
      </c>
      <c r="K4644" s="62">
        <v>-341730</v>
      </c>
      <c r="L4644" s="33" t="e">
        <f>HLOOKUP(B4644,#REF!,1,0)</f>
        <v>#REF!</v>
      </c>
      <c r="M4644" s="33" t="str">
        <f t="shared" si="291"/>
        <v>P&amp;L</v>
      </c>
    </row>
    <row r="4645" spans="1:13" s="33" customFormat="true" ht="12.75" customHeight="true">
      <c r="A4645" s="33" t="str">
        <f t="shared" si="288"/>
        <v>EAL - Revenue</v>
      </c>
      <c r="B4645" s="33" t="str">
        <f t="shared" si="289"/>
        <v>EAL</v>
      </c>
      <c r="C4645" s="33" t="str">
        <f t="shared" si="290"/>
        <v>40120-0000</v>
      </c>
      <c r="D4645" s="64" t="s">
        <v>5648</v>
      </c>
      <c r="E4645" s="64" t="s">
        <v>3687</v>
      </c>
      <c r="F4645" s="64" t="s">
        <v>230</v>
      </c>
      <c r="G4645" s="64" t="s">
        <v>3684</v>
      </c>
      <c r="H4645" s="64" t="s">
        <v>2871</v>
      </c>
      <c r="I4645" s="64" t="s">
        <v>3688</v>
      </c>
      <c r="J4645" s="67">
        <v>-410</v>
      </c>
      <c r="K4645" s="62">
        <v>-2460</v>
      </c>
      <c r="L4645" s="33" t="e">
        <f>HLOOKUP(B4645,#REF!,1,0)</f>
        <v>#REF!</v>
      </c>
      <c r="M4645" s="33" t="str">
        <f t="shared" si="291"/>
        <v>P&amp;L</v>
      </c>
    </row>
    <row r="4646" spans="1:13" s="33" customFormat="true" ht="12.75" customHeight="true">
      <c r="A4646" s="33" t="str">
        <f t="shared" si="288"/>
        <v>EAL - Revenue</v>
      </c>
      <c r="B4646" s="33" t="str">
        <f t="shared" si="289"/>
        <v>EAL</v>
      </c>
      <c r="C4646" s="33" t="str">
        <f t="shared" si="290"/>
        <v>40130-0000</v>
      </c>
      <c r="D4646" s="64" t="s">
        <v>5649</v>
      </c>
      <c r="E4646" s="64" t="s">
        <v>3690</v>
      </c>
      <c r="F4646" s="64" t="s">
        <v>230</v>
      </c>
      <c r="G4646" s="64" t="s">
        <v>3684</v>
      </c>
      <c r="H4646" s="64" t="s">
        <v>2871</v>
      </c>
      <c r="I4646" s="64" t="s">
        <v>3691</v>
      </c>
      <c r="J4646" s="67">
        <v>-2621.51</v>
      </c>
      <c r="K4646" s="62">
        <v>-10891.32</v>
      </c>
      <c r="L4646" s="33" t="e">
        <f>HLOOKUP(B4646,#REF!,1,0)</f>
        <v>#REF!</v>
      </c>
      <c r="M4646" s="33" t="str">
        <f t="shared" si="291"/>
        <v>P&amp;L</v>
      </c>
    </row>
    <row r="4647" spans="1:13" s="33" customFormat="true" ht="12.75" customHeight="true">
      <c r="A4647" s="33" t="str">
        <f t="shared" si="288"/>
        <v>EAL - Revenue</v>
      </c>
      <c r="B4647" s="33" t="str">
        <f t="shared" si="289"/>
        <v>EAL</v>
      </c>
      <c r="C4647" s="33" t="str">
        <f t="shared" si="290"/>
        <v>40140-0000</v>
      </c>
      <c r="D4647" s="64" t="s">
        <v>5650</v>
      </c>
      <c r="E4647" s="64" t="s">
        <v>3948</v>
      </c>
      <c r="F4647" s="64" t="s">
        <v>230</v>
      </c>
      <c r="G4647" s="64" t="s">
        <v>5651</v>
      </c>
      <c r="H4647" s="64" t="s">
        <v>2871</v>
      </c>
      <c r="I4647" s="64" t="s">
        <v>3949</v>
      </c>
      <c r="J4647" s="67">
        <v>0</v>
      </c>
      <c r="K4647" s="62">
        <v>0</v>
      </c>
      <c r="L4647" s="33" t="e">
        <f>HLOOKUP(B4647,#REF!,1,0)</f>
        <v>#REF!</v>
      </c>
      <c r="M4647" s="33" t="str">
        <f t="shared" si="291"/>
        <v>P&amp;L</v>
      </c>
    </row>
    <row r="4648" spans="1:13" s="33" customFormat="true" ht="12.75" customHeight="true">
      <c r="A4648" s="33" t="str">
        <f t="shared" si="288"/>
        <v>EAL - Revenue</v>
      </c>
      <c r="B4648" s="33" t="str">
        <f t="shared" si="289"/>
        <v>EAL</v>
      </c>
      <c r="C4648" s="33" t="str">
        <f t="shared" si="290"/>
        <v>41110-0000</v>
      </c>
      <c r="D4648" s="64" t="s">
        <v>5652</v>
      </c>
      <c r="E4648" s="64" t="s">
        <v>3693</v>
      </c>
      <c r="F4648" s="64" t="s">
        <v>230</v>
      </c>
      <c r="G4648" s="64" t="s">
        <v>3694</v>
      </c>
      <c r="H4648" s="64" t="s">
        <v>2871</v>
      </c>
      <c r="I4648" s="64" t="s">
        <v>3695</v>
      </c>
      <c r="J4648" s="67">
        <v>0</v>
      </c>
      <c r="K4648" s="62">
        <v>2634</v>
      </c>
      <c r="L4648" s="33" t="e">
        <f>HLOOKUP(B4648,#REF!,1,0)</f>
        <v>#REF!</v>
      </c>
      <c r="M4648" s="33" t="str">
        <f t="shared" si="291"/>
        <v>P&amp;L</v>
      </c>
    </row>
    <row r="4649" spans="1:13" s="33" customFormat="true" ht="12.75" customHeight="true">
      <c r="A4649" s="33" t="str">
        <f t="shared" si="288"/>
        <v>EAL - Revenue</v>
      </c>
      <c r="B4649" s="33" t="str">
        <f t="shared" si="289"/>
        <v>EAL</v>
      </c>
      <c r="C4649" s="33" t="str">
        <f t="shared" si="290"/>
        <v>41121-0000</v>
      </c>
      <c r="D4649" s="64" t="s">
        <v>5653</v>
      </c>
      <c r="E4649" s="64" t="s">
        <v>5654</v>
      </c>
      <c r="F4649" s="64" t="s">
        <v>230</v>
      </c>
      <c r="G4649" s="64" t="s">
        <v>3694</v>
      </c>
      <c r="H4649" s="64" t="s">
        <v>2871</v>
      </c>
      <c r="I4649" s="64" t="s">
        <v>3698</v>
      </c>
      <c r="J4649" s="67">
        <v>7325.97</v>
      </c>
      <c r="K4649" s="62">
        <v>30327.57</v>
      </c>
      <c r="L4649" s="33" t="e">
        <f>HLOOKUP(B4649,#REF!,1,0)</f>
        <v>#REF!</v>
      </c>
      <c r="M4649" s="33" t="str">
        <f t="shared" si="291"/>
        <v>P&amp;L</v>
      </c>
    </row>
    <row r="4650" spans="1:13" s="33" customFormat="true" ht="12.75" customHeight="true">
      <c r="A4650" s="33" t="str">
        <f t="shared" si="288"/>
        <v>EAL - Revenue</v>
      </c>
      <c r="B4650" s="33" t="str">
        <f t="shared" si="289"/>
        <v>EAL</v>
      </c>
      <c r="C4650" s="33" t="str">
        <f t="shared" si="290"/>
        <v>41122-0000</v>
      </c>
      <c r="D4650" s="64" t="s">
        <v>5655</v>
      </c>
      <c r="E4650" s="64" t="s">
        <v>3700</v>
      </c>
      <c r="F4650" s="64" t="s">
        <v>230</v>
      </c>
      <c r="G4650" s="64" t="s">
        <v>3694</v>
      </c>
      <c r="H4650" s="64" t="s">
        <v>2871</v>
      </c>
      <c r="I4650" s="64" t="s">
        <v>3701</v>
      </c>
      <c r="J4650" s="67">
        <v>0</v>
      </c>
      <c r="K4650" s="62">
        <v>-35273.7</v>
      </c>
      <c r="L4650" s="33" t="e">
        <f>HLOOKUP(B4650,#REF!,1,0)</f>
        <v>#REF!</v>
      </c>
      <c r="M4650" s="33" t="str">
        <f t="shared" si="291"/>
        <v>P&amp;L</v>
      </c>
    </row>
    <row r="4651" spans="1:13" s="33" customFormat="true" ht="12.75" customHeight="true">
      <c r="A4651" s="33" t="str">
        <f t="shared" si="288"/>
        <v>EAL - Revenue</v>
      </c>
      <c r="B4651" s="33" t="str">
        <f t="shared" si="289"/>
        <v>EAL</v>
      </c>
      <c r="C4651" s="33" t="str">
        <f t="shared" si="290"/>
        <v>41130-0000</v>
      </c>
      <c r="D4651" s="64" t="s">
        <v>5656</v>
      </c>
      <c r="E4651" s="64" t="s">
        <v>3703</v>
      </c>
      <c r="F4651" s="64" t="s">
        <v>230</v>
      </c>
      <c r="G4651" s="64" t="s">
        <v>3694</v>
      </c>
      <c r="H4651" s="64" t="s">
        <v>2871</v>
      </c>
      <c r="I4651" s="64" t="s">
        <v>3704</v>
      </c>
      <c r="J4651" s="67">
        <v>0</v>
      </c>
      <c r="K4651" s="62">
        <v>0</v>
      </c>
      <c r="L4651" s="33" t="e">
        <f>HLOOKUP(B4651,#REF!,1,0)</f>
        <v>#REF!</v>
      </c>
      <c r="M4651" s="33" t="str">
        <f t="shared" si="291"/>
        <v>P&amp;L</v>
      </c>
    </row>
    <row r="4652" spans="1:13" s="33" customFormat="true" ht="12.75" customHeight="true">
      <c r="A4652" s="33" t="str">
        <f t="shared" si="288"/>
        <v>EAL - Revenue</v>
      </c>
      <c r="B4652" s="33" t="str">
        <f t="shared" si="289"/>
        <v>EAL</v>
      </c>
      <c r="C4652" s="33" t="str">
        <f t="shared" si="290"/>
        <v>41140-0000</v>
      </c>
      <c r="D4652" s="64" t="s">
        <v>5657</v>
      </c>
      <c r="E4652" s="64" t="s">
        <v>3706</v>
      </c>
      <c r="F4652" s="64" t="s">
        <v>230</v>
      </c>
      <c r="G4652" s="64" t="s">
        <v>3694</v>
      </c>
      <c r="H4652" s="64" t="s">
        <v>2871</v>
      </c>
      <c r="I4652" s="64" t="s">
        <v>3707</v>
      </c>
      <c r="J4652" s="67">
        <v>2365</v>
      </c>
      <c r="K4652" s="62">
        <v>13430</v>
      </c>
      <c r="L4652" s="33" t="e">
        <f>HLOOKUP(B4652,#REF!,1,0)</f>
        <v>#REF!</v>
      </c>
      <c r="M4652" s="33" t="str">
        <f t="shared" si="291"/>
        <v>P&amp;L</v>
      </c>
    </row>
    <row r="4653" spans="1:13" s="33" customFormat="true" ht="12.75" customHeight="true">
      <c r="A4653" s="33" t="str">
        <f t="shared" si="288"/>
        <v>EAL - Revenue</v>
      </c>
      <c r="B4653" s="33" t="str">
        <f t="shared" si="289"/>
        <v>EAL</v>
      </c>
      <c r="C4653" s="33" t="str">
        <f t="shared" si="290"/>
        <v>41150-0000</v>
      </c>
      <c r="D4653" s="64" t="s">
        <v>5658</v>
      </c>
      <c r="E4653" s="64" t="s">
        <v>3709</v>
      </c>
      <c r="F4653" s="64" t="s">
        <v>230</v>
      </c>
      <c r="G4653" s="64" t="s">
        <v>3694</v>
      </c>
      <c r="H4653" s="64" t="s">
        <v>2871</v>
      </c>
      <c r="I4653" s="64" t="s">
        <v>3710</v>
      </c>
      <c r="J4653" s="67">
        <v>2000</v>
      </c>
      <c r="K4653" s="62">
        <v>18000</v>
      </c>
      <c r="L4653" s="33" t="e">
        <f>HLOOKUP(B4653,#REF!,1,0)</f>
        <v>#REF!</v>
      </c>
      <c r="M4653" s="33" t="str">
        <f t="shared" si="291"/>
        <v>P&amp;L</v>
      </c>
    </row>
    <row r="4654" spans="1:13" s="33" customFormat="true" ht="12.75" customHeight="true">
      <c r="A4654" s="33" t="str">
        <f t="shared" si="288"/>
        <v>EAL - Revenue</v>
      </c>
      <c r="B4654" s="33" t="str">
        <f t="shared" si="289"/>
        <v>EAL</v>
      </c>
      <c r="C4654" s="33" t="str">
        <f t="shared" si="290"/>
        <v>41999-0000</v>
      </c>
      <c r="D4654" s="64" t="s">
        <v>5659</v>
      </c>
      <c r="E4654" s="64" t="s">
        <v>3712</v>
      </c>
      <c r="F4654" s="64" t="s">
        <v>230</v>
      </c>
      <c r="G4654" s="64" t="s">
        <v>3713</v>
      </c>
      <c r="H4654" s="64" t="s">
        <v>2871</v>
      </c>
      <c r="I4654" s="64" t="s">
        <v>3714</v>
      </c>
      <c r="J4654" s="67">
        <v>29310.54</v>
      </c>
      <c r="K4654" s="62">
        <v>326024.81</v>
      </c>
      <c r="L4654" s="33" t="e">
        <f>HLOOKUP(B4654,#REF!,1,0)</f>
        <v>#REF!</v>
      </c>
      <c r="M4654" s="33" t="str">
        <f t="shared" si="291"/>
        <v>P&amp;L</v>
      </c>
    </row>
    <row r="4655" spans="1:13" s="33" customFormat="true" ht="12.75" customHeight="true">
      <c r="A4655" s="33" t="str">
        <f t="shared" si="288"/>
        <v>EAL - Revenue</v>
      </c>
      <c r="B4655" s="33" t="str">
        <f t="shared" si="289"/>
        <v>EAL</v>
      </c>
      <c r="C4655" s="33" t="str">
        <f t="shared" si="290"/>
        <v>47400-0000</v>
      </c>
      <c r="D4655" s="64" t="s">
        <v>5660</v>
      </c>
      <c r="E4655" s="64" t="s">
        <v>3716</v>
      </c>
      <c r="F4655" s="64" t="s">
        <v>230</v>
      </c>
      <c r="G4655" s="64" t="s">
        <v>3717</v>
      </c>
      <c r="H4655" s="64" t="s">
        <v>2871</v>
      </c>
      <c r="I4655" s="64" t="s">
        <v>3718</v>
      </c>
      <c r="J4655" s="67">
        <v>-29310.54</v>
      </c>
      <c r="K4655" s="62">
        <v>-326086.17</v>
      </c>
      <c r="L4655" s="33" t="e">
        <f>HLOOKUP(B4655,#REF!,1,0)</f>
        <v>#REF!</v>
      </c>
      <c r="M4655" s="33" t="str">
        <f t="shared" si="291"/>
        <v>P&amp;L</v>
      </c>
    </row>
    <row r="4656" spans="1:13" s="33" customFormat="true" ht="12.75" customHeight="true">
      <c r="A4656" s="33" t="str">
        <f t="shared" si="288"/>
        <v>EAL - Revenue</v>
      </c>
      <c r="B4656" s="33" t="str">
        <f t="shared" si="289"/>
        <v>EAL</v>
      </c>
      <c r="C4656" s="33" t="str">
        <f t="shared" si="290"/>
        <v>47440-0000</v>
      </c>
      <c r="D4656" s="64" t="s">
        <v>5661</v>
      </c>
      <c r="E4656" s="64" t="s">
        <v>3720</v>
      </c>
      <c r="F4656" s="64" t="s">
        <v>230</v>
      </c>
      <c r="G4656" s="64" t="s">
        <v>3717</v>
      </c>
      <c r="H4656" s="64" t="s">
        <v>2871</v>
      </c>
      <c r="I4656" s="64" t="s">
        <v>3721</v>
      </c>
      <c r="J4656" s="67">
        <v>0</v>
      </c>
      <c r="K4656" s="62">
        <v>0</v>
      </c>
      <c r="L4656" s="33" t="e">
        <f>HLOOKUP(B4656,#REF!,1,0)</f>
        <v>#REF!</v>
      </c>
      <c r="M4656" s="33" t="str">
        <f t="shared" si="291"/>
        <v>P&amp;L</v>
      </c>
    </row>
    <row r="4657" spans="1:13" s="33" customFormat="true" ht="12.75" customHeight="true">
      <c r="A4657" s="33" t="str">
        <f t="shared" si="288"/>
        <v>EAL - Revenue</v>
      </c>
      <c r="B4657" s="33" t="str">
        <f t="shared" si="289"/>
        <v>EAL</v>
      </c>
      <c r="C4657" s="33" t="str">
        <f t="shared" si="290"/>
        <v>47450-0000</v>
      </c>
      <c r="D4657" s="64" t="s">
        <v>5662</v>
      </c>
      <c r="E4657" s="64" t="s">
        <v>3723</v>
      </c>
      <c r="F4657" s="64" t="s">
        <v>230</v>
      </c>
      <c r="G4657" s="64" t="s">
        <v>3717</v>
      </c>
      <c r="H4657" s="64" t="s">
        <v>2871</v>
      </c>
      <c r="I4657" s="64" t="s">
        <v>3724</v>
      </c>
      <c r="J4657" s="67">
        <v>-500</v>
      </c>
      <c r="K4657" s="62">
        <v>-4500</v>
      </c>
      <c r="L4657" s="33" t="e">
        <f>HLOOKUP(B4657,#REF!,1,0)</f>
        <v>#REF!</v>
      </c>
      <c r="M4657" s="33" t="str">
        <f t="shared" si="291"/>
        <v>P&amp;L</v>
      </c>
    </row>
    <row r="4658" spans="1:13" s="33" customFormat="true" ht="12.75" customHeight="true">
      <c r="A4658" s="33" t="str">
        <f t="shared" si="288"/>
        <v>EAL - Revenue</v>
      </c>
      <c r="B4658" s="33" t="str">
        <f t="shared" si="289"/>
        <v>EAL</v>
      </c>
      <c r="C4658" s="33" t="str">
        <f t="shared" si="290"/>
        <v>47460-0000</v>
      </c>
      <c r="D4658" s="64" t="s">
        <v>5663</v>
      </c>
      <c r="E4658" s="64" t="s">
        <v>3726</v>
      </c>
      <c r="F4658" s="64" t="s">
        <v>230</v>
      </c>
      <c r="G4658" s="64" t="s">
        <v>3717</v>
      </c>
      <c r="H4658" s="64" t="s">
        <v>2871</v>
      </c>
      <c r="I4658" s="64" t="s">
        <v>3727</v>
      </c>
      <c r="J4658" s="67">
        <v>0</v>
      </c>
      <c r="K4658" s="62">
        <v>-25</v>
      </c>
      <c r="L4658" s="33" t="e">
        <f>HLOOKUP(B4658,#REF!,1,0)</f>
        <v>#REF!</v>
      </c>
      <c r="M4658" s="33" t="str">
        <f t="shared" si="291"/>
        <v>P&amp;L</v>
      </c>
    </row>
    <row r="4659" spans="1:13" s="33" customFormat="true" ht="12.75" customHeight="true">
      <c r="A4659" s="33" t="str">
        <f t="shared" si="288"/>
        <v>EAL - Revenue</v>
      </c>
      <c r="B4659" s="33" t="str">
        <f t="shared" si="289"/>
        <v>EAL</v>
      </c>
      <c r="C4659" s="33" t="str">
        <f t="shared" si="290"/>
        <v>47480-0000</v>
      </c>
      <c r="D4659" s="64" t="s">
        <v>5664</v>
      </c>
      <c r="E4659" s="64" t="s">
        <v>3729</v>
      </c>
      <c r="F4659" s="64" t="s">
        <v>230</v>
      </c>
      <c r="G4659" s="64" t="s">
        <v>3717</v>
      </c>
      <c r="H4659" s="64" t="s">
        <v>2871</v>
      </c>
      <c r="I4659" s="64" t="s">
        <v>3721</v>
      </c>
      <c r="J4659" s="67">
        <v>0</v>
      </c>
      <c r="K4659" s="62">
        <v>-135</v>
      </c>
      <c r="L4659" s="33" t="e">
        <f>HLOOKUP(B4659,#REF!,1,0)</f>
        <v>#REF!</v>
      </c>
      <c r="M4659" s="33" t="str">
        <f t="shared" si="291"/>
        <v>P&amp;L</v>
      </c>
    </row>
    <row r="4660" spans="1:13" s="33" customFormat="true" ht="12.75" customHeight="true">
      <c r="A4660" s="33" t="str">
        <f t="shared" si="288"/>
        <v>EAL - Revenue</v>
      </c>
      <c r="B4660" s="33" t="str">
        <f t="shared" si="289"/>
        <v>EAL</v>
      </c>
      <c r="C4660" s="33" t="str">
        <f t="shared" si="290"/>
        <v>47490-0000</v>
      </c>
      <c r="D4660" s="64" t="s">
        <v>5665</v>
      </c>
      <c r="E4660" s="64" t="s">
        <v>3731</v>
      </c>
      <c r="F4660" s="64" t="s">
        <v>230</v>
      </c>
      <c r="G4660" s="64" t="s">
        <v>3717</v>
      </c>
      <c r="H4660" s="64" t="s">
        <v>2871</v>
      </c>
      <c r="I4660" s="64" t="s">
        <v>3721</v>
      </c>
      <c r="J4660" s="67">
        <v>0</v>
      </c>
      <c r="K4660" s="62">
        <v>0</v>
      </c>
      <c r="L4660" s="33" t="e">
        <f>HLOOKUP(B4660,#REF!,1,0)</f>
        <v>#REF!</v>
      </c>
      <c r="M4660" s="33" t="str">
        <f t="shared" si="291"/>
        <v>P&amp;L</v>
      </c>
    </row>
    <row r="4661" spans="1:13" s="33" customFormat="true" ht="12.75" customHeight="true">
      <c r="A4661" s="33" t="str">
        <f t="shared" si="288"/>
        <v>EAL - Revenue</v>
      </c>
      <c r="B4661" s="33" t="str">
        <f t="shared" si="289"/>
        <v>EAL</v>
      </c>
      <c r="C4661" s="33" t="str">
        <f t="shared" si="290"/>
        <v>47492-0000</v>
      </c>
      <c r="D4661" s="64" t="s">
        <v>5666</v>
      </c>
      <c r="E4661" s="64" t="s">
        <v>3736</v>
      </c>
      <c r="F4661" s="64" t="s">
        <v>230</v>
      </c>
      <c r="G4661" s="64" t="s">
        <v>3717</v>
      </c>
      <c r="H4661" s="64" t="s">
        <v>2871</v>
      </c>
      <c r="I4661" s="64" t="s">
        <v>3737</v>
      </c>
      <c r="J4661" s="67">
        <v>-90.55</v>
      </c>
      <c r="K4661" s="62">
        <v>-675</v>
      </c>
      <c r="L4661" s="33" t="e">
        <f>HLOOKUP(B4661,#REF!,1,0)</f>
        <v>#REF!</v>
      </c>
      <c r="M4661" s="33" t="str">
        <f t="shared" si="291"/>
        <v>P&amp;L</v>
      </c>
    </row>
    <row r="4662" spans="1:13" s="33" customFormat="true" ht="12.75" customHeight="true">
      <c r="A4662" s="33" t="str">
        <f t="shared" si="288"/>
        <v>EAL - CGS</v>
      </c>
      <c r="B4662" s="33" t="str">
        <f t="shared" si="289"/>
        <v>EAL</v>
      </c>
      <c r="C4662" s="33" t="str">
        <f t="shared" si="290"/>
        <v>51006-0000</v>
      </c>
      <c r="D4662" s="64" t="s">
        <v>5667</v>
      </c>
      <c r="E4662" s="64" t="s">
        <v>3739</v>
      </c>
      <c r="F4662" s="64" t="s">
        <v>230</v>
      </c>
      <c r="G4662" s="64" t="s">
        <v>3740</v>
      </c>
      <c r="H4662" s="64" t="s">
        <v>1875</v>
      </c>
      <c r="I4662" s="64" t="s">
        <v>3741</v>
      </c>
      <c r="J4662" s="67">
        <v>0</v>
      </c>
      <c r="K4662" s="62">
        <v>4607.67</v>
      </c>
      <c r="L4662" s="33" t="e">
        <f>HLOOKUP(B4662,#REF!,1,0)</f>
        <v>#REF!</v>
      </c>
      <c r="M4662" s="33" t="str">
        <f t="shared" si="291"/>
        <v>P&amp;L</v>
      </c>
    </row>
    <row r="4663" spans="1:13" s="33" customFormat="true" ht="12.75" customHeight="true">
      <c r="A4663" s="33" t="str">
        <f t="shared" si="288"/>
        <v>EAL - CGS</v>
      </c>
      <c r="B4663" s="33" t="str">
        <f t="shared" si="289"/>
        <v>EAL</v>
      </c>
      <c r="C4663" s="33" t="str">
        <f t="shared" si="290"/>
        <v>51008-0000</v>
      </c>
      <c r="D4663" s="64" t="s">
        <v>5668</v>
      </c>
      <c r="E4663" s="64" t="s">
        <v>3743</v>
      </c>
      <c r="F4663" s="64" t="s">
        <v>230</v>
      </c>
      <c r="G4663" s="64" t="s">
        <v>3740</v>
      </c>
      <c r="H4663" s="64" t="s">
        <v>1875</v>
      </c>
      <c r="I4663" s="64" t="s">
        <v>3744</v>
      </c>
      <c r="J4663" s="67">
        <v>0</v>
      </c>
      <c r="K4663" s="62">
        <v>1277.76</v>
      </c>
      <c r="L4663" s="33" t="e">
        <f>HLOOKUP(B4663,#REF!,1,0)</f>
        <v>#REF!</v>
      </c>
      <c r="M4663" s="33" t="str">
        <f t="shared" si="291"/>
        <v>P&amp;L</v>
      </c>
    </row>
    <row r="4664" spans="1:13" s="33" customFormat="true" ht="12.75" customHeight="true">
      <c r="A4664" s="33" t="str">
        <f t="shared" si="288"/>
        <v>EAL - CGS</v>
      </c>
      <c r="B4664" s="33" t="str">
        <f t="shared" si="289"/>
        <v>EAL</v>
      </c>
      <c r="C4664" s="33" t="str">
        <f t="shared" si="290"/>
        <v>51009-0000</v>
      </c>
      <c r="D4664" s="64" t="s">
        <v>5669</v>
      </c>
      <c r="E4664" s="64" t="s">
        <v>3746</v>
      </c>
      <c r="F4664" s="64" t="s">
        <v>230</v>
      </c>
      <c r="G4664" s="64" t="s">
        <v>3740</v>
      </c>
      <c r="H4664" s="64" t="s">
        <v>1875</v>
      </c>
      <c r="I4664" s="64" t="s">
        <v>3747</v>
      </c>
      <c r="J4664" s="67">
        <v>0</v>
      </c>
      <c r="K4664" s="62">
        <v>142.86</v>
      </c>
      <c r="L4664" s="33" t="e">
        <f>HLOOKUP(B4664,#REF!,1,0)</f>
        <v>#REF!</v>
      </c>
      <c r="M4664" s="33" t="str">
        <f t="shared" si="291"/>
        <v>P&amp;L</v>
      </c>
    </row>
    <row r="4665" spans="1:13" s="33" customFormat="true" ht="12.75" customHeight="true">
      <c r="A4665" s="33" t="str">
        <f t="shared" si="288"/>
        <v>EAL - CGS</v>
      </c>
      <c r="B4665" s="33" t="str">
        <f t="shared" si="289"/>
        <v>EAL</v>
      </c>
      <c r="C4665" s="33" t="str">
        <f t="shared" si="290"/>
        <v>51011-0000</v>
      </c>
      <c r="D4665" s="64" t="s">
        <v>5670</v>
      </c>
      <c r="E4665" s="64" t="s">
        <v>3749</v>
      </c>
      <c r="F4665" s="64" t="s">
        <v>230</v>
      </c>
      <c r="G4665" s="64" t="s">
        <v>3740</v>
      </c>
      <c r="H4665" s="64" t="s">
        <v>1875</v>
      </c>
      <c r="I4665" s="64" t="s">
        <v>3750</v>
      </c>
      <c r="J4665" s="67">
        <v>350</v>
      </c>
      <c r="K4665" s="62">
        <v>3212.5</v>
      </c>
      <c r="L4665" s="33" t="e">
        <f>HLOOKUP(B4665,#REF!,1,0)</f>
        <v>#REF!</v>
      </c>
      <c r="M4665" s="33" t="str">
        <f t="shared" si="291"/>
        <v>P&amp;L</v>
      </c>
    </row>
    <row r="4666" spans="1:13" s="33" customFormat="true" ht="12.75" customHeight="true">
      <c r="A4666" s="33" t="str">
        <f t="shared" si="288"/>
        <v>EAL - CGS</v>
      </c>
      <c r="B4666" s="33" t="str">
        <f t="shared" si="289"/>
        <v>EAL</v>
      </c>
      <c r="C4666" s="33" t="str">
        <f t="shared" si="290"/>
        <v>51012-0000</v>
      </c>
      <c r="D4666" s="64" t="s">
        <v>5671</v>
      </c>
      <c r="E4666" s="64" t="s">
        <v>3752</v>
      </c>
      <c r="F4666" s="64" t="s">
        <v>230</v>
      </c>
      <c r="G4666" s="64" t="s">
        <v>3740</v>
      </c>
      <c r="H4666" s="64" t="s">
        <v>1875</v>
      </c>
      <c r="I4666" s="64" t="s">
        <v>3753</v>
      </c>
      <c r="J4666" s="67">
        <v>0</v>
      </c>
      <c r="K4666" s="62">
        <v>195</v>
      </c>
      <c r="L4666" s="33" t="e">
        <f>HLOOKUP(B4666,#REF!,1,0)</f>
        <v>#REF!</v>
      </c>
      <c r="M4666" s="33" t="str">
        <f t="shared" si="291"/>
        <v>P&amp;L</v>
      </c>
    </row>
    <row r="4667" spans="1:13" s="33" customFormat="true" ht="12.75" customHeight="true">
      <c r="A4667" s="33" t="str">
        <f t="shared" si="288"/>
        <v>EAL - CGS</v>
      </c>
      <c r="B4667" s="33" t="str">
        <f t="shared" si="289"/>
        <v>EAL</v>
      </c>
      <c r="C4667" s="33" t="str">
        <f t="shared" si="290"/>
        <v>51015-0000</v>
      </c>
      <c r="D4667" s="64" t="s">
        <v>5672</v>
      </c>
      <c r="E4667" s="64" t="s">
        <v>3755</v>
      </c>
      <c r="F4667" s="64" t="s">
        <v>230</v>
      </c>
      <c r="G4667" s="64" t="s">
        <v>3740</v>
      </c>
      <c r="H4667" s="64" t="s">
        <v>1875</v>
      </c>
      <c r="I4667" s="64" t="s">
        <v>3756</v>
      </c>
      <c r="J4667" s="67">
        <v>0</v>
      </c>
      <c r="K4667" s="62">
        <v>100.56</v>
      </c>
      <c r="L4667" s="33" t="e">
        <f>HLOOKUP(B4667,#REF!,1,0)</f>
        <v>#REF!</v>
      </c>
      <c r="M4667" s="33" t="str">
        <f t="shared" si="291"/>
        <v>P&amp;L</v>
      </c>
    </row>
    <row r="4668" spans="1:13" s="33" customFormat="true" ht="12.75" customHeight="true">
      <c r="A4668" s="33" t="str">
        <f t="shared" si="288"/>
        <v>EAL - CGS</v>
      </c>
      <c r="B4668" s="33" t="str">
        <f t="shared" si="289"/>
        <v>EAL</v>
      </c>
      <c r="C4668" s="33" t="str">
        <f t="shared" si="290"/>
        <v>51020-0000</v>
      </c>
      <c r="D4668" s="64" t="s">
        <v>5673</v>
      </c>
      <c r="E4668" s="64" t="s">
        <v>3763</v>
      </c>
      <c r="F4668" s="64" t="s">
        <v>230</v>
      </c>
      <c r="G4668" s="64" t="s">
        <v>3740</v>
      </c>
      <c r="H4668" s="64" t="s">
        <v>1875</v>
      </c>
      <c r="I4668" s="64" t="s">
        <v>3345</v>
      </c>
      <c r="J4668" s="67">
        <v>0</v>
      </c>
      <c r="K4668" s="62">
        <v>0</v>
      </c>
      <c r="L4668" s="33" t="e">
        <f>HLOOKUP(B4668,#REF!,1,0)</f>
        <v>#REF!</v>
      </c>
      <c r="M4668" s="33" t="str">
        <f t="shared" si="291"/>
        <v>P&amp;L</v>
      </c>
    </row>
    <row r="4669" spans="1:13" s="33" customFormat="true" ht="12.75" customHeight="true">
      <c r="A4669" s="33" t="str">
        <f t="shared" si="288"/>
        <v>EAL - CGS</v>
      </c>
      <c r="B4669" s="33" t="str">
        <f t="shared" si="289"/>
        <v>EAL</v>
      </c>
      <c r="C4669" s="33" t="str">
        <f t="shared" si="290"/>
        <v>51025-0000</v>
      </c>
      <c r="D4669" s="64" t="s">
        <v>5674</v>
      </c>
      <c r="E4669" s="64" t="s">
        <v>3988</v>
      </c>
      <c r="F4669" s="64" t="s">
        <v>230</v>
      </c>
      <c r="G4669" s="64" t="s">
        <v>3740</v>
      </c>
      <c r="H4669" s="64" t="s">
        <v>1875</v>
      </c>
      <c r="I4669" s="64" t="s">
        <v>3989</v>
      </c>
      <c r="J4669" s="67">
        <v>312.21</v>
      </c>
      <c r="K4669" s="62">
        <v>2851.23</v>
      </c>
      <c r="L4669" s="33" t="e">
        <f>HLOOKUP(B4669,#REF!,1,0)</f>
        <v>#REF!</v>
      </c>
      <c r="M4669" s="33" t="str">
        <f t="shared" si="291"/>
        <v>P&amp;L</v>
      </c>
    </row>
    <row r="4670" spans="1:13" s="33" customFormat="true" ht="12.75" customHeight="true">
      <c r="A4670" s="33" t="str">
        <f t="shared" si="288"/>
        <v>EAL - CGS</v>
      </c>
      <c r="B4670" s="33" t="str">
        <f t="shared" si="289"/>
        <v>EAL</v>
      </c>
      <c r="C4670" s="33" t="str">
        <f t="shared" si="290"/>
        <v>51029-0000</v>
      </c>
      <c r="D4670" s="64" t="s">
        <v>5675</v>
      </c>
      <c r="E4670" s="64" t="s">
        <v>3993</v>
      </c>
      <c r="F4670" s="64" t="s">
        <v>230</v>
      </c>
      <c r="G4670" s="64" t="s">
        <v>3740</v>
      </c>
      <c r="H4670" s="64" t="s">
        <v>1875</v>
      </c>
      <c r="I4670" s="64" t="s">
        <v>3994</v>
      </c>
      <c r="J4670" s="67">
        <v>305.83</v>
      </c>
      <c r="K4670" s="62">
        <v>611.66</v>
      </c>
      <c r="L4670" s="33" t="e">
        <f>HLOOKUP(B4670,#REF!,1,0)</f>
        <v>#REF!</v>
      </c>
      <c r="M4670" s="33" t="str">
        <f t="shared" si="291"/>
        <v>P&amp;L</v>
      </c>
    </row>
    <row r="4671" spans="1:13" s="33" customFormat="true" ht="12.75" customHeight="true">
      <c r="A4671" s="33" t="str">
        <f t="shared" si="288"/>
        <v>EAL - CGS</v>
      </c>
      <c r="B4671" s="33" t="str">
        <f t="shared" si="289"/>
        <v>EAL</v>
      </c>
      <c r="C4671" s="33" t="str">
        <f t="shared" si="290"/>
        <v>52001-0000</v>
      </c>
      <c r="D4671" s="64" t="s">
        <v>5676</v>
      </c>
      <c r="E4671" s="64" t="s">
        <v>3768</v>
      </c>
      <c r="F4671" s="64" t="s">
        <v>230</v>
      </c>
      <c r="G4671" s="64" t="s">
        <v>3769</v>
      </c>
      <c r="H4671" s="64" t="s">
        <v>1875</v>
      </c>
      <c r="I4671" s="64" t="s">
        <v>3770</v>
      </c>
      <c r="J4671" s="67">
        <v>0</v>
      </c>
      <c r="K4671" s="62">
        <v>110.47</v>
      </c>
      <c r="L4671" s="33" t="e">
        <f>HLOOKUP(B4671,#REF!,1,0)</f>
        <v>#REF!</v>
      </c>
      <c r="M4671" s="33" t="str">
        <f t="shared" si="291"/>
        <v>P&amp;L</v>
      </c>
    </row>
    <row r="4672" spans="1:13" s="33" customFormat="true" ht="12.75" customHeight="true">
      <c r="A4672" s="33" t="str">
        <f t="shared" si="288"/>
        <v>EAL - CGS</v>
      </c>
      <c r="B4672" s="33" t="str">
        <f t="shared" si="289"/>
        <v>EAL</v>
      </c>
      <c r="C4672" s="33" t="str">
        <f t="shared" si="290"/>
        <v>52003-0000</v>
      </c>
      <c r="D4672" s="64" t="s">
        <v>5677</v>
      </c>
      <c r="E4672" s="64" t="s">
        <v>3772</v>
      </c>
      <c r="F4672" s="64" t="s">
        <v>230</v>
      </c>
      <c r="G4672" s="64" t="s">
        <v>3769</v>
      </c>
      <c r="H4672" s="64" t="s">
        <v>1875</v>
      </c>
      <c r="I4672" s="64" t="s">
        <v>3773</v>
      </c>
      <c r="J4672" s="67">
        <v>0</v>
      </c>
      <c r="K4672" s="62">
        <v>88</v>
      </c>
      <c r="L4672" s="33" t="e">
        <f>HLOOKUP(B4672,#REF!,1,0)</f>
        <v>#REF!</v>
      </c>
      <c r="M4672" s="33" t="str">
        <f t="shared" si="291"/>
        <v>P&amp;L</v>
      </c>
    </row>
    <row r="4673" spans="1:13" s="33" customFormat="true" ht="12.75" customHeight="true">
      <c r="A4673" s="33" t="str">
        <f t="shared" si="288"/>
        <v>EAL - CGS</v>
      </c>
      <c r="B4673" s="33" t="str">
        <f t="shared" si="289"/>
        <v>EAL</v>
      </c>
      <c r="C4673" s="33" t="str">
        <f t="shared" si="290"/>
        <v>52006-0000</v>
      </c>
      <c r="D4673" s="64" t="s">
        <v>5678</v>
      </c>
      <c r="E4673" s="64" t="s">
        <v>3778</v>
      </c>
      <c r="F4673" s="64" t="s">
        <v>230</v>
      </c>
      <c r="G4673" s="64" t="s">
        <v>3769</v>
      </c>
      <c r="H4673" s="64" t="s">
        <v>1875</v>
      </c>
      <c r="I4673" s="64" t="s">
        <v>3779</v>
      </c>
      <c r="J4673" s="67">
        <v>0</v>
      </c>
      <c r="K4673" s="62">
        <v>636.39</v>
      </c>
      <c r="L4673" s="33" t="e">
        <f>HLOOKUP(B4673,#REF!,1,0)</f>
        <v>#REF!</v>
      </c>
      <c r="M4673" s="33" t="str">
        <f t="shared" si="291"/>
        <v>P&amp;L</v>
      </c>
    </row>
    <row r="4674" spans="1:13" s="33" customFormat="true" ht="12.75" customHeight="true">
      <c r="A4674" s="33" t="str">
        <f t="shared" ref="A4674:A4737" si="292">B4674&amp;" - "&amp;TRIM(H4674)</f>
        <v>EAL - CGS</v>
      </c>
      <c r="B4674" s="33" t="str">
        <f t="shared" ref="B4674:B4737" si="293">LEFT(D4674,3)</f>
        <v>EAL</v>
      </c>
      <c r="C4674" s="33" t="str">
        <f t="shared" ref="C4674:C4737" si="294">RIGHT(D4674,10)</f>
        <v>53001-0000</v>
      </c>
      <c r="D4674" s="64" t="s">
        <v>5679</v>
      </c>
      <c r="E4674" s="64" t="s">
        <v>3781</v>
      </c>
      <c r="F4674" s="64" t="s">
        <v>230</v>
      </c>
      <c r="G4674" s="64" t="s">
        <v>3160</v>
      </c>
      <c r="H4674" s="64" t="s">
        <v>1875</v>
      </c>
      <c r="I4674" s="64" t="s">
        <v>3782</v>
      </c>
      <c r="J4674" s="67">
        <v>100</v>
      </c>
      <c r="K4674" s="62">
        <v>1025</v>
      </c>
      <c r="L4674" s="33" t="e">
        <f>HLOOKUP(B4674,#REF!,1,0)</f>
        <v>#REF!</v>
      </c>
      <c r="M4674" s="33" t="str">
        <f t="shared" ref="M4674:M4737" si="295">IF(VALUE(LEFT(C4674,5))&gt;40000,"P&amp;L","BS")</f>
        <v>P&amp;L</v>
      </c>
    </row>
    <row r="4675" spans="1:13" s="33" customFormat="true" ht="12.75" customHeight="true">
      <c r="A4675" s="33" t="str">
        <f t="shared" si="292"/>
        <v>EAL - CGS</v>
      </c>
      <c r="B4675" s="33" t="str">
        <f t="shared" si="293"/>
        <v>EAL</v>
      </c>
      <c r="C4675" s="33" t="str">
        <f t="shared" si="294"/>
        <v>53002-0000</v>
      </c>
      <c r="D4675" s="64" t="s">
        <v>5680</v>
      </c>
      <c r="E4675" s="64" t="s">
        <v>3784</v>
      </c>
      <c r="F4675" s="64" t="s">
        <v>230</v>
      </c>
      <c r="G4675" s="64" t="s">
        <v>3160</v>
      </c>
      <c r="H4675" s="64" t="s">
        <v>1875</v>
      </c>
      <c r="I4675" s="64" t="s">
        <v>3785</v>
      </c>
      <c r="J4675" s="67">
        <v>28.76</v>
      </c>
      <c r="K4675" s="62">
        <v>191.05</v>
      </c>
      <c r="L4675" s="33" t="e">
        <f>HLOOKUP(B4675,#REF!,1,0)</f>
        <v>#REF!</v>
      </c>
      <c r="M4675" s="33" t="str">
        <f t="shared" si="295"/>
        <v>P&amp;L</v>
      </c>
    </row>
    <row r="4676" spans="1:13" s="33" customFormat="true" ht="12.75" customHeight="true">
      <c r="A4676" s="33" t="str">
        <f t="shared" si="292"/>
        <v>EAL - CGS</v>
      </c>
      <c r="B4676" s="33" t="str">
        <f t="shared" si="293"/>
        <v>EAL</v>
      </c>
      <c r="C4676" s="33" t="str">
        <f t="shared" si="294"/>
        <v>53003-0000</v>
      </c>
      <c r="D4676" s="64" t="s">
        <v>5681</v>
      </c>
      <c r="E4676" s="64" t="s">
        <v>3787</v>
      </c>
      <c r="F4676" s="64" t="s">
        <v>230</v>
      </c>
      <c r="G4676" s="64" t="s">
        <v>3160</v>
      </c>
      <c r="H4676" s="64" t="s">
        <v>1875</v>
      </c>
      <c r="I4676" s="64" t="s">
        <v>3788</v>
      </c>
      <c r="J4676" s="67">
        <v>87.59</v>
      </c>
      <c r="K4676" s="62">
        <v>1167.7</v>
      </c>
      <c r="L4676" s="33" t="e">
        <f>HLOOKUP(B4676,#REF!,1,0)</f>
        <v>#REF!</v>
      </c>
      <c r="M4676" s="33" t="str">
        <f t="shared" si="295"/>
        <v>P&amp;L</v>
      </c>
    </row>
    <row r="4677" spans="1:13" s="33" customFormat="true" ht="12.75" customHeight="true">
      <c r="A4677" s="33" t="str">
        <f t="shared" si="292"/>
        <v>EAL - CGS</v>
      </c>
      <c r="B4677" s="33" t="str">
        <f t="shared" si="293"/>
        <v>EAL</v>
      </c>
      <c r="C4677" s="33" t="str">
        <f t="shared" si="294"/>
        <v>53004-0000</v>
      </c>
      <c r="D4677" s="64" t="s">
        <v>5682</v>
      </c>
      <c r="E4677" s="64" t="s">
        <v>3790</v>
      </c>
      <c r="F4677" s="64" t="s">
        <v>230</v>
      </c>
      <c r="G4677" s="64" t="s">
        <v>3160</v>
      </c>
      <c r="H4677" s="64" t="s">
        <v>1875</v>
      </c>
      <c r="I4677" s="64" t="s">
        <v>3791</v>
      </c>
      <c r="J4677" s="67">
        <v>337.98</v>
      </c>
      <c r="K4677" s="62">
        <v>3494.98</v>
      </c>
      <c r="L4677" s="33" t="e">
        <f>HLOOKUP(B4677,#REF!,1,0)</f>
        <v>#REF!</v>
      </c>
      <c r="M4677" s="33" t="str">
        <f t="shared" si="295"/>
        <v>P&amp;L</v>
      </c>
    </row>
    <row r="4678" spans="1:13" s="33" customFormat="true" ht="12.75" customHeight="true">
      <c r="A4678" s="33" t="str">
        <f t="shared" si="292"/>
        <v>EAL - CGS</v>
      </c>
      <c r="B4678" s="33" t="str">
        <f t="shared" si="293"/>
        <v>EAL</v>
      </c>
      <c r="C4678" s="33" t="str">
        <f t="shared" si="294"/>
        <v>53005-0000</v>
      </c>
      <c r="D4678" s="64" t="s">
        <v>5683</v>
      </c>
      <c r="E4678" s="64" t="s">
        <v>3793</v>
      </c>
      <c r="F4678" s="64" t="s">
        <v>230</v>
      </c>
      <c r="G4678" s="64" t="s">
        <v>3160</v>
      </c>
      <c r="H4678" s="64" t="s">
        <v>1875</v>
      </c>
      <c r="I4678" s="64" t="s">
        <v>3794</v>
      </c>
      <c r="J4678" s="67">
        <v>56.93</v>
      </c>
      <c r="K4678" s="62">
        <v>391.11</v>
      </c>
      <c r="L4678" s="33" t="e">
        <f>HLOOKUP(B4678,#REF!,1,0)</f>
        <v>#REF!</v>
      </c>
      <c r="M4678" s="33" t="str">
        <f t="shared" si="295"/>
        <v>P&amp;L</v>
      </c>
    </row>
    <row r="4679" spans="1:13" s="33" customFormat="true" ht="12.75" customHeight="true">
      <c r="A4679" s="33" t="str">
        <f t="shared" si="292"/>
        <v>EAL - CGS</v>
      </c>
      <c r="B4679" s="33" t="str">
        <f t="shared" si="293"/>
        <v>EAL</v>
      </c>
      <c r="C4679" s="33" t="str">
        <f t="shared" si="294"/>
        <v>53006-0000</v>
      </c>
      <c r="D4679" s="64" t="s">
        <v>5684</v>
      </c>
      <c r="E4679" s="64" t="s">
        <v>3796</v>
      </c>
      <c r="F4679" s="64" t="s">
        <v>230</v>
      </c>
      <c r="G4679" s="64" t="s">
        <v>3160</v>
      </c>
      <c r="H4679" s="64" t="s">
        <v>1875</v>
      </c>
      <c r="I4679" s="64" t="s">
        <v>3797</v>
      </c>
      <c r="J4679" s="67">
        <v>345.01</v>
      </c>
      <c r="K4679" s="62">
        <v>3101.36</v>
      </c>
      <c r="L4679" s="33" t="e">
        <f>HLOOKUP(B4679,#REF!,1,0)</f>
        <v>#REF!</v>
      </c>
      <c r="M4679" s="33" t="str">
        <f t="shared" si="295"/>
        <v>P&amp;L</v>
      </c>
    </row>
    <row r="4680" spans="1:13" s="33" customFormat="true" ht="12.75" customHeight="true">
      <c r="A4680" s="33" t="str">
        <f t="shared" si="292"/>
        <v>EAL - CGS</v>
      </c>
      <c r="B4680" s="33" t="str">
        <f t="shared" si="293"/>
        <v>EAL</v>
      </c>
      <c r="C4680" s="33" t="str">
        <f t="shared" si="294"/>
        <v>54001-0000</v>
      </c>
      <c r="D4680" s="64" t="s">
        <v>5685</v>
      </c>
      <c r="E4680" s="64" t="s">
        <v>4008</v>
      </c>
      <c r="F4680" s="64" t="s">
        <v>230</v>
      </c>
      <c r="G4680" s="64" t="s">
        <v>3800</v>
      </c>
      <c r="H4680" s="64" t="s">
        <v>1875</v>
      </c>
      <c r="I4680" s="64" t="s">
        <v>4009</v>
      </c>
      <c r="J4680" s="67">
        <v>-66.56</v>
      </c>
      <c r="K4680" s="62">
        <v>-299.52</v>
      </c>
      <c r="L4680" s="33" t="e">
        <f>HLOOKUP(B4680,#REF!,1,0)</f>
        <v>#REF!</v>
      </c>
      <c r="M4680" s="33" t="str">
        <f t="shared" si="295"/>
        <v>P&amp;L</v>
      </c>
    </row>
    <row r="4681" spans="1:13" s="33" customFormat="true" ht="12.75" customHeight="true">
      <c r="A4681" s="33" t="str">
        <f t="shared" si="292"/>
        <v>EAL - CGS</v>
      </c>
      <c r="B4681" s="33" t="str">
        <f t="shared" si="293"/>
        <v>EAL</v>
      </c>
      <c r="C4681" s="33" t="str">
        <f t="shared" si="294"/>
        <v>54002-0000</v>
      </c>
      <c r="D4681" s="64" t="s">
        <v>5686</v>
      </c>
      <c r="E4681" s="64" t="s">
        <v>3799</v>
      </c>
      <c r="F4681" s="64" t="s">
        <v>230</v>
      </c>
      <c r="G4681" s="64" t="s">
        <v>3800</v>
      </c>
      <c r="H4681" s="64" t="s">
        <v>1875</v>
      </c>
      <c r="I4681" s="64" t="s">
        <v>3801</v>
      </c>
      <c r="J4681" s="67">
        <v>0</v>
      </c>
      <c r="K4681" s="62">
        <v>3694</v>
      </c>
      <c r="L4681" s="33" t="e">
        <f>HLOOKUP(B4681,#REF!,1,0)</f>
        <v>#REF!</v>
      </c>
      <c r="M4681" s="33" t="str">
        <f t="shared" si="295"/>
        <v>P&amp;L</v>
      </c>
    </row>
    <row r="4682" spans="1:13" s="33" customFormat="true" ht="12.75" customHeight="true">
      <c r="A4682" s="33" t="str">
        <f t="shared" si="292"/>
        <v>EAL - CGS</v>
      </c>
      <c r="B4682" s="33" t="str">
        <f t="shared" si="293"/>
        <v>EAL</v>
      </c>
      <c r="C4682" s="33" t="str">
        <f t="shared" si="294"/>
        <v>54003-0000</v>
      </c>
      <c r="D4682" s="64" t="s">
        <v>5687</v>
      </c>
      <c r="E4682" s="64" t="s">
        <v>3803</v>
      </c>
      <c r="F4682" s="64" t="s">
        <v>230</v>
      </c>
      <c r="G4682" s="64" t="s">
        <v>3800</v>
      </c>
      <c r="H4682" s="64" t="s">
        <v>1875</v>
      </c>
      <c r="I4682" s="64" t="s">
        <v>3804</v>
      </c>
      <c r="J4682" s="67">
        <v>0</v>
      </c>
      <c r="K4682" s="62">
        <v>0</v>
      </c>
      <c r="L4682" s="33" t="e">
        <f>HLOOKUP(B4682,#REF!,1,0)</f>
        <v>#REF!</v>
      </c>
      <c r="M4682" s="33" t="str">
        <f t="shared" si="295"/>
        <v>P&amp;L</v>
      </c>
    </row>
    <row r="4683" spans="1:13" s="33" customFormat="true" ht="12.75" customHeight="true">
      <c r="A4683" s="33" t="str">
        <f t="shared" si="292"/>
        <v>EAL - CGS</v>
      </c>
      <c r="B4683" s="33" t="str">
        <f t="shared" si="293"/>
        <v>EAL</v>
      </c>
      <c r="C4683" s="33" t="str">
        <f t="shared" si="294"/>
        <v>54004-0000</v>
      </c>
      <c r="D4683" s="64" t="s">
        <v>5688</v>
      </c>
      <c r="E4683" s="64" t="s">
        <v>3806</v>
      </c>
      <c r="F4683" s="64" t="s">
        <v>230</v>
      </c>
      <c r="G4683" s="64" t="s">
        <v>3800</v>
      </c>
      <c r="H4683" s="64" t="s">
        <v>1875</v>
      </c>
      <c r="I4683" s="64" t="s">
        <v>3807</v>
      </c>
      <c r="J4683" s="67">
        <v>1500</v>
      </c>
      <c r="K4683" s="62">
        <v>15750</v>
      </c>
      <c r="L4683" s="33" t="e">
        <f>HLOOKUP(B4683,#REF!,1,0)</f>
        <v>#REF!</v>
      </c>
      <c r="M4683" s="33" t="str">
        <f t="shared" si="295"/>
        <v>P&amp;L</v>
      </c>
    </row>
    <row r="4684" spans="1:13" s="33" customFormat="true" ht="12.75" customHeight="true">
      <c r="A4684" s="33" t="str">
        <f t="shared" si="292"/>
        <v>EAL - CGS</v>
      </c>
      <c r="B4684" s="33" t="str">
        <f t="shared" si="293"/>
        <v>EAL</v>
      </c>
      <c r="C4684" s="33" t="str">
        <f t="shared" si="294"/>
        <v>54005-0000</v>
      </c>
      <c r="D4684" s="64" t="s">
        <v>5689</v>
      </c>
      <c r="E4684" s="64" t="s">
        <v>3809</v>
      </c>
      <c r="F4684" s="64" t="s">
        <v>230</v>
      </c>
      <c r="G4684" s="64" t="s">
        <v>3800</v>
      </c>
      <c r="H4684" s="64" t="s">
        <v>1875</v>
      </c>
      <c r="I4684" s="64" t="s">
        <v>3810</v>
      </c>
      <c r="J4684" s="67">
        <v>11.73</v>
      </c>
      <c r="K4684" s="62">
        <v>143.72</v>
      </c>
      <c r="L4684" s="33" t="e">
        <f>HLOOKUP(B4684,#REF!,1,0)</f>
        <v>#REF!</v>
      </c>
      <c r="M4684" s="33" t="str">
        <f t="shared" si="295"/>
        <v>P&amp;L</v>
      </c>
    </row>
    <row r="4685" spans="1:13" s="33" customFormat="true" ht="12.75" customHeight="true">
      <c r="A4685" s="33" t="str">
        <f t="shared" si="292"/>
        <v>EAL - CGS</v>
      </c>
      <c r="B4685" s="33" t="str">
        <f t="shared" si="293"/>
        <v>EAL</v>
      </c>
      <c r="C4685" s="33" t="str">
        <f t="shared" si="294"/>
        <v>54006-0000</v>
      </c>
      <c r="D4685" s="64" t="s">
        <v>5690</v>
      </c>
      <c r="E4685" s="64" t="s">
        <v>3812</v>
      </c>
      <c r="F4685" s="64" t="s">
        <v>230</v>
      </c>
      <c r="G4685" s="64" t="s">
        <v>3800</v>
      </c>
      <c r="H4685" s="64" t="s">
        <v>1875</v>
      </c>
      <c r="I4685" s="64" t="s">
        <v>3003</v>
      </c>
      <c r="J4685" s="67">
        <v>109.66</v>
      </c>
      <c r="K4685" s="62">
        <v>1786.16</v>
      </c>
      <c r="L4685" s="33" t="e">
        <f>HLOOKUP(B4685,#REF!,1,0)</f>
        <v>#REF!</v>
      </c>
      <c r="M4685" s="33" t="str">
        <f t="shared" si="295"/>
        <v>P&amp;L</v>
      </c>
    </row>
    <row r="4686" spans="1:13" s="33" customFormat="true" ht="12.75" customHeight="true">
      <c r="A4686" s="33" t="str">
        <f t="shared" si="292"/>
        <v>EAL - CGS</v>
      </c>
      <c r="B4686" s="33" t="str">
        <f t="shared" si="293"/>
        <v>EAL</v>
      </c>
      <c r="C4686" s="33" t="str">
        <f t="shared" si="294"/>
        <v>54007-0000</v>
      </c>
      <c r="D4686" s="64" t="s">
        <v>5691</v>
      </c>
      <c r="E4686" s="64" t="s">
        <v>3814</v>
      </c>
      <c r="F4686" s="64" t="s">
        <v>230</v>
      </c>
      <c r="G4686" s="64" t="s">
        <v>3800</v>
      </c>
      <c r="H4686" s="64" t="s">
        <v>1875</v>
      </c>
      <c r="I4686" s="64" t="s">
        <v>3815</v>
      </c>
      <c r="J4686" s="67">
        <v>0</v>
      </c>
      <c r="K4686" s="62">
        <v>3199.75</v>
      </c>
      <c r="L4686" s="33" t="e">
        <f>HLOOKUP(B4686,#REF!,1,0)</f>
        <v>#REF!</v>
      </c>
      <c r="M4686" s="33" t="str">
        <f t="shared" si="295"/>
        <v>P&amp;L</v>
      </c>
    </row>
    <row r="4687" spans="1:13" s="33" customFormat="true" ht="12.75" customHeight="true">
      <c r="A4687" s="33" t="str">
        <f t="shared" si="292"/>
        <v>EAL - PM Expenses</v>
      </c>
      <c r="B4687" s="33" t="str">
        <f t="shared" si="293"/>
        <v>EAL</v>
      </c>
      <c r="C4687" s="33" t="str">
        <f t="shared" si="294"/>
        <v>55501-0000</v>
      </c>
      <c r="D4687" s="64" t="s">
        <v>5692</v>
      </c>
      <c r="E4687" s="64" t="s">
        <v>3817</v>
      </c>
      <c r="F4687" s="64" t="s">
        <v>230</v>
      </c>
      <c r="G4687" s="64" t="s">
        <v>3818</v>
      </c>
      <c r="H4687" s="64" t="s">
        <v>3819</v>
      </c>
      <c r="I4687" s="64" t="s">
        <v>3820</v>
      </c>
      <c r="J4687" s="67">
        <v>300</v>
      </c>
      <c r="K4687" s="62">
        <v>300</v>
      </c>
      <c r="L4687" s="33" t="e">
        <f>HLOOKUP(B4687,#REF!,1,0)</f>
        <v>#REF!</v>
      </c>
      <c r="M4687" s="33" t="str">
        <f t="shared" si="295"/>
        <v>P&amp;L</v>
      </c>
    </row>
    <row r="4688" spans="1:13" s="33" customFormat="true" ht="12.75" customHeight="true">
      <c r="A4688" s="33" t="str">
        <f t="shared" si="292"/>
        <v>EAL - PM Expenses</v>
      </c>
      <c r="B4688" s="33" t="str">
        <f t="shared" si="293"/>
        <v>EAL</v>
      </c>
      <c r="C4688" s="33" t="str">
        <f t="shared" si="294"/>
        <v>55502-0000</v>
      </c>
      <c r="D4688" s="64" t="s">
        <v>5693</v>
      </c>
      <c r="E4688" s="64" t="s">
        <v>3822</v>
      </c>
      <c r="F4688" s="64" t="s">
        <v>230</v>
      </c>
      <c r="G4688" s="64" t="s">
        <v>3818</v>
      </c>
      <c r="H4688" s="64" t="s">
        <v>3819</v>
      </c>
      <c r="I4688" s="64" t="s">
        <v>3823</v>
      </c>
      <c r="J4688" s="67">
        <v>0</v>
      </c>
      <c r="K4688" s="62">
        <v>654.23</v>
      </c>
      <c r="L4688" s="33" t="e">
        <f>HLOOKUP(B4688,#REF!,1,0)</f>
        <v>#REF!</v>
      </c>
      <c r="M4688" s="33" t="str">
        <f t="shared" si="295"/>
        <v>P&amp;L</v>
      </c>
    </row>
    <row r="4689" spans="1:13" s="33" customFormat="true" ht="12.75" customHeight="true">
      <c r="A4689" s="33" t="str">
        <f t="shared" si="292"/>
        <v>EAL - PM Expenses</v>
      </c>
      <c r="B4689" s="33" t="str">
        <f t="shared" si="293"/>
        <v>EAL</v>
      </c>
      <c r="C4689" s="33" t="str">
        <f t="shared" si="294"/>
        <v>55503-0000</v>
      </c>
      <c r="D4689" s="64" t="s">
        <v>5694</v>
      </c>
      <c r="E4689" s="64" t="s">
        <v>3825</v>
      </c>
      <c r="F4689" s="64" t="s">
        <v>230</v>
      </c>
      <c r="G4689" s="64" t="s">
        <v>3818</v>
      </c>
      <c r="H4689" s="64" t="s">
        <v>3819</v>
      </c>
      <c r="I4689" s="64" t="s">
        <v>3826</v>
      </c>
      <c r="J4689" s="67">
        <v>124.83</v>
      </c>
      <c r="K4689" s="62">
        <v>1095.63</v>
      </c>
      <c r="L4689" s="33" t="e">
        <f>HLOOKUP(B4689,#REF!,1,0)</f>
        <v>#REF!</v>
      </c>
      <c r="M4689" s="33" t="str">
        <f t="shared" si="295"/>
        <v>P&amp;L</v>
      </c>
    </row>
    <row r="4690" spans="1:13" s="33" customFormat="true" ht="12.75" customHeight="true">
      <c r="A4690" s="33" t="str">
        <f t="shared" si="292"/>
        <v>EAL - PM Expenses</v>
      </c>
      <c r="B4690" s="33" t="str">
        <f t="shared" si="293"/>
        <v>EAL</v>
      </c>
      <c r="C4690" s="33" t="str">
        <f t="shared" si="294"/>
        <v>55505-0000</v>
      </c>
      <c r="D4690" s="64" t="s">
        <v>5695</v>
      </c>
      <c r="E4690" s="64" t="s">
        <v>3828</v>
      </c>
      <c r="F4690" s="64" t="s">
        <v>230</v>
      </c>
      <c r="G4690" s="64" t="s">
        <v>3818</v>
      </c>
      <c r="H4690" s="64" t="s">
        <v>3819</v>
      </c>
      <c r="I4690" s="64" t="s">
        <v>3829</v>
      </c>
      <c r="J4690" s="67">
        <v>0</v>
      </c>
      <c r="K4690" s="62">
        <v>5348.02</v>
      </c>
      <c r="L4690" s="33" t="e">
        <f>HLOOKUP(B4690,#REF!,1,0)</f>
        <v>#REF!</v>
      </c>
      <c r="M4690" s="33" t="str">
        <f t="shared" si="295"/>
        <v>P&amp;L</v>
      </c>
    </row>
    <row r="4691" spans="1:13" s="33" customFormat="true" ht="12.75" customHeight="true">
      <c r="A4691" s="33" t="str">
        <f t="shared" si="292"/>
        <v>EAL - PM Expenses</v>
      </c>
      <c r="B4691" s="33" t="str">
        <f t="shared" si="293"/>
        <v>EAL</v>
      </c>
      <c r="C4691" s="33" t="str">
        <f t="shared" si="294"/>
        <v>55506-0000</v>
      </c>
      <c r="D4691" s="64" t="s">
        <v>5696</v>
      </c>
      <c r="E4691" s="64" t="s">
        <v>3831</v>
      </c>
      <c r="F4691" s="64" t="s">
        <v>230</v>
      </c>
      <c r="G4691" s="64" t="s">
        <v>3818</v>
      </c>
      <c r="H4691" s="64" t="s">
        <v>3819</v>
      </c>
      <c r="I4691" s="64" t="s">
        <v>3832</v>
      </c>
      <c r="J4691" s="67">
        <v>0</v>
      </c>
      <c r="K4691" s="62">
        <v>21988.64</v>
      </c>
      <c r="L4691" s="33" t="e">
        <f>HLOOKUP(B4691,#REF!,1,0)</f>
        <v>#REF!</v>
      </c>
      <c r="M4691" s="33" t="str">
        <f t="shared" si="295"/>
        <v>P&amp;L</v>
      </c>
    </row>
    <row r="4692" spans="1:13" s="33" customFormat="true" ht="12.75" customHeight="true">
      <c r="A4692" s="33" t="str">
        <f t="shared" si="292"/>
        <v>EAL - CGS</v>
      </c>
      <c r="B4692" s="33" t="str">
        <f t="shared" si="293"/>
        <v>EAL</v>
      </c>
      <c r="C4692" s="33" t="str">
        <f t="shared" si="294"/>
        <v>60002-0000</v>
      </c>
      <c r="D4692" s="64" t="s">
        <v>5697</v>
      </c>
      <c r="E4692" s="64" t="s">
        <v>3837</v>
      </c>
      <c r="F4692" s="64" t="s">
        <v>230</v>
      </c>
      <c r="G4692" s="64" t="s">
        <v>3838</v>
      </c>
      <c r="H4692" s="64" t="s">
        <v>1875</v>
      </c>
      <c r="I4692" s="64" t="s">
        <v>3839</v>
      </c>
      <c r="J4692" s="67">
        <v>162.58</v>
      </c>
      <c r="K4692" s="62">
        <v>162.58</v>
      </c>
      <c r="L4692" s="33" t="e">
        <f>HLOOKUP(B4692,#REF!,1,0)</f>
        <v>#REF!</v>
      </c>
      <c r="M4692" s="33" t="str">
        <f t="shared" si="295"/>
        <v>P&amp;L</v>
      </c>
    </row>
    <row r="4693" spans="1:13" s="33" customFormat="true" ht="12.75" customHeight="true">
      <c r="A4693" s="33" t="str">
        <f t="shared" si="292"/>
        <v>EAL - CGS</v>
      </c>
      <c r="B4693" s="33" t="str">
        <f t="shared" si="293"/>
        <v>EAL</v>
      </c>
      <c r="C4693" s="33" t="str">
        <f t="shared" si="294"/>
        <v>60005-0000</v>
      </c>
      <c r="D4693" s="64" t="s">
        <v>5698</v>
      </c>
      <c r="E4693" s="64" t="s">
        <v>3841</v>
      </c>
      <c r="F4693" s="64" t="s">
        <v>230</v>
      </c>
      <c r="G4693" s="64" t="s">
        <v>3838</v>
      </c>
      <c r="H4693" s="64" t="s">
        <v>1875</v>
      </c>
      <c r="I4693" s="64" t="s">
        <v>3842</v>
      </c>
      <c r="J4693" s="67">
        <v>450</v>
      </c>
      <c r="K4693" s="62">
        <v>9656.14</v>
      </c>
      <c r="L4693" s="33" t="e">
        <f>HLOOKUP(B4693,#REF!,1,0)</f>
        <v>#REF!</v>
      </c>
      <c r="M4693" s="33" t="str">
        <f t="shared" si="295"/>
        <v>P&amp;L</v>
      </c>
    </row>
    <row r="4694" spans="1:13" s="33" customFormat="true" ht="12.75" customHeight="true">
      <c r="A4694" s="33" t="str">
        <f t="shared" si="292"/>
        <v>EAL - Interest Expense</v>
      </c>
      <c r="B4694" s="33" t="str">
        <f t="shared" si="293"/>
        <v>EAL</v>
      </c>
      <c r="C4694" s="33" t="str">
        <f t="shared" si="294"/>
        <v>60006-0000</v>
      </c>
      <c r="D4694" s="64" t="s">
        <v>5699</v>
      </c>
      <c r="E4694" s="64" t="s">
        <v>3325</v>
      </c>
      <c r="F4694" s="64" t="s">
        <v>230</v>
      </c>
      <c r="G4694" s="64" t="s">
        <v>3844</v>
      </c>
      <c r="H4694" s="64" t="s">
        <v>3327</v>
      </c>
      <c r="I4694" s="64" t="s">
        <v>3328</v>
      </c>
      <c r="J4694" s="67">
        <v>11060.17</v>
      </c>
      <c r="K4694" s="62">
        <v>106946.81</v>
      </c>
      <c r="L4694" s="33" t="e">
        <f>HLOOKUP(B4694,#REF!,1,0)</f>
        <v>#REF!</v>
      </c>
      <c r="M4694" s="33" t="str">
        <f t="shared" si="295"/>
        <v>P&amp;L</v>
      </c>
    </row>
    <row r="4695" spans="1:13" s="33" customFormat="true" ht="12.75" customHeight="true">
      <c r="A4695" s="33" t="str">
        <f t="shared" si="292"/>
        <v>EAL - CGS</v>
      </c>
      <c r="B4695" s="33" t="str">
        <f t="shared" si="293"/>
        <v>EAL</v>
      </c>
      <c r="C4695" s="33" t="str">
        <f t="shared" si="294"/>
        <v>60007-0000</v>
      </c>
      <c r="D4695" s="64" t="s">
        <v>5700</v>
      </c>
      <c r="E4695" s="64" t="s">
        <v>3846</v>
      </c>
      <c r="F4695" s="64" t="s">
        <v>230</v>
      </c>
      <c r="G4695" s="64" t="s">
        <v>3838</v>
      </c>
      <c r="H4695" s="64" t="s">
        <v>1875</v>
      </c>
      <c r="I4695" s="64" t="s">
        <v>3847</v>
      </c>
      <c r="J4695" s="67">
        <v>0</v>
      </c>
      <c r="K4695" s="62">
        <v>525</v>
      </c>
      <c r="L4695" s="33" t="e">
        <f>HLOOKUP(B4695,#REF!,1,0)</f>
        <v>#REF!</v>
      </c>
      <c r="M4695" s="33" t="str">
        <f t="shared" si="295"/>
        <v>P&amp;L</v>
      </c>
    </row>
    <row r="4696" spans="1:13" s="33" customFormat="true" ht="12.75" customHeight="true">
      <c r="A4696" s="33" t="str">
        <f t="shared" si="292"/>
        <v>EAL - CGS</v>
      </c>
      <c r="B4696" s="33" t="str">
        <f t="shared" si="293"/>
        <v>EAL</v>
      </c>
      <c r="C4696" s="33" t="str">
        <f t="shared" si="294"/>
        <v>60008-0000</v>
      </c>
      <c r="D4696" s="64" t="s">
        <v>5701</v>
      </c>
      <c r="E4696" s="64" t="s">
        <v>3849</v>
      </c>
      <c r="F4696" s="64" t="s">
        <v>230</v>
      </c>
      <c r="G4696" s="64" t="s">
        <v>3838</v>
      </c>
      <c r="H4696" s="64" t="s">
        <v>1875</v>
      </c>
      <c r="I4696" s="64" t="s">
        <v>3850</v>
      </c>
      <c r="J4696" s="67">
        <v>1395</v>
      </c>
      <c r="K4696" s="62">
        <v>1395</v>
      </c>
      <c r="L4696" s="33" t="e">
        <f>HLOOKUP(B4696,#REF!,1,0)</f>
        <v>#REF!</v>
      </c>
      <c r="M4696" s="33" t="str">
        <f t="shared" si="295"/>
        <v>P&amp;L</v>
      </c>
    </row>
    <row r="4697" spans="1:13" s="33" customFormat="true" ht="12.75" customHeight="true">
      <c r="A4697" s="33" t="str">
        <f t="shared" si="292"/>
        <v>EAL - CGS</v>
      </c>
      <c r="B4697" s="33" t="str">
        <f t="shared" si="293"/>
        <v>EAL</v>
      </c>
      <c r="C4697" s="33" t="str">
        <f t="shared" si="294"/>
        <v>60011-0000</v>
      </c>
      <c r="D4697" s="64" t="s">
        <v>5702</v>
      </c>
      <c r="E4697" s="64" t="s">
        <v>4199</v>
      </c>
      <c r="F4697" s="64" t="s">
        <v>230</v>
      </c>
      <c r="G4697" s="64" t="s">
        <v>3838</v>
      </c>
      <c r="H4697" s="64" t="s">
        <v>1875</v>
      </c>
      <c r="I4697" s="64" t="s">
        <v>4200</v>
      </c>
      <c r="J4697" s="67">
        <v>0</v>
      </c>
      <c r="K4697" s="62">
        <v>730.01</v>
      </c>
      <c r="L4697" s="33" t="e">
        <f>HLOOKUP(B4697,#REF!,1,0)</f>
        <v>#REF!</v>
      </c>
      <c r="M4697" s="33" t="str">
        <f t="shared" si="295"/>
        <v>P&amp;L</v>
      </c>
    </row>
    <row r="4698" spans="1:13" s="33" customFormat="true" ht="12.75" customHeight="true">
      <c r="A4698" s="33" t="str">
        <f t="shared" si="292"/>
        <v>EAL - CGS</v>
      </c>
      <c r="B4698" s="33" t="str">
        <f t="shared" si="293"/>
        <v>EAL</v>
      </c>
      <c r="C4698" s="33" t="str">
        <f t="shared" si="294"/>
        <v>60012-0000</v>
      </c>
      <c r="D4698" s="64" t="s">
        <v>5703</v>
      </c>
      <c r="E4698" s="64" t="s">
        <v>3852</v>
      </c>
      <c r="F4698" s="64" t="s">
        <v>230</v>
      </c>
      <c r="G4698" s="64" t="s">
        <v>3838</v>
      </c>
      <c r="H4698" s="64" t="s">
        <v>1875</v>
      </c>
      <c r="I4698" s="64" t="s">
        <v>3853</v>
      </c>
      <c r="J4698" s="67">
        <v>0</v>
      </c>
      <c r="K4698" s="62">
        <v>-305.61</v>
      </c>
      <c r="L4698" s="33" t="e">
        <f>HLOOKUP(B4698,#REF!,1,0)</f>
        <v>#REF!</v>
      </c>
      <c r="M4698" s="33" t="str">
        <f t="shared" si="295"/>
        <v>P&amp;L</v>
      </c>
    </row>
    <row r="4699" spans="1:13" s="33" customFormat="true" ht="12.75" customHeight="true">
      <c r="A4699" s="33" t="str">
        <f t="shared" si="292"/>
        <v>EAL - CGS</v>
      </c>
      <c r="B4699" s="33" t="str">
        <f t="shared" si="293"/>
        <v>EAL</v>
      </c>
      <c r="C4699" s="33" t="str">
        <f t="shared" si="294"/>
        <v>60014-0000</v>
      </c>
      <c r="D4699" s="64" t="s">
        <v>5704</v>
      </c>
      <c r="E4699" s="64" t="s">
        <v>3855</v>
      </c>
      <c r="F4699" s="64" t="s">
        <v>230</v>
      </c>
      <c r="G4699" s="64" t="s">
        <v>3838</v>
      </c>
      <c r="H4699" s="64" t="s">
        <v>1875</v>
      </c>
      <c r="I4699" s="64" t="s">
        <v>3856</v>
      </c>
      <c r="J4699" s="67">
        <v>1794.07</v>
      </c>
      <c r="K4699" s="62">
        <v>17623.78</v>
      </c>
      <c r="L4699" s="33" t="e">
        <f>HLOOKUP(B4699,#REF!,1,0)</f>
        <v>#REF!</v>
      </c>
      <c r="M4699" s="33" t="str">
        <f t="shared" si="295"/>
        <v>P&amp;L</v>
      </c>
    </row>
    <row r="4700" spans="1:13" s="33" customFormat="true" ht="12.75" customHeight="true">
      <c r="A4700" s="33" t="str">
        <f t="shared" si="292"/>
        <v>EAL - CGS</v>
      </c>
      <c r="B4700" s="33" t="str">
        <f t="shared" si="293"/>
        <v>EAL</v>
      </c>
      <c r="C4700" s="33" t="str">
        <f t="shared" si="294"/>
        <v>60015-0000</v>
      </c>
      <c r="D4700" s="64" t="s">
        <v>5705</v>
      </c>
      <c r="E4700" s="64" t="s">
        <v>3858</v>
      </c>
      <c r="F4700" s="64" t="s">
        <v>230</v>
      </c>
      <c r="G4700" s="64" t="s">
        <v>3838</v>
      </c>
      <c r="H4700" s="64" t="s">
        <v>1875</v>
      </c>
      <c r="I4700" s="64" t="s">
        <v>3859</v>
      </c>
      <c r="J4700" s="67">
        <v>0</v>
      </c>
      <c r="K4700" s="62">
        <v>784</v>
      </c>
      <c r="L4700" s="33" t="e">
        <f>HLOOKUP(B4700,#REF!,1,0)</f>
        <v>#REF!</v>
      </c>
      <c r="M4700" s="33" t="str">
        <f t="shared" si="295"/>
        <v>P&amp;L</v>
      </c>
    </row>
    <row r="4701" spans="1:13" s="33" customFormat="true" ht="12.75" customHeight="true">
      <c r="A4701" s="33" t="str">
        <f t="shared" si="292"/>
        <v>EAL - Other Expenses</v>
      </c>
      <c r="B4701" s="33" t="str">
        <f t="shared" si="293"/>
        <v>EAL</v>
      </c>
      <c r="C4701" s="33" t="str">
        <f t="shared" si="294"/>
        <v>61018-0000</v>
      </c>
      <c r="D4701" s="64" t="s">
        <v>5706</v>
      </c>
      <c r="E4701" s="64" t="s">
        <v>3864</v>
      </c>
      <c r="F4701" s="64" t="s">
        <v>230</v>
      </c>
      <c r="G4701" s="64" t="s">
        <v>3838</v>
      </c>
      <c r="H4701" s="64" t="s">
        <v>3865</v>
      </c>
      <c r="I4701" s="64" t="s">
        <v>3866</v>
      </c>
      <c r="J4701" s="67">
        <v>0</v>
      </c>
      <c r="K4701" s="62">
        <v>66503.18</v>
      </c>
      <c r="L4701" s="33" t="e">
        <f>HLOOKUP(B4701,#REF!,1,0)</f>
        <v>#REF!</v>
      </c>
      <c r="M4701" s="33" t="str">
        <f t="shared" si="295"/>
        <v>P&amp;L</v>
      </c>
    </row>
    <row r="4702" spans="1:13" s="33" customFormat="true" ht="12.75" customHeight="true">
      <c r="A4702" s="33" t="str">
        <f t="shared" si="292"/>
        <v>EAL - Income Tax</v>
      </c>
      <c r="B4702" s="33" t="str">
        <f t="shared" si="293"/>
        <v>EAL</v>
      </c>
      <c r="C4702" s="33" t="str">
        <f t="shared" si="294"/>
        <v>61019-0000</v>
      </c>
      <c r="D4702" s="64" t="s">
        <v>5707</v>
      </c>
      <c r="E4702" s="64" t="s">
        <v>4041</v>
      </c>
      <c r="F4702" s="64" t="s">
        <v>230</v>
      </c>
      <c r="G4702" s="64" t="s">
        <v>3844</v>
      </c>
      <c r="H4702" s="64" t="s">
        <v>3378</v>
      </c>
      <c r="I4702" s="64" t="s">
        <v>4042</v>
      </c>
      <c r="J4702" s="67">
        <v>900</v>
      </c>
      <c r="K4702" s="62">
        <v>1776.97</v>
      </c>
      <c r="L4702" s="33" t="e">
        <f>HLOOKUP(B4702,#REF!,1,0)</f>
        <v>#REF!</v>
      </c>
      <c r="M4702" s="33" t="str">
        <f t="shared" si="295"/>
        <v>P&amp;L</v>
      </c>
    </row>
    <row r="4703" spans="1:13" s="33" customFormat="true" ht="12.75" customHeight="true">
      <c r="A4703" s="33" t="str">
        <f t="shared" si="292"/>
        <v>EAM - Intercompany</v>
      </c>
      <c r="B4703" s="33" t="str">
        <f t="shared" si="293"/>
        <v>EAM</v>
      </c>
      <c r="C4703" s="33" t="str">
        <f t="shared" si="294"/>
        <v>11216-0000</v>
      </c>
      <c r="D4703" s="64" t="s">
        <v>5708</v>
      </c>
      <c r="E4703" s="64" t="s">
        <v>242</v>
      </c>
      <c r="F4703" s="64" t="s">
        <v>230</v>
      </c>
      <c r="G4703" s="64" t="s">
        <v>16</v>
      </c>
      <c r="H4703" s="64" t="s">
        <v>39</v>
      </c>
      <c r="I4703" s="64" t="s">
        <v>40</v>
      </c>
      <c r="J4703" s="67">
        <v>-57.51</v>
      </c>
      <c r="K4703" s="62">
        <v>-2806.42</v>
      </c>
      <c r="L4703" s="33" t="e">
        <f>HLOOKUP(B4703,#REF!,1,0)</f>
        <v>#REF!</v>
      </c>
      <c r="M4703" s="33" t="str">
        <f t="shared" si="295"/>
        <v>BS</v>
      </c>
    </row>
    <row r="4704" spans="1:13" s="33" customFormat="true" ht="12.75" customHeight="true">
      <c r="A4704" s="33" t="str">
        <f t="shared" si="292"/>
        <v>EAM - Fixed Assets</v>
      </c>
      <c r="B4704" s="33" t="str">
        <f t="shared" si="293"/>
        <v>EAM</v>
      </c>
      <c r="C4704" s="33" t="str">
        <f t="shared" si="294"/>
        <v>15501-0000</v>
      </c>
      <c r="D4704" s="64" t="s">
        <v>5709</v>
      </c>
      <c r="E4704" s="64" t="s">
        <v>2635</v>
      </c>
      <c r="F4704" s="64" t="s">
        <v>230</v>
      </c>
      <c r="G4704" s="64" t="s">
        <v>62</v>
      </c>
      <c r="H4704" s="64" t="s">
        <v>63</v>
      </c>
      <c r="I4704" s="64" t="s">
        <v>64</v>
      </c>
      <c r="J4704" s="67">
        <v>448.81</v>
      </c>
      <c r="K4704" s="62">
        <v>1761.42</v>
      </c>
      <c r="L4704" s="33" t="e">
        <f>HLOOKUP(B4704,#REF!,1,0)</f>
        <v>#REF!</v>
      </c>
      <c r="M4704" s="33" t="str">
        <f t="shared" si="295"/>
        <v>BS</v>
      </c>
    </row>
    <row r="4705" spans="1:13" s="33" customFormat="true" ht="12.75" customHeight="true">
      <c r="A4705" s="33" t="str">
        <f t="shared" si="292"/>
        <v>EAM - AP-Accr Exp</v>
      </c>
      <c r="B4705" s="33" t="str">
        <f t="shared" si="293"/>
        <v>EAM</v>
      </c>
      <c r="C4705" s="33" t="str">
        <f t="shared" si="294"/>
        <v>23509-0000</v>
      </c>
      <c r="D4705" s="64" t="s">
        <v>5710</v>
      </c>
      <c r="E4705" s="64" t="s">
        <v>111</v>
      </c>
      <c r="F4705" s="64" t="s">
        <v>230</v>
      </c>
      <c r="G4705" s="64" t="s">
        <v>97</v>
      </c>
      <c r="H4705" s="64" t="s">
        <v>98</v>
      </c>
      <c r="I4705" s="64" t="s">
        <v>102</v>
      </c>
      <c r="J4705" s="67">
        <v>0</v>
      </c>
      <c r="K4705" s="62">
        <v>0</v>
      </c>
      <c r="L4705" s="33" t="e">
        <f>HLOOKUP(B4705,#REF!,1,0)</f>
        <v>#REF!</v>
      </c>
      <c r="M4705" s="33" t="str">
        <f t="shared" si="295"/>
        <v>BS</v>
      </c>
    </row>
    <row r="4706" spans="1:13" s="33" customFormat="true" ht="12.75" customHeight="true">
      <c r="A4706" s="33" t="str">
        <f t="shared" si="292"/>
        <v>EAM - AR-PPD</v>
      </c>
      <c r="B4706" s="33" t="str">
        <f t="shared" si="293"/>
        <v>EAM</v>
      </c>
      <c r="C4706" s="33" t="str">
        <f t="shared" si="294"/>
        <v>25300-0000</v>
      </c>
      <c r="D4706" s="64" t="s">
        <v>5711</v>
      </c>
      <c r="E4706" s="64" t="s">
        <v>3677</v>
      </c>
      <c r="F4706" s="64" t="s">
        <v>230</v>
      </c>
      <c r="G4706" s="64" t="s">
        <v>3678</v>
      </c>
      <c r="H4706" s="64" t="s">
        <v>35</v>
      </c>
      <c r="I4706" s="64" t="s">
        <v>102</v>
      </c>
      <c r="J4706" s="67">
        <v>5682.92</v>
      </c>
      <c r="K4706" s="62">
        <v>-1630</v>
      </c>
      <c r="L4706" s="33" t="e">
        <f>HLOOKUP(B4706,#REF!,1,0)</f>
        <v>#REF!</v>
      </c>
      <c r="M4706" s="33" t="str">
        <f t="shared" si="295"/>
        <v>BS</v>
      </c>
    </row>
    <row r="4707" spans="1:13" s="33" customFormat="true" ht="12.75" customHeight="true">
      <c r="A4707" s="33" t="str">
        <f t="shared" si="292"/>
        <v>EAM - Revenue</v>
      </c>
      <c r="B4707" s="33" t="str">
        <f t="shared" si="293"/>
        <v>EAM</v>
      </c>
      <c r="C4707" s="33" t="str">
        <f t="shared" si="294"/>
        <v>40110-0000</v>
      </c>
      <c r="D4707" s="64" t="s">
        <v>5712</v>
      </c>
      <c r="E4707" s="64" t="s">
        <v>3683</v>
      </c>
      <c r="F4707" s="64" t="s">
        <v>230</v>
      </c>
      <c r="G4707" s="64" t="s">
        <v>3684</v>
      </c>
      <c r="H4707" s="64" t="s">
        <v>2871</v>
      </c>
      <c r="I4707" s="64" t="s">
        <v>3685</v>
      </c>
      <c r="J4707" s="67">
        <v>-47078</v>
      </c>
      <c r="K4707" s="62">
        <v>-470629</v>
      </c>
      <c r="L4707" s="33" t="e">
        <f>HLOOKUP(B4707,#REF!,1,0)</f>
        <v>#REF!</v>
      </c>
      <c r="M4707" s="33" t="str">
        <f t="shared" si="295"/>
        <v>P&amp;L</v>
      </c>
    </row>
    <row r="4708" spans="1:13" s="33" customFormat="true" ht="12.75" customHeight="true">
      <c r="A4708" s="33" t="str">
        <f t="shared" si="292"/>
        <v>EAM - Revenue</v>
      </c>
      <c r="B4708" s="33" t="str">
        <f t="shared" si="293"/>
        <v>EAM</v>
      </c>
      <c r="C4708" s="33" t="str">
        <f t="shared" si="294"/>
        <v>40120-0000</v>
      </c>
      <c r="D4708" s="64" t="s">
        <v>5713</v>
      </c>
      <c r="E4708" s="64" t="s">
        <v>3687</v>
      </c>
      <c r="F4708" s="64" t="s">
        <v>230</v>
      </c>
      <c r="G4708" s="64" t="s">
        <v>3684</v>
      </c>
      <c r="H4708" s="64" t="s">
        <v>2871</v>
      </c>
      <c r="I4708" s="64" t="s">
        <v>3688</v>
      </c>
      <c r="J4708" s="67">
        <v>-1309</v>
      </c>
      <c r="K4708" s="62">
        <v>-5994</v>
      </c>
      <c r="L4708" s="33" t="e">
        <f>HLOOKUP(B4708,#REF!,1,0)</f>
        <v>#REF!</v>
      </c>
      <c r="M4708" s="33" t="str">
        <f t="shared" si="295"/>
        <v>P&amp;L</v>
      </c>
    </row>
    <row r="4709" spans="1:13" s="33" customFormat="true" ht="12.75" customHeight="true">
      <c r="A4709" s="33" t="str">
        <f t="shared" si="292"/>
        <v>EAM - Revenue</v>
      </c>
      <c r="B4709" s="33" t="str">
        <f t="shared" si="293"/>
        <v>EAM</v>
      </c>
      <c r="C4709" s="33" t="str">
        <f t="shared" si="294"/>
        <v>40130-0000</v>
      </c>
      <c r="D4709" s="64" t="s">
        <v>5714</v>
      </c>
      <c r="E4709" s="64" t="s">
        <v>3690</v>
      </c>
      <c r="F4709" s="64" t="s">
        <v>230</v>
      </c>
      <c r="G4709" s="64" t="s">
        <v>3684</v>
      </c>
      <c r="H4709" s="64" t="s">
        <v>2871</v>
      </c>
      <c r="I4709" s="64" t="s">
        <v>3691</v>
      </c>
      <c r="J4709" s="67">
        <v>-2050</v>
      </c>
      <c r="K4709" s="62">
        <v>-10500</v>
      </c>
      <c r="L4709" s="33" t="e">
        <f>HLOOKUP(B4709,#REF!,1,0)</f>
        <v>#REF!</v>
      </c>
      <c r="M4709" s="33" t="str">
        <f t="shared" si="295"/>
        <v>P&amp;L</v>
      </c>
    </row>
    <row r="4710" spans="1:13" s="33" customFormat="true" ht="12.75" customHeight="true">
      <c r="A4710" s="33" t="str">
        <f t="shared" si="292"/>
        <v>EAM - Revenue</v>
      </c>
      <c r="B4710" s="33" t="str">
        <f t="shared" si="293"/>
        <v>EAM</v>
      </c>
      <c r="C4710" s="33" t="str">
        <f t="shared" si="294"/>
        <v>40140-0000</v>
      </c>
      <c r="D4710" s="64" t="s">
        <v>5715</v>
      </c>
      <c r="E4710" s="64" t="s">
        <v>3948</v>
      </c>
      <c r="F4710" s="64" t="s">
        <v>230</v>
      </c>
      <c r="G4710" s="64" t="s">
        <v>3684</v>
      </c>
      <c r="H4710" s="64" t="s">
        <v>2871</v>
      </c>
      <c r="I4710" s="64" t="s">
        <v>3949</v>
      </c>
      <c r="J4710" s="67">
        <v>0</v>
      </c>
      <c r="K4710" s="62">
        <v>0</v>
      </c>
      <c r="L4710" s="33" t="e">
        <f>HLOOKUP(B4710,#REF!,1,0)</f>
        <v>#REF!</v>
      </c>
      <c r="M4710" s="33" t="str">
        <f t="shared" si="295"/>
        <v>P&amp;L</v>
      </c>
    </row>
    <row r="4711" spans="1:13" s="33" customFormat="true" ht="12.75" customHeight="true">
      <c r="A4711" s="33" t="str">
        <f t="shared" si="292"/>
        <v>EAM - Revenue</v>
      </c>
      <c r="B4711" s="33" t="str">
        <f t="shared" si="293"/>
        <v>EAM</v>
      </c>
      <c r="C4711" s="33" t="str">
        <f t="shared" si="294"/>
        <v>41110-0000</v>
      </c>
      <c r="D4711" s="64" t="s">
        <v>5716</v>
      </c>
      <c r="E4711" s="64" t="s">
        <v>3693</v>
      </c>
      <c r="F4711" s="64" t="s">
        <v>230</v>
      </c>
      <c r="G4711" s="64" t="s">
        <v>3694</v>
      </c>
      <c r="H4711" s="64" t="s">
        <v>2871</v>
      </c>
      <c r="I4711" s="64" t="s">
        <v>3695</v>
      </c>
      <c r="J4711" s="67">
        <v>6406.06</v>
      </c>
      <c r="K4711" s="62">
        <v>26180.88</v>
      </c>
      <c r="L4711" s="33" t="e">
        <f>HLOOKUP(B4711,#REF!,1,0)</f>
        <v>#REF!</v>
      </c>
      <c r="M4711" s="33" t="str">
        <f t="shared" si="295"/>
        <v>P&amp;L</v>
      </c>
    </row>
    <row r="4712" spans="1:13" s="33" customFormat="true" ht="12.75" customHeight="true">
      <c r="A4712" s="33" t="str">
        <f t="shared" si="292"/>
        <v>EAM - Revenue</v>
      </c>
      <c r="B4712" s="33" t="str">
        <f t="shared" si="293"/>
        <v>EAM</v>
      </c>
      <c r="C4712" s="33" t="str">
        <f t="shared" si="294"/>
        <v>41121-0000</v>
      </c>
      <c r="D4712" s="64" t="s">
        <v>5717</v>
      </c>
      <c r="E4712" s="64" t="s">
        <v>3697</v>
      </c>
      <c r="F4712" s="64" t="s">
        <v>230</v>
      </c>
      <c r="G4712" s="64" t="s">
        <v>3694</v>
      </c>
      <c r="H4712" s="64" t="s">
        <v>2871</v>
      </c>
      <c r="I4712" s="64" t="s">
        <v>3698</v>
      </c>
      <c r="J4712" s="67">
        <v>1650.26</v>
      </c>
      <c r="K4712" s="62">
        <v>35554.18</v>
      </c>
      <c r="L4712" s="33" t="e">
        <f>HLOOKUP(B4712,#REF!,1,0)</f>
        <v>#REF!</v>
      </c>
      <c r="M4712" s="33" t="str">
        <f t="shared" si="295"/>
        <v>P&amp;L</v>
      </c>
    </row>
    <row r="4713" spans="1:13" s="33" customFormat="true" ht="12.75" customHeight="true">
      <c r="A4713" s="33" t="str">
        <f t="shared" si="292"/>
        <v>EAM - Revenue</v>
      </c>
      <c r="B4713" s="33" t="str">
        <f t="shared" si="293"/>
        <v>EAM</v>
      </c>
      <c r="C4713" s="33" t="str">
        <f t="shared" si="294"/>
        <v>41122-0000</v>
      </c>
      <c r="D4713" s="64" t="s">
        <v>5718</v>
      </c>
      <c r="E4713" s="64" t="s">
        <v>3700</v>
      </c>
      <c r="F4713" s="64" t="s">
        <v>230</v>
      </c>
      <c r="G4713" s="64" t="s">
        <v>3694</v>
      </c>
      <c r="H4713" s="64" t="s">
        <v>2871</v>
      </c>
      <c r="I4713" s="64" t="s">
        <v>3701</v>
      </c>
      <c r="J4713" s="67">
        <v>-2999.44</v>
      </c>
      <c r="K4713" s="62">
        <v>-38229.99</v>
      </c>
      <c r="L4713" s="33" t="e">
        <f>HLOOKUP(B4713,#REF!,1,0)</f>
        <v>#REF!</v>
      </c>
      <c r="M4713" s="33" t="str">
        <f t="shared" si="295"/>
        <v>P&amp;L</v>
      </c>
    </row>
    <row r="4714" spans="1:13" s="33" customFormat="true" ht="12.75" customHeight="true">
      <c r="A4714" s="33" t="str">
        <f t="shared" si="292"/>
        <v>EAM - Revenue</v>
      </c>
      <c r="B4714" s="33" t="str">
        <f t="shared" si="293"/>
        <v>EAM</v>
      </c>
      <c r="C4714" s="33" t="str">
        <f t="shared" si="294"/>
        <v>41130-0000</v>
      </c>
      <c r="D4714" s="64" t="s">
        <v>5719</v>
      </c>
      <c r="E4714" s="64" t="s">
        <v>3703</v>
      </c>
      <c r="F4714" s="64" t="s">
        <v>230</v>
      </c>
      <c r="G4714" s="64" t="s">
        <v>3694</v>
      </c>
      <c r="H4714" s="64" t="s">
        <v>2871</v>
      </c>
      <c r="I4714" s="64" t="s">
        <v>3704</v>
      </c>
      <c r="J4714" s="67">
        <v>0</v>
      </c>
      <c r="K4714" s="62">
        <v>3935.5</v>
      </c>
      <c r="L4714" s="33" t="e">
        <f>HLOOKUP(B4714,#REF!,1,0)</f>
        <v>#REF!</v>
      </c>
      <c r="M4714" s="33" t="str">
        <f t="shared" si="295"/>
        <v>P&amp;L</v>
      </c>
    </row>
    <row r="4715" spans="1:13" s="33" customFormat="true" ht="12.75" customHeight="true">
      <c r="A4715" s="33" t="str">
        <f t="shared" si="292"/>
        <v>EAM - Revenue</v>
      </c>
      <c r="B4715" s="33" t="str">
        <f t="shared" si="293"/>
        <v>EAM</v>
      </c>
      <c r="C4715" s="33" t="str">
        <f t="shared" si="294"/>
        <v>41140-0000</v>
      </c>
      <c r="D4715" s="64" t="s">
        <v>5720</v>
      </c>
      <c r="E4715" s="64" t="s">
        <v>3706</v>
      </c>
      <c r="F4715" s="64" t="s">
        <v>230</v>
      </c>
      <c r="G4715" s="64" t="s">
        <v>3694</v>
      </c>
      <c r="H4715" s="64" t="s">
        <v>2871</v>
      </c>
      <c r="I4715" s="64" t="s">
        <v>3707</v>
      </c>
      <c r="J4715" s="67">
        <v>0</v>
      </c>
      <c r="K4715" s="62">
        <v>0</v>
      </c>
      <c r="L4715" s="33" t="e">
        <f>HLOOKUP(B4715,#REF!,1,0)</f>
        <v>#REF!</v>
      </c>
      <c r="M4715" s="33" t="str">
        <f t="shared" si="295"/>
        <v>P&amp;L</v>
      </c>
    </row>
    <row r="4716" spans="1:13" s="33" customFormat="true" ht="12.75" customHeight="true">
      <c r="A4716" s="33" t="str">
        <f t="shared" si="292"/>
        <v>EAM - Revenue</v>
      </c>
      <c r="B4716" s="33" t="str">
        <f t="shared" si="293"/>
        <v>EAM</v>
      </c>
      <c r="C4716" s="33" t="str">
        <f t="shared" si="294"/>
        <v>41150-0000</v>
      </c>
      <c r="D4716" s="64" t="s">
        <v>5721</v>
      </c>
      <c r="E4716" s="64" t="s">
        <v>3709</v>
      </c>
      <c r="F4716" s="64" t="s">
        <v>230</v>
      </c>
      <c r="G4716" s="64" t="s">
        <v>3694</v>
      </c>
      <c r="H4716" s="64" t="s">
        <v>2871</v>
      </c>
      <c r="I4716" s="64" t="s">
        <v>3710</v>
      </c>
      <c r="J4716" s="67">
        <v>1850</v>
      </c>
      <c r="K4716" s="62">
        <v>19885</v>
      </c>
      <c r="L4716" s="33" t="e">
        <f>HLOOKUP(B4716,#REF!,1,0)</f>
        <v>#REF!</v>
      </c>
      <c r="M4716" s="33" t="str">
        <f t="shared" si="295"/>
        <v>P&amp;L</v>
      </c>
    </row>
    <row r="4717" spans="1:13" s="33" customFormat="true" ht="12.75" customHeight="true">
      <c r="A4717" s="33" t="str">
        <f t="shared" si="292"/>
        <v>EAM - Revenue</v>
      </c>
      <c r="B4717" s="33" t="str">
        <f t="shared" si="293"/>
        <v>EAM</v>
      </c>
      <c r="C4717" s="33" t="str">
        <f t="shared" si="294"/>
        <v>41999-0000</v>
      </c>
      <c r="D4717" s="64" t="s">
        <v>5722</v>
      </c>
      <c r="E4717" s="64" t="s">
        <v>3712</v>
      </c>
      <c r="F4717" s="64" t="s">
        <v>230</v>
      </c>
      <c r="G4717" s="64" t="s">
        <v>3713</v>
      </c>
      <c r="H4717" s="64" t="s">
        <v>2871</v>
      </c>
      <c r="I4717" s="64" t="s">
        <v>3714</v>
      </c>
      <c r="J4717" s="67">
        <v>43530.12</v>
      </c>
      <c r="K4717" s="62">
        <v>439797.43</v>
      </c>
      <c r="L4717" s="33" t="e">
        <f>HLOOKUP(B4717,#REF!,1,0)</f>
        <v>#REF!</v>
      </c>
      <c r="M4717" s="33" t="str">
        <f t="shared" si="295"/>
        <v>P&amp;L</v>
      </c>
    </row>
    <row r="4718" spans="1:13" s="33" customFormat="true" ht="12.75" customHeight="true">
      <c r="A4718" s="33" t="str">
        <f t="shared" si="292"/>
        <v>EAM - Revenue</v>
      </c>
      <c r="B4718" s="33" t="str">
        <f t="shared" si="293"/>
        <v>EAM</v>
      </c>
      <c r="C4718" s="33" t="str">
        <f t="shared" si="294"/>
        <v>47400-0000</v>
      </c>
      <c r="D4718" s="64" t="s">
        <v>5723</v>
      </c>
      <c r="E4718" s="64" t="s">
        <v>3716</v>
      </c>
      <c r="F4718" s="64" t="s">
        <v>230</v>
      </c>
      <c r="G4718" s="64" t="s">
        <v>3717</v>
      </c>
      <c r="H4718" s="64" t="s">
        <v>2871</v>
      </c>
      <c r="I4718" s="64" t="s">
        <v>3718</v>
      </c>
      <c r="J4718" s="67">
        <v>-43058.49</v>
      </c>
      <c r="K4718" s="62">
        <v>-439325.8</v>
      </c>
      <c r="L4718" s="33" t="e">
        <f>HLOOKUP(B4718,#REF!,1,0)</f>
        <v>#REF!</v>
      </c>
      <c r="M4718" s="33" t="str">
        <f t="shared" si="295"/>
        <v>P&amp;L</v>
      </c>
    </row>
    <row r="4719" spans="1:13" s="33" customFormat="true" ht="12.75" customHeight="true">
      <c r="A4719" s="33" t="str">
        <f t="shared" si="292"/>
        <v>EAM - Revenue</v>
      </c>
      <c r="B4719" s="33" t="str">
        <f t="shared" si="293"/>
        <v>EAM</v>
      </c>
      <c r="C4719" s="33" t="str">
        <f t="shared" si="294"/>
        <v>47430-0000</v>
      </c>
      <c r="D4719" s="64" t="s">
        <v>5724</v>
      </c>
      <c r="E4719" s="64" t="s">
        <v>4053</v>
      </c>
      <c r="F4719" s="64" t="s">
        <v>230</v>
      </c>
      <c r="G4719" s="64" t="s">
        <v>3717</v>
      </c>
      <c r="H4719" s="64" t="s">
        <v>2871</v>
      </c>
      <c r="I4719" s="64" t="s">
        <v>4054</v>
      </c>
      <c r="J4719" s="67">
        <v>0</v>
      </c>
      <c r="K4719" s="62">
        <v>0</v>
      </c>
      <c r="L4719" s="33" t="e">
        <f>HLOOKUP(B4719,#REF!,1,0)</f>
        <v>#REF!</v>
      </c>
      <c r="M4719" s="33" t="str">
        <f t="shared" si="295"/>
        <v>P&amp;L</v>
      </c>
    </row>
    <row r="4720" spans="1:13" s="33" customFormat="true" ht="12.75" customHeight="true">
      <c r="A4720" s="33" t="str">
        <f t="shared" si="292"/>
        <v>EAM - Revenue</v>
      </c>
      <c r="B4720" s="33" t="str">
        <f t="shared" si="293"/>
        <v>EAM</v>
      </c>
      <c r="C4720" s="33" t="str">
        <f t="shared" si="294"/>
        <v>47440-0000</v>
      </c>
      <c r="D4720" s="64" t="s">
        <v>5725</v>
      </c>
      <c r="E4720" s="64" t="s">
        <v>3720</v>
      </c>
      <c r="F4720" s="64" t="s">
        <v>230</v>
      </c>
      <c r="G4720" s="64" t="s">
        <v>3717</v>
      </c>
      <c r="H4720" s="64" t="s">
        <v>2871</v>
      </c>
      <c r="I4720" s="64" t="s">
        <v>3721</v>
      </c>
      <c r="J4720" s="67">
        <v>-29.95</v>
      </c>
      <c r="K4720" s="62">
        <v>-321.41</v>
      </c>
      <c r="L4720" s="33" t="e">
        <f>HLOOKUP(B4720,#REF!,1,0)</f>
        <v>#REF!</v>
      </c>
      <c r="M4720" s="33" t="str">
        <f t="shared" si="295"/>
        <v>P&amp;L</v>
      </c>
    </row>
    <row r="4721" spans="1:13" s="33" customFormat="true" ht="12.75" customHeight="true">
      <c r="A4721" s="33" t="str">
        <f t="shared" si="292"/>
        <v>EAM - Revenue</v>
      </c>
      <c r="B4721" s="33" t="str">
        <f t="shared" si="293"/>
        <v>EAM</v>
      </c>
      <c r="C4721" s="33" t="str">
        <f t="shared" si="294"/>
        <v>47450-0000</v>
      </c>
      <c r="D4721" s="64" t="s">
        <v>5726</v>
      </c>
      <c r="E4721" s="64" t="s">
        <v>3723</v>
      </c>
      <c r="F4721" s="64" t="s">
        <v>230</v>
      </c>
      <c r="G4721" s="64" t="s">
        <v>3717</v>
      </c>
      <c r="H4721" s="64" t="s">
        <v>2871</v>
      </c>
      <c r="I4721" s="64" t="s">
        <v>3724</v>
      </c>
      <c r="J4721" s="67">
        <v>-990.05</v>
      </c>
      <c r="K4721" s="62">
        <v>-10346.68</v>
      </c>
      <c r="L4721" s="33" t="e">
        <f>HLOOKUP(B4721,#REF!,1,0)</f>
        <v>#REF!</v>
      </c>
      <c r="M4721" s="33" t="str">
        <f t="shared" si="295"/>
        <v>P&amp;L</v>
      </c>
    </row>
    <row r="4722" spans="1:13" s="33" customFormat="true" ht="12.75" customHeight="true">
      <c r="A4722" s="33" t="str">
        <f t="shared" si="292"/>
        <v>EAM - Revenue</v>
      </c>
      <c r="B4722" s="33" t="str">
        <f t="shared" si="293"/>
        <v>EAM</v>
      </c>
      <c r="C4722" s="33" t="str">
        <f t="shared" si="294"/>
        <v>47460-0000</v>
      </c>
      <c r="D4722" s="64" t="s">
        <v>5727</v>
      </c>
      <c r="E4722" s="64" t="s">
        <v>3726</v>
      </c>
      <c r="F4722" s="64" t="s">
        <v>230</v>
      </c>
      <c r="G4722" s="64" t="s">
        <v>3717</v>
      </c>
      <c r="H4722" s="64" t="s">
        <v>2871</v>
      </c>
      <c r="I4722" s="64" t="s">
        <v>3727</v>
      </c>
      <c r="J4722" s="67">
        <v>-100</v>
      </c>
      <c r="K4722" s="62">
        <v>-250</v>
      </c>
      <c r="L4722" s="33" t="e">
        <f>HLOOKUP(B4722,#REF!,1,0)</f>
        <v>#REF!</v>
      </c>
      <c r="M4722" s="33" t="str">
        <f t="shared" si="295"/>
        <v>P&amp;L</v>
      </c>
    </row>
    <row r="4723" spans="1:13" s="33" customFormat="true" ht="12.75" customHeight="true">
      <c r="A4723" s="33" t="str">
        <f t="shared" si="292"/>
        <v>EAM - Revenue</v>
      </c>
      <c r="B4723" s="33" t="str">
        <f t="shared" si="293"/>
        <v>EAM</v>
      </c>
      <c r="C4723" s="33" t="str">
        <f t="shared" si="294"/>
        <v>47480-0000</v>
      </c>
      <c r="D4723" s="64" t="s">
        <v>5728</v>
      </c>
      <c r="E4723" s="64" t="s">
        <v>3729</v>
      </c>
      <c r="F4723" s="64" t="s">
        <v>230</v>
      </c>
      <c r="G4723" s="64" t="s">
        <v>3717</v>
      </c>
      <c r="H4723" s="64" t="s">
        <v>2871</v>
      </c>
      <c r="I4723" s="64" t="s">
        <v>3721</v>
      </c>
      <c r="J4723" s="67">
        <v>-180</v>
      </c>
      <c r="K4723" s="62">
        <v>-3030</v>
      </c>
      <c r="L4723" s="33" t="e">
        <f>HLOOKUP(B4723,#REF!,1,0)</f>
        <v>#REF!</v>
      </c>
      <c r="M4723" s="33" t="str">
        <f t="shared" si="295"/>
        <v>P&amp;L</v>
      </c>
    </row>
    <row r="4724" spans="1:13" s="33" customFormat="true" ht="12.75" customHeight="true">
      <c r="A4724" s="33" t="str">
        <f t="shared" si="292"/>
        <v>EAM - Revenue</v>
      </c>
      <c r="B4724" s="33" t="str">
        <f t="shared" si="293"/>
        <v>EAM</v>
      </c>
      <c r="C4724" s="33" t="str">
        <f t="shared" si="294"/>
        <v>47490-0000</v>
      </c>
      <c r="D4724" s="64" t="s">
        <v>5729</v>
      </c>
      <c r="E4724" s="64" t="s">
        <v>3731</v>
      </c>
      <c r="F4724" s="64" t="s">
        <v>230</v>
      </c>
      <c r="G4724" s="64" t="s">
        <v>3717</v>
      </c>
      <c r="H4724" s="64" t="s">
        <v>2871</v>
      </c>
      <c r="I4724" s="64" t="s">
        <v>3721</v>
      </c>
      <c r="J4724" s="67">
        <v>-50</v>
      </c>
      <c r="K4724" s="62">
        <v>-321.67</v>
      </c>
      <c r="L4724" s="33" t="e">
        <f>HLOOKUP(B4724,#REF!,1,0)</f>
        <v>#REF!</v>
      </c>
      <c r="M4724" s="33" t="str">
        <f t="shared" si="295"/>
        <v>P&amp;L</v>
      </c>
    </row>
    <row r="4725" spans="1:13" s="33" customFormat="true" ht="12.75" customHeight="true">
      <c r="A4725" s="33" t="str">
        <f t="shared" si="292"/>
        <v>EAM - Revenue</v>
      </c>
      <c r="B4725" s="33" t="str">
        <f t="shared" si="293"/>
        <v>EAM</v>
      </c>
      <c r="C4725" s="33" t="str">
        <f t="shared" si="294"/>
        <v>47491-0000</v>
      </c>
      <c r="D4725" s="64" t="s">
        <v>5730</v>
      </c>
      <c r="E4725" s="64" t="s">
        <v>3733</v>
      </c>
      <c r="F4725" s="64" t="s">
        <v>230</v>
      </c>
      <c r="G4725" s="64" t="s">
        <v>3717</v>
      </c>
      <c r="H4725" s="64" t="s">
        <v>2871</v>
      </c>
      <c r="I4725" s="64" t="s">
        <v>3734</v>
      </c>
      <c r="J4725" s="67">
        <v>-186.31</v>
      </c>
      <c r="K4725" s="62">
        <v>-8334.9</v>
      </c>
      <c r="L4725" s="33" t="e">
        <f>HLOOKUP(B4725,#REF!,1,0)</f>
        <v>#REF!</v>
      </c>
      <c r="M4725" s="33" t="str">
        <f t="shared" si="295"/>
        <v>P&amp;L</v>
      </c>
    </row>
    <row r="4726" spans="1:13" s="33" customFormat="true" ht="12.75" customHeight="true">
      <c r="A4726" s="33" t="str">
        <f t="shared" si="292"/>
        <v>EAM - Revenue</v>
      </c>
      <c r="B4726" s="33" t="str">
        <f t="shared" si="293"/>
        <v>EAM</v>
      </c>
      <c r="C4726" s="33" t="str">
        <f t="shared" si="294"/>
        <v>47492-0000</v>
      </c>
      <c r="D4726" s="64" t="s">
        <v>5731</v>
      </c>
      <c r="E4726" s="64" t="s">
        <v>3736</v>
      </c>
      <c r="F4726" s="64" t="s">
        <v>230</v>
      </c>
      <c r="G4726" s="64" t="s">
        <v>3717</v>
      </c>
      <c r="H4726" s="64" t="s">
        <v>2871</v>
      </c>
      <c r="I4726" s="64" t="s">
        <v>3737</v>
      </c>
      <c r="J4726" s="67">
        <v>-306.85</v>
      </c>
      <c r="K4726" s="62">
        <v>-3017.4</v>
      </c>
      <c r="L4726" s="33" t="e">
        <f>HLOOKUP(B4726,#REF!,1,0)</f>
        <v>#REF!</v>
      </c>
      <c r="M4726" s="33" t="str">
        <f t="shared" si="295"/>
        <v>P&amp;L</v>
      </c>
    </row>
    <row r="4727" spans="1:13" s="33" customFormat="true" ht="12.75" customHeight="true">
      <c r="A4727" s="33" t="str">
        <f t="shared" si="292"/>
        <v>EAM - Revenue</v>
      </c>
      <c r="B4727" s="33" t="str">
        <f t="shared" si="293"/>
        <v>EAM</v>
      </c>
      <c r="C4727" s="33" t="str">
        <f t="shared" si="294"/>
        <v>47493-0000</v>
      </c>
      <c r="D4727" s="64" t="s">
        <v>5732</v>
      </c>
      <c r="E4727" s="64" t="s">
        <v>4229</v>
      </c>
      <c r="F4727" s="64" t="s">
        <v>230</v>
      </c>
      <c r="G4727" s="64" t="s">
        <v>3717</v>
      </c>
      <c r="H4727" s="64" t="s">
        <v>2871</v>
      </c>
      <c r="I4727" s="64" t="s">
        <v>4230</v>
      </c>
      <c r="J4727" s="67">
        <v>-1872</v>
      </c>
      <c r="K4727" s="62">
        <v>-17466.38</v>
      </c>
      <c r="L4727" s="33" t="e">
        <f>HLOOKUP(B4727,#REF!,1,0)</f>
        <v>#REF!</v>
      </c>
      <c r="M4727" s="33" t="str">
        <f t="shared" si="295"/>
        <v>P&amp;L</v>
      </c>
    </row>
    <row r="4728" spans="1:13" s="33" customFormat="true" ht="12.75" customHeight="true">
      <c r="A4728" s="33" t="str">
        <f t="shared" si="292"/>
        <v>EAM - CGS</v>
      </c>
      <c r="B4728" s="33" t="str">
        <f t="shared" si="293"/>
        <v>EAM</v>
      </c>
      <c r="C4728" s="33" t="str">
        <f t="shared" si="294"/>
        <v>51001-0000</v>
      </c>
      <c r="D4728" s="64" t="s">
        <v>5733</v>
      </c>
      <c r="E4728" s="64" t="s">
        <v>4536</v>
      </c>
      <c r="F4728" s="64" t="s">
        <v>230</v>
      </c>
      <c r="G4728" s="64" t="s">
        <v>3740</v>
      </c>
      <c r="H4728" s="64" t="s">
        <v>1875</v>
      </c>
      <c r="I4728" s="64" t="s">
        <v>4537</v>
      </c>
      <c r="J4728" s="67">
        <v>0</v>
      </c>
      <c r="K4728" s="62">
        <v>153.35</v>
      </c>
      <c r="L4728" s="33" t="e">
        <f>HLOOKUP(B4728,#REF!,1,0)</f>
        <v>#REF!</v>
      </c>
      <c r="M4728" s="33" t="str">
        <f t="shared" si="295"/>
        <v>P&amp;L</v>
      </c>
    </row>
    <row r="4729" spans="1:13" s="33" customFormat="true" ht="12.75" customHeight="true">
      <c r="A4729" s="33" t="str">
        <f t="shared" si="292"/>
        <v>EAM - CGS</v>
      </c>
      <c r="B4729" s="33" t="str">
        <f t="shared" si="293"/>
        <v>EAM</v>
      </c>
      <c r="C4729" s="33" t="str">
        <f t="shared" si="294"/>
        <v>51002-0000</v>
      </c>
      <c r="D4729" s="64" t="s">
        <v>5734</v>
      </c>
      <c r="E4729" s="64" t="s">
        <v>4086</v>
      </c>
      <c r="F4729" s="64" t="s">
        <v>230</v>
      </c>
      <c r="G4729" s="64" t="s">
        <v>3740</v>
      </c>
      <c r="H4729" s="64" t="s">
        <v>1875</v>
      </c>
      <c r="I4729" s="64" t="s">
        <v>4087</v>
      </c>
      <c r="J4729" s="67">
        <v>0</v>
      </c>
      <c r="K4729" s="62">
        <v>0</v>
      </c>
      <c r="L4729" s="33" t="e">
        <f>HLOOKUP(B4729,#REF!,1,0)</f>
        <v>#REF!</v>
      </c>
      <c r="M4729" s="33" t="str">
        <f t="shared" si="295"/>
        <v>P&amp;L</v>
      </c>
    </row>
    <row r="4730" spans="1:13" s="33" customFormat="true" ht="12.75" customHeight="true">
      <c r="A4730" s="33" t="str">
        <f t="shared" si="292"/>
        <v>EAM - CGS</v>
      </c>
      <c r="B4730" s="33" t="str">
        <f t="shared" si="293"/>
        <v>EAM</v>
      </c>
      <c r="C4730" s="33" t="str">
        <f t="shared" si="294"/>
        <v>51005-0000</v>
      </c>
      <c r="D4730" s="64" t="s">
        <v>5735</v>
      </c>
      <c r="E4730" s="64" t="s">
        <v>3968</v>
      </c>
      <c r="F4730" s="64" t="s">
        <v>230</v>
      </c>
      <c r="G4730" s="64" t="s">
        <v>3740</v>
      </c>
      <c r="H4730" s="64" t="s">
        <v>1875</v>
      </c>
      <c r="I4730" s="64" t="s">
        <v>3969</v>
      </c>
      <c r="J4730" s="67">
        <v>0</v>
      </c>
      <c r="K4730" s="62">
        <v>276.13</v>
      </c>
      <c r="L4730" s="33" t="e">
        <f>HLOOKUP(B4730,#REF!,1,0)</f>
        <v>#REF!</v>
      </c>
      <c r="M4730" s="33" t="str">
        <f t="shared" si="295"/>
        <v>P&amp;L</v>
      </c>
    </row>
    <row r="4731" spans="1:13" s="33" customFormat="true" ht="12.75" customHeight="true">
      <c r="A4731" s="33" t="str">
        <f t="shared" si="292"/>
        <v>EAM - CGS</v>
      </c>
      <c r="B4731" s="33" t="str">
        <f t="shared" si="293"/>
        <v>EAM</v>
      </c>
      <c r="C4731" s="33" t="str">
        <f t="shared" si="294"/>
        <v>51006-0000</v>
      </c>
      <c r="D4731" s="64" t="s">
        <v>5736</v>
      </c>
      <c r="E4731" s="64" t="s">
        <v>3739</v>
      </c>
      <c r="F4731" s="64" t="s">
        <v>230</v>
      </c>
      <c r="G4731" s="64" t="s">
        <v>3740</v>
      </c>
      <c r="H4731" s="64" t="s">
        <v>1875</v>
      </c>
      <c r="I4731" s="64" t="s">
        <v>3741</v>
      </c>
      <c r="J4731" s="67">
        <v>0</v>
      </c>
      <c r="K4731" s="62">
        <v>1010.33</v>
      </c>
      <c r="L4731" s="33" t="e">
        <f>HLOOKUP(B4731,#REF!,1,0)</f>
        <v>#REF!</v>
      </c>
      <c r="M4731" s="33" t="str">
        <f t="shared" si="295"/>
        <v>P&amp;L</v>
      </c>
    </row>
    <row r="4732" spans="1:13" s="33" customFormat="true" ht="12.75" customHeight="true">
      <c r="A4732" s="33" t="str">
        <f t="shared" si="292"/>
        <v>EAM - CGS</v>
      </c>
      <c r="B4732" s="33" t="str">
        <f t="shared" si="293"/>
        <v>EAM</v>
      </c>
      <c r="C4732" s="33" t="str">
        <f t="shared" si="294"/>
        <v>51008-0000</v>
      </c>
      <c r="D4732" s="64" t="s">
        <v>5737</v>
      </c>
      <c r="E4732" s="64" t="s">
        <v>3743</v>
      </c>
      <c r="F4732" s="64" t="s">
        <v>230</v>
      </c>
      <c r="G4732" s="64" t="s">
        <v>3740</v>
      </c>
      <c r="H4732" s="64" t="s">
        <v>1875</v>
      </c>
      <c r="I4732" s="64" t="s">
        <v>3744</v>
      </c>
      <c r="J4732" s="67">
        <v>0</v>
      </c>
      <c r="K4732" s="62">
        <v>2026.95</v>
      </c>
      <c r="L4732" s="33" t="e">
        <f>HLOOKUP(B4732,#REF!,1,0)</f>
        <v>#REF!</v>
      </c>
      <c r="M4732" s="33" t="str">
        <f t="shared" si="295"/>
        <v>P&amp;L</v>
      </c>
    </row>
    <row r="4733" spans="1:13" s="33" customFormat="true" ht="12.75" customHeight="true">
      <c r="A4733" s="33" t="str">
        <f t="shared" si="292"/>
        <v>EAM - CGS</v>
      </c>
      <c r="B4733" s="33" t="str">
        <f t="shared" si="293"/>
        <v>EAM</v>
      </c>
      <c r="C4733" s="33" t="str">
        <f t="shared" si="294"/>
        <v>51009-0000</v>
      </c>
      <c r="D4733" s="64" t="s">
        <v>5738</v>
      </c>
      <c r="E4733" s="64" t="s">
        <v>3746</v>
      </c>
      <c r="F4733" s="64" t="s">
        <v>230</v>
      </c>
      <c r="G4733" s="64" t="s">
        <v>3740</v>
      </c>
      <c r="H4733" s="64" t="s">
        <v>1875</v>
      </c>
      <c r="I4733" s="64" t="s">
        <v>3747</v>
      </c>
      <c r="J4733" s="67">
        <v>204.29</v>
      </c>
      <c r="K4733" s="62">
        <v>1229.4</v>
      </c>
      <c r="L4733" s="33" t="e">
        <f>HLOOKUP(B4733,#REF!,1,0)</f>
        <v>#REF!</v>
      </c>
      <c r="M4733" s="33" t="str">
        <f t="shared" si="295"/>
        <v>P&amp;L</v>
      </c>
    </row>
    <row r="4734" spans="1:13" s="33" customFormat="true" ht="12.75" customHeight="true">
      <c r="A4734" s="33" t="str">
        <f t="shared" si="292"/>
        <v>EAM - CGS</v>
      </c>
      <c r="B4734" s="33" t="str">
        <f t="shared" si="293"/>
        <v>EAM</v>
      </c>
      <c r="C4734" s="33" t="str">
        <f t="shared" si="294"/>
        <v>51011-0000</v>
      </c>
      <c r="D4734" s="64" t="s">
        <v>5739</v>
      </c>
      <c r="E4734" s="64" t="s">
        <v>3749</v>
      </c>
      <c r="F4734" s="64" t="s">
        <v>230</v>
      </c>
      <c r="G4734" s="64" t="s">
        <v>3740</v>
      </c>
      <c r="H4734" s="64" t="s">
        <v>1875</v>
      </c>
      <c r="I4734" s="64" t="s">
        <v>3750</v>
      </c>
      <c r="J4734" s="67">
        <v>0</v>
      </c>
      <c r="K4734" s="62">
        <v>2200</v>
      </c>
      <c r="L4734" s="33" t="e">
        <f>HLOOKUP(B4734,#REF!,1,0)</f>
        <v>#REF!</v>
      </c>
      <c r="M4734" s="33" t="str">
        <f t="shared" si="295"/>
        <v>P&amp;L</v>
      </c>
    </row>
    <row r="4735" spans="1:13" s="33" customFormat="true" ht="12.75" customHeight="true">
      <c r="A4735" s="33" t="str">
        <f t="shared" si="292"/>
        <v>EAM - CGS</v>
      </c>
      <c r="B4735" s="33" t="str">
        <f t="shared" si="293"/>
        <v>EAM</v>
      </c>
      <c r="C4735" s="33" t="str">
        <f t="shared" si="294"/>
        <v>51012-0000</v>
      </c>
      <c r="D4735" s="64" t="s">
        <v>5740</v>
      </c>
      <c r="E4735" s="64" t="s">
        <v>3752</v>
      </c>
      <c r="F4735" s="64" t="s">
        <v>230</v>
      </c>
      <c r="G4735" s="64" t="s">
        <v>3740</v>
      </c>
      <c r="H4735" s="64" t="s">
        <v>1875</v>
      </c>
      <c r="I4735" s="64" t="s">
        <v>3753</v>
      </c>
      <c r="J4735" s="67">
        <v>124.99</v>
      </c>
      <c r="K4735" s="62">
        <v>878.94</v>
      </c>
      <c r="L4735" s="33" t="e">
        <f>HLOOKUP(B4735,#REF!,1,0)</f>
        <v>#REF!</v>
      </c>
      <c r="M4735" s="33" t="str">
        <f t="shared" si="295"/>
        <v>P&amp;L</v>
      </c>
    </row>
    <row r="4736" spans="1:13" s="33" customFormat="true" ht="12.75" customHeight="true">
      <c r="A4736" s="33" t="str">
        <f t="shared" si="292"/>
        <v>EAM - CGS</v>
      </c>
      <c r="B4736" s="33" t="str">
        <f t="shared" si="293"/>
        <v>EAM</v>
      </c>
      <c r="C4736" s="33" t="str">
        <f t="shared" si="294"/>
        <v>51015-0000</v>
      </c>
      <c r="D4736" s="64" t="s">
        <v>5741</v>
      </c>
      <c r="E4736" s="64" t="s">
        <v>3755</v>
      </c>
      <c r="F4736" s="64" t="s">
        <v>230</v>
      </c>
      <c r="G4736" s="64" t="s">
        <v>3740</v>
      </c>
      <c r="H4736" s="64" t="s">
        <v>1875</v>
      </c>
      <c r="I4736" s="64" t="s">
        <v>3756</v>
      </c>
      <c r="J4736" s="67">
        <v>11.16</v>
      </c>
      <c r="K4736" s="62">
        <v>223.22</v>
      </c>
      <c r="L4736" s="33" t="e">
        <f>HLOOKUP(B4736,#REF!,1,0)</f>
        <v>#REF!</v>
      </c>
      <c r="M4736" s="33" t="str">
        <f t="shared" si="295"/>
        <v>P&amp;L</v>
      </c>
    </row>
    <row r="4737" spans="1:13" s="33" customFormat="true" ht="12.75" customHeight="true">
      <c r="A4737" s="33" t="str">
        <f t="shared" si="292"/>
        <v>EAM - CGS</v>
      </c>
      <c r="B4737" s="33" t="str">
        <f t="shared" si="293"/>
        <v>EAM</v>
      </c>
      <c r="C4737" s="33" t="str">
        <f t="shared" si="294"/>
        <v>51017-0000</v>
      </c>
      <c r="D4737" s="64" t="s">
        <v>5742</v>
      </c>
      <c r="E4737" s="64" t="s">
        <v>3758</v>
      </c>
      <c r="F4737" s="64" t="s">
        <v>230</v>
      </c>
      <c r="G4737" s="64" t="s">
        <v>3160</v>
      </c>
      <c r="H4737" s="64" t="s">
        <v>1875</v>
      </c>
      <c r="I4737" s="64" t="s">
        <v>3759</v>
      </c>
      <c r="J4737" s="67">
        <v>1437.3</v>
      </c>
      <c r="K4737" s="62">
        <v>13633.19</v>
      </c>
      <c r="L4737" s="33" t="e">
        <f>HLOOKUP(B4737,#REF!,1,0)</f>
        <v>#REF!</v>
      </c>
      <c r="M4737" s="33" t="str">
        <f t="shared" si="295"/>
        <v>P&amp;L</v>
      </c>
    </row>
    <row r="4738" spans="1:13" s="33" customFormat="true" ht="12.75" customHeight="true">
      <c r="A4738" s="33" t="str">
        <f t="shared" ref="A4738:A4801" si="296">B4738&amp;" - "&amp;TRIM(H4738)</f>
        <v>EAM - CGS</v>
      </c>
      <c r="B4738" s="33" t="str">
        <f t="shared" ref="B4738:B4801" si="297">LEFT(D4738,3)</f>
        <v>EAM</v>
      </c>
      <c r="C4738" s="33" t="str">
        <f t="shared" ref="C4738:C4801" si="298">RIGHT(D4738,10)</f>
        <v>51019-0000</v>
      </c>
      <c r="D4738" s="64" t="s">
        <v>5743</v>
      </c>
      <c r="E4738" s="64" t="s">
        <v>3761</v>
      </c>
      <c r="F4738" s="64" t="s">
        <v>230</v>
      </c>
      <c r="G4738" s="64" t="s">
        <v>3740</v>
      </c>
      <c r="H4738" s="64" t="s">
        <v>1875</v>
      </c>
      <c r="I4738" s="64" t="s">
        <v>3340</v>
      </c>
      <c r="J4738" s="67">
        <v>0</v>
      </c>
      <c r="K4738" s="62">
        <v>14.51</v>
      </c>
      <c r="L4738" s="33" t="e">
        <f>HLOOKUP(B4738,#REF!,1,0)</f>
        <v>#REF!</v>
      </c>
      <c r="M4738" s="33" t="str">
        <f t="shared" ref="M4738:M4801" si="299">IF(VALUE(LEFT(C4738,5))&gt;40000,"P&amp;L","BS")</f>
        <v>P&amp;L</v>
      </c>
    </row>
    <row r="4739" spans="1:13" s="33" customFormat="true" ht="12.75" customHeight="true">
      <c r="A4739" s="33" t="str">
        <f t="shared" si="296"/>
        <v>EAM - CGS</v>
      </c>
      <c r="B4739" s="33" t="str">
        <f t="shared" si="297"/>
        <v>EAM</v>
      </c>
      <c r="C4739" s="33" t="str">
        <f t="shared" si="298"/>
        <v>51020-0000</v>
      </c>
      <c r="D4739" s="64" t="s">
        <v>5744</v>
      </c>
      <c r="E4739" s="64" t="s">
        <v>3763</v>
      </c>
      <c r="F4739" s="64" t="s">
        <v>230</v>
      </c>
      <c r="G4739" s="64" t="s">
        <v>3740</v>
      </c>
      <c r="H4739" s="64" t="s">
        <v>1875</v>
      </c>
      <c r="I4739" s="64" t="s">
        <v>3345</v>
      </c>
      <c r="J4739" s="67">
        <v>0</v>
      </c>
      <c r="K4739" s="62">
        <v>857.55</v>
      </c>
      <c r="L4739" s="33" t="e">
        <f>HLOOKUP(B4739,#REF!,1,0)</f>
        <v>#REF!</v>
      </c>
      <c r="M4739" s="33" t="str">
        <f t="shared" si="299"/>
        <v>P&amp;L</v>
      </c>
    </row>
    <row r="4740" spans="1:13" s="33" customFormat="true" ht="12.75" customHeight="true">
      <c r="A4740" s="33" t="str">
        <f t="shared" si="296"/>
        <v>EAM - CGS</v>
      </c>
      <c r="B4740" s="33" t="str">
        <f t="shared" si="297"/>
        <v>EAM</v>
      </c>
      <c r="C4740" s="33" t="str">
        <f t="shared" si="298"/>
        <v>51024-0000</v>
      </c>
      <c r="D4740" s="64" t="s">
        <v>5745</v>
      </c>
      <c r="E4740" s="64" t="s">
        <v>3765</v>
      </c>
      <c r="F4740" s="64" t="s">
        <v>230</v>
      </c>
      <c r="G4740" s="64" t="s">
        <v>3740</v>
      </c>
      <c r="H4740" s="64" t="s">
        <v>1875</v>
      </c>
      <c r="I4740" s="64" t="s">
        <v>3766</v>
      </c>
      <c r="J4740" s="67">
        <v>0</v>
      </c>
      <c r="K4740" s="62">
        <v>881.88</v>
      </c>
      <c r="L4740" s="33" t="e">
        <f>HLOOKUP(B4740,#REF!,1,0)</f>
        <v>#REF!</v>
      </c>
      <c r="M4740" s="33" t="str">
        <f t="shared" si="299"/>
        <v>P&amp;L</v>
      </c>
    </row>
    <row r="4741" spans="1:13" s="33" customFormat="true" ht="12.75" customHeight="true">
      <c r="A4741" s="33" t="str">
        <f t="shared" si="296"/>
        <v>EAM - CGS</v>
      </c>
      <c r="B4741" s="33" t="str">
        <f t="shared" si="297"/>
        <v>EAM</v>
      </c>
      <c r="C4741" s="33" t="str">
        <f t="shared" si="298"/>
        <v>51025-0000</v>
      </c>
      <c r="D4741" s="64" t="s">
        <v>5746</v>
      </c>
      <c r="E4741" s="64" t="s">
        <v>3988</v>
      </c>
      <c r="F4741" s="64" t="s">
        <v>230</v>
      </c>
      <c r="G4741" s="64" t="s">
        <v>3740</v>
      </c>
      <c r="H4741" s="64" t="s">
        <v>1875</v>
      </c>
      <c r="I4741" s="64" t="s">
        <v>3989</v>
      </c>
      <c r="J4741" s="67">
        <v>312.21</v>
      </c>
      <c r="K4741" s="62">
        <v>3172.49</v>
      </c>
      <c r="L4741" s="33" t="e">
        <f>HLOOKUP(B4741,#REF!,1,0)</f>
        <v>#REF!</v>
      </c>
      <c r="M4741" s="33" t="str">
        <f t="shared" si="299"/>
        <v>P&amp;L</v>
      </c>
    </row>
    <row r="4742" spans="1:13" s="33" customFormat="true" ht="12.75" customHeight="true">
      <c r="A4742" s="33" t="str">
        <f t="shared" si="296"/>
        <v>EAM - CGS</v>
      </c>
      <c r="B4742" s="33" t="str">
        <f t="shared" si="297"/>
        <v>EAM</v>
      </c>
      <c r="C4742" s="33" t="str">
        <f t="shared" si="298"/>
        <v>52001-0000</v>
      </c>
      <c r="D4742" s="64" t="s">
        <v>5747</v>
      </c>
      <c r="E4742" s="64" t="s">
        <v>3768</v>
      </c>
      <c r="F4742" s="64" t="s">
        <v>230</v>
      </c>
      <c r="G4742" s="64" t="s">
        <v>3769</v>
      </c>
      <c r="H4742" s="64" t="s">
        <v>1875</v>
      </c>
      <c r="I4742" s="64" t="s">
        <v>3770</v>
      </c>
      <c r="J4742" s="67">
        <v>0</v>
      </c>
      <c r="K4742" s="62">
        <v>331.24</v>
      </c>
      <c r="L4742" s="33" t="e">
        <f>HLOOKUP(B4742,#REF!,1,0)</f>
        <v>#REF!</v>
      </c>
      <c r="M4742" s="33" t="str">
        <f t="shared" si="299"/>
        <v>P&amp;L</v>
      </c>
    </row>
    <row r="4743" spans="1:13" s="33" customFormat="true" ht="12.75" customHeight="true">
      <c r="A4743" s="33" t="str">
        <f t="shared" si="296"/>
        <v>EAM - CGS</v>
      </c>
      <c r="B4743" s="33" t="str">
        <f t="shared" si="297"/>
        <v>EAM</v>
      </c>
      <c r="C4743" s="33" t="str">
        <f t="shared" si="298"/>
        <v>52002-0000</v>
      </c>
      <c r="D4743" s="64" t="s">
        <v>5748</v>
      </c>
      <c r="E4743" s="64" t="s">
        <v>3997</v>
      </c>
      <c r="F4743" s="64" t="s">
        <v>230</v>
      </c>
      <c r="G4743" s="64" t="s">
        <v>3769</v>
      </c>
      <c r="H4743" s="64" t="s">
        <v>1875</v>
      </c>
      <c r="I4743" s="64" t="s">
        <v>3998</v>
      </c>
      <c r="J4743" s="67">
        <v>-143.63</v>
      </c>
      <c r="K4743" s="62">
        <v>417.43</v>
      </c>
      <c r="L4743" s="33" t="e">
        <f>HLOOKUP(B4743,#REF!,1,0)</f>
        <v>#REF!</v>
      </c>
      <c r="M4743" s="33" t="str">
        <f t="shared" si="299"/>
        <v>P&amp;L</v>
      </c>
    </row>
    <row r="4744" spans="1:13" s="33" customFormat="true" ht="12.75" customHeight="true">
      <c r="A4744" s="33" t="str">
        <f t="shared" si="296"/>
        <v>EAM - CGS</v>
      </c>
      <c r="B4744" s="33" t="str">
        <f t="shared" si="297"/>
        <v>EAM</v>
      </c>
      <c r="C4744" s="33" t="str">
        <f t="shared" si="298"/>
        <v>52003-0000</v>
      </c>
      <c r="D4744" s="64" t="s">
        <v>5749</v>
      </c>
      <c r="E4744" s="64" t="s">
        <v>3772</v>
      </c>
      <c r="F4744" s="64" t="s">
        <v>230</v>
      </c>
      <c r="G4744" s="64" t="s">
        <v>3769</v>
      </c>
      <c r="H4744" s="64" t="s">
        <v>1875</v>
      </c>
      <c r="I4744" s="64" t="s">
        <v>3773</v>
      </c>
      <c r="J4744" s="67">
        <v>-335</v>
      </c>
      <c r="K4744" s="62">
        <v>898</v>
      </c>
      <c r="L4744" s="33" t="e">
        <f>HLOOKUP(B4744,#REF!,1,0)</f>
        <v>#REF!</v>
      </c>
      <c r="M4744" s="33" t="str">
        <f t="shared" si="299"/>
        <v>P&amp;L</v>
      </c>
    </row>
    <row r="4745" spans="1:13" s="33" customFormat="true" ht="12.75" customHeight="true">
      <c r="A4745" s="33" t="str">
        <f t="shared" si="296"/>
        <v>EAM - CGS</v>
      </c>
      <c r="B4745" s="33" t="str">
        <f t="shared" si="297"/>
        <v>EAM</v>
      </c>
      <c r="C4745" s="33" t="str">
        <f t="shared" si="298"/>
        <v>52004-0000</v>
      </c>
      <c r="D4745" s="64" t="s">
        <v>5750</v>
      </c>
      <c r="E4745" s="64" t="s">
        <v>3775</v>
      </c>
      <c r="F4745" s="64" t="s">
        <v>230</v>
      </c>
      <c r="G4745" s="64" t="s">
        <v>3769</v>
      </c>
      <c r="H4745" s="64" t="s">
        <v>1875</v>
      </c>
      <c r="I4745" s="64" t="s">
        <v>3776</v>
      </c>
      <c r="J4745" s="67">
        <v>-251.45</v>
      </c>
      <c r="K4745" s="62">
        <v>-707.68</v>
      </c>
      <c r="L4745" s="33" t="e">
        <f>HLOOKUP(B4745,#REF!,1,0)</f>
        <v>#REF!</v>
      </c>
      <c r="M4745" s="33" t="str">
        <f t="shared" si="299"/>
        <v>P&amp;L</v>
      </c>
    </row>
    <row r="4746" spans="1:13" s="33" customFormat="true" ht="12.75" customHeight="true">
      <c r="A4746" s="33" t="str">
        <f t="shared" si="296"/>
        <v>EAM - CGS</v>
      </c>
      <c r="B4746" s="33" t="str">
        <f t="shared" si="297"/>
        <v>EAM</v>
      </c>
      <c r="C4746" s="33" t="str">
        <f t="shared" si="298"/>
        <v>52006-0000</v>
      </c>
      <c r="D4746" s="64" t="s">
        <v>5751</v>
      </c>
      <c r="E4746" s="64" t="s">
        <v>3778</v>
      </c>
      <c r="F4746" s="64" t="s">
        <v>230</v>
      </c>
      <c r="G4746" s="64" t="s">
        <v>3769</v>
      </c>
      <c r="H4746" s="64" t="s">
        <v>1875</v>
      </c>
      <c r="I4746" s="64" t="s">
        <v>3779</v>
      </c>
      <c r="J4746" s="67">
        <v>0</v>
      </c>
      <c r="K4746" s="62">
        <v>255</v>
      </c>
      <c r="L4746" s="33" t="e">
        <f>HLOOKUP(B4746,#REF!,1,0)</f>
        <v>#REF!</v>
      </c>
      <c r="M4746" s="33" t="str">
        <f t="shared" si="299"/>
        <v>P&amp;L</v>
      </c>
    </row>
    <row r="4747" spans="1:13" s="33" customFormat="true" ht="12.75" customHeight="true">
      <c r="A4747" s="33" t="str">
        <f t="shared" si="296"/>
        <v>EAM - CGS</v>
      </c>
      <c r="B4747" s="33" t="str">
        <f t="shared" si="297"/>
        <v>EAM</v>
      </c>
      <c r="C4747" s="33" t="str">
        <f t="shared" si="298"/>
        <v>53001-0000</v>
      </c>
      <c r="D4747" s="64" t="s">
        <v>5752</v>
      </c>
      <c r="E4747" s="64" t="s">
        <v>3781</v>
      </c>
      <c r="F4747" s="64" t="s">
        <v>230</v>
      </c>
      <c r="G4747" s="64" t="s">
        <v>3160</v>
      </c>
      <c r="H4747" s="64" t="s">
        <v>1875</v>
      </c>
      <c r="I4747" s="64" t="s">
        <v>3782</v>
      </c>
      <c r="J4747" s="67">
        <v>0</v>
      </c>
      <c r="K4747" s="62">
        <v>1395.32</v>
      </c>
      <c r="L4747" s="33" t="e">
        <f>HLOOKUP(B4747,#REF!,1,0)</f>
        <v>#REF!</v>
      </c>
      <c r="M4747" s="33" t="str">
        <f t="shared" si="299"/>
        <v>P&amp;L</v>
      </c>
    </row>
    <row r="4748" spans="1:13" s="33" customFormat="true" ht="12.75" customHeight="true">
      <c r="A4748" s="33" t="str">
        <f t="shared" si="296"/>
        <v>EAM - CGS</v>
      </c>
      <c r="B4748" s="33" t="str">
        <f t="shared" si="297"/>
        <v>EAM</v>
      </c>
      <c r="C4748" s="33" t="str">
        <f t="shared" si="298"/>
        <v>53002-0000</v>
      </c>
      <c r="D4748" s="64" t="s">
        <v>5753</v>
      </c>
      <c r="E4748" s="64" t="s">
        <v>3784</v>
      </c>
      <c r="F4748" s="64" t="s">
        <v>230</v>
      </c>
      <c r="G4748" s="64" t="s">
        <v>3160</v>
      </c>
      <c r="H4748" s="64" t="s">
        <v>1875</v>
      </c>
      <c r="I4748" s="64" t="s">
        <v>3785</v>
      </c>
      <c r="J4748" s="67">
        <v>523.66</v>
      </c>
      <c r="K4748" s="62">
        <v>5706.41</v>
      </c>
      <c r="L4748" s="33" t="e">
        <f>HLOOKUP(B4748,#REF!,1,0)</f>
        <v>#REF!</v>
      </c>
      <c r="M4748" s="33" t="str">
        <f t="shared" si="299"/>
        <v>P&amp;L</v>
      </c>
    </row>
    <row r="4749" spans="1:13" s="33" customFormat="true" ht="12.75" customHeight="true">
      <c r="A4749" s="33" t="str">
        <f t="shared" si="296"/>
        <v>EAM - CGS</v>
      </c>
      <c r="B4749" s="33" t="str">
        <f t="shared" si="297"/>
        <v>EAM</v>
      </c>
      <c r="C4749" s="33" t="str">
        <f t="shared" si="298"/>
        <v>53003-0000</v>
      </c>
      <c r="D4749" s="64" t="s">
        <v>5754</v>
      </c>
      <c r="E4749" s="64" t="s">
        <v>3787</v>
      </c>
      <c r="F4749" s="64" t="s">
        <v>230</v>
      </c>
      <c r="G4749" s="64" t="s">
        <v>3160</v>
      </c>
      <c r="H4749" s="64" t="s">
        <v>1875</v>
      </c>
      <c r="I4749" s="64" t="s">
        <v>3788</v>
      </c>
      <c r="J4749" s="67">
        <v>264.87</v>
      </c>
      <c r="K4749" s="62">
        <v>2888.56</v>
      </c>
      <c r="L4749" s="33" t="e">
        <f>HLOOKUP(B4749,#REF!,1,0)</f>
        <v>#REF!</v>
      </c>
      <c r="M4749" s="33" t="str">
        <f t="shared" si="299"/>
        <v>P&amp;L</v>
      </c>
    </row>
    <row r="4750" spans="1:13" s="33" customFormat="true" ht="12.75" customHeight="true">
      <c r="A4750" s="33" t="str">
        <f t="shared" si="296"/>
        <v>EAM - CGS</v>
      </c>
      <c r="B4750" s="33" t="str">
        <f t="shared" si="297"/>
        <v>EAM</v>
      </c>
      <c r="C4750" s="33" t="str">
        <f t="shared" si="298"/>
        <v>53004-0000</v>
      </c>
      <c r="D4750" s="64" t="s">
        <v>5755</v>
      </c>
      <c r="E4750" s="64" t="s">
        <v>3790</v>
      </c>
      <c r="F4750" s="64" t="s">
        <v>230</v>
      </c>
      <c r="G4750" s="64" t="s">
        <v>3160</v>
      </c>
      <c r="H4750" s="64" t="s">
        <v>1875</v>
      </c>
      <c r="I4750" s="64" t="s">
        <v>3791</v>
      </c>
      <c r="J4750" s="67">
        <v>33.88</v>
      </c>
      <c r="K4750" s="62">
        <v>4544.77</v>
      </c>
      <c r="L4750" s="33" t="e">
        <f>HLOOKUP(B4750,#REF!,1,0)</f>
        <v>#REF!</v>
      </c>
      <c r="M4750" s="33" t="str">
        <f t="shared" si="299"/>
        <v>P&amp;L</v>
      </c>
    </row>
    <row r="4751" spans="1:13" s="33" customFormat="true" ht="12.75" customHeight="true">
      <c r="A4751" s="33" t="str">
        <f t="shared" si="296"/>
        <v>EAM - CGS</v>
      </c>
      <c r="B4751" s="33" t="str">
        <f t="shared" si="297"/>
        <v>EAM</v>
      </c>
      <c r="C4751" s="33" t="str">
        <f t="shared" si="298"/>
        <v>53005-0000</v>
      </c>
      <c r="D4751" s="64" t="s">
        <v>5756</v>
      </c>
      <c r="E4751" s="64" t="s">
        <v>3793</v>
      </c>
      <c r="F4751" s="64" t="s">
        <v>230</v>
      </c>
      <c r="G4751" s="64" t="s">
        <v>3160</v>
      </c>
      <c r="H4751" s="64" t="s">
        <v>1875</v>
      </c>
      <c r="I4751" s="64" t="s">
        <v>3794</v>
      </c>
      <c r="J4751" s="67">
        <v>0</v>
      </c>
      <c r="K4751" s="62">
        <v>5487.5</v>
      </c>
      <c r="L4751" s="33" t="e">
        <f>HLOOKUP(B4751,#REF!,1,0)</f>
        <v>#REF!</v>
      </c>
      <c r="M4751" s="33" t="str">
        <f t="shared" si="299"/>
        <v>P&amp;L</v>
      </c>
    </row>
    <row r="4752" spans="1:13" s="33" customFormat="true" ht="12.75" customHeight="true">
      <c r="A4752" s="33" t="str">
        <f t="shared" si="296"/>
        <v>EAM - CGS</v>
      </c>
      <c r="B4752" s="33" t="str">
        <f t="shared" si="297"/>
        <v>EAM</v>
      </c>
      <c r="C4752" s="33" t="str">
        <f t="shared" si="298"/>
        <v>53006-0000</v>
      </c>
      <c r="D4752" s="64" t="s">
        <v>5757</v>
      </c>
      <c r="E4752" s="64" t="s">
        <v>3796</v>
      </c>
      <c r="F4752" s="64" t="s">
        <v>230</v>
      </c>
      <c r="G4752" s="64" t="s">
        <v>3160</v>
      </c>
      <c r="H4752" s="64" t="s">
        <v>1875</v>
      </c>
      <c r="I4752" s="64" t="s">
        <v>3797</v>
      </c>
      <c r="J4752" s="67">
        <v>306.7</v>
      </c>
      <c r="K4752" s="62">
        <v>2864.49</v>
      </c>
      <c r="L4752" s="33" t="e">
        <f>HLOOKUP(B4752,#REF!,1,0)</f>
        <v>#REF!</v>
      </c>
      <c r="M4752" s="33" t="str">
        <f t="shared" si="299"/>
        <v>P&amp;L</v>
      </c>
    </row>
    <row r="4753" spans="1:13" s="33" customFormat="true" ht="12.75" customHeight="true">
      <c r="A4753" s="33" t="str">
        <f t="shared" si="296"/>
        <v>EAM - CGS</v>
      </c>
      <c r="B4753" s="33" t="str">
        <f t="shared" si="297"/>
        <v>EAM</v>
      </c>
      <c r="C4753" s="33" t="str">
        <f t="shared" si="298"/>
        <v>54001-0000</v>
      </c>
      <c r="D4753" s="64" t="s">
        <v>5758</v>
      </c>
      <c r="E4753" s="64" t="s">
        <v>4008</v>
      </c>
      <c r="F4753" s="64" t="s">
        <v>230</v>
      </c>
      <c r="G4753" s="64" t="s">
        <v>3800</v>
      </c>
      <c r="H4753" s="64" t="s">
        <v>1875</v>
      </c>
      <c r="I4753" s="64" t="s">
        <v>4009</v>
      </c>
      <c r="J4753" s="67">
        <v>0</v>
      </c>
      <c r="K4753" s="62">
        <v>0</v>
      </c>
      <c r="L4753" s="33" t="e">
        <f>HLOOKUP(B4753,#REF!,1,0)</f>
        <v>#REF!</v>
      </c>
      <c r="M4753" s="33" t="str">
        <f t="shared" si="299"/>
        <v>P&amp;L</v>
      </c>
    </row>
    <row r="4754" spans="1:13" s="33" customFormat="true" ht="12.75" customHeight="true">
      <c r="A4754" s="33" t="str">
        <f t="shared" si="296"/>
        <v>EAM - CGS</v>
      </c>
      <c r="B4754" s="33" t="str">
        <f t="shared" si="297"/>
        <v>EAM</v>
      </c>
      <c r="C4754" s="33" t="str">
        <f t="shared" si="298"/>
        <v>54002-0000</v>
      </c>
      <c r="D4754" s="64" t="s">
        <v>5759</v>
      </c>
      <c r="E4754" s="64" t="s">
        <v>3799</v>
      </c>
      <c r="F4754" s="64" t="s">
        <v>230</v>
      </c>
      <c r="G4754" s="64" t="s">
        <v>3800</v>
      </c>
      <c r="H4754" s="64" t="s">
        <v>1875</v>
      </c>
      <c r="I4754" s="64" t="s">
        <v>3801</v>
      </c>
      <c r="J4754" s="67">
        <v>200</v>
      </c>
      <c r="K4754" s="62">
        <v>1748</v>
      </c>
      <c r="L4754" s="33" t="e">
        <f>HLOOKUP(B4754,#REF!,1,0)</f>
        <v>#REF!</v>
      </c>
      <c r="M4754" s="33" t="str">
        <f t="shared" si="299"/>
        <v>P&amp;L</v>
      </c>
    </row>
    <row r="4755" spans="1:13" s="33" customFormat="true" ht="12.75" customHeight="true">
      <c r="A4755" s="33" t="str">
        <f t="shared" si="296"/>
        <v>EAM - CGS</v>
      </c>
      <c r="B4755" s="33" t="str">
        <f t="shared" si="297"/>
        <v>EAM</v>
      </c>
      <c r="C4755" s="33" t="str">
        <f t="shared" si="298"/>
        <v>54003-0000</v>
      </c>
      <c r="D4755" s="64" t="s">
        <v>5760</v>
      </c>
      <c r="E4755" s="64" t="s">
        <v>3803</v>
      </c>
      <c r="F4755" s="64" t="s">
        <v>230</v>
      </c>
      <c r="G4755" s="64" t="s">
        <v>3800</v>
      </c>
      <c r="H4755" s="64" t="s">
        <v>1875</v>
      </c>
      <c r="I4755" s="64" t="s">
        <v>3804</v>
      </c>
      <c r="J4755" s="67">
        <v>0</v>
      </c>
      <c r="K4755" s="62">
        <v>0</v>
      </c>
      <c r="L4755" s="33" t="e">
        <f>HLOOKUP(B4755,#REF!,1,0)</f>
        <v>#REF!</v>
      </c>
      <c r="M4755" s="33" t="str">
        <f t="shared" si="299"/>
        <v>P&amp;L</v>
      </c>
    </row>
    <row r="4756" spans="1:13" s="33" customFormat="true" ht="12.75" customHeight="true">
      <c r="A4756" s="33" t="str">
        <f t="shared" si="296"/>
        <v>EAM - CGS</v>
      </c>
      <c r="B4756" s="33" t="str">
        <f t="shared" si="297"/>
        <v>EAM</v>
      </c>
      <c r="C4756" s="33" t="str">
        <f t="shared" si="298"/>
        <v>54004-0000</v>
      </c>
      <c r="D4756" s="64" t="s">
        <v>5761</v>
      </c>
      <c r="E4756" s="64" t="s">
        <v>3806</v>
      </c>
      <c r="F4756" s="64" t="s">
        <v>230</v>
      </c>
      <c r="G4756" s="64" t="s">
        <v>3800</v>
      </c>
      <c r="H4756" s="64" t="s">
        <v>1875</v>
      </c>
      <c r="I4756" s="64" t="s">
        <v>3807</v>
      </c>
      <c r="J4756" s="67">
        <v>560</v>
      </c>
      <c r="K4756" s="62">
        <v>5208</v>
      </c>
      <c r="L4756" s="33" t="e">
        <f>HLOOKUP(B4756,#REF!,1,0)</f>
        <v>#REF!</v>
      </c>
      <c r="M4756" s="33" t="str">
        <f t="shared" si="299"/>
        <v>P&amp;L</v>
      </c>
    </row>
    <row r="4757" spans="1:13" s="33" customFormat="true" ht="12.75" customHeight="true">
      <c r="A4757" s="33" t="str">
        <f t="shared" si="296"/>
        <v>EAM - CGS</v>
      </c>
      <c r="B4757" s="33" t="str">
        <f t="shared" si="297"/>
        <v>EAM</v>
      </c>
      <c r="C4757" s="33" t="str">
        <f t="shared" si="298"/>
        <v>54005-0000</v>
      </c>
      <c r="D4757" s="64" t="s">
        <v>5762</v>
      </c>
      <c r="E4757" s="64" t="s">
        <v>3809</v>
      </c>
      <c r="F4757" s="64" t="s">
        <v>230</v>
      </c>
      <c r="G4757" s="64" t="s">
        <v>3800</v>
      </c>
      <c r="H4757" s="64" t="s">
        <v>1875</v>
      </c>
      <c r="I4757" s="64" t="s">
        <v>3810</v>
      </c>
      <c r="J4757" s="67">
        <v>96.9</v>
      </c>
      <c r="K4757" s="62">
        <v>1190.97</v>
      </c>
      <c r="L4757" s="33" t="e">
        <f>HLOOKUP(B4757,#REF!,1,0)</f>
        <v>#REF!</v>
      </c>
      <c r="M4757" s="33" t="str">
        <f t="shared" si="299"/>
        <v>P&amp;L</v>
      </c>
    </row>
    <row r="4758" spans="1:13" s="33" customFormat="true" ht="12.75" customHeight="true">
      <c r="A4758" s="33" t="str">
        <f t="shared" si="296"/>
        <v>EAM - CGS</v>
      </c>
      <c r="B4758" s="33" t="str">
        <f t="shared" si="297"/>
        <v>EAM</v>
      </c>
      <c r="C4758" s="33" t="str">
        <f t="shared" si="298"/>
        <v>54006-0000</v>
      </c>
      <c r="D4758" s="64" t="s">
        <v>5763</v>
      </c>
      <c r="E4758" s="64" t="s">
        <v>3812</v>
      </c>
      <c r="F4758" s="64" t="s">
        <v>230</v>
      </c>
      <c r="G4758" s="64" t="s">
        <v>3800</v>
      </c>
      <c r="H4758" s="64" t="s">
        <v>1875</v>
      </c>
      <c r="I4758" s="64" t="s">
        <v>3003</v>
      </c>
      <c r="J4758" s="67">
        <v>64.98</v>
      </c>
      <c r="K4758" s="62">
        <v>573.38</v>
      </c>
      <c r="L4758" s="33" t="e">
        <f>HLOOKUP(B4758,#REF!,1,0)</f>
        <v>#REF!</v>
      </c>
      <c r="M4758" s="33" t="str">
        <f t="shared" si="299"/>
        <v>P&amp;L</v>
      </c>
    </row>
    <row r="4759" spans="1:13" s="33" customFormat="true" ht="12.75" customHeight="true">
      <c r="A4759" s="33" t="str">
        <f t="shared" si="296"/>
        <v>EAM - CGS</v>
      </c>
      <c r="B4759" s="33" t="str">
        <f t="shared" si="297"/>
        <v>EAM</v>
      </c>
      <c r="C4759" s="33" t="str">
        <f t="shared" si="298"/>
        <v>54007-0000</v>
      </c>
      <c r="D4759" s="64" t="s">
        <v>5764</v>
      </c>
      <c r="E4759" s="64" t="s">
        <v>3814</v>
      </c>
      <c r="F4759" s="64" t="s">
        <v>230</v>
      </c>
      <c r="G4759" s="64" t="s">
        <v>3800</v>
      </c>
      <c r="H4759" s="64" t="s">
        <v>1875</v>
      </c>
      <c r="I4759" s="64" t="s">
        <v>3815</v>
      </c>
      <c r="J4759" s="67">
        <v>0</v>
      </c>
      <c r="K4759" s="62">
        <v>300</v>
      </c>
      <c r="L4759" s="33" t="e">
        <f>HLOOKUP(B4759,#REF!,1,0)</f>
        <v>#REF!</v>
      </c>
      <c r="M4759" s="33" t="str">
        <f t="shared" si="299"/>
        <v>P&amp;L</v>
      </c>
    </row>
    <row r="4760" spans="1:13" s="33" customFormat="true" ht="12.75" customHeight="true">
      <c r="A4760" s="33" t="str">
        <f t="shared" si="296"/>
        <v>EAM - PM Expenses</v>
      </c>
      <c r="B4760" s="33" t="str">
        <f t="shared" si="297"/>
        <v>EAM</v>
      </c>
      <c r="C4760" s="33" t="str">
        <f t="shared" si="298"/>
        <v>55501-0000</v>
      </c>
      <c r="D4760" s="64" t="s">
        <v>5765</v>
      </c>
      <c r="E4760" s="64" t="s">
        <v>3817</v>
      </c>
      <c r="F4760" s="64" t="s">
        <v>230</v>
      </c>
      <c r="G4760" s="64" t="s">
        <v>3818</v>
      </c>
      <c r="H4760" s="64" t="s">
        <v>3819</v>
      </c>
      <c r="I4760" s="64" t="s">
        <v>3820</v>
      </c>
      <c r="J4760" s="67">
        <v>0</v>
      </c>
      <c r="K4760" s="62">
        <v>1516.75</v>
      </c>
      <c r="L4760" s="33" t="e">
        <f>HLOOKUP(B4760,#REF!,1,0)</f>
        <v>#REF!</v>
      </c>
      <c r="M4760" s="33" t="str">
        <f t="shared" si="299"/>
        <v>P&amp;L</v>
      </c>
    </row>
    <row r="4761" spans="1:13" s="33" customFormat="true" ht="12.75" customHeight="true">
      <c r="A4761" s="33" t="str">
        <f t="shared" si="296"/>
        <v>EAM - PM Expenses</v>
      </c>
      <c r="B4761" s="33" t="str">
        <f t="shared" si="297"/>
        <v>EAM</v>
      </c>
      <c r="C4761" s="33" t="str">
        <f t="shared" si="298"/>
        <v>55503-0000</v>
      </c>
      <c r="D4761" s="64" t="s">
        <v>5766</v>
      </c>
      <c r="E4761" s="64" t="s">
        <v>3825</v>
      </c>
      <c r="F4761" s="64" t="s">
        <v>230</v>
      </c>
      <c r="G4761" s="64" t="s">
        <v>3818</v>
      </c>
      <c r="H4761" s="64" t="s">
        <v>3819</v>
      </c>
      <c r="I4761" s="64" t="s">
        <v>3826</v>
      </c>
      <c r="J4761" s="67">
        <v>0</v>
      </c>
      <c r="K4761" s="62">
        <v>182</v>
      </c>
      <c r="L4761" s="33" t="e">
        <f>HLOOKUP(B4761,#REF!,1,0)</f>
        <v>#REF!</v>
      </c>
      <c r="M4761" s="33" t="str">
        <f t="shared" si="299"/>
        <v>P&amp;L</v>
      </c>
    </row>
    <row r="4762" spans="1:13" s="33" customFormat="true" ht="12.75" customHeight="true">
      <c r="A4762" s="33" t="str">
        <f t="shared" si="296"/>
        <v>EAM - PM Expenses</v>
      </c>
      <c r="B4762" s="33" t="str">
        <f t="shared" si="297"/>
        <v>EAM</v>
      </c>
      <c r="C4762" s="33" t="str">
        <f t="shared" si="298"/>
        <v>55504-0000</v>
      </c>
      <c r="D4762" s="64" t="s">
        <v>5767</v>
      </c>
      <c r="E4762" s="64" t="s">
        <v>4027</v>
      </c>
      <c r="F4762" s="64" t="s">
        <v>230</v>
      </c>
      <c r="G4762" s="64" t="s">
        <v>3818</v>
      </c>
      <c r="H4762" s="64" t="s">
        <v>3819</v>
      </c>
      <c r="I4762" s="64" t="s">
        <v>4028</v>
      </c>
      <c r="J4762" s="67">
        <v>0</v>
      </c>
      <c r="K4762" s="62">
        <v>308</v>
      </c>
      <c r="L4762" s="33" t="e">
        <f>HLOOKUP(B4762,#REF!,1,0)</f>
        <v>#REF!</v>
      </c>
      <c r="M4762" s="33" t="str">
        <f t="shared" si="299"/>
        <v>P&amp;L</v>
      </c>
    </row>
    <row r="4763" spans="1:13" s="33" customFormat="true" ht="12.75" customHeight="true">
      <c r="A4763" s="33" t="str">
        <f t="shared" si="296"/>
        <v>EAM - PM Expenses</v>
      </c>
      <c r="B4763" s="33" t="str">
        <f t="shared" si="297"/>
        <v>EAM</v>
      </c>
      <c r="C4763" s="33" t="str">
        <f t="shared" si="298"/>
        <v>55505-0000</v>
      </c>
      <c r="D4763" s="64" t="s">
        <v>5768</v>
      </c>
      <c r="E4763" s="64" t="s">
        <v>3828</v>
      </c>
      <c r="F4763" s="64" t="s">
        <v>230</v>
      </c>
      <c r="G4763" s="64" t="s">
        <v>3818</v>
      </c>
      <c r="H4763" s="64" t="s">
        <v>3819</v>
      </c>
      <c r="I4763" s="64" t="s">
        <v>3829</v>
      </c>
      <c r="J4763" s="67">
        <v>0</v>
      </c>
      <c r="K4763" s="62">
        <v>4309.33</v>
      </c>
      <c r="L4763" s="33" t="e">
        <f>HLOOKUP(B4763,#REF!,1,0)</f>
        <v>#REF!</v>
      </c>
      <c r="M4763" s="33" t="str">
        <f t="shared" si="299"/>
        <v>P&amp;L</v>
      </c>
    </row>
    <row r="4764" spans="1:13" s="33" customFormat="true" ht="12.75" customHeight="true">
      <c r="A4764" s="33" t="str">
        <f t="shared" si="296"/>
        <v>EAM - PM Expenses</v>
      </c>
      <c r="B4764" s="33" t="str">
        <f t="shared" si="297"/>
        <v>EAM</v>
      </c>
      <c r="C4764" s="33" t="str">
        <f t="shared" si="298"/>
        <v>55506-0000</v>
      </c>
      <c r="D4764" s="64" t="s">
        <v>5769</v>
      </c>
      <c r="E4764" s="64" t="s">
        <v>3831</v>
      </c>
      <c r="F4764" s="64" t="s">
        <v>230</v>
      </c>
      <c r="G4764" s="64" t="s">
        <v>3818</v>
      </c>
      <c r="H4764" s="64" t="s">
        <v>3819</v>
      </c>
      <c r="I4764" s="64" t="s">
        <v>3832</v>
      </c>
      <c r="J4764" s="67">
        <v>0</v>
      </c>
      <c r="K4764" s="62">
        <v>10810.6</v>
      </c>
      <c r="L4764" s="33" t="e">
        <f>HLOOKUP(B4764,#REF!,1,0)</f>
        <v>#REF!</v>
      </c>
      <c r="M4764" s="33" t="str">
        <f t="shared" si="299"/>
        <v>P&amp;L</v>
      </c>
    </row>
    <row r="4765" spans="1:13" s="33" customFormat="true" ht="12.75" customHeight="true">
      <c r="A4765" s="33" t="str">
        <f t="shared" si="296"/>
        <v>EAM - CGS</v>
      </c>
      <c r="B4765" s="33" t="str">
        <f t="shared" si="297"/>
        <v>EAM</v>
      </c>
      <c r="C4765" s="33" t="str">
        <f t="shared" si="298"/>
        <v>60002-0000</v>
      </c>
      <c r="D4765" s="64" t="s">
        <v>5770</v>
      </c>
      <c r="E4765" s="64" t="s">
        <v>3837</v>
      </c>
      <c r="F4765" s="64" t="s">
        <v>230</v>
      </c>
      <c r="G4765" s="64" t="s">
        <v>3838</v>
      </c>
      <c r="H4765" s="64" t="s">
        <v>1875</v>
      </c>
      <c r="I4765" s="64" t="s">
        <v>3839</v>
      </c>
      <c r="J4765" s="67">
        <v>0</v>
      </c>
      <c r="K4765" s="62">
        <v>20</v>
      </c>
      <c r="L4765" s="33" t="e">
        <f>HLOOKUP(B4765,#REF!,1,0)</f>
        <v>#REF!</v>
      </c>
      <c r="M4765" s="33" t="str">
        <f t="shared" si="299"/>
        <v>P&amp;L</v>
      </c>
    </row>
    <row r="4766" spans="1:13" s="33" customFormat="true" ht="12.75" customHeight="true">
      <c r="A4766" s="33" t="str">
        <f t="shared" si="296"/>
        <v>EAM - CGS</v>
      </c>
      <c r="B4766" s="33" t="str">
        <f t="shared" si="297"/>
        <v>EAM</v>
      </c>
      <c r="C4766" s="33" t="str">
        <f t="shared" si="298"/>
        <v>60005-0000</v>
      </c>
      <c r="D4766" s="64" t="s">
        <v>5771</v>
      </c>
      <c r="E4766" s="64" t="s">
        <v>3841</v>
      </c>
      <c r="F4766" s="64" t="s">
        <v>230</v>
      </c>
      <c r="G4766" s="64" t="s">
        <v>3838</v>
      </c>
      <c r="H4766" s="64" t="s">
        <v>1875</v>
      </c>
      <c r="I4766" s="64" t="s">
        <v>3842</v>
      </c>
      <c r="J4766" s="67">
        <v>450</v>
      </c>
      <c r="K4766" s="62">
        <v>1700.14</v>
      </c>
      <c r="L4766" s="33" t="e">
        <f>HLOOKUP(B4766,#REF!,1,0)</f>
        <v>#REF!</v>
      </c>
      <c r="M4766" s="33" t="str">
        <f t="shared" si="299"/>
        <v>P&amp;L</v>
      </c>
    </row>
    <row r="4767" spans="1:13" s="33" customFormat="true" ht="12.75" customHeight="true">
      <c r="A4767" s="33" t="str">
        <f t="shared" si="296"/>
        <v>EAM - Interest Expense</v>
      </c>
      <c r="B4767" s="33" t="str">
        <f t="shared" si="297"/>
        <v>EAM</v>
      </c>
      <c r="C4767" s="33" t="str">
        <f t="shared" si="298"/>
        <v>60006-0000</v>
      </c>
      <c r="D4767" s="64" t="s">
        <v>5772</v>
      </c>
      <c r="E4767" s="64" t="s">
        <v>3325</v>
      </c>
      <c r="F4767" s="64" t="s">
        <v>230</v>
      </c>
      <c r="G4767" s="64" t="s">
        <v>3844</v>
      </c>
      <c r="H4767" s="64" t="s">
        <v>3327</v>
      </c>
      <c r="I4767" s="64" t="s">
        <v>3328</v>
      </c>
      <c r="J4767" s="67">
        <v>43687.5</v>
      </c>
      <c r="K4767" s="62">
        <v>393187.5</v>
      </c>
      <c r="L4767" s="33" t="e">
        <f>HLOOKUP(B4767,#REF!,1,0)</f>
        <v>#REF!</v>
      </c>
      <c r="M4767" s="33" t="str">
        <f t="shared" si="299"/>
        <v>P&amp;L</v>
      </c>
    </row>
    <row r="4768" spans="1:13" s="33" customFormat="true" ht="12.75" customHeight="true">
      <c r="A4768" s="33" t="str">
        <f t="shared" si="296"/>
        <v>EAM - CGS</v>
      </c>
      <c r="B4768" s="33" t="str">
        <f t="shared" si="297"/>
        <v>EAM</v>
      </c>
      <c r="C4768" s="33" t="str">
        <f t="shared" si="298"/>
        <v>60014-0000</v>
      </c>
      <c r="D4768" s="64" t="s">
        <v>5773</v>
      </c>
      <c r="E4768" s="64" t="s">
        <v>3855</v>
      </c>
      <c r="F4768" s="64" t="s">
        <v>230</v>
      </c>
      <c r="G4768" s="64" t="s">
        <v>3838</v>
      </c>
      <c r="H4768" s="64" t="s">
        <v>1875</v>
      </c>
      <c r="I4768" s="64" t="s">
        <v>3856</v>
      </c>
      <c r="J4768" s="67">
        <v>2806.42</v>
      </c>
      <c r="K4768" s="62">
        <v>26140.33</v>
      </c>
      <c r="L4768" s="33" t="e">
        <f>HLOOKUP(B4768,#REF!,1,0)</f>
        <v>#REF!</v>
      </c>
      <c r="M4768" s="33" t="str">
        <f t="shared" si="299"/>
        <v>P&amp;L</v>
      </c>
    </row>
    <row r="4769" spans="1:13" s="33" customFormat="true" ht="12.75" customHeight="true">
      <c r="A4769" s="33" t="str">
        <f t="shared" si="296"/>
        <v>EAM - CGS</v>
      </c>
      <c r="B4769" s="33" t="str">
        <f t="shared" si="297"/>
        <v>EAM</v>
      </c>
      <c r="C4769" s="33" t="str">
        <f t="shared" si="298"/>
        <v>60015-0000</v>
      </c>
      <c r="D4769" s="64" t="s">
        <v>5774</v>
      </c>
      <c r="E4769" s="64" t="s">
        <v>3858</v>
      </c>
      <c r="F4769" s="64" t="s">
        <v>230</v>
      </c>
      <c r="G4769" s="64" t="s">
        <v>3838</v>
      </c>
      <c r="H4769" s="64" t="s">
        <v>1875</v>
      </c>
      <c r="I4769" s="64" t="s">
        <v>3859</v>
      </c>
      <c r="J4769" s="67">
        <v>0</v>
      </c>
      <c r="K4769" s="62">
        <v>50.06</v>
      </c>
      <c r="L4769" s="33" t="e">
        <f>HLOOKUP(B4769,#REF!,1,0)</f>
        <v>#REF!</v>
      </c>
      <c r="M4769" s="33" t="str">
        <f t="shared" si="299"/>
        <v>P&amp;L</v>
      </c>
    </row>
    <row r="4770" spans="1:13" s="33" customFormat="true" ht="12.75" customHeight="true">
      <c r="A4770" s="33" t="str">
        <f t="shared" si="296"/>
        <v>EAM - Other Expenses</v>
      </c>
      <c r="B4770" s="33" t="str">
        <f t="shared" si="297"/>
        <v>EAM</v>
      </c>
      <c r="C4770" s="33" t="str">
        <f t="shared" si="298"/>
        <v>61018-0000</v>
      </c>
      <c r="D4770" s="64" t="s">
        <v>5775</v>
      </c>
      <c r="E4770" s="64" t="s">
        <v>3864</v>
      </c>
      <c r="F4770" s="64" t="s">
        <v>230</v>
      </c>
      <c r="G4770" s="64" t="s">
        <v>3838</v>
      </c>
      <c r="H4770" s="64" t="s">
        <v>3865</v>
      </c>
      <c r="I4770" s="64" t="s">
        <v>3866</v>
      </c>
      <c r="J4770" s="67">
        <v>0</v>
      </c>
      <c r="K4770" s="62">
        <v>-104.28</v>
      </c>
      <c r="L4770" s="33" t="e">
        <f>HLOOKUP(B4770,#REF!,1,0)</f>
        <v>#REF!</v>
      </c>
      <c r="M4770" s="33" t="str">
        <f t="shared" si="299"/>
        <v>P&amp;L</v>
      </c>
    </row>
    <row r="4771" spans="1:13" s="33" customFormat="true" ht="12.75" customHeight="true">
      <c r="A4771" s="33" t="str">
        <f t="shared" si="296"/>
        <v>EAM - Income Tax</v>
      </c>
      <c r="B4771" s="33" t="str">
        <f t="shared" si="297"/>
        <v>EAM</v>
      </c>
      <c r="C4771" s="33" t="str">
        <f t="shared" si="298"/>
        <v>61019-0000</v>
      </c>
      <c r="D4771" s="64" t="s">
        <v>5776</v>
      </c>
      <c r="E4771" s="64" t="s">
        <v>4041</v>
      </c>
      <c r="F4771" s="64" t="s">
        <v>230</v>
      </c>
      <c r="G4771" s="64" t="s">
        <v>3844</v>
      </c>
      <c r="H4771" s="64" t="s">
        <v>3378</v>
      </c>
      <c r="I4771" s="64" t="s">
        <v>4042</v>
      </c>
      <c r="J4771" s="67">
        <v>0</v>
      </c>
      <c r="K4771" s="62">
        <v>900</v>
      </c>
      <c r="L4771" s="33" t="e">
        <f>HLOOKUP(B4771,#REF!,1,0)</f>
        <v>#REF!</v>
      </c>
      <c r="M4771" s="33" t="str">
        <f t="shared" si="299"/>
        <v>P&amp;L</v>
      </c>
    </row>
    <row r="4772" spans="1:13" s="33" customFormat="true" ht="12.75" customHeight="true">
      <c r="A4772" s="33" t="str">
        <f t="shared" si="296"/>
        <v>EAM - CGS</v>
      </c>
      <c r="B4772" s="33" t="str">
        <f t="shared" si="297"/>
        <v>EAM</v>
      </c>
      <c r="C4772" s="33" t="str">
        <f t="shared" si="298"/>
        <v>61023-0000</v>
      </c>
      <c r="D4772" s="64" t="s">
        <v>5777</v>
      </c>
      <c r="E4772" s="64" t="s">
        <v>3868</v>
      </c>
      <c r="F4772" s="64" t="s">
        <v>230</v>
      </c>
      <c r="G4772" s="64" t="s">
        <v>3838</v>
      </c>
      <c r="H4772" s="64" t="s">
        <v>1875</v>
      </c>
      <c r="I4772" s="64" t="s">
        <v>1876</v>
      </c>
      <c r="J4772" s="67">
        <v>-110.94</v>
      </c>
      <c r="K4772" s="62">
        <v>522.56</v>
      </c>
      <c r="L4772" s="33" t="e">
        <f>HLOOKUP(B4772,#REF!,1,0)</f>
        <v>#REF!</v>
      </c>
      <c r="M4772" s="33" t="str">
        <f t="shared" si="299"/>
        <v>P&amp;L</v>
      </c>
    </row>
    <row r="4773" spans="1:13" s="33" customFormat="true" ht="12.75" customHeight="true">
      <c r="A4773" s="33" t="str">
        <f t="shared" si="296"/>
        <v>EAS - Intercompany</v>
      </c>
      <c r="B4773" s="33" t="str">
        <f t="shared" si="297"/>
        <v>EAS</v>
      </c>
      <c r="C4773" s="33" t="str">
        <f t="shared" si="298"/>
        <v>11350-0000</v>
      </c>
      <c r="D4773" s="64" t="s">
        <v>5778</v>
      </c>
      <c r="E4773" s="64" t="s">
        <v>5388</v>
      </c>
      <c r="F4773" s="64" t="s">
        <v>230</v>
      </c>
      <c r="G4773" s="64" t="s">
        <v>16</v>
      </c>
      <c r="H4773" s="64" t="s">
        <v>39</v>
      </c>
      <c r="I4773" s="64" t="s">
        <v>40</v>
      </c>
      <c r="J4773" s="67">
        <v>0</v>
      </c>
      <c r="K4773" s="62">
        <v>3447023.94</v>
      </c>
      <c r="L4773" s="33" t="e">
        <f>HLOOKUP(B4773,#REF!,1,0)</f>
        <v>#REF!</v>
      </c>
      <c r="M4773" s="33" t="str">
        <f t="shared" si="299"/>
        <v>BS</v>
      </c>
    </row>
    <row r="4774" spans="1:13" s="33" customFormat="true" ht="12.75" customHeight="true">
      <c r="A4774" s="33" t="str">
        <f t="shared" si="296"/>
        <v>EAS - AP-Accr Exp</v>
      </c>
      <c r="B4774" s="33" t="str">
        <f t="shared" si="297"/>
        <v>EAS</v>
      </c>
      <c r="C4774" s="33" t="str">
        <f t="shared" si="298"/>
        <v>20001-0000</v>
      </c>
      <c r="D4774" s="64" t="s">
        <v>5779</v>
      </c>
      <c r="E4774" s="64" t="s">
        <v>96</v>
      </c>
      <c r="F4774" s="64" t="s">
        <v>230</v>
      </c>
      <c r="G4774" s="64" t="s">
        <v>97</v>
      </c>
      <c r="H4774" s="64" t="s">
        <v>98</v>
      </c>
      <c r="I4774" s="64" t="s">
        <v>99</v>
      </c>
      <c r="J4774" s="67">
        <v>0</v>
      </c>
      <c r="K4774" s="62">
        <v>0</v>
      </c>
      <c r="L4774" s="33" t="e">
        <f>HLOOKUP(B4774,#REF!,1,0)</f>
        <v>#REF!</v>
      </c>
      <c r="M4774" s="33" t="str">
        <f t="shared" si="299"/>
        <v>BS</v>
      </c>
    </row>
    <row r="4775" spans="1:13" s="33" customFormat="true" ht="12.75" customHeight="true">
      <c r="A4775" s="33" t="str">
        <f t="shared" si="296"/>
        <v>EAS - Revenue</v>
      </c>
      <c r="B4775" s="33" t="str">
        <f t="shared" si="297"/>
        <v>EAS</v>
      </c>
      <c r="C4775" s="33" t="str">
        <f t="shared" si="298"/>
        <v>41122-0000</v>
      </c>
      <c r="D4775" s="64" t="s">
        <v>5780</v>
      </c>
      <c r="E4775" s="64" t="s">
        <v>3700</v>
      </c>
      <c r="F4775" s="64" t="s">
        <v>230</v>
      </c>
      <c r="G4775" s="64" t="s">
        <v>3694</v>
      </c>
      <c r="H4775" s="64" t="s">
        <v>2871</v>
      </c>
      <c r="I4775" s="64" t="s">
        <v>3701</v>
      </c>
      <c r="J4775" s="67">
        <v>0</v>
      </c>
      <c r="K4775" s="62">
        <v>2343.66</v>
      </c>
      <c r="L4775" s="33" t="e">
        <f>HLOOKUP(B4775,#REF!,1,0)</f>
        <v>#REF!</v>
      </c>
      <c r="M4775" s="33" t="str">
        <f t="shared" si="299"/>
        <v>P&amp;L</v>
      </c>
    </row>
    <row r="4776" spans="1:13" s="33" customFormat="true" ht="12.75" customHeight="true">
      <c r="A4776" s="33" t="str">
        <f t="shared" si="296"/>
        <v>EAS - Revenue</v>
      </c>
      <c r="B4776" s="33" t="str">
        <f t="shared" si="297"/>
        <v>EAS</v>
      </c>
      <c r="C4776" s="33" t="str">
        <f t="shared" si="298"/>
        <v>41999-0000</v>
      </c>
      <c r="D4776" s="64" t="s">
        <v>5781</v>
      </c>
      <c r="E4776" s="64" t="s">
        <v>3712</v>
      </c>
      <c r="F4776" s="64" t="s">
        <v>230</v>
      </c>
      <c r="G4776" s="64" t="s">
        <v>3713</v>
      </c>
      <c r="H4776" s="64" t="s">
        <v>2871</v>
      </c>
      <c r="I4776" s="64" t="s">
        <v>3714</v>
      </c>
      <c r="J4776" s="67">
        <v>0</v>
      </c>
      <c r="K4776" s="62">
        <v>-2343.66</v>
      </c>
      <c r="L4776" s="33" t="e">
        <f>HLOOKUP(B4776,#REF!,1,0)</f>
        <v>#REF!</v>
      </c>
      <c r="M4776" s="33" t="str">
        <f t="shared" si="299"/>
        <v>P&amp;L</v>
      </c>
    </row>
    <row r="4777" spans="1:13" s="33" customFormat="true" ht="12.75" customHeight="true">
      <c r="A4777" s="33" t="str">
        <f t="shared" si="296"/>
        <v>EAS - Revenue</v>
      </c>
      <c r="B4777" s="33" t="str">
        <f t="shared" si="297"/>
        <v>EAS</v>
      </c>
      <c r="C4777" s="33" t="str">
        <f t="shared" si="298"/>
        <v>47400-0000</v>
      </c>
      <c r="D4777" s="64" t="s">
        <v>5782</v>
      </c>
      <c r="E4777" s="64" t="s">
        <v>3716</v>
      </c>
      <c r="F4777" s="64" t="s">
        <v>230</v>
      </c>
      <c r="G4777" s="64" t="s">
        <v>3717</v>
      </c>
      <c r="H4777" s="64" t="s">
        <v>2871</v>
      </c>
      <c r="I4777" s="64" t="s">
        <v>3718</v>
      </c>
      <c r="J4777" s="67">
        <v>0</v>
      </c>
      <c r="K4777" s="62">
        <v>2343.66</v>
      </c>
      <c r="L4777" s="33" t="e">
        <f>HLOOKUP(B4777,#REF!,1,0)</f>
        <v>#REF!</v>
      </c>
      <c r="M4777" s="33" t="str">
        <f t="shared" si="299"/>
        <v>P&amp;L</v>
      </c>
    </row>
    <row r="4778" spans="1:13" s="33" customFormat="true" ht="12.75" customHeight="true">
      <c r="A4778" s="33" t="str">
        <f t="shared" si="296"/>
        <v>EAS - CGS</v>
      </c>
      <c r="B4778" s="33" t="str">
        <f t="shared" si="297"/>
        <v>EAS</v>
      </c>
      <c r="C4778" s="33" t="str">
        <f t="shared" si="298"/>
        <v>60002-0000</v>
      </c>
      <c r="D4778" s="64" t="s">
        <v>5783</v>
      </c>
      <c r="E4778" s="64" t="s">
        <v>3837</v>
      </c>
      <c r="F4778" s="64" t="s">
        <v>230</v>
      </c>
      <c r="G4778" s="64" t="s">
        <v>3838</v>
      </c>
      <c r="H4778" s="64" t="s">
        <v>1875</v>
      </c>
      <c r="I4778" s="64" t="s">
        <v>3839</v>
      </c>
      <c r="J4778" s="67">
        <v>0</v>
      </c>
      <c r="K4778" s="62">
        <v>317.98</v>
      </c>
      <c r="L4778" s="33" t="e">
        <f>HLOOKUP(B4778,#REF!,1,0)</f>
        <v>#REF!</v>
      </c>
      <c r="M4778" s="33" t="str">
        <f t="shared" si="299"/>
        <v>P&amp;L</v>
      </c>
    </row>
    <row r="4779" spans="1:13" s="33" customFormat="true" ht="12.75" customHeight="true">
      <c r="A4779" s="33" t="str">
        <f t="shared" si="296"/>
        <v>EAS - CGS</v>
      </c>
      <c r="B4779" s="33" t="str">
        <f t="shared" si="297"/>
        <v>EAS</v>
      </c>
      <c r="C4779" s="33" t="str">
        <f t="shared" si="298"/>
        <v>60007-0000</v>
      </c>
      <c r="D4779" s="64" t="s">
        <v>5784</v>
      </c>
      <c r="E4779" s="64" t="s">
        <v>3846</v>
      </c>
      <c r="F4779" s="64" t="s">
        <v>230</v>
      </c>
      <c r="G4779" s="64" t="s">
        <v>3838</v>
      </c>
      <c r="H4779" s="64" t="s">
        <v>1875</v>
      </c>
      <c r="I4779" s="64" t="s">
        <v>3847</v>
      </c>
      <c r="J4779" s="67">
        <v>0</v>
      </c>
      <c r="K4779" s="62">
        <v>468</v>
      </c>
      <c r="L4779" s="33" t="e">
        <f>HLOOKUP(B4779,#REF!,1,0)</f>
        <v>#REF!</v>
      </c>
      <c r="M4779" s="33" t="str">
        <f t="shared" si="299"/>
        <v>P&amp;L</v>
      </c>
    </row>
    <row r="4780" spans="1:13" s="33" customFormat="true" ht="12.75" customHeight="true">
      <c r="A4780" s="33" t="str">
        <f t="shared" si="296"/>
        <v>EAS - Income Tax</v>
      </c>
      <c r="B4780" s="33" t="str">
        <f t="shared" si="297"/>
        <v>EAS</v>
      </c>
      <c r="C4780" s="33" t="str">
        <f t="shared" si="298"/>
        <v>61019-0000</v>
      </c>
      <c r="D4780" s="64" t="s">
        <v>5785</v>
      </c>
      <c r="E4780" s="64" t="s">
        <v>4041</v>
      </c>
      <c r="F4780" s="64" t="s">
        <v>230</v>
      </c>
      <c r="G4780" s="64" t="s">
        <v>3844</v>
      </c>
      <c r="H4780" s="64" t="s">
        <v>3378</v>
      </c>
      <c r="I4780" s="64" t="s">
        <v>4042</v>
      </c>
      <c r="J4780" s="67">
        <v>0</v>
      </c>
      <c r="K4780" s="62">
        <v>0</v>
      </c>
      <c r="L4780" s="33" t="e">
        <f>HLOOKUP(B4780,#REF!,1,0)</f>
        <v>#REF!</v>
      </c>
      <c r="M4780" s="33" t="str">
        <f t="shared" si="299"/>
        <v>P&amp;L</v>
      </c>
    </row>
    <row r="4781" spans="1:13" s="33" customFormat="true" ht="12.75" customHeight="true">
      <c r="A4781" s="33" t="str">
        <f t="shared" si="296"/>
        <v>FFC - AP-Accr Exp</v>
      </c>
      <c r="B4781" s="33" t="str">
        <f t="shared" si="297"/>
        <v>FFC</v>
      </c>
      <c r="C4781" s="33" t="str">
        <f t="shared" si="298"/>
        <v>23509-0000</v>
      </c>
      <c r="D4781" s="64" t="s">
        <v>5786</v>
      </c>
      <c r="E4781" s="64" t="s">
        <v>111</v>
      </c>
      <c r="F4781" s="64" t="s">
        <v>1120</v>
      </c>
      <c r="G4781" s="64" t="s">
        <v>97</v>
      </c>
      <c r="H4781" s="64" t="s">
        <v>98</v>
      </c>
      <c r="I4781" s="64" t="s">
        <v>102</v>
      </c>
      <c r="J4781" s="67">
        <v>0</v>
      </c>
      <c r="K4781" s="62">
        <v>3754.31</v>
      </c>
      <c r="L4781" s="33" t="e">
        <f>HLOOKUP(B4781,#REF!,1,0)</f>
        <v>#REF!</v>
      </c>
      <c r="M4781" s="33" t="str">
        <f t="shared" si="299"/>
        <v>BS</v>
      </c>
    </row>
    <row r="4782" spans="1:13" s="33" customFormat="true" ht="12.75" customHeight="true">
      <c r="A4782" s="33" t="str">
        <f t="shared" si="296"/>
        <v>FFC - Revenue</v>
      </c>
      <c r="B4782" s="33" t="str">
        <f t="shared" si="297"/>
        <v>FFC</v>
      </c>
      <c r="C4782" s="33" t="str">
        <f t="shared" si="298"/>
        <v>40300-0000</v>
      </c>
      <c r="D4782" s="64" t="s">
        <v>5787</v>
      </c>
      <c r="E4782" s="64" t="s">
        <v>5788</v>
      </c>
      <c r="F4782" s="64" t="s">
        <v>1120</v>
      </c>
      <c r="G4782" s="64" t="s">
        <v>4447</v>
      </c>
      <c r="H4782" s="64" t="s">
        <v>2871</v>
      </c>
      <c r="I4782" s="64" t="s">
        <v>4732</v>
      </c>
      <c r="J4782" s="67">
        <v>-132997.91</v>
      </c>
      <c r="K4782" s="62">
        <v>-2854812.59</v>
      </c>
      <c r="L4782" s="33" t="e">
        <f>HLOOKUP(B4782,#REF!,1,0)</f>
        <v>#REF!</v>
      </c>
      <c r="M4782" s="33" t="str">
        <f t="shared" si="299"/>
        <v>P&amp;L</v>
      </c>
    </row>
    <row r="4783" spans="1:13" s="33" customFormat="true" ht="12.75" customHeight="true">
      <c r="A4783" s="33" t="str">
        <f t="shared" si="296"/>
        <v>FFC - Revenue</v>
      </c>
      <c r="B4783" s="33" t="str">
        <f t="shared" si="297"/>
        <v>FFC</v>
      </c>
      <c r="C4783" s="33" t="str">
        <f t="shared" si="298"/>
        <v>40600-0000</v>
      </c>
      <c r="D4783" s="64" t="s">
        <v>5789</v>
      </c>
      <c r="E4783" s="64" t="s">
        <v>3720</v>
      </c>
      <c r="F4783" s="64" t="s">
        <v>1120</v>
      </c>
      <c r="G4783" s="64" t="s">
        <v>4447</v>
      </c>
      <c r="H4783" s="64" t="s">
        <v>2871</v>
      </c>
      <c r="I4783" s="64" t="s">
        <v>5790</v>
      </c>
      <c r="J4783" s="67">
        <v>0</v>
      </c>
      <c r="K4783" s="62">
        <v>-131830.49</v>
      </c>
      <c r="L4783" s="33" t="e">
        <f>HLOOKUP(B4783,#REF!,1,0)</f>
        <v>#REF!</v>
      </c>
      <c r="M4783" s="33" t="str">
        <f t="shared" si="299"/>
        <v>P&amp;L</v>
      </c>
    </row>
    <row r="4784" spans="1:13" s="33" customFormat="true" ht="12.75" customHeight="true">
      <c r="A4784" s="33" t="str">
        <f t="shared" si="296"/>
        <v>FFC - CGS</v>
      </c>
      <c r="B4784" s="33" t="str">
        <f t="shared" si="297"/>
        <v>FFC</v>
      </c>
      <c r="C4784" s="33" t="str">
        <f t="shared" si="298"/>
        <v>50000-0000</v>
      </c>
      <c r="D4784" s="64" t="s">
        <v>5791</v>
      </c>
      <c r="E4784" s="64" t="s">
        <v>5792</v>
      </c>
      <c r="F4784" s="64" t="s">
        <v>1120</v>
      </c>
      <c r="G4784" s="64" t="s">
        <v>4426</v>
      </c>
      <c r="H4784" s="64" t="s">
        <v>1875</v>
      </c>
      <c r="I4784" s="64" t="s">
        <v>5793</v>
      </c>
      <c r="J4784" s="67">
        <v>329.79</v>
      </c>
      <c r="K4784" s="62">
        <v>3367</v>
      </c>
      <c r="L4784" s="33" t="e">
        <f>HLOOKUP(B4784,#REF!,1,0)</f>
        <v>#REF!</v>
      </c>
      <c r="M4784" s="33" t="str">
        <f t="shared" si="299"/>
        <v>P&amp;L</v>
      </c>
    </row>
    <row r="4785" spans="1:13" s="33" customFormat="true" ht="12.75" customHeight="true">
      <c r="A4785" s="33" t="str">
        <f t="shared" si="296"/>
        <v>FFC - CGS</v>
      </c>
      <c r="B4785" s="33" t="str">
        <f t="shared" si="297"/>
        <v>FFC</v>
      </c>
      <c r="C4785" s="33" t="str">
        <f t="shared" si="298"/>
        <v>50100-0000</v>
      </c>
      <c r="D4785" s="64" t="s">
        <v>5794</v>
      </c>
      <c r="E4785" s="64" t="s">
        <v>3248</v>
      </c>
      <c r="F4785" s="64" t="s">
        <v>1120</v>
      </c>
      <c r="G4785" s="64" t="s">
        <v>4426</v>
      </c>
      <c r="H4785" s="64" t="s">
        <v>1875</v>
      </c>
      <c r="I4785" s="64" t="s">
        <v>5795</v>
      </c>
      <c r="J4785" s="67">
        <v>0</v>
      </c>
      <c r="K4785" s="62">
        <v>0</v>
      </c>
      <c r="L4785" s="33" t="e">
        <f>HLOOKUP(B4785,#REF!,1,0)</f>
        <v>#REF!</v>
      </c>
      <c r="M4785" s="33" t="str">
        <f t="shared" si="299"/>
        <v>P&amp;L</v>
      </c>
    </row>
    <row r="4786" spans="1:13" s="33" customFormat="true" ht="12.75" customHeight="true">
      <c r="A4786" s="33" t="str">
        <f t="shared" si="296"/>
        <v>FFC - CGS</v>
      </c>
      <c r="B4786" s="33" t="str">
        <f t="shared" si="297"/>
        <v>FFC</v>
      </c>
      <c r="C4786" s="33" t="str">
        <f t="shared" si="298"/>
        <v>50300-0000</v>
      </c>
      <c r="D4786" s="64" t="s">
        <v>5796</v>
      </c>
      <c r="E4786" s="64" t="s">
        <v>5797</v>
      </c>
      <c r="F4786" s="64" t="s">
        <v>1120</v>
      </c>
      <c r="G4786" s="64" t="s">
        <v>4426</v>
      </c>
      <c r="H4786" s="64" t="s">
        <v>1875</v>
      </c>
      <c r="I4786" s="64" t="s">
        <v>5798</v>
      </c>
      <c r="J4786" s="67">
        <v>18970.3</v>
      </c>
      <c r="K4786" s="62">
        <v>275647.28</v>
      </c>
      <c r="L4786" s="33" t="e">
        <f>HLOOKUP(B4786,#REF!,1,0)</f>
        <v>#REF!</v>
      </c>
      <c r="M4786" s="33" t="str">
        <f t="shared" si="299"/>
        <v>P&amp;L</v>
      </c>
    </row>
    <row r="4787" spans="1:13" s="33" customFormat="true" ht="12.75" customHeight="true">
      <c r="A4787" s="33" t="str">
        <f t="shared" si="296"/>
        <v>FFC - CGS</v>
      </c>
      <c r="B4787" s="33" t="str">
        <f t="shared" si="297"/>
        <v>FFC</v>
      </c>
      <c r="C4787" s="33" t="str">
        <f t="shared" si="298"/>
        <v>50400-0000</v>
      </c>
      <c r="D4787" s="64" t="s">
        <v>5799</v>
      </c>
      <c r="E4787" s="64" t="s">
        <v>3837</v>
      </c>
      <c r="F4787" s="64" t="s">
        <v>1120</v>
      </c>
      <c r="G4787" s="64" t="s">
        <v>4426</v>
      </c>
      <c r="H4787" s="64" t="s">
        <v>1875</v>
      </c>
      <c r="I4787" s="64" t="s">
        <v>5233</v>
      </c>
      <c r="J4787" s="67">
        <v>184.16</v>
      </c>
      <c r="K4787" s="62">
        <v>1601.45</v>
      </c>
      <c r="L4787" s="33" t="e">
        <f>HLOOKUP(B4787,#REF!,1,0)</f>
        <v>#REF!</v>
      </c>
      <c r="M4787" s="33" t="str">
        <f t="shared" si="299"/>
        <v>P&amp;L</v>
      </c>
    </row>
    <row r="4788" spans="1:13" s="33" customFormat="true" ht="12.75" customHeight="true">
      <c r="A4788" s="33" t="str">
        <f t="shared" si="296"/>
        <v>FFC - CGS</v>
      </c>
      <c r="B4788" s="33" t="str">
        <f t="shared" si="297"/>
        <v>FFC</v>
      </c>
      <c r="C4788" s="33" t="str">
        <f t="shared" si="298"/>
        <v>51400-0000</v>
      </c>
      <c r="D4788" s="64" t="s">
        <v>5800</v>
      </c>
      <c r="E4788" s="64" t="s">
        <v>4734</v>
      </c>
      <c r="F4788" s="64" t="s">
        <v>1120</v>
      </c>
      <c r="G4788" s="64" t="s">
        <v>4426</v>
      </c>
      <c r="H4788" s="64" t="s">
        <v>1875</v>
      </c>
      <c r="I4788" s="64" t="s">
        <v>4735</v>
      </c>
      <c r="J4788" s="67">
        <v>3610.83</v>
      </c>
      <c r="K4788" s="62">
        <v>129118.71</v>
      </c>
      <c r="L4788" s="33" t="e">
        <f>HLOOKUP(B4788,#REF!,1,0)</f>
        <v>#REF!</v>
      </c>
      <c r="M4788" s="33" t="str">
        <f t="shared" si="299"/>
        <v>P&amp;L</v>
      </c>
    </row>
    <row r="4789" spans="1:13" s="33" customFormat="true" ht="12.75" customHeight="true">
      <c r="A4789" s="33" t="str">
        <f t="shared" si="296"/>
        <v>FFC - CGS</v>
      </c>
      <c r="B4789" s="33" t="str">
        <f t="shared" si="297"/>
        <v>FFC</v>
      </c>
      <c r="C4789" s="33" t="str">
        <f t="shared" si="298"/>
        <v>52300-0000</v>
      </c>
      <c r="D4789" s="64" t="s">
        <v>5801</v>
      </c>
      <c r="E4789" s="64" t="s">
        <v>5802</v>
      </c>
      <c r="F4789" s="64" t="s">
        <v>1120</v>
      </c>
      <c r="G4789" s="64" t="s">
        <v>4426</v>
      </c>
      <c r="H4789" s="64" t="s">
        <v>1875</v>
      </c>
      <c r="I4789" s="64" t="s">
        <v>5795</v>
      </c>
      <c r="J4789" s="67">
        <v>0</v>
      </c>
      <c r="K4789" s="62">
        <v>1405</v>
      </c>
      <c r="L4789" s="33" t="e">
        <f>HLOOKUP(B4789,#REF!,1,0)</f>
        <v>#REF!</v>
      </c>
      <c r="M4789" s="33" t="str">
        <f t="shared" si="299"/>
        <v>P&amp;L</v>
      </c>
    </row>
    <row r="4790" spans="1:13" s="33" customFormat="true" ht="12.75" customHeight="true">
      <c r="A4790" s="33" t="str">
        <f t="shared" si="296"/>
        <v>FFC - CGS</v>
      </c>
      <c r="B4790" s="33" t="str">
        <f t="shared" si="297"/>
        <v>FFC</v>
      </c>
      <c r="C4790" s="33" t="str">
        <f t="shared" si="298"/>
        <v>52400-0000</v>
      </c>
      <c r="D4790" s="64" t="s">
        <v>5803</v>
      </c>
      <c r="E4790" s="64" t="s">
        <v>5804</v>
      </c>
      <c r="F4790" s="64" t="s">
        <v>1120</v>
      </c>
      <c r="G4790" s="64" t="s">
        <v>4426</v>
      </c>
      <c r="H4790" s="64" t="s">
        <v>1875</v>
      </c>
      <c r="I4790" s="64" t="s">
        <v>5805</v>
      </c>
      <c r="J4790" s="67">
        <v>0</v>
      </c>
      <c r="K4790" s="62">
        <v>40</v>
      </c>
      <c r="L4790" s="33" t="e">
        <f>HLOOKUP(B4790,#REF!,1,0)</f>
        <v>#REF!</v>
      </c>
      <c r="M4790" s="33" t="str">
        <f t="shared" si="299"/>
        <v>P&amp;L</v>
      </c>
    </row>
    <row r="4791" spans="1:13" s="33" customFormat="true" ht="12.75" customHeight="true">
      <c r="A4791" s="33" t="str">
        <f t="shared" si="296"/>
        <v>FFC - CGS</v>
      </c>
      <c r="B4791" s="33" t="str">
        <f t="shared" si="297"/>
        <v>FFC</v>
      </c>
      <c r="C4791" s="33" t="str">
        <f t="shared" si="298"/>
        <v>52500-0000</v>
      </c>
      <c r="D4791" s="64" t="s">
        <v>5806</v>
      </c>
      <c r="E4791" s="64" t="s">
        <v>4496</v>
      </c>
      <c r="F4791" s="64" t="s">
        <v>1120</v>
      </c>
      <c r="G4791" s="64" t="s">
        <v>4426</v>
      </c>
      <c r="H4791" s="64" t="s">
        <v>1875</v>
      </c>
      <c r="I4791" s="64" t="s">
        <v>4018</v>
      </c>
      <c r="J4791" s="67">
        <v>10620.69</v>
      </c>
      <c r="K4791" s="62">
        <v>93059.8</v>
      </c>
      <c r="L4791" s="33" t="e">
        <f>HLOOKUP(B4791,#REF!,1,0)</f>
        <v>#REF!</v>
      </c>
      <c r="M4791" s="33" t="str">
        <f t="shared" si="299"/>
        <v>P&amp;L</v>
      </c>
    </row>
    <row r="4792" spans="1:13" s="33" customFormat="true" ht="12.75" customHeight="true">
      <c r="A4792" s="33" t="str">
        <f t="shared" si="296"/>
        <v>FFC - CGS</v>
      </c>
      <c r="B4792" s="33" t="str">
        <f t="shared" si="297"/>
        <v>FFC</v>
      </c>
      <c r="C4792" s="33" t="str">
        <f t="shared" si="298"/>
        <v>52600-0000</v>
      </c>
      <c r="D4792" s="64" t="s">
        <v>5807</v>
      </c>
      <c r="E4792" s="64" t="s">
        <v>5808</v>
      </c>
      <c r="F4792" s="64" t="s">
        <v>1120</v>
      </c>
      <c r="G4792" s="64" t="s">
        <v>4426</v>
      </c>
      <c r="H4792" s="64" t="s">
        <v>1875</v>
      </c>
      <c r="I4792" s="64" t="s">
        <v>5809</v>
      </c>
      <c r="J4792" s="67">
        <v>1736.49</v>
      </c>
      <c r="K4792" s="62">
        <v>20935.92</v>
      </c>
      <c r="L4792" s="33" t="e">
        <f>HLOOKUP(B4792,#REF!,1,0)</f>
        <v>#REF!</v>
      </c>
      <c r="M4792" s="33" t="str">
        <f t="shared" si="299"/>
        <v>P&amp;L</v>
      </c>
    </row>
    <row r="4793" spans="1:13" s="33" customFormat="true" ht="12.75" customHeight="true">
      <c r="A4793" s="33" t="str">
        <f t="shared" si="296"/>
        <v>FFC - CGS</v>
      </c>
      <c r="B4793" s="33" t="str">
        <f t="shared" si="297"/>
        <v>FFC</v>
      </c>
      <c r="C4793" s="33" t="str">
        <f t="shared" si="298"/>
        <v>53500-0000</v>
      </c>
      <c r="D4793" s="64" t="s">
        <v>5810</v>
      </c>
      <c r="E4793" s="64" t="s">
        <v>3288</v>
      </c>
      <c r="F4793" s="64" t="s">
        <v>1120</v>
      </c>
      <c r="G4793" s="64" t="s">
        <v>4426</v>
      </c>
      <c r="H4793" s="64" t="s">
        <v>1875</v>
      </c>
      <c r="I4793" s="64" t="s">
        <v>5811</v>
      </c>
      <c r="J4793" s="67">
        <v>717.52</v>
      </c>
      <c r="K4793" s="62">
        <v>24097.76</v>
      </c>
      <c r="L4793" s="33" t="e">
        <f>HLOOKUP(B4793,#REF!,1,0)</f>
        <v>#REF!</v>
      </c>
      <c r="M4793" s="33" t="str">
        <f t="shared" si="299"/>
        <v>P&amp;L</v>
      </c>
    </row>
    <row r="4794" spans="1:13" s="33" customFormat="true" ht="12.75" customHeight="true">
      <c r="A4794" s="33" t="str">
        <f t="shared" si="296"/>
        <v>FFC - CGS</v>
      </c>
      <c r="B4794" s="33" t="str">
        <f t="shared" si="297"/>
        <v>FFC</v>
      </c>
      <c r="C4794" s="33" t="str">
        <f t="shared" si="298"/>
        <v>53900-0000</v>
      </c>
      <c r="D4794" s="64" t="s">
        <v>5812</v>
      </c>
      <c r="E4794" s="64" t="s">
        <v>2996</v>
      </c>
      <c r="F4794" s="64" t="s">
        <v>1120</v>
      </c>
      <c r="G4794" s="64" t="s">
        <v>4426</v>
      </c>
      <c r="H4794" s="64" t="s">
        <v>1875</v>
      </c>
      <c r="I4794" s="64" t="s">
        <v>2997</v>
      </c>
      <c r="J4794" s="67">
        <v>3080</v>
      </c>
      <c r="K4794" s="62">
        <v>30800</v>
      </c>
      <c r="L4794" s="33" t="e">
        <f>HLOOKUP(B4794,#REF!,1,0)</f>
        <v>#REF!</v>
      </c>
      <c r="M4794" s="33" t="str">
        <f t="shared" si="299"/>
        <v>P&amp;L</v>
      </c>
    </row>
    <row r="4795" spans="1:13" s="33" customFormat="true" ht="12.75" customHeight="true">
      <c r="A4795" s="33" t="str">
        <f t="shared" si="296"/>
        <v>FFC - Interest Expense</v>
      </c>
      <c r="B4795" s="33" t="str">
        <f t="shared" si="297"/>
        <v>FFC</v>
      </c>
      <c r="C4795" s="33" t="str">
        <f t="shared" si="298"/>
        <v>54500-0000</v>
      </c>
      <c r="D4795" s="64" t="s">
        <v>5813</v>
      </c>
      <c r="E4795" s="64" t="s">
        <v>3325</v>
      </c>
      <c r="F4795" s="64" t="s">
        <v>1120</v>
      </c>
      <c r="G4795" s="64" t="s">
        <v>5235</v>
      </c>
      <c r="H4795" s="64" t="s">
        <v>3327</v>
      </c>
      <c r="I4795" s="64" t="s">
        <v>5236</v>
      </c>
      <c r="J4795" s="67">
        <v>0</v>
      </c>
      <c r="K4795" s="62">
        <v>16215.83</v>
      </c>
      <c r="L4795" s="33" t="e">
        <f>HLOOKUP(B4795,#REF!,1,0)</f>
        <v>#REF!</v>
      </c>
      <c r="M4795" s="33" t="str">
        <f t="shared" si="299"/>
        <v>P&amp;L</v>
      </c>
    </row>
    <row r="4796" spans="1:13" s="33" customFormat="true" ht="12.75" customHeight="true">
      <c r="A4796" s="33" t="str">
        <f t="shared" si="296"/>
        <v>FFC - CGS</v>
      </c>
      <c r="B4796" s="33" t="str">
        <f t="shared" si="297"/>
        <v>FFC</v>
      </c>
      <c r="C4796" s="33" t="str">
        <f t="shared" si="298"/>
        <v>55100-0000</v>
      </c>
      <c r="D4796" s="64" t="s">
        <v>5814</v>
      </c>
      <c r="E4796" s="64" t="s">
        <v>4429</v>
      </c>
      <c r="F4796" s="64" t="s">
        <v>1120</v>
      </c>
      <c r="G4796" s="64" t="s">
        <v>4426</v>
      </c>
      <c r="H4796" s="64" t="s">
        <v>1875</v>
      </c>
      <c r="I4796" s="64" t="s">
        <v>3859</v>
      </c>
      <c r="J4796" s="67">
        <v>52.5</v>
      </c>
      <c r="K4796" s="62">
        <v>4511.55</v>
      </c>
      <c r="L4796" s="33" t="e">
        <f>HLOOKUP(B4796,#REF!,1,0)</f>
        <v>#REF!</v>
      </c>
      <c r="M4796" s="33" t="str">
        <f t="shared" si="299"/>
        <v>P&amp;L</v>
      </c>
    </row>
    <row r="4797" spans="1:13" s="33" customFormat="true" ht="12.75" customHeight="true">
      <c r="A4797" s="33" t="str">
        <f t="shared" si="296"/>
        <v>FFC - CGS</v>
      </c>
      <c r="B4797" s="33" t="str">
        <f t="shared" si="297"/>
        <v>FFC</v>
      </c>
      <c r="C4797" s="33" t="str">
        <f t="shared" si="298"/>
        <v>55400-0000</v>
      </c>
      <c r="D4797" s="64" t="s">
        <v>5815</v>
      </c>
      <c r="E4797" s="64" t="s">
        <v>4740</v>
      </c>
      <c r="F4797" s="64" t="s">
        <v>1120</v>
      </c>
      <c r="G4797" s="64" t="s">
        <v>4426</v>
      </c>
      <c r="H4797" s="64" t="s">
        <v>1875</v>
      </c>
      <c r="I4797" s="64" t="s">
        <v>4742</v>
      </c>
      <c r="J4797" s="67">
        <v>-1503.07</v>
      </c>
      <c r="K4797" s="62">
        <v>15321.89</v>
      </c>
      <c r="L4797" s="33" t="e">
        <f>HLOOKUP(B4797,#REF!,1,0)</f>
        <v>#REF!</v>
      </c>
      <c r="M4797" s="33" t="str">
        <f t="shared" si="299"/>
        <v>P&amp;L</v>
      </c>
    </row>
    <row r="4798" spans="1:13" s="33" customFormat="true" ht="12.75" customHeight="true">
      <c r="A4798" s="33" t="str">
        <f t="shared" si="296"/>
        <v>FFC - CGS</v>
      </c>
      <c r="B4798" s="33" t="str">
        <f t="shared" si="297"/>
        <v>FFC</v>
      </c>
      <c r="C4798" s="33" t="str">
        <f t="shared" si="298"/>
        <v>55500-0000</v>
      </c>
      <c r="D4798" s="64" t="s">
        <v>5816</v>
      </c>
      <c r="E4798" s="64" t="s">
        <v>3226</v>
      </c>
      <c r="F4798" s="64" t="s">
        <v>1120</v>
      </c>
      <c r="G4798" s="64" t="s">
        <v>4426</v>
      </c>
      <c r="H4798" s="64" t="s">
        <v>1875</v>
      </c>
      <c r="I4798" s="64" t="s">
        <v>5795</v>
      </c>
      <c r="J4798" s="67">
        <v>315</v>
      </c>
      <c r="K4798" s="62">
        <v>3150</v>
      </c>
      <c r="L4798" s="33" t="e">
        <f>HLOOKUP(B4798,#REF!,1,0)</f>
        <v>#REF!</v>
      </c>
      <c r="M4798" s="33" t="str">
        <f t="shared" si="299"/>
        <v>P&amp;L</v>
      </c>
    </row>
    <row r="4799" spans="1:13" s="33" customFormat="true" ht="12.75" customHeight="true">
      <c r="A4799" s="33" t="str">
        <f t="shared" si="296"/>
        <v>FFC - CGS</v>
      </c>
      <c r="B4799" s="33" t="str">
        <f t="shared" si="297"/>
        <v>FFC</v>
      </c>
      <c r="C4799" s="33" t="str">
        <f t="shared" si="298"/>
        <v>56100-0000</v>
      </c>
      <c r="D4799" s="64" t="s">
        <v>5817</v>
      </c>
      <c r="E4799" s="64" t="s">
        <v>3344</v>
      </c>
      <c r="F4799" s="64" t="s">
        <v>1120</v>
      </c>
      <c r="G4799" s="64" t="s">
        <v>4426</v>
      </c>
      <c r="H4799" s="64" t="s">
        <v>1875</v>
      </c>
      <c r="I4799" s="64" t="s">
        <v>5818</v>
      </c>
      <c r="J4799" s="67">
        <v>560.86</v>
      </c>
      <c r="K4799" s="62">
        <v>19622.44</v>
      </c>
      <c r="L4799" s="33" t="e">
        <f>HLOOKUP(B4799,#REF!,1,0)</f>
        <v>#REF!</v>
      </c>
      <c r="M4799" s="33" t="str">
        <f t="shared" si="299"/>
        <v>P&amp;L</v>
      </c>
    </row>
    <row r="4800" spans="1:13" s="33" customFormat="true" ht="12.75" customHeight="true">
      <c r="A4800" s="33" t="str">
        <f t="shared" si="296"/>
        <v>FFC - CGS</v>
      </c>
      <c r="B4800" s="33" t="str">
        <f t="shared" si="297"/>
        <v>FFC</v>
      </c>
      <c r="C4800" s="33" t="str">
        <f t="shared" si="298"/>
        <v>56900-0000</v>
      </c>
      <c r="D4800" s="64" t="s">
        <v>5819</v>
      </c>
      <c r="E4800" s="64" t="s">
        <v>1873</v>
      </c>
      <c r="F4800" s="64" t="s">
        <v>1120</v>
      </c>
      <c r="G4800" s="64" t="s">
        <v>4426</v>
      </c>
      <c r="H4800" s="64" t="s">
        <v>1875</v>
      </c>
      <c r="I4800" s="64" t="s">
        <v>4738</v>
      </c>
      <c r="J4800" s="67">
        <v>6569.09</v>
      </c>
      <c r="K4800" s="62">
        <v>232180.22</v>
      </c>
      <c r="L4800" s="33" t="e">
        <f>HLOOKUP(B4800,#REF!,1,0)</f>
        <v>#REF!</v>
      </c>
      <c r="M4800" s="33" t="str">
        <f t="shared" si="299"/>
        <v>P&amp;L</v>
      </c>
    </row>
    <row r="4801" spans="1:13" s="33" customFormat="true" ht="12.75" customHeight="true">
      <c r="A4801" s="33" t="str">
        <f t="shared" si="296"/>
        <v>FFC - CGS</v>
      </c>
      <c r="B4801" s="33" t="str">
        <f t="shared" si="297"/>
        <v>FFC</v>
      </c>
      <c r="C4801" s="33" t="str">
        <f t="shared" si="298"/>
        <v>56950-0000</v>
      </c>
      <c r="D4801" s="64" t="s">
        <v>5820</v>
      </c>
      <c r="E4801" s="64" t="s">
        <v>3809</v>
      </c>
      <c r="F4801" s="64" t="s">
        <v>1120</v>
      </c>
      <c r="G4801" s="64" t="s">
        <v>4426</v>
      </c>
      <c r="H4801" s="64" t="s">
        <v>1875</v>
      </c>
      <c r="I4801" s="64" t="s">
        <v>4760</v>
      </c>
      <c r="J4801" s="67">
        <v>388.21</v>
      </c>
      <c r="K4801" s="62">
        <v>3830.45</v>
      </c>
      <c r="L4801" s="33" t="e">
        <f>HLOOKUP(B4801,#REF!,1,0)</f>
        <v>#REF!</v>
      </c>
      <c r="M4801" s="33" t="str">
        <f t="shared" si="299"/>
        <v>P&amp;L</v>
      </c>
    </row>
    <row r="4802" spans="1:13" s="33" customFormat="true" ht="12.75" customHeight="true">
      <c r="A4802" s="33" t="str">
        <f t="shared" ref="A4802:A4865" si="300">B4802&amp;" - "&amp;TRIM(H4802)</f>
        <v>FFC - CGS</v>
      </c>
      <c r="B4802" s="33" t="str">
        <f t="shared" ref="B4802:B4865" si="301">LEFT(D4802,3)</f>
        <v>FFC</v>
      </c>
      <c r="C4802" s="33" t="str">
        <f t="shared" ref="C4802:C4865" si="302">RIGHT(D4802,10)</f>
        <v>57000-0000</v>
      </c>
      <c r="D4802" s="64" t="s">
        <v>5821</v>
      </c>
      <c r="E4802" s="64" t="s">
        <v>3812</v>
      </c>
      <c r="F4802" s="64" t="s">
        <v>1120</v>
      </c>
      <c r="G4802" s="64" t="s">
        <v>4426</v>
      </c>
      <c r="H4802" s="64" t="s">
        <v>1875</v>
      </c>
      <c r="I4802" s="64" t="s">
        <v>3003</v>
      </c>
      <c r="J4802" s="67">
        <v>9373.32</v>
      </c>
      <c r="K4802" s="62">
        <v>120248.72</v>
      </c>
      <c r="L4802" s="33" t="e">
        <f>HLOOKUP(B4802,#REF!,1,0)</f>
        <v>#REF!</v>
      </c>
      <c r="M4802" s="33" t="str">
        <f t="shared" ref="M4802:M4865" si="303">IF(VALUE(LEFT(C4802,5))&gt;40000,"P&amp;L","BS")</f>
        <v>P&amp;L</v>
      </c>
    </row>
    <row r="4803" spans="1:13" s="33" customFormat="true" ht="12.75" customHeight="true">
      <c r="A4803" s="33" t="str">
        <f t="shared" si="300"/>
        <v>FFC - CGS</v>
      </c>
      <c r="B4803" s="33" t="str">
        <f t="shared" si="301"/>
        <v>FFC</v>
      </c>
      <c r="C4803" s="33" t="str">
        <f t="shared" si="302"/>
        <v>57100-0000</v>
      </c>
      <c r="D4803" s="64" t="s">
        <v>5822</v>
      </c>
      <c r="E4803" s="64" t="s">
        <v>5823</v>
      </c>
      <c r="F4803" s="64" t="s">
        <v>1120</v>
      </c>
      <c r="G4803" s="64" t="s">
        <v>4426</v>
      </c>
      <c r="H4803" s="64" t="s">
        <v>1875</v>
      </c>
      <c r="I4803" s="64" t="s">
        <v>5824</v>
      </c>
      <c r="J4803" s="67">
        <v>471.73</v>
      </c>
      <c r="K4803" s="62">
        <v>7891.02</v>
      </c>
      <c r="L4803" s="33" t="e">
        <f>HLOOKUP(B4803,#REF!,1,0)</f>
        <v>#REF!</v>
      </c>
      <c r="M4803" s="33" t="str">
        <f t="shared" si="303"/>
        <v>P&amp;L</v>
      </c>
    </row>
    <row r="4804" spans="1:13" s="33" customFormat="true" ht="12.75" customHeight="true">
      <c r="A4804" s="33" t="str">
        <f t="shared" si="300"/>
        <v>FFC - CGS</v>
      </c>
      <c r="B4804" s="33" t="str">
        <f t="shared" si="301"/>
        <v>FFC</v>
      </c>
      <c r="C4804" s="33" t="str">
        <f t="shared" si="302"/>
        <v>57500-0000</v>
      </c>
      <c r="D4804" s="64" t="s">
        <v>5825</v>
      </c>
      <c r="E4804" s="64" t="s">
        <v>5826</v>
      </c>
      <c r="F4804" s="64" t="s">
        <v>1120</v>
      </c>
      <c r="G4804" s="64" t="s">
        <v>4426</v>
      </c>
      <c r="H4804" s="64" t="s">
        <v>1875</v>
      </c>
      <c r="I4804" s="64" t="s">
        <v>4018</v>
      </c>
      <c r="J4804" s="67">
        <v>0</v>
      </c>
      <c r="K4804" s="62">
        <v>30887.92</v>
      </c>
      <c r="L4804" s="33" t="e">
        <f>HLOOKUP(B4804,#REF!,1,0)</f>
        <v>#REF!</v>
      </c>
      <c r="M4804" s="33" t="str">
        <f t="shared" si="303"/>
        <v>P&amp;L</v>
      </c>
    </row>
    <row r="4805" spans="1:13" s="33" customFormat="true" ht="12.75" customHeight="true">
      <c r="A4805" s="33" t="str">
        <f t="shared" si="300"/>
        <v>FFC - CGS</v>
      </c>
      <c r="B4805" s="33" t="str">
        <f t="shared" si="301"/>
        <v>FFC</v>
      </c>
      <c r="C4805" s="33" t="str">
        <f t="shared" si="302"/>
        <v>57700-0000</v>
      </c>
      <c r="D4805" s="64" t="s">
        <v>5827</v>
      </c>
      <c r="E4805" s="64" t="s">
        <v>4354</v>
      </c>
      <c r="F4805" s="64" t="s">
        <v>1120</v>
      </c>
      <c r="G4805" s="64" t="s">
        <v>4426</v>
      </c>
      <c r="H4805" s="64" t="s">
        <v>1875</v>
      </c>
      <c r="I4805" s="64" t="s">
        <v>3354</v>
      </c>
      <c r="J4805" s="67">
        <v>-4.97</v>
      </c>
      <c r="K4805" s="62">
        <v>-34344.94</v>
      </c>
      <c r="L4805" s="33" t="e">
        <f>HLOOKUP(B4805,#REF!,1,0)</f>
        <v>#REF!</v>
      </c>
      <c r="M4805" s="33" t="str">
        <f t="shared" si="303"/>
        <v>P&amp;L</v>
      </c>
    </row>
    <row r="4806" spans="1:13" s="33" customFormat="true" ht="12.75" customHeight="true">
      <c r="A4806" s="33" t="str">
        <f t="shared" si="300"/>
        <v>FFC - CGS</v>
      </c>
      <c r="B4806" s="33" t="str">
        <f t="shared" si="301"/>
        <v>FFC</v>
      </c>
      <c r="C4806" s="33" t="str">
        <f t="shared" si="302"/>
        <v>57900-0000</v>
      </c>
      <c r="D4806" s="64" t="s">
        <v>5828</v>
      </c>
      <c r="E4806" s="64" t="s">
        <v>5829</v>
      </c>
      <c r="F4806" s="64" t="s">
        <v>1120</v>
      </c>
      <c r="G4806" s="64" t="s">
        <v>4426</v>
      </c>
      <c r="H4806" s="64" t="s">
        <v>1875</v>
      </c>
      <c r="I4806" s="64" t="s">
        <v>4427</v>
      </c>
      <c r="J4806" s="67">
        <v>0</v>
      </c>
      <c r="K4806" s="62">
        <v>26889</v>
      </c>
      <c r="L4806" s="33" t="e">
        <f>HLOOKUP(B4806,#REF!,1,0)</f>
        <v>#REF!</v>
      </c>
      <c r="M4806" s="33" t="str">
        <f t="shared" si="303"/>
        <v>P&amp;L</v>
      </c>
    </row>
    <row r="4807" spans="1:13" s="33" customFormat="true" ht="12.75" customHeight="true">
      <c r="A4807" s="33" t="str">
        <f t="shared" si="300"/>
        <v>FFC - CGS</v>
      </c>
      <c r="B4807" s="33" t="str">
        <f t="shared" si="301"/>
        <v>FFC</v>
      </c>
      <c r="C4807" s="33" t="str">
        <f t="shared" si="302"/>
        <v>58100-0000</v>
      </c>
      <c r="D4807" s="64" t="s">
        <v>5830</v>
      </c>
      <c r="E4807" s="64" t="s">
        <v>4748</v>
      </c>
      <c r="F4807" s="64" t="s">
        <v>1120</v>
      </c>
      <c r="G4807" s="64" t="s">
        <v>4426</v>
      </c>
      <c r="H4807" s="64" t="s">
        <v>1875</v>
      </c>
      <c r="I4807" s="64" t="s">
        <v>4749</v>
      </c>
      <c r="J4807" s="67">
        <v>682.25</v>
      </c>
      <c r="K4807" s="62">
        <v>19414.13</v>
      </c>
      <c r="L4807" s="33" t="e">
        <f>HLOOKUP(B4807,#REF!,1,0)</f>
        <v>#REF!</v>
      </c>
      <c r="M4807" s="33" t="str">
        <f t="shared" si="303"/>
        <v>P&amp;L</v>
      </c>
    </row>
    <row r="4808" spans="1:13" s="33" customFormat="true" ht="12.75" customHeight="true">
      <c r="A4808" s="33" t="str">
        <f t="shared" si="300"/>
        <v>FFC - CGS</v>
      </c>
      <c r="B4808" s="33" t="str">
        <f t="shared" si="301"/>
        <v>FFC</v>
      </c>
      <c r="C4808" s="33" t="str">
        <f t="shared" si="302"/>
        <v>58300-0000</v>
      </c>
      <c r="D4808" s="64" t="s">
        <v>5831</v>
      </c>
      <c r="E4808" s="64" t="s">
        <v>5832</v>
      </c>
      <c r="F4808" s="64" t="s">
        <v>1120</v>
      </c>
      <c r="G4808" s="64" t="s">
        <v>4426</v>
      </c>
      <c r="H4808" s="64" t="s">
        <v>1875</v>
      </c>
      <c r="I4808" s="64" t="s">
        <v>5833</v>
      </c>
      <c r="J4808" s="67">
        <v>2108</v>
      </c>
      <c r="K4808" s="62">
        <v>90669.68</v>
      </c>
      <c r="L4808" s="33" t="e">
        <f>HLOOKUP(B4808,#REF!,1,0)</f>
        <v>#REF!</v>
      </c>
      <c r="M4808" s="33" t="str">
        <f t="shared" si="303"/>
        <v>P&amp;L</v>
      </c>
    </row>
    <row r="4809" spans="1:13" s="33" customFormat="true" ht="12.75" customHeight="true">
      <c r="A4809" s="33" t="str">
        <f t="shared" si="300"/>
        <v>FFC - CGS</v>
      </c>
      <c r="B4809" s="33" t="str">
        <f t="shared" si="301"/>
        <v>FFC</v>
      </c>
      <c r="C4809" s="33" t="str">
        <f t="shared" si="302"/>
        <v>58400-0000</v>
      </c>
      <c r="D4809" s="64" t="s">
        <v>5834</v>
      </c>
      <c r="E4809" s="64" t="s">
        <v>3265</v>
      </c>
      <c r="F4809" s="64" t="s">
        <v>1120</v>
      </c>
      <c r="G4809" s="64" t="s">
        <v>4426</v>
      </c>
      <c r="H4809" s="64" t="s">
        <v>1875</v>
      </c>
      <c r="I4809" s="64" t="s">
        <v>3268</v>
      </c>
      <c r="J4809" s="67">
        <v>0</v>
      </c>
      <c r="K4809" s="62">
        <v>27532.25</v>
      </c>
      <c r="L4809" s="33" t="e">
        <f>HLOOKUP(B4809,#REF!,1,0)</f>
        <v>#REF!</v>
      </c>
      <c r="M4809" s="33" t="str">
        <f t="shared" si="303"/>
        <v>P&amp;L</v>
      </c>
    </row>
    <row r="4810" spans="1:13" s="33" customFormat="true" ht="12.75" customHeight="true">
      <c r="A4810" s="33" t="str">
        <f t="shared" si="300"/>
        <v>FFC - CGS</v>
      </c>
      <c r="B4810" s="33" t="str">
        <f t="shared" si="301"/>
        <v>FFC</v>
      </c>
      <c r="C4810" s="33" t="str">
        <f t="shared" si="302"/>
        <v>58450-0000</v>
      </c>
      <c r="D4810" s="64" t="s">
        <v>5835</v>
      </c>
      <c r="E4810" s="64" t="s">
        <v>5836</v>
      </c>
      <c r="F4810" s="64" t="s">
        <v>1120</v>
      </c>
      <c r="G4810" s="64" t="s">
        <v>4426</v>
      </c>
      <c r="H4810" s="64" t="s">
        <v>1875</v>
      </c>
      <c r="I4810" s="64" t="s">
        <v>3268</v>
      </c>
      <c r="J4810" s="67">
        <v>681</v>
      </c>
      <c r="K4810" s="62">
        <v>6730</v>
      </c>
      <c r="L4810" s="33" t="e">
        <f>HLOOKUP(B4810,#REF!,1,0)</f>
        <v>#REF!</v>
      </c>
      <c r="M4810" s="33" t="str">
        <f t="shared" si="303"/>
        <v>P&amp;L</v>
      </c>
    </row>
    <row r="4811" spans="1:13" s="33" customFormat="true" ht="12.75" customHeight="true">
      <c r="A4811" s="33" t="str">
        <f t="shared" si="300"/>
        <v>FFC - CGS</v>
      </c>
      <c r="B4811" s="33" t="str">
        <f t="shared" si="301"/>
        <v>FFC</v>
      </c>
      <c r="C4811" s="33" t="str">
        <f t="shared" si="302"/>
        <v>58500-0000</v>
      </c>
      <c r="D4811" s="64" t="s">
        <v>5837</v>
      </c>
      <c r="E4811" s="64" t="s">
        <v>4754</v>
      </c>
      <c r="F4811" s="64" t="s">
        <v>1120</v>
      </c>
      <c r="G4811" s="64" t="s">
        <v>4426</v>
      </c>
      <c r="H4811" s="64" t="s">
        <v>1875</v>
      </c>
      <c r="I4811" s="64" t="s">
        <v>4752</v>
      </c>
      <c r="J4811" s="67">
        <v>0</v>
      </c>
      <c r="K4811" s="62">
        <v>1896.47</v>
      </c>
      <c r="L4811" s="33" t="e">
        <f>HLOOKUP(B4811,#REF!,1,0)</f>
        <v>#REF!</v>
      </c>
      <c r="M4811" s="33" t="str">
        <f t="shared" si="303"/>
        <v>P&amp;L</v>
      </c>
    </row>
    <row r="4812" spans="1:13" s="33" customFormat="true" ht="12.75" customHeight="true">
      <c r="A4812" s="33" t="str">
        <f t="shared" si="300"/>
        <v>FFC - CGS</v>
      </c>
      <c r="B4812" s="33" t="str">
        <f t="shared" si="301"/>
        <v>FFC</v>
      </c>
      <c r="C4812" s="33" t="str">
        <f t="shared" si="302"/>
        <v>59100-0000</v>
      </c>
      <c r="D4812" s="64" t="s">
        <v>5838</v>
      </c>
      <c r="E4812" s="64" t="s">
        <v>4489</v>
      </c>
      <c r="F4812" s="64" t="s">
        <v>1120</v>
      </c>
      <c r="G4812" s="64" t="s">
        <v>4426</v>
      </c>
      <c r="H4812" s="64" t="s">
        <v>1875</v>
      </c>
      <c r="I4812" s="64" t="s">
        <v>4738</v>
      </c>
      <c r="J4812" s="67">
        <v>179345.65</v>
      </c>
      <c r="K4812" s="62">
        <v>1663330.42</v>
      </c>
      <c r="L4812" s="33" t="e">
        <f>HLOOKUP(B4812,#REF!,1,0)</f>
        <v>#REF!</v>
      </c>
      <c r="M4812" s="33" t="str">
        <f t="shared" si="303"/>
        <v>P&amp;L</v>
      </c>
    </row>
    <row r="4813" spans="1:13" s="33" customFormat="true" ht="12.75" customHeight="true">
      <c r="A4813" s="33" t="str">
        <f t="shared" si="300"/>
        <v>FFC - CGS</v>
      </c>
      <c r="B4813" s="33" t="str">
        <f t="shared" si="301"/>
        <v>FFC</v>
      </c>
      <c r="C4813" s="33" t="str">
        <f t="shared" si="302"/>
        <v>59200-0000</v>
      </c>
      <c r="D4813" s="64" t="s">
        <v>5839</v>
      </c>
      <c r="E4813" s="64" t="s">
        <v>5840</v>
      </c>
      <c r="F4813" s="64" t="s">
        <v>1120</v>
      </c>
      <c r="G4813" s="64" t="s">
        <v>4426</v>
      </c>
      <c r="H4813" s="64" t="s">
        <v>1875</v>
      </c>
      <c r="I4813" s="64" t="s">
        <v>5841</v>
      </c>
      <c r="J4813" s="67">
        <v>0</v>
      </c>
      <c r="K4813" s="62">
        <v>189.27</v>
      </c>
      <c r="L4813" s="33" t="e">
        <f>HLOOKUP(B4813,#REF!,1,0)</f>
        <v>#REF!</v>
      </c>
      <c r="M4813" s="33" t="str">
        <f t="shared" si="303"/>
        <v>P&amp;L</v>
      </c>
    </row>
    <row r="4814" spans="1:13" s="33" customFormat="true" ht="12.75" customHeight="true">
      <c r="A4814" s="33" t="str">
        <f t="shared" si="300"/>
        <v>FFC - Income Tax</v>
      </c>
      <c r="B4814" s="33" t="str">
        <f t="shared" si="301"/>
        <v>FFC</v>
      </c>
      <c r="C4814" s="33" t="str">
        <f t="shared" si="302"/>
        <v>59400-0000</v>
      </c>
      <c r="D4814" s="64" t="s">
        <v>5842</v>
      </c>
      <c r="E4814" s="64" t="s">
        <v>5843</v>
      </c>
      <c r="F4814" s="64" t="s">
        <v>1120</v>
      </c>
      <c r="G4814" s="64" t="s">
        <v>5235</v>
      </c>
      <c r="H4814" s="64" t="s">
        <v>3378</v>
      </c>
      <c r="I4814" s="64" t="s">
        <v>5245</v>
      </c>
      <c r="J4814" s="67">
        <v>0</v>
      </c>
      <c r="K4814" s="62">
        <v>8819.64</v>
      </c>
      <c r="L4814" s="33" t="e">
        <f>HLOOKUP(B4814,#REF!,1,0)</f>
        <v>#REF!</v>
      </c>
      <c r="M4814" s="33" t="str">
        <f t="shared" si="303"/>
        <v>P&amp;L</v>
      </c>
    </row>
    <row r="4815" spans="1:13" s="33" customFormat="true" ht="12.75" customHeight="true">
      <c r="A4815" s="33" t="str">
        <f t="shared" si="300"/>
        <v>FFC - CGS</v>
      </c>
      <c r="B4815" s="33" t="str">
        <f t="shared" si="301"/>
        <v>FFC</v>
      </c>
      <c r="C4815" s="33" t="str">
        <f t="shared" si="302"/>
        <v>59500-0000</v>
      </c>
      <c r="D4815" s="64" t="s">
        <v>5844</v>
      </c>
      <c r="E4815" s="64" t="s">
        <v>3159</v>
      </c>
      <c r="F4815" s="64" t="s">
        <v>1120</v>
      </c>
      <c r="G4815" s="64" t="s">
        <v>4426</v>
      </c>
      <c r="H4815" s="64" t="s">
        <v>1875</v>
      </c>
      <c r="I4815" s="64" t="s">
        <v>3161</v>
      </c>
      <c r="J4815" s="67">
        <v>4507.71</v>
      </c>
      <c r="K4815" s="62">
        <v>47315.06</v>
      </c>
      <c r="L4815" s="33" t="e">
        <f>HLOOKUP(B4815,#REF!,1,0)</f>
        <v>#REF!</v>
      </c>
      <c r="M4815" s="33" t="str">
        <f t="shared" si="303"/>
        <v>P&amp;L</v>
      </c>
    </row>
    <row r="4816" spans="1:13" s="33" customFormat="true" ht="12.75" customHeight="true">
      <c r="A4816" s="33" t="str">
        <f t="shared" si="300"/>
        <v>FFC - CGS</v>
      </c>
      <c r="B4816" s="33" t="str">
        <f t="shared" si="301"/>
        <v>FFC</v>
      </c>
      <c r="C4816" s="33" t="str">
        <f t="shared" si="302"/>
        <v>59600-0000</v>
      </c>
      <c r="D4816" s="64" t="s">
        <v>5845</v>
      </c>
      <c r="E4816" s="64" t="s">
        <v>5846</v>
      </c>
      <c r="F4816" s="64" t="s">
        <v>1120</v>
      </c>
      <c r="G4816" s="64" t="s">
        <v>4426</v>
      </c>
      <c r="H4816" s="64" t="s">
        <v>1875</v>
      </c>
      <c r="I4816" s="64" t="s">
        <v>5847</v>
      </c>
      <c r="J4816" s="67">
        <v>0</v>
      </c>
      <c r="K4816" s="62">
        <v>81734.4</v>
      </c>
      <c r="L4816" s="33" t="e">
        <f>HLOOKUP(B4816,#REF!,1,0)</f>
        <v>#REF!</v>
      </c>
      <c r="M4816" s="33" t="str">
        <f t="shared" si="303"/>
        <v>P&amp;L</v>
      </c>
    </row>
    <row r="4817" spans="1:13" s="33" customFormat="true" ht="12.75" customHeight="true">
      <c r="A4817" s="33" t="str">
        <f t="shared" si="300"/>
        <v>FFC - CGS</v>
      </c>
      <c r="B4817" s="33" t="str">
        <f t="shared" si="301"/>
        <v>FFC</v>
      </c>
      <c r="C4817" s="33" t="str">
        <f t="shared" si="302"/>
        <v>59700-0000</v>
      </c>
      <c r="D4817" s="64" t="s">
        <v>5848</v>
      </c>
      <c r="E4817" s="64" t="s">
        <v>5849</v>
      </c>
      <c r="F4817" s="64" t="s">
        <v>1120</v>
      </c>
      <c r="G4817" s="64" t="s">
        <v>4426</v>
      </c>
      <c r="H4817" s="64" t="s">
        <v>1875</v>
      </c>
      <c r="I4817" s="64" t="s">
        <v>5809</v>
      </c>
      <c r="J4817" s="67">
        <v>-15.4</v>
      </c>
      <c r="K4817" s="62">
        <v>5804.01</v>
      </c>
      <c r="L4817" s="33" t="e">
        <f>HLOOKUP(B4817,#REF!,1,0)</f>
        <v>#REF!</v>
      </c>
      <c r="M4817" s="33" t="str">
        <f t="shared" si="303"/>
        <v>P&amp;L</v>
      </c>
    </row>
    <row r="4818" spans="1:13" s="33" customFormat="true" ht="12.75" customHeight="true">
      <c r="A4818" s="33" t="str">
        <f t="shared" si="300"/>
        <v>FFC - CGS</v>
      </c>
      <c r="B4818" s="33" t="str">
        <f t="shared" si="301"/>
        <v>FFC</v>
      </c>
      <c r="C4818" s="33" t="str">
        <f t="shared" si="302"/>
        <v>59750-0000</v>
      </c>
      <c r="D4818" s="64" t="s">
        <v>5850</v>
      </c>
      <c r="E4818" s="64" t="s">
        <v>4506</v>
      </c>
      <c r="F4818" s="64" t="s">
        <v>1120</v>
      </c>
      <c r="G4818" s="64" t="s">
        <v>4426</v>
      </c>
      <c r="H4818" s="64" t="s">
        <v>1875</v>
      </c>
      <c r="I4818" s="64" t="s">
        <v>4756</v>
      </c>
      <c r="J4818" s="67">
        <v>1965.71</v>
      </c>
      <c r="K4818" s="62">
        <v>87577.6</v>
      </c>
      <c r="L4818" s="33" t="e">
        <f>HLOOKUP(B4818,#REF!,1,0)</f>
        <v>#REF!</v>
      </c>
      <c r="M4818" s="33" t="str">
        <f t="shared" si="303"/>
        <v>P&amp;L</v>
      </c>
    </row>
    <row r="4819" spans="1:13" s="33" customFormat="true" ht="12.75" customHeight="true">
      <c r="A4819" s="33" t="str">
        <f t="shared" si="300"/>
        <v>FFC - Operating Expense</v>
      </c>
      <c r="B4819" s="33" t="str">
        <f t="shared" si="301"/>
        <v>FFC</v>
      </c>
      <c r="C4819" s="33" t="str">
        <f t="shared" si="302"/>
        <v>62550-0000</v>
      </c>
      <c r="D4819" s="64" t="s">
        <v>5851</v>
      </c>
      <c r="E4819" s="64" t="s">
        <v>3129</v>
      </c>
      <c r="F4819" s="64" t="s">
        <v>1120</v>
      </c>
      <c r="G4819" s="64" t="s">
        <v>3035</v>
      </c>
      <c r="H4819" s="64" t="s">
        <v>3022</v>
      </c>
      <c r="I4819" s="64" t="s">
        <v>3130</v>
      </c>
      <c r="J4819" s="67">
        <v>0</v>
      </c>
      <c r="K4819" s="62">
        <v>450.01</v>
      </c>
      <c r="L4819" s="33" t="e">
        <f>HLOOKUP(B4819,#REF!,1,0)</f>
        <v>#REF!</v>
      </c>
      <c r="M4819" s="33" t="str">
        <f t="shared" si="303"/>
        <v>P&amp;L</v>
      </c>
    </row>
    <row r="4820" spans="1:13" s="33" customFormat="true" ht="12.75" customHeight="true">
      <c r="A4820" s="33" t="str">
        <f t="shared" si="300"/>
        <v>FFC - CGS</v>
      </c>
      <c r="B4820" s="33" t="str">
        <f t="shared" si="301"/>
        <v>FFC</v>
      </c>
      <c r="C4820" s="33" t="str">
        <f t="shared" si="302"/>
        <v>70100-0000</v>
      </c>
      <c r="D4820" s="64" t="s">
        <v>5852</v>
      </c>
      <c r="E4820" s="64" t="s">
        <v>3864</v>
      </c>
      <c r="F4820" s="64" t="s">
        <v>1120</v>
      </c>
      <c r="G4820" s="64" t="s">
        <v>4426</v>
      </c>
      <c r="H4820" s="64" t="s">
        <v>1875</v>
      </c>
      <c r="I4820" s="64" t="s">
        <v>4763</v>
      </c>
      <c r="J4820" s="67">
        <v>20563.83</v>
      </c>
      <c r="K4820" s="62">
        <v>408758.78</v>
      </c>
      <c r="L4820" s="33" t="e">
        <f>HLOOKUP(B4820,#REF!,1,0)</f>
        <v>#REF!</v>
      </c>
      <c r="M4820" s="33" t="str">
        <f t="shared" si="303"/>
        <v>P&amp;L</v>
      </c>
    </row>
    <row r="4821" spans="1:13" s="33" customFormat="true" ht="12.75" customHeight="true">
      <c r="A4821" s="33" t="str">
        <f t="shared" si="300"/>
        <v>FFC - CGS</v>
      </c>
      <c r="B4821" s="33" t="str">
        <f t="shared" si="301"/>
        <v>FFC</v>
      </c>
      <c r="C4821" s="33" t="str">
        <f t="shared" si="302"/>
        <v>91601-0000</v>
      </c>
      <c r="D4821" s="64" t="s">
        <v>5853</v>
      </c>
      <c r="E4821" s="64" t="s">
        <v>5854</v>
      </c>
      <c r="F4821" s="64" t="s">
        <v>1120</v>
      </c>
      <c r="G4821" s="64" t="s">
        <v>4426</v>
      </c>
      <c r="H4821" s="64" t="s">
        <v>1875</v>
      </c>
      <c r="I4821" s="64" t="s">
        <v>5855</v>
      </c>
      <c r="J4821" s="67">
        <v>0</v>
      </c>
      <c r="K4821" s="62">
        <v>1190</v>
      </c>
      <c r="L4821" s="33" t="e">
        <f>HLOOKUP(B4821,#REF!,1,0)</f>
        <v>#REF!</v>
      </c>
      <c r="M4821" s="33" t="str">
        <f t="shared" si="303"/>
        <v>P&amp;L</v>
      </c>
    </row>
    <row r="4822" spans="1:13" s="33" customFormat="true" ht="12.75" customHeight="true">
      <c r="A4822" s="33" t="str">
        <f t="shared" si="300"/>
        <v>FIR - Intercompany</v>
      </c>
      <c r="B4822" s="33" t="str">
        <f t="shared" si="301"/>
        <v>FIR</v>
      </c>
      <c r="C4822" s="33" t="str">
        <f t="shared" si="302"/>
        <v>11359-0000</v>
      </c>
      <c r="D4822" s="64" t="s">
        <v>5856</v>
      </c>
      <c r="E4822" s="64" t="s">
        <v>5857</v>
      </c>
      <c r="F4822" s="64" t="s">
        <v>230</v>
      </c>
      <c r="G4822" s="64" t="s">
        <v>16</v>
      </c>
      <c r="H4822" s="64" t="s">
        <v>39</v>
      </c>
      <c r="I4822" s="64" t="s">
        <v>40</v>
      </c>
      <c r="J4822" s="67">
        <v>0</v>
      </c>
      <c r="K4822" s="62">
        <v>7504003.34</v>
      </c>
      <c r="L4822" s="33" t="e">
        <f>HLOOKUP(B4822,#REF!,1,0)</f>
        <v>#REF!</v>
      </c>
      <c r="M4822" s="33" t="str">
        <f t="shared" si="303"/>
        <v>BS</v>
      </c>
    </row>
    <row r="4823" spans="1:13" s="33" customFormat="true" ht="12.75" customHeight="true">
      <c r="A4823" s="33" t="str">
        <f t="shared" si="300"/>
        <v>FIR - Deposits</v>
      </c>
      <c r="B4823" s="33" t="str">
        <f t="shared" si="301"/>
        <v>FIR</v>
      </c>
      <c r="C4823" s="33" t="str">
        <f t="shared" si="302"/>
        <v>19000-0000</v>
      </c>
      <c r="D4823" s="64" t="s">
        <v>5858</v>
      </c>
      <c r="E4823" s="64" t="s">
        <v>342</v>
      </c>
      <c r="F4823" s="64" t="s">
        <v>230</v>
      </c>
      <c r="G4823" s="64" t="s">
        <v>62</v>
      </c>
      <c r="H4823" s="64" t="s">
        <v>80</v>
      </c>
      <c r="I4823" s="64" t="s">
        <v>81</v>
      </c>
      <c r="J4823" s="67">
        <v>0</v>
      </c>
      <c r="K4823" s="62">
        <v>2142.18</v>
      </c>
      <c r="L4823" s="33" t="e">
        <f>HLOOKUP(B4823,#REF!,1,0)</f>
        <v>#REF!</v>
      </c>
      <c r="M4823" s="33" t="str">
        <f t="shared" si="303"/>
        <v>BS</v>
      </c>
    </row>
    <row r="4824" spans="1:13" s="33" customFormat="true" ht="12.75" customHeight="true">
      <c r="A4824" s="33" t="str">
        <f t="shared" si="300"/>
        <v>FIR - AP-Accr Exp</v>
      </c>
      <c r="B4824" s="33" t="str">
        <f t="shared" si="301"/>
        <v>FIR</v>
      </c>
      <c r="C4824" s="33" t="str">
        <f t="shared" si="302"/>
        <v>24801-0000</v>
      </c>
      <c r="D4824" s="64" t="s">
        <v>5859</v>
      </c>
      <c r="E4824" s="64" t="s">
        <v>399</v>
      </c>
      <c r="F4824" s="64" t="s">
        <v>230</v>
      </c>
      <c r="G4824" s="64" t="s">
        <v>97</v>
      </c>
      <c r="H4824" s="64" t="s">
        <v>98</v>
      </c>
      <c r="I4824" s="64" t="s">
        <v>102</v>
      </c>
      <c r="J4824" s="67">
        <v>0</v>
      </c>
      <c r="K4824" s="62">
        <v>0</v>
      </c>
      <c r="L4824" s="33" t="e">
        <f>HLOOKUP(B4824,#REF!,1,0)</f>
        <v>#REF!</v>
      </c>
      <c r="M4824" s="33" t="str">
        <f t="shared" si="303"/>
        <v>BS</v>
      </c>
    </row>
    <row r="4825" spans="1:13" s="33" customFormat="true" ht="12.75" customHeight="true">
      <c r="A4825" s="33" t="str">
        <f t="shared" si="300"/>
        <v>FIR - Revenue</v>
      </c>
      <c r="B4825" s="33" t="str">
        <f t="shared" si="301"/>
        <v>FIR</v>
      </c>
      <c r="C4825" s="33" t="str">
        <f t="shared" si="302"/>
        <v>40110-0000</v>
      </c>
      <c r="D4825" s="64" t="s">
        <v>5860</v>
      </c>
      <c r="E4825" s="64" t="s">
        <v>3683</v>
      </c>
      <c r="F4825" s="64" t="s">
        <v>230</v>
      </c>
      <c r="G4825" s="64" t="s">
        <v>3684</v>
      </c>
      <c r="H4825" s="64" t="s">
        <v>2871</v>
      </c>
      <c r="I4825" s="64" t="s">
        <v>3685</v>
      </c>
      <c r="J4825" s="67">
        <v>0</v>
      </c>
      <c r="K4825" s="62">
        <v>-191255.82</v>
      </c>
      <c r="L4825" s="33" t="e">
        <f>HLOOKUP(B4825,#REF!,1,0)</f>
        <v>#REF!</v>
      </c>
      <c r="M4825" s="33" t="str">
        <f t="shared" si="303"/>
        <v>P&amp;L</v>
      </c>
    </row>
    <row r="4826" spans="1:13" s="33" customFormat="true" ht="12.75" customHeight="true">
      <c r="A4826" s="33" t="str">
        <f t="shared" si="300"/>
        <v>FIR - Revenue</v>
      </c>
      <c r="B4826" s="33" t="str">
        <f t="shared" si="301"/>
        <v>FIR</v>
      </c>
      <c r="C4826" s="33" t="str">
        <f t="shared" si="302"/>
        <v>40120-0000</v>
      </c>
      <c r="D4826" s="64" t="s">
        <v>5861</v>
      </c>
      <c r="E4826" s="64" t="s">
        <v>3687</v>
      </c>
      <c r="F4826" s="64" t="s">
        <v>230</v>
      </c>
      <c r="G4826" s="64" t="s">
        <v>3684</v>
      </c>
      <c r="H4826" s="64" t="s">
        <v>2871</v>
      </c>
      <c r="I4826" s="64" t="s">
        <v>3688</v>
      </c>
      <c r="J4826" s="67">
        <v>0</v>
      </c>
      <c r="K4826" s="62">
        <v>-2904.22</v>
      </c>
      <c r="L4826" s="33" t="e">
        <f>HLOOKUP(B4826,#REF!,1,0)</f>
        <v>#REF!</v>
      </c>
      <c r="M4826" s="33" t="str">
        <f t="shared" si="303"/>
        <v>P&amp;L</v>
      </c>
    </row>
    <row r="4827" spans="1:13" s="33" customFormat="true" ht="12.75" customHeight="true">
      <c r="A4827" s="33" t="str">
        <f t="shared" si="300"/>
        <v>FIR - Revenue</v>
      </c>
      <c r="B4827" s="33" t="str">
        <f t="shared" si="301"/>
        <v>FIR</v>
      </c>
      <c r="C4827" s="33" t="str">
        <f t="shared" si="302"/>
        <v>40130-0000</v>
      </c>
      <c r="D4827" s="64" t="s">
        <v>5862</v>
      </c>
      <c r="E4827" s="64" t="s">
        <v>3690</v>
      </c>
      <c r="F4827" s="64" t="s">
        <v>230</v>
      </c>
      <c r="G4827" s="64" t="s">
        <v>3684</v>
      </c>
      <c r="H4827" s="64" t="s">
        <v>2871</v>
      </c>
      <c r="I4827" s="64" t="s">
        <v>3691</v>
      </c>
      <c r="J4827" s="67">
        <v>0</v>
      </c>
      <c r="K4827" s="62">
        <v>-521.98</v>
      </c>
      <c r="L4827" s="33" t="e">
        <f>HLOOKUP(B4827,#REF!,1,0)</f>
        <v>#REF!</v>
      </c>
      <c r="M4827" s="33" t="str">
        <f t="shared" si="303"/>
        <v>P&amp;L</v>
      </c>
    </row>
    <row r="4828" spans="1:13" s="33" customFormat="true" ht="12.75" customHeight="true">
      <c r="A4828" s="33" t="str">
        <f t="shared" si="300"/>
        <v>FIR - Revenue</v>
      </c>
      <c r="B4828" s="33" t="str">
        <f t="shared" si="301"/>
        <v>FIR</v>
      </c>
      <c r="C4828" s="33" t="str">
        <f t="shared" si="302"/>
        <v>40140-0000</v>
      </c>
      <c r="D4828" s="64" t="s">
        <v>5863</v>
      </c>
      <c r="E4828" s="64" t="s">
        <v>3948</v>
      </c>
      <c r="F4828" s="64" t="s">
        <v>230</v>
      </c>
      <c r="G4828" s="64" t="s">
        <v>3684</v>
      </c>
      <c r="H4828" s="64" t="s">
        <v>2871</v>
      </c>
      <c r="I4828" s="64" t="s">
        <v>3949</v>
      </c>
      <c r="J4828" s="67">
        <v>0</v>
      </c>
      <c r="K4828" s="62">
        <v>0</v>
      </c>
      <c r="L4828" s="33" t="e">
        <f>HLOOKUP(B4828,#REF!,1,0)</f>
        <v>#REF!</v>
      </c>
      <c r="M4828" s="33" t="str">
        <f t="shared" si="303"/>
        <v>P&amp;L</v>
      </c>
    </row>
    <row r="4829" spans="1:13" s="33" customFormat="true" ht="12.75" customHeight="true">
      <c r="A4829" s="33" t="str">
        <f t="shared" si="300"/>
        <v>FIR - Revenue</v>
      </c>
      <c r="B4829" s="33" t="str">
        <f t="shared" si="301"/>
        <v>FIR</v>
      </c>
      <c r="C4829" s="33" t="str">
        <f t="shared" si="302"/>
        <v>41110-0000</v>
      </c>
      <c r="D4829" s="64" t="s">
        <v>5864</v>
      </c>
      <c r="E4829" s="64" t="s">
        <v>3693</v>
      </c>
      <c r="F4829" s="64" t="s">
        <v>230</v>
      </c>
      <c r="G4829" s="64" t="s">
        <v>3694</v>
      </c>
      <c r="H4829" s="64" t="s">
        <v>2871</v>
      </c>
      <c r="I4829" s="64" t="s">
        <v>3695</v>
      </c>
      <c r="J4829" s="67">
        <v>0</v>
      </c>
      <c r="K4829" s="62">
        <v>3657</v>
      </c>
      <c r="L4829" s="33" t="e">
        <f>HLOOKUP(B4829,#REF!,1,0)</f>
        <v>#REF!</v>
      </c>
      <c r="M4829" s="33" t="str">
        <f t="shared" si="303"/>
        <v>P&amp;L</v>
      </c>
    </row>
    <row r="4830" spans="1:13" s="33" customFormat="true" ht="12.75" customHeight="true">
      <c r="A4830" s="33" t="str">
        <f t="shared" si="300"/>
        <v>FIR - Revenue</v>
      </c>
      <c r="B4830" s="33" t="str">
        <f t="shared" si="301"/>
        <v>FIR</v>
      </c>
      <c r="C4830" s="33" t="str">
        <f t="shared" si="302"/>
        <v>41121-0000</v>
      </c>
      <c r="D4830" s="64" t="s">
        <v>5865</v>
      </c>
      <c r="E4830" s="64" t="s">
        <v>3697</v>
      </c>
      <c r="F4830" s="64" t="s">
        <v>230</v>
      </c>
      <c r="G4830" s="64" t="s">
        <v>3694</v>
      </c>
      <c r="H4830" s="64" t="s">
        <v>2871</v>
      </c>
      <c r="I4830" s="64" t="s">
        <v>3698</v>
      </c>
      <c r="J4830" s="67">
        <v>0</v>
      </c>
      <c r="K4830" s="62">
        <v>40666.28</v>
      </c>
      <c r="L4830" s="33" t="e">
        <f>HLOOKUP(B4830,#REF!,1,0)</f>
        <v>#REF!</v>
      </c>
      <c r="M4830" s="33" t="str">
        <f t="shared" si="303"/>
        <v>P&amp;L</v>
      </c>
    </row>
    <row r="4831" spans="1:13" s="33" customFormat="true" ht="12.75" customHeight="true">
      <c r="A4831" s="33" t="str">
        <f t="shared" si="300"/>
        <v>FIR - Revenue</v>
      </c>
      <c r="B4831" s="33" t="str">
        <f t="shared" si="301"/>
        <v>FIR</v>
      </c>
      <c r="C4831" s="33" t="str">
        <f t="shared" si="302"/>
        <v>41122-0000</v>
      </c>
      <c r="D4831" s="64" t="s">
        <v>5866</v>
      </c>
      <c r="E4831" s="64" t="s">
        <v>3700</v>
      </c>
      <c r="F4831" s="64" t="s">
        <v>230</v>
      </c>
      <c r="G4831" s="64" t="s">
        <v>3694</v>
      </c>
      <c r="H4831" s="64" t="s">
        <v>2871</v>
      </c>
      <c r="I4831" s="64" t="s">
        <v>3701</v>
      </c>
      <c r="J4831" s="67">
        <v>0</v>
      </c>
      <c r="K4831" s="62">
        <v>-3030</v>
      </c>
      <c r="L4831" s="33" t="e">
        <f>HLOOKUP(B4831,#REF!,1,0)</f>
        <v>#REF!</v>
      </c>
      <c r="M4831" s="33" t="str">
        <f t="shared" si="303"/>
        <v>P&amp;L</v>
      </c>
    </row>
    <row r="4832" spans="1:13" s="33" customFormat="true" ht="12.75" customHeight="true">
      <c r="A4832" s="33" t="str">
        <f t="shared" si="300"/>
        <v>FIR - Revenue</v>
      </c>
      <c r="B4832" s="33" t="str">
        <f t="shared" si="301"/>
        <v>FIR</v>
      </c>
      <c r="C4832" s="33" t="str">
        <f t="shared" si="302"/>
        <v>41130-0000</v>
      </c>
      <c r="D4832" s="64" t="s">
        <v>5867</v>
      </c>
      <c r="E4832" s="64" t="s">
        <v>3703</v>
      </c>
      <c r="F4832" s="64" t="s">
        <v>230</v>
      </c>
      <c r="G4832" s="64" t="s">
        <v>3694</v>
      </c>
      <c r="H4832" s="64" t="s">
        <v>2871</v>
      </c>
      <c r="I4832" s="64" t="s">
        <v>3704</v>
      </c>
      <c r="J4832" s="67">
        <v>0</v>
      </c>
      <c r="K4832" s="62">
        <v>2646.87</v>
      </c>
      <c r="L4832" s="33" t="e">
        <f>HLOOKUP(B4832,#REF!,1,0)</f>
        <v>#REF!</v>
      </c>
      <c r="M4832" s="33" t="str">
        <f t="shared" si="303"/>
        <v>P&amp;L</v>
      </c>
    </row>
    <row r="4833" spans="1:13" s="33" customFormat="true" ht="12.75" customHeight="true">
      <c r="A4833" s="33" t="str">
        <f t="shared" si="300"/>
        <v>FIR - Revenue</v>
      </c>
      <c r="B4833" s="33" t="str">
        <f t="shared" si="301"/>
        <v>FIR</v>
      </c>
      <c r="C4833" s="33" t="str">
        <f t="shared" si="302"/>
        <v>41140-0000</v>
      </c>
      <c r="D4833" s="64" t="s">
        <v>5868</v>
      </c>
      <c r="E4833" s="64" t="s">
        <v>3706</v>
      </c>
      <c r="F4833" s="64" t="s">
        <v>230</v>
      </c>
      <c r="G4833" s="64" t="s">
        <v>3694</v>
      </c>
      <c r="H4833" s="64" t="s">
        <v>2871</v>
      </c>
      <c r="I4833" s="64" t="s">
        <v>3707</v>
      </c>
      <c r="J4833" s="67">
        <v>0</v>
      </c>
      <c r="K4833" s="62">
        <v>0</v>
      </c>
      <c r="L4833" s="33" t="e">
        <f>HLOOKUP(B4833,#REF!,1,0)</f>
        <v>#REF!</v>
      </c>
      <c r="M4833" s="33" t="str">
        <f t="shared" si="303"/>
        <v>P&amp;L</v>
      </c>
    </row>
    <row r="4834" spans="1:13" s="33" customFormat="true" ht="12.75" customHeight="true">
      <c r="A4834" s="33" t="str">
        <f t="shared" si="300"/>
        <v>FIR - Revenue</v>
      </c>
      <c r="B4834" s="33" t="str">
        <f t="shared" si="301"/>
        <v>FIR</v>
      </c>
      <c r="C4834" s="33" t="str">
        <f t="shared" si="302"/>
        <v>41150-0000</v>
      </c>
      <c r="D4834" s="64" t="s">
        <v>5869</v>
      </c>
      <c r="E4834" s="64" t="s">
        <v>3709</v>
      </c>
      <c r="F4834" s="64" t="s">
        <v>230</v>
      </c>
      <c r="G4834" s="64" t="s">
        <v>3694</v>
      </c>
      <c r="H4834" s="64" t="s">
        <v>2871</v>
      </c>
      <c r="I4834" s="64" t="s">
        <v>3710</v>
      </c>
      <c r="J4834" s="67">
        <v>0</v>
      </c>
      <c r="K4834" s="62">
        <v>5940</v>
      </c>
      <c r="L4834" s="33" t="e">
        <f>HLOOKUP(B4834,#REF!,1,0)</f>
        <v>#REF!</v>
      </c>
      <c r="M4834" s="33" t="str">
        <f t="shared" si="303"/>
        <v>P&amp;L</v>
      </c>
    </row>
    <row r="4835" spans="1:13" s="33" customFormat="true" ht="12.75" customHeight="true">
      <c r="A4835" s="33" t="str">
        <f t="shared" si="300"/>
        <v>FIR - Revenue</v>
      </c>
      <c r="B4835" s="33" t="str">
        <f t="shared" si="301"/>
        <v>FIR</v>
      </c>
      <c r="C4835" s="33" t="str">
        <f t="shared" si="302"/>
        <v>41160-0000</v>
      </c>
      <c r="D4835" s="64" t="s">
        <v>5870</v>
      </c>
      <c r="E4835" s="64" t="s">
        <v>3957</v>
      </c>
      <c r="F4835" s="64" t="s">
        <v>230</v>
      </c>
      <c r="G4835" s="64" t="s">
        <v>3694</v>
      </c>
      <c r="H4835" s="64" t="s">
        <v>2871</v>
      </c>
      <c r="I4835" s="64" t="s">
        <v>3701</v>
      </c>
      <c r="J4835" s="67">
        <v>0</v>
      </c>
      <c r="K4835" s="62">
        <v>-12029.17</v>
      </c>
      <c r="L4835" s="33" t="e">
        <f>HLOOKUP(B4835,#REF!,1,0)</f>
        <v>#REF!</v>
      </c>
      <c r="M4835" s="33" t="str">
        <f t="shared" si="303"/>
        <v>P&amp;L</v>
      </c>
    </row>
    <row r="4836" spans="1:13" s="33" customFormat="true" ht="12.75" customHeight="true">
      <c r="A4836" s="33" t="str">
        <f t="shared" si="300"/>
        <v>FIR - Revenue</v>
      </c>
      <c r="B4836" s="33" t="str">
        <f t="shared" si="301"/>
        <v>FIR</v>
      </c>
      <c r="C4836" s="33" t="str">
        <f t="shared" si="302"/>
        <v>41999-0000</v>
      </c>
      <c r="D4836" s="64" t="s">
        <v>5871</v>
      </c>
      <c r="E4836" s="64" t="s">
        <v>3712</v>
      </c>
      <c r="F4836" s="64" t="s">
        <v>230</v>
      </c>
      <c r="G4836" s="64" t="s">
        <v>3713</v>
      </c>
      <c r="H4836" s="64" t="s">
        <v>2871</v>
      </c>
      <c r="I4836" s="64" t="s">
        <v>3714</v>
      </c>
      <c r="J4836" s="67">
        <v>0</v>
      </c>
      <c r="K4836" s="62">
        <v>156831.04</v>
      </c>
      <c r="L4836" s="33" t="e">
        <f>HLOOKUP(B4836,#REF!,1,0)</f>
        <v>#REF!</v>
      </c>
      <c r="M4836" s="33" t="str">
        <f t="shared" si="303"/>
        <v>P&amp;L</v>
      </c>
    </row>
    <row r="4837" spans="1:13" s="33" customFormat="true" ht="12.75" customHeight="true">
      <c r="A4837" s="33" t="str">
        <f t="shared" si="300"/>
        <v>FIR - Revenue</v>
      </c>
      <c r="B4837" s="33" t="str">
        <f t="shared" si="301"/>
        <v>FIR</v>
      </c>
      <c r="C4837" s="33" t="str">
        <f t="shared" si="302"/>
        <v>47400-0000</v>
      </c>
      <c r="D4837" s="64" t="s">
        <v>5872</v>
      </c>
      <c r="E4837" s="64" t="s">
        <v>3716</v>
      </c>
      <c r="F4837" s="64" t="s">
        <v>230</v>
      </c>
      <c r="G4837" s="64" t="s">
        <v>3717</v>
      </c>
      <c r="H4837" s="64" t="s">
        <v>2871</v>
      </c>
      <c r="I4837" s="64" t="s">
        <v>3718</v>
      </c>
      <c r="J4837" s="67">
        <v>0</v>
      </c>
      <c r="K4837" s="62">
        <v>-156831.04</v>
      </c>
      <c r="L4837" s="33" t="e">
        <f>HLOOKUP(B4837,#REF!,1,0)</f>
        <v>#REF!</v>
      </c>
      <c r="M4837" s="33" t="str">
        <f t="shared" si="303"/>
        <v>P&amp;L</v>
      </c>
    </row>
    <row r="4838" spans="1:13" s="33" customFormat="true" ht="12.75" customHeight="true">
      <c r="A4838" s="33" t="str">
        <f t="shared" si="300"/>
        <v>FIR - Revenue</v>
      </c>
      <c r="B4838" s="33" t="str">
        <f t="shared" si="301"/>
        <v>FIR</v>
      </c>
      <c r="C4838" s="33" t="str">
        <f t="shared" si="302"/>
        <v>47430-0000</v>
      </c>
      <c r="D4838" s="64" t="s">
        <v>5873</v>
      </c>
      <c r="E4838" s="64" t="s">
        <v>4053</v>
      </c>
      <c r="F4838" s="64" t="s">
        <v>230</v>
      </c>
      <c r="G4838" s="64" t="s">
        <v>3717</v>
      </c>
      <c r="H4838" s="64" t="s">
        <v>2871</v>
      </c>
      <c r="I4838" s="64" t="s">
        <v>4054</v>
      </c>
      <c r="J4838" s="67">
        <v>0</v>
      </c>
      <c r="K4838" s="62">
        <v>-2085.5</v>
      </c>
      <c r="L4838" s="33" t="e">
        <f>HLOOKUP(B4838,#REF!,1,0)</f>
        <v>#REF!</v>
      </c>
      <c r="M4838" s="33" t="str">
        <f t="shared" si="303"/>
        <v>P&amp;L</v>
      </c>
    </row>
    <row r="4839" spans="1:13" s="33" customFormat="true" ht="12.75" customHeight="true">
      <c r="A4839" s="33" t="str">
        <f t="shared" si="300"/>
        <v>FIR - Revenue</v>
      </c>
      <c r="B4839" s="33" t="str">
        <f t="shared" si="301"/>
        <v>FIR</v>
      </c>
      <c r="C4839" s="33" t="str">
        <f t="shared" si="302"/>
        <v>47440-0000</v>
      </c>
      <c r="D4839" s="64" t="s">
        <v>5874</v>
      </c>
      <c r="E4839" s="64" t="s">
        <v>3720</v>
      </c>
      <c r="F4839" s="64" t="s">
        <v>230</v>
      </c>
      <c r="G4839" s="64" t="s">
        <v>3717</v>
      </c>
      <c r="H4839" s="64" t="s">
        <v>2871</v>
      </c>
      <c r="I4839" s="64" t="s">
        <v>3721</v>
      </c>
      <c r="J4839" s="67">
        <v>0</v>
      </c>
      <c r="K4839" s="62">
        <v>0</v>
      </c>
      <c r="L4839" s="33" t="e">
        <f>HLOOKUP(B4839,#REF!,1,0)</f>
        <v>#REF!</v>
      </c>
      <c r="M4839" s="33" t="str">
        <f t="shared" si="303"/>
        <v>P&amp;L</v>
      </c>
    </row>
    <row r="4840" spans="1:13" s="33" customFormat="true" ht="12.75" customHeight="true">
      <c r="A4840" s="33" t="str">
        <f t="shared" si="300"/>
        <v>FIR - Revenue</v>
      </c>
      <c r="B4840" s="33" t="str">
        <f t="shared" si="301"/>
        <v>FIR</v>
      </c>
      <c r="C4840" s="33" t="str">
        <f t="shared" si="302"/>
        <v>47450-0000</v>
      </c>
      <c r="D4840" s="64" t="s">
        <v>5875</v>
      </c>
      <c r="E4840" s="64" t="s">
        <v>3723</v>
      </c>
      <c r="F4840" s="64" t="s">
        <v>230</v>
      </c>
      <c r="G4840" s="64" t="s">
        <v>3717</v>
      </c>
      <c r="H4840" s="64" t="s">
        <v>2871</v>
      </c>
      <c r="I4840" s="64" t="s">
        <v>3724</v>
      </c>
      <c r="J4840" s="67">
        <v>0</v>
      </c>
      <c r="K4840" s="62">
        <v>-200</v>
      </c>
      <c r="L4840" s="33" t="e">
        <f>HLOOKUP(B4840,#REF!,1,0)</f>
        <v>#REF!</v>
      </c>
      <c r="M4840" s="33" t="str">
        <f t="shared" si="303"/>
        <v>P&amp;L</v>
      </c>
    </row>
    <row r="4841" spans="1:13" s="33" customFormat="true" ht="12.75" customHeight="true">
      <c r="A4841" s="33" t="str">
        <f t="shared" si="300"/>
        <v>FIR - Revenue</v>
      </c>
      <c r="B4841" s="33" t="str">
        <f t="shared" si="301"/>
        <v>FIR</v>
      </c>
      <c r="C4841" s="33" t="str">
        <f t="shared" si="302"/>
        <v>47460-0000</v>
      </c>
      <c r="D4841" s="64" t="s">
        <v>5876</v>
      </c>
      <c r="E4841" s="64" t="s">
        <v>3726</v>
      </c>
      <c r="F4841" s="64" t="s">
        <v>230</v>
      </c>
      <c r="G4841" s="64" t="s">
        <v>3717</v>
      </c>
      <c r="H4841" s="64" t="s">
        <v>2871</v>
      </c>
      <c r="I4841" s="64" t="s">
        <v>3727</v>
      </c>
      <c r="J4841" s="67">
        <v>0</v>
      </c>
      <c r="K4841" s="62">
        <v>-25</v>
      </c>
      <c r="L4841" s="33" t="e">
        <f>HLOOKUP(B4841,#REF!,1,0)</f>
        <v>#REF!</v>
      </c>
      <c r="M4841" s="33" t="str">
        <f t="shared" si="303"/>
        <v>P&amp;L</v>
      </c>
    </row>
    <row r="4842" spans="1:13" s="33" customFormat="true" ht="12.75" customHeight="true">
      <c r="A4842" s="33" t="str">
        <f t="shared" si="300"/>
        <v>FIR - Revenue</v>
      </c>
      <c r="B4842" s="33" t="str">
        <f t="shared" si="301"/>
        <v>FIR</v>
      </c>
      <c r="C4842" s="33" t="str">
        <f t="shared" si="302"/>
        <v>47480-0000</v>
      </c>
      <c r="D4842" s="64" t="s">
        <v>5877</v>
      </c>
      <c r="E4842" s="64" t="s">
        <v>3729</v>
      </c>
      <c r="F4842" s="64" t="s">
        <v>230</v>
      </c>
      <c r="G4842" s="64" t="s">
        <v>3717</v>
      </c>
      <c r="H4842" s="64" t="s">
        <v>2871</v>
      </c>
      <c r="I4842" s="64" t="s">
        <v>3721</v>
      </c>
      <c r="J4842" s="67">
        <v>0</v>
      </c>
      <c r="K4842" s="62">
        <v>-135</v>
      </c>
      <c r="L4842" s="33" t="e">
        <f>HLOOKUP(B4842,#REF!,1,0)</f>
        <v>#REF!</v>
      </c>
      <c r="M4842" s="33" t="str">
        <f t="shared" si="303"/>
        <v>P&amp;L</v>
      </c>
    </row>
    <row r="4843" spans="1:13" s="33" customFormat="true" ht="12.75" customHeight="true">
      <c r="A4843" s="33" t="str">
        <f t="shared" si="300"/>
        <v>FIR - Revenue</v>
      </c>
      <c r="B4843" s="33" t="str">
        <f t="shared" si="301"/>
        <v>FIR</v>
      </c>
      <c r="C4843" s="33" t="str">
        <f t="shared" si="302"/>
        <v>47490-0000</v>
      </c>
      <c r="D4843" s="64" t="s">
        <v>5878</v>
      </c>
      <c r="E4843" s="64" t="s">
        <v>3731</v>
      </c>
      <c r="F4843" s="64" t="s">
        <v>230</v>
      </c>
      <c r="G4843" s="64" t="s">
        <v>3717</v>
      </c>
      <c r="H4843" s="64" t="s">
        <v>2871</v>
      </c>
      <c r="I4843" s="64" t="s">
        <v>3721</v>
      </c>
      <c r="J4843" s="67">
        <v>0</v>
      </c>
      <c r="K4843" s="62">
        <v>-25</v>
      </c>
      <c r="L4843" s="33" t="e">
        <f>HLOOKUP(B4843,#REF!,1,0)</f>
        <v>#REF!</v>
      </c>
      <c r="M4843" s="33" t="str">
        <f t="shared" si="303"/>
        <v>P&amp;L</v>
      </c>
    </row>
    <row r="4844" spans="1:13" s="33" customFormat="true" ht="12.75" customHeight="true">
      <c r="A4844" s="33" t="str">
        <f t="shared" si="300"/>
        <v>FIR - Revenue</v>
      </c>
      <c r="B4844" s="33" t="str">
        <f t="shared" si="301"/>
        <v>FIR</v>
      </c>
      <c r="C4844" s="33" t="str">
        <f t="shared" si="302"/>
        <v>47492-0000</v>
      </c>
      <c r="D4844" s="64" t="s">
        <v>5879</v>
      </c>
      <c r="E4844" s="64" t="s">
        <v>3736</v>
      </c>
      <c r="F4844" s="64" t="s">
        <v>230</v>
      </c>
      <c r="G4844" s="64" t="s">
        <v>3717</v>
      </c>
      <c r="H4844" s="64" t="s">
        <v>2871</v>
      </c>
      <c r="I4844" s="64" t="s">
        <v>3737</v>
      </c>
      <c r="J4844" s="67">
        <v>0</v>
      </c>
      <c r="K4844" s="62">
        <v>-195</v>
      </c>
      <c r="L4844" s="33" t="e">
        <f>HLOOKUP(B4844,#REF!,1,0)</f>
        <v>#REF!</v>
      </c>
      <c r="M4844" s="33" t="str">
        <f t="shared" si="303"/>
        <v>P&amp;L</v>
      </c>
    </row>
    <row r="4845" spans="1:13" s="33" customFormat="true" ht="12.75" customHeight="true">
      <c r="A4845" s="33" t="str">
        <f t="shared" si="300"/>
        <v>FIR - CGS</v>
      </c>
      <c r="B4845" s="33" t="str">
        <f t="shared" si="301"/>
        <v>FIR</v>
      </c>
      <c r="C4845" s="33" t="str">
        <f t="shared" si="302"/>
        <v>51005-0000</v>
      </c>
      <c r="D4845" s="64" t="s">
        <v>5880</v>
      </c>
      <c r="E4845" s="64" t="s">
        <v>3968</v>
      </c>
      <c r="F4845" s="64" t="s">
        <v>230</v>
      </c>
      <c r="G4845" s="64" t="s">
        <v>3740</v>
      </c>
      <c r="H4845" s="64" t="s">
        <v>1875</v>
      </c>
      <c r="I4845" s="64" t="s">
        <v>3969</v>
      </c>
      <c r="J4845" s="67">
        <v>0</v>
      </c>
      <c r="K4845" s="62">
        <v>99.86</v>
      </c>
      <c r="L4845" s="33" t="e">
        <f>HLOOKUP(B4845,#REF!,1,0)</f>
        <v>#REF!</v>
      </c>
      <c r="M4845" s="33" t="str">
        <f t="shared" si="303"/>
        <v>P&amp;L</v>
      </c>
    </row>
    <row r="4846" spans="1:13" s="33" customFormat="true" ht="12.75" customHeight="true">
      <c r="A4846" s="33" t="str">
        <f t="shared" si="300"/>
        <v>FIR - CGS</v>
      </c>
      <c r="B4846" s="33" t="str">
        <f t="shared" si="301"/>
        <v>FIR</v>
      </c>
      <c r="C4846" s="33" t="str">
        <f t="shared" si="302"/>
        <v>51006-0000</v>
      </c>
      <c r="D4846" s="64" t="s">
        <v>5881</v>
      </c>
      <c r="E4846" s="64" t="s">
        <v>3739</v>
      </c>
      <c r="F4846" s="64" t="s">
        <v>230</v>
      </c>
      <c r="G4846" s="64" t="s">
        <v>3740</v>
      </c>
      <c r="H4846" s="64" t="s">
        <v>1875</v>
      </c>
      <c r="I4846" s="64" t="s">
        <v>3741</v>
      </c>
      <c r="J4846" s="67">
        <v>0</v>
      </c>
      <c r="K4846" s="62">
        <v>55.94</v>
      </c>
      <c r="L4846" s="33" t="e">
        <f>HLOOKUP(B4846,#REF!,1,0)</f>
        <v>#REF!</v>
      </c>
      <c r="M4846" s="33" t="str">
        <f t="shared" si="303"/>
        <v>P&amp;L</v>
      </c>
    </row>
    <row r="4847" spans="1:13" s="33" customFormat="true" ht="12.75" customHeight="true">
      <c r="A4847" s="33" t="str">
        <f t="shared" si="300"/>
        <v>FIR - CGS</v>
      </c>
      <c r="B4847" s="33" t="str">
        <f t="shared" si="301"/>
        <v>FIR</v>
      </c>
      <c r="C4847" s="33" t="str">
        <f t="shared" si="302"/>
        <v>51008-0000</v>
      </c>
      <c r="D4847" s="64" t="s">
        <v>5882</v>
      </c>
      <c r="E4847" s="64" t="s">
        <v>3743</v>
      </c>
      <c r="F4847" s="64" t="s">
        <v>230</v>
      </c>
      <c r="G4847" s="64" t="s">
        <v>3740</v>
      </c>
      <c r="H4847" s="64" t="s">
        <v>1875</v>
      </c>
      <c r="I4847" s="64" t="s">
        <v>3744</v>
      </c>
      <c r="J4847" s="67">
        <v>0</v>
      </c>
      <c r="K4847" s="62">
        <v>658.42</v>
      </c>
      <c r="L4847" s="33" t="e">
        <f>HLOOKUP(B4847,#REF!,1,0)</f>
        <v>#REF!</v>
      </c>
      <c r="M4847" s="33" t="str">
        <f t="shared" si="303"/>
        <v>P&amp;L</v>
      </c>
    </row>
    <row r="4848" spans="1:13" s="33" customFormat="true" ht="12.75" customHeight="true">
      <c r="A4848" s="33" t="str">
        <f t="shared" si="300"/>
        <v>FIR - CGS</v>
      </c>
      <c r="B4848" s="33" t="str">
        <f t="shared" si="301"/>
        <v>FIR</v>
      </c>
      <c r="C4848" s="33" t="str">
        <f t="shared" si="302"/>
        <v>51009-0000</v>
      </c>
      <c r="D4848" s="64" t="s">
        <v>5883</v>
      </c>
      <c r="E4848" s="64" t="s">
        <v>3746</v>
      </c>
      <c r="F4848" s="64" t="s">
        <v>230</v>
      </c>
      <c r="G4848" s="64" t="s">
        <v>3740</v>
      </c>
      <c r="H4848" s="64" t="s">
        <v>1875</v>
      </c>
      <c r="I4848" s="64" t="s">
        <v>3747</v>
      </c>
      <c r="J4848" s="67">
        <v>0</v>
      </c>
      <c r="K4848" s="62">
        <v>173.12</v>
      </c>
      <c r="L4848" s="33" t="e">
        <f>HLOOKUP(B4848,#REF!,1,0)</f>
        <v>#REF!</v>
      </c>
      <c r="M4848" s="33" t="str">
        <f t="shared" si="303"/>
        <v>P&amp;L</v>
      </c>
    </row>
    <row r="4849" spans="1:13" s="33" customFormat="true" ht="12.75" customHeight="true">
      <c r="A4849" s="33" t="str">
        <f t="shared" si="300"/>
        <v>FIR - CGS</v>
      </c>
      <c r="B4849" s="33" t="str">
        <f t="shared" si="301"/>
        <v>FIR</v>
      </c>
      <c r="C4849" s="33" t="str">
        <f t="shared" si="302"/>
        <v>51011-0000</v>
      </c>
      <c r="D4849" s="64" t="s">
        <v>5884</v>
      </c>
      <c r="E4849" s="64" t="s">
        <v>3749</v>
      </c>
      <c r="F4849" s="64" t="s">
        <v>230</v>
      </c>
      <c r="G4849" s="64" t="s">
        <v>3740</v>
      </c>
      <c r="H4849" s="64" t="s">
        <v>1875</v>
      </c>
      <c r="I4849" s="64" t="s">
        <v>3750</v>
      </c>
      <c r="J4849" s="67">
        <v>0</v>
      </c>
      <c r="K4849" s="62">
        <v>960.17</v>
      </c>
      <c r="L4849" s="33" t="e">
        <f>HLOOKUP(B4849,#REF!,1,0)</f>
        <v>#REF!</v>
      </c>
      <c r="M4849" s="33" t="str">
        <f t="shared" si="303"/>
        <v>P&amp;L</v>
      </c>
    </row>
    <row r="4850" spans="1:13" s="33" customFormat="true" ht="12.75" customHeight="true">
      <c r="A4850" s="33" t="str">
        <f t="shared" si="300"/>
        <v>FIR - CGS</v>
      </c>
      <c r="B4850" s="33" t="str">
        <f t="shared" si="301"/>
        <v>FIR</v>
      </c>
      <c r="C4850" s="33" t="str">
        <f t="shared" si="302"/>
        <v>51012-0000</v>
      </c>
      <c r="D4850" s="64" t="s">
        <v>5885</v>
      </c>
      <c r="E4850" s="64" t="s">
        <v>3752</v>
      </c>
      <c r="F4850" s="64" t="s">
        <v>230</v>
      </c>
      <c r="G4850" s="64" t="s">
        <v>3740</v>
      </c>
      <c r="H4850" s="64" t="s">
        <v>1875</v>
      </c>
      <c r="I4850" s="64" t="s">
        <v>3753</v>
      </c>
      <c r="J4850" s="67">
        <v>0</v>
      </c>
      <c r="K4850" s="62">
        <v>720</v>
      </c>
      <c r="L4850" s="33" t="e">
        <f>HLOOKUP(B4850,#REF!,1,0)</f>
        <v>#REF!</v>
      </c>
      <c r="M4850" s="33" t="str">
        <f t="shared" si="303"/>
        <v>P&amp;L</v>
      </c>
    </row>
    <row r="4851" spans="1:13" s="33" customFormat="true" ht="12.75" customHeight="true">
      <c r="A4851" s="33" t="str">
        <f t="shared" si="300"/>
        <v>FIR - CGS</v>
      </c>
      <c r="B4851" s="33" t="str">
        <f t="shared" si="301"/>
        <v>FIR</v>
      </c>
      <c r="C4851" s="33" t="str">
        <f t="shared" si="302"/>
        <v>51013-0000</v>
      </c>
      <c r="D4851" s="64" t="s">
        <v>5886</v>
      </c>
      <c r="E4851" s="64" t="s">
        <v>3979</v>
      </c>
      <c r="F4851" s="64" t="s">
        <v>230</v>
      </c>
      <c r="G4851" s="64" t="s">
        <v>3740</v>
      </c>
      <c r="H4851" s="64" t="s">
        <v>1875</v>
      </c>
      <c r="I4851" s="64" t="s">
        <v>3980</v>
      </c>
      <c r="J4851" s="67">
        <v>0</v>
      </c>
      <c r="K4851" s="62">
        <v>938</v>
      </c>
      <c r="L4851" s="33" t="e">
        <f>HLOOKUP(B4851,#REF!,1,0)</f>
        <v>#REF!</v>
      </c>
      <c r="M4851" s="33" t="str">
        <f t="shared" si="303"/>
        <v>P&amp;L</v>
      </c>
    </row>
    <row r="4852" spans="1:13" s="33" customFormat="true" ht="12.75" customHeight="true">
      <c r="A4852" s="33" t="str">
        <f t="shared" si="300"/>
        <v>FIR - CGS</v>
      </c>
      <c r="B4852" s="33" t="str">
        <f t="shared" si="301"/>
        <v>FIR</v>
      </c>
      <c r="C4852" s="33" t="str">
        <f t="shared" si="302"/>
        <v>51015-0000</v>
      </c>
      <c r="D4852" s="64" t="s">
        <v>5887</v>
      </c>
      <c r="E4852" s="64" t="s">
        <v>3755</v>
      </c>
      <c r="F4852" s="64" t="s">
        <v>230</v>
      </c>
      <c r="G4852" s="64" t="s">
        <v>3740</v>
      </c>
      <c r="H4852" s="64" t="s">
        <v>1875</v>
      </c>
      <c r="I4852" s="64" t="s">
        <v>3756</v>
      </c>
      <c r="J4852" s="67">
        <v>0</v>
      </c>
      <c r="K4852" s="62">
        <v>15</v>
      </c>
      <c r="L4852" s="33" t="e">
        <f>HLOOKUP(B4852,#REF!,1,0)</f>
        <v>#REF!</v>
      </c>
      <c r="M4852" s="33" t="str">
        <f t="shared" si="303"/>
        <v>P&amp;L</v>
      </c>
    </row>
    <row r="4853" spans="1:13" s="33" customFormat="true" ht="12.75" customHeight="true">
      <c r="A4853" s="33" t="str">
        <f t="shared" si="300"/>
        <v>FIR - CGS</v>
      </c>
      <c r="B4853" s="33" t="str">
        <f t="shared" si="301"/>
        <v>FIR</v>
      </c>
      <c r="C4853" s="33" t="str">
        <f t="shared" si="302"/>
        <v>51017-0000</v>
      </c>
      <c r="D4853" s="64" t="s">
        <v>5888</v>
      </c>
      <c r="E4853" s="64" t="s">
        <v>3758</v>
      </c>
      <c r="F4853" s="64" t="s">
        <v>230</v>
      </c>
      <c r="G4853" s="64" t="s">
        <v>3160</v>
      </c>
      <c r="H4853" s="64" t="s">
        <v>1875</v>
      </c>
      <c r="I4853" s="64" t="s">
        <v>3759</v>
      </c>
      <c r="J4853" s="67">
        <v>0</v>
      </c>
      <c r="K4853" s="62">
        <v>160.5</v>
      </c>
      <c r="L4853" s="33" t="e">
        <f>HLOOKUP(B4853,#REF!,1,0)</f>
        <v>#REF!</v>
      </c>
      <c r="M4853" s="33" t="str">
        <f t="shared" si="303"/>
        <v>P&amp;L</v>
      </c>
    </row>
    <row r="4854" spans="1:13" s="33" customFormat="true" ht="12.75" customHeight="true">
      <c r="A4854" s="33" t="str">
        <f t="shared" si="300"/>
        <v>FIR - CGS</v>
      </c>
      <c r="B4854" s="33" t="str">
        <f t="shared" si="301"/>
        <v>FIR</v>
      </c>
      <c r="C4854" s="33" t="str">
        <f t="shared" si="302"/>
        <v>51020-0000</v>
      </c>
      <c r="D4854" s="64" t="s">
        <v>5889</v>
      </c>
      <c r="E4854" s="64" t="s">
        <v>3763</v>
      </c>
      <c r="F4854" s="64" t="s">
        <v>230</v>
      </c>
      <c r="G4854" s="64" t="s">
        <v>3740</v>
      </c>
      <c r="H4854" s="64" t="s">
        <v>1875</v>
      </c>
      <c r="I4854" s="64" t="s">
        <v>3345</v>
      </c>
      <c r="J4854" s="67">
        <v>0</v>
      </c>
      <c r="K4854" s="62">
        <v>202.96</v>
      </c>
      <c r="L4854" s="33" t="e">
        <f>HLOOKUP(B4854,#REF!,1,0)</f>
        <v>#REF!</v>
      </c>
      <c r="M4854" s="33" t="str">
        <f t="shared" si="303"/>
        <v>P&amp;L</v>
      </c>
    </row>
    <row r="4855" spans="1:13" s="33" customFormat="true" ht="12.75" customHeight="true">
      <c r="A4855" s="33" t="str">
        <f t="shared" si="300"/>
        <v>FIR - CGS</v>
      </c>
      <c r="B4855" s="33" t="str">
        <f t="shared" si="301"/>
        <v>FIR</v>
      </c>
      <c r="C4855" s="33" t="str">
        <f t="shared" si="302"/>
        <v>51025-0000</v>
      </c>
      <c r="D4855" s="64" t="s">
        <v>5890</v>
      </c>
      <c r="E4855" s="64" t="s">
        <v>3988</v>
      </c>
      <c r="F4855" s="64" t="s">
        <v>230</v>
      </c>
      <c r="G4855" s="64" t="s">
        <v>3740</v>
      </c>
      <c r="H4855" s="64" t="s">
        <v>1875</v>
      </c>
      <c r="I4855" s="64" t="s">
        <v>3989</v>
      </c>
      <c r="J4855" s="67">
        <v>0</v>
      </c>
      <c r="K4855" s="62">
        <v>1299.23</v>
      </c>
      <c r="L4855" s="33" t="e">
        <f>HLOOKUP(B4855,#REF!,1,0)</f>
        <v>#REF!</v>
      </c>
      <c r="M4855" s="33" t="str">
        <f t="shared" si="303"/>
        <v>P&amp;L</v>
      </c>
    </row>
    <row r="4856" spans="1:13" s="33" customFormat="true" ht="12.75" customHeight="true">
      <c r="A4856" s="33" t="str">
        <f t="shared" si="300"/>
        <v>FIR - CGS</v>
      </c>
      <c r="B4856" s="33" t="str">
        <f t="shared" si="301"/>
        <v>FIR</v>
      </c>
      <c r="C4856" s="33" t="str">
        <f t="shared" si="302"/>
        <v>52003-0000</v>
      </c>
      <c r="D4856" s="64" t="s">
        <v>5891</v>
      </c>
      <c r="E4856" s="64" t="s">
        <v>3772</v>
      </c>
      <c r="F4856" s="64" t="s">
        <v>230</v>
      </c>
      <c r="G4856" s="64" t="s">
        <v>3769</v>
      </c>
      <c r="H4856" s="64" t="s">
        <v>1875</v>
      </c>
      <c r="I4856" s="64" t="s">
        <v>3773</v>
      </c>
      <c r="J4856" s="67">
        <v>0</v>
      </c>
      <c r="K4856" s="62">
        <v>0</v>
      </c>
      <c r="L4856" s="33" t="e">
        <f>HLOOKUP(B4856,#REF!,1,0)</f>
        <v>#REF!</v>
      </c>
      <c r="M4856" s="33" t="str">
        <f t="shared" si="303"/>
        <v>P&amp;L</v>
      </c>
    </row>
    <row r="4857" spans="1:13" s="33" customFormat="true" ht="12.75" customHeight="true">
      <c r="A4857" s="33" t="str">
        <f t="shared" si="300"/>
        <v>FIR - CGS</v>
      </c>
      <c r="B4857" s="33" t="str">
        <f t="shared" si="301"/>
        <v>FIR</v>
      </c>
      <c r="C4857" s="33" t="str">
        <f t="shared" si="302"/>
        <v>53001-0000</v>
      </c>
      <c r="D4857" s="64" t="s">
        <v>5892</v>
      </c>
      <c r="E4857" s="64" t="s">
        <v>3781</v>
      </c>
      <c r="F4857" s="64" t="s">
        <v>230</v>
      </c>
      <c r="G4857" s="64" t="s">
        <v>3160</v>
      </c>
      <c r="H4857" s="64" t="s">
        <v>1875</v>
      </c>
      <c r="I4857" s="64" t="s">
        <v>3782</v>
      </c>
      <c r="J4857" s="67">
        <v>0</v>
      </c>
      <c r="K4857" s="62">
        <v>205.33</v>
      </c>
      <c r="L4857" s="33" t="e">
        <f>HLOOKUP(B4857,#REF!,1,0)</f>
        <v>#REF!</v>
      </c>
      <c r="M4857" s="33" t="str">
        <f t="shared" si="303"/>
        <v>P&amp;L</v>
      </c>
    </row>
    <row r="4858" spans="1:13" s="33" customFormat="true" ht="12.75" customHeight="true">
      <c r="A4858" s="33" t="str">
        <f t="shared" si="300"/>
        <v>FIR - CGS</v>
      </c>
      <c r="B4858" s="33" t="str">
        <f t="shared" si="301"/>
        <v>FIR</v>
      </c>
      <c r="C4858" s="33" t="str">
        <f t="shared" si="302"/>
        <v>53003-0000</v>
      </c>
      <c r="D4858" s="64" t="s">
        <v>5893</v>
      </c>
      <c r="E4858" s="64" t="s">
        <v>3787</v>
      </c>
      <c r="F4858" s="64" t="s">
        <v>230</v>
      </c>
      <c r="G4858" s="64" t="s">
        <v>3160</v>
      </c>
      <c r="H4858" s="64" t="s">
        <v>1875</v>
      </c>
      <c r="I4858" s="64" t="s">
        <v>3788</v>
      </c>
      <c r="J4858" s="67">
        <v>0</v>
      </c>
      <c r="K4858" s="62">
        <v>1639.27</v>
      </c>
      <c r="L4858" s="33" t="e">
        <f>HLOOKUP(B4858,#REF!,1,0)</f>
        <v>#REF!</v>
      </c>
      <c r="M4858" s="33" t="str">
        <f t="shared" si="303"/>
        <v>P&amp;L</v>
      </c>
    </row>
    <row r="4859" spans="1:13" s="33" customFormat="true" ht="12.75" customHeight="true">
      <c r="A4859" s="33" t="str">
        <f t="shared" si="300"/>
        <v>FIR - CGS</v>
      </c>
      <c r="B4859" s="33" t="str">
        <f t="shared" si="301"/>
        <v>FIR</v>
      </c>
      <c r="C4859" s="33" t="str">
        <f t="shared" si="302"/>
        <v>53004-0000</v>
      </c>
      <c r="D4859" s="64" t="s">
        <v>5894</v>
      </c>
      <c r="E4859" s="64" t="s">
        <v>3790</v>
      </c>
      <c r="F4859" s="64" t="s">
        <v>230</v>
      </c>
      <c r="G4859" s="64" t="s">
        <v>3160</v>
      </c>
      <c r="H4859" s="64" t="s">
        <v>1875</v>
      </c>
      <c r="I4859" s="64" t="s">
        <v>3791</v>
      </c>
      <c r="J4859" s="67">
        <v>0</v>
      </c>
      <c r="K4859" s="62">
        <v>262.43</v>
      </c>
      <c r="L4859" s="33" t="e">
        <f>HLOOKUP(B4859,#REF!,1,0)</f>
        <v>#REF!</v>
      </c>
      <c r="M4859" s="33" t="str">
        <f t="shared" si="303"/>
        <v>P&amp;L</v>
      </c>
    </row>
    <row r="4860" spans="1:13" s="33" customFormat="true" ht="12.75" customHeight="true">
      <c r="A4860" s="33" t="str">
        <f t="shared" si="300"/>
        <v>FIR - CGS</v>
      </c>
      <c r="B4860" s="33" t="str">
        <f t="shared" si="301"/>
        <v>FIR</v>
      </c>
      <c r="C4860" s="33" t="str">
        <f t="shared" si="302"/>
        <v>53005-0000</v>
      </c>
      <c r="D4860" s="64" t="s">
        <v>5895</v>
      </c>
      <c r="E4860" s="64" t="s">
        <v>3793</v>
      </c>
      <c r="F4860" s="64" t="s">
        <v>230</v>
      </c>
      <c r="G4860" s="64" t="s">
        <v>3160</v>
      </c>
      <c r="H4860" s="64" t="s">
        <v>1875</v>
      </c>
      <c r="I4860" s="64" t="s">
        <v>3794</v>
      </c>
      <c r="J4860" s="67">
        <v>0</v>
      </c>
      <c r="K4860" s="62">
        <v>84.94</v>
      </c>
      <c r="L4860" s="33" t="e">
        <f>HLOOKUP(B4860,#REF!,1,0)</f>
        <v>#REF!</v>
      </c>
      <c r="M4860" s="33" t="str">
        <f t="shared" si="303"/>
        <v>P&amp;L</v>
      </c>
    </row>
    <row r="4861" spans="1:13" s="33" customFormat="true" ht="12.75" customHeight="true">
      <c r="A4861" s="33" t="str">
        <f t="shared" si="300"/>
        <v>FIR - CGS</v>
      </c>
      <c r="B4861" s="33" t="str">
        <f t="shared" si="301"/>
        <v>FIR</v>
      </c>
      <c r="C4861" s="33" t="str">
        <f t="shared" si="302"/>
        <v>53006-0000</v>
      </c>
      <c r="D4861" s="64" t="s">
        <v>5896</v>
      </c>
      <c r="E4861" s="64" t="s">
        <v>3796</v>
      </c>
      <c r="F4861" s="64" t="s">
        <v>230</v>
      </c>
      <c r="G4861" s="64" t="s">
        <v>3160</v>
      </c>
      <c r="H4861" s="64" t="s">
        <v>1875</v>
      </c>
      <c r="I4861" s="64" t="s">
        <v>3797</v>
      </c>
      <c r="J4861" s="67">
        <v>0</v>
      </c>
      <c r="K4861" s="62">
        <v>4639.62</v>
      </c>
      <c r="L4861" s="33" t="e">
        <f>HLOOKUP(B4861,#REF!,1,0)</f>
        <v>#REF!</v>
      </c>
      <c r="M4861" s="33" t="str">
        <f t="shared" si="303"/>
        <v>P&amp;L</v>
      </c>
    </row>
    <row r="4862" spans="1:13" s="33" customFormat="true" ht="12.75" customHeight="true">
      <c r="A4862" s="33" t="str">
        <f t="shared" si="300"/>
        <v>FIR - CGS</v>
      </c>
      <c r="B4862" s="33" t="str">
        <f t="shared" si="301"/>
        <v>FIR</v>
      </c>
      <c r="C4862" s="33" t="str">
        <f t="shared" si="302"/>
        <v>54002-0000</v>
      </c>
      <c r="D4862" s="64" t="s">
        <v>5897</v>
      </c>
      <c r="E4862" s="64" t="s">
        <v>3799</v>
      </c>
      <c r="F4862" s="64" t="s">
        <v>230</v>
      </c>
      <c r="G4862" s="64" t="s">
        <v>3800</v>
      </c>
      <c r="H4862" s="64" t="s">
        <v>1875</v>
      </c>
      <c r="I4862" s="64" t="s">
        <v>3801</v>
      </c>
      <c r="J4862" s="67">
        <v>0</v>
      </c>
      <c r="K4862" s="62">
        <v>300</v>
      </c>
      <c r="L4862" s="33" t="e">
        <f>HLOOKUP(B4862,#REF!,1,0)</f>
        <v>#REF!</v>
      </c>
      <c r="M4862" s="33" t="str">
        <f t="shared" si="303"/>
        <v>P&amp;L</v>
      </c>
    </row>
    <row r="4863" spans="1:13" s="33" customFormat="true" ht="12.75" customHeight="true">
      <c r="A4863" s="33" t="str">
        <f t="shared" si="300"/>
        <v>FIR - CGS</v>
      </c>
      <c r="B4863" s="33" t="str">
        <f t="shared" si="301"/>
        <v>FIR</v>
      </c>
      <c r="C4863" s="33" t="str">
        <f t="shared" si="302"/>
        <v>54003-0000</v>
      </c>
      <c r="D4863" s="64" t="s">
        <v>5898</v>
      </c>
      <c r="E4863" s="64" t="s">
        <v>3803</v>
      </c>
      <c r="F4863" s="64" t="s">
        <v>230</v>
      </c>
      <c r="G4863" s="64" t="s">
        <v>3800</v>
      </c>
      <c r="H4863" s="64" t="s">
        <v>1875</v>
      </c>
      <c r="I4863" s="64" t="s">
        <v>3804</v>
      </c>
      <c r="J4863" s="67">
        <v>0</v>
      </c>
      <c r="K4863" s="62">
        <v>0</v>
      </c>
      <c r="L4863" s="33" t="e">
        <f>HLOOKUP(B4863,#REF!,1,0)</f>
        <v>#REF!</v>
      </c>
      <c r="M4863" s="33" t="str">
        <f t="shared" si="303"/>
        <v>P&amp;L</v>
      </c>
    </row>
    <row r="4864" spans="1:13" s="33" customFormat="true" ht="12.75" customHeight="true">
      <c r="A4864" s="33" t="str">
        <f t="shared" si="300"/>
        <v>FIR - CGS</v>
      </c>
      <c r="B4864" s="33" t="str">
        <f t="shared" si="301"/>
        <v>FIR</v>
      </c>
      <c r="C4864" s="33" t="str">
        <f t="shared" si="302"/>
        <v>54004-0000</v>
      </c>
      <c r="D4864" s="64" t="s">
        <v>5899</v>
      </c>
      <c r="E4864" s="64" t="s">
        <v>3806</v>
      </c>
      <c r="F4864" s="64" t="s">
        <v>230</v>
      </c>
      <c r="G4864" s="64" t="s">
        <v>3800</v>
      </c>
      <c r="H4864" s="64" t="s">
        <v>1875</v>
      </c>
      <c r="I4864" s="64" t="s">
        <v>3807</v>
      </c>
      <c r="J4864" s="67">
        <v>0</v>
      </c>
      <c r="K4864" s="62">
        <v>113.57</v>
      </c>
      <c r="L4864" s="33" t="e">
        <f>HLOOKUP(B4864,#REF!,1,0)</f>
        <v>#REF!</v>
      </c>
      <c r="M4864" s="33" t="str">
        <f t="shared" si="303"/>
        <v>P&amp;L</v>
      </c>
    </row>
    <row r="4865" spans="1:13" s="33" customFormat="true" ht="12.75" customHeight="true">
      <c r="A4865" s="33" t="str">
        <f t="shared" si="300"/>
        <v>FIR - CGS</v>
      </c>
      <c r="B4865" s="33" t="str">
        <f t="shared" si="301"/>
        <v>FIR</v>
      </c>
      <c r="C4865" s="33" t="str">
        <f t="shared" si="302"/>
        <v>54005-0000</v>
      </c>
      <c r="D4865" s="64" t="s">
        <v>5900</v>
      </c>
      <c r="E4865" s="64" t="s">
        <v>3809</v>
      </c>
      <c r="F4865" s="64" t="s">
        <v>230</v>
      </c>
      <c r="G4865" s="64" t="s">
        <v>3800</v>
      </c>
      <c r="H4865" s="64" t="s">
        <v>1875</v>
      </c>
      <c r="I4865" s="64" t="s">
        <v>3810</v>
      </c>
      <c r="J4865" s="67">
        <v>0</v>
      </c>
      <c r="K4865" s="62">
        <v>11.66</v>
      </c>
      <c r="L4865" s="33" t="e">
        <f>HLOOKUP(B4865,#REF!,1,0)</f>
        <v>#REF!</v>
      </c>
      <c r="M4865" s="33" t="str">
        <f t="shared" si="303"/>
        <v>P&amp;L</v>
      </c>
    </row>
    <row r="4866" spans="1:13" s="33" customFormat="true" ht="12.75" customHeight="true">
      <c r="A4866" s="33" t="str">
        <f t="shared" ref="A4866:A4929" si="304">B4866&amp;" - "&amp;TRIM(H4866)</f>
        <v>FIR - CGS</v>
      </c>
      <c r="B4866" s="33" t="str">
        <f t="shared" ref="B4866:B4929" si="305">LEFT(D4866,3)</f>
        <v>FIR</v>
      </c>
      <c r="C4866" s="33" t="str">
        <f t="shared" ref="C4866:C4929" si="306">RIGHT(D4866,10)</f>
        <v>54006-0000</v>
      </c>
      <c r="D4866" s="64" t="s">
        <v>5901</v>
      </c>
      <c r="E4866" s="64" t="s">
        <v>3812</v>
      </c>
      <c r="F4866" s="64" t="s">
        <v>230</v>
      </c>
      <c r="G4866" s="64" t="s">
        <v>3800</v>
      </c>
      <c r="H4866" s="64" t="s">
        <v>1875</v>
      </c>
      <c r="I4866" s="64" t="s">
        <v>3003</v>
      </c>
      <c r="J4866" s="67">
        <v>0</v>
      </c>
      <c r="K4866" s="62">
        <v>43.8</v>
      </c>
      <c r="L4866" s="33" t="e">
        <f>HLOOKUP(B4866,#REF!,1,0)</f>
        <v>#REF!</v>
      </c>
      <c r="M4866" s="33" t="str">
        <f t="shared" ref="M4866:M4929" si="307">IF(VALUE(LEFT(C4866,5))&gt;40000,"P&amp;L","BS")</f>
        <v>P&amp;L</v>
      </c>
    </row>
    <row r="4867" spans="1:13" s="33" customFormat="true" ht="12.75" customHeight="true">
      <c r="A4867" s="33" t="str">
        <f t="shared" si="304"/>
        <v>FIR - CGS</v>
      </c>
      <c r="B4867" s="33" t="str">
        <f t="shared" si="305"/>
        <v>FIR</v>
      </c>
      <c r="C4867" s="33" t="str">
        <f t="shared" si="306"/>
        <v>54007-0000</v>
      </c>
      <c r="D4867" s="64" t="s">
        <v>5902</v>
      </c>
      <c r="E4867" s="64" t="s">
        <v>4182</v>
      </c>
      <c r="F4867" s="64" t="s">
        <v>230</v>
      </c>
      <c r="G4867" s="64" t="s">
        <v>3800</v>
      </c>
      <c r="H4867" s="64" t="s">
        <v>1875</v>
      </c>
      <c r="I4867" s="64" t="s">
        <v>3815</v>
      </c>
      <c r="J4867" s="67">
        <v>0</v>
      </c>
      <c r="K4867" s="62">
        <v>0</v>
      </c>
      <c r="L4867" s="33" t="e">
        <f>HLOOKUP(B4867,#REF!,1,0)</f>
        <v>#REF!</v>
      </c>
      <c r="M4867" s="33" t="str">
        <f t="shared" si="307"/>
        <v>P&amp;L</v>
      </c>
    </row>
    <row r="4868" spans="1:13" s="33" customFormat="true" ht="12.75" customHeight="true">
      <c r="A4868" s="33" t="str">
        <f t="shared" si="304"/>
        <v>FIR - CGS</v>
      </c>
      <c r="B4868" s="33" t="str">
        <f t="shared" si="305"/>
        <v>FIR</v>
      </c>
      <c r="C4868" s="33" t="str">
        <f t="shared" si="306"/>
        <v>54008-0000</v>
      </c>
      <c r="D4868" s="64" t="s">
        <v>5903</v>
      </c>
      <c r="E4868" s="64" t="s">
        <v>4017</v>
      </c>
      <c r="F4868" s="64" t="s">
        <v>230</v>
      </c>
      <c r="G4868" s="64" t="s">
        <v>3800</v>
      </c>
      <c r="H4868" s="64" t="s">
        <v>1875</v>
      </c>
      <c r="I4868" s="64" t="s">
        <v>4018</v>
      </c>
      <c r="J4868" s="67">
        <v>0</v>
      </c>
      <c r="K4868" s="62">
        <v>0</v>
      </c>
      <c r="L4868" s="33" t="e">
        <f>HLOOKUP(B4868,#REF!,1,0)</f>
        <v>#REF!</v>
      </c>
      <c r="M4868" s="33" t="str">
        <f t="shared" si="307"/>
        <v>P&amp;L</v>
      </c>
    </row>
    <row r="4869" spans="1:13" s="33" customFormat="true" ht="12.75" customHeight="true">
      <c r="A4869" s="33" t="str">
        <f t="shared" si="304"/>
        <v>FIR - PM Expenses</v>
      </c>
      <c r="B4869" s="33" t="str">
        <f t="shared" si="305"/>
        <v>FIR</v>
      </c>
      <c r="C4869" s="33" t="str">
        <f t="shared" si="306"/>
        <v>55501-0000</v>
      </c>
      <c r="D4869" s="64" t="s">
        <v>5904</v>
      </c>
      <c r="E4869" s="64" t="s">
        <v>3817</v>
      </c>
      <c r="F4869" s="64" t="s">
        <v>230</v>
      </c>
      <c r="G4869" s="64" t="s">
        <v>3818</v>
      </c>
      <c r="H4869" s="64" t="s">
        <v>3819</v>
      </c>
      <c r="I4869" s="64" t="s">
        <v>3820</v>
      </c>
      <c r="J4869" s="67">
        <v>0</v>
      </c>
      <c r="K4869" s="62">
        <v>180</v>
      </c>
      <c r="L4869" s="33" t="e">
        <f>HLOOKUP(B4869,#REF!,1,0)</f>
        <v>#REF!</v>
      </c>
      <c r="M4869" s="33" t="str">
        <f t="shared" si="307"/>
        <v>P&amp;L</v>
      </c>
    </row>
    <row r="4870" spans="1:13" s="33" customFormat="true" ht="12.75" customHeight="true">
      <c r="A4870" s="33" t="str">
        <f t="shared" si="304"/>
        <v>FIR - PM Expenses</v>
      </c>
      <c r="B4870" s="33" t="str">
        <f t="shared" si="305"/>
        <v>FIR</v>
      </c>
      <c r="C4870" s="33" t="str">
        <f t="shared" si="306"/>
        <v>55502-0000</v>
      </c>
      <c r="D4870" s="64" t="s">
        <v>5905</v>
      </c>
      <c r="E4870" s="64" t="s">
        <v>3822</v>
      </c>
      <c r="F4870" s="64" t="s">
        <v>230</v>
      </c>
      <c r="G4870" s="64" t="s">
        <v>3818</v>
      </c>
      <c r="H4870" s="64" t="s">
        <v>3819</v>
      </c>
      <c r="I4870" s="64" t="s">
        <v>3823</v>
      </c>
      <c r="J4870" s="67">
        <v>0</v>
      </c>
      <c r="K4870" s="62">
        <v>92</v>
      </c>
      <c r="L4870" s="33" t="e">
        <f>HLOOKUP(B4870,#REF!,1,0)</f>
        <v>#REF!</v>
      </c>
      <c r="M4870" s="33" t="str">
        <f t="shared" si="307"/>
        <v>P&amp;L</v>
      </c>
    </row>
    <row r="4871" spans="1:13" s="33" customFormat="true" ht="12.75" customHeight="true">
      <c r="A4871" s="33" t="str">
        <f t="shared" si="304"/>
        <v>FIR - PM Expenses</v>
      </c>
      <c r="B4871" s="33" t="str">
        <f t="shared" si="305"/>
        <v>FIR</v>
      </c>
      <c r="C4871" s="33" t="str">
        <f t="shared" si="306"/>
        <v>55503-0000</v>
      </c>
      <c r="D4871" s="64" t="s">
        <v>5906</v>
      </c>
      <c r="E4871" s="64" t="s">
        <v>3825</v>
      </c>
      <c r="F4871" s="64" t="s">
        <v>230</v>
      </c>
      <c r="G4871" s="64" t="s">
        <v>3818</v>
      </c>
      <c r="H4871" s="64" t="s">
        <v>3819</v>
      </c>
      <c r="I4871" s="64" t="s">
        <v>3826</v>
      </c>
      <c r="J4871" s="67">
        <v>1555.43</v>
      </c>
      <c r="K4871" s="62">
        <v>1890.48</v>
      </c>
      <c r="L4871" s="33" t="e">
        <f>HLOOKUP(B4871,#REF!,1,0)</f>
        <v>#REF!</v>
      </c>
      <c r="M4871" s="33" t="str">
        <f t="shared" si="307"/>
        <v>P&amp;L</v>
      </c>
    </row>
    <row r="4872" spans="1:13" s="33" customFormat="true" ht="12.75" customHeight="true">
      <c r="A4872" s="33" t="str">
        <f t="shared" si="304"/>
        <v>FIR - PM Expenses</v>
      </c>
      <c r="B4872" s="33" t="str">
        <f t="shared" si="305"/>
        <v>FIR</v>
      </c>
      <c r="C4872" s="33" t="str">
        <f t="shared" si="306"/>
        <v>55505-0000</v>
      </c>
      <c r="D4872" s="64" t="s">
        <v>5907</v>
      </c>
      <c r="E4872" s="64" t="s">
        <v>3828</v>
      </c>
      <c r="F4872" s="64" t="s">
        <v>230</v>
      </c>
      <c r="G4872" s="64" t="s">
        <v>3818</v>
      </c>
      <c r="H4872" s="64" t="s">
        <v>3819</v>
      </c>
      <c r="I4872" s="64" t="s">
        <v>3829</v>
      </c>
      <c r="J4872" s="67">
        <v>0</v>
      </c>
      <c r="K4872" s="62">
        <v>2481.7</v>
      </c>
      <c r="L4872" s="33" t="e">
        <f>HLOOKUP(B4872,#REF!,1,0)</f>
        <v>#REF!</v>
      </c>
      <c r="M4872" s="33" t="str">
        <f t="shared" si="307"/>
        <v>P&amp;L</v>
      </c>
    </row>
    <row r="4873" spans="1:13" s="33" customFormat="true" ht="12.75" customHeight="true">
      <c r="A4873" s="33" t="str">
        <f t="shared" si="304"/>
        <v>FIR - PM Expenses</v>
      </c>
      <c r="B4873" s="33" t="str">
        <f t="shared" si="305"/>
        <v>FIR</v>
      </c>
      <c r="C4873" s="33" t="str">
        <f t="shared" si="306"/>
        <v>55506-0000</v>
      </c>
      <c r="D4873" s="64" t="s">
        <v>5908</v>
      </c>
      <c r="E4873" s="64" t="s">
        <v>3831</v>
      </c>
      <c r="F4873" s="64" t="s">
        <v>230</v>
      </c>
      <c r="G4873" s="64" t="s">
        <v>3818</v>
      </c>
      <c r="H4873" s="64" t="s">
        <v>3819</v>
      </c>
      <c r="I4873" s="64" t="s">
        <v>3832</v>
      </c>
      <c r="J4873" s="67">
        <v>0</v>
      </c>
      <c r="K4873" s="62">
        <v>552</v>
      </c>
      <c r="L4873" s="33" t="e">
        <f>HLOOKUP(B4873,#REF!,1,0)</f>
        <v>#REF!</v>
      </c>
      <c r="M4873" s="33" t="str">
        <f t="shared" si="307"/>
        <v>P&amp;L</v>
      </c>
    </row>
    <row r="4874" spans="1:13" s="33" customFormat="true" ht="12.75" customHeight="true">
      <c r="A4874" s="33" t="str">
        <f t="shared" si="304"/>
        <v>FIR - PM Expenses</v>
      </c>
      <c r="B4874" s="33" t="str">
        <f t="shared" si="305"/>
        <v>FIR</v>
      </c>
      <c r="C4874" s="33" t="str">
        <f t="shared" si="306"/>
        <v>55507-0000</v>
      </c>
      <c r="D4874" s="64" t="s">
        <v>5909</v>
      </c>
      <c r="E4874" s="64" t="s">
        <v>3834</v>
      </c>
      <c r="F4874" s="64" t="s">
        <v>230</v>
      </c>
      <c r="G4874" s="64" t="s">
        <v>3818</v>
      </c>
      <c r="H4874" s="64" t="s">
        <v>3819</v>
      </c>
      <c r="I4874" s="64" t="s">
        <v>3835</v>
      </c>
      <c r="J4874" s="67">
        <v>0</v>
      </c>
      <c r="K4874" s="62">
        <v>95</v>
      </c>
      <c r="L4874" s="33" t="e">
        <f>HLOOKUP(B4874,#REF!,1,0)</f>
        <v>#REF!</v>
      </c>
      <c r="M4874" s="33" t="str">
        <f t="shared" si="307"/>
        <v>P&amp;L</v>
      </c>
    </row>
    <row r="4875" spans="1:13" s="33" customFormat="true" ht="12.75" customHeight="true">
      <c r="A4875" s="33" t="str">
        <f t="shared" si="304"/>
        <v>FIR - CGS</v>
      </c>
      <c r="B4875" s="33" t="str">
        <f t="shared" si="305"/>
        <v>FIR</v>
      </c>
      <c r="C4875" s="33" t="str">
        <f t="shared" si="306"/>
        <v>60002-0000</v>
      </c>
      <c r="D4875" s="64" t="s">
        <v>5910</v>
      </c>
      <c r="E4875" s="64" t="s">
        <v>3837</v>
      </c>
      <c r="F4875" s="64" t="s">
        <v>230</v>
      </c>
      <c r="G4875" s="64" t="s">
        <v>3838</v>
      </c>
      <c r="H4875" s="64" t="s">
        <v>1875</v>
      </c>
      <c r="I4875" s="64" t="s">
        <v>3839</v>
      </c>
      <c r="J4875" s="67">
        <v>0</v>
      </c>
      <c r="K4875" s="62">
        <v>417.29</v>
      </c>
      <c r="L4875" s="33" t="e">
        <f>HLOOKUP(B4875,#REF!,1,0)</f>
        <v>#REF!</v>
      </c>
      <c r="M4875" s="33" t="str">
        <f t="shared" si="307"/>
        <v>P&amp;L</v>
      </c>
    </row>
    <row r="4876" spans="1:13" s="33" customFormat="true" ht="12.75" customHeight="true">
      <c r="A4876" s="33" t="str">
        <f t="shared" si="304"/>
        <v>FIR - CGS</v>
      </c>
      <c r="B4876" s="33" t="str">
        <f t="shared" si="305"/>
        <v>FIR</v>
      </c>
      <c r="C4876" s="33" t="str">
        <f t="shared" si="306"/>
        <v>60005-0000</v>
      </c>
      <c r="D4876" s="64" t="s">
        <v>5911</v>
      </c>
      <c r="E4876" s="64" t="s">
        <v>3841</v>
      </c>
      <c r="F4876" s="64" t="s">
        <v>230</v>
      </c>
      <c r="G4876" s="64" t="s">
        <v>3838</v>
      </c>
      <c r="H4876" s="64" t="s">
        <v>1875</v>
      </c>
      <c r="I4876" s="64" t="s">
        <v>3842</v>
      </c>
      <c r="J4876" s="67">
        <v>0</v>
      </c>
      <c r="K4876" s="62">
        <v>3059.14</v>
      </c>
      <c r="L4876" s="33" t="e">
        <f>HLOOKUP(B4876,#REF!,1,0)</f>
        <v>#REF!</v>
      </c>
      <c r="M4876" s="33" t="str">
        <f t="shared" si="307"/>
        <v>P&amp;L</v>
      </c>
    </row>
    <row r="4877" spans="1:13" s="33" customFormat="true" ht="12.75" customHeight="true">
      <c r="A4877" s="33" t="str">
        <f t="shared" si="304"/>
        <v>FIR - Interest Expense</v>
      </c>
      <c r="B4877" s="33" t="str">
        <f t="shared" si="305"/>
        <v>FIR</v>
      </c>
      <c r="C4877" s="33" t="str">
        <f t="shared" si="306"/>
        <v>60006-0000</v>
      </c>
      <c r="D4877" s="64" t="s">
        <v>5912</v>
      </c>
      <c r="E4877" s="64" t="s">
        <v>3325</v>
      </c>
      <c r="F4877" s="64" t="s">
        <v>230</v>
      </c>
      <c r="G4877" s="64" t="s">
        <v>3844</v>
      </c>
      <c r="H4877" s="64" t="s">
        <v>3327</v>
      </c>
      <c r="I4877" s="64" t="s">
        <v>3328</v>
      </c>
      <c r="J4877" s="67">
        <v>0</v>
      </c>
      <c r="K4877" s="62">
        <v>39484.42</v>
      </c>
      <c r="L4877" s="33" t="e">
        <f>HLOOKUP(B4877,#REF!,1,0)</f>
        <v>#REF!</v>
      </c>
      <c r="M4877" s="33" t="str">
        <f t="shared" si="307"/>
        <v>P&amp;L</v>
      </c>
    </row>
    <row r="4878" spans="1:13" s="33" customFormat="true" ht="12.75" customHeight="true">
      <c r="A4878" s="33" t="str">
        <f t="shared" si="304"/>
        <v>FIR - CGS</v>
      </c>
      <c r="B4878" s="33" t="str">
        <f t="shared" si="305"/>
        <v>FIR</v>
      </c>
      <c r="C4878" s="33" t="str">
        <f t="shared" si="306"/>
        <v>60007-0000</v>
      </c>
      <c r="D4878" s="64" t="s">
        <v>5913</v>
      </c>
      <c r="E4878" s="64" t="s">
        <v>3846</v>
      </c>
      <c r="F4878" s="64" t="s">
        <v>230</v>
      </c>
      <c r="G4878" s="64" t="s">
        <v>3838</v>
      </c>
      <c r="H4878" s="64" t="s">
        <v>1875</v>
      </c>
      <c r="I4878" s="64" t="s">
        <v>3847</v>
      </c>
      <c r="J4878" s="67">
        <v>0</v>
      </c>
      <c r="K4878" s="62">
        <v>1077</v>
      </c>
      <c r="L4878" s="33" t="e">
        <f>HLOOKUP(B4878,#REF!,1,0)</f>
        <v>#REF!</v>
      </c>
      <c r="M4878" s="33" t="str">
        <f t="shared" si="307"/>
        <v>P&amp;L</v>
      </c>
    </row>
    <row r="4879" spans="1:13" s="33" customFormat="true" ht="12.75" customHeight="true">
      <c r="A4879" s="33" t="str">
        <f t="shared" si="304"/>
        <v>FIR - CGS</v>
      </c>
      <c r="B4879" s="33" t="str">
        <f t="shared" si="305"/>
        <v>FIR</v>
      </c>
      <c r="C4879" s="33" t="str">
        <f t="shared" si="306"/>
        <v>60012-0000</v>
      </c>
      <c r="D4879" s="64" t="s">
        <v>5914</v>
      </c>
      <c r="E4879" s="64" t="s">
        <v>3852</v>
      </c>
      <c r="F4879" s="64" t="s">
        <v>230</v>
      </c>
      <c r="G4879" s="64" t="s">
        <v>3838</v>
      </c>
      <c r="H4879" s="64" t="s">
        <v>1875</v>
      </c>
      <c r="I4879" s="64" t="s">
        <v>3853</v>
      </c>
      <c r="J4879" s="67">
        <v>0</v>
      </c>
      <c r="K4879" s="62">
        <v>18524.22</v>
      </c>
      <c r="L4879" s="33" t="e">
        <f>HLOOKUP(B4879,#REF!,1,0)</f>
        <v>#REF!</v>
      </c>
      <c r="M4879" s="33" t="str">
        <f t="shared" si="307"/>
        <v>P&amp;L</v>
      </c>
    </row>
    <row r="4880" spans="1:13" s="33" customFormat="true" ht="12.75" customHeight="true">
      <c r="A4880" s="33" t="str">
        <f t="shared" si="304"/>
        <v>FIR - CGS</v>
      </c>
      <c r="B4880" s="33" t="str">
        <f t="shared" si="305"/>
        <v>FIR</v>
      </c>
      <c r="C4880" s="33" t="str">
        <f t="shared" si="306"/>
        <v>60014-0000</v>
      </c>
      <c r="D4880" s="64" t="s">
        <v>5915</v>
      </c>
      <c r="E4880" s="64" t="s">
        <v>3855</v>
      </c>
      <c r="F4880" s="64" t="s">
        <v>230</v>
      </c>
      <c r="G4880" s="64" t="s">
        <v>3838</v>
      </c>
      <c r="H4880" s="64" t="s">
        <v>1875</v>
      </c>
      <c r="I4880" s="64" t="s">
        <v>3856</v>
      </c>
      <c r="J4880" s="67">
        <v>0</v>
      </c>
      <c r="K4880" s="62">
        <v>10257.33</v>
      </c>
      <c r="L4880" s="33" t="e">
        <f>HLOOKUP(B4880,#REF!,1,0)</f>
        <v>#REF!</v>
      </c>
      <c r="M4880" s="33" t="str">
        <f t="shared" si="307"/>
        <v>P&amp;L</v>
      </c>
    </row>
    <row r="4881" spans="1:13" s="33" customFormat="true" ht="12.75" customHeight="true">
      <c r="A4881" s="33" t="str">
        <f t="shared" si="304"/>
        <v>FIR - CGS</v>
      </c>
      <c r="B4881" s="33" t="str">
        <f t="shared" si="305"/>
        <v>FIR</v>
      </c>
      <c r="C4881" s="33" t="str">
        <f t="shared" si="306"/>
        <v>60015-0000</v>
      </c>
      <c r="D4881" s="64" t="s">
        <v>5916</v>
      </c>
      <c r="E4881" s="64" t="s">
        <v>3858</v>
      </c>
      <c r="F4881" s="64" t="s">
        <v>230</v>
      </c>
      <c r="G4881" s="64" t="s">
        <v>3838</v>
      </c>
      <c r="H4881" s="64" t="s">
        <v>1875</v>
      </c>
      <c r="I4881" s="64" t="s">
        <v>3859</v>
      </c>
      <c r="J4881" s="67">
        <v>0</v>
      </c>
      <c r="K4881" s="62">
        <v>800</v>
      </c>
      <c r="L4881" s="33" t="e">
        <f>HLOOKUP(B4881,#REF!,1,0)</f>
        <v>#REF!</v>
      </c>
      <c r="M4881" s="33" t="str">
        <f t="shared" si="307"/>
        <v>P&amp;L</v>
      </c>
    </row>
    <row r="4882" spans="1:13" s="33" customFormat="true" ht="12.75" customHeight="true">
      <c r="A4882" s="33" t="str">
        <f t="shared" si="304"/>
        <v>FIR - CGS</v>
      </c>
      <c r="B4882" s="33" t="str">
        <f t="shared" si="305"/>
        <v>FIR</v>
      </c>
      <c r="C4882" s="33" t="str">
        <f t="shared" si="306"/>
        <v>61018-0000</v>
      </c>
      <c r="D4882" s="64" t="s">
        <v>5917</v>
      </c>
      <c r="E4882" s="64" t="s">
        <v>3864</v>
      </c>
      <c r="F4882" s="64" t="s">
        <v>230</v>
      </c>
      <c r="G4882" s="64" t="s">
        <v>3838</v>
      </c>
      <c r="H4882" s="64" t="s">
        <v>1875</v>
      </c>
      <c r="I4882" s="64" t="s">
        <v>3866</v>
      </c>
      <c r="J4882" s="67">
        <v>0</v>
      </c>
      <c r="K4882" s="62">
        <v>591033.47</v>
      </c>
      <c r="L4882" s="33" t="e">
        <f>HLOOKUP(B4882,#REF!,1,0)</f>
        <v>#REF!</v>
      </c>
      <c r="M4882" s="33" t="str">
        <f t="shared" si="307"/>
        <v>P&amp;L</v>
      </c>
    </row>
    <row r="4883" spans="1:13" s="33" customFormat="true" ht="12.75" customHeight="true">
      <c r="A4883" s="33" t="str">
        <f t="shared" si="304"/>
        <v>FIR - Income Tax</v>
      </c>
      <c r="B4883" s="33" t="str">
        <f t="shared" si="305"/>
        <v>FIR</v>
      </c>
      <c r="C4883" s="33" t="str">
        <f t="shared" si="306"/>
        <v>61019-0000</v>
      </c>
      <c r="D4883" s="64" t="s">
        <v>5918</v>
      </c>
      <c r="E4883" s="64" t="s">
        <v>4041</v>
      </c>
      <c r="F4883" s="64" t="s">
        <v>230</v>
      </c>
      <c r="G4883" s="64" t="s">
        <v>3844</v>
      </c>
      <c r="H4883" s="64" t="s">
        <v>3378</v>
      </c>
      <c r="I4883" s="64" t="s">
        <v>4042</v>
      </c>
      <c r="J4883" s="67">
        <v>0</v>
      </c>
      <c r="K4883" s="62">
        <v>800</v>
      </c>
      <c r="L4883" s="33" t="e">
        <f>HLOOKUP(B4883,#REF!,1,0)</f>
        <v>#REF!</v>
      </c>
      <c r="M4883" s="33" t="str">
        <f t="shared" si="307"/>
        <v>P&amp;L</v>
      </c>
    </row>
    <row r="4884" spans="1:13" s="33" customFormat="true" ht="12.75" customHeight="true">
      <c r="A4884" s="33" t="str">
        <f t="shared" si="304"/>
        <v>FIR - Gain/Loss on Disp</v>
      </c>
      <c r="B4884" s="33" t="str">
        <f t="shared" si="305"/>
        <v>FIR</v>
      </c>
      <c r="C4884" s="33" t="str">
        <f t="shared" si="306"/>
        <v>99700-0000</v>
      </c>
      <c r="D4884" s="64" t="s">
        <v>5919</v>
      </c>
      <c r="E4884" s="64" t="s">
        <v>5920</v>
      </c>
      <c r="F4884" s="64" t="s">
        <v>230</v>
      </c>
      <c r="G4884" s="64" t="s">
        <v>3326</v>
      </c>
      <c r="H4884" s="64" t="s">
        <v>5921</v>
      </c>
      <c r="I4884" s="64" t="s">
        <v>5922</v>
      </c>
      <c r="J4884" s="67">
        <v>0</v>
      </c>
      <c r="K4884" s="62">
        <v>-5085000</v>
      </c>
      <c r="L4884" s="33" t="e">
        <f>HLOOKUP(B4884,#REF!,1,0)</f>
        <v>#REF!</v>
      </c>
      <c r="M4884" s="33" t="str">
        <f t="shared" si="307"/>
        <v>P&amp;L</v>
      </c>
    </row>
    <row r="4885" spans="1:13" s="33" customFormat="true" ht="12.75" customHeight="true">
      <c r="A4885" s="33" t="str">
        <f t="shared" si="304"/>
        <v>FRM - Inventory</v>
      </c>
      <c r="B4885" s="33" t="str">
        <f t="shared" si="305"/>
        <v>FRM</v>
      </c>
      <c r="C4885" s="33" t="str">
        <f t="shared" si="306"/>
        <v>13110-3016</v>
      </c>
      <c r="D4885" s="64" t="s">
        <v>5923</v>
      </c>
      <c r="E4885" s="64" t="s">
        <v>1203</v>
      </c>
      <c r="F4885" s="64" t="s">
        <v>1195</v>
      </c>
      <c r="G4885" s="64" t="s">
        <v>16</v>
      </c>
      <c r="H4885" s="64" t="s">
        <v>17</v>
      </c>
      <c r="I4885" s="64" t="s">
        <v>51</v>
      </c>
      <c r="J4885" s="67">
        <v>-119.5</v>
      </c>
      <c r="K4885" s="62">
        <v>2039.21</v>
      </c>
      <c r="L4885" s="33" t="e">
        <f>HLOOKUP(B4885,#REF!,1,0)</f>
        <v>#REF!</v>
      </c>
      <c r="M4885" s="33" t="str">
        <f t="shared" si="307"/>
        <v>BS</v>
      </c>
    </row>
    <row r="4886" spans="1:13" s="33" customFormat="true" ht="12.75" customHeight="true">
      <c r="A4886" s="33" t="str">
        <f t="shared" si="304"/>
        <v>FRM - Revenue</v>
      </c>
      <c r="B4886" s="33" t="str">
        <f t="shared" si="305"/>
        <v>FRM</v>
      </c>
      <c r="C4886" s="33" t="str">
        <f t="shared" si="306"/>
        <v>43200-1003</v>
      </c>
      <c r="D4886" s="64" t="s">
        <v>5924</v>
      </c>
      <c r="E4886" s="64" t="s">
        <v>5925</v>
      </c>
      <c r="F4886" s="64" t="s">
        <v>1195</v>
      </c>
      <c r="G4886" s="64" t="s">
        <v>2870</v>
      </c>
      <c r="H4886" s="64" t="s">
        <v>2871</v>
      </c>
      <c r="I4886" s="64" t="s">
        <v>5926</v>
      </c>
      <c r="J4886" s="67">
        <v>-24777.31</v>
      </c>
      <c r="K4886" s="62">
        <v>-194730.19</v>
      </c>
      <c r="L4886" s="33" t="e">
        <f>HLOOKUP(B4886,#REF!,1,0)</f>
        <v>#REF!</v>
      </c>
      <c r="M4886" s="33" t="str">
        <f t="shared" si="307"/>
        <v>P&amp;L</v>
      </c>
    </row>
    <row r="4887" spans="1:13" s="33" customFormat="true" ht="12.75" customHeight="true">
      <c r="A4887" s="33" t="str">
        <f t="shared" si="304"/>
        <v>FRM - Revenue</v>
      </c>
      <c r="B4887" s="33" t="str">
        <f t="shared" si="305"/>
        <v>FRM</v>
      </c>
      <c r="C4887" s="33" t="str">
        <f t="shared" si="306"/>
        <v>43200-1011</v>
      </c>
      <c r="D4887" s="64" t="s">
        <v>5927</v>
      </c>
      <c r="E4887" s="64" t="s">
        <v>5925</v>
      </c>
      <c r="F4887" s="64" t="s">
        <v>1195</v>
      </c>
      <c r="G4887" s="64" t="s">
        <v>2870</v>
      </c>
      <c r="H4887" s="64" t="s">
        <v>2871</v>
      </c>
      <c r="I4887" s="64" t="s">
        <v>5926</v>
      </c>
      <c r="J4887" s="67">
        <v>-20813.15</v>
      </c>
      <c r="K4887" s="62">
        <v>-195382.55</v>
      </c>
      <c r="L4887" s="33" t="e">
        <f>HLOOKUP(B4887,#REF!,1,0)</f>
        <v>#REF!</v>
      </c>
      <c r="M4887" s="33" t="str">
        <f t="shared" si="307"/>
        <v>P&amp;L</v>
      </c>
    </row>
    <row r="4888" spans="1:13" s="33" customFormat="true" ht="12.75" customHeight="true">
      <c r="A4888" s="33" t="str">
        <f t="shared" si="304"/>
        <v>FRM - Revenue</v>
      </c>
      <c r="B4888" s="33" t="str">
        <f t="shared" si="305"/>
        <v>FRM</v>
      </c>
      <c r="C4888" s="33" t="str">
        <f t="shared" si="306"/>
        <v>43200-1017</v>
      </c>
      <c r="D4888" s="64" t="s">
        <v>5928</v>
      </c>
      <c r="E4888" s="64" t="s">
        <v>5925</v>
      </c>
      <c r="F4888" s="64" t="s">
        <v>1195</v>
      </c>
      <c r="G4888" s="64" t="s">
        <v>2870</v>
      </c>
      <c r="H4888" s="64" t="s">
        <v>2871</v>
      </c>
      <c r="I4888" s="64" t="s">
        <v>5926</v>
      </c>
      <c r="J4888" s="67">
        <v>-2471.3</v>
      </c>
      <c r="K4888" s="62">
        <v>-9872.37</v>
      </c>
      <c r="L4888" s="33" t="e">
        <f>HLOOKUP(B4888,#REF!,1,0)</f>
        <v>#REF!</v>
      </c>
      <c r="M4888" s="33" t="str">
        <f t="shared" si="307"/>
        <v>P&amp;L</v>
      </c>
    </row>
    <row r="4889" spans="1:13" s="33" customFormat="true" ht="12.75" customHeight="true">
      <c r="A4889" s="33" t="str">
        <f t="shared" si="304"/>
        <v>FRM - Revenue</v>
      </c>
      <c r="B4889" s="33" t="str">
        <f t="shared" si="305"/>
        <v>FRM</v>
      </c>
      <c r="C4889" s="33" t="str">
        <f t="shared" si="306"/>
        <v>43200-3001</v>
      </c>
      <c r="D4889" s="64" t="s">
        <v>5929</v>
      </c>
      <c r="E4889" s="64" t="s">
        <v>5925</v>
      </c>
      <c r="F4889" s="64" t="s">
        <v>1195</v>
      </c>
      <c r="G4889" s="64" t="s">
        <v>2870</v>
      </c>
      <c r="H4889" s="64" t="s">
        <v>2871</v>
      </c>
      <c r="I4889" s="64" t="s">
        <v>5926</v>
      </c>
      <c r="J4889" s="67">
        <v>-12069.65</v>
      </c>
      <c r="K4889" s="62">
        <v>-101506.34</v>
      </c>
      <c r="L4889" s="33" t="e">
        <f>HLOOKUP(B4889,#REF!,1,0)</f>
        <v>#REF!</v>
      </c>
      <c r="M4889" s="33" t="str">
        <f t="shared" si="307"/>
        <v>P&amp;L</v>
      </c>
    </row>
    <row r="4890" spans="1:13" s="33" customFormat="true" ht="12.75" customHeight="true">
      <c r="A4890" s="33" t="str">
        <f t="shared" si="304"/>
        <v>FRM - Revenue</v>
      </c>
      <c r="B4890" s="33" t="str">
        <f t="shared" si="305"/>
        <v>FRM</v>
      </c>
      <c r="C4890" s="33" t="str">
        <f t="shared" si="306"/>
        <v>43200-3014</v>
      </c>
      <c r="D4890" s="64" t="s">
        <v>5930</v>
      </c>
      <c r="E4890" s="64" t="s">
        <v>5925</v>
      </c>
      <c r="F4890" s="64" t="s">
        <v>1195</v>
      </c>
      <c r="G4890" s="64" t="s">
        <v>2870</v>
      </c>
      <c r="H4890" s="64" t="s">
        <v>2871</v>
      </c>
      <c r="I4890" s="64" t="s">
        <v>5926</v>
      </c>
      <c r="J4890" s="67">
        <v>0</v>
      </c>
      <c r="K4890" s="62">
        <v>-8355.18</v>
      </c>
      <c r="L4890" s="33" t="e">
        <f>HLOOKUP(B4890,#REF!,1,0)</f>
        <v>#REF!</v>
      </c>
      <c r="M4890" s="33" t="str">
        <f t="shared" si="307"/>
        <v>P&amp;L</v>
      </c>
    </row>
    <row r="4891" spans="1:13" s="33" customFormat="true" ht="12.75" customHeight="true">
      <c r="A4891" s="33" t="str">
        <f t="shared" si="304"/>
        <v>FRM - Revenue</v>
      </c>
      <c r="B4891" s="33" t="str">
        <f t="shared" si="305"/>
        <v>FRM</v>
      </c>
      <c r="C4891" s="33" t="str">
        <f t="shared" si="306"/>
        <v>43200-3016</v>
      </c>
      <c r="D4891" s="64" t="s">
        <v>5931</v>
      </c>
      <c r="E4891" s="64" t="s">
        <v>5925</v>
      </c>
      <c r="F4891" s="64" t="s">
        <v>1195</v>
      </c>
      <c r="G4891" s="64" t="s">
        <v>2870</v>
      </c>
      <c r="H4891" s="64" t="s">
        <v>2871</v>
      </c>
      <c r="I4891" s="64" t="s">
        <v>5926</v>
      </c>
      <c r="J4891" s="67">
        <v>-8990.04</v>
      </c>
      <c r="K4891" s="62">
        <v>-47146.03</v>
      </c>
      <c r="L4891" s="33" t="e">
        <f>HLOOKUP(B4891,#REF!,1,0)</f>
        <v>#REF!</v>
      </c>
      <c r="M4891" s="33" t="str">
        <f t="shared" si="307"/>
        <v>P&amp;L</v>
      </c>
    </row>
    <row r="4892" spans="1:13" s="33" customFormat="true" ht="12.75" customHeight="true">
      <c r="A4892" s="33" t="str">
        <f t="shared" si="304"/>
        <v>FRM - Revenue</v>
      </c>
      <c r="B4892" s="33" t="str">
        <f t="shared" si="305"/>
        <v>FRM</v>
      </c>
      <c r="C4892" s="33" t="str">
        <f t="shared" si="306"/>
        <v>43300-1003</v>
      </c>
      <c r="D4892" s="64" t="s">
        <v>5932</v>
      </c>
      <c r="E4892" s="64" t="s">
        <v>5925</v>
      </c>
      <c r="F4892" s="64" t="s">
        <v>1195</v>
      </c>
      <c r="G4892" s="64" t="s">
        <v>2870</v>
      </c>
      <c r="H4892" s="64" t="s">
        <v>2871</v>
      </c>
      <c r="I4892" s="64" t="s">
        <v>5933</v>
      </c>
      <c r="J4892" s="67">
        <v>-31553.06</v>
      </c>
      <c r="K4892" s="62">
        <v>-186198.92</v>
      </c>
      <c r="L4892" s="33" t="e">
        <f>HLOOKUP(B4892,#REF!,1,0)</f>
        <v>#REF!</v>
      </c>
      <c r="M4892" s="33" t="str">
        <f t="shared" si="307"/>
        <v>P&amp;L</v>
      </c>
    </row>
    <row r="4893" spans="1:13" s="33" customFormat="true" ht="12.75" customHeight="true">
      <c r="A4893" s="33" t="str">
        <f t="shared" si="304"/>
        <v>FRM - Revenue</v>
      </c>
      <c r="B4893" s="33" t="str">
        <f t="shared" si="305"/>
        <v>FRM</v>
      </c>
      <c r="C4893" s="33" t="str">
        <f t="shared" si="306"/>
        <v>43300-1011</v>
      </c>
      <c r="D4893" s="64" t="s">
        <v>5934</v>
      </c>
      <c r="E4893" s="64" t="s">
        <v>5925</v>
      </c>
      <c r="F4893" s="64" t="s">
        <v>1195</v>
      </c>
      <c r="G4893" s="64" t="s">
        <v>2870</v>
      </c>
      <c r="H4893" s="64" t="s">
        <v>2871</v>
      </c>
      <c r="I4893" s="64" t="s">
        <v>5933</v>
      </c>
      <c r="J4893" s="67">
        <v>-13320.1</v>
      </c>
      <c r="K4893" s="62">
        <v>-174615.56</v>
      </c>
      <c r="L4893" s="33" t="e">
        <f>HLOOKUP(B4893,#REF!,1,0)</f>
        <v>#REF!</v>
      </c>
      <c r="M4893" s="33" t="str">
        <f t="shared" si="307"/>
        <v>P&amp;L</v>
      </c>
    </row>
    <row r="4894" spans="1:13" s="33" customFormat="true" ht="12.75" customHeight="true">
      <c r="A4894" s="33" t="str">
        <f t="shared" si="304"/>
        <v>FRM - Revenue</v>
      </c>
      <c r="B4894" s="33" t="str">
        <f t="shared" si="305"/>
        <v>FRM</v>
      </c>
      <c r="C4894" s="33" t="str">
        <f t="shared" si="306"/>
        <v>43300-1017</v>
      </c>
      <c r="D4894" s="64" t="s">
        <v>5935</v>
      </c>
      <c r="E4894" s="64" t="s">
        <v>5925</v>
      </c>
      <c r="F4894" s="64" t="s">
        <v>1195</v>
      </c>
      <c r="G4894" s="64" t="s">
        <v>2870</v>
      </c>
      <c r="H4894" s="64" t="s">
        <v>2871</v>
      </c>
      <c r="I4894" s="64" t="s">
        <v>5933</v>
      </c>
      <c r="J4894" s="67">
        <v>-15441.34</v>
      </c>
      <c r="K4894" s="62">
        <v>-52608.96</v>
      </c>
      <c r="L4894" s="33" t="e">
        <f>HLOOKUP(B4894,#REF!,1,0)</f>
        <v>#REF!</v>
      </c>
      <c r="M4894" s="33" t="str">
        <f t="shared" si="307"/>
        <v>P&amp;L</v>
      </c>
    </row>
    <row r="4895" spans="1:13" s="33" customFormat="true" ht="12.75" customHeight="true">
      <c r="A4895" s="33" t="str">
        <f t="shared" si="304"/>
        <v>FRM - Revenue</v>
      </c>
      <c r="B4895" s="33" t="str">
        <f t="shared" si="305"/>
        <v>FRM</v>
      </c>
      <c r="C4895" s="33" t="str">
        <f t="shared" si="306"/>
        <v>43300-3001</v>
      </c>
      <c r="D4895" s="64" t="s">
        <v>5936</v>
      </c>
      <c r="E4895" s="64" t="s">
        <v>5925</v>
      </c>
      <c r="F4895" s="64" t="s">
        <v>1195</v>
      </c>
      <c r="G4895" s="64" t="s">
        <v>2870</v>
      </c>
      <c r="H4895" s="64" t="s">
        <v>2871</v>
      </c>
      <c r="I4895" s="64" t="s">
        <v>5933</v>
      </c>
      <c r="J4895" s="67">
        <v>-7622.83</v>
      </c>
      <c r="K4895" s="62">
        <v>-64024.06</v>
      </c>
      <c r="L4895" s="33" t="e">
        <f>HLOOKUP(B4895,#REF!,1,0)</f>
        <v>#REF!</v>
      </c>
      <c r="M4895" s="33" t="str">
        <f t="shared" si="307"/>
        <v>P&amp;L</v>
      </c>
    </row>
    <row r="4896" spans="1:13" s="33" customFormat="true" ht="12.75" customHeight="true">
      <c r="A4896" s="33" t="str">
        <f t="shared" si="304"/>
        <v>FRM - Revenue</v>
      </c>
      <c r="B4896" s="33" t="str">
        <f t="shared" si="305"/>
        <v>FRM</v>
      </c>
      <c r="C4896" s="33" t="str">
        <f t="shared" si="306"/>
        <v>43300-3014</v>
      </c>
      <c r="D4896" s="64" t="s">
        <v>5937</v>
      </c>
      <c r="E4896" s="64" t="s">
        <v>5925</v>
      </c>
      <c r="F4896" s="64" t="s">
        <v>1195</v>
      </c>
      <c r="G4896" s="64" t="s">
        <v>2870</v>
      </c>
      <c r="H4896" s="64" t="s">
        <v>2871</v>
      </c>
      <c r="I4896" s="64" t="s">
        <v>5933</v>
      </c>
      <c r="J4896" s="67">
        <v>0</v>
      </c>
      <c r="K4896" s="62">
        <v>-1369.36</v>
      </c>
      <c r="L4896" s="33" t="e">
        <f>HLOOKUP(B4896,#REF!,1,0)</f>
        <v>#REF!</v>
      </c>
      <c r="M4896" s="33" t="str">
        <f t="shared" si="307"/>
        <v>P&amp;L</v>
      </c>
    </row>
    <row r="4897" spans="1:13" s="33" customFormat="true" ht="12.75" customHeight="true">
      <c r="A4897" s="33" t="str">
        <f t="shared" si="304"/>
        <v>FRM - Revenue</v>
      </c>
      <c r="B4897" s="33" t="str">
        <f t="shared" si="305"/>
        <v>FRM</v>
      </c>
      <c r="C4897" s="33" t="str">
        <f t="shared" si="306"/>
        <v>43300-3016</v>
      </c>
      <c r="D4897" s="64" t="s">
        <v>5938</v>
      </c>
      <c r="E4897" s="64" t="s">
        <v>5925</v>
      </c>
      <c r="F4897" s="64" t="s">
        <v>1195</v>
      </c>
      <c r="G4897" s="64" t="s">
        <v>2870</v>
      </c>
      <c r="H4897" s="64" t="s">
        <v>2871</v>
      </c>
      <c r="I4897" s="64" t="s">
        <v>5933</v>
      </c>
      <c r="J4897" s="67">
        <v>-5446.67</v>
      </c>
      <c r="K4897" s="62">
        <v>-21476.01</v>
      </c>
      <c r="L4897" s="33" t="e">
        <f>HLOOKUP(B4897,#REF!,1,0)</f>
        <v>#REF!</v>
      </c>
      <c r="M4897" s="33" t="str">
        <f t="shared" si="307"/>
        <v>P&amp;L</v>
      </c>
    </row>
    <row r="4898" spans="1:13" s="33" customFormat="true" ht="12.75" customHeight="true">
      <c r="A4898" s="33" t="str">
        <f t="shared" si="304"/>
        <v>FRM - CGS</v>
      </c>
      <c r="B4898" s="33" t="str">
        <f t="shared" si="305"/>
        <v>FRM</v>
      </c>
      <c r="C4898" s="33" t="str">
        <f t="shared" si="306"/>
        <v>50300-0000</v>
      </c>
      <c r="D4898" s="64" t="s">
        <v>5939</v>
      </c>
      <c r="E4898" s="64" t="s">
        <v>5797</v>
      </c>
      <c r="F4898" s="64" t="s">
        <v>1195</v>
      </c>
      <c r="G4898" s="64" t="s">
        <v>5940</v>
      </c>
      <c r="H4898" s="64" t="s">
        <v>1875</v>
      </c>
      <c r="I4898" s="64" t="s">
        <v>5941</v>
      </c>
      <c r="J4898" s="67">
        <v>0</v>
      </c>
      <c r="K4898" s="62">
        <v>5103.58</v>
      </c>
      <c r="L4898" s="33" t="e">
        <f>HLOOKUP(B4898,#REF!,1,0)</f>
        <v>#REF!</v>
      </c>
      <c r="M4898" s="33" t="str">
        <f t="shared" si="307"/>
        <v>P&amp;L</v>
      </c>
    </row>
    <row r="4899" spans="1:13" s="33" customFormat="true" ht="12.75" customHeight="true">
      <c r="A4899" s="33" t="str">
        <f t="shared" si="304"/>
        <v>FRM - CGS</v>
      </c>
      <c r="B4899" s="33" t="str">
        <f t="shared" si="305"/>
        <v>FRM</v>
      </c>
      <c r="C4899" s="33" t="str">
        <f t="shared" si="306"/>
        <v>50300-1003</v>
      </c>
      <c r="D4899" s="64" t="s">
        <v>5942</v>
      </c>
      <c r="E4899" s="64" t="s">
        <v>5797</v>
      </c>
      <c r="F4899" s="64" t="s">
        <v>1195</v>
      </c>
      <c r="G4899" s="64" t="s">
        <v>5940</v>
      </c>
      <c r="H4899" s="64" t="s">
        <v>1875</v>
      </c>
      <c r="I4899" s="64" t="s">
        <v>5941</v>
      </c>
      <c r="J4899" s="67">
        <v>0</v>
      </c>
      <c r="K4899" s="62">
        <v>5229.94</v>
      </c>
      <c r="L4899" s="33" t="e">
        <f>HLOOKUP(B4899,#REF!,1,0)</f>
        <v>#REF!</v>
      </c>
      <c r="M4899" s="33" t="str">
        <f t="shared" si="307"/>
        <v>P&amp;L</v>
      </c>
    </row>
    <row r="4900" spans="1:13" s="33" customFormat="true" ht="12.75" customHeight="true">
      <c r="A4900" s="33" t="str">
        <f t="shared" si="304"/>
        <v>FRM - CGS</v>
      </c>
      <c r="B4900" s="33" t="str">
        <f t="shared" si="305"/>
        <v>FRM</v>
      </c>
      <c r="C4900" s="33" t="str">
        <f t="shared" si="306"/>
        <v>50300-1011</v>
      </c>
      <c r="D4900" s="64" t="s">
        <v>5943</v>
      </c>
      <c r="E4900" s="64" t="s">
        <v>5797</v>
      </c>
      <c r="F4900" s="64" t="s">
        <v>1195</v>
      </c>
      <c r="G4900" s="64" t="s">
        <v>5940</v>
      </c>
      <c r="H4900" s="64" t="s">
        <v>1875</v>
      </c>
      <c r="I4900" s="64" t="s">
        <v>5941</v>
      </c>
      <c r="J4900" s="67">
        <v>4450.81</v>
      </c>
      <c r="K4900" s="62">
        <v>13724.4</v>
      </c>
      <c r="L4900" s="33" t="e">
        <f>HLOOKUP(B4900,#REF!,1,0)</f>
        <v>#REF!</v>
      </c>
      <c r="M4900" s="33" t="str">
        <f t="shared" si="307"/>
        <v>P&amp;L</v>
      </c>
    </row>
    <row r="4901" spans="1:13" s="33" customFormat="true" ht="12.75" customHeight="true">
      <c r="A4901" s="33" t="str">
        <f t="shared" si="304"/>
        <v>FRM - CGS</v>
      </c>
      <c r="B4901" s="33" t="str">
        <f t="shared" si="305"/>
        <v>FRM</v>
      </c>
      <c r="C4901" s="33" t="str">
        <f t="shared" si="306"/>
        <v>50300-1017</v>
      </c>
      <c r="D4901" s="64" t="s">
        <v>5944</v>
      </c>
      <c r="E4901" s="64" t="s">
        <v>5797</v>
      </c>
      <c r="F4901" s="64" t="s">
        <v>1195</v>
      </c>
      <c r="G4901" s="64" t="s">
        <v>5940</v>
      </c>
      <c r="H4901" s="64" t="s">
        <v>1875</v>
      </c>
      <c r="I4901" s="64" t="s">
        <v>5941</v>
      </c>
      <c r="J4901" s="67">
        <v>212.9</v>
      </c>
      <c r="K4901" s="62">
        <v>5668.35</v>
      </c>
      <c r="L4901" s="33" t="e">
        <f>HLOOKUP(B4901,#REF!,1,0)</f>
        <v>#REF!</v>
      </c>
      <c r="M4901" s="33" t="str">
        <f t="shared" si="307"/>
        <v>P&amp;L</v>
      </c>
    </row>
    <row r="4902" spans="1:13" s="33" customFormat="true" ht="12.75" customHeight="true">
      <c r="A4902" s="33" t="str">
        <f t="shared" si="304"/>
        <v>FRM - CGS</v>
      </c>
      <c r="B4902" s="33" t="str">
        <f t="shared" si="305"/>
        <v>FRM</v>
      </c>
      <c r="C4902" s="33" t="str">
        <f t="shared" si="306"/>
        <v>50300-3001</v>
      </c>
      <c r="D4902" s="64" t="s">
        <v>5945</v>
      </c>
      <c r="E4902" s="64" t="s">
        <v>5797</v>
      </c>
      <c r="F4902" s="64" t="s">
        <v>1195</v>
      </c>
      <c r="G4902" s="64" t="s">
        <v>5940</v>
      </c>
      <c r="H4902" s="64" t="s">
        <v>1875</v>
      </c>
      <c r="I4902" s="64" t="s">
        <v>5941</v>
      </c>
      <c r="J4902" s="67">
        <v>718.45</v>
      </c>
      <c r="K4902" s="62">
        <v>3330.36</v>
      </c>
      <c r="L4902" s="33" t="e">
        <f>HLOOKUP(B4902,#REF!,1,0)</f>
        <v>#REF!</v>
      </c>
      <c r="M4902" s="33" t="str">
        <f t="shared" si="307"/>
        <v>P&amp;L</v>
      </c>
    </row>
    <row r="4903" spans="1:13" s="33" customFormat="true" ht="12.75" customHeight="true">
      <c r="A4903" s="33" t="str">
        <f t="shared" si="304"/>
        <v>FRM - CGS</v>
      </c>
      <c r="B4903" s="33" t="str">
        <f t="shared" si="305"/>
        <v>FRM</v>
      </c>
      <c r="C4903" s="33" t="str">
        <f t="shared" si="306"/>
        <v>50300-3014</v>
      </c>
      <c r="D4903" s="64" t="s">
        <v>5946</v>
      </c>
      <c r="E4903" s="64" t="s">
        <v>5797</v>
      </c>
      <c r="F4903" s="64" t="s">
        <v>1195</v>
      </c>
      <c r="G4903" s="64" t="s">
        <v>5940</v>
      </c>
      <c r="H4903" s="64" t="s">
        <v>1875</v>
      </c>
      <c r="I4903" s="64" t="s">
        <v>5941</v>
      </c>
      <c r="J4903" s="67">
        <v>0</v>
      </c>
      <c r="K4903" s="62">
        <v>4146.15</v>
      </c>
      <c r="L4903" s="33" t="e">
        <f>HLOOKUP(B4903,#REF!,1,0)</f>
        <v>#REF!</v>
      </c>
      <c r="M4903" s="33" t="str">
        <f t="shared" si="307"/>
        <v>P&amp;L</v>
      </c>
    </row>
    <row r="4904" spans="1:13" s="33" customFormat="true" ht="12.75" customHeight="true">
      <c r="A4904" s="33" t="str">
        <f t="shared" si="304"/>
        <v>FRM - CGS</v>
      </c>
      <c r="B4904" s="33" t="str">
        <f t="shared" si="305"/>
        <v>FRM</v>
      </c>
      <c r="C4904" s="33" t="str">
        <f t="shared" si="306"/>
        <v>50350-0000</v>
      </c>
      <c r="D4904" s="64" t="s">
        <v>5947</v>
      </c>
      <c r="E4904" s="64" t="s">
        <v>5948</v>
      </c>
      <c r="F4904" s="64" t="s">
        <v>1195</v>
      </c>
      <c r="G4904" s="64" t="s">
        <v>5940</v>
      </c>
      <c r="H4904" s="64" t="s">
        <v>1875</v>
      </c>
      <c r="I4904" s="64" t="s">
        <v>5949</v>
      </c>
      <c r="J4904" s="67">
        <v>2759.92</v>
      </c>
      <c r="K4904" s="62">
        <v>80121.26</v>
      </c>
      <c r="L4904" s="33" t="e">
        <f>HLOOKUP(B4904,#REF!,1,0)</f>
        <v>#REF!</v>
      </c>
      <c r="M4904" s="33" t="str">
        <f t="shared" si="307"/>
        <v>P&amp;L</v>
      </c>
    </row>
    <row r="4905" spans="1:13" s="33" customFormat="true" ht="12.75" customHeight="true">
      <c r="A4905" s="33" t="str">
        <f t="shared" si="304"/>
        <v>FRM - CGS</v>
      </c>
      <c r="B4905" s="33" t="str">
        <f t="shared" si="305"/>
        <v>FRM</v>
      </c>
      <c r="C4905" s="33" t="str">
        <f t="shared" si="306"/>
        <v>50350-1003</v>
      </c>
      <c r="D4905" s="64" t="s">
        <v>5950</v>
      </c>
      <c r="E4905" s="64" t="s">
        <v>5948</v>
      </c>
      <c r="F4905" s="64" t="s">
        <v>1195</v>
      </c>
      <c r="G4905" s="64" t="s">
        <v>5940</v>
      </c>
      <c r="H4905" s="64" t="s">
        <v>1875</v>
      </c>
      <c r="I4905" s="64" t="s">
        <v>5949</v>
      </c>
      <c r="J4905" s="67">
        <v>22366.69</v>
      </c>
      <c r="K4905" s="62">
        <v>159613.35</v>
      </c>
      <c r="L4905" s="33" t="e">
        <f>HLOOKUP(B4905,#REF!,1,0)</f>
        <v>#REF!</v>
      </c>
      <c r="M4905" s="33" t="str">
        <f t="shared" si="307"/>
        <v>P&amp;L</v>
      </c>
    </row>
    <row r="4906" spans="1:13" s="33" customFormat="true" ht="12.75" customHeight="true">
      <c r="A4906" s="33" t="str">
        <f t="shared" si="304"/>
        <v>FRM - CGS</v>
      </c>
      <c r="B4906" s="33" t="str">
        <f t="shared" si="305"/>
        <v>FRM</v>
      </c>
      <c r="C4906" s="33" t="str">
        <f t="shared" si="306"/>
        <v>50350-1011</v>
      </c>
      <c r="D4906" s="64" t="s">
        <v>5951</v>
      </c>
      <c r="E4906" s="64" t="s">
        <v>5948</v>
      </c>
      <c r="F4906" s="64" t="s">
        <v>1195</v>
      </c>
      <c r="G4906" s="64" t="s">
        <v>5940</v>
      </c>
      <c r="H4906" s="64" t="s">
        <v>1875</v>
      </c>
      <c r="I4906" s="64" t="s">
        <v>5949</v>
      </c>
      <c r="J4906" s="67">
        <v>15699.01</v>
      </c>
      <c r="K4906" s="62">
        <v>171586.51</v>
      </c>
      <c r="L4906" s="33" t="e">
        <f>HLOOKUP(B4906,#REF!,1,0)</f>
        <v>#REF!</v>
      </c>
      <c r="M4906" s="33" t="str">
        <f t="shared" si="307"/>
        <v>P&amp;L</v>
      </c>
    </row>
    <row r="4907" spans="1:13" s="33" customFormat="true" ht="12.75" customHeight="true">
      <c r="A4907" s="33" t="str">
        <f t="shared" si="304"/>
        <v>FRM - CGS</v>
      </c>
      <c r="B4907" s="33" t="str">
        <f t="shared" si="305"/>
        <v>FRM</v>
      </c>
      <c r="C4907" s="33" t="str">
        <f t="shared" si="306"/>
        <v>50350-1016</v>
      </c>
      <c r="D4907" s="64" t="s">
        <v>5952</v>
      </c>
      <c r="E4907" s="64" t="s">
        <v>5948</v>
      </c>
      <c r="F4907" s="64" t="s">
        <v>1195</v>
      </c>
      <c r="G4907" s="64" t="s">
        <v>5940</v>
      </c>
      <c r="H4907" s="64" t="s">
        <v>1875</v>
      </c>
      <c r="I4907" s="64" t="s">
        <v>5949</v>
      </c>
      <c r="J4907" s="67">
        <v>0</v>
      </c>
      <c r="K4907" s="62">
        <v>10587.36</v>
      </c>
      <c r="L4907" s="33" t="e">
        <f>HLOOKUP(B4907,#REF!,1,0)</f>
        <v>#REF!</v>
      </c>
      <c r="M4907" s="33" t="str">
        <f t="shared" si="307"/>
        <v>P&amp;L</v>
      </c>
    </row>
    <row r="4908" spans="1:13" s="33" customFormat="true" ht="12.75" customHeight="true">
      <c r="A4908" s="33" t="str">
        <f t="shared" si="304"/>
        <v>FRM - CGS</v>
      </c>
      <c r="B4908" s="33" t="str">
        <f t="shared" si="305"/>
        <v>FRM</v>
      </c>
      <c r="C4908" s="33" t="str">
        <f t="shared" si="306"/>
        <v>50350-1017</v>
      </c>
      <c r="D4908" s="64" t="s">
        <v>5953</v>
      </c>
      <c r="E4908" s="64" t="s">
        <v>5948</v>
      </c>
      <c r="F4908" s="64" t="s">
        <v>1195</v>
      </c>
      <c r="G4908" s="64" t="s">
        <v>5940</v>
      </c>
      <c r="H4908" s="64" t="s">
        <v>1875</v>
      </c>
      <c r="I4908" s="64" t="s">
        <v>5949</v>
      </c>
      <c r="J4908" s="67">
        <v>21103.41</v>
      </c>
      <c r="K4908" s="62">
        <v>15417.57</v>
      </c>
      <c r="L4908" s="33" t="e">
        <f>HLOOKUP(B4908,#REF!,1,0)</f>
        <v>#REF!</v>
      </c>
      <c r="M4908" s="33" t="str">
        <f t="shared" si="307"/>
        <v>P&amp;L</v>
      </c>
    </row>
    <row r="4909" spans="1:13" s="33" customFormat="true" ht="12.75" customHeight="true">
      <c r="A4909" s="33" t="str">
        <f t="shared" si="304"/>
        <v>FRM - CGS</v>
      </c>
      <c r="B4909" s="33" t="str">
        <f t="shared" si="305"/>
        <v>FRM</v>
      </c>
      <c r="C4909" s="33" t="str">
        <f t="shared" si="306"/>
        <v>50350-2002</v>
      </c>
      <c r="D4909" s="64" t="s">
        <v>5954</v>
      </c>
      <c r="E4909" s="64" t="s">
        <v>5948</v>
      </c>
      <c r="F4909" s="64" t="s">
        <v>1195</v>
      </c>
      <c r="G4909" s="64" t="s">
        <v>5940</v>
      </c>
      <c r="H4909" s="64" t="s">
        <v>1875</v>
      </c>
      <c r="I4909" s="64" t="s">
        <v>5949</v>
      </c>
      <c r="J4909" s="67">
        <v>0</v>
      </c>
      <c r="K4909" s="62">
        <v>4749</v>
      </c>
      <c r="L4909" s="33" t="e">
        <f>HLOOKUP(B4909,#REF!,1,0)</f>
        <v>#REF!</v>
      </c>
      <c r="M4909" s="33" t="str">
        <f t="shared" si="307"/>
        <v>P&amp;L</v>
      </c>
    </row>
    <row r="4910" spans="1:13" s="33" customFormat="true" ht="12.75" customHeight="true">
      <c r="A4910" s="33" t="str">
        <f t="shared" si="304"/>
        <v>FRM - CGS</v>
      </c>
      <c r="B4910" s="33" t="str">
        <f t="shared" si="305"/>
        <v>FRM</v>
      </c>
      <c r="C4910" s="33" t="str">
        <f t="shared" si="306"/>
        <v>50350-3001</v>
      </c>
      <c r="D4910" s="64" t="s">
        <v>5955</v>
      </c>
      <c r="E4910" s="64" t="s">
        <v>5948</v>
      </c>
      <c r="F4910" s="64" t="s">
        <v>1195</v>
      </c>
      <c r="G4910" s="64" t="s">
        <v>5940</v>
      </c>
      <c r="H4910" s="64" t="s">
        <v>1875</v>
      </c>
      <c r="I4910" s="64" t="s">
        <v>5949</v>
      </c>
      <c r="J4910" s="67">
        <v>9278.33</v>
      </c>
      <c r="K4910" s="62">
        <v>60533.24</v>
      </c>
      <c r="L4910" s="33" t="e">
        <f>HLOOKUP(B4910,#REF!,1,0)</f>
        <v>#REF!</v>
      </c>
      <c r="M4910" s="33" t="str">
        <f t="shared" si="307"/>
        <v>P&amp;L</v>
      </c>
    </row>
    <row r="4911" spans="1:13" s="33" customFormat="true" ht="12.75" customHeight="true">
      <c r="A4911" s="33" t="str">
        <f t="shared" si="304"/>
        <v>FRM - CGS</v>
      </c>
      <c r="B4911" s="33" t="str">
        <f t="shared" si="305"/>
        <v>FRM</v>
      </c>
      <c r="C4911" s="33" t="str">
        <f t="shared" si="306"/>
        <v>50350-3014</v>
      </c>
      <c r="D4911" s="64" t="s">
        <v>5956</v>
      </c>
      <c r="E4911" s="64" t="s">
        <v>5948</v>
      </c>
      <c r="F4911" s="64" t="s">
        <v>1195</v>
      </c>
      <c r="G4911" s="64" t="s">
        <v>5940</v>
      </c>
      <c r="H4911" s="64" t="s">
        <v>1875</v>
      </c>
      <c r="I4911" s="64" t="s">
        <v>5949</v>
      </c>
      <c r="J4911" s="67">
        <v>1637</v>
      </c>
      <c r="K4911" s="62">
        <v>14453.31</v>
      </c>
      <c r="L4911" s="33" t="e">
        <f>HLOOKUP(B4911,#REF!,1,0)</f>
        <v>#REF!</v>
      </c>
      <c r="M4911" s="33" t="str">
        <f t="shared" si="307"/>
        <v>P&amp;L</v>
      </c>
    </row>
    <row r="4912" spans="1:13" s="33" customFormat="true" ht="12.75" customHeight="true">
      <c r="A4912" s="33" t="str">
        <f t="shared" si="304"/>
        <v>FRM - CGS</v>
      </c>
      <c r="B4912" s="33" t="str">
        <f t="shared" si="305"/>
        <v>FRM</v>
      </c>
      <c r="C4912" s="33" t="str">
        <f t="shared" si="306"/>
        <v>50350-3016</v>
      </c>
      <c r="D4912" s="64" t="s">
        <v>5957</v>
      </c>
      <c r="E4912" s="64" t="s">
        <v>5948</v>
      </c>
      <c r="F4912" s="64" t="s">
        <v>1195</v>
      </c>
      <c r="G4912" s="64" t="s">
        <v>5940</v>
      </c>
      <c r="H4912" s="64" t="s">
        <v>1875</v>
      </c>
      <c r="I4912" s="64" t="s">
        <v>5949</v>
      </c>
      <c r="J4912" s="67">
        <v>1077.75</v>
      </c>
      <c r="K4912" s="62">
        <v>2880.86</v>
      </c>
      <c r="L4912" s="33" t="e">
        <f>HLOOKUP(B4912,#REF!,1,0)</f>
        <v>#REF!</v>
      </c>
      <c r="M4912" s="33" t="str">
        <f t="shared" si="307"/>
        <v>P&amp;L</v>
      </c>
    </row>
    <row r="4913" spans="1:13" s="33" customFormat="true" ht="12.75" customHeight="true">
      <c r="A4913" s="33" t="str">
        <f t="shared" si="304"/>
        <v>FRM - CGS</v>
      </c>
      <c r="B4913" s="33" t="str">
        <f t="shared" si="305"/>
        <v>FRM</v>
      </c>
      <c r="C4913" s="33" t="str">
        <f t="shared" si="306"/>
        <v>50350-4005</v>
      </c>
      <c r="D4913" s="64" t="s">
        <v>5958</v>
      </c>
      <c r="E4913" s="64" t="s">
        <v>5948</v>
      </c>
      <c r="F4913" s="64" t="s">
        <v>1195</v>
      </c>
      <c r="G4913" s="64" t="s">
        <v>5940</v>
      </c>
      <c r="H4913" s="64" t="s">
        <v>1875</v>
      </c>
      <c r="I4913" s="64" t="s">
        <v>5949</v>
      </c>
      <c r="J4913" s="67">
        <v>0</v>
      </c>
      <c r="K4913" s="62">
        <v>6260.11</v>
      </c>
      <c r="L4913" s="33" t="e">
        <f>HLOOKUP(B4913,#REF!,1,0)</f>
        <v>#REF!</v>
      </c>
      <c r="M4913" s="33" t="str">
        <f t="shared" si="307"/>
        <v>P&amp;L</v>
      </c>
    </row>
    <row r="4914" spans="1:13" s="33" customFormat="true" ht="12.75" customHeight="true">
      <c r="A4914" s="33" t="str">
        <f t="shared" si="304"/>
        <v>FRM - CGS</v>
      </c>
      <c r="B4914" s="33" t="str">
        <f t="shared" si="305"/>
        <v>FRM</v>
      </c>
      <c r="C4914" s="33" t="str">
        <f t="shared" si="306"/>
        <v>50400-0000</v>
      </c>
      <c r="D4914" s="64" t="s">
        <v>5959</v>
      </c>
      <c r="E4914" s="64" t="s">
        <v>3837</v>
      </c>
      <c r="F4914" s="64" t="s">
        <v>1195</v>
      </c>
      <c r="G4914" s="64" t="s">
        <v>5940</v>
      </c>
      <c r="H4914" s="64" t="s">
        <v>1875</v>
      </c>
      <c r="I4914" s="64" t="s">
        <v>5233</v>
      </c>
      <c r="J4914" s="67">
        <v>72.84</v>
      </c>
      <c r="K4914" s="62">
        <v>778.29</v>
      </c>
      <c r="L4914" s="33" t="e">
        <f>HLOOKUP(B4914,#REF!,1,0)</f>
        <v>#REF!</v>
      </c>
      <c r="M4914" s="33" t="str">
        <f t="shared" si="307"/>
        <v>P&amp;L</v>
      </c>
    </row>
    <row r="4915" spans="1:13" s="33" customFormat="true" ht="12.75" customHeight="true">
      <c r="A4915" s="33" t="str">
        <f t="shared" si="304"/>
        <v>FRM - CGS</v>
      </c>
      <c r="B4915" s="33" t="str">
        <f t="shared" si="305"/>
        <v>FRM</v>
      </c>
      <c r="C4915" s="33" t="str">
        <f t="shared" si="306"/>
        <v>52520-0000</v>
      </c>
      <c r="D4915" s="64" t="s">
        <v>5960</v>
      </c>
      <c r="E4915" s="64" t="s">
        <v>4017</v>
      </c>
      <c r="F4915" s="64" t="s">
        <v>1195</v>
      </c>
      <c r="G4915" s="64" t="s">
        <v>5940</v>
      </c>
      <c r="H4915" s="64" t="s">
        <v>1875</v>
      </c>
      <c r="I4915" s="64" t="s">
        <v>5961</v>
      </c>
      <c r="J4915" s="67">
        <v>0</v>
      </c>
      <c r="K4915" s="62">
        <v>18.48</v>
      </c>
      <c r="L4915" s="33" t="e">
        <f>HLOOKUP(B4915,#REF!,1,0)</f>
        <v>#REF!</v>
      </c>
      <c r="M4915" s="33" t="str">
        <f t="shared" si="307"/>
        <v>P&amp;L</v>
      </c>
    </row>
    <row r="4916" spans="1:13" s="33" customFormat="true" ht="12.75" customHeight="true">
      <c r="A4916" s="33" t="str">
        <f t="shared" si="304"/>
        <v>FRM - CGS</v>
      </c>
      <c r="B4916" s="33" t="str">
        <f t="shared" si="305"/>
        <v>FRM</v>
      </c>
      <c r="C4916" s="33" t="str">
        <f t="shared" si="306"/>
        <v>52520-1003</v>
      </c>
      <c r="D4916" s="64" t="s">
        <v>5962</v>
      </c>
      <c r="E4916" s="64" t="s">
        <v>4017</v>
      </c>
      <c r="F4916" s="64" t="s">
        <v>1195</v>
      </c>
      <c r="G4916" s="64" t="s">
        <v>5940</v>
      </c>
      <c r="H4916" s="64" t="s">
        <v>1875</v>
      </c>
      <c r="I4916" s="64" t="s">
        <v>5961</v>
      </c>
      <c r="J4916" s="67">
        <v>922.28</v>
      </c>
      <c r="K4916" s="62">
        <v>9185.82</v>
      </c>
      <c r="L4916" s="33" t="e">
        <f>HLOOKUP(B4916,#REF!,1,0)</f>
        <v>#REF!</v>
      </c>
      <c r="M4916" s="33" t="str">
        <f t="shared" si="307"/>
        <v>P&amp;L</v>
      </c>
    </row>
    <row r="4917" spans="1:13" s="33" customFormat="true" ht="12.75" customHeight="true">
      <c r="A4917" s="33" t="str">
        <f t="shared" si="304"/>
        <v>FRM - CGS</v>
      </c>
      <c r="B4917" s="33" t="str">
        <f t="shared" si="305"/>
        <v>FRM</v>
      </c>
      <c r="C4917" s="33" t="str">
        <f t="shared" si="306"/>
        <v>52520-1011</v>
      </c>
      <c r="D4917" s="64" t="s">
        <v>5963</v>
      </c>
      <c r="E4917" s="64" t="s">
        <v>4017</v>
      </c>
      <c r="F4917" s="64" t="s">
        <v>1195</v>
      </c>
      <c r="G4917" s="64" t="s">
        <v>5940</v>
      </c>
      <c r="H4917" s="64" t="s">
        <v>1875</v>
      </c>
      <c r="I4917" s="64" t="s">
        <v>5961</v>
      </c>
      <c r="J4917" s="67">
        <v>480.81</v>
      </c>
      <c r="K4917" s="62">
        <v>4818.15</v>
      </c>
      <c r="L4917" s="33" t="e">
        <f>HLOOKUP(B4917,#REF!,1,0)</f>
        <v>#REF!</v>
      </c>
      <c r="M4917" s="33" t="str">
        <f t="shared" si="307"/>
        <v>P&amp;L</v>
      </c>
    </row>
    <row r="4918" spans="1:13" s="33" customFormat="true" ht="12.75" customHeight="true">
      <c r="A4918" s="33" t="str">
        <f t="shared" si="304"/>
        <v>FRM - CGS</v>
      </c>
      <c r="B4918" s="33" t="str">
        <f t="shared" si="305"/>
        <v>FRM</v>
      </c>
      <c r="C4918" s="33" t="str">
        <f t="shared" si="306"/>
        <v>52520-1017</v>
      </c>
      <c r="D4918" s="64" t="s">
        <v>5964</v>
      </c>
      <c r="E4918" s="64" t="s">
        <v>4017</v>
      </c>
      <c r="F4918" s="64" t="s">
        <v>1195</v>
      </c>
      <c r="G4918" s="64" t="s">
        <v>5940</v>
      </c>
      <c r="H4918" s="64" t="s">
        <v>1875</v>
      </c>
      <c r="I4918" s="64" t="s">
        <v>5961</v>
      </c>
      <c r="J4918" s="67">
        <v>461.32</v>
      </c>
      <c r="K4918" s="62">
        <v>4652.04</v>
      </c>
      <c r="L4918" s="33" t="e">
        <f>HLOOKUP(B4918,#REF!,1,0)</f>
        <v>#REF!</v>
      </c>
      <c r="M4918" s="33" t="str">
        <f t="shared" si="307"/>
        <v>P&amp;L</v>
      </c>
    </row>
    <row r="4919" spans="1:13" s="33" customFormat="true" ht="12.75" customHeight="true">
      <c r="A4919" s="33" t="str">
        <f t="shared" si="304"/>
        <v>FRM - CGS</v>
      </c>
      <c r="B4919" s="33" t="str">
        <f t="shared" si="305"/>
        <v>FRM</v>
      </c>
      <c r="C4919" s="33" t="str">
        <f t="shared" si="306"/>
        <v>52520-3001</v>
      </c>
      <c r="D4919" s="64" t="s">
        <v>5965</v>
      </c>
      <c r="E4919" s="64" t="s">
        <v>4017</v>
      </c>
      <c r="F4919" s="64" t="s">
        <v>1195</v>
      </c>
      <c r="G4919" s="64" t="s">
        <v>5940</v>
      </c>
      <c r="H4919" s="64" t="s">
        <v>1875</v>
      </c>
      <c r="I4919" s="64" t="s">
        <v>5961</v>
      </c>
      <c r="J4919" s="67">
        <v>769.81</v>
      </c>
      <c r="K4919" s="62">
        <v>7686.19</v>
      </c>
      <c r="L4919" s="33" t="e">
        <f>HLOOKUP(B4919,#REF!,1,0)</f>
        <v>#REF!</v>
      </c>
      <c r="M4919" s="33" t="str">
        <f t="shared" si="307"/>
        <v>P&amp;L</v>
      </c>
    </row>
    <row r="4920" spans="1:13" s="33" customFormat="true" ht="12.75" customHeight="true">
      <c r="A4920" s="33" t="str">
        <f t="shared" si="304"/>
        <v>FRM - CGS</v>
      </c>
      <c r="B4920" s="33" t="str">
        <f t="shared" si="305"/>
        <v>FRM</v>
      </c>
      <c r="C4920" s="33" t="str">
        <f t="shared" si="306"/>
        <v>52530-0000</v>
      </c>
      <c r="D4920" s="64" t="s">
        <v>5966</v>
      </c>
      <c r="E4920" s="64" t="s">
        <v>4017</v>
      </c>
      <c r="F4920" s="64" t="s">
        <v>1195</v>
      </c>
      <c r="G4920" s="64" t="s">
        <v>5940</v>
      </c>
      <c r="H4920" s="64" t="s">
        <v>1875</v>
      </c>
      <c r="I4920" s="64" t="s">
        <v>5961</v>
      </c>
      <c r="J4920" s="67">
        <v>-158.45</v>
      </c>
      <c r="K4920" s="62">
        <v>-1688.72</v>
      </c>
      <c r="L4920" s="33" t="e">
        <f>HLOOKUP(B4920,#REF!,1,0)</f>
        <v>#REF!</v>
      </c>
      <c r="M4920" s="33" t="str">
        <f t="shared" si="307"/>
        <v>P&amp;L</v>
      </c>
    </row>
    <row r="4921" spans="1:13" s="33" customFormat="true" ht="12.75" customHeight="true">
      <c r="A4921" s="33" t="str">
        <f t="shared" si="304"/>
        <v>FRM - CGS</v>
      </c>
      <c r="B4921" s="33" t="str">
        <f t="shared" si="305"/>
        <v>FRM</v>
      </c>
      <c r="C4921" s="33" t="str">
        <f t="shared" si="306"/>
        <v>52530-1003</v>
      </c>
      <c r="D4921" s="64" t="s">
        <v>5967</v>
      </c>
      <c r="E4921" s="64" t="s">
        <v>4017</v>
      </c>
      <c r="F4921" s="64" t="s">
        <v>1195</v>
      </c>
      <c r="G4921" s="64" t="s">
        <v>5940</v>
      </c>
      <c r="H4921" s="64" t="s">
        <v>1875</v>
      </c>
      <c r="I4921" s="64" t="s">
        <v>5961</v>
      </c>
      <c r="J4921" s="67">
        <v>-234.2</v>
      </c>
      <c r="K4921" s="62">
        <v>-2576.2</v>
      </c>
      <c r="L4921" s="33" t="e">
        <f>HLOOKUP(B4921,#REF!,1,0)</f>
        <v>#REF!</v>
      </c>
      <c r="M4921" s="33" t="str">
        <f t="shared" si="307"/>
        <v>P&amp;L</v>
      </c>
    </row>
    <row r="4922" spans="1:13" s="33" customFormat="true" ht="12.75" customHeight="true">
      <c r="A4922" s="33" t="str">
        <f t="shared" si="304"/>
        <v>FRM - CGS</v>
      </c>
      <c r="B4922" s="33" t="str">
        <f t="shared" si="305"/>
        <v>FRM</v>
      </c>
      <c r="C4922" s="33" t="str">
        <f t="shared" si="306"/>
        <v>52530-1011</v>
      </c>
      <c r="D4922" s="64" t="s">
        <v>5968</v>
      </c>
      <c r="E4922" s="64" t="s">
        <v>4017</v>
      </c>
      <c r="F4922" s="64" t="s">
        <v>1195</v>
      </c>
      <c r="G4922" s="64" t="s">
        <v>5940</v>
      </c>
      <c r="H4922" s="64" t="s">
        <v>1875</v>
      </c>
      <c r="I4922" s="64" t="s">
        <v>5961</v>
      </c>
      <c r="J4922" s="67">
        <v>-158.65</v>
      </c>
      <c r="K4922" s="62">
        <v>-1707.19</v>
      </c>
      <c r="L4922" s="33" t="e">
        <f>HLOOKUP(B4922,#REF!,1,0)</f>
        <v>#REF!</v>
      </c>
      <c r="M4922" s="33" t="str">
        <f t="shared" si="307"/>
        <v>P&amp;L</v>
      </c>
    </row>
    <row r="4923" spans="1:13" s="33" customFormat="true" ht="12.75" customHeight="true">
      <c r="A4923" s="33" t="str">
        <f t="shared" si="304"/>
        <v>FRM - CGS</v>
      </c>
      <c r="B4923" s="33" t="str">
        <f t="shared" si="305"/>
        <v>FRM</v>
      </c>
      <c r="C4923" s="33" t="str">
        <f t="shared" si="306"/>
        <v>52530-3001</v>
      </c>
      <c r="D4923" s="64" t="s">
        <v>5969</v>
      </c>
      <c r="E4923" s="64" t="s">
        <v>4017</v>
      </c>
      <c r="F4923" s="64" t="s">
        <v>1195</v>
      </c>
      <c r="G4923" s="64" t="s">
        <v>5940</v>
      </c>
      <c r="H4923" s="64" t="s">
        <v>1875</v>
      </c>
      <c r="I4923" s="64" t="s">
        <v>5961</v>
      </c>
      <c r="J4923" s="67">
        <v>-156.49</v>
      </c>
      <c r="K4923" s="62">
        <v>-1868.89</v>
      </c>
      <c r="L4923" s="33" t="e">
        <f>HLOOKUP(B4923,#REF!,1,0)</f>
        <v>#REF!</v>
      </c>
      <c r="M4923" s="33" t="str">
        <f t="shared" si="307"/>
        <v>P&amp;L</v>
      </c>
    </row>
    <row r="4924" spans="1:13" s="33" customFormat="true" ht="12.75" customHeight="true">
      <c r="A4924" s="33" t="str">
        <f t="shared" si="304"/>
        <v>FRM - CGS</v>
      </c>
      <c r="B4924" s="33" t="str">
        <f t="shared" si="305"/>
        <v>FRM</v>
      </c>
      <c r="C4924" s="33" t="str">
        <f t="shared" si="306"/>
        <v>53500-0000</v>
      </c>
      <c r="D4924" s="64" t="s">
        <v>5970</v>
      </c>
      <c r="E4924" s="64" t="s">
        <v>3288</v>
      </c>
      <c r="F4924" s="64" t="s">
        <v>1195</v>
      </c>
      <c r="G4924" s="64" t="s">
        <v>5940</v>
      </c>
      <c r="H4924" s="64" t="s">
        <v>1875</v>
      </c>
      <c r="I4924" s="64" t="s">
        <v>5971</v>
      </c>
      <c r="J4924" s="67">
        <v>302.01</v>
      </c>
      <c r="K4924" s="62">
        <v>4795.69</v>
      </c>
      <c r="L4924" s="33" t="e">
        <f>HLOOKUP(B4924,#REF!,1,0)</f>
        <v>#REF!</v>
      </c>
      <c r="M4924" s="33" t="str">
        <f t="shared" si="307"/>
        <v>P&amp;L</v>
      </c>
    </row>
    <row r="4925" spans="1:13" s="33" customFormat="true" ht="12.75" customHeight="true">
      <c r="A4925" s="33" t="str">
        <f t="shared" si="304"/>
        <v>FRM - CGS</v>
      </c>
      <c r="B4925" s="33" t="str">
        <f t="shared" si="305"/>
        <v>FRM</v>
      </c>
      <c r="C4925" s="33" t="str">
        <f t="shared" si="306"/>
        <v>53905-0000</v>
      </c>
      <c r="D4925" s="64" t="s">
        <v>5972</v>
      </c>
      <c r="E4925" s="64" t="s">
        <v>5973</v>
      </c>
      <c r="F4925" s="64" t="s">
        <v>1195</v>
      </c>
      <c r="G4925" s="64" t="s">
        <v>5940</v>
      </c>
      <c r="H4925" s="64" t="s">
        <v>1875</v>
      </c>
      <c r="I4925" s="64" t="s">
        <v>5974</v>
      </c>
      <c r="J4925" s="67">
        <v>3101.57</v>
      </c>
      <c r="K4925" s="62">
        <v>31015.7</v>
      </c>
      <c r="L4925" s="33" t="e">
        <f>HLOOKUP(B4925,#REF!,1,0)</f>
        <v>#REF!</v>
      </c>
      <c r="M4925" s="33" t="str">
        <f t="shared" si="307"/>
        <v>P&amp;L</v>
      </c>
    </row>
    <row r="4926" spans="1:13" s="33" customFormat="true" ht="12.75" customHeight="true">
      <c r="A4926" s="33" t="str">
        <f t="shared" si="304"/>
        <v>FRM - CGS</v>
      </c>
      <c r="B4926" s="33" t="str">
        <f t="shared" si="305"/>
        <v>FRM</v>
      </c>
      <c r="C4926" s="33" t="str">
        <f t="shared" si="306"/>
        <v>55500-0000</v>
      </c>
      <c r="D4926" s="64" t="s">
        <v>5975</v>
      </c>
      <c r="E4926" s="64" t="s">
        <v>3226</v>
      </c>
      <c r="F4926" s="64" t="s">
        <v>1195</v>
      </c>
      <c r="G4926" s="64" t="s">
        <v>5940</v>
      </c>
      <c r="H4926" s="64" t="s">
        <v>1875</v>
      </c>
      <c r="I4926" s="64" t="s">
        <v>5976</v>
      </c>
      <c r="J4926" s="67">
        <v>32.7</v>
      </c>
      <c r="K4926" s="62">
        <v>6085.72</v>
      </c>
      <c r="L4926" s="33" t="e">
        <f>HLOOKUP(B4926,#REF!,1,0)</f>
        <v>#REF!</v>
      </c>
      <c r="M4926" s="33" t="str">
        <f t="shared" si="307"/>
        <v>P&amp;L</v>
      </c>
    </row>
    <row r="4927" spans="1:13" s="33" customFormat="true" ht="12.75" customHeight="true">
      <c r="A4927" s="33" t="str">
        <f t="shared" si="304"/>
        <v>FRM - CGS</v>
      </c>
      <c r="B4927" s="33" t="str">
        <f t="shared" si="305"/>
        <v>FRM</v>
      </c>
      <c r="C4927" s="33" t="str">
        <f t="shared" si="306"/>
        <v>56100-0000</v>
      </c>
      <c r="D4927" s="64" t="s">
        <v>5977</v>
      </c>
      <c r="E4927" s="64" t="s">
        <v>5978</v>
      </c>
      <c r="F4927" s="64" t="s">
        <v>1195</v>
      </c>
      <c r="G4927" s="64" t="s">
        <v>5940</v>
      </c>
      <c r="H4927" s="64" t="s">
        <v>1875</v>
      </c>
      <c r="I4927" s="64" t="s">
        <v>5976</v>
      </c>
      <c r="J4927" s="67">
        <v>1183.96</v>
      </c>
      <c r="K4927" s="62">
        <v>9400.36</v>
      </c>
      <c r="L4927" s="33" t="e">
        <f>HLOOKUP(B4927,#REF!,1,0)</f>
        <v>#REF!</v>
      </c>
      <c r="M4927" s="33" t="str">
        <f t="shared" si="307"/>
        <v>P&amp;L</v>
      </c>
    </row>
    <row r="4928" spans="1:13" s="33" customFormat="true" ht="12.75" customHeight="true">
      <c r="A4928" s="33" t="str">
        <f t="shared" si="304"/>
        <v>FRM - CGS</v>
      </c>
      <c r="B4928" s="33" t="str">
        <f t="shared" si="305"/>
        <v>FRM</v>
      </c>
      <c r="C4928" s="33" t="str">
        <f t="shared" si="306"/>
        <v>56900-0000</v>
      </c>
      <c r="D4928" s="64" t="s">
        <v>5979</v>
      </c>
      <c r="E4928" s="64" t="s">
        <v>1873</v>
      </c>
      <c r="F4928" s="64" t="s">
        <v>1195</v>
      </c>
      <c r="G4928" s="64" t="s">
        <v>5940</v>
      </c>
      <c r="H4928" s="64" t="s">
        <v>1875</v>
      </c>
      <c r="I4928" s="64" t="s">
        <v>5980</v>
      </c>
      <c r="J4928" s="67">
        <v>0</v>
      </c>
      <c r="K4928" s="62">
        <v>95.7</v>
      </c>
      <c r="L4928" s="33" t="e">
        <f>HLOOKUP(B4928,#REF!,1,0)</f>
        <v>#REF!</v>
      </c>
      <c r="M4928" s="33" t="str">
        <f t="shared" si="307"/>
        <v>P&amp;L</v>
      </c>
    </row>
    <row r="4929" spans="1:13" s="33" customFormat="true" ht="12.75" customHeight="true">
      <c r="A4929" s="33" t="str">
        <f t="shared" si="304"/>
        <v>FRM - CGS</v>
      </c>
      <c r="B4929" s="33" t="str">
        <f t="shared" si="305"/>
        <v>FRM</v>
      </c>
      <c r="C4929" s="33" t="str">
        <f t="shared" si="306"/>
        <v>56950-0000</v>
      </c>
      <c r="D4929" s="64" t="s">
        <v>5981</v>
      </c>
      <c r="E4929" s="64" t="s">
        <v>3809</v>
      </c>
      <c r="F4929" s="64" t="s">
        <v>1195</v>
      </c>
      <c r="G4929" s="64" t="s">
        <v>5940</v>
      </c>
      <c r="H4929" s="64" t="s">
        <v>1875</v>
      </c>
      <c r="I4929" s="64" t="s">
        <v>5233</v>
      </c>
      <c r="J4929" s="67">
        <v>231.44</v>
      </c>
      <c r="K4929" s="62">
        <v>2927.7</v>
      </c>
      <c r="L4929" s="33" t="e">
        <f>HLOOKUP(B4929,#REF!,1,0)</f>
        <v>#REF!</v>
      </c>
      <c r="M4929" s="33" t="str">
        <f t="shared" si="307"/>
        <v>P&amp;L</v>
      </c>
    </row>
    <row r="4930" spans="1:13" s="33" customFormat="true" ht="12.75" customHeight="true">
      <c r="A4930" s="33" t="str">
        <f t="shared" ref="A4930:A4993" si="308">B4930&amp;" - "&amp;TRIM(H4930)</f>
        <v>FRM - CGS</v>
      </c>
      <c r="B4930" s="33" t="str">
        <f t="shared" ref="B4930:B4993" si="309">LEFT(D4930,3)</f>
        <v>FRM</v>
      </c>
      <c r="C4930" s="33" t="str">
        <f t="shared" ref="C4930:C4993" si="310">RIGHT(D4930,10)</f>
        <v>57000-0000</v>
      </c>
      <c r="D4930" s="64" t="s">
        <v>5982</v>
      </c>
      <c r="E4930" s="64" t="s">
        <v>3812</v>
      </c>
      <c r="F4930" s="64" t="s">
        <v>1195</v>
      </c>
      <c r="G4930" s="64" t="s">
        <v>5940</v>
      </c>
      <c r="H4930" s="64" t="s">
        <v>1875</v>
      </c>
      <c r="I4930" s="64" t="s">
        <v>4494</v>
      </c>
      <c r="J4930" s="67">
        <v>388.34</v>
      </c>
      <c r="K4930" s="62">
        <v>4039.22</v>
      </c>
      <c r="L4930" s="33" t="e">
        <f>HLOOKUP(B4930,#REF!,1,0)</f>
        <v>#REF!</v>
      </c>
      <c r="M4930" s="33" t="str">
        <f t="shared" ref="M4930:M4993" si="311">IF(VALUE(LEFT(C4930,5))&gt;40000,"P&amp;L","BS")</f>
        <v>P&amp;L</v>
      </c>
    </row>
    <row r="4931" spans="1:13" s="33" customFormat="true" ht="12.75" customHeight="true">
      <c r="A4931" s="33" t="str">
        <f t="shared" si="308"/>
        <v>FRM - CGS</v>
      </c>
      <c r="B4931" s="33" t="str">
        <f t="shared" si="309"/>
        <v>FRM</v>
      </c>
      <c r="C4931" s="33" t="str">
        <f t="shared" si="310"/>
        <v>57000-1003</v>
      </c>
      <c r="D4931" s="64" t="s">
        <v>5983</v>
      </c>
      <c r="E4931" s="64" t="s">
        <v>3812</v>
      </c>
      <c r="F4931" s="64" t="s">
        <v>1195</v>
      </c>
      <c r="G4931" s="64" t="s">
        <v>5940</v>
      </c>
      <c r="H4931" s="64" t="s">
        <v>1875</v>
      </c>
      <c r="I4931" s="64" t="s">
        <v>4494</v>
      </c>
      <c r="J4931" s="67">
        <v>441.58</v>
      </c>
      <c r="K4931" s="62">
        <v>5228.9</v>
      </c>
      <c r="L4931" s="33" t="e">
        <f>HLOOKUP(B4931,#REF!,1,0)</f>
        <v>#REF!</v>
      </c>
      <c r="M4931" s="33" t="str">
        <f t="shared" si="311"/>
        <v>P&amp;L</v>
      </c>
    </row>
    <row r="4932" spans="1:13" s="33" customFormat="true" ht="12.75" customHeight="true">
      <c r="A4932" s="33" t="str">
        <f t="shared" si="308"/>
        <v>FRM - CGS</v>
      </c>
      <c r="B4932" s="33" t="str">
        <f t="shared" si="309"/>
        <v>FRM</v>
      </c>
      <c r="C4932" s="33" t="str">
        <f t="shared" si="310"/>
        <v>57000-1011</v>
      </c>
      <c r="D4932" s="64" t="s">
        <v>5984</v>
      </c>
      <c r="E4932" s="64" t="s">
        <v>3812</v>
      </c>
      <c r="F4932" s="64" t="s">
        <v>1195</v>
      </c>
      <c r="G4932" s="64" t="s">
        <v>5940</v>
      </c>
      <c r="H4932" s="64" t="s">
        <v>1875</v>
      </c>
      <c r="I4932" s="64" t="s">
        <v>4494</v>
      </c>
      <c r="J4932" s="67">
        <v>396.48</v>
      </c>
      <c r="K4932" s="62">
        <v>4242.42</v>
      </c>
      <c r="L4932" s="33" t="e">
        <f>HLOOKUP(B4932,#REF!,1,0)</f>
        <v>#REF!</v>
      </c>
      <c r="M4932" s="33" t="str">
        <f t="shared" si="311"/>
        <v>P&amp;L</v>
      </c>
    </row>
    <row r="4933" spans="1:13" s="33" customFormat="true" ht="12.75" customHeight="true">
      <c r="A4933" s="33" t="str">
        <f t="shared" si="308"/>
        <v>FRM - CGS</v>
      </c>
      <c r="B4933" s="33" t="str">
        <f t="shared" si="309"/>
        <v>FRM</v>
      </c>
      <c r="C4933" s="33" t="str">
        <f t="shared" si="310"/>
        <v>57000-3001</v>
      </c>
      <c r="D4933" s="64" t="s">
        <v>5985</v>
      </c>
      <c r="E4933" s="64" t="s">
        <v>3812</v>
      </c>
      <c r="F4933" s="64" t="s">
        <v>1195</v>
      </c>
      <c r="G4933" s="64" t="s">
        <v>5940</v>
      </c>
      <c r="H4933" s="64" t="s">
        <v>1875</v>
      </c>
      <c r="I4933" s="64" t="s">
        <v>4494</v>
      </c>
      <c r="J4933" s="67">
        <v>311.33</v>
      </c>
      <c r="K4933" s="62">
        <v>3193.71</v>
      </c>
      <c r="L4933" s="33" t="e">
        <f>HLOOKUP(B4933,#REF!,1,0)</f>
        <v>#REF!</v>
      </c>
      <c r="M4933" s="33" t="str">
        <f t="shared" si="311"/>
        <v>P&amp;L</v>
      </c>
    </row>
    <row r="4934" spans="1:13" s="33" customFormat="true" ht="12.75" customHeight="true">
      <c r="A4934" s="33" t="str">
        <f t="shared" si="308"/>
        <v>FRM - CGS</v>
      </c>
      <c r="B4934" s="33" t="str">
        <f t="shared" si="309"/>
        <v>FRM</v>
      </c>
      <c r="C4934" s="33" t="str">
        <f t="shared" si="310"/>
        <v>57000-3014</v>
      </c>
      <c r="D4934" s="64" t="s">
        <v>5986</v>
      </c>
      <c r="E4934" s="64" t="s">
        <v>3812</v>
      </c>
      <c r="F4934" s="64" t="s">
        <v>1195</v>
      </c>
      <c r="G4934" s="64" t="s">
        <v>5940</v>
      </c>
      <c r="H4934" s="64" t="s">
        <v>1875</v>
      </c>
      <c r="I4934" s="64" t="s">
        <v>4494</v>
      </c>
      <c r="J4934" s="67">
        <v>0</v>
      </c>
      <c r="K4934" s="62">
        <v>1126.62</v>
      </c>
      <c r="L4934" s="33" t="e">
        <f>HLOOKUP(B4934,#REF!,1,0)</f>
        <v>#REF!</v>
      </c>
      <c r="M4934" s="33" t="str">
        <f t="shared" si="311"/>
        <v>P&amp;L</v>
      </c>
    </row>
    <row r="4935" spans="1:13" s="33" customFormat="true" ht="12.75" customHeight="true">
      <c r="A4935" s="33" t="str">
        <f t="shared" si="308"/>
        <v>FRM - CGS</v>
      </c>
      <c r="B4935" s="33" t="str">
        <f t="shared" si="309"/>
        <v>FRM</v>
      </c>
      <c r="C4935" s="33" t="str">
        <f t="shared" si="310"/>
        <v>57000-3016</v>
      </c>
      <c r="D4935" s="64" t="s">
        <v>5987</v>
      </c>
      <c r="E4935" s="64" t="s">
        <v>3812</v>
      </c>
      <c r="F4935" s="64" t="s">
        <v>1195</v>
      </c>
      <c r="G4935" s="64" t="s">
        <v>5940</v>
      </c>
      <c r="H4935" s="64" t="s">
        <v>1875</v>
      </c>
      <c r="I4935" s="64" t="s">
        <v>4494</v>
      </c>
      <c r="J4935" s="67">
        <v>228.35</v>
      </c>
      <c r="K4935" s="62">
        <v>496.87</v>
      </c>
      <c r="L4935" s="33" t="e">
        <f>HLOOKUP(B4935,#REF!,1,0)</f>
        <v>#REF!</v>
      </c>
      <c r="M4935" s="33" t="str">
        <f t="shared" si="311"/>
        <v>P&amp;L</v>
      </c>
    </row>
    <row r="4936" spans="1:13" s="33" customFormat="true" ht="12.75" customHeight="true">
      <c r="A4936" s="33" t="str">
        <f t="shared" si="308"/>
        <v>FRM - CGS</v>
      </c>
      <c r="B4936" s="33" t="str">
        <f t="shared" si="309"/>
        <v>FRM</v>
      </c>
      <c r="C4936" s="33" t="str">
        <f t="shared" si="310"/>
        <v>57000-4005</v>
      </c>
      <c r="D4936" s="64" t="s">
        <v>5988</v>
      </c>
      <c r="E4936" s="64" t="s">
        <v>3812</v>
      </c>
      <c r="F4936" s="64" t="s">
        <v>1195</v>
      </c>
      <c r="G4936" s="64" t="s">
        <v>5940</v>
      </c>
      <c r="H4936" s="64" t="s">
        <v>1875</v>
      </c>
      <c r="I4936" s="64" t="s">
        <v>4494</v>
      </c>
      <c r="J4936" s="67">
        <v>0</v>
      </c>
      <c r="K4936" s="62">
        <v>1117.2</v>
      </c>
      <c r="L4936" s="33" t="e">
        <f>HLOOKUP(B4936,#REF!,1,0)</f>
        <v>#REF!</v>
      </c>
      <c r="M4936" s="33" t="str">
        <f t="shared" si="311"/>
        <v>P&amp;L</v>
      </c>
    </row>
    <row r="4937" spans="1:13" s="33" customFormat="true" ht="12.75" customHeight="true">
      <c r="A4937" s="33" t="str">
        <f t="shared" si="308"/>
        <v>FRM - CGS</v>
      </c>
      <c r="B4937" s="33" t="str">
        <f t="shared" si="309"/>
        <v>FRM</v>
      </c>
      <c r="C4937" s="33" t="str">
        <f t="shared" si="310"/>
        <v>57900-0000</v>
      </c>
      <c r="D4937" s="64" t="s">
        <v>5989</v>
      </c>
      <c r="E4937" s="64" t="s">
        <v>4425</v>
      </c>
      <c r="F4937" s="64" t="s">
        <v>1195</v>
      </c>
      <c r="G4937" s="64" t="s">
        <v>4426</v>
      </c>
      <c r="H4937" s="64" t="s">
        <v>1875</v>
      </c>
      <c r="I4937" s="64" t="s">
        <v>4427</v>
      </c>
      <c r="J4937" s="67">
        <v>7</v>
      </c>
      <c r="K4937" s="62">
        <v>2359.17</v>
      </c>
      <c r="L4937" s="33" t="e">
        <f>HLOOKUP(B4937,#REF!,1,0)</f>
        <v>#REF!</v>
      </c>
      <c r="M4937" s="33" t="str">
        <f t="shared" si="311"/>
        <v>P&amp;L</v>
      </c>
    </row>
    <row r="4938" spans="1:13" s="33" customFormat="true" ht="12.75" customHeight="true">
      <c r="A4938" s="33" t="str">
        <f t="shared" si="308"/>
        <v>FRM - CGS</v>
      </c>
      <c r="B4938" s="33" t="str">
        <f t="shared" si="309"/>
        <v>FRM</v>
      </c>
      <c r="C4938" s="33" t="str">
        <f t="shared" si="310"/>
        <v>59100-0000</v>
      </c>
      <c r="D4938" s="64" t="s">
        <v>5990</v>
      </c>
      <c r="E4938" s="64" t="s">
        <v>4489</v>
      </c>
      <c r="F4938" s="64" t="s">
        <v>1195</v>
      </c>
      <c r="G4938" s="64" t="s">
        <v>5940</v>
      </c>
      <c r="H4938" s="64" t="s">
        <v>1875</v>
      </c>
      <c r="I4938" s="64" t="s">
        <v>5980</v>
      </c>
      <c r="J4938" s="67">
        <v>5229.22</v>
      </c>
      <c r="K4938" s="62">
        <v>52668.37</v>
      </c>
      <c r="L4938" s="33" t="e">
        <f>HLOOKUP(B4938,#REF!,1,0)</f>
        <v>#REF!</v>
      </c>
      <c r="M4938" s="33" t="str">
        <f t="shared" si="311"/>
        <v>P&amp;L</v>
      </c>
    </row>
    <row r="4939" spans="1:13" s="33" customFormat="true" ht="12.75" customHeight="true">
      <c r="A4939" s="33" t="str">
        <f t="shared" si="308"/>
        <v>FRM - CGS</v>
      </c>
      <c r="B4939" s="33" t="str">
        <f t="shared" si="309"/>
        <v>FRM</v>
      </c>
      <c r="C4939" s="33" t="str">
        <f t="shared" si="310"/>
        <v>59100-1003</v>
      </c>
      <c r="D4939" s="64" t="s">
        <v>5991</v>
      </c>
      <c r="E4939" s="64" t="s">
        <v>4489</v>
      </c>
      <c r="F4939" s="64" t="s">
        <v>1195</v>
      </c>
      <c r="G4939" s="64" t="s">
        <v>5940</v>
      </c>
      <c r="H4939" s="64" t="s">
        <v>1875</v>
      </c>
      <c r="I4939" s="64" t="s">
        <v>5980</v>
      </c>
      <c r="J4939" s="67">
        <v>5160</v>
      </c>
      <c r="K4939" s="62">
        <v>45147.9</v>
      </c>
      <c r="L4939" s="33" t="e">
        <f>HLOOKUP(B4939,#REF!,1,0)</f>
        <v>#REF!</v>
      </c>
      <c r="M4939" s="33" t="str">
        <f t="shared" si="311"/>
        <v>P&amp;L</v>
      </c>
    </row>
    <row r="4940" spans="1:13" s="33" customFormat="true" ht="12.75" customHeight="true">
      <c r="A4940" s="33" t="str">
        <f t="shared" si="308"/>
        <v>FRM - CGS</v>
      </c>
      <c r="B4940" s="33" t="str">
        <f t="shared" si="309"/>
        <v>FRM</v>
      </c>
      <c r="C4940" s="33" t="str">
        <f t="shared" si="310"/>
        <v>59100-1011</v>
      </c>
      <c r="D4940" s="64" t="s">
        <v>5992</v>
      </c>
      <c r="E4940" s="64" t="s">
        <v>4489</v>
      </c>
      <c r="F4940" s="64" t="s">
        <v>1195</v>
      </c>
      <c r="G4940" s="64" t="s">
        <v>5940</v>
      </c>
      <c r="H4940" s="64" t="s">
        <v>1875</v>
      </c>
      <c r="I4940" s="64" t="s">
        <v>5980</v>
      </c>
      <c r="J4940" s="67">
        <v>4006.88</v>
      </c>
      <c r="K4940" s="62">
        <v>39204.97</v>
      </c>
      <c r="L4940" s="33" t="e">
        <f>HLOOKUP(B4940,#REF!,1,0)</f>
        <v>#REF!</v>
      </c>
      <c r="M4940" s="33" t="str">
        <f t="shared" si="311"/>
        <v>P&amp;L</v>
      </c>
    </row>
    <row r="4941" spans="1:13" s="33" customFormat="true" ht="12.75" customHeight="true">
      <c r="A4941" s="33" t="str">
        <f t="shared" si="308"/>
        <v>FRM - CGS</v>
      </c>
      <c r="B4941" s="33" t="str">
        <f t="shared" si="309"/>
        <v>FRM</v>
      </c>
      <c r="C4941" s="33" t="str">
        <f t="shared" si="310"/>
        <v>59100-3001</v>
      </c>
      <c r="D4941" s="64" t="s">
        <v>5993</v>
      </c>
      <c r="E4941" s="64" t="s">
        <v>4489</v>
      </c>
      <c r="F4941" s="64" t="s">
        <v>1195</v>
      </c>
      <c r="G4941" s="64" t="s">
        <v>5940</v>
      </c>
      <c r="H4941" s="64" t="s">
        <v>1875</v>
      </c>
      <c r="I4941" s="64" t="s">
        <v>5980</v>
      </c>
      <c r="J4941" s="67">
        <v>3010</v>
      </c>
      <c r="K4941" s="62">
        <v>29877.6</v>
      </c>
      <c r="L4941" s="33" t="e">
        <f>HLOOKUP(B4941,#REF!,1,0)</f>
        <v>#REF!</v>
      </c>
      <c r="M4941" s="33" t="str">
        <f t="shared" si="311"/>
        <v>P&amp;L</v>
      </c>
    </row>
    <row r="4942" spans="1:13" s="33" customFormat="true" ht="12.75" customHeight="true">
      <c r="A4942" s="33" t="str">
        <f t="shared" si="308"/>
        <v>FRM - CGS</v>
      </c>
      <c r="B4942" s="33" t="str">
        <f t="shared" si="309"/>
        <v>FRM</v>
      </c>
      <c r="C4942" s="33" t="str">
        <f t="shared" si="310"/>
        <v>59100-3014</v>
      </c>
      <c r="D4942" s="64" t="s">
        <v>5994</v>
      </c>
      <c r="E4942" s="64" t="s">
        <v>4489</v>
      </c>
      <c r="F4942" s="64" t="s">
        <v>1195</v>
      </c>
      <c r="G4942" s="64" t="s">
        <v>5940</v>
      </c>
      <c r="H4942" s="64" t="s">
        <v>1875</v>
      </c>
      <c r="I4942" s="64" t="s">
        <v>5980</v>
      </c>
      <c r="J4942" s="67">
        <v>0</v>
      </c>
      <c r="K4942" s="62">
        <v>11077</v>
      </c>
      <c r="L4942" s="33" t="e">
        <f>HLOOKUP(B4942,#REF!,1,0)</f>
        <v>#REF!</v>
      </c>
      <c r="M4942" s="33" t="str">
        <f t="shared" si="311"/>
        <v>P&amp;L</v>
      </c>
    </row>
    <row r="4943" spans="1:13" s="33" customFormat="true" ht="12.75" customHeight="true">
      <c r="A4943" s="33" t="str">
        <f t="shared" si="308"/>
        <v>FRM - CGS</v>
      </c>
      <c r="B4943" s="33" t="str">
        <f t="shared" si="309"/>
        <v>FRM</v>
      </c>
      <c r="C4943" s="33" t="str">
        <f t="shared" si="310"/>
        <v>59100-3016</v>
      </c>
      <c r="D4943" s="64" t="s">
        <v>5995</v>
      </c>
      <c r="E4943" s="64" t="s">
        <v>4489</v>
      </c>
      <c r="F4943" s="64" t="s">
        <v>1195</v>
      </c>
      <c r="G4943" s="64" t="s">
        <v>5940</v>
      </c>
      <c r="H4943" s="64" t="s">
        <v>1875</v>
      </c>
      <c r="I4943" s="64" t="s">
        <v>5980</v>
      </c>
      <c r="J4943" s="67">
        <v>2760</v>
      </c>
      <c r="K4943" s="62">
        <v>5320</v>
      </c>
      <c r="L4943" s="33" t="e">
        <f>HLOOKUP(B4943,#REF!,1,0)</f>
        <v>#REF!</v>
      </c>
      <c r="M4943" s="33" t="str">
        <f t="shared" si="311"/>
        <v>P&amp;L</v>
      </c>
    </row>
    <row r="4944" spans="1:13" s="33" customFormat="true" ht="12.75" customHeight="true">
      <c r="A4944" s="33" t="str">
        <f t="shared" si="308"/>
        <v>FRM - CGS</v>
      </c>
      <c r="B4944" s="33" t="str">
        <f t="shared" si="309"/>
        <v>FRM</v>
      </c>
      <c r="C4944" s="33" t="str">
        <f t="shared" si="310"/>
        <v>59100-4005</v>
      </c>
      <c r="D4944" s="64" t="s">
        <v>5996</v>
      </c>
      <c r="E4944" s="64" t="s">
        <v>4489</v>
      </c>
      <c r="F4944" s="64" t="s">
        <v>1195</v>
      </c>
      <c r="G4944" s="64" t="s">
        <v>5940</v>
      </c>
      <c r="H4944" s="64" t="s">
        <v>1875</v>
      </c>
      <c r="I4944" s="64" t="s">
        <v>5980</v>
      </c>
      <c r="J4944" s="67">
        <v>0</v>
      </c>
      <c r="K4944" s="62">
        <v>10400</v>
      </c>
      <c r="L4944" s="33" t="e">
        <f>HLOOKUP(B4944,#REF!,1,0)</f>
        <v>#REF!</v>
      </c>
      <c r="M4944" s="33" t="str">
        <f t="shared" si="311"/>
        <v>P&amp;L</v>
      </c>
    </row>
    <row r="4945" spans="1:13" s="33" customFormat="true" ht="12.75" customHeight="true">
      <c r="A4945" s="33" t="str">
        <f t="shared" si="308"/>
        <v>FRM - CGS</v>
      </c>
      <c r="B4945" s="33" t="str">
        <f t="shared" si="309"/>
        <v>FRM</v>
      </c>
      <c r="C4945" s="33" t="str">
        <f t="shared" si="310"/>
        <v>59120-1003</v>
      </c>
      <c r="D4945" s="64" t="s">
        <v>5997</v>
      </c>
      <c r="E4945" s="64" t="s">
        <v>5998</v>
      </c>
      <c r="F4945" s="64" t="s">
        <v>1195</v>
      </c>
      <c r="G4945" s="64" t="s">
        <v>5940</v>
      </c>
      <c r="H4945" s="64" t="s">
        <v>1875</v>
      </c>
      <c r="I4945" s="64" t="s">
        <v>5999</v>
      </c>
      <c r="J4945" s="67">
        <v>846.56</v>
      </c>
      <c r="K4945" s="62">
        <v>14113.8</v>
      </c>
      <c r="L4945" s="33" t="e">
        <f>HLOOKUP(B4945,#REF!,1,0)</f>
        <v>#REF!</v>
      </c>
      <c r="M4945" s="33" t="str">
        <f t="shared" si="311"/>
        <v>P&amp;L</v>
      </c>
    </row>
    <row r="4946" spans="1:13" s="33" customFormat="true" ht="12.75" customHeight="true">
      <c r="A4946" s="33" t="str">
        <f t="shared" si="308"/>
        <v>FRM - CGS</v>
      </c>
      <c r="B4946" s="33" t="str">
        <f t="shared" si="309"/>
        <v>FRM</v>
      </c>
      <c r="C4946" s="33" t="str">
        <f t="shared" si="310"/>
        <v>59120-1011</v>
      </c>
      <c r="D4946" s="64" t="s">
        <v>6000</v>
      </c>
      <c r="E4946" s="64" t="s">
        <v>5998</v>
      </c>
      <c r="F4946" s="64" t="s">
        <v>1195</v>
      </c>
      <c r="G4946" s="64" t="s">
        <v>5940</v>
      </c>
      <c r="H4946" s="64" t="s">
        <v>1875</v>
      </c>
      <c r="I4946" s="64" t="s">
        <v>5999</v>
      </c>
      <c r="J4946" s="67">
        <v>1312.38</v>
      </c>
      <c r="K4946" s="62">
        <v>12269.02</v>
      </c>
      <c r="L4946" s="33" t="e">
        <f>HLOOKUP(B4946,#REF!,1,0)</f>
        <v>#REF!</v>
      </c>
      <c r="M4946" s="33" t="str">
        <f t="shared" si="311"/>
        <v>P&amp;L</v>
      </c>
    </row>
    <row r="4947" spans="1:13" s="33" customFormat="true" ht="12.75" customHeight="true">
      <c r="A4947" s="33" t="str">
        <f t="shared" si="308"/>
        <v>FRM - CGS</v>
      </c>
      <c r="B4947" s="33" t="str">
        <f t="shared" si="309"/>
        <v>FRM</v>
      </c>
      <c r="C4947" s="33" t="str">
        <f t="shared" si="310"/>
        <v>59120-3001</v>
      </c>
      <c r="D4947" s="64" t="s">
        <v>6001</v>
      </c>
      <c r="E4947" s="64" t="s">
        <v>5998</v>
      </c>
      <c r="F4947" s="64" t="s">
        <v>1195</v>
      </c>
      <c r="G4947" s="64" t="s">
        <v>5940</v>
      </c>
      <c r="H4947" s="64" t="s">
        <v>1875</v>
      </c>
      <c r="I4947" s="64" t="s">
        <v>5999</v>
      </c>
      <c r="J4947" s="67">
        <v>1060</v>
      </c>
      <c r="K4947" s="62">
        <v>9448.14</v>
      </c>
      <c r="L4947" s="33" t="e">
        <f>HLOOKUP(B4947,#REF!,1,0)</f>
        <v>#REF!</v>
      </c>
      <c r="M4947" s="33" t="str">
        <f t="shared" si="311"/>
        <v>P&amp;L</v>
      </c>
    </row>
    <row r="4948" spans="1:13" s="33" customFormat="true" ht="12.75" customHeight="true">
      <c r="A4948" s="33" t="str">
        <f t="shared" si="308"/>
        <v>FRM - CGS</v>
      </c>
      <c r="B4948" s="33" t="str">
        <f t="shared" si="309"/>
        <v>FRM</v>
      </c>
      <c r="C4948" s="33" t="str">
        <f t="shared" si="310"/>
        <v>59120-3014</v>
      </c>
      <c r="D4948" s="64" t="s">
        <v>6002</v>
      </c>
      <c r="E4948" s="64" t="s">
        <v>5998</v>
      </c>
      <c r="F4948" s="64" t="s">
        <v>1195</v>
      </c>
      <c r="G4948" s="64" t="s">
        <v>5940</v>
      </c>
      <c r="H4948" s="64" t="s">
        <v>1875</v>
      </c>
      <c r="I4948" s="64" t="s">
        <v>5999</v>
      </c>
      <c r="J4948" s="67">
        <v>0</v>
      </c>
      <c r="K4948" s="62">
        <v>14.25</v>
      </c>
      <c r="L4948" s="33" t="e">
        <f>HLOOKUP(B4948,#REF!,1,0)</f>
        <v>#REF!</v>
      </c>
      <c r="M4948" s="33" t="str">
        <f t="shared" si="311"/>
        <v>P&amp;L</v>
      </c>
    </row>
    <row r="4949" spans="1:13" s="33" customFormat="true" ht="12.75" customHeight="true">
      <c r="A4949" s="33" t="str">
        <f t="shared" si="308"/>
        <v>FRM - CGS</v>
      </c>
      <c r="B4949" s="33" t="str">
        <f t="shared" si="309"/>
        <v>FRM</v>
      </c>
      <c r="C4949" s="33" t="str">
        <f t="shared" si="310"/>
        <v>59120-3016</v>
      </c>
      <c r="D4949" s="64" t="s">
        <v>6003</v>
      </c>
      <c r="E4949" s="64" t="s">
        <v>5998</v>
      </c>
      <c r="F4949" s="64" t="s">
        <v>1195</v>
      </c>
      <c r="G4949" s="64" t="s">
        <v>5940</v>
      </c>
      <c r="H4949" s="64" t="s">
        <v>1875</v>
      </c>
      <c r="I4949" s="64" t="s">
        <v>5999</v>
      </c>
      <c r="J4949" s="67">
        <v>225</v>
      </c>
      <c r="K4949" s="62">
        <v>855</v>
      </c>
      <c r="L4949" s="33" t="e">
        <f>HLOOKUP(B4949,#REF!,1,0)</f>
        <v>#REF!</v>
      </c>
      <c r="M4949" s="33" t="str">
        <f t="shared" si="311"/>
        <v>P&amp;L</v>
      </c>
    </row>
    <row r="4950" spans="1:13" s="33" customFormat="true" ht="12.75" customHeight="true">
      <c r="A4950" s="33" t="str">
        <f t="shared" si="308"/>
        <v>FRM - CGS</v>
      </c>
      <c r="B4950" s="33" t="str">
        <f t="shared" si="309"/>
        <v>FRM</v>
      </c>
      <c r="C4950" s="33" t="str">
        <f t="shared" si="310"/>
        <v>59120-4005</v>
      </c>
      <c r="D4950" s="64" t="s">
        <v>6004</v>
      </c>
      <c r="E4950" s="64" t="s">
        <v>5998</v>
      </c>
      <c r="F4950" s="64" t="s">
        <v>1195</v>
      </c>
      <c r="G4950" s="64" t="s">
        <v>5940</v>
      </c>
      <c r="H4950" s="64" t="s">
        <v>1875</v>
      </c>
      <c r="I4950" s="64" t="s">
        <v>5999</v>
      </c>
      <c r="J4950" s="67">
        <v>0</v>
      </c>
      <c r="K4950" s="62">
        <v>1550</v>
      </c>
      <c r="L4950" s="33" t="e">
        <f>HLOOKUP(B4950,#REF!,1,0)</f>
        <v>#REF!</v>
      </c>
      <c r="M4950" s="33" t="str">
        <f t="shared" si="311"/>
        <v>P&amp;L</v>
      </c>
    </row>
    <row r="4951" spans="1:13" s="33" customFormat="true" ht="12.75" customHeight="true">
      <c r="A4951" s="33" t="str">
        <f t="shared" si="308"/>
        <v>FRM - CGS</v>
      </c>
      <c r="B4951" s="33" t="str">
        <f t="shared" si="309"/>
        <v>FRM</v>
      </c>
      <c r="C4951" s="33" t="str">
        <f t="shared" si="310"/>
        <v>59160-0000</v>
      </c>
      <c r="D4951" s="64" t="s">
        <v>6005</v>
      </c>
      <c r="E4951" s="64" t="s">
        <v>6006</v>
      </c>
      <c r="F4951" s="64" t="s">
        <v>1195</v>
      </c>
      <c r="G4951" s="64" t="s">
        <v>5940</v>
      </c>
      <c r="H4951" s="64" t="s">
        <v>1875</v>
      </c>
      <c r="I4951" s="64" t="s">
        <v>5941</v>
      </c>
      <c r="J4951" s="67">
        <v>2927.8</v>
      </c>
      <c r="K4951" s="62">
        <v>16514.64</v>
      </c>
      <c r="L4951" s="33" t="e">
        <f>HLOOKUP(B4951,#REF!,1,0)</f>
        <v>#REF!</v>
      </c>
      <c r="M4951" s="33" t="str">
        <f t="shared" si="311"/>
        <v>P&amp;L</v>
      </c>
    </row>
    <row r="4952" spans="1:13" s="33" customFormat="true" ht="12.75" customHeight="true">
      <c r="A4952" s="33" t="str">
        <f t="shared" si="308"/>
        <v>FRM - CGS</v>
      </c>
      <c r="B4952" s="33" t="str">
        <f t="shared" si="309"/>
        <v>FRM</v>
      </c>
      <c r="C4952" s="33" t="str">
        <f t="shared" si="310"/>
        <v>59160-1003</v>
      </c>
      <c r="D4952" s="64" t="s">
        <v>6007</v>
      </c>
      <c r="E4952" s="64" t="s">
        <v>6006</v>
      </c>
      <c r="F4952" s="64" t="s">
        <v>1195</v>
      </c>
      <c r="G4952" s="64" t="s">
        <v>5940</v>
      </c>
      <c r="H4952" s="64" t="s">
        <v>1875</v>
      </c>
      <c r="I4952" s="64" t="s">
        <v>5941</v>
      </c>
      <c r="J4952" s="67">
        <v>0</v>
      </c>
      <c r="K4952" s="62">
        <v>1516.06</v>
      </c>
      <c r="L4952" s="33" t="e">
        <f>HLOOKUP(B4952,#REF!,1,0)</f>
        <v>#REF!</v>
      </c>
      <c r="M4952" s="33" t="str">
        <f t="shared" si="311"/>
        <v>P&amp;L</v>
      </c>
    </row>
    <row r="4953" spans="1:13" s="33" customFormat="true" ht="12.75" customHeight="true">
      <c r="A4953" s="33" t="str">
        <f t="shared" si="308"/>
        <v>FRM - CGS</v>
      </c>
      <c r="B4953" s="33" t="str">
        <f t="shared" si="309"/>
        <v>FRM</v>
      </c>
      <c r="C4953" s="33" t="str">
        <f t="shared" si="310"/>
        <v>59160-1011</v>
      </c>
      <c r="D4953" s="64" t="s">
        <v>6008</v>
      </c>
      <c r="E4953" s="64" t="s">
        <v>6006</v>
      </c>
      <c r="F4953" s="64" t="s">
        <v>1195</v>
      </c>
      <c r="G4953" s="64" t="s">
        <v>5940</v>
      </c>
      <c r="H4953" s="64" t="s">
        <v>1875</v>
      </c>
      <c r="I4953" s="64" t="s">
        <v>5941</v>
      </c>
      <c r="J4953" s="67">
        <v>0</v>
      </c>
      <c r="K4953" s="62">
        <v>1617.24</v>
      </c>
      <c r="L4953" s="33" t="e">
        <f>HLOOKUP(B4953,#REF!,1,0)</f>
        <v>#REF!</v>
      </c>
      <c r="M4953" s="33" t="str">
        <f t="shared" si="311"/>
        <v>P&amp;L</v>
      </c>
    </row>
    <row r="4954" spans="1:13" s="33" customFormat="true" ht="12.75" customHeight="true">
      <c r="A4954" s="33" t="str">
        <f t="shared" si="308"/>
        <v>FRM - CGS</v>
      </c>
      <c r="B4954" s="33" t="str">
        <f t="shared" si="309"/>
        <v>FRM</v>
      </c>
      <c r="C4954" s="33" t="str">
        <f t="shared" si="310"/>
        <v>59160-3001</v>
      </c>
      <c r="D4954" s="64" t="s">
        <v>6009</v>
      </c>
      <c r="E4954" s="64" t="s">
        <v>6006</v>
      </c>
      <c r="F4954" s="64" t="s">
        <v>1195</v>
      </c>
      <c r="G4954" s="64" t="s">
        <v>5940</v>
      </c>
      <c r="H4954" s="64" t="s">
        <v>1875</v>
      </c>
      <c r="I4954" s="64" t="s">
        <v>5941</v>
      </c>
      <c r="J4954" s="67">
        <v>0</v>
      </c>
      <c r="K4954" s="62">
        <v>3102.5</v>
      </c>
      <c r="L4954" s="33" t="e">
        <f>HLOOKUP(B4954,#REF!,1,0)</f>
        <v>#REF!</v>
      </c>
      <c r="M4954" s="33" t="str">
        <f t="shared" si="311"/>
        <v>P&amp;L</v>
      </c>
    </row>
    <row r="4955" spans="1:13" s="33" customFormat="true" ht="12.75" customHeight="true">
      <c r="A4955" s="33" t="str">
        <f t="shared" si="308"/>
        <v>FRM - CGS</v>
      </c>
      <c r="B4955" s="33" t="str">
        <f t="shared" si="309"/>
        <v>FRM</v>
      </c>
      <c r="C4955" s="33" t="str">
        <f t="shared" si="310"/>
        <v>59160-3014</v>
      </c>
      <c r="D4955" s="64" t="s">
        <v>6010</v>
      </c>
      <c r="E4955" s="64" t="s">
        <v>6006</v>
      </c>
      <c r="F4955" s="64" t="s">
        <v>1195</v>
      </c>
      <c r="G4955" s="64" t="s">
        <v>5940</v>
      </c>
      <c r="H4955" s="64" t="s">
        <v>1875</v>
      </c>
      <c r="I4955" s="64" t="s">
        <v>5941</v>
      </c>
      <c r="J4955" s="67">
        <v>0</v>
      </c>
      <c r="K4955" s="62">
        <v>3102.5</v>
      </c>
      <c r="L4955" s="33" t="e">
        <f>HLOOKUP(B4955,#REF!,1,0)</f>
        <v>#REF!</v>
      </c>
      <c r="M4955" s="33" t="str">
        <f t="shared" si="311"/>
        <v>P&amp;L</v>
      </c>
    </row>
    <row r="4956" spans="1:13" s="33" customFormat="true" ht="12.75" customHeight="true">
      <c r="A4956" s="33" t="str">
        <f t="shared" si="308"/>
        <v>FRM - CGS</v>
      </c>
      <c r="B4956" s="33" t="str">
        <f t="shared" si="309"/>
        <v>FRM</v>
      </c>
      <c r="C4956" s="33" t="str">
        <f t="shared" si="310"/>
        <v>59180-1003</v>
      </c>
      <c r="D4956" s="64" t="s">
        <v>6011</v>
      </c>
      <c r="E4956" s="64" t="s">
        <v>6012</v>
      </c>
      <c r="F4956" s="64" t="s">
        <v>1195</v>
      </c>
      <c r="G4956" s="64" t="s">
        <v>5940</v>
      </c>
      <c r="H4956" s="64" t="s">
        <v>1875</v>
      </c>
      <c r="I4956" s="64" t="s">
        <v>6013</v>
      </c>
      <c r="J4956" s="67">
        <v>0</v>
      </c>
      <c r="K4956" s="62">
        <v>9440.72</v>
      </c>
      <c r="L4956" s="33" t="e">
        <f>HLOOKUP(B4956,#REF!,1,0)</f>
        <v>#REF!</v>
      </c>
      <c r="M4956" s="33" t="str">
        <f t="shared" si="311"/>
        <v>P&amp;L</v>
      </c>
    </row>
    <row r="4957" spans="1:13" s="33" customFormat="true" ht="12.75" customHeight="true">
      <c r="A4957" s="33" t="str">
        <f t="shared" si="308"/>
        <v>FRM - CGS</v>
      </c>
      <c r="B4957" s="33" t="str">
        <f t="shared" si="309"/>
        <v>FRM</v>
      </c>
      <c r="C4957" s="33" t="str">
        <f t="shared" si="310"/>
        <v>59180-1011</v>
      </c>
      <c r="D4957" s="64" t="s">
        <v>6014</v>
      </c>
      <c r="E4957" s="64" t="s">
        <v>6012</v>
      </c>
      <c r="F4957" s="64" t="s">
        <v>1195</v>
      </c>
      <c r="G4957" s="64" t="s">
        <v>5940</v>
      </c>
      <c r="H4957" s="64" t="s">
        <v>1875</v>
      </c>
      <c r="I4957" s="64" t="s">
        <v>6013</v>
      </c>
      <c r="J4957" s="67">
        <v>0</v>
      </c>
      <c r="K4957" s="62">
        <v>3205.2</v>
      </c>
      <c r="L4957" s="33" t="e">
        <f>HLOOKUP(B4957,#REF!,1,0)</f>
        <v>#REF!</v>
      </c>
      <c r="M4957" s="33" t="str">
        <f t="shared" si="311"/>
        <v>P&amp;L</v>
      </c>
    </row>
    <row r="4958" spans="1:13" s="33" customFormat="true" ht="12.75" customHeight="true">
      <c r="A4958" s="33" t="str">
        <f t="shared" si="308"/>
        <v>FRM - CGS</v>
      </c>
      <c r="B4958" s="33" t="str">
        <f t="shared" si="309"/>
        <v>FRM</v>
      </c>
      <c r="C4958" s="33" t="str">
        <f t="shared" si="310"/>
        <v>59180-3001</v>
      </c>
      <c r="D4958" s="64" t="s">
        <v>6015</v>
      </c>
      <c r="E4958" s="64" t="s">
        <v>6012</v>
      </c>
      <c r="F4958" s="64" t="s">
        <v>1195</v>
      </c>
      <c r="G4958" s="64" t="s">
        <v>5940</v>
      </c>
      <c r="H4958" s="64" t="s">
        <v>1875</v>
      </c>
      <c r="I4958" s="64" t="s">
        <v>6013</v>
      </c>
      <c r="J4958" s="67">
        <v>160</v>
      </c>
      <c r="K4958" s="62">
        <v>1809.28</v>
      </c>
      <c r="L4958" s="33" t="e">
        <f>HLOOKUP(B4958,#REF!,1,0)</f>
        <v>#REF!</v>
      </c>
      <c r="M4958" s="33" t="str">
        <f t="shared" si="311"/>
        <v>P&amp;L</v>
      </c>
    </row>
    <row r="4959" spans="1:13" s="33" customFormat="true" ht="12.75" customHeight="true">
      <c r="A4959" s="33" t="str">
        <f t="shared" si="308"/>
        <v>FRM - CGS</v>
      </c>
      <c r="B4959" s="33" t="str">
        <f t="shared" si="309"/>
        <v>FRM</v>
      </c>
      <c r="C4959" s="33" t="str">
        <f t="shared" si="310"/>
        <v>59180-3014</v>
      </c>
      <c r="D4959" s="64" t="s">
        <v>6016</v>
      </c>
      <c r="E4959" s="64" t="s">
        <v>6012</v>
      </c>
      <c r="F4959" s="64" t="s">
        <v>1195</v>
      </c>
      <c r="G4959" s="64" t="s">
        <v>5940</v>
      </c>
      <c r="H4959" s="64" t="s">
        <v>1875</v>
      </c>
      <c r="I4959" s="64" t="s">
        <v>6013</v>
      </c>
      <c r="J4959" s="67">
        <v>0</v>
      </c>
      <c r="K4959" s="62">
        <v>1188.89</v>
      </c>
      <c r="L4959" s="33" t="e">
        <f>HLOOKUP(B4959,#REF!,1,0)</f>
        <v>#REF!</v>
      </c>
      <c r="M4959" s="33" t="str">
        <f t="shared" si="311"/>
        <v>P&amp;L</v>
      </c>
    </row>
    <row r="4960" spans="1:13" s="33" customFormat="true" ht="12.75" customHeight="true">
      <c r="A4960" s="33" t="str">
        <f t="shared" si="308"/>
        <v>FRM - CGS</v>
      </c>
      <c r="B4960" s="33" t="str">
        <f t="shared" si="309"/>
        <v>FRM</v>
      </c>
      <c r="C4960" s="33" t="str">
        <f t="shared" si="310"/>
        <v>59180-3016</v>
      </c>
      <c r="D4960" s="64" t="s">
        <v>6017</v>
      </c>
      <c r="E4960" s="64" t="s">
        <v>6012</v>
      </c>
      <c r="F4960" s="64" t="s">
        <v>1195</v>
      </c>
      <c r="G4960" s="64" t="s">
        <v>5940</v>
      </c>
      <c r="H4960" s="64" t="s">
        <v>1875</v>
      </c>
      <c r="I4960" s="64" t="s">
        <v>6013</v>
      </c>
      <c r="J4960" s="67">
        <v>0</v>
      </c>
      <c r="K4960" s="62">
        <v>320</v>
      </c>
      <c r="L4960" s="33" t="e">
        <f>HLOOKUP(B4960,#REF!,1,0)</f>
        <v>#REF!</v>
      </c>
      <c r="M4960" s="33" t="str">
        <f t="shared" si="311"/>
        <v>P&amp;L</v>
      </c>
    </row>
    <row r="4961" spans="1:13" s="33" customFormat="true" ht="12.75" customHeight="true">
      <c r="A4961" s="33" t="str">
        <f t="shared" si="308"/>
        <v>FRM - CGS</v>
      </c>
      <c r="B4961" s="33" t="str">
        <f t="shared" si="309"/>
        <v>FRM</v>
      </c>
      <c r="C4961" s="33" t="str">
        <f t="shared" si="310"/>
        <v>59500-0000</v>
      </c>
      <c r="D4961" s="64" t="s">
        <v>6018</v>
      </c>
      <c r="E4961" s="64" t="s">
        <v>3159</v>
      </c>
      <c r="F4961" s="64" t="s">
        <v>1195</v>
      </c>
      <c r="G4961" s="64" t="s">
        <v>5940</v>
      </c>
      <c r="H4961" s="64" t="s">
        <v>1875</v>
      </c>
      <c r="I4961" s="64" t="s">
        <v>3161</v>
      </c>
      <c r="J4961" s="67">
        <v>70</v>
      </c>
      <c r="K4961" s="62">
        <v>770</v>
      </c>
      <c r="L4961" s="33" t="e">
        <f>HLOOKUP(B4961,#REF!,1,0)</f>
        <v>#REF!</v>
      </c>
      <c r="M4961" s="33" t="str">
        <f t="shared" si="311"/>
        <v>P&amp;L</v>
      </c>
    </row>
    <row r="4962" spans="1:13" s="33" customFormat="true" ht="12.75" customHeight="true">
      <c r="A4962" s="33" t="str">
        <f t="shared" si="308"/>
        <v>FRM - CGS</v>
      </c>
      <c r="B4962" s="33" t="str">
        <f t="shared" si="309"/>
        <v>FRM</v>
      </c>
      <c r="C4962" s="33" t="str">
        <f t="shared" si="310"/>
        <v>59500-1003</v>
      </c>
      <c r="D4962" s="64" t="s">
        <v>6019</v>
      </c>
      <c r="E4962" s="64" t="s">
        <v>3159</v>
      </c>
      <c r="F4962" s="64" t="s">
        <v>1195</v>
      </c>
      <c r="G4962" s="64" t="s">
        <v>5940</v>
      </c>
      <c r="H4962" s="64" t="s">
        <v>1875</v>
      </c>
      <c r="I4962" s="64" t="s">
        <v>3161</v>
      </c>
      <c r="J4962" s="67">
        <v>70</v>
      </c>
      <c r="K4962" s="62">
        <v>770</v>
      </c>
      <c r="L4962" s="33" t="e">
        <f>HLOOKUP(B4962,#REF!,1,0)</f>
        <v>#REF!</v>
      </c>
      <c r="M4962" s="33" t="str">
        <f t="shared" si="311"/>
        <v>P&amp;L</v>
      </c>
    </row>
    <row r="4963" spans="1:13" s="33" customFormat="true" ht="12.75" customHeight="true">
      <c r="A4963" s="33" t="str">
        <f t="shared" si="308"/>
        <v>FRM - CGS</v>
      </c>
      <c r="B4963" s="33" t="str">
        <f t="shared" si="309"/>
        <v>FRM</v>
      </c>
      <c r="C4963" s="33" t="str">
        <f t="shared" si="310"/>
        <v>59500-1011</v>
      </c>
      <c r="D4963" s="64" t="s">
        <v>6020</v>
      </c>
      <c r="E4963" s="64" t="s">
        <v>3159</v>
      </c>
      <c r="F4963" s="64" t="s">
        <v>1195</v>
      </c>
      <c r="G4963" s="64" t="s">
        <v>5940</v>
      </c>
      <c r="H4963" s="64" t="s">
        <v>1875</v>
      </c>
      <c r="I4963" s="64" t="s">
        <v>3161</v>
      </c>
      <c r="J4963" s="67">
        <v>70</v>
      </c>
      <c r="K4963" s="62">
        <v>770</v>
      </c>
      <c r="L4963" s="33" t="e">
        <f>HLOOKUP(B4963,#REF!,1,0)</f>
        <v>#REF!</v>
      </c>
      <c r="M4963" s="33" t="str">
        <f t="shared" si="311"/>
        <v>P&amp;L</v>
      </c>
    </row>
    <row r="4964" spans="1:13" s="33" customFormat="true" ht="12.75" customHeight="true">
      <c r="A4964" s="33" t="str">
        <f t="shared" si="308"/>
        <v>FRM - CGS</v>
      </c>
      <c r="B4964" s="33" t="str">
        <f t="shared" si="309"/>
        <v>FRM</v>
      </c>
      <c r="C4964" s="33" t="str">
        <f t="shared" si="310"/>
        <v>59500-3001</v>
      </c>
      <c r="D4964" s="64" t="s">
        <v>6021</v>
      </c>
      <c r="E4964" s="64" t="s">
        <v>3159</v>
      </c>
      <c r="F4964" s="64" t="s">
        <v>1195</v>
      </c>
      <c r="G4964" s="64" t="s">
        <v>5940</v>
      </c>
      <c r="H4964" s="64" t="s">
        <v>1875</v>
      </c>
      <c r="I4964" s="64" t="s">
        <v>3161</v>
      </c>
      <c r="J4964" s="67">
        <v>70</v>
      </c>
      <c r="K4964" s="62">
        <v>770</v>
      </c>
      <c r="L4964" s="33" t="e">
        <f>HLOOKUP(B4964,#REF!,1,0)</f>
        <v>#REF!</v>
      </c>
      <c r="M4964" s="33" t="str">
        <f t="shared" si="311"/>
        <v>P&amp;L</v>
      </c>
    </row>
    <row r="4965" spans="1:13" s="33" customFormat="true" ht="12.75" customHeight="true">
      <c r="A4965" s="33" t="str">
        <f t="shared" si="308"/>
        <v>FRM - CGS</v>
      </c>
      <c r="B4965" s="33" t="str">
        <f t="shared" si="309"/>
        <v>FRM</v>
      </c>
      <c r="C4965" s="33" t="str">
        <f t="shared" si="310"/>
        <v>59500-3014</v>
      </c>
      <c r="D4965" s="64" t="s">
        <v>6022</v>
      </c>
      <c r="E4965" s="64" t="s">
        <v>3159</v>
      </c>
      <c r="F4965" s="64" t="s">
        <v>1195</v>
      </c>
      <c r="G4965" s="64" t="s">
        <v>5940</v>
      </c>
      <c r="H4965" s="64" t="s">
        <v>1875</v>
      </c>
      <c r="I4965" s="64" t="s">
        <v>3161</v>
      </c>
      <c r="J4965" s="67">
        <v>0</v>
      </c>
      <c r="K4965" s="62">
        <v>858.2</v>
      </c>
      <c r="L4965" s="33" t="e">
        <f>HLOOKUP(B4965,#REF!,1,0)</f>
        <v>#REF!</v>
      </c>
      <c r="M4965" s="33" t="str">
        <f t="shared" si="311"/>
        <v>P&amp;L</v>
      </c>
    </row>
    <row r="4966" spans="1:13" s="33" customFormat="true" ht="12.75" customHeight="true">
      <c r="A4966" s="33" t="str">
        <f t="shared" si="308"/>
        <v>FRM - Facility</v>
      </c>
      <c r="B4966" s="33" t="str">
        <f t="shared" si="309"/>
        <v>FRM</v>
      </c>
      <c r="C4966" s="33" t="str">
        <f t="shared" si="310"/>
        <v>70100-0000</v>
      </c>
      <c r="D4966" s="64" t="s">
        <v>6023</v>
      </c>
      <c r="E4966" s="64" t="s">
        <v>6024</v>
      </c>
      <c r="F4966" s="64" t="s">
        <v>1195</v>
      </c>
      <c r="G4966" s="64" t="s">
        <v>5940</v>
      </c>
      <c r="H4966" s="64" t="s">
        <v>3267</v>
      </c>
      <c r="I4966" s="64" t="s">
        <v>5976</v>
      </c>
      <c r="J4966" s="67">
        <v>0</v>
      </c>
      <c r="K4966" s="62">
        <v>1194.05</v>
      </c>
      <c r="L4966" s="33" t="e">
        <f>HLOOKUP(B4966,#REF!,1,0)</f>
        <v>#REF!</v>
      </c>
      <c r="M4966" s="33" t="str">
        <f t="shared" si="311"/>
        <v>P&amp;L</v>
      </c>
    </row>
    <row r="4967" spans="1:13" s="33" customFormat="true" ht="12.75" customHeight="true">
      <c r="A4967" s="33" t="str">
        <f t="shared" si="308"/>
        <v>FRM - Income Tax</v>
      </c>
      <c r="B4967" s="33" t="str">
        <f t="shared" si="309"/>
        <v>FRM</v>
      </c>
      <c r="C4967" s="33" t="str">
        <f t="shared" si="310"/>
        <v>99901-0000</v>
      </c>
      <c r="D4967" s="64" t="s">
        <v>6025</v>
      </c>
      <c r="E4967" s="64" t="s">
        <v>6026</v>
      </c>
      <c r="F4967" s="64" t="s">
        <v>1195</v>
      </c>
      <c r="G4967" s="64" t="s">
        <v>3326</v>
      </c>
      <c r="H4967" s="64" t="s">
        <v>3378</v>
      </c>
      <c r="I4967" s="64" t="s">
        <v>6027</v>
      </c>
      <c r="J4967" s="67">
        <v>0</v>
      </c>
      <c r="K4967" s="62">
        <v>6363.18</v>
      </c>
      <c r="L4967" s="33" t="e">
        <f>HLOOKUP(B4967,#REF!,1,0)</f>
        <v>#REF!</v>
      </c>
      <c r="M4967" s="33" t="str">
        <f t="shared" si="311"/>
        <v>P&amp;L</v>
      </c>
    </row>
    <row r="4968" spans="1:13" s="33" customFormat="true" ht="12.75" customHeight="true">
      <c r="A4968" s="33" t="str">
        <f t="shared" si="308"/>
        <v>FSH - Revenue</v>
      </c>
      <c r="B4968" s="33" t="str">
        <f t="shared" si="309"/>
        <v>FSH</v>
      </c>
      <c r="C4968" s="33" t="str">
        <f t="shared" si="310"/>
        <v>40001-8213</v>
      </c>
      <c r="D4968" s="64" t="s">
        <v>6028</v>
      </c>
      <c r="E4968" s="64" t="s">
        <v>2869</v>
      </c>
      <c r="F4968" s="64" t="s">
        <v>15</v>
      </c>
      <c r="G4968" s="64" t="s">
        <v>2870</v>
      </c>
      <c r="H4968" s="64" t="s">
        <v>2871</v>
      </c>
      <c r="I4968" s="64" t="s">
        <v>2872</v>
      </c>
      <c r="J4968" s="67">
        <v>-64443.7</v>
      </c>
      <c r="K4968" s="62">
        <v>-635078.88</v>
      </c>
      <c r="L4968" s="33" t="e">
        <f>HLOOKUP(B4968,#REF!,1,0)</f>
        <v>#REF!</v>
      </c>
      <c r="M4968" s="33" t="str">
        <f t="shared" si="311"/>
        <v>P&amp;L</v>
      </c>
    </row>
    <row r="4969" spans="1:13" s="33" customFormat="true" ht="12.75" customHeight="true">
      <c r="A4969" s="33" t="str">
        <f t="shared" si="308"/>
        <v>FSH - Revenue</v>
      </c>
      <c r="B4969" s="33" t="str">
        <f t="shared" si="309"/>
        <v>FSH</v>
      </c>
      <c r="C4969" s="33" t="str">
        <f t="shared" si="310"/>
        <v>40002-8213</v>
      </c>
      <c r="D4969" s="64" t="s">
        <v>6029</v>
      </c>
      <c r="E4969" s="64" t="s">
        <v>2877</v>
      </c>
      <c r="F4969" s="64" t="s">
        <v>15</v>
      </c>
      <c r="G4969" s="64" t="s">
        <v>2870</v>
      </c>
      <c r="H4969" s="64" t="s">
        <v>2871</v>
      </c>
      <c r="I4969" s="64" t="s">
        <v>2872</v>
      </c>
      <c r="J4969" s="67">
        <v>0</v>
      </c>
      <c r="K4969" s="62">
        <v>0</v>
      </c>
      <c r="L4969" s="33" t="e">
        <f>HLOOKUP(B4969,#REF!,1,0)</f>
        <v>#REF!</v>
      </c>
      <c r="M4969" s="33" t="str">
        <f t="shared" si="311"/>
        <v>P&amp;L</v>
      </c>
    </row>
    <row r="4970" spans="1:13" s="33" customFormat="true" ht="12.75" customHeight="true">
      <c r="A4970" s="33" t="str">
        <f t="shared" si="308"/>
        <v>FSH - Revenue</v>
      </c>
      <c r="B4970" s="33" t="str">
        <f t="shared" si="309"/>
        <v>FSH</v>
      </c>
      <c r="C4970" s="33" t="str">
        <f t="shared" si="310"/>
        <v>40091-8213</v>
      </c>
      <c r="D4970" s="64" t="s">
        <v>6030</v>
      </c>
      <c r="E4970" s="64" t="s">
        <v>2882</v>
      </c>
      <c r="F4970" s="64" t="s">
        <v>15</v>
      </c>
      <c r="G4970" s="64" t="s">
        <v>2870</v>
      </c>
      <c r="H4970" s="64" t="s">
        <v>2871</v>
      </c>
      <c r="I4970" s="64" t="s">
        <v>2883</v>
      </c>
      <c r="J4970" s="67">
        <v>14090.03</v>
      </c>
      <c r="K4970" s="62">
        <v>77834.94</v>
      </c>
      <c r="L4970" s="33" t="e">
        <f>HLOOKUP(B4970,#REF!,1,0)</f>
        <v>#REF!</v>
      </c>
      <c r="M4970" s="33" t="str">
        <f t="shared" si="311"/>
        <v>P&amp;L</v>
      </c>
    </row>
    <row r="4971" spans="1:13" s="33" customFormat="true" ht="12.75" customHeight="true">
      <c r="A4971" s="33" t="str">
        <f t="shared" si="308"/>
        <v>FSH - CGS</v>
      </c>
      <c r="B4971" s="33" t="str">
        <f t="shared" si="309"/>
        <v>FSH</v>
      </c>
      <c r="C4971" s="33" t="str">
        <f t="shared" si="310"/>
        <v>50003-8213</v>
      </c>
      <c r="D4971" s="64" t="s">
        <v>6031</v>
      </c>
      <c r="E4971" s="64" t="s">
        <v>2888</v>
      </c>
      <c r="F4971" s="64" t="s">
        <v>15</v>
      </c>
      <c r="G4971" s="64" t="s">
        <v>2889</v>
      </c>
      <c r="H4971" s="64" t="s">
        <v>1875</v>
      </c>
      <c r="I4971" s="64" t="s">
        <v>2890</v>
      </c>
      <c r="J4971" s="67">
        <v>1064.1</v>
      </c>
      <c r="K4971" s="62">
        <v>9314</v>
      </c>
      <c r="L4971" s="33" t="e">
        <f>HLOOKUP(B4971,#REF!,1,0)</f>
        <v>#REF!</v>
      </c>
      <c r="M4971" s="33" t="str">
        <f t="shared" si="311"/>
        <v>P&amp;L</v>
      </c>
    </row>
    <row r="4972" spans="1:13" s="33" customFormat="true" ht="12.75" customHeight="true">
      <c r="A4972" s="33" t="str">
        <f t="shared" si="308"/>
        <v>FSH - CGS</v>
      </c>
      <c r="B4972" s="33" t="str">
        <f t="shared" si="309"/>
        <v>FSH</v>
      </c>
      <c r="C4972" s="33" t="str">
        <f t="shared" si="310"/>
        <v>50007-8213</v>
      </c>
      <c r="D4972" s="64" t="s">
        <v>6032</v>
      </c>
      <c r="E4972" s="64" t="s">
        <v>2895</v>
      </c>
      <c r="F4972" s="64" t="s">
        <v>15</v>
      </c>
      <c r="G4972" s="64" t="s">
        <v>2889</v>
      </c>
      <c r="H4972" s="64" t="s">
        <v>1875</v>
      </c>
      <c r="I4972" s="64" t="s">
        <v>2890</v>
      </c>
      <c r="J4972" s="67">
        <v>10660.8</v>
      </c>
      <c r="K4972" s="62">
        <v>130899.48</v>
      </c>
      <c r="L4972" s="33" t="e">
        <f>HLOOKUP(B4972,#REF!,1,0)</f>
        <v>#REF!</v>
      </c>
      <c r="M4972" s="33" t="str">
        <f t="shared" si="311"/>
        <v>P&amp;L</v>
      </c>
    </row>
    <row r="4973" spans="1:13" s="33" customFormat="true" ht="12.75" customHeight="true">
      <c r="A4973" s="33" t="str">
        <f t="shared" si="308"/>
        <v>FSH - CGS</v>
      </c>
      <c r="B4973" s="33" t="str">
        <f t="shared" si="309"/>
        <v>FSH</v>
      </c>
      <c r="C4973" s="33" t="str">
        <f t="shared" si="310"/>
        <v>50099-8213</v>
      </c>
      <c r="D4973" s="64" t="s">
        <v>6033</v>
      </c>
      <c r="E4973" s="64" t="s">
        <v>2900</v>
      </c>
      <c r="F4973" s="64" t="s">
        <v>15</v>
      </c>
      <c r="G4973" s="64" t="s">
        <v>2889</v>
      </c>
      <c r="H4973" s="64" t="s">
        <v>1875</v>
      </c>
      <c r="I4973" s="64" t="s">
        <v>2901</v>
      </c>
      <c r="J4973" s="67">
        <v>-11341.73</v>
      </c>
      <c r="K4973" s="62">
        <v>-123253.57</v>
      </c>
      <c r="L4973" s="33" t="e">
        <f>HLOOKUP(B4973,#REF!,1,0)</f>
        <v>#REF!</v>
      </c>
      <c r="M4973" s="33" t="str">
        <f t="shared" si="311"/>
        <v>P&amp;L</v>
      </c>
    </row>
    <row r="4974" spans="1:13" s="33" customFormat="true" ht="12.75" customHeight="true">
      <c r="A4974" s="33" t="str">
        <f t="shared" si="308"/>
        <v>FSH - CGS</v>
      </c>
      <c r="B4974" s="33" t="str">
        <f t="shared" si="309"/>
        <v>FSH</v>
      </c>
      <c r="C4974" s="33" t="str">
        <f t="shared" si="310"/>
        <v>50100-8213</v>
      </c>
      <c r="D4974" s="64" t="s">
        <v>6034</v>
      </c>
      <c r="E4974" s="64" t="s">
        <v>2907</v>
      </c>
      <c r="F4974" s="64" t="s">
        <v>15</v>
      </c>
      <c r="G4974" s="64" t="s">
        <v>2889</v>
      </c>
      <c r="H4974" s="64" t="s">
        <v>1875</v>
      </c>
      <c r="I4974" s="64" t="s">
        <v>2908</v>
      </c>
      <c r="J4974" s="67">
        <v>11341.73</v>
      </c>
      <c r="K4974" s="62">
        <v>123253.57</v>
      </c>
      <c r="L4974" s="33" t="e">
        <f>HLOOKUP(B4974,#REF!,1,0)</f>
        <v>#REF!</v>
      </c>
      <c r="M4974" s="33" t="str">
        <f t="shared" si="311"/>
        <v>P&amp;L</v>
      </c>
    </row>
    <row r="4975" spans="1:13" s="33" customFormat="true" ht="12.75" customHeight="true">
      <c r="A4975" s="33" t="str">
        <f t="shared" si="308"/>
        <v>FSH - CGS</v>
      </c>
      <c r="B4975" s="33" t="str">
        <f t="shared" si="309"/>
        <v>FSH</v>
      </c>
      <c r="C4975" s="33" t="str">
        <f t="shared" si="310"/>
        <v>51001-8213</v>
      </c>
      <c r="D4975" s="64" t="s">
        <v>6035</v>
      </c>
      <c r="E4975" s="64" t="s">
        <v>2914</v>
      </c>
      <c r="F4975" s="64" t="s">
        <v>15</v>
      </c>
      <c r="G4975" s="64" t="s">
        <v>2889</v>
      </c>
      <c r="H4975" s="64" t="s">
        <v>1875</v>
      </c>
      <c r="I4975" s="64" t="s">
        <v>2915</v>
      </c>
      <c r="J4975" s="67">
        <v>877.15</v>
      </c>
      <c r="K4975" s="62">
        <v>11369.8</v>
      </c>
      <c r="L4975" s="33" t="e">
        <f>HLOOKUP(B4975,#REF!,1,0)</f>
        <v>#REF!</v>
      </c>
      <c r="M4975" s="33" t="str">
        <f t="shared" si="311"/>
        <v>P&amp;L</v>
      </c>
    </row>
    <row r="4976" spans="1:13" s="33" customFormat="true" ht="12.75" customHeight="true">
      <c r="A4976" s="33" t="str">
        <f t="shared" si="308"/>
        <v>FSH - CGS</v>
      </c>
      <c r="B4976" s="33" t="str">
        <f t="shared" si="309"/>
        <v>FSH</v>
      </c>
      <c r="C4976" s="33" t="str">
        <f t="shared" si="310"/>
        <v>52001-8213</v>
      </c>
      <c r="D4976" s="64" t="s">
        <v>6036</v>
      </c>
      <c r="E4976" s="64" t="s">
        <v>2920</v>
      </c>
      <c r="F4976" s="64" t="s">
        <v>15</v>
      </c>
      <c r="G4976" s="64" t="s">
        <v>2921</v>
      </c>
      <c r="H4976" s="64" t="s">
        <v>1875</v>
      </c>
      <c r="I4976" s="64" t="s">
        <v>2922</v>
      </c>
      <c r="J4976" s="67">
        <v>6880.04</v>
      </c>
      <c r="K4976" s="62">
        <v>146461.33</v>
      </c>
      <c r="L4976" s="33" t="e">
        <f>HLOOKUP(B4976,#REF!,1,0)</f>
        <v>#REF!</v>
      </c>
      <c r="M4976" s="33" t="str">
        <f t="shared" si="311"/>
        <v>P&amp;L</v>
      </c>
    </row>
    <row r="4977" spans="1:13" s="33" customFormat="true" ht="12.75" customHeight="true">
      <c r="A4977" s="33" t="str">
        <f t="shared" si="308"/>
        <v>FSH - CGS</v>
      </c>
      <c r="B4977" s="33" t="str">
        <f t="shared" si="309"/>
        <v>FSH</v>
      </c>
      <c r="C4977" s="33" t="str">
        <f t="shared" si="310"/>
        <v>52002-8213</v>
      </c>
      <c r="D4977" s="64" t="s">
        <v>6037</v>
      </c>
      <c r="E4977" s="64" t="s">
        <v>2927</v>
      </c>
      <c r="F4977" s="64" t="s">
        <v>15</v>
      </c>
      <c r="G4977" s="64" t="s">
        <v>2921</v>
      </c>
      <c r="H4977" s="64" t="s">
        <v>1875</v>
      </c>
      <c r="I4977" s="64" t="s">
        <v>2928</v>
      </c>
      <c r="J4977" s="67">
        <v>6215.23</v>
      </c>
      <c r="K4977" s="62">
        <v>46160.11</v>
      </c>
      <c r="L4977" s="33" t="e">
        <f>HLOOKUP(B4977,#REF!,1,0)</f>
        <v>#REF!</v>
      </c>
      <c r="M4977" s="33" t="str">
        <f t="shared" si="311"/>
        <v>P&amp;L</v>
      </c>
    </row>
    <row r="4978" spans="1:13" s="33" customFormat="true" ht="12.75" customHeight="true">
      <c r="A4978" s="33" t="str">
        <f t="shared" si="308"/>
        <v>FSH - CGS</v>
      </c>
      <c r="B4978" s="33" t="str">
        <f t="shared" si="309"/>
        <v>FSH</v>
      </c>
      <c r="C4978" s="33" t="str">
        <f t="shared" si="310"/>
        <v>52003-8213</v>
      </c>
      <c r="D4978" s="64" t="s">
        <v>6038</v>
      </c>
      <c r="E4978" s="64" t="s">
        <v>2933</v>
      </c>
      <c r="F4978" s="64" t="s">
        <v>15</v>
      </c>
      <c r="G4978" s="64" t="s">
        <v>2921</v>
      </c>
      <c r="H4978" s="64" t="s">
        <v>1875</v>
      </c>
      <c r="I4978" s="64" t="s">
        <v>2934</v>
      </c>
      <c r="J4978" s="67">
        <v>608.69</v>
      </c>
      <c r="K4978" s="62">
        <v>8182.09</v>
      </c>
      <c r="L4978" s="33" t="e">
        <f>HLOOKUP(B4978,#REF!,1,0)</f>
        <v>#REF!</v>
      </c>
      <c r="M4978" s="33" t="str">
        <f t="shared" si="311"/>
        <v>P&amp;L</v>
      </c>
    </row>
    <row r="4979" spans="1:13" s="33" customFormat="true" ht="12.75" customHeight="true">
      <c r="A4979" s="33" t="str">
        <f t="shared" si="308"/>
        <v>FSH - CGS</v>
      </c>
      <c r="B4979" s="33" t="str">
        <f t="shared" si="309"/>
        <v>FSH</v>
      </c>
      <c r="C4979" s="33" t="str">
        <f t="shared" si="310"/>
        <v>52004-8213</v>
      </c>
      <c r="D4979" s="64" t="s">
        <v>6039</v>
      </c>
      <c r="E4979" s="64" t="s">
        <v>2939</v>
      </c>
      <c r="F4979" s="64" t="s">
        <v>15</v>
      </c>
      <c r="G4979" s="64" t="s">
        <v>2921</v>
      </c>
      <c r="H4979" s="64" t="s">
        <v>1875</v>
      </c>
      <c r="I4979" s="64" t="s">
        <v>2940</v>
      </c>
      <c r="J4979" s="67">
        <v>328.2</v>
      </c>
      <c r="K4979" s="62">
        <v>1967.32</v>
      </c>
      <c r="L4979" s="33" t="e">
        <f>HLOOKUP(B4979,#REF!,1,0)</f>
        <v>#REF!</v>
      </c>
      <c r="M4979" s="33" t="str">
        <f t="shared" si="311"/>
        <v>P&amp;L</v>
      </c>
    </row>
    <row r="4980" spans="1:13" s="33" customFormat="true" ht="12.75" customHeight="true">
      <c r="A4980" s="33" t="str">
        <f t="shared" si="308"/>
        <v>FSH - CGS</v>
      </c>
      <c r="B4980" s="33" t="str">
        <f t="shared" si="309"/>
        <v>FSH</v>
      </c>
      <c r="C4980" s="33" t="str">
        <f t="shared" si="310"/>
        <v>52005-8213</v>
      </c>
      <c r="D4980" s="64" t="s">
        <v>6040</v>
      </c>
      <c r="E4980" s="64" t="s">
        <v>2945</v>
      </c>
      <c r="F4980" s="64" t="s">
        <v>15</v>
      </c>
      <c r="G4980" s="64" t="s">
        <v>2921</v>
      </c>
      <c r="H4980" s="64" t="s">
        <v>1875</v>
      </c>
      <c r="I4980" s="64" t="s">
        <v>2946</v>
      </c>
      <c r="J4980" s="67">
        <v>128.32</v>
      </c>
      <c r="K4980" s="62">
        <v>3173.74</v>
      </c>
      <c r="L4980" s="33" t="e">
        <f>HLOOKUP(B4980,#REF!,1,0)</f>
        <v>#REF!</v>
      </c>
      <c r="M4980" s="33" t="str">
        <f t="shared" si="311"/>
        <v>P&amp;L</v>
      </c>
    </row>
    <row r="4981" spans="1:13" s="33" customFormat="true" ht="12.75" customHeight="true">
      <c r="A4981" s="33" t="str">
        <f t="shared" si="308"/>
        <v>FSH - CGS</v>
      </c>
      <c r="B4981" s="33" t="str">
        <f t="shared" si="309"/>
        <v>FSH</v>
      </c>
      <c r="C4981" s="33" t="str">
        <f t="shared" si="310"/>
        <v>53003-8213</v>
      </c>
      <c r="D4981" s="64" t="s">
        <v>6041</v>
      </c>
      <c r="E4981" s="64" t="s">
        <v>2954</v>
      </c>
      <c r="F4981" s="64" t="s">
        <v>15</v>
      </c>
      <c r="G4981" s="64" t="s">
        <v>2921</v>
      </c>
      <c r="H4981" s="64" t="s">
        <v>1875</v>
      </c>
      <c r="I4981" s="64" t="s">
        <v>2955</v>
      </c>
      <c r="J4981" s="67">
        <v>3040</v>
      </c>
      <c r="K4981" s="62">
        <v>33158.46</v>
      </c>
      <c r="L4981" s="33" t="e">
        <f>HLOOKUP(B4981,#REF!,1,0)</f>
        <v>#REF!</v>
      </c>
      <c r="M4981" s="33" t="str">
        <f t="shared" si="311"/>
        <v>P&amp;L</v>
      </c>
    </row>
    <row r="4982" spans="1:13" s="33" customFormat="true" ht="12.75" customHeight="true">
      <c r="A4982" s="33" t="str">
        <f t="shared" si="308"/>
        <v>FSH - CGS</v>
      </c>
      <c r="B4982" s="33" t="str">
        <f t="shared" si="309"/>
        <v>FSH</v>
      </c>
      <c r="C4982" s="33" t="str">
        <f t="shared" si="310"/>
        <v>53004-8213</v>
      </c>
      <c r="D4982" s="64" t="s">
        <v>6042</v>
      </c>
      <c r="E4982" s="64" t="s">
        <v>2960</v>
      </c>
      <c r="F4982" s="64" t="s">
        <v>15</v>
      </c>
      <c r="G4982" s="64" t="s">
        <v>2921</v>
      </c>
      <c r="H4982" s="64" t="s">
        <v>1875</v>
      </c>
      <c r="I4982" s="64" t="s">
        <v>2961</v>
      </c>
      <c r="J4982" s="67">
        <v>682.58</v>
      </c>
      <c r="K4982" s="62">
        <v>5851.17</v>
      </c>
      <c r="L4982" s="33" t="e">
        <f>HLOOKUP(B4982,#REF!,1,0)</f>
        <v>#REF!</v>
      </c>
      <c r="M4982" s="33" t="str">
        <f t="shared" si="311"/>
        <v>P&amp;L</v>
      </c>
    </row>
    <row r="4983" spans="1:13" s="33" customFormat="true" ht="12.75" customHeight="true">
      <c r="A4983" s="33" t="str">
        <f t="shared" si="308"/>
        <v>FSH - CGS</v>
      </c>
      <c r="B4983" s="33" t="str">
        <f t="shared" si="309"/>
        <v>FSH</v>
      </c>
      <c r="C4983" s="33" t="str">
        <f t="shared" si="310"/>
        <v>53005-8213</v>
      </c>
      <c r="D4983" s="64" t="s">
        <v>6043</v>
      </c>
      <c r="E4983" s="64" t="s">
        <v>2966</v>
      </c>
      <c r="F4983" s="64" t="s">
        <v>15</v>
      </c>
      <c r="G4983" s="64" t="s">
        <v>2921</v>
      </c>
      <c r="H4983" s="64" t="s">
        <v>1875</v>
      </c>
      <c r="I4983" s="64" t="s">
        <v>2946</v>
      </c>
      <c r="J4983" s="67">
        <v>0</v>
      </c>
      <c r="K4983" s="62">
        <v>2024.56</v>
      </c>
      <c r="L4983" s="33" t="e">
        <f>HLOOKUP(B4983,#REF!,1,0)</f>
        <v>#REF!</v>
      </c>
      <c r="M4983" s="33" t="str">
        <f t="shared" si="311"/>
        <v>P&amp;L</v>
      </c>
    </row>
    <row r="4984" spans="1:13" s="33" customFormat="true" ht="12.75" customHeight="true">
      <c r="A4984" s="33" t="str">
        <f t="shared" si="308"/>
        <v>FSH - CGS</v>
      </c>
      <c r="B4984" s="33" t="str">
        <f t="shared" si="309"/>
        <v>FSH</v>
      </c>
      <c r="C4984" s="33" t="str">
        <f t="shared" si="310"/>
        <v>53006-8213</v>
      </c>
      <c r="D4984" s="64" t="s">
        <v>6044</v>
      </c>
      <c r="E4984" s="64" t="s">
        <v>2970</v>
      </c>
      <c r="F4984" s="64" t="s">
        <v>15</v>
      </c>
      <c r="G4984" s="64" t="s">
        <v>2921</v>
      </c>
      <c r="H4984" s="64" t="s">
        <v>1875</v>
      </c>
      <c r="I4984" s="64" t="s">
        <v>2946</v>
      </c>
      <c r="J4984" s="67">
        <v>0</v>
      </c>
      <c r="K4984" s="62">
        <v>1252.03</v>
      </c>
      <c r="L4984" s="33" t="e">
        <f>HLOOKUP(B4984,#REF!,1,0)</f>
        <v>#REF!</v>
      </c>
      <c r="M4984" s="33" t="str">
        <f t="shared" si="311"/>
        <v>P&amp;L</v>
      </c>
    </row>
    <row r="4985" spans="1:13" s="33" customFormat="true" ht="12.75" customHeight="true">
      <c r="A4985" s="33" t="str">
        <f t="shared" si="308"/>
        <v>FSH - CGS</v>
      </c>
      <c r="B4985" s="33" t="str">
        <f t="shared" si="309"/>
        <v>FSH</v>
      </c>
      <c r="C4985" s="33" t="str">
        <f t="shared" si="310"/>
        <v>54001-8213</v>
      </c>
      <c r="D4985" s="64" t="s">
        <v>6045</v>
      </c>
      <c r="E4985" s="64" t="s">
        <v>2975</v>
      </c>
      <c r="F4985" s="64" t="s">
        <v>15</v>
      </c>
      <c r="G4985" s="64" t="s">
        <v>2976</v>
      </c>
      <c r="H4985" s="64" t="s">
        <v>1875</v>
      </c>
      <c r="I4985" s="64" t="s">
        <v>2977</v>
      </c>
      <c r="J4985" s="67">
        <v>0</v>
      </c>
      <c r="K4985" s="62">
        <v>225</v>
      </c>
      <c r="L4985" s="33" t="e">
        <f>HLOOKUP(B4985,#REF!,1,0)</f>
        <v>#REF!</v>
      </c>
      <c r="M4985" s="33" t="str">
        <f t="shared" si="311"/>
        <v>P&amp;L</v>
      </c>
    </row>
    <row r="4986" spans="1:13" s="33" customFormat="true" ht="12.75" customHeight="true">
      <c r="A4986" s="33" t="str">
        <f t="shared" si="308"/>
        <v>FSH - CGS</v>
      </c>
      <c r="B4986" s="33" t="str">
        <f t="shared" si="309"/>
        <v>FSH</v>
      </c>
      <c r="C4986" s="33" t="str">
        <f t="shared" si="310"/>
        <v>54099-8213</v>
      </c>
      <c r="D4986" s="64" t="s">
        <v>6046</v>
      </c>
      <c r="E4986" s="64" t="s">
        <v>2982</v>
      </c>
      <c r="F4986" s="64" t="s">
        <v>15</v>
      </c>
      <c r="G4986" s="64" t="s">
        <v>2921</v>
      </c>
      <c r="H4986" s="64" t="s">
        <v>1875</v>
      </c>
      <c r="I4986" s="64" t="s">
        <v>2983</v>
      </c>
      <c r="J4986" s="67">
        <v>-22613.51</v>
      </c>
      <c r="K4986" s="62">
        <v>-223438.84</v>
      </c>
      <c r="L4986" s="33" t="e">
        <f>HLOOKUP(B4986,#REF!,1,0)</f>
        <v>#REF!</v>
      </c>
      <c r="M4986" s="33" t="str">
        <f t="shared" si="311"/>
        <v>P&amp;L</v>
      </c>
    </row>
    <row r="4987" spans="1:13" s="33" customFormat="true" ht="12.75" customHeight="true">
      <c r="A4987" s="33" t="str">
        <f t="shared" si="308"/>
        <v>FSH - CGS</v>
      </c>
      <c r="B4987" s="33" t="str">
        <f t="shared" si="309"/>
        <v>FSH</v>
      </c>
      <c r="C4987" s="33" t="str">
        <f t="shared" si="310"/>
        <v>54100-8213</v>
      </c>
      <c r="D4987" s="64" t="s">
        <v>6047</v>
      </c>
      <c r="E4987" s="64" t="s">
        <v>2989</v>
      </c>
      <c r="F4987" s="64" t="s">
        <v>15</v>
      </c>
      <c r="G4987" s="64" t="s">
        <v>2921</v>
      </c>
      <c r="H4987" s="64" t="s">
        <v>1875</v>
      </c>
      <c r="I4987" s="64" t="s">
        <v>2990</v>
      </c>
      <c r="J4987" s="67">
        <v>22613.51</v>
      </c>
      <c r="K4987" s="62">
        <v>223438.84</v>
      </c>
      <c r="L4987" s="33" t="e">
        <f>HLOOKUP(B4987,#REF!,1,0)</f>
        <v>#REF!</v>
      </c>
      <c r="M4987" s="33" t="str">
        <f t="shared" si="311"/>
        <v>P&amp;L</v>
      </c>
    </row>
    <row r="4988" spans="1:13" s="33" customFormat="true" ht="12.75" customHeight="true">
      <c r="A4988" s="33" t="str">
        <f t="shared" si="308"/>
        <v>FSH - CGS</v>
      </c>
      <c r="B4988" s="33" t="str">
        <f t="shared" si="309"/>
        <v>FSH</v>
      </c>
      <c r="C4988" s="33" t="str">
        <f t="shared" si="310"/>
        <v>55001-8213</v>
      </c>
      <c r="D4988" s="64" t="s">
        <v>6048</v>
      </c>
      <c r="E4988" s="64" t="s">
        <v>2996</v>
      </c>
      <c r="F4988" s="64" t="s">
        <v>15</v>
      </c>
      <c r="G4988" s="64" t="s">
        <v>2976</v>
      </c>
      <c r="H4988" s="64" t="s">
        <v>1875</v>
      </c>
      <c r="I4988" s="64" t="s">
        <v>2997</v>
      </c>
      <c r="J4988" s="67">
        <v>2702.14</v>
      </c>
      <c r="K4988" s="62">
        <v>27021.4</v>
      </c>
      <c r="L4988" s="33" t="e">
        <f>HLOOKUP(B4988,#REF!,1,0)</f>
        <v>#REF!</v>
      </c>
      <c r="M4988" s="33" t="str">
        <f t="shared" si="311"/>
        <v>P&amp;L</v>
      </c>
    </row>
    <row r="4989" spans="1:13" s="33" customFormat="true" ht="12.75" customHeight="true">
      <c r="A4989" s="33" t="str">
        <f t="shared" si="308"/>
        <v>FSH - CGS</v>
      </c>
      <c r="B4989" s="33" t="str">
        <f t="shared" si="309"/>
        <v>FSH</v>
      </c>
      <c r="C4989" s="33" t="str">
        <f t="shared" si="310"/>
        <v>56001-0000</v>
      </c>
      <c r="D4989" s="64" t="s">
        <v>6049</v>
      </c>
      <c r="E4989" s="64" t="s">
        <v>3002</v>
      </c>
      <c r="F4989" s="64" t="s">
        <v>15</v>
      </c>
      <c r="G4989" s="64" t="s">
        <v>2976</v>
      </c>
      <c r="H4989" s="64" t="s">
        <v>1875</v>
      </c>
      <c r="I4989" s="64" t="s">
        <v>3003</v>
      </c>
      <c r="J4989" s="67">
        <v>0</v>
      </c>
      <c r="K4989" s="62">
        <v>-42143.14</v>
      </c>
      <c r="L4989" s="33" t="e">
        <f>HLOOKUP(B4989,#REF!,1,0)</f>
        <v>#REF!</v>
      </c>
      <c r="M4989" s="33" t="str">
        <f t="shared" si="311"/>
        <v>P&amp;L</v>
      </c>
    </row>
    <row r="4990" spans="1:13" s="33" customFormat="true" ht="12.75" customHeight="true">
      <c r="A4990" s="33" t="str">
        <f t="shared" si="308"/>
        <v>FSH - CGS</v>
      </c>
      <c r="B4990" s="33" t="str">
        <f t="shared" si="309"/>
        <v>FSH</v>
      </c>
      <c r="C4990" s="33" t="str">
        <f t="shared" si="310"/>
        <v>56001-8213</v>
      </c>
      <c r="D4990" s="64" t="s">
        <v>6050</v>
      </c>
      <c r="E4990" s="64" t="s">
        <v>3002</v>
      </c>
      <c r="F4990" s="64" t="s">
        <v>15</v>
      </c>
      <c r="G4990" s="64" t="s">
        <v>2976</v>
      </c>
      <c r="H4990" s="64" t="s">
        <v>1875</v>
      </c>
      <c r="I4990" s="64" t="s">
        <v>3003</v>
      </c>
      <c r="J4990" s="67">
        <v>1618.44</v>
      </c>
      <c r="K4990" s="62">
        <v>6488.52</v>
      </c>
      <c r="L4990" s="33" t="e">
        <f>HLOOKUP(B4990,#REF!,1,0)</f>
        <v>#REF!</v>
      </c>
      <c r="M4990" s="33" t="str">
        <f t="shared" si="311"/>
        <v>P&amp;L</v>
      </c>
    </row>
    <row r="4991" spans="1:13" s="33" customFormat="true" ht="12.75" customHeight="true">
      <c r="A4991" s="33" t="str">
        <f t="shared" si="308"/>
        <v>FSH - CGS</v>
      </c>
      <c r="B4991" s="33" t="str">
        <f t="shared" si="309"/>
        <v>FSH</v>
      </c>
      <c r="C4991" s="33" t="str">
        <f t="shared" si="310"/>
        <v>56002-8213</v>
      </c>
      <c r="D4991" s="64" t="s">
        <v>6051</v>
      </c>
      <c r="E4991" s="64" t="s">
        <v>3009</v>
      </c>
      <c r="F4991" s="64" t="s">
        <v>15</v>
      </c>
      <c r="G4991" s="64" t="s">
        <v>2976</v>
      </c>
      <c r="H4991" s="64" t="s">
        <v>1875</v>
      </c>
      <c r="I4991" s="64" t="s">
        <v>3010</v>
      </c>
      <c r="J4991" s="67">
        <v>0</v>
      </c>
      <c r="K4991" s="62">
        <v>161.78</v>
      </c>
      <c r="L4991" s="33" t="e">
        <f>HLOOKUP(B4991,#REF!,1,0)</f>
        <v>#REF!</v>
      </c>
      <c r="M4991" s="33" t="str">
        <f t="shared" si="311"/>
        <v>P&amp;L</v>
      </c>
    </row>
    <row r="4992" spans="1:13" s="33" customFormat="true" ht="12.75" customHeight="true">
      <c r="A4992" s="33" t="str">
        <f t="shared" si="308"/>
        <v>FSH - CGS</v>
      </c>
      <c r="B4992" s="33" t="str">
        <f t="shared" si="309"/>
        <v>FSH</v>
      </c>
      <c r="C4992" s="33" t="str">
        <f t="shared" si="310"/>
        <v>56050-0000</v>
      </c>
      <c r="D4992" s="64" t="s">
        <v>6052</v>
      </c>
      <c r="E4992" s="64" t="s">
        <v>3016</v>
      </c>
      <c r="F4992" s="64" t="s">
        <v>15</v>
      </c>
      <c r="G4992" s="64" t="s">
        <v>3017</v>
      </c>
      <c r="H4992" s="64" t="s">
        <v>1875</v>
      </c>
      <c r="I4992" s="64" t="s">
        <v>3018</v>
      </c>
      <c r="J4992" s="67">
        <v>-9.15</v>
      </c>
      <c r="K4992" s="62">
        <v>-175.9</v>
      </c>
      <c r="L4992" s="33" t="e">
        <f>HLOOKUP(B4992,#REF!,1,0)</f>
        <v>#REF!</v>
      </c>
      <c r="M4992" s="33" t="str">
        <f t="shared" si="311"/>
        <v>P&amp;L</v>
      </c>
    </row>
    <row r="4993" spans="1:13" s="33" customFormat="true" ht="12.75" customHeight="true">
      <c r="A4993" s="33" t="str">
        <f t="shared" si="308"/>
        <v>FSH - Operating Expense</v>
      </c>
      <c r="B4993" s="33" t="str">
        <f t="shared" si="309"/>
        <v>FSH</v>
      </c>
      <c r="C4993" s="33" t="str">
        <f t="shared" si="310"/>
        <v>60001-8213</v>
      </c>
      <c r="D4993" s="64" t="s">
        <v>6053</v>
      </c>
      <c r="E4993" s="64" t="s">
        <v>3020</v>
      </c>
      <c r="F4993" s="64" t="s">
        <v>15</v>
      </c>
      <c r="G4993" s="64" t="s">
        <v>3021</v>
      </c>
      <c r="H4993" s="64" t="s">
        <v>3022</v>
      </c>
      <c r="I4993" s="64" t="s">
        <v>3023</v>
      </c>
      <c r="J4993" s="67">
        <v>35.31</v>
      </c>
      <c r="K4993" s="62">
        <v>1661.35</v>
      </c>
      <c r="L4993" s="33" t="e">
        <f>HLOOKUP(B4993,#REF!,1,0)</f>
        <v>#REF!</v>
      </c>
      <c r="M4993" s="33" t="str">
        <f t="shared" si="311"/>
        <v>P&amp;L</v>
      </c>
    </row>
    <row r="4994" spans="1:13" s="33" customFormat="true" ht="12.75" customHeight="true">
      <c r="A4994" s="33" t="str">
        <f t="shared" ref="A4994:A5057" si="312">B4994&amp;" - "&amp;TRIM(H4994)</f>
        <v>FSH - Operating Expense</v>
      </c>
      <c r="B4994" s="33" t="str">
        <f t="shared" ref="B4994:B5057" si="313">LEFT(D4994,3)</f>
        <v>FSH</v>
      </c>
      <c r="C4994" s="33" t="str">
        <f t="shared" ref="C4994:C5057" si="314">RIGHT(D4994,10)</f>
        <v>60503-8213</v>
      </c>
      <c r="D4994" s="64" t="s">
        <v>6054</v>
      </c>
      <c r="E4994" s="64" t="s">
        <v>3034</v>
      </c>
      <c r="F4994" s="64" t="s">
        <v>15</v>
      </c>
      <c r="G4994" s="64" t="s">
        <v>3035</v>
      </c>
      <c r="H4994" s="64" t="s">
        <v>3022</v>
      </c>
      <c r="I4994" s="64" t="s">
        <v>3036</v>
      </c>
      <c r="J4994" s="67">
        <v>142.97</v>
      </c>
      <c r="K4994" s="62">
        <v>340.72</v>
      </c>
      <c r="L4994" s="33" t="e">
        <f>HLOOKUP(B4994,#REF!,1,0)</f>
        <v>#REF!</v>
      </c>
      <c r="M4994" s="33" t="str">
        <f t="shared" ref="M4994:M5057" si="315">IF(VALUE(LEFT(C4994,5))&gt;40000,"P&amp;L","BS")</f>
        <v>P&amp;L</v>
      </c>
    </row>
    <row r="4995" spans="1:13" s="33" customFormat="true" ht="12.75" customHeight="true">
      <c r="A4995" s="33" t="str">
        <f t="shared" si="312"/>
        <v>FSH - Operating Expense</v>
      </c>
      <c r="B4995" s="33" t="str">
        <f t="shared" si="313"/>
        <v>FSH</v>
      </c>
      <c r="C4995" s="33" t="str">
        <f t="shared" si="314"/>
        <v>60505-8213</v>
      </c>
      <c r="D4995" s="64" t="s">
        <v>6055</v>
      </c>
      <c r="E4995" s="64" t="s">
        <v>3043</v>
      </c>
      <c r="F4995" s="64" t="s">
        <v>15</v>
      </c>
      <c r="G4995" s="64" t="s">
        <v>3044</v>
      </c>
      <c r="H4995" s="64" t="s">
        <v>3022</v>
      </c>
      <c r="I4995" s="64" t="s">
        <v>3045</v>
      </c>
      <c r="J4995" s="67">
        <v>0</v>
      </c>
      <c r="K4995" s="62">
        <v>901.87</v>
      </c>
      <c r="L4995" s="33" t="e">
        <f>HLOOKUP(B4995,#REF!,1,0)</f>
        <v>#REF!</v>
      </c>
      <c r="M4995" s="33" t="str">
        <f t="shared" si="315"/>
        <v>P&amp;L</v>
      </c>
    </row>
    <row r="4996" spans="1:13" s="33" customFormat="true" ht="12.75" customHeight="true">
      <c r="A4996" s="33" t="str">
        <f t="shared" si="312"/>
        <v>FSH - Operating Expense</v>
      </c>
      <c r="B4996" s="33" t="str">
        <f t="shared" si="313"/>
        <v>FSH</v>
      </c>
      <c r="C4996" s="33" t="str">
        <f t="shared" si="314"/>
        <v>60507-8213</v>
      </c>
      <c r="D4996" s="64" t="s">
        <v>6056</v>
      </c>
      <c r="E4996" s="64" t="s">
        <v>3050</v>
      </c>
      <c r="F4996" s="64" t="s">
        <v>15</v>
      </c>
      <c r="G4996" s="64" t="s">
        <v>3021</v>
      </c>
      <c r="H4996" s="64" t="s">
        <v>3022</v>
      </c>
      <c r="I4996" s="64" t="s">
        <v>3051</v>
      </c>
      <c r="J4996" s="67">
        <v>673.09</v>
      </c>
      <c r="K4996" s="62">
        <v>4565.46</v>
      </c>
      <c r="L4996" s="33" t="e">
        <f>HLOOKUP(B4996,#REF!,1,0)</f>
        <v>#REF!</v>
      </c>
      <c r="M4996" s="33" t="str">
        <f t="shared" si="315"/>
        <v>P&amp;L</v>
      </c>
    </row>
    <row r="4997" spans="1:13" s="33" customFormat="true" ht="12.75" customHeight="true">
      <c r="A4997" s="33" t="str">
        <f t="shared" si="312"/>
        <v>FSH - Operating Expense</v>
      </c>
      <c r="B4997" s="33" t="str">
        <f t="shared" si="313"/>
        <v>FSH</v>
      </c>
      <c r="C4997" s="33" t="str">
        <f t="shared" si="314"/>
        <v>60509-8213</v>
      </c>
      <c r="D4997" s="64" t="s">
        <v>6057</v>
      </c>
      <c r="E4997" s="64" t="s">
        <v>3056</v>
      </c>
      <c r="F4997" s="64" t="s">
        <v>15</v>
      </c>
      <c r="G4997" s="64" t="s">
        <v>3021</v>
      </c>
      <c r="H4997" s="64" t="s">
        <v>3022</v>
      </c>
      <c r="I4997" s="64" t="s">
        <v>3051</v>
      </c>
      <c r="J4997" s="67">
        <v>0</v>
      </c>
      <c r="K4997" s="62">
        <v>649.94</v>
      </c>
      <c r="L4997" s="33" t="e">
        <f>HLOOKUP(B4997,#REF!,1,0)</f>
        <v>#REF!</v>
      </c>
      <c r="M4997" s="33" t="str">
        <f t="shared" si="315"/>
        <v>P&amp;L</v>
      </c>
    </row>
    <row r="4998" spans="1:13" s="33" customFormat="true" ht="12.75" customHeight="true">
      <c r="A4998" s="33" t="str">
        <f t="shared" si="312"/>
        <v>FSH - Operating Expense</v>
      </c>
      <c r="B4998" s="33" t="str">
        <f t="shared" si="313"/>
        <v>FSH</v>
      </c>
      <c r="C4998" s="33" t="str">
        <f t="shared" si="314"/>
        <v>61001-8213</v>
      </c>
      <c r="D4998" s="64" t="s">
        <v>6058</v>
      </c>
      <c r="E4998" s="64" t="s">
        <v>3062</v>
      </c>
      <c r="F4998" s="64" t="s">
        <v>15</v>
      </c>
      <c r="G4998" s="64" t="s">
        <v>3021</v>
      </c>
      <c r="H4998" s="64" t="s">
        <v>3022</v>
      </c>
      <c r="I4998" s="64" t="s">
        <v>3063</v>
      </c>
      <c r="J4998" s="67">
        <v>0</v>
      </c>
      <c r="K4998" s="62">
        <v>166.28</v>
      </c>
      <c r="L4998" s="33" t="e">
        <f>HLOOKUP(B4998,#REF!,1,0)</f>
        <v>#REF!</v>
      </c>
      <c r="M4998" s="33" t="str">
        <f t="shared" si="315"/>
        <v>P&amp;L</v>
      </c>
    </row>
    <row r="4999" spans="1:13" s="33" customFormat="true" ht="12.75" customHeight="true">
      <c r="A4999" s="33" t="str">
        <f t="shared" si="312"/>
        <v>FSH - Operating Expense</v>
      </c>
      <c r="B4999" s="33" t="str">
        <f t="shared" si="313"/>
        <v>FSH</v>
      </c>
      <c r="C4999" s="33" t="str">
        <f t="shared" si="314"/>
        <v>61002-8213</v>
      </c>
      <c r="D4999" s="64" t="s">
        <v>6059</v>
      </c>
      <c r="E4999" s="64" t="s">
        <v>3067</v>
      </c>
      <c r="F4999" s="64" t="s">
        <v>15</v>
      </c>
      <c r="G4999" s="64" t="s">
        <v>3035</v>
      </c>
      <c r="H4999" s="64" t="s">
        <v>3022</v>
      </c>
      <c r="I4999" s="64" t="s">
        <v>3036</v>
      </c>
      <c r="J4999" s="67">
        <v>0</v>
      </c>
      <c r="K4999" s="62">
        <v>646.32</v>
      </c>
      <c r="L4999" s="33" t="e">
        <f>HLOOKUP(B4999,#REF!,1,0)</f>
        <v>#REF!</v>
      </c>
      <c r="M4999" s="33" t="str">
        <f t="shared" si="315"/>
        <v>P&amp;L</v>
      </c>
    </row>
    <row r="5000" spans="1:13" s="33" customFormat="true" ht="12.75" customHeight="true">
      <c r="A5000" s="33" t="str">
        <f t="shared" si="312"/>
        <v>FSH - Operating Expense</v>
      </c>
      <c r="B5000" s="33" t="str">
        <f t="shared" si="313"/>
        <v>FSH</v>
      </c>
      <c r="C5000" s="33" t="str">
        <f t="shared" si="314"/>
        <v>61201-8213</v>
      </c>
      <c r="D5000" s="64" t="s">
        <v>6060</v>
      </c>
      <c r="E5000" s="64" t="s">
        <v>3073</v>
      </c>
      <c r="F5000" s="64" t="s">
        <v>15</v>
      </c>
      <c r="G5000" s="64" t="s">
        <v>3035</v>
      </c>
      <c r="H5000" s="64" t="s">
        <v>3022</v>
      </c>
      <c r="I5000" s="64" t="s">
        <v>3074</v>
      </c>
      <c r="J5000" s="67">
        <v>120.17</v>
      </c>
      <c r="K5000" s="62">
        <v>2675.62</v>
      </c>
      <c r="L5000" s="33" t="e">
        <f>HLOOKUP(B5000,#REF!,1,0)</f>
        <v>#REF!</v>
      </c>
      <c r="M5000" s="33" t="str">
        <f t="shared" si="315"/>
        <v>P&amp;L</v>
      </c>
    </row>
    <row r="5001" spans="1:13" s="33" customFormat="true" ht="12.75" customHeight="true">
      <c r="A5001" s="33" t="str">
        <f t="shared" si="312"/>
        <v>FSH - Operating Expense</v>
      </c>
      <c r="B5001" s="33" t="str">
        <f t="shared" si="313"/>
        <v>FSH</v>
      </c>
      <c r="C5001" s="33" t="str">
        <f t="shared" si="314"/>
        <v>61501-8213</v>
      </c>
      <c r="D5001" s="64" t="s">
        <v>6061</v>
      </c>
      <c r="E5001" s="64" t="s">
        <v>3079</v>
      </c>
      <c r="F5001" s="64" t="s">
        <v>15</v>
      </c>
      <c r="G5001" s="64" t="s">
        <v>3035</v>
      </c>
      <c r="H5001" s="64" t="s">
        <v>3022</v>
      </c>
      <c r="I5001" s="64" t="s">
        <v>3036</v>
      </c>
      <c r="J5001" s="67">
        <v>0</v>
      </c>
      <c r="K5001" s="62">
        <v>29.74</v>
      </c>
      <c r="L5001" s="33" t="e">
        <f>HLOOKUP(B5001,#REF!,1,0)</f>
        <v>#REF!</v>
      </c>
      <c r="M5001" s="33" t="str">
        <f t="shared" si="315"/>
        <v>P&amp;L</v>
      </c>
    </row>
    <row r="5002" spans="1:13" s="33" customFormat="true" ht="12.75" customHeight="true">
      <c r="A5002" s="33" t="str">
        <f t="shared" si="312"/>
        <v>FSH - Operating Expense</v>
      </c>
      <c r="B5002" s="33" t="str">
        <f t="shared" si="313"/>
        <v>FSH</v>
      </c>
      <c r="C5002" s="33" t="str">
        <f t="shared" si="314"/>
        <v>61505-8213</v>
      </c>
      <c r="D5002" s="64" t="s">
        <v>6062</v>
      </c>
      <c r="E5002" s="64" t="s">
        <v>4934</v>
      </c>
      <c r="F5002" s="64" t="s">
        <v>15</v>
      </c>
      <c r="G5002" s="64" t="s">
        <v>3044</v>
      </c>
      <c r="H5002" s="64" t="s">
        <v>3022</v>
      </c>
      <c r="I5002" s="64" t="s">
        <v>3045</v>
      </c>
      <c r="J5002" s="67">
        <v>0</v>
      </c>
      <c r="K5002" s="62">
        <v>35.71</v>
      </c>
      <c r="L5002" s="33" t="e">
        <f>HLOOKUP(B5002,#REF!,1,0)</f>
        <v>#REF!</v>
      </c>
      <c r="M5002" s="33" t="str">
        <f t="shared" si="315"/>
        <v>P&amp;L</v>
      </c>
    </row>
    <row r="5003" spans="1:13" s="33" customFormat="true" ht="12.75" customHeight="true">
      <c r="A5003" s="33" t="str">
        <f t="shared" si="312"/>
        <v>FSH - Operating Expense</v>
      </c>
      <c r="B5003" s="33" t="str">
        <f t="shared" si="313"/>
        <v>FSH</v>
      </c>
      <c r="C5003" s="33" t="str">
        <f t="shared" si="314"/>
        <v>62001-8213</v>
      </c>
      <c r="D5003" s="64" t="s">
        <v>6063</v>
      </c>
      <c r="E5003" s="64" t="s">
        <v>3087</v>
      </c>
      <c r="F5003" s="64" t="s">
        <v>15</v>
      </c>
      <c r="G5003" s="64" t="s">
        <v>3035</v>
      </c>
      <c r="H5003" s="64" t="s">
        <v>3022</v>
      </c>
      <c r="I5003" s="64" t="s">
        <v>3074</v>
      </c>
      <c r="J5003" s="67">
        <v>0</v>
      </c>
      <c r="K5003" s="62">
        <v>150.67</v>
      </c>
      <c r="L5003" s="33" t="e">
        <f>HLOOKUP(B5003,#REF!,1,0)</f>
        <v>#REF!</v>
      </c>
      <c r="M5003" s="33" t="str">
        <f t="shared" si="315"/>
        <v>P&amp;L</v>
      </c>
    </row>
    <row r="5004" spans="1:13" s="33" customFormat="true" ht="12.75" customHeight="true">
      <c r="A5004" s="33" t="str">
        <f t="shared" si="312"/>
        <v>FSH - Operating Expense</v>
      </c>
      <c r="B5004" s="33" t="str">
        <f t="shared" si="313"/>
        <v>FSH</v>
      </c>
      <c r="C5004" s="33" t="str">
        <f t="shared" si="314"/>
        <v>62002-8213</v>
      </c>
      <c r="D5004" s="64" t="s">
        <v>6064</v>
      </c>
      <c r="E5004" s="64" t="s">
        <v>3090</v>
      </c>
      <c r="F5004" s="64" t="s">
        <v>15</v>
      </c>
      <c r="G5004" s="64" t="s">
        <v>3035</v>
      </c>
      <c r="H5004" s="64" t="s">
        <v>3022</v>
      </c>
      <c r="I5004" s="64" t="s">
        <v>3074</v>
      </c>
      <c r="J5004" s="67">
        <v>0</v>
      </c>
      <c r="K5004" s="62">
        <v>939.58</v>
      </c>
      <c r="L5004" s="33" t="e">
        <f>HLOOKUP(B5004,#REF!,1,0)</f>
        <v>#REF!</v>
      </c>
      <c r="M5004" s="33" t="str">
        <f t="shared" si="315"/>
        <v>P&amp;L</v>
      </c>
    </row>
    <row r="5005" spans="1:13" s="33" customFormat="true" ht="12.75" customHeight="true">
      <c r="A5005" s="33" t="str">
        <f t="shared" si="312"/>
        <v>FSH - Operating Expense</v>
      </c>
      <c r="B5005" s="33" t="str">
        <f t="shared" si="313"/>
        <v>FSH</v>
      </c>
      <c r="C5005" s="33" t="str">
        <f t="shared" si="314"/>
        <v>62097-8213</v>
      </c>
      <c r="D5005" s="64" t="s">
        <v>6065</v>
      </c>
      <c r="E5005" s="64" t="s">
        <v>3095</v>
      </c>
      <c r="F5005" s="64" t="s">
        <v>15</v>
      </c>
      <c r="G5005" s="64" t="s">
        <v>3035</v>
      </c>
      <c r="H5005" s="64" t="s">
        <v>3022</v>
      </c>
      <c r="I5005" s="64" t="s">
        <v>3096</v>
      </c>
      <c r="J5005" s="67">
        <v>0</v>
      </c>
      <c r="K5005" s="62">
        <v>150</v>
      </c>
      <c r="L5005" s="33" t="e">
        <f>HLOOKUP(B5005,#REF!,1,0)</f>
        <v>#REF!</v>
      </c>
      <c r="M5005" s="33" t="str">
        <f t="shared" si="315"/>
        <v>P&amp;L</v>
      </c>
    </row>
    <row r="5006" spans="1:13" s="33" customFormat="true" ht="12.75" customHeight="true">
      <c r="A5006" s="33" t="str">
        <f t="shared" si="312"/>
        <v>FSH - Operating Expense</v>
      </c>
      <c r="B5006" s="33" t="str">
        <f t="shared" si="313"/>
        <v>FSH</v>
      </c>
      <c r="C5006" s="33" t="str">
        <f t="shared" si="314"/>
        <v>62501-8213</v>
      </c>
      <c r="D5006" s="64" t="s">
        <v>6066</v>
      </c>
      <c r="E5006" s="64" t="s">
        <v>3101</v>
      </c>
      <c r="F5006" s="64" t="s">
        <v>15</v>
      </c>
      <c r="G5006" s="64" t="s">
        <v>3035</v>
      </c>
      <c r="H5006" s="64" t="s">
        <v>3022</v>
      </c>
      <c r="I5006" s="64" t="s">
        <v>3102</v>
      </c>
      <c r="J5006" s="67">
        <v>0</v>
      </c>
      <c r="K5006" s="62">
        <v>4930.25</v>
      </c>
      <c r="L5006" s="33" t="e">
        <f>HLOOKUP(B5006,#REF!,1,0)</f>
        <v>#REF!</v>
      </c>
      <c r="M5006" s="33" t="str">
        <f t="shared" si="315"/>
        <v>P&amp;L</v>
      </c>
    </row>
    <row r="5007" spans="1:13" s="33" customFormat="true" ht="12.75" customHeight="true">
      <c r="A5007" s="33" t="str">
        <f t="shared" si="312"/>
        <v>FSH - Operating Expense</v>
      </c>
      <c r="B5007" s="33" t="str">
        <f t="shared" si="313"/>
        <v>FSH</v>
      </c>
      <c r="C5007" s="33" t="str">
        <f t="shared" si="314"/>
        <v>62510-8213</v>
      </c>
      <c r="D5007" s="64" t="s">
        <v>6067</v>
      </c>
      <c r="E5007" s="64" t="s">
        <v>3111</v>
      </c>
      <c r="F5007" s="64" t="s">
        <v>15</v>
      </c>
      <c r="G5007" s="64" t="s">
        <v>3035</v>
      </c>
      <c r="H5007" s="64" t="s">
        <v>3022</v>
      </c>
      <c r="I5007" s="64" t="s">
        <v>3102</v>
      </c>
      <c r="J5007" s="67">
        <v>85.03</v>
      </c>
      <c r="K5007" s="62">
        <v>802.86</v>
      </c>
      <c r="L5007" s="33" t="e">
        <f>HLOOKUP(B5007,#REF!,1,0)</f>
        <v>#REF!</v>
      </c>
      <c r="M5007" s="33" t="str">
        <f t="shared" si="315"/>
        <v>P&amp;L</v>
      </c>
    </row>
    <row r="5008" spans="1:13" s="33" customFormat="true" ht="12.75" customHeight="true">
      <c r="A5008" s="33" t="str">
        <f t="shared" si="312"/>
        <v>FSH - Operating Expense</v>
      </c>
      <c r="B5008" s="33" t="str">
        <f t="shared" si="313"/>
        <v>FSH</v>
      </c>
      <c r="C5008" s="33" t="str">
        <f t="shared" si="314"/>
        <v>62511-8213</v>
      </c>
      <c r="D5008" s="64" t="s">
        <v>6068</v>
      </c>
      <c r="E5008" s="64" t="s">
        <v>3116</v>
      </c>
      <c r="F5008" s="64" t="s">
        <v>15</v>
      </c>
      <c r="G5008" s="64" t="s">
        <v>3035</v>
      </c>
      <c r="H5008" s="64" t="s">
        <v>3022</v>
      </c>
      <c r="I5008" s="64" t="s">
        <v>3036</v>
      </c>
      <c r="J5008" s="67">
        <v>0</v>
      </c>
      <c r="K5008" s="62">
        <v>685.41</v>
      </c>
      <c r="L5008" s="33" t="e">
        <f>HLOOKUP(B5008,#REF!,1,0)</f>
        <v>#REF!</v>
      </c>
      <c r="M5008" s="33" t="str">
        <f t="shared" si="315"/>
        <v>P&amp;L</v>
      </c>
    </row>
    <row r="5009" spans="1:13" s="33" customFormat="true" ht="12.75" customHeight="true">
      <c r="A5009" s="33" t="str">
        <f t="shared" si="312"/>
        <v>FSH - Operating Expense</v>
      </c>
      <c r="B5009" s="33" t="str">
        <f t="shared" si="313"/>
        <v>FSH</v>
      </c>
      <c r="C5009" s="33" t="str">
        <f t="shared" si="314"/>
        <v>62512-8213</v>
      </c>
      <c r="D5009" s="64" t="s">
        <v>6069</v>
      </c>
      <c r="E5009" s="64" t="s">
        <v>3121</v>
      </c>
      <c r="F5009" s="64" t="s">
        <v>15</v>
      </c>
      <c r="G5009" s="64" t="s">
        <v>3035</v>
      </c>
      <c r="H5009" s="64" t="s">
        <v>3022</v>
      </c>
      <c r="I5009" s="64" t="s">
        <v>3102</v>
      </c>
      <c r="J5009" s="67">
        <v>0</v>
      </c>
      <c r="K5009" s="62">
        <v>140</v>
      </c>
      <c r="L5009" s="33" t="e">
        <f>HLOOKUP(B5009,#REF!,1,0)</f>
        <v>#REF!</v>
      </c>
      <c r="M5009" s="33" t="str">
        <f t="shared" si="315"/>
        <v>P&amp;L</v>
      </c>
    </row>
    <row r="5010" spans="1:13" s="33" customFormat="true" ht="12.75" customHeight="true">
      <c r="A5010" s="33" t="str">
        <f t="shared" si="312"/>
        <v>FSH - Operating Expense</v>
      </c>
      <c r="B5010" s="33" t="str">
        <f t="shared" si="313"/>
        <v>FSH</v>
      </c>
      <c r="C5010" s="33" t="str">
        <f t="shared" si="314"/>
        <v>62513-8213</v>
      </c>
      <c r="D5010" s="64" t="s">
        <v>6070</v>
      </c>
      <c r="E5010" s="64" t="s">
        <v>3124</v>
      </c>
      <c r="F5010" s="64" t="s">
        <v>15</v>
      </c>
      <c r="G5010" s="64" t="s">
        <v>3035</v>
      </c>
      <c r="H5010" s="64" t="s">
        <v>3022</v>
      </c>
      <c r="I5010" s="64" t="s">
        <v>3102</v>
      </c>
      <c r="J5010" s="67">
        <v>40.93</v>
      </c>
      <c r="K5010" s="62">
        <v>817.21</v>
      </c>
      <c r="L5010" s="33" t="e">
        <f>HLOOKUP(B5010,#REF!,1,0)</f>
        <v>#REF!</v>
      </c>
      <c r="M5010" s="33" t="str">
        <f t="shared" si="315"/>
        <v>P&amp;L</v>
      </c>
    </row>
    <row r="5011" spans="1:13" s="33" customFormat="true" ht="12.75" customHeight="true">
      <c r="A5011" s="33" t="str">
        <f t="shared" si="312"/>
        <v>FSH - Operating Expense</v>
      </c>
      <c r="B5011" s="33" t="str">
        <f t="shared" si="313"/>
        <v>FSH</v>
      </c>
      <c r="C5011" s="33" t="str">
        <f t="shared" si="314"/>
        <v>62550-8213</v>
      </c>
      <c r="D5011" s="64" t="s">
        <v>6071</v>
      </c>
      <c r="E5011" s="64" t="s">
        <v>3129</v>
      </c>
      <c r="F5011" s="64" t="s">
        <v>15</v>
      </c>
      <c r="G5011" s="64" t="s">
        <v>3035</v>
      </c>
      <c r="H5011" s="64" t="s">
        <v>3022</v>
      </c>
      <c r="I5011" s="64" t="s">
        <v>3130</v>
      </c>
      <c r="J5011" s="67">
        <v>2103.17</v>
      </c>
      <c r="K5011" s="62">
        <v>10922.57</v>
      </c>
      <c r="L5011" s="33" t="e">
        <f>HLOOKUP(B5011,#REF!,1,0)</f>
        <v>#REF!</v>
      </c>
      <c r="M5011" s="33" t="str">
        <f t="shared" si="315"/>
        <v>P&amp;L</v>
      </c>
    </row>
    <row r="5012" spans="1:13" s="33" customFormat="true" ht="12.75" customHeight="true">
      <c r="A5012" s="33" t="str">
        <f t="shared" si="312"/>
        <v>FSH - Operating Expense</v>
      </c>
      <c r="B5012" s="33" t="str">
        <f t="shared" si="313"/>
        <v>FSH</v>
      </c>
      <c r="C5012" s="33" t="str">
        <f t="shared" si="314"/>
        <v>62551-8213</v>
      </c>
      <c r="D5012" s="64" t="s">
        <v>6072</v>
      </c>
      <c r="E5012" s="64" t="s">
        <v>3132</v>
      </c>
      <c r="F5012" s="64" t="s">
        <v>15</v>
      </c>
      <c r="G5012" s="64" t="s">
        <v>3035</v>
      </c>
      <c r="H5012" s="64" t="s">
        <v>3022</v>
      </c>
      <c r="I5012" s="64" t="s">
        <v>3130</v>
      </c>
      <c r="J5012" s="67">
        <v>2168.27</v>
      </c>
      <c r="K5012" s="62">
        <v>6273.15</v>
      </c>
      <c r="L5012" s="33" t="e">
        <f>HLOOKUP(B5012,#REF!,1,0)</f>
        <v>#REF!</v>
      </c>
      <c r="M5012" s="33" t="str">
        <f t="shared" si="315"/>
        <v>P&amp;L</v>
      </c>
    </row>
    <row r="5013" spans="1:13" s="33" customFormat="true" ht="12.75" customHeight="true">
      <c r="A5013" s="33" t="str">
        <f t="shared" si="312"/>
        <v>FSH - Operating Expense</v>
      </c>
      <c r="B5013" s="33" t="str">
        <f t="shared" si="313"/>
        <v>FSH</v>
      </c>
      <c r="C5013" s="33" t="str">
        <f t="shared" si="314"/>
        <v>63001-8213</v>
      </c>
      <c r="D5013" s="64" t="s">
        <v>6073</v>
      </c>
      <c r="E5013" s="64" t="s">
        <v>3134</v>
      </c>
      <c r="F5013" s="64" t="s">
        <v>15</v>
      </c>
      <c r="G5013" s="64" t="s">
        <v>3035</v>
      </c>
      <c r="H5013" s="64" t="s">
        <v>3022</v>
      </c>
      <c r="I5013" s="64" t="s">
        <v>3036</v>
      </c>
      <c r="J5013" s="67">
        <v>0</v>
      </c>
      <c r="K5013" s="62">
        <v>1084.5</v>
      </c>
      <c r="L5013" s="33" t="e">
        <f>HLOOKUP(B5013,#REF!,1,0)</f>
        <v>#REF!</v>
      </c>
      <c r="M5013" s="33" t="str">
        <f t="shared" si="315"/>
        <v>P&amp;L</v>
      </c>
    </row>
    <row r="5014" spans="1:13" s="33" customFormat="true" ht="12.75" customHeight="true">
      <c r="A5014" s="33" t="str">
        <f t="shared" si="312"/>
        <v>FSH - Operating Expense</v>
      </c>
      <c r="B5014" s="33" t="str">
        <f t="shared" si="313"/>
        <v>FSH</v>
      </c>
      <c r="C5014" s="33" t="str">
        <f t="shared" si="314"/>
        <v>63004-8213</v>
      </c>
      <c r="D5014" s="64" t="s">
        <v>6074</v>
      </c>
      <c r="E5014" s="64" t="s">
        <v>3139</v>
      </c>
      <c r="F5014" s="64" t="s">
        <v>15</v>
      </c>
      <c r="G5014" s="64" t="s">
        <v>3035</v>
      </c>
      <c r="H5014" s="64" t="s">
        <v>3022</v>
      </c>
      <c r="I5014" s="64" t="s">
        <v>3140</v>
      </c>
      <c r="J5014" s="67">
        <v>150</v>
      </c>
      <c r="K5014" s="62">
        <v>1740</v>
      </c>
      <c r="L5014" s="33" t="e">
        <f>HLOOKUP(B5014,#REF!,1,0)</f>
        <v>#REF!</v>
      </c>
      <c r="M5014" s="33" t="str">
        <f t="shared" si="315"/>
        <v>P&amp;L</v>
      </c>
    </row>
    <row r="5015" spans="1:13" s="33" customFormat="true" ht="12.75" customHeight="true">
      <c r="A5015" s="33" t="str">
        <f t="shared" si="312"/>
        <v>FSH - Operating Expense</v>
      </c>
      <c r="B5015" s="33" t="str">
        <f t="shared" si="313"/>
        <v>FSH</v>
      </c>
      <c r="C5015" s="33" t="str">
        <f t="shared" si="314"/>
        <v>63005-8213</v>
      </c>
      <c r="D5015" s="64" t="s">
        <v>6075</v>
      </c>
      <c r="E5015" s="64" t="s">
        <v>4996</v>
      </c>
      <c r="F5015" s="64" t="s">
        <v>15</v>
      </c>
      <c r="G5015" s="64" t="s">
        <v>3035</v>
      </c>
      <c r="H5015" s="64" t="s">
        <v>3022</v>
      </c>
      <c r="I5015" s="64" t="s">
        <v>3036</v>
      </c>
      <c r="J5015" s="67">
        <v>0</v>
      </c>
      <c r="K5015" s="62">
        <v>246</v>
      </c>
      <c r="L5015" s="33" t="e">
        <f>HLOOKUP(B5015,#REF!,1,0)</f>
        <v>#REF!</v>
      </c>
      <c r="M5015" s="33" t="str">
        <f t="shared" si="315"/>
        <v>P&amp;L</v>
      </c>
    </row>
    <row r="5016" spans="1:13" s="33" customFormat="true" ht="12.75" customHeight="true">
      <c r="A5016" s="33" t="str">
        <f t="shared" si="312"/>
        <v>FSH - Operating Expense</v>
      </c>
      <c r="B5016" s="33" t="str">
        <f t="shared" si="313"/>
        <v>FSH</v>
      </c>
      <c r="C5016" s="33" t="str">
        <f t="shared" si="314"/>
        <v>63006-8213</v>
      </c>
      <c r="D5016" s="64" t="s">
        <v>6076</v>
      </c>
      <c r="E5016" s="64" t="s">
        <v>3146</v>
      </c>
      <c r="F5016" s="64" t="s">
        <v>15</v>
      </c>
      <c r="G5016" s="64" t="s">
        <v>3035</v>
      </c>
      <c r="H5016" s="64" t="s">
        <v>3022</v>
      </c>
      <c r="I5016" s="64" t="s">
        <v>3036</v>
      </c>
      <c r="J5016" s="67">
        <v>215</v>
      </c>
      <c r="K5016" s="62">
        <v>645</v>
      </c>
      <c r="L5016" s="33" t="e">
        <f>HLOOKUP(B5016,#REF!,1,0)</f>
        <v>#REF!</v>
      </c>
      <c r="M5016" s="33" t="str">
        <f t="shared" si="315"/>
        <v>P&amp;L</v>
      </c>
    </row>
    <row r="5017" spans="1:13" s="33" customFormat="true" ht="12.75" customHeight="true">
      <c r="A5017" s="33" t="str">
        <f t="shared" si="312"/>
        <v>FSH - Operating Expense</v>
      </c>
      <c r="B5017" s="33" t="str">
        <f t="shared" si="313"/>
        <v>FSH</v>
      </c>
      <c r="C5017" s="33" t="str">
        <f t="shared" si="314"/>
        <v>63501-8213</v>
      </c>
      <c r="D5017" s="64" t="s">
        <v>6077</v>
      </c>
      <c r="E5017" s="64" t="s">
        <v>3159</v>
      </c>
      <c r="F5017" s="64" t="s">
        <v>15</v>
      </c>
      <c r="G5017" s="64" t="s">
        <v>3160</v>
      </c>
      <c r="H5017" s="64" t="s">
        <v>3022</v>
      </c>
      <c r="I5017" s="64" t="s">
        <v>3161</v>
      </c>
      <c r="J5017" s="67">
        <v>73.53</v>
      </c>
      <c r="K5017" s="62">
        <v>1131.92</v>
      </c>
      <c r="L5017" s="33" t="e">
        <f>HLOOKUP(B5017,#REF!,1,0)</f>
        <v>#REF!</v>
      </c>
      <c r="M5017" s="33" t="str">
        <f t="shared" si="315"/>
        <v>P&amp;L</v>
      </c>
    </row>
    <row r="5018" spans="1:13" s="33" customFormat="true" ht="12.75" customHeight="true">
      <c r="A5018" s="33" t="str">
        <f t="shared" si="312"/>
        <v>FSH - Operating Expense</v>
      </c>
      <c r="B5018" s="33" t="str">
        <f t="shared" si="313"/>
        <v>FSH</v>
      </c>
      <c r="C5018" s="33" t="str">
        <f t="shared" si="314"/>
        <v>63502-8213</v>
      </c>
      <c r="D5018" s="64" t="s">
        <v>6078</v>
      </c>
      <c r="E5018" s="64" t="s">
        <v>3167</v>
      </c>
      <c r="F5018" s="64" t="s">
        <v>15</v>
      </c>
      <c r="G5018" s="64" t="s">
        <v>3160</v>
      </c>
      <c r="H5018" s="64" t="s">
        <v>3022</v>
      </c>
      <c r="I5018" s="64" t="s">
        <v>3168</v>
      </c>
      <c r="J5018" s="67">
        <v>3289.18</v>
      </c>
      <c r="K5018" s="62">
        <v>36718.62</v>
      </c>
      <c r="L5018" s="33" t="e">
        <f>HLOOKUP(B5018,#REF!,1,0)</f>
        <v>#REF!</v>
      </c>
      <c r="M5018" s="33" t="str">
        <f t="shared" si="315"/>
        <v>P&amp;L</v>
      </c>
    </row>
    <row r="5019" spans="1:13" s="33" customFormat="true" ht="12.75" customHeight="true">
      <c r="A5019" s="33" t="str">
        <f t="shared" si="312"/>
        <v>FSH - Operating Expense</v>
      </c>
      <c r="B5019" s="33" t="str">
        <f t="shared" si="313"/>
        <v>FSH</v>
      </c>
      <c r="C5019" s="33" t="str">
        <f t="shared" si="314"/>
        <v>63503-8213</v>
      </c>
      <c r="D5019" s="64" t="s">
        <v>6079</v>
      </c>
      <c r="E5019" s="64" t="s">
        <v>3174</v>
      </c>
      <c r="F5019" s="64" t="s">
        <v>15</v>
      </c>
      <c r="G5019" s="64" t="s">
        <v>3160</v>
      </c>
      <c r="H5019" s="64" t="s">
        <v>3022</v>
      </c>
      <c r="I5019" s="64" t="s">
        <v>3175</v>
      </c>
      <c r="J5019" s="67">
        <v>1222.83</v>
      </c>
      <c r="K5019" s="62">
        <v>11241.15</v>
      </c>
      <c r="L5019" s="33" t="e">
        <f>HLOOKUP(B5019,#REF!,1,0)</f>
        <v>#REF!</v>
      </c>
      <c r="M5019" s="33" t="str">
        <f t="shared" si="315"/>
        <v>P&amp;L</v>
      </c>
    </row>
    <row r="5020" spans="1:13" s="33" customFormat="true" ht="12.75" customHeight="true">
      <c r="A5020" s="33" t="str">
        <f t="shared" si="312"/>
        <v>FSH - Operating Expense</v>
      </c>
      <c r="B5020" s="33" t="str">
        <f t="shared" si="313"/>
        <v>FSH</v>
      </c>
      <c r="C5020" s="33" t="str">
        <f t="shared" si="314"/>
        <v>63504-8213</v>
      </c>
      <c r="D5020" s="64" t="s">
        <v>6080</v>
      </c>
      <c r="E5020" s="64" t="s">
        <v>3181</v>
      </c>
      <c r="F5020" s="64" t="s">
        <v>15</v>
      </c>
      <c r="G5020" s="64" t="s">
        <v>3160</v>
      </c>
      <c r="H5020" s="64" t="s">
        <v>3022</v>
      </c>
      <c r="I5020" s="64" t="s">
        <v>3182</v>
      </c>
      <c r="J5020" s="67">
        <v>131.96</v>
      </c>
      <c r="K5020" s="62">
        <v>1243.76</v>
      </c>
      <c r="L5020" s="33" t="e">
        <f>HLOOKUP(B5020,#REF!,1,0)</f>
        <v>#REF!</v>
      </c>
      <c r="M5020" s="33" t="str">
        <f t="shared" si="315"/>
        <v>P&amp;L</v>
      </c>
    </row>
    <row r="5021" spans="1:13" s="33" customFormat="true" ht="12.75" customHeight="true">
      <c r="A5021" s="33" t="str">
        <f t="shared" si="312"/>
        <v>FSH - Operating Expense</v>
      </c>
      <c r="B5021" s="33" t="str">
        <f t="shared" si="313"/>
        <v>FSH</v>
      </c>
      <c r="C5021" s="33" t="str">
        <f t="shared" si="314"/>
        <v>64001-8213</v>
      </c>
      <c r="D5021" s="64" t="s">
        <v>6081</v>
      </c>
      <c r="E5021" s="64" t="s">
        <v>5031</v>
      </c>
      <c r="F5021" s="64" t="s">
        <v>15</v>
      </c>
      <c r="G5021" s="64" t="s">
        <v>3044</v>
      </c>
      <c r="H5021" s="64" t="s">
        <v>3022</v>
      </c>
      <c r="I5021" s="64" t="s">
        <v>5032</v>
      </c>
      <c r="J5021" s="67">
        <v>473.78</v>
      </c>
      <c r="K5021" s="62">
        <v>4144.63</v>
      </c>
      <c r="L5021" s="33" t="e">
        <f>HLOOKUP(B5021,#REF!,1,0)</f>
        <v>#REF!</v>
      </c>
      <c r="M5021" s="33" t="str">
        <f t="shared" si="315"/>
        <v>P&amp;L</v>
      </c>
    </row>
    <row r="5022" spans="1:13" s="33" customFormat="true" ht="12.75" customHeight="true">
      <c r="A5022" s="33" t="str">
        <f t="shared" si="312"/>
        <v>FSH - Operating Expense</v>
      </c>
      <c r="B5022" s="33" t="str">
        <f t="shared" si="313"/>
        <v>FSH</v>
      </c>
      <c r="C5022" s="33" t="str">
        <f t="shared" si="314"/>
        <v>64501-8213</v>
      </c>
      <c r="D5022" s="64" t="s">
        <v>6082</v>
      </c>
      <c r="E5022" s="64" t="s">
        <v>3188</v>
      </c>
      <c r="F5022" s="64" t="s">
        <v>15</v>
      </c>
      <c r="G5022" s="64" t="s">
        <v>3044</v>
      </c>
      <c r="H5022" s="64" t="s">
        <v>3022</v>
      </c>
      <c r="I5022" s="64" t="s">
        <v>3189</v>
      </c>
      <c r="J5022" s="67">
        <v>810.91</v>
      </c>
      <c r="K5022" s="62">
        <v>8833.82</v>
      </c>
      <c r="L5022" s="33" t="e">
        <f>HLOOKUP(B5022,#REF!,1,0)</f>
        <v>#REF!</v>
      </c>
      <c r="M5022" s="33" t="str">
        <f t="shared" si="315"/>
        <v>P&amp;L</v>
      </c>
    </row>
    <row r="5023" spans="1:13" s="33" customFormat="true" ht="12.75" customHeight="true">
      <c r="A5023" s="33" t="str">
        <f t="shared" si="312"/>
        <v>FSH - Operating Expense</v>
      </c>
      <c r="B5023" s="33" t="str">
        <f t="shared" si="313"/>
        <v>FSH</v>
      </c>
      <c r="C5023" s="33" t="str">
        <f t="shared" si="314"/>
        <v>64502-8213</v>
      </c>
      <c r="D5023" s="64" t="s">
        <v>6083</v>
      </c>
      <c r="E5023" s="64" t="s">
        <v>3195</v>
      </c>
      <c r="F5023" s="64" t="s">
        <v>15</v>
      </c>
      <c r="G5023" s="64" t="s">
        <v>3044</v>
      </c>
      <c r="H5023" s="64" t="s">
        <v>3022</v>
      </c>
      <c r="I5023" s="64" t="s">
        <v>3196</v>
      </c>
      <c r="J5023" s="67">
        <v>765.53</v>
      </c>
      <c r="K5023" s="62">
        <v>5490.18</v>
      </c>
      <c r="L5023" s="33" t="e">
        <f>HLOOKUP(B5023,#REF!,1,0)</f>
        <v>#REF!</v>
      </c>
      <c r="M5023" s="33" t="str">
        <f t="shared" si="315"/>
        <v>P&amp;L</v>
      </c>
    </row>
    <row r="5024" spans="1:13" s="33" customFormat="true" ht="12.75" customHeight="true">
      <c r="A5024" s="33" t="str">
        <f t="shared" si="312"/>
        <v>FSH - Operating Expense</v>
      </c>
      <c r="B5024" s="33" t="str">
        <f t="shared" si="313"/>
        <v>FSH</v>
      </c>
      <c r="C5024" s="33" t="str">
        <f t="shared" si="314"/>
        <v>64503-8213</v>
      </c>
      <c r="D5024" s="64" t="s">
        <v>6084</v>
      </c>
      <c r="E5024" s="64" t="s">
        <v>3202</v>
      </c>
      <c r="F5024" s="64" t="s">
        <v>15</v>
      </c>
      <c r="G5024" s="64" t="s">
        <v>3044</v>
      </c>
      <c r="H5024" s="64" t="s">
        <v>3022</v>
      </c>
      <c r="I5024" s="64" t="s">
        <v>3189</v>
      </c>
      <c r="J5024" s="67">
        <v>551.67</v>
      </c>
      <c r="K5024" s="62">
        <v>2575.49</v>
      </c>
      <c r="L5024" s="33" t="e">
        <f>HLOOKUP(B5024,#REF!,1,0)</f>
        <v>#REF!</v>
      </c>
      <c r="M5024" s="33" t="str">
        <f t="shared" si="315"/>
        <v>P&amp;L</v>
      </c>
    </row>
    <row r="5025" spans="1:13" s="33" customFormat="true" ht="12.75" customHeight="true">
      <c r="A5025" s="33" t="str">
        <f t="shared" si="312"/>
        <v>FSH - Operating Expense</v>
      </c>
      <c r="B5025" s="33" t="str">
        <f t="shared" si="313"/>
        <v>FSH</v>
      </c>
      <c r="C5025" s="33" t="str">
        <f t="shared" si="314"/>
        <v>65002-8213</v>
      </c>
      <c r="D5025" s="64" t="s">
        <v>6085</v>
      </c>
      <c r="E5025" s="64" t="s">
        <v>3209</v>
      </c>
      <c r="F5025" s="64" t="s">
        <v>15</v>
      </c>
      <c r="G5025" s="64" t="s">
        <v>3044</v>
      </c>
      <c r="H5025" s="64" t="s">
        <v>3022</v>
      </c>
      <c r="I5025" s="64" t="s">
        <v>3045</v>
      </c>
      <c r="J5025" s="67">
        <v>195.71</v>
      </c>
      <c r="K5025" s="62">
        <v>1651.04</v>
      </c>
      <c r="L5025" s="33" t="e">
        <f>HLOOKUP(B5025,#REF!,1,0)</f>
        <v>#REF!</v>
      </c>
      <c r="M5025" s="33" t="str">
        <f t="shared" si="315"/>
        <v>P&amp;L</v>
      </c>
    </row>
    <row r="5026" spans="1:13" s="33" customFormat="true" ht="12.75" customHeight="true">
      <c r="A5026" s="33" t="str">
        <f t="shared" si="312"/>
        <v>FSH - Operating Expense</v>
      </c>
      <c r="B5026" s="33" t="str">
        <f t="shared" si="313"/>
        <v>FSH</v>
      </c>
      <c r="C5026" s="33" t="str">
        <f t="shared" si="314"/>
        <v>65501-8213</v>
      </c>
      <c r="D5026" s="64" t="s">
        <v>6086</v>
      </c>
      <c r="E5026" s="64" t="s">
        <v>3214</v>
      </c>
      <c r="F5026" s="64" t="s">
        <v>15</v>
      </c>
      <c r="G5026" s="64" t="s">
        <v>3044</v>
      </c>
      <c r="H5026" s="64" t="s">
        <v>3022</v>
      </c>
      <c r="I5026" s="64" t="s">
        <v>3215</v>
      </c>
      <c r="J5026" s="67">
        <v>511.34</v>
      </c>
      <c r="K5026" s="62">
        <v>5175.56</v>
      </c>
      <c r="L5026" s="33" t="e">
        <f>HLOOKUP(B5026,#REF!,1,0)</f>
        <v>#REF!</v>
      </c>
      <c r="M5026" s="33" t="str">
        <f t="shared" si="315"/>
        <v>P&amp;L</v>
      </c>
    </row>
    <row r="5027" spans="1:13" s="33" customFormat="true" ht="12.75" customHeight="true">
      <c r="A5027" s="33" t="str">
        <f t="shared" si="312"/>
        <v>FSH - Operating Expense</v>
      </c>
      <c r="B5027" s="33" t="str">
        <f t="shared" si="313"/>
        <v>FSH</v>
      </c>
      <c r="C5027" s="33" t="str">
        <f t="shared" si="314"/>
        <v>66001-8213</v>
      </c>
      <c r="D5027" s="64" t="s">
        <v>6087</v>
      </c>
      <c r="E5027" s="64" t="s">
        <v>3220</v>
      </c>
      <c r="F5027" s="64" t="s">
        <v>15</v>
      </c>
      <c r="G5027" s="64" t="s">
        <v>3044</v>
      </c>
      <c r="H5027" s="64" t="s">
        <v>3022</v>
      </c>
      <c r="I5027" s="64" t="s">
        <v>3221</v>
      </c>
      <c r="J5027" s="67">
        <v>0</v>
      </c>
      <c r="K5027" s="62">
        <v>405.27</v>
      </c>
      <c r="L5027" s="33" t="e">
        <f>HLOOKUP(B5027,#REF!,1,0)</f>
        <v>#REF!</v>
      </c>
      <c r="M5027" s="33" t="str">
        <f t="shared" si="315"/>
        <v>P&amp;L</v>
      </c>
    </row>
    <row r="5028" spans="1:13" s="33" customFormat="true" ht="12.75" customHeight="true">
      <c r="A5028" s="33" t="str">
        <f t="shared" si="312"/>
        <v>FSH - Operating Expense</v>
      </c>
      <c r="B5028" s="33" t="str">
        <f t="shared" si="313"/>
        <v>FSH</v>
      </c>
      <c r="C5028" s="33" t="str">
        <f t="shared" si="314"/>
        <v>66501-8213</v>
      </c>
      <c r="D5028" s="64" t="s">
        <v>6088</v>
      </c>
      <c r="E5028" s="64" t="s">
        <v>3231</v>
      </c>
      <c r="F5028" s="64" t="s">
        <v>15</v>
      </c>
      <c r="G5028" s="64" t="s">
        <v>2889</v>
      </c>
      <c r="H5028" s="64" t="s">
        <v>3022</v>
      </c>
      <c r="I5028" s="64" t="s">
        <v>2915</v>
      </c>
      <c r="J5028" s="67">
        <v>74.48</v>
      </c>
      <c r="K5028" s="62">
        <v>1513.61</v>
      </c>
      <c r="L5028" s="33" t="e">
        <f>HLOOKUP(B5028,#REF!,1,0)</f>
        <v>#REF!</v>
      </c>
      <c r="M5028" s="33" t="str">
        <f t="shared" si="315"/>
        <v>P&amp;L</v>
      </c>
    </row>
    <row r="5029" spans="1:13" s="33" customFormat="true" ht="12.75" customHeight="true">
      <c r="A5029" s="33" t="str">
        <f t="shared" si="312"/>
        <v>FSH - Operating Expense</v>
      </c>
      <c r="B5029" s="33" t="str">
        <f t="shared" si="313"/>
        <v>FSH</v>
      </c>
      <c r="C5029" s="33" t="str">
        <f t="shared" si="314"/>
        <v>66701-8213</v>
      </c>
      <c r="D5029" s="64" t="s">
        <v>6089</v>
      </c>
      <c r="E5029" s="64" t="s">
        <v>3236</v>
      </c>
      <c r="F5029" s="64" t="s">
        <v>15</v>
      </c>
      <c r="G5029" s="64" t="s">
        <v>3017</v>
      </c>
      <c r="H5029" s="64" t="s">
        <v>3022</v>
      </c>
      <c r="I5029" s="64" t="s">
        <v>3237</v>
      </c>
      <c r="J5029" s="67">
        <v>14</v>
      </c>
      <c r="K5029" s="62">
        <v>140</v>
      </c>
      <c r="L5029" s="33" t="e">
        <f>HLOOKUP(B5029,#REF!,1,0)</f>
        <v>#REF!</v>
      </c>
      <c r="M5029" s="33" t="str">
        <f t="shared" si="315"/>
        <v>P&amp;L</v>
      </c>
    </row>
    <row r="5030" spans="1:13" s="33" customFormat="true" ht="12.75" customHeight="true">
      <c r="A5030" s="33" t="str">
        <f t="shared" si="312"/>
        <v>FSH - Operating Expense</v>
      </c>
      <c r="B5030" s="33" t="str">
        <f t="shared" si="313"/>
        <v>FSH</v>
      </c>
      <c r="C5030" s="33" t="str">
        <f t="shared" si="314"/>
        <v>67001-8213</v>
      </c>
      <c r="D5030" s="64" t="s">
        <v>6090</v>
      </c>
      <c r="E5030" s="64" t="s">
        <v>3242</v>
      </c>
      <c r="F5030" s="64" t="s">
        <v>15</v>
      </c>
      <c r="G5030" s="64" t="s">
        <v>3044</v>
      </c>
      <c r="H5030" s="64" t="s">
        <v>3022</v>
      </c>
      <c r="I5030" s="64" t="s">
        <v>3243</v>
      </c>
      <c r="J5030" s="67">
        <v>2379.04</v>
      </c>
      <c r="K5030" s="62">
        <v>21641.82</v>
      </c>
      <c r="L5030" s="33" t="e">
        <f>HLOOKUP(B5030,#REF!,1,0)</f>
        <v>#REF!</v>
      </c>
      <c r="M5030" s="33" t="str">
        <f t="shared" si="315"/>
        <v>P&amp;L</v>
      </c>
    </row>
    <row r="5031" spans="1:13" s="33" customFormat="true" ht="12.75" customHeight="true">
      <c r="A5031" s="33" t="str">
        <f t="shared" si="312"/>
        <v>FSH - Operating Expense</v>
      </c>
      <c r="B5031" s="33" t="str">
        <f t="shared" si="313"/>
        <v>FSH</v>
      </c>
      <c r="C5031" s="33" t="str">
        <f t="shared" si="314"/>
        <v>67501-8213</v>
      </c>
      <c r="D5031" s="64" t="s">
        <v>6091</v>
      </c>
      <c r="E5031" s="64" t="s">
        <v>3248</v>
      </c>
      <c r="F5031" s="64" t="s">
        <v>15</v>
      </c>
      <c r="G5031" s="64" t="s">
        <v>3044</v>
      </c>
      <c r="H5031" s="64" t="s">
        <v>3022</v>
      </c>
      <c r="I5031" s="64" t="s">
        <v>3249</v>
      </c>
      <c r="J5031" s="67">
        <v>3568.57</v>
      </c>
      <c r="K5031" s="62">
        <v>32462.78</v>
      </c>
      <c r="L5031" s="33" t="e">
        <f>HLOOKUP(B5031,#REF!,1,0)</f>
        <v>#REF!</v>
      </c>
      <c r="M5031" s="33" t="str">
        <f t="shared" si="315"/>
        <v>P&amp;L</v>
      </c>
    </row>
    <row r="5032" spans="1:13" s="33" customFormat="true" ht="12.75" customHeight="true">
      <c r="A5032" s="33" t="str">
        <f t="shared" si="312"/>
        <v>FSH - Operating Expense</v>
      </c>
      <c r="B5032" s="33" t="str">
        <f t="shared" si="313"/>
        <v>FSH</v>
      </c>
      <c r="C5032" s="33" t="str">
        <f t="shared" si="314"/>
        <v>68000-8213</v>
      </c>
      <c r="D5032" s="64" t="s">
        <v>6092</v>
      </c>
      <c r="E5032" s="64" t="s">
        <v>3254</v>
      </c>
      <c r="F5032" s="64" t="s">
        <v>15</v>
      </c>
      <c r="G5032" s="64" t="s">
        <v>3044</v>
      </c>
      <c r="H5032" s="64" t="s">
        <v>3022</v>
      </c>
      <c r="I5032" s="64" t="s">
        <v>3255</v>
      </c>
      <c r="J5032" s="67">
        <v>298.6</v>
      </c>
      <c r="K5032" s="62">
        <v>1337.83</v>
      </c>
      <c r="L5032" s="33" t="e">
        <f>HLOOKUP(B5032,#REF!,1,0)</f>
        <v>#REF!</v>
      </c>
      <c r="M5032" s="33" t="str">
        <f t="shared" si="315"/>
        <v>P&amp;L</v>
      </c>
    </row>
    <row r="5033" spans="1:13" s="33" customFormat="true" ht="12.75" customHeight="true">
      <c r="A5033" s="33" t="str">
        <f t="shared" si="312"/>
        <v>FSH - Operating Expense</v>
      </c>
      <c r="B5033" s="33" t="str">
        <f t="shared" si="313"/>
        <v>FSH</v>
      </c>
      <c r="C5033" s="33" t="str">
        <f t="shared" si="314"/>
        <v>68001-8213</v>
      </c>
      <c r="D5033" s="64" t="s">
        <v>6093</v>
      </c>
      <c r="E5033" s="64" t="s">
        <v>3260</v>
      </c>
      <c r="F5033" s="64" t="s">
        <v>15</v>
      </c>
      <c r="G5033" s="64" t="s">
        <v>3044</v>
      </c>
      <c r="H5033" s="64" t="s">
        <v>3022</v>
      </c>
      <c r="I5033" s="64" t="s">
        <v>3255</v>
      </c>
      <c r="J5033" s="67">
        <v>151</v>
      </c>
      <c r="K5033" s="62">
        <v>1057.87</v>
      </c>
      <c r="L5033" s="33" t="e">
        <f>HLOOKUP(B5033,#REF!,1,0)</f>
        <v>#REF!</v>
      </c>
      <c r="M5033" s="33" t="str">
        <f t="shared" si="315"/>
        <v>P&amp;L</v>
      </c>
    </row>
    <row r="5034" spans="1:13" s="33" customFormat="true" ht="12.75" customHeight="true">
      <c r="A5034" s="33" t="str">
        <f t="shared" si="312"/>
        <v>FSH - Facility</v>
      </c>
      <c r="B5034" s="33" t="str">
        <f t="shared" si="313"/>
        <v>FSH</v>
      </c>
      <c r="C5034" s="33" t="str">
        <f t="shared" si="314"/>
        <v>70001-8213</v>
      </c>
      <c r="D5034" s="64" t="s">
        <v>6094</v>
      </c>
      <c r="E5034" s="64" t="s">
        <v>3265</v>
      </c>
      <c r="F5034" s="64" t="s">
        <v>15</v>
      </c>
      <c r="G5034" s="64" t="s">
        <v>3266</v>
      </c>
      <c r="H5034" s="64" t="s">
        <v>3267</v>
      </c>
      <c r="I5034" s="64" t="s">
        <v>3268</v>
      </c>
      <c r="J5034" s="67">
        <v>9166.67</v>
      </c>
      <c r="K5034" s="62">
        <v>91666.7</v>
      </c>
      <c r="L5034" s="33" t="e">
        <f>HLOOKUP(B5034,#REF!,1,0)</f>
        <v>#REF!</v>
      </c>
      <c r="M5034" s="33" t="str">
        <f t="shared" si="315"/>
        <v>P&amp;L</v>
      </c>
    </row>
    <row r="5035" spans="1:13" s="33" customFormat="true" ht="12.75" customHeight="true">
      <c r="A5035" s="33" t="str">
        <f t="shared" si="312"/>
        <v>FSH - Facility</v>
      </c>
      <c r="B5035" s="33" t="str">
        <f t="shared" si="313"/>
        <v>FSH</v>
      </c>
      <c r="C5035" s="33" t="str">
        <f t="shared" si="314"/>
        <v>71001-8213</v>
      </c>
      <c r="D5035" s="64" t="s">
        <v>6095</v>
      </c>
      <c r="E5035" s="64" t="s">
        <v>3274</v>
      </c>
      <c r="F5035" s="64" t="s">
        <v>15</v>
      </c>
      <c r="G5035" s="64" t="s">
        <v>3266</v>
      </c>
      <c r="H5035" s="64" t="s">
        <v>3267</v>
      </c>
      <c r="I5035" s="64" t="s">
        <v>3275</v>
      </c>
      <c r="J5035" s="67">
        <v>0</v>
      </c>
      <c r="K5035" s="62">
        <v>6563.91</v>
      </c>
      <c r="L5035" s="33" t="e">
        <f>HLOOKUP(B5035,#REF!,1,0)</f>
        <v>#REF!</v>
      </c>
      <c r="M5035" s="33" t="str">
        <f t="shared" si="315"/>
        <v>P&amp;L</v>
      </c>
    </row>
    <row r="5036" spans="1:13" s="33" customFormat="true" ht="12.75" customHeight="true">
      <c r="A5036" s="33" t="str">
        <f t="shared" si="312"/>
        <v>FSH - Facility</v>
      </c>
      <c r="B5036" s="33" t="str">
        <f t="shared" si="313"/>
        <v>FSH</v>
      </c>
      <c r="C5036" s="33" t="str">
        <f t="shared" si="314"/>
        <v>72001-8213</v>
      </c>
      <c r="D5036" s="64" t="s">
        <v>6096</v>
      </c>
      <c r="E5036" s="64" t="s">
        <v>3279</v>
      </c>
      <c r="F5036" s="64" t="s">
        <v>15</v>
      </c>
      <c r="G5036" s="64" t="s">
        <v>3266</v>
      </c>
      <c r="H5036" s="64" t="s">
        <v>3267</v>
      </c>
      <c r="I5036" s="64" t="s">
        <v>3280</v>
      </c>
      <c r="J5036" s="67">
        <v>0</v>
      </c>
      <c r="K5036" s="62">
        <v>13079.09</v>
      </c>
      <c r="L5036" s="33" t="e">
        <f>HLOOKUP(B5036,#REF!,1,0)</f>
        <v>#REF!</v>
      </c>
      <c r="M5036" s="33" t="str">
        <f t="shared" si="315"/>
        <v>P&amp;L</v>
      </c>
    </row>
    <row r="5037" spans="1:13" s="33" customFormat="true" ht="12.75" customHeight="true">
      <c r="A5037" s="33" t="str">
        <f t="shared" si="312"/>
        <v>FSH - Facility</v>
      </c>
      <c r="B5037" s="33" t="str">
        <f t="shared" si="313"/>
        <v>FSH</v>
      </c>
      <c r="C5037" s="33" t="str">
        <f t="shared" si="314"/>
        <v>74001-8213</v>
      </c>
      <c r="D5037" s="64" t="s">
        <v>6097</v>
      </c>
      <c r="E5037" s="64" t="s">
        <v>3288</v>
      </c>
      <c r="F5037" s="64" t="s">
        <v>15</v>
      </c>
      <c r="G5037" s="64" t="s">
        <v>3266</v>
      </c>
      <c r="H5037" s="64" t="s">
        <v>3267</v>
      </c>
      <c r="I5037" s="64" t="s">
        <v>3286</v>
      </c>
      <c r="J5037" s="67">
        <v>645.62</v>
      </c>
      <c r="K5037" s="62">
        <v>4449.06</v>
      </c>
      <c r="L5037" s="33" t="e">
        <f>HLOOKUP(B5037,#REF!,1,0)</f>
        <v>#REF!</v>
      </c>
      <c r="M5037" s="33" t="str">
        <f t="shared" si="315"/>
        <v>P&amp;L</v>
      </c>
    </row>
    <row r="5038" spans="1:13" s="33" customFormat="true" ht="12.75" customHeight="true">
      <c r="A5038" s="33" t="str">
        <f t="shared" si="312"/>
        <v>FSH - Facility</v>
      </c>
      <c r="B5038" s="33" t="str">
        <f t="shared" si="313"/>
        <v>FSH</v>
      </c>
      <c r="C5038" s="33" t="str">
        <f t="shared" si="314"/>
        <v>75001-8213</v>
      </c>
      <c r="D5038" s="64" t="s">
        <v>6098</v>
      </c>
      <c r="E5038" s="64" t="s">
        <v>3293</v>
      </c>
      <c r="F5038" s="64" t="s">
        <v>15</v>
      </c>
      <c r="G5038" s="64" t="s">
        <v>3266</v>
      </c>
      <c r="H5038" s="64" t="s">
        <v>3267</v>
      </c>
      <c r="I5038" s="64" t="s">
        <v>3294</v>
      </c>
      <c r="J5038" s="67">
        <v>0</v>
      </c>
      <c r="K5038" s="62">
        <v>4015.61</v>
      </c>
      <c r="L5038" s="33" t="e">
        <f>HLOOKUP(B5038,#REF!,1,0)</f>
        <v>#REF!</v>
      </c>
      <c r="M5038" s="33" t="str">
        <f t="shared" si="315"/>
        <v>P&amp;L</v>
      </c>
    </row>
    <row r="5039" spans="1:13" s="33" customFormat="true" ht="12.75" customHeight="true">
      <c r="A5039" s="33" t="str">
        <f t="shared" si="312"/>
        <v>FSH - Other Income/Expense</v>
      </c>
      <c r="B5039" s="33" t="str">
        <f t="shared" si="313"/>
        <v>FSH</v>
      </c>
      <c r="C5039" s="33" t="str">
        <f t="shared" si="314"/>
        <v>80001-8213</v>
      </c>
      <c r="D5039" s="64" t="s">
        <v>6099</v>
      </c>
      <c r="E5039" s="64" t="s">
        <v>3299</v>
      </c>
      <c r="F5039" s="64" t="s">
        <v>15</v>
      </c>
      <c r="G5039" s="64" t="s">
        <v>3021</v>
      </c>
      <c r="H5039" s="64" t="s">
        <v>3300</v>
      </c>
      <c r="I5039" s="64" t="s">
        <v>3023</v>
      </c>
      <c r="J5039" s="67">
        <v>0</v>
      </c>
      <c r="K5039" s="62">
        <v>57.4</v>
      </c>
      <c r="L5039" s="33" t="e">
        <f>HLOOKUP(B5039,#REF!,1,0)</f>
        <v>#REF!</v>
      </c>
      <c r="M5039" s="33" t="str">
        <f t="shared" si="315"/>
        <v>P&amp;L</v>
      </c>
    </row>
    <row r="5040" spans="1:13" s="33" customFormat="true" ht="12.75" customHeight="true">
      <c r="A5040" s="33" t="str">
        <f t="shared" si="312"/>
        <v>FSH - Other Income/Expense</v>
      </c>
      <c r="B5040" s="33" t="str">
        <f t="shared" si="313"/>
        <v>FSH</v>
      </c>
      <c r="C5040" s="33" t="str">
        <f t="shared" si="314"/>
        <v>90201-8213</v>
      </c>
      <c r="D5040" s="64" t="s">
        <v>6100</v>
      </c>
      <c r="E5040" s="64" t="s">
        <v>5140</v>
      </c>
      <c r="F5040" s="64" t="s">
        <v>15</v>
      </c>
      <c r="G5040" s="64" t="s">
        <v>3017</v>
      </c>
      <c r="H5040" s="64" t="s">
        <v>3300</v>
      </c>
      <c r="I5040" s="64" t="s">
        <v>5141</v>
      </c>
      <c r="J5040" s="67">
        <v>393.64</v>
      </c>
      <c r="K5040" s="62">
        <v>393.64</v>
      </c>
      <c r="L5040" s="33" t="e">
        <f>HLOOKUP(B5040,#REF!,1,0)</f>
        <v>#REF!</v>
      </c>
      <c r="M5040" s="33" t="str">
        <f t="shared" si="315"/>
        <v>P&amp;L</v>
      </c>
    </row>
    <row r="5041" spans="1:13" s="33" customFormat="true" ht="12.75" customHeight="true">
      <c r="A5041" s="33" t="str">
        <f t="shared" si="312"/>
        <v>FSH - Other Income/Expense</v>
      </c>
      <c r="B5041" s="33" t="str">
        <f t="shared" si="313"/>
        <v>FSH</v>
      </c>
      <c r="C5041" s="33" t="str">
        <f t="shared" si="314"/>
        <v>91801-8213</v>
      </c>
      <c r="D5041" s="64" t="s">
        <v>6101</v>
      </c>
      <c r="E5041" s="64" t="s">
        <v>3318</v>
      </c>
      <c r="F5041" s="64" t="s">
        <v>15</v>
      </c>
      <c r="G5041" s="64" t="s">
        <v>3017</v>
      </c>
      <c r="H5041" s="64" t="s">
        <v>3300</v>
      </c>
      <c r="I5041" s="64" t="s">
        <v>3319</v>
      </c>
      <c r="J5041" s="67">
        <v>0</v>
      </c>
      <c r="K5041" s="62">
        <v>202.06</v>
      </c>
      <c r="L5041" s="33" t="e">
        <f>HLOOKUP(B5041,#REF!,1,0)</f>
        <v>#REF!</v>
      </c>
      <c r="M5041" s="33" t="str">
        <f t="shared" si="315"/>
        <v>P&amp;L</v>
      </c>
    </row>
    <row r="5042" spans="1:13" s="33" customFormat="true" ht="12.75" customHeight="true">
      <c r="A5042" s="33" t="str">
        <f t="shared" si="312"/>
        <v>FSH - Interest Expense</v>
      </c>
      <c r="B5042" s="33" t="str">
        <f t="shared" si="313"/>
        <v>FSH</v>
      </c>
      <c r="C5042" s="33" t="str">
        <f t="shared" si="314"/>
        <v>92401-8213</v>
      </c>
      <c r="D5042" s="64" t="s">
        <v>6102</v>
      </c>
      <c r="E5042" s="64" t="s">
        <v>3325</v>
      </c>
      <c r="F5042" s="64" t="s">
        <v>15</v>
      </c>
      <c r="G5042" s="64" t="s">
        <v>3326</v>
      </c>
      <c r="H5042" s="64" t="s">
        <v>3327</v>
      </c>
      <c r="I5042" s="64" t="s">
        <v>3328</v>
      </c>
      <c r="J5042" s="67">
        <v>1796.47</v>
      </c>
      <c r="K5042" s="62">
        <v>15226.37</v>
      </c>
      <c r="L5042" s="33" t="e">
        <f>HLOOKUP(B5042,#REF!,1,0)</f>
        <v>#REF!</v>
      </c>
      <c r="M5042" s="33" t="str">
        <f t="shared" si="315"/>
        <v>P&amp;L</v>
      </c>
    </row>
    <row r="5043" spans="1:13" s="33" customFormat="true" ht="12.75" customHeight="true">
      <c r="A5043" s="33" t="str">
        <f t="shared" si="312"/>
        <v>FSH - Other Income/Expense</v>
      </c>
      <c r="B5043" s="33" t="str">
        <f t="shared" si="313"/>
        <v>FSH</v>
      </c>
      <c r="C5043" s="33" t="str">
        <f t="shared" si="314"/>
        <v>92801-8213</v>
      </c>
      <c r="D5043" s="64" t="s">
        <v>6103</v>
      </c>
      <c r="E5043" s="64" t="s">
        <v>5155</v>
      </c>
      <c r="F5043" s="64" t="s">
        <v>15</v>
      </c>
      <c r="G5043" s="64" t="s">
        <v>3017</v>
      </c>
      <c r="H5043" s="64" t="s">
        <v>3300</v>
      </c>
      <c r="I5043" s="64" t="s">
        <v>5156</v>
      </c>
      <c r="J5043" s="67">
        <v>2147.1</v>
      </c>
      <c r="K5043" s="62">
        <v>29903.61</v>
      </c>
      <c r="L5043" s="33" t="e">
        <f>HLOOKUP(B5043,#REF!,1,0)</f>
        <v>#REF!</v>
      </c>
      <c r="M5043" s="33" t="str">
        <f t="shared" si="315"/>
        <v>P&amp;L</v>
      </c>
    </row>
    <row r="5044" spans="1:13" s="33" customFormat="true" ht="12.75" customHeight="true">
      <c r="A5044" s="33" t="str">
        <f t="shared" si="312"/>
        <v>FSH - Other Income/Expense</v>
      </c>
      <c r="B5044" s="33" t="str">
        <f t="shared" si="313"/>
        <v>FSH</v>
      </c>
      <c r="C5044" s="33" t="str">
        <f t="shared" si="314"/>
        <v>92901-8213</v>
      </c>
      <c r="D5044" s="64" t="s">
        <v>6104</v>
      </c>
      <c r="E5044" s="64" t="s">
        <v>3333</v>
      </c>
      <c r="F5044" s="64" t="s">
        <v>15</v>
      </c>
      <c r="G5044" s="64" t="s">
        <v>3017</v>
      </c>
      <c r="H5044" s="64" t="s">
        <v>3300</v>
      </c>
      <c r="I5044" s="64" t="s">
        <v>3334</v>
      </c>
      <c r="J5044" s="67">
        <v>1266.58</v>
      </c>
      <c r="K5044" s="62">
        <v>32416.9</v>
      </c>
      <c r="L5044" s="33" t="e">
        <f>HLOOKUP(B5044,#REF!,1,0)</f>
        <v>#REF!</v>
      </c>
      <c r="M5044" s="33" t="str">
        <f t="shared" si="315"/>
        <v>P&amp;L</v>
      </c>
    </row>
    <row r="5045" spans="1:13" s="33" customFormat="true" ht="12.75" customHeight="true">
      <c r="A5045" s="33" t="str">
        <f t="shared" si="312"/>
        <v>FSH - Other Income/Expense</v>
      </c>
      <c r="B5045" s="33" t="str">
        <f t="shared" si="313"/>
        <v>FSH</v>
      </c>
      <c r="C5045" s="33" t="str">
        <f t="shared" si="314"/>
        <v>93001-8213</v>
      </c>
      <c r="D5045" s="64" t="s">
        <v>6105</v>
      </c>
      <c r="E5045" s="64" t="s">
        <v>3339</v>
      </c>
      <c r="F5045" s="64" t="s">
        <v>15</v>
      </c>
      <c r="G5045" s="64" t="s">
        <v>3017</v>
      </c>
      <c r="H5045" s="64" t="s">
        <v>3300</v>
      </c>
      <c r="I5045" s="64" t="s">
        <v>3340</v>
      </c>
      <c r="J5045" s="67">
        <v>0</v>
      </c>
      <c r="K5045" s="62">
        <v>12.19</v>
      </c>
      <c r="L5045" s="33" t="e">
        <f>HLOOKUP(B5045,#REF!,1,0)</f>
        <v>#REF!</v>
      </c>
      <c r="M5045" s="33" t="str">
        <f t="shared" si="315"/>
        <v>P&amp;L</v>
      </c>
    </row>
    <row r="5046" spans="1:13" s="33" customFormat="true" ht="12.75" customHeight="true">
      <c r="A5046" s="33" t="str">
        <f t="shared" si="312"/>
        <v>FSH - Other Income/Expense</v>
      </c>
      <c r="B5046" s="33" t="str">
        <f t="shared" si="313"/>
        <v>FSH</v>
      </c>
      <c r="C5046" s="33" t="str">
        <f t="shared" si="314"/>
        <v>93201-8213</v>
      </c>
      <c r="D5046" s="64" t="s">
        <v>6106</v>
      </c>
      <c r="E5046" s="64" t="s">
        <v>3226</v>
      </c>
      <c r="F5046" s="64" t="s">
        <v>15</v>
      </c>
      <c r="G5046" s="64" t="s">
        <v>3017</v>
      </c>
      <c r="H5046" s="64" t="s">
        <v>3300</v>
      </c>
      <c r="I5046" s="64" t="s">
        <v>3342</v>
      </c>
      <c r="J5046" s="67">
        <v>57</v>
      </c>
      <c r="K5046" s="62">
        <v>570</v>
      </c>
      <c r="L5046" s="33" t="e">
        <f>HLOOKUP(B5046,#REF!,1,0)</f>
        <v>#REF!</v>
      </c>
      <c r="M5046" s="33" t="str">
        <f t="shared" si="315"/>
        <v>P&amp;L</v>
      </c>
    </row>
    <row r="5047" spans="1:13" s="33" customFormat="true" ht="12.75" customHeight="true">
      <c r="A5047" s="33" t="str">
        <f t="shared" si="312"/>
        <v>FSH - Other Income/Expense</v>
      </c>
      <c r="B5047" s="33" t="str">
        <f t="shared" si="313"/>
        <v>FSH</v>
      </c>
      <c r="C5047" s="33" t="str">
        <f t="shared" si="314"/>
        <v>93601-8213</v>
      </c>
      <c r="D5047" s="64" t="s">
        <v>6107</v>
      </c>
      <c r="E5047" s="64" t="s">
        <v>3344</v>
      </c>
      <c r="F5047" s="64" t="s">
        <v>15</v>
      </c>
      <c r="G5047" s="64" t="s">
        <v>3017</v>
      </c>
      <c r="H5047" s="64" t="s">
        <v>3300</v>
      </c>
      <c r="I5047" s="64" t="s">
        <v>3345</v>
      </c>
      <c r="J5047" s="67">
        <v>12.4</v>
      </c>
      <c r="K5047" s="62">
        <v>88.33</v>
      </c>
      <c r="L5047" s="33" t="e">
        <f>HLOOKUP(B5047,#REF!,1,0)</f>
        <v>#REF!</v>
      </c>
      <c r="M5047" s="33" t="str">
        <f t="shared" si="315"/>
        <v>P&amp;L</v>
      </c>
    </row>
    <row r="5048" spans="1:13" s="33" customFormat="true" ht="12.75" customHeight="true">
      <c r="A5048" s="33" t="str">
        <f t="shared" si="312"/>
        <v>FSH - Other Income/Expense</v>
      </c>
      <c r="B5048" s="33" t="str">
        <f t="shared" si="313"/>
        <v>FSH</v>
      </c>
      <c r="C5048" s="33" t="str">
        <f t="shared" si="314"/>
        <v>93801-8213</v>
      </c>
      <c r="D5048" s="64" t="s">
        <v>6108</v>
      </c>
      <c r="E5048" s="64" t="s">
        <v>5183</v>
      </c>
      <c r="F5048" s="64" t="s">
        <v>15</v>
      </c>
      <c r="G5048" s="64" t="s">
        <v>3044</v>
      </c>
      <c r="H5048" s="64" t="s">
        <v>3300</v>
      </c>
      <c r="I5048" s="64" t="s">
        <v>5184</v>
      </c>
      <c r="J5048" s="67">
        <v>296.19</v>
      </c>
      <c r="K5048" s="62">
        <v>3687.56</v>
      </c>
      <c r="L5048" s="33" t="e">
        <f>HLOOKUP(B5048,#REF!,1,0)</f>
        <v>#REF!</v>
      </c>
      <c r="M5048" s="33" t="str">
        <f t="shared" si="315"/>
        <v>P&amp;L</v>
      </c>
    </row>
    <row r="5049" spans="1:13" s="33" customFormat="true" ht="12.75" customHeight="true">
      <c r="A5049" s="33" t="str">
        <f t="shared" si="312"/>
        <v>FSH - Other Income/Expense</v>
      </c>
      <c r="B5049" s="33" t="str">
        <f t="shared" si="313"/>
        <v>FSH</v>
      </c>
      <c r="C5049" s="33" t="str">
        <f t="shared" si="314"/>
        <v>94201-0000</v>
      </c>
      <c r="D5049" s="64" t="s">
        <v>6109</v>
      </c>
      <c r="E5049" s="64" t="s">
        <v>3353</v>
      </c>
      <c r="F5049" s="64" t="s">
        <v>15</v>
      </c>
      <c r="G5049" s="64" t="s">
        <v>3017</v>
      </c>
      <c r="H5049" s="64" t="s">
        <v>3300</v>
      </c>
      <c r="I5049" s="64" t="s">
        <v>3354</v>
      </c>
      <c r="J5049" s="67">
        <v>34</v>
      </c>
      <c r="K5049" s="62">
        <v>3308.25</v>
      </c>
      <c r="L5049" s="33" t="e">
        <f>HLOOKUP(B5049,#REF!,1,0)</f>
        <v>#REF!</v>
      </c>
      <c r="M5049" s="33" t="str">
        <f t="shared" si="315"/>
        <v>P&amp;L</v>
      </c>
    </row>
    <row r="5050" spans="1:13" s="33" customFormat="true" ht="12.75" customHeight="true">
      <c r="A5050" s="33" t="str">
        <f t="shared" si="312"/>
        <v>FSH - Other Income/Expense</v>
      </c>
      <c r="B5050" s="33" t="str">
        <f t="shared" si="313"/>
        <v>FSH</v>
      </c>
      <c r="C5050" s="33" t="str">
        <f t="shared" si="314"/>
        <v>94401-0000</v>
      </c>
      <c r="D5050" s="64" t="s">
        <v>6110</v>
      </c>
      <c r="E5050" s="64" t="s">
        <v>3360</v>
      </c>
      <c r="F5050" s="64" t="s">
        <v>15</v>
      </c>
      <c r="G5050" s="64" t="s">
        <v>3017</v>
      </c>
      <c r="H5050" s="64" t="s">
        <v>3300</v>
      </c>
      <c r="I5050" s="64" t="s">
        <v>3361</v>
      </c>
      <c r="J5050" s="67">
        <v>0</v>
      </c>
      <c r="K5050" s="62">
        <v>-6.96</v>
      </c>
      <c r="L5050" s="33" t="e">
        <f>HLOOKUP(B5050,#REF!,1,0)</f>
        <v>#REF!</v>
      </c>
      <c r="M5050" s="33" t="str">
        <f t="shared" si="315"/>
        <v>P&amp;L</v>
      </c>
    </row>
    <row r="5051" spans="1:13" s="33" customFormat="true" ht="12.75" customHeight="true">
      <c r="A5051" s="33" t="str">
        <f t="shared" si="312"/>
        <v>FSH - Other Income/Expense</v>
      </c>
      <c r="B5051" s="33" t="str">
        <f t="shared" si="313"/>
        <v>FSH</v>
      </c>
      <c r="C5051" s="33" t="str">
        <f t="shared" si="314"/>
        <v>94401-8213</v>
      </c>
      <c r="D5051" s="64" t="s">
        <v>6111</v>
      </c>
      <c r="E5051" s="64" t="s">
        <v>3360</v>
      </c>
      <c r="F5051" s="64" t="s">
        <v>15</v>
      </c>
      <c r="G5051" s="64" t="s">
        <v>3017</v>
      </c>
      <c r="H5051" s="64" t="s">
        <v>3300</v>
      </c>
      <c r="I5051" s="64" t="s">
        <v>3361</v>
      </c>
      <c r="J5051" s="67">
        <v>0</v>
      </c>
      <c r="K5051" s="62">
        <v>-12345.88</v>
      </c>
      <c r="L5051" s="33" t="e">
        <f>HLOOKUP(B5051,#REF!,1,0)</f>
        <v>#REF!</v>
      </c>
      <c r="M5051" s="33" t="str">
        <f t="shared" si="315"/>
        <v>P&amp;L</v>
      </c>
    </row>
    <row r="5052" spans="1:13" s="33" customFormat="true" ht="12.75" customHeight="true">
      <c r="A5052" s="33" t="str">
        <f t="shared" si="312"/>
        <v>FSH - Other Income/Expense</v>
      </c>
      <c r="B5052" s="33" t="str">
        <f t="shared" si="313"/>
        <v>FSH</v>
      </c>
      <c r="C5052" s="33" t="str">
        <f t="shared" si="314"/>
        <v>95201-8213</v>
      </c>
      <c r="D5052" s="64" t="s">
        <v>6112</v>
      </c>
      <c r="E5052" s="64" t="s">
        <v>3367</v>
      </c>
      <c r="F5052" s="64" t="s">
        <v>15</v>
      </c>
      <c r="G5052" s="64" t="s">
        <v>3017</v>
      </c>
      <c r="H5052" s="64" t="s">
        <v>3300</v>
      </c>
      <c r="I5052" s="64" t="s">
        <v>3368</v>
      </c>
      <c r="J5052" s="67">
        <v>0</v>
      </c>
      <c r="K5052" s="62">
        <v>61.5</v>
      </c>
      <c r="L5052" s="33" t="e">
        <f>HLOOKUP(B5052,#REF!,1,0)</f>
        <v>#REF!</v>
      </c>
      <c r="M5052" s="33" t="str">
        <f t="shared" si="315"/>
        <v>P&amp;L</v>
      </c>
    </row>
    <row r="5053" spans="1:13" s="33" customFormat="true" ht="12.75" customHeight="true">
      <c r="A5053" s="33" t="str">
        <f t="shared" si="312"/>
        <v>FSH - Other Income/Expense</v>
      </c>
      <c r="B5053" s="33" t="str">
        <f t="shared" si="313"/>
        <v>FSH</v>
      </c>
      <c r="C5053" s="33" t="str">
        <f t="shared" si="314"/>
        <v>99001-0000</v>
      </c>
      <c r="D5053" s="64" t="s">
        <v>6113</v>
      </c>
      <c r="E5053" s="64" t="s">
        <v>3370</v>
      </c>
      <c r="F5053" s="64" t="s">
        <v>15</v>
      </c>
      <c r="G5053" s="64" t="s">
        <v>3017</v>
      </c>
      <c r="H5053" s="64" t="s">
        <v>3300</v>
      </c>
      <c r="I5053" s="64" t="s">
        <v>3371</v>
      </c>
      <c r="J5053" s="67">
        <v>0</v>
      </c>
      <c r="K5053" s="62">
        <v>350</v>
      </c>
      <c r="L5053" s="33" t="e">
        <f>HLOOKUP(B5053,#REF!,1,0)</f>
        <v>#REF!</v>
      </c>
      <c r="M5053" s="33" t="str">
        <f t="shared" si="315"/>
        <v>P&amp;L</v>
      </c>
    </row>
    <row r="5054" spans="1:13" s="33" customFormat="true" ht="12.75" customHeight="true">
      <c r="A5054" s="33" t="str">
        <f t="shared" si="312"/>
        <v>FSH - Other Income/Expense</v>
      </c>
      <c r="B5054" s="33" t="str">
        <f t="shared" si="313"/>
        <v>FSH</v>
      </c>
      <c r="C5054" s="33" t="str">
        <f t="shared" si="314"/>
        <v>99001-8213</v>
      </c>
      <c r="D5054" s="64" t="s">
        <v>6114</v>
      </c>
      <c r="E5054" s="64" t="s">
        <v>3370</v>
      </c>
      <c r="F5054" s="64" t="s">
        <v>15</v>
      </c>
      <c r="G5054" s="64" t="s">
        <v>3017</v>
      </c>
      <c r="H5054" s="64" t="s">
        <v>3300</v>
      </c>
      <c r="I5054" s="64" t="s">
        <v>3371</v>
      </c>
      <c r="J5054" s="67">
        <v>-300.2</v>
      </c>
      <c r="K5054" s="62">
        <v>-1847.8</v>
      </c>
      <c r="L5054" s="33" t="e">
        <f>HLOOKUP(B5054,#REF!,1,0)</f>
        <v>#REF!</v>
      </c>
      <c r="M5054" s="33" t="str">
        <f t="shared" si="315"/>
        <v>P&amp;L</v>
      </c>
    </row>
    <row r="5055" spans="1:13" s="33" customFormat="true" ht="12.75" customHeight="true">
      <c r="A5055" s="33" t="str">
        <f t="shared" si="312"/>
        <v>FSH - Income Tax</v>
      </c>
      <c r="B5055" s="33" t="str">
        <f t="shared" si="313"/>
        <v>FSH</v>
      </c>
      <c r="C5055" s="33" t="str">
        <f t="shared" si="314"/>
        <v>99901-8213</v>
      </c>
      <c r="D5055" s="64" t="s">
        <v>6115</v>
      </c>
      <c r="E5055" s="64" t="s">
        <v>3377</v>
      </c>
      <c r="F5055" s="64" t="s">
        <v>15</v>
      </c>
      <c r="G5055" s="64" t="s">
        <v>3326</v>
      </c>
      <c r="H5055" s="64" t="s">
        <v>3378</v>
      </c>
      <c r="I5055" s="64" t="s">
        <v>3379</v>
      </c>
      <c r="J5055" s="67">
        <v>0</v>
      </c>
      <c r="K5055" s="62">
        <v>3300</v>
      </c>
      <c r="L5055" s="33" t="e">
        <f>HLOOKUP(B5055,#REF!,1,0)</f>
        <v>#REF!</v>
      </c>
      <c r="M5055" s="33" t="str">
        <f t="shared" si="315"/>
        <v>P&amp;L</v>
      </c>
    </row>
    <row r="5056" spans="1:13" s="33" customFormat="true" ht="12.75" customHeight="true">
      <c r="A5056" s="33" t="str">
        <f t="shared" si="312"/>
        <v>GPI - AP-Accr Exp</v>
      </c>
      <c r="B5056" s="33" t="str">
        <f t="shared" si="313"/>
        <v>GPI</v>
      </c>
      <c r="C5056" s="33" t="str">
        <f t="shared" si="314"/>
        <v>20001-0000</v>
      </c>
      <c r="D5056" s="64" t="s">
        <v>6116</v>
      </c>
      <c r="E5056" s="64" t="s">
        <v>96</v>
      </c>
      <c r="F5056" s="64" t="s">
        <v>230</v>
      </c>
      <c r="G5056" s="64" t="s">
        <v>97</v>
      </c>
      <c r="H5056" s="64" t="s">
        <v>98</v>
      </c>
      <c r="I5056" s="64" t="s">
        <v>99</v>
      </c>
      <c r="J5056" s="67">
        <v>0</v>
      </c>
      <c r="K5056" s="62">
        <v>0</v>
      </c>
      <c r="L5056" s="33" t="e">
        <f>HLOOKUP(B5056,#REF!,1,0)</f>
        <v>#REF!</v>
      </c>
      <c r="M5056" s="33" t="str">
        <f t="shared" si="315"/>
        <v>BS</v>
      </c>
    </row>
    <row r="5057" spans="1:13" s="33" customFormat="true" ht="12.75" customHeight="true">
      <c r="A5057" s="33" t="str">
        <f t="shared" si="312"/>
        <v>GPI - Revenue</v>
      </c>
      <c r="B5057" s="33" t="str">
        <f t="shared" si="313"/>
        <v>GPI</v>
      </c>
      <c r="C5057" s="33" t="str">
        <f t="shared" si="314"/>
        <v>41122-0000</v>
      </c>
      <c r="D5057" s="64" t="s">
        <v>6117</v>
      </c>
      <c r="E5057" s="64" t="s">
        <v>3700</v>
      </c>
      <c r="F5057" s="64" t="s">
        <v>230</v>
      </c>
      <c r="G5057" s="64" t="s">
        <v>3694</v>
      </c>
      <c r="H5057" s="64" t="s">
        <v>2871</v>
      </c>
      <c r="I5057" s="64" t="s">
        <v>3701</v>
      </c>
      <c r="J5057" s="67">
        <v>0</v>
      </c>
      <c r="K5057" s="62">
        <v>-1442</v>
      </c>
      <c r="L5057" s="33" t="e">
        <f>HLOOKUP(B5057,#REF!,1,0)</f>
        <v>#REF!</v>
      </c>
      <c r="M5057" s="33" t="str">
        <f t="shared" si="315"/>
        <v>P&amp;L</v>
      </c>
    </row>
    <row r="5058" spans="1:13" s="33" customFormat="true" ht="12.75" customHeight="true">
      <c r="A5058" s="33" t="str">
        <f t="shared" ref="A5058:A5121" si="316">B5058&amp;" - "&amp;TRIM(H5058)</f>
        <v>GPI - Revenue</v>
      </c>
      <c r="B5058" s="33" t="str">
        <f t="shared" ref="B5058:B5121" si="317">LEFT(D5058,3)</f>
        <v>GPI</v>
      </c>
      <c r="C5058" s="33" t="str">
        <f t="shared" ref="C5058:C5121" si="318">RIGHT(D5058,10)</f>
        <v>41999-0000</v>
      </c>
      <c r="D5058" s="64" t="s">
        <v>6118</v>
      </c>
      <c r="E5058" s="64" t="s">
        <v>3712</v>
      </c>
      <c r="F5058" s="64" t="s">
        <v>230</v>
      </c>
      <c r="G5058" s="64" t="s">
        <v>3713</v>
      </c>
      <c r="H5058" s="64" t="s">
        <v>2871</v>
      </c>
      <c r="I5058" s="64" t="s">
        <v>3714</v>
      </c>
      <c r="J5058" s="67">
        <v>0</v>
      </c>
      <c r="K5058" s="62">
        <v>1442</v>
      </c>
      <c r="L5058" s="33" t="e">
        <f>HLOOKUP(B5058,#REF!,1,0)</f>
        <v>#REF!</v>
      </c>
      <c r="M5058" s="33" t="str">
        <f t="shared" ref="M5058:M5121" si="319">IF(VALUE(LEFT(C5058,5))&gt;40000,"P&amp;L","BS")</f>
        <v>P&amp;L</v>
      </c>
    </row>
    <row r="5059" spans="1:13" s="33" customFormat="true" ht="12.75" customHeight="true">
      <c r="A5059" s="33" t="str">
        <f t="shared" si="316"/>
        <v>GPI - Revenue</v>
      </c>
      <c r="B5059" s="33" t="str">
        <f t="shared" si="317"/>
        <v>GPI</v>
      </c>
      <c r="C5059" s="33" t="str">
        <f t="shared" si="318"/>
        <v>47400-0000</v>
      </c>
      <c r="D5059" s="64" t="s">
        <v>6119</v>
      </c>
      <c r="E5059" s="64" t="s">
        <v>3716</v>
      </c>
      <c r="F5059" s="64" t="s">
        <v>230</v>
      </c>
      <c r="G5059" s="64" t="s">
        <v>3717</v>
      </c>
      <c r="H5059" s="64" t="s">
        <v>2871</v>
      </c>
      <c r="I5059" s="64" t="s">
        <v>3718</v>
      </c>
      <c r="J5059" s="67">
        <v>0</v>
      </c>
      <c r="K5059" s="62">
        <v>-1442</v>
      </c>
      <c r="L5059" s="33" t="e">
        <f>HLOOKUP(B5059,#REF!,1,0)</f>
        <v>#REF!</v>
      </c>
      <c r="M5059" s="33" t="str">
        <f t="shared" si="319"/>
        <v>P&amp;L</v>
      </c>
    </row>
    <row r="5060" spans="1:13" s="33" customFormat="true" ht="12.75" customHeight="true">
      <c r="A5060" s="33" t="str">
        <f t="shared" si="316"/>
        <v>GPI - Revenue</v>
      </c>
      <c r="B5060" s="33" t="str">
        <f t="shared" si="317"/>
        <v>GPI</v>
      </c>
      <c r="C5060" s="33" t="str">
        <f t="shared" si="318"/>
        <v>47430-0000</v>
      </c>
      <c r="D5060" s="64" t="s">
        <v>6120</v>
      </c>
      <c r="E5060" s="64" t="s">
        <v>4053</v>
      </c>
      <c r="F5060" s="64" t="s">
        <v>230</v>
      </c>
      <c r="G5060" s="64" t="s">
        <v>3717</v>
      </c>
      <c r="H5060" s="64" t="s">
        <v>2871</v>
      </c>
      <c r="I5060" s="64" t="s">
        <v>4054</v>
      </c>
      <c r="J5060" s="67">
        <v>0</v>
      </c>
      <c r="K5060" s="62">
        <v>2406.53</v>
      </c>
      <c r="L5060" s="33" t="e">
        <f>HLOOKUP(B5060,#REF!,1,0)</f>
        <v>#REF!</v>
      </c>
      <c r="M5060" s="33" t="str">
        <f t="shared" si="319"/>
        <v>P&amp;L</v>
      </c>
    </row>
    <row r="5061" spans="1:13" s="33" customFormat="true" ht="12.75" customHeight="true">
      <c r="A5061" s="33" t="str">
        <f t="shared" si="316"/>
        <v>GPI - CGS</v>
      </c>
      <c r="B5061" s="33" t="str">
        <f t="shared" si="317"/>
        <v>GPI</v>
      </c>
      <c r="C5061" s="33" t="str">
        <f t="shared" si="318"/>
        <v>60002-0000</v>
      </c>
      <c r="D5061" s="64" t="s">
        <v>6121</v>
      </c>
      <c r="E5061" s="64" t="s">
        <v>3837</v>
      </c>
      <c r="F5061" s="64" t="s">
        <v>230</v>
      </c>
      <c r="G5061" s="64" t="s">
        <v>3838</v>
      </c>
      <c r="H5061" s="64" t="s">
        <v>1875</v>
      </c>
      <c r="I5061" s="64" t="s">
        <v>3839</v>
      </c>
      <c r="J5061" s="67">
        <v>61.31</v>
      </c>
      <c r="K5061" s="62">
        <v>609.71</v>
      </c>
      <c r="L5061" s="33" t="e">
        <f>HLOOKUP(B5061,#REF!,1,0)</f>
        <v>#REF!</v>
      </c>
      <c r="M5061" s="33" t="str">
        <f t="shared" si="319"/>
        <v>P&amp;L</v>
      </c>
    </row>
    <row r="5062" spans="1:13" s="33" customFormat="true" ht="12.75" customHeight="true">
      <c r="A5062" s="33" t="str">
        <f t="shared" si="316"/>
        <v>GPI - CGS</v>
      </c>
      <c r="B5062" s="33" t="str">
        <f t="shared" si="317"/>
        <v>GPI</v>
      </c>
      <c r="C5062" s="33" t="str">
        <f t="shared" si="318"/>
        <v>60007-0000</v>
      </c>
      <c r="D5062" s="64" t="s">
        <v>6122</v>
      </c>
      <c r="E5062" s="64" t="s">
        <v>3846</v>
      </c>
      <c r="F5062" s="64" t="s">
        <v>230</v>
      </c>
      <c r="G5062" s="64" t="s">
        <v>3838</v>
      </c>
      <c r="H5062" s="64" t="s">
        <v>1875</v>
      </c>
      <c r="I5062" s="64" t="s">
        <v>3847</v>
      </c>
      <c r="J5062" s="67">
        <v>0</v>
      </c>
      <c r="K5062" s="62">
        <v>5421</v>
      </c>
      <c r="L5062" s="33" t="e">
        <f>HLOOKUP(B5062,#REF!,1,0)</f>
        <v>#REF!</v>
      </c>
      <c r="M5062" s="33" t="str">
        <f t="shared" si="319"/>
        <v>P&amp;L</v>
      </c>
    </row>
    <row r="5063" spans="1:13" s="33" customFormat="true" ht="12.75" customHeight="true">
      <c r="A5063" s="33" t="str">
        <f t="shared" si="316"/>
        <v>GPI - CGS</v>
      </c>
      <c r="B5063" s="33" t="str">
        <f t="shared" si="317"/>
        <v>GPI</v>
      </c>
      <c r="C5063" s="33" t="str">
        <f t="shared" si="318"/>
        <v>60015-0000</v>
      </c>
      <c r="D5063" s="64" t="s">
        <v>6123</v>
      </c>
      <c r="E5063" s="64" t="s">
        <v>3858</v>
      </c>
      <c r="F5063" s="64" t="s">
        <v>230</v>
      </c>
      <c r="G5063" s="64" t="s">
        <v>3838</v>
      </c>
      <c r="H5063" s="64" t="s">
        <v>1875</v>
      </c>
      <c r="I5063" s="64" t="s">
        <v>3859</v>
      </c>
      <c r="J5063" s="67">
        <v>0</v>
      </c>
      <c r="K5063" s="62">
        <v>20</v>
      </c>
      <c r="L5063" s="33" t="e">
        <f>HLOOKUP(B5063,#REF!,1,0)</f>
        <v>#REF!</v>
      </c>
      <c r="M5063" s="33" t="str">
        <f t="shared" si="319"/>
        <v>P&amp;L</v>
      </c>
    </row>
    <row r="5064" spans="1:13" s="33" customFormat="true" ht="12.75" customHeight="true">
      <c r="A5064" s="33" t="str">
        <f t="shared" si="316"/>
        <v>GPI - Income Tax</v>
      </c>
      <c r="B5064" s="33" t="str">
        <f t="shared" si="317"/>
        <v>GPI</v>
      </c>
      <c r="C5064" s="33" t="str">
        <f t="shared" si="318"/>
        <v>61019-0000</v>
      </c>
      <c r="D5064" s="64" t="s">
        <v>6124</v>
      </c>
      <c r="E5064" s="64" t="s">
        <v>4041</v>
      </c>
      <c r="F5064" s="64" t="s">
        <v>230</v>
      </c>
      <c r="G5064" s="64" t="s">
        <v>3844</v>
      </c>
      <c r="H5064" s="64" t="s">
        <v>3378</v>
      </c>
      <c r="I5064" s="64" t="s">
        <v>4042</v>
      </c>
      <c r="J5064" s="67">
        <v>0</v>
      </c>
      <c r="K5064" s="62">
        <v>785.91</v>
      </c>
      <c r="L5064" s="33" t="e">
        <f>HLOOKUP(B5064,#REF!,1,0)</f>
        <v>#REF!</v>
      </c>
      <c r="M5064" s="33" t="str">
        <f t="shared" si="319"/>
        <v>P&amp;L</v>
      </c>
    </row>
    <row r="5065" spans="1:13" s="33" customFormat="true" ht="12.75" customHeight="true">
      <c r="A5065" s="33" t="str">
        <f t="shared" si="316"/>
        <v>GRA - AR-PPD</v>
      </c>
      <c r="B5065" s="33" t="str">
        <f t="shared" si="317"/>
        <v>GRA</v>
      </c>
      <c r="C5065" s="33" t="str">
        <f t="shared" si="318"/>
        <v>11000-0000</v>
      </c>
      <c r="D5065" s="283" t="s">
        <v>6125</v>
      </c>
      <c r="E5065" s="64" t="s">
        <v>34</v>
      </c>
      <c r="F5065" s="64" t="s">
        <v>230</v>
      </c>
      <c r="G5065" s="64" t="s">
        <v>16</v>
      </c>
      <c r="H5065" s="64" t="s">
        <v>35</v>
      </c>
      <c r="I5065" s="64" t="s">
        <v>36</v>
      </c>
      <c r="J5065" s="67">
        <v>0</v>
      </c>
      <c r="K5065" s="62">
        <v>-3585.76</v>
      </c>
      <c r="L5065" s="33" t="e">
        <f>HLOOKUP(B5065,#REF!,1,0)</f>
        <v>#REF!</v>
      </c>
      <c r="M5065" s="33" t="str">
        <f t="shared" si="319"/>
        <v>BS</v>
      </c>
    </row>
    <row r="5066" spans="1:13" s="33" customFormat="true" ht="12.75" customHeight="true">
      <c r="A5066" s="33" t="str">
        <f t="shared" si="316"/>
        <v>GRA - Intercompany</v>
      </c>
      <c r="B5066" s="33" t="str">
        <f t="shared" si="317"/>
        <v>GRA</v>
      </c>
      <c r="C5066" s="33" t="str">
        <f t="shared" si="318"/>
        <v>11352-0000</v>
      </c>
      <c r="D5066" s="283" t="s">
        <v>6126</v>
      </c>
      <c r="E5066" s="64" t="s">
        <v>6127</v>
      </c>
      <c r="F5066" s="64" t="s">
        <v>230</v>
      </c>
      <c r="G5066" s="64" t="s">
        <v>16</v>
      </c>
      <c r="H5066" s="64" t="s">
        <v>39</v>
      </c>
      <c r="I5066" s="64" t="s">
        <v>40</v>
      </c>
      <c r="J5066" s="67">
        <v>-2540.37</v>
      </c>
      <c r="K5066" s="62">
        <v>0</v>
      </c>
      <c r="L5066" s="33" t="e">
        <f>HLOOKUP(B5066,#REF!,1,0)</f>
        <v>#REF!</v>
      </c>
      <c r="M5066" s="33" t="str">
        <f t="shared" si="319"/>
        <v>BS</v>
      </c>
    </row>
    <row r="5067" spans="1:13" s="33" customFormat="true" ht="12.75" customHeight="true">
      <c r="A5067" s="33" t="str">
        <f t="shared" si="316"/>
        <v>GRA - Intercompany</v>
      </c>
      <c r="B5067" s="33" t="str">
        <f t="shared" si="317"/>
        <v>GRA</v>
      </c>
      <c r="C5067" s="33" t="str">
        <f t="shared" si="318"/>
        <v>11353-0000</v>
      </c>
      <c r="D5067" s="283" t="s">
        <v>6128</v>
      </c>
      <c r="E5067" s="64" t="s">
        <v>4046</v>
      </c>
      <c r="F5067" s="64" t="s">
        <v>230</v>
      </c>
      <c r="G5067" s="64" t="s">
        <v>362</v>
      </c>
      <c r="H5067" s="64" t="s">
        <v>39</v>
      </c>
      <c r="I5067" s="64" t="s">
        <v>40</v>
      </c>
      <c r="J5067" s="67">
        <v>4368.5</v>
      </c>
      <c r="K5067" s="62">
        <v>5383.64</v>
      </c>
      <c r="L5067" s="33" t="e">
        <f>HLOOKUP(B5067,#REF!,1,0)</f>
        <v>#REF!</v>
      </c>
      <c r="M5067" s="33" t="str">
        <f t="shared" si="319"/>
        <v>BS</v>
      </c>
    </row>
    <row r="5068" spans="1:13" s="33" customFormat="true" ht="12.75" customHeight="true">
      <c r="A5068" s="33" t="str">
        <f t="shared" si="316"/>
        <v>GRA - Intercompany</v>
      </c>
      <c r="B5068" s="33" t="str">
        <f t="shared" si="317"/>
        <v>GRA</v>
      </c>
      <c r="C5068" s="33" t="str">
        <f t="shared" si="318"/>
        <v>11354-0000</v>
      </c>
      <c r="D5068" s="283" t="s">
        <v>6129</v>
      </c>
      <c r="E5068" s="64" t="s">
        <v>4048</v>
      </c>
      <c r="F5068" s="64" t="s">
        <v>230</v>
      </c>
      <c r="G5068" s="64" t="s">
        <v>16</v>
      </c>
      <c r="H5068" s="64" t="s">
        <v>39</v>
      </c>
      <c r="I5068" s="64" t="s">
        <v>40</v>
      </c>
      <c r="J5068" s="67">
        <v>1804.07</v>
      </c>
      <c r="K5068" s="62">
        <v>8821.01</v>
      </c>
      <c r="L5068" s="33" t="e">
        <f>HLOOKUP(B5068,#REF!,1,0)</f>
        <v>#REF!</v>
      </c>
      <c r="M5068" s="33" t="str">
        <f t="shared" si="319"/>
        <v>BS</v>
      </c>
    </row>
    <row r="5069" spans="1:13" s="33" customFormat="true" ht="12.75" customHeight="true">
      <c r="A5069" s="33" t="str">
        <f t="shared" si="316"/>
        <v>GRA - Intercompany</v>
      </c>
      <c r="B5069" s="33" t="str">
        <f t="shared" si="317"/>
        <v>GRA</v>
      </c>
      <c r="C5069" s="33" t="str">
        <f t="shared" si="318"/>
        <v>11355-0000</v>
      </c>
      <c r="D5069" s="283" t="s">
        <v>6130</v>
      </c>
      <c r="E5069" s="64" t="s">
        <v>6131</v>
      </c>
      <c r="F5069" s="64" t="s">
        <v>230</v>
      </c>
      <c r="G5069" s="64" t="s">
        <v>362</v>
      </c>
      <c r="H5069" s="64" t="s">
        <v>39</v>
      </c>
      <c r="I5069" s="64" t="s">
        <v>40</v>
      </c>
      <c r="J5069" s="67">
        <v>604.85</v>
      </c>
      <c r="K5069" s="62">
        <v>5443.73</v>
      </c>
      <c r="L5069" s="33" t="e">
        <f>HLOOKUP(B5069,#REF!,1,0)</f>
        <v>#REF!</v>
      </c>
      <c r="M5069" s="33" t="str">
        <f t="shared" si="319"/>
        <v>BS</v>
      </c>
    </row>
    <row r="5070" spans="1:13" s="33" customFormat="true" ht="12.75" customHeight="true">
      <c r="A5070" s="33" t="str">
        <f t="shared" si="316"/>
        <v>GRA - Intercompany</v>
      </c>
      <c r="B5070" s="33" t="str">
        <f t="shared" si="317"/>
        <v>GRA</v>
      </c>
      <c r="C5070" s="33" t="str">
        <f t="shared" si="318"/>
        <v>11356-0000</v>
      </c>
      <c r="D5070" s="283" t="s">
        <v>6132</v>
      </c>
      <c r="E5070" s="64" t="s">
        <v>6133</v>
      </c>
      <c r="F5070" s="64" t="s">
        <v>230</v>
      </c>
      <c r="G5070" s="64" t="s">
        <v>362</v>
      </c>
      <c r="H5070" s="64" t="s">
        <v>39</v>
      </c>
      <c r="I5070" s="64" t="s">
        <v>40</v>
      </c>
      <c r="J5070" s="67">
        <v>0</v>
      </c>
      <c r="K5070" s="62">
        <v>12944.85</v>
      </c>
      <c r="L5070" s="33" t="e">
        <f>HLOOKUP(B5070,#REF!,1,0)</f>
        <v>#REF!</v>
      </c>
      <c r="M5070" s="33" t="str">
        <f t="shared" si="319"/>
        <v>BS</v>
      </c>
    </row>
    <row r="5071" spans="1:13" s="33" customFormat="true" ht="12.75" customHeight="true">
      <c r="A5071" s="33" t="str">
        <f t="shared" si="316"/>
        <v>GRA - Intercompany</v>
      </c>
      <c r="B5071" s="33" t="str">
        <f t="shared" si="317"/>
        <v>GRA</v>
      </c>
      <c r="C5071" s="33" t="str">
        <f t="shared" si="318"/>
        <v>11357-0000</v>
      </c>
      <c r="D5071" s="283" t="s">
        <v>6134</v>
      </c>
      <c r="E5071" s="64" t="s">
        <v>6135</v>
      </c>
      <c r="F5071" s="64" t="s">
        <v>230</v>
      </c>
      <c r="G5071" s="64" t="s">
        <v>16</v>
      </c>
      <c r="H5071" s="64" t="s">
        <v>39</v>
      </c>
      <c r="I5071" s="64" t="s">
        <v>40</v>
      </c>
      <c r="J5071" s="67">
        <v>3461.53</v>
      </c>
      <c r="K5071" s="62">
        <v>3461.53</v>
      </c>
      <c r="L5071" s="33" t="e">
        <f>HLOOKUP(B5071,#REF!,1,0)</f>
        <v>#REF!</v>
      </c>
      <c r="M5071" s="33" t="str">
        <f t="shared" si="319"/>
        <v>BS</v>
      </c>
    </row>
    <row r="5072" spans="1:13" s="33" customFormat="true" ht="12.75" customHeight="true">
      <c r="A5072" s="33" t="str">
        <f t="shared" si="316"/>
        <v>GRA - Intercompany</v>
      </c>
      <c r="B5072" s="33" t="str">
        <f t="shared" si="317"/>
        <v>GRA</v>
      </c>
      <c r="C5072" s="33" t="str">
        <f t="shared" si="318"/>
        <v>11358-0000</v>
      </c>
      <c r="D5072" s="283" t="s">
        <v>6136</v>
      </c>
      <c r="E5072" s="64" t="s">
        <v>5392</v>
      </c>
      <c r="F5072" s="64" t="s">
        <v>230</v>
      </c>
      <c r="G5072" s="64" t="s">
        <v>16</v>
      </c>
      <c r="H5072" s="64" t="s">
        <v>39</v>
      </c>
      <c r="I5072" s="64" t="s">
        <v>40</v>
      </c>
      <c r="J5072" s="67">
        <v>2624.15</v>
      </c>
      <c r="K5072" s="62">
        <v>-1266.23</v>
      </c>
      <c r="L5072" s="33" t="e">
        <f>HLOOKUP(B5072,#REF!,1,0)</f>
        <v>#REF!</v>
      </c>
      <c r="M5072" s="33" t="str">
        <f t="shared" si="319"/>
        <v>BS</v>
      </c>
    </row>
    <row r="5073" spans="1:13" s="33" customFormat="true" ht="12.75" customHeight="true">
      <c r="A5073" s="33" t="str">
        <f t="shared" si="316"/>
        <v>GRA - Intercompany</v>
      </c>
      <c r="B5073" s="33" t="str">
        <f t="shared" si="317"/>
        <v>GRA</v>
      </c>
      <c r="C5073" s="33" t="str">
        <f t="shared" si="318"/>
        <v>11359-0000</v>
      </c>
      <c r="D5073" s="283" t="s">
        <v>6137</v>
      </c>
      <c r="E5073" s="64" t="s">
        <v>5857</v>
      </c>
      <c r="F5073" s="64" t="s">
        <v>230</v>
      </c>
      <c r="G5073" s="64" t="s">
        <v>362</v>
      </c>
      <c r="H5073" s="64" t="s">
        <v>39</v>
      </c>
      <c r="I5073" s="64" t="s">
        <v>40</v>
      </c>
      <c r="J5073" s="67">
        <v>571.3</v>
      </c>
      <c r="K5073" s="62">
        <v>14215.36</v>
      </c>
      <c r="L5073" s="33" t="e">
        <f>HLOOKUP(B5073,#REF!,1,0)</f>
        <v>#REF!</v>
      </c>
      <c r="M5073" s="33" t="str">
        <f t="shared" si="319"/>
        <v>BS</v>
      </c>
    </row>
    <row r="5074" spans="1:13" s="33" customFormat="true" ht="12.75" customHeight="true">
      <c r="A5074" s="33" t="str">
        <f t="shared" si="316"/>
        <v>GRA - Intercompany</v>
      </c>
      <c r="B5074" s="33" t="str">
        <f t="shared" si="317"/>
        <v>GRA</v>
      </c>
      <c r="C5074" s="33" t="str">
        <f t="shared" si="318"/>
        <v>11363-0000</v>
      </c>
      <c r="D5074" s="283" t="s">
        <v>6138</v>
      </c>
      <c r="E5074" s="64" t="s">
        <v>6139</v>
      </c>
      <c r="F5074" s="64" t="s">
        <v>230</v>
      </c>
      <c r="G5074" s="64" t="s">
        <v>16</v>
      </c>
      <c r="H5074" s="64" t="s">
        <v>39</v>
      </c>
      <c r="I5074" s="64" t="s">
        <v>40</v>
      </c>
      <c r="J5074" s="67">
        <v>6730.44</v>
      </c>
      <c r="K5074" s="62">
        <v>12502.94</v>
      </c>
      <c r="L5074" s="33" t="e">
        <f>HLOOKUP(B5074,#REF!,1,0)</f>
        <v>#REF!</v>
      </c>
      <c r="M5074" s="33" t="str">
        <f t="shared" si="319"/>
        <v>BS</v>
      </c>
    </row>
    <row r="5075" spans="1:13" s="33" customFormat="true" ht="12.75" customHeight="true">
      <c r="A5075" s="33" t="str">
        <f t="shared" si="316"/>
        <v>GRA - Fixed Assets</v>
      </c>
      <c r="B5075" s="33" t="str">
        <f t="shared" si="317"/>
        <v>GRA</v>
      </c>
      <c r="C5075" s="33" t="str">
        <f t="shared" si="318"/>
        <v>15501-0000</v>
      </c>
      <c r="D5075" s="283" t="s">
        <v>6140</v>
      </c>
      <c r="E5075" s="64" t="s">
        <v>2635</v>
      </c>
      <c r="F5075" s="64" t="s">
        <v>230</v>
      </c>
      <c r="G5075" s="64" t="s">
        <v>62</v>
      </c>
      <c r="H5075" s="64" t="s">
        <v>63</v>
      </c>
      <c r="I5075" s="64" t="s">
        <v>64</v>
      </c>
      <c r="J5075" s="67">
        <v>0</v>
      </c>
      <c r="K5075" s="62">
        <v>6650.57</v>
      </c>
      <c r="L5075" s="33" t="e">
        <f>HLOOKUP(B5075,#REF!,1,0)</f>
        <v>#REF!</v>
      </c>
      <c r="M5075" s="33" t="str">
        <f t="shared" si="319"/>
        <v>BS</v>
      </c>
    </row>
    <row r="5076" spans="1:13" s="33" customFormat="true" ht="12.75" customHeight="true">
      <c r="A5076" s="33" t="str">
        <f t="shared" si="316"/>
        <v>GRA - AP-Accr Exp</v>
      </c>
      <c r="B5076" s="33" t="str">
        <f t="shared" si="317"/>
        <v>GRA</v>
      </c>
      <c r="C5076" s="33" t="str">
        <f t="shared" si="318"/>
        <v>20000-0000</v>
      </c>
      <c r="D5076" s="283" t="s">
        <v>6141</v>
      </c>
      <c r="E5076" s="64" t="s">
        <v>96</v>
      </c>
      <c r="F5076" s="64" t="s">
        <v>230</v>
      </c>
      <c r="G5076" s="64" t="s">
        <v>97</v>
      </c>
      <c r="H5076" s="64" t="s">
        <v>98</v>
      </c>
      <c r="I5076" s="64" t="s">
        <v>99</v>
      </c>
      <c r="J5076" s="67">
        <v>0</v>
      </c>
      <c r="K5076" s="62">
        <v>0</v>
      </c>
      <c r="L5076" s="33" t="e">
        <f>HLOOKUP(B5076,#REF!,1,0)</f>
        <v>#REF!</v>
      </c>
      <c r="M5076" s="33" t="str">
        <f t="shared" si="319"/>
        <v>BS</v>
      </c>
    </row>
    <row r="5077" spans="1:13" s="33" customFormat="true" ht="12.75" customHeight="true">
      <c r="A5077" s="33" t="str">
        <f t="shared" si="316"/>
        <v>GRA - AR-PPD</v>
      </c>
      <c r="B5077" s="33" t="str">
        <f t="shared" si="317"/>
        <v>GRA</v>
      </c>
      <c r="C5077" s="33" t="str">
        <f t="shared" si="318"/>
        <v>25300-0000</v>
      </c>
      <c r="D5077" s="283" t="s">
        <v>6142</v>
      </c>
      <c r="E5077" s="64" t="s">
        <v>3677</v>
      </c>
      <c r="F5077" s="64" t="s">
        <v>230</v>
      </c>
      <c r="G5077" s="64" t="s">
        <v>3678</v>
      </c>
      <c r="H5077" s="64" t="s">
        <v>35</v>
      </c>
      <c r="I5077" s="64" t="s">
        <v>102</v>
      </c>
      <c r="J5077" s="67">
        <v>0</v>
      </c>
      <c r="K5077" s="62">
        <v>0</v>
      </c>
      <c r="L5077" s="33" t="e">
        <f>HLOOKUP(B5077,#REF!,1,0)</f>
        <v>#REF!</v>
      </c>
      <c r="M5077" s="33" t="str">
        <f t="shared" si="319"/>
        <v>BS</v>
      </c>
    </row>
    <row r="5078" spans="1:13" s="33" customFormat="true" ht="12.75" customHeight="true">
      <c r="A5078" s="33" t="str">
        <f t="shared" si="316"/>
        <v>GRA - Revenue</v>
      </c>
      <c r="B5078" s="33" t="str">
        <f t="shared" si="317"/>
        <v>GRA</v>
      </c>
      <c r="C5078" s="33" t="str">
        <f t="shared" si="318"/>
        <v>40110-0000</v>
      </c>
      <c r="D5078" s="283" t="s">
        <v>6143</v>
      </c>
      <c r="E5078" s="64" t="s">
        <v>3683</v>
      </c>
      <c r="F5078" s="64" t="s">
        <v>230</v>
      </c>
      <c r="G5078" s="64" t="s">
        <v>3684</v>
      </c>
      <c r="H5078" s="64" t="s">
        <v>2871</v>
      </c>
      <c r="I5078" s="64" t="s">
        <v>3685</v>
      </c>
      <c r="J5078" s="67">
        <v>0</v>
      </c>
      <c r="K5078" s="62">
        <v>-2244744</v>
      </c>
      <c r="L5078" s="33" t="e">
        <f>HLOOKUP(B5078,#REF!,1,0)</f>
        <v>#REF!</v>
      </c>
      <c r="M5078" s="33" t="str">
        <f t="shared" si="319"/>
        <v>P&amp;L</v>
      </c>
    </row>
    <row r="5079" spans="1:13" s="33" customFormat="true" ht="12.75" customHeight="true">
      <c r="A5079" s="33" t="str">
        <f t="shared" si="316"/>
        <v>GRA - Revenue</v>
      </c>
      <c r="B5079" s="33" t="str">
        <f t="shared" si="317"/>
        <v>GRA</v>
      </c>
      <c r="C5079" s="33" t="str">
        <f t="shared" si="318"/>
        <v>40120-0000</v>
      </c>
      <c r="D5079" s="283" t="s">
        <v>6144</v>
      </c>
      <c r="E5079" s="64" t="s">
        <v>3687</v>
      </c>
      <c r="F5079" s="64" t="s">
        <v>230</v>
      </c>
      <c r="G5079" s="64" t="s">
        <v>3684</v>
      </c>
      <c r="H5079" s="64" t="s">
        <v>2871</v>
      </c>
      <c r="I5079" s="64" t="s">
        <v>3688</v>
      </c>
      <c r="J5079" s="67">
        <v>0</v>
      </c>
      <c r="K5079" s="62">
        <v>-77801</v>
      </c>
      <c r="L5079" s="33" t="e">
        <f>HLOOKUP(B5079,#REF!,1,0)</f>
        <v>#REF!</v>
      </c>
      <c r="M5079" s="33" t="str">
        <f t="shared" si="319"/>
        <v>P&amp;L</v>
      </c>
    </row>
    <row r="5080" spans="1:13" s="33" customFormat="true" ht="12.75" customHeight="true">
      <c r="A5080" s="33" t="str">
        <f t="shared" si="316"/>
        <v>GRA - Revenue</v>
      </c>
      <c r="B5080" s="33" t="str">
        <f t="shared" si="317"/>
        <v>GRA</v>
      </c>
      <c r="C5080" s="33" t="str">
        <f t="shared" si="318"/>
        <v>40130-0000</v>
      </c>
      <c r="D5080" s="283" t="s">
        <v>6145</v>
      </c>
      <c r="E5080" s="64" t="s">
        <v>3690</v>
      </c>
      <c r="F5080" s="64" t="s">
        <v>230</v>
      </c>
      <c r="G5080" s="64" t="s">
        <v>3684</v>
      </c>
      <c r="H5080" s="64" t="s">
        <v>2871</v>
      </c>
      <c r="I5080" s="64" t="s">
        <v>3691</v>
      </c>
      <c r="J5080" s="67">
        <v>0</v>
      </c>
      <c r="K5080" s="62">
        <v>-123317</v>
      </c>
      <c r="L5080" s="33" t="e">
        <f>HLOOKUP(B5080,#REF!,1,0)</f>
        <v>#REF!</v>
      </c>
      <c r="M5080" s="33" t="str">
        <f t="shared" si="319"/>
        <v>P&amp;L</v>
      </c>
    </row>
    <row r="5081" spans="1:13" s="33" customFormat="true" ht="12.75" customHeight="true">
      <c r="A5081" s="33" t="str">
        <f t="shared" si="316"/>
        <v>GRA - Revenue</v>
      </c>
      <c r="B5081" s="33" t="str">
        <f t="shared" si="317"/>
        <v>GRA</v>
      </c>
      <c r="C5081" s="33" t="str">
        <f t="shared" si="318"/>
        <v>40140-0000</v>
      </c>
      <c r="D5081" s="283" t="s">
        <v>6146</v>
      </c>
      <c r="E5081" s="64" t="s">
        <v>3948</v>
      </c>
      <c r="F5081" s="64" t="s">
        <v>230</v>
      </c>
      <c r="G5081" s="64" t="s">
        <v>3684</v>
      </c>
      <c r="H5081" s="64" t="s">
        <v>2871</v>
      </c>
      <c r="I5081" s="64" t="s">
        <v>3949</v>
      </c>
      <c r="J5081" s="67">
        <v>0</v>
      </c>
      <c r="K5081" s="62">
        <v>0</v>
      </c>
      <c r="L5081" s="33" t="e">
        <f>HLOOKUP(B5081,#REF!,1,0)</f>
        <v>#REF!</v>
      </c>
      <c r="M5081" s="33" t="str">
        <f t="shared" si="319"/>
        <v>P&amp;L</v>
      </c>
    </row>
    <row r="5082" spans="1:13" s="33" customFormat="true" ht="12.75" customHeight="true">
      <c r="A5082" s="33" t="str">
        <f t="shared" si="316"/>
        <v>GRA - Revenue</v>
      </c>
      <c r="B5082" s="33" t="str">
        <f t="shared" si="317"/>
        <v>GRA</v>
      </c>
      <c r="C5082" s="33" t="str">
        <f t="shared" si="318"/>
        <v>41110-0000</v>
      </c>
      <c r="D5082" s="283" t="s">
        <v>6147</v>
      </c>
      <c r="E5082" s="64" t="s">
        <v>3693</v>
      </c>
      <c r="F5082" s="64" t="s">
        <v>230</v>
      </c>
      <c r="G5082" s="64" t="s">
        <v>3694</v>
      </c>
      <c r="H5082" s="64" t="s">
        <v>2871</v>
      </c>
      <c r="I5082" s="64" t="s">
        <v>3695</v>
      </c>
      <c r="J5082" s="67">
        <v>0</v>
      </c>
      <c r="K5082" s="62">
        <v>93074.57</v>
      </c>
      <c r="L5082" s="33" t="e">
        <f>HLOOKUP(B5082,#REF!,1,0)</f>
        <v>#REF!</v>
      </c>
      <c r="M5082" s="33" t="str">
        <f t="shared" si="319"/>
        <v>P&amp;L</v>
      </c>
    </row>
    <row r="5083" spans="1:13" s="33" customFormat="true" ht="12.75" customHeight="true">
      <c r="A5083" s="33" t="str">
        <f t="shared" si="316"/>
        <v>GRA - Revenue</v>
      </c>
      <c r="B5083" s="33" t="str">
        <f t="shared" si="317"/>
        <v>GRA</v>
      </c>
      <c r="C5083" s="33" t="str">
        <f t="shared" si="318"/>
        <v>41121-0000</v>
      </c>
      <c r="D5083" s="283" t="s">
        <v>6148</v>
      </c>
      <c r="E5083" s="64" t="s">
        <v>3697</v>
      </c>
      <c r="F5083" s="64" t="s">
        <v>230</v>
      </c>
      <c r="G5083" s="64" t="s">
        <v>3694</v>
      </c>
      <c r="H5083" s="64" t="s">
        <v>2871</v>
      </c>
      <c r="I5083" s="64" t="s">
        <v>3698</v>
      </c>
      <c r="J5083" s="67">
        <v>0</v>
      </c>
      <c r="K5083" s="62">
        <v>113051.96</v>
      </c>
      <c r="L5083" s="33" t="e">
        <f>HLOOKUP(B5083,#REF!,1,0)</f>
        <v>#REF!</v>
      </c>
      <c r="M5083" s="33" t="str">
        <f t="shared" si="319"/>
        <v>P&amp;L</v>
      </c>
    </row>
    <row r="5084" spans="1:13" s="33" customFormat="true" ht="12.75" customHeight="true">
      <c r="A5084" s="33" t="str">
        <f t="shared" si="316"/>
        <v>GRA - Revenue</v>
      </c>
      <c r="B5084" s="33" t="str">
        <f t="shared" si="317"/>
        <v>GRA</v>
      </c>
      <c r="C5084" s="33" t="str">
        <f t="shared" si="318"/>
        <v>41122-0000</v>
      </c>
      <c r="D5084" s="283" t="s">
        <v>6149</v>
      </c>
      <c r="E5084" s="64" t="s">
        <v>3700</v>
      </c>
      <c r="F5084" s="64" t="s">
        <v>230</v>
      </c>
      <c r="G5084" s="64" t="s">
        <v>3694</v>
      </c>
      <c r="H5084" s="64" t="s">
        <v>2871</v>
      </c>
      <c r="I5084" s="64" t="s">
        <v>3701</v>
      </c>
      <c r="J5084" s="67">
        <v>0</v>
      </c>
      <c r="K5084" s="62">
        <v>-108911.02</v>
      </c>
      <c r="L5084" s="33" t="e">
        <f>HLOOKUP(B5084,#REF!,1,0)</f>
        <v>#REF!</v>
      </c>
      <c r="M5084" s="33" t="str">
        <f t="shared" si="319"/>
        <v>P&amp;L</v>
      </c>
    </row>
    <row r="5085" spans="1:13" s="33" customFormat="true" ht="12.75" customHeight="true">
      <c r="A5085" s="33" t="str">
        <f t="shared" si="316"/>
        <v>GRA - Revenue</v>
      </c>
      <c r="B5085" s="33" t="str">
        <f t="shared" si="317"/>
        <v>GRA</v>
      </c>
      <c r="C5085" s="33" t="str">
        <f t="shared" si="318"/>
        <v>41130-0000</v>
      </c>
      <c r="D5085" s="283" t="s">
        <v>6150</v>
      </c>
      <c r="E5085" s="64" t="s">
        <v>3703</v>
      </c>
      <c r="F5085" s="64" t="s">
        <v>230</v>
      </c>
      <c r="G5085" s="64" t="s">
        <v>3694</v>
      </c>
      <c r="H5085" s="64" t="s">
        <v>2871</v>
      </c>
      <c r="I5085" s="64" t="s">
        <v>3704</v>
      </c>
      <c r="J5085" s="67">
        <v>0</v>
      </c>
      <c r="K5085" s="62">
        <v>1131.63</v>
      </c>
      <c r="L5085" s="33" t="e">
        <f>HLOOKUP(B5085,#REF!,1,0)</f>
        <v>#REF!</v>
      </c>
      <c r="M5085" s="33" t="str">
        <f t="shared" si="319"/>
        <v>P&amp;L</v>
      </c>
    </row>
    <row r="5086" spans="1:13" s="33" customFormat="true" ht="12.75" customHeight="true">
      <c r="A5086" s="33" t="str">
        <f t="shared" si="316"/>
        <v>GRA - Revenue</v>
      </c>
      <c r="B5086" s="33" t="str">
        <f t="shared" si="317"/>
        <v>GRA</v>
      </c>
      <c r="C5086" s="33" t="str">
        <f t="shared" si="318"/>
        <v>41140-0000</v>
      </c>
      <c r="D5086" s="283" t="s">
        <v>6151</v>
      </c>
      <c r="E5086" s="64" t="s">
        <v>3706</v>
      </c>
      <c r="F5086" s="64" t="s">
        <v>230</v>
      </c>
      <c r="G5086" s="64" t="s">
        <v>3694</v>
      </c>
      <c r="H5086" s="64" t="s">
        <v>2871</v>
      </c>
      <c r="I5086" s="64" t="s">
        <v>3707</v>
      </c>
      <c r="J5086" s="67">
        <v>0</v>
      </c>
      <c r="K5086" s="62">
        <v>0</v>
      </c>
      <c r="L5086" s="33" t="e">
        <f>HLOOKUP(B5086,#REF!,1,0)</f>
        <v>#REF!</v>
      </c>
      <c r="M5086" s="33" t="str">
        <f t="shared" si="319"/>
        <v>P&amp;L</v>
      </c>
    </row>
    <row r="5087" spans="1:13" s="33" customFormat="true" ht="12.75" customHeight="true">
      <c r="A5087" s="33" t="str">
        <f t="shared" si="316"/>
        <v>GRA - Revenue</v>
      </c>
      <c r="B5087" s="33" t="str">
        <f t="shared" si="317"/>
        <v>GRA</v>
      </c>
      <c r="C5087" s="33" t="str">
        <f t="shared" si="318"/>
        <v>41150-0000</v>
      </c>
      <c r="D5087" s="283" t="s">
        <v>6152</v>
      </c>
      <c r="E5087" s="64" t="s">
        <v>3709</v>
      </c>
      <c r="F5087" s="64" t="s">
        <v>230</v>
      </c>
      <c r="G5087" s="64" t="s">
        <v>3694</v>
      </c>
      <c r="H5087" s="64" t="s">
        <v>2871</v>
      </c>
      <c r="I5087" s="64" t="s">
        <v>3710</v>
      </c>
      <c r="J5087" s="67">
        <v>0</v>
      </c>
      <c r="K5087" s="62">
        <v>5145</v>
      </c>
      <c r="L5087" s="33" t="e">
        <f>HLOOKUP(B5087,#REF!,1,0)</f>
        <v>#REF!</v>
      </c>
      <c r="M5087" s="33" t="str">
        <f t="shared" si="319"/>
        <v>P&amp;L</v>
      </c>
    </row>
    <row r="5088" spans="1:13" s="33" customFormat="true" ht="12.75" customHeight="true">
      <c r="A5088" s="33" t="str">
        <f t="shared" si="316"/>
        <v>GRA - Revenue</v>
      </c>
      <c r="B5088" s="33" t="str">
        <f t="shared" si="317"/>
        <v>GRA</v>
      </c>
      <c r="C5088" s="33" t="str">
        <f t="shared" si="318"/>
        <v>41999-0000</v>
      </c>
      <c r="D5088" s="283" t="s">
        <v>6153</v>
      </c>
      <c r="E5088" s="64" t="s">
        <v>3712</v>
      </c>
      <c r="F5088" s="64" t="s">
        <v>230</v>
      </c>
      <c r="G5088" s="64" t="s">
        <v>3713</v>
      </c>
      <c r="H5088" s="64" t="s">
        <v>2871</v>
      </c>
      <c r="I5088" s="64" t="s">
        <v>3714</v>
      </c>
      <c r="J5088" s="67">
        <v>0</v>
      </c>
      <c r="K5088" s="62">
        <v>2342369.86</v>
      </c>
      <c r="L5088" s="33" t="e">
        <f>HLOOKUP(B5088,#REF!,1,0)</f>
        <v>#REF!</v>
      </c>
      <c r="M5088" s="33" t="str">
        <f t="shared" si="319"/>
        <v>P&amp;L</v>
      </c>
    </row>
    <row r="5089" spans="1:13" s="33" customFormat="true" ht="12.75" customHeight="true">
      <c r="A5089" s="33" t="str">
        <f t="shared" si="316"/>
        <v>GRA - Revenue</v>
      </c>
      <c r="B5089" s="33" t="str">
        <f t="shared" si="317"/>
        <v>GRA</v>
      </c>
      <c r="C5089" s="33" t="str">
        <f t="shared" si="318"/>
        <v>47400-0000</v>
      </c>
      <c r="D5089" s="283" t="s">
        <v>6154</v>
      </c>
      <c r="E5089" s="64" t="s">
        <v>3716</v>
      </c>
      <c r="F5089" s="64" t="s">
        <v>230</v>
      </c>
      <c r="G5089" s="64" t="s">
        <v>3717</v>
      </c>
      <c r="H5089" s="64" t="s">
        <v>2871</v>
      </c>
      <c r="I5089" s="64" t="s">
        <v>3718</v>
      </c>
      <c r="J5089" s="67">
        <v>0</v>
      </c>
      <c r="K5089" s="62">
        <v>-2342369.86</v>
      </c>
      <c r="L5089" s="33" t="e">
        <f>HLOOKUP(B5089,#REF!,1,0)</f>
        <v>#REF!</v>
      </c>
      <c r="M5089" s="33" t="str">
        <f t="shared" si="319"/>
        <v>P&amp;L</v>
      </c>
    </row>
    <row r="5090" spans="1:13" s="33" customFormat="true" ht="12.75" customHeight="true">
      <c r="A5090" s="33" t="str">
        <f t="shared" si="316"/>
        <v>GRA - Revenue</v>
      </c>
      <c r="B5090" s="33" t="str">
        <f t="shared" si="317"/>
        <v>GRA</v>
      </c>
      <c r="C5090" s="33" t="str">
        <f t="shared" si="318"/>
        <v>47430-0000</v>
      </c>
      <c r="D5090" s="283" t="s">
        <v>6155</v>
      </c>
      <c r="E5090" s="64" t="s">
        <v>4053</v>
      </c>
      <c r="F5090" s="64" t="s">
        <v>230</v>
      </c>
      <c r="G5090" s="64" t="s">
        <v>3717</v>
      </c>
      <c r="H5090" s="64" t="s">
        <v>2871</v>
      </c>
      <c r="I5090" s="64" t="s">
        <v>4054</v>
      </c>
      <c r="J5090" s="67">
        <v>0</v>
      </c>
      <c r="K5090" s="62">
        <v>0</v>
      </c>
      <c r="L5090" s="33" t="e">
        <f>HLOOKUP(B5090,#REF!,1,0)</f>
        <v>#REF!</v>
      </c>
      <c r="M5090" s="33" t="str">
        <f t="shared" si="319"/>
        <v>P&amp;L</v>
      </c>
    </row>
    <row r="5091" spans="1:13" s="33" customFormat="true" ht="12.75" customHeight="true">
      <c r="A5091" s="33" t="str">
        <f t="shared" si="316"/>
        <v>GRA - Revenue</v>
      </c>
      <c r="B5091" s="33" t="str">
        <f t="shared" si="317"/>
        <v>GRA</v>
      </c>
      <c r="C5091" s="33" t="str">
        <f t="shared" si="318"/>
        <v>47440-0000</v>
      </c>
      <c r="D5091" s="283" t="s">
        <v>6156</v>
      </c>
      <c r="E5091" s="64" t="s">
        <v>3720</v>
      </c>
      <c r="F5091" s="64" t="s">
        <v>230</v>
      </c>
      <c r="G5091" s="64" t="s">
        <v>3717</v>
      </c>
      <c r="H5091" s="64" t="s">
        <v>2871</v>
      </c>
      <c r="I5091" s="64" t="s">
        <v>3721</v>
      </c>
      <c r="J5091" s="67">
        <v>0</v>
      </c>
      <c r="K5091" s="62">
        <v>-102794.52</v>
      </c>
      <c r="L5091" s="33" t="e">
        <f>HLOOKUP(B5091,#REF!,1,0)</f>
        <v>#REF!</v>
      </c>
      <c r="M5091" s="33" t="str">
        <f t="shared" si="319"/>
        <v>P&amp;L</v>
      </c>
    </row>
    <row r="5092" spans="1:13" s="33" customFormat="true" ht="12.75" customHeight="true">
      <c r="A5092" s="33" t="str">
        <f t="shared" si="316"/>
        <v>GRA - Revenue</v>
      </c>
      <c r="B5092" s="33" t="str">
        <f t="shared" si="317"/>
        <v>GRA</v>
      </c>
      <c r="C5092" s="33" t="str">
        <f t="shared" si="318"/>
        <v>47450-0000</v>
      </c>
      <c r="D5092" s="283" t="s">
        <v>6157</v>
      </c>
      <c r="E5092" s="64" t="s">
        <v>3723</v>
      </c>
      <c r="F5092" s="64" t="s">
        <v>230</v>
      </c>
      <c r="G5092" s="64" t="s">
        <v>3717</v>
      </c>
      <c r="H5092" s="64" t="s">
        <v>2871</v>
      </c>
      <c r="I5092" s="64" t="s">
        <v>3724</v>
      </c>
      <c r="J5092" s="67">
        <v>0</v>
      </c>
      <c r="K5092" s="62">
        <v>-14104.3</v>
      </c>
      <c r="L5092" s="33" t="e">
        <f>HLOOKUP(B5092,#REF!,1,0)</f>
        <v>#REF!</v>
      </c>
      <c r="M5092" s="33" t="str">
        <f t="shared" si="319"/>
        <v>P&amp;L</v>
      </c>
    </row>
    <row r="5093" spans="1:13" s="33" customFormat="true" ht="12.75" customHeight="true">
      <c r="A5093" s="33" t="str">
        <f t="shared" si="316"/>
        <v>GRA - Revenue</v>
      </c>
      <c r="B5093" s="33" t="str">
        <f t="shared" si="317"/>
        <v>GRA</v>
      </c>
      <c r="C5093" s="33" t="str">
        <f t="shared" si="318"/>
        <v>47460-0000</v>
      </c>
      <c r="D5093" s="283" t="s">
        <v>6158</v>
      </c>
      <c r="E5093" s="64" t="s">
        <v>3726</v>
      </c>
      <c r="F5093" s="64" t="s">
        <v>230</v>
      </c>
      <c r="G5093" s="64" t="s">
        <v>3717</v>
      </c>
      <c r="H5093" s="64" t="s">
        <v>2871</v>
      </c>
      <c r="I5093" s="64" t="s">
        <v>3727</v>
      </c>
      <c r="J5093" s="67">
        <v>0</v>
      </c>
      <c r="K5093" s="62">
        <v>-21391.49</v>
      </c>
      <c r="L5093" s="33" t="e">
        <f>HLOOKUP(B5093,#REF!,1,0)</f>
        <v>#REF!</v>
      </c>
      <c r="M5093" s="33" t="str">
        <f t="shared" si="319"/>
        <v>P&amp;L</v>
      </c>
    </row>
    <row r="5094" spans="1:13" s="33" customFormat="true" ht="12.75" customHeight="true">
      <c r="A5094" s="33" t="str">
        <f t="shared" si="316"/>
        <v>GRA - Revenue</v>
      </c>
      <c r="B5094" s="33" t="str">
        <f t="shared" si="317"/>
        <v>GRA</v>
      </c>
      <c r="C5094" s="33" t="str">
        <f t="shared" si="318"/>
        <v>47480-0000</v>
      </c>
      <c r="D5094" s="283" t="s">
        <v>6159</v>
      </c>
      <c r="E5094" s="64" t="s">
        <v>3729</v>
      </c>
      <c r="F5094" s="64" t="s">
        <v>230</v>
      </c>
      <c r="G5094" s="64" t="s">
        <v>3717</v>
      </c>
      <c r="H5094" s="64" t="s">
        <v>2871</v>
      </c>
      <c r="I5094" s="64" t="s">
        <v>3721</v>
      </c>
      <c r="J5094" s="67">
        <v>0</v>
      </c>
      <c r="K5094" s="62">
        <v>-5411.49</v>
      </c>
      <c r="L5094" s="33" t="e">
        <f>HLOOKUP(B5094,#REF!,1,0)</f>
        <v>#REF!</v>
      </c>
      <c r="M5094" s="33" t="str">
        <f t="shared" si="319"/>
        <v>P&amp;L</v>
      </c>
    </row>
    <row r="5095" spans="1:13" s="33" customFormat="true" ht="12.75" customHeight="true">
      <c r="A5095" s="33" t="str">
        <f t="shared" si="316"/>
        <v>GRA - Revenue</v>
      </c>
      <c r="B5095" s="33" t="str">
        <f t="shared" si="317"/>
        <v>GRA</v>
      </c>
      <c r="C5095" s="33" t="str">
        <f t="shared" si="318"/>
        <v>47490-0000</v>
      </c>
      <c r="D5095" s="283" t="s">
        <v>6160</v>
      </c>
      <c r="E5095" s="64" t="s">
        <v>3731</v>
      </c>
      <c r="F5095" s="64" t="s">
        <v>230</v>
      </c>
      <c r="G5095" s="64" t="s">
        <v>3717</v>
      </c>
      <c r="H5095" s="64" t="s">
        <v>2871</v>
      </c>
      <c r="I5095" s="64" t="s">
        <v>3721</v>
      </c>
      <c r="J5095" s="67">
        <v>0</v>
      </c>
      <c r="K5095" s="62">
        <v>-22341.08</v>
      </c>
      <c r="L5095" s="33" t="e">
        <f>HLOOKUP(B5095,#REF!,1,0)</f>
        <v>#REF!</v>
      </c>
      <c r="M5095" s="33" t="str">
        <f t="shared" si="319"/>
        <v>P&amp;L</v>
      </c>
    </row>
    <row r="5096" spans="1:13" s="33" customFormat="true" ht="12.75" customHeight="true">
      <c r="A5096" s="33" t="str">
        <f t="shared" si="316"/>
        <v>GRA - Revenue</v>
      </c>
      <c r="B5096" s="33" t="str">
        <f t="shared" si="317"/>
        <v>GRA</v>
      </c>
      <c r="C5096" s="33" t="str">
        <f t="shared" si="318"/>
        <v>47491-0000</v>
      </c>
      <c r="D5096" s="283" t="s">
        <v>6161</v>
      </c>
      <c r="E5096" s="64" t="s">
        <v>3733</v>
      </c>
      <c r="F5096" s="64" t="s">
        <v>230</v>
      </c>
      <c r="G5096" s="64" t="s">
        <v>3717</v>
      </c>
      <c r="H5096" s="64" t="s">
        <v>2871</v>
      </c>
      <c r="I5096" s="64" t="s">
        <v>3734</v>
      </c>
      <c r="J5096" s="67">
        <v>0</v>
      </c>
      <c r="K5096" s="62">
        <v>-65132.96</v>
      </c>
      <c r="L5096" s="33" t="e">
        <f>HLOOKUP(B5096,#REF!,1,0)</f>
        <v>#REF!</v>
      </c>
      <c r="M5096" s="33" t="str">
        <f t="shared" si="319"/>
        <v>P&amp;L</v>
      </c>
    </row>
    <row r="5097" spans="1:13" s="33" customFormat="true" ht="12.75" customHeight="true">
      <c r="A5097" s="33" t="str">
        <f t="shared" si="316"/>
        <v>GRA - Revenue</v>
      </c>
      <c r="B5097" s="33" t="str">
        <f t="shared" si="317"/>
        <v>GRA</v>
      </c>
      <c r="C5097" s="33" t="str">
        <f t="shared" si="318"/>
        <v>47492-0000</v>
      </c>
      <c r="D5097" s="283" t="s">
        <v>6162</v>
      </c>
      <c r="E5097" s="64" t="s">
        <v>3736</v>
      </c>
      <c r="F5097" s="64" t="s">
        <v>230</v>
      </c>
      <c r="G5097" s="64" t="s">
        <v>3717</v>
      </c>
      <c r="H5097" s="64" t="s">
        <v>2871</v>
      </c>
      <c r="I5097" s="64" t="s">
        <v>3737</v>
      </c>
      <c r="J5097" s="67">
        <v>0</v>
      </c>
      <c r="K5097" s="62">
        <v>-6887.48</v>
      </c>
      <c r="L5097" s="33" t="e">
        <f>HLOOKUP(B5097,#REF!,1,0)</f>
        <v>#REF!</v>
      </c>
      <c r="M5097" s="33" t="str">
        <f t="shared" si="319"/>
        <v>P&amp;L</v>
      </c>
    </row>
    <row r="5098" spans="1:13" s="33" customFormat="true" ht="12.75" customHeight="true">
      <c r="A5098" s="33" t="str">
        <f t="shared" si="316"/>
        <v>GRA - Revenue</v>
      </c>
      <c r="B5098" s="33" t="str">
        <f t="shared" si="317"/>
        <v>GRA</v>
      </c>
      <c r="C5098" s="33" t="str">
        <f t="shared" si="318"/>
        <v>47493-0000</v>
      </c>
      <c r="D5098" s="283" t="s">
        <v>6163</v>
      </c>
      <c r="E5098" s="64" t="s">
        <v>4229</v>
      </c>
      <c r="F5098" s="64" t="s">
        <v>230</v>
      </c>
      <c r="G5098" s="64" t="s">
        <v>3717</v>
      </c>
      <c r="H5098" s="64" t="s">
        <v>2871</v>
      </c>
      <c r="I5098" s="64" t="s">
        <v>4230</v>
      </c>
      <c r="J5098" s="67">
        <v>0</v>
      </c>
      <c r="K5098" s="62">
        <v>-6454.14</v>
      </c>
      <c r="L5098" s="33" t="e">
        <f>HLOOKUP(B5098,#REF!,1,0)</f>
        <v>#REF!</v>
      </c>
      <c r="M5098" s="33" t="str">
        <f t="shared" si="319"/>
        <v>P&amp;L</v>
      </c>
    </row>
    <row r="5099" spans="1:13" s="33" customFormat="true" ht="12.75" customHeight="true">
      <c r="A5099" s="33" t="str">
        <f t="shared" si="316"/>
        <v>GRA - CGS</v>
      </c>
      <c r="B5099" s="33" t="str">
        <f t="shared" si="317"/>
        <v>GRA</v>
      </c>
      <c r="C5099" s="33" t="str">
        <f t="shared" si="318"/>
        <v>51005-0000</v>
      </c>
      <c r="D5099" s="283" t="s">
        <v>6164</v>
      </c>
      <c r="E5099" s="64" t="s">
        <v>3968</v>
      </c>
      <c r="F5099" s="64" t="s">
        <v>230</v>
      </c>
      <c r="G5099" s="64" t="s">
        <v>3740</v>
      </c>
      <c r="H5099" s="64" t="s">
        <v>1875</v>
      </c>
      <c r="I5099" s="64" t="s">
        <v>3969</v>
      </c>
      <c r="J5099" s="67">
        <v>0</v>
      </c>
      <c r="K5099" s="62">
        <v>55.26</v>
      </c>
      <c r="L5099" s="33" t="e">
        <f>HLOOKUP(B5099,#REF!,1,0)</f>
        <v>#REF!</v>
      </c>
      <c r="M5099" s="33" t="str">
        <f t="shared" si="319"/>
        <v>P&amp;L</v>
      </c>
    </row>
    <row r="5100" spans="1:13" s="33" customFormat="true" ht="12.75" customHeight="true">
      <c r="A5100" s="33" t="str">
        <f t="shared" si="316"/>
        <v>GRA - CGS</v>
      </c>
      <c r="B5100" s="33" t="str">
        <f t="shared" si="317"/>
        <v>GRA</v>
      </c>
      <c r="C5100" s="33" t="str">
        <f t="shared" si="318"/>
        <v>51006-0000</v>
      </c>
      <c r="D5100" s="283" t="s">
        <v>6165</v>
      </c>
      <c r="E5100" s="64" t="s">
        <v>3739</v>
      </c>
      <c r="F5100" s="64" t="s">
        <v>230</v>
      </c>
      <c r="G5100" s="64" t="s">
        <v>3740</v>
      </c>
      <c r="H5100" s="64" t="s">
        <v>1875</v>
      </c>
      <c r="I5100" s="64" t="s">
        <v>3741</v>
      </c>
      <c r="J5100" s="67">
        <v>0</v>
      </c>
      <c r="K5100" s="62">
        <v>867.65</v>
      </c>
      <c r="L5100" s="33" t="e">
        <f>HLOOKUP(B5100,#REF!,1,0)</f>
        <v>#REF!</v>
      </c>
      <c r="M5100" s="33" t="str">
        <f t="shared" si="319"/>
        <v>P&amp;L</v>
      </c>
    </row>
    <row r="5101" spans="1:13" s="33" customFormat="true" ht="12.75" customHeight="true">
      <c r="A5101" s="33" t="str">
        <f t="shared" si="316"/>
        <v>GRA - CGS</v>
      </c>
      <c r="B5101" s="33" t="str">
        <f t="shared" si="317"/>
        <v>GRA</v>
      </c>
      <c r="C5101" s="33" t="str">
        <f t="shared" si="318"/>
        <v>51007-0000</v>
      </c>
      <c r="D5101" s="283" t="s">
        <v>6166</v>
      </c>
      <c r="E5101" s="64" t="s">
        <v>3972</v>
      </c>
      <c r="F5101" s="64" t="s">
        <v>230</v>
      </c>
      <c r="G5101" s="64" t="s">
        <v>3740</v>
      </c>
      <c r="H5101" s="64" t="s">
        <v>1875</v>
      </c>
      <c r="I5101" s="64" t="s">
        <v>3973</v>
      </c>
      <c r="J5101" s="67">
        <v>0</v>
      </c>
      <c r="K5101" s="62">
        <v>677.3</v>
      </c>
      <c r="L5101" s="33" t="e">
        <f>HLOOKUP(B5101,#REF!,1,0)</f>
        <v>#REF!</v>
      </c>
      <c r="M5101" s="33" t="str">
        <f t="shared" si="319"/>
        <v>P&amp;L</v>
      </c>
    </row>
    <row r="5102" spans="1:13" s="33" customFormat="true" ht="12.75" customHeight="true">
      <c r="A5102" s="33" t="str">
        <f t="shared" si="316"/>
        <v>GRA - CGS</v>
      </c>
      <c r="B5102" s="33" t="str">
        <f t="shared" si="317"/>
        <v>GRA</v>
      </c>
      <c r="C5102" s="33" t="str">
        <f t="shared" si="318"/>
        <v>51008-0000</v>
      </c>
      <c r="D5102" s="283" t="s">
        <v>6167</v>
      </c>
      <c r="E5102" s="64" t="s">
        <v>3743</v>
      </c>
      <c r="F5102" s="64" t="s">
        <v>230</v>
      </c>
      <c r="G5102" s="64" t="s">
        <v>3740</v>
      </c>
      <c r="H5102" s="64" t="s">
        <v>1875</v>
      </c>
      <c r="I5102" s="64" t="s">
        <v>3744</v>
      </c>
      <c r="J5102" s="67">
        <v>0</v>
      </c>
      <c r="K5102" s="62">
        <v>7280.77</v>
      </c>
      <c r="L5102" s="33" t="e">
        <f>HLOOKUP(B5102,#REF!,1,0)</f>
        <v>#REF!</v>
      </c>
      <c r="M5102" s="33" t="str">
        <f t="shared" si="319"/>
        <v>P&amp;L</v>
      </c>
    </row>
    <row r="5103" spans="1:13" s="33" customFormat="true" ht="12.75" customHeight="true">
      <c r="A5103" s="33" t="str">
        <f t="shared" si="316"/>
        <v>GRA - CGS</v>
      </c>
      <c r="B5103" s="33" t="str">
        <f t="shared" si="317"/>
        <v>GRA</v>
      </c>
      <c r="C5103" s="33" t="str">
        <f t="shared" si="318"/>
        <v>51009-0000</v>
      </c>
      <c r="D5103" s="283" t="s">
        <v>6168</v>
      </c>
      <c r="E5103" s="64" t="s">
        <v>3746</v>
      </c>
      <c r="F5103" s="64" t="s">
        <v>230</v>
      </c>
      <c r="G5103" s="64" t="s">
        <v>3740</v>
      </c>
      <c r="H5103" s="64" t="s">
        <v>1875</v>
      </c>
      <c r="I5103" s="64" t="s">
        <v>3747</v>
      </c>
      <c r="J5103" s="67">
        <v>0</v>
      </c>
      <c r="K5103" s="62">
        <v>39.98</v>
      </c>
      <c r="L5103" s="33" t="e">
        <f>HLOOKUP(B5103,#REF!,1,0)</f>
        <v>#REF!</v>
      </c>
      <c r="M5103" s="33" t="str">
        <f t="shared" si="319"/>
        <v>P&amp;L</v>
      </c>
    </row>
    <row r="5104" spans="1:13" s="33" customFormat="true" ht="12.75" customHeight="true">
      <c r="A5104" s="33" t="str">
        <f t="shared" si="316"/>
        <v>GRA - CGS</v>
      </c>
      <c r="B5104" s="33" t="str">
        <f t="shared" si="317"/>
        <v>GRA</v>
      </c>
      <c r="C5104" s="33" t="str">
        <f t="shared" si="318"/>
        <v>51011-0000</v>
      </c>
      <c r="D5104" s="283" t="s">
        <v>6169</v>
      </c>
      <c r="E5104" s="64" t="s">
        <v>3749</v>
      </c>
      <c r="F5104" s="64" t="s">
        <v>230</v>
      </c>
      <c r="G5104" s="64" t="s">
        <v>3740</v>
      </c>
      <c r="H5104" s="64" t="s">
        <v>1875</v>
      </c>
      <c r="I5104" s="64" t="s">
        <v>3750</v>
      </c>
      <c r="J5104" s="67">
        <v>0</v>
      </c>
      <c r="K5104" s="62">
        <v>20675</v>
      </c>
      <c r="L5104" s="33" t="e">
        <f>HLOOKUP(B5104,#REF!,1,0)</f>
        <v>#REF!</v>
      </c>
      <c r="M5104" s="33" t="str">
        <f t="shared" si="319"/>
        <v>P&amp;L</v>
      </c>
    </row>
    <row r="5105" spans="1:13" s="33" customFormat="true" ht="12.75" customHeight="true">
      <c r="A5105" s="33" t="str">
        <f t="shared" si="316"/>
        <v>GRA - CGS</v>
      </c>
      <c r="B5105" s="33" t="str">
        <f t="shared" si="317"/>
        <v>GRA</v>
      </c>
      <c r="C5105" s="33" t="str">
        <f t="shared" si="318"/>
        <v>51012-0000</v>
      </c>
      <c r="D5105" s="283" t="s">
        <v>6170</v>
      </c>
      <c r="E5105" s="64" t="s">
        <v>3752</v>
      </c>
      <c r="F5105" s="64" t="s">
        <v>230</v>
      </c>
      <c r="G5105" s="64" t="s">
        <v>3740</v>
      </c>
      <c r="H5105" s="64" t="s">
        <v>1875</v>
      </c>
      <c r="I5105" s="64" t="s">
        <v>3753</v>
      </c>
      <c r="J5105" s="67">
        <v>0</v>
      </c>
      <c r="K5105" s="62">
        <v>2641</v>
      </c>
      <c r="L5105" s="33" t="e">
        <f>HLOOKUP(B5105,#REF!,1,0)</f>
        <v>#REF!</v>
      </c>
      <c r="M5105" s="33" t="str">
        <f t="shared" si="319"/>
        <v>P&amp;L</v>
      </c>
    </row>
    <row r="5106" spans="1:13" s="33" customFormat="true" ht="12.75" customHeight="true">
      <c r="A5106" s="33" t="str">
        <f t="shared" si="316"/>
        <v>GRA - CGS</v>
      </c>
      <c r="B5106" s="33" t="str">
        <f t="shared" si="317"/>
        <v>GRA</v>
      </c>
      <c r="C5106" s="33" t="str">
        <f t="shared" si="318"/>
        <v>51013-0000</v>
      </c>
      <c r="D5106" s="283" t="s">
        <v>6171</v>
      </c>
      <c r="E5106" s="64" t="s">
        <v>3979</v>
      </c>
      <c r="F5106" s="64" t="s">
        <v>230</v>
      </c>
      <c r="G5106" s="64" t="s">
        <v>3740</v>
      </c>
      <c r="H5106" s="64" t="s">
        <v>1875</v>
      </c>
      <c r="I5106" s="64" t="s">
        <v>3980</v>
      </c>
      <c r="J5106" s="67">
        <v>0</v>
      </c>
      <c r="K5106" s="62">
        <v>1003.87</v>
      </c>
      <c r="L5106" s="33" t="e">
        <f>HLOOKUP(B5106,#REF!,1,0)</f>
        <v>#REF!</v>
      </c>
      <c r="M5106" s="33" t="str">
        <f t="shared" si="319"/>
        <v>P&amp;L</v>
      </c>
    </row>
    <row r="5107" spans="1:13" s="33" customFormat="true" ht="12.75" customHeight="true">
      <c r="A5107" s="33" t="str">
        <f t="shared" si="316"/>
        <v>GRA - CGS</v>
      </c>
      <c r="B5107" s="33" t="str">
        <f t="shared" si="317"/>
        <v>GRA</v>
      </c>
      <c r="C5107" s="33" t="str">
        <f t="shared" si="318"/>
        <v>51015-0000</v>
      </c>
      <c r="D5107" s="283" t="s">
        <v>6172</v>
      </c>
      <c r="E5107" s="64" t="s">
        <v>3755</v>
      </c>
      <c r="F5107" s="64" t="s">
        <v>230</v>
      </c>
      <c r="G5107" s="64" t="s">
        <v>3740</v>
      </c>
      <c r="H5107" s="64" t="s">
        <v>1875</v>
      </c>
      <c r="I5107" s="64" t="s">
        <v>3756</v>
      </c>
      <c r="J5107" s="67">
        <v>0</v>
      </c>
      <c r="K5107" s="62">
        <v>7001.9</v>
      </c>
      <c r="L5107" s="33" t="e">
        <f>HLOOKUP(B5107,#REF!,1,0)</f>
        <v>#REF!</v>
      </c>
      <c r="M5107" s="33" t="str">
        <f t="shared" si="319"/>
        <v>P&amp;L</v>
      </c>
    </row>
    <row r="5108" spans="1:13" s="33" customFormat="true" ht="12.75" customHeight="true">
      <c r="A5108" s="33" t="str">
        <f t="shared" si="316"/>
        <v>GRA - CGS</v>
      </c>
      <c r="B5108" s="33" t="str">
        <f t="shared" si="317"/>
        <v>GRA</v>
      </c>
      <c r="C5108" s="33" t="str">
        <f t="shared" si="318"/>
        <v>51017-0000</v>
      </c>
      <c r="D5108" s="283" t="s">
        <v>6173</v>
      </c>
      <c r="E5108" s="64" t="s">
        <v>3758</v>
      </c>
      <c r="F5108" s="64" t="s">
        <v>230</v>
      </c>
      <c r="G5108" s="64" t="s">
        <v>3160</v>
      </c>
      <c r="H5108" s="64" t="s">
        <v>1875</v>
      </c>
      <c r="I5108" s="64" t="s">
        <v>3759</v>
      </c>
      <c r="J5108" s="67">
        <v>562.46</v>
      </c>
      <c r="K5108" s="62">
        <v>5107.22</v>
      </c>
      <c r="L5108" s="33" t="e">
        <f>HLOOKUP(B5108,#REF!,1,0)</f>
        <v>#REF!</v>
      </c>
      <c r="M5108" s="33" t="str">
        <f t="shared" si="319"/>
        <v>P&amp;L</v>
      </c>
    </row>
    <row r="5109" spans="1:13" s="33" customFormat="true" ht="12.75" customHeight="true">
      <c r="A5109" s="33" t="str">
        <f t="shared" si="316"/>
        <v>GRA - CGS</v>
      </c>
      <c r="B5109" s="33" t="str">
        <f t="shared" si="317"/>
        <v>GRA</v>
      </c>
      <c r="C5109" s="33" t="str">
        <f t="shared" si="318"/>
        <v>51018-0000</v>
      </c>
      <c r="D5109" s="283" t="s">
        <v>6174</v>
      </c>
      <c r="E5109" s="64" t="s">
        <v>3984</v>
      </c>
      <c r="F5109" s="64" t="s">
        <v>230</v>
      </c>
      <c r="G5109" s="64" t="s">
        <v>3740</v>
      </c>
      <c r="H5109" s="64" t="s">
        <v>1875</v>
      </c>
      <c r="I5109" s="64" t="s">
        <v>3319</v>
      </c>
      <c r="J5109" s="67">
        <v>0</v>
      </c>
      <c r="K5109" s="62">
        <v>4050.54</v>
      </c>
      <c r="L5109" s="33" t="e">
        <f>HLOOKUP(B5109,#REF!,1,0)</f>
        <v>#REF!</v>
      </c>
      <c r="M5109" s="33" t="str">
        <f t="shared" si="319"/>
        <v>P&amp;L</v>
      </c>
    </row>
    <row r="5110" spans="1:13" s="33" customFormat="true" ht="12.75" customHeight="true">
      <c r="A5110" s="33" t="str">
        <f t="shared" si="316"/>
        <v>GRA - CGS</v>
      </c>
      <c r="B5110" s="33" t="str">
        <f t="shared" si="317"/>
        <v>GRA</v>
      </c>
      <c r="C5110" s="33" t="str">
        <f t="shared" si="318"/>
        <v>51019-0000</v>
      </c>
      <c r="D5110" s="283" t="s">
        <v>6175</v>
      </c>
      <c r="E5110" s="64" t="s">
        <v>3761</v>
      </c>
      <c r="F5110" s="64" t="s">
        <v>230</v>
      </c>
      <c r="G5110" s="64" t="s">
        <v>3740</v>
      </c>
      <c r="H5110" s="64" t="s">
        <v>1875</v>
      </c>
      <c r="I5110" s="64" t="s">
        <v>3340</v>
      </c>
      <c r="J5110" s="67">
        <v>0</v>
      </c>
      <c r="K5110" s="62">
        <v>2292.4</v>
      </c>
      <c r="L5110" s="33" t="e">
        <f>HLOOKUP(B5110,#REF!,1,0)</f>
        <v>#REF!</v>
      </c>
      <c r="M5110" s="33" t="str">
        <f t="shared" si="319"/>
        <v>P&amp;L</v>
      </c>
    </row>
    <row r="5111" spans="1:13" s="33" customFormat="true" ht="12.75" customHeight="true">
      <c r="A5111" s="33" t="str">
        <f t="shared" si="316"/>
        <v>GRA - CGS</v>
      </c>
      <c r="B5111" s="33" t="str">
        <f t="shared" si="317"/>
        <v>GRA</v>
      </c>
      <c r="C5111" s="33" t="str">
        <f t="shared" si="318"/>
        <v>51020-0000</v>
      </c>
      <c r="D5111" s="283" t="s">
        <v>6176</v>
      </c>
      <c r="E5111" s="64" t="s">
        <v>3763</v>
      </c>
      <c r="F5111" s="64" t="s">
        <v>230</v>
      </c>
      <c r="G5111" s="64" t="s">
        <v>3740</v>
      </c>
      <c r="H5111" s="64" t="s">
        <v>1875</v>
      </c>
      <c r="I5111" s="64" t="s">
        <v>3345</v>
      </c>
      <c r="J5111" s="67">
        <v>0</v>
      </c>
      <c r="K5111" s="62">
        <v>4899.09</v>
      </c>
      <c r="L5111" s="33" t="e">
        <f>HLOOKUP(B5111,#REF!,1,0)</f>
        <v>#REF!</v>
      </c>
      <c r="M5111" s="33" t="str">
        <f t="shared" si="319"/>
        <v>P&amp;L</v>
      </c>
    </row>
    <row r="5112" spans="1:13" s="33" customFormat="true" ht="12.75" customHeight="true">
      <c r="A5112" s="33" t="str">
        <f t="shared" si="316"/>
        <v>GRA - CGS</v>
      </c>
      <c r="B5112" s="33" t="str">
        <f t="shared" si="317"/>
        <v>GRA</v>
      </c>
      <c r="C5112" s="33" t="str">
        <f t="shared" si="318"/>
        <v>51025-0000</v>
      </c>
      <c r="D5112" s="283" t="s">
        <v>6177</v>
      </c>
      <c r="E5112" s="64" t="s">
        <v>3988</v>
      </c>
      <c r="F5112" s="64" t="s">
        <v>230</v>
      </c>
      <c r="G5112" s="64" t="s">
        <v>3740</v>
      </c>
      <c r="H5112" s="64" t="s">
        <v>1875</v>
      </c>
      <c r="I5112" s="64" t="s">
        <v>3989</v>
      </c>
      <c r="J5112" s="67">
        <v>0</v>
      </c>
      <c r="K5112" s="62">
        <v>12740.35</v>
      </c>
      <c r="L5112" s="33" t="e">
        <f>HLOOKUP(B5112,#REF!,1,0)</f>
        <v>#REF!</v>
      </c>
      <c r="M5112" s="33" t="str">
        <f t="shared" si="319"/>
        <v>P&amp;L</v>
      </c>
    </row>
    <row r="5113" spans="1:13" s="33" customFormat="true" ht="12.75" customHeight="true">
      <c r="A5113" s="33" t="str">
        <f t="shared" si="316"/>
        <v>GRA - CGS</v>
      </c>
      <c r="B5113" s="33" t="str">
        <f t="shared" si="317"/>
        <v>GRA</v>
      </c>
      <c r="C5113" s="33" t="str">
        <f t="shared" si="318"/>
        <v>51029-0000</v>
      </c>
      <c r="D5113" s="283" t="s">
        <v>6178</v>
      </c>
      <c r="E5113" s="64" t="s">
        <v>3993</v>
      </c>
      <c r="F5113" s="64" t="s">
        <v>230</v>
      </c>
      <c r="G5113" s="64" t="s">
        <v>3740</v>
      </c>
      <c r="H5113" s="64" t="s">
        <v>1875</v>
      </c>
      <c r="I5113" s="64" t="s">
        <v>3994</v>
      </c>
      <c r="J5113" s="67">
        <v>0</v>
      </c>
      <c r="K5113" s="62">
        <v>2583.14</v>
      </c>
      <c r="L5113" s="33" t="e">
        <f>HLOOKUP(B5113,#REF!,1,0)</f>
        <v>#REF!</v>
      </c>
      <c r="M5113" s="33" t="str">
        <f t="shared" si="319"/>
        <v>P&amp;L</v>
      </c>
    </row>
    <row r="5114" spans="1:13" s="33" customFormat="true" ht="12.75" customHeight="true">
      <c r="A5114" s="33" t="str">
        <f t="shared" si="316"/>
        <v>GRA - CGS</v>
      </c>
      <c r="B5114" s="33" t="str">
        <f t="shared" si="317"/>
        <v>GRA</v>
      </c>
      <c r="C5114" s="33" t="str">
        <f t="shared" si="318"/>
        <v>51030-0000</v>
      </c>
      <c r="D5114" s="283" t="s">
        <v>6179</v>
      </c>
      <c r="E5114" s="64" t="s">
        <v>5792</v>
      </c>
      <c r="F5114" s="64" t="s">
        <v>230</v>
      </c>
      <c r="G5114" s="64" t="s">
        <v>4426</v>
      </c>
      <c r="H5114" s="64" t="s">
        <v>1875</v>
      </c>
      <c r="I5114" s="64" t="s">
        <v>5793</v>
      </c>
      <c r="J5114" s="67">
        <v>0</v>
      </c>
      <c r="K5114" s="62">
        <v>2641.22</v>
      </c>
      <c r="L5114" s="33" t="str">
        <f>B5114</f>
        <v>GRA</v>
      </c>
      <c r="M5114" s="33" t="str">
        <f t="shared" si="319"/>
        <v>P&amp;L</v>
      </c>
    </row>
    <row r="5115" spans="1:13" s="33" customFormat="true" ht="12.75" customHeight="true">
      <c r="A5115" s="33" t="str">
        <f t="shared" si="316"/>
        <v>GRA - CGS</v>
      </c>
      <c r="B5115" s="33" t="str">
        <f t="shared" si="317"/>
        <v>GRA</v>
      </c>
      <c r="C5115" s="33" t="str">
        <f t="shared" si="318"/>
        <v>52001-0000</v>
      </c>
      <c r="D5115" s="283" t="s">
        <v>6180</v>
      </c>
      <c r="E5115" s="64" t="s">
        <v>3768</v>
      </c>
      <c r="F5115" s="64" t="s">
        <v>230</v>
      </c>
      <c r="G5115" s="64" t="s">
        <v>3769</v>
      </c>
      <c r="H5115" s="64" t="s">
        <v>1875</v>
      </c>
      <c r="I5115" s="64" t="s">
        <v>3770</v>
      </c>
      <c r="J5115" s="67">
        <v>0</v>
      </c>
      <c r="K5115" s="62">
        <v>21475.66</v>
      </c>
      <c r="L5115" s="33" t="e">
        <f>HLOOKUP(B5115,#REF!,1,0)</f>
        <v>#REF!</v>
      </c>
      <c r="M5115" s="33" t="str">
        <f t="shared" si="319"/>
        <v>P&amp;L</v>
      </c>
    </row>
    <row r="5116" spans="1:13" s="33" customFormat="true" ht="12.75" customHeight="true">
      <c r="A5116" s="33" t="str">
        <f t="shared" si="316"/>
        <v>GRA - CGS</v>
      </c>
      <c r="B5116" s="33" t="str">
        <f t="shared" si="317"/>
        <v>GRA</v>
      </c>
      <c r="C5116" s="33" t="str">
        <f t="shared" si="318"/>
        <v>52003-0000</v>
      </c>
      <c r="D5116" s="283" t="s">
        <v>6181</v>
      </c>
      <c r="E5116" s="64" t="s">
        <v>3772</v>
      </c>
      <c r="F5116" s="64" t="s">
        <v>230</v>
      </c>
      <c r="G5116" s="64" t="s">
        <v>3769</v>
      </c>
      <c r="H5116" s="64" t="s">
        <v>1875</v>
      </c>
      <c r="I5116" s="64" t="s">
        <v>3773</v>
      </c>
      <c r="J5116" s="67">
        <v>0</v>
      </c>
      <c r="K5116" s="62">
        <v>5268.2</v>
      </c>
      <c r="L5116" s="33" t="e">
        <f>HLOOKUP(B5116,#REF!,1,0)</f>
        <v>#REF!</v>
      </c>
      <c r="M5116" s="33" t="str">
        <f t="shared" si="319"/>
        <v>P&amp;L</v>
      </c>
    </row>
    <row r="5117" spans="1:13" s="33" customFormat="true" ht="12.75" customHeight="true">
      <c r="A5117" s="33" t="str">
        <f t="shared" si="316"/>
        <v>GRA - CGS</v>
      </c>
      <c r="B5117" s="33" t="str">
        <f t="shared" si="317"/>
        <v>GRA</v>
      </c>
      <c r="C5117" s="33" t="str">
        <f t="shared" si="318"/>
        <v>52004-0000</v>
      </c>
      <c r="D5117" s="283" t="s">
        <v>6182</v>
      </c>
      <c r="E5117" s="64" t="s">
        <v>3775</v>
      </c>
      <c r="F5117" s="64" t="s">
        <v>230</v>
      </c>
      <c r="G5117" s="64" t="s">
        <v>3769</v>
      </c>
      <c r="H5117" s="64" t="s">
        <v>1875</v>
      </c>
      <c r="I5117" s="64" t="s">
        <v>3776</v>
      </c>
      <c r="J5117" s="67">
        <v>0</v>
      </c>
      <c r="K5117" s="62">
        <v>1817.15</v>
      </c>
      <c r="L5117" s="33" t="e">
        <f>HLOOKUP(B5117,#REF!,1,0)</f>
        <v>#REF!</v>
      </c>
      <c r="M5117" s="33" t="str">
        <f t="shared" si="319"/>
        <v>P&amp;L</v>
      </c>
    </row>
    <row r="5118" spans="1:13" s="33" customFormat="true" ht="12.75" customHeight="true">
      <c r="A5118" s="33" t="str">
        <f t="shared" si="316"/>
        <v>GRA - CGS</v>
      </c>
      <c r="B5118" s="33" t="str">
        <f t="shared" si="317"/>
        <v>GRA</v>
      </c>
      <c r="C5118" s="33" t="str">
        <f t="shared" si="318"/>
        <v>52006-0000</v>
      </c>
      <c r="D5118" s="283" t="s">
        <v>6183</v>
      </c>
      <c r="E5118" s="64" t="s">
        <v>3778</v>
      </c>
      <c r="F5118" s="64" t="s">
        <v>230</v>
      </c>
      <c r="G5118" s="64" t="s">
        <v>3769</v>
      </c>
      <c r="H5118" s="64" t="s">
        <v>1875</v>
      </c>
      <c r="I5118" s="64" t="s">
        <v>3779</v>
      </c>
      <c r="J5118" s="67">
        <v>0</v>
      </c>
      <c r="K5118" s="62">
        <v>5366.3</v>
      </c>
      <c r="L5118" s="33" t="e">
        <f>HLOOKUP(B5118,#REF!,1,0)</f>
        <v>#REF!</v>
      </c>
      <c r="M5118" s="33" t="str">
        <f t="shared" si="319"/>
        <v>P&amp;L</v>
      </c>
    </row>
    <row r="5119" spans="1:13" s="33" customFormat="true" ht="12.75" customHeight="true">
      <c r="A5119" s="33" t="str">
        <f t="shared" si="316"/>
        <v>GRA - CGS</v>
      </c>
      <c r="B5119" s="33" t="str">
        <f t="shared" si="317"/>
        <v>GRA</v>
      </c>
      <c r="C5119" s="33" t="str">
        <f t="shared" si="318"/>
        <v>53001-0000</v>
      </c>
      <c r="D5119" s="283" t="s">
        <v>6184</v>
      </c>
      <c r="E5119" s="64" t="s">
        <v>3781</v>
      </c>
      <c r="F5119" s="64" t="s">
        <v>230</v>
      </c>
      <c r="G5119" s="64" t="s">
        <v>3160</v>
      </c>
      <c r="H5119" s="64" t="s">
        <v>1875</v>
      </c>
      <c r="I5119" s="64" t="s">
        <v>3782</v>
      </c>
      <c r="J5119" s="67">
        <v>320.97</v>
      </c>
      <c r="K5119" s="62">
        <v>4391.01</v>
      </c>
      <c r="L5119" s="33" t="e">
        <f>HLOOKUP(B5119,#REF!,1,0)</f>
        <v>#REF!</v>
      </c>
      <c r="M5119" s="33" t="str">
        <f t="shared" si="319"/>
        <v>P&amp;L</v>
      </c>
    </row>
    <row r="5120" spans="1:13" s="33" customFormat="true" ht="12.75" customHeight="true">
      <c r="A5120" s="33" t="str">
        <f t="shared" si="316"/>
        <v>GRA - CGS</v>
      </c>
      <c r="B5120" s="33" t="str">
        <f t="shared" si="317"/>
        <v>GRA</v>
      </c>
      <c r="C5120" s="33" t="str">
        <f t="shared" si="318"/>
        <v>53002-0000</v>
      </c>
      <c r="D5120" s="283" t="s">
        <v>6185</v>
      </c>
      <c r="E5120" s="64" t="s">
        <v>3784</v>
      </c>
      <c r="F5120" s="64" t="s">
        <v>230</v>
      </c>
      <c r="G5120" s="64" t="s">
        <v>3160</v>
      </c>
      <c r="H5120" s="64" t="s">
        <v>1875</v>
      </c>
      <c r="I5120" s="64" t="s">
        <v>3785</v>
      </c>
      <c r="J5120" s="67">
        <v>0</v>
      </c>
      <c r="K5120" s="62">
        <v>34318.97</v>
      </c>
      <c r="L5120" s="33" t="e">
        <f>HLOOKUP(B5120,#REF!,1,0)</f>
        <v>#REF!</v>
      </c>
      <c r="M5120" s="33" t="str">
        <f t="shared" si="319"/>
        <v>P&amp;L</v>
      </c>
    </row>
    <row r="5121" spans="1:13" s="33" customFormat="true" ht="12.75" customHeight="true">
      <c r="A5121" s="33" t="str">
        <f t="shared" si="316"/>
        <v>GRA - CGS</v>
      </c>
      <c r="B5121" s="33" t="str">
        <f t="shared" si="317"/>
        <v>GRA</v>
      </c>
      <c r="C5121" s="33" t="str">
        <f t="shared" si="318"/>
        <v>53003-0000</v>
      </c>
      <c r="D5121" s="283" t="s">
        <v>6186</v>
      </c>
      <c r="E5121" s="64" t="s">
        <v>3787</v>
      </c>
      <c r="F5121" s="64" t="s">
        <v>230</v>
      </c>
      <c r="G5121" s="64" t="s">
        <v>3160</v>
      </c>
      <c r="H5121" s="64" t="s">
        <v>1875</v>
      </c>
      <c r="I5121" s="64" t="s">
        <v>3788</v>
      </c>
      <c r="J5121" s="67">
        <v>0</v>
      </c>
      <c r="K5121" s="62">
        <v>11293.39</v>
      </c>
      <c r="L5121" s="33" t="e">
        <f>HLOOKUP(B5121,#REF!,1,0)</f>
        <v>#REF!</v>
      </c>
      <c r="M5121" s="33" t="str">
        <f t="shared" si="319"/>
        <v>P&amp;L</v>
      </c>
    </row>
    <row r="5122" spans="1:13" s="33" customFormat="true" ht="12.75" customHeight="true">
      <c r="A5122" s="33" t="str">
        <f t="shared" ref="A5122:A5185" si="320">B5122&amp;" - "&amp;TRIM(H5122)</f>
        <v>GRA - CGS</v>
      </c>
      <c r="B5122" s="33" t="str">
        <f t="shared" ref="B5122:B5185" si="321">LEFT(D5122,3)</f>
        <v>GRA</v>
      </c>
      <c r="C5122" s="33" t="str">
        <f t="shared" ref="C5122:C5185" si="322">RIGHT(D5122,10)</f>
        <v>53004-0000</v>
      </c>
      <c r="D5122" s="283" t="s">
        <v>6187</v>
      </c>
      <c r="E5122" s="64" t="s">
        <v>3790</v>
      </c>
      <c r="F5122" s="64" t="s">
        <v>230</v>
      </c>
      <c r="G5122" s="64" t="s">
        <v>3160</v>
      </c>
      <c r="H5122" s="64" t="s">
        <v>1875</v>
      </c>
      <c r="I5122" s="64" t="s">
        <v>3791</v>
      </c>
      <c r="J5122" s="67">
        <v>0</v>
      </c>
      <c r="K5122" s="62">
        <v>7160.88</v>
      </c>
      <c r="L5122" s="33" t="e">
        <f>HLOOKUP(B5122,#REF!,1,0)</f>
        <v>#REF!</v>
      </c>
      <c r="M5122" s="33" t="str">
        <f t="shared" ref="M5122:M5185" si="323">IF(VALUE(LEFT(C5122,5))&gt;40000,"P&amp;L","BS")</f>
        <v>P&amp;L</v>
      </c>
    </row>
    <row r="5123" spans="1:13" s="33" customFormat="true" ht="12.75" customHeight="true">
      <c r="A5123" s="33" t="str">
        <f t="shared" si="320"/>
        <v>GRA - CGS</v>
      </c>
      <c r="B5123" s="33" t="str">
        <f t="shared" si="321"/>
        <v>GRA</v>
      </c>
      <c r="C5123" s="33" t="str">
        <f t="shared" si="322"/>
        <v>53005-0000</v>
      </c>
      <c r="D5123" s="283" t="s">
        <v>6188</v>
      </c>
      <c r="E5123" s="64" t="s">
        <v>3793</v>
      </c>
      <c r="F5123" s="64" t="s">
        <v>230</v>
      </c>
      <c r="G5123" s="64" t="s">
        <v>3160</v>
      </c>
      <c r="H5123" s="64" t="s">
        <v>1875</v>
      </c>
      <c r="I5123" s="64" t="s">
        <v>3794</v>
      </c>
      <c r="J5123" s="67">
        <v>0</v>
      </c>
      <c r="K5123" s="62">
        <v>12606.36</v>
      </c>
      <c r="L5123" s="33" t="e">
        <f>HLOOKUP(B5123,#REF!,1,0)</f>
        <v>#REF!</v>
      </c>
      <c r="M5123" s="33" t="str">
        <f t="shared" si="323"/>
        <v>P&amp;L</v>
      </c>
    </row>
    <row r="5124" spans="1:13" s="33" customFormat="true" ht="12.75" customHeight="true">
      <c r="A5124" s="33" t="str">
        <f t="shared" si="320"/>
        <v>GRA - CGS</v>
      </c>
      <c r="B5124" s="33" t="str">
        <f t="shared" si="321"/>
        <v>GRA</v>
      </c>
      <c r="C5124" s="33" t="str">
        <f t="shared" si="322"/>
        <v>53006-0000</v>
      </c>
      <c r="D5124" s="283" t="s">
        <v>6189</v>
      </c>
      <c r="E5124" s="64" t="s">
        <v>3796</v>
      </c>
      <c r="F5124" s="64" t="s">
        <v>230</v>
      </c>
      <c r="G5124" s="64" t="s">
        <v>3160</v>
      </c>
      <c r="H5124" s="64" t="s">
        <v>1875</v>
      </c>
      <c r="I5124" s="64" t="s">
        <v>3797</v>
      </c>
      <c r="J5124" s="67">
        <v>0</v>
      </c>
      <c r="K5124" s="62">
        <v>30677.66</v>
      </c>
      <c r="L5124" s="33" t="e">
        <f>HLOOKUP(B5124,#REF!,1,0)</f>
        <v>#REF!</v>
      </c>
      <c r="M5124" s="33" t="str">
        <f t="shared" si="323"/>
        <v>P&amp;L</v>
      </c>
    </row>
    <row r="5125" spans="1:13" s="33" customFormat="true" ht="12.75" customHeight="true">
      <c r="A5125" s="33" t="str">
        <f t="shared" si="320"/>
        <v>GRA - CGS</v>
      </c>
      <c r="B5125" s="33" t="str">
        <f t="shared" si="321"/>
        <v>GRA</v>
      </c>
      <c r="C5125" s="33" t="str">
        <f t="shared" si="322"/>
        <v>54001-0000</v>
      </c>
      <c r="D5125" s="283" t="s">
        <v>6190</v>
      </c>
      <c r="E5125" s="64" t="s">
        <v>4008</v>
      </c>
      <c r="F5125" s="64" t="s">
        <v>230</v>
      </c>
      <c r="G5125" s="64" t="s">
        <v>3800</v>
      </c>
      <c r="H5125" s="64" t="s">
        <v>1875</v>
      </c>
      <c r="I5125" s="64" t="s">
        <v>4009</v>
      </c>
      <c r="J5125" s="67">
        <v>-431.46</v>
      </c>
      <c r="K5125" s="62">
        <v>-1690.43</v>
      </c>
      <c r="L5125" s="33" t="e">
        <f>HLOOKUP(B5125,#REF!,1,0)</f>
        <v>#REF!</v>
      </c>
      <c r="M5125" s="33" t="str">
        <f t="shared" si="323"/>
        <v>P&amp;L</v>
      </c>
    </row>
    <row r="5126" spans="1:13" s="33" customFormat="true" ht="12.75" customHeight="true">
      <c r="A5126" s="33" t="str">
        <f t="shared" si="320"/>
        <v>GRA - CGS</v>
      </c>
      <c r="B5126" s="33" t="str">
        <f t="shared" si="321"/>
        <v>GRA</v>
      </c>
      <c r="C5126" s="33" t="str">
        <f t="shared" si="322"/>
        <v>54002-0000</v>
      </c>
      <c r="D5126" s="283" t="s">
        <v>6191</v>
      </c>
      <c r="E5126" s="64" t="s">
        <v>3799</v>
      </c>
      <c r="F5126" s="64" t="s">
        <v>230</v>
      </c>
      <c r="G5126" s="64" t="s">
        <v>3800</v>
      </c>
      <c r="H5126" s="64" t="s">
        <v>1875</v>
      </c>
      <c r="I5126" s="64" t="s">
        <v>3801</v>
      </c>
      <c r="J5126" s="67">
        <v>0</v>
      </c>
      <c r="K5126" s="62">
        <v>16723.04</v>
      </c>
      <c r="L5126" s="33" t="e">
        <f>HLOOKUP(B5126,#REF!,1,0)</f>
        <v>#REF!</v>
      </c>
      <c r="M5126" s="33" t="str">
        <f t="shared" si="323"/>
        <v>P&amp;L</v>
      </c>
    </row>
    <row r="5127" spans="1:13" s="33" customFormat="true" ht="12.75" customHeight="true">
      <c r="A5127" s="33" t="str">
        <f t="shared" si="320"/>
        <v>GRA - CGS</v>
      </c>
      <c r="B5127" s="33" t="str">
        <f t="shared" si="321"/>
        <v>GRA</v>
      </c>
      <c r="C5127" s="33" t="str">
        <f t="shared" si="322"/>
        <v>54003-0000</v>
      </c>
      <c r="D5127" s="283" t="s">
        <v>6192</v>
      </c>
      <c r="E5127" s="64" t="s">
        <v>3803</v>
      </c>
      <c r="F5127" s="64" t="s">
        <v>230</v>
      </c>
      <c r="G5127" s="64" t="s">
        <v>3800</v>
      </c>
      <c r="H5127" s="64" t="s">
        <v>1875</v>
      </c>
      <c r="I5127" s="64" t="s">
        <v>3804</v>
      </c>
      <c r="J5127" s="67">
        <v>6153.84</v>
      </c>
      <c r="K5127" s="62">
        <v>15384.6</v>
      </c>
      <c r="L5127" s="33" t="e">
        <f>HLOOKUP(B5127,#REF!,1,0)</f>
        <v>#REF!</v>
      </c>
      <c r="M5127" s="33" t="str">
        <f t="shared" si="323"/>
        <v>P&amp;L</v>
      </c>
    </row>
    <row r="5128" spans="1:13" s="33" customFormat="true" ht="12.75" customHeight="true">
      <c r="A5128" s="33" t="str">
        <f t="shared" si="320"/>
        <v>GRA - CGS</v>
      </c>
      <c r="B5128" s="33" t="str">
        <f t="shared" si="321"/>
        <v>GRA</v>
      </c>
      <c r="C5128" s="33" t="str">
        <f t="shared" si="322"/>
        <v>54004-0000</v>
      </c>
      <c r="D5128" s="283" t="s">
        <v>6193</v>
      </c>
      <c r="E5128" s="64" t="s">
        <v>3806</v>
      </c>
      <c r="F5128" s="64" t="s">
        <v>230</v>
      </c>
      <c r="G5128" s="64" t="s">
        <v>3800</v>
      </c>
      <c r="H5128" s="64" t="s">
        <v>1875</v>
      </c>
      <c r="I5128" s="64" t="s">
        <v>3807</v>
      </c>
      <c r="J5128" s="67">
        <v>7046.16</v>
      </c>
      <c r="K5128" s="62">
        <v>96615.81</v>
      </c>
      <c r="L5128" s="33" t="e">
        <f>HLOOKUP(B5128,#REF!,1,0)</f>
        <v>#REF!</v>
      </c>
      <c r="M5128" s="33" t="str">
        <f t="shared" si="323"/>
        <v>P&amp;L</v>
      </c>
    </row>
    <row r="5129" spans="1:13" s="33" customFormat="true" ht="12.75" customHeight="true">
      <c r="A5129" s="33" t="str">
        <f t="shared" si="320"/>
        <v>GRA - CGS</v>
      </c>
      <c r="B5129" s="33" t="str">
        <f t="shared" si="321"/>
        <v>GRA</v>
      </c>
      <c r="C5129" s="33" t="str">
        <f t="shared" si="322"/>
        <v>54005-0000</v>
      </c>
      <c r="D5129" s="283" t="s">
        <v>6194</v>
      </c>
      <c r="E5129" s="64" t="s">
        <v>3809</v>
      </c>
      <c r="F5129" s="64" t="s">
        <v>230</v>
      </c>
      <c r="G5129" s="64" t="s">
        <v>3800</v>
      </c>
      <c r="H5129" s="64" t="s">
        <v>1875</v>
      </c>
      <c r="I5129" s="64" t="s">
        <v>3810</v>
      </c>
      <c r="J5129" s="67">
        <v>83.63</v>
      </c>
      <c r="K5129" s="62">
        <v>1989.98</v>
      </c>
      <c r="L5129" s="33" t="e">
        <f>HLOOKUP(B5129,#REF!,1,0)</f>
        <v>#REF!</v>
      </c>
      <c r="M5129" s="33" t="str">
        <f t="shared" si="323"/>
        <v>P&amp;L</v>
      </c>
    </row>
    <row r="5130" spans="1:13" s="33" customFormat="true" ht="12.75" customHeight="true">
      <c r="A5130" s="33" t="str">
        <f t="shared" si="320"/>
        <v>GRA - CGS</v>
      </c>
      <c r="B5130" s="33" t="str">
        <f t="shared" si="321"/>
        <v>GRA</v>
      </c>
      <c r="C5130" s="33" t="str">
        <f t="shared" si="322"/>
        <v>54006-0000</v>
      </c>
      <c r="D5130" s="283" t="s">
        <v>6195</v>
      </c>
      <c r="E5130" s="64" t="s">
        <v>3812</v>
      </c>
      <c r="F5130" s="64" t="s">
        <v>230</v>
      </c>
      <c r="G5130" s="64" t="s">
        <v>3800</v>
      </c>
      <c r="H5130" s="64" t="s">
        <v>1875</v>
      </c>
      <c r="I5130" s="64" t="s">
        <v>3003</v>
      </c>
      <c r="J5130" s="67">
        <v>1761.52</v>
      </c>
      <c r="K5130" s="62">
        <v>23218.68</v>
      </c>
      <c r="L5130" s="33" t="e">
        <f>HLOOKUP(B5130,#REF!,1,0)</f>
        <v>#REF!</v>
      </c>
      <c r="M5130" s="33" t="str">
        <f t="shared" si="323"/>
        <v>P&amp;L</v>
      </c>
    </row>
    <row r="5131" spans="1:13" s="33" customFormat="true" ht="12.75" customHeight="true">
      <c r="A5131" s="33" t="str">
        <f t="shared" si="320"/>
        <v>GRA - CGS</v>
      </c>
      <c r="B5131" s="33" t="str">
        <f t="shared" si="321"/>
        <v>GRA</v>
      </c>
      <c r="C5131" s="33" t="str">
        <f t="shared" si="322"/>
        <v>54007-0000</v>
      </c>
      <c r="D5131" s="283" t="s">
        <v>6196</v>
      </c>
      <c r="E5131" s="64" t="s">
        <v>3814</v>
      </c>
      <c r="F5131" s="64" t="s">
        <v>230</v>
      </c>
      <c r="G5131" s="64" t="s">
        <v>3800</v>
      </c>
      <c r="H5131" s="64" t="s">
        <v>1875</v>
      </c>
      <c r="I5131" s="64" t="s">
        <v>3815</v>
      </c>
      <c r="J5131" s="67">
        <v>8655</v>
      </c>
      <c r="K5131" s="62">
        <v>78352.67</v>
      </c>
      <c r="L5131" s="33" t="e">
        <f>HLOOKUP(B5131,#REF!,1,0)</f>
        <v>#REF!</v>
      </c>
      <c r="M5131" s="33" t="str">
        <f t="shared" si="323"/>
        <v>P&amp;L</v>
      </c>
    </row>
    <row r="5132" spans="1:13" s="33" customFormat="true" ht="12.75" customHeight="true">
      <c r="A5132" s="33" t="str">
        <f t="shared" si="320"/>
        <v>GRA - PM Expenses</v>
      </c>
      <c r="B5132" s="33" t="str">
        <f t="shared" si="321"/>
        <v>GRA</v>
      </c>
      <c r="C5132" s="33" t="str">
        <f t="shared" si="322"/>
        <v>55501-0000</v>
      </c>
      <c r="D5132" s="283" t="s">
        <v>6197</v>
      </c>
      <c r="E5132" s="64" t="s">
        <v>3817</v>
      </c>
      <c r="F5132" s="64" t="s">
        <v>230</v>
      </c>
      <c r="G5132" s="64" t="s">
        <v>3818</v>
      </c>
      <c r="H5132" s="64" t="s">
        <v>3819</v>
      </c>
      <c r="I5132" s="64" t="s">
        <v>3820</v>
      </c>
      <c r="J5132" s="67">
        <v>0</v>
      </c>
      <c r="K5132" s="62">
        <v>15484.69</v>
      </c>
      <c r="L5132" s="33" t="e">
        <f>HLOOKUP(B5132,#REF!,1,0)</f>
        <v>#REF!</v>
      </c>
      <c r="M5132" s="33" t="str">
        <f t="shared" si="323"/>
        <v>P&amp;L</v>
      </c>
    </row>
    <row r="5133" spans="1:13" s="33" customFormat="true" ht="12.75" customHeight="true">
      <c r="A5133" s="33" t="str">
        <f t="shared" si="320"/>
        <v>GRA - PM Expenses</v>
      </c>
      <c r="B5133" s="33" t="str">
        <f t="shared" si="321"/>
        <v>GRA</v>
      </c>
      <c r="C5133" s="33" t="str">
        <f t="shared" si="322"/>
        <v>55502-0000</v>
      </c>
      <c r="D5133" s="283" t="s">
        <v>6198</v>
      </c>
      <c r="E5133" s="64" t="s">
        <v>3822</v>
      </c>
      <c r="F5133" s="64" t="s">
        <v>230</v>
      </c>
      <c r="G5133" s="64" t="s">
        <v>3818</v>
      </c>
      <c r="H5133" s="64" t="s">
        <v>3819</v>
      </c>
      <c r="I5133" s="64" t="s">
        <v>3823</v>
      </c>
      <c r="J5133" s="67">
        <v>0</v>
      </c>
      <c r="K5133" s="62">
        <v>1012.3</v>
      </c>
      <c r="L5133" s="33" t="e">
        <f>HLOOKUP(B5133,#REF!,1,0)</f>
        <v>#REF!</v>
      </c>
      <c r="M5133" s="33" t="str">
        <f t="shared" si="323"/>
        <v>P&amp;L</v>
      </c>
    </row>
    <row r="5134" spans="1:13" s="33" customFormat="true" ht="12.75" customHeight="true">
      <c r="A5134" s="33" t="str">
        <f t="shared" si="320"/>
        <v>GRA - PM Expenses</v>
      </c>
      <c r="B5134" s="33" t="str">
        <f t="shared" si="321"/>
        <v>GRA</v>
      </c>
      <c r="C5134" s="33" t="str">
        <f t="shared" si="322"/>
        <v>55503-0000</v>
      </c>
      <c r="D5134" s="283" t="s">
        <v>6199</v>
      </c>
      <c r="E5134" s="64" t="s">
        <v>3825</v>
      </c>
      <c r="F5134" s="64" t="s">
        <v>230</v>
      </c>
      <c r="G5134" s="64" t="s">
        <v>3818</v>
      </c>
      <c r="H5134" s="64" t="s">
        <v>3819</v>
      </c>
      <c r="I5134" s="64" t="s">
        <v>3826</v>
      </c>
      <c r="J5134" s="67">
        <v>0</v>
      </c>
      <c r="K5134" s="62">
        <v>0</v>
      </c>
      <c r="L5134" s="33" t="e">
        <f>HLOOKUP(B5134,#REF!,1,0)</f>
        <v>#REF!</v>
      </c>
      <c r="M5134" s="33" t="str">
        <f t="shared" si="323"/>
        <v>P&amp;L</v>
      </c>
    </row>
    <row r="5135" spans="1:13" s="33" customFormat="true" ht="12.75" customHeight="true">
      <c r="A5135" s="33" t="str">
        <f t="shared" si="320"/>
        <v>GRA - PM Expenses</v>
      </c>
      <c r="B5135" s="33" t="str">
        <f t="shared" si="321"/>
        <v>GRA</v>
      </c>
      <c r="C5135" s="33" t="str">
        <f t="shared" si="322"/>
        <v>55505-0000</v>
      </c>
      <c r="D5135" s="283" t="s">
        <v>6200</v>
      </c>
      <c r="E5135" s="64" t="s">
        <v>3828</v>
      </c>
      <c r="F5135" s="64" t="s">
        <v>230</v>
      </c>
      <c r="G5135" s="64" t="s">
        <v>3818</v>
      </c>
      <c r="H5135" s="64" t="s">
        <v>3819</v>
      </c>
      <c r="I5135" s="64" t="s">
        <v>3829</v>
      </c>
      <c r="J5135" s="67">
        <v>0</v>
      </c>
      <c r="K5135" s="62">
        <v>17455.01</v>
      </c>
      <c r="L5135" s="33" t="e">
        <f>HLOOKUP(B5135,#REF!,1,0)</f>
        <v>#REF!</v>
      </c>
      <c r="M5135" s="33" t="str">
        <f t="shared" si="323"/>
        <v>P&amp;L</v>
      </c>
    </row>
    <row r="5136" spans="1:13" s="33" customFormat="true" ht="12.75" customHeight="true">
      <c r="A5136" s="33" t="str">
        <f t="shared" si="320"/>
        <v>GRA - PM Expenses</v>
      </c>
      <c r="B5136" s="33" t="str">
        <f t="shared" si="321"/>
        <v>GRA</v>
      </c>
      <c r="C5136" s="33" t="str">
        <f t="shared" si="322"/>
        <v>55506-0000</v>
      </c>
      <c r="D5136" s="283" t="s">
        <v>6201</v>
      </c>
      <c r="E5136" s="64" t="s">
        <v>3831</v>
      </c>
      <c r="F5136" s="64" t="s">
        <v>230</v>
      </c>
      <c r="G5136" s="64" t="s">
        <v>3818</v>
      </c>
      <c r="H5136" s="64" t="s">
        <v>3819</v>
      </c>
      <c r="I5136" s="64" t="s">
        <v>3832</v>
      </c>
      <c r="J5136" s="67">
        <v>0</v>
      </c>
      <c r="K5136" s="62">
        <v>19285.48</v>
      </c>
      <c r="L5136" s="33" t="e">
        <f>HLOOKUP(B5136,#REF!,1,0)</f>
        <v>#REF!</v>
      </c>
      <c r="M5136" s="33" t="str">
        <f t="shared" si="323"/>
        <v>P&amp;L</v>
      </c>
    </row>
    <row r="5137" spans="1:13" s="33" customFormat="true" ht="12.75" customHeight="true">
      <c r="A5137" s="33" t="str">
        <f t="shared" si="320"/>
        <v>GRA - PM Expenses</v>
      </c>
      <c r="B5137" s="33" t="str">
        <f t="shared" si="321"/>
        <v>GRA</v>
      </c>
      <c r="C5137" s="33" t="str">
        <f t="shared" si="322"/>
        <v>55507-0000</v>
      </c>
      <c r="D5137" s="283" t="s">
        <v>6202</v>
      </c>
      <c r="E5137" s="64" t="s">
        <v>3834</v>
      </c>
      <c r="F5137" s="64" t="s">
        <v>230</v>
      </c>
      <c r="G5137" s="64" t="s">
        <v>3818</v>
      </c>
      <c r="H5137" s="64" t="s">
        <v>3819</v>
      </c>
      <c r="I5137" s="64" t="s">
        <v>3835</v>
      </c>
      <c r="J5137" s="67">
        <v>0</v>
      </c>
      <c r="K5137" s="62">
        <v>5448.18</v>
      </c>
      <c r="L5137" s="33" t="e">
        <f>HLOOKUP(B5137,#REF!,1,0)</f>
        <v>#REF!</v>
      </c>
      <c r="M5137" s="33" t="str">
        <f t="shared" si="323"/>
        <v>P&amp;L</v>
      </c>
    </row>
    <row r="5138" spans="1:13" s="33" customFormat="true" ht="12.75" customHeight="true">
      <c r="A5138" s="33" t="str">
        <f t="shared" si="320"/>
        <v>GRA - CGS</v>
      </c>
      <c r="B5138" s="33" t="str">
        <f t="shared" si="321"/>
        <v>GRA</v>
      </c>
      <c r="C5138" s="33" t="str">
        <f t="shared" si="322"/>
        <v>57700-0000</v>
      </c>
      <c r="D5138" s="283" t="s">
        <v>6203</v>
      </c>
      <c r="E5138" s="64" t="s">
        <v>6204</v>
      </c>
      <c r="F5138" s="64" t="s">
        <v>230</v>
      </c>
      <c r="G5138" s="64" t="s">
        <v>6205</v>
      </c>
      <c r="H5138" s="64" t="s">
        <v>1875</v>
      </c>
      <c r="I5138" s="64" t="s">
        <v>3354</v>
      </c>
      <c r="J5138" s="67">
        <v>0</v>
      </c>
      <c r="K5138" s="62">
        <v>60000</v>
      </c>
      <c r="L5138" s="33" t="e">
        <f>HLOOKUP(B5138,#REF!,1,0)</f>
        <v>#REF!</v>
      </c>
      <c r="M5138" s="33" t="str">
        <f t="shared" si="323"/>
        <v>P&amp;L</v>
      </c>
    </row>
    <row r="5139" spans="1:13" s="33" customFormat="true" ht="12.75" customHeight="true">
      <c r="A5139" s="33" t="str">
        <f t="shared" si="320"/>
        <v>GRA - CGS</v>
      </c>
      <c r="B5139" s="33" t="str">
        <f t="shared" si="321"/>
        <v>GRA</v>
      </c>
      <c r="C5139" s="33" t="str">
        <f t="shared" si="322"/>
        <v>60002-0000</v>
      </c>
      <c r="D5139" s="283" t="s">
        <v>6206</v>
      </c>
      <c r="E5139" s="64" t="s">
        <v>3837</v>
      </c>
      <c r="F5139" s="64" t="s">
        <v>230</v>
      </c>
      <c r="G5139" s="64" t="s">
        <v>3838</v>
      </c>
      <c r="H5139" s="64" t="s">
        <v>1875</v>
      </c>
      <c r="I5139" s="64" t="s">
        <v>3839</v>
      </c>
      <c r="J5139" s="67">
        <v>0</v>
      </c>
      <c r="K5139" s="62">
        <v>1987.44</v>
      </c>
      <c r="L5139" s="33" t="e">
        <f>HLOOKUP(B5139,#REF!,1,0)</f>
        <v>#REF!</v>
      </c>
      <c r="M5139" s="33" t="str">
        <f t="shared" si="323"/>
        <v>P&amp;L</v>
      </c>
    </row>
    <row r="5140" spans="1:13" s="33" customFormat="true" ht="12.75" customHeight="true">
      <c r="A5140" s="33" t="str">
        <f t="shared" si="320"/>
        <v>GRA - CGS</v>
      </c>
      <c r="B5140" s="33" t="str">
        <f t="shared" si="321"/>
        <v>GRA</v>
      </c>
      <c r="C5140" s="33" t="str">
        <f t="shared" si="322"/>
        <v>60005-0000</v>
      </c>
      <c r="D5140" s="283" t="s">
        <v>6207</v>
      </c>
      <c r="E5140" s="64" t="s">
        <v>3841</v>
      </c>
      <c r="F5140" s="64" t="s">
        <v>230</v>
      </c>
      <c r="G5140" s="64" t="s">
        <v>3838</v>
      </c>
      <c r="H5140" s="64" t="s">
        <v>1875</v>
      </c>
      <c r="I5140" s="64" t="s">
        <v>3842</v>
      </c>
      <c r="J5140" s="67">
        <v>0</v>
      </c>
      <c r="K5140" s="62">
        <v>235.14</v>
      </c>
      <c r="L5140" s="33" t="e">
        <f>HLOOKUP(B5140,#REF!,1,0)</f>
        <v>#REF!</v>
      </c>
      <c r="M5140" s="33" t="str">
        <f t="shared" si="323"/>
        <v>P&amp;L</v>
      </c>
    </row>
    <row r="5141" spans="1:13" s="33" customFormat="true" ht="12.75" customHeight="true">
      <c r="A5141" s="33" t="str">
        <f t="shared" si="320"/>
        <v>GRA - Interest Expense</v>
      </c>
      <c r="B5141" s="33" t="str">
        <f t="shared" si="321"/>
        <v>GRA</v>
      </c>
      <c r="C5141" s="33" t="str">
        <f t="shared" si="322"/>
        <v>60006-0000</v>
      </c>
      <c r="D5141" s="283" t="s">
        <v>6208</v>
      </c>
      <c r="E5141" s="64" t="s">
        <v>3325</v>
      </c>
      <c r="F5141" s="64" t="s">
        <v>230</v>
      </c>
      <c r="G5141" s="64" t="s">
        <v>3844</v>
      </c>
      <c r="H5141" s="64" t="s">
        <v>3327</v>
      </c>
      <c r="I5141" s="64" t="s">
        <v>3328</v>
      </c>
      <c r="J5141" s="67">
        <v>25000</v>
      </c>
      <c r="K5141" s="62">
        <v>981699.13</v>
      </c>
      <c r="L5141" s="33" t="e">
        <f>HLOOKUP(B5141,#REF!,1,0)</f>
        <v>#REF!</v>
      </c>
      <c r="M5141" s="33" t="str">
        <f t="shared" si="323"/>
        <v>P&amp;L</v>
      </c>
    </row>
    <row r="5142" spans="1:13" s="33" customFormat="true" ht="12.75" customHeight="true">
      <c r="A5142" s="33" t="str">
        <f t="shared" si="320"/>
        <v>GRA - CGS</v>
      </c>
      <c r="B5142" s="33" t="str">
        <f t="shared" si="321"/>
        <v>GRA</v>
      </c>
      <c r="C5142" s="33" t="str">
        <f t="shared" si="322"/>
        <v>60007-0000</v>
      </c>
      <c r="D5142" s="283" t="s">
        <v>6209</v>
      </c>
      <c r="E5142" s="64" t="s">
        <v>3846</v>
      </c>
      <c r="F5142" s="64" t="s">
        <v>230</v>
      </c>
      <c r="G5142" s="64" t="s">
        <v>3838</v>
      </c>
      <c r="H5142" s="64" t="s">
        <v>1875</v>
      </c>
      <c r="I5142" s="64" t="s">
        <v>3847</v>
      </c>
      <c r="J5142" s="67">
        <v>100000</v>
      </c>
      <c r="K5142" s="62">
        <v>462009.75</v>
      </c>
      <c r="L5142" s="33" t="e">
        <f>HLOOKUP(B5142,#REF!,1,0)</f>
        <v>#REF!</v>
      </c>
      <c r="M5142" s="33" t="str">
        <f t="shared" si="323"/>
        <v>P&amp;L</v>
      </c>
    </row>
    <row r="5143" spans="1:13" s="33" customFormat="true" ht="12.75" customHeight="true">
      <c r="A5143" s="33" t="str">
        <f t="shared" si="320"/>
        <v>GRA - CGS</v>
      </c>
      <c r="B5143" s="33" t="str">
        <f t="shared" si="321"/>
        <v>GRA</v>
      </c>
      <c r="C5143" s="33" t="str">
        <f t="shared" si="322"/>
        <v>60008-0000</v>
      </c>
      <c r="D5143" s="283" t="s">
        <v>6210</v>
      </c>
      <c r="E5143" s="64" t="s">
        <v>3849</v>
      </c>
      <c r="F5143" s="64" t="s">
        <v>230</v>
      </c>
      <c r="G5143" s="64" t="s">
        <v>3838</v>
      </c>
      <c r="H5143" s="64" t="s">
        <v>1875</v>
      </c>
      <c r="I5143" s="64" t="s">
        <v>3850</v>
      </c>
      <c r="J5143" s="67">
        <v>0</v>
      </c>
      <c r="K5143" s="62">
        <v>3782.77</v>
      </c>
      <c r="L5143" s="33" t="e">
        <f>HLOOKUP(B5143,#REF!,1,0)</f>
        <v>#REF!</v>
      </c>
      <c r="M5143" s="33" t="str">
        <f t="shared" si="323"/>
        <v>P&amp;L</v>
      </c>
    </row>
    <row r="5144" spans="1:13" s="33" customFormat="true" ht="12.75" customHeight="true">
      <c r="A5144" s="33" t="str">
        <f t="shared" si="320"/>
        <v>GRA - CGS</v>
      </c>
      <c r="B5144" s="33" t="str">
        <f t="shared" si="321"/>
        <v>GRA</v>
      </c>
      <c r="C5144" s="33" t="str">
        <f t="shared" si="322"/>
        <v>60012-0000</v>
      </c>
      <c r="D5144" s="283" t="s">
        <v>6211</v>
      </c>
      <c r="E5144" s="64" t="s">
        <v>3852</v>
      </c>
      <c r="F5144" s="64" t="s">
        <v>230</v>
      </c>
      <c r="G5144" s="64" t="s">
        <v>3838</v>
      </c>
      <c r="H5144" s="64" t="s">
        <v>1875</v>
      </c>
      <c r="I5144" s="64" t="s">
        <v>3853</v>
      </c>
      <c r="J5144" s="67">
        <v>0</v>
      </c>
      <c r="K5144" s="62">
        <v>93680.27</v>
      </c>
      <c r="L5144" s="33" t="e">
        <f>HLOOKUP(B5144,#REF!,1,0)</f>
        <v>#REF!</v>
      </c>
      <c r="M5144" s="33" t="str">
        <f t="shared" si="323"/>
        <v>P&amp;L</v>
      </c>
    </row>
    <row r="5145" spans="1:13" s="33" customFormat="true" ht="12.75" customHeight="true">
      <c r="A5145" s="33" t="str">
        <f t="shared" si="320"/>
        <v>GRA - CGS</v>
      </c>
      <c r="B5145" s="33" t="str">
        <f t="shared" si="321"/>
        <v>GRA</v>
      </c>
      <c r="C5145" s="33" t="str">
        <f t="shared" si="322"/>
        <v>60014-0000</v>
      </c>
      <c r="D5145" s="283" t="s">
        <v>6212</v>
      </c>
      <c r="E5145" s="64" t="s">
        <v>3855</v>
      </c>
      <c r="F5145" s="64" t="s">
        <v>230</v>
      </c>
      <c r="G5145" s="64" t="s">
        <v>3838</v>
      </c>
      <c r="H5145" s="64" t="s">
        <v>1875</v>
      </c>
      <c r="I5145" s="64" t="s">
        <v>3856</v>
      </c>
      <c r="J5145" s="67">
        <v>0</v>
      </c>
      <c r="K5145" s="62">
        <v>143579.26</v>
      </c>
      <c r="L5145" s="33" t="e">
        <f>HLOOKUP(B5145,#REF!,1,0)</f>
        <v>#REF!</v>
      </c>
      <c r="M5145" s="33" t="str">
        <f t="shared" si="323"/>
        <v>P&amp;L</v>
      </c>
    </row>
    <row r="5146" spans="1:13" s="33" customFormat="true" ht="12.75" customHeight="true">
      <c r="A5146" s="33" t="str">
        <f t="shared" si="320"/>
        <v>GRA - CGS</v>
      </c>
      <c r="B5146" s="33" t="str">
        <f t="shared" si="321"/>
        <v>GRA</v>
      </c>
      <c r="C5146" s="33" t="str">
        <f t="shared" si="322"/>
        <v>60015-0000</v>
      </c>
      <c r="D5146" s="283" t="s">
        <v>6213</v>
      </c>
      <c r="E5146" s="64" t="s">
        <v>3858</v>
      </c>
      <c r="F5146" s="64" t="s">
        <v>230</v>
      </c>
      <c r="G5146" s="64" t="s">
        <v>3838</v>
      </c>
      <c r="H5146" s="64" t="s">
        <v>1875</v>
      </c>
      <c r="I5146" s="64" t="s">
        <v>3859</v>
      </c>
      <c r="J5146" s="67">
        <v>0</v>
      </c>
      <c r="K5146" s="62">
        <v>1564</v>
      </c>
      <c r="L5146" s="33" t="e">
        <f>HLOOKUP(B5146,#REF!,1,0)</f>
        <v>#REF!</v>
      </c>
      <c r="M5146" s="33" t="str">
        <f t="shared" si="323"/>
        <v>P&amp;L</v>
      </c>
    </row>
    <row r="5147" spans="1:13" s="33" customFormat="true" ht="12.75" customHeight="true">
      <c r="A5147" s="33" t="str">
        <f t="shared" si="320"/>
        <v>GRA - CGS</v>
      </c>
      <c r="B5147" s="33" t="str">
        <f t="shared" si="321"/>
        <v>GRA</v>
      </c>
      <c r="C5147" s="33" t="str">
        <f t="shared" si="322"/>
        <v>61016-0000</v>
      </c>
      <c r="D5147" s="283" t="s">
        <v>6214</v>
      </c>
      <c r="E5147" s="64" t="s">
        <v>3861</v>
      </c>
      <c r="F5147" s="64" t="s">
        <v>230</v>
      </c>
      <c r="G5147" s="64" t="s">
        <v>3838</v>
      </c>
      <c r="H5147" s="64" t="s">
        <v>1875</v>
      </c>
      <c r="I5147" s="64" t="s">
        <v>3862</v>
      </c>
      <c r="J5147" s="67">
        <v>0</v>
      </c>
      <c r="K5147" s="62">
        <v>718</v>
      </c>
      <c r="L5147" s="33" t="e">
        <f>HLOOKUP(B5147,#REF!,1,0)</f>
        <v>#REF!</v>
      </c>
      <c r="M5147" s="33" t="str">
        <f t="shared" si="323"/>
        <v>P&amp;L</v>
      </c>
    </row>
    <row r="5148" spans="1:13" s="33" customFormat="true" ht="12.75" customHeight="true">
      <c r="A5148" s="33" t="str">
        <f t="shared" si="320"/>
        <v>GRA - Other Expenses</v>
      </c>
      <c r="B5148" s="33" t="str">
        <f t="shared" si="321"/>
        <v>GRA</v>
      </c>
      <c r="C5148" s="33" t="str">
        <f t="shared" si="322"/>
        <v>61018-0000</v>
      </c>
      <c r="D5148" s="283" t="s">
        <v>6215</v>
      </c>
      <c r="E5148" s="64" t="s">
        <v>3864</v>
      </c>
      <c r="F5148" s="64" t="s">
        <v>230</v>
      </c>
      <c r="G5148" s="64" t="s">
        <v>3838</v>
      </c>
      <c r="H5148" s="64" t="s">
        <v>3865</v>
      </c>
      <c r="I5148" s="64" t="s">
        <v>3866</v>
      </c>
      <c r="J5148" s="67">
        <v>-883.43</v>
      </c>
      <c r="K5148" s="62">
        <v>96133.52</v>
      </c>
      <c r="L5148" s="33" t="e">
        <f>HLOOKUP(B5148,#REF!,1,0)</f>
        <v>#REF!</v>
      </c>
      <c r="M5148" s="33" t="str">
        <f t="shared" si="323"/>
        <v>P&amp;L</v>
      </c>
    </row>
    <row r="5149" spans="1:13" s="33" customFormat="true" ht="12.75" customHeight="true">
      <c r="A5149" s="33" t="str">
        <f t="shared" si="320"/>
        <v>GRA - Income Tax</v>
      </c>
      <c r="B5149" s="33" t="str">
        <f t="shared" si="321"/>
        <v>GRA</v>
      </c>
      <c r="C5149" s="33" t="str">
        <f t="shared" si="322"/>
        <v>61019-0000</v>
      </c>
      <c r="D5149" s="283" t="s">
        <v>6216</v>
      </c>
      <c r="E5149" s="64" t="s">
        <v>4041</v>
      </c>
      <c r="F5149" s="64" t="s">
        <v>230</v>
      </c>
      <c r="G5149" s="64" t="s">
        <v>3844</v>
      </c>
      <c r="H5149" s="64" t="s">
        <v>3378</v>
      </c>
      <c r="I5149" s="64" t="s">
        <v>4042</v>
      </c>
      <c r="J5149" s="67">
        <v>0</v>
      </c>
      <c r="K5149" s="62">
        <v>9729.29</v>
      </c>
      <c r="L5149" s="33" t="e">
        <f>HLOOKUP(B5149,#REF!,1,0)</f>
        <v>#REF!</v>
      </c>
      <c r="M5149" s="33" t="str">
        <f t="shared" si="323"/>
        <v>P&amp;L</v>
      </c>
    </row>
    <row r="5150" spans="1:13" s="33" customFormat="true" ht="12.75" customHeight="true">
      <c r="A5150" s="33" t="str">
        <f t="shared" si="320"/>
        <v>GRA - Other Income/Expense</v>
      </c>
      <c r="B5150" s="33" t="str">
        <f t="shared" si="321"/>
        <v>GRA</v>
      </c>
      <c r="C5150" s="33" t="str">
        <f t="shared" si="322"/>
        <v>61022-0000</v>
      </c>
      <c r="D5150" s="283" t="s">
        <v>6217</v>
      </c>
      <c r="E5150" s="64" t="s">
        <v>4286</v>
      </c>
      <c r="F5150" s="64" t="s">
        <v>230</v>
      </c>
      <c r="G5150" s="64" t="s">
        <v>3838</v>
      </c>
      <c r="H5150" s="64" t="s">
        <v>3300</v>
      </c>
      <c r="I5150" s="64" t="s">
        <v>4287</v>
      </c>
      <c r="J5150" s="67">
        <v>0</v>
      </c>
      <c r="K5150" s="62">
        <v>9965.21</v>
      </c>
      <c r="L5150" s="33" t="e">
        <f>HLOOKUP(B5150,#REF!,1,0)</f>
        <v>#REF!</v>
      </c>
      <c r="M5150" s="33" t="str">
        <f t="shared" si="323"/>
        <v>P&amp;L</v>
      </c>
    </row>
    <row r="5151" spans="1:13" s="33" customFormat="true" ht="12.75" customHeight="true">
      <c r="A5151" s="33" t="str">
        <f t="shared" si="320"/>
        <v>GRA - CGS</v>
      </c>
      <c r="B5151" s="33" t="str">
        <f t="shared" si="321"/>
        <v>GRA</v>
      </c>
      <c r="C5151" s="33" t="str">
        <f t="shared" si="322"/>
        <v>61023-0000</v>
      </c>
      <c r="D5151" s="283" t="s">
        <v>6218</v>
      </c>
      <c r="E5151" s="64" t="s">
        <v>3868</v>
      </c>
      <c r="F5151" s="64" t="s">
        <v>230</v>
      </c>
      <c r="G5151" s="64" t="s">
        <v>3838</v>
      </c>
      <c r="H5151" s="64" t="s">
        <v>1875</v>
      </c>
      <c r="I5151" s="64" t="s">
        <v>1876</v>
      </c>
      <c r="J5151" s="67">
        <v>0</v>
      </c>
      <c r="K5151" s="62">
        <v>8792.5</v>
      </c>
      <c r="L5151" s="33" t="e">
        <f>HLOOKUP(B5151,#REF!,1,0)</f>
        <v>#REF!</v>
      </c>
      <c r="M5151" s="33" t="str">
        <f t="shared" si="323"/>
        <v>P&amp;L</v>
      </c>
    </row>
    <row r="5152" spans="1:13" s="33" customFormat="true" ht="12.75" customHeight="true">
      <c r="A5152" s="33" t="str">
        <f t="shared" si="320"/>
        <v>GRI - Income Tax</v>
      </c>
      <c r="B5152" s="33" t="str">
        <f t="shared" si="321"/>
        <v>GRI</v>
      </c>
      <c r="C5152" s="33" t="str">
        <f t="shared" si="322"/>
        <v>61019-0000</v>
      </c>
      <c r="D5152" s="64" t="s">
        <v>6219</v>
      </c>
      <c r="E5152" s="64" t="s">
        <v>4041</v>
      </c>
      <c r="F5152" s="64" t="s">
        <v>230</v>
      </c>
      <c r="G5152" s="64" t="s">
        <v>3844</v>
      </c>
      <c r="H5152" s="64" t="s">
        <v>3378</v>
      </c>
      <c r="I5152" s="64" t="s">
        <v>4042</v>
      </c>
      <c r="J5152" s="67">
        <v>0</v>
      </c>
      <c r="K5152" s="62">
        <v>0</v>
      </c>
      <c r="L5152" s="33" t="e">
        <f>HLOOKUP(B5152,#REF!,1,0)</f>
        <v>#REF!</v>
      </c>
      <c r="M5152" s="33" t="str">
        <f t="shared" si="323"/>
        <v>P&amp;L</v>
      </c>
    </row>
    <row r="5153" spans="1:13" s="33" customFormat="true" ht="12.75" customHeight="true">
      <c r="A5153" s="33" t="str">
        <f t="shared" si="320"/>
        <v>GSM - Cash</v>
      </c>
      <c r="B5153" s="33" t="str">
        <f t="shared" si="321"/>
        <v>GSM</v>
      </c>
      <c r="C5153" s="33" t="str">
        <f t="shared" si="322"/>
        <v>10001-0000</v>
      </c>
      <c r="D5153" s="283" t="s">
        <v>6220</v>
      </c>
      <c r="E5153" s="64" t="s">
        <v>240</v>
      </c>
      <c r="F5153" s="64" t="s">
        <v>230</v>
      </c>
      <c r="G5153" s="64" t="s">
        <v>16</v>
      </c>
      <c r="H5153" s="64" t="s">
        <v>25</v>
      </c>
      <c r="I5153" s="64" t="s">
        <v>18</v>
      </c>
      <c r="J5153" s="67">
        <v>0</v>
      </c>
      <c r="K5153" s="62">
        <v>308539.49</v>
      </c>
      <c r="L5153" s="33" t="e">
        <f>HLOOKUP(B5153,#REF!,1,0)</f>
        <v>#REF!</v>
      </c>
      <c r="M5153" s="33" t="str">
        <f t="shared" si="323"/>
        <v>BS</v>
      </c>
    </row>
    <row r="5154" spans="1:13" s="33" customFormat="true" ht="12.75" customHeight="true">
      <c r="A5154" s="33" t="str">
        <f t="shared" si="320"/>
        <v>GSM - Intercompany</v>
      </c>
      <c r="B5154" s="33" t="str">
        <f t="shared" si="321"/>
        <v>GSM</v>
      </c>
      <c r="C5154" s="33" t="str">
        <f t="shared" si="322"/>
        <v>11216-0000</v>
      </c>
      <c r="D5154" s="283" t="s">
        <v>6221</v>
      </c>
      <c r="E5154" s="64" t="s">
        <v>242</v>
      </c>
      <c r="F5154" s="64" t="s">
        <v>230</v>
      </c>
      <c r="G5154" s="64" t="s">
        <v>16</v>
      </c>
      <c r="H5154" s="64" t="s">
        <v>39</v>
      </c>
      <c r="I5154" s="64" t="s">
        <v>40</v>
      </c>
      <c r="J5154" s="67">
        <v>-268.92</v>
      </c>
      <c r="K5154" s="62">
        <v>-35839.73</v>
      </c>
      <c r="L5154" s="33" t="e">
        <f>HLOOKUP(B5154,#REF!,1,0)</f>
        <v>#REF!</v>
      </c>
      <c r="M5154" s="33" t="str">
        <f t="shared" si="323"/>
        <v>BS</v>
      </c>
    </row>
    <row r="5155" spans="1:13" s="33" customFormat="true" ht="12.75" customHeight="true">
      <c r="A5155" s="33" t="str">
        <f t="shared" si="320"/>
        <v>GSM - Intercompany</v>
      </c>
      <c r="B5155" s="33" t="str">
        <f t="shared" si="321"/>
        <v>GSM</v>
      </c>
      <c r="C5155" s="33" t="str">
        <f t="shared" si="322"/>
        <v>11319-0000</v>
      </c>
      <c r="D5155" s="283" t="s">
        <v>6222</v>
      </c>
      <c r="E5155" s="64" t="s">
        <v>370</v>
      </c>
      <c r="F5155" s="64" t="s">
        <v>230</v>
      </c>
      <c r="G5155" s="64" t="s">
        <v>16</v>
      </c>
      <c r="H5155" s="64" t="s">
        <v>39</v>
      </c>
      <c r="I5155" s="64" t="s">
        <v>40</v>
      </c>
      <c r="J5155" s="67">
        <v>0</v>
      </c>
      <c r="K5155" s="62">
        <v>-1886004.3</v>
      </c>
      <c r="L5155" s="33" t="e">
        <f>HLOOKUP(B5155,#REF!,1,0)</f>
        <v>#REF!</v>
      </c>
      <c r="M5155" s="33" t="str">
        <f t="shared" si="323"/>
        <v>BS</v>
      </c>
    </row>
    <row r="5156" spans="1:13" s="33" customFormat="true" ht="12.75" customHeight="true">
      <c r="A5156" s="33" t="str">
        <f t="shared" si="320"/>
        <v>GSM - AR-PPD</v>
      </c>
      <c r="B5156" s="33" t="str">
        <f t="shared" si="321"/>
        <v>GSM</v>
      </c>
      <c r="C5156" s="33" t="str">
        <f t="shared" si="322"/>
        <v>12200-0000</v>
      </c>
      <c r="D5156" s="283" t="s">
        <v>6223</v>
      </c>
      <c r="E5156" s="64" t="s">
        <v>294</v>
      </c>
      <c r="F5156" s="64" t="s">
        <v>230</v>
      </c>
      <c r="G5156" s="64" t="s">
        <v>62</v>
      </c>
      <c r="H5156" s="64" t="s">
        <v>35</v>
      </c>
      <c r="I5156" s="64" t="s">
        <v>64</v>
      </c>
      <c r="J5156" s="67">
        <v>0</v>
      </c>
      <c r="K5156" s="62">
        <v>4115500</v>
      </c>
      <c r="L5156" s="33" t="e">
        <f>HLOOKUP(B5156,#REF!,1,0)</f>
        <v>#REF!</v>
      </c>
      <c r="M5156" s="33" t="str">
        <f t="shared" si="323"/>
        <v>BS</v>
      </c>
    </row>
    <row r="5157" spans="1:13" s="33" customFormat="true" ht="12.75" customHeight="true">
      <c r="A5157" s="33" t="str">
        <f t="shared" si="320"/>
        <v>GSM - Deposits</v>
      </c>
      <c r="B5157" s="33" t="str">
        <f t="shared" si="321"/>
        <v>GSM</v>
      </c>
      <c r="C5157" s="33" t="str">
        <f t="shared" si="322"/>
        <v>12300-0000</v>
      </c>
      <c r="D5157" s="283" t="s">
        <v>6224</v>
      </c>
      <c r="E5157" s="64" t="s">
        <v>387</v>
      </c>
      <c r="F5157" s="64" t="s">
        <v>230</v>
      </c>
      <c r="G5157" s="64" t="s">
        <v>16</v>
      </c>
      <c r="H5157" s="64" t="s">
        <v>80</v>
      </c>
      <c r="I5157" s="64" t="s">
        <v>64</v>
      </c>
      <c r="J5157" s="67">
        <v>0</v>
      </c>
      <c r="K5157" s="62">
        <v>5744000</v>
      </c>
      <c r="L5157" s="33" t="e">
        <f>HLOOKUP(B5157,#REF!,1,0)</f>
        <v>#REF!</v>
      </c>
      <c r="M5157" s="33" t="str">
        <f t="shared" si="323"/>
        <v>BS</v>
      </c>
    </row>
    <row r="5158" spans="1:13" s="33" customFormat="true" ht="12.75" customHeight="true">
      <c r="A5158" s="33" t="str">
        <f t="shared" si="320"/>
        <v>GSM - Fixed Assets</v>
      </c>
      <c r="B5158" s="33" t="str">
        <f t="shared" si="321"/>
        <v>GSM</v>
      </c>
      <c r="C5158" s="33" t="str">
        <f t="shared" si="322"/>
        <v>14000-0000</v>
      </c>
      <c r="D5158" s="283" t="s">
        <v>6225</v>
      </c>
      <c r="E5158" s="64" t="s">
        <v>298</v>
      </c>
      <c r="F5158" s="64" t="s">
        <v>230</v>
      </c>
      <c r="G5158" s="64" t="s">
        <v>62</v>
      </c>
      <c r="H5158" s="64" t="s">
        <v>63</v>
      </c>
      <c r="I5158" s="64" t="s">
        <v>64</v>
      </c>
      <c r="J5158" s="67">
        <v>0</v>
      </c>
      <c r="K5158" s="62">
        <v>30600000</v>
      </c>
      <c r="L5158" s="33" t="e">
        <f>HLOOKUP(B5158,#REF!,1,0)</f>
        <v>#REF!</v>
      </c>
      <c r="M5158" s="33" t="str">
        <f t="shared" si="323"/>
        <v>BS</v>
      </c>
    </row>
    <row r="5159" spans="1:13" s="33" customFormat="true" ht="12.75" customHeight="true">
      <c r="A5159" s="33" t="str">
        <f t="shared" si="320"/>
        <v>GSM - Fixed Assets</v>
      </c>
      <c r="B5159" s="33" t="str">
        <f t="shared" si="321"/>
        <v>GSM</v>
      </c>
      <c r="C5159" s="33" t="str">
        <f t="shared" si="322"/>
        <v>15000-0000</v>
      </c>
      <c r="D5159" s="283" t="s">
        <v>6226</v>
      </c>
      <c r="E5159" s="64" t="s">
        <v>300</v>
      </c>
      <c r="F5159" s="64" t="s">
        <v>230</v>
      </c>
      <c r="G5159" s="64" t="s">
        <v>62</v>
      </c>
      <c r="H5159" s="64" t="s">
        <v>63</v>
      </c>
      <c r="I5159" s="64" t="s">
        <v>64</v>
      </c>
      <c r="J5159" s="67">
        <v>0</v>
      </c>
      <c r="K5159" s="62">
        <v>71400000</v>
      </c>
      <c r="L5159" s="33" t="e">
        <f>HLOOKUP(B5159,#REF!,1,0)</f>
        <v>#REF!</v>
      </c>
      <c r="M5159" s="33" t="str">
        <f t="shared" si="323"/>
        <v>BS</v>
      </c>
    </row>
    <row r="5160" spans="1:13" s="33" customFormat="true" ht="12.75" customHeight="true">
      <c r="A5160" s="33" t="str">
        <f t="shared" si="320"/>
        <v>GSM - Fixed Assets</v>
      </c>
      <c r="B5160" s="33" t="str">
        <f t="shared" si="321"/>
        <v>GSM</v>
      </c>
      <c r="C5160" s="33" t="str">
        <f t="shared" si="322"/>
        <v>15501-0000</v>
      </c>
      <c r="D5160" s="283" t="s">
        <v>6227</v>
      </c>
      <c r="E5160" s="64" t="s">
        <v>2635</v>
      </c>
      <c r="F5160" s="64" t="s">
        <v>230</v>
      </c>
      <c r="G5160" s="64" t="s">
        <v>62</v>
      </c>
      <c r="H5160" s="64" t="s">
        <v>63</v>
      </c>
      <c r="I5160" s="64" t="s">
        <v>64</v>
      </c>
      <c r="J5160" s="67">
        <v>0</v>
      </c>
      <c r="K5160" s="62">
        <v>13301.15</v>
      </c>
      <c r="L5160" s="33" t="e">
        <f>HLOOKUP(B5160,#REF!,1,0)</f>
        <v>#REF!</v>
      </c>
      <c r="M5160" s="33" t="str">
        <f t="shared" si="323"/>
        <v>BS</v>
      </c>
    </row>
    <row r="5161" spans="1:13" s="33" customFormat="true" ht="12.75" customHeight="true">
      <c r="A5161" s="33" t="str">
        <f t="shared" si="320"/>
        <v>GSM - Deposits</v>
      </c>
      <c r="B5161" s="33" t="str">
        <f t="shared" si="321"/>
        <v>GSM</v>
      </c>
      <c r="C5161" s="33" t="str">
        <f t="shared" si="322"/>
        <v>19001-0000</v>
      </c>
      <c r="D5161" s="283" t="s">
        <v>6228</v>
      </c>
      <c r="E5161" s="64" t="s">
        <v>344</v>
      </c>
      <c r="F5161" s="64" t="s">
        <v>230</v>
      </c>
      <c r="G5161" s="64" t="s">
        <v>62</v>
      </c>
      <c r="H5161" s="64" t="s">
        <v>80</v>
      </c>
      <c r="I5161" s="64" t="s">
        <v>81</v>
      </c>
      <c r="J5161" s="67">
        <v>0</v>
      </c>
      <c r="K5161" s="62">
        <v>18040</v>
      </c>
      <c r="L5161" s="33" t="e">
        <f>HLOOKUP(B5161,#REF!,1,0)</f>
        <v>#REF!</v>
      </c>
      <c r="M5161" s="33" t="str">
        <f t="shared" si="323"/>
        <v>BS</v>
      </c>
    </row>
    <row r="5162" spans="1:13" s="33" customFormat="true" ht="12.75" customHeight="true">
      <c r="A5162" s="33" t="str">
        <f t="shared" si="320"/>
        <v>GSM - AP-Accr Exp</v>
      </c>
      <c r="B5162" s="33" t="str">
        <f t="shared" si="321"/>
        <v>GSM</v>
      </c>
      <c r="C5162" s="33" t="str">
        <f t="shared" si="322"/>
        <v>20001-0000</v>
      </c>
      <c r="D5162" s="283" t="s">
        <v>6229</v>
      </c>
      <c r="E5162" s="64" t="s">
        <v>96</v>
      </c>
      <c r="F5162" s="64" t="s">
        <v>230</v>
      </c>
      <c r="G5162" s="64" t="s">
        <v>97</v>
      </c>
      <c r="H5162" s="64" t="s">
        <v>98</v>
      </c>
      <c r="I5162" s="64" t="s">
        <v>99</v>
      </c>
      <c r="J5162" s="67">
        <v>0</v>
      </c>
      <c r="K5162" s="62">
        <v>0</v>
      </c>
      <c r="L5162" s="33" t="e">
        <f>HLOOKUP(B5162,#REF!,1,0)</f>
        <v>#REF!</v>
      </c>
      <c r="M5162" s="33" t="str">
        <f t="shared" si="323"/>
        <v>BS</v>
      </c>
    </row>
    <row r="5163" spans="1:13" s="33" customFormat="true" ht="12.75" customHeight="true">
      <c r="A5163" s="33" t="str">
        <f t="shared" si="320"/>
        <v>GSM - AP-Accr Exp</v>
      </c>
      <c r="B5163" s="33" t="str">
        <f t="shared" si="321"/>
        <v>GSM</v>
      </c>
      <c r="C5163" s="33" t="str">
        <f t="shared" si="322"/>
        <v>23509-0000</v>
      </c>
      <c r="D5163" s="283" t="s">
        <v>6230</v>
      </c>
      <c r="E5163" s="64" t="s">
        <v>111</v>
      </c>
      <c r="F5163" s="64" t="s">
        <v>230</v>
      </c>
      <c r="G5163" s="64" t="s">
        <v>97</v>
      </c>
      <c r="H5163" s="64" t="s">
        <v>98</v>
      </c>
      <c r="I5163" s="64" t="s">
        <v>102</v>
      </c>
      <c r="J5163" s="67">
        <v>0</v>
      </c>
      <c r="K5163" s="62">
        <v>0</v>
      </c>
      <c r="L5163" s="33" t="e">
        <f>HLOOKUP(B5163,#REF!,1,0)</f>
        <v>#REF!</v>
      </c>
      <c r="M5163" s="33" t="str">
        <f t="shared" si="323"/>
        <v>BS</v>
      </c>
    </row>
    <row r="5164" spans="1:13" s="33" customFormat="true" ht="12.75" customHeight="true">
      <c r="A5164" s="33" t="str">
        <f t="shared" si="320"/>
        <v>GSM - AP-Accr Exp</v>
      </c>
      <c r="B5164" s="33" t="str">
        <f t="shared" si="321"/>
        <v>GSM</v>
      </c>
      <c r="C5164" s="33" t="str">
        <f t="shared" si="322"/>
        <v>24801-0000</v>
      </c>
      <c r="D5164" s="283" t="s">
        <v>6231</v>
      </c>
      <c r="E5164" s="64" t="s">
        <v>399</v>
      </c>
      <c r="F5164" s="64" t="s">
        <v>230</v>
      </c>
      <c r="G5164" s="64" t="s">
        <v>97</v>
      </c>
      <c r="H5164" s="64" t="s">
        <v>98</v>
      </c>
      <c r="I5164" s="64" t="s">
        <v>102</v>
      </c>
      <c r="J5164" s="67">
        <v>0</v>
      </c>
      <c r="K5164" s="62">
        <v>0</v>
      </c>
      <c r="L5164" s="33" t="e">
        <f>HLOOKUP(B5164,#REF!,1,0)</f>
        <v>#REF!</v>
      </c>
      <c r="M5164" s="33" t="str">
        <f t="shared" si="323"/>
        <v>BS</v>
      </c>
    </row>
    <row r="5165" spans="1:13" s="33" customFormat="true" ht="12.75" customHeight="true">
      <c r="A5165" s="33" t="str">
        <f t="shared" si="320"/>
        <v>GSM - AR-PPD</v>
      </c>
      <c r="B5165" s="33" t="str">
        <f t="shared" si="321"/>
        <v>GSM</v>
      </c>
      <c r="C5165" s="33" t="str">
        <f t="shared" si="322"/>
        <v>25300-0000</v>
      </c>
      <c r="D5165" s="283" t="s">
        <v>6232</v>
      </c>
      <c r="E5165" s="64" t="s">
        <v>3677</v>
      </c>
      <c r="F5165" s="64" t="s">
        <v>230</v>
      </c>
      <c r="G5165" s="64" t="s">
        <v>3678</v>
      </c>
      <c r="H5165" s="64" t="s">
        <v>35</v>
      </c>
      <c r="I5165" s="64" t="s">
        <v>102</v>
      </c>
      <c r="J5165" s="67">
        <v>0</v>
      </c>
      <c r="K5165" s="62">
        <v>0</v>
      </c>
      <c r="L5165" s="33" t="e">
        <f>HLOOKUP(B5165,#REF!,1,0)</f>
        <v>#REF!</v>
      </c>
      <c r="M5165" s="33" t="str">
        <f t="shared" si="323"/>
        <v>BS</v>
      </c>
    </row>
    <row r="5166" spans="1:13" s="33" customFormat="true" ht="12.75" customHeight="true">
      <c r="A5166" s="33" t="str">
        <f t="shared" si="320"/>
        <v>GSM - Principal</v>
      </c>
      <c r="B5166" s="33" t="str">
        <f t="shared" si="321"/>
        <v>GSM</v>
      </c>
      <c r="C5166" s="33" t="str">
        <f t="shared" si="322"/>
        <v>28023-0000</v>
      </c>
      <c r="D5166" s="283" t="s">
        <v>6233</v>
      </c>
      <c r="E5166" s="64" t="s">
        <v>6234</v>
      </c>
      <c r="F5166" s="64" t="s">
        <v>230</v>
      </c>
      <c r="G5166" s="64" t="s">
        <v>1094</v>
      </c>
      <c r="H5166" s="64" t="s">
        <v>127</v>
      </c>
      <c r="I5166" s="64" t="s">
        <v>133</v>
      </c>
      <c r="J5166" s="67">
        <v>0</v>
      </c>
      <c r="K5166" s="62">
        <v>-84512000</v>
      </c>
      <c r="L5166" s="33" t="e">
        <f>HLOOKUP(B5166,#REF!,1,0)</f>
        <v>#REF!</v>
      </c>
      <c r="M5166" s="33" t="str">
        <f t="shared" si="323"/>
        <v>BS</v>
      </c>
    </row>
    <row r="5167" spans="1:13" s="33" customFormat="true" ht="12.75" customHeight="true">
      <c r="A5167" s="33" t="str">
        <f t="shared" si="320"/>
        <v>GSM - SH Dist</v>
      </c>
      <c r="B5167" s="33" t="str">
        <f t="shared" si="321"/>
        <v>GSM</v>
      </c>
      <c r="C5167" s="33" t="str">
        <f t="shared" si="322"/>
        <v>30700-0000</v>
      </c>
      <c r="D5167" s="283" t="s">
        <v>6235</v>
      </c>
      <c r="E5167" s="64" t="s">
        <v>319</v>
      </c>
      <c r="F5167" s="64" t="s">
        <v>230</v>
      </c>
      <c r="G5167" s="64" t="s">
        <v>142</v>
      </c>
      <c r="H5167" s="64" t="s">
        <v>143</v>
      </c>
      <c r="I5167" s="64" t="s">
        <v>144</v>
      </c>
      <c r="J5167" s="67">
        <v>0</v>
      </c>
      <c r="K5167" s="62">
        <v>-28074418.42</v>
      </c>
      <c r="L5167" s="33" t="e">
        <f>HLOOKUP(B5167,#REF!,1,0)</f>
        <v>#REF!</v>
      </c>
      <c r="M5167" s="33" t="str">
        <f t="shared" si="323"/>
        <v>BS</v>
      </c>
    </row>
    <row r="5168" spans="1:13" s="33" customFormat="true" ht="12.75" customHeight="true">
      <c r="A5168" s="33" t="str">
        <f t="shared" si="320"/>
        <v>GSM - Revenue</v>
      </c>
      <c r="B5168" s="33" t="str">
        <f t="shared" si="321"/>
        <v>GSM</v>
      </c>
      <c r="C5168" s="33" t="str">
        <f t="shared" si="322"/>
        <v>40110-0000</v>
      </c>
      <c r="D5168" s="283" t="s">
        <v>6236</v>
      </c>
      <c r="E5168" s="64" t="s">
        <v>3683</v>
      </c>
      <c r="F5168" s="64" t="s">
        <v>230</v>
      </c>
      <c r="G5168" s="64" t="s">
        <v>3684</v>
      </c>
      <c r="H5168" s="64" t="s">
        <v>2871</v>
      </c>
      <c r="I5168" s="64" t="s">
        <v>3685</v>
      </c>
      <c r="J5168" s="67">
        <v>0</v>
      </c>
      <c r="K5168" s="62">
        <v>-761459.6</v>
      </c>
      <c r="L5168" s="33" t="e">
        <f>HLOOKUP(B5168,#REF!,1,0)</f>
        <v>#REF!</v>
      </c>
      <c r="M5168" s="33" t="str">
        <f t="shared" si="323"/>
        <v>P&amp;L</v>
      </c>
    </row>
    <row r="5169" spans="1:13" s="33" customFormat="true" ht="12.75" customHeight="true">
      <c r="A5169" s="33" t="str">
        <f t="shared" si="320"/>
        <v>GSM - Revenue</v>
      </c>
      <c r="B5169" s="33" t="str">
        <f t="shared" si="321"/>
        <v>GSM</v>
      </c>
      <c r="C5169" s="33" t="str">
        <f t="shared" si="322"/>
        <v>40120-0000</v>
      </c>
      <c r="D5169" s="283" t="s">
        <v>6237</v>
      </c>
      <c r="E5169" s="64" t="s">
        <v>3687</v>
      </c>
      <c r="F5169" s="64" t="s">
        <v>230</v>
      </c>
      <c r="G5169" s="64" t="s">
        <v>3684</v>
      </c>
      <c r="H5169" s="64" t="s">
        <v>2871</v>
      </c>
      <c r="I5169" s="64" t="s">
        <v>3688</v>
      </c>
      <c r="J5169" s="67">
        <v>0</v>
      </c>
      <c r="K5169" s="62">
        <v>0</v>
      </c>
      <c r="L5169" s="33" t="e">
        <f>HLOOKUP(B5169,#REF!,1,0)</f>
        <v>#REF!</v>
      </c>
      <c r="M5169" s="33" t="str">
        <f t="shared" si="323"/>
        <v>P&amp;L</v>
      </c>
    </row>
    <row r="5170" spans="1:13" s="33" customFormat="true" ht="12.75" customHeight="true">
      <c r="A5170" s="33" t="str">
        <f t="shared" si="320"/>
        <v>GSM - Revenue</v>
      </c>
      <c r="B5170" s="33" t="str">
        <f t="shared" si="321"/>
        <v>GSM</v>
      </c>
      <c r="C5170" s="33" t="str">
        <f t="shared" si="322"/>
        <v>40130-0000</v>
      </c>
      <c r="D5170" s="283" t="s">
        <v>6238</v>
      </c>
      <c r="E5170" s="64" t="s">
        <v>3690</v>
      </c>
      <c r="F5170" s="64" t="s">
        <v>230</v>
      </c>
      <c r="G5170" s="64" t="s">
        <v>3684</v>
      </c>
      <c r="H5170" s="64" t="s">
        <v>2871</v>
      </c>
      <c r="I5170" s="64" t="s">
        <v>3691</v>
      </c>
      <c r="J5170" s="67">
        <v>0</v>
      </c>
      <c r="K5170" s="62">
        <v>0</v>
      </c>
      <c r="L5170" s="33" t="e">
        <f>HLOOKUP(B5170,#REF!,1,0)</f>
        <v>#REF!</v>
      </c>
      <c r="M5170" s="33" t="str">
        <f t="shared" si="323"/>
        <v>P&amp;L</v>
      </c>
    </row>
    <row r="5171" spans="1:13" s="33" customFormat="true" ht="12.75" customHeight="true">
      <c r="A5171" s="33" t="str">
        <f t="shared" si="320"/>
        <v>GSM - Revenue</v>
      </c>
      <c r="B5171" s="33" t="str">
        <f t="shared" si="321"/>
        <v>GSM</v>
      </c>
      <c r="C5171" s="33" t="str">
        <f t="shared" si="322"/>
        <v>40140-0000</v>
      </c>
      <c r="D5171" s="283" t="s">
        <v>6239</v>
      </c>
      <c r="E5171" s="64" t="s">
        <v>3948</v>
      </c>
      <c r="F5171" s="64" t="s">
        <v>230</v>
      </c>
      <c r="G5171" s="64" t="s">
        <v>3684</v>
      </c>
      <c r="H5171" s="64" t="s">
        <v>2871</v>
      </c>
      <c r="I5171" s="64" t="s">
        <v>3949</v>
      </c>
      <c r="J5171" s="67">
        <v>0</v>
      </c>
      <c r="K5171" s="62">
        <v>0</v>
      </c>
      <c r="L5171" s="33" t="e">
        <f>HLOOKUP(B5171,#REF!,1,0)</f>
        <v>#REF!</v>
      </c>
      <c r="M5171" s="33" t="str">
        <f t="shared" si="323"/>
        <v>P&amp;L</v>
      </c>
    </row>
    <row r="5172" spans="1:13" s="33" customFormat="true" ht="12.75" customHeight="true">
      <c r="A5172" s="33" t="str">
        <f t="shared" si="320"/>
        <v>GSM - Revenue</v>
      </c>
      <c r="B5172" s="33" t="str">
        <f t="shared" si="321"/>
        <v>GSM</v>
      </c>
      <c r="C5172" s="33" t="str">
        <f t="shared" si="322"/>
        <v>41110-0000</v>
      </c>
      <c r="D5172" s="283" t="s">
        <v>6240</v>
      </c>
      <c r="E5172" s="64" t="s">
        <v>3693</v>
      </c>
      <c r="F5172" s="64" t="s">
        <v>230</v>
      </c>
      <c r="G5172" s="64" t="s">
        <v>3694</v>
      </c>
      <c r="H5172" s="64" t="s">
        <v>2871</v>
      </c>
      <c r="I5172" s="64" t="s">
        <v>3695</v>
      </c>
      <c r="J5172" s="67">
        <v>0</v>
      </c>
      <c r="K5172" s="62">
        <v>55116.55</v>
      </c>
      <c r="L5172" s="33" t="e">
        <f>HLOOKUP(B5172,#REF!,1,0)</f>
        <v>#REF!</v>
      </c>
      <c r="M5172" s="33" t="str">
        <f t="shared" si="323"/>
        <v>P&amp;L</v>
      </c>
    </row>
    <row r="5173" spans="1:13" s="33" customFormat="true" ht="12.75" customHeight="true">
      <c r="A5173" s="33" t="str">
        <f t="shared" si="320"/>
        <v>GSM - Revenue</v>
      </c>
      <c r="B5173" s="33" t="str">
        <f t="shared" si="321"/>
        <v>GSM</v>
      </c>
      <c r="C5173" s="33" t="str">
        <f t="shared" si="322"/>
        <v>41121-0000</v>
      </c>
      <c r="D5173" s="283" t="s">
        <v>6241</v>
      </c>
      <c r="E5173" s="64" t="s">
        <v>3697</v>
      </c>
      <c r="F5173" s="64" t="s">
        <v>230</v>
      </c>
      <c r="G5173" s="64" t="s">
        <v>3694</v>
      </c>
      <c r="H5173" s="64" t="s">
        <v>2871</v>
      </c>
      <c r="I5173" s="64" t="s">
        <v>3698</v>
      </c>
      <c r="J5173" s="67">
        <v>0</v>
      </c>
      <c r="K5173" s="62">
        <v>103320.1</v>
      </c>
      <c r="L5173" s="33" t="e">
        <f>HLOOKUP(B5173,#REF!,1,0)</f>
        <v>#REF!</v>
      </c>
      <c r="M5173" s="33" t="str">
        <f t="shared" si="323"/>
        <v>P&amp;L</v>
      </c>
    </row>
    <row r="5174" spans="1:13" s="33" customFormat="true" ht="12.75" customHeight="true">
      <c r="A5174" s="33" t="str">
        <f t="shared" si="320"/>
        <v>GSM - Revenue</v>
      </c>
      <c r="B5174" s="33" t="str">
        <f t="shared" si="321"/>
        <v>GSM</v>
      </c>
      <c r="C5174" s="33" t="str">
        <f t="shared" si="322"/>
        <v>41122-0000</v>
      </c>
      <c r="D5174" s="283" t="s">
        <v>6242</v>
      </c>
      <c r="E5174" s="64" t="s">
        <v>3700</v>
      </c>
      <c r="F5174" s="64" t="s">
        <v>230</v>
      </c>
      <c r="G5174" s="64" t="s">
        <v>3694</v>
      </c>
      <c r="H5174" s="64" t="s">
        <v>2871</v>
      </c>
      <c r="I5174" s="64" t="s">
        <v>3701</v>
      </c>
      <c r="J5174" s="67">
        <v>0</v>
      </c>
      <c r="K5174" s="62">
        <v>-313736.86</v>
      </c>
      <c r="L5174" s="33" t="e">
        <f>HLOOKUP(B5174,#REF!,1,0)</f>
        <v>#REF!</v>
      </c>
      <c r="M5174" s="33" t="str">
        <f t="shared" si="323"/>
        <v>P&amp;L</v>
      </c>
    </row>
    <row r="5175" spans="1:13" s="33" customFormat="true" ht="12.75" customHeight="true">
      <c r="A5175" s="33" t="str">
        <f t="shared" si="320"/>
        <v>GSM - Revenue</v>
      </c>
      <c r="B5175" s="33" t="str">
        <f t="shared" si="321"/>
        <v>GSM</v>
      </c>
      <c r="C5175" s="33" t="str">
        <f t="shared" si="322"/>
        <v>41130-0000</v>
      </c>
      <c r="D5175" s="283" t="s">
        <v>6243</v>
      </c>
      <c r="E5175" s="64" t="s">
        <v>3703</v>
      </c>
      <c r="F5175" s="64" t="s">
        <v>230</v>
      </c>
      <c r="G5175" s="64" t="s">
        <v>3694</v>
      </c>
      <c r="H5175" s="64" t="s">
        <v>2871</v>
      </c>
      <c r="I5175" s="64" t="s">
        <v>3704</v>
      </c>
      <c r="J5175" s="67">
        <v>0</v>
      </c>
      <c r="K5175" s="62">
        <v>0</v>
      </c>
      <c r="L5175" s="33" t="e">
        <f>HLOOKUP(B5175,#REF!,1,0)</f>
        <v>#REF!</v>
      </c>
      <c r="M5175" s="33" t="str">
        <f t="shared" si="323"/>
        <v>P&amp;L</v>
      </c>
    </row>
    <row r="5176" spans="1:13" s="33" customFormat="true" ht="12.75" customHeight="true">
      <c r="A5176" s="33" t="str">
        <f t="shared" si="320"/>
        <v>GSM - Revenue</v>
      </c>
      <c r="B5176" s="33" t="str">
        <f t="shared" si="321"/>
        <v>GSM</v>
      </c>
      <c r="C5176" s="33" t="str">
        <f t="shared" si="322"/>
        <v>41140-0000</v>
      </c>
      <c r="D5176" s="283" t="s">
        <v>6244</v>
      </c>
      <c r="E5176" s="64" t="s">
        <v>3706</v>
      </c>
      <c r="F5176" s="64" t="s">
        <v>230</v>
      </c>
      <c r="G5176" s="64" t="s">
        <v>3694</v>
      </c>
      <c r="H5176" s="64" t="s">
        <v>2871</v>
      </c>
      <c r="I5176" s="64" t="s">
        <v>3707</v>
      </c>
      <c r="J5176" s="67">
        <v>0</v>
      </c>
      <c r="K5176" s="62">
        <v>45004</v>
      </c>
      <c r="L5176" s="33" t="e">
        <f>HLOOKUP(B5176,#REF!,1,0)</f>
        <v>#REF!</v>
      </c>
      <c r="M5176" s="33" t="str">
        <f t="shared" si="323"/>
        <v>P&amp;L</v>
      </c>
    </row>
    <row r="5177" spans="1:13" s="33" customFormat="true" ht="12.75" customHeight="true">
      <c r="A5177" s="33" t="str">
        <f t="shared" si="320"/>
        <v>GSM - Revenue</v>
      </c>
      <c r="B5177" s="33" t="str">
        <f t="shared" si="321"/>
        <v>GSM</v>
      </c>
      <c r="C5177" s="33" t="str">
        <f t="shared" si="322"/>
        <v>41150-0000</v>
      </c>
      <c r="D5177" s="283" t="s">
        <v>6245</v>
      </c>
      <c r="E5177" s="64" t="s">
        <v>3709</v>
      </c>
      <c r="F5177" s="64" t="s">
        <v>230</v>
      </c>
      <c r="G5177" s="64" t="s">
        <v>3694</v>
      </c>
      <c r="H5177" s="64" t="s">
        <v>2871</v>
      </c>
      <c r="I5177" s="64" t="s">
        <v>3710</v>
      </c>
      <c r="J5177" s="67">
        <v>0</v>
      </c>
      <c r="K5177" s="62">
        <v>7393</v>
      </c>
      <c r="L5177" s="33" t="e">
        <f>HLOOKUP(B5177,#REF!,1,0)</f>
        <v>#REF!</v>
      </c>
      <c r="M5177" s="33" t="str">
        <f t="shared" si="323"/>
        <v>P&amp;L</v>
      </c>
    </row>
    <row r="5178" spans="1:13" s="33" customFormat="true" ht="12.75" customHeight="true">
      <c r="A5178" s="33" t="str">
        <f t="shared" si="320"/>
        <v>GSM - Revenue</v>
      </c>
      <c r="B5178" s="33" t="str">
        <f t="shared" si="321"/>
        <v>GSM</v>
      </c>
      <c r="C5178" s="33" t="str">
        <f t="shared" si="322"/>
        <v>41160-0000</v>
      </c>
      <c r="D5178" s="283" t="s">
        <v>6246</v>
      </c>
      <c r="E5178" s="64" t="s">
        <v>3957</v>
      </c>
      <c r="F5178" s="64" t="s">
        <v>230</v>
      </c>
      <c r="G5178" s="64" t="s">
        <v>3694</v>
      </c>
      <c r="H5178" s="64" t="s">
        <v>2871</v>
      </c>
      <c r="I5178" s="64" t="s">
        <v>3701</v>
      </c>
      <c r="J5178" s="67">
        <v>0</v>
      </c>
      <c r="K5178" s="62">
        <v>0</v>
      </c>
      <c r="L5178" s="33" t="e">
        <f>HLOOKUP(B5178,#REF!,1,0)</f>
        <v>#REF!</v>
      </c>
      <c r="M5178" s="33" t="str">
        <f t="shared" si="323"/>
        <v>P&amp;L</v>
      </c>
    </row>
    <row r="5179" spans="1:13" s="33" customFormat="true" ht="12.75" customHeight="true">
      <c r="A5179" s="33" t="str">
        <f t="shared" si="320"/>
        <v>GSM - Revenue</v>
      </c>
      <c r="B5179" s="33" t="str">
        <f t="shared" si="321"/>
        <v>GSM</v>
      </c>
      <c r="C5179" s="33" t="str">
        <f t="shared" si="322"/>
        <v>41999-0000</v>
      </c>
      <c r="D5179" s="283" t="s">
        <v>6247</v>
      </c>
      <c r="E5179" s="64" t="s">
        <v>3712</v>
      </c>
      <c r="F5179" s="64" t="s">
        <v>230</v>
      </c>
      <c r="G5179" s="64" t="s">
        <v>3713</v>
      </c>
      <c r="H5179" s="64" t="s">
        <v>2871</v>
      </c>
      <c r="I5179" s="64" t="s">
        <v>3714</v>
      </c>
      <c r="J5179" s="67">
        <v>0</v>
      </c>
      <c r="K5179" s="62">
        <v>864362.81</v>
      </c>
      <c r="L5179" s="33" t="e">
        <f>HLOOKUP(B5179,#REF!,1,0)</f>
        <v>#REF!</v>
      </c>
      <c r="M5179" s="33" t="str">
        <f t="shared" si="323"/>
        <v>P&amp;L</v>
      </c>
    </row>
    <row r="5180" spans="1:13" s="33" customFormat="true" ht="12.75" customHeight="true">
      <c r="A5180" s="33" t="str">
        <f t="shared" si="320"/>
        <v>GSM - Revenue</v>
      </c>
      <c r="B5180" s="33" t="str">
        <f t="shared" si="321"/>
        <v>GSM</v>
      </c>
      <c r="C5180" s="33" t="str">
        <f t="shared" si="322"/>
        <v>47400-0000</v>
      </c>
      <c r="D5180" s="283" t="s">
        <v>6248</v>
      </c>
      <c r="E5180" s="64" t="s">
        <v>3716</v>
      </c>
      <c r="F5180" s="64" t="s">
        <v>230</v>
      </c>
      <c r="G5180" s="64" t="s">
        <v>3717</v>
      </c>
      <c r="H5180" s="64" t="s">
        <v>2871</v>
      </c>
      <c r="I5180" s="64" t="s">
        <v>3718</v>
      </c>
      <c r="J5180" s="67">
        <v>0</v>
      </c>
      <c r="K5180" s="62">
        <v>-864362.81</v>
      </c>
      <c r="L5180" s="33" t="e">
        <f>HLOOKUP(B5180,#REF!,1,0)</f>
        <v>#REF!</v>
      </c>
      <c r="M5180" s="33" t="str">
        <f t="shared" si="323"/>
        <v>P&amp;L</v>
      </c>
    </row>
    <row r="5181" spans="1:13" s="33" customFormat="true" ht="12.75" customHeight="true">
      <c r="A5181" s="33" t="str">
        <f t="shared" si="320"/>
        <v>GSM - Revenue</v>
      </c>
      <c r="B5181" s="33" t="str">
        <f t="shared" si="321"/>
        <v>GSM</v>
      </c>
      <c r="C5181" s="33" t="str">
        <f t="shared" si="322"/>
        <v>47420-0000</v>
      </c>
      <c r="D5181" s="283" t="s">
        <v>6249</v>
      </c>
      <c r="E5181" s="64" t="s">
        <v>4154</v>
      </c>
      <c r="F5181" s="64" t="s">
        <v>230</v>
      </c>
      <c r="G5181" s="64" t="s">
        <v>3717</v>
      </c>
      <c r="H5181" s="64" t="s">
        <v>2871</v>
      </c>
      <c r="I5181" s="64" t="s">
        <v>4155</v>
      </c>
      <c r="J5181" s="67">
        <v>0</v>
      </c>
      <c r="K5181" s="62">
        <v>0</v>
      </c>
      <c r="L5181" s="33" t="e">
        <f>HLOOKUP(B5181,#REF!,1,0)</f>
        <v>#REF!</v>
      </c>
      <c r="M5181" s="33" t="str">
        <f t="shared" si="323"/>
        <v>P&amp;L</v>
      </c>
    </row>
    <row r="5182" spans="1:13" s="33" customFormat="true" ht="12.75" customHeight="true">
      <c r="A5182" s="33" t="str">
        <f t="shared" si="320"/>
        <v>GSM - Revenue</v>
      </c>
      <c r="B5182" s="33" t="str">
        <f t="shared" si="321"/>
        <v>GSM</v>
      </c>
      <c r="C5182" s="33" t="str">
        <f t="shared" si="322"/>
        <v>47440-0000</v>
      </c>
      <c r="D5182" s="283" t="s">
        <v>6250</v>
      </c>
      <c r="E5182" s="64" t="s">
        <v>3720</v>
      </c>
      <c r="F5182" s="64" t="s">
        <v>230</v>
      </c>
      <c r="G5182" s="64" t="s">
        <v>3717</v>
      </c>
      <c r="H5182" s="64" t="s">
        <v>2871</v>
      </c>
      <c r="I5182" s="64" t="s">
        <v>3721</v>
      </c>
      <c r="J5182" s="67">
        <v>0</v>
      </c>
      <c r="K5182" s="62">
        <v>-20332.1</v>
      </c>
      <c r="L5182" s="33" t="e">
        <f>HLOOKUP(B5182,#REF!,1,0)</f>
        <v>#REF!</v>
      </c>
      <c r="M5182" s="33" t="str">
        <f t="shared" si="323"/>
        <v>P&amp;L</v>
      </c>
    </row>
    <row r="5183" spans="1:13" s="33" customFormat="true" ht="12.75" customHeight="true">
      <c r="A5183" s="33" t="str">
        <f t="shared" si="320"/>
        <v>GSM - Revenue</v>
      </c>
      <c r="B5183" s="33" t="str">
        <f t="shared" si="321"/>
        <v>GSM</v>
      </c>
      <c r="C5183" s="33" t="str">
        <f t="shared" si="322"/>
        <v>47450-0000</v>
      </c>
      <c r="D5183" s="283" t="s">
        <v>6251</v>
      </c>
      <c r="E5183" s="64" t="s">
        <v>3723</v>
      </c>
      <c r="F5183" s="64" t="s">
        <v>230</v>
      </c>
      <c r="G5183" s="64" t="s">
        <v>3717</v>
      </c>
      <c r="H5183" s="64" t="s">
        <v>2871</v>
      </c>
      <c r="I5183" s="64" t="s">
        <v>3724</v>
      </c>
      <c r="J5183" s="67">
        <v>0</v>
      </c>
      <c r="K5183" s="62">
        <v>-5169.05</v>
      </c>
      <c r="L5183" s="33" t="e">
        <f>HLOOKUP(B5183,#REF!,1,0)</f>
        <v>#REF!</v>
      </c>
      <c r="M5183" s="33" t="str">
        <f t="shared" si="323"/>
        <v>P&amp;L</v>
      </c>
    </row>
    <row r="5184" spans="1:13" s="33" customFormat="true" ht="12.75" customHeight="true">
      <c r="A5184" s="33" t="str">
        <f t="shared" si="320"/>
        <v>GSM - Revenue</v>
      </c>
      <c r="B5184" s="33" t="str">
        <f t="shared" si="321"/>
        <v>GSM</v>
      </c>
      <c r="C5184" s="33" t="str">
        <f t="shared" si="322"/>
        <v>47460-0000</v>
      </c>
      <c r="D5184" s="283" t="s">
        <v>6252</v>
      </c>
      <c r="E5184" s="64" t="s">
        <v>3726</v>
      </c>
      <c r="F5184" s="64" t="s">
        <v>230</v>
      </c>
      <c r="G5184" s="64" t="s">
        <v>3717</v>
      </c>
      <c r="H5184" s="64" t="s">
        <v>2871</v>
      </c>
      <c r="I5184" s="64" t="s">
        <v>3727</v>
      </c>
      <c r="J5184" s="67">
        <v>0</v>
      </c>
      <c r="K5184" s="62">
        <v>-4500</v>
      </c>
      <c r="L5184" s="33" t="e">
        <f>HLOOKUP(B5184,#REF!,1,0)</f>
        <v>#REF!</v>
      </c>
      <c r="M5184" s="33" t="str">
        <f t="shared" si="323"/>
        <v>P&amp;L</v>
      </c>
    </row>
    <row r="5185" spans="1:13" s="33" customFormat="true" ht="12.75" customHeight="true">
      <c r="A5185" s="33" t="str">
        <f t="shared" si="320"/>
        <v>GSM - Revenue</v>
      </c>
      <c r="B5185" s="33" t="str">
        <f t="shared" si="321"/>
        <v>GSM</v>
      </c>
      <c r="C5185" s="33" t="str">
        <f t="shared" si="322"/>
        <v>47480-0000</v>
      </c>
      <c r="D5185" s="283" t="s">
        <v>6253</v>
      </c>
      <c r="E5185" s="64" t="s">
        <v>3729</v>
      </c>
      <c r="F5185" s="64" t="s">
        <v>230</v>
      </c>
      <c r="G5185" s="64" t="s">
        <v>3717</v>
      </c>
      <c r="H5185" s="64" t="s">
        <v>2871</v>
      </c>
      <c r="I5185" s="64" t="s">
        <v>3721</v>
      </c>
      <c r="J5185" s="67">
        <v>0</v>
      </c>
      <c r="K5185" s="62">
        <v>-1530</v>
      </c>
      <c r="L5185" s="33" t="e">
        <f>HLOOKUP(B5185,#REF!,1,0)</f>
        <v>#REF!</v>
      </c>
      <c r="M5185" s="33" t="str">
        <f t="shared" si="323"/>
        <v>P&amp;L</v>
      </c>
    </row>
    <row r="5186" spans="1:13" s="33" customFormat="true" ht="12.75" customHeight="true">
      <c r="A5186" s="33" t="str">
        <f t="shared" ref="A5186:A5249" si="324">B5186&amp;" - "&amp;TRIM(H5186)</f>
        <v>GSM - Revenue</v>
      </c>
      <c r="B5186" s="33" t="str">
        <f t="shared" ref="B5186:B5249" si="325">LEFT(D5186,3)</f>
        <v>GSM</v>
      </c>
      <c r="C5186" s="33" t="str">
        <f t="shared" ref="C5186:C5249" si="326">RIGHT(D5186,10)</f>
        <v>47490-0000</v>
      </c>
      <c r="D5186" s="283" t="s">
        <v>6254</v>
      </c>
      <c r="E5186" s="64" t="s">
        <v>3731</v>
      </c>
      <c r="F5186" s="64" t="s">
        <v>230</v>
      </c>
      <c r="G5186" s="64" t="s">
        <v>3717</v>
      </c>
      <c r="H5186" s="64" t="s">
        <v>2871</v>
      </c>
      <c r="I5186" s="64" t="s">
        <v>3721</v>
      </c>
      <c r="J5186" s="67">
        <v>0</v>
      </c>
      <c r="K5186" s="62">
        <v>-2014.69</v>
      </c>
      <c r="L5186" s="33" t="e">
        <f>HLOOKUP(B5186,#REF!,1,0)</f>
        <v>#REF!</v>
      </c>
      <c r="M5186" s="33" t="str">
        <f t="shared" ref="M5186:M5249" si="327">IF(VALUE(LEFT(C5186,5))&gt;40000,"P&amp;L","BS")</f>
        <v>P&amp;L</v>
      </c>
    </row>
    <row r="5187" spans="1:13" s="33" customFormat="true" ht="12.75" customHeight="true">
      <c r="A5187" s="33" t="str">
        <f t="shared" si="324"/>
        <v>GSM - Revenue</v>
      </c>
      <c r="B5187" s="33" t="str">
        <f t="shared" si="325"/>
        <v>GSM</v>
      </c>
      <c r="C5187" s="33" t="str">
        <f t="shared" si="326"/>
        <v>47491-0000</v>
      </c>
      <c r="D5187" s="283" t="s">
        <v>6255</v>
      </c>
      <c r="E5187" s="64" t="s">
        <v>3733</v>
      </c>
      <c r="F5187" s="64" t="s">
        <v>230</v>
      </c>
      <c r="G5187" s="64" t="s">
        <v>3717</v>
      </c>
      <c r="H5187" s="64" t="s">
        <v>2871</v>
      </c>
      <c r="I5187" s="64" t="s">
        <v>3734</v>
      </c>
      <c r="J5187" s="67">
        <v>0</v>
      </c>
      <c r="K5187" s="62">
        <v>1376.72</v>
      </c>
      <c r="L5187" s="33" t="e">
        <f>HLOOKUP(B5187,#REF!,1,0)</f>
        <v>#REF!</v>
      </c>
      <c r="M5187" s="33" t="str">
        <f t="shared" si="327"/>
        <v>P&amp;L</v>
      </c>
    </row>
    <row r="5188" spans="1:13" s="33" customFormat="true" ht="14.25" customHeight="true">
      <c r="A5188" s="33" t="str">
        <f t="shared" si="324"/>
        <v>GSM - Revenue</v>
      </c>
      <c r="B5188" s="33" t="str">
        <f t="shared" si="325"/>
        <v>GSM</v>
      </c>
      <c r="C5188" s="33" t="str">
        <f t="shared" si="326"/>
        <v>47492-0000</v>
      </c>
      <c r="D5188" s="283" t="s">
        <v>6256</v>
      </c>
      <c r="E5188" s="64" t="s">
        <v>3736</v>
      </c>
      <c r="F5188" s="64" t="s">
        <v>230</v>
      </c>
      <c r="G5188" s="64" t="s">
        <v>3717</v>
      </c>
      <c r="H5188" s="33" t="s">
        <v>2871</v>
      </c>
      <c r="I5188" s="64" t="s">
        <v>3737</v>
      </c>
      <c r="J5188" s="67">
        <v>0</v>
      </c>
      <c r="K5188" s="62">
        <v>0</v>
      </c>
      <c r="L5188" s="33" t="e">
        <f>HLOOKUP(B5188,#REF!,1,0)</f>
        <v>#REF!</v>
      </c>
      <c r="M5188" s="33" t="str">
        <f t="shared" si="327"/>
        <v>P&amp;L</v>
      </c>
    </row>
    <row r="5189" spans="1:13" s="33" customFormat="true" ht="12.75" customHeight="true">
      <c r="A5189" s="33" t="str">
        <f t="shared" si="324"/>
        <v>GSM - CGS</v>
      </c>
      <c r="B5189" s="33" t="str">
        <f t="shared" si="325"/>
        <v>GSM</v>
      </c>
      <c r="C5189" s="33" t="str">
        <f t="shared" si="326"/>
        <v>51008-0000</v>
      </c>
      <c r="D5189" s="283" t="s">
        <v>6257</v>
      </c>
      <c r="E5189" s="64" t="s">
        <v>3743</v>
      </c>
      <c r="F5189" s="64" t="s">
        <v>230</v>
      </c>
      <c r="G5189" s="64" t="s">
        <v>3740</v>
      </c>
      <c r="H5189" s="64" t="s">
        <v>1875</v>
      </c>
      <c r="I5189" s="64" t="s">
        <v>3744</v>
      </c>
      <c r="J5189" s="67">
        <v>0</v>
      </c>
      <c r="K5189" s="62">
        <v>6760.95</v>
      </c>
      <c r="L5189" s="33" t="e">
        <f>HLOOKUP(B5189,#REF!,1,0)</f>
        <v>#REF!</v>
      </c>
      <c r="M5189" s="33" t="str">
        <f t="shared" si="327"/>
        <v>P&amp;L</v>
      </c>
    </row>
    <row r="5190" spans="1:13" s="33" customFormat="true" ht="12.75" customHeight="true">
      <c r="A5190" s="33" t="str">
        <f t="shared" si="324"/>
        <v>GSM - CGS</v>
      </c>
      <c r="B5190" s="33" t="str">
        <f t="shared" si="325"/>
        <v>GSM</v>
      </c>
      <c r="C5190" s="33" t="str">
        <f t="shared" si="326"/>
        <v>51015-0000</v>
      </c>
      <c r="D5190" s="283" t="s">
        <v>6258</v>
      </c>
      <c r="E5190" s="64" t="s">
        <v>3755</v>
      </c>
      <c r="F5190" s="64" t="s">
        <v>230</v>
      </c>
      <c r="G5190" s="64" t="s">
        <v>3740</v>
      </c>
      <c r="H5190" s="64" t="s">
        <v>1875</v>
      </c>
      <c r="I5190" s="64" t="s">
        <v>3756</v>
      </c>
      <c r="J5190" s="67">
        <v>0</v>
      </c>
      <c r="K5190" s="62">
        <v>1500</v>
      </c>
      <c r="L5190" s="33" t="e">
        <f>HLOOKUP(B5190,#REF!,1,0)</f>
        <v>#REF!</v>
      </c>
      <c r="M5190" s="33" t="str">
        <f t="shared" si="327"/>
        <v>P&amp;L</v>
      </c>
    </row>
    <row r="5191" spans="1:13" s="33" customFormat="true" ht="12.75" customHeight="true">
      <c r="A5191" s="33" t="str">
        <f t="shared" si="324"/>
        <v>GSM - CGS</v>
      </c>
      <c r="B5191" s="33" t="str">
        <f t="shared" si="325"/>
        <v>GSM</v>
      </c>
      <c r="C5191" s="33" t="str">
        <f t="shared" si="326"/>
        <v>51017-0000</v>
      </c>
      <c r="D5191" s="283" t="s">
        <v>6259</v>
      </c>
      <c r="E5191" s="64" t="s">
        <v>3758</v>
      </c>
      <c r="F5191" s="64" t="s">
        <v>230</v>
      </c>
      <c r="G5191" s="64" t="s">
        <v>3160</v>
      </c>
      <c r="H5191" s="64" t="s">
        <v>1875</v>
      </c>
      <c r="I5191" s="64" t="s">
        <v>3759</v>
      </c>
      <c r="J5191" s="67">
        <v>0</v>
      </c>
      <c r="K5191" s="62">
        <v>999.9</v>
      </c>
      <c r="L5191" s="33" t="e">
        <f>HLOOKUP(B5191,#REF!,1,0)</f>
        <v>#REF!</v>
      </c>
      <c r="M5191" s="33" t="str">
        <f t="shared" si="327"/>
        <v>P&amp;L</v>
      </c>
    </row>
    <row r="5192" spans="1:13" s="33" customFormat="true" ht="12.75" customHeight="true">
      <c r="A5192" s="33" t="str">
        <f t="shared" si="324"/>
        <v>GSM - CGS</v>
      </c>
      <c r="B5192" s="33" t="str">
        <f t="shared" si="325"/>
        <v>GSM</v>
      </c>
      <c r="C5192" s="33" t="str">
        <f t="shared" si="326"/>
        <v>51018-0000</v>
      </c>
      <c r="D5192" s="283" t="s">
        <v>6260</v>
      </c>
      <c r="E5192" s="64" t="s">
        <v>3984</v>
      </c>
      <c r="F5192" s="64" t="s">
        <v>230</v>
      </c>
      <c r="G5192" s="64" t="s">
        <v>3740</v>
      </c>
      <c r="H5192" s="64" t="s">
        <v>1875</v>
      </c>
      <c r="I5192" s="64" t="s">
        <v>3319</v>
      </c>
      <c r="J5192" s="67">
        <v>0</v>
      </c>
      <c r="K5192" s="62">
        <v>54.95</v>
      </c>
      <c r="L5192" s="33" t="e">
        <f>HLOOKUP(B5192,#REF!,1,0)</f>
        <v>#REF!</v>
      </c>
      <c r="M5192" s="33" t="str">
        <f t="shared" si="327"/>
        <v>P&amp;L</v>
      </c>
    </row>
    <row r="5193" spans="1:13" s="33" customFormat="true" ht="12.75" customHeight="true">
      <c r="A5193" s="33" t="str">
        <f t="shared" si="324"/>
        <v>GSM - CGS</v>
      </c>
      <c r="B5193" s="33" t="str">
        <f t="shared" si="325"/>
        <v>GSM</v>
      </c>
      <c r="C5193" s="33" t="str">
        <f t="shared" si="326"/>
        <v>51020-0000</v>
      </c>
      <c r="D5193" s="283" t="s">
        <v>6261</v>
      </c>
      <c r="E5193" s="64" t="s">
        <v>3763</v>
      </c>
      <c r="F5193" s="64" t="s">
        <v>230</v>
      </c>
      <c r="G5193" s="64" t="s">
        <v>3740</v>
      </c>
      <c r="H5193" s="64" t="s">
        <v>1875</v>
      </c>
      <c r="I5193" s="64" t="s">
        <v>3345</v>
      </c>
      <c r="J5193" s="67">
        <v>0</v>
      </c>
      <c r="K5193" s="62">
        <v>13.78</v>
      </c>
      <c r="L5193" s="33" t="e">
        <f>HLOOKUP(B5193,#REF!,1,0)</f>
        <v>#REF!</v>
      </c>
      <c r="M5193" s="33" t="str">
        <f t="shared" si="327"/>
        <v>P&amp;L</v>
      </c>
    </row>
    <row r="5194" spans="1:13" s="33" customFormat="true" ht="12.75" customHeight="true">
      <c r="A5194" s="33" t="str">
        <f t="shared" si="324"/>
        <v>GSM - CGS</v>
      </c>
      <c r="B5194" s="33" t="str">
        <f t="shared" si="325"/>
        <v>GSM</v>
      </c>
      <c r="C5194" s="33" t="str">
        <f t="shared" si="326"/>
        <v>53001-0000</v>
      </c>
      <c r="D5194" s="283" t="s">
        <v>6262</v>
      </c>
      <c r="E5194" s="64" t="s">
        <v>3781</v>
      </c>
      <c r="F5194" s="64" t="s">
        <v>230</v>
      </c>
      <c r="G5194" s="64" t="s">
        <v>3160</v>
      </c>
      <c r="H5194" s="64" t="s">
        <v>1875</v>
      </c>
      <c r="I5194" s="64" t="s">
        <v>3782</v>
      </c>
      <c r="J5194" s="67">
        <v>0</v>
      </c>
      <c r="K5194" s="62">
        <v>1123.42</v>
      </c>
      <c r="L5194" s="33" t="e">
        <f>HLOOKUP(B5194,#REF!,1,0)</f>
        <v>#REF!</v>
      </c>
      <c r="M5194" s="33" t="str">
        <f t="shared" si="327"/>
        <v>P&amp;L</v>
      </c>
    </row>
    <row r="5195" spans="1:13" s="33" customFormat="true" ht="12.75" customHeight="true">
      <c r="A5195" s="33" t="str">
        <f t="shared" si="324"/>
        <v>GSM - CGS</v>
      </c>
      <c r="B5195" s="33" t="str">
        <f t="shared" si="325"/>
        <v>GSM</v>
      </c>
      <c r="C5195" s="33" t="str">
        <f t="shared" si="326"/>
        <v>53002-0000</v>
      </c>
      <c r="D5195" s="283" t="s">
        <v>6263</v>
      </c>
      <c r="E5195" s="64" t="s">
        <v>3784</v>
      </c>
      <c r="F5195" s="64" t="s">
        <v>230</v>
      </c>
      <c r="G5195" s="64" t="s">
        <v>3160</v>
      </c>
      <c r="H5195" s="64" t="s">
        <v>1875</v>
      </c>
      <c r="I5195" s="64" t="s">
        <v>3785</v>
      </c>
      <c r="J5195" s="67">
        <v>0</v>
      </c>
      <c r="K5195" s="62">
        <v>3175.83</v>
      </c>
      <c r="L5195" s="33" t="e">
        <f>HLOOKUP(B5195,#REF!,1,0)</f>
        <v>#REF!</v>
      </c>
      <c r="M5195" s="33" t="str">
        <f t="shared" si="327"/>
        <v>P&amp;L</v>
      </c>
    </row>
    <row r="5196" spans="1:13" s="33" customFormat="true" ht="12.75" customHeight="true">
      <c r="A5196" s="33" t="str">
        <f t="shared" si="324"/>
        <v>GSM - CGS</v>
      </c>
      <c r="B5196" s="33" t="str">
        <f t="shared" si="325"/>
        <v>GSM</v>
      </c>
      <c r="C5196" s="33" t="str">
        <f t="shared" si="326"/>
        <v>53003-0000</v>
      </c>
      <c r="D5196" s="283" t="s">
        <v>6264</v>
      </c>
      <c r="E5196" s="64" t="s">
        <v>3787</v>
      </c>
      <c r="F5196" s="64" t="s">
        <v>230</v>
      </c>
      <c r="G5196" s="64" t="s">
        <v>3160</v>
      </c>
      <c r="H5196" s="64" t="s">
        <v>1875</v>
      </c>
      <c r="I5196" s="64" t="s">
        <v>3788</v>
      </c>
      <c r="J5196" s="67">
        <v>0</v>
      </c>
      <c r="K5196" s="62">
        <v>366</v>
      </c>
      <c r="L5196" s="33" t="e">
        <f>HLOOKUP(B5196,#REF!,1,0)</f>
        <v>#REF!</v>
      </c>
      <c r="M5196" s="33" t="str">
        <f t="shared" si="327"/>
        <v>P&amp;L</v>
      </c>
    </row>
    <row r="5197" spans="1:13" s="33" customFormat="true" ht="12.75" customHeight="true">
      <c r="A5197" s="33" t="str">
        <f t="shared" si="324"/>
        <v>GSM - CGS</v>
      </c>
      <c r="B5197" s="33" t="str">
        <f t="shared" si="325"/>
        <v>GSM</v>
      </c>
      <c r="C5197" s="33" t="str">
        <f t="shared" si="326"/>
        <v>53004-0000</v>
      </c>
      <c r="D5197" s="283" t="s">
        <v>6265</v>
      </c>
      <c r="E5197" s="64" t="s">
        <v>3790</v>
      </c>
      <c r="F5197" s="64" t="s">
        <v>230</v>
      </c>
      <c r="G5197" s="64" t="s">
        <v>3160</v>
      </c>
      <c r="H5197" s="64" t="s">
        <v>1875</v>
      </c>
      <c r="I5197" s="64" t="s">
        <v>3791</v>
      </c>
      <c r="J5197" s="67">
        <v>0</v>
      </c>
      <c r="K5197" s="62">
        <v>6537.46</v>
      </c>
      <c r="L5197" s="33" t="e">
        <f>HLOOKUP(B5197,#REF!,1,0)</f>
        <v>#REF!</v>
      </c>
      <c r="M5197" s="33" t="str">
        <f t="shared" si="327"/>
        <v>P&amp;L</v>
      </c>
    </row>
    <row r="5198" spans="1:13" s="33" customFormat="true" ht="12.75" customHeight="true">
      <c r="A5198" s="33" t="str">
        <f t="shared" si="324"/>
        <v>GSM - CGS</v>
      </c>
      <c r="B5198" s="33" t="str">
        <f t="shared" si="325"/>
        <v>GSM</v>
      </c>
      <c r="C5198" s="33" t="str">
        <f t="shared" si="326"/>
        <v>53006-0000</v>
      </c>
      <c r="D5198" s="283" t="s">
        <v>6266</v>
      </c>
      <c r="E5198" s="64" t="s">
        <v>3796</v>
      </c>
      <c r="F5198" s="64" t="s">
        <v>230</v>
      </c>
      <c r="G5198" s="64" t="s">
        <v>3160</v>
      </c>
      <c r="H5198" s="64" t="s">
        <v>1875</v>
      </c>
      <c r="I5198" s="64" t="s">
        <v>3797</v>
      </c>
      <c r="J5198" s="67">
        <v>0</v>
      </c>
      <c r="K5198" s="62">
        <v>0</v>
      </c>
      <c r="L5198" s="33" t="e">
        <f>HLOOKUP(B5198,#REF!,1,0)</f>
        <v>#REF!</v>
      </c>
      <c r="M5198" s="33" t="str">
        <f t="shared" si="327"/>
        <v>P&amp;L</v>
      </c>
    </row>
    <row r="5199" spans="1:13" s="33" customFormat="true" ht="12.75" customHeight="true">
      <c r="A5199" s="33" t="str">
        <f t="shared" si="324"/>
        <v>GSM - CGS</v>
      </c>
      <c r="B5199" s="33" t="str">
        <f t="shared" si="325"/>
        <v>GSM</v>
      </c>
      <c r="C5199" s="33" t="str">
        <f t="shared" si="326"/>
        <v>54001-0000</v>
      </c>
      <c r="D5199" s="283" t="s">
        <v>6267</v>
      </c>
      <c r="E5199" s="64" t="s">
        <v>4008</v>
      </c>
      <c r="F5199" s="64" t="s">
        <v>230</v>
      </c>
      <c r="G5199" s="64" t="s">
        <v>3800</v>
      </c>
      <c r="H5199" s="64" t="s">
        <v>1875</v>
      </c>
      <c r="I5199" s="64" t="s">
        <v>4009</v>
      </c>
      <c r="J5199" s="67">
        <v>0</v>
      </c>
      <c r="K5199" s="62">
        <v>0</v>
      </c>
      <c r="L5199" s="33" t="e">
        <f>HLOOKUP(B5199,#REF!,1,0)</f>
        <v>#REF!</v>
      </c>
      <c r="M5199" s="33" t="str">
        <f t="shared" si="327"/>
        <v>P&amp;L</v>
      </c>
    </row>
    <row r="5200" spans="1:13" s="33" customFormat="true" ht="12.75" customHeight="true">
      <c r="A5200" s="33" t="str">
        <f t="shared" si="324"/>
        <v>GSM - CGS</v>
      </c>
      <c r="B5200" s="33" t="str">
        <f t="shared" si="325"/>
        <v>GSM</v>
      </c>
      <c r="C5200" s="33" t="str">
        <f t="shared" si="326"/>
        <v>54002-0000</v>
      </c>
      <c r="D5200" s="283" t="s">
        <v>6268</v>
      </c>
      <c r="E5200" s="64" t="s">
        <v>3799</v>
      </c>
      <c r="F5200" s="64" t="s">
        <v>230</v>
      </c>
      <c r="G5200" s="64" t="s">
        <v>3800</v>
      </c>
      <c r="H5200" s="64" t="s">
        <v>1875</v>
      </c>
      <c r="I5200" s="64" t="s">
        <v>3801</v>
      </c>
      <c r="J5200" s="67">
        <v>0</v>
      </c>
      <c r="K5200" s="62">
        <v>745</v>
      </c>
      <c r="L5200" s="33" t="e">
        <f>HLOOKUP(B5200,#REF!,1,0)</f>
        <v>#REF!</v>
      </c>
      <c r="M5200" s="33" t="str">
        <f t="shared" si="327"/>
        <v>P&amp;L</v>
      </c>
    </row>
    <row r="5201" spans="1:13" s="33" customFormat="true" ht="12.75" customHeight="true">
      <c r="A5201" s="33" t="str">
        <f t="shared" si="324"/>
        <v>GSM - CGS</v>
      </c>
      <c r="B5201" s="33" t="str">
        <f t="shared" si="325"/>
        <v>GSM</v>
      </c>
      <c r="C5201" s="33" t="str">
        <f t="shared" si="326"/>
        <v>54003-0000</v>
      </c>
      <c r="D5201" s="283" t="s">
        <v>6269</v>
      </c>
      <c r="E5201" s="64" t="s">
        <v>3803</v>
      </c>
      <c r="F5201" s="64" t="s">
        <v>230</v>
      </c>
      <c r="G5201" s="64" t="s">
        <v>3800</v>
      </c>
      <c r="H5201" s="64" t="s">
        <v>1875</v>
      </c>
      <c r="I5201" s="64" t="s">
        <v>3804</v>
      </c>
      <c r="J5201" s="67">
        <v>0</v>
      </c>
      <c r="K5201" s="62">
        <v>0</v>
      </c>
      <c r="L5201" s="33" t="e">
        <f>HLOOKUP(B5201,#REF!,1,0)</f>
        <v>#REF!</v>
      </c>
      <c r="M5201" s="33" t="str">
        <f t="shared" si="327"/>
        <v>P&amp;L</v>
      </c>
    </row>
    <row r="5202" spans="1:13" s="33" customFormat="true" ht="12.75" customHeight="true">
      <c r="A5202" s="33" t="str">
        <f t="shared" si="324"/>
        <v>GSM - CGS</v>
      </c>
      <c r="B5202" s="33" t="str">
        <f t="shared" si="325"/>
        <v>GSM</v>
      </c>
      <c r="C5202" s="33" t="str">
        <f t="shared" si="326"/>
        <v>54004-0000</v>
      </c>
      <c r="D5202" s="283" t="s">
        <v>6270</v>
      </c>
      <c r="E5202" s="64" t="s">
        <v>3806</v>
      </c>
      <c r="F5202" s="64" t="s">
        <v>230</v>
      </c>
      <c r="G5202" s="64" t="s">
        <v>3800</v>
      </c>
      <c r="H5202" s="64" t="s">
        <v>1875</v>
      </c>
      <c r="I5202" s="64" t="s">
        <v>3807</v>
      </c>
      <c r="J5202" s="67">
        <v>0</v>
      </c>
      <c r="K5202" s="62">
        <v>28726.06</v>
      </c>
      <c r="L5202" s="33" t="e">
        <f>HLOOKUP(B5202,#REF!,1,0)</f>
        <v>#REF!</v>
      </c>
      <c r="M5202" s="33" t="str">
        <f t="shared" si="327"/>
        <v>P&amp;L</v>
      </c>
    </row>
    <row r="5203" spans="1:13" s="33" customFormat="true" ht="12.75" customHeight="true">
      <c r="A5203" s="33" t="str">
        <f t="shared" si="324"/>
        <v>GSM - CGS</v>
      </c>
      <c r="B5203" s="33" t="str">
        <f t="shared" si="325"/>
        <v>GSM</v>
      </c>
      <c r="C5203" s="33" t="str">
        <f t="shared" si="326"/>
        <v>54005-0000</v>
      </c>
      <c r="D5203" s="283" t="s">
        <v>6271</v>
      </c>
      <c r="E5203" s="64" t="s">
        <v>3809</v>
      </c>
      <c r="F5203" s="64" t="s">
        <v>230</v>
      </c>
      <c r="G5203" s="64" t="s">
        <v>3800</v>
      </c>
      <c r="H5203" s="64" t="s">
        <v>1875</v>
      </c>
      <c r="I5203" s="64" t="s">
        <v>3810</v>
      </c>
      <c r="J5203" s="67">
        <v>0</v>
      </c>
      <c r="K5203" s="62">
        <v>182.69</v>
      </c>
      <c r="L5203" s="33" t="e">
        <f>HLOOKUP(B5203,#REF!,1,0)</f>
        <v>#REF!</v>
      </c>
      <c r="M5203" s="33" t="str">
        <f t="shared" si="327"/>
        <v>P&amp;L</v>
      </c>
    </row>
    <row r="5204" spans="1:13" s="33" customFormat="true" ht="12.75" customHeight="true">
      <c r="A5204" s="33" t="str">
        <f t="shared" si="324"/>
        <v>GSM - CGS</v>
      </c>
      <c r="B5204" s="33" t="str">
        <f t="shared" si="325"/>
        <v>GSM</v>
      </c>
      <c r="C5204" s="33" t="str">
        <f t="shared" si="326"/>
        <v>54006-0000</v>
      </c>
      <c r="D5204" s="283" t="s">
        <v>6272</v>
      </c>
      <c r="E5204" s="64" t="s">
        <v>3812</v>
      </c>
      <c r="F5204" s="64" t="s">
        <v>230</v>
      </c>
      <c r="G5204" s="64" t="s">
        <v>3800</v>
      </c>
      <c r="H5204" s="64" t="s">
        <v>1875</v>
      </c>
      <c r="I5204" s="64" t="s">
        <v>3003</v>
      </c>
      <c r="J5204" s="67">
        <v>0</v>
      </c>
      <c r="K5204" s="62">
        <v>5201.8</v>
      </c>
      <c r="L5204" s="33" t="e">
        <f>HLOOKUP(B5204,#REF!,1,0)</f>
        <v>#REF!</v>
      </c>
      <c r="M5204" s="33" t="str">
        <f t="shared" si="327"/>
        <v>P&amp;L</v>
      </c>
    </row>
    <row r="5205" spans="1:13" s="33" customFormat="true" ht="12.75" customHeight="true">
      <c r="A5205" s="33" t="str">
        <f t="shared" si="324"/>
        <v>GSM - CGS</v>
      </c>
      <c r="B5205" s="33" t="str">
        <f t="shared" si="325"/>
        <v>GSM</v>
      </c>
      <c r="C5205" s="33" t="str">
        <f t="shared" si="326"/>
        <v>54007-0000</v>
      </c>
      <c r="D5205" s="283" t="s">
        <v>6273</v>
      </c>
      <c r="E5205" s="64" t="s">
        <v>3814</v>
      </c>
      <c r="F5205" s="64" t="s">
        <v>230</v>
      </c>
      <c r="G5205" s="64" t="s">
        <v>3800</v>
      </c>
      <c r="H5205" s="64" t="s">
        <v>1875</v>
      </c>
      <c r="I5205" s="64" t="s">
        <v>3815</v>
      </c>
      <c r="J5205" s="67">
        <v>0</v>
      </c>
      <c r="K5205" s="62">
        <v>22163.13</v>
      </c>
      <c r="L5205" s="33" t="e">
        <f>HLOOKUP(B5205,#REF!,1,0)</f>
        <v>#REF!</v>
      </c>
      <c r="M5205" s="33" t="str">
        <f t="shared" si="327"/>
        <v>P&amp;L</v>
      </c>
    </row>
    <row r="5206" spans="1:13" s="33" customFormat="true" ht="12.75" customHeight="true">
      <c r="A5206" s="33" t="str">
        <f t="shared" si="324"/>
        <v>GSM - CGS</v>
      </c>
      <c r="B5206" s="33" t="str">
        <f t="shared" si="325"/>
        <v>GSM</v>
      </c>
      <c r="C5206" s="33" t="str">
        <f t="shared" si="326"/>
        <v>54008-0000</v>
      </c>
      <c r="D5206" s="283" t="s">
        <v>6274</v>
      </c>
      <c r="E5206" s="64" t="s">
        <v>4017</v>
      </c>
      <c r="F5206" s="64" t="s">
        <v>230</v>
      </c>
      <c r="G5206" s="64" t="s">
        <v>3800</v>
      </c>
      <c r="H5206" s="64" t="s">
        <v>1875</v>
      </c>
      <c r="I5206" s="64" t="s">
        <v>4018</v>
      </c>
      <c r="J5206" s="67">
        <v>268.92</v>
      </c>
      <c r="K5206" s="62">
        <v>-463.74</v>
      </c>
      <c r="L5206" s="33" t="e">
        <f>HLOOKUP(B5206,#REF!,1,0)</f>
        <v>#REF!</v>
      </c>
      <c r="M5206" s="33" t="str">
        <f t="shared" si="327"/>
        <v>P&amp;L</v>
      </c>
    </row>
    <row r="5207" spans="1:13" s="33" customFormat="true" ht="12.75" customHeight="true">
      <c r="A5207" s="33" t="str">
        <f t="shared" si="324"/>
        <v>GSM - PM Expenses</v>
      </c>
      <c r="B5207" s="33" t="str">
        <f t="shared" si="325"/>
        <v>GSM</v>
      </c>
      <c r="C5207" s="33" t="str">
        <f t="shared" si="326"/>
        <v>55501-0000</v>
      </c>
      <c r="D5207" s="283" t="s">
        <v>6275</v>
      </c>
      <c r="E5207" s="64" t="s">
        <v>3817</v>
      </c>
      <c r="F5207" s="64" t="s">
        <v>230</v>
      </c>
      <c r="G5207" s="64" t="s">
        <v>3818</v>
      </c>
      <c r="H5207" s="64" t="s">
        <v>3819</v>
      </c>
      <c r="I5207" s="64" t="s">
        <v>3820</v>
      </c>
      <c r="J5207" s="67">
        <v>0</v>
      </c>
      <c r="K5207" s="62">
        <v>3985</v>
      </c>
      <c r="L5207" s="33" t="e">
        <f>HLOOKUP(B5207,#REF!,1,0)</f>
        <v>#REF!</v>
      </c>
      <c r="M5207" s="33" t="str">
        <f t="shared" si="327"/>
        <v>P&amp;L</v>
      </c>
    </row>
    <row r="5208" spans="1:13" s="33" customFormat="true" ht="12.75" customHeight="true">
      <c r="A5208" s="33" t="str">
        <f t="shared" si="324"/>
        <v>GSM - PM Expenses</v>
      </c>
      <c r="B5208" s="33" t="str">
        <f t="shared" si="325"/>
        <v>GSM</v>
      </c>
      <c r="C5208" s="33" t="str">
        <f t="shared" si="326"/>
        <v>55502-0000</v>
      </c>
      <c r="D5208" s="283" t="s">
        <v>6276</v>
      </c>
      <c r="E5208" s="64" t="s">
        <v>3822</v>
      </c>
      <c r="F5208" s="64" t="s">
        <v>230</v>
      </c>
      <c r="G5208" s="64" t="s">
        <v>3818</v>
      </c>
      <c r="H5208" s="64" t="s">
        <v>3819</v>
      </c>
      <c r="I5208" s="64" t="s">
        <v>3823</v>
      </c>
      <c r="J5208" s="67">
        <v>0</v>
      </c>
      <c r="K5208" s="62">
        <v>412.51</v>
      </c>
      <c r="L5208" s="33" t="e">
        <f>HLOOKUP(B5208,#REF!,1,0)</f>
        <v>#REF!</v>
      </c>
      <c r="M5208" s="33" t="str">
        <f t="shared" si="327"/>
        <v>P&amp;L</v>
      </c>
    </row>
    <row r="5209" spans="1:13" s="33" customFormat="true" ht="12.75" customHeight="true">
      <c r="A5209" s="33" t="str">
        <f t="shared" si="324"/>
        <v>GSM - PM Expenses</v>
      </c>
      <c r="B5209" s="33" t="str">
        <f t="shared" si="325"/>
        <v>GSM</v>
      </c>
      <c r="C5209" s="33" t="str">
        <f t="shared" si="326"/>
        <v>55503-0000</v>
      </c>
      <c r="D5209" s="283" t="s">
        <v>6277</v>
      </c>
      <c r="E5209" s="64" t="s">
        <v>3825</v>
      </c>
      <c r="F5209" s="64" t="s">
        <v>230</v>
      </c>
      <c r="G5209" s="64" t="s">
        <v>3818</v>
      </c>
      <c r="H5209" s="64" t="s">
        <v>3819</v>
      </c>
      <c r="I5209" s="64" t="s">
        <v>3826</v>
      </c>
      <c r="J5209" s="67">
        <v>0</v>
      </c>
      <c r="K5209" s="62">
        <v>1390.47</v>
      </c>
      <c r="L5209" s="33" t="e">
        <f>HLOOKUP(B5209,#REF!,1,0)</f>
        <v>#REF!</v>
      </c>
      <c r="M5209" s="33" t="str">
        <f t="shared" si="327"/>
        <v>P&amp;L</v>
      </c>
    </row>
    <row r="5210" spans="1:13" s="33" customFormat="true" ht="12.75" customHeight="true">
      <c r="A5210" s="33" t="str">
        <f t="shared" si="324"/>
        <v>GSM - PM Expenses</v>
      </c>
      <c r="B5210" s="33" t="str">
        <f t="shared" si="325"/>
        <v>GSM</v>
      </c>
      <c r="C5210" s="33" t="str">
        <f t="shared" si="326"/>
        <v>55504-0000</v>
      </c>
      <c r="D5210" s="283" t="s">
        <v>6278</v>
      </c>
      <c r="E5210" s="64" t="s">
        <v>4027</v>
      </c>
      <c r="F5210" s="64" t="s">
        <v>230</v>
      </c>
      <c r="G5210" s="64" t="s">
        <v>3818</v>
      </c>
      <c r="H5210" s="64" t="s">
        <v>3819</v>
      </c>
      <c r="I5210" s="64" t="s">
        <v>4028</v>
      </c>
      <c r="J5210" s="67">
        <v>0</v>
      </c>
      <c r="K5210" s="62">
        <v>1127.97</v>
      </c>
      <c r="L5210" s="33" t="e">
        <f>HLOOKUP(B5210,#REF!,1,0)</f>
        <v>#REF!</v>
      </c>
      <c r="M5210" s="33" t="str">
        <f t="shared" si="327"/>
        <v>P&amp;L</v>
      </c>
    </row>
    <row r="5211" spans="1:13" s="33" customFormat="true" ht="12.75" customHeight="true">
      <c r="A5211" s="33" t="str">
        <f t="shared" si="324"/>
        <v>GSM - PM Expenses</v>
      </c>
      <c r="B5211" s="33" t="str">
        <f t="shared" si="325"/>
        <v>GSM</v>
      </c>
      <c r="C5211" s="33" t="str">
        <f t="shared" si="326"/>
        <v>55505-0000</v>
      </c>
      <c r="D5211" s="283" t="s">
        <v>6279</v>
      </c>
      <c r="E5211" s="64" t="s">
        <v>3828</v>
      </c>
      <c r="F5211" s="64" t="s">
        <v>230</v>
      </c>
      <c r="G5211" s="64" t="s">
        <v>3818</v>
      </c>
      <c r="H5211" s="64" t="s">
        <v>3819</v>
      </c>
      <c r="I5211" s="64" t="s">
        <v>3829</v>
      </c>
      <c r="J5211" s="67">
        <v>1115</v>
      </c>
      <c r="K5211" s="62">
        <v>5631.95</v>
      </c>
      <c r="L5211" s="33" t="e">
        <f>HLOOKUP(B5211,#REF!,1,0)</f>
        <v>#REF!</v>
      </c>
      <c r="M5211" s="33" t="str">
        <f t="shared" si="327"/>
        <v>P&amp;L</v>
      </c>
    </row>
    <row r="5212" spans="1:13" s="33" customFormat="true" ht="12.75" customHeight="true">
      <c r="A5212" s="33" t="str">
        <f t="shared" si="324"/>
        <v>GSM - PM Expenses</v>
      </c>
      <c r="B5212" s="33" t="str">
        <f t="shared" si="325"/>
        <v>GSM</v>
      </c>
      <c r="C5212" s="33" t="str">
        <f t="shared" si="326"/>
        <v>55506-0000</v>
      </c>
      <c r="D5212" s="283" t="s">
        <v>6280</v>
      </c>
      <c r="E5212" s="64" t="s">
        <v>3831</v>
      </c>
      <c r="F5212" s="64" t="s">
        <v>230</v>
      </c>
      <c r="G5212" s="64" t="s">
        <v>3818</v>
      </c>
      <c r="H5212" s="64" t="s">
        <v>3819</v>
      </c>
      <c r="I5212" s="64" t="s">
        <v>3832</v>
      </c>
      <c r="J5212" s="67">
        <v>0</v>
      </c>
      <c r="K5212" s="62">
        <v>15578.46</v>
      </c>
      <c r="L5212" s="33" t="e">
        <f>HLOOKUP(B5212,#REF!,1,0)</f>
        <v>#REF!</v>
      </c>
      <c r="M5212" s="33" t="str">
        <f t="shared" si="327"/>
        <v>P&amp;L</v>
      </c>
    </row>
    <row r="5213" spans="1:13" s="33" customFormat="true" ht="12.75" customHeight="true">
      <c r="A5213" s="33" t="str">
        <f t="shared" si="324"/>
        <v>GSM - CGS</v>
      </c>
      <c r="B5213" s="33" t="str">
        <f t="shared" si="325"/>
        <v>GSM</v>
      </c>
      <c r="C5213" s="33" t="str">
        <f t="shared" si="326"/>
        <v>60005-0000</v>
      </c>
      <c r="D5213" s="283" t="s">
        <v>6281</v>
      </c>
      <c r="E5213" s="64" t="s">
        <v>3841</v>
      </c>
      <c r="F5213" s="64" t="s">
        <v>230</v>
      </c>
      <c r="G5213" s="64" t="s">
        <v>3838</v>
      </c>
      <c r="H5213" s="64" t="s">
        <v>1875</v>
      </c>
      <c r="I5213" s="64" t="s">
        <v>3842</v>
      </c>
      <c r="J5213" s="67">
        <v>0</v>
      </c>
      <c r="K5213" s="62">
        <v>1431</v>
      </c>
      <c r="L5213" s="33" t="e">
        <f>HLOOKUP(B5213,#REF!,1,0)</f>
        <v>#REF!</v>
      </c>
      <c r="M5213" s="33" t="str">
        <f t="shared" si="327"/>
        <v>P&amp;L</v>
      </c>
    </row>
    <row r="5214" spans="1:13" s="33" customFormat="true" ht="12.75" customHeight="true">
      <c r="A5214" s="33" t="str">
        <f t="shared" si="324"/>
        <v>GSM - Interest Expense</v>
      </c>
      <c r="B5214" s="33" t="str">
        <f t="shared" si="325"/>
        <v>GSM</v>
      </c>
      <c r="C5214" s="33" t="str">
        <f t="shared" si="326"/>
        <v>60006-0000</v>
      </c>
      <c r="D5214" s="283" t="s">
        <v>6282</v>
      </c>
      <c r="E5214" s="64" t="s">
        <v>3325</v>
      </c>
      <c r="F5214" s="64" t="s">
        <v>230</v>
      </c>
      <c r="G5214" s="64" t="s">
        <v>3844</v>
      </c>
      <c r="H5214" s="64" t="s">
        <v>3327</v>
      </c>
      <c r="I5214" s="64" t="s">
        <v>3328</v>
      </c>
      <c r="J5214" s="67">
        <v>0</v>
      </c>
      <c r="K5214" s="62">
        <v>416840.33</v>
      </c>
      <c r="L5214" s="33" t="e">
        <f>HLOOKUP(B5214,#REF!,1,0)</f>
        <v>#REF!</v>
      </c>
      <c r="M5214" s="33" t="str">
        <f t="shared" si="327"/>
        <v>P&amp;L</v>
      </c>
    </row>
    <row r="5215" spans="1:13" s="33" customFormat="true" ht="12.75" customHeight="true">
      <c r="A5215" s="33" t="str">
        <f t="shared" si="324"/>
        <v>GSM - CGS</v>
      </c>
      <c r="B5215" s="33" t="str">
        <f t="shared" si="325"/>
        <v>GSM</v>
      </c>
      <c r="C5215" s="33" t="str">
        <f t="shared" si="326"/>
        <v>60008-0000</v>
      </c>
      <c r="D5215" s="283" t="s">
        <v>6283</v>
      </c>
      <c r="E5215" s="64" t="s">
        <v>3849</v>
      </c>
      <c r="F5215" s="64" t="s">
        <v>230</v>
      </c>
      <c r="G5215" s="64" t="s">
        <v>3838</v>
      </c>
      <c r="H5215" s="64" t="s">
        <v>1875</v>
      </c>
      <c r="I5215" s="64" t="s">
        <v>3850</v>
      </c>
      <c r="J5215" s="67">
        <v>0</v>
      </c>
      <c r="K5215" s="62">
        <v>11704</v>
      </c>
      <c r="L5215" s="33" t="e">
        <f>HLOOKUP(B5215,#REF!,1,0)</f>
        <v>#REF!</v>
      </c>
      <c r="M5215" s="33" t="str">
        <f t="shared" si="327"/>
        <v>P&amp;L</v>
      </c>
    </row>
    <row r="5216" spans="1:13" s="33" customFormat="true" ht="12.75" customHeight="true">
      <c r="A5216" s="33" t="str">
        <f t="shared" si="324"/>
        <v>GSM - CGS</v>
      </c>
      <c r="B5216" s="33" t="str">
        <f t="shared" si="325"/>
        <v>GSM</v>
      </c>
      <c r="C5216" s="33" t="str">
        <f t="shared" si="326"/>
        <v>60012-0000</v>
      </c>
      <c r="D5216" s="283" t="s">
        <v>6284</v>
      </c>
      <c r="E5216" s="64" t="s">
        <v>3852</v>
      </c>
      <c r="F5216" s="64" t="s">
        <v>230</v>
      </c>
      <c r="G5216" s="64" t="s">
        <v>3838</v>
      </c>
      <c r="H5216" s="64" t="s">
        <v>1875</v>
      </c>
      <c r="I5216" s="64" t="s">
        <v>3853</v>
      </c>
      <c r="J5216" s="67">
        <v>0</v>
      </c>
      <c r="K5216" s="62">
        <v>-80873.28</v>
      </c>
      <c r="L5216" s="33" t="e">
        <f>HLOOKUP(B5216,#REF!,1,0)</f>
        <v>#REF!</v>
      </c>
      <c r="M5216" s="33" t="str">
        <f t="shared" si="327"/>
        <v>P&amp;L</v>
      </c>
    </row>
    <row r="5217" spans="1:13" s="33" customFormat="true" ht="12.75" customHeight="true">
      <c r="A5217" s="33" t="str">
        <f t="shared" si="324"/>
        <v>GSM - CGS</v>
      </c>
      <c r="B5217" s="33" t="str">
        <f t="shared" si="325"/>
        <v>GSM</v>
      </c>
      <c r="C5217" s="33" t="str">
        <f t="shared" si="326"/>
        <v>60014-0000</v>
      </c>
      <c r="D5217" s="283" t="s">
        <v>6285</v>
      </c>
      <c r="E5217" s="64" t="s">
        <v>3855</v>
      </c>
      <c r="F5217" s="64" t="s">
        <v>230</v>
      </c>
      <c r="G5217" s="64" t="s">
        <v>3838</v>
      </c>
      <c r="H5217" s="64" t="s">
        <v>1875</v>
      </c>
      <c r="I5217" s="64" t="s">
        <v>3856</v>
      </c>
      <c r="J5217" s="67">
        <v>0</v>
      </c>
      <c r="K5217" s="62">
        <v>17876.6</v>
      </c>
      <c r="L5217" s="33" t="e">
        <f>HLOOKUP(B5217,#REF!,1,0)</f>
        <v>#REF!</v>
      </c>
      <c r="M5217" s="33" t="str">
        <f t="shared" si="327"/>
        <v>P&amp;L</v>
      </c>
    </row>
    <row r="5218" spans="1:13" s="33" customFormat="true" ht="12.75" customHeight="true">
      <c r="A5218" s="33" t="str">
        <f t="shared" si="324"/>
        <v>GSM - CGS</v>
      </c>
      <c r="B5218" s="33" t="str">
        <f t="shared" si="325"/>
        <v>GSM</v>
      </c>
      <c r="C5218" s="33" t="str">
        <f t="shared" si="326"/>
        <v>60015-0000</v>
      </c>
      <c r="D5218" s="283" t="s">
        <v>6286</v>
      </c>
      <c r="E5218" s="64" t="s">
        <v>3858</v>
      </c>
      <c r="F5218" s="64" t="s">
        <v>230</v>
      </c>
      <c r="G5218" s="64" t="s">
        <v>3838</v>
      </c>
      <c r="H5218" s="64" t="s">
        <v>1875</v>
      </c>
      <c r="I5218" s="64" t="s">
        <v>3859</v>
      </c>
      <c r="J5218" s="67">
        <v>0</v>
      </c>
      <c r="K5218" s="62">
        <v>1458</v>
      </c>
      <c r="L5218" s="33" t="e">
        <f>HLOOKUP(B5218,#REF!,1,0)</f>
        <v>#REF!</v>
      </c>
      <c r="M5218" s="33" t="str">
        <f t="shared" si="327"/>
        <v>P&amp;L</v>
      </c>
    </row>
    <row r="5219" spans="1:13" s="33" customFormat="true" ht="12.75" customHeight="true">
      <c r="A5219" s="33" t="str">
        <f t="shared" si="324"/>
        <v>GSM - Other Expenses</v>
      </c>
      <c r="B5219" s="33" t="str">
        <f t="shared" si="325"/>
        <v>GSM</v>
      </c>
      <c r="C5219" s="33" t="str">
        <f t="shared" si="326"/>
        <v>61018-0000</v>
      </c>
      <c r="D5219" s="283" t="s">
        <v>6287</v>
      </c>
      <c r="E5219" s="64" t="s">
        <v>3864</v>
      </c>
      <c r="F5219" s="64" t="s">
        <v>230</v>
      </c>
      <c r="G5219" s="64" t="s">
        <v>3838</v>
      </c>
      <c r="H5219" s="64" t="s">
        <v>3865</v>
      </c>
      <c r="I5219" s="64" t="s">
        <v>3866</v>
      </c>
      <c r="J5219" s="67">
        <v>-2758.52</v>
      </c>
      <c r="K5219" s="62">
        <v>2981273.48</v>
      </c>
      <c r="L5219" s="33" t="e">
        <f>HLOOKUP(B5219,#REF!,1,0)</f>
        <v>#REF!</v>
      </c>
      <c r="M5219" s="33" t="str">
        <f t="shared" si="327"/>
        <v>P&amp;L</v>
      </c>
    </row>
    <row r="5220" spans="1:13" s="33" customFormat="true" ht="12.75" customHeight="true">
      <c r="A5220" s="33" t="str">
        <f t="shared" si="324"/>
        <v>GSM - Other Income/Expense</v>
      </c>
      <c r="B5220" s="33" t="str">
        <f t="shared" si="325"/>
        <v>GSM</v>
      </c>
      <c r="C5220" s="33" t="str">
        <f t="shared" si="326"/>
        <v>61022-0000</v>
      </c>
      <c r="D5220" s="283" t="s">
        <v>6288</v>
      </c>
      <c r="E5220" s="64" t="s">
        <v>4286</v>
      </c>
      <c r="F5220" s="64" t="s">
        <v>230</v>
      </c>
      <c r="G5220" s="64" t="s">
        <v>3838</v>
      </c>
      <c r="H5220" s="64" t="s">
        <v>3300</v>
      </c>
      <c r="I5220" s="64" t="s">
        <v>4287</v>
      </c>
      <c r="J5220" s="67">
        <v>1643.52</v>
      </c>
      <c r="K5220" s="62">
        <v>1643.52</v>
      </c>
      <c r="L5220" s="33" t="e">
        <f>HLOOKUP(B5220,#REF!,1,0)</f>
        <v>#REF!</v>
      </c>
      <c r="M5220" s="33" t="str">
        <f t="shared" si="327"/>
        <v>P&amp;L</v>
      </c>
    </row>
    <row r="5221" spans="1:13" s="33" customFormat="true" ht="12.75" customHeight="true">
      <c r="A5221" s="33" t="str">
        <f t="shared" si="324"/>
        <v>GST - Intercompany</v>
      </c>
      <c r="B5221" s="33" t="str">
        <f t="shared" si="325"/>
        <v>GST</v>
      </c>
      <c r="C5221" s="33" t="str">
        <f t="shared" si="326"/>
        <v>11361-0000</v>
      </c>
      <c r="D5221" s="64" t="s">
        <v>6289</v>
      </c>
      <c r="E5221" s="64" t="s">
        <v>6290</v>
      </c>
      <c r="F5221" s="64" t="s">
        <v>230</v>
      </c>
      <c r="G5221" s="64" t="s">
        <v>16</v>
      </c>
      <c r="H5221" s="64" t="s">
        <v>39</v>
      </c>
      <c r="I5221" s="64" t="s">
        <v>40</v>
      </c>
      <c r="J5221" s="67">
        <v>0</v>
      </c>
      <c r="K5221" s="62">
        <v>1886004.3</v>
      </c>
      <c r="L5221" s="33" t="e">
        <f>HLOOKUP(B5221,#REF!,1,0)</f>
        <v>#REF!</v>
      </c>
      <c r="M5221" s="33" t="str">
        <f t="shared" si="327"/>
        <v>BS</v>
      </c>
    </row>
    <row r="5222" spans="1:13" s="33" customFormat="true" ht="12.75" customHeight="true">
      <c r="A5222" s="33" t="str">
        <f t="shared" si="324"/>
        <v>GST - Deposits</v>
      </c>
      <c r="B5222" s="33" t="str">
        <f t="shared" si="325"/>
        <v>GST</v>
      </c>
      <c r="C5222" s="33" t="str">
        <f t="shared" si="326"/>
        <v>19000-0000</v>
      </c>
      <c r="D5222" s="64" t="s">
        <v>6291</v>
      </c>
      <c r="E5222" s="64" t="s">
        <v>342</v>
      </c>
      <c r="F5222" s="64" t="s">
        <v>230</v>
      </c>
      <c r="G5222" s="64" t="s">
        <v>62</v>
      </c>
      <c r="H5222" s="64" t="s">
        <v>80</v>
      </c>
      <c r="I5222" s="64" t="s">
        <v>81</v>
      </c>
      <c r="J5222" s="67">
        <v>0</v>
      </c>
      <c r="K5222" s="62">
        <v>0</v>
      </c>
      <c r="L5222" s="33" t="e">
        <f>HLOOKUP(B5222,#REF!,1,0)</f>
        <v>#REF!</v>
      </c>
      <c r="M5222" s="33" t="str">
        <f t="shared" si="327"/>
        <v>BS</v>
      </c>
    </row>
    <row r="5223" spans="1:13" s="33" customFormat="true" ht="12.75" customHeight="true">
      <c r="A5223" s="33" t="str">
        <f t="shared" si="324"/>
        <v>GST - AP-Accr Exp</v>
      </c>
      <c r="B5223" s="33" t="str">
        <f t="shared" si="325"/>
        <v>GST</v>
      </c>
      <c r="C5223" s="33" t="str">
        <f t="shared" si="326"/>
        <v>20001-0000</v>
      </c>
      <c r="D5223" s="64" t="s">
        <v>6292</v>
      </c>
      <c r="E5223" s="64" t="s">
        <v>96</v>
      </c>
      <c r="F5223" s="64" t="s">
        <v>230</v>
      </c>
      <c r="G5223" s="64" t="s">
        <v>97</v>
      </c>
      <c r="H5223" s="64" t="s">
        <v>98</v>
      </c>
      <c r="I5223" s="64" t="s">
        <v>99</v>
      </c>
      <c r="J5223" s="67">
        <v>0</v>
      </c>
      <c r="K5223" s="62">
        <v>0</v>
      </c>
      <c r="L5223" s="33" t="e">
        <f>HLOOKUP(B5223,#REF!,1,0)</f>
        <v>#REF!</v>
      </c>
      <c r="M5223" s="33" t="str">
        <f t="shared" si="327"/>
        <v>BS</v>
      </c>
    </row>
    <row r="5224" spans="1:13" s="33" customFormat="true" ht="12.75" customHeight="true">
      <c r="A5224" s="33" t="str">
        <f t="shared" si="324"/>
        <v>GST - Revenue</v>
      </c>
      <c r="B5224" s="33" t="str">
        <f t="shared" si="325"/>
        <v>GST</v>
      </c>
      <c r="C5224" s="33" t="str">
        <f t="shared" si="326"/>
        <v>40110-0000</v>
      </c>
      <c r="D5224" s="64" t="s">
        <v>6293</v>
      </c>
      <c r="E5224" s="64" t="s">
        <v>3683</v>
      </c>
      <c r="F5224" s="64" t="s">
        <v>230</v>
      </c>
      <c r="G5224" s="64" t="s">
        <v>3684</v>
      </c>
      <c r="H5224" s="64" t="s">
        <v>2871</v>
      </c>
      <c r="I5224" s="64" t="s">
        <v>3685</v>
      </c>
      <c r="J5224" s="67">
        <v>0</v>
      </c>
      <c r="K5224" s="62">
        <v>-74836</v>
      </c>
      <c r="L5224" s="33" t="e">
        <f>HLOOKUP(B5224,#REF!,1,0)</f>
        <v>#REF!</v>
      </c>
      <c r="M5224" s="33" t="str">
        <f t="shared" si="327"/>
        <v>P&amp;L</v>
      </c>
    </row>
    <row r="5225" spans="1:13" s="33" customFormat="true" ht="12.75" customHeight="true">
      <c r="A5225" s="33" t="str">
        <f t="shared" si="324"/>
        <v>GST - Revenue</v>
      </c>
      <c r="B5225" s="33" t="str">
        <f t="shared" si="325"/>
        <v>GST</v>
      </c>
      <c r="C5225" s="33" t="str">
        <f t="shared" si="326"/>
        <v>40120-0000</v>
      </c>
      <c r="D5225" s="64" t="s">
        <v>6294</v>
      </c>
      <c r="E5225" s="64" t="s">
        <v>3687</v>
      </c>
      <c r="F5225" s="64" t="s">
        <v>230</v>
      </c>
      <c r="G5225" s="64" t="s">
        <v>3684</v>
      </c>
      <c r="H5225" s="64" t="s">
        <v>2871</v>
      </c>
      <c r="I5225" s="64" t="s">
        <v>3688</v>
      </c>
      <c r="J5225" s="67">
        <v>0</v>
      </c>
      <c r="K5225" s="62">
        <v>0</v>
      </c>
      <c r="L5225" s="33" t="e">
        <f>HLOOKUP(B5225,#REF!,1,0)</f>
        <v>#REF!</v>
      </c>
      <c r="M5225" s="33" t="str">
        <f t="shared" si="327"/>
        <v>P&amp;L</v>
      </c>
    </row>
    <row r="5226" spans="1:13" s="33" customFormat="true" ht="12.75" customHeight="true">
      <c r="A5226" s="33" t="str">
        <f t="shared" si="324"/>
        <v>GST - Revenue</v>
      </c>
      <c r="B5226" s="33" t="str">
        <f t="shared" si="325"/>
        <v>GST</v>
      </c>
      <c r="C5226" s="33" t="str">
        <f t="shared" si="326"/>
        <v>40130-0000</v>
      </c>
      <c r="D5226" s="64" t="s">
        <v>6295</v>
      </c>
      <c r="E5226" s="64" t="s">
        <v>3690</v>
      </c>
      <c r="F5226" s="64" t="s">
        <v>230</v>
      </c>
      <c r="G5226" s="64" t="s">
        <v>3684</v>
      </c>
      <c r="H5226" s="64" t="s">
        <v>2871</v>
      </c>
      <c r="I5226" s="64" t="s">
        <v>3691</v>
      </c>
      <c r="J5226" s="67">
        <v>0</v>
      </c>
      <c r="K5226" s="62">
        <v>-908.4</v>
      </c>
      <c r="L5226" s="33" t="e">
        <f>HLOOKUP(B5226,#REF!,1,0)</f>
        <v>#REF!</v>
      </c>
      <c r="M5226" s="33" t="str">
        <f t="shared" si="327"/>
        <v>P&amp;L</v>
      </c>
    </row>
    <row r="5227" spans="1:13" s="33" customFormat="true" ht="12.75" customHeight="true">
      <c r="A5227" s="33" t="str">
        <f t="shared" si="324"/>
        <v>GST - Revenue</v>
      </c>
      <c r="B5227" s="33" t="str">
        <f t="shared" si="325"/>
        <v>GST</v>
      </c>
      <c r="C5227" s="33" t="str">
        <f t="shared" si="326"/>
        <v>40140-0000</v>
      </c>
      <c r="D5227" s="64" t="s">
        <v>6296</v>
      </c>
      <c r="E5227" s="64" t="s">
        <v>3948</v>
      </c>
      <c r="F5227" s="64" t="s">
        <v>230</v>
      </c>
      <c r="G5227" s="64" t="s">
        <v>3684</v>
      </c>
      <c r="H5227" s="64" t="s">
        <v>2871</v>
      </c>
      <c r="I5227" s="64" t="s">
        <v>3949</v>
      </c>
      <c r="J5227" s="67">
        <v>0</v>
      </c>
      <c r="K5227" s="62">
        <v>0</v>
      </c>
      <c r="L5227" s="33" t="e">
        <f>HLOOKUP(B5227,#REF!,1,0)</f>
        <v>#REF!</v>
      </c>
      <c r="M5227" s="33" t="str">
        <f t="shared" si="327"/>
        <v>P&amp;L</v>
      </c>
    </row>
    <row r="5228" spans="1:13" s="33" customFormat="true" ht="12.75" customHeight="true">
      <c r="A5228" s="33" t="str">
        <f t="shared" si="324"/>
        <v>GST - Revenue</v>
      </c>
      <c r="B5228" s="33" t="str">
        <f t="shared" si="325"/>
        <v>GST</v>
      </c>
      <c r="C5228" s="33" t="str">
        <f t="shared" si="326"/>
        <v>41110-0000</v>
      </c>
      <c r="D5228" s="64" t="s">
        <v>6297</v>
      </c>
      <c r="E5228" s="64" t="s">
        <v>3693</v>
      </c>
      <c r="F5228" s="64" t="s">
        <v>230</v>
      </c>
      <c r="G5228" s="64" t="s">
        <v>3694</v>
      </c>
      <c r="H5228" s="64" t="s">
        <v>2871</v>
      </c>
      <c r="I5228" s="64" t="s">
        <v>3695</v>
      </c>
      <c r="J5228" s="67">
        <v>0</v>
      </c>
      <c r="K5228" s="62">
        <v>1950</v>
      </c>
      <c r="L5228" s="33" t="e">
        <f>HLOOKUP(B5228,#REF!,1,0)</f>
        <v>#REF!</v>
      </c>
      <c r="M5228" s="33" t="str">
        <f t="shared" si="327"/>
        <v>P&amp;L</v>
      </c>
    </row>
    <row r="5229" spans="1:13" s="33" customFormat="true" ht="12.75" customHeight="true">
      <c r="A5229" s="33" t="str">
        <f t="shared" si="324"/>
        <v>GST - Revenue</v>
      </c>
      <c r="B5229" s="33" t="str">
        <f t="shared" si="325"/>
        <v>GST</v>
      </c>
      <c r="C5229" s="33" t="str">
        <f t="shared" si="326"/>
        <v>41121-0000</v>
      </c>
      <c r="D5229" s="64" t="s">
        <v>6298</v>
      </c>
      <c r="E5229" s="64" t="s">
        <v>3697</v>
      </c>
      <c r="F5229" s="64" t="s">
        <v>230</v>
      </c>
      <c r="G5229" s="64" t="s">
        <v>3694</v>
      </c>
      <c r="H5229" s="64" t="s">
        <v>2871</v>
      </c>
      <c r="I5229" s="64" t="s">
        <v>3698</v>
      </c>
      <c r="J5229" s="67">
        <v>0</v>
      </c>
      <c r="K5229" s="62">
        <v>31874.47</v>
      </c>
      <c r="L5229" s="33" t="e">
        <f>HLOOKUP(B5229,#REF!,1,0)</f>
        <v>#REF!</v>
      </c>
      <c r="M5229" s="33" t="str">
        <f t="shared" si="327"/>
        <v>P&amp;L</v>
      </c>
    </row>
    <row r="5230" spans="1:13" s="33" customFormat="true" ht="12.75" customHeight="true">
      <c r="A5230" s="33" t="str">
        <f t="shared" si="324"/>
        <v>GST - Revenue</v>
      </c>
      <c r="B5230" s="33" t="str">
        <f t="shared" si="325"/>
        <v>GST</v>
      </c>
      <c r="C5230" s="33" t="str">
        <f t="shared" si="326"/>
        <v>41122-0000</v>
      </c>
      <c r="D5230" s="64" t="s">
        <v>6299</v>
      </c>
      <c r="E5230" s="64" t="s">
        <v>3700</v>
      </c>
      <c r="F5230" s="64" t="s">
        <v>230</v>
      </c>
      <c r="G5230" s="64" t="s">
        <v>3694</v>
      </c>
      <c r="H5230" s="64" t="s">
        <v>2871</v>
      </c>
      <c r="I5230" s="64" t="s">
        <v>3701</v>
      </c>
      <c r="J5230" s="67">
        <v>0</v>
      </c>
      <c r="K5230" s="62">
        <v>-5095.4</v>
      </c>
      <c r="L5230" s="33" t="e">
        <f>HLOOKUP(B5230,#REF!,1,0)</f>
        <v>#REF!</v>
      </c>
      <c r="M5230" s="33" t="str">
        <f t="shared" si="327"/>
        <v>P&amp;L</v>
      </c>
    </row>
    <row r="5231" spans="1:13" s="33" customFormat="true" ht="12.75" customHeight="true">
      <c r="A5231" s="33" t="str">
        <f t="shared" si="324"/>
        <v>GST - Revenue</v>
      </c>
      <c r="B5231" s="33" t="str">
        <f t="shared" si="325"/>
        <v>GST</v>
      </c>
      <c r="C5231" s="33" t="str">
        <f t="shared" si="326"/>
        <v>41130-0000</v>
      </c>
      <c r="D5231" s="64" t="s">
        <v>6300</v>
      </c>
      <c r="E5231" s="64" t="s">
        <v>3703</v>
      </c>
      <c r="F5231" s="64" t="s">
        <v>230</v>
      </c>
      <c r="G5231" s="64" t="s">
        <v>3694</v>
      </c>
      <c r="H5231" s="64" t="s">
        <v>2871</v>
      </c>
      <c r="I5231" s="64" t="s">
        <v>3704</v>
      </c>
      <c r="J5231" s="67">
        <v>0</v>
      </c>
      <c r="K5231" s="62">
        <v>0</v>
      </c>
      <c r="L5231" s="33" t="e">
        <f>HLOOKUP(B5231,#REF!,1,0)</f>
        <v>#REF!</v>
      </c>
      <c r="M5231" s="33" t="str">
        <f t="shared" si="327"/>
        <v>P&amp;L</v>
      </c>
    </row>
    <row r="5232" spans="1:13" s="33" customFormat="true" ht="12.75" customHeight="true">
      <c r="A5232" s="33" t="str">
        <f t="shared" si="324"/>
        <v>GST - Revenue</v>
      </c>
      <c r="B5232" s="33" t="str">
        <f t="shared" si="325"/>
        <v>GST</v>
      </c>
      <c r="C5232" s="33" t="str">
        <f t="shared" si="326"/>
        <v>41140-0000</v>
      </c>
      <c r="D5232" s="64" t="s">
        <v>6301</v>
      </c>
      <c r="E5232" s="64" t="s">
        <v>3706</v>
      </c>
      <c r="F5232" s="64" t="s">
        <v>230</v>
      </c>
      <c r="G5232" s="64" t="s">
        <v>3694</v>
      </c>
      <c r="H5232" s="64" t="s">
        <v>2871</v>
      </c>
      <c r="I5232" s="64" t="s">
        <v>3707</v>
      </c>
      <c r="J5232" s="67">
        <v>0</v>
      </c>
      <c r="K5232" s="62">
        <v>0</v>
      </c>
      <c r="L5232" s="33" t="e">
        <f>HLOOKUP(B5232,#REF!,1,0)</f>
        <v>#REF!</v>
      </c>
      <c r="M5232" s="33" t="str">
        <f t="shared" si="327"/>
        <v>P&amp;L</v>
      </c>
    </row>
    <row r="5233" spans="1:13" s="33" customFormat="true" ht="12.75" customHeight="true">
      <c r="A5233" s="33" t="str">
        <f t="shared" si="324"/>
        <v>GST - Revenue</v>
      </c>
      <c r="B5233" s="33" t="str">
        <f t="shared" si="325"/>
        <v>GST</v>
      </c>
      <c r="C5233" s="33" t="str">
        <f t="shared" si="326"/>
        <v>41150-0000</v>
      </c>
      <c r="D5233" s="64" t="s">
        <v>6302</v>
      </c>
      <c r="E5233" s="64" t="s">
        <v>3709</v>
      </c>
      <c r="F5233" s="64" t="s">
        <v>230</v>
      </c>
      <c r="G5233" s="64" t="s">
        <v>3694</v>
      </c>
      <c r="H5233" s="64" t="s">
        <v>2871</v>
      </c>
      <c r="I5233" s="64" t="s">
        <v>3710</v>
      </c>
      <c r="J5233" s="67">
        <v>0</v>
      </c>
      <c r="K5233" s="62">
        <v>0</v>
      </c>
      <c r="L5233" s="33" t="e">
        <f>HLOOKUP(B5233,#REF!,1,0)</f>
        <v>#REF!</v>
      </c>
      <c r="M5233" s="33" t="str">
        <f t="shared" si="327"/>
        <v>P&amp;L</v>
      </c>
    </row>
    <row r="5234" spans="1:13" s="33" customFormat="true" ht="12.75" customHeight="true">
      <c r="A5234" s="33" t="str">
        <f t="shared" si="324"/>
        <v>GST - Revenue</v>
      </c>
      <c r="B5234" s="33" t="str">
        <f t="shared" si="325"/>
        <v>GST</v>
      </c>
      <c r="C5234" s="33" t="str">
        <f t="shared" si="326"/>
        <v>41160-0000</v>
      </c>
      <c r="D5234" s="64" t="s">
        <v>6303</v>
      </c>
      <c r="E5234" s="64" t="s">
        <v>3957</v>
      </c>
      <c r="F5234" s="64" t="s">
        <v>230</v>
      </c>
      <c r="G5234" s="64" t="s">
        <v>3694</v>
      </c>
      <c r="H5234" s="64" t="s">
        <v>2871</v>
      </c>
      <c r="I5234" s="64" t="s">
        <v>3701</v>
      </c>
      <c r="J5234" s="67">
        <v>0</v>
      </c>
      <c r="K5234" s="62">
        <v>0</v>
      </c>
      <c r="L5234" s="33" t="e">
        <f>HLOOKUP(B5234,#REF!,1,0)</f>
        <v>#REF!</v>
      </c>
      <c r="M5234" s="33" t="str">
        <f t="shared" si="327"/>
        <v>P&amp;L</v>
      </c>
    </row>
    <row r="5235" spans="1:13" s="33" customFormat="true" ht="12.75" customHeight="true">
      <c r="A5235" s="33" t="str">
        <f t="shared" si="324"/>
        <v>GST - Revenue</v>
      </c>
      <c r="B5235" s="33" t="str">
        <f t="shared" si="325"/>
        <v>GST</v>
      </c>
      <c r="C5235" s="33" t="str">
        <f t="shared" si="326"/>
        <v>41999-0000</v>
      </c>
      <c r="D5235" s="64" t="s">
        <v>6304</v>
      </c>
      <c r="E5235" s="64" t="s">
        <v>3712</v>
      </c>
      <c r="F5235" s="64" t="s">
        <v>230</v>
      </c>
      <c r="G5235" s="64" t="s">
        <v>3713</v>
      </c>
      <c r="H5235" s="64" t="s">
        <v>2871</v>
      </c>
      <c r="I5235" s="64" t="s">
        <v>3714</v>
      </c>
      <c r="J5235" s="67">
        <v>0</v>
      </c>
      <c r="K5235" s="62">
        <v>47015.33</v>
      </c>
      <c r="L5235" s="33" t="e">
        <f>HLOOKUP(B5235,#REF!,1,0)</f>
        <v>#REF!</v>
      </c>
      <c r="M5235" s="33" t="str">
        <f t="shared" si="327"/>
        <v>P&amp;L</v>
      </c>
    </row>
    <row r="5236" spans="1:13" s="33" customFormat="true" ht="12.75" customHeight="true">
      <c r="A5236" s="33" t="str">
        <f t="shared" si="324"/>
        <v>GST - Revenue</v>
      </c>
      <c r="B5236" s="33" t="str">
        <f t="shared" si="325"/>
        <v>GST</v>
      </c>
      <c r="C5236" s="33" t="str">
        <f t="shared" si="326"/>
        <v>47400-0000</v>
      </c>
      <c r="D5236" s="64" t="s">
        <v>6305</v>
      </c>
      <c r="E5236" s="64" t="s">
        <v>3716</v>
      </c>
      <c r="F5236" s="64" t="s">
        <v>230</v>
      </c>
      <c r="G5236" s="64" t="s">
        <v>3717</v>
      </c>
      <c r="H5236" s="64" t="s">
        <v>2871</v>
      </c>
      <c r="I5236" s="64" t="s">
        <v>3718</v>
      </c>
      <c r="J5236" s="67">
        <v>0</v>
      </c>
      <c r="K5236" s="62">
        <v>-47015.33</v>
      </c>
      <c r="L5236" s="33" t="e">
        <f>HLOOKUP(B5236,#REF!,1,0)</f>
        <v>#REF!</v>
      </c>
      <c r="M5236" s="33" t="str">
        <f t="shared" si="327"/>
        <v>P&amp;L</v>
      </c>
    </row>
    <row r="5237" spans="1:13" s="33" customFormat="true" ht="12.75" customHeight="true">
      <c r="A5237" s="33" t="str">
        <f t="shared" si="324"/>
        <v>GST - Revenue</v>
      </c>
      <c r="B5237" s="33" t="str">
        <f t="shared" si="325"/>
        <v>GST</v>
      </c>
      <c r="C5237" s="33" t="str">
        <f t="shared" si="326"/>
        <v>47430-0000</v>
      </c>
      <c r="D5237" s="64" t="s">
        <v>6306</v>
      </c>
      <c r="E5237" s="64" t="s">
        <v>4053</v>
      </c>
      <c r="F5237" s="64" t="s">
        <v>230</v>
      </c>
      <c r="G5237" s="64" t="s">
        <v>3717</v>
      </c>
      <c r="H5237" s="64" t="s">
        <v>2871</v>
      </c>
      <c r="I5237" s="64" t="s">
        <v>4054</v>
      </c>
      <c r="J5237" s="67">
        <v>0</v>
      </c>
      <c r="K5237" s="62">
        <v>-304.38</v>
      </c>
      <c r="L5237" s="33" t="e">
        <f>HLOOKUP(B5237,#REF!,1,0)</f>
        <v>#REF!</v>
      </c>
      <c r="M5237" s="33" t="str">
        <f t="shared" si="327"/>
        <v>P&amp;L</v>
      </c>
    </row>
    <row r="5238" spans="1:13" s="33" customFormat="true" ht="12.75" customHeight="true">
      <c r="A5238" s="33" t="str">
        <f t="shared" si="324"/>
        <v>GST - Revenue</v>
      </c>
      <c r="B5238" s="33" t="str">
        <f t="shared" si="325"/>
        <v>GST</v>
      </c>
      <c r="C5238" s="33" t="str">
        <f t="shared" si="326"/>
        <v>47450-0000</v>
      </c>
      <c r="D5238" s="64" t="s">
        <v>6307</v>
      </c>
      <c r="E5238" s="64" t="s">
        <v>3723</v>
      </c>
      <c r="F5238" s="64" t="s">
        <v>230</v>
      </c>
      <c r="G5238" s="64" t="s">
        <v>3717</v>
      </c>
      <c r="H5238" s="64" t="s">
        <v>2871</v>
      </c>
      <c r="I5238" s="64" t="s">
        <v>3724</v>
      </c>
      <c r="J5238" s="67">
        <v>0</v>
      </c>
      <c r="K5238" s="62">
        <v>0</v>
      </c>
      <c r="L5238" s="33" t="e">
        <f>HLOOKUP(B5238,#REF!,1,0)</f>
        <v>#REF!</v>
      </c>
      <c r="M5238" s="33" t="str">
        <f t="shared" si="327"/>
        <v>P&amp;L</v>
      </c>
    </row>
    <row r="5239" spans="1:13" s="33" customFormat="true" ht="12.75" customHeight="true">
      <c r="A5239" s="33" t="str">
        <f t="shared" si="324"/>
        <v>GST - Revenue</v>
      </c>
      <c r="B5239" s="33" t="str">
        <f t="shared" si="325"/>
        <v>GST</v>
      </c>
      <c r="C5239" s="33" t="str">
        <f t="shared" si="326"/>
        <v>47460-0000</v>
      </c>
      <c r="D5239" s="64" t="s">
        <v>6308</v>
      </c>
      <c r="E5239" s="64" t="s">
        <v>3726</v>
      </c>
      <c r="F5239" s="64" t="s">
        <v>230</v>
      </c>
      <c r="G5239" s="64" t="s">
        <v>3717</v>
      </c>
      <c r="H5239" s="64" t="s">
        <v>2871</v>
      </c>
      <c r="I5239" s="64" t="s">
        <v>3727</v>
      </c>
      <c r="J5239" s="67">
        <v>0</v>
      </c>
      <c r="K5239" s="62">
        <v>0</v>
      </c>
      <c r="L5239" s="33" t="e">
        <f>HLOOKUP(B5239,#REF!,1,0)</f>
        <v>#REF!</v>
      </c>
      <c r="M5239" s="33" t="str">
        <f t="shared" si="327"/>
        <v>P&amp;L</v>
      </c>
    </row>
    <row r="5240" spans="1:13" s="33" customFormat="true" ht="12.75" customHeight="true">
      <c r="A5240" s="33" t="str">
        <f t="shared" si="324"/>
        <v>GST - Revenue</v>
      </c>
      <c r="B5240" s="33" t="str">
        <f t="shared" si="325"/>
        <v>GST</v>
      </c>
      <c r="C5240" s="33" t="str">
        <f t="shared" si="326"/>
        <v>47480-0000</v>
      </c>
      <c r="D5240" s="64" t="s">
        <v>6309</v>
      </c>
      <c r="E5240" s="64" t="s">
        <v>3729</v>
      </c>
      <c r="F5240" s="64" t="s">
        <v>230</v>
      </c>
      <c r="G5240" s="64" t="s">
        <v>3717</v>
      </c>
      <c r="H5240" s="64" t="s">
        <v>2871</v>
      </c>
      <c r="I5240" s="64" t="s">
        <v>3721</v>
      </c>
      <c r="J5240" s="67">
        <v>0</v>
      </c>
      <c r="K5240" s="62">
        <v>-90</v>
      </c>
      <c r="L5240" s="33" t="e">
        <f>HLOOKUP(B5240,#REF!,1,0)</f>
        <v>#REF!</v>
      </c>
      <c r="M5240" s="33" t="str">
        <f t="shared" si="327"/>
        <v>P&amp;L</v>
      </c>
    </row>
    <row r="5241" spans="1:13" s="33" customFormat="true" ht="12.75" customHeight="true">
      <c r="A5241" s="33" t="str">
        <f t="shared" si="324"/>
        <v>GST - Revenue</v>
      </c>
      <c r="B5241" s="33" t="str">
        <f t="shared" si="325"/>
        <v>GST</v>
      </c>
      <c r="C5241" s="33" t="str">
        <f t="shared" si="326"/>
        <v>47490-0000</v>
      </c>
      <c r="D5241" s="64" t="s">
        <v>6310</v>
      </c>
      <c r="E5241" s="64" t="s">
        <v>3731</v>
      </c>
      <c r="F5241" s="64" t="s">
        <v>230</v>
      </c>
      <c r="G5241" s="64" t="s">
        <v>3717</v>
      </c>
      <c r="H5241" s="64" t="s">
        <v>2871</v>
      </c>
      <c r="I5241" s="64" t="s">
        <v>3721</v>
      </c>
      <c r="J5241" s="67">
        <v>0</v>
      </c>
      <c r="K5241" s="62">
        <v>-150</v>
      </c>
      <c r="L5241" s="33" t="e">
        <f>HLOOKUP(B5241,#REF!,1,0)</f>
        <v>#REF!</v>
      </c>
      <c r="M5241" s="33" t="str">
        <f t="shared" si="327"/>
        <v>P&amp;L</v>
      </c>
    </row>
    <row r="5242" spans="1:13" s="33" customFormat="true" ht="12.75" customHeight="true">
      <c r="A5242" s="33" t="str">
        <f t="shared" si="324"/>
        <v>GST - Revenue</v>
      </c>
      <c r="B5242" s="33" t="str">
        <f t="shared" si="325"/>
        <v>GST</v>
      </c>
      <c r="C5242" s="33" t="str">
        <f t="shared" si="326"/>
        <v>47492-0000</v>
      </c>
      <c r="D5242" s="64" t="s">
        <v>6311</v>
      </c>
      <c r="E5242" s="64" t="s">
        <v>3736</v>
      </c>
      <c r="F5242" s="64" t="s">
        <v>230</v>
      </c>
      <c r="G5242" s="64" t="s">
        <v>3717</v>
      </c>
      <c r="H5242" s="64" t="s">
        <v>2871</v>
      </c>
      <c r="I5242" s="64" t="s">
        <v>3737</v>
      </c>
      <c r="J5242" s="67">
        <v>0</v>
      </c>
      <c r="K5242" s="62">
        <v>-75</v>
      </c>
      <c r="L5242" s="33" t="e">
        <f>HLOOKUP(B5242,#REF!,1,0)</f>
        <v>#REF!</v>
      </c>
      <c r="M5242" s="33" t="str">
        <f t="shared" si="327"/>
        <v>P&amp;L</v>
      </c>
    </row>
    <row r="5243" spans="1:13" s="33" customFormat="true" ht="12.75" customHeight="true">
      <c r="A5243" s="33" t="str">
        <f t="shared" si="324"/>
        <v>GST - CGS</v>
      </c>
      <c r="B5243" s="33" t="str">
        <f t="shared" si="325"/>
        <v>GST</v>
      </c>
      <c r="C5243" s="33" t="str">
        <f t="shared" si="326"/>
        <v>51005-0000</v>
      </c>
      <c r="D5243" s="64" t="s">
        <v>6312</v>
      </c>
      <c r="E5243" s="64" t="s">
        <v>3968</v>
      </c>
      <c r="F5243" s="64" t="s">
        <v>230</v>
      </c>
      <c r="G5243" s="64" t="s">
        <v>3740</v>
      </c>
      <c r="H5243" s="64" t="s">
        <v>1875</v>
      </c>
      <c r="I5243" s="64" t="s">
        <v>3969</v>
      </c>
      <c r="J5243" s="67">
        <v>0</v>
      </c>
      <c r="K5243" s="62">
        <v>30.14</v>
      </c>
      <c r="L5243" s="33" t="e">
        <f>HLOOKUP(B5243,#REF!,1,0)</f>
        <v>#REF!</v>
      </c>
      <c r="M5243" s="33" t="str">
        <f t="shared" si="327"/>
        <v>P&amp;L</v>
      </c>
    </row>
    <row r="5244" spans="1:13" s="33" customFormat="true" ht="12.75" customHeight="true">
      <c r="A5244" s="33" t="str">
        <f t="shared" si="324"/>
        <v>GST - CGS</v>
      </c>
      <c r="B5244" s="33" t="str">
        <f t="shared" si="325"/>
        <v>GST</v>
      </c>
      <c r="C5244" s="33" t="str">
        <f t="shared" si="326"/>
        <v>51008-0000</v>
      </c>
      <c r="D5244" s="64" t="s">
        <v>6313</v>
      </c>
      <c r="E5244" s="64" t="s">
        <v>3743</v>
      </c>
      <c r="F5244" s="64" t="s">
        <v>230</v>
      </c>
      <c r="G5244" s="64" t="s">
        <v>3740</v>
      </c>
      <c r="H5244" s="64" t="s">
        <v>1875</v>
      </c>
      <c r="I5244" s="64" t="s">
        <v>3744</v>
      </c>
      <c r="J5244" s="67">
        <v>0</v>
      </c>
      <c r="K5244" s="62">
        <v>320.72</v>
      </c>
      <c r="L5244" s="33" t="e">
        <f>HLOOKUP(B5244,#REF!,1,0)</f>
        <v>#REF!</v>
      </c>
      <c r="M5244" s="33" t="str">
        <f t="shared" si="327"/>
        <v>P&amp;L</v>
      </c>
    </row>
    <row r="5245" spans="1:13" s="33" customFormat="true" ht="12.75" customHeight="true">
      <c r="A5245" s="33" t="str">
        <f t="shared" si="324"/>
        <v>GST - CGS</v>
      </c>
      <c r="B5245" s="33" t="str">
        <f t="shared" si="325"/>
        <v>GST</v>
      </c>
      <c r="C5245" s="33" t="str">
        <f t="shared" si="326"/>
        <v>51009-0000</v>
      </c>
      <c r="D5245" s="64" t="s">
        <v>6314</v>
      </c>
      <c r="E5245" s="64" t="s">
        <v>3746</v>
      </c>
      <c r="F5245" s="64" t="s">
        <v>230</v>
      </c>
      <c r="G5245" s="64" t="s">
        <v>3740</v>
      </c>
      <c r="H5245" s="64" t="s">
        <v>1875</v>
      </c>
      <c r="I5245" s="64" t="s">
        <v>3747</v>
      </c>
      <c r="J5245" s="67">
        <v>0</v>
      </c>
      <c r="K5245" s="62">
        <v>0</v>
      </c>
      <c r="L5245" s="33" t="e">
        <f>HLOOKUP(B5245,#REF!,1,0)</f>
        <v>#REF!</v>
      </c>
      <c r="M5245" s="33" t="str">
        <f t="shared" si="327"/>
        <v>P&amp;L</v>
      </c>
    </row>
    <row r="5246" spans="1:13" s="33" customFormat="true" ht="12.75" customHeight="true">
      <c r="A5246" s="33" t="str">
        <f t="shared" si="324"/>
        <v>GST - CGS</v>
      </c>
      <c r="B5246" s="33" t="str">
        <f t="shared" si="325"/>
        <v>GST</v>
      </c>
      <c r="C5246" s="33" t="str">
        <f t="shared" si="326"/>
        <v>51012-0000</v>
      </c>
      <c r="D5246" s="64" t="s">
        <v>6315</v>
      </c>
      <c r="E5246" s="64" t="s">
        <v>3752</v>
      </c>
      <c r="F5246" s="64" t="s">
        <v>230</v>
      </c>
      <c r="G5246" s="64" t="s">
        <v>3740</v>
      </c>
      <c r="H5246" s="64" t="s">
        <v>1875</v>
      </c>
      <c r="I5246" s="64" t="s">
        <v>3753</v>
      </c>
      <c r="J5246" s="67">
        <v>0</v>
      </c>
      <c r="K5246" s="62">
        <v>279</v>
      </c>
      <c r="L5246" s="33" t="e">
        <f>HLOOKUP(B5246,#REF!,1,0)</f>
        <v>#REF!</v>
      </c>
      <c r="M5246" s="33" t="str">
        <f t="shared" si="327"/>
        <v>P&amp;L</v>
      </c>
    </row>
    <row r="5247" spans="1:13" s="33" customFormat="true" ht="12.75" customHeight="true">
      <c r="A5247" s="33" t="str">
        <f t="shared" si="324"/>
        <v>GST - CGS</v>
      </c>
      <c r="B5247" s="33" t="str">
        <f t="shared" si="325"/>
        <v>GST</v>
      </c>
      <c r="C5247" s="33" t="str">
        <f t="shared" si="326"/>
        <v>51015-0000</v>
      </c>
      <c r="D5247" s="64" t="s">
        <v>6316</v>
      </c>
      <c r="E5247" s="64" t="s">
        <v>3755</v>
      </c>
      <c r="F5247" s="64" t="s">
        <v>230</v>
      </c>
      <c r="G5247" s="64" t="s">
        <v>3740</v>
      </c>
      <c r="H5247" s="64" t="s">
        <v>1875</v>
      </c>
      <c r="I5247" s="64" t="s">
        <v>3756</v>
      </c>
      <c r="J5247" s="67">
        <v>0</v>
      </c>
      <c r="K5247" s="62">
        <v>45</v>
      </c>
      <c r="L5247" s="33" t="e">
        <f>HLOOKUP(B5247,#REF!,1,0)</f>
        <v>#REF!</v>
      </c>
      <c r="M5247" s="33" t="str">
        <f t="shared" si="327"/>
        <v>P&amp;L</v>
      </c>
    </row>
    <row r="5248" spans="1:13" s="33" customFormat="true" ht="12.75" customHeight="true">
      <c r="A5248" s="33" t="str">
        <f t="shared" si="324"/>
        <v>GST - CGS</v>
      </c>
      <c r="B5248" s="33" t="str">
        <f t="shared" si="325"/>
        <v>GST</v>
      </c>
      <c r="C5248" s="33" t="str">
        <f t="shared" si="326"/>
        <v>53001-0000</v>
      </c>
      <c r="D5248" s="64" t="s">
        <v>6317</v>
      </c>
      <c r="E5248" s="64" t="s">
        <v>3781</v>
      </c>
      <c r="F5248" s="64" t="s">
        <v>230</v>
      </c>
      <c r="G5248" s="64" t="s">
        <v>3160</v>
      </c>
      <c r="H5248" s="64" t="s">
        <v>1875</v>
      </c>
      <c r="I5248" s="64" t="s">
        <v>3782</v>
      </c>
      <c r="J5248" s="67">
        <v>0</v>
      </c>
      <c r="K5248" s="62">
        <v>177.7</v>
      </c>
      <c r="L5248" s="33" t="e">
        <f>HLOOKUP(B5248,#REF!,1,0)</f>
        <v>#REF!</v>
      </c>
      <c r="M5248" s="33" t="str">
        <f t="shared" si="327"/>
        <v>P&amp;L</v>
      </c>
    </row>
    <row r="5249" spans="1:13" s="33" customFormat="true" ht="12.75" customHeight="true">
      <c r="A5249" s="33" t="str">
        <f t="shared" si="324"/>
        <v>GST - CGS</v>
      </c>
      <c r="B5249" s="33" t="str">
        <f t="shared" si="325"/>
        <v>GST</v>
      </c>
      <c r="C5249" s="33" t="str">
        <f t="shared" si="326"/>
        <v>53003-0000</v>
      </c>
      <c r="D5249" s="64" t="s">
        <v>6318</v>
      </c>
      <c r="E5249" s="64" t="s">
        <v>3787</v>
      </c>
      <c r="F5249" s="64" t="s">
        <v>230</v>
      </c>
      <c r="G5249" s="64" t="s">
        <v>3160</v>
      </c>
      <c r="H5249" s="64" t="s">
        <v>1875</v>
      </c>
      <c r="I5249" s="64" t="s">
        <v>3788</v>
      </c>
      <c r="J5249" s="67">
        <v>0</v>
      </c>
      <c r="K5249" s="62">
        <v>291.05</v>
      </c>
      <c r="L5249" s="33" t="e">
        <f>HLOOKUP(B5249,#REF!,1,0)</f>
        <v>#REF!</v>
      </c>
      <c r="M5249" s="33" t="str">
        <f t="shared" si="327"/>
        <v>P&amp;L</v>
      </c>
    </row>
    <row r="5250" spans="1:13" s="33" customFormat="true" ht="12.75" customHeight="true">
      <c r="A5250" s="33" t="str">
        <f t="shared" ref="A5250:A5313" si="328">B5250&amp;" - "&amp;TRIM(H5250)</f>
        <v>GST - CGS</v>
      </c>
      <c r="B5250" s="33" t="str">
        <f t="shared" ref="B5250:B5313" si="329">LEFT(D5250,3)</f>
        <v>GST</v>
      </c>
      <c r="C5250" s="33" t="str">
        <f t="shared" ref="C5250:C5313" si="330">RIGHT(D5250,10)</f>
        <v>53004-0000</v>
      </c>
      <c r="D5250" s="64" t="s">
        <v>6319</v>
      </c>
      <c r="E5250" s="64" t="s">
        <v>3790</v>
      </c>
      <c r="F5250" s="64" t="s">
        <v>230</v>
      </c>
      <c r="G5250" s="64" t="s">
        <v>3160</v>
      </c>
      <c r="H5250" s="64" t="s">
        <v>1875</v>
      </c>
      <c r="I5250" s="64" t="s">
        <v>3791</v>
      </c>
      <c r="J5250" s="67">
        <v>0</v>
      </c>
      <c r="K5250" s="62">
        <v>785.29</v>
      </c>
      <c r="L5250" s="33" t="e">
        <f>HLOOKUP(B5250,#REF!,1,0)</f>
        <v>#REF!</v>
      </c>
      <c r="M5250" s="33" t="str">
        <f t="shared" ref="M5250:M5313" si="331">IF(VALUE(LEFT(C5250,5))&gt;40000,"P&amp;L","BS")</f>
        <v>P&amp;L</v>
      </c>
    </row>
    <row r="5251" spans="1:13" s="33" customFormat="true" ht="12.75" customHeight="true">
      <c r="A5251" s="33" t="str">
        <f t="shared" si="328"/>
        <v>GST - CGS</v>
      </c>
      <c r="B5251" s="33" t="str">
        <f t="shared" si="329"/>
        <v>GST</v>
      </c>
      <c r="C5251" s="33" t="str">
        <f t="shared" si="330"/>
        <v>53005-0000</v>
      </c>
      <c r="D5251" s="64" t="s">
        <v>6320</v>
      </c>
      <c r="E5251" s="64" t="s">
        <v>3793</v>
      </c>
      <c r="F5251" s="64" t="s">
        <v>230</v>
      </c>
      <c r="G5251" s="64" t="s">
        <v>3160</v>
      </c>
      <c r="H5251" s="64" t="s">
        <v>1875</v>
      </c>
      <c r="I5251" s="64" t="s">
        <v>3794</v>
      </c>
      <c r="J5251" s="67">
        <v>0</v>
      </c>
      <c r="K5251" s="62">
        <v>732.34</v>
      </c>
      <c r="L5251" s="33" t="e">
        <f>HLOOKUP(B5251,#REF!,1,0)</f>
        <v>#REF!</v>
      </c>
      <c r="M5251" s="33" t="str">
        <f t="shared" si="331"/>
        <v>P&amp;L</v>
      </c>
    </row>
    <row r="5252" spans="1:13" s="33" customFormat="true" ht="12.75" customHeight="true">
      <c r="A5252" s="33" t="str">
        <f t="shared" si="328"/>
        <v>GST - CGS</v>
      </c>
      <c r="B5252" s="33" t="str">
        <f t="shared" si="329"/>
        <v>GST</v>
      </c>
      <c r="C5252" s="33" t="str">
        <f t="shared" si="330"/>
        <v>53006-0000</v>
      </c>
      <c r="D5252" s="64" t="s">
        <v>6321</v>
      </c>
      <c r="E5252" s="64" t="s">
        <v>3796</v>
      </c>
      <c r="F5252" s="64" t="s">
        <v>230</v>
      </c>
      <c r="G5252" s="64" t="s">
        <v>3160</v>
      </c>
      <c r="H5252" s="64" t="s">
        <v>1875</v>
      </c>
      <c r="I5252" s="64" t="s">
        <v>3797</v>
      </c>
      <c r="J5252" s="67">
        <v>0</v>
      </c>
      <c r="K5252" s="62">
        <v>1041.8</v>
      </c>
      <c r="L5252" s="33" t="e">
        <f>HLOOKUP(B5252,#REF!,1,0)</f>
        <v>#REF!</v>
      </c>
      <c r="M5252" s="33" t="str">
        <f t="shared" si="331"/>
        <v>P&amp;L</v>
      </c>
    </row>
    <row r="5253" spans="1:13" s="33" customFormat="true" ht="12.75" customHeight="true">
      <c r="A5253" s="33" t="str">
        <f t="shared" si="328"/>
        <v>GST - CGS</v>
      </c>
      <c r="B5253" s="33" t="str">
        <f t="shared" si="329"/>
        <v>GST</v>
      </c>
      <c r="C5253" s="33" t="str">
        <f t="shared" si="330"/>
        <v>54003-0000</v>
      </c>
      <c r="D5253" s="64" t="s">
        <v>6322</v>
      </c>
      <c r="E5253" s="64" t="s">
        <v>3803</v>
      </c>
      <c r="F5253" s="64" t="s">
        <v>230</v>
      </c>
      <c r="G5253" s="64" t="s">
        <v>3800</v>
      </c>
      <c r="H5253" s="64" t="s">
        <v>1875</v>
      </c>
      <c r="I5253" s="64" t="s">
        <v>3804</v>
      </c>
      <c r="J5253" s="67">
        <v>0</v>
      </c>
      <c r="K5253" s="62">
        <v>0</v>
      </c>
      <c r="L5253" s="33" t="e">
        <f>HLOOKUP(B5253,#REF!,1,0)</f>
        <v>#REF!</v>
      </c>
      <c r="M5253" s="33" t="str">
        <f t="shared" si="331"/>
        <v>P&amp;L</v>
      </c>
    </row>
    <row r="5254" spans="1:13" s="33" customFormat="true" ht="12.75" customHeight="true">
      <c r="A5254" s="33" t="str">
        <f t="shared" si="328"/>
        <v>GST - CGS</v>
      </c>
      <c r="B5254" s="33" t="str">
        <f t="shared" si="329"/>
        <v>GST</v>
      </c>
      <c r="C5254" s="33" t="str">
        <f t="shared" si="330"/>
        <v>54004-0000</v>
      </c>
      <c r="D5254" s="64" t="s">
        <v>6323</v>
      </c>
      <c r="E5254" s="64" t="s">
        <v>3806</v>
      </c>
      <c r="F5254" s="64" t="s">
        <v>230</v>
      </c>
      <c r="G5254" s="64" t="s">
        <v>3800</v>
      </c>
      <c r="H5254" s="64" t="s">
        <v>1875</v>
      </c>
      <c r="I5254" s="64" t="s">
        <v>3807</v>
      </c>
      <c r="J5254" s="67">
        <v>0</v>
      </c>
      <c r="K5254" s="62">
        <v>3020.37</v>
      </c>
      <c r="L5254" s="33" t="e">
        <f>HLOOKUP(B5254,#REF!,1,0)</f>
        <v>#REF!</v>
      </c>
      <c r="M5254" s="33" t="str">
        <f t="shared" si="331"/>
        <v>P&amp;L</v>
      </c>
    </row>
    <row r="5255" spans="1:13" s="33" customFormat="true" ht="12.75" customHeight="true">
      <c r="A5255" s="33" t="str">
        <f t="shared" si="328"/>
        <v>GST - CGS</v>
      </c>
      <c r="B5255" s="33" t="str">
        <f t="shared" si="329"/>
        <v>GST</v>
      </c>
      <c r="C5255" s="33" t="str">
        <f t="shared" si="330"/>
        <v>54005-0000</v>
      </c>
      <c r="D5255" s="64" t="s">
        <v>6324</v>
      </c>
      <c r="E5255" s="64" t="s">
        <v>3809</v>
      </c>
      <c r="F5255" s="64" t="s">
        <v>230</v>
      </c>
      <c r="G5255" s="64" t="s">
        <v>3800</v>
      </c>
      <c r="H5255" s="64" t="s">
        <v>1875</v>
      </c>
      <c r="I5255" s="64" t="s">
        <v>3810</v>
      </c>
      <c r="J5255" s="67">
        <v>0</v>
      </c>
      <c r="K5255" s="62">
        <v>42.92</v>
      </c>
      <c r="L5255" s="33" t="e">
        <f>HLOOKUP(B5255,#REF!,1,0)</f>
        <v>#REF!</v>
      </c>
      <c r="M5255" s="33" t="str">
        <f t="shared" si="331"/>
        <v>P&amp;L</v>
      </c>
    </row>
    <row r="5256" spans="1:13" s="33" customFormat="true" ht="12.75" customHeight="true">
      <c r="A5256" s="33" t="str">
        <f t="shared" si="328"/>
        <v>GST - CGS</v>
      </c>
      <c r="B5256" s="33" t="str">
        <f t="shared" si="329"/>
        <v>GST</v>
      </c>
      <c r="C5256" s="33" t="str">
        <f t="shared" si="330"/>
        <v>54006-0000</v>
      </c>
      <c r="D5256" s="64" t="s">
        <v>6325</v>
      </c>
      <c r="E5256" s="64" t="s">
        <v>3812</v>
      </c>
      <c r="F5256" s="64" t="s">
        <v>230</v>
      </c>
      <c r="G5256" s="64" t="s">
        <v>3800</v>
      </c>
      <c r="H5256" s="64" t="s">
        <v>1875</v>
      </c>
      <c r="I5256" s="64" t="s">
        <v>3003</v>
      </c>
      <c r="J5256" s="67">
        <v>0</v>
      </c>
      <c r="K5256" s="62">
        <v>351.87</v>
      </c>
      <c r="L5256" s="33" t="e">
        <f>HLOOKUP(B5256,#REF!,1,0)</f>
        <v>#REF!</v>
      </c>
      <c r="M5256" s="33" t="str">
        <f t="shared" si="331"/>
        <v>P&amp;L</v>
      </c>
    </row>
    <row r="5257" spans="1:13" s="33" customFormat="true" ht="12.75" customHeight="true">
      <c r="A5257" s="33" t="str">
        <f t="shared" si="328"/>
        <v>GST - CGS</v>
      </c>
      <c r="B5257" s="33" t="str">
        <f t="shared" si="329"/>
        <v>GST</v>
      </c>
      <c r="C5257" s="33" t="str">
        <f t="shared" si="330"/>
        <v>54007-0000</v>
      </c>
      <c r="D5257" s="64" t="s">
        <v>6326</v>
      </c>
      <c r="E5257" s="64" t="s">
        <v>4182</v>
      </c>
      <c r="F5257" s="64" t="s">
        <v>230</v>
      </c>
      <c r="G5257" s="64" t="s">
        <v>3800</v>
      </c>
      <c r="H5257" s="64" t="s">
        <v>1875</v>
      </c>
      <c r="I5257" s="64" t="s">
        <v>3815</v>
      </c>
      <c r="J5257" s="67">
        <v>0</v>
      </c>
      <c r="K5257" s="62">
        <v>0</v>
      </c>
      <c r="L5257" s="33" t="e">
        <f>HLOOKUP(B5257,#REF!,1,0)</f>
        <v>#REF!</v>
      </c>
      <c r="M5257" s="33" t="str">
        <f t="shared" si="331"/>
        <v>P&amp;L</v>
      </c>
    </row>
    <row r="5258" spans="1:13" s="33" customFormat="true" ht="12.75" customHeight="true">
      <c r="A5258" s="33" t="str">
        <f t="shared" si="328"/>
        <v>GST - CGS</v>
      </c>
      <c r="B5258" s="33" t="str">
        <f t="shared" si="329"/>
        <v>GST</v>
      </c>
      <c r="C5258" s="33" t="str">
        <f t="shared" si="330"/>
        <v>54008-0000</v>
      </c>
      <c r="D5258" s="64" t="s">
        <v>6327</v>
      </c>
      <c r="E5258" s="64" t="s">
        <v>4017</v>
      </c>
      <c r="F5258" s="64" t="s">
        <v>230</v>
      </c>
      <c r="G5258" s="64" t="s">
        <v>3800</v>
      </c>
      <c r="H5258" s="64" t="s">
        <v>1875</v>
      </c>
      <c r="I5258" s="64" t="s">
        <v>4018</v>
      </c>
      <c r="J5258" s="67">
        <v>0</v>
      </c>
      <c r="K5258" s="62">
        <v>0</v>
      </c>
      <c r="L5258" s="33" t="e">
        <f>HLOOKUP(B5258,#REF!,1,0)</f>
        <v>#REF!</v>
      </c>
      <c r="M5258" s="33" t="str">
        <f t="shared" si="331"/>
        <v>P&amp;L</v>
      </c>
    </row>
    <row r="5259" spans="1:13" s="33" customFormat="true" ht="12.75" customHeight="true">
      <c r="A5259" s="33" t="str">
        <f t="shared" si="328"/>
        <v>GST - CGS</v>
      </c>
      <c r="B5259" s="33" t="str">
        <f t="shared" si="329"/>
        <v>GST</v>
      </c>
      <c r="C5259" s="33" t="str">
        <f t="shared" si="330"/>
        <v>60002-0000</v>
      </c>
      <c r="D5259" s="64" t="s">
        <v>6328</v>
      </c>
      <c r="E5259" s="64" t="s">
        <v>3837</v>
      </c>
      <c r="F5259" s="64" t="s">
        <v>230</v>
      </c>
      <c r="G5259" s="64" t="s">
        <v>3838</v>
      </c>
      <c r="H5259" s="64" t="s">
        <v>1875</v>
      </c>
      <c r="I5259" s="64" t="s">
        <v>3839</v>
      </c>
      <c r="J5259" s="67">
        <v>0</v>
      </c>
      <c r="K5259" s="62">
        <v>-496.31</v>
      </c>
      <c r="L5259" s="33" t="e">
        <f>HLOOKUP(B5259,#REF!,1,0)</f>
        <v>#REF!</v>
      </c>
      <c r="M5259" s="33" t="str">
        <f t="shared" si="331"/>
        <v>P&amp;L</v>
      </c>
    </row>
    <row r="5260" spans="1:13" s="33" customFormat="true" ht="12.75" customHeight="true">
      <c r="A5260" s="33" t="str">
        <f t="shared" si="328"/>
        <v>GST - CGS</v>
      </c>
      <c r="B5260" s="33" t="str">
        <f t="shared" si="329"/>
        <v>GST</v>
      </c>
      <c r="C5260" s="33" t="str">
        <f t="shared" si="330"/>
        <v>60005-0000</v>
      </c>
      <c r="D5260" s="64" t="s">
        <v>6329</v>
      </c>
      <c r="E5260" s="64" t="s">
        <v>3841</v>
      </c>
      <c r="F5260" s="64" t="s">
        <v>230</v>
      </c>
      <c r="G5260" s="64" t="s">
        <v>3838</v>
      </c>
      <c r="H5260" s="64" t="s">
        <v>1875</v>
      </c>
      <c r="I5260" s="64" t="s">
        <v>3842</v>
      </c>
      <c r="J5260" s="67">
        <v>0</v>
      </c>
      <c r="K5260" s="62">
        <v>1594</v>
      </c>
      <c r="L5260" s="33" t="e">
        <f>HLOOKUP(B5260,#REF!,1,0)</f>
        <v>#REF!</v>
      </c>
      <c r="M5260" s="33" t="str">
        <f t="shared" si="331"/>
        <v>P&amp;L</v>
      </c>
    </row>
    <row r="5261" spans="1:13" s="33" customFormat="true" ht="12.75" customHeight="true">
      <c r="A5261" s="33" t="str">
        <f t="shared" si="328"/>
        <v>GST - Interest Expense</v>
      </c>
      <c r="B5261" s="33" t="str">
        <f t="shared" si="329"/>
        <v>GST</v>
      </c>
      <c r="C5261" s="33" t="str">
        <f t="shared" si="330"/>
        <v>60006-0000</v>
      </c>
      <c r="D5261" s="64" t="s">
        <v>6330</v>
      </c>
      <c r="E5261" s="64" t="s">
        <v>3325</v>
      </c>
      <c r="F5261" s="64" t="s">
        <v>230</v>
      </c>
      <c r="G5261" s="64" t="s">
        <v>3844</v>
      </c>
      <c r="H5261" s="64" t="s">
        <v>3327</v>
      </c>
      <c r="I5261" s="64" t="s">
        <v>3328</v>
      </c>
      <c r="J5261" s="67">
        <v>0</v>
      </c>
      <c r="K5261" s="62">
        <v>30600.08</v>
      </c>
      <c r="L5261" s="33" t="e">
        <f>HLOOKUP(B5261,#REF!,1,0)</f>
        <v>#REF!</v>
      </c>
      <c r="M5261" s="33" t="str">
        <f t="shared" si="331"/>
        <v>P&amp;L</v>
      </c>
    </row>
    <row r="5262" spans="1:13" s="33" customFormat="true" ht="12.75" customHeight="true">
      <c r="A5262" s="33" t="str">
        <f t="shared" si="328"/>
        <v>GST - CGS</v>
      </c>
      <c r="B5262" s="33" t="str">
        <f t="shared" si="329"/>
        <v>GST</v>
      </c>
      <c r="C5262" s="33" t="str">
        <f t="shared" si="330"/>
        <v>60007-0000</v>
      </c>
      <c r="D5262" s="64" t="s">
        <v>6331</v>
      </c>
      <c r="E5262" s="64" t="s">
        <v>3846</v>
      </c>
      <c r="F5262" s="64" t="s">
        <v>230</v>
      </c>
      <c r="G5262" s="64" t="s">
        <v>3838</v>
      </c>
      <c r="H5262" s="64" t="s">
        <v>1875</v>
      </c>
      <c r="I5262" s="64" t="s">
        <v>3847</v>
      </c>
      <c r="J5262" s="67">
        <v>0</v>
      </c>
      <c r="K5262" s="62">
        <v>801</v>
      </c>
      <c r="L5262" s="33" t="e">
        <f>HLOOKUP(B5262,#REF!,1,0)</f>
        <v>#REF!</v>
      </c>
      <c r="M5262" s="33" t="str">
        <f t="shared" si="331"/>
        <v>P&amp;L</v>
      </c>
    </row>
    <row r="5263" spans="1:13" s="33" customFormat="true" ht="12.75" customHeight="true">
      <c r="A5263" s="33" t="str">
        <f t="shared" si="328"/>
        <v>GST - CGS</v>
      </c>
      <c r="B5263" s="33" t="str">
        <f t="shared" si="329"/>
        <v>GST</v>
      </c>
      <c r="C5263" s="33" t="str">
        <f t="shared" si="330"/>
        <v>60011-0000</v>
      </c>
      <c r="D5263" s="64" t="s">
        <v>6332</v>
      </c>
      <c r="E5263" s="64" t="s">
        <v>4199</v>
      </c>
      <c r="F5263" s="64" t="s">
        <v>230</v>
      </c>
      <c r="G5263" s="64" t="s">
        <v>3838</v>
      </c>
      <c r="H5263" s="64" t="s">
        <v>1875</v>
      </c>
      <c r="I5263" s="64" t="s">
        <v>4200</v>
      </c>
      <c r="J5263" s="67">
        <v>0</v>
      </c>
      <c r="K5263" s="62">
        <v>90</v>
      </c>
      <c r="L5263" s="33" t="e">
        <f>HLOOKUP(B5263,#REF!,1,0)</f>
        <v>#REF!</v>
      </c>
      <c r="M5263" s="33" t="str">
        <f t="shared" si="331"/>
        <v>P&amp;L</v>
      </c>
    </row>
    <row r="5264" spans="1:13" s="33" customFormat="true" ht="12.75" customHeight="true">
      <c r="A5264" s="33" t="str">
        <f t="shared" si="328"/>
        <v>GST - CGS</v>
      </c>
      <c r="B5264" s="33" t="str">
        <f t="shared" si="329"/>
        <v>GST</v>
      </c>
      <c r="C5264" s="33" t="str">
        <f t="shared" si="330"/>
        <v>60012-0000</v>
      </c>
      <c r="D5264" s="64" t="s">
        <v>6333</v>
      </c>
      <c r="E5264" s="64" t="s">
        <v>3852</v>
      </c>
      <c r="F5264" s="64" t="s">
        <v>230</v>
      </c>
      <c r="G5264" s="64" t="s">
        <v>3838</v>
      </c>
      <c r="H5264" s="64" t="s">
        <v>1875</v>
      </c>
      <c r="I5264" s="64" t="s">
        <v>3853</v>
      </c>
      <c r="J5264" s="67">
        <v>0</v>
      </c>
      <c r="K5264" s="62">
        <v>7509.25</v>
      </c>
      <c r="L5264" s="33" t="e">
        <f>HLOOKUP(B5264,#REF!,1,0)</f>
        <v>#REF!</v>
      </c>
      <c r="M5264" s="33" t="str">
        <f t="shared" si="331"/>
        <v>P&amp;L</v>
      </c>
    </row>
    <row r="5265" spans="1:13" s="33" customFormat="true" ht="12.75" customHeight="true">
      <c r="A5265" s="33" t="str">
        <f t="shared" si="328"/>
        <v>GST - CGS</v>
      </c>
      <c r="B5265" s="33" t="str">
        <f t="shared" si="329"/>
        <v>GST</v>
      </c>
      <c r="C5265" s="33" t="str">
        <f t="shared" si="330"/>
        <v>60014-0000</v>
      </c>
      <c r="D5265" s="64" t="s">
        <v>6334</v>
      </c>
      <c r="E5265" s="64" t="s">
        <v>3855</v>
      </c>
      <c r="F5265" s="64" t="s">
        <v>230</v>
      </c>
      <c r="G5265" s="64" t="s">
        <v>3838</v>
      </c>
      <c r="H5265" s="64" t="s">
        <v>1875</v>
      </c>
      <c r="I5265" s="64" t="s">
        <v>3856</v>
      </c>
      <c r="J5265" s="67">
        <v>0</v>
      </c>
      <c r="K5265" s="62">
        <v>2142.92</v>
      </c>
      <c r="L5265" s="33" t="e">
        <f>HLOOKUP(B5265,#REF!,1,0)</f>
        <v>#REF!</v>
      </c>
      <c r="M5265" s="33" t="str">
        <f t="shared" si="331"/>
        <v>P&amp;L</v>
      </c>
    </row>
    <row r="5266" spans="1:13" s="33" customFormat="true" ht="12.75" customHeight="true">
      <c r="A5266" s="33" t="str">
        <f t="shared" si="328"/>
        <v>GST - CGS</v>
      </c>
      <c r="B5266" s="33" t="str">
        <f t="shared" si="329"/>
        <v>GST</v>
      </c>
      <c r="C5266" s="33" t="str">
        <f t="shared" si="330"/>
        <v>60015-0000</v>
      </c>
      <c r="D5266" s="64" t="s">
        <v>6335</v>
      </c>
      <c r="E5266" s="64" t="s">
        <v>3858</v>
      </c>
      <c r="F5266" s="64" t="s">
        <v>230</v>
      </c>
      <c r="G5266" s="64" t="s">
        <v>3838</v>
      </c>
      <c r="H5266" s="64" t="s">
        <v>1875</v>
      </c>
      <c r="I5266" s="64" t="s">
        <v>3859</v>
      </c>
      <c r="J5266" s="67">
        <v>0</v>
      </c>
      <c r="K5266" s="62">
        <v>435</v>
      </c>
      <c r="L5266" s="33" t="e">
        <f>HLOOKUP(B5266,#REF!,1,0)</f>
        <v>#REF!</v>
      </c>
      <c r="M5266" s="33" t="str">
        <f t="shared" si="331"/>
        <v>P&amp;L</v>
      </c>
    </row>
    <row r="5267" spans="1:13" s="33" customFormat="true" ht="12.75" customHeight="true">
      <c r="A5267" s="33" t="str">
        <f t="shared" si="328"/>
        <v>GST - CGS</v>
      </c>
      <c r="B5267" s="33" t="str">
        <f t="shared" si="329"/>
        <v>GST</v>
      </c>
      <c r="C5267" s="33" t="str">
        <f t="shared" si="330"/>
        <v>61018-0000</v>
      </c>
      <c r="D5267" s="64" t="s">
        <v>6336</v>
      </c>
      <c r="E5267" s="64" t="s">
        <v>3864</v>
      </c>
      <c r="F5267" s="64" t="s">
        <v>230</v>
      </c>
      <c r="G5267" s="64" t="s">
        <v>3838</v>
      </c>
      <c r="H5267" s="64" t="s">
        <v>1875</v>
      </c>
      <c r="I5267" s="64" t="s">
        <v>3866</v>
      </c>
      <c r="J5267" s="67">
        <v>0</v>
      </c>
      <c r="K5267" s="62">
        <v>215463.31</v>
      </c>
      <c r="L5267" s="33" t="e">
        <f>HLOOKUP(B5267,#REF!,1,0)</f>
        <v>#REF!</v>
      </c>
      <c r="M5267" s="33" t="str">
        <f t="shared" si="331"/>
        <v>P&amp;L</v>
      </c>
    </row>
    <row r="5268" spans="1:13" s="33" customFormat="true" ht="12.75" customHeight="true">
      <c r="A5268" s="33" t="str">
        <f t="shared" si="328"/>
        <v>GST - Income Tax</v>
      </c>
      <c r="B5268" s="33" t="str">
        <f t="shared" si="329"/>
        <v>GST</v>
      </c>
      <c r="C5268" s="33" t="str">
        <f t="shared" si="330"/>
        <v>61019-0000</v>
      </c>
      <c r="D5268" s="64" t="s">
        <v>6337</v>
      </c>
      <c r="E5268" s="64" t="s">
        <v>4041</v>
      </c>
      <c r="F5268" s="64" t="s">
        <v>230</v>
      </c>
      <c r="G5268" s="64" t="s">
        <v>3844</v>
      </c>
      <c r="H5268" s="64" t="s">
        <v>3378</v>
      </c>
      <c r="I5268" s="64" t="s">
        <v>4042</v>
      </c>
      <c r="J5268" s="67">
        <v>0</v>
      </c>
      <c r="K5268" s="62">
        <v>-112.36</v>
      </c>
      <c r="L5268" s="33" t="e">
        <f>HLOOKUP(B5268,#REF!,1,0)</f>
        <v>#REF!</v>
      </c>
      <c r="M5268" s="33" t="str">
        <f t="shared" si="331"/>
        <v>P&amp;L</v>
      </c>
    </row>
    <row r="5269" spans="1:13" s="33" customFormat="true" ht="12.75" customHeight="true">
      <c r="A5269" s="33" t="str">
        <f t="shared" si="328"/>
        <v>GST - Gain/Loss on Disp</v>
      </c>
      <c r="B5269" s="33" t="str">
        <f t="shared" si="329"/>
        <v>GST</v>
      </c>
      <c r="C5269" s="33" t="str">
        <f t="shared" si="330"/>
        <v>99700-0000</v>
      </c>
      <c r="D5269" s="64" t="s">
        <v>6338</v>
      </c>
      <c r="E5269" s="64" t="s">
        <v>5920</v>
      </c>
      <c r="F5269" s="64" t="s">
        <v>230</v>
      </c>
      <c r="G5269" s="64" t="s">
        <v>3326</v>
      </c>
      <c r="H5269" s="64" t="s">
        <v>5921</v>
      </c>
      <c r="I5269" s="64" t="s">
        <v>5922</v>
      </c>
      <c r="J5269" s="67">
        <v>0</v>
      </c>
      <c r="K5269" s="62">
        <v>-1600000</v>
      </c>
      <c r="L5269" s="33" t="e">
        <f>HLOOKUP(B5269,#REF!,1,0)</f>
        <v>#REF!</v>
      </c>
      <c r="M5269" s="33" t="str">
        <f t="shared" si="331"/>
        <v>P&amp;L</v>
      </c>
    </row>
    <row r="5270" spans="1:13" s="33" customFormat="true" ht="12.75" customHeight="true">
      <c r="A5270" s="33" t="str">
        <f t="shared" si="328"/>
        <v>HDM - Cash</v>
      </c>
      <c r="B5270" s="33" t="str">
        <f t="shared" si="329"/>
        <v>HDM</v>
      </c>
      <c r="C5270" s="33" t="str">
        <f t="shared" si="330"/>
        <v>10001-0000</v>
      </c>
      <c r="D5270" s="64" t="s">
        <v>6339</v>
      </c>
      <c r="E5270" s="64" t="s">
        <v>240</v>
      </c>
      <c r="F5270" s="64" t="s">
        <v>230</v>
      </c>
      <c r="G5270" s="64" t="s">
        <v>16</v>
      </c>
      <c r="H5270" s="64" t="s">
        <v>25</v>
      </c>
      <c r="I5270" s="64" t="s">
        <v>18</v>
      </c>
      <c r="J5270" s="67">
        <v>-25779.3</v>
      </c>
      <c r="K5270" s="62">
        <v>-9108.91</v>
      </c>
      <c r="L5270" s="33" t="e">
        <f>HLOOKUP(B5270,#REF!,1,0)</f>
        <v>#REF!</v>
      </c>
      <c r="M5270" s="33" t="str">
        <f t="shared" si="331"/>
        <v>BS</v>
      </c>
    </row>
    <row r="5271" spans="1:13" s="33" customFormat="true" ht="12.75" customHeight="true">
      <c r="A5271" s="33" t="str">
        <f t="shared" si="328"/>
        <v>HDM - AR-PPD</v>
      </c>
      <c r="B5271" s="33" t="str">
        <f t="shared" si="329"/>
        <v>HDM</v>
      </c>
      <c r="C5271" s="33" t="str">
        <f t="shared" si="330"/>
        <v>11000-0000</v>
      </c>
      <c r="D5271" s="64" t="s">
        <v>6340</v>
      </c>
      <c r="E5271" s="64" t="s">
        <v>34</v>
      </c>
      <c r="F5271" s="64" t="s">
        <v>230</v>
      </c>
      <c r="G5271" s="64" t="s">
        <v>16</v>
      </c>
      <c r="H5271" s="64" t="s">
        <v>35</v>
      </c>
      <c r="I5271" s="64" t="s">
        <v>36</v>
      </c>
      <c r="J5271" s="67">
        <v>0</v>
      </c>
      <c r="K5271" s="62">
        <v>1288.98</v>
      </c>
      <c r="L5271" s="33" t="e">
        <f>HLOOKUP(B5271,#REF!,1,0)</f>
        <v>#REF!</v>
      </c>
      <c r="M5271" s="33" t="str">
        <f t="shared" si="331"/>
        <v>BS</v>
      </c>
    </row>
    <row r="5272" spans="1:13" s="33" customFormat="true" ht="12.75" customHeight="true">
      <c r="A5272" s="33" t="str">
        <f t="shared" si="328"/>
        <v>HDM - Intercompany</v>
      </c>
      <c r="B5272" s="33" t="str">
        <f t="shared" si="329"/>
        <v>HDM</v>
      </c>
      <c r="C5272" s="33" t="str">
        <f t="shared" si="330"/>
        <v>11216-0000</v>
      </c>
      <c r="D5272" s="64" t="s">
        <v>6341</v>
      </c>
      <c r="E5272" s="64" t="s">
        <v>242</v>
      </c>
      <c r="F5272" s="64" t="s">
        <v>230</v>
      </c>
      <c r="G5272" s="64" t="s">
        <v>16</v>
      </c>
      <c r="H5272" s="64" t="s">
        <v>39</v>
      </c>
      <c r="I5272" s="64" t="s">
        <v>40</v>
      </c>
      <c r="J5272" s="67">
        <v>-3.63</v>
      </c>
      <c r="K5272" s="62">
        <v>-620.8</v>
      </c>
      <c r="L5272" s="33" t="e">
        <f>HLOOKUP(B5272,#REF!,1,0)</f>
        <v>#REF!</v>
      </c>
      <c r="M5272" s="33" t="str">
        <f t="shared" si="331"/>
        <v>BS</v>
      </c>
    </row>
    <row r="5273" spans="1:13" s="33" customFormat="true" ht="12.75" customHeight="true">
      <c r="A5273" s="33" t="str">
        <f t="shared" si="328"/>
        <v>HDM - Intercompany</v>
      </c>
      <c r="B5273" s="33" t="str">
        <f t="shared" si="329"/>
        <v>HDM</v>
      </c>
      <c r="C5273" s="33" t="str">
        <f t="shared" si="330"/>
        <v>11320-0000</v>
      </c>
      <c r="D5273" s="64" t="s">
        <v>6342</v>
      </c>
      <c r="E5273" s="64" t="s">
        <v>328</v>
      </c>
      <c r="F5273" s="64" t="s">
        <v>230</v>
      </c>
      <c r="G5273" s="64" t="s">
        <v>16</v>
      </c>
      <c r="H5273" s="64" t="s">
        <v>39</v>
      </c>
      <c r="I5273" s="64" t="s">
        <v>40</v>
      </c>
      <c r="J5273" s="67">
        <v>0</v>
      </c>
      <c r="K5273" s="62">
        <v>-450000</v>
      </c>
      <c r="L5273" s="33" t="e">
        <f>HLOOKUP(B5273,#REF!,1,0)</f>
        <v>#REF!</v>
      </c>
      <c r="M5273" s="33" t="str">
        <f t="shared" si="331"/>
        <v>BS</v>
      </c>
    </row>
    <row r="5274" spans="1:13" s="33" customFormat="true" ht="12.75" customHeight="true">
      <c r="A5274" s="33" t="str">
        <f t="shared" si="328"/>
        <v>HDM - Intercompany</v>
      </c>
      <c r="B5274" s="33" t="str">
        <f t="shared" si="329"/>
        <v>HDM</v>
      </c>
      <c r="C5274" s="33" t="str">
        <f t="shared" si="330"/>
        <v>11343-0000</v>
      </c>
      <c r="D5274" s="64" t="s">
        <v>6343</v>
      </c>
      <c r="E5274" s="64" t="s">
        <v>600</v>
      </c>
      <c r="F5274" s="64" t="s">
        <v>230</v>
      </c>
      <c r="G5274" s="64" t="s">
        <v>16</v>
      </c>
      <c r="H5274" s="64" t="s">
        <v>39</v>
      </c>
      <c r="I5274" s="64" t="s">
        <v>40</v>
      </c>
      <c r="J5274" s="67">
        <v>0</v>
      </c>
      <c r="K5274" s="62">
        <v>-1020.05</v>
      </c>
      <c r="L5274" s="33" t="e">
        <f>HLOOKUP(B5274,#REF!,1,0)</f>
        <v>#REF!</v>
      </c>
      <c r="M5274" s="33" t="str">
        <f t="shared" si="331"/>
        <v>BS</v>
      </c>
    </row>
    <row r="5275" spans="1:13" s="33" customFormat="true" ht="12.75" customHeight="true">
      <c r="A5275" s="33" t="str">
        <f t="shared" si="328"/>
        <v>HDM - AR-PPD</v>
      </c>
      <c r="B5275" s="33" t="str">
        <f t="shared" si="329"/>
        <v>HDM</v>
      </c>
      <c r="C5275" s="33" t="str">
        <f t="shared" si="330"/>
        <v>12200-0000</v>
      </c>
      <c r="D5275" s="64" t="s">
        <v>6344</v>
      </c>
      <c r="E5275" s="64" t="s">
        <v>294</v>
      </c>
      <c r="F5275" s="64" t="s">
        <v>230</v>
      </c>
      <c r="G5275" s="64" t="s">
        <v>62</v>
      </c>
      <c r="H5275" s="64" t="s">
        <v>35</v>
      </c>
      <c r="I5275" s="64" t="s">
        <v>64</v>
      </c>
      <c r="J5275" s="67">
        <v>0</v>
      </c>
      <c r="K5275" s="62">
        <v>-1415.43</v>
      </c>
      <c r="L5275" s="33" t="e">
        <f>HLOOKUP(B5275,#REF!,1,0)</f>
        <v>#REF!</v>
      </c>
      <c r="M5275" s="33" t="str">
        <f t="shared" si="331"/>
        <v>BS</v>
      </c>
    </row>
    <row r="5276" spans="1:13" s="33" customFormat="true" ht="12.75" customHeight="true">
      <c r="A5276" s="33" t="str">
        <f t="shared" si="328"/>
        <v>HDM - Fixed Assets</v>
      </c>
      <c r="B5276" s="33" t="str">
        <f t="shared" si="329"/>
        <v>HDM</v>
      </c>
      <c r="C5276" s="33" t="str">
        <f t="shared" si="330"/>
        <v>14000-0000</v>
      </c>
      <c r="D5276" s="64" t="s">
        <v>6345</v>
      </c>
      <c r="E5276" s="64" t="s">
        <v>298</v>
      </c>
      <c r="F5276" s="64" t="s">
        <v>230</v>
      </c>
      <c r="G5276" s="64" t="s">
        <v>62</v>
      </c>
      <c r="H5276" s="64" t="s">
        <v>63</v>
      </c>
      <c r="I5276" s="64" t="s">
        <v>64</v>
      </c>
      <c r="J5276" s="67">
        <v>0</v>
      </c>
      <c r="K5276" s="62">
        <v>825000</v>
      </c>
      <c r="L5276" s="33" t="e">
        <f>HLOOKUP(B5276,#REF!,1,0)</f>
        <v>#REF!</v>
      </c>
      <c r="M5276" s="33" t="str">
        <f t="shared" si="331"/>
        <v>BS</v>
      </c>
    </row>
    <row r="5277" spans="1:13" s="33" customFormat="true" ht="12.75" customHeight="true">
      <c r="A5277" s="33" t="str">
        <f t="shared" si="328"/>
        <v>HDM - Fixed Assets</v>
      </c>
      <c r="B5277" s="33" t="str">
        <f t="shared" si="329"/>
        <v>HDM</v>
      </c>
      <c r="C5277" s="33" t="str">
        <f t="shared" si="330"/>
        <v>15000-0000</v>
      </c>
      <c r="D5277" s="64" t="s">
        <v>6346</v>
      </c>
      <c r="E5277" s="64" t="s">
        <v>300</v>
      </c>
      <c r="F5277" s="64" t="s">
        <v>230</v>
      </c>
      <c r="G5277" s="64" t="s">
        <v>62</v>
      </c>
      <c r="H5277" s="64" t="s">
        <v>63</v>
      </c>
      <c r="I5277" s="64" t="s">
        <v>64</v>
      </c>
      <c r="J5277" s="67">
        <v>0</v>
      </c>
      <c r="K5277" s="62">
        <v>1925000</v>
      </c>
      <c r="L5277" s="33" t="e">
        <f>HLOOKUP(B5277,#REF!,1,0)</f>
        <v>#REF!</v>
      </c>
      <c r="M5277" s="33" t="str">
        <f t="shared" si="331"/>
        <v>BS</v>
      </c>
    </row>
    <row r="5278" spans="1:13" s="33" customFormat="true" ht="12.75" customHeight="true">
      <c r="A5278" s="33" t="str">
        <f t="shared" si="328"/>
        <v>HDM - Fixed Assets</v>
      </c>
      <c r="B5278" s="33" t="str">
        <f t="shared" si="329"/>
        <v>HDM</v>
      </c>
      <c r="C5278" s="33" t="str">
        <f t="shared" si="330"/>
        <v>15501-0000</v>
      </c>
      <c r="D5278" s="64" t="s">
        <v>6347</v>
      </c>
      <c r="E5278" s="64" t="s">
        <v>2635</v>
      </c>
      <c r="F5278" s="64" t="s">
        <v>230</v>
      </c>
      <c r="G5278" s="64" t="s">
        <v>62</v>
      </c>
      <c r="H5278" s="64" t="s">
        <v>63</v>
      </c>
      <c r="I5278" s="64" t="s">
        <v>64</v>
      </c>
      <c r="J5278" s="67">
        <v>149.6</v>
      </c>
      <c r="K5278" s="62">
        <v>587.14</v>
      </c>
      <c r="L5278" s="33" t="e">
        <f>HLOOKUP(B5278,#REF!,1,0)</f>
        <v>#REF!</v>
      </c>
      <c r="M5278" s="33" t="str">
        <f t="shared" si="331"/>
        <v>BS</v>
      </c>
    </row>
    <row r="5279" spans="1:13" s="33" customFormat="true" ht="12.75" customHeight="true">
      <c r="A5279" s="33" t="str">
        <f t="shared" si="328"/>
        <v>HDM - Deposits</v>
      </c>
      <c r="B5279" s="33" t="str">
        <f t="shared" si="329"/>
        <v>HDM</v>
      </c>
      <c r="C5279" s="33" t="str">
        <f t="shared" si="330"/>
        <v>19001-0000</v>
      </c>
      <c r="D5279" s="64" t="s">
        <v>6348</v>
      </c>
      <c r="E5279" s="64" t="s">
        <v>344</v>
      </c>
      <c r="F5279" s="64" t="s">
        <v>230</v>
      </c>
      <c r="G5279" s="64" t="s">
        <v>62</v>
      </c>
      <c r="H5279" s="64" t="s">
        <v>80</v>
      </c>
      <c r="I5279" s="64" t="s">
        <v>81</v>
      </c>
      <c r="J5279" s="67">
        <v>0</v>
      </c>
      <c r="K5279" s="62">
        <v>9100</v>
      </c>
      <c r="L5279" s="33" t="e">
        <f>HLOOKUP(B5279,#REF!,1,0)</f>
        <v>#REF!</v>
      </c>
      <c r="M5279" s="33" t="str">
        <f t="shared" si="331"/>
        <v>BS</v>
      </c>
    </row>
    <row r="5280" spans="1:13" s="33" customFormat="true" ht="12.75" customHeight="true">
      <c r="A5280" s="33" t="str">
        <f t="shared" si="328"/>
        <v>HDM - AP-Accr Exp</v>
      </c>
      <c r="B5280" s="33" t="str">
        <f t="shared" si="329"/>
        <v>HDM</v>
      </c>
      <c r="C5280" s="33" t="str">
        <f t="shared" si="330"/>
        <v>20001-0000</v>
      </c>
      <c r="D5280" s="64" t="s">
        <v>6349</v>
      </c>
      <c r="E5280" s="64" t="s">
        <v>96</v>
      </c>
      <c r="F5280" s="64" t="s">
        <v>230</v>
      </c>
      <c r="G5280" s="64" t="s">
        <v>97</v>
      </c>
      <c r="H5280" s="64" t="s">
        <v>98</v>
      </c>
      <c r="I5280" s="64" t="s">
        <v>99</v>
      </c>
      <c r="J5280" s="67">
        <v>5699</v>
      </c>
      <c r="K5280" s="62">
        <v>0</v>
      </c>
      <c r="L5280" s="33" t="e">
        <f>HLOOKUP(B5280,#REF!,1,0)</f>
        <v>#REF!</v>
      </c>
      <c r="M5280" s="33" t="str">
        <f t="shared" si="331"/>
        <v>BS</v>
      </c>
    </row>
    <row r="5281" spans="1:13" s="33" customFormat="true" ht="12.75" customHeight="true">
      <c r="A5281" s="33" t="str">
        <f t="shared" si="328"/>
        <v>HDM - Tax Accr</v>
      </c>
      <c r="B5281" s="33" t="str">
        <f t="shared" si="329"/>
        <v>HDM</v>
      </c>
      <c r="C5281" s="33" t="str">
        <f t="shared" si="330"/>
        <v>22001-0000</v>
      </c>
      <c r="D5281" s="64" t="s">
        <v>6350</v>
      </c>
      <c r="E5281" s="64" t="s">
        <v>1322</v>
      </c>
      <c r="F5281" s="64" t="s">
        <v>230</v>
      </c>
      <c r="G5281" s="64" t="s">
        <v>97</v>
      </c>
      <c r="H5281" s="64" t="s">
        <v>105</v>
      </c>
      <c r="I5281" s="64" t="s">
        <v>102</v>
      </c>
      <c r="J5281" s="67">
        <v>-294.82</v>
      </c>
      <c r="K5281" s="62">
        <v>-1214.26</v>
      </c>
      <c r="L5281" s="33" t="e">
        <f>HLOOKUP(B5281,#REF!,1,0)</f>
        <v>#REF!</v>
      </c>
      <c r="M5281" s="33" t="str">
        <f t="shared" si="331"/>
        <v>BS</v>
      </c>
    </row>
    <row r="5282" spans="1:13" s="33" customFormat="true" ht="12.75" customHeight="true">
      <c r="A5282" s="33" t="str">
        <f t="shared" si="328"/>
        <v>HDM - AP-Accr Exp</v>
      </c>
      <c r="B5282" s="33" t="str">
        <f t="shared" si="329"/>
        <v>HDM</v>
      </c>
      <c r="C5282" s="33" t="str">
        <f t="shared" si="330"/>
        <v>23509-0000</v>
      </c>
      <c r="D5282" s="64" t="s">
        <v>6351</v>
      </c>
      <c r="E5282" s="64" t="s">
        <v>111</v>
      </c>
      <c r="F5282" s="64" t="s">
        <v>230</v>
      </c>
      <c r="G5282" s="64" t="s">
        <v>97</v>
      </c>
      <c r="H5282" s="64" t="s">
        <v>98</v>
      </c>
      <c r="I5282" s="64" t="s">
        <v>102</v>
      </c>
      <c r="J5282" s="67">
        <v>195.19</v>
      </c>
      <c r="K5282" s="62">
        <v>0</v>
      </c>
      <c r="L5282" s="33" t="e">
        <f>HLOOKUP(B5282,#REF!,1,0)</f>
        <v>#REF!</v>
      </c>
      <c r="M5282" s="33" t="str">
        <f t="shared" si="331"/>
        <v>BS</v>
      </c>
    </row>
    <row r="5283" spans="1:13" s="33" customFormat="true" ht="12.75" customHeight="true">
      <c r="A5283" s="33" t="str">
        <f t="shared" si="328"/>
        <v>HDM - AR-PPD</v>
      </c>
      <c r="B5283" s="33" t="str">
        <f t="shared" si="329"/>
        <v>HDM</v>
      </c>
      <c r="C5283" s="33" t="str">
        <f t="shared" si="330"/>
        <v>25300-0000</v>
      </c>
      <c r="D5283" s="64" t="s">
        <v>6352</v>
      </c>
      <c r="E5283" s="64" t="s">
        <v>3677</v>
      </c>
      <c r="F5283" s="64" t="s">
        <v>230</v>
      </c>
      <c r="G5283" s="64" t="s">
        <v>3678</v>
      </c>
      <c r="H5283" s="64" t="s">
        <v>35</v>
      </c>
      <c r="I5283" s="64" t="s">
        <v>102</v>
      </c>
      <c r="J5283" s="67">
        <v>-752</v>
      </c>
      <c r="K5283" s="62">
        <v>-1704</v>
      </c>
      <c r="L5283" s="33" t="e">
        <f>HLOOKUP(B5283,#REF!,1,0)</f>
        <v>#REF!</v>
      </c>
      <c r="M5283" s="33" t="str">
        <f t="shared" si="331"/>
        <v>BS</v>
      </c>
    </row>
    <row r="5284" spans="1:13" s="33" customFormat="true" ht="12.75" customHeight="true">
      <c r="A5284" s="33" t="str">
        <f t="shared" si="328"/>
        <v>HDM - Principal</v>
      </c>
      <c r="B5284" s="33" t="str">
        <f t="shared" si="329"/>
        <v>HDM</v>
      </c>
      <c r="C5284" s="33" t="str">
        <f t="shared" si="330"/>
        <v>28001-0000</v>
      </c>
      <c r="D5284" s="64" t="s">
        <v>6353</v>
      </c>
      <c r="E5284" s="64" t="s">
        <v>1327</v>
      </c>
      <c r="F5284" s="64" t="s">
        <v>230</v>
      </c>
      <c r="G5284" s="64" t="s">
        <v>123</v>
      </c>
      <c r="H5284" s="64" t="s">
        <v>127</v>
      </c>
      <c r="I5284" s="64" t="s">
        <v>133</v>
      </c>
      <c r="J5284" s="67">
        <v>0</v>
      </c>
      <c r="K5284" s="62">
        <v>-2100000</v>
      </c>
      <c r="L5284" s="33" t="e">
        <f>HLOOKUP(B5284,#REF!,1,0)</f>
        <v>#REF!</v>
      </c>
      <c r="M5284" s="33" t="str">
        <f t="shared" si="331"/>
        <v>BS</v>
      </c>
    </row>
    <row r="5285" spans="1:13" s="33" customFormat="true" ht="12.75" customHeight="true">
      <c r="A5285" s="33" t="str">
        <f t="shared" si="328"/>
        <v>HDM - SH Dist</v>
      </c>
      <c r="B5285" s="33" t="str">
        <f t="shared" si="329"/>
        <v>HDM</v>
      </c>
      <c r="C5285" s="33" t="str">
        <f t="shared" si="330"/>
        <v>30700-0000</v>
      </c>
      <c r="D5285" s="64" t="s">
        <v>6354</v>
      </c>
      <c r="E5285" s="64" t="s">
        <v>319</v>
      </c>
      <c r="F5285" s="64" t="s">
        <v>230</v>
      </c>
      <c r="G5285" s="64" t="s">
        <v>142</v>
      </c>
      <c r="H5285" s="64" t="s">
        <v>143</v>
      </c>
      <c r="I5285" s="64" t="s">
        <v>144</v>
      </c>
      <c r="J5285" s="67">
        <v>0</v>
      </c>
      <c r="K5285" s="62">
        <v>-260000</v>
      </c>
      <c r="L5285" s="33" t="e">
        <f>HLOOKUP(B5285,#REF!,1,0)</f>
        <v>#REF!</v>
      </c>
      <c r="M5285" s="33" t="str">
        <f t="shared" si="331"/>
        <v>BS</v>
      </c>
    </row>
    <row r="5286" spans="1:13" s="33" customFormat="true" ht="12.75" customHeight="true">
      <c r="A5286" s="33" t="str">
        <f t="shared" si="328"/>
        <v>HDM - Revenue</v>
      </c>
      <c r="B5286" s="33" t="str">
        <f t="shared" si="329"/>
        <v>HDM</v>
      </c>
      <c r="C5286" s="33" t="str">
        <f t="shared" si="330"/>
        <v>40110-0000</v>
      </c>
      <c r="D5286" s="64" t="s">
        <v>6355</v>
      </c>
      <c r="E5286" s="64" t="s">
        <v>3683</v>
      </c>
      <c r="F5286" s="64" t="s">
        <v>230</v>
      </c>
      <c r="G5286" s="64" t="s">
        <v>3684</v>
      </c>
      <c r="H5286" s="64" t="s">
        <v>2871</v>
      </c>
      <c r="I5286" s="64" t="s">
        <v>3685</v>
      </c>
      <c r="J5286" s="67">
        <v>-11650</v>
      </c>
      <c r="K5286" s="62">
        <v>-66911.29</v>
      </c>
      <c r="L5286" s="33" t="e">
        <f>HLOOKUP(B5286,#REF!,1,0)</f>
        <v>#REF!</v>
      </c>
      <c r="M5286" s="33" t="str">
        <f t="shared" si="331"/>
        <v>P&amp;L</v>
      </c>
    </row>
    <row r="5287" spans="1:13" s="33" customFormat="true" ht="12.75" customHeight="true">
      <c r="A5287" s="33" t="str">
        <f t="shared" si="328"/>
        <v>HDM - Revenue</v>
      </c>
      <c r="B5287" s="33" t="str">
        <f t="shared" si="329"/>
        <v>HDM</v>
      </c>
      <c r="C5287" s="33" t="str">
        <f t="shared" si="330"/>
        <v>40120-0000</v>
      </c>
      <c r="D5287" s="64" t="s">
        <v>6356</v>
      </c>
      <c r="E5287" s="64" t="s">
        <v>3687</v>
      </c>
      <c r="F5287" s="64" t="s">
        <v>230</v>
      </c>
      <c r="G5287" s="64" t="s">
        <v>3684</v>
      </c>
      <c r="H5287" s="64" t="s">
        <v>2871</v>
      </c>
      <c r="I5287" s="64" t="s">
        <v>3688</v>
      </c>
      <c r="J5287" s="67">
        <v>-802</v>
      </c>
      <c r="K5287" s="62">
        <v>-3208</v>
      </c>
      <c r="L5287" s="33" t="e">
        <f>HLOOKUP(B5287,#REF!,1,0)</f>
        <v>#REF!</v>
      </c>
      <c r="M5287" s="33" t="str">
        <f t="shared" si="331"/>
        <v>P&amp;L</v>
      </c>
    </row>
    <row r="5288" spans="1:13" s="33" customFormat="true" ht="12.75" customHeight="true">
      <c r="A5288" s="33" t="str">
        <f t="shared" si="328"/>
        <v>HDM - Revenue</v>
      </c>
      <c r="B5288" s="33" t="str">
        <f t="shared" si="329"/>
        <v>HDM</v>
      </c>
      <c r="C5288" s="33" t="str">
        <f t="shared" si="330"/>
        <v>40130-0000</v>
      </c>
      <c r="D5288" s="64" t="s">
        <v>6357</v>
      </c>
      <c r="E5288" s="64" t="s">
        <v>3690</v>
      </c>
      <c r="F5288" s="64" t="s">
        <v>230</v>
      </c>
      <c r="G5288" s="64" t="s">
        <v>3684</v>
      </c>
      <c r="H5288" s="64" t="s">
        <v>2871</v>
      </c>
      <c r="I5288" s="64" t="s">
        <v>3691</v>
      </c>
      <c r="J5288" s="67">
        <v>0</v>
      </c>
      <c r="K5288" s="62">
        <v>0</v>
      </c>
      <c r="L5288" s="33" t="e">
        <f>HLOOKUP(B5288,#REF!,1,0)</f>
        <v>#REF!</v>
      </c>
      <c r="M5288" s="33" t="str">
        <f t="shared" si="331"/>
        <v>P&amp;L</v>
      </c>
    </row>
    <row r="5289" spans="1:13" s="33" customFormat="true" ht="12.75" customHeight="true">
      <c r="A5289" s="33" t="str">
        <f t="shared" si="328"/>
        <v>HDM - Revenue</v>
      </c>
      <c r="B5289" s="33" t="str">
        <f t="shared" si="329"/>
        <v>HDM</v>
      </c>
      <c r="C5289" s="33" t="str">
        <f t="shared" si="330"/>
        <v>41110-0000</v>
      </c>
      <c r="D5289" s="64" t="s">
        <v>6358</v>
      </c>
      <c r="E5289" s="64" t="s">
        <v>3693</v>
      </c>
      <c r="F5289" s="64" t="s">
        <v>230</v>
      </c>
      <c r="G5289" s="64" t="s">
        <v>3694</v>
      </c>
      <c r="H5289" s="64" t="s">
        <v>2871</v>
      </c>
      <c r="I5289" s="64" t="s">
        <v>3695</v>
      </c>
      <c r="J5289" s="67">
        <v>1050</v>
      </c>
      <c r="K5289" s="62">
        <v>4099.23</v>
      </c>
      <c r="L5289" s="33" t="e">
        <f>HLOOKUP(B5289,#REF!,1,0)</f>
        <v>#REF!</v>
      </c>
      <c r="M5289" s="33" t="str">
        <f t="shared" si="331"/>
        <v>P&amp;L</v>
      </c>
    </row>
    <row r="5290" spans="1:13" s="33" customFormat="true" ht="12.75" customHeight="true">
      <c r="A5290" s="33" t="str">
        <f t="shared" si="328"/>
        <v>HDM - Revenue</v>
      </c>
      <c r="B5290" s="33" t="str">
        <f t="shared" si="329"/>
        <v>HDM</v>
      </c>
      <c r="C5290" s="33" t="str">
        <f t="shared" si="330"/>
        <v>41121-0000</v>
      </c>
      <c r="D5290" s="64" t="s">
        <v>6359</v>
      </c>
      <c r="E5290" s="64" t="s">
        <v>3697</v>
      </c>
      <c r="F5290" s="64" t="s">
        <v>230</v>
      </c>
      <c r="G5290" s="64" t="s">
        <v>3694</v>
      </c>
      <c r="H5290" s="64" t="s">
        <v>2871</v>
      </c>
      <c r="I5290" s="64" t="s">
        <v>3698</v>
      </c>
      <c r="J5290" s="67">
        <v>1013.34</v>
      </c>
      <c r="K5290" s="62">
        <v>9463.46</v>
      </c>
      <c r="L5290" s="33" t="e">
        <f>HLOOKUP(B5290,#REF!,1,0)</f>
        <v>#REF!</v>
      </c>
      <c r="M5290" s="33" t="str">
        <f t="shared" si="331"/>
        <v>P&amp;L</v>
      </c>
    </row>
    <row r="5291" spans="1:13" s="33" customFormat="true" ht="12.75" customHeight="true">
      <c r="A5291" s="33" t="str">
        <f t="shared" si="328"/>
        <v>HDM - Revenue</v>
      </c>
      <c r="B5291" s="33" t="str">
        <f t="shared" si="329"/>
        <v>HDM</v>
      </c>
      <c r="C5291" s="33" t="str">
        <f t="shared" si="330"/>
        <v>41122-0000</v>
      </c>
      <c r="D5291" s="64" t="s">
        <v>6360</v>
      </c>
      <c r="E5291" s="64" t="s">
        <v>3700</v>
      </c>
      <c r="F5291" s="64" t="s">
        <v>230</v>
      </c>
      <c r="G5291" s="64" t="s">
        <v>3694</v>
      </c>
      <c r="H5291" s="64" t="s">
        <v>2871</v>
      </c>
      <c r="I5291" s="64" t="s">
        <v>3701</v>
      </c>
      <c r="J5291" s="67">
        <v>0</v>
      </c>
      <c r="K5291" s="62">
        <v>-7664.53</v>
      </c>
      <c r="L5291" s="33" t="e">
        <f>HLOOKUP(B5291,#REF!,1,0)</f>
        <v>#REF!</v>
      </c>
      <c r="M5291" s="33" t="str">
        <f t="shared" si="331"/>
        <v>P&amp;L</v>
      </c>
    </row>
    <row r="5292" spans="1:13" s="33" customFormat="true" ht="12.75" customHeight="true">
      <c r="A5292" s="33" t="str">
        <f t="shared" si="328"/>
        <v>HDM - Revenue</v>
      </c>
      <c r="B5292" s="33" t="str">
        <f t="shared" si="329"/>
        <v>HDM</v>
      </c>
      <c r="C5292" s="33" t="str">
        <f t="shared" si="330"/>
        <v>41130-0000</v>
      </c>
      <c r="D5292" s="64" t="s">
        <v>6361</v>
      </c>
      <c r="E5292" s="64" t="s">
        <v>3703</v>
      </c>
      <c r="F5292" s="64" t="s">
        <v>230</v>
      </c>
      <c r="G5292" s="64" t="s">
        <v>3694</v>
      </c>
      <c r="H5292" s="64" t="s">
        <v>2871</v>
      </c>
      <c r="I5292" s="64" t="s">
        <v>3704</v>
      </c>
      <c r="J5292" s="67">
        <v>419.98</v>
      </c>
      <c r="K5292" s="62">
        <v>1119.98</v>
      </c>
      <c r="L5292" s="33" t="e">
        <f>HLOOKUP(B5292,#REF!,1,0)</f>
        <v>#REF!</v>
      </c>
      <c r="M5292" s="33" t="str">
        <f t="shared" si="331"/>
        <v>P&amp;L</v>
      </c>
    </row>
    <row r="5293" spans="1:13" s="33" customFormat="true" ht="12.75" customHeight="true">
      <c r="A5293" s="33" t="str">
        <f t="shared" si="328"/>
        <v>HDM - Revenue</v>
      </c>
      <c r="B5293" s="33" t="str">
        <f t="shared" si="329"/>
        <v>HDM</v>
      </c>
      <c r="C5293" s="33" t="str">
        <f t="shared" si="330"/>
        <v>41140-0000</v>
      </c>
      <c r="D5293" s="64" t="s">
        <v>6362</v>
      </c>
      <c r="E5293" s="64" t="s">
        <v>3706</v>
      </c>
      <c r="F5293" s="64" t="s">
        <v>230</v>
      </c>
      <c r="G5293" s="64" t="s">
        <v>3694</v>
      </c>
      <c r="H5293" s="64" t="s">
        <v>2871</v>
      </c>
      <c r="I5293" s="64" t="s">
        <v>3707</v>
      </c>
      <c r="J5293" s="67">
        <v>0</v>
      </c>
      <c r="K5293" s="62">
        <v>2100</v>
      </c>
      <c r="L5293" s="33" t="e">
        <f>HLOOKUP(B5293,#REF!,1,0)</f>
        <v>#REF!</v>
      </c>
      <c r="M5293" s="33" t="str">
        <f t="shared" si="331"/>
        <v>P&amp;L</v>
      </c>
    </row>
    <row r="5294" spans="1:13" s="33" customFormat="true" ht="12.75" customHeight="true">
      <c r="A5294" s="33" t="str">
        <f t="shared" si="328"/>
        <v>HDM - Revenue</v>
      </c>
      <c r="B5294" s="33" t="str">
        <f t="shared" si="329"/>
        <v>HDM</v>
      </c>
      <c r="C5294" s="33" t="str">
        <f t="shared" si="330"/>
        <v>41150-0000</v>
      </c>
      <c r="D5294" s="64" t="s">
        <v>6363</v>
      </c>
      <c r="E5294" s="64" t="s">
        <v>3709</v>
      </c>
      <c r="F5294" s="64" t="s">
        <v>230</v>
      </c>
      <c r="G5294" s="64" t="s">
        <v>3694</v>
      </c>
      <c r="H5294" s="64" t="s">
        <v>2871</v>
      </c>
      <c r="I5294" s="64" t="s">
        <v>3710</v>
      </c>
      <c r="J5294" s="67">
        <v>0</v>
      </c>
      <c r="K5294" s="62">
        <v>0</v>
      </c>
      <c r="L5294" s="33" t="e">
        <f>HLOOKUP(B5294,#REF!,1,0)</f>
        <v>#REF!</v>
      </c>
      <c r="M5294" s="33" t="str">
        <f t="shared" si="331"/>
        <v>P&amp;L</v>
      </c>
    </row>
    <row r="5295" spans="1:13" s="33" customFormat="true" ht="12.75" customHeight="true">
      <c r="A5295" s="33" t="str">
        <f t="shared" si="328"/>
        <v>HDM - Revenue</v>
      </c>
      <c r="B5295" s="33" t="str">
        <f t="shared" si="329"/>
        <v>HDM</v>
      </c>
      <c r="C5295" s="33" t="str">
        <f t="shared" si="330"/>
        <v>41999-0000</v>
      </c>
      <c r="D5295" s="64" t="s">
        <v>6364</v>
      </c>
      <c r="E5295" s="64" t="s">
        <v>3712</v>
      </c>
      <c r="F5295" s="64" t="s">
        <v>230</v>
      </c>
      <c r="G5295" s="64" t="s">
        <v>3713</v>
      </c>
      <c r="H5295" s="64" t="s">
        <v>2871</v>
      </c>
      <c r="I5295" s="64" t="s">
        <v>3714</v>
      </c>
      <c r="J5295" s="67">
        <v>9968.68</v>
      </c>
      <c r="K5295" s="62">
        <v>61001.15</v>
      </c>
      <c r="L5295" s="33" t="e">
        <f>HLOOKUP(B5295,#REF!,1,0)</f>
        <v>#REF!</v>
      </c>
      <c r="M5295" s="33" t="str">
        <f t="shared" si="331"/>
        <v>P&amp;L</v>
      </c>
    </row>
    <row r="5296" spans="1:13" s="33" customFormat="true" ht="12.75" customHeight="true">
      <c r="A5296" s="33" t="str">
        <f t="shared" si="328"/>
        <v>HDM - Revenue</v>
      </c>
      <c r="B5296" s="33" t="str">
        <f t="shared" si="329"/>
        <v>HDM</v>
      </c>
      <c r="C5296" s="33" t="str">
        <f t="shared" si="330"/>
        <v>47400-0000</v>
      </c>
      <c r="D5296" s="64" t="s">
        <v>6365</v>
      </c>
      <c r="E5296" s="64" t="s">
        <v>3716</v>
      </c>
      <c r="F5296" s="64" t="s">
        <v>230</v>
      </c>
      <c r="G5296" s="64" t="s">
        <v>3717</v>
      </c>
      <c r="H5296" s="64" t="s">
        <v>2871</v>
      </c>
      <c r="I5296" s="64" t="s">
        <v>3718</v>
      </c>
      <c r="J5296" s="67">
        <v>-9968.68</v>
      </c>
      <c r="K5296" s="62">
        <v>-61001.15</v>
      </c>
      <c r="L5296" s="33" t="e">
        <f>HLOOKUP(B5296,#REF!,1,0)</f>
        <v>#REF!</v>
      </c>
      <c r="M5296" s="33" t="str">
        <f t="shared" si="331"/>
        <v>P&amp;L</v>
      </c>
    </row>
    <row r="5297" spans="1:13" s="33" customFormat="true" ht="12.75" customHeight="true">
      <c r="A5297" s="33" t="str">
        <f t="shared" si="328"/>
        <v>HDM - Revenue</v>
      </c>
      <c r="B5297" s="33" t="str">
        <f t="shared" si="329"/>
        <v>HDM</v>
      </c>
      <c r="C5297" s="33" t="str">
        <f t="shared" si="330"/>
        <v>47440-0000</v>
      </c>
      <c r="D5297" s="64" t="s">
        <v>6366</v>
      </c>
      <c r="E5297" s="64" t="s">
        <v>3720</v>
      </c>
      <c r="F5297" s="64" t="s">
        <v>230</v>
      </c>
      <c r="G5297" s="64" t="s">
        <v>3717</v>
      </c>
      <c r="H5297" s="64" t="s">
        <v>2871</v>
      </c>
      <c r="I5297" s="64" t="s">
        <v>3721</v>
      </c>
      <c r="J5297" s="67">
        <v>-28</v>
      </c>
      <c r="K5297" s="62">
        <v>-909.27</v>
      </c>
      <c r="L5297" s="33" t="e">
        <f>HLOOKUP(B5297,#REF!,1,0)</f>
        <v>#REF!</v>
      </c>
      <c r="M5297" s="33" t="str">
        <f t="shared" si="331"/>
        <v>P&amp;L</v>
      </c>
    </row>
    <row r="5298" spans="1:13" s="33" customFormat="true" ht="12.75" customHeight="true">
      <c r="A5298" s="33" t="str">
        <f t="shared" si="328"/>
        <v>HDM - Revenue</v>
      </c>
      <c r="B5298" s="33" t="str">
        <f t="shared" si="329"/>
        <v>HDM</v>
      </c>
      <c r="C5298" s="33" t="str">
        <f t="shared" si="330"/>
        <v>47450-0000</v>
      </c>
      <c r="D5298" s="64" t="s">
        <v>6367</v>
      </c>
      <c r="E5298" s="64" t="s">
        <v>3723</v>
      </c>
      <c r="F5298" s="64" t="s">
        <v>230</v>
      </c>
      <c r="G5298" s="64" t="s">
        <v>3717</v>
      </c>
      <c r="H5298" s="64" t="s">
        <v>2871</v>
      </c>
      <c r="I5298" s="64" t="s">
        <v>3724</v>
      </c>
      <c r="J5298" s="67">
        <v>0</v>
      </c>
      <c r="K5298" s="62">
        <v>0</v>
      </c>
      <c r="L5298" s="33" t="e">
        <f>HLOOKUP(B5298,#REF!,1,0)</f>
        <v>#REF!</v>
      </c>
      <c r="M5298" s="33" t="str">
        <f t="shared" si="331"/>
        <v>P&amp;L</v>
      </c>
    </row>
    <row r="5299" spans="1:13" s="33" customFormat="true" ht="12.75" customHeight="true">
      <c r="A5299" s="33" t="str">
        <f t="shared" si="328"/>
        <v>HDM - Revenue</v>
      </c>
      <c r="B5299" s="33" t="str">
        <f t="shared" si="329"/>
        <v>HDM</v>
      </c>
      <c r="C5299" s="33" t="str">
        <f t="shared" si="330"/>
        <v>47460-0000</v>
      </c>
      <c r="D5299" s="64" t="s">
        <v>6368</v>
      </c>
      <c r="E5299" s="64" t="s">
        <v>3726</v>
      </c>
      <c r="F5299" s="64" t="s">
        <v>230</v>
      </c>
      <c r="G5299" s="64" t="s">
        <v>3717</v>
      </c>
      <c r="H5299" s="64" t="s">
        <v>2871</v>
      </c>
      <c r="I5299" s="64" t="s">
        <v>3727</v>
      </c>
      <c r="J5299" s="67">
        <v>25</v>
      </c>
      <c r="K5299" s="62">
        <v>-270</v>
      </c>
      <c r="L5299" s="33" t="e">
        <f>HLOOKUP(B5299,#REF!,1,0)</f>
        <v>#REF!</v>
      </c>
      <c r="M5299" s="33" t="str">
        <f t="shared" si="331"/>
        <v>P&amp;L</v>
      </c>
    </row>
    <row r="5300" spans="1:13" s="33" customFormat="true" ht="12.75" customHeight="true">
      <c r="A5300" s="33" t="str">
        <f t="shared" si="328"/>
        <v>HDM - Revenue</v>
      </c>
      <c r="B5300" s="33" t="str">
        <f t="shared" si="329"/>
        <v>HDM</v>
      </c>
      <c r="C5300" s="33" t="str">
        <f t="shared" si="330"/>
        <v>47480-0000</v>
      </c>
      <c r="D5300" s="64" t="s">
        <v>6369</v>
      </c>
      <c r="E5300" s="64" t="s">
        <v>3729</v>
      </c>
      <c r="F5300" s="64" t="s">
        <v>230</v>
      </c>
      <c r="G5300" s="64" t="s">
        <v>3717</v>
      </c>
      <c r="H5300" s="64" t="s">
        <v>2871</v>
      </c>
      <c r="I5300" s="64" t="s">
        <v>3721</v>
      </c>
      <c r="J5300" s="67">
        <v>0</v>
      </c>
      <c r="K5300" s="62">
        <v>-180</v>
      </c>
      <c r="L5300" s="33" t="e">
        <f>HLOOKUP(B5300,#REF!,1,0)</f>
        <v>#REF!</v>
      </c>
      <c r="M5300" s="33" t="str">
        <f t="shared" si="331"/>
        <v>P&amp;L</v>
      </c>
    </row>
    <row r="5301" spans="1:13" s="33" customFormat="true" ht="12.75" customHeight="true">
      <c r="A5301" s="33" t="str">
        <f t="shared" si="328"/>
        <v>HDM - Revenue</v>
      </c>
      <c r="B5301" s="33" t="str">
        <f t="shared" si="329"/>
        <v>HDM</v>
      </c>
      <c r="C5301" s="33" t="str">
        <f t="shared" si="330"/>
        <v>47490-0000</v>
      </c>
      <c r="D5301" s="64" t="s">
        <v>6370</v>
      </c>
      <c r="E5301" s="64" t="s">
        <v>3731</v>
      </c>
      <c r="F5301" s="64" t="s">
        <v>230</v>
      </c>
      <c r="G5301" s="64" t="s">
        <v>3717</v>
      </c>
      <c r="H5301" s="64" t="s">
        <v>2871</v>
      </c>
      <c r="I5301" s="64" t="s">
        <v>3721</v>
      </c>
      <c r="J5301" s="67">
        <v>-50</v>
      </c>
      <c r="K5301" s="62">
        <v>-263.33</v>
      </c>
      <c r="L5301" s="33" t="e">
        <f>HLOOKUP(B5301,#REF!,1,0)</f>
        <v>#REF!</v>
      </c>
      <c r="M5301" s="33" t="str">
        <f t="shared" si="331"/>
        <v>P&amp;L</v>
      </c>
    </row>
    <row r="5302" spans="1:13" s="33" customFormat="true" ht="12.75" customHeight="true">
      <c r="A5302" s="33" t="str">
        <f t="shared" si="328"/>
        <v>HDM - Revenue</v>
      </c>
      <c r="B5302" s="33" t="str">
        <f t="shared" si="329"/>
        <v>HDM</v>
      </c>
      <c r="C5302" s="33" t="str">
        <f t="shared" si="330"/>
        <v>47491-0000</v>
      </c>
      <c r="D5302" s="64" t="s">
        <v>6371</v>
      </c>
      <c r="E5302" s="64" t="s">
        <v>3733</v>
      </c>
      <c r="F5302" s="64" t="s">
        <v>230</v>
      </c>
      <c r="G5302" s="64" t="s">
        <v>3717</v>
      </c>
      <c r="H5302" s="64" t="s">
        <v>2871</v>
      </c>
      <c r="I5302" s="64" t="s">
        <v>3734</v>
      </c>
      <c r="J5302" s="67">
        <v>-310</v>
      </c>
      <c r="K5302" s="62">
        <v>-1576.67</v>
      </c>
      <c r="L5302" s="33" t="e">
        <f>HLOOKUP(B5302,#REF!,1,0)</f>
        <v>#REF!</v>
      </c>
      <c r="M5302" s="33" t="str">
        <f t="shared" si="331"/>
        <v>P&amp;L</v>
      </c>
    </row>
    <row r="5303" spans="1:13" s="33" customFormat="true" ht="12.75" customHeight="true">
      <c r="A5303" s="33" t="str">
        <f t="shared" si="328"/>
        <v>HDM - Revenue</v>
      </c>
      <c r="B5303" s="33" t="str">
        <f t="shared" si="329"/>
        <v>HDM</v>
      </c>
      <c r="C5303" s="33" t="str">
        <f t="shared" si="330"/>
        <v>47492-0000</v>
      </c>
      <c r="D5303" s="64" t="s">
        <v>6372</v>
      </c>
      <c r="E5303" s="64" t="s">
        <v>3736</v>
      </c>
      <c r="F5303" s="64" t="s">
        <v>230</v>
      </c>
      <c r="G5303" s="64" t="s">
        <v>3717</v>
      </c>
      <c r="H5303" s="64" t="s">
        <v>2871</v>
      </c>
      <c r="I5303" s="64" t="s">
        <v>3737</v>
      </c>
      <c r="J5303" s="67">
        <v>-15</v>
      </c>
      <c r="K5303" s="62">
        <v>-67</v>
      </c>
      <c r="L5303" s="33" t="e">
        <f>HLOOKUP(B5303,#REF!,1,0)</f>
        <v>#REF!</v>
      </c>
      <c r="M5303" s="33" t="str">
        <f t="shared" si="331"/>
        <v>P&amp;L</v>
      </c>
    </row>
    <row r="5304" spans="1:13" s="33" customFormat="true" ht="12.75" customHeight="true">
      <c r="A5304" s="33" t="str">
        <f t="shared" si="328"/>
        <v>HDM - CGS</v>
      </c>
      <c r="B5304" s="33" t="str">
        <f t="shared" si="329"/>
        <v>HDM</v>
      </c>
      <c r="C5304" s="33" t="str">
        <f t="shared" si="330"/>
        <v>51006-0000</v>
      </c>
      <c r="D5304" s="64" t="s">
        <v>6373</v>
      </c>
      <c r="E5304" s="64" t="s">
        <v>3739</v>
      </c>
      <c r="F5304" s="64" t="s">
        <v>230</v>
      </c>
      <c r="G5304" s="64" t="s">
        <v>3740</v>
      </c>
      <c r="H5304" s="64" t="s">
        <v>1875</v>
      </c>
      <c r="I5304" s="64" t="s">
        <v>3741</v>
      </c>
      <c r="J5304" s="67">
        <v>0</v>
      </c>
      <c r="K5304" s="62">
        <v>285</v>
      </c>
      <c r="L5304" s="33" t="e">
        <f>HLOOKUP(B5304,#REF!,1,0)</f>
        <v>#REF!</v>
      </c>
      <c r="M5304" s="33" t="str">
        <f t="shared" si="331"/>
        <v>P&amp;L</v>
      </c>
    </row>
    <row r="5305" spans="1:13" s="33" customFormat="true" ht="12.75" customHeight="true">
      <c r="A5305" s="33" t="str">
        <f t="shared" si="328"/>
        <v>HDM - CGS</v>
      </c>
      <c r="B5305" s="33" t="str">
        <f t="shared" si="329"/>
        <v>HDM</v>
      </c>
      <c r="C5305" s="33" t="str">
        <f t="shared" si="330"/>
        <v>51008-0000</v>
      </c>
      <c r="D5305" s="64" t="s">
        <v>6374</v>
      </c>
      <c r="E5305" s="64" t="s">
        <v>3743</v>
      </c>
      <c r="F5305" s="64" t="s">
        <v>230</v>
      </c>
      <c r="G5305" s="64" t="s">
        <v>3740</v>
      </c>
      <c r="H5305" s="64" t="s">
        <v>1875</v>
      </c>
      <c r="I5305" s="64" t="s">
        <v>3744</v>
      </c>
      <c r="J5305" s="67">
        <v>40.94</v>
      </c>
      <c r="K5305" s="62">
        <v>3.23</v>
      </c>
      <c r="L5305" s="33" t="e">
        <f>HLOOKUP(B5305,#REF!,1,0)</f>
        <v>#REF!</v>
      </c>
      <c r="M5305" s="33" t="str">
        <f t="shared" si="331"/>
        <v>P&amp;L</v>
      </c>
    </row>
    <row r="5306" spans="1:13" s="33" customFormat="true" ht="12.75" customHeight="true">
      <c r="A5306" s="33" t="str">
        <f t="shared" si="328"/>
        <v>HDM - CGS</v>
      </c>
      <c r="B5306" s="33" t="str">
        <f t="shared" si="329"/>
        <v>HDM</v>
      </c>
      <c r="C5306" s="33" t="str">
        <f t="shared" si="330"/>
        <v>51009-0000</v>
      </c>
      <c r="D5306" s="64" t="s">
        <v>6375</v>
      </c>
      <c r="E5306" s="64" t="s">
        <v>3746</v>
      </c>
      <c r="F5306" s="64" t="s">
        <v>230</v>
      </c>
      <c r="G5306" s="64" t="s">
        <v>3740</v>
      </c>
      <c r="H5306" s="64" t="s">
        <v>1875</v>
      </c>
      <c r="I5306" s="64" t="s">
        <v>3747</v>
      </c>
      <c r="J5306" s="67">
        <v>70.03</v>
      </c>
      <c r="K5306" s="62">
        <v>70.03</v>
      </c>
      <c r="L5306" s="33" t="e">
        <f>HLOOKUP(B5306,#REF!,1,0)</f>
        <v>#REF!</v>
      </c>
      <c r="M5306" s="33" t="str">
        <f t="shared" si="331"/>
        <v>P&amp;L</v>
      </c>
    </row>
    <row r="5307" spans="1:13" s="33" customFormat="true" ht="12.75" customHeight="true">
      <c r="A5307" s="33" t="str">
        <f t="shared" si="328"/>
        <v>HDM - CGS</v>
      </c>
      <c r="B5307" s="33" t="str">
        <f t="shared" si="329"/>
        <v>HDM</v>
      </c>
      <c r="C5307" s="33" t="str">
        <f t="shared" si="330"/>
        <v>51011-0000</v>
      </c>
      <c r="D5307" s="64" t="s">
        <v>6376</v>
      </c>
      <c r="E5307" s="64" t="s">
        <v>3749</v>
      </c>
      <c r="F5307" s="64" t="s">
        <v>230</v>
      </c>
      <c r="G5307" s="64" t="s">
        <v>3740</v>
      </c>
      <c r="H5307" s="64" t="s">
        <v>1875</v>
      </c>
      <c r="I5307" s="64" t="s">
        <v>3750</v>
      </c>
      <c r="J5307" s="67">
        <v>0</v>
      </c>
      <c r="K5307" s="62">
        <v>1700</v>
      </c>
      <c r="L5307" s="33" t="e">
        <f>HLOOKUP(B5307,#REF!,1,0)</f>
        <v>#REF!</v>
      </c>
      <c r="M5307" s="33" t="str">
        <f t="shared" si="331"/>
        <v>P&amp;L</v>
      </c>
    </row>
    <row r="5308" spans="1:13" s="33" customFormat="true" ht="12.75" customHeight="true">
      <c r="A5308" s="33" t="str">
        <f t="shared" si="328"/>
        <v>HDM - CGS</v>
      </c>
      <c r="B5308" s="33" t="str">
        <f t="shared" si="329"/>
        <v>HDM</v>
      </c>
      <c r="C5308" s="33" t="str">
        <f t="shared" si="330"/>
        <v>51012-0000</v>
      </c>
      <c r="D5308" s="64" t="s">
        <v>6377</v>
      </c>
      <c r="E5308" s="64" t="s">
        <v>3752</v>
      </c>
      <c r="F5308" s="64" t="s">
        <v>230</v>
      </c>
      <c r="G5308" s="64" t="s">
        <v>3740</v>
      </c>
      <c r="H5308" s="64" t="s">
        <v>1875</v>
      </c>
      <c r="I5308" s="64" t="s">
        <v>3753</v>
      </c>
      <c r="J5308" s="67">
        <v>2460</v>
      </c>
      <c r="K5308" s="62">
        <v>2709</v>
      </c>
      <c r="L5308" s="33" t="e">
        <f>HLOOKUP(B5308,#REF!,1,0)</f>
        <v>#REF!</v>
      </c>
      <c r="M5308" s="33" t="str">
        <f t="shared" si="331"/>
        <v>P&amp;L</v>
      </c>
    </row>
    <row r="5309" spans="1:13" s="33" customFormat="true" ht="12.75" customHeight="true">
      <c r="A5309" s="33" t="str">
        <f t="shared" si="328"/>
        <v>HDM - CGS</v>
      </c>
      <c r="B5309" s="33" t="str">
        <f t="shared" si="329"/>
        <v>HDM</v>
      </c>
      <c r="C5309" s="33" t="str">
        <f t="shared" si="330"/>
        <v>51018-0000</v>
      </c>
      <c r="D5309" s="64" t="s">
        <v>6378</v>
      </c>
      <c r="E5309" s="64" t="s">
        <v>3984</v>
      </c>
      <c r="F5309" s="64" t="s">
        <v>230</v>
      </c>
      <c r="G5309" s="64" t="s">
        <v>3740</v>
      </c>
      <c r="H5309" s="64" t="s">
        <v>1875</v>
      </c>
      <c r="I5309" s="64" t="s">
        <v>3319</v>
      </c>
      <c r="J5309" s="67">
        <v>0</v>
      </c>
      <c r="K5309" s="62">
        <v>100</v>
      </c>
      <c r="L5309" s="33" t="e">
        <f>HLOOKUP(B5309,#REF!,1,0)</f>
        <v>#REF!</v>
      </c>
      <c r="M5309" s="33" t="str">
        <f t="shared" si="331"/>
        <v>P&amp;L</v>
      </c>
    </row>
    <row r="5310" spans="1:13" s="33" customFormat="true" ht="12.75" customHeight="true">
      <c r="A5310" s="33" t="str">
        <f t="shared" si="328"/>
        <v>HDM - CGS</v>
      </c>
      <c r="B5310" s="33" t="str">
        <f t="shared" si="329"/>
        <v>HDM</v>
      </c>
      <c r="C5310" s="33" t="str">
        <f t="shared" si="330"/>
        <v>51019-0000</v>
      </c>
      <c r="D5310" s="64" t="s">
        <v>6379</v>
      </c>
      <c r="E5310" s="64" t="s">
        <v>3761</v>
      </c>
      <c r="F5310" s="64" t="s">
        <v>230</v>
      </c>
      <c r="G5310" s="64" t="s">
        <v>3740</v>
      </c>
      <c r="H5310" s="64" t="s">
        <v>1875</v>
      </c>
      <c r="I5310" s="64" t="s">
        <v>3340</v>
      </c>
      <c r="J5310" s="67">
        <v>0</v>
      </c>
      <c r="K5310" s="62">
        <v>13.11</v>
      </c>
      <c r="L5310" s="33" t="e">
        <f>HLOOKUP(B5310,#REF!,1,0)</f>
        <v>#REF!</v>
      </c>
      <c r="M5310" s="33" t="str">
        <f t="shared" si="331"/>
        <v>P&amp;L</v>
      </c>
    </row>
    <row r="5311" spans="1:13" s="33" customFormat="true" ht="12.75" customHeight="true">
      <c r="A5311" s="33" t="str">
        <f t="shared" si="328"/>
        <v>HDM - CGS</v>
      </c>
      <c r="B5311" s="33" t="str">
        <f t="shared" si="329"/>
        <v>HDM</v>
      </c>
      <c r="C5311" s="33" t="str">
        <f t="shared" si="330"/>
        <v>51020-0000</v>
      </c>
      <c r="D5311" s="64" t="s">
        <v>6380</v>
      </c>
      <c r="E5311" s="64" t="s">
        <v>3763</v>
      </c>
      <c r="F5311" s="64" t="s">
        <v>230</v>
      </c>
      <c r="G5311" s="64" t="s">
        <v>3740</v>
      </c>
      <c r="H5311" s="64" t="s">
        <v>1875</v>
      </c>
      <c r="I5311" s="64" t="s">
        <v>3345</v>
      </c>
      <c r="J5311" s="67">
        <v>202.96</v>
      </c>
      <c r="K5311" s="62">
        <v>202.96</v>
      </c>
      <c r="L5311" s="33" t="e">
        <f>HLOOKUP(B5311,#REF!,1,0)</f>
        <v>#REF!</v>
      </c>
      <c r="M5311" s="33" t="str">
        <f t="shared" si="331"/>
        <v>P&amp;L</v>
      </c>
    </row>
    <row r="5312" spans="1:13" s="33" customFormat="true" ht="12.75" customHeight="true">
      <c r="A5312" s="33" t="str">
        <f t="shared" si="328"/>
        <v>HDM - CGS</v>
      </c>
      <c r="B5312" s="33" t="str">
        <f t="shared" si="329"/>
        <v>HDM</v>
      </c>
      <c r="C5312" s="33" t="str">
        <f t="shared" si="330"/>
        <v>52001-0000</v>
      </c>
      <c r="D5312" s="64" t="s">
        <v>6381</v>
      </c>
      <c r="E5312" s="64" t="s">
        <v>3768</v>
      </c>
      <c r="F5312" s="64" t="s">
        <v>230</v>
      </c>
      <c r="G5312" s="64" t="s">
        <v>3769</v>
      </c>
      <c r="H5312" s="64" t="s">
        <v>1875</v>
      </c>
      <c r="I5312" s="64" t="s">
        <v>3770</v>
      </c>
      <c r="J5312" s="67">
        <v>0</v>
      </c>
      <c r="K5312" s="62">
        <v>41.72</v>
      </c>
      <c r="L5312" s="33" t="e">
        <f>HLOOKUP(B5312,#REF!,1,0)</f>
        <v>#REF!</v>
      </c>
      <c r="M5312" s="33" t="str">
        <f t="shared" si="331"/>
        <v>P&amp;L</v>
      </c>
    </row>
    <row r="5313" spans="1:13" s="33" customFormat="true" ht="12.75" customHeight="true">
      <c r="A5313" s="33" t="str">
        <f t="shared" si="328"/>
        <v>HDM - CGS</v>
      </c>
      <c r="B5313" s="33" t="str">
        <f t="shared" si="329"/>
        <v>HDM</v>
      </c>
      <c r="C5313" s="33" t="str">
        <f t="shared" si="330"/>
        <v>52003-0000</v>
      </c>
      <c r="D5313" s="64" t="s">
        <v>6382</v>
      </c>
      <c r="E5313" s="64" t="s">
        <v>3772</v>
      </c>
      <c r="F5313" s="64" t="s">
        <v>230</v>
      </c>
      <c r="G5313" s="64" t="s">
        <v>3769</v>
      </c>
      <c r="H5313" s="64" t="s">
        <v>1875</v>
      </c>
      <c r="I5313" s="64" t="s">
        <v>3773</v>
      </c>
      <c r="J5313" s="67">
        <v>0</v>
      </c>
      <c r="K5313" s="62">
        <v>40</v>
      </c>
      <c r="L5313" s="33" t="e">
        <f>HLOOKUP(B5313,#REF!,1,0)</f>
        <v>#REF!</v>
      </c>
      <c r="M5313" s="33" t="str">
        <f t="shared" si="331"/>
        <v>P&amp;L</v>
      </c>
    </row>
    <row r="5314" spans="1:13" s="33" customFormat="true" ht="12.75" customHeight="true">
      <c r="A5314" s="33" t="str">
        <f t="shared" ref="A5314:A5377" si="332">B5314&amp;" - "&amp;TRIM(H5314)</f>
        <v>HDM - CGS</v>
      </c>
      <c r="B5314" s="33" t="str">
        <f t="shared" ref="B5314:B5377" si="333">LEFT(D5314,3)</f>
        <v>HDM</v>
      </c>
      <c r="C5314" s="33" t="str">
        <f t="shared" ref="C5314:C5377" si="334">RIGHT(D5314,10)</f>
        <v>52006-0000</v>
      </c>
      <c r="D5314" s="64" t="s">
        <v>6383</v>
      </c>
      <c r="E5314" s="64" t="s">
        <v>3778</v>
      </c>
      <c r="F5314" s="64" t="s">
        <v>230</v>
      </c>
      <c r="G5314" s="64" t="s">
        <v>3769</v>
      </c>
      <c r="H5314" s="64" t="s">
        <v>1875</v>
      </c>
      <c r="I5314" s="64" t="s">
        <v>3779</v>
      </c>
      <c r="J5314" s="67">
        <v>92.96</v>
      </c>
      <c r="K5314" s="62">
        <v>67.96</v>
      </c>
      <c r="L5314" s="33" t="e">
        <f>HLOOKUP(B5314,#REF!,1,0)</f>
        <v>#REF!</v>
      </c>
      <c r="M5314" s="33" t="str">
        <f t="shared" ref="M5314:M5377" si="335">IF(VALUE(LEFT(C5314,5))&gt;40000,"P&amp;L","BS")</f>
        <v>P&amp;L</v>
      </c>
    </row>
    <row r="5315" spans="1:13" s="33" customFormat="true" ht="12.75" customHeight="true">
      <c r="A5315" s="33" t="str">
        <f t="shared" si="332"/>
        <v>HDM - CGS</v>
      </c>
      <c r="B5315" s="33" t="str">
        <f t="shared" si="333"/>
        <v>HDM</v>
      </c>
      <c r="C5315" s="33" t="str">
        <f t="shared" si="334"/>
        <v>53001-0000</v>
      </c>
      <c r="D5315" s="64" t="s">
        <v>6384</v>
      </c>
      <c r="E5315" s="64" t="s">
        <v>3781</v>
      </c>
      <c r="F5315" s="64" t="s">
        <v>230</v>
      </c>
      <c r="G5315" s="64" t="s">
        <v>3160</v>
      </c>
      <c r="H5315" s="64" t="s">
        <v>1875</v>
      </c>
      <c r="I5315" s="64" t="s">
        <v>3782</v>
      </c>
      <c r="J5315" s="67">
        <v>45</v>
      </c>
      <c r="K5315" s="62">
        <v>45</v>
      </c>
      <c r="L5315" s="33" t="e">
        <f>HLOOKUP(B5315,#REF!,1,0)</f>
        <v>#REF!</v>
      </c>
      <c r="M5315" s="33" t="str">
        <f t="shared" si="335"/>
        <v>P&amp;L</v>
      </c>
    </row>
    <row r="5316" spans="1:13" s="33" customFormat="true" ht="12.75" customHeight="true">
      <c r="A5316" s="33" t="str">
        <f t="shared" si="332"/>
        <v>HDM - CGS</v>
      </c>
      <c r="B5316" s="33" t="str">
        <f t="shared" si="333"/>
        <v>HDM</v>
      </c>
      <c r="C5316" s="33" t="str">
        <f t="shared" si="334"/>
        <v>53002-0000</v>
      </c>
      <c r="D5316" s="64" t="s">
        <v>6385</v>
      </c>
      <c r="E5316" s="64" t="s">
        <v>3784</v>
      </c>
      <c r="F5316" s="64" t="s">
        <v>230</v>
      </c>
      <c r="G5316" s="64" t="s">
        <v>3160</v>
      </c>
      <c r="H5316" s="64" t="s">
        <v>1875</v>
      </c>
      <c r="I5316" s="64" t="s">
        <v>3785</v>
      </c>
      <c r="J5316" s="67">
        <v>136.65</v>
      </c>
      <c r="K5316" s="62">
        <v>1497.11</v>
      </c>
      <c r="L5316" s="33" t="e">
        <f>HLOOKUP(B5316,#REF!,1,0)</f>
        <v>#REF!</v>
      </c>
      <c r="M5316" s="33" t="str">
        <f t="shared" si="335"/>
        <v>P&amp;L</v>
      </c>
    </row>
    <row r="5317" spans="1:13" s="33" customFormat="true" ht="12.75" customHeight="true">
      <c r="A5317" s="33" t="str">
        <f t="shared" si="332"/>
        <v>HDM - CGS</v>
      </c>
      <c r="B5317" s="33" t="str">
        <f t="shared" si="333"/>
        <v>HDM</v>
      </c>
      <c r="C5317" s="33" t="str">
        <f t="shared" si="334"/>
        <v>53003-0000</v>
      </c>
      <c r="D5317" s="64" t="s">
        <v>6386</v>
      </c>
      <c r="E5317" s="64" t="s">
        <v>3787</v>
      </c>
      <c r="F5317" s="64" t="s">
        <v>230</v>
      </c>
      <c r="G5317" s="64" t="s">
        <v>3160</v>
      </c>
      <c r="H5317" s="64" t="s">
        <v>1875</v>
      </c>
      <c r="I5317" s="64" t="s">
        <v>3788</v>
      </c>
      <c r="J5317" s="67">
        <v>679.26</v>
      </c>
      <c r="K5317" s="62">
        <v>679.26</v>
      </c>
      <c r="L5317" s="33" t="e">
        <f>HLOOKUP(B5317,#REF!,1,0)</f>
        <v>#REF!</v>
      </c>
      <c r="M5317" s="33" t="str">
        <f t="shared" si="335"/>
        <v>P&amp;L</v>
      </c>
    </row>
    <row r="5318" spans="1:13" s="33" customFormat="true" ht="12.75" customHeight="true">
      <c r="A5318" s="33" t="str">
        <f t="shared" si="332"/>
        <v>HDM - CGS</v>
      </c>
      <c r="B5318" s="33" t="str">
        <f t="shared" si="333"/>
        <v>HDM</v>
      </c>
      <c r="C5318" s="33" t="str">
        <f t="shared" si="334"/>
        <v>53005-0000</v>
      </c>
      <c r="D5318" s="64" t="s">
        <v>6387</v>
      </c>
      <c r="E5318" s="64" t="s">
        <v>3793</v>
      </c>
      <c r="F5318" s="64" t="s">
        <v>230</v>
      </c>
      <c r="G5318" s="64" t="s">
        <v>3160</v>
      </c>
      <c r="H5318" s="64" t="s">
        <v>1875</v>
      </c>
      <c r="I5318" s="64" t="s">
        <v>3794</v>
      </c>
      <c r="J5318" s="67">
        <v>88.33</v>
      </c>
      <c r="K5318" s="62">
        <v>458.58</v>
      </c>
      <c r="L5318" s="33" t="e">
        <f>HLOOKUP(B5318,#REF!,1,0)</f>
        <v>#REF!</v>
      </c>
      <c r="M5318" s="33" t="str">
        <f t="shared" si="335"/>
        <v>P&amp;L</v>
      </c>
    </row>
    <row r="5319" spans="1:13" s="33" customFormat="true" ht="12.75" customHeight="true">
      <c r="A5319" s="33" t="str">
        <f t="shared" si="332"/>
        <v>HDM - CGS</v>
      </c>
      <c r="B5319" s="33" t="str">
        <f t="shared" si="333"/>
        <v>HDM</v>
      </c>
      <c r="C5319" s="33" t="str">
        <f t="shared" si="334"/>
        <v>53006-0000</v>
      </c>
      <c r="D5319" s="64" t="s">
        <v>6388</v>
      </c>
      <c r="E5319" s="64" t="s">
        <v>3796</v>
      </c>
      <c r="F5319" s="64" t="s">
        <v>230</v>
      </c>
      <c r="G5319" s="64" t="s">
        <v>3160</v>
      </c>
      <c r="H5319" s="64" t="s">
        <v>1875</v>
      </c>
      <c r="I5319" s="64" t="s">
        <v>3797</v>
      </c>
      <c r="J5319" s="67">
        <v>745.94</v>
      </c>
      <c r="K5319" s="62">
        <v>1386.01</v>
      </c>
      <c r="L5319" s="33" t="e">
        <f>HLOOKUP(B5319,#REF!,1,0)</f>
        <v>#REF!</v>
      </c>
      <c r="M5319" s="33" t="str">
        <f t="shared" si="335"/>
        <v>P&amp;L</v>
      </c>
    </row>
    <row r="5320" spans="1:13" s="33" customFormat="true" ht="12.75" customHeight="true">
      <c r="A5320" s="33" t="str">
        <f t="shared" si="332"/>
        <v>HDM - CGS</v>
      </c>
      <c r="B5320" s="33" t="str">
        <f t="shared" si="333"/>
        <v>HDM</v>
      </c>
      <c r="C5320" s="33" t="str">
        <f t="shared" si="334"/>
        <v>54006-0000</v>
      </c>
      <c r="D5320" s="64" t="s">
        <v>6389</v>
      </c>
      <c r="E5320" s="64" t="s">
        <v>3812</v>
      </c>
      <c r="F5320" s="64" t="s">
        <v>230</v>
      </c>
      <c r="G5320" s="64" t="s">
        <v>3800</v>
      </c>
      <c r="H5320" s="64" t="s">
        <v>1875</v>
      </c>
      <c r="I5320" s="64" t="s">
        <v>3003</v>
      </c>
      <c r="J5320" s="67">
        <v>0</v>
      </c>
      <c r="K5320" s="62">
        <v>118.14</v>
      </c>
      <c r="L5320" s="33" t="e">
        <f>HLOOKUP(B5320,#REF!,1,0)</f>
        <v>#REF!</v>
      </c>
      <c r="M5320" s="33" t="str">
        <f t="shared" si="335"/>
        <v>P&amp;L</v>
      </c>
    </row>
    <row r="5321" spans="1:13" s="33" customFormat="true" ht="12.75" customHeight="true">
      <c r="A5321" s="33" t="str">
        <f t="shared" si="332"/>
        <v>HDM - CGS</v>
      </c>
      <c r="B5321" s="33" t="str">
        <f t="shared" si="333"/>
        <v>HDM</v>
      </c>
      <c r="C5321" s="33" t="str">
        <f t="shared" si="334"/>
        <v>54007-0000</v>
      </c>
      <c r="D5321" s="64" t="s">
        <v>6390</v>
      </c>
      <c r="E5321" s="64" t="s">
        <v>3814</v>
      </c>
      <c r="F5321" s="64" t="s">
        <v>230</v>
      </c>
      <c r="G5321" s="64" t="s">
        <v>3800</v>
      </c>
      <c r="H5321" s="64" t="s">
        <v>1875</v>
      </c>
      <c r="I5321" s="64" t="s">
        <v>3815</v>
      </c>
      <c r="J5321" s="67">
        <v>-195.19</v>
      </c>
      <c r="K5321" s="62">
        <v>901.91</v>
      </c>
      <c r="L5321" s="33" t="e">
        <f>HLOOKUP(B5321,#REF!,1,0)</f>
        <v>#REF!</v>
      </c>
      <c r="M5321" s="33" t="str">
        <f t="shared" si="335"/>
        <v>P&amp;L</v>
      </c>
    </row>
    <row r="5322" spans="1:13" s="33" customFormat="true" ht="12.75" customHeight="true">
      <c r="A5322" s="33" t="str">
        <f t="shared" si="332"/>
        <v>HDM - PM Expenses</v>
      </c>
      <c r="B5322" s="33" t="str">
        <f t="shared" si="333"/>
        <v>HDM</v>
      </c>
      <c r="C5322" s="33" t="str">
        <f t="shared" si="334"/>
        <v>55502-0000</v>
      </c>
      <c r="D5322" s="64" t="s">
        <v>6391</v>
      </c>
      <c r="E5322" s="64" t="s">
        <v>3822</v>
      </c>
      <c r="F5322" s="64" t="s">
        <v>230</v>
      </c>
      <c r="G5322" s="64" t="s">
        <v>3818</v>
      </c>
      <c r="H5322" s="64" t="s">
        <v>3819</v>
      </c>
      <c r="I5322" s="64" t="s">
        <v>3823</v>
      </c>
      <c r="J5322" s="67">
        <v>0</v>
      </c>
      <c r="K5322" s="62">
        <v>380</v>
      </c>
      <c r="L5322" s="33" t="e">
        <f>HLOOKUP(B5322,#REF!,1,0)</f>
        <v>#REF!</v>
      </c>
      <c r="M5322" s="33" t="str">
        <f t="shared" si="335"/>
        <v>P&amp;L</v>
      </c>
    </row>
    <row r="5323" spans="1:13" s="33" customFormat="true" ht="12.75" customHeight="true">
      <c r="A5323" s="33" t="str">
        <f t="shared" si="332"/>
        <v>HDM - PM Expenses</v>
      </c>
      <c r="B5323" s="33" t="str">
        <f t="shared" si="333"/>
        <v>HDM</v>
      </c>
      <c r="C5323" s="33" t="str">
        <f t="shared" si="334"/>
        <v>55503-0000</v>
      </c>
      <c r="D5323" s="64" t="s">
        <v>6392</v>
      </c>
      <c r="E5323" s="64" t="s">
        <v>3825</v>
      </c>
      <c r="F5323" s="64" t="s">
        <v>230</v>
      </c>
      <c r="G5323" s="64" t="s">
        <v>3818</v>
      </c>
      <c r="H5323" s="64" t="s">
        <v>3819</v>
      </c>
      <c r="I5323" s="64" t="s">
        <v>3826</v>
      </c>
      <c r="J5323" s="67">
        <v>0</v>
      </c>
      <c r="K5323" s="62">
        <v>530</v>
      </c>
      <c r="L5323" s="33" t="e">
        <f>HLOOKUP(B5323,#REF!,1,0)</f>
        <v>#REF!</v>
      </c>
      <c r="M5323" s="33" t="str">
        <f t="shared" si="335"/>
        <v>P&amp;L</v>
      </c>
    </row>
    <row r="5324" spans="1:13" s="33" customFormat="true" ht="12.75" customHeight="true">
      <c r="A5324" s="33" t="str">
        <f t="shared" si="332"/>
        <v>HDM - PM Expenses</v>
      </c>
      <c r="B5324" s="33" t="str">
        <f t="shared" si="333"/>
        <v>HDM</v>
      </c>
      <c r="C5324" s="33" t="str">
        <f t="shared" si="334"/>
        <v>55505-0000</v>
      </c>
      <c r="D5324" s="64" t="s">
        <v>6393</v>
      </c>
      <c r="E5324" s="64" t="s">
        <v>3828</v>
      </c>
      <c r="F5324" s="64" t="s">
        <v>230</v>
      </c>
      <c r="G5324" s="64" t="s">
        <v>3818</v>
      </c>
      <c r="H5324" s="64" t="s">
        <v>3819</v>
      </c>
      <c r="I5324" s="64" t="s">
        <v>3829</v>
      </c>
      <c r="J5324" s="67">
        <v>0</v>
      </c>
      <c r="K5324" s="62">
        <v>632.71</v>
      </c>
      <c r="L5324" s="33" t="e">
        <f>HLOOKUP(B5324,#REF!,1,0)</f>
        <v>#REF!</v>
      </c>
      <c r="M5324" s="33" t="str">
        <f t="shared" si="335"/>
        <v>P&amp;L</v>
      </c>
    </row>
    <row r="5325" spans="1:13" s="33" customFormat="true" ht="12.75" customHeight="true">
      <c r="A5325" s="33" t="str">
        <f t="shared" si="332"/>
        <v>HDM - PM Expenses</v>
      </c>
      <c r="B5325" s="33" t="str">
        <f t="shared" si="333"/>
        <v>HDM</v>
      </c>
      <c r="C5325" s="33" t="str">
        <f t="shared" si="334"/>
        <v>55506-0000</v>
      </c>
      <c r="D5325" s="64" t="s">
        <v>6394</v>
      </c>
      <c r="E5325" s="64" t="s">
        <v>3831</v>
      </c>
      <c r="F5325" s="64" t="s">
        <v>230</v>
      </c>
      <c r="G5325" s="64" t="s">
        <v>3818</v>
      </c>
      <c r="H5325" s="64" t="s">
        <v>3819</v>
      </c>
      <c r="I5325" s="64" t="s">
        <v>3832</v>
      </c>
      <c r="J5325" s="67">
        <v>0</v>
      </c>
      <c r="K5325" s="62">
        <v>5600</v>
      </c>
      <c r="L5325" s="33" t="e">
        <f>HLOOKUP(B5325,#REF!,1,0)</f>
        <v>#REF!</v>
      </c>
      <c r="M5325" s="33" t="str">
        <f t="shared" si="335"/>
        <v>P&amp;L</v>
      </c>
    </row>
    <row r="5326" spans="1:13" s="33" customFormat="true" ht="12.75" customHeight="true">
      <c r="A5326" s="33" t="str">
        <f t="shared" si="332"/>
        <v>HDM - CGS</v>
      </c>
      <c r="B5326" s="33" t="str">
        <f t="shared" si="333"/>
        <v>HDM</v>
      </c>
      <c r="C5326" s="33" t="str">
        <f t="shared" si="334"/>
        <v>60002-0000</v>
      </c>
      <c r="D5326" s="64" t="s">
        <v>6395</v>
      </c>
      <c r="E5326" s="64" t="s">
        <v>3837</v>
      </c>
      <c r="F5326" s="64" t="s">
        <v>230</v>
      </c>
      <c r="G5326" s="64" t="s">
        <v>3838</v>
      </c>
      <c r="H5326" s="64" t="s">
        <v>1875</v>
      </c>
      <c r="I5326" s="64" t="s">
        <v>3839</v>
      </c>
      <c r="J5326" s="67">
        <v>0</v>
      </c>
      <c r="K5326" s="62">
        <v>20</v>
      </c>
      <c r="L5326" s="33" t="e">
        <f>HLOOKUP(B5326,#REF!,1,0)</f>
        <v>#REF!</v>
      </c>
      <c r="M5326" s="33" t="str">
        <f t="shared" si="335"/>
        <v>P&amp;L</v>
      </c>
    </row>
    <row r="5327" spans="1:13" s="33" customFormat="true" ht="12.75" customHeight="true">
      <c r="A5327" s="33" t="str">
        <f t="shared" si="332"/>
        <v>HDM - CGS</v>
      </c>
      <c r="B5327" s="33" t="str">
        <f t="shared" si="333"/>
        <v>HDM</v>
      </c>
      <c r="C5327" s="33" t="str">
        <f t="shared" si="334"/>
        <v>60005-0000</v>
      </c>
      <c r="D5327" s="64" t="s">
        <v>6396</v>
      </c>
      <c r="E5327" s="64" t="s">
        <v>3841</v>
      </c>
      <c r="F5327" s="64" t="s">
        <v>230</v>
      </c>
      <c r="G5327" s="64" t="s">
        <v>3838</v>
      </c>
      <c r="H5327" s="64" t="s">
        <v>1875</v>
      </c>
      <c r="I5327" s="64" t="s">
        <v>3842</v>
      </c>
      <c r="J5327" s="67">
        <v>0</v>
      </c>
      <c r="K5327" s="62">
        <v>3720.5</v>
      </c>
      <c r="L5327" s="33" t="e">
        <f>HLOOKUP(B5327,#REF!,1,0)</f>
        <v>#REF!</v>
      </c>
      <c r="M5327" s="33" t="str">
        <f t="shared" si="335"/>
        <v>P&amp;L</v>
      </c>
    </row>
    <row r="5328" spans="1:13" s="33" customFormat="true" ht="12.75" customHeight="true">
      <c r="A5328" s="33" t="str">
        <f t="shared" si="332"/>
        <v>HDM - Interest Expense</v>
      </c>
      <c r="B5328" s="33" t="str">
        <f t="shared" si="333"/>
        <v>HDM</v>
      </c>
      <c r="C5328" s="33" t="str">
        <f t="shared" si="334"/>
        <v>60006-0000</v>
      </c>
      <c r="D5328" s="64" t="s">
        <v>6397</v>
      </c>
      <c r="E5328" s="64" t="s">
        <v>3325</v>
      </c>
      <c r="F5328" s="64" t="s">
        <v>230</v>
      </c>
      <c r="G5328" s="64" t="s">
        <v>3844</v>
      </c>
      <c r="H5328" s="64" t="s">
        <v>3327</v>
      </c>
      <c r="I5328" s="64" t="s">
        <v>3328</v>
      </c>
      <c r="J5328" s="67">
        <v>23625</v>
      </c>
      <c r="K5328" s="62">
        <v>59062.5</v>
      </c>
      <c r="L5328" s="33" t="e">
        <f>HLOOKUP(B5328,#REF!,1,0)</f>
        <v>#REF!</v>
      </c>
      <c r="M5328" s="33" t="str">
        <f t="shared" si="335"/>
        <v>P&amp;L</v>
      </c>
    </row>
    <row r="5329" spans="1:13" s="33" customFormat="true" ht="12.75" customHeight="true">
      <c r="A5329" s="33" t="str">
        <f t="shared" si="332"/>
        <v>HDM - CGS</v>
      </c>
      <c r="B5329" s="33" t="str">
        <f t="shared" si="333"/>
        <v>HDM</v>
      </c>
      <c r="C5329" s="33" t="str">
        <f t="shared" si="334"/>
        <v>60007-0000</v>
      </c>
      <c r="D5329" s="64" t="s">
        <v>6398</v>
      </c>
      <c r="E5329" s="64" t="s">
        <v>3846</v>
      </c>
      <c r="F5329" s="64" t="s">
        <v>230</v>
      </c>
      <c r="G5329" s="64" t="s">
        <v>3838</v>
      </c>
      <c r="H5329" s="64" t="s">
        <v>1875</v>
      </c>
      <c r="I5329" s="64" t="s">
        <v>3847</v>
      </c>
      <c r="J5329" s="67">
        <v>205.5</v>
      </c>
      <c r="K5329" s="62">
        <v>205.5</v>
      </c>
      <c r="L5329" s="33" t="e">
        <f>HLOOKUP(B5329,#REF!,1,0)</f>
        <v>#REF!</v>
      </c>
      <c r="M5329" s="33" t="str">
        <f t="shared" si="335"/>
        <v>P&amp;L</v>
      </c>
    </row>
    <row r="5330" spans="1:13" s="33" customFormat="true" ht="12.75" customHeight="true">
      <c r="A5330" s="33" t="str">
        <f t="shared" si="332"/>
        <v>HDM - CGS</v>
      </c>
      <c r="B5330" s="33" t="str">
        <f t="shared" si="333"/>
        <v>HDM</v>
      </c>
      <c r="C5330" s="33" t="str">
        <f t="shared" si="334"/>
        <v>60008-0000</v>
      </c>
      <c r="D5330" s="64" t="s">
        <v>6399</v>
      </c>
      <c r="E5330" s="64" t="s">
        <v>3849</v>
      </c>
      <c r="F5330" s="64" t="s">
        <v>230</v>
      </c>
      <c r="G5330" s="64" t="s">
        <v>3838</v>
      </c>
      <c r="H5330" s="64" t="s">
        <v>1875</v>
      </c>
      <c r="I5330" s="64" t="s">
        <v>3850</v>
      </c>
      <c r="J5330" s="67">
        <v>198</v>
      </c>
      <c r="K5330" s="62">
        <v>569</v>
      </c>
      <c r="L5330" s="33" t="e">
        <f>HLOOKUP(B5330,#REF!,1,0)</f>
        <v>#REF!</v>
      </c>
      <c r="M5330" s="33" t="str">
        <f t="shared" si="335"/>
        <v>P&amp;L</v>
      </c>
    </row>
    <row r="5331" spans="1:13" s="33" customFormat="true" ht="12.75" customHeight="true">
      <c r="A5331" s="33" t="str">
        <f t="shared" si="332"/>
        <v>HDM - CGS</v>
      </c>
      <c r="B5331" s="33" t="str">
        <f t="shared" si="333"/>
        <v>HDM</v>
      </c>
      <c r="C5331" s="33" t="str">
        <f t="shared" si="334"/>
        <v>60012-0000</v>
      </c>
      <c r="D5331" s="64" t="s">
        <v>6400</v>
      </c>
      <c r="E5331" s="64" t="s">
        <v>3852</v>
      </c>
      <c r="F5331" s="64" t="s">
        <v>230</v>
      </c>
      <c r="G5331" s="64" t="s">
        <v>3838</v>
      </c>
      <c r="H5331" s="64" t="s">
        <v>1875</v>
      </c>
      <c r="I5331" s="64" t="s">
        <v>3853</v>
      </c>
      <c r="J5331" s="67">
        <v>2116.46</v>
      </c>
      <c r="K5331" s="62">
        <v>2116.46</v>
      </c>
      <c r="L5331" s="33" t="e">
        <f>HLOOKUP(B5331,#REF!,1,0)</f>
        <v>#REF!</v>
      </c>
      <c r="M5331" s="33" t="str">
        <f t="shared" si="335"/>
        <v>P&amp;L</v>
      </c>
    </row>
    <row r="5332" spans="1:13" s="33" customFormat="true" ht="12.75" customHeight="true">
      <c r="A5332" s="33" t="str">
        <f t="shared" si="332"/>
        <v>HDM - CGS</v>
      </c>
      <c r="B5332" s="33" t="str">
        <f t="shared" si="333"/>
        <v>HDM</v>
      </c>
      <c r="C5332" s="33" t="str">
        <f t="shared" si="334"/>
        <v>60014-0000</v>
      </c>
      <c r="D5332" s="64" t="s">
        <v>6401</v>
      </c>
      <c r="E5332" s="64" t="s">
        <v>3855</v>
      </c>
      <c r="F5332" s="64" t="s">
        <v>230</v>
      </c>
      <c r="G5332" s="64" t="s">
        <v>3838</v>
      </c>
      <c r="H5332" s="64" t="s">
        <v>1875</v>
      </c>
      <c r="I5332" s="64" t="s">
        <v>3856</v>
      </c>
      <c r="J5332" s="67">
        <v>620.8</v>
      </c>
      <c r="K5332" s="62">
        <v>2349.76</v>
      </c>
      <c r="L5332" s="33" t="e">
        <f>HLOOKUP(B5332,#REF!,1,0)</f>
        <v>#REF!</v>
      </c>
      <c r="M5332" s="33" t="str">
        <f t="shared" si="335"/>
        <v>P&amp;L</v>
      </c>
    </row>
    <row r="5333" spans="1:13" s="33" customFormat="true" ht="12.75" customHeight="true">
      <c r="A5333" s="33" t="str">
        <f t="shared" si="332"/>
        <v>HDM - CGS</v>
      </c>
      <c r="B5333" s="33" t="str">
        <f t="shared" si="333"/>
        <v>HDM</v>
      </c>
      <c r="C5333" s="33" t="str">
        <f t="shared" si="334"/>
        <v>60015-0000</v>
      </c>
      <c r="D5333" s="64" t="s">
        <v>6402</v>
      </c>
      <c r="E5333" s="64" t="s">
        <v>3858</v>
      </c>
      <c r="F5333" s="64" t="s">
        <v>230</v>
      </c>
      <c r="G5333" s="64" t="s">
        <v>3838</v>
      </c>
      <c r="H5333" s="64" t="s">
        <v>1875</v>
      </c>
      <c r="I5333" s="64" t="s">
        <v>3859</v>
      </c>
      <c r="J5333" s="67">
        <v>0</v>
      </c>
      <c r="K5333" s="62">
        <v>0</v>
      </c>
      <c r="L5333" s="33" t="e">
        <f>HLOOKUP(B5333,#REF!,1,0)</f>
        <v>#REF!</v>
      </c>
      <c r="M5333" s="33" t="str">
        <f t="shared" si="335"/>
        <v>P&amp;L</v>
      </c>
    </row>
    <row r="5334" spans="1:13" s="33" customFormat="true" ht="12.75" customHeight="true">
      <c r="A5334" s="33" t="str">
        <f t="shared" si="332"/>
        <v>HDM - Other Expenses</v>
      </c>
      <c r="B5334" s="33" t="str">
        <f t="shared" si="333"/>
        <v>HDM</v>
      </c>
      <c r="C5334" s="33" t="str">
        <f t="shared" si="334"/>
        <v>61018-0000</v>
      </c>
      <c r="D5334" s="64" t="s">
        <v>6403</v>
      </c>
      <c r="E5334" s="64" t="s">
        <v>3864</v>
      </c>
      <c r="F5334" s="64" t="s">
        <v>230</v>
      </c>
      <c r="G5334" s="64" t="s">
        <v>3838</v>
      </c>
      <c r="H5334" s="64" t="s">
        <v>3865</v>
      </c>
      <c r="I5334" s="64" t="s">
        <v>3866</v>
      </c>
      <c r="J5334" s="67">
        <v>0</v>
      </c>
      <c r="K5334" s="62">
        <v>48813.5</v>
      </c>
      <c r="L5334" s="33" t="e">
        <f>HLOOKUP(B5334,#REF!,1,0)</f>
        <v>#REF!</v>
      </c>
      <c r="M5334" s="33" t="str">
        <f t="shared" si="335"/>
        <v>P&amp;L</v>
      </c>
    </row>
    <row r="5335" spans="1:13" s="33" customFormat="true" ht="12.75" customHeight="true">
      <c r="A5335" s="33" t="str">
        <f t="shared" si="332"/>
        <v>HDM - Income Tax</v>
      </c>
      <c r="B5335" s="33" t="str">
        <f t="shared" si="333"/>
        <v>HDM</v>
      </c>
      <c r="C5335" s="33" t="str">
        <f t="shared" si="334"/>
        <v>61019-0000</v>
      </c>
      <c r="D5335" s="64" t="s">
        <v>6404</v>
      </c>
      <c r="E5335" s="64" t="s">
        <v>4041</v>
      </c>
      <c r="F5335" s="64" t="s">
        <v>230</v>
      </c>
      <c r="G5335" s="64" t="s">
        <v>3844</v>
      </c>
      <c r="H5335" s="64" t="s">
        <v>3378</v>
      </c>
      <c r="I5335" s="64" t="s">
        <v>4042</v>
      </c>
      <c r="J5335" s="67">
        <v>0</v>
      </c>
      <c r="K5335" s="62">
        <v>900</v>
      </c>
      <c r="L5335" s="33" t="e">
        <f>HLOOKUP(B5335,#REF!,1,0)</f>
        <v>#REF!</v>
      </c>
      <c r="M5335" s="33" t="str">
        <f t="shared" si="335"/>
        <v>P&amp;L</v>
      </c>
    </row>
    <row r="5336" spans="1:13" s="33" customFormat="true" ht="12.75" customHeight="true">
      <c r="A5336" s="33" t="str">
        <f t="shared" si="332"/>
        <v>HDM - CGS</v>
      </c>
      <c r="B5336" s="33" t="str">
        <f t="shared" si="333"/>
        <v>HDM</v>
      </c>
      <c r="C5336" s="33" t="str">
        <f t="shared" si="334"/>
        <v>61023-0000</v>
      </c>
      <c r="D5336" s="64" t="s">
        <v>6405</v>
      </c>
      <c r="E5336" s="64" t="s">
        <v>3868</v>
      </c>
      <c r="F5336" s="64" t="s">
        <v>230</v>
      </c>
      <c r="G5336" s="64" t="s">
        <v>3838</v>
      </c>
      <c r="H5336" s="64" t="s">
        <v>1875</v>
      </c>
      <c r="I5336" s="64" t="s">
        <v>1876</v>
      </c>
      <c r="J5336" s="67">
        <v>0</v>
      </c>
      <c r="K5336" s="62">
        <v>55.8</v>
      </c>
      <c r="L5336" s="33" t="e">
        <f>HLOOKUP(B5336,#REF!,1,0)</f>
        <v>#REF!</v>
      </c>
      <c r="M5336" s="33" t="str">
        <f t="shared" si="335"/>
        <v>P&amp;L</v>
      </c>
    </row>
    <row r="5337" spans="1:13" s="33" customFormat="true" ht="12.75" customHeight="true">
      <c r="A5337" s="33" t="str">
        <f t="shared" si="332"/>
        <v>HDN - Intercompany</v>
      </c>
      <c r="B5337" s="33" t="str">
        <f t="shared" si="333"/>
        <v>HDN</v>
      </c>
      <c r="C5337" s="33" t="str">
        <f t="shared" si="334"/>
        <v>11356-0000</v>
      </c>
      <c r="D5337" s="64" t="s">
        <v>6406</v>
      </c>
      <c r="E5337" s="64" t="s">
        <v>6407</v>
      </c>
      <c r="F5337" s="64" t="s">
        <v>230</v>
      </c>
      <c r="G5337" s="64" t="s">
        <v>16</v>
      </c>
      <c r="H5337" s="64" t="s">
        <v>39</v>
      </c>
      <c r="I5337" s="64" t="s">
        <v>40</v>
      </c>
      <c r="J5337" s="67">
        <v>0</v>
      </c>
      <c r="K5337" s="62">
        <v>710000</v>
      </c>
      <c r="L5337" s="33" t="e">
        <f>HLOOKUP(B5337,#REF!,1,0)</f>
        <v>#REF!</v>
      </c>
      <c r="M5337" s="33" t="str">
        <f t="shared" si="335"/>
        <v>BS</v>
      </c>
    </row>
    <row r="5338" spans="1:13" s="33" customFormat="true" ht="12.75" customHeight="true">
      <c r="A5338" s="33" t="str">
        <f t="shared" si="332"/>
        <v>HDN - Intercompany</v>
      </c>
      <c r="B5338" s="33" t="str">
        <f t="shared" si="333"/>
        <v>HDN</v>
      </c>
      <c r="C5338" s="33" t="str">
        <f t="shared" si="334"/>
        <v>11357-0000</v>
      </c>
      <c r="D5338" s="64" t="s">
        <v>6408</v>
      </c>
      <c r="E5338" s="64" t="s">
        <v>6135</v>
      </c>
      <c r="F5338" s="64" t="s">
        <v>230</v>
      </c>
      <c r="G5338" s="64" t="s">
        <v>16</v>
      </c>
      <c r="H5338" s="64" t="s">
        <v>39</v>
      </c>
      <c r="I5338" s="64" t="s">
        <v>40</v>
      </c>
      <c r="J5338" s="67">
        <v>0</v>
      </c>
      <c r="K5338" s="62">
        <v>2238642.92</v>
      </c>
      <c r="L5338" s="33" t="e">
        <f>HLOOKUP(B5338,#REF!,1,0)</f>
        <v>#REF!</v>
      </c>
      <c r="M5338" s="33" t="str">
        <f t="shared" si="335"/>
        <v>BS</v>
      </c>
    </row>
    <row r="5339" spans="1:13" s="33" customFormat="true" ht="12.75" customHeight="true">
      <c r="A5339" s="33" t="str">
        <f t="shared" si="332"/>
        <v>HDN - Deposits</v>
      </c>
      <c r="B5339" s="33" t="str">
        <f t="shared" si="333"/>
        <v>HDN</v>
      </c>
      <c r="C5339" s="33" t="str">
        <f t="shared" si="334"/>
        <v>19000-0000</v>
      </c>
      <c r="D5339" s="64" t="s">
        <v>6409</v>
      </c>
      <c r="E5339" s="64" t="s">
        <v>342</v>
      </c>
      <c r="F5339" s="64" t="s">
        <v>230</v>
      </c>
      <c r="G5339" s="64" t="s">
        <v>62</v>
      </c>
      <c r="H5339" s="64" t="s">
        <v>80</v>
      </c>
      <c r="I5339" s="64" t="s">
        <v>81</v>
      </c>
      <c r="J5339" s="67">
        <v>0</v>
      </c>
      <c r="K5339" s="62">
        <v>-259624.16</v>
      </c>
      <c r="L5339" s="33" t="e">
        <f>HLOOKUP(B5339,#REF!,1,0)</f>
        <v>#REF!</v>
      </c>
      <c r="M5339" s="33" t="str">
        <f t="shared" si="335"/>
        <v>BS</v>
      </c>
    </row>
    <row r="5340" spans="1:13" s="33" customFormat="true" ht="12.75" customHeight="true">
      <c r="A5340" s="33" t="str">
        <f t="shared" si="332"/>
        <v>HDN - Revenue</v>
      </c>
      <c r="B5340" s="33" t="str">
        <f t="shared" si="333"/>
        <v>HDN</v>
      </c>
      <c r="C5340" s="33" t="str">
        <f t="shared" si="334"/>
        <v>40110-0000</v>
      </c>
      <c r="D5340" s="64" t="s">
        <v>6410</v>
      </c>
      <c r="E5340" s="64" t="s">
        <v>3683</v>
      </c>
      <c r="F5340" s="64" t="s">
        <v>230</v>
      </c>
      <c r="G5340" s="64" t="s">
        <v>3684</v>
      </c>
      <c r="H5340" s="64" t="s">
        <v>2871</v>
      </c>
      <c r="I5340" s="64" t="s">
        <v>3685</v>
      </c>
      <c r="J5340" s="67">
        <v>0</v>
      </c>
      <c r="K5340" s="62">
        <v>-32842.74</v>
      </c>
      <c r="L5340" s="33" t="e">
        <f>HLOOKUP(B5340,#REF!,1,0)</f>
        <v>#REF!</v>
      </c>
      <c r="M5340" s="33" t="str">
        <f t="shared" si="335"/>
        <v>P&amp;L</v>
      </c>
    </row>
    <row r="5341" spans="1:13" s="33" customFormat="true" ht="12.75" customHeight="true">
      <c r="A5341" s="33" t="str">
        <f t="shared" si="332"/>
        <v>HDN - Revenue</v>
      </c>
      <c r="B5341" s="33" t="str">
        <f t="shared" si="333"/>
        <v>HDN</v>
      </c>
      <c r="C5341" s="33" t="str">
        <f t="shared" si="334"/>
        <v>40120-0000</v>
      </c>
      <c r="D5341" s="64" t="s">
        <v>6411</v>
      </c>
      <c r="E5341" s="64" t="s">
        <v>3687</v>
      </c>
      <c r="F5341" s="64" t="s">
        <v>230</v>
      </c>
      <c r="G5341" s="64" t="s">
        <v>3684</v>
      </c>
      <c r="H5341" s="64" t="s">
        <v>2871</v>
      </c>
      <c r="I5341" s="64" t="s">
        <v>3688</v>
      </c>
      <c r="J5341" s="67">
        <v>0</v>
      </c>
      <c r="K5341" s="62">
        <v>0</v>
      </c>
      <c r="L5341" s="33" t="e">
        <f>HLOOKUP(B5341,#REF!,1,0)</f>
        <v>#REF!</v>
      </c>
      <c r="M5341" s="33" t="str">
        <f t="shared" si="335"/>
        <v>P&amp;L</v>
      </c>
    </row>
    <row r="5342" spans="1:13" s="33" customFormat="true" ht="12.75" customHeight="true">
      <c r="A5342" s="33" t="str">
        <f t="shared" si="332"/>
        <v>HDN - Revenue</v>
      </c>
      <c r="B5342" s="33" t="str">
        <f t="shared" si="333"/>
        <v>HDN</v>
      </c>
      <c r="C5342" s="33" t="str">
        <f t="shared" si="334"/>
        <v>40130-0000</v>
      </c>
      <c r="D5342" s="64" t="s">
        <v>6412</v>
      </c>
      <c r="E5342" s="64" t="s">
        <v>3690</v>
      </c>
      <c r="F5342" s="64" t="s">
        <v>230</v>
      </c>
      <c r="G5342" s="64" t="s">
        <v>3684</v>
      </c>
      <c r="H5342" s="64" t="s">
        <v>2871</v>
      </c>
      <c r="I5342" s="64" t="s">
        <v>3691</v>
      </c>
      <c r="J5342" s="67">
        <v>0</v>
      </c>
      <c r="K5342" s="62">
        <v>0</v>
      </c>
      <c r="L5342" s="33" t="e">
        <f>HLOOKUP(B5342,#REF!,1,0)</f>
        <v>#REF!</v>
      </c>
      <c r="M5342" s="33" t="str">
        <f t="shared" si="335"/>
        <v>P&amp;L</v>
      </c>
    </row>
    <row r="5343" spans="1:13" s="33" customFormat="true" ht="12.75" customHeight="true">
      <c r="A5343" s="33" t="str">
        <f t="shared" si="332"/>
        <v>HDN - Revenue</v>
      </c>
      <c r="B5343" s="33" t="str">
        <f t="shared" si="333"/>
        <v>HDN</v>
      </c>
      <c r="C5343" s="33" t="str">
        <f t="shared" si="334"/>
        <v>40140-0000</v>
      </c>
      <c r="D5343" s="64" t="s">
        <v>6413</v>
      </c>
      <c r="E5343" s="64" t="s">
        <v>3948</v>
      </c>
      <c r="F5343" s="64" t="s">
        <v>230</v>
      </c>
      <c r="G5343" s="64" t="s">
        <v>3684</v>
      </c>
      <c r="H5343" s="64" t="s">
        <v>2871</v>
      </c>
      <c r="I5343" s="64" t="s">
        <v>3949</v>
      </c>
      <c r="J5343" s="67">
        <v>0</v>
      </c>
      <c r="K5343" s="62">
        <v>0</v>
      </c>
      <c r="L5343" s="33" t="e">
        <f>HLOOKUP(B5343,#REF!,1,0)</f>
        <v>#REF!</v>
      </c>
      <c r="M5343" s="33" t="str">
        <f t="shared" si="335"/>
        <v>P&amp;L</v>
      </c>
    </row>
    <row r="5344" spans="1:13" s="33" customFormat="true" ht="12.75" customHeight="true">
      <c r="A5344" s="33" t="str">
        <f t="shared" si="332"/>
        <v>HDN - Revenue</v>
      </c>
      <c r="B5344" s="33" t="str">
        <f t="shared" si="333"/>
        <v>HDN</v>
      </c>
      <c r="C5344" s="33" t="str">
        <f t="shared" si="334"/>
        <v>41110-0000</v>
      </c>
      <c r="D5344" s="64" t="s">
        <v>6414</v>
      </c>
      <c r="E5344" s="64" t="s">
        <v>3693</v>
      </c>
      <c r="F5344" s="64" t="s">
        <v>230</v>
      </c>
      <c r="G5344" s="64" t="s">
        <v>3694</v>
      </c>
      <c r="H5344" s="64" t="s">
        <v>2871</v>
      </c>
      <c r="I5344" s="64" t="s">
        <v>3695</v>
      </c>
      <c r="J5344" s="67">
        <v>0</v>
      </c>
      <c r="K5344" s="62">
        <v>0</v>
      </c>
      <c r="L5344" s="33" t="e">
        <f>HLOOKUP(B5344,#REF!,1,0)</f>
        <v>#REF!</v>
      </c>
      <c r="M5344" s="33" t="str">
        <f t="shared" si="335"/>
        <v>P&amp;L</v>
      </c>
    </row>
    <row r="5345" spans="1:13" s="33" customFormat="true" ht="12.75" customHeight="true">
      <c r="A5345" s="33" t="str">
        <f t="shared" si="332"/>
        <v>HDN - Revenue</v>
      </c>
      <c r="B5345" s="33" t="str">
        <f t="shared" si="333"/>
        <v>HDN</v>
      </c>
      <c r="C5345" s="33" t="str">
        <f t="shared" si="334"/>
        <v>41121-0000</v>
      </c>
      <c r="D5345" s="64" t="s">
        <v>6415</v>
      </c>
      <c r="E5345" s="64" t="s">
        <v>3697</v>
      </c>
      <c r="F5345" s="64" t="s">
        <v>230</v>
      </c>
      <c r="G5345" s="64" t="s">
        <v>3694</v>
      </c>
      <c r="H5345" s="64" t="s">
        <v>2871</v>
      </c>
      <c r="I5345" s="64" t="s">
        <v>3698</v>
      </c>
      <c r="J5345" s="67">
        <v>0</v>
      </c>
      <c r="K5345" s="62">
        <v>20748.72</v>
      </c>
      <c r="L5345" s="33" t="e">
        <f>HLOOKUP(B5345,#REF!,1,0)</f>
        <v>#REF!</v>
      </c>
      <c r="M5345" s="33" t="str">
        <f t="shared" si="335"/>
        <v>P&amp;L</v>
      </c>
    </row>
    <row r="5346" spans="1:13" s="33" customFormat="true" ht="12.75" customHeight="true">
      <c r="A5346" s="33" t="str">
        <f t="shared" si="332"/>
        <v>HDN - Revenue</v>
      </c>
      <c r="B5346" s="33" t="str">
        <f t="shared" si="333"/>
        <v>HDN</v>
      </c>
      <c r="C5346" s="33" t="str">
        <f t="shared" si="334"/>
        <v>41122-0000</v>
      </c>
      <c r="D5346" s="64" t="s">
        <v>6416</v>
      </c>
      <c r="E5346" s="64" t="s">
        <v>3700</v>
      </c>
      <c r="F5346" s="64" t="s">
        <v>230</v>
      </c>
      <c r="G5346" s="64" t="s">
        <v>3694</v>
      </c>
      <c r="H5346" s="64" t="s">
        <v>2871</v>
      </c>
      <c r="I5346" s="64" t="s">
        <v>3701</v>
      </c>
      <c r="J5346" s="67">
        <v>0</v>
      </c>
      <c r="K5346" s="62">
        <v>-1025</v>
      </c>
      <c r="L5346" s="33" t="e">
        <f>HLOOKUP(B5346,#REF!,1,0)</f>
        <v>#REF!</v>
      </c>
      <c r="M5346" s="33" t="str">
        <f t="shared" si="335"/>
        <v>P&amp;L</v>
      </c>
    </row>
    <row r="5347" spans="1:13" s="33" customFormat="true" ht="12.75" customHeight="true">
      <c r="A5347" s="33" t="str">
        <f t="shared" si="332"/>
        <v>HDN - Revenue</v>
      </c>
      <c r="B5347" s="33" t="str">
        <f t="shared" si="333"/>
        <v>HDN</v>
      </c>
      <c r="C5347" s="33" t="str">
        <f t="shared" si="334"/>
        <v>41130-0000</v>
      </c>
      <c r="D5347" s="64" t="s">
        <v>6417</v>
      </c>
      <c r="E5347" s="64" t="s">
        <v>3703</v>
      </c>
      <c r="F5347" s="64" t="s">
        <v>230</v>
      </c>
      <c r="G5347" s="64" t="s">
        <v>3694</v>
      </c>
      <c r="H5347" s="64" t="s">
        <v>2871</v>
      </c>
      <c r="I5347" s="64" t="s">
        <v>3704</v>
      </c>
      <c r="J5347" s="67">
        <v>0</v>
      </c>
      <c r="K5347" s="62">
        <v>0</v>
      </c>
      <c r="L5347" s="33" t="e">
        <f>HLOOKUP(B5347,#REF!,1,0)</f>
        <v>#REF!</v>
      </c>
      <c r="M5347" s="33" t="str">
        <f t="shared" si="335"/>
        <v>P&amp;L</v>
      </c>
    </row>
    <row r="5348" spans="1:13" s="33" customFormat="true" ht="12.75" customHeight="true">
      <c r="A5348" s="33" t="str">
        <f t="shared" si="332"/>
        <v>HDN - Revenue</v>
      </c>
      <c r="B5348" s="33" t="str">
        <f t="shared" si="333"/>
        <v>HDN</v>
      </c>
      <c r="C5348" s="33" t="str">
        <f t="shared" si="334"/>
        <v>41150-0000</v>
      </c>
      <c r="D5348" s="64" t="s">
        <v>6418</v>
      </c>
      <c r="E5348" s="64" t="s">
        <v>3709</v>
      </c>
      <c r="F5348" s="64" t="s">
        <v>230</v>
      </c>
      <c r="G5348" s="64" t="s">
        <v>3694</v>
      </c>
      <c r="H5348" s="64" t="s">
        <v>2871</v>
      </c>
      <c r="I5348" s="64" t="s">
        <v>3710</v>
      </c>
      <c r="J5348" s="67">
        <v>0</v>
      </c>
      <c r="K5348" s="62">
        <v>1300</v>
      </c>
      <c r="L5348" s="33" t="e">
        <f>HLOOKUP(B5348,#REF!,1,0)</f>
        <v>#REF!</v>
      </c>
      <c r="M5348" s="33" t="str">
        <f t="shared" si="335"/>
        <v>P&amp;L</v>
      </c>
    </row>
    <row r="5349" spans="1:13" s="33" customFormat="true" ht="12.75" customHeight="true">
      <c r="A5349" s="33" t="str">
        <f t="shared" si="332"/>
        <v>HDN - Revenue</v>
      </c>
      <c r="B5349" s="33" t="str">
        <f t="shared" si="333"/>
        <v>HDN</v>
      </c>
      <c r="C5349" s="33" t="str">
        <f t="shared" si="334"/>
        <v>41160-0000</v>
      </c>
      <c r="D5349" s="64" t="s">
        <v>6419</v>
      </c>
      <c r="E5349" s="64" t="s">
        <v>3957</v>
      </c>
      <c r="F5349" s="64" t="s">
        <v>230</v>
      </c>
      <c r="G5349" s="64" t="s">
        <v>3694</v>
      </c>
      <c r="H5349" s="64" t="s">
        <v>2871</v>
      </c>
      <c r="I5349" s="64" t="s">
        <v>3701</v>
      </c>
      <c r="J5349" s="67">
        <v>0</v>
      </c>
      <c r="K5349" s="62">
        <v>-2063.72</v>
      </c>
      <c r="L5349" s="33" t="e">
        <f>HLOOKUP(B5349,#REF!,1,0)</f>
        <v>#REF!</v>
      </c>
      <c r="M5349" s="33" t="str">
        <f t="shared" si="335"/>
        <v>P&amp;L</v>
      </c>
    </row>
    <row r="5350" spans="1:13" s="33" customFormat="true" ht="12.75" customHeight="true">
      <c r="A5350" s="33" t="str">
        <f t="shared" si="332"/>
        <v>HDN - Revenue</v>
      </c>
      <c r="B5350" s="33" t="str">
        <f t="shared" si="333"/>
        <v>HDN</v>
      </c>
      <c r="C5350" s="33" t="str">
        <f t="shared" si="334"/>
        <v>41999-0000</v>
      </c>
      <c r="D5350" s="64" t="s">
        <v>6420</v>
      </c>
      <c r="E5350" s="64" t="s">
        <v>3712</v>
      </c>
      <c r="F5350" s="64" t="s">
        <v>230</v>
      </c>
      <c r="G5350" s="64" t="s">
        <v>3713</v>
      </c>
      <c r="H5350" s="64" t="s">
        <v>2871</v>
      </c>
      <c r="I5350" s="64" t="s">
        <v>3714</v>
      </c>
      <c r="J5350" s="67">
        <v>0</v>
      </c>
      <c r="K5350" s="62">
        <v>13882.74</v>
      </c>
      <c r="L5350" s="33" t="e">
        <f>HLOOKUP(B5350,#REF!,1,0)</f>
        <v>#REF!</v>
      </c>
      <c r="M5350" s="33" t="str">
        <f t="shared" si="335"/>
        <v>P&amp;L</v>
      </c>
    </row>
    <row r="5351" spans="1:13" s="33" customFormat="true" ht="12.75" customHeight="true">
      <c r="A5351" s="33" t="str">
        <f t="shared" si="332"/>
        <v>HDN - Revenue</v>
      </c>
      <c r="B5351" s="33" t="str">
        <f t="shared" si="333"/>
        <v>HDN</v>
      </c>
      <c r="C5351" s="33" t="str">
        <f t="shared" si="334"/>
        <v>47400-0000</v>
      </c>
      <c r="D5351" s="64" t="s">
        <v>6421</v>
      </c>
      <c r="E5351" s="64" t="s">
        <v>3716</v>
      </c>
      <c r="F5351" s="64" t="s">
        <v>230</v>
      </c>
      <c r="G5351" s="64" t="s">
        <v>3717</v>
      </c>
      <c r="H5351" s="64" t="s">
        <v>2871</v>
      </c>
      <c r="I5351" s="64" t="s">
        <v>3718</v>
      </c>
      <c r="J5351" s="67">
        <v>0</v>
      </c>
      <c r="K5351" s="62">
        <v>-13173.71</v>
      </c>
      <c r="L5351" s="33" t="e">
        <f>HLOOKUP(B5351,#REF!,1,0)</f>
        <v>#REF!</v>
      </c>
      <c r="M5351" s="33" t="str">
        <f t="shared" si="335"/>
        <v>P&amp;L</v>
      </c>
    </row>
    <row r="5352" spans="1:13" s="33" customFormat="true" ht="12.75" customHeight="true">
      <c r="A5352" s="33" t="str">
        <f t="shared" si="332"/>
        <v>HDN - Revenue</v>
      </c>
      <c r="B5352" s="33" t="str">
        <f t="shared" si="333"/>
        <v>HDN</v>
      </c>
      <c r="C5352" s="33" t="str">
        <f t="shared" si="334"/>
        <v>47420-0000</v>
      </c>
      <c r="D5352" s="64" t="s">
        <v>6422</v>
      </c>
      <c r="E5352" s="64" t="s">
        <v>4154</v>
      </c>
      <c r="F5352" s="64" t="s">
        <v>230</v>
      </c>
      <c r="G5352" s="64" t="s">
        <v>3717</v>
      </c>
      <c r="H5352" s="64" t="s">
        <v>2871</v>
      </c>
      <c r="I5352" s="64" t="s">
        <v>4155</v>
      </c>
      <c r="J5352" s="67">
        <v>0</v>
      </c>
      <c r="K5352" s="62">
        <v>-99.18</v>
      </c>
      <c r="L5352" s="33" t="e">
        <f>HLOOKUP(B5352,#REF!,1,0)</f>
        <v>#REF!</v>
      </c>
      <c r="M5352" s="33" t="str">
        <f t="shared" si="335"/>
        <v>P&amp;L</v>
      </c>
    </row>
    <row r="5353" spans="1:13" s="33" customFormat="true" ht="12.75" customHeight="true">
      <c r="A5353" s="33" t="str">
        <f t="shared" si="332"/>
        <v>HDN - Revenue</v>
      </c>
      <c r="B5353" s="33" t="str">
        <f t="shared" si="333"/>
        <v>HDN</v>
      </c>
      <c r="C5353" s="33" t="str">
        <f t="shared" si="334"/>
        <v>47430-0000</v>
      </c>
      <c r="D5353" s="64" t="s">
        <v>6423</v>
      </c>
      <c r="E5353" s="64" t="s">
        <v>4053</v>
      </c>
      <c r="F5353" s="64" t="s">
        <v>230</v>
      </c>
      <c r="G5353" s="64" t="s">
        <v>3717</v>
      </c>
      <c r="H5353" s="64" t="s">
        <v>2871</v>
      </c>
      <c r="I5353" s="64" t="s">
        <v>4054</v>
      </c>
      <c r="J5353" s="67">
        <v>0</v>
      </c>
      <c r="K5353" s="62">
        <v>2177.94</v>
      </c>
      <c r="L5353" s="33" t="e">
        <f>HLOOKUP(B5353,#REF!,1,0)</f>
        <v>#REF!</v>
      </c>
      <c r="M5353" s="33" t="str">
        <f t="shared" si="335"/>
        <v>P&amp;L</v>
      </c>
    </row>
    <row r="5354" spans="1:13" s="33" customFormat="true" ht="12.75" customHeight="true">
      <c r="A5354" s="33" t="str">
        <f t="shared" si="332"/>
        <v>HDN - Revenue</v>
      </c>
      <c r="B5354" s="33" t="str">
        <f t="shared" si="333"/>
        <v>HDN</v>
      </c>
      <c r="C5354" s="33" t="str">
        <f t="shared" si="334"/>
        <v>47440-0000</v>
      </c>
      <c r="D5354" s="64" t="s">
        <v>6424</v>
      </c>
      <c r="E5354" s="64" t="s">
        <v>3720</v>
      </c>
      <c r="F5354" s="64" t="s">
        <v>230</v>
      </c>
      <c r="G5354" s="64" t="s">
        <v>3717</v>
      </c>
      <c r="H5354" s="64" t="s">
        <v>2871</v>
      </c>
      <c r="I5354" s="64" t="s">
        <v>3721</v>
      </c>
      <c r="J5354" s="67">
        <v>0</v>
      </c>
      <c r="K5354" s="62">
        <v>-600</v>
      </c>
      <c r="L5354" s="33" t="e">
        <f>HLOOKUP(B5354,#REF!,1,0)</f>
        <v>#REF!</v>
      </c>
      <c r="M5354" s="33" t="str">
        <f t="shared" si="335"/>
        <v>P&amp;L</v>
      </c>
    </row>
    <row r="5355" spans="1:13" s="33" customFormat="true" ht="12.75" customHeight="true">
      <c r="A5355" s="33" t="str">
        <f t="shared" si="332"/>
        <v>HDN - Revenue</v>
      </c>
      <c r="B5355" s="33" t="str">
        <f t="shared" si="333"/>
        <v>HDN</v>
      </c>
      <c r="C5355" s="33" t="str">
        <f t="shared" si="334"/>
        <v>47450-0000</v>
      </c>
      <c r="D5355" s="64" t="s">
        <v>6425</v>
      </c>
      <c r="E5355" s="64" t="s">
        <v>3723</v>
      </c>
      <c r="F5355" s="64" t="s">
        <v>230</v>
      </c>
      <c r="G5355" s="64" t="s">
        <v>3717</v>
      </c>
      <c r="H5355" s="64" t="s">
        <v>2871</v>
      </c>
      <c r="I5355" s="64" t="s">
        <v>3724</v>
      </c>
      <c r="J5355" s="67">
        <v>0</v>
      </c>
      <c r="K5355" s="62">
        <v>-25</v>
      </c>
      <c r="L5355" s="33" t="e">
        <f>HLOOKUP(B5355,#REF!,1,0)</f>
        <v>#REF!</v>
      </c>
      <c r="M5355" s="33" t="str">
        <f t="shared" si="335"/>
        <v>P&amp;L</v>
      </c>
    </row>
    <row r="5356" spans="1:13" s="33" customFormat="true" ht="12.75" customHeight="true">
      <c r="A5356" s="33" t="str">
        <f t="shared" si="332"/>
        <v>HDN - Revenue</v>
      </c>
      <c r="B5356" s="33" t="str">
        <f t="shared" si="333"/>
        <v>HDN</v>
      </c>
      <c r="C5356" s="33" t="str">
        <f t="shared" si="334"/>
        <v>47460-0000</v>
      </c>
      <c r="D5356" s="64" t="s">
        <v>6426</v>
      </c>
      <c r="E5356" s="64" t="s">
        <v>3726</v>
      </c>
      <c r="F5356" s="64" t="s">
        <v>230</v>
      </c>
      <c r="G5356" s="64" t="s">
        <v>3717</v>
      </c>
      <c r="H5356" s="64" t="s">
        <v>2871</v>
      </c>
      <c r="I5356" s="64" t="s">
        <v>3727</v>
      </c>
      <c r="J5356" s="67">
        <v>0</v>
      </c>
      <c r="K5356" s="62">
        <v>0</v>
      </c>
      <c r="L5356" s="33" t="e">
        <f>HLOOKUP(B5356,#REF!,1,0)</f>
        <v>#REF!</v>
      </c>
      <c r="M5356" s="33" t="str">
        <f t="shared" si="335"/>
        <v>P&amp;L</v>
      </c>
    </row>
    <row r="5357" spans="1:13" s="33" customFormat="true" ht="12.75" customHeight="true">
      <c r="A5357" s="33" t="str">
        <f t="shared" si="332"/>
        <v>HDN - Revenue</v>
      </c>
      <c r="B5357" s="33" t="str">
        <f t="shared" si="333"/>
        <v>HDN</v>
      </c>
      <c r="C5357" s="33" t="str">
        <f t="shared" si="334"/>
        <v>47480-0000</v>
      </c>
      <c r="D5357" s="64" t="s">
        <v>6427</v>
      </c>
      <c r="E5357" s="64" t="s">
        <v>3729</v>
      </c>
      <c r="F5357" s="64" t="s">
        <v>230</v>
      </c>
      <c r="G5357" s="64" t="s">
        <v>3717</v>
      </c>
      <c r="H5357" s="64" t="s">
        <v>2871</v>
      </c>
      <c r="I5357" s="64" t="s">
        <v>3721</v>
      </c>
      <c r="J5357" s="67">
        <v>0</v>
      </c>
      <c r="K5357" s="62">
        <v>0</v>
      </c>
      <c r="L5357" s="33" t="e">
        <f>HLOOKUP(B5357,#REF!,1,0)</f>
        <v>#REF!</v>
      </c>
      <c r="M5357" s="33" t="str">
        <f t="shared" si="335"/>
        <v>P&amp;L</v>
      </c>
    </row>
    <row r="5358" spans="1:13" s="33" customFormat="true" ht="12.75" customHeight="true">
      <c r="A5358" s="33" t="str">
        <f t="shared" si="332"/>
        <v>HDN - Revenue</v>
      </c>
      <c r="B5358" s="33" t="str">
        <f t="shared" si="333"/>
        <v>HDN</v>
      </c>
      <c r="C5358" s="33" t="str">
        <f t="shared" si="334"/>
        <v>47490-0000</v>
      </c>
      <c r="D5358" s="64" t="s">
        <v>6428</v>
      </c>
      <c r="E5358" s="64" t="s">
        <v>3731</v>
      </c>
      <c r="F5358" s="64" t="s">
        <v>230</v>
      </c>
      <c r="G5358" s="64" t="s">
        <v>3717</v>
      </c>
      <c r="H5358" s="64" t="s">
        <v>2871</v>
      </c>
      <c r="I5358" s="64" t="s">
        <v>3721</v>
      </c>
      <c r="J5358" s="67">
        <v>0</v>
      </c>
      <c r="K5358" s="62">
        <v>-75</v>
      </c>
      <c r="L5358" s="33" t="e">
        <f>HLOOKUP(B5358,#REF!,1,0)</f>
        <v>#REF!</v>
      </c>
      <c r="M5358" s="33" t="str">
        <f t="shared" si="335"/>
        <v>P&amp;L</v>
      </c>
    </row>
    <row r="5359" spans="1:13" s="33" customFormat="true" ht="12.75" customHeight="true">
      <c r="A5359" s="33" t="str">
        <f t="shared" si="332"/>
        <v>HDN - Revenue</v>
      </c>
      <c r="B5359" s="33" t="str">
        <f t="shared" si="333"/>
        <v>HDN</v>
      </c>
      <c r="C5359" s="33" t="str">
        <f t="shared" si="334"/>
        <v>47495-0000</v>
      </c>
      <c r="D5359" s="64" t="s">
        <v>6429</v>
      </c>
      <c r="E5359" s="64" t="s">
        <v>6430</v>
      </c>
      <c r="F5359" s="64" t="s">
        <v>230</v>
      </c>
      <c r="G5359" s="64" t="s">
        <v>3717</v>
      </c>
      <c r="H5359" s="64" t="s">
        <v>2871</v>
      </c>
      <c r="I5359" s="64" t="s">
        <v>6431</v>
      </c>
      <c r="J5359" s="67">
        <v>0</v>
      </c>
      <c r="K5359" s="62">
        <v>-709.03</v>
      </c>
      <c r="L5359" s="33" t="e">
        <f>HLOOKUP(B5359,#REF!,1,0)</f>
        <v>#REF!</v>
      </c>
      <c r="M5359" s="33" t="str">
        <f t="shared" si="335"/>
        <v>P&amp;L</v>
      </c>
    </row>
    <row r="5360" spans="1:13" s="33" customFormat="true" ht="12.75" customHeight="true">
      <c r="A5360" s="33" t="str">
        <f t="shared" si="332"/>
        <v>HDN - CGS</v>
      </c>
      <c r="B5360" s="33" t="str">
        <f t="shared" si="333"/>
        <v>HDN</v>
      </c>
      <c r="C5360" s="33" t="str">
        <f t="shared" si="334"/>
        <v>51004-0000</v>
      </c>
      <c r="D5360" s="64" t="s">
        <v>6432</v>
      </c>
      <c r="E5360" s="64" t="s">
        <v>6433</v>
      </c>
      <c r="F5360" s="64" t="s">
        <v>230</v>
      </c>
      <c r="G5360" s="64" t="s">
        <v>3740</v>
      </c>
      <c r="H5360" s="64" t="s">
        <v>1875</v>
      </c>
      <c r="I5360" s="64" t="s">
        <v>6434</v>
      </c>
      <c r="J5360" s="67">
        <v>0</v>
      </c>
      <c r="K5360" s="62">
        <v>100</v>
      </c>
      <c r="L5360" s="33" t="e">
        <f>HLOOKUP(B5360,#REF!,1,0)</f>
        <v>#REF!</v>
      </c>
      <c r="M5360" s="33" t="str">
        <f t="shared" si="335"/>
        <v>P&amp;L</v>
      </c>
    </row>
    <row r="5361" spans="1:13" s="33" customFormat="true" ht="12.75" customHeight="true">
      <c r="A5361" s="33" t="str">
        <f t="shared" si="332"/>
        <v>HDN - CGS</v>
      </c>
      <c r="B5361" s="33" t="str">
        <f t="shared" si="333"/>
        <v>HDN</v>
      </c>
      <c r="C5361" s="33" t="str">
        <f t="shared" si="334"/>
        <v>51006-0000</v>
      </c>
      <c r="D5361" s="64" t="s">
        <v>6435</v>
      </c>
      <c r="E5361" s="64" t="s">
        <v>3739</v>
      </c>
      <c r="F5361" s="64" t="s">
        <v>230</v>
      </c>
      <c r="G5361" s="64" t="s">
        <v>3740</v>
      </c>
      <c r="H5361" s="64" t="s">
        <v>1875</v>
      </c>
      <c r="I5361" s="64" t="s">
        <v>3741</v>
      </c>
      <c r="J5361" s="67">
        <v>0</v>
      </c>
      <c r="K5361" s="62">
        <v>131.46</v>
      </c>
      <c r="L5361" s="33" t="e">
        <f>HLOOKUP(B5361,#REF!,1,0)</f>
        <v>#REF!</v>
      </c>
      <c r="M5361" s="33" t="str">
        <f t="shared" si="335"/>
        <v>P&amp;L</v>
      </c>
    </row>
    <row r="5362" spans="1:13" s="33" customFormat="true" ht="12.75" customHeight="true">
      <c r="A5362" s="33" t="str">
        <f t="shared" si="332"/>
        <v>HDN - CGS</v>
      </c>
      <c r="B5362" s="33" t="str">
        <f t="shared" si="333"/>
        <v>HDN</v>
      </c>
      <c r="C5362" s="33" t="str">
        <f t="shared" si="334"/>
        <v>51008-0000</v>
      </c>
      <c r="D5362" s="64" t="s">
        <v>6436</v>
      </c>
      <c r="E5362" s="64" t="s">
        <v>3743</v>
      </c>
      <c r="F5362" s="64" t="s">
        <v>230</v>
      </c>
      <c r="G5362" s="64" t="s">
        <v>3740</v>
      </c>
      <c r="H5362" s="64" t="s">
        <v>1875</v>
      </c>
      <c r="I5362" s="64" t="s">
        <v>3744</v>
      </c>
      <c r="J5362" s="67">
        <v>0</v>
      </c>
      <c r="K5362" s="62">
        <v>480.86</v>
      </c>
      <c r="L5362" s="33" t="e">
        <f>HLOOKUP(B5362,#REF!,1,0)</f>
        <v>#REF!</v>
      </c>
      <c r="M5362" s="33" t="str">
        <f t="shared" si="335"/>
        <v>P&amp;L</v>
      </c>
    </row>
    <row r="5363" spans="1:13" s="33" customFormat="true" ht="12.75" customHeight="true">
      <c r="A5363" s="33" t="str">
        <f t="shared" si="332"/>
        <v>HDN - CGS</v>
      </c>
      <c r="B5363" s="33" t="str">
        <f t="shared" si="333"/>
        <v>HDN</v>
      </c>
      <c r="C5363" s="33" t="str">
        <f t="shared" si="334"/>
        <v>51009-0000</v>
      </c>
      <c r="D5363" s="64" t="s">
        <v>6437</v>
      </c>
      <c r="E5363" s="64" t="s">
        <v>3746</v>
      </c>
      <c r="F5363" s="64" t="s">
        <v>230</v>
      </c>
      <c r="G5363" s="64" t="s">
        <v>3740</v>
      </c>
      <c r="H5363" s="64" t="s">
        <v>1875</v>
      </c>
      <c r="I5363" s="64" t="s">
        <v>3747</v>
      </c>
      <c r="J5363" s="67">
        <v>0</v>
      </c>
      <c r="K5363" s="62">
        <v>99.6</v>
      </c>
      <c r="L5363" s="33" t="e">
        <f>HLOOKUP(B5363,#REF!,1,0)</f>
        <v>#REF!</v>
      </c>
      <c r="M5363" s="33" t="str">
        <f t="shared" si="335"/>
        <v>P&amp;L</v>
      </c>
    </row>
    <row r="5364" spans="1:13" s="33" customFormat="true" ht="12.75" customHeight="true">
      <c r="A5364" s="33" t="str">
        <f t="shared" si="332"/>
        <v>HDN - CGS</v>
      </c>
      <c r="B5364" s="33" t="str">
        <f t="shared" si="333"/>
        <v>HDN</v>
      </c>
      <c r="C5364" s="33" t="str">
        <f t="shared" si="334"/>
        <v>51011-0000</v>
      </c>
      <c r="D5364" s="64" t="s">
        <v>6438</v>
      </c>
      <c r="E5364" s="64" t="s">
        <v>3749</v>
      </c>
      <c r="F5364" s="64" t="s">
        <v>230</v>
      </c>
      <c r="G5364" s="64" t="s">
        <v>3740</v>
      </c>
      <c r="H5364" s="64" t="s">
        <v>1875</v>
      </c>
      <c r="I5364" s="64" t="s">
        <v>3750</v>
      </c>
      <c r="J5364" s="67">
        <v>0</v>
      </c>
      <c r="K5364" s="62">
        <v>675</v>
      </c>
      <c r="L5364" s="33" t="e">
        <f>HLOOKUP(B5364,#REF!,1,0)</f>
        <v>#REF!</v>
      </c>
      <c r="M5364" s="33" t="str">
        <f t="shared" si="335"/>
        <v>P&amp;L</v>
      </c>
    </row>
    <row r="5365" spans="1:13" s="33" customFormat="true" ht="12.75" customHeight="true">
      <c r="A5365" s="33" t="str">
        <f t="shared" si="332"/>
        <v>HDN - CGS</v>
      </c>
      <c r="B5365" s="33" t="str">
        <f t="shared" si="333"/>
        <v>HDN</v>
      </c>
      <c r="C5365" s="33" t="str">
        <f t="shared" si="334"/>
        <v>51012-0000</v>
      </c>
      <c r="D5365" s="64" t="s">
        <v>6439</v>
      </c>
      <c r="E5365" s="64" t="s">
        <v>3752</v>
      </c>
      <c r="F5365" s="64" t="s">
        <v>230</v>
      </c>
      <c r="G5365" s="64" t="s">
        <v>3740</v>
      </c>
      <c r="H5365" s="64" t="s">
        <v>1875</v>
      </c>
      <c r="I5365" s="64" t="s">
        <v>3753</v>
      </c>
      <c r="J5365" s="67">
        <v>0</v>
      </c>
      <c r="K5365" s="62">
        <v>300</v>
      </c>
      <c r="L5365" s="33" t="e">
        <f>HLOOKUP(B5365,#REF!,1,0)</f>
        <v>#REF!</v>
      </c>
      <c r="M5365" s="33" t="str">
        <f t="shared" si="335"/>
        <v>P&amp;L</v>
      </c>
    </row>
    <row r="5366" spans="1:13" s="33" customFormat="true" ht="12.75" customHeight="true">
      <c r="A5366" s="33" t="str">
        <f t="shared" si="332"/>
        <v>HDN - CGS</v>
      </c>
      <c r="B5366" s="33" t="str">
        <f t="shared" si="333"/>
        <v>HDN</v>
      </c>
      <c r="C5366" s="33" t="str">
        <f t="shared" si="334"/>
        <v>51013-0000</v>
      </c>
      <c r="D5366" s="64" t="s">
        <v>6440</v>
      </c>
      <c r="E5366" s="64" t="s">
        <v>3979</v>
      </c>
      <c r="F5366" s="64" t="s">
        <v>230</v>
      </c>
      <c r="G5366" s="64" t="s">
        <v>3740</v>
      </c>
      <c r="H5366" s="64" t="s">
        <v>1875</v>
      </c>
      <c r="I5366" s="64" t="s">
        <v>3980</v>
      </c>
      <c r="J5366" s="67">
        <v>0</v>
      </c>
      <c r="K5366" s="62">
        <v>1000</v>
      </c>
      <c r="L5366" s="33" t="e">
        <f>HLOOKUP(B5366,#REF!,1,0)</f>
        <v>#REF!</v>
      </c>
      <c r="M5366" s="33" t="str">
        <f t="shared" si="335"/>
        <v>P&amp;L</v>
      </c>
    </row>
    <row r="5367" spans="1:13" s="33" customFormat="true" ht="12.75" customHeight="true">
      <c r="A5367" s="33" t="str">
        <f t="shared" si="332"/>
        <v>HDN - CGS</v>
      </c>
      <c r="B5367" s="33" t="str">
        <f t="shared" si="333"/>
        <v>HDN</v>
      </c>
      <c r="C5367" s="33" t="str">
        <f t="shared" si="334"/>
        <v>51020-0000</v>
      </c>
      <c r="D5367" s="64" t="s">
        <v>6441</v>
      </c>
      <c r="E5367" s="64" t="s">
        <v>3763</v>
      </c>
      <c r="F5367" s="64" t="s">
        <v>230</v>
      </c>
      <c r="G5367" s="64" t="s">
        <v>3740</v>
      </c>
      <c r="H5367" s="64" t="s">
        <v>1875</v>
      </c>
      <c r="I5367" s="64" t="s">
        <v>3345</v>
      </c>
      <c r="J5367" s="67">
        <v>0</v>
      </c>
      <c r="K5367" s="62">
        <v>13.78</v>
      </c>
      <c r="L5367" s="33" t="e">
        <f>HLOOKUP(B5367,#REF!,1,0)</f>
        <v>#REF!</v>
      </c>
      <c r="M5367" s="33" t="str">
        <f t="shared" si="335"/>
        <v>P&amp;L</v>
      </c>
    </row>
    <row r="5368" spans="1:13" s="33" customFormat="true" ht="12.75" customHeight="true">
      <c r="A5368" s="33" t="str">
        <f t="shared" si="332"/>
        <v>HDN - CGS</v>
      </c>
      <c r="B5368" s="33" t="str">
        <f t="shared" si="333"/>
        <v>HDN</v>
      </c>
      <c r="C5368" s="33" t="str">
        <f t="shared" si="334"/>
        <v>51025-0000</v>
      </c>
      <c r="D5368" s="64" t="s">
        <v>6442</v>
      </c>
      <c r="E5368" s="64" t="s">
        <v>3988</v>
      </c>
      <c r="F5368" s="64" t="s">
        <v>230</v>
      </c>
      <c r="G5368" s="64" t="s">
        <v>3740</v>
      </c>
      <c r="H5368" s="64" t="s">
        <v>1875</v>
      </c>
      <c r="I5368" s="64" t="s">
        <v>3989</v>
      </c>
      <c r="J5368" s="67">
        <v>0</v>
      </c>
      <c r="K5368" s="62">
        <v>321.26</v>
      </c>
      <c r="L5368" s="33" t="e">
        <f>HLOOKUP(B5368,#REF!,1,0)</f>
        <v>#REF!</v>
      </c>
      <c r="M5368" s="33" t="str">
        <f t="shared" si="335"/>
        <v>P&amp;L</v>
      </c>
    </row>
    <row r="5369" spans="1:13" s="33" customFormat="true" ht="12.75" customHeight="true">
      <c r="A5369" s="33" t="str">
        <f t="shared" si="332"/>
        <v>HDN - CGS</v>
      </c>
      <c r="B5369" s="33" t="str">
        <f t="shared" si="333"/>
        <v>HDN</v>
      </c>
      <c r="C5369" s="33" t="str">
        <f t="shared" si="334"/>
        <v>53001-0000</v>
      </c>
      <c r="D5369" s="64" t="s">
        <v>6443</v>
      </c>
      <c r="E5369" s="64" t="s">
        <v>3781</v>
      </c>
      <c r="F5369" s="64" t="s">
        <v>230</v>
      </c>
      <c r="G5369" s="64" t="s">
        <v>3160</v>
      </c>
      <c r="H5369" s="64" t="s">
        <v>1875</v>
      </c>
      <c r="I5369" s="64" t="s">
        <v>3782</v>
      </c>
      <c r="J5369" s="67">
        <v>0</v>
      </c>
      <c r="K5369" s="62">
        <v>172.66</v>
      </c>
      <c r="L5369" s="33" t="e">
        <f>HLOOKUP(B5369,#REF!,1,0)</f>
        <v>#REF!</v>
      </c>
      <c r="M5369" s="33" t="str">
        <f t="shared" si="335"/>
        <v>P&amp;L</v>
      </c>
    </row>
    <row r="5370" spans="1:13" s="33" customFormat="true" ht="12.75" customHeight="true">
      <c r="A5370" s="33" t="str">
        <f t="shared" si="332"/>
        <v>HDN - CGS</v>
      </c>
      <c r="B5370" s="33" t="str">
        <f t="shared" si="333"/>
        <v>HDN</v>
      </c>
      <c r="C5370" s="33" t="str">
        <f t="shared" si="334"/>
        <v>53002-0000</v>
      </c>
      <c r="D5370" s="64" t="s">
        <v>6444</v>
      </c>
      <c r="E5370" s="64" t="s">
        <v>3784</v>
      </c>
      <c r="F5370" s="64" t="s">
        <v>230</v>
      </c>
      <c r="G5370" s="64" t="s">
        <v>3160</v>
      </c>
      <c r="H5370" s="64" t="s">
        <v>1875</v>
      </c>
      <c r="I5370" s="64" t="s">
        <v>3785</v>
      </c>
      <c r="J5370" s="67">
        <v>0</v>
      </c>
      <c r="K5370" s="62">
        <v>1703.4</v>
      </c>
      <c r="L5370" s="33" t="e">
        <f>HLOOKUP(B5370,#REF!,1,0)</f>
        <v>#REF!</v>
      </c>
      <c r="M5370" s="33" t="str">
        <f t="shared" si="335"/>
        <v>P&amp;L</v>
      </c>
    </row>
    <row r="5371" spans="1:13" s="33" customFormat="true" ht="12.75" customHeight="true">
      <c r="A5371" s="33" t="str">
        <f t="shared" si="332"/>
        <v>HDN - CGS</v>
      </c>
      <c r="B5371" s="33" t="str">
        <f t="shared" si="333"/>
        <v>HDN</v>
      </c>
      <c r="C5371" s="33" t="str">
        <f t="shared" si="334"/>
        <v>53003-0000</v>
      </c>
      <c r="D5371" s="64" t="s">
        <v>6445</v>
      </c>
      <c r="E5371" s="64" t="s">
        <v>3787</v>
      </c>
      <c r="F5371" s="64" t="s">
        <v>230</v>
      </c>
      <c r="G5371" s="64" t="s">
        <v>3160</v>
      </c>
      <c r="H5371" s="64" t="s">
        <v>1875</v>
      </c>
      <c r="I5371" s="64" t="s">
        <v>3788</v>
      </c>
      <c r="J5371" s="67">
        <v>0</v>
      </c>
      <c r="K5371" s="62">
        <v>378.82</v>
      </c>
      <c r="L5371" s="33" t="e">
        <f>HLOOKUP(B5371,#REF!,1,0)</f>
        <v>#REF!</v>
      </c>
      <c r="M5371" s="33" t="str">
        <f t="shared" si="335"/>
        <v>P&amp;L</v>
      </c>
    </row>
    <row r="5372" spans="1:13" s="33" customFormat="true" ht="12.75" customHeight="true">
      <c r="A5372" s="33" t="str">
        <f t="shared" si="332"/>
        <v>HDN - CGS</v>
      </c>
      <c r="B5372" s="33" t="str">
        <f t="shared" si="333"/>
        <v>HDN</v>
      </c>
      <c r="C5372" s="33" t="str">
        <f t="shared" si="334"/>
        <v>53004-0000</v>
      </c>
      <c r="D5372" s="64" t="s">
        <v>6446</v>
      </c>
      <c r="E5372" s="64" t="s">
        <v>3790</v>
      </c>
      <c r="F5372" s="64" t="s">
        <v>230</v>
      </c>
      <c r="G5372" s="64" t="s">
        <v>3160</v>
      </c>
      <c r="H5372" s="64" t="s">
        <v>1875</v>
      </c>
      <c r="I5372" s="64" t="s">
        <v>3791</v>
      </c>
      <c r="J5372" s="67">
        <v>0</v>
      </c>
      <c r="K5372" s="62">
        <v>562.25</v>
      </c>
      <c r="L5372" s="33" t="e">
        <f>HLOOKUP(B5372,#REF!,1,0)</f>
        <v>#REF!</v>
      </c>
      <c r="M5372" s="33" t="str">
        <f t="shared" si="335"/>
        <v>P&amp;L</v>
      </c>
    </row>
    <row r="5373" spans="1:13" s="33" customFormat="true" ht="12.75" customHeight="true">
      <c r="A5373" s="33" t="str">
        <f t="shared" si="332"/>
        <v>HDN - CGS</v>
      </c>
      <c r="B5373" s="33" t="str">
        <f t="shared" si="333"/>
        <v>HDN</v>
      </c>
      <c r="C5373" s="33" t="str">
        <f t="shared" si="334"/>
        <v>53005-0000</v>
      </c>
      <c r="D5373" s="64" t="s">
        <v>6447</v>
      </c>
      <c r="E5373" s="64" t="s">
        <v>3793</v>
      </c>
      <c r="F5373" s="64" t="s">
        <v>230</v>
      </c>
      <c r="G5373" s="64" t="s">
        <v>3160</v>
      </c>
      <c r="H5373" s="64" t="s">
        <v>1875</v>
      </c>
      <c r="I5373" s="64" t="s">
        <v>3794</v>
      </c>
      <c r="J5373" s="67">
        <v>0</v>
      </c>
      <c r="K5373" s="62">
        <v>478.35</v>
      </c>
      <c r="L5373" s="33" t="e">
        <f>HLOOKUP(B5373,#REF!,1,0)</f>
        <v>#REF!</v>
      </c>
      <c r="M5373" s="33" t="str">
        <f t="shared" si="335"/>
        <v>P&amp;L</v>
      </c>
    </row>
    <row r="5374" spans="1:13" s="33" customFormat="true" ht="12.75" customHeight="true">
      <c r="A5374" s="33" t="str">
        <f t="shared" si="332"/>
        <v>HDN - CGS</v>
      </c>
      <c r="B5374" s="33" t="str">
        <f t="shared" si="333"/>
        <v>HDN</v>
      </c>
      <c r="C5374" s="33" t="str">
        <f t="shared" si="334"/>
        <v>53006-0000</v>
      </c>
      <c r="D5374" s="64" t="s">
        <v>6448</v>
      </c>
      <c r="E5374" s="64" t="s">
        <v>3796</v>
      </c>
      <c r="F5374" s="64" t="s">
        <v>230</v>
      </c>
      <c r="G5374" s="64" t="s">
        <v>3160</v>
      </c>
      <c r="H5374" s="64" t="s">
        <v>1875</v>
      </c>
      <c r="I5374" s="64" t="s">
        <v>3797</v>
      </c>
      <c r="J5374" s="67">
        <v>0</v>
      </c>
      <c r="K5374" s="62">
        <v>676.93</v>
      </c>
      <c r="L5374" s="33" t="e">
        <f>HLOOKUP(B5374,#REF!,1,0)</f>
        <v>#REF!</v>
      </c>
      <c r="M5374" s="33" t="str">
        <f t="shared" si="335"/>
        <v>P&amp;L</v>
      </c>
    </row>
    <row r="5375" spans="1:13" s="33" customFormat="true" ht="12.75" customHeight="true">
      <c r="A5375" s="33" t="str">
        <f t="shared" si="332"/>
        <v>HDN - CGS</v>
      </c>
      <c r="B5375" s="33" t="str">
        <f t="shared" si="333"/>
        <v>HDN</v>
      </c>
      <c r="C5375" s="33" t="str">
        <f t="shared" si="334"/>
        <v>54002-0000</v>
      </c>
      <c r="D5375" s="64" t="s">
        <v>6449</v>
      </c>
      <c r="E5375" s="64" t="s">
        <v>3799</v>
      </c>
      <c r="F5375" s="64" t="s">
        <v>230</v>
      </c>
      <c r="G5375" s="64" t="s">
        <v>3800</v>
      </c>
      <c r="H5375" s="64" t="s">
        <v>1875</v>
      </c>
      <c r="I5375" s="64" t="s">
        <v>3801</v>
      </c>
      <c r="J5375" s="67">
        <v>0</v>
      </c>
      <c r="K5375" s="62">
        <v>0</v>
      </c>
      <c r="L5375" s="33" t="e">
        <f>HLOOKUP(B5375,#REF!,1,0)</f>
        <v>#REF!</v>
      </c>
      <c r="M5375" s="33" t="str">
        <f t="shared" si="335"/>
        <v>P&amp;L</v>
      </c>
    </row>
    <row r="5376" spans="1:13" s="33" customFormat="true" ht="12.75" customHeight="true">
      <c r="A5376" s="33" t="str">
        <f t="shared" si="332"/>
        <v>HDN - CGS</v>
      </c>
      <c r="B5376" s="33" t="str">
        <f t="shared" si="333"/>
        <v>HDN</v>
      </c>
      <c r="C5376" s="33" t="str">
        <f t="shared" si="334"/>
        <v>54003-0000</v>
      </c>
      <c r="D5376" s="64" t="s">
        <v>6450</v>
      </c>
      <c r="E5376" s="64" t="s">
        <v>3803</v>
      </c>
      <c r="F5376" s="64" t="s">
        <v>230</v>
      </c>
      <c r="G5376" s="64" t="s">
        <v>3800</v>
      </c>
      <c r="H5376" s="64" t="s">
        <v>1875</v>
      </c>
      <c r="I5376" s="64" t="s">
        <v>3804</v>
      </c>
      <c r="J5376" s="67">
        <v>0</v>
      </c>
      <c r="K5376" s="62">
        <v>0</v>
      </c>
      <c r="L5376" s="33" t="e">
        <f>HLOOKUP(B5376,#REF!,1,0)</f>
        <v>#REF!</v>
      </c>
      <c r="M5376" s="33" t="str">
        <f t="shared" si="335"/>
        <v>P&amp;L</v>
      </c>
    </row>
    <row r="5377" spans="1:13" s="33" customFormat="true" ht="12.75" customHeight="true">
      <c r="A5377" s="33" t="str">
        <f t="shared" si="332"/>
        <v>HDN - CGS</v>
      </c>
      <c r="B5377" s="33" t="str">
        <f t="shared" si="333"/>
        <v>HDN</v>
      </c>
      <c r="C5377" s="33" t="str">
        <f t="shared" si="334"/>
        <v>54004-0000</v>
      </c>
      <c r="D5377" s="64" t="s">
        <v>6451</v>
      </c>
      <c r="E5377" s="64" t="s">
        <v>3806</v>
      </c>
      <c r="F5377" s="64" t="s">
        <v>230</v>
      </c>
      <c r="G5377" s="64" t="s">
        <v>3800</v>
      </c>
      <c r="H5377" s="64" t="s">
        <v>1875</v>
      </c>
      <c r="I5377" s="64" t="s">
        <v>3807</v>
      </c>
      <c r="J5377" s="67">
        <v>0</v>
      </c>
      <c r="K5377" s="62">
        <v>-227.86</v>
      </c>
      <c r="L5377" s="33" t="e">
        <f>HLOOKUP(B5377,#REF!,1,0)</f>
        <v>#REF!</v>
      </c>
      <c r="M5377" s="33" t="str">
        <f t="shared" si="335"/>
        <v>P&amp;L</v>
      </c>
    </row>
    <row r="5378" spans="1:13" s="33" customFormat="true" ht="12.75" customHeight="true">
      <c r="A5378" s="33" t="str">
        <f t="shared" ref="A5378:A5441" si="336">B5378&amp;" - "&amp;TRIM(H5378)</f>
        <v>HDN - CGS</v>
      </c>
      <c r="B5378" s="33" t="str">
        <f t="shared" ref="B5378:B5441" si="337">LEFT(D5378,3)</f>
        <v>HDN</v>
      </c>
      <c r="C5378" s="33" t="str">
        <f t="shared" ref="C5378:C5441" si="338">RIGHT(D5378,10)</f>
        <v>54005-0000</v>
      </c>
      <c r="D5378" s="64" t="s">
        <v>6452</v>
      </c>
      <c r="E5378" s="64" t="s">
        <v>3809</v>
      </c>
      <c r="F5378" s="64" t="s">
        <v>230</v>
      </c>
      <c r="G5378" s="64" t="s">
        <v>3800</v>
      </c>
      <c r="H5378" s="64" t="s">
        <v>1875</v>
      </c>
      <c r="I5378" s="64" t="s">
        <v>3810</v>
      </c>
      <c r="J5378" s="67">
        <v>0</v>
      </c>
      <c r="K5378" s="62">
        <v>0</v>
      </c>
      <c r="L5378" s="33" t="e">
        <f>HLOOKUP(B5378,#REF!,1,0)</f>
        <v>#REF!</v>
      </c>
      <c r="M5378" s="33" t="str">
        <f t="shared" ref="M5378:M5441" si="339">IF(VALUE(LEFT(C5378,5))&gt;40000,"P&amp;L","BS")</f>
        <v>P&amp;L</v>
      </c>
    </row>
    <row r="5379" spans="1:13" s="33" customFormat="true" ht="12.75" customHeight="true">
      <c r="A5379" s="33" t="str">
        <f t="shared" si="336"/>
        <v>HDN - CGS</v>
      </c>
      <c r="B5379" s="33" t="str">
        <f t="shared" si="337"/>
        <v>HDN</v>
      </c>
      <c r="C5379" s="33" t="str">
        <f t="shared" si="338"/>
        <v>54006-0000</v>
      </c>
      <c r="D5379" s="64" t="s">
        <v>6453</v>
      </c>
      <c r="E5379" s="64" t="s">
        <v>3812</v>
      </c>
      <c r="F5379" s="64" t="s">
        <v>230</v>
      </c>
      <c r="G5379" s="64" t="s">
        <v>3800</v>
      </c>
      <c r="H5379" s="64" t="s">
        <v>1875</v>
      </c>
      <c r="I5379" s="64" t="s">
        <v>3003</v>
      </c>
      <c r="J5379" s="67">
        <v>0</v>
      </c>
      <c r="K5379" s="62">
        <v>-140.65</v>
      </c>
      <c r="L5379" s="33" t="e">
        <f>HLOOKUP(B5379,#REF!,1,0)</f>
        <v>#REF!</v>
      </c>
      <c r="M5379" s="33" t="str">
        <f t="shared" si="339"/>
        <v>P&amp;L</v>
      </c>
    </row>
    <row r="5380" spans="1:13" s="33" customFormat="true" ht="12.75" customHeight="true">
      <c r="A5380" s="33" t="str">
        <f t="shared" si="336"/>
        <v>HDN - CGS</v>
      </c>
      <c r="B5380" s="33" t="str">
        <f t="shared" si="337"/>
        <v>HDN</v>
      </c>
      <c r="C5380" s="33" t="str">
        <f t="shared" si="338"/>
        <v>54007-0000</v>
      </c>
      <c r="D5380" s="64" t="s">
        <v>6454</v>
      </c>
      <c r="E5380" s="64" t="s">
        <v>4182</v>
      </c>
      <c r="F5380" s="64" t="s">
        <v>230</v>
      </c>
      <c r="G5380" s="64" t="s">
        <v>3800</v>
      </c>
      <c r="H5380" s="64" t="s">
        <v>1875</v>
      </c>
      <c r="I5380" s="64" t="s">
        <v>3815</v>
      </c>
      <c r="J5380" s="67">
        <v>0</v>
      </c>
      <c r="K5380" s="62">
        <v>13.32</v>
      </c>
      <c r="L5380" s="33" t="e">
        <f>HLOOKUP(B5380,#REF!,1,0)</f>
        <v>#REF!</v>
      </c>
      <c r="M5380" s="33" t="str">
        <f t="shared" si="339"/>
        <v>P&amp;L</v>
      </c>
    </row>
    <row r="5381" spans="1:13" s="33" customFormat="true" ht="12.75" customHeight="true">
      <c r="A5381" s="33" t="str">
        <f t="shared" si="336"/>
        <v>HDN - CGS</v>
      </c>
      <c r="B5381" s="33" t="str">
        <f t="shared" si="337"/>
        <v>HDN</v>
      </c>
      <c r="C5381" s="33" t="str">
        <f t="shared" si="338"/>
        <v>54008-0000</v>
      </c>
      <c r="D5381" s="64" t="s">
        <v>6455</v>
      </c>
      <c r="E5381" s="64" t="s">
        <v>4017</v>
      </c>
      <c r="F5381" s="64" t="s">
        <v>230</v>
      </c>
      <c r="G5381" s="64" t="s">
        <v>3800</v>
      </c>
      <c r="H5381" s="64" t="s">
        <v>1875</v>
      </c>
      <c r="I5381" s="64" t="s">
        <v>4018</v>
      </c>
      <c r="J5381" s="67">
        <v>0</v>
      </c>
      <c r="K5381" s="62">
        <v>0</v>
      </c>
      <c r="L5381" s="33" t="e">
        <f>HLOOKUP(B5381,#REF!,1,0)</f>
        <v>#REF!</v>
      </c>
      <c r="M5381" s="33" t="str">
        <f t="shared" si="339"/>
        <v>P&amp;L</v>
      </c>
    </row>
    <row r="5382" spans="1:13" s="33" customFormat="true" ht="12.75" customHeight="true">
      <c r="A5382" s="33" t="str">
        <f t="shared" si="336"/>
        <v>HDN - PM Expenses</v>
      </c>
      <c r="B5382" s="33" t="str">
        <f t="shared" si="337"/>
        <v>HDN</v>
      </c>
      <c r="C5382" s="33" t="str">
        <f t="shared" si="338"/>
        <v>55504-0000</v>
      </c>
      <c r="D5382" s="64" t="s">
        <v>6456</v>
      </c>
      <c r="E5382" s="64" t="s">
        <v>4027</v>
      </c>
      <c r="F5382" s="64" t="s">
        <v>230</v>
      </c>
      <c r="G5382" s="64" t="s">
        <v>3818</v>
      </c>
      <c r="H5382" s="64" t="s">
        <v>3819</v>
      </c>
      <c r="I5382" s="64" t="s">
        <v>4028</v>
      </c>
      <c r="J5382" s="67">
        <v>0</v>
      </c>
      <c r="K5382" s="62">
        <v>283.3</v>
      </c>
      <c r="L5382" s="33" t="e">
        <f>HLOOKUP(B5382,#REF!,1,0)</f>
        <v>#REF!</v>
      </c>
      <c r="M5382" s="33" t="str">
        <f t="shared" si="339"/>
        <v>P&amp;L</v>
      </c>
    </row>
    <row r="5383" spans="1:13" s="33" customFormat="true" ht="12.75" customHeight="true">
      <c r="A5383" s="33" t="str">
        <f t="shared" si="336"/>
        <v>HDN - PM Expenses</v>
      </c>
      <c r="B5383" s="33" t="str">
        <f t="shared" si="337"/>
        <v>HDN</v>
      </c>
      <c r="C5383" s="33" t="str">
        <f t="shared" si="338"/>
        <v>55505-0000</v>
      </c>
      <c r="D5383" s="64" t="s">
        <v>6457</v>
      </c>
      <c r="E5383" s="64" t="s">
        <v>3828</v>
      </c>
      <c r="F5383" s="64" t="s">
        <v>230</v>
      </c>
      <c r="G5383" s="64" t="s">
        <v>3818</v>
      </c>
      <c r="H5383" s="64" t="s">
        <v>3819</v>
      </c>
      <c r="I5383" s="64" t="s">
        <v>3829</v>
      </c>
      <c r="J5383" s="67">
        <v>0</v>
      </c>
      <c r="K5383" s="62">
        <v>510</v>
      </c>
      <c r="L5383" s="33" t="e">
        <f>HLOOKUP(B5383,#REF!,1,0)</f>
        <v>#REF!</v>
      </c>
      <c r="M5383" s="33" t="str">
        <f t="shared" si="339"/>
        <v>P&amp;L</v>
      </c>
    </row>
    <row r="5384" spans="1:13" s="33" customFormat="true" ht="12.75" customHeight="true">
      <c r="A5384" s="33" t="str">
        <f t="shared" si="336"/>
        <v>HDN - PM Expenses</v>
      </c>
      <c r="B5384" s="33" t="str">
        <f t="shared" si="337"/>
        <v>HDN</v>
      </c>
      <c r="C5384" s="33" t="str">
        <f t="shared" si="338"/>
        <v>55508-0000</v>
      </c>
      <c r="D5384" s="64" t="s">
        <v>6458</v>
      </c>
      <c r="E5384" s="64" t="s">
        <v>4351</v>
      </c>
      <c r="F5384" s="64" t="s">
        <v>230</v>
      </c>
      <c r="G5384" s="64" t="s">
        <v>3818</v>
      </c>
      <c r="H5384" s="64" t="s">
        <v>3819</v>
      </c>
      <c r="I5384" s="64" t="s">
        <v>4352</v>
      </c>
      <c r="J5384" s="67">
        <v>0</v>
      </c>
      <c r="K5384" s="62">
        <v>112</v>
      </c>
      <c r="L5384" s="33" t="e">
        <f>HLOOKUP(B5384,#REF!,1,0)</f>
        <v>#REF!</v>
      </c>
      <c r="M5384" s="33" t="str">
        <f t="shared" si="339"/>
        <v>P&amp;L</v>
      </c>
    </row>
    <row r="5385" spans="1:13" s="33" customFormat="true" ht="12.75" customHeight="true">
      <c r="A5385" s="33" t="str">
        <f t="shared" si="336"/>
        <v>HDN - CGS</v>
      </c>
      <c r="B5385" s="33" t="str">
        <f t="shared" si="337"/>
        <v>HDN</v>
      </c>
      <c r="C5385" s="33" t="str">
        <f t="shared" si="338"/>
        <v>60002-0000</v>
      </c>
      <c r="D5385" s="64" t="s">
        <v>6459</v>
      </c>
      <c r="E5385" s="64" t="s">
        <v>3837</v>
      </c>
      <c r="F5385" s="64" t="s">
        <v>230</v>
      </c>
      <c r="G5385" s="64" t="s">
        <v>3838</v>
      </c>
      <c r="H5385" s="64" t="s">
        <v>1875</v>
      </c>
      <c r="I5385" s="64" t="s">
        <v>3839</v>
      </c>
      <c r="J5385" s="67">
        <v>0</v>
      </c>
      <c r="K5385" s="62">
        <v>317.17</v>
      </c>
      <c r="L5385" s="33" t="e">
        <f>HLOOKUP(B5385,#REF!,1,0)</f>
        <v>#REF!</v>
      </c>
      <c r="M5385" s="33" t="str">
        <f t="shared" si="339"/>
        <v>P&amp;L</v>
      </c>
    </row>
    <row r="5386" spans="1:13" s="33" customFormat="true" ht="12.75" customHeight="true">
      <c r="A5386" s="33" t="str">
        <f t="shared" si="336"/>
        <v>HDN - Interest Expense</v>
      </c>
      <c r="B5386" s="33" t="str">
        <f t="shared" si="337"/>
        <v>HDN</v>
      </c>
      <c r="C5386" s="33" t="str">
        <f t="shared" si="338"/>
        <v>60006-0000</v>
      </c>
      <c r="D5386" s="64" t="s">
        <v>6460</v>
      </c>
      <c r="E5386" s="64" t="s">
        <v>3325</v>
      </c>
      <c r="F5386" s="64" t="s">
        <v>230</v>
      </c>
      <c r="G5386" s="64" t="s">
        <v>3844</v>
      </c>
      <c r="H5386" s="64" t="s">
        <v>3327</v>
      </c>
      <c r="I5386" s="64" t="s">
        <v>3328</v>
      </c>
      <c r="J5386" s="67">
        <v>0</v>
      </c>
      <c r="K5386" s="62">
        <v>14878.01</v>
      </c>
      <c r="L5386" s="33" t="e">
        <f>HLOOKUP(B5386,#REF!,1,0)</f>
        <v>#REF!</v>
      </c>
      <c r="M5386" s="33" t="str">
        <f t="shared" si="339"/>
        <v>P&amp;L</v>
      </c>
    </row>
    <row r="5387" spans="1:13" s="33" customFormat="true" ht="12.75" customHeight="true">
      <c r="A5387" s="33" t="str">
        <f t="shared" si="336"/>
        <v>HDN - CGS</v>
      </c>
      <c r="B5387" s="33" t="str">
        <f t="shared" si="337"/>
        <v>HDN</v>
      </c>
      <c r="C5387" s="33" t="str">
        <f t="shared" si="338"/>
        <v>60007-0000</v>
      </c>
      <c r="D5387" s="64" t="s">
        <v>6461</v>
      </c>
      <c r="E5387" s="64" t="s">
        <v>3846</v>
      </c>
      <c r="F5387" s="64" t="s">
        <v>230</v>
      </c>
      <c r="G5387" s="64" t="s">
        <v>3838</v>
      </c>
      <c r="H5387" s="64" t="s">
        <v>1875</v>
      </c>
      <c r="I5387" s="64" t="s">
        <v>3847</v>
      </c>
      <c r="J5387" s="67">
        <v>0</v>
      </c>
      <c r="K5387" s="62">
        <v>276</v>
      </c>
      <c r="L5387" s="33" t="e">
        <f>HLOOKUP(B5387,#REF!,1,0)</f>
        <v>#REF!</v>
      </c>
      <c r="M5387" s="33" t="str">
        <f t="shared" si="339"/>
        <v>P&amp;L</v>
      </c>
    </row>
    <row r="5388" spans="1:13" s="33" customFormat="true" ht="12.75" customHeight="true">
      <c r="A5388" s="33" t="str">
        <f t="shared" si="336"/>
        <v>HDN - CGS</v>
      </c>
      <c r="B5388" s="33" t="str">
        <f t="shared" si="337"/>
        <v>HDN</v>
      </c>
      <c r="C5388" s="33" t="str">
        <f t="shared" si="338"/>
        <v>60012-0000</v>
      </c>
      <c r="D5388" s="64" t="s">
        <v>6462</v>
      </c>
      <c r="E5388" s="64" t="s">
        <v>3852</v>
      </c>
      <c r="F5388" s="64" t="s">
        <v>230</v>
      </c>
      <c r="G5388" s="64" t="s">
        <v>3838</v>
      </c>
      <c r="H5388" s="64" t="s">
        <v>1875</v>
      </c>
      <c r="I5388" s="64" t="s">
        <v>3853</v>
      </c>
      <c r="J5388" s="67">
        <v>0</v>
      </c>
      <c r="K5388" s="62">
        <v>2082.19</v>
      </c>
      <c r="L5388" s="33" t="e">
        <f>HLOOKUP(B5388,#REF!,1,0)</f>
        <v>#REF!</v>
      </c>
      <c r="M5388" s="33" t="str">
        <f t="shared" si="339"/>
        <v>P&amp;L</v>
      </c>
    </row>
    <row r="5389" spans="1:13" s="33" customFormat="true" ht="12.75" customHeight="true">
      <c r="A5389" s="33" t="str">
        <f t="shared" si="336"/>
        <v>HDN - CGS</v>
      </c>
      <c r="B5389" s="33" t="str">
        <f t="shared" si="337"/>
        <v>HDN</v>
      </c>
      <c r="C5389" s="33" t="str">
        <f t="shared" si="338"/>
        <v>60014-0000</v>
      </c>
      <c r="D5389" s="64" t="s">
        <v>6463</v>
      </c>
      <c r="E5389" s="64" t="s">
        <v>3855</v>
      </c>
      <c r="F5389" s="64" t="s">
        <v>230</v>
      </c>
      <c r="G5389" s="64" t="s">
        <v>3838</v>
      </c>
      <c r="H5389" s="64" t="s">
        <v>1875</v>
      </c>
      <c r="I5389" s="64" t="s">
        <v>3856</v>
      </c>
      <c r="J5389" s="67">
        <v>0</v>
      </c>
      <c r="K5389" s="62">
        <v>1722.24</v>
      </c>
      <c r="L5389" s="33" t="e">
        <f>HLOOKUP(B5389,#REF!,1,0)</f>
        <v>#REF!</v>
      </c>
      <c r="M5389" s="33" t="str">
        <f t="shared" si="339"/>
        <v>P&amp;L</v>
      </c>
    </row>
    <row r="5390" spans="1:13" s="33" customFormat="true" ht="12.75" customHeight="true">
      <c r="A5390" s="33" t="str">
        <f t="shared" si="336"/>
        <v>HDN - CGS</v>
      </c>
      <c r="B5390" s="33" t="str">
        <f t="shared" si="337"/>
        <v>HDN</v>
      </c>
      <c r="C5390" s="33" t="str">
        <f t="shared" si="338"/>
        <v>60015-0000</v>
      </c>
      <c r="D5390" s="64" t="s">
        <v>6464</v>
      </c>
      <c r="E5390" s="64" t="s">
        <v>3858</v>
      </c>
      <c r="F5390" s="64" t="s">
        <v>230</v>
      </c>
      <c r="G5390" s="64" t="s">
        <v>3838</v>
      </c>
      <c r="H5390" s="64" t="s">
        <v>1875</v>
      </c>
      <c r="I5390" s="64" t="s">
        <v>3859</v>
      </c>
      <c r="J5390" s="67">
        <v>0</v>
      </c>
      <c r="K5390" s="62">
        <v>987</v>
      </c>
      <c r="L5390" s="33" t="e">
        <f>HLOOKUP(B5390,#REF!,1,0)</f>
        <v>#REF!</v>
      </c>
      <c r="M5390" s="33" t="str">
        <f t="shared" si="339"/>
        <v>P&amp;L</v>
      </c>
    </row>
    <row r="5391" spans="1:13" s="33" customFormat="true" ht="12.75" customHeight="true">
      <c r="A5391" s="33" t="str">
        <f t="shared" si="336"/>
        <v>HDN - CGS</v>
      </c>
      <c r="B5391" s="33" t="str">
        <f t="shared" si="337"/>
        <v>HDN</v>
      </c>
      <c r="C5391" s="33" t="str">
        <f t="shared" si="338"/>
        <v>61018-0000</v>
      </c>
      <c r="D5391" s="64" t="s">
        <v>6465</v>
      </c>
      <c r="E5391" s="64" t="s">
        <v>3864</v>
      </c>
      <c r="F5391" s="64" t="s">
        <v>230</v>
      </c>
      <c r="G5391" s="64" t="s">
        <v>3838</v>
      </c>
      <c r="H5391" s="64" t="s">
        <v>1875</v>
      </c>
      <c r="I5391" s="64" t="s">
        <v>3866</v>
      </c>
      <c r="J5391" s="67">
        <v>0</v>
      </c>
      <c r="K5391" s="62">
        <v>324732.61</v>
      </c>
      <c r="L5391" s="33" t="e">
        <f>HLOOKUP(B5391,#REF!,1,0)</f>
        <v>#REF!</v>
      </c>
      <c r="M5391" s="33" t="str">
        <f t="shared" si="339"/>
        <v>P&amp;L</v>
      </c>
    </row>
    <row r="5392" spans="1:13" s="33" customFormat="true" ht="12.75" customHeight="true">
      <c r="A5392" s="33" t="str">
        <f t="shared" si="336"/>
        <v>HDN - Income Tax</v>
      </c>
      <c r="B5392" s="33" t="str">
        <f t="shared" si="337"/>
        <v>HDN</v>
      </c>
      <c r="C5392" s="33" t="str">
        <f t="shared" si="338"/>
        <v>61019-0000</v>
      </c>
      <c r="D5392" s="64" t="s">
        <v>6466</v>
      </c>
      <c r="E5392" s="64" t="s">
        <v>4041</v>
      </c>
      <c r="F5392" s="64" t="s">
        <v>230</v>
      </c>
      <c r="G5392" s="64" t="s">
        <v>3844</v>
      </c>
      <c r="H5392" s="64" t="s">
        <v>3378</v>
      </c>
      <c r="I5392" s="64" t="s">
        <v>4042</v>
      </c>
      <c r="J5392" s="67">
        <v>0</v>
      </c>
      <c r="K5392" s="62">
        <v>800</v>
      </c>
      <c r="L5392" s="33" t="e">
        <f>HLOOKUP(B5392,#REF!,1,0)</f>
        <v>#REF!</v>
      </c>
      <c r="M5392" s="33" t="str">
        <f t="shared" si="339"/>
        <v>P&amp;L</v>
      </c>
    </row>
    <row r="5393" spans="1:13" s="33" customFormat="true" ht="12.75" customHeight="true">
      <c r="A5393" s="33" t="str">
        <f t="shared" si="336"/>
        <v>HDN - Gain/Loss on Disp</v>
      </c>
      <c r="B5393" s="33" t="str">
        <f t="shared" si="337"/>
        <v>HDN</v>
      </c>
      <c r="C5393" s="33" t="str">
        <f t="shared" si="338"/>
        <v>99700-0000</v>
      </c>
      <c r="D5393" s="64" t="s">
        <v>6467</v>
      </c>
      <c r="E5393" s="64" t="s">
        <v>5920</v>
      </c>
      <c r="F5393" s="64" t="s">
        <v>230</v>
      </c>
      <c r="G5393" s="64" t="s">
        <v>3326</v>
      </c>
      <c r="H5393" s="64" t="s">
        <v>5921</v>
      </c>
      <c r="I5393" s="64" t="s">
        <v>5922</v>
      </c>
      <c r="J5393" s="67">
        <v>0</v>
      </c>
      <c r="K5393" s="62">
        <v>-975000</v>
      </c>
      <c r="L5393" s="33" t="e">
        <f>HLOOKUP(B5393,#REF!,1,0)</f>
        <v>#REF!</v>
      </c>
      <c r="M5393" s="33" t="str">
        <f t="shared" si="339"/>
        <v>P&amp;L</v>
      </c>
    </row>
    <row r="5394" spans="1:13" s="33" customFormat="true" ht="12.75" customHeight="true">
      <c r="A5394" s="33" t="str">
        <f t="shared" si="336"/>
        <v>HDR - Cash</v>
      </c>
      <c r="B5394" s="33" t="str">
        <f t="shared" si="337"/>
        <v>HDR</v>
      </c>
      <c r="C5394" s="33" t="str">
        <f t="shared" si="338"/>
        <v>10001-0000</v>
      </c>
      <c r="D5394" s="64" t="s">
        <v>6468</v>
      </c>
      <c r="E5394" s="64" t="s">
        <v>240</v>
      </c>
      <c r="F5394" s="64" t="s">
        <v>230</v>
      </c>
      <c r="G5394" s="64" t="s">
        <v>16</v>
      </c>
      <c r="H5394" s="64" t="s">
        <v>25</v>
      </c>
      <c r="I5394" s="64" t="s">
        <v>18</v>
      </c>
      <c r="J5394" s="67">
        <v>-10544.5</v>
      </c>
      <c r="K5394" s="62">
        <v>56285.91</v>
      </c>
      <c r="L5394" s="33" t="e">
        <f>HLOOKUP(B5394,#REF!,1,0)</f>
        <v>#REF!</v>
      </c>
      <c r="M5394" s="33" t="str">
        <f t="shared" si="339"/>
        <v>BS</v>
      </c>
    </row>
    <row r="5395" spans="1:13" s="33" customFormat="true" ht="12.75" customHeight="true">
      <c r="A5395" s="33" t="str">
        <f t="shared" si="336"/>
        <v>HDR - AR-PPD</v>
      </c>
      <c r="B5395" s="33" t="str">
        <f t="shared" si="337"/>
        <v>HDR</v>
      </c>
      <c r="C5395" s="33" t="str">
        <f t="shared" si="338"/>
        <v>11000-0000</v>
      </c>
      <c r="D5395" s="64" t="s">
        <v>6469</v>
      </c>
      <c r="E5395" s="64" t="s">
        <v>34</v>
      </c>
      <c r="F5395" s="64" t="s">
        <v>230</v>
      </c>
      <c r="G5395" s="64" t="s">
        <v>16</v>
      </c>
      <c r="H5395" s="64" t="s">
        <v>35</v>
      </c>
      <c r="I5395" s="64" t="s">
        <v>36</v>
      </c>
      <c r="J5395" s="67">
        <v>0</v>
      </c>
      <c r="K5395" s="62">
        <v>7782.16</v>
      </c>
      <c r="L5395" s="33" t="e">
        <f>HLOOKUP(B5395,#REF!,1,0)</f>
        <v>#REF!</v>
      </c>
      <c r="M5395" s="33" t="str">
        <f t="shared" si="339"/>
        <v>BS</v>
      </c>
    </row>
    <row r="5396" spans="1:13" s="33" customFormat="true" ht="12.75" customHeight="true">
      <c r="A5396" s="33" t="str">
        <f t="shared" si="336"/>
        <v>HDR - Intercompany</v>
      </c>
      <c r="B5396" s="33" t="str">
        <f t="shared" si="337"/>
        <v>HDR</v>
      </c>
      <c r="C5396" s="33" t="str">
        <f t="shared" si="338"/>
        <v>11216-0000</v>
      </c>
      <c r="D5396" s="64" t="s">
        <v>6470</v>
      </c>
      <c r="E5396" s="64" t="s">
        <v>242</v>
      </c>
      <c r="F5396" s="64" t="s">
        <v>230</v>
      </c>
      <c r="G5396" s="64" t="s">
        <v>16</v>
      </c>
      <c r="H5396" s="64" t="s">
        <v>39</v>
      </c>
      <c r="I5396" s="64" t="s">
        <v>40</v>
      </c>
      <c r="J5396" s="67">
        <v>-95.05</v>
      </c>
      <c r="K5396" s="62">
        <v>-1981.3</v>
      </c>
      <c r="L5396" s="33" t="e">
        <f>HLOOKUP(B5396,#REF!,1,0)</f>
        <v>#REF!</v>
      </c>
      <c r="M5396" s="33" t="str">
        <f t="shared" si="339"/>
        <v>BS</v>
      </c>
    </row>
    <row r="5397" spans="1:13" s="33" customFormat="true" ht="12.75" customHeight="true">
      <c r="A5397" s="33" t="str">
        <f t="shared" si="336"/>
        <v>HDR - Intercompany</v>
      </c>
      <c r="B5397" s="33" t="str">
        <f t="shared" si="337"/>
        <v>HDR</v>
      </c>
      <c r="C5397" s="33" t="str">
        <f t="shared" si="338"/>
        <v>11320-0000</v>
      </c>
      <c r="D5397" s="64" t="s">
        <v>6471</v>
      </c>
      <c r="E5397" s="64" t="s">
        <v>328</v>
      </c>
      <c r="F5397" s="64" t="s">
        <v>230</v>
      </c>
      <c r="G5397" s="64" t="s">
        <v>16</v>
      </c>
      <c r="H5397" s="64" t="s">
        <v>39</v>
      </c>
      <c r="I5397" s="64" t="s">
        <v>40</v>
      </c>
      <c r="J5397" s="67">
        <v>0</v>
      </c>
      <c r="K5397" s="62">
        <v>-2238642.92</v>
      </c>
      <c r="L5397" s="33" t="e">
        <f>HLOOKUP(B5397,#REF!,1,0)</f>
        <v>#REF!</v>
      </c>
      <c r="M5397" s="33" t="str">
        <f t="shared" si="339"/>
        <v>BS</v>
      </c>
    </row>
    <row r="5398" spans="1:13" s="33" customFormat="true" ht="12.75" customHeight="true">
      <c r="A5398" s="33" t="str">
        <f t="shared" si="336"/>
        <v>HDR - Intercompany</v>
      </c>
      <c r="B5398" s="33" t="str">
        <f t="shared" si="337"/>
        <v>HDR</v>
      </c>
      <c r="C5398" s="33" t="str">
        <f t="shared" si="338"/>
        <v>11343-0000</v>
      </c>
      <c r="D5398" s="64" t="s">
        <v>6472</v>
      </c>
      <c r="E5398" s="64" t="s">
        <v>600</v>
      </c>
      <c r="F5398" s="64" t="s">
        <v>230</v>
      </c>
      <c r="G5398" s="64" t="s">
        <v>16</v>
      </c>
      <c r="H5398" s="64" t="s">
        <v>39</v>
      </c>
      <c r="I5398" s="64" t="s">
        <v>40</v>
      </c>
      <c r="J5398" s="67">
        <v>-3461.53</v>
      </c>
      <c r="K5398" s="62">
        <v>-3461.53</v>
      </c>
      <c r="L5398" s="33" t="e">
        <f>HLOOKUP(B5398,#REF!,1,0)</f>
        <v>#REF!</v>
      </c>
      <c r="M5398" s="33" t="str">
        <f t="shared" si="339"/>
        <v>BS</v>
      </c>
    </row>
    <row r="5399" spans="1:13" s="33" customFormat="true" ht="12.75" customHeight="true">
      <c r="A5399" s="33" t="str">
        <f t="shared" si="336"/>
        <v>HDR - AR-PPD</v>
      </c>
      <c r="B5399" s="33" t="str">
        <f t="shared" si="337"/>
        <v>HDR</v>
      </c>
      <c r="C5399" s="33" t="str">
        <f t="shared" si="338"/>
        <v>12200-0000</v>
      </c>
      <c r="D5399" s="64" t="s">
        <v>6473</v>
      </c>
      <c r="E5399" s="64" t="s">
        <v>294</v>
      </c>
      <c r="F5399" s="64" t="s">
        <v>230</v>
      </c>
      <c r="G5399" s="64" t="s">
        <v>62</v>
      </c>
      <c r="H5399" s="64" t="s">
        <v>35</v>
      </c>
      <c r="I5399" s="64" t="s">
        <v>64</v>
      </c>
      <c r="J5399" s="67">
        <v>0</v>
      </c>
      <c r="K5399" s="62">
        <v>-10395.22</v>
      </c>
      <c r="L5399" s="33" t="e">
        <f>HLOOKUP(B5399,#REF!,1,0)</f>
        <v>#REF!</v>
      </c>
      <c r="M5399" s="33" t="str">
        <f t="shared" si="339"/>
        <v>BS</v>
      </c>
    </row>
    <row r="5400" spans="1:13" s="33" customFormat="true" ht="12.75" customHeight="true">
      <c r="A5400" s="33" t="str">
        <f t="shared" si="336"/>
        <v>HDR - Fixed Assets</v>
      </c>
      <c r="B5400" s="33" t="str">
        <f t="shared" si="337"/>
        <v>HDR</v>
      </c>
      <c r="C5400" s="33" t="str">
        <f t="shared" si="338"/>
        <v>14000-0000</v>
      </c>
      <c r="D5400" s="64" t="s">
        <v>6474</v>
      </c>
      <c r="E5400" s="64" t="s">
        <v>298</v>
      </c>
      <c r="F5400" s="64" t="s">
        <v>230</v>
      </c>
      <c r="G5400" s="64" t="s">
        <v>62</v>
      </c>
      <c r="H5400" s="64" t="s">
        <v>63</v>
      </c>
      <c r="I5400" s="64" t="s">
        <v>64</v>
      </c>
      <c r="J5400" s="67">
        <v>0</v>
      </c>
      <c r="K5400" s="62">
        <v>2467500</v>
      </c>
      <c r="L5400" s="33" t="e">
        <f>HLOOKUP(B5400,#REF!,1,0)</f>
        <v>#REF!</v>
      </c>
      <c r="M5400" s="33" t="str">
        <f t="shared" si="339"/>
        <v>BS</v>
      </c>
    </row>
    <row r="5401" spans="1:13" s="33" customFormat="true" ht="12.75" customHeight="true">
      <c r="A5401" s="33" t="str">
        <f t="shared" si="336"/>
        <v>HDR - Fixed Assets</v>
      </c>
      <c r="B5401" s="33" t="str">
        <f t="shared" si="337"/>
        <v>HDR</v>
      </c>
      <c r="C5401" s="33" t="str">
        <f t="shared" si="338"/>
        <v>15000-0000</v>
      </c>
      <c r="D5401" s="64" t="s">
        <v>6475</v>
      </c>
      <c r="E5401" s="64" t="s">
        <v>300</v>
      </c>
      <c r="F5401" s="64" t="s">
        <v>230</v>
      </c>
      <c r="G5401" s="64" t="s">
        <v>62</v>
      </c>
      <c r="H5401" s="64" t="s">
        <v>63</v>
      </c>
      <c r="I5401" s="64" t="s">
        <v>64</v>
      </c>
      <c r="J5401" s="67">
        <v>0</v>
      </c>
      <c r="K5401" s="62">
        <v>5757500</v>
      </c>
      <c r="L5401" s="33" t="e">
        <f>HLOOKUP(B5401,#REF!,1,0)</f>
        <v>#REF!</v>
      </c>
      <c r="M5401" s="33" t="str">
        <f t="shared" si="339"/>
        <v>BS</v>
      </c>
    </row>
    <row r="5402" spans="1:13" s="33" customFormat="true" ht="12.75" customHeight="true">
      <c r="A5402" s="33" t="str">
        <f t="shared" si="336"/>
        <v>HDR - Fixed Assets</v>
      </c>
      <c r="B5402" s="33" t="str">
        <f t="shared" si="337"/>
        <v>HDR</v>
      </c>
      <c r="C5402" s="33" t="str">
        <f t="shared" si="338"/>
        <v>15501-0000</v>
      </c>
      <c r="D5402" s="64" t="s">
        <v>6476</v>
      </c>
      <c r="E5402" s="64" t="s">
        <v>2635</v>
      </c>
      <c r="F5402" s="64" t="s">
        <v>230</v>
      </c>
      <c r="G5402" s="64" t="s">
        <v>62</v>
      </c>
      <c r="H5402" s="64" t="s">
        <v>63</v>
      </c>
      <c r="I5402" s="64" t="s">
        <v>64</v>
      </c>
      <c r="J5402" s="67">
        <v>463.77</v>
      </c>
      <c r="K5402" s="62">
        <v>1820.13</v>
      </c>
      <c r="L5402" s="33" t="e">
        <f>HLOOKUP(B5402,#REF!,1,0)</f>
        <v>#REF!</v>
      </c>
      <c r="M5402" s="33" t="str">
        <f t="shared" si="339"/>
        <v>BS</v>
      </c>
    </row>
    <row r="5403" spans="1:13" s="33" customFormat="true" ht="12.75" customHeight="true">
      <c r="A5403" s="33" t="str">
        <f t="shared" si="336"/>
        <v>HDR - Deposits</v>
      </c>
      <c r="B5403" s="33" t="str">
        <f t="shared" si="337"/>
        <v>HDR</v>
      </c>
      <c r="C5403" s="33" t="str">
        <f t="shared" si="338"/>
        <v>19001-0000</v>
      </c>
      <c r="D5403" s="64" t="s">
        <v>6477</v>
      </c>
      <c r="E5403" s="64" t="s">
        <v>344</v>
      </c>
      <c r="F5403" s="64" t="s">
        <v>230</v>
      </c>
      <c r="G5403" s="64" t="s">
        <v>62</v>
      </c>
      <c r="H5403" s="64" t="s">
        <v>80</v>
      </c>
      <c r="I5403" s="64" t="s">
        <v>81</v>
      </c>
      <c r="J5403" s="67">
        <v>0</v>
      </c>
      <c r="K5403" s="62">
        <v>5664</v>
      </c>
      <c r="L5403" s="33" t="e">
        <f>HLOOKUP(B5403,#REF!,1,0)</f>
        <v>#REF!</v>
      </c>
      <c r="M5403" s="33" t="str">
        <f t="shared" si="339"/>
        <v>BS</v>
      </c>
    </row>
    <row r="5404" spans="1:13" s="33" customFormat="true" ht="12.75" customHeight="true">
      <c r="A5404" s="33" t="str">
        <f t="shared" si="336"/>
        <v>HDR - AP-Accr Exp</v>
      </c>
      <c r="B5404" s="33" t="str">
        <f t="shared" si="337"/>
        <v>HDR</v>
      </c>
      <c r="C5404" s="33" t="str">
        <f t="shared" si="338"/>
        <v>20001-0000</v>
      </c>
      <c r="D5404" s="64" t="s">
        <v>6478</v>
      </c>
      <c r="E5404" s="64" t="s">
        <v>96</v>
      </c>
      <c r="F5404" s="64" t="s">
        <v>230</v>
      </c>
      <c r="G5404" s="64" t="s">
        <v>97</v>
      </c>
      <c r="H5404" s="64" t="s">
        <v>98</v>
      </c>
      <c r="I5404" s="64" t="s">
        <v>99</v>
      </c>
      <c r="J5404" s="67">
        <v>1697.44</v>
      </c>
      <c r="K5404" s="62">
        <v>0</v>
      </c>
      <c r="L5404" s="33" t="e">
        <f>HLOOKUP(B5404,#REF!,1,0)</f>
        <v>#REF!</v>
      </c>
      <c r="M5404" s="33" t="str">
        <f t="shared" si="339"/>
        <v>BS</v>
      </c>
    </row>
    <row r="5405" spans="1:13" s="33" customFormat="true" ht="12.75" customHeight="true">
      <c r="A5405" s="33" t="str">
        <f t="shared" si="336"/>
        <v>HDR - Tax Accr</v>
      </c>
      <c r="B5405" s="33" t="str">
        <f t="shared" si="337"/>
        <v>HDR</v>
      </c>
      <c r="C5405" s="33" t="str">
        <f t="shared" si="338"/>
        <v>22001-0000</v>
      </c>
      <c r="D5405" s="64" t="s">
        <v>6479</v>
      </c>
      <c r="E5405" s="64" t="s">
        <v>1322</v>
      </c>
      <c r="F5405" s="64" t="s">
        <v>230</v>
      </c>
      <c r="G5405" s="64" t="s">
        <v>97</v>
      </c>
      <c r="H5405" s="64" t="s">
        <v>105</v>
      </c>
      <c r="I5405" s="64" t="s">
        <v>102</v>
      </c>
      <c r="J5405" s="67">
        <v>-540.76</v>
      </c>
      <c r="K5405" s="62">
        <v>-3141.89</v>
      </c>
      <c r="L5405" s="33" t="e">
        <f>HLOOKUP(B5405,#REF!,1,0)</f>
        <v>#REF!</v>
      </c>
      <c r="M5405" s="33" t="str">
        <f t="shared" si="339"/>
        <v>BS</v>
      </c>
    </row>
    <row r="5406" spans="1:13" s="33" customFormat="true" ht="12.75" customHeight="true">
      <c r="A5406" s="33" t="str">
        <f t="shared" si="336"/>
        <v>HDR - AP-Accr Exp</v>
      </c>
      <c r="B5406" s="33" t="str">
        <f t="shared" si="337"/>
        <v>HDR</v>
      </c>
      <c r="C5406" s="33" t="str">
        <f t="shared" si="338"/>
        <v>23509-0000</v>
      </c>
      <c r="D5406" s="64" t="s">
        <v>6480</v>
      </c>
      <c r="E5406" s="64" t="s">
        <v>111</v>
      </c>
      <c r="F5406" s="64" t="s">
        <v>230</v>
      </c>
      <c r="G5406" s="64" t="s">
        <v>97</v>
      </c>
      <c r="H5406" s="64" t="s">
        <v>98</v>
      </c>
      <c r="I5406" s="64" t="s">
        <v>102</v>
      </c>
      <c r="J5406" s="67">
        <v>0</v>
      </c>
      <c r="K5406" s="62">
        <v>0</v>
      </c>
      <c r="L5406" s="33" t="e">
        <f>HLOOKUP(B5406,#REF!,1,0)</f>
        <v>#REF!</v>
      </c>
      <c r="M5406" s="33" t="str">
        <f t="shared" si="339"/>
        <v>BS</v>
      </c>
    </row>
    <row r="5407" spans="1:13" s="33" customFormat="true" ht="12.75" customHeight="true">
      <c r="A5407" s="33" t="str">
        <f t="shared" si="336"/>
        <v>HDR - AR-PPD</v>
      </c>
      <c r="B5407" s="33" t="str">
        <f t="shared" si="337"/>
        <v>HDR</v>
      </c>
      <c r="C5407" s="33" t="str">
        <f t="shared" si="338"/>
        <v>25300-0000</v>
      </c>
      <c r="D5407" s="64" t="s">
        <v>6481</v>
      </c>
      <c r="E5407" s="64" t="s">
        <v>3677</v>
      </c>
      <c r="F5407" s="64" t="s">
        <v>230</v>
      </c>
      <c r="G5407" s="64" t="s">
        <v>3678</v>
      </c>
      <c r="H5407" s="64" t="s">
        <v>35</v>
      </c>
      <c r="I5407" s="64" t="s">
        <v>102</v>
      </c>
      <c r="J5407" s="67">
        <v>-2405</v>
      </c>
      <c r="K5407" s="62">
        <v>-3157</v>
      </c>
      <c r="L5407" s="33" t="e">
        <f>HLOOKUP(B5407,#REF!,1,0)</f>
        <v>#REF!</v>
      </c>
      <c r="M5407" s="33" t="str">
        <f t="shared" si="339"/>
        <v>BS</v>
      </c>
    </row>
    <row r="5408" spans="1:13" s="33" customFormat="true" ht="12.75" customHeight="true">
      <c r="A5408" s="33" t="str">
        <f t="shared" si="336"/>
        <v>HDR - Principal</v>
      </c>
      <c r="B5408" s="33" t="str">
        <f t="shared" si="337"/>
        <v>HDR</v>
      </c>
      <c r="C5408" s="33" t="str">
        <f t="shared" si="338"/>
        <v>28001-0000</v>
      </c>
      <c r="D5408" s="64" t="s">
        <v>6482</v>
      </c>
      <c r="E5408" s="64" t="s">
        <v>1327</v>
      </c>
      <c r="F5408" s="64" t="s">
        <v>230</v>
      </c>
      <c r="G5408" s="64" t="s">
        <v>123</v>
      </c>
      <c r="H5408" s="64" t="s">
        <v>127</v>
      </c>
      <c r="I5408" s="64" t="s">
        <v>133</v>
      </c>
      <c r="J5408" s="67">
        <v>0</v>
      </c>
      <c r="K5408" s="62">
        <v>-6168750</v>
      </c>
      <c r="L5408" s="33" t="e">
        <f>HLOOKUP(B5408,#REF!,1,0)</f>
        <v>#REF!</v>
      </c>
      <c r="M5408" s="33" t="str">
        <f t="shared" si="339"/>
        <v>BS</v>
      </c>
    </row>
    <row r="5409" spans="1:13" s="33" customFormat="true" ht="12.75" customHeight="true">
      <c r="A5409" s="33" t="str">
        <f t="shared" si="336"/>
        <v>HDR - Revenue</v>
      </c>
      <c r="B5409" s="33" t="str">
        <f t="shared" si="337"/>
        <v>HDR</v>
      </c>
      <c r="C5409" s="33" t="str">
        <f t="shared" si="338"/>
        <v>40110-0000</v>
      </c>
      <c r="D5409" s="64" t="s">
        <v>6483</v>
      </c>
      <c r="E5409" s="64" t="s">
        <v>3683</v>
      </c>
      <c r="F5409" s="64" t="s">
        <v>230</v>
      </c>
      <c r="G5409" s="64" t="s">
        <v>3684</v>
      </c>
      <c r="H5409" s="64" t="s">
        <v>2871</v>
      </c>
      <c r="I5409" s="64" t="s">
        <v>3685</v>
      </c>
      <c r="J5409" s="67">
        <v>-41040</v>
      </c>
      <c r="K5409" s="62">
        <v>-227885.57</v>
      </c>
      <c r="L5409" s="33" t="e">
        <f>HLOOKUP(B5409,#REF!,1,0)</f>
        <v>#REF!</v>
      </c>
      <c r="M5409" s="33" t="str">
        <f t="shared" si="339"/>
        <v>P&amp;L</v>
      </c>
    </row>
    <row r="5410" spans="1:13" s="33" customFormat="true" ht="12.75" customHeight="true">
      <c r="A5410" s="33" t="str">
        <f t="shared" si="336"/>
        <v>HDR - Revenue</v>
      </c>
      <c r="B5410" s="33" t="str">
        <f t="shared" si="337"/>
        <v>HDR</v>
      </c>
      <c r="C5410" s="33" t="str">
        <f t="shared" si="338"/>
        <v>40120-0000</v>
      </c>
      <c r="D5410" s="64" t="s">
        <v>6484</v>
      </c>
      <c r="E5410" s="64" t="s">
        <v>3687</v>
      </c>
      <c r="F5410" s="64" t="s">
        <v>230</v>
      </c>
      <c r="G5410" s="64" t="s">
        <v>3684</v>
      </c>
      <c r="H5410" s="64" t="s">
        <v>2871</v>
      </c>
      <c r="I5410" s="64" t="s">
        <v>3688</v>
      </c>
      <c r="J5410" s="67">
        <v>-1811</v>
      </c>
      <c r="K5410" s="62">
        <v>-3613</v>
      </c>
      <c r="L5410" s="33" t="e">
        <f>HLOOKUP(B5410,#REF!,1,0)</f>
        <v>#REF!</v>
      </c>
      <c r="M5410" s="33" t="str">
        <f t="shared" si="339"/>
        <v>P&amp;L</v>
      </c>
    </row>
    <row r="5411" spans="1:13" s="33" customFormat="true" ht="12.75" customHeight="true">
      <c r="A5411" s="33" t="str">
        <f t="shared" si="336"/>
        <v>HDR - Revenue</v>
      </c>
      <c r="B5411" s="33" t="str">
        <f t="shared" si="337"/>
        <v>HDR</v>
      </c>
      <c r="C5411" s="33" t="str">
        <f t="shared" si="338"/>
        <v>40130-0000</v>
      </c>
      <c r="D5411" s="64" t="s">
        <v>6485</v>
      </c>
      <c r="E5411" s="64" t="s">
        <v>3690</v>
      </c>
      <c r="F5411" s="64" t="s">
        <v>230</v>
      </c>
      <c r="G5411" s="64" t="s">
        <v>3684</v>
      </c>
      <c r="H5411" s="64" t="s">
        <v>2871</v>
      </c>
      <c r="I5411" s="64" t="s">
        <v>3691</v>
      </c>
      <c r="J5411" s="67">
        <v>-881</v>
      </c>
      <c r="K5411" s="62">
        <v>-2248</v>
      </c>
      <c r="L5411" s="33" t="e">
        <f>HLOOKUP(B5411,#REF!,1,0)</f>
        <v>#REF!</v>
      </c>
      <c r="M5411" s="33" t="str">
        <f t="shared" si="339"/>
        <v>P&amp;L</v>
      </c>
    </row>
    <row r="5412" spans="1:13" s="33" customFormat="true" ht="12.75" customHeight="true">
      <c r="A5412" s="33" t="str">
        <f t="shared" si="336"/>
        <v>HDR - Revenue</v>
      </c>
      <c r="B5412" s="33" t="str">
        <f t="shared" si="337"/>
        <v>HDR</v>
      </c>
      <c r="C5412" s="33" t="str">
        <f t="shared" si="338"/>
        <v>41110-0000</v>
      </c>
      <c r="D5412" s="64" t="s">
        <v>6486</v>
      </c>
      <c r="E5412" s="64" t="s">
        <v>3693</v>
      </c>
      <c r="F5412" s="64" t="s">
        <v>230</v>
      </c>
      <c r="G5412" s="64" t="s">
        <v>3694</v>
      </c>
      <c r="H5412" s="64" t="s">
        <v>2871</v>
      </c>
      <c r="I5412" s="64" t="s">
        <v>3695</v>
      </c>
      <c r="J5412" s="67">
        <v>3500.03</v>
      </c>
      <c r="K5412" s="62">
        <v>13537.26</v>
      </c>
      <c r="L5412" s="33" t="e">
        <f>HLOOKUP(B5412,#REF!,1,0)</f>
        <v>#REF!</v>
      </c>
      <c r="M5412" s="33" t="str">
        <f t="shared" si="339"/>
        <v>P&amp;L</v>
      </c>
    </row>
    <row r="5413" spans="1:13" s="33" customFormat="true" ht="12.75" customHeight="true">
      <c r="A5413" s="33" t="str">
        <f t="shared" si="336"/>
        <v>HDR - Revenue</v>
      </c>
      <c r="B5413" s="33" t="str">
        <f t="shared" si="337"/>
        <v>HDR</v>
      </c>
      <c r="C5413" s="33" t="str">
        <f t="shared" si="338"/>
        <v>41121-0000</v>
      </c>
      <c r="D5413" s="64" t="s">
        <v>6487</v>
      </c>
      <c r="E5413" s="64" t="s">
        <v>3697</v>
      </c>
      <c r="F5413" s="64" t="s">
        <v>230</v>
      </c>
      <c r="G5413" s="64" t="s">
        <v>3694</v>
      </c>
      <c r="H5413" s="64" t="s">
        <v>2871</v>
      </c>
      <c r="I5413" s="64" t="s">
        <v>3698</v>
      </c>
      <c r="J5413" s="67">
        <v>19196.22</v>
      </c>
      <c r="K5413" s="62">
        <v>51779.13</v>
      </c>
      <c r="L5413" s="33" t="e">
        <f>HLOOKUP(B5413,#REF!,1,0)</f>
        <v>#REF!</v>
      </c>
      <c r="M5413" s="33" t="str">
        <f t="shared" si="339"/>
        <v>P&amp;L</v>
      </c>
    </row>
    <row r="5414" spans="1:13" s="33" customFormat="true" ht="12.75" customHeight="true">
      <c r="A5414" s="33" t="str">
        <f t="shared" si="336"/>
        <v>HDR - Revenue</v>
      </c>
      <c r="B5414" s="33" t="str">
        <f t="shared" si="337"/>
        <v>HDR</v>
      </c>
      <c r="C5414" s="33" t="str">
        <f t="shared" si="338"/>
        <v>41122-0000</v>
      </c>
      <c r="D5414" s="64" t="s">
        <v>6488</v>
      </c>
      <c r="E5414" s="64" t="s">
        <v>3700</v>
      </c>
      <c r="F5414" s="64" t="s">
        <v>230</v>
      </c>
      <c r="G5414" s="64" t="s">
        <v>3694</v>
      </c>
      <c r="H5414" s="64" t="s">
        <v>2871</v>
      </c>
      <c r="I5414" s="64" t="s">
        <v>3701</v>
      </c>
      <c r="J5414" s="67">
        <v>-10505.98</v>
      </c>
      <c r="K5414" s="62">
        <v>-53917.1</v>
      </c>
      <c r="L5414" s="33" t="e">
        <f>HLOOKUP(B5414,#REF!,1,0)</f>
        <v>#REF!</v>
      </c>
      <c r="M5414" s="33" t="str">
        <f t="shared" si="339"/>
        <v>P&amp;L</v>
      </c>
    </row>
    <row r="5415" spans="1:13" s="33" customFormat="true" ht="12.75" customHeight="true">
      <c r="A5415" s="33" t="str">
        <f t="shared" si="336"/>
        <v>HDR - Revenue</v>
      </c>
      <c r="B5415" s="33" t="str">
        <f t="shared" si="337"/>
        <v>HDR</v>
      </c>
      <c r="C5415" s="33" t="str">
        <f t="shared" si="338"/>
        <v>41130-0000</v>
      </c>
      <c r="D5415" s="64" t="s">
        <v>6489</v>
      </c>
      <c r="E5415" s="64" t="s">
        <v>3703</v>
      </c>
      <c r="F5415" s="64" t="s">
        <v>230</v>
      </c>
      <c r="G5415" s="64" t="s">
        <v>3694</v>
      </c>
      <c r="H5415" s="64" t="s">
        <v>2871</v>
      </c>
      <c r="I5415" s="64" t="s">
        <v>3704</v>
      </c>
      <c r="J5415" s="67">
        <v>0</v>
      </c>
      <c r="K5415" s="62">
        <v>1000</v>
      </c>
      <c r="L5415" s="33" t="e">
        <f>HLOOKUP(B5415,#REF!,1,0)</f>
        <v>#REF!</v>
      </c>
      <c r="M5415" s="33" t="str">
        <f t="shared" si="339"/>
        <v>P&amp;L</v>
      </c>
    </row>
    <row r="5416" spans="1:13" s="33" customFormat="true" ht="12.75" customHeight="true">
      <c r="A5416" s="33" t="str">
        <f t="shared" si="336"/>
        <v>HDR - Revenue</v>
      </c>
      <c r="B5416" s="33" t="str">
        <f t="shared" si="337"/>
        <v>HDR</v>
      </c>
      <c r="C5416" s="33" t="str">
        <f t="shared" si="338"/>
        <v>41140-0000</v>
      </c>
      <c r="D5416" s="64" t="s">
        <v>6490</v>
      </c>
      <c r="E5416" s="64" t="s">
        <v>3706</v>
      </c>
      <c r="F5416" s="64" t="s">
        <v>230</v>
      </c>
      <c r="G5416" s="64" t="s">
        <v>3694</v>
      </c>
      <c r="H5416" s="64" t="s">
        <v>2871</v>
      </c>
      <c r="I5416" s="64" t="s">
        <v>3707</v>
      </c>
      <c r="J5416" s="67">
        <v>0</v>
      </c>
      <c r="K5416" s="62">
        <v>0</v>
      </c>
      <c r="L5416" s="33" t="e">
        <f>HLOOKUP(B5416,#REF!,1,0)</f>
        <v>#REF!</v>
      </c>
      <c r="M5416" s="33" t="str">
        <f t="shared" si="339"/>
        <v>P&amp;L</v>
      </c>
    </row>
    <row r="5417" spans="1:13" s="33" customFormat="true" ht="12.75" customHeight="true">
      <c r="A5417" s="33" t="str">
        <f t="shared" si="336"/>
        <v>HDR - Revenue</v>
      </c>
      <c r="B5417" s="33" t="str">
        <f t="shared" si="337"/>
        <v>HDR</v>
      </c>
      <c r="C5417" s="33" t="str">
        <f t="shared" si="338"/>
        <v>41150-0000</v>
      </c>
      <c r="D5417" s="64" t="s">
        <v>6491</v>
      </c>
      <c r="E5417" s="64" t="s">
        <v>3709</v>
      </c>
      <c r="F5417" s="64" t="s">
        <v>230</v>
      </c>
      <c r="G5417" s="64" t="s">
        <v>3694</v>
      </c>
      <c r="H5417" s="64" t="s">
        <v>2871</v>
      </c>
      <c r="I5417" s="64" t="s">
        <v>3710</v>
      </c>
      <c r="J5417" s="67">
        <v>0</v>
      </c>
      <c r="K5417" s="62">
        <v>0</v>
      </c>
      <c r="L5417" s="33" t="e">
        <f>HLOOKUP(B5417,#REF!,1,0)</f>
        <v>#REF!</v>
      </c>
      <c r="M5417" s="33" t="str">
        <f t="shared" si="339"/>
        <v>P&amp;L</v>
      </c>
    </row>
    <row r="5418" spans="1:13" s="33" customFormat="true" ht="12.75" customHeight="true">
      <c r="A5418" s="33" t="str">
        <f t="shared" si="336"/>
        <v>HDR - Revenue</v>
      </c>
      <c r="B5418" s="33" t="str">
        <f t="shared" si="337"/>
        <v>HDR</v>
      </c>
      <c r="C5418" s="33" t="str">
        <f t="shared" si="338"/>
        <v>41999-0000</v>
      </c>
      <c r="D5418" s="64" t="s">
        <v>6492</v>
      </c>
      <c r="E5418" s="64" t="s">
        <v>3712</v>
      </c>
      <c r="F5418" s="64" t="s">
        <v>230</v>
      </c>
      <c r="G5418" s="64" t="s">
        <v>3713</v>
      </c>
      <c r="H5418" s="64" t="s">
        <v>2871</v>
      </c>
      <c r="I5418" s="64" t="s">
        <v>3714</v>
      </c>
      <c r="J5418" s="67">
        <v>31541.73</v>
      </c>
      <c r="K5418" s="62">
        <v>221347.28</v>
      </c>
      <c r="L5418" s="33" t="e">
        <f>HLOOKUP(B5418,#REF!,1,0)</f>
        <v>#REF!</v>
      </c>
      <c r="M5418" s="33" t="str">
        <f t="shared" si="339"/>
        <v>P&amp;L</v>
      </c>
    </row>
    <row r="5419" spans="1:13" s="33" customFormat="true" ht="12.75" customHeight="true">
      <c r="A5419" s="33" t="str">
        <f t="shared" si="336"/>
        <v>HDR - Revenue</v>
      </c>
      <c r="B5419" s="33" t="str">
        <f t="shared" si="337"/>
        <v>HDR</v>
      </c>
      <c r="C5419" s="33" t="str">
        <f t="shared" si="338"/>
        <v>47400-0000</v>
      </c>
      <c r="D5419" s="64" t="s">
        <v>6493</v>
      </c>
      <c r="E5419" s="64" t="s">
        <v>3716</v>
      </c>
      <c r="F5419" s="64" t="s">
        <v>230</v>
      </c>
      <c r="G5419" s="64" t="s">
        <v>3717</v>
      </c>
      <c r="H5419" s="64" t="s">
        <v>2871</v>
      </c>
      <c r="I5419" s="64" t="s">
        <v>3718</v>
      </c>
      <c r="J5419" s="67">
        <v>-31541.73</v>
      </c>
      <c r="K5419" s="62">
        <v>-221347.28</v>
      </c>
      <c r="L5419" s="33" t="e">
        <f>HLOOKUP(B5419,#REF!,1,0)</f>
        <v>#REF!</v>
      </c>
      <c r="M5419" s="33" t="str">
        <f t="shared" si="339"/>
        <v>P&amp;L</v>
      </c>
    </row>
    <row r="5420" spans="1:13" s="33" customFormat="true" ht="12.75" customHeight="true">
      <c r="A5420" s="33" t="str">
        <f t="shared" si="336"/>
        <v>HDR - Revenue</v>
      </c>
      <c r="B5420" s="33" t="str">
        <f t="shared" si="337"/>
        <v>HDR</v>
      </c>
      <c r="C5420" s="33" t="str">
        <f t="shared" si="338"/>
        <v>47440-0000</v>
      </c>
      <c r="D5420" s="64" t="s">
        <v>6494</v>
      </c>
      <c r="E5420" s="64" t="s">
        <v>3720</v>
      </c>
      <c r="F5420" s="64" t="s">
        <v>230</v>
      </c>
      <c r="G5420" s="64" t="s">
        <v>3717</v>
      </c>
      <c r="H5420" s="64" t="s">
        <v>2871</v>
      </c>
      <c r="I5420" s="64" t="s">
        <v>3721</v>
      </c>
      <c r="J5420" s="67">
        <v>-1153.92</v>
      </c>
      <c r="K5420" s="62">
        <v>-2265.56</v>
      </c>
      <c r="L5420" s="33" t="e">
        <f>HLOOKUP(B5420,#REF!,1,0)</f>
        <v>#REF!</v>
      </c>
      <c r="M5420" s="33" t="str">
        <f t="shared" si="339"/>
        <v>P&amp;L</v>
      </c>
    </row>
    <row r="5421" spans="1:13" s="33" customFormat="true" ht="12.75" customHeight="true">
      <c r="A5421" s="33" t="str">
        <f t="shared" si="336"/>
        <v>HDR - Revenue</v>
      </c>
      <c r="B5421" s="33" t="str">
        <f t="shared" si="337"/>
        <v>HDR</v>
      </c>
      <c r="C5421" s="33" t="str">
        <f t="shared" si="338"/>
        <v>47450-0000</v>
      </c>
      <c r="D5421" s="64" t="s">
        <v>6495</v>
      </c>
      <c r="E5421" s="64" t="s">
        <v>3723</v>
      </c>
      <c r="F5421" s="64" t="s">
        <v>230</v>
      </c>
      <c r="G5421" s="64" t="s">
        <v>3717</v>
      </c>
      <c r="H5421" s="64" t="s">
        <v>2871</v>
      </c>
      <c r="I5421" s="64" t="s">
        <v>3724</v>
      </c>
      <c r="J5421" s="67">
        <v>0</v>
      </c>
      <c r="K5421" s="62">
        <v>0</v>
      </c>
      <c r="L5421" s="33" t="e">
        <f>HLOOKUP(B5421,#REF!,1,0)</f>
        <v>#REF!</v>
      </c>
      <c r="M5421" s="33" t="str">
        <f t="shared" si="339"/>
        <v>P&amp;L</v>
      </c>
    </row>
    <row r="5422" spans="1:13" s="33" customFormat="true" ht="12.75" customHeight="true">
      <c r="A5422" s="33" t="str">
        <f t="shared" si="336"/>
        <v>HDR - Revenue</v>
      </c>
      <c r="B5422" s="33" t="str">
        <f t="shared" si="337"/>
        <v>HDR</v>
      </c>
      <c r="C5422" s="33" t="str">
        <f t="shared" si="338"/>
        <v>47460-0000</v>
      </c>
      <c r="D5422" s="64" t="s">
        <v>6496</v>
      </c>
      <c r="E5422" s="64" t="s">
        <v>3726</v>
      </c>
      <c r="F5422" s="64" t="s">
        <v>230</v>
      </c>
      <c r="G5422" s="64" t="s">
        <v>3717</v>
      </c>
      <c r="H5422" s="64" t="s">
        <v>2871</v>
      </c>
      <c r="I5422" s="64" t="s">
        <v>3727</v>
      </c>
      <c r="J5422" s="67">
        <v>-70</v>
      </c>
      <c r="K5422" s="62">
        <v>-415</v>
      </c>
      <c r="L5422" s="33" t="e">
        <f>HLOOKUP(B5422,#REF!,1,0)</f>
        <v>#REF!</v>
      </c>
      <c r="M5422" s="33" t="str">
        <f t="shared" si="339"/>
        <v>P&amp;L</v>
      </c>
    </row>
    <row r="5423" spans="1:13" s="33" customFormat="true" ht="12.75" customHeight="true">
      <c r="A5423" s="33" t="str">
        <f t="shared" si="336"/>
        <v>HDR - Revenue</v>
      </c>
      <c r="B5423" s="33" t="str">
        <f t="shared" si="337"/>
        <v>HDR</v>
      </c>
      <c r="C5423" s="33" t="str">
        <f t="shared" si="338"/>
        <v>47480-0000</v>
      </c>
      <c r="D5423" s="64" t="s">
        <v>6497</v>
      </c>
      <c r="E5423" s="64" t="s">
        <v>3729</v>
      </c>
      <c r="F5423" s="64" t="s">
        <v>230</v>
      </c>
      <c r="G5423" s="64" t="s">
        <v>3717</v>
      </c>
      <c r="H5423" s="64" t="s">
        <v>2871</v>
      </c>
      <c r="I5423" s="64" t="s">
        <v>3721</v>
      </c>
      <c r="J5423" s="67">
        <v>-135</v>
      </c>
      <c r="K5423" s="62">
        <v>-500</v>
      </c>
      <c r="L5423" s="33" t="e">
        <f>HLOOKUP(B5423,#REF!,1,0)</f>
        <v>#REF!</v>
      </c>
      <c r="M5423" s="33" t="str">
        <f t="shared" si="339"/>
        <v>P&amp;L</v>
      </c>
    </row>
    <row r="5424" spans="1:13" s="33" customFormat="true" ht="12.75" customHeight="true">
      <c r="A5424" s="33" t="str">
        <f t="shared" si="336"/>
        <v>HDR - Revenue</v>
      </c>
      <c r="B5424" s="33" t="str">
        <f t="shared" si="337"/>
        <v>HDR</v>
      </c>
      <c r="C5424" s="33" t="str">
        <f t="shared" si="338"/>
        <v>47490-0000</v>
      </c>
      <c r="D5424" s="64" t="s">
        <v>6498</v>
      </c>
      <c r="E5424" s="64" t="s">
        <v>3731</v>
      </c>
      <c r="F5424" s="64" t="s">
        <v>230</v>
      </c>
      <c r="G5424" s="64" t="s">
        <v>3717</v>
      </c>
      <c r="H5424" s="64" t="s">
        <v>2871</v>
      </c>
      <c r="I5424" s="64" t="s">
        <v>3721</v>
      </c>
      <c r="J5424" s="67">
        <v>0</v>
      </c>
      <c r="K5424" s="62">
        <v>-460</v>
      </c>
      <c r="L5424" s="33" t="e">
        <f>HLOOKUP(B5424,#REF!,1,0)</f>
        <v>#REF!</v>
      </c>
      <c r="M5424" s="33" t="str">
        <f t="shared" si="339"/>
        <v>P&amp;L</v>
      </c>
    </row>
    <row r="5425" spans="1:13" s="33" customFormat="true" ht="12.75" customHeight="true">
      <c r="A5425" s="33" t="str">
        <f t="shared" si="336"/>
        <v>HDR - Revenue</v>
      </c>
      <c r="B5425" s="33" t="str">
        <f t="shared" si="337"/>
        <v>HDR</v>
      </c>
      <c r="C5425" s="33" t="str">
        <f t="shared" si="338"/>
        <v>47491-0000</v>
      </c>
      <c r="D5425" s="64" t="s">
        <v>6499</v>
      </c>
      <c r="E5425" s="64" t="s">
        <v>3733</v>
      </c>
      <c r="F5425" s="64" t="s">
        <v>230</v>
      </c>
      <c r="G5425" s="64" t="s">
        <v>3717</v>
      </c>
      <c r="H5425" s="64" t="s">
        <v>2871</v>
      </c>
      <c r="I5425" s="64" t="s">
        <v>3734</v>
      </c>
      <c r="J5425" s="67">
        <v>-70</v>
      </c>
      <c r="K5425" s="62">
        <v>-329</v>
      </c>
      <c r="L5425" s="33" t="e">
        <f>HLOOKUP(B5425,#REF!,1,0)</f>
        <v>#REF!</v>
      </c>
      <c r="M5425" s="33" t="str">
        <f t="shared" si="339"/>
        <v>P&amp;L</v>
      </c>
    </row>
    <row r="5426" spans="1:13" s="33" customFormat="true" ht="12.75" customHeight="true">
      <c r="A5426" s="33" t="str">
        <f t="shared" si="336"/>
        <v>HDR - Revenue</v>
      </c>
      <c r="B5426" s="33" t="str">
        <f t="shared" si="337"/>
        <v>HDR</v>
      </c>
      <c r="C5426" s="33" t="str">
        <f t="shared" si="338"/>
        <v>47492-0000</v>
      </c>
      <c r="D5426" s="64" t="s">
        <v>6500</v>
      </c>
      <c r="E5426" s="64" t="s">
        <v>3736</v>
      </c>
      <c r="F5426" s="64" t="s">
        <v>230</v>
      </c>
      <c r="G5426" s="64" t="s">
        <v>3717</v>
      </c>
      <c r="H5426" s="64" t="s">
        <v>2871</v>
      </c>
      <c r="I5426" s="64" t="s">
        <v>3737</v>
      </c>
      <c r="J5426" s="67">
        <v>-51</v>
      </c>
      <c r="K5426" s="62">
        <v>-127.6</v>
      </c>
      <c r="L5426" s="33" t="e">
        <f>HLOOKUP(B5426,#REF!,1,0)</f>
        <v>#REF!</v>
      </c>
      <c r="M5426" s="33" t="str">
        <f t="shared" si="339"/>
        <v>P&amp;L</v>
      </c>
    </row>
    <row r="5427" spans="1:13" s="33" customFormat="true" ht="12.75" customHeight="true">
      <c r="A5427" s="33" t="str">
        <f t="shared" si="336"/>
        <v>HDR - CGS</v>
      </c>
      <c r="B5427" s="33" t="str">
        <f t="shared" si="337"/>
        <v>HDR</v>
      </c>
      <c r="C5427" s="33" t="str">
        <f t="shared" si="338"/>
        <v>51006-0000</v>
      </c>
      <c r="D5427" s="64" t="s">
        <v>6501</v>
      </c>
      <c r="E5427" s="64" t="s">
        <v>3739</v>
      </c>
      <c r="F5427" s="64" t="s">
        <v>230</v>
      </c>
      <c r="G5427" s="64" t="s">
        <v>3740</v>
      </c>
      <c r="H5427" s="64" t="s">
        <v>1875</v>
      </c>
      <c r="I5427" s="64" t="s">
        <v>3741</v>
      </c>
      <c r="J5427" s="67">
        <v>142.19</v>
      </c>
      <c r="K5427" s="62">
        <v>348.42</v>
      </c>
      <c r="L5427" s="33" t="e">
        <f>HLOOKUP(B5427,#REF!,1,0)</f>
        <v>#REF!</v>
      </c>
      <c r="M5427" s="33" t="str">
        <f t="shared" si="339"/>
        <v>P&amp;L</v>
      </c>
    </row>
    <row r="5428" spans="1:13" s="33" customFormat="true" ht="12.75" customHeight="true">
      <c r="A5428" s="33" t="str">
        <f t="shared" si="336"/>
        <v>HDR - CGS</v>
      </c>
      <c r="B5428" s="33" t="str">
        <f t="shared" si="337"/>
        <v>HDR</v>
      </c>
      <c r="C5428" s="33" t="str">
        <f t="shared" si="338"/>
        <v>51008-0000</v>
      </c>
      <c r="D5428" s="64" t="s">
        <v>6502</v>
      </c>
      <c r="E5428" s="64" t="s">
        <v>3743</v>
      </c>
      <c r="F5428" s="64" t="s">
        <v>230</v>
      </c>
      <c r="G5428" s="64" t="s">
        <v>3740</v>
      </c>
      <c r="H5428" s="64" t="s">
        <v>1875</v>
      </c>
      <c r="I5428" s="64" t="s">
        <v>3744</v>
      </c>
      <c r="J5428" s="67">
        <v>0</v>
      </c>
      <c r="K5428" s="62">
        <v>169.9</v>
      </c>
      <c r="L5428" s="33" t="e">
        <f>HLOOKUP(B5428,#REF!,1,0)</f>
        <v>#REF!</v>
      </c>
      <c r="M5428" s="33" t="str">
        <f t="shared" si="339"/>
        <v>P&amp;L</v>
      </c>
    </row>
    <row r="5429" spans="1:13" s="33" customFormat="true" ht="12.75" customHeight="true">
      <c r="A5429" s="33" t="str">
        <f t="shared" si="336"/>
        <v>HDR - CGS</v>
      </c>
      <c r="B5429" s="33" t="str">
        <f t="shared" si="337"/>
        <v>HDR</v>
      </c>
      <c r="C5429" s="33" t="str">
        <f t="shared" si="338"/>
        <v>51011-0000</v>
      </c>
      <c r="D5429" s="64" t="s">
        <v>6503</v>
      </c>
      <c r="E5429" s="64" t="s">
        <v>3749</v>
      </c>
      <c r="F5429" s="64" t="s">
        <v>230</v>
      </c>
      <c r="G5429" s="64" t="s">
        <v>3740</v>
      </c>
      <c r="H5429" s="64" t="s">
        <v>1875</v>
      </c>
      <c r="I5429" s="64" t="s">
        <v>3750</v>
      </c>
      <c r="J5429" s="67">
        <v>700</v>
      </c>
      <c r="K5429" s="62">
        <v>2700</v>
      </c>
      <c r="L5429" s="33" t="e">
        <f>HLOOKUP(B5429,#REF!,1,0)</f>
        <v>#REF!</v>
      </c>
      <c r="M5429" s="33" t="str">
        <f t="shared" si="339"/>
        <v>P&amp;L</v>
      </c>
    </row>
    <row r="5430" spans="1:13" s="33" customFormat="true" ht="12.75" customHeight="true">
      <c r="A5430" s="33" t="str">
        <f t="shared" si="336"/>
        <v>HDR - CGS</v>
      </c>
      <c r="B5430" s="33" t="str">
        <f t="shared" si="337"/>
        <v>HDR</v>
      </c>
      <c r="C5430" s="33" t="str">
        <f t="shared" si="338"/>
        <v>51012-0000</v>
      </c>
      <c r="D5430" s="64" t="s">
        <v>6504</v>
      </c>
      <c r="E5430" s="64" t="s">
        <v>3752</v>
      </c>
      <c r="F5430" s="64" t="s">
        <v>230</v>
      </c>
      <c r="G5430" s="64" t="s">
        <v>3740</v>
      </c>
      <c r="H5430" s="64" t="s">
        <v>1875</v>
      </c>
      <c r="I5430" s="64" t="s">
        <v>3753</v>
      </c>
      <c r="J5430" s="67">
        <v>150</v>
      </c>
      <c r="K5430" s="62">
        <v>150</v>
      </c>
      <c r="L5430" s="33" t="e">
        <f>HLOOKUP(B5430,#REF!,1,0)</f>
        <v>#REF!</v>
      </c>
      <c r="M5430" s="33" t="str">
        <f t="shared" si="339"/>
        <v>P&amp;L</v>
      </c>
    </row>
    <row r="5431" spans="1:13" s="33" customFormat="true" ht="12.75" customHeight="true">
      <c r="A5431" s="33" t="str">
        <f t="shared" si="336"/>
        <v>HDR - CGS</v>
      </c>
      <c r="B5431" s="33" t="str">
        <f t="shared" si="337"/>
        <v>HDR</v>
      </c>
      <c r="C5431" s="33" t="str">
        <f t="shared" si="338"/>
        <v>51015-0000</v>
      </c>
      <c r="D5431" s="64" t="s">
        <v>6505</v>
      </c>
      <c r="E5431" s="64" t="s">
        <v>3755</v>
      </c>
      <c r="F5431" s="64" t="s">
        <v>230</v>
      </c>
      <c r="G5431" s="64" t="s">
        <v>3740</v>
      </c>
      <c r="H5431" s="64" t="s">
        <v>1875</v>
      </c>
      <c r="I5431" s="64" t="s">
        <v>3756</v>
      </c>
      <c r="J5431" s="67">
        <v>0</v>
      </c>
      <c r="K5431" s="62">
        <v>0</v>
      </c>
      <c r="L5431" s="33" t="e">
        <f>HLOOKUP(B5431,#REF!,1,0)</f>
        <v>#REF!</v>
      </c>
      <c r="M5431" s="33" t="str">
        <f t="shared" si="339"/>
        <v>P&amp;L</v>
      </c>
    </row>
    <row r="5432" spans="1:13" s="33" customFormat="true" ht="12.75" customHeight="true">
      <c r="A5432" s="33" t="str">
        <f t="shared" si="336"/>
        <v>HDR - CGS</v>
      </c>
      <c r="B5432" s="33" t="str">
        <f t="shared" si="337"/>
        <v>HDR</v>
      </c>
      <c r="C5432" s="33" t="str">
        <f t="shared" si="338"/>
        <v>51018-0000</v>
      </c>
      <c r="D5432" s="64" t="s">
        <v>6506</v>
      </c>
      <c r="E5432" s="64" t="s">
        <v>3984</v>
      </c>
      <c r="F5432" s="64" t="s">
        <v>230</v>
      </c>
      <c r="G5432" s="64" t="s">
        <v>3740</v>
      </c>
      <c r="H5432" s="64" t="s">
        <v>1875</v>
      </c>
      <c r="I5432" s="64" t="s">
        <v>3319</v>
      </c>
      <c r="J5432" s="67">
        <v>0</v>
      </c>
      <c r="K5432" s="62">
        <v>2056.25</v>
      </c>
      <c r="L5432" s="33" t="e">
        <f>HLOOKUP(B5432,#REF!,1,0)</f>
        <v>#REF!</v>
      </c>
      <c r="M5432" s="33" t="str">
        <f t="shared" si="339"/>
        <v>P&amp;L</v>
      </c>
    </row>
    <row r="5433" spans="1:13" s="33" customFormat="true" ht="12.75" customHeight="true">
      <c r="A5433" s="33" t="str">
        <f t="shared" si="336"/>
        <v>HDR - CGS</v>
      </c>
      <c r="B5433" s="33" t="str">
        <f t="shared" si="337"/>
        <v>HDR</v>
      </c>
      <c r="C5433" s="33" t="str">
        <f t="shared" si="338"/>
        <v>51019-0000</v>
      </c>
      <c r="D5433" s="64" t="s">
        <v>6507</v>
      </c>
      <c r="E5433" s="64" t="s">
        <v>3761</v>
      </c>
      <c r="F5433" s="64" t="s">
        <v>230</v>
      </c>
      <c r="G5433" s="64" t="s">
        <v>3740</v>
      </c>
      <c r="H5433" s="64" t="s">
        <v>1875</v>
      </c>
      <c r="I5433" s="64" t="s">
        <v>3340</v>
      </c>
      <c r="J5433" s="67">
        <v>0</v>
      </c>
      <c r="K5433" s="62">
        <v>13.11</v>
      </c>
      <c r="L5433" s="33" t="e">
        <f>HLOOKUP(B5433,#REF!,1,0)</f>
        <v>#REF!</v>
      </c>
      <c r="M5433" s="33" t="str">
        <f t="shared" si="339"/>
        <v>P&amp;L</v>
      </c>
    </row>
    <row r="5434" spans="1:13" s="33" customFormat="true" ht="12.75" customHeight="true">
      <c r="A5434" s="33" t="str">
        <f t="shared" si="336"/>
        <v>HDR - CGS</v>
      </c>
      <c r="B5434" s="33" t="str">
        <f t="shared" si="337"/>
        <v>HDR</v>
      </c>
      <c r="C5434" s="33" t="str">
        <f t="shared" si="338"/>
        <v>51020-0000</v>
      </c>
      <c r="D5434" s="64" t="s">
        <v>6508</v>
      </c>
      <c r="E5434" s="64" t="s">
        <v>3763</v>
      </c>
      <c r="F5434" s="64" t="s">
        <v>230</v>
      </c>
      <c r="G5434" s="64" t="s">
        <v>3740</v>
      </c>
      <c r="H5434" s="64" t="s">
        <v>1875</v>
      </c>
      <c r="I5434" s="64" t="s">
        <v>3345</v>
      </c>
      <c r="J5434" s="67">
        <v>0</v>
      </c>
      <c r="K5434" s="62">
        <v>224.36</v>
      </c>
      <c r="L5434" s="33" t="e">
        <f>HLOOKUP(B5434,#REF!,1,0)</f>
        <v>#REF!</v>
      </c>
      <c r="M5434" s="33" t="str">
        <f t="shared" si="339"/>
        <v>P&amp;L</v>
      </c>
    </row>
    <row r="5435" spans="1:13" s="33" customFormat="true" ht="12.75" customHeight="true">
      <c r="A5435" s="33" t="str">
        <f t="shared" si="336"/>
        <v>HDR - CGS</v>
      </c>
      <c r="B5435" s="33" t="str">
        <f t="shared" si="337"/>
        <v>HDR</v>
      </c>
      <c r="C5435" s="33" t="str">
        <f t="shared" si="338"/>
        <v>52003-0000</v>
      </c>
      <c r="D5435" s="64" t="s">
        <v>6509</v>
      </c>
      <c r="E5435" s="64" t="s">
        <v>3772</v>
      </c>
      <c r="F5435" s="64" t="s">
        <v>230</v>
      </c>
      <c r="G5435" s="64" t="s">
        <v>3769</v>
      </c>
      <c r="H5435" s="64" t="s">
        <v>1875</v>
      </c>
      <c r="I5435" s="64" t="s">
        <v>3773</v>
      </c>
      <c r="J5435" s="67">
        <v>370</v>
      </c>
      <c r="K5435" s="62">
        <v>1925</v>
      </c>
      <c r="L5435" s="33" t="e">
        <f>HLOOKUP(B5435,#REF!,1,0)</f>
        <v>#REF!</v>
      </c>
      <c r="M5435" s="33" t="str">
        <f t="shared" si="339"/>
        <v>P&amp;L</v>
      </c>
    </row>
    <row r="5436" spans="1:13" s="33" customFormat="true" ht="12.75" customHeight="true">
      <c r="A5436" s="33" t="str">
        <f t="shared" si="336"/>
        <v>HDR - CGS</v>
      </c>
      <c r="B5436" s="33" t="str">
        <f t="shared" si="337"/>
        <v>HDR</v>
      </c>
      <c r="C5436" s="33" t="str">
        <f t="shared" si="338"/>
        <v>52004-0000</v>
      </c>
      <c r="D5436" s="64" t="s">
        <v>6510</v>
      </c>
      <c r="E5436" s="64" t="s">
        <v>3775</v>
      </c>
      <c r="F5436" s="64" t="s">
        <v>230</v>
      </c>
      <c r="G5436" s="64" t="s">
        <v>3769</v>
      </c>
      <c r="H5436" s="64" t="s">
        <v>1875</v>
      </c>
      <c r="I5436" s="64" t="s">
        <v>3776</v>
      </c>
      <c r="J5436" s="67">
        <v>0</v>
      </c>
      <c r="K5436" s="62">
        <v>900</v>
      </c>
      <c r="L5436" s="33" t="e">
        <f>HLOOKUP(B5436,#REF!,1,0)</f>
        <v>#REF!</v>
      </c>
      <c r="M5436" s="33" t="str">
        <f t="shared" si="339"/>
        <v>P&amp;L</v>
      </c>
    </row>
    <row r="5437" spans="1:13" s="33" customFormat="true" ht="12.75" customHeight="true">
      <c r="A5437" s="33" t="str">
        <f t="shared" si="336"/>
        <v>HDR - CGS</v>
      </c>
      <c r="B5437" s="33" t="str">
        <f t="shared" si="337"/>
        <v>HDR</v>
      </c>
      <c r="C5437" s="33" t="str">
        <f t="shared" si="338"/>
        <v>52006-0000</v>
      </c>
      <c r="D5437" s="64" t="s">
        <v>6511</v>
      </c>
      <c r="E5437" s="64" t="s">
        <v>3778</v>
      </c>
      <c r="F5437" s="64" t="s">
        <v>230</v>
      </c>
      <c r="G5437" s="64" t="s">
        <v>3769</v>
      </c>
      <c r="H5437" s="64" t="s">
        <v>1875</v>
      </c>
      <c r="I5437" s="64" t="s">
        <v>3779</v>
      </c>
      <c r="J5437" s="67">
        <v>166.29</v>
      </c>
      <c r="K5437" s="62">
        <v>166.29</v>
      </c>
      <c r="L5437" s="33" t="e">
        <f>HLOOKUP(B5437,#REF!,1,0)</f>
        <v>#REF!</v>
      </c>
      <c r="M5437" s="33" t="str">
        <f t="shared" si="339"/>
        <v>P&amp;L</v>
      </c>
    </row>
    <row r="5438" spans="1:13" s="33" customFormat="true" ht="12.75" customHeight="true">
      <c r="A5438" s="33" t="str">
        <f t="shared" si="336"/>
        <v>HDR - CGS</v>
      </c>
      <c r="B5438" s="33" t="str">
        <f t="shared" si="337"/>
        <v>HDR</v>
      </c>
      <c r="C5438" s="33" t="str">
        <f t="shared" si="338"/>
        <v>53001-0000</v>
      </c>
      <c r="D5438" s="64" t="s">
        <v>6512</v>
      </c>
      <c r="E5438" s="64" t="s">
        <v>3781</v>
      </c>
      <c r="F5438" s="64" t="s">
        <v>230</v>
      </c>
      <c r="G5438" s="64" t="s">
        <v>3160</v>
      </c>
      <c r="H5438" s="64" t="s">
        <v>1875</v>
      </c>
      <c r="I5438" s="64" t="s">
        <v>3782</v>
      </c>
      <c r="J5438" s="67">
        <v>146.65</v>
      </c>
      <c r="K5438" s="62">
        <v>1576.06</v>
      </c>
      <c r="L5438" s="33" t="e">
        <f>HLOOKUP(B5438,#REF!,1,0)</f>
        <v>#REF!</v>
      </c>
      <c r="M5438" s="33" t="str">
        <f t="shared" si="339"/>
        <v>P&amp;L</v>
      </c>
    </row>
    <row r="5439" spans="1:13" s="33" customFormat="true" ht="12.75" customHeight="true">
      <c r="A5439" s="33" t="str">
        <f t="shared" si="336"/>
        <v>HDR - CGS</v>
      </c>
      <c r="B5439" s="33" t="str">
        <f t="shared" si="337"/>
        <v>HDR</v>
      </c>
      <c r="C5439" s="33" t="str">
        <f t="shared" si="338"/>
        <v>53002-0000</v>
      </c>
      <c r="D5439" s="64" t="s">
        <v>6513</v>
      </c>
      <c r="E5439" s="64" t="s">
        <v>3784</v>
      </c>
      <c r="F5439" s="64" t="s">
        <v>230</v>
      </c>
      <c r="G5439" s="64" t="s">
        <v>3160</v>
      </c>
      <c r="H5439" s="64" t="s">
        <v>1875</v>
      </c>
      <c r="I5439" s="64" t="s">
        <v>3785</v>
      </c>
      <c r="J5439" s="67">
        <v>273.55</v>
      </c>
      <c r="K5439" s="62">
        <v>305.98</v>
      </c>
      <c r="L5439" s="33" t="e">
        <f>HLOOKUP(B5439,#REF!,1,0)</f>
        <v>#REF!</v>
      </c>
      <c r="M5439" s="33" t="str">
        <f t="shared" si="339"/>
        <v>P&amp;L</v>
      </c>
    </row>
    <row r="5440" spans="1:13" s="33" customFormat="true" ht="12.75" customHeight="true">
      <c r="A5440" s="33" t="str">
        <f t="shared" si="336"/>
        <v>HDR - CGS</v>
      </c>
      <c r="B5440" s="33" t="str">
        <f t="shared" si="337"/>
        <v>HDR</v>
      </c>
      <c r="C5440" s="33" t="str">
        <f t="shared" si="338"/>
        <v>53003-0000</v>
      </c>
      <c r="D5440" s="64" t="s">
        <v>6514</v>
      </c>
      <c r="E5440" s="64" t="s">
        <v>3787</v>
      </c>
      <c r="F5440" s="64" t="s">
        <v>230</v>
      </c>
      <c r="G5440" s="64" t="s">
        <v>3160</v>
      </c>
      <c r="H5440" s="64" t="s">
        <v>1875</v>
      </c>
      <c r="I5440" s="64" t="s">
        <v>3788</v>
      </c>
      <c r="J5440" s="67">
        <v>0</v>
      </c>
      <c r="K5440" s="62">
        <v>3715.14</v>
      </c>
      <c r="L5440" s="33" t="e">
        <f>HLOOKUP(B5440,#REF!,1,0)</f>
        <v>#REF!</v>
      </c>
      <c r="M5440" s="33" t="str">
        <f t="shared" si="339"/>
        <v>P&amp;L</v>
      </c>
    </row>
    <row r="5441" spans="1:13" s="33" customFormat="true" ht="12.75" customHeight="true">
      <c r="A5441" s="33" t="str">
        <f t="shared" si="336"/>
        <v>HDR - CGS</v>
      </c>
      <c r="B5441" s="33" t="str">
        <f t="shared" si="337"/>
        <v>HDR</v>
      </c>
      <c r="C5441" s="33" t="str">
        <f t="shared" si="338"/>
        <v>53005-0000</v>
      </c>
      <c r="D5441" s="64" t="s">
        <v>6515</v>
      </c>
      <c r="E5441" s="64" t="s">
        <v>3793</v>
      </c>
      <c r="F5441" s="64" t="s">
        <v>230</v>
      </c>
      <c r="G5441" s="64" t="s">
        <v>3160</v>
      </c>
      <c r="H5441" s="64" t="s">
        <v>1875</v>
      </c>
      <c r="I5441" s="64" t="s">
        <v>3794</v>
      </c>
      <c r="J5441" s="67">
        <v>110.91</v>
      </c>
      <c r="K5441" s="62">
        <v>698.63</v>
      </c>
      <c r="L5441" s="33" t="e">
        <f>HLOOKUP(B5441,#REF!,1,0)</f>
        <v>#REF!</v>
      </c>
      <c r="M5441" s="33" t="str">
        <f t="shared" si="339"/>
        <v>P&amp;L</v>
      </c>
    </row>
    <row r="5442" spans="1:13" s="33" customFormat="true" ht="12.75" customHeight="true">
      <c r="A5442" s="33" t="str">
        <f t="shared" ref="A5442:A5505" si="340">B5442&amp;" - "&amp;TRIM(H5442)</f>
        <v>HDR - CGS</v>
      </c>
      <c r="B5442" s="33" t="str">
        <f t="shared" ref="B5442:B5505" si="341">LEFT(D5442,3)</f>
        <v>HDR</v>
      </c>
      <c r="C5442" s="33" t="str">
        <f t="shared" ref="C5442:C5505" si="342">RIGHT(D5442,10)</f>
        <v>53006-0000</v>
      </c>
      <c r="D5442" s="64" t="s">
        <v>6516</v>
      </c>
      <c r="E5442" s="64" t="s">
        <v>3796</v>
      </c>
      <c r="F5442" s="64" t="s">
        <v>230</v>
      </c>
      <c r="G5442" s="64" t="s">
        <v>3160</v>
      </c>
      <c r="H5442" s="64" t="s">
        <v>1875</v>
      </c>
      <c r="I5442" s="64" t="s">
        <v>3797</v>
      </c>
      <c r="J5442" s="67">
        <v>157.95</v>
      </c>
      <c r="K5442" s="62">
        <v>2050.93</v>
      </c>
      <c r="L5442" s="33" t="e">
        <f>HLOOKUP(B5442,#REF!,1,0)</f>
        <v>#REF!</v>
      </c>
      <c r="M5442" s="33" t="str">
        <f t="shared" ref="M5442:M5505" si="343">IF(VALUE(LEFT(C5442,5))&gt;40000,"P&amp;L","BS")</f>
        <v>P&amp;L</v>
      </c>
    </row>
    <row r="5443" spans="1:13" s="33" customFormat="true" ht="12.75" customHeight="true">
      <c r="A5443" s="33" t="str">
        <f t="shared" si="340"/>
        <v>HDR - CGS</v>
      </c>
      <c r="B5443" s="33" t="str">
        <f t="shared" si="341"/>
        <v>HDR</v>
      </c>
      <c r="C5443" s="33" t="str">
        <f t="shared" si="342"/>
        <v>54002-0000</v>
      </c>
      <c r="D5443" s="64" t="s">
        <v>6517</v>
      </c>
      <c r="E5443" s="64" t="s">
        <v>3799</v>
      </c>
      <c r="F5443" s="64" t="s">
        <v>230</v>
      </c>
      <c r="G5443" s="64" t="s">
        <v>3800</v>
      </c>
      <c r="H5443" s="64" t="s">
        <v>1875</v>
      </c>
      <c r="I5443" s="64" t="s">
        <v>3801</v>
      </c>
      <c r="J5443" s="67">
        <v>0</v>
      </c>
      <c r="K5443" s="62">
        <v>0</v>
      </c>
      <c r="L5443" s="33" t="e">
        <f>HLOOKUP(B5443,#REF!,1,0)</f>
        <v>#REF!</v>
      </c>
      <c r="M5443" s="33" t="str">
        <f t="shared" si="343"/>
        <v>P&amp;L</v>
      </c>
    </row>
    <row r="5444" spans="1:13" s="33" customFormat="true" ht="12.75" customHeight="true">
      <c r="A5444" s="33" t="str">
        <f t="shared" si="340"/>
        <v>HDR - CGS</v>
      </c>
      <c r="B5444" s="33" t="str">
        <f t="shared" si="341"/>
        <v>HDR</v>
      </c>
      <c r="C5444" s="33" t="str">
        <f t="shared" si="342"/>
        <v>54004-0000</v>
      </c>
      <c r="D5444" s="64" t="s">
        <v>6518</v>
      </c>
      <c r="E5444" s="64" t="s">
        <v>3806</v>
      </c>
      <c r="F5444" s="64" t="s">
        <v>230</v>
      </c>
      <c r="G5444" s="64" t="s">
        <v>3800</v>
      </c>
      <c r="H5444" s="64" t="s">
        <v>1875</v>
      </c>
      <c r="I5444" s="64" t="s">
        <v>3807</v>
      </c>
      <c r="J5444" s="67">
        <v>0</v>
      </c>
      <c r="K5444" s="62">
        <v>1440</v>
      </c>
      <c r="L5444" s="33" t="e">
        <f>HLOOKUP(B5444,#REF!,1,0)</f>
        <v>#REF!</v>
      </c>
      <c r="M5444" s="33" t="str">
        <f t="shared" si="343"/>
        <v>P&amp;L</v>
      </c>
    </row>
    <row r="5445" spans="1:13" s="33" customFormat="true" ht="12.75" customHeight="true">
      <c r="A5445" s="33" t="str">
        <f t="shared" si="340"/>
        <v>HDR - CGS</v>
      </c>
      <c r="B5445" s="33" t="str">
        <f t="shared" si="341"/>
        <v>HDR</v>
      </c>
      <c r="C5445" s="33" t="str">
        <f t="shared" si="342"/>
        <v>54005-0000</v>
      </c>
      <c r="D5445" s="64" t="s">
        <v>6519</v>
      </c>
      <c r="E5445" s="64" t="s">
        <v>3809</v>
      </c>
      <c r="F5445" s="64" t="s">
        <v>230</v>
      </c>
      <c r="G5445" s="64" t="s">
        <v>3800</v>
      </c>
      <c r="H5445" s="64" t="s">
        <v>1875</v>
      </c>
      <c r="I5445" s="64" t="s">
        <v>3810</v>
      </c>
      <c r="J5445" s="67">
        <v>16.73</v>
      </c>
      <c r="K5445" s="62">
        <v>24.3</v>
      </c>
      <c r="L5445" s="33" t="e">
        <f>HLOOKUP(B5445,#REF!,1,0)</f>
        <v>#REF!</v>
      </c>
      <c r="M5445" s="33" t="str">
        <f t="shared" si="343"/>
        <v>P&amp;L</v>
      </c>
    </row>
    <row r="5446" spans="1:13" s="33" customFormat="true" ht="12.75" customHeight="true">
      <c r="A5446" s="33" t="str">
        <f t="shared" si="340"/>
        <v>HDR - CGS</v>
      </c>
      <c r="B5446" s="33" t="str">
        <f t="shared" si="341"/>
        <v>HDR</v>
      </c>
      <c r="C5446" s="33" t="str">
        <f t="shared" si="342"/>
        <v>54006-0000</v>
      </c>
      <c r="D5446" s="64" t="s">
        <v>6520</v>
      </c>
      <c r="E5446" s="64" t="s">
        <v>3812</v>
      </c>
      <c r="F5446" s="64" t="s">
        <v>230</v>
      </c>
      <c r="G5446" s="64" t="s">
        <v>3800</v>
      </c>
      <c r="H5446" s="64" t="s">
        <v>1875</v>
      </c>
      <c r="I5446" s="64" t="s">
        <v>3003</v>
      </c>
      <c r="J5446" s="67">
        <v>244.8</v>
      </c>
      <c r="K5446" s="62">
        <v>497.52</v>
      </c>
      <c r="L5446" s="33" t="e">
        <f>HLOOKUP(B5446,#REF!,1,0)</f>
        <v>#REF!</v>
      </c>
      <c r="M5446" s="33" t="str">
        <f t="shared" si="343"/>
        <v>P&amp;L</v>
      </c>
    </row>
    <row r="5447" spans="1:13" s="33" customFormat="true" ht="12.75" customHeight="true">
      <c r="A5447" s="33" t="str">
        <f t="shared" si="340"/>
        <v>HDR - CGS</v>
      </c>
      <c r="B5447" s="33" t="str">
        <f t="shared" si="341"/>
        <v>HDR</v>
      </c>
      <c r="C5447" s="33" t="str">
        <f t="shared" si="342"/>
        <v>54007-0000</v>
      </c>
      <c r="D5447" s="64" t="s">
        <v>6521</v>
      </c>
      <c r="E5447" s="64" t="s">
        <v>3814</v>
      </c>
      <c r="F5447" s="64" t="s">
        <v>230</v>
      </c>
      <c r="G5447" s="64" t="s">
        <v>3800</v>
      </c>
      <c r="H5447" s="64" t="s">
        <v>1875</v>
      </c>
      <c r="I5447" s="64" t="s">
        <v>3815</v>
      </c>
      <c r="J5447" s="67">
        <v>3200</v>
      </c>
      <c r="K5447" s="62">
        <v>3200</v>
      </c>
      <c r="L5447" s="33" t="e">
        <f>HLOOKUP(B5447,#REF!,1,0)</f>
        <v>#REF!</v>
      </c>
      <c r="M5447" s="33" t="str">
        <f t="shared" si="343"/>
        <v>P&amp;L</v>
      </c>
    </row>
    <row r="5448" spans="1:13" s="33" customFormat="true" ht="12.75" customHeight="true">
      <c r="A5448" s="33" t="str">
        <f t="shared" si="340"/>
        <v>HDR - PM Expenses</v>
      </c>
      <c r="B5448" s="33" t="str">
        <f t="shared" si="341"/>
        <v>HDR</v>
      </c>
      <c r="C5448" s="33" t="str">
        <f t="shared" si="342"/>
        <v>55502-0000</v>
      </c>
      <c r="D5448" s="64" t="s">
        <v>6522</v>
      </c>
      <c r="E5448" s="64" t="s">
        <v>3822</v>
      </c>
      <c r="F5448" s="64" t="s">
        <v>230</v>
      </c>
      <c r="G5448" s="64" t="s">
        <v>3818</v>
      </c>
      <c r="H5448" s="64" t="s">
        <v>3819</v>
      </c>
      <c r="I5448" s="64" t="s">
        <v>3823</v>
      </c>
      <c r="J5448" s="67">
        <v>800.89</v>
      </c>
      <c r="K5448" s="62">
        <v>1674.29</v>
      </c>
      <c r="L5448" s="33" t="e">
        <f>HLOOKUP(B5448,#REF!,1,0)</f>
        <v>#REF!</v>
      </c>
      <c r="M5448" s="33" t="str">
        <f t="shared" si="343"/>
        <v>P&amp;L</v>
      </c>
    </row>
    <row r="5449" spans="1:13" s="33" customFormat="true" ht="12.75" customHeight="true">
      <c r="A5449" s="33" t="str">
        <f t="shared" si="340"/>
        <v>HDR - PM Expenses</v>
      </c>
      <c r="B5449" s="33" t="str">
        <f t="shared" si="341"/>
        <v>HDR</v>
      </c>
      <c r="C5449" s="33" t="str">
        <f t="shared" si="342"/>
        <v>55503-0000</v>
      </c>
      <c r="D5449" s="64" t="s">
        <v>6523</v>
      </c>
      <c r="E5449" s="64" t="s">
        <v>3825</v>
      </c>
      <c r="F5449" s="64" t="s">
        <v>230</v>
      </c>
      <c r="G5449" s="64" t="s">
        <v>3818</v>
      </c>
      <c r="H5449" s="64" t="s">
        <v>3819</v>
      </c>
      <c r="I5449" s="64" t="s">
        <v>3826</v>
      </c>
      <c r="J5449" s="67">
        <v>0</v>
      </c>
      <c r="K5449" s="62">
        <v>0</v>
      </c>
      <c r="L5449" s="33" t="e">
        <f>HLOOKUP(B5449,#REF!,1,0)</f>
        <v>#REF!</v>
      </c>
      <c r="M5449" s="33" t="str">
        <f t="shared" si="343"/>
        <v>P&amp;L</v>
      </c>
    </row>
    <row r="5450" spans="1:13" s="33" customFormat="true" ht="12.75" customHeight="true">
      <c r="A5450" s="33" t="str">
        <f t="shared" si="340"/>
        <v>HDR - PM Expenses</v>
      </c>
      <c r="B5450" s="33" t="str">
        <f t="shared" si="341"/>
        <v>HDR</v>
      </c>
      <c r="C5450" s="33" t="str">
        <f t="shared" si="342"/>
        <v>55505-0000</v>
      </c>
      <c r="D5450" s="64" t="s">
        <v>6524</v>
      </c>
      <c r="E5450" s="64" t="s">
        <v>3828</v>
      </c>
      <c r="F5450" s="64" t="s">
        <v>230</v>
      </c>
      <c r="G5450" s="64" t="s">
        <v>3818</v>
      </c>
      <c r="H5450" s="64" t="s">
        <v>3819</v>
      </c>
      <c r="I5450" s="64" t="s">
        <v>3829</v>
      </c>
      <c r="J5450" s="67">
        <v>0</v>
      </c>
      <c r="K5450" s="62">
        <v>787.44</v>
      </c>
      <c r="L5450" s="33" t="e">
        <f>HLOOKUP(B5450,#REF!,1,0)</f>
        <v>#REF!</v>
      </c>
      <c r="M5450" s="33" t="str">
        <f t="shared" si="343"/>
        <v>P&amp;L</v>
      </c>
    </row>
    <row r="5451" spans="1:13" s="33" customFormat="true" ht="12.75" customHeight="true">
      <c r="A5451" s="33" t="str">
        <f t="shared" si="340"/>
        <v>HDR - PM Expenses</v>
      </c>
      <c r="B5451" s="33" t="str">
        <f t="shared" si="341"/>
        <v>HDR</v>
      </c>
      <c r="C5451" s="33" t="str">
        <f t="shared" si="342"/>
        <v>55506-0000</v>
      </c>
      <c r="D5451" s="64" t="s">
        <v>6525</v>
      </c>
      <c r="E5451" s="64" t="s">
        <v>3831</v>
      </c>
      <c r="F5451" s="64" t="s">
        <v>230</v>
      </c>
      <c r="G5451" s="64" t="s">
        <v>3818</v>
      </c>
      <c r="H5451" s="64" t="s">
        <v>3819</v>
      </c>
      <c r="I5451" s="64" t="s">
        <v>3832</v>
      </c>
      <c r="J5451" s="67">
        <v>0</v>
      </c>
      <c r="K5451" s="62">
        <v>1061.84</v>
      </c>
      <c r="L5451" s="33" t="e">
        <f>HLOOKUP(B5451,#REF!,1,0)</f>
        <v>#REF!</v>
      </c>
      <c r="M5451" s="33" t="str">
        <f t="shared" si="343"/>
        <v>P&amp;L</v>
      </c>
    </row>
    <row r="5452" spans="1:13" s="33" customFormat="true" ht="12.75" customHeight="true">
      <c r="A5452" s="33" t="str">
        <f t="shared" si="340"/>
        <v>HDR - CGS</v>
      </c>
      <c r="B5452" s="33" t="str">
        <f t="shared" si="341"/>
        <v>HDR</v>
      </c>
      <c r="C5452" s="33" t="str">
        <f t="shared" si="342"/>
        <v>60002-0000</v>
      </c>
      <c r="D5452" s="64" t="s">
        <v>6526</v>
      </c>
      <c r="E5452" s="64" t="s">
        <v>3837</v>
      </c>
      <c r="F5452" s="64" t="s">
        <v>230</v>
      </c>
      <c r="G5452" s="64" t="s">
        <v>3838</v>
      </c>
      <c r="H5452" s="64" t="s">
        <v>1875</v>
      </c>
      <c r="I5452" s="64" t="s">
        <v>3839</v>
      </c>
      <c r="J5452" s="67">
        <v>20</v>
      </c>
      <c r="K5452" s="62">
        <v>60</v>
      </c>
      <c r="L5452" s="33" t="e">
        <f>HLOOKUP(B5452,#REF!,1,0)</f>
        <v>#REF!</v>
      </c>
      <c r="M5452" s="33" t="str">
        <f t="shared" si="343"/>
        <v>P&amp;L</v>
      </c>
    </row>
    <row r="5453" spans="1:13" s="33" customFormat="true" ht="12.75" customHeight="true">
      <c r="A5453" s="33" t="str">
        <f t="shared" si="340"/>
        <v>HDR - CGS</v>
      </c>
      <c r="B5453" s="33" t="str">
        <f t="shared" si="341"/>
        <v>HDR</v>
      </c>
      <c r="C5453" s="33" t="str">
        <f t="shared" si="342"/>
        <v>60005-0000</v>
      </c>
      <c r="D5453" s="64" t="s">
        <v>6527</v>
      </c>
      <c r="E5453" s="64" t="s">
        <v>3841</v>
      </c>
      <c r="F5453" s="64" t="s">
        <v>230</v>
      </c>
      <c r="G5453" s="64" t="s">
        <v>3838</v>
      </c>
      <c r="H5453" s="64" t="s">
        <v>1875</v>
      </c>
      <c r="I5453" s="64" t="s">
        <v>3842</v>
      </c>
      <c r="J5453" s="67">
        <v>0</v>
      </c>
      <c r="K5453" s="62">
        <v>7698.75</v>
      </c>
      <c r="L5453" s="33" t="e">
        <f>HLOOKUP(B5453,#REF!,1,0)</f>
        <v>#REF!</v>
      </c>
      <c r="M5453" s="33" t="str">
        <f t="shared" si="343"/>
        <v>P&amp;L</v>
      </c>
    </row>
    <row r="5454" spans="1:13" s="33" customFormat="true" ht="12.75" customHeight="true">
      <c r="A5454" s="33" t="str">
        <f t="shared" si="340"/>
        <v>HDR - Interest Expense</v>
      </c>
      <c r="B5454" s="33" t="str">
        <f t="shared" si="341"/>
        <v>HDR</v>
      </c>
      <c r="C5454" s="33" t="str">
        <f t="shared" si="342"/>
        <v>60006-0000</v>
      </c>
      <c r="D5454" s="64" t="s">
        <v>6528</v>
      </c>
      <c r="E5454" s="64" t="s">
        <v>3325</v>
      </c>
      <c r="F5454" s="64" t="s">
        <v>230</v>
      </c>
      <c r="G5454" s="64" t="s">
        <v>3844</v>
      </c>
      <c r="H5454" s="64" t="s">
        <v>3327</v>
      </c>
      <c r="I5454" s="64" t="s">
        <v>3328</v>
      </c>
      <c r="J5454" s="67">
        <v>24120.47</v>
      </c>
      <c r="K5454" s="62">
        <v>180862.6</v>
      </c>
      <c r="L5454" s="33" t="e">
        <f>HLOOKUP(B5454,#REF!,1,0)</f>
        <v>#REF!</v>
      </c>
      <c r="M5454" s="33" t="str">
        <f t="shared" si="343"/>
        <v>P&amp;L</v>
      </c>
    </row>
    <row r="5455" spans="1:13" s="33" customFormat="true" ht="12.75" customHeight="true">
      <c r="A5455" s="33" t="str">
        <f t="shared" si="340"/>
        <v>HDR - CGS</v>
      </c>
      <c r="B5455" s="33" t="str">
        <f t="shared" si="341"/>
        <v>HDR</v>
      </c>
      <c r="C5455" s="33" t="str">
        <f t="shared" si="342"/>
        <v>60007-0000</v>
      </c>
      <c r="D5455" s="64" t="s">
        <v>6529</v>
      </c>
      <c r="E5455" s="64" t="s">
        <v>3846</v>
      </c>
      <c r="F5455" s="64" t="s">
        <v>230</v>
      </c>
      <c r="G5455" s="64" t="s">
        <v>3838</v>
      </c>
      <c r="H5455" s="64" t="s">
        <v>1875</v>
      </c>
      <c r="I5455" s="64" t="s">
        <v>3847</v>
      </c>
      <c r="J5455" s="67">
        <v>205.5</v>
      </c>
      <c r="K5455" s="62">
        <v>730.5</v>
      </c>
      <c r="L5455" s="33" t="e">
        <f>HLOOKUP(B5455,#REF!,1,0)</f>
        <v>#REF!</v>
      </c>
      <c r="M5455" s="33" t="str">
        <f t="shared" si="343"/>
        <v>P&amp;L</v>
      </c>
    </row>
    <row r="5456" spans="1:13" s="33" customFormat="true" ht="12.75" customHeight="true">
      <c r="A5456" s="33" t="str">
        <f t="shared" si="340"/>
        <v>HDR - CGS</v>
      </c>
      <c r="B5456" s="33" t="str">
        <f t="shared" si="341"/>
        <v>HDR</v>
      </c>
      <c r="C5456" s="33" t="str">
        <f t="shared" si="342"/>
        <v>60012-0000</v>
      </c>
      <c r="D5456" s="64" t="s">
        <v>6530</v>
      </c>
      <c r="E5456" s="64" t="s">
        <v>3852</v>
      </c>
      <c r="F5456" s="64" t="s">
        <v>230</v>
      </c>
      <c r="G5456" s="64" t="s">
        <v>3838</v>
      </c>
      <c r="H5456" s="64" t="s">
        <v>1875</v>
      </c>
      <c r="I5456" s="64" t="s">
        <v>3853</v>
      </c>
      <c r="J5456" s="67">
        <v>15447.05</v>
      </c>
      <c r="K5456" s="62">
        <v>15447.05</v>
      </c>
      <c r="L5456" s="33" t="e">
        <f>HLOOKUP(B5456,#REF!,1,0)</f>
        <v>#REF!</v>
      </c>
      <c r="M5456" s="33" t="str">
        <f t="shared" si="343"/>
        <v>P&amp;L</v>
      </c>
    </row>
    <row r="5457" spans="1:13" s="33" customFormat="true" ht="12.75" customHeight="true">
      <c r="A5457" s="33" t="str">
        <f t="shared" si="340"/>
        <v>HDR - CGS</v>
      </c>
      <c r="B5457" s="33" t="str">
        <f t="shared" si="341"/>
        <v>HDR</v>
      </c>
      <c r="C5457" s="33" t="str">
        <f t="shared" si="342"/>
        <v>60014-0000</v>
      </c>
      <c r="D5457" s="64" t="s">
        <v>6531</v>
      </c>
      <c r="E5457" s="64" t="s">
        <v>3855</v>
      </c>
      <c r="F5457" s="64" t="s">
        <v>230</v>
      </c>
      <c r="G5457" s="64" t="s">
        <v>3838</v>
      </c>
      <c r="H5457" s="64" t="s">
        <v>1875</v>
      </c>
      <c r="I5457" s="64" t="s">
        <v>3856</v>
      </c>
      <c r="J5457" s="67">
        <v>1981.3</v>
      </c>
      <c r="K5457" s="62">
        <v>8416.74</v>
      </c>
      <c r="L5457" s="33" t="e">
        <f>HLOOKUP(B5457,#REF!,1,0)</f>
        <v>#REF!</v>
      </c>
      <c r="M5457" s="33" t="str">
        <f t="shared" si="343"/>
        <v>P&amp;L</v>
      </c>
    </row>
    <row r="5458" spans="1:13" s="33" customFormat="true" ht="12.75" customHeight="true">
      <c r="A5458" s="33" t="str">
        <f t="shared" si="340"/>
        <v>HDR - CGS</v>
      </c>
      <c r="B5458" s="33" t="str">
        <f t="shared" si="341"/>
        <v>HDR</v>
      </c>
      <c r="C5458" s="33" t="str">
        <f t="shared" si="342"/>
        <v>61016-0000</v>
      </c>
      <c r="D5458" s="64" t="s">
        <v>6532</v>
      </c>
      <c r="E5458" s="64" t="s">
        <v>3861</v>
      </c>
      <c r="F5458" s="64" t="s">
        <v>230</v>
      </c>
      <c r="G5458" s="64" t="s">
        <v>3838</v>
      </c>
      <c r="H5458" s="64" t="s">
        <v>1875</v>
      </c>
      <c r="I5458" s="64" t="s">
        <v>3862</v>
      </c>
      <c r="J5458" s="67">
        <v>0</v>
      </c>
      <c r="K5458" s="62">
        <v>0</v>
      </c>
      <c r="L5458" s="33" t="e">
        <f>HLOOKUP(B5458,#REF!,1,0)</f>
        <v>#REF!</v>
      </c>
      <c r="M5458" s="33" t="str">
        <f t="shared" si="343"/>
        <v>P&amp;L</v>
      </c>
    </row>
    <row r="5459" spans="1:13" s="33" customFormat="true" ht="12.75" customHeight="true">
      <c r="A5459" s="33" t="str">
        <f t="shared" si="340"/>
        <v>HDR - Other Expenses</v>
      </c>
      <c r="B5459" s="33" t="str">
        <f t="shared" si="341"/>
        <v>HDR</v>
      </c>
      <c r="C5459" s="33" t="str">
        <f t="shared" si="342"/>
        <v>61018-0000</v>
      </c>
      <c r="D5459" s="64" t="s">
        <v>6533</v>
      </c>
      <c r="E5459" s="64" t="s">
        <v>3864</v>
      </c>
      <c r="F5459" s="64" t="s">
        <v>230</v>
      </c>
      <c r="G5459" s="64" t="s">
        <v>3838</v>
      </c>
      <c r="H5459" s="64" t="s">
        <v>3865</v>
      </c>
      <c r="I5459" s="64" t="s">
        <v>3866</v>
      </c>
      <c r="J5459" s="67">
        <v>0</v>
      </c>
      <c r="K5459" s="62">
        <v>137274</v>
      </c>
      <c r="L5459" s="33" t="e">
        <f>HLOOKUP(B5459,#REF!,1,0)</f>
        <v>#REF!</v>
      </c>
      <c r="M5459" s="33" t="str">
        <f t="shared" si="343"/>
        <v>P&amp;L</v>
      </c>
    </row>
    <row r="5460" spans="1:13" s="33" customFormat="true" ht="12.75" customHeight="true">
      <c r="A5460" s="33" t="str">
        <f t="shared" si="340"/>
        <v>HDR - Income Tax</v>
      </c>
      <c r="B5460" s="33" t="str">
        <f t="shared" si="341"/>
        <v>HDR</v>
      </c>
      <c r="C5460" s="33" t="str">
        <f t="shared" si="342"/>
        <v>61019-0000</v>
      </c>
      <c r="D5460" s="64" t="s">
        <v>6534</v>
      </c>
      <c r="E5460" s="64" t="s">
        <v>4041</v>
      </c>
      <c r="F5460" s="64" t="s">
        <v>230</v>
      </c>
      <c r="G5460" s="64" t="s">
        <v>3844</v>
      </c>
      <c r="H5460" s="64" t="s">
        <v>3378</v>
      </c>
      <c r="I5460" s="64" t="s">
        <v>4042</v>
      </c>
      <c r="J5460" s="67">
        <v>0</v>
      </c>
      <c r="K5460" s="62">
        <v>0</v>
      </c>
      <c r="L5460" s="33" t="e">
        <f>HLOOKUP(B5460,#REF!,1,0)</f>
        <v>#REF!</v>
      </c>
      <c r="M5460" s="33" t="str">
        <f t="shared" si="343"/>
        <v>P&amp;L</v>
      </c>
    </row>
    <row r="5461" spans="1:13" s="33" customFormat="true" ht="12.75" customHeight="true">
      <c r="A5461" s="33" t="str">
        <f t="shared" si="340"/>
        <v>HDR - CGS</v>
      </c>
      <c r="B5461" s="33" t="str">
        <f t="shared" si="341"/>
        <v>HDR</v>
      </c>
      <c r="C5461" s="33" t="str">
        <f t="shared" si="342"/>
        <v>61023-0000</v>
      </c>
      <c r="D5461" s="64" t="s">
        <v>6535</v>
      </c>
      <c r="E5461" s="64" t="s">
        <v>3868</v>
      </c>
      <c r="F5461" s="64" t="s">
        <v>230</v>
      </c>
      <c r="G5461" s="64" t="s">
        <v>3838</v>
      </c>
      <c r="H5461" s="64" t="s">
        <v>1875</v>
      </c>
      <c r="I5461" s="64" t="s">
        <v>1876</v>
      </c>
      <c r="J5461" s="67">
        <v>0</v>
      </c>
      <c r="K5461" s="62">
        <v>15</v>
      </c>
      <c r="L5461" s="33" t="e">
        <f>HLOOKUP(B5461,#REF!,1,0)</f>
        <v>#REF!</v>
      </c>
      <c r="M5461" s="33" t="str">
        <f t="shared" si="343"/>
        <v>P&amp;L</v>
      </c>
    </row>
    <row r="5462" spans="1:13" s="33" customFormat="true" ht="12.75" customHeight="true">
      <c r="A5462" s="33" t="str">
        <f t="shared" si="340"/>
        <v>HN2 - Revenue</v>
      </c>
      <c r="B5462" s="33" t="str">
        <f t="shared" si="341"/>
        <v>HN2</v>
      </c>
      <c r="C5462" s="33" t="str">
        <f t="shared" si="342"/>
        <v>40001-7358</v>
      </c>
      <c r="D5462" s="64" t="s">
        <v>6536</v>
      </c>
      <c r="E5462" s="64" t="s">
        <v>2869</v>
      </c>
      <c r="F5462" s="64" t="s">
        <v>15</v>
      </c>
      <c r="G5462" s="64" t="s">
        <v>2870</v>
      </c>
      <c r="H5462" s="64" t="s">
        <v>2871</v>
      </c>
      <c r="I5462" s="64" t="s">
        <v>2872</v>
      </c>
      <c r="J5462" s="67">
        <v>-103069.43</v>
      </c>
      <c r="K5462" s="62">
        <v>-948435.65</v>
      </c>
      <c r="L5462" s="33" t="e">
        <f>HLOOKUP(B5462,#REF!,1,0)</f>
        <v>#REF!</v>
      </c>
      <c r="M5462" s="33" t="str">
        <f t="shared" si="343"/>
        <v>P&amp;L</v>
      </c>
    </row>
    <row r="5463" spans="1:13" s="33" customFormat="true" ht="12.75" customHeight="true">
      <c r="A5463" s="33" t="str">
        <f t="shared" si="340"/>
        <v>HN2 - Revenue</v>
      </c>
      <c r="B5463" s="33" t="str">
        <f t="shared" si="341"/>
        <v>HN2</v>
      </c>
      <c r="C5463" s="33" t="str">
        <f t="shared" si="342"/>
        <v>40001-7372</v>
      </c>
      <c r="D5463" s="64" t="s">
        <v>6537</v>
      </c>
      <c r="E5463" s="64" t="s">
        <v>2869</v>
      </c>
      <c r="F5463" s="64" t="s">
        <v>15</v>
      </c>
      <c r="G5463" s="64" t="s">
        <v>2870</v>
      </c>
      <c r="H5463" s="64" t="s">
        <v>2871</v>
      </c>
      <c r="I5463" s="64" t="s">
        <v>2872</v>
      </c>
      <c r="J5463" s="67">
        <v>-129045.04</v>
      </c>
      <c r="K5463" s="62">
        <v>-1044266.14</v>
      </c>
      <c r="L5463" s="33" t="e">
        <f>HLOOKUP(B5463,#REF!,1,0)</f>
        <v>#REF!</v>
      </c>
      <c r="M5463" s="33" t="str">
        <f t="shared" si="343"/>
        <v>P&amp;L</v>
      </c>
    </row>
    <row r="5464" spans="1:13" s="33" customFormat="true" ht="12.75" customHeight="true">
      <c r="A5464" s="33" t="str">
        <f t="shared" si="340"/>
        <v>HN2 - Revenue</v>
      </c>
      <c r="B5464" s="33" t="str">
        <f t="shared" si="341"/>
        <v>HN2</v>
      </c>
      <c r="C5464" s="33" t="str">
        <f t="shared" si="342"/>
        <v>40001-7384</v>
      </c>
      <c r="D5464" s="64" t="s">
        <v>6538</v>
      </c>
      <c r="E5464" s="64" t="s">
        <v>2869</v>
      </c>
      <c r="F5464" s="64" t="s">
        <v>15</v>
      </c>
      <c r="G5464" s="64" t="s">
        <v>2870</v>
      </c>
      <c r="H5464" s="64" t="s">
        <v>2871</v>
      </c>
      <c r="I5464" s="64" t="s">
        <v>2872</v>
      </c>
      <c r="J5464" s="67">
        <v>-113670.21</v>
      </c>
      <c r="K5464" s="62">
        <v>-1059437.2</v>
      </c>
      <c r="L5464" s="33" t="e">
        <f>HLOOKUP(B5464,#REF!,1,0)</f>
        <v>#REF!</v>
      </c>
      <c r="M5464" s="33" t="str">
        <f t="shared" si="343"/>
        <v>P&amp;L</v>
      </c>
    </row>
    <row r="5465" spans="1:13" s="33" customFormat="true" ht="12.75" customHeight="true">
      <c r="A5465" s="33" t="str">
        <f t="shared" si="340"/>
        <v>HN2 - Revenue</v>
      </c>
      <c r="B5465" s="33" t="str">
        <f t="shared" si="341"/>
        <v>HN2</v>
      </c>
      <c r="C5465" s="33" t="str">
        <f t="shared" si="342"/>
        <v>40001-7626</v>
      </c>
      <c r="D5465" s="64" t="s">
        <v>6539</v>
      </c>
      <c r="E5465" s="64" t="s">
        <v>2869</v>
      </c>
      <c r="F5465" s="64" t="s">
        <v>15</v>
      </c>
      <c r="G5465" s="64" t="s">
        <v>2870</v>
      </c>
      <c r="H5465" s="64" t="s">
        <v>2871</v>
      </c>
      <c r="I5465" s="64" t="s">
        <v>2872</v>
      </c>
      <c r="J5465" s="67">
        <v>-64470.7</v>
      </c>
      <c r="K5465" s="62">
        <v>-674731.5</v>
      </c>
      <c r="L5465" s="33" t="e">
        <f>HLOOKUP(B5465,#REF!,1,0)</f>
        <v>#REF!</v>
      </c>
      <c r="M5465" s="33" t="str">
        <f t="shared" si="343"/>
        <v>P&amp;L</v>
      </c>
    </row>
    <row r="5466" spans="1:13" s="33" customFormat="true" ht="12.75" customHeight="true">
      <c r="A5466" s="33" t="str">
        <f t="shared" si="340"/>
        <v>HN2 - Revenue</v>
      </c>
      <c r="B5466" s="33" t="str">
        <f t="shared" si="341"/>
        <v>HN2</v>
      </c>
      <c r="C5466" s="33" t="str">
        <f t="shared" si="342"/>
        <v>40002-7358</v>
      </c>
      <c r="D5466" s="64" t="s">
        <v>6540</v>
      </c>
      <c r="E5466" s="64" t="s">
        <v>2877</v>
      </c>
      <c r="F5466" s="64" t="s">
        <v>15</v>
      </c>
      <c r="G5466" s="64" t="s">
        <v>2870</v>
      </c>
      <c r="H5466" s="64" t="s">
        <v>2871</v>
      </c>
      <c r="I5466" s="64" t="s">
        <v>2872</v>
      </c>
      <c r="J5466" s="67">
        <v>0</v>
      </c>
      <c r="K5466" s="62">
        <v>-3</v>
      </c>
      <c r="L5466" s="33" t="e">
        <f>HLOOKUP(B5466,#REF!,1,0)</f>
        <v>#REF!</v>
      </c>
      <c r="M5466" s="33" t="str">
        <f t="shared" si="343"/>
        <v>P&amp;L</v>
      </c>
    </row>
    <row r="5467" spans="1:13" s="33" customFormat="true" ht="12.75" customHeight="true">
      <c r="A5467" s="33" t="str">
        <f t="shared" si="340"/>
        <v>HN2 - Revenue</v>
      </c>
      <c r="B5467" s="33" t="str">
        <f t="shared" si="341"/>
        <v>HN2</v>
      </c>
      <c r="C5467" s="33" t="str">
        <f t="shared" si="342"/>
        <v>40002-7372</v>
      </c>
      <c r="D5467" s="64" t="s">
        <v>6541</v>
      </c>
      <c r="E5467" s="64" t="s">
        <v>2877</v>
      </c>
      <c r="F5467" s="64" t="s">
        <v>15</v>
      </c>
      <c r="G5467" s="64" t="s">
        <v>2870</v>
      </c>
      <c r="H5467" s="64" t="s">
        <v>2871</v>
      </c>
      <c r="I5467" s="64" t="s">
        <v>2872</v>
      </c>
      <c r="J5467" s="67">
        <v>0</v>
      </c>
      <c r="K5467" s="62">
        <v>-1</v>
      </c>
      <c r="L5467" s="33" t="e">
        <f>HLOOKUP(B5467,#REF!,1,0)</f>
        <v>#REF!</v>
      </c>
      <c r="M5467" s="33" t="str">
        <f t="shared" si="343"/>
        <v>P&amp;L</v>
      </c>
    </row>
    <row r="5468" spans="1:13" s="33" customFormat="true" ht="12.75" customHeight="true">
      <c r="A5468" s="33" t="str">
        <f t="shared" si="340"/>
        <v>HN2 - Revenue</v>
      </c>
      <c r="B5468" s="33" t="str">
        <f t="shared" si="341"/>
        <v>HN2</v>
      </c>
      <c r="C5468" s="33" t="str">
        <f t="shared" si="342"/>
        <v>40002-7384</v>
      </c>
      <c r="D5468" s="64" t="s">
        <v>6542</v>
      </c>
      <c r="E5468" s="64" t="s">
        <v>2877</v>
      </c>
      <c r="F5468" s="64" t="s">
        <v>15</v>
      </c>
      <c r="G5468" s="64" t="s">
        <v>2870</v>
      </c>
      <c r="H5468" s="64" t="s">
        <v>2871</v>
      </c>
      <c r="I5468" s="64" t="s">
        <v>2872</v>
      </c>
      <c r="J5468" s="67">
        <v>0</v>
      </c>
      <c r="K5468" s="62">
        <v>-20</v>
      </c>
      <c r="L5468" s="33" t="e">
        <f>HLOOKUP(B5468,#REF!,1,0)</f>
        <v>#REF!</v>
      </c>
      <c r="M5468" s="33" t="str">
        <f t="shared" si="343"/>
        <v>P&amp;L</v>
      </c>
    </row>
    <row r="5469" spans="1:13" s="33" customFormat="true" ht="12.75" customHeight="true">
      <c r="A5469" s="33" t="str">
        <f t="shared" si="340"/>
        <v>HN2 - Revenue</v>
      </c>
      <c r="B5469" s="33" t="str">
        <f t="shared" si="341"/>
        <v>HN2</v>
      </c>
      <c r="C5469" s="33" t="str">
        <f t="shared" si="342"/>
        <v>40002-7626</v>
      </c>
      <c r="D5469" s="64" t="s">
        <v>6543</v>
      </c>
      <c r="E5469" s="64" t="s">
        <v>2877</v>
      </c>
      <c r="F5469" s="64" t="s">
        <v>15</v>
      </c>
      <c r="G5469" s="64" t="s">
        <v>2870</v>
      </c>
      <c r="H5469" s="64" t="s">
        <v>2871</v>
      </c>
      <c r="I5469" s="64" t="s">
        <v>2872</v>
      </c>
      <c r="J5469" s="67">
        <v>0</v>
      </c>
      <c r="K5469" s="62">
        <v>-8</v>
      </c>
      <c r="L5469" s="33" t="e">
        <f>HLOOKUP(B5469,#REF!,1,0)</f>
        <v>#REF!</v>
      </c>
      <c r="M5469" s="33" t="str">
        <f t="shared" si="343"/>
        <v>P&amp;L</v>
      </c>
    </row>
    <row r="5470" spans="1:13" s="33" customFormat="true" ht="12.75" customHeight="true">
      <c r="A5470" s="33" t="str">
        <f t="shared" si="340"/>
        <v>HN2 - Revenue</v>
      </c>
      <c r="B5470" s="33" t="str">
        <f t="shared" si="341"/>
        <v>HN2</v>
      </c>
      <c r="C5470" s="33" t="str">
        <f t="shared" si="342"/>
        <v>40091-7358</v>
      </c>
      <c r="D5470" s="64" t="s">
        <v>6544</v>
      </c>
      <c r="E5470" s="64" t="s">
        <v>2882</v>
      </c>
      <c r="F5470" s="64" t="s">
        <v>15</v>
      </c>
      <c r="G5470" s="64" t="s">
        <v>2870</v>
      </c>
      <c r="H5470" s="64" t="s">
        <v>2871</v>
      </c>
      <c r="I5470" s="64" t="s">
        <v>2883</v>
      </c>
      <c r="J5470" s="67">
        <v>19983.11</v>
      </c>
      <c r="K5470" s="62">
        <v>145937.39</v>
      </c>
      <c r="L5470" s="33" t="e">
        <f>HLOOKUP(B5470,#REF!,1,0)</f>
        <v>#REF!</v>
      </c>
      <c r="M5470" s="33" t="str">
        <f t="shared" si="343"/>
        <v>P&amp;L</v>
      </c>
    </row>
    <row r="5471" spans="1:13" s="33" customFormat="true" ht="12.75" customHeight="true">
      <c r="A5471" s="33" t="str">
        <f t="shared" si="340"/>
        <v>HN2 - Revenue</v>
      </c>
      <c r="B5471" s="33" t="str">
        <f t="shared" si="341"/>
        <v>HN2</v>
      </c>
      <c r="C5471" s="33" t="str">
        <f t="shared" si="342"/>
        <v>40091-7372</v>
      </c>
      <c r="D5471" s="64" t="s">
        <v>6545</v>
      </c>
      <c r="E5471" s="64" t="s">
        <v>2882</v>
      </c>
      <c r="F5471" s="64" t="s">
        <v>15</v>
      </c>
      <c r="G5471" s="64" t="s">
        <v>2870</v>
      </c>
      <c r="H5471" s="64" t="s">
        <v>2871</v>
      </c>
      <c r="I5471" s="64" t="s">
        <v>2883</v>
      </c>
      <c r="J5471" s="67">
        <v>27617.71</v>
      </c>
      <c r="K5471" s="62">
        <v>131126.33</v>
      </c>
      <c r="L5471" s="33" t="e">
        <f>HLOOKUP(B5471,#REF!,1,0)</f>
        <v>#REF!</v>
      </c>
      <c r="M5471" s="33" t="str">
        <f t="shared" si="343"/>
        <v>P&amp;L</v>
      </c>
    </row>
    <row r="5472" spans="1:13" s="33" customFormat="true" ht="12.75" customHeight="true">
      <c r="A5472" s="33" t="str">
        <f t="shared" si="340"/>
        <v>HN2 - Revenue</v>
      </c>
      <c r="B5472" s="33" t="str">
        <f t="shared" si="341"/>
        <v>HN2</v>
      </c>
      <c r="C5472" s="33" t="str">
        <f t="shared" si="342"/>
        <v>40091-7384</v>
      </c>
      <c r="D5472" s="64" t="s">
        <v>6546</v>
      </c>
      <c r="E5472" s="64" t="s">
        <v>2882</v>
      </c>
      <c r="F5472" s="64" t="s">
        <v>15</v>
      </c>
      <c r="G5472" s="64" t="s">
        <v>2870</v>
      </c>
      <c r="H5472" s="64" t="s">
        <v>2871</v>
      </c>
      <c r="I5472" s="64" t="s">
        <v>2883</v>
      </c>
      <c r="J5472" s="67">
        <v>15467.1</v>
      </c>
      <c r="K5472" s="62">
        <v>101985.05</v>
      </c>
      <c r="L5472" s="33" t="e">
        <f>HLOOKUP(B5472,#REF!,1,0)</f>
        <v>#REF!</v>
      </c>
      <c r="M5472" s="33" t="str">
        <f t="shared" si="343"/>
        <v>P&amp;L</v>
      </c>
    </row>
    <row r="5473" spans="1:13" s="33" customFormat="true" ht="12.75" customHeight="true">
      <c r="A5473" s="33" t="str">
        <f t="shared" si="340"/>
        <v>HN2 - Revenue</v>
      </c>
      <c r="B5473" s="33" t="str">
        <f t="shared" si="341"/>
        <v>HN2</v>
      </c>
      <c r="C5473" s="33" t="str">
        <f t="shared" si="342"/>
        <v>40091-7626</v>
      </c>
      <c r="D5473" s="64" t="s">
        <v>6547</v>
      </c>
      <c r="E5473" s="64" t="s">
        <v>2882</v>
      </c>
      <c r="F5473" s="64" t="s">
        <v>15</v>
      </c>
      <c r="G5473" s="64" t="s">
        <v>2870</v>
      </c>
      <c r="H5473" s="64" t="s">
        <v>2871</v>
      </c>
      <c r="I5473" s="64" t="s">
        <v>2883</v>
      </c>
      <c r="J5473" s="67">
        <v>17178.74</v>
      </c>
      <c r="K5473" s="62">
        <v>100143.81</v>
      </c>
      <c r="L5473" s="33" t="e">
        <f>HLOOKUP(B5473,#REF!,1,0)</f>
        <v>#REF!</v>
      </c>
      <c r="M5473" s="33" t="str">
        <f t="shared" si="343"/>
        <v>P&amp;L</v>
      </c>
    </row>
    <row r="5474" spans="1:13" s="33" customFormat="true" ht="12.75" customHeight="true">
      <c r="A5474" s="33" t="str">
        <f t="shared" si="340"/>
        <v>HN2 - CGS</v>
      </c>
      <c r="B5474" s="33" t="str">
        <f t="shared" si="341"/>
        <v>HN2</v>
      </c>
      <c r="C5474" s="33" t="str">
        <f t="shared" si="342"/>
        <v>50003-7358</v>
      </c>
      <c r="D5474" s="64" t="s">
        <v>6548</v>
      </c>
      <c r="E5474" s="64" t="s">
        <v>2888</v>
      </c>
      <c r="F5474" s="64" t="s">
        <v>15</v>
      </c>
      <c r="G5474" s="64" t="s">
        <v>2889</v>
      </c>
      <c r="H5474" s="64" t="s">
        <v>1875</v>
      </c>
      <c r="I5474" s="64" t="s">
        <v>2890</v>
      </c>
      <c r="J5474" s="67">
        <v>1688.42</v>
      </c>
      <c r="K5474" s="62">
        <v>14345.03</v>
      </c>
      <c r="L5474" s="33" t="e">
        <f>HLOOKUP(B5474,#REF!,1,0)</f>
        <v>#REF!</v>
      </c>
      <c r="M5474" s="33" t="str">
        <f t="shared" si="343"/>
        <v>P&amp;L</v>
      </c>
    </row>
    <row r="5475" spans="1:13" s="33" customFormat="true" ht="12.75" customHeight="true">
      <c r="A5475" s="33" t="str">
        <f t="shared" si="340"/>
        <v>HN2 - CGS</v>
      </c>
      <c r="B5475" s="33" t="str">
        <f t="shared" si="341"/>
        <v>HN2</v>
      </c>
      <c r="C5475" s="33" t="str">
        <f t="shared" si="342"/>
        <v>50003-7372</v>
      </c>
      <c r="D5475" s="64" t="s">
        <v>6549</v>
      </c>
      <c r="E5475" s="64" t="s">
        <v>2888</v>
      </c>
      <c r="F5475" s="64" t="s">
        <v>15</v>
      </c>
      <c r="G5475" s="64" t="s">
        <v>2889</v>
      </c>
      <c r="H5475" s="64" t="s">
        <v>1875</v>
      </c>
      <c r="I5475" s="64" t="s">
        <v>2890</v>
      </c>
      <c r="J5475" s="67">
        <v>2110.79</v>
      </c>
      <c r="K5475" s="62">
        <v>14346.81</v>
      </c>
      <c r="L5475" s="33" t="e">
        <f>HLOOKUP(B5475,#REF!,1,0)</f>
        <v>#REF!</v>
      </c>
      <c r="M5475" s="33" t="str">
        <f t="shared" si="343"/>
        <v>P&amp;L</v>
      </c>
    </row>
    <row r="5476" spans="1:13" s="33" customFormat="true" ht="12.75" customHeight="true">
      <c r="A5476" s="33" t="str">
        <f t="shared" si="340"/>
        <v>HN2 - CGS</v>
      </c>
      <c r="B5476" s="33" t="str">
        <f t="shared" si="341"/>
        <v>HN2</v>
      </c>
      <c r="C5476" s="33" t="str">
        <f t="shared" si="342"/>
        <v>50003-7384</v>
      </c>
      <c r="D5476" s="64" t="s">
        <v>6550</v>
      </c>
      <c r="E5476" s="64" t="s">
        <v>2888</v>
      </c>
      <c r="F5476" s="64" t="s">
        <v>15</v>
      </c>
      <c r="G5476" s="64" t="s">
        <v>2889</v>
      </c>
      <c r="H5476" s="64" t="s">
        <v>1875</v>
      </c>
      <c r="I5476" s="64" t="s">
        <v>2890</v>
      </c>
      <c r="J5476" s="67">
        <v>1597.29</v>
      </c>
      <c r="K5476" s="62">
        <v>14021.47</v>
      </c>
      <c r="L5476" s="33" t="e">
        <f>HLOOKUP(B5476,#REF!,1,0)</f>
        <v>#REF!</v>
      </c>
      <c r="M5476" s="33" t="str">
        <f t="shared" si="343"/>
        <v>P&amp;L</v>
      </c>
    </row>
    <row r="5477" spans="1:13" s="33" customFormat="true" ht="12.75" customHeight="true">
      <c r="A5477" s="33" t="str">
        <f t="shared" si="340"/>
        <v>HN2 - CGS</v>
      </c>
      <c r="B5477" s="33" t="str">
        <f t="shared" si="341"/>
        <v>HN2</v>
      </c>
      <c r="C5477" s="33" t="str">
        <f t="shared" si="342"/>
        <v>50003-7626</v>
      </c>
      <c r="D5477" s="64" t="s">
        <v>6551</v>
      </c>
      <c r="E5477" s="64" t="s">
        <v>2888</v>
      </c>
      <c r="F5477" s="64" t="s">
        <v>15</v>
      </c>
      <c r="G5477" s="64" t="s">
        <v>2889</v>
      </c>
      <c r="H5477" s="64" t="s">
        <v>1875</v>
      </c>
      <c r="I5477" s="64" t="s">
        <v>2890</v>
      </c>
      <c r="J5477" s="67">
        <v>1066.95</v>
      </c>
      <c r="K5477" s="62">
        <v>9986.99</v>
      </c>
      <c r="L5477" s="33" t="e">
        <f>HLOOKUP(B5477,#REF!,1,0)</f>
        <v>#REF!</v>
      </c>
      <c r="M5477" s="33" t="str">
        <f t="shared" si="343"/>
        <v>P&amp;L</v>
      </c>
    </row>
    <row r="5478" spans="1:13" s="33" customFormat="true" ht="12.75" customHeight="true">
      <c r="A5478" s="33" t="str">
        <f t="shared" si="340"/>
        <v>HN2 - CGS</v>
      </c>
      <c r="B5478" s="33" t="str">
        <f t="shared" si="341"/>
        <v>HN2</v>
      </c>
      <c r="C5478" s="33" t="str">
        <f t="shared" si="342"/>
        <v>50007-7358</v>
      </c>
      <c r="D5478" s="64" t="s">
        <v>6552</v>
      </c>
      <c r="E5478" s="64" t="s">
        <v>2895</v>
      </c>
      <c r="F5478" s="64" t="s">
        <v>15</v>
      </c>
      <c r="G5478" s="64" t="s">
        <v>2889</v>
      </c>
      <c r="H5478" s="64" t="s">
        <v>1875</v>
      </c>
      <c r="I5478" s="64" t="s">
        <v>2890</v>
      </c>
      <c r="J5478" s="67">
        <v>17984.95</v>
      </c>
      <c r="K5478" s="62">
        <v>178706.12</v>
      </c>
      <c r="L5478" s="33" t="e">
        <f>HLOOKUP(B5478,#REF!,1,0)</f>
        <v>#REF!</v>
      </c>
      <c r="M5478" s="33" t="str">
        <f t="shared" si="343"/>
        <v>P&amp;L</v>
      </c>
    </row>
    <row r="5479" spans="1:13" s="33" customFormat="true" ht="12.75" customHeight="true">
      <c r="A5479" s="33" t="str">
        <f t="shared" si="340"/>
        <v>HN2 - CGS</v>
      </c>
      <c r="B5479" s="33" t="str">
        <f t="shared" si="341"/>
        <v>HN2</v>
      </c>
      <c r="C5479" s="33" t="str">
        <f t="shared" si="342"/>
        <v>50007-7372</v>
      </c>
      <c r="D5479" s="64" t="s">
        <v>6553</v>
      </c>
      <c r="E5479" s="64" t="s">
        <v>2895</v>
      </c>
      <c r="F5479" s="64" t="s">
        <v>15</v>
      </c>
      <c r="G5479" s="64" t="s">
        <v>2889</v>
      </c>
      <c r="H5479" s="64" t="s">
        <v>1875</v>
      </c>
      <c r="I5479" s="64" t="s">
        <v>2890</v>
      </c>
      <c r="J5479" s="67">
        <v>24276.55</v>
      </c>
      <c r="K5479" s="62">
        <v>201158.17</v>
      </c>
      <c r="L5479" s="33" t="e">
        <f>HLOOKUP(B5479,#REF!,1,0)</f>
        <v>#REF!</v>
      </c>
      <c r="M5479" s="33" t="str">
        <f t="shared" si="343"/>
        <v>P&amp;L</v>
      </c>
    </row>
    <row r="5480" spans="1:13" s="33" customFormat="true" ht="12.75" customHeight="true">
      <c r="A5480" s="33" t="str">
        <f t="shared" si="340"/>
        <v>HN2 - CGS</v>
      </c>
      <c r="B5480" s="33" t="str">
        <f t="shared" si="341"/>
        <v>HN2</v>
      </c>
      <c r="C5480" s="33" t="str">
        <f t="shared" si="342"/>
        <v>50007-7384</v>
      </c>
      <c r="D5480" s="64" t="s">
        <v>6554</v>
      </c>
      <c r="E5480" s="64" t="s">
        <v>2895</v>
      </c>
      <c r="F5480" s="64" t="s">
        <v>15</v>
      </c>
      <c r="G5480" s="64" t="s">
        <v>2889</v>
      </c>
      <c r="H5480" s="64" t="s">
        <v>1875</v>
      </c>
      <c r="I5480" s="64" t="s">
        <v>2890</v>
      </c>
      <c r="J5480" s="67">
        <v>15640.85</v>
      </c>
      <c r="K5480" s="62">
        <v>199612.39</v>
      </c>
      <c r="L5480" s="33" t="e">
        <f>HLOOKUP(B5480,#REF!,1,0)</f>
        <v>#REF!</v>
      </c>
      <c r="M5480" s="33" t="str">
        <f t="shared" si="343"/>
        <v>P&amp;L</v>
      </c>
    </row>
    <row r="5481" spans="1:13" s="33" customFormat="true" ht="12.75" customHeight="true">
      <c r="A5481" s="33" t="str">
        <f t="shared" si="340"/>
        <v>HN2 - CGS</v>
      </c>
      <c r="B5481" s="33" t="str">
        <f t="shared" si="341"/>
        <v>HN2</v>
      </c>
      <c r="C5481" s="33" t="str">
        <f t="shared" si="342"/>
        <v>50007-7626</v>
      </c>
      <c r="D5481" s="64" t="s">
        <v>6555</v>
      </c>
      <c r="E5481" s="64" t="s">
        <v>2895</v>
      </c>
      <c r="F5481" s="64" t="s">
        <v>15</v>
      </c>
      <c r="G5481" s="64" t="s">
        <v>2889</v>
      </c>
      <c r="H5481" s="64" t="s">
        <v>1875</v>
      </c>
      <c r="I5481" s="64" t="s">
        <v>2890</v>
      </c>
      <c r="J5481" s="67">
        <v>14622.97</v>
      </c>
      <c r="K5481" s="62">
        <v>128002.45</v>
      </c>
      <c r="L5481" s="33" t="e">
        <f>HLOOKUP(B5481,#REF!,1,0)</f>
        <v>#REF!</v>
      </c>
      <c r="M5481" s="33" t="str">
        <f t="shared" si="343"/>
        <v>P&amp;L</v>
      </c>
    </row>
    <row r="5482" spans="1:13" s="33" customFormat="true" ht="12.75" customHeight="true">
      <c r="A5482" s="33" t="str">
        <f t="shared" si="340"/>
        <v>HN2 - CGS</v>
      </c>
      <c r="B5482" s="33" t="str">
        <f t="shared" si="341"/>
        <v>HN2</v>
      </c>
      <c r="C5482" s="33" t="str">
        <f t="shared" si="342"/>
        <v>50099-7358</v>
      </c>
      <c r="D5482" s="64" t="s">
        <v>6556</v>
      </c>
      <c r="E5482" s="64" t="s">
        <v>2900</v>
      </c>
      <c r="F5482" s="64" t="s">
        <v>15</v>
      </c>
      <c r="G5482" s="64" t="s">
        <v>2889</v>
      </c>
      <c r="H5482" s="64" t="s">
        <v>1875</v>
      </c>
      <c r="I5482" s="64" t="s">
        <v>2901</v>
      </c>
      <c r="J5482" s="67">
        <v>-18677.37</v>
      </c>
      <c r="K5482" s="62">
        <v>-177474.93</v>
      </c>
      <c r="L5482" s="33" t="e">
        <f>HLOOKUP(B5482,#REF!,1,0)</f>
        <v>#REF!</v>
      </c>
      <c r="M5482" s="33" t="str">
        <f t="shared" si="343"/>
        <v>P&amp;L</v>
      </c>
    </row>
    <row r="5483" spans="1:13" s="33" customFormat="true" ht="12.75" customHeight="true">
      <c r="A5483" s="33" t="str">
        <f t="shared" si="340"/>
        <v>HN2 - CGS</v>
      </c>
      <c r="B5483" s="33" t="str">
        <f t="shared" si="341"/>
        <v>HN2</v>
      </c>
      <c r="C5483" s="33" t="str">
        <f t="shared" si="342"/>
        <v>50099-7372</v>
      </c>
      <c r="D5483" s="64" t="s">
        <v>6557</v>
      </c>
      <c r="E5483" s="64" t="s">
        <v>2900</v>
      </c>
      <c r="F5483" s="64" t="s">
        <v>15</v>
      </c>
      <c r="G5483" s="64" t="s">
        <v>2889</v>
      </c>
      <c r="H5483" s="64" t="s">
        <v>1875</v>
      </c>
      <c r="I5483" s="64" t="s">
        <v>2901</v>
      </c>
      <c r="J5483" s="67">
        <v>-21909.81</v>
      </c>
      <c r="K5483" s="62">
        <v>-193974.49</v>
      </c>
      <c r="L5483" s="33" t="e">
        <f>HLOOKUP(B5483,#REF!,1,0)</f>
        <v>#REF!</v>
      </c>
      <c r="M5483" s="33" t="str">
        <f t="shared" si="343"/>
        <v>P&amp;L</v>
      </c>
    </row>
    <row r="5484" spans="1:13" s="33" customFormat="true" ht="12.75" customHeight="true">
      <c r="A5484" s="33" t="str">
        <f t="shared" si="340"/>
        <v>HN2 - CGS</v>
      </c>
      <c r="B5484" s="33" t="str">
        <f t="shared" si="341"/>
        <v>HN2</v>
      </c>
      <c r="C5484" s="33" t="str">
        <f t="shared" si="342"/>
        <v>50099-7384</v>
      </c>
      <c r="D5484" s="64" t="s">
        <v>6558</v>
      </c>
      <c r="E5484" s="64" t="s">
        <v>2900</v>
      </c>
      <c r="F5484" s="64" t="s">
        <v>15</v>
      </c>
      <c r="G5484" s="64" t="s">
        <v>2889</v>
      </c>
      <c r="H5484" s="64" t="s">
        <v>1875</v>
      </c>
      <c r="I5484" s="64" t="s">
        <v>2901</v>
      </c>
      <c r="J5484" s="67">
        <v>-20705.3</v>
      </c>
      <c r="K5484" s="62">
        <v>-198367.56</v>
      </c>
      <c r="L5484" s="33" t="e">
        <f>HLOOKUP(B5484,#REF!,1,0)</f>
        <v>#REF!</v>
      </c>
      <c r="M5484" s="33" t="str">
        <f t="shared" si="343"/>
        <v>P&amp;L</v>
      </c>
    </row>
    <row r="5485" spans="1:13" s="33" customFormat="true" ht="12.75" customHeight="true">
      <c r="A5485" s="33" t="str">
        <f t="shared" si="340"/>
        <v>HN2 - CGS</v>
      </c>
      <c r="B5485" s="33" t="str">
        <f t="shared" si="341"/>
        <v>HN2</v>
      </c>
      <c r="C5485" s="33" t="str">
        <f t="shared" si="342"/>
        <v>50099-7626</v>
      </c>
      <c r="D5485" s="64" t="s">
        <v>6559</v>
      </c>
      <c r="E5485" s="64" t="s">
        <v>2900</v>
      </c>
      <c r="F5485" s="64" t="s">
        <v>15</v>
      </c>
      <c r="G5485" s="64" t="s">
        <v>2889</v>
      </c>
      <c r="H5485" s="64" t="s">
        <v>1875</v>
      </c>
      <c r="I5485" s="64" t="s">
        <v>2901</v>
      </c>
      <c r="J5485" s="67">
        <v>-10718.61</v>
      </c>
      <c r="K5485" s="62">
        <v>-127815.61</v>
      </c>
      <c r="L5485" s="33" t="e">
        <f>HLOOKUP(B5485,#REF!,1,0)</f>
        <v>#REF!</v>
      </c>
      <c r="M5485" s="33" t="str">
        <f t="shared" si="343"/>
        <v>P&amp;L</v>
      </c>
    </row>
    <row r="5486" spans="1:13" s="33" customFormat="true" ht="12.75" customHeight="true">
      <c r="A5486" s="33" t="str">
        <f t="shared" si="340"/>
        <v>HN2 - CGS</v>
      </c>
      <c r="B5486" s="33" t="str">
        <f t="shared" si="341"/>
        <v>HN2</v>
      </c>
      <c r="C5486" s="33" t="str">
        <f t="shared" si="342"/>
        <v>50100-7358</v>
      </c>
      <c r="D5486" s="64" t="s">
        <v>6560</v>
      </c>
      <c r="E5486" s="64" t="s">
        <v>2907</v>
      </c>
      <c r="F5486" s="64" t="s">
        <v>15</v>
      </c>
      <c r="G5486" s="64" t="s">
        <v>2889</v>
      </c>
      <c r="H5486" s="64" t="s">
        <v>1875</v>
      </c>
      <c r="I5486" s="64" t="s">
        <v>2908</v>
      </c>
      <c r="J5486" s="67">
        <v>18677.37</v>
      </c>
      <c r="K5486" s="62">
        <v>177474.93</v>
      </c>
      <c r="L5486" s="33" t="e">
        <f>HLOOKUP(B5486,#REF!,1,0)</f>
        <v>#REF!</v>
      </c>
      <c r="M5486" s="33" t="str">
        <f t="shared" si="343"/>
        <v>P&amp;L</v>
      </c>
    </row>
    <row r="5487" spans="1:13" s="33" customFormat="true" ht="12.75" customHeight="true">
      <c r="A5487" s="33" t="str">
        <f t="shared" si="340"/>
        <v>HN2 - CGS</v>
      </c>
      <c r="B5487" s="33" t="str">
        <f t="shared" si="341"/>
        <v>HN2</v>
      </c>
      <c r="C5487" s="33" t="str">
        <f t="shared" si="342"/>
        <v>50100-7372</v>
      </c>
      <c r="D5487" s="64" t="s">
        <v>6561</v>
      </c>
      <c r="E5487" s="64" t="s">
        <v>2907</v>
      </c>
      <c r="F5487" s="64" t="s">
        <v>15</v>
      </c>
      <c r="G5487" s="64" t="s">
        <v>2889</v>
      </c>
      <c r="H5487" s="64" t="s">
        <v>1875</v>
      </c>
      <c r="I5487" s="64" t="s">
        <v>2908</v>
      </c>
      <c r="J5487" s="67">
        <v>21909.81</v>
      </c>
      <c r="K5487" s="62">
        <v>193974.49</v>
      </c>
      <c r="L5487" s="33" t="e">
        <f>HLOOKUP(B5487,#REF!,1,0)</f>
        <v>#REF!</v>
      </c>
      <c r="M5487" s="33" t="str">
        <f t="shared" si="343"/>
        <v>P&amp;L</v>
      </c>
    </row>
    <row r="5488" spans="1:13" s="33" customFormat="true" ht="12.75" customHeight="true">
      <c r="A5488" s="33" t="str">
        <f t="shared" si="340"/>
        <v>HN2 - CGS</v>
      </c>
      <c r="B5488" s="33" t="str">
        <f t="shared" si="341"/>
        <v>HN2</v>
      </c>
      <c r="C5488" s="33" t="str">
        <f t="shared" si="342"/>
        <v>50100-7384</v>
      </c>
      <c r="D5488" s="64" t="s">
        <v>6562</v>
      </c>
      <c r="E5488" s="64" t="s">
        <v>2907</v>
      </c>
      <c r="F5488" s="64" t="s">
        <v>15</v>
      </c>
      <c r="G5488" s="64" t="s">
        <v>2889</v>
      </c>
      <c r="H5488" s="64" t="s">
        <v>1875</v>
      </c>
      <c r="I5488" s="64" t="s">
        <v>2908</v>
      </c>
      <c r="J5488" s="67">
        <v>20705.3</v>
      </c>
      <c r="K5488" s="62">
        <v>198367.56</v>
      </c>
      <c r="L5488" s="33" t="e">
        <f>HLOOKUP(B5488,#REF!,1,0)</f>
        <v>#REF!</v>
      </c>
      <c r="M5488" s="33" t="str">
        <f t="shared" si="343"/>
        <v>P&amp;L</v>
      </c>
    </row>
    <row r="5489" spans="1:13" s="33" customFormat="true" ht="12.75" customHeight="true">
      <c r="A5489" s="33" t="str">
        <f t="shared" si="340"/>
        <v>HN2 - CGS</v>
      </c>
      <c r="B5489" s="33" t="str">
        <f t="shared" si="341"/>
        <v>HN2</v>
      </c>
      <c r="C5489" s="33" t="str">
        <f t="shared" si="342"/>
        <v>50100-7626</v>
      </c>
      <c r="D5489" s="64" t="s">
        <v>6563</v>
      </c>
      <c r="E5489" s="64" t="s">
        <v>2907</v>
      </c>
      <c r="F5489" s="64" t="s">
        <v>15</v>
      </c>
      <c r="G5489" s="64" t="s">
        <v>2889</v>
      </c>
      <c r="H5489" s="64" t="s">
        <v>1875</v>
      </c>
      <c r="I5489" s="64" t="s">
        <v>2908</v>
      </c>
      <c r="J5489" s="67">
        <v>10718.61</v>
      </c>
      <c r="K5489" s="62">
        <v>127815.61</v>
      </c>
      <c r="L5489" s="33" t="e">
        <f>HLOOKUP(B5489,#REF!,1,0)</f>
        <v>#REF!</v>
      </c>
      <c r="M5489" s="33" t="str">
        <f t="shared" si="343"/>
        <v>P&amp;L</v>
      </c>
    </row>
    <row r="5490" spans="1:13" s="33" customFormat="true" ht="12.75" customHeight="true">
      <c r="A5490" s="33" t="str">
        <f t="shared" si="340"/>
        <v>HN2 - CGS</v>
      </c>
      <c r="B5490" s="33" t="str">
        <f t="shared" si="341"/>
        <v>HN2</v>
      </c>
      <c r="C5490" s="33" t="str">
        <f t="shared" si="342"/>
        <v>51001-7358</v>
      </c>
      <c r="D5490" s="64" t="s">
        <v>6564</v>
      </c>
      <c r="E5490" s="64" t="s">
        <v>2914</v>
      </c>
      <c r="F5490" s="64" t="s">
        <v>15</v>
      </c>
      <c r="G5490" s="64" t="s">
        <v>2889</v>
      </c>
      <c r="H5490" s="64" t="s">
        <v>1875</v>
      </c>
      <c r="I5490" s="64" t="s">
        <v>2915</v>
      </c>
      <c r="J5490" s="67">
        <v>1206.34</v>
      </c>
      <c r="K5490" s="62">
        <v>15907.2</v>
      </c>
      <c r="L5490" s="33" t="e">
        <f>HLOOKUP(B5490,#REF!,1,0)</f>
        <v>#REF!</v>
      </c>
      <c r="M5490" s="33" t="str">
        <f t="shared" si="343"/>
        <v>P&amp;L</v>
      </c>
    </row>
    <row r="5491" spans="1:13" s="33" customFormat="true" ht="12.75" customHeight="true">
      <c r="A5491" s="33" t="str">
        <f t="shared" si="340"/>
        <v>HN2 - CGS</v>
      </c>
      <c r="B5491" s="33" t="str">
        <f t="shared" si="341"/>
        <v>HN2</v>
      </c>
      <c r="C5491" s="33" t="str">
        <f t="shared" si="342"/>
        <v>51001-7372</v>
      </c>
      <c r="D5491" s="64" t="s">
        <v>6565</v>
      </c>
      <c r="E5491" s="64" t="s">
        <v>2914</v>
      </c>
      <c r="F5491" s="64" t="s">
        <v>15</v>
      </c>
      <c r="G5491" s="64" t="s">
        <v>2889</v>
      </c>
      <c r="H5491" s="64" t="s">
        <v>1875</v>
      </c>
      <c r="I5491" s="64" t="s">
        <v>2915</v>
      </c>
      <c r="J5491" s="67">
        <v>1711.17</v>
      </c>
      <c r="K5491" s="62">
        <v>17204.83</v>
      </c>
      <c r="L5491" s="33" t="e">
        <f>HLOOKUP(B5491,#REF!,1,0)</f>
        <v>#REF!</v>
      </c>
      <c r="M5491" s="33" t="str">
        <f t="shared" si="343"/>
        <v>P&amp;L</v>
      </c>
    </row>
    <row r="5492" spans="1:13" s="33" customFormat="true" ht="12.75" customHeight="true">
      <c r="A5492" s="33" t="str">
        <f t="shared" si="340"/>
        <v>HN2 - CGS</v>
      </c>
      <c r="B5492" s="33" t="str">
        <f t="shared" si="341"/>
        <v>HN2</v>
      </c>
      <c r="C5492" s="33" t="str">
        <f t="shared" si="342"/>
        <v>51001-7384</v>
      </c>
      <c r="D5492" s="64" t="s">
        <v>6566</v>
      </c>
      <c r="E5492" s="64" t="s">
        <v>2914</v>
      </c>
      <c r="F5492" s="64" t="s">
        <v>15</v>
      </c>
      <c r="G5492" s="64" t="s">
        <v>2889</v>
      </c>
      <c r="H5492" s="64" t="s">
        <v>1875</v>
      </c>
      <c r="I5492" s="64" t="s">
        <v>2915</v>
      </c>
      <c r="J5492" s="67">
        <v>1446</v>
      </c>
      <c r="K5492" s="62">
        <v>17730.95</v>
      </c>
      <c r="L5492" s="33" t="e">
        <f>HLOOKUP(B5492,#REF!,1,0)</f>
        <v>#REF!</v>
      </c>
      <c r="M5492" s="33" t="str">
        <f t="shared" si="343"/>
        <v>P&amp;L</v>
      </c>
    </row>
    <row r="5493" spans="1:13" s="33" customFormat="true" ht="12.75" customHeight="true">
      <c r="A5493" s="33" t="str">
        <f t="shared" si="340"/>
        <v>HN2 - CGS</v>
      </c>
      <c r="B5493" s="33" t="str">
        <f t="shared" si="341"/>
        <v>HN2</v>
      </c>
      <c r="C5493" s="33" t="str">
        <f t="shared" si="342"/>
        <v>51001-7626</v>
      </c>
      <c r="D5493" s="64" t="s">
        <v>6567</v>
      </c>
      <c r="E5493" s="64" t="s">
        <v>2914</v>
      </c>
      <c r="F5493" s="64" t="s">
        <v>15</v>
      </c>
      <c r="G5493" s="64" t="s">
        <v>2889</v>
      </c>
      <c r="H5493" s="64" t="s">
        <v>1875</v>
      </c>
      <c r="I5493" s="64" t="s">
        <v>2915</v>
      </c>
      <c r="J5493" s="67">
        <v>765.27</v>
      </c>
      <c r="K5493" s="62">
        <v>9849.73</v>
      </c>
      <c r="L5493" s="33" t="e">
        <f>HLOOKUP(B5493,#REF!,1,0)</f>
        <v>#REF!</v>
      </c>
      <c r="M5493" s="33" t="str">
        <f t="shared" si="343"/>
        <v>P&amp;L</v>
      </c>
    </row>
    <row r="5494" spans="1:13" s="33" customFormat="true" ht="12.75" customHeight="true">
      <c r="A5494" s="33" t="str">
        <f t="shared" si="340"/>
        <v>HN2 - CGS</v>
      </c>
      <c r="B5494" s="33" t="str">
        <f t="shared" si="341"/>
        <v>HN2</v>
      </c>
      <c r="C5494" s="33" t="str">
        <f t="shared" si="342"/>
        <v>52001-7358</v>
      </c>
      <c r="D5494" s="64" t="s">
        <v>6568</v>
      </c>
      <c r="E5494" s="64" t="s">
        <v>2920</v>
      </c>
      <c r="F5494" s="64" t="s">
        <v>15</v>
      </c>
      <c r="G5494" s="64" t="s">
        <v>2921</v>
      </c>
      <c r="H5494" s="64" t="s">
        <v>1875</v>
      </c>
      <c r="I5494" s="64" t="s">
        <v>2922</v>
      </c>
      <c r="J5494" s="67">
        <v>19152.37</v>
      </c>
      <c r="K5494" s="62">
        <v>193886.92</v>
      </c>
      <c r="L5494" s="33" t="e">
        <f>HLOOKUP(B5494,#REF!,1,0)</f>
        <v>#REF!</v>
      </c>
      <c r="M5494" s="33" t="str">
        <f t="shared" si="343"/>
        <v>P&amp;L</v>
      </c>
    </row>
    <row r="5495" spans="1:13" s="33" customFormat="true" ht="12.75" customHeight="true">
      <c r="A5495" s="33" t="str">
        <f t="shared" si="340"/>
        <v>HN2 - CGS</v>
      </c>
      <c r="B5495" s="33" t="str">
        <f t="shared" si="341"/>
        <v>HN2</v>
      </c>
      <c r="C5495" s="33" t="str">
        <f t="shared" si="342"/>
        <v>52001-7372</v>
      </c>
      <c r="D5495" s="64" t="s">
        <v>6569</v>
      </c>
      <c r="E5495" s="64" t="s">
        <v>2920</v>
      </c>
      <c r="F5495" s="64" t="s">
        <v>15</v>
      </c>
      <c r="G5495" s="64" t="s">
        <v>2921</v>
      </c>
      <c r="H5495" s="64" t="s">
        <v>1875</v>
      </c>
      <c r="I5495" s="64" t="s">
        <v>2922</v>
      </c>
      <c r="J5495" s="67">
        <v>17105.39</v>
      </c>
      <c r="K5495" s="62">
        <v>184252.52</v>
      </c>
      <c r="L5495" s="33" t="e">
        <f>HLOOKUP(B5495,#REF!,1,0)</f>
        <v>#REF!</v>
      </c>
      <c r="M5495" s="33" t="str">
        <f t="shared" si="343"/>
        <v>P&amp;L</v>
      </c>
    </row>
    <row r="5496" spans="1:13" s="33" customFormat="true" ht="12.75" customHeight="true">
      <c r="A5496" s="33" t="str">
        <f t="shared" si="340"/>
        <v>HN2 - CGS</v>
      </c>
      <c r="B5496" s="33" t="str">
        <f t="shared" si="341"/>
        <v>HN2</v>
      </c>
      <c r="C5496" s="33" t="str">
        <f t="shared" si="342"/>
        <v>52001-7384</v>
      </c>
      <c r="D5496" s="64" t="s">
        <v>6570</v>
      </c>
      <c r="E5496" s="64" t="s">
        <v>2920</v>
      </c>
      <c r="F5496" s="64" t="s">
        <v>15</v>
      </c>
      <c r="G5496" s="64" t="s">
        <v>2921</v>
      </c>
      <c r="H5496" s="64" t="s">
        <v>1875</v>
      </c>
      <c r="I5496" s="64" t="s">
        <v>2922</v>
      </c>
      <c r="J5496" s="67">
        <v>14887.15</v>
      </c>
      <c r="K5496" s="62">
        <v>165195.96</v>
      </c>
      <c r="L5496" s="33" t="e">
        <f>HLOOKUP(B5496,#REF!,1,0)</f>
        <v>#REF!</v>
      </c>
      <c r="M5496" s="33" t="str">
        <f t="shared" si="343"/>
        <v>P&amp;L</v>
      </c>
    </row>
    <row r="5497" spans="1:13" s="33" customFormat="true" ht="12.75" customHeight="true">
      <c r="A5497" s="33" t="str">
        <f t="shared" si="340"/>
        <v>HN2 - CGS</v>
      </c>
      <c r="B5497" s="33" t="str">
        <f t="shared" si="341"/>
        <v>HN2</v>
      </c>
      <c r="C5497" s="33" t="str">
        <f t="shared" si="342"/>
        <v>52001-7626</v>
      </c>
      <c r="D5497" s="64" t="s">
        <v>6571</v>
      </c>
      <c r="E5497" s="64" t="s">
        <v>2920</v>
      </c>
      <c r="F5497" s="64" t="s">
        <v>15</v>
      </c>
      <c r="G5497" s="64" t="s">
        <v>2921</v>
      </c>
      <c r="H5497" s="64" t="s">
        <v>1875</v>
      </c>
      <c r="I5497" s="64" t="s">
        <v>2922</v>
      </c>
      <c r="J5497" s="67">
        <v>8834.95</v>
      </c>
      <c r="K5497" s="62">
        <v>128100.46</v>
      </c>
      <c r="L5497" s="33" t="e">
        <f>HLOOKUP(B5497,#REF!,1,0)</f>
        <v>#REF!</v>
      </c>
      <c r="M5497" s="33" t="str">
        <f t="shared" si="343"/>
        <v>P&amp;L</v>
      </c>
    </row>
    <row r="5498" spans="1:13" s="33" customFormat="true" ht="12.75" customHeight="true">
      <c r="A5498" s="33" t="str">
        <f t="shared" si="340"/>
        <v>HN2 - CGS</v>
      </c>
      <c r="B5498" s="33" t="str">
        <f t="shared" si="341"/>
        <v>HN2</v>
      </c>
      <c r="C5498" s="33" t="str">
        <f t="shared" si="342"/>
        <v>52002-7358</v>
      </c>
      <c r="D5498" s="64" t="s">
        <v>6572</v>
      </c>
      <c r="E5498" s="64" t="s">
        <v>2927</v>
      </c>
      <c r="F5498" s="64" t="s">
        <v>15</v>
      </c>
      <c r="G5498" s="64" t="s">
        <v>2921</v>
      </c>
      <c r="H5498" s="64" t="s">
        <v>1875</v>
      </c>
      <c r="I5498" s="64" t="s">
        <v>2928</v>
      </c>
      <c r="J5498" s="67">
        <v>2465.44</v>
      </c>
      <c r="K5498" s="62">
        <v>24308.59</v>
      </c>
      <c r="L5498" s="33" t="e">
        <f>HLOOKUP(B5498,#REF!,1,0)</f>
        <v>#REF!</v>
      </c>
      <c r="M5498" s="33" t="str">
        <f t="shared" si="343"/>
        <v>P&amp;L</v>
      </c>
    </row>
    <row r="5499" spans="1:13" s="33" customFormat="true" ht="12.75" customHeight="true">
      <c r="A5499" s="33" t="str">
        <f t="shared" si="340"/>
        <v>HN2 - CGS</v>
      </c>
      <c r="B5499" s="33" t="str">
        <f t="shared" si="341"/>
        <v>HN2</v>
      </c>
      <c r="C5499" s="33" t="str">
        <f t="shared" si="342"/>
        <v>52002-7372</v>
      </c>
      <c r="D5499" s="64" t="s">
        <v>6573</v>
      </c>
      <c r="E5499" s="64" t="s">
        <v>2927</v>
      </c>
      <c r="F5499" s="64" t="s">
        <v>15</v>
      </c>
      <c r="G5499" s="64" t="s">
        <v>2921</v>
      </c>
      <c r="H5499" s="64" t="s">
        <v>1875</v>
      </c>
      <c r="I5499" s="64" t="s">
        <v>2928</v>
      </c>
      <c r="J5499" s="67">
        <v>1437.26</v>
      </c>
      <c r="K5499" s="62">
        <v>50966.53</v>
      </c>
      <c r="L5499" s="33" t="e">
        <f>HLOOKUP(B5499,#REF!,1,0)</f>
        <v>#REF!</v>
      </c>
      <c r="M5499" s="33" t="str">
        <f t="shared" si="343"/>
        <v>P&amp;L</v>
      </c>
    </row>
    <row r="5500" spans="1:13" s="33" customFormat="true" ht="12.75" customHeight="true">
      <c r="A5500" s="33" t="str">
        <f t="shared" si="340"/>
        <v>HN2 - CGS</v>
      </c>
      <c r="B5500" s="33" t="str">
        <f t="shared" si="341"/>
        <v>HN2</v>
      </c>
      <c r="C5500" s="33" t="str">
        <f t="shared" si="342"/>
        <v>52002-7384</v>
      </c>
      <c r="D5500" s="64" t="s">
        <v>6574</v>
      </c>
      <c r="E5500" s="64" t="s">
        <v>2927</v>
      </c>
      <c r="F5500" s="64" t="s">
        <v>15</v>
      </c>
      <c r="G5500" s="64" t="s">
        <v>2921</v>
      </c>
      <c r="H5500" s="64" t="s">
        <v>1875</v>
      </c>
      <c r="I5500" s="64" t="s">
        <v>2928</v>
      </c>
      <c r="J5500" s="67">
        <v>7342.3</v>
      </c>
      <c r="K5500" s="62">
        <v>48931.66</v>
      </c>
      <c r="L5500" s="33" t="e">
        <f>HLOOKUP(B5500,#REF!,1,0)</f>
        <v>#REF!</v>
      </c>
      <c r="M5500" s="33" t="str">
        <f t="shared" si="343"/>
        <v>P&amp;L</v>
      </c>
    </row>
    <row r="5501" spans="1:13" s="33" customFormat="true" ht="12.75" customHeight="true">
      <c r="A5501" s="33" t="str">
        <f t="shared" si="340"/>
        <v>HN2 - CGS</v>
      </c>
      <c r="B5501" s="33" t="str">
        <f t="shared" si="341"/>
        <v>HN2</v>
      </c>
      <c r="C5501" s="33" t="str">
        <f t="shared" si="342"/>
        <v>52002-7626</v>
      </c>
      <c r="D5501" s="64" t="s">
        <v>6575</v>
      </c>
      <c r="E5501" s="64" t="s">
        <v>2927</v>
      </c>
      <c r="F5501" s="64" t="s">
        <v>15</v>
      </c>
      <c r="G5501" s="64" t="s">
        <v>2921</v>
      </c>
      <c r="H5501" s="64" t="s">
        <v>1875</v>
      </c>
      <c r="I5501" s="64" t="s">
        <v>2928</v>
      </c>
      <c r="J5501" s="67">
        <v>4409.16</v>
      </c>
      <c r="K5501" s="62">
        <v>71875.69</v>
      </c>
      <c r="L5501" s="33" t="e">
        <f>HLOOKUP(B5501,#REF!,1,0)</f>
        <v>#REF!</v>
      </c>
      <c r="M5501" s="33" t="str">
        <f t="shared" si="343"/>
        <v>P&amp;L</v>
      </c>
    </row>
    <row r="5502" spans="1:13" s="33" customFormat="true" ht="12.75" customHeight="true">
      <c r="A5502" s="33" t="str">
        <f t="shared" si="340"/>
        <v>HN2 - CGS</v>
      </c>
      <c r="B5502" s="33" t="str">
        <f t="shared" si="341"/>
        <v>HN2</v>
      </c>
      <c r="C5502" s="33" t="str">
        <f t="shared" si="342"/>
        <v>52003-7358</v>
      </c>
      <c r="D5502" s="64" t="s">
        <v>6576</v>
      </c>
      <c r="E5502" s="64" t="s">
        <v>2933</v>
      </c>
      <c r="F5502" s="64" t="s">
        <v>15</v>
      </c>
      <c r="G5502" s="64" t="s">
        <v>2921</v>
      </c>
      <c r="H5502" s="64" t="s">
        <v>1875</v>
      </c>
      <c r="I5502" s="64" t="s">
        <v>2934</v>
      </c>
      <c r="J5502" s="67">
        <v>270.62</v>
      </c>
      <c r="K5502" s="62">
        <v>4370.54</v>
      </c>
      <c r="L5502" s="33" t="e">
        <f>HLOOKUP(B5502,#REF!,1,0)</f>
        <v>#REF!</v>
      </c>
      <c r="M5502" s="33" t="str">
        <f t="shared" si="343"/>
        <v>P&amp;L</v>
      </c>
    </row>
    <row r="5503" spans="1:13" s="33" customFormat="true" ht="12.75" customHeight="true">
      <c r="A5503" s="33" t="str">
        <f t="shared" si="340"/>
        <v>HN2 - CGS</v>
      </c>
      <c r="B5503" s="33" t="str">
        <f t="shared" si="341"/>
        <v>HN2</v>
      </c>
      <c r="C5503" s="33" t="str">
        <f t="shared" si="342"/>
        <v>52003-7372</v>
      </c>
      <c r="D5503" s="64" t="s">
        <v>6577</v>
      </c>
      <c r="E5503" s="64" t="s">
        <v>2933</v>
      </c>
      <c r="F5503" s="64" t="s">
        <v>15</v>
      </c>
      <c r="G5503" s="64" t="s">
        <v>2921</v>
      </c>
      <c r="H5503" s="64" t="s">
        <v>1875</v>
      </c>
      <c r="I5503" s="64" t="s">
        <v>2934</v>
      </c>
      <c r="J5503" s="67">
        <v>49.08</v>
      </c>
      <c r="K5503" s="62">
        <v>5730.57</v>
      </c>
      <c r="L5503" s="33" t="e">
        <f>HLOOKUP(B5503,#REF!,1,0)</f>
        <v>#REF!</v>
      </c>
      <c r="M5503" s="33" t="str">
        <f t="shared" si="343"/>
        <v>P&amp;L</v>
      </c>
    </row>
    <row r="5504" spans="1:13" s="33" customFormat="true" ht="12.75" customHeight="true">
      <c r="A5504" s="33" t="str">
        <f t="shared" si="340"/>
        <v>HN2 - CGS</v>
      </c>
      <c r="B5504" s="33" t="str">
        <f t="shared" si="341"/>
        <v>HN2</v>
      </c>
      <c r="C5504" s="33" t="str">
        <f t="shared" si="342"/>
        <v>52003-7384</v>
      </c>
      <c r="D5504" s="64" t="s">
        <v>6578</v>
      </c>
      <c r="E5504" s="64" t="s">
        <v>2933</v>
      </c>
      <c r="F5504" s="64" t="s">
        <v>15</v>
      </c>
      <c r="G5504" s="64" t="s">
        <v>2921</v>
      </c>
      <c r="H5504" s="64" t="s">
        <v>1875</v>
      </c>
      <c r="I5504" s="64" t="s">
        <v>2934</v>
      </c>
      <c r="J5504" s="67">
        <v>67.22</v>
      </c>
      <c r="K5504" s="62">
        <v>1931.6</v>
      </c>
      <c r="L5504" s="33" t="e">
        <f>HLOOKUP(B5504,#REF!,1,0)</f>
        <v>#REF!</v>
      </c>
      <c r="M5504" s="33" t="str">
        <f t="shared" si="343"/>
        <v>P&amp;L</v>
      </c>
    </row>
    <row r="5505" spans="1:13" s="33" customFormat="true" ht="12.75" customHeight="true">
      <c r="A5505" s="33" t="str">
        <f t="shared" si="340"/>
        <v>HN2 - CGS</v>
      </c>
      <c r="B5505" s="33" t="str">
        <f t="shared" si="341"/>
        <v>HN2</v>
      </c>
      <c r="C5505" s="33" t="str">
        <f t="shared" si="342"/>
        <v>52003-7626</v>
      </c>
      <c r="D5505" s="64" t="s">
        <v>6579</v>
      </c>
      <c r="E5505" s="64" t="s">
        <v>2933</v>
      </c>
      <c r="F5505" s="64" t="s">
        <v>15</v>
      </c>
      <c r="G5505" s="64" t="s">
        <v>2921</v>
      </c>
      <c r="H5505" s="64" t="s">
        <v>1875</v>
      </c>
      <c r="I5505" s="64" t="s">
        <v>2934</v>
      </c>
      <c r="J5505" s="67">
        <v>86.27</v>
      </c>
      <c r="K5505" s="62">
        <v>2176.3</v>
      </c>
      <c r="L5505" s="33" t="e">
        <f>HLOOKUP(B5505,#REF!,1,0)</f>
        <v>#REF!</v>
      </c>
      <c r="M5505" s="33" t="str">
        <f t="shared" si="343"/>
        <v>P&amp;L</v>
      </c>
    </row>
    <row r="5506" spans="1:13" s="33" customFormat="true" ht="12.75" customHeight="true">
      <c r="A5506" s="33" t="str">
        <f t="shared" ref="A5506:A5569" si="344">B5506&amp;" - "&amp;TRIM(H5506)</f>
        <v>HN2 - CGS</v>
      </c>
      <c r="B5506" s="33" t="str">
        <f t="shared" ref="B5506:B5569" si="345">LEFT(D5506,3)</f>
        <v>HN2</v>
      </c>
      <c r="C5506" s="33" t="str">
        <f t="shared" ref="C5506:C5569" si="346">RIGHT(D5506,10)</f>
        <v>52004-7358</v>
      </c>
      <c r="D5506" s="64" t="s">
        <v>6580</v>
      </c>
      <c r="E5506" s="64" t="s">
        <v>2939</v>
      </c>
      <c r="F5506" s="64" t="s">
        <v>15</v>
      </c>
      <c r="G5506" s="64" t="s">
        <v>2921</v>
      </c>
      <c r="H5506" s="64" t="s">
        <v>1875</v>
      </c>
      <c r="I5506" s="64" t="s">
        <v>2940</v>
      </c>
      <c r="J5506" s="67">
        <v>46.54</v>
      </c>
      <c r="K5506" s="62">
        <v>368.04</v>
      </c>
      <c r="L5506" s="33" t="e">
        <f>HLOOKUP(B5506,#REF!,1,0)</f>
        <v>#REF!</v>
      </c>
      <c r="M5506" s="33" t="str">
        <f t="shared" ref="M5506:M5569" si="347">IF(VALUE(LEFT(C5506,5))&gt;40000,"P&amp;L","BS")</f>
        <v>P&amp;L</v>
      </c>
    </row>
    <row r="5507" spans="1:13" s="33" customFormat="true" ht="12.75" customHeight="true">
      <c r="A5507" s="33" t="str">
        <f t="shared" si="344"/>
        <v>HN2 - CGS</v>
      </c>
      <c r="B5507" s="33" t="str">
        <f t="shared" si="345"/>
        <v>HN2</v>
      </c>
      <c r="C5507" s="33" t="str">
        <f t="shared" si="346"/>
        <v>52004-7372</v>
      </c>
      <c r="D5507" s="64" t="s">
        <v>6581</v>
      </c>
      <c r="E5507" s="64" t="s">
        <v>2939</v>
      </c>
      <c r="F5507" s="64" t="s">
        <v>15</v>
      </c>
      <c r="G5507" s="64" t="s">
        <v>2921</v>
      </c>
      <c r="H5507" s="64" t="s">
        <v>1875</v>
      </c>
      <c r="I5507" s="64" t="s">
        <v>2940</v>
      </c>
      <c r="J5507" s="67">
        <v>513.9</v>
      </c>
      <c r="K5507" s="62">
        <v>1913.41</v>
      </c>
      <c r="L5507" s="33" t="e">
        <f>HLOOKUP(B5507,#REF!,1,0)</f>
        <v>#REF!</v>
      </c>
      <c r="M5507" s="33" t="str">
        <f t="shared" si="347"/>
        <v>P&amp;L</v>
      </c>
    </row>
    <row r="5508" spans="1:13" s="33" customFormat="true" ht="12.75" customHeight="true">
      <c r="A5508" s="33" t="str">
        <f t="shared" si="344"/>
        <v>HN2 - CGS</v>
      </c>
      <c r="B5508" s="33" t="str">
        <f t="shared" si="345"/>
        <v>HN2</v>
      </c>
      <c r="C5508" s="33" t="str">
        <f t="shared" si="346"/>
        <v>52004-7384</v>
      </c>
      <c r="D5508" s="64" t="s">
        <v>6582</v>
      </c>
      <c r="E5508" s="64" t="s">
        <v>2939</v>
      </c>
      <c r="F5508" s="64" t="s">
        <v>15</v>
      </c>
      <c r="G5508" s="64" t="s">
        <v>2921</v>
      </c>
      <c r="H5508" s="64" t="s">
        <v>1875</v>
      </c>
      <c r="I5508" s="64" t="s">
        <v>2940</v>
      </c>
      <c r="J5508" s="67">
        <v>32.67</v>
      </c>
      <c r="K5508" s="62">
        <v>373.19</v>
      </c>
      <c r="L5508" s="33" t="e">
        <f>HLOOKUP(B5508,#REF!,1,0)</f>
        <v>#REF!</v>
      </c>
      <c r="M5508" s="33" t="str">
        <f t="shared" si="347"/>
        <v>P&amp;L</v>
      </c>
    </row>
    <row r="5509" spans="1:13" s="33" customFormat="true" ht="12.75" customHeight="true">
      <c r="A5509" s="33" t="str">
        <f t="shared" si="344"/>
        <v>HN2 - CGS</v>
      </c>
      <c r="B5509" s="33" t="str">
        <f t="shared" si="345"/>
        <v>HN2</v>
      </c>
      <c r="C5509" s="33" t="str">
        <f t="shared" si="346"/>
        <v>52004-7626</v>
      </c>
      <c r="D5509" s="64" t="s">
        <v>6583</v>
      </c>
      <c r="E5509" s="64" t="s">
        <v>2939</v>
      </c>
      <c r="F5509" s="64" t="s">
        <v>15</v>
      </c>
      <c r="G5509" s="64" t="s">
        <v>2921</v>
      </c>
      <c r="H5509" s="64" t="s">
        <v>1875</v>
      </c>
      <c r="I5509" s="64" t="s">
        <v>2940</v>
      </c>
      <c r="J5509" s="67">
        <v>74.47</v>
      </c>
      <c r="K5509" s="62">
        <v>623.7</v>
      </c>
      <c r="L5509" s="33" t="e">
        <f>HLOOKUP(B5509,#REF!,1,0)</f>
        <v>#REF!</v>
      </c>
      <c r="M5509" s="33" t="str">
        <f t="shared" si="347"/>
        <v>P&amp;L</v>
      </c>
    </row>
    <row r="5510" spans="1:13" s="33" customFormat="true" ht="12.75" customHeight="true">
      <c r="A5510" s="33" t="str">
        <f t="shared" si="344"/>
        <v>HN2 - CGS</v>
      </c>
      <c r="B5510" s="33" t="str">
        <f t="shared" si="345"/>
        <v>HN2</v>
      </c>
      <c r="C5510" s="33" t="str">
        <f t="shared" si="346"/>
        <v>52005-7358</v>
      </c>
      <c r="D5510" s="64" t="s">
        <v>6584</v>
      </c>
      <c r="E5510" s="64" t="s">
        <v>2945</v>
      </c>
      <c r="F5510" s="64" t="s">
        <v>15</v>
      </c>
      <c r="G5510" s="64" t="s">
        <v>2921</v>
      </c>
      <c r="H5510" s="64" t="s">
        <v>1875</v>
      </c>
      <c r="I5510" s="64" t="s">
        <v>2946</v>
      </c>
      <c r="J5510" s="67">
        <v>1113.6</v>
      </c>
      <c r="K5510" s="62">
        <v>5657.53</v>
      </c>
      <c r="L5510" s="33" t="e">
        <f>HLOOKUP(B5510,#REF!,1,0)</f>
        <v>#REF!</v>
      </c>
      <c r="M5510" s="33" t="str">
        <f t="shared" si="347"/>
        <v>P&amp;L</v>
      </c>
    </row>
    <row r="5511" spans="1:13" s="33" customFormat="true" ht="12.75" customHeight="true">
      <c r="A5511" s="33" t="str">
        <f t="shared" si="344"/>
        <v>HN2 - CGS</v>
      </c>
      <c r="B5511" s="33" t="str">
        <f t="shared" si="345"/>
        <v>HN2</v>
      </c>
      <c r="C5511" s="33" t="str">
        <f t="shared" si="346"/>
        <v>52005-7372</v>
      </c>
      <c r="D5511" s="64" t="s">
        <v>6585</v>
      </c>
      <c r="E5511" s="64" t="s">
        <v>2945</v>
      </c>
      <c r="F5511" s="64" t="s">
        <v>15</v>
      </c>
      <c r="G5511" s="64" t="s">
        <v>2921</v>
      </c>
      <c r="H5511" s="64" t="s">
        <v>1875</v>
      </c>
      <c r="I5511" s="64" t="s">
        <v>2946</v>
      </c>
      <c r="J5511" s="67">
        <v>0</v>
      </c>
      <c r="K5511" s="62">
        <v>1963.58</v>
      </c>
      <c r="L5511" s="33" t="e">
        <f>HLOOKUP(B5511,#REF!,1,0)</f>
        <v>#REF!</v>
      </c>
      <c r="M5511" s="33" t="str">
        <f t="shared" si="347"/>
        <v>P&amp;L</v>
      </c>
    </row>
    <row r="5512" spans="1:13" s="33" customFormat="true" ht="12.75" customHeight="true">
      <c r="A5512" s="33" t="str">
        <f t="shared" si="344"/>
        <v>HN2 - CGS</v>
      </c>
      <c r="B5512" s="33" t="str">
        <f t="shared" si="345"/>
        <v>HN2</v>
      </c>
      <c r="C5512" s="33" t="str">
        <f t="shared" si="346"/>
        <v>52005-7384</v>
      </c>
      <c r="D5512" s="64" t="s">
        <v>6586</v>
      </c>
      <c r="E5512" s="64" t="s">
        <v>2945</v>
      </c>
      <c r="F5512" s="64" t="s">
        <v>15</v>
      </c>
      <c r="G5512" s="64" t="s">
        <v>2921</v>
      </c>
      <c r="H5512" s="64" t="s">
        <v>1875</v>
      </c>
      <c r="I5512" s="64" t="s">
        <v>2946</v>
      </c>
      <c r="J5512" s="67">
        <v>432.48</v>
      </c>
      <c r="K5512" s="62">
        <v>4690.35</v>
      </c>
      <c r="L5512" s="33" t="e">
        <f>HLOOKUP(B5512,#REF!,1,0)</f>
        <v>#REF!</v>
      </c>
      <c r="M5512" s="33" t="str">
        <f t="shared" si="347"/>
        <v>P&amp;L</v>
      </c>
    </row>
    <row r="5513" spans="1:13" s="33" customFormat="true" ht="12.75" customHeight="true">
      <c r="A5513" s="33" t="str">
        <f t="shared" si="344"/>
        <v>HN2 - CGS</v>
      </c>
      <c r="B5513" s="33" t="str">
        <f t="shared" si="345"/>
        <v>HN2</v>
      </c>
      <c r="C5513" s="33" t="str">
        <f t="shared" si="346"/>
        <v>52005-7626</v>
      </c>
      <c r="D5513" s="64" t="s">
        <v>6587</v>
      </c>
      <c r="E5513" s="64" t="s">
        <v>2945</v>
      </c>
      <c r="F5513" s="64" t="s">
        <v>15</v>
      </c>
      <c r="G5513" s="64" t="s">
        <v>2921</v>
      </c>
      <c r="H5513" s="64" t="s">
        <v>1875</v>
      </c>
      <c r="I5513" s="64" t="s">
        <v>2946</v>
      </c>
      <c r="J5513" s="67">
        <v>544</v>
      </c>
      <c r="K5513" s="62">
        <v>5154.31</v>
      </c>
      <c r="L5513" s="33" t="e">
        <f>HLOOKUP(B5513,#REF!,1,0)</f>
        <v>#REF!</v>
      </c>
      <c r="M5513" s="33" t="str">
        <f t="shared" si="347"/>
        <v>P&amp;L</v>
      </c>
    </row>
    <row r="5514" spans="1:13" s="33" customFormat="true" ht="12.75" customHeight="true">
      <c r="A5514" s="33" t="str">
        <f t="shared" si="344"/>
        <v>HN2 - CGS</v>
      </c>
      <c r="B5514" s="33" t="str">
        <f t="shared" si="345"/>
        <v>HN2</v>
      </c>
      <c r="C5514" s="33" t="str">
        <f t="shared" si="346"/>
        <v>53001-7372</v>
      </c>
      <c r="D5514" s="64" t="s">
        <v>6588</v>
      </c>
      <c r="E5514" s="64" t="s">
        <v>3426</v>
      </c>
      <c r="F5514" s="64" t="s">
        <v>15</v>
      </c>
      <c r="G5514" s="64" t="s">
        <v>2921</v>
      </c>
      <c r="H5514" s="64" t="s">
        <v>1875</v>
      </c>
      <c r="I5514" s="64" t="s">
        <v>3427</v>
      </c>
      <c r="J5514" s="67">
        <v>2901.6</v>
      </c>
      <c r="K5514" s="62">
        <v>2901.6</v>
      </c>
      <c r="L5514" s="33" t="e">
        <f>HLOOKUP(B5514,#REF!,1,0)</f>
        <v>#REF!</v>
      </c>
      <c r="M5514" s="33" t="str">
        <f t="shared" si="347"/>
        <v>P&amp;L</v>
      </c>
    </row>
    <row r="5515" spans="1:13" s="33" customFormat="true" ht="12.75" customHeight="true">
      <c r="A5515" s="33" t="str">
        <f t="shared" si="344"/>
        <v>HN2 - CGS</v>
      </c>
      <c r="B5515" s="33" t="str">
        <f t="shared" si="345"/>
        <v>HN2</v>
      </c>
      <c r="C5515" s="33" t="str">
        <f t="shared" si="346"/>
        <v>53003-7358</v>
      </c>
      <c r="D5515" s="64" t="s">
        <v>6589</v>
      </c>
      <c r="E5515" s="64" t="s">
        <v>2954</v>
      </c>
      <c r="F5515" s="64" t="s">
        <v>15</v>
      </c>
      <c r="G5515" s="64" t="s">
        <v>2921</v>
      </c>
      <c r="H5515" s="64" t="s">
        <v>1875</v>
      </c>
      <c r="I5515" s="64" t="s">
        <v>2955</v>
      </c>
      <c r="J5515" s="67">
        <v>2597.08</v>
      </c>
      <c r="K5515" s="62">
        <v>31806.2</v>
      </c>
      <c r="L5515" s="33" t="e">
        <f>HLOOKUP(B5515,#REF!,1,0)</f>
        <v>#REF!</v>
      </c>
      <c r="M5515" s="33" t="str">
        <f t="shared" si="347"/>
        <v>P&amp;L</v>
      </c>
    </row>
    <row r="5516" spans="1:13" s="33" customFormat="true" ht="12.75" customHeight="true">
      <c r="A5516" s="33" t="str">
        <f t="shared" si="344"/>
        <v>HN2 - CGS</v>
      </c>
      <c r="B5516" s="33" t="str">
        <f t="shared" si="345"/>
        <v>HN2</v>
      </c>
      <c r="C5516" s="33" t="str">
        <f t="shared" si="346"/>
        <v>53003-7372</v>
      </c>
      <c r="D5516" s="64" t="s">
        <v>6590</v>
      </c>
      <c r="E5516" s="64" t="s">
        <v>2954</v>
      </c>
      <c r="F5516" s="64" t="s">
        <v>15</v>
      </c>
      <c r="G5516" s="64" t="s">
        <v>2921</v>
      </c>
      <c r="H5516" s="64" t="s">
        <v>1875</v>
      </c>
      <c r="I5516" s="64" t="s">
        <v>2955</v>
      </c>
      <c r="J5516" s="67">
        <v>4009.48</v>
      </c>
      <c r="K5516" s="62">
        <v>34609.44</v>
      </c>
      <c r="L5516" s="33" t="e">
        <f>HLOOKUP(B5516,#REF!,1,0)</f>
        <v>#REF!</v>
      </c>
      <c r="M5516" s="33" t="str">
        <f t="shared" si="347"/>
        <v>P&amp;L</v>
      </c>
    </row>
    <row r="5517" spans="1:13" s="33" customFormat="true" ht="12.75" customHeight="true">
      <c r="A5517" s="33" t="str">
        <f t="shared" si="344"/>
        <v>HN2 - CGS</v>
      </c>
      <c r="B5517" s="33" t="str">
        <f t="shared" si="345"/>
        <v>HN2</v>
      </c>
      <c r="C5517" s="33" t="str">
        <f t="shared" si="346"/>
        <v>53003-7384</v>
      </c>
      <c r="D5517" s="64" t="s">
        <v>6591</v>
      </c>
      <c r="E5517" s="64" t="s">
        <v>2954</v>
      </c>
      <c r="F5517" s="64" t="s">
        <v>15</v>
      </c>
      <c r="G5517" s="64" t="s">
        <v>2921</v>
      </c>
      <c r="H5517" s="64" t="s">
        <v>1875</v>
      </c>
      <c r="I5517" s="64" t="s">
        <v>2955</v>
      </c>
      <c r="J5517" s="67">
        <v>2450.72</v>
      </c>
      <c r="K5517" s="62">
        <v>29680.26</v>
      </c>
      <c r="L5517" s="33" t="e">
        <f>HLOOKUP(B5517,#REF!,1,0)</f>
        <v>#REF!</v>
      </c>
      <c r="M5517" s="33" t="str">
        <f t="shared" si="347"/>
        <v>P&amp;L</v>
      </c>
    </row>
    <row r="5518" spans="1:13" s="33" customFormat="true" ht="12.75" customHeight="true">
      <c r="A5518" s="33" t="str">
        <f t="shared" si="344"/>
        <v>HN2 - CGS</v>
      </c>
      <c r="B5518" s="33" t="str">
        <f t="shared" si="345"/>
        <v>HN2</v>
      </c>
      <c r="C5518" s="33" t="str">
        <f t="shared" si="346"/>
        <v>53003-7626</v>
      </c>
      <c r="D5518" s="64" t="s">
        <v>6592</v>
      </c>
      <c r="E5518" s="64" t="s">
        <v>2954</v>
      </c>
      <c r="F5518" s="64" t="s">
        <v>15</v>
      </c>
      <c r="G5518" s="64" t="s">
        <v>2921</v>
      </c>
      <c r="H5518" s="64" t="s">
        <v>1875</v>
      </c>
      <c r="I5518" s="64" t="s">
        <v>2955</v>
      </c>
      <c r="J5518" s="67">
        <v>4384.02</v>
      </c>
      <c r="K5518" s="62">
        <v>36637.83</v>
      </c>
      <c r="L5518" s="33" t="e">
        <f>HLOOKUP(B5518,#REF!,1,0)</f>
        <v>#REF!</v>
      </c>
      <c r="M5518" s="33" t="str">
        <f t="shared" si="347"/>
        <v>P&amp;L</v>
      </c>
    </row>
    <row r="5519" spans="1:13" s="33" customFormat="true" ht="12.75" customHeight="true">
      <c r="A5519" s="33" t="str">
        <f t="shared" si="344"/>
        <v>HN2 - CGS</v>
      </c>
      <c r="B5519" s="33" t="str">
        <f t="shared" si="345"/>
        <v>HN2</v>
      </c>
      <c r="C5519" s="33" t="str">
        <f t="shared" si="346"/>
        <v>53004-7358</v>
      </c>
      <c r="D5519" s="64" t="s">
        <v>6593</v>
      </c>
      <c r="E5519" s="64" t="s">
        <v>2960</v>
      </c>
      <c r="F5519" s="64" t="s">
        <v>15</v>
      </c>
      <c r="G5519" s="64" t="s">
        <v>2921</v>
      </c>
      <c r="H5519" s="64" t="s">
        <v>1875</v>
      </c>
      <c r="I5519" s="64" t="s">
        <v>2961</v>
      </c>
      <c r="J5519" s="67">
        <v>349.65</v>
      </c>
      <c r="K5519" s="62">
        <v>6756.84</v>
      </c>
      <c r="L5519" s="33" t="e">
        <f>HLOOKUP(B5519,#REF!,1,0)</f>
        <v>#REF!</v>
      </c>
      <c r="M5519" s="33" t="str">
        <f t="shared" si="347"/>
        <v>P&amp;L</v>
      </c>
    </row>
    <row r="5520" spans="1:13" s="33" customFormat="true" ht="12.75" customHeight="true">
      <c r="A5520" s="33" t="str">
        <f t="shared" si="344"/>
        <v>HN2 - CGS</v>
      </c>
      <c r="B5520" s="33" t="str">
        <f t="shared" si="345"/>
        <v>HN2</v>
      </c>
      <c r="C5520" s="33" t="str">
        <f t="shared" si="346"/>
        <v>53004-7372</v>
      </c>
      <c r="D5520" s="64" t="s">
        <v>6594</v>
      </c>
      <c r="E5520" s="64" t="s">
        <v>2960</v>
      </c>
      <c r="F5520" s="64" t="s">
        <v>15</v>
      </c>
      <c r="G5520" s="64" t="s">
        <v>2921</v>
      </c>
      <c r="H5520" s="64" t="s">
        <v>1875</v>
      </c>
      <c r="I5520" s="64" t="s">
        <v>2961</v>
      </c>
      <c r="J5520" s="67">
        <v>340.31</v>
      </c>
      <c r="K5520" s="62">
        <v>5280.28</v>
      </c>
      <c r="L5520" s="33" t="e">
        <f>HLOOKUP(B5520,#REF!,1,0)</f>
        <v>#REF!</v>
      </c>
      <c r="M5520" s="33" t="str">
        <f t="shared" si="347"/>
        <v>P&amp;L</v>
      </c>
    </row>
    <row r="5521" spans="1:13" s="33" customFormat="true" ht="12.75" customHeight="true">
      <c r="A5521" s="33" t="str">
        <f t="shared" si="344"/>
        <v>HN2 - CGS</v>
      </c>
      <c r="B5521" s="33" t="str">
        <f t="shared" si="345"/>
        <v>HN2</v>
      </c>
      <c r="C5521" s="33" t="str">
        <f t="shared" si="346"/>
        <v>53004-7384</v>
      </c>
      <c r="D5521" s="64" t="s">
        <v>6595</v>
      </c>
      <c r="E5521" s="64" t="s">
        <v>2960</v>
      </c>
      <c r="F5521" s="64" t="s">
        <v>15</v>
      </c>
      <c r="G5521" s="64" t="s">
        <v>2921</v>
      </c>
      <c r="H5521" s="64" t="s">
        <v>1875</v>
      </c>
      <c r="I5521" s="64" t="s">
        <v>2961</v>
      </c>
      <c r="J5521" s="67">
        <v>710.35</v>
      </c>
      <c r="K5521" s="62">
        <v>11870.65</v>
      </c>
      <c r="L5521" s="33" t="e">
        <f>HLOOKUP(B5521,#REF!,1,0)</f>
        <v>#REF!</v>
      </c>
      <c r="M5521" s="33" t="str">
        <f t="shared" si="347"/>
        <v>P&amp;L</v>
      </c>
    </row>
    <row r="5522" spans="1:13" s="33" customFormat="true" ht="12.75" customHeight="true">
      <c r="A5522" s="33" t="str">
        <f t="shared" si="344"/>
        <v>HN2 - CGS</v>
      </c>
      <c r="B5522" s="33" t="str">
        <f t="shared" si="345"/>
        <v>HN2</v>
      </c>
      <c r="C5522" s="33" t="str">
        <f t="shared" si="346"/>
        <v>53004-7626</v>
      </c>
      <c r="D5522" s="64" t="s">
        <v>6596</v>
      </c>
      <c r="E5522" s="64" t="s">
        <v>2960</v>
      </c>
      <c r="F5522" s="64" t="s">
        <v>15</v>
      </c>
      <c r="G5522" s="64" t="s">
        <v>2921</v>
      </c>
      <c r="H5522" s="64" t="s">
        <v>1875</v>
      </c>
      <c r="I5522" s="64" t="s">
        <v>2961</v>
      </c>
      <c r="J5522" s="67">
        <v>461.86</v>
      </c>
      <c r="K5522" s="62">
        <v>4991.13</v>
      </c>
      <c r="L5522" s="33" t="e">
        <f>HLOOKUP(B5522,#REF!,1,0)</f>
        <v>#REF!</v>
      </c>
      <c r="M5522" s="33" t="str">
        <f t="shared" si="347"/>
        <v>P&amp;L</v>
      </c>
    </row>
    <row r="5523" spans="1:13" s="33" customFormat="true" ht="12.75" customHeight="true">
      <c r="A5523" s="33" t="str">
        <f t="shared" si="344"/>
        <v>HN2 - CGS</v>
      </c>
      <c r="B5523" s="33" t="str">
        <f t="shared" si="345"/>
        <v>HN2</v>
      </c>
      <c r="C5523" s="33" t="str">
        <f t="shared" si="346"/>
        <v>53005-7372</v>
      </c>
      <c r="D5523" s="64" t="s">
        <v>6597</v>
      </c>
      <c r="E5523" s="64" t="s">
        <v>2966</v>
      </c>
      <c r="F5523" s="64" t="s">
        <v>15</v>
      </c>
      <c r="G5523" s="64" t="s">
        <v>2921</v>
      </c>
      <c r="H5523" s="64" t="s">
        <v>1875</v>
      </c>
      <c r="I5523" s="64" t="s">
        <v>2946</v>
      </c>
      <c r="J5523" s="67">
        <v>0</v>
      </c>
      <c r="K5523" s="62">
        <v>664.74</v>
      </c>
      <c r="L5523" s="33" t="e">
        <f>HLOOKUP(B5523,#REF!,1,0)</f>
        <v>#REF!</v>
      </c>
      <c r="M5523" s="33" t="str">
        <f t="shared" si="347"/>
        <v>P&amp;L</v>
      </c>
    </row>
    <row r="5524" spans="1:13" s="33" customFormat="true" ht="12.75" customHeight="true">
      <c r="A5524" s="33" t="str">
        <f t="shared" si="344"/>
        <v>HN2 - CGS</v>
      </c>
      <c r="B5524" s="33" t="str">
        <f t="shared" si="345"/>
        <v>HN2</v>
      </c>
      <c r="C5524" s="33" t="str">
        <f t="shared" si="346"/>
        <v>53005-7626</v>
      </c>
      <c r="D5524" s="64" t="s">
        <v>6598</v>
      </c>
      <c r="E5524" s="64" t="s">
        <v>2966</v>
      </c>
      <c r="F5524" s="64" t="s">
        <v>15</v>
      </c>
      <c r="G5524" s="64" t="s">
        <v>2921</v>
      </c>
      <c r="H5524" s="64" t="s">
        <v>1875</v>
      </c>
      <c r="I5524" s="64" t="s">
        <v>2946</v>
      </c>
      <c r="J5524" s="67">
        <v>0</v>
      </c>
      <c r="K5524" s="62">
        <v>1265.69</v>
      </c>
      <c r="L5524" s="33" t="e">
        <f>HLOOKUP(B5524,#REF!,1,0)</f>
        <v>#REF!</v>
      </c>
      <c r="M5524" s="33" t="str">
        <f t="shared" si="347"/>
        <v>P&amp;L</v>
      </c>
    </row>
    <row r="5525" spans="1:13" s="33" customFormat="true" ht="12.75" customHeight="true">
      <c r="A5525" s="33" t="str">
        <f t="shared" si="344"/>
        <v>HN2 - CGS</v>
      </c>
      <c r="B5525" s="33" t="str">
        <f t="shared" si="345"/>
        <v>HN2</v>
      </c>
      <c r="C5525" s="33" t="str">
        <f t="shared" si="346"/>
        <v>53006-7358</v>
      </c>
      <c r="D5525" s="64" t="s">
        <v>6599</v>
      </c>
      <c r="E5525" s="64" t="s">
        <v>2970</v>
      </c>
      <c r="F5525" s="64" t="s">
        <v>15</v>
      </c>
      <c r="G5525" s="64" t="s">
        <v>2921</v>
      </c>
      <c r="H5525" s="64" t="s">
        <v>1875</v>
      </c>
      <c r="I5525" s="64" t="s">
        <v>2946</v>
      </c>
      <c r="J5525" s="67">
        <v>0</v>
      </c>
      <c r="K5525" s="62">
        <v>1260.27</v>
      </c>
      <c r="L5525" s="33" t="e">
        <f>HLOOKUP(B5525,#REF!,1,0)</f>
        <v>#REF!</v>
      </c>
      <c r="M5525" s="33" t="str">
        <f t="shared" si="347"/>
        <v>P&amp;L</v>
      </c>
    </row>
    <row r="5526" spans="1:13" s="33" customFormat="true" ht="12.75" customHeight="true">
      <c r="A5526" s="33" t="str">
        <f t="shared" si="344"/>
        <v>HN2 - CGS</v>
      </c>
      <c r="B5526" s="33" t="str">
        <f t="shared" si="345"/>
        <v>HN2</v>
      </c>
      <c r="C5526" s="33" t="str">
        <f t="shared" si="346"/>
        <v>53006-7372</v>
      </c>
      <c r="D5526" s="64" t="s">
        <v>6600</v>
      </c>
      <c r="E5526" s="64" t="s">
        <v>2970</v>
      </c>
      <c r="F5526" s="64" t="s">
        <v>15</v>
      </c>
      <c r="G5526" s="64" t="s">
        <v>2921</v>
      </c>
      <c r="H5526" s="64" t="s">
        <v>1875</v>
      </c>
      <c r="I5526" s="64" t="s">
        <v>2946</v>
      </c>
      <c r="J5526" s="67">
        <v>0</v>
      </c>
      <c r="K5526" s="62">
        <v>1465.18</v>
      </c>
      <c r="L5526" s="33" t="e">
        <f>HLOOKUP(B5526,#REF!,1,0)</f>
        <v>#REF!</v>
      </c>
      <c r="M5526" s="33" t="str">
        <f t="shared" si="347"/>
        <v>P&amp;L</v>
      </c>
    </row>
    <row r="5527" spans="1:13" s="33" customFormat="true" ht="12.75" customHeight="true">
      <c r="A5527" s="33" t="str">
        <f t="shared" si="344"/>
        <v>HN2 - CGS</v>
      </c>
      <c r="B5527" s="33" t="str">
        <f t="shared" si="345"/>
        <v>HN2</v>
      </c>
      <c r="C5527" s="33" t="str">
        <f t="shared" si="346"/>
        <v>53006-7384</v>
      </c>
      <c r="D5527" s="64" t="s">
        <v>6601</v>
      </c>
      <c r="E5527" s="64" t="s">
        <v>2970</v>
      </c>
      <c r="F5527" s="64" t="s">
        <v>15</v>
      </c>
      <c r="G5527" s="64" t="s">
        <v>2921</v>
      </c>
      <c r="H5527" s="64" t="s">
        <v>1875</v>
      </c>
      <c r="I5527" s="64" t="s">
        <v>2946</v>
      </c>
      <c r="J5527" s="67">
        <v>0</v>
      </c>
      <c r="K5527" s="62">
        <v>1448.33</v>
      </c>
      <c r="L5527" s="33" t="e">
        <f>HLOOKUP(B5527,#REF!,1,0)</f>
        <v>#REF!</v>
      </c>
      <c r="M5527" s="33" t="str">
        <f t="shared" si="347"/>
        <v>P&amp;L</v>
      </c>
    </row>
    <row r="5528" spans="1:13" s="33" customFormat="true" ht="12.75" customHeight="true">
      <c r="A5528" s="33" t="str">
        <f t="shared" si="344"/>
        <v>HN2 - CGS</v>
      </c>
      <c r="B5528" s="33" t="str">
        <f t="shared" si="345"/>
        <v>HN2</v>
      </c>
      <c r="C5528" s="33" t="str">
        <f t="shared" si="346"/>
        <v>53006-7626</v>
      </c>
      <c r="D5528" s="64" t="s">
        <v>6602</v>
      </c>
      <c r="E5528" s="64" t="s">
        <v>2970</v>
      </c>
      <c r="F5528" s="64" t="s">
        <v>15</v>
      </c>
      <c r="G5528" s="64" t="s">
        <v>2921</v>
      </c>
      <c r="H5528" s="64" t="s">
        <v>1875</v>
      </c>
      <c r="I5528" s="64" t="s">
        <v>2946</v>
      </c>
      <c r="J5528" s="67">
        <v>0</v>
      </c>
      <c r="K5528" s="62">
        <v>1279.8</v>
      </c>
      <c r="L5528" s="33" t="e">
        <f>HLOOKUP(B5528,#REF!,1,0)</f>
        <v>#REF!</v>
      </c>
      <c r="M5528" s="33" t="str">
        <f t="shared" si="347"/>
        <v>P&amp;L</v>
      </c>
    </row>
    <row r="5529" spans="1:13" s="33" customFormat="true" ht="12.75" customHeight="true">
      <c r="A5529" s="33" t="str">
        <f t="shared" si="344"/>
        <v>HN2 - CGS</v>
      </c>
      <c r="B5529" s="33" t="str">
        <f t="shared" si="345"/>
        <v>HN2</v>
      </c>
      <c r="C5529" s="33" t="str">
        <f t="shared" si="346"/>
        <v>54001-7358</v>
      </c>
      <c r="D5529" s="64" t="s">
        <v>6603</v>
      </c>
      <c r="E5529" s="64" t="s">
        <v>2975</v>
      </c>
      <c r="F5529" s="64" t="s">
        <v>15</v>
      </c>
      <c r="G5529" s="64" t="s">
        <v>2976</v>
      </c>
      <c r="H5529" s="64" t="s">
        <v>1875</v>
      </c>
      <c r="I5529" s="64" t="s">
        <v>2977</v>
      </c>
      <c r="J5529" s="67">
        <v>0</v>
      </c>
      <c r="K5529" s="62">
        <v>12955</v>
      </c>
      <c r="L5529" s="33" t="e">
        <f>HLOOKUP(B5529,#REF!,1,0)</f>
        <v>#REF!</v>
      </c>
      <c r="M5529" s="33" t="str">
        <f t="shared" si="347"/>
        <v>P&amp;L</v>
      </c>
    </row>
    <row r="5530" spans="1:13" s="33" customFormat="true" ht="12.75" customHeight="true">
      <c r="A5530" s="33" t="str">
        <f t="shared" si="344"/>
        <v>HN2 - CGS</v>
      </c>
      <c r="B5530" s="33" t="str">
        <f t="shared" si="345"/>
        <v>HN2</v>
      </c>
      <c r="C5530" s="33" t="str">
        <f t="shared" si="346"/>
        <v>54001-7384</v>
      </c>
      <c r="D5530" s="64" t="s">
        <v>6604</v>
      </c>
      <c r="E5530" s="64" t="s">
        <v>2975</v>
      </c>
      <c r="F5530" s="64" t="s">
        <v>15</v>
      </c>
      <c r="G5530" s="64" t="s">
        <v>2976</v>
      </c>
      <c r="H5530" s="64" t="s">
        <v>1875</v>
      </c>
      <c r="I5530" s="64" t="s">
        <v>2977</v>
      </c>
      <c r="J5530" s="67">
        <v>0</v>
      </c>
      <c r="K5530" s="62">
        <v>338</v>
      </c>
      <c r="L5530" s="33" t="e">
        <f>HLOOKUP(B5530,#REF!,1,0)</f>
        <v>#REF!</v>
      </c>
      <c r="M5530" s="33" t="str">
        <f t="shared" si="347"/>
        <v>P&amp;L</v>
      </c>
    </row>
    <row r="5531" spans="1:13" s="33" customFormat="true" ht="12.75" customHeight="true">
      <c r="A5531" s="33" t="str">
        <f t="shared" si="344"/>
        <v>HN2 - CGS</v>
      </c>
      <c r="B5531" s="33" t="str">
        <f t="shared" si="345"/>
        <v>HN2</v>
      </c>
      <c r="C5531" s="33" t="str">
        <f t="shared" si="346"/>
        <v>54001-7626</v>
      </c>
      <c r="D5531" s="64" t="s">
        <v>6605</v>
      </c>
      <c r="E5531" s="64" t="s">
        <v>2975</v>
      </c>
      <c r="F5531" s="64" t="s">
        <v>15</v>
      </c>
      <c r="G5531" s="64" t="s">
        <v>2976</v>
      </c>
      <c r="H5531" s="64" t="s">
        <v>1875</v>
      </c>
      <c r="I5531" s="64" t="s">
        <v>2977</v>
      </c>
      <c r="J5531" s="67">
        <v>2586.91</v>
      </c>
      <c r="K5531" s="62">
        <v>3149.91</v>
      </c>
      <c r="L5531" s="33" t="e">
        <f>HLOOKUP(B5531,#REF!,1,0)</f>
        <v>#REF!</v>
      </c>
      <c r="M5531" s="33" t="str">
        <f t="shared" si="347"/>
        <v>P&amp;L</v>
      </c>
    </row>
    <row r="5532" spans="1:13" s="33" customFormat="true" ht="12.75" customHeight="true">
      <c r="A5532" s="33" t="str">
        <f t="shared" si="344"/>
        <v>HN2 - CGS</v>
      </c>
      <c r="B5532" s="33" t="str">
        <f t="shared" si="345"/>
        <v>HN2</v>
      </c>
      <c r="C5532" s="33" t="str">
        <f t="shared" si="346"/>
        <v>54099-7358</v>
      </c>
      <c r="D5532" s="64" t="s">
        <v>6606</v>
      </c>
      <c r="E5532" s="64" t="s">
        <v>2982</v>
      </c>
      <c r="F5532" s="64" t="s">
        <v>15</v>
      </c>
      <c r="G5532" s="64" t="s">
        <v>2921</v>
      </c>
      <c r="H5532" s="64" t="s">
        <v>1875</v>
      </c>
      <c r="I5532" s="64" t="s">
        <v>2983</v>
      </c>
      <c r="J5532" s="67">
        <v>-25898.25</v>
      </c>
      <c r="K5532" s="62">
        <v>-244846.22</v>
      </c>
      <c r="L5532" s="33" t="e">
        <f>HLOOKUP(B5532,#REF!,1,0)</f>
        <v>#REF!</v>
      </c>
      <c r="M5532" s="33" t="str">
        <f t="shared" si="347"/>
        <v>P&amp;L</v>
      </c>
    </row>
    <row r="5533" spans="1:13" s="33" customFormat="true" ht="12.75" customHeight="true">
      <c r="A5533" s="33" t="str">
        <f t="shared" si="344"/>
        <v>HN2 - CGS</v>
      </c>
      <c r="B5533" s="33" t="str">
        <f t="shared" si="345"/>
        <v>HN2</v>
      </c>
      <c r="C5533" s="33" t="str">
        <f t="shared" si="346"/>
        <v>54099-7372</v>
      </c>
      <c r="D5533" s="64" t="s">
        <v>6607</v>
      </c>
      <c r="E5533" s="64" t="s">
        <v>2982</v>
      </c>
      <c r="F5533" s="64" t="s">
        <v>15</v>
      </c>
      <c r="G5533" s="64" t="s">
        <v>2921</v>
      </c>
      <c r="H5533" s="64" t="s">
        <v>1875</v>
      </c>
      <c r="I5533" s="64" t="s">
        <v>2983</v>
      </c>
      <c r="J5533" s="67">
        <v>-26461.9</v>
      </c>
      <c r="K5533" s="62">
        <v>-247132.69</v>
      </c>
      <c r="L5533" s="33" t="e">
        <f>HLOOKUP(B5533,#REF!,1,0)</f>
        <v>#REF!</v>
      </c>
      <c r="M5533" s="33" t="str">
        <f t="shared" si="347"/>
        <v>P&amp;L</v>
      </c>
    </row>
    <row r="5534" spans="1:13" s="33" customFormat="true" ht="12.75" customHeight="true">
      <c r="A5534" s="33" t="str">
        <f t="shared" si="344"/>
        <v>HN2 - CGS</v>
      </c>
      <c r="B5534" s="33" t="str">
        <f t="shared" si="345"/>
        <v>HN2</v>
      </c>
      <c r="C5534" s="33" t="str">
        <f t="shared" si="346"/>
        <v>54099-7384</v>
      </c>
      <c r="D5534" s="64" t="s">
        <v>6608</v>
      </c>
      <c r="E5534" s="64" t="s">
        <v>2982</v>
      </c>
      <c r="F5534" s="64" t="s">
        <v>15</v>
      </c>
      <c r="G5534" s="64" t="s">
        <v>2921</v>
      </c>
      <c r="H5534" s="64" t="s">
        <v>1875</v>
      </c>
      <c r="I5534" s="64" t="s">
        <v>2983</v>
      </c>
      <c r="J5534" s="67">
        <v>-26442.94</v>
      </c>
      <c r="K5534" s="62">
        <v>-249206.38</v>
      </c>
      <c r="L5534" s="33" t="e">
        <f>HLOOKUP(B5534,#REF!,1,0)</f>
        <v>#REF!</v>
      </c>
      <c r="M5534" s="33" t="str">
        <f t="shared" si="347"/>
        <v>P&amp;L</v>
      </c>
    </row>
    <row r="5535" spans="1:13" s="33" customFormat="true" ht="12.75" customHeight="true">
      <c r="A5535" s="33" t="str">
        <f t="shared" si="344"/>
        <v>HN2 - CGS</v>
      </c>
      <c r="B5535" s="33" t="str">
        <f t="shared" si="345"/>
        <v>HN2</v>
      </c>
      <c r="C5535" s="33" t="str">
        <f t="shared" si="346"/>
        <v>54099-7626</v>
      </c>
      <c r="D5535" s="64" t="s">
        <v>6609</v>
      </c>
      <c r="E5535" s="64" t="s">
        <v>2982</v>
      </c>
      <c r="F5535" s="64" t="s">
        <v>15</v>
      </c>
      <c r="G5535" s="64" t="s">
        <v>2921</v>
      </c>
      <c r="H5535" s="64" t="s">
        <v>1875</v>
      </c>
      <c r="I5535" s="64" t="s">
        <v>2983</v>
      </c>
      <c r="J5535" s="67">
        <v>-23002.28</v>
      </c>
      <c r="K5535" s="62">
        <v>-224888.11</v>
      </c>
      <c r="L5535" s="33" t="e">
        <f>HLOOKUP(B5535,#REF!,1,0)</f>
        <v>#REF!</v>
      </c>
      <c r="M5535" s="33" t="str">
        <f t="shared" si="347"/>
        <v>P&amp;L</v>
      </c>
    </row>
    <row r="5536" spans="1:13" s="33" customFormat="true" ht="12.75" customHeight="true">
      <c r="A5536" s="33" t="str">
        <f t="shared" si="344"/>
        <v>HN2 - CGS</v>
      </c>
      <c r="B5536" s="33" t="str">
        <f t="shared" si="345"/>
        <v>HN2</v>
      </c>
      <c r="C5536" s="33" t="str">
        <f t="shared" si="346"/>
        <v>54100-7358</v>
      </c>
      <c r="D5536" s="64" t="s">
        <v>6610</v>
      </c>
      <c r="E5536" s="64" t="s">
        <v>2989</v>
      </c>
      <c r="F5536" s="64" t="s">
        <v>15</v>
      </c>
      <c r="G5536" s="64" t="s">
        <v>2921</v>
      </c>
      <c r="H5536" s="64" t="s">
        <v>1875</v>
      </c>
      <c r="I5536" s="64" t="s">
        <v>2990</v>
      </c>
      <c r="J5536" s="67">
        <v>25898.25</v>
      </c>
      <c r="K5536" s="62">
        <v>244846.22</v>
      </c>
      <c r="L5536" s="33" t="e">
        <f>HLOOKUP(B5536,#REF!,1,0)</f>
        <v>#REF!</v>
      </c>
      <c r="M5536" s="33" t="str">
        <f t="shared" si="347"/>
        <v>P&amp;L</v>
      </c>
    </row>
    <row r="5537" spans="1:13" s="33" customFormat="true" ht="12.75" customHeight="true">
      <c r="A5537" s="33" t="str">
        <f t="shared" si="344"/>
        <v>HN2 - CGS</v>
      </c>
      <c r="B5537" s="33" t="str">
        <f t="shared" si="345"/>
        <v>HN2</v>
      </c>
      <c r="C5537" s="33" t="str">
        <f t="shared" si="346"/>
        <v>54100-7372</v>
      </c>
      <c r="D5537" s="64" t="s">
        <v>6611</v>
      </c>
      <c r="E5537" s="64" t="s">
        <v>2989</v>
      </c>
      <c r="F5537" s="64" t="s">
        <v>15</v>
      </c>
      <c r="G5537" s="64" t="s">
        <v>2921</v>
      </c>
      <c r="H5537" s="64" t="s">
        <v>1875</v>
      </c>
      <c r="I5537" s="64" t="s">
        <v>2990</v>
      </c>
      <c r="J5537" s="67">
        <v>26461.9</v>
      </c>
      <c r="K5537" s="62">
        <v>247132.69</v>
      </c>
      <c r="L5537" s="33" t="e">
        <f>HLOOKUP(B5537,#REF!,1,0)</f>
        <v>#REF!</v>
      </c>
      <c r="M5537" s="33" t="str">
        <f t="shared" si="347"/>
        <v>P&amp;L</v>
      </c>
    </row>
    <row r="5538" spans="1:13" s="33" customFormat="true" ht="12.75" customHeight="true">
      <c r="A5538" s="33" t="str">
        <f t="shared" si="344"/>
        <v>HN2 - CGS</v>
      </c>
      <c r="B5538" s="33" t="str">
        <f t="shared" si="345"/>
        <v>HN2</v>
      </c>
      <c r="C5538" s="33" t="str">
        <f t="shared" si="346"/>
        <v>54100-7384</v>
      </c>
      <c r="D5538" s="64" t="s">
        <v>6612</v>
      </c>
      <c r="E5538" s="64" t="s">
        <v>2989</v>
      </c>
      <c r="F5538" s="64" t="s">
        <v>15</v>
      </c>
      <c r="G5538" s="64" t="s">
        <v>2921</v>
      </c>
      <c r="H5538" s="64" t="s">
        <v>1875</v>
      </c>
      <c r="I5538" s="64" t="s">
        <v>2990</v>
      </c>
      <c r="J5538" s="67">
        <v>26442.94</v>
      </c>
      <c r="K5538" s="62">
        <v>249206.38</v>
      </c>
      <c r="L5538" s="33" t="e">
        <f>HLOOKUP(B5538,#REF!,1,0)</f>
        <v>#REF!</v>
      </c>
      <c r="M5538" s="33" t="str">
        <f t="shared" si="347"/>
        <v>P&amp;L</v>
      </c>
    </row>
    <row r="5539" spans="1:13" s="33" customFormat="true" ht="12.75" customHeight="true">
      <c r="A5539" s="33" t="str">
        <f t="shared" si="344"/>
        <v>HN2 - CGS</v>
      </c>
      <c r="B5539" s="33" t="str">
        <f t="shared" si="345"/>
        <v>HN2</v>
      </c>
      <c r="C5539" s="33" t="str">
        <f t="shared" si="346"/>
        <v>54100-7626</v>
      </c>
      <c r="D5539" s="64" t="s">
        <v>6613</v>
      </c>
      <c r="E5539" s="64" t="s">
        <v>2989</v>
      </c>
      <c r="F5539" s="64" t="s">
        <v>15</v>
      </c>
      <c r="G5539" s="64" t="s">
        <v>2921</v>
      </c>
      <c r="H5539" s="64" t="s">
        <v>1875</v>
      </c>
      <c r="I5539" s="64" t="s">
        <v>2990</v>
      </c>
      <c r="J5539" s="67">
        <v>23002.28</v>
      </c>
      <c r="K5539" s="62">
        <v>224888.11</v>
      </c>
      <c r="L5539" s="33" t="e">
        <f>HLOOKUP(B5539,#REF!,1,0)</f>
        <v>#REF!</v>
      </c>
      <c r="M5539" s="33" t="str">
        <f t="shared" si="347"/>
        <v>P&amp;L</v>
      </c>
    </row>
    <row r="5540" spans="1:13" s="33" customFormat="true" ht="12.75" customHeight="true">
      <c r="A5540" s="33" t="str">
        <f t="shared" si="344"/>
        <v>HN2 - CGS</v>
      </c>
      <c r="B5540" s="33" t="str">
        <f t="shared" si="345"/>
        <v>HN2</v>
      </c>
      <c r="C5540" s="33" t="str">
        <f t="shared" si="346"/>
        <v>55001-7358</v>
      </c>
      <c r="D5540" s="64" t="s">
        <v>6614</v>
      </c>
      <c r="E5540" s="64" t="s">
        <v>2996</v>
      </c>
      <c r="F5540" s="64" t="s">
        <v>15</v>
      </c>
      <c r="G5540" s="64" t="s">
        <v>2976</v>
      </c>
      <c r="H5540" s="64" t="s">
        <v>1875</v>
      </c>
      <c r="I5540" s="64" t="s">
        <v>2997</v>
      </c>
      <c r="J5540" s="67">
        <v>2702.14</v>
      </c>
      <c r="K5540" s="62">
        <v>27021.4</v>
      </c>
      <c r="L5540" s="33" t="e">
        <f>HLOOKUP(B5540,#REF!,1,0)</f>
        <v>#REF!</v>
      </c>
      <c r="M5540" s="33" t="str">
        <f t="shared" si="347"/>
        <v>P&amp;L</v>
      </c>
    </row>
    <row r="5541" spans="1:13" s="33" customFormat="true" ht="12.75" customHeight="true">
      <c r="A5541" s="33" t="str">
        <f t="shared" si="344"/>
        <v>HN2 - CGS</v>
      </c>
      <c r="B5541" s="33" t="str">
        <f t="shared" si="345"/>
        <v>HN2</v>
      </c>
      <c r="C5541" s="33" t="str">
        <f t="shared" si="346"/>
        <v>55001-7372</v>
      </c>
      <c r="D5541" s="64" t="s">
        <v>6615</v>
      </c>
      <c r="E5541" s="64" t="s">
        <v>2996</v>
      </c>
      <c r="F5541" s="64" t="s">
        <v>15</v>
      </c>
      <c r="G5541" s="64" t="s">
        <v>2976</v>
      </c>
      <c r="H5541" s="64" t="s">
        <v>1875</v>
      </c>
      <c r="I5541" s="64" t="s">
        <v>2997</v>
      </c>
      <c r="J5541" s="67">
        <v>2702.14</v>
      </c>
      <c r="K5541" s="62">
        <v>27021.4</v>
      </c>
      <c r="L5541" s="33" t="e">
        <f>HLOOKUP(B5541,#REF!,1,0)</f>
        <v>#REF!</v>
      </c>
      <c r="M5541" s="33" t="str">
        <f t="shared" si="347"/>
        <v>P&amp;L</v>
      </c>
    </row>
    <row r="5542" spans="1:13" s="33" customFormat="true" ht="12.75" customHeight="true">
      <c r="A5542" s="33" t="str">
        <f t="shared" si="344"/>
        <v>HN2 - CGS</v>
      </c>
      <c r="B5542" s="33" t="str">
        <f t="shared" si="345"/>
        <v>HN2</v>
      </c>
      <c r="C5542" s="33" t="str">
        <f t="shared" si="346"/>
        <v>55001-7384</v>
      </c>
      <c r="D5542" s="64" t="s">
        <v>6616</v>
      </c>
      <c r="E5542" s="64" t="s">
        <v>2996</v>
      </c>
      <c r="F5542" s="64" t="s">
        <v>15</v>
      </c>
      <c r="G5542" s="64" t="s">
        <v>2976</v>
      </c>
      <c r="H5542" s="64" t="s">
        <v>1875</v>
      </c>
      <c r="I5542" s="64" t="s">
        <v>2997</v>
      </c>
      <c r="J5542" s="67">
        <v>2702.14</v>
      </c>
      <c r="K5542" s="62">
        <v>27021.4</v>
      </c>
      <c r="L5542" s="33" t="e">
        <f>HLOOKUP(B5542,#REF!,1,0)</f>
        <v>#REF!</v>
      </c>
      <c r="M5542" s="33" t="str">
        <f t="shared" si="347"/>
        <v>P&amp;L</v>
      </c>
    </row>
    <row r="5543" spans="1:13" s="33" customFormat="true" ht="12.75" customHeight="true">
      <c r="A5543" s="33" t="str">
        <f t="shared" si="344"/>
        <v>HN2 - CGS</v>
      </c>
      <c r="B5543" s="33" t="str">
        <f t="shared" si="345"/>
        <v>HN2</v>
      </c>
      <c r="C5543" s="33" t="str">
        <f t="shared" si="346"/>
        <v>55001-7626</v>
      </c>
      <c r="D5543" s="64" t="s">
        <v>6617</v>
      </c>
      <c r="E5543" s="64" t="s">
        <v>2996</v>
      </c>
      <c r="F5543" s="64" t="s">
        <v>15</v>
      </c>
      <c r="G5543" s="64" t="s">
        <v>2976</v>
      </c>
      <c r="H5543" s="64" t="s">
        <v>1875</v>
      </c>
      <c r="I5543" s="64" t="s">
        <v>2997</v>
      </c>
      <c r="J5543" s="67">
        <v>2702.14</v>
      </c>
      <c r="K5543" s="62">
        <v>27021.4</v>
      </c>
      <c r="L5543" s="33" t="e">
        <f>HLOOKUP(B5543,#REF!,1,0)</f>
        <v>#REF!</v>
      </c>
      <c r="M5543" s="33" t="str">
        <f t="shared" si="347"/>
        <v>P&amp;L</v>
      </c>
    </row>
    <row r="5544" spans="1:13" s="33" customFormat="true" ht="12.75" customHeight="true">
      <c r="A5544" s="33" t="str">
        <f t="shared" si="344"/>
        <v>HN2 - CGS</v>
      </c>
      <c r="B5544" s="33" t="str">
        <f t="shared" si="345"/>
        <v>HN2</v>
      </c>
      <c r="C5544" s="33" t="str">
        <f t="shared" si="346"/>
        <v>56001-7358</v>
      </c>
      <c r="D5544" s="64" t="s">
        <v>6618</v>
      </c>
      <c r="E5544" s="64" t="s">
        <v>3002</v>
      </c>
      <c r="F5544" s="64" t="s">
        <v>15</v>
      </c>
      <c r="G5544" s="64" t="s">
        <v>2976</v>
      </c>
      <c r="H5544" s="64" t="s">
        <v>1875</v>
      </c>
      <c r="I5544" s="64" t="s">
        <v>3003</v>
      </c>
      <c r="J5544" s="67">
        <v>2044.96</v>
      </c>
      <c r="K5544" s="62">
        <v>24499.6</v>
      </c>
      <c r="L5544" s="33" t="e">
        <f>HLOOKUP(B5544,#REF!,1,0)</f>
        <v>#REF!</v>
      </c>
      <c r="M5544" s="33" t="str">
        <f t="shared" si="347"/>
        <v>P&amp;L</v>
      </c>
    </row>
    <row r="5545" spans="1:13" s="33" customFormat="true" ht="12.75" customHeight="true">
      <c r="A5545" s="33" t="str">
        <f t="shared" si="344"/>
        <v>HN2 - CGS</v>
      </c>
      <c r="B5545" s="33" t="str">
        <f t="shared" si="345"/>
        <v>HN2</v>
      </c>
      <c r="C5545" s="33" t="str">
        <f t="shared" si="346"/>
        <v>56001-7372</v>
      </c>
      <c r="D5545" s="64" t="s">
        <v>6619</v>
      </c>
      <c r="E5545" s="64" t="s">
        <v>3002</v>
      </c>
      <c r="F5545" s="64" t="s">
        <v>15</v>
      </c>
      <c r="G5545" s="64" t="s">
        <v>2976</v>
      </c>
      <c r="H5545" s="64" t="s">
        <v>1875</v>
      </c>
      <c r="I5545" s="64" t="s">
        <v>3003</v>
      </c>
      <c r="J5545" s="67">
        <v>2000.9</v>
      </c>
      <c r="K5545" s="62">
        <v>26045.54</v>
      </c>
      <c r="L5545" s="33" t="e">
        <f>HLOOKUP(B5545,#REF!,1,0)</f>
        <v>#REF!</v>
      </c>
      <c r="M5545" s="33" t="str">
        <f t="shared" si="347"/>
        <v>P&amp;L</v>
      </c>
    </row>
    <row r="5546" spans="1:13" s="33" customFormat="true" ht="12.75" customHeight="true">
      <c r="A5546" s="33" t="str">
        <f t="shared" si="344"/>
        <v>HN2 - CGS</v>
      </c>
      <c r="B5546" s="33" t="str">
        <f t="shared" si="345"/>
        <v>HN2</v>
      </c>
      <c r="C5546" s="33" t="str">
        <f t="shared" si="346"/>
        <v>56001-7384</v>
      </c>
      <c r="D5546" s="64" t="s">
        <v>6620</v>
      </c>
      <c r="E5546" s="64" t="s">
        <v>3002</v>
      </c>
      <c r="F5546" s="64" t="s">
        <v>15</v>
      </c>
      <c r="G5546" s="64" t="s">
        <v>2976</v>
      </c>
      <c r="H5546" s="64" t="s">
        <v>1875</v>
      </c>
      <c r="I5546" s="64" t="s">
        <v>3003</v>
      </c>
      <c r="J5546" s="67">
        <v>1984.77</v>
      </c>
      <c r="K5546" s="62">
        <v>23117.23</v>
      </c>
      <c r="L5546" s="33" t="e">
        <f>HLOOKUP(B5546,#REF!,1,0)</f>
        <v>#REF!</v>
      </c>
      <c r="M5546" s="33" t="str">
        <f t="shared" si="347"/>
        <v>P&amp;L</v>
      </c>
    </row>
    <row r="5547" spans="1:13" s="33" customFormat="true" ht="12.75" customHeight="true">
      <c r="A5547" s="33" t="str">
        <f t="shared" si="344"/>
        <v>HN2 - CGS</v>
      </c>
      <c r="B5547" s="33" t="str">
        <f t="shared" si="345"/>
        <v>HN2</v>
      </c>
      <c r="C5547" s="33" t="str">
        <f t="shared" si="346"/>
        <v>56001-7626</v>
      </c>
      <c r="D5547" s="64" t="s">
        <v>6621</v>
      </c>
      <c r="E5547" s="64" t="s">
        <v>3002</v>
      </c>
      <c r="F5547" s="64" t="s">
        <v>15</v>
      </c>
      <c r="G5547" s="64" t="s">
        <v>2976</v>
      </c>
      <c r="H5547" s="64" t="s">
        <v>1875</v>
      </c>
      <c r="I5547" s="64" t="s">
        <v>3003</v>
      </c>
      <c r="J5547" s="67">
        <v>1669.11</v>
      </c>
      <c r="K5547" s="62">
        <v>23410.77</v>
      </c>
      <c r="L5547" s="33" t="e">
        <f>HLOOKUP(B5547,#REF!,1,0)</f>
        <v>#REF!</v>
      </c>
      <c r="M5547" s="33" t="str">
        <f t="shared" si="347"/>
        <v>P&amp;L</v>
      </c>
    </row>
    <row r="5548" spans="1:13" s="33" customFormat="true" ht="12.75" customHeight="true">
      <c r="A5548" s="33" t="str">
        <f t="shared" si="344"/>
        <v>HN2 - CGS</v>
      </c>
      <c r="B5548" s="33" t="str">
        <f t="shared" si="345"/>
        <v>HN2</v>
      </c>
      <c r="C5548" s="33" t="str">
        <f t="shared" si="346"/>
        <v>56002-7358</v>
      </c>
      <c r="D5548" s="64" t="s">
        <v>6622</v>
      </c>
      <c r="E5548" s="64" t="s">
        <v>3009</v>
      </c>
      <c r="F5548" s="64" t="s">
        <v>15</v>
      </c>
      <c r="G5548" s="64" t="s">
        <v>2976</v>
      </c>
      <c r="H5548" s="64" t="s">
        <v>1875</v>
      </c>
      <c r="I5548" s="64" t="s">
        <v>3010</v>
      </c>
      <c r="J5548" s="67">
        <v>2.05</v>
      </c>
      <c r="K5548" s="62">
        <v>-404.27</v>
      </c>
      <c r="L5548" s="33" t="e">
        <f>HLOOKUP(B5548,#REF!,1,0)</f>
        <v>#REF!</v>
      </c>
      <c r="M5548" s="33" t="str">
        <f t="shared" si="347"/>
        <v>P&amp;L</v>
      </c>
    </row>
    <row r="5549" spans="1:13" s="33" customFormat="true" ht="12.75" customHeight="true">
      <c r="A5549" s="33" t="str">
        <f t="shared" si="344"/>
        <v>HN2 - CGS</v>
      </c>
      <c r="B5549" s="33" t="str">
        <f t="shared" si="345"/>
        <v>HN2</v>
      </c>
      <c r="C5549" s="33" t="str">
        <f t="shared" si="346"/>
        <v>56002-7372</v>
      </c>
      <c r="D5549" s="64" t="s">
        <v>6623</v>
      </c>
      <c r="E5549" s="64" t="s">
        <v>3009</v>
      </c>
      <c r="F5549" s="64" t="s">
        <v>15</v>
      </c>
      <c r="G5549" s="64" t="s">
        <v>2976</v>
      </c>
      <c r="H5549" s="64" t="s">
        <v>1875</v>
      </c>
      <c r="I5549" s="64" t="s">
        <v>3010</v>
      </c>
      <c r="J5549" s="67">
        <v>-12.59</v>
      </c>
      <c r="K5549" s="62">
        <v>115.13</v>
      </c>
      <c r="L5549" s="33" t="e">
        <f>HLOOKUP(B5549,#REF!,1,0)</f>
        <v>#REF!</v>
      </c>
      <c r="M5549" s="33" t="str">
        <f t="shared" si="347"/>
        <v>P&amp;L</v>
      </c>
    </row>
    <row r="5550" spans="1:13" s="33" customFormat="true" ht="12.75" customHeight="true">
      <c r="A5550" s="33" t="str">
        <f t="shared" si="344"/>
        <v>HN2 - CGS</v>
      </c>
      <c r="B5550" s="33" t="str">
        <f t="shared" si="345"/>
        <v>HN2</v>
      </c>
      <c r="C5550" s="33" t="str">
        <f t="shared" si="346"/>
        <v>56002-7384</v>
      </c>
      <c r="D5550" s="64" t="s">
        <v>6624</v>
      </c>
      <c r="E5550" s="64" t="s">
        <v>3009</v>
      </c>
      <c r="F5550" s="64" t="s">
        <v>15</v>
      </c>
      <c r="G5550" s="64" t="s">
        <v>2976</v>
      </c>
      <c r="H5550" s="64" t="s">
        <v>1875</v>
      </c>
      <c r="I5550" s="64" t="s">
        <v>3010</v>
      </c>
      <c r="J5550" s="67">
        <v>1.3</v>
      </c>
      <c r="K5550" s="62">
        <v>29.59</v>
      </c>
      <c r="L5550" s="33" t="e">
        <f>HLOOKUP(B5550,#REF!,1,0)</f>
        <v>#REF!</v>
      </c>
      <c r="M5550" s="33" t="str">
        <f t="shared" si="347"/>
        <v>P&amp;L</v>
      </c>
    </row>
    <row r="5551" spans="1:13" s="33" customFormat="true" ht="12.75" customHeight="true">
      <c r="A5551" s="33" t="str">
        <f t="shared" si="344"/>
        <v>HN2 - CGS</v>
      </c>
      <c r="B5551" s="33" t="str">
        <f t="shared" si="345"/>
        <v>HN2</v>
      </c>
      <c r="C5551" s="33" t="str">
        <f t="shared" si="346"/>
        <v>56002-7626</v>
      </c>
      <c r="D5551" s="64" t="s">
        <v>6625</v>
      </c>
      <c r="E5551" s="64" t="s">
        <v>3009</v>
      </c>
      <c r="F5551" s="64" t="s">
        <v>15</v>
      </c>
      <c r="G5551" s="64" t="s">
        <v>2976</v>
      </c>
      <c r="H5551" s="64" t="s">
        <v>1875</v>
      </c>
      <c r="I5551" s="64" t="s">
        <v>3010</v>
      </c>
      <c r="J5551" s="67">
        <v>0</v>
      </c>
      <c r="K5551" s="62">
        <v>393.77</v>
      </c>
      <c r="L5551" s="33" t="e">
        <f>HLOOKUP(B5551,#REF!,1,0)</f>
        <v>#REF!</v>
      </c>
      <c r="M5551" s="33" t="str">
        <f t="shared" si="347"/>
        <v>P&amp;L</v>
      </c>
    </row>
    <row r="5552" spans="1:13" s="33" customFormat="true" ht="12.75" customHeight="true">
      <c r="A5552" s="33" t="str">
        <f t="shared" si="344"/>
        <v>HN2 - CGS</v>
      </c>
      <c r="B5552" s="33" t="str">
        <f t="shared" si="345"/>
        <v>HN2</v>
      </c>
      <c r="C5552" s="33" t="str">
        <f t="shared" si="346"/>
        <v>56050-0000</v>
      </c>
      <c r="D5552" s="64" t="s">
        <v>6626</v>
      </c>
      <c r="E5552" s="64" t="s">
        <v>3016</v>
      </c>
      <c r="F5552" s="64" t="s">
        <v>15</v>
      </c>
      <c r="G5552" s="64" t="s">
        <v>3017</v>
      </c>
      <c r="H5552" s="64" t="s">
        <v>1875</v>
      </c>
      <c r="I5552" s="64" t="s">
        <v>3018</v>
      </c>
      <c r="J5552" s="67">
        <v>-56.98</v>
      </c>
      <c r="K5552" s="62">
        <v>-992.27</v>
      </c>
      <c r="L5552" s="33" t="e">
        <f>HLOOKUP(B5552,#REF!,1,0)</f>
        <v>#REF!</v>
      </c>
      <c r="M5552" s="33" t="str">
        <f t="shared" si="347"/>
        <v>P&amp;L</v>
      </c>
    </row>
    <row r="5553" spans="1:13" s="33" customFormat="true" ht="12.75" customHeight="true">
      <c r="A5553" s="33" t="str">
        <f t="shared" si="344"/>
        <v>HN2 - Operating Expense</v>
      </c>
      <c r="B5553" s="33" t="str">
        <f t="shared" si="345"/>
        <v>HN2</v>
      </c>
      <c r="C5553" s="33" t="str">
        <f t="shared" si="346"/>
        <v>60001-7358</v>
      </c>
      <c r="D5553" s="64" t="s">
        <v>6627</v>
      </c>
      <c r="E5553" s="64" t="s">
        <v>3020</v>
      </c>
      <c r="F5553" s="64" t="s">
        <v>15</v>
      </c>
      <c r="G5553" s="64" t="s">
        <v>3021</v>
      </c>
      <c r="H5553" s="64" t="s">
        <v>3022</v>
      </c>
      <c r="I5553" s="64" t="s">
        <v>3023</v>
      </c>
      <c r="J5553" s="67">
        <v>23.68</v>
      </c>
      <c r="K5553" s="62">
        <v>825.91</v>
      </c>
      <c r="L5553" s="33" t="e">
        <f>HLOOKUP(B5553,#REF!,1,0)</f>
        <v>#REF!</v>
      </c>
      <c r="M5553" s="33" t="str">
        <f t="shared" si="347"/>
        <v>P&amp;L</v>
      </c>
    </row>
    <row r="5554" spans="1:13" s="33" customFormat="true" ht="12.75" customHeight="true">
      <c r="A5554" s="33" t="str">
        <f t="shared" si="344"/>
        <v>HN2 - Operating Expense</v>
      </c>
      <c r="B5554" s="33" t="str">
        <f t="shared" si="345"/>
        <v>HN2</v>
      </c>
      <c r="C5554" s="33" t="str">
        <f t="shared" si="346"/>
        <v>60001-7372</v>
      </c>
      <c r="D5554" s="64" t="s">
        <v>6628</v>
      </c>
      <c r="E5554" s="64" t="s">
        <v>3020</v>
      </c>
      <c r="F5554" s="64" t="s">
        <v>15</v>
      </c>
      <c r="G5554" s="64" t="s">
        <v>3021</v>
      </c>
      <c r="H5554" s="64" t="s">
        <v>3022</v>
      </c>
      <c r="I5554" s="64" t="s">
        <v>3023</v>
      </c>
      <c r="J5554" s="67">
        <v>16.12</v>
      </c>
      <c r="K5554" s="62">
        <v>1671.3</v>
      </c>
      <c r="L5554" s="33" t="e">
        <f>HLOOKUP(B5554,#REF!,1,0)</f>
        <v>#REF!</v>
      </c>
      <c r="M5554" s="33" t="str">
        <f t="shared" si="347"/>
        <v>P&amp;L</v>
      </c>
    </row>
    <row r="5555" spans="1:13" s="33" customFormat="true" ht="12.75" customHeight="true">
      <c r="A5555" s="33" t="str">
        <f t="shared" si="344"/>
        <v>HN2 - Operating Expense</v>
      </c>
      <c r="B5555" s="33" t="str">
        <f t="shared" si="345"/>
        <v>HN2</v>
      </c>
      <c r="C5555" s="33" t="str">
        <f t="shared" si="346"/>
        <v>60001-7384</v>
      </c>
      <c r="D5555" s="64" t="s">
        <v>6629</v>
      </c>
      <c r="E5555" s="64" t="s">
        <v>3020</v>
      </c>
      <c r="F5555" s="64" t="s">
        <v>15</v>
      </c>
      <c r="G5555" s="64" t="s">
        <v>3021</v>
      </c>
      <c r="H5555" s="64" t="s">
        <v>3022</v>
      </c>
      <c r="I5555" s="64" t="s">
        <v>3023</v>
      </c>
      <c r="J5555" s="67">
        <v>22.95</v>
      </c>
      <c r="K5555" s="62">
        <v>114.27</v>
      </c>
      <c r="L5555" s="33" t="e">
        <f>HLOOKUP(B5555,#REF!,1,0)</f>
        <v>#REF!</v>
      </c>
      <c r="M5555" s="33" t="str">
        <f t="shared" si="347"/>
        <v>P&amp;L</v>
      </c>
    </row>
    <row r="5556" spans="1:13" s="33" customFormat="true" ht="12.75" customHeight="true">
      <c r="A5556" s="33" t="str">
        <f t="shared" si="344"/>
        <v>HN2 - Operating Expense</v>
      </c>
      <c r="B5556" s="33" t="str">
        <f t="shared" si="345"/>
        <v>HN2</v>
      </c>
      <c r="C5556" s="33" t="str">
        <f t="shared" si="346"/>
        <v>60001-7626</v>
      </c>
      <c r="D5556" s="64" t="s">
        <v>6630</v>
      </c>
      <c r="E5556" s="64" t="s">
        <v>3020</v>
      </c>
      <c r="F5556" s="64" t="s">
        <v>15</v>
      </c>
      <c r="G5556" s="64" t="s">
        <v>3021</v>
      </c>
      <c r="H5556" s="64" t="s">
        <v>3022</v>
      </c>
      <c r="I5556" s="64" t="s">
        <v>3023</v>
      </c>
      <c r="J5556" s="67">
        <v>20.96</v>
      </c>
      <c r="K5556" s="62">
        <v>134.06</v>
      </c>
      <c r="L5556" s="33" t="e">
        <f>HLOOKUP(B5556,#REF!,1,0)</f>
        <v>#REF!</v>
      </c>
      <c r="M5556" s="33" t="str">
        <f t="shared" si="347"/>
        <v>P&amp;L</v>
      </c>
    </row>
    <row r="5557" spans="1:13" s="33" customFormat="true" ht="12.75" customHeight="true">
      <c r="A5557" s="33" t="str">
        <f t="shared" si="344"/>
        <v>HN2 - Operating Expense</v>
      </c>
      <c r="B5557" s="33" t="str">
        <f t="shared" si="345"/>
        <v>HN2</v>
      </c>
      <c r="C5557" s="33" t="str">
        <f t="shared" si="346"/>
        <v>60503-7358</v>
      </c>
      <c r="D5557" s="64" t="s">
        <v>6631</v>
      </c>
      <c r="E5557" s="64" t="s">
        <v>3034</v>
      </c>
      <c r="F5557" s="64" t="s">
        <v>15</v>
      </c>
      <c r="G5557" s="64" t="s">
        <v>3035</v>
      </c>
      <c r="H5557" s="64" t="s">
        <v>3022</v>
      </c>
      <c r="I5557" s="64" t="s">
        <v>3036</v>
      </c>
      <c r="J5557" s="67">
        <v>0</v>
      </c>
      <c r="K5557" s="62">
        <v>167.9</v>
      </c>
      <c r="L5557" s="33" t="e">
        <f>HLOOKUP(B5557,#REF!,1,0)</f>
        <v>#REF!</v>
      </c>
      <c r="M5557" s="33" t="str">
        <f t="shared" si="347"/>
        <v>P&amp;L</v>
      </c>
    </row>
    <row r="5558" spans="1:13" s="33" customFormat="true" ht="12.75" customHeight="true">
      <c r="A5558" s="33" t="str">
        <f t="shared" si="344"/>
        <v>HN2 - Operating Expense</v>
      </c>
      <c r="B5558" s="33" t="str">
        <f t="shared" si="345"/>
        <v>HN2</v>
      </c>
      <c r="C5558" s="33" t="str">
        <f t="shared" si="346"/>
        <v>60503-7372</v>
      </c>
      <c r="D5558" s="64" t="s">
        <v>6632</v>
      </c>
      <c r="E5558" s="64" t="s">
        <v>3034</v>
      </c>
      <c r="F5558" s="64" t="s">
        <v>15</v>
      </c>
      <c r="G5558" s="64" t="s">
        <v>3035</v>
      </c>
      <c r="H5558" s="64" t="s">
        <v>3022</v>
      </c>
      <c r="I5558" s="64" t="s">
        <v>3036</v>
      </c>
      <c r="J5558" s="67">
        <v>0</v>
      </c>
      <c r="K5558" s="62">
        <v>433.89</v>
      </c>
      <c r="L5558" s="33" t="e">
        <f>HLOOKUP(B5558,#REF!,1,0)</f>
        <v>#REF!</v>
      </c>
      <c r="M5558" s="33" t="str">
        <f t="shared" si="347"/>
        <v>P&amp;L</v>
      </c>
    </row>
    <row r="5559" spans="1:13" s="33" customFormat="true" ht="12.75" customHeight="true">
      <c r="A5559" s="33" t="str">
        <f t="shared" si="344"/>
        <v>HN2 - Operating Expense</v>
      </c>
      <c r="B5559" s="33" t="str">
        <f t="shared" si="345"/>
        <v>HN2</v>
      </c>
      <c r="C5559" s="33" t="str">
        <f t="shared" si="346"/>
        <v>60503-7384</v>
      </c>
      <c r="D5559" s="64" t="s">
        <v>6633</v>
      </c>
      <c r="E5559" s="64" t="s">
        <v>3034</v>
      </c>
      <c r="F5559" s="64" t="s">
        <v>15</v>
      </c>
      <c r="G5559" s="64" t="s">
        <v>3035</v>
      </c>
      <c r="H5559" s="64" t="s">
        <v>3022</v>
      </c>
      <c r="I5559" s="64" t="s">
        <v>3036</v>
      </c>
      <c r="J5559" s="67">
        <v>0</v>
      </c>
      <c r="K5559" s="62">
        <v>464.48</v>
      </c>
      <c r="L5559" s="33" t="e">
        <f>HLOOKUP(B5559,#REF!,1,0)</f>
        <v>#REF!</v>
      </c>
      <c r="M5559" s="33" t="str">
        <f t="shared" si="347"/>
        <v>P&amp;L</v>
      </c>
    </row>
    <row r="5560" spans="1:13" s="33" customFormat="true" ht="12.75" customHeight="true">
      <c r="A5560" s="33" t="str">
        <f t="shared" si="344"/>
        <v>HN2 - Operating Expense</v>
      </c>
      <c r="B5560" s="33" t="str">
        <f t="shared" si="345"/>
        <v>HN2</v>
      </c>
      <c r="C5560" s="33" t="str">
        <f t="shared" si="346"/>
        <v>60503-7626</v>
      </c>
      <c r="D5560" s="64" t="s">
        <v>6634</v>
      </c>
      <c r="E5560" s="64" t="s">
        <v>3034</v>
      </c>
      <c r="F5560" s="64" t="s">
        <v>15</v>
      </c>
      <c r="G5560" s="64" t="s">
        <v>3035</v>
      </c>
      <c r="H5560" s="64" t="s">
        <v>3022</v>
      </c>
      <c r="I5560" s="64" t="s">
        <v>3036</v>
      </c>
      <c r="J5560" s="67">
        <v>0</v>
      </c>
      <c r="K5560" s="62">
        <v>468.85</v>
      </c>
      <c r="L5560" s="33" t="e">
        <f>HLOOKUP(B5560,#REF!,1,0)</f>
        <v>#REF!</v>
      </c>
      <c r="M5560" s="33" t="str">
        <f t="shared" si="347"/>
        <v>P&amp;L</v>
      </c>
    </row>
    <row r="5561" spans="1:13" s="33" customFormat="true" ht="12.75" customHeight="true">
      <c r="A5561" s="33" t="str">
        <f t="shared" si="344"/>
        <v>HN2 - Operating Expense</v>
      </c>
      <c r="B5561" s="33" t="str">
        <f t="shared" si="345"/>
        <v>HN2</v>
      </c>
      <c r="C5561" s="33" t="str">
        <f t="shared" si="346"/>
        <v>60505-7372</v>
      </c>
      <c r="D5561" s="64" t="s">
        <v>6635</v>
      </c>
      <c r="E5561" s="64" t="s">
        <v>3043</v>
      </c>
      <c r="F5561" s="64" t="s">
        <v>15</v>
      </c>
      <c r="G5561" s="64" t="s">
        <v>3044</v>
      </c>
      <c r="H5561" s="64" t="s">
        <v>3022</v>
      </c>
      <c r="I5561" s="64" t="s">
        <v>3045</v>
      </c>
      <c r="J5561" s="67">
        <v>0</v>
      </c>
      <c r="K5561" s="62">
        <v>650.48</v>
      </c>
      <c r="L5561" s="33" t="e">
        <f>HLOOKUP(B5561,#REF!,1,0)</f>
        <v>#REF!</v>
      </c>
      <c r="M5561" s="33" t="str">
        <f t="shared" si="347"/>
        <v>P&amp;L</v>
      </c>
    </row>
    <row r="5562" spans="1:13" s="33" customFormat="true" ht="12.75" customHeight="true">
      <c r="A5562" s="33" t="str">
        <f t="shared" si="344"/>
        <v>HN2 - Operating Expense</v>
      </c>
      <c r="B5562" s="33" t="str">
        <f t="shared" si="345"/>
        <v>HN2</v>
      </c>
      <c r="C5562" s="33" t="str">
        <f t="shared" si="346"/>
        <v>60505-7384</v>
      </c>
      <c r="D5562" s="64" t="s">
        <v>6636</v>
      </c>
      <c r="E5562" s="64" t="s">
        <v>3043</v>
      </c>
      <c r="F5562" s="64" t="s">
        <v>15</v>
      </c>
      <c r="G5562" s="64" t="s">
        <v>3044</v>
      </c>
      <c r="H5562" s="64" t="s">
        <v>3022</v>
      </c>
      <c r="I5562" s="64" t="s">
        <v>3045</v>
      </c>
      <c r="J5562" s="67">
        <v>516.84</v>
      </c>
      <c r="K5562" s="62">
        <v>516.84</v>
      </c>
      <c r="L5562" s="33" t="e">
        <f>HLOOKUP(B5562,#REF!,1,0)</f>
        <v>#REF!</v>
      </c>
      <c r="M5562" s="33" t="str">
        <f t="shared" si="347"/>
        <v>P&amp;L</v>
      </c>
    </row>
    <row r="5563" spans="1:13" s="33" customFormat="true" ht="12.75" customHeight="true">
      <c r="A5563" s="33" t="str">
        <f t="shared" si="344"/>
        <v>HN2 - Operating Expense</v>
      </c>
      <c r="B5563" s="33" t="str">
        <f t="shared" si="345"/>
        <v>HN2</v>
      </c>
      <c r="C5563" s="33" t="str">
        <f t="shared" si="346"/>
        <v>60505-7626</v>
      </c>
      <c r="D5563" s="64" t="s">
        <v>6637</v>
      </c>
      <c r="E5563" s="64" t="s">
        <v>3043</v>
      </c>
      <c r="F5563" s="64" t="s">
        <v>15</v>
      </c>
      <c r="G5563" s="64" t="s">
        <v>3044</v>
      </c>
      <c r="H5563" s="64" t="s">
        <v>3022</v>
      </c>
      <c r="I5563" s="64" t="s">
        <v>3045</v>
      </c>
      <c r="J5563" s="67">
        <v>0</v>
      </c>
      <c r="K5563" s="62">
        <v>520.38</v>
      </c>
      <c r="L5563" s="33" t="e">
        <f>HLOOKUP(B5563,#REF!,1,0)</f>
        <v>#REF!</v>
      </c>
      <c r="M5563" s="33" t="str">
        <f t="shared" si="347"/>
        <v>P&amp;L</v>
      </c>
    </row>
    <row r="5564" spans="1:13" s="33" customFormat="true" ht="12.75" customHeight="true">
      <c r="A5564" s="33" t="str">
        <f t="shared" si="344"/>
        <v>HN2 - Operating Expense</v>
      </c>
      <c r="B5564" s="33" t="str">
        <f t="shared" si="345"/>
        <v>HN2</v>
      </c>
      <c r="C5564" s="33" t="str">
        <f t="shared" si="346"/>
        <v>60507-7358</v>
      </c>
      <c r="D5564" s="64" t="s">
        <v>6638</v>
      </c>
      <c r="E5564" s="64" t="s">
        <v>3050</v>
      </c>
      <c r="F5564" s="64" t="s">
        <v>15</v>
      </c>
      <c r="G5564" s="64" t="s">
        <v>3021</v>
      </c>
      <c r="H5564" s="64" t="s">
        <v>3022</v>
      </c>
      <c r="I5564" s="64" t="s">
        <v>3051</v>
      </c>
      <c r="J5564" s="67">
        <v>474.69</v>
      </c>
      <c r="K5564" s="62">
        <v>4807.32</v>
      </c>
      <c r="L5564" s="33" t="e">
        <f>HLOOKUP(B5564,#REF!,1,0)</f>
        <v>#REF!</v>
      </c>
      <c r="M5564" s="33" t="str">
        <f t="shared" si="347"/>
        <v>P&amp;L</v>
      </c>
    </row>
    <row r="5565" spans="1:13" s="33" customFormat="true" ht="12.75" customHeight="true">
      <c r="A5565" s="33" t="str">
        <f t="shared" si="344"/>
        <v>HN2 - Operating Expense</v>
      </c>
      <c r="B5565" s="33" t="str">
        <f t="shared" si="345"/>
        <v>HN2</v>
      </c>
      <c r="C5565" s="33" t="str">
        <f t="shared" si="346"/>
        <v>60507-7372</v>
      </c>
      <c r="D5565" s="64" t="s">
        <v>6639</v>
      </c>
      <c r="E5565" s="64" t="s">
        <v>3050</v>
      </c>
      <c r="F5565" s="64" t="s">
        <v>15</v>
      </c>
      <c r="G5565" s="64" t="s">
        <v>3021</v>
      </c>
      <c r="H5565" s="64" t="s">
        <v>3022</v>
      </c>
      <c r="I5565" s="64" t="s">
        <v>3051</v>
      </c>
      <c r="J5565" s="67">
        <v>745.69</v>
      </c>
      <c r="K5565" s="62">
        <v>7770.86</v>
      </c>
      <c r="L5565" s="33" t="e">
        <f>HLOOKUP(B5565,#REF!,1,0)</f>
        <v>#REF!</v>
      </c>
      <c r="M5565" s="33" t="str">
        <f t="shared" si="347"/>
        <v>P&amp;L</v>
      </c>
    </row>
    <row r="5566" spans="1:13" s="33" customFormat="true" ht="12.75" customHeight="true">
      <c r="A5566" s="33" t="str">
        <f t="shared" si="344"/>
        <v>HN2 - Operating Expense</v>
      </c>
      <c r="B5566" s="33" t="str">
        <f t="shared" si="345"/>
        <v>HN2</v>
      </c>
      <c r="C5566" s="33" t="str">
        <f t="shared" si="346"/>
        <v>60507-7384</v>
      </c>
      <c r="D5566" s="64" t="s">
        <v>6640</v>
      </c>
      <c r="E5566" s="64" t="s">
        <v>3050</v>
      </c>
      <c r="F5566" s="64" t="s">
        <v>15</v>
      </c>
      <c r="G5566" s="64" t="s">
        <v>3021</v>
      </c>
      <c r="H5566" s="64" t="s">
        <v>3022</v>
      </c>
      <c r="I5566" s="64" t="s">
        <v>3051</v>
      </c>
      <c r="J5566" s="67">
        <v>637.91</v>
      </c>
      <c r="K5566" s="62">
        <v>6170.75</v>
      </c>
      <c r="L5566" s="33" t="e">
        <f>HLOOKUP(B5566,#REF!,1,0)</f>
        <v>#REF!</v>
      </c>
      <c r="M5566" s="33" t="str">
        <f t="shared" si="347"/>
        <v>P&amp;L</v>
      </c>
    </row>
    <row r="5567" spans="1:13" s="33" customFormat="true" ht="12.75" customHeight="true">
      <c r="A5567" s="33" t="str">
        <f t="shared" si="344"/>
        <v>HN2 - Operating Expense</v>
      </c>
      <c r="B5567" s="33" t="str">
        <f t="shared" si="345"/>
        <v>HN2</v>
      </c>
      <c r="C5567" s="33" t="str">
        <f t="shared" si="346"/>
        <v>60507-7626</v>
      </c>
      <c r="D5567" s="64" t="s">
        <v>6641</v>
      </c>
      <c r="E5567" s="64" t="s">
        <v>3050</v>
      </c>
      <c r="F5567" s="64" t="s">
        <v>15</v>
      </c>
      <c r="G5567" s="64" t="s">
        <v>3021</v>
      </c>
      <c r="H5567" s="64" t="s">
        <v>3022</v>
      </c>
      <c r="I5567" s="64" t="s">
        <v>3051</v>
      </c>
      <c r="J5567" s="67">
        <v>661.88</v>
      </c>
      <c r="K5567" s="62">
        <v>4676.22</v>
      </c>
      <c r="L5567" s="33" t="e">
        <f>HLOOKUP(B5567,#REF!,1,0)</f>
        <v>#REF!</v>
      </c>
      <c r="M5567" s="33" t="str">
        <f t="shared" si="347"/>
        <v>P&amp;L</v>
      </c>
    </row>
    <row r="5568" spans="1:13" s="33" customFormat="true" ht="12.75" customHeight="true">
      <c r="A5568" s="33" t="str">
        <f t="shared" si="344"/>
        <v>HN2 - Operating Expense</v>
      </c>
      <c r="B5568" s="33" t="str">
        <f t="shared" si="345"/>
        <v>HN2</v>
      </c>
      <c r="C5568" s="33" t="str">
        <f t="shared" si="346"/>
        <v>60509-7358</v>
      </c>
      <c r="D5568" s="64" t="s">
        <v>6642</v>
      </c>
      <c r="E5568" s="64" t="s">
        <v>3056</v>
      </c>
      <c r="F5568" s="64" t="s">
        <v>15</v>
      </c>
      <c r="G5568" s="64" t="s">
        <v>3021</v>
      </c>
      <c r="H5568" s="64" t="s">
        <v>3022</v>
      </c>
      <c r="I5568" s="64" t="s">
        <v>3051</v>
      </c>
      <c r="J5568" s="67">
        <v>0</v>
      </c>
      <c r="K5568" s="62">
        <v>1253.96</v>
      </c>
      <c r="L5568" s="33" t="e">
        <f>HLOOKUP(B5568,#REF!,1,0)</f>
        <v>#REF!</v>
      </c>
      <c r="M5568" s="33" t="str">
        <f t="shared" si="347"/>
        <v>P&amp;L</v>
      </c>
    </row>
    <row r="5569" spans="1:13" s="33" customFormat="true" ht="12.75" customHeight="true">
      <c r="A5569" s="33" t="str">
        <f t="shared" si="344"/>
        <v>HN2 - Operating Expense</v>
      </c>
      <c r="B5569" s="33" t="str">
        <f t="shared" si="345"/>
        <v>HN2</v>
      </c>
      <c r="C5569" s="33" t="str">
        <f t="shared" si="346"/>
        <v>60509-7372</v>
      </c>
      <c r="D5569" s="64" t="s">
        <v>6643</v>
      </c>
      <c r="E5569" s="64" t="s">
        <v>3056</v>
      </c>
      <c r="F5569" s="64" t="s">
        <v>15</v>
      </c>
      <c r="G5569" s="64" t="s">
        <v>3021</v>
      </c>
      <c r="H5569" s="64" t="s">
        <v>3022</v>
      </c>
      <c r="I5569" s="64" t="s">
        <v>3051</v>
      </c>
      <c r="J5569" s="67">
        <v>152.51</v>
      </c>
      <c r="K5569" s="62">
        <v>954.83</v>
      </c>
      <c r="L5569" s="33" t="e">
        <f>HLOOKUP(B5569,#REF!,1,0)</f>
        <v>#REF!</v>
      </c>
      <c r="M5569" s="33" t="str">
        <f t="shared" si="347"/>
        <v>P&amp;L</v>
      </c>
    </row>
    <row r="5570" spans="1:13" s="33" customFormat="true" ht="12.75" customHeight="true">
      <c r="A5570" s="33" t="str">
        <f t="shared" ref="A5570:A5633" si="348">B5570&amp;" - "&amp;TRIM(H5570)</f>
        <v>HN2 - Operating Expense</v>
      </c>
      <c r="B5570" s="33" t="str">
        <f t="shared" ref="B5570:B5633" si="349">LEFT(D5570,3)</f>
        <v>HN2</v>
      </c>
      <c r="C5570" s="33" t="str">
        <f t="shared" ref="C5570:C5633" si="350">RIGHT(D5570,10)</f>
        <v>60509-7384</v>
      </c>
      <c r="D5570" s="64" t="s">
        <v>6644</v>
      </c>
      <c r="E5570" s="64" t="s">
        <v>3056</v>
      </c>
      <c r="F5570" s="64" t="s">
        <v>15</v>
      </c>
      <c r="G5570" s="64" t="s">
        <v>3021</v>
      </c>
      <c r="H5570" s="64" t="s">
        <v>3022</v>
      </c>
      <c r="I5570" s="64" t="s">
        <v>3051</v>
      </c>
      <c r="J5570" s="67">
        <v>48.55</v>
      </c>
      <c r="K5570" s="62">
        <v>566.37</v>
      </c>
      <c r="L5570" s="33" t="e">
        <f>HLOOKUP(B5570,#REF!,1,0)</f>
        <v>#REF!</v>
      </c>
      <c r="M5570" s="33" t="str">
        <f t="shared" ref="M5570:M5633" si="351">IF(VALUE(LEFT(C5570,5))&gt;40000,"P&amp;L","BS")</f>
        <v>P&amp;L</v>
      </c>
    </row>
    <row r="5571" spans="1:13" s="33" customFormat="true" ht="12.75" customHeight="true">
      <c r="A5571" s="33" t="str">
        <f t="shared" si="348"/>
        <v>HN2 - Operating Expense</v>
      </c>
      <c r="B5571" s="33" t="str">
        <f t="shared" si="349"/>
        <v>HN2</v>
      </c>
      <c r="C5571" s="33" t="str">
        <f t="shared" si="350"/>
        <v>60509-7626</v>
      </c>
      <c r="D5571" s="64" t="s">
        <v>6645</v>
      </c>
      <c r="E5571" s="64" t="s">
        <v>3056</v>
      </c>
      <c r="F5571" s="64" t="s">
        <v>15</v>
      </c>
      <c r="G5571" s="64" t="s">
        <v>3021</v>
      </c>
      <c r="H5571" s="64" t="s">
        <v>3022</v>
      </c>
      <c r="I5571" s="64" t="s">
        <v>3051</v>
      </c>
      <c r="J5571" s="67">
        <v>57.63</v>
      </c>
      <c r="K5571" s="62">
        <v>442.63</v>
      </c>
      <c r="L5571" s="33" t="e">
        <f>HLOOKUP(B5571,#REF!,1,0)</f>
        <v>#REF!</v>
      </c>
      <c r="M5571" s="33" t="str">
        <f t="shared" si="351"/>
        <v>P&amp;L</v>
      </c>
    </row>
    <row r="5572" spans="1:13" s="33" customFormat="true" ht="12.75" customHeight="true">
      <c r="A5572" s="33" t="str">
        <f t="shared" si="348"/>
        <v>HN2 - Operating Expense</v>
      </c>
      <c r="B5572" s="33" t="str">
        <f t="shared" si="349"/>
        <v>HN2</v>
      </c>
      <c r="C5572" s="33" t="str">
        <f t="shared" si="350"/>
        <v>61001-7372</v>
      </c>
      <c r="D5572" s="64" t="s">
        <v>6646</v>
      </c>
      <c r="E5572" s="64" t="s">
        <v>3062</v>
      </c>
      <c r="F5572" s="64" t="s">
        <v>15</v>
      </c>
      <c r="G5572" s="64" t="s">
        <v>3021</v>
      </c>
      <c r="H5572" s="64" t="s">
        <v>3022</v>
      </c>
      <c r="I5572" s="64" t="s">
        <v>3063</v>
      </c>
      <c r="J5572" s="67">
        <v>0</v>
      </c>
      <c r="K5572" s="62">
        <v>124.07</v>
      </c>
      <c r="L5572" s="33" t="e">
        <f>HLOOKUP(B5572,#REF!,1,0)</f>
        <v>#REF!</v>
      </c>
      <c r="M5572" s="33" t="str">
        <f t="shared" si="351"/>
        <v>P&amp;L</v>
      </c>
    </row>
    <row r="5573" spans="1:13" s="33" customFormat="true" ht="12.75" customHeight="true">
      <c r="A5573" s="33" t="str">
        <f t="shared" si="348"/>
        <v>HN2 - Operating Expense</v>
      </c>
      <c r="B5573" s="33" t="str">
        <f t="shared" si="349"/>
        <v>HN2</v>
      </c>
      <c r="C5573" s="33" t="str">
        <f t="shared" si="350"/>
        <v>61001-7384</v>
      </c>
      <c r="D5573" s="64" t="s">
        <v>6647</v>
      </c>
      <c r="E5573" s="64" t="s">
        <v>3062</v>
      </c>
      <c r="F5573" s="64" t="s">
        <v>15</v>
      </c>
      <c r="G5573" s="64" t="s">
        <v>3021</v>
      </c>
      <c r="H5573" s="64" t="s">
        <v>3022</v>
      </c>
      <c r="I5573" s="64" t="s">
        <v>3063</v>
      </c>
      <c r="J5573" s="67">
        <v>0</v>
      </c>
      <c r="K5573" s="62">
        <v>124.74</v>
      </c>
      <c r="L5573" s="33" t="e">
        <f>HLOOKUP(B5573,#REF!,1,0)</f>
        <v>#REF!</v>
      </c>
      <c r="M5573" s="33" t="str">
        <f t="shared" si="351"/>
        <v>P&amp;L</v>
      </c>
    </row>
    <row r="5574" spans="1:13" s="33" customFormat="true" ht="12.75" customHeight="true">
      <c r="A5574" s="33" t="str">
        <f t="shared" si="348"/>
        <v>HN2 - Operating Expense</v>
      </c>
      <c r="B5574" s="33" t="str">
        <f t="shared" si="349"/>
        <v>HN2</v>
      </c>
      <c r="C5574" s="33" t="str">
        <f t="shared" si="350"/>
        <v>61001-7626</v>
      </c>
      <c r="D5574" s="64" t="s">
        <v>6648</v>
      </c>
      <c r="E5574" s="64" t="s">
        <v>3062</v>
      </c>
      <c r="F5574" s="64" t="s">
        <v>15</v>
      </c>
      <c r="G5574" s="64" t="s">
        <v>3021</v>
      </c>
      <c r="H5574" s="64" t="s">
        <v>3022</v>
      </c>
      <c r="I5574" s="64" t="s">
        <v>3063</v>
      </c>
      <c r="J5574" s="67">
        <v>0</v>
      </c>
      <c r="K5574" s="62">
        <v>124.03</v>
      </c>
      <c r="L5574" s="33" t="e">
        <f>HLOOKUP(B5574,#REF!,1,0)</f>
        <v>#REF!</v>
      </c>
      <c r="M5574" s="33" t="str">
        <f t="shared" si="351"/>
        <v>P&amp;L</v>
      </c>
    </row>
    <row r="5575" spans="1:13" s="33" customFormat="true" ht="12.75" customHeight="true">
      <c r="A5575" s="33" t="str">
        <f t="shared" si="348"/>
        <v>HN2 - Operating Expense</v>
      </c>
      <c r="B5575" s="33" t="str">
        <f t="shared" si="349"/>
        <v>HN2</v>
      </c>
      <c r="C5575" s="33" t="str">
        <f t="shared" si="350"/>
        <v>61002-0000</v>
      </c>
      <c r="D5575" s="64" t="s">
        <v>6649</v>
      </c>
      <c r="E5575" s="64" t="s">
        <v>3067</v>
      </c>
      <c r="F5575" s="64" t="s">
        <v>15</v>
      </c>
      <c r="G5575" s="64" t="s">
        <v>3035</v>
      </c>
      <c r="H5575" s="64" t="s">
        <v>3022</v>
      </c>
      <c r="I5575" s="64" t="s">
        <v>3036</v>
      </c>
      <c r="J5575" s="67">
        <v>0</v>
      </c>
      <c r="K5575" s="62">
        <v>53.44</v>
      </c>
      <c r="L5575" s="33" t="e">
        <f>HLOOKUP(B5575,#REF!,1,0)</f>
        <v>#REF!</v>
      </c>
      <c r="M5575" s="33" t="str">
        <f t="shared" si="351"/>
        <v>P&amp;L</v>
      </c>
    </row>
    <row r="5576" spans="1:13" s="33" customFormat="true" ht="12.75" customHeight="true">
      <c r="A5576" s="33" t="str">
        <f t="shared" si="348"/>
        <v>HN2 - Operating Expense</v>
      </c>
      <c r="B5576" s="33" t="str">
        <f t="shared" si="349"/>
        <v>HN2</v>
      </c>
      <c r="C5576" s="33" t="str">
        <f t="shared" si="350"/>
        <v>61002-7358</v>
      </c>
      <c r="D5576" s="64" t="s">
        <v>6650</v>
      </c>
      <c r="E5576" s="64" t="s">
        <v>3067</v>
      </c>
      <c r="F5576" s="64" t="s">
        <v>15</v>
      </c>
      <c r="G5576" s="64" t="s">
        <v>3035</v>
      </c>
      <c r="H5576" s="64" t="s">
        <v>3022</v>
      </c>
      <c r="I5576" s="64" t="s">
        <v>3036</v>
      </c>
      <c r="J5576" s="67">
        <v>0</v>
      </c>
      <c r="K5576" s="62">
        <v>409.93</v>
      </c>
      <c r="L5576" s="33" t="e">
        <f>HLOOKUP(B5576,#REF!,1,0)</f>
        <v>#REF!</v>
      </c>
      <c r="M5576" s="33" t="str">
        <f t="shared" si="351"/>
        <v>P&amp;L</v>
      </c>
    </row>
    <row r="5577" spans="1:13" s="33" customFormat="true" ht="12.75" customHeight="true">
      <c r="A5577" s="33" t="str">
        <f t="shared" si="348"/>
        <v>HN2 - Operating Expense</v>
      </c>
      <c r="B5577" s="33" t="str">
        <f t="shared" si="349"/>
        <v>HN2</v>
      </c>
      <c r="C5577" s="33" t="str">
        <f t="shared" si="350"/>
        <v>61002-7372</v>
      </c>
      <c r="D5577" s="64" t="s">
        <v>6651</v>
      </c>
      <c r="E5577" s="64" t="s">
        <v>3067</v>
      </c>
      <c r="F5577" s="64" t="s">
        <v>15</v>
      </c>
      <c r="G5577" s="64" t="s">
        <v>3035</v>
      </c>
      <c r="H5577" s="64" t="s">
        <v>3022</v>
      </c>
      <c r="I5577" s="64" t="s">
        <v>3036</v>
      </c>
      <c r="J5577" s="67">
        <v>0</v>
      </c>
      <c r="K5577" s="62">
        <v>2077.96</v>
      </c>
      <c r="L5577" s="33" t="e">
        <f>HLOOKUP(B5577,#REF!,1,0)</f>
        <v>#REF!</v>
      </c>
      <c r="M5577" s="33" t="str">
        <f t="shared" si="351"/>
        <v>P&amp;L</v>
      </c>
    </row>
    <row r="5578" spans="1:13" s="33" customFormat="true" ht="12.75" customHeight="true">
      <c r="A5578" s="33" t="str">
        <f t="shared" si="348"/>
        <v>HN2 - Operating Expense</v>
      </c>
      <c r="B5578" s="33" t="str">
        <f t="shared" si="349"/>
        <v>HN2</v>
      </c>
      <c r="C5578" s="33" t="str">
        <f t="shared" si="350"/>
        <v>61002-7384</v>
      </c>
      <c r="D5578" s="64" t="s">
        <v>6652</v>
      </c>
      <c r="E5578" s="64" t="s">
        <v>3067</v>
      </c>
      <c r="F5578" s="64" t="s">
        <v>15</v>
      </c>
      <c r="G5578" s="64" t="s">
        <v>3035</v>
      </c>
      <c r="H5578" s="64" t="s">
        <v>3022</v>
      </c>
      <c r="I5578" s="64" t="s">
        <v>3036</v>
      </c>
      <c r="J5578" s="67">
        <v>0</v>
      </c>
      <c r="K5578" s="62">
        <v>261.64</v>
      </c>
      <c r="L5578" s="33" t="e">
        <f>HLOOKUP(B5578,#REF!,1,0)</f>
        <v>#REF!</v>
      </c>
      <c r="M5578" s="33" t="str">
        <f t="shared" si="351"/>
        <v>P&amp;L</v>
      </c>
    </row>
    <row r="5579" spans="1:13" s="33" customFormat="true" ht="12.75" customHeight="true">
      <c r="A5579" s="33" t="str">
        <f t="shared" si="348"/>
        <v>HN2 - Operating Expense</v>
      </c>
      <c r="B5579" s="33" t="str">
        <f t="shared" si="349"/>
        <v>HN2</v>
      </c>
      <c r="C5579" s="33" t="str">
        <f t="shared" si="350"/>
        <v>61002-7626</v>
      </c>
      <c r="D5579" s="64" t="s">
        <v>6653</v>
      </c>
      <c r="E5579" s="64" t="s">
        <v>3067</v>
      </c>
      <c r="F5579" s="64" t="s">
        <v>15</v>
      </c>
      <c r="G5579" s="64" t="s">
        <v>3035</v>
      </c>
      <c r="H5579" s="64" t="s">
        <v>3022</v>
      </c>
      <c r="I5579" s="64" t="s">
        <v>3036</v>
      </c>
      <c r="J5579" s="67">
        <v>0</v>
      </c>
      <c r="K5579" s="62">
        <v>165.57</v>
      </c>
      <c r="L5579" s="33" t="e">
        <f>HLOOKUP(B5579,#REF!,1,0)</f>
        <v>#REF!</v>
      </c>
      <c r="M5579" s="33" t="str">
        <f t="shared" si="351"/>
        <v>P&amp;L</v>
      </c>
    </row>
    <row r="5580" spans="1:13" s="33" customFormat="true" ht="12.75" customHeight="true">
      <c r="A5580" s="33" t="str">
        <f t="shared" si="348"/>
        <v>HN2 - Operating Expense</v>
      </c>
      <c r="B5580" s="33" t="str">
        <f t="shared" si="349"/>
        <v>HN2</v>
      </c>
      <c r="C5580" s="33" t="str">
        <f t="shared" si="350"/>
        <v>61201-7358</v>
      </c>
      <c r="D5580" s="64" t="s">
        <v>6654</v>
      </c>
      <c r="E5580" s="64" t="s">
        <v>3073</v>
      </c>
      <c r="F5580" s="64" t="s">
        <v>15</v>
      </c>
      <c r="G5580" s="64" t="s">
        <v>3035</v>
      </c>
      <c r="H5580" s="64" t="s">
        <v>3022</v>
      </c>
      <c r="I5580" s="64" t="s">
        <v>3074</v>
      </c>
      <c r="J5580" s="67">
        <v>119.35</v>
      </c>
      <c r="K5580" s="62">
        <v>2792.47</v>
      </c>
      <c r="L5580" s="33" t="e">
        <f>HLOOKUP(B5580,#REF!,1,0)</f>
        <v>#REF!</v>
      </c>
      <c r="M5580" s="33" t="str">
        <f t="shared" si="351"/>
        <v>P&amp;L</v>
      </c>
    </row>
    <row r="5581" spans="1:13" s="33" customFormat="true" ht="12.75" customHeight="true">
      <c r="A5581" s="33" t="str">
        <f t="shared" si="348"/>
        <v>HN2 - Operating Expense</v>
      </c>
      <c r="B5581" s="33" t="str">
        <f t="shared" si="349"/>
        <v>HN2</v>
      </c>
      <c r="C5581" s="33" t="str">
        <f t="shared" si="350"/>
        <v>61201-7372</v>
      </c>
      <c r="D5581" s="64" t="s">
        <v>6655</v>
      </c>
      <c r="E5581" s="64" t="s">
        <v>3073</v>
      </c>
      <c r="F5581" s="64" t="s">
        <v>15</v>
      </c>
      <c r="G5581" s="64" t="s">
        <v>3035</v>
      </c>
      <c r="H5581" s="64" t="s">
        <v>3022</v>
      </c>
      <c r="I5581" s="64" t="s">
        <v>3074</v>
      </c>
      <c r="J5581" s="67">
        <v>269.35</v>
      </c>
      <c r="K5581" s="62">
        <v>2885.62</v>
      </c>
      <c r="L5581" s="33" t="e">
        <f>HLOOKUP(B5581,#REF!,1,0)</f>
        <v>#REF!</v>
      </c>
      <c r="M5581" s="33" t="str">
        <f t="shared" si="351"/>
        <v>P&amp;L</v>
      </c>
    </row>
    <row r="5582" spans="1:13" s="33" customFormat="true" ht="12.75" customHeight="true">
      <c r="A5582" s="33" t="str">
        <f t="shared" si="348"/>
        <v>HN2 - Operating Expense</v>
      </c>
      <c r="B5582" s="33" t="str">
        <f t="shared" si="349"/>
        <v>HN2</v>
      </c>
      <c r="C5582" s="33" t="str">
        <f t="shared" si="350"/>
        <v>61201-7384</v>
      </c>
      <c r="D5582" s="64" t="s">
        <v>6656</v>
      </c>
      <c r="E5582" s="64" t="s">
        <v>3073</v>
      </c>
      <c r="F5582" s="64" t="s">
        <v>15</v>
      </c>
      <c r="G5582" s="64" t="s">
        <v>3035</v>
      </c>
      <c r="H5582" s="64" t="s">
        <v>3022</v>
      </c>
      <c r="I5582" s="64" t="s">
        <v>3074</v>
      </c>
      <c r="J5582" s="67">
        <v>119.35</v>
      </c>
      <c r="K5582" s="62">
        <v>2667.42</v>
      </c>
      <c r="L5582" s="33" t="e">
        <f>HLOOKUP(B5582,#REF!,1,0)</f>
        <v>#REF!</v>
      </c>
      <c r="M5582" s="33" t="str">
        <f t="shared" si="351"/>
        <v>P&amp;L</v>
      </c>
    </row>
    <row r="5583" spans="1:13" s="33" customFormat="true" ht="12.75" customHeight="true">
      <c r="A5583" s="33" t="str">
        <f t="shared" si="348"/>
        <v>HN2 - Operating Expense</v>
      </c>
      <c r="B5583" s="33" t="str">
        <f t="shared" si="349"/>
        <v>HN2</v>
      </c>
      <c r="C5583" s="33" t="str">
        <f t="shared" si="350"/>
        <v>61201-7626</v>
      </c>
      <c r="D5583" s="64" t="s">
        <v>6657</v>
      </c>
      <c r="E5583" s="64" t="s">
        <v>3073</v>
      </c>
      <c r="F5583" s="64" t="s">
        <v>15</v>
      </c>
      <c r="G5583" s="64" t="s">
        <v>3035</v>
      </c>
      <c r="H5583" s="64" t="s">
        <v>3022</v>
      </c>
      <c r="I5583" s="64" t="s">
        <v>3074</v>
      </c>
      <c r="J5583" s="67">
        <v>119.35</v>
      </c>
      <c r="K5583" s="62">
        <v>2667.42</v>
      </c>
      <c r="L5583" s="33" t="e">
        <f>HLOOKUP(B5583,#REF!,1,0)</f>
        <v>#REF!</v>
      </c>
      <c r="M5583" s="33" t="str">
        <f t="shared" si="351"/>
        <v>P&amp;L</v>
      </c>
    </row>
    <row r="5584" spans="1:13" s="33" customFormat="true" ht="12.75" customHeight="true">
      <c r="A5584" s="33" t="str">
        <f t="shared" si="348"/>
        <v>HN2 - Operating Expense</v>
      </c>
      <c r="B5584" s="33" t="str">
        <f t="shared" si="349"/>
        <v>HN2</v>
      </c>
      <c r="C5584" s="33" t="str">
        <f t="shared" si="350"/>
        <v>61501-7358</v>
      </c>
      <c r="D5584" s="64" t="s">
        <v>6658</v>
      </c>
      <c r="E5584" s="64" t="s">
        <v>3079</v>
      </c>
      <c r="F5584" s="64" t="s">
        <v>15</v>
      </c>
      <c r="G5584" s="64" t="s">
        <v>3035</v>
      </c>
      <c r="H5584" s="64" t="s">
        <v>3022</v>
      </c>
      <c r="I5584" s="64" t="s">
        <v>3036</v>
      </c>
      <c r="J5584" s="67">
        <v>0</v>
      </c>
      <c r="K5584" s="62">
        <v>78.58</v>
      </c>
      <c r="L5584" s="33" t="e">
        <f>HLOOKUP(B5584,#REF!,1,0)</f>
        <v>#REF!</v>
      </c>
      <c r="M5584" s="33" t="str">
        <f t="shared" si="351"/>
        <v>P&amp;L</v>
      </c>
    </row>
    <row r="5585" spans="1:13" s="33" customFormat="true" ht="12.75" customHeight="true">
      <c r="A5585" s="33" t="str">
        <f t="shared" si="348"/>
        <v>HN2 - Operating Expense</v>
      </c>
      <c r="B5585" s="33" t="str">
        <f t="shared" si="349"/>
        <v>HN2</v>
      </c>
      <c r="C5585" s="33" t="str">
        <f t="shared" si="350"/>
        <v>61501-7372</v>
      </c>
      <c r="D5585" s="64" t="s">
        <v>6659</v>
      </c>
      <c r="E5585" s="64" t="s">
        <v>3079</v>
      </c>
      <c r="F5585" s="64" t="s">
        <v>15</v>
      </c>
      <c r="G5585" s="64" t="s">
        <v>3035</v>
      </c>
      <c r="H5585" s="64" t="s">
        <v>3022</v>
      </c>
      <c r="I5585" s="64" t="s">
        <v>3036</v>
      </c>
      <c r="J5585" s="67">
        <v>0</v>
      </c>
      <c r="K5585" s="62">
        <v>94.77</v>
      </c>
      <c r="L5585" s="33" t="e">
        <f>HLOOKUP(B5585,#REF!,1,0)</f>
        <v>#REF!</v>
      </c>
      <c r="M5585" s="33" t="str">
        <f t="shared" si="351"/>
        <v>P&amp;L</v>
      </c>
    </row>
    <row r="5586" spans="1:13" s="33" customFormat="true" ht="12.75" customHeight="true">
      <c r="A5586" s="33" t="str">
        <f t="shared" si="348"/>
        <v>HN2 - Operating Expense</v>
      </c>
      <c r="B5586" s="33" t="str">
        <f t="shared" si="349"/>
        <v>HN2</v>
      </c>
      <c r="C5586" s="33" t="str">
        <f t="shared" si="350"/>
        <v>61501-7626</v>
      </c>
      <c r="D5586" s="64" t="s">
        <v>6660</v>
      </c>
      <c r="E5586" s="64" t="s">
        <v>3079</v>
      </c>
      <c r="F5586" s="64" t="s">
        <v>15</v>
      </c>
      <c r="G5586" s="64" t="s">
        <v>3035</v>
      </c>
      <c r="H5586" s="64" t="s">
        <v>3022</v>
      </c>
      <c r="I5586" s="64" t="s">
        <v>3036</v>
      </c>
      <c r="J5586" s="67">
        <v>0</v>
      </c>
      <c r="K5586" s="62">
        <v>94.75</v>
      </c>
      <c r="L5586" s="33" t="e">
        <f>HLOOKUP(B5586,#REF!,1,0)</f>
        <v>#REF!</v>
      </c>
      <c r="M5586" s="33" t="str">
        <f t="shared" si="351"/>
        <v>P&amp;L</v>
      </c>
    </row>
    <row r="5587" spans="1:13" s="33" customFormat="true" ht="12.75" customHeight="true">
      <c r="A5587" s="33" t="str">
        <f t="shared" si="348"/>
        <v>HN2 - Operating Expense</v>
      </c>
      <c r="B5587" s="33" t="str">
        <f t="shared" si="349"/>
        <v>HN2</v>
      </c>
      <c r="C5587" s="33" t="str">
        <f t="shared" si="350"/>
        <v>61502-7358</v>
      </c>
      <c r="D5587" s="64" t="s">
        <v>6661</v>
      </c>
      <c r="E5587" s="64" t="s">
        <v>3084</v>
      </c>
      <c r="F5587" s="64" t="s">
        <v>15</v>
      </c>
      <c r="G5587" s="64" t="s">
        <v>3035</v>
      </c>
      <c r="H5587" s="64" t="s">
        <v>3022</v>
      </c>
      <c r="I5587" s="64" t="s">
        <v>3036</v>
      </c>
      <c r="J5587" s="67">
        <v>0</v>
      </c>
      <c r="K5587" s="62">
        <v>5017.9</v>
      </c>
      <c r="L5587" s="33" t="e">
        <f>HLOOKUP(B5587,#REF!,1,0)</f>
        <v>#REF!</v>
      </c>
      <c r="M5587" s="33" t="str">
        <f t="shared" si="351"/>
        <v>P&amp;L</v>
      </c>
    </row>
    <row r="5588" spans="1:13" s="33" customFormat="true" ht="12.75" customHeight="true">
      <c r="A5588" s="33" t="str">
        <f t="shared" si="348"/>
        <v>HN2 - Operating Expense</v>
      </c>
      <c r="B5588" s="33" t="str">
        <f t="shared" si="349"/>
        <v>HN2</v>
      </c>
      <c r="C5588" s="33" t="str">
        <f t="shared" si="350"/>
        <v>61505-7358</v>
      </c>
      <c r="D5588" s="64" t="s">
        <v>6662</v>
      </c>
      <c r="E5588" s="64" t="s">
        <v>4934</v>
      </c>
      <c r="F5588" s="64" t="s">
        <v>15</v>
      </c>
      <c r="G5588" s="64" t="s">
        <v>3044</v>
      </c>
      <c r="H5588" s="64" t="s">
        <v>3022</v>
      </c>
      <c r="I5588" s="64" t="s">
        <v>3045</v>
      </c>
      <c r="J5588" s="67">
        <v>0</v>
      </c>
      <c r="K5588" s="62">
        <v>35.71</v>
      </c>
      <c r="L5588" s="33" t="e">
        <f>HLOOKUP(B5588,#REF!,1,0)</f>
        <v>#REF!</v>
      </c>
      <c r="M5588" s="33" t="str">
        <f t="shared" si="351"/>
        <v>P&amp;L</v>
      </c>
    </row>
    <row r="5589" spans="1:13" s="33" customFormat="true" ht="12.75" customHeight="true">
      <c r="A5589" s="33" t="str">
        <f t="shared" si="348"/>
        <v>HN2 - Operating Expense</v>
      </c>
      <c r="B5589" s="33" t="str">
        <f t="shared" si="349"/>
        <v>HN2</v>
      </c>
      <c r="C5589" s="33" t="str">
        <f t="shared" si="350"/>
        <v>61505-7372</v>
      </c>
      <c r="D5589" s="64" t="s">
        <v>6663</v>
      </c>
      <c r="E5589" s="64" t="s">
        <v>4934</v>
      </c>
      <c r="F5589" s="64" t="s">
        <v>15</v>
      </c>
      <c r="G5589" s="64" t="s">
        <v>3044</v>
      </c>
      <c r="H5589" s="64" t="s">
        <v>3022</v>
      </c>
      <c r="I5589" s="64" t="s">
        <v>3045</v>
      </c>
      <c r="J5589" s="67">
        <v>0</v>
      </c>
      <c r="K5589" s="62">
        <v>35.71</v>
      </c>
      <c r="L5589" s="33" t="e">
        <f>HLOOKUP(B5589,#REF!,1,0)</f>
        <v>#REF!</v>
      </c>
      <c r="M5589" s="33" t="str">
        <f t="shared" si="351"/>
        <v>P&amp;L</v>
      </c>
    </row>
    <row r="5590" spans="1:13" s="33" customFormat="true" ht="12.75" customHeight="true">
      <c r="A5590" s="33" t="str">
        <f t="shared" si="348"/>
        <v>HN2 - Operating Expense</v>
      </c>
      <c r="B5590" s="33" t="str">
        <f t="shared" si="349"/>
        <v>HN2</v>
      </c>
      <c r="C5590" s="33" t="str">
        <f t="shared" si="350"/>
        <v>61505-7384</v>
      </c>
      <c r="D5590" s="64" t="s">
        <v>6664</v>
      </c>
      <c r="E5590" s="64" t="s">
        <v>4934</v>
      </c>
      <c r="F5590" s="64" t="s">
        <v>15</v>
      </c>
      <c r="G5590" s="64" t="s">
        <v>3044</v>
      </c>
      <c r="H5590" s="64" t="s">
        <v>3022</v>
      </c>
      <c r="I5590" s="64" t="s">
        <v>3045</v>
      </c>
      <c r="J5590" s="67">
        <v>0</v>
      </c>
      <c r="K5590" s="62">
        <v>35.72</v>
      </c>
      <c r="L5590" s="33" t="e">
        <f>HLOOKUP(B5590,#REF!,1,0)</f>
        <v>#REF!</v>
      </c>
      <c r="M5590" s="33" t="str">
        <f t="shared" si="351"/>
        <v>P&amp;L</v>
      </c>
    </row>
    <row r="5591" spans="1:13" s="33" customFormat="true" ht="12.75" customHeight="true">
      <c r="A5591" s="33" t="str">
        <f t="shared" si="348"/>
        <v>HN2 - Operating Expense</v>
      </c>
      <c r="B5591" s="33" t="str">
        <f t="shared" si="349"/>
        <v>HN2</v>
      </c>
      <c r="C5591" s="33" t="str">
        <f t="shared" si="350"/>
        <v>61505-7626</v>
      </c>
      <c r="D5591" s="64" t="s">
        <v>6665</v>
      </c>
      <c r="E5591" s="64" t="s">
        <v>4934</v>
      </c>
      <c r="F5591" s="64" t="s">
        <v>15</v>
      </c>
      <c r="G5591" s="64" t="s">
        <v>3044</v>
      </c>
      <c r="H5591" s="64" t="s">
        <v>3022</v>
      </c>
      <c r="I5591" s="64" t="s">
        <v>3045</v>
      </c>
      <c r="J5591" s="67">
        <v>0</v>
      </c>
      <c r="K5591" s="62">
        <v>35.71</v>
      </c>
      <c r="L5591" s="33" t="e">
        <f>HLOOKUP(B5591,#REF!,1,0)</f>
        <v>#REF!</v>
      </c>
      <c r="M5591" s="33" t="str">
        <f t="shared" si="351"/>
        <v>P&amp;L</v>
      </c>
    </row>
    <row r="5592" spans="1:13" s="33" customFormat="true" ht="12.75" customHeight="true">
      <c r="A5592" s="33" t="str">
        <f t="shared" si="348"/>
        <v>HN2 - Operating Expense</v>
      </c>
      <c r="B5592" s="33" t="str">
        <f t="shared" si="349"/>
        <v>HN2</v>
      </c>
      <c r="C5592" s="33" t="str">
        <f t="shared" si="350"/>
        <v>62001-7372</v>
      </c>
      <c r="D5592" s="64" t="s">
        <v>6666</v>
      </c>
      <c r="E5592" s="64" t="s">
        <v>3087</v>
      </c>
      <c r="F5592" s="64" t="s">
        <v>15</v>
      </c>
      <c r="G5592" s="64" t="s">
        <v>3035</v>
      </c>
      <c r="H5592" s="64" t="s">
        <v>3022</v>
      </c>
      <c r="I5592" s="64" t="s">
        <v>3074</v>
      </c>
      <c r="J5592" s="67">
        <v>0</v>
      </c>
      <c r="K5592" s="62">
        <v>91.97</v>
      </c>
      <c r="L5592" s="33" t="e">
        <f>HLOOKUP(B5592,#REF!,1,0)</f>
        <v>#REF!</v>
      </c>
      <c r="M5592" s="33" t="str">
        <f t="shared" si="351"/>
        <v>P&amp;L</v>
      </c>
    </row>
    <row r="5593" spans="1:13" s="33" customFormat="true" ht="12.75" customHeight="true">
      <c r="A5593" s="33" t="str">
        <f t="shared" si="348"/>
        <v>HN2 - Operating Expense</v>
      </c>
      <c r="B5593" s="33" t="str">
        <f t="shared" si="349"/>
        <v>HN2</v>
      </c>
      <c r="C5593" s="33" t="str">
        <f t="shared" si="350"/>
        <v>62002-7358</v>
      </c>
      <c r="D5593" s="64" t="s">
        <v>6667</v>
      </c>
      <c r="E5593" s="64" t="s">
        <v>3090</v>
      </c>
      <c r="F5593" s="64" t="s">
        <v>15</v>
      </c>
      <c r="G5593" s="64" t="s">
        <v>3035</v>
      </c>
      <c r="H5593" s="64" t="s">
        <v>3022</v>
      </c>
      <c r="I5593" s="64" t="s">
        <v>3074</v>
      </c>
      <c r="J5593" s="67">
        <v>0</v>
      </c>
      <c r="K5593" s="62">
        <v>975</v>
      </c>
      <c r="L5593" s="33" t="e">
        <f>HLOOKUP(B5593,#REF!,1,0)</f>
        <v>#REF!</v>
      </c>
      <c r="M5593" s="33" t="str">
        <f t="shared" si="351"/>
        <v>P&amp;L</v>
      </c>
    </row>
    <row r="5594" spans="1:13" s="33" customFormat="true" ht="12.75" customHeight="true">
      <c r="A5594" s="33" t="str">
        <f t="shared" si="348"/>
        <v>HN2 - Operating Expense</v>
      </c>
      <c r="B5594" s="33" t="str">
        <f t="shared" si="349"/>
        <v>HN2</v>
      </c>
      <c r="C5594" s="33" t="str">
        <f t="shared" si="350"/>
        <v>62002-7372</v>
      </c>
      <c r="D5594" s="64" t="s">
        <v>6668</v>
      </c>
      <c r="E5594" s="64" t="s">
        <v>3090</v>
      </c>
      <c r="F5594" s="64" t="s">
        <v>15</v>
      </c>
      <c r="G5594" s="64" t="s">
        <v>3035</v>
      </c>
      <c r="H5594" s="64" t="s">
        <v>3022</v>
      </c>
      <c r="I5594" s="64" t="s">
        <v>3074</v>
      </c>
      <c r="J5594" s="67">
        <v>225</v>
      </c>
      <c r="K5594" s="62">
        <v>1289.58</v>
      </c>
      <c r="L5594" s="33" t="e">
        <f>HLOOKUP(B5594,#REF!,1,0)</f>
        <v>#REF!</v>
      </c>
      <c r="M5594" s="33" t="str">
        <f t="shared" si="351"/>
        <v>P&amp;L</v>
      </c>
    </row>
    <row r="5595" spans="1:13" s="33" customFormat="true" ht="12.75" customHeight="true">
      <c r="A5595" s="33" t="str">
        <f t="shared" si="348"/>
        <v>HN2 - Operating Expense</v>
      </c>
      <c r="B5595" s="33" t="str">
        <f t="shared" si="349"/>
        <v>HN2</v>
      </c>
      <c r="C5595" s="33" t="str">
        <f t="shared" si="350"/>
        <v>62002-7384</v>
      </c>
      <c r="D5595" s="64" t="s">
        <v>6669</v>
      </c>
      <c r="E5595" s="64" t="s">
        <v>3090</v>
      </c>
      <c r="F5595" s="64" t="s">
        <v>15</v>
      </c>
      <c r="G5595" s="64" t="s">
        <v>3035</v>
      </c>
      <c r="H5595" s="64" t="s">
        <v>3022</v>
      </c>
      <c r="I5595" s="64" t="s">
        <v>3074</v>
      </c>
      <c r="J5595" s="67">
        <v>0</v>
      </c>
      <c r="K5595" s="62">
        <v>4652.62</v>
      </c>
      <c r="L5595" s="33" t="e">
        <f>HLOOKUP(B5595,#REF!,1,0)</f>
        <v>#REF!</v>
      </c>
      <c r="M5595" s="33" t="str">
        <f t="shared" si="351"/>
        <v>P&amp;L</v>
      </c>
    </row>
    <row r="5596" spans="1:13" s="33" customFormat="true" ht="12.75" customHeight="true">
      <c r="A5596" s="33" t="str">
        <f t="shared" si="348"/>
        <v>HN2 - Operating Expense</v>
      </c>
      <c r="B5596" s="33" t="str">
        <f t="shared" si="349"/>
        <v>HN2</v>
      </c>
      <c r="C5596" s="33" t="str">
        <f t="shared" si="350"/>
        <v>62002-7626</v>
      </c>
      <c r="D5596" s="64" t="s">
        <v>6670</v>
      </c>
      <c r="E5596" s="64" t="s">
        <v>3090</v>
      </c>
      <c r="F5596" s="64" t="s">
        <v>15</v>
      </c>
      <c r="G5596" s="64" t="s">
        <v>3035</v>
      </c>
      <c r="H5596" s="64" t="s">
        <v>3022</v>
      </c>
      <c r="I5596" s="64" t="s">
        <v>3074</v>
      </c>
      <c r="J5596" s="67">
        <v>4437</v>
      </c>
      <c r="K5596" s="62">
        <v>5037</v>
      </c>
      <c r="L5596" s="33" t="e">
        <f>HLOOKUP(B5596,#REF!,1,0)</f>
        <v>#REF!</v>
      </c>
      <c r="M5596" s="33" t="str">
        <f t="shared" si="351"/>
        <v>P&amp;L</v>
      </c>
    </row>
    <row r="5597" spans="1:13" s="33" customFormat="true" ht="12.75" customHeight="true">
      <c r="A5597" s="33" t="str">
        <f t="shared" si="348"/>
        <v>HN2 - Operating Expense</v>
      </c>
      <c r="B5597" s="33" t="str">
        <f t="shared" si="349"/>
        <v>HN2</v>
      </c>
      <c r="C5597" s="33" t="str">
        <f t="shared" si="350"/>
        <v>62097-7358</v>
      </c>
      <c r="D5597" s="64" t="s">
        <v>6671</v>
      </c>
      <c r="E5597" s="64" t="s">
        <v>3095</v>
      </c>
      <c r="F5597" s="64" t="s">
        <v>15</v>
      </c>
      <c r="G5597" s="64" t="s">
        <v>3035</v>
      </c>
      <c r="H5597" s="64" t="s">
        <v>3022</v>
      </c>
      <c r="I5597" s="64" t="s">
        <v>3096</v>
      </c>
      <c r="J5597" s="67">
        <v>0</v>
      </c>
      <c r="K5597" s="62">
        <v>150</v>
      </c>
      <c r="L5597" s="33" t="e">
        <f>HLOOKUP(B5597,#REF!,1,0)</f>
        <v>#REF!</v>
      </c>
      <c r="M5597" s="33" t="str">
        <f t="shared" si="351"/>
        <v>P&amp;L</v>
      </c>
    </row>
    <row r="5598" spans="1:13" s="33" customFormat="true" ht="12.75" customHeight="true">
      <c r="A5598" s="33" t="str">
        <f t="shared" si="348"/>
        <v>HN2 - Operating Expense</v>
      </c>
      <c r="B5598" s="33" t="str">
        <f t="shared" si="349"/>
        <v>HN2</v>
      </c>
      <c r="C5598" s="33" t="str">
        <f t="shared" si="350"/>
        <v>62097-7372</v>
      </c>
      <c r="D5598" s="64" t="s">
        <v>6672</v>
      </c>
      <c r="E5598" s="64" t="s">
        <v>3095</v>
      </c>
      <c r="F5598" s="64" t="s">
        <v>15</v>
      </c>
      <c r="G5598" s="64" t="s">
        <v>3035</v>
      </c>
      <c r="H5598" s="64" t="s">
        <v>3022</v>
      </c>
      <c r="I5598" s="64" t="s">
        <v>3096</v>
      </c>
      <c r="J5598" s="67">
        <v>0</v>
      </c>
      <c r="K5598" s="62">
        <v>150</v>
      </c>
      <c r="L5598" s="33" t="e">
        <f>HLOOKUP(B5598,#REF!,1,0)</f>
        <v>#REF!</v>
      </c>
      <c r="M5598" s="33" t="str">
        <f t="shared" si="351"/>
        <v>P&amp;L</v>
      </c>
    </row>
    <row r="5599" spans="1:13" s="33" customFormat="true" ht="12.75" customHeight="true">
      <c r="A5599" s="33" t="str">
        <f t="shared" si="348"/>
        <v>HN2 - Operating Expense</v>
      </c>
      <c r="B5599" s="33" t="str">
        <f t="shared" si="349"/>
        <v>HN2</v>
      </c>
      <c r="C5599" s="33" t="str">
        <f t="shared" si="350"/>
        <v>62097-7384</v>
      </c>
      <c r="D5599" s="64" t="s">
        <v>6673</v>
      </c>
      <c r="E5599" s="64" t="s">
        <v>3095</v>
      </c>
      <c r="F5599" s="64" t="s">
        <v>15</v>
      </c>
      <c r="G5599" s="64" t="s">
        <v>3035</v>
      </c>
      <c r="H5599" s="64" t="s">
        <v>3022</v>
      </c>
      <c r="I5599" s="64" t="s">
        <v>3096</v>
      </c>
      <c r="J5599" s="67">
        <v>0</v>
      </c>
      <c r="K5599" s="62">
        <v>150</v>
      </c>
      <c r="L5599" s="33" t="e">
        <f>HLOOKUP(B5599,#REF!,1,0)</f>
        <v>#REF!</v>
      </c>
      <c r="M5599" s="33" t="str">
        <f t="shared" si="351"/>
        <v>P&amp;L</v>
      </c>
    </row>
    <row r="5600" spans="1:13" s="33" customFormat="true" ht="12.75" customHeight="true">
      <c r="A5600" s="33" t="str">
        <f t="shared" si="348"/>
        <v>HN2 - Operating Expense</v>
      </c>
      <c r="B5600" s="33" t="str">
        <f t="shared" si="349"/>
        <v>HN2</v>
      </c>
      <c r="C5600" s="33" t="str">
        <f t="shared" si="350"/>
        <v>62097-7626</v>
      </c>
      <c r="D5600" s="64" t="s">
        <v>6674</v>
      </c>
      <c r="E5600" s="64" t="s">
        <v>3095</v>
      </c>
      <c r="F5600" s="64" t="s">
        <v>15</v>
      </c>
      <c r="G5600" s="64" t="s">
        <v>3035</v>
      </c>
      <c r="H5600" s="64" t="s">
        <v>3022</v>
      </c>
      <c r="I5600" s="64" t="s">
        <v>3096</v>
      </c>
      <c r="J5600" s="67">
        <v>0</v>
      </c>
      <c r="K5600" s="62">
        <v>150</v>
      </c>
      <c r="L5600" s="33" t="e">
        <f>HLOOKUP(B5600,#REF!,1,0)</f>
        <v>#REF!</v>
      </c>
      <c r="M5600" s="33" t="str">
        <f t="shared" si="351"/>
        <v>P&amp;L</v>
      </c>
    </row>
    <row r="5601" spans="1:13" s="33" customFormat="true" ht="12.75" customHeight="true">
      <c r="A5601" s="33" t="str">
        <f t="shared" si="348"/>
        <v>HN2 - Operating Expense</v>
      </c>
      <c r="B5601" s="33" t="str">
        <f t="shared" si="349"/>
        <v>HN2</v>
      </c>
      <c r="C5601" s="33" t="str">
        <f t="shared" si="350"/>
        <v>62501-7358</v>
      </c>
      <c r="D5601" s="64" t="s">
        <v>6675</v>
      </c>
      <c r="E5601" s="64" t="s">
        <v>3101</v>
      </c>
      <c r="F5601" s="64" t="s">
        <v>15</v>
      </c>
      <c r="G5601" s="64" t="s">
        <v>3035</v>
      </c>
      <c r="H5601" s="64" t="s">
        <v>3022</v>
      </c>
      <c r="I5601" s="64" t="s">
        <v>3102</v>
      </c>
      <c r="J5601" s="67">
        <v>0</v>
      </c>
      <c r="K5601" s="62">
        <v>484</v>
      </c>
      <c r="L5601" s="33" t="e">
        <f>HLOOKUP(B5601,#REF!,1,0)</f>
        <v>#REF!</v>
      </c>
      <c r="M5601" s="33" t="str">
        <f t="shared" si="351"/>
        <v>P&amp;L</v>
      </c>
    </row>
    <row r="5602" spans="1:13" s="33" customFormat="true" ht="12.75" customHeight="true">
      <c r="A5602" s="33" t="str">
        <f t="shared" si="348"/>
        <v>HN2 - Operating Expense</v>
      </c>
      <c r="B5602" s="33" t="str">
        <f t="shared" si="349"/>
        <v>HN2</v>
      </c>
      <c r="C5602" s="33" t="str">
        <f t="shared" si="350"/>
        <v>62501-7372</v>
      </c>
      <c r="D5602" s="64" t="s">
        <v>6676</v>
      </c>
      <c r="E5602" s="64" t="s">
        <v>3101</v>
      </c>
      <c r="F5602" s="64" t="s">
        <v>15</v>
      </c>
      <c r="G5602" s="64" t="s">
        <v>3035</v>
      </c>
      <c r="H5602" s="64" t="s">
        <v>3022</v>
      </c>
      <c r="I5602" s="64" t="s">
        <v>3102</v>
      </c>
      <c r="J5602" s="67">
        <v>0</v>
      </c>
      <c r="K5602" s="62">
        <v>1445</v>
      </c>
      <c r="L5602" s="33" t="e">
        <f>HLOOKUP(B5602,#REF!,1,0)</f>
        <v>#REF!</v>
      </c>
      <c r="M5602" s="33" t="str">
        <f t="shared" si="351"/>
        <v>P&amp;L</v>
      </c>
    </row>
    <row r="5603" spans="1:13" s="33" customFormat="true" ht="12.75" customHeight="true">
      <c r="A5603" s="33" t="str">
        <f t="shared" si="348"/>
        <v>HN2 - Operating Expense</v>
      </c>
      <c r="B5603" s="33" t="str">
        <f t="shared" si="349"/>
        <v>HN2</v>
      </c>
      <c r="C5603" s="33" t="str">
        <f t="shared" si="350"/>
        <v>62501-7384</v>
      </c>
      <c r="D5603" s="64" t="s">
        <v>6677</v>
      </c>
      <c r="E5603" s="64" t="s">
        <v>3101</v>
      </c>
      <c r="F5603" s="64" t="s">
        <v>15</v>
      </c>
      <c r="G5603" s="64" t="s">
        <v>3035</v>
      </c>
      <c r="H5603" s="64" t="s">
        <v>3022</v>
      </c>
      <c r="I5603" s="64" t="s">
        <v>3102</v>
      </c>
      <c r="J5603" s="67">
        <v>0</v>
      </c>
      <c r="K5603" s="62">
        <v>125</v>
      </c>
      <c r="L5603" s="33" t="e">
        <f>HLOOKUP(B5603,#REF!,1,0)</f>
        <v>#REF!</v>
      </c>
      <c r="M5603" s="33" t="str">
        <f t="shared" si="351"/>
        <v>P&amp;L</v>
      </c>
    </row>
    <row r="5604" spans="1:13" s="33" customFormat="true" ht="12.75" customHeight="true">
      <c r="A5604" s="33" t="str">
        <f t="shared" si="348"/>
        <v>HN2 - Operating Expense</v>
      </c>
      <c r="B5604" s="33" t="str">
        <f t="shared" si="349"/>
        <v>HN2</v>
      </c>
      <c r="C5604" s="33" t="str">
        <f t="shared" si="350"/>
        <v>62501-7626</v>
      </c>
      <c r="D5604" s="64" t="s">
        <v>6678</v>
      </c>
      <c r="E5604" s="64" t="s">
        <v>3101</v>
      </c>
      <c r="F5604" s="64" t="s">
        <v>15</v>
      </c>
      <c r="G5604" s="64" t="s">
        <v>3035</v>
      </c>
      <c r="H5604" s="64" t="s">
        <v>3022</v>
      </c>
      <c r="I5604" s="64" t="s">
        <v>3102</v>
      </c>
      <c r="J5604" s="67">
        <v>0</v>
      </c>
      <c r="K5604" s="62">
        <v>1020</v>
      </c>
      <c r="L5604" s="33" t="e">
        <f>HLOOKUP(B5604,#REF!,1,0)</f>
        <v>#REF!</v>
      </c>
      <c r="M5604" s="33" t="str">
        <f t="shared" si="351"/>
        <v>P&amp;L</v>
      </c>
    </row>
    <row r="5605" spans="1:13" s="33" customFormat="true" ht="12.75" customHeight="true">
      <c r="A5605" s="33" t="str">
        <f t="shared" si="348"/>
        <v>HN2 - Operating Expense</v>
      </c>
      <c r="B5605" s="33" t="str">
        <f t="shared" si="349"/>
        <v>HN2</v>
      </c>
      <c r="C5605" s="33" t="str">
        <f t="shared" si="350"/>
        <v>62502-7384</v>
      </c>
      <c r="D5605" s="64" t="s">
        <v>6679</v>
      </c>
      <c r="E5605" s="64" t="s">
        <v>3106</v>
      </c>
      <c r="F5605" s="64" t="s">
        <v>15</v>
      </c>
      <c r="G5605" s="64" t="s">
        <v>3035</v>
      </c>
      <c r="H5605" s="64" t="s">
        <v>3022</v>
      </c>
      <c r="I5605" s="64" t="s">
        <v>3036</v>
      </c>
      <c r="J5605" s="67">
        <v>0</v>
      </c>
      <c r="K5605" s="62">
        <v>814.6</v>
      </c>
      <c r="L5605" s="33" t="e">
        <f>HLOOKUP(B5605,#REF!,1,0)</f>
        <v>#REF!</v>
      </c>
      <c r="M5605" s="33" t="str">
        <f t="shared" si="351"/>
        <v>P&amp;L</v>
      </c>
    </row>
    <row r="5606" spans="1:13" s="33" customFormat="true" ht="12.75" customHeight="true">
      <c r="A5606" s="33" t="str">
        <f t="shared" si="348"/>
        <v>HN2 - Operating Expense</v>
      </c>
      <c r="B5606" s="33" t="str">
        <f t="shared" si="349"/>
        <v>HN2</v>
      </c>
      <c r="C5606" s="33" t="str">
        <f t="shared" si="350"/>
        <v>62510-7358</v>
      </c>
      <c r="D5606" s="64" t="s">
        <v>6680</v>
      </c>
      <c r="E5606" s="64" t="s">
        <v>3111</v>
      </c>
      <c r="F5606" s="64" t="s">
        <v>15</v>
      </c>
      <c r="G5606" s="64" t="s">
        <v>3035</v>
      </c>
      <c r="H5606" s="64" t="s">
        <v>3022</v>
      </c>
      <c r="I5606" s="64" t="s">
        <v>3102</v>
      </c>
      <c r="J5606" s="67">
        <v>85.03</v>
      </c>
      <c r="K5606" s="62">
        <v>802.86</v>
      </c>
      <c r="L5606" s="33" t="e">
        <f>HLOOKUP(B5606,#REF!,1,0)</f>
        <v>#REF!</v>
      </c>
      <c r="M5606" s="33" t="str">
        <f t="shared" si="351"/>
        <v>P&amp;L</v>
      </c>
    </row>
    <row r="5607" spans="1:13" s="33" customFormat="true" ht="12.75" customHeight="true">
      <c r="A5607" s="33" t="str">
        <f t="shared" si="348"/>
        <v>HN2 - Operating Expense</v>
      </c>
      <c r="B5607" s="33" t="str">
        <f t="shared" si="349"/>
        <v>HN2</v>
      </c>
      <c r="C5607" s="33" t="str">
        <f t="shared" si="350"/>
        <v>62510-7372</v>
      </c>
      <c r="D5607" s="64" t="s">
        <v>6681</v>
      </c>
      <c r="E5607" s="64" t="s">
        <v>3111</v>
      </c>
      <c r="F5607" s="64" t="s">
        <v>15</v>
      </c>
      <c r="G5607" s="64" t="s">
        <v>3035</v>
      </c>
      <c r="H5607" s="64" t="s">
        <v>3022</v>
      </c>
      <c r="I5607" s="64" t="s">
        <v>3102</v>
      </c>
      <c r="J5607" s="67">
        <v>75</v>
      </c>
      <c r="K5607" s="62">
        <v>708</v>
      </c>
      <c r="L5607" s="33" t="e">
        <f>HLOOKUP(B5607,#REF!,1,0)</f>
        <v>#REF!</v>
      </c>
      <c r="M5607" s="33" t="str">
        <f t="shared" si="351"/>
        <v>P&amp;L</v>
      </c>
    </row>
    <row r="5608" spans="1:13" s="33" customFormat="true" ht="12.75" customHeight="true">
      <c r="A5608" s="33" t="str">
        <f t="shared" si="348"/>
        <v>HN2 - Operating Expense</v>
      </c>
      <c r="B5608" s="33" t="str">
        <f t="shared" si="349"/>
        <v>HN2</v>
      </c>
      <c r="C5608" s="33" t="str">
        <f t="shared" si="350"/>
        <v>62510-7384</v>
      </c>
      <c r="D5608" s="64" t="s">
        <v>6682</v>
      </c>
      <c r="E5608" s="64" t="s">
        <v>3111</v>
      </c>
      <c r="F5608" s="64" t="s">
        <v>15</v>
      </c>
      <c r="G5608" s="64" t="s">
        <v>3035</v>
      </c>
      <c r="H5608" s="64" t="s">
        <v>3022</v>
      </c>
      <c r="I5608" s="64" t="s">
        <v>3102</v>
      </c>
      <c r="J5608" s="67">
        <v>85.03</v>
      </c>
      <c r="K5608" s="62">
        <v>802.86</v>
      </c>
      <c r="L5608" s="33" t="e">
        <f>HLOOKUP(B5608,#REF!,1,0)</f>
        <v>#REF!</v>
      </c>
      <c r="M5608" s="33" t="str">
        <f t="shared" si="351"/>
        <v>P&amp;L</v>
      </c>
    </row>
    <row r="5609" spans="1:13" s="33" customFormat="true" ht="12.75" customHeight="true">
      <c r="A5609" s="33" t="str">
        <f t="shared" si="348"/>
        <v>HN2 - Operating Expense</v>
      </c>
      <c r="B5609" s="33" t="str">
        <f t="shared" si="349"/>
        <v>HN2</v>
      </c>
      <c r="C5609" s="33" t="str">
        <f t="shared" si="350"/>
        <v>62510-7626</v>
      </c>
      <c r="D5609" s="64" t="s">
        <v>6683</v>
      </c>
      <c r="E5609" s="64" t="s">
        <v>3111</v>
      </c>
      <c r="F5609" s="64" t="s">
        <v>15</v>
      </c>
      <c r="G5609" s="64" t="s">
        <v>3035</v>
      </c>
      <c r="H5609" s="64" t="s">
        <v>3022</v>
      </c>
      <c r="I5609" s="64" t="s">
        <v>3102</v>
      </c>
      <c r="J5609" s="67">
        <v>85.03</v>
      </c>
      <c r="K5609" s="62">
        <v>1287.86</v>
      </c>
      <c r="L5609" s="33" t="e">
        <f>HLOOKUP(B5609,#REF!,1,0)</f>
        <v>#REF!</v>
      </c>
      <c r="M5609" s="33" t="str">
        <f t="shared" si="351"/>
        <v>P&amp;L</v>
      </c>
    </row>
    <row r="5610" spans="1:13" s="33" customFormat="true" ht="12.75" customHeight="true">
      <c r="A5610" s="33" t="str">
        <f t="shared" si="348"/>
        <v>HN2 - Operating Expense</v>
      </c>
      <c r="B5610" s="33" t="str">
        <f t="shared" si="349"/>
        <v>HN2</v>
      </c>
      <c r="C5610" s="33" t="str">
        <f t="shared" si="350"/>
        <v>62511-7358</v>
      </c>
      <c r="D5610" s="64" t="s">
        <v>6684</v>
      </c>
      <c r="E5610" s="64" t="s">
        <v>3116</v>
      </c>
      <c r="F5610" s="64" t="s">
        <v>15</v>
      </c>
      <c r="G5610" s="64" t="s">
        <v>3035</v>
      </c>
      <c r="H5610" s="64" t="s">
        <v>3022</v>
      </c>
      <c r="I5610" s="64" t="s">
        <v>3036</v>
      </c>
      <c r="J5610" s="67">
        <v>0</v>
      </c>
      <c r="K5610" s="62">
        <v>403.2</v>
      </c>
      <c r="L5610" s="33" t="e">
        <f>HLOOKUP(B5610,#REF!,1,0)</f>
        <v>#REF!</v>
      </c>
      <c r="M5610" s="33" t="str">
        <f t="shared" si="351"/>
        <v>P&amp;L</v>
      </c>
    </row>
    <row r="5611" spans="1:13" s="33" customFormat="true" ht="12.75" customHeight="true">
      <c r="A5611" s="33" t="str">
        <f t="shared" si="348"/>
        <v>HN2 - Operating Expense</v>
      </c>
      <c r="B5611" s="33" t="str">
        <f t="shared" si="349"/>
        <v>HN2</v>
      </c>
      <c r="C5611" s="33" t="str">
        <f t="shared" si="350"/>
        <v>62511-7372</v>
      </c>
      <c r="D5611" s="64" t="s">
        <v>6685</v>
      </c>
      <c r="E5611" s="64" t="s">
        <v>3116</v>
      </c>
      <c r="F5611" s="64" t="s">
        <v>15</v>
      </c>
      <c r="G5611" s="64" t="s">
        <v>3035</v>
      </c>
      <c r="H5611" s="64" t="s">
        <v>3022</v>
      </c>
      <c r="I5611" s="64" t="s">
        <v>3036</v>
      </c>
      <c r="J5611" s="67">
        <v>0</v>
      </c>
      <c r="K5611" s="62">
        <v>574.17</v>
      </c>
      <c r="L5611" s="33" t="e">
        <f>HLOOKUP(B5611,#REF!,1,0)</f>
        <v>#REF!</v>
      </c>
      <c r="M5611" s="33" t="str">
        <f t="shared" si="351"/>
        <v>P&amp;L</v>
      </c>
    </row>
    <row r="5612" spans="1:13" s="33" customFormat="true" ht="12.75" customHeight="true">
      <c r="A5612" s="33" t="str">
        <f t="shared" si="348"/>
        <v>HN2 - Operating Expense</v>
      </c>
      <c r="B5612" s="33" t="str">
        <f t="shared" si="349"/>
        <v>HN2</v>
      </c>
      <c r="C5612" s="33" t="str">
        <f t="shared" si="350"/>
        <v>62511-7384</v>
      </c>
      <c r="D5612" s="64" t="s">
        <v>6686</v>
      </c>
      <c r="E5612" s="64" t="s">
        <v>3116</v>
      </c>
      <c r="F5612" s="64" t="s">
        <v>15</v>
      </c>
      <c r="G5612" s="64" t="s">
        <v>3035</v>
      </c>
      <c r="H5612" s="64" t="s">
        <v>3022</v>
      </c>
      <c r="I5612" s="64" t="s">
        <v>3036</v>
      </c>
      <c r="J5612" s="67">
        <v>0</v>
      </c>
      <c r="K5612" s="62">
        <v>330.23</v>
      </c>
      <c r="L5612" s="33" t="e">
        <f>HLOOKUP(B5612,#REF!,1,0)</f>
        <v>#REF!</v>
      </c>
      <c r="M5612" s="33" t="str">
        <f t="shared" si="351"/>
        <v>P&amp;L</v>
      </c>
    </row>
    <row r="5613" spans="1:13" s="33" customFormat="true" ht="12.75" customHeight="true">
      <c r="A5613" s="33" t="str">
        <f t="shared" si="348"/>
        <v>HN2 - Operating Expense</v>
      </c>
      <c r="B5613" s="33" t="str">
        <f t="shared" si="349"/>
        <v>HN2</v>
      </c>
      <c r="C5613" s="33" t="str">
        <f t="shared" si="350"/>
        <v>62511-7626</v>
      </c>
      <c r="D5613" s="64" t="s">
        <v>6687</v>
      </c>
      <c r="E5613" s="64" t="s">
        <v>3116</v>
      </c>
      <c r="F5613" s="64" t="s">
        <v>15</v>
      </c>
      <c r="G5613" s="64" t="s">
        <v>3035</v>
      </c>
      <c r="H5613" s="64" t="s">
        <v>3022</v>
      </c>
      <c r="I5613" s="64" t="s">
        <v>3036</v>
      </c>
      <c r="J5613" s="67">
        <v>0</v>
      </c>
      <c r="K5613" s="62">
        <v>993.07</v>
      </c>
      <c r="L5613" s="33" t="e">
        <f>HLOOKUP(B5613,#REF!,1,0)</f>
        <v>#REF!</v>
      </c>
      <c r="M5613" s="33" t="str">
        <f t="shared" si="351"/>
        <v>P&amp;L</v>
      </c>
    </row>
    <row r="5614" spans="1:13" s="33" customFormat="true" ht="12.75" customHeight="true">
      <c r="A5614" s="33" t="str">
        <f t="shared" si="348"/>
        <v>HN2 - Operating Expense</v>
      </c>
      <c r="B5614" s="33" t="str">
        <f t="shared" si="349"/>
        <v>HN2</v>
      </c>
      <c r="C5614" s="33" t="str">
        <f t="shared" si="350"/>
        <v>62512-7372</v>
      </c>
      <c r="D5614" s="64" t="s">
        <v>6688</v>
      </c>
      <c r="E5614" s="64" t="s">
        <v>3121</v>
      </c>
      <c r="F5614" s="64" t="s">
        <v>15</v>
      </c>
      <c r="G5614" s="64" t="s">
        <v>3035</v>
      </c>
      <c r="H5614" s="64" t="s">
        <v>3022</v>
      </c>
      <c r="I5614" s="64" t="s">
        <v>3102</v>
      </c>
      <c r="J5614" s="67">
        <v>0</v>
      </c>
      <c r="K5614" s="62">
        <v>160</v>
      </c>
      <c r="L5614" s="33" t="e">
        <f>HLOOKUP(B5614,#REF!,1,0)</f>
        <v>#REF!</v>
      </c>
      <c r="M5614" s="33" t="str">
        <f t="shared" si="351"/>
        <v>P&amp;L</v>
      </c>
    </row>
    <row r="5615" spans="1:13" s="33" customFormat="true" ht="12.75" customHeight="true">
      <c r="A5615" s="33" t="str">
        <f t="shared" si="348"/>
        <v>HN2 - Operating Expense</v>
      </c>
      <c r="B5615" s="33" t="str">
        <f t="shared" si="349"/>
        <v>HN2</v>
      </c>
      <c r="C5615" s="33" t="str">
        <f t="shared" si="350"/>
        <v>62512-7626</v>
      </c>
      <c r="D5615" s="64" t="s">
        <v>6689</v>
      </c>
      <c r="E5615" s="64" t="s">
        <v>3121</v>
      </c>
      <c r="F5615" s="64" t="s">
        <v>15</v>
      </c>
      <c r="G5615" s="64" t="s">
        <v>3035</v>
      </c>
      <c r="H5615" s="64" t="s">
        <v>3022</v>
      </c>
      <c r="I5615" s="64" t="s">
        <v>3102</v>
      </c>
      <c r="J5615" s="67">
        <v>0</v>
      </c>
      <c r="K5615" s="62">
        <v>70</v>
      </c>
      <c r="L5615" s="33" t="e">
        <f>HLOOKUP(B5615,#REF!,1,0)</f>
        <v>#REF!</v>
      </c>
      <c r="M5615" s="33" t="str">
        <f t="shared" si="351"/>
        <v>P&amp;L</v>
      </c>
    </row>
    <row r="5616" spans="1:13" s="33" customFormat="true" ht="12.75" customHeight="true">
      <c r="A5616" s="33" t="str">
        <f t="shared" si="348"/>
        <v>HN2 - Operating Expense</v>
      </c>
      <c r="B5616" s="33" t="str">
        <f t="shared" si="349"/>
        <v>HN2</v>
      </c>
      <c r="C5616" s="33" t="str">
        <f t="shared" si="350"/>
        <v>62513-7358</v>
      </c>
      <c r="D5616" s="64" t="s">
        <v>6690</v>
      </c>
      <c r="E5616" s="64" t="s">
        <v>3124</v>
      </c>
      <c r="F5616" s="64" t="s">
        <v>15</v>
      </c>
      <c r="G5616" s="64" t="s">
        <v>3035</v>
      </c>
      <c r="H5616" s="64" t="s">
        <v>3022</v>
      </c>
      <c r="I5616" s="64" t="s">
        <v>3102</v>
      </c>
      <c r="J5616" s="67">
        <v>23.63</v>
      </c>
      <c r="K5616" s="62">
        <v>127.65</v>
      </c>
      <c r="L5616" s="33" t="e">
        <f>HLOOKUP(B5616,#REF!,1,0)</f>
        <v>#REF!</v>
      </c>
      <c r="M5616" s="33" t="str">
        <f t="shared" si="351"/>
        <v>P&amp;L</v>
      </c>
    </row>
    <row r="5617" spans="1:13" s="33" customFormat="true" ht="12.75" customHeight="true">
      <c r="A5617" s="33" t="str">
        <f t="shared" si="348"/>
        <v>HN2 - Operating Expense</v>
      </c>
      <c r="B5617" s="33" t="str">
        <f t="shared" si="349"/>
        <v>HN2</v>
      </c>
      <c r="C5617" s="33" t="str">
        <f t="shared" si="350"/>
        <v>62513-7372</v>
      </c>
      <c r="D5617" s="64" t="s">
        <v>6691</v>
      </c>
      <c r="E5617" s="64" t="s">
        <v>3124</v>
      </c>
      <c r="F5617" s="64" t="s">
        <v>15</v>
      </c>
      <c r="G5617" s="64" t="s">
        <v>3035</v>
      </c>
      <c r="H5617" s="64" t="s">
        <v>3022</v>
      </c>
      <c r="I5617" s="64" t="s">
        <v>3102</v>
      </c>
      <c r="J5617" s="67">
        <v>46.35</v>
      </c>
      <c r="K5617" s="62">
        <v>234.32</v>
      </c>
      <c r="L5617" s="33" t="e">
        <f>HLOOKUP(B5617,#REF!,1,0)</f>
        <v>#REF!</v>
      </c>
      <c r="M5617" s="33" t="str">
        <f t="shared" si="351"/>
        <v>P&amp;L</v>
      </c>
    </row>
    <row r="5618" spans="1:13" s="33" customFormat="true" ht="12.75" customHeight="true">
      <c r="A5618" s="33" t="str">
        <f t="shared" si="348"/>
        <v>HN2 - Operating Expense</v>
      </c>
      <c r="B5618" s="33" t="str">
        <f t="shared" si="349"/>
        <v>HN2</v>
      </c>
      <c r="C5618" s="33" t="str">
        <f t="shared" si="350"/>
        <v>62513-7384</v>
      </c>
      <c r="D5618" s="64" t="s">
        <v>6692</v>
      </c>
      <c r="E5618" s="64" t="s">
        <v>3124</v>
      </c>
      <c r="F5618" s="64" t="s">
        <v>15</v>
      </c>
      <c r="G5618" s="64" t="s">
        <v>3035</v>
      </c>
      <c r="H5618" s="64" t="s">
        <v>3022</v>
      </c>
      <c r="I5618" s="64" t="s">
        <v>3102</v>
      </c>
      <c r="J5618" s="67">
        <v>0</v>
      </c>
      <c r="K5618" s="62">
        <v>113.81</v>
      </c>
      <c r="L5618" s="33" t="e">
        <f>HLOOKUP(B5618,#REF!,1,0)</f>
        <v>#REF!</v>
      </c>
      <c r="M5618" s="33" t="str">
        <f t="shared" si="351"/>
        <v>P&amp;L</v>
      </c>
    </row>
    <row r="5619" spans="1:13" s="33" customFormat="true" ht="12.75" customHeight="true">
      <c r="A5619" s="33" t="str">
        <f t="shared" si="348"/>
        <v>HN2 - Operating Expense</v>
      </c>
      <c r="B5619" s="33" t="str">
        <f t="shared" si="349"/>
        <v>HN2</v>
      </c>
      <c r="C5619" s="33" t="str">
        <f t="shared" si="350"/>
        <v>62513-7626</v>
      </c>
      <c r="D5619" s="64" t="s">
        <v>6693</v>
      </c>
      <c r="E5619" s="64" t="s">
        <v>3124</v>
      </c>
      <c r="F5619" s="64" t="s">
        <v>15</v>
      </c>
      <c r="G5619" s="64" t="s">
        <v>3035</v>
      </c>
      <c r="H5619" s="64" t="s">
        <v>3022</v>
      </c>
      <c r="I5619" s="64" t="s">
        <v>3102</v>
      </c>
      <c r="J5619" s="67">
        <v>46.36</v>
      </c>
      <c r="K5619" s="62">
        <v>196.38</v>
      </c>
      <c r="L5619" s="33" t="e">
        <f>HLOOKUP(B5619,#REF!,1,0)</f>
        <v>#REF!</v>
      </c>
      <c r="M5619" s="33" t="str">
        <f t="shared" si="351"/>
        <v>P&amp;L</v>
      </c>
    </row>
    <row r="5620" spans="1:13" s="33" customFormat="true" ht="12.75" customHeight="true">
      <c r="A5620" s="33" t="str">
        <f t="shared" si="348"/>
        <v>HN2 - Operating Expense</v>
      </c>
      <c r="B5620" s="33" t="str">
        <f t="shared" si="349"/>
        <v>HN2</v>
      </c>
      <c r="C5620" s="33" t="str">
        <f t="shared" si="350"/>
        <v>62550-7358</v>
      </c>
      <c r="D5620" s="64" t="s">
        <v>6694</v>
      </c>
      <c r="E5620" s="64" t="s">
        <v>3129</v>
      </c>
      <c r="F5620" s="64" t="s">
        <v>15</v>
      </c>
      <c r="G5620" s="64" t="s">
        <v>3035</v>
      </c>
      <c r="H5620" s="64" t="s">
        <v>3022</v>
      </c>
      <c r="I5620" s="64" t="s">
        <v>3130</v>
      </c>
      <c r="J5620" s="67">
        <v>2173.41</v>
      </c>
      <c r="K5620" s="62">
        <v>10661.05</v>
      </c>
      <c r="L5620" s="33" t="e">
        <f>HLOOKUP(B5620,#REF!,1,0)</f>
        <v>#REF!</v>
      </c>
      <c r="M5620" s="33" t="str">
        <f t="shared" si="351"/>
        <v>P&amp;L</v>
      </c>
    </row>
    <row r="5621" spans="1:13" s="33" customFormat="true" ht="12.75" customHeight="true">
      <c r="A5621" s="33" t="str">
        <f t="shared" si="348"/>
        <v>HN2 - Operating Expense</v>
      </c>
      <c r="B5621" s="33" t="str">
        <f t="shared" si="349"/>
        <v>HN2</v>
      </c>
      <c r="C5621" s="33" t="str">
        <f t="shared" si="350"/>
        <v>62550-7372</v>
      </c>
      <c r="D5621" s="64" t="s">
        <v>6695</v>
      </c>
      <c r="E5621" s="64" t="s">
        <v>3129</v>
      </c>
      <c r="F5621" s="64" t="s">
        <v>15</v>
      </c>
      <c r="G5621" s="64" t="s">
        <v>3035</v>
      </c>
      <c r="H5621" s="64" t="s">
        <v>3022</v>
      </c>
      <c r="I5621" s="64" t="s">
        <v>3130</v>
      </c>
      <c r="J5621" s="67">
        <v>5782.2</v>
      </c>
      <c r="K5621" s="62">
        <v>13308.14</v>
      </c>
      <c r="L5621" s="33" t="e">
        <f>HLOOKUP(B5621,#REF!,1,0)</f>
        <v>#REF!</v>
      </c>
      <c r="M5621" s="33" t="str">
        <f t="shared" si="351"/>
        <v>P&amp;L</v>
      </c>
    </row>
    <row r="5622" spans="1:13" s="33" customFormat="true" ht="12.75" customHeight="true">
      <c r="A5622" s="33" t="str">
        <f t="shared" si="348"/>
        <v>HN2 - Operating Expense</v>
      </c>
      <c r="B5622" s="33" t="str">
        <f t="shared" si="349"/>
        <v>HN2</v>
      </c>
      <c r="C5622" s="33" t="str">
        <f t="shared" si="350"/>
        <v>62550-7384</v>
      </c>
      <c r="D5622" s="64" t="s">
        <v>6696</v>
      </c>
      <c r="E5622" s="64" t="s">
        <v>3129</v>
      </c>
      <c r="F5622" s="64" t="s">
        <v>15</v>
      </c>
      <c r="G5622" s="64" t="s">
        <v>3035</v>
      </c>
      <c r="H5622" s="64" t="s">
        <v>3022</v>
      </c>
      <c r="I5622" s="64" t="s">
        <v>3130</v>
      </c>
      <c r="J5622" s="67">
        <v>617.14</v>
      </c>
      <c r="K5622" s="62">
        <v>6338.34</v>
      </c>
      <c r="L5622" s="33" t="e">
        <f>HLOOKUP(B5622,#REF!,1,0)</f>
        <v>#REF!</v>
      </c>
      <c r="M5622" s="33" t="str">
        <f t="shared" si="351"/>
        <v>P&amp;L</v>
      </c>
    </row>
    <row r="5623" spans="1:13" s="33" customFormat="true" ht="12.75" customHeight="true">
      <c r="A5623" s="33" t="str">
        <f t="shared" si="348"/>
        <v>HN2 - Operating Expense</v>
      </c>
      <c r="B5623" s="33" t="str">
        <f t="shared" si="349"/>
        <v>HN2</v>
      </c>
      <c r="C5623" s="33" t="str">
        <f t="shared" si="350"/>
        <v>62550-7626</v>
      </c>
      <c r="D5623" s="64" t="s">
        <v>6697</v>
      </c>
      <c r="E5623" s="64" t="s">
        <v>3129</v>
      </c>
      <c r="F5623" s="64" t="s">
        <v>15</v>
      </c>
      <c r="G5623" s="64" t="s">
        <v>3035</v>
      </c>
      <c r="H5623" s="64" t="s">
        <v>3022</v>
      </c>
      <c r="I5623" s="64" t="s">
        <v>3130</v>
      </c>
      <c r="J5623" s="67">
        <v>1240</v>
      </c>
      <c r="K5623" s="62">
        <v>8722.17</v>
      </c>
      <c r="L5623" s="33" t="e">
        <f>HLOOKUP(B5623,#REF!,1,0)</f>
        <v>#REF!</v>
      </c>
      <c r="M5623" s="33" t="str">
        <f t="shared" si="351"/>
        <v>P&amp;L</v>
      </c>
    </row>
    <row r="5624" spans="1:13" s="33" customFormat="true" ht="12.75" customHeight="true">
      <c r="A5624" s="33" t="str">
        <f t="shared" si="348"/>
        <v>HN2 - Operating Expense</v>
      </c>
      <c r="B5624" s="33" t="str">
        <f t="shared" si="349"/>
        <v>HN2</v>
      </c>
      <c r="C5624" s="33" t="str">
        <f t="shared" si="350"/>
        <v>62551-7358</v>
      </c>
      <c r="D5624" s="64" t="s">
        <v>6698</v>
      </c>
      <c r="E5624" s="64" t="s">
        <v>3132</v>
      </c>
      <c r="F5624" s="64" t="s">
        <v>15</v>
      </c>
      <c r="G5624" s="64" t="s">
        <v>3035</v>
      </c>
      <c r="H5624" s="64" t="s">
        <v>3022</v>
      </c>
      <c r="I5624" s="64" t="s">
        <v>3130</v>
      </c>
      <c r="J5624" s="67">
        <v>1109.48</v>
      </c>
      <c r="K5624" s="62">
        <v>6103.36</v>
      </c>
      <c r="L5624" s="33" t="e">
        <f>HLOOKUP(B5624,#REF!,1,0)</f>
        <v>#REF!</v>
      </c>
      <c r="M5624" s="33" t="str">
        <f t="shared" si="351"/>
        <v>P&amp;L</v>
      </c>
    </row>
    <row r="5625" spans="1:13" s="33" customFormat="true" ht="12.75" customHeight="true">
      <c r="A5625" s="33" t="str">
        <f t="shared" si="348"/>
        <v>HN2 - Operating Expense</v>
      </c>
      <c r="B5625" s="33" t="str">
        <f t="shared" si="349"/>
        <v>HN2</v>
      </c>
      <c r="C5625" s="33" t="str">
        <f t="shared" si="350"/>
        <v>62551-7372</v>
      </c>
      <c r="D5625" s="64" t="s">
        <v>6699</v>
      </c>
      <c r="E5625" s="64" t="s">
        <v>3132</v>
      </c>
      <c r="F5625" s="64" t="s">
        <v>15</v>
      </c>
      <c r="G5625" s="64" t="s">
        <v>3035</v>
      </c>
      <c r="H5625" s="64" t="s">
        <v>3022</v>
      </c>
      <c r="I5625" s="64" t="s">
        <v>3130</v>
      </c>
      <c r="J5625" s="67">
        <v>13834.6</v>
      </c>
      <c r="K5625" s="62">
        <v>19195.3</v>
      </c>
      <c r="L5625" s="33" t="e">
        <f>HLOOKUP(B5625,#REF!,1,0)</f>
        <v>#REF!</v>
      </c>
      <c r="M5625" s="33" t="str">
        <f t="shared" si="351"/>
        <v>P&amp;L</v>
      </c>
    </row>
    <row r="5626" spans="1:13" s="33" customFormat="true" ht="12.75" customHeight="true">
      <c r="A5626" s="33" t="str">
        <f t="shared" si="348"/>
        <v>HN2 - Operating Expense</v>
      </c>
      <c r="B5626" s="33" t="str">
        <f t="shared" si="349"/>
        <v>HN2</v>
      </c>
      <c r="C5626" s="33" t="str">
        <f t="shared" si="350"/>
        <v>62551-7384</v>
      </c>
      <c r="D5626" s="64" t="s">
        <v>6700</v>
      </c>
      <c r="E5626" s="64" t="s">
        <v>3132</v>
      </c>
      <c r="F5626" s="64" t="s">
        <v>15</v>
      </c>
      <c r="G5626" s="64" t="s">
        <v>3035</v>
      </c>
      <c r="H5626" s="64" t="s">
        <v>3022</v>
      </c>
      <c r="I5626" s="64" t="s">
        <v>3130</v>
      </c>
      <c r="J5626" s="67">
        <v>109.27</v>
      </c>
      <c r="K5626" s="62">
        <v>2839.25</v>
      </c>
      <c r="L5626" s="33" t="e">
        <f>HLOOKUP(B5626,#REF!,1,0)</f>
        <v>#REF!</v>
      </c>
      <c r="M5626" s="33" t="str">
        <f t="shared" si="351"/>
        <v>P&amp;L</v>
      </c>
    </row>
    <row r="5627" spans="1:13" s="33" customFormat="true" ht="12.75" customHeight="true">
      <c r="A5627" s="33" t="str">
        <f t="shared" si="348"/>
        <v>HN2 - Operating Expense</v>
      </c>
      <c r="B5627" s="33" t="str">
        <f t="shared" si="349"/>
        <v>HN2</v>
      </c>
      <c r="C5627" s="33" t="str">
        <f t="shared" si="350"/>
        <v>62551-7626</v>
      </c>
      <c r="D5627" s="64" t="s">
        <v>6701</v>
      </c>
      <c r="E5627" s="64" t="s">
        <v>3132</v>
      </c>
      <c r="F5627" s="64" t="s">
        <v>15</v>
      </c>
      <c r="G5627" s="64" t="s">
        <v>3035</v>
      </c>
      <c r="H5627" s="64" t="s">
        <v>3022</v>
      </c>
      <c r="I5627" s="64" t="s">
        <v>3130</v>
      </c>
      <c r="J5627" s="67">
        <v>1394</v>
      </c>
      <c r="K5627" s="62">
        <v>5657.22</v>
      </c>
      <c r="L5627" s="33" t="e">
        <f>HLOOKUP(B5627,#REF!,1,0)</f>
        <v>#REF!</v>
      </c>
      <c r="M5627" s="33" t="str">
        <f t="shared" si="351"/>
        <v>P&amp;L</v>
      </c>
    </row>
    <row r="5628" spans="1:13" s="33" customFormat="true" ht="12.75" customHeight="true">
      <c r="A5628" s="33" t="str">
        <f t="shared" si="348"/>
        <v>HN2 - Operating Expense</v>
      </c>
      <c r="B5628" s="33" t="str">
        <f t="shared" si="349"/>
        <v>HN2</v>
      </c>
      <c r="C5628" s="33" t="str">
        <f t="shared" si="350"/>
        <v>63001-7358</v>
      </c>
      <c r="D5628" s="64" t="s">
        <v>6702</v>
      </c>
      <c r="E5628" s="64" t="s">
        <v>3134</v>
      </c>
      <c r="F5628" s="64" t="s">
        <v>15</v>
      </c>
      <c r="G5628" s="64" t="s">
        <v>3035</v>
      </c>
      <c r="H5628" s="64" t="s">
        <v>3022</v>
      </c>
      <c r="I5628" s="64" t="s">
        <v>3036</v>
      </c>
      <c r="J5628" s="67">
        <v>0</v>
      </c>
      <c r="K5628" s="62">
        <v>579.5</v>
      </c>
      <c r="L5628" s="33" t="e">
        <f>HLOOKUP(B5628,#REF!,1,0)</f>
        <v>#REF!</v>
      </c>
      <c r="M5628" s="33" t="str">
        <f t="shared" si="351"/>
        <v>P&amp;L</v>
      </c>
    </row>
    <row r="5629" spans="1:13" s="33" customFormat="true" ht="12.75" customHeight="true">
      <c r="A5629" s="33" t="str">
        <f t="shared" si="348"/>
        <v>HN2 - Operating Expense</v>
      </c>
      <c r="B5629" s="33" t="str">
        <f t="shared" si="349"/>
        <v>HN2</v>
      </c>
      <c r="C5629" s="33" t="str">
        <f t="shared" si="350"/>
        <v>63001-7372</v>
      </c>
      <c r="D5629" s="64" t="s">
        <v>6703</v>
      </c>
      <c r="E5629" s="64" t="s">
        <v>3134</v>
      </c>
      <c r="F5629" s="64" t="s">
        <v>15</v>
      </c>
      <c r="G5629" s="64" t="s">
        <v>3035</v>
      </c>
      <c r="H5629" s="64" t="s">
        <v>3022</v>
      </c>
      <c r="I5629" s="64" t="s">
        <v>3036</v>
      </c>
      <c r="J5629" s="67">
        <v>0</v>
      </c>
      <c r="K5629" s="62">
        <v>760</v>
      </c>
      <c r="L5629" s="33" t="e">
        <f>HLOOKUP(B5629,#REF!,1,0)</f>
        <v>#REF!</v>
      </c>
      <c r="M5629" s="33" t="str">
        <f t="shared" si="351"/>
        <v>P&amp;L</v>
      </c>
    </row>
    <row r="5630" spans="1:13" s="33" customFormat="true" ht="12.75" customHeight="true">
      <c r="A5630" s="33" t="str">
        <f t="shared" si="348"/>
        <v>HN2 - Operating Expense</v>
      </c>
      <c r="B5630" s="33" t="str">
        <f t="shared" si="349"/>
        <v>HN2</v>
      </c>
      <c r="C5630" s="33" t="str">
        <f t="shared" si="350"/>
        <v>63001-7384</v>
      </c>
      <c r="D5630" s="64" t="s">
        <v>6704</v>
      </c>
      <c r="E5630" s="64" t="s">
        <v>3134</v>
      </c>
      <c r="F5630" s="64" t="s">
        <v>15</v>
      </c>
      <c r="G5630" s="64" t="s">
        <v>3035</v>
      </c>
      <c r="H5630" s="64" t="s">
        <v>3022</v>
      </c>
      <c r="I5630" s="64" t="s">
        <v>3036</v>
      </c>
      <c r="J5630" s="67">
        <v>0</v>
      </c>
      <c r="K5630" s="62">
        <v>505</v>
      </c>
      <c r="L5630" s="33" t="e">
        <f>HLOOKUP(B5630,#REF!,1,0)</f>
        <v>#REF!</v>
      </c>
      <c r="M5630" s="33" t="str">
        <f t="shared" si="351"/>
        <v>P&amp;L</v>
      </c>
    </row>
    <row r="5631" spans="1:13" s="33" customFormat="true" ht="12.75" customHeight="true">
      <c r="A5631" s="33" t="str">
        <f t="shared" si="348"/>
        <v>HN2 - Operating Expense</v>
      </c>
      <c r="B5631" s="33" t="str">
        <f t="shared" si="349"/>
        <v>HN2</v>
      </c>
      <c r="C5631" s="33" t="str">
        <f t="shared" si="350"/>
        <v>63001-7626</v>
      </c>
      <c r="D5631" s="64" t="s">
        <v>6705</v>
      </c>
      <c r="E5631" s="64" t="s">
        <v>3134</v>
      </c>
      <c r="F5631" s="64" t="s">
        <v>15</v>
      </c>
      <c r="G5631" s="64" t="s">
        <v>3035</v>
      </c>
      <c r="H5631" s="64" t="s">
        <v>3022</v>
      </c>
      <c r="I5631" s="64" t="s">
        <v>3036</v>
      </c>
      <c r="J5631" s="67">
        <v>0</v>
      </c>
      <c r="K5631" s="62">
        <v>755</v>
      </c>
      <c r="L5631" s="33" t="e">
        <f>HLOOKUP(B5631,#REF!,1,0)</f>
        <v>#REF!</v>
      </c>
      <c r="M5631" s="33" t="str">
        <f t="shared" si="351"/>
        <v>P&amp;L</v>
      </c>
    </row>
    <row r="5632" spans="1:13" s="33" customFormat="true" ht="12.75" customHeight="true">
      <c r="A5632" s="33" t="str">
        <f t="shared" si="348"/>
        <v>HN2 - Operating Expense</v>
      </c>
      <c r="B5632" s="33" t="str">
        <f t="shared" si="349"/>
        <v>HN2</v>
      </c>
      <c r="C5632" s="33" t="str">
        <f t="shared" si="350"/>
        <v>63003-7358</v>
      </c>
      <c r="D5632" s="64" t="s">
        <v>6706</v>
      </c>
      <c r="E5632" s="64" t="s">
        <v>4988</v>
      </c>
      <c r="F5632" s="64" t="s">
        <v>15</v>
      </c>
      <c r="G5632" s="64" t="s">
        <v>3035</v>
      </c>
      <c r="H5632" s="64" t="s">
        <v>3022</v>
      </c>
      <c r="I5632" s="64" t="s">
        <v>3140</v>
      </c>
      <c r="J5632" s="67">
        <v>0</v>
      </c>
      <c r="K5632" s="62">
        <v>690.52</v>
      </c>
      <c r="L5632" s="33" t="e">
        <f>HLOOKUP(B5632,#REF!,1,0)</f>
        <v>#REF!</v>
      </c>
      <c r="M5632" s="33" t="str">
        <f t="shared" si="351"/>
        <v>P&amp;L</v>
      </c>
    </row>
    <row r="5633" spans="1:13" s="33" customFormat="true" ht="12.75" customHeight="true">
      <c r="A5633" s="33" t="str">
        <f t="shared" si="348"/>
        <v>HN2 - Operating Expense</v>
      </c>
      <c r="B5633" s="33" t="str">
        <f t="shared" si="349"/>
        <v>HN2</v>
      </c>
      <c r="C5633" s="33" t="str">
        <f t="shared" si="350"/>
        <v>63004-7358</v>
      </c>
      <c r="D5633" s="64" t="s">
        <v>6707</v>
      </c>
      <c r="E5633" s="64" t="s">
        <v>3139</v>
      </c>
      <c r="F5633" s="64" t="s">
        <v>15</v>
      </c>
      <c r="G5633" s="64" t="s">
        <v>3035</v>
      </c>
      <c r="H5633" s="64" t="s">
        <v>3022</v>
      </c>
      <c r="I5633" s="64" t="s">
        <v>3140</v>
      </c>
      <c r="J5633" s="67">
        <v>235</v>
      </c>
      <c r="K5633" s="62">
        <v>2290</v>
      </c>
      <c r="L5633" s="33" t="e">
        <f>HLOOKUP(B5633,#REF!,1,0)</f>
        <v>#REF!</v>
      </c>
      <c r="M5633" s="33" t="str">
        <f t="shared" si="351"/>
        <v>P&amp;L</v>
      </c>
    </row>
    <row r="5634" spans="1:13" s="33" customFormat="true" ht="12.75" customHeight="true">
      <c r="A5634" s="33" t="str">
        <f t="shared" ref="A5634:A5697" si="352">B5634&amp;" - "&amp;TRIM(H5634)</f>
        <v>HN2 - Operating Expense</v>
      </c>
      <c r="B5634" s="33" t="str">
        <f t="shared" ref="B5634:B5697" si="353">LEFT(D5634,3)</f>
        <v>HN2</v>
      </c>
      <c r="C5634" s="33" t="str">
        <f t="shared" ref="C5634:C5697" si="354">RIGHT(D5634,10)</f>
        <v>63004-7372</v>
      </c>
      <c r="D5634" s="64" t="s">
        <v>6708</v>
      </c>
      <c r="E5634" s="64" t="s">
        <v>3139</v>
      </c>
      <c r="F5634" s="64" t="s">
        <v>15</v>
      </c>
      <c r="G5634" s="64" t="s">
        <v>3035</v>
      </c>
      <c r="H5634" s="64" t="s">
        <v>3022</v>
      </c>
      <c r="I5634" s="64" t="s">
        <v>3140</v>
      </c>
      <c r="J5634" s="67">
        <v>190</v>
      </c>
      <c r="K5634" s="62">
        <v>1825</v>
      </c>
      <c r="L5634" s="33" t="e">
        <f>HLOOKUP(B5634,#REF!,1,0)</f>
        <v>#REF!</v>
      </c>
      <c r="M5634" s="33" t="str">
        <f t="shared" ref="M5634:M5697" si="355">IF(VALUE(LEFT(C5634,5))&gt;40000,"P&amp;L","BS")</f>
        <v>P&amp;L</v>
      </c>
    </row>
    <row r="5635" spans="1:13" s="33" customFormat="true" ht="12.75" customHeight="true">
      <c r="A5635" s="33" t="str">
        <f t="shared" si="352"/>
        <v>HN2 - Operating Expense</v>
      </c>
      <c r="B5635" s="33" t="str">
        <f t="shared" si="353"/>
        <v>HN2</v>
      </c>
      <c r="C5635" s="33" t="str">
        <f t="shared" si="354"/>
        <v>63004-7384</v>
      </c>
      <c r="D5635" s="64" t="s">
        <v>6709</v>
      </c>
      <c r="E5635" s="64" t="s">
        <v>3139</v>
      </c>
      <c r="F5635" s="64" t="s">
        <v>15</v>
      </c>
      <c r="G5635" s="64" t="s">
        <v>3035</v>
      </c>
      <c r="H5635" s="64" t="s">
        <v>3022</v>
      </c>
      <c r="I5635" s="64" t="s">
        <v>3140</v>
      </c>
      <c r="J5635" s="67">
        <v>235</v>
      </c>
      <c r="K5635" s="62">
        <v>2350</v>
      </c>
      <c r="L5635" s="33" t="e">
        <f>HLOOKUP(B5635,#REF!,1,0)</f>
        <v>#REF!</v>
      </c>
      <c r="M5635" s="33" t="str">
        <f t="shared" si="355"/>
        <v>P&amp;L</v>
      </c>
    </row>
    <row r="5636" spans="1:13" s="33" customFormat="true" ht="12.75" customHeight="true">
      <c r="A5636" s="33" t="str">
        <f t="shared" si="352"/>
        <v>HN2 - Operating Expense</v>
      </c>
      <c r="B5636" s="33" t="str">
        <f t="shared" si="353"/>
        <v>HN2</v>
      </c>
      <c r="C5636" s="33" t="str">
        <f t="shared" si="354"/>
        <v>63004-7626</v>
      </c>
      <c r="D5636" s="64" t="s">
        <v>6710</v>
      </c>
      <c r="E5636" s="64" t="s">
        <v>3139</v>
      </c>
      <c r="F5636" s="64" t="s">
        <v>15</v>
      </c>
      <c r="G5636" s="64" t="s">
        <v>3035</v>
      </c>
      <c r="H5636" s="64" t="s">
        <v>3022</v>
      </c>
      <c r="I5636" s="64" t="s">
        <v>3140</v>
      </c>
      <c r="J5636" s="67">
        <v>150</v>
      </c>
      <c r="K5636" s="62">
        <v>1780</v>
      </c>
      <c r="L5636" s="33" t="e">
        <f>HLOOKUP(B5636,#REF!,1,0)</f>
        <v>#REF!</v>
      </c>
      <c r="M5636" s="33" t="str">
        <f t="shared" si="355"/>
        <v>P&amp;L</v>
      </c>
    </row>
    <row r="5637" spans="1:13" s="33" customFormat="true" ht="12.75" customHeight="true">
      <c r="A5637" s="33" t="str">
        <f t="shared" si="352"/>
        <v>HN2 - Operating Expense</v>
      </c>
      <c r="B5637" s="33" t="str">
        <f t="shared" si="353"/>
        <v>HN2</v>
      </c>
      <c r="C5637" s="33" t="str">
        <f t="shared" si="354"/>
        <v>63005-7358</v>
      </c>
      <c r="D5637" s="64" t="s">
        <v>6711</v>
      </c>
      <c r="E5637" s="64" t="s">
        <v>4996</v>
      </c>
      <c r="F5637" s="64" t="s">
        <v>15</v>
      </c>
      <c r="G5637" s="64" t="s">
        <v>3035</v>
      </c>
      <c r="H5637" s="64" t="s">
        <v>3022</v>
      </c>
      <c r="I5637" s="64" t="s">
        <v>3036</v>
      </c>
      <c r="J5637" s="67">
        <v>0</v>
      </c>
      <c r="K5637" s="62">
        <v>246</v>
      </c>
      <c r="L5637" s="33" t="e">
        <f>HLOOKUP(B5637,#REF!,1,0)</f>
        <v>#REF!</v>
      </c>
      <c r="M5637" s="33" t="str">
        <f t="shared" si="355"/>
        <v>P&amp;L</v>
      </c>
    </row>
    <row r="5638" spans="1:13" s="33" customFormat="true" ht="12.75" customHeight="true">
      <c r="A5638" s="33" t="str">
        <f t="shared" si="352"/>
        <v>HN2 - Operating Expense</v>
      </c>
      <c r="B5638" s="33" t="str">
        <f t="shared" si="353"/>
        <v>HN2</v>
      </c>
      <c r="C5638" s="33" t="str">
        <f t="shared" si="354"/>
        <v>63005-7372</v>
      </c>
      <c r="D5638" s="64" t="s">
        <v>6712</v>
      </c>
      <c r="E5638" s="64" t="s">
        <v>4996</v>
      </c>
      <c r="F5638" s="64" t="s">
        <v>15</v>
      </c>
      <c r="G5638" s="64" t="s">
        <v>3035</v>
      </c>
      <c r="H5638" s="64" t="s">
        <v>3022</v>
      </c>
      <c r="I5638" s="64" t="s">
        <v>3036</v>
      </c>
      <c r="J5638" s="67">
        <v>0</v>
      </c>
      <c r="K5638" s="62">
        <v>246</v>
      </c>
      <c r="L5638" s="33" t="e">
        <f>HLOOKUP(B5638,#REF!,1,0)</f>
        <v>#REF!</v>
      </c>
      <c r="M5638" s="33" t="str">
        <f t="shared" si="355"/>
        <v>P&amp;L</v>
      </c>
    </row>
    <row r="5639" spans="1:13" s="33" customFormat="true" ht="12.75" customHeight="true">
      <c r="A5639" s="33" t="str">
        <f t="shared" si="352"/>
        <v>HN2 - Operating Expense</v>
      </c>
      <c r="B5639" s="33" t="str">
        <f t="shared" si="353"/>
        <v>HN2</v>
      </c>
      <c r="C5639" s="33" t="str">
        <f t="shared" si="354"/>
        <v>63005-7384</v>
      </c>
      <c r="D5639" s="64" t="s">
        <v>6713</v>
      </c>
      <c r="E5639" s="64" t="s">
        <v>4996</v>
      </c>
      <c r="F5639" s="64" t="s">
        <v>15</v>
      </c>
      <c r="G5639" s="64" t="s">
        <v>3035</v>
      </c>
      <c r="H5639" s="64" t="s">
        <v>3022</v>
      </c>
      <c r="I5639" s="64" t="s">
        <v>3036</v>
      </c>
      <c r="J5639" s="67">
        <v>0</v>
      </c>
      <c r="K5639" s="62">
        <v>251</v>
      </c>
      <c r="L5639" s="33" t="e">
        <f>HLOOKUP(B5639,#REF!,1,0)</f>
        <v>#REF!</v>
      </c>
      <c r="M5639" s="33" t="str">
        <f t="shared" si="355"/>
        <v>P&amp;L</v>
      </c>
    </row>
    <row r="5640" spans="1:13" s="33" customFormat="true" ht="12.75" customHeight="true">
      <c r="A5640" s="33" t="str">
        <f t="shared" si="352"/>
        <v>HN2 - Operating Expense</v>
      </c>
      <c r="B5640" s="33" t="str">
        <f t="shared" si="353"/>
        <v>HN2</v>
      </c>
      <c r="C5640" s="33" t="str">
        <f t="shared" si="354"/>
        <v>63005-7626</v>
      </c>
      <c r="D5640" s="64" t="s">
        <v>6714</v>
      </c>
      <c r="E5640" s="64" t="s">
        <v>4996</v>
      </c>
      <c r="F5640" s="64" t="s">
        <v>15</v>
      </c>
      <c r="G5640" s="64" t="s">
        <v>3035</v>
      </c>
      <c r="H5640" s="64" t="s">
        <v>3022</v>
      </c>
      <c r="I5640" s="64" t="s">
        <v>3036</v>
      </c>
      <c r="J5640" s="67">
        <v>0</v>
      </c>
      <c r="K5640" s="62">
        <v>246</v>
      </c>
      <c r="L5640" s="33" t="e">
        <f>HLOOKUP(B5640,#REF!,1,0)</f>
        <v>#REF!</v>
      </c>
      <c r="M5640" s="33" t="str">
        <f t="shared" si="355"/>
        <v>P&amp;L</v>
      </c>
    </row>
    <row r="5641" spans="1:13" s="33" customFormat="true" ht="12.75" customHeight="true">
      <c r="A5641" s="33" t="str">
        <f t="shared" si="352"/>
        <v>HN2 - Operating Expense</v>
      </c>
      <c r="B5641" s="33" t="str">
        <f t="shared" si="353"/>
        <v>HN2</v>
      </c>
      <c r="C5641" s="33" t="str">
        <f t="shared" si="354"/>
        <v>63006-7372</v>
      </c>
      <c r="D5641" s="64" t="s">
        <v>6715</v>
      </c>
      <c r="E5641" s="64" t="s">
        <v>3146</v>
      </c>
      <c r="F5641" s="64" t="s">
        <v>15</v>
      </c>
      <c r="G5641" s="64" t="s">
        <v>3035</v>
      </c>
      <c r="H5641" s="64" t="s">
        <v>3022</v>
      </c>
      <c r="I5641" s="64" t="s">
        <v>3036</v>
      </c>
      <c r="J5641" s="67">
        <v>0</v>
      </c>
      <c r="K5641" s="62">
        <v>516</v>
      </c>
      <c r="L5641" s="33" t="e">
        <f>HLOOKUP(B5641,#REF!,1,0)</f>
        <v>#REF!</v>
      </c>
      <c r="M5641" s="33" t="str">
        <f t="shared" si="355"/>
        <v>P&amp;L</v>
      </c>
    </row>
    <row r="5642" spans="1:13" s="33" customFormat="true" ht="12.75" customHeight="true">
      <c r="A5642" s="33" t="str">
        <f t="shared" si="352"/>
        <v>HN2 - Operating Expense</v>
      </c>
      <c r="B5642" s="33" t="str">
        <f t="shared" si="353"/>
        <v>HN2</v>
      </c>
      <c r="C5642" s="33" t="str">
        <f t="shared" si="354"/>
        <v>63006-7384</v>
      </c>
      <c r="D5642" s="64" t="s">
        <v>6716</v>
      </c>
      <c r="E5642" s="64" t="s">
        <v>3146</v>
      </c>
      <c r="F5642" s="64" t="s">
        <v>15</v>
      </c>
      <c r="G5642" s="64" t="s">
        <v>3035</v>
      </c>
      <c r="H5642" s="64" t="s">
        <v>3022</v>
      </c>
      <c r="I5642" s="64" t="s">
        <v>3036</v>
      </c>
      <c r="J5642" s="67">
        <v>215</v>
      </c>
      <c r="K5642" s="62">
        <v>430</v>
      </c>
      <c r="L5642" s="33" t="e">
        <f>HLOOKUP(B5642,#REF!,1,0)</f>
        <v>#REF!</v>
      </c>
      <c r="M5642" s="33" t="str">
        <f t="shared" si="355"/>
        <v>P&amp;L</v>
      </c>
    </row>
    <row r="5643" spans="1:13" s="33" customFormat="true" ht="12.75" customHeight="true">
      <c r="A5643" s="33" t="str">
        <f t="shared" si="352"/>
        <v>HN2 - Operating Expense</v>
      </c>
      <c r="B5643" s="33" t="str">
        <f t="shared" si="353"/>
        <v>HN2</v>
      </c>
      <c r="C5643" s="33" t="str">
        <f t="shared" si="354"/>
        <v>63006-7626</v>
      </c>
      <c r="D5643" s="64" t="s">
        <v>6717</v>
      </c>
      <c r="E5643" s="64" t="s">
        <v>3146</v>
      </c>
      <c r="F5643" s="64" t="s">
        <v>15</v>
      </c>
      <c r="G5643" s="64" t="s">
        <v>3035</v>
      </c>
      <c r="H5643" s="64" t="s">
        <v>3022</v>
      </c>
      <c r="I5643" s="64" t="s">
        <v>3036</v>
      </c>
      <c r="J5643" s="67">
        <v>0</v>
      </c>
      <c r="K5643" s="62">
        <v>774</v>
      </c>
      <c r="L5643" s="33" t="e">
        <f>HLOOKUP(B5643,#REF!,1,0)</f>
        <v>#REF!</v>
      </c>
      <c r="M5643" s="33" t="str">
        <f t="shared" si="355"/>
        <v>P&amp;L</v>
      </c>
    </row>
    <row r="5644" spans="1:13" s="33" customFormat="true" ht="12.75" customHeight="true">
      <c r="A5644" s="33" t="str">
        <f t="shared" si="352"/>
        <v>HN2 - Operating Expense</v>
      </c>
      <c r="B5644" s="33" t="str">
        <f t="shared" si="353"/>
        <v>HN2</v>
      </c>
      <c r="C5644" s="33" t="str">
        <f t="shared" si="354"/>
        <v>63007-7372</v>
      </c>
      <c r="D5644" s="64" t="s">
        <v>6718</v>
      </c>
      <c r="E5644" s="64" t="s">
        <v>3151</v>
      </c>
      <c r="F5644" s="64" t="s">
        <v>15</v>
      </c>
      <c r="G5644" s="64" t="s">
        <v>3035</v>
      </c>
      <c r="H5644" s="64" t="s">
        <v>3022</v>
      </c>
      <c r="I5644" s="64" t="s">
        <v>3140</v>
      </c>
      <c r="J5644" s="67">
        <v>0</v>
      </c>
      <c r="K5644" s="62">
        <v>43.65</v>
      </c>
      <c r="L5644" s="33" t="e">
        <f>HLOOKUP(B5644,#REF!,1,0)</f>
        <v>#REF!</v>
      </c>
      <c r="M5644" s="33" t="str">
        <f t="shared" si="355"/>
        <v>P&amp;L</v>
      </c>
    </row>
    <row r="5645" spans="1:13" s="33" customFormat="true" ht="12.75" customHeight="true">
      <c r="A5645" s="33" t="str">
        <f t="shared" si="352"/>
        <v>HN2 - Operating Expense</v>
      </c>
      <c r="B5645" s="33" t="str">
        <f t="shared" si="353"/>
        <v>HN2</v>
      </c>
      <c r="C5645" s="33" t="str">
        <f t="shared" si="354"/>
        <v>63007-7626</v>
      </c>
      <c r="D5645" s="64" t="s">
        <v>6719</v>
      </c>
      <c r="E5645" s="64" t="s">
        <v>3151</v>
      </c>
      <c r="F5645" s="64" t="s">
        <v>15</v>
      </c>
      <c r="G5645" s="64" t="s">
        <v>3035</v>
      </c>
      <c r="H5645" s="64" t="s">
        <v>3022</v>
      </c>
      <c r="I5645" s="64" t="s">
        <v>3140</v>
      </c>
      <c r="J5645" s="67">
        <v>0</v>
      </c>
      <c r="K5645" s="62">
        <v>43.58</v>
      </c>
      <c r="L5645" s="33" t="e">
        <f>HLOOKUP(B5645,#REF!,1,0)</f>
        <v>#REF!</v>
      </c>
      <c r="M5645" s="33" t="str">
        <f t="shared" si="355"/>
        <v>P&amp;L</v>
      </c>
    </row>
    <row r="5646" spans="1:13" s="33" customFormat="true" ht="12.75" customHeight="true">
      <c r="A5646" s="33" t="str">
        <f t="shared" si="352"/>
        <v>HN2 - Operating Expense</v>
      </c>
      <c r="B5646" s="33" t="str">
        <f t="shared" si="353"/>
        <v>HN2</v>
      </c>
      <c r="C5646" s="33" t="str">
        <f t="shared" si="354"/>
        <v>63009-7358</v>
      </c>
      <c r="D5646" s="64" t="s">
        <v>6720</v>
      </c>
      <c r="E5646" s="64" t="s">
        <v>3155</v>
      </c>
      <c r="F5646" s="64" t="s">
        <v>15</v>
      </c>
      <c r="G5646" s="64" t="s">
        <v>3035</v>
      </c>
      <c r="H5646" s="64" t="s">
        <v>3022</v>
      </c>
      <c r="I5646" s="64" t="s">
        <v>3140</v>
      </c>
      <c r="J5646" s="67">
        <v>0</v>
      </c>
      <c r="K5646" s="62">
        <v>725.62</v>
      </c>
      <c r="L5646" s="33" t="e">
        <f>HLOOKUP(B5646,#REF!,1,0)</f>
        <v>#REF!</v>
      </c>
      <c r="M5646" s="33" t="str">
        <f t="shared" si="355"/>
        <v>P&amp;L</v>
      </c>
    </row>
    <row r="5647" spans="1:13" s="33" customFormat="true" ht="12.75" customHeight="true">
      <c r="A5647" s="33" t="str">
        <f t="shared" si="352"/>
        <v>HN2 - Operating Expense</v>
      </c>
      <c r="B5647" s="33" t="str">
        <f t="shared" si="353"/>
        <v>HN2</v>
      </c>
      <c r="C5647" s="33" t="str">
        <f t="shared" si="354"/>
        <v>63009-7384</v>
      </c>
      <c r="D5647" s="64" t="s">
        <v>6721</v>
      </c>
      <c r="E5647" s="64" t="s">
        <v>3155</v>
      </c>
      <c r="F5647" s="64" t="s">
        <v>15</v>
      </c>
      <c r="G5647" s="64" t="s">
        <v>3035</v>
      </c>
      <c r="H5647" s="64" t="s">
        <v>3022</v>
      </c>
      <c r="I5647" s="64" t="s">
        <v>3140</v>
      </c>
      <c r="J5647" s="67">
        <v>0</v>
      </c>
      <c r="K5647" s="62">
        <v>819.35</v>
      </c>
      <c r="L5647" s="33" t="e">
        <f>HLOOKUP(B5647,#REF!,1,0)</f>
        <v>#REF!</v>
      </c>
      <c r="M5647" s="33" t="str">
        <f t="shared" si="355"/>
        <v>P&amp;L</v>
      </c>
    </row>
    <row r="5648" spans="1:13" s="33" customFormat="true" ht="12.75" customHeight="true">
      <c r="A5648" s="33" t="str">
        <f t="shared" si="352"/>
        <v>HN2 - Operating Expense</v>
      </c>
      <c r="B5648" s="33" t="str">
        <f t="shared" si="353"/>
        <v>HN2</v>
      </c>
      <c r="C5648" s="33" t="str">
        <f t="shared" si="354"/>
        <v>63009-7626</v>
      </c>
      <c r="D5648" s="64" t="s">
        <v>6722</v>
      </c>
      <c r="E5648" s="64" t="s">
        <v>3155</v>
      </c>
      <c r="F5648" s="64" t="s">
        <v>15</v>
      </c>
      <c r="G5648" s="64" t="s">
        <v>3035</v>
      </c>
      <c r="H5648" s="64" t="s">
        <v>3022</v>
      </c>
      <c r="I5648" s="64" t="s">
        <v>3140</v>
      </c>
      <c r="J5648" s="67">
        <v>0</v>
      </c>
      <c r="K5648" s="62">
        <v>1401.52</v>
      </c>
      <c r="L5648" s="33" t="e">
        <f>HLOOKUP(B5648,#REF!,1,0)</f>
        <v>#REF!</v>
      </c>
      <c r="M5648" s="33" t="str">
        <f t="shared" si="355"/>
        <v>P&amp;L</v>
      </c>
    </row>
    <row r="5649" spans="1:13" s="33" customFormat="true" ht="12.75" customHeight="true">
      <c r="A5649" s="33" t="str">
        <f t="shared" si="352"/>
        <v>HN2 - Operating Expense</v>
      </c>
      <c r="B5649" s="33" t="str">
        <f t="shared" si="353"/>
        <v>HN2</v>
      </c>
      <c r="C5649" s="33" t="str">
        <f t="shared" si="354"/>
        <v>63501-0000</v>
      </c>
      <c r="D5649" s="64" t="s">
        <v>6723</v>
      </c>
      <c r="E5649" s="64" t="s">
        <v>3159</v>
      </c>
      <c r="F5649" s="64" t="s">
        <v>15</v>
      </c>
      <c r="G5649" s="64" t="s">
        <v>3160</v>
      </c>
      <c r="H5649" s="64" t="s">
        <v>3022</v>
      </c>
      <c r="I5649" s="64" t="s">
        <v>3161</v>
      </c>
      <c r="J5649" s="67">
        <v>0</v>
      </c>
      <c r="K5649" s="62">
        <v>191.23</v>
      </c>
      <c r="L5649" s="33" t="e">
        <f>HLOOKUP(B5649,#REF!,1,0)</f>
        <v>#REF!</v>
      </c>
      <c r="M5649" s="33" t="str">
        <f t="shared" si="355"/>
        <v>P&amp;L</v>
      </c>
    </row>
    <row r="5650" spans="1:13" s="33" customFormat="true" ht="12.75" customHeight="true">
      <c r="A5650" s="33" t="str">
        <f t="shared" si="352"/>
        <v>HN2 - Operating Expense</v>
      </c>
      <c r="B5650" s="33" t="str">
        <f t="shared" si="353"/>
        <v>HN2</v>
      </c>
      <c r="C5650" s="33" t="str">
        <f t="shared" si="354"/>
        <v>63501-7358</v>
      </c>
      <c r="D5650" s="64" t="s">
        <v>6724</v>
      </c>
      <c r="E5650" s="64" t="s">
        <v>3159</v>
      </c>
      <c r="F5650" s="64" t="s">
        <v>15</v>
      </c>
      <c r="G5650" s="64" t="s">
        <v>3160</v>
      </c>
      <c r="H5650" s="64" t="s">
        <v>3022</v>
      </c>
      <c r="I5650" s="64" t="s">
        <v>3161</v>
      </c>
      <c r="J5650" s="67">
        <v>57.03</v>
      </c>
      <c r="K5650" s="62">
        <v>1207.4</v>
      </c>
      <c r="L5650" s="33" t="e">
        <f>HLOOKUP(B5650,#REF!,1,0)</f>
        <v>#REF!</v>
      </c>
      <c r="M5650" s="33" t="str">
        <f t="shared" si="355"/>
        <v>P&amp;L</v>
      </c>
    </row>
    <row r="5651" spans="1:13" s="33" customFormat="true" ht="12.75" customHeight="true">
      <c r="A5651" s="33" t="str">
        <f t="shared" si="352"/>
        <v>HN2 - Operating Expense</v>
      </c>
      <c r="B5651" s="33" t="str">
        <f t="shared" si="353"/>
        <v>HN2</v>
      </c>
      <c r="C5651" s="33" t="str">
        <f t="shared" si="354"/>
        <v>63501-7372</v>
      </c>
      <c r="D5651" s="64" t="s">
        <v>6725</v>
      </c>
      <c r="E5651" s="64" t="s">
        <v>3159</v>
      </c>
      <c r="F5651" s="64" t="s">
        <v>15</v>
      </c>
      <c r="G5651" s="64" t="s">
        <v>3160</v>
      </c>
      <c r="H5651" s="64" t="s">
        <v>3022</v>
      </c>
      <c r="I5651" s="64" t="s">
        <v>3161</v>
      </c>
      <c r="J5651" s="67">
        <v>208.52</v>
      </c>
      <c r="K5651" s="62">
        <v>2107.86</v>
      </c>
      <c r="L5651" s="33" t="e">
        <f>HLOOKUP(B5651,#REF!,1,0)</f>
        <v>#REF!</v>
      </c>
      <c r="M5651" s="33" t="str">
        <f t="shared" si="355"/>
        <v>P&amp;L</v>
      </c>
    </row>
    <row r="5652" spans="1:13" s="33" customFormat="true" ht="12.75" customHeight="true">
      <c r="A5652" s="33" t="str">
        <f t="shared" si="352"/>
        <v>HN2 - Operating Expense</v>
      </c>
      <c r="B5652" s="33" t="str">
        <f t="shared" si="353"/>
        <v>HN2</v>
      </c>
      <c r="C5652" s="33" t="str">
        <f t="shared" si="354"/>
        <v>63501-7384</v>
      </c>
      <c r="D5652" s="64" t="s">
        <v>6726</v>
      </c>
      <c r="E5652" s="64" t="s">
        <v>3159</v>
      </c>
      <c r="F5652" s="64" t="s">
        <v>15</v>
      </c>
      <c r="G5652" s="64" t="s">
        <v>3160</v>
      </c>
      <c r="H5652" s="64" t="s">
        <v>3022</v>
      </c>
      <c r="I5652" s="64" t="s">
        <v>3161</v>
      </c>
      <c r="J5652" s="67">
        <v>63.03</v>
      </c>
      <c r="K5652" s="62">
        <v>1213.38</v>
      </c>
      <c r="L5652" s="33" t="e">
        <f>HLOOKUP(B5652,#REF!,1,0)</f>
        <v>#REF!</v>
      </c>
      <c r="M5652" s="33" t="str">
        <f t="shared" si="355"/>
        <v>P&amp;L</v>
      </c>
    </row>
    <row r="5653" spans="1:13" s="33" customFormat="true" ht="12.75" customHeight="true">
      <c r="A5653" s="33" t="str">
        <f t="shared" si="352"/>
        <v>HN2 - Operating Expense</v>
      </c>
      <c r="B5653" s="33" t="str">
        <f t="shared" si="353"/>
        <v>HN2</v>
      </c>
      <c r="C5653" s="33" t="str">
        <f t="shared" si="354"/>
        <v>63501-7626</v>
      </c>
      <c r="D5653" s="64" t="s">
        <v>6727</v>
      </c>
      <c r="E5653" s="64" t="s">
        <v>3159</v>
      </c>
      <c r="F5653" s="64" t="s">
        <v>15</v>
      </c>
      <c r="G5653" s="64" t="s">
        <v>3160</v>
      </c>
      <c r="H5653" s="64" t="s">
        <v>3022</v>
      </c>
      <c r="I5653" s="64" t="s">
        <v>3161</v>
      </c>
      <c r="J5653" s="67">
        <v>98.62</v>
      </c>
      <c r="K5653" s="62">
        <v>1128.97</v>
      </c>
      <c r="L5653" s="33" t="e">
        <f>HLOOKUP(B5653,#REF!,1,0)</f>
        <v>#REF!</v>
      </c>
      <c r="M5653" s="33" t="str">
        <f t="shared" si="355"/>
        <v>P&amp;L</v>
      </c>
    </row>
    <row r="5654" spans="1:13" s="33" customFormat="true" ht="12.75" customHeight="true">
      <c r="A5654" s="33" t="str">
        <f t="shared" si="352"/>
        <v>HN2 - Operating Expense</v>
      </c>
      <c r="B5654" s="33" t="str">
        <f t="shared" si="353"/>
        <v>HN2</v>
      </c>
      <c r="C5654" s="33" t="str">
        <f t="shared" si="354"/>
        <v>63502-7358</v>
      </c>
      <c r="D5654" s="64" t="s">
        <v>6728</v>
      </c>
      <c r="E5654" s="64" t="s">
        <v>3167</v>
      </c>
      <c r="F5654" s="64" t="s">
        <v>15</v>
      </c>
      <c r="G5654" s="64" t="s">
        <v>3160</v>
      </c>
      <c r="H5654" s="64" t="s">
        <v>3022</v>
      </c>
      <c r="I5654" s="64" t="s">
        <v>3168</v>
      </c>
      <c r="J5654" s="67">
        <v>0</v>
      </c>
      <c r="K5654" s="62">
        <v>32044.62</v>
      </c>
      <c r="L5654" s="33" t="e">
        <f>HLOOKUP(B5654,#REF!,1,0)</f>
        <v>#REF!</v>
      </c>
      <c r="M5654" s="33" t="str">
        <f t="shared" si="355"/>
        <v>P&amp;L</v>
      </c>
    </row>
    <row r="5655" spans="1:13" s="33" customFormat="true" ht="12.75" customHeight="true">
      <c r="A5655" s="33" t="str">
        <f t="shared" si="352"/>
        <v>HN2 - Operating Expense</v>
      </c>
      <c r="B5655" s="33" t="str">
        <f t="shared" si="353"/>
        <v>HN2</v>
      </c>
      <c r="C5655" s="33" t="str">
        <f t="shared" si="354"/>
        <v>63502-7372</v>
      </c>
      <c r="D5655" s="64" t="s">
        <v>6729</v>
      </c>
      <c r="E5655" s="64" t="s">
        <v>3167</v>
      </c>
      <c r="F5655" s="64" t="s">
        <v>15</v>
      </c>
      <c r="G5655" s="64" t="s">
        <v>3160</v>
      </c>
      <c r="H5655" s="64" t="s">
        <v>3022</v>
      </c>
      <c r="I5655" s="64" t="s">
        <v>3168</v>
      </c>
      <c r="J5655" s="67">
        <v>0</v>
      </c>
      <c r="K5655" s="62">
        <v>34144.84</v>
      </c>
      <c r="L5655" s="33" t="e">
        <f>HLOOKUP(B5655,#REF!,1,0)</f>
        <v>#REF!</v>
      </c>
      <c r="M5655" s="33" t="str">
        <f t="shared" si="355"/>
        <v>P&amp;L</v>
      </c>
    </row>
    <row r="5656" spans="1:13" s="33" customFormat="true" ht="12.75" customHeight="true">
      <c r="A5656" s="33" t="str">
        <f t="shared" si="352"/>
        <v>HN2 - Operating Expense</v>
      </c>
      <c r="B5656" s="33" t="str">
        <f t="shared" si="353"/>
        <v>HN2</v>
      </c>
      <c r="C5656" s="33" t="str">
        <f t="shared" si="354"/>
        <v>63502-7384</v>
      </c>
      <c r="D5656" s="64" t="s">
        <v>6730</v>
      </c>
      <c r="E5656" s="64" t="s">
        <v>3167</v>
      </c>
      <c r="F5656" s="64" t="s">
        <v>15</v>
      </c>
      <c r="G5656" s="64" t="s">
        <v>3160</v>
      </c>
      <c r="H5656" s="64" t="s">
        <v>3022</v>
      </c>
      <c r="I5656" s="64" t="s">
        <v>3168</v>
      </c>
      <c r="J5656" s="67">
        <v>3587.37</v>
      </c>
      <c r="K5656" s="62">
        <v>37022.88</v>
      </c>
      <c r="L5656" s="33" t="e">
        <f>HLOOKUP(B5656,#REF!,1,0)</f>
        <v>#REF!</v>
      </c>
      <c r="M5656" s="33" t="str">
        <f t="shared" si="355"/>
        <v>P&amp;L</v>
      </c>
    </row>
    <row r="5657" spans="1:13" s="33" customFormat="true" ht="12.75" customHeight="true">
      <c r="A5657" s="33" t="str">
        <f t="shared" si="352"/>
        <v>HN2 - Operating Expense</v>
      </c>
      <c r="B5657" s="33" t="str">
        <f t="shared" si="353"/>
        <v>HN2</v>
      </c>
      <c r="C5657" s="33" t="str">
        <f t="shared" si="354"/>
        <v>63502-7626</v>
      </c>
      <c r="D5657" s="64" t="s">
        <v>6731</v>
      </c>
      <c r="E5657" s="64" t="s">
        <v>3167</v>
      </c>
      <c r="F5657" s="64" t="s">
        <v>15</v>
      </c>
      <c r="G5657" s="64" t="s">
        <v>3160</v>
      </c>
      <c r="H5657" s="64" t="s">
        <v>3022</v>
      </c>
      <c r="I5657" s="64" t="s">
        <v>3168</v>
      </c>
      <c r="J5657" s="67">
        <v>0</v>
      </c>
      <c r="K5657" s="62">
        <v>40816.35</v>
      </c>
      <c r="L5657" s="33" t="e">
        <f>HLOOKUP(B5657,#REF!,1,0)</f>
        <v>#REF!</v>
      </c>
      <c r="M5657" s="33" t="str">
        <f t="shared" si="355"/>
        <v>P&amp;L</v>
      </c>
    </row>
    <row r="5658" spans="1:13" s="33" customFormat="true" ht="12.75" customHeight="true">
      <c r="A5658" s="33" t="str">
        <f t="shared" si="352"/>
        <v>HN2 - Operating Expense</v>
      </c>
      <c r="B5658" s="33" t="str">
        <f t="shared" si="353"/>
        <v>HN2</v>
      </c>
      <c r="C5658" s="33" t="str">
        <f t="shared" si="354"/>
        <v>63503-7358</v>
      </c>
      <c r="D5658" s="64" t="s">
        <v>6732</v>
      </c>
      <c r="E5658" s="64" t="s">
        <v>3174</v>
      </c>
      <c r="F5658" s="64" t="s">
        <v>15</v>
      </c>
      <c r="G5658" s="64" t="s">
        <v>3160</v>
      </c>
      <c r="H5658" s="64" t="s">
        <v>3022</v>
      </c>
      <c r="I5658" s="64" t="s">
        <v>3175</v>
      </c>
      <c r="J5658" s="67">
        <v>1129.99</v>
      </c>
      <c r="K5658" s="62">
        <v>11641.5</v>
      </c>
      <c r="L5658" s="33" t="e">
        <f>HLOOKUP(B5658,#REF!,1,0)</f>
        <v>#REF!</v>
      </c>
      <c r="M5658" s="33" t="str">
        <f t="shared" si="355"/>
        <v>P&amp;L</v>
      </c>
    </row>
    <row r="5659" spans="1:13" s="33" customFormat="true" ht="12.75" customHeight="true">
      <c r="A5659" s="33" t="str">
        <f t="shared" si="352"/>
        <v>HN2 - Operating Expense</v>
      </c>
      <c r="B5659" s="33" t="str">
        <f t="shared" si="353"/>
        <v>HN2</v>
      </c>
      <c r="C5659" s="33" t="str">
        <f t="shared" si="354"/>
        <v>63503-7372</v>
      </c>
      <c r="D5659" s="64" t="s">
        <v>6733</v>
      </c>
      <c r="E5659" s="64" t="s">
        <v>3174</v>
      </c>
      <c r="F5659" s="64" t="s">
        <v>15</v>
      </c>
      <c r="G5659" s="64" t="s">
        <v>3160</v>
      </c>
      <c r="H5659" s="64" t="s">
        <v>3022</v>
      </c>
      <c r="I5659" s="64" t="s">
        <v>3175</v>
      </c>
      <c r="J5659" s="67">
        <v>1125.83</v>
      </c>
      <c r="K5659" s="62">
        <v>10469.07</v>
      </c>
      <c r="L5659" s="33" t="e">
        <f>HLOOKUP(B5659,#REF!,1,0)</f>
        <v>#REF!</v>
      </c>
      <c r="M5659" s="33" t="str">
        <f t="shared" si="355"/>
        <v>P&amp;L</v>
      </c>
    </row>
    <row r="5660" spans="1:13" s="33" customFormat="true" ht="12.75" customHeight="true">
      <c r="A5660" s="33" t="str">
        <f t="shared" si="352"/>
        <v>HN2 - Operating Expense</v>
      </c>
      <c r="B5660" s="33" t="str">
        <f t="shared" si="353"/>
        <v>HN2</v>
      </c>
      <c r="C5660" s="33" t="str">
        <f t="shared" si="354"/>
        <v>63503-7384</v>
      </c>
      <c r="D5660" s="64" t="s">
        <v>6734</v>
      </c>
      <c r="E5660" s="64" t="s">
        <v>3174</v>
      </c>
      <c r="F5660" s="64" t="s">
        <v>15</v>
      </c>
      <c r="G5660" s="64" t="s">
        <v>3160</v>
      </c>
      <c r="H5660" s="64" t="s">
        <v>3022</v>
      </c>
      <c r="I5660" s="64" t="s">
        <v>3175</v>
      </c>
      <c r="J5660" s="67">
        <v>1342.43</v>
      </c>
      <c r="K5660" s="62">
        <v>13928.97</v>
      </c>
      <c r="L5660" s="33" t="e">
        <f>HLOOKUP(B5660,#REF!,1,0)</f>
        <v>#REF!</v>
      </c>
      <c r="M5660" s="33" t="str">
        <f t="shared" si="355"/>
        <v>P&amp;L</v>
      </c>
    </row>
    <row r="5661" spans="1:13" s="33" customFormat="true" ht="12.75" customHeight="true">
      <c r="A5661" s="33" t="str">
        <f t="shared" si="352"/>
        <v>HN2 - Operating Expense</v>
      </c>
      <c r="B5661" s="33" t="str">
        <f t="shared" si="353"/>
        <v>HN2</v>
      </c>
      <c r="C5661" s="33" t="str">
        <f t="shared" si="354"/>
        <v>63503-7626</v>
      </c>
      <c r="D5661" s="64" t="s">
        <v>6735</v>
      </c>
      <c r="E5661" s="64" t="s">
        <v>3174</v>
      </c>
      <c r="F5661" s="64" t="s">
        <v>15</v>
      </c>
      <c r="G5661" s="64" t="s">
        <v>3160</v>
      </c>
      <c r="H5661" s="64" t="s">
        <v>3022</v>
      </c>
      <c r="I5661" s="64" t="s">
        <v>3175</v>
      </c>
      <c r="J5661" s="67">
        <v>1148.52</v>
      </c>
      <c r="K5661" s="62">
        <v>10263.22</v>
      </c>
      <c r="L5661" s="33" t="e">
        <f>HLOOKUP(B5661,#REF!,1,0)</f>
        <v>#REF!</v>
      </c>
      <c r="M5661" s="33" t="str">
        <f t="shared" si="355"/>
        <v>P&amp;L</v>
      </c>
    </row>
    <row r="5662" spans="1:13" s="33" customFormat="true" ht="12.75" customHeight="true">
      <c r="A5662" s="33" t="str">
        <f t="shared" si="352"/>
        <v>HN2 - Operating Expense</v>
      </c>
      <c r="B5662" s="33" t="str">
        <f t="shared" si="353"/>
        <v>HN2</v>
      </c>
      <c r="C5662" s="33" t="str">
        <f t="shared" si="354"/>
        <v>63504-7358</v>
      </c>
      <c r="D5662" s="64" t="s">
        <v>6736</v>
      </c>
      <c r="E5662" s="64" t="s">
        <v>3181</v>
      </c>
      <c r="F5662" s="64" t="s">
        <v>15</v>
      </c>
      <c r="G5662" s="64" t="s">
        <v>3160</v>
      </c>
      <c r="H5662" s="64" t="s">
        <v>3022</v>
      </c>
      <c r="I5662" s="64" t="s">
        <v>3182</v>
      </c>
      <c r="J5662" s="67">
        <v>328.45</v>
      </c>
      <c r="K5662" s="62">
        <v>1306.74</v>
      </c>
      <c r="L5662" s="33" t="e">
        <f>HLOOKUP(B5662,#REF!,1,0)</f>
        <v>#REF!</v>
      </c>
      <c r="M5662" s="33" t="str">
        <f t="shared" si="355"/>
        <v>P&amp;L</v>
      </c>
    </row>
    <row r="5663" spans="1:13" s="33" customFormat="true" ht="12.75" customHeight="true">
      <c r="A5663" s="33" t="str">
        <f t="shared" si="352"/>
        <v>HN2 - Operating Expense</v>
      </c>
      <c r="B5663" s="33" t="str">
        <f t="shared" si="353"/>
        <v>HN2</v>
      </c>
      <c r="C5663" s="33" t="str">
        <f t="shared" si="354"/>
        <v>63504-7372</v>
      </c>
      <c r="D5663" s="64" t="s">
        <v>6737</v>
      </c>
      <c r="E5663" s="64" t="s">
        <v>3181</v>
      </c>
      <c r="F5663" s="64" t="s">
        <v>15</v>
      </c>
      <c r="G5663" s="64" t="s">
        <v>3160</v>
      </c>
      <c r="H5663" s="64" t="s">
        <v>3022</v>
      </c>
      <c r="I5663" s="64" t="s">
        <v>3182</v>
      </c>
      <c r="J5663" s="67">
        <v>451.62</v>
      </c>
      <c r="K5663" s="62">
        <v>4870.03</v>
      </c>
      <c r="L5663" s="33" t="e">
        <f>HLOOKUP(B5663,#REF!,1,0)</f>
        <v>#REF!</v>
      </c>
      <c r="M5663" s="33" t="str">
        <f t="shared" si="355"/>
        <v>P&amp;L</v>
      </c>
    </row>
    <row r="5664" spans="1:13" s="33" customFormat="true" ht="12.75" customHeight="true">
      <c r="A5664" s="33" t="str">
        <f t="shared" si="352"/>
        <v>HN2 - Operating Expense</v>
      </c>
      <c r="B5664" s="33" t="str">
        <f t="shared" si="353"/>
        <v>HN2</v>
      </c>
      <c r="C5664" s="33" t="str">
        <f t="shared" si="354"/>
        <v>63504-7384</v>
      </c>
      <c r="D5664" s="64" t="s">
        <v>6738</v>
      </c>
      <c r="E5664" s="64" t="s">
        <v>3181</v>
      </c>
      <c r="F5664" s="64" t="s">
        <v>15</v>
      </c>
      <c r="G5664" s="64" t="s">
        <v>3160</v>
      </c>
      <c r="H5664" s="64" t="s">
        <v>3022</v>
      </c>
      <c r="I5664" s="64" t="s">
        <v>3182</v>
      </c>
      <c r="J5664" s="67">
        <v>2019.73</v>
      </c>
      <c r="K5664" s="62">
        <v>15442.81</v>
      </c>
      <c r="L5664" s="33" t="e">
        <f>HLOOKUP(B5664,#REF!,1,0)</f>
        <v>#REF!</v>
      </c>
      <c r="M5664" s="33" t="str">
        <f t="shared" si="355"/>
        <v>P&amp;L</v>
      </c>
    </row>
    <row r="5665" spans="1:13" s="33" customFormat="true" ht="12.75" customHeight="true">
      <c r="A5665" s="33" t="str">
        <f t="shared" si="352"/>
        <v>HN2 - Operating Expense</v>
      </c>
      <c r="B5665" s="33" t="str">
        <f t="shared" si="353"/>
        <v>HN2</v>
      </c>
      <c r="C5665" s="33" t="str">
        <f t="shared" si="354"/>
        <v>63504-7626</v>
      </c>
      <c r="D5665" s="64" t="s">
        <v>6739</v>
      </c>
      <c r="E5665" s="64" t="s">
        <v>3181</v>
      </c>
      <c r="F5665" s="64" t="s">
        <v>15</v>
      </c>
      <c r="G5665" s="64" t="s">
        <v>3160</v>
      </c>
      <c r="H5665" s="64" t="s">
        <v>3022</v>
      </c>
      <c r="I5665" s="64" t="s">
        <v>3182</v>
      </c>
      <c r="J5665" s="67">
        <v>342.87</v>
      </c>
      <c r="K5665" s="62">
        <v>2945.19</v>
      </c>
      <c r="L5665" s="33" t="e">
        <f>HLOOKUP(B5665,#REF!,1,0)</f>
        <v>#REF!</v>
      </c>
      <c r="M5665" s="33" t="str">
        <f t="shared" si="355"/>
        <v>P&amp;L</v>
      </c>
    </row>
    <row r="5666" spans="1:13" s="33" customFormat="true" ht="12.75" customHeight="true">
      <c r="A5666" s="33" t="str">
        <f t="shared" si="352"/>
        <v>HN2 - Operating Expense</v>
      </c>
      <c r="B5666" s="33" t="str">
        <f t="shared" si="353"/>
        <v>HN2</v>
      </c>
      <c r="C5666" s="33" t="str">
        <f t="shared" si="354"/>
        <v>64001-7358</v>
      </c>
      <c r="D5666" s="64" t="s">
        <v>6740</v>
      </c>
      <c r="E5666" s="64" t="s">
        <v>5031</v>
      </c>
      <c r="F5666" s="64" t="s">
        <v>15</v>
      </c>
      <c r="G5666" s="64" t="s">
        <v>3044</v>
      </c>
      <c r="H5666" s="64" t="s">
        <v>3022</v>
      </c>
      <c r="I5666" s="64" t="s">
        <v>5032</v>
      </c>
      <c r="J5666" s="67">
        <v>473.32</v>
      </c>
      <c r="K5666" s="62">
        <v>4620.54</v>
      </c>
      <c r="L5666" s="33" t="e">
        <f>HLOOKUP(B5666,#REF!,1,0)</f>
        <v>#REF!</v>
      </c>
      <c r="M5666" s="33" t="str">
        <f t="shared" si="355"/>
        <v>P&amp;L</v>
      </c>
    </row>
    <row r="5667" spans="1:13" s="33" customFormat="true" ht="12.75" customHeight="true">
      <c r="A5667" s="33" t="str">
        <f t="shared" si="352"/>
        <v>HN2 - Operating Expense</v>
      </c>
      <c r="B5667" s="33" t="str">
        <f t="shared" si="353"/>
        <v>HN2</v>
      </c>
      <c r="C5667" s="33" t="str">
        <f t="shared" si="354"/>
        <v>64001-7372</v>
      </c>
      <c r="D5667" s="64" t="s">
        <v>6741</v>
      </c>
      <c r="E5667" s="64" t="s">
        <v>5031</v>
      </c>
      <c r="F5667" s="64" t="s">
        <v>15</v>
      </c>
      <c r="G5667" s="64" t="s">
        <v>3044</v>
      </c>
      <c r="H5667" s="64" t="s">
        <v>3022</v>
      </c>
      <c r="I5667" s="64" t="s">
        <v>5032</v>
      </c>
      <c r="J5667" s="67">
        <v>473.32</v>
      </c>
      <c r="K5667" s="62">
        <v>4620.54</v>
      </c>
      <c r="L5667" s="33" t="e">
        <f>HLOOKUP(B5667,#REF!,1,0)</f>
        <v>#REF!</v>
      </c>
      <c r="M5667" s="33" t="str">
        <f t="shared" si="355"/>
        <v>P&amp;L</v>
      </c>
    </row>
    <row r="5668" spans="1:13" s="33" customFormat="true" ht="12.75" customHeight="true">
      <c r="A5668" s="33" t="str">
        <f t="shared" si="352"/>
        <v>HN2 - Operating Expense</v>
      </c>
      <c r="B5668" s="33" t="str">
        <f t="shared" si="353"/>
        <v>HN2</v>
      </c>
      <c r="C5668" s="33" t="str">
        <f t="shared" si="354"/>
        <v>64001-7384</v>
      </c>
      <c r="D5668" s="64" t="s">
        <v>6742</v>
      </c>
      <c r="E5668" s="64" t="s">
        <v>5031</v>
      </c>
      <c r="F5668" s="64" t="s">
        <v>15</v>
      </c>
      <c r="G5668" s="64" t="s">
        <v>3044</v>
      </c>
      <c r="H5668" s="64" t="s">
        <v>3022</v>
      </c>
      <c r="I5668" s="64" t="s">
        <v>5032</v>
      </c>
      <c r="J5668" s="67">
        <v>473.32</v>
      </c>
      <c r="K5668" s="62">
        <v>4620.52</v>
      </c>
      <c r="L5668" s="33" t="e">
        <f>HLOOKUP(B5668,#REF!,1,0)</f>
        <v>#REF!</v>
      </c>
      <c r="M5668" s="33" t="str">
        <f t="shared" si="355"/>
        <v>P&amp;L</v>
      </c>
    </row>
    <row r="5669" spans="1:13" s="33" customFormat="true" ht="12.75" customHeight="true">
      <c r="A5669" s="33" t="str">
        <f t="shared" si="352"/>
        <v>HN2 - Operating Expense</v>
      </c>
      <c r="B5669" s="33" t="str">
        <f t="shared" si="353"/>
        <v>HN2</v>
      </c>
      <c r="C5669" s="33" t="str">
        <f t="shared" si="354"/>
        <v>64001-7626</v>
      </c>
      <c r="D5669" s="64" t="s">
        <v>6743</v>
      </c>
      <c r="E5669" s="64" t="s">
        <v>5031</v>
      </c>
      <c r="F5669" s="64" t="s">
        <v>15</v>
      </c>
      <c r="G5669" s="64" t="s">
        <v>3044</v>
      </c>
      <c r="H5669" s="64" t="s">
        <v>3022</v>
      </c>
      <c r="I5669" s="64" t="s">
        <v>5032</v>
      </c>
      <c r="J5669" s="67">
        <v>473.32</v>
      </c>
      <c r="K5669" s="62">
        <v>4620.53</v>
      </c>
      <c r="L5669" s="33" t="e">
        <f>HLOOKUP(B5669,#REF!,1,0)</f>
        <v>#REF!</v>
      </c>
      <c r="M5669" s="33" t="str">
        <f t="shared" si="355"/>
        <v>P&amp;L</v>
      </c>
    </row>
    <row r="5670" spans="1:13" s="33" customFormat="true" ht="12.75" customHeight="true">
      <c r="A5670" s="33" t="str">
        <f t="shared" si="352"/>
        <v>HN2 - Operating Expense</v>
      </c>
      <c r="B5670" s="33" t="str">
        <f t="shared" si="353"/>
        <v>HN2</v>
      </c>
      <c r="C5670" s="33" t="str">
        <f t="shared" si="354"/>
        <v>64501-7358</v>
      </c>
      <c r="D5670" s="64" t="s">
        <v>6744</v>
      </c>
      <c r="E5670" s="64" t="s">
        <v>3188</v>
      </c>
      <c r="F5670" s="64" t="s">
        <v>15</v>
      </c>
      <c r="G5670" s="64" t="s">
        <v>3044</v>
      </c>
      <c r="H5670" s="64" t="s">
        <v>3022</v>
      </c>
      <c r="I5670" s="64" t="s">
        <v>3189</v>
      </c>
      <c r="J5670" s="67">
        <v>1239.15</v>
      </c>
      <c r="K5670" s="62">
        <v>11471.65</v>
      </c>
      <c r="L5670" s="33" t="e">
        <f>HLOOKUP(B5670,#REF!,1,0)</f>
        <v>#REF!</v>
      </c>
      <c r="M5670" s="33" t="str">
        <f t="shared" si="355"/>
        <v>P&amp;L</v>
      </c>
    </row>
    <row r="5671" spans="1:13" s="33" customFormat="true" ht="12.75" customHeight="true">
      <c r="A5671" s="33" t="str">
        <f t="shared" si="352"/>
        <v>HN2 - Operating Expense</v>
      </c>
      <c r="B5671" s="33" t="str">
        <f t="shared" si="353"/>
        <v>HN2</v>
      </c>
      <c r="C5671" s="33" t="str">
        <f t="shared" si="354"/>
        <v>64501-7372</v>
      </c>
      <c r="D5671" s="64" t="s">
        <v>6745</v>
      </c>
      <c r="E5671" s="64" t="s">
        <v>3188</v>
      </c>
      <c r="F5671" s="64" t="s">
        <v>15</v>
      </c>
      <c r="G5671" s="64" t="s">
        <v>3044</v>
      </c>
      <c r="H5671" s="64" t="s">
        <v>3022</v>
      </c>
      <c r="I5671" s="64" t="s">
        <v>3189</v>
      </c>
      <c r="J5671" s="67">
        <v>1169.51</v>
      </c>
      <c r="K5671" s="62">
        <v>9587.21</v>
      </c>
      <c r="L5671" s="33" t="e">
        <f>HLOOKUP(B5671,#REF!,1,0)</f>
        <v>#REF!</v>
      </c>
      <c r="M5671" s="33" t="str">
        <f t="shared" si="355"/>
        <v>P&amp;L</v>
      </c>
    </row>
    <row r="5672" spans="1:13" s="33" customFormat="true" ht="12.75" customHeight="true">
      <c r="A5672" s="33" t="str">
        <f t="shared" si="352"/>
        <v>HN2 - Operating Expense</v>
      </c>
      <c r="B5672" s="33" t="str">
        <f t="shared" si="353"/>
        <v>HN2</v>
      </c>
      <c r="C5672" s="33" t="str">
        <f t="shared" si="354"/>
        <v>64501-7384</v>
      </c>
      <c r="D5672" s="64" t="s">
        <v>6746</v>
      </c>
      <c r="E5672" s="64" t="s">
        <v>3188</v>
      </c>
      <c r="F5672" s="64" t="s">
        <v>15</v>
      </c>
      <c r="G5672" s="64" t="s">
        <v>3044</v>
      </c>
      <c r="H5672" s="64" t="s">
        <v>3022</v>
      </c>
      <c r="I5672" s="64" t="s">
        <v>3189</v>
      </c>
      <c r="J5672" s="67">
        <v>1482.83</v>
      </c>
      <c r="K5672" s="62">
        <v>13704.24</v>
      </c>
      <c r="L5672" s="33" t="e">
        <f>HLOOKUP(B5672,#REF!,1,0)</f>
        <v>#REF!</v>
      </c>
      <c r="M5672" s="33" t="str">
        <f t="shared" si="355"/>
        <v>P&amp;L</v>
      </c>
    </row>
    <row r="5673" spans="1:13" s="33" customFormat="true" ht="12.75" customHeight="true">
      <c r="A5673" s="33" t="str">
        <f t="shared" si="352"/>
        <v>HN2 - Operating Expense</v>
      </c>
      <c r="B5673" s="33" t="str">
        <f t="shared" si="353"/>
        <v>HN2</v>
      </c>
      <c r="C5673" s="33" t="str">
        <f t="shared" si="354"/>
        <v>64501-7626</v>
      </c>
      <c r="D5673" s="64" t="s">
        <v>6747</v>
      </c>
      <c r="E5673" s="64" t="s">
        <v>3188</v>
      </c>
      <c r="F5673" s="64" t="s">
        <v>15</v>
      </c>
      <c r="G5673" s="64" t="s">
        <v>3044</v>
      </c>
      <c r="H5673" s="64" t="s">
        <v>3022</v>
      </c>
      <c r="I5673" s="64" t="s">
        <v>3189</v>
      </c>
      <c r="J5673" s="67">
        <v>753.63</v>
      </c>
      <c r="K5673" s="62">
        <v>8453.14</v>
      </c>
      <c r="L5673" s="33" t="e">
        <f>HLOOKUP(B5673,#REF!,1,0)</f>
        <v>#REF!</v>
      </c>
      <c r="M5673" s="33" t="str">
        <f t="shared" si="355"/>
        <v>P&amp;L</v>
      </c>
    </row>
    <row r="5674" spans="1:13" s="33" customFormat="true" ht="12.75" customHeight="true">
      <c r="A5674" s="33" t="str">
        <f t="shared" si="352"/>
        <v>HN2 - Operating Expense</v>
      </c>
      <c r="B5674" s="33" t="str">
        <f t="shared" si="353"/>
        <v>HN2</v>
      </c>
      <c r="C5674" s="33" t="str">
        <f t="shared" si="354"/>
        <v>64502-0000</v>
      </c>
      <c r="D5674" s="64" t="s">
        <v>6748</v>
      </c>
      <c r="E5674" s="64" t="s">
        <v>3195</v>
      </c>
      <c r="F5674" s="64" t="s">
        <v>15</v>
      </c>
      <c r="G5674" s="64" t="s">
        <v>3044</v>
      </c>
      <c r="H5674" s="64" t="s">
        <v>3022</v>
      </c>
      <c r="I5674" s="64" t="s">
        <v>3196</v>
      </c>
      <c r="J5674" s="67">
        <v>264.44</v>
      </c>
      <c r="K5674" s="62">
        <v>498.71</v>
      </c>
      <c r="L5674" s="33" t="e">
        <f>HLOOKUP(B5674,#REF!,1,0)</f>
        <v>#REF!</v>
      </c>
      <c r="M5674" s="33" t="str">
        <f t="shared" si="355"/>
        <v>P&amp;L</v>
      </c>
    </row>
    <row r="5675" spans="1:13" s="33" customFormat="true" ht="12.75" customHeight="true">
      <c r="A5675" s="33" t="str">
        <f t="shared" si="352"/>
        <v>HN2 - Operating Expense</v>
      </c>
      <c r="B5675" s="33" t="str">
        <f t="shared" si="353"/>
        <v>HN2</v>
      </c>
      <c r="C5675" s="33" t="str">
        <f t="shared" si="354"/>
        <v>64502-7358</v>
      </c>
      <c r="D5675" s="64" t="s">
        <v>6749</v>
      </c>
      <c r="E5675" s="64" t="s">
        <v>3195</v>
      </c>
      <c r="F5675" s="64" t="s">
        <v>15</v>
      </c>
      <c r="G5675" s="64" t="s">
        <v>3044</v>
      </c>
      <c r="H5675" s="64" t="s">
        <v>3022</v>
      </c>
      <c r="I5675" s="64" t="s">
        <v>3196</v>
      </c>
      <c r="J5675" s="67">
        <v>243.25</v>
      </c>
      <c r="K5675" s="62">
        <v>2178.52</v>
      </c>
      <c r="L5675" s="33" t="e">
        <f>HLOOKUP(B5675,#REF!,1,0)</f>
        <v>#REF!</v>
      </c>
      <c r="M5675" s="33" t="str">
        <f t="shared" si="355"/>
        <v>P&amp;L</v>
      </c>
    </row>
    <row r="5676" spans="1:13" s="33" customFormat="true" ht="12.75" customHeight="true">
      <c r="A5676" s="33" t="str">
        <f t="shared" si="352"/>
        <v>HN2 - Operating Expense</v>
      </c>
      <c r="B5676" s="33" t="str">
        <f t="shared" si="353"/>
        <v>HN2</v>
      </c>
      <c r="C5676" s="33" t="str">
        <f t="shared" si="354"/>
        <v>64502-7372</v>
      </c>
      <c r="D5676" s="64" t="s">
        <v>6750</v>
      </c>
      <c r="E5676" s="64" t="s">
        <v>3195</v>
      </c>
      <c r="F5676" s="64" t="s">
        <v>15</v>
      </c>
      <c r="G5676" s="64" t="s">
        <v>3044</v>
      </c>
      <c r="H5676" s="64" t="s">
        <v>3022</v>
      </c>
      <c r="I5676" s="64" t="s">
        <v>3196</v>
      </c>
      <c r="J5676" s="67">
        <v>309.87</v>
      </c>
      <c r="K5676" s="62">
        <v>2281.09</v>
      </c>
      <c r="L5676" s="33" t="e">
        <f>HLOOKUP(B5676,#REF!,1,0)</f>
        <v>#REF!</v>
      </c>
      <c r="M5676" s="33" t="str">
        <f t="shared" si="355"/>
        <v>P&amp;L</v>
      </c>
    </row>
    <row r="5677" spans="1:13" s="33" customFormat="true" ht="12.75" customHeight="true">
      <c r="A5677" s="33" t="str">
        <f t="shared" si="352"/>
        <v>HN2 - Operating Expense</v>
      </c>
      <c r="B5677" s="33" t="str">
        <f t="shared" si="353"/>
        <v>HN2</v>
      </c>
      <c r="C5677" s="33" t="str">
        <f t="shared" si="354"/>
        <v>64502-7384</v>
      </c>
      <c r="D5677" s="64" t="s">
        <v>6751</v>
      </c>
      <c r="E5677" s="64" t="s">
        <v>3195</v>
      </c>
      <c r="F5677" s="64" t="s">
        <v>15</v>
      </c>
      <c r="G5677" s="64" t="s">
        <v>3044</v>
      </c>
      <c r="H5677" s="64" t="s">
        <v>3022</v>
      </c>
      <c r="I5677" s="64" t="s">
        <v>3196</v>
      </c>
      <c r="J5677" s="67">
        <v>267.98</v>
      </c>
      <c r="K5677" s="62">
        <v>2416.74</v>
      </c>
      <c r="L5677" s="33" t="e">
        <f>HLOOKUP(B5677,#REF!,1,0)</f>
        <v>#REF!</v>
      </c>
      <c r="M5677" s="33" t="str">
        <f t="shared" si="355"/>
        <v>P&amp;L</v>
      </c>
    </row>
    <row r="5678" spans="1:13" s="33" customFormat="true" ht="12.75" customHeight="true">
      <c r="A5678" s="33" t="str">
        <f t="shared" si="352"/>
        <v>HN2 - Operating Expense</v>
      </c>
      <c r="B5678" s="33" t="str">
        <f t="shared" si="353"/>
        <v>HN2</v>
      </c>
      <c r="C5678" s="33" t="str">
        <f t="shared" si="354"/>
        <v>64502-7626</v>
      </c>
      <c r="D5678" s="64" t="s">
        <v>6752</v>
      </c>
      <c r="E5678" s="64" t="s">
        <v>3195</v>
      </c>
      <c r="F5678" s="64" t="s">
        <v>15</v>
      </c>
      <c r="G5678" s="64" t="s">
        <v>3044</v>
      </c>
      <c r="H5678" s="64" t="s">
        <v>3022</v>
      </c>
      <c r="I5678" s="64" t="s">
        <v>3196</v>
      </c>
      <c r="J5678" s="67">
        <v>267.58</v>
      </c>
      <c r="K5678" s="62">
        <v>2286.41</v>
      </c>
      <c r="L5678" s="33" t="e">
        <f>HLOOKUP(B5678,#REF!,1,0)</f>
        <v>#REF!</v>
      </c>
      <c r="M5678" s="33" t="str">
        <f t="shared" si="355"/>
        <v>P&amp;L</v>
      </c>
    </row>
    <row r="5679" spans="1:13" s="33" customFormat="true" ht="12.75" customHeight="true">
      <c r="A5679" s="33" t="str">
        <f t="shared" si="352"/>
        <v>HN2 - Operating Expense</v>
      </c>
      <c r="B5679" s="33" t="str">
        <f t="shared" si="353"/>
        <v>HN2</v>
      </c>
      <c r="C5679" s="33" t="str">
        <f t="shared" si="354"/>
        <v>64503-7358</v>
      </c>
      <c r="D5679" s="64" t="s">
        <v>6753</v>
      </c>
      <c r="E5679" s="64" t="s">
        <v>3202</v>
      </c>
      <c r="F5679" s="64" t="s">
        <v>15</v>
      </c>
      <c r="G5679" s="64" t="s">
        <v>3044</v>
      </c>
      <c r="H5679" s="64" t="s">
        <v>3022</v>
      </c>
      <c r="I5679" s="64" t="s">
        <v>3189</v>
      </c>
      <c r="J5679" s="67">
        <v>1374.9</v>
      </c>
      <c r="K5679" s="62">
        <v>10779.82</v>
      </c>
      <c r="L5679" s="33" t="e">
        <f>HLOOKUP(B5679,#REF!,1,0)</f>
        <v>#REF!</v>
      </c>
      <c r="M5679" s="33" t="str">
        <f t="shared" si="355"/>
        <v>P&amp;L</v>
      </c>
    </row>
    <row r="5680" spans="1:13" s="33" customFormat="true" ht="12.75" customHeight="true">
      <c r="A5680" s="33" t="str">
        <f t="shared" si="352"/>
        <v>HN2 - Operating Expense</v>
      </c>
      <c r="B5680" s="33" t="str">
        <f t="shared" si="353"/>
        <v>HN2</v>
      </c>
      <c r="C5680" s="33" t="str">
        <f t="shared" si="354"/>
        <v>64503-7372</v>
      </c>
      <c r="D5680" s="64" t="s">
        <v>6754</v>
      </c>
      <c r="E5680" s="64" t="s">
        <v>3202</v>
      </c>
      <c r="F5680" s="64" t="s">
        <v>15</v>
      </c>
      <c r="G5680" s="64" t="s">
        <v>3044</v>
      </c>
      <c r="H5680" s="64" t="s">
        <v>3022</v>
      </c>
      <c r="I5680" s="64" t="s">
        <v>3189</v>
      </c>
      <c r="J5680" s="67">
        <v>1725.71</v>
      </c>
      <c r="K5680" s="62">
        <v>15116.69</v>
      </c>
      <c r="L5680" s="33" t="e">
        <f>HLOOKUP(B5680,#REF!,1,0)</f>
        <v>#REF!</v>
      </c>
      <c r="M5680" s="33" t="str">
        <f t="shared" si="355"/>
        <v>P&amp;L</v>
      </c>
    </row>
    <row r="5681" spans="1:13" s="33" customFormat="true" ht="12.75" customHeight="true">
      <c r="A5681" s="33" t="str">
        <f t="shared" si="352"/>
        <v>HN2 - Operating Expense</v>
      </c>
      <c r="B5681" s="33" t="str">
        <f t="shared" si="353"/>
        <v>HN2</v>
      </c>
      <c r="C5681" s="33" t="str">
        <f t="shared" si="354"/>
        <v>64503-7384</v>
      </c>
      <c r="D5681" s="64" t="s">
        <v>6755</v>
      </c>
      <c r="E5681" s="64" t="s">
        <v>3202</v>
      </c>
      <c r="F5681" s="64" t="s">
        <v>15</v>
      </c>
      <c r="G5681" s="64" t="s">
        <v>3044</v>
      </c>
      <c r="H5681" s="64" t="s">
        <v>3022</v>
      </c>
      <c r="I5681" s="64" t="s">
        <v>3189</v>
      </c>
      <c r="J5681" s="67">
        <v>1522.49</v>
      </c>
      <c r="K5681" s="62">
        <v>12180</v>
      </c>
      <c r="L5681" s="33" t="e">
        <f>HLOOKUP(B5681,#REF!,1,0)</f>
        <v>#REF!</v>
      </c>
      <c r="M5681" s="33" t="str">
        <f t="shared" si="355"/>
        <v>P&amp;L</v>
      </c>
    </row>
    <row r="5682" spans="1:13" s="33" customFormat="true" ht="12.75" customHeight="true">
      <c r="A5682" s="33" t="str">
        <f t="shared" si="352"/>
        <v>HN2 - Operating Expense</v>
      </c>
      <c r="B5682" s="33" t="str">
        <f t="shared" si="353"/>
        <v>HN2</v>
      </c>
      <c r="C5682" s="33" t="str">
        <f t="shared" si="354"/>
        <v>64503-7626</v>
      </c>
      <c r="D5682" s="64" t="s">
        <v>6756</v>
      </c>
      <c r="E5682" s="64" t="s">
        <v>3202</v>
      </c>
      <c r="F5682" s="64" t="s">
        <v>15</v>
      </c>
      <c r="G5682" s="64" t="s">
        <v>3044</v>
      </c>
      <c r="H5682" s="64" t="s">
        <v>3022</v>
      </c>
      <c r="I5682" s="64" t="s">
        <v>3189</v>
      </c>
      <c r="J5682" s="67">
        <v>306.56</v>
      </c>
      <c r="K5682" s="62">
        <v>4118.99</v>
      </c>
      <c r="L5682" s="33" t="e">
        <f>HLOOKUP(B5682,#REF!,1,0)</f>
        <v>#REF!</v>
      </c>
      <c r="M5682" s="33" t="str">
        <f t="shared" si="355"/>
        <v>P&amp;L</v>
      </c>
    </row>
    <row r="5683" spans="1:13" s="33" customFormat="true" ht="12.75" customHeight="true">
      <c r="A5683" s="33" t="str">
        <f t="shared" si="352"/>
        <v>HN2 - Operating Expense</v>
      </c>
      <c r="B5683" s="33" t="str">
        <f t="shared" si="353"/>
        <v>HN2</v>
      </c>
      <c r="C5683" s="33" t="str">
        <f t="shared" si="354"/>
        <v>65001-7358</v>
      </c>
      <c r="D5683" s="64" t="s">
        <v>6757</v>
      </c>
      <c r="E5683" s="64" t="s">
        <v>3207</v>
      </c>
      <c r="F5683" s="64" t="s">
        <v>15</v>
      </c>
      <c r="G5683" s="64" t="s">
        <v>3044</v>
      </c>
      <c r="H5683" s="64" t="s">
        <v>3022</v>
      </c>
      <c r="I5683" s="64" t="s">
        <v>3045</v>
      </c>
      <c r="J5683" s="67">
        <v>0</v>
      </c>
      <c r="K5683" s="62">
        <v>21.9</v>
      </c>
      <c r="L5683" s="33" t="e">
        <f>HLOOKUP(B5683,#REF!,1,0)</f>
        <v>#REF!</v>
      </c>
      <c r="M5683" s="33" t="str">
        <f t="shared" si="355"/>
        <v>P&amp;L</v>
      </c>
    </row>
    <row r="5684" spans="1:13" s="33" customFormat="true" ht="12.75" customHeight="true">
      <c r="A5684" s="33" t="str">
        <f t="shared" si="352"/>
        <v>HN2 - Operating Expense</v>
      </c>
      <c r="B5684" s="33" t="str">
        <f t="shared" si="353"/>
        <v>HN2</v>
      </c>
      <c r="C5684" s="33" t="str">
        <f t="shared" si="354"/>
        <v>65002-7358</v>
      </c>
      <c r="D5684" s="64" t="s">
        <v>6758</v>
      </c>
      <c r="E5684" s="64" t="s">
        <v>3209</v>
      </c>
      <c r="F5684" s="64" t="s">
        <v>15</v>
      </c>
      <c r="G5684" s="64" t="s">
        <v>3044</v>
      </c>
      <c r="H5684" s="64" t="s">
        <v>3022</v>
      </c>
      <c r="I5684" s="64" t="s">
        <v>3045</v>
      </c>
      <c r="J5684" s="67">
        <v>195.71</v>
      </c>
      <c r="K5684" s="62">
        <v>1651.04</v>
      </c>
      <c r="L5684" s="33" t="e">
        <f>HLOOKUP(B5684,#REF!,1,0)</f>
        <v>#REF!</v>
      </c>
      <c r="M5684" s="33" t="str">
        <f t="shared" si="355"/>
        <v>P&amp;L</v>
      </c>
    </row>
    <row r="5685" spans="1:13" s="33" customFormat="true" ht="12.75" customHeight="true">
      <c r="A5685" s="33" t="str">
        <f t="shared" si="352"/>
        <v>HN2 - Operating Expense</v>
      </c>
      <c r="B5685" s="33" t="str">
        <f t="shared" si="353"/>
        <v>HN2</v>
      </c>
      <c r="C5685" s="33" t="str">
        <f t="shared" si="354"/>
        <v>65002-7372</v>
      </c>
      <c r="D5685" s="64" t="s">
        <v>6759</v>
      </c>
      <c r="E5685" s="64" t="s">
        <v>3209</v>
      </c>
      <c r="F5685" s="64" t="s">
        <v>15</v>
      </c>
      <c r="G5685" s="64" t="s">
        <v>3044</v>
      </c>
      <c r="H5685" s="64" t="s">
        <v>3022</v>
      </c>
      <c r="I5685" s="64" t="s">
        <v>3045</v>
      </c>
      <c r="J5685" s="67">
        <v>195.71</v>
      </c>
      <c r="K5685" s="62">
        <v>1651.04</v>
      </c>
      <c r="L5685" s="33" t="e">
        <f>HLOOKUP(B5685,#REF!,1,0)</f>
        <v>#REF!</v>
      </c>
      <c r="M5685" s="33" t="str">
        <f t="shared" si="355"/>
        <v>P&amp;L</v>
      </c>
    </row>
    <row r="5686" spans="1:13" s="33" customFormat="true" ht="12.75" customHeight="true">
      <c r="A5686" s="33" t="str">
        <f t="shared" si="352"/>
        <v>HN2 - Operating Expense</v>
      </c>
      <c r="B5686" s="33" t="str">
        <f t="shared" si="353"/>
        <v>HN2</v>
      </c>
      <c r="C5686" s="33" t="str">
        <f t="shared" si="354"/>
        <v>65002-7384</v>
      </c>
      <c r="D5686" s="64" t="s">
        <v>6760</v>
      </c>
      <c r="E5686" s="64" t="s">
        <v>3209</v>
      </c>
      <c r="F5686" s="64" t="s">
        <v>15</v>
      </c>
      <c r="G5686" s="64" t="s">
        <v>3044</v>
      </c>
      <c r="H5686" s="64" t="s">
        <v>3022</v>
      </c>
      <c r="I5686" s="64" t="s">
        <v>3045</v>
      </c>
      <c r="J5686" s="67">
        <v>195.71</v>
      </c>
      <c r="K5686" s="62">
        <v>1651.04</v>
      </c>
      <c r="L5686" s="33" t="e">
        <f>HLOOKUP(B5686,#REF!,1,0)</f>
        <v>#REF!</v>
      </c>
      <c r="M5686" s="33" t="str">
        <f t="shared" si="355"/>
        <v>P&amp;L</v>
      </c>
    </row>
    <row r="5687" spans="1:13" s="33" customFormat="true" ht="12.75" customHeight="true">
      <c r="A5687" s="33" t="str">
        <f t="shared" si="352"/>
        <v>HN2 - Operating Expense</v>
      </c>
      <c r="B5687" s="33" t="str">
        <f t="shared" si="353"/>
        <v>HN2</v>
      </c>
      <c r="C5687" s="33" t="str">
        <f t="shared" si="354"/>
        <v>65002-7626</v>
      </c>
      <c r="D5687" s="64" t="s">
        <v>6761</v>
      </c>
      <c r="E5687" s="64" t="s">
        <v>3209</v>
      </c>
      <c r="F5687" s="64" t="s">
        <v>15</v>
      </c>
      <c r="G5687" s="64" t="s">
        <v>3044</v>
      </c>
      <c r="H5687" s="64" t="s">
        <v>3022</v>
      </c>
      <c r="I5687" s="64" t="s">
        <v>3045</v>
      </c>
      <c r="J5687" s="67">
        <v>195.71</v>
      </c>
      <c r="K5687" s="62">
        <v>1651.04</v>
      </c>
      <c r="L5687" s="33" t="e">
        <f>HLOOKUP(B5687,#REF!,1,0)</f>
        <v>#REF!</v>
      </c>
      <c r="M5687" s="33" t="str">
        <f t="shared" si="355"/>
        <v>P&amp;L</v>
      </c>
    </row>
    <row r="5688" spans="1:13" s="33" customFormat="true" ht="12.75" customHeight="true">
      <c r="A5688" s="33" t="str">
        <f t="shared" si="352"/>
        <v>HN2 - Operating Expense</v>
      </c>
      <c r="B5688" s="33" t="str">
        <f t="shared" si="353"/>
        <v>HN2</v>
      </c>
      <c r="C5688" s="33" t="str">
        <f t="shared" si="354"/>
        <v>65501-0000</v>
      </c>
      <c r="D5688" s="64" t="s">
        <v>6762</v>
      </c>
      <c r="E5688" s="64" t="s">
        <v>3214</v>
      </c>
      <c r="F5688" s="64" t="s">
        <v>15</v>
      </c>
      <c r="G5688" s="64" t="s">
        <v>3044</v>
      </c>
      <c r="H5688" s="64" t="s">
        <v>3022</v>
      </c>
      <c r="I5688" s="64" t="s">
        <v>3215</v>
      </c>
      <c r="J5688" s="67">
        <v>0</v>
      </c>
      <c r="K5688" s="62">
        <v>0</v>
      </c>
      <c r="L5688" s="33" t="e">
        <f>HLOOKUP(B5688,#REF!,1,0)</f>
        <v>#REF!</v>
      </c>
      <c r="M5688" s="33" t="str">
        <f t="shared" si="355"/>
        <v>P&amp;L</v>
      </c>
    </row>
    <row r="5689" spans="1:13" s="33" customFormat="true" ht="12.75" customHeight="true">
      <c r="A5689" s="33" t="str">
        <f t="shared" si="352"/>
        <v>HN2 - Operating Expense</v>
      </c>
      <c r="B5689" s="33" t="str">
        <f t="shared" si="353"/>
        <v>HN2</v>
      </c>
      <c r="C5689" s="33" t="str">
        <f t="shared" si="354"/>
        <v>65501-7358</v>
      </c>
      <c r="D5689" s="64" t="s">
        <v>6763</v>
      </c>
      <c r="E5689" s="64" t="s">
        <v>3214</v>
      </c>
      <c r="F5689" s="64" t="s">
        <v>15</v>
      </c>
      <c r="G5689" s="64" t="s">
        <v>3044</v>
      </c>
      <c r="H5689" s="64" t="s">
        <v>3022</v>
      </c>
      <c r="I5689" s="64" t="s">
        <v>3215</v>
      </c>
      <c r="J5689" s="67">
        <v>463.7</v>
      </c>
      <c r="K5689" s="62">
        <v>4479.5</v>
      </c>
      <c r="L5689" s="33" t="e">
        <f>HLOOKUP(B5689,#REF!,1,0)</f>
        <v>#REF!</v>
      </c>
      <c r="M5689" s="33" t="str">
        <f t="shared" si="355"/>
        <v>P&amp;L</v>
      </c>
    </row>
    <row r="5690" spans="1:13" s="33" customFormat="true" ht="12.75" customHeight="true">
      <c r="A5690" s="33" t="str">
        <f t="shared" si="352"/>
        <v>HN2 - Operating Expense</v>
      </c>
      <c r="B5690" s="33" t="str">
        <f t="shared" si="353"/>
        <v>HN2</v>
      </c>
      <c r="C5690" s="33" t="str">
        <f t="shared" si="354"/>
        <v>65501-7372</v>
      </c>
      <c r="D5690" s="64" t="s">
        <v>6764</v>
      </c>
      <c r="E5690" s="64" t="s">
        <v>3214</v>
      </c>
      <c r="F5690" s="64" t="s">
        <v>15</v>
      </c>
      <c r="G5690" s="64" t="s">
        <v>3044</v>
      </c>
      <c r="H5690" s="64" t="s">
        <v>3022</v>
      </c>
      <c r="I5690" s="64" t="s">
        <v>3215</v>
      </c>
      <c r="J5690" s="67">
        <v>853.21</v>
      </c>
      <c r="K5690" s="62">
        <v>8066.2</v>
      </c>
      <c r="L5690" s="33" t="e">
        <f>HLOOKUP(B5690,#REF!,1,0)</f>
        <v>#REF!</v>
      </c>
      <c r="M5690" s="33" t="str">
        <f t="shared" si="355"/>
        <v>P&amp;L</v>
      </c>
    </row>
    <row r="5691" spans="1:13" s="33" customFormat="true" ht="12.75" customHeight="true">
      <c r="A5691" s="33" t="str">
        <f t="shared" si="352"/>
        <v>HN2 - Operating Expense</v>
      </c>
      <c r="B5691" s="33" t="str">
        <f t="shared" si="353"/>
        <v>HN2</v>
      </c>
      <c r="C5691" s="33" t="str">
        <f t="shared" si="354"/>
        <v>65501-7384</v>
      </c>
      <c r="D5691" s="64" t="s">
        <v>6765</v>
      </c>
      <c r="E5691" s="64" t="s">
        <v>3214</v>
      </c>
      <c r="F5691" s="64" t="s">
        <v>15</v>
      </c>
      <c r="G5691" s="64" t="s">
        <v>3044</v>
      </c>
      <c r="H5691" s="64" t="s">
        <v>3022</v>
      </c>
      <c r="I5691" s="64" t="s">
        <v>3215</v>
      </c>
      <c r="J5691" s="67">
        <v>569.19</v>
      </c>
      <c r="K5691" s="62">
        <v>5691.9</v>
      </c>
      <c r="L5691" s="33" t="e">
        <f>HLOOKUP(B5691,#REF!,1,0)</f>
        <v>#REF!</v>
      </c>
      <c r="M5691" s="33" t="str">
        <f t="shared" si="355"/>
        <v>P&amp;L</v>
      </c>
    </row>
    <row r="5692" spans="1:13" s="33" customFormat="true" ht="12.75" customHeight="true">
      <c r="A5692" s="33" t="str">
        <f t="shared" si="352"/>
        <v>HN2 - Operating Expense</v>
      </c>
      <c r="B5692" s="33" t="str">
        <f t="shared" si="353"/>
        <v>HN2</v>
      </c>
      <c r="C5692" s="33" t="str">
        <f t="shared" si="354"/>
        <v>65501-7626</v>
      </c>
      <c r="D5692" s="64" t="s">
        <v>6766</v>
      </c>
      <c r="E5692" s="64" t="s">
        <v>3214</v>
      </c>
      <c r="F5692" s="64" t="s">
        <v>15</v>
      </c>
      <c r="G5692" s="64" t="s">
        <v>3044</v>
      </c>
      <c r="H5692" s="64" t="s">
        <v>3022</v>
      </c>
      <c r="I5692" s="64" t="s">
        <v>3215</v>
      </c>
      <c r="J5692" s="67">
        <v>445.46</v>
      </c>
      <c r="K5692" s="62">
        <v>3286.01</v>
      </c>
      <c r="L5692" s="33" t="e">
        <f>HLOOKUP(B5692,#REF!,1,0)</f>
        <v>#REF!</v>
      </c>
      <c r="M5692" s="33" t="str">
        <f t="shared" si="355"/>
        <v>P&amp;L</v>
      </c>
    </row>
    <row r="5693" spans="1:13" s="33" customFormat="true" ht="12.75" customHeight="true">
      <c r="A5693" s="33" t="str">
        <f t="shared" si="352"/>
        <v>HN2 - Operating Expense</v>
      </c>
      <c r="B5693" s="33" t="str">
        <f t="shared" si="353"/>
        <v>HN2</v>
      </c>
      <c r="C5693" s="33" t="str">
        <f t="shared" si="354"/>
        <v>66001-7358</v>
      </c>
      <c r="D5693" s="64" t="s">
        <v>6767</v>
      </c>
      <c r="E5693" s="64" t="s">
        <v>3220</v>
      </c>
      <c r="F5693" s="64" t="s">
        <v>15</v>
      </c>
      <c r="G5693" s="64" t="s">
        <v>3044</v>
      </c>
      <c r="H5693" s="64" t="s">
        <v>3022</v>
      </c>
      <c r="I5693" s="64" t="s">
        <v>3221</v>
      </c>
      <c r="J5693" s="67">
        <v>0</v>
      </c>
      <c r="K5693" s="62">
        <v>166</v>
      </c>
      <c r="L5693" s="33" t="e">
        <f>HLOOKUP(B5693,#REF!,1,0)</f>
        <v>#REF!</v>
      </c>
      <c r="M5693" s="33" t="str">
        <f t="shared" si="355"/>
        <v>P&amp;L</v>
      </c>
    </row>
    <row r="5694" spans="1:13" s="33" customFormat="true" ht="12.75" customHeight="true">
      <c r="A5694" s="33" t="str">
        <f t="shared" si="352"/>
        <v>HN2 - Operating Expense</v>
      </c>
      <c r="B5694" s="33" t="str">
        <f t="shared" si="353"/>
        <v>HN2</v>
      </c>
      <c r="C5694" s="33" t="str">
        <f t="shared" si="354"/>
        <v>66001-7372</v>
      </c>
      <c r="D5694" s="64" t="s">
        <v>6768</v>
      </c>
      <c r="E5694" s="64" t="s">
        <v>3220</v>
      </c>
      <c r="F5694" s="64" t="s">
        <v>15</v>
      </c>
      <c r="G5694" s="64" t="s">
        <v>3044</v>
      </c>
      <c r="H5694" s="64" t="s">
        <v>3022</v>
      </c>
      <c r="I5694" s="64" t="s">
        <v>3221</v>
      </c>
      <c r="J5694" s="67">
        <v>0</v>
      </c>
      <c r="K5694" s="62">
        <v>140</v>
      </c>
      <c r="L5694" s="33" t="e">
        <f>HLOOKUP(B5694,#REF!,1,0)</f>
        <v>#REF!</v>
      </c>
      <c r="M5694" s="33" t="str">
        <f t="shared" si="355"/>
        <v>P&amp;L</v>
      </c>
    </row>
    <row r="5695" spans="1:13" s="33" customFormat="true" ht="12.75" customHeight="true">
      <c r="A5695" s="33" t="str">
        <f t="shared" si="352"/>
        <v>HN2 - Operating Expense</v>
      </c>
      <c r="B5695" s="33" t="str">
        <f t="shared" si="353"/>
        <v>HN2</v>
      </c>
      <c r="C5695" s="33" t="str">
        <f t="shared" si="354"/>
        <v>66001-7384</v>
      </c>
      <c r="D5695" s="64" t="s">
        <v>6769</v>
      </c>
      <c r="E5695" s="64" t="s">
        <v>3220</v>
      </c>
      <c r="F5695" s="64" t="s">
        <v>15</v>
      </c>
      <c r="G5695" s="64" t="s">
        <v>3044</v>
      </c>
      <c r="H5695" s="64" t="s">
        <v>3022</v>
      </c>
      <c r="I5695" s="64" t="s">
        <v>3221</v>
      </c>
      <c r="J5695" s="67">
        <v>0</v>
      </c>
      <c r="K5695" s="62">
        <v>200.84</v>
      </c>
      <c r="L5695" s="33" t="e">
        <f>HLOOKUP(B5695,#REF!,1,0)</f>
        <v>#REF!</v>
      </c>
      <c r="M5695" s="33" t="str">
        <f t="shared" si="355"/>
        <v>P&amp;L</v>
      </c>
    </row>
    <row r="5696" spans="1:13" s="33" customFormat="true" ht="12.75" customHeight="true">
      <c r="A5696" s="33" t="str">
        <f t="shared" si="352"/>
        <v>HN2 - Operating Expense</v>
      </c>
      <c r="B5696" s="33" t="str">
        <f t="shared" si="353"/>
        <v>HN2</v>
      </c>
      <c r="C5696" s="33" t="str">
        <f t="shared" si="354"/>
        <v>66001-7626</v>
      </c>
      <c r="D5696" s="64" t="s">
        <v>6770</v>
      </c>
      <c r="E5696" s="64" t="s">
        <v>3220</v>
      </c>
      <c r="F5696" s="64" t="s">
        <v>15</v>
      </c>
      <c r="G5696" s="64" t="s">
        <v>3044</v>
      </c>
      <c r="H5696" s="64" t="s">
        <v>3022</v>
      </c>
      <c r="I5696" s="64" t="s">
        <v>3221</v>
      </c>
      <c r="J5696" s="67">
        <v>20</v>
      </c>
      <c r="K5696" s="62">
        <v>146</v>
      </c>
      <c r="L5696" s="33" t="e">
        <f>HLOOKUP(B5696,#REF!,1,0)</f>
        <v>#REF!</v>
      </c>
      <c r="M5696" s="33" t="str">
        <f t="shared" si="355"/>
        <v>P&amp;L</v>
      </c>
    </row>
    <row r="5697" spans="1:13" s="33" customFormat="true" ht="12.75" customHeight="true">
      <c r="A5697" s="33" t="str">
        <f t="shared" si="352"/>
        <v>HN2 - Operating Expense</v>
      </c>
      <c r="B5697" s="33" t="str">
        <f t="shared" si="353"/>
        <v>HN2</v>
      </c>
      <c r="C5697" s="33" t="str">
        <f t="shared" si="354"/>
        <v>66501-7358</v>
      </c>
      <c r="D5697" s="64" t="s">
        <v>6771</v>
      </c>
      <c r="E5697" s="64" t="s">
        <v>3231</v>
      </c>
      <c r="F5697" s="64" t="s">
        <v>15</v>
      </c>
      <c r="G5697" s="64" t="s">
        <v>2889</v>
      </c>
      <c r="H5697" s="64" t="s">
        <v>3022</v>
      </c>
      <c r="I5697" s="64" t="s">
        <v>2915</v>
      </c>
      <c r="J5697" s="67">
        <v>179.64</v>
      </c>
      <c r="K5697" s="62">
        <v>1957.42</v>
      </c>
      <c r="L5697" s="33" t="e">
        <f>HLOOKUP(B5697,#REF!,1,0)</f>
        <v>#REF!</v>
      </c>
      <c r="M5697" s="33" t="str">
        <f t="shared" si="355"/>
        <v>P&amp;L</v>
      </c>
    </row>
    <row r="5698" spans="1:13" s="33" customFormat="true" ht="12.75" customHeight="true">
      <c r="A5698" s="33" t="str">
        <f t="shared" ref="A5698:A5761" si="356">B5698&amp;" - "&amp;TRIM(H5698)</f>
        <v>HN2 - Operating Expense</v>
      </c>
      <c r="B5698" s="33" t="str">
        <f t="shared" ref="B5698:B5761" si="357">LEFT(D5698,3)</f>
        <v>HN2</v>
      </c>
      <c r="C5698" s="33" t="str">
        <f t="shared" ref="C5698:C5761" si="358">RIGHT(D5698,10)</f>
        <v>66501-7372</v>
      </c>
      <c r="D5698" s="64" t="s">
        <v>6772</v>
      </c>
      <c r="E5698" s="64" t="s">
        <v>3231</v>
      </c>
      <c r="F5698" s="64" t="s">
        <v>15</v>
      </c>
      <c r="G5698" s="64" t="s">
        <v>2889</v>
      </c>
      <c r="H5698" s="64" t="s">
        <v>3022</v>
      </c>
      <c r="I5698" s="64" t="s">
        <v>2915</v>
      </c>
      <c r="J5698" s="67">
        <v>365.48</v>
      </c>
      <c r="K5698" s="62">
        <v>2280.24</v>
      </c>
      <c r="L5698" s="33" t="e">
        <f>HLOOKUP(B5698,#REF!,1,0)</f>
        <v>#REF!</v>
      </c>
      <c r="M5698" s="33" t="str">
        <f t="shared" ref="M5698:M5761" si="359">IF(VALUE(LEFT(C5698,5))&gt;40000,"P&amp;L","BS")</f>
        <v>P&amp;L</v>
      </c>
    </row>
    <row r="5699" spans="1:13" s="33" customFormat="true" ht="12.75" customHeight="true">
      <c r="A5699" s="33" t="str">
        <f t="shared" si="356"/>
        <v>HN2 - Operating Expense</v>
      </c>
      <c r="B5699" s="33" t="str">
        <f t="shared" si="357"/>
        <v>HN2</v>
      </c>
      <c r="C5699" s="33" t="str">
        <f t="shared" si="358"/>
        <v>66501-7384</v>
      </c>
      <c r="D5699" s="64" t="s">
        <v>6773</v>
      </c>
      <c r="E5699" s="64" t="s">
        <v>3231</v>
      </c>
      <c r="F5699" s="64" t="s">
        <v>15</v>
      </c>
      <c r="G5699" s="64" t="s">
        <v>2889</v>
      </c>
      <c r="H5699" s="64" t="s">
        <v>3022</v>
      </c>
      <c r="I5699" s="64" t="s">
        <v>2915</v>
      </c>
      <c r="J5699" s="67">
        <v>173.31</v>
      </c>
      <c r="K5699" s="62">
        <v>1760.08</v>
      </c>
      <c r="L5699" s="33" t="e">
        <f>HLOOKUP(B5699,#REF!,1,0)</f>
        <v>#REF!</v>
      </c>
      <c r="M5699" s="33" t="str">
        <f t="shared" si="359"/>
        <v>P&amp;L</v>
      </c>
    </row>
    <row r="5700" spans="1:13" s="33" customFormat="true" ht="12.75" customHeight="true">
      <c r="A5700" s="33" t="str">
        <f t="shared" si="356"/>
        <v>HN2 - Operating Expense</v>
      </c>
      <c r="B5700" s="33" t="str">
        <f t="shared" si="357"/>
        <v>HN2</v>
      </c>
      <c r="C5700" s="33" t="str">
        <f t="shared" si="358"/>
        <v>66501-7626</v>
      </c>
      <c r="D5700" s="64" t="s">
        <v>6774</v>
      </c>
      <c r="E5700" s="64" t="s">
        <v>3231</v>
      </c>
      <c r="F5700" s="64" t="s">
        <v>15</v>
      </c>
      <c r="G5700" s="64" t="s">
        <v>2889</v>
      </c>
      <c r="H5700" s="64" t="s">
        <v>3022</v>
      </c>
      <c r="I5700" s="64" t="s">
        <v>2915</v>
      </c>
      <c r="J5700" s="67">
        <v>119.1</v>
      </c>
      <c r="K5700" s="62">
        <v>968.8</v>
      </c>
      <c r="L5700" s="33" t="e">
        <f>HLOOKUP(B5700,#REF!,1,0)</f>
        <v>#REF!</v>
      </c>
      <c r="M5700" s="33" t="str">
        <f t="shared" si="359"/>
        <v>P&amp;L</v>
      </c>
    </row>
    <row r="5701" spans="1:13" s="33" customFormat="true" ht="12.75" customHeight="true">
      <c r="A5701" s="33" t="str">
        <f t="shared" si="356"/>
        <v>HN2 - Operating Expense</v>
      </c>
      <c r="B5701" s="33" t="str">
        <f t="shared" si="357"/>
        <v>HN2</v>
      </c>
      <c r="C5701" s="33" t="str">
        <f t="shared" si="358"/>
        <v>66701-7358</v>
      </c>
      <c r="D5701" s="64" t="s">
        <v>6775</v>
      </c>
      <c r="E5701" s="64" t="s">
        <v>3236</v>
      </c>
      <c r="F5701" s="64" t="s">
        <v>15</v>
      </c>
      <c r="G5701" s="64" t="s">
        <v>3017</v>
      </c>
      <c r="H5701" s="64" t="s">
        <v>3022</v>
      </c>
      <c r="I5701" s="64" t="s">
        <v>3237</v>
      </c>
      <c r="J5701" s="67">
        <v>14</v>
      </c>
      <c r="K5701" s="62">
        <v>158</v>
      </c>
      <c r="L5701" s="33" t="e">
        <f>HLOOKUP(B5701,#REF!,1,0)</f>
        <v>#REF!</v>
      </c>
      <c r="M5701" s="33" t="str">
        <f t="shared" si="359"/>
        <v>P&amp;L</v>
      </c>
    </row>
    <row r="5702" spans="1:13" s="33" customFormat="true" ht="12.75" customHeight="true">
      <c r="A5702" s="33" t="str">
        <f t="shared" si="356"/>
        <v>HN2 - Operating Expense</v>
      </c>
      <c r="B5702" s="33" t="str">
        <f t="shared" si="357"/>
        <v>HN2</v>
      </c>
      <c r="C5702" s="33" t="str">
        <f t="shared" si="358"/>
        <v>66701-7372</v>
      </c>
      <c r="D5702" s="64" t="s">
        <v>6776</v>
      </c>
      <c r="E5702" s="64" t="s">
        <v>3236</v>
      </c>
      <c r="F5702" s="64" t="s">
        <v>15</v>
      </c>
      <c r="G5702" s="64" t="s">
        <v>3017</v>
      </c>
      <c r="H5702" s="64" t="s">
        <v>3022</v>
      </c>
      <c r="I5702" s="64" t="s">
        <v>3237</v>
      </c>
      <c r="J5702" s="67">
        <v>14</v>
      </c>
      <c r="K5702" s="62">
        <v>188.96</v>
      </c>
      <c r="L5702" s="33" t="e">
        <f>HLOOKUP(B5702,#REF!,1,0)</f>
        <v>#REF!</v>
      </c>
      <c r="M5702" s="33" t="str">
        <f t="shared" si="359"/>
        <v>P&amp;L</v>
      </c>
    </row>
    <row r="5703" spans="1:13" s="33" customFormat="true" ht="12.75" customHeight="true">
      <c r="A5703" s="33" t="str">
        <f t="shared" si="356"/>
        <v>HN2 - Operating Expense</v>
      </c>
      <c r="B5703" s="33" t="str">
        <f t="shared" si="357"/>
        <v>HN2</v>
      </c>
      <c r="C5703" s="33" t="str">
        <f t="shared" si="358"/>
        <v>66701-7384</v>
      </c>
      <c r="D5703" s="64" t="s">
        <v>6777</v>
      </c>
      <c r="E5703" s="64" t="s">
        <v>3236</v>
      </c>
      <c r="F5703" s="64" t="s">
        <v>15</v>
      </c>
      <c r="G5703" s="64" t="s">
        <v>3017</v>
      </c>
      <c r="H5703" s="64" t="s">
        <v>3022</v>
      </c>
      <c r="I5703" s="64" t="s">
        <v>3237</v>
      </c>
      <c r="J5703" s="67">
        <v>14</v>
      </c>
      <c r="K5703" s="62">
        <v>140</v>
      </c>
      <c r="L5703" s="33" t="e">
        <f>HLOOKUP(B5703,#REF!,1,0)</f>
        <v>#REF!</v>
      </c>
      <c r="M5703" s="33" t="str">
        <f t="shared" si="359"/>
        <v>P&amp;L</v>
      </c>
    </row>
    <row r="5704" spans="1:13" s="33" customFormat="true" ht="12.75" customHeight="true">
      <c r="A5704" s="33" t="str">
        <f t="shared" si="356"/>
        <v>HN2 - Operating Expense</v>
      </c>
      <c r="B5704" s="33" t="str">
        <f t="shared" si="357"/>
        <v>HN2</v>
      </c>
      <c r="C5704" s="33" t="str">
        <f t="shared" si="358"/>
        <v>66701-7626</v>
      </c>
      <c r="D5704" s="64" t="s">
        <v>6778</v>
      </c>
      <c r="E5704" s="64" t="s">
        <v>3236</v>
      </c>
      <c r="F5704" s="64" t="s">
        <v>15</v>
      </c>
      <c r="G5704" s="64" t="s">
        <v>3017</v>
      </c>
      <c r="H5704" s="64" t="s">
        <v>3022</v>
      </c>
      <c r="I5704" s="64" t="s">
        <v>3237</v>
      </c>
      <c r="J5704" s="67">
        <v>14</v>
      </c>
      <c r="K5704" s="62">
        <v>140</v>
      </c>
      <c r="L5704" s="33" t="e">
        <f>HLOOKUP(B5704,#REF!,1,0)</f>
        <v>#REF!</v>
      </c>
      <c r="M5704" s="33" t="str">
        <f t="shared" si="359"/>
        <v>P&amp;L</v>
      </c>
    </row>
    <row r="5705" spans="1:13" s="33" customFormat="true" ht="12.75" customHeight="true">
      <c r="A5705" s="33" t="str">
        <f t="shared" si="356"/>
        <v>HN2 - Operating Expense</v>
      </c>
      <c r="B5705" s="33" t="str">
        <f t="shared" si="357"/>
        <v>HN2</v>
      </c>
      <c r="C5705" s="33" t="str">
        <f t="shared" si="358"/>
        <v>67001-7358</v>
      </c>
      <c r="D5705" s="64" t="s">
        <v>6779</v>
      </c>
      <c r="E5705" s="64" t="s">
        <v>3242</v>
      </c>
      <c r="F5705" s="64" t="s">
        <v>15</v>
      </c>
      <c r="G5705" s="64" t="s">
        <v>3044</v>
      </c>
      <c r="H5705" s="64" t="s">
        <v>3022</v>
      </c>
      <c r="I5705" s="64" t="s">
        <v>3243</v>
      </c>
      <c r="J5705" s="67">
        <v>3622.83</v>
      </c>
      <c r="K5705" s="62">
        <v>30963.39</v>
      </c>
      <c r="L5705" s="33" t="e">
        <f>HLOOKUP(B5705,#REF!,1,0)</f>
        <v>#REF!</v>
      </c>
      <c r="M5705" s="33" t="str">
        <f t="shared" si="359"/>
        <v>P&amp;L</v>
      </c>
    </row>
    <row r="5706" spans="1:13" s="33" customFormat="true" ht="12.75" customHeight="true">
      <c r="A5706" s="33" t="str">
        <f t="shared" si="356"/>
        <v>HN2 - Operating Expense</v>
      </c>
      <c r="B5706" s="33" t="str">
        <f t="shared" si="357"/>
        <v>HN2</v>
      </c>
      <c r="C5706" s="33" t="str">
        <f t="shared" si="358"/>
        <v>67001-7372</v>
      </c>
      <c r="D5706" s="64" t="s">
        <v>6780</v>
      </c>
      <c r="E5706" s="64" t="s">
        <v>3242</v>
      </c>
      <c r="F5706" s="64" t="s">
        <v>15</v>
      </c>
      <c r="G5706" s="64" t="s">
        <v>3044</v>
      </c>
      <c r="H5706" s="64" t="s">
        <v>3022</v>
      </c>
      <c r="I5706" s="64" t="s">
        <v>3243</v>
      </c>
      <c r="J5706" s="67">
        <v>4267.51</v>
      </c>
      <c r="K5706" s="62">
        <v>35184.79</v>
      </c>
      <c r="L5706" s="33" t="e">
        <f>HLOOKUP(B5706,#REF!,1,0)</f>
        <v>#REF!</v>
      </c>
      <c r="M5706" s="33" t="str">
        <f t="shared" si="359"/>
        <v>P&amp;L</v>
      </c>
    </row>
    <row r="5707" spans="1:13" s="33" customFormat="true" ht="12.75" customHeight="true">
      <c r="A5707" s="33" t="str">
        <f t="shared" si="356"/>
        <v>HN2 - Operating Expense</v>
      </c>
      <c r="B5707" s="33" t="str">
        <f t="shared" si="357"/>
        <v>HN2</v>
      </c>
      <c r="C5707" s="33" t="str">
        <f t="shared" si="358"/>
        <v>67001-7384</v>
      </c>
      <c r="D5707" s="64" t="s">
        <v>6781</v>
      </c>
      <c r="E5707" s="64" t="s">
        <v>3242</v>
      </c>
      <c r="F5707" s="64" t="s">
        <v>15</v>
      </c>
      <c r="G5707" s="64" t="s">
        <v>3044</v>
      </c>
      <c r="H5707" s="64" t="s">
        <v>3022</v>
      </c>
      <c r="I5707" s="64" t="s">
        <v>3243</v>
      </c>
      <c r="J5707" s="67">
        <v>4311.43</v>
      </c>
      <c r="K5707" s="62">
        <v>36954.52</v>
      </c>
      <c r="L5707" s="33" t="e">
        <f>HLOOKUP(B5707,#REF!,1,0)</f>
        <v>#REF!</v>
      </c>
      <c r="M5707" s="33" t="str">
        <f t="shared" si="359"/>
        <v>P&amp;L</v>
      </c>
    </row>
    <row r="5708" spans="1:13" s="33" customFormat="true" ht="12.75" customHeight="true">
      <c r="A5708" s="33" t="str">
        <f t="shared" si="356"/>
        <v>HN2 - Operating Expense</v>
      </c>
      <c r="B5708" s="33" t="str">
        <f t="shared" si="357"/>
        <v>HN2</v>
      </c>
      <c r="C5708" s="33" t="str">
        <f t="shared" si="358"/>
        <v>67001-7626</v>
      </c>
      <c r="D5708" s="64" t="s">
        <v>6782</v>
      </c>
      <c r="E5708" s="64" t="s">
        <v>3242</v>
      </c>
      <c r="F5708" s="64" t="s">
        <v>15</v>
      </c>
      <c r="G5708" s="64" t="s">
        <v>3044</v>
      </c>
      <c r="H5708" s="64" t="s">
        <v>3022</v>
      </c>
      <c r="I5708" s="64" t="s">
        <v>3243</v>
      </c>
      <c r="J5708" s="67">
        <v>2435.5</v>
      </c>
      <c r="K5708" s="62">
        <v>22489.21</v>
      </c>
      <c r="L5708" s="33" t="e">
        <f>HLOOKUP(B5708,#REF!,1,0)</f>
        <v>#REF!</v>
      </c>
      <c r="M5708" s="33" t="str">
        <f t="shared" si="359"/>
        <v>P&amp;L</v>
      </c>
    </row>
    <row r="5709" spans="1:13" s="33" customFormat="true" ht="12.75" customHeight="true">
      <c r="A5709" s="33" t="str">
        <f t="shared" si="356"/>
        <v>HN2 - Operating Expense</v>
      </c>
      <c r="B5709" s="33" t="str">
        <f t="shared" si="357"/>
        <v>HN2</v>
      </c>
      <c r="C5709" s="33" t="str">
        <f t="shared" si="358"/>
        <v>67501-7358</v>
      </c>
      <c r="D5709" s="64" t="s">
        <v>6783</v>
      </c>
      <c r="E5709" s="64" t="s">
        <v>3248</v>
      </c>
      <c r="F5709" s="64" t="s">
        <v>15</v>
      </c>
      <c r="G5709" s="64" t="s">
        <v>3044</v>
      </c>
      <c r="H5709" s="64" t="s">
        <v>3022</v>
      </c>
      <c r="I5709" s="64" t="s">
        <v>3249</v>
      </c>
      <c r="J5709" s="67">
        <v>5434.25</v>
      </c>
      <c r="K5709" s="62">
        <v>46445.09</v>
      </c>
      <c r="L5709" s="33" t="e">
        <f>HLOOKUP(B5709,#REF!,1,0)</f>
        <v>#REF!</v>
      </c>
      <c r="M5709" s="33" t="str">
        <f t="shared" si="359"/>
        <v>P&amp;L</v>
      </c>
    </row>
    <row r="5710" spans="1:13" s="33" customFormat="true" ht="12.75" customHeight="true">
      <c r="A5710" s="33" t="str">
        <f t="shared" si="356"/>
        <v>HN2 - Operating Expense</v>
      </c>
      <c r="B5710" s="33" t="str">
        <f t="shared" si="357"/>
        <v>HN2</v>
      </c>
      <c r="C5710" s="33" t="str">
        <f t="shared" si="358"/>
        <v>67501-7372</v>
      </c>
      <c r="D5710" s="64" t="s">
        <v>6784</v>
      </c>
      <c r="E5710" s="64" t="s">
        <v>3248</v>
      </c>
      <c r="F5710" s="64" t="s">
        <v>15</v>
      </c>
      <c r="G5710" s="64" t="s">
        <v>3044</v>
      </c>
      <c r="H5710" s="64" t="s">
        <v>3022</v>
      </c>
      <c r="I5710" s="64" t="s">
        <v>3249</v>
      </c>
      <c r="J5710" s="67">
        <v>6401.27</v>
      </c>
      <c r="K5710" s="62">
        <v>52777.21</v>
      </c>
      <c r="L5710" s="33" t="e">
        <f>HLOOKUP(B5710,#REF!,1,0)</f>
        <v>#REF!</v>
      </c>
      <c r="M5710" s="33" t="str">
        <f t="shared" si="359"/>
        <v>P&amp;L</v>
      </c>
    </row>
    <row r="5711" spans="1:13" s="33" customFormat="true" ht="12.75" customHeight="true">
      <c r="A5711" s="33" t="str">
        <f t="shared" si="356"/>
        <v>HN2 - Operating Expense</v>
      </c>
      <c r="B5711" s="33" t="str">
        <f t="shared" si="357"/>
        <v>HN2</v>
      </c>
      <c r="C5711" s="33" t="str">
        <f t="shared" si="358"/>
        <v>67501-7384</v>
      </c>
      <c r="D5711" s="64" t="s">
        <v>6785</v>
      </c>
      <c r="E5711" s="64" t="s">
        <v>3248</v>
      </c>
      <c r="F5711" s="64" t="s">
        <v>15</v>
      </c>
      <c r="G5711" s="64" t="s">
        <v>3044</v>
      </c>
      <c r="H5711" s="64" t="s">
        <v>3022</v>
      </c>
      <c r="I5711" s="64" t="s">
        <v>3249</v>
      </c>
      <c r="J5711" s="67">
        <v>6467.16</v>
      </c>
      <c r="K5711" s="62">
        <v>55431.84</v>
      </c>
      <c r="L5711" s="33" t="e">
        <f>HLOOKUP(B5711,#REF!,1,0)</f>
        <v>#REF!</v>
      </c>
      <c r="M5711" s="33" t="str">
        <f t="shared" si="359"/>
        <v>P&amp;L</v>
      </c>
    </row>
    <row r="5712" spans="1:13" s="33" customFormat="true" ht="12.75" customHeight="true">
      <c r="A5712" s="33" t="str">
        <f t="shared" si="356"/>
        <v>HN2 - Operating Expense</v>
      </c>
      <c r="B5712" s="33" t="str">
        <f t="shared" si="357"/>
        <v>HN2</v>
      </c>
      <c r="C5712" s="33" t="str">
        <f t="shared" si="358"/>
        <v>67501-7626</v>
      </c>
      <c r="D5712" s="64" t="s">
        <v>6786</v>
      </c>
      <c r="E5712" s="64" t="s">
        <v>3248</v>
      </c>
      <c r="F5712" s="64" t="s">
        <v>15</v>
      </c>
      <c r="G5712" s="64" t="s">
        <v>3044</v>
      </c>
      <c r="H5712" s="64" t="s">
        <v>3022</v>
      </c>
      <c r="I5712" s="64" t="s">
        <v>3249</v>
      </c>
      <c r="J5712" s="67">
        <v>3653.25</v>
      </c>
      <c r="K5712" s="62">
        <v>33733.84</v>
      </c>
      <c r="L5712" s="33" t="e">
        <f>HLOOKUP(B5712,#REF!,1,0)</f>
        <v>#REF!</v>
      </c>
      <c r="M5712" s="33" t="str">
        <f t="shared" si="359"/>
        <v>P&amp;L</v>
      </c>
    </row>
    <row r="5713" spans="1:13" s="33" customFormat="true" ht="12.75" customHeight="true">
      <c r="A5713" s="33" t="str">
        <f t="shared" si="356"/>
        <v>HN2 - Operating Expense</v>
      </c>
      <c r="B5713" s="33" t="str">
        <f t="shared" si="357"/>
        <v>HN2</v>
      </c>
      <c r="C5713" s="33" t="str">
        <f t="shared" si="358"/>
        <v>68000-7358</v>
      </c>
      <c r="D5713" s="64" t="s">
        <v>6787</v>
      </c>
      <c r="E5713" s="64" t="s">
        <v>3254</v>
      </c>
      <c r="F5713" s="64" t="s">
        <v>15</v>
      </c>
      <c r="G5713" s="64" t="s">
        <v>3044</v>
      </c>
      <c r="H5713" s="64" t="s">
        <v>3022</v>
      </c>
      <c r="I5713" s="64" t="s">
        <v>3255</v>
      </c>
      <c r="J5713" s="67">
        <v>298.6</v>
      </c>
      <c r="K5713" s="62">
        <v>1333.35</v>
      </c>
      <c r="L5713" s="33" t="e">
        <f>HLOOKUP(B5713,#REF!,1,0)</f>
        <v>#REF!</v>
      </c>
      <c r="M5713" s="33" t="str">
        <f t="shared" si="359"/>
        <v>P&amp;L</v>
      </c>
    </row>
    <row r="5714" spans="1:13" s="33" customFormat="true" ht="12.75" customHeight="true">
      <c r="A5714" s="33" t="str">
        <f t="shared" si="356"/>
        <v>HN2 - Operating Expense</v>
      </c>
      <c r="B5714" s="33" t="str">
        <f t="shared" si="357"/>
        <v>HN2</v>
      </c>
      <c r="C5714" s="33" t="str">
        <f t="shared" si="358"/>
        <v>68000-7372</v>
      </c>
      <c r="D5714" s="64" t="s">
        <v>6788</v>
      </c>
      <c r="E5714" s="64" t="s">
        <v>3254</v>
      </c>
      <c r="F5714" s="64" t="s">
        <v>15</v>
      </c>
      <c r="G5714" s="64" t="s">
        <v>3044</v>
      </c>
      <c r="H5714" s="64" t="s">
        <v>3022</v>
      </c>
      <c r="I5714" s="64" t="s">
        <v>3255</v>
      </c>
      <c r="J5714" s="67">
        <v>298.6</v>
      </c>
      <c r="K5714" s="62">
        <v>1333.36</v>
      </c>
      <c r="L5714" s="33" t="e">
        <f>HLOOKUP(B5714,#REF!,1,0)</f>
        <v>#REF!</v>
      </c>
      <c r="M5714" s="33" t="str">
        <f t="shared" si="359"/>
        <v>P&amp;L</v>
      </c>
    </row>
    <row r="5715" spans="1:13" s="33" customFormat="true" ht="12.75" customHeight="true">
      <c r="A5715" s="33" t="str">
        <f t="shared" si="356"/>
        <v>HN2 - Operating Expense</v>
      </c>
      <c r="B5715" s="33" t="str">
        <f t="shared" si="357"/>
        <v>HN2</v>
      </c>
      <c r="C5715" s="33" t="str">
        <f t="shared" si="358"/>
        <v>68000-7384</v>
      </c>
      <c r="D5715" s="64" t="s">
        <v>6789</v>
      </c>
      <c r="E5715" s="64" t="s">
        <v>3254</v>
      </c>
      <c r="F5715" s="64" t="s">
        <v>15</v>
      </c>
      <c r="G5715" s="64" t="s">
        <v>3044</v>
      </c>
      <c r="H5715" s="64" t="s">
        <v>3022</v>
      </c>
      <c r="I5715" s="64" t="s">
        <v>3255</v>
      </c>
      <c r="J5715" s="67">
        <v>298.61</v>
      </c>
      <c r="K5715" s="62">
        <v>1328.91</v>
      </c>
      <c r="L5715" s="33" t="e">
        <f>HLOOKUP(B5715,#REF!,1,0)</f>
        <v>#REF!</v>
      </c>
      <c r="M5715" s="33" t="str">
        <f t="shared" si="359"/>
        <v>P&amp;L</v>
      </c>
    </row>
    <row r="5716" spans="1:13" s="33" customFormat="true" ht="12.75" customHeight="true">
      <c r="A5716" s="33" t="str">
        <f t="shared" si="356"/>
        <v>HN2 - Operating Expense</v>
      </c>
      <c r="B5716" s="33" t="str">
        <f t="shared" si="357"/>
        <v>HN2</v>
      </c>
      <c r="C5716" s="33" t="str">
        <f t="shared" si="358"/>
        <v>68000-7626</v>
      </c>
      <c r="D5716" s="64" t="s">
        <v>6790</v>
      </c>
      <c r="E5716" s="64" t="s">
        <v>3254</v>
      </c>
      <c r="F5716" s="64" t="s">
        <v>15</v>
      </c>
      <c r="G5716" s="64" t="s">
        <v>3044</v>
      </c>
      <c r="H5716" s="64" t="s">
        <v>3022</v>
      </c>
      <c r="I5716" s="64" t="s">
        <v>3255</v>
      </c>
      <c r="J5716" s="67">
        <v>298.6</v>
      </c>
      <c r="K5716" s="62">
        <v>1333.35</v>
      </c>
      <c r="L5716" s="33" t="e">
        <f>HLOOKUP(B5716,#REF!,1,0)</f>
        <v>#REF!</v>
      </c>
      <c r="M5716" s="33" t="str">
        <f t="shared" si="359"/>
        <v>P&amp;L</v>
      </c>
    </row>
    <row r="5717" spans="1:13" s="33" customFormat="true" ht="12.75" customHeight="true">
      <c r="A5717" s="33" t="str">
        <f t="shared" si="356"/>
        <v>HN2 - Operating Expense</v>
      </c>
      <c r="B5717" s="33" t="str">
        <f t="shared" si="357"/>
        <v>HN2</v>
      </c>
      <c r="C5717" s="33" t="str">
        <f t="shared" si="358"/>
        <v>68001-7358</v>
      </c>
      <c r="D5717" s="64" t="s">
        <v>6791</v>
      </c>
      <c r="E5717" s="64" t="s">
        <v>3260</v>
      </c>
      <c r="F5717" s="64" t="s">
        <v>15</v>
      </c>
      <c r="G5717" s="64" t="s">
        <v>3044</v>
      </c>
      <c r="H5717" s="64" t="s">
        <v>3022</v>
      </c>
      <c r="I5717" s="64" t="s">
        <v>3255</v>
      </c>
      <c r="J5717" s="67">
        <v>144.7</v>
      </c>
      <c r="K5717" s="62">
        <v>1015.35</v>
      </c>
      <c r="L5717" s="33" t="e">
        <f>HLOOKUP(B5717,#REF!,1,0)</f>
        <v>#REF!</v>
      </c>
      <c r="M5717" s="33" t="str">
        <f t="shared" si="359"/>
        <v>P&amp;L</v>
      </c>
    </row>
    <row r="5718" spans="1:13" s="33" customFormat="true" ht="12.75" customHeight="true">
      <c r="A5718" s="33" t="str">
        <f t="shared" si="356"/>
        <v>HN2 - Operating Expense</v>
      </c>
      <c r="B5718" s="33" t="str">
        <f t="shared" si="357"/>
        <v>HN2</v>
      </c>
      <c r="C5718" s="33" t="str">
        <f t="shared" si="358"/>
        <v>68001-7372</v>
      </c>
      <c r="D5718" s="64" t="s">
        <v>6792</v>
      </c>
      <c r="E5718" s="64" t="s">
        <v>3260</v>
      </c>
      <c r="F5718" s="64" t="s">
        <v>15</v>
      </c>
      <c r="G5718" s="64" t="s">
        <v>3044</v>
      </c>
      <c r="H5718" s="64" t="s">
        <v>3022</v>
      </c>
      <c r="I5718" s="64" t="s">
        <v>3255</v>
      </c>
      <c r="J5718" s="67">
        <v>150.15</v>
      </c>
      <c r="K5718" s="62">
        <v>1131.63</v>
      </c>
      <c r="L5718" s="33" t="e">
        <f>HLOOKUP(B5718,#REF!,1,0)</f>
        <v>#REF!</v>
      </c>
      <c r="M5718" s="33" t="str">
        <f t="shared" si="359"/>
        <v>P&amp;L</v>
      </c>
    </row>
    <row r="5719" spans="1:13" s="33" customFormat="true" ht="12.75" customHeight="true">
      <c r="A5719" s="33" t="str">
        <f t="shared" si="356"/>
        <v>HN2 - Operating Expense</v>
      </c>
      <c r="B5719" s="33" t="str">
        <f t="shared" si="357"/>
        <v>HN2</v>
      </c>
      <c r="C5719" s="33" t="str">
        <f t="shared" si="358"/>
        <v>68001-7384</v>
      </c>
      <c r="D5719" s="64" t="s">
        <v>6793</v>
      </c>
      <c r="E5719" s="64" t="s">
        <v>3260</v>
      </c>
      <c r="F5719" s="64" t="s">
        <v>15</v>
      </c>
      <c r="G5719" s="64" t="s">
        <v>3044</v>
      </c>
      <c r="H5719" s="64" t="s">
        <v>3022</v>
      </c>
      <c r="I5719" s="64" t="s">
        <v>3255</v>
      </c>
      <c r="J5719" s="67">
        <v>150.15</v>
      </c>
      <c r="K5719" s="62">
        <v>1025.9</v>
      </c>
      <c r="L5719" s="33" t="e">
        <f>HLOOKUP(B5719,#REF!,1,0)</f>
        <v>#REF!</v>
      </c>
      <c r="M5719" s="33" t="str">
        <f t="shared" si="359"/>
        <v>P&amp;L</v>
      </c>
    </row>
    <row r="5720" spans="1:13" s="33" customFormat="true" ht="12.75" customHeight="true">
      <c r="A5720" s="33" t="str">
        <f t="shared" si="356"/>
        <v>HN2 - Operating Expense</v>
      </c>
      <c r="B5720" s="33" t="str">
        <f t="shared" si="357"/>
        <v>HN2</v>
      </c>
      <c r="C5720" s="33" t="str">
        <f t="shared" si="358"/>
        <v>68001-7626</v>
      </c>
      <c r="D5720" s="64" t="s">
        <v>6794</v>
      </c>
      <c r="E5720" s="64" t="s">
        <v>3260</v>
      </c>
      <c r="F5720" s="64" t="s">
        <v>15</v>
      </c>
      <c r="G5720" s="64" t="s">
        <v>3044</v>
      </c>
      <c r="H5720" s="64" t="s">
        <v>3022</v>
      </c>
      <c r="I5720" s="64" t="s">
        <v>3255</v>
      </c>
      <c r="J5720" s="67">
        <v>150.15</v>
      </c>
      <c r="K5720" s="62">
        <v>1089.38</v>
      </c>
      <c r="L5720" s="33" t="e">
        <f>HLOOKUP(B5720,#REF!,1,0)</f>
        <v>#REF!</v>
      </c>
      <c r="M5720" s="33" t="str">
        <f t="shared" si="359"/>
        <v>P&amp;L</v>
      </c>
    </row>
    <row r="5721" spans="1:13" s="33" customFormat="true" ht="12.75" customHeight="true">
      <c r="A5721" s="33" t="str">
        <f t="shared" si="356"/>
        <v>HN2 - Facility</v>
      </c>
      <c r="B5721" s="33" t="str">
        <f t="shared" si="357"/>
        <v>HN2</v>
      </c>
      <c r="C5721" s="33" t="str">
        <f t="shared" si="358"/>
        <v>70001-7358</v>
      </c>
      <c r="D5721" s="64" t="s">
        <v>6795</v>
      </c>
      <c r="E5721" s="64" t="s">
        <v>3265</v>
      </c>
      <c r="F5721" s="64" t="s">
        <v>15</v>
      </c>
      <c r="G5721" s="64" t="s">
        <v>3266</v>
      </c>
      <c r="H5721" s="64" t="s">
        <v>3267</v>
      </c>
      <c r="I5721" s="64" t="s">
        <v>3268</v>
      </c>
      <c r="J5721" s="67">
        <v>5683.23</v>
      </c>
      <c r="K5721" s="62">
        <v>56832.3</v>
      </c>
      <c r="L5721" s="33" t="e">
        <f>HLOOKUP(B5721,#REF!,1,0)</f>
        <v>#REF!</v>
      </c>
      <c r="M5721" s="33" t="str">
        <f t="shared" si="359"/>
        <v>P&amp;L</v>
      </c>
    </row>
    <row r="5722" spans="1:13" s="33" customFormat="true" ht="12.75" customHeight="true">
      <c r="A5722" s="33" t="str">
        <f t="shared" si="356"/>
        <v>HN2 - Facility</v>
      </c>
      <c r="B5722" s="33" t="str">
        <f t="shared" si="357"/>
        <v>HN2</v>
      </c>
      <c r="C5722" s="33" t="str">
        <f t="shared" si="358"/>
        <v>70001-7372</v>
      </c>
      <c r="D5722" s="64" t="s">
        <v>6796</v>
      </c>
      <c r="E5722" s="64" t="s">
        <v>3265</v>
      </c>
      <c r="F5722" s="64" t="s">
        <v>15</v>
      </c>
      <c r="G5722" s="64" t="s">
        <v>3266</v>
      </c>
      <c r="H5722" s="64" t="s">
        <v>3267</v>
      </c>
      <c r="I5722" s="64" t="s">
        <v>3268</v>
      </c>
      <c r="J5722" s="67">
        <v>4171.71</v>
      </c>
      <c r="K5722" s="62">
        <v>53003.09</v>
      </c>
      <c r="L5722" s="33" t="e">
        <f>HLOOKUP(B5722,#REF!,1,0)</f>
        <v>#REF!</v>
      </c>
      <c r="M5722" s="33" t="str">
        <f t="shared" si="359"/>
        <v>P&amp;L</v>
      </c>
    </row>
    <row r="5723" spans="1:13" s="33" customFormat="true" ht="12.75" customHeight="true">
      <c r="A5723" s="33" t="str">
        <f t="shared" si="356"/>
        <v>HN2 - Facility</v>
      </c>
      <c r="B5723" s="33" t="str">
        <f t="shared" si="357"/>
        <v>HN2</v>
      </c>
      <c r="C5723" s="33" t="str">
        <f t="shared" si="358"/>
        <v>70001-7384</v>
      </c>
      <c r="D5723" s="64" t="s">
        <v>6797</v>
      </c>
      <c r="E5723" s="64" t="s">
        <v>3265</v>
      </c>
      <c r="F5723" s="64" t="s">
        <v>15</v>
      </c>
      <c r="G5723" s="64" t="s">
        <v>3266</v>
      </c>
      <c r="H5723" s="64" t="s">
        <v>3267</v>
      </c>
      <c r="I5723" s="64" t="s">
        <v>3268</v>
      </c>
      <c r="J5723" s="67">
        <v>10083.33</v>
      </c>
      <c r="K5723" s="62">
        <v>96249.95</v>
      </c>
      <c r="L5723" s="33" t="e">
        <f>HLOOKUP(B5723,#REF!,1,0)</f>
        <v>#REF!</v>
      </c>
      <c r="M5723" s="33" t="str">
        <f t="shared" si="359"/>
        <v>P&amp;L</v>
      </c>
    </row>
    <row r="5724" spans="1:13" s="33" customFormat="true" ht="12.75" customHeight="true">
      <c r="A5724" s="33" t="str">
        <f t="shared" si="356"/>
        <v>HN2 - Facility</v>
      </c>
      <c r="B5724" s="33" t="str">
        <f t="shared" si="357"/>
        <v>HN2</v>
      </c>
      <c r="C5724" s="33" t="str">
        <f t="shared" si="358"/>
        <v>70001-7626</v>
      </c>
      <c r="D5724" s="64" t="s">
        <v>6798</v>
      </c>
      <c r="E5724" s="64" t="s">
        <v>3265</v>
      </c>
      <c r="F5724" s="64" t="s">
        <v>15</v>
      </c>
      <c r="G5724" s="64" t="s">
        <v>3266</v>
      </c>
      <c r="H5724" s="64" t="s">
        <v>3267</v>
      </c>
      <c r="I5724" s="64" t="s">
        <v>3268</v>
      </c>
      <c r="J5724" s="67">
        <v>9166.67</v>
      </c>
      <c r="K5724" s="62">
        <v>91666.7</v>
      </c>
      <c r="L5724" s="33" t="e">
        <f>HLOOKUP(B5724,#REF!,1,0)</f>
        <v>#REF!</v>
      </c>
      <c r="M5724" s="33" t="str">
        <f t="shared" si="359"/>
        <v>P&amp;L</v>
      </c>
    </row>
    <row r="5725" spans="1:13" s="33" customFormat="true" ht="12.75" customHeight="true">
      <c r="A5725" s="33" t="str">
        <f t="shared" si="356"/>
        <v>HN2 - Facility</v>
      </c>
      <c r="B5725" s="33" t="str">
        <f t="shared" si="357"/>
        <v>HN2</v>
      </c>
      <c r="C5725" s="33" t="str">
        <f t="shared" si="358"/>
        <v>70010-7358</v>
      </c>
      <c r="D5725" s="64" t="s">
        <v>6799</v>
      </c>
      <c r="E5725" s="64" t="s">
        <v>6800</v>
      </c>
      <c r="F5725" s="64" t="s">
        <v>15</v>
      </c>
      <c r="G5725" s="64" t="s">
        <v>3266</v>
      </c>
      <c r="H5725" s="64" t="s">
        <v>3267</v>
      </c>
      <c r="I5725" s="64" t="s">
        <v>6801</v>
      </c>
      <c r="J5725" s="67">
        <v>0</v>
      </c>
      <c r="K5725" s="62">
        <v>4446.22</v>
      </c>
      <c r="L5725" s="33" t="e">
        <f>HLOOKUP(B5725,#REF!,1,0)</f>
        <v>#REF!</v>
      </c>
      <c r="M5725" s="33" t="str">
        <f t="shared" si="359"/>
        <v>P&amp;L</v>
      </c>
    </row>
    <row r="5726" spans="1:13" s="33" customFormat="true" ht="12.75" customHeight="true">
      <c r="A5726" s="33" t="str">
        <f t="shared" si="356"/>
        <v>HN2 - Facility</v>
      </c>
      <c r="B5726" s="33" t="str">
        <f t="shared" si="357"/>
        <v>HN2</v>
      </c>
      <c r="C5726" s="33" t="str">
        <f t="shared" si="358"/>
        <v>72001-7358</v>
      </c>
      <c r="D5726" s="64" t="s">
        <v>6802</v>
      </c>
      <c r="E5726" s="64" t="s">
        <v>3279</v>
      </c>
      <c r="F5726" s="64" t="s">
        <v>15</v>
      </c>
      <c r="G5726" s="64" t="s">
        <v>3266</v>
      </c>
      <c r="H5726" s="64" t="s">
        <v>3267</v>
      </c>
      <c r="I5726" s="64" t="s">
        <v>3280</v>
      </c>
      <c r="J5726" s="67">
        <v>612</v>
      </c>
      <c r="K5726" s="62">
        <v>6708.62</v>
      </c>
      <c r="L5726" s="33" t="e">
        <f>HLOOKUP(B5726,#REF!,1,0)</f>
        <v>#REF!</v>
      </c>
      <c r="M5726" s="33" t="str">
        <f t="shared" si="359"/>
        <v>P&amp;L</v>
      </c>
    </row>
    <row r="5727" spans="1:13" s="33" customFormat="true" ht="12.75" customHeight="true">
      <c r="A5727" s="33" t="str">
        <f t="shared" si="356"/>
        <v>HN2 - Facility</v>
      </c>
      <c r="B5727" s="33" t="str">
        <f t="shared" si="357"/>
        <v>HN2</v>
      </c>
      <c r="C5727" s="33" t="str">
        <f t="shared" si="358"/>
        <v>72001-7372</v>
      </c>
      <c r="D5727" s="64" t="s">
        <v>6803</v>
      </c>
      <c r="E5727" s="64" t="s">
        <v>3279</v>
      </c>
      <c r="F5727" s="64" t="s">
        <v>15</v>
      </c>
      <c r="G5727" s="64" t="s">
        <v>3266</v>
      </c>
      <c r="H5727" s="64" t="s">
        <v>3267</v>
      </c>
      <c r="I5727" s="64" t="s">
        <v>3280</v>
      </c>
      <c r="J5727" s="67">
        <v>5212</v>
      </c>
      <c r="K5727" s="62">
        <v>61772.78</v>
      </c>
      <c r="L5727" s="33" t="e">
        <f>HLOOKUP(B5727,#REF!,1,0)</f>
        <v>#REF!</v>
      </c>
      <c r="M5727" s="33" t="str">
        <f t="shared" si="359"/>
        <v>P&amp;L</v>
      </c>
    </row>
    <row r="5728" spans="1:13" s="33" customFormat="true" ht="12.75" customHeight="true">
      <c r="A5728" s="33" t="str">
        <f t="shared" si="356"/>
        <v>HN2 - Facility</v>
      </c>
      <c r="B5728" s="33" t="str">
        <f t="shared" si="357"/>
        <v>HN2</v>
      </c>
      <c r="C5728" s="33" t="str">
        <f t="shared" si="358"/>
        <v>72001-7384</v>
      </c>
      <c r="D5728" s="64" t="s">
        <v>6804</v>
      </c>
      <c r="E5728" s="64" t="s">
        <v>3279</v>
      </c>
      <c r="F5728" s="64" t="s">
        <v>15</v>
      </c>
      <c r="G5728" s="64" t="s">
        <v>3266</v>
      </c>
      <c r="H5728" s="64" t="s">
        <v>3267</v>
      </c>
      <c r="I5728" s="64" t="s">
        <v>3280</v>
      </c>
      <c r="J5728" s="67">
        <v>14286.12</v>
      </c>
      <c r="K5728" s="62">
        <v>29314.66</v>
      </c>
      <c r="L5728" s="33" t="e">
        <f>HLOOKUP(B5728,#REF!,1,0)</f>
        <v>#REF!</v>
      </c>
      <c r="M5728" s="33" t="str">
        <f t="shared" si="359"/>
        <v>P&amp;L</v>
      </c>
    </row>
    <row r="5729" spans="1:13" s="33" customFormat="true" ht="12.75" customHeight="true">
      <c r="A5729" s="33" t="str">
        <f t="shared" si="356"/>
        <v>HN2 - Facility</v>
      </c>
      <c r="B5729" s="33" t="str">
        <f t="shared" si="357"/>
        <v>HN2</v>
      </c>
      <c r="C5729" s="33" t="str">
        <f t="shared" si="358"/>
        <v>72001-7626</v>
      </c>
      <c r="D5729" s="64" t="s">
        <v>6805</v>
      </c>
      <c r="E5729" s="64" t="s">
        <v>3279</v>
      </c>
      <c r="F5729" s="64" t="s">
        <v>15</v>
      </c>
      <c r="G5729" s="64" t="s">
        <v>3266</v>
      </c>
      <c r="H5729" s="64" t="s">
        <v>3267</v>
      </c>
      <c r="I5729" s="64" t="s">
        <v>3280</v>
      </c>
      <c r="J5729" s="67">
        <v>0</v>
      </c>
      <c r="K5729" s="62">
        <v>19342.77</v>
      </c>
      <c r="L5729" s="33" t="e">
        <f>HLOOKUP(B5729,#REF!,1,0)</f>
        <v>#REF!</v>
      </c>
      <c r="M5729" s="33" t="str">
        <f t="shared" si="359"/>
        <v>P&amp;L</v>
      </c>
    </row>
    <row r="5730" spans="1:13" s="33" customFormat="true" ht="12.75" customHeight="true">
      <c r="A5730" s="33" t="str">
        <f t="shared" si="356"/>
        <v>HN2 - Facility</v>
      </c>
      <c r="B5730" s="33" t="str">
        <f t="shared" si="357"/>
        <v>HN2</v>
      </c>
      <c r="C5730" s="33" t="str">
        <f t="shared" si="358"/>
        <v>74001-0000</v>
      </c>
      <c r="D5730" s="64" t="s">
        <v>6806</v>
      </c>
      <c r="E5730" s="64" t="s">
        <v>3288</v>
      </c>
      <c r="F5730" s="64" t="s">
        <v>15</v>
      </c>
      <c r="G5730" s="64" t="s">
        <v>3266</v>
      </c>
      <c r="H5730" s="64" t="s">
        <v>3267</v>
      </c>
      <c r="I5730" s="64" t="s">
        <v>3286</v>
      </c>
      <c r="J5730" s="67">
        <v>824.25</v>
      </c>
      <c r="K5730" s="62">
        <v>824.25</v>
      </c>
      <c r="L5730" s="33" t="e">
        <f>HLOOKUP(B5730,#REF!,1,0)</f>
        <v>#REF!</v>
      </c>
      <c r="M5730" s="33" t="str">
        <f t="shared" si="359"/>
        <v>P&amp;L</v>
      </c>
    </row>
    <row r="5731" spans="1:13" s="33" customFormat="true" ht="12.75" customHeight="true">
      <c r="A5731" s="33" t="str">
        <f t="shared" si="356"/>
        <v>HN2 - Facility</v>
      </c>
      <c r="B5731" s="33" t="str">
        <f t="shared" si="357"/>
        <v>HN2</v>
      </c>
      <c r="C5731" s="33" t="str">
        <f t="shared" si="358"/>
        <v>74001-7358</v>
      </c>
      <c r="D5731" s="64" t="s">
        <v>6807</v>
      </c>
      <c r="E5731" s="64" t="s">
        <v>3288</v>
      </c>
      <c r="F5731" s="64" t="s">
        <v>15</v>
      </c>
      <c r="G5731" s="64" t="s">
        <v>3266</v>
      </c>
      <c r="H5731" s="64" t="s">
        <v>3267</v>
      </c>
      <c r="I5731" s="64" t="s">
        <v>3286</v>
      </c>
      <c r="J5731" s="67">
        <v>439.62</v>
      </c>
      <c r="K5731" s="62">
        <v>4243.06</v>
      </c>
      <c r="L5731" s="33" t="e">
        <f>HLOOKUP(B5731,#REF!,1,0)</f>
        <v>#REF!</v>
      </c>
      <c r="M5731" s="33" t="str">
        <f t="shared" si="359"/>
        <v>P&amp;L</v>
      </c>
    </row>
    <row r="5732" spans="1:13" s="33" customFormat="true" ht="12.75" customHeight="true">
      <c r="A5732" s="33" t="str">
        <f t="shared" si="356"/>
        <v>HN2 - Facility</v>
      </c>
      <c r="B5732" s="33" t="str">
        <f t="shared" si="357"/>
        <v>HN2</v>
      </c>
      <c r="C5732" s="33" t="str">
        <f t="shared" si="358"/>
        <v>74001-7372</v>
      </c>
      <c r="D5732" s="64" t="s">
        <v>6808</v>
      </c>
      <c r="E5732" s="64" t="s">
        <v>3288</v>
      </c>
      <c r="F5732" s="64" t="s">
        <v>15</v>
      </c>
      <c r="G5732" s="64" t="s">
        <v>3266</v>
      </c>
      <c r="H5732" s="64" t="s">
        <v>3267</v>
      </c>
      <c r="I5732" s="64" t="s">
        <v>3286</v>
      </c>
      <c r="J5732" s="67">
        <v>439.62</v>
      </c>
      <c r="K5732" s="62">
        <v>4243.06</v>
      </c>
      <c r="L5732" s="33" t="e">
        <f>HLOOKUP(B5732,#REF!,1,0)</f>
        <v>#REF!</v>
      </c>
      <c r="M5732" s="33" t="str">
        <f t="shared" si="359"/>
        <v>P&amp;L</v>
      </c>
    </row>
    <row r="5733" spans="1:13" s="33" customFormat="true" ht="12.75" customHeight="true">
      <c r="A5733" s="33" t="str">
        <f t="shared" si="356"/>
        <v>HN2 - Facility</v>
      </c>
      <c r="B5733" s="33" t="str">
        <f t="shared" si="357"/>
        <v>HN2</v>
      </c>
      <c r="C5733" s="33" t="str">
        <f t="shared" si="358"/>
        <v>74001-7384</v>
      </c>
      <c r="D5733" s="64" t="s">
        <v>6809</v>
      </c>
      <c r="E5733" s="64" t="s">
        <v>3288</v>
      </c>
      <c r="F5733" s="64" t="s">
        <v>15</v>
      </c>
      <c r="G5733" s="64" t="s">
        <v>3266</v>
      </c>
      <c r="H5733" s="64" t="s">
        <v>3267</v>
      </c>
      <c r="I5733" s="64" t="s">
        <v>3286</v>
      </c>
      <c r="J5733" s="67">
        <v>439.62</v>
      </c>
      <c r="K5733" s="62">
        <v>4243.06</v>
      </c>
      <c r="L5733" s="33" t="e">
        <f>HLOOKUP(B5733,#REF!,1,0)</f>
        <v>#REF!</v>
      </c>
      <c r="M5733" s="33" t="str">
        <f t="shared" si="359"/>
        <v>P&amp;L</v>
      </c>
    </row>
    <row r="5734" spans="1:13" s="33" customFormat="true" ht="12.75" customHeight="true">
      <c r="A5734" s="33" t="str">
        <f t="shared" si="356"/>
        <v>HN2 - Facility</v>
      </c>
      <c r="B5734" s="33" t="str">
        <f t="shared" si="357"/>
        <v>HN2</v>
      </c>
      <c r="C5734" s="33" t="str">
        <f t="shared" si="358"/>
        <v>74001-7626</v>
      </c>
      <c r="D5734" s="64" t="s">
        <v>6810</v>
      </c>
      <c r="E5734" s="64" t="s">
        <v>3288</v>
      </c>
      <c r="F5734" s="64" t="s">
        <v>15</v>
      </c>
      <c r="G5734" s="64" t="s">
        <v>3266</v>
      </c>
      <c r="H5734" s="64" t="s">
        <v>3267</v>
      </c>
      <c r="I5734" s="64" t="s">
        <v>3286</v>
      </c>
      <c r="J5734" s="67">
        <v>439.62</v>
      </c>
      <c r="K5734" s="62">
        <v>4243.06</v>
      </c>
      <c r="L5734" s="33" t="e">
        <f>HLOOKUP(B5734,#REF!,1,0)</f>
        <v>#REF!</v>
      </c>
      <c r="M5734" s="33" t="str">
        <f t="shared" si="359"/>
        <v>P&amp;L</v>
      </c>
    </row>
    <row r="5735" spans="1:13" s="33" customFormat="true" ht="12.75" customHeight="true">
      <c r="A5735" s="33" t="str">
        <f t="shared" si="356"/>
        <v>HN2 - Facility</v>
      </c>
      <c r="B5735" s="33" t="str">
        <f t="shared" si="357"/>
        <v>HN2</v>
      </c>
      <c r="C5735" s="33" t="str">
        <f t="shared" si="358"/>
        <v>75001-0000</v>
      </c>
      <c r="D5735" s="64" t="s">
        <v>6811</v>
      </c>
      <c r="E5735" s="64" t="s">
        <v>3293</v>
      </c>
      <c r="F5735" s="64" t="s">
        <v>15</v>
      </c>
      <c r="G5735" s="64" t="s">
        <v>3266</v>
      </c>
      <c r="H5735" s="64" t="s">
        <v>3267</v>
      </c>
      <c r="I5735" s="64" t="s">
        <v>3294</v>
      </c>
      <c r="J5735" s="67">
        <v>0</v>
      </c>
      <c r="K5735" s="62">
        <v>419.48</v>
      </c>
      <c r="L5735" s="33" t="e">
        <f>HLOOKUP(B5735,#REF!,1,0)</f>
        <v>#REF!</v>
      </c>
      <c r="M5735" s="33" t="str">
        <f t="shared" si="359"/>
        <v>P&amp;L</v>
      </c>
    </row>
    <row r="5736" spans="1:13" s="33" customFormat="true" ht="12.75" customHeight="true">
      <c r="A5736" s="33" t="str">
        <f t="shared" si="356"/>
        <v>HN2 - Facility</v>
      </c>
      <c r="B5736" s="33" t="str">
        <f t="shared" si="357"/>
        <v>HN2</v>
      </c>
      <c r="C5736" s="33" t="str">
        <f t="shared" si="358"/>
        <v>75001-7358</v>
      </c>
      <c r="D5736" s="64" t="s">
        <v>6812</v>
      </c>
      <c r="E5736" s="64" t="s">
        <v>3293</v>
      </c>
      <c r="F5736" s="64" t="s">
        <v>15</v>
      </c>
      <c r="G5736" s="64" t="s">
        <v>3266</v>
      </c>
      <c r="H5736" s="64" t="s">
        <v>3267</v>
      </c>
      <c r="I5736" s="64" t="s">
        <v>3294</v>
      </c>
      <c r="J5736" s="67">
        <v>241.95</v>
      </c>
      <c r="K5736" s="62">
        <v>1564.56</v>
      </c>
      <c r="L5736" s="33" t="e">
        <f>HLOOKUP(B5736,#REF!,1,0)</f>
        <v>#REF!</v>
      </c>
      <c r="M5736" s="33" t="str">
        <f t="shared" si="359"/>
        <v>P&amp;L</v>
      </c>
    </row>
    <row r="5737" spans="1:13" s="33" customFormat="true" ht="12.75" customHeight="true">
      <c r="A5737" s="33" t="str">
        <f t="shared" si="356"/>
        <v>HN2 - Facility</v>
      </c>
      <c r="B5737" s="33" t="str">
        <f t="shared" si="357"/>
        <v>HN2</v>
      </c>
      <c r="C5737" s="33" t="str">
        <f t="shared" si="358"/>
        <v>75001-7372</v>
      </c>
      <c r="D5737" s="64" t="s">
        <v>6813</v>
      </c>
      <c r="E5737" s="64" t="s">
        <v>3293</v>
      </c>
      <c r="F5737" s="64" t="s">
        <v>15</v>
      </c>
      <c r="G5737" s="64" t="s">
        <v>3266</v>
      </c>
      <c r="H5737" s="64" t="s">
        <v>3267</v>
      </c>
      <c r="I5737" s="64" t="s">
        <v>3294</v>
      </c>
      <c r="J5737" s="67">
        <v>241.95</v>
      </c>
      <c r="K5737" s="62">
        <v>1688.56</v>
      </c>
      <c r="L5737" s="33" t="e">
        <f>HLOOKUP(B5737,#REF!,1,0)</f>
        <v>#REF!</v>
      </c>
      <c r="M5737" s="33" t="str">
        <f t="shared" si="359"/>
        <v>P&amp;L</v>
      </c>
    </row>
    <row r="5738" spans="1:13" s="33" customFormat="true" ht="12.75" customHeight="true">
      <c r="A5738" s="33" t="str">
        <f t="shared" si="356"/>
        <v>HN2 - Facility</v>
      </c>
      <c r="B5738" s="33" t="str">
        <f t="shared" si="357"/>
        <v>HN2</v>
      </c>
      <c r="C5738" s="33" t="str">
        <f t="shared" si="358"/>
        <v>75001-7384</v>
      </c>
      <c r="D5738" s="64" t="s">
        <v>6814</v>
      </c>
      <c r="E5738" s="64" t="s">
        <v>3293</v>
      </c>
      <c r="F5738" s="64" t="s">
        <v>15</v>
      </c>
      <c r="G5738" s="64" t="s">
        <v>3266</v>
      </c>
      <c r="H5738" s="64" t="s">
        <v>3267</v>
      </c>
      <c r="I5738" s="64" t="s">
        <v>3294</v>
      </c>
      <c r="J5738" s="67">
        <v>1166.7</v>
      </c>
      <c r="K5738" s="62">
        <v>4467.81</v>
      </c>
      <c r="L5738" s="33" t="e">
        <f>HLOOKUP(B5738,#REF!,1,0)</f>
        <v>#REF!</v>
      </c>
      <c r="M5738" s="33" t="str">
        <f t="shared" si="359"/>
        <v>P&amp;L</v>
      </c>
    </row>
    <row r="5739" spans="1:13" s="33" customFormat="true" ht="12.75" customHeight="true">
      <c r="A5739" s="33" t="str">
        <f t="shared" si="356"/>
        <v>HN2 - Facility</v>
      </c>
      <c r="B5739" s="33" t="str">
        <f t="shared" si="357"/>
        <v>HN2</v>
      </c>
      <c r="C5739" s="33" t="str">
        <f t="shared" si="358"/>
        <v>75001-7626</v>
      </c>
      <c r="D5739" s="64" t="s">
        <v>6815</v>
      </c>
      <c r="E5739" s="64" t="s">
        <v>3293</v>
      </c>
      <c r="F5739" s="64" t="s">
        <v>15</v>
      </c>
      <c r="G5739" s="64" t="s">
        <v>3266</v>
      </c>
      <c r="H5739" s="64" t="s">
        <v>3267</v>
      </c>
      <c r="I5739" s="64" t="s">
        <v>3294</v>
      </c>
      <c r="J5739" s="67">
        <v>0</v>
      </c>
      <c r="K5739" s="62">
        <v>1138.8</v>
      </c>
      <c r="L5739" s="33" t="e">
        <f>HLOOKUP(B5739,#REF!,1,0)</f>
        <v>#REF!</v>
      </c>
      <c r="M5739" s="33" t="str">
        <f t="shared" si="359"/>
        <v>P&amp;L</v>
      </c>
    </row>
    <row r="5740" spans="1:13" s="33" customFormat="true" ht="12.75" customHeight="true">
      <c r="A5740" s="33" t="str">
        <f t="shared" si="356"/>
        <v>HN2 - Other Income/Expense</v>
      </c>
      <c r="B5740" s="33" t="str">
        <f t="shared" si="357"/>
        <v>HN2</v>
      </c>
      <c r="C5740" s="33" t="str">
        <f t="shared" si="358"/>
        <v>80001-7358</v>
      </c>
      <c r="D5740" s="64" t="s">
        <v>6816</v>
      </c>
      <c r="E5740" s="64" t="s">
        <v>3299</v>
      </c>
      <c r="F5740" s="64" t="s">
        <v>15</v>
      </c>
      <c r="G5740" s="64" t="s">
        <v>3021</v>
      </c>
      <c r="H5740" s="64" t="s">
        <v>3300</v>
      </c>
      <c r="I5740" s="64" t="s">
        <v>3023</v>
      </c>
      <c r="J5740" s="67">
        <v>38.89</v>
      </c>
      <c r="K5740" s="62">
        <v>111.11</v>
      </c>
      <c r="L5740" s="33" t="e">
        <f>HLOOKUP(B5740,#REF!,1,0)</f>
        <v>#REF!</v>
      </c>
      <c r="M5740" s="33" t="str">
        <f t="shared" si="359"/>
        <v>P&amp;L</v>
      </c>
    </row>
    <row r="5741" spans="1:13" s="33" customFormat="true" ht="12.75" customHeight="true">
      <c r="A5741" s="33" t="str">
        <f t="shared" si="356"/>
        <v>HN2 - Other Income/Expense</v>
      </c>
      <c r="B5741" s="33" t="str">
        <f t="shared" si="357"/>
        <v>HN2</v>
      </c>
      <c r="C5741" s="33" t="str">
        <f t="shared" si="358"/>
        <v>80001-7372</v>
      </c>
      <c r="D5741" s="64" t="s">
        <v>6817</v>
      </c>
      <c r="E5741" s="64" t="s">
        <v>3299</v>
      </c>
      <c r="F5741" s="64" t="s">
        <v>15</v>
      </c>
      <c r="G5741" s="64" t="s">
        <v>3021</v>
      </c>
      <c r="H5741" s="64" t="s">
        <v>3300</v>
      </c>
      <c r="I5741" s="64" t="s">
        <v>3023</v>
      </c>
      <c r="J5741" s="67">
        <v>0</v>
      </c>
      <c r="K5741" s="62">
        <v>127.86</v>
      </c>
      <c r="L5741" s="33" t="e">
        <f>HLOOKUP(B5741,#REF!,1,0)</f>
        <v>#REF!</v>
      </c>
      <c r="M5741" s="33" t="str">
        <f t="shared" si="359"/>
        <v>P&amp;L</v>
      </c>
    </row>
    <row r="5742" spans="1:13" s="33" customFormat="true" ht="12.75" customHeight="true">
      <c r="A5742" s="33" t="str">
        <f t="shared" si="356"/>
        <v>HN2 - Other Income/Expense</v>
      </c>
      <c r="B5742" s="33" t="str">
        <f t="shared" si="357"/>
        <v>HN2</v>
      </c>
      <c r="C5742" s="33" t="str">
        <f t="shared" si="358"/>
        <v>80001-7384</v>
      </c>
      <c r="D5742" s="64" t="s">
        <v>6818</v>
      </c>
      <c r="E5742" s="64" t="s">
        <v>3299</v>
      </c>
      <c r="F5742" s="64" t="s">
        <v>15</v>
      </c>
      <c r="G5742" s="64" t="s">
        <v>3021</v>
      </c>
      <c r="H5742" s="64" t="s">
        <v>3300</v>
      </c>
      <c r="I5742" s="64" t="s">
        <v>3023</v>
      </c>
      <c r="J5742" s="67">
        <v>0</v>
      </c>
      <c r="K5742" s="62">
        <v>71.79</v>
      </c>
      <c r="L5742" s="33" t="e">
        <f>HLOOKUP(B5742,#REF!,1,0)</f>
        <v>#REF!</v>
      </c>
      <c r="M5742" s="33" t="str">
        <f t="shared" si="359"/>
        <v>P&amp;L</v>
      </c>
    </row>
    <row r="5743" spans="1:13" s="33" customFormat="true" ht="12.75" customHeight="true">
      <c r="A5743" s="33" t="str">
        <f t="shared" si="356"/>
        <v>HN2 - Other Income/Expense</v>
      </c>
      <c r="B5743" s="33" t="str">
        <f t="shared" si="357"/>
        <v>HN2</v>
      </c>
      <c r="C5743" s="33" t="str">
        <f t="shared" si="358"/>
        <v>80001-7626</v>
      </c>
      <c r="D5743" s="64" t="s">
        <v>6819</v>
      </c>
      <c r="E5743" s="64" t="s">
        <v>3299</v>
      </c>
      <c r="F5743" s="64" t="s">
        <v>15</v>
      </c>
      <c r="G5743" s="64" t="s">
        <v>3021</v>
      </c>
      <c r="H5743" s="64" t="s">
        <v>3300</v>
      </c>
      <c r="I5743" s="64" t="s">
        <v>3023</v>
      </c>
      <c r="J5743" s="67">
        <v>46.47</v>
      </c>
      <c r="K5743" s="62">
        <v>280.92</v>
      </c>
      <c r="L5743" s="33" t="e">
        <f>HLOOKUP(B5743,#REF!,1,0)</f>
        <v>#REF!</v>
      </c>
      <c r="M5743" s="33" t="str">
        <f t="shared" si="359"/>
        <v>P&amp;L</v>
      </c>
    </row>
    <row r="5744" spans="1:13" s="33" customFormat="true" ht="12.75" customHeight="true">
      <c r="A5744" s="33" t="str">
        <f t="shared" si="356"/>
        <v>HN2 - Other Income/Expense</v>
      </c>
      <c r="B5744" s="33" t="str">
        <f t="shared" si="357"/>
        <v>HN2</v>
      </c>
      <c r="C5744" s="33" t="str">
        <f t="shared" si="358"/>
        <v>90601-0000</v>
      </c>
      <c r="D5744" s="64" t="s">
        <v>6820</v>
      </c>
      <c r="E5744" s="64" t="s">
        <v>3315</v>
      </c>
      <c r="F5744" s="64" t="s">
        <v>15</v>
      </c>
      <c r="G5744" s="64" t="s">
        <v>3017</v>
      </c>
      <c r="H5744" s="64" t="s">
        <v>3300</v>
      </c>
      <c r="I5744" s="64" t="s">
        <v>3316</v>
      </c>
      <c r="J5744" s="67">
        <v>0</v>
      </c>
      <c r="K5744" s="62">
        <v>0</v>
      </c>
      <c r="L5744" s="33" t="e">
        <f>HLOOKUP(B5744,#REF!,1,0)</f>
        <v>#REF!</v>
      </c>
      <c r="M5744" s="33" t="str">
        <f t="shared" si="359"/>
        <v>P&amp;L</v>
      </c>
    </row>
    <row r="5745" spans="1:13" s="33" customFormat="true" ht="12.75" customHeight="true">
      <c r="A5745" s="33" t="str">
        <f t="shared" si="356"/>
        <v>HN2 - Other Income/Expense</v>
      </c>
      <c r="B5745" s="33" t="str">
        <f t="shared" si="357"/>
        <v>HN2</v>
      </c>
      <c r="C5745" s="33" t="str">
        <f t="shared" si="358"/>
        <v>91002-7372</v>
      </c>
      <c r="D5745" s="64" t="s">
        <v>6821</v>
      </c>
      <c r="E5745" s="64" t="s">
        <v>6822</v>
      </c>
      <c r="F5745" s="64" t="s">
        <v>15</v>
      </c>
      <c r="G5745" s="64" t="s">
        <v>3017</v>
      </c>
      <c r="H5745" s="64" t="s">
        <v>3300</v>
      </c>
      <c r="I5745" s="64" t="s">
        <v>6823</v>
      </c>
      <c r="J5745" s="67">
        <v>0</v>
      </c>
      <c r="K5745" s="62">
        <v>650</v>
      </c>
      <c r="L5745" s="33" t="e">
        <f>HLOOKUP(B5745,#REF!,1,0)</f>
        <v>#REF!</v>
      </c>
      <c r="M5745" s="33" t="str">
        <f t="shared" si="359"/>
        <v>P&amp;L</v>
      </c>
    </row>
    <row r="5746" spans="1:13" s="33" customFormat="true" ht="12.75" customHeight="true">
      <c r="A5746" s="33" t="str">
        <f t="shared" si="356"/>
        <v>HN2 - Other Income/Expense</v>
      </c>
      <c r="B5746" s="33" t="str">
        <f t="shared" si="357"/>
        <v>HN2</v>
      </c>
      <c r="C5746" s="33" t="str">
        <f t="shared" si="358"/>
        <v>91801-7358</v>
      </c>
      <c r="D5746" s="64" t="s">
        <v>6824</v>
      </c>
      <c r="E5746" s="64" t="s">
        <v>3318</v>
      </c>
      <c r="F5746" s="64" t="s">
        <v>15</v>
      </c>
      <c r="G5746" s="64" t="s">
        <v>3017</v>
      </c>
      <c r="H5746" s="64" t="s">
        <v>3300</v>
      </c>
      <c r="I5746" s="64" t="s">
        <v>3319</v>
      </c>
      <c r="J5746" s="67">
        <v>0</v>
      </c>
      <c r="K5746" s="62">
        <v>100</v>
      </c>
      <c r="L5746" s="33" t="e">
        <f>HLOOKUP(B5746,#REF!,1,0)</f>
        <v>#REF!</v>
      </c>
      <c r="M5746" s="33" t="str">
        <f t="shared" si="359"/>
        <v>P&amp;L</v>
      </c>
    </row>
    <row r="5747" spans="1:13" s="33" customFormat="true" ht="12.75" customHeight="true">
      <c r="A5747" s="33" t="str">
        <f t="shared" si="356"/>
        <v>HN2 - Other Income/Expense</v>
      </c>
      <c r="B5747" s="33" t="str">
        <f t="shared" si="357"/>
        <v>HN2</v>
      </c>
      <c r="C5747" s="33" t="str">
        <f t="shared" si="358"/>
        <v>91801-7372</v>
      </c>
      <c r="D5747" s="64" t="s">
        <v>6825</v>
      </c>
      <c r="E5747" s="64" t="s">
        <v>3318</v>
      </c>
      <c r="F5747" s="64" t="s">
        <v>15</v>
      </c>
      <c r="G5747" s="64" t="s">
        <v>3017</v>
      </c>
      <c r="H5747" s="64" t="s">
        <v>3300</v>
      </c>
      <c r="I5747" s="64" t="s">
        <v>3319</v>
      </c>
      <c r="J5747" s="67">
        <v>0</v>
      </c>
      <c r="K5747" s="62">
        <v>187.48</v>
      </c>
      <c r="L5747" s="33" t="e">
        <f>HLOOKUP(B5747,#REF!,1,0)</f>
        <v>#REF!</v>
      </c>
      <c r="M5747" s="33" t="str">
        <f t="shared" si="359"/>
        <v>P&amp;L</v>
      </c>
    </row>
    <row r="5748" spans="1:13" s="33" customFormat="true" ht="12.75" customHeight="true">
      <c r="A5748" s="33" t="str">
        <f t="shared" si="356"/>
        <v>HN2 - Other Income/Expense</v>
      </c>
      <c r="B5748" s="33" t="str">
        <f t="shared" si="357"/>
        <v>HN2</v>
      </c>
      <c r="C5748" s="33" t="str">
        <f t="shared" si="358"/>
        <v>91801-7384</v>
      </c>
      <c r="D5748" s="64" t="s">
        <v>6826</v>
      </c>
      <c r="E5748" s="64" t="s">
        <v>3318</v>
      </c>
      <c r="F5748" s="64" t="s">
        <v>15</v>
      </c>
      <c r="G5748" s="64" t="s">
        <v>3017</v>
      </c>
      <c r="H5748" s="64" t="s">
        <v>3300</v>
      </c>
      <c r="I5748" s="64" t="s">
        <v>3319</v>
      </c>
      <c r="J5748" s="67">
        <v>0</v>
      </c>
      <c r="K5748" s="62">
        <v>100</v>
      </c>
      <c r="L5748" s="33" t="e">
        <f>HLOOKUP(B5748,#REF!,1,0)</f>
        <v>#REF!</v>
      </c>
      <c r="M5748" s="33" t="str">
        <f t="shared" si="359"/>
        <v>P&amp;L</v>
      </c>
    </row>
    <row r="5749" spans="1:13" s="33" customFormat="true" ht="12.75" customHeight="true">
      <c r="A5749" s="33" t="str">
        <f t="shared" si="356"/>
        <v>HN2 - Other Income/Expense</v>
      </c>
      <c r="B5749" s="33" t="str">
        <f t="shared" si="357"/>
        <v>HN2</v>
      </c>
      <c r="C5749" s="33" t="str">
        <f t="shared" si="358"/>
        <v>91801-7626</v>
      </c>
      <c r="D5749" s="64" t="s">
        <v>6827</v>
      </c>
      <c r="E5749" s="64" t="s">
        <v>3318</v>
      </c>
      <c r="F5749" s="64" t="s">
        <v>15</v>
      </c>
      <c r="G5749" s="64" t="s">
        <v>3017</v>
      </c>
      <c r="H5749" s="64" t="s">
        <v>3300</v>
      </c>
      <c r="I5749" s="64" t="s">
        <v>3319</v>
      </c>
      <c r="J5749" s="67">
        <v>0</v>
      </c>
      <c r="K5749" s="62">
        <v>100</v>
      </c>
      <c r="L5749" s="33" t="e">
        <f>HLOOKUP(B5749,#REF!,1,0)</f>
        <v>#REF!</v>
      </c>
      <c r="M5749" s="33" t="str">
        <f t="shared" si="359"/>
        <v>P&amp;L</v>
      </c>
    </row>
    <row r="5750" spans="1:13" s="33" customFormat="true" ht="12.75" customHeight="true">
      <c r="A5750" s="33" t="str">
        <f t="shared" si="356"/>
        <v>HN2 - Interest Expense</v>
      </c>
      <c r="B5750" s="33" t="str">
        <f t="shared" si="357"/>
        <v>HN2</v>
      </c>
      <c r="C5750" s="33" t="str">
        <f t="shared" si="358"/>
        <v>92401-7358</v>
      </c>
      <c r="D5750" s="64" t="s">
        <v>6828</v>
      </c>
      <c r="E5750" s="64" t="s">
        <v>3325</v>
      </c>
      <c r="F5750" s="64" t="s">
        <v>15</v>
      </c>
      <c r="G5750" s="64" t="s">
        <v>3326</v>
      </c>
      <c r="H5750" s="64" t="s">
        <v>3327</v>
      </c>
      <c r="I5750" s="64" t="s">
        <v>3328</v>
      </c>
      <c r="J5750" s="67">
        <v>1796.47</v>
      </c>
      <c r="K5750" s="62">
        <v>15226.37</v>
      </c>
      <c r="L5750" s="33" t="e">
        <f>HLOOKUP(B5750,#REF!,1,0)</f>
        <v>#REF!</v>
      </c>
      <c r="M5750" s="33" t="str">
        <f t="shared" si="359"/>
        <v>P&amp;L</v>
      </c>
    </row>
    <row r="5751" spans="1:13" s="33" customFormat="true" ht="12.75" customHeight="true">
      <c r="A5751" s="33" t="str">
        <f t="shared" si="356"/>
        <v>HN2 - Interest Expense</v>
      </c>
      <c r="B5751" s="33" t="str">
        <f t="shared" si="357"/>
        <v>HN2</v>
      </c>
      <c r="C5751" s="33" t="str">
        <f t="shared" si="358"/>
        <v>92401-7372</v>
      </c>
      <c r="D5751" s="64" t="s">
        <v>6829</v>
      </c>
      <c r="E5751" s="64" t="s">
        <v>3325</v>
      </c>
      <c r="F5751" s="64" t="s">
        <v>15</v>
      </c>
      <c r="G5751" s="64" t="s">
        <v>3326</v>
      </c>
      <c r="H5751" s="64" t="s">
        <v>3327</v>
      </c>
      <c r="I5751" s="64" t="s">
        <v>3328</v>
      </c>
      <c r="J5751" s="67">
        <v>1796.47</v>
      </c>
      <c r="K5751" s="62">
        <v>15226.37</v>
      </c>
      <c r="L5751" s="33" t="e">
        <f>HLOOKUP(B5751,#REF!,1,0)</f>
        <v>#REF!</v>
      </c>
      <c r="M5751" s="33" t="str">
        <f t="shared" si="359"/>
        <v>P&amp;L</v>
      </c>
    </row>
    <row r="5752" spans="1:13" s="33" customFormat="true" ht="12.75" customHeight="true">
      <c r="A5752" s="33" t="str">
        <f t="shared" si="356"/>
        <v>HN2 - Interest Expense</v>
      </c>
      <c r="B5752" s="33" t="str">
        <f t="shared" si="357"/>
        <v>HN2</v>
      </c>
      <c r="C5752" s="33" t="str">
        <f t="shared" si="358"/>
        <v>92401-7384</v>
      </c>
      <c r="D5752" s="64" t="s">
        <v>6830</v>
      </c>
      <c r="E5752" s="64" t="s">
        <v>3325</v>
      </c>
      <c r="F5752" s="64" t="s">
        <v>15</v>
      </c>
      <c r="G5752" s="64" t="s">
        <v>3326</v>
      </c>
      <c r="H5752" s="64" t="s">
        <v>3327</v>
      </c>
      <c r="I5752" s="64" t="s">
        <v>3328</v>
      </c>
      <c r="J5752" s="67">
        <v>1796.47</v>
      </c>
      <c r="K5752" s="62">
        <v>15226.37</v>
      </c>
      <c r="L5752" s="33" t="e">
        <f>HLOOKUP(B5752,#REF!,1,0)</f>
        <v>#REF!</v>
      </c>
      <c r="M5752" s="33" t="str">
        <f t="shared" si="359"/>
        <v>P&amp;L</v>
      </c>
    </row>
    <row r="5753" spans="1:13" s="33" customFormat="true" ht="12.75" customHeight="true">
      <c r="A5753" s="33" t="str">
        <f t="shared" si="356"/>
        <v>HN2 - Interest Expense</v>
      </c>
      <c r="B5753" s="33" t="str">
        <f t="shared" si="357"/>
        <v>HN2</v>
      </c>
      <c r="C5753" s="33" t="str">
        <f t="shared" si="358"/>
        <v>92401-7626</v>
      </c>
      <c r="D5753" s="64" t="s">
        <v>6831</v>
      </c>
      <c r="E5753" s="64" t="s">
        <v>3325</v>
      </c>
      <c r="F5753" s="64" t="s">
        <v>15</v>
      </c>
      <c r="G5753" s="64" t="s">
        <v>3326</v>
      </c>
      <c r="H5753" s="64" t="s">
        <v>3327</v>
      </c>
      <c r="I5753" s="64" t="s">
        <v>3328</v>
      </c>
      <c r="J5753" s="67">
        <v>1796.47</v>
      </c>
      <c r="K5753" s="62">
        <v>15226.37</v>
      </c>
      <c r="L5753" s="33" t="e">
        <f>HLOOKUP(B5753,#REF!,1,0)</f>
        <v>#REF!</v>
      </c>
      <c r="M5753" s="33" t="str">
        <f t="shared" si="359"/>
        <v>P&amp;L</v>
      </c>
    </row>
    <row r="5754" spans="1:13" s="33" customFormat="true" ht="12.75" customHeight="true">
      <c r="A5754" s="33" t="str">
        <f t="shared" si="356"/>
        <v>HN2 - Other Income/Expense</v>
      </c>
      <c r="B5754" s="33" t="str">
        <f t="shared" si="357"/>
        <v>HN2</v>
      </c>
      <c r="C5754" s="33" t="str">
        <f t="shared" si="358"/>
        <v>92801-0000</v>
      </c>
      <c r="D5754" s="64" t="s">
        <v>6832</v>
      </c>
      <c r="E5754" s="64" t="s">
        <v>5155</v>
      </c>
      <c r="F5754" s="64" t="s">
        <v>15</v>
      </c>
      <c r="G5754" s="64" t="s">
        <v>3017</v>
      </c>
      <c r="H5754" s="64" t="s">
        <v>3300</v>
      </c>
      <c r="I5754" s="64" t="s">
        <v>5156</v>
      </c>
      <c r="J5754" s="67">
        <v>2147.1</v>
      </c>
      <c r="K5754" s="62">
        <v>34903.61</v>
      </c>
      <c r="L5754" s="33" t="e">
        <f>HLOOKUP(B5754,#REF!,1,0)</f>
        <v>#REF!</v>
      </c>
      <c r="M5754" s="33" t="str">
        <f t="shared" si="359"/>
        <v>P&amp;L</v>
      </c>
    </row>
    <row r="5755" spans="1:13" s="33" customFormat="true" ht="12.75" customHeight="true">
      <c r="A5755" s="33" t="str">
        <f t="shared" si="356"/>
        <v>HN2 - Legal Settlement</v>
      </c>
      <c r="B5755" s="33" t="str">
        <f t="shared" si="357"/>
        <v>HN2</v>
      </c>
      <c r="C5755" s="33" t="str">
        <f t="shared" si="358"/>
        <v>92802-7626</v>
      </c>
      <c r="D5755" s="64" t="s">
        <v>6833</v>
      </c>
      <c r="E5755" s="64" t="s">
        <v>5158</v>
      </c>
      <c r="F5755" s="64" t="s">
        <v>15</v>
      </c>
      <c r="G5755" s="64" t="s">
        <v>3326</v>
      </c>
      <c r="H5755" s="64" t="s">
        <v>5159</v>
      </c>
      <c r="I5755" s="64" t="s">
        <v>5160</v>
      </c>
      <c r="J5755" s="67">
        <v>0</v>
      </c>
      <c r="K5755" s="62">
        <v>1000</v>
      </c>
      <c r="L5755" s="33" t="e">
        <f>HLOOKUP(B5755,#REF!,1,0)</f>
        <v>#REF!</v>
      </c>
      <c r="M5755" s="33" t="str">
        <f t="shared" si="359"/>
        <v>P&amp;L</v>
      </c>
    </row>
    <row r="5756" spans="1:13" s="33" customFormat="true" ht="12.75" customHeight="true">
      <c r="A5756" s="33" t="str">
        <f t="shared" si="356"/>
        <v>HN2 - Other Income/Expense</v>
      </c>
      <c r="B5756" s="33" t="str">
        <f t="shared" si="357"/>
        <v>HN2</v>
      </c>
      <c r="C5756" s="33" t="str">
        <f t="shared" si="358"/>
        <v>92901-7358</v>
      </c>
      <c r="D5756" s="64" t="s">
        <v>6834</v>
      </c>
      <c r="E5756" s="64" t="s">
        <v>3333</v>
      </c>
      <c r="F5756" s="64" t="s">
        <v>15</v>
      </c>
      <c r="G5756" s="64" t="s">
        <v>3017</v>
      </c>
      <c r="H5756" s="64" t="s">
        <v>3300</v>
      </c>
      <c r="I5756" s="64" t="s">
        <v>3334</v>
      </c>
      <c r="J5756" s="67">
        <v>2091.95</v>
      </c>
      <c r="K5756" s="62">
        <v>46249.36</v>
      </c>
      <c r="L5756" s="33" t="e">
        <f>HLOOKUP(B5756,#REF!,1,0)</f>
        <v>#REF!</v>
      </c>
      <c r="M5756" s="33" t="str">
        <f t="shared" si="359"/>
        <v>P&amp;L</v>
      </c>
    </row>
    <row r="5757" spans="1:13" s="33" customFormat="true" ht="12.75" customHeight="true">
      <c r="A5757" s="33" t="str">
        <f t="shared" si="356"/>
        <v>HN2 - Other Income/Expense</v>
      </c>
      <c r="B5757" s="33" t="str">
        <f t="shared" si="357"/>
        <v>HN2</v>
      </c>
      <c r="C5757" s="33" t="str">
        <f t="shared" si="358"/>
        <v>92901-7372</v>
      </c>
      <c r="D5757" s="64" t="s">
        <v>6835</v>
      </c>
      <c r="E5757" s="64" t="s">
        <v>3333</v>
      </c>
      <c r="F5757" s="64" t="s">
        <v>15</v>
      </c>
      <c r="G5757" s="64" t="s">
        <v>3017</v>
      </c>
      <c r="H5757" s="64" t="s">
        <v>3300</v>
      </c>
      <c r="I5757" s="64" t="s">
        <v>3334</v>
      </c>
      <c r="J5757" s="67">
        <v>2554.43</v>
      </c>
      <c r="K5757" s="62">
        <v>52409.43</v>
      </c>
      <c r="L5757" s="33" t="e">
        <f>HLOOKUP(B5757,#REF!,1,0)</f>
        <v>#REF!</v>
      </c>
      <c r="M5757" s="33" t="str">
        <f t="shared" si="359"/>
        <v>P&amp;L</v>
      </c>
    </row>
    <row r="5758" spans="1:13" s="33" customFormat="true" ht="12.75" customHeight="true">
      <c r="A5758" s="33" t="str">
        <f t="shared" si="356"/>
        <v>HN2 - Other Income/Expense</v>
      </c>
      <c r="B5758" s="33" t="str">
        <f t="shared" si="357"/>
        <v>HN2</v>
      </c>
      <c r="C5758" s="33" t="str">
        <f t="shared" si="358"/>
        <v>92901-7384</v>
      </c>
      <c r="D5758" s="64" t="s">
        <v>6836</v>
      </c>
      <c r="E5758" s="64" t="s">
        <v>3333</v>
      </c>
      <c r="F5758" s="64" t="s">
        <v>15</v>
      </c>
      <c r="G5758" s="64" t="s">
        <v>3017</v>
      </c>
      <c r="H5758" s="64" t="s">
        <v>3300</v>
      </c>
      <c r="I5758" s="64" t="s">
        <v>3334</v>
      </c>
      <c r="J5758" s="67">
        <v>2473.13</v>
      </c>
      <c r="K5758" s="62">
        <v>55228.12</v>
      </c>
      <c r="L5758" s="33" t="e">
        <f>HLOOKUP(B5758,#REF!,1,0)</f>
        <v>#REF!</v>
      </c>
      <c r="M5758" s="33" t="str">
        <f t="shared" si="359"/>
        <v>P&amp;L</v>
      </c>
    </row>
    <row r="5759" spans="1:13" s="33" customFormat="true" ht="12.75" customHeight="true">
      <c r="A5759" s="33" t="str">
        <f t="shared" si="356"/>
        <v>HN2 - Other Income/Expense</v>
      </c>
      <c r="B5759" s="33" t="str">
        <f t="shared" si="357"/>
        <v>HN2</v>
      </c>
      <c r="C5759" s="33" t="str">
        <f t="shared" si="358"/>
        <v>92901-7626</v>
      </c>
      <c r="D5759" s="64" t="s">
        <v>6837</v>
      </c>
      <c r="E5759" s="64" t="s">
        <v>3333</v>
      </c>
      <c r="F5759" s="64" t="s">
        <v>15</v>
      </c>
      <c r="G5759" s="64" t="s">
        <v>3017</v>
      </c>
      <c r="H5759" s="64" t="s">
        <v>3300</v>
      </c>
      <c r="I5759" s="64" t="s">
        <v>3334</v>
      </c>
      <c r="J5759" s="67">
        <v>1189.38</v>
      </c>
      <c r="K5759" s="62">
        <v>33567.37</v>
      </c>
      <c r="L5759" s="33" t="e">
        <f>HLOOKUP(B5759,#REF!,1,0)</f>
        <v>#REF!</v>
      </c>
      <c r="M5759" s="33" t="str">
        <f t="shared" si="359"/>
        <v>P&amp;L</v>
      </c>
    </row>
    <row r="5760" spans="1:13" s="33" customFormat="true" ht="12.75" customHeight="true">
      <c r="A5760" s="33" t="str">
        <f t="shared" si="356"/>
        <v>HN2 - Other Income/Expense</v>
      </c>
      <c r="B5760" s="33" t="str">
        <f t="shared" si="357"/>
        <v>HN2</v>
      </c>
      <c r="C5760" s="33" t="str">
        <f t="shared" si="358"/>
        <v>93001-7358</v>
      </c>
      <c r="D5760" s="64" t="s">
        <v>6838</v>
      </c>
      <c r="E5760" s="64" t="s">
        <v>3339</v>
      </c>
      <c r="F5760" s="64" t="s">
        <v>15</v>
      </c>
      <c r="G5760" s="64" t="s">
        <v>3017</v>
      </c>
      <c r="H5760" s="64" t="s">
        <v>3300</v>
      </c>
      <c r="I5760" s="64" t="s">
        <v>3340</v>
      </c>
      <c r="J5760" s="67">
        <v>0</v>
      </c>
      <c r="K5760" s="62">
        <v>16.66</v>
      </c>
      <c r="L5760" s="33" t="e">
        <f>HLOOKUP(B5760,#REF!,1,0)</f>
        <v>#REF!</v>
      </c>
      <c r="M5760" s="33" t="str">
        <f t="shared" si="359"/>
        <v>P&amp;L</v>
      </c>
    </row>
    <row r="5761" spans="1:13" s="33" customFormat="true" ht="12.75" customHeight="true">
      <c r="A5761" s="33" t="str">
        <f t="shared" si="356"/>
        <v>HN2 - Other Income/Expense</v>
      </c>
      <c r="B5761" s="33" t="str">
        <f t="shared" si="357"/>
        <v>HN2</v>
      </c>
      <c r="C5761" s="33" t="str">
        <f t="shared" si="358"/>
        <v>93001-7372</v>
      </c>
      <c r="D5761" s="64" t="s">
        <v>6839</v>
      </c>
      <c r="E5761" s="64" t="s">
        <v>3339</v>
      </c>
      <c r="F5761" s="64" t="s">
        <v>15</v>
      </c>
      <c r="G5761" s="64" t="s">
        <v>3017</v>
      </c>
      <c r="H5761" s="64" t="s">
        <v>3300</v>
      </c>
      <c r="I5761" s="64" t="s">
        <v>3340</v>
      </c>
      <c r="J5761" s="67">
        <v>5.5</v>
      </c>
      <c r="K5761" s="62">
        <v>17.69</v>
      </c>
      <c r="L5761" s="33" t="e">
        <f>HLOOKUP(B5761,#REF!,1,0)</f>
        <v>#REF!</v>
      </c>
      <c r="M5761" s="33" t="str">
        <f t="shared" si="359"/>
        <v>P&amp;L</v>
      </c>
    </row>
    <row r="5762" spans="1:13" s="33" customFormat="true" ht="12.75" customHeight="true">
      <c r="A5762" s="33" t="str">
        <f t="shared" ref="A5762:A5825" si="360">B5762&amp;" - "&amp;TRIM(H5762)</f>
        <v>HN2 - Other Income/Expense</v>
      </c>
      <c r="B5762" s="33" t="str">
        <f t="shared" ref="B5762:B5825" si="361">LEFT(D5762,3)</f>
        <v>HN2</v>
      </c>
      <c r="C5762" s="33" t="str">
        <f t="shared" ref="C5762:C5825" si="362">RIGHT(D5762,10)</f>
        <v>93001-7384</v>
      </c>
      <c r="D5762" s="64" t="s">
        <v>6840</v>
      </c>
      <c r="E5762" s="64" t="s">
        <v>3339</v>
      </c>
      <c r="F5762" s="64" t="s">
        <v>15</v>
      </c>
      <c r="G5762" s="64" t="s">
        <v>3017</v>
      </c>
      <c r="H5762" s="64" t="s">
        <v>3300</v>
      </c>
      <c r="I5762" s="64" t="s">
        <v>3340</v>
      </c>
      <c r="J5762" s="67">
        <v>0</v>
      </c>
      <c r="K5762" s="62">
        <v>28.5</v>
      </c>
      <c r="L5762" s="33" t="e">
        <f>HLOOKUP(B5762,#REF!,1,0)</f>
        <v>#REF!</v>
      </c>
      <c r="M5762" s="33" t="str">
        <f t="shared" ref="M5762:M5825" si="363">IF(VALUE(LEFT(C5762,5))&gt;40000,"P&amp;L","BS")</f>
        <v>P&amp;L</v>
      </c>
    </row>
    <row r="5763" spans="1:13" s="33" customFormat="true" ht="12.75" customHeight="true">
      <c r="A5763" s="33" t="str">
        <f t="shared" si="360"/>
        <v>HN2 - Other Income/Expense</v>
      </c>
      <c r="B5763" s="33" t="str">
        <f t="shared" si="361"/>
        <v>HN2</v>
      </c>
      <c r="C5763" s="33" t="str">
        <f t="shared" si="362"/>
        <v>93001-7626</v>
      </c>
      <c r="D5763" s="64" t="s">
        <v>6841</v>
      </c>
      <c r="E5763" s="64" t="s">
        <v>3339</v>
      </c>
      <c r="F5763" s="64" t="s">
        <v>15</v>
      </c>
      <c r="G5763" s="64" t="s">
        <v>3017</v>
      </c>
      <c r="H5763" s="64" t="s">
        <v>3300</v>
      </c>
      <c r="I5763" s="64" t="s">
        <v>3340</v>
      </c>
      <c r="J5763" s="67">
        <v>5.51</v>
      </c>
      <c r="K5763" s="62">
        <v>281.62</v>
      </c>
      <c r="L5763" s="33" t="e">
        <f>HLOOKUP(B5763,#REF!,1,0)</f>
        <v>#REF!</v>
      </c>
      <c r="M5763" s="33" t="str">
        <f t="shared" si="363"/>
        <v>P&amp;L</v>
      </c>
    </row>
    <row r="5764" spans="1:13" s="33" customFormat="true" ht="12.75" customHeight="true">
      <c r="A5764" s="33" t="str">
        <f t="shared" si="360"/>
        <v>HN2 - Other Income/Expense</v>
      </c>
      <c r="B5764" s="33" t="str">
        <f t="shared" si="361"/>
        <v>HN2</v>
      </c>
      <c r="C5764" s="33" t="str">
        <f t="shared" si="362"/>
        <v>93201-7358</v>
      </c>
      <c r="D5764" s="64" t="s">
        <v>6842</v>
      </c>
      <c r="E5764" s="64" t="s">
        <v>3226</v>
      </c>
      <c r="F5764" s="64" t="s">
        <v>15</v>
      </c>
      <c r="G5764" s="64" t="s">
        <v>3017</v>
      </c>
      <c r="H5764" s="64" t="s">
        <v>3300</v>
      </c>
      <c r="I5764" s="64" t="s">
        <v>3342</v>
      </c>
      <c r="J5764" s="67">
        <v>57</v>
      </c>
      <c r="K5764" s="62">
        <v>572.15</v>
      </c>
      <c r="L5764" s="33" t="e">
        <f>HLOOKUP(B5764,#REF!,1,0)</f>
        <v>#REF!</v>
      </c>
      <c r="M5764" s="33" t="str">
        <f t="shared" si="363"/>
        <v>P&amp;L</v>
      </c>
    </row>
    <row r="5765" spans="1:13" s="33" customFormat="true" ht="12.75" customHeight="true">
      <c r="A5765" s="33" t="str">
        <f t="shared" si="360"/>
        <v>HN2 - Other Income/Expense</v>
      </c>
      <c r="B5765" s="33" t="str">
        <f t="shared" si="361"/>
        <v>HN2</v>
      </c>
      <c r="C5765" s="33" t="str">
        <f t="shared" si="362"/>
        <v>93201-7372</v>
      </c>
      <c r="D5765" s="64" t="s">
        <v>6843</v>
      </c>
      <c r="E5765" s="64" t="s">
        <v>3226</v>
      </c>
      <c r="F5765" s="64" t="s">
        <v>15</v>
      </c>
      <c r="G5765" s="64" t="s">
        <v>3017</v>
      </c>
      <c r="H5765" s="64" t="s">
        <v>3300</v>
      </c>
      <c r="I5765" s="64" t="s">
        <v>3342</v>
      </c>
      <c r="J5765" s="67">
        <v>57</v>
      </c>
      <c r="K5765" s="62">
        <v>570</v>
      </c>
      <c r="L5765" s="33" t="e">
        <f>HLOOKUP(B5765,#REF!,1,0)</f>
        <v>#REF!</v>
      </c>
      <c r="M5765" s="33" t="str">
        <f t="shared" si="363"/>
        <v>P&amp;L</v>
      </c>
    </row>
    <row r="5766" spans="1:13" s="33" customFormat="true" ht="12.75" customHeight="true">
      <c r="A5766" s="33" t="str">
        <f t="shared" si="360"/>
        <v>HN2 - Other Income/Expense</v>
      </c>
      <c r="B5766" s="33" t="str">
        <f t="shared" si="361"/>
        <v>HN2</v>
      </c>
      <c r="C5766" s="33" t="str">
        <f t="shared" si="362"/>
        <v>93201-7384</v>
      </c>
      <c r="D5766" s="64" t="s">
        <v>6844</v>
      </c>
      <c r="E5766" s="64" t="s">
        <v>3226</v>
      </c>
      <c r="F5766" s="64" t="s">
        <v>15</v>
      </c>
      <c r="G5766" s="64" t="s">
        <v>3017</v>
      </c>
      <c r="H5766" s="64" t="s">
        <v>3300</v>
      </c>
      <c r="I5766" s="64" t="s">
        <v>3342</v>
      </c>
      <c r="J5766" s="67">
        <v>57</v>
      </c>
      <c r="K5766" s="62">
        <v>570</v>
      </c>
      <c r="L5766" s="33" t="e">
        <f>HLOOKUP(B5766,#REF!,1,0)</f>
        <v>#REF!</v>
      </c>
      <c r="M5766" s="33" t="str">
        <f t="shared" si="363"/>
        <v>P&amp;L</v>
      </c>
    </row>
    <row r="5767" spans="1:13" s="33" customFormat="true" ht="12.75" customHeight="true">
      <c r="A5767" s="33" t="str">
        <f t="shared" si="360"/>
        <v>HN2 - Other Income/Expense</v>
      </c>
      <c r="B5767" s="33" t="str">
        <f t="shared" si="361"/>
        <v>HN2</v>
      </c>
      <c r="C5767" s="33" t="str">
        <f t="shared" si="362"/>
        <v>93201-7626</v>
      </c>
      <c r="D5767" s="64" t="s">
        <v>6845</v>
      </c>
      <c r="E5767" s="64" t="s">
        <v>3226</v>
      </c>
      <c r="F5767" s="64" t="s">
        <v>15</v>
      </c>
      <c r="G5767" s="64" t="s">
        <v>3017</v>
      </c>
      <c r="H5767" s="64" t="s">
        <v>3300</v>
      </c>
      <c r="I5767" s="64" t="s">
        <v>3342</v>
      </c>
      <c r="J5767" s="67">
        <v>57</v>
      </c>
      <c r="K5767" s="62">
        <v>570</v>
      </c>
      <c r="L5767" s="33" t="e">
        <f>HLOOKUP(B5767,#REF!,1,0)</f>
        <v>#REF!</v>
      </c>
      <c r="M5767" s="33" t="str">
        <f t="shared" si="363"/>
        <v>P&amp;L</v>
      </c>
    </row>
    <row r="5768" spans="1:13" s="33" customFormat="true" ht="12.75" customHeight="true">
      <c r="A5768" s="33" t="str">
        <f t="shared" si="360"/>
        <v>HN2 - Other Income/Expense</v>
      </c>
      <c r="B5768" s="33" t="str">
        <f t="shared" si="361"/>
        <v>HN2</v>
      </c>
      <c r="C5768" s="33" t="str">
        <f t="shared" si="362"/>
        <v>93601-7358</v>
      </c>
      <c r="D5768" s="64" t="s">
        <v>6846</v>
      </c>
      <c r="E5768" s="64" t="s">
        <v>3344</v>
      </c>
      <c r="F5768" s="64" t="s">
        <v>15</v>
      </c>
      <c r="G5768" s="64" t="s">
        <v>3017</v>
      </c>
      <c r="H5768" s="64" t="s">
        <v>3300</v>
      </c>
      <c r="I5768" s="64" t="s">
        <v>3345</v>
      </c>
      <c r="J5768" s="67">
        <v>0</v>
      </c>
      <c r="K5768" s="62">
        <v>44.99</v>
      </c>
      <c r="L5768" s="33" t="e">
        <f>HLOOKUP(B5768,#REF!,1,0)</f>
        <v>#REF!</v>
      </c>
      <c r="M5768" s="33" t="str">
        <f t="shared" si="363"/>
        <v>P&amp;L</v>
      </c>
    </row>
    <row r="5769" spans="1:13" s="33" customFormat="true" ht="12.75" customHeight="true">
      <c r="A5769" s="33" t="str">
        <f t="shared" si="360"/>
        <v>HN2 - Other Income/Expense</v>
      </c>
      <c r="B5769" s="33" t="str">
        <f t="shared" si="361"/>
        <v>HN2</v>
      </c>
      <c r="C5769" s="33" t="str">
        <f t="shared" si="362"/>
        <v>93601-7372</v>
      </c>
      <c r="D5769" s="64" t="s">
        <v>6847</v>
      </c>
      <c r="E5769" s="64" t="s">
        <v>3344</v>
      </c>
      <c r="F5769" s="64" t="s">
        <v>15</v>
      </c>
      <c r="G5769" s="64" t="s">
        <v>3017</v>
      </c>
      <c r="H5769" s="64" t="s">
        <v>3300</v>
      </c>
      <c r="I5769" s="64" t="s">
        <v>3345</v>
      </c>
      <c r="J5769" s="67">
        <v>0</v>
      </c>
      <c r="K5769" s="62">
        <v>777.92</v>
      </c>
      <c r="L5769" s="33" t="e">
        <f>HLOOKUP(B5769,#REF!,1,0)</f>
        <v>#REF!</v>
      </c>
      <c r="M5769" s="33" t="str">
        <f t="shared" si="363"/>
        <v>P&amp;L</v>
      </c>
    </row>
    <row r="5770" spans="1:13" s="33" customFormat="true" ht="12.75" customHeight="true">
      <c r="A5770" s="33" t="str">
        <f t="shared" si="360"/>
        <v>HN2 - Other Income/Expense</v>
      </c>
      <c r="B5770" s="33" t="str">
        <f t="shared" si="361"/>
        <v>HN2</v>
      </c>
      <c r="C5770" s="33" t="str">
        <f t="shared" si="362"/>
        <v>93601-7384</v>
      </c>
      <c r="D5770" s="64" t="s">
        <v>6848</v>
      </c>
      <c r="E5770" s="64" t="s">
        <v>3344</v>
      </c>
      <c r="F5770" s="64" t="s">
        <v>15</v>
      </c>
      <c r="G5770" s="64" t="s">
        <v>3017</v>
      </c>
      <c r="H5770" s="64" t="s">
        <v>3300</v>
      </c>
      <c r="I5770" s="64" t="s">
        <v>3345</v>
      </c>
      <c r="J5770" s="67">
        <v>0</v>
      </c>
      <c r="K5770" s="62">
        <v>104.35</v>
      </c>
      <c r="L5770" s="33" t="e">
        <f>HLOOKUP(B5770,#REF!,1,0)</f>
        <v>#REF!</v>
      </c>
      <c r="M5770" s="33" t="str">
        <f t="shared" si="363"/>
        <v>P&amp;L</v>
      </c>
    </row>
    <row r="5771" spans="1:13" s="33" customFormat="true" ht="12.75" customHeight="true">
      <c r="A5771" s="33" t="str">
        <f t="shared" si="360"/>
        <v>HN2 - Other Income/Expense</v>
      </c>
      <c r="B5771" s="33" t="str">
        <f t="shared" si="361"/>
        <v>HN2</v>
      </c>
      <c r="C5771" s="33" t="str">
        <f t="shared" si="362"/>
        <v>93601-7626</v>
      </c>
      <c r="D5771" s="64" t="s">
        <v>6849</v>
      </c>
      <c r="E5771" s="64" t="s">
        <v>3344</v>
      </c>
      <c r="F5771" s="64" t="s">
        <v>15</v>
      </c>
      <c r="G5771" s="64" t="s">
        <v>3017</v>
      </c>
      <c r="H5771" s="64" t="s">
        <v>3300</v>
      </c>
      <c r="I5771" s="64" t="s">
        <v>3345</v>
      </c>
      <c r="J5771" s="67">
        <v>0</v>
      </c>
      <c r="K5771" s="62">
        <v>641.34</v>
      </c>
      <c r="L5771" s="33" t="e">
        <f>HLOOKUP(B5771,#REF!,1,0)</f>
        <v>#REF!</v>
      </c>
      <c r="M5771" s="33" t="str">
        <f t="shared" si="363"/>
        <v>P&amp;L</v>
      </c>
    </row>
    <row r="5772" spans="1:13" s="33" customFormat="true" ht="12.75" customHeight="true">
      <c r="A5772" s="33" t="str">
        <f t="shared" si="360"/>
        <v>HN2 - Other Income/Expense</v>
      </c>
      <c r="B5772" s="33" t="str">
        <f t="shared" si="361"/>
        <v>HN2</v>
      </c>
      <c r="C5772" s="33" t="str">
        <f t="shared" si="362"/>
        <v>93801-7358</v>
      </c>
      <c r="D5772" s="64" t="s">
        <v>6850</v>
      </c>
      <c r="E5772" s="64" t="s">
        <v>5183</v>
      </c>
      <c r="F5772" s="64" t="s">
        <v>15</v>
      </c>
      <c r="G5772" s="64" t="s">
        <v>3044</v>
      </c>
      <c r="H5772" s="64" t="s">
        <v>3300</v>
      </c>
      <c r="I5772" s="64" t="s">
        <v>5184</v>
      </c>
      <c r="J5772" s="67">
        <v>165.58</v>
      </c>
      <c r="K5772" s="62">
        <v>1930.15</v>
      </c>
      <c r="L5772" s="33" t="e">
        <f>HLOOKUP(B5772,#REF!,1,0)</f>
        <v>#REF!</v>
      </c>
      <c r="M5772" s="33" t="str">
        <f t="shared" si="363"/>
        <v>P&amp;L</v>
      </c>
    </row>
    <row r="5773" spans="1:13" s="33" customFormat="true" ht="12.75" customHeight="true">
      <c r="A5773" s="33" t="str">
        <f t="shared" si="360"/>
        <v>HN2 - Other Income/Expense</v>
      </c>
      <c r="B5773" s="33" t="str">
        <f t="shared" si="361"/>
        <v>HN2</v>
      </c>
      <c r="C5773" s="33" t="str">
        <f t="shared" si="362"/>
        <v>93801-7372</v>
      </c>
      <c r="D5773" s="64" t="s">
        <v>6851</v>
      </c>
      <c r="E5773" s="64" t="s">
        <v>5183</v>
      </c>
      <c r="F5773" s="64" t="s">
        <v>15</v>
      </c>
      <c r="G5773" s="64" t="s">
        <v>3044</v>
      </c>
      <c r="H5773" s="64" t="s">
        <v>3300</v>
      </c>
      <c r="I5773" s="64" t="s">
        <v>5184</v>
      </c>
      <c r="J5773" s="67">
        <v>144.97</v>
      </c>
      <c r="K5773" s="62">
        <v>1685.17</v>
      </c>
      <c r="L5773" s="33" t="e">
        <f>HLOOKUP(B5773,#REF!,1,0)</f>
        <v>#REF!</v>
      </c>
      <c r="M5773" s="33" t="str">
        <f t="shared" si="363"/>
        <v>P&amp;L</v>
      </c>
    </row>
    <row r="5774" spans="1:13" s="33" customFormat="true" ht="12.75" customHeight="true">
      <c r="A5774" s="33" t="str">
        <f t="shared" si="360"/>
        <v>HN2 - Other Income/Expense</v>
      </c>
      <c r="B5774" s="33" t="str">
        <f t="shared" si="361"/>
        <v>HN2</v>
      </c>
      <c r="C5774" s="33" t="str">
        <f t="shared" si="362"/>
        <v>93801-7384</v>
      </c>
      <c r="D5774" s="64" t="s">
        <v>6852</v>
      </c>
      <c r="E5774" s="64" t="s">
        <v>5183</v>
      </c>
      <c r="F5774" s="64" t="s">
        <v>15</v>
      </c>
      <c r="G5774" s="64" t="s">
        <v>3044</v>
      </c>
      <c r="H5774" s="64" t="s">
        <v>3300</v>
      </c>
      <c r="I5774" s="64" t="s">
        <v>5184</v>
      </c>
      <c r="J5774" s="67">
        <v>165.58</v>
      </c>
      <c r="K5774" s="62">
        <v>1930.15</v>
      </c>
      <c r="L5774" s="33" t="e">
        <f>HLOOKUP(B5774,#REF!,1,0)</f>
        <v>#REF!</v>
      </c>
      <c r="M5774" s="33" t="str">
        <f t="shared" si="363"/>
        <v>P&amp;L</v>
      </c>
    </row>
    <row r="5775" spans="1:13" s="33" customFormat="true" ht="12.75" customHeight="true">
      <c r="A5775" s="33" t="str">
        <f t="shared" si="360"/>
        <v>HN2 - Other Income/Expense</v>
      </c>
      <c r="B5775" s="33" t="str">
        <f t="shared" si="361"/>
        <v>HN2</v>
      </c>
      <c r="C5775" s="33" t="str">
        <f t="shared" si="362"/>
        <v>93801-7626</v>
      </c>
      <c r="D5775" s="64" t="s">
        <v>6853</v>
      </c>
      <c r="E5775" s="64" t="s">
        <v>5183</v>
      </c>
      <c r="F5775" s="64" t="s">
        <v>15</v>
      </c>
      <c r="G5775" s="64" t="s">
        <v>3044</v>
      </c>
      <c r="H5775" s="64" t="s">
        <v>3300</v>
      </c>
      <c r="I5775" s="64" t="s">
        <v>5184</v>
      </c>
      <c r="J5775" s="67">
        <v>144.97</v>
      </c>
      <c r="K5775" s="62">
        <v>1755.47</v>
      </c>
      <c r="L5775" s="33" t="e">
        <f>HLOOKUP(B5775,#REF!,1,0)</f>
        <v>#REF!</v>
      </c>
      <c r="M5775" s="33" t="str">
        <f t="shared" si="363"/>
        <v>P&amp;L</v>
      </c>
    </row>
    <row r="5776" spans="1:13" s="33" customFormat="true" ht="12.75" customHeight="true">
      <c r="A5776" s="33" t="str">
        <f t="shared" si="360"/>
        <v>HN2 - Other Income/Expense</v>
      </c>
      <c r="B5776" s="33" t="str">
        <f t="shared" si="361"/>
        <v>HN2</v>
      </c>
      <c r="C5776" s="33" t="str">
        <f t="shared" si="362"/>
        <v>94201-0000</v>
      </c>
      <c r="D5776" s="64" t="s">
        <v>6854</v>
      </c>
      <c r="E5776" s="64" t="s">
        <v>3353</v>
      </c>
      <c r="F5776" s="64" t="s">
        <v>15</v>
      </c>
      <c r="G5776" s="64" t="s">
        <v>3017</v>
      </c>
      <c r="H5776" s="64" t="s">
        <v>3300</v>
      </c>
      <c r="I5776" s="64" t="s">
        <v>3354</v>
      </c>
      <c r="J5776" s="67">
        <v>0</v>
      </c>
      <c r="K5776" s="62">
        <v>3466.64</v>
      </c>
      <c r="L5776" s="33" t="e">
        <f>HLOOKUP(B5776,#REF!,1,0)</f>
        <v>#REF!</v>
      </c>
      <c r="M5776" s="33" t="str">
        <f t="shared" si="363"/>
        <v>P&amp;L</v>
      </c>
    </row>
    <row r="5777" spans="1:13" s="33" customFormat="true" ht="12.75" customHeight="true">
      <c r="A5777" s="33" t="str">
        <f t="shared" si="360"/>
        <v>HN2 - Other Income/Expense</v>
      </c>
      <c r="B5777" s="33" t="str">
        <f t="shared" si="361"/>
        <v>HN2</v>
      </c>
      <c r="C5777" s="33" t="str">
        <f t="shared" si="362"/>
        <v>94201-7358</v>
      </c>
      <c r="D5777" s="64" t="s">
        <v>6855</v>
      </c>
      <c r="E5777" s="64" t="s">
        <v>3353</v>
      </c>
      <c r="F5777" s="64" t="s">
        <v>15</v>
      </c>
      <c r="G5777" s="64" t="s">
        <v>3017</v>
      </c>
      <c r="H5777" s="64" t="s">
        <v>3300</v>
      </c>
      <c r="I5777" s="64" t="s">
        <v>3354</v>
      </c>
      <c r="J5777" s="67">
        <v>0</v>
      </c>
      <c r="K5777" s="62">
        <v>970.12</v>
      </c>
      <c r="L5777" s="33" t="e">
        <f>HLOOKUP(B5777,#REF!,1,0)</f>
        <v>#REF!</v>
      </c>
      <c r="M5777" s="33" t="str">
        <f t="shared" si="363"/>
        <v>P&amp;L</v>
      </c>
    </row>
    <row r="5778" spans="1:13" s="33" customFormat="true" ht="12.75" customHeight="true">
      <c r="A5778" s="33" t="str">
        <f t="shared" si="360"/>
        <v>HN2 - Other Income/Expense</v>
      </c>
      <c r="B5778" s="33" t="str">
        <f t="shared" si="361"/>
        <v>HN2</v>
      </c>
      <c r="C5778" s="33" t="str">
        <f t="shared" si="362"/>
        <v>94201-7372</v>
      </c>
      <c r="D5778" s="64" t="s">
        <v>6856</v>
      </c>
      <c r="E5778" s="64" t="s">
        <v>3353</v>
      </c>
      <c r="F5778" s="64" t="s">
        <v>15</v>
      </c>
      <c r="G5778" s="64" t="s">
        <v>3017</v>
      </c>
      <c r="H5778" s="64" t="s">
        <v>3300</v>
      </c>
      <c r="I5778" s="64" t="s">
        <v>3354</v>
      </c>
      <c r="J5778" s="67">
        <v>0</v>
      </c>
      <c r="K5778" s="62">
        <v>970.12</v>
      </c>
      <c r="L5778" s="33" t="e">
        <f>HLOOKUP(B5778,#REF!,1,0)</f>
        <v>#REF!</v>
      </c>
      <c r="M5778" s="33" t="str">
        <f t="shared" si="363"/>
        <v>P&amp;L</v>
      </c>
    </row>
    <row r="5779" spans="1:13" s="33" customFormat="true" ht="12.75" customHeight="true">
      <c r="A5779" s="33" t="str">
        <f t="shared" si="360"/>
        <v>HN2 - Other Income/Expense</v>
      </c>
      <c r="B5779" s="33" t="str">
        <f t="shared" si="361"/>
        <v>HN2</v>
      </c>
      <c r="C5779" s="33" t="str">
        <f t="shared" si="362"/>
        <v>94201-7384</v>
      </c>
      <c r="D5779" s="64" t="s">
        <v>6857</v>
      </c>
      <c r="E5779" s="64" t="s">
        <v>3353</v>
      </c>
      <c r="F5779" s="64" t="s">
        <v>15</v>
      </c>
      <c r="G5779" s="64" t="s">
        <v>3017</v>
      </c>
      <c r="H5779" s="64" t="s">
        <v>3300</v>
      </c>
      <c r="I5779" s="64" t="s">
        <v>3354</v>
      </c>
      <c r="J5779" s="67">
        <v>0</v>
      </c>
      <c r="K5779" s="62">
        <v>970.14</v>
      </c>
      <c r="L5779" s="33" t="e">
        <f>HLOOKUP(B5779,#REF!,1,0)</f>
        <v>#REF!</v>
      </c>
      <c r="M5779" s="33" t="str">
        <f t="shared" si="363"/>
        <v>P&amp;L</v>
      </c>
    </row>
    <row r="5780" spans="1:13" s="33" customFormat="true" ht="12.75" customHeight="true">
      <c r="A5780" s="33" t="str">
        <f t="shared" si="360"/>
        <v>HN2 - Other Income/Expense</v>
      </c>
      <c r="B5780" s="33" t="str">
        <f t="shared" si="361"/>
        <v>HN2</v>
      </c>
      <c r="C5780" s="33" t="str">
        <f t="shared" si="362"/>
        <v>94201-7626</v>
      </c>
      <c r="D5780" s="64" t="s">
        <v>6858</v>
      </c>
      <c r="E5780" s="64" t="s">
        <v>3353</v>
      </c>
      <c r="F5780" s="64" t="s">
        <v>15</v>
      </c>
      <c r="G5780" s="64" t="s">
        <v>3017</v>
      </c>
      <c r="H5780" s="64" t="s">
        <v>3300</v>
      </c>
      <c r="I5780" s="64" t="s">
        <v>3354</v>
      </c>
      <c r="J5780" s="67">
        <v>0</v>
      </c>
      <c r="K5780" s="62">
        <v>970.12</v>
      </c>
      <c r="L5780" s="33" t="e">
        <f>HLOOKUP(B5780,#REF!,1,0)</f>
        <v>#REF!</v>
      </c>
      <c r="M5780" s="33" t="str">
        <f t="shared" si="363"/>
        <v>P&amp;L</v>
      </c>
    </row>
    <row r="5781" spans="1:13" s="33" customFormat="true" ht="12.75" customHeight="true">
      <c r="A5781" s="33" t="str">
        <f t="shared" si="360"/>
        <v>HN2 - Other Income/Expense</v>
      </c>
      <c r="B5781" s="33" t="str">
        <f t="shared" si="361"/>
        <v>HN2</v>
      </c>
      <c r="C5781" s="33" t="str">
        <f t="shared" si="362"/>
        <v>94401-0000</v>
      </c>
      <c r="D5781" s="64" t="s">
        <v>6859</v>
      </c>
      <c r="E5781" s="64" t="s">
        <v>3360</v>
      </c>
      <c r="F5781" s="64" t="s">
        <v>15</v>
      </c>
      <c r="G5781" s="64" t="s">
        <v>3017</v>
      </c>
      <c r="H5781" s="64" t="s">
        <v>3300</v>
      </c>
      <c r="I5781" s="64" t="s">
        <v>3361</v>
      </c>
      <c r="J5781" s="67">
        <v>0</v>
      </c>
      <c r="K5781" s="62">
        <v>-71.92</v>
      </c>
      <c r="L5781" s="33" t="e">
        <f>HLOOKUP(B5781,#REF!,1,0)</f>
        <v>#REF!</v>
      </c>
      <c r="M5781" s="33" t="str">
        <f t="shared" si="363"/>
        <v>P&amp;L</v>
      </c>
    </row>
    <row r="5782" spans="1:13" s="33" customFormat="true" ht="12.75" customHeight="true">
      <c r="A5782" s="33" t="str">
        <f t="shared" si="360"/>
        <v>HN2 - Other Income/Expense</v>
      </c>
      <c r="B5782" s="33" t="str">
        <f t="shared" si="361"/>
        <v>HN2</v>
      </c>
      <c r="C5782" s="33" t="str">
        <f t="shared" si="362"/>
        <v>94401-7358</v>
      </c>
      <c r="D5782" s="64" t="s">
        <v>6860</v>
      </c>
      <c r="E5782" s="64" t="s">
        <v>3360</v>
      </c>
      <c r="F5782" s="64" t="s">
        <v>15</v>
      </c>
      <c r="G5782" s="64" t="s">
        <v>3017</v>
      </c>
      <c r="H5782" s="64" t="s">
        <v>3300</v>
      </c>
      <c r="I5782" s="64" t="s">
        <v>3361</v>
      </c>
      <c r="J5782" s="67">
        <v>0</v>
      </c>
      <c r="K5782" s="62">
        <v>-15653.31</v>
      </c>
      <c r="L5782" s="33" t="e">
        <f>HLOOKUP(B5782,#REF!,1,0)</f>
        <v>#REF!</v>
      </c>
      <c r="M5782" s="33" t="str">
        <f t="shared" si="363"/>
        <v>P&amp;L</v>
      </c>
    </row>
    <row r="5783" spans="1:13" s="33" customFormat="true" ht="12.75" customHeight="true">
      <c r="A5783" s="33" t="str">
        <f t="shared" si="360"/>
        <v>HN2 - Other Income/Expense</v>
      </c>
      <c r="B5783" s="33" t="str">
        <f t="shared" si="361"/>
        <v>HN2</v>
      </c>
      <c r="C5783" s="33" t="str">
        <f t="shared" si="362"/>
        <v>94401-7372</v>
      </c>
      <c r="D5783" s="64" t="s">
        <v>6861</v>
      </c>
      <c r="E5783" s="64" t="s">
        <v>3360</v>
      </c>
      <c r="F5783" s="64" t="s">
        <v>15</v>
      </c>
      <c r="G5783" s="64" t="s">
        <v>3017</v>
      </c>
      <c r="H5783" s="64" t="s">
        <v>3300</v>
      </c>
      <c r="I5783" s="64" t="s">
        <v>3361</v>
      </c>
      <c r="J5783" s="67">
        <v>0</v>
      </c>
      <c r="K5783" s="62">
        <v>-18866.24</v>
      </c>
      <c r="L5783" s="33" t="e">
        <f>HLOOKUP(B5783,#REF!,1,0)</f>
        <v>#REF!</v>
      </c>
      <c r="M5783" s="33" t="str">
        <f t="shared" si="363"/>
        <v>P&amp;L</v>
      </c>
    </row>
    <row r="5784" spans="1:13" s="33" customFormat="true" ht="12.75" customHeight="true">
      <c r="A5784" s="33" t="str">
        <f t="shared" si="360"/>
        <v>HN2 - Other Income/Expense</v>
      </c>
      <c r="B5784" s="33" t="str">
        <f t="shared" si="361"/>
        <v>HN2</v>
      </c>
      <c r="C5784" s="33" t="str">
        <f t="shared" si="362"/>
        <v>94401-7384</v>
      </c>
      <c r="D5784" s="64" t="s">
        <v>6862</v>
      </c>
      <c r="E5784" s="64" t="s">
        <v>3360</v>
      </c>
      <c r="F5784" s="64" t="s">
        <v>15</v>
      </c>
      <c r="G5784" s="64" t="s">
        <v>3017</v>
      </c>
      <c r="H5784" s="64" t="s">
        <v>3300</v>
      </c>
      <c r="I5784" s="64" t="s">
        <v>3361</v>
      </c>
      <c r="J5784" s="67">
        <v>0</v>
      </c>
      <c r="K5784" s="62">
        <v>-17752.57</v>
      </c>
      <c r="L5784" s="33" t="e">
        <f>HLOOKUP(B5784,#REF!,1,0)</f>
        <v>#REF!</v>
      </c>
      <c r="M5784" s="33" t="str">
        <f t="shared" si="363"/>
        <v>P&amp;L</v>
      </c>
    </row>
    <row r="5785" spans="1:13" s="33" customFormat="true" ht="12.75" customHeight="true">
      <c r="A5785" s="33" t="str">
        <f t="shared" si="360"/>
        <v>HN2 - Other Income/Expense</v>
      </c>
      <c r="B5785" s="33" t="str">
        <f t="shared" si="361"/>
        <v>HN2</v>
      </c>
      <c r="C5785" s="33" t="str">
        <f t="shared" si="362"/>
        <v>94401-7626</v>
      </c>
      <c r="D5785" s="64" t="s">
        <v>6863</v>
      </c>
      <c r="E5785" s="64" t="s">
        <v>3360</v>
      </c>
      <c r="F5785" s="64" t="s">
        <v>15</v>
      </c>
      <c r="G5785" s="64" t="s">
        <v>3017</v>
      </c>
      <c r="H5785" s="64" t="s">
        <v>3300</v>
      </c>
      <c r="I5785" s="64" t="s">
        <v>3361</v>
      </c>
      <c r="J5785" s="67">
        <v>0</v>
      </c>
      <c r="K5785" s="62">
        <v>-14842</v>
      </c>
      <c r="L5785" s="33" t="e">
        <f>HLOOKUP(B5785,#REF!,1,0)</f>
        <v>#REF!</v>
      </c>
      <c r="M5785" s="33" t="str">
        <f t="shared" si="363"/>
        <v>P&amp;L</v>
      </c>
    </row>
    <row r="5786" spans="1:13" s="33" customFormat="true" ht="12.75" customHeight="true">
      <c r="A5786" s="33" t="str">
        <f t="shared" si="360"/>
        <v>HN2 - Other Income/Expense</v>
      </c>
      <c r="B5786" s="33" t="str">
        <f t="shared" si="361"/>
        <v>HN2</v>
      </c>
      <c r="C5786" s="33" t="str">
        <f t="shared" si="362"/>
        <v>99001-7358</v>
      </c>
      <c r="D5786" s="64" t="s">
        <v>6864</v>
      </c>
      <c r="E5786" s="64" t="s">
        <v>3370</v>
      </c>
      <c r="F5786" s="64" t="s">
        <v>15</v>
      </c>
      <c r="G5786" s="64" t="s">
        <v>3017</v>
      </c>
      <c r="H5786" s="64" t="s">
        <v>3300</v>
      </c>
      <c r="I5786" s="64" t="s">
        <v>3371</v>
      </c>
      <c r="J5786" s="67">
        <v>-142.2</v>
      </c>
      <c r="K5786" s="62">
        <v>-1733.27</v>
      </c>
      <c r="L5786" s="33" t="e">
        <f>HLOOKUP(B5786,#REF!,1,0)</f>
        <v>#REF!</v>
      </c>
      <c r="M5786" s="33" t="str">
        <f t="shared" si="363"/>
        <v>P&amp;L</v>
      </c>
    </row>
    <row r="5787" spans="1:13" s="33" customFormat="true" ht="12.75" customHeight="true">
      <c r="A5787" s="33" t="str">
        <f t="shared" si="360"/>
        <v>HN2 - Other Income/Expense</v>
      </c>
      <c r="B5787" s="33" t="str">
        <f t="shared" si="361"/>
        <v>HN2</v>
      </c>
      <c r="C5787" s="33" t="str">
        <f t="shared" si="362"/>
        <v>99001-7372</v>
      </c>
      <c r="D5787" s="64" t="s">
        <v>6865</v>
      </c>
      <c r="E5787" s="64" t="s">
        <v>3370</v>
      </c>
      <c r="F5787" s="64" t="s">
        <v>15</v>
      </c>
      <c r="G5787" s="64" t="s">
        <v>3017</v>
      </c>
      <c r="H5787" s="64" t="s">
        <v>3300</v>
      </c>
      <c r="I5787" s="64" t="s">
        <v>3371</v>
      </c>
      <c r="J5787" s="67">
        <v>-221.2</v>
      </c>
      <c r="K5787" s="62">
        <v>-2526.77</v>
      </c>
      <c r="L5787" s="33" t="e">
        <f>HLOOKUP(B5787,#REF!,1,0)</f>
        <v>#REF!</v>
      </c>
      <c r="M5787" s="33" t="str">
        <f t="shared" si="363"/>
        <v>P&amp;L</v>
      </c>
    </row>
    <row r="5788" spans="1:13" s="33" customFormat="true" ht="12.75" customHeight="true">
      <c r="A5788" s="33" t="str">
        <f t="shared" si="360"/>
        <v>HN2 - Other Income/Expense</v>
      </c>
      <c r="B5788" s="33" t="str">
        <f t="shared" si="361"/>
        <v>HN2</v>
      </c>
      <c r="C5788" s="33" t="str">
        <f t="shared" si="362"/>
        <v>99001-7384</v>
      </c>
      <c r="D5788" s="64" t="s">
        <v>6866</v>
      </c>
      <c r="E5788" s="64" t="s">
        <v>3370</v>
      </c>
      <c r="F5788" s="64" t="s">
        <v>15</v>
      </c>
      <c r="G5788" s="64" t="s">
        <v>3017</v>
      </c>
      <c r="H5788" s="64" t="s">
        <v>3300</v>
      </c>
      <c r="I5788" s="64" t="s">
        <v>3371</v>
      </c>
      <c r="J5788" s="67">
        <v>-189.6</v>
      </c>
      <c r="K5788" s="62">
        <v>-1861.85</v>
      </c>
      <c r="L5788" s="33" t="e">
        <f>HLOOKUP(B5788,#REF!,1,0)</f>
        <v>#REF!</v>
      </c>
      <c r="M5788" s="33" t="str">
        <f t="shared" si="363"/>
        <v>P&amp;L</v>
      </c>
    </row>
    <row r="5789" spans="1:13" s="33" customFormat="true" ht="12.75" customHeight="true">
      <c r="A5789" s="33" t="str">
        <f t="shared" si="360"/>
        <v>HN2 - Other Income/Expense</v>
      </c>
      <c r="B5789" s="33" t="str">
        <f t="shared" si="361"/>
        <v>HN2</v>
      </c>
      <c r="C5789" s="33" t="str">
        <f t="shared" si="362"/>
        <v>99001-7626</v>
      </c>
      <c r="D5789" s="64" t="s">
        <v>6867</v>
      </c>
      <c r="E5789" s="64" t="s">
        <v>3370</v>
      </c>
      <c r="F5789" s="64" t="s">
        <v>15</v>
      </c>
      <c r="G5789" s="64" t="s">
        <v>3017</v>
      </c>
      <c r="H5789" s="64" t="s">
        <v>3300</v>
      </c>
      <c r="I5789" s="64" t="s">
        <v>3371</v>
      </c>
      <c r="J5789" s="67">
        <v>-126.4</v>
      </c>
      <c r="K5789" s="62">
        <v>-1714.35</v>
      </c>
      <c r="L5789" s="33" t="e">
        <f>HLOOKUP(B5789,#REF!,1,0)</f>
        <v>#REF!</v>
      </c>
      <c r="M5789" s="33" t="str">
        <f t="shared" si="363"/>
        <v>P&amp;L</v>
      </c>
    </row>
    <row r="5790" spans="1:13" s="33" customFormat="true" ht="12.75" customHeight="true">
      <c r="A5790" s="33" t="str">
        <f t="shared" si="360"/>
        <v>HN2 - Income Tax</v>
      </c>
      <c r="B5790" s="33" t="str">
        <f t="shared" si="361"/>
        <v>HN2</v>
      </c>
      <c r="C5790" s="33" t="str">
        <f t="shared" si="362"/>
        <v>99901-0000</v>
      </c>
      <c r="D5790" s="64" t="s">
        <v>6868</v>
      </c>
      <c r="E5790" s="64" t="s">
        <v>3377</v>
      </c>
      <c r="F5790" s="64" t="s">
        <v>15</v>
      </c>
      <c r="G5790" s="64" t="s">
        <v>3326</v>
      </c>
      <c r="H5790" s="64" t="s">
        <v>3378</v>
      </c>
      <c r="I5790" s="64" t="s">
        <v>3379</v>
      </c>
      <c r="J5790" s="67">
        <v>0</v>
      </c>
      <c r="K5790" s="62">
        <v>800</v>
      </c>
      <c r="L5790" s="33" t="e">
        <f>HLOOKUP(B5790,#REF!,1,0)</f>
        <v>#REF!</v>
      </c>
      <c r="M5790" s="33" t="str">
        <f t="shared" si="363"/>
        <v>P&amp;L</v>
      </c>
    </row>
    <row r="5791" spans="1:13" s="33" customFormat="true" ht="12.75" customHeight="true">
      <c r="A5791" s="33" t="str">
        <f t="shared" si="360"/>
        <v>HOM - AP-Accr Exp</v>
      </c>
      <c r="B5791" s="33" t="str">
        <f t="shared" si="361"/>
        <v>HOM</v>
      </c>
      <c r="C5791" s="33" t="str">
        <f t="shared" si="362"/>
        <v>20001-0000</v>
      </c>
      <c r="D5791" s="64" t="s">
        <v>6869</v>
      </c>
      <c r="E5791" s="64" t="s">
        <v>96</v>
      </c>
      <c r="F5791" s="64" t="s">
        <v>679</v>
      </c>
      <c r="G5791" s="64" t="s">
        <v>97</v>
      </c>
      <c r="H5791" s="64" t="s">
        <v>98</v>
      </c>
      <c r="I5791" s="64" t="s">
        <v>99</v>
      </c>
      <c r="J5791" s="67">
        <v>-14276.95</v>
      </c>
      <c r="K5791" s="62">
        <v>-14276.95</v>
      </c>
      <c r="L5791" s="33" t="e">
        <f>HLOOKUP(B5791,#REF!,1,0)</f>
        <v>#REF!</v>
      </c>
      <c r="M5791" s="33" t="str">
        <f t="shared" si="363"/>
        <v>BS</v>
      </c>
    </row>
    <row r="5792" spans="1:13" s="33" customFormat="true" ht="12.75" customHeight="true">
      <c r="A5792" s="33" t="str">
        <f t="shared" si="360"/>
        <v>HOM - Operating Expense</v>
      </c>
      <c r="B5792" s="33" t="str">
        <f t="shared" si="361"/>
        <v>HOM</v>
      </c>
      <c r="C5792" s="33" t="str">
        <f t="shared" si="362"/>
        <v>55005-0000</v>
      </c>
      <c r="D5792" s="64" t="s">
        <v>6870</v>
      </c>
      <c r="E5792" s="64" t="s">
        <v>6871</v>
      </c>
      <c r="F5792" s="64" t="s">
        <v>679</v>
      </c>
      <c r="G5792" s="64" t="s">
        <v>4426</v>
      </c>
      <c r="H5792" s="64" t="s">
        <v>3022</v>
      </c>
      <c r="I5792" s="64" t="s">
        <v>2997</v>
      </c>
      <c r="J5792" s="67">
        <v>20494.02</v>
      </c>
      <c r="K5792" s="62">
        <v>61970.39</v>
      </c>
      <c r="L5792" s="33" t="e">
        <f>HLOOKUP(B5792,#REF!,1,0)</f>
        <v>#REF!</v>
      </c>
      <c r="M5792" s="33" t="str">
        <f t="shared" si="363"/>
        <v>P&amp;L</v>
      </c>
    </row>
    <row r="5793" spans="1:13" s="33" customFormat="true" ht="12.75" customHeight="true">
      <c r="A5793" s="33" t="str">
        <f t="shared" si="360"/>
        <v>HOM - Operating Expense</v>
      </c>
      <c r="B5793" s="33" t="str">
        <f t="shared" si="361"/>
        <v>HOM</v>
      </c>
      <c r="C5793" s="33" t="str">
        <f t="shared" si="362"/>
        <v>58490-0000</v>
      </c>
      <c r="D5793" s="64" t="s">
        <v>6872</v>
      </c>
      <c r="E5793" s="64" t="s">
        <v>6873</v>
      </c>
      <c r="F5793" s="64" t="s">
        <v>679</v>
      </c>
      <c r="G5793" s="64" t="s">
        <v>4426</v>
      </c>
      <c r="H5793" s="64" t="s">
        <v>3022</v>
      </c>
      <c r="I5793" s="64" t="s">
        <v>4752</v>
      </c>
      <c r="J5793" s="67">
        <v>941</v>
      </c>
      <c r="K5793" s="62">
        <v>9410</v>
      </c>
      <c r="L5793" s="33" t="e">
        <f>HLOOKUP(B5793,#REF!,1,0)</f>
        <v>#REF!</v>
      </c>
      <c r="M5793" s="33" t="str">
        <f t="shared" si="363"/>
        <v>P&amp;L</v>
      </c>
    </row>
    <row r="5794" spans="1:13" s="33" customFormat="true" ht="12.75" customHeight="true">
      <c r="A5794" s="33" t="str">
        <f t="shared" si="360"/>
        <v>HOM - Operating Expense</v>
      </c>
      <c r="B5794" s="33" t="str">
        <f t="shared" si="361"/>
        <v>HOM</v>
      </c>
      <c r="C5794" s="33" t="str">
        <f t="shared" si="362"/>
        <v>59500-0000</v>
      </c>
      <c r="D5794" s="64" t="s">
        <v>6874</v>
      </c>
      <c r="E5794" s="64" t="s">
        <v>3159</v>
      </c>
      <c r="F5794" s="64" t="s">
        <v>679</v>
      </c>
      <c r="G5794" s="64" t="s">
        <v>4426</v>
      </c>
      <c r="H5794" s="64" t="s">
        <v>3022</v>
      </c>
      <c r="I5794" s="64" t="s">
        <v>3161</v>
      </c>
      <c r="J5794" s="67">
        <v>531.92</v>
      </c>
      <c r="K5794" s="62">
        <v>3710.13</v>
      </c>
      <c r="L5794" s="33" t="e">
        <f>HLOOKUP(B5794,#REF!,1,0)</f>
        <v>#REF!</v>
      </c>
      <c r="M5794" s="33" t="str">
        <f t="shared" si="363"/>
        <v>P&amp;L</v>
      </c>
    </row>
    <row r="5795" spans="1:13" s="33" customFormat="true" ht="12.75" customHeight="true">
      <c r="A5795" s="33" t="str">
        <f t="shared" si="360"/>
        <v>HOM - Operating Expense</v>
      </c>
      <c r="B5795" s="33" t="str">
        <f t="shared" si="361"/>
        <v>HOM</v>
      </c>
      <c r="C5795" s="33" t="str">
        <f t="shared" si="362"/>
        <v>59850-0000</v>
      </c>
      <c r="D5795" s="64" t="s">
        <v>6875</v>
      </c>
      <c r="E5795" s="64" t="s">
        <v>6876</v>
      </c>
      <c r="F5795" s="64" t="s">
        <v>679</v>
      </c>
      <c r="G5795" s="64" t="s">
        <v>4426</v>
      </c>
      <c r="H5795" s="64" t="s">
        <v>3022</v>
      </c>
      <c r="I5795" s="64" t="s">
        <v>6877</v>
      </c>
      <c r="J5795" s="67">
        <v>0</v>
      </c>
      <c r="K5795" s="62">
        <v>9277.73</v>
      </c>
      <c r="L5795" s="33" t="e">
        <f>HLOOKUP(B5795,#REF!,1,0)</f>
        <v>#REF!</v>
      </c>
      <c r="M5795" s="33" t="str">
        <f t="shared" si="363"/>
        <v>P&amp;L</v>
      </c>
    </row>
    <row r="5796" spans="1:13" s="33" customFormat="true" ht="12.75" customHeight="true">
      <c r="A5796" s="33" t="str">
        <f t="shared" si="360"/>
        <v>HOM - Operating Expense</v>
      </c>
      <c r="B5796" s="33" t="str">
        <f t="shared" si="361"/>
        <v>HOM</v>
      </c>
      <c r="C5796" s="33" t="str">
        <f t="shared" si="362"/>
        <v>59860-0000</v>
      </c>
      <c r="D5796" s="64" t="s">
        <v>6878</v>
      </c>
      <c r="E5796" s="64" t="s">
        <v>6879</v>
      </c>
      <c r="F5796" s="64" t="s">
        <v>679</v>
      </c>
      <c r="G5796" s="64" t="s">
        <v>4426</v>
      </c>
      <c r="H5796" s="64" t="s">
        <v>3022</v>
      </c>
      <c r="I5796" s="64" t="s">
        <v>6877</v>
      </c>
      <c r="J5796" s="67">
        <v>282.97</v>
      </c>
      <c r="K5796" s="62">
        <v>3656.11</v>
      </c>
      <c r="L5796" s="33" t="e">
        <f>HLOOKUP(B5796,#REF!,1,0)</f>
        <v>#REF!</v>
      </c>
      <c r="M5796" s="33" t="str">
        <f t="shared" si="363"/>
        <v>P&amp;L</v>
      </c>
    </row>
    <row r="5797" spans="1:13" s="33" customFormat="true" ht="12.75" customHeight="true">
      <c r="A5797" s="33" t="str">
        <f t="shared" si="360"/>
        <v>HOM - Operating Expense</v>
      </c>
      <c r="B5797" s="33" t="str">
        <f t="shared" si="361"/>
        <v>HOM</v>
      </c>
      <c r="C5797" s="33" t="str">
        <f t="shared" si="362"/>
        <v>59870-0000</v>
      </c>
      <c r="D5797" s="64" t="s">
        <v>6880</v>
      </c>
      <c r="E5797" s="64" t="s">
        <v>6881</v>
      </c>
      <c r="F5797" s="64" t="s">
        <v>679</v>
      </c>
      <c r="G5797" s="64" t="s">
        <v>4426</v>
      </c>
      <c r="H5797" s="64" t="s">
        <v>3022</v>
      </c>
      <c r="I5797" s="64" t="s">
        <v>6877</v>
      </c>
      <c r="J5797" s="67">
        <v>233.25</v>
      </c>
      <c r="K5797" s="62">
        <v>3212.76</v>
      </c>
      <c r="L5797" s="33" t="e">
        <f>HLOOKUP(B5797,#REF!,1,0)</f>
        <v>#REF!</v>
      </c>
      <c r="M5797" s="33" t="str">
        <f t="shared" si="363"/>
        <v>P&amp;L</v>
      </c>
    </row>
    <row r="5798" spans="1:13" s="33" customFormat="true" ht="12.75" customHeight="true">
      <c r="A5798" s="33" t="str">
        <f t="shared" si="360"/>
        <v>HOM - Operating Expense</v>
      </c>
      <c r="B5798" s="33" t="str">
        <f t="shared" si="361"/>
        <v>HOM</v>
      </c>
      <c r="C5798" s="33" t="str">
        <f t="shared" si="362"/>
        <v>59900-0000</v>
      </c>
      <c r="D5798" s="64" t="s">
        <v>6882</v>
      </c>
      <c r="E5798" s="64" t="s">
        <v>6883</v>
      </c>
      <c r="F5798" s="64" t="s">
        <v>679</v>
      </c>
      <c r="G5798" s="64" t="s">
        <v>4426</v>
      </c>
      <c r="H5798" s="64" t="s">
        <v>3022</v>
      </c>
      <c r="I5798" s="64" t="s">
        <v>6877</v>
      </c>
      <c r="J5798" s="67">
        <v>0</v>
      </c>
      <c r="K5798" s="62">
        <v>3069.93</v>
      </c>
      <c r="L5798" s="33" t="e">
        <f>HLOOKUP(B5798,#REF!,1,0)</f>
        <v>#REF!</v>
      </c>
      <c r="M5798" s="33" t="str">
        <f t="shared" si="363"/>
        <v>P&amp;L</v>
      </c>
    </row>
    <row r="5799" spans="1:13" s="33" customFormat="true" ht="12.75" customHeight="true">
      <c r="A5799" s="33" t="str">
        <f t="shared" si="360"/>
        <v>HOM - Operating Expense</v>
      </c>
      <c r="B5799" s="33" t="str">
        <f t="shared" si="361"/>
        <v>HOM</v>
      </c>
      <c r="C5799" s="33" t="str">
        <f t="shared" si="362"/>
        <v>62510-0000</v>
      </c>
      <c r="D5799" s="64" t="s">
        <v>6884</v>
      </c>
      <c r="E5799" s="64" t="s">
        <v>3111</v>
      </c>
      <c r="F5799" s="64" t="s">
        <v>679</v>
      </c>
      <c r="G5799" s="64" t="s">
        <v>4426</v>
      </c>
      <c r="H5799" s="64" t="s">
        <v>3022</v>
      </c>
      <c r="I5799" s="64" t="s">
        <v>3102</v>
      </c>
      <c r="J5799" s="67">
        <v>0</v>
      </c>
      <c r="K5799" s="62">
        <v>260</v>
      </c>
      <c r="L5799" s="33" t="e">
        <f>HLOOKUP(B5799,#REF!,1,0)</f>
        <v>#REF!</v>
      </c>
      <c r="M5799" s="33" t="str">
        <f t="shared" si="363"/>
        <v>P&amp;L</v>
      </c>
    </row>
    <row r="5800" spans="1:13" s="33" customFormat="true" ht="12.75" customHeight="true">
      <c r="A5800" s="33" t="str">
        <f t="shared" si="360"/>
        <v>HOM - Operating Expense</v>
      </c>
      <c r="B5800" s="33" t="str">
        <f t="shared" si="361"/>
        <v>HOM</v>
      </c>
      <c r="C5800" s="33" t="str">
        <f t="shared" si="362"/>
        <v>70100-0000</v>
      </c>
      <c r="D5800" s="64" t="s">
        <v>6885</v>
      </c>
      <c r="E5800" s="64" t="s">
        <v>6886</v>
      </c>
      <c r="F5800" s="64" t="s">
        <v>679</v>
      </c>
      <c r="G5800" s="64" t="s">
        <v>4426</v>
      </c>
      <c r="H5800" s="64" t="s">
        <v>3022</v>
      </c>
      <c r="I5800" s="64" t="s">
        <v>4763</v>
      </c>
      <c r="J5800" s="67">
        <v>0</v>
      </c>
      <c r="K5800" s="62">
        <v>12331.98</v>
      </c>
      <c r="L5800" s="33" t="e">
        <f>HLOOKUP(B5800,#REF!,1,0)</f>
        <v>#REF!</v>
      </c>
      <c r="M5800" s="33" t="str">
        <f t="shared" si="363"/>
        <v>P&amp;L</v>
      </c>
    </row>
    <row r="5801" spans="1:13" s="33" customFormat="true" ht="12.75" customHeight="true">
      <c r="A5801" s="33" t="str">
        <f t="shared" si="360"/>
        <v>HOS - Operating Expense</v>
      </c>
      <c r="B5801" s="33" t="str">
        <f t="shared" si="361"/>
        <v>HOS</v>
      </c>
      <c r="C5801" s="33" t="str">
        <f t="shared" si="362"/>
        <v>50300-0000</v>
      </c>
      <c r="D5801" s="64" t="s">
        <v>6887</v>
      </c>
      <c r="E5801" s="64" t="s">
        <v>5797</v>
      </c>
      <c r="F5801" s="64" t="s">
        <v>679</v>
      </c>
      <c r="G5801" s="64" t="s">
        <v>4426</v>
      </c>
      <c r="H5801" s="64" t="s">
        <v>3022</v>
      </c>
      <c r="I5801" s="64" t="s">
        <v>5798</v>
      </c>
      <c r="J5801" s="67">
        <v>0</v>
      </c>
      <c r="K5801" s="62">
        <v>2735.39</v>
      </c>
      <c r="L5801" s="33" t="e">
        <f>HLOOKUP(B5801,#REF!,1,0)</f>
        <v>#REF!</v>
      </c>
      <c r="M5801" s="33" t="str">
        <f t="shared" si="363"/>
        <v>P&amp;L</v>
      </c>
    </row>
    <row r="5802" spans="1:13" s="33" customFormat="true" ht="12.75" customHeight="true">
      <c r="A5802" s="33" t="str">
        <f t="shared" si="360"/>
        <v>HOS - Operating Expense</v>
      </c>
      <c r="B5802" s="33" t="str">
        <f t="shared" si="361"/>
        <v>HOS</v>
      </c>
      <c r="C5802" s="33" t="str">
        <f t="shared" si="362"/>
        <v>56900-0000</v>
      </c>
      <c r="D5802" s="64" t="s">
        <v>6888</v>
      </c>
      <c r="E5802" s="64" t="s">
        <v>1873</v>
      </c>
      <c r="F5802" s="64" t="s">
        <v>679</v>
      </c>
      <c r="G5802" s="64" t="s">
        <v>4426</v>
      </c>
      <c r="H5802" s="64" t="s">
        <v>3022</v>
      </c>
      <c r="I5802" s="64" t="s">
        <v>4738</v>
      </c>
      <c r="J5802" s="67">
        <v>0</v>
      </c>
      <c r="K5802" s="62">
        <v>765</v>
      </c>
      <c r="L5802" s="33" t="e">
        <f>HLOOKUP(B5802,#REF!,1,0)</f>
        <v>#REF!</v>
      </c>
      <c r="M5802" s="33" t="str">
        <f t="shared" si="363"/>
        <v>P&amp;L</v>
      </c>
    </row>
    <row r="5803" spans="1:13" s="33" customFormat="true" ht="12.75" customHeight="true">
      <c r="A5803" s="33" t="str">
        <f t="shared" si="360"/>
        <v>HOS - Operating Expense</v>
      </c>
      <c r="B5803" s="33" t="str">
        <f t="shared" si="361"/>
        <v>HOS</v>
      </c>
      <c r="C5803" s="33" t="str">
        <f t="shared" si="362"/>
        <v>58490-0000</v>
      </c>
      <c r="D5803" s="64" t="s">
        <v>6889</v>
      </c>
      <c r="E5803" s="64" t="s">
        <v>6873</v>
      </c>
      <c r="F5803" s="64" t="s">
        <v>679</v>
      </c>
      <c r="G5803" s="64" t="s">
        <v>4426</v>
      </c>
      <c r="H5803" s="64" t="s">
        <v>3022</v>
      </c>
      <c r="I5803" s="64" t="s">
        <v>4752</v>
      </c>
      <c r="J5803" s="67">
        <v>941</v>
      </c>
      <c r="K5803" s="62">
        <v>9410</v>
      </c>
      <c r="L5803" s="33" t="e">
        <f>HLOOKUP(B5803,#REF!,1,0)</f>
        <v>#REF!</v>
      </c>
      <c r="M5803" s="33" t="str">
        <f t="shared" si="363"/>
        <v>P&amp;L</v>
      </c>
    </row>
    <row r="5804" spans="1:13" s="33" customFormat="true" ht="12.75" customHeight="true">
      <c r="A5804" s="33" t="str">
        <f t="shared" si="360"/>
        <v>HOS - Operating Expense</v>
      </c>
      <c r="B5804" s="33" t="str">
        <f t="shared" si="361"/>
        <v>HOS</v>
      </c>
      <c r="C5804" s="33" t="str">
        <f t="shared" si="362"/>
        <v>58500-0000</v>
      </c>
      <c r="D5804" s="64" t="s">
        <v>6890</v>
      </c>
      <c r="E5804" s="64" t="s">
        <v>4751</v>
      </c>
      <c r="F5804" s="64" t="s">
        <v>679</v>
      </c>
      <c r="G5804" s="64" t="s">
        <v>4426</v>
      </c>
      <c r="H5804" s="64" t="s">
        <v>3022</v>
      </c>
      <c r="I5804" s="64" t="s">
        <v>4752</v>
      </c>
      <c r="J5804" s="67">
        <v>0</v>
      </c>
      <c r="K5804" s="62">
        <v>4280</v>
      </c>
      <c r="L5804" s="33" t="e">
        <f>HLOOKUP(B5804,#REF!,1,0)</f>
        <v>#REF!</v>
      </c>
      <c r="M5804" s="33" t="str">
        <f t="shared" si="363"/>
        <v>P&amp;L</v>
      </c>
    </row>
    <row r="5805" spans="1:13" s="33" customFormat="true" ht="12.75" customHeight="true">
      <c r="A5805" s="33" t="str">
        <f t="shared" si="360"/>
        <v>HOS - Operating Expense</v>
      </c>
      <c r="B5805" s="33" t="str">
        <f t="shared" si="361"/>
        <v>HOS</v>
      </c>
      <c r="C5805" s="33" t="str">
        <f t="shared" si="362"/>
        <v>58600-0000</v>
      </c>
      <c r="D5805" s="64" t="s">
        <v>6891</v>
      </c>
      <c r="E5805" s="64" t="s">
        <v>3285</v>
      </c>
      <c r="F5805" s="64" t="s">
        <v>679</v>
      </c>
      <c r="G5805" s="64" t="s">
        <v>4426</v>
      </c>
      <c r="H5805" s="64" t="s">
        <v>3022</v>
      </c>
      <c r="I5805" s="64" t="s">
        <v>5811</v>
      </c>
      <c r="J5805" s="67">
        <v>0</v>
      </c>
      <c r="K5805" s="62">
        <v>1556.68</v>
      </c>
      <c r="L5805" s="33" t="e">
        <f>HLOOKUP(B5805,#REF!,1,0)</f>
        <v>#REF!</v>
      </c>
      <c r="M5805" s="33" t="str">
        <f t="shared" si="363"/>
        <v>P&amp;L</v>
      </c>
    </row>
    <row r="5806" spans="1:13" s="33" customFormat="true" ht="12.75" customHeight="true">
      <c r="A5806" s="33" t="str">
        <f t="shared" si="360"/>
        <v>HOS - Operating Expense</v>
      </c>
      <c r="B5806" s="33" t="str">
        <f t="shared" si="361"/>
        <v>HOS</v>
      </c>
      <c r="C5806" s="33" t="str">
        <f t="shared" si="362"/>
        <v>60012-0000</v>
      </c>
      <c r="D5806" s="64" t="s">
        <v>6892</v>
      </c>
      <c r="E5806" s="64" t="s">
        <v>3852</v>
      </c>
      <c r="F5806" s="64" t="s">
        <v>679</v>
      </c>
      <c r="G5806" s="64" t="s">
        <v>4426</v>
      </c>
      <c r="H5806" s="64" t="s">
        <v>3022</v>
      </c>
      <c r="I5806" s="64" t="s">
        <v>5841</v>
      </c>
      <c r="J5806" s="67">
        <v>0</v>
      </c>
      <c r="K5806" s="62">
        <v>37263.33</v>
      </c>
      <c r="L5806" s="33" t="e">
        <f>HLOOKUP(B5806,#REF!,1,0)</f>
        <v>#REF!</v>
      </c>
      <c r="M5806" s="33" t="str">
        <f t="shared" si="363"/>
        <v>P&amp;L</v>
      </c>
    </row>
    <row r="5807" spans="1:13" s="33" customFormat="true" ht="12.75" customHeight="true">
      <c r="A5807" s="33" t="str">
        <f t="shared" si="360"/>
        <v>HOS - Operating Expense</v>
      </c>
      <c r="B5807" s="33" t="str">
        <f t="shared" si="361"/>
        <v>HOS</v>
      </c>
      <c r="C5807" s="33" t="str">
        <f t="shared" si="362"/>
        <v>70100-0000</v>
      </c>
      <c r="D5807" s="64" t="s">
        <v>6893</v>
      </c>
      <c r="E5807" s="64" t="s">
        <v>6886</v>
      </c>
      <c r="F5807" s="64" t="s">
        <v>679</v>
      </c>
      <c r="G5807" s="64" t="s">
        <v>4426</v>
      </c>
      <c r="H5807" s="64" t="s">
        <v>3022</v>
      </c>
      <c r="I5807" s="64" t="s">
        <v>4763</v>
      </c>
      <c r="J5807" s="67">
        <v>192.43</v>
      </c>
      <c r="K5807" s="62">
        <v>14158.59</v>
      </c>
      <c r="L5807" s="33" t="e">
        <f>HLOOKUP(B5807,#REF!,1,0)</f>
        <v>#REF!</v>
      </c>
      <c r="M5807" s="33" t="str">
        <f t="shared" si="363"/>
        <v>P&amp;L</v>
      </c>
    </row>
    <row r="5808" spans="1:13" s="33" customFormat="true" ht="12.75" customHeight="true">
      <c r="A5808" s="33" t="str">
        <f t="shared" si="360"/>
        <v>JUP - AR-PPD</v>
      </c>
      <c r="B5808" s="33" t="str">
        <f t="shared" si="361"/>
        <v>JUP</v>
      </c>
      <c r="C5808" s="33" t="str">
        <f t="shared" si="362"/>
        <v>11000-0000</v>
      </c>
      <c r="D5808" s="64" t="s">
        <v>6894</v>
      </c>
      <c r="E5808" s="64" t="s">
        <v>34</v>
      </c>
      <c r="F5808" s="64" t="s">
        <v>230</v>
      </c>
      <c r="G5808" s="64" t="s">
        <v>16</v>
      </c>
      <c r="H5808" s="64" t="s">
        <v>35</v>
      </c>
      <c r="I5808" s="64" t="s">
        <v>36</v>
      </c>
      <c r="J5808" s="67">
        <v>0</v>
      </c>
      <c r="K5808" s="62">
        <v>2028.72</v>
      </c>
      <c r="L5808" s="33" t="e">
        <f>HLOOKUP(B5808,#REF!,1,0)</f>
        <v>#REF!</v>
      </c>
      <c r="M5808" s="33" t="str">
        <f t="shared" si="363"/>
        <v>BS</v>
      </c>
    </row>
    <row r="5809" spans="1:13" s="33" customFormat="true" ht="12.75" customHeight="true">
      <c r="A5809" s="33" t="str">
        <f t="shared" si="360"/>
        <v>JUP - Fixed Assets</v>
      </c>
      <c r="B5809" s="33" t="str">
        <f t="shared" si="361"/>
        <v>JUP</v>
      </c>
      <c r="C5809" s="33" t="str">
        <f t="shared" si="362"/>
        <v>15501-0000</v>
      </c>
      <c r="D5809" s="64" t="s">
        <v>6895</v>
      </c>
      <c r="E5809" s="64" t="s">
        <v>2635</v>
      </c>
      <c r="F5809" s="64" t="s">
        <v>230</v>
      </c>
      <c r="G5809" s="64" t="s">
        <v>62</v>
      </c>
      <c r="H5809" s="64" t="s">
        <v>63</v>
      </c>
      <c r="I5809" s="64" t="s">
        <v>64</v>
      </c>
      <c r="J5809" s="67">
        <v>299.21</v>
      </c>
      <c r="K5809" s="62">
        <v>1174.28</v>
      </c>
      <c r="L5809" s="33" t="e">
        <f>HLOOKUP(B5809,#REF!,1,0)</f>
        <v>#REF!</v>
      </c>
      <c r="M5809" s="33" t="str">
        <f t="shared" si="363"/>
        <v>BS</v>
      </c>
    </row>
    <row r="5810" spans="1:13" s="33" customFormat="true" ht="12.75" customHeight="true">
      <c r="A5810" s="33" t="str">
        <f t="shared" si="360"/>
        <v>JUP - AR-PPD</v>
      </c>
      <c r="B5810" s="33" t="str">
        <f t="shared" si="361"/>
        <v>JUP</v>
      </c>
      <c r="C5810" s="33" t="str">
        <f t="shared" si="362"/>
        <v>25300-0000</v>
      </c>
      <c r="D5810" s="64" t="s">
        <v>6896</v>
      </c>
      <c r="E5810" s="64" t="s">
        <v>3677</v>
      </c>
      <c r="F5810" s="64" t="s">
        <v>230</v>
      </c>
      <c r="G5810" s="64" t="s">
        <v>3678</v>
      </c>
      <c r="H5810" s="64" t="s">
        <v>35</v>
      </c>
      <c r="I5810" s="64" t="s">
        <v>102</v>
      </c>
      <c r="J5810" s="67">
        <v>-2791.44</v>
      </c>
      <c r="K5810" s="62">
        <v>-2146.72</v>
      </c>
      <c r="L5810" s="33" t="e">
        <f>HLOOKUP(B5810,#REF!,1,0)</f>
        <v>#REF!</v>
      </c>
      <c r="M5810" s="33" t="str">
        <f t="shared" si="363"/>
        <v>BS</v>
      </c>
    </row>
    <row r="5811" spans="1:13" s="33" customFormat="true" ht="12.75" customHeight="true">
      <c r="A5811" s="33" t="str">
        <f t="shared" si="360"/>
        <v>JUP - Revenue</v>
      </c>
      <c r="B5811" s="33" t="str">
        <f t="shared" si="361"/>
        <v>JUP</v>
      </c>
      <c r="C5811" s="33" t="str">
        <f t="shared" si="362"/>
        <v>40110-0000</v>
      </c>
      <c r="D5811" s="64" t="s">
        <v>6897</v>
      </c>
      <c r="E5811" s="64" t="s">
        <v>3683</v>
      </c>
      <c r="F5811" s="64" t="s">
        <v>230</v>
      </c>
      <c r="G5811" s="64" t="s">
        <v>3684</v>
      </c>
      <c r="H5811" s="64" t="s">
        <v>2871</v>
      </c>
      <c r="I5811" s="64" t="s">
        <v>3685</v>
      </c>
      <c r="J5811" s="67">
        <v>-35897.06</v>
      </c>
      <c r="K5811" s="62">
        <v>-358970.6</v>
      </c>
      <c r="L5811" s="33" t="e">
        <f>HLOOKUP(B5811,#REF!,1,0)</f>
        <v>#REF!</v>
      </c>
      <c r="M5811" s="33" t="str">
        <f t="shared" si="363"/>
        <v>P&amp;L</v>
      </c>
    </row>
    <row r="5812" spans="1:13" s="33" customFormat="true" ht="12.75" customHeight="true">
      <c r="A5812" s="33" t="str">
        <f t="shared" si="360"/>
        <v>JUP - Revenue</v>
      </c>
      <c r="B5812" s="33" t="str">
        <f t="shared" si="361"/>
        <v>JUP</v>
      </c>
      <c r="C5812" s="33" t="str">
        <f t="shared" si="362"/>
        <v>40120-0000</v>
      </c>
      <c r="D5812" s="64" t="s">
        <v>6898</v>
      </c>
      <c r="E5812" s="64" t="s">
        <v>3687</v>
      </c>
      <c r="F5812" s="64" t="s">
        <v>230</v>
      </c>
      <c r="G5812" s="64" t="s">
        <v>3684</v>
      </c>
      <c r="H5812" s="64" t="s">
        <v>2871</v>
      </c>
      <c r="I5812" s="64" t="s">
        <v>3688</v>
      </c>
      <c r="J5812" s="67">
        <v>-440</v>
      </c>
      <c r="K5812" s="62">
        <v>-3371</v>
      </c>
      <c r="L5812" s="33" t="e">
        <f>HLOOKUP(B5812,#REF!,1,0)</f>
        <v>#REF!</v>
      </c>
      <c r="M5812" s="33" t="str">
        <f t="shared" si="363"/>
        <v>P&amp;L</v>
      </c>
    </row>
    <row r="5813" spans="1:13" s="33" customFormat="true" ht="12.75" customHeight="true">
      <c r="A5813" s="33" t="str">
        <f t="shared" si="360"/>
        <v>JUP - Revenue</v>
      </c>
      <c r="B5813" s="33" t="str">
        <f t="shared" si="361"/>
        <v>JUP</v>
      </c>
      <c r="C5813" s="33" t="str">
        <f t="shared" si="362"/>
        <v>40130-0000</v>
      </c>
      <c r="D5813" s="64" t="s">
        <v>6899</v>
      </c>
      <c r="E5813" s="64" t="s">
        <v>3690</v>
      </c>
      <c r="F5813" s="64" t="s">
        <v>230</v>
      </c>
      <c r="G5813" s="64" t="s">
        <v>3684</v>
      </c>
      <c r="H5813" s="64" t="s">
        <v>2871</v>
      </c>
      <c r="I5813" s="64" t="s">
        <v>3691</v>
      </c>
      <c r="J5813" s="67">
        <v>0</v>
      </c>
      <c r="K5813" s="62">
        <v>0</v>
      </c>
      <c r="L5813" s="33" t="e">
        <f>HLOOKUP(B5813,#REF!,1,0)</f>
        <v>#REF!</v>
      </c>
      <c r="M5813" s="33" t="str">
        <f t="shared" si="363"/>
        <v>P&amp;L</v>
      </c>
    </row>
    <row r="5814" spans="1:13" s="33" customFormat="true" ht="12.75" customHeight="true">
      <c r="A5814" s="33" t="str">
        <f t="shared" si="360"/>
        <v>JUP - Revenue</v>
      </c>
      <c r="B5814" s="33" t="str">
        <f t="shared" si="361"/>
        <v>JUP</v>
      </c>
      <c r="C5814" s="33" t="str">
        <f t="shared" si="362"/>
        <v>41110-0000</v>
      </c>
      <c r="D5814" s="64" t="s">
        <v>6900</v>
      </c>
      <c r="E5814" s="64" t="s">
        <v>3693</v>
      </c>
      <c r="F5814" s="64" t="s">
        <v>230</v>
      </c>
      <c r="G5814" s="64" t="s">
        <v>3694</v>
      </c>
      <c r="H5814" s="64" t="s">
        <v>2871</v>
      </c>
      <c r="I5814" s="64" t="s">
        <v>3695</v>
      </c>
      <c r="J5814" s="67">
        <v>0</v>
      </c>
      <c r="K5814" s="62">
        <v>5981.67</v>
      </c>
      <c r="L5814" s="33" t="e">
        <f>HLOOKUP(B5814,#REF!,1,0)</f>
        <v>#REF!</v>
      </c>
      <c r="M5814" s="33" t="str">
        <f t="shared" si="363"/>
        <v>P&amp;L</v>
      </c>
    </row>
    <row r="5815" spans="1:13" s="33" customFormat="true" ht="12.75" customHeight="true">
      <c r="A5815" s="33" t="str">
        <f t="shared" si="360"/>
        <v>JUP - Revenue</v>
      </c>
      <c r="B5815" s="33" t="str">
        <f t="shared" si="361"/>
        <v>JUP</v>
      </c>
      <c r="C5815" s="33" t="str">
        <f t="shared" si="362"/>
        <v>41121-0000</v>
      </c>
      <c r="D5815" s="64" t="s">
        <v>6901</v>
      </c>
      <c r="E5815" s="64" t="s">
        <v>4146</v>
      </c>
      <c r="F5815" s="64" t="s">
        <v>230</v>
      </c>
      <c r="G5815" s="64" t="s">
        <v>3694</v>
      </c>
      <c r="H5815" s="64" t="s">
        <v>2871</v>
      </c>
      <c r="I5815" s="64" t="s">
        <v>3698</v>
      </c>
      <c r="J5815" s="67">
        <v>6466.44</v>
      </c>
      <c r="K5815" s="62">
        <v>50157.61</v>
      </c>
      <c r="L5815" s="33" t="e">
        <f>HLOOKUP(B5815,#REF!,1,0)</f>
        <v>#REF!</v>
      </c>
      <c r="M5815" s="33" t="str">
        <f t="shared" si="363"/>
        <v>P&amp;L</v>
      </c>
    </row>
    <row r="5816" spans="1:13" s="33" customFormat="true" ht="12.75" customHeight="true">
      <c r="A5816" s="33" t="str">
        <f t="shared" si="360"/>
        <v>JUP - Revenue</v>
      </c>
      <c r="B5816" s="33" t="str">
        <f t="shared" si="361"/>
        <v>JUP</v>
      </c>
      <c r="C5816" s="33" t="str">
        <f t="shared" si="362"/>
        <v>41122-0000</v>
      </c>
      <c r="D5816" s="64" t="s">
        <v>6902</v>
      </c>
      <c r="E5816" s="64" t="s">
        <v>3700</v>
      </c>
      <c r="F5816" s="64" t="s">
        <v>230</v>
      </c>
      <c r="G5816" s="64" t="s">
        <v>3694</v>
      </c>
      <c r="H5816" s="64" t="s">
        <v>2871</v>
      </c>
      <c r="I5816" s="64" t="s">
        <v>3701</v>
      </c>
      <c r="J5816" s="67">
        <v>-3605.83</v>
      </c>
      <c r="K5816" s="62">
        <v>-49205.28</v>
      </c>
      <c r="L5816" s="33" t="e">
        <f>HLOOKUP(B5816,#REF!,1,0)</f>
        <v>#REF!</v>
      </c>
      <c r="M5816" s="33" t="str">
        <f t="shared" si="363"/>
        <v>P&amp;L</v>
      </c>
    </row>
    <row r="5817" spans="1:13" s="33" customFormat="true" ht="12.75" customHeight="true">
      <c r="A5817" s="33" t="str">
        <f t="shared" si="360"/>
        <v>JUP - Revenue</v>
      </c>
      <c r="B5817" s="33" t="str">
        <f t="shared" si="361"/>
        <v>JUP</v>
      </c>
      <c r="C5817" s="33" t="str">
        <f t="shared" si="362"/>
        <v>41130-0000</v>
      </c>
      <c r="D5817" s="64" t="s">
        <v>6903</v>
      </c>
      <c r="E5817" s="64" t="s">
        <v>3703</v>
      </c>
      <c r="F5817" s="64" t="s">
        <v>230</v>
      </c>
      <c r="G5817" s="64" t="s">
        <v>3694</v>
      </c>
      <c r="H5817" s="64" t="s">
        <v>2871</v>
      </c>
      <c r="I5817" s="64" t="s">
        <v>3704</v>
      </c>
      <c r="J5817" s="67">
        <v>187</v>
      </c>
      <c r="K5817" s="62">
        <v>4684</v>
      </c>
      <c r="L5817" s="33" t="e">
        <f>HLOOKUP(B5817,#REF!,1,0)</f>
        <v>#REF!</v>
      </c>
      <c r="M5817" s="33" t="str">
        <f t="shared" si="363"/>
        <v>P&amp;L</v>
      </c>
    </row>
    <row r="5818" spans="1:13" s="33" customFormat="true" ht="12.75" customHeight="true">
      <c r="A5818" s="33" t="str">
        <f t="shared" si="360"/>
        <v>JUP - Revenue</v>
      </c>
      <c r="B5818" s="33" t="str">
        <f t="shared" si="361"/>
        <v>JUP</v>
      </c>
      <c r="C5818" s="33" t="str">
        <f t="shared" si="362"/>
        <v>41150-0000</v>
      </c>
      <c r="D5818" s="64" t="s">
        <v>6904</v>
      </c>
      <c r="E5818" s="64" t="s">
        <v>3709</v>
      </c>
      <c r="F5818" s="64" t="s">
        <v>230</v>
      </c>
      <c r="G5818" s="64" t="s">
        <v>3694</v>
      </c>
      <c r="H5818" s="64" t="s">
        <v>2871</v>
      </c>
      <c r="I5818" s="64" t="s">
        <v>3710</v>
      </c>
      <c r="J5818" s="67">
        <v>1835</v>
      </c>
      <c r="K5818" s="62">
        <v>16515</v>
      </c>
      <c r="L5818" s="33" t="e">
        <f>HLOOKUP(B5818,#REF!,1,0)</f>
        <v>#REF!</v>
      </c>
      <c r="M5818" s="33" t="str">
        <f t="shared" si="363"/>
        <v>P&amp;L</v>
      </c>
    </row>
    <row r="5819" spans="1:13" s="33" customFormat="true" ht="12.75" customHeight="true">
      <c r="A5819" s="33" t="str">
        <f t="shared" si="360"/>
        <v>JUP - Revenue</v>
      </c>
      <c r="B5819" s="33" t="str">
        <f t="shared" si="361"/>
        <v>JUP</v>
      </c>
      <c r="C5819" s="33" t="str">
        <f t="shared" si="362"/>
        <v>41160-0000</v>
      </c>
      <c r="D5819" s="64" t="s">
        <v>6905</v>
      </c>
      <c r="E5819" s="64" t="s">
        <v>3957</v>
      </c>
      <c r="F5819" s="64" t="s">
        <v>230</v>
      </c>
      <c r="G5819" s="64" t="s">
        <v>3694</v>
      </c>
      <c r="H5819" s="64" t="s">
        <v>2871</v>
      </c>
      <c r="I5819" s="64" t="s">
        <v>3701</v>
      </c>
      <c r="J5819" s="67">
        <v>0</v>
      </c>
      <c r="K5819" s="62">
        <v>-34807.18</v>
      </c>
      <c r="L5819" s="33" t="e">
        <f>HLOOKUP(B5819,#REF!,1,0)</f>
        <v>#REF!</v>
      </c>
      <c r="M5819" s="33" t="str">
        <f t="shared" si="363"/>
        <v>P&amp;L</v>
      </c>
    </row>
    <row r="5820" spans="1:13" s="33" customFormat="true" ht="12.75" customHeight="true">
      <c r="A5820" s="33" t="str">
        <f t="shared" si="360"/>
        <v>JUP - Revenue</v>
      </c>
      <c r="B5820" s="33" t="str">
        <f t="shared" si="361"/>
        <v>JUP</v>
      </c>
      <c r="C5820" s="33" t="str">
        <f t="shared" si="362"/>
        <v>41999-0000</v>
      </c>
      <c r="D5820" s="64" t="s">
        <v>6906</v>
      </c>
      <c r="E5820" s="64" t="s">
        <v>3712</v>
      </c>
      <c r="F5820" s="64" t="s">
        <v>230</v>
      </c>
      <c r="G5820" s="64" t="s">
        <v>3713</v>
      </c>
      <c r="H5820" s="64" t="s">
        <v>2871</v>
      </c>
      <c r="I5820" s="64" t="s">
        <v>3714</v>
      </c>
      <c r="J5820" s="67">
        <v>31454.45</v>
      </c>
      <c r="K5820" s="62">
        <v>372001.57</v>
      </c>
      <c r="L5820" s="33" t="e">
        <f>HLOOKUP(B5820,#REF!,1,0)</f>
        <v>#REF!</v>
      </c>
      <c r="M5820" s="33" t="str">
        <f t="shared" si="363"/>
        <v>P&amp;L</v>
      </c>
    </row>
    <row r="5821" spans="1:13" s="33" customFormat="true" ht="12.75" customHeight="true">
      <c r="A5821" s="33" t="str">
        <f t="shared" si="360"/>
        <v>JUP - Revenue</v>
      </c>
      <c r="B5821" s="33" t="str">
        <f t="shared" si="361"/>
        <v>JUP</v>
      </c>
      <c r="C5821" s="33" t="str">
        <f t="shared" si="362"/>
        <v>47400-0000</v>
      </c>
      <c r="D5821" s="64" t="s">
        <v>6907</v>
      </c>
      <c r="E5821" s="64" t="s">
        <v>3716</v>
      </c>
      <c r="F5821" s="64" t="s">
        <v>230</v>
      </c>
      <c r="G5821" s="64" t="s">
        <v>3717</v>
      </c>
      <c r="H5821" s="64" t="s">
        <v>2871</v>
      </c>
      <c r="I5821" s="64" t="s">
        <v>3718</v>
      </c>
      <c r="J5821" s="67">
        <v>-30742.18</v>
      </c>
      <c r="K5821" s="62">
        <v>-374275.09</v>
      </c>
      <c r="L5821" s="33" t="e">
        <f>HLOOKUP(B5821,#REF!,1,0)</f>
        <v>#REF!</v>
      </c>
      <c r="M5821" s="33" t="str">
        <f t="shared" si="363"/>
        <v>P&amp;L</v>
      </c>
    </row>
    <row r="5822" spans="1:13" s="33" customFormat="true" ht="12.75" customHeight="true">
      <c r="A5822" s="33" t="str">
        <f t="shared" si="360"/>
        <v>JUP - Revenue</v>
      </c>
      <c r="B5822" s="33" t="str">
        <f t="shared" si="361"/>
        <v>JUP</v>
      </c>
      <c r="C5822" s="33" t="str">
        <f t="shared" si="362"/>
        <v>47420-0000</v>
      </c>
      <c r="D5822" s="64" t="s">
        <v>6908</v>
      </c>
      <c r="E5822" s="64" t="s">
        <v>4154</v>
      </c>
      <c r="F5822" s="64" t="s">
        <v>230</v>
      </c>
      <c r="G5822" s="64" t="s">
        <v>3717</v>
      </c>
      <c r="H5822" s="64" t="s">
        <v>2871</v>
      </c>
      <c r="I5822" s="64" t="s">
        <v>4155</v>
      </c>
      <c r="J5822" s="67">
        <v>-95.57</v>
      </c>
      <c r="K5822" s="62">
        <v>-1045.68</v>
      </c>
      <c r="L5822" s="33" t="e">
        <f>HLOOKUP(B5822,#REF!,1,0)</f>
        <v>#REF!</v>
      </c>
      <c r="M5822" s="33" t="str">
        <f t="shared" si="363"/>
        <v>P&amp;L</v>
      </c>
    </row>
    <row r="5823" spans="1:13" s="33" customFormat="true" ht="12.75" customHeight="true">
      <c r="A5823" s="33" t="str">
        <f t="shared" si="360"/>
        <v>JUP - Revenue</v>
      </c>
      <c r="B5823" s="33" t="str">
        <f t="shared" si="361"/>
        <v>JUP</v>
      </c>
      <c r="C5823" s="33" t="str">
        <f t="shared" si="362"/>
        <v>47430-0000</v>
      </c>
      <c r="D5823" s="64" t="s">
        <v>6909</v>
      </c>
      <c r="E5823" s="64" t="s">
        <v>4053</v>
      </c>
      <c r="F5823" s="64" t="s">
        <v>230</v>
      </c>
      <c r="G5823" s="64" t="s">
        <v>3717</v>
      </c>
      <c r="H5823" s="64" t="s">
        <v>2871</v>
      </c>
      <c r="I5823" s="64" t="s">
        <v>4054</v>
      </c>
      <c r="J5823" s="67">
        <v>-338.94</v>
      </c>
      <c r="K5823" s="62">
        <v>-2988.99</v>
      </c>
      <c r="L5823" s="33" t="e">
        <f>HLOOKUP(B5823,#REF!,1,0)</f>
        <v>#REF!</v>
      </c>
      <c r="M5823" s="33" t="str">
        <f t="shared" si="363"/>
        <v>P&amp;L</v>
      </c>
    </row>
    <row r="5824" spans="1:13" s="33" customFormat="true" ht="12.75" customHeight="true">
      <c r="A5824" s="33" t="str">
        <f t="shared" si="360"/>
        <v>JUP - Revenue</v>
      </c>
      <c r="B5824" s="33" t="str">
        <f t="shared" si="361"/>
        <v>JUP</v>
      </c>
      <c r="C5824" s="33" t="str">
        <f t="shared" si="362"/>
        <v>47450-0000</v>
      </c>
      <c r="D5824" s="64" t="s">
        <v>6910</v>
      </c>
      <c r="E5824" s="64" t="s">
        <v>3723</v>
      </c>
      <c r="F5824" s="64" t="s">
        <v>230</v>
      </c>
      <c r="G5824" s="64" t="s">
        <v>3717</v>
      </c>
      <c r="H5824" s="64" t="s">
        <v>2871</v>
      </c>
      <c r="I5824" s="64" t="s">
        <v>3724</v>
      </c>
      <c r="J5824" s="67">
        <v>0</v>
      </c>
      <c r="K5824" s="62">
        <v>0</v>
      </c>
      <c r="L5824" s="33" t="e">
        <f>HLOOKUP(B5824,#REF!,1,0)</f>
        <v>#REF!</v>
      </c>
      <c r="M5824" s="33" t="str">
        <f t="shared" si="363"/>
        <v>P&amp;L</v>
      </c>
    </row>
    <row r="5825" spans="1:13" s="33" customFormat="true" ht="12.75" customHeight="true">
      <c r="A5825" s="33" t="str">
        <f t="shared" si="360"/>
        <v>JUP - Revenue</v>
      </c>
      <c r="B5825" s="33" t="str">
        <f t="shared" si="361"/>
        <v>JUP</v>
      </c>
      <c r="C5825" s="33" t="str">
        <f t="shared" si="362"/>
        <v>47460-0000</v>
      </c>
      <c r="D5825" s="64" t="s">
        <v>6911</v>
      </c>
      <c r="E5825" s="64" t="s">
        <v>3726</v>
      </c>
      <c r="F5825" s="64" t="s">
        <v>230</v>
      </c>
      <c r="G5825" s="64" t="s">
        <v>3717</v>
      </c>
      <c r="H5825" s="64" t="s">
        <v>2871</v>
      </c>
      <c r="I5825" s="64" t="s">
        <v>3727</v>
      </c>
      <c r="J5825" s="67">
        <v>0</v>
      </c>
      <c r="K5825" s="62">
        <v>-100</v>
      </c>
      <c r="L5825" s="33" t="e">
        <f>HLOOKUP(B5825,#REF!,1,0)</f>
        <v>#REF!</v>
      </c>
      <c r="M5825" s="33" t="str">
        <f t="shared" si="363"/>
        <v>P&amp;L</v>
      </c>
    </row>
    <row r="5826" spans="1:13" s="33" customFormat="true" ht="12.75" customHeight="true">
      <c r="A5826" s="33" t="str">
        <f t="shared" ref="A5826:A5889" si="364">B5826&amp;" - "&amp;TRIM(H5826)</f>
        <v>JUP - Revenue</v>
      </c>
      <c r="B5826" s="33" t="str">
        <f t="shared" ref="B5826:B5889" si="365">LEFT(D5826,3)</f>
        <v>JUP</v>
      </c>
      <c r="C5826" s="33" t="str">
        <f t="shared" ref="C5826:C5889" si="366">RIGHT(D5826,10)</f>
        <v>47480-0000</v>
      </c>
      <c r="D5826" s="64" t="s">
        <v>6912</v>
      </c>
      <c r="E5826" s="64" t="s">
        <v>3729</v>
      </c>
      <c r="F5826" s="64" t="s">
        <v>230</v>
      </c>
      <c r="G5826" s="64" t="s">
        <v>3717</v>
      </c>
      <c r="H5826" s="64" t="s">
        <v>2871</v>
      </c>
      <c r="I5826" s="64" t="s">
        <v>3721</v>
      </c>
      <c r="J5826" s="67">
        <v>0</v>
      </c>
      <c r="K5826" s="62">
        <v>45</v>
      </c>
      <c r="L5826" s="33" t="e">
        <f>HLOOKUP(B5826,#REF!,1,0)</f>
        <v>#REF!</v>
      </c>
      <c r="M5826" s="33" t="str">
        <f t="shared" ref="M5826:M5889" si="367">IF(VALUE(LEFT(C5826,5))&gt;40000,"P&amp;L","BS")</f>
        <v>P&amp;L</v>
      </c>
    </row>
    <row r="5827" spans="1:13" s="33" customFormat="true" ht="12.75" customHeight="true">
      <c r="A5827" s="33" t="str">
        <f t="shared" si="364"/>
        <v>JUP - Revenue</v>
      </c>
      <c r="B5827" s="33" t="str">
        <f t="shared" si="365"/>
        <v>JUP</v>
      </c>
      <c r="C5827" s="33" t="str">
        <f t="shared" si="366"/>
        <v>47490-0000</v>
      </c>
      <c r="D5827" s="64" t="s">
        <v>6913</v>
      </c>
      <c r="E5827" s="64" t="s">
        <v>3731</v>
      </c>
      <c r="F5827" s="64" t="s">
        <v>230</v>
      </c>
      <c r="G5827" s="64" t="s">
        <v>3717</v>
      </c>
      <c r="H5827" s="64" t="s">
        <v>2871</v>
      </c>
      <c r="I5827" s="64" t="s">
        <v>3721</v>
      </c>
      <c r="J5827" s="67">
        <v>0</v>
      </c>
      <c r="K5827" s="62">
        <v>-630</v>
      </c>
      <c r="L5827" s="33" t="e">
        <f>HLOOKUP(B5827,#REF!,1,0)</f>
        <v>#REF!</v>
      </c>
      <c r="M5827" s="33" t="str">
        <f t="shared" si="367"/>
        <v>P&amp;L</v>
      </c>
    </row>
    <row r="5828" spans="1:13" s="33" customFormat="true" ht="12.75" customHeight="true">
      <c r="A5828" s="33" t="str">
        <f t="shared" si="364"/>
        <v>JUP - Revenue</v>
      </c>
      <c r="B5828" s="33" t="str">
        <f t="shared" si="365"/>
        <v>JUP</v>
      </c>
      <c r="C5828" s="33" t="str">
        <f t="shared" si="366"/>
        <v>47492-0000</v>
      </c>
      <c r="D5828" s="64" t="s">
        <v>6914</v>
      </c>
      <c r="E5828" s="64" t="s">
        <v>3736</v>
      </c>
      <c r="F5828" s="64" t="s">
        <v>230</v>
      </c>
      <c r="G5828" s="64" t="s">
        <v>3717</v>
      </c>
      <c r="H5828" s="64" t="s">
        <v>2871</v>
      </c>
      <c r="I5828" s="64" t="s">
        <v>3737</v>
      </c>
      <c r="J5828" s="67">
        <v>-150</v>
      </c>
      <c r="K5828" s="62">
        <v>-615</v>
      </c>
      <c r="L5828" s="33" t="e">
        <f>HLOOKUP(B5828,#REF!,1,0)</f>
        <v>#REF!</v>
      </c>
      <c r="M5828" s="33" t="str">
        <f t="shared" si="367"/>
        <v>P&amp;L</v>
      </c>
    </row>
    <row r="5829" spans="1:13" s="33" customFormat="true" ht="12.75" customHeight="true">
      <c r="A5829" s="33" t="str">
        <f t="shared" si="364"/>
        <v>JUP - CGS</v>
      </c>
      <c r="B5829" s="33" t="str">
        <f t="shared" si="365"/>
        <v>JUP</v>
      </c>
      <c r="C5829" s="33" t="str">
        <f t="shared" si="366"/>
        <v>51005-0000</v>
      </c>
      <c r="D5829" s="64" t="s">
        <v>6915</v>
      </c>
      <c r="E5829" s="64" t="s">
        <v>3968</v>
      </c>
      <c r="F5829" s="64" t="s">
        <v>230</v>
      </c>
      <c r="G5829" s="64" t="s">
        <v>3740</v>
      </c>
      <c r="H5829" s="64" t="s">
        <v>1875</v>
      </c>
      <c r="I5829" s="64" t="s">
        <v>3969</v>
      </c>
      <c r="J5829" s="67">
        <v>0</v>
      </c>
      <c r="K5829" s="62">
        <v>24.03</v>
      </c>
      <c r="L5829" s="33" t="e">
        <f>HLOOKUP(B5829,#REF!,1,0)</f>
        <v>#REF!</v>
      </c>
      <c r="M5829" s="33" t="str">
        <f t="shared" si="367"/>
        <v>P&amp;L</v>
      </c>
    </row>
    <row r="5830" spans="1:13" s="33" customFormat="true" ht="12.75" customHeight="true">
      <c r="A5830" s="33" t="str">
        <f t="shared" si="364"/>
        <v>JUP - CGS</v>
      </c>
      <c r="B5830" s="33" t="str">
        <f t="shared" si="365"/>
        <v>JUP</v>
      </c>
      <c r="C5830" s="33" t="str">
        <f t="shared" si="366"/>
        <v>51006-0000</v>
      </c>
      <c r="D5830" s="64" t="s">
        <v>6916</v>
      </c>
      <c r="E5830" s="64" t="s">
        <v>3739</v>
      </c>
      <c r="F5830" s="64" t="s">
        <v>230</v>
      </c>
      <c r="G5830" s="64" t="s">
        <v>3740</v>
      </c>
      <c r="H5830" s="64" t="s">
        <v>1875</v>
      </c>
      <c r="I5830" s="64" t="s">
        <v>3741</v>
      </c>
      <c r="J5830" s="67">
        <v>0</v>
      </c>
      <c r="K5830" s="62">
        <v>610.69</v>
      </c>
      <c r="L5830" s="33" t="e">
        <f>HLOOKUP(B5830,#REF!,1,0)</f>
        <v>#REF!</v>
      </c>
      <c r="M5830" s="33" t="str">
        <f t="shared" si="367"/>
        <v>P&amp;L</v>
      </c>
    </row>
    <row r="5831" spans="1:13" s="33" customFormat="true" ht="12.75" customHeight="true">
      <c r="A5831" s="33" t="str">
        <f t="shared" si="364"/>
        <v>JUP - CGS</v>
      </c>
      <c r="B5831" s="33" t="str">
        <f t="shared" si="365"/>
        <v>JUP</v>
      </c>
      <c r="C5831" s="33" t="str">
        <f t="shared" si="366"/>
        <v>51007-0000</v>
      </c>
      <c r="D5831" s="64" t="s">
        <v>6917</v>
      </c>
      <c r="E5831" s="64" t="s">
        <v>3972</v>
      </c>
      <c r="F5831" s="64" t="s">
        <v>230</v>
      </c>
      <c r="G5831" s="64" t="s">
        <v>3740</v>
      </c>
      <c r="H5831" s="64" t="s">
        <v>1875</v>
      </c>
      <c r="I5831" s="64" t="s">
        <v>3973</v>
      </c>
      <c r="J5831" s="67">
        <v>0</v>
      </c>
      <c r="K5831" s="62">
        <v>32.83</v>
      </c>
      <c r="L5831" s="33" t="e">
        <f>HLOOKUP(B5831,#REF!,1,0)</f>
        <v>#REF!</v>
      </c>
      <c r="M5831" s="33" t="str">
        <f t="shared" si="367"/>
        <v>P&amp;L</v>
      </c>
    </row>
    <row r="5832" spans="1:13" s="33" customFormat="true" ht="12.75" customHeight="true">
      <c r="A5832" s="33" t="str">
        <f t="shared" si="364"/>
        <v>JUP - CGS</v>
      </c>
      <c r="B5832" s="33" t="str">
        <f t="shared" si="365"/>
        <v>JUP</v>
      </c>
      <c r="C5832" s="33" t="str">
        <f t="shared" si="366"/>
        <v>51008-0000</v>
      </c>
      <c r="D5832" s="64" t="s">
        <v>6918</v>
      </c>
      <c r="E5832" s="64" t="s">
        <v>3743</v>
      </c>
      <c r="F5832" s="64" t="s">
        <v>230</v>
      </c>
      <c r="G5832" s="64" t="s">
        <v>3740</v>
      </c>
      <c r="H5832" s="64" t="s">
        <v>1875</v>
      </c>
      <c r="I5832" s="64" t="s">
        <v>3744</v>
      </c>
      <c r="J5832" s="67">
        <v>335.39</v>
      </c>
      <c r="K5832" s="62">
        <v>2610.3</v>
      </c>
      <c r="L5832" s="33" t="e">
        <f>HLOOKUP(B5832,#REF!,1,0)</f>
        <v>#REF!</v>
      </c>
      <c r="M5832" s="33" t="str">
        <f t="shared" si="367"/>
        <v>P&amp;L</v>
      </c>
    </row>
    <row r="5833" spans="1:13" s="33" customFormat="true" ht="12.75" customHeight="true">
      <c r="A5833" s="33" t="str">
        <f t="shared" si="364"/>
        <v>JUP - CGS</v>
      </c>
      <c r="B5833" s="33" t="str">
        <f t="shared" si="365"/>
        <v>JUP</v>
      </c>
      <c r="C5833" s="33" t="str">
        <f t="shared" si="366"/>
        <v>51009-0000</v>
      </c>
      <c r="D5833" s="64" t="s">
        <v>6919</v>
      </c>
      <c r="E5833" s="64" t="s">
        <v>3746</v>
      </c>
      <c r="F5833" s="64" t="s">
        <v>230</v>
      </c>
      <c r="G5833" s="64" t="s">
        <v>3740</v>
      </c>
      <c r="H5833" s="64" t="s">
        <v>1875</v>
      </c>
      <c r="I5833" s="64" t="s">
        <v>3747</v>
      </c>
      <c r="J5833" s="67">
        <v>120.58</v>
      </c>
      <c r="K5833" s="62">
        <v>1095.33</v>
      </c>
      <c r="L5833" s="33" t="e">
        <f>HLOOKUP(B5833,#REF!,1,0)</f>
        <v>#REF!</v>
      </c>
      <c r="M5833" s="33" t="str">
        <f t="shared" si="367"/>
        <v>P&amp;L</v>
      </c>
    </row>
    <row r="5834" spans="1:13" s="33" customFormat="true" ht="12.75" customHeight="true">
      <c r="A5834" s="33" t="str">
        <f t="shared" si="364"/>
        <v>JUP - CGS</v>
      </c>
      <c r="B5834" s="33" t="str">
        <f t="shared" si="365"/>
        <v>JUP</v>
      </c>
      <c r="C5834" s="33" t="str">
        <f t="shared" si="366"/>
        <v>51011-0000</v>
      </c>
      <c r="D5834" s="64" t="s">
        <v>6920</v>
      </c>
      <c r="E5834" s="64" t="s">
        <v>3749</v>
      </c>
      <c r="F5834" s="64" t="s">
        <v>230</v>
      </c>
      <c r="G5834" s="64" t="s">
        <v>3740</v>
      </c>
      <c r="H5834" s="64" t="s">
        <v>1875</v>
      </c>
      <c r="I5834" s="64" t="s">
        <v>3750</v>
      </c>
      <c r="J5834" s="67">
        <v>250</v>
      </c>
      <c r="K5834" s="62">
        <v>2600</v>
      </c>
      <c r="L5834" s="33" t="e">
        <f>HLOOKUP(B5834,#REF!,1,0)</f>
        <v>#REF!</v>
      </c>
      <c r="M5834" s="33" t="str">
        <f t="shared" si="367"/>
        <v>P&amp;L</v>
      </c>
    </row>
    <row r="5835" spans="1:13" s="33" customFormat="true" ht="12.75" customHeight="true">
      <c r="A5835" s="33" t="str">
        <f t="shared" si="364"/>
        <v>JUP - CGS</v>
      </c>
      <c r="B5835" s="33" t="str">
        <f t="shared" si="365"/>
        <v>JUP</v>
      </c>
      <c r="C5835" s="33" t="str">
        <f t="shared" si="366"/>
        <v>51012-0000</v>
      </c>
      <c r="D5835" s="64" t="s">
        <v>6921</v>
      </c>
      <c r="E5835" s="64" t="s">
        <v>3752</v>
      </c>
      <c r="F5835" s="64" t="s">
        <v>230</v>
      </c>
      <c r="G5835" s="64" t="s">
        <v>3740</v>
      </c>
      <c r="H5835" s="64" t="s">
        <v>1875</v>
      </c>
      <c r="I5835" s="64" t="s">
        <v>3753</v>
      </c>
      <c r="J5835" s="67">
        <v>50</v>
      </c>
      <c r="K5835" s="62">
        <v>500</v>
      </c>
      <c r="L5835" s="33" t="e">
        <f>HLOOKUP(B5835,#REF!,1,0)</f>
        <v>#REF!</v>
      </c>
      <c r="M5835" s="33" t="str">
        <f t="shared" si="367"/>
        <v>P&amp;L</v>
      </c>
    </row>
    <row r="5836" spans="1:13" s="33" customFormat="true" ht="12.75" customHeight="true">
      <c r="A5836" s="33" t="str">
        <f t="shared" si="364"/>
        <v>JUP - CGS</v>
      </c>
      <c r="B5836" s="33" t="str">
        <f t="shared" si="365"/>
        <v>JUP</v>
      </c>
      <c r="C5836" s="33" t="str">
        <f t="shared" si="366"/>
        <v>51013-0000</v>
      </c>
      <c r="D5836" s="64" t="s">
        <v>6922</v>
      </c>
      <c r="E5836" s="64" t="s">
        <v>3979</v>
      </c>
      <c r="F5836" s="64" t="s">
        <v>230</v>
      </c>
      <c r="G5836" s="64" t="s">
        <v>3740</v>
      </c>
      <c r="H5836" s="64" t="s">
        <v>1875</v>
      </c>
      <c r="I5836" s="64" t="s">
        <v>3980</v>
      </c>
      <c r="J5836" s="67">
        <v>0</v>
      </c>
      <c r="K5836" s="62">
        <v>2225</v>
      </c>
      <c r="L5836" s="33" t="e">
        <f>HLOOKUP(B5836,#REF!,1,0)</f>
        <v>#REF!</v>
      </c>
      <c r="M5836" s="33" t="str">
        <f t="shared" si="367"/>
        <v>P&amp;L</v>
      </c>
    </row>
    <row r="5837" spans="1:13" s="33" customFormat="true" ht="12.75" customHeight="true">
      <c r="A5837" s="33" t="str">
        <f t="shared" si="364"/>
        <v>JUP - CGS</v>
      </c>
      <c r="B5837" s="33" t="str">
        <f t="shared" si="365"/>
        <v>JUP</v>
      </c>
      <c r="C5837" s="33" t="str">
        <f t="shared" si="366"/>
        <v>51015-0000</v>
      </c>
      <c r="D5837" s="64" t="s">
        <v>6923</v>
      </c>
      <c r="E5837" s="64" t="s">
        <v>3755</v>
      </c>
      <c r="F5837" s="64" t="s">
        <v>230</v>
      </c>
      <c r="G5837" s="64" t="s">
        <v>3740</v>
      </c>
      <c r="H5837" s="64" t="s">
        <v>1875</v>
      </c>
      <c r="I5837" s="64" t="s">
        <v>3756</v>
      </c>
      <c r="J5837" s="67">
        <v>0</v>
      </c>
      <c r="K5837" s="62">
        <v>0</v>
      </c>
      <c r="L5837" s="33" t="e">
        <f>HLOOKUP(B5837,#REF!,1,0)</f>
        <v>#REF!</v>
      </c>
      <c r="M5837" s="33" t="str">
        <f t="shared" si="367"/>
        <v>P&amp;L</v>
      </c>
    </row>
    <row r="5838" spans="1:13" s="33" customFormat="true" ht="12.75" customHeight="true">
      <c r="A5838" s="33" t="str">
        <f t="shared" si="364"/>
        <v>JUP - CGS</v>
      </c>
      <c r="B5838" s="33" t="str">
        <f t="shared" si="365"/>
        <v>JUP</v>
      </c>
      <c r="C5838" s="33" t="str">
        <f t="shared" si="366"/>
        <v>51017-0000</v>
      </c>
      <c r="D5838" s="64" t="s">
        <v>6924</v>
      </c>
      <c r="E5838" s="64" t="s">
        <v>3758</v>
      </c>
      <c r="F5838" s="64" t="s">
        <v>230</v>
      </c>
      <c r="G5838" s="64" t="s">
        <v>3160</v>
      </c>
      <c r="H5838" s="64" t="s">
        <v>1875</v>
      </c>
      <c r="I5838" s="64" t="s">
        <v>3759</v>
      </c>
      <c r="J5838" s="67">
        <v>72.98</v>
      </c>
      <c r="K5838" s="62">
        <v>1044.8</v>
      </c>
      <c r="L5838" s="33" t="e">
        <f>HLOOKUP(B5838,#REF!,1,0)</f>
        <v>#REF!</v>
      </c>
      <c r="M5838" s="33" t="str">
        <f t="shared" si="367"/>
        <v>P&amp;L</v>
      </c>
    </row>
    <row r="5839" spans="1:13" s="33" customFormat="true" ht="12.75" customHeight="true">
      <c r="A5839" s="33" t="str">
        <f t="shared" si="364"/>
        <v>JUP - CGS</v>
      </c>
      <c r="B5839" s="33" t="str">
        <f t="shared" si="365"/>
        <v>JUP</v>
      </c>
      <c r="C5839" s="33" t="str">
        <f t="shared" si="366"/>
        <v>51020-0000</v>
      </c>
      <c r="D5839" s="64" t="s">
        <v>6925</v>
      </c>
      <c r="E5839" s="64" t="s">
        <v>3763</v>
      </c>
      <c r="F5839" s="64" t="s">
        <v>230</v>
      </c>
      <c r="G5839" s="64" t="s">
        <v>3740</v>
      </c>
      <c r="H5839" s="64" t="s">
        <v>1875</v>
      </c>
      <c r="I5839" s="64" t="s">
        <v>3345</v>
      </c>
      <c r="J5839" s="67">
        <v>0</v>
      </c>
      <c r="K5839" s="62">
        <v>171.56</v>
      </c>
      <c r="L5839" s="33" t="e">
        <f>HLOOKUP(B5839,#REF!,1,0)</f>
        <v>#REF!</v>
      </c>
      <c r="M5839" s="33" t="str">
        <f t="shared" si="367"/>
        <v>P&amp;L</v>
      </c>
    </row>
    <row r="5840" spans="1:13" s="33" customFormat="true" ht="12.75" customHeight="true">
      <c r="A5840" s="33" t="str">
        <f t="shared" si="364"/>
        <v>JUP - CGS</v>
      </c>
      <c r="B5840" s="33" t="str">
        <f t="shared" si="365"/>
        <v>JUP</v>
      </c>
      <c r="C5840" s="33" t="str">
        <f t="shared" si="366"/>
        <v>51025-0000</v>
      </c>
      <c r="D5840" s="64" t="s">
        <v>6926</v>
      </c>
      <c r="E5840" s="64" t="s">
        <v>3988</v>
      </c>
      <c r="F5840" s="64" t="s">
        <v>230</v>
      </c>
      <c r="G5840" s="64" t="s">
        <v>3740</v>
      </c>
      <c r="H5840" s="64" t="s">
        <v>1875</v>
      </c>
      <c r="I5840" s="64" t="s">
        <v>3989</v>
      </c>
      <c r="J5840" s="67">
        <v>312.21</v>
      </c>
      <c r="K5840" s="62">
        <v>3172.49</v>
      </c>
      <c r="L5840" s="33" t="e">
        <f>HLOOKUP(B5840,#REF!,1,0)</f>
        <v>#REF!</v>
      </c>
      <c r="M5840" s="33" t="str">
        <f t="shared" si="367"/>
        <v>P&amp;L</v>
      </c>
    </row>
    <row r="5841" spans="1:13" s="33" customFormat="true" ht="12.75" customHeight="true">
      <c r="A5841" s="33" t="str">
        <f t="shared" si="364"/>
        <v>JUP - CGS</v>
      </c>
      <c r="B5841" s="33" t="str">
        <f t="shared" si="365"/>
        <v>JUP</v>
      </c>
      <c r="C5841" s="33" t="str">
        <f t="shared" si="366"/>
        <v>52001-0000</v>
      </c>
      <c r="D5841" s="64" t="s">
        <v>6927</v>
      </c>
      <c r="E5841" s="64" t="s">
        <v>3768</v>
      </c>
      <c r="F5841" s="64" t="s">
        <v>230</v>
      </c>
      <c r="G5841" s="64" t="s">
        <v>3769</v>
      </c>
      <c r="H5841" s="64" t="s">
        <v>1875</v>
      </c>
      <c r="I5841" s="64" t="s">
        <v>3770</v>
      </c>
      <c r="J5841" s="67">
        <v>0</v>
      </c>
      <c r="K5841" s="62">
        <v>200.2</v>
      </c>
      <c r="L5841" s="33" t="e">
        <f>HLOOKUP(B5841,#REF!,1,0)</f>
        <v>#REF!</v>
      </c>
      <c r="M5841" s="33" t="str">
        <f t="shared" si="367"/>
        <v>P&amp;L</v>
      </c>
    </row>
    <row r="5842" spans="1:13" s="33" customFormat="true" ht="12.75" customHeight="true">
      <c r="A5842" s="33" t="str">
        <f t="shared" si="364"/>
        <v>JUP - CGS</v>
      </c>
      <c r="B5842" s="33" t="str">
        <f t="shared" si="365"/>
        <v>JUP</v>
      </c>
      <c r="C5842" s="33" t="str">
        <f t="shared" si="366"/>
        <v>52003-0000</v>
      </c>
      <c r="D5842" s="64" t="s">
        <v>6928</v>
      </c>
      <c r="E5842" s="64" t="s">
        <v>3772</v>
      </c>
      <c r="F5842" s="64" t="s">
        <v>230</v>
      </c>
      <c r="G5842" s="64" t="s">
        <v>3769</v>
      </c>
      <c r="H5842" s="64" t="s">
        <v>1875</v>
      </c>
      <c r="I5842" s="64" t="s">
        <v>3773</v>
      </c>
      <c r="J5842" s="67">
        <v>0</v>
      </c>
      <c r="K5842" s="62">
        <v>0</v>
      </c>
      <c r="L5842" s="33" t="e">
        <f>HLOOKUP(B5842,#REF!,1,0)</f>
        <v>#REF!</v>
      </c>
      <c r="M5842" s="33" t="str">
        <f t="shared" si="367"/>
        <v>P&amp;L</v>
      </c>
    </row>
    <row r="5843" spans="1:13" s="33" customFormat="true" ht="12.75" customHeight="true">
      <c r="A5843" s="33" t="str">
        <f t="shared" si="364"/>
        <v>JUP - CGS</v>
      </c>
      <c r="B5843" s="33" t="str">
        <f t="shared" si="365"/>
        <v>JUP</v>
      </c>
      <c r="C5843" s="33" t="str">
        <f t="shared" si="366"/>
        <v>52006-0000</v>
      </c>
      <c r="D5843" s="64" t="s">
        <v>6929</v>
      </c>
      <c r="E5843" s="64" t="s">
        <v>3778</v>
      </c>
      <c r="F5843" s="64" t="s">
        <v>230</v>
      </c>
      <c r="G5843" s="64" t="s">
        <v>3769</v>
      </c>
      <c r="H5843" s="64" t="s">
        <v>1875</v>
      </c>
      <c r="I5843" s="64" t="s">
        <v>3779</v>
      </c>
      <c r="J5843" s="67">
        <v>-425</v>
      </c>
      <c r="K5843" s="62">
        <v>-372.04</v>
      </c>
      <c r="L5843" s="33" t="e">
        <f>HLOOKUP(B5843,#REF!,1,0)</f>
        <v>#REF!</v>
      </c>
      <c r="M5843" s="33" t="str">
        <f t="shared" si="367"/>
        <v>P&amp;L</v>
      </c>
    </row>
    <row r="5844" spans="1:13" s="33" customFormat="true" ht="12.75" customHeight="true">
      <c r="A5844" s="33" t="str">
        <f t="shared" si="364"/>
        <v>JUP - CGS</v>
      </c>
      <c r="B5844" s="33" t="str">
        <f t="shared" si="365"/>
        <v>JUP</v>
      </c>
      <c r="C5844" s="33" t="str">
        <f t="shared" si="366"/>
        <v>53001-0000</v>
      </c>
      <c r="D5844" s="64" t="s">
        <v>6930</v>
      </c>
      <c r="E5844" s="64" t="s">
        <v>3781</v>
      </c>
      <c r="F5844" s="64" t="s">
        <v>230</v>
      </c>
      <c r="G5844" s="64" t="s">
        <v>3160</v>
      </c>
      <c r="H5844" s="64" t="s">
        <v>1875</v>
      </c>
      <c r="I5844" s="64" t="s">
        <v>3782</v>
      </c>
      <c r="J5844" s="67">
        <v>0</v>
      </c>
      <c r="K5844" s="62">
        <v>28.08</v>
      </c>
      <c r="L5844" s="33" t="e">
        <f>HLOOKUP(B5844,#REF!,1,0)</f>
        <v>#REF!</v>
      </c>
      <c r="M5844" s="33" t="str">
        <f t="shared" si="367"/>
        <v>P&amp;L</v>
      </c>
    </row>
    <row r="5845" spans="1:13" s="33" customFormat="true" ht="12.75" customHeight="true">
      <c r="A5845" s="33" t="str">
        <f t="shared" si="364"/>
        <v>JUP - CGS</v>
      </c>
      <c r="B5845" s="33" t="str">
        <f t="shared" si="365"/>
        <v>JUP</v>
      </c>
      <c r="C5845" s="33" t="str">
        <f t="shared" si="366"/>
        <v>53002-0000</v>
      </c>
      <c r="D5845" s="64" t="s">
        <v>6931</v>
      </c>
      <c r="E5845" s="64" t="s">
        <v>3784</v>
      </c>
      <c r="F5845" s="64" t="s">
        <v>230</v>
      </c>
      <c r="G5845" s="64" t="s">
        <v>3160</v>
      </c>
      <c r="H5845" s="64" t="s">
        <v>1875</v>
      </c>
      <c r="I5845" s="64" t="s">
        <v>3785</v>
      </c>
      <c r="J5845" s="67">
        <v>760.23</v>
      </c>
      <c r="K5845" s="62">
        <v>7634.79</v>
      </c>
      <c r="L5845" s="33" t="e">
        <f>HLOOKUP(B5845,#REF!,1,0)</f>
        <v>#REF!</v>
      </c>
      <c r="M5845" s="33" t="str">
        <f t="shared" si="367"/>
        <v>P&amp;L</v>
      </c>
    </row>
    <row r="5846" spans="1:13" s="33" customFormat="true" ht="12.75" customHeight="true">
      <c r="A5846" s="33" t="str">
        <f t="shared" si="364"/>
        <v>JUP - CGS</v>
      </c>
      <c r="B5846" s="33" t="str">
        <f t="shared" si="365"/>
        <v>JUP</v>
      </c>
      <c r="C5846" s="33" t="str">
        <f t="shared" si="366"/>
        <v>53003-0000</v>
      </c>
      <c r="D5846" s="64" t="s">
        <v>6932</v>
      </c>
      <c r="E5846" s="64" t="s">
        <v>3787</v>
      </c>
      <c r="F5846" s="64" t="s">
        <v>230</v>
      </c>
      <c r="G5846" s="64" t="s">
        <v>3160</v>
      </c>
      <c r="H5846" s="64" t="s">
        <v>1875</v>
      </c>
      <c r="I5846" s="64" t="s">
        <v>3788</v>
      </c>
      <c r="J5846" s="67">
        <v>860.61</v>
      </c>
      <c r="K5846" s="62">
        <v>4260.34</v>
      </c>
      <c r="L5846" s="33" t="e">
        <f>HLOOKUP(B5846,#REF!,1,0)</f>
        <v>#REF!</v>
      </c>
      <c r="M5846" s="33" t="str">
        <f t="shared" si="367"/>
        <v>P&amp;L</v>
      </c>
    </row>
    <row r="5847" spans="1:13" s="33" customFormat="true" ht="12.75" customHeight="true">
      <c r="A5847" s="33" t="str">
        <f t="shared" si="364"/>
        <v>JUP - CGS</v>
      </c>
      <c r="B5847" s="33" t="str">
        <f t="shared" si="365"/>
        <v>JUP</v>
      </c>
      <c r="C5847" s="33" t="str">
        <f t="shared" si="366"/>
        <v>53004-0000</v>
      </c>
      <c r="D5847" s="64" t="s">
        <v>6933</v>
      </c>
      <c r="E5847" s="64" t="s">
        <v>3790</v>
      </c>
      <c r="F5847" s="64" t="s">
        <v>230</v>
      </c>
      <c r="G5847" s="64" t="s">
        <v>3160</v>
      </c>
      <c r="H5847" s="64" t="s">
        <v>1875</v>
      </c>
      <c r="I5847" s="64" t="s">
        <v>3791</v>
      </c>
      <c r="J5847" s="67">
        <v>353.58</v>
      </c>
      <c r="K5847" s="62">
        <v>4627.21</v>
      </c>
      <c r="L5847" s="33" t="e">
        <f>HLOOKUP(B5847,#REF!,1,0)</f>
        <v>#REF!</v>
      </c>
      <c r="M5847" s="33" t="str">
        <f t="shared" si="367"/>
        <v>P&amp;L</v>
      </c>
    </row>
    <row r="5848" spans="1:13" s="33" customFormat="true" ht="12.75" customHeight="true">
      <c r="A5848" s="33" t="str">
        <f t="shared" si="364"/>
        <v>JUP - CGS</v>
      </c>
      <c r="B5848" s="33" t="str">
        <f t="shared" si="365"/>
        <v>JUP</v>
      </c>
      <c r="C5848" s="33" t="str">
        <f t="shared" si="366"/>
        <v>53005-0000</v>
      </c>
      <c r="D5848" s="64" t="s">
        <v>6934</v>
      </c>
      <c r="E5848" s="64" t="s">
        <v>3793</v>
      </c>
      <c r="F5848" s="64" t="s">
        <v>230</v>
      </c>
      <c r="G5848" s="64" t="s">
        <v>3160</v>
      </c>
      <c r="H5848" s="64" t="s">
        <v>1875</v>
      </c>
      <c r="I5848" s="64" t="s">
        <v>3794</v>
      </c>
      <c r="J5848" s="67">
        <v>1089.46</v>
      </c>
      <c r="K5848" s="62">
        <v>6416.34</v>
      </c>
      <c r="L5848" s="33" t="e">
        <f>HLOOKUP(B5848,#REF!,1,0)</f>
        <v>#REF!</v>
      </c>
      <c r="M5848" s="33" t="str">
        <f t="shared" si="367"/>
        <v>P&amp;L</v>
      </c>
    </row>
    <row r="5849" spans="1:13" s="33" customFormat="true" ht="12.75" customHeight="true">
      <c r="A5849" s="33" t="str">
        <f t="shared" si="364"/>
        <v>JUP - CGS</v>
      </c>
      <c r="B5849" s="33" t="str">
        <f t="shared" si="365"/>
        <v>JUP</v>
      </c>
      <c r="C5849" s="33" t="str">
        <f t="shared" si="366"/>
        <v>53006-0000</v>
      </c>
      <c r="D5849" s="64" t="s">
        <v>6935</v>
      </c>
      <c r="E5849" s="64" t="s">
        <v>3796</v>
      </c>
      <c r="F5849" s="64" t="s">
        <v>230</v>
      </c>
      <c r="G5849" s="64" t="s">
        <v>3160</v>
      </c>
      <c r="H5849" s="64" t="s">
        <v>1875</v>
      </c>
      <c r="I5849" s="64" t="s">
        <v>3797</v>
      </c>
      <c r="J5849" s="67">
        <v>1655.96</v>
      </c>
      <c r="K5849" s="62">
        <v>9680.64</v>
      </c>
      <c r="L5849" s="33" t="e">
        <f>HLOOKUP(B5849,#REF!,1,0)</f>
        <v>#REF!</v>
      </c>
      <c r="M5849" s="33" t="str">
        <f t="shared" si="367"/>
        <v>P&amp;L</v>
      </c>
    </row>
    <row r="5850" spans="1:13" s="33" customFormat="true" ht="12.75" customHeight="true">
      <c r="A5850" s="33" t="str">
        <f t="shared" si="364"/>
        <v>JUP - CGS</v>
      </c>
      <c r="B5850" s="33" t="str">
        <f t="shared" si="365"/>
        <v>JUP</v>
      </c>
      <c r="C5850" s="33" t="str">
        <f t="shared" si="366"/>
        <v>54001-0000</v>
      </c>
      <c r="D5850" s="64" t="s">
        <v>6936</v>
      </c>
      <c r="E5850" s="64" t="s">
        <v>4008</v>
      </c>
      <c r="F5850" s="64" t="s">
        <v>230</v>
      </c>
      <c r="G5850" s="64" t="s">
        <v>3800</v>
      </c>
      <c r="H5850" s="64" t="s">
        <v>1875</v>
      </c>
      <c r="I5850" s="64" t="s">
        <v>4009</v>
      </c>
      <c r="J5850" s="67">
        <v>-125.06</v>
      </c>
      <c r="K5850" s="62">
        <v>-1449.72</v>
      </c>
      <c r="L5850" s="33" t="e">
        <f>HLOOKUP(B5850,#REF!,1,0)</f>
        <v>#REF!</v>
      </c>
      <c r="M5850" s="33" t="str">
        <f t="shared" si="367"/>
        <v>P&amp;L</v>
      </c>
    </row>
    <row r="5851" spans="1:13" s="33" customFormat="true" ht="12.75" customHeight="true">
      <c r="A5851" s="33" t="str">
        <f t="shared" si="364"/>
        <v>JUP - CGS</v>
      </c>
      <c r="B5851" s="33" t="str">
        <f t="shared" si="365"/>
        <v>JUP</v>
      </c>
      <c r="C5851" s="33" t="str">
        <f t="shared" si="366"/>
        <v>54002-0000</v>
      </c>
      <c r="D5851" s="64" t="s">
        <v>6937</v>
      </c>
      <c r="E5851" s="64" t="s">
        <v>3799</v>
      </c>
      <c r="F5851" s="64" t="s">
        <v>230</v>
      </c>
      <c r="G5851" s="64" t="s">
        <v>3800</v>
      </c>
      <c r="H5851" s="64" t="s">
        <v>1875</v>
      </c>
      <c r="I5851" s="64" t="s">
        <v>3801</v>
      </c>
      <c r="J5851" s="67">
        <v>0</v>
      </c>
      <c r="K5851" s="62">
        <v>6980.6</v>
      </c>
      <c r="L5851" s="33" t="e">
        <f>HLOOKUP(B5851,#REF!,1,0)</f>
        <v>#REF!</v>
      </c>
      <c r="M5851" s="33" t="str">
        <f t="shared" si="367"/>
        <v>P&amp;L</v>
      </c>
    </row>
    <row r="5852" spans="1:13" s="33" customFormat="true" ht="12.75" customHeight="true">
      <c r="A5852" s="33" t="str">
        <f t="shared" si="364"/>
        <v>JUP - CGS</v>
      </c>
      <c r="B5852" s="33" t="str">
        <f t="shared" si="365"/>
        <v>JUP</v>
      </c>
      <c r="C5852" s="33" t="str">
        <f t="shared" si="366"/>
        <v>54003-0000</v>
      </c>
      <c r="D5852" s="64" t="s">
        <v>6938</v>
      </c>
      <c r="E5852" s="64" t="s">
        <v>3803</v>
      </c>
      <c r="F5852" s="64" t="s">
        <v>230</v>
      </c>
      <c r="G5852" s="64" t="s">
        <v>3800</v>
      </c>
      <c r="H5852" s="64" t="s">
        <v>1875</v>
      </c>
      <c r="I5852" s="64" t="s">
        <v>3804</v>
      </c>
      <c r="J5852" s="67">
        <v>0</v>
      </c>
      <c r="K5852" s="62">
        <v>0</v>
      </c>
      <c r="L5852" s="33" t="e">
        <f>HLOOKUP(B5852,#REF!,1,0)</f>
        <v>#REF!</v>
      </c>
      <c r="M5852" s="33" t="str">
        <f t="shared" si="367"/>
        <v>P&amp;L</v>
      </c>
    </row>
    <row r="5853" spans="1:13" s="33" customFormat="true" ht="12.75" customHeight="true">
      <c r="A5853" s="33" t="str">
        <f t="shared" si="364"/>
        <v>JUP - CGS</v>
      </c>
      <c r="B5853" s="33" t="str">
        <f t="shared" si="365"/>
        <v>JUP</v>
      </c>
      <c r="C5853" s="33" t="str">
        <f t="shared" si="366"/>
        <v>54004-0000</v>
      </c>
      <c r="D5853" s="64" t="s">
        <v>6939</v>
      </c>
      <c r="E5853" s="64" t="s">
        <v>3806</v>
      </c>
      <c r="F5853" s="64" t="s">
        <v>230</v>
      </c>
      <c r="G5853" s="64" t="s">
        <v>3800</v>
      </c>
      <c r="H5853" s="64" t="s">
        <v>1875</v>
      </c>
      <c r="I5853" s="64" t="s">
        <v>3807</v>
      </c>
      <c r="J5853" s="67">
        <v>1580</v>
      </c>
      <c r="K5853" s="62">
        <v>16566.11</v>
      </c>
      <c r="L5853" s="33" t="e">
        <f>HLOOKUP(B5853,#REF!,1,0)</f>
        <v>#REF!</v>
      </c>
      <c r="M5853" s="33" t="str">
        <f t="shared" si="367"/>
        <v>P&amp;L</v>
      </c>
    </row>
    <row r="5854" spans="1:13" s="33" customFormat="true" ht="12.75" customHeight="true">
      <c r="A5854" s="33" t="str">
        <f t="shared" si="364"/>
        <v>JUP - CGS</v>
      </c>
      <c r="B5854" s="33" t="str">
        <f t="shared" si="365"/>
        <v>JUP</v>
      </c>
      <c r="C5854" s="33" t="str">
        <f t="shared" si="366"/>
        <v>54005-0000</v>
      </c>
      <c r="D5854" s="64" t="s">
        <v>6940</v>
      </c>
      <c r="E5854" s="64" t="s">
        <v>3809</v>
      </c>
      <c r="F5854" s="64" t="s">
        <v>230</v>
      </c>
      <c r="G5854" s="64" t="s">
        <v>3800</v>
      </c>
      <c r="H5854" s="64" t="s">
        <v>1875</v>
      </c>
      <c r="I5854" s="64" t="s">
        <v>3810</v>
      </c>
      <c r="J5854" s="67">
        <v>11.73</v>
      </c>
      <c r="K5854" s="62">
        <v>190.51</v>
      </c>
      <c r="L5854" s="33" t="e">
        <f>HLOOKUP(B5854,#REF!,1,0)</f>
        <v>#REF!</v>
      </c>
      <c r="M5854" s="33" t="str">
        <f t="shared" si="367"/>
        <v>P&amp;L</v>
      </c>
    </row>
    <row r="5855" spans="1:13" s="33" customFormat="true" ht="12.75" customHeight="true">
      <c r="A5855" s="33" t="str">
        <f t="shared" si="364"/>
        <v>JUP - CGS</v>
      </c>
      <c r="B5855" s="33" t="str">
        <f t="shared" si="365"/>
        <v>JUP</v>
      </c>
      <c r="C5855" s="33" t="str">
        <f t="shared" si="366"/>
        <v>54006-0000</v>
      </c>
      <c r="D5855" s="64" t="s">
        <v>6941</v>
      </c>
      <c r="E5855" s="64" t="s">
        <v>3812</v>
      </c>
      <c r="F5855" s="64" t="s">
        <v>230</v>
      </c>
      <c r="G5855" s="64" t="s">
        <v>3800</v>
      </c>
      <c r="H5855" s="64" t="s">
        <v>1875</v>
      </c>
      <c r="I5855" s="64" t="s">
        <v>3003</v>
      </c>
      <c r="J5855" s="67">
        <v>111.3</v>
      </c>
      <c r="K5855" s="62">
        <v>1980.36</v>
      </c>
      <c r="L5855" s="33" t="e">
        <f>HLOOKUP(B5855,#REF!,1,0)</f>
        <v>#REF!</v>
      </c>
      <c r="M5855" s="33" t="str">
        <f t="shared" si="367"/>
        <v>P&amp;L</v>
      </c>
    </row>
    <row r="5856" spans="1:13" s="33" customFormat="true" ht="12.75" customHeight="true">
      <c r="A5856" s="33" t="str">
        <f t="shared" si="364"/>
        <v>JUP - CGS</v>
      </c>
      <c r="B5856" s="33" t="str">
        <f t="shared" si="365"/>
        <v>JUP</v>
      </c>
      <c r="C5856" s="33" t="str">
        <f t="shared" si="366"/>
        <v>54007-0000</v>
      </c>
      <c r="D5856" s="64" t="s">
        <v>6942</v>
      </c>
      <c r="E5856" s="64" t="s">
        <v>4182</v>
      </c>
      <c r="F5856" s="64" t="s">
        <v>230</v>
      </c>
      <c r="G5856" s="64" t="s">
        <v>3800</v>
      </c>
      <c r="H5856" s="64" t="s">
        <v>1875</v>
      </c>
      <c r="I5856" s="64" t="s">
        <v>3815</v>
      </c>
      <c r="J5856" s="67">
        <v>0</v>
      </c>
      <c r="K5856" s="62">
        <v>645.5</v>
      </c>
      <c r="L5856" s="33" t="e">
        <f>HLOOKUP(B5856,#REF!,1,0)</f>
        <v>#REF!</v>
      </c>
      <c r="M5856" s="33" t="str">
        <f t="shared" si="367"/>
        <v>P&amp;L</v>
      </c>
    </row>
    <row r="5857" spans="1:13" s="33" customFormat="true" ht="12.75" customHeight="true">
      <c r="A5857" s="33" t="str">
        <f t="shared" si="364"/>
        <v>JUP - CGS</v>
      </c>
      <c r="B5857" s="33" t="str">
        <f t="shared" si="365"/>
        <v>JUP</v>
      </c>
      <c r="C5857" s="33" t="str">
        <f t="shared" si="366"/>
        <v>54008-0000</v>
      </c>
      <c r="D5857" s="64" t="s">
        <v>6943</v>
      </c>
      <c r="E5857" s="64" t="s">
        <v>4017</v>
      </c>
      <c r="F5857" s="64" t="s">
        <v>230</v>
      </c>
      <c r="G5857" s="64" t="s">
        <v>3800</v>
      </c>
      <c r="H5857" s="64" t="s">
        <v>1875</v>
      </c>
      <c r="I5857" s="64" t="s">
        <v>4018</v>
      </c>
      <c r="J5857" s="67">
        <v>47.4</v>
      </c>
      <c r="K5857" s="62">
        <v>-47.4</v>
      </c>
      <c r="L5857" s="33" t="e">
        <f>HLOOKUP(B5857,#REF!,1,0)</f>
        <v>#REF!</v>
      </c>
      <c r="M5857" s="33" t="str">
        <f t="shared" si="367"/>
        <v>P&amp;L</v>
      </c>
    </row>
    <row r="5858" spans="1:13" s="33" customFormat="true" ht="12.75" customHeight="true">
      <c r="A5858" s="33" t="str">
        <f t="shared" si="364"/>
        <v>JUP - PM Expenses</v>
      </c>
      <c r="B5858" s="33" t="str">
        <f t="shared" si="365"/>
        <v>JUP</v>
      </c>
      <c r="C5858" s="33" t="str">
        <f t="shared" si="366"/>
        <v>55501-0000</v>
      </c>
      <c r="D5858" s="64" t="s">
        <v>6944</v>
      </c>
      <c r="E5858" s="64" t="s">
        <v>3817</v>
      </c>
      <c r="F5858" s="64" t="s">
        <v>230</v>
      </c>
      <c r="G5858" s="64" t="s">
        <v>3818</v>
      </c>
      <c r="H5858" s="64" t="s">
        <v>3819</v>
      </c>
      <c r="I5858" s="64" t="s">
        <v>3820</v>
      </c>
      <c r="J5858" s="67">
        <v>0</v>
      </c>
      <c r="K5858" s="62">
        <v>150</v>
      </c>
      <c r="L5858" s="33" t="e">
        <f>HLOOKUP(B5858,#REF!,1,0)</f>
        <v>#REF!</v>
      </c>
      <c r="M5858" s="33" t="str">
        <f t="shared" si="367"/>
        <v>P&amp;L</v>
      </c>
    </row>
    <row r="5859" spans="1:13" s="33" customFormat="true" ht="12.75" customHeight="true">
      <c r="A5859" s="33" t="str">
        <f t="shared" si="364"/>
        <v>JUP - PM Expenses</v>
      </c>
      <c r="B5859" s="33" t="str">
        <f t="shared" si="365"/>
        <v>JUP</v>
      </c>
      <c r="C5859" s="33" t="str">
        <f t="shared" si="366"/>
        <v>55502-0000</v>
      </c>
      <c r="D5859" s="64" t="s">
        <v>6945</v>
      </c>
      <c r="E5859" s="64" t="s">
        <v>3822</v>
      </c>
      <c r="F5859" s="64" t="s">
        <v>230</v>
      </c>
      <c r="G5859" s="64" t="s">
        <v>3818</v>
      </c>
      <c r="H5859" s="64" t="s">
        <v>3819</v>
      </c>
      <c r="I5859" s="64" t="s">
        <v>3823</v>
      </c>
      <c r="J5859" s="67">
        <v>0</v>
      </c>
      <c r="K5859" s="62">
        <v>7947.59</v>
      </c>
      <c r="L5859" s="33" t="e">
        <f>HLOOKUP(B5859,#REF!,1,0)</f>
        <v>#REF!</v>
      </c>
      <c r="M5859" s="33" t="str">
        <f t="shared" si="367"/>
        <v>P&amp;L</v>
      </c>
    </row>
    <row r="5860" spans="1:13" s="33" customFormat="true" ht="12.75" customHeight="true">
      <c r="A5860" s="33" t="str">
        <f t="shared" si="364"/>
        <v>JUP - PM Expenses</v>
      </c>
      <c r="B5860" s="33" t="str">
        <f t="shared" si="365"/>
        <v>JUP</v>
      </c>
      <c r="C5860" s="33" t="str">
        <f t="shared" si="366"/>
        <v>55503-0000</v>
      </c>
      <c r="D5860" s="64" t="s">
        <v>6946</v>
      </c>
      <c r="E5860" s="64" t="s">
        <v>3825</v>
      </c>
      <c r="F5860" s="64" t="s">
        <v>230</v>
      </c>
      <c r="G5860" s="64" t="s">
        <v>3818</v>
      </c>
      <c r="H5860" s="64" t="s">
        <v>3819</v>
      </c>
      <c r="I5860" s="64" t="s">
        <v>3826</v>
      </c>
      <c r="J5860" s="67">
        <v>706.95</v>
      </c>
      <c r="K5860" s="62">
        <v>3219.02</v>
      </c>
      <c r="L5860" s="33" t="e">
        <f>HLOOKUP(B5860,#REF!,1,0)</f>
        <v>#REF!</v>
      </c>
      <c r="M5860" s="33" t="str">
        <f t="shared" si="367"/>
        <v>P&amp;L</v>
      </c>
    </row>
    <row r="5861" spans="1:13" s="33" customFormat="true" ht="12.75" customHeight="true">
      <c r="A5861" s="33" t="str">
        <f t="shared" si="364"/>
        <v>JUP - PM Expenses</v>
      </c>
      <c r="B5861" s="33" t="str">
        <f t="shared" si="365"/>
        <v>JUP</v>
      </c>
      <c r="C5861" s="33" t="str">
        <f t="shared" si="366"/>
        <v>55505-0000</v>
      </c>
      <c r="D5861" s="64" t="s">
        <v>6947</v>
      </c>
      <c r="E5861" s="64" t="s">
        <v>3828</v>
      </c>
      <c r="F5861" s="64" t="s">
        <v>230</v>
      </c>
      <c r="G5861" s="64" t="s">
        <v>3818</v>
      </c>
      <c r="H5861" s="64" t="s">
        <v>3819</v>
      </c>
      <c r="I5861" s="64" t="s">
        <v>3829</v>
      </c>
      <c r="J5861" s="67">
        <v>0</v>
      </c>
      <c r="K5861" s="62">
        <v>4413.7</v>
      </c>
      <c r="L5861" s="33" t="e">
        <f>HLOOKUP(B5861,#REF!,1,0)</f>
        <v>#REF!</v>
      </c>
      <c r="M5861" s="33" t="str">
        <f t="shared" si="367"/>
        <v>P&amp;L</v>
      </c>
    </row>
    <row r="5862" spans="1:13" s="33" customFormat="true" ht="12.75" customHeight="true">
      <c r="A5862" s="33" t="str">
        <f t="shared" si="364"/>
        <v>JUP - PM Expenses</v>
      </c>
      <c r="B5862" s="33" t="str">
        <f t="shared" si="365"/>
        <v>JUP</v>
      </c>
      <c r="C5862" s="33" t="str">
        <f t="shared" si="366"/>
        <v>55506-0000</v>
      </c>
      <c r="D5862" s="64" t="s">
        <v>6948</v>
      </c>
      <c r="E5862" s="64" t="s">
        <v>3831</v>
      </c>
      <c r="F5862" s="64" t="s">
        <v>230</v>
      </c>
      <c r="G5862" s="64" t="s">
        <v>3818</v>
      </c>
      <c r="H5862" s="64" t="s">
        <v>3819</v>
      </c>
      <c r="I5862" s="64" t="s">
        <v>3832</v>
      </c>
      <c r="J5862" s="67">
        <v>0</v>
      </c>
      <c r="K5862" s="62">
        <v>7747.78</v>
      </c>
      <c r="L5862" s="33" t="e">
        <f>HLOOKUP(B5862,#REF!,1,0)</f>
        <v>#REF!</v>
      </c>
      <c r="M5862" s="33" t="str">
        <f t="shared" si="367"/>
        <v>P&amp;L</v>
      </c>
    </row>
    <row r="5863" spans="1:13" s="33" customFormat="true" ht="12.75" customHeight="true">
      <c r="A5863" s="33" t="str">
        <f t="shared" si="364"/>
        <v>JUP - PM Expenses</v>
      </c>
      <c r="B5863" s="33" t="str">
        <f t="shared" si="365"/>
        <v>JUP</v>
      </c>
      <c r="C5863" s="33" t="str">
        <f t="shared" si="366"/>
        <v>55507-0000</v>
      </c>
      <c r="D5863" s="64" t="s">
        <v>6949</v>
      </c>
      <c r="E5863" s="64" t="s">
        <v>3834</v>
      </c>
      <c r="F5863" s="64" t="s">
        <v>230</v>
      </c>
      <c r="G5863" s="64" t="s">
        <v>3818</v>
      </c>
      <c r="H5863" s="64" t="s">
        <v>3819</v>
      </c>
      <c r="I5863" s="64" t="s">
        <v>3835</v>
      </c>
      <c r="J5863" s="67">
        <v>0</v>
      </c>
      <c r="K5863" s="62">
        <v>430</v>
      </c>
      <c r="L5863" s="33" t="e">
        <f>HLOOKUP(B5863,#REF!,1,0)</f>
        <v>#REF!</v>
      </c>
      <c r="M5863" s="33" t="str">
        <f t="shared" si="367"/>
        <v>P&amp;L</v>
      </c>
    </row>
    <row r="5864" spans="1:13" s="33" customFormat="true" ht="12.75" customHeight="true">
      <c r="A5864" s="33" t="str">
        <f t="shared" si="364"/>
        <v>JUP - PM Expenses</v>
      </c>
      <c r="B5864" s="33" t="str">
        <f t="shared" si="365"/>
        <v>JUP</v>
      </c>
      <c r="C5864" s="33" t="str">
        <f t="shared" si="366"/>
        <v>55508-0000</v>
      </c>
      <c r="D5864" s="64" t="s">
        <v>6950</v>
      </c>
      <c r="E5864" s="64" t="s">
        <v>4351</v>
      </c>
      <c r="F5864" s="64" t="s">
        <v>230</v>
      </c>
      <c r="G5864" s="64" t="s">
        <v>3818</v>
      </c>
      <c r="H5864" s="64" t="s">
        <v>3819</v>
      </c>
      <c r="I5864" s="64" t="s">
        <v>4352</v>
      </c>
      <c r="J5864" s="67">
        <v>0</v>
      </c>
      <c r="K5864" s="62">
        <v>56</v>
      </c>
      <c r="L5864" s="33" t="e">
        <f>HLOOKUP(B5864,#REF!,1,0)</f>
        <v>#REF!</v>
      </c>
      <c r="M5864" s="33" t="str">
        <f t="shared" si="367"/>
        <v>P&amp;L</v>
      </c>
    </row>
    <row r="5865" spans="1:13" s="33" customFormat="true" ht="12.75" customHeight="true">
      <c r="A5865" s="33" t="str">
        <f t="shared" si="364"/>
        <v>JUP - CGS</v>
      </c>
      <c r="B5865" s="33" t="str">
        <f t="shared" si="365"/>
        <v>JUP</v>
      </c>
      <c r="C5865" s="33" t="str">
        <f t="shared" si="366"/>
        <v>60001-0000</v>
      </c>
      <c r="D5865" s="64" t="s">
        <v>6951</v>
      </c>
      <c r="E5865" s="64" t="s">
        <v>4192</v>
      </c>
      <c r="F5865" s="64" t="s">
        <v>230</v>
      </c>
      <c r="G5865" s="64" t="s">
        <v>3838</v>
      </c>
      <c r="H5865" s="64" t="s">
        <v>1875</v>
      </c>
      <c r="I5865" s="64" t="s">
        <v>4193</v>
      </c>
      <c r="J5865" s="67">
        <v>0</v>
      </c>
      <c r="K5865" s="62">
        <v>2133.8</v>
      </c>
      <c r="L5865" s="33" t="e">
        <f>HLOOKUP(B5865,#REF!,1,0)</f>
        <v>#REF!</v>
      </c>
      <c r="M5865" s="33" t="str">
        <f t="shared" si="367"/>
        <v>P&amp;L</v>
      </c>
    </row>
    <row r="5866" spans="1:13" s="33" customFormat="true" ht="12.75" customHeight="true">
      <c r="A5866" s="33" t="str">
        <f t="shared" si="364"/>
        <v>JUP - CGS</v>
      </c>
      <c r="B5866" s="33" t="str">
        <f t="shared" si="365"/>
        <v>JUP</v>
      </c>
      <c r="C5866" s="33" t="str">
        <f t="shared" si="366"/>
        <v>60002-0000</v>
      </c>
      <c r="D5866" s="64" t="s">
        <v>6952</v>
      </c>
      <c r="E5866" s="64" t="s">
        <v>3837</v>
      </c>
      <c r="F5866" s="64" t="s">
        <v>230</v>
      </c>
      <c r="G5866" s="64" t="s">
        <v>3838</v>
      </c>
      <c r="H5866" s="64" t="s">
        <v>1875</v>
      </c>
      <c r="I5866" s="64" t="s">
        <v>3839</v>
      </c>
      <c r="J5866" s="67">
        <v>127.75</v>
      </c>
      <c r="K5866" s="62">
        <v>1311.15</v>
      </c>
      <c r="L5866" s="33" t="e">
        <f>HLOOKUP(B5866,#REF!,1,0)</f>
        <v>#REF!</v>
      </c>
      <c r="M5866" s="33" t="str">
        <f t="shared" si="367"/>
        <v>P&amp;L</v>
      </c>
    </row>
    <row r="5867" spans="1:13" s="33" customFormat="true" ht="12.75" customHeight="true">
      <c r="A5867" s="33" t="str">
        <f t="shared" si="364"/>
        <v>JUP - CGS</v>
      </c>
      <c r="B5867" s="33" t="str">
        <f t="shared" si="365"/>
        <v>JUP</v>
      </c>
      <c r="C5867" s="33" t="str">
        <f t="shared" si="366"/>
        <v>60005-0000</v>
      </c>
      <c r="D5867" s="64" t="s">
        <v>6953</v>
      </c>
      <c r="E5867" s="64" t="s">
        <v>3841</v>
      </c>
      <c r="F5867" s="64" t="s">
        <v>230</v>
      </c>
      <c r="G5867" s="64" t="s">
        <v>3838</v>
      </c>
      <c r="H5867" s="64" t="s">
        <v>1875</v>
      </c>
      <c r="I5867" s="64" t="s">
        <v>3842</v>
      </c>
      <c r="J5867" s="67">
        <v>835.17</v>
      </c>
      <c r="K5867" s="62">
        <v>8576.81</v>
      </c>
      <c r="L5867" s="33" t="e">
        <f>HLOOKUP(B5867,#REF!,1,0)</f>
        <v>#REF!</v>
      </c>
      <c r="M5867" s="33" t="str">
        <f t="shared" si="367"/>
        <v>P&amp;L</v>
      </c>
    </row>
    <row r="5868" spans="1:13" s="33" customFormat="true" ht="12.75" customHeight="true">
      <c r="A5868" s="33" t="str">
        <f t="shared" si="364"/>
        <v>JUP - Interest Expense</v>
      </c>
      <c r="B5868" s="33" t="str">
        <f t="shared" si="365"/>
        <v>JUP</v>
      </c>
      <c r="C5868" s="33" t="str">
        <f t="shared" si="366"/>
        <v>60006-0000</v>
      </c>
      <c r="D5868" s="64" t="s">
        <v>6954</v>
      </c>
      <c r="E5868" s="64" t="s">
        <v>3325</v>
      </c>
      <c r="F5868" s="64" t="s">
        <v>230</v>
      </c>
      <c r="G5868" s="64" t="s">
        <v>3844</v>
      </c>
      <c r="H5868" s="64" t="s">
        <v>3327</v>
      </c>
      <c r="I5868" s="64" t="s">
        <v>3328</v>
      </c>
      <c r="J5868" s="67">
        <v>8617.47</v>
      </c>
      <c r="K5868" s="62">
        <v>86946.19</v>
      </c>
      <c r="L5868" s="33" t="e">
        <f>HLOOKUP(B5868,#REF!,1,0)</f>
        <v>#REF!</v>
      </c>
      <c r="M5868" s="33" t="str">
        <f t="shared" si="367"/>
        <v>P&amp;L</v>
      </c>
    </row>
    <row r="5869" spans="1:13" s="33" customFormat="true" ht="12.75" customHeight="true">
      <c r="A5869" s="33" t="str">
        <f t="shared" si="364"/>
        <v>JUP - CGS</v>
      </c>
      <c r="B5869" s="33" t="str">
        <f t="shared" si="365"/>
        <v>JUP</v>
      </c>
      <c r="C5869" s="33" t="str">
        <f t="shared" si="366"/>
        <v>60007-0000</v>
      </c>
      <c r="D5869" s="64" t="s">
        <v>6955</v>
      </c>
      <c r="E5869" s="64" t="s">
        <v>3846</v>
      </c>
      <c r="F5869" s="64" t="s">
        <v>230</v>
      </c>
      <c r="G5869" s="64" t="s">
        <v>3838</v>
      </c>
      <c r="H5869" s="64" t="s">
        <v>1875</v>
      </c>
      <c r="I5869" s="64" t="s">
        <v>3847</v>
      </c>
      <c r="J5869" s="67">
        <v>0</v>
      </c>
      <c r="K5869" s="62">
        <v>801</v>
      </c>
      <c r="L5869" s="33" t="e">
        <f>HLOOKUP(B5869,#REF!,1,0)</f>
        <v>#REF!</v>
      </c>
      <c r="M5869" s="33" t="str">
        <f t="shared" si="367"/>
        <v>P&amp;L</v>
      </c>
    </row>
    <row r="5870" spans="1:13" s="33" customFormat="true" ht="12.75" customHeight="true">
      <c r="A5870" s="33" t="str">
        <f t="shared" si="364"/>
        <v>JUP - CGS</v>
      </c>
      <c r="B5870" s="33" t="str">
        <f t="shared" si="365"/>
        <v>JUP</v>
      </c>
      <c r="C5870" s="33" t="str">
        <f t="shared" si="366"/>
        <v>60011-0000</v>
      </c>
      <c r="D5870" s="64" t="s">
        <v>6956</v>
      </c>
      <c r="E5870" s="64" t="s">
        <v>4199</v>
      </c>
      <c r="F5870" s="64" t="s">
        <v>230</v>
      </c>
      <c r="G5870" s="64" t="s">
        <v>3838</v>
      </c>
      <c r="H5870" s="64" t="s">
        <v>1875</v>
      </c>
      <c r="I5870" s="64" t="s">
        <v>4200</v>
      </c>
      <c r="J5870" s="67">
        <v>0</v>
      </c>
      <c r="K5870" s="62">
        <v>460.02</v>
      </c>
      <c r="L5870" s="33" t="e">
        <f>HLOOKUP(B5870,#REF!,1,0)</f>
        <v>#REF!</v>
      </c>
      <c r="M5870" s="33" t="str">
        <f t="shared" si="367"/>
        <v>P&amp;L</v>
      </c>
    </row>
    <row r="5871" spans="1:13" s="33" customFormat="true" ht="12.75" customHeight="true">
      <c r="A5871" s="33" t="str">
        <f t="shared" si="364"/>
        <v>JUP - CGS</v>
      </c>
      <c r="B5871" s="33" t="str">
        <f t="shared" si="365"/>
        <v>JUP</v>
      </c>
      <c r="C5871" s="33" t="str">
        <f t="shared" si="366"/>
        <v>60012-0000</v>
      </c>
      <c r="D5871" s="64" t="s">
        <v>6957</v>
      </c>
      <c r="E5871" s="64" t="s">
        <v>3852</v>
      </c>
      <c r="F5871" s="64" t="s">
        <v>230</v>
      </c>
      <c r="G5871" s="64" t="s">
        <v>3838</v>
      </c>
      <c r="H5871" s="64" t="s">
        <v>1875</v>
      </c>
      <c r="I5871" s="64" t="s">
        <v>3853</v>
      </c>
      <c r="J5871" s="67">
        <v>0</v>
      </c>
      <c r="K5871" s="62">
        <v>23680.18</v>
      </c>
      <c r="L5871" s="33" t="e">
        <f>HLOOKUP(B5871,#REF!,1,0)</f>
        <v>#REF!</v>
      </c>
      <c r="M5871" s="33" t="str">
        <f t="shared" si="367"/>
        <v>P&amp;L</v>
      </c>
    </row>
    <row r="5872" spans="1:13" s="33" customFormat="true" ht="12.75" customHeight="true">
      <c r="A5872" s="33" t="str">
        <f t="shared" si="364"/>
        <v>JUP - CGS</v>
      </c>
      <c r="B5872" s="33" t="str">
        <f t="shared" si="365"/>
        <v>JUP</v>
      </c>
      <c r="C5872" s="33" t="str">
        <f t="shared" si="366"/>
        <v>60014-0000</v>
      </c>
      <c r="D5872" s="64" t="s">
        <v>6958</v>
      </c>
      <c r="E5872" s="64" t="s">
        <v>3855</v>
      </c>
      <c r="F5872" s="64" t="s">
        <v>230</v>
      </c>
      <c r="G5872" s="64" t="s">
        <v>3838</v>
      </c>
      <c r="H5872" s="64" t="s">
        <v>1875</v>
      </c>
      <c r="I5872" s="64" t="s">
        <v>3856</v>
      </c>
      <c r="J5872" s="67">
        <v>1879.6</v>
      </c>
      <c r="K5872" s="62">
        <v>21817.95</v>
      </c>
      <c r="L5872" s="33" t="e">
        <f>HLOOKUP(B5872,#REF!,1,0)</f>
        <v>#REF!</v>
      </c>
      <c r="M5872" s="33" t="str">
        <f t="shared" si="367"/>
        <v>P&amp;L</v>
      </c>
    </row>
    <row r="5873" spans="1:13" s="33" customFormat="true" ht="12.75" customHeight="true">
      <c r="A5873" s="33" t="str">
        <f t="shared" si="364"/>
        <v>JUP - Income Tax</v>
      </c>
      <c r="B5873" s="33" t="str">
        <f t="shared" si="365"/>
        <v>JUP</v>
      </c>
      <c r="C5873" s="33" t="str">
        <f t="shared" si="366"/>
        <v>61019-0000</v>
      </c>
      <c r="D5873" s="64" t="s">
        <v>6959</v>
      </c>
      <c r="E5873" s="64" t="s">
        <v>4041</v>
      </c>
      <c r="F5873" s="64" t="s">
        <v>230</v>
      </c>
      <c r="G5873" s="64" t="s">
        <v>3844</v>
      </c>
      <c r="H5873" s="64" t="s">
        <v>3378</v>
      </c>
      <c r="I5873" s="64" t="s">
        <v>4042</v>
      </c>
      <c r="J5873" s="67">
        <v>0</v>
      </c>
      <c r="K5873" s="62">
        <v>1700</v>
      </c>
      <c r="L5873" s="33" t="e">
        <f>HLOOKUP(B5873,#REF!,1,0)</f>
        <v>#REF!</v>
      </c>
      <c r="M5873" s="33" t="str">
        <f t="shared" si="367"/>
        <v>P&amp;L</v>
      </c>
    </row>
    <row r="5874" spans="1:13" s="33" customFormat="true" ht="12.75" customHeight="true">
      <c r="A5874" s="33" t="str">
        <f t="shared" si="364"/>
        <v>KLP - Cash</v>
      </c>
      <c r="B5874" s="33" t="str">
        <f t="shared" si="365"/>
        <v>KLP</v>
      </c>
      <c r="C5874" s="33" t="str">
        <f t="shared" si="366"/>
        <v>10001-0000</v>
      </c>
      <c r="D5874" s="64" t="s">
        <v>6960</v>
      </c>
      <c r="E5874" s="64" t="s">
        <v>240</v>
      </c>
      <c r="F5874" s="64" t="s">
        <v>230</v>
      </c>
      <c r="G5874" s="64" t="s">
        <v>16</v>
      </c>
      <c r="H5874" s="64" t="s">
        <v>25</v>
      </c>
      <c r="I5874" s="64" t="s">
        <v>18</v>
      </c>
      <c r="J5874" s="67">
        <v>-15247.18</v>
      </c>
      <c r="K5874" s="62">
        <v>10554.78</v>
      </c>
      <c r="L5874" s="33" t="e">
        <f>HLOOKUP(B5874,#REF!,1,0)</f>
        <v>#REF!</v>
      </c>
      <c r="M5874" s="33" t="str">
        <f t="shared" si="367"/>
        <v>BS</v>
      </c>
    </row>
    <row r="5875" spans="1:13" s="33" customFormat="true" ht="12.75" customHeight="true">
      <c r="A5875" s="33" t="str">
        <f t="shared" si="364"/>
        <v>KLP - Intercompany</v>
      </c>
      <c r="B5875" s="33" t="str">
        <f t="shared" si="365"/>
        <v>KLP</v>
      </c>
      <c r="C5875" s="33" t="str">
        <f t="shared" si="366"/>
        <v>11216-0000</v>
      </c>
      <c r="D5875" s="64" t="s">
        <v>6961</v>
      </c>
      <c r="E5875" s="64" t="s">
        <v>242</v>
      </c>
      <c r="F5875" s="64" t="s">
        <v>230</v>
      </c>
      <c r="G5875" s="64" t="s">
        <v>16</v>
      </c>
      <c r="H5875" s="64" t="s">
        <v>39</v>
      </c>
      <c r="I5875" s="64" t="s">
        <v>40</v>
      </c>
      <c r="J5875" s="67">
        <v>1760.12</v>
      </c>
      <c r="K5875" s="62">
        <v>-3957.92</v>
      </c>
      <c r="L5875" s="33" t="e">
        <f>HLOOKUP(B5875,#REF!,1,0)</f>
        <v>#REF!</v>
      </c>
      <c r="M5875" s="33" t="str">
        <f t="shared" si="367"/>
        <v>BS</v>
      </c>
    </row>
    <row r="5876" spans="1:13" s="33" customFormat="true" ht="12.75" customHeight="true">
      <c r="A5876" s="33" t="str">
        <f t="shared" si="364"/>
        <v>KLP - Intercompany</v>
      </c>
      <c r="B5876" s="33" t="str">
        <f t="shared" si="365"/>
        <v>KLP</v>
      </c>
      <c r="C5876" s="33" t="str">
        <f t="shared" si="366"/>
        <v>11343-0000</v>
      </c>
      <c r="D5876" s="64" t="s">
        <v>6962</v>
      </c>
      <c r="E5876" s="64" t="s">
        <v>600</v>
      </c>
      <c r="F5876" s="64" t="s">
        <v>230</v>
      </c>
      <c r="G5876" s="64" t="s">
        <v>16</v>
      </c>
      <c r="H5876" s="64" t="s">
        <v>39</v>
      </c>
      <c r="I5876" s="64" t="s">
        <v>40</v>
      </c>
      <c r="J5876" s="67">
        <v>2540.37</v>
      </c>
      <c r="K5876" s="62">
        <v>0</v>
      </c>
      <c r="L5876" s="33" t="e">
        <f>HLOOKUP(B5876,#REF!,1,0)</f>
        <v>#REF!</v>
      </c>
      <c r="M5876" s="33" t="str">
        <f t="shared" si="367"/>
        <v>BS</v>
      </c>
    </row>
    <row r="5877" spans="1:13" s="33" customFormat="true" ht="12.75" customHeight="true">
      <c r="A5877" s="33" t="str">
        <f t="shared" si="364"/>
        <v>KLP - AR-PPD</v>
      </c>
      <c r="B5877" s="33" t="str">
        <f t="shared" si="365"/>
        <v>KLP</v>
      </c>
      <c r="C5877" s="33" t="str">
        <f t="shared" si="366"/>
        <v>12200-0000</v>
      </c>
      <c r="D5877" s="64" t="s">
        <v>6963</v>
      </c>
      <c r="E5877" s="64" t="s">
        <v>294</v>
      </c>
      <c r="F5877" s="64" t="s">
        <v>230</v>
      </c>
      <c r="G5877" s="64" t="s">
        <v>62</v>
      </c>
      <c r="H5877" s="64" t="s">
        <v>35</v>
      </c>
      <c r="I5877" s="64" t="s">
        <v>64</v>
      </c>
      <c r="J5877" s="67">
        <v>4266</v>
      </c>
      <c r="K5877" s="62">
        <v>117963.42</v>
      </c>
      <c r="L5877" s="33" t="e">
        <f>HLOOKUP(B5877,#REF!,1,0)</f>
        <v>#REF!</v>
      </c>
      <c r="M5877" s="33" t="str">
        <f t="shared" si="367"/>
        <v>BS</v>
      </c>
    </row>
    <row r="5878" spans="1:13" s="33" customFormat="true" ht="12.75" customHeight="true">
      <c r="A5878" s="33" t="str">
        <f t="shared" si="364"/>
        <v>KLP - Deposits</v>
      </c>
      <c r="B5878" s="33" t="str">
        <f t="shared" si="365"/>
        <v>KLP</v>
      </c>
      <c r="C5878" s="33" t="str">
        <f t="shared" si="366"/>
        <v>12300-0000</v>
      </c>
      <c r="D5878" s="64" t="s">
        <v>6964</v>
      </c>
      <c r="E5878" s="64" t="s">
        <v>387</v>
      </c>
      <c r="F5878" s="64" t="s">
        <v>230</v>
      </c>
      <c r="G5878" s="64" t="s">
        <v>16</v>
      </c>
      <c r="H5878" s="64" t="s">
        <v>80</v>
      </c>
      <c r="I5878" s="64" t="s">
        <v>64</v>
      </c>
      <c r="J5878" s="67">
        <v>0</v>
      </c>
      <c r="K5878" s="62">
        <v>1007760</v>
      </c>
      <c r="L5878" s="33" t="e">
        <f>HLOOKUP(B5878,#REF!,1,0)</f>
        <v>#REF!</v>
      </c>
      <c r="M5878" s="33" t="str">
        <f t="shared" si="367"/>
        <v>BS</v>
      </c>
    </row>
    <row r="5879" spans="1:13" s="33" customFormat="true" ht="12.75" customHeight="true">
      <c r="A5879" s="33" t="str">
        <f t="shared" si="364"/>
        <v>KLP - Fixed Assets</v>
      </c>
      <c r="B5879" s="33" t="str">
        <f t="shared" si="365"/>
        <v>KLP</v>
      </c>
      <c r="C5879" s="33" t="str">
        <f t="shared" si="366"/>
        <v>14000-0000</v>
      </c>
      <c r="D5879" s="64" t="s">
        <v>6965</v>
      </c>
      <c r="E5879" s="64" t="s">
        <v>298</v>
      </c>
      <c r="F5879" s="64" t="s">
        <v>230</v>
      </c>
      <c r="G5879" s="64" t="s">
        <v>62</v>
      </c>
      <c r="H5879" s="64" t="s">
        <v>63</v>
      </c>
      <c r="I5879" s="64" t="s">
        <v>64</v>
      </c>
      <c r="J5879" s="67">
        <v>0</v>
      </c>
      <c r="K5879" s="62">
        <v>4695000</v>
      </c>
      <c r="L5879" s="33" t="e">
        <f>HLOOKUP(B5879,#REF!,1,0)</f>
        <v>#REF!</v>
      </c>
      <c r="M5879" s="33" t="str">
        <f t="shared" si="367"/>
        <v>BS</v>
      </c>
    </row>
    <row r="5880" spans="1:13" s="33" customFormat="true" ht="12.75" customHeight="true">
      <c r="A5880" s="33" t="str">
        <f t="shared" si="364"/>
        <v>KLP - Fixed Assets</v>
      </c>
      <c r="B5880" s="33" t="str">
        <f t="shared" si="365"/>
        <v>KLP</v>
      </c>
      <c r="C5880" s="33" t="str">
        <f t="shared" si="366"/>
        <v>15000-0000</v>
      </c>
      <c r="D5880" s="64" t="s">
        <v>6966</v>
      </c>
      <c r="E5880" s="64" t="s">
        <v>300</v>
      </c>
      <c r="F5880" s="64" t="s">
        <v>230</v>
      </c>
      <c r="G5880" s="64" t="s">
        <v>62</v>
      </c>
      <c r="H5880" s="64" t="s">
        <v>63</v>
      </c>
      <c r="I5880" s="64" t="s">
        <v>64</v>
      </c>
      <c r="J5880" s="67">
        <v>0</v>
      </c>
      <c r="K5880" s="62">
        <v>10955000</v>
      </c>
      <c r="L5880" s="33" t="e">
        <f>HLOOKUP(B5880,#REF!,1,0)</f>
        <v>#REF!</v>
      </c>
      <c r="M5880" s="33" t="str">
        <f t="shared" si="367"/>
        <v>BS</v>
      </c>
    </row>
    <row r="5881" spans="1:13" s="33" customFormat="true" ht="12.75" customHeight="true">
      <c r="A5881" s="33" t="str">
        <f t="shared" si="364"/>
        <v>KLP - Fixed Assets</v>
      </c>
      <c r="B5881" s="33" t="str">
        <f t="shared" si="365"/>
        <v>KLP</v>
      </c>
      <c r="C5881" s="33" t="str">
        <f t="shared" si="366"/>
        <v>15501-0000</v>
      </c>
      <c r="D5881" s="64" t="s">
        <v>6967</v>
      </c>
      <c r="E5881" s="64" t="s">
        <v>2635</v>
      </c>
      <c r="F5881" s="64" t="s">
        <v>230</v>
      </c>
      <c r="G5881" s="64" t="s">
        <v>62</v>
      </c>
      <c r="H5881" s="64" t="s">
        <v>63</v>
      </c>
      <c r="I5881" s="64" t="s">
        <v>64</v>
      </c>
      <c r="J5881" s="67">
        <v>957.46</v>
      </c>
      <c r="K5881" s="62">
        <v>3757.7</v>
      </c>
      <c r="L5881" s="33" t="e">
        <f>HLOOKUP(B5881,#REF!,1,0)</f>
        <v>#REF!</v>
      </c>
      <c r="M5881" s="33" t="str">
        <f t="shared" si="367"/>
        <v>BS</v>
      </c>
    </row>
    <row r="5882" spans="1:13" s="33" customFormat="true" ht="12.75" customHeight="true">
      <c r="A5882" s="33" t="str">
        <f t="shared" si="364"/>
        <v>KLP - Deposits</v>
      </c>
      <c r="B5882" s="33" t="str">
        <f t="shared" si="365"/>
        <v>KLP</v>
      </c>
      <c r="C5882" s="33" t="str">
        <f t="shared" si="366"/>
        <v>19000-0000</v>
      </c>
      <c r="D5882" s="64" t="s">
        <v>6968</v>
      </c>
      <c r="E5882" s="64" t="s">
        <v>342</v>
      </c>
      <c r="F5882" s="64" t="s">
        <v>230</v>
      </c>
      <c r="G5882" s="64" t="s">
        <v>62</v>
      </c>
      <c r="H5882" s="64" t="s">
        <v>80</v>
      </c>
      <c r="I5882" s="64" t="s">
        <v>81</v>
      </c>
      <c r="J5882" s="67">
        <v>0</v>
      </c>
      <c r="K5882" s="62">
        <v>3013</v>
      </c>
      <c r="L5882" s="33" t="e">
        <f>HLOOKUP(B5882,#REF!,1,0)</f>
        <v>#REF!</v>
      </c>
      <c r="M5882" s="33" t="str">
        <f t="shared" si="367"/>
        <v>BS</v>
      </c>
    </row>
    <row r="5883" spans="1:13" s="33" customFormat="true" ht="12.75" customHeight="true">
      <c r="A5883" s="33" t="str">
        <f t="shared" si="364"/>
        <v>KLP - Deposits</v>
      </c>
      <c r="B5883" s="33" t="str">
        <f t="shared" si="365"/>
        <v>KLP</v>
      </c>
      <c r="C5883" s="33" t="str">
        <f t="shared" si="366"/>
        <v>19001-0000</v>
      </c>
      <c r="D5883" s="64" t="s">
        <v>6969</v>
      </c>
      <c r="E5883" s="64" t="s">
        <v>344</v>
      </c>
      <c r="F5883" s="64" t="s">
        <v>230</v>
      </c>
      <c r="G5883" s="64" t="s">
        <v>62</v>
      </c>
      <c r="H5883" s="64" t="s">
        <v>80</v>
      </c>
      <c r="I5883" s="64" t="s">
        <v>81</v>
      </c>
      <c r="J5883" s="67">
        <v>0</v>
      </c>
      <c r="K5883" s="62">
        <v>12322</v>
      </c>
      <c r="L5883" s="33" t="e">
        <f>HLOOKUP(B5883,#REF!,1,0)</f>
        <v>#REF!</v>
      </c>
      <c r="M5883" s="33" t="str">
        <f t="shared" si="367"/>
        <v>BS</v>
      </c>
    </row>
    <row r="5884" spans="1:13" s="33" customFormat="true" ht="12.75" customHeight="true">
      <c r="A5884" s="33" t="str">
        <f t="shared" si="364"/>
        <v>KLP - AP-Accr Exp</v>
      </c>
      <c r="B5884" s="33" t="str">
        <f t="shared" si="365"/>
        <v>KLP</v>
      </c>
      <c r="C5884" s="33" t="str">
        <f t="shared" si="366"/>
        <v>20001-0000</v>
      </c>
      <c r="D5884" s="64" t="s">
        <v>6970</v>
      </c>
      <c r="E5884" s="64" t="s">
        <v>96</v>
      </c>
      <c r="F5884" s="64" t="s">
        <v>230</v>
      </c>
      <c r="G5884" s="64" t="s">
        <v>97</v>
      </c>
      <c r="H5884" s="64" t="s">
        <v>98</v>
      </c>
      <c r="I5884" s="64" t="s">
        <v>99</v>
      </c>
      <c r="J5884" s="67">
        <v>14703.62</v>
      </c>
      <c r="K5884" s="62">
        <v>0</v>
      </c>
      <c r="L5884" s="33" t="e">
        <f>HLOOKUP(B5884,#REF!,1,0)</f>
        <v>#REF!</v>
      </c>
      <c r="M5884" s="33" t="str">
        <f t="shared" si="367"/>
        <v>BS</v>
      </c>
    </row>
    <row r="5885" spans="1:13" s="33" customFormat="true" ht="12.75" customHeight="true">
      <c r="A5885" s="33" t="str">
        <f t="shared" si="364"/>
        <v>KLP - Tax Accr</v>
      </c>
      <c r="B5885" s="33" t="str">
        <f t="shared" si="365"/>
        <v>KLP</v>
      </c>
      <c r="C5885" s="33" t="str">
        <f t="shared" si="366"/>
        <v>22001-0000</v>
      </c>
      <c r="D5885" s="64" t="s">
        <v>6971</v>
      </c>
      <c r="E5885" s="64" t="s">
        <v>1322</v>
      </c>
      <c r="F5885" s="64" t="s">
        <v>230</v>
      </c>
      <c r="G5885" s="64" t="s">
        <v>97</v>
      </c>
      <c r="H5885" s="64" t="s">
        <v>105</v>
      </c>
      <c r="I5885" s="64" t="s">
        <v>102</v>
      </c>
      <c r="J5885" s="67">
        <v>-2129.41</v>
      </c>
      <c r="K5885" s="62">
        <v>-17753.54</v>
      </c>
      <c r="L5885" s="33" t="e">
        <f>HLOOKUP(B5885,#REF!,1,0)</f>
        <v>#REF!</v>
      </c>
      <c r="M5885" s="33" t="str">
        <f t="shared" si="367"/>
        <v>BS</v>
      </c>
    </row>
    <row r="5886" spans="1:13" s="33" customFormat="true" ht="12.75" customHeight="true">
      <c r="A5886" s="33" t="str">
        <f t="shared" si="364"/>
        <v>KLP - AP-Accr Exp</v>
      </c>
      <c r="B5886" s="33" t="str">
        <f t="shared" si="365"/>
        <v>KLP</v>
      </c>
      <c r="C5886" s="33" t="str">
        <f t="shared" si="366"/>
        <v>23509-0000</v>
      </c>
      <c r="D5886" s="64" t="s">
        <v>6972</v>
      </c>
      <c r="E5886" s="64" t="s">
        <v>111</v>
      </c>
      <c r="F5886" s="64" t="s">
        <v>230</v>
      </c>
      <c r="G5886" s="64" t="s">
        <v>97</v>
      </c>
      <c r="H5886" s="64" t="s">
        <v>98</v>
      </c>
      <c r="I5886" s="64" t="s">
        <v>102</v>
      </c>
      <c r="J5886" s="67">
        <v>-1143.66</v>
      </c>
      <c r="K5886" s="62">
        <v>0</v>
      </c>
      <c r="L5886" s="33" t="e">
        <f>HLOOKUP(B5886,#REF!,1,0)</f>
        <v>#REF!</v>
      </c>
      <c r="M5886" s="33" t="str">
        <f t="shared" si="367"/>
        <v>BS</v>
      </c>
    </row>
    <row r="5887" spans="1:13" s="33" customFormat="true" ht="12.75" customHeight="true">
      <c r="A5887" s="33" t="str">
        <f t="shared" si="364"/>
        <v>KLP - InterCo Notes</v>
      </c>
      <c r="B5887" s="33" t="str">
        <f t="shared" si="365"/>
        <v>KLP</v>
      </c>
      <c r="C5887" s="33" t="str">
        <f t="shared" si="366"/>
        <v>25100-0000</v>
      </c>
      <c r="D5887" s="64" t="s">
        <v>6973</v>
      </c>
      <c r="E5887" s="64" t="s">
        <v>430</v>
      </c>
      <c r="F5887" s="64" t="s">
        <v>230</v>
      </c>
      <c r="G5887" s="64" t="s">
        <v>16</v>
      </c>
      <c r="H5887" s="64" t="s">
        <v>315</v>
      </c>
      <c r="I5887" s="64" t="s">
        <v>40</v>
      </c>
      <c r="J5887" s="67">
        <v>-80000</v>
      </c>
      <c r="K5887" s="62">
        <v>-120000</v>
      </c>
      <c r="L5887" s="33" t="e">
        <f>HLOOKUP(B5887,#REF!,1,0)</f>
        <v>#REF!</v>
      </c>
      <c r="M5887" s="33" t="str">
        <f t="shared" si="367"/>
        <v>BS</v>
      </c>
    </row>
    <row r="5888" spans="1:13" s="33" customFormat="true" ht="12.75" customHeight="true">
      <c r="A5888" s="33" t="str">
        <f t="shared" si="364"/>
        <v>KLP - AP-Accr Exp</v>
      </c>
      <c r="B5888" s="33" t="str">
        <f t="shared" si="365"/>
        <v>KLP</v>
      </c>
      <c r="C5888" s="33" t="str">
        <f t="shared" si="366"/>
        <v>25300-0000</v>
      </c>
      <c r="D5888" s="64" t="s">
        <v>6974</v>
      </c>
      <c r="E5888" s="64" t="s">
        <v>3677</v>
      </c>
      <c r="F5888" s="64" t="s">
        <v>230</v>
      </c>
      <c r="G5888" s="64" t="s">
        <v>3678</v>
      </c>
      <c r="H5888" s="64" t="s">
        <v>98</v>
      </c>
      <c r="I5888" s="64" t="s">
        <v>102</v>
      </c>
      <c r="J5888" s="67">
        <v>-0.01</v>
      </c>
      <c r="K5888" s="62">
        <v>-0.01</v>
      </c>
      <c r="L5888" s="33" t="e">
        <f>HLOOKUP(B5888,#REF!,1,0)</f>
        <v>#REF!</v>
      </c>
      <c r="M5888" s="33" t="str">
        <f t="shared" si="367"/>
        <v>BS</v>
      </c>
    </row>
    <row r="5889" spans="1:13" s="33" customFormat="true" ht="12.75" customHeight="true">
      <c r="A5889" s="33" t="str">
        <f t="shared" si="364"/>
        <v>KLP - Principal</v>
      </c>
      <c r="B5889" s="33" t="str">
        <f t="shared" si="365"/>
        <v>KLP</v>
      </c>
      <c r="C5889" s="33" t="str">
        <f t="shared" si="366"/>
        <v>28001-0000</v>
      </c>
      <c r="D5889" s="64" t="s">
        <v>6975</v>
      </c>
      <c r="E5889" s="64" t="s">
        <v>6976</v>
      </c>
      <c r="F5889" s="64" t="s">
        <v>230</v>
      </c>
      <c r="G5889" s="64" t="s">
        <v>123</v>
      </c>
      <c r="H5889" s="64" t="s">
        <v>127</v>
      </c>
      <c r="I5889" s="64" t="s">
        <v>133</v>
      </c>
      <c r="J5889" s="67">
        <v>0</v>
      </c>
      <c r="K5889" s="62">
        <v>-12730000</v>
      </c>
      <c r="L5889" s="33" t="e">
        <f>HLOOKUP(B5889,#REF!,1,0)</f>
        <v>#REF!</v>
      </c>
      <c r="M5889" s="33" t="str">
        <f t="shared" si="367"/>
        <v>BS</v>
      </c>
    </row>
    <row r="5890" spans="1:13" s="33" customFormat="true" ht="12.75" customHeight="true">
      <c r="A5890" s="33" t="str">
        <f t="shared" ref="A5890:A5953" si="368">B5890&amp;" - "&amp;TRIM(H5890)</f>
        <v>KLP - SH Dist</v>
      </c>
      <c r="B5890" s="33" t="str">
        <f t="shared" ref="B5890:B5953" si="369">LEFT(D5890,3)</f>
        <v>KLP</v>
      </c>
      <c r="C5890" s="33" t="str">
        <f t="shared" ref="C5890:C5953" si="370">RIGHT(D5890,10)</f>
        <v>30700-0000</v>
      </c>
      <c r="D5890" s="64" t="s">
        <v>6977</v>
      </c>
      <c r="E5890" s="64" t="s">
        <v>319</v>
      </c>
      <c r="F5890" s="64" t="s">
        <v>230</v>
      </c>
      <c r="G5890" s="64" t="s">
        <v>142</v>
      </c>
      <c r="H5890" s="64" t="s">
        <v>143</v>
      </c>
      <c r="I5890" s="64" t="s">
        <v>144</v>
      </c>
      <c r="J5890" s="67">
        <v>0</v>
      </c>
      <c r="K5890" s="62">
        <v>-3966000</v>
      </c>
      <c r="L5890" s="33" t="e">
        <f>HLOOKUP(B5890,#REF!,1,0)</f>
        <v>#REF!</v>
      </c>
      <c r="M5890" s="33" t="str">
        <f t="shared" ref="M5890:M5953" si="371">IF(VALUE(LEFT(C5890,5))&gt;40000,"P&amp;L","BS")</f>
        <v>BS</v>
      </c>
    </row>
    <row r="5891" spans="1:13" s="33" customFormat="true" ht="12.75" customHeight="true">
      <c r="A5891" s="33" t="str">
        <f t="shared" si="368"/>
        <v>KLP - SH Dist</v>
      </c>
      <c r="B5891" s="33" t="str">
        <f t="shared" si="369"/>
        <v>KLP</v>
      </c>
      <c r="C5891" s="33" t="str">
        <f t="shared" si="370"/>
        <v>31001-0000</v>
      </c>
      <c r="D5891" s="64" t="s">
        <v>6978</v>
      </c>
      <c r="E5891" s="64" t="s">
        <v>6979</v>
      </c>
      <c r="F5891" s="64" t="s">
        <v>230</v>
      </c>
      <c r="G5891" s="64" t="s">
        <v>142</v>
      </c>
      <c r="H5891" s="64" t="s">
        <v>143</v>
      </c>
      <c r="I5891" s="64" t="s">
        <v>144</v>
      </c>
      <c r="J5891" s="67">
        <v>0</v>
      </c>
      <c r="K5891" s="62">
        <v>-350000</v>
      </c>
      <c r="L5891" s="33" t="e">
        <f>HLOOKUP(B5891,#REF!,1,0)</f>
        <v>#REF!</v>
      </c>
      <c r="M5891" s="33" t="str">
        <f t="shared" si="371"/>
        <v>BS</v>
      </c>
    </row>
    <row r="5892" spans="1:13" s="33" customFormat="true" ht="12.75" customHeight="true">
      <c r="A5892" s="33" t="str">
        <f t="shared" si="368"/>
        <v>KLP - SH Dist</v>
      </c>
      <c r="B5892" s="33" t="str">
        <f t="shared" si="369"/>
        <v>KLP</v>
      </c>
      <c r="C5892" s="33" t="str">
        <f t="shared" si="370"/>
        <v>31002-0000</v>
      </c>
      <c r="D5892" s="64" t="s">
        <v>6980</v>
      </c>
      <c r="E5892" s="64" t="s">
        <v>6981</v>
      </c>
      <c r="F5892" s="64" t="s">
        <v>230</v>
      </c>
      <c r="G5892" s="64" t="s">
        <v>142</v>
      </c>
      <c r="H5892" s="64" t="s">
        <v>143</v>
      </c>
      <c r="I5892" s="64" t="s">
        <v>144</v>
      </c>
      <c r="J5892" s="67">
        <v>0</v>
      </c>
      <c r="K5892" s="62">
        <v>-184000</v>
      </c>
      <c r="L5892" s="33" t="e">
        <f>HLOOKUP(B5892,#REF!,1,0)</f>
        <v>#REF!</v>
      </c>
      <c r="M5892" s="33" t="str">
        <f t="shared" si="371"/>
        <v>BS</v>
      </c>
    </row>
    <row r="5893" spans="1:13" s="33" customFormat="true" ht="12.75" customHeight="true">
      <c r="A5893" s="33" t="str">
        <f t="shared" si="368"/>
        <v>KLP - Revenue</v>
      </c>
      <c r="B5893" s="33" t="str">
        <f t="shared" si="369"/>
        <v>KLP</v>
      </c>
      <c r="C5893" s="33" t="str">
        <f t="shared" si="370"/>
        <v>40110-0000</v>
      </c>
      <c r="D5893" s="64" t="s">
        <v>6982</v>
      </c>
      <c r="E5893" s="64" t="s">
        <v>3683</v>
      </c>
      <c r="F5893" s="64" t="s">
        <v>230</v>
      </c>
      <c r="G5893" s="64" t="s">
        <v>3684</v>
      </c>
      <c r="H5893" s="64" t="s">
        <v>2871</v>
      </c>
      <c r="I5893" s="64" t="s">
        <v>3685</v>
      </c>
      <c r="J5893" s="67">
        <v>-78688</v>
      </c>
      <c r="K5893" s="62">
        <v>-708192</v>
      </c>
      <c r="L5893" s="33" t="e">
        <f>HLOOKUP(B5893,#REF!,1,0)</f>
        <v>#REF!</v>
      </c>
      <c r="M5893" s="33" t="str">
        <f t="shared" si="371"/>
        <v>P&amp;L</v>
      </c>
    </row>
    <row r="5894" spans="1:13" s="33" customFormat="true" ht="12.75" customHeight="true">
      <c r="A5894" s="33" t="str">
        <f t="shared" si="368"/>
        <v>KLP - Revenue</v>
      </c>
      <c r="B5894" s="33" t="str">
        <f t="shared" si="369"/>
        <v>KLP</v>
      </c>
      <c r="C5894" s="33" t="str">
        <f t="shared" si="370"/>
        <v>40120-0000</v>
      </c>
      <c r="D5894" s="64" t="s">
        <v>6983</v>
      </c>
      <c r="E5894" s="64" t="s">
        <v>3687</v>
      </c>
      <c r="F5894" s="64" t="s">
        <v>230</v>
      </c>
      <c r="G5894" s="64" t="s">
        <v>3684</v>
      </c>
      <c r="H5894" s="64" t="s">
        <v>2871</v>
      </c>
      <c r="I5894" s="64" t="s">
        <v>3688</v>
      </c>
      <c r="J5894" s="67">
        <v>-5813</v>
      </c>
      <c r="K5894" s="62">
        <v>-28019</v>
      </c>
      <c r="L5894" s="33" t="e">
        <f>HLOOKUP(B5894,#REF!,1,0)</f>
        <v>#REF!</v>
      </c>
      <c r="M5894" s="33" t="str">
        <f t="shared" si="371"/>
        <v>P&amp;L</v>
      </c>
    </row>
    <row r="5895" spans="1:13" s="33" customFormat="true" ht="12.75" customHeight="true">
      <c r="A5895" s="33" t="str">
        <f t="shared" si="368"/>
        <v>KLP - Revenue</v>
      </c>
      <c r="B5895" s="33" t="str">
        <f t="shared" si="369"/>
        <v>KLP</v>
      </c>
      <c r="C5895" s="33" t="str">
        <f t="shared" si="370"/>
        <v>40130-0000</v>
      </c>
      <c r="D5895" s="64" t="s">
        <v>6984</v>
      </c>
      <c r="E5895" s="64" t="s">
        <v>3690</v>
      </c>
      <c r="F5895" s="64" t="s">
        <v>230</v>
      </c>
      <c r="G5895" s="64" t="s">
        <v>3684</v>
      </c>
      <c r="H5895" s="64" t="s">
        <v>2871</v>
      </c>
      <c r="I5895" s="64" t="s">
        <v>3691</v>
      </c>
      <c r="J5895" s="67">
        <v>-7818</v>
      </c>
      <c r="K5895" s="62">
        <v>-38335</v>
      </c>
      <c r="L5895" s="33" t="e">
        <f>HLOOKUP(B5895,#REF!,1,0)</f>
        <v>#REF!</v>
      </c>
      <c r="M5895" s="33" t="str">
        <f t="shared" si="371"/>
        <v>P&amp;L</v>
      </c>
    </row>
    <row r="5896" spans="1:13" s="33" customFormat="true" ht="12.75" customHeight="true">
      <c r="A5896" s="33" t="str">
        <f t="shared" si="368"/>
        <v>KLP - Revenue</v>
      </c>
      <c r="B5896" s="33" t="str">
        <f t="shared" si="369"/>
        <v>KLP</v>
      </c>
      <c r="C5896" s="33" t="str">
        <f t="shared" si="370"/>
        <v>40140-0000</v>
      </c>
      <c r="D5896" s="64" t="s">
        <v>6985</v>
      </c>
      <c r="E5896" s="64" t="s">
        <v>3948</v>
      </c>
      <c r="F5896" s="64" t="s">
        <v>230</v>
      </c>
      <c r="G5896" s="64" t="s">
        <v>3684</v>
      </c>
      <c r="H5896" s="64" t="s">
        <v>2871</v>
      </c>
      <c r="I5896" s="64" t="s">
        <v>3949</v>
      </c>
      <c r="J5896" s="67">
        <v>0</v>
      </c>
      <c r="K5896" s="62">
        <v>0</v>
      </c>
      <c r="L5896" s="33" t="e">
        <f>HLOOKUP(B5896,#REF!,1,0)</f>
        <v>#REF!</v>
      </c>
      <c r="M5896" s="33" t="str">
        <f t="shared" si="371"/>
        <v>P&amp;L</v>
      </c>
    </row>
    <row r="5897" spans="1:13" s="33" customFormat="true" ht="12.75" customHeight="true">
      <c r="A5897" s="33" t="str">
        <f t="shared" si="368"/>
        <v>KLP - Revenue</v>
      </c>
      <c r="B5897" s="33" t="str">
        <f t="shared" si="369"/>
        <v>KLP</v>
      </c>
      <c r="C5897" s="33" t="str">
        <f t="shared" si="370"/>
        <v>41110-0000</v>
      </c>
      <c r="D5897" s="64" t="s">
        <v>6986</v>
      </c>
      <c r="E5897" s="64" t="s">
        <v>3693</v>
      </c>
      <c r="F5897" s="64" t="s">
        <v>230</v>
      </c>
      <c r="G5897" s="64" t="s">
        <v>3694</v>
      </c>
      <c r="H5897" s="64" t="s">
        <v>2871</v>
      </c>
      <c r="I5897" s="64" t="s">
        <v>3695</v>
      </c>
      <c r="J5897" s="67">
        <v>3206.1</v>
      </c>
      <c r="K5897" s="62">
        <v>19824.07</v>
      </c>
      <c r="L5897" s="33" t="e">
        <f>HLOOKUP(B5897,#REF!,1,0)</f>
        <v>#REF!</v>
      </c>
      <c r="M5897" s="33" t="str">
        <f t="shared" si="371"/>
        <v>P&amp;L</v>
      </c>
    </row>
    <row r="5898" spans="1:13" s="33" customFormat="true" ht="12.75" customHeight="true">
      <c r="A5898" s="33" t="str">
        <f t="shared" si="368"/>
        <v>KLP - Revenue</v>
      </c>
      <c r="B5898" s="33" t="str">
        <f t="shared" si="369"/>
        <v>KLP</v>
      </c>
      <c r="C5898" s="33" t="str">
        <f t="shared" si="370"/>
        <v>41121-0000</v>
      </c>
      <c r="D5898" s="64" t="s">
        <v>6987</v>
      </c>
      <c r="E5898" s="64" t="s">
        <v>3697</v>
      </c>
      <c r="F5898" s="64" t="s">
        <v>230</v>
      </c>
      <c r="G5898" s="64" t="s">
        <v>3694</v>
      </c>
      <c r="H5898" s="64" t="s">
        <v>2871</v>
      </c>
      <c r="I5898" s="64" t="s">
        <v>3698</v>
      </c>
      <c r="J5898" s="67">
        <v>30976.28</v>
      </c>
      <c r="K5898" s="62">
        <v>96703.11</v>
      </c>
      <c r="L5898" s="33" t="e">
        <f>HLOOKUP(B5898,#REF!,1,0)</f>
        <v>#REF!</v>
      </c>
      <c r="M5898" s="33" t="str">
        <f t="shared" si="371"/>
        <v>P&amp;L</v>
      </c>
    </row>
    <row r="5899" spans="1:13" s="33" customFormat="true" ht="12.75" customHeight="true">
      <c r="A5899" s="33" t="str">
        <f t="shared" si="368"/>
        <v>KLP - Revenue</v>
      </c>
      <c r="B5899" s="33" t="str">
        <f t="shared" si="369"/>
        <v>KLP</v>
      </c>
      <c r="C5899" s="33" t="str">
        <f t="shared" si="370"/>
        <v>41122-0000</v>
      </c>
      <c r="D5899" s="64" t="s">
        <v>6988</v>
      </c>
      <c r="E5899" s="64" t="s">
        <v>3700</v>
      </c>
      <c r="F5899" s="64" t="s">
        <v>230</v>
      </c>
      <c r="G5899" s="64" t="s">
        <v>3694</v>
      </c>
      <c r="H5899" s="64" t="s">
        <v>2871</v>
      </c>
      <c r="I5899" s="64" t="s">
        <v>3701</v>
      </c>
      <c r="J5899" s="67">
        <v>-6679.01</v>
      </c>
      <c r="K5899" s="62">
        <v>-115075.38</v>
      </c>
      <c r="L5899" s="33" t="e">
        <f>HLOOKUP(B5899,#REF!,1,0)</f>
        <v>#REF!</v>
      </c>
      <c r="M5899" s="33" t="str">
        <f t="shared" si="371"/>
        <v>P&amp;L</v>
      </c>
    </row>
    <row r="5900" spans="1:13" s="33" customFormat="true" ht="12.75" customHeight="true">
      <c r="A5900" s="33" t="str">
        <f t="shared" si="368"/>
        <v>KLP - Revenue</v>
      </c>
      <c r="B5900" s="33" t="str">
        <f t="shared" si="369"/>
        <v>KLP</v>
      </c>
      <c r="C5900" s="33" t="str">
        <f t="shared" si="370"/>
        <v>41130-0000</v>
      </c>
      <c r="D5900" s="64" t="s">
        <v>6989</v>
      </c>
      <c r="E5900" s="64" t="s">
        <v>3703</v>
      </c>
      <c r="F5900" s="64" t="s">
        <v>230</v>
      </c>
      <c r="G5900" s="64" t="s">
        <v>3694</v>
      </c>
      <c r="H5900" s="64" t="s">
        <v>2871</v>
      </c>
      <c r="I5900" s="64" t="s">
        <v>3704</v>
      </c>
      <c r="J5900" s="67">
        <v>2200</v>
      </c>
      <c r="K5900" s="62">
        <v>3300</v>
      </c>
      <c r="L5900" s="33" t="e">
        <f>HLOOKUP(B5900,#REF!,1,0)</f>
        <v>#REF!</v>
      </c>
      <c r="M5900" s="33" t="str">
        <f t="shared" si="371"/>
        <v>P&amp;L</v>
      </c>
    </row>
    <row r="5901" spans="1:13" s="33" customFormat="true" ht="12.75" customHeight="true">
      <c r="A5901" s="33" t="str">
        <f t="shared" si="368"/>
        <v>KLP - Revenue</v>
      </c>
      <c r="B5901" s="33" t="str">
        <f t="shared" si="369"/>
        <v>KLP</v>
      </c>
      <c r="C5901" s="33" t="str">
        <f t="shared" si="370"/>
        <v>41140-0000</v>
      </c>
      <c r="D5901" s="64" t="s">
        <v>6990</v>
      </c>
      <c r="E5901" s="64" t="s">
        <v>3706</v>
      </c>
      <c r="F5901" s="64" t="s">
        <v>230</v>
      </c>
      <c r="G5901" s="64" t="s">
        <v>3694</v>
      </c>
      <c r="H5901" s="64" t="s">
        <v>2871</v>
      </c>
      <c r="I5901" s="64" t="s">
        <v>3707</v>
      </c>
      <c r="J5901" s="67">
        <v>0</v>
      </c>
      <c r="K5901" s="62">
        <v>1550</v>
      </c>
      <c r="L5901" s="33" t="e">
        <f>HLOOKUP(B5901,#REF!,1,0)</f>
        <v>#REF!</v>
      </c>
      <c r="M5901" s="33" t="str">
        <f t="shared" si="371"/>
        <v>P&amp;L</v>
      </c>
    </row>
    <row r="5902" spans="1:13" s="33" customFormat="true" ht="12.75" customHeight="true">
      <c r="A5902" s="33" t="str">
        <f t="shared" si="368"/>
        <v>KLP - Revenue</v>
      </c>
      <c r="B5902" s="33" t="str">
        <f t="shared" si="369"/>
        <v>KLP</v>
      </c>
      <c r="C5902" s="33" t="str">
        <f t="shared" si="370"/>
        <v>41150-0000</v>
      </c>
      <c r="D5902" s="64" t="s">
        <v>6991</v>
      </c>
      <c r="E5902" s="64" t="s">
        <v>3709</v>
      </c>
      <c r="F5902" s="64" t="s">
        <v>230</v>
      </c>
      <c r="G5902" s="64" t="s">
        <v>3694</v>
      </c>
      <c r="H5902" s="64" t="s">
        <v>2871</v>
      </c>
      <c r="I5902" s="64" t="s">
        <v>3710</v>
      </c>
      <c r="J5902" s="67">
        <v>2026</v>
      </c>
      <c r="K5902" s="62">
        <v>12076.63</v>
      </c>
      <c r="L5902" s="33" t="e">
        <f>HLOOKUP(B5902,#REF!,1,0)</f>
        <v>#REF!</v>
      </c>
      <c r="M5902" s="33" t="str">
        <f t="shared" si="371"/>
        <v>P&amp;L</v>
      </c>
    </row>
    <row r="5903" spans="1:13" s="33" customFormat="true" ht="12.75" customHeight="true">
      <c r="A5903" s="33" t="str">
        <f t="shared" si="368"/>
        <v>KLP - Revenue</v>
      </c>
      <c r="B5903" s="33" t="str">
        <f t="shared" si="369"/>
        <v>KLP</v>
      </c>
      <c r="C5903" s="33" t="str">
        <f t="shared" si="370"/>
        <v>41160-0000</v>
      </c>
      <c r="D5903" s="64" t="s">
        <v>6992</v>
      </c>
      <c r="E5903" s="64" t="s">
        <v>3957</v>
      </c>
      <c r="F5903" s="64" t="s">
        <v>230</v>
      </c>
      <c r="G5903" s="64" t="s">
        <v>3694</v>
      </c>
      <c r="H5903" s="64" t="s">
        <v>2871</v>
      </c>
      <c r="I5903" s="64" t="s">
        <v>3701</v>
      </c>
      <c r="J5903" s="67">
        <v>0</v>
      </c>
      <c r="K5903" s="62">
        <v>-2847</v>
      </c>
      <c r="L5903" s="33" t="e">
        <f>HLOOKUP(B5903,#REF!,1,0)</f>
        <v>#REF!</v>
      </c>
      <c r="M5903" s="33" t="str">
        <f t="shared" si="371"/>
        <v>P&amp;L</v>
      </c>
    </row>
    <row r="5904" spans="1:13" s="33" customFormat="true" ht="12.75" customHeight="true">
      <c r="A5904" s="33" t="str">
        <f t="shared" si="368"/>
        <v>KLP - Revenue</v>
      </c>
      <c r="B5904" s="33" t="str">
        <f t="shared" si="369"/>
        <v>KLP</v>
      </c>
      <c r="C5904" s="33" t="str">
        <f t="shared" si="370"/>
        <v>41999-0000</v>
      </c>
      <c r="D5904" s="64" t="s">
        <v>6993</v>
      </c>
      <c r="E5904" s="64" t="s">
        <v>3712</v>
      </c>
      <c r="F5904" s="64" t="s">
        <v>230</v>
      </c>
      <c r="G5904" s="64" t="s">
        <v>3713</v>
      </c>
      <c r="H5904" s="64" t="s">
        <v>2871</v>
      </c>
      <c r="I5904" s="64" t="s">
        <v>3714</v>
      </c>
      <c r="J5904" s="67">
        <v>60589.63</v>
      </c>
      <c r="K5904" s="62">
        <v>759014.57</v>
      </c>
      <c r="L5904" s="33" t="e">
        <f>HLOOKUP(B5904,#REF!,1,0)</f>
        <v>#REF!</v>
      </c>
      <c r="M5904" s="33" t="str">
        <f t="shared" si="371"/>
        <v>P&amp;L</v>
      </c>
    </row>
    <row r="5905" spans="1:13" s="33" customFormat="true" ht="12.75" customHeight="true">
      <c r="A5905" s="33" t="str">
        <f t="shared" si="368"/>
        <v>KLP - Revenue</v>
      </c>
      <c r="B5905" s="33" t="str">
        <f t="shared" si="369"/>
        <v>KLP</v>
      </c>
      <c r="C5905" s="33" t="str">
        <f t="shared" si="370"/>
        <v>47400-0000</v>
      </c>
      <c r="D5905" s="64" t="s">
        <v>6994</v>
      </c>
      <c r="E5905" s="64" t="s">
        <v>3716</v>
      </c>
      <c r="F5905" s="64" t="s">
        <v>230</v>
      </c>
      <c r="G5905" s="64" t="s">
        <v>3717</v>
      </c>
      <c r="H5905" s="64" t="s">
        <v>2871</v>
      </c>
      <c r="I5905" s="64" t="s">
        <v>3718</v>
      </c>
      <c r="J5905" s="67">
        <v>-60589.58</v>
      </c>
      <c r="K5905" s="62">
        <v>-759014.52</v>
      </c>
      <c r="L5905" s="33" t="e">
        <f>HLOOKUP(B5905,#REF!,1,0)</f>
        <v>#REF!</v>
      </c>
      <c r="M5905" s="33" t="str">
        <f t="shared" si="371"/>
        <v>P&amp;L</v>
      </c>
    </row>
    <row r="5906" spans="1:13" s="33" customFormat="true" ht="12.75" customHeight="true">
      <c r="A5906" s="33" t="str">
        <f t="shared" si="368"/>
        <v>KLP - Revenue</v>
      </c>
      <c r="B5906" s="33" t="str">
        <f t="shared" si="369"/>
        <v>KLP</v>
      </c>
      <c r="C5906" s="33" t="str">
        <f t="shared" si="370"/>
        <v>47430-0000</v>
      </c>
      <c r="D5906" s="64" t="s">
        <v>6995</v>
      </c>
      <c r="E5906" s="64" t="s">
        <v>4053</v>
      </c>
      <c r="F5906" s="64" t="s">
        <v>230</v>
      </c>
      <c r="G5906" s="64" t="s">
        <v>3717</v>
      </c>
      <c r="H5906" s="64" t="s">
        <v>2871</v>
      </c>
      <c r="I5906" s="64" t="s">
        <v>4054</v>
      </c>
      <c r="J5906" s="67">
        <v>0</v>
      </c>
      <c r="K5906" s="62">
        <v>-618.42</v>
      </c>
      <c r="L5906" s="33" t="e">
        <f>HLOOKUP(B5906,#REF!,1,0)</f>
        <v>#REF!</v>
      </c>
      <c r="M5906" s="33" t="str">
        <f t="shared" si="371"/>
        <v>P&amp;L</v>
      </c>
    </row>
    <row r="5907" spans="1:13" s="33" customFormat="true" ht="14.25" customHeight="true">
      <c r="A5907" s="33" t="str">
        <f t="shared" si="368"/>
        <v>KLP - Revenue</v>
      </c>
      <c r="B5907" s="33" t="str">
        <f t="shared" si="369"/>
        <v>KLP</v>
      </c>
      <c r="C5907" s="33" t="str">
        <f t="shared" si="370"/>
        <v>47440-0000</v>
      </c>
      <c r="D5907" s="64" t="s">
        <v>6996</v>
      </c>
      <c r="E5907" s="64" t="s">
        <v>3720</v>
      </c>
      <c r="F5907" s="64" t="s">
        <v>230</v>
      </c>
      <c r="G5907" s="64" t="s">
        <v>3717</v>
      </c>
      <c r="H5907" s="33" t="s">
        <v>2871</v>
      </c>
      <c r="I5907" s="64" t="s">
        <v>3721</v>
      </c>
      <c r="J5907" s="67">
        <v>-1380.19</v>
      </c>
      <c r="K5907" s="62">
        <v>-5709.13</v>
      </c>
      <c r="L5907" s="33" t="e">
        <f>HLOOKUP(B5907,#REF!,1,0)</f>
        <v>#REF!</v>
      </c>
      <c r="M5907" s="33" t="str">
        <f t="shared" si="371"/>
        <v>P&amp;L</v>
      </c>
    </row>
    <row r="5908" spans="1:13" s="33" customFormat="true" ht="12.75" customHeight="true">
      <c r="A5908" s="33" t="str">
        <f t="shared" si="368"/>
        <v>KLP - Revenue</v>
      </c>
      <c r="B5908" s="33" t="str">
        <f t="shared" si="369"/>
        <v>KLP</v>
      </c>
      <c r="C5908" s="33" t="str">
        <f t="shared" si="370"/>
        <v>47450-0000</v>
      </c>
      <c r="D5908" s="64" t="s">
        <v>6997</v>
      </c>
      <c r="E5908" s="64" t="s">
        <v>3723</v>
      </c>
      <c r="F5908" s="64" t="s">
        <v>230</v>
      </c>
      <c r="G5908" s="64" t="s">
        <v>3717</v>
      </c>
      <c r="H5908" s="64" t="s">
        <v>2871</v>
      </c>
      <c r="I5908" s="64" t="s">
        <v>3724</v>
      </c>
      <c r="J5908" s="67">
        <v>0</v>
      </c>
      <c r="K5908" s="62">
        <v>0</v>
      </c>
      <c r="L5908" s="33" t="e">
        <f>HLOOKUP(B5908,#REF!,1,0)</f>
        <v>#REF!</v>
      </c>
      <c r="M5908" s="33" t="str">
        <f t="shared" si="371"/>
        <v>P&amp;L</v>
      </c>
    </row>
    <row r="5909" spans="1:13" s="33" customFormat="true" ht="12.75" customHeight="true">
      <c r="A5909" s="33" t="str">
        <f t="shared" si="368"/>
        <v>KLP - Revenue</v>
      </c>
      <c r="B5909" s="33" t="str">
        <f t="shared" si="369"/>
        <v>KLP</v>
      </c>
      <c r="C5909" s="33" t="str">
        <f t="shared" si="370"/>
        <v>47460-0000</v>
      </c>
      <c r="D5909" s="64" t="s">
        <v>6998</v>
      </c>
      <c r="E5909" s="64" t="s">
        <v>3726</v>
      </c>
      <c r="F5909" s="64" t="s">
        <v>230</v>
      </c>
      <c r="G5909" s="64" t="s">
        <v>3717</v>
      </c>
      <c r="H5909" s="64" t="s">
        <v>2871</v>
      </c>
      <c r="I5909" s="64" t="s">
        <v>3727</v>
      </c>
      <c r="J5909" s="67">
        <v>-738.39</v>
      </c>
      <c r="K5909" s="62">
        <v>-3369.99</v>
      </c>
      <c r="L5909" s="33" t="e">
        <f>HLOOKUP(B5909,#REF!,1,0)</f>
        <v>#REF!</v>
      </c>
      <c r="M5909" s="33" t="str">
        <f t="shared" si="371"/>
        <v>P&amp;L</v>
      </c>
    </row>
    <row r="5910" spans="1:13" s="33" customFormat="true" ht="12.75" customHeight="true">
      <c r="A5910" s="33" t="str">
        <f t="shared" si="368"/>
        <v>KLP - Revenue</v>
      </c>
      <c r="B5910" s="33" t="str">
        <f t="shared" si="369"/>
        <v>KLP</v>
      </c>
      <c r="C5910" s="33" t="str">
        <f t="shared" si="370"/>
        <v>47480-0000</v>
      </c>
      <c r="D5910" s="64" t="s">
        <v>6999</v>
      </c>
      <c r="E5910" s="64" t="s">
        <v>3729</v>
      </c>
      <c r="F5910" s="64" t="s">
        <v>230</v>
      </c>
      <c r="G5910" s="64" t="s">
        <v>3717</v>
      </c>
      <c r="H5910" s="64" t="s">
        <v>2871</v>
      </c>
      <c r="I5910" s="64" t="s">
        <v>3721</v>
      </c>
      <c r="J5910" s="67">
        <v>-135</v>
      </c>
      <c r="K5910" s="62">
        <v>-1945</v>
      </c>
      <c r="L5910" s="33" t="e">
        <f>HLOOKUP(B5910,#REF!,1,0)</f>
        <v>#REF!</v>
      </c>
      <c r="M5910" s="33" t="str">
        <f t="shared" si="371"/>
        <v>P&amp;L</v>
      </c>
    </row>
    <row r="5911" spans="1:13" s="33" customFormat="true" ht="12.75" customHeight="true">
      <c r="A5911" s="33" t="str">
        <f t="shared" si="368"/>
        <v>KLP - Revenue</v>
      </c>
      <c r="B5911" s="33" t="str">
        <f t="shared" si="369"/>
        <v>KLP</v>
      </c>
      <c r="C5911" s="33" t="str">
        <f t="shared" si="370"/>
        <v>47490-0000</v>
      </c>
      <c r="D5911" s="64" t="s">
        <v>7000</v>
      </c>
      <c r="E5911" s="64" t="s">
        <v>3731</v>
      </c>
      <c r="F5911" s="64" t="s">
        <v>230</v>
      </c>
      <c r="G5911" s="64" t="s">
        <v>3717</v>
      </c>
      <c r="H5911" s="64" t="s">
        <v>2871</v>
      </c>
      <c r="I5911" s="64" t="s">
        <v>3721</v>
      </c>
      <c r="J5911" s="67">
        <v>-448</v>
      </c>
      <c r="K5911" s="62">
        <v>-4391.93</v>
      </c>
      <c r="L5911" s="33" t="e">
        <f>HLOOKUP(B5911,#REF!,1,0)</f>
        <v>#REF!</v>
      </c>
      <c r="M5911" s="33" t="str">
        <f t="shared" si="371"/>
        <v>P&amp;L</v>
      </c>
    </row>
    <row r="5912" spans="1:13" s="33" customFormat="true" ht="12.75" customHeight="true">
      <c r="A5912" s="33" t="str">
        <f t="shared" si="368"/>
        <v>KLP - Revenue</v>
      </c>
      <c r="B5912" s="33" t="str">
        <f t="shared" si="369"/>
        <v>KLP</v>
      </c>
      <c r="C5912" s="33" t="str">
        <f t="shared" si="370"/>
        <v>47491-0000</v>
      </c>
      <c r="D5912" s="64" t="s">
        <v>7001</v>
      </c>
      <c r="E5912" s="64" t="s">
        <v>3733</v>
      </c>
      <c r="F5912" s="64" t="s">
        <v>230</v>
      </c>
      <c r="G5912" s="64" t="s">
        <v>3717</v>
      </c>
      <c r="H5912" s="64" t="s">
        <v>2871</v>
      </c>
      <c r="I5912" s="64" t="s">
        <v>3734</v>
      </c>
      <c r="J5912" s="67">
        <v>-2615.04</v>
      </c>
      <c r="K5912" s="62">
        <v>-31077.11</v>
      </c>
      <c r="L5912" s="33" t="e">
        <f>HLOOKUP(B5912,#REF!,1,0)</f>
        <v>#REF!</v>
      </c>
      <c r="M5912" s="33" t="str">
        <f t="shared" si="371"/>
        <v>P&amp;L</v>
      </c>
    </row>
    <row r="5913" spans="1:13" s="33" customFormat="true" ht="12.75" customHeight="true">
      <c r="A5913" s="33" t="str">
        <f t="shared" si="368"/>
        <v>KLP - Revenue</v>
      </c>
      <c r="B5913" s="33" t="str">
        <f t="shared" si="369"/>
        <v>KLP</v>
      </c>
      <c r="C5913" s="33" t="str">
        <f t="shared" si="370"/>
        <v>47492-0000</v>
      </c>
      <c r="D5913" s="64" t="s">
        <v>7002</v>
      </c>
      <c r="E5913" s="64" t="s">
        <v>3736</v>
      </c>
      <c r="F5913" s="64" t="s">
        <v>230</v>
      </c>
      <c r="G5913" s="64" t="s">
        <v>3717</v>
      </c>
      <c r="H5913" s="64" t="s">
        <v>2871</v>
      </c>
      <c r="I5913" s="64" t="s">
        <v>3737</v>
      </c>
      <c r="J5913" s="67">
        <v>-59</v>
      </c>
      <c r="K5913" s="62">
        <v>-59</v>
      </c>
      <c r="L5913" s="33" t="e">
        <f>HLOOKUP(B5913,#REF!,1,0)</f>
        <v>#REF!</v>
      </c>
      <c r="M5913" s="33" t="str">
        <f t="shared" si="371"/>
        <v>P&amp;L</v>
      </c>
    </row>
    <row r="5914" spans="1:13" s="33" customFormat="true" ht="12.75" customHeight="true">
      <c r="A5914" s="33" t="str">
        <f t="shared" si="368"/>
        <v>KLP - CGS</v>
      </c>
      <c r="B5914" s="33" t="str">
        <f t="shared" si="369"/>
        <v>KLP</v>
      </c>
      <c r="C5914" s="33" t="str">
        <f t="shared" si="370"/>
        <v>51001-0000</v>
      </c>
      <c r="D5914" s="64" t="s">
        <v>7003</v>
      </c>
      <c r="E5914" s="64" t="s">
        <v>4536</v>
      </c>
      <c r="F5914" s="64" t="s">
        <v>230</v>
      </c>
      <c r="G5914" s="64" t="s">
        <v>3740</v>
      </c>
      <c r="H5914" s="64" t="s">
        <v>1875</v>
      </c>
      <c r="I5914" s="64" t="s">
        <v>4537</v>
      </c>
      <c r="J5914" s="67">
        <v>0</v>
      </c>
      <c r="K5914" s="62">
        <v>0</v>
      </c>
      <c r="L5914" s="33" t="e">
        <f>HLOOKUP(B5914,#REF!,1,0)</f>
        <v>#REF!</v>
      </c>
      <c r="M5914" s="33" t="str">
        <f t="shared" si="371"/>
        <v>P&amp;L</v>
      </c>
    </row>
    <row r="5915" spans="1:13" s="33" customFormat="true" ht="12.75" customHeight="true">
      <c r="A5915" s="33" t="str">
        <f t="shared" si="368"/>
        <v>KLP - CGS</v>
      </c>
      <c r="B5915" s="33" t="str">
        <f t="shared" si="369"/>
        <v>KLP</v>
      </c>
      <c r="C5915" s="33" t="str">
        <f t="shared" si="370"/>
        <v>51005-0000</v>
      </c>
      <c r="D5915" s="64" t="s">
        <v>7004</v>
      </c>
      <c r="E5915" s="64" t="s">
        <v>3968</v>
      </c>
      <c r="F5915" s="64" t="s">
        <v>230</v>
      </c>
      <c r="G5915" s="64" t="s">
        <v>3740</v>
      </c>
      <c r="H5915" s="64" t="s">
        <v>1875</v>
      </c>
      <c r="I5915" s="64" t="s">
        <v>3969</v>
      </c>
      <c r="J5915" s="67">
        <v>0</v>
      </c>
      <c r="K5915" s="62">
        <v>-25</v>
      </c>
      <c r="L5915" s="33" t="e">
        <f>HLOOKUP(B5915,#REF!,1,0)</f>
        <v>#REF!</v>
      </c>
      <c r="M5915" s="33" t="str">
        <f t="shared" si="371"/>
        <v>P&amp;L</v>
      </c>
    </row>
    <row r="5916" spans="1:13" s="33" customFormat="true" ht="12.75" customHeight="true">
      <c r="A5916" s="33" t="str">
        <f t="shared" si="368"/>
        <v>KLP - CGS</v>
      </c>
      <c r="B5916" s="33" t="str">
        <f t="shared" si="369"/>
        <v>KLP</v>
      </c>
      <c r="C5916" s="33" t="str">
        <f t="shared" si="370"/>
        <v>51006-0000</v>
      </c>
      <c r="D5916" s="64" t="s">
        <v>7005</v>
      </c>
      <c r="E5916" s="64" t="s">
        <v>3739</v>
      </c>
      <c r="F5916" s="64" t="s">
        <v>230</v>
      </c>
      <c r="G5916" s="64" t="s">
        <v>3740</v>
      </c>
      <c r="H5916" s="64" t="s">
        <v>1875</v>
      </c>
      <c r="I5916" s="64" t="s">
        <v>3741</v>
      </c>
      <c r="J5916" s="67">
        <v>151.45</v>
      </c>
      <c r="K5916" s="62">
        <v>2179.55</v>
      </c>
      <c r="L5916" s="33" t="e">
        <f>HLOOKUP(B5916,#REF!,1,0)</f>
        <v>#REF!</v>
      </c>
      <c r="M5916" s="33" t="str">
        <f t="shared" si="371"/>
        <v>P&amp;L</v>
      </c>
    </row>
    <row r="5917" spans="1:13" s="33" customFormat="true" ht="12.75" customHeight="true">
      <c r="A5917" s="33" t="str">
        <f t="shared" si="368"/>
        <v>KLP - CGS</v>
      </c>
      <c r="B5917" s="33" t="str">
        <f t="shared" si="369"/>
        <v>KLP</v>
      </c>
      <c r="C5917" s="33" t="str">
        <f t="shared" si="370"/>
        <v>51007-0000</v>
      </c>
      <c r="D5917" s="64" t="s">
        <v>7006</v>
      </c>
      <c r="E5917" s="64" t="s">
        <v>3972</v>
      </c>
      <c r="F5917" s="64" t="s">
        <v>230</v>
      </c>
      <c r="G5917" s="64" t="s">
        <v>3740</v>
      </c>
      <c r="H5917" s="64" t="s">
        <v>1875</v>
      </c>
      <c r="I5917" s="64" t="s">
        <v>3973</v>
      </c>
      <c r="J5917" s="67">
        <v>0</v>
      </c>
      <c r="K5917" s="62">
        <v>709.46</v>
      </c>
      <c r="L5917" s="33" t="e">
        <f>HLOOKUP(B5917,#REF!,1,0)</f>
        <v>#REF!</v>
      </c>
      <c r="M5917" s="33" t="str">
        <f t="shared" si="371"/>
        <v>P&amp;L</v>
      </c>
    </row>
    <row r="5918" spans="1:13" s="33" customFormat="true" ht="12.75" customHeight="true">
      <c r="A5918" s="33" t="str">
        <f t="shared" si="368"/>
        <v>KLP - CGS</v>
      </c>
      <c r="B5918" s="33" t="str">
        <f t="shared" si="369"/>
        <v>KLP</v>
      </c>
      <c r="C5918" s="33" t="str">
        <f t="shared" si="370"/>
        <v>51008-0000</v>
      </c>
      <c r="D5918" s="64" t="s">
        <v>7007</v>
      </c>
      <c r="E5918" s="64" t="s">
        <v>3743</v>
      </c>
      <c r="F5918" s="64" t="s">
        <v>230</v>
      </c>
      <c r="G5918" s="64" t="s">
        <v>3740</v>
      </c>
      <c r="H5918" s="64" t="s">
        <v>1875</v>
      </c>
      <c r="I5918" s="64" t="s">
        <v>3744</v>
      </c>
      <c r="J5918" s="67">
        <v>336.25</v>
      </c>
      <c r="K5918" s="62">
        <v>6960.37</v>
      </c>
      <c r="L5918" s="33" t="e">
        <f>HLOOKUP(B5918,#REF!,1,0)</f>
        <v>#REF!</v>
      </c>
      <c r="M5918" s="33" t="str">
        <f t="shared" si="371"/>
        <v>P&amp;L</v>
      </c>
    </row>
    <row r="5919" spans="1:13" s="33" customFormat="true" ht="12.75" customHeight="true">
      <c r="A5919" s="33" t="str">
        <f t="shared" si="368"/>
        <v>KLP - CGS</v>
      </c>
      <c r="B5919" s="33" t="str">
        <f t="shared" si="369"/>
        <v>KLP</v>
      </c>
      <c r="C5919" s="33" t="str">
        <f t="shared" si="370"/>
        <v>51009-0000</v>
      </c>
      <c r="D5919" s="64" t="s">
        <v>7008</v>
      </c>
      <c r="E5919" s="64" t="s">
        <v>3746</v>
      </c>
      <c r="F5919" s="64" t="s">
        <v>230</v>
      </c>
      <c r="G5919" s="64" t="s">
        <v>3740</v>
      </c>
      <c r="H5919" s="64" t="s">
        <v>1875</v>
      </c>
      <c r="I5919" s="64" t="s">
        <v>3747</v>
      </c>
      <c r="J5919" s="67">
        <v>741.58</v>
      </c>
      <c r="K5919" s="62">
        <v>2414.64</v>
      </c>
      <c r="L5919" s="33" t="e">
        <f>HLOOKUP(B5919,#REF!,1,0)</f>
        <v>#REF!</v>
      </c>
      <c r="M5919" s="33" t="str">
        <f t="shared" si="371"/>
        <v>P&amp;L</v>
      </c>
    </row>
    <row r="5920" spans="1:13" s="33" customFormat="true" ht="12.75" customHeight="true">
      <c r="A5920" s="33" t="str">
        <f t="shared" si="368"/>
        <v>KLP - CGS</v>
      </c>
      <c r="B5920" s="33" t="str">
        <f t="shared" si="369"/>
        <v>KLP</v>
      </c>
      <c r="C5920" s="33" t="str">
        <f t="shared" si="370"/>
        <v>51011-0000</v>
      </c>
      <c r="D5920" s="64" t="s">
        <v>7009</v>
      </c>
      <c r="E5920" s="64" t="s">
        <v>3749</v>
      </c>
      <c r="F5920" s="64" t="s">
        <v>230</v>
      </c>
      <c r="G5920" s="64" t="s">
        <v>3740</v>
      </c>
      <c r="H5920" s="64" t="s">
        <v>1875</v>
      </c>
      <c r="I5920" s="64" t="s">
        <v>3750</v>
      </c>
      <c r="J5920" s="67">
        <v>2100</v>
      </c>
      <c r="K5920" s="62">
        <v>10200</v>
      </c>
      <c r="L5920" s="33" t="e">
        <f>HLOOKUP(B5920,#REF!,1,0)</f>
        <v>#REF!</v>
      </c>
      <c r="M5920" s="33" t="str">
        <f t="shared" si="371"/>
        <v>P&amp;L</v>
      </c>
    </row>
    <row r="5921" spans="1:13" s="33" customFormat="true" ht="12.75" customHeight="true">
      <c r="A5921" s="33" t="str">
        <f t="shared" si="368"/>
        <v>KLP - CGS</v>
      </c>
      <c r="B5921" s="33" t="str">
        <f t="shared" si="369"/>
        <v>KLP</v>
      </c>
      <c r="C5921" s="33" t="str">
        <f t="shared" si="370"/>
        <v>51012-0000</v>
      </c>
      <c r="D5921" s="64" t="s">
        <v>7010</v>
      </c>
      <c r="E5921" s="64" t="s">
        <v>3752</v>
      </c>
      <c r="F5921" s="64" t="s">
        <v>230</v>
      </c>
      <c r="G5921" s="64" t="s">
        <v>3740</v>
      </c>
      <c r="H5921" s="64" t="s">
        <v>1875</v>
      </c>
      <c r="I5921" s="64" t="s">
        <v>3753</v>
      </c>
      <c r="J5921" s="67">
        <v>440</v>
      </c>
      <c r="K5921" s="62">
        <v>1430</v>
      </c>
      <c r="L5921" s="33" t="e">
        <f>HLOOKUP(B5921,#REF!,1,0)</f>
        <v>#REF!</v>
      </c>
      <c r="M5921" s="33" t="str">
        <f t="shared" si="371"/>
        <v>P&amp;L</v>
      </c>
    </row>
    <row r="5922" spans="1:13" s="33" customFormat="true" ht="12.75" customHeight="true">
      <c r="A5922" s="33" t="str">
        <f t="shared" si="368"/>
        <v>KLP - CGS</v>
      </c>
      <c r="B5922" s="33" t="str">
        <f t="shared" si="369"/>
        <v>KLP</v>
      </c>
      <c r="C5922" s="33" t="str">
        <f t="shared" si="370"/>
        <v>51015-0000</v>
      </c>
      <c r="D5922" s="64" t="s">
        <v>7011</v>
      </c>
      <c r="E5922" s="64" t="s">
        <v>3755</v>
      </c>
      <c r="F5922" s="64" t="s">
        <v>230</v>
      </c>
      <c r="G5922" s="64" t="s">
        <v>3740</v>
      </c>
      <c r="H5922" s="64" t="s">
        <v>1875</v>
      </c>
      <c r="I5922" s="64" t="s">
        <v>3756</v>
      </c>
      <c r="J5922" s="67">
        <v>0</v>
      </c>
      <c r="K5922" s="62">
        <v>1778.63</v>
      </c>
      <c r="L5922" s="33" t="e">
        <f>HLOOKUP(B5922,#REF!,1,0)</f>
        <v>#REF!</v>
      </c>
      <c r="M5922" s="33" t="str">
        <f t="shared" si="371"/>
        <v>P&amp;L</v>
      </c>
    </row>
    <row r="5923" spans="1:13" s="33" customFormat="true" ht="12.75" customHeight="true">
      <c r="A5923" s="33" t="str">
        <f t="shared" si="368"/>
        <v>KLP - CGS</v>
      </c>
      <c r="B5923" s="33" t="str">
        <f t="shared" si="369"/>
        <v>KLP</v>
      </c>
      <c r="C5923" s="33" t="str">
        <f t="shared" si="370"/>
        <v>51017-0000</v>
      </c>
      <c r="D5923" s="64" t="s">
        <v>7012</v>
      </c>
      <c r="E5923" s="64" t="s">
        <v>3758</v>
      </c>
      <c r="F5923" s="64" t="s">
        <v>230</v>
      </c>
      <c r="G5923" s="64" t="s">
        <v>3160</v>
      </c>
      <c r="H5923" s="64" t="s">
        <v>1875</v>
      </c>
      <c r="I5923" s="64" t="s">
        <v>3759</v>
      </c>
      <c r="J5923" s="67">
        <v>0</v>
      </c>
      <c r="K5923" s="62">
        <v>5257.44</v>
      </c>
      <c r="L5923" s="33" t="e">
        <f>HLOOKUP(B5923,#REF!,1,0)</f>
        <v>#REF!</v>
      </c>
      <c r="M5923" s="33" t="str">
        <f t="shared" si="371"/>
        <v>P&amp;L</v>
      </c>
    </row>
    <row r="5924" spans="1:13" s="33" customFormat="true" ht="12.75" customHeight="true">
      <c r="A5924" s="33" t="str">
        <f t="shared" si="368"/>
        <v>KLP - CGS</v>
      </c>
      <c r="B5924" s="33" t="str">
        <f t="shared" si="369"/>
        <v>KLP</v>
      </c>
      <c r="C5924" s="33" t="str">
        <f t="shared" si="370"/>
        <v>51018-0000</v>
      </c>
      <c r="D5924" s="64" t="s">
        <v>7013</v>
      </c>
      <c r="E5924" s="64" t="s">
        <v>3984</v>
      </c>
      <c r="F5924" s="64" t="s">
        <v>230</v>
      </c>
      <c r="G5924" s="64" t="s">
        <v>3740</v>
      </c>
      <c r="H5924" s="64" t="s">
        <v>1875</v>
      </c>
      <c r="I5924" s="64" t="s">
        <v>3319</v>
      </c>
      <c r="J5924" s="67">
        <v>51.05</v>
      </c>
      <c r="K5924" s="62">
        <v>567.41</v>
      </c>
      <c r="L5924" s="33" t="e">
        <f>HLOOKUP(B5924,#REF!,1,0)</f>
        <v>#REF!</v>
      </c>
      <c r="M5924" s="33" t="str">
        <f t="shared" si="371"/>
        <v>P&amp;L</v>
      </c>
    </row>
    <row r="5925" spans="1:13" s="33" customFormat="true" ht="12.75" customHeight="true">
      <c r="A5925" s="33" t="str">
        <f t="shared" si="368"/>
        <v>KLP - CGS</v>
      </c>
      <c r="B5925" s="33" t="str">
        <f t="shared" si="369"/>
        <v>KLP</v>
      </c>
      <c r="C5925" s="33" t="str">
        <f t="shared" si="370"/>
        <v>51019-0000</v>
      </c>
      <c r="D5925" s="64" t="s">
        <v>7014</v>
      </c>
      <c r="E5925" s="64" t="s">
        <v>3761</v>
      </c>
      <c r="F5925" s="64" t="s">
        <v>230</v>
      </c>
      <c r="G5925" s="64" t="s">
        <v>3740</v>
      </c>
      <c r="H5925" s="64" t="s">
        <v>1875</v>
      </c>
      <c r="I5925" s="64" t="s">
        <v>3340</v>
      </c>
      <c r="J5925" s="67">
        <v>0</v>
      </c>
      <c r="K5925" s="62">
        <v>452.29</v>
      </c>
      <c r="L5925" s="33" t="e">
        <f>HLOOKUP(B5925,#REF!,1,0)</f>
        <v>#REF!</v>
      </c>
      <c r="M5925" s="33" t="str">
        <f t="shared" si="371"/>
        <v>P&amp;L</v>
      </c>
    </row>
    <row r="5926" spans="1:13" s="33" customFormat="true" ht="12.75" customHeight="true">
      <c r="A5926" s="33" t="str">
        <f t="shared" si="368"/>
        <v>KLP - CGS</v>
      </c>
      <c r="B5926" s="33" t="str">
        <f t="shared" si="369"/>
        <v>KLP</v>
      </c>
      <c r="C5926" s="33" t="str">
        <f t="shared" si="370"/>
        <v>51020-0000</v>
      </c>
      <c r="D5926" s="64" t="s">
        <v>7015</v>
      </c>
      <c r="E5926" s="64" t="s">
        <v>3763</v>
      </c>
      <c r="F5926" s="64" t="s">
        <v>230</v>
      </c>
      <c r="G5926" s="64" t="s">
        <v>3740</v>
      </c>
      <c r="H5926" s="64" t="s">
        <v>1875</v>
      </c>
      <c r="I5926" s="64" t="s">
        <v>3345</v>
      </c>
      <c r="J5926" s="67">
        <v>0</v>
      </c>
      <c r="K5926" s="62">
        <v>5482.01</v>
      </c>
      <c r="L5926" s="33" t="e">
        <f>HLOOKUP(B5926,#REF!,1,0)</f>
        <v>#REF!</v>
      </c>
      <c r="M5926" s="33" t="str">
        <f t="shared" si="371"/>
        <v>P&amp;L</v>
      </c>
    </row>
    <row r="5927" spans="1:13" s="33" customFormat="true" ht="12.75" customHeight="true">
      <c r="A5927" s="33" t="str">
        <f t="shared" si="368"/>
        <v>KLP - CGS</v>
      </c>
      <c r="B5927" s="33" t="str">
        <f t="shared" si="369"/>
        <v>KLP</v>
      </c>
      <c r="C5927" s="33" t="str">
        <f t="shared" si="370"/>
        <v>51024-0000</v>
      </c>
      <c r="D5927" s="64" t="s">
        <v>7016</v>
      </c>
      <c r="E5927" s="64" t="s">
        <v>3765</v>
      </c>
      <c r="F5927" s="64" t="s">
        <v>230</v>
      </c>
      <c r="G5927" s="64" t="s">
        <v>3740</v>
      </c>
      <c r="H5927" s="64" t="s">
        <v>1875</v>
      </c>
      <c r="I5927" s="64" t="s">
        <v>3766</v>
      </c>
      <c r="J5927" s="67">
        <v>0</v>
      </c>
      <c r="K5927" s="62">
        <v>330.96</v>
      </c>
      <c r="L5927" s="33" t="e">
        <f>HLOOKUP(B5927,#REF!,1,0)</f>
        <v>#REF!</v>
      </c>
      <c r="M5927" s="33" t="str">
        <f t="shared" si="371"/>
        <v>P&amp;L</v>
      </c>
    </row>
    <row r="5928" spans="1:13" s="33" customFormat="true" ht="12.75" customHeight="true">
      <c r="A5928" s="33" t="str">
        <f t="shared" si="368"/>
        <v>KLP - CGS</v>
      </c>
      <c r="B5928" s="33" t="str">
        <f t="shared" si="369"/>
        <v>KLP</v>
      </c>
      <c r="C5928" s="33" t="str">
        <f t="shared" si="370"/>
        <v>51025-0000</v>
      </c>
      <c r="D5928" s="64" t="s">
        <v>7017</v>
      </c>
      <c r="E5928" s="64" t="s">
        <v>3988</v>
      </c>
      <c r="F5928" s="64" t="s">
        <v>230</v>
      </c>
      <c r="G5928" s="64" t="s">
        <v>3740</v>
      </c>
      <c r="H5928" s="64" t="s">
        <v>1875</v>
      </c>
      <c r="I5928" s="64" t="s">
        <v>3989</v>
      </c>
      <c r="J5928" s="67">
        <v>312.21</v>
      </c>
      <c r="K5928" s="62">
        <v>1873.26</v>
      </c>
      <c r="L5928" s="33" t="e">
        <f>HLOOKUP(B5928,#REF!,1,0)</f>
        <v>#REF!</v>
      </c>
      <c r="M5928" s="33" t="str">
        <f t="shared" si="371"/>
        <v>P&amp;L</v>
      </c>
    </row>
    <row r="5929" spans="1:13" s="33" customFormat="true" ht="12.75" customHeight="true">
      <c r="A5929" s="33" t="str">
        <f t="shared" si="368"/>
        <v>KLP - CGS</v>
      </c>
      <c r="B5929" s="33" t="str">
        <f t="shared" si="369"/>
        <v>KLP</v>
      </c>
      <c r="C5929" s="33" t="str">
        <f t="shared" si="370"/>
        <v>51029-0000</v>
      </c>
      <c r="D5929" s="64" t="s">
        <v>7018</v>
      </c>
      <c r="E5929" s="64" t="s">
        <v>3993</v>
      </c>
      <c r="F5929" s="64" t="s">
        <v>230</v>
      </c>
      <c r="G5929" s="64" t="s">
        <v>3740</v>
      </c>
      <c r="H5929" s="64" t="s">
        <v>1875</v>
      </c>
      <c r="I5929" s="64" t="s">
        <v>3994</v>
      </c>
      <c r="J5929" s="67">
        <v>1430</v>
      </c>
      <c r="K5929" s="62">
        <v>4950</v>
      </c>
      <c r="L5929" s="33" t="e">
        <f>HLOOKUP(B5929,#REF!,1,0)</f>
        <v>#REF!</v>
      </c>
      <c r="M5929" s="33" t="str">
        <f t="shared" si="371"/>
        <v>P&amp;L</v>
      </c>
    </row>
    <row r="5930" spans="1:13" s="33" customFormat="true" ht="12.75" customHeight="true">
      <c r="A5930" s="33" t="str">
        <f t="shared" si="368"/>
        <v>KLP - CGS</v>
      </c>
      <c r="B5930" s="33" t="str">
        <f t="shared" si="369"/>
        <v>KLP</v>
      </c>
      <c r="C5930" s="33" t="str">
        <f t="shared" si="370"/>
        <v>52001-0000</v>
      </c>
      <c r="D5930" s="64" t="s">
        <v>7019</v>
      </c>
      <c r="E5930" s="64" t="s">
        <v>3768</v>
      </c>
      <c r="F5930" s="64" t="s">
        <v>230</v>
      </c>
      <c r="G5930" s="64" t="s">
        <v>3769</v>
      </c>
      <c r="H5930" s="64" t="s">
        <v>1875</v>
      </c>
      <c r="I5930" s="64" t="s">
        <v>3770</v>
      </c>
      <c r="J5930" s="67">
        <v>287.2</v>
      </c>
      <c r="K5930" s="62">
        <v>979.21</v>
      </c>
      <c r="L5930" s="33" t="e">
        <f>HLOOKUP(B5930,#REF!,1,0)</f>
        <v>#REF!</v>
      </c>
      <c r="M5930" s="33" t="str">
        <f t="shared" si="371"/>
        <v>P&amp;L</v>
      </c>
    </row>
    <row r="5931" spans="1:13" s="33" customFormat="true" ht="12.75" customHeight="true">
      <c r="A5931" s="33" t="str">
        <f t="shared" si="368"/>
        <v>KLP - CGS</v>
      </c>
      <c r="B5931" s="33" t="str">
        <f t="shared" si="369"/>
        <v>KLP</v>
      </c>
      <c r="C5931" s="33" t="str">
        <f t="shared" si="370"/>
        <v>52003-0000</v>
      </c>
      <c r="D5931" s="64" t="s">
        <v>7020</v>
      </c>
      <c r="E5931" s="64" t="s">
        <v>3772</v>
      </c>
      <c r="F5931" s="64" t="s">
        <v>230</v>
      </c>
      <c r="G5931" s="64" t="s">
        <v>3769</v>
      </c>
      <c r="H5931" s="64" t="s">
        <v>1875</v>
      </c>
      <c r="I5931" s="64" t="s">
        <v>3773</v>
      </c>
      <c r="J5931" s="67">
        <v>-150</v>
      </c>
      <c r="K5931" s="62">
        <v>-174.15</v>
      </c>
      <c r="L5931" s="33" t="e">
        <f>HLOOKUP(B5931,#REF!,1,0)</f>
        <v>#REF!</v>
      </c>
      <c r="M5931" s="33" t="str">
        <f t="shared" si="371"/>
        <v>P&amp;L</v>
      </c>
    </row>
    <row r="5932" spans="1:13" s="33" customFormat="true" ht="12.75" customHeight="true">
      <c r="A5932" s="33" t="str">
        <f t="shared" si="368"/>
        <v>KLP - CGS</v>
      </c>
      <c r="B5932" s="33" t="str">
        <f t="shared" si="369"/>
        <v>KLP</v>
      </c>
      <c r="C5932" s="33" t="str">
        <f t="shared" si="370"/>
        <v>52004-0000</v>
      </c>
      <c r="D5932" s="64" t="s">
        <v>7021</v>
      </c>
      <c r="E5932" s="64" t="s">
        <v>3775</v>
      </c>
      <c r="F5932" s="64" t="s">
        <v>230</v>
      </c>
      <c r="G5932" s="64" t="s">
        <v>3769</v>
      </c>
      <c r="H5932" s="64" t="s">
        <v>1875</v>
      </c>
      <c r="I5932" s="64" t="s">
        <v>3776</v>
      </c>
      <c r="J5932" s="67">
        <v>-150</v>
      </c>
      <c r="K5932" s="62">
        <v>-934.11</v>
      </c>
      <c r="L5932" s="33" t="e">
        <f>HLOOKUP(B5932,#REF!,1,0)</f>
        <v>#REF!</v>
      </c>
      <c r="M5932" s="33" t="str">
        <f t="shared" si="371"/>
        <v>P&amp;L</v>
      </c>
    </row>
    <row r="5933" spans="1:13" s="33" customFormat="true" ht="12.75" customHeight="true">
      <c r="A5933" s="33" t="str">
        <f t="shared" si="368"/>
        <v>KLP - CGS</v>
      </c>
      <c r="B5933" s="33" t="str">
        <f t="shared" si="369"/>
        <v>KLP</v>
      </c>
      <c r="C5933" s="33" t="str">
        <f t="shared" si="370"/>
        <v>52006-0000</v>
      </c>
      <c r="D5933" s="64" t="s">
        <v>7022</v>
      </c>
      <c r="E5933" s="64" t="s">
        <v>3778</v>
      </c>
      <c r="F5933" s="64" t="s">
        <v>230</v>
      </c>
      <c r="G5933" s="64" t="s">
        <v>3769</v>
      </c>
      <c r="H5933" s="64" t="s">
        <v>1875</v>
      </c>
      <c r="I5933" s="64" t="s">
        <v>3779</v>
      </c>
      <c r="J5933" s="67">
        <v>-25</v>
      </c>
      <c r="K5933" s="62">
        <v>647.54</v>
      </c>
      <c r="L5933" s="33" t="e">
        <f>HLOOKUP(B5933,#REF!,1,0)</f>
        <v>#REF!</v>
      </c>
      <c r="M5933" s="33" t="str">
        <f t="shared" si="371"/>
        <v>P&amp;L</v>
      </c>
    </row>
    <row r="5934" spans="1:13" s="33" customFormat="true" ht="12.75" customHeight="true">
      <c r="A5934" s="33" t="str">
        <f t="shared" si="368"/>
        <v>KLP - CGS</v>
      </c>
      <c r="B5934" s="33" t="str">
        <f t="shared" si="369"/>
        <v>KLP</v>
      </c>
      <c r="C5934" s="33" t="str">
        <f t="shared" si="370"/>
        <v>53001-0000</v>
      </c>
      <c r="D5934" s="64" t="s">
        <v>7023</v>
      </c>
      <c r="E5934" s="64" t="s">
        <v>3781</v>
      </c>
      <c r="F5934" s="64" t="s">
        <v>230</v>
      </c>
      <c r="G5934" s="64" t="s">
        <v>3160</v>
      </c>
      <c r="H5934" s="64" t="s">
        <v>1875</v>
      </c>
      <c r="I5934" s="64" t="s">
        <v>3782</v>
      </c>
      <c r="J5934" s="67">
        <v>85</v>
      </c>
      <c r="K5934" s="62">
        <v>1888.14</v>
      </c>
      <c r="L5934" s="33" t="e">
        <f>HLOOKUP(B5934,#REF!,1,0)</f>
        <v>#REF!</v>
      </c>
      <c r="M5934" s="33" t="str">
        <f t="shared" si="371"/>
        <v>P&amp;L</v>
      </c>
    </row>
    <row r="5935" spans="1:13" s="33" customFormat="true" ht="12.75" customHeight="true">
      <c r="A5935" s="33" t="str">
        <f t="shared" si="368"/>
        <v>KLP - CGS</v>
      </c>
      <c r="B5935" s="33" t="str">
        <f t="shared" si="369"/>
        <v>KLP</v>
      </c>
      <c r="C5935" s="33" t="str">
        <f t="shared" si="370"/>
        <v>53002-0000</v>
      </c>
      <c r="D5935" s="64" t="s">
        <v>7024</v>
      </c>
      <c r="E5935" s="64" t="s">
        <v>3784</v>
      </c>
      <c r="F5935" s="64" t="s">
        <v>230</v>
      </c>
      <c r="G5935" s="64" t="s">
        <v>3160</v>
      </c>
      <c r="H5935" s="64" t="s">
        <v>1875</v>
      </c>
      <c r="I5935" s="64" t="s">
        <v>3785</v>
      </c>
      <c r="J5935" s="67">
        <v>1447.47</v>
      </c>
      <c r="K5935" s="62">
        <v>10707.81</v>
      </c>
      <c r="L5935" s="33" t="e">
        <f>HLOOKUP(B5935,#REF!,1,0)</f>
        <v>#REF!</v>
      </c>
      <c r="M5935" s="33" t="str">
        <f t="shared" si="371"/>
        <v>P&amp;L</v>
      </c>
    </row>
    <row r="5936" spans="1:13" s="33" customFormat="true" ht="12.75" customHeight="true">
      <c r="A5936" s="33" t="str">
        <f t="shared" si="368"/>
        <v>KLP - CGS</v>
      </c>
      <c r="B5936" s="33" t="str">
        <f t="shared" si="369"/>
        <v>KLP</v>
      </c>
      <c r="C5936" s="33" t="str">
        <f t="shared" si="370"/>
        <v>53003-0000</v>
      </c>
      <c r="D5936" s="64" t="s">
        <v>7025</v>
      </c>
      <c r="E5936" s="64" t="s">
        <v>3787</v>
      </c>
      <c r="F5936" s="64" t="s">
        <v>230</v>
      </c>
      <c r="G5936" s="64" t="s">
        <v>3160</v>
      </c>
      <c r="H5936" s="64" t="s">
        <v>1875</v>
      </c>
      <c r="I5936" s="64" t="s">
        <v>3788</v>
      </c>
      <c r="J5936" s="67">
        <v>1853.58</v>
      </c>
      <c r="K5936" s="62">
        <v>6954.46</v>
      </c>
      <c r="L5936" s="33" t="e">
        <f>HLOOKUP(B5936,#REF!,1,0)</f>
        <v>#REF!</v>
      </c>
      <c r="M5936" s="33" t="str">
        <f t="shared" si="371"/>
        <v>P&amp;L</v>
      </c>
    </row>
    <row r="5937" spans="1:13" s="33" customFormat="true" ht="12.75" customHeight="true">
      <c r="A5937" s="33" t="str">
        <f t="shared" si="368"/>
        <v>KLP - CGS</v>
      </c>
      <c r="B5937" s="33" t="str">
        <f t="shared" si="369"/>
        <v>KLP</v>
      </c>
      <c r="C5937" s="33" t="str">
        <f t="shared" si="370"/>
        <v>53004-0000</v>
      </c>
      <c r="D5937" s="64" t="s">
        <v>7026</v>
      </c>
      <c r="E5937" s="64" t="s">
        <v>3790</v>
      </c>
      <c r="F5937" s="64" t="s">
        <v>230</v>
      </c>
      <c r="G5937" s="64" t="s">
        <v>3160</v>
      </c>
      <c r="H5937" s="64" t="s">
        <v>1875</v>
      </c>
      <c r="I5937" s="64" t="s">
        <v>3791</v>
      </c>
      <c r="J5937" s="67">
        <v>68.38</v>
      </c>
      <c r="K5937" s="62">
        <v>755.35</v>
      </c>
      <c r="L5937" s="33" t="e">
        <f>HLOOKUP(B5937,#REF!,1,0)</f>
        <v>#REF!</v>
      </c>
      <c r="M5937" s="33" t="str">
        <f t="shared" si="371"/>
        <v>P&amp;L</v>
      </c>
    </row>
    <row r="5938" spans="1:13" s="33" customFormat="true" ht="12.75" customHeight="true">
      <c r="A5938" s="33" t="str">
        <f t="shared" si="368"/>
        <v>KLP - CGS</v>
      </c>
      <c r="B5938" s="33" t="str">
        <f t="shared" si="369"/>
        <v>KLP</v>
      </c>
      <c r="C5938" s="33" t="str">
        <f t="shared" si="370"/>
        <v>53005-0000</v>
      </c>
      <c r="D5938" s="64" t="s">
        <v>7027</v>
      </c>
      <c r="E5938" s="64" t="s">
        <v>3793</v>
      </c>
      <c r="F5938" s="64" t="s">
        <v>230</v>
      </c>
      <c r="G5938" s="64" t="s">
        <v>3160</v>
      </c>
      <c r="H5938" s="64" t="s">
        <v>1875</v>
      </c>
      <c r="I5938" s="64" t="s">
        <v>3794</v>
      </c>
      <c r="J5938" s="67">
        <v>1320.88</v>
      </c>
      <c r="K5938" s="62">
        <v>9609.01</v>
      </c>
      <c r="L5938" s="33" t="e">
        <f>HLOOKUP(B5938,#REF!,1,0)</f>
        <v>#REF!</v>
      </c>
      <c r="M5938" s="33" t="str">
        <f t="shared" si="371"/>
        <v>P&amp;L</v>
      </c>
    </row>
    <row r="5939" spans="1:13" s="33" customFormat="true" ht="12.75" customHeight="true">
      <c r="A5939" s="33" t="str">
        <f t="shared" si="368"/>
        <v>KLP - CGS</v>
      </c>
      <c r="B5939" s="33" t="str">
        <f t="shared" si="369"/>
        <v>KLP</v>
      </c>
      <c r="C5939" s="33" t="str">
        <f t="shared" si="370"/>
        <v>53006-0000</v>
      </c>
      <c r="D5939" s="64" t="s">
        <v>7028</v>
      </c>
      <c r="E5939" s="64" t="s">
        <v>3796</v>
      </c>
      <c r="F5939" s="64" t="s">
        <v>230</v>
      </c>
      <c r="G5939" s="64" t="s">
        <v>3160</v>
      </c>
      <c r="H5939" s="64" t="s">
        <v>1875</v>
      </c>
      <c r="I5939" s="64" t="s">
        <v>3797</v>
      </c>
      <c r="J5939" s="67">
        <v>2416.94</v>
      </c>
      <c r="K5939" s="62">
        <v>20966.51</v>
      </c>
      <c r="L5939" s="33" t="e">
        <f>HLOOKUP(B5939,#REF!,1,0)</f>
        <v>#REF!</v>
      </c>
      <c r="M5939" s="33" t="str">
        <f t="shared" si="371"/>
        <v>P&amp;L</v>
      </c>
    </row>
    <row r="5940" spans="1:13" s="33" customFormat="true" ht="12.75" customHeight="true">
      <c r="A5940" s="33" t="str">
        <f t="shared" si="368"/>
        <v>KLP - CGS</v>
      </c>
      <c r="B5940" s="33" t="str">
        <f t="shared" si="369"/>
        <v>KLP</v>
      </c>
      <c r="C5940" s="33" t="str">
        <f t="shared" si="370"/>
        <v>54001-0000</v>
      </c>
      <c r="D5940" s="64" t="s">
        <v>7029</v>
      </c>
      <c r="E5940" s="64" t="s">
        <v>4008</v>
      </c>
      <c r="F5940" s="64" t="s">
        <v>230</v>
      </c>
      <c r="G5940" s="64" t="s">
        <v>3800</v>
      </c>
      <c r="H5940" s="64" t="s">
        <v>1875</v>
      </c>
      <c r="I5940" s="64" t="s">
        <v>4009</v>
      </c>
      <c r="J5940" s="67">
        <v>-118.07</v>
      </c>
      <c r="K5940" s="62">
        <v>-118.07</v>
      </c>
      <c r="L5940" s="33" t="e">
        <f>HLOOKUP(B5940,#REF!,1,0)</f>
        <v>#REF!</v>
      </c>
      <c r="M5940" s="33" t="str">
        <f t="shared" si="371"/>
        <v>P&amp;L</v>
      </c>
    </row>
    <row r="5941" spans="1:13" s="33" customFormat="true" ht="12.75" customHeight="true">
      <c r="A5941" s="33" t="str">
        <f t="shared" si="368"/>
        <v>KLP - CGS</v>
      </c>
      <c r="B5941" s="33" t="str">
        <f t="shared" si="369"/>
        <v>KLP</v>
      </c>
      <c r="C5941" s="33" t="str">
        <f t="shared" si="370"/>
        <v>54002-0000</v>
      </c>
      <c r="D5941" s="64" t="s">
        <v>7030</v>
      </c>
      <c r="E5941" s="64" t="s">
        <v>3799</v>
      </c>
      <c r="F5941" s="64" t="s">
        <v>230</v>
      </c>
      <c r="G5941" s="64" t="s">
        <v>3800</v>
      </c>
      <c r="H5941" s="64" t="s">
        <v>1875</v>
      </c>
      <c r="I5941" s="64" t="s">
        <v>3801</v>
      </c>
      <c r="J5941" s="67">
        <v>0</v>
      </c>
      <c r="K5941" s="62">
        <v>4492</v>
      </c>
      <c r="L5941" s="33" t="e">
        <f>HLOOKUP(B5941,#REF!,1,0)</f>
        <v>#REF!</v>
      </c>
      <c r="M5941" s="33" t="str">
        <f t="shared" si="371"/>
        <v>P&amp;L</v>
      </c>
    </row>
    <row r="5942" spans="1:13" s="33" customFormat="true" ht="12.75" customHeight="true">
      <c r="A5942" s="33" t="str">
        <f t="shared" si="368"/>
        <v>KLP - CGS</v>
      </c>
      <c r="B5942" s="33" t="str">
        <f t="shared" si="369"/>
        <v>KLP</v>
      </c>
      <c r="C5942" s="33" t="str">
        <f t="shared" si="370"/>
        <v>54003-0000</v>
      </c>
      <c r="D5942" s="64" t="s">
        <v>7031</v>
      </c>
      <c r="E5942" s="64" t="s">
        <v>3803</v>
      </c>
      <c r="F5942" s="64" t="s">
        <v>230</v>
      </c>
      <c r="G5942" s="64" t="s">
        <v>3800</v>
      </c>
      <c r="H5942" s="64" t="s">
        <v>1875</v>
      </c>
      <c r="I5942" s="64" t="s">
        <v>3804</v>
      </c>
      <c r="J5942" s="67">
        <v>0</v>
      </c>
      <c r="K5942" s="62">
        <v>0</v>
      </c>
      <c r="L5942" s="33" t="e">
        <f>HLOOKUP(B5942,#REF!,1,0)</f>
        <v>#REF!</v>
      </c>
      <c r="M5942" s="33" t="str">
        <f t="shared" si="371"/>
        <v>P&amp;L</v>
      </c>
    </row>
    <row r="5943" spans="1:13" s="33" customFormat="true" ht="12.75" customHeight="true">
      <c r="A5943" s="33" t="str">
        <f t="shared" si="368"/>
        <v>KLP - CGS</v>
      </c>
      <c r="B5943" s="33" t="str">
        <f t="shared" si="369"/>
        <v>KLP</v>
      </c>
      <c r="C5943" s="33" t="str">
        <f t="shared" si="370"/>
        <v>54004-0000</v>
      </c>
      <c r="D5943" s="64" t="s">
        <v>7032</v>
      </c>
      <c r="E5943" s="64" t="s">
        <v>3806</v>
      </c>
      <c r="F5943" s="64" t="s">
        <v>230</v>
      </c>
      <c r="G5943" s="64" t="s">
        <v>3800</v>
      </c>
      <c r="H5943" s="64" t="s">
        <v>1875</v>
      </c>
      <c r="I5943" s="64" t="s">
        <v>3807</v>
      </c>
      <c r="J5943" s="67">
        <v>1600</v>
      </c>
      <c r="K5943" s="62">
        <v>30669.25</v>
      </c>
      <c r="L5943" s="33" t="e">
        <f>HLOOKUP(B5943,#REF!,1,0)</f>
        <v>#REF!</v>
      </c>
      <c r="M5943" s="33" t="str">
        <f t="shared" si="371"/>
        <v>P&amp;L</v>
      </c>
    </row>
    <row r="5944" spans="1:13" s="33" customFormat="true" ht="12.75" customHeight="true">
      <c r="A5944" s="33" t="str">
        <f t="shared" si="368"/>
        <v>KLP - CGS</v>
      </c>
      <c r="B5944" s="33" t="str">
        <f t="shared" si="369"/>
        <v>KLP</v>
      </c>
      <c r="C5944" s="33" t="str">
        <f t="shared" si="370"/>
        <v>54005-0000</v>
      </c>
      <c r="D5944" s="64" t="s">
        <v>7033</v>
      </c>
      <c r="E5944" s="64" t="s">
        <v>3809</v>
      </c>
      <c r="F5944" s="64" t="s">
        <v>230</v>
      </c>
      <c r="G5944" s="64" t="s">
        <v>3800</v>
      </c>
      <c r="H5944" s="64" t="s">
        <v>1875</v>
      </c>
      <c r="I5944" s="64" t="s">
        <v>3810</v>
      </c>
      <c r="J5944" s="67">
        <v>73.07</v>
      </c>
      <c r="K5944" s="62">
        <v>1450.7</v>
      </c>
      <c r="L5944" s="33" t="e">
        <f>HLOOKUP(B5944,#REF!,1,0)</f>
        <v>#REF!</v>
      </c>
      <c r="M5944" s="33" t="str">
        <f t="shared" si="371"/>
        <v>P&amp;L</v>
      </c>
    </row>
    <row r="5945" spans="1:13" s="33" customFormat="true" ht="12.75" customHeight="true">
      <c r="A5945" s="33" t="str">
        <f t="shared" si="368"/>
        <v>KLP - CGS</v>
      </c>
      <c r="B5945" s="33" t="str">
        <f t="shared" si="369"/>
        <v>KLP</v>
      </c>
      <c r="C5945" s="33" t="str">
        <f t="shared" si="370"/>
        <v>54006-0000</v>
      </c>
      <c r="D5945" s="64" t="s">
        <v>7034</v>
      </c>
      <c r="E5945" s="64" t="s">
        <v>3812</v>
      </c>
      <c r="F5945" s="64" t="s">
        <v>230</v>
      </c>
      <c r="G5945" s="64" t="s">
        <v>3800</v>
      </c>
      <c r="H5945" s="64" t="s">
        <v>1875</v>
      </c>
      <c r="I5945" s="64" t="s">
        <v>3003</v>
      </c>
      <c r="J5945" s="67">
        <v>235.77</v>
      </c>
      <c r="K5945" s="62">
        <v>8228.87</v>
      </c>
      <c r="L5945" s="33" t="e">
        <f>HLOOKUP(B5945,#REF!,1,0)</f>
        <v>#REF!</v>
      </c>
      <c r="M5945" s="33" t="str">
        <f t="shared" si="371"/>
        <v>P&amp;L</v>
      </c>
    </row>
    <row r="5946" spans="1:13" s="33" customFormat="true" ht="12.75" customHeight="true">
      <c r="A5946" s="33" t="str">
        <f t="shared" si="368"/>
        <v>KLP - CGS</v>
      </c>
      <c r="B5946" s="33" t="str">
        <f t="shared" si="369"/>
        <v>KLP</v>
      </c>
      <c r="C5946" s="33" t="str">
        <f t="shared" si="370"/>
        <v>54007-0000</v>
      </c>
      <c r="D5946" s="64" t="s">
        <v>7035</v>
      </c>
      <c r="E5946" s="64" t="s">
        <v>3814</v>
      </c>
      <c r="F5946" s="64" t="s">
        <v>230</v>
      </c>
      <c r="G5946" s="64" t="s">
        <v>3800</v>
      </c>
      <c r="H5946" s="64" t="s">
        <v>1875</v>
      </c>
      <c r="I5946" s="64" t="s">
        <v>3815</v>
      </c>
      <c r="J5946" s="67">
        <v>1600</v>
      </c>
      <c r="K5946" s="62">
        <v>63172.12</v>
      </c>
      <c r="L5946" s="33" t="e">
        <f>HLOOKUP(B5946,#REF!,1,0)</f>
        <v>#REF!</v>
      </c>
      <c r="M5946" s="33" t="str">
        <f t="shared" si="371"/>
        <v>P&amp;L</v>
      </c>
    </row>
    <row r="5947" spans="1:13" s="33" customFormat="true" ht="12.75" customHeight="true">
      <c r="A5947" s="33" t="str">
        <f t="shared" si="368"/>
        <v>KLP - PM Expenses</v>
      </c>
      <c r="B5947" s="33" t="str">
        <f t="shared" si="369"/>
        <v>KLP</v>
      </c>
      <c r="C5947" s="33" t="str">
        <f t="shared" si="370"/>
        <v>55501-0000</v>
      </c>
      <c r="D5947" s="64" t="s">
        <v>7036</v>
      </c>
      <c r="E5947" s="64" t="s">
        <v>3817</v>
      </c>
      <c r="F5947" s="64" t="s">
        <v>230</v>
      </c>
      <c r="G5947" s="64" t="s">
        <v>3818</v>
      </c>
      <c r="H5947" s="64" t="s">
        <v>3819</v>
      </c>
      <c r="I5947" s="64" t="s">
        <v>3820</v>
      </c>
      <c r="J5947" s="67">
        <v>0</v>
      </c>
      <c r="K5947" s="62">
        <v>1050</v>
      </c>
      <c r="L5947" s="33" t="e">
        <f>HLOOKUP(B5947,#REF!,1,0)</f>
        <v>#REF!</v>
      </c>
      <c r="M5947" s="33" t="str">
        <f t="shared" si="371"/>
        <v>P&amp;L</v>
      </c>
    </row>
    <row r="5948" spans="1:13" s="33" customFormat="true" ht="12.75" customHeight="true">
      <c r="A5948" s="33" t="str">
        <f t="shared" si="368"/>
        <v>KLP - PM Expenses</v>
      </c>
      <c r="B5948" s="33" t="str">
        <f t="shared" si="369"/>
        <v>KLP</v>
      </c>
      <c r="C5948" s="33" t="str">
        <f t="shared" si="370"/>
        <v>55502-0000</v>
      </c>
      <c r="D5948" s="64" t="s">
        <v>7037</v>
      </c>
      <c r="E5948" s="64" t="s">
        <v>3822</v>
      </c>
      <c r="F5948" s="64" t="s">
        <v>230</v>
      </c>
      <c r="G5948" s="64" t="s">
        <v>3818</v>
      </c>
      <c r="H5948" s="64" t="s">
        <v>3819</v>
      </c>
      <c r="I5948" s="64" t="s">
        <v>3823</v>
      </c>
      <c r="J5948" s="67">
        <v>0</v>
      </c>
      <c r="K5948" s="62">
        <v>19184.41</v>
      </c>
      <c r="L5948" s="33" t="e">
        <f>HLOOKUP(B5948,#REF!,1,0)</f>
        <v>#REF!</v>
      </c>
      <c r="M5948" s="33" t="str">
        <f t="shared" si="371"/>
        <v>P&amp;L</v>
      </c>
    </row>
    <row r="5949" spans="1:13" s="33" customFormat="true" ht="12.75" customHeight="true">
      <c r="A5949" s="33" t="str">
        <f t="shared" si="368"/>
        <v>KLP - PM Expenses</v>
      </c>
      <c r="B5949" s="33" t="str">
        <f t="shared" si="369"/>
        <v>KLP</v>
      </c>
      <c r="C5949" s="33" t="str">
        <f t="shared" si="370"/>
        <v>55503-0000</v>
      </c>
      <c r="D5949" s="64" t="s">
        <v>7038</v>
      </c>
      <c r="E5949" s="64" t="s">
        <v>3825</v>
      </c>
      <c r="F5949" s="64" t="s">
        <v>230</v>
      </c>
      <c r="G5949" s="64" t="s">
        <v>3818</v>
      </c>
      <c r="H5949" s="64" t="s">
        <v>3819</v>
      </c>
      <c r="I5949" s="64" t="s">
        <v>3826</v>
      </c>
      <c r="J5949" s="67">
        <v>748.77</v>
      </c>
      <c r="K5949" s="62">
        <v>6577.3</v>
      </c>
      <c r="L5949" s="33" t="e">
        <f>HLOOKUP(B5949,#REF!,1,0)</f>
        <v>#REF!</v>
      </c>
      <c r="M5949" s="33" t="str">
        <f t="shared" si="371"/>
        <v>P&amp;L</v>
      </c>
    </row>
    <row r="5950" spans="1:13" s="33" customFormat="true" ht="12.75" customHeight="true">
      <c r="A5950" s="33" t="str">
        <f t="shared" si="368"/>
        <v>KLP - PM Expenses</v>
      </c>
      <c r="B5950" s="33" t="str">
        <f t="shared" si="369"/>
        <v>KLP</v>
      </c>
      <c r="C5950" s="33" t="str">
        <f t="shared" si="370"/>
        <v>55504-0000</v>
      </c>
      <c r="D5950" s="64" t="s">
        <v>7039</v>
      </c>
      <c r="E5950" s="64" t="s">
        <v>4027</v>
      </c>
      <c r="F5950" s="64" t="s">
        <v>230</v>
      </c>
      <c r="G5950" s="64" t="s">
        <v>3818</v>
      </c>
      <c r="H5950" s="64" t="s">
        <v>3819</v>
      </c>
      <c r="I5950" s="64" t="s">
        <v>4028</v>
      </c>
      <c r="J5950" s="67">
        <v>0</v>
      </c>
      <c r="K5950" s="62">
        <v>1174.3</v>
      </c>
      <c r="L5950" s="33" t="e">
        <f>HLOOKUP(B5950,#REF!,1,0)</f>
        <v>#REF!</v>
      </c>
      <c r="M5950" s="33" t="str">
        <f t="shared" si="371"/>
        <v>P&amp;L</v>
      </c>
    </row>
    <row r="5951" spans="1:13" s="33" customFormat="true" ht="12.75" customHeight="true">
      <c r="A5951" s="33" t="str">
        <f t="shared" si="368"/>
        <v>KLP - PM Expenses</v>
      </c>
      <c r="B5951" s="33" t="str">
        <f t="shared" si="369"/>
        <v>KLP</v>
      </c>
      <c r="C5951" s="33" t="str">
        <f t="shared" si="370"/>
        <v>55505-0000</v>
      </c>
      <c r="D5951" s="64" t="s">
        <v>7040</v>
      </c>
      <c r="E5951" s="64" t="s">
        <v>3828</v>
      </c>
      <c r="F5951" s="64" t="s">
        <v>230</v>
      </c>
      <c r="G5951" s="64" t="s">
        <v>3818</v>
      </c>
      <c r="H5951" s="64" t="s">
        <v>3819</v>
      </c>
      <c r="I5951" s="64" t="s">
        <v>3829</v>
      </c>
      <c r="J5951" s="67">
        <v>153.6</v>
      </c>
      <c r="K5951" s="62">
        <v>34338.25</v>
      </c>
      <c r="L5951" s="33" t="e">
        <f>HLOOKUP(B5951,#REF!,1,0)</f>
        <v>#REF!</v>
      </c>
      <c r="M5951" s="33" t="str">
        <f t="shared" si="371"/>
        <v>P&amp;L</v>
      </c>
    </row>
    <row r="5952" spans="1:13" s="33" customFormat="true" ht="12.75" customHeight="true">
      <c r="A5952" s="33" t="str">
        <f t="shared" si="368"/>
        <v>KLP - PM Expenses</v>
      </c>
      <c r="B5952" s="33" t="str">
        <f t="shared" si="369"/>
        <v>KLP</v>
      </c>
      <c r="C5952" s="33" t="str">
        <f t="shared" si="370"/>
        <v>55506-0000</v>
      </c>
      <c r="D5952" s="64" t="s">
        <v>7041</v>
      </c>
      <c r="E5952" s="64" t="s">
        <v>3831</v>
      </c>
      <c r="F5952" s="64" t="s">
        <v>230</v>
      </c>
      <c r="G5952" s="64" t="s">
        <v>3818</v>
      </c>
      <c r="H5952" s="64" t="s">
        <v>3819</v>
      </c>
      <c r="I5952" s="64" t="s">
        <v>3832</v>
      </c>
      <c r="J5952" s="67">
        <v>11073.81</v>
      </c>
      <c r="K5952" s="62">
        <v>99720.93</v>
      </c>
      <c r="L5952" s="33" t="e">
        <f>HLOOKUP(B5952,#REF!,1,0)</f>
        <v>#REF!</v>
      </c>
      <c r="M5952" s="33" t="str">
        <f t="shared" si="371"/>
        <v>P&amp;L</v>
      </c>
    </row>
    <row r="5953" spans="1:13" s="33" customFormat="true" ht="12.75" customHeight="true">
      <c r="A5953" s="33" t="str">
        <f t="shared" si="368"/>
        <v>KLP - CGS</v>
      </c>
      <c r="B5953" s="33" t="str">
        <f t="shared" si="369"/>
        <v>KLP</v>
      </c>
      <c r="C5953" s="33" t="str">
        <f t="shared" si="370"/>
        <v>60002-0000</v>
      </c>
      <c r="D5953" s="64" t="s">
        <v>7042</v>
      </c>
      <c r="E5953" s="64" t="s">
        <v>3837</v>
      </c>
      <c r="F5953" s="64" t="s">
        <v>230</v>
      </c>
      <c r="G5953" s="64" t="s">
        <v>3838</v>
      </c>
      <c r="H5953" s="64" t="s">
        <v>1875</v>
      </c>
      <c r="I5953" s="64" t="s">
        <v>3839</v>
      </c>
      <c r="J5953" s="67">
        <v>0</v>
      </c>
      <c r="K5953" s="62">
        <v>445.68</v>
      </c>
      <c r="L5953" s="33" t="e">
        <f>HLOOKUP(B5953,#REF!,1,0)</f>
        <v>#REF!</v>
      </c>
      <c r="M5953" s="33" t="str">
        <f t="shared" si="371"/>
        <v>P&amp;L</v>
      </c>
    </row>
    <row r="5954" spans="1:13" s="33" customFormat="true" ht="12.75" customHeight="true">
      <c r="A5954" s="33" t="str">
        <f t="shared" ref="A5954:A6017" si="372">B5954&amp;" - "&amp;TRIM(H5954)</f>
        <v>KLP - CGS</v>
      </c>
      <c r="B5954" s="33" t="str">
        <f t="shared" ref="B5954:B6017" si="373">LEFT(D5954,3)</f>
        <v>KLP</v>
      </c>
      <c r="C5954" s="33" t="str">
        <f t="shared" ref="C5954:C6017" si="374">RIGHT(D5954,10)</f>
        <v>60005-0000</v>
      </c>
      <c r="D5954" s="64" t="s">
        <v>7043</v>
      </c>
      <c r="E5954" s="64" t="s">
        <v>3841</v>
      </c>
      <c r="F5954" s="64" t="s">
        <v>230</v>
      </c>
      <c r="G5954" s="64" t="s">
        <v>3838</v>
      </c>
      <c r="H5954" s="64" t="s">
        <v>1875</v>
      </c>
      <c r="I5954" s="64" t="s">
        <v>3842</v>
      </c>
      <c r="J5954" s="67">
        <v>900</v>
      </c>
      <c r="K5954" s="62">
        <v>23204.14</v>
      </c>
      <c r="L5954" s="33" t="e">
        <f>HLOOKUP(B5954,#REF!,1,0)</f>
        <v>#REF!</v>
      </c>
      <c r="M5954" s="33" t="str">
        <f t="shared" ref="M5954:M6017" si="375">IF(VALUE(LEFT(C5954,5))&gt;40000,"P&amp;L","BS")</f>
        <v>P&amp;L</v>
      </c>
    </row>
    <row r="5955" spans="1:13" s="33" customFormat="true" ht="12.75" customHeight="true">
      <c r="A5955" s="33" t="str">
        <f t="shared" si="372"/>
        <v>KLP - Interest Expense</v>
      </c>
      <c r="B5955" s="33" t="str">
        <f t="shared" si="373"/>
        <v>KLP</v>
      </c>
      <c r="C5955" s="33" t="str">
        <f t="shared" si="374"/>
        <v>60006-0000</v>
      </c>
      <c r="D5955" s="64" t="s">
        <v>7044</v>
      </c>
      <c r="E5955" s="64" t="s">
        <v>3325</v>
      </c>
      <c r="F5955" s="64" t="s">
        <v>230</v>
      </c>
      <c r="G5955" s="64" t="s">
        <v>3844</v>
      </c>
      <c r="H5955" s="64" t="s">
        <v>3327</v>
      </c>
      <c r="I5955" s="64" t="s">
        <v>3328</v>
      </c>
      <c r="J5955" s="67">
        <v>83933.98</v>
      </c>
      <c r="K5955" s="62">
        <v>566913.03</v>
      </c>
      <c r="L5955" s="33" t="e">
        <f>HLOOKUP(B5955,#REF!,1,0)</f>
        <v>#REF!</v>
      </c>
      <c r="M5955" s="33" t="str">
        <f t="shared" si="375"/>
        <v>P&amp;L</v>
      </c>
    </row>
    <row r="5956" spans="1:13" s="33" customFormat="true" ht="12.75" customHeight="true">
      <c r="A5956" s="33" t="str">
        <f t="shared" si="372"/>
        <v>KLP - CGS</v>
      </c>
      <c r="B5956" s="33" t="str">
        <f t="shared" si="373"/>
        <v>KLP</v>
      </c>
      <c r="C5956" s="33" t="str">
        <f t="shared" si="374"/>
        <v>60008-0000</v>
      </c>
      <c r="D5956" s="64" t="s">
        <v>7045</v>
      </c>
      <c r="E5956" s="64" t="s">
        <v>3849</v>
      </c>
      <c r="F5956" s="64" t="s">
        <v>230</v>
      </c>
      <c r="G5956" s="64" t="s">
        <v>3838</v>
      </c>
      <c r="H5956" s="64" t="s">
        <v>1875</v>
      </c>
      <c r="I5956" s="64" t="s">
        <v>3850</v>
      </c>
      <c r="J5956" s="67">
        <v>419</v>
      </c>
      <c r="K5956" s="62">
        <v>768</v>
      </c>
      <c r="L5956" s="33" t="e">
        <f>HLOOKUP(B5956,#REF!,1,0)</f>
        <v>#REF!</v>
      </c>
      <c r="M5956" s="33" t="str">
        <f t="shared" si="375"/>
        <v>P&amp;L</v>
      </c>
    </row>
    <row r="5957" spans="1:13" s="33" customFormat="true" ht="12.75" customHeight="true">
      <c r="A5957" s="33" t="str">
        <f t="shared" si="372"/>
        <v>KLP - CGS</v>
      </c>
      <c r="B5957" s="33" t="str">
        <f t="shared" si="373"/>
        <v>KLP</v>
      </c>
      <c r="C5957" s="33" t="str">
        <f t="shared" si="374"/>
        <v>60012-0000</v>
      </c>
      <c r="D5957" s="64" t="s">
        <v>7046</v>
      </c>
      <c r="E5957" s="64" t="s">
        <v>3852</v>
      </c>
      <c r="F5957" s="64" t="s">
        <v>230</v>
      </c>
      <c r="G5957" s="64" t="s">
        <v>3838</v>
      </c>
      <c r="H5957" s="64" t="s">
        <v>1875</v>
      </c>
      <c r="I5957" s="64" t="s">
        <v>3853</v>
      </c>
      <c r="J5957" s="67">
        <v>20924.18</v>
      </c>
      <c r="K5957" s="62">
        <v>59498.81</v>
      </c>
      <c r="L5957" s="33" t="e">
        <f>HLOOKUP(B5957,#REF!,1,0)</f>
        <v>#REF!</v>
      </c>
      <c r="M5957" s="33" t="str">
        <f t="shared" si="375"/>
        <v>P&amp;L</v>
      </c>
    </row>
    <row r="5958" spans="1:13" s="33" customFormat="true" ht="12.75" customHeight="true">
      <c r="A5958" s="33" t="str">
        <f t="shared" si="372"/>
        <v>KLP - CGS</v>
      </c>
      <c r="B5958" s="33" t="str">
        <f t="shared" si="373"/>
        <v>KLP</v>
      </c>
      <c r="C5958" s="33" t="str">
        <f t="shared" si="374"/>
        <v>60014-0000</v>
      </c>
      <c r="D5958" s="64" t="s">
        <v>7047</v>
      </c>
      <c r="E5958" s="64" t="s">
        <v>3855</v>
      </c>
      <c r="F5958" s="64" t="s">
        <v>230</v>
      </c>
      <c r="G5958" s="64" t="s">
        <v>3838</v>
      </c>
      <c r="H5958" s="64" t="s">
        <v>1875</v>
      </c>
      <c r="I5958" s="64" t="s">
        <v>3856</v>
      </c>
      <c r="J5958" s="67">
        <v>3957.92</v>
      </c>
      <c r="K5958" s="62">
        <v>43178.78</v>
      </c>
      <c r="L5958" s="33" t="e">
        <f>HLOOKUP(B5958,#REF!,1,0)</f>
        <v>#REF!</v>
      </c>
      <c r="M5958" s="33" t="str">
        <f t="shared" si="375"/>
        <v>P&amp;L</v>
      </c>
    </row>
    <row r="5959" spans="1:13" s="33" customFormat="true" ht="12.75" customHeight="true">
      <c r="A5959" s="33" t="str">
        <f t="shared" si="372"/>
        <v>KLP - CGS</v>
      </c>
      <c r="B5959" s="33" t="str">
        <f t="shared" si="373"/>
        <v>KLP</v>
      </c>
      <c r="C5959" s="33" t="str">
        <f t="shared" si="374"/>
        <v>60015-0000</v>
      </c>
      <c r="D5959" s="64" t="s">
        <v>7048</v>
      </c>
      <c r="E5959" s="64" t="s">
        <v>3858</v>
      </c>
      <c r="F5959" s="64" t="s">
        <v>230</v>
      </c>
      <c r="G5959" s="64" t="s">
        <v>3838</v>
      </c>
      <c r="H5959" s="64" t="s">
        <v>1875</v>
      </c>
      <c r="I5959" s="64" t="s">
        <v>3859</v>
      </c>
      <c r="J5959" s="67">
        <v>0</v>
      </c>
      <c r="K5959" s="62">
        <v>1432</v>
      </c>
      <c r="L5959" s="33" t="e">
        <f>HLOOKUP(B5959,#REF!,1,0)</f>
        <v>#REF!</v>
      </c>
      <c r="M5959" s="33" t="str">
        <f t="shared" si="375"/>
        <v>P&amp;L</v>
      </c>
    </row>
    <row r="5960" spans="1:13" s="33" customFormat="true" ht="12.75" customHeight="true">
      <c r="A5960" s="33" t="str">
        <f t="shared" si="372"/>
        <v>KLP - Other Expenses</v>
      </c>
      <c r="B5960" s="33" t="str">
        <f t="shared" si="373"/>
        <v>KLP</v>
      </c>
      <c r="C5960" s="33" t="str">
        <f t="shared" si="374"/>
        <v>61018-0000</v>
      </c>
      <c r="D5960" s="64" t="s">
        <v>7049</v>
      </c>
      <c r="E5960" s="64" t="s">
        <v>3864</v>
      </c>
      <c r="F5960" s="64" t="s">
        <v>230</v>
      </c>
      <c r="G5960" s="64" t="s">
        <v>3838</v>
      </c>
      <c r="H5960" s="64" t="s">
        <v>3865</v>
      </c>
      <c r="I5960" s="64" t="s">
        <v>3866</v>
      </c>
      <c r="J5960" s="67">
        <v>1143.66</v>
      </c>
      <c r="K5960" s="62">
        <v>352237.66</v>
      </c>
      <c r="L5960" s="33" t="e">
        <f>HLOOKUP(B5960,#REF!,1,0)</f>
        <v>#REF!</v>
      </c>
      <c r="M5960" s="33" t="str">
        <f t="shared" si="375"/>
        <v>P&amp;L</v>
      </c>
    </row>
    <row r="5961" spans="1:13" s="33" customFormat="true" ht="12.75" customHeight="true">
      <c r="A5961" s="33" t="str">
        <f t="shared" si="372"/>
        <v>KLP - Income Tax</v>
      </c>
      <c r="B5961" s="33" t="str">
        <f t="shared" si="373"/>
        <v>KLP</v>
      </c>
      <c r="C5961" s="33" t="str">
        <f t="shared" si="374"/>
        <v>61019-0000</v>
      </c>
      <c r="D5961" s="64" t="s">
        <v>7050</v>
      </c>
      <c r="E5961" s="64" t="s">
        <v>4041</v>
      </c>
      <c r="F5961" s="64" t="s">
        <v>230</v>
      </c>
      <c r="G5961" s="64" t="s">
        <v>3844</v>
      </c>
      <c r="H5961" s="64" t="s">
        <v>3378</v>
      </c>
      <c r="I5961" s="64" t="s">
        <v>4042</v>
      </c>
      <c r="J5961" s="67">
        <v>0</v>
      </c>
      <c r="K5961" s="62">
        <v>0</v>
      </c>
      <c r="L5961" s="33" t="e">
        <f>HLOOKUP(B5961,#REF!,1,0)</f>
        <v>#REF!</v>
      </c>
      <c r="M5961" s="33" t="str">
        <f t="shared" si="375"/>
        <v>P&amp;L</v>
      </c>
    </row>
    <row r="5962" spans="1:13" s="33" customFormat="true" ht="12.75" customHeight="true">
      <c r="A5962" s="33" t="str">
        <f t="shared" si="372"/>
        <v>KLP - CGS</v>
      </c>
      <c r="B5962" s="33" t="str">
        <f t="shared" si="373"/>
        <v>KLP</v>
      </c>
      <c r="C5962" s="33" t="str">
        <f t="shared" si="374"/>
        <v>61023-0000</v>
      </c>
      <c r="D5962" s="64" t="s">
        <v>7051</v>
      </c>
      <c r="E5962" s="64" t="s">
        <v>3868</v>
      </c>
      <c r="F5962" s="64" t="s">
        <v>230</v>
      </c>
      <c r="G5962" s="64" t="s">
        <v>3838</v>
      </c>
      <c r="H5962" s="64" t="s">
        <v>1875</v>
      </c>
      <c r="I5962" s="64" t="s">
        <v>1876</v>
      </c>
      <c r="J5962" s="67">
        <v>0</v>
      </c>
      <c r="K5962" s="62">
        <v>183.51</v>
      </c>
      <c r="L5962" s="33" t="e">
        <f>HLOOKUP(B5962,#REF!,1,0)</f>
        <v>#REF!</v>
      </c>
      <c r="M5962" s="33" t="str">
        <f t="shared" si="375"/>
        <v>P&amp;L</v>
      </c>
    </row>
    <row r="5963" spans="1:13" s="33" customFormat="true" ht="12.75" customHeight="true">
      <c r="A5963" s="33" t="str">
        <f t="shared" si="372"/>
        <v>LAN - AP-Accr Exp</v>
      </c>
      <c r="B5963" s="33" t="str">
        <f t="shared" si="373"/>
        <v>LAN</v>
      </c>
      <c r="C5963" s="33" t="str">
        <f t="shared" si="374"/>
        <v>20001-0000</v>
      </c>
      <c r="D5963" s="64" t="s">
        <v>7052</v>
      </c>
      <c r="E5963" s="64" t="s">
        <v>96</v>
      </c>
      <c r="F5963" s="64" t="s">
        <v>547</v>
      </c>
      <c r="G5963" s="64" t="s">
        <v>97</v>
      </c>
      <c r="H5963" s="64" t="s">
        <v>98</v>
      </c>
      <c r="I5963" s="64" t="s">
        <v>99</v>
      </c>
      <c r="J5963" s="67">
        <v>0</v>
      </c>
      <c r="K5963" s="62">
        <v>0</v>
      </c>
      <c r="L5963" s="33" t="e">
        <f>HLOOKUP(B5963,#REF!,1,0)</f>
        <v>#REF!</v>
      </c>
      <c r="M5963" s="33" t="str">
        <f t="shared" si="375"/>
        <v>BS</v>
      </c>
    </row>
    <row r="5964" spans="1:13" s="33" customFormat="true" ht="12.75" customHeight="true">
      <c r="A5964" s="33" t="str">
        <f t="shared" si="372"/>
        <v>LAN - Revenue</v>
      </c>
      <c r="B5964" s="33" t="str">
        <f t="shared" si="373"/>
        <v>LAN</v>
      </c>
      <c r="C5964" s="33" t="str">
        <f t="shared" si="374"/>
        <v>40700-8150</v>
      </c>
      <c r="D5964" s="64" t="s">
        <v>7053</v>
      </c>
      <c r="E5964" s="64" t="s">
        <v>3716</v>
      </c>
      <c r="F5964" s="64" t="s">
        <v>547</v>
      </c>
      <c r="G5964" s="64" t="s">
        <v>2870</v>
      </c>
      <c r="H5964" s="64" t="s">
        <v>2871</v>
      </c>
      <c r="I5964" s="64" t="s">
        <v>4422</v>
      </c>
      <c r="J5964" s="67">
        <v>-10500</v>
      </c>
      <c r="K5964" s="62">
        <v>-105000</v>
      </c>
      <c r="L5964" s="33" t="e">
        <f>HLOOKUP(B5964,#REF!,1,0)</f>
        <v>#REF!</v>
      </c>
      <c r="M5964" s="33" t="str">
        <f t="shared" si="375"/>
        <v>P&amp;L</v>
      </c>
    </row>
    <row r="5965" spans="1:13" s="33" customFormat="true" ht="12.75" customHeight="true">
      <c r="A5965" s="33" t="str">
        <f t="shared" si="372"/>
        <v>LAN - Operating Expense</v>
      </c>
      <c r="B5965" s="33" t="str">
        <f t="shared" si="373"/>
        <v>LAN</v>
      </c>
      <c r="C5965" s="33" t="str">
        <f t="shared" si="374"/>
        <v>75001-0000</v>
      </c>
      <c r="D5965" s="64" t="s">
        <v>7054</v>
      </c>
      <c r="E5965" s="64" t="s">
        <v>4429</v>
      </c>
      <c r="F5965" s="64" t="s">
        <v>547</v>
      </c>
      <c r="G5965" s="64" t="s">
        <v>4430</v>
      </c>
      <c r="H5965" s="64" t="s">
        <v>3022</v>
      </c>
      <c r="I5965" s="64" t="s">
        <v>3294</v>
      </c>
      <c r="J5965" s="67">
        <v>0</v>
      </c>
      <c r="K5965" s="62">
        <v>385.52</v>
      </c>
      <c r="L5965" s="33" t="e">
        <f>HLOOKUP(B5965,#REF!,1,0)</f>
        <v>#REF!</v>
      </c>
      <c r="M5965" s="33" t="str">
        <f t="shared" si="375"/>
        <v>P&amp;L</v>
      </c>
    </row>
    <row r="5966" spans="1:13" s="33" customFormat="true" ht="12.75" customHeight="true">
      <c r="A5966" s="33" t="str">
        <f t="shared" si="372"/>
        <v>LAN - Operating Expense</v>
      </c>
      <c r="B5966" s="33" t="str">
        <f t="shared" si="373"/>
        <v>LAN</v>
      </c>
      <c r="C5966" s="33" t="str">
        <f t="shared" si="374"/>
        <v>91001-0000</v>
      </c>
      <c r="D5966" s="64" t="s">
        <v>7055</v>
      </c>
      <c r="E5966" s="64" t="s">
        <v>4432</v>
      </c>
      <c r="F5966" s="64" t="s">
        <v>547</v>
      </c>
      <c r="G5966" s="64" t="s">
        <v>4430</v>
      </c>
      <c r="H5966" s="64" t="s">
        <v>3022</v>
      </c>
      <c r="I5966" s="64" t="s">
        <v>4433</v>
      </c>
      <c r="J5966" s="67">
        <v>24.95</v>
      </c>
      <c r="K5966" s="62">
        <v>370.46</v>
      </c>
      <c r="L5966" s="33" t="e">
        <f>HLOOKUP(B5966,#REF!,1,0)</f>
        <v>#REF!</v>
      </c>
      <c r="M5966" s="33" t="str">
        <f t="shared" si="375"/>
        <v>P&amp;L</v>
      </c>
    </row>
    <row r="5967" spans="1:13" s="33" customFormat="true" ht="12.75" customHeight="true">
      <c r="A5967" s="33" t="str">
        <f t="shared" si="372"/>
        <v>LAN - Interest Expense</v>
      </c>
      <c r="B5967" s="33" t="str">
        <f t="shared" si="373"/>
        <v>LAN</v>
      </c>
      <c r="C5967" s="33" t="str">
        <f t="shared" si="374"/>
        <v>92401-8150</v>
      </c>
      <c r="D5967" s="64" t="s">
        <v>7056</v>
      </c>
      <c r="E5967" s="64" t="s">
        <v>3325</v>
      </c>
      <c r="F5967" s="64" t="s">
        <v>547</v>
      </c>
      <c r="G5967" s="64" t="s">
        <v>3326</v>
      </c>
      <c r="H5967" s="64" t="s">
        <v>3327</v>
      </c>
      <c r="I5967" s="64" t="s">
        <v>3328</v>
      </c>
      <c r="J5967" s="67">
        <v>6483.88</v>
      </c>
      <c r="K5967" s="62">
        <v>62836.59</v>
      </c>
      <c r="L5967" s="33" t="e">
        <f>HLOOKUP(B5967,#REF!,1,0)</f>
        <v>#REF!</v>
      </c>
      <c r="M5967" s="33" t="str">
        <f t="shared" si="375"/>
        <v>P&amp;L</v>
      </c>
    </row>
    <row r="5968" spans="1:13" s="33" customFormat="true" ht="12.75" customHeight="true">
      <c r="A5968" s="33" t="str">
        <f t="shared" si="372"/>
        <v>LAN - Operating Expense</v>
      </c>
      <c r="B5968" s="33" t="str">
        <f t="shared" si="373"/>
        <v>LAN</v>
      </c>
      <c r="C5968" s="33" t="str">
        <f t="shared" si="374"/>
        <v>94201-0000</v>
      </c>
      <c r="D5968" s="64" t="s">
        <v>7057</v>
      </c>
      <c r="E5968" s="64" t="s">
        <v>4354</v>
      </c>
      <c r="F5968" s="64" t="s">
        <v>547</v>
      </c>
      <c r="G5968" s="64" t="s">
        <v>4430</v>
      </c>
      <c r="H5968" s="64" t="s">
        <v>3022</v>
      </c>
      <c r="I5968" s="64" t="s">
        <v>3354</v>
      </c>
      <c r="J5968" s="67">
        <v>0</v>
      </c>
      <c r="K5968" s="62">
        <v>31676</v>
      </c>
      <c r="L5968" s="33" t="e">
        <f>HLOOKUP(B5968,#REF!,1,0)</f>
        <v>#REF!</v>
      </c>
      <c r="M5968" s="33" t="str">
        <f t="shared" si="375"/>
        <v>P&amp;L</v>
      </c>
    </row>
    <row r="5969" spans="1:13" s="33" customFormat="true" ht="12.75" customHeight="true">
      <c r="A5969" s="33" t="str">
        <f t="shared" si="372"/>
        <v>LAN - Income Tax</v>
      </c>
      <c r="B5969" s="33" t="str">
        <f t="shared" si="373"/>
        <v>LAN</v>
      </c>
      <c r="C5969" s="33" t="str">
        <f t="shared" si="374"/>
        <v>99901-0000</v>
      </c>
      <c r="D5969" s="64" t="s">
        <v>7058</v>
      </c>
      <c r="E5969" s="64" t="s">
        <v>4440</v>
      </c>
      <c r="F5969" s="64" t="s">
        <v>547</v>
      </c>
      <c r="G5969" s="64" t="s">
        <v>3326</v>
      </c>
      <c r="H5969" s="64" t="s">
        <v>3378</v>
      </c>
      <c r="I5969" s="64" t="s">
        <v>3379</v>
      </c>
      <c r="J5969" s="67">
        <v>0</v>
      </c>
      <c r="K5969" s="62">
        <v>800</v>
      </c>
      <c r="L5969" s="33" t="e">
        <f>HLOOKUP(B5969,#REF!,1,0)</f>
        <v>#REF!</v>
      </c>
      <c r="M5969" s="33" t="str">
        <f t="shared" si="375"/>
        <v>P&amp;L</v>
      </c>
    </row>
    <row r="5970" spans="1:13" s="33" customFormat="true" ht="12.75" customHeight="true">
      <c r="A5970" s="33" t="str">
        <f t="shared" si="372"/>
        <v>LCP - CASH</v>
      </c>
      <c r="B5970" s="33" t="str">
        <f t="shared" si="373"/>
        <v>LCP</v>
      </c>
      <c r="C5970" s="33" t="str">
        <f t="shared" si="374"/>
        <v>10003-0000</v>
      </c>
      <c r="D5970" s="283" t="s">
        <v>7059</v>
      </c>
      <c r="E5970" s="64" t="s">
        <v>7060</v>
      </c>
      <c r="F5970" s="64" t="s">
        <v>230</v>
      </c>
      <c r="G5970" s="64" t="s">
        <v>16</v>
      </c>
      <c r="H5970" s="64" t="s">
        <v>358</v>
      </c>
      <c r="I5970" s="64" t="s">
        <v>18</v>
      </c>
      <c r="J5970" s="67">
        <v>-128.78</v>
      </c>
      <c r="K5970" s="62">
        <v>477336.85</v>
      </c>
      <c r="L5970" s="33" t="e">
        <f>HLOOKUP(B5970,#REF!,1,0)</f>
        <v>#REF!</v>
      </c>
      <c r="M5970" s="33" t="str">
        <f t="shared" si="375"/>
        <v>BS</v>
      </c>
    </row>
    <row r="5971" spans="1:13" s="33" customFormat="true" ht="12.75" customHeight="true">
      <c r="A5971" s="33" t="str">
        <f t="shared" si="372"/>
        <v>LCP - cash</v>
      </c>
      <c r="B5971" s="33" t="str">
        <f t="shared" si="373"/>
        <v>LCP</v>
      </c>
      <c r="C5971" s="33" t="str">
        <f t="shared" si="374"/>
        <v>10024-0000</v>
      </c>
      <c r="D5971" s="283" t="s">
        <v>7061</v>
      </c>
      <c r="E5971" s="64" t="s">
        <v>7062</v>
      </c>
      <c r="F5971" s="64" t="s">
        <v>7063</v>
      </c>
      <c r="G5971" s="64" t="s">
        <v>7064</v>
      </c>
      <c r="H5971" s="64" t="s">
        <v>7065</v>
      </c>
      <c r="I5971" s="64" t="s">
        <v>18</v>
      </c>
      <c r="J5971" s="67">
        <v>0</v>
      </c>
      <c r="K5971" s="62">
        <v>3109.55</v>
      </c>
      <c r="L5971" s="33" t="e">
        <f>HLOOKUP(B5971,#REF!,1,0)</f>
        <v>#REF!</v>
      </c>
      <c r="M5971" s="33" t="str">
        <f t="shared" si="375"/>
        <v>BS</v>
      </c>
    </row>
    <row r="5972" spans="1:13" s="33" customFormat="true" ht="12.75" customHeight="true">
      <c r="A5972" s="33" t="str">
        <f t="shared" si="372"/>
        <v>LCP - Fixed Assets</v>
      </c>
      <c r="B5972" s="33" t="str">
        <f t="shared" si="373"/>
        <v>LCP</v>
      </c>
      <c r="C5972" s="33" t="str">
        <f t="shared" si="374"/>
        <v>15501-0000</v>
      </c>
      <c r="D5972" s="283" t="s">
        <v>7066</v>
      </c>
      <c r="E5972" s="64" t="s">
        <v>2635</v>
      </c>
      <c r="F5972" s="64" t="s">
        <v>230</v>
      </c>
      <c r="G5972" s="64" t="s">
        <v>62</v>
      </c>
      <c r="H5972" s="64" t="s">
        <v>63</v>
      </c>
      <c r="I5972" s="64" t="s">
        <v>64</v>
      </c>
      <c r="J5972" s="67">
        <v>0</v>
      </c>
      <c r="K5972" s="62">
        <v>9013.28</v>
      </c>
      <c r="L5972" s="33" t="e">
        <f>HLOOKUP(B5972,#REF!,1,0)</f>
        <v>#REF!</v>
      </c>
      <c r="M5972" s="33" t="str">
        <f t="shared" si="375"/>
        <v>BS</v>
      </c>
    </row>
    <row r="5973" spans="1:13" s="33" customFormat="true" ht="12.75" customHeight="true">
      <c r="A5973" s="33" t="str">
        <f t="shared" si="372"/>
        <v>LCP - Deposits</v>
      </c>
      <c r="B5973" s="33" t="str">
        <f t="shared" si="373"/>
        <v>LCP</v>
      </c>
      <c r="C5973" s="33" t="str">
        <f t="shared" si="374"/>
        <v>19000-0000</v>
      </c>
      <c r="D5973" s="283" t="s">
        <v>7067</v>
      </c>
      <c r="E5973" s="64" t="s">
        <v>342</v>
      </c>
      <c r="F5973" s="64" t="s">
        <v>230</v>
      </c>
      <c r="G5973" s="64" t="s">
        <v>62</v>
      </c>
      <c r="H5973" s="64" t="s">
        <v>80</v>
      </c>
      <c r="I5973" s="64" t="s">
        <v>81</v>
      </c>
      <c r="J5973" s="67">
        <v>0</v>
      </c>
      <c r="K5973" s="62">
        <v>6400</v>
      </c>
      <c r="L5973" s="33" t="e">
        <f>HLOOKUP(B5973,#REF!,1,0)</f>
        <v>#REF!</v>
      </c>
      <c r="M5973" s="33" t="str">
        <f t="shared" si="375"/>
        <v>BS</v>
      </c>
    </row>
    <row r="5974" spans="1:13" s="33" customFormat="true" ht="12.75" customHeight="true">
      <c r="A5974" s="33" t="str">
        <f t="shared" si="372"/>
        <v>LCP - Principal</v>
      </c>
      <c r="B5974" s="33" t="str">
        <f t="shared" si="373"/>
        <v>LCP</v>
      </c>
      <c r="C5974" s="33" t="str">
        <f t="shared" si="374"/>
        <v>28005-0000</v>
      </c>
      <c r="D5974" s="283" t="s">
        <v>7068</v>
      </c>
      <c r="E5974" s="64" t="s">
        <v>2863</v>
      </c>
      <c r="F5974" s="64" t="s">
        <v>230</v>
      </c>
      <c r="G5974" s="64" t="s">
        <v>123</v>
      </c>
      <c r="H5974" s="64" t="s">
        <v>127</v>
      </c>
      <c r="I5974" s="64" t="s">
        <v>133</v>
      </c>
      <c r="J5974" s="67">
        <v>0</v>
      </c>
      <c r="K5974" s="62">
        <v>-75000000</v>
      </c>
      <c r="L5974" s="33" t="e">
        <f>HLOOKUP(B5974,#REF!,1,0)</f>
        <v>#REF!</v>
      </c>
      <c r="M5974" s="33" t="str">
        <f t="shared" si="375"/>
        <v>BS</v>
      </c>
    </row>
    <row r="5975" spans="1:13" s="33" customFormat="true" ht="12.75" customHeight="true">
      <c r="A5975" s="33" t="str">
        <f t="shared" si="372"/>
        <v>LCP - SH Dist</v>
      </c>
      <c r="B5975" s="33" t="str">
        <f t="shared" si="373"/>
        <v>LCP</v>
      </c>
      <c r="C5975" s="33" t="str">
        <f t="shared" si="374"/>
        <v>36003-0000</v>
      </c>
      <c r="D5975" s="283" t="s">
        <v>7069</v>
      </c>
      <c r="E5975" s="64" t="s">
        <v>7070</v>
      </c>
      <c r="F5975" s="64" t="s">
        <v>230</v>
      </c>
      <c r="G5975" s="64" t="s">
        <v>142</v>
      </c>
      <c r="H5975" s="64" t="s">
        <v>143</v>
      </c>
      <c r="I5975" s="64" t="s">
        <v>144</v>
      </c>
      <c r="J5975" s="67">
        <v>0</v>
      </c>
      <c r="K5975" s="62">
        <v>20000</v>
      </c>
      <c r="L5975" s="33" t="e">
        <f>HLOOKUP(B5975,#REF!,1,0)</f>
        <v>#REF!</v>
      </c>
      <c r="M5975" s="33" t="str">
        <f t="shared" si="375"/>
        <v>BS</v>
      </c>
    </row>
    <row r="5976" spans="1:13" s="33" customFormat="true" ht="12.75" customHeight="true">
      <c r="A5976" s="33" t="str">
        <f t="shared" si="372"/>
        <v>LCP - Revenue</v>
      </c>
      <c r="B5976" s="33" t="str">
        <f t="shared" si="373"/>
        <v>LCP</v>
      </c>
      <c r="C5976" s="33" t="str">
        <f t="shared" si="374"/>
        <v>40110-0000</v>
      </c>
      <c r="D5976" s="283" t="s">
        <v>7071</v>
      </c>
      <c r="E5976" s="64" t="s">
        <v>3683</v>
      </c>
      <c r="F5976" s="64" t="s">
        <v>230</v>
      </c>
      <c r="G5976" s="64" t="s">
        <v>3684</v>
      </c>
      <c r="H5976" s="64" t="s">
        <v>2871</v>
      </c>
      <c r="I5976" s="64" t="s">
        <v>3685</v>
      </c>
      <c r="J5976" s="67">
        <v>0</v>
      </c>
      <c r="K5976" s="62">
        <v>-4548033</v>
      </c>
      <c r="L5976" s="33" t="e">
        <f>HLOOKUP(B5976,#REF!,1,0)</f>
        <v>#REF!</v>
      </c>
      <c r="M5976" s="33" t="str">
        <f t="shared" si="375"/>
        <v>P&amp;L</v>
      </c>
    </row>
    <row r="5977" spans="1:13" s="33" customFormat="true" ht="12.75" customHeight="true">
      <c r="A5977" s="33" t="str">
        <f t="shared" si="372"/>
        <v>LCP - Revenue</v>
      </c>
      <c r="B5977" s="33" t="str">
        <f t="shared" si="373"/>
        <v>LCP</v>
      </c>
      <c r="C5977" s="33" t="str">
        <f t="shared" si="374"/>
        <v>40120-0000</v>
      </c>
      <c r="D5977" s="283" t="s">
        <v>7072</v>
      </c>
      <c r="E5977" s="64" t="s">
        <v>3687</v>
      </c>
      <c r="F5977" s="64" t="s">
        <v>230</v>
      </c>
      <c r="G5977" s="64" t="s">
        <v>3684</v>
      </c>
      <c r="H5977" s="64" t="s">
        <v>2871</v>
      </c>
      <c r="I5977" s="64" t="s">
        <v>3688</v>
      </c>
      <c r="J5977" s="67">
        <v>0</v>
      </c>
      <c r="K5977" s="62">
        <v>-92818</v>
      </c>
      <c r="L5977" s="33" t="e">
        <f>HLOOKUP(B5977,#REF!,1,0)</f>
        <v>#REF!</v>
      </c>
      <c r="M5977" s="33" t="str">
        <f t="shared" si="375"/>
        <v>P&amp;L</v>
      </c>
    </row>
    <row r="5978" spans="1:13" s="33" customFormat="true" ht="12.75" customHeight="true">
      <c r="A5978" s="33" t="str">
        <f t="shared" si="372"/>
        <v>LCP - Revenue</v>
      </c>
      <c r="B5978" s="33" t="str">
        <f t="shared" si="373"/>
        <v>LCP</v>
      </c>
      <c r="C5978" s="33" t="str">
        <f t="shared" si="374"/>
        <v>40130-0000</v>
      </c>
      <c r="D5978" s="283" t="s">
        <v>7073</v>
      </c>
      <c r="E5978" s="64" t="s">
        <v>3690</v>
      </c>
      <c r="F5978" s="64" t="s">
        <v>230</v>
      </c>
      <c r="G5978" s="64" t="s">
        <v>3684</v>
      </c>
      <c r="H5978" s="64" t="s">
        <v>2871</v>
      </c>
      <c r="I5978" s="64" t="s">
        <v>3691</v>
      </c>
      <c r="J5978" s="67">
        <v>0</v>
      </c>
      <c r="K5978" s="62">
        <v>-100817.2</v>
      </c>
      <c r="L5978" s="33" t="e">
        <f>HLOOKUP(B5978,#REF!,1,0)</f>
        <v>#REF!</v>
      </c>
      <c r="M5978" s="33" t="str">
        <f t="shared" si="375"/>
        <v>P&amp;L</v>
      </c>
    </row>
    <row r="5979" spans="1:13" s="33" customFormat="true" ht="12.75" customHeight="true">
      <c r="A5979" s="33" t="str">
        <f t="shared" si="372"/>
        <v>LCP - Revenue</v>
      </c>
      <c r="B5979" s="33" t="str">
        <f t="shared" si="373"/>
        <v>LCP</v>
      </c>
      <c r="C5979" s="33" t="str">
        <f t="shared" si="374"/>
        <v>41110-0000</v>
      </c>
      <c r="D5979" s="283" t="s">
        <v>7074</v>
      </c>
      <c r="E5979" s="64" t="s">
        <v>3693</v>
      </c>
      <c r="F5979" s="64" t="s">
        <v>230</v>
      </c>
      <c r="G5979" s="64" t="s">
        <v>3694</v>
      </c>
      <c r="H5979" s="64" t="s">
        <v>2871</v>
      </c>
      <c r="I5979" s="64" t="s">
        <v>3695</v>
      </c>
      <c r="J5979" s="67">
        <v>0</v>
      </c>
      <c r="K5979" s="62">
        <v>231705.59</v>
      </c>
      <c r="L5979" s="33" t="e">
        <f>HLOOKUP(B5979,#REF!,1,0)</f>
        <v>#REF!</v>
      </c>
      <c r="M5979" s="33" t="str">
        <f t="shared" si="375"/>
        <v>P&amp;L</v>
      </c>
    </row>
    <row r="5980" spans="1:13" s="33" customFormat="true" ht="12.75" customHeight="true">
      <c r="A5980" s="33" t="str">
        <f t="shared" si="372"/>
        <v>LCP - Revenue</v>
      </c>
      <c r="B5980" s="33" t="str">
        <f t="shared" si="373"/>
        <v>LCP</v>
      </c>
      <c r="C5980" s="33" t="str">
        <f t="shared" si="374"/>
        <v>41121-0000</v>
      </c>
      <c r="D5980" s="283" t="s">
        <v>7075</v>
      </c>
      <c r="E5980" s="64" t="s">
        <v>3697</v>
      </c>
      <c r="F5980" s="64" t="s">
        <v>230</v>
      </c>
      <c r="G5980" s="64" t="s">
        <v>3694</v>
      </c>
      <c r="H5980" s="64" t="s">
        <v>2871</v>
      </c>
      <c r="I5980" s="64" t="s">
        <v>3698</v>
      </c>
      <c r="J5980" s="67">
        <v>0</v>
      </c>
      <c r="K5980" s="62">
        <v>166815.47</v>
      </c>
      <c r="L5980" s="33" t="e">
        <f>HLOOKUP(B5980,#REF!,1,0)</f>
        <v>#REF!</v>
      </c>
      <c r="M5980" s="33" t="str">
        <f t="shared" si="375"/>
        <v>P&amp;L</v>
      </c>
    </row>
    <row r="5981" spans="1:13" s="33" customFormat="true" ht="12.75" customHeight="true">
      <c r="A5981" s="33" t="str">
        <f t="shared" si="372"/>
        <v>LCP - Revenue</v>
      </c>
      <c r="B5981" s="33" t="str">
        <f t="shared" si="373"/>
        <v>LCP</v>
      </c>
      <c r="C5981" s="33" t="str">
        <f t="shared" si="374"/>
        <v>41122-0000</v>
      </c>
      <c r="D5981" s="283" t="s">
        <v>7076</v>
      </c>
      <c r="E5981" s="64" t="s">
        <v>3700</v>
      </c>
      <c r="F5981" s="64" t="s">
        <v>230</v>
      </c>
      <c r="G5981" s="64" t="s">
        <v>3694</v>
      </c>
      <c r="H5981" s="64" t="s">
        <v>2871</v>
      </c>
      <c r="I5981" s="64" t="s">
        <v>3701</v>
      </c>
      <c r="J5981" s="67">
        <v>0</v>
      </c>
      <c r="K5981" s="62">
        <v>-78373.83</v>
      </c>
      <c r="L5981" s="33" t="e">
        <f>HLOOKUP(B5981,#REF!,1,0)</f>
        <v>#REF!</v>
      </c>
      <c r="M5981" s="33" t="str">
        <f t="shared" si="375"/>
        <v>P&amp;L</v>
      </c>
    </row>
    <row r="5982" spans="1:13" s="33" customFormat="true" ht="12.75" customHeight="true">
      <c r="A5982" s="33" t="str">
        <f t="shared" si="372"/>
        <v>LCP - Revenue</v>
      </c>
      <c r="B5982" s="33" t="str">
        <f t="shared" si="373"/>
        <v>LCP</v>
      </c>
      <c r="C5982" s="33" t="str">
        <f t="shared" si="374"/>
        <v>41130-0000</v>
      </c>
      <c r="D5982" s="283" t="s">
        <v>7077</v>
      </c>
      <c r="E5982" s="64" t="s">
        <v>3703</v>
      </c>
      <c r="F5982" s="64" t="s">
        <v>230</v>
      </c>
      <c r="G5982" s="64" t="s">
        <v>3694</v>
      </c>
      <c r="H5982" s="64" t="s">
        <v>2871</v>
      </c>
      <c r="I5982" s="64" t="s">
        <v>3704</v>
      </c>
      <c r="J5982" s="67">
        <v>0</v>
      </c>
      <c r="K5982" s="62">
        <v>34179</v>
      </c>
      <c r="L5982" s="33" t="e">
        <f>HLOOKUP(B5982,#REF!,1,0)</f>
        <v>#REF!</v>
      </c>
      <c r="M5982" s="33" t="str">
        <f t="shared" si="375"/>
        <v>P&amp;L</v>
      </c>
    </row>
    <row r="5983" spans="1:13" s="33" customFormat="true" ht="12.75" customHeight="true">
      <c r="A5983" s="33" t="str">
        <f t="shared" si="372"/>
        <v>LCP - Revenue</v>
      </c>
      <c r="B5983" s="33" t="str">
        <f t="shared" si="373"/>
        <v>LCP</v>
      </c>
      <c r="C5983" s="33" t="str">
        <f t="shared" si="374"/>
        <v>41140-0000</v>
      </c>
      <c r="D5983" s="283" t="s">
        <v>7078</v>
      </c>
      <c r="E5983" s="64" t="s">
        <v>3706</v>
      </c>
      <c r="F5983" s="64" t="s">
        <v>230</v>
      </c>
      <c r="G5983" s="64" t="s">
        <v>3694</v>
      </c>
      <c r="H5983" s="64" t="s">
        <v>2871</v>
      </c>
      <c r="I5983" s="64" t="s">
        <v>3707</v>
      </c>
      <c r="J5983" s="67">
        <v>0</v>
      </c>
      <c r="K5983" s="62">
        <v>67935</v>
      </c>
      <c r="L5983" s="33" t="e">
        <f>HLOOKUP(B5983,#REF!,1,0)</f>
        <v>#REF!</v>
      </c>
      <c r="M5983" s="33" t="str">
        <f t="shared" si="375"/>
        <v>P&amp;L</v>
      </c>
    </row>
    <row r="5984" spans="1:13" s="33" customFormat="true" ht="12.75" customHeight="true">
      <c r="A5984" s="33" t="str">
        <f t="shared" si="372"/>
        <v>LCP - Revenue</v>
      </c>
      <c r="B5984" s="33" t="str">
        <f t="shared" si="373"/>
        <v>LCP</v>
      </c>
      <c r="C5984" s="33" t="str">
        <f t="shared" si="374"/>
        <v>41150-0000</v>
      </c>
      <c r="D5984" s="283" t="s">
        <v>7079</v>
      </c>
      <c r="E5984" s="64" t="s">
        <v>3709</v>
      </c>
      <c r="F5984" s="64" t="s">
        <v>230</v>
      </c>
      <c r="G5984" s="64" t="s">
        <v>3694</v>
      </c>
      <c r="H5984" s="64" t="s">
        <v>2871</v>
      </c>
      <c r="I5984" s="64" t="s">
        <v>3710</v>
      </c>
      <c r="J5984" s="67">
        <v>0</v>
      </c>
      <c r="K5984" s="62">
        <v>34474.74</v>
      </c>
      <c r="L5984" s="33" t="e">
        <f>HLOOKUP(B5984,#REF!,1,0)</f>
        <v>#REF!</v>
      </c>
      <c r="M5984" s="33" t="str">
        <f t="shared" si="375"/>
        <v>P&amp;L</v>
      </c>
    </row>
    <row r="5985" spans="1:13" s="33" customFormat="true" ht="12.75" customHeight="true">
      <c r="A5985" s="33" t="str">
        <f t="shared" si="372"/>
        <v>LCP - Revenue</v>
      </c>
      <c r="B5985" s="33" t="str">
        <f t="shared" si="373"/>
        <v>LCP</v>
      </c>
      <c r="C5985" s="33" t="str">
        <f t="shared" si="374"/>
        <v>41160-0000</v>
      </c>
      <c r="D5985" s="283" t="s">
        <v>7080</v>
      </c>
      <c r="E5985" s="64" t="s">
        <v>3957</v>
      </c>
      <c r="F5985" s="64" t="s">
        <v>230</v>
      </c>
      <c r="G5985" s="64" t="s">
        <v>3694</v>
      </c>
      <c r="H5985" s="64" t="s">
        <v>2871</v>
      </c>
      <c r="I5985" s="64" t="s">
        <v>3701</v>
      </c>
      <c r="J5985" s="67">
        <v>0</v>
      </c>
      <c r="K5985" s="62">
        <v>-20020.4</v>
      </c>
      <c r="L5985" s="33" t="e">
        <f>HLOOKUP(B5985,#REF!,1,0)</f>
        <v>#REF!</v>
      </c>
      <c r="M5985" s="33" t="str">
        <f t="shared" si="375"/>
        <v>P&amp;L</v>
      </c>
    </row>
    <row r="5986" spans="1:13" s="33" customFormat="true" ht="12.75" customHeight="true">
      <c r="A5986" s="33" t="str">
        <f t="shared" si="372"/>
        <v>LCP - Revenue</v>
      </c>
      <c r="B5986" s="33" t="str">
        <f t="shared" si="373"/>
        <v>LCP</v>
      </c>
      <c r="C5986" s="33" t="str">
        <f t="shared" si="374"/>
        <v>41999-0000</v>
      </c>
      <c r="D5986" s="283" t="s">
        <v>7081</v>
      </c>
      <c r="E5986" s="64" t="s">
        <v>3712</v>
      </c>
      <c r="F5986" s="64" t="s">
        <v>230</v>
      </c>
      <c r="G5986" s="64" t="s">
        <v>3713</v>
      </c>
      <c r="H5986" s="64" t="s">
        <v>2871</v>
      </c>
      <c r="I5986" s="64" t="s">
        <v>3714</v>
      </c>
      <c r="J5986" s="67">
        <v>0</v>
      </c>
      <c r="K5986" s="62">
        <v>4304952.63</v>
      </c>
      <c r="L5986" s="33" t="e">
        <f>HLOOKUP(B5986,#REF!,1,0)</f>
        <v>#REF!</v>
      </c>
      <c r="M5986" s="33" t="str">
        <f t="shared" si="375"/>
        <v>P&amp;L</v>
      </c>
    </row>
    <row r="5987" spans="1:13" s="33" customFormat="true" ht="12.75" customHeight="true">
      <c r="A5987" s="33" t="str">
        <f t="shared" si="372"/>
        <v>LCP - Revenue</v>
      </c>
      <c r="B5987" s="33" t="str">
        <f t="shared" si="373"/>
        <v>LCP</v>
      </c>
      <c r="C5987" s="33" t="str">
        <f t="shared" si="374"/>
        <v>47400-0000</v>
      </c>
      <c r="D5987" s="283" t="s">
        <v>7082</v>
      </c>
      <c r="E5987" s="64" t="s">
        <v>3716</v>
      </c>
      <c r="F5987" s="64" t="s">
        <v>230</v>
      </c>
      <c r="G5987" s="64" t="s">
        <v>3717</v>
      </c>
      <c r="H5987" s="64" t="s">
        <v>2871</v>
      </c>
      <c r="I5987" s="64" t="s">
        <v>3718</v>
      </c>
      <c r="J5987" s="67">
        <v>0</v>
      </c>
      <c r="K5987" s="62">
        <v>-4358187.47</v>
      </c>
      <c r="L5987" s="33" t="e">
        <f>HLOOKUP(B5987,#REF!,1,0)</f>
        <v>#REF!</v>
      </c>
      <c r="M5987" s="33" t="str">
        <f t="shared" si="375"/>
        <v>P&amp;L</v>
      </c>
    </row>
    <row r="5988" spans="1:13" s="33" customFormat="true" ht="12.75" customHeight="true">
      <c r="A5988" s="33" t="str">
        <f t="shared" si="372"/>
        <v>LCP - Revenue</v>
      </c>
      <c r="B5988" s="33" t="str">
        <f t="shared" si="373"/>
        <v>LCP</v>
      </c>
      <c r="C5988" s="33" t="str">
        <f t="shared" si="374"/>
        <v>47430-0000</v>
      </c>
      <c r="D5988" s="283" t="s">
        <v>7083</v>
      </c>
      <c r="E5988" s="64" t="s">
        <v>4053</v>
      </c>
      <c r="F5988" s="64" t="s">
        <v>230</v>
      </c>
      <c r="G5988" s="64" t="s">
        <v>3717</v>
      </c>
      <c r="H5988" s="64" t="s">
        <v>2871</v>
      </c>
      <c r="I5988" s="64" t="s">
        <v>4054</v>
      </c>
      <c r="J5988" s="67">
        <v>0</v>
      </c>
      <c r="K5988" s="62">
        <v>-2639.47</v>
      </c>
      <c r="L5988" s="33" t="e">
        <f>HLOOKUP(B5988,#REF!,1,0)</f>
        <v>#REF!</v>
      </c>
      <c r="M5988" s="33" t="str">
        <f t="shared" si="375"/>
        <v>P&amp;L</v>
      </c>
    </row>
    <row r="5989" spans="1:13" s="33" customFormat="true" ht="12.75" customHeight="true">
      <c r="A5989" s="33" t="str">
        <f t="shared" si="372"/>
        <v>LCP - Revenue</v>
      </c>
      <c r="B5989" s="33" t="str">
        <f t="shared" si="373"/>
        <v>LCP</v>
      </c>
      <c r="C5989" s="33" t="str">
        <f t="shared" si="374"/>
        <v>47440-0000</v>
      </c>
      <c r="D5989" s="283" t="s">
        <v>7084</v>
      </c>
      <c r="E5989" s="64" t="s">
        <v>3720</v>
      </c>
      <c r="F5989" s="64" t="s">
        <v>230</v>
      </c>
      <c r="G5989" s="64" t="s">
        <v>3717</v>
      </c>
      <c r="H5989" s="64" t="s">
        <v>2871</v>
      </c>
      <c r="I5989" s="64" t="s">
        <v>3721</v>
      </c>
      <c r="J5989" s="67">
        <v>0</v>
      </c>
      <c r="K5989" s="62">
        <v>-45897.53</v>
      </c>
      <c r="L5989" s="33" t="e">
        <f>HLOOKUP(B5989,#REF!,1,0)</f>
        <v>#REF!</v>
      </c>
      <c r="M5989" s="33" t="str">
        <f t="shared" si="375"/>
        <v>P&amp;L</v>
      </c>
    </row>
    <row r="5990" spans="1:13" s="33" customFormat="true" ht="12.75" customHeight="true">
      <c r="A5990" s="33" t="str">
        <f t="shared" si="372"/>
        <v>LCP - Revenue</v>
      </c>
      <c r="B5990" s="33" t="str">
        <f t="shared" si="373"/>
        <v>LCP</v>
      </c>
      <c r="C5990" s="33" t="str">
        <f t="shared" si="374"/>
        <v>47450-0000</v>
      </c>
      <c r="D5990" s="283" t="s">
        <v>7085</v>
      </c>
      <c r="E5990" s="64" t="s">
        <v>3723</v>
      </c>
      <c r="F5990" s="64" t="s">
        <v>230</v>
      </c>
      <c r="G5990" s="64" t="s">
        <v>3717</v>
      </c>
      <c r="H5990" s="64" t="s">
        <v>2871</v>
      </c>
      <c r="I5990" s="64" t="s">
        <v>3724</v>
      </c>
      <c r="J5990" s="67">
        <v>0</v>
      </c>
      <c r="K5990" s="62">
        <v>0</v>
      </c>
      <c r="L5990" s="33" t="e">
        <f>HLOOKUP(B5990,#REF!,1,0)</f>
        <v>#REF!</v>
      </c>
      <c r="M5990" s="33" t="str">
        <f t="shared" si="375"/>
        <v>P&amp;L</v>
      </c>
    </row>
    <row r="5991" spans="1:13" s="33" customFormat="true" ht="12.75" customHeight="true">
      <c r="A5991" s="33" t="str">
        <f t="shared" si="372"/>
        <v>LCP - Revenue</v>
      </c>
      <c r="B5991" s="33" t="str">
        <f t="shared" si="373"/>
        <v>LCP</v>
      </c>
      <c r="C5991" s="33" t="str">
        <f t="shared" si="374"/>
        <v>47460-0000</v>
      </c>
      <c r="D5991" s="283" t="s">
        <v>7086</v>
      </c>
      <c r="E5991" s="64" t="s">
        <v>3726</v>
      </c>
      <c r="F5991" s="64" t="s">
        <v>230</v>
      </c>
      <c r="G5991" s="64" t="s">
        <v>3717</v>
      </c>
      <c r="H5991" s="64" t="s">
        <v>2871</v>
      </c>
      <c r="I5991" s="64" t="s">
        <v>3727</v>
      </c>
      <c r="J5991" s="67">
        <v>0</v>
      </c>
      <c r="K5991" s="62">
        <v>-10480.51</v>
      </c>
      <c r="L5991" s="33" t="e">
        <f>HLOOKUP(B5991,#REF!,1,0)</f>
        <v>#REF!</v>
      </c>
      <c r="M5991" s="33" t="str">
        <f t="shared" si="375"/>
        <v>P&amp;L</v>
      </c>
    </row>
    <row r="5992" spans="1:13" s="33" customFormat="true" ht="12.75" customHeight="true">
      <c r="A5992" s="33" t="str">
        <f t="shared" si="372"/>
        <v>LCP - Revenue</v>
      </c>
      <c r="B5992" s="33" t="str">
        <f t="shared" si="373"/>
        <v>LCP</v>
      </c>
      <c r="C5992" s="33" t="str">
        <f t="shared" si="374"/>
        <v>47480-0000</v>
      </c>
      <c r="D5992" s="283" t="s">
        <v>7087</v>
      </c>
      <c r="E5992" s="64" t="s">
        <v>3729</v>
      </c>
      <c r="F5992" s="64" t="s">
        <v>230</v>
      </c>
      <c r="G5992" s="64" t="s">
        <v>3717</v>
      </c>
      <c r="H5992" s="64" t="s">
        <v>2871</v>
      </c>
      <c r="I5992" s="64" t="s">
        <v>3721</v>
      </c>
      <c r="J5992" s="67">
        <v>0</v>
      </c>
      <c r="K5992" s="62">
        <v>-7254.3</v>
      </c>
      <c r="L5992" s="33" t="e">
        <f>HLOOKUP(B5992,#REF!,1,0)</f>
        <v>#REF!</v>
      </c>
      <c r="M5992" s="33" t="str">
        <f t="shared" si="375"/>
        <v>P&amp;L</v>
      </c>
    </row>
    <row r="5993" spans="1:13" s="33" customFormat="true" ht="12.75" customHeight="true">
      <c r="A5993" s="33" t="str">
        <f t="shared" si="372"/>
        <v>LCP - Revenue</v>
      </c>
      <c r="B5993" s="33" t="str">
        <f t="shared" si="373"/>
        <v>LCP</v>
      </c>
      <c r="C5993" s="33" t="str">
        <f t="shared" si="374"/>
        <v>47490-0000</v>
      </c>
      <c r="D5993" s="283" t="s">
        <v>7088</v>
      </c>
      <c r="E5993" s="64" t="s">
        <v>3731</v>
      </c>
      <c r="F5993" s="64" t="s">
        <v>230</v>
      </c>
      <c r="G5993" s="64" t="s">
        <v>3717</v>
      </c>
      <c r="H5993" s="64" t="s">
        <v>2871</v>
      </c>
      <c r="I5993" s="64" t="s">
        <v>3721</v>
      </c>
      <c r="J5993" s="67">
        <v>0</v>
      </c>
      <c r="K5993" s="62">
        <v>-12417.69</v>
      </c>
      <c r="L5993" s="33" t="e">
        <f>HLOOKUP(B5993,#REF!,1,0)</f>
        <v>#REF!</v>
      </c>
      <c r="M5993" s="33" t="str">
        <f t="shared" si="375"/>
        <v>P&amp;L</v>
      </c>
    </row>
    <row r="5994" spans="1:13" s="33" customFormat="true" ht="12.75" customHeight="true">
      <c r="A5994" s="33" t="str">
        <f t="shared" si="372"/>
        <v>LCP - Revenue</v>
      </c>
      <c r="B5994" s="33" t="str">
        <f t="shared" si="373"/>
        <v>LCP</v>
      </c>
      <c r="C5994" s="33" t="str">
        <f t="shared" si="374"/>
        <v>47491-0000</v>
      </c>
      <c r="D5994" s="283" t="s">
        <v>7089</v>
      </c>
      <c r="E5994" s="64" t="s">
        <v>3733</v>
      </c>
      <c r="F5994" s="64" t="s">
        <v>230</v>
      </c>
      <c r="G5994" s="64" t="s">
        <v>3717</v>
      </c>
      <c r="H5994" s="64" t="s">
        <v>2871</v>
      </c>
      <c r="I5994" s="64" t="s">
        <v>3734</v>
      </c>
      <c r="J5994" s="67">
        <v>0</v>
      </c>
      <c r="K5994" s="62">
        <v>-152876.15</v>
      </c>
      <c r="L5994" s="33" t="e">
        <f>HLOOKUP(B5994,#REF!,1,0)</f>
        <v>#REF!</v>
      </c>
      <c r="M5994" s="33" t="str">
        <f t="shared" si="375"/>
        <v>P&amp;L</v>
      </c>
    </row>
    <row r="5995" spans="1:13" s="33" customFormat="true" ht="12.75" customHeight="true">
      <c r="A5995" s="33" t="str">
        <f t="shared" si="372"/>
        <v>LCP - Revenue</v>
      </c>
      <c r="B5995" s="33" t="str">
        <f t="shared" si="373"/>
        <v>LCP</v>
      </c>
      <c r="C5995" s="33" t="str">
        <f t="shared" si="374"/>
        <v>47492-0000</v>
      </c>
      <c r="D5995" s="283" t="s">
        <v>7090</v>
      </c>
      <c r="E5995" s="64" t="s">
        <v>3736</v>
      </c>
      <c r="F5995" s="64" t="s">
        <v>230</v>
      </c>
      <c r="G5995" s="64" t="s">
        <v>3717</v>
      </c>
      <c r="H5995" s="64" t="s">
        <v>2871</v>
      </c>
      <c r="I5995" s="64" t="s">
        <v>3737</v>
      </c>
      <c r="J5995" s="67">
        <v>0</v>
      </c>
      <c r="K5995" s="62">
        <v>-9143.34</v>
      </c>
      <c r="L5995" s="33" t="e">
        <f>HLOOKUP(B5995,#REF!,1,0)</f>
        <v>#REF!</v>
      </c>
      <c r="M5995" s="33" t="str">
        <f t="shared" si="375"/>
        <v>P&amp;L</v>
      </c>
    </row>
    <row r="5996" spans="1:13" s="33" customFormat="true" ht="12.75" customHeight="true">
      <c r="A5996" s="33" t="str">
        <f t="shared" si="372"/>
        <v>LCP - CGS</v>
      </c>
      <c r="B5996" s="33" t="str">
        <f t="shared" si="373"/>
        <v>LCP</v>
      </c>
      <c r="C5996" s="33" t="str">
        <f t="shared" si="374"/>
        <v>51001-0000</v>
      </c>
      <c r="D5996" s="283" t="s">
        <v>7091</v>
      </c>
      <c r="E5996" s="64" t="s">
        <v>4536</v>
      </c>
      <c r="F5996" s="64" t="s">
        <v>230</v>
      </c>
      <c r="G5996" s="64" t="s">
        <v>3740</v>
      </c>
      <c r="H5996" s="64" t="s">
        <v>1875</v>
      </c>
      <c r="I5996" s="64" t="s">
        <v>4537</v>
      </c>
      <c r="J5996" s="67">
        <v>0</v>
      </c>
      <c r="K5996" s="62">
        <v>251.9</v>
      </c>
      <c r="L5996" s="33" t="e">
        <f>HLOOKUP(B5996,#REF!,1,0)</f>
        <v>#REF!</v>
      </c>
      <c r="M5996" s="33" t="str">
        <f t="shared" si="375"/>
        <v>P&amp;L</v>
      </c>
    </row>
    <row r="5997" spans="1:13" s="33" customFormat="true" ht="12.75" customHeight="true">
      <c r="A5997" s="33" t="str">
        <f t="shared" si="372"/>
        <v>LCP - CGS</v>
      </c>
      <c r="B5997" s="33" t="str">
        <f t="shared" si="373"/>
        <v>LCP</v>
      </c>
      <c r="C5997" s="33" t="str">
        <f t="shared" si="374"/>
        <v>51002-0000</v>
      </c>
      <c r="D5997" s="283" t="s">
        <v>7092</v>
      </c>
      <c r="E5997" s="64" t="s">
        <v>4086</v>
      </c>
      <c r="F5997" s="64" t="s">
        <v>230</v>
      </c>
      <c r="G5997" s="64" t="s">
        <v>3740</v>
      </c>
      <c r="H5997" s="64" t="s">
        <v>1875</v>
      </c>
      <c r="I5997" s="64" t="s">
        <v>4087</v>
      </c>
      <c r="J5997" s="67">
        <v>0</v>
      </c>
      <c r="K5997" s="62">
        <v>570</v>
      </c>
      <c r="L5997" s="33" t="e">
        <f>HLOOKUP(B5997,#REF!,1,0)</f>
        <v>#REF!</v>
      </c>
      <c r="M5997" s="33" t="str">
        <f t="shared" si="375"/>
        <v>P&amp;L</v>
      </c>
    </row>
    <row r="5998" spans="1:13" s="33" customFormat="true" ht="12.75" customHeight="true">
      <c r="A5998" s="33" t="str">
        <f t="shared" si="372"/>
        <v>LCP - CGS</v>
      </c>
      <c r="B5998" s="33" t="str">
        <f t="shared" si="373"/>
        <v>LCP</v>
      </c>
      <c r="C5998" s="33" t="str">
        <f t="shared" si="374"/>
        <v>51006-0000</v>
      </c>
      <c r="D5998" s="283" t="s">
        <v>7093</v>
      </c>
      <c r="E5998" s="64" t="s">
        <v>3739</v>
      </c>
      <c r="F5998" s="64" t="s">
        <v>230</v>
      </c>
      <c r="G5998" s="64" t="s">
        <v>3740</v>
      </c>
      <c r="H5998" s="64" t="s">
        <v>1875</v>
      </c>
      <c r="I5998" s="64" t="s">
        <v>3741</v>
      </c>
      <c r="J5998" s="67">
        <v>0</v>
      </c>
      <c r="K5998" s="62">
        <v>1595.38</v>
      </c>
      <c r="L5998" s="33" t="e">
        <f>HLOOKUP(B5998,#REF!,1,0)</f>
        <v>#REF!</v>
      </c>
      <c r="M5998" s="33" t="str">
        <f t="shared" si="375"/>
        <v>P&amp;L</v>
      </c>
    </row>
    <row r="5999" spans="1:13" s="33" customFormat="true" ht="12.75" customHeight="true">
      <c r="A5999" s="33" t="str">
        <f t="shared" si="372"/>
        <v>LCP - CGS</v>
      </c>
      <c r="B5999" s="33" t="str">
        <f t="shared" si="373"/>
        <v>LCP</v>
      </c>
      <c r="C5999" s="33" t="str">
        <f t="shared" si="374"/>
        <v>51007-0000</v>
      </c>
      <c r="D5999" s="283" t="s">
        <v>7094</v>
      </c>
      <c r="E5999" s="64" t="s">
        <v>3972</v>
      </c>
      <c r="F5999" s="64" t="s">
        <v>230</v>
      </c>
      <c r="G5999" s="64" t="s">
        <v>3740</v>
      </c>
      <c r="H5999" s="64" t="s">
        <v>1875</v>
      </c>
      <c r="I5999" s="64" t="s">
        <v>3973</v>
      </c>
      <c r="J5999" s="67">
        <v>0</v>
      </c>
      <c r="K5999" s="62">
        <v>18.46</v>
      </c>
      <c r="L5999" s="33" t="e">
        <f>HLOOKUP(B5999,#REF!,1,0)</f>
        <v>#REF!</v>
      </c>
      <c r="M5999" s="33" t="str">
        <f t="shared" si="375"/>
        <v>P&amp;L</v>
      </c>
    </row>
    <row r="6000" spans="1:13" s="33" customFormat="true" ht="12.75" customHeight="true">
      <c r="A6000" s="33" t="str">
        <f t="shared" si="372"/>
        <v>LCP - CGS</v>
      </c>
      <c r="B6000" s="33" t="str">
        <f t="shared" si="373"/>
        <v>LCP</v>
      </c>
      <c r="C6000" s="33" t="str">
        <f t="shared" si="374"/>
        <v>51008-0000</v>
      </c>
      <c r="D6000" s="283" t="s">
        <v>7095</v>
      </c>
      <c r="E6000" s="64" t="s">
        <v>3743</v>
      </c>
      <c r="F6000" s="64" t="s">
        <v>230</v>
      </c>
      <c r="G6000" s="64" t="s">
        <v>3740</v>
      </c>
      <c r="H6000" s="64" t="s">
        <v>1875</v>
      </c>
      <c r="I6000" s="64" t="s">
        <v>3744</v>
      </c>
      <c r="J6000" s="67">
        <v>0</v>
      </c>
      <c r="K6000" s="62">
        <v>9609.37</v>
      </c>
      <c r="L6000" s="33" t="e">
        <f>HLOOKUP(B6000,#REF!,1,0)</f>
        <v>#REF!</v>
      </c>
      <c r="M6000" s="33" t="str">
        <f t="shared" si="375"/>
        <v>P&amp;L</v>
      </c>
    </row>
    <row r="6001" spans="1:13" s="33" customFormat="true" ht="12.75" customHeight="true">
      <c r="A6001" s="33" t="str">
        <f t="shared" si="372"/>
        <v>LCP - CGS</v>
      </c>
      <c r="B6001" s="33" t="str">
        <f t="shared" si="373"/>
        <v>LCP</v>
      </c>
      <c r="C6001" s="33" t="str">
        <f t="shared" si="374"/>
        <v>51009-0000</v>
      </c>
      <c r="D6001" s="283" t="s">
        <v>7096</v>
      </c>
      <c r="E6001" s="64" t="s">
        <v>3746</v>
      </c>
      <c r="F6001" s="64" t="s">
        <v>230</v>
      </c>
      <c r="G6001" s="64" t="s">
        <v>3740</v>
      </c>
      <c r="H6001" s="64" t="s">
        <v>1875</v>
      </c>
      <c r="I6001" s="64" t="s">
        <v>3747</v>
      </c>
      <c r="J6001" s="67">
        <v>0</v>
      </c>
      <c r="K6001" s="62">
        <v>2608.97</v>
      </c>
      <c r="L6001" s="33" t="e">
        <f>HLOOKUP(B6001,#REF!,1,0)</f>
        <v>#REF!</v>
      </c>
      <c r="M6001" s="33" t="str">
        <f t="shared" si="375"/>
        <v>P&amp;L</v>
      </c>
    </row>
    <row r="6002" spans="1:13" s="33" customFormat="true" ht="12.75" customHeight="true">
      <c r="A6002" s="33" t="str">
        <f t="shared" si="372"/>
        <v>LCP - CGS</v>
      </c>
      <c r="B6002" s="33" t="str">
        <f t="shared" si="373"/>
        <v>LCP</v>
      </c>
      <c r="C6002" s="33" t="str">
        <f t="shared" si="374"/>
        <v>51011-0000</v>
      </c>
      <c r="D6002" s="283" t="s">
        <v>7097</v>
      </c>
      <c r="E6002" s="64" t="s">
        <v>3749</v>
      </c>
      <c r="F6002" s="64" t="s">
        <v>230</v>
      </c>
      <c r="G6002" s="64" t="s">
        <v>3740</v>
      </c>
      <c r="H6002" s="64" t="s">
        <v>1875</v>
      </c>
      <c r="I6002" s="64" t="s">
        <v>3750</v>
      </c>
      <c r="J6002" s="67">
        <v>0</v>
      </c>
      <c r="K6002" s="62">
        <v>49883</v>
      </c>
      <c r="L6002" s="33" t="e">
        <f>HLOOKUP(B6002,#REF!,1,0)</f>
        <v>#REF!</v>
      </c>
      <c r="M6002" s="33" t="str">
        <f t="shared" si="375"/>
        <v>P&amp;L</v>
      </c>
    </row>
    <row r="6003" spans="1:13" s="33" customFormat="true" ht="12.75" customHeight="true">
      <c r="A6003" s="33" t="str">
        <f t="shared" si="372"/>
        <v>LCP - CGS</v>
      </c>
      <c r="B6003" s="33" t="str">
        <f t="shared" si="373"/>
        <v>LCP</v>
      </c>
      <c r="C6003" s="33" t="str">
        <f t="shared" si="374"/>
        <v>51012-0000</v>
      </c>
      <c r="D6003" s="283" t="s">
        <v>7098</v>
      </c>
      <c r="E6003" s="64" t="s">
        <v>3752</v>
      </c>
      <c r="F6003" s="64" t="s">
        <v>230</v>
      </c>
      <c r="G6003" s="64" t="s">
        <v>3740</v>
      </c>
      <c r="H6003" s="64" t="s">
        <v>1875</v>
      </c>
      <c r="I6003" s="64" t="s">
        <v>3753</v>
      </c>
      <c r="J6003" s="67">
        <v>0</v>
      </c>
      <c r="K6003" s="62">
        <v>3274</v>
      </c>
      <c r="L6003" s="33" t="e">
        <f>HLOOKUP(B6003,#REF!,1,0)</f>
        <v>#REF!</v>
      </c>
      <c r="M6003" s="33" t="str">
        <f t="shared" si="375"/>
        <v>P&amp;L</v>
      </c>
    </row>
    <row r="6004" spans="1:13" s="33" customFormat="true" ht="12.75" customHeight="true">
      <c r="A6004" s="33" t="str">
        <f t="shared" si="372"/>
        <v>LCP - CGS</v>
      </c>
      <c r="B6004" s="33" t="str">
        <f t="shared" si="373"/>
        <v>LCP</v>
      </c>
      <c r="C6004" s="33" t="str">
        <f t="shared" si="374"/>
        <v>51013-0000</v>
      </c>
      <c r="D6004" s="283" t="s">
        <v>7099</v>
      </c>
      <c r="E6004" s="64" t="s">
        <v>3979</v>
      </c>
      <c r="F6004" s="64" t="s">
        <v>230</v>
      </c>
      <c r="G6004" s="64" t="s">
        <v>3740</v>
      </c>
      <c r="H6004" s="64" t="s">
        <v>1875</v>
      </c>
      <c r="I6004" s="64" t="s">
        <v>3980</v>
      </c>
      <c r="J6004" s="67">
        <v>0</v>
      </c>
      <c r="K6004" s="62">
        <v>3195</v>
      </c>
      <c r="L6004" s="33" t="e">
        <f>HLOOKUP(B6004,#REF!,1,0)</f>
        <v>#REF!</v>
      </c>
      <c r="M6004" s="33" t="str">
        <f t="shared" si="375"/>
        <v>P&amp;L</v>
      </c>
    </row>
    <row r="6005" spans="1:13" s="33" customFormat="true" ht="12.75" customHeight="true">
      <c r="A6005" s="33" t="str">
        <f t="shared" si="372"/>
        <v>LCP - CGS</v>
      </c>
      <c r="B6005" s="33" t="str">
        <f t="shared" si="373"/>
        <v>LCP</v>
      </c>
      <c r="C6005" s="33" t="str">
        <f t="shared" si="374"/>
        <v>51015-0000</v>
      </c>
      <c r="D6005" s="283" t="s">
        <v>7100</v>
      </c>
      <c r="E6005" s="64" t="s">
        <v>3755</v>
      </c>
      <c r="F6005" s="64" t="s">
        <v>230</v>
      </c>
      <c r="G6005" s="64" t="s">
        <v>3740</v>
      </c>
      <c r="H6005" s="64" t="s">
        <v>1875</v>
      </c>
      <c r="I6005" s="64" t="s">
        <v>3756</v>
      </c>
      <c r="J6005" s="67">
        <v>0</v>
      </c>
      <c r="K6005" s="62">
        <v>554.99</v>
      </c>
      <c r="L6005" s="33" t="e">
        <f>HLOOKUP(B6005,#REF!,1,0)</f>
        <v>#REF!</v>
      </c>
      <c r="M6005" s="33" t="str">
        <f t="shared" si="375"/>
        <v>P&amp;L</v>
      </c>
    </row>
    <row r="6006" spans="1:13" s="33" customFormat="true" ht="12.75" customHeight="true">
      <c r="A6006" s="33" t="str">
        <f t="shared" si="372"/>
        <v>LCP - CGS</v>
      </c>
      <c r="B6006" s="33" t="str">
        <f t="shared" si="373"/>
        <v>LCP</v>
      </c>
      <c r="C6006" s="33" t="str">
        <f t="shared" si="374"/>
        <v>51017-0000</v>
      </c>
      <c r="D6006" s="283" t="s">
        <v>7101</v>
      </c>
      <c r="E6006" s="64" t="s">
        <v>3758</v>
      </c>
      <c r="F6006" s="64" t="s">
        <v>230</v>
      </c>
      <c r="G6006" s="64" t="s">
        <v>3160</v>
      </c>
      <c r="H6006" s="64" t="s">
        <v>1875</v>
      </c>
      <c r="I6006" s="64" t="s">
        <v>3759</v>
      </c>
      <c r="J6006" s="67">
        <v>0</v>
      </c>
      <c r="K6006" s="62">
        <v>1490.6</v>
      </c>
      <c r="L6006" s="33" t="e">
        <f>HLOOKUP(B6006,#REF!,1,0)</f>
        <v>#REF!</v>
      </c>
      <c r="M6006" s="33" t="str">
        <f t="shared" si="375"/>
        <v>P&amp;L</v>
      </c>
    </row>
    <row r="6007" spans="1:13" s="33" customFormat="true" ht="12.75" customHeight="true">
      <c r="A6007" s="33" t="str">
        <f t="shared" si="372"/>
        <v>LCP - CGS</v>
      </c>
      <c r="B6007" s="33" t="str">
        <f t="shared" si="373"/>
        <v>LCP</v>
      </c>
      <c r="C6007" s="33" t="str">
        <f t="shared" si="374"/>
        <v>51018-0000</v>
      </c>
      <c r="D6007" s="283" t="s">
        <v>7102</v>
      </c>
      <c r="E6007" s="64" t="s">
        <v>3984</v>
      </c>
      <c r="F6007" s="64" t="s">
        <v>230</v>
      </c>
      <c r="G6007" s="64" t="s">
        <v>3740</v>
      </c>
      <c r="H6007" s="64" t="s">
        <v>1875</v>
      </c>
      <c r="I6007" s="64" t="s">
        <v>3319</v>
      </c>
      <c r="J6007" s="67">
        <v>0</v>
      </c>
      <c r="K6007" s="62">
        <v>1992.37</v>
      </c>
      <c r="L6007" s="33" t="e">
        <f>HLOOKUP(B6007,#REF!,1,0)</f>
        <v>#REF!</v>
      </c>
      <c r="M6007" s="33" t="str">
        <f t="shared" si="375"/>
        <v>P&amp;L</v>
      </c>
    </row>
    <row r="6008" spans="1:13" s="33" customFormat="true" ht="12.75" customHeight="true">
      <c r="A6008" s="33" t="str">
        <f t="shared" si="372"/>
        <v>LCP - CGS</v>
      </c>
      <c r="B6008" s="33" t="str">
        <f t="shared" si="373"/>
        <v>LCP</v>
      </c>
      <c r="C6008" s="33" t="str">
        <f t="shared" si="374"/>
        <v>51019-0000</v>
      </c>
      <c r="D6008" s="283" t="s">
        <v>7103</v>
      </c>
      <c r="E6008" s="64" t="s">
        <v>3761</v>
      </c>
      <c r="F6008" s="64" t="s">
        <v>230</v>
      </c>
      <c r="G6008" s="64" t="s">
        <v>3740</v>
      </c>
      <c r="H6008" s="64" t="s">
        <v>1875</v>
      </c>
      <c r="I6008" s="64" t="s">
        <v>3340</v>
      </c>
      <c r="J6008" s="67">
        <v>0</v>
      </c>
      <c r="K6008" s="62">
        <v>945.15</v>
      </c>
      <c r="L6008" s="33" t="e">
        <f>HLOOKUP(B6008,#REF!,1,0)</f>
        <v>#REF!</v>
      </c>
      <c r="M6008" s="33" t="str">
        <f t="shared" si="375"/>
        <v>P&amp;L</v>
      </c>
    </row>
    <row r="6009" spans="1:13" s="33" customFormat="true" ht="12.75" customHeight="true">
      <c r="A6009" s="33" t="str">
        <f t="shared" si="372"/>
        <v>LCP - CGS</v>
      </c>
      <c r="B6009" s="33" t="str">
        <f t="shared" si="373"/>
        <v>LCP</v>
      </c>
      <c r="C6009" s="33" t="str">
        <f t="shared" si="374"/>
        <v>51020-0000</v>
      </c>
      <c r="D6009" s="283" t="s">
        <v>7104</v>
      </c>
      <c r="E6009" s="64" t="s">
        <v>3763</v>
      </c>
      <c r="F6009" s="64" t="s">
        <v>230</v>
      </c>
      <c r="G6009" s="64" t="s">
        <v>3740</v>
      </c>
      <c r="H6009" s="64" t="s">
        <v>1875</v>
      </c>
      <c r="I6009" s="64" t="s">
        <v>3345</v>
      </c>
      <c r="J6009" s="67">
        <v>0</v>
      </c>
      <c r="K6009" s="62">
        <v>3222.63</v>
      </c>
      <c r="L6009" s="33" t="e">
        <f>HLOOKUP(B6009,#REF!,1,0)</f>
        <v>#REF!</v>
      </c>
      <c r="M6009" s="33" t="str">
        <f t="shared" si="375"/>
        <v>P&amp;L</v>
      </c>
    </row>
    <row r="6010" spans="1:13" s="33" customFormat="true" ht="12.75" customHeight="true">
      <c r="A6010" s="33" t="str">
        <f t="shared" si="372"/>
        <v>LCP - CGS</v>
      </c>
      <c r="B6010" s="33" t="str">
        <f t="shared" si="373"/>
        <v>LCP</v>
      </c>
      <c r="C6010" s="33" t="str">
        <f t="shared" si="374"/>
        <v>51021-0000</v>
      </c>
      <c r="D6010" s="283" t="s">
        <v>7105</v>
      </c>
      <c r="E6010" s="64" t="s">
        <v>7106</v>
      </c>
      <c r="F6010" s="64" t="s">
        <v>230</v>
      </c>
      <c r="G6010" s="64" t="s">
        <v>3740</v>
      </c>
      <c r="H6010" s="64" t="s">
        <v>1875</v>
      </c>
      <c r="I6010" s="64" t="s">
        <v>4752</v>
      </c>
      <c r="J6010" s="67">
        <v>0</v>
      </c>
      <c r="K6010" s="62">
        <v>167.47</v>
      </c>
      <c r="L6010" s="33" t="e">
        <f>HLOOKUP(B6010,#REF!,1,0)</f>
        <v>#REF!</v>
      </c>
      <c r="M6010" s="33" t="str">
        <f t="shared" si="375"/>
        <v>P&amp;L</v>
      </c>
    </row>
    <row r="6011" spans="1:13" s="33" customFormat="true" ht="12.75" customHeight="true">
      <c r="A6011" s="33" t="str">
        <f t="shared" si="372"/>
        <v>LCP - CGS</v>
      </c>
      <c r="B6011" s="33" t="str">
        <f t="shared" si="373"/>
        <v>LCP</v>
      </c>
      <c r="C6011" s="33" t="str">
        <f t="shared" si="374"/>
        <v>51025-0000</v>
      </c>
      <c r="D6011" s="283" t="s">
        <v>7107</v>
      </c>
      <c r="E6011" s="64" t="s">
        <v>3988</v>
      </c>
      <c r="F6011" s="64" t="s">
        <v>230</v>
      </c>
      <c r="G6011" s="64" t="s">
        <v>3740</v>
      </c>
      <c r="H6011" s="64" t="s">
        <v>1875</v>
      </c>
      <c r="I6011" s="64" t="s">
        <v>3989</v>
      </c>
      <c r="J6011" s="67">
        <v>0</v>
      </c>
      <c r="K6011" s="62">
        <v>15600.6</v>
      </c>
      <c r="L6011" s="33" t="e">
        <f>HLOOKUP(B6011,#REF!,1,0)</f>
        <v>#REF!</v>
      </c>
      <c r="M6011" s="33" t="str">
        <f t="shared" si="375"/>
        <v>P&amp;L</v>
      </c>
    </row>
    <row r="6012" spans="1:13" s="33" customFormat="true" ht="12.75" customHeight="true">
      <c r="A6012" s="33" t="str">
        <f t="shared" si="372"/>
        <v>LCP - CGS</v>
      </c>
      <c r="B6012" s="33" t="str">
        <f t="shared" si="373"/>
        <v>LCP</v>
      </c>
      <c r="C6012" s="33" t="str">
        <f t="shared" si="374"/>
        <v>51029-0000</v>
      </c>
      <c r="D6012" s="283" t="s">
        <v>7108</v>
      </c>
      <c r="E6012" s="64" t="s">
        <v>3993</v>
      </c>
      <c r="F6012" s="64" t="s">
        <v>230</v>
      </c>
      <c r="G6012" s="64" t="s">
        <v>3740</v>
      </c>
      <c r="H6012" s="64" t="s">
        <v>1875</v>
      </c>
      <c r="I6012" s="64" t="s">
        <v>3994</v>
      </c>
      <c r="J6012" s="67">
        <v>0</v>
      </c>
      <c r="K6012" s="62">
        <v>8579.7</v>
      </c>
      <c r="L6012" s="33" t="e">
        <f>HLOOKUP(B6012,#REF!,1,0)</f>
        <v>#REF!</v>
      </c>
      <c r="M6012" s="33" t="str">
        <f t="shared" si="375"/>
        <v>P&amp;L</v>
      </c>
    </row>
    <row r="6013" spans="1:13" s="33" customFormat="true" ht="12.75" customHeight="true">
      <c r="A6013" s="33" t="str">
        <f t="shared" si="372"/>
        <v>LCP - CGS</v>
      </c>
      <c r="B6013" s="33" t="str">
        <f t="shared" si="373"/>
        <v>LCP</v>
      </c>
      <c r="C6013" s="33" t="str">
        <f t="shared" si="374"/>
        <v>51030-0000</v>
      </c>
      <c r="D6013" s="283" t="s">
        <v>7109</v>
      </c>
      <c r="E6013" s="64" t="s">
        <v>5792</v>
      </c>
      <c r="F6013" s="64" t="s">
        <v>230</v>
      </c>
      <c r="G6013" s="64" t="s">
        <v>4426</v>
      </c>
      <c r="H6013" s="64" t="s">
        <v>1875</v>
      </c>
      <c r="I6013" s="64" t="s">
        <v>5793</v>
      </c>
      <c r="J6013" s="67">
        <v>128.78</v>
      </c>
      <c r="K6013" s="62">
        <v>1186.28</v>
      </c>
      <c r="L6013" s="33" t="e">
        <f>HLOOKUP(B6013,#REF!,1,0)</f>
        <v>#REF!</v>
      </c>
      <c r="M6013" s="33" t="str">
        <f t="shared" si="375"/>
        <v>P&amp;L</v>
      </c>
    </row>
    <row r="6014" spans="1:13" s="33" customFormat="true" ht="12.75" customHeight="true">
      <c r="A6014" s="33" t="str">
        <f t="shared" si="372"/>
        <v>LCP - CGS</v>
      </c>
      <c r="B6014" s="33" t="str">
        <f t="shared" si="373"/>
        <v>LCP</v>
      </c>
      <c r="C6014" s="33" t="str">
        <f t="shared" si="374"/>
        <v>52001-0000</v>
      </c>
      <c r="D6014" s="283" t="s">
        <v>7110</v>
      </c>
      <c r="E6014" s="64" t="s">
        <v>3768</v>
      </c>
      <c r="F6014" s="64" t="s">
        <v>230</v>
      </c>
      <c r="G6014" s="64" t="s">
        <v>3769</v>
      </c>
      <c r="H6014" s="64" t="s">
        <v>1875</v>
      </c>
      <c r="I6014" s="64" t="s">
        <v>3770</v>
      </c>
      <c r="J6014" s="67">
        <v>0</v>
      </c>
      <c r="K6014" s="62">
        <v>31507.97</v>
      </c>
      <c r="L6014" s="33" t="e">
        <f>HLOOKUP(B6014,#REF!,1,0)</f>
        <v>#REF!</v>
      </c>
      <c r="M6014" s="33" t="str">
        <f t="shared" si="375"/>
        <v>P&amp;L</v>
      </c>
    </row>
    <row r="6015" spans="1:13" s="33" customFormat="true" ht="12.75" customHeight="true">
      <c r="A6015" s="33" t="str">
        <f t="shared" si="372"/>
        <v>LCP - CGS</v>
      </c>
      <c r="B6015" s="33" t="str">
        <f t="shared" si="373"/>
        <v>LCP</v>
      </c>
      <c r="C6015" s="33" t="str">
        <f t="shared" si="374"/>
        <v>52002-0000</v>
      </c>
      <c r="D6015" s="283" t="s">
        <v>7111</v>
      </c>
      <c r="E6015" s="64" t="s">
        <v>3997</v>
      </c>
      <c r="F6015" s="64" t="s">
        <v>230</v>
      </c>
      <c r="G6015" s="64" t="s">
        <v>3769</v>
      </c>
      <c r="H6015" s="64" t="s">
        <v>1875</v>
      </c>
      <c r="I6015" s="64" t="s">
        <v>3998</v>
      </c>
      <c r="J6015" s="67">
        <v>0</v>
      </c>
      <c r="K6015" s="62">
        <v>60</v>
      </c>
      <c r="L6015" s="33" t="e">
        <f>HLOOKUP(B6015,#REF!,1,0)</f>
        <v>#REF!</v>
      </c>
      <c r="M6015" s="33" t="str">
        <f t="shared" si="375"/>
        <v>P&amp;L</v>
      </c>
    </row>
    <row r="6016" spans="1:13" s="33" customFormat="true" ht="12.75" customHeight="true">
      <c r="A6016" s="33" t="str">
        <f t="shared" si="372"/>
        <v>LCP - CGS</v>
      </c>
      <c r="B6016" s="33" t="str">
        <f t="shared" si="373"/>
        <v>LCP</v>
      </c>
      <c r="C6016" s="33" t="str">
        <f t="shared" si="374"/>
        <v>52003-0000</v>
      </c>
      <c r="D6016" s="283" t="s">
        <v>7112</v>
      </c>
      <c r="E6016" s="64" t="s">
        <v>3772</v>
      </c>
      <c r="F6016" s="64" t="s">
        <v>230</v>
      </c>
      <c r="G6016" s="64" t="s">
        <v>3769</v>
      </c>
      <c r="H6016" s="64" t="s">
        <v>1875</v>
      </c>
      <c r="I6016" s="64" t="s">
        <v>3773</v>
      </c>
      <c r="J6016" s="67">
        <v>0</v>
      </c>
      <c r="K6016" s="62">
        <v>5355</v>
      </c>
      <c r="L6016" s="33" t="e">
        <f>HLOOKUP(B6016,#REF!,1,0)</f>
        <v>#REF!</v>
      </c>
      <c r="M6016" s="33" t="str">
        <f t="shared" si="375"/>
        <v>P&amp;L</v>
      </c>
    </row>
    <row r="6017" spans="1:13" s="33" customFormat="true" ht="12.75" customHeight="true">
      <c r="A6017" s="33" t="str">
        <f t="shared" si="372"/>
        <v>LCP - CGS</v>
      </c>
      <c r="B6017" s="33" t="str">
        <f t="shared" si="373"/>
        <v>LCP</v>
      </c>
      <c r="C6017" s="33" t="str">
        <f t="shared" si="374"/>
        <v>52004-0000</v>
      </c>
      <c r="D6017" s="283" t="s">
        <v>7113</v>
      </c>
      <c r="E6017" s="64" t="s">
        <v>3775</v>
      </c>
      <c r="F6017" s="64" t="s">
        <v>230</v>
      </c>
      <c r="G6017" s="64" t="s">
        <v>3769</v>
      </c>
      <c r="H6017" s="64" t="s">
        <v>1875</v>
      </c>
      <c r="I6017" s="64" t="s">
        <v>3776</v>
      </c>
      <c r="J6017" s="67">
        <v>0</v>
      </c>
      <c r="K6017" s="62">
        <v>-664.89</v>
      </c>
      <c r="L6017" s="33" t="e">
        <f>HLOOKUP(B6017,#REF!,1,0)</f>
        <v>#REF!</v>
      </c>
      <c r="M6017" s="33" t="str">
        <f t="shared" si="375"/>
        <v>P&amp;L</v>
      </c>
    </row>
    <row r="6018" spans="1:13" s="33" customFormat="true" ht="12.75" customHeight="true">
      <c r="A6018" s="33" t="str">
        <f t="shared" ref="A6018:A6081" si="376">B6018&amp;" - "&amp;TRIM(H6018)</f>
        <v>LCP - CGS</v>
      </c>
      <c r="B6018" s="33" t="str">
        <f t="shared" ref="B6018:B6081" si="377">LEFT(D6018,3)</f>
        <v>LCP</v>
      </c>
      <c r="C6018" s="33" t="str">
        <f t="shared" ref="C6018:C6081" si="378">RIGHT(D6018,10)</f>
        <v>52006-0000</v>
      </c>
      <c r="D6018" s="283" t="s">
        <v>7114</v>
      </c>
      <c r="E6018" s="64" t="s">
        <v>3778</v>
      </c>
      <c r="F6018" s="64" t="s">
        <v>230</v>
      </c>
      <c r="G6018" s="64" t="s">
        <v>3769</v>
      </c>
      <c r="H6018" s="64" t="s">
        <v>1875</v>
      </c>
      <c r="I6018" s="64" t="s">
        <v>3779</v>
      </c>
      <c r="J6018" s="67">
        <v>0</v>
      </c>
      <c r="K6018" s="62">
        <v>9489.35</v>
      </c>
      <c r="L6018" s="33" t="e">
        <f>HLOOKUP(B6018,#REF!,1,0)</f>
        <v>#REF!</v>
      </c>
      <c r="M6018" s="33" t="str">
        <f t="shared" ref="M6018:M6081" si="379">IF(VALUE(LEFT(C6018,5))&gt;40000,"P&amp;L","BS")</f>
        <v>P&amp;L</v>
      </c>
    </row>
    <row r="6019" spans="1:13" s="33" customFormat="true" ht="12.75" customHeight="true">
      <c r="A6019" s="33" t="str">
        <f t="shared" si="376"/>
        <v>LCP - CGS</v>
      </c>
      <c r="B6019" s="33" t="str">
        <f t="shared" si="377"/>
        <v>LCP</v>
      </c>
      <c r="C6019" s="33" t="str">
        <f t="shared" si="378"/>
        <v>53001-0000</v>
      </c>
      <c r="D6019" s="283" t="s">
        <v>7115</v>
      </c>
      <c r="E6019" s="64" t="s">
        <v>3781</v>
      </c>
      <c r="F6019" s="64" t="s">
        <v>230</v>
      </c>
      <c r="G6019" s="64" t="s">
        <v>3160</v>
      </c>
      <c r="H6019" s="64" t="s">
        <v>1875</v>
      </c>
      <c r="I6019" s="64" t="s">
        <v>3782</v>
      </c>
      <c r="J6019" s="67">
        <v>0</v>
      </c>
      <c r="K6019" s="62">
        <v>3728.36</v>
      </c>
      <c r="L6019" s="33" t="e">
        <f>HLOOKUP(B6019,#REF!,1,0)</f>
        <v>#REF!</v>
      </c>
      <c r="M6019" s="33" t="str">
        <f t="shared" si="379"/>
        <v>P&amp;L</v>
      </c>
    </row>
    <row r="6020" spans="1:13" s="33" customFormat="true" ht="12.75" customHeight="true">
      <c r="A6020" s="33" t="str">
        <f t="shared" si="376"/>
        <v>LCP - CGS</v>
      </c>
      <c r="B6020" s="33" t="str">
        <f t="shared" si="377"/>
        <v>LCP</v>
      </c>
      <c r="C6020" s="33" t="str">
        <f t="shared" si="378"/>
        <v>53002-0000</v>
      </c>
      <c r="D6020" s="283" t="s">
        <v>7116</v>
      </c>
      <c r="E6020" s="64" t="s">
        <v>3784</v>
      </c>
      <c r="F6020" s="64" t="s">
        <v>230</v>
      </c>
      <c r="G6020" s="64" t="s">
        <v>3160</v>
      </c>
      <c r="H6020" s="64" t="s">
        <v>1875</v>
      </c>
      <c r="I6020" s="64" t="s">
        <v>3785</v>
      </c>
      <c r="J6020" s="67">
        <v>0</v>
      </c>
      <c r="K6020" s="62">
        <v>115358.27</v>
      </c>
      <c r="L6020" s="33" t="e">
        <f>HLOOKUP(B6020,#REF!,1,0)</f>
        <v>#REF!</v>
      </c>
      <c r="M6020" s="33" t="str">
        <f t="shared" si="379"/>
        <v>P&amp;L</v>
      </c>
    </row>
    <row r="6021" spans="1:13" s="33" customFormat="true" ht="12.75" customHeight="true">
      <c r="A6021" s="33" t="str">
        <f t="shared" si="376"/>
        <v>LCP - CGS</v>
      </c>
      <c r="B6021" s="33" t="str">
        <f t="shared" si="377"/>
        <v>LCP</v>
      </c>
      <c r="C6021" s="33" t="str">
        <f t="shared" si="378"/>
        <v>53003-0000</v>
      </c>
      <c r="D6021" s="283" t="s">
        <v>7117</v>
      </c>
      <c r="E6021" s="64" t="s">
        <v>3787</v>
      </c>
      <c r="F6021" s="64" t="s">
        <v>230</v>
      </c>
      <c r="G6021" s="64" t="s">
        <v>3160</v>
      </c>
      <c r="H6021" s="64" t="s">
        <v>1875</v>
      </c>
      <c r="I6021" s="64" t="s">
        <v>3788</v>
      </c>
      <c r="J6021" s="67">
        <v>0</v>
      </c>
      <c r="K6021" s="62">
        <v>24965.63</v>
      </c>
      <c r="L6021" s="33" t="e">
        <f>HLOOKUP(B6021,#REF!,1,0)</f>
        <v>#REF!</v>
      </c>
      <c r="M6021" s="33" t="str">
        <f t="shared" si="379"/>
        <v>P&amp;L</v>
      </c>
    </row>
    <row r="6022" spans="1:13" s="33" customFormat="true" ht="12.75" customHeight="true">
      <c r="A6022" s="33" t="str">
        <f t="shared" si="376"/>
        <v>LCP - CGS</v>
      </c>
      <c r="B6022" s="33" t="str">
        <f t="shared" si="377"/>
        <v>LCP</v>
      </c>
      <c r="C6022" s="33" t="str">
        <f t="shared" si="378"/>
        <v>53004-0000</v>
      </c>
      <c r="D6022" s="283" t="s">
        <v>7118</v>
      </c>
      <c r="E6022" s="64" t="s">
        <v>3790</v>
      </c>
      <c r="F6022" s="64" t="s">
        <v>230</v>
      </c>
      <c r="G6022" s="64" t="s">
        <v>3160</v>
      </c>
      <c r="H6022" s="64" t="s">
        <v>1875</v>
      </c>
      <c r="I6022" s="64" t="s">
        <v>3791</v>
      </c>
      <c r="J6022" s="67">
        <v>0</v>
      </c>
      <c r="K6022" s="62">
        <v>6269.88</v>
      </c>
      <c r="L6022" s="33" t="e">
        <f>HLOOKUP(B6022,#REF!,1,0)</f>
        <v>#REF!</v>
      </c>
      <c r="M6022" s="33" t="str">
        <f t="shared" si="379"/>
        <v>P&amp;L</v>
      </c>
    </row>
    <row r="6023" spans="1:13" s="33" customFormat="true" ht="12.75" customHeight="true">
      <c r="A6023" s="33" t="str">
        <f t="shared" si="376"/>
        <v>LCP - CGS</v>
      </c>
      <c r="B6023" s="33" t="str">
        <f t="shared" si="377"/>
        <v>LCP</v>
      </c>
      <c r="C6023" s="33" t="str">
        <f t="shared" si="378"/>
        <v>53005-0000</v>
      </c>
      <c r="D6023" s="283" t="s">
        <v>7119</v>
      </c>
      <c r="E6023" s="64" t="s">
        <v>3793</v>
      </c>
      <c r="F6023" s="64" t="s">
        <v>230</v>
      </c>
      <c r="G6023" s="64" t="s">
        <v>3160</v>
      </c>
      <c r="H6023" s="64" t="s">
        <v>1875</v>
      </c>
      <c r="I6023" s="64" t="s">
        <v>3794</v>
      </c>
      <c r="J6023" s="67">
        <v>0</v>
      </c>
      <c r="K6023" s="62">
        <v>8935.36</v>
      </c>
      <c r="L6023" s="33" t="e">
        <f>HLOOKUP(B6023,#REF!,1,0)</f>
        <v>#REF!</v>
      </c>
      <c r="M6023" s="33" t="str">
        <f t="shared" si="379"/>
        <v>P&amp;L</v>
      </c>
    </row>
    <row r="6024" spans="1:13" s="33" customFormat="true" ht="12.75" customHeight="true">
      <c r="A6024" s="33" t="str">
        <f t="shared" si="376"/>
        <v>LCP - CGS</v>
      </c>
      <c r="B6024" s="33" t="str">
        <f t="shared" si="377"/>
        <v>LCP</v>
      </c>
      <c r="C6024" s="33" t="str">
        <f t="shared" si="378"/>
        <v>53006-0000</v>
      </c>
      <c r="D6024" s="283" t="s">
        <v>7120</v>
      </c>
      <c r="E6024" s="64" t="s">
        <v>3796</v>
      </c>
      <c r="F6024" s="64" t="s">
        <v>230</v>
      </c>
      <c r="G6024" s="64" t="s">
        <v>3160</v>
      </c>
      <c r="H6024" s="64" t="s">
        <v>1875</v>
      </c>
      <c r="I6024" s="64" t="s">
        <v>3797</v>
      </c>
      <c r="J6024" s="67">
        <v>0</v>
      </c>
      <c r="K6024" s="62">
        <v>42075.19</v>
      </c>
      <c r="L6024" s="33" t="e">
        <f>HLOOKUP(B6024,#REF!,1,0)</f>
        <v>#REF!</v>
      </c>
      <c r="M6024" s="33" t="str">
        <f t="shared" si="379"/>
        <v>P&amp;L</v>
      </c>
    </row>
    <row r="6025" spans="1:13" s="33" customFormat="true" ht="12.75" customHeight="true">
      <c r="A6025" s="33" t="str">
        <f t="shared" si="376"/>
        <v>LCP - CGS</v>
      </c>
      <c r="B6025" s="33" t="str">
        <f t="shared" si="377"/>
        <v>LCP</v>
      </c>
      <c r="C6025" s="33" t="str">
        <f t="shared" si="378"/>
        <v>54001-0000</v>
      </c>
      <c r="D6025" s="283" t="s">
        <v>7121</v>
      </c>
      <c r="E6025" s="64" t="s">
        <v>4008</v>
      </c>
      <c r="F6025" s="64" t="s">
        <v>230</v>
      </c>
      <c r="G6025" s="64" t="s">
        <v>3800</v>
      </c>
      <c r="H6025" s="64" t="s">
        <v>1875</v>
      </c>
      <c r="I6025" s="64" t="s">
        <v>4009</v>
      </c>
      <c r="J6025" s="67">
        <v>0</v>
      </c>
      <c r="K6025" s="62">
        <v>-1427.9</v>
      </c>
      <c r="L6025" s="33" t="e">
        <f>HLOOKUP(B6025,#REF!,1,0)</f>
        <v>#REF!</v>
      </c>
      <c r="M6025" s="33" t="str">
        <f t="shared" si="379"/>
        <v>P&amp;L</v>
      </c>
    </row>
    <row r="6026" spans="1:13" s="33" customFormat="true" ht="12.75" customHeight="true">
      <c r="A6026" s="33" t="str">
        <f t="shared" si="376"/>
        <v>LCP - CGS</v>
      </c>
      <c r="B6026" s="33" t="str">
        <f t="shared" si="377"/>
        <v>LCP</v>
      </c>
      <c r="C6026" s="33" t="str">
        <f t="shared" si="378"/>
        <v>54002-0000</v>
      </c>
      <c r="D6026" s="283" t="s">
        <v>7122</v>
      </c>
      <c r="E6026" s="64" t="s">
        <v>3799</v>
      </c>
      <c r="F6026" s="64" t="s">
        <v>230</v>
      </c>
      <c r="G6026" s="64" t="s">
        <v>3800</v>
      </c>
      <c r="H6026" s="64" t="s">
        <v>1875</v>
      </c>
      <c r="I6026" s="64" t="s">
        <v>3801</v>
      </c>
      <c r="J6026" s="67">
        <v>0</v>
      </c>
      <c r="K6026" s="62">
        <v>22152</v>
      </c>
      <c r="L6026" s="33" t="e">
        <f>HLOOKUP(B6026,#REF!,1,0)</f>
        <v>#REF!</v>
      </c>
      <c r="M6026" s="33" t="str">
        <f t="shared" si="379"/>
        <v>P&amp;L</v>
      </c>
    </row>
    <row r="6027" spans="1:13" s="33" customFormat="true" ht="12.75" customHeight="true">
      <c r="A6027" s="33" t="str">
        <f t="shared" si="376"/>
        <v>LCP - CGS</v>
      </c>
      <c r="B6027" s="33" t="str">
        <f t="shared" si="377"/>
        <v>LCP</v>
      </c>
      <c r="C6027" s="33" t="str">
        <f t="shared" si="378"/>
        <v>54003-0000</v>
      </c>
      <c r="D6027" s="283" t="s">
        <v>7123</v>
      </c>
      <c r="E6027" s="64" t="s">
        <v>3803</v>
      </c>
      <c r="F6027" s="64" t="s">
        <v>230</v>
      </c>
      <c r="G6027" s="64" t="s">
        <v>3800</v>
      </c>
      <c r="H6027" s="64" t="s">
        <v>1875</v>
      </c>
      <c r="I6027" s="64" t="s">
        <v>3804</v>
      </c>
      <c r="J6027" s="67">
        <v>0</v>
      </c>
      <c r="K6027" s="62">
        <v>0</v>
      </c>
      <c r="L6027" s="33" t="e">
        <f>HLOOKUP(B6027,#REF!,1,0)</f>
        <v>#REF!</v>
      </c>
      <c r="M6027" s="33" t="str">
        <f t="shared" si="379"/>
        <v>P&amp;L</v>
      </c>
    </row>
    <row r="6028" spans="1:13" s="33" customFormat="true" ht="12.75" customHeight="true">
      <c r="A6028" s="33" t="str">
        <f t="shared" si="376"/>
        <v>LCP - CGS</v>
      </c>
      <c r="B6028" s="33" t="str">
        <f t="shared" si="377"/>
        <v>LCP</v>
      </c>
      <c r="C6028" s="33" t="str">
        <f t="shared" si="378"/>
        <v>54004-0000</v>
      </c>
      <c r="D6028" s="283" t="s">
        <v>7124</v>
      </c>
      <c r="E6028" s="64" t="s">
        <v>3806</v>
      </c>
      <c r="F6028" s="64" t="s">
        <v>230</v>
      </c>
      <c r="G6028" s="64" t="s">
        <v>3800</v>
      </c>
      <c r="H6028" s="64" t="s">
        <v>1875</v>
      </c>
      <c r="I6028" s="64" t="s">
        <v>3807</v>
      </c>
      <c r="J6028" s="67">
        <v>0</v>
      </c>
      <c r="K6028" s="62">
        <v>101184.1</v>
      </c>
      <c r="L6028" s="33" t="e">
        <f>HLOOKUP(B6028,#REF!,1,0)</f>
        <v>#REF!</v>
      </c>
      <c r="M6028" s="33" t="str">
        <f t="shared" si="379"/>
        <v>P&amp;L</v>
      </c>
    </row>
    <row r="6029" spans="1:13" s="33" customFormat="true" ht="12.75" customHeight="true">
      <c r="A6029" s="33" t="str">
        <f t="shared" si="376"/>
        <v>LCP - CGS</v>
      </c>
      <c r="B6029" s="33" t="str">
        <f t="shared" si="377"/>
        <v>LCP</v>
      </c>
      <c r="C6029" s="33" t="str">
        <f t="shared" si="378"/>
        <v>54005-0000</v>
      </c>
      <c r="D6029" s="283" t="s">
        <v>7125</v>
      </c>
      <c r="E6029" s="64" t="s">
        <v>3809</v>
      </c>
      <c r="F6029" s="64" t="s">
        <v>230</v>
      </c>
      <c r="G6029" s="64" t="s">
        <v>3800</v>
      </c>
      <c r="H6029" s="64" t="s">
        <v>1875</v>
      </c>
      <c r="I6029" s="64" t="s">
        <v>3810</v>
      </c>
      <c r="J6029" s="67">
        <v>0</v>
      </c>
      <c r="K6029" s="62">
        <v>995.68</v>
      </c>
      <c r="L6029" s="33" t="e">
        <f>HLOOKUP(B6029,#REF!,1,0)</f>
        <v>#REF!</v>
      </c>
      <c r="M6029" s="33" t="str">
        <f t="shared" si="379"/>
        <v>P&amp;L</v>
      </c>
    </row>
    <row r="6030" spans="1:13" s="33" customFormat="true" ht="12.75" customHeight="true">
      <c r="A6030" s="33" t="str">
        <f t="shared" si="376"/>
        <v>LCP - CGS</v>
      </c>
      <c r="B6030" s="33" t="str">
        <f t="shared" si="377"/>
        <v>LCP</v>
      </c>
      <c r="C6030" s="33" t="str">
        <f t="shared" si="378"/>
        <v>54006-0000</v>
      </c>
      <c r="D6030" s="283" t="s">
        <v>7126</v>
      </c>
      <c r="E6030" s="64" t="s">
        <v>3812</v>
      </c>
      <c r="F6030" s="64" t="s">
        <v>230</v>
      </c>
      <c r="G6030" s="64" t="s">
        <v>3800</v>
      </c>
      <c r="H6030" s="64" t="s">
        <v>1875</v>
      </c>
      <c r="I6030" s="64" t="s">
        <v>3003</v>
      </c>
      <c r="J6030" s="67">
        <v>0</v>
      </c>
      <c r="K6030" s="62">
        <v>21098.63</v>
      </c>
      <c r="L6030" s="33" t="e">
        <f>HLOOKUP(B6030,#REF!,1,0)</f>
        <v>#REF!</v>
      </c>
      <c r="M6030" s="33" t="str">
        <f t="shared" si="379"/>
        <v>P&amp;L</v>
      </c>
    </row>
    <row r="6031" spans="1:13" s="33" customFormat="true" ht="12.75" customHeight="true">
      <c r="A6031" s="33" t="str">
        <f t="shared" si="376"/>
        <v>LCP - CGS</v>
      </c>
      <c r="B6031" s="33" t="str">
        <f t="shared" si="377"/>
        <v>LCP</v>
      </c>
      <c r="C6031" s="33" t="str">
        <f t="shared" si="378"/>
        <v>54007-0000</v>
      </c>
      <c r="D6031" s="283" t="s">
        <v>7127</v>
      </c>
      <c r="E6031" s="64" t="s">
        <v>3814</v>
      </c>
      <c r="F6031" s="64" t="s">
        <v>230</v>
      </c>
      <c r="G6031" s="64" t="s">
        <v>3800</v>
      </c>
      <c r="H6031" s="64" t="s">
        <v>1875</v>
      </c>
      <c r="I6031" s="64" t="s">
        <v>3815</v>
      </c>
      <c r="J6031" s="67">
        <v>0</v>
      </c>
      <c r="K6031" s="62">
        <v>105598.02</v>
      </c>
      <c r="L6031" s="33" t="e">
        <f>HLOOKUP(B6031,#REF!,1,0)</f>
        <v>#REF!</v>
      </c>
      <c r="M6031" s="33" t="str">
        <f t="shared" si="379"/>
        <v>P&amp;L</v>
      </c>
    </row>
    <row r="6032" spans="1:13" s="33" customFormat="true" ht="12.75" customHeight="true">
      <c r="A6032" s="33" t="str">
        <f t="shared" si="376"/>
        <v>LCP - CGS</v>
      </c>
      <c r="B6032" s="33" t="str">
        <f t="shared" si="377"/>
        <v>LCP</v>
      </c>
      <c r="C6032" s="33" t="str">
        <f t="shared" si="378"/>
        <v>54008-0000</v>
      </c>
      <c r="D6032" s="283" t="s">
        <v>7128</v>
      </c>
      <c r="E6032" s="64" t="s">
        <v>4017</v>
      </c>
      <c r="F6032" s="64" t="s">
        <v>230</v>
      </c>
      <c r="G6032" s="64" t="s">
        <v>3800</v>
      </c>
      <c r="H6032" s="64" t="s">
        <v>1875</v>
      </c>
      <c r="I6032" s="64" t="s">
        <v>4018</v>
      </c>
      <c r="J6032" s="67">
        <v>593.76</v>
      </c>
      <c r="K6032" s="62">
        <v>32.4</v>
      </c>
      <c r="L6032" s="33" t="e">
        <f>HLOOKUP(B6032,#REF!,1,0)</f>
        <v>#REF!</v>
      </c>
      <c r="M6032" s="33" t="str">
        <f t="shared" si="379"/>
        <v>P&amp;L</v>
      </c>
    </row>
    <row r="6033" spans="1:13" s="33" customFormat="true" ht="12.75" customHeight="true">
      <c r="A6033" s="33" t="str">
        <f t="shared" si="376"/>
        <v>LCP - PM Expenses</v>
      </c>
      <c r="B6033" s="33" t="str">
        <f t="shared" si="377"/>
        <v>LCP</v>
      </c>
      <c r="C6033" s="33" t="str">
        <f t="shared" si="378"/>
        <v>55501-0000</v>
      </c>
      <c r="D6033" s="283" t="s">
        <v>7129</v>
      </c>
      <c r="E6033" s="64" t="s">
        <v>4120</v>
      </c>
      <c r="F6033" s="64" t="s">
        <v>230</v>
      </c>
      <c r="G6033" s="64" t="s">
        <v>3818</v>
      </c>
      <c r="H6033" s="64" t="s">
        <v>3819</v>
      </c>
      <c r="I6033" s="64" t="s">
        <v>3820</v>
      </c>
      <c r="J6033" s="67">
        <v>0</v>
      </c>
      <c r="K6033" s="62">
        <v>19607.42</v>
      </c>
      <c r="L6033" s="33" t="e">
        <f>HLOOKUP(B6033,#REF!,1,0)</f>
        <v>#REF!</v>
      </c>
      <c r="M6033" s="33" t="str">
        <f t="shared" si="379"/>
        <v>P&amp;L</v>
      </c>
    </row>
    <row r="6034" spans="1:13" s="33" customFormat="true" ht="12.75" customHeight="true">
      <c r="A6034" s="33" t="str">
        <f t="shared" si="376"/>
        <v>LCP - PM Expenses</v>
      </c>
      <c r="B6034" s="33" t="str">
        <f t="shared" si="377"/>
        <v>LCP</v>
      </c>
      <c r="C6034" s="33" t="str">
        <f t="shared" si="378"/>
        <v>55502-0000</v>
      </c>
      <c r="D6034" s="283" t="s">
        <v>7130</v>
      </c>
      <c r="E6034" s="64" t="s">
        <v>3822</v>
      </c>
      <c r="F6034" s="64" t="s">
        <v>230</v>
      </c>
      <c r="G6034" s="64" t="s">
        <v>3818</v>
      </c>
      <c r="H6034" s="64" t="s">
        <v>3819</v>
      </c>
      <c r="I6034" s="64" t="s">
        <v>3823</v>
      </c>
      <c r="J6034" s="67">
        <v>0</v>
      </c>
      <c r="K6034" s="62">
        <v>28301.65</v>
      </c>
      <c r="L6034" s="33" t="e">
        <f>HLOOKUP(B6034,#REF!,1,0)</f>
        <v>#REF!</v>
      </c>
      <c r="M6034" s="33" t="str">
        <f t="shared" si="379"/>
        <v>P&amp;L</v>
      </c>
    </row>
    <row r="6035" spans="1:13" s="33" customFormat="true" ht="12.75" customHeight="true">
      <c r="A6035" s="33" t="str">
        <f t="shared" si="376"/>
        <v>LCP - PM Expenses</v>
      </c>
      <c r="B6035" s="33" t="str">
        <f t="shared" si="377"/>
        <v>LCP</v>
      </c>
      <c r="C6035" s="33" t="str">
        <f t="shared" si="378"/>
        <v>55503-0000</v>
      </c>
      <c r="D6035" s="283" t="s">
        <v>7131</v>
      </c>
      <c r="E6035" s="64" t="s">
        <v>3825</v>
      </c>
      <c r="F6035" s="64" t="s">
        <v>230</v>
      </c>
      <c r="G6035" s="64" t="s">
        <v>3818</v>
      </c>
      <c r="H6035" s="64" t="s">
        <v>3819</v>
      </c>
      <c r="I6035" s="64" t="s">
        <v>3826</v>
      </c>
      <c r="J6035" s="67">
        <v>0</v>
      </c>
      <c r="K6035" s="62">
        <v>18956.6</v>
      </c>
      <c r="L6035" s="33" t="e">
        <f>HLOOKUP(B6035,#REF!,1,0)</f>
        <v>#REF!</v>
      </c>
      <c r="M6035" s="33" t="str">
        <f t="shared" si="379"/>
        <v>P&amp;L</v>
      </c>
    </row>
    <row r="6036" spans="1:13" s="33" customFormat="true" ht="12.75" customHeight="true">
      <c r="A6036" s="33" t="str">
        <f t="shared" si="376"/>
        <v>LCP - PM Expenses</v>
      </c>
      <c r="B6036" s="33" t="str">
        <f t="shared" si="377"/>
        <v>LCP</v>
      </c>
      <c r="C6036" s="33" t="str">
        <f t="shared" si="378"/>
        <v>55505-0000</v>
      </c>
      <c r="D6036" s="283" t="s">
        <v>7132</v>
      </c>
      <c r="E6036" s="64" t="s">
        <v>3828</v>
      </c>
      <c r="F6036" s="64" t="s">
        <v>230</v>
      </c>
      <c r="G6036" s="64" t="s">
        <v>3818</v>
      </c>
      <c r="H6036" s="64" t="s">
        <v>3819</v>
      </c>
      <c r="I6036" s="64" t="s">
        <v>3829</v>
      </c>
      <c r="J6036" s="67">
        <v>0</v>
      </c>
      <c r="K6036" s="62">
        <v>53586.03</v>
      </c>
      <c r="L6036" s="33" t="e">
        <f>HLOOKUP(B6036,#REF!,1,0)</f>
        <v>#REF!</v>
      </c>
      <c r="M6036" s="33" t="str">
        <f t="shared" si="379"/>
        <v>P&amp;L</v>
      </c>
    </row>
    <row r="6037" spans="1:13" s="33" customFormat="true" ht="12.75" customHeight="true">
      <c r="A6037" s="33" t="str">
        <f t="shared" si="376"/>
        <v>LCP - PM Expenses</v>
      </c>
      <c r="B6037" s="33" t="str">
        <f t="shared" si="377"/>
        <v>LCP</v>
      </c>
      <c r="C6037" s="33" t="str">
        <f t="shared" si="378"/>
        <v>55506-0000</v>
      </c>
      <c r="D6037" s="283" t="s">
        <v>7133</v>
      </c>
      <c r="E6037" s="64" t="s">
        <v>3831</v>
      </c>
      <c r="F6037" s="64" t="s">
        <v>230</v>
      </c>
      <c r="G6037" s="64" t="s">
        <v>3818</v>
      </c>
      <c r="H6037" s="64" t="s">
        <v>3819</v>
      </c>
      <c r="I6037" s="64" t="s">
        <v>3832</v>
      </c>
      <c r="J6037" s="67">
        <v>0</v>
      </c>
      <c r="K6037" s="62">
        <v>285192.81</v>
      </c>
      <c r="L6037" s="33" t="e">
        <f>HLOOKUP(B6037,#REF!,1,0)</f>
        <v>#REF!</v>
      </c>
      <c r="M6037" s="33" t="str">
        <f t="shared" si="379"/>
        <v>P&amp;L</v>
      </c>
    </row>
    <row r="6038" spans="1:13" s="33" customFormat="true" ht="12.75" customHeight="true">
      <c r="A6038" s="33" t="str">
        <f t="shared" si="376"/>
        <v>LCP - PM Expenses</v>
      </c>
      <c r="B6038" s="33" t="str">
        <f t="shared" si="377"/>
        <v>LCP</v>
      </c>
      <c r="C6038" s="33" t="str">
        <f t="shared" si="378"/>
        <v>55507-0000</v>
      </c>
      <c r="D6038" s="283" t="s">
        <v>7134</v>
      </c>
      <c r="E6038" s="64" t="s">
        <v>3834</v>
      </c>
      <c r="F6038" s="64" t="s">
        <v>230</v>
      </c>
      <c r="G6038" s="64" t="s">
        <v>3818</v>
      </c>
      <c r="H6038" s="64" t="s">
        <v>3819</v>
      </c>
      <c r="I6038" s="64" t="s">
        <v>3835</v>
      </c>
      <c r="J6038" s="67">
        <v>0</v>
      </c>
      <c r="K6038" s="62">
        <v>363.37</v>
      </c>
      <c r="L6038" s="33" t="e">
        <f>HLOOKUP(B6038,#REF!,1,0)</f>
        <v>#REF!</v>
      </c>
      <c r="M6038" s="33" t="str">
        <f t="shared" si="379"/>
        <v>P&amp;L</v>
      </c>
    </row>
    <row r="6039" spans="1:13" s="33" customFormat="true" ht="12.75" customHeight="true">
      <c r="A6039" s="33" t="str">
        <f t="shared" si="376"/>
        <v>LCP - PM Expenses</v>
      </c>
      <c r="B6039" s="33" t="str">
        <f t="shared" si="377"/>
        <v>LCP</v>
      </c>
      <c r="C6039" s="33" t="str">
        <f t="shared" si="378"/>
        <v>55508-0000</v>
      </c>
      <c r="D6039" s="283" t="s">
        <v>7135</v>
      </c>
      <c r="E6039" s="64" t="s">
        <v>4351</v>
      </c>
      <c r="F6039" s="64" t="s">
        <v>230</v>
      </c>
      <c r="G6039" s="64" t="s">
        <v>3818</v>
      </c>
      <c r="H6039" s="64" t="s">
        <v>3819</v>
      </c>
      <c r="I6039" s="64" t="s">
        <v>4352</v>
      </c>
      <c r="J6039" s="67">
        <v>0</v>
      </c>
      <c r="K6039" s="62">
        <v>2000</v>
      </c>
      <c r="L6039" s="33" t="e">
        <f>HLOOKUP(B6039,#REF!,1,0)</f>
        <v>#REF!</v>
      </c>
      <c r="M6039" s="33" t="str">
        <f t="shared" si="379"/>
        <v>P&amp;L</v>
      </c>
    </row>
    <row r="6040" spans="1:13" s="33" customFormat="true" ht="12.75" customHeight="true">
      <c r="A6040" s="33" t="str">
        <f t="shared" si="376"/>
        <v>LCP - CGS</v>
      </c>
      <c r="B6040" s="33" t="str">
        <f t="shared" si="377"/>
        <v>LCP</v>
      </c>
      <c r="C6040" s="33" t="str">
        <f t="shared" si="378"/>
        <v>57700-0000</v>
      </c>
      <c r="D6040" s="283" t="s">
        <v>7136</v>
      </c>
      <c r="E6040" s="64" t="s">
        <v>4354</v>
      </c>
      <c r="F6040" s="64" t="s">
        <v>230</v>
      </c>
      <c r="G6040" s="64" t="s">
        <v>6205</v>
      </c>
      <c r="H6040" s="64" t="s">
        <v>1875</v>
      </c>
      <c r="I6040" s="64" t="s">
        <v>3354</v>
      </c>
      <c r="J6040" s="67">
        <v>0</v>
      </c>
      <c r="K6040" s="62">
        <v>50000</v>
      </c>
      <c r="L6040" s="33" t="e">
        <f>HLOOKUP(B6040,#REF!,1,0)</f>
        <v>#REF!</v>
      </c>
      <c r="M6040" s="33" t="str">
        <f t="shared" si="379"/>
        <v>P&amp;L</v>
      </c>
    </row>
    <row r="6041" spans="1:13" s="33" customFormat="true" ht="12.75" customHeight="true">
      <c r="A6041" s="33" t="str">
        <f t="shared" si="376"/>
        <v>LCP - CGS</v>
      </c>
      <c r="B6041" s="33" t="str">
        <f t="shared" si="377"/>
        <v>LCP</v>
      </c>
      <c r="C6041" s="33" t="str">
        <f t="shared" si="378"/>
        <v>60002-0000</v>
      </c>
      <c r="D6041" s="283" t="s">
        <v>7137</v>
      </c>
      <c r="E6041" s="64" t="s">
        <v>3837</v>
      </c>
      <c r="F6041" s="64" t="s">
        <v>230</v>
      </c>
      <c r="G6041" s="64" t="s">
        <v>3838</v>
      </c>
      <c r="H6041" s="64" t="s">
        <v>1875</v>
      </c>
      <c r="I6041" s="64" t="s">
        <v>3839</v>
      </c>
      <c r="J6041" s="67">
        <v>0</v>
      </c>
      <c r="K6041" s="62">
        <v>17792.66</v>
      </c>
      <c r="L6041" s="33" t="e">
        <f>HLOOKUP(B6041,#REF!,1,0)</f>
        <v>#REF!</v>
      </c>
      <c r="M6041" s="33" t="str">
        <f t="shared" si="379"/>
        <v>P&amp;L</v>
      </c>
    </row>
    <row r="6042" spans="1:13" s="33" customFormat="true" ht="12.75" customHeight="true">
      <c r="A6042" s="33" t="str">
        <f t="shared" si="376"/>
        <v>LCP - CGS</v>
      </c>
      <c r="B6042" s="33" t="str">
        <f t="shared" si="377"/>
        <v>LCP</v>
      </c>
      <c r="C6042" s="33" t="str">
        <f t="shared" si="378"/>
        <v>60004-0000</v>
      </c>
      <c r="D6042" s="283" t="s">
        <v>7138</v>
      </c>
      <c r="E6042" s="64" t="s">
        <v>7139</v>
      </c>
      <c r="F6042" s="64" t="s">
        <v>230</v>
      </c>
      <c r="G6042" s="64" t="s">
        <v>3838</v>
      </c>
      <c r="H6042" s="64" t="s">
        <v>1875</v>
      </c>
      <c r="I6042" s="64" t="s">
        <v>7140</v>
      </c>
      <c r="J6042" s="67">
        <v>0</v>
      </c>
      <c r="K6042" s="62">
        <v>0</v>
      </c>
      <c r="L6042" s="33" t="e">
        <f>HLOOKUP(B6042,#REF!,1,0)</f>
        <v>#REF!</v>
      </c>
      <c r="M6042" s="33" t="str">
        <f t="shared" si="379"/>
        <v>P&amp;L</v>
      </c>
    </row>
    <row r="6043" spans="1:13" s="33" customFormat="true" ht="12.75" customHeight="true">
      <c r="A6043" s="33" t="str">
        <f t="shared" si="376"/>
        <v>LCP - CGS</v>
      </c>
      <c r="B6043" s="33" t="str">
        <f t="shared" si="377"/>
        <v>LCP</v>
      </c>
      <c r="C6043" s="33" t="str">
        <f t="shared" si="378"/>
        <v>60005-0000</v>
      </c>
      <c r="D6043" s="283" t="s">
        <v>7141</v>
      </c>
      <c r="E6043" s="64" t="s">
        <v>3841</v>
      </c>
      <c r="F6043" s="64" t="s">
        <v>230</v>
      </c>
      <c r="G6043" s="64" t="s">
        <v>3838</v>
      </c>
      <c r="H6043" s="64" t="s">
        <v>1875</v>
      </c>
      <c r="I6043" s="64" t="s">
        <v>3842</v>
      </c>
      <c r="J6043" s="67">
        <v>0</v>
      </c>
      <c r="K6043" s="62">
        <v>59199.74</v>
      </c>
      <c r="L6043" s="33" t="e">
        <f>HLOOKUP(B6043,#REF!,1,0)</f>
        <v>#REF!</v>
      </c>
      <c r="M6043" s="33" t="str">
        <f t="shared" si="379"/>
        <v>P&amp;L</v>
      </c>
    </row>
    <row r="6044" spans="1:13" s="33" customFormat="true" ht="12.75" customHeight="true">
      <c r="A6044" s="33" t="str">
        <f t="shared" si="376"/>
        <v>LCP - Interest Expense</v>
      </c>
      <c r="B6044" s="33" t="str">
        <f t="shared" si="377"/>
        <v>LCP</v>
      </c>
      <c r="C6044" s="33" t="str">
        <f t="shared" si="378"/>
        <v>60006-0000</v>
      </c>
      <c r="D6044" s="283" t="s">
        <v>7142</v>
      </c>
      <c r="E6044" s="64" t="s">
        <v>3325</v>
      </c>
      <c r="F6044" s="64" t="s">
        <v>230</v>
      </c>
      <c r="G6044" s="64" t="s">
        <v>3844</v>
      </c>
      <c r="H6044" s="64" t="s">
        <v>3327</v>
      </c>
      <c r="I6044" s="64" t="s">
        <v>3328</v>
      </c>
      <c r="J6044" s="67">
        <v>0</v>
      </c>
      <c r="K6044" s="62">
        <v>1171280.58</v>
      </c>
      <c r="L6044" s="33" t="e">
        <f>HLOOKUP(B6044,#REF!,1,0)</f>
        <v>#REF!</v>
      </c>
      <c r="M6044" s="33" t="str">
        <f t="shared" si="379"/>
        <v>P&amp;L</v>
      </c>
    </row>
    <row r="6045" spans="1:13" s="33" customFormat="true" ht="12.75" customHeight="true">
      <c r="A6045" s="33" t="str">
        <f t="shared" si="376"/>
        <v>LCP - CGS</v>
      </c>
      <c r="B6045" s="33" t="str">
        <f t="shared" si="377"/>
        <v>LCP</v>
      </c>
      <c r="C6045" s="33" t="str">
        <f t="shared" si="378"/>
        <v>60007-0000</v>
      </c>
      <c r="D6045" s="283" t="s">
        <v>7143</v>
      </c>
      <c r="E6045" s="64" t="s">
        <v>3846</v>
      </c>
      <c r="F6045" s="64" t="s">
        <v>230</v>
      </c>
      <c r="G6045" s="64" t="s">
        <v>3838</v>
      </c>
      <c r="H6045" s="64" t="s">
        <v>1875</v>
      </c>
      <c r="I6045" s="64" t="s">
        <v>3847</v>
      </c>
      <c r="J6045" s="67">
        <v>0</v>
      </c>
      <c r="K6045" s="62">
        <v>256096</v>
      </c>
      <c r="L6045" s="33" t="e">
        <f>HLOOKUP(B6045,#REF!,1,0)</f>
        <v>#REF!</v>
      </c>
      <c r="M6045" s="33" t="str">
        <f t="shared" si="379"/>
        <v>P&amp;L</v>
      </c>
    </row>
    <row r="6046" spans="1:13" s="33" customFormat="true" ht="12.75" customHeight="true">
      <c r="A6046" s="33" t="str">
        <f t="shared" si="376"/>
        <v>LCP - CGS</v>
      </c>
      <c r="B6046" s="33" t="str">
        <f t="shared" si="377"/>
        <v>LCP</v>
      </c>
      <c r="C6046" s="33" t="str">
        <f t="shared" si="378"/>
        <v>60008-0000</v>
      </c>
      <c r="D6046" s="283" t="s">
        <v>7144</v>
      </c>
      <c r="E6046" s="64" t="s">
        <v>3849</v>
      </c>
      <c r="F6046" s="64" t="s">
        <v>230</v>
      </c>
      <c r="G6046" s="64" t="s">
        <v>3838</v>
      </c>
      <c r="H6046" s="64" t="s">
        <v>1875</v>
      </c>
      <c r="I6046" s="64" t="s">
        <v>3850</v>
      </c>
      <c r="J6046" s="67">
        <v>0</v>
      </c>
      <c r="K6046" s="62">
        <v>13195.94</v>
      </c>
      <c r="L6046" s="33" t="e">
        <f>HLOOKUP(B6046,#REF!,1,0)</f>
        <v>#REF!</v>
      </c>
      <c r="M6046" s="33" t="str">
        <f t="shared" si="379"/>
        <v>P&amp;L</v>
      </c>
    </row>
    <row r="6047" spans="1:13" s="33" customFormat="true" ht="12.75" customHeight="true">
      <c r="A6047" s="33" t="str">
        <f t="shared" si="376"/>
        <v>LCP - CGS</v>
      </c>
      <c r="B6047" s="33" t="str">
        <f t="shared" si="377"/>
        <v>LCP</v>
      </c>
      <c r="C6047" s="33" t="str">
        <f t="shared" si="378"/>
        <v>60011-0000</v>
      </c>
      <c r="D6047" s="283" t="s">
        <v>7145</v>
      </c>
      <c r="E6047" s="64" t="s">
        <v>4199</v>
      </c>
      <c r="F6047" s="64" t="s">
        <v>230</v>
      </c>
      <c r="G6047" s="64" t="s">
        <v>3838</v>
      </c>
      <c r="H6047" s="64" t="s">
        <v>1875</v>
      </c>
      <c r="I6047" s="64" t="s">
        <v>4200</v>
      </c>
      <c r="J6047" s="67">
        <v>0</v>
      </c>
      <c r="K6047" s="62">
        <v>7847.75</v>
      </c>
      <c r="L6047" s="33" t="e">
        <f>HLOOKUP(B6047,#REF!,1,0)</f>
        <v>#REF!</v>
      </c>
      <c r="M6047" s="33" t="str">
        <f t="shared" si="379"/>
        <v>P&amp;L</v>
      </c>
    </row>
    <row r="6048" spans="1:13" s="33" customFormat="true" ht="12.75" customHeight="true">
      <c r="A6048" s="33" t="str">
        <f t="shared" si="376"/>
        <v>LCP - CGS</v>
      </c>
      <c r="B6048" s="33" t="str">
        <f t="shared" si="377"/>
        <v>LCP</v>
      </c>
      <c r="C6048" s="33" t="str">
        <f t="shared" si="378"/>
        <v>60014-0000</v>
      </c>
      <c r="D6048" s="283" t="s">
        <v>7146</v>
      </c>
      <c r="E6048" s="64" t="s">
        <v>3855</v>
      </c>
      <c r="F6048" s="64" t="s">
        <v>230</v>
      </c>
      <c r="G6048" s="64" t="s">
        <v>3838</v>
      </c>
      <c r="H6048" s="64" t="s">
        <v>1875</v>
      </c>
      <c r="I6048" s="64" t="s">
        <v>3856</v>
      </c>
      <c r="J6048" s="67">
        <v>0</v>
      </c>
      <c r="K6048" s="62">
        <v>159511.9</v>
      </c>
      <c r="L6048" s="33" t="e">
        <f>HLOOKUP(B6048,#REF!,1,0)</f>
        <v>#REF!</v>
      </c>
      <c r="M6048" s="33" t="str">
        <f t="shared" si="379"/>
        <v>P&amp;L</v>
      </c>
    </row>
    <row r="6049" spans="1:13" s="33" customFormat="true" ht="12.75" customHeight="true">
      <c r="A6049" s="33" t="str">
        <f t="shared" si="376"/>
        <v>LCP - CGS</v>
      </c>
      <c r="B6049" s="33" t="str">
        <f t="shared" si="377"/>
        <v>LCP</v>
      </c>
      <c r="C6049" s="33" t="str">
        <f t="shared" si="378"/>
        <v>60015-0000</v>
      </c>
      <c r="D6049" s="283" t="s">
        <v>7147</v>
      </c>
      <c r="E6049" s="64" t="s">
        <v>3858</v>
      </c>
      <c r="F6049" s="64" t="s">
        <v>230</v>
      </c>
      <c r="G6049" s="64" t="s">
        <v>3838</v>
      </c>
      <c r="H6049" s="64" t="s">
        <v>1875</v>
      </c>
      <c r="I6049" s="64" t="s">
        <v>3859</v>
      </c>
      <c r="J6049" s="67">
        <v>0</v>
      </c>
      <c r="K6049" s="62">
        <v>6646.52</v>
      </c>
      <c r="L6049" s="33" t="e">
        <f>HLOOKUP(B6049,#REF!,1,0)</f>
        <v>#REF!</v>
      </c>
      <c r="M6049" s="33" t="str">
        <f t="shared" si="379"/>
        <v>P&amp;L</v>
      </c>
    </row>
    <row r="6050" spans="1:13" s="33" customFormat="true" ht="12.75" customHeight="true">
      <c r="A6050" s="33" t="str">
        <f t="shared" si="376"/>
        <v>LCP - CGS</v>
      </c>
      <c r="B6050" s="33" t="str">
        <f t="shared" si="377"/>
        <v>LCP</v>
      </c>
      <c r="C6050" s="33" t="str">
        <f t="shared" si="378"/>
        <v>60041-0000</v>
      </c>
      <c r="D6050" s="283" t="s">
        <v>7148</v>
      </c>
      <c r="E6050" s="64" t="s">
        <v>7149</v>
      </c>
      <c r="F6050" s="64" t="s">
        <v>230</v>
      </c>
      <c r="G6050" s="64" t="s">
        <v>3838</v>
      </c>
      <c r="H6050" s="64" t="s">
        <v>1875</v>
      </c>
      <c r="I6050" s="64" t="s">
        <v>7140</v>
      </c>
      <c r="J6050" s="67">
        <v>0</v>
      </c>
      <c r="K6050" s="62">
        <v>0</v>
      </c>
      <c r="L6050" s="33" t="e">
        <f>HLOOKUP(B6050,#REF!,1,0)</f>
        <v>#REF!</v>
      </c>
      <c r="M6050" s="33" t="str">
        <f t="shared" si="379"/>
        <v>P&amp;L</v>
      </c>
    </row>
    <row r="6051" spans="1:13" s="33" customFormat="true" ht="12.75" customHeight="true">
      <c r="A6051" s="33" t="str">
        <f t="shared" si="376"/>
        <v>LCP - CGS</v>
      </c>
      <c r="B6051" s="33" t="str">
        <f t="shared" si="377"/>
        <v>LCP</v>
      </c>
      <c r="C6051" s="33" t="str">
        <f t="shared" si="378"/>
        <v>60042-0000</v>
      </c>
      <c r="D6051" s="283" t="s">
        <v>7150</v>
      </c>
      <c r="E6051" s="64" t="s">
        <v>7151</v>
      </c>
      <c r="F6051" s="64" t="s">
        <v>230</v>
      </c>
      <c r="G6051" s="64" t="s">
        <v>3838</v>
      </c>
      <c r="H6051" s="64" t="s">
        <v>1875</v>
      </c>
      <c r="I6051" s="64" t="s">
        <v>7140</v>
      </c>
      <c r="J6051" s="67">
        <v>0</v>
      </c>
      <c r="K6051" s="62">
        <v>0</v>
      </c>
      <c r="L6051" s="33" t="e">
        <f>HLOOKUP(B6051,#REF!,1,0)</f>
        <v>#REF!</v>
      </c>
      <c r="M6051" s="33" t="str">
        <f t="shared" si="379"/>
        <v>P&amp;L</v>
      </c>
    </row>
    <row r="6052" spans="1:13" s="33" customFormat="true" ht="12.75" customHeight="true">
      <c r="A6052" s="33" t="str">
        <f t="shared" si="376"/>
        <v>LCP - CGS</v>
      </c>
      <c r="B6052" s="33" t="str">
        <f t="shared" si="377"/>
        <v>LCP</v>
      </c>
      <c r="C6052" s="33" t="str">
        <f t="shared" si="378"/>
        <v>61018-0000</v>
      </c>
      <c r="D6052" s="283" t="s">
        <v>7152</v>
      </c>
      <c r="E6052" s="64" t="s">
        <v>3864</v>
      </c>
      <c r="F6052" s="64" t="s">
        <v>230</v>
      </c>
      <c r="G6052" s="64" t="s">
        <v>3838</v>
      </c>
      <c r="H6052" s="64" t="s">
        <v>1875</v>
      </c>
      <c r="I6052" s="64" t="s">
        <v>3866</v>
      </c>
      <c r="J6052" s="67">
        <v>0</v>
      </c>
      <c r="K6052" s="62">
        <v>2130393.68</v>
      </c>
      <c r="L6052" s="33" t="e">
        <f>HLOOKUP(B6052,#REF!,1,0)</f>
        <v>#REF!</v>
      </c>
      <c r="M6052" s="33" t="str">
        <f t="shared" si="379"/>
        <v>P&amp;L</v>
      </c>
    </row>
    <row r="6053" spans="1:13" s="33" customFormat="true" ht="12.75" customHeight="true">
      <c r="A6053" s="33" t="str">
        <f t="shared" si="376"/>
        <v>LCP - Income Tax</v>
      </c>
      <c r="B6053" s="33" t="str">
        <f t="shared" si="377"/>
        <v>LCP</v>
      </c>
      <c r="C6053" s="33" t="str">
        <f t="shared" si="378"/>
        <v>61019-0000</v>
      </c>
      <c r="D6053" s="283" t="s">
        <v>7153</v>
      </c>
      <c r="E6053" s="64" t="s">
        <v>4041</v>
      </c>
      <c r="F6053" s="64" t="s">
        <v>230</v>
      </c>
      <c r="G6053" s="64" t="s">
        <v>3844</v>
      </c>
      <c r="H6053" s="64" t="s">
        <v>3378</v>
      </c>
      <c r="I6053" s="64" t="s">
        <v>4042</v>
      </c>
      <c r="J6053" s="67">
        <v>0</v>
      </c>
      <c r="K6053" s="62">
        <v>32157.7</v>
      </c>
      <c r="L6053" s="33" t="e">
        <f>HLOOKUP(B6053,#REF!,1,0)</f>
        <v>#REF!</v>
      </c>
      <c r="M6053" s="33" t="str">
        <f t="shared" si="379"/>
        <v>P&amp;L</v>
      </c>
    </row>
    <row r="6054" spans="1:13" s="33" customFormat="true" ht="12.75" customHeight="true">
      <c r="A6054" s="33" t="str">
        <f t="shared" si="376"/>
        <v>LCP - Other Income/Expense</v>
      </c>
      <c r="B6054" s="33" t="str">
        <f t="shared" si="377"/>
        <v>LCP</v>
      </c>
      <c r="C6054" s="33" t="str">
        <f t="shared" si="378"/>
        <v>61022-0000</v>
      </c>
      <c r="D6054" s="283" t="s">
        <v>7154</v>
      </c>
      <c r="E6054" s="64" t="s">
        <v>4286</v>
      </c>
      <c r="F6054" s="64" t="s">
        <v>230</v>
      </c>
      <c r="G6054" s="64" t="s">
        <v>3838</v>
      </c>
      <c r="H6054" s="64" t="s">
        <v>3300</v>
      </c>
      <c r="I6054" s="64" t="s">
        <v>4287</v>
      </c>
      <c r="J6054" s="67">
        <v>0</v>
      </c>
      <c r="K6054" s="62">
        <v>11786.73</v>
      </c>
      <c r="L6054" s="33" t="e">
        <f>HLOOKUP(B6054,#REF!,1,0)</f>
        <v>#REF!</v>
      </c>
      <c r="M6054" s="33" t="str">
        <f t="shared" si="379"/>
        <v>P&amp;L</v>
      </c>
    </row>
    <row r="6055" spans="1:13" s="33" customFormat="true" ht="12.75" customHeight="true">
      <c r="A6055" s="33" t="str">
        <f t="shared" si="376"/>
        <v>LCP - CGS</v>
      </c>
      <c r="B6055" s="33" t="str">
        <f t="shared" si="377"/>
        <v>LCP</v>
      </c>
      <c r="C6055" s="33" t="str">
        <f t="shared" si="378"/>
        <v>61023-0000</v>
      </c>
      <c r="D6055" s="283" t="s">
        <v>7155</v>
      </c>
      <c r="E6055" s="64" t="s">
        <v>3868</v>
      </c>
      <c r="F6055" s="64" t="s">
        <v>230</v>
      </c>
      <c r="G6055" s="64" t="s">
        <v>3838</v>
      </c>
      <c r="H6055" s="64" t="s">
        <v>1875</v>
      </c>
      <c r="I6055" s="64" t="s">
        <v>1876</v>
      </c>
      <c r="J6055" s="67">
        <v>0</v>
      </c>
      <c r="K6055" s="62">
        <v>9348.22</v>
      </c>
      <c r="L6055" s="33" t="e">
        <f>HLOOKUP(B6055,#REF!,1,0)</f>
        <v>#REF!</v>
      </c>
      <c r="M6055" s="33" t="str">
        <f t="shared" si="379"/>
        <v>P&amp;L</v>
      </c>
    </row>
    <row r="6056" spans="1:13" s="33" customFormat="true" ht="12.75" customHeight="true">
      <c r="A6056" s="33" t="str">
        <f t="shared" si="376"/>
        <v>LCP - Other Income/Expense</v>
      </c>
      <c r="B6056" s="33" t="str">
        <f t="shared" si="377"/>
        <v>LCP</v>
      </c>
      <c r="C6056" s="33" t="str">
        <f t="shared" si="378"/>
        <v>70100-0000</v>
      </c>
      <c r="D6056" s="283" t="s">
        <v>7156</v>
      </c>
      <c r="E6056" s="64" t="s">
        <v>5854</v>
      </c>
      <c r="F6056" s="64" t="s">
        <v>230</v>
      </c>
      <c r="G6056" s="64" t="s">
        <v>3838</v>
      </c>
      <c r="H6056" s="64" t="s">
        <v>3300</v>
      </c>
      <c r="I6056" s="64" t="s">
        <v>5855</v>
      </c>
      <c r="J6056" s="67">
        <v>0</v>
      </c>
      <c r="K6056" s="62">
        <v>0</v>
      </c>
      <c r="L6056" s="33" t="e">
        <f>HLOOKUP(B6056,#REF!,1,0)</f>
        <v>#REF!</v>
      </c>
      <c r="M6056" s="33" t="str">
        <f t="shared" si="379"/>
        <v>P&amp;L</v>
      </c>
    </row>
    <row r="6057" spans="1:13" s="33" customFormat="true" ht="12.75" customHeight="true">
      <c r="A6057" s="33" t="str">
        <f t="shared" si="376"/>
        <v>LCP - Legal Settlement</v>
      </c>
      <c r="B6057" s="33" t="str">
        <f t="shared" si="377"/>
        <v>LCP</v>
      </c>
      <c r="C6057" s="33" t="str">
        <f t="shared" si="378"/>
        <v>70400-0000</v>
      </c>
      <c r="D6057" s="283" t="s">
        <v>7157</v>
      </c>
      <c r="E6057" s="64" t="s">
        <v>5158</v>
      </c>
      <c r="F6057" s="64" t="s">
        <v>230</v>
      </c>
      <c r="G6057" s="64" t="s">
        <v>3844</v>
      </c>
      <c r="H6057" s="64" t="s">
        <v>5159</v>
      </c>
      <c r="I6057" s="64" t="s">
        <v>7158</v>
      </c>
      <c r="J6057" s="67">
        <v>0</v>
      </c>
      <c r="K6057" s="62">
        <v>4350</v>
      </c>
      <c r="L6057" s="33" t="e">
        <f>HLOOKUP(B6057,#REF!,1,0)</f>
        <v>#REF!</v>
      </c>
      <c r="M6057" s="33" t="str">
        <f t="shared" si="379"/>
        <v>P&amp;L</v>
      </c>
    </row>
    <row r="6058" spans="1:13" s="33" customFormat="true" ht="12.75" customHeight="true">
      <c r="A6058" s="33" t="str">
        <f t="shared" si="376"/>
        <v>LOM - Fixed Assets</v>
      </c>
      <c r="B6058" s="33" t="str">
        <f t="shared" si="377"/>
        <v>LOM</v>
      </c>
      <c r="C6058" s="33" t="str">
        <f t="shared" si="378"/>
        <v>15501-0000</v>
      </c>
      <c r="D6058" s="64" t="s">
        <v>7159</v>
      </c>
      <c r="E6058" s="64" t="s">
        <v>2635</v>
      </c>
      <c r="F6058" s="64" t="s">
        <v>230</v>
      </c>
      <c r="G6058" s="64" t="s">
        <v>62</v>
      </c>
      <c r="H6058" s="64" t="s">
        <v>63</v>
      </c>
      <c r="I6058" s="64" t="s">
        <v>64</v>
      </c>
      <c r="J6058" s="67">
        <v>254.33</v>
      </c>
      <c r="K6058" s="62">
        <v>998.15</v>
      </c>
      <c r="L6058" s="33" t="e">
        <f>HLOOKUP(B6058,#REF!,1,0)</f>
        <v>#REF!</v>
      </c>
      <c r="M6058" s="33" t="str">
        <f t="shared" si="379"/>
        <v>BS</v>
      </c>
    </row>
    <row r="6059" spans="1:13" s="33" customFormat="true" ht="12.75" customHeight="true">
      <c r="A6059" s="33" t="str">
        <f t="shared" si="376"/>
        <v>LOM - Revenue</v>
      </c>
      <c r="B6059" s="33" t="str">
        <f t="shared" si="377"/>
        <v>LOM</v>
      </c>
      <c r="C6059" s="33" t="str">
        <f t="shared" si="378"/>
        <v>40110-0000</v>
      </c>
      <c r="D6059" s="64" t="s">
        <v>7160</v>
      </c>
      <c r="E6059" s="64" t="s">
        <v>3683</v>
      </c>
      <c r="F6059" s="64" t="s">
        <v>230</v>
      </c>
      <c r="G6059" s="64" t="s">
        <v>3684</v>
      </c>
      <c r="H6059" s="64" t="s">
        <v>2871</v>
      </c>
      <c r="I6059" s="64" t="s">
        <v>3685</v>
      </c>
      <c r="J6059" s="67">
        <v>-32122.3</v>
      </c>
      <c r="K6059" s="62">
        <v>-321223</v>
      </c>
      <c r="L6059" s="33" t="e">
        <f>HLOOKUP(B6059,#REF!,1,0)</f>
        <v>#REF!</v>
      </c>
      <c r="M6059" s="33" t="str">
        <f t="shared" si="379"/>
        <v>P&amp;L</v>
      </c>
    </row>
    <row r="6060" spans="1:13" s="33" customFormat="true" ht="12.75" customHeight="true">
      <c r="A6060" s="33" t="str">
        <f t="shared" si="376"/>
        <v>LOM - Revenue</v>
      </c>
      <c r="B6060" s="33" t="str">
        <f t="shared" si="377"/>
        <v>LOM</v>
      </c>
      <c r="C6060" s="33" t="str">
        <f t="shared" si="378"/>
        <v>40120-0000</v>
      </c>
      <c r="D6060" s="64" t="s">
        <v>7161</v>
      </c>
      <c r="E6060" s="64" t="s">
        <v>3687</v>
      </c>
      <c r="F6060" s="64" t="s">
        <v>230</v>
      </c>
      <c r="G6060" s="64" t="s">
        <v>3684</v>
      </c>
      <c r="H6060" s="64" t="s">
        <v>2871</v>
      </c>
      <c r="I6060" s="64" t="s">
        <v>3688</v>
      </c>
      <c r="J6060" s="67">
        <v>-950.81</v>
      </c>
      <c r="K6060" s="62">
        <v>-3765.37</v>
      </c>
      <c r="L6060" s="33" t="e">
        <f>HLOOKUP(B6060,#REF!,1,0)</f>
        <v>#REF!</v>
      </c>
      <c r="M6060" s="33" t="str">
        <f t="shared" si="379"/>
        <v>P&amp;L</v>
      </c>
    </row>
    <row r="6061" spans="1:13" s="33" customFormat="true" ht="12.75" customHeight="true">
      <c r="A6061" s="33" t="str">
        <f t="shared" si="376"/>
        <v>LOM - Revenue</v>
      </c>
      <c r="B6061" s="33" t="str">
        <f t="shared" si="377"/>
        <v>LOM</v>
      </c>
      <c r="C6061" s="33" t="str">
        <f t="shared" si="378"/>
        <v>40130-0000</v>
      </c>
      <c r="D6061" s="64" t="s">
        <v>7162</v>
      </c>
      <c r="E6061" s="64" t="s">
        <v>3690</v>
      </c>
      <c r="F6061" s="64" t="s">
        <v>230</v>
      </c>
      <c r="G6061" s="64" t="s">
        <v>3684</v>
      </c>
      <c r="H6061" s="64" t="s">
        <v>2871</v>
      </c>
      <c r="I6061" s="64" t="s">
        <v>3691</v>
      </c>
      <c r="J6061" s="67">
        <v>-419.44</v>
      </c>
      <c r="K6061" s="62">
        <v>-2024.36</v>
      </c>
      <c r="L6061" s="33" t="e">
        <f>HLOOKUP(B6061,#REF!,1,0)</f>
        <v>#REF!</v>
      </c>
      <c r="M6061" s="33" t="str">
        <f t="shared" si="379"/>
        <v>P&amp;L</v>
      </c>
    </row>
    <row r="6062" spans="1:13" s="33" customFormat="true" ht="12.75" customHeight="true">
      <c r="A6062" s="33" t="str">
        <f t="shared" si="376"/>
        <v>LOM - Revenue</v>
      </c>
      <c r="B6062" s="33" t="str">
        <f t="shared" si="377"/>
        <v>LOM</v>
      </c>
      <c r="C6062" s="33" t="str">
        <f t="shared" si="378"/>
        <v>40140-0000</v>
      </c>
      <c r="D6062" s="64" t="s">
        <v>7163</v>
      </c>
      <c r="E6062" s="64" t="s">
        <v>3948</v>
      </c>
      <c r="F6062" s="64" t="s">
        <v>230</v>
      </c>
      <c r="G6062" s="64" t="s">
        <v>3684</v>
      </c>
      <c r="H6062" s="64" t="s">
        <v>2871</v>
      </c>
      <c r="I6062" s="64" t="s">
        <v>3949</v>
      </c>
      <c r="J6062" s="67">
        <v>0</v>
      </c>
      <c r="K6062" s="62">
        <v>686</v>
      </c>
      <c r="L6062" s="33" t="e">
        <f>HLOOKUP(B6062,#REF!,1,0)</f>
        <v>#REF!</v>
      </c>
      <c r="M6062" s="33" t="str">
        <f t="shared" si="379"/>
        <v>P&amp;L</v>
      </c>
    </row>
    <row r="6063" spans="1:13" s="33" customFormat="true" ht="12.75" customHeight="true">
      <c r="A6063" s="33" t="str">
        <f t="shared" si="376"/>
        <v>LOM - Revenue</v>
      </c>
      <c r="B6063" s="33" t="str">
        <f t="shared" si="377"/>
        <v>LOM</v>
      </c>
      <c r="C6063" s="33" t="str">
        <f t="shared" si="378"/>
        <v>41110-0000</v>
      </c>
      <c r="D6063" s="64" t="s">
        <v>7164</v>
      </c>
      <c r="E6063" s="64" t="s">
        <v>3693</v>
      </c>
      <c r="F6063" s="64" t="s">
        <v>230</v>
      </c>
      <c r="G6063" s="64" t="s">
        <v>3694</v>
      </c>
      <c r="H6063" s="64" t="s">
        <v>2871</v>
      </c>
      <c r="I6063" s="64" t="s">
        <v>3695</v>
      </c>
      <c r="J6063" s="67">
        <v>0</v>
      </c>
      <c r="K6063" s="62">
        <v>8533.09</v>
      </c>
      <c r="L6063" s="33" t="e">
        <f>HLOOKUP(B6063,#REF!,1,0)</f>
        <v>#REF!</v>
      </c>
      <c r="M6063" s="33" t="str">
        <f t="shared" si="379"/>
        <v>P&amp;L</v>
      </c>
    </row>
    <row r="6064" spans="1:13" s="33" customFormat="true" ht="12.75" customHeight="true">
      <c r="A6064" s="33" t="str">
        <f t="shared" si="376"/>
        <v>LOM - Revenue</v>
      </c>
      <c r="B6064" s="33" t="str">
        <f t="shared" si="377"/>
        <v>LOM</v>
      </c>
      <c r="C6064" s="33" t="str">
        <f t="shared" si="378"/>
        <v>41121-0000</v>
      </c>
      <c r="D6064" s="64" t="s">
        <v>7165</v>
      </c>
      <c r="E6064" s="64" t="s">
        <v>4146</v>
      </c>
      <c r="F6064" s="64" t="s">
        <v>230</v>
      </c>
      <c r="G6064" s="64" t="s">
        <v>3694</v>
      </c>
      <c r="H6064" s="64" t="s">
        <v>2871</v>
      </c>
      <c r="I6064" s="64" t="s">
        <v>3698</v>
      </c>
      <c r="J6064" s="67">
        <v>4980.53</v>
      </c>
      <c r="K6064" s="62">
        <v>55623.84</v>
      </c>
      <c r="L6064" s="33" t="e">
        <f>HLOOKUP(B6064,#REF!,1,0)</f>
        <v>#REF!</v>
      </c>
      <c r="M6064" s="33" t="str">
        <f t="shared" si="379"/>
        <v>P&amp;L</v>
      </c>
    </row>
    <row r="6065" spans="1:13" s="33" customFormat="true" ht="12.75" customHeight="true">
      <c r="A6065" s="33" t="str">
        <f t="shared" si="376"/>
        <v>LOM - Revenue</v>
      </c>
      <c r="B6065" s="33" t="str">
        <f t="shared" si="377"/>
        <v>LOM</v>
      </c>
      <c r="C6065" s="33" t="str">
        <f t="shared" si="378"/>
        <v>41122-0000</v>
      </c>
      <c r="D6065" s="64" t="s">
        <v>7166</v>
      </c>
      <c r="E6065" s="64" t="s">
        <v>3700</v>
      </c>
      <c r="F6065" s="64" t="s">
        <v>230</v>
      </c>
      <c r="G6065" s="64" t="s">
        <v>3694</v>
      </c>
      <c r="H6065" s="64" t="s">
        <v>2871</v>
      </c>
      <c r="I6065" s="64" t="s">
        <v>3701</v>
      </c>
      <c r="J6065" s="67">
        <v>-2992.85</v>
      </c>
      <c r="K6065" s="62">
        <v>-29541.86</v>
      </c>
      <c r="L6065" s="33" t="e">
        <f>HLOOKUP(B6065,#REF!,1,0)</f>
        <v>#REF!</v>
      </c>
      <c r="M6065" s="33" t="str">
        <f t="shared" si="379"/>
        <v>P&amp;L</v>
      </c>
    </row>
    <row r="6066" spans="1:13" s="33" customFormat="true" ht="12.75" customHeight="true">
      <c r="A6066" s="33" t="str">
        <f t="shared" si="376"/>
        <v>LOM - Revenue</v>
      </c>
      <c r="B6066" s="33" t="str">
        <f t="shared" si="377"/>
        <v>LOM</v>
      </c>
      <c r="C6066" s="33" t="str">
        <f t="shared" si="378"/>
        <v>41130-0000</v>
      </c>
      <c r="D6066" s="64" t="s">
        <v>7167</v>
      </c>
      <c r="E6066" s="64" t="s">
        <v>3703</v>
      </c>
      <c r="F6066" s="64" t="s">
        <v>230</v>
      </c>
      <c r="G6066" s="64" t="s">
        <v>3694</v>
      </c>
      <c r="H6066" s="64" t="s">
        <v>2871</v>
      </c>
      <c r="I6066" s="64" t="s">
        <v>3704</v>
      </c>
      <c r="J6066" s="67">
        <v>100</v>
      </c>
      <c r="K6066" s="62">
        <v>1023.57</v>
      </c>
      <c r="L6066" s="33" t="e">
        <f>HLOOKUP(B6066,#REF!,1,0)</f>
        <v>#REF!</v>
      </c>
      <c r="M6066" s="33" t="str">
        <f t="shared" si="379"/>
        <v>P&amp;L</v>
      </c>
    </row>
    <row r="6067" spans="1:13" s="33" customFormat="true" ht="12.75" customHeight="true">
      <c r="A6067" s="33" t="str">
        <f t="shared" si="376"/>
        <v>LOM - Revenue</v>
      </c>
      <c r="B6067" s="33" t="str">
        <f t="shared" si="377"/>
        <v>LOM</v>
      </c>
      <c r="C6067" s="33" t="str">
        <f t="shared" si="378"/>
        <v>41150-0000</v>
      </c>
      <c r="D6067" s="64" t="s">
        <v>7168</v>
      </c>
      <c r="E6067" s="64" t="s">
        <v>3709</v>
      </c>
      <c r="F6067" s="64" t="s">
        <v>230</v>
      </c>
      <c r="G6067" s="64" t="s">
        <v>3694</v>
      </c>
      <c r="H6067" s="64" t="s">
        <v>2871</v>
      </c>
      <c r="I6067" s="64" t="s">
        <v>3710</v>
      </c>
      <c r="J6067" s="67">
        <v>1797</v>
      </c>
      <c r="K6067" s="62">
        <v>17955</v>
      </c>
      <c r="L6067" s="33" t="e">
        <f>HLOOKUP(B6067,#REF!,1,0)</f>
        <v>#REF!</v>
      </c>
      <c r="M6067" s="33" t="str">
        <f t="shared" si="379"/>
        <v>P&amp;L</v>
      </c>
    </row>
    <row r="6068" spans="1:13" s="33" customFormat="true" ht="12.75" customHeight="true">
      <c r="A6068" s="33" t="str">
        <f t="shared" si="376"/>
        <v>LOM - Revenue</v>
      </c>
      <c r="B6068" s="33" t="str">
        <f t="shared" si="377"/>
        <v>LOM</v>
      </c>
      <c r="C6068" s="33" t="str">
        <f t="shared" si="378"/>
        <v>41160-0000</v>
      </c>
      <c r="D6068" s="64" t="s">
        <v>7169</v>
      </c>
      <c r="E6068" s="64" t="s">
        <v>3957</v>
      </c>
      <c r="F6068" s="64" t="s">
        <v>230</v>
      </c>
      <c r="G6068" s="64" t="s">
        <v>3694</v>
      </c>
      <c r="H6068" s="64" t="s">
        <v>2871</v>
      </c>
      <c r="I6068" s="64" t="s">
        <v>3701</v>
      </c>
      <c r="J6068" s="67">
        <v>0</v>
      </c>
      <c r="K6068" s="62">
        <v>-27301.2</v>
      </c>
      <c r="L6068" s="33" t="e">
        <f>HLOOKUP(B6068,#REF!,1,0)</f>
        <v>#REF!</v>
      </c>
      <c r="M6068" s="33" t="str">
        <f t="shared" si="379"/>
        <v>P&amp;L</v>
      </c>
    </row>
    <row r="6069" spans="1:13" s="33" customFormat="true" ht="12.75" customHeight="true">
      <c r="A6069" s="33" t="str">
        <f t="shared" si="376"/>
        <v>LOM - Revenue</v>
      </c>
      <c r="B6069" s="33" t="str">
        <f t="shared" si="377"/>
        <v>LOM</v>
      </c>
      <c r="C6069" s="33" t="str">
        <f t="shared" si="378"/>
        <v>41999-0000</v>
      </c>
      <c r="D6069" s="64" t="s">
        <v>7170</v>
      </c>
      <c r="E6069" s="64" t="s">
        <v>3712</v>
      </c>
      <c r="F6069" s="64" t="s">
        <v>230</v>
      </c>
      <c r="G6069" s="64" t="s">
        <v>3713</v>
      </c>
      <c r="H6069" s="64" t="s">
        <v>2871</v>
      </c>
      <c r="I6069" s="64" t="s">
        <v>3714</v>
      </c>
      <c r="J6069" s="67">
        <v>29607.87</v>
      </c>
      <c r="K6069" s="62">
        <v>300034.29</v>
      </c>
      <c r="L6069" s="33" t="e">
        <f>HLOOKUP(B6069,#REF!,1,0)</f>
        <v>#REF!</v>
      </c>
      <c r="M6069" s="33" t="str">
        <f t="shared" si="379"/>
        <v>P&amp;L</v>
      </c>
    </row>
    <row r="6070" spans="1:13" s="33" customFormat="true" ht="12.75" customHeight="true">
      <c r="A6070" s="33" t="str">
        <f t="shared" si="376"/>
        <v>LOM - Revenue</v>
      </c>
      <c r="B6070" s="33" t="str">
        <f t="shared" si="377"/>
        <v>LOM</v>
      </c>
      <c r="C6070" s="33" t="str">
        <f t="shared" si="378"/>
        <v>47400-0000</v>
      </c>
      <c r="D6070" s="64" t="s">
        <v>7171</v>
      </c>
      <c r="E6070" s="64" t="s">
        <v>3716</v>
      </c>
      <c r="F6070" s="64" t="s">
        <v>230</v>
      </c>
      <c r="G6070" s="64" t="s">
        <v>3717</v>
      </c>
      <c r="H6070" s="64" t="s">
        <v>2871</v>
      </c>
      <c r="I6070" s="64" t="s">
        <v>3718</v>
      </c>
      <c r="J6070" s="67">
        <v>-29855.51</v>
      </c>
      <c r="K6070" s="62">
        <v>-300281.93</v>
      </c>
      <c r="L6070" s="33" t="e">
        <f>HLOOKUP(B6070,#REF!,1,0)</f>
        <v>#REF!</v>
      </c>
      <c r="M6070" s="33" t="str">
        <f t="shared" si="379"/>
        <v>P&amp;L</v>
      </c>
    </row>
    <row r="6071" spans="1:13" s="33" customFormat="true" ht="12.75" customHeight="true">
      <c r="A6071" s="33" t="str">
        <f t="shared" si="376"/>
        <v>LOM - Revenue</v>
      </c>
      <c r="B6071" s="33" t="str">
        <f t="shared" si="377"/>
        <v>LOM</v>
      </c>
      <c r="C6071" s="33" t="str">
        <f t="shared" si="378"/>
        <v>47420-0000</v>
      </c>
      <c r="D6071" s="64" t="s">
        <v>7172</v>
      </c>
      <c r="E6071" s="64" t="s">
        <v>4154</v>
      </c>
      <c r="F6071" s="64" t="s">
        <v>230</v>
      </c>
      <c r="G6071" s="64" t="s">
        <v>3717</v>
      </c>
      <c r="H6071" s="64" t="s">
        <v>2871</v>
      </c>
      <c r="I6071" s="64" t="s">
        <v>4155</v>
      </c>
      <c r="J6071" s="67">
        <v>-52.2</v>
      </c>
      <c r="K6071" s="62">
        <v>-651.82</v>
      </c>
      <c r="L6071" s="33" t="e">
        <f>HLOOKUP(B6071,#REF!,1,0)</f>
        <v>#REF!</v>
      </c>
      <c r="M6071" s="33" t="str">
        <f t="shared" si="379"/>
        <v>P&amp;L</v>
      </c>
    </row>
    <row r="6072" spans="1:13" s="33" customFormat="true" ht="12.75" customHeight="true">
      <c r="A6072" s="33" t="str">
        <f t="shared" si="376"/>
        <v>LOM - Revenue</v>
      </c>
      <c r="B6072" s="33" t="str">
        <f t="shared" si="377"/>
        <v>LOM</v>
      </c>
      <c r="C6072" s="33" t="str">
        <f t="shared" si="378"/>
        <v>47430-0000</v>
      </c>
      <c r="D6072" s="64" t="s">
        <v>7173</v>
      </c>
      <c r="E6072" s="64" t="s">
        <v>4053</v>
      </c>
      <c r="F6072" s="64" t="s">
        <v>230</v>
      </c>
      <c r="G6072" s="64" t="s">
        <v>3717</v>
      </c>
      <c r="H6072" s="64" t="s">
        <v>2871</v>
      </c>
      <c r="I6072" s="64" t="s">
        <v>4054</v>
      </c>
      <c r="J6072" s="67">
        <v>-169.86</v>
      </c>
      <c r="K6072" s="62">
        <v>-2517.77</v>
      </c>
      <c r="L6072" s="33" t="e">
        <f>HLOOKUP(B6072,#REF!,1,0)</f>
        <v>#REF!</v>
      </c>
      <c r="M6072" s="33" t="str">
        <f t="shared" si="379"/>
        <v>P&amp;L</v>
      </c>
    </row>
    <row r="6073" spans="1:13" s="33" customFormat="true" ht="12.75" customHeight="true">
      <c r="A6073" s="33" t="str">
        <f t="shared" si="376"/>
        <v>LOM - Revenue</v>
      </c>
      <c r="B6073" s="33" t="str">
        <f t="shared" si="377"/>
        <v>LOM</v>
      </c>
      <c r="C6073" s="33" t="str">
        <f t="shared" si="378"/>
        <v>47440-0000</v>
      </c>
      <c r="D6073" s="64" t="s">
        <v>7174</v>
      </c>
      <c r="E6073" s="64" t="s">
        <v>3720</v>
      </c>
      <c r="F6073" s="64" t="s">
        <v>230</v>
      </c>
      <c r="G6073" s="64" t="s">
        <v>3717</v>
      </c>
      <c r="H6073" s="64" t="s">
        <v>2871</v>
      </c>
      <c r="I6073" s="64" t="s">
        <v>3721</v>
      </c>
      <c r="J6073" s="67">
        <v>-150</v>
      </c>
      <c r="K6073" s="62">
        <v>-1375</v>
      </c>
      <c r="L6073" s="33" t="e">
        <f>HLOOKUP(B6073,#REF!,1,0)</f>
        <v>#REF!</v>
      </c>
      <c r="M6073" s="33" t="str">
        <f t="shared" si="379"/>
        <v>P&amp;L</v>
      </c>
    </row>
    <row r="6074" spans="1:13" s="33" customFormat="true" ht="12.75" customHeight="true">
      <c r="A6074" s="33" t="str">
        <f t="shared" si="376"/>
        <v>LOM - Revenue</v>
      </c>
      <c r="B6074" s="33" t="str">
        <f t="shared" si="377"/>
        <v>LOM</v>
      </c>
      <c r="C6074" s="33" t="str">
        <f t="shared" si="378"/>
        <v>47450-0000</v>
      </c>
      <c r="D6074" s="64" t="s">
        <v>7175</v>
      </c>
      <c r="E6074" s="64" t="s">
        <v>3723</v>
      </c>
      <c r="F6074" s="64" t="s">
        <v>230</v>
      </c>
      <c r="G6074" s="64" t="s">
        <v>3717</v>
      </c>
      <c r="H6074" s="64" t="s">
        <v>2871</v>
      </c>
      <c r="I6074" s="64" t="s">
        <v>3724</v>
      </c>
      <c r="J6074" s="67">
        <v>-125</v>
      </c>
      <c r="K6074" s="62">
        <v>-1250</v>
      </c>
      <c r="L6074" s="33" t="e">
        <f>HLOOKUP(B6074,#REF!,1,0)</f>
        <v>#REF!</v>
      </c>
      <c r="M6074" s="33" t="str">
        <f t="shared" si="379"/>
        <v>P&amp;L</v>
      </c>
    </row>
    <row r="6075" spans="1:13" s="33" customFormat="true" ht="12.75" customHeight="true">
      <c r="A6075" s="33" t="str">
        <f t="shared" si="376"/>
        <v>LOM - Revenue</v>
      </c>
      <c r="B6075" s="33" t="str">
        <f t="shared" si="377"/>
        <v>LOM</v>
      </c>
      <c r="C6075" s="33" t="str">
        <f t="shared" si="378"/>
        <v>47460-0000</v>
      </c>
      <c r="D6075" s="64" t="s">
        <v>7176</v>
      </c>
      <c r="E6075" s="64" t="s">
        <v>3726</v>
      </c>
      <c r="F6075" s="64" t="s">
        <v>230</v>
      </c>
      <c r="G6075" s="64" t="s">
        <v>3717</v>
      </c>
      <c r="H6075" s="64" t="s">
        <v>2871</v>
      </c>
      <c r="I6075" s="64" t="s">
        <v>3727</v>
      </c>
      <c r="J6075" s="67">
        <v>0</v>
      </c>
      <c r="K6075" s="62">
        <v>-150</v>
      </c>
      <c r="L6075" s="33" t="e">
        <f>HLOOKUP(B6075,#REF!,1,0)</f>
        <v>#REF!</v>
      </c>
      <c r="M6075" s="33" t="str">
        <f t="shared" si="379"/>
        <v>P&amp;L</v>
      </c>
    </row>
    <row r="6076" spans="1:13" s="33" customFormat="true" ht="12.75" customHeight="true">
      <c r="A6076" s="33" t="str">
        <f t="shared" si="376"/>
        <v>LOM - Revenue</v>
      </c>
      <c r="B6076" s="33" t="str">
        <f t="shared" si="377"/>
        <v>LOM</v>
      </c>
      <c r="C6076" s="33" t="str">
        <f t="shared" si="378"/>
        <v>47480-0000</v>
      </c>
      <c r="D6076" s="64" t="s">
        <v>7177</v>
      </c>
      <c r="E6076" s="64" t="s">
        <v>3729</v>
      </c>
      <c r="F6076" s="64" t="s">
        <v>230</v>
      </c>
      <c r="G6076" s="64" t="s">
        <v>3717</v>
      </c>
      <c r="H6076" s="64" t="s">
        <v>2871</v>
      </c>
      <c r="I6076" s="64" t="s">
        <v>3721</v>
      </c>
      <c r="J6076" s="67">
        <v>0</v>
      </c>
      <c r="K6076" s="62">
        <v>-855</v>
      </c>
      <c r="L6076" s="33" t="e">
        <f>HLOOKUP(B6076,#REF!,1,0)</f>
        <v>#REF!</v>
      </c>
      <c r="M6076" s="33" t="str">
        <f t="shared" si="379"/>
        <v>P&amp;L</v>
      </c>
    </row>
    <row r="6077" spans="1:13" s="33" customFormat="true" ht="12.75" customHeight="true">
      <c r="A6077" s="33" t="str">
        <f t="shared" si="376"/>
        <v>LOM - Revenue</v>
      </c>
      <c r="B6077" s="33" t="str">
        <f t="shared" si="377"/>
        <v>LOM</v>
      </c>
      <c r="C6077" s="33" t="str">
        <f t="shared" si="378"/>
        <v>47492-0000</v>
      </c>
      <c r="D6077" s="64" t="s">
        <v>7178</v>
      </c>
      <c r="E6077" s="64" t="s">
        <v>3736</v>
      </c>
      <c r="F6077" s="64" t="s">
        <v>230</v>
      </c>
      <c r="G6077" s="64" t="s">
        <v>3717</v>
      </c>
      <c r="H6077" s="64" t="s">
        <v>2871</v>
      </c>
      <c r="I6077" s="64" t="s">
        <v>3737</v>
      </c>
      <c r="J6077" s="67">
        <v>-166</v>
      </c>
      <c r="K6077" s="62">
        <v>-1367.52</v>
      </c>
      <c r="L6077" s="33" t="e">
        <f>HLOOKUP(B6077,#REF!,1,0)</f>
        <v>#REF!</v>
      </c>
      <c r="M6077" s="33" t="str">
        <f t="shared" si="379"/>
        <v>P&amp;L</v>
      </c>
    </row>
    <row r="6078" spans="1:13" s="33" customFormat="true" ht="12.75" customHeight="true">
      <c r="A6078" s="33" t="str">
        <f t="shared" si="376"/>
        <v>LOM - CGS</v>
      </c>
      <c r="B6078" s="33" t="str">
        <f t="shared" si="377"/>
        <v>LOM</v>
      </c>
      <c r="C6078" s="33" t="str">
        <f t="shared" si="378"/>
        <v>51005-0000</v>
      </c>
      <c r="D6078" s="64" t="s">
        <v>7179</v>
      </c>
      <c r="E6078" s="64" t="s">
        <v>3968</v>
      </c>
      <c r="F6078" s="64" t="s">
        <v>230</v>
      </c>
      <c r="G6078" s="64" t="s">
        <v>3740</v>
      </c>
      <c r="H6078" s="64" t="s">
        <v>1875</v>
      </c>
      <c r="I6078" s="64" t="s">
        <v>3969</v>
      </c>
      <c r="J6078" s="67">
        <v>125</v>
      </c>
      <c r="K6078" s="62">
        <v>225.25</v>
      </c>
      <c r="L6078" s="33" t="e">
        <f>HLOOKUP(B6078,#REF!,1,0)</f>
        <v>#REF!</v>
      </c>
      <c r="M6078" s="33" t="str">
        <f t="shared" si="379"/>
        <v>P&amp;L</v>
      </c>
    </row>
    <row r="6079" spans="1:13" s="33" customFormat="true" ht="12.75" customHeight="true">
      <c r="A6079" s="33" t="str">
        <f t="shared" si="376"/>
        <v>LOM - CGS</v>
      </c>
      <c r="B6079" s="33" t="str">
        <f t="shared" si="377"/>
        <v>LOM</v>
      </c>
      <c r="C6079" s="33" t="str">
        <f t="shared" si="378"/>
        <v>51006-0000</v>
      </c>
      <c r="D6079" s="64" t="s">
        <v>7180</v>
      </c>
      <c r="E6079" s="64" t="s">
        <v>3739</v>
      </c>
      <c r="F6079" s="64" t="s">
        <v>230</v>
      </c>
      <c r="G6079" s="64" t="s">
        <v>3740</v>
      </c>
      <c r="H6079" s="64" t="s">
        <v>1875</v>
      </c>
      <c r="I6079" s="64" t="s">
        <v>3741</v>
      </c>
      <c r="J6079" s="67">
        <v>52.53</v>
      </c>
      <c r="K6079" s="62">
        <v>52.53</v>
      </c>
      <c r="L6079" s="33" t="e">
        <f>HLOOKUP(B6079,#REF!,1,0)</f>
        <v>#REF!</v>
      </c>
      <c r="M6079" s="33" t="str">
        <f t="shared" si="379"/>
        <v>P&amp;L</v>
      </c>
    </row>
    <row r="6080" spans="1:13" s="33" customFormat="true" ht="12.75" customHeight="true">
      <c r="A6080" s="33" t="str">
        <f t="shared" si="376"/>
        <v>LOM - CGS</v>
      </c>
      <c r="B6080" s="33" t="str">
        <f t="shared" si="377"/>
        <v>LOM</v>
      </c>
      <c r="C6080" s="33" t="str">
        <f t="shared" si="378"/>
        <v>51007-0000</v>
      </c>
      <c r="D6080" s="64" t="s">
        <v>7181</v>
      </c>
      <c r="E6080" s="64" t="s">
        <v>3972</v>
      </c>
      <c r="F6080" s="64" t="s">
        <v>230</v>
      </c>
      <c r="G6080" s="64" t="s">
        <v>3740</v>
      </c>
      <c r="H6080" s="64" t="s">
        <v>1875</v>
      </c>
      <c r="I6080" s="64" t="s">
        <v>3973</v>
      </c>
      <c r="J6080" s="67">
        <v>0</v>
      </c>
      <c r="K6080" s="62">
        <v>146.44</v>
      </c>
      <c r="L6080" s="33" t="e">
        <f>HLOOKUP(B6080,#REF!,1,0)</f>
        <v>#REF!</v>
      </c>
      <c r="M6080" s="33" t="str">
        <f t="shared" si="379"/>
        <v>P&amp;L</v>
      </c>
    </row>
    <row r="6081" spans="1:13" s="33" customFormat="true" ht="12.75" customHeight="true">
      <c r="A6081" s="33" t="str">
        <f t="shared" si="376"/>
        <v>LOM - CGS</v>
      </c>
      <c r="B6081" s="33" t="str">
        <f t="shared" si="377"/>
        <v>LOM</v>
      </c>
      <c r="C6081" s="33" t="str">
        <f t="shared" si="378"/>
        <v>51008-0000</v>
      </c>
      <c r="D6081" s="64" t="s">
        <v>7182</v>
      </c>
      <c r="E6081" s="64" t="s">
        <v>3743</v>
      </c>
      <c r="F6081" s="64" t="s">
        <v>230</v>
      </c>
      <c r="G6081" s="64" t="s">
        <v>3740</v>
      </c>
      <c r="H6081" s="64" t="s">
        <v>1875</v>
      </c>
      <c r="I6081" s="64" t="s">
        <v>3744</v>
      </c>
      <c r="J6081" s="67">
        <v>164.21</v>
      </c>
      <c r="K6081" s="62">
        <v>819.03</v>
      </c>
      <c r="L6081" s="33" t="e">
        <f>HLOOKUP(B6081,#REF!,1,0)</f>
        <v>#REF!</v>
      </c>
      <c r="M6081" s="33" t="str">
        <f t="shared" si="379"/>
        <v>P&amp;L</v>
      </c>
    </row>
    <row r="6082" spans="1:13" s="33" customFormat="true" ht="12.75" customHeight="true">
      <c r="A6082" s="33" t="str">
        <f t="shared" ref="A6082:A6145" si="380">B6082&amp;" - "&amp;TRIM(H6082)</f>
        <v>LOM - CGS</v>
      </c>
      <c r="B6082" s="33" t="str">
        <f t="shared" ref="B6082:B6145" si="381">LEFT(D6082,3)</f>
        <v>LOM</v>
      </c>
      <c r="C6082" s="33" t="str">
        <f t="shared" ref="C6082:C6145" si="382">RIGHT(D6082,10)</f>
        <v>51009-0000</v>
      </c>
      <c r="D6082" s="64" t="s">
        <v>7183</v>
      </c>
      <c r="E6082" s="64" t="s">
        <v>3746</v>
      </c>
      <c r="F6082" s="64" t="s">
        <v>230</v>
      </c>
      <c r="G6082" s="64" t="s">
        <v>3740</v>
      </c>
      <c r="H6082" s="64" t="s">
        <v>1875</v>
      </c>
      <c r="I6082" s="64" t="s">
        <v>3747</v>
      </c>
      <c r="J6082" s="67">
        <v>349.65</v>
      </c>
      <c r="K6082" s="62">
        <v>1027.62</v>
      </c>
      <c r="L6082" s="33" t="e">
        <f>HLOOKUP(B6082,#REF!,1,0)</f>
        <v>#REF!</v>
      </c>
      <c r="M6082" s="33" t="str">
        <f t="shared" ref="M6082:M6145" si="383">IF(VALUE(LEFT(C6082,5))&gt;40000,"P&amp;L","BS")</f>
        <v>P&amp;L</v>
      </c>
    </row>
    <row r="6083" spans="1:13" s="33" customFormat="true" ht="12.75" customHeight="true">
      <c r="A6083" s="33" t="str">
        <f t="shared" si="380"/>
        <v>LOM - CGS</v>
      </c>
      <c r="B6083" s="33" t="str">
        <f t="shared" si="381"/>
        <v>LOM</v>
      </c>
      <c r="C6083" s="33" t="str">
        <f t="shared" si="382"/>
        <v>51011-0000</v>
      </c>
      <c r="D6083" s="64" t="s">
        <v>7184</v>
      </c>
      <c r="E6083" s="64" t="s">
        <v>3749</v>
      </c>
      <c r="F6083" s="64" t="s">
        <v>230</v>
      </c>
      <c r="G6083" s="64" t="s">
        <v>3740</v>
      </c>
      <c r="H6083" s="64" t="s">
        <v>1875</v>
      </c>
      <c r="I6083" s="64" t="s">
        <v>3750</v>
      </c>
      <c r="J6083" s="67">
        <v>320</v>
      </c>
      <c r="K6083" s="62">
        <v>3540</v>
      </c>
      <c r="L6083" s="33" t="e">
        <f>HLOOKUP(B6083,#REF!,1,0)</f>
        <v>#REF!</v>
      </c>
      <c r="M6083" s="33" t="str">
        <f t="shared" si="383"/>
        <v>P&amp;L</v>
      </c>
    </row>
    <row r="6084" spans="1:13" s="33" customFormat="true" ht="12.75" customHeight="true">
      <c r="A6084" s="33" t="str">
        <f t="shared" si="380"/>
        <v>LOM - CGS</v>
      </c>
      <c r="B6084" s="33" t="str">
        <f t="shared" si="381"/>
        <v>LOM</v>
      </c>
      <c r="C6084" s="33" t="str">
        <f t="shared" si="382"/>
        <v>51012-0000</v>
      </c>
      <c r="D6084" s="64" t="s">
        <v>7185</v>
      </c>
      <c r="E6084" s="64" t="s">
        <v>3752</v>
      </c>
      <c r="F6084" s="64" t="s">
        <v>230</v>
      </c>
      <c r="G6084" s="64" t="s">
        <v>3740</v>
      </c>
      <c r="H6084" s="64" t="s">
        <v>1875</v>
      </c>
      <c r="I6084" s="64" t="s">
        <v>3753</v>
      </c>
      <c r="J6084" s="67">
        <v>50</v>
      </c>
      <c r="K6084" s="62">
        <v>500</v>
      </c>
      <c r="L6084" s="33" t="e">
        <f>HLOOKUP(B6084,#REF!,1,0)</f>
        <v>#REF!</v>
      </c>
      <c r="M6084" s="33" t="str">
        <f t="shared" si="383"/>
        <v>P&amp;L</v>
      </c>
    </row>
    <row r="6085" spans="1:13" s="33" customFormat="true" ht="12.75" customHeight="true">
      <c r="A6085" s="33" t="str">
        <f t="shared" si="380"/>
        <v>LOM - CGS</v>
      </c>
      <c r="B6085" s="33" t="str">
        <f t="shared" si="381"/>
        <v>LOM</v>
      </c>
      <c r="C6085" s="33" t="str">
        <f t="shared" si="382"/>
        <v>51015-0000</v>
      </c>
      <c r="D6085" s="64" t="s">
        <v>7186</v>
      </c>
      <c r="E6085" s="64" t="s">
        <v>3755</v>
      </c>
      <c r="F6085" s="64" t="s">
        <v>230</v>
      </c>
      <c r="G6085" s="64" t="s">
        <v>3740</v>
      </c>
      <c r="H6085" s="64" t="s">
        <v>1875</v>
      </c>
      <c r="I6085" s="64" t="s">
        <v>3756</v>
      </c>
      <c r="J6085" s="67">
        <v>0</v>
      </c>
      <c r="K6085" s="62">
        <v>75</v>
      </c>
      <c r="L6085" s="33" t="e">
        <f>HLOOKUP(B6085,#REF!,1,0)</f>
        <v>#REF!</v>
      </c>
      <c r="M6085" s="33" t="str">
        <f t="shared" si="383"/>
        <v>P&amp;L</v>
      </c>
    </row>
    <row r="6086" spans="1:13" s="33" customFormat="true" ht="12.75" customHeight="true">
      <c r="A6086" s="33" t="str">
        <f t="shared" si="380"/>
        <v>LOM - CGS</v>
      </c>
      <c r="B6086" s="33" t="str">
        <f t="shared" si="381"/>
        <v>LOM</v>
      </c>
      <c r="C6086" s="33" t="str">
        <f t="shared" si="382"/>
        <v>51019-0000</v>
      </c>
      <c r="D6086" s="64" t="s">
        <v>7187</v>
      </c>
      <c r="E6086" s="64" t="s">
        <v>3761</v>
      </c>
      <c r="F6086" s="64" t="s">
        <v>230</v>
      </c>
      <c r="G6086" s="64" t="s">
        <v>3740</v>
      </c>
      <c r="H6086" s="64" t="s">
        <v>1875</v>
      </c>
      <c r="I6086" s="64" t="s">
        <v>3340</v>
      </c>
      <c r="J6086" s="67">
        <v>0</v>
      </c>
      <c r="K6086" s="62">
        <v>45.93</v>
      </c>
      <c r="L6086" s="33" t="e">
        <f>HLOOKUP(B6086,#REF!,1,0)</f>
        <v>#REF!</v>
      </c>
      <c r="M6086" s="33" t="str">
        <f t="shared" si="383"/>
        <v>P&amp;L</v>
      </c>
    </row>
    <row r="6087" spans="1:13" s="33" customFormat="true" ht="12.75" customHeight="true">
      <c r="A6087" s="33" t="str">
        <f t="shared" si="380"/>
        <v>LOM - CGS</v>
      </c>
      <c r="B6087" s="33" t="str">
        <f t="shared" si="381"/>
        <v>LOM</v>
      </c>
      <c r="C6087" s="33" t="str">
        <f t="shared" si="382"/>
        <v>51020-0000</v>
      </c>
      <c r="D6087" s="64" t="s">
        <v>7188</v>
      </c>
      <c r="E6087" s="64" t="s">
        <v>3763</v>
      </c>
      <c r="F6087" s="64" t="s">
        <v>230</v>
      </c>
      <c r="G6087" s="64" t="s">
        <v>3740</v>
      </c>
      <c r="H6087" s="64" t="s">
        <v>1875</v>
      </c>
      <c r="I6087" s="64" t="s">
        <v>3345</v>
      </c>
      <c r="J6087" s="67">
        <v>0</v>
      </c>
      <c r="K6087" s="62">
        <v>43.79</v>
      </c>
      <c r="L6087" s="33" t="e">
        <f>HLOOKUP(B6087,#REF!,1,0)</f>
        <v>#REF!</v>
      </c>
      <c r="M6087" s="33" t="str">
        <f t="shared" si="383"/>
        <v>P&amp;L</v>
      </c>
    </row>
    <row r="6088" spans="1:13" s="33" customFormat="true" ht="12.75" customHeight="true">
      <c r="A6088" s="33" t="str">
        <f t="shared" si="380"/>
        <v>LOM - CGS</v>
      </c>
      <c r="B6088" s="33" t="str">
        <f t="shared" si="381"/>
        <v>LOM</v>
      </c>
      <c r="C6088" s="33" t="str">
        <f t="shared" si="382"/>
        <v>51025-0000</v>
      </c>
      <c r="D6088" s="64" t="s">
        <v>7189</v>
      </c>
      <c r="E6088" s="64" t="s">
        <v>3988</v>
      </c>
      <c r="F6088" s="64" t="s">
        <v>230</v>
      </c>
      <c r="G6088" s="64" t="s">
        <v>3740</v>
      </c>
      <c r="H6088" s="64" t="s">
        <v>1875</v>
      </c>
      <c r="I6088" s="64" t="s">
        <v>3989</v>
      </c>
      <c r="J6088" s="67">
        <v>312.21</v>
      </c>
      <c r="K6088" s="62">
        <v>3172.49</v>
      </c>
      <c r="L6088" s="33" t="e">
        <f>HLOOKUP(B6088,#REF!,1,0)</f>
        <v>#REF!</v>
      </c>
      <c r="M6088" s="33" t="str">
        <f t="shared" si="383"/>
        <v>P&amp;L</v>
      </c>
    </row>
    <row r="6089" spans="1:13" s="33" customFormat="true" ht="12.75" customHeight="true">
      <c r="A6089" s="33" t="str">
        <f t="shared" si="380"/>
        <v>LOM - CGS</v>
      </c>
      <c r="B6089" s="33" t="str">
        <f t="shared" si="381"/>
        <v>LOM</v>
      </c>
      <c r="C6089" s="33" t="str">
        <f t="shared" si="382"/>
        <v>52001-0000</v>
      </c>
      <c r="D6089" s="64" t="s">
        <v>7190</v>
      </c>
      <c r="E6089" s="64" t="s">
        <v>3768</v>
      </c>
      <c r="F6089" s="64" t="s">
        <v>230</v>
      </c>
      <c r="G6089" s="64" t="s">
        <v>3769</v>
      </c>
      <c r="H6089" s="64" t="s">
        <v>1875</v>
      </c>
      <c r="I6089" s="64" t="s">
        <v>3770</v>
      </c>
      <c r="J6089" s="67">
        <v>0</v>
      </c>
      <c r="K6089" s="62">
        <v>275.19</v>
      </c>
      <c r="L6089" s="33" t="e">
        <f>HLOOKUP(B6089,#REF!,1,0)</f>
        <v>#REF!</v>
      </c>
      <c r="M6089" s="33" t="str">
        <f t="shared" si="383"/>
        <v>P&amp;L</v>
      </c>
    </row>
    <row r="6090" spans="1:13" s="33" customFormat="true" ht="12.75" customHeight="true">
      <c r="A6090" s="33" t="str">
        <f t="shared" si="380"/>
        <v>LOM - CGS</v>
      </c>
      <c r="B6090" s="33" t="str">
        <f t="shared" si="381"/>
        <v>LOM</v>
      </c>
      <c r="C6090" s="33" t="str">
        <f t="shared" si="382"/>
        <v>52002-0000</v>
      </c>
      <c r="D6090" s="64" t="s">
        <v>7191</v>
      </c>
      <c r="E6090" s="64" t="s">
        <v>3997</v>
      </c>
      <c r="F6090" s="64" t="s">
        <v>230</v>
      </c>
      <c r="G6090" s="64" t="s">
        <v>3769</v>
      </c>
      <c r="H6090" s="64" t="s">
        <v>1875</v>
      </c>
      <c r="I6090" s="64" t="s">
        <v>3998</v>
      </c>
      <c r="J6090" s="67">
        <v>125</v>
      </c>
      <c r="K6090" s="62">
        <v>125</v>
      </c>
      <c r="L6090" s="33" t="e">
        <f>HLOOKUP(B6090,#REF!,1,0)</f>
        <v>#REF!</v>
      </c>
      <c r="M6090" s="33" t="str">
        <f t="shared" si="383"/>
        <v>P&amp;L</v>
      </c>
    </row>
    <row r="6091" spans="1:13" s="33" customFormat="true" ht="12.75" customHeight="true">
      <c r="A6091" s="33" t="str">
        <f t="shared" si="380"/>
        <v>LOM - CGS</v>
      </c>
      <c r="B6091" s="33" t="str">
        <f t="shared" si="381"/>
        <v>LOM</v>
      </c>
      <c r="C6091" s="33" t="str">
        <f t="shared" si="382"/>
        <v>52003-0000</v>
      </c>
      <c r="D6091" s="64" t="s">
        <v>7192</v>
      </c>
      <c r="E6091" s="64" t="s">
        <v>3772</v>
      </c>
      <c r="F6091" s="64" t="s">
        <v>230</v>
      </c>
      <c r="G6091" s="64" t="s">
        <v>3769</v>
      </c>
      <c r="H6091" s="64" t="s">
        <v>1875</v>
      </c>
      <c r="I6091" s="64" t="s">
        <v>3773</v>
      </c>
      <c r="J6091" s="67">
        <v>-175</v>
      </c>
      <c r="K6091" s="62">
        <v>-350</v>
      </c>
      <c r="L6091" s="33" t="e">
        <f>HLOOKUP(B6091,#REF!,1,0)</f>
        <v>#REF!</v>
      </c>
      <c r="M6091" s="33" t="str">
        <f t="shared" si="383"/>
        <v>P&amp;L</v>
      </c>
    </row>
    <row r="6092" spans="1:13" s="33" customFormat="true" ht="12.75" customHeight="true">
      <c r="A6092" s="33" t="str">
        <f t="shared" si="380"/>
        <v>LOM - CGS</v>
      </c>
      <c r="B6092" s="33" t="str">
        <f t="shared" si="381"/>
        <v>LOM</v>
      </c>
      <c r="C6092" s="33" t="str">
        <f t="shared" si="382"/>
        <v>52004-0000</v>
      </c>
      <c r="D6092" s="64" t="s">
        <v>7193</v>
      </c>
      <c r="E6092" s="64" t="s">
        <v>3775</v>
      </c>
      <c r="F6092" s="64" t="s">
        <v>230</v>
      </c>
      <c r="G6092" s="64" t="s">
        <v>3769</v>
      </c>
      <c r="H6092" s="64" t="s">
        <v>1875</v>
      </c>
      <c r="I6092" s="64" t="s">
        <v>3776</v>
      </c>
      <c r="J6092" s="67">
        <v>125</v>
      </c>
      <c r="K6092" s="62">
        <v>-205</v>
      </c>
      <c r="L6092" s="33" t="e">
        <f>HLOOKUP(B6092,#REF!,1,0)</f>
        <v>#REF!</v>
      </c>
      <c r="M6092" s="33" t="str">
        <f t="shared" si="383"/>
        <v>P&amp;L</v>
      </c>
    </row>
    <row r="6093" spans="1:13" s="33" customFormat="true" ht="12.75" customHeight="true">
      <c r="A6093" s="33" t="str">
        <f t="shared" si="380"/>
        <v>LOM - CGS</v>
      </c>
      <c r="B6093" s="33" t="str">
        <f t="shared" si="381"/>
        <v>LOM</v>
      </c>
      <c r="C6093" s="33" t="str">
        <f t="shared" si="382"/>
        <v>52006-0000</v>
      </c>
      <c r="D6093" s="64" t="s">
        <v>7194</v>
      </c>
      <c r="E6093" s="64" t="s">
        <v>3778</v>
      </c>
      <c r="F6093" s="64" t="s">
        <v>230</v>
      </c>
      <c r="G6093" s="64" t="s">
        <v>3769</v>
      </c>
      <c r="H6093" s="64" t="s">
        <v>1875</v>
      </c>
      <c r="I6093" s="64" t="s">
        <v>3779</v>
      </c>
      <c r="J6093" s="67">
        <v>-135</v>
      </c>
      <c r="K6093" s="62">
        <v>265</v>
      </c>
      <c r="L6093" s="33" t="e">
        <f>HLOOKUP(B6093,#REF!,1,0)</f>
        <v>#REF!</v>
      </c>
      <c r="M6093" s="33" t="str">
        <f t="shared" si="383"/>
        <v>P&amp;L</v>
      </c>
    </row>
    <row r="6094" spans="1:13" s="33" customFormat="true" ht="12.75" customHeight="true">
      <c r="A6094" s="33" t="str">
        <f t="shared" si="380"/>
        <v>LOM - CGS</v>
      </c>
      <c r="B6094" s="33" t="str">
        <f t="shared" si="381"/>
        <v>LOM</v>
      </c>
      <c r="C6094" s="33" t="str">
        <f t="shared" si="382"/>
        <v>53001-0000</v>
      </c>
      <c r="D6094" s="64" t="s">
        <v>7195</v>
      </c>
      <c r="E6094" s="64" t="s">
        <v>3781</v>
      </c>
      <c r="F6094" s="64" t="s">
        <v>230</v>
      </c>
      <c r="G6094" s="64" t="s">
        <v>3160</v>
      </c>
      <c r="H6094" s="64" t="s">
        <v>1875</v>
      </c>
      <c r="I6094" s="64" t="s">
        <v>3782</v>
      </c>
      <c r="J6094" s="67">
        <v>30</v>
      </c>
      <c r="K6094" s="62">
        <v>470.32</v>
      </c>
      <c r="L6094" s="33" t="e">
        <f>HLOOKUP(B6094,#REF!,1,0)</f>
        <v>#REF!</v>
      </c>
      <c r="M6094" s="33" t="str">
        <f t="shared" si="383"/>
        <v>P&amp;L</v>
      </c>
    </row>
    <row r="6095" spans="1:13" s="33" customFormat="true" ht="12.75" customHeight="true">
      <c r="A6095" s="33" t="str">
        <f t="shared" si="380"/>
        <v>LOM - CGS</v>
      </c>
      <c r="B6095" s="33" t="str">
        <f t="shared" si="381"/>
        <v>LOM</v>
      </c>
      <c r="C6095" s="33" t="str">
        <f t="shared" si="382"/>
        <v>53002-0000</v>
      </c>
      <c r="D6095" s="64" t="s">
        <v>7196</v>
      </c>
      <c r="E6095" s="64" t="s">
        <v>3784</v>
      </c>
      <c r="F6095" s="64" t="s">
        <v>230</v>
      </c>
      <c r="G6095" s="64" t="s">
        <v>3160</v>
      </c>
      <c r="H6095" s="64" t="s">
        <v>1875</v>
      </c>
      <c r="I6095" s="64" t="s">
        <v>3785</v>
      </c>
      <c r="J6095" s="67">
        <v>1021.24</v>
      </c>
      <c r="K6095" s="62">
        <v>10212.4</v>
      </c>
      <c r="L6095" s="33" t="e">
        <f>HLOOKUP(B6095,#REF!,1,0)</f>
        <v>#REF!</v>
      </c>
      <c r="M6095" s="33" t="str">
        <f t="shared" si="383"/>
        <v>P&amp;L</v>
      </c>
    </row>
    <row r="6096" spans="1:13" s="33" customFormat="true" ht="12.75" customHeight="true">
      <c r="A6096" s="33" t="str">
        <f t="shared" si="380"/>
        <v>LOM - CGS</v>
      </c>
      <c r="B6096" s="33" t="str">
        <f t="shared" si="381"/>
        <v>LOM</v>
      </c>
      <c r="C6096" s="33" t="str">
        <f t="shared" si="382"/>
        <v>53003-0000</v>
      </c>
      <c r="D6096" s="64" t="s">
        <v>7197</v>
      </c>
      <c r="E6096" s="64" t="s">
        <v>3787</v>
      </c>
      <c r="F6096" s="64" t="s">
        <v>230</v>
      </c>
      <c r="G6096" s="64" t="s">
        <v>3160</v>
      </c>
      <c r="H6096" s="64" t="s">
        <v>1875</v>
      </c>
      <c r="I6096" s="64" t="s">
        <v>3788</v>
      </c>
      <c r="J6096" s="67">
        <v>220.68</v>
      </c>
      <c r="K6096" s="62">
        <v>1839.48</v>
      </c>
      <c r="L6096" s="33" t="e">
        <f>HLOOKUP(B6096,#REF!,1,0)</f>
        <v>#REF!</v>
      </c>
      <c r="M6096" s="33" t="str">
        <f t="shared" si="383"/>
        <v>P&amp;L</v>
      </c>
    </row>
    <row r="6097" spans="1:13" s="33" customFormat="true" ht="12.75" customHeight="true">
      <c r="A6097" s="33" t="str">
        <f t="shared" si="380"/>
        <v>LOM - CGS</v>
      </c>
      <c r="B6097" s="33" t="str">
        <f t="shared" si="381"/>
        <v>LOM</v>
      </c>
      <c r="C6097" s="33" t="str">
        <f t="shared" si="382"/>
        <v>53004-0000</v>
      </c>
      <c r="D6097" s="64" t="s">
        <v>7198</v>
      </c>
      <c r="E6097" s="64" t="s">
        <v>3790</v>
      </c>
      <c r="F6097" s="64" t="s">
        <v>230</v>
      </c>
      <c r="G6097" s="64" t="s">
        <v>3160</v>
      </c>
      <c r="H6097" s="64" t="s">
        <v>1875</v>
      </c>
      <c r="I6097" s="64" t="s">
        <v>3791</v>
      </c>
      <c r="J6097" s="67">
        <v>263.22</v>
      </c>
      <c r="K6097" s="62">
        <v>3941.73</v>
      </c>
      <c r="L6097" s="33" t="e">
        <f>HLOOKUP(B6097,#REF!,1,0)</f>
        <v>#REF!</v>
      </c>
      <c r="M6097" s="33" t="str">
        <f t="shared" si="383"/>
        <v>P&amp;L</v>
      </c>
    </row>
    <row r="6098" spans="1:13" s="33" customFormat="true" ht="12.75" customHeight="true">
      <c r="A6098" s="33" t="str">
        <f t="shared" si="380"/>
        <v>LOM - CGS</v>
      </c>
      <c r="B6098" s="33" t="str">
        <f t="shared" si="381"/>
        <v>LOM</v>
      </c>
      <c r="C6098" s="33" t="str">
        <f t="shared" si="382"/>
        <v>53005-0000</v>
      </c>
      <c r="D6098" s="64" t="s">
        <v>7199</v>
      </c>
      <c r="E6098" s="64" t="s">
        <v>3793</v>
      </c>
      <c r="F6098" s="64" t="s">
        <v>230</v>
      </c>
      <c r="G6098" s="64" t="s">
        <v>3160</v>
      </c>
      <c r="H6098" s="64" t="s">
        <v>1875</v>
      </c>
      <c r="I6098" s="64" t="s">
        <v>3794</v>
      </c>
      <c r="J6098" s="67">
        <v>1.3</v>
      </c>
      <c r="K6098" s="62">
        <v>4319.31</v>
      </c>
      <c r="L6098" s="33" t="e">
        <f>HLOOKUP(B6098,#REF!,1,0)</f>
        <v>#REF!</v>
      </c>
      <c r="M6098" s="33" t="str">
        <f t="shared" si="383"/>
        <v>P&amp;L</v>
      </c>
    </row>
    <row r="6099" spans="1:13" s="33" customFormat="true" ht="12.75" customHeight="true">
      <c r="A6099" s="33" t="str">
        <f t="shared" si="380"/>
        <v>LOM - CGS</v>
      </c>
      <c r="B6099" s="33" t="str">
        <f t="shared" si="381"/>
        <v>LOM</v>
      </c>
      <c r="C6099" s="33" t="str">
        <f t="shared" si="382"/>
        <v>53006-0000</v>
      </c>
      <c r="D6099" s="64" t="s">
        <v>7200</v>
      </c>
      <c r="E6099" s="64" t="s">
        <v>3796</v>
      </c>
      <c r="F6099" s="64" t="s">
        <v>230</v>
      </c>
      <c r="G6099" s="64" t="s">
        <v>3160</v>
      </c>
      <c r="H6099" s="64" t="s">
        <v>1875</v>
      </c>
      <c r="I6099" s="64" t="s">
        <v>3797</v>
      </c>
      <c r="J6099" s="67">
        <v>0</v>
      </c>
      <c r="K6099" s="62">
        <v>7702.35</v>
      </c>
      <c r="L6099" s="33" t="e">
        <f>HLOOKUP(B6099,#REF!,1,0)</f>
        <v>#REF!</v>
      </c>
      <c r="M6099" s="33" t="str">
        <f t="shared" si="383"/>
        <v>P&amp;L</v>
      </c>
    </row>
    <row r="6100" spans="1:13" s="33" customFormat="true" ht="12.75" customHeight="true">
      <c r="A6100" s="33" t="str">
        <f t="shared" si="380"/>
        <v>LOM - CGS</v>
      </c>
      <c r="B6100" s="33" t="str">
        <f t="shared" si="381"/>
        <v>LOM</v>
      </c>
      <c r="C6100" s="33" t="str">
        <f t="shared" si="382"/>
        <v>54002-0000</v>
      </c>
      <c r="D6100" s="64" t="s">
        <v>7201</v>
      </c>
      <c r="E6100" s="64" t="s">
        <v>3799</v>
      </c>
      <c r="F6100" s="64" t="s">
        <v>230</v>
      </c>
      <c r="G6100" s="64" t="s">
        <v>3800</v>
      </c>
      <c r="H6100" s="64" t="s">
        <v>1875</v>
      </c>
      <c r="I6100" s="64" t="s">
        <v>3801</v>
      </c>
      <c r="J6100" s="67">
        <v>0</v>
      </c>
      <c r="K6100" s="62">
        <v>1953</v>
      </c>
      <c r="L6100" s="33" t="e">
        <f>HLOOKUP(B6100,#REF!,1,0)</f>
        <v>#REF!</v>
      </c>
      <c r="M6100" s="33" t="str">
        <f t="shared" si="383"/>
        <v>P&amp;L</v>
      </c>
    </row>
    <row r="6101" spans="1:13" s="33" customFormat="true" ht="12.75" customHeight="true">
      <c r="A6101" s="33" t="str">
        <f t="shared" si="380"/>
        <v>LOM - CGS</v>
      </c>
      <c r="B6101" s="33" t="str">
        <f t="shared" si="381"/>
        <v>LOM</v>
      </c>
      <c r="C6101" s="33" t="str">
        <f t="shared" si="382"/>
        <v>54003-0000</v>
      </c>
      <c r="D6101" s="64" t="s">
        <v>7202</v>
      </c>
      <c r="E6101" s="64" t="s">
        <v>3803</v>
      </c>
      <c r="F6101" s="64" t="s">
        <v>230</v>
      </c>
      <c r="G6101" s="64" t="s">
        <v>3800</v>
      </c>
      <c r="H6101" s="64" t="s">
        <v>1875</v>
      </c>
      <c r="I6101" s="64" t="s">
        <v>3804</v>
      </c>
      <c r="J6101" s="67">
        <v>0</v>
      </c>
      <c r="K6101" s="62">
        <v>0</v>
      </c>
      <c r="L6101" s="33" t="e">
        <f>HLOOKUP(B6101,#REF!,1,0)</f>
        <v>#REF!</v>
      </c>
      <c r="M6101" s="33" t="str">
        <f t="shared" si="383"/>
        <v>P&amp;L</v>
      </c>
    </row>
    <row r="6102" spans="1:13" s="33" customFormat="true" ht="12.75" customHeight="true">
      <c r="A6102" s="33" t="str">
        <f t="shared" si="380"/>
        <v>LOM - CGS</v>
      </c>
      <c r="B6102" s="33" t="str">
        <f t="shared" si="381"/>
        <v>LOM</v>
      </c>
      <c r="C6102" s="33" t="str">
        <f t="shared" si="382"/>
        <v>54004-0000</v>
      </c>
      <c r="D6102" s="64" t="s">
        <v>7203</v>
      </c>
      <c r="E6102" s="64" t="s">
        <v>3806</v>
      </c>
      <c r="F6102" s="64" t="s">
        <v>230</v>
      </c>
      <c r="G6102" s="64" t="s">
        <v>3800</v>
      </c>
      <c r="H6102" s="64" t="s">
        <v>1875</v>
      </c>
      <c r="I6102" s="64" t="s">
        <v>3807</v>
      </c>
      <c r="J6102" s="67">
        <v>1174.2</v>
      </c>
      <c r="K6102" s="62">
        <v>12348.64</v>
      </c>
      <c r="L6102" s="33" t="e">
        <f>HLOOKUP(B6102,#REF!,1,0)</f>
        <v>#REF!</v>
      </c>
      <c r="M6102" s="33" t="str">
        <f t="shared" si="383"/>
        <v>P&amp;L</v>
      </c>
    </row>
    <row r="6103" spans="1:13" s="33" customFormat="true" ht="12.75" customHeight="true">
      <c r="A6103" s="33" t="str">
        <f t="shared" si="380"/>
        <v>LOM - CGS</v>
      </c>
      <c r="B6103" s="33" t="str">
        <f t="shared" si="381"/>
        <v>LOM</v>
      </c>
      <c r="C6103" s="33" t="str">
        <f t="shared" si="382"/>
        <v>54005-0000</v>
      </c>
      <c r="D6103" s="64" t="s">
        <v>7204</v>
      </c>
      <c r="E6103" s="64" t="s">
        <v>3809</v>
      </c>
      <c r="F6103" s="64" t="s">
        <v>230</v>
      </c>
      <c r="G6103" s="64" t="s">
        <v>3800</v>
      </c>
      <c r="H6103" s="64" t="s">
        <v>1875</v>
      </c>
      <c r="I6103" s="64" t="s">
        <v>3810</v>
      </c>
      <c r="J6103" s="67">
        <v>11.73</v>
      </c>
      <c r="K6103" s="62">
        <v>143.19</v>
      </c>
      <c r="L6103" s="33" t="e">
        <f>HLOOKUP(B6103,#REF!,1,0)</f>
        <v>#REF!</v>
      </c>
      <c r="M6103" s="33" t="str">
        <f t="shared" si="383"/>
        <v>P&amp;L</v>
      </c>
    </row>
    <row r="6104" spans="1:13" s="33" customFormat="true" ht="12.75" customHeight="true">
      <c r="A6104" s="33" t="str">
        <f t="shared" si="380"/>
        <v>LOM - CGS</v>
      </c>
      <c r="B6104" s="33" t="str">
        <f t="shared" si="381"/>
        <v>LOM</v>
      </c>
      <c r="C6104" s="33" t="str">
        <f t="shared" si="382"/>
        <v>54006-0000</v>
      </c>
      <c r="D6104" s="64" t="s">
        <v>7205</v>
      </c>
      <c r="E6104" s="64" t="s">
        <v>3812</v>
      </c>
      <c r="F6104" s="64" t="s">
        <v>230</v>
      </c>
      <c r="G6104" s="64" t="s">
        <v>3800</v>
      </c>
      <c r="H6104" s="64" t="s">
        <v>1875</v>
      </c>
      <c r="I6104" s="64" t="s">
        <v>3003</v>
      </c>
      <c r="J6104" s="67">
        <v>89.82</v>
      </c>
      <c r="K6104" s="62">
        <v>1353</v>
      </c>
      <c r="L6104" s="33" t="e">
        <f>HLOOKUP(B6104,#REF!,1,0)</f>
        <v>#REF!</v>
      </c>
      <c r="M6104" s="33" t="str">
        <f t="shared" si="383"/>
        <v>P&amp;L</v>
      </c>
    </row>
    <row r="6105" spans="1:13" s="33" customFormat="true" ht="12.75" customHeight="true">
      <c r="A6105" s="33" t="str">
        <f t="shared" si="380"/>
        <v>LOM - CGS</v>
      </c>
      <c r="B6105" s="33" t="str">
        <f t="shared" si="381"/>
        <v>LOM</v>
      </c>
      <c r="C6105" s="33" t="str">
        <f t="shared" si="382"/>
        <v>54007-0000</v>
      </c>
      <c r="D6105" s="64" t="s">
        <v>7206</v>
      </c>
      <c r="E6105" s="64" t="s">
        <v>4182</v>
      </c>
      <c r="F6105" s="64" t="s">
        <v>230</v>
      </c>
      <c r="G6105" s="64" t="s">
        <v>3800</v>
      </c>
      <c r="H6105" s="64" t="s">
        <v>1875</v>
      </c>
      <c r="I6105" s="64" t="s">
        <v>3815</v>
      </c>
      <c r="J6105" s="67">
        <v>82</v>
      </c>
      <c r="K6105" s="62">
        <v>3223.37</v>
      </c>
      <c r="L6105" s="33" t="e">
        <f>HLOOKUP(B6105,#REF!,1,0)</f>
        <v>#REF!</v>
      </c>
      <c r="M6105" s="33" t="str">
        <f t="shared" si="383"/>
        <v>P&amp;L</v>
      </c>
    </row>
    <row r="6106" spans="1:13" s="33" customFormat="true" ht="12.75" customHeight="true">
      <c r="A6106" s="33" t="str">
        <f t="shared" si="380"/>
        <v>LOM - PM Expenses</v>
      </c>
      <c r="B6106" s="33" t="str">
        <f t="shared" si="381"/>
        <v>LOM</v>
      </c>
      <c r="C6106" s="33" t="str">
        <f t="shared" si="382"/>
        <v>55501-0000</v>
      </c>
      <c r="D6106" s="64" t="s">
        <v>7207</v>
      </c>
      <c r="E6106" s="64" t="s">
        <v>3817</v>
      </c>
      <c r="F6106" s="64" t="s">
        <v>230</v>
      </c>
      <c r="G6106" s="64" t="s">
        <v>3818</v>
      </c>
      <c r="H6106" s="64" t="s">
        <v>3819</v>
      </c>
      <c r="I6106" s="64" t="s">
        <v>3820</v>
      </c>
      <c r="J6106" s="67">
        <v>250</v>
      </c>
      <c r="K6106" s="62">
        <v>725</v>
      </c>
      <c r="L6106" s="33" t="e">
        <f>HLOOKUP(B6106,#REF!,1,0)</f>
        <v>#REF!</v>
      </c>
      <c r="M6106" s="33" t="str">
        <f t="shared" si="383"/>
        <v>P&amp;L</v>
      </c>
    </row>
    <row r="6107" spans="1:13" s="33" customFormat="true" ht="12.75" customHeight="true">
      <c r="A6107" s="33" t="str">
        <f t="shared" si="380"/>
        <v>LOM - PM Expenses</v>
      </c>
      <c r="B6107" s="33" t="str">
        <f t="shared" si="381"/>
        <v>LOM</v>
      </c>
      <c r="C6107" s="33" t="str">
        <f t="shared" si="382"/>
        <v>55502-0000</v>
      </c>
      <c r="D6107" s="64" t="s">
        <v>7208</v>
      </c>
      <c r="E6107" s="64" t="s">
        <v>3822</v>
      </c>
      <c r="F6107" s="64" t="s">
        <v>230</v>
      </c>
      <c r="G6107" s="64" t="s">
        <v>3818</v>
      </c>
      <c r="H6107" s="64" t="s">
        <v>3819</v>
      </c>
      <c r="I6107" s="64" t="s">
        <v>3823</v>
      </c>
      <c r="J6107" s="67">
        <v>0</v>
      </c>
      <c r="K6107" s="62">
        <v>92</v>
      </c>
      <c r="L6107" s="33" t="e">
        <f>HLOOKUP(B6107,#REF!,1,0)</f>
        <v>#REF!</v>
      </c>
      <c r="M6107" s="33" t="str">
        <f t="shared" si="383"/>
        <v>P&amp;L</v>
      </c>
    </row>
    <row r="6108" spans="1:13" s="33" customFormat="true" ht="12.75" customHeight="true">
      <c r="A6108" s="33" t="str">
        <f t="shared" si="380"/>
        <v>LOM - PM Expenses</v>
      </c>
      <c r="B6108" s="33" t="str">
        <f t="shared" si="381"/>
        <v>LOM</v>
      </c>
      <c r="C6108" s="33" t="str">
        <f t="shared" si="382"/>
        <v>55503-0000</v>
      </c>
      <c r="D6108" s="64" t="s">
        <v>7209</v>
      </c>
      <c r="E6108" s="64" t="s">
        <v>3825</v>
      </c>
      <c r="F6108" s="64" t="s">
        <v>230</v>
      </c>
      <c r="G6108" s="64" t="s">
        <v>3818</v>
      </c>
      <c r="H6108" s="64" t="s">
        <v>3819</v>
      </c>
      <c r="I6108" s="64" t="s">
        <v>3826</v>
      </c>
      <c r="J6108" s="67">
        <v>0</v>
      </c>
      <c r="K6108" s="62">
        <v>179.5</v>
      </c>
      <c r="L6108" s="33" t="e">
        <f>HLOOKUP(B6108,#REF!,1,0)</f>
        <v>#REF!</v>
      </c>
      <c r="M6108" s="33" t="str">
        <f t="shared" si="383"/>
        <v>P&amp;L</v>
      </c>
    </row>
    <row r="6109" spans="1:13" s="33" customFormat="true" ht="12.75" customHeight="true">
      <c r="A6109" s="33" t="str">
        <f t="shared" si="380"/>
        <v>LOM - PM Expenses</v>
      </c>
      <c r="B6109" s="33" t="str">
        <f t="shared" si="381"/>
        <v>LOM</v>
      </c>
      <c r="C6109" s="33" t="str">
        <f t="shared" si="382"/>
        <v>55504-0000</v>
      </c>
      <c r="D6109" s="64" t="s">
        <v>7210</v>
      </c>
      <c r="E6109" s="64" t="s">
        <v>4027</v>
      </c>
      <c r="F6109" s="64" t="s">
        <v>230</v>
      </c>
      <c r="G6109" s="64" t="s">
        <v>3818</v>
      </c>
      <c r="H6109" s="64" t="s">
        <v>3819</v>
      </c>
      <c r="I6109" s="64" t="s">
        <v>4028</v>
      </c>
      <c r="J6109" s="67">
        <v>0</v>
      </c>
      <c r="K6109" s="62">
        <v>400</v>
      </c>
      <c r="L6109" s="33" t="e">
        <f>HLOOKUP(B6109,#REF!,1,0)</f>
        <v>#REF!</v>
      </c>
      <c r="M6109" s="33" t="str">
        <f t="shared" si="383"/>
        <v>P&amp;L</v>
      </c>
    </row>
    <row r="6110" spans="1:13" s="33" customFormat="true" ht="12.75" customHeight="true">
      <c r="A6110" s="33" t="str">
        <f t="shared" si="380"/>
        <v>LOM - PM Expenses</v>
      </c>
      <c r="B6110" s="33" t="str">
        <f t="shared" si="381"/>
        <v>LOM</v>
      </c>
      <c r="C6110" s="33" t="str">
        <f t="shared" si="382"/>
        <v>55505-0000</v>
      </c>
      <c r="D6110" s="64" t="s">
        <v>7211</v>
      </c>
      <c r="E6110" s="64" t="s">
        <v>3828</v>
      </c>
      <c r="F6110" s="64" t="s">
        <v>230</v>
      </c>
      <c r="G6110" s="64" t="s">
        <v>3818</v>
      </c>
      <c r="H6110" s="64" t="s">
        <v>3819</v>
      </c>
      <c r="I6110" s="64" t="s">
        <v>3829</v>
      </c>
      <c r="J6110" s="67">
        <v>0</v>
      </c>
      <c r="K6110" s="62">
        <v>1338.75</v>
      </c>
      <c r="L6110" s="33" t="e">
        <f>HLOOKUP(B6110,#REF!,1,0)</f>
        <v>#REF!</v>
      </c>
      <c r="M6110" s="33" t="str">
        <f t="shared" si="383"/>
        <v>P&amp;L</v>
      </c>
    </row>
    <row r="6111" spans="1:13" s="33" customFormat="true" ht="12.75" customHeight="true">
      <c r="A6111" s="33" t="str">
        <f t="shared" si="380"/>
        <v>LOM - PM Expenses</v>
      </c>
      <c r="B6111" s="33" t="str">
        <f t="shared" si="381"/>
        <v>LOM</v>
      </c>
      <c r="C6111" s="33" t="str">
        <f t="shared" si="382"/>
        <v>55506-0000</v>
      </c>
      <c r="D6111" s="64" t="s">
        <v>7212</v>
      </c>
      <c r="E6111" s="64" t="s">
        <v>3831</v>
      </c>
      <c r="F6111" s="64" t="s">
        <v>230</v>
      </c>
      <c r="G6111" s="64" t="s">
        <v>3818</v>
      </c>
      <c r="H6111" s="64" t="s">
        <v>3819</v>
      </c>
      <c r="I6111" s="64" t="s">
        <v>3832</v>
      </c>
      <c r="J6111" s="67">
        <v>0</v>
      </c>
      <c r="K6111" s="62">
        <v>22305.32</v>
      </c>
      <c r="L6111" s="33" t="e">
        <f>HLOOKUP(B6111,#REF!,1,0)</f>
        <v>#REF!</v>
      </c>
      <c r="M6111" s="33" t="str">
        <f t="shared" si="383"/>
        <v>P&amp;L</v>
      </c>
    </row>
    <row r="6112" spans="1:13" s="33" customFormat="true" ht="12.75" customHeight="true">
      <c r="A6112" s="33" t="str">
        <f t="shared" si="380"/>
        <v>LOM - CGS</v>
      </c>
      <c r="B6112" s="33" t="str">
        <f t="shared" si="381"/>
        <v>LOM</v>
      </c>
      <c r="C6112" s="33" t="str">
        <f t="shared" si="382"/>
        <v>60001-0000</v>
      </c>
      <c r="D6112" s="64" t="s">
        <v>7213</v>
      </c>
      <c r="E6112" s="64" t="s">
        <v>4192</v>
      </c>
      <c r="F6112" s="64" t="s">
        <v>230</v>
      </c>
      <c r="G6112" s="64" t="s">
        <v>3838</v>
      </c>
      <c r="H6112" s="64" t="s">
        <v>1875</v>
      </c>
      <c r="I6112" s="64" t="s">
        <v>4193</v>
      </c>
      <c r="J6112" s="67">
        <v>0</v>
      </c>
      <c r="K6112" s="62">
        <v>1154.98</v>
      </c>
      <c r="L6112" s="33" t="e">
        <f>HLOOKUP(B6112,#REF!,1,0)</f>
        <v>#REF!</v>
      </c>
      <c r="M6112" s="33" t="str">
        <f t="shared" si="383"/>
        <v>P&amp;L</v>
      </c>
    </row>
    <row r="6113" spans="1:13" s="33" customFormat="true" ht="12.75" customHeight="true">
      <c r="A6113" s="33" t="str">
        <f t="shared" si="380"/>
        <v>LOM - CGS</v>
      </c>
      <c r="B6113" s="33" t="str">
        <f t="shared" si="381"/>
        <v>LOM</v>
      </c>
      <c r="C6113" s="33" t="str">
        <f t="shared" si="382"/>
        <v>60002-0000</v>
      </c>
      <c r="D6113" s="64" t="s">
        <v>7214</v>
      </c>
      <c r="E6113" s="64" t="s">
        <v>3837</v>
      </c>
      <c r="F6113" s="64" t="s">
        <v>230</v>
      </c>
      <c r="G6113" s="64" t="s">
        <v>3838</v>
      </c>
      <c r="H6113" s="64" t="s">
        <v>1875</v>
      </c>
      <c r="I6113" s="64" t="s">
        <v>3839</v>
      </c>
      <c r="J6113" s="67">
        <v>66.99</v>
      </c>
      <c r="K6113" s="62">
        <v>966.53</v>
      </c>
      <c r="L6113" s="33" t="e">
        <f>HLOOKUP(B6113,#REF!,1,0)</f>
        <v>#REF!</v>
      </c>
      <c r="M6113" s="33" t="str">
        <f t="shared" si="383"/>
        <v>P&amp;L</v>
      </c>
    </row>
    <row r="6114" spans="1:13" s="33" customFormat="true" ht="12.75" customHeight="true">
      <c r="A6114" s="33" t="str">
        <f t="shared" si="380"/>
        <v>LOM - CGS</v>
      </c>
      <c r="B6114" s="33" t="str">
        <f t="shared" si="381"/>
        <v>LOM</v>
      </c>
      <c r="C6114" s="33" t="str">
        <f t="shared" si="382"/>
        <v>60005-0000</v>
      </c>
      <c r="D6114" s="64" t="s">
        <v>7215</v>
      </c>
      <c r="E6114" s="64" t="s">
        <v>3841</v>
      </c>
      <c r="F6114" s="64" t="s">
        <v>230</v>
      </c>
      <c r="G6114" s="64" t="s">
        <v>3838</v>
      </c>
      <c r="H6114" s="64" t="s">
        <v>1875</v>
      </c>
      <c r="I6114" s="64" t="s">
        <v>3842</v>
      </c>
      <c r="J6114" s="67">
        <v>884.8</v>
      </c>
      <c r="K6114" s="62">
        <v>4937.54</v>
      </c>
      <c r="L6114" s="33" t="e">
        <f>HLOOKUP(B6114,#REF!,1,0)</f>
        <v>#REF!</v>
      </c>
      <c r="M6114" s="33" t="str">
        <f t="shared" si="383"/>
        <v>P&amp;L</v>
      </c>
    </row>
    <row r="6115" spans="1:13" s="33" customFormat="true" ht="12.75" customHeight="true">
      <c r="A6115" s="33" t="str">
        <f t="shared" si="380"/>
        <v>LOM - Interest Expense</v>
      </c>
      <c r="B6115" s="33" t="str">
        <f t="shared" si="381"/>
        <v>LOM</v>
      </c>
      <c r="C6115" s="33" t="str">
        <f t="shared" si="382"/>
        <v>60006-0000</v>
      </c>
      <c r="D6115" s="64" t="s">
        <v>7216</v>
      </c>
      <c r="E6115" s="64" t="s">
        <v>3325</v>
      </c>
      <c r="F6115" s="64" t="s">
        <v>230</v>
      </c>
      <c r="G6115" s="64" t="s">
        <v>3844</v>
      </c>
      <c r="H6115" s="64" t="s">
        <v>3327</v>
      </c>
      <c r="I6115" s="64" t="s">
        <v>3328</v>
      </c>
      <c r="J6115" s="67">
        <v>7792.17</v>
      </c>
      <c r="K6115" s="62">
        <v>78517.96</v>
      </c>
      <c r="L6115" s="33" t="e">
        <f>HLOOKUP(B6115,#REF!,1,0)</f>
        <v>#REF!</v>
      </c>
      <c r="M6115" s="33" t="str">
        <f t="shared" si="383"/>
        <v>P&amp;L</v>
      </c>
    </row>
    <row r="6116" spans="1:13" s="33" customFormat="true" ht="12.75" customHeight="true">
      <c r="A6116" s="33" t="str">
        <f t="shared" si="380"/>
        <v>LOM - CGS</v>
      </c>
      <c r="B6116" s="33" t="str">
        <f t="shared" si="381"/>
        <v>LOM</v>
      </c>
      <c r="C6116" s="33" t="str">
        <f t="shared" si="382"/>
        <v>60007-0000</v>
      </c>
      <c r="D6116" s="64" t="s">
        <v>7217</v>
      </c>
      <c r="E6116" s="64" t="s">
        <v>3846</v>
      </c>
      <c r="F6116" s="64" t="s">
        <v>230</v>
      </c>
      <c r="G6116" s="64" t="s">
        <v>3838</v>
      </c>
      <c r="H6116" s="64" t="s">
        <v>1875</v>
      </c>
      <c r="I6116" s="64" t="s">
        <v>3847</v>
      </c>
      <c r="J6116" s="67">
        <v>-3993</v>
      </c>
      <c r="K6116" s="62">
        <v>46808</v>
      </c>
      <c r="L6116" s="33" t="e">
        <f>HLOOKUP(B6116,#REF!,1,0)</f>
        <v>#REF!</v>
      </c>
      <c r="M6116" s="33" t="str">
        <f t="shared" si="383"/>
        <v>P&amp;L</v>
      </c>
    </row>
    <row r="6117" spans="1:13" s="33" customFormat="true" ht="12.75" customHeight="true">
      <c r="A6117" s="33" t="str">
        <f t="shared" si="380"/>
        <v>LOM - CGS</v>
      </c>
      <c r="B6117" s="33" t="str">
        <f t="shared" si="381"/>
        <v>LOM</v>
      </c>
      <c r="C6117" s="33" t="str">
        <f t="shared" si="382"/>
        <v>60011-0000</v>
      </c>
      <c r="D6117" s="64" t="s">
        <v>7218</v>
      </c>
      <c r="E6117" s="64" t="s">
        <v>4199</v>
      </c>
      <c r="F6117" s="64" t="s">
        <v>230</v>
      </c>
      <c r="G6117" s="64" t="s">
        <v>3838</v>
      </c>
      <c r="H6117" s="64" t="s">
        <v>1875</v>
      </c>
      <c r="I6117" s="64" t="s">
        <v>4200</v>
      </c>
      <c r="J6117" s="67">
        <v>0</v>
      </c>
      <c r="K6117" s="62">
        <v>430.73</v>
      </c>
      <c r="L6117" s="33" t="e">
        <f>HLOOKUP(B6117,#REF!,1,0)</f>
        <v>#REF!</v>
      </c>
      <c r="M6117" s="33" t="str">
        <f t="shared" si="383"/>
        <v>P&amp;L</v>
      </c>
    </row>
    <row r="6118" spans="1:13" s="33" customFormat="true" ht="12.75" customHeight="true">
      <c r="A6118" s="33" t="str">
        <f t="shared" si="380"/>
        <v>LOM - CGS</v>
      </c>
      <c r="B6118" s="33" t="str">
        <f t="shared" si="381"/>
        <v>LOM</v>
      </c>
      <c r="C6118" s="33" t="str">
        <f t="shared" si="382"/>
        <v>60012-0000</v>
      </c>
      <c r="D6118" s="64" t="s">
        <v>7219</v>
      </c>
      <c r="E6118" s="64" t="s">
        <v>3852</v>
      </c>
      <c r="F6118" s="64" t="s">
        <v>230</v>
      </c>
      <c r="G6118" s="64" t="s">
        <v>3838</v>
      </c>
      <c r="H6118" s="64" t="s">
        <v>1875</v>
      </c>
      <c r="I6118" s="64" t="s">
        <v>3853</v>
      </c>
      <c r="J6118" s="67">
        <v>0</v>
      </c>
      <c r="K6118" s="62">
        <v>23818.75</v>
      </c>
      <c r="L6118" s="33" t="e">
        <f>HLOOKUP(B6118,#REF!,1,0)</f>
        <v>#REF!</v>
      </c>
      <c r="M6118" s="33" t="str">
        <f t="shared" si="383"/>
        <v>P&amp;L</v>
      </c>
    </row>
    <row r="6119" spans="1:13" s="33" customFormat="true" ht="12.75" customHeight="true">
      <c r="A6119" s="33" t="str">
        <f t="shared" si="380"/>
        <v>LOM - CGS</v>
      </c>
      <c r="B6119" s="33" t="str">
        <f t="shared" si="381"/>
        <v>LOM</v>
      </c>
      <c r="C6119" s="33" t="str">
        <f t="shared" si="382"/>
        <v>60014-0000</v>
      </c>
      <c r="D6119" s="64" t="s">
        <v>7220</v>
      </c>
      <c r="E6119" s="64" t="s">
        <v>3855</v>
      </c>
      <c r="F6119" s="64" t="s">
        <v>230</v>
      </c>
      <c r="G6119" s="64" t="s">
        <v>3838</v>
      </c>
      <c r="H6119" s="64" t="s">
        <v>1875</v>
      </c>
      <c r="I6119" s="64" t="s">
        <v>3856</v>
      </c>
      <c r="J6119" s="67">
        <v>1831.11</v>
      </c>
      <c r="K6119" s="62">
        <v>17926.61</v>
      </c>
      <c r="L6119" s="33" t="e">
        <f>HLOOKUP(B6119,#REF!,1,0)</f>
        <v>#REF!</v>
      </c>
      <c r="M6119" s="33" t="str">
        <f t="shared" si="383"/>
        <v>P&amp;L</v>
      </c>
    </row>
    <row r="6120" spans="1:13" s="33" customFormat="true" ht="12.75" customHeight="true">
      <c r="A6120" s="33" t="str">
        <f t="shared" si="380"/>
        <v>LOM - CGS</v>
      </c>
      <c r="B6120" s="33" t="str">
        <f t="shared" si="381"/>
        <v>LOM</v>
      </c>
      <c r="C6120" s="33" t="str">
        <f t="shared" si="382"/>
        <v>61016-0000</v>
      </c>
      <c r="D6120" s="64" t="s">
        <v>7221</v>
      </c>
      <c r="E6120" s="64" t="s">
        <v>3861</v>
      </c>
      <c r="F6120" s="64" t="s">
        <v>230</v>
      </c>
      <c r="G6120" s="64" t="s">
        <v>3838</v>
      </c>
      <c r="H6120" s="64" t="s">
        <v>1875</v>
      </c>
      <c r="I6120" s="64" t="s">
        <v>3862</v>
      </c>
      <c r="J6120" s="67">
        <v>0</v>
      </c>
      <c r="K6120" s="62">
        <v>100</v>
      </c>
      <c r="L6120" s="33" t="e">
        <f>HLOOKUP(B6120,#REF!,1,0)</f>
        <v>#REF!</v>
      </c>
      <c r="M6120" s="33" t="str">
        <f t="shared" si="383"/>
        <v>P&amp;L</v>
      </c>
    </row>
    <row r="6121" spans="1:13" s="33" customFormat="true" ht="12.75" customHeight="true">
      <c r="A6121" s="33" t="str">
        <f t="shared" si="380"/>
        <v>LOM - Income Tax</v>
      </c>
      <c r="B6121" s="33" t="str">
        <f t="shared" si="381"/>
        <v>LOM</v>
      </c>
      <c r="C6121" s="33" t="str">
        <f t="shared" si="382"/>
        <v>61019-0000</v>
      </c>
      <c r="D6121" s="64" t="s">
        <v>7222</v>
      </c>
      <c r="E6121" s="64" t="s">
        <v>4041</v>
      </c>
      <c r="F6121" s="64" t="s">
        <v>230</v>
      </c>
      <c r="G6121" s="64" t="s">
        <v>3844</v>
      </c>
      <c r="H6121" s="64" t="s">
        <v>3378</v>
      </c>
      <c r="I6121" s="64" t="s">
        <v>4042</v>
      </c>
      <c r="J6121" s="67">
        <v>0</v>
      </c>
      <c r="K6121" s="62">
        <v>2854.42</v>
      </c>
      <c r="L6121" s="33" t="e">
        <f>HLOOKUP(B6121,#REF!,1,0)</f>
        <v>#REF!</v>
      </c>
      <c r="M6121" s="33" t="str">
        <f t="shared" si="383"/>
        <v>P&amp;L</v>
      </c>
    </row>
    <row r="6122" spans="1:13" s="33" customFormat="true" ht="12.75" customHeight="true">
      <c r="A6122" s="33" t="str">
        <f t="shared" si="380"/>
        <v>LPI - Revenue</v>
      </c>
      <c r="B6122" s="33" t="str">
        <f t="shared" si="381"/>
        <v>LPI</v>
      </c>
      <c r="C6122" s="33" t="str">
        <f t="shared" si="382"/>
        <v>40110-0001</v>
      </c>
      <c r="D6122" s="64" t="s">
        <v>7223</v>
      </c>
      <c r="E6122" s="64" t="s">
        <v>3683</v>
      </c>
      <c r="F6122" s="64" t="s">
        <v>230</v>
      </c>
      <c r="G6122" s="64" t="s">
        <v>3684</v>
      </c>
      <c r="H6122" s="64" t="s">
        <v>2871</v>
      </c>
      <c r="I6122" s="64" t="s">
        <v>3685</v>
      </c>
      <c r="J6122" s="67">
        <v>-3350</v>
      </c>
      <c r="K6122" s="62">
        <v>-33500</v>
      </c>
      <c r="L6122" s="33" t="e">
        <f>HLOOKUP(B6122,#REF!,1,0)</f>
        <v>#REF!</v>
      </c>
      <c r="M6122" s="33" t="str">
        <f t="shared" si="383"/>
        <v>P&amp;L</v>
      </c>
    </row>
    <row r="6123" spans="1:13" s="33" customFormat="true" ht="12.75" customHeight="true">
      <c r="A6123" s="33" t="str">
        <f t="shared" si="380"/>
        <v>LPI - Revenue</v>
      </c>
      <c r="B6123" s="33" t="str">
        <f t="shared" si="381"/>
        <v>LPI</v>
      </c>
      <c r="C6123" s="33" t="str">
        <f t="shared" si="382"/>
        <v>40110-0002</v>
      </c>
      <c r="D6123" s="64" t="s">
        <v>7224</v>
      </c>
      <c r="E6123" s="64" t="s">
        <v>3683</v>
      </c>
      <c r="F6123" s="64" t="s">
        <v>230</v>
      </c>
      <c r="G6123" s="64" t="s">
        <v>3684</v>
      </c>
      <c r="H6123" s="64" t="s">
        <v>2871</v>
      </c>
      <c r="I6123" s="64" t="s">
        <v>3685</v>
      </c>
      <c r="J6123" s="67">
        <v>-3200</v>
      </c>
      <c r="K6123" s="62">
        <v>-32000</v>
      </c>
      <c r="L6123" s="33" t="e">
        <f>HLOOKUP(B6123,#REF!,1,0)</f>
        <v>#REF!</v>
      </c>
      <c r="M6123" s="33" t="str">
        <f t="shared" si="383"/>
        <v>P&amp;L</v>
      </c>
    </row>
    <row r="6124" spans="1:13" s="33" customFormat="true" ht="12.75" customHeight="true">
      <c r="A6124" s="33" t="str">
        <f t="shared" si="380"/>
        <v>LPI - Revenue</v>
      </c>
      <c r="B6124" s="33" t="str">
        <f t="shared" si="381"/>
        <v>LPI</v>
      </c>
      <c r="C6124" s="33" t="str">
        <f t="shared" si="382"/>
        <v>40110-0003</v>
      </c>
      <c r="D6124" s="64" t="s">
        <v>7225</v>
      </c>
      <c r="E6124" s="64" t="s">
        <v>3683</v>
      </c>
      <c r="F6124" s="64" t="s">
        <v>230</v>
      </c>
      <c r="G6124" s="64" t="s">
        <v>3684</v>
      </c>
      <c r="H6124" s="64" t="s">
        <v>2871</v>
      </c>
      <c r="I6124" s="64" t="s">
        <v>3685</v>
      </c>
      <c r="J6124" s="67">
        <v>-3200</v>
      </c>
      <c r="K6124" s="62">
        <v>-32000</v>
      </c>
      <c r="L6124" s="33" t="e">
        <f>HLOOKUP(B6124,#REF!,1,0)</f>
        <v>#REF!</v>
      </c>
      <c r="M6124" s="33" t="str">
        <f t="shared" si="383"/>
        <v>P&amp;L</v>
      </c>
    </row>
    <row r="6125" spans="1:13" s="33" customFormat="true" ht="12.75" customHeight="true">
      <c r="A6125" s="33" t="str">
        <f t="shared" si="380"/>
        <v>LPI - Revenue</v>
      </c>
      <c r="B6125" s="33" t="str">
        <f t="shared" si="381"/>
        <v>LPI</v>
      </c>
      <c r="C6125" s="33" t="str">
        <f t="shared" si="382"/>
        <v>40110-0004</v>
      </c>
      <c r="D6125" s="64" t="s">
        <v>7226</v>
      </c>
      <c r="E6125" s="64" t="s">
        <v>3683</v>
      </c>
      <c r="F6125" s="64" t="s">
        <v>230</v>
      </c>
      <c r="G6125" s="64" t="s">
        <v>3684</v>
      </c>
      <c r="H6125" s="64" t="s">
        <v>2871</v>
      </c>
      <c r="I6125" s="64" t="s">
        <v>3685</v>
      </c>
      <c r="J6125" s="67">
        <v>-4099</v>
      </c>
      <c r="K6125" s="62">
        <v>-40990</v>
      </c>
      <c r="L6125" s="33" t="e">
        <f>HLOOKUP(B6125,#REF!,1,0)</f>
        <v>#REF!</v>
      </c>
      <c r="M6125" s="33" t="str">
        <f t="shared" si="383"/>
        <v>P&amp;L</v>
      </c>
    </row>
    <row r="6126" spans="1:13" s="33" customFormat="true" ht="12.75" customHeight="true">
      <c r="A6126" s="33" t="str">
        <f t="shared" si="380"/>
        <v>LPI - Revenue</v>
      </c>
      <c r="B6126" s="33" t="str">
        <f t="shared" si="381"/>
        <v>LPI</v>
      </c>
      <c r="C6126" s="33" t="str">
        <f t="shared" si="382"/>
        <v>40110-0005</v>
      </c>
      <c r="D6126" s="64" t="s">
        <v>7227</v>
      </c>
      <c r="E6126" s="64" t="s">
        <v>3683</v>
      </c>
      <c r="F6126" s="64" t="s">
        <v>230</v>
      </c>
      <c r="G6126" s="64" t="s">
        <v>3684</v>
      </c>
      <c r="H6126" s="64" t="s">
        <v>2871</v>
      </c>
      <c r="I6126" s="64" t="s">
        <v>3685</v>
      </c>
      <c r="J6126" s="67">
        <v>-1825</v>
      </c>
      <c r="K6126" s="62">
        <v>-18250</v>
      </c>
      <c r="L6126" s="33" t="e">
        <f>HLOOKUP(B6126,#REF!,1,0)</f>
        <v>#REF!</v>
      </c>
      <c r="M6126" s="33" t="str">
        <f t="shared" si="383"/>
        <v>P&amp;L</v>
      </c>
    </row>
    <row r="6127" spans="1:13" s="33" customFormat="true" ht="12.75" customHeight="true">
      <c r="A6127" s="33" t="str">
        <f t="shared" si="380"/>
        <v>LPI - Revenue</v>
      </c>
      <c r="B6127" s="33" t="str">
        <f t="shared" si="381"/>
        <v>LPI</v>
      </c>
      <c r="C6127" s="33" t="str">
        <f t="shared" si="382"/>
        <v>40120-0002</v>
      </c>
      <c r="D6127" s="64" t="s">
        <v>7228</v>
      </c>
      <c r="E6127" s="64" t="s">
        <v>3687</v>
      </c>
      <c r="F6127" s="64" t="s">
        <v>230</v>
      </c>
      <c r="G6127" s="64" t="s">
        <v>3684</v>
      </c>
      <c r="H6127" s="64" t="s">
        <v>2871</v>
      </c>
      <c r="I6127" s="64" t="s">
        <v>3688</v>
      </c>
      <c r="J6127" s="67">
        <v>-495</v>
      </c>
      <c r="K6127" s="62">
        <v>-3465</v>
      </c>
      <c r="L6127" s="33" t="e">
        <f>HLOOKUP(B6127,#REF!,1,0)</f>
        <v>#REF!</v>
      </c>
      <c r="M6127" s="33" t="str">
        <f t="shared" si="383"/>
        <v>P&amp;L</v>
      </c>
    </row>
    <row r="6128" spans="1:13" s="33" customFormat="true" ht="12.75" customHeight="true">
      <c r="A6128" s="33" t="str">
        <f t="shared" si="380"/>
        <v>LPI - Revenue</v>
      </c>
      <c r="B6128" s="33" t="str">
        <f t="shared" si="381"/>
        <v>LPI</v>
      </c>
      <c r="C6128" s="33" t="str">
        <f t="shared" si="382"/>
        <v>40130-0001</v>
      </c>
      <c r="D6128" s="64" t="s">
        <v>7229</v>
      </c>
      <c r="E6128" s="64" t="s">
        <v>3690</v>
      </c>
      <c r="F6128" s="64" t="s">
        <v>230</v>
      </c>
      <c r="G6128" s="64" t="s">
        <v>3684</v>
      </c>
      <c r="H6128" s="64" t="s">
        <v>2871</v>
      </c>
      <c r="I6128" s="64" t="s">
        <v>3691</v>
      </c>
      <c r="J6128" s="67">
        <v>-200</v>
      </c>
      <c r="K6128" s="62">
        <v>-1200</v>
      </c>
      <c r="L6128" s="33" t="e">
        <f>HLOOKUP(B6128,#REF!,1,0)</f>
        <v>#REF!</v>
      </c>
      <c r="M6128" s="33" t="str">
        <f t="shared" si="383"/>
        <v>P&amp;L</v>
      </c>
    </row>
    <row r="6129" spans="1:13" s="33" customFormat="true" ht="12.75" customHeight="true">
      <c r="A6129" s="33" t="str">
        <f t="shared" si="380"/>
        <v>LPI - Revenue</v>
      </c>
      <c r="B6129" s="33" t="str">
        <f t="shared" si="381"/>
        <v>LPI</v>
      </c>
      <c r="C6129" s="33" t="str">
        <f t="shared" si="382"/>
        <v>40130-0004</v>
      </c>
      <c r="D6129" s="64" t="s">
        <v>7230</v>
      </c>
      <c r="E6129" s="64" t="s">
        <v>3690</v>
      </c>
      <c r="F6129" s="64" t="s">
        <v>230</v>
      </c>
      <c r="G6129" s="64" t="s">
        <v>3684</v>
      </c>
      <c r="H6129" s="64" t="s">
        <v>2871</v>
      </c>
      <c r="I6129" s="64" t="s">
        <v>3691</v>
      </c>
      <c r="J6129" s="67">
        <v>0</v>
      </c>
      <c r="K6129" s="62">
        <v>0</v>
      </c>
      <c r="L6129" s="33" t="e">
        <f>HLOOKUP(B6129,#REF!,1,0)</f>
        <v>#REF!</v>
      </c>
      <c r="M6129" s="33" t="str">
        <f t="shared" si="383"/>
        <v>P&amp;L</v>
      </c>
    </row>
    <row r="6130" spans="1:13" s="33" customFormat="true" ht="12.75" customHeight="true">
      <c r="A6130" s="33" t="str">
        <f t="shared" si="380"/>
        <v>LPI - Revenue</v>
      </c>
      <c r="B6130" s="33" t="str">
        <f t="shared" si="381"/>
        <v>LPI</v>
      </c>
      <c r="C6130" s="33" t="str">
        <f t="shared" si="382"/>
        <v>41110-0002</v>
      </c>
      <c r="D6130" s="64" t="s">
        <v>7231</v>
      </c>
      <c r="E6130" s="64" t="s">
        <v>3693</v>
      </c>
      <c r="F6130" s="64" t="s">
        <v>230</v>
      </c>
      <c r="G6130" s="64" t="s">
        <v>3694</v>
      </c>
      <c r="H6130" s="64" t="s">
        <v>2871</v>
      </c>
      <c r="I6130" s="64" t="s">
        <v>3695</v>
      </c>
      <c r="J6130" s="67">
        <v>0</v>
      </c>
      <c r="K6130" s="62">
        <v>9600</v>
      </c>
      <c r="L6130" s="33" t="e">
        <f>HLOOKUP(B6130,#REF!,1,0)</f>
        <v>#REF!</v>
      </c>
      <c r="M6130" s="33" t="str">
        <f t="shared" si="383"/>
        <v>P&amp;L</v>
      </c>
    </row>
    <row r="6131" spans="1:13" s="33" customFormat="true" ht="12.75" customHeight="true">
      <c r="A6131" s="33" t="str">
        <f t="shared" si="380"/>
        <v>LPI - Revenue</v>
      </c>
      <c r="B6131" s="33" t="str">
        <f t="shared" si="381"/>
        <v>LPI</v>
      </c>
      <c r="C6131" s="33" t="str">
        <f t="shared" si="382"/>
        <v>41121-0002</v>
      </c>
      <c r="D6131" s="64" t="s">
        <v>7232</v>
      </c>
      <c r="E6131" s="64" t="s">
        <v>3697</v>
      </c>
      <c r="F6131" s="64" t="s">
        <v>230</v>
      </c>
      <c r="G6131" s="64" t="s">
        <v>3694</v>
      </c>
      <c r="H6131" s="64" t="s">
        <v>2871</v>
      </c>
      <c r="I6131" s="64" t="s">
        <v>3698</v>
      </c>
      <c r="J6131" s="67">
        <v>0</v>
      </c>
      <c r="K6131" s="62">
        <v>45</v>
      </c>
      <c r="L6131" s="33" t="e">
        <f>HLOOKUP(B6131,#REF!,1,0)</f>
        <v>#REF!</v>
      </c>
      <c r="M6131" s="33" t="str">
        <f t="shared" si="383"/>
        <v>P&amp;L</v>
      </c>
    </row>
    <row r="6132" spans="1:13" s="33" customFormat="true" ht="12.75" customHeight="true">
      <c r="A6132" s="33" t="str">
        <f t="shared" si="380"/>
        <v>LPI - Revenue</v>
      </c>
      <c r="B6132" s="33" t="str">
        <f t="shared" si="381"/>
        <v>LPI</v>
      </c>
      <c r="C6132" s="33" t="str">
        <f t="shared" si="382"/>
        <v>41121-0003</v>
      </c>
      <c r="D6132" s="64" t="s">
        <v>7233</v>
      </c>
      <c r="E6132" s="64" t="s">
        <v>3697</v>
      </c>
      <c r="F6132" s="64" t="s">
        <v>230</v>
      </c>
      <c r="G6132" s="64" t="s">
        <v>3694</v>
      </c>
      <c r="H6132" s="64" t="s">
        <v>2871</v>
      </c>
      <c r="I6132" s="64" t="s">
        <v>3698</v>
      </c>
      <c r="J6132" s="67">
        <v>0</v>
      </c>
      <c r="K6132" s="62">
        <v>11350</v>
      </c>
      <c r="L6132" s="33" t="e">
        <f>HLOOKUP(B6132,#REF!,1,0)</f>
        <v>#REF!</v>
      </c>
      <c r="M6132" s="33" t="str">
        <f t="shared" si="383"/>
        <v>P&amp;L</v>
      </c>
    </row>
    <row r="6133" spans="1:13" s="33" customFormat="true" ht="12.75" customHeight="true">
      <c r="A6133" s="33" t="str">
        <f t="shared" si="380"/>
        <v>LPI - Revenue</v>
      </c>
      <c r="B6133" s="33" t="str">
        <f t="shared" si="381"/>
        <v>LPI</v>
      </c>
      <c r="C6133" s="33" t="str">
        <f t="shared" si="382"/>
        <v>41121-0004</v>
      </c>
      <c r="D6133" s="64" t="s">
        <v>7234</v>
      </c>
      <c r="E6133" s="64" t="s">
        <v>3697</v>
      </c>
      <c r="F6133" s="64" t="s">
        <v>230</v>
      </c>
      <c r="G6133" s="64" t="s">
        <v>3694</v>
      </c>
      <c r="H6133" s="64" t="s">
        <v>2871</v>
      </c>
      <c r="I6133" s="64" t="s">
        <v>3698</v>
      </c>
      <c r="J6133" s="67">
        <v>0</v>
      </c>
      <c r="K6133" s="62">
        <v>11297</v>
      </c>
      <c r="L6133" s="33" t="e">
        <f>HLOOKUP(B6133,#REF!,1,0)</f>
        <v>#REF!</v>
      </c>
      <c r="M6133" s="33" t="str">
        <f t="shared" si="383"/>
        <v>P&amp;L</v>
      </c>
    </row>
    <row r="6134" spans="1:13" s="33" customFormat="true" ht="12.75" customHeight="true">
      <c r="A6134" s="33" t="str">
        <f t="shared" si="380"/>
        <v>LPI - Revenue</v>
      </c>
      <c r="B6134" s="33" t="str">
        <f t="shared" si="381"/>
        <v>LPI</v>
      </c>
      <c r="C6134" s="33" t="str">
        <f t="shared" si="382"/>
        <v>41121-0005</v>
      </c>
      <c r="D6134" s="64" t="s">
        <v>7235</v>
      </c>
      <c r="E6134" s="64" t="s">
        <v>3697</v>
      </c>
      <c r="F6134" s="64" t="s">
        <v>230</v>
      </c>
      <c r="G6134" s="64" t="s">
        <v>3694</v>
      </c>
      <c r="H6134" s="64" t="s">
        <v>2871</v>
      </c>
      <c r="I6134" s="64" t="s">
        <v>3698</v>
      </c>
      <c r="J6134" s="67">
        <v>0</v>
      </c>
      <c r="K6134" s="62">
        <v>0</v>
      </c>
      <c r="L6134" s="33" t="e">
        <f>HLOOKUP(B6134,#REF!,1,0)</f>
        <v>#REF!</v>
      </c>
      <c r="M6134" s="33" t="str">
        <f t="shared" si="383"/>
        <v>P&amp;L</v>
      </c>
    </row>
    <row r="6135" spans="1:13" s="33" customFormat="true" ht="12.75" customHeight="true">
      <c r="A6135" s="33" t="str">
        <f t="shared" si="380"/>
        <v>LPI - Revenue</v>
      </c>
      <c r="B6135" s="33" t="str">
        <f t="shared" si="381"/>
        <v>LPI</v>
      </c>
      <c r="C6135" s="33" t="str">
        <f t="shared" si="382"/>
        <v>41122-0001</v>
      </c>
      <c r="D6135" s="64" t="s">
        <v>7236</v>
      </c>
      <c r="E6135" s="64" t="s">
        <v>3700</v>
      </c>
      <c r="F6135" s="64" t="s">
        <v>230</v>
      </c>
      <c r="G6135" s="64" t="s">
        <v>3694</v>
      </c>
      <c r="H6135" s="64" t="s">
        <v>2871</v>
      </c>
      <c r="I6135" s="64" t="s">
        <v>3701</v>
      </c>
      <c r="J6135" s="67">
        <v>0</v>
      </c>
      <c r="K6135" s="62">
        <v>0</v>
      </c>
      <c r="L6135" s="33" t="e">
        <f>HLOOKUP(B6135,#REF!,1,0)</f>
        <v>#REF!</v>
      </c>
      <c r="M6135" s="33" t="str">
        <f t="shared" si="383"/>
        <v>P&amp;L</v>
      </c>
    </row>
    <row r="6136" spans="1:13" s="33" customFormat="true" ht="12.75" customHeight="true">
      <c r="A6136" s="33" t="str">
        <f t="shared" si="380"/>
        <v>LPI - Revenue</v>
      </c>
      <c r="B6136" s="33" t="str">
        <f t="shared" si="381"/>
        <v>LPI</v>
      </c>
      <c r="C6136" s="33" t="str">
        <f t="shared" si="382"/>
        <v>41122-0002</v>
      </c>
      <c r="D6136" s="64" t="s">
        <v>7237</v>
      </c>
      <c r="E6136" s="64" t="s">
        <v>3700</v>
      </c>
      <c r="F6136" s="64" t="s">
        <v>230</v>
      </c>
      <c r="G6136" s="64" t="s">
        <v>3694</v>
      </c>
      <c r="H6136" s="64" t="s">
        <v>2871</v>
      </c>
      <c r="I6136" s="64" t="s">
        <v>3701</v>
      </c>
      <c r="J6136" s="67">
        <v>1195</v>
      </c>
      <c r="K6136" s="62">
        <v>209.67</v>
      </c>
      <c r="L6136" s="33" t="e">
        <f>HLOOKUP(B6136,#REF!,1,0)</f>
        <v>#REF!</v>
      </c>
      <c r="M6136" s="33" t="str">
        <f t="shared" si="383"/>
        <v>P&amp;L</v>
      </c>
    </row>
    <row r="6137" spans="1:13" s="33" customFormat="true" ht="12.75" customHeight="true">
      <c r="A6137" s="33" t="str">
        <f t="shared" si="380"/>
        <v>LPI - Revenue</v>
      </c>
      <c r="B6137" s="33" t="str">
        <f t="shared" si="381"/>
        <v>LPI</v>
      </c>
      <c r="C6137" s="33" t="str">
        <f t="shared" si="382"/>
        <v>41122-0003</v>
      </c>
      <c r="D6137" s="64" t="s">
        <v>7238</v>
      </c>
      <c r="E6137" s="64" t="s">
        <v>3700</v>
      </c>
      <c r="F6137" s="64" t="s">
        <v>230</v>
      </c>
      <c r="G6137" s="64" t="s">
        <v>3694</v>
      </c>
      <c r="H6137" s="64" t="s">
        <v>2871</v>
      </c>
      <c r="I6137" s="64" t="s">
        <v>3701</v>
      </c>
      <c r="J6137" s="67">
        <v>2750</v>
      </c>
      <c r="K6137" s="62">
        <v>-5450</v>
      </c>
      <c r="L6137" s="33" t="e">
        <f>HLOOKUP(B6137,#REF!,1,0)</f>
        <v>#REF!</v>
      </c>
      <c r="M6137" s="33" t="str">
        <f t="shared" si="383"/>
        <v>P&amp;L</v>
      </c>
    </row>
    <row r="6138" spans="1:13" s="33" customFormat="true" ht="12.75" customHeight="true">
      <c r="A6138" s="33" t="str">
        <f t="shared" si="380"/>
        <v>LPI - Revenue</v>
      </c>
      <c r="B6138" s="33" t="str">
        <f t="shared" si="381"/>
        <v>LPI</v>
      </c>
      <c r="C6138" s="33" t="str">
        <f t="shared" si="382"/>
        <v>41122-0004</v>
      </c>
      <c r="D6138" s="64" t="s">
        <v>7239</v>
      </c>
      <c r="E6138" s="64" t="s">
        <v>3700</v>
      </c>
      <c r="F6138" s="64" t="s">
        <v>230</v>
      </c>
      <c r="G6138" s="64" t="s">
        <v>3694</v>
      </c>
      <c r="H6138" s="64" t="s">
        <v>2871</v>
      </c>
      <c r="I6138" s="64" t="s">
        <v>3701</v>
      </c>
      <c r="J6138" s="67">
        <v>3099</v>
      </c>
      <c r="K6138" s="62">
        <v>-8099</v>
      </c>
      <c r="L6138" s="33" t="e">
        <f>HLOOKUP(B6138,#REF!,1,0)</f>
        <v>#REF!</v>
      </c>
      <c r="M6138" s="33" t="str">
        <f t="shared" si="383"/>
        <v>P&amp;L</v>
      </c>
    </row>
    <row r="6139" spans="1:13" s="33" customFormat="true" ht="12.75" customHeight="true">
      <c r="A6139" s="33" t="str">
        <f t="shared" si="380"/>
        <v>LPI - Revenue</v>
      </c>
      <c r="B6139" s="33" t="str">
        <f t="shared" si="381"/>
        <v>LPI</v>
      </c>
      <c r="C6139" s="33" t="str">
        <f t="shared" si="382"/>
        <v>41122-0005</v>
      </c>
      <c r="D6139" s="64" t="s">
        <v>7240</v>
      </c>
      <c r="E6139" s="64" t="s">
        <v>3700</v>
      </c>
      <c r="F6139" s="64" t="s">
        <v>230</v>
      </c>
      <c r="G6139" s="64" t="s">
        <v>3694</v>
      </c>
      <c r="H6139" s="64" t="s">
        <v>2871</v>
      </c>
      <c r="I6139" s="64" t="s">
        <v>3701</v>
      </c>
      <c r="J6139" s="67">
        <v>0</v>
      </c>
      <c r="K6139" s="62">
        <v>0</v>
      </c>
      <c r="L6139" s="33" t="e">
        <f>HLOOKUP(B6139,#REF!,1,0)</f>
        <v>#REF!</v>
      </c>
      <c r="M6139" s="33" t="str">
        <f t="shared" si="383"/>
        <v>P&amp;L</v>
      </c>
    </row>
    <row r="6140" spans="1:13" s="33" customFormat="true" ht="12.75" customHeight="true">
      <c r="A6140" s="33" t="str">
        <f t="shared" si="380"/>
        <v>LPI - Revenue</v>
      </c>
      <c r="B6140" s="33" t="str">
        <f t="shared" si="381"/>
        <v>LPI</v>
      </c>
      <c r="C6140" s="33" t="str">
        <f t="shared" si="382"/>
        <v>41130-0004</v>
      </c>
      <c r="D6140" s="64" t="s">
        <v>7241</v>
      </c>
      <c r="E6140" s="64" t="s">
        <v>3703</v>
      </c>
      <c r="F6140" s="64" t="s">
        <v>230</v>
      </c>
      <c r="G6140" s="64" t="s">
        <v>3694</v>
      </c>
      <c r="H6140" s="64" t="s">
        <v>2871</v>
      </c>
      <c r="I6140" s="64" t="s">
        <v>3704</v>
      </c>
      <c r="J6140" s="67">
        <v>0</v>
      </c>
      <c r="K6140" s="62">
        <v>0</v>
      </c>
      <c r="L6140" s="33" t="e">
        <f>HLOOKUP(B6140,#REF!,1,0)</f>
        <v>#REF!</v>
      </c>
      <c r="M6140" s="33" t="str">
        <f t="shared" si="383"/>
        <v>P&amp;L</v>
      </c>
    </row>
    <row r="6141" spans="1:13" s="33" customFormat="true" ht="12.75" customHeight="true">
      <c r="A6141" s="33" t="str">
        <f t="shared" si="380"/>
        <v>LPI - Revenue</v>
      </c>
      <c r="B6141" s="33" t="str">
        <f t="shared" si="381"/>
        <v>LPI</v>
      </c>
      <c r="C6141" s="33" t="str">
        <f t="shared" si="382"/>
        <v>41130-0005</v>
      </c>
      <c r="D6141" s="64" t="s">
        <v>7242</v>
      </c>
      <c r="E6141" s="64" t="s">
        <v>3703</v>
      </c>
      <c r="F6141" s="64" t="s">
        <v>230</v>
      </c>
      <c r="G6141" s="64" t="s">
        <v>3694</v>
      </c>
      <c r="H6141" s="64" t="s">
        <v>2871</v>
      </c>
      <c r="I6141" s="64" t="s">
        <v>3704</v>
      </c>
      <c r="J6141" s="67">
        <v>-157</v>
      </c>
      <c r="K6141" s="62">
        <v>-942</v>
      </c>
      <c r="L6141" s="33" t="e">
        <f>HLOOKUP(B6141,#REF!,1,0)</f>
        <v>#REF!</v>
      </c>
      <c r="M6141" s="33" t="str">
        <f t="shared" si="383"/>
        <v>P&amp;L</v>
      </c>
    </row>
    <row r="6142" spans="1:13" s="33" customFormat="true" ht="12.75" customHeight="true">
      <c r="A6142" s="33" t="str">
        <f t="shared" si="380"/>
        <v>LPI - Revenue</v>
      </c>
      <c r="B6142" s="33" t="str">
        <f t="shared" si="381"/>
        <v>LPI</v>
      </c>
      <c r="C6142" s="33" t="str">
        <f t="shared" si="382"/>
        <v>41999-0001</v>
      </c>
      <c r="D6142" s="64" t="s">
        <v>7243</v>
      </c>
      <c r="E6142" s="64" t="s">
        <v>7244</v>
      </c>
      <c r="F6142" s="64" t="s">
        <v>230</v>
      </c>
      <c r="G6142" s="64" t="s">
        <v>3713</v>
      </c>
      <c r="H6142" s="64" t="s">
        <v>2871</v>
      </c>
      <c r="I6142" s="64" t="s">
        <v>3714</v>
      </c>
      <c r="J6142" s="67">
        <v>3550</v>
      </c>
      <c r="K6142" s="62">
        <v>34700</v>
      </c>
      <c r="L6142" s="33" t="e">
        <f>HLOOKUP(B6142,#REF!,1,0)</f>
        <v>#REF!</v>
      </c>
      <c r="M6142" s="33" t="str">
        <f t="shared" si="383"/>
        <v>P&amp;L</v>
      </c>
    </row>
    <row r="6143" spans="1:13" s="33" customFormat="true" ht="12.75" customHeight="true">
      <c r="A6143" s="33" t="str">
        <f t="shared" si="380"/>
        <v>LPI - Revenue</v>
      </c>
      <c r="B6143" s="33" t="str">
        <f t="shared" si="381"/>
        <v>LPI</v>
      </c>
      <c r="C6143" s="33" t="str">
        <f t="shared" si="382"/>
        <v>41999-0002</v>
      </c>
      <c r="D6143" s="64" t="s">
        <v>7245</v>
      </c>
      <c r="E6143" s="64" t="s">
        <v>7244</v>
      </c>
      <c r="F6143" s="64" t="s">
        <v>230</v>
      </c>
      <c r="G6143" s="64" t="s">
        <v>3713</v>
      </c>
      <c r="H6143" s="64" t="s">
        <v>2871</v>
      </c>
      <c r="I6143" s="64" t="s">
        <v>3714</v>
      </c>
      <c r="J6143" s="67">
        <v>2500</v>
      </c>
      <c r="K6143" s="62">
        <v>25610.33</v>
      </c>
      <c r="L6143" s="33" t="e">
        <f>HLOOKUP(B6143,#REF!,1,0)</f>
        <v>#REF!</v>
      </c>
      <c r="M6143" s="33" t="str">
        <f t="shared" si="383"/>
        <v>P&amp;L</v>
      </c>
    </row>
    <row r="6144" spans="1:13" s="33" customFormat="true" ht="12.75" customHeight="true">
      <c r="A6144" s="33" t="str">
        <f t="shared" si="380"/>
        <v>LPI - Revenue</v>
      </c>
      <c r="B6144" s="33" t="str">
        <f t="shared" si="381"/>
        <v>LPI</v>
      </c>
      <c r="C6144" s="33" t="str">
        <f t="shared" si="382"/>
        <v>41999-0003</v>
      </c>
      <c r="D6144" s="64" t="s">
        <v>7246</v>
      </c>
      <c r="E6144" s="64" t="s">
        <v>7244</v>
      </c>
      <c r="F6144" s="64" t="s">
        <v>230</v>
      </c>
      <c r="G6144" s="64" t="s">
        <v>3713</v>
      </c>
      <c r="H6144" s="64" t="s">
        <v>2871</v>
      </c>
      <c r="I6144" s="64" t="s">
        <v>3714</v>
      </c>
      <c r="J6144" s="67">
        <v>450</v>
      </c>
      <c r="K6144" s="62">
        <v>26100</v>
      </c>
      <c r="L6144" s="33" t="e">
        <f>HLOOKUP(B6144,#REF!,1,0)</f>
        <v>#REF!</v>
      </c>
      <c r="M6144" s="33" t="str">
        <f t="shared" si="383"/>
        <v>P&amp;L</v>
      </c>
    </row>
    <row r="6145" spans="1:13" s="33" customFormat="true" ht="12.75" customHeight="true">
      <c r="A6145" s="33" t="str">
        <f t="shared" si="380"/>
        <v>LPI - Revenue</v>
      </c>
      <c r="B6145" s="33" t="str">
        <f t="shared" si="381"/>
        <v>LPI</v>
      </c>
      <c r="C6145" s="33" t="str">
        <f t="shared" si="382"/>
        <v>41999-0004</v>
      </c>
      <c r="D6145" s="64" t="s">
        <v>7247</v>
      </c>
      <c r="E6145" s="64" t="s">
        <v>7244</v>
      </c>
      <c r="F6145" s="64" t="s">
        <v>230</v>
      </c>
      <c r="G6145" s="64" t="s">
        <v>3713</v>
      </c>
      <c r="H6145" s="64" t="s">
        <v>2871</v>
      </c>
      <c r="I6145" s="64" t="s">
        <v>3714</v>
      </c>
      <c r="J6145" s="67">
        <v>1000</v>
      </c>
      <c r="K6145" s="62">
        <v>37792</v>
      </c>
      <c r="L6145" s="33" t="e">
        <f>HLOOKUP(B6145,#REF!,1,0)</f>
        <v>#REF!</v>
      </c>
      <c r="M6145" s="33" t="str">
        <f t="shared" si="383"/>
        <v>P&amp;L</v>
      </c>
    </row>
    <row r="6146" spans="1:13" s="33" customFormat="true" ht="12.75" customHeight="true">
      <c r="A6146" s="33" t="str">
        <f t="shared" ref="A6146:A6209" si="384">B6146&amp;" - "&amp;TRIM(H6146)</f>
        <v>LPI - Revenue</v>
      </c>
      <c r="B6146" s="33" t="str">
        <f t="shared" ref="B6146:B6209" si="385">LEFT(D6146,3)</f>
        <v>LPI</v>
      </c>
      <c r="C6146" s="33" t="str">
        <f t="shared" ref="C6146:C6209" si="386">RIGHT(D6146,10)</f>
        <v>41999-0005</v>
      </c>
      <c r="D6146" s="64" t="s">
        <v>7248</v>
      </c>
      <c r="E6146" s="64" t="s">
        <v>7244</v>
      </c>
      <c r="F6146" s="64" t="s">
        <v>230</v>
      </c>
      <c r="G6146" s="64" t="s">
        <v>3713</v>
      </c>
      <c r="H6146" s="64" t="s">
        <v>2871</v>
      </c>
      <c r="I6146" s="64" t="s">
        <v>3714</v>
      </c>
      <c r="J6146" s="67">
        <v>1982</v>
      </c>
      <c r="K6146" s="62">
        <v>19192</v>
      </c>
      <c r="L6146" s="33" t="e">
        <f>HLOOKUP(B6146,#REF!,1,0)</f>
        <v>#REF!</v>
      </c>
      <c r="M6146" s="33" t="str">
        <f t="shared" ref="M6146:M6209" si="387">IF(VALUE(LEFT(C6146,5))&gt;40000,"P&amp;L","BS")</f>
        <v>P&amp;L</v>
      </c>
    </row>
    <row r="6147" spans="1:13" s="33" customFormat="true" ht="12.75" customHeight="true">
      <c r="A6147" s="33" t="str">
        <f t="shared" si="384"/>
        <v>LPI - Revenue</v>
      </c>
      <c r="B6147" s="33" t="str">
        <f t="shared" si="385"/>
        <v>LPI</v>
      </c>
      <c r="C6147" s="33" t="str">
        <f t="shared" si="386"/>
        <v>47400-0001</v>
      </c>
      <c r="D6147" s="64" t="s">
        <v>7249</v>
      </c>
      <c r="E6147" s="64" t="s">
        <v>3716</v>
      </c>
      <c r="F6147" s="64" t="s">
        <v>230</v>
      </c>
      <c r="G6147" s="64" t="s">
        <v>3717</v>
      </c>
      <c r="H6147" s="64" t="s">
        <v>2871</v>
      </c>
      <c r="I6147" s="64" t="s">
        <v>3718</v>
      </c>
      <c r="J6147" s="67">
        <v>-3550</v>
      </c>
      <c r="K6147" s="62">
        <v>-34700</v>
      </c>
      <c r="L6147" s="33" t="e">
        <f>HLOOKUP(B6147,#REF!,1,0)</f>
        <v>#REF!</v>
      </c>
      <c r="M6147" s="33" t="str">
        <f t="shared" si="387"/>
        <v>P&amp;L</v>
      </c>
    </row>
    <row r="6148" spans="1:13" s="33" customFormat="true" ht="12.75" customHeight="true">
      <c r="A6148" s="33" t="str">
        <f t="shared" si="384"/>
        <v>LPI - Revenue</v>
      </c>
      <c r="B6148" s="33" t="str">
        <f t="shared" si="385"/>
        <v>LPI</v>
      </c>
      <c r="C6148" s="33" t="str">
        <f t="shared" si="386"/>
        <v>47400-0002</v>
      </c>
      <c r="D6148" s="64" t="s">
        <v>7250</v>
      </c>
      <c r="E6148" s="64" t="s">
        <v>3716</v>
      </c>
      <c r="F6148" s="64" t="s">
        <v>230</v>
      </c>
      <c r="G6148" s="64" t="s">
        <v>3717</v>
      </c>
      <c r="H6148" s="64" t="s">
        <v>2871</v>
      </c>
      <c r="I6148" s="64" t="s">
        <v>3718</v>
      </c>
      <c r="J6148" s="67">
        <v>-2500</v>
      </c>
      <c r="K6148" s="62">
        <v>-25610.33</v>
      </c>
      <c r="L6148" s="33" t="e">
        <f>HLOOKUP(B6148,#REF!,1,0)</f>
        <v>#REF!</v>
      </c>
      <c r="M6148" s="33" t="str">
        <f t="shared" si="387"/>
        <v>P&amp;L</v>
      </c>
    </row>
    <row r="6149" spans="1:13" s="33" customFormat="true" ht="12.75" customHeight="true">
      <c r="A6149" s="33" t="str">
        <f t="shared" si="384"/>
        <v>LPI - Revenue</v>
      </c>
      <c r="B6149" s="33" t="str">
        <f t="shared" si="385"/>
        <v>LPI</v>
      </c>
      <c r="C6149" s="33" t="str">
        <f t="shared" si="386"/>
        <v>47400-0003</v>
      </c>
      <c r="D6149" s="64" t="s">
        <v>7251</v>
      </c>
      <c r="E6149" s="64" t="s">
        <v>3716</v>
      </c>
      <c r="F6149" s="64" t="s">
        <v>230</v>
      </c>
      <c r="G6149" s="64" t="s">
        <v>3717</v>
      </c>
      <c r="H6149" s="64" t="s">
        <v>2871</v>
      </c>
      <c r="I6149" s="64" t="s">
        <v>3718</v>
      </c>
      <c r="J6149" s="67">
        <v>-450</v>
      </c>
      <c r="K6149" s="62">
        <v>-26100</v>
      </c>
      <c r="L6149" s="33" t="e">
        <f>HLOOKUP(B6149,#REF!,1,0)</f>
        <v>#REF!</v>
      </c>
      <c r="M6149" s="33" t="str">
        <f t="shared" si="387"/>
        <v>P&amp;L</v>
      </c>
    </row>
    <row r="6150" spans="1:13" s="33" customFormat="true" ht="12.75" customHeight="true">
      <c r="A6150" s="33" t="str">
        <f t="shared" si="384"/>
        <v>LPI - Revenue</v>
      </c>
      <c r="B6150" s="33" t="str">
        <f t="shared" si="385"/>
        <v>LPI</v>
      </c>
      <c r="C6150" s="33" t="str">
        <f t="shared" si="386"/>
        <v>47400-0004</v>
      </c>
      <c r="D6150" s="64" t="s">
        <v>7252</v>
      </c>
      <c r="E6150" s="64" t="s">
        <v>3716</v>
      </c>
      <c r="F6150" s="64" t="s">
        <v>230</v>
      </c>
      <c r="G6150" s="64" t="s">
        <v>3717</v>
      </c>
      <c r="H6150" s="64" t="s">
        <v>2871</v>
      </c>
      <c r="I6150" s="64" t="s">
        <v>3718</v>
      </c>
      <c r="J6150" s="67">
        <v>-1000</v>
      </c>
      <c r="K6150" s="62">
        <v>-37792</v>
      </c>
      <c r="L6150" s="33" t="e">
        <f>HLOOKUP(B6150,#REF!,1,0)</f>
        <v>#REF!</v>
      </c>
      <c r="M6150" s="33" t="str">
        <f t="shared" si="387"/>
        <v>P&amp;L</v>
      </c>
    </row>
    <row r="6151" spans="1:13" s="33" customFormat="true" ht="12.75" customHeight="true">
      <c r="A6151" s="33" t="str">
        <f t="shared" si="384"/>
        <v>LPI - Revenue</v>
      </c>
      <c r="B6151" s="33" t="str">
        <f t="shared" si="385"/>
        <v>LPI</v>
      </c>
      <c r="C6151" s="33" t="str">
        <f t="shared" si="386"/>
        <v>47400-0005</v>
      </c>
      <c r="D6151" s="64" t="s">
        <v>7253</v>
      </c>
      <c r="E6151" s="64" t="s">
        <v>3716</v>
      </c>
      <c r="F6151" s="64" t="s">
        <v>230</v>
      </c>
      <c r="G6151" s="64" t="s">
        <v>3717</v>
      </c>
      <c r="H6151" s="64" t="s">
        <v>2871</v>
      </c>
      <c r="I6151" s="64" t="s">
        <v>3718</v>
      </c>
      <c r="J6151" s="67">
        <v>-1982</v>
      </c>
      <c r="K6151" s="62">
        <v>-19192</v>
      </c>
      <c r="L6151" s="33" t="e">
        <f>HLOOKUP(B6151,#REF!,1,0)</f>
        <v>#REF!</v>
      </c>
      <c r="M6151" s="33" t="str">
        <f t="shared" si="387"/>
        <v>P&amp;L</v>
      </c>
    </row>
    <row r="6152" spans="1:13" s="33" customFormat="true" ht="12.75" customHeight="true">
      <c r="A6152" s="33" t="str">
        <f t="shared" si="384"/>
        <v>LPI - Revenue</v>
      </c>
      <c r="B6152" s="33" t="str">
        <f t="shared" si="385"/>
        <v>LPI</v>
      </c>
      <c r="C6152" s="33" t="str">
        <f t="shared" si="386"/>
        <v>47460-0001</v>
      </c>
      <c r="D6152" s="64" t="s">
        <v>7254</v>
      </c>
      <c r="E6152" s="64" t="s">
        <v>3726</v>
      </c>
      <c r="F6152" s="64" t="s">
        <v>230</v>
      </c>
      <c r="G6152" s="64" t="s">
        <v>3717</v>
      </c>
      <c r="H6152" s="64" t="s">
        <v>2871</v>
      </c>
      <c r="I6152" s="64" t="s">
        <v>3727</v>
      </c>
      <c r="J6152" s="67">
        <v>0</v>
      </c>
      <c r="K6152" s="62">
        <v>0</v>
      </c>
      <c r="L6152" s="33" t="e">
        <f>HLOOKUP(B6152,#REF!,1,0)</f>
        <v>#REF!</v>
      </c>
      <c r="M6152" s="33" t="str">
        <f t="shared" si="387"/>
        <v>P&amp;L</v>
      </c>
    </row>
    <row r="6153" spans="1:13" s="33" customFormat="true" ht="12.75" customHeight="true">
      <c r="A6153" s="33" t="str">
        <f t="shared" si="384"/>
        <v>LPI - Revenue</v>
      </c>
      <c r="B6153" s="33" t="str">
        <f t="shared" si="385"/>
        <v>LPI</v>
      </c>
      <c r="C6153" s="33" t="str">
        <f t="shared" si="386"/>
        <v>47480-0000</v>
      </c>
      <c r="D6153" s="64" t="s">
        <v>7255</v>
      </c>
      <c r="E6153" s="64" t="s">
        <v>3729</v>
      </c>
      <c r="F6153" s="64" t="s">
        <v>230</v>
      </c>
      <c r="G6153" s="64" t="s">
        <v>3717</v>
      </c>
      <c r="H6153" s="64" t="s">
        <v>2871</v>
      </c>
      <c r="I6153" s="64" t="s">
        <v>3721</v>
      </c>
      <c r="J6153" s="67">
        <v>0</v>
      </c>
      <c r="K6153" s="62">
        <v>-45</v>
      </c>
      <c r="L6153" s="33" t="e">
        <f>HLOOKUP(B6153,#REF!,1,0)</f>
        <v>#REF!</v>
      </c>
      <c r="M6153" s="33" t="str">
        <f t="shared" si="387"/>
        <v>P&amp;L</v>
      </c>
    </row>
    <row r="6154" spans="1:13" s="33" customFormat="true" ht="12.75" customHeight="true">
      <c r="A6154" s="33" t="str">
        <f t="shared" si="384"/>
        <v>LPI - CGS</v>
      </c>
      <c r="B6154" s="33" t="str">
        <f t="shared" si="385"/>
        <v>LPI</v>
      </c>
      <c r="C6154" s="33" t="str">
        <f t="shared" si="386"/>
        <v>51008-0002</v>
      </c>
      <c r="D6154" s="64" t="s">
        <v>7256</v>
      </c>
      <c r="E6154" s="64" t="s">
        <v>7257</v>
      </c>
      <c r="F6154" s="64" t="s">
        <v>230</v>
      </c>
      <c r="G6154" s="64" t="s">
        <v>3740</v>
      </c>
      <c r="H6154" s="64" t="s">
        <v>1875</v>
      </c>
      <c r="I6154" s="64" t="s">
        <v>3744</v>
      </c>
      <c r="J6154" s="67">
        <v>0</v>
      </c>
      <c r="K6154" s="62">
        <v>25.9</v>
      </c>
      <c r="L6154" s="33" t="e">
        <f>HLOOKUP(B6154,#REF!,1,0)</f>
        <v>#REF!</v>
      </c>
      <c r="M6154" s="33" t="str">
        <f t="shared" si="387"/>
        <v>P&amp;L</v>
      </c>
    </row>
    <row r="6155" spans="1:13" s="33" customFormat="true" ht="12.75" customHeight="true">
      <c r="A6155" s="33" t="str">
        <f t="shared" si="384"/>
        <v>LPI - CGS</v>
      </c>
      <c r="B6155" s="33" t="str">
        <f t="shared" si="385"/>
        <v>LPI</v>
      </c>
      <c r="C6155" s="33" t="str">
        <f t="shared" si="386"/>
        <v>51008-0003</v>
      </c>
      <c r="D6155" s="64" t="s">
        <v>7258</v>
      </c>
      <c r="E6155" s="64" t="s">
        <v>3743</v>
      </c>
      <c r="F6155" s="64" t="s">
        <v>230</v>
      </c>
      <c r="G6155" s="64" t="s">
        <v>3740</v>
      </c>
      <c r="H6155" s="64" t="s">
        <v>1875</v>
      </c>
      <c r="I6155" s="64" t="s">
        <v>3744</v>
      </c>
      <c r="J6155" s="67">
        <v>0</v>
      </c>
      <c r="K6155" s="62">
        <v>43.43</v>
      </c>
      <c r="L6155" s="33" t="e">
        <f>HLOOKUP(B6155,#REF!,1,0)</f>
        <v>#REF!</v>
      </c>
      <c r="M6155" s="33" t="str">
        <f t="shared" si="387"/>
        <v>P&amp;L</v>
      </c>
    </row>
    <row r="6156" spans="1:13" s="33" customFormat="true" ht="12.75" customHeight="true">
      <c r="A6156" s="33" t="str">
        <f t="shared" si="384"/>
        <v>LPI - CGS</v>
      </c>
      <c r="B6156" s="33" t="str">
        <f t="shared" si="385"/>
        <v>LPI</v>
      </c>
      <c r="C6156" s="33" t="str">
        <f t="shared" si="386"/>
        <v>51008-0004</v>
      </c>
      <c r="D6156" s="64" t="s">
        <v>7259</v>
      </c>
      <c r="E6156" s="64" t="s">
        <v>3743</v>
      </c>
      <c r="F6156" s="64" t="s">
        <v>230</v>
      </c>
      <c r="G6156" s="64" t="s">
        <v>3740</v>
      </c>
      <c r="H6156" s="64" t="s">
        <v>1875</v>
      </c>
      <c r="I6156" s="64" t="s">
        <v>3744</v>
      </c>
      <c r="J6156" s="67">
        <v>0</v>
      </c>
      <c r="K6156" s="62">
        <v>71.16</v>
      </c>
      <c r="L6156" s="33" t="e">
        <f>HLOOKUP(B6156,#REF!,1,0)</f>
        <v>#REF!</v>
      </c>
      <c r="M6156" s="33" t="str">
        <f t="shared" si="387"/>
        <v>P&amp;L</v>
      </c>
    </row>
    <row r="6157" spans="1:13" s="33" customFormat="true" ht="12.75" customHeight="true">
      <c r="A6157" s="33" t="str">
        <f t="shared" si="384"/>
        <v>LPI - CGS</v>
      </c>
      <c r="B6157" s="33" t="str">
        <f t="shared" si="385"/>
        <v>LPI</v>
      </c>
      <c r="C6157" s="33" t="str">
        <f t="shared" si="386"/>
        <v>51009-0002</v>
      </c>
      <c r="D6157" s="64" t="s">
        <v>7260</v>
      </c>
      <c r="E6157" s="64" t="s">
        <v>3746</v>
      </c>
      <c r="F6157" s="64" t="s">
        <v>230</v>
      </c>
      <c r="G6157" s="64" t="s">
        <v>3740</v>
      </c>
      <c r="H6157" s="64" t="s">
        <v>1875</v>
      </c>
      <c r="I6157" s="64" t="s">
        <v>3747</v>
      </c>
      <c r="J6157" s="67">
        <v>0</v>
      </c>
      <c r="K6157" s="62">
        <v>165.06</v>
      </c>
      <c r="L6157" s="33" t="e">
        <f>HLOOKUP(B6157,#REF!,1,0)</f>
        <v>#REF!</v>
      </c>
      <c r="M6157" s="33" t="str">
        <f t="shared" si="387"/>
        <v>P&amp;L</v>
      </c>
    </row>
    <row r="6158" spans="1:13" s="33" customFormat="true" ht="12.75" customHeight="true">
      <c r="A6158" s="33" t="str">
        <f t="shared" si="384"/>
        <v>LPI - CGS</v>
      </c>
      <c r="B6158" s="33" t="str">
        <f t="shared" si="385"/>
        <v>LPI</v>
      </c>
      <c r="C6158" s="33" t="str">
        <f t="shared" si="386"/>
        <v>51009-0004</v>
      </c>
      <c r="D6158" s="64" t="s">
        <v>7261</v>
      </c>
      <c r="E6158" s="64" t="s">
        <v>3746</v>
      </c>
      <c r="F6158" s="64" t="s">
        <v>230</v>
      </c>
      <c r="G6158" s="64" t="s">
        <v>3740</v>
      </c>
      <c r="H6158" s="64" t="s">
        <v>1875</v>
      </c>
      <c r="I6158" s="64" t="s">
        <v>3747</v>
      </c>
      <c r="J6158" s="67">
        <v>0</v>
      </c>
      <c r="K6158" s="62">
        <v>56.9</v>
      </c>
      <c r="L6158" s="33" t="e">
        <f>HLOOKUP(B6158,#REF!,1,0)</f>
        <v>#REF!</v>
      </c>
      <c r="M6158" s="33" t="str">
        <f t="shared" si="387"/>
        <v>P&amp;L</v>
      </c>
    </row>
    <row r="6159" spans="1:13" s="33" customFormat="true" ht="12.75" customHeight="true">
      <c r="A6159" s="33" t="str">
        <f t="shared" si="384"/>
        <v>LPI - CGS</v>
      </c>
      <c r="B6159" s="33" t="str">
        <f t="shared" si="385"/>
        <v>LPI</v>
      </c>
      <c r="C6159" s="33" t="str">
        <f t="shared" si="386"/>
        <v>51009-0005</v>
      </c>
      <c r="D6159" s="64" t="s">
        <v>7262</v>
      </c>
      <c r="E6159" s="64" t="s">
        <v>3746</v>
      </c>
      <c r="F6159" s="64" t="s">
        <v>230</v>
      </c>
      <c r="G6159" s="64" t="s">
        <v>3740</v>
      </c>
      <c r="H6159" s="64" t="s">
        <v>1875</v>
      </c>
      <c r="I6159" s="64" t="s">
        <v>3747</v>
      </c>
      <c r="J6159" s="67">
        <v>0</v>
      </c>
      <c r="K6159" s="62">
        <v>485</v>
      </c>
      <c r="L6159" s="33" t="e">
        <f>HLOOKUP(B6159,#REF!,1,0)</f>
        <v>#REF!</v>
      </c>
      <c r="M6159" s="33" t="str">
        <f t="shared" si="387"/>
        <v>P&amp;L</v>
      </c>
    </row>
    <row r="6160" spans="1:13" s="33" customFormat="true" ht="12.75" customHeight="true">
      <c r="A6160" s="33" t="str">
        <f t="shared" si="384"/>
        <v>LPI - CGS</v>
      </c>
      <c r="B6160" s="33" t="str">
        <f t="shared" si="385"/>
        <v>LPI</v>
      </c>
      <c r="C6160" s="33" t="str">
        <f t="shared" si="386"/>
        <v>51027-0005</v>
      </c>
      <c r="D6160" s="64" t="s">
        <v>7263</v>
      </c>
      <c r="E6160" s="64" t="s">
        <v>7264</v>
      </c>
      <c r="F6160" s="64" t="s">
        <v>230</v>
      </c>
      <c r="G6160" s="64" t="s">
        <v>3740</v>
      </c>
      <c r="H6160" s="64" t="s">
        <v>1875</v>
      </c>
      <c r="I6160" s="64" t="s">
        <v>3319</v>
      </c>
      <c r="J6160" s="67">
        <v>100</v>
      </c>
      <c r="K6160" s="62">
        <v>920</v>
      </c>
      <c r="L6160" s="33" t="e">
        <f>HLOOKUP(B6160,#REF!,1,0)</f>
        <v>#REF!</v>
      </c>
      <c r="M6160" s="33" t="str">
        <f t="shared" si="387"/>
        <v>P&amp;L</v>
      </c>
    </row>
    <row r="6161" spans="1:13" s="33" customFormat="true" ht="12.75" customHeight="true">
      <c r="A6161" s="33" t="str">
        <f t="shared" si="384"/>
        <v>LPI - CGS</v>
      </c>
      <c r="B6161" s="33" t="str">
        <f t="shared" si="385"/>
        <v>LPI</v>
      </c>
      <c r="C6161" s="33" t="str">
        <f t="shared" si="386"/>
        <v>52003-0000</v>
      </c>
      <c r="D6161" s="64" t="s">
        <v>7265</v>
      </c>
      <c r="E6161" s="64" t="s">
        <v>3772</v>
      </c>
      <c r="F6161" s="64" t="s">
        <v>230</v>
      </c>
      <c r="G6161" s="64" t="s">
        <v>3769</v>
      </c>
      <c r="H6161" s="64" t="s">
        <v>1875</v>
      </c>
      <c r="I6161" s="64" t="s">
        <v>3773</v>
      </c>
      <c r="J6161" s="67">
        <v>0</v>
      </c>
      <c r="K6161" s="62">
        <v>300</v>
      </c>
      <c r="L6161" s="33" t="e">
        <f>HLOOKUP(B6161,#REF!,1,0)</f>
        <v>#REF!</v>
      </c>
      <c r="M6161" s="33" t="str">
        <f t="shared" si="387"/>
        <v>P&amp;L</v>
      </c>
    </row>
    <row r="6162" spans="1:13" s="33" customFormat="true" ht="12.75" customHeight="true">
      <c r="A6162" s="33" t="str">
        <f t="shared" si="384"/>
        <v>LPI - CGS</v>
      </c>
      <c r="B6162" s="33" t="str">
        <f t="shared" si="385"/>
        <v>LPI</v>
      </c>
      <c r="C6162" s="33" t="str">
        <f t="shared" si="386"/>
        <v>52006-0000</v>
      </c>
      <c r="D6162" s="64" t="s">
        <v>7266</v>
      </c>
      <c r="E6162" s="64" t="s">
        <v>3778</v>
      </c>
      <c r="F6162" s="64" t="s">
        <v>230</v>
      </c>
      <c r="G6162" s="64" t="s">
        <v>3769</v>
      </c>
      <c r="H6162" s="64" t="s">
        <v>1875</v>
      </c>
      <c r="I6162" s="64" t="s">
        <v>3779</v>
      </c>
      <c r="J6162" s="67">
        <v>0</v>
      </c>
      <c r="K6162" s="62">
        <v>188.59</v>
      </c>
      <c r="L6162" s="33" t="e">
        <f>HLOOKUP(B6162,#REF!,1,0)</f>
        <v>#REF!</v>
      </c>
      <c r="M6162" s="33" t="str">
        <f t="shared" si="387"/>
        <v>P&amp;L</v>
      </c>
    </row>
    <row r="6163" spans="1:13" s="33" customFormat="true" ht="12.75" customHeight="true">
      <c r="A6163" s="33" t="str">
        <f t="shared" si="384"/>
        <v>LPI - CGS</v>
      </c>
      <c r="B6163" s="33" t="str">
        <f t="shared" si="385"/>
        <v>LPI</v>
      </c>
      <c r="C6163" s="33" t="str">
        <f t="shared" si="386"/>
        <v>53003-0000</v>
      </c>
      <c r="D6163" s="64" t="s">
        <v>7267</v>
      </c>
      <c r="E6163" s="64" t="s">
        <v>3787</v>
      </c>
      <c r="F6163" s="64" t="s">
        <v>230</v>
      </c>
      <c r="G6163" s="64" t="s">
        <v>3160</v>
      </c>
      <c r="H6163" s="64" t="s">
        <v>1875</v>
      </c>
      <c r="I6163" s="64" t="s">
        <v>3788</v>
      </c>
      <c r="J6163" s="67">
        <v>0</v>
      </c>
      <c r="K6163" s="62">
        <v>25</v>
      </c>
      <c r="L6163" s="33" t="e">
        <f>HLOOKUP(B6163,#REF!,1,0)</f>
        <v>#REF!</v>
      </c>
      <c r="M6163" s="33" t="str">
        <f t="shared" si="387"/>
        <v>P&amp;L</v>
      </c>
    </row>
    <row r="6164" spans="1:13" s="33" customFormat="true" ht="12.75" customHeight="true">
      <c r="A6164" s="33" t="str">
        <f t="shared" si="384"/>
        <v>LPI - CGS</v>
      </c>
      <c r="B6164" s="33" t="str">
        <f t="shared" si="385"/>
        <v>LPI</v>
      </c>
      <c r="C6164" s="33" t="str">
        <f t="shared" si="386"/>
        <v>53003-0002</v>
      </c>
      <c r="D6164" s="64" t="s">
        <v>7268</v>
      </c>
      <c r="E6164" s="64" t="s">
        <v>3787</v>
      </c>
      <c r="F6164" s="64" t="s">
        <v>230</v>
      </c>
      <c r="G6164" s="64" t="s">
        <v>3160</v>
      </c>
      <c r="H6164" s="64" t="s">
        <v>1875</v>
      </c>
      <c r="I6164" s="64" t="s">
        <v>3788</v>
      </c>
      <c r="J6164" s="67">
        <v>0</v>
      </c>
      <c r="K6164" s="62">
        <v>162.61</v>
      </c>
      <c r="L6164" s="33" t="e">
        <f>HLOOKUP(B6164,#REF!,1,0)</f>
        <v>#REF!</v>
      </c>
      <c r="M6164" s="33" t="str">
        <f t="shared" si="387"/>
        <v>P&amp;L</v>
      </c>
    </row>
    <row r="6165" spans="1:13" s="33" customFormat="true" ht="12.75" customHeight="true">
      <c r="A6165" s="33" t="str">
        <f t="shared" si="384"/>
        <v>LPI - CGS</v>
      </c>
      <c r="B6165" s="33" t="str">
        <f t="shared" si="385"/>
        <v>LPI</v>
      </c>
      <c r="C6165" s="33" t="str">
        <f t="shared" si="386"/>
        <v>53005-0002</v>
      </c>
      <c r="D6165" s="64" t="s">
        <v>7269</v>
      </c>
      <c r="E6165" s="64" t="s">
        <v>3793</v>
      </c>
      <c r="F6165" s="64" t="s">
        <v>230</v>
      </c>
      <c r="G6165" s="64" t="s">
        <v>3160</v>
      </c>
      <c r="H6165" s="64" t="s">
        <v>1875</v>
      </c>
      <c r="I6165" s="64" t="s">
        <v>3794</v>
      </c>
      <c r="J6165" s="67">
        <v>0</v>
      </c>
      <c r="K6165" s="62">
        <v>263.84</v>
      </c>
      <c r="L6165" s="33" t="e">
        <f>HLOOKUP(B6165,#REF!,1,0)</f>
        <v>#REF!</v>
      </c>
      <c r="M6165" s="33" t="str">
        <f t="shared" si="387"/>
        <v>P&amp;L</v>
      </c>
    </row>
    <row r="6166" spans="1:13" s="33" customFormat="true" ht="12.75" customHeight="true">
      <c r="A6166" s="33" t="str">
        <f t="shared" si="384"/>
        <v>LPI - CGS</v>
      </c>
      <c r="B6166" s="33" t="str">
        <f t="shared" si="385"/>
        <v>LPI</v>
      </c>
      <c r="C6166" s="33" t="str">
        <f t="shared" si="386"/>
        <v>53006-0002</v>
      </c>
      <c r="D6166" s="64" t="s">
        <v>7270</v>
      </c>
      <c r="E6166" s="64" t="s">
        <v>3796</v>
      </c>
      <c r="F6166" s="64" t="s">
        <v>230</v>
      </c>
      <c r="G6166" s="64" t="s">
        <v>3160</v>
      </c>
      <c r="H6166" s="64" t="s">
        <v>1875</v>
      </c>
      <c r="I6166" s="64" t="s">
        <v>3797</v>
      </c>
      <c r="J6166" s="67">
        <v>0</v>
      </c>
      <c r="K6166" s="62">
        <v>75.22</v>
      </c>
      <c r="L6166" s="33" t="e">
        <f>HLOOKUP(B6166,#REF!,1,0)</f>
        <v>#REF!</v>
      </c>
      <c r="M6166" s="33" t="str">
        <f t="shared" si="387"/>
        <v>P&amp;L</v>
      </c>
    </row>
    <row r="6167" spans="1:13" s="33" customFormat="true" ht="12.75" customHeight="true">
      <c r="A6167" s="33" t="str">
        <f t="shared" si="384"/>
        <v>LPI - CGS</v>
      </c>
      <c r="B6167" s="33" t="str">
        <f t="shared" si="385"/>
        <v>LPI</v>
      </c>
      <c r="C6167" s="33" t="str">
        <f t="shared" si="386"/>
        <v>54003-0000</v>
      </c>
      <c r="D6167" s="64" t="s">
        <v>7271</v>
      </c>
      <c r="E6167" s="64" t="s">
        <v>3803</v>
      </c>
      <c r="F6167" s="64" t="s">
        <v>230</v>
      </c>
      <c r="G6167" s="64" t="s">
        <v>3800</v>
      </c>
      <c r="H6167" s="64" t="s">
        <v>1875</v>
      </c>
      <c r="I6167" s="64" t="s">
        <v>3804</v>
      </c>
      <c r="J6167" s="67">
        <v>0</v>
      </c>
      <c r="K6167" s="62">
        <v>0</v>
      </c>
      <c r="L6167" s="33" t="e">
        <f>HLOOKUP(B6167,#REF!,1,0)</f>
        <v>#REF!</v>
      </c>
      <c r="M6167" s="33" t="str">
        <f t="shared" si="387"/>
        <v>P&amp;L</v>
      </c>
    </row>
    <row r="6168" spans="1:13" s="33" customFormat="true" ht="12.75" customHeight="true">
      <c r="A6168" s="33" t="str">
        <f t="shared" si="384"/>
        <v>LPI - CGS</v>
      </c>
      <c r="B6168" s="33" t="str">
        <f t="shared" si="385"/>
        <v>LPI</v>
      </c>
      <c r="C6168" s="33" t="str">
        <f t="shared" si="386"/>
        <v>54004-0000</v>
      </c>
      <c r="D6168" s="64" t="s">
        <v>7272</v>
      </c>
      <c r="E6168" s="64" t="s">
        <v>3806</v>
      </c>
      <c r="F6168" s="64" t="s">
        <v>230</v>
      </c>
      <c r="G6168" s="64" t="s">
        <v>3800</v>
      </c>
      <c r="H6168" s="64" t="s">
        <v>1875</v>
      </c>
      <c r="I6168" s="64" t="s">
        <v>3807</v>
      </c>
      <c r="J6168" s="67">
        <v>0</v>
      </c>
      <c r="K6168" s="62">
        <v>0</v>
      </c>
      <c r="L6168" s="33" t="e">
        <f>HLOOKUP(B6168,#REF!,1,0)</f>
        <v>#REF!</v>
      </c>
      <c r="M6168" s="33" t="str">
        <f t="shared" si="387"/>
        <v>P&amp;L</v>
      </c>
    </row>
    <row r="6169" spans="1:13" s="33" customFormat="true" ht="12.75" customHeight="true">
      <c r="A6169" s="33" t="str">
        <f t="shared" si="384"/>
        <v>LPI - CGS</v>
      </c>
      <c r="B6169" s="33" t="str">
        <f t="shared" si="385"/>
        <v>LPI</v>
      </c>
      <c r="C6169" s="33" t="str">
        <f t="shared" si="386"/>
        <v>54006-0000</v>
      </c>
      <c r="D6169" s="64" t="s">
        <v>7273</v>
      </c>
      <c r="E6169" s="64" t="s">
        <v>3812</v>
      </c>
      <c r="F6169" s="64" t="s">
        <v>230</v>
      </c>
      <c r="G6169" s="64" t="s">
        <v>3800</v>
      </c>
      <c r="H6169" s="64" t="s">
        <v>1875</v>
      </c>
      <c r="I6169" s="64" t="s">
        <v>3003</v>
      </c>
      <c r="J6169" s="67">
        <v>0</v>
      </c>
      <c r="K6169" s="62">
        <v>0</v>
      </c>
      <c r="L6169" s="33" t="e">
        <f>HLOOKUP(B6169,#REF!,1,0)</f>
        <v>#REF!</v>
      </c>
      <c r="M6169" s="33" t="str">
        <f t="shared" si="387"/>
        <v>P&amp;L</v>
      </c>
    </row>
    <row r="6170" spans="1:13" s="33" customFormat="true" ht="12.75" customHeight="true">
      <c r="A6170" s="33" t="str">
        <f t="shared" si="384"/>
        <v>LPI - CGS</v>
      </c>
      <c r="B6170" s="33" t="str">
        <f t="shared" si="385"/>
        <v>LPI</v>
      </c>
      <c r="C6170" s="33" t="str">
        <f t="shared" si="386"/>
        <v>54007-0000</v>
      </c>
      <c r="D6170" s="64" t="s">
        <v>7274</v>
      </c>
      <c r="E6170" s="64" t="s">
        <v>3814</v>
      </c>
      <c r="F6170" s="64" t="s">
        <v>230</v>
      </c>
      <c r="G6170" s="64" t="s">
        <v>3800</v>
      </c>
      <c r="H6170" s="64" t="s">
        <v>1875</v>
      </c>
      <c r="I6170" s="64" t="s">
        <v>3815</v>
      </c>
      <c r="J6170" s="67">
        <v>0</v>
      </c>
      <c r="K6170" s="62">
        <v>1905.13</v>
      </c>
      <c r="L6170" s="33" t="e">
        <f>HLOOKUP(B6170,#REF!,1,0)</f>
        <v>#REF!</v>
      </c>
      <c r="M6170" s="33" t="str">
        <f t="shared" si="387"/>
        <v>P&amp;L</v>
      </c>
    </row>
    <row r="6171" spans="1:13" s="33" customFormat="true" ht="12.75" customHeight="true">
      <c r="A6171" s="33" t="str">
        <f t="shared" si="384"/>
        <v>LPI - PM Expenses</v>
      </c>
      <c r="B6171" s="33" t="str">
        <f t="shared" si="385"/>
        <v>LPI</v>
      </c>
      <c r="C6171" s="33" t="str">
        <f t="shared" si="386"/>
        <v>55501-0002</v>
      </c>
      <c r="D6171" s="64" t="s">
        <v>7275</v>
      </c>
      <c r="E6171" s="64" t="s">
        <v>3817</v>
      </c>
      <c r="F6171" s="64" t="s">
        <v>230</v>
      </c>
      <c r="G6171" s="64" t="s">
        <v>3818</v>
      </c>
      <c r="H6171" s="64" t="s">
        <v>3819</v>
      </c>
      <c r="I6171" s="64" t="s">
        <v>3820</v>
      </c>
      <c r="J6171" s="67">
        <v>0</v>
      </c>
      <c r="K6171" s="62">
        <v>2392</v>
      </c>
      <c r="L6171" s="33" t="e">
        <f>HLOOKUP(B6171,#REF!,1,0)</f>
        <v>#REF!</v>
      </c>
      <c r="M6171" s="33" t="str">
        <f t="shared" si="387"/>
        <v>P&amp;L</v>
      </c>
    </row>
    <row r="6172" spans="1:13" s="33" customFormat="true" ht="12.75" customHeight="true">
      <c r="A6172" s="33" t="str">
        <f t="shared" si="384"/>
        <v>LPI - PM Expenses</v>
      </c>
      <c r="B6172" s="33" t="str">
        <f t="shared" si="385"/>
        <v>LPI</v>
      </c>
      <c r="C6172" s="33" t="str">
        <f t="shared" si="386"/>
        <v>55502-0002</v>
      </c>
      <c r="D6172" s="64" t="s">
        <v>7276</v>
      </c>
      <c r="E6172" s="64" t="s">
        <v>3822</v>
      </c>
      <c r="F6172" s="64" t="s">
        <v>230</v>
      </c>
      <c r="G6172" s="64" t="s">
        <v>3818</v>
      </c>
      <c r="H6172" s="64" t="s">
        <v>3819</v>
      </c>
      <c r="I6172" s="64" t="s">
        <v>3823</v>
      </c>
      <c r="J6172" s="67">
        <v>0</v>
      </c>
      <c r="K6172" s="62">
        <v>322</v>
      </c>
      <c r="L6172" s="33" t="e">
        <f>HLOOKUP(B6172,#REF!,1,0)</f>
        <v>#REF!</v>
      </c>
      <c r="M6172" s="33" t="str">
        <f t="shared" si="387"/>
        <v>P&amp;L</v>
      </c>
    </row>
    <row r="6173" spans="1:13" s="33" customFormat="true" ht="12.75" customHeight="true">
      <c r="A6173" s="33" t="str">
        <f t="shared" si="384"/>
        <v>LPI - PM Expenses</v>
      </c>
      <c r="B6173" s="33" t="str">
        <f t="shared" si="385"/>
        <v>LPI</v>
      </c>
      <c r="C6173" s="33" t="str">
        <f t="shared" si="386"/>
        <v>55502-0004</v>
      </c>
      <c r="D6173" s="64" t="s">
        <v>7277</v>
      </c>
      <c r="E6173" s="64" t="s">
        <v>3822</v>
      </c>
      <c r="F6173" s="64" t="s">
        <v>230</v>
      </c>
      <c r="G6173" s="64" t="s">
        <v>3818</v>
      </c>
      <c r="H6173" s="64" t="s">
        <v>3819</v>
      </c>
      <c r="I6173" s="64" t="s">
        <v>3823</v>
      </c>
      <c r="J6173" s="67">
        <v>0</v>
      </c>
      <c r="K6173" s="62">
        <v>260.56</v>
      </c>
      <c r="L6173" s="33" t="e">
        <f>HLOOKUP(B6173,#REF!,1,0)</f>
        <v>#REF!</v>
      </c>
      <c r="M6173" s="33" t="str">
        <f t="shared" si="387"/>
        <v>P&amp;L</v>
      </c>
    </row>
    <row r="6174" spans="1:13" s="33" customFormat="true" ht="12.75" customHeight="true">
      <c r="A6174" s="33" t="str">
        <f t="shared" si="384"/>
        <v>LPI - PM Expenses</v>
      </c>
      <c r="B6174" s="33" t="str">
        <f t="shared" si="385"/>
        <v>LPI</v>
      </c>
      <c r="C6174" s="33" t="str">
        <f t="shared" si="386"/>
        <v>55502-0005</v>
      </c>
      <c r="D6174" s="64" t="s">
        <v>7278</v>
      </c>
      <c r="E6174" s="64" t="s">
        <v>3822</v>
      </c>
      <c r="F6174" s="64" t="s">
        <v>230</v>
      </c>
      <c r="G6174" s="64" t="s">
        <v>3818</v>
      </c>
      <c r="H6174" s="64" t="s">
        <v>3819</v>
      </c>
      <c r="I6174" s="64" t="s">
        <v>3823</v>
      </c>
      <c r="J6174" s="67">
        <v>0</v>
      </c>
      <c r="K6174" s="62">
        <v>550</v>
      </c>
      <c r="L6174" s="33" t="e">
        <f>HLOOKUP(B6174,#REF!,1,0)</f>
        <v>#REF!</v>
      </c>
      <c r="M6174" s="33" t="str">
        <f t="shared" si="387"/>
        <v>P&amp;L</v>
      </c>
    </row>
    <row r="6175" spans="1:13" s="33" customFormat="true" ht="12.75" customHeight="true">
      <c r="A6175" s="33" t="str">
        <f t="shared" si="384"/>
        <v>LPI - PM Expenses</v>
      </c>
      <c r="B6175" s="33" t="str">
        <f t="shared" si="385"/>
        <v>LPI</v>
      </c>
      <c r="C6175" s="33" t="str">
        <f t="shared" si="386"/>
        <v>55503-0002</v>
      </c>
      <c r="D6175" s="64" t="s">
        <v>7279</v>
      </c>
      <c r="E6175" s="64" t="s">
        <v>3825</v>
      </c>
      <c r="F6175" s="64" t="s">
        <v>230</v>
      </c>
      <c r="G6175" s="64" t="s">
        <v>3818</v>
      </c>
      <c r="H6175" s="64" t="s">
        <v>3819</v>
      </c>
      <c r="I6175" s="64" t="s">
        <v>3826</v>
      </c>
      <c r="J6175" s="67">
        <v>0</v>
      </c>
      <c r="K6175" s="62">
        <v>510</v>
      </c>
      <c r="L6175" s="33" t="e">
        <f>HLOOKUP(B6175,#REF!,1,0)</f>
        <v>#REF!</v>
      </c>
      <c r="M6175" s="33" t="str">
        <f t="shared" si="387"/>
        <v>P&amp;L</v>
      </c>
    </row>
    <row r="6176" spans="1:13" s="33" customFormat="true" ht="12.75" customHeight="true">
      <c r="A6176" s="33" t="str">
        <f t="shared" si="384"/>
        <v>LPI - PM Expenses</v>
      </c>
      <c r="B6176" s="33" t="str">
        <f t="shared" si="385"/>
        <v>LPI</v>
      </c>
      <c r="C6176" s="33" t="str">
        <f t="shared" si="386"/>
        <v>55503-0003</v>
      </c>
      <c r="D6176" s="64" t="s">
        <v>7280</v>
      </c>
      <c r="E6176" s="64" t="s">
        <v>3825</v>
      </c>
      <c r="F6176" s="64" t="s">
        <v>230</v>
      </c>
      <c r="G6176" s="64" t="s">
        <v>3818</v>
      </c>
      <c r="H6176" s="64" t="s">
        <v>3819</v>
      </c>
      <c r="I6176" s="64" t="s">
        <v>3826</v>
      </c>
      <c r="J6176" s="67">
        <v>0</v>
      </c>
      <c r="K6176" s="62">
        <v>112</v>
      </c>
      <c r="L6176" s="33" t="e">
        <f>HLOOKUP(B6176,#REF!,1,0)</f>
        <v>#REF!</v>
      </c>
      <c r="M6176" s="33" t="str">
        <f t="shared" si="387"/>
        <v>P&amp;L</v>
      </c>
    </row>
    <row r="6177" spans="1:13" s="33" customFormat="true" ht="12.75" customHeight="true">
      <c r="A6177" s="33" t="str">
        <f t="shared" si="384"/>
        <v>LPI - PM Expenses</v>
      </c>
      <c r="B6177" s="33" t="str">
        <f t="shared" si="385"/>
        <v>LPI</v>
      </c>
      <c r="C6177" s="33" t="str">
        <f t="shared" si="386"/>
        <v>55505-0001</v>
      </c>
      <c r="D6177" s="64" t="s">
        <v>7281</v>
      </c>
      <c r="E6177" s="64" t="s">
        <v>3828</v>
      </c>
      <c r="F6177" s="64" t="s">
        <v>230</v>
      </c>
      <c r="G6177" s="64" t="s">
        <v>3818</v>
      </c>
      <c r="H6177" s="64" t="s">
        <v>3819</v>
      </c>
      <c r="I6177" s="64" t="s">
        <v>3829</v>
      </c>
      <c r="J6177" s="67">
        <v>0</v>
      </c>
      <c r="K6177" s="62">
        <v>396.96</v>
      </c>
      <c r="L6177" s="33" t="e">
        <f>HLOOKUP(B6177,#REF!,1,0)</f>
        <v>#REF!</v>
      </c>
      <c r="M6177" s="33" t="str">
        <f t="shared" si="387"/>
        <v>P&amp;L</v>
      </c>
    </row>
    <row r="6178" spans="1:13" s="33" customFormat="true" ht="12.75" customHeight="true">
      <c r="A6178" s="33" t="str">
        <f t="shared" si="384"/>
        <v>LPI - PM Expenses</v>
      </c>
      <c r="B6178" s="33" t="str">
        <f t="shared" si="385"/>
        <v>LPI</v>
      </c>
      <c r="C6178" s="33" t="str">
        <f t="shared" si="386"/>
        <v>55505-0002</v>
      </c>
      <c r="D6178" s="64" t="s">
        <v>7282</v>
      </c>
      <c r="E6178" s="64" t="s">
        <v>3828</v>
      </c>
      <c r="F6178" s="64" t="s">
        <v>230</v>
      </c>
      <c r="G6178" s="64" t="s">
        <v>3818</v>
      </c>
      <c r="H6178" s="64" t="s">
        <v>3819</v>
      </c>
      <c r="I6178" s="64" t="s">
        <v>3829</v>
      </c>
      <c r="J6178" s="67">
        <v>0</v>
      </c>
      <c r="K6178" s="62">
        <v>642.5</v>
      </c>
      <c r="L6178" s="33" t="e">
        <f>HLOOKUP(B6178,#REF!,1,0)</f>
        <v>#REF!</v>
      </c>
      <c r="M6178" s="33" t="str">
        <f t="shared" si="387"/>
        <v>P&amp;L</v>
      </c>
    </row>
    <row r="6179" spans="1:13" s="33" customFormat="true" ht="12.75" customHeight="true">
      <c r="A6179" s="33" t="str">
        <f t="shared" si="384"/>
        <v>LPI - PM Expenses</v>
      </c>
      <c r="B6179" s="33" t="str">
        <f t="shared" si="385"/>
        <v>LPI</v>
      </c>
      <c r="C6179" s="33" t="str">
        <f t="shared" si="386"/>
        <v>55505-0004</v>
      </c>
      <c r="D6179" s="64" t="s">
        <v>7283</v>
      </c>
      <c r="E6179" s="64" t="s">
        <v>3828</v>
      </c>
      <c r="F6179" s="64" t="s">
        <v>230</v>
      </c>
      <c r="G6179" s="64" t="s">
        <v>3818</v>
      </c>
      <c r="H6179" s="64" t="s">
        <v>3819</v>
      </c>
      <c r="I6179" s="64" t="s">
        <v>3829</v>
      </c>
      <c r="J6179" s="67">
        <v>0</v>
      </c>
      <c r="K6179" s="62">
        <v>120</v>
      </c>
      <c r="L6179" s="33" t="e">
        <f>HLOOKUP(B6179,#REF!,1,0)</f>
        <v>#REF!</v>
      </c>
      <c r="M6179" s="33" t="str">
        <f t="shared" si="387"/>
        <v>P&amp;L</v>
      </c>
    </row>
    <row r="6180" spans="1:13" s="33" customFormat="true" ht="12.75" customHeight="true">
      <c r="A6180" s="33" t="str">
        <f t="shared" si="384"/>
        <v>LPI - PM Expenses</v>
      </c>
      <c r="B6180" s="33" t="str">
        <f t="shared" si="385"/>
        <v>LPI</v>
      </c>
      <c r="C6180" s="33" t="str">
        <f t="shared" si="386"/>
        <v>55505-0005</v>
      </c>
      <c r="D6180" s="64" t="s">
        <v>7284</v>
      </c>
      <c r="E6180" s="64" t="s">
        <v>3828</v>
      </c>
      <c r="F6180" s="64" t="s">
        <v>230</v>
      </c>
      <c r="G6180" s="64" t="s">
        <v>3818</v>
      </c>
      <c r="H6180" s="64" t="s">
        <v>3819</v>
      </c>
      <c r="I6180" s="64" t="s">
        <v>3829</v>
      </c>
      <c r="J6180" s="67">
        <v>0</v>
      </c>
      <c r="K6180" s="62">
        <v>4125</v>
      </c>
      <c r="L6180" s="33" t="e">
        <f>HLOOKUP(B6180,#REF!,1,0)</f>
        <v>#REF!</v>
      </c>
      <c r="M6180" s="33" t="str">
        <f t="shared" si="387"/>
        <v>P&amp;L</v>
      </c>
    </row>
    <row r="6181" spans="1:13" s="33" customFormat="true" ht="12.75" customHeight="true">
      <c r="A6181" s="33" t="str">
        <f t="shared" si="384"/>
        <v>LPI - PM Expenses</v>
      </c>
      <c r="B6181" s="33" t="str">
        <f t="shared" si="385"/>
        <v>LPI</v>
      </c>
      <c r="C6181" s="33" t="str">
        <f t="shared" si="386"/>
        <v>55506-0002</v>
      </c>
      <c r="D6181" s="64" t="s">
        <v>7285</v>
      </c>
      <c r="E6181" s="64" t="s">
        <v>3831</v>
      </c>
      <c r="F6181" s="64" t="s">
        <v>230</v>
      </c>
      <c r="G6181" s="64" t="s">
        <v>3818</v>
      </c>
      <c r="H6181" s="64" t="s">
        <v>3819</v>
      </c>
      <c r="I6181" s="64" t="s">
        <v>3832</v>
      </c>
      <c r="J6181" s="67">
        <v>0</v>
      </c>
      <c r="K6181" s="62">
        <v>36781.03</v>
      </c>
      <c r="L6181" s="33" t="e">
        <f>HLOOKUP(B6181,#REF!,1,0)</f>
        <v>#REF!</v>
      </c>
      <c r="M6181" s="33" t="str">
        <f t="shared" si="387"/>
        <v>P&amp;L</v>
      </c>
    </row>
    <row r="6182" spans="1:13" s="33" customFormat="true" ht="12.75" customHeight="true">
      <c r="A6182" s="33" t="str">
        <f t="shared" si="384"/>
        <v>LPI - CGS</v>
      </c>
      <c r="B6182" s="33" t="str">
        <f t="shared" si="385"/>
        <v>LPI</v>
      </c>
      <c r="C6182" s="33" t="str">
        <f t="shared" si="386"/>
        <v>60002-0000</v>
      </c>
      <c r="D6182" s="64" t="s">
        <v>7286</v>
      </c>
      <c r="E6182" s="64" t="s">
        <v>3837</v>
      </c>
      <c r="F6182" s="64" t="s">
        <v>230</v>
      </c>
      <c r="G6182" s="64" t="s">
        <v>3838</v>
      </c>
      <c r="H6182" s="64" t="s">
        <v>1875</v>
      </c>
      <c r="I6182" s="64" t="s">
        <v>3839</v>
      </c>
      <c r="J6182" s="67">
        <v>301.33</v>
      </c>
      <c r="K6182" s="62">
        <v>1072.65</v>
      </c>
      <c r="L6182" s="33" t="e">
        <f>HLOOKUP(B6182,#REF!,1,0)</f>
        <v>#REF!</v>
      </c>
      <c r="M6182" s="33" t="str">
        <f t="shared" si="387"/>
        <v>P&amp;L</v>
      </c>
    </row>
    <row r="6183" spans="1:13" s="33" customFormat="true" ht="12.75" customHeight="true">
      <c r="A6183" s="33" t="str">
        <f t="shared" si="384"/>
        <v>LPI - CGS</v>
      </c>
      <c r="B6183" s="33" t="str">
        <f t="shared" si="385"/>
        <v>LPI</v>
      </c>
      <c r="C6183" s="33" t="str">
        <f t="shared" si="386"/>
        <v>60005-0000</v>
      </c>
      <c r="D6183" s="64" t="s">
        <v>7287</v>
      </c>
      <c r="E6183" s="64" t="s">
        <v>3841</v>
      </c>
      <c r="F6183" s="64" t="s">
        <v>230</v>
      </c>
      <c r="G6183" s="64" t="s">
        <v>3838</v>
      </c>
      <c r="H6183" s="64" t="s">
        <v>1875</v>
      </c>
      <c r="I6183" s="64" t="s">
        <v>3842</v>
      </c>
      <c r="J6183" s="67">
        <v>0</v>
      </c>
      <c r="K6183" s="62">
        <v>225.14</v>
      </c>
      <c r="L6183" s="33" t="e">
        <f>HLOOKUP(B6183,#REF!,1,0)</f>
        <v>#REF!</v>
      </c>
      <c r="M6183" s="33" t="str">
        <f t="shared" si="387"/>
        <v>P&amp;L</v>
      </c>
    </row>
    <row r="6184" spans="1:13" s="33" customFormat="true" ht="12.75" customHeight="true">
      <c r="A6184" s="33" t="str">
        <f t="shared" si="384"/>
        <v>LPI - CGS</v>
      </c>
      <c r="B6184" s="33" t="str">
        <f t="shared" si="385"/>
        <v>LPI</v>
      </c>
      <c r="C6184" s="33" t="str">
        <f t="shared" si="386"/>
        <v>60005-0001</v>
      </c>
      <c r="D6184" s="64" t="s">
        <v>7288</v>
      </c>
      <c r="E6184" s="64" t="s">
        <v>3841</v>
      </c>
      <c r="F6184" s="64" t="s">
        <v>230</v>
      </c>
      <c r="G6184" s="64" t="s">
        <v>3838</v>
      </c>
      <c r="H6184" s="64" t="s">
        <v>1875</v>
      </c>
      <c r="I6184" s="64" t="s">
        <v>3842</v>
      </c>
      <c r="J6184" s="67">
        <v>0</v>
      </c>
      <c r="K6184" s="62">
        <v>2854.23</v>
      </c>
      <c r="L6184" s="33" t="e">
        <f>HLOOKUP(B6184,#REF!,1,0)</f>
        <v>#REF!</v>
      </c>
      <c r="M6184" s="33" t="str">
        <f t="shared" si="387"/>
        <v>P&amp;L</v>
      </c>
    </row>
    <row r="6185" spans="1:13" s="33" customFormat="true" ht="12.75" customHeight="true">
      <c r="A6185" s="33" t="str">
        <f t="shared" si="384"/>
        <v>LPI - CGS</v>
      </c>
      <c r="B6185" s="33" t="str">
        <f t="shared" si="385"/>
        <v>LPI</v>
      </c>
      <c r="C6185" s="33" t="str">
        <f t="shared" si="386"/>
        <v>60005-0002</v>
      </c>
      <c r="D6185" s="64" t="s">
        <v>7289</v>
      </c>
      <c r="E6185" s="64" t="s">
        <v>3841</v>
      </c>
      <c r="F6185" s="64" t="s">
        <v>230</v>
      </c>
      <c r="G6185" s="64" t="s">
        <v>3838</v>
      </c>
      <c r="H6185" s="64" t="s">
        <v>1875</v>
      </c>
      <c r="I6185" s="64" t="s">
        <v>3842</v>
      </c>
      <c r="J6185" s="67">
        <v>0</v>
      </c>
      <c r="K6185" s="62">
        <v>1413.91</v>
      </c>
      <c r="L6185" s="33" t="e">
        <f>HLOOKUP(B6185,#REF!,1,0)</f>
        <v>#REF!</v>
      </c>
      <c r="M6185" s="33" t="str">
        <f t="shared" si="387"/>
        <v>P&amp;L</v>
      </c>
    </row>
    <row r="6186" spans="1:13" s="33" customFormat="true" ht="12.75" customHeight="true">
      <c r="A6186" s="33" t="str">
        <f t="shared" si="384"/>
        <v>LPI - CGS</v>
      </c>
      <c r="B6186" s="33" t="str">
        <f t="shared" si="385"/>
        <v>LPI</v>
      </c>
      <c r="C6186" s="33" t="str">
        <f t="shared" si="386"/>
        <v>60005-0003</v>
      </c>
      <c r="D6186" s="64" t="s">
        <v>7290</v>
      </c>
      <c r="E6186" s="64" t="s">
        <v>3841</v>
      </c>
      <c r="F6186" s="64" t="s">
        <v>230</v>
      </c>
      <c r="G6186" s="64" t="s">
        <v>3838</v>
      </c>
      <c r="H6186" s="64" t="s">
        <v>1875</v>
      </c>
      <c r="I6186" s="64" t="s">
        <v>3842</v>
      </c>
      <c r="J6186" s="67">
        <v>0</v>
      </c>
      <c r="K6186" s="62">
        <v>1247.29</v>
      </c>
      <c r="L6186" s="33" t="e">
        <f>HLOOKUP(B6186,#REF!,1,0)</f>
        <v>#REF!</v>
      </c>
      <c r="M6186" s="33" t="str">
        <f t="shared" si="387"/>
        <v>P&amp;L</v>
      </c>
    </row>
    <row r="6187" spans="1:13" s="33" customFormat="true" ht="12.75" customHeight="true">
      <c r="A6187" s="33" t="str">
        <f t="shared" si="384"/>
        <v>LPI - CGS</v>
      </c>
      <c r="B6187" s="33" t="str">
        <f t="shared" si="385"/>
        <v>LPI</v>
      </c>
      <c r="C6187" s="33" t="str">
        <f t="shared" si="386"/>
        <v>60005-0004</v>
      </c>
      <c r="D6187" s="64" t="s">
        <v>7291</v>
      </c>
      <c r="E6187" s="64" t="s">
        <v>3841</v>
      </c>
      <c r="F6187" s="64" t="s">
        <v>230</v>
      </c>
      <c r="G6187" s="64" t="s">
        <v>3838</v>
      </c>
      <c r="H6187" s="64" t="s">
        <v>1875</v>
      </c>
      <c r="I6187" s="64" t="s">
        <v>3842</v>
      </c>
      <c r="J6187" s="67">
        <v>0</v>
      </c>
      <c r="K6187" s="62">
        <v>2261.16</v>
      </c>
      <c r="L6187" s="33" t="e">
        <f>HLOOKUP(B6187,#REF!,1,0)</f>
        <v>#REF!</v>
      </c>
      <c r="M6187" s="33" t="str">
        <f t="shared" si="387"/>
        <v>P&amp;L</v>
      </c>
    </row>
    <row r="6188" spans="1:13" s="33" customFormat="true" ht="12.75" customHeight="true">
      <c r="A6188" s="33" t="str">
        <f t="shared" si="384"/>
        <v>LPI - CGS</v>
      </c>
      <c r="B6188" s="33" t="str">
        <f t="shared" si="385"/>
        <v>LPI</v>
      </c>
      <c r="C6188" s="33" t="str">
        <f t="shared" si="386"/>
        <v>60005-0005</v>
      </c>
      <c r="D6188" s="64" t="s">
        <v>7292</v>
      </c>
      <c r="E6188" s="64" t="s">
        <v>3841</v>
      </c>
      <c r="F6188" s="64" t="s">
        <v>230</v>
      </c>
      <c r="G6188" s="64" t="s">
        <v>3838</v>
      </c>
      <c r="H6188" s="64" t="s">
        <v>1875</v>
      </c>
      <c r="I6188" s="64" t="s">
        <v>3842</v>
      </c>
      <c r="J6188" s="67">
        <v>0</v>
      </c>
      <c r="K6188" s="62">
        <v>2482.98</v>
      </c>
      <c r="L6188" s="33" t="e">
        <f>HLOOKUP(B6188,#REF!,1,0)</f>
        <v>#REF!</v>
      </c>
      <c r="M6188" s="33" t="str">
        <f t="shared" si="387"/>
        <v>P&amp;L</v>
      </c>
    </row>
    <row r="6189" spans="1:13" s="33" customFormat="true" ht="12.75" customHeight="true">
      <c r="A6189" s="33" t="str">
        <f t="shared" si="384"/>
        <v>LPI - Interest Expense</v>
      </c>
      <c r="B6189" s="33" t="str">
        <f t="shared" si="385"/>
        <v>LPI</v>
      </c>
      <c r="C6189" s="33" t="str">
        <f t="shared" si="386"/>
        <v>60006-0001</v>
      </c>
      <c r="D6189" s="64" t="s">
        <v>7293</v>
      </c>
      <c r="E6189" s="64" t="s">
        <v>7294</v>
      </c>
      <c r="F6189" s="64" t="s">
        <v>230</v>
      </c>
      <c r="G6189" s="64" t="s">
        <v>3844</v>
      </c>
      <c r="H6189" s="64" t="s">
        <v>3327</v>
      </c>
      <c r="I6189" s="64" t="s">
        <v>3328</v>
      </c>
      <c r="J6189" s="67">
        <v>2327.47</v>
      </c>
      <c r="K6189" s="62">
        <v>23430.34</v>
      </c>
      <c r="L6189" s="33" t="e">
        <f>HLOOKUP(B6189,#REF!,1,0)</f>
        <v>#REF!</v>
      </c>
      <c r="M6189" s="33" t="str">
        <f t="shared" si="387"/>
        <v>P&amp;L</v>
      </c>
    </row>
    <row r="6190" spans="1:13" s="33" customFormat="true" ht="12.75" customHeight="true">
      <c r="A6190" s="33" t="str">
        <f t="shared" si="384"/>
        <v>LPI - Interest Expense</v>
      </c>
      <c r="B6190" s="33" t="str">
        <f t="shared" si="385"/>
        <v>LPI</v>
      </c>
      <c r="C6190" s="33" t="str">
        <f t="shared" si="386"/>
        <v>60006-0002</v>
      </c>
      <c r="D6190" s="64" t="s">
        <v>7295</v>
      </c>
      <c r="E6190" s="64" t="s">
        <v>7296</v>
      </c>
      <c r="F6190" s="64" t="s">
        <v>230</v>
      </c>
      <c r="G6190" s="64" t="s">
        <v>3844</v>
      </c>
      <c r="H6190" s="64" t="s">
        <v>3327</v>
      </c>
      <c r="I6190" s="64" t="s">
        <v>3328</v>
      </c>
      <c r="J6190" s="67">
        <v>1551.65</v>
      </c>
      <c r="K6190" s="62">
        <v>15620.25</v>
      </c>
      <c r="L6190" s="33" t="e">
        <f>HLOOKUP(B6190,#REF!,1,0)</f>
        <v>#REF!</v>
      </c>
      <c r="M6190" s="33" t="str">
        <f t="shared" si="387"/>
        <v>P&amp;L</v>
      </c>
    </row>
    <row r="6191" spans="1:13" s="33" customFormat="true" ht="12.75" customHeight="true">
      <c r="A6191" s="33" t="str">
        <f t="shared" si="384"/>
        <v>LPI - Interest Expense</v>
      </c>
      <c r="B6191" s="33" t="str">
        <f t="shared" si="385"/>
        <v>LPI</v>
      </c>
      <c r="C6191" s="33" t="str">
        <f t="shared" si="386"/>
        <v>60006-0003</v>
      </c>
      <c r="D6191" s="64" t="s">
        <v>7297</v>
      </c>
      <c r="E6191" s="64" t="s">
        <v>7298</v>
      </c>
      <c r="F6191" s="64" t="s">
        <v>230</v>
      </c>
      <c r="G6191" s="64" t="s">
        <v>3844</v>
      </c>
      <c r="H6191" s="64" t="s">
        <v>3327</v>
      </c>
      <c r="I6191" s="64" t="s">
        <v>3328</v>
      </c>
      <c r="J6191" s="67">
        <v>1303.38</v>
      </c>
      <c r="K6191" s="62">
        <v>13123.06</v>
      </c>
      <c r="L6191" s="33" t="e">
        <f>HLOOKUP(B6191,#REF!,1,0)</f>
        <v>#REF!</v>
      </c>
      <c r="M6191" s="33" t="str">
        <f t="shared" si="387"/>
        <v>P&amp;L</v>
      </c>
    </row>
    <row r="6192" spans="1:13" s="33" customFormat="true" ht="12.75" customHeight="true">
      <c r="A6192" s="33" t="str">
        <f t="shared" si="384"/>
        <v>LPI - Interest Expense</v>
      </c>
      <c r="B6192" s="33" t="str">
        <f t="shared" si="385"/>
        <v>LPI</v>
      </c>
      <c r="C6192" s="33" t="str">
        <f t="shared" si="386"/>
        <v>60006-0004</v>
      </c>
      <c r="D6192" s="64" t="s">
        <v>7299</v>
      </c>
      <c r="E6192" s="64" t="s">
        <v>7300</v>
      </c>
      <c r="F6192" s="64" t="s">
        <v>230</v>
      </c>
      <c r="G6192" s="64" t="s">
        <v>3844</v>
      </c>
      <c r="H6192" s="64" t="s">
        <v>3327</v>
      </c>
      <c r="I6192" s="64" t="s">
        <v>3328</v>
      </c>
      <c r="J6192" s="67">
        <v>1653.21</v>
      </c>
      <c r="K6192" s="62">
        <v>16642.65</v>
      </c>
      <c r="L6192" s="33" t="e">
        <f>HLOOKUP(B6192,#REF!,1,0)</f>
        <v>#REF!</v>
      </c>
      <c r="M6192" s="33" t="str">
        <f t="shared" si="387"/>
        <v>P&amp;L</v>
      </c>
    </row>
    <row r="6193" spans="1:13" s="33" customFormat="true" ht="12.75" customHeight="true">
      <c r="A6193" s="33" t="str">
        <f t="shared" si="384"/>
        <v>LPI - Interest Expense</v>
      </c>
      <c r="B6193" s="33" t="str">
        <f t="shared" si="385"/>
        <v>LPI</v>
      </c>
      <c r="C6193" s="33" t="str">
        <f t="shared" si="386"/>
        <v>60006-0005</v>
      </c>
      <c r="D6193" s="64" t="s">
        <v>7301</v>
      </c>
      <c r="E6193" s="64" t="s">
        <v>7302</v>
      </c>
      <c r="F6193" s="64" t="s">
        <v>230</v>
      </c>
      <c r="G6193" s="64" t="s">
        <v>3844</v>
      </c>
      <c r="H6193" s="64" t="s">
        <v>3327</v>
      </c>
      <c r="I6193" s="64" t="s">
        <v>3328</v>
      </c>
      <c r="J6193" s="67">
        <v>985.53</v>
      </c>
      <c r="K6193" s="62">
        <v>9921.22</v>
      </c>
      <c r="L6193" s="33" t="e">
        <f>HLOOKUP(B6193,#REF!,1,0)</f>
        <v>#REF!</v>
      </c>
      <c r="M6193" s="33" t="str">
        <f t="shared" si="387"/>
        <v>P&amp;L</v>
      </c>
    </row>
    <row r="6194" spans="1:13" s="33" customFormat="true" ht="12.75" customHeight="true">
      <c r="A6194" s="33" t="str">
        <f t="shared" si="384"/>
        <v>LPI - CGS</v>
      </c>
      <c r="B6194" s="33" t="str">
        <f t="shared" si="385"/>
        <v>LPI</v>
      </c>
      <c r="C6194" s="33" t="str">
        <f t="shared" si="386"/>
        <v>60007-0000</v>
      </c>
      <c r="D6194" s="64" t="s">
        <v>7303</v>
      </c>
      <c r="E6194" s="64" t="s">
        <v>3846</v>
      </c>
      <c r="F6194" s="64" t="s">
        <v>230</v>
      </c>
      <c r="G6194" s="64" t="s">
        <v>3838</v>
      </c>
      <c r="H6194" s="64" t="s">
        <v>1875</v>
      </c>
      <c r="I6194" s="64" t="s">
        <v>3847</v>
      </c>
      <c r="J6194" s="67">
        <v>0</v>
      </c>
      <c r="K6194" s="62">
        <v>801</v>
      </c>
      <c r="L6194" s="33" t="e">
        <f>HLOOKUP(B6194,#REF!,1,0)</f>
        <v>#REF!</v>
      </c>
      <c r="M6194" s="33" t="str">
        <f t="shared" si="387"/>
        <v>P&amp;L</v>
      </c>
    </row>
    <row r="6195" spans="1:13" s="33" customFormat="true" ht="12.75" customHeight="true">
      <c r="A6195" s="33" t="str">
        <f t="shared" si="384"/>
        <v>LPI - CGS</v>
      </c>
      <c r="B6195" s="33" t="str">
        <f t="shared" si="385"/>
        <v>LPI</v>
      </c>
      <c r="C6195" s="33" t="str">
        <f t="shared" si="386"/>
        <v>60012-0001</v>
      </c>
      <c r="D6195" s="64" t="s">
        <v>7304</v>
      </c>
      <c r="E6195" s="64" t="s">
        <v>3852</v>
      </c>
      <c r="F6195" s="64" t="s">
        <v>230</v>
      </c>
      <c r="G6195" s="64" t="s">
        <v>3838</v>
      </c>
      <c r="H6195" s="64" t="s">
        <v>1875</v>
      </c>
      <c r="I6195" s="64" t="s">
        <v>3853</v>
      </c>
      <c r="J6195" s="67">
        <v>0</v>
      </c>
      <c r="K6195" s="62">
        <v>5241.89</v>
      </c>
      <c r="L6195" s="33" t="e">
        <f>HLOOKUP(B6195,#REF!,1,0)</f>
        <v>#REF!</v>
      </c>
      <c r="M6195" s="33" t="str">
        <f t="shared" si="387"/>
        <v>P&amp;L</v>
      </c>
    </row>
    <row r="6196" spans="1:13" s="33" customFormat="true" ht="12.75" customHeight="true">
      <c r="A6196" s="33" t="str">
        <f t="shared" si="384"/>
        <v>LPI - CGS</v>
      </c>
      <c r="B6196" s="33" t="str">
        <f t="shared" si="385"/>
        <v>LPI</v>
      </c>
      <c r="C6196" s="33" t="str">
        <f t="shared" si="386"/>
        <v>60012-0002</v>
      </c>
      <c r="D6196" s="64" t="s">
        <v>7305</v>
      </c>
      <c r="E6196" s="64" t="s">
        <v>3852</v>
      </c>
      <c r="F6196" s="64" t="s">
        <v>230</v>
      </c>
      <c r="G6196" s="64" t="s">
        <v>3838</v>
      </c>
      <c r="H6196" s="64" t="s">
        <v>1875</v>
      </c>
      <c r="I6196" s="64" t="s">
        <v>3853</v>
      </c>
      <c r="J6196" s="67">
        <v>0</v>
      </c>
      <c r="K6196" s="62">
        <v>2328.48</v>
      </c>
      <c r="L6196" s="33" t="e">
        <f>HLOOKUP(B6196,#REF!,1,0)</f>
        <v>#REF!</v>
      </c>
      <c r="M6196" s="33" t="str">
        <f t="shared" si="387"/>
        <v>P&amp;L</v>
      </c>
    </row>
    <row r="6197" spans="1:13" s="33" customFormat="true" ht="12.75" customHeight="true">
      <c r="A6197" s="33" t="str">
        <f t="shared" si="384"/>
        <v>LPI - CGS</v>
      </c>
      <c r="B6197" s="33" t="str">
        <f t="shared" si="385"/>
        <v>LPI</v>
      </c>
      <c r="C6197" s="33" t="str">
        <f t="shared" si="386"/>
        <v>60012-0003</v>
      </c>
      <c r="D6197" s="64" t="s">
        <v>7306</v>
      </c>
      <c r="E6197" s="64" t="s">
        <v>3852</v>
      </c>
      <c r="F6197" s="64" t="s">
        <v>230</v>
      </c>
      <c r="G6197" s="64" t="s">
        <v>3838</v>
      </c>
      <c r="H6197" s="64" t="s">
        <v>1875</v>
      </c>
      <c r="I6197" s="64" t="s">
        <v>3853</v>
      </c>
      <c r="J6197" s="67">
        <v>0</v>
      </c>
      <c r="K6197" s="62">
        <v>2833.76</v>
      </c>
      <c r="L6197" s="33" t="e">
        <f>HLOOKUP(B6197,#REF!,1,0)</f>
        <v>#REF!</v>
      </c>
      <c r="M6197" s="33" t="str">
        <f t="shared" si="387"/>
        <v>P&amp;L</v>
      </c>
    </row>
    <row r="6198" spans="1:13" s="33" customFormat="true" ht="12.75" customHeight="true">
      <c r="A6198" s="33" t="str">
        <f t="shared" si="384"/>
        <v>LPI - CGS</v>
      </c>
      <c r="B6198" s="33" t="str">
        <f t="shared" si="385"/>
        <v>LPI</v>
      </c>
      <c r="C6198" s="33" t="str">
        <f t="shared" si="386"/>
        <v>60012-0004</v>
      </c>
      <c r="D6198" s="64" t="s">
        <v>7307</v>
      </c>
      <c r="E6198" s="64" t="s">
        <v>3852</v>
      </c>
      <c r="F6198" s="64" t="s">
        <v>230</v>
      </c>
      <c r="G6198" s="64" t="s">
        <v>3838</v>
      </c>
      <c r="H6198" s="64" t="s">
        <v>1875</v>
      </c>
      <c r="I6198" s="64" t="s">
        <v>3853</v>
      </c>
      <c r="J6198" s="67">
        <v>0</v>
      </c>
      <c r="K6198" s="62">
        <v>3051.38</v>
      </c>
      <c r="L6198" s="33" t="e">
        <f>HLOOKUP(B6198,#REF!,1,0)</f>
        <v>#REF!</v>
      </c>
      <c r="M6198" s="33" t="str">
        <f t="shared" si="387"/>
        <v>P&amp;L</v>
      </c>
    </row>
    <row r="6199" spans="1:13" s="33" customFormat="true" ht="12.75" customHeight="true">
      <c r="A6199" s="33" t="str">
        <f t="shared" si="384"/>
        <v>LPI - CGS</v>
      </c>
      <c r="B6199" s="33" t="str">
        <f t="shared" si="385"/>
        <v>LPI</v>
      </c>
      <c r="C6199" s="33" t="str">
        <f t="shared" si="386"/>
        <v>60012-0005</v>
      </c>
      <c r="D6199" s="64" t="s">
        <v>7308</v>
      </c>
      <c r="E6199" s="64" t="s">
        <v>3852</v>
      </c>
      <c r="F6199" s="64" t="s">
        <v>230</v>
      </c>
      <c r="G6199" s="64" t="s">
        <v>3838</v>
      </c>
      <c r="H6199" s="64" t="s">
        <v>1875</v>
      </c>
      <c r="I6199" s="64" t="s">
        <v>3853</v>
      </c>
      <c r="J6199" s="67">
        <v>0</v>
      </c>
      <c r="K6199" s="62">
        <v>3433.51</v>
      </c>
      <c r="L6199" s="33" t="e">
        <f>HLOOKUP(B6199,#REF!,1,0)</f>
        <v>#REF!</v>
      </c>
      <c r="M6199" s="33" t="str">
        <f t="shared" si="387"/>
        <v>P&amp;L</v>
      </c>
    </row>
    <row r="6200" spans="1:13" s="33" customFormat="true" ht="12.75" customHeight="true">
      <c r="A6200" s="33" t="str">
        <f t="shared" si="384"/>
        <v>LPI - CGS</v>
      </c>
      <c r="B6200" s="33" t="str">
        <f t="shared" si="385"/>
        <v>LPI</v>
      </c>
      <c r="C6200" s="33" t="str">
        <f t="shared" si="386"/>
        <v>60014-0000</v>
      </c>
      <c r="D6200" s="64" t="s">
        <v>7309</v>
      </c>
      <c r="E6200" s="64" t="s">
        <v>3855</v>
      </c>
      <c r="F6200" s="64" t="s">
        <v>230</v>
      </c>
      <c r="G6200" s="64" t="s">
        <v>3838</v>
      </c>
      <c r="H6200" s="64" t="s">
        <v>1875</v>
      </c>
      <c r="I6200" s="64" t="s">
        <v>3856</v>
      </c>
      <c r="J6200" s="67">
        <v>568.92</v>
      </c>
      <c r="K6200" s="62">
        <v>568.92</v>
      </c>
      <c r="L6200" s="33" t="e">
        <f>HLOOKUP(B6200,#REF!,1,0)</f>
        <v>#REF!</v>
      </c>
      <c r="M6200" s="33" t="str">
        <f t="shared" si="387"/>
        <v>P&amp;L</v>
      </c>
    </row>
    <row r="6201" spans="1:13" s="33" customFormat="true" ht="12.75" customHeight="true">
      <c r="A6201" s="33" t="str">
        <f t="shared" si="384"/>
        <v>LPI - CGS</v>
      </c>
      <c r="B6201" s="33" t="str">
        <f t="shared" si="385"/>
        <v>LPI</v>
      </c>
      <c r="C6201" s="33" t="str">
        <f t="shared" si="386"/>
        <v>60014-0001</v>
      </c>
      <c r="D6201" s="64" t="s">
        <v>7310</v>
      </c>
      <c r="E6201" s="64" t="s">
        <v>3855</v>
      </c>
      <c r="F6201" s="64" t="s">
        <v>230</v>
      </c>
      <c r="G6201" s="64" t="s">
        <v>3838</v>
      </c>
      <c r="H6201" s="64" t="s">
        <v>1875</v>
      </c>
      <c r="I6201" s="64" t="s">
        <v>3856</v>
      </c>
      <c r="J6201" s="67">
        <v>0</v>
      </c>
      <c r="K6201" s="62">
        <v>1869</v>
      </c>
      <c r="L6201" s="33" t="e">
        <f>HLOOKUP(B6201,#REF!,1,0)</f>
        <v>#REF!</v>
      </c>
      <c r="M6201" s="33" t="str">
        <f t="shared" si="387"/>
        <v>P&amp;L</v>
      </c>
    </row>
    <row r="6202" spans="1:13" s="33" customFormat="true" ht="12.75" customHeight="true">
      <c r="A6202" s="33" t="str">
        <f t="shared" si="384"/>
        <v>LPI - CGS</v>
      </c>
      <c r="B6202" s="33" t="str">
        <f t="shared" si="385"/>
        <v>LPI</v>
      </c>
      <c r="C6202" s="33" t="str">
        <f t="shared" si="386"/>
        <v>60014-0002</v>
      </c>
      <c r="D6202" s="64" t="s">
        <v>7311</v>
      </c>
      <c r="E6202" s="64" t="s">
        <v>3855</v>
      </c>
      <c r="F6202" s="64" t="s">
        <v>230</v>
      </c>
      <c r="G6202" s="64" t="s">
        <v>3838</v>
      </c>
      <c r="H6202" s="64" t="s">
        <v>1875</v>
      </c>
      <c r="I6202" s="64" t="s">
        <v>3856</v>
      </c>
      <c r="J6202" s="67">
        <v>0</v>
      </c>
      <c r="K6202" s="62">
        <v>1386.62</v>
      </c>
      <c r="L6202" s="33" t="e">
        <f>HLOOKUP(B6202,#REF!,1,0)</f>
        <v>#REF!</v>
      </c>
      <c r="M6202" s="33" t="str">
        <f t="shared" si="387"/>
        <v>P&amp;L</v>
      </c>
    </row>
    <row r="6203" spans="1:13" s="33" customFormat="true" ht="14.25" customHeight="true">
      <c r="A6203" s="33" t="str">
        <f t="shared" si="384"/>
        <v>LPI - CGS</v>
      </c>
      <c r="B6203" s="33" t="str">
        <f t="shared" si="385"/>
        <v>LPI</v>
      </c>
      <c r="C6203" s="33" t="str">
        <f t="shared" si="386"/>
        <v>60014-0003</v>
      </c>
      <c r="D6203" s="64" t="s">
        <v>7312</v>
      </c>
      <c r="E6203" s="64" t="s">
        <v>3855</v>
      </c>
      <c r="F6203" s="64" t="s">
        <v>230</v>
      </c>
      <c r="G6203" s="64" t="s">
        <v>3838</v>
      </c>
      <c r="H6203" s="33" t="s">
        <v>1875</v>
      </c>
      <c r="I6203" s="64" t="s">
        <v>3856</v>
      </c>
      <c r="J6203" s="67">
        <v>0</v>
      </c>
      <c r="K6203" s="62">
        <v>1539</v>
      </c>
      <c r="L6203" s="33" t="e">
        <f>HLOOKUP(B6203,#REF!,1,0)</f>
        <v>#REF!</v>
      </c>
      <c r="M6203" s="33" t="str">
        <f t="shared" si="387"/>
        <v>P&amp;L</v>
      </c>
    </row>
    <row r="6204" spans="1:13" s="33" customFormat="true" ht="12.75" customHeight="true">
      <c r="A6204" s="33" t="str">
        <f t="shared" si="384"/>
        <v>LPI - CGS</v>
      </c>
      <c r="B6204" s="33" t="str">
        <f t="shared" si="385"/>
        <v>LPI</v>
      </c>
      <c r="C6204" s="33" t="str">
        <f t="shared" si="386"/>
        <v>60014-0004</v>
      </c>
      <c r="D6204" s="64" t="s">
        <v>7313</v>
      </c>
      <c r="E6204" s="64" t="s">
        <v>3855</v>
      </c>
      <c r="F6204" s="64" t="s">
        <v>230</v>
      </c>
      <c r="G6204" s="64" t="s">
        <v>3838</v>
      </c>
      <c r="H6204" s="64" t="s">
        <v>1875</v>
      </c>
      <c r="I6204" s="64" t="s">
        <v>3856</v>
      </c>
      <c r="J6204" s="67">
        <v>0</v>
      </c>
      <c r="K6204" s="62">
        <v>2207.52</v>
      </c>
      <c r="L6204" s="33" t="e">
        <f>HLOOKUP(B6204,#REF!,1,0)</f>
        <v>#REF!</v>
      </c>
      <c r="M6204" s="33" t="str">
        <f t="shared" si="387"/>
        <v>P&amp;L</v>
      </c>
    </row>
    <row r="6205" spans="1:13" s="33" customFormat="true" ht="12.75" customHeight="true">
      <c r="A6205" s="33" t="str">
        <f t="shared" si="384"/>
        <v>LPI - CGS</v>
      </c>
      <c r="B6205" s="33" t="str">
        <f t="shared" si="385"/>
        <v>LPI</v>
      </c>
      <c r="C6205" s="33" t="str">
        <f t="shared" si="386"/>
        <v>60014-0005</v>
      </c>
      <c r="D6205" s="64" t="s">
        <v>7314</v>
      </c>
      <c r="E6205" s="64" t="s">
        <v>3855</v>
      </c>
      <c r="F6205" s="64" t="s">
        <v>230</v>
      </c>
      <c r="G6205" s="64" t="s">
        <v>3838</v>
      </c>
      <c r="H6205" s="64" t="s">
        <v>1875</v>
      </c>
      <c r="I6205" s="64" t="s">
        <v>3856</v>
      </c>
      <c r="J6205" s="67">
        <v>0</v>
      </c>
      <c r="K6205" s="62">
        <v>1032.6</v>
      </c>
      <c r="L6205" s="33" t="e">
        <f>HLOOKUP(B6205,#REF!,1,0)</f>
        <v>#REF!</v>
      </c>
      <c r="M6205" s="33" t="str">
        <f t="shared" si="387"/>
        <v>P&amp;L</v>
      </c>
    </row>
    <row r="6206" spans="1:13" s="33" customFormat="true" ht="12.75" customHeight="true">
      <c r="A6206" s="33" t="str">
        <f t="shared" si="384"/>
        <v>LPI - CGS</v>
      </c>
      <c r="B6206" s="33" t="str">
        <f t="shared" si="385"/>
        <v>LPI</v>
      </c>
      <c r="C6206" s="33" t="str">
        <f t="shared" si="386"/>
        <v>60015-0000</v>
      </c>
      <c r="D6206" s="64" t="s">
        <v>7315</v>
      </c>
      <c r="E6206" s="64" t="s">
        <v>3858</v>
      </c>
      <c r="F6206" s="64" t="s">
        <v>230</v>
      </c>
      <c r="G6206" s="64" t="s">
        <v>3838</v>
      </c>
      <c r="H6206" s="64" t="s">
        <v>1875</v>
      </c>
      <c r="I6206" s="64" t="s">
        <v>3859</v>
      </c>
      <c r="J6206" s="67">
        <v>0</v>
      </c>
      <c r="K6206" s="62">
        <v>186</v>
      </c>
      <c r="L6206" s="33" t="e">
        <f>HLOOKUP(B6206,#REF!,1,0)</f>
        <v>#REF!</v>
      </c>
      <c r="M6206" s="33" t="str">
        <f t="shared" si="387"/>
        <v>P&amp;L</v>
      </c>
    </row>
    <row r="6207" spans="1:13" s="33" customFormat="true" ht="12.75" customHeight="true">
      <c r="A6207" s="33" t="str">
        <f t="shared" si="384"/>
        <v>LPI - Income Tax</v>
      </c>
      <c r="B6207" s="33" t="str">
        <f t="shared" si="385"/>
        <v>LPI</v>
      </c>
      <c r="C6207" s="33" t="str">
        <f t="shared" si="386"/>
        <v>61019-0000</v>
      </c>
      <c r="D6207" s="64" t="s">
        <v>7316</v>
      </c>
      <c r="E6207" s="64" t="s">
        <v>4041</v>
      </c>
      <c r="F6207" s="64" t="s">
        <v>230</v>
      </c>
      <c r="G6207" s="64" t="s">
        <v>3844</v>
      </c>
      <c r="H6207" s="64" t="s">
        <v>3378</v>
      </c>
      <c r="I6207" s="64" t="s">
        <v>4042</v>
      </c>
      <c r="J6207" s="67">
        <v>0</v>
      </c>
      <c r="K6207" s="62">
        <v>-113.04</v>
      </c>
      <c r="L6207" s="33" t="e">
        <f>HLOOKUP(B6207,#REF!,1,0)</f>
        <v>#REF!</v>
      </c>
      <c r="M6207" s="33" t="str">
        <f t="shared" si="387"/>
        <v>P&amp;L</v>
      </c>
    </row>
    <row r="6208" spans="1:13" s="33" customFormat="true" ht="12.75" customHeight="true">
      <c r="A6208" s="33" t="str">
        <f t="shared" si="384"/>
        <v>MAR - Fixed Assets</v>
      </c>
      <c r="B6208" s="33" t="str">
        <f t="shared" si="385"/>
        <v>MAR</v>
      </c>
      <c r="C6208" s="33" t="str">
        <f t="shared" si="386"/>
        <v>15501-0000</v>
      </c>
      <c r="D6208" s="64" t="s">
        <v>7317</v>
      </c>
      <c r="E6208" s="64" t="s">
        <v>2635</v>
      </c>
      <c r="F6208" s="64" t="s">
        <v>230</v>
      </c>
      <c r="G6208" s="64" t="s">
        <v>62</v>
      </c>
      <c r="H6208" s="64" t="s">
        <v>63</v>
      </c>
      <c r="I6208" s="64" t="s">
        <v>64</v>
      </c>
      <c r="J6208" s="67">
        <v>388.97</v>
      </c>
      <c r="K6208" s="62">
        <v>1526.57</v>
      </c>
      <c r="L6208" s="33" t="e">
        <f>HLOOKUP(B6208,#REF!,1,0)</f>
        <v>#REF!</v>
      </c>
      <c r="M6208" s="33" t="str">
        <f t="shared" si="387"/>
        <v>BS</v>
      </c>
    </row>
    <row r="6209" spans="1:13" s="33" customFormat="true" ht="12.75" customHeight="true">
      <c r="A6209" s="33" t="str">
        <f t="shared" si="384"/>
        <v>MAR - AR-PPD</v>
      </c>
      <c r="B6209" s="33" t="str">
        <f t="shared" si="385"/>
        <v>MAR</v>
      </c>
      <c r="C6209" s="33" t="str">
        <f t="shared" si="386"/>
        <v>25300-0000</v>
      </c>
      <c r="D6209" s="64" t="s">
        <v>7318</v>
      </c>
      <c r="E6209" s="64" t="s">
        <v>3677</v>
      </c>
      <c r="F6209" s="64" t="s">
        <v>230</v>
      </c>
      <c r="G6209" s="64" t="s">
        <v>3678</v>
      </c>
      <c r="H6209" s="64" t="s">
        <v>35</v>
      </c>
      <c r="I6209" s="64" t="s">
        <v>102</v>
      </c>
      <c r="J6209" s="67">
        <v>-5197.45</v>
      </c>
      <c r="K6209" s="62">
        <v>-5197.45</v>
      </c>
      <c r="L6209" s="33" t="e">
        <f>HLOOKUP(B6209,#REF!,1,0)</f>
        <v>#REF!</v>
      </c>
      <c r="M6209" s="33" t="str">
        <f t="shared" si="387"/>
        <v>BS</v>
      </c>
    </row>
    <row r="6210" spans="1:13" s="33" customFormat="true" ht="12.75" customHeight="true">
      <c r="A6210" s="33" t="str">
        <f t="shared" ref="A6210:A6273" si="388">B6210&amp;" - "&amp;TRIM(H6210)</f>
        <v>MAR - Revenue</v>
      </c>
      <c r="B6210" s="33" t="str">
        <f t="shared" ref="B6210:B6273" si="389">LEFT(D6210,3)</f>
        <v>MAR</v>
      </c>
      <c r="C6210" s="33" t="str">
        <f t="shared" ref="C6210:C6273" si="390">RIGHT(D6210,10)</f>
        <v>40110-0000</v>
      </c>
      <c r="D6210" s="64" t="s">
        <v>7319</v>
      </c>
      <c r="E6210" s="64" t="s">
        <v>3683</v>
      </c>
      <c r="F6210" s="64" t="s">
        <v>230</v>
      </c>
      <c r="G6210" s="64" t="s">
        <v>3684</v>
      </c>
      <c r="H6210" s="64" t="s">
        <v>2871</v>
      </c>
      <c r="I6210" s="64" t="s">
        <v>3685</v>
      </c>
      <c r="J6210" s="67">
        <v>-37829.66</v>
      </c>
      <c r="K6210" s="62">
        <v>-378296.6</v>
      </c>
      <c r="L6210" s="33" t="e">
        <f>HLOOKUP(B6210,#REF!,1,0)</f>
        <v>#REF!</v>
      </c>
      <c r="M6210" s="33" t="str">
        <f t="shared" ref="M6210:M6273" si="391">IF(VALUE(LEFT(C6210,5))&gt;40000,"P&amp;L","BS")</f>
        <v>P&amp;L</v>
      </c>
    </row>
    <row r="6211" spans="1:13" s="33" customFormat="true" ht="12.75" customHeight="true">
      <c r="A6211" s="33" t="str">
        <f t="shared" si="388"/>
        <v>MAR - Revenue</v>
      </c>
      <c r="B6211" s="33" t="str">
        <f t="shared" si="389"/>
        <v>MAR</v>
      </c>
      <c r="C6211" s="33" t="str">
        <f t="shared" si="390"/>
        <v>40120-0000</v>
      </c>
      <c r="D6211" s="64" t="s">
        <v>7320</v>
      </c>
      <c r="E6211" s="64" t="s">
        <v>3687</v>
      </c>
      <c r="F6211" s="64" t="s">
        <v>230</v>
      </c>
      <c r="G6211" s="64" t="s">
        <v>3684</v>
      </c>
      <c r="H6211" s="64" t="s">
        <v>2871</v>
      </c>
      <c r="I6211" s="64" t="s">
        <v>3688</v>
      </c>
      <c r="J6211" s="67">
        <v>0</v>
      </c>
      <c r="K6211" s="62">
        <v>0</v>
      </c>
      <c r="L6211" s="33" t="e">
        <f>HLOOKUP(B6211,#REF!,1,0)</f>
        <v>#REF!</v>
      </c>
      <c r="M6211" s="33" t="str">
        <f t="shared" si="391"/>
        <v>P&amp;L</v>
      </c>
    </row>
    <row r="6212" spans="1:13" s="33" customFormat="true" ht="12.75" customHeight="true">
      <c r="A6212" s="33" t="str">
        <f t="shared" si="388"/>
        <v>MAR - Revenue</v>
      </c>
      <c r="B6212" s="33" t="str">
        <f t="shared" si="389"/>
        <v>MAR</v>
      </c>
      <c r="C6212" s="33" t="str">
        <f t="shared" si="390"/>
        <v>40130-0000</v>
      </c>
      <c r="D6212" s="64" t="s">
        <v>7321</v>
      </c>
      <c r="E6212" s="64" t="s">
        <v>3690</v>
      </c>
      <c r="F6212" s="64" t="s">
        <v>230</v>
      </c>
      <c r="G6212" s="64" t="s">
        <v>3684</v>
      </c>
      <c r="H6212" s="64" t="s">
        <v>2871</v>
      </c>
      <c r="I6212" s="64" t="s">
        <v>3691</v>
      </c>
      <c r="J6212" s="67">
        <v>-375</v>
      </c>
      <c r="K6212" s="62">
        <v>-750</v>
      </c>
      <c r="L6212" s="33" t="e">
        <f>HLOOKUP(B6212,#REF!,1,0)</f>
        <v>#REF!</v>
      </c>
      <c r="M6212" s="33" t="str">
        <f t="shared" si="391"/>
        <v>P&amp;L</v>
      </c>
    </row>
    <row r="6213" spans="1:13" s="33" customFormat="true" ht="12.75" customHeight="true">
      <c r="A6213" s="33" t="str">
        <f t="shared" si="388"/>
        <v>MAR - Revenue</v>
      </c>
      <c r="B6213" s="33" t="str">
        <f t="shared" si="389"/>
        <v>MAR</v>
      </c>
      <c r="C6213" s="33" t="str">
        <f t="shared" si="390"/>
        <v>40140-0000</v>
      </c>
      <c r="D6213" s="64" t="s">
        <v>7322</v>
      </c>
      <c r="E6213" s="64" t="s">
        <v>3948</v>
      </c>
      <c r="F6213" s="64" t="s">
        <v>230</v>
      </c>
      <c r="G6213" s="64" t="s">
        <v>3684</v>
      </c>
      <c r="H6213" s="64" t="s">
        <v>2871</v>
      </c>
      <c r="I6213" s="64" t="s">
        <v>3949</v>
      </c>
      <c r="J6213" s="67">
        <v>0</v>
      </c>
      <c r="K6213" s="62">
        <v>0</v>
      </c>
      <c r="L6213" s="33" t="e">
        <f>HLOOKUP(B6213,#REF!,1,0)</f>
        <v>#REF!</v>
      </c>
      <c r="M6213" s="33" t="str">
        <f t="shared" si="391"/>
        <v>P&amp;L</v>
      </c>
    </row>
    <row r="6214" spans="1:13" s="33" customFormat="true" ht="12.75" customHeight="true">
      <c r="A6214" s="33" t="str">
        <f t="shared" si="388"/>
        <v>MAR - Revenue</v>
      </c>
      <c r="B6214" s="33" t="str">
        <f t="shared" si="389"/>
        <v>MAR</v>
      </c>
      <c r="C6214" s="33" t="str">
        <f t="shared" si="390"/>
        <v>41110-0000</v>
      </c>
      <c r="D6214" s="64" t="s">
        <v>7323</v>
      </c>
      <c r="E6214" s="64" t="s">
        <v>3693</v>
      </c>
      <c r="F6214" s="64" t="s">
        <v>230</v>
      </c>
      <c r="G6214" s="64" t="s">
        <v>3694</v>
      </c>
      <c r="H6214" s="64" t="s">
        <v>2871</v>
      </c>
      <c r="I6214" s="64" t="s">
        <v>3695</v>
      </c>
      <c r="J6214" s="67">
        <v>0</v>
      </c>
      <c r="K6214" s="62">
        <v>3350</v>
      </c>
      <c r="L6214" s="33" t="e">
        <f>HLOOKUP(B6214,#REF!,1,0)</f>
        <v>#REF!</v>
      </c>
      <c r="M6214" s="33" t="str">
        <f t="shared" si="391"/>
        <v>P&amp;L</v>
      </c>
    </row>
    <row r="6215" spans="1:13" s="33" customFormat="true" ht="12.75" customHeight="true">
      <c r="A6215" s="33" t="str">
        <f t="shared" si="388"/>
        <v>MAR - Revenue</v>
      </c>
      <c r="B6215" s="33" t="str">
        <f t="shared" si="389"/>
        <v>MAR</v>
      </c>
      <c r="C6215" s="33" t="str">
        <f t="shared" si="390"/>
        <v>41121-0000</v>
      </c>
      <c r="D6215" s="64" t="s">
        <v>7324</v>
      </c>
      <c r="E6215" s="64" t="s">
        <v>4146</v>
      </c>
      <c r="F6215" s="64" t="s">
        <v>230</v>
      </c>
      <c r="G6215" s="64" t="s">
        <v>3694</v>
      </c>
      <c r="H6215" s="64" t="s">
        <v>2871</v>
      </c>
      <c r="I6215" s="64" t="s">
        <v>3698</v>
      </c>
      <c r="J6215" s="67">
        <v>8805.24</v>
      </c>
      <c r="K6215" s="62">
        <v>60237.57</v>
      </c>
      <c r="L6215" s="33" t="e">
        <f>HLOOKUP(B6215,#REF!,1,0)</f>
        <v>#REF!</v>
      </c>
      <c r="M6215" s="33" t="str">
        <f t="shared" si="391"/>
        <v>P&amp;L</v>
      </c>
    </row>
    <row r="6216" spans="1:13" s="33" customFormat="true" ht="12.75" customHeight="true">
      <c r="A6216" s="33" t="str">
        <f t="shared" si="388"/>
        <v>MAR - Revenue</v>
      </c>
      <c r="B6216" s="33" t="str">
        <f t="shared" si="389"/>
        <v>MAR</v>
      </c>
      <c r="C6216" s="33" t="str">
        <f t="shared" si="390"/>
        <v>41122-0000</v>
      </c>
      <c r="D6216" s="64" t="s">
        <v>7325</v>
      </c>
      <c r="E6216" s="64" t="s">
        <v>3700</v>
      </c>
      <c r="F6216" s="64" t="s">
        <v>230</v>
      </c>
      <c r="G6216" s="64" t="s">
        <v>3694</v>
      </c>
      <c r="H6216" s="64" t="s">
        <v>2871</v>
      </c>
      <c r="I6216" s="64" t="s">
        <v>3701</v>
      </c>
      <c r="J6216" s="67">
        <v>1385.47</v>
      </c>
      <c r="K6216" s="62">
        <v>-47643.01</v>
      </c>
      <c r="L6216" s="33" t="e">
        <f>HLOOKUP(B6216,#REF!,1,0)</f>
        <v>#REF!</v>
      </c>
      <c r="M6216" s="33" t="str">
        <f t="shared" si="391"/>
        <v>P&amp;L</v>
      </c>
    </row>
    <row r="6217" spans="1:13" s="33" customFormat="true" ht="12.75" customHeight="true">
      <c r="A6217" s="33" t="str">
        <f t="shared" si="388"/>
        <v>MAR - Revenue</v>
      </c>
      <c r="B6217" s="33" t="str">
        <f t="shared" si="389"/>
        <v>MAR</v>
      </c>
      <c r="C6217" s="33" t="str">
        <f t="shared" si="390"/>
        <v>41130-0000</v>
      </c>
      <c r="D6217" s="64" t="s">
        <v>7326</v>
      </c>
      <c r="E6217" s="64" t="s">
        <v>3703</v>
      </c>
      <c r="F6217" s="64" t="s">
        <v>230</v>
      </c>
      <c r="G6217" s="64" t="s">
        <v>3694</v>
      </c>
      <c r="H6217" s="64" t="s">
        <v>2871</v>
      </c>
      <c r="I6217" s="64" t="s">
        <v>3704</v>
      </c>
      <c r="J6217" s="67">
        <v>0</v>
      </c>
      <c r="K6217" s="62">
        <v>3600</v>
      </c>
      <c r="L6217" s="33" t="e">
        <f>HLOOKUP(B6217,#REF!,1,0)</f>
        <v>#REF!</v>
      </c>
      <c r="M6217" s="33" t="str">
        <f t="shared" si="391"/>
        <v>P&amp;L</v>
      </c>
    </row>
    <row r="6218" spans="1:13" s="33" customFormat="true" ht="12.75" customHeight="true">
      <c r="A6218" s="33" t="str">
        <f t="shared" si="388"/>
        <v>MAR - Revenue</v>
      </c>
      <c r="B6218" s="33" t="str">
        <f t="shared" si="389"/>
        <v>MAR</v>
      </c>
      <c r="C6218" s="33" t="str">
        <f t="shared" si="390"/>
        <v>41140-0000</v>
      </c>
      <c r="D6218" s="64" t="s">
        <v>7327</v>
      </c>
      <c r="E6218" s="64" t="s">
        <v>3706</v>
      </c>
      <c r="F6218" s="64" t="s">
        <v>230</v>
      </c>
      <c r="G6218" s="64" t="s">
        <v>3694</v>
      </c>
      <c r="H6218" s="64" t="s">
        <v>2871</v>
      </c>
      <c r="I6218" s="64" t="s">
        <v>3707</v>
      </c>
      <c r="J6218" s="67">
        <v>0</v>
      </c>
      <c r="K6218" s="62">
        <v>6700</v>
      </c>
      <c r="L6218" s="33" t="e">
        <f>HLOOKUP(B6218,#REF!,1,0)</f>
        <v>#REF!</v>
      </c>
      <c r="M6218" s="33" t="str">
        <f t="shared" si="391"/>
        <v>P&amp;L</v>
      </c>
    </row>
    <row r="6219" spans="1:13" s="33" customFormat="true" ht="12.75" customHeight="true">
      <c r="A6219" s="33" t="str">
        <f t="shared" si="388"/>
        <v>MAR - Revenue</v>
      </c>
      <c r="B6219" s="33" t="str">
        <f t="shared" si="389"/>
        <v>MAR</v>
      </c>
      <c r="C6219" s="33" t="str">
        <f t="shared" si="390"/>
        <v>41150-0000</v>
      </c>
      <c r="D6219" s="64" t="s">
        <v>7328</v>
      </c>
      <c r="E6219" s="64" t="s">
        <v>3709</v>
      </c>
      <c r="F6219" s="64" t="s">
        <v>230</v>
      </c>
      <c r="G6219" s="64" t="s">
        <v>3694</v>
      </c>
      <c r="H6219" s="64" t="s">
        <v>2871</v>
      </c>
      <c r="I6219" s="64" t="s">
        <v>3710</v>
      </c>
      <c r="J6219" s="67">
        <v>1450</v>
      </c>
      <c r="K6219" s="62">
        <v>11600</v>
      </c>
      <c r="L6219" s="33" t="e">
        <f>HLOOKUP(B6219,#REF!,1,0)</f>
        <v>#REF!</v>
      </c>
      <c r="M6219" s="33" t="str">
        <f t="shared" si="391"/>
        <v>P&amp;L</v>
      </c>
    </row>
    <row r="6220" spans="1:13" s="33" customFormat="true" ht="12.75" customHeight="true">
      <c r="A6220" s="33" t="str">
        <f t="shared" si="388"/>
        <v>MAR - Revenue</v>
      </c>
      <c r="B6220" s="33" t="str">
        <f t="shared" si="389"/>
        <v>MAR</v>
      </c>
      <c r="C6220" s="33" t="str">
        <f t="shared" si="390"/>
        <v>41160-0000</v>
      </c>
      <c r="D6220" s="64" t="s">
        <v>7329</v>
      </c>
      <c r="E6220" s="64" t="s">
        <v>3957</v>
      </c>
      <c r="F6220" s="64" t="s">
        <v>230</v>
      </c>
      <c r="G6220" s="64" t="s">
        <v>3694</v>
      </c>
      <c r="H6220" s="64" t="s">
        <v>2871</v>
      </c>
      <c r="I6220" s="64" t="s">
        <v>3701</v>
      </c>
      <c r="J6220" s="67">
        <v>0</v>
      </c>
      <c r="K6220" s="62">
        <v>-50996.93</v>
      </c>
      <c r="L6220" s="33" t="e">
        <f>HLOOKUP(B6220,#REF!,1,0)</f>
        <v>#REF!</v>
      </c>
      <c r="M6220" s="33" t="str">
        <f t="shared" si="391"/>
        <v>P&amp;L</v>
      </c>
    </row>
    <row r="6221" spans="1:13" s="33" customFormat="true" ht="12.75" customHeight="true">
      <c r="A6221" s="33" t="str">
        <f t="shared" si="388"/>
        <v>MAR - Revenue</v>
      </c>
      <c r="B6221" s="33" t="str">
        <f t="shared" si="389"/>
        <v>MAR</v>
      </c>
      <c r="C6221" s="33" t="str">
        <f t="shared" si="390"/>
        <v>41999-0000</v>
      </c>
      <c r="D6221" s="64" t="s">
        <v>7330</v>
      </c>
      <c r="E6221" s="64" t="s">
        <v>3712</v>
      </c>
      <c r="F6221" s="64" t="s">
        <v>230</v>
      </c>
      <c r="G6221" s="64" t="s">
        <v>3713</v>
      </c>
      <c r="H6221" s="64" t="s">
        <v>2871</v>
      </c>
      <c r="I6221" s="64" t="s">
        <v>3714</v>
      </c>
      <c r="J6221" s="67">
        <v>26563.95</v>
      </c>
      <c r="K6221" s="62">
        <v>392198.97</v>
      </c>
      <c r="L6221" s="33" t="e">
        <f>HLOOKUP(B6221,#REF!,1,0)</f>
        <v>#REF!</v>
      </c>
      <c r="M6221" s="33" t="str">
        <f t="shared" si="391"/>
        <v>P&amp;L</v>
      </c>
    </row>
    <row r="6222" spans="1:13" s="33" customFormat="true" ht="12.75" customHeight="true">
      <c r="A6222" s="33" t="str">
        <f t="shared" si="388"/>
        <v>MAR - Revenue</v>
      </c>
      <c r="B6222" s="33" t="str">
        <f t="shared" si="389"/>
        <v>MAR</v>
      </c>
      <c r="C6222" s="33" t="str">
        <f t="shared" si="390"/>
        <v>47400-0000</v>
      </c>
      <c r="D6222" s="64" t="s">
        <v>7331</v>
      </c>
      <c r="E6222" s="64" t="s">
        <v>3716</v>
      </c>
      <c r="F6222" s="64" t="s">
        <v>230</v>
      </c>
      <c r="G6222" s="64" t="s">
        <v>3717</v>
      </c>
      <c r="H6222" s="64" t="s">
        <v>2871</v>
      </c>
      <c r="I6222" s="64" t="s">
        <v>3718</v>
      </c>
      <c r="J6222" s="67">
        <v>-26563.95</v>
      </c>
      <c r="K6222" s="62">
        <v>-392198.97</v>
      </c>
      <c r="L6222" s="33" t="e">
        <f>HLOOKUP(B6222,#REF!,1,0)</f>
        <v>#REF!</v>
      </c>
      <c r="M6222" s="33" t="str">
        <f t="shared" si="391"/>
        <v>P&amp;L</v>
      </c>
    </row>
    <row r="6223" spans="1:13" s="33" customFormat="true" ht="12.75" customHeight="true">
      <c r="A6223" s="33" t="str">
        <f t="shared" si="388"/>
        <v>MAR - Revenue</v>
      </c>
      <c r="B6223" s="33" t="str">
        <f t="shared" si="389"/>
        <v>MAR</v>
      </c>
      <c r="C6223" s="33" t="str">
        <f t="shared" si="390"/>
        <v>47420-0000</v>
      </c>
      <c r="D6223" s="64" t="s">
        <v>7332</v>
      </c>
      <c r="E6223" s="64" t="s">
        <v>4154</v>
      </c>
      <c r="F6223" s="64" t="s">
        <v>230</v>
      </c>
      <c r="G6223" s="64" t="s">
        <v>3717</v>
      </c>
      <c r="H6223" s="64" t="s">
        <v>2871</v>
      </c>
      <c r="I6223" s="64" t="s">
        <v>4155</v>
      </c>
      <c r="J6223" s="67">
        <v>-124.41</v>
      </c>
      <c r="K6223" s="62">
        <v>-1428.5</v>
      </c>
      <c r="L6223" s="33" t="e">
        <f>HLOOKUP(B6223,#REF!,1,0)</f>
        <v>#REF!</v>
      </c>
      <c r="M6223" s="33" t="str">
        <f t="shared" si="391"/>
        <v>P&amp;L</v>
      </c>
    </row>
    <row r="6224" spans="1:13" s="33" customFormat="true" ht="12.75" customHeight="true">
      <c r="A6224" s="33" t="str">
        <f t="shared" si="388"/>
        <v>MAR - Revenue</v>
      </c>
      <c r="B6224" s="33" t="str">
        <f t="shared" si="389"/>
        <v>MAR</v>
      </c>
      <c r="C6224" s="33" t="str">
        <f t="shared" si="390"/>
        <v>47430-0000</v>
      </c>
      <c r="D6224" s="64" t="s">
        <v>7333</v>
      </c>
      <c r="E6224" s="64" t="s">
        <v>4053</v>
      </c>
      <c r="F6224" s="64" t="s">
        <v>230</v>
      </c>
      <c r="G6224" s="64" t="s">
        <v>3717</v>
      </c>
      <c r="H6224" s="64" t="s">
        <v>2871</v>
      </c>
      <c r="I6224" s="64" t="s">
        <v>4054</v>
      </c>
      <c r="J6224" s="67">
        <v>-551.09</v>
      </c>
      <c r="K6224" s="62">
        <v>-4326.41</v>
      </c>
      <c r="L6224" s="33" t="e">
        <f>HLOOKUP(B6224,#REF!,1,0)</f>
        <v>#REF!</v>
      </c>
      <c r="M6224" s="33" t="str">
        <f t="shared" si="391"/>
        <v>P&amp;L</v>
      </c>
    </row>
    <row r="6225" spans="1:13" s="33" customFormat="true" ht="12.75" customHeight="true">
      <c r="A6225" s="33" t="str">
        <f t="shared" si="388"/>
        <v>MAR - Revenue</v>
      </c>
      <c r="B6225" s="33" t="str">
        <f t="shared" si="389"/>
        <v>MAR</v>
      </c>
      <c r="C6225" s="33" t="str">
        <f t="shared" si="390"/>
        <v>47460-0000</v>
      </c>
      <c r="D6225" s="64" t="s">
        <v>7334</v>
      </c>
      <c r="E6225" s="64" t="s">
        <v>3726</v>
      </c>
      <c r="F6225" s="64" t="s">
        <v>230</v>
      </c>
      <c r="G6225" s="64" t="s">
        <v>3717</v>
      </c>
      <c r="H6225" s="64" t="s">
        <v>2871</v>
      </c>
      <c r="I6225" s="64" t="s">
        <v>3727</v>
      </c>
      <c r="J6225" s="67">
        <v>0</v>
      </c>
      <c r="K6225" s="62">
        <v>-25</v>
      </c>
      <c r="L6225" s="33" t="e">
        <f>HLOOKUP(B6225,#REF!,1,0)</f>
        <v>#REF!</v>
      </c>
      <c r="M6225" s="33" t="str">
        <f t="shared" si="391"/>
        <v>P&amp;L</v>
      </c>
    </row>
    <row r="6226" spans="1:13" s="33" customFormat="true" ht="12.75" customHeight="true">
      <c r="A6226" s="33" t="str">
        <f t="shared" si="388"/>
        <v>MAR - Revenue</v>
      </c>
      <c r="B6226" s="33" t="str">
        <f t="shared" si="389"/>
        <v>MAR</v>
      </c>
      <c r="C6226" s="33" t="str">
        <f t="shared" si="390"/>
        <v>47480-0000</v>
      </c>
      <c r="D6226" s="64" t="s">
        <v>7335</v>
      </c>
      <c r="E6226" s="64" t="s">
        <v>3729</v>
      </c>
      <c r="F6226" s="64" t="s">
        <v>230</v>
      </c>
      <c r="G6226" s="64" t="s">
        <v>3717</v>
      </c>
      <c r="H6226" s="64" t="s">
        <v>2871</v>
      </c>
      <c r="I6226" s="64" t="s">
        <v>3721</v>
      </c>
      <c r="J6226" s="67">
        <v>0</v>
      </c>
      <c r="K6226" s="62">
        <v>-180</v>
      </c>
      <c r="L6226" s="33" t="e">
        <f>HLOOKUP(B6226,#REF!,1,0)</f>
        <v>#REF!</v>
      </c>
      <c r="M6226" s="33" t="str">
        <f t="shared" si="391"/>
        <v>P&amp;L</v>
      </c>
    </row>
    <row r="6227" spans="1:13" s="33" customFormat="true" ht="12.75" customHeight="true">
      <c r="A6227" s="33" t="str">
        <f t="shared" si="388"/>
        <v>MAR - Revenue</v>
      </c>
      <c r="B6227" s="33" t="str">
        <f t="shared" si="389"/>
        <v>MAR</v>
      </c>
      <c r="C6227" s="33" t="str">
        <f t="shared" si="390"/>
        <v>47492-0000</v>
      </c>
      <c r="D6227" s="64" t="s">
        <v>7336</v>
      </c>
      <c r="E6227" s="64" t="s">
        <v>3736</v>
      </c>
      <c r="F6227" s="64" t="s">
        <v>230</v>
      </c>
      <c r="G6227" s="64" t="s">
        <v>3717</v>
      </c>
      <c r="H6227" s="64" t="s">
        <v>2871</v>
      </c>
      <c r="I6227" s="64" t="s">
        <v>3737</v>
      </c>
      <c r="J6227" s="67">
        <v>-375</v>
      </c>
      <c r="K6227" s="62">
        <v>-2790</v>
      </c>
      <c r="L6227" s="33" t="e">
        <f>HLOOKUP(B6227,#REF!,1,0)</f>
        <v>#REF!</v>
      </c>
      <c r="M6227" s="33" t="str">
        <f t="shared" si="391"/>
        <v>P&amp;L</v>
      </c>
    </row>
    <row r="6228" spans="1:13" s="33" customFormat="true" ht="12.75" customHeight="true">
      <c r="A6228" s="33" t="str">
        <f t="shared" si="388"/>
        <v>MAR - CGS</v>
      </c>
      <c r="B6228" s="33" t="str">
        <f t="shared" si="389"/>
        <v>MAR</v>
      </c>
      <c r="C6228" s="33" t="str">
        <f t="shared" si="390"/>
        <v>51005-0000</v>
      </c>
      <c r="D6228" s="64" t="s">
        <v>7337</v>
      </c>
      <c r="E6228" s="64" t="s">
        <v>3968</v>
      </c>
      <c r="F6228" s="64" t="s">
        <v>230</v>
      </c>
      <c r="G6228" s="64" t="s">
        <v>3740</v>
      </c>
      <c r="H6228" s="64" t="s">
        <v>1875</v>
      </c>
      <c r="I6228" s="64" t="s">
        <v>3969</v>
      </c>
      <c r="J6228" s="67">
        <v>0</v>
      </c>
      <c r="K6228" s="62">
        <v>157.39</v>
      </c>
      <c r="L6228" s="33" t="e">
        <f>HLOOKUP(B6228,#REF!,1,0)</f>
        <v>#REF!</v>
      </c>
      <c r="M6228" s="33" t="str">
        <f t="shared" si="391"/>
        <v>P&amp;L</v>
      </c>
    </row>
    <row r="6229" spans="1:13" s="33" customFormat="true" ht="12.75" customHeight="true">
      <c r="A6229" s="33" t="str">
        <f t="shared" si="388"/>
        <v>MAR - CGS</v>
      </c>
      <c r="B6229" s="33" t="str">
        <f t="shared" si="389"/>
        <v>MAR</v>
      </c>
      <c r="C6229" s="33" t="str">
        <f t="shared" si="390"/>
        <v>51006-0000</v>
      </c>
      <c r="D6229" s="64" t="s">
        <v>7338</v>
      </c>
      <c r="E6229" s="64" t="s">
        <v>3739</v>
      </c>
      <c r="F6229" s="64" t="s">
        <v>230</v>
      </c>
      <c r="G6229" s="64" t="s">
        <v>3740</v>
      </c>
      <c r="H6229" s="64" t="s">
        <v>1875</v>
      </c>
      <c r="I6229" s="64" t="s">
        <v>3741</v>
      </c>
      <c r="J6229" s="67">
        <v>0</v>
      </c>
      <c r="K6229" s="62">
        <v>195.41</v>
      </c>
      <c r="L6229" s="33" t="e">
        <f>HLOOKUP(B6229,#REF!,1,0)</f>
        <v>#REF!</v>
      </c>
      <c r="M6229" s="33" t="str">
        <f t="shared" si="391"/>
        <v>P&amp;L</v>
      </c>
    </row>
    <row r="6230" spans="1:13" s="33" customFormat="true" ht="12.75" customHeight="true">
      <c r="A6230" s="33" t="str">
        <f t="shared" si="388"/>
        <v>MAR - CGS</v>
      </c>
      <c r="B6230" s="33" t="str">
        <f t="shared" si="389"/>
        <v>MAR</v>
      </c>
      <c r="C6230" s="33" t="str">
        <f t="shared" si="390"/>
        <v>51007-0000</v>
      </c>
      <c r="D6230" s="64" t="s">
        <v>7339</v>
      </c>
      <c r="E6230" s="64" t="s">
        <v>3972</v>
      </c>
      <c r="F6230" s="64" t="s">
        <v>230</v>
      </c>
      <c r="G6230" s="64" t="s">
        <v>3740</v>
      </c>
      <c r="H6230" s="64" t="s">
        <v>1875</v>
      </c>
      <c r="I6230" s="64" t="s">
        <v>3973</v>
      </c>
      <c r="J6230" s="67">
        <v>0</v>
      </c>
      <c r="K6230" s="62">
        <v>549.42</v>
      </c>
      <c r="L6230" s="33" t="e">
        <f>HLOOKUP(B6230,#REF!,1,0)</f>
        <v>#REF!</v>
      </c>
      <c r="M6230" s="33" t="str">
        <f t="shared" si="391"/>
        <v>P&amp;L</v>
      </c>
    </row>
    <row r="6231" spans="1:13" s="33" customFormat="true" ht="12.75" customHeight="true">
      <c r="A6231" s="33" t="str">
        <f t="shared" si="388"/>
        <v>MAR - CGS</v>
      </c>
      <c r="B6231" s="33" t="str">
        <f t="shared" si="389"/>
        <v>MAR</v>
      </c>
      <c r="C6231" s="33" t="str">
        <f t="shared" si="390"/>
        <v>51008-0000</v>
      </c>
      <c r="D6231" s="64" t="s">
        <v>7340</v>
      </c>
      <c r="E6231" s="64" t="s">
        <v>3743</v>
      </c>
      <c r="F6231" s="64" t="s">
        <v>230</v>
      </c>
      <c r="G6231" s="64" t="s">
        <v>3740</v>
      </c>
      <c r="H6231" s="64" t="s">
        <v>1875</v>
      </c>
      <c r="I6231" s="64" t="s">
        <v>3744</v>
      </c>
      <c r="J6231" s="67">
        <v>0</v>
      </c>
      <c r="K6231" s="62">
        <v>10290.57</v>
      </c>
      <c r="L6231" s="33" t="e">
        <f>HLOOKUP(B6231,#REF!,1,0)</f>
        <v>#REF!</v>
      </c>
      <c r="M6231" s="33" t="str">
        <f t="shared" si="391"/>
        <v>P&amp;L</v>
      </c>
    </row>
    <row r="6232" spans="1:13" s="33" customFormat="true" ht="12.75" customHeight="true">
      <c r="A6232" s="33" t="str">
        <f t="shared" si="388"/>
        <v>MAR - CGS</v>
      </c>
      <c r="B6232" s="33" t="str">
        <f t="shared" si="389"/>
        <v>MAR</v>
      </c>
      <c r="C6232" s="33" t="str">
        <f t="shared" si="390"/>
        <v>51009-0000</v>
      </c>
      <c r="D6232" s="64" t="s">
        <v>7341</v>
      </c>
      <c r="E6232" s="64" t="s">
        <v>3746</v>
      </c>
      <c r="F6232" s="64" t="s">
        <v>230</v>
      </c>
      <c r="G6232" s="64" t="s">
        <v>3740</v>
      </c>
      <c r="H6232" s="64" t="s">
        <v>1875</v>
      </c>
      <c r="I6232" s="64" t="s">
        <v>3747</v>
      </c>
      <c r="J6232" s="67">
        <v>-488.31</v>
      </c>
      <c r="K6232" s="62">
        <v>2281.69</v>
      </c>
      <c r="L6232" s="33" t="e">
        <f>HLOOKUP(B6232,#REF!,1,0)</f>
        <v>#REF!</v>
      </c>
      <c r="M6232" s="33" t="str">
        <f t="shared" si="391"/>
        <v>P&amp;L</v>
      </c>
    </row>
    <row r="6233" spans="1:13" s="33" customFormat="true" ht="12.75" customHeight="true">
      <c r="A6233" s="33" t="str">
        <f t="shared" si="388"/>
        <v>MAR - CGS</v>
      </c>
      <c r="B6233" s="33" t="str">
        <f t="shared" si="389"/>
        <v>MAR</v>
      </c>
      <c r="C6233" s="33" t="str">
        <f t="shared" si="390"/>
        <v>51011-0000</v>
      </c>
      <c r="D6233" s="64" t="s">
        <v>7342</v>
      </c>
      <c r="E6233" s="64" t="s">
        <v>3749</v>
      </c>
      <c r="F6233" s="64" t="s">
        <v>230</v>
      </c>
      <c r="G6233" s="64" t="s">
        <v>3740</v>
      </c>
      <c r="H6233" s="64" t="s">
        <v>1875</v>
      </c>
      <c r="I6233" s="64" t="s">
        <v>3750</v>
      </c>
      <c r="J6233" s="67">
        <v>320</v>
      </c>
      <c r="K6233" s="62">
        <v>3515</v>
      </c>
      <c r="L6233" s="33" t="e">
        <f>HLOOKUP(B6233,#REF!,1,0)</f>
        <v>#REF!</v>
      </c>
      <c r="M6233" s="33" t="str">
        <f t="shared" si="391"/>
        <v>P&amp;L</v>
      </c>
    </row>
    <row r="6234" spans="1:13" s="33" customFormat="true" ht="12.75" customHeight="true">
      <c r="A6234" s="33" t="str">
        <f t="shared" si="388"/>
        <v>MAR - CGS</v>
      </c>
      <c r="B6234" s="33" t="str">
        <f t="shared" si="389"/>
        <v>MAR</v>
      </c>
      <c r="C6234" s="33" t="str">
        <f t="shared" si="390"/>
        <v>51012-0000</v>
      </c>
      <c r="D6234" s="64" t="s">
        <v>7343</v>
      </c>
      <c r="E6234" s="64" t="s">
        <v>3752</v>
      </c>
      <c r="F6234" s="64" t="s">
        <v>230</v>
      </c>
      <c r="G6234" s="64" t="s">
        <v>3740</v>
      </c>
      <c r="H6234" s="64" t="s">
        <v>1875</v>
      </c>
      <c r="I6234" s="64" t="s">
        <v>3753</v>
      </c>
      <c r="J6234" s="67">
        <v>60</v>
      </c>
      <c r="K6234" s="62">
        <v>600</v>
      </c>
      <c r="L6234" s="33" t="e">
        <f>HLOOKUP(B6234,#REF!,1,0)</f>
        <v>#REF!</v>
      </c>
      <c r="M6234" s="33" t="str">
        <f t="shared" si="391"/>
        <v>P&amp;L</v>
      </c>
    </row>
    <row r="6235" spans="1:13" s="33" customFormat="true" ht="12.75" customHeight="true">
      <c r="A6235" s="33" t="str">
        <f t="shared" si="388"/>
        <v>MAR - CGS</v>
      </c>
      <c r="B6235" s="33" t="str">
        <f t="shared" si="389"/>
        <v>MAR</v>
      </c>
      <c r="C6235" s="33" t="str">
        <f t="shared" si="390"/>
        <v>51015-0000</v>
      </c>
      <c r="D6235" s="64" t="s">
        <v>7344</v>
      </c>
      <c r="E6235" s="64" t="s">
        <v>3755</v>
      </c>
      <c r="F6235" s="64" t="s">
        <v>230</v>
      </c>
      <c r="G6235" s="64" t="s">
        <v>3740</v>
      </c>
      <c r="H6235" s="64" t="s">
        <v>1875</v>
      </c>
      <c r="I6235" s="64" t="s">
        <v>3756</v>
      </c>
      <c r="J6235" s="67">
        <v>0</v>
      </c>
      <c r="K6235" s="62">
        <v>0</v>
      </c>
      <c r="L6235" s="33" t="e">
        <f>HLOOKUP(B6235,#REF!,1,0)</f>
        <v>#REF!</v>
      </c>
      <c r="M6235" s="33" t="str">
        <f t="shared" si="391"/>
        <v>P&amp;L</v>
      </c>
    </row>
    <row r="6236" spans="1:13" s="33" customFormat="true" ht="12.75" customHeight="true">
      <c r="A6236" s="33" t="str">
        <f t="shared" si="388"/>
        <v>MAR - CGS</v>
      </c>
      <c r="B6236" s="33" t="str">
        <f t="shared" si="389"/>
        <v>MAR</v>
      </c>
      <c r="C6236" s="33" t="str">
        <f t="shared" si="390"/>
        <v>51025-0000</v>
      </c>
      <c r="D6236" s="64" t="s">
        <v>7345</v>
      </c>
      <c r="E6236" s="64" t="s">
        <v>3988</v>
      </c>
      <c r="F6236" s="64" t="s">
        <v>230</v>
      </c>
      <c r="G6236" s="64" t="s">
        <v>3740</v>
      </c>
      <c r="H6236" s="64" t="s">
        <v>1875</v>
      </c>
      <c r="I6236" s="64" t="s">
        <v>3989</v>
      </c>
      <c r="J6236" s="67">
        <v>312.21</v>
      </c>
      <c r="K6236" s="62">
        <v>3172.49</v>
      </c>
      <c r="L6236" s="33" t="e">
        <f>HLOOKUP(B6236,#REF!,1,0)</f>
        <v>#REF!</v>
      </c>
      <c r="M6236" s="33" t="str">
        <f t="shared" si="391"/>
        <v>P&amp;L</v>
      </c>
    </row>
    <row r="6237" spans="1:13" s="33" customFormat="true" ht="12.75" customHeight="true">
      <c r="A6237" s="33" t="str">
        <f t="shared" si="388"/>
        <v>MAR - CGS</v>
      </c>
      <c r="B6237" s="33" t="str">
        <f t="shared" si="389"/>
        <v>MAR</v>
      </c>
      <c r="C6237" s="33" t="str">
        <f t="shared" si="390"/>
        <v>52003-0000</v>
      </c>
      <c r="D6237" s="64" t="s">
        <v>7346</v>
      </c>
      <c r="E6237" s="64" t="s">
        <v>3772</v>
      </c>
      <c r="F6237" s="64" t="s">
        <v>230</v>
      </c>
      <c r="G6237" s="64" t="s">
        <v>3769</v>
      </c>
      <c r="H6237" s="64" t="s">
        <v>1875</v>
      </c>
      <c r="I6237" s="64" t="s">
        <v>3773</v>
      </c>
      <c r="J6237" s="67">
        <v>0</v>
      </c>
      <c r="K6237" s="62">
        <v>125</v>
      </c>
      <c r="L6237" s="33" t="e">
        <f>HLOOKUP(B6237,#REF!,1,0)</f>
        <v>#REF!</v>
      </c>
      <c r="M6237" s="33" t="str">
        <f t="shared" si="391"/>
        <v>P&amp;L</v>
      </c>
    </row>
    <row r="6238" spans="1:13" s="33" customFormat="true" ht="12.75" customHeight="true">
      <c r="A6238" s="33" t="str">
        <f t="shared" si="388"/>
        <v>MAR - CGS</v>
      </c>
      <c r="B6238" s="33" t="str">
        <f t="shared" si="389"/>
        <v>MAR</v>
      </c>
      <c r="C6238" s="33" t="str">
        <f t="shared" si="390"/>
        <v>52006-0000</v>
      </c>
      <c r="D6238" s="64" t="s">
        <v>7347</v>
      </c>
      <c r="E6238" s="64" t="s">
        <v>3778</v>
      </c>
      <c r="F6238" s="64" t="s">
        <v>230</v>
      </c>
      <c r="G6238" s="64" t="s">
        <v>3769</v>
      </c>
      <c r="H6238" s="64" t="s">
        <v>1875</v>
      </c>
      <c r="I6238" s="64" t="s">
        <v>3779</v>
      </c>
      <c r="J6238" s="67">
        <v>0</v>
      </c>
      <c r="K6238" s="62">
        <v>383.27</v>
      </c>
      <c r="L6238" s="33" t="e">
        <f>HLOOKUP(B6238,#REF!,1,0)</f>
        <v>#REF!</v>
      </c>
      <c r="M6238" s="33" t="str">
        <f t="shared" si="391"/>
        <v>P&amp;L</v>
      </c>
    </row>
    <row r="6239" spans="1:13" s="33" customFormat="true" ht="12.75" customHeight="true">
      <c r="A6239" s="33" t="str">
        <f t="shared" si="388"/>
        <v>MAR - CGS</v>
      </c>
      <c r="B6239" s="33" t="str">
        <f t="shared" si="389"/>
        <v>MAR</v>
      </c>
      <c r="C6239" s="33" t="str">
        <f t="shared" si="390"/>
        <v>53001-0000</v>
      </c>
      <c r="D6239" s="64" t="s">
        <v>7348</v>
      </c>
      <c r="E6239" s="64" t="s">
        <v>3781</v>
      </c>
      <c r="F6239" s="64" t="s">
        <v>230</v>
      </c>
      <c r="G6239" s="64" t="s">
        <v>3160</v>
      </c>
      <c r="H6239" s="64" t="s">
        <v>1875</v>
      </c>
      <c r="I6239" s="64" t="s">
        <v>3782</v>
      </c>
      <c r="J6239" s="67">
        <v>60</v>
      </c>
      <c r="K6239" s="62">
        <v>800.32</v>
      </c>
      <c r="L6239" s="33" t="e">
        <f>HLOOKUP(B6239,#REF!,1,0)</f>
        <v>#REF!</v>
      </c>
      <c r="M6239" s="33" t="str">
        <f t="shared" si="391"/>
        <v>P&amp;L</v>
      </c>
    </row>
    <row r="6240" spans="1:13" s="33" customFormat="true" ht="12.75" customHeight="true">
      <c r="A6240" s="33" t="str">
        <f t="shared" si="388"/>
        <v>MAR - CGS</v>
      </c>
      <c r="B6240" s="33" t="str">
        <f t="shared" si="389"/>
        <v>MAR</v>
      </c>
      <c r="C6240" s="33" t="str">
        <f t="shared" si="390"/>
        <v>53002-0000</v>
      </c>
      <c r="D6240" s="64" t="s">
        <v>7349</v>
      </c>
      <c r="E6240" s="64" t="s">
        <v>3784</v>
      </c>
      <c r="F6240" s="64" t="s">
        <v>230</v>
      </c>
      <c r="G6240" s="64" t="s">
        <v>3160</v>
      </c>
      <c r="H6240" s="64" t="s">
        <v>1875</v>
      </c>
      <c r="I6240" s="64" t="s">
        <v>3785</v>
      </c>
      <c r="J6240" s="67">
        <v>411.16</v>
      </c>
      <c r="K6240" s="62">
        <v>10493.73</v>
      </c>
      <c r="L6240" s="33" t="e">
        <f>HLOOKUP(B6240,#REF!,1,0)</f>
        <v>#REF!</v>
      </c>
      <c r="M6240" s="33" t="str">
        <f t="shared" si="391"/>
        <v>P&amp;L</v>
      </c>
    </row>
    <row r="6241" spans="1:13" s="33" customFormat="true" ht="12.75" customHeight="true">
      <c r="A6241" s="33" t="str">
        <f t="shared" si="388"/>
        <v>MAR - CGS</v>
      </c>
      <c r="B6241" s="33" t="str">
        <f t="shared" si="389"/>
        <v>MAR</v>
      </c>
      <c r="C6241" s="33" t="str">
        <f t="shared" si="390"/>
        <v>53003-0000</v>
      </c>
      <c r="D6241" s="64" t="s">
        <v>7350</v>
      </c>
      <c r="E6241" s="64" t="s">
        <v>3787</v>
      </c>
      <c r="F6241" s="64" t="s">
        <v>230</v>
      </c>
      <c r="G6241" s="64" t="s">
        <v>3160</v>
      </c>
      <c r="H6241" s="64" t="s">
        <v>1875</v>
      </c>
      <c r="I6241" s="64" t="s">
        <v>3788</v>
      </c>
      <c r="J6241" s="67">
        <v>0</v>
      </c>
      <c r="K6241" s="62">
        <v>2050.4</v>
      </c>
      <c r="L6241" s="33" t="e">
        <f>HLOOKUP(B6241,#REF!,1,0)</f>
        <v>#REF!</v>
      </c>
      <c r="M6241" s="33" t="str">
        <f t="shared" si="391"/>
        <v>P&amp;L</v>
      </c>
    </row>
    <row r="6242" spans="1:13" s="33" customFormat="true" ht="12.75" customHeight="true">
      <c r="A6242" s="33" t="str">
        <f t="shared" si="388"/>
        <v>MAR - CGS</v>
      </c>
      <c r="B6242" s="33" t="str">
        <f t="shared" si="389"/>
        <v>MAR</v>
      </c>
      <c r="C6242" s="33" t="str">
        <f t="shared" si="390"/>
        <v>53004-0000</v>
      </c>
      <c r="D6242" s="64" t="s">
        <v>7351</v>
      </c>
      <c r="E6242" s="64" t="s">
        <v>3790</v>
      </c>
      <c r="F6242" s="64" t="s">
        <v>230</v>
      </c>
      <c r="G6242" s="64" t="s">
        <v>3160</v>
      </c>
      <c r="H6242" s="64" t="s">
        <v>1875</v>
      </c>
      <c r="I6242" s="64" t="s">
        <v>3791</v>
      </c>
      <c r="J6242" s="67">
        <v>647.95</v>
      </c>
      <c r="K6242" s="62">
        <v>10210.64</v>
      </c>
      <c r="L6242" s="33" t="e">
        <f>HLOOKUP(B6242,#REF!,1,0)</f>
        <v>#REF!</v>
      </c>
      <c r="M6242" s="33" t="str">
        <f t="shared" si="391"/>
        <v>P&amp;L</v>
      </c>
    </row>
    <row r="6243" spans="1:13" s="33" customFormat="true" ht="12.75" customHeight="true">
      <c r="A6243" s="33" t="str">
        <f t="shared" si="388"/>
        <v>MAR - CGS</v>
      </c>
      <c r="B6243" s="33" t="str">
        <f t="shared" si="389"/>
        <v>MAR</v>
      </c>
      <c r="C6243" s="33" t="str">
        <f t="shared" si="390"/>
        <v>53005-0000</v>
      </c>
      <c r="D6243" s="64" t="s">
        <v>7352</v>
      </c>
      <c r="E6243" s="64" t="s">
        <v>3793</v>
      </c>
      <c r="F6243" s="64" t="s">
        <v>230</v>
      </c>
      <c r="G6243" s="64" t="s">
        <v>3160</v>
      </c>
      <c r="H6243" s="64" t="s">
        <v>1875</v>
      </c>
      <c r="I6243" s="64" t="s">
        <v>3794</v>
      </c>
      <c r="J6243" s="67">
        <v>0</v>
      </c>
      <c r="K6243" s="62">
        <v>11058.13</v>
      </c>
      <c r="L6243" s="33" t="e">
        <f>HLOOKUP(B6243,#REF!,1,0)</f>
        <v>#REF!</v>
      </c>
      <c r="M6243" s="33" t="str">
        <f t="shared" si="391"/>
        <v>P&amp;L</v>
      </c>
    </row>
    <row r="6244" spans="1:13" s="33" customFormat="true" ht="12.75" customHeight="true">
      <c r="A6244" s="33" t="str">
        <f t="shared" si="388"/>
        <v>MAR - CGS</v>
      </c>
      <c r="B6244" s="33" t="str">
        <f t="shared" si="389"/>
        <v>MAR</v>
      </c>
      <c r="C6244" s="33" t="str">
        <f t="shared" si="390"/>
        <v>53006-0000</v>
      </c>
      <c r="D6244" s="64" t="s">
        <v>7353</v>
      </c>
      <c r="E6244" s="64" t="s">
        <v>3796</v>
      </c>
      <c r="F6244" s="64" t="s">
        <v>230</v>
      </c>
      <c r="G6244" s="64" t="s">
        <v>3160</v>
      </c>
      <c r="H6244" s="64" t="s">
        <v>1875</v>
      </c>
      <c r="I6244" s="64" t="s">
        <v>3797</v>
      </c>
      <c r="J6244" s="67">
        <v>0</v>
      </c>
      <c r="K6244" s="62">
        <v>15458.49</v>
      </c>
      <c r="L6244" s="33" t="e">
        <f>HLOOKUP(B6244,#REF!,1,0)</f>
        <v>#REF!</v>
      </c>
      <c r="M6244" s="33" t="str">
        <f t="shared" si="391"/>
        <v>P&amp;L</v>
      </c>
    </row>
    <row r="6245" spans="1:13" s="33" customFormat="true" ht="12.75" customHeight="true">
      <c r="A6245" s="33" t="str">
        <f t="shared" si="388"/>
        <v>MAR - CGS</v>
      </c>
      <c r="B6245" s="33" t="str">
        <f t="shared" si="389"/>
        <v>MAR</v>
      </c>
      <c r="C6245" s="33" t="str">
        <f t="shared" si="390"/>
        <v>54001-0000</v>
      </c>
      <c r="D6245" s="64" t="s">
        <v>7354</v>
      </c>
      <c r="E6245" s="64" t="s">
        <v>4008</v>
      </c>
      <c r="F6245" s="64" t="s">
        <v>230</v>
      </c>
      <c r="G6245" s="64" t="s">
        <v>3800</v>
      </c>
      <c r="H6245" s="64" t="s">
        <v>1875</v>
      </c>
      <c r="I6245" s="64" t="s">
        <v>4009</v>
      </c>
      <c r="J6245" s="67">
        <v>0</v>
      </c>
      <c r="K6245" s="62">
        <v>0</v>
      </c>
      <c r="L6245" s="33" t="e">
        <f>HLOOKUP(B6245,#REF!,1,0)</f>
        <v>#REF!</v>
      </c>
      <c r="M6245" s="33" t="str">
        <f t="shared" si="391"/>
        <v>P&amp;L</v>
      </c>
    </row>
    <row r="6246" spans="1:13" s="33" customFormat="true" ht="12.75" customHeight="true">
      <c r="A6246" s="33" t="str">
        <f t="shared" si="388"/>
        <v>MAR - CGS</v>
      </c>
      <c r="B6246" s="33" t="str">
        <f t="shared" si="389"/>
        <v>MAR</v>
      </c>
      <c r="C6246" s="33" t="str">
        <f t="shared" si="390"/>
        <v>54002-0000</v>
      </c>
      <c r="D6246" s="64" t="s">
        <v>7355</v>
      </c>
      <c r="E6246" s="64" t="s">
        <v>3799</v>
      </c>
      <c r="F6246" s="64" t="s">
        <v>230</v>
      </c>
      <c r="G6246" s="64" t="s">
        <v>3800</v>
      </c>
      <c r="H6246" s="64" t="s">
        <v>1875</v>
      </c>
      <c r="I6246" s="64" t="s">
        <v>3801</v>
      </c>
      <c r="J6246" s="67">
        <v>0</v>
      </c>
      <c r="K6246" s="62">
        <v>2543.2</v>
      </c>
      <c r="L6246" s="33" t="e">
        <f>HLOOKUP(B6246,#REF!,1,0)</f>
        <v>#REF!</v>
      </c>
      <c r="M6246" s="33" t="str">
        <f t="shared" si="391"/>
        <v>P&amp;L</v>
      </c>
    </row>
    <row r="6247" spans="1:13" s="33" customFormat="true" ht="12.75" customHeight="true">
      <c r="A6247" s="33" t="str">
        <f t="shared" si="388"/>
        <v>MAR - CGS</v>
      </c>
      <c r="B6247" s="33" t="str">
        <f t="shared" si="389"/>
        <v>MAR</v>
      </c>
      <c r="C6247" s="33" t="str">
        <f t="shared" si="390"/>
        <v>54003-0000</v>
      </c>
      <c r="D6247" s="64" t="s">
        <v>7356</v>
      </c>
      <c r="E6247" s="64" t="s">
        <v>3803</v>
      </c>
      <c r="F6247" s="64" t="s">
        <v>230</v>
      </c>
      <c r="G6247" s="64" t="s">
        <v>3800</v>
      </c>
      <c r="H6247" s="64" t="s">
        <v>1875</v>
      </c>
      <c r="I6247" s="64" t="s">
        <v>3804</v>
      </c>
      <c r="J6247" s="67">
        <v>0</v>
      </c>
      <c r="K6247" s="62">
        <v>0</v>
      </c>
      <c r="L6247" s="33" t="e">
        <f>HLOOKUP(B6247,#REF!,1,0)</f>
        <v>#REF!</v>
      </c>
      <c r="M6247" s="33" t="str">
        <f t="shared" si="391"/>
        <v>P&amp;L</v>
      </c>
    </row>
    <row r="6248" spans="1:13" s="33" customFormat="true" ht="12.75" customHeight="true">
      <c r="A6248" s="33" t="str">
        <f t="shared" si="388"/>
        <v>MAR - CGS</v>
      </c>
      <c r="B6248" s="33" t="str">
        <f t="shared" si="389"/>
        <v>MAR</v>
      </c>
      <c r="C6248" s="33" t="str">
        <f t="shared" si="390"/>
        <v>54004-0000</v>
      </c>
      <c r="D6248" s="64" t="s">
        <v>7357</v>
      </c>
      <c r="E6248" s="64" t="s">
        <v>3806</v>
      </c>
      <c r="F6248" s="64" t="s">
        <v>230</v>
      </c>
      <c r="G6248" s="64" t="s">
        <v>3800</v>
      </c>
      <c r="H6248" s="64" t="s">
        <v>1875</v>
      </c>
      <c r="I6248" s="64" t="s">
        <v>3807</v>
      </c>
      <c r="J6248" s="67">
        <v>660</v>
      </c>
      <c r="K6248" s="62">
        <v>6564.34</v>
      </c>
      <c r="L6248" s="33" t="e">
        <f>HLOOKUP(B6248,#REF!,1,0)</f>
        <v>#REF!</v>
      </c>
      <c r="M6248" s="33" t="str">
        <f t="shared" si="391"/>
        <v>P&amp;L</v>
      </c>
    </row>
    <row r="6249" spans="1:13" s="33" customFormat="true" ht="12.75" customHeight="true">
      <c r="A6249" s="33" t="str">
        <f t="shared" si="388"/>
        <v>MAR - CGS</v>
      </c>
      <c r="B6249" s="33" t="str">
        <f t="shared" si="389"/>
        <v>MAR</v>
      </c>
      <c r="C6249" s="33" t="str">
        <f t="shared" si="390"/>
        <v>54005-0000</v>
      </c>
      <c r="D6249" s="64" t="s">
        <v>7358</v>
      </c>
      <c r="E6249" s="64" t="s">
        <v>3809</v>
      </c>
      <c r="F6249" s="64" t="s">
        <v>230</v>
      </c>
      <c r="G6249" s="64" t="s">
        <v>3800</v>
      </c>
      <c r="H6249" s="64" t="s">
        <v>1875</v>
      </c>
      <c r="I6249" s="64" t="s">
        <v>3810</v>
      </c>
      <c r="J6249" s="67">
        <v>11.73</v>
      </c>
      <c r="K6249" s="62">
        <v>148.99</v>
      </c>
      <c r="L6249" s="33" t="e">
        <f>HLOOKUP(B6249,#REF!,1,0)</f>
        <v>#REF!</v>
      </c>
      <c r="M6249" s="33" t="str">
        <f t="shared" si="391"/>
        <v>P&amp;L</v>
      </c>
    </row>
    <row r="6250" spans="1:13" s="33" customFormat="true" ht="12.75" customHeight="true">
      <c r="A6250" s="33" t="str">
        <f t="shared" si="388"/>
        <v>MAR - CGS</v>
      </c>
      <c r="B6250" s="33" t="str">
        <f t="shared" si="389"/>
        <v>MAR</v>
      </c>
      <c r="C6250" s="33" t="str">
        <f t="shared" si="390"/>
        <v>54006-0000</v>
      </c>
      <c r="D6250" s="64" t="s">
        <v>7359</v>
      </c>
      <c r="E6250" s="64" t="s">
        <v>3812</v>
      </c>
      <c r="F6250" s="64" t="s">
        <v>230</v>
      </c>
      <c r="G6250" s="64" t="s">
        <v>3800</v>
      </c>
      <c r="H6250" s="64" t="s">
        <v>1875</v>
      </c>
      <c r="I6250" s="64" t="s">
        <v>3003</v>
      </c>
      <c r="J6250" s="67">
        <v>50.5</v>
      </c>
      <c r="K6250" s="62">
        <v>955.73</v>
      </c>
      <c r="L6250" s="33" t="e">
        <f>HLOOKUP(B6250,#REF!,1,0)</f>
        <v>#REF!</v>
      </c>
      <c r="M6250" s="33" t="str">
        <f t="shared" si="391"/>
        <v>P&amp;L</v>
      </c>
    </row>
    <row r="6251" spans="1:13" s="33" customFormat="true" ht="12.75" customHeight="true">
      <c r="A6251" s="33" t="str">
        <f t="shared" si="388"/>
        <v>MAR - CGS</v>
      </c>
      <c r="B6251" s="33" t="str">
        <f t="shared" si="389"/>
        <v>MAR</v>
      </c>
      <c r="C6251" s="33" t="str">
        <f t="shared" si="390"/>
        <v>54007-0000</v>
      </c>
      <c r="D6251" s="64" t="s">
        <v>7360</v>
      </c>
      <c r="E6251" s="64" t="s">
        <v>4182</v>
      </c>
      <c r="F6251" s="64" t="s">
        <v>230</v>
      </c>
      <c r="G6251" s="64" t="s">
        <v>3800</v>
      </c>
      <c r="H6251" s="64" t="s">
        <v>1875</v>
      </c>
      <c r="I6251" s="64" t="s">
        <v>3815</v>
      </c>
      <c r="J6251" s="67">
        <v>712</v>
      </c>
      <c r="K6251" s="62">
        <v>7217.17</v>
      </c>
      <c r="L6251" s="33" t="e">
        <f>HLOOKUP(B6251,#REF!,1,0)</f>
        <v>#REF!</v>
      </c>
      <c r="M6251" s="33" t="str">
        <f t="shared" si="391"/>
        <v>P&amp;L</v>
      </c>
    </row>
    <row r="6252" spans="1:13" s="33" customFormat="true" ht="12.75" customHeight="true">
      <c r="A6252" s="33" t="str">
        <f t="shared" si="388"/>
        <v>MAR - PM Expenses</v>
      </c>
      <c r="B6252" s="33" t="str">
        <f t="shared" si="389"/>
        <v>MAR</v>
      </c>
      <c r="C6252" s="33" t="str">
        <f t="shared" si="390"/>
        <v>55501-0000</v>
      </c>
      <c r="D6252" s="64" t="s">
        <v>7361</v>
      </c>
      <c r="E6252" s="64" t="s">
        <v>3817</v>
      </c>
      <c r="F6252" s="64" t="s">
        <v>230</v>
      </c>
      <c r="G6252" s="64" t="s">
        <v>3818</v>
      </c>
      <c r="H6252" s="64" t="s">
        <v>3819</v>
      </c>
      <c r="I6252" s="64" t="s">
        <v>3820</v>
      </c>
      <c r="J6252" s="67">
        <v>0</v>
      </c>
      <c r="K6252" s="62">
        <v>450</v>
      </c>
      <c r="L6252" s="33" t="e">
        <f>HLOOKUP(B6252,#REF!,1,0)</f>
        <v>#REF!</v>
      </c>
      <c r="M6252" s="33" t="str">
        <f t="shared" si="391"/>
        <v>P&amp;L</v>
      </c>
    </row>
    <row r="6253" spans="1:13" s="33" customFormat="true" ht="12.75" customHeight="true">
      <c r="A6253" s="33" t="str">
        <f t="shared" si="388"/>
        <v>MAR - PM Expenses</v>
      </c>
      <c r="B6253" s="33" t="str">
        <f t="shared" si="389"/>
        <v>MAR</v>
      </c>
      <c r="C6253" s="33" t="str">
        <f t="shared" si="390"/>
        <v>55502-0000</v>
      </c>
      <c r="D6253" s="64" t="s">
        <v>7362</v>
      </c>
      <c r="E6253" s="64" t="s">
        <v>3822</v>
      </c>
      <c r="F6253" s="64" t="s">
        <v>230</v>
      </c>
      <c r="G6253" s="64" t="s">
        <v>3818</v>
      </c>
      <c r="H6253" s="64" t="s">
        <v>3819</v>
      </c>
      <c r="I6253" s="64" t="s">
        <v>3823</v>
      </c>
      <c r="J6253" s="67">
        <v>0</v>
      </c>
      <c r="K6253" s="62">
        <v>460</v>
      </c>
      <c r="L6253" s="33" t="e">
        <f>HLOOKUP(B6253,#REF!,1,0)</f>
        <v>#REF!</v>
      </c>
      <c r="M6253" s="33" t="str">
        <f t="shared" si="391"/>
        <v>P&amp;L</v>
      </c>
    </row>
    <row r="6254" spans="1:13" s="33" customFormat="true" ht="12.75" customHeight="true">
      <c r="A6254" s="33" t="str">
        <f t="shared" si="388"/>
        <v>MAR - PM Expenses</v>
      </c>
      <c r="B6254" s="33" t="str">
        <f t="shared" si="389"/>
        <v>MAR</v>
      </c>
      <c r="C6254" s="33" t="str">
        <f t="shared" si="390"/>
        <v>55503-0000</v>
      </c>
      <c r="D6254" s="64" t="s">
        <v>7363</v>
      </c>
      <c r="E6254" s="64" t="s">
        <v>3825</v>
      </c>
      <c r="F6254" s="64" t="s">
        <v>230</v>
      </c>
      <c r="G6254" s="64" t="s">
        <v>3818</v>
      </c>
      <c r="H6254" s="64" t="s">
        <v>3819</v>
      </c>
      <c r="I6254" s="64" t="s">
        <v>3826</v>
      </c>
      <c r="J6254" s="67">
        <v>500</v>
      </c>
      <c r="K6254" s="62">
        <v>10113.19</v>
      </c>
      <c r="L6254" s="33" t="e">
        <f>HLOOKUP(B6254,#REF!,1,0)</f>
        <v>#REF!</v>
      </c>
      <c r="M6254" s="33" t="str">
        <f t="shared" si="391"/>
        <v>P&amp;L</v>
      </c>
    </row>
    <row r="6255" spans="1:13" s="33" customFormat="true" ht="12.75" customHeight="true">
      <c r="A6255" s="33" t="str">
        <f t="shared" si="388"/>
        <v>MAR - PM Expenses</v>
      </c>
      <c r="B6255" s="33" t="str">
        <f t="shared" si="389"/>
        <v>MAR</v>
      </c>
      <c r="C6255" s="33" t="str">
        <f t="shared" si="390"/>
        <v>55504-0000</v>
      </c>
      <c r="D6255" s="64" t="s">
        <v>7364</v>
      </c>
      <c r="E6255" s="64" t="s">
        <v>4027</v>
      </c>
      <c r="F6255" s="64" t="s">
        <v>230</v>
      </c>
      <c r="G6255" s="64" t="s">
        <v>3818</v>
      </c>
      <c r="H6255" s="64" t="s">
        <v>3819</v>
      </c>
      <c r="I6255" s="64" t="s">
        <v>4028</v>
      </c>
      <c r="J6255" s="67">
        <v>0</v>
      </c>
      <c r="K6255" s="62">
        <v>1150</v>
      </c>
      <c r="L6255" s="33" t="e">
        <f>HLOOKUP(B6255,#REF!,1,0)</f>
        <v>#REF!</v>
      </c>
      <c r="M6255" s="33" t="str">
        <f t="shared" si="391"/>
        <v>P&amp;L</v>
      </c>
    </row>
    <row r="6256" spans="1:13" s="33" customFormat="true" ht="12.75" customHeight="true">
      <c r="A6256" s="33" t="str">
        <f t="shared" si="388"/>
        <v>MAR - PM Expenses</v>
      </c>
      <c r="B6256" s="33" t="str">
        <f t="shared" si="389"/>
        <v>MAR</v>
      </c>
      <c r="C6256" s="33" t="str">
        <f t="shared" si="390"/>
        <v>55505-0000</v>
      </c>
      <c r="D6256" s="64" t="s">
        <v>7365</v>
      </c>
      <c r="E6256" s="64" t="s">
        <v>3828</v>
      </c>
      <c r="F6256" s="64" t="s">
        <v>230</v>
      </c>
      <c r="G6256" s="64" t="s">
        <v>3818</v>
      </c>
      <c r="H6256" s="64" t="s">
        <v>3819</v>
      </c>
      <c r="I6256" s="64" t="s">
        <v>3829</v>
      </c>
      <c r="J6256" s="67">
        <v>1921.64</v>
      </c>
      <c r="K6256" s="62">
        <v>10623.69</v>
      </c>
      <c r="L6256" s="33" t="e">
        <f>HLOOKUP(B6256,#REF!,1,0)</f>
        <v>#REF!</v>
      </c>
      <c r="M6256" s="33" t="str">
        <f t="shared" si="391"/>
        <v>P&amp;L</v>
      </c>
    </row>
    <row r="6257" spans="1:13" s="33" customFormat="true" ht="12.75" customHeight="true">
      <c r="A6257" s="33" t="str">
        <f t="shared" si="388"/>
        <v>MAR - PM Expenses</v>
      </c>
      <c r="B6257" s="33" t="str">
        <f t="shared" si="389"/>
        <v>MAR</v>
      </c>
      <c r="C6257" s="33" t="str">
        <f t="shared" si="390"/>
        <v>55506-0000</v>
      </c>
      <c r="D6257" s="64" t="s">
        <v>7366</v>
      </c>
      <c r="E6257" s="64" t="s">
        <v>3831</v>
      </c>
      <c r="F6257" s="64" t="s">
        <v>230</v>
      </c>
      <c r="G6257" s="64" t="s">
        <v>3818</v>
      </c>
      <c r="H6257" s="64" t="s">
        <v>3819</v>
      </c>
      <c r="I6257" s="64" t="s">
        <v>3832</v>
      </c>
      <c r="J6257" s="67">
        <v>0</v>
      </c>
      <c r="K6257" s="62">
        <v>9549.86</v>
      </c>
      <c r="L6257" s="33" t="e">
        <f>HLOOKUP(B6257,#REF!,1,0)</f>
        <v>#REF!</v>
      </c>
      <c r="M6257" s="33" t="str">
        <f t="shared" si="391"/>
        <v>P&amp;L</v>
      </c>
    </row>
    <row r="6258" spans="1:13" s="33" customFormat="true" ht="12.75" customHeight="true">
      <c r="A6258" s="33" t="str">
        <f t="shared" si="388"/>
        <v>MAR - CGS</v>
      </c>
      <c r="B6258" s="33" t="str">
        <f t="shared" si="389"/>
        <v>MAR</v>
      </c>
      <c r="C6258" s="33" t="str">
        <f t="shared" si="390"/>
        <v>60001-0000</v>
      </c>
      <c r="D6258" s="64" t="s">
        <v>7367</v>
      </c>
      <c r="E6258" s="64" t="s">
        <v>4192</v>
      </c>
      <c r="F6258" s="64" t="s">
        <v>230</v>
      </c>
      <c r="G6258" s="64" t="s">
        <v>3838</v>
      </c>
      <c r="H6258" s="64" t="s">
        <v>1875</v>
      </c>
      <c r="I6258" s="64" t="s">
        <v>4193</v>
      </c>
      <c r="J6258" s="67">
        <v>0</v>
      </c>
      <c r="K6258" s="62">
        <v>2773.94</v>
      </c>
      <c r="L6258" s="33" t="e">
        <f>HLOOKUP(B6258,#REF!,1,0)</f>
        <v>#REF!</v>
      </c>
      <c r="M6258" s="33" t="str">
        <f t="shared" si="391"/>
        <v>P&amp;L</v>
      </c>
    </row>
    <row r="6259" spans="1:13" s="33" customFormat="true" ht="12.75" customHeight="true">
      <c r="A6259" s="33" t="str">
        <f t="shared" si="388"/>
        <v>MAR - CGS</v>
      </c>
      <c r="B6259" s="33" t="str">
        <f t="shared" si="389"/>
        <v>MAR</v>
      </c>
      <c r="C6259" s="33" t="str">
        <f t="shared" si="390"/>
        <v>60002-0000</v>
      </c>
      <c r="D6259" s="64" t="s">
        <v>7368</v>
      </c>
      <c r="E6259" s="64" t="s">
        <v>3837</v>
      </c>
      <c r="F6259" s="64" t="s">
        <v>230</v>
      </c>
      <c r="G6259" s="64" t="s">
        <v>3838</v>
      </c>
      <c r="H6259" s="64" t="s">
        <v>1875</v>
      </c>
      <c r="I6259" s="64" t="s">
        <v>3839</v>
      </c>
      <c r="J6259" s="67">
        <v>114.83</v>
      </c>
      <c r="K6259" s="62">
        <v>1270.96</v>
      </c>
      <c r="L6259" s="33" t="e">
        <f>HLOOKUP(B6259,#REF!,1,0)</f>
        <v>#REF!</v>
      </c>
      <c r="M6259" s="33" t="str">
        <f t="shared" si="391"/>
        <v>P&amp;L</v>
      </c>
    </row>
    <row r="6260" spans="1:13" s="33" customFormat="true" ht="12.75" customHeight="true">
      <c r="A6260" s="33" t="str">
        <f t="shared" si="388"/>
        <v>MAR - CGS</v>
      </c>
      <c r="B6260" s="33" t="str">
        <f t="shared" si="389"/>
        <v>MAR</v>
      </c>
      <c r="C6260" s="33" t="str">
        <f t="shared" si="390"/>
        <v>60005-0000</v>
      </c>
      <c r="D6260" s="64" t="s">
        <v>7369</v>
      </c>
      <c r="E6260" s="64" t="s">
        <v>3841</v>
      </c>
      <c r="F6260" s="64" t="s">
        <v>230</v>
      </c>
      <c r="G6260" s="64" t="s">
        <v>3838</v>
      </c>
      <c r="H6260" s="64" t="s">
        <v>1875</v>
      </c>
      <c r="I6260" s="64" t="s">
        <v>3842</v>
      </c>
      <c r="J6260" s="67">
        <v>1274.99</v>
      </c>
      <c r="K6260" s="62">
        <v>13785.14</v>
      </c>
      <c r="L6260" s="33" t="e">
        <f>HLOOKUP(B6260,#REF!,1,0)</f>
        <v>#REF!</v>
      </c>
      <c r="M6260" s="33" t="str">
        <f t="shared" si="391"/>
        <v>P&amp;L</v>
      </c>
    </row>
    <row r="6261" spans="1:13" s="33" customFormat="true" ht="12.75" customHeight="true">
      <c r="A6261" s="33" t="str">
        <f t="shared" si="388"/>
        <v>MAR - Interest Expense</v>
      </c>
      <c r="B6261" s="33" t="str">
        <f t="shared" si="389"/>
        <v>MAR</v>
      </c>
      <c r="C6261" s="33" t="str">
        <f t="shared" si="390"/>
        <v>60006-0000</v>
      </c>
      <c r="D6261" s="64" t="s">
        <v>7370</v>
      </c>
      <c r="E6261" s="64" t="s">
        <v>3325</v>
      </c>
      <c r="F6261" s="64" t="s">
        <v>230</v>
      </c>
      <c r="G6261" s="64" t="s">
        <v>3844</v>
      </c>
      <c r="H6261" s="64" t="s">
        <v>3327</v>
      </c>
      <c r="I6261" s="64" t="s">
        <v>3328</v>
      </c>
      <c r="J6261" s="67">
        <v>11184.5</v>
      </c>
      <c r="K6261" s="62">
        <v>112625.86</v>
      </c>
      <c r="L6261" s="33" t="e">
        <f>HLOOKUP(B6261,#REF!,1,0)</f>
        <v>#REF!</v>
      </c>
      <c r="M6261" s="33" t="str">
        <f t="shared" si="391"/>
        <v>P&amp;L</v>
      </c>
    </row>
    <row r="6262" spans="1:13" s="33" customFormat="true" ht="12.75" customHeight="true">
      <c r="A6262" s="33" t="str">
        <f t="shared" si="388"/>
        <v>MAR - CGS</v>
      </c>
      <c r="B6262" s="33" t="str">
        <f t="shared" si="389"/>
        <v>MAR</v>
      </c>
      <c r="C6262" s="33" t="str">
        <f t="shared" si="390"/>
        <v>60007-0000</v>
      </c>
      <c r="D6262" s="64" t="s">
        <v>7371</v>
      </c>
      <c r="E6262" s="64" t="s">
        <v>3846</v>
      </c>
      <c r="F6262" s="64" t="s">
        <v>230</v>
      </c>
      <c r="G6262" s="64" t="s">
        <v>3838</v>
      </c>
      <c r="H6262" s="64" t="s">
        <v>1875</v>
      </c>
      <c r="I6262" s="64" t="s">
        <v>3847</v>
      </c>
      <c r="J6262" s="67">
        <v>0</v>
      </c>
      <c r="K6262" s="62">
        <v>801</v>
      </c>
      <c r="L6262" s="33" t="e">
        <f>HLOOKUP(B6262,#REF!,1,0)</f>
        <v>#REF!</v>
      </c>
      <c r="M6262" s="33" t="str">
        <f t="shared" si="391"/>
        <v>P&amp;L</v>
      </c>
    </row>
    <row r="6263" spans="1:13" s="33" customFormat="true" ht="12.75" customHeight="true">
      <c r="A6263" s="33" t="str">
        <f t="shared" si="388"/>
        <v>MAR - CGS</v>
      </c>
      <c r="B6263" s="33" t="str">
        <f t="shared" si="389"/>
        <v>MAR</v>
      </c>
      <c r="C6263" s="33" t="str">
        <f t="shared" si="390"/>
        <v>60008-0000</v>
      </c>
      <c r="D6263" s="64" t="s">
        <v>7372</v>
      </c>
      <c r="E6263" s="64" t="s">
        <v>3849</v>
      </c>
      <c r="F6263" s="64" t="s">
        <v>230</v>
      </c>
      <c r="G6263" s="64" t="s">
        <v>3838</v>
      </c>
      <c r="H6263" s="64" t="s">
        <v>1875</v>
      </c>
      <c r="I6263" s="64" t="s">
        <v>3850</v>
      </c>
      <c r="J6263" s="67">
        <v>0</v>
      </c>
      <c r="K6263" s="62">
        <v>1995</v>
      </c>
      <c r="L6263" s="33" t="e">
        <f>HLOOKUP(B6263,#REF!,1,0)</f>
        <v>#REF!</v>
      </c>
      <c r="M6263" s="33" t="str">
        <f t="shared" si="391"/>
        <v>P&amp;L</v>
      </c>
    </row>
    <row r="6264" spans="1:13" s="33" customFormat="true" ht="12.75" customHeight="true">
      <c r="A6264" s="33" t="str">
        <f t="shared" si="388"/>
        <v>MAR - CGS</v>
      </c>
      <c r="B6264" s="33" t="str">
        <f t="shared" si="389"/>
        <v>MAR</v>
      </c>
      <c r="C6264" s="33" t="str">
        <f t="shared" si="390"/>
        <v>60011-0000</v>
      </c>
      <c r="D6264" s="64" t="s">
        <v>7373</v>
      </c>
      <c r="E6264" s="64" t="s">
        <v>4199</v>
      </c>
      <c r="F6264" s="64" t="s">
        <v>230</v>
      </c>
      <c r="G6264" s="64" t="s">
        <v>3838</v>
      </c>
      <c r="H6264" s="64" t="s">
        <v>1875</v>
      </c>
      <c r="I6264" s="64" t="s">
        <v>4200</v>
      </c>
      <c r="J6264" s="67">
        <v>0</v>
      </c>
      <c r="K6264" s="62">
        <v>535.18</v>
      </c>
      <c r="L6264" s="33" t="e">
        <f>HLOOKUP(B6264,#REF!,1,0)</f>
        <v>#REF!</v>
      </c>
      <c r="M6264" s="33" t="str">
        <f t="shared" si="391"/>
        <v>P&amp;L</v>
      </c>
    </row>
    <row r="6265" spans="1:13" s="33" customFormat="true" ht="12.75" customHeight="true">
      <c r="A6265" s="33" t="str">
        <f t="shared" si="388"/>
        <v>MAR - CGS</v>
      </c>
      <c r="B6265" s="33" t="str">
        <f t="shared" si="389"/>
        <v>MAR</v>
      </c>
      <c r="C6265" s="33" t="str">
        <f t="shared" si="390"/>
        <v>60012-0000</v>
      </c>
      <c r="D6265" s="64" t="s">
        <v>7374</v>
      </c>
      <c r="E6265" s="64" t="s">
        <v>3852</v>
      </c>
      <c r="F6265" s="64" t="s">
        <v>230</v>
      </c>
      <c r="G6265" s="64" t="s">
        <v>3838</v>
      </c>
      <c r="H6265" s="64" t="s">
        <v>1875</v>
      </c>
      <c r="I6265" s="64" t="s">
        <v>3853</v>
      </c>
      <c r="J6265" s="67">
        <v>0</v>
      </c>
      <c r="K6265" s="62">
        <v>29092.01</v>
      </c>
      <c r="L6265" s="33" t="e">
        <f>HLOOKUP(B6265,#REF!,1,0)</f>
        <v>#REF!</v>
      </c>
      <c r="M6265" s="33" t="str">
        <f t="shared" si="391"/>
        <v>P&amp;L</v>
      </c>
    </row>
    <row r="6266" spans="1:13" s="33" customFormat="true" ht="12.75" customHeight="true">
      <c r="A6266" s="33" t="str">
        <f t="shared" si="388"/>
        <v>MAR - CGS</v>
      </c>
      <c r="B6266" s="33" t="str">
        <f t="shared" si="389"/>
        <v>MAR</v>
      </c>
      <c r="C6266" s="33" t="str">
        <f t="shared" si="390"/>
        <v>60014-0000</v>
      </c>
      <c r="D6266" s="64" t="s">
        <v>7375</v>
      </c>
      <c r="E6266" s="64" t="s">
        <v>3855</v>
      </c>
      <c r="F6266" s="64" t="s">
        <v>230</v>
      </c>
      <c r="G6266" s="64" t="s">
        <v>3838</v>
      </c>
      <c r="H6266" s="64" t="s">
        <v>1875</v>
      </c>
      <c r="I6266" s="64" t="s">
        <v>3856</v>
      </c>
      <c r="J6266" s="67">
        <v>953.14</v>
      </c>
      <c r="K6266" s="62">
        <v>11867.17</v>
      </c>
      <c r="L6266" s="33" t="e">
        <f>HLOOKUP(B6266,#REF!,1,0)</f>
        <v>#REF!</v>
      </c>
      <c r="M6266" s="33" t="str">
        <f t="shared" si="391"/>
        <v>P&amp;L</v>
      </c>
    </row>
    <row r="6267" spans="1:13" s="33" customFormat="true" ht="12.75" customHeight="true">
      <c r="A6267" s="33" t="str">
        <f t="shared" si="388"/>
        <v>MAR - CGS</v>
      </c>
      <c r="B6267" s="33" t="str">
        <f t="shared" si="389"/>
        <v>MAR</v>
      </c>
      <c r="C6267" s="33" t="str">
        <f t="shared" si="390"/>
        <v>60015-0000</v>
      </c>
      <c r="D6267" s="64" t="s">
        <v>7376</v>
      </c>
      <c r="E6267" s="64" t="s">
        <v>3858</v>
      </c>
      <c r="F6267" s="64" t="s">
        <v>230</v>
      </c>
      <c r="G6267" s="64" t="s">
        <v>3838</v>
      </c>
      <c r="H6267" s="64" t="s">
        <v>1875</v>
      </c>
      <c r="I6267" s="64" t="s">
        <v>3859</v>
      </c>
      <c r="J6267" s="67">
        <v>0</v>
      </c>
      <c r="K6267" s="62">
        <v>20</v>
      </c>
      <c r="L6267" s="33" t="e">
        <f>HLOOKUP(B6267,#REF!,1,0)</f>
        <v>#REF!</v>
      </c>
      <c r="M6267" s="33" t="str">
        <f t="shared" si="391"/>
        <v>P&amp;L</v>
      </c>
    </row>
    <row r="6268" spans="1:13" s="33" customFormat="true" ht="12.75" customHeight="true">
      <c r="A6268" s="33" t="str">
        <f t="shared" si="388"/>
        <v>MAR - CGS</v>
      </c>
      <c r="B6268" s="33" t="str">
        <f t="shared" si="389"/>
        <v>MAR</v>
      </c>
      <c r="C6268" s="33" t="str">
        <f t="shared" si="390"/>
        <v>61018-0000</v>
      </c>
      <c r="D6268" s="64" t="s">
        <v>7377</v>
      </c>
      <c r="E6268" s="64" t="s">
        <v>3864</v>
      </c>
      <c r="F6268" s="64" t="s">
        <v>230</v>
      </c>
      <c r="G6268" s="64" t="s">
        <v>3838</v>
      </c>
      <c r="H6268" s="64" t="s">
        <v>1875</v>
      </c>
      <c r="I6268" s="64" t="s">
        <v>3866</v>
      </c>
      <c r="J6268" s="67">
        <v>0</v>
      </c>
      <c r="K6268" s="62">
        <v>623.78</v>
      </c>
      <c r="L6268" s="33" t="e">
        <f>HLOOKUP(B6268,#REF!,1,0)</f>
        <v>#REF!</v>
      </c>
      <c r="M6268" s="33" t="str">
        <f t="shared" si="391"/>
        <v>P&amp;L</v>
      </c>
    </row>
    <row r="6269" spans="1:13" s="33" customFormat="true" ht="12.75" customHeight="true">
      <c r="A6269" s="33" t="str">
        <f t="shared" si="388"/>
        <v>MAR - Income Tax</v>
      </c>
      <c r="B6269" s="33" t="str">
        <f t="shared" si="389"/>
        <v>MAR</v>
      </c>
      <c r="C6269" s="33" t="str">
        <f t="shared" si="390"/>
        <v>61019-0000</v>
      </c>
      <c r="D6269" s="64" t="s">
        <v>7378</v>
      </c>
      <c r="E6269" s="64" t="s">
        <v>4041</v>
      </c>
      <c r="F6269" s="64" t="s">
        <v>230</v>
      </c>
      <c r="G6269" s="64" t="s">
        <v>3844</v>
      </c>
      <c r="H6269" s="64" t="s">
        <v>3378</v>
      </c>
      <c r="I6269" s="64" t="s">
        <v>4042</v>
      </c>
      <c r="J6269" s="67">
        <v>0</v>
      </c>
      <c r="K6269" s="62">
        <v>1700</v>
      </c>
      <c r="L6269" s="33" t="e">
        <f>HLOOKUP(B6269,#REF!,1,0)</f>
        <v>#REF!</v>
      </c>
      <c r="M6269" s="33" t="str">
        <f t="shared" si="391"/>
        <v>P&amp;L</v>
      </c>
    </row>
    <row r="6270" spans="1:13" s="33" customFormat="true" ht="12.75" customHeight="true">
      <c r="A6270" s="33" t="str">
        <f t="shared" si="388"/>
        <v>NEH - AP-Accr Exp</v>
      </c>
      <c r="B6270" s="33" t="str">
        <f t="shared" si="389"/>
        <v>NEH</v>
      </c>
      <c r="C6270" s="33" t="str">
        <f t="shared" si="390"/>
        <v>20001-0000</v>
      </c>
      <c r="D6270" s="64" t="s">
        <v>7379</v>
      </c>
      <c r="E6270" s="64" t="s">
        <v>96</v>
      </c>
      <c r="F6270" s="64" t="s">
        <v>679</v>
      </c>
      <c r="G6270" s="64" t="s">
        <v>97</v>
      </c>
      <c r="H6270" s="64" t="s">
        <v>98</v>
      </c>
      <c r="I6270" s="64" t="s">
        <v>99</v>
      </c>
      <c r="J6270" s="67">
        <v>-202.04</v>
      </c>
      <c r="K6270" s="62">
        <v>-202.04</v>
      </c>
      <c r="L6270" s="33" t="e">
        <f>HLOOKUP(B6270,#REF!,1,0)</f>
        <v>#REF!</v>
      </c>
      <c r="M6270" s="33" t="str">
        <f t="shared" si="391"/>
        <v>BS</v>
      </c>
    </row>
    <row r="6271" spans="1:13" s="33" customFormat="true" ht="12.75" customHeight="true">
      <c r="A6271" s="33" t="str">
        <f t="shared" si="388"/>
        <v>NEH - Operating Expense</v>
      </c>
      <c r="B6271" s="33" t="str">
        <f t="shared" si="389"/>
        <v>NEH</v>
      </c>
      <c r="C6271" s="33" t="str">
        <f t="shared" si="390"/>
        <v>50400-0000</v>
      </c>
      <c r="D6271" s="64" t="s">
        <v>7380</v>
      </c>
      <c r="E6271" s="64" t="s">
        <v>3837</v>
      </c>
      <c r="F6271" s="64" t="s">
        <v>679</v>
      </c>
      <c r="G6271" s="64" t="s">
        <v>4426</v>
      </c>
      <c r="H6271" s="64" t="s">
        <v>3022</v>
      </c>
      <c r="I6271" s="64" t="s">
        <v>5233</v>
      </c>
      <c r="J6271" s="67">
        <v>0</v>
      </c>
      <c r="K6271" s="62">
        <v>336.27</v>
      </c>
      <c r="L6271" s="33" t="e">
        <f>HLOOKUP(B6271,#REF!,1,0)</f>
        <v>#REF!</v>
      </c>
      <c r="M6271" s="33" t="str">
        <f t="shared" si="391"/>
        <v>P&amp;L</v>
      </c>
    </row>
    <row r="6272" spans="1:13" s="33" customFormat="true" ht="12.75" customHeight="true">
      <c r="A6272" s="33" t="str">
        <f t="shared" si="388"/>
        <v>NEH - CGS</v>
      </c>
      <c r="B6272" s="33" t="str">
        <f t="shared" si="389"/>
        <v>NEH</v>
      </c>
      <c r="C6272" s="33" t="str">
        <f t="shared" si="390"/>
        <v>57900-0000</v>
      </c>
      <c r="D6272" s="64" t="s">
        <v>7381</v>
      </c>
      <c r="E6272" s="64" t="s">
        <v>5829</v>
      </c>
      <c r="F6272" s="64" t="s">
        <v>679</v>
      </c>
      <c r="G6272" s="64" t="s">
        <v>4426</v>
      </c>
      <c r="H6272" s="64" t="s">
        <v>1875</v>
      </c>
      <c r="I6272" s="64" t="s">
        <v>4427</v>
      </c>
      <c r="J6272" s="67">
        <v>0</v>
      </c>
      <c r="K6272" s="62">
        <v>2358</v>
      </c>
      <c r="L6272" s="33" t="e">
        <f>HLOOKUP(B6272,#REF!,1,0)</f>
        <v>#REF!</v>
      </c>
      <c r="M6272" s="33" t="str">
        <f t="shared" si="391"/>
        <v>P&amp;L</v>
      </c>
    </row>
    <row r="6273" spans="1:13" s="33" customFormat="true" ht="12.75" customHeight="true">
      <c r="A6273" s="33" t="str">
        <f t="shared" si="388"/>
        <v>NEH - Operating Expense</v>
      </c>
      <c r="B6273" s="33" t="str">
        <f t="shared" si="389"/>
        <v>NEH</v>
      </c>
      <c r="C6273" s="33" t="str">
        <f t="shared" si="390"/>
        <v>58600-0000</v>
      </c>
      <c r="D6273" s="64" t="s">
        <v>7382</v>
      </c>
      <c r="E6273" s="64" t="s">
        <v>3285</v>
      </c>
      <c r="F6273" s="64" t="s">
        <v>679</v>
      </c>
      <c r="G6273" s="64" t="s">
        <v>4426</v>
      </c>
      <c r="H6273" s="64" t="s">
        <v>3022</v>
      </c>
      <c r="I6273" s="64" t="s">
        <v>5811</v>
      </c>
      <c r="J6273" s="67">
        <v>0</v>
      </c>
      <c r="K6273" s="62">
        <v>1442.44</v>
      </c>
      <c r="L6273" s="33" t="e">
        <f>HLOOKUP(B6273,#REF!,1,0)</f>
        <v>#REF!</v>
      </c>
      <c r="M6273" s="33" t="str">
        <f t="shared" si="391"/>
        <v>P&amp;L</v>
      </c>
    </row>
    <row r="6274" spans="1:13" s="33" customFormat="true" ht="12.75" customHeight="true">
      <c r="A6274" s="33" t="str">
        <f t="shared" ref="A6274:A6337" si="392">B6274&amp;" - "&amp;TRIM(H6274)</f>
        <v>NEH - Income Tax</v>
      </c>
      <c r="B6274" s="33" t="str">
        <f t="shared" ref="B6274:B6337" si="393">LEFT(D6274,3)</f>
        <v>NEH</v>
      </c>
      <c r="C6274" s="33" t="str">
        <f t="shared" ref="C6274:C6337" si="394">RIGHT(D6274,10)</f>
        <v>59400-0000</v>
      </c>
      <c r="D6274" s="64" t="s">
        <v>7383</v>
      </c>
      <c r="E6274" s="64" t="s">
        <v>7384</v>
      </c>
      <c r="F6274" s="64" t="s">
        <v>679</v>
      </c>
      <c r="G6274" s="64" t="s">
        <v>5235</v>
      </c>
      <c r="H6274" s="64" t="s">
        <v>3378</v>
      </c>
      <c r="I6274" s="64" t="s">
        <v>5245</v>
      </c>
      <c r="J6274" s="67">
        <v>-381.96</v>
      </c>
      <c r="K6274" s="62">
        <v>418.04</v>
      </c>
      <c r="L6274" s="33" t="e">
        <f>HLOOKUP(B6274,#REF!,1,0)</f>
        <v>#REF!</v>
      </c>
      <c r="M6274" s="33" t="str">
        <f t="shared" ref="M6274:M6337" si="395">IF(VALUE(LEFT(C6274,5))&gt;40000,"P&amp;L","BS")</f>
        <v>P&amp;L</v>
      </c>
    </row>
    <row r="6275" spans="1:13" s="33" customFormat="true" ht="12.75" customHeight="true">
      <c r="A6275" s="33" t="str">
        <f t="shared" si="392"/>
        <v>NEH - Operating Expense</v>
      </c>
      <c r="B6275" s="33" t="str">
        <f t="shared" si="393"/>
        <v>NEH</v>
      </c>
      <c r="C6275" s="33" t="str">
        <f t="shared" si="394"/>
        <v>60012-0000</v>
      </c>
      <c r="D6275" s="64" t="s">
        <v>7385</v>
      </c>
      <c r="E6275" s="64" t="s">
        <v>3852</v>
      </c>
      <c r="F6275" s="64" t="s">
        <v>679</v>
      </c>
      <c r="G6275" s="64" t="s">
        <v>4426</v>
      </c>
      <c r="H6275" s="64" t="s">
        <v>3022</v>
      </c>
      <c r="I6275" s="64" t="s">
        <v>5841</v>
      </c>
      <c r="J6275" s="67">
        <v>0</v>
      </c>
      <c r="K6275" s="62">
        <v>2773.95</v>
      </c>
      <c r="L6275" s="33" t="e">
        <f>HLOOKUP(B6275,#REF!,1,0)</f>
        <v>#REF!</v>
      </c>
      <c r="M6275" s="33" t="str">
        <f t="shared" si="395"/>
        <v>P&amp;L</v>
      </c>
    </row>
    <row r="6276" spans="1:13" s="33" customFormat="true" ht="12.75" customHeight="true">
      <c r="A6276" s="33" t="str">
        <f t="shared" si="392"/>
        <v>NEP - AR-PPD</v>
      </c>
      <c r="B6276" s="33" t="str">
        <f t="shared" si="393"/>
        <v>NEP</v>
      </c>
      <c r="C6276" s="33" t="str">
        <f t="shared" si="394"/>
        <v>11000-0000</v>
      </c>
      <c r="D6276" s="64" t="s">
        <v>7386</v>
      </c>
      <c r="E6276" s="64" t="s">
        <v>34</v>
      </c>
      <c r="F6276" s="64" t="s">
        <v>230</v>
      </c>
      <c r="G6276" s="64" t="s">
        <v>16</v>
      </c>
      <c r="H6276" s="64" t="s">
        <v>35</v>
      </c>
      <c r="I6276" s="64" t="s">
        <v>36</v>
      </c>
      <c r="J6276" s="67">
        <v>0</v>
      </c>
      <c r="K6276" s="62">
        <v>2000.9</v>
      </c>
      <c r="L6276" s="33" t="e">
        <f>HLOOKUP(B6276,#REF!,1,0)</f>
        <v>#REF!</v>
      </c>
      <c r="M6276" s="33" t="str">
        <f t="shared" si="395"/>
        <v>BS</v>
      </c>
    </row>
    <row r="6277" spans="1:13" s="33" customFormat="true" ht="12.75" customHeight="true">
      <c r="A6277" s="33" t="str">
        <f t="shared" si="392"/>
        <v>NEP - Fixed Assets</v>
      </c>
      <c r="B6277" s="33" t="str">
        <f t="shared" si="393"/>
        <v>NEP</v>
      </c>
      <c r="C6277" s="33" t="str">
        <f t="shared" si="394"/>
        <v>15501-0000</v>
      </c>
      <c r="D6277" s="64" t="s">
        <v>7387</v>
      </c>
      <c r="E6277" s="64" t="s">
        <v>2635</v>
      </c>
      <c r="F6277" s="64" t="s">
        <v>230</v>
      </c>
      <c r="G6277" s="64" t="s">
        <v>62</v>
      </c>
      <c r="H6277" s="64" t="s">
        <v>63</v>
      </c>
      <c r="I6277" s="64" t="s">
        <v>64</v>
      </c>
      <c r="J6277" s="67">
        <v>538.57</v>
      </c>
      <c r="K6277" s="62">
        <v>2113.71</v>
      </c>
      <c r="L6277" s="33" t="e">
        <f>HLOOKUP(B6277,#REF!,1,0)</f>
        <v>#REF!</v>
      </c>
      <c r="M6277" s="33" t="str">
        <f t="shared" si="395"/>
        <v>BS</v>
      </c>
    </row>
    <row r="6278" spans="1:13" s="33" customFormat="true" ht="12.75" customHeight="true">
      <c r="A6278" s="33" t="str">
        <f t="shared" si="392"/>
        <v>NEP - Prepaid Income</v>
      </c>
      <c r="B6278" s="33" t="str">
        <f t="shared" si="393"/>
        <v>NEP</v>
      </c>
      <c r="C6278" s="33" t="str">
        <f t="shared" si="394"/>
        <v>25300-0000</v>
      </c>
      <c r="D6278" s="64" t="s">
        <v>7388</v>
      </c>
      <c r="E6278" s="64" t="s">
        <v>3677</v>
      </c>
      <c r="F6278" s="64" t="s">
        <v>230</v>
      </c>
      <c r="G6278" s="64" t="s">
        <v>3678</v>
      </c>
      <c r="H6278" s="64" t="s">
        <v>3881</v>
      </c>
      <c r="I6278" s="64" t="s">
        <v>102</v>
      </c>
      <c r="J6278" s="67">
        <v>-1480.61</v>
      </c>
      <c r="K6278" s="62">
        <v>-1480.61</v>
      </c>
      <c r="L6278" s="33" t="e">
        <f>HLOOKUP(B6278,#REF!,1,0)</f>
        <v>#REF!</v>
      </c>
      <c r="M6278" s="33" t="str">
        <f t="shared" si="395"/>
        <v>BS</v>
      </c>
    </row>
    <row r="6279" spans="1:13" s="33" customFormat="true" ht="12.75" customHeight="true">
      <c r="A6279" s="33" t="str">
        <f t="shared" si="392"/>
        <v>NEP - Revenue</v>
      </c>
      <c r="B6279" s="33" t="str">
        <f t="shared" si="393"/>
        <v>NEP</v>
      </c>
      <c r="C6279" s="33" t="str">
        <f t="shared" si="394"/>
        <v>40110-0000</v>
      </c>
      <c r="D6279" s="64" t="s">
        <v>7389</v>
      </c>
      <c r="E6279" s="64" t="s">
        <v>3683</v>
      </c>
      <c r="F6279" s="64" t="s">
        <v>230</v>
      </c>
      <c r="G6279" s="64" t="s">
        <v>3684</v>
      </c>
      <c r="H6279" s="64" t="s">
        <v>2871</v>
      </c>
      <c r="I6279" s="64" t="s">
        <v>3685</v>
      </c>
      <c r="J6279" s="67">
        <v>-65314.58</v>
      </c>
      <c r="K6279" s="62">
        <v>-653145.8</v>
      </c>
      <c r="L6279" s="33" t="e">
        <f>HLOOKUP(B6279,#REF!,1,0)</f>
        <v>#REF!</v>
      </c>
      <c r="M6279" s="33" t="str">
        <f t="shared" si="395"/>
        <v>P&amp;L</v>
      </c>
    </row>
    <row r="6280" spans="1:13" s="33" customFormat="true" ht="12.75" customHeight="true">
      <c r="A6280" s="33" t="str">
        <f t="shared" si="392"/>
        <v>NEP - Revenue</v>
      </c>
      <c r="B6280" s="33" t="str">
        <f t="shared" si="393"/>
        <v>NEP</v>
      </c>
      <c r="C6280" s="33" t="str">
        <f t="shared" si="394"/>
        <v>40120-0000</v>
      </c>
      <c r="D6280" s="64" t="s">
        <v>7390</v>
      </c>
      <c r="E6280" s="64" t="s">
        <v>3687</v>
      </c>
      <c r="F6280" s="64" t="s">
        <v>230</v>
      </c>
      <c r="G6280" s="64" t="s">
        <v>3684</v>
      </c>
      <c r="H6280" s="64" t="s">
        <v>2871</v>
      </c>
      <c r="I6280" s="64" t="s">
        <v>3688</v>
      </c>
      <c r="J6280" s="67">
        <v>-1765.94</v>
      </c>
      <c r="K6280" s="62">
        <v>-4820.94</v>
      </c>
      <c r="L6280" s="33" t="e">
        <f>HLOOKUP(B6280,#REF!,1,0)</f>
        <v>#REF!</v>
      </c>
      <c r="M6280" s="33" t="str">
        <f t="shared" si="395"/>
        <v>P&amp;L</v>
      </c>
    </row>
    <row r="6281" spans="1:13" s="33" customFormat="true" ht="12.75" customHeight="true">
      <c r="A6281" s="33" t="str">
        <f t="shared" si="392"/>
        <v>NEP - Revenue</v>
      </c>
      <c r="B6281" s="33" t="str">
        <f t="shared" si="393"/>
        <v>NEP</v>
      </c>
      <c r="C6281" s="33" t="str">
        <f t="shared" si="394"/>
        <v>40130-0000</v>
      </c>
      <c r="D6281" s="64" t="s">
        <v>7391</v>
      </c>
      <c r="E6281" s="64" t="s">
        <v>3690</v>
      </c>
      <c r="F6281" s="64" t="s">
        <v>230</v>
      </c>
      <c r="G6281" s="64" t="s">
        <v>3684</v>
      </c>
      <c r="H6281" s="64" t="s">
        <v>2871</v>
      </c>
      <c r="I6281" s="64" t="s">
        <v>3691</v>
      </c>
      <c r="J6281" s="67">
        <v>-500</v>
      </c>
      <c r="K6281" s="62">
        <v>-1250</v>
      </c>
      <c r="L6281" s="33" t="e">
        <f>HLOOKUP(B6281,#REF!,1,0)</f>
        <v>#REF!</v>
      </c>
      <c r="M6281" s="33" t="str">
        <f t="shared" si="395"/>
        <v>P&amp;L</v>
      </c>
    </row>
    <row r="6282" spans="1:13" s="33" customFormat="true" ht="12.75" customHeight="true">
      <c r="A6282" s="33" t="str">
        <f t="shared" si="392"/>
        <v>NEP - Revenue</v>
      </c>
      <c r="B6282" s="33" t="str">
        <f t="shared" si="393"/>
        <v>NEP</v>
      </c>
      <c r="C6282" s="33" t="str">
        <f t="shared" si="394"/>
        <v>40140-0000</v>
      </c>
      <c r="D6282" s="64" t="s">
        <v>7392</v>
      </c>
      <c r="E6282" s="64" t="s">
        <v>3948</v>
      </c>
      <c r="F6282" s="64" t="s">
        <v>230</v>
      </c>
      <c r="G6282" s="64" t="s">
        <v>3684</v>
      </c>
      <c r="H6282" s="64" t="s">
        <v>2871</v>
      </c>
      <c r="I6282" s="64" t="s">
        <v>3949</v>
      </c>
      <c r="J6282" s="67">
        <v>0</v>
      </c>
      <c r="K6282" s="62">
        <v>0</v>
      </c>
      <c r="L6282" s="33" t="e">
        <f>HLOOKUP(B6282,#REF!,1,0)</f>
        <v>#REF!</v>
      </c>
      <c r="M6282" s="33" t="str">
        <f t="shared" si="395"/>
        <v>P&amp;L</v>
      </c>
    </row>
    <row r="6283" spans="1:13" s="33" customFormat="true" ht="12.75" customHeight="true">
      <c r="A6283" s="33" t="str">
        <f t="shared" si="392"/>
        <v>NEP - Revenue</v>
      </c>
      <c r="B6283" s="33" t="str">
        <f t="shared" si="393"/>
        <v>NEP</v>
      </c>
      <c r="C6283" s="33" t="str">
        <f t="shared" si="394"/>
        <v>41110-0000</v>
      </c>
      <c r="D6283" s="64" t="s">
        <v>7393</v>
      </c>
      <c r="E6283" s="64" t="s">
        <v>3693</v>
      </c>
      <c r="F6283" s="64" t="s">
        <v>230</v>
      </c>
      <c r="G6283" s="64" t="s">
        <v>3694</v>
      </c>
      <c r="H6283" s="64" t="s">
        <v>2871</v>
      </c>
      <c r="I6283" s="64" t="s">
        <v>3695</v>
      </c>
      <c r="J6283" s="67">
        <v>0</v>
      </c>
      <c r="K6283" s="62">
        <v>16160.07</v>
      </c>
      <c r="L6283" s="33" t="e">
        <f>HLOOKUP(B6283,#REF!,1,0)</f>
        <v>#REF!</v>
      </c>
      <c r="M6283" s="33" t="str">
        <f t="shared" si="395"/>
        <v>P&amp;L</v>
      </c>
    </row>
    <row r="6284" spans="1:13" s="33" customFormat="true" ht="12.75" customHeight="true">
      <c r="A6284" s="33" t="str">
        <f t="shared" si="392"/>
        <v>NEP - Revenue</v>
      </c>
      <c r="B6284" s="33" t="str">
        <f t="shared" si="393"/>
        <v>NEP</v>
      </c>
      <c r="C6284" s="33" t="str">
        <f t="shared" si="394"/>
        <v>41121-0000</v>
      </c>
      <c r="D6284" s="64" t="s">
        <v>7394</v>
      </c>
      <c r="E6284" s="64" t="s">
        <v>4146</v>
      </c>
      <c r="F6284" s="64" t="s">
        <v>230</v>
      </c>
      <c r="G6284" s="64" t="s">
        <v>3694</v>
      </c>
      <c r="H6284" s="64" t="s">
        <v>2871</v>
      </c>
      <c r="I6284" s="64" t="s">
        <v>3698</v>
      </c>
      <c r="J6284" s="67">
        <v>7036.75</v>
      </c>
      <c r="K6284" s="62">
        <v>69107.24</v>
      </c>
      <c r="L6284" s="33" t="e">
        <f>HLOOKUP(B6284,#REF!,1,0)</f>
        <v>#REF!</v>
      </c>
      <c r="M6284" s="33" t="str">
        <f t="shared" si="395"/>
        <v>P&amp;L</v>
      </c>
    </row>
    <row r="6285" spans="1:13" s="33" customFormat="true" ht="12.75" customHeight="true">
      <c r="A6285" s="33" t="str">
        <f t="shared" si="392"/>
        <v>NEP - Revenue</v>
      </c>
      <c r="B6285" s="33" t="str">
        <f t="shared" si="393"/>
        <v>NEP</v>
      </c>
      <c r="C6285" s="33" t="str">
        <f t="shared" si="394"/>
        <v>41122-0000</v>
      </c>
      <c r="D6285" s="64" t="s">
        <v>7395</v>
      </c>
      <c r="E6285" s="64" t="s">
        <v>3700</v>
      </c>
      <c r="F6285" s="64" t="s">
        <v>230</v>
      </c>
      <c r="G6285" s="64" t="s">
        <v>3694</v>
      </c>
      <c r="H6285" s="64" t="s">
        <v>2871</v>
      </c>
      <c r="I6285" s="64" t="s">
        <v>3701</v>
      </c>
      <c r="J6285" s="67">
        <v>0</v>
      </c>
      <c r="K6285" s="62">
        <v>-48785.54</v>
      </c>
      <c r="L6285" s="33" t="e">
        <f>HLOOKUP(B6285,#REF!,1,0)</f>
        <v>#REF!</v>
      </c>
      <c r="M6285" s="33" t="str">
        <f t="shared" si="395"/>
        <v>P&amp;L</v>
      </c>
    </row>
    <row r="6286" spans="1:13" s="33" customFormat="true" ht="12.75" customHeight="true">
      <c r="A6286" s="33" t="str">
        <f t="shared" si="392"/>
        <v>NEP - Revenue</v>
      </c>
      <c r="B6286" s="33" t="str">
        <f t="shared" si="393"/>
        <v>NEP</v>
      </c>
      <c r="C6286" s="33" t="str">
        <f t="shared" si="394"/>
        <v>41130-0000</v>
      </c>
      <c r="D6286" s="64" t="s">
        <v>7396</v>
      </c>
      <c r="E6286" s="64" t="s">
        <v>3703</v>
      </c>
      <c r="F6286" s="64" t="s">
        <v>230</v>
      </c>
      <c r="G6286" s="64" t="s">
        <v>3694</v>
      </c>
      <c r="H6286" s="64" t="s">
        <v>2871</v>
      </c>
      <c r="I6286" s="64" t="s">
        <v>3704</v>
      </c>
      <c r="J6286" s="67">
        <v>200</v>
      </c>
      <c r="K6286" s="62">
        <v>3205.8</v>
      </c>
      <c r="L6286" s="33" t="e">
        <f>HLOOKUP(B6286,#REF!,1,0)</f>
        <v>#REF!</v>
      </c>
      <c r="M6286" s="33" t="str">
        <f t="shared" si="395"/>
        <v>P&amp;L</v>
      </c>
    </row>
    <row r="6287" spans="1:13" s="33" customFormat="true" ht="12.75" customHeight="true">
      <c r="A6287" s="33" t="str">
        <f t="shared" si="392"/>
        <v>NEP - Revenue</v>
      </c>
      <c r="B6287" s="33" t="str">
        <f t="shared" si="393"/>
        <v>NEP</v>
      </c>
      <c r="C6287" s="33" t="str">
        <f t="shared" si="394"/>
        <v>41140-0000</v>
      </c>
      <c r="D6287" s="64" t="s">
        <v>7397</v>
      </c>
      <c r="E6287" s="64" t="s">
        <v>3706</v>
      </c>
      <c r="F6287" s="64" t="s">
        <v>230</v>
      </c>
      <c r="G6287" s="64" t="s">
        <v>3694</v>
      </c>
      <c r="H6287" s="64" t="s">
        <v>2871</v>
      </c>
      <c r="I6287" s="64" t="s">
        <v>3707</v>
      </c>
      <c r="J6287" s="67">
        <v>0</v>
      </c>
      <c r="K6287" s="62">
        <v>0</v>
      </c>
      <c r="L6287" s="33" t="e">
        <f>HLOOKUP(B6287,#REF!,1,0)</f>
        <v>#REF!</v>
      </c>
      <c r="M6287" s="33" t="str">
        <f t="shared" si="395"/>
        <v>P&amp;L</v>
      </c>
    </row>
    <row r="6288" spans="1:13" s="33" customFormat="true" ht="12.75" customHeight="true">
      <c r="A6288" s="33" t="str">
        <f t="shared" si="392"/>
        <v>NEP - Revenue</v>
      </c>
      <c r="B6288" s="33" t="str">
        <f t="shared" si="393"/>
        <v>NEP</v>
      </c>
      <c r="C6288" s="33" t="str">
        <f t="shared" si="394"/>
        <v>41150-0000</v>
      </c>
      <c r="D6288" s="64" t="s">
        <v>7398</v>
      </c>
      <c r="E6288" s="64" t="s">
        <v>3709</v>
      </c>
      <c r="F6288" s="64" t="s">
        <v>230</v>
      </c>
      <c r="G6288" s="64" t="s">
        <v>3694</v>
      </c>
      <c r="H6288" s="64" t="s">
        <v>2871</v>
      </c>
      <c r="I6288" s="64" t="s">
        <v>3710</v>
      </c>
      <c r="J6288" s="67">
        <v>2350</v>
      </c>
      <c r="K6288" s="62">
        <v>20601.67</v>
      </c>
      <c r="L6288" s="33" t="e">
        <f>HLOOKUP(B6288,#REF!,1,0)</f>
        <v>#REF!</v>
      </c>
      <c r="M6288" s="33" t="str">
        <f t="shared" si="395"/>
        <v>P&amp;L</v>
      </c>
    </row>
    <row r="6289" spans="1:13" s="33" customFormat="true" ht="12.75" customHeight="true">
      <c r="A6289" s="33" t="str">
        <f t="shared" si="392"/>
        <v>NEP - Revenue</v>
      </c>
      <c r="B6289" s="33" t="str">
        <f t="shared" si="393"/>
        <v>NEP</v>
      </c>
      <c r="C6289" s="33" t="str">
        <f t="shared" si="394"/>
        <v>41160-0000</v>
      </c>
      <c r="D6289" s="64" t="s">
        <v>7399</v>
      </c>
      <c r="E6289" s="64" t="s">
        <v>3957</v>
      </c>
      <c r="F6289" s="64" t="s">
        <v>230</v>
      </c>
      <c r="G6289" s="64" t="s">
        <v>3694</v>
      </c>
      <c r="H6289" s="64" t="s">
        <v>2871</v>
      </c>
      <c r="I6289" s="64" t="s">
        <v>3701</v>
      </c>
      <c r="J6289" s="67">
        <v>0</v>
      </c>
      <c r="K6289" s="62">
        <v>-47290.13</v>
      </c>
      <c r="L6289" s="33" t="e">
        <f>HLOOKUP(B6289,#REF!,1,0)</f>
        <v>#REF!</v>
      </c>
      <c r="M6289" s="33" t="str">
        <f t="shared" si="395"/>
        <v>P&amp;L</v>
      </c>
    </row>
    <row r="6290" spans="1:13" s="33" customFormat="true" ht="12.75" customHeight="true">
      <c r="A6290" s="33" t="str">
        <f t="shared" si="392"/>
        <v>NEP - Revenue</v>
      </c>
      <c r="B6290" s="33" t="str">
        <f t="shared" si="393"/>
        <v>NEP</v>
      </c>
      <c r="C6290" s="33" t="str">
        <f t="shared" si="394"/>
        <v>41999-0000</v>
      </c>
      <c r="D6290" s="64" t="s">
        <v>7400</v>
      </c>
      <c r="E6290" s="64" t="s">
        <v>3712</v>
      </c>
      <c r="F6290" s="64" t="s">
        <v>230</v>
      </c>
      <c r="G6290" s="64" t="s">
        <v>3713</v>
      </c>
      <c r="H6290" s="64" t="s">
        <v>2871</v>
      </c>
      <c r="I6290" s="64" t="s">
        <v>3714</v>
      </c>
      <c r="J6290" s="67">
        <v>57993.77</v>
      </c>
      <c r="K6290" s="62">
        <v>646217.63</v>
      </c>
      <c r="L6290" s="33" t="e">
        <f>HLOOKUP(B6290,#REF!,1,0)</f>
        <v>#REF!</v>
      </c>
      <c r="M6290" s="33" t="str">
        <f t="shared" si="395"/>
        <v>P&amp;L</v>
      </c>
    </row>
    <row r="6291" spans="1:13" s="33" customFormat="true" ht="12.75" customHeight="true">
      <c r="A6291" s="33" t="str">
        <f t="shared" si="392"/>
        <v>NEP - Revenue</v>
      </c>
      <c r="B6291" s="33" t="str">
        <f t="shared" si="393"/>
        <v>NEP</v>
      </c>
      <c r="C6291" s="33" t="str">
        <f t="shared" si="394"/>
        <v>47400-0000</v>
      </c>
      <c r="D6291" s="64" t="s">
        <v>7401</v>
      </c>
      <c r="E6291" s="64" t="s">
        <v>3716</v>
      </c>
      <c r="F6291" s="64" t="s">
        <v>230</v>
      </c>
      <c r="G6291" s="64" t="s">
        <v>3717</v>
      </c>
      <c r="H6291" s="64" t="s">
        <v>2871</v>
      </c>
      <c r="I6291" s="64" t="s">
        <v>3718</v>
      </c>
      <c r="J6291" s="67">
        <v>-57993.77</v>
      </c>
      <c r="K6291" s="62">
        <v>-646217.58</v>
      </c>
      <c r="L6291" s="33" t="e">
        <f>HLOOKUP(B6291,#REF!,1,0)</f>
        <v>#REF!</v>
      </c>
      <c r="M6291" s="33" t="str">
        <f t="shared" si="395"/>
        <v>P&amp;L</v>
      </c>
    </row>
    <row r="6292" spans="1:13" s="33" customFormat="true" ht="12.75" customHeight="true">
      <c r="A6292" s="33" t="str">
        <f t="shared" si="392"/>
        <v>NEP - Revenue</v>
      </c>
      <c r="B6292" s="33" t="str">
        <f t="shared" si="393"/>
        <v>NEP</v>
      </c>
      <c r="C6292" s="33" t="str">
        <f t="shared" si="394"/>
        <v>47420-0000</v>
      </c>
      <c r="D6292" s="64" t="s">
        <v>7402</v>
      </c>
      <c r="E6292" s="64" t="s">
        <v>4154</v>
      </c>
      <c r="F6292" s="64" t="s">
        <v>230</v>
      </c>
      <c r="G6292" s="64" t="s">
        <v>3717</v>
      </c>
      <c r="H6292" s="64" t="s">
        <v>2871</v>
      </c>
      <c r="I6292" s="64" t="s">
        <v>4155</v>
      </c>
      <c r="J6292" s="67">
        <v>-153.46</v>
      </c>
      <c r="K6292" s="62">
        <v>-1693.01</v>
      </c>
      <c r="L6292" s="33" t="e">
        <f>HLOOKUP(B6292,#REF!,1,0)</f>
        <v>#REF!</v>
      </c>
      <c r="M6292" s="33" t="str">
        <f t="shared" si="395"/>
        <v>P&amp;L</v>
      </c>
    </row>
    <row r="6293" spans="1:13" s="33" customFormat="true" ht="12.75" customHeight="true">
      <c r="A6293" s="33" t="str">
        <f t="shared" si="392"/>
        <v>NEP - Revenue</v>
      </c>
      <c r="B6293" s="33" t="str">
        <f t="shared" si="393"/>
        <v>NEP</v>
      </c>
      <c r="C6293" s="33" t="str">
        <f t="shared" si="394"/>
        <v>47430-0000</v>
      </c>
      <c r="D6293" s="64" t="s">
        <v>7403</v>
      </c>
      <c r="E6293" s="64" t="s">
        <v>4053</v>
      </c>
      <c r="F6293" s="64" t="s">
        <v>230</v>
      </c>
      <c r="G6293" s="64" t="s">
        <v>3717</v>
      </c>
      <c r="H6293" s="64" t="s">
        <v>2871</v>
      </c>
      <c r="I6293" s="64" t="s">
        <v>4054</v>
      </c>
      <c r="J6293" s="67">
        <v>0</v>
      </c>
      <c r="K6293" s="62">
        <v>-6663.52</v>
      </c>
      <c r="L6293" s="33" t="e">
        <f>HLOOKUP(B6293,#REF!,1,0)</f>
        <v>#REF!</v>
      </c>
      <c r="M6293" s="33" t="str">
        <f t="shared" si="395"/>
        <v>P&amp;L</v>
      </c>
    </row>
    <row r="6294" spans="1:13" s="33" customFormat="true" ht="12.75" customHeight="true">
      <c r="A6294" s="33" t="str">
        <f t="shared" si="392"/>
        <v>NEP - Revenue</v>
      </c>
      <c r="B6294" s="33" t="str">
        <f t="shared" si="393"/>
        <v>NEP</v>
      </c>
      <c r="C6294" s="33" t="str">
        <f t="shared" si="394"/>
        <v>47440-0000</v>
      </c>
      <c r="D6294" s="64" t="s">
        <v>7404</v>
      </c>
      <c r="E6294" s="64" t="s">
        <v>3720</v>
      </c>
      <c r="F6294" s="64" t="s">
        <v>230</v>
      </c>
      <c r="G6294" s="64" t="s">
        <v>3717</v>
      </c>
      <c r="H6294" s="64" t="s">
        <v>2871</v>
      </c>
      <c r="I6294" s="64" t="s">
        <v>3721</v>
      </c>
      <c r="J6294" s="67">
        <v>0</v>
      </c>
      <c r="K6294" s="62">
        <v>-500</v>
      </c>
      <c r="L6294" s="33" t="e">
        <f>HLOOKUP(B6294,#REF!,1,0)</f>
        <v>#REF!</v>
      </c>
      <c r="M6294" s="33" t="str">
        <f t="shared" si="395"/>
        <v>P&amp;L</v>
      </c>
    </row>
    <row r="6295" spans="1:13" s="33" customFormat="true" ht="12.75" customHeight="true">
      <c r="A6295" s="33" t="str">
        <f t="shared" si="392"/>
        <v>NEP - Revenue</v>
      </c>
      <c r="B6295" s="33" t="str">
        <f t="shared" si="393"/>
        <v>NEP</v>
      </c>
      <c r="C6295" s="33" t="str">
        <f t="shared" si="394"/>
        <v>47460-0000</v>
      </c>
      <c r="D6295" s="64" t="s">
        <v>7405</v>
      </c>
      <c r="E6295" s="64" t="s">
        <v>3726</v>
      </c>
      <c r="F6295" s="64" t="s">
        <v>230</v>
      </c>
      <c r="G6295" s="64" t="s">
        <v>3717</v>
      </c>
      <c r="H6295" s="64" t="s">
        <v>2871</v>
      </c>
      <c r="I6295" s="64" t="s">
        <v>3727</v>
      </c>
      <c r="J6295" s="67">
        <v>0</v>
      </c>
      <c r="K6295" s="62">
        <v>-125</v>
      </c>
      <c r="L6295" s="33" t="e">
        <f>HLOOKUP(B6295,#REF!,1,0)</f>
        <v>#REF!</v>
      </c>
      <c r="M6295" s="33" t="str">
        <f t="shared" si="395"/>
        <v>P&amp;L</v>
      </c>
    </row>
    <row r="6296" spans="1:13" s="33" customFormat="true" ht="12.75" customHeight="true">
      <c r="A6296" s="33" t="str">
        <f t="shared" si="392"/>
        <v>NEP - Revenue</v>
      </c>
      <c r="B6296" s="33" t="str">
        <f t="shared" si="393"/>
        <v>NEP</v>
      </c>
      <c r="C6296" s="33" t="str">
        <f t="shared" si="394"/>
        <v>47480-0000</v>
      </c>
      <c r="D6296" s="64" t="s">
        <v>7406</v>
      </c>
      <c r="E6296" s="64" t="s">
        <v>3729</v>
      </c>
      <c r="F6296" s="64" t="s">
        <v>230</v>
      </c>
      <c r="G6296" s="64" t="s">
        <v>3717</v>
      </c>
      <c r="H6296" s="64" t="s">
        <v>2871</v>
      </c>
      <c r="I6296" s="64" t="s">
        <v>3721</v>
      </c>
      <c r="J6296" s="67">
        <v>0</v>
      </c>
      <c r="K6296" s="62">
        <v>-945</v>
      </c>
      <c r="L6296" s="33" t="e">
        <f>HLOOKUP(B6296,#REF!,1,0)</f>
        <v>#REF!</v>
      </c>
      <c r="M6296" s="33" t="str">
        <f t="shared" si="395"/>
        <v>P&amp;L</v>
      </c>
    </row>
    <row r="6297" spans="1:13" s="33" customFormat="true" ht="12.75" customHeight="true">
      <c r="A6297" s="33" t="str">
        <f t="shared" si="392"/>
        <v>NEP - Revenue</v>
      </c>
      <c r="B6297" s="33" t="str">
        <f t="shared" si="393"/>
        <v>NEP</v>
      </c>
      <c r="C6297" s="33" t="str">
        <f t="shared" si="394"/>
        <v>47490-0000</v>
      </c>
      <c r="D6297" s="64" t="s">
        <v>7407</v>
      </c>
      <c r="E6297" s="64" t="s">
        <v>3731</v>
      </c>
      <c r="F6297" s="64" t="s">
        <v>230</v>
      </c>
      <c r="G6297" s="64" t="s">
        <v>3717</v>
      </c>
      <c r="H6297" s="64" t="s">
        <v>2871</v>
      </c>
      <c r="I6297" s="64" t="s">
        <v>3721</v>
      </c>
      <c r="J6297" s="67">
        <v>-125</v>
      </c>
      <c r="K6297" s="62">
        <v>-560</v>
      </c>
      <c r="L6297" s="33" t="e">
        <f>HLOOKUP(B6297,#REF!,1,0)</f>
        <v>#REF!</v>
      </c>
      <c r="M6297" s="33" t="str">
        <f t="shared" si="395"/>
        <v>P&amp;L</v>
      </c>
    </row>
    <row r="6298" spans="1:13" s="33" customFormat="true" ht="12.75" customHeight="true">
      <c r="A6298" s="33" t="str">
        <f t="shared" si="392"/>
        <v>NEP - Revenue</v>
      </c>
      <c r="B6298" s="33" t="str">
        <f t="shared" si="393"/>
        <v>NEP</v>
      </c>
      <c r="C6298" s="33" t="str">
        <f t="shared" si="394"/>
        <v>47492-0000</v>
      </c>
      <c r="D6298" s="64" t="s">
        <v>7408</v>
      </c>
      <c r="E6298" s="64" t="s">
        <v>3736</v>
      </c>
      <c r="F6298" s="64" t="s">
        <v>230</v>
      </c>
      <c r="G6298" s="64" t="s">
        <v>3717</v>
      </c>
      <c r="H6298" s="64" t="s">
        <v>2871</v>
      </c>
      <c r="I6298" s="64" t="s">
        <v>3737</v>
      </c>
      <c r="J6298" s="67">
        <v>-90</v>
      </c>
      <c r="K6298" s="62">
        <v>-277.74</v>
      </c>
      <c r="L6298" s="33" t="e">
        <f>HLOOKUP(B6298,#REF!,1,0)</f>
        <v>#REF!</v>
      </c>
      <c r="M6298" s="33" t="str">
        <f t="shared" si="395"/>
        <v>P&amp;L</v>
      </c>
    </row>
    <row r="6299" spans="1:13" s="33" customFormat="true" ht="12.75" customHeight="true">
      <c r="A6299" s="33" t="str">
        <f t="shared" si="392"/>
        <v>NEP - CGS</v>
      </c>
      <c r="B6299" s="33" t="str">
        <f t="shared" si="393"/>
        <v>NEP</v>
      </c>
      <c r="C6299" s="33" t="str">
        <f t="shared" si="394"/>
        <v>51004-0000</v>
      </c>
      <c r="D6299" s="64" t="s">
        <v>7409</v>
      </c>
      <c r="E6299" s="64" t="s">
        <v>6433</v>
      </c>
      <c r="F6299" s="64" t="s">
        <v>230</v>
      </c>
      <c r="G6299" s="64" t="s">
        <v>3740</v>
      </c>
      <c r="H6299" s="64" t="s">
        <v>1875</v>
      </c>
      <c r="I6299" s="64" t="s">
        <v>6434</v>
      </c>
      <c r="J6299" s="67">
        <v>0</v>
      </c>
      <c r="K6299" s="62">
        <v>600</v>
      </c>
      <c r="L6299" s="33" t="e">
        <f>HLOOKUP(B6299,#REF!,1,0)</f>
        <v>#REF!</v>
      </c>
      <c r="M6299" s="33" t="str">
        <f t="shared" si="395"/>
        <v>P&amp;L</v>
      </c>
    </row>
    <row r="6300" spans="1:13" s="33" customFormat="true" ht="12.75" customHeight="true">
      <c r="A6300" s="33" t="str">
        <f t="shared" si="392"/>
        <v>NEP - CGS</v>
      </c>
      <c r="B6300" s="33" t="str">
        <f t="shared" si="393"/>
        <v>NEP</v>
      </c>
      <c r="C6300" s="33" t="str">
        <f t="shared" si="394"/>
        <v>51006-0000</v>
      </c>
      <c r="D6300" s="64" t="s">
        <v>7410</v>
      </c>
      <c r="E6300" s="64" t="s">
        <v>3739</v>
      </c>
      <c r="F6300" s="64" t="s">
        <v>230</v>
      </c>
      <c r="G6300" s="64" t="s">
        <v>3740</v>
      </c>
      <c r="H6300" s="64" t="s">
        <v>1875</v>
      </c>
      <c r="I6300" s="64" t="s">
        <v>3741</v>
      </c>
      <c r="J6300" s="67">
        <v>0</v>
      </c>
      <c r="K6300" s="62">
        <v>1130.7</v>
      </c>
      <c r="L6300" s="33" t="e">
        <f>HLOOKUP(B6300,#REF!,1,0)</f>
        <v>#REF!</v>
      </c>
      <c r="M6300" s="33" t="str">
        <f t="shared" si="395"/>
        <v>P&amp;L</v>
      </c>
    </row>
    <row r="6301" spans="1:13" s="33" customFormat="true" ht="12.75" customHeight="true">
      <c r="A6301" s="33" t="str">
        <f t="shared" si="392"/>
        <v>NEP - CGS</v>
      </c>
      <c r="B6301" s="33" t="str">
        <f t="shared" si="393"/>
        <v>NEP</v>
      </c>
      <c r="C6301" s="33" t="str">
        <f t="shared" si="394"/>
        <v>51007-0000</v>
      </c>
      <c r="D6301" s="64" t="s">
        <v>7411</v>
      </c>
      <c r="E6301" s="64" t="s">
        <v>3972</v>
      </c>
      <c r="F6301" s="64" t="s">
        <v>230</v>
      </c>
      <c r="G6301" s="64" t="s">
        <v>3740</v>
      </c>
      <c r="H6301" s="64" t="s">
        <v>1875</v>
      </c>
      <c r="I6301" s="64" t="s">
        <v>3973</v>
      </c>
      <c r="J6301" s="67">
        <v>0</v>
      </c>
      <c r="K6301" s="62">
        <v>45.44</v>
      </c>
      <c r="L6301" s="33" t="e">
        <f>HLOOKUP(B6301,#REF!,1,0)</f>
        <v>#REF!</v>
      </c>
      <c r="M6301" s="33" t="str">
        <f t="shared" si="395"/>
        <v>P&amp;L</v>
      </c>
    </row>
    <row r="6302" spans="1:13" s="33" customFormat="true" ht="12.75" customHeight="true">
      <c r="A6302" s="33" t="str">
        <f t="shared" si="392"/>
        <v>NEP - CGS</v>
      </c>
      <c r="B6302" s="33" t="str">
        <f t="shared" si="393"/>
        <v>NEP</v>
      </c>
      <c r="C6302" s="33" t="str">
        <f t="shared" si="394"/>
        <v>51008-0000</v>
      </c>
      <c r="D6302" s="64" t="s">
        <v>7412</v>
      </c>
      <c r="E6302" s="64" t="s">
        <v>3743</v>
      </c>
      <c r="F6302" s="64" t="s">
        <v>230</v>
      </c>
      <c r="G6302" s="64" t="s">
        <v>3740</v>
      </c>
      <c r="H6302" s="64" t="s">
        <v>1875</v>
      </c>
      <c r="I6302" s="64" t="s">
        <v>3744</v>
      </c>
      <c r="J6302" s="67">
        <v>67.04</v>
      </c>
      <c r="K6302" s="62">
        <v>5285.15</v>
      </c>
      <c r="L6302" s="33" t="e">
        <f>HLOOKUP(B6302,#REF!,1,0)</f>
        <v>#REF!</v>
      </c>
      <c r="M6302" s="33" t="str">
        <f t="shared" si="395"/>
        <v>P&amp;L</v>
      </c>
    </row>
    <row r="6303" spans="1:13" s="33" customFormat="true" ht="12.75" customHeight="true">
      <c r="A6303" s="33" t="str">
        <f t="shared" si="392"/>
        <v>NEP - CGS</v>
      </c>
      <c r="B6303" s="33" t="str">
        <f t="shared" si="393"/>
        <v>NEP</v>
      </c>
      <c r="C6303" s="33" t="str">
        <f t="shared" si="394"/>
        <v>51009-0000</v>
      </c>
      <c r="D6303" s="64" t="s">
        <v>7413</v>
      </c>
      <c r="E6303" s="64" t="s">
        <v>3746</v>
      </c>
      <c r="F6303" s="64" t="s">
        <v>230</v>
      </c>
      <c r="G6303" s="64" t="s">
        <v>3740</v>
      </c>
      <c r="H6303" s="64" t="s">
        <v>1875</v>
      </c>
      <c r="I6303" s="64" t="s">
        <v>3747</v>
      </c>
      <c r="J6303" s="67">
        <v>0</v>
      </c>
      <c r="K6303" s="62">
        <v>4753.19</v>
      </c>
      <c r="L6303" s="33" t="e">
        <f>HLOOKUP(B6303,#REF!,1,0)</f>
        <v>#REF!</v>
      </c>
      <c r="M6303" s="33" t="str">
        <f t="shared" si="395"/>
        <v>P&amp;L</v>
      </c>
    </row>
    <row r="6304" spans="1:13" s="33" customFormat="true" ht="12.75" customHeight="true">
      <c r="A6304" s="33" t="str">
        <f t="shared" si="392"/>
        <v>NEP - CGS</v>
      </c>
      <c r="B6304" s="33" t="str">
        <f t="shared" si="393"/>
        <v>NEP</v>
      </c>
      <c r="C6304" s="33" t="str">
        <f t="shared" si="394"/>
        <v>51011-0000</v>
      </c>
      <c r="D6304" s="64" t="s">
        <v>7414</v>
      </c>
      <c r="E6304" s="64" t="s">
        <v>3749</v>
      </c>
      <c r="F6304" s="64" t="s">
        <v>230</v>
      </c>
      <c r="G6304" s="64" t="s">
        <v>3740</v>
      </c>
      <c r="H6304" s="64" t="s">
        <v>1875</v>
      </c>
      <c r="I6304" s="64" t="s">
        <v>3750</v>
      </c>
      <c r="J6304" s="67">
        <v>300</v>
      </c>
      <c r="K6304" s="62">
        <v>3000</v>
      </c>
      <c r="L6304" s="33" t="e">
        <f>HLOOKUP(B6304,#REF!,1,0)</f>
        <v>#REF!</v>
      </c>
      <c r="M6304" s="33" t="str">
        <f t="shared" si="395"/>
        <v>P&amp;L</v>
      </c>
    </row>
    <row r="6305" spans="1:13" s="33" customFormat="true" ht="12.75" customHeight="true">
      <c r="A6305" s="33" t="str">
        <f t="shared" si="392"/>
        <v>NEP - CGS</v>
      </c>
      <c r="B6305" s="33" t="str">
        <f t="shared" si="393"/>
        <v>NEP</v>
      </c>
      <c r="C6305" s="33" t="str">
        <f t="shared" si="394"/>
        <v>51012-0000</v>
      </c>
      <c r="D6305" s="64" t="s">
        <v>7415</v>
      </c>
      <c r="E6305" s="64" t="s">
        <v>3752</v>
      </c>
      <c r="F6305" s="64" t="s">
        <v>230</v>
      </c>
      <c r="G6305" s="64" t="s">
        <v>3740</v>
      </c>
      <c r="H6305" s="64" t="s">
        <v>1875</v>
      </c>
      <c r="I6305" s="64" t="s">
        <v>3753</v>
      </c>
      <c r="J6305" s="67">
        <v>75</v>
      </c>
      <c r="K6305" s="62">
        <v>750</v>
      </c>
      <c r="L6305" s="33" t="e">
        <f>HLOOKUP(B6305,#REF!,1,0)</f>
        <v>#REF!</v>
      </c>
      <c r="M6305" s="33" t="str">
        <f t="shared" si="395"/>
        <v>P&amp;L</v>
      </c>
    </row>
    <row r="6306" spans="1:13" s="33" customFormat="true" ht="12.75" customHeight="true">
      <c r="A6306" s="33" t="str">
        <f t="shared" si="392"/>
        <v>NEP - CGS</v>
      </c>
      <c r="B6306" s="33" t="str">
        <f t="shared" si="393"/>
        <v>NEP</v>
      </c>
      <c r="C6306" s="33" t="str">
        <f t="shared" si="394"/>
        <v>51015-0000</v>
      </c>
      <c r="D6306" s="64" t="s">
        <v>7416</v>
      </c>
      <c r="E6306" s="64" t="s">
        <v>3755</v>
      </c>
      <c r="F6306" s="64" t="s">
        <v>230</v>
      </c>
      <c r="G6306" s="64" t="s">
        <v>3740</v>
      </c>
      <c r="H6306" s="64" t="s">
        <v>1875</v>
      </c>
      <c r="I6306" s="64" t="s">
        <v>3756</v>
      </c>
      <c r="J6306" s="67">
        <v>0</v>
      </c>
      <c r="K6306" s="62">
        <v>0</v>
      </c>
      <c r="L6306" s="33" t="e">
        <f>HLOOKUP(B6306,#REF!,1,0)</f>
        <v>#REF!</v>
      </c>
      <c r="M6306" s="33" t="str">
        <f t="shared" si="395"/>
        <v>P&amp;L</v>
      </c>
    </row>
    <row r="6307" spans="1:13" s="33" customFormat="true" ht="12.75" customHeight="true">
      <c r="A6307" s="33" t="str">
        <f t="shared" si="392"/>
        <v>NEP - CGS</v>
      </c>
      <c r="B6307" s="33" t="str">
        <f t="shared" si="393"/>
        <v>NEP</v>
      </c>
      <c r="C6307" s="33" t="str">
        <f t="shared" si="394"/>
        <v>51020-0000</v>
      </c>
      <c r="D6307" s="64" t="s">
        <v>7417</v>
      </c>
      <c r="E6307" s="64" t="s">
        <v>3763</v>
      </c>
      <c r="F6307" s="64" t="s">
        <v>230</v>
      </c>
      <c r="G6307" s="64" t="s">
        <v>3740</v>
      </c>
      <c r="H6307" s="64" t="s">
        <v>1875</v>
      </c>
      <c r="I6307" s="64" t="s">
        <v>3345</v>
      </c>
      <c r="J6307" s="67">
        <v>0</v>
      </c>
      <c r="K6307" s="62">
        <v>75.76</v>
      </c>
      <c r="L6307" s="33" t="e">
        <f>HLOOKUP(B6307,#REF!,1,0)</f>
        <v>#REF!</v>
      </c>
      <c r="M6307" s="33" t="str">
        <f t="shared" si="395"/>
        <v>P&amp;L</v>
      </c>
    </row>
    <row r="6308" spans="1:13" s="33" customFormat="true" ht="12.75" customHeight="true">
      <c r="A6308" s="33" t="str">
        <f t="shared" si="392"/>
        <v>NEP - CGS</v>
      </c>
      <c r="B6308" s="33" t="str">
        <f t="shared" si="393"/>
        <v>NEP</v>
      </c>
      <c r="C6308" s="33" t="str">
        <f t="shared" si="394"/>
        <v>51023-0000</v>
      </c>
      <c r="D6308" s="64" t="s">
        <v>7418</v>
      </c>
      <c r="E6308" s="64" t="s">
        <v>5279</v>
      </c>
      <c r="F6308" s="64" t="s">
        <v>230</v>
      </c>
      <c r="G6308" s="64" t="s">
        <v>3740</v>
      </c>
      <c r="H6308" s="64" t="s">
        <v>1875</v>
      </c>
      <c r="I6308" s="64" t="s">
        <v>5280</v>
      </c>
      <c r="J6308" s="67">
        <v>0</v>
      </c>
      <c r="K6308" s="62">
        <v>201.5</v>
      </c>
      <c r="L6308" s="33" t="e">
        <f>HLOOKUP(B6308,#REF!,1,0)</f>
        <v>#REF!</v>
      </c>
      <c r="M6308" s="33" t="str">
        <f t="shared" si="395"/>
        <v>P&amp;L</v>
      </c>
    </row>
    <row r="6309" spans="1:13" s="33" customFormat="true" ht="12.75" customHeight="true">
      <c r="A6309" s="33" t="str">
        <f t="shared" si="392"/>
        <v>NEP - CGS</v>
      </c>
      <c r="B6309" s="33" t="str">
        <f t="shared" si="393"/>
        <v>NEP</v>
      </c>
      <c r="C6309" s="33" t="str">
        <f t="shared" si="394"/>
        <v>51025-0000</v>
      </c>
      <c r="D6309" s="64" t="s">
        <v>7419</v>
      </c>
      <c r="E6309" s="64" t="s">
        <v>3988</v>
      </c>
      <c r="F6309" s="64" t="s">
        <v>230</v>
      </c>
      <c r="G6309" s="64" t="s">
        <v>3740</v>
      </c>
      <c r="H6309" s="64" t="s">
        <v>1875</v>
      </c>
      <c r="I6309" s="64" t="s">
        <v>3989</v>
      </c>
      <c r="J6309" s="67">
        <v>312.21</v>
      </c>
      <c r="K6309" s="62">
        <v>3172.49</v>
      </c>
      <c r="L6309" s="33" t="e">
        <f>HLOOKUP(B6309,#REF!,1,0)</f>
        <v>#REF!</v>
      </c>
      <c r="M6309" s="33" t="str">
        <f t="shared" si="395"/>
        <v>P&amp;L</v>
      </c>
    </row>
    <row r="6310" spans="1:13" s="33" customFormat="true" ht="12.75" customHeight="true">
      <c r="A6310" s="33" t="str">
        <f t="shared" si="392"/>
        <v>NEP - CGS</v>
      </c>
      <c r="B6310" s="33" t="str">
        <f t="shared" si="393"/>
        <v>NEP</v>
      </c>
      <c r="C6310" s="33" t="str">
        <f t="shared" si="394"/>
        <v>52001-0000</v>
      </c>
      <c r="D6310" s="64" t="s">
        <v>7420</v>
      </c>
      <c r="E6310" s="64" t="s">
        <v>3768</v>
      </c>
      <c r="F6310" s="64" t="s">
        <v>230</v>
      </c>
      <c r="G6310" s="64" t="s">
        <v>3769</v>
      </c>
      <c r="H6310" s="64" t="s">
        <v>1875</v>
      </c>
      <c r="I6310" s="64" t="s">
        <v>3770</v>
      </c>
      <c r="J6310" s="67">
        <v>0</v>
      </c>
      <c r="K6310" s="62">
        <v>2695.96</v>
      </c>
      <c r="L6310" s="33" t="e">
        <f>HLOOKUP(B6310,#REF!,1,0)</f>
        <v>#REF!</v>
      </c>
      <c r="M6310" s="33" t="str">
        <f t="shared" si="395"/>
        <v>P&amp;L</v>
      </c>
    </row>
    <row r="6311" spans="1:13" s="33" customFormat="true" ht="12.75" customHeight="true">
      <c r="A6311" s="33" t="str">
        <f t="shared" si="392"/>
        <v>NEP - CGS</v>
      </c>
      <c r="B6311" s="33" t="str">
        <f t="shared" si="393"/>
        <v>NEP</v>
      </c>
      <c r="C6311" s="33" t="str">
        <f t="shared" si="394"/>
        <v>52002-0000</v>
      </c>
      <c r="D6311" s="64" t="s">
        <v>7421</v>
      </c>
      <c r="E6311" s="64" t="s">
        <v>3997</v>
      </c>
      <c r="F6311" s="64" t="s">
        <v>230</v>
      </c>
      <c r="G6311" s="64" t="s">
        <v>3769</v>
      </c>
      <c r="H6311" s="64" t="s">
        <v>1875</v>
      </c>
      <c r="I6311" s="64" t="s">
        <v>3998</v>
      </c>
      <c r="J6311" s="67">
        <v>0</v>
      </c>
      <c r="K6311" s="62">
        <v>-200</v>
      </c>
      <c r="L6311" s="33" t="e">
        <f>HLOOKUP(B6311,#REF!,1,0)</f>
        <v>#REF!</v>
      </c>
      <c r="M6311" s="33" t="str">
        <f t="shared" si="395"/>
        <v>P&amp;L</v>
      </c>
    </row>
    <row r="6312" spans="1:13" s="33" customFormat="true" ht="12.75" customHeight="true">
      <c r="A6312" s="33" t="str">
        <f t="shared" si="392"/>
        <v>NEP - CGS</v>
      </c>
      <c r="B6312" s="33" t="str">
        <f t="shared" si="393"/>
        <v>NEP</v>
      </c>
      <c r="C6312" s="33" t="str">
        <f t="shared" si="394"/>
        <v>52003-0000</v>
      </c>
      <c r="D6312" s="64" t="s">
        <v>7422</v>
      </c>
      <c r="E6312" s="64" t="s">
        <v>3772</v>
      </c>
      <c r="F6312" s="64" t="s">
        <v>230</v>
      </c>
      <c r="G6312" s="64" t="s">
        <v>3769</v>
      </c>
      <c r="H6312" s="64" t="s">
        <v>1875</v>
      </c>
      <c r="I6312" s="64" t="s">
        <v>3773</v>
      </c>
      <c r="J6312" s="67">
        <v>125</v>
      </c>
      <c r="K6312" s="62">
        <v>490.22</v>
      </c>
      <c r="L6312" s="33" t="e">
        <f>HLOOKUP(B6312,#REF!,1,0)</f>
        <v>#REF!</v>
      </c>
      <c r="M6312" s="33" t="str">
        <f t="shared" si="395"/>
        <v>P&amp;L</v>
      </c>
    </row>
    <row r="6313" spans="1:13" s="33" customFormat="true" ht="12.75" customHeight="true">
      <c r="A6313" s="33" t="str">
        <f t="shared" si="392"/>
        <v>NEP - CGS</v>
      </c>
      <c r="B6313" s="33" t="str">
        <f t="shared" si="393"/>
        <v>NEP</v>
      </c>
      <c r="C6313" s="33" t="str">
        <f t="shared" si="394"/>
        <v>52004-0000</v>
      </c>
      <c r="D6313" s="64" t="s">
        <v>7423</v>
      </c>
      <c r="E6313" s="64" t="s">
        <v>3775</v>
      </c>
      <c r="F6313" s="64" t="s">
        <v>230</v>
      </c>
      <c r="G6313" s="64" t="s">
        <v>3769</v>
      </c>
      <c r="H6313" s="64" t="s">
        <v>1875</v>
      </c>
      <c r="I6313" s="64" t="s">
        <v>3776</v>
      </c>
      <c r="J6313" s="67">
        <v>0</v>
      </c>
      <c r="K6313" s="62">
        <v>79.21</v>
      </c>
      <c r="L6313" s="33" t="e">
        <f>HLOOKUP(B6313,#REF!,1,0)</f>
        <v>#REF!</v>
      </c>
      <c r="M6313" s="33" t="str">
        <f t="shared" si="395"/>
        <v>P&amp;L</v>
      </c>
    </row>
    <row r="6314" spans="1:13" s="33" customFormat="true" ht="12.75" customHeight="true">
      <c r="A6314" s="33" t="str">
        <f t="shared" si="392"/>
        <v>NEP - CGS</v>
      </c>
      <c r="B6314" s="33" t="str">
        <f t="shared" si="393"/>
        <v>NEP</v>
      </c>
      <c r="C6314" s="33" t="str">
        <f t="shared" si="394"/>
        <v>52006-0000</v>
      </c>
      <c r="D6314" s="64" t="s">
        <v>7424</v>
      </c>
      <c r="E6314" s="64" t="s">
        <v>3778</v>
      </c>
      <c r="F6314" s="64" t="s">
        <v>230</v>
      </c>
      <c r="G6314" s="64" t="s">
        <v>3769</v>
      </c>
      <c r="H6314" s="64" t="s">
        <v>1875</v>
      </c>
      <c r="I6314" s="64" t="s">
        <v>3779</v>
      </c>
      <c r="J6314" s="67">
        <v>0</v>
      </c>
      <c r="K6314" s="62">
        <v>520.12</v>
      </c>
      <c r="L6314" s="33" t="e">
        <f>HLOOKUP(B6314,#REF!,1,0)</f>
        <v>#REF!</v>
      </c>
      <c r="M6314" s="33" t="str">
        <f t="shared" si="395"/>
        <v>P&amp;L</v>
      </c>
    </row>
    <row r="6315" spans="1:13" s="33" customFormat="true" ht="12.75" customHeight="true">
      <c r="A6315" s="33" t="str">
        <f t="shared" si="392"/>
        <v>NEP - CGS</v>
      </c>
      <c r="B6315" s="33" t="str">
        <f t="shared" si="393"/>
        <v>NEP</v>
      </c>
      <c r="C6315" s="33" t="str">
        <f t="shared" si="394"/>
        <v>53001-0000</v>
      </c>
      <c r="D6315" s="64" t="s">
        <v>7425</v>
      </c>
      <c r="E6315" s="64" t="s">
        <v>3781</v>
      </c>
      <c r="F6315" s="64" t="s">
        <v>230</v>
      </c>
      <c r="G6315" s="64" t="s">
        <v>3160</v>
      </c>
      <c r="H6315" s="64" t="s">
        <v>1875</v>
      </c>
      <c r="I6315" s="64" t="s">
        <v>3782</v>
      </c>
      <c r="J6315" s="67">
        <v>60</v>
      </c>
      <c r="K6315" s="62">
        <v>800.32</v>
      </c>
      <c r="L6315" s="33" t="e">
        <f>HLOOKUP(B6315,#REF!,1,0)</f>
        <v>#REF!</v>
      </c>
      <c r="M6315" s="33" t="str">
        <f t="shared" si="395"/>
        <v>P&amp;L</v>
      </c>
    </row>
    <row r="6316" spans="1:13" s="33" customFormat="true" ht="12.75" customHeight="true">
      <c r="A6316" s="33" t="str">
        <f t="shared" si="392"/>
        <v>NEP - CGS</v>
      </c>
      <c r="B6316" s="33" t="str">
        <f t="shared" si="393"/>
        <v>NEP</v>
      </c>
      <c r="C6316" s="33" t="str">
        <f t="shared" si="394"/>
        <v>53002-0000</v>
      </c>
      <c r="D6316" s="64" t="s">
        <v>7426</v>
      </c>
      <c r="E6316" s="64" t="s">
        <v>3784</v>
      </c>
      <c r="F6316" s="64" t="s">
        <v>230</v>
      </c>
      <c r="G6316" s="64" t="s">
        <v>3160</v>
      </c>
      <c r="H6316" s="64" t="s">
        <v>1875</v>
      </c>
      <c r="I6316" s="64" t="s">
        <v>3785</v>
      </c>
      <c r="J6316" s="67">
        <v>1529.5</v>
      </c>
      <c r="K6316" s="62">
        <v>15295</v>
      </c>
      <c r="L6316" s="33" t="e">
        <f>HLOOKUP(B6316,#REF!,1,0)</f>
        <v>#REF!</v>
      </c>
      <c r="M6316" s="33" t="str">
        <f t="shared" si="395"/>
        <v>P&amp;L</v>
      </c>
    </row>
    <row r="6317" spans="1:13" s="33" customFormat="true" ht="12.75" customHeight="true">
      <c r="A6317" s="33" t="str">
        <f t="shared" si="392"/>
        <v>NEP - CGS</v>
      </c>
      <c r="B6317" s="33" t="str">
        <f t="shared" si="393"/>
        <v>NEP</v>
      </c>
      <c r="C6317" s="33" t="str">
        <f t="shared" si="394"/>
        <v>53003-0000</v>
      </c>
      <c r="D6317" s="64" t="s">
        <v>7427</v>
      </c>
      <c r="E6317" s="64" t="s">
        <v>3787</v>
      </c>
      <c r="F6317" s="64" t="s">
        <v>230</v>
      </c>
      <c r="G6317" s="64" t="s">
        <v>3160</v>
      </c>
      <c r="H6317" s="64" t="s">
        <v>1875</v>
      </c>
      <c r="I6317" s="64" t="s">
        <v>3788</v>
      </c>
      <c r="J6317" s="67">
        <v>67.15</v>
      </c>
      <c r="K6317" s="62">
        <v>4214.19</v>
      </c>
      <c r="L6317" s="33" t="e">
        <f>HLOOKUP(B6317,#REF!,1,0)</f>
        <v>#REF!</v>
      </c>
      <c r="M6317" s="33" t="str">
        <f t="shared" si="395"/>
        <v>P&amp;L</v>
      </c>
    </row>
    <row r="6318" spans="1:13" s="33" customFormat="true" ht="12.75" customHeight="true">
      <c r="A6318" s="33" t="str">
        <f t="shared" si="392"/>
        <v>NEP - CGS</v>
      </c>
      <c r="B6318" s="33" t="str">
        <f t="shared" si="393"/>
        <v>NEP</v>
      </c>
      <c r="C6318" s="33" t="str">
        <f t="shared" si="394"/>
        <v>53004-0000</v>
      </c>
      <c r="D6318" s="64" t="s">
        <v>7428</v>
      </c>
      <c r="E6318" s="64" t="s">
        <v>3790</v>
      </c>
      <c r="F6318" s="64" t="s">
        <v>230</v>
      </c>
      <c r="G6318" s="64" t="s">
        <v>3160</v>
      </c>
      <c r="H6318" s="64" t="s">
        <v>1875</v>
      </c>
      <c r="I6318" s="64" t="s">
        <v>3791</v>
      </c>
      <c r="J6318" s="67">
        <v>943.05</v>
      </c>
      <c r="K6318" s="62">
        <v>11639.97</v>
      </c>
      <c r="L6318" s="33" t="e">
        <f>HLOOKUP(B6318,#REF!,1,0)</f>
        <v>#REF!</v>
      </c>
      <c r="M6318" s="33" t="str">
        <f t="shared" si="395"/>
        <v>P&amp;L</v>
      </c>
    </row>
    <row r="6319" spans="1:13" s="33" customFormat="true" ht="12.75" customHeight="true">
      <c r="A6319" s="33" t="str">
        <f t="shared" si="392"/>
        <v>NEP - CGS</v>
      </c>
      <c r="B6319" s="33" t="str">
        <f t="shared" si="393"/>
        <v>NEP</v>
      </c>
      <c r="C6319" s="33" t="str">
        <f t="shared" si="394"/>
        <v>53005-0000</v>
      </c>
      <c r="D6319" s="64" t="s">
        <v>7429</v>
      </c>
      <c r="E6319" s="64" t="s">
        <v>3793</v>
      </c>
      <c r="F6319" s="64" t="s">
        <v>230</v>
      </c>
      <c r="G6319" s="64" t="s">
        <v>3160</v>
      </c>
      <c r="H6319" s="64" t="s">
        <v>1875</v>
      </c>
      <c r="I6319" s="64" t="s">
        <v>3794</v>
      </c>
      <c r="J6319" s="67">
        <v>0</v>
      </c>
      <c r="K6319" s="62">
        <v>8873.25</v>
      </c>
      <c r="L6319" s="33" t="e">
        <f>HLOOKUP(B6319,#REF!,1,0)</f>
        <v>#REF!</v>
      </c>
      <c r="M6319" s="33" t="str">
        <f t="shared" si="395"/>
        <v>P&amp;L</v>
      </c>
    </row>
    <row r="6320" spans="1:13" s="33" customFormat="true" ht="12.75" customHeight="true">
      <c r="A6320" s="33" t="str">
        <f t="shared" si="392"/>
        <v>NEP - CGS</v>
      </c>
      <c r="B6320" s="33" t="str">
        <f t="shared" si="393"/>
        <v>NEP</v>
      </c>
      <c r="C6320" s="33" t="str">
        <f t="shared" si="394"/>
        <v>53006-0000</v>
      </c>
      <c r="D6320" s="64" t="s">
        <v>7430</v>
      </c>
      <c r="E6320" s="64" t="s">
        <v>3796</v>
      </c>
      <c r="F6320" s="64" t="s">
        <v>230</v>
      </c>
      <c r="G6320" s="64" t="s">
        <v>3160</v>
      </c>
      <c r="H6320" s="64" t="s">
        <v>1875</v>
      </c>
      <c r="I6320" s="64" t="s">
        <v>3797</v>
      </c>
      <c r="J6320" s="67">
        <v>0</v>
      </c>
      <c r="K6320" s="62">
        <v>12661.9</v>
      </c>
      <c r="L6320" s="33" t="e">
        <f>HLOOKUP(B6320,#REF!,1,0)</f>
        <v>#REF!</v>
      </c>
      <c r="M6320" s="33" t="str">
        <f t="shared" si="395"/>
        <v>P&amp;L</v>
      </c>
    </row>
    <row r="6321" spans="1:13" s="33" customFormat="true" ht="12.75" customHeight="true">
      <c r="A6321" s="33" t="str">
        <f t="shared" si="392"/>
        <v>NEP - CGS</v>
      </c>
      <c r="B6321" s="33" t="str">
        <f t="shared" si="393"/>
        <v>NEP</v>
      </c>
      <c r="C6321" s="33" t="str">
        <f t="shared" si="394"/>
        <v>54002-0000</v>
      </c>
      <c r="D6321" s="64" t="s">
        <v>7431</v>
      </c>
      <c r="E6321" s="64" t="s">
        <v>3799</v>
      </c>
      <c r="F6321" s="64" t="s">
        <v>230</v>
      </c>
      <c r="G6321" s="64" t="s">
        <v>3800</v>
      </c>
      <c r="H6321" s="64" t="s">
        <v>1875</v>
      </c>
      <c r="I6321" s="64" t="s">
        <v>3801</v>
      </c>
      <c r="J6321" s="67">
        <v>0</v>
      </c>
      <c r="K6321" s="62">
        <v>2842</v>
      </c>
      <c r="L6321" s="33" t="e">
        <f>HLOOKUP(B6321,#REF!,1,0)</f>
        <v>#REF!</v>
      </c>
      <c r="M6321" s="33" t="str">
        <f t="shared" si="395"/>
        <v>P&amp;L</v>
      </c>
    </row>
    <row r="6322" spans="1:13" s="33" customFormat="true" ht="12.75" customHeight="true">
      <c r="A6322" s="33" t="str">
        <f t="shared" si="392"/>
        <v>NEP - CGS</v>
      </c>
      <c r="B6322" s="33" t="str">
        <f t="shared" si="393"/>
        <v>NEP</v>
      </c>
      <c r="C6322" s="33" t="str">
        <f t="shared" si="394"/>
        <v>54003-0000</v>
      </c>
      <c r="D6322" s="64" t="s">
        <v>7432</v>
      </c>
      <c r="E6322" s="64" t="s">
        <v>3803</v>
      </c>
      <c r="F6322" s="64" t="s">
        <v>230</v>
      </c>
      <c r="G6322" s="64" t="s">
        <v>3800</v>
      </c>
      <c r="H6322" s="64" t="s">
        <v>1875</v>
      </c>
      <c r="I6322" s="64" t="s">
        <v>3804</v>
      </c>
      <c r="J6322" s="67">
        <v>0</v>
      </c>
      <c r="K6322" s="62">
        <v>0</v>
      </c>
      <c r="L6322" s="33" t="e">
        <f>HLOOKUP(B6322,#REF!,1,0)</f>
        <v>#REF!</v>
      </c>
      <c r="M6322" s="33" t="str">
        <f t="shared" si="395"/>
        <v>P&amp;L</v>
      </c>
    </row>
    <row r="6323" spans="1:13" s="33" customFormat="true" ht="12.75" customHeight="true">
      <c r="A6323" s="33" t="str">
        <f t="shared" si="392"/>
        <v>NEP - CGS</v>
      </c>
      <c r="B6323" s="33" t="str">
        <f t="shared" si="393"/>
        <v>NEP</v>
      </c>
      <c r="C6323" s="33" t="str">
        <f t="shared" si="394"/>
        <v>54004-0000</v>
      </c>
      <c r="D6323" s="64" t="s">
        <v>7433</v>
      </c>
      <c r="E6323" s="64" t="s">
        <v>3806</v>
      </c>
      <c r="F6323" s="64" t="s">
        <v>230</v>
      </c>
      <c r="G6323" s="64" t="s">
        <v>3800</v>
      </c>
      <c r="H6323" s="64" t="s">
        <v>1875</v>
      </c>
      <c r="I6323" s="64" t="s">
        <v>3807</v>
      </c>
      <c r="J6323" s="67">
        <v>1580</v>
      </c>
      <c r="K6323" s="62">
        <v>14438.57</v>
      </c>
      <c r="L6323" s="33" t="e">
        <f>HLOOKUP(B6323,#REF!,1,0)</f>
        <v>#REF!</v>
      </c>
      <c r="M6323" s="33" t="str">
        <f t="shared" si="395"/>
        <v>P&amp;L</v>
      </c>
    </row>
    <row r="6324" spans="1:13" s="33" customFormat="true" ht="12.75" customHeight="true">
      <c r="A6324" s="33" t="str">
        <f t="shared" si="392"/>
        <v>NEP - CGS</v>
      </c>
      <c r="B6324" s="33" t="str">
        <f t="shared" si="393"/>
        <v>NEP</v>
      </c>
      <c r="C6324" s="33" t="str">
        <f t="shared" si="394"/>
        <v>54005-0000</v>
      </c>
      <c r="D6324" s="64" t="s">
        <v>7434</v>
      </c>
      <c r="E6324" s="64" t="s">
        <v>3809</v>
      </c>
      <c r="F6324" s="64" t="s">
        <v>230</v>
      </c>
      <c r="G6324" s="64" t="s">
        <v>3800</v>
      </c>
      <c r="H6324" s="64" t="s">
        <v>1875</v>
      </c>
      <c r="I6324" s="64" t="s">
        <v>3810</v>
      </c>
      <c r="J6324" s="67">
        <v>11.73</v>
      </c>
      <c r="K6324" s="62">
        <v>157.37</v>
      </c>
      <c r="L6324" s="33" t="e">
        <f>HLOOKUP(B6324,#REF!,1,0)</f>
        <v>#REF!</v>
      </c>
      <c r="M6324" s="33" t="str">
        <f t="shared" si="395"/>
        <v>P&amp;L</v>
      </c>
    </row>
    <row r="6325" spans="1:13" s="33" customFormat="true" ht="12.75" customHeight="true">
      <c r="A6325" s="33" t="str">
        <f t="shared" si="392"/>
        <v>NEP - CGS</v>
      </c>
      <c r="B6325" s="33" t="str">
        <f t="shared" si="393"/>
        <v>NEP</v>
      </c>
      <c r="C6325" s="33" t="str">
        <f t="shared" si="394"/>
        <v>54006-0000</v>
      </c>
      <c r="D6325" s="64" t="s">
        <v>7435</v>
      </c>
      <c r="E6325" s="64" t="s">
        <v>3812</v>
      </c>
      <c r="F6325" s="64" t="s">
        <v>230</v>
      </c>
      <c r="G6325" s="64" t="s">
        <v>3800</v>
      </c>
      <c r="H6325" s="64" t="s">
        <v>1875</v>
      </c>
      <c r="I6325" s="64" t="s">
        <v>3003</v>
      </c>
      <c r="J6325" s="67">
        <v>120.88</v>
      </c>
      <c r="K6325" s="62">
        <v>1632.88</v>
      </c>
      <c r="L6325" s="33" t="e">
        <f>HLOOKUP(B6325,#REF!,1,0)</f>
        <v>#REF!</v>
      </c>
      <c r="M6325" s="33" t="str">
        <f t="shared" si="395"/>
        <v>P&amp;L</v>
      </c>
    </row>
    <row r="6326" spans="1:13" s="33" customFormat="true" ht="12.75" customHeight="true">
      <c r="A6326" s="33" t="str">
        <f t="shared" si="392"/>
        <v>NEP - CGS</v>
      </c>
      <c r="B6326" s="33" t="str">
        <f t="shared" si="393"/>
        <v>NEP</v>
      </c>
      <c r="C6326" s="33" t="str">
        <f t="shared" si="394"/>
        <v>54007-0000</v>
      </c>
      <c r="D6326" s="64" t="s">
        <v>7436</v>
      </c>
      <c r="E6326" s="64" t="s">
        <v>4182</v>
      </c>
      <c r="F6326" s="64" t="s">
        <v>230</v>
      </c>
      <c r="G6326" s="64" t="s">
        <v>3800</v>
      </c>
      <c r="H6326" s="64" t="s">
        <v>1875</v>
      </c>
      <c r="I6326" s="64" t="s">
        <v>3815</v>
      </c>
      <c r="J6326" s="67">
        <v>356</v>
      </c>
      <c r="K6326" s="62">
        <v>12010.6</v>
      </c>
      <c r="L6326" s="33" t="e">
        <f>HLOOKUP(B6326,#REF!,1,0)</f>
        <v>#REF!</v>
      </c>
      <c r="M6326" s="33" t="str">
        <f t="shared" si="395"/>
        <v>P&amp;L</v>
      </c>
    </row>
    <row r="6327" spans="1:13" s="33" customFormat="true" ht="12.75" customHeight="true">
      <c r="A6327" s="33" t="str">
        <f t="shared" si="392"/>
        <v>NEP - PM Expenses</v>
      </c>
      <c r="B6327" s="33" t="str">
        <f t="shared" si="393"/>
        <v>NEP</v>
      </c>
      <c r="C6327" s="33" t="str">
        <f t="shared" si="394"/>
        <v>55501-0000</v>
      </c>
      <c r="D6327" s="64" t="s">
        <v>7437</v>
      </c>
      <c r="E6327" s="64" t="s">
        <v>3817</v>
      </c>
      <c r="F6327" s="64" t="s">
        <v>230</v>
      </c>
      <c r="G6327" s="64" t="s">
        <v>3818</v>
      </c>
      <c r="H6327" s="64" t="s">
        <v>3819</v>
      </c>
      <c r="I6327" s="64" t="s">
        <v>3820</v>
      </c>
      <c r="J6327" s="67">
        <v>0</v>
      </c>
      <c r="K6327" s="62">
        <v>50</v>
      </c>
      <c r="L6327" s="33" t="e">
        <f>HLOOKUP(B6327,#REF!,1,0)</f>
        <v>#REF!</v>
      </c>
      <c r="M6327" s="33" t="str">
        <f t="shared" si="395"/>
        <v>P&amp;L</v>
      </c>
    </row>
    <row r="6328" spans="1:13" s="33" customFormat="true" ht="12.75" customHeight="true">
      <c r="A6328" s="33" t="str">
        <f t="shared" si="392"/>
        <v>NEP - PM Expenses</v>
      </c>
      <c r="B6328" s="33" t="str">
        <f t="shared" si="393"/>
        <v>NEP</v>
      </c>
      <c r="C6328" s="33" t="str">
        <f t="shared" si="394"/>
        <v>55502-0000</v>
      </c>
      <c r="D6328" s="64" t="s">
        <v>7438</v>
      </c>
      <c r="E6328" s="64" t="s">
        <v>3822</v>
      </c>
      <c r="F6328" s="64" t="s">
        <v>230</v>
      </c>
      <c r="G6328" s="64" t="s">
        <v>3818</v>
      </c>
      <c r="H6328" s="64" t="s">
        <v>3819</v>
      </c>
      <c r="I6328" s="64" t="s">
        <v>3823</v>
      </c>
      <c r="J6328" s="67">
        <v>120</v>
      </c>
      <c r="K6328" s="62">
        <v>6142.53</v>
      </c>
      <c r="L6328" s="33" t="e">
        <f>HLOOKUP(B6328,#REF!,1,0)</f>
        <v>#REF!</v>
      </c>
      <c r="M6328" s="33" t="str">
        <f t="shared" si="395"/>
        <v>P&amp;L</v>
      </c>
    </row>
    <row r="6329" spans="1:13" s="33" customFormat="true" ht="12.75" customHeight="true">
      <c r="A6329" s="33" t="str">
        <f t="shared" si="392"/>
        <v>NEP - PM Expenses</v>
      </c>
      <c r="B6329" s="33" t="str">
        <f t="shared" si="393"/>
        <v>NEP</v>
      </c>
      <c r="C6329" s="33" t="str">
        <f t="shared" si="394"/>
        <v>55503-0000</v>
      </c>
      <c r="D6329" s="64" t="s">
        <v>7439</v>
      </c>
      <c r="E6329" s="64" t="s">
        <v>3825</v>
      </c>
      <c r="F6329" s="64" t="s">
        <v>230</v>
      </c>
      <c r="G6329" s="64" t="s">
        <v>3818</v>
      </c>
      <c r="H6329" s="64" t="s">
        <v>3819</v>
      </c>
      <c r="I6329" s="64" t="s">
        <v>3826</v>
      </c>
      <c r="J6329" s="67">
        <v>360</v>
      </c>
      <c r="K6329" s="62">
        <v>8449.04</v>
      </c>
      <c r="L6329" s="33" t="e">
        <f>HLOOKUP(B6329,#REF!,1,0)</f>
        <v>#REF!</v>
      </c>
      <c r="M6329" s="33" t="str">
        <f t="shared" si="395"/>
        <v>P&amp;L</v>
      </c>
    </row>
    <row r="6330" spans="1:13" s="33" customFormat="true" ht="12.75" customHeight="true">
      <c r="A6330" s="33" t="str">
        <f t="shared" si="392"/>
        <v>NEP - PM Expenses</v>
      </c>
      <c r="B6330" s="33" t="str">
        <f t="shared" si="393"/>
        <v>NEP</v>
      </c>
      <c r="C6330" s="33" t="str">
        <f t="shared" si="394"/>
        <v>55504-0000</v>
      </c>
      <c r="D6330" s="64" t="s">
        <v>7440</v>
      </c>
      <c r="E6330" s="64" t="s">
        <v>4027</v>
      </c>
      <c r="F6330" s="64" t="s">
        <v>230</v>
      </c>
      <c r="G6330" s="64" t="s">
        <v>3818</v>
      </c>
      <c r="H6330" s="64" t="s">
        <v>3819</v>
      </c>
      <c r="I6330" s="64" t="s">
        <v>4028</v>
      </c>
      <c r="J6330" s="67">
        <v>0</v>
      </c>
      <c r="K6330" s="62">
        <v>934.03</v>
      </c>
      <c r="L6330" s="33" t="e">
        <f>HLOOKUP(B6330,#REF!,1,0)</f>
        <v>#REF!</v>
      </c>
      <c r="M6330" s="33" t="str">
        <f t="shared" si="395"/>
        <v>P&amp;L</v>
      </c>
    </row>
    <row r="6331" spans="1:13" s="33" customFormat="true" ht="12.75" customHeight="true">
      <c r="A6331" s="33" t="str">
        <f t="shared" si="392"/>
        <v>NEP - PM Expenses</v>
      </c>
      <c r="B6331" s="33" t="str">
        <f t="shared" si="393"/>
        <v>NEP</v>
      </c>
      <c r="C6331" s="33" t="str">
        <f t="shared" si="394"/>
        <v>55505-0000</v>
      </c>
      <c r="D6331" s="64" t="s">
        <v>7441</v>
      </c>
      <c r="E6331" s="64" t="s">
        <v>3828</v>
      </c>
      <c r="F6331" s="64" t="s">
        <v>230</v>
      </c>
      <c r="G6331" s="64" t="s">
        <v>3818</v>
      </c>
      <c r="H6331" s="64" t="s">
        <v>3819</v>
      </c>
      <c r="I6331" s="64" t="s">
        <v>3829</v>
      </c>
      <c r="J6331" s="67">
        <v>415.74</v>
      </c>
      <c r="K6331" s="62">
        <v>34466.28</v>
      </c>
      <c r="L6331" s="33" t="e">
        <f>HLOOKUP(B6331,#REF!,1,0)</f>
        <v>#REF!</v>
      </c>
      <c r="M6331" s="33" t="str">
        <f t="shared" si="395"/>
        <v>P&amp;L</v>
      </c>
    </row>
    <row r="6332" spans="1:13" s="33" customFormat="true" ht="12.75" customHeight="true">
      <c r="A6332" s="33" t="str">
        <f t="shared" si="392"/>
        <v>NEP - PM Expenses</v>
      </c>
      <c r="B6332" s="33" t="str">
        <f t="shared" si="393"/>
        <v>NEP</v>
      </c>
      <c r="C6332" s="33" t="str">
        <f t="shared" si="394"/>
        <v>55506-0000</v>
      </c>
      <c r="D6332" s="64" t="s">
        <v>7442</v>
      </c>
      <c r="E6332" s="64" t="s">
        <v>3831</v>
      </c>
      <c r="F6332" s="64" t="s">
        <v>230</v>
      </c>
      <c r="G6332" s="64" t="s">
        <v>3818</v>
      </c>
      <c r="H6332" s="64" t="s">
        <v>3819</v>
      </c>
      <c r="I6332" s="64" t="s">
        <v>3832</v>
      </c>
      <c r="J6332" s="67">
        <v>2043.22</v>
      </c>
      <c r="K6332" s="62">
        <v>43705.86</v>
      </c>
      <c r="L6332" s="33" t="e">
        <f>HLOOKUP(B6332,#REF!,1,0)</f>
        <v>#REF!</v>
      </c>
      <c r="M6332" s="33" t="str">
        <f t="shared" si="395"/>
        <v>P&amp;L</v>
      </c>
    </row>
    <row r="6333" spans="1:13" s="33" customFormat="true" ht="12.75" customHeight="true">
      <c r="A6333" s="33" t="str">
        <f t="shared" si="392"/>
        <v>NEP - CGS</v>
      </c>
      <c r="B6333" s="33" t="str">
        <f t="shared" si="393"/>
        <v>NEP</v>
      </c>
      <c r="C6333" s="33" t="str">
        <f t="shared" si="394"/>
        <v>60001-0000</v>
      </c>
      <c r="D6333" s="64" t="s">
        <v>7443</v>
      </c>
      <c r="E6333" s="64" t="s">
        <v>4192</v>
      </c>
      <c r="F6333" s="64" t="s">
        <v>230</v>
      </c>
      <c r="G6333" s="64" t="s">
        <v>3838</v>
      </c>
      <c r="H6333" s="64" t="s">
        <v>1875</v>
      </c>
      <c r="I6333" s="64" t="s">
        <v>4193</v>
      </c>
      <c r="J6333" s="67">
        <v>0</v>
      </c>
      <c r="K6333" s="62">
        <v>3840.84</v>
      </c>
      <c r="L6333" s="33" t="e">
        <f>HLOOKUP(B6333,#REF!,1,0)</f>
        <v>#REF!</v>
      </c>
      <c r="M6333" s="33" t="str">
        <f t="shared" si="395"/>
        <v>P&amp;L</v>
      </c>
    </row>
    <row r="6334" spans="1:13" s="33" customFormat="true" ht="12.75" customHeight="true">
      <c r="A6334" s="33" t="str">
        <f t="shared" si="392"/>
        <v>NEP - CGS</v>
      </c>
      <c r="B6334" s="33" t="str">
        <f t="shared" si="393"/>
        <v>NEP</v>
      </c>
      <c r="C6334" s="33" t="str">
        <f t="shared" si="394"/>
        <v>60002-0000</v>
      </c>
      <c r="D6334" s="64" t="s">
        <v>7444</v>
      </c>
      <c r="E6334" s="64" t="s">
        <v>3837</v>
      </c>
      <c r="F6334" s="64" t="s">
        <v>230</v>
      </c>
      <c r="G6334" s="64" t="s">
        <v>3838</v>
      </c>
      <c r="H6334" s="64" t="s">
        <v>1875</v>
      </c>
      <c r="I6334" s="64" t="s">
        <v>3839</v>
      </c>
      <c r="J6334" s="67">
        <v>105.67</v>
      </c>
      <c r="K6334" s="62">
        <v>1213.25</v>
      </c>
      <c r="L6334" s="33" t="e">
        <f>HLOOKUP(B6334,#REF!,1,0)</f>
        <v>#REF!</v>
      </c>
      <c r="M6334" s="33" t="str">
        <f t="shared" si="395"/>
        <v>P&amp;L</v>
      </c>
    </row>
    <row r="6335" spans="1:13" s="33" customFormat="true" ht="12.75" customHeight="true">
      <c r="A6335" s="33" t="str">
        <f t="shared" si="392"/>
        <v>NEP - CGS</v>
      </c>
      <c r="B6335" s="33" t="str">
        <f t="shared" si="393"/>
        <v>NEP</v>
      </c>
      <c r="C6335" s="33" t="str">
        <f t="shared" si="394"/>
        <v>60005-0000</v>
      </c>
      <c r="D6335" s="64" t="s">
        <v>7445</v>
      </c>
      <c r="E6335" s="64" t="s">
        <v>3841</v>
      </c>
      <c r="F6335" s="64" t="s">
        <v>230</v>
      </c>
      <c r="G6335" s="64" t="s">
        <v>3838</v>
      </c>
      <c r="H6335" s="64" t="s">
        <v>1875</v>
      </c>
      <c r="I6335" s="64" t="s">
        <v>3842</v>
      </c>
      <c r="J6335" s="67">
        <v>0</v>
      </c>
      <c r="K6335" s="62">
        <v>22289.38</v>
      </c>
      <c r="L6335" s="33" t="e">
        <f>HLOOKUP(B6335,#REF!,1,0)</f>
        <v>#REF!</v>
      </c>
      <c r="M6335" s="33" t="str">
        <f t="shared" si="395"/>
        <v>P&amp;L</v>
      </c>
    </row>
    <row r="6336" spans="1:13" s="33" customFormat="true" ht="12.75" customHeight="true">
      <c r="A6336" s="33" t="str">
        <f t="shared" si="392"/>
        <v>NEP - Interest Expense</v>
      </c>
      <c r="B6336" s="33" t="str">
        <f t="shared" si="393"/>
        <v>NEP</v>
      </c>
      <c r="C6336" s="33" t="str">
        <f t="shared" si="394"/>
        <v>60006-0000</v>
      </c>
      <c r="D6336" s="64" t="s">
        <v>7446</v>
      </c>
      <c r="E6336" s="64" t="s">
        <v>3325</v>
      </c>
      <c r="F6336" s="64" t="s">
        <v>230</v>
      </c>
      <c r="G6336" s="64" t="s">
        <v>3844</v>
      </c>
      <c r="H6336" s="64" t="s">
        <v>3327</v>
      </c>
      <c r="I6336" s="64" t="s">
        <v>3328</v>
      </c>
      <c r="J6336" s="67">
        <v>28675.58</v>
      </c>
      <c r="K6336" s="62">
        <v>178684.52</v>
      </c>
      <c r="L6336" s="33" t="e">
        <f>HLOOKUP(B6336,#REF!,1,0)</f>
        <v>#REF!</v>
      </c>
      <c r="M6336" s="33" t="str">
        <f t="shared" si="395"/>
        <v>P&amp;L</v>
      </c>
    </row>
    <row r="6337" spans="1:13" s="33" customFormat="true" ht="12.75" customHeight="true">
      <c r="A6337" s="33" t="str">
        <f t="shared" si="392"/>
        <v>NEP - CGS</v>
      </c>
      <c r="B6337" s="33" t="str">
        <f t="shared" si="393"/>
        <v>NEP</v>
      </c>
      <c r="C6337" s="33" t="str">
        <f t="shared" si="394"/>
        <v>60007-0000</v>
      </c>
      <c r="D6337" s="64" t="s">
        <v>7447</v>
      </c>
      <c r="E6337" s="64" t="s">
        <v>3846</v>
      </c>
      <c r="F6337" s="64" t="s">
        <v>230</v>
      </c>
      <c r="G6337" s="64" t="s">
        <v>3838</v>
      </c>
      <c r="H6337" s="64" t="s">
        <v>1875</v>
      </c>
      <c r="I6337" s="64" t="s">
        <v>3847</v>
      </c>
      <c r="J6337" s="67">
        <v>0</v>
      </c>
      <c r="K6337" s="62">
        <v>80801</v>
      </c>
      <c r="L6337" s="33" t="e">
        <f>HLOOKUP(B6337,#REF!,1,0)</f>
        <v>#REF!</v>
      </c>
      <c r="M6337" s="33" t="str">
        <f t="shared" si="395"/>
        <v>P&amp;L</v>
      </c>
    </row>
    <row r="6338" spans="1:13" s="33" customFormat="true" ht="12.75" customHeight="true">
      <c r="A6338" s="33" t="str">
        <f t="shared" ref="A6338:A6401" si="396">B6338&amp;" - "&amp;TRIM(H6338)</f>
        <v>NEP - CGS</v>
      </c>
      <c r="B6338" s="33" t="str">
        <f t="shared" ref="B6338:B6401" si="397">LEFT(D6338,3)</f>
        <v>NEP</v>
      </c>
      <c r="C6338" s="33" t="str">
        <f t="shared" ref="C6338:C6401" si="398">RIGHT(D6338,10)</f>
        <v>60011-0000</v>
      </c>
      <c r="D6338" s="64" t="s">
        <v>7448</v>
      </c>
      <c r="E6338" s="64" t="s">
        <v>4199</v>
      </c>
      <c r="F6338" s="64" t="s">
        <v>230</v>
      </c>
      <c r="G6338" s="64" t="s">
        <v>3838</v>
      </c>
      <c r="H6338" s="64" t="s">
        <v>1875</v>
      </c>
      <c r="I6338" s="64" t="s">
        <v>4200</v>
      </c>
      <c r="J6338" s="67">
        <v>0</v>
      </c>
      <c r="K6338" s="62">
        <v>2817.42</v>
      </c>
      <c r="L6338" s="33" t="e">
        <f>HLOOKUP(B6338,#REF!,1,0)</f>
        <v>#REF!</v>
      </c>
      <c r="M6338" s="33" t="str">
        <f t="shared" ref="M6338:M6401" si="399">IF(VALUE(LEFT(C6338,5))&gt;40000,"P&amp;L","BS")</f>
        <v>P&amp;L</v>
      </c>
    </row>
    <row r="6339" spans="1:13" s="33" customFormat="true" ht="12.75" customHeight="true">
      <c r="A6339" s="33" t="str">
        <f t="shared" si="396"/>
        <v>NEP - CGS</v>
      </c>
      <c r="B6339" s="33" t="str">
        <f t="shared" si="397"/>
        <v>NEP</v>
      </c>
      <c r="C6339" s="33" t="str">
        <f t="shared" si="398"/>
        <v>60012-0000</v>
      </c>
      <c r="D6339" s="64" t="s">
        <v>7449</v>
      </c>
      <c r="E6339" s="64" t="s">
        <v>3852</v>
      </c>
      <c r="F6339" s="64" t="s">
        <v>230</v>
      </c>
      <c r="G6339" s="64" t="s">
        <v>3838</v>
      </c>
      <c r="H6339" s="64" t="s">
        <v>1875</v>
      </c>
      <c r="I6339" s="64" t="s">
        <v>3853</v>
      </c>
      <c r="J6339" s="67">
        <v>139.61</v>
      </c>
      <c r="K6339" s="62">
        <v>60409.9</v>
      </c>
      <c r="L6339" s="33" t="e">
        <f>HLOOKUP(B6339,#REF!,1,0)</f>
        <v>#REF!</v>
      </c>
      <c r="M6339" s="33" t="str">
        <f t="shared" si="399"/>
        <v>P&amp;L</v>
      </c>
    </row>
    <row r="6340" spans="1:13" s="33" customFormat="true" ht="12.75" customHeight="true">
      <c r="A6340" s="33" t="str">
        <f t="shared" si="396"/>
        <v>NEP - CGS</v>
      </c>
      <c r="B6340" s="33" t="str">
        <f t="shared" si="397"/>
        <v>NEP</v>
      </c>
      <c r="C6340" s="33" t="str">
        <f t="shared" si="398"/>
        <v>60014-0000</v>
      </c>
      <c r="D6340" s="64" t="s">
        <v>7450</v>
      </c>
      <c r="E6340" s="64" t="s">
        <v>3855</v>
      </c>
      <c r="F6340" s="64" t="s">
        <v>230</v>
      </c>
      <c r="G6340" s="64" t="s">
        <v>3838</v>
      </c>
      <c r="H6340" s="64" t="s">
        <v>1875</v>
      </c>
      <c r="I6340" s="64" t="s">
        <v>3856</v>
      </c>
      <c r="J6340" s="67">
        <v>3501.73</v>
      </c>
      <c r="K6340" s="62">
        <v>38014.82</v>
      </c>
      <c r="L6340" s="33" t="e">
        <f>HLOOKUP(B6340,#REF!,1,0)</f>
        <v>#REF!</v>
      </c>
      <c r="M6340" s="33" t="str">
        <f t="shared" si="399"/>
        <v>P&amp;L</v>
      </c>
    </row>
    <row r="6341" spans="1:13" s="33" customFormat="true" ht="12.75" customHeight="true">
      <c r="A6341" s="33" t="str">
        <f t="shared" si="396"/>
        <v>NEP - CGS</v>
      </c>
      <c r="B6341" s="33" t="str">
        <f t="shared" si="397"/>
        <v>NEP</v>
      </c>
      <c r="C6341" s="33" t="str">
        <f t="shared" si="398"/>
        <v>60015-0000</v>
      </c>
      <c r="D6341" s="64" t="s">
        <v>7451</v>
      </c>
      <c r="E6341" s="64" t="s">
        <v>3858</v>
      </c>
      <c r="F6341" s="64" t="s">
        <v>230</v>
      </c>
      <c r="G6341" s="64" t="s">
        <v>3838</v>
      </c>
      <c r="H6341" s="64" t="s">
        <v>1875</v>
      </c>
      <c r="I6341" s="64" t="s">
        <v>3859</v>
      </c>
      <c r="J6341" s="67">
        <v>0</v>
      </c>
      <c r="K6341" s="62">
        <v>140.25</v>
      </c>
      <c r="L6341" s="33" t="e">
        <f>HLOOKUP(B6341,#REF!,1,0)</f>
        <v>#REF!</v>
      </c>
      <c r="M6341" s="33" t="str">
        <f t="shared" si="399"/>
        <v>P&amp;L</v>
      </c>
    </row>
    <row r="6342" spans="1:13" s="33" customFormat="true" ht="12.75" customHeight="true">
      <c r="A6342" s="33" t="str">
        <f t="shared" si="396"/>
        <v>NEP - CGS</v>
      </c>
      <c r="B6342" s="33" t="str">
        <f t="shared" si="397"/>
        <v>NEP</v>
      </c>
      <c r="C6342" s="33" t="str">
        <f t="shared" si="398"/>
        <v>61016-0000</v>
      </c>
      <c r="D6342" s="64" t="s">
        <v>7452</v>
      </c>
      <c r="E6342" s="64" t="s">
        <v>3861</v>
      </c>
      <c r="F6342" s="64" t="s">
        <v>230</v>
      </c>
      <c r="G6342" s="64" t="s">
        <v>3838</v>
      </c>
      <c r="H6342" s="64" t="s">
        <v>1875</v>
      </c>
      <c r="I6342" s="64" t="s">
        <v>3862</v>
      </c>
      <c r="J6342" s="67">
        <v>0</v>
      </c>
      <c r="K6342" s="62">
        <v>600</v>
      </c>
      <c r="L6342" s="33" t="e">
        <f>HLOOKUP(B6342,#REF!,1,0)</f>
        <v>#REF!</v>
      </c>
      <c r="M6342" s="33" t="str">
        <f t="shared" si="399"/>
        <v>P&amp;L</v>
      </c>
    </row>
    <row r="6343" spans="1:13" s="33" customFormat="true" ht="12.75" customHeight="true">
      <c r="A6343" s="33" t="str">
        <f t="shared" si="396"/>
        <v>NEP - Income Tax</v>
      </c>
      <c r="B6343" s="33" t="str">
        <f t="shared" si="397"/>
        <v>NEP</v>
      </c>
      <c r="C6343" s="33" t="str">
        <f t="shared" si="398"/>
        <v>61019-0000</v>
      </c>
      <c r="D6343" s="64" t="s">
        <v>7453</v>
      </c>
      <c r="E6343" s="64" t="s">
        <v>4041</v>
      </c>
      <c r="F6343" s="64" t="s">
        <v>230</v>
      </c>
      <c r="G6343" s="64" t="s">
        <v>3844</v>
      </c>
      <c r="H6343" s="64" t="s">
        <v>3378</v>
      </c>
      <c r="I6343" s="64" t="s">
        <v>4042</v>
      </c>
      <c r="J6343" s="67">
        <v>0</v>
      </c>
      <c r="K6343" s="62">
        <v>3300</v>
      </c>
      <c r="L6343" s="33" t="e">
        <f>HLOOKUP(B6343,#REF!,1,0)</f>
        <v>#REF!</v>
      </c>
      <c r="M6343" s="33" t="str">
        <f t="shared" si="399"/>
        <v>P&amp;L</v>
      </c>
    </row>
    <row r="6344" spans="1:13" s="33" customFormat="true" ht="12.75" customHeight="true">
      <c r="A6344" s="33" t="str">
        <f t="shared" si="396"/>
        <v>NEP - Legal Settlement</v>
      </c>
      <c r="B6344" s="33" t="str">
        <f t="shared" si="397"/>
        <v>NEP</v>
      </c>
      <c r="C6344" s="33" t="str">
        <f t="shared" si="398"/>
        <v>70400-0000</v>
      </c>
      <c r="D6344" s="64" t="s">
        <v>7454</v>
      </c>
      <c r="E6344" s="64" t="s">
        <v>5158</v>
      </c>
      <c r="F6344" s="64" t="s">
        <v>230</v>
      </c>
      <c r="G6344" s="64" t="s">
        <v>3844</v>
      </c>
      <c r="H6344" s="64" t="s">
        <v>5159</v>
      </c>
      <c r="I6344" s="64" t="s">
        <v>7158</v>
      </c>
      <c r="J6344" s="67">
        <v>0</v>
      </c>
      <c r="K6344" s="62">
        <v>3000</v>
      </c>
      <c r="L6344" s="33" t="e">
        <f>HLOOKUP(B6344,#REF!,1,0)</f>
        <v>#REF!</v>
      </c>
      <c r="M6344" s="33" t="str">
        <f t="shared" si="399"/>
        <v>P&amp;L</v>
      </c>
    </row>
    <row r="6345" spans="1:13" s="33" customFormat="true" ht="12.75" customHeight="true">
      <c r="A6345" s="33" t="str">
        <f t="shared" si="396"/>
        <v>NES - Operating Expense</v>
      </c>
      <c r="B6345" s="33" t="str">
        <f t="shared" si="397"/>
        <v>NES</v>
      </c>
      <c r="C6345" s="33" t="str">
        <f t="shared" si="398"/>
        <v>50400-0000</v>
      </c>
      <c r="D6345" s="64" t="s">
        <v>7455</v>
      </c>
      <c r="E6345" s="64" t="s">
        <v>7456</v>
      </c>
      <c r="F6345" s="64" t="s">
        <v>679</v>
      </c>
      <c r="G6345" s="64" t="s">
        <v>4426</v>
      </c>
      <c r="H6345" s="64" t="s">
        <v>3022</v>
      </c>
      <c r="I6345" s="64" t="s">
        <v>3196</v>
      </c>
      <c r="J6345" s="67">
        <v>0</v>
      </c>
      <c r="K6345" s="62">
        <v>683.91</v>
      </c>
      <c r="L6345" s="33" t="e">
        <f>HLOOKUP(B6345,#REF!,1,0)</f>
        <v>#REF!</v>
      </c>
      <c r="M6345" s="33" t="str">
        <f t="shared" si="399"/>
        <v>P&amp;L</v>
      </c>
    </row>
    <row r="6346" spans="1:13" s="33" customFormat="true" ht="12.75" customHeight="true">
      <c r="A6346" s="33" t="str">
        <f t="shared" si="396"/>
        <v>NES - CGS</v>
      </c>
      <c r="B6346" s="33" t="str">
        <f t="shared" si="397"/>
        <v>NES</v>
      </c>
      <c r="C6346" s="33" t="str">
        <f t="shared" si="398"/>
        <v>51008-0000</v>
      </c>
      <c r="D6346" s="64" t="s">
        <v>7457</v>
      </c>
      <c r="E6346" s="64" t="s">
        <v>7458</v>
      </c>
      <c r="F6346" s="64" t="s">
        <v>679</v>
      </c>
      <c r="G6346" s="64" t="s">
        <v>3740</v>
      </c>
      <c r="H6346" s="64" t="s">
        <v>1875</v>
      </c>
      <c r="I6346" s="64" t="s">
        <v>3744</v>
      </c>
      <c r="J6346" s="67">
        <v>0</v>
      </c>
      <c r="K6346" s="62">
        <v>21279</v>
      </c>
      <c r="L6346" s="33" t="e">
        <f>HLOOKUP(B6346,#REF!,1,0)</f>
        <v>#REF!</v>
      </c>
      <c r="M6346" s="33" t="str">
        <f t="shared" si="399"/>
        <v>P&amp;L</v>
      </c>
    </row>
    <row r="6347" spans="1:13" s="33" customFormat="true" ht="12.75" customHeight="true">
      <c r="A6347" s="33" t="str">
        <f t="shared" si="396"/>
        <v>NES - Operating Expense</v>
      </c>
      <c r="B6347" s="33" t="str">
        <f t="shared" si="397"/>
        <v>NES</v>
      </c>
      <c r="C6347" s="33" t="str">
        <f t="shared" si="398"/>
        <v>51400-0000</v>
      </c>
      <c r="D6347" s="64" t="s">
        <v>7459</v>
      </c>
      <c r="E6347" s="64" t="s">
        <v>4734</v>
      </c>
      <c r="F6347" s="64" t="s">
        <v>679</v>
      </c>
      <c r="G6347" s="64" t="s">
        <v>4426</v>
      </c>
      <c r="H6347" s="64" t="s">
        <v>3022</v>
      </c>
      <c r="I6347" s="64" t="s">
        <v>4735</v>
      </c>
      <c r="J6347" s="67">
        <v>0</v>
      </c>
      <c r="K6347" s="62">
        <v>1939.98</v>
      </c>
      <c r="L6347" s="33" t="e">
        <f>HLOOKUP(B6347,#REF!,1,0)</f>
        <v>#REF!</v>
      </c>
      <c r="M6347" s="33" t="str">
        <f t="shared" si="399"/>
        <v>P&amp;L</v>
      </c>
    </row>
    <row r="6348" spans="1:13" s="33" customFormat="true" ht="12.75" customHeight="true">
      <c r="A6348" s="33" t="str">
        <f t="shared" si="396"/>
        <v>NES - CGS</v>
      </c>
      <c r="B6348" s="33" t="str">
        <f t="shared" si="397"/>
        <v>NES</v>
      </c>
      <c r="C6348" s="33" t="str">
        <f t="shared" si="398"/>
        <v>53500-0000</v>
      </c>
      <c r="D6348" s="64" t="s">
        <v>7460</v>
      </c>
      <c r="E6348" s="64" t="s">
        <v>3288</v>
      </c>
      <c r="F6348" s="64" t="s">
        <v>679</v>
      </c>
      <c r="G6348" s="64" t="s">
        <v>4426</v>
      </c>
      <c r="H6348" s="64" t="s">
        <v>1875</v>
      </c>
      <c r="I6348" s="64" t="s">
        <v>5811</v>
      </c>
      <c r="J6348" s="67">
        <v>0</v>
      </c>
      <c r="K6348" s="62">
        <v>2130.15</v>
      </c>
      <c r="L6348" s="33" t="e">
        <f>HLOOKUP(B6348,#REF!,1,0)</f>
        <v>#REF!</v>
      </c>
      <c r="M6348" s="33" t="str">
        <f t="shared" si="399"/>
        <v>P&amp;L</v>
      </c>
    </row>
    <row r="6349" spans="1:13" s="33" customFormat="true" ht="12.75" customHeight="true">
      <c r="A6349" s="33" t="str">
        <f t="shared" si="396"/>
        <v>NES - Interest Expense</v>
      </c>
      <c r="B6349" s="33" t="str">
        <f t="shared" si="397"/>
        <v>NES</v>
      </c>
      <c r="C6349" s="33" t="str">
        <f t="shared" si="398"/>
        <v>54500-0000</v>
      </c>
      <c r="D6349" s="64" t="s">
        <v>7461</v>
      </c>
      <c r="E6349" s="64" t="s">
        <v>3325</v>
      </c>
      <c r="F6349" s="64" t="s">
        <v>679</v>
      </c>
      <c r="G6349" s="64" t="s">
        <v>5235</v>
      </c>
      <c r="H6349" s="64" t="s">
        <v>3327</v>
      </c>
      <c r="I6349" s="64" t="s">
        <v>5236</v>
      </c>
      <c r="J6349" s="67">
        <v>9074.22</v>
      </c>
      <c r="K6349" s="62">
        <v>90742.2</v>
      </c>
      <c r="L6349" s="33" t="e">
        <f>HLOOKUP(B6349,#REF!,1,0)</f>
        <v>#REF!</v>
      </c>
      <c r="M6349" s="33" t="str">
        <f t="shared" si="399"/>
        <v>P&amp;L</v>
      </c>
    </row>
    <row r="6350" spans="1:13" s="33" customFormat="true" ht="12.75" customHeight="true">
      <c r="A6350" s="33" t="str">
        <f t="shared" si="396"/>
        <v>NES - Interest Expense</v>
      </c>
      <c r="B6350" s="33" t="str">
        <f t="shared" si="397"/>
        <v>NES</v>
      </c>
      <c r="C6350" s="33" t="str">
        <f t="shared" si="398"/>
        <v>54900-0000</v>
      </c>
      <c r="D6350" s="64" t="s">
        <v>7462</v>
      </c>
      <c r="E6350" s="64" t="s">
        <v>7463</v>
      </c>
      <c r="F6350" s="64" t="s">
        <v>679</v>
      </c>
      <c r="G6350" s="64" t="s">
        <v>5235</v>
      </c>
      <c r="H6350" s="64" t="s">
        <v>3327</v>
      </c>
      <c r="I6350" s="64" t="s">
        <v>5236</v>
      </c>
      <c r="J6350" s="67">
        <v>0</v>
      </c>
      <c r="K6350" s="62">
        <v>826.78</v>
      </c>
      <c r="L6350" s="33" t="e">
        <f>HLOOKUP(B6350,#REF!,1,0)</f>
        <v>#REF!</v>
      </c>
      <c r="M6350" s="33" t="str">
        <f t="shared" si="399"/>
        <v>P&amp;L</v>
      </c>
    </row>
    <row r="6351" spans="1:13" s="33" customFormat="true" ht="12.75" customHeight="true">
      <c r="A6351" s="33" t="str">
        <f t="shared" si="396"/>
        <v>NES - Operating Expense</v>
      </c>
      <c r="B6351" s="33" t="str">
        <f t="shared" si="397"/>
        <v>NES</v>
      </c>
      <c r="C6351" s="33" t="str">
        <f t="shared" si="398"/>
        <v>55100-0000</v>
      </c>
      <c r="D6351" s="64" t="s">
        <v>7464</v>
      </c>
      <c r="E6351" s="64" t="s">
        <v>4429</v>
      </c>
      <c r="F6351" s="64" t="s">
        <v>679</v>
      </c>
      <c r="G6351" s="64" t="s">
        <v>4426</v>
      </c>
      <c r="H6351" s="64" t="s">
        <v>3022</v>
      </c>
      <c r="I6351" s="64" t="s">
        <v>3859</v>
      </c>
      <c r="J6351" s="67">
        <v>0</v>
      </c>
      <c r="K6351" s="62">
        <v>800</v>
      </c>
      <c r="L6351" s="33" t="e">
        <f>HLOOKUP(B6351,#REF!,1,0)</f>
        <v>#REF!</v>
      </c>
      <c r="M6351" s="33" t="str">
        <f t="shared" si="399"/>
        <v>P&amp;L</v>
      </c>
    </row>
    <row r="6352" spans="1:13" s="33" customFormat="true" ht="12.75" customHeight="true">
      <c r="A6352" s="33" t="str">
        <f t="shared" si="396"/>
        <v>NES - Operating Expense</v>
      </c>
      <c r="B6352" s="33" t="str">
        <f t="shared" si="397"/>
        <v>NES</v>
      </c>
      <c r="C6352" s="33" t="str">
        <f t="shared" si="398"/>
        <v>56900-0000</v>
      </c>
      <c r="D6352" s="64" t="s">
        <v>7465</v>
      </c>
      <c r="E6352" s="64" t="s">
        <v>1873</v>
      </c>
      <c r="F6352" s="64" t="s">
        <v>679</v>
      </c>
      <c r="G6352" s="64" t="s">
        <v>4426</v>
      </c>
      <c r="H6352" s="64" t="s">
        <v>3022</v>
      </c>
      <c r="I6352" s="64" t="s">
        <v>4738</v>
      </c>
      <c r="J6352" s="67">
        <v>130</v>
      </c>
      <c r="K6352" s="62">
        <v>775</v>
      </c>
      <c r="L6352" s="33" t="e">
        <f>HLOOKUP(B6352,#REF!,1,0)</f>
        <v>#REF!</v>
      </c>
      <c r="M6352" s="33" t="str">
        <f t="shared" si="399"/>
        <v>P&amp;L</v>
      </c>
    </row>
    <row r="6353" spans="1:13" s="33" customFormat="true" ht="12.75" customHeight="true">
      <c r="A6353" s="33" t="str">
        <f t="shared" si="396"/>
        <v>NES - CGS</v>
      </c>
      <c r="B6353" s="33" t="str">
        <f t="shared" si="397"/>
        <v>NES</v>
      </c>
      <c r="C6353" s="33" t="str">
        <f t="shared" si="398"/>
        <v>57700-0000</v>
      </c>
      <c r="D6353" s="64" t="s">
        <v>7466</v>
      </c>
      <c r="E6353" s="64" t="s">
        <v>4354</v>
      </c>
      <c r="F6353" s="64" t="s">
        <v>679</v>
      </c>
      <c r="G6353" s="64" t="s">
        <v>4426</v>
      </c>
      <c r="H6353" s="64" t="s">
        <v>1875</v>
      </c>
      <c r="I6353" s="64" t="s">
        <v>3354</v>
      </c>
      <c r="J6353" s="67">
        <v>0</v>
      </c>
      <c r="K6353" s="62">
        <v>1308</v>
      </c>
      <c r="L6353" s="33" t="e">
        <f>HLOOKUP(B6353,#REF!,1,0)</f>
        <v>#REF!</v>
      </c>
      <c r="M6353" s="33" t="str">
        <f t="shared" si="399"/>
        <v>P&amp;L</v>
      </c>
    </row>
    <row r="6354" spans="1:13" s="33" customFormat="true" ht="12.75" customHeight="true">
      <c r="A6354" s="33" t="str">
        <f t="shared" si="396"/>
        <v>NES - Operating Expense</v>
      </c>
      <c r="B6354" s="33" t="str">
        <f t="shared" si="397"/>
        <v>NES</v>
      </c>
      <c r="C6354" s="33" t="str">
        <f t="shared" si="398"/>
        <v>58490-0000</v>
      </c>
      <c r="D6354" s="64" t="s">
        <v>7467</v>
      </c>
      <c r="E6354" s="64" t="s">
        <v>6873</v>
      </c>
      <c r="F6354" s="64" t="s">
        <v>679</v>
      </c>
      <c r="G6354" s="64" t="s">
        <v>4426</v>
      </c>
      <c r="H6354" s="64" t="s">
        <v>3022</v>
      </c>
      <c r="I6354" s="64" t="s">
        <v>4752</v>
      </c>
      <c r="J6354" s="67">
        <v>780</v>
      </c>
      <c r="K6354" s="62">
        <v>7800</v>
      </c>
      <c r="L6354" s="33" t="e">
        <f>HLOOKUP(B6354,#REF!,1,0)</f>
        <v>#REF!</v>
      </c>
      <c r="M6354" s="33" t="str">
        <f t="shared" si="399"/>
        <v>P&amp;L</v>
      </c>
    </row>
    <row r="6355" spans="1:13" s="33" customFormat="true" ht="12.75" customHeight="true">
      <c r="A6355" s="33" t="str">
        <f t="shared" si="396"/>
        <v>NES - Operating Expense</v>
      </c>
      <c r="B6355" s="33" t="str">
        <f t="shared" si="397"/>
        <v>NES</v>
      </c>
      <c r="C6355" s="33" t="str">
        <f t="shared" si="398"/>
        <v>58500-0000</v>
      </c>
      <c r="D6355" s="64" t="s">
        <v>7468</v>
      </c>
      <c r="E6355" s="64" t="s">
        <v>4751</v>
      </c>
      <c r="F6355" s="64" t="s">
        <v>679</v>
      </c>
      <c r="G6355" s="64" t="s">
        <v>4426</v>
      </c>
      <c r="H6355" s="64" t="s">
        <v>3022</v>
      </c>
      <c r="I6355" s="64" t="s">
        <v>4752</v>
      </c>
      <c r="J6355" s="67">
        <v>0</v>
      </c>
      <c r="K6355" s="62">
        <v>1600</v>
      </c>
      <c r="L6355" s="33" t="e">
        <f>HLOOKUP(B6355,#REF!,1,0)</f>
        <v>#REF!</v>
      </c>
      <c r="M6355" s="33" t="str">
        <f t="shared" si="399"/>
        <v>P&amp;L</v>
      </c>
    </row>
    <row r="6356" spans="1:13" s="33" customFormat="true" ht="12.75" customHeight="true">
      <c r="A6356" s="33" t="str">
        <f t="shared" si="396"/>
        <v>NES - Operating Expense</v>
      </c>
      <c r="B6356" s="33" t="str">
        <f t="shared" si="397"/>
        <v>NES</v>
      </c>
      <c r="C6356" s="33" t="str">
        <f t="shared" si="398"/>
        <v>59500-0000</v>
      </c>
      <c r="D6356" s="64" t="s">
        <v>7469</v>
      </c>
      <c r="E6356" s="64" t="s">
        <v>3159</v>
      </c>
      <c r="F6356" s="64" t="s">
        <v>679</v>
      </c>
      <c r="G6356" s="64" t="s">
        <v>4426</v>
      </c>
      <c r="H6356" s="64" t="s">
        <v>3022</v>
      </c>
      <c r="I6356" s="64" t="s">
        <v>3161</v>
      </c>
      <c r="J6356" s="67">
        <v>99.99</v>
      </c>
      <c r="K6356" s="62">
        <v>99.99</v>
      </c>
      <c r="L6356" s="33" t="e">
        <f>HLOOKUP(B6356,#REF!,1,0)</f>
        <v>#REF!</v>
      </c>
      <c r="M6356" s="33" t="str">
        <f t="shared" si="399"/>
        <v>P&amp;L</v>
      </c>
    </row>
    <row r="6357" spans="1:13" s="33" customFormat="true" ht="12.75" customHeight="true">
      <c r="A6357" s="33" t="str">
        <f t="shared" si="396"/>
        <v>NES - Operating Expense</v>
      </c>
      <c r="B6357" s="33" t="str">
        <f t="shared" si="397"/>
        <v>NES</v>
      </c>
      <c r="C6357" s="33" t="str">
        <f t="shared" si="398"/>
        <v>59800-0000</v>
      </c>
      <c r="D6357" s="64" t="s">
        <v>7470</v>
      </c>
      <c r="E6357" s="64" t="s">
        <v>7471</v>
      </c>
      <c r="F6357" s="64" t="s">
        <v>679</v>
      </c>
      <c r="G6357" s="64" t="s">
        <v>4426</v>
      </c>
      <c r="H6357" s="64" t="s">
        <v>3022</v>
      </c>
      <c r="I6357" s="64" t="s">
        <v>6877</v>
      </c>
      <c r="J6357" s="67">
        <v>0</v>
      </c>
      <c r="K6357" s="62">
        <v>35.16</v>
      </c>
      <c r="L6357" s="33" t="e">
        <f>HLOOKUP(B6357,#REF!,1,0)</f>
        <v>#REF!</v>
      </c>
      <c r="M6357" s="33" t="str">
        <f t="shared" si="399"/>
        <v>P&amp;L</v>
      </c>
    </row>
    <row r="6358" spans="1:13" s="33" customFormat="true" ht="12.75" customHeight="true">
      <c r="A6358" s="33" t="str">
        <f t="shared" si="396"/>
        <v>NES - Operating Expense</v>
      </c>
      <c r="B6358" s="33" t="str">
        <f t="shared" si="397"/>
        <v>NES</v>
      </c>
      <c r="C6358" s="33" t="str">
        <f t="shared" si="398"/>
        <v>59850-0000</v>
      </c>
      <c r="D6358" s="64" t="s">
        <v>7472</v>
      </c>
      <c r="E6358" s="64" t="s">
        <v>7473</v>
      </c>
      <c r="F6358" s="64" t="s">
        <v>679</v>
      </c>
      <c r="G6358" s="64" t="s">
        <v>4426</v>
      </c>
      <c r="H6358" s="64" t="s">
        <v>3022</v>
      </c>
      <c r="I6358" s="64" t="s">
        <v>6877</v>
      </c>
      <c r="J6358" s="67">
        <v>1315.33</v>
      </c>
      <c r="K6358" s="62">
        <v>13369.02</v>
      </c>
      <c r="L6358" s="33" t="e">
        <f>HLOOKUP(B6358,#REF!,1,0)</f>
        <v>#REF!</v>
      </c>
      <c r="M6358" s="33" t="str">
        <f t="shared" si="399"/>
        <v>P&amp;L</v>
      </c>
    </row>
    <row r="6359" spans="1:13" s="33" customFormat="true" ht="12.75" customHeight="true">
      <c r="A6359" s="33" t="str">
        <f t="shared" si="396"/>
        <v>NES - Operating Expense</v>
      </c>
      <c r="B6359" s="33" t="str">
        <f t="shared" si="397"/>
        <v>NES</v>
      </c>
      <c r="C6359" s="33" t="str">
        <f t="shared" si="398"/>
        <v>59870-0000</v>
      </c>
      <c r="D6359" s="64" t="s">
        <v>7474</v>
      </c>
      <c r="E6359" s="64" t="s">
        <v>6881</v>
      </c>
      <c r="F6359" s="64" t="s">
        <v>679</v>
      </c>
      <c r="G6359" s="64" t="s">
        <v>4426</v>
      </c>
      <c r="H6359" s="64" t="s">
        <v>3022</v>
      </c>
      <c r="I6359" s="64" t="s">
        <v>6877</v>
      </c>
      <c r="J6359" s="67">
        <v>205.55</v>
      </c>
      <c r="K6359" s="62">
        <v>1654.8</v>
      </c>
      <c r="L6359" s="33" t="e">
        <f>HLOOKUP(B6359,#REF!,1,0)</f>
        <v>#REF!</v>
      </c>
      <c r="M6359" s="33" t="str">
        <f t="shared" si="399"/>
        <v>P&amp;L</v>
      </c>
    </row>
    <row r="6360" spans="1:13" s="33" customFormat="true" ht="12.75" customHeight="true">
      <c r="A6360" s="33" t="str">
        <f t="shared" si="396"/>
        <v>NES - Operating Expense</v>
      </c>
      <c r="B6360" s="33" t="str">
        <f t="shared" si="397"/>
        <v>NES</v>
      </c>
      <c r="C6360" s="33" t="str">
        <f t="shared" si="398"/>
        <v>59900-0000</v>
      </c>
      <c r="D6360" s="64" t="s">
        <v>7475</v>
      </c>
      <c r="E6360" s="64" t="s">
        <v>7476</v>
      </c>
      <c r="F6360" s="64" t="s">
        <v>679</v>
      </c>
      <c r="G6360" s="64" t="s">
        <v>4426</v>
      </c>
      <c r="H6360" s="64" t="s">
        <v>3022</v>
      </c>
      <c r="I6360" s="64" t="s">
        <v>6877</v>
      </c>
      <c r="J6360" s="67">
        <v>0</v>
      </c>
      <c r="K6360" s="62">
        <v>2255.62</v>
      </c>
      <c r="L6360" s="33" t="e">
        <f>HLOOKUP(B6360,#REF!,1,0)</f>
        <v>#REF!</v>
      </c>
      <c r="M6360" s="33" t="str">
        <f t="shared" si="399"/>
        <v>P&amp;L</v>
      </c>
    </row>
    <row r="6361" spans="1:13" s="33" customFormat="true" ht="12.75" customHeight="true">
      <c r="A6361" s="33" t="str">
        <f t="shared" si="396"/>
        <v>NES - Operating Expense</v>
      </c>
      <c r="B6361" s="33" t="str">
        <f t="shared" si="397"/>
        <v>NES</v>
      </c>
      <c r="C6361" s="33" t="str">
        <f t="shared" si="398"/>
        <v>60012-0000</v>
      </c>
      <c r="D6361" s="64" t="s">
        <v>7477</v>
      </c>
      <c r="E6361" s="64" t="s">
        <v>3852</v>
      </c>
      <c r="F6361" s="64" t="s">
        <v>679</v>
      </c>
      <c r="G6361" s="64" t="s">
        <v>4426</v>
      </c>
      <c r="H6361" s="64" t="s">
        <v>3022</v>
      </c>
      <c r="I6361" s="64" t="s">
        <v>5841</v>
      </c>
      <c r="J6361" s="67">
        <v>0</v>
      </c>
      <c r="K6361" s="62">
        <v>34109.67</v>
      </c>
      <c r="L6361" s="33" t="e">
        <f>HLOOKUP(B6361,#REF!,1,0)</f>
        <v>#REF!</v>
      </c>
      <c r="M6361" s="33" t="str">
        <f t="shared" si="399"/>
        <v>P&amp;L</v>
      </c>
    </row>
    <row r="6362" spans="1:13" s="33" customFormat="true" ht="12.75" customHeight="true">
      <c r="A6362" s="33" t="str">
        <f t="shared" si="396"/>
        <v>NES - Operating Expense</v>
      </c>
      <c r="B6362" s="33" t="str">
        <f t="shared" si="397"/>
        <v>NES</v>
      </c>
      <c r="C6362" s="33" t="str">
        <f t="shared" si="398"/>
        <v>62510-0000</v>
      </c>
      <c r="D6362" s="64" t="s">
        <v>7478</v>
      </c>
      <c r="E6362" s="64" t="s">
        <v>3111</v>
      </c>
      <c r="F6362" s="64" t="s">
        <v>679</v>
      </c>
      <c r="G6362" s="64" t="s">
        <v>4426</v>
      </c>
      <c r="H6362" s="64" t="s">
        <v>3022</v>
      </c>
      <c r="I6362" s="64" t="s">
        <v>3102</v>
      </c>
      <c r="J6362" s="67">
        <v>0</v>
      </c>
      <c r="K6362" s="62">
        <v>260</v>
      </c>
      <c r="L6362" s="33" t="e">
        <f>HLOOKUP(B6362,#REF!,1,0)</f>
        <v>#REF!</v>
      </c>
      <c r="M6362" s="33" t="str">
        <f t="shared" si="399"/>
        <v>P&amp;L</v>
      </c>
    </row>
    <row r="6363" spans="1:13" s="33" customFormat="true" ht="12.75" customHeight="true">
      <c r="A6363" s="33" t="str">
        <f t="shared" si="396"/>
        <v>NES - Operating Expense</v>
      </c>
      <c r="B6363" s="33" t="str">
        <f t="shared" si="397"/>
        <v>NES</v>
      </c>
      <c r="C6363" s="33" t="str">
        <f t="shared" si="398"/>
        <v>70100-0000</v>
      </c>
      <c r="D6363" s="64" t="s">
        <v>7479</v>
      </c>
      <c r="E6363" s="64" t="s">
        <v>3864</v>
      </c>
      <c r="F6363" s="64" t="s">
        <v>679</v>
      </c>
      <c r="G6363" s="64" t="s">
        <v>4426</v>
      </c>
      <c r="H6363" s="64" t="s">
        <v>3022</v>
      </c>
      <c r="I6363" s="64" t="s">
        <v>4763</v>
      </c>
      <c r="J6363" s="67">
        <v>18.27</v>
      </c>
      <c r="K6363" s="62">
        <v>3101.01</v>
      </c>
      <c r="L6363" s="33" t="e">
        <f>HLOOKUP(B6363,#REF!,1,0)</f>
        <v>#REF!</v>
      </c>
      <c r="M6363" s="33" t="str">
        <f t="shared" si="399"/>
        <v>P&amp;L</v>
      </c>
    </row>
    <row r="6364" spans="1:13" s="33" customFormat="true" ht="12.75" customHeight="true">
      <c r="A6364" s="33" t="str">
        <f t="shared" si="396"/>
        <v>NET - Fixed Assets</v>
      </c>
      <c r="B6364" s="33" t="str">
        <f t="shared" si="397"/>
        <v>NET</v>
      </c>
      <c r="C6364" s="33" t="str">
        <f t="shared" si="398"/>
        <v>15501-0000</v>
      </c>
      <c r="D6364" s="64" t="s">
        <v>7480</v>
      </c>
      <c r="E6364" s="64" t="s">
        <v>2635</v>
      </c>
      <c r="F6364" s="64" t="s">
        <v>230</v>
      </c>
      <c r="G6364" s="64" t="s">
        <v>62</v>
      </c>
      <c r="H6364" s="64" t="s">
        <v>63</v>
      </c>
      <c r="I6364" s="64" t="s">
        <v>64</v>
      </c>
      <c r="J6364" s="67">
        <v>1047.23</v>
      </c>
      <c r="K6364" s="62">
        <v>4110</v>
      </c>
      <c r="L6364" s="33" t="e">
        <f>HLOOKUP(B6364,#REF!,1,0)</f>
        <v>#REF!</v>
      </c>
      <c r="M6364" s="33" t="str">
        <f t="shared" si="399"/>
        <v>BS</v>
      </c>
    </row>
    <row r="6365" spans="1:13" s="33" customFormat="true" ht="12.75" customHeight="true">
      <c r="A6365" s="33" t="str">
        <f t="shared" si="396"/>
        <v>NET - AR-PPD</v>
      </c>
      <c r="B6365" s="33" t="str">
        <f t="shared" si="397"/>
        <v>NET</v>
      </c>
      <c r="C6365" s="33" t="str">
        <f t="shared" si="398"/>
        <v>25300-0000</v>
      </c>
      <c r="D6365" s="64" t="s">
        <v>7481</v>
      </c>
      <c r="E6365" s="64" t="s">
        <v>3677</v>
      </c>
      <c r="F6365" s="64" t="s">
        <v>230</v>
      </c>
      <c r="G6365" s="64" t="s">
        <v>3678</v>
      </c>
      <c r="H6365" s="64" t="s">
        <v>35</v>
      </c>
      <c r="I6365" s="64" t="s">
        <v>102</v>
      </c>
      <c r="J6365" s="67">
        <v>-10167.11</v>
      </c>
      <c r="K6365" s="62">
        <v>-10167.11</v>
      </c>
      <c r="L6365" s="33" t="e">
        <f>HLOOKUP(B6365,#REF!,1,0)</f>
        <v>#REF!</v>
      </c>
      <c r="M6365" s="33" t="str">
        <f t="shared" si="399"/>
        <v>BS</v>
      </c>
    </row>
    <row r="6366" spans="1:13" s="33" customFormat="true" ht="12.75" customHeight="true">
      <c r="A6366" s="33" t="str">
        <f t="shared" si="396"/>
        <v>NET - Revenue</v>
      </c>
      <c r="B6366" s="33" t="str">
        <f t="shared" si="397"/>
        <v>NET</v>
      </c>
      <c r="C6366" s="33" t="str">
        <f t="shared" si="398"/>
        <v>40110-0000</v>
      </c>
      <c r="D6366" s="64" t="s">
        <v>7482</v>
      </c>
      <c r="E6366" s="64" t="s">
        <v>3683</v>
      </c>
      <c r="F6366" s="64" t="s">
        <v>230</v>
      </c>
      <c r="G6366" s="64" t="s">
        <v>3684</v>
      </c>
      <c r="H6366" s="64" t="s">
        <v>2871</v>
      </c>
      <c r="I6366" s="64" t="s">
        <v>3685</v>
      </c>
      <c r="J6366" s="67">
        <v>-108272.33</v>
      </c>
      <c r="K6366" s="62">
        <v>-1082723.3</v>
      </c>
      <c r="L6366" s="33" t="e">
        <f>HLOOKUP(B6366,#REF!,1,0)</f>
        <v>#REF!</v>
      </c>
      <c r="M6366" s="33" t="str">
        <f t="shared" si="399"/>
        <v>P&amp;L</v>
      </c>
    </row>
    <row r="6367" spans="1:13" s="33" customFormat="true" ht="12.75" customHeight="true">
      <c r="A6367" s="33" t="str">
        <f t="shared" si="396"/>
        <v>NET - Revenue</v>
      </c>
      <c r="B6367" s="33" t="str">
        <f t="shared" si="397"/>
        <v>NET</v>
      </c>
      <c r="C6367" s="33" t="str">
        <f t="shared" si="398"/>
        <v>40120-0000</v>
      </c>
      <c r="D6367" s="64" t="s">
        <v>7483</v>
      </c>
      <c r="E6367" s="64" t="s">
        <v>3687</v>
      </c>
      <c r="F6367" s="64" t="s">
        <v>230</v>
      </c>
      <c r="G6367" s="64" t="s">
        <v>3684</v>
      </c>
      <c r="H6367" s="64" t="s">
        <v>2871</v>
      </c>
      <c r="I6367" s="64" t="s">
        <v>3688</v>
      </c>
      <c r="J6367" s="67">
        <v>-1607.13</v>
      </c>
      <c r="K6367" s="62">
        <v>-10730.81</v>
      </c>
      <c r="L6367" s="33" t="e">
        <f>HLOOKUP(B6367,#REF!,1,0)</f>
        <v>#REF!</v>
      </c>
      <c r="M6367" s="33" t="str">
        <f t="shared" si="399"/>
        <v>P&amp;L</v>
      </c>
    </row>
    <row r="6368" spans="1:13" s="33" customFormat="true" ht="12.75" customHeight="true">
      <c r="A6368" s="33" t="str">
        <f t="shared" si="396"/>
        <v>NET - Revenue</v>
      </c>
      <c r="B6368" s="33" t="str">
        <f t="shared" si="397"/>
        <v>NET</v>
      </c>
      <c r="C6368" s="33" t="str">
        <f t="shared" si="398"/>
        <v>40130-0000</v>
      </c>
      <c r="D6368" s="64" t="s">
        <v>7484</v>
      </c>
      <c r="E6368" s="64" t="s">
        <v>3690</v>
      </c>
      <c r="F6368" s="64" t="s">
        <v>230</v>
      </c>
      <c r="G6368" s="64" t="s">
        <v>3684</v>
      </c>
      <c r="H6368" s="64" t="s">
        <v>2871</v>
      </c>
      <c r="I6368" s="64" t="s">
        <v>3691</v>
      </c>
      <c r="J6368" s="67">
        <v>0</v>
      </c>
      <c r="K6368" s="62">
        <v>0</v>
      </c>
      <c r="L6368" s="33" t="e">
        <f>HLOOKUP(B6368,#REF!,1,0)</f>
        <v>#REF!</v>
      </c>
      <c r="M6368" s="33" t="str">
        <f t="shared" si="399"/>
        <v>P&amp;L</v>
      </c>
    </row>
    <row r="6369" spans="1:13" s="33" customFormat="true" ht="12.75" customHeight="true">
      <c r="A6369" s="33" t="str">
        <f t="shared" si="396"/>
        <v>NET - Revenue</v>
      </c>
      <c r="B6369" s="33" t="str">
        <f t="shared" si="397"/>
        <v>NET</v>
      </c>
      <c r="C6369" s="33" t="str">
        <f t="shared" si="398"/>
        <v>40140-0000</v>
      </c>
      <c r="D6369" s="64" t="s">
        <v>7485</v>
      </c>
      <c r="E6369" s="64" t="s">
        <v>3948</v>
      </c>
      <c r="F6369" s="64" t="s">
        <v>230</v>
      </c>
      <c r="G6369" s="64" t="s">
        <v>3684</v>
      </c>
      <c r="H6369" s="64" t="s">
        <v>2871</v>
      </c>
      <c r="I6369" s="64" t="s">
        <v>3949</v>
      </c>
      <c r="J6369" s="67">
        <v>62</v>
      </c>
      <c r="K6369" s="62">
        <v>620</v>
      </c>
      <c r="L6369" s="33" t="e">
        <f>HLOOKUP(B6369,#REF!,1,0)</f>
        <v>#REF!</v>
      </c>
      <c r="M6369" s="33" t="str">
        <f t="shared" si="399"/>
        <v>P&amp;L</v>
      </c>
    </row>
    <row r="6370" spans="1:13" s="33" customFormat="true" ht="12.75" customHeight="true">
      <c r="A6370" s="33" t="str">
        <f t="shared" si="396"/>
        <v>NET - Revenue</v>
      </c>
      <c r="B6370" s="33" t="str">
        <f t="shared" si="397"/>
        <v>NET</v>
      </c>
      <c r="C6370" s="33" t="str">
        <f t="shared" si="398"/>
        <v>41110-0000</v>
      </c>
      <c r="D6370" s="64" t="s">
        <v>7486</v>
      </c>
      <c r="E6370" s="64" t="s">
        <v>3693</v>
      </c>
      <c r="F6370" s="64" t="s">
        <v>230</v>
      </c>
      <c r="G6370" s="64" t="s">
        <v>3694</v>
      </c>
      <c r="H6370" s="64" t="s">
        <v>2871</v>
      </c>
      <c r="I6370" s="64" t="s">
        <v>3695</v>
      </c>
      <c r="J6370" s="67">
        <v>2214.68</v>
      </c>
      <c r="K6370" s="62">
        <v>8116.22</v>
      </c>
      <c r="L6370" s="33" t="e">
        <f>HLOOKUP(B6370,#REF!,1,0)</f>
        <v>#REF!</v>
      </c>
      <c r="M6370" s="33" t="str">
        <f t="shared" si="399"/>
        <v>P&amp;L</v>
      </c>
    </row>
    <row r="6371" spans="1:13" s="33" customFormat="true" ht="12.75" customHeight="true">
      <c r="A6371" s="33" t="str">
        <f t="shared" si="396"/>
        <v>NET - Revenue</v>
      </c>
      <c r="B6371" s="33" t="str">
        <f t="shared" si="397"/>
        <v>NET</v>
      </c>
      <c r="C6371" s="33" t="str">
        <f t="shared" si="398"/>
        <v>41121-0000</v>
      </c>
      <c r="D6371" s="64" t="s">
        <v>7487</v>
      </c>
      <c r="E6371" s="64" t="s">
        <v>3697</v>
      </c>
      <c r="F6371" s="64" t="s">
        <v>230</v>
      </c>
      <c r="G6371" s="64" t="s">
        <v>3694</v>
      </c>
      <c r="H6371" s="64" t="s">
        <v>2871</v>
      </c>
      <c r="I6371" s="64" t="s">
        <v>3698</v>
      </c>
      <c r="J6371" s="67">
        <v>22416.38</v>
      </c>
      <c r="K6371" s="62">
        <v>229493.7</v>
      </c>
      <c r="L6371" s="33" t="e">
        <f>HLOOKUP(B6371,#REF!,1,0)</f>
        <v>#REF!</v>
      </c>
      <c r="M6371" s="33" t="str">
        <f t="shared" si="399"/>
        <v>P&amp;L</v>
      </c>
    </row>
    <row r="6372" spans="1:13" s="33" customFormat="true" ht="12.75" customHeight="true">
      <c r="A6372" s="33" t="str">
        <f t="shared" si="396"/>
        <v>NET - Revenue</v>
      </c>
      <c r="B6372" s="33" t="str">
        <f t="shared" si="397"/>
        <v>NET</v>
      </c>
      <c r="C6372" s="33" t="str">
        <f t="shared" si="398"/>
        <v>41122-0000</v>
      </c>
      <c r="D6372" s="64" t="s">
        <v>7488</v>
      </c>
      <c r="E6372" s="64" t="s">
        <v>3700</v>
      </c>
      <c r="F6372" s="64" t="s">
        <v>230</v>
      </c>
      <c r="G6372" s="64" t="s">
        <v>3694</v>
      </c>
      <c r="H6372" s="64" t="s">
        <v>2871</v>
      </c>
      <c r="I6372" s="64" t="s">
        <v>3701</v>
      </c>
      <c r="J6372" s="67">
        <v>0</v>
      </c>
      <c r="K6372" s="62">
        <v>-108646.48</v>
      </c>
      <c r="L6372" s="33" t="e">
        <f>HLOOKUP(B6372,#REF!,1,0)</f>
        <v>#REF!</v>
      </c>
      <c r="M6372" s="33" t="str">
        <f t="shared" si="399"/>
        <v>P&amp;L</v>
      </c>
    </row>
    <row r="6373" spans="1:13" s="33" customFormat="true" ht="12.75" customHeight="true">
      <c r="A6373" s="33" t="str">
        <f t="shared" si="396"/>
        <v>NET - Revenue</v>
      </c>
      <c r="B6373" s="33" t="str">
        <f t="shared" si="397"/>
        <v>NET</v>
      </c>
      <c r="C6373" s="33" t="str">
        <f t="shared" si="398"/>
        <v>41130-0000</v>
      </c>
      <c r="D6373" s="64" t="s">
        <v>7489</v>
      </c>
      <c r="E6373" s="64" t="s">
        <v>3703</v>
      </c>
      <c r="F6373" s="64" t="s">
        <v>230</v>
      </c>
      <c r="G6373" s="64" t="s">
        <v>3694</v>
      </c>
      <c r="H6373" s="64" t="s">
        <v>2871</v>
      </c>
      <c r="I6373" s="64" t="s">
        <v>3704</v>
      </c>
      <c r="J6373" s="67">
        <v>100</v>
      </c>
      <c r="K6373" s="62">
        <v>4123.33</v>
      </c>
      <c r="L6373" s="33" t="e">
        <f>HLOOKUP(B6373,#REF!,1,0)</f>
        <v>#REF!</v>
      </c>
      <c r="M6373" s="33" t="str">
        <f t="shared" si="399"/>
        <v>P&amp;L</v>
      </c>
    </row>
    <row r="6374" spans="1:13" s="33" customFormat="true" ht="12.75" customHeight="true">
      <c r="A6374" s="33" t="str">
        <f t="shared" si="396"/>
        <v>NET - Revenue</v>
      </c>
      <c r="B6374" s="33" t="str">
        <f t="shared" si="397"/>
        <v>NET</v>
      </c>
      <c r="C6374" s="33" t="str">
        <f t="shared" si="398"/>
        <v>41140-0000</v>
      </c>
      <c r="D6374" s="64" t="s">
        <v>7490</v>
      </c>
      <c r="E6374" s="64" t="s">
        <v>3706</v>
      </c>
      <c r="F6374" s="64" t="s">
        <v>230</v>
      </c>
      <c r="G6374" s="64" t="s">
        <v>3694</v>
      </c>
      <c r="H6374" s="64" t="s">
        <v>2871</v>
      </c>
      <c r="I6374" s="64" t="s">
        <v>3707</v>
      </c>
      <c r="J6374" s="67">
        <v>3289.05</v>
      </c>
      <c r="K6374" s="62">
        <v>40214.2</v>
      </c>
      <c r="L6374" s="33" t="e">
        <f>HLOOKUP(B6374,#REF!,1,0)</f>
        <v>#REF!</v>
      </c>
      <c r="M6374" s="33" t="str">
        <f t="shared" si="399"/>
        <v>P&amp;L</v>
      </c>
    </row>
    <row r="6375" spans="1:13" s="33" customFormat="true" ht="12.75" customHeight="true">
      <c r="A6375" s="33" t="str">
        <f t="shared" si="396"/>
        <v>NET - Revenue</v>
      </c>
      <c r="B6375" s="33" t="str">
        <f t="shared" si="397"/>
        <v>NET</v>
      </c>
      <c r="C6375" s="33" t="str">
        <f t="shared" si="398"/>
        <v>41150-0000</v>
      </c>
      <c r="D6375" s="64" t="s">
        <v>7491</v>
      </c>
      <c r="E6375" s="64" t="s">
        <v>3709</v>
      </c>
      <c r="F6375" s="64" t="s">
        <v>230</v>
      </c>
      <c r="G6375" s="64" t="s">
        <v>3694</v>
      </c>
      <c r="H6375" s="64" t="s">
        <v>2871</v>
      </c>
      <c r="I6375" s="64" t="s">
        <v>3710</v>
      </c>
      <c r="J6375" s="67">
        <v>4553</v>
      </c>
      <c r="K6375" s="62">
        <v>43976.43</v>
      </c>
      <c r="L6375" s="33" t="e">
        <f>HLOOKUP(B6375,#REF!,1,0)</f>
        <v>#REF!</v>
      </c>
      <c r="M6375" s="33" t="str">
        <f t="shared" si="399"/>
        <v>P&amp;L</v>
      </c>
    </row>
    <row r="6376" spans="1:13" s="33" customFormat="true" ht="12.75" customHeight="true">
      <c r="A6376" s="33" t="str">
        <f t="shared" si="396"/>
        <v>NET - Revenue</v>
      </c>
      <c r="B6376" s="33" t="str">
        <f t="shared" si="397"/>
        <v>NET</v>
      </c>
      <c r="C6376" s="33" t="str">
        <f t="shared" si="398"/>
        <v>41160-0000</v>
      </c>
      <c r="D6376" s="64" t="s">
        <v>7492</v>
      </c>
      <c r="E6376" s="64" t="s">
        <v>3957</v>
      </c>
      <c r="F6376" s="64" t="s">
        <v>230</v>
      </c>
      <c r="G6376" s="64" t="s">
        <v>3694</v>
      </c>
      <c r="H6376" s="64" t="s">
        <v>2871</v>
      </c>
      <c r="I6376" s="64" t="s">
        <v>3701</v>
      </c>
      <c r="J6376" s="67">
        <v>0</v>
      </c>
      <c r="K6376" s="62">
        <v>-121639.36</v>
      </c>
      <c r="L6376" s="33" t="e">
        <f>HLOOKUP(B6376,#REF!,1,0)</f>
        <v>#REF!</v>
      </c>
      <c r="M6376" s="33" t="str">
        <f t="shared" si="399"/>
        <v>P&amp;L</v>
      </c>
    </row>
    <row r="6377" spans="1:13" s="33" customFormat="true" ht="12.75" customHeight="true">
      <c r="A6377" s="33" t="str">
        <f t="shared" si="396"/>
        <v>NET - Revenue</v>
      </c>
      <c r="B6377" s="33" t="str">
        <f t="shared" si="397"/>
        <v>NET</v>
      </c>
      <c r="C6377" s="33" t="str">
        <f t="shared" si="398"/>
        <v>41999-0000</v>
      </c>
      <c r="D6377" s="64" t="s">
        <v>7493</v>
      </c>
      <c r="E6377" s="64" t="s">
        <v>3712</v>
      </c>
      <c r="F6377" s="64" t="s">
        <v>230</v>
      </c>
      <c r="G6377" s="64" t="s">
        <v>3713</v>
      </c>
      <c r="H6377" s="64" t="s">
        <v>2871</v>
      </c>
      <c r="I6377" s="64" t="s">
        <v>3714</v>
      </c>
      <c r="J6377" s="67">
        <v>77244.35</v>
      </c>
      <c r="K6377" s="62">
        <v>997196.07</v>
      </c>
      <c r="L6377" s="33" t="e">
        <f>HLOOKUP(B6377,#REF!,1,0)</f>
        <v>#REF!</v>
      </c>
      <c r="M6377" s="33" t="str">
        <f t="shared" si="399"/>
        <v>P&amp;L</v>
      </c>
    </row>
    <row r="6378" spans="1:13" s="33" customFormat="true" ht="12.75" customHeight="true">
      <c r="A6378" s="33" t="str">
        <f t="shared" si="396"/>
        <v>NET - Revenue</v>
      </c>
      <c r="B6378" s="33" t="str">
        <f t="shared" si="397"/>
        <v>NET</v>
      </c>
      <c r="C6378" s="33" t="str">
        <f t="shared" si="398"/>
        <v>47400-0000</v>
      </c>
      <c r="D6378" s="64" t="s">
        <v>7494</v>
      </c>
      <c r="E6378" s="64" t="s">
        <v>3716</v>
      </c>
      <c r="F6378" s="64" t="s">
        <v>230</v>
      </c>
      <c r="G6378" s="64" t="s">
        <v>3717</v>
      </c>
      <c r="H6378" s="64" t="s">
        <v>2871</v>
      </c>
      <c r="I6378" s="64" t="s">
        <v>3718</v>
      </c>
      <c r="J6378" s="67">
        <v>-77822.73</v>
      </c>
      <c r="K6378" s="62">
        <v>-997774.45</v>
      </c>
      <c r="L6378" s="33" t="e">
        <f>HLOOKUP(B6378,#REF!,1,0)</f>
        <v>#REF!</v>
      </c>
      <c r="M6378" s="33" t="str">
        <f t="shared" si="399"/>
        <v>P&amp;L</v>
      </c>
    </row>
    <row r="6379" spans="1:13" s="33" customFormat="true" ht="12.75" customHeight="true">
      <c r="A6379" s="33" t="str">
        <f t="shared" si="396"/>
        <v>NET - Revenue</v>
      </c>
      <c r="B6379" s="33" t="str">
        <f t="shared" si="397"/>
        <v>NET</v>
      </c>
      <c r="C6379" s="33" t="str">
        <f t="shared" si="398"/>
        <v>47420-0000</v>
      </c>
      <c r="D6379" s="64" t="s">
        <v>7495</v>
      </c>
      <c r="E6379" s="64" t="s">
        <v>4154</v>
      </c>
      <c r="F6379" s="64" t="s">
        <v>230</v>
      </c>
      <c r="G6379" s="64" t="s">
        <v>3717</v>
      </c>
      <c r="H6379" s="64" t="s">
        <v>2871</v>
      </c>
      <c r="I6379" s="64" t="s">
        <v>4155</v>
      </c>
      <c r="J6379" s="67">
        <v>-271.22</v>
      </c>
      <c r="K6379" s="62">
        <v>-3496.85</v>
      </c>
      <c r="L6379" s="33" t="e">
        <f>HLOOKUP(B6379,#REF!,1,0)</f>
        <v>#REF!</v>
      </c>
      <c r="M6379" s="33" t="str">
        <f t="shared" si="399"/>
        <v>P&amp;L</v>
      </c>
    </row>
    <row r="6380" spans="1:13" s="33" customFormat="true" ht="12.75" customHeight="true">
      <c r="A6380" s="33" t="str">
        <f t="shared" si="396"/>
        <v>NET - Revenue</v>
      </c>
      <c r="B6380" s="33" t="str">
        <f t="shared" si="397"/>
        <v>NET</v>
      </c>
      <c r="C6380" s="33" t="str">
        <f t="shared" si="398"/>
        <v>47430-0000</v>
      </c>
      <c r="D6380" s="64" t="s">
        <v>7496</v>
      </c>
      <c r="E6380" s="64" t="s">
        <v>4053</v>
      </c>
      <c r="F6380" s="64" t="s">
        <v>230</v>
      </c>
      <c r="G6380" s="64" t="s">
        <v>3717</v>
      </c>
      <c r="H6380" s="64" t="s">
        <v>2871</v>
      </c>
      <c r="I6380" s="64" t="s">
        <v>4054</v>
      </c>
      <c r="J6380" s="67">
        <v>-1533.01</v>
      </c>
      <c r="K6380" s="62">
        <v>-14188.81</v>
      </c>
      <c r="L6380" s="33" t="e">
        <f>HLOOKUP(B6380,#REF!,1,0)</f>
        <v>#REF!</v>
      </c>
      <c r="M6380" s="33" t="str">
        <f t="shared" si="399"/>
        <v>P&amp;L</v>
      </c>
    </row>
    <row r="6381" spans="1:13" s="33" customFormat="true" ht="12.75" customHeight="true">
      <c r="A6381" s="33" t="str">
        <f t="shared" si="396"/>
        <v>NET - Revenue</v>
      </c>
      <c r="B6381" s="33" t="str">
        <f t="shared" si="397"/>
        <v>NET</v>
      </c>
      <c r="C6381" s="33" t="str">
        <f t="shared" si="398"/>
        <v>47450-0000</v>
      </c>
      <c r="D6381" s="64" t="s">
        <v>7497</v>
      </c>
      <c r="E6381" s="64" t="s">
        <v>3723</v>
      </c>
      <c r="F6381" s="64" t="s">
        <v>230</v>
      </c>
      <c r="G6381" s="64" t="s">
        <v>3717</v>
      </c>
      <c r="H6381" s="64" t="s">
        <v>2871</v>
      </c>
      <c r="I6381" s="64" t="s">
        <v>3724</v>
      </c>
      <c r="J6381" s="67">
        <v>0</v>
      </c>
      <c r="K6381" s="62">
        <v>0</v>
      </c>
      <c r="L6381" s="33" t="e">
        <f>HLOOKUP(B6381,#REF!,1,0)</f>
        <v>#REF!</v>
      </c>
      <c r="M6381" s="33" t="str">
        <f t="shared" si="399"/>
        <v>P&amp;L</v>
      </c>
    </row>
    <row r="6382" spans="1:13" s="33" customFormat="true" ht="12.75" customHeight="true">
      <c r="A6382" s="33" t="str">
        <f t="shared" si="396"/>
        <v>NET - Revenue</v>
      </c>
      <c r="B6382" s="33" t="str">
        <f t="shared" si="397"/>
        <v>NET</v>
      </c>
      <c r="C6382" s="33" t="str">
        <f t="shared" si="398"/>
        <v>47460-0000</v>
      </c>
      <c r="D6382" s="64" t="s">
        <v>7498</v>
      </c>
      <c r="E6382" s="64" t="s">
        <v>3726</v>
      </c>
      <c r="F6382" s="64" t="s">
        <v>230</v>
      </c>
      <c r="G6382" s="64" t="s">
        <v>3717</v>
      </c>
      <c r="H6382" s="64" t="s">
        <v>2871</v>
      </c>
      <c r="I6382" s="64" t="s">
        <v>3727</v>
      </c>
      <c r="J6382" s="67">
        <v>-75</v>
      </c>
      <c r="K6382" s="62">
        <v>-275</v>
      </c>
      <c r="L6382" s="33" t="e">
        <f>HLOOKUP(B6382,#REF!,1,0)</f>
        <v>#REF!</v>
      </c>
      <c r="M6382" s="33" t="str">
        <f t="shared" si="399"/>
        <v>P&amp;L</v>
      </c>
    </row>
    <row r="6383" spans="1:13" s="33" customFormat="true" ht="12.75" customHeight="true">
      <c r="A6383" s="33" t="str">
        <f t="shared" si="396"/>
        <v>NET - Revenue</v>
      </c>
      <c r="B6383" s="33" t="str">
        <f t="shared" si="397"/>
        <v>NET</v>
      </c>
      <c r="C6383" s="33" t="str">
        <f t="shared" si="398"/>
        <v>47480-0000</v>
      </c>
      <c r="D6383" s="64" t="s">
        <v>7499</v>
      </c>
      <c r="E6383" s="64" t="s">
        <v>3729</v>
      </c>
      <c r="F6383" s="64" t="s">
        <v>230</v>
      </c>
      <c r="G6383" s="64" t="s">
        <v>3717</v>
      </c>
      <c r="H6383" s="64" t="s">
        <v>2871</v>
      </c>
      <c r="I6383" s="64" t="s">
        <v>3721</v>
      </c>
      <c r="J6383" s="67">
        <v>0</v>
      </c>
      <c r="K6383" s="62">
        <v>-675</v>
      </c>
      <c r="L6383" s="33" t="e">
        <f>HLOOKUP(B6383,#REF!,1,0)</f>
        <v>#REF!</v>
      </c>
      <c r="M6383" s="33" t="str">
        <f t="shared" si="399"/>
        <v>P&amp;L</v>
      </c>
    </row>
    <row r="6384" spans="1:13" s="33" customFormat="true" ht="12.75" customHeight="true">
      <c r="A6384" s="33" t="str">
        <f t="shared" si="396"/>
        <v>NET - Revenue</v>
      </c>
      <c r="B6384" s="33" t="str">
        <f t="shared" si="397"/>
        <v>NET</v>
      </c>
      <c r="C6384" s="33" t="str">
        <f t="shared" si="398"/>
        <v>47490-0000</v>
      </c>
      <c r="D6384" s="64" t="s">
        <v>7500</v>
      </c>
      <c r="E6384" s="64" t="s">
        <v>3731</v>
      </c>
      <c r="F6384" s="64" t="s">
        <v>230</v>
      </c>
      <c r="G6384" s="64" t="s">
        <v>3717</v>
      </c>
      <c r="H6384" s="64" t="s">
        <v>2871</v>
      </c>
      <c r="I6384" s="64" t="s">
        <v>3721</v>
      </c>
      <c r="J6384" s="67">
        <v>-141.13</v>
      </c>
      <c r="K6384" s="62">
        <v>-1291.13</v>
      </c>
      <c r="L6384" s="33" t="e">
        <f>HLOOKUP(B6384,#REF!,1,0)</f>
        <v>#REF!</v>
      </c>
      <c r="M6384" s="33" t="str">
        <f t="shared" si="399"/>
        <v>P&amp;L</v>
      </c>
    </row>
    <row r="6385" spans="1:13" s="33" customFormat="true" ht="12.75" customHeight="true">
      <c r="A6385" s="33" t="str">
        <f t="shared" si="396"/>
        <v>NET - Revenue</v>
      </c>
      <c r="B6385" s="33" t="str">
        <f t="shared" si="397"/>
        <v>NET</v>
      </c>
      <c r="C6385" s="33" t="str">
        <f t="shared" si="398"/>
        <v>47491-0000</v>
      </c>
      <c r="D6385" s="64" t="s">
        <v>7501</v>
      </c>
      <c r="E6385" s="64" t="s">
        <v>3733</v>
      </c>
      <c r="F6385" s="64" t="s">
        <v>230</v>
      </c>
      <c r="G6385" s="64" t="s">
        <v>3717</v>
      </c>
      <c r="H6385" s="64" t="s">
        <v>2871</v>
      </c>
      <c r="I6385" s="64" t="s">
        <v>3734</v>
      </c>
      <c r="J6385" s="67">
        <v>-606.74</v>
      </c>
      <c r="K6385" s="62">
        <v>-1859.04</v>
      </c>
      <c r="L6385" s="33" t="e">
        <f>HLOOKUP(B6385,#REF!,1,0)</f>
        <v>#REF!</v>
      </c>
      <c r="M6385" s="33" t="str">
        <f t="shared" si="399"/>
        <v>P&amp;L</v>
      </c>
    </row>
    <row r="6386" spans="1:13" s="33" customFormat="true" ht="12.75" customHeight="true">
      <c r="A6386" s="33" t="str">
        <f t="shared" si="396"/>
        <v>NET - Revenue</v>
      </c>
      <c r="B6386" s="33" t="str">
        <f t="shared" si="397"/>
        <v>NET</v>
      </c>
      <c r="C6386" s="33" t="str">
        <f t="shared" si="398"/>
        <v>47492-0000</v>
      </c>
      <c r="D6386" s="64" t="s">
        <v>7502</v>
      </c>
      <c r="E6386" s="64" t="s">
        <v>3736</v>
      </c>
      <c r="F6386" s="64" t="s">
        <v>230</v>
      </c>
      <c r="G6386" s="64" t="s">
        <v>3717</v>
      </c>
      <c r="H6386" s="64" t="s">
        <v>2871</v>
      </c>
      <c r="I6386" s="64" t="s">
        <v>3737</v>
      </c>
      <c r="J6386" s="67">
        <v>-563.06</v>
      </c>
      <c r="K6386" s="62">
        <v>-5038.33</v>
      </c>
      <c r="L6386" s="33" t="e">
        <f>HLOOKUP(B6386,#REF!,1,0)</f>
        <v>#REF!</v>
      </c>
      <c r="M6386" s="33" t="str">
        <f t="shared" si="399"/>
        <v>P&amp;L</v>
      </c>
    </row>
    <row r="6387" spans="1:13" s="33" customFormat="true" ht="12.75" customHeight="true">
      <c r="A6387" s="33" t="str">
        <f t="shared" si="396"/>
        <v>NET - CGS</v>
      </c>
      <c r="B6387" s="33" t="str">
        <f t="shared" si="397"/>
        <v>NET</v>
      </c>
      <c r="C6387" s="33" t="str">
        <f t="shared" si="398"/>
        <v>51004-0000</v>
      </c>
      <c r="D6387" s="64" t="s">
        <v>7503</v>
      </c>
      <c r="E6387" s="64" t="s">
        <v>6433</v>
      </c>
      <c r="F6387" s="64" t="s">
        <v>230</v>
      </c>
      <c r="G6387" s="64" t="s">
        <v>3740</v>
      </c>
      <c r="H6387" s="64" t="s">
        <v>1875</v>
      </c>
      <c r="I6387" s="64" t="s">
        <v>6434</v>
      </c>
      <c r="J6387" s="67">
        <v>0</v>
      </c>
      <c r="K6387" s="62">
        <v>150</v>
      </c>
      <c r="L6387" s="33" t="e">
        <f>HLOOKUP(B6387,#REF!,1,0)</f>
        <v>#REF!</v>
      </c>
      <c r="M6387" s="33" t="str">
        <f t="shared" si="399"/>
        <v>P&amp;L</v>
      </c>
    </row>
    <row r="6388" spans="1:13" s="33" customFormat="true" ht="12.75" customHeight="true">
      <c r="A6388" s="33" t="str">
        <f t="shared" si="396"/>
        <v>NET - CGS</v>
      </c>
      <c r="B6388" s="33" t="str">
        <f t="shared" si="397"/>
        <v>NET</v>
      </c>
      <c r="C6388" s="33" t="str">
        <f t="shared" si="398"/>
        <v>51005-0000</v>
      </c>
      <c r="D6388" s="64" t="s">
        <v>7504</v>
      </c>
      <c r="E6388" s="64" t="s">
        <v>3968</v>
      </c>
      <c r="F6388" s="64" t="s">
        <v>230</v>
      </c>
      <c r="G6388" s="64" t="s">
        <v>3740</v>
      </c>
      <c r="H6388" s="64" t="s">
        <v>1875</v>
      </c>
      <c r="I6388" s="64" t="s">
        <v>3969</v>
      </c>
      <c r="J6388" s="67">
        <v>0</v>
      </c>
      <c r="K6388" s="62">
        <v>193.88</v>
      </c>
      <c r="L6388" s="33" t="e">
        <f>HLOOKUP(B6388,#REF!,1,0)</f>
        <v>#REF!</v>
      </c>
      <c r="M6388" s="33" t="str">
        <f t="shared" si="399"/>
        <v>P&amp;L</v>
      </c>
    </row>
    <row r="6389" spans="1:13" s="33" customFormat="true" ht="12.75" customHeight="true">
      <c r="A6389" s="33" t="str">
        <f t="shared" si="396"/>
        <v>NET - CGS</v>
      </c>
      <c r="B6389" s="33" t="str">
        <f t="shared" si="397"/>
        <v>NET</v>
      </c>
      <c r="C6389" s="33" t="str">
        <f t="shared" si="398"/>
        <v>51006-0000</v>
      </c>
      <c r="D6389" s="64" t="s">
        <v>7505</v>
      </c>
      <c r="E6389" s="64" t="s">
        <v>3739</v>
      </c>
      <c r="F6389" s="64" t="s">
        <v>230</v>
      </c>
      <c r="G6389" s="64" t="s">
        <v>3740</v>
      </c>
      <c r="H6389" s="64" t="s">
        <v>1875</v>
      </c>
      <c r="I6389" s="64" t="s">
        <v>3741</v>
      </c>
      <c r="J6389" s="67">
        <v>350</v>
      </c>
      <c r="K6389" s="62">
        <v>3977.06</v>
      </c>
      <c r="L6389" s="33" t="e">
        <f>HLOOKUP(B6389,#REF!,1,0)</f>
        <v>#REF!</v>
      </c>
      <c r="M6389" s="33" t="str">
        <f t="shared" si="399"/>
        <v>P&amp;L</v>
      </c>
    </row>
    <row r="6390" spans="1:13" s="33" customFormat="true" ht="12.75" customHeight="true">
      <c r="A6390" s="33" t="str">
        <f t="shared" si="396"/>
        <v>NET - CGS</v>
      </c>
      <c r="B6390" s="33" t="str">
        <f t="shared" si="397"/>
        <v>NET</v>
      </c>
      <c r="C6390" s="33" t="str">
        <f t="shared" si="398"/>
        <v>51008-0000</v>
      </c>
      <c r="D6390" s="64" t="s">
        <v>7506</v>
      </c>
      <c r="E6390" s="64" t="s">
        <v>3743</v>
      </c>
      <c r="F6390" s="64" t="s">
        <v>230</v>
      </c>
      <c r="G6390" s="64" t="s">
        <v>3740</v>
      </c>
      <c r="H6390" s="64" t="s">
        <v>1875</v>
      </c>
      <c r="I6390" s="64" t="s">
        <v>3744</v>
      </c>
      <c r="J6390" s="67">
        <v>0</v>
      </c>
      <c r="K6390" s="62">
        <v>6155.3</v>
      </c>
      <c r="L6390" s="33" t="e">
        <f>HLOOKUP(B6390,#REF!,1,0)</f>
        <v>#REF!</v>
      </c>
      <c r="M6390" s="33" t="str">
        <f t="shared" si="399"/>
        <v>P&amp;L</v>
      </c>
    </row>
    <row r="6391" spans="1:13" s="33" customFormat="true" ht="12.75" customHeight="true">
      <c r="A6391" s="33" t="str">
        <f t="shared" si="396"/>
        <v>NET - CGS</v>
      </c>
      <c r="B6391" s="33" t="str">
        <f t="shared" si="397"/>
        <v>NET</v>
      </c>
      <c r="C6391" s="33" t="str">
        <f t="shared" si="398"/>
        <v>51009-0000</v>
      </c>
      <c r="D6391" s="64" t="s">
        <v>7507</v>
      </c>
      <c r="E6391" s="64" t="s">
        <v>3746</v>
      </c>
      <c r="F6391" s="64" t="s">
        <v>230</v>
      </c>
      <c r="G6391" s="64" t="s">
        <v>3740</v>
      </c>
      <c r="H6391" s="64" t="s">
        <v>1875</v>
      </c>
      <c r="I6391" s="64" t="s">
        <v>3747</v>
      </c>
      <c r="J6391" s="67">
        <v>11.94</v>
      </c>
      <c r="K6391" s="62">
        <v>4972.84</v>
      </c>
      <c r="L6391" s="33" t="e">
        <f>HLOOKUP(B6391,#REF!,1,0)</f>
        <v>#REF!</v>
      </c>
      <c r="M6391" s="33" t="str">
        <f t="shared" si="399"/>
        <v>P&amp;L</v>
      </c>
    </row>
    <row r="6392" spans="1:13" s="33" customFormat="true" ht="12.75" customHeight="true">
      <c r="A6392" s="33" t="str">
        <f t="shared" si="396"/>
        <v>NET - CGS</v>
      </c>
      <c r="B6392" s="33" t="str">
        <f t="shared" si="397"/>
        <v>NET</v>
      </c>
      <c r="C6392" s="33" t="str">
        <f t="shared" si="398"/>
        <v>51010-0000</v>
      </c>
      <c r="D6392" s="64" t="s">
        <v>7508</v>
      </c>
      <c r="E6392" s="64" t="s">
        <v>7509</v>
      </c>
      <c r="F6392" s="64" t="s">
        <v>230</v>
      </c>
      <c r="G6392" s="64" t="s">
        <v>3740</v>
      </c>
      <c r="H6392" s="64" t="s">
        <v>1875</v>
      </c>
      <c r="I6392" s="64" t="s">
        <v>7510</v>
      </c>
      <c r="J6392" s="67">
        <v>100</v>
      </c>
      <c r="K6392" s="62">
        <v>100</v>
      </c>
      <c r="L6392" s="33" t="e">
        <f>HLOOKUP(B6392,#REF!,1,0)</f>
        <v>#REF!</v>
      </c>
      <c r="M6392" s="33" t="str">
        <f t="shared" si="399"/>
        <v>P&amp;L</v>
      </c>
    </row>
    <row r="6393" spans="1:13" s="33" customFormat="true" ht="12.75" customHeight="true">
      <c r="A6393" s="33" t="str">
        <f t="shared" si="396"/>
        <v>NET - CGS</v>
      </c>
      <c r="B6393" s="33" t="str">
        <f t="shared" si="397"/>
        <v>NET</v>
      </c>
      <c r="C6393" s="33" t="str">
        <f t="shared" si="398"/>
        <v>51011-0000</v>
      </c>
      <c r="D6393" s="64" t="s">
        <v>7511</v>
      </c>
      <c r="E6393" s="64" t="s">
        <v>3749</v>
      </c>
      <c r="F6393" s="64" t="s">
        <v>230</v>
      </c>
      <c r="G6393" s="64" t="s">
        <v>3740</v>
      </c>
      <c r="H6393" s="64" t="s">
        <v>1875</v>
      </c>
      <c r="I6393" s="64" t="s">
        <v>3750</v>
      </c>
      <c r="J6393" s="67">
        <v>700</v>
      </c>
      <c r="K6393" s="62">
        <v>8558.5</v>
      </c>
      <c r="L6393" s="33" t="e">
        <f>HLOOKUP(B6393,#REF!,1,0)</f>
        <v>#REF!</v>
      </c>
      <c r="M6393" s="33" t="str">
        <f t="shared" si="399"/>
        <v>P&amp;L</v>
      </c>
    </row>
    <row r="6394" spans="1:13" s="33" customFormat="true" ht="12.75" customHeight="true">
      <c r="A6394" s="33" t="str">
        <f t="shared" si="396"/>
        <v>NET - CGS</v>
      </c>
      <c r="B6394" s="33" t="str">
        <f t="shared" si="397"/>
        <v>NET</v>
      </c>
      <c r="C6394" s="33" t="str">
        <f t="shared" si="398"/>
        <v>51012-0000</v>
      </c>
      <c r="D6394" s="64" t="s">
        <v>7512</v>
      </c>
      <c r="E6394" s="64" t="s">
        <v>3752</v>
      </c>
      <c r="F6394" s="64" t="s">
        <v>230</v>
      </c>
      <c r="G6394" s="64" t="s">
        <v>3740</v>
      </c>
      <c r="H6394" s="64" t="s">
        <v>1875</v>
      </c>
      <c r="I6394" s="64" t="s">
        <v>3753</v>
      </c>
      <c r="J6394" s="67">
        <v>105</v>
      </c>
      <c r="K6394" s="62">
        <v>1050</v>
      </c>
      <c r="L6394" s="33" t="e">
        <f>HLOOKUP(B6394,#REF!,1,0)</f>
        <v>#REF!</v>
      </c>
      <c r="M6394" s="33" t="str">
        <f t="shared" si="399"/>
        <v>P&amp;L</v>
      </c>
    </row>
    <row r="6395" spans="1:13" s="33" customFormat="true" ht="12.75" customHeight="true">
      <c r="A6395" s="33" t="str">
        <f t="shared" si="396"/>
        <v>NET - CGS</v>
      </c>
      <c r="B6395" s="33" t="str">
        <f t="shared" si="397"/>
        <v>NET</v>
      </c>
      <c r="C6395" s="33" t="str">
        <f t="shared" si="398"/>
        <v>51013-0000</v>
      </c>
      <c r="D6395" s="64" t="s">
        <v>7513</v>
      </c>
      <c r="E6395" s="64" t="s">
        <v>3979</v>
      </c>
      <c r="F6395" s="64" t="s">
        <v>230</v>
      </c>
      <c r="G6395" s="64" t="s">
        <v>3740</v>
      </c>
      <c r="H6395" s="64" t="s">
        <v>1875</v>
      </c>
      <c r="I6395" s="64" t="s">
        <v>3980</v>
      </c>
      <c r="J6395" s="67">
        <v>0</v>
      </c>
      <c r="K6395" s="62">
        <v>2025</v>
      </c>
      <c r="L6395" s="33" t="e">
        <f>HLOOKUP(B6395,#REF!,1,0)</f>
        <v>#REF!</v>
      </c>
      <c r="M6395" s="33" t="str">
        <f t="shared" si="399"/>
        <v>P&amp;L</v>
      </c>
    </row>
    <row r="6396" spans="1:13" s="33" customFormat="true" ht="12.75" customHeight="true">
      <c r="A6396" s="33" t="str">
        <f t="shared" si="396"/>
        <v>NET - CGS</v>
      </c>
      <c r="B6396" s="33" t="str">
        <f t="shared" si="397"/>
        <v>NET</v>
      </c>
      <c r="C6396" s="33" t="str">
        <f t="shared" si="398"/>
        <v>51015-0000</v>
      </c>
      <c r="D6396" s="64" t="s">
        <v>7514</v>
      </c>
      <c r="E6396" s="64" t="s">
        <v>3755</v>
      </c>
      <c r="F6396" s="64" t="s">
        <v>230</v>
      </c>
      <c r="G6396" s="64" t="s">
        <v>3740</v>
      </c>
      <c r="H6396" s="64" t="s">
        <v>1875</v>
      </c>
      <c r="I6396" s="64" t="s">
        <v>3756</v>
      </c>
      <c r="J6396" s="67">
        <v>14</v>
      </c>
      <c r="K6396" s="62">
        <v>14</v>
      </c>
      <c r="L6396" s="33" t="e">
        <f>HLOOKUP(B6396,#REF!,1,0)</f>
        <v>#REF!</v>
      </c>
      <c r="M6396" s="33" t="str">
        <f t="shared" si="399"/>
        <v>P&amp;L</v>
      </c>
    </row>
    <row r="6397" spans="1:13" s="33" customFormat="true" ht="12.75" customHeight="true">
      <c r="A6397" s="33" t="str">
        <f t="shared" si="396"/>
        <v>NET - CGS</v>
      </c>
      <c r="B6397" s="33" t="str">
        <f t="shared" si="397"/>
        <v>NET</v>
      </c>
      <c r="C6397" s="33" t="str">
        <f t="shared" si="398"/>
        <v>51017-0000</v>
      </c>
      <c r="D6397" s="64" t="s">
        <v>7515</v>
      </c>
      <c r="E6397" s="64" t="s">
        <v>3758</v>
      </c>
      <c r="F6397" s="64" t="s">
        <v>230</v>
      </c>
      <c r="G6397" s="64" t="s">
        <v>3160</v>
      </c>
      <c r="H6397" s="64" t="s">
        <v>1875</v>
      </c>
      <c r="I6397" s="64" t="s">
        <v>3759</v>
      </c>
      <c r="J6397" s="67">
        <v>97.98</v>
      </c>
      <c r="K6397" s="62">
        <v>979.8</v>
      </c>
      <c r="L6397" s="33" t="e">
        <f>HLOOKUP(B6397,#REF!,1,0)</f>
        <v>#REF!</v>
      </c>
      <c r="M6397" s="33" t="str">
        <f t="shared" si="399"/>
        <v>P&amp;L</v>
      </c>
    </row>
    <row r="6398" spans="1:13" s="33" customFormat="true" ht="12.75" customHeight="true">
      <c r="A6398" s="33" t="str">
        <f t="shared" si="396"/>
        <v>NET - CGS</v>
      </c>
      <c r="B6398" s="33" t="str">
        <f t="shared" si="397"/>
        <v>NET</v>
      </c>
      <c r="C6398" s="33" t="str">
        <f t="shared" si="398"/>
        <v>51018-0000</v>
      </c>
      <c r="D6398" s="64" t="s">
        <v>7516</v>
      </c>
      <c r="E6398" s="64" t="s">
        <v>3984</v>
      </c>
      <c r="F6398" s="64" t="s">
        <v>230</v>
      </c>
      <c r="G6398" s="64" t="s">
        <v>3740</v>
      </c>
      <c r="H6398" s="64" t="s">
        <v>1875</v>
      </c>
      <c r="I6398" s="64" t="s">
        <v>3319</v>
      </c>
      <c r="J6398" s="67">
        <v>0</v>
      </c>
      <c r="K6398" s="62">
        <v>150</v>
      </c>
      <c r="L6398" s="33" t="e">
        <f>HLOOKUP(B6398,#REF!,1,0)</f>
        <v>#REF!</v>
      </c>
      <c r="M6398" s="33" t="str">
        <f t="shared" si="399"/>
        <v>P&amp;L</v>
      </c>
    </row>
    <row r="6399" spans="1:13" s="33" customFormat="true" ht="12.75" customHeight="true">
      <c r="A6399" s="33" t="str">
        <f t="shared" si="396"/>
        <v>NET - CGS</v>
      </c>
      <c r="B6399" s="33" t="str">
        <f t="shared" si="397"/>
        <v>NET</v>
      </c>
      <c r="C6399" s="33" t="str">
        <f t="shared" si="398"/>
        <v>51019-0000</v>
      </c>
      <c r="D6399" s="64" t="s">
        <v>7517</v>
      </c>
      <c r="E6399" s="64" t="s">
        <v>3761</v>
      </c>
      <c r="F6399" s="64" t="s">
        <v>230</v>
      </c>
      <c r="G6399" s="64" t="s">
        <v>3740</v>
      </c>
      <c r="H6399" s="64" t="s">
        <v>1875</v>
      </c>
      <c r="I6399" s="64" t="s">
        <v>3340</v>
      </c>
      <c r="J6399" s="67">
        <v>0</v>
      </c>
      <c r="K6399" s="62">
        <v>45.94</v>
      </c>
      <c r="L6399" s="33" t="e">
        <f>HLOOKUP(B6399,#REF!,1,0)</f>
        <v>#REF!</v>
      </c>
      <c r="M6399" s="33" t="str">
        <f t="shared" si="399"/>
        <v>P&amp;L</v>
      </c>
    </row>
    <row r="6400" spans="1:13" s="33" customFormat="true" ht="12.75" customHeight="true">
      <c r="A6400" s="33" t="str">
        <f t="shared" si="396"/>
        <v>NET - CGS</v>
      </c>
      <c r="B6400" s="33" t="str">
        <f t="shared" si="397"/>
        <v>NET</v>
      </c>
      <c r="C6400" s="33" t="str">
        <f t="shared" si="398"/>
        <v>51020-0000</v>
      </c>
      <c r="D6400" s="64" t="s">
        <v>7518</v>
      </c>
      <c r="E6400" s="64" t="s">
        <v>3763</v>
      </c>
      <c r="F6400" s="64" t="s">
        <v>230</v>
      </c>
      <c r="G6400" s="64" t="s">
        <v>3740</v>
      </c>
      <c r="H6400" s="64" t="s">
        <v>1875</v>
      </c>
      <c r="I6400" s="64" t="s">
        <v>3345</v>
      </c>
      <c r="J6400" s="67">
        <v>0</v>
      </c>
      <c r="K6400" s="62">
        <v>476.3</v>
      </c>
      <c r="L6400" s="33" t="e">
        <f>HLOOKUP(B6400,#REF!,1,0)</f>
        <v>#REF!</v>
      </c>
      <c r="M6400" s="33" t="str">
        <f t="shared" si="399"/>
        <v>P&amp;L</v>
      </c>
    </row>
    <row r="6401" spans="1:13" s="33" customFormat="true" ht="12.75" customHeight="true">
      <c r="A6401" s="33" t="str">
        <f t="shared" si="396"/>
        <v>NET - CGS</v>
      </c>
      <c r="B6401" s="33" t="str">
        <f t="shared" si="397"/>
        <v>NET</v>
      </c>
      <c r="C6401" s="33" t="str">
        <f t="shared" si="398"/>
        <v>51025-0000</v>
      </c>
      <c r="D6401" s="64" t="s">
        <v>7519</v>
      </c>
      <c r="E6401" s="64" t="s">
        <v>3988</v>
      </c>
      <c r="F6401" s="64" t="s">
        <v>230</v>
      </c>
      <c r="G6401" s="64" t="s">
        <v>3740</v>
      </c>
      <c r="H6401" s="64" t="s">
        <v>1875</v>
      </c>
      <c r="I6401" s="64" t="s">
        <v>3989</v>
      </c>
      <c r="J6401" s="67">
        <v>312.21</v>
      </c>
      <c r="K6401" s="62">
        <v>3172.49</v>
      </c>
      <c r="L6401" s="33" t="e">
        <f>HLOOKUP(B6401,#REF!,1,0)</f>
        <v>#REF!</v>
      </c>
      <c r="M6401" s="33" t="str">
        <f t="shared" si="399"/>
        <v>P&amp;L</v>
      </c>
    </row>
    <row r="6402" spans="1:13" s="33" customFormat="true" ht="12.75" customHeight="true">
      <c r="A6402" s="33" t="str">
        <f t="shared" ref="A6402:A6465" si="400">B6402&amp;" - "&amp;TRIM(H6402)</f>
        <v>NET - CGS</v>
      </c>
      <c r="B6402" s="33" t="str">
        <f t="shared" ref="B6402:B6465" si="401">LEFT(D6402,3)</f>
        <v>NET</v>
      </c>
      <c r="C6402" s="33" t="str">
        <f t="shared" ref="C6402:C6465" si="402">RIGHT(D6402,10)</f>
        <v>52001-0000</v>
      </c>
      <c r="D6402" s="64" t="s">
        <v>7520</v>
      </c>
      <c r="E6402" s="64" t="s">
        <v>3768</v>
      </c>
      <c r="F6402" s="64" t="s">
        <v>230</v>
      </c>
      <c r="G6402" s="64" t="s">
        <v>3769</v>
      </c>
      <c r="H6402" s="64" t="s">
        <v>1875</v>
      </c>
      <c r="I6402" s="64" t="s">
        <v>3770</v>
      </c>
      <c r="J6402" s="67">
        <v>0</v>
      </c>
      <c r="K6402" s="62">
        <v>6081.13</v>
      </c>
      <c r="L6402" s="33" t="e">
        <f>HLOOKUP(B6402,#REF!,1,0)</f>
        <v>#REF!</v>
      </c>
      <c r="M6402" s="33" t="str">
        <f t="shared" ref="M6402:M6465" si="403">IF(VALUE(LEFT(C6402,5))&gt;40000,"P&amp;L","BS")</f>
        <v>P&amp;L</v>
      </c>
    </row>
    <row r="6403" spans="1:13" s="33" customFormat="true" ht="12.75" customHeight="true">
      <c r="A6403" s="33" t="str">
        <f t="shared" si="400"/>
        <v>NET - CGS</v>
      </c>
      <c r="B6403" s="33" t="str">
        <f t="shared" si="401"/>
        <v>NET</v>
      </c>
      <c r="C6403" s="33" t="str">
        <f t="shared" si="402"/>
        <v>52003-0000</v>
      </c>
      <c r="D6403" s="64" t="s">
        <v>7521</v>
      </c>
      <c r="E6403" s="64" t="s">
        <v>3772</v>
      </c>
      <c r="F6403" s="64" t="s">
        <v>230</v>
      </c>
      <c r="G6403" s="64" t="s">
        <v>3769</v>
      </c>
      <c r="H6403" s="64" t="s">
        <v>1875</v>
      </c>
      <c r="I6403" s="64" t="s">
        <v>3773</v>
      </c>
      <c r="J6403" s="67">
        <v>0</v>
      </c>
      <c r="K6403" s="62">
        <v>350</v>
      </c>
      <c r="L6403" s="33" t="e">
        <f>HLOOKUP(B6403,#REF!,1,0)</f>
        <v>#REF!</v>
      </c>
      <c r="M6403" s="33" t="str">
        <f t="shared" si="403"/>
        <v>P&amp;L</v>
      </c>
    </row>
    <row r="6404" spans="1:13" s="33" customFormat="true" ht="12.75" customHeight="true">
      <c r="A6404" s="33" t="str">
        <f t="shared" si="400"/>
        <v>NET - CGS</v>
      </c>
      <c r="B6404" s="33" t="str">
        <f t="shared" si="401"/>
        <v>NET</v>
      </c>
      <c r="C6404" s="33" t="str">
        <f t="shared" si="402"/>
        <v>52004-0000</v>
      </c>
      <c r="D6404" s="64" t="s">
        <v>7522</v>
      </c>
      <c r="E6404" s="64" t="s">
        <v>3775</v>
      </c>
      <c r="F6404" s="64" t="s">
        <v>230</v>
      </c>
      <c r="G6404" s="64" t="s">
        <v>3769</v>
      </c>
      <c r="H6404" s="64" t="s">
        <v>1875</v>
      </c>
      <c r="I6404" s="64" t="s">
        <v>3776</v>
      </c>
      <c r="J6404" s="67">
        <v>-41.31</v>
      </c>
      <c r="K6404" s="62">
        <v>0.18</v>
      </c>
      <c r="L6404" s="33" t="e">
        <f>HLOOKUP(B6404,#REF!,1,0)</f>
        <v>#REF!</v>
      </c>
      <c r="M6404" s="33" t="str">
        <f t="shared" si="403"/>
        <v>P&amp;L</v>
      </c>
    </row>
    <row r="6405" spans="1:13" s="33" customFormat="true" ht="12.75" customHeight="true">
      <c r="A6405" s="33" t="str">
        <f t="shared" si="400"/>
        <v>NET - CGS</v>
      </c>
      <c r="B6405" s="33" t="str">
        <f t="shared" si="401"/>
        <v>NET</v>
      </c>
      <c r="C6405" s="33" t="str">
        <f t="shared" si="402"/>
        <v>52006-0000</v>
      </c>
      <c r="D6405" s="64" t="s">
        <v>7523</v>
      </c>
      <c r="E6405" s="64" t="s">
        <v>3778</v>
      </c>
      <c r="F6405" s="64" t="s">
        <v>230</v>
      </c>
      <c r="G6405" s="64" t="s">
        <v>3769</v>
      </c>
      <c r="H6405" s="64" t="s">
        <v>1875</v>
      </c>
      <c r="I6405" s="64" t="s">
        <v>3779</v>
      </c>
      <c r="J6405" s="67">
        <v>-700</v>
      </c>
      <c r="K6405" s="62">
        <v>-80.85</v>
      </c>
      <c r="L6405" s="33" t="e">
        <f>HLOOKUP(B6405,#REF!,1,0)</f>
        <v>#REF!</v>
      </c>
      <c r="M6405" s="33" t="str">
        <f t="shared" si="403"/>
        <v>P&amp;L</v>
      </c>
    </row>
    <row r="6406" spans="1:13" s="33" customFormat="true" ht="12.75" customHeight="true">
      <c r="A6406" s="33" t="str">
        <f t="shared" si="400"/>
        <v>NET - CGS</v>
      </c>
      <c r="B6406" s="33" t="str">
        <f t="shared" si="401"/>
        <v>NET</v>
      </c>
      <c r="C6406" s="33" t="str">
        <f t="shared" si="402"/>
        <v>53001-0000</v>
      </c>
      <c r="D6406" s="64" t="s">
        <v>7524</v>
      </c>
      <c r="E6406" s="64" t="s">
        <v>3781</v>
      </c>
      <c r="F6406" s="64" t="s">
        <v>230</v>
      </c>
      <c r="G6406" s="64" t="s">
        <v>3160</v>
      </c>
      <c r="H6406" s="64" t="s">
        <v>1875</v>
      </c>
      <c r="I6406" s="64" t="s">
        <v>3782</v>
      </c>
      <c r="J6406" s="67">
        <v>181.94</v>
      </c>
      <c r="K6406" s="62">
        <v>1877.92</v>
      </c>
      <c r="L6406" s="33" t="e">
        <f>HLOOKUP(B6406,#REF!,1,0)</f>
        <v>#REF!</v>
      </c>
      <c r="M6406" s="33" t="str">
        <f t="shared" si="403"/>
        <v>P&amp;L</v>
      </c>
    </row>
    <row r="6407" spans="1:13" s="33" customFormat="true" ht="12.75" customHeight="true">
      <c r="A6407" s="33" t="str">
        <f t="shared" si="400"/>
        <v>NET - CGS</v>
      </c>
      <c r="B6407" s="33" t="str">
        <f t="shared" si="401"/>
        <v>NET</v>
      </c>
      <c r="C6407" s="33" t="str">
        <f t="shared" si="402"/>
        <v>53002-0000</v>
      </c>
      <c r="D6407" s="64" t="s">
        <v>7525</v>
      </c>
      <c r="E6407" s="64" t="s">
        <v>3784</v>
      </c>
      <c r="F6407" s="64" t="s">
        <v>230</v>
      </c>
      <c r="G6407" s="64" t="s">
        <v>3160</v>
      </c>
      <c r="H6407" s="64" t="s">
        <v>1875</v>
      </c>
      <c r="I6407" s="64" t="s">
        <v>3785</v>
      </c>
      <c r="J6407" s="67">
        <v>1651.89</v>
      </c>
      <c r="K6407" s="62">
        <v>16583.87</v>
      </c>
      <c r="L6407" s="33" t="e">
        <f>HLOOKUP(B6407,#REF!,1,0)</f>
        <v>#REF!</v>
      </c>
      <c r="M6407" s="33" t="str">
        <f t="shared" si="403"/>
        <v>P&amp;L</v>
      </c>
    </row>
    <row r="6408" spans="1:13" s="33" customFormat="true" ht="12.75" customHeight="true">
      <c r="A6408" s="33" t="str">
        <f t="shared" si="400"/>
        <v>NET - CGS</v>
      </c>
      <c r="B6408" s="33" t="str">
        <f t="shared" si="401"/>
        <v>NET</v>
      </c>
      <c r="C6408" s="33" t="str">
        <f t="shared" si="402"/>
        <v>53003-0000</v>
      </c>
      <c r="D6408" s="64" t="s">
        <v>7526</v>
      </c>
      <c r="E6408" s="64" t="s">
        <v>3787</v>
      </c>
      <c r="F6408" s="64" t="s">
        <v>230</v>
      </c>
      <c r="G6408" s="64" t="s">
        <v>3160</v>
      </c>
      <c r="H6408" s="64" t="s">
        <v>1875</v>
      </c>
      <c r="I6408" s="64" t="s">
        <v>3788</v>
      </c>
      <c r="J6408" s="67">
        <v>0</v>
      </c>
      <c r="K6408" s="62">
        <v>8569.18</v>
      </c>
      <c r="L6408" s="33" t="e">
        <f>HLOOKUP(B6408,#REF!,1,0)</f>
        <v>#REF!</v>
      </c>
      <c r="M6408" s="33" t="str">
        <f t="shared" si="403"/>
        <v>P&amp;L</v>
      </c>
    </row>
    <row r="6409" spans="1:13" s="33" customFormat="true" ht="12.75" customHeight="true">
      <c r="A6409" s="33" t="str">
        <f t="shared" si="400"/>
        <v>NET - CGS</v>
      </c>
      <c r="B6409" s="33" t="str">
        <f t="shared" si="401"/>
        <v>NET</v>
      </c>
      <c r="C6409" s="33" t="str">
        <f t="shared" si="402"/>
        <v>53004-0000</v>
      </c>
      <c r="D6409" s="64" t="s">
        <v>7527</v>
      </c>
      <c r="E6409" s="64" t="s">
        <v>3790</v>
      </c>
      <c r="F6409" s="64" t="s">
        <v>230</v>
      </c>
      <c r="G6409" s="64" t="s">
        <v>3160</v>
      </c>
      <c r="H6409" s="64" t="s">
        <v>1875</v>
      </c>
      <c r="I6409" s="64" t="s">
        <v>3791</v>
      </c>
      <c r="J6409" s="67">
        <v>1944.14</v>
      </c>
      <c r="K6409" s="62">
        <v>21716.66</v>
      </c>
      <c r="L6409" s="33" t="e">
        <f>HLOOKUP(B6409,#REF!,1,0)</f>
        <v>#REF!</v>
      </c>
      <c r="M6409" s="33" t="str">
        <f t="shared" si="403"/>
        <v>P&amp;L</v>
      </c>
    </row>
    <row r="6410" spans="1:13" s="33" customFormat="true" ht="12.75" customHeight="true">
      <c r="A6410" s="33" t="str">
        <f t="shared" si="400"/>
        <v>NET - CGS</v>
      </c>
      <c r="B6410" s="33" t="str">
        <f t="shared" si="401"/>
        <v>NET</v>
      </c>
      <c r="C6410" s="33" t="str">
        <f t="shared" si="402"/>
        <v>53005-0000</v>
      </c>
      <c r="D6410" s="64" t="s">
        <v>7528</v>
      </c>
      <c r="E6410" s="64" t="s">
        <v>3793</v>
      </c>
      <c r="F6410" s="64" t="s">
        <v>230</v>
      </c>
      <c r="G6410" s="64" t="s">
        <v>3160</v>
      </c>
      <c r="H6410" s="64" t="s">
        <v>1875</v>
      </c>
      <c r="I6410" s="64" t="s">
        <v>3794</v>
      </c>
      <c r="J6410" s="67">
        <v>0</v>
      </c>
      <c r="K6410" s="62">
        <v>23795.37</v>
      </c>
      <c r="L6410" s="33" t="e">
        <f>HLOOKUP(B6410,#REF!,1,0)</f>
        <v>#REF!</v>
      </c>
      <c r="M6410" s="33" t="str">
        <f t="shared" si="403"/>
        <v>P&amp;L</v>
      </c>
    </row>
    <row r="6411" spans="1:13" s="33" customFormat="true" ht="12.75" customHeight="true">
      <c r="A6411" s="33" t="str">
        <f t="shared" si="400"/>
        <v>NET - CGS</v>
      </c>
      <c r="B6411" s="33" t="str">
        <f t="shared" si="401"/>
        <v>NET</v>
      </c>
      <c r="C6411" s="33" t="str">
        <f t="shared" si="402"/>
        <v>53006-0000</v>
      </c>
      <c r="D6411" s="64" t="s">
        <v>7529</v>
      </c>
      <c r="E6411" s="64" t="s">
        <v>3796</v>
      </c>
      <c r="F6411" s="64" t="s">
        <v>230</v>
      </c>
      <c r="G6411" s="64" t="s">
        <v>3160</v>
      </c>
      <c r="H6411" s="64" t="s">
        <v>1875</v>
      </c>
      <c r="I6411" s="64" t="s">
        <v>3797</v>
      </c>
      <c r="J6411" s="67">
        <v>0</v>
      </c>
      <c r="K6411" s="62">
        <v>38862.89</v>
      </c>
      <c r="L6411" s="33" t="e">
        <f>HLOOKUP(B6411,#REF!,1,0)</f>
        <v>#REF!</v>
      </c>
      <c r="M6411" s="33" t="str">
        <f t="shared" si="403"/>
        <v>P&amp;L</v>
      </c>
    </row>
    <row r="6412" spans="1:13" s="33" customFormat="true" ht="12.75" customHeight="true">
      <c r="A6412" s="33" t="str">
        <f t="shared" si="400"/>
        <v>NET - CGS</v>
      </c>
      <c r="B6412" s="33" t="str">
        <f t="shared" si="401"/>
        <v>NET</v>
      </c>
      <c r="C6412" s="33" t="str">
        <f t="shared" si="402"/>
        <v>54001-0000</v>
      </c>
      <c r="D6412" s="64" t="s">
        <v>7530</v>
      </c>
      <c r="E6412" s="64" t="s">
        <v>4008</v>
      </c>
      <c r="F6412" s="64" t="s">
        <v>230</v>
      </c>
      <c r="G6412" s="64" t="s">
        <v>3800</v>
      </c>
      <c r="H6412" s="64" t="s">
        <v>1875</v>
      </c>
      <c r="I6412" s="64" t="s">
        <v>4009</v>
      </c>
      <c r="J6412" s="67">
        <v>224.68</v>
      </c>
      <c r="K6412" s="62">
        <v>-855.86</v>
      </c>
      <c r="L6412" s="33" t="e">
        <f>HLOOKUP(B6412,#REF!,1,0)</f>
        <v>#REF!</v>
      </c>
      <c r="M6412" s="33" t="str">
        <f t="shared" si="403"/>
        <v>P&amp;L</v>
      </c>
    </row>
    <row r="6413" spans="1:13" s="33" customFormat="true" ht="12.75" customHeight="true">
      <c r="A6413" s="33" t="str">
        <f t="shared" si="400"/>
        <v>NET - CGS</v>
      </c>
      <c r="B6413" s="33" t="str">
        <f t="shared" si="401"/>
        <v>NET</v>
      </c>
      <c r="C6413" s="33" t="str">
        <f t="shared" si="402"/>
        <v>54002-0000</v>
      </c>
      <c r="D6413" s="64" t="s">
        <v>7531</v>
      </c>
      <c r="E6413" s="64" t="s">
        <v>3799</v>
      </c>
      <c r="F6413" s="64" t="s">
        <v>230</v>
      </c>
      <c r="G6413" s="64" t="s">
        <v>3800</v>
      </c>
      <c r="H6413" s="64" t="s">
        <v>1875</v>
      </c>
      <c r="I6413" s="64" t="s">
        <v>3801</v>
      </c>
      <c r="J6413" s="67">
        <v>0</v>
      </c>
      <c r="K6413" s="62">
        <v>3577</v>
      </c>
      <c r="L6413" s="33" t="e">
        <f>HLOOKUP(B6413,#REF!,1,0)</f>
        <v>#REF!</v>
      </c>
      <c r="M6413" s="33" t="str">
        <f t="shared" si="403"/>
        <v>P&amp;L</v>
      </c>
    </row>
    <row r="6414" spans="1:13" s="33" customFormat="true" ht="12.75" customHeight="true">
      <c r="A6414" s="33" t="str">
        <f t="shared" si="400"/>
        <v>NET - CGS</v>
      </c>
      <c r="B6414" s="33" t="str">
        <f t="shared" si="401"/>
        <v>NET</v>
      </c>
      <c r="C6414" s="33" t="str">
        <f t="shared" si="402"/>
        <v>54003-0000</v>
      </c>
      <c r="D6414" s="64" t="s">
        <v>7532</v>
      </c>
      <c r="E6414" s="64" t="s">
        <v>3803</v>
      </c>
      <c r="F6414" s="64" t="s">
        <v>230</v>
      </c>
      <c r="G6414" s="64" t="s">
        <v>3800</v>
      </c>
      <c r="H6414" s="64" t="s">
        <v>1875</v>
      </c>
      <c r="I6414" s="64" t="s">
        <v>3804</v>
      </c>
      <c r="J6414" s="67">
        <v>0</v>
      </c>
      <c r="K6414" s="62">
        <v>0</v>
      </c>
      <c r="L6414" s="33" t="e">
        <f>HLOOKUP(B6414,#REF!,1,0)</f>
        <v>#REF!</v>
      </c>
      <c r="M6414" s="33" t="str">
        <f t="shared" si="403"/>
        <v>P&amp;L</v>
      </c>
    </row>
    <row r="6415" spans="1:13" s="33" customFormat="true" ht="12.75" customHeight="true">
      <c r="A6415" s="33" t="str">
        <f t="shared" si="400"/>
        <v>NET - CGS</v>
      </c>
      <c r="B6415" s="33" t="str">
        <f t="shared" si="401"/>
        <v>NET</v>
      </c>
      <c r="C6415" s="33" t="str">
        <f t="shared" si="402"/>
        <v>54004-0000</v>
      </c>
      <c r="D6415" s="64" t="s">
        <v>7533</v>
      </c>
      <c r="E6415" s="64" t="s">
        <v>3806</v>
      </c>
      <c r="F6415" s="64" t="s">
        <v>230</v>
      </c>
      <c r="G6415" s="64" t="s">
        <v>3800</v>
      </c>
      <c r="H6415" s="64" t="s">
        <v>1875</v>
      </c>
      <c r="I6415" s="64" t="s">
        <v>3807</v>
      </c>
      <c r="J6415" s="67">
        <v>1300</v>
      </c>
      <c r="K6415" s="62">
        <v>11862.63</v>
      </c>
      <c r="L6415" s="33" t="e">
        <f>HLOOKUP(B6415,#REF!,1,0)</f>
        <v>#REF!</v>
      </c>
      <c r="M6415" s="33" t="str">
        <f t="shared" si="403"/>
        <v>P&amp;L</v>
      </c>
    </row>
    <row r="6416" spans="1:13" s="33" customFormat="true" ht="12.75" customHeight="true">
      <c r="A6416" s="33" t="str">
        <f t="shared" si="400"/>
        <v>NET - CGS</v>
      </c>
      <c r="B6416" s="33" t="str">
        <f t="shared" si="401"/>
        <v>NET</v>
      </c>
      <c r="C6416" s="33" t="str">
        <f t="shared" si="402"/>
        <v>54005-0000</v>
      </c>
      <c r="D6416" s="64" t="s">
        <v>7534</v>
      </c>
      <c r="E6416" s="64" t="s">
        <v>3809</v>
      </c>
      <c r="F6416" s="64" t="s">
        <v>230</v>
      </c>
      <c r="G6416" s="64" t="s">
        <v>3800</v>
      </c>
      <c r="H6416" s="64" t="s">
        <v>1875</v>
      </c>
      <c r="I6416" s="64" t="s">
        <v>3810</v>
      </c>
      <c r="J6416" s="67">
        <v>23.46</v>
      </c>
      <c r="K6416" s="62">
        <v>269.42</v>
      </c>
      <c r="L6416" s="33" t="e">
        <f>HLOOKUP(B6416,#REF!,1,0)</f>
        <v>#REF!</v>
      </c>
      <c r="M6416" s="33" t="str">
        <f t="shared" si="403"/>
        <v>P&amp;L</v>
      </c>
    </row>
    <row r="6417" spans="1:13" s="33" customFormat="true" ht="12.75" customHeight="true">
      <c r="A6417" s="33" t="str">
        <f t="shared" si="400"/>
        <v>NET - CGS</v>
      </c>
      <c r="B6417" s="33" t="str">
        <f t="shared" si="401"/>
        <v>NET</v>
      </c>
      <c r="C6417" s="33" t="str">
        <f t="shared" si="402"/>
        <v>54006-0000</v>
      </c>
      <c r="D6417" s="64" t="s">
        <v>7535</v>
      </c>
      <c r="E6417" s="64" t="s">
        <v>3812</v>
      </c>
      <c r="F6417" s="64" t="s">
        <v>230</v>
      </c>
      <c r="G6417" s="64" t="s">
        <v>3800</v>
      </c>
      <c r="H6417" s="64" t="s">
        <v>1875</v>
      </c>
      <c r="I6417" s="64" t="s">
        <v>3003</v>
      </c>
      <c r="J6417" s="67">
        <v>277.7</v>
      </c>
      <c r="K6417" s="62">
        <v>3312.92</v>
      </c>
      <c r="L6417" s="33" t="e">
        <f>HLOOKUP(B6417,#REF!,1,0)</f>
        <v>#REF!</v>
      </c>
      <c r="M6417" s="33" t="str">
        <f t="shared" si="403"/>
        <v>P&amp;L</v>
      </c>
    </row>
    <row r="6418" spans="1:13" s="33" customFormat="true" ht="12.75" customHeight="true">
      <c r="A6418" s="33" t="str">
        <f t="shared" si="400"/>
        <v>NET - CGS</v>
      </c>
      <c r="B6418" s="33" t="str">
        <f t="shared" si="401"/>
        <v>NET</v>
      </c>
      <c r="C6418" s="33" t="str">
        <f t="shared" si="402"/>
        <v>54007-0000</v>
      </c>
      <c r="D6418" s="64" t="s">
        <v>7536</v>
      </c>
      <c r="E6418" s="64" t="s">
        <v>4182</v>
      </c>
      <c r="F6418" s="64" t="s">
        <v>230</v>
      </c>
      <c r="G6418" s="64" t="s">
        <v>3800</v>
      </c>
      <c r="H6418" s="64" t="s">
        <v>1875</v>
      </c>
      <c r="I6418" s="64" t="s">
        <v>3815</v>
      </c>
      <c r="J6418" s="67">
        <v>1271.75</v>
      </c>
      <c r="K6418" s="62">
        <v>9256.35</v>
      </c>
      <c r="L6418" s="33" t="e">
        <f>HLOOKUP(B6418,#REF!,1,0)</f>
        <v>#REF!</v>
      </c>
      <c r="M6418" s="33" t="str">
        <f t="shared" si="403"/>
        <v>P&amp;L</v>
      </c>
    </row>
    <row r="6419" spans="1:13" s="33" customFormat="true" ht="12.75" customHeight="true">
      <c r="A6419" s="33" t="str">
        <f t="shared" si="400"/>
        <v>NET - CGS</v>
      </c>
      <c r="B6419" s="33" t="str">
        <f t="shared" si="401"/>
        <v>NET</v>
      </c>
      <c r="C6419" s="33" t="str">
        <f t="shared" si="402"/>
        <v>54008-0000</v>
      </c>
      <c r="D6419" s="64" t="s">
        <v>7537</v>
      </c>
      <c r="E6419" s="64" t="s">
        <v>4017</v>
      </c>
      <c r="F6419" s="64" t="s">
        <v>230</v>
      </c>
      <c r="G6419" s="64" t="s">
        <v>3800</v>
      </c>
      <c r="H6419" s="64" t="s">
        <v>1875</v>
      </c>
      <c r="I6419" s="64" t="s">
        <v>4018</v>
      </c>
      <c r="J6419" s="67">
        <v>39</v>
      </c>
      <c r="K6419" s="62">
        <v>-39</v>
      </c>
      <c r="L6419" s="33" t="e">
        <f>HLOOKUP(B6419,#REF!,1,0)</f>
        <v>#REF!</v>
      </c>
      <c r="M6419" s="33" t="str">
        <f t="shared" si="403"/>
        <v>P&amp;L</v>
      </c>
    </row>
    <row r="6420" spans="1:13" s="33" customFormat="true" ht="12.75" customHeight="true">
      <c r="A6420" s="33" t="str">
        <f t="shared" si="400"/>
        <v>NET - PM Expenses</v>
      </c>
      <c r="B6420" s="33" t="str">
        <f t="shared" si="401"/>
        <v>NET</v>
      </c>
      <c r="C6420" s="33" t="str">
        <f t="shared" si="402"/>
        <v>55501-0000</v>
      </c>
      <c r="D6420" s="64" t="s">
        <v>7538</v>
      </c>
      <c r="E6420" s="64" t="s">
        <v>3817</v>
      </c>
      <c r="F6420" s="64" t="s">
        <v>230</v>
      </c>
      <c r="G6420" s="64" t="s">
        <v>3818</v>
      </c>
      <c r="H6420" s="64" t="s">
        <v>3819</v>
      </c>
      <c r="I6420" s="64" t="s">
        <v>3820</v>
      </c>
      <c r="J6420" s="67">
        <v>0</v>
      </c>
      <c r="K6420" s="62">
        <v>9363.84</v>
      </c>
      <c r="L6420" s="33" t="e">
        <f>HLOOKUP(B6420,#REF!,1,0)</f>
        <v>#REF!</v>
      </c>
      <c r="M6420" s="33" t="str">
        <f t="shared" si="403"/>
        <v>P&amp;L</v>
      </c>
    </row>
    <row r="6421" spans="1:13" s="33" customFormat="true" ht="12.75" customHeight="true">
      <c r="A6421" s="33" t="str">
        <f t="shared" si="400"/>
        <v>NET - PM Expenses</v>
      </c>
      <c r="B6421" s="33" t="str">
        <f t="shared" si="401"/>
        <v>NET</v>
      </c>
      <c r="C6421" s="33" t="str">
        <f t="shared" si="402"/>
        <v>55502-0000</v>
      </c>
      <c r="D6421" s="64" t="s">
        <v>7539</v>
      </c>
      <c r="E6421" s="64" t="s">
        <v>3822</v>
      </c>
      <c r="F6421" s="64" t="s">
        <v>230</v>
      </c>
      <c r="G6421" s="64" t="s">
        <v>3818</v>
      </c>
      <c r="H6421" s="64" t="s">
        <v>3819</v>
      </c>
      <c r="I6421" s="64" t="s">
        <v>3823</v>
      </c>
      <c r="J6421" s="67">
        <v>110</v>
      </c>
      <c r="K6421" s="62">
        <v>11393.83</v>
      </c>
      <c r="L6421" s="33" t="e">
        <f>HLOOKUP(B6421,#REF!,1,0)</f>
        <v>#REF!</v>
      </c>
      <c r="M6421" s="33" t="str">
        <f t="shared" si="403"/>
        <v>P&amp;L</v>
      </c>
    </row>
    <row r="6422" spans="1:13" s="33" customFormat="true" ht="12.75" customHeight="true">
      <c r="A6422" s="33" t="str">
        <f t="shared" si="400"/>
        <v>NET - PM Expenses</v>
      </c>
      <c r="B6422" s="33" t="str">
        <f t="shared" si="401"/>
        <v>NET</v>
      </c>
      <c r="C6422" s="33" t="str">
        <f t="shared" si="402"/>
        <v>55503-0000</v>
      </c>
      <c r="D6422" s="64" t="s">
        <v>7540</v>
      </c>
      <c r="E6422" s="64" t="s">
        <v>3825</v>
      </c>
      <c r="F6422" s="64" t="s">
        <v>230</v>
      </c>
      <c r="G6422" s="64" t="s">
        <v>3818</v>
      </c>
      <c r="H6422" s="64" t="s">
        <v>3819</v>
      </c>
      <c r="I6422" s="64" t="s">
        <v>3826</v>
      </c>
      <c r="J6422" s="67">
        <v>2157.48</v>
      </c>
      <c r="K6422" s="62">
        <v>8507.16</v>
      </c>
      <c r="L6422" s="33" t="e">
        <f>HLOOKUP(B6422,#REF!,1,0)</f>
        <v>#REF!</v>
      </c>
      <c r="M6422" s="33" t="str">
        <f t="shared" si="403"/>
        <v>P&amp;L</v>
      </c>
    </row>
    <row r="6423" spans="1:13" s="33" customFormat="true" ht="12.75" customHeight="true">
      <c r="A6423" s="33" t="str">
        <f t="shared" si="400"/>
        <v>NET - PM Expenses</v>
      </c>
      <c r="B6423" s="33" t="str">
        <f t="shared" si="401"/>
        <v>NET</v>
      </c>
      <c r="C6423" s="33" t="str">
        <f t="shared" si="402"/>
        <v>55505-0000</v>
      </c>
      <c r="D6423" s="64" t="s">
        <v>7541</v>
      </c>
      <c r="E6423" s="64" t="s">
        <v>3828</v>
      </c>
      <c r="F6423" s="64" t="s">
        <v>230</v>
      </c>
      <c r="G6423" s="64" t="s">
        <v>3818</v>
      </c>
      <c r="H6423" s="64" t="s">
        <v>3819</v>
      </c>
      <c r="I6423" s="64" t="s">
        <v>3829</v>
      </c>
      <c r="J6423" s="67">
        <v>1028.87</v>
      </c>
      <c r="K6423" s="62">
        <v>22504.26</v>
      </c>
      <c r="L6423" s="33" t="e">
        <f>HLOOKUP(B6423,#REF!,1,0)</f>
        <v>#REF!</v>
      </c>
      <c r="M6423" s="33" t="str">
        <f t="shared" si="403"/>
        <v>P&amp;L</v>
      </c>
    </row>
    <row r="6424" spans="1:13" s="33" customFormat="true" ht="12.75" customHeight="true">
      <c r="A6424" s="33" t="str">
        <f t="shared" si="400"/>
        <v>NET - PM Expenses</v>
      </c>
      <c r="B6424" s="33" t="str">
        <f t="shared" si="401"/>
        <v>NET</v>
      </c>
      <c r="C6424" s="33" t="str">
        <f t="shared" si="402"/>
        <v>55506-0000</v>
      </c>
      <c r="D6424" s="64" t="s">
        <v>7542</v>
      </c>
      <c r="E6424" s="64" t="s">
        <v>3831</v>
      </c>
      <c r="F6424" s="64" t="s">
        <v>230</v>
      </c>
      <c r="G6424" s="64" t="s">
        <v>3818</v>
      </c>
      <c r="H6424" s="64" t="s">
        <v>3819</v>
      </c>
      <c r="I6424" s="64" t="s">
        <v>3832</v>
      </c>
      <c r="J6424" s="67">
        <v>-3395.39</v>
      </c>
      <c r="K6424" s="62">
        <v>35556.57</v>
      </c>
      <c r="L6424" s="33" t="e">
        <f>HLOOKUP(B6424,#REF!,1,0)</f>
        <v>#REF!</v>
      </c>
      <c r="M6424" s="33" t="str">
        <f t="shared" si="403"/>
        <v>P&amp;L</v>
      </c>
    </row>
    <row r="6425" spans="1:13" s="33" customFormat="true" ht="12.75" customHeight="true">
      <c r="A6425" s="33" t="str">
        <f t="shared" si="400"/>
        <v>NET - PM Expenses</v>
      </c>
      <c r="B6425" s="33" t="str">
        <f t="shared" si="401"/>
        <v>NET</v>
      </c>
      <c r="C6425" s="33" t="str">
        <f t="shared" si="402"/>
        <v>55507-0000</v>
      </c>
      <c r="D6425" s="64" t="s">
        <v>7543</v>
      </c>
      <c r="E6425" s="64" t="s">
        <v>3834</v>
      </c>
      <c r="F6425" s="64" t="s">
        <v>230</v>
      </c>
      <c r="G6425" s="64" t="s">
        <v>3818</v>
      </c>
      <c r="H6425" s="64" t="s">
        <v>3819</v>
      </c>
      <c r="I6425" s="64" t="s">
        <v>3835</v>
      </c>
      <c r="J6425" s="67">
        <v>0</v>
      </c>
      <c r="K6425" s="62">
        <v>1389.28</v>
      </c>
      <c r="L6425" s="33" t="e">
        <f>HLOOKUP(B6425,#REF!,1,0)</f>
        <v>#REF!</v>
      </c>
      <c r="M6425" s="33" t="str">
        <f t="shared" si="403"/>
        <v>P&amp;L</v>
      </c>
    </row>
    <row r="6426" spans="1:13" s="33" customFormat="true" ht="12.75" customHeight="true">
      <c r="A6426" s="33" t="str">
        <f t="shared" si="400"/>
        <v>NET - CGS</v>
      </c>
      <c r="B6426" s="33" t="str">
        <f t="shared" si="401"/>
        <v>NET</v>
      </c>
      <c r="C6426" s="33" t="str">
        <f t="shared" si="402"/>
        <v>57700-0000</v>
      </c>
      <c r="D6426" s="64" t="s">
        <v>7544</v>
      </c>
      <c r="E6426" s="64" t="s">
        <v>4354</v>
      </c>
      <c r="F6426" s="64" t="s">
        <v>230</v>
      </c>
      <c r="G6426" s="64" t="s">
        <v>6205</v>
      </c>
      <c r="H6426" s="64" t="s">
        <v>1875</v>
      </c>
      <c r="I6426" s="64" t="s">
        <v>3354</v>
      </c>
      <c r="J6426" s="67">
        <v>0</v>
      </c>
      <c r="K6426" s="62">
        <v>60000</v>
      </c>
      <c r="L6426" s="33" t="e">
        <f>HLOOKUP(B6426,#REF!,1,0)</f>
        <v>#REF!</v>
      </c>
      <c r="M6426" s="33" t="str">
        <f t="shared" si="403"/>
        <v>P&amp;L</v>
      </c>
    </row>
    <row r="6427" spans="1:13" s="33" customFormat="true" ht="12.75" customHeight="true">
      <c r="A6427" s="33" t="str">
        <f t="shared" si="400"/>
        <v>NET - CGS</v>
      </c>
      <c r="B6427" s="33" t="str">
        <f t="shared" si="401"/>
        <v>NET</v>
      </c>
      <c r="C6427" s="33" t="str">
        <f t="shared" si="402"/>
        <v>60001-0000</v>
      </c>
      <c r="D6427" s="64" t="s">
        <v>7545</v>
      </c>
      <c r="E6427" s="64" t="s">
        <v>4192</v>
      </c>
      <c r="F6427" s="64" t="s">
        <v>230</v>
      </c>
      <c r="G6427" s="64" t="s">
        <v>3838</v>
      </c>
      <c r="H6427" s="64" t="s">
        <v>1875</v>
      </c>
      <c r="I6427" s="64" t="s">
        <v>4193</v>
      </c>
      <c r="J6427" s="67">
        <v>0</v>
      </c>
      <c r="K6427" s="62">
        <v>7468.3</v>
      </c>
      <c r="L6427" s="33" t="e">
        <f>HLOOKUP(B6427,#REF!,1,0)</f>
        <v>#REF!</v>
      </c>
      <c r="M6427" s="33" t="str">
        <f t="shared" si="403"/>
        <v>P&amp;L</v>
      </c>
    </row>
    <row r="6428" spans="1:13" s="33" customFormat="true" ht="12.75" customHeight="true">
      <c r="A6428" s="33" t="str">
        <f t="shared" si="400"/>
        <v>NET - CGS</v>
      </c>
      <c r="B6428" s="33" t="str">
        <f t="shared" si="401"/>
        <v>NET</v>
      </c>
      <c r="C6428" s="33" t="str">
        <f t="shared" si="402"/>
        <v>60002-0000</v>
      </c>
      <c r="D6428" s="64" t="s">
        <v>7546</v>
      </c>
      <c r="E6428" s="64" t="s">
        <v>3837</v>
      </c>
      <c r="F6428" s="64" t="s">
        <v>230</v>
      </c>
      <c r="G6428" s="64" t="s">
        <v>3838</v>
      </c>
      <c r="H6428" s="64" t="s">
        <v>1875</v>
      </c>
      <c r="I6428" s="64" t="s">
        <v>3839</v>
      </c>
      <c r="J6428" s="67">
        <v>86.55</v>
      </c>
      <c r="K6428" s="62">
        <v>886.11</v>
      </c>
      <c r="L6428" s="33" t="e">
        <f>HLOOKUP(B6428,#REF!,1,0)</f>
        <v>#REF!</v>
      </c>
      <c r="M6428" s="33" t="str">
        <f t="shared" si="403"/>
        <v>P&amp;L</v>
      </c>
    </row>
    <row r="6429" spans="1:13" s="33" customFormat="true" ht="12.75" customHeight="true">
      <c r="A6429" s="33" t="str">
        <f t="shared" si="400"/>
        <v>NET - CGS</v>
      </c>
      <c r="B6429" s="33" t="str">
        <f t="shared" si="401"/>
        <v>NET</v>
      </c>
      <c r="C6429" s="33" t="str">
        <f t="shared" si="402"/>
        <v>60005-0000</v>
      </c>
      <c r="D6429" s="64" t="s">
        <v>7547</v>
      </c>
      <c r="E6429" s="64" t="s">
        <v>3841</v>
      </c>
      <c r="F6429" s="64" t="s">
        <v>230</v>
      </c>
      <c r="G6429" s="64" t="s">
        <v>3838</v>
      </c>
      <c r="H6429" s="64" t="s">
        <v>1875</v>
      </c>
      <c r="I6429" s="64" t="s">
        <v>3842</v>
      </c>
      <c r="J6429" s="67">
        <v>0</v>
      </c>
      <c r="K6429" s="62">
        <v>74361.64</v>
      </c>
      <c r="L6429" s="33" t="e">
        <f>HLOOKUP(B6429,#REF!,1,0)</f>
        <v>#REF!</v>
      </c>
      <c r="M6429" s="33" t="str">
        <f t="shared" si="403"/>
        <v>P&amp;L</v>
      </c>
    </row>
    <row r="6430" spans="1:13" s="33" customFormat="true" ht="12.75" customHeight="true">
      <c r="A6430" s="33" t="str">
        <f t="shared" si="400"/>
        <v>NET - Interest Expense</v>
      </c>
      <c r="B6430" s="33" t="str">
        <f t="shared" si="401"/>
        <v>NET</v>
      </c>
      <c r="C6430" s="33" t="str">
        <f t="shared" si="402"/>
        <v>60006-0000</v>
      </c>
      <c r="D6430" s="64" t="s">
        <v>7548</v>
      </c>
      <c r="E6430" s="64" t="s">
        <v>3325</v>
      </c>
      <c r="F6430" s="64" t="s">
        <v>230</v>
      </c>
      <c r="G6430" s="64" t="s">
        <v>3844</v>
      </c>
      <c r="H6430" s="64" t="s">
        <v>3327</v>
      </c>
      <c r="I6430" s="64" t="s">
        <v>3328</v>
      </c>
      <c r="J6430" s="67">
        <v>24700.17</v>
      </c>
      <c r="K6430" s="62">
        <v>249121.78</v>
      </c>
      <c r="L6430" s="33" t="e">
        <f>HLOOKUP(B6430,#REF!,1,0)</f>
        <v>#REF!</v>
      </c>
      <c r="M6430" s="33" t="str">
        <f t="shared" si="403"/>
        <v>P&amp;L</v>
      </c>
    </row>
    <row r="6431" spans="1:13" s="33" customFormat="true" ht="12.75" customHeight="true">
      <c r="A6431" s="33" t="str">
        <f t="shared" si="400"/>
        <v>NET - CGS</v>
      </c>
      <c r="B6431" s="33" t="str">
        <f t="shared" si="401"/>
        <v>NET</v>
      </c>
      <c r="C6431" s="33" t="str">
        <f t="shared" si="402"/>
        <v>60007-0000</v>
      </c>
      <c r="D6431" s="64" t="s">
        <v>7549</v>
      </c>
      <c r="E6431" s="64" t="s">
        <v>3846</v>
      </c>
      <c r="F6431" s="64" t="s">
        <v>230</v>
      </c>
      <c r="G6431" s="64" t="s">
        <v>3838</v>
      </c>
      <c r="H6431" s="64" t="s">
        <v>1875</v>
      </c>
      <c r="I6431" s="64" t="s">
        <v>3847</v>
      </c>
      <c r="J6431" s="67">
        <v>0</v>
      </c>
      <c r="K6431" s="62">
        <v>801</v>
      </c>
      <c r="L6431" s="33" t="e">
        <f>HLOOKUP(B6431,#REF!,1,0)</f>
        <v>#REF!</v>
      </c>
      <c r="M6431" s="33" t="str">
        <f t="shared" si="403"/>
        <v>P&amp;L</v>
      </c>
    </row>
    <row r="6432" spans="1:13" s="33" customFormat="true" ht="12.75" customHeight="true">
      <c r="A6432" s="33" t="str">
        <f t="shared" si="400"/>
        <v>NET - CGS</v>
      </c>
      <c r="B6432" s="33" t="str">
        <f t="shared" si="401"/>
        <v>NET</v>
      </c>
      <c r="C6432" s="33" t="str">
        <f t="shared" si="402"/>
        <v>60008-0000</v>
      </c>
      <c r="D6432" s="64" t="s">
        <v>7550</v>
      </c>
      <c r="E6432" s="64" t="s">
        <v>3849</v>
      </c>
      <c r="F6432" s="64" t="s">
        <v>230</v>
      </c>
      <c r="G6432" s="64" t="s">
        <v>3838</v>
      </c>
      <c r="H6432" s="64" t="s">
        <v>1875</v>
      </c>
      <c r="I6432" s="64" t="s">
        <v>3850</v>
      </c>
      <c r="J6432" s="67">
        <v>7039.5</v>
      </c>
      <c r="K6432" s="62">
        <v>18829.03</v>
      </c>
      <c r="L6432" s="33" t="e">
        <f>HLOOKUP(B6432,#REF!,1,0)</f>
        <v>#REF!</v>
      </c>
      <c r="M6432" s="33" t="str">
        <f t="shared" si="403"/>
        <v>P&amp;L</v>
      </c>
    </row>
    <row r="6433" spans="1:13" s="33" customFormat="true" ht="12.75" customHeight="true">
      <c r="A6433" s="33" t="str">
        <f t="shared" si="400"/>
        <v>NET - CGS</v>
      </c>
      <c r="B6433" s="33" t="str">
        <f t="shared" si="401"/>
        <v>NET</v>
      </c>
      <c r="C6433" s="33" t="str">
        <f t="shared" si="402"/>
        <v>60011-0000</v>
      </c>
      <c r="D6433" s="64" t="s">
        <v>7551</v>
      </c>
      <c r="E6433" s="64" t="s">
        <v>4199</v>
      </c>
      <c r="F6433" s="64" t="s">
        <v>230</v>
      </c>
      <c r="G6433" s="64" t="s">
        <v>3838</v>
      </c>
      <c r="H6433" s="64" t="s">
        <v>1875</v>
      </c>
      <c r="I6433" s="64" t="s">
        <v>4200</v>
      </c>
      <c r="J6433" s="67">
        <v>0</v>
      </c>
      <c r="K6433" s="62">
        <v>4910.43</v>
      </c>
      <c r="L6433" s="33" t="e">
        <f>HLOOKUP(B6433,#REF!,1,0)</f>
        <v>#REF!</v>
      </c>
      <c r="M6433" s="33" t="str">
        <f t="shared" si="403"/>
        <v>P&amp;L</v>
      </c>
    </row>
    <row r="6434" spans="1:13" s="33" customFormat="true" ht="12.75" customHeight="true">
      <c r="A6434" s="33" t="str">
        <f t="shared" si="400"/>
        <v>NET - CGS</v>
      </c>
      <c r="B6434" s="33" t="str">
        <f t="shared" si="401"/>
        <v>NET</v>
      </c>
      <c r="C6434" s="33" t="str">
        <f t="shared" si="402"/>
        <v>60012-0000</v>
      </c>
      <c r="D6434" s="64" t="s">
        <v>7552</v>
      </c>
      <c r="E6434" s="64" t="s">
        <v>3852</v>
      </c>
      <c r="F6434" s="64" t="s">
        <v>230</v>
      </c>
      <c r="G6434" s="64" t="s">
        <v>3838</v>
      </c>
      <c r="H6434" s="64" t="s">
        <v>1875</v>
      </c>
      <c r="I6434" s="64" t="s">
        <v>3853</v>
      </c>
      <c r="J6434" s="67">
        <v>0</v>
      </c>
      <c r="K6434" s="62">
        <v>91314.58</v>
      </c>
      <c r="L6434" s="33" t="e">
        <f>HLOOKUP(B6434,#REF!,1,0)</f>
        <v>#REF!</v>
      </c>
      <c r="M6434" s="33" t="str">
        <f t="shared" si="403"/>
        <v>P&amp;L</v>
      </c>
    </row>
    <row r="6435" spans="1:13" s="33" customFormat="true" ht="12.75" customHeight="true">
      <c r="A6435" s="33" t="str">
        <f t="shared" si="400"/>
        <v>NET - CGS</v>
      </c>
      <c r="B6435" s="33" t="str">
        <f t="shared" si="401"/>
        <v>NET</v>
      </c>
      <c r="C6435" s="33" t="str">
        <f t="shared" si="402"/>
        <v>60014-0000</v>
      </c>
      <c r="D6435" s="64" t="s">
        <v>7553</v>
      </c>
      <c r="E6435" s="64" t="s">
        <v>3855</v>
      </c>
      <c r="F6435" s="64" t="s">
        <v>230</v>
      </c>
      <c r="G6435" s="64" t="s">
        <v>3838</v>
      </c>
      <c r="H6435" s="64" t="s">
        <v>1875</v>
      </c>
      <c r="I6435" s="64" t="s">
        <v>3856</v>
      </c>
      <c r="J6435" s="67">
        <v>4860.77</v>
      </c>
      <c r="K6435" s="62">
        <v>59823.17</v>
      </c>
      <c r="L6435" s="33" t="e">
        <f>HLOOKUP(B6435,#REF!,1,0)</f>
        <v>#REF!</v>
      </c>
      <c r="M6435" s="33" t="str">
        <f t="shared" si="403"/>
        <v>P&amp;L</v>
      </c>
    </row>
    <row r="6436" spans="1:13" s="33" customFormat="true" ht="12.75" customHeight="true">
      <c r="A6436" s="33" t="str">
        <f t="shared" si="400"/>
        <v>NET - CGS</v>
      </c>
      <c r="B6436" s="33" t="str">
        <f t="shared" si="401"/>
        <v>NET</v>
      </c>
      <c r="C6436" s="33" t="str">
        <f t="shared" si="402"/>
        <v>60015-0000</v>
      </c>
      <c r="D6436" s="64" t="s">
        <v>7554</v>
      </c>
      <c r="E6436" s="64" t="s">
        <v>3858</v>
      </c>
      <c r="F6436" s="64" t="s">
        <v>230</v>
      </c>
      <c r="G6436" s="64" t="s">
        <v>3838</v>
      </c>
      <c r="H6436" s="64" t="s">
        <v>1875</v>
      </c>
      <c r="I6436" s="64" t="s">
        <v>3859</v>
      </c>
      <c r="J6436" s="67">
        <v>0</v>
      </c>
      <c r="K6436" s="62">
        <v>244.59</v>
      </c>
      <c r="L6436" s="33" t="e">
        <f>HLOOKUP(B6436,#REF!,1,0)</f>
        <v>#REF!</v>
      </c>
      <c r="M6436" s="33" t="str">
        <f t="shared" si="403"/>
        <v>P&amp;L</v>
      </c>
    </row>
    <row r="6437" spans="1:13" s="33" customFormat="true" ht="12.75" customHeight="true">
      <c r="A6437" s="33" t="str">
        <f t="shared" si="400"/>
        <v>NET - CGS</v>
      </c>
      <c r="B6437" s="33" t="str">
        <f t="shared" si="401"/>
        <v>NET</v>
      </c>
      <c r="C6437" s="33" t="str">
        <f t="shared" si="402"/>
        <v>61018-0000</v>
      </c>
      <c r="D6437" s="64" t="s">
        <v>7555</v>
      </c>
      <c r="E6437" s="64" t="s">
        <v>3864</v>
      </c>
      <c r="F6437" s="64" t="s">
        <v>230</v>
      </c>
      <c r="G6437" s="64" t="s">
        <v>3838</v>
      </c>
      <c r="H6437" s="64" t="s">
        <v>1875</v>
      </c>
      <c r="I6437" s="64" t="s">
        <v>3866</v>
      </c>
      <c r="J6437" s="67">
        <v>0</v>
      </c>
      <c r="K6437" s="62">
        <v>-3092.23</v>
      </c>
      <c r="L6437" s="33" t="e">
        <f>HLOOKUP(B6437,#REF!,1,0)</f>
        <v>#REF!</v>
      </c>
      <c r="M6437" s="33" t="str">
        <f t="shared" si="403"/>
        <v>P&amp;L</v>
      </c>
    </row>
    <row r="6438" spans="1:13" s="33" customFormat="true" ht="12.75" customHeight="true">
      <c r="A6438" s="33" t="str">
        <f t="shared" si="400"/>
        <v>NET - Income Tax</v>
      </c>
      <c r="B6438" s="33" t="str">
        <f t="shared" si="401"/>
        <v>NET</v>
      </c>
      <c r="C6438" s="33" t="str">
        <f t="shared" si="402"/>
        <v>61019-0000</v>
      </c>
      <c r="D6438" s="64" t="s">
        <v>7556</v>
      </c>
      <c r="E6438" s="64" t="s">
        <v>4041</v>
      </c>
      <c r="F6438" s="64" t="s">
        <v>230</v>
      </c>
      <c r="G6438" s="64" t="s">
        <v>3844</v>
      </c>
      <c r="H6438" s="64" t="s">
        <v>3378</v>
      </c>
      <c r="I6438" s="64" t="s">
        <v>4042</v>
      </c>
      <c r="J6438" s="67">
        <v>0</v>
      </c>
      <c r="K6438" s="62">
        <v>12140</v>
      </c>
      <c r="L6438" s="33" t="e">
        <f>HLOOKUP(B6438,#REF!,1,0)</f>
        <v>#REF!</v>
      </c>
      <c r="M6438" s="33" t="str">
        <f t="shared" si="403"/>
        <v>P&amp;L</v>
      </c>
    </row>
    <row r="6439" spans="1:13" s="33" customFormat="true" ht="12.75" customHeight="true">
      <c r="A6439" s="33" t="str">
        <f t="shared" si="400"/>
        <v>NET - Legal Settlement</v>
      </c>
      <c r="B6439" s="33" t="str">
        <f t="shared" si="401"/>
        <v>NET</v>
      </c>
      <c r="C6439" s="33" t="str">
        <f t="shared" si="402"/>
        <v>70400-0000</v>
      </c>
      <c r="D6439" s="64" t="s">
        <v>7557</v>
      </c>
      <c r="E6439" s="64" t="s">
        <v>5158</v>
      </c>
      <c r="F6439" s="64" t="s">
        <v>230</v>
      </c>
      <c r="G6439" s="64" t="s">
        <v>3844</v>
      </c>
      <c r="H6439" s="64" t="s">
        <v>5159</v>
      </c>
      <c r="I6439" s="64" t="s">
        <v>7158</v>
      </c>
      <c r="J6439" s="67">
        <v>2000</v>
      </c>
      <c r="K6439" s="62">
        <v>6350</v>
      </c>
      <c r="L6439" s="33" t="e">
        <f>HLOOKUP(B6439,#REF!,1,0)</f>
        <v>#REF!</v>
      </c>
      <c r="M6439" s="33" t="str">
        <f t="shared" si="403"/>
        <v>P&amp;L</v>
      </c>
    </row>
    <row r="6440" spans="1:13" s="33" customFormat="true" ht="12.75" customHeight="true">
      <c r="A6440" s="33" t="str">
        <f t="shared" si="400"/>
        <v>NEW - Fixed Assets</v>
      </c>
      <c r="B6440" s="33" t="str">
        <f t="shared" si="401"/>
        <v>NEW</v>
      </c>
      <c r="C6440" s="33" t="str">
        <f t="shared" si="402"/>
        <v>15501-0000</v>
      </c>
      <c r="D6440" s="64" t="s">
        <v>7558</v>
      </c>
      <c r="E6440" s="64" t="s">
        <v>2635</v>
      </c>
      <c r="F6440" s="64" t="s">
        <v>230</v>
      </c>
      <c r="G6440" s="64" t="s">
        <v>62</v>
      </c>
      <c r="H6440" s="64" t="s">
        <v>63</v>
      </c>
      <c r="I6440" s="64" t="s">
        <v>64</v>
      </c>
      <c r="J6440" s="67">
        <v>957.46</v>
      </c>
      <c r="K6440" s="62">
        <v>3757.7</v>
      </c>
      <c r="L6440" s="33" t="e">
        <f>HLOOKUP(B6440,#REF!,1,0)</f>
        <v>#REF!</v>
      </c>
      <c r="M6440" s="33" t="str">
        <f t="shared" si="403"/>
        <v>BS</v>
      </c>
    </row>
    <row r="6441" spans="1:13" s="33" customFormat="true" ht="12.75" customHeight="true">
      <c r="A6441" s="33" t="str">
        <f t="shared" si="400"/>
        <v>NEW - AR-PPD</v>
      </c>
      <c r="B6441" s="33" t="str">
        <f t="shared" si="401"/>
        <v>NEW</v>
      </c>
      <c r="C6441" s="33" t="str">
        <f t="shared" si="402"/>
        <v>25300-0000</v>
      </c>
      <c r="D6441" s="64" t="s">
        <v>7559</v>
      </c>
      <c r="E6441" s="64" t="s">
        <v>3677</v>
      </c>
      <c r="F6441" s="64" t="s">
        <v>230</v>
      </c>
      <c r="G6441" s="64" t="s">
        <v>3678</v>
      </c>
      <c r="H6441" s="64" t="s">
        <v>35</v>
      </c>
      <c r="I6441" s="64" t="s">
        <v>102</v>
      </c>
      <c r="J6441" s="67">
        <v>-1716.39</v>
      </c>
      <c r="K6441" s="62">
        <v>-5973.99</v>
      </c>
      <c r="L6441" s="33" t="e">
        <f>HLOOKUP(B6441,#REF!,1,0)</f>
        <v>#REF!</v>
      </c>
      <c r="M6441" s="33" t="str">
        <f t="shared" si="403"/>
        <v>BS</v>
      </c>
    </row>
    <row r="6442" spans="1:13" s="33" customFormat="true" ht="12.75" customHeight="true">
      <c r="A6442" s="33" t="str">
        <f t="shared" si="400"/>
        <v>NEW - Revenue</v>
      </c>
      <c r="B6442" s="33" t="str">
        <f t="shared" si="401"/>
        <v>NEW</v>
      </c>
      <c r="C6442" s="33" t="str">
        <f t="shared" si="402"/>
        <v>40110-0001</v>
      </c>
      <c r="D6442" s="64" t="s">
        <v>7560</v>
      </c>
      <c r="E6442" s="64" t="s">
        <v>7561</v>
      </c>
      <c r="F6442" s="64" t="s">
        <v>230</v>
      </c>
      <c r="G6442" s="64" t="s">
        <v>3684</v>
      </c>
      <c r="H6442" s="64" t="s">
        <v>2871</v>
      </c>
      <c r="I6442" s="64" t="s">
        <v>3685</v>
      </c>
      <c r="J6442" s="67">
        <v>-95033.59</v>
      </c>
      <c r="K6442" s="62">
        <v>-950335.9</v>
      </c>
      <c r="L6442" s="33" t="e">
        <f>HLOOKUP(B6442,#REF!,1,0)</f>
        <v>#REF!</v>
      </c>
      <c r="M6442" s="33" t="str">
        <f t="shared" si="403"/>
        <v>P&amp;L</v>
      </c>
    </row>
    <row r="6443" spans="1:13" s="33" customFormat="true" ht="12.75" customHeight="true">
      <c r="A6443" s="33" t="str">
        <f t="shared" si="400"/>
        <v>NEW - Revenue</v>
      </c>
      <c r="B6443" s="33" t="str">
        <f t="shared" si="401"/>
        <v>NEW</v>
      </c>
      <c r="C6443" s="33" t="str">
        <f t="shared" si="402"/>
        <v>40120-0001</v>
      </c>
      <c r="D6443" s="64" t="s">
        <v>7562</v>
      </c>
      <c r="E6443" s="64" t="s">
        <v>7563</v>
      </c>
      <c r="F6443" s="64" t="s">
        <v>230</v>
      </c>
      <c r="G6443" s="64" t="s">
        <v>3684</v>
      </c>
      <c r="H6443" s="64" t="s">
        <v>2871</v>
      </c>
      <c r="I6443" s="64" t="s">
        <v>3688</v>
      </c>
      <c r="J6443" s="67">
        <v>-1920</v>
      </c>
      <c r="K6443" s="62">
        <v>-13717</v>
      </c>
      <c r="L6443" s="33" t="e">
        <f>HLOOKUP(B6443,#REF!,1,0)</f>
        <v>#REF!</v>
      </c>
      <c r="M6443" s="33" t="str">
        <f t="shared" si="403"/>
        <v>P&amp;L</v>
      </c>
    </row>
    <row r="6444" spans="1:13" s="33" customFormat="true" ht="12.75" customHeight="true">
      <c r="A6444" s="33" t="str">
        <f t="shared" si="400"/>
        <v>NEW - Revenue</v>
      </c>
      <c r="B6444" s="33" t="str">
        <f t="shared" si="401"/>
        <v>NEW</v>
      </c>
      <c r="C6444" s="33" t="str">
        <f t="shared" si="402"/>
        <v>40130-0001</v>
      </c>
      <c r="D6444" s="64" t="s">
        <v>7564</v>
      </c>
      <c r="E6444" s="64" t="s">
        <v>7565</v>
      </c>
      <c r="F6444" s="64" t="s">
        <v>230</v>
      </c>
      <c r="G6444" s="64" t="s">
        <v>3684</v>
      </c>
      <c r="H6444" s="64" t="s">
        <v>2871</v>
      </c>
      <c r="I6444" s="64" t="s">
        <v>3691</v>
      </c>
      <c r="J6444" s="67">
        <v>-975</v>
      </c>
      <c r="K6444" s="62">
        <v>-975</v>
      </c>
      <c r="L6444" s="33" t="e">
        <f>HLOOKUP(B6444,#REF!,1,0)</f>
        <v>#REF!</v>
      </c>
      <c r="M6444" s="33" t="str">
        <f t="shared" si="403"/>
        <v>P&amp;L</v>
      </c>
    </row>
    <row r="6445" spans="1:13" s="33" customFormat="true" ht="12.75" customHeight="true">
      <c r="A6445" s="33" t="str">
        <f t="shared" si="400"/>
        <v>NEW - Revenue</v>
      </c>
      <c r="B6445" s="33" t="str">
        <f t="shared" si="401"/>
        <v>NEW</v>
      </c>
      <c r="C6445" s="33" t="str">
        <f t="shared" si="402"/>
        <v>40140-0001</v>
      </c>
      <c r="D6445" s="64" t="s">
        <v>7566</v>
      </c>
      <c r="E6445" s="64" t="s">
        <v>7567</v>
      </c>
      <c r="F6445" s="64" t="s">
        <v>230</v>
      </c>
      <c r="G6445" s="64" t="s">
        <v>3684</v>
      </c>
      <c r="H6445" s="64" t="s">
        <v>2871</v>
      </c>
      <c r="I6445" s="64" t="s">
        <v>3949</v>
      </c>
      <c r="J6445" s="67">
        <v>0</v>
      </c>
      <c r="K6445" s="62">
        <v>0</v>
      </c>
      <c r="L6445" s="33" t="e">
        <f>HLOOKUP(B6445,#REF!,1,0)</f>
        <v>#REF!</v>
      </c>
      <c r="M6445" s="33" t="str">
        <f t="shared" si="403"/>
        <v>P&amp;L</v>
      </c>
    </row>
    <row r="6446" spans="1:13" s="33" customFormat="true" ht="12.75" customHeight="true">
      <c r="A6446" s="33" t="str">
        <f t="shared" si="400"/>
        <v>NEW - Revenue</v>
      </c>
      <c r="B6446" s="33" t="str">
        <f t="shared" si="401"/>
        <v>NEW</v>
      </c>
      <c r="C6446" s="33" t="str">
        <f t="shared" si="402"/>
        <v>41110-0001</v>
      </c>
      <c r="D6446" s="64" t="s">
        <v>7568</v>
      </c>
      <c r="E6446" s="64" t="s">
        <v>7569</v>
      </c>
      <c r="F6446" s="64" t="s">
        <v>230</v>
      </c>
      <c r="G6446" s="64" t="s">
        <v>3694</v>
      </c>
      <c r="H6446" s="64" t="s">
        <v>2871</v>
      </c>
      <c r="I6446" s="64" t="s">
        <v>3695</v>
      </c>
      <c r="J6446" s="67">
        <v>0</v>
      </c>
      <c r="K6446" s="62">
        <v>15800.88</v>
      </c>
      <c r="L6446" s="33" t="e">
        <f>HLOOKUP(B6446,#REF!,1,0)</f>
        <v>#REF!</v>
      </c>
      <c r="M6446" s="33" t="str">
        <f t="shared" si="403"/>
        <v>P&amp;L</v>
      </c>
    </row>
    <row r="6447" spans="1:13" s="33" customFormat="true" ht="12.75" customHeight="true">
      <c r="A6447" s="33" t="str">
        <f t="shared" si="400"/>
        <v>NEW - Revenue</v>
      </c>
      <c r="B6447" s="33" t="str">
        <f t="shared" si="401"/>
        <v>NEW</v>
      </c>
      <c r="C6447" s="33" t="str">
        <f t="shared" si="402"/>
        <v>41121-0000</v>
      </c>
      <c r="D6447" s="64" t="s">
        <v>7570</v>
      </c>
      <c r="E6447" s="64" t="s">
        <v>3697</v>
      </c>
      <c r="F6447" s="64" t="s">
        <v>230</v>
      </c>
      <c r="G6447" s="64" t="s">
        <v>3694</v>
      </c>
      <c r="H6447" s="64" t="s">
        <v>2871</v>
      </c>
      <c r="I6447" s="64" t="s">
        <v>3698</v>
      </c>
      <c r="J6447" s="67">
        <v>0</v>
      </c>
      <c r="K6447" s="62">
        <v>-9119.21</v>
      </c>
      <c r="L6447" s="33" t="e">
        <f>HLOOKUP(B6447,#REF!,1,0)</f>
        <v>#REF!</v>
      </c>
      <c r="M6447" s="33" t="str">
        <f t="shared" si="403"/>
        <v>P&amp;L</v>
      </c>
    </row>
    <row r="6448" spans="1:13" s="33" customFormat="true" ht="12.75" customHeight="true">
      <c r="A6448" s="33" t="str">
        <f t="shared" si="400"/>
        <v>NEW - Revenue</v>
      </c>
      <c r="B6448" s="33" t="str">
        <f t="shared" si="401"/>
        <v>NEW</v>
      </c>
      <c r="C6448" s="33" t="str">
        <f t="shared" si="402"/>
        <v>41121-0001</v>
      </c>
      <c r="D6448" s="64" t="s">
        <v>7571</v>
      </c>
      <c r="E6448" s="64" t="s">
        <v>3697</v>
      </c>
      <c r="F6448" s="64" t="s">
        <v>230</v>
      </c>
      <c r="G6448" s="64" t="s">
        <v>3694</v>
      </c>
      <c r="H6448" s="64" t="s">
        <v>2871</v>
      </c>
      <c r="I6448" s="64" t="s">
        <v>3698</v>
      </c>
      <c r="J6448" s="67">
        <v>22600.03</v>
      </c>
      <c r="K6448" s="62">
        <v>194435.23</v>
      </c>
      <c r="L6448" s="33" t="e">
        <f>HLOOKUP(B6448,#REF!,1,0)</f>
        <v>#REF!</v>
      </c>
      <c r="M6448" s="33" t="str">
        <f t="shared" si="403"/>
        <v>P&amp;L</v>
      </c>
    </row>
    <row r="6449" spans="1:13" s="33" customFormat="true" ht="12.75" customHeight="true">
      <c r="A6449" s="33" t="str">
        <f t="shared" si="400"/>
        <v>NEW - Revenue</v>
      </c>
      <c r="B6449" s="33" t="str">
        <f t="shared" si="401"/>
        <v>NEW</v>
      </c>
      <c r="C6449" s="33" t="str">
        <f t="shared" si="402"/>
        <v>41122-0000</v>
      </c>
      <c r="D6449" s="64" t="s">
        <v>7572</v>
      </c>
      <c r="E6449" s="64" t="s">
        <v>3700</v>
      </c>
      <c r="F6449" s="64" t="s">
        <v>230</v>
      </c>
      <c r="G6449" s="64" t="s">
        <v>3694</v>
      </c>
      <c r="H6449" s="64" t="s">
        <v>2871</v>
      </c>
      <c r="I6449" s="64" t="s">
        <v>3701</v>
      </c>
      <c r="J6449" s="67">
        <v>-2536</v>
      </c>
      <c r="K6449" s="62">
        <v>-2536</v>
      </c>
      <c r="L6449" s="33" t="e">
        <f>HLOOKUP(B6449,#REF!,1,0)</f>
        <v>#REF!</v>
      </c>
      <c r="M6449" s="33" t="str">
        <f t="shared" si="403"/>
        <v>P&amp;L</v>
      </c>
    </row>
    <row r="6450" spans="1:13" s="33" customFormat="true" ht="12.75" customHeight="true">
      <c r="A6450" s="33" t="str">
        <f t="shared" si="400"/>
        <v>NEW - Revenue</v>
      </c>
      <c r="B6450" s="33" t="str">
        <f t="shared" si="401"/>
        <v>NEW</v>
      </c>
      <c r="C6450" s="33" t="str">
        <f t="shared" si="402"/>
        <v>41122-0001</v>
      </c>
      <c r="D6450" s="64" t="s">
        <v>7573</v>
      </c>
      <c r="E6450" s="64" t="s">
        <v>7574</v>
      </c>
      <c r="F6450" s="64" t="s">
        <v>230</v>
      </c>
      <c r="G6450" s="64" t="s">
        <v>3694</v>
      </c>
      <c r="H6450" s="64" t="s">
        <v>2871</v>
      </c>
      <c r="I6450" s="64" t="s">
        <v>3701</v>
      </c>
      <c r="J6450" s="67">
        <v>-3968.79</v>
      </c>
      <c r="K6450" s="62">
        <v>-82770.47</v>
      </c>
      <c r="L6450" s="33" t="e">
        <f>HLOOKUP(B6450,#REF!,1,0)</f>
        <v>#REF!</v>
      </c>
      <c r="M6450" s="33" t="str">
        <f t="shared" si="403"/>
        <v>P&amp;L</v>
      </c>
    </row>
    <row r="6451" spans="1:13" s="33" customFormat="true" ht="12.75" customHeight="true">
      <c r="A6451" s="33" t="str">
        <f t="shared" si="400"/>
        <v>NEW - Revenue</v>
      </c>
      <c r="B6451" s="33" t="str">
        <f t="shared" si="401"/>
        <v>NEW</v>
      </c>
      <c r="C6451" s="33" t="str">
        <f t="shared" si="402"/>
        <v>41130-0001</v>
      </c>
      <c r="D6451" s="64" t="s">
        <v>7575</v>
      </c>
      <c r="E6451" s="64" t="s">
        <v>7576</v>
      </c>
      <c r="F6451" s="64" t="s">
        <v>230</v>
      </c>
      <c r="G6451" s="64" t="s">
        <v>3694</v>
      </c>
      <c r="H6451" s="64" t="s">
        <v>2871</v>
      </c>
      <c r="I6451" s="64" t="s">
        <v>3704</v>
      </c>
      <c r="J6451" s="67">
        <v>-168</v>
      </c>
      <c r="K6451" s="62">
        <v>3808</v>
      </c>
      <c r="L6451" s="33" t="e">
        <f>HLOOKUP(B6451,#REF!,1,0)</f>
        <v>#REF!</v>
      </c>
      <c r="M6451" s="33" t="str">
        <f t="shared" si="403"/>
        <v>P&amp;L</v>
      </c>
    </row>
    <row r="6452" spans="1:13" s="33" customFormat="true" ht="12.75" customHeight="true">
      <c r="A6452" s="33" t="str">
        <f t="shared" si="400"/>
        <v>NEW - Revenue</v>
      </c>
      <c r="B6452" s="33" t="str">
        <f t="shared" si="401"/>
        <v>NEW</v>
      </c>
      <c r="C6452" s="33" t="str">
        <f t="shared" si="402"/>
        <v>41140-0001</v>
      </c>
      <c r="D6452" s="64" t="s">
        <v>7577</v>
      </c>
      <c r="E6452" s="64" t="s">
        <v>7578</v>
      </c>
      <c r="F6452" s="64" t="s">
        <v>230</v>
      </c>
      <c r="G6452" s="64" t="s">
        <v>3694</v>
      </c>
      <c r="H6452" s="64" t="s">
        <v>2871</v>
      </c>
      <c r="I6452" s="64" t="s">
        <v>3707</v>
      </c>
      <c r="J6452" s="67">
        <v>2874.64</v>
      </c>
      <c r="K6452" s="62">
        <v>18948.56</v>
      </c>
      <c r="L6452" s="33" t="e">
        <f>HLOOKUP(B6452,#REF!,1,0)</f>
        <v>#REF!</v>
      </c>
      <c r="M6452" s="33" t="str">
        <f t="shared" si="403"/>
        <v>P&amp;L</v>
      </c>
    </row>
    <row r="6453" spans="1:13" s="33" customFormat="true" ht="12.75" customHeight="true">
      <c r="A6453" s="33" t="str">
        <f t="shared" si="400"/>
        <v>NEW - Revenue</v>
      </c>
      <c r="B6453" s="33" t="str">
        <f t="shared" si="401"/>
        <v>NEW</v>
      </c>
      <c r="C6453" s="33" t="str">
        <f t="shared" si="402"/>
        <v>41150-0001</v>
      </c>
      <c r="D6453" s="64" t="s">
        <v>7579</v>
      </c>
      <c r="E6453" s="64" t="s">
        <v>7580</v>
      </c>
      <c r="F6453" s="64" t="s">
        <v>230</v>
      </c>
      <c r="G6453" s="64" t="s">
        <v>3694</v>
      </c>
      <c r="H6453" s="64" t="s">
        <v>2871</v>
      </c>
      <c r="I6453" s="64" t="s">
        <v>3710</v>
      </c>
      <c r="J6453" s="67">
        <v>2011</v>
      </c>
      <c r="K6453" s="62">
        <v>17160.53</v>
      </c>
      <c r="L6453" s="33" t="e">
        <f>HLOOKUP(B6453,#REF!,1,0)</f>
        <v>#REF!</v>
      </c>
      <c r="M6453" s="33" t="str">
        <f t="shared" si="403"/>
        <v>P&amp;L</v>
      </c>
    </row>
    <row r="6454" spans="1:13" s="33" customFormat="true" ht="12.75" customHeight="true">
      <c r="A6454" s="33" t="str">
        <f t="shared" si="400"/>
        <v>NEW - Revenue</v>
      </c>
      <c r="B6454" s="33" t="str">
        <f t="shared" si="401"/>
        <v>NEW</v>
      </c>
      <c r="C6454" s="33" t="str">
        <f t="shared" si="402"/>
        <v>41160-0000</v>
      </c>
      <c r="D6454" s="64" t="s">
        <v>7581</v>
      </c>
      <c r="E6454" s="64" t="s">
        <v>3957</v>
      </c>
      <c r="F6454" s="64" t="s">
        <v>230</v>
      </c>
      <c r="G6454" s="64" t="s">
        <v>3694</v>
      </c>
      <c r="H6454" s="64" t="s">
        <v>2871</v>
      </c>
      <c r="I6454" s="64" t="s">
        <v>3701</v>
      </c>
      <c r="J6454" s="67">
        <v>0</v>
      </c>
      <c r="K6454" s="62">
        <v>-120456.77</v>
      </c>
      <c r="L6454" s="33" t="e">
        <f>HLOOKUP(B6454,#REF!,1,0)</f>
        <v>#REF!</v>
      </c>
      <c r="M6454" s="33" t="str">
        <f t="shared" si="403"/>
        <v>P&amp;L</v>
      </c>
    </row>
    <row r="6455" spans="1:13" s="33" customFormat="true" ht="12.75" customHeight="true">
      <c r="A6455" s="33" t="str">
        <f t="shared" si="400"/>
        <v>NEW - Revenue</v>
      </c>
      <c r="B6455" s="33" t="str">
        <f t="shared" si="401"/>
        <v>NEW</v>
      </c>
      <c r="C6455" s="33" t="str">
        <f t="shared" si="402"/>
        <v>41999-0000</v>
      </c>
      <c r="D6455" s="64" t="s">
        <v>7582</v>
      </c>
      <c r="E6455" s="64" t="s">
        <v>3712</v>
      </c>
      <c r="F6455" s="64" t="s">
        <v>230</v>
      </c>
      <c r="G6455" s="64" t="s">
        <v>3713</v>
      </c>
      <c r="H6455" s="64" t="s">
        <v>2871</v>
      </c>
      <c r="I6455" s="64" t="s">
        <v>3714</v>
      </c>
      <c r="J6455" s="67">
        <v>2536</v>
      </c>
      <c r="K6455" s="62">
        <v>11655.21</v>
      </c>
      <c r="L6455" s="33" t="e">
        <f>HLOOKUP(B6455,#REF!,1,0)</f>
        <v>#REF!</v>
      </c>
      <c r="M6455" s="33" t="str">
        <f t="shared" si="403"/>
        <v>P&amp;L</v>
      </c>
    </row>
    <row r="6456" spans="1:13" s="33" customFormat="true" ht="12.75" customHeight="true">
      <c r="A6456" s="33" t="str">
        <f t="shared" si="400"/>
        <v>NEW - Revenue</v>
      </c>
      <c r="B6456" s="33" t="str">
        <f t="shared" si="401"/>
        <v>NEW</v>
      </c>
      <c r="C6456" s="33" t="str">
        <f t="shared" si="402"/>
        <v>41999-0001</v>
      </c>
      <c r="D6456" s="64" t="s">
        <v>7583</v>
      </c>
      <c r="E6456" s="64" t="s">
        <v>7584</v>
      </c>
      <c r="F6456" s="64" t="s">
        <v>230</v>
      </c>
      <c r="G6456" s="64" t="s">
        <v>3713</v>
      </c>
      <c r="H6456" s="64" t="s">
        <v>2871</v>
      </c>
      <c r="I6456" s="64" t="s">
        <v>3714</v>
      </c>
      <c r="J6456" s="67">
        <v>74579.71</v>
      </c>
      <c r="K6456" s="62">
        <v>918101.94</v>
      </c>
      <c r="L6456" s="33" t="e">
        <f>HLOOKUP(B6456,#REF!,1,0)</f>
        <v>#REF!</v>
      </c>
      <c r="M6456" s="33" t="str">
        <f t="shared" si="403"/>
        <v>P&amp;L</v>
      </c>
    </row>
    <row r="6457" spans="1:13" s="33" customFormat="true" ht="12.75" customHeight="true">
      <c r="A6457" s="33" t="str">
        <f t="shared" si="400"/>
        <v>NEW - Revenue</v>
      </c>
      <c r="B6457" s="33" t="str">
        <f t="shared" si="401"/>
        <v>NEW</v>
      </c>
      <c r="C6457" s="33" t="str">
        <f t="shared" si="402"/>
        <v>47400-0000</v>
      </c>
      <c r="D6457" s="64" t="s">
        <v>7585</v>
      </c>
      <c r="E6457" s="64" t="s">
        <v>3716</v>
      </c>
      <c r="F6457" s="64" t="s">
        <v>230</v>
      </c>
      <c r="G6457" s="64" t="s">
        <v>3717</v>
      </c>
      <c r="H6457" s="64" t="s">
        <v>2871</v>
      </c>
      <c r="I6457" s="64" t="s">
        <v>3718</v>
      </c>
      <c r="J6457" s="67">
        <v>-2536</v>
      </c>
      <c r="K6457" s="62">
        <v>-11655.21</v>
      </c>
      <c r="L6457" s="33" t="e">
        <f>HLOOKUP(B6457,#REF!,1,0)</f>
        <v>#REF!</v>
      </c>
      <c r="M6457" s="33" t="str">
        <f t="shared" si="403"/>
        <v>P&amp;L</v>
      </c>
    </row>
    <row r="6458" spans="1:13" s="33" customFormat="true" ht="12.75" customHeight="true">
      <c r="A6458" s="33" t="str">
        <f t="shared" si="400"/>
        <v>NEW - Revenue</v>
      </c>
      <c r="B6458" s="33" t="str">
        <f t="shared" si="401"/>
        <v>NEW</v>
      </c>
      <c r="C6458" s="33" t="str">
        <f t="shared" si="402"/>
        <v>47400-0001</v>
      </c>
      <c r="D6458" s="64" t="s">
        <v>7586</v>
      </c>
      <c r="E6458" s="64" t="s">
        <v>7587</v>
      </c>
      <c r="F6458" s="64" t="s">
        <v>230</v>
      </c>
      <c r="G6458" s="64" t="s">
        <v>3717</v>
      </c>
      <c r="H6458" s="64" t="s">
        <v>2871</v>
      </c>
      <c r="I6458" s="64" t="s">
        <v>3718</v>
      </c>
      <c r="J6458" s="67">
        <v>-76897.59</v>
      </c>
      <c r="K6458" s="62">
        <v>-905342</v>
      </c>
      <c r="L6458" s="33" t="e">
        <f>HLOOKUP(B6458,#REF!,1,0)</f>
        <v>#REF!</v>
      </c>
      <c r="M6458" s="33" t="str">
        <f t="shared" si="403"/>
        <v>P&amp;L</v>
      </c>
    </row>
    <row r="6459" spans="1:13" s="33" customFormat="true" ht="12.75" customHeight="true">
      <c r="A6459" s="33" t="str">
        <f t="shared" si="400"/>
        <v>NEW - Revenue</v>
      </c>
      <c r="B6459" s="33" t="str">
        <f t="shared" si="401"/>
        <v>NEW</v>
      </c>
      <c r="C6459" s="33" t="str">
        <f t="shared" si="402"/>
        <v>47420-0001</v>
      </c>
      <c r="D6459" s="64" t="s">
        <v>7588</v>
      </c>
      <c r="E6459" s="64" t="s">
        <v>7589</v>
      </c>
      <c r="F6459" s="64" t="s">
        <v>230</v>
      </c>
      <c r="G6459" s="64" t="s">
        <v>3717</v>
      </c>
      <c r="H6459" s="64" t="s">
        <v>2871</v>
      </c>
      <c r="I6459" s="64" t="s">
        <v>4155</v>
      </c>
      <c r="J6459" s="67">
        <v>-301.15</v>
      </c>
      <c r="K6459" s="62">
        <v>-3193.01</v>
      </c>
      <c r="L6459" s="33" t="e">
        <f>HLOOKUP(B6459,#REF!,1,0)</f>
        <v>#REF!</v>
      </c>
      <c r="M6459" s="33" t="str">
        <f t="shared" si="403"/>
        <v>P&amp;L</v>
      </c>
    </row>
    <row r="6460" spans="1:13" s="33" customFormat="true" ht="12.75" customHeight="true">
      <c r="A6460" s="33" t="str">
        <f t="shared" si="400"/>
        <v>NEW - Revenue</v>
      </c>
      <c r="B6460" s="33" t="str">
        <f t="shared" si="401"/>
        <v>NEW</v>
      </c>
      <c r="C6460" s="33" t="str">
        <f t="shared" si="402"/>
        <v>47430-0000</v>
      </c>
      <c r="D6460" s="64" t="s">
        <v>7590</v>
      </c>
      <c r="E6460" s="64" t="s">
        <v>4053</v>
      </c>
      <c r="F6460" s="64" t="s">
        <v>230</v>
      </c>
      <c r="G6460" s="64" t="s">
        <v>3717</v>
      </c>
      <c r="H6460" s="64" t="s">
        <v>2871</v>
      </c>
      <c r="I6460" s="64" t="s">
        <v>4054</v>
      </c>
      <c r="J6460" s="67">
        <v>0</v>
      </c>
      <c r="K6460" s="62">
        <v>-1116.93</v>
      </c>
      <c r="L6460" s="33" t="e">
        <f>HLOOKUP(B6460,#REF!,1,0)</f>
        <v>#REF!</v>
      </c>
      <c r="M6460" s="33" t="str">
        <f t="shared" si="403"/>
        <v>P&amp;L</v>
      </c>
    </row>
    <row r="6461" spans="1:13" s="33" customFormat="true" ht="12.75" customHeight="true">
      <c r="A6461" s="33" t="str">
        <f t="shared" si="400"/>
        <v>NEW - Revenue</v>
      </c>
      <c r="B6461" s="33" t="str">
        <f t="shared" si="401"/>
        <v>NEW</v>
      </c>
      <c r="C6461" s="33" t="str">
        <f t="shared" si="402"/>
        <v>47430-0001</v>
      </c>
      <c r="D6461" s="64" t="s">
        <v>7591</v>
      </c>
      <c r="E6461" s="64" t="s">
        <v>7592</v>
      </c>
      <c r="F6461" s="64" t="s">
        <v>230</v>
      </c>
      <c r="G6461" s="64" t="s">
        <v>3717</v>
      </c>
      <c r="H6461" s="64" t="s">
        <v>2871</v>
      </c>
      <c r="I6461" s="64" t="s">
        <v>4054</v>
      </c>
      <c r="J6461" s="67">
        <v>0</v>
      </c>
      <c r="K6461" s="62">
        <v>-3458.3</v>
      </c>
      <c r="L6461" s="33" t="e">
        <f>HLOOKUP(B6461,#REF!,1,0)</f>
        <v>#REF!</v>
      </c>
      <c r="M6461" s="33" t="str">
        <f t="shared" si="403"/>
        <v>P&amp;L</v>
      </c>
    </row>
    <row r="6462" spans="1:13" s="33" customFormat="true" ht="12.75" customHeight="true">
      <c r="A6462" s="33" t="str">
        <f t="shared" si="400"/>
        <v>NEW - Revenue</v>
      </c>
      <c r="B6462" s="33" t="str">
        <f t="shared" si="401"/>
        <v>NEW</v>
      </c>
      <c r="C6462" s="33" t="str">
        <f t="shared" si="402"/>
        <v>47440-0001</v>
      </c>
      <c r="D6462" s="64" t="s">
        <v>7593</v>
      </c>
      <c r="E6462" s="64" t="s">
        <v>7594</v>
      </c>
      <c r="F6462" s="64" t="s">
        <v>230</v>
      </c>
      <c r="G6462" s="64" t="s">
        <v>3717</v>
      </c>
      <c r="H6462" s="64" t="s">
        <v>2871</v>
      </c>
      <c r="I6462" s="64" t="s">
        <v>3721</v>
      </c>
      <c r="J6462" s="67">
        <v>0</v>
      </c>
      <c r="K6462" s="62">
        <v>0</v>
      </c>
      <c r="L6462" s="33" t="e">
        <f>HLOOKUP(B6462,#REF!,1,0)</f>
        <v>#REF!</v>
      </c>
      <c r="M6462" s="33" t="str">
        <f t="shared" si="403"/>
        <v>P&amp;L</v>
      </c>
    </row>
    <row r="6463" spans="1:13" s="33" customFormat="true" ht="12.75" customHeight="true">
      <c r="A6463" s="33" t="str">
        <f t="shared" si="400"/>
        <v>NEW - Revenue</v>
      </c>
      <c r="B6463" s="33" t="str">
        <f t="shared" si="401"/>
        <v>NEW</v>
      </c>
      <c r="C6463" s="33" t="str">
        <f t="shared" si="402"/>
        <v>47450-0001</v>
      </c>
      <c r="D6463" s="64" t="s">
        <v>7595</v>
      </c>
      <c r="E6463" s="64" t="s">
        <v>7596</v>
      </c>
      <c r="F6463" s="64" t="s">
        <v>230</v>
      </c>
      <c r="G6463" s="64" t="s">
        <v>3717</v>
      </c>
      <c r="H6463" s="64" t="s">
        <v>2871</v>
      </c>
      <c r="I6463" s="64" t="s">
        <v>3724</v>
      </c>
      <c r="J6463" s="67">
        <v>-80</v>
      </c>
      <c r="K6463" s="62">
        <v>-800</v>
      </c>
      <c r="L6463" s="33" t="e">
        <f>HLOOKUP(B6463,#REF!,1,0)</f>
        <v>#REF!</v>
      </c>
      <c r="M6463" s="33" t="str">
        <f t="shared" si="403"/>
        <v>P&amp;L</v>
      </c>
    </row>
    <row r="6464" spans="1:13" s="33" customFormat="true" ht="12.75" customHeight="true">
      <c r="A6464" s="33" t="str">
        <f t="shared" si="400"/>
        <v>NEW - Revenue</v>
      </c>
      <c r="B6464" s="33" t="str">
        <f t="shared" si="401"/>
        <v>NEW</v>
      </c>
      <c r="C6464" s="33" t="str">
        <f t="shared" si="402"/>
        <v>47460-0001</v>
      </c>
      <c r="D6464" s="64" t="s">
        <v>7597</v>
      </c>
      <c r="E6464" s="64" t="s">
        <v>7598</v>
      </c>
      <c r="F6464" s="64" t="s">
        <v>230</v>
      </c>
      <c r="G6464" s="64" t="s">
        <v>3717</v>
      </c>
      <c r="H6464" s="64" t="s">
        <v>2871</v>
      </c>
      <c r="I6464" s="64" t="s">
        <v>3727</v>
      </c>
      <c r="J6464" s="67">
        <v>-25.28</v>
      </c>
      <c r="K6464" s="62">
        <v>-150.28</v>
      </c>
      <c r="L6464" s="33" t="e">
        <f>HLOOKUP(B6464,#REF!,1,0)</f>
        <v>#REF!</v>
      </c>
      <c r="M6464" s="33" t="str">
        <f t="shared" si="403"/>
        <v>P&amp;L</v>
      </c>
    </row>
    <row r="6465" spans="1:13" s="33" customFormat="true" ht="12.75" customHeight="true">
      <c r="A6465" s="33" t="str">
        <f t="shared" si="400"/>
        <v>NEW - Revenue</v>
      </c>
      <c r="B6465" s="33" t="str">
        <f t="shared" si="401"/>
        <v>NEW</v>
      </c>
      <c r="C6465" s="33" t="str">
        <f t="shared" si="402"/>
        <v>47480-0001</v>
      </c>
      <c r="D6465" s="64" t="s">
        <v>7599</v>
      </c>
      <c r="E6465" s="64" t="s">
        <v>7600</v>
      </c>
      <c r="F6465" s="64" t="s">
        <v>230</v>
      </c>
      <c r="G6465" s="64" t="s">
        <v>3717</v>
      </c>
      <c r="H6465" s="64" t="s">
        <v>2871</v>
      </c>
      <c r="I6465" s="64" t="s">
        <v>3721</v>
      </c>
      <c r="J6465" s="67">
        <v>0</v>
      </c>
      <c r="K6465" s="62">
        <v>-840</v>
      </c>
      <c r="L6465" s="33" t="e">
        <f>HLOOKUP(B6465,#REF!,1,0)</f>
        <v>#REF!</v>
      </c>
      <c r="M6465" s="33" t="str">
        <f t="shared" si="403"/>
        <v>P&amp;L</v>
      </c>
    </row>
    <row r="6466" spans="1:13" s="33" customFormat="true" ht="12.75" customHeight="true">
      <c r="A6466" s="33" t="str">
        <f t="shared" ref="A6466:A6529" si="404">B6466&amp;" - "&amp;TRIM(H6466)</f>
        <v>NEW - Revenue</v>
      </c>
      <c r="B6466" s="33" t="str">
        <f t="shared" ref="B6466:B6529" si="405">LEFT(D6466,3)</f>
        <v>NEW</v>
      </c>
      <c r="C6466" s="33" t="str">
        <f t="shared" ref="C6466:C6529" si="406">RIGHT(D6466,10)</f>
        <v>47490-0001</v>
      </c>
      <c r="D6466" s="64" t="s">
        <v>7601</v>
      </c>
      <c r="E6466" s="64" t="s">
        <v>7602</v>
      </c>
      <c r="F6466" s="64" t="s">
        <v>230</v>
      </c>
      <c r="G6466" s="64" t="s">
        <v>3717</v>
      </c>
      <c r="H6466" s="64" t="s">
        <v>2871</v>
      </c>
      <c r="I6466" s="64" t="s">
        <v>3721</v>
      </c>
      <c r="J6466" s="67">
        <v>-175</v>
      </c>
      <c r="K6466" s="62">
        <v>-2053.33</v>
      </c>
      <c r="L6466" s="33" t="e">
        <f>HLOOKUP(B6466,#REF!,1,0)</f>
        <v>#REF!</v>
      </c>
      <c r="M6466" s="33" t="str">
        <f t="shared" ref="M6466:M6529" si="407">IF(VALUE(LEFT(C6466,5))&gt;40000,"P&amp;L","BS")</f>
        <v>P&amp;L</v>
      </c>
    </row>
    <row r="6467" spans="1:13" s="33" customFormat="true" ht="12.75" customHeight="true">
      <c r="A6467" s="33" t="str">
        <f t="shared" si="404"/>
        <v>NEW - Revenue</v>
      </c>
      <c r="B6467" s="33" t="str">
        <f t="shared" si="405"/>
        <v>NEW</v>
      </c>
      <c r="C6467" s="33" t="str">
        <f t="shared" si="406"/>
        <v>47492-0000</v>
      </c>
      <c r="D6467" s="64" t="s">
        <v>7603</v>
      </c>
      <c r="E6467" s="64" t="s">
        <v>3736</v>
      </c>
      <c r="F6467" s="64" t="s">
        <v>230</v>
      </c>
      <c r="G6467" s="64" t="s">
        <v>3717</v>
      </c>
      <c r="H6467" s="64" t="s">
        <v>2871</v>
      </c>
      <c r="I6467" s="64" t="s">
        <v>3737</v>
      </c>
      <c r="J6467" s="67">
        <v>-599.77</v>
      </c>
      <c r="K6467" s="62">
        <v>-4527.01</v>
      </c>
      <c r="L6467" s="33" t="e">
        <f>HLOOKUP(B6467,#REF!,1,0)</f>
        <v>#REF!</v>
      </c>
      <c r="M6467" s="33" t="str">
        <f t="shared" si="407"/>
        <v>P&amp;L</v>
      </c>
    </row>
    <row r="6468" spans="1:13" s="33" customFormat="true" ht="12.75" customHeight="true">
      <c r="A6468" s="33" t="str">
        <f t="shared" si="404"/>
        <v>NEW - Revenue</v>
      </c>
      <c r="B6468" s="33" t="str">
        <f t="shared" si="405"/>
        <v>NEW</v>
      </c>
      <c r="C6468" s="33" t="str">
        <f t="shared" si="406"/>
        <v>47495-0001</v>
      </c>
      <c r="D6468" s="64" t="s">
        <v>7604</v>
      </c>
      <c r="E6468" s="64" t="s">
        <v>6430</v>
      </c>
      <c r="F6468" s="64" t="s">
        <v>230</v>
      </c>
      <c r="G6468" s="64" t="s">
        <v>3717</v>
      </c>
      <c r="H6468" s="64" t="s">
        <v>2871</v>
      </c>
      <c r="I6468" s="64" t="s">
        <v>6431</v>
      </c>
      <c r="J6468" s="67">
        <v>0</v>
      </c>
      <c r="K6468" s="62">
        <v>-15077.82</v>
      </c>
      <c r="L6468" s="33" t="e">
        <f>HLOOKUP(B6468,#REF!,1,0)</f>
        <v>#REF!</v>
      </c>
      <c r="M6468" s="33" t="str">
        <f t="shared" si="407"/>
        <v>P&amp;L</v>
      </c>
    </row>
    <row r="6469" spans="1:13" s="33" customFormat="true" ht="12.75" customHeight="true">
      <c r="A6469" s="33" t="str">
        <f t="shared" si="404"/>
        <v>NEW - CGS</v>
      </c>
      <c r="B6469" s="33" t="str">
        <f t="shared" si="405"/>
        <v>NEW</v>
      </c>
      <c r="C6469" s="33" t="str">
        <f t="shared" si="406"/>
        <v>51005-0001</v>
      </c>
      <c r="D6469" s="64" t="s">
        <v>7605</v>
      </c>
      <c r="E6469" s="64" t="s">
        <v>7606</v>
      </c>
      <c r="F6469" s="64" t="s">
        <v>230</v>
      </c>
      <c r="G6469" s="64" t="s">
        <v>3740</v>
      </c>
      <c r="H6469" s="64" t="s">
        <v>1875</v>
      </c>
      <c r="I6469" s="64" t="s">
        <v>3969</v>
      </c>
      <c r="J6469" s="67">
        <v>0</v>
      </c>
      <c r="K6469" s="62">
        <v>210.25</v>
      </c>
      <c r="L6469" s="33" t="e">
        <f>HLOOKUP(B6469,#REF!,1,0)</f>
        <v>#REF!</v>
      </c>
      <c r="M6469" s="33" t="str">
        <f t="shared" si="407"/>
        <v>P&amp;L</v>
      </c>
    </row>
    <row r="6470" spans="1:13" s="33" customFormat="true" ht="12.75" customHeight="true">
      <c r="A6470" s="33" t="str">
        <f t="shared" si="404"/>
        <v>NEW - CGS</v>
      </c>
      <c r="B6470" s="33" t="str">
        <f t="shared" si="405"/>
        <v>NEW</v>
      </c>
      <c r="C6470" s="33" t="str">
        <f t="shared" si="406"/>
        <v>51006-0000</v>
      </c>
      <c r="D6470" s="64" t="s">
        <v>7607</v>
      </c>
      <c r="E6470" s="64" t="s">
        <v>3739</v>
      </c>
      <c r="F6470" s="64" t="s">
        <v>230</v>
      </c>
      <c r="G6470" s="64" t="s">
        <v>3740</v>
      </c>
      <c r="H6470" s="64" t="s">
        <v>1875</v>
      </c>
      <c r="I6470" s="64" t="s">
        <v>3741</v>
      </c>
      <c r="J6470" s="67">
        <v>0</v>
      </c>
      <c r="K6470" s="62">
        <v>176.98</v>
      </c>
      <c r="L6470" s="33" t="e">
        <f>HLOOKUP(B6470,#REF!,1,0)</f>
        <v>#REF!</v>
      </c>
      <c r="M6470" s="33" t="str">
        <f t="shared" si="407"/>
        <v>P&amp;L</v>
      </c>
    </row>
    <row r="6471" spans="1:13" s="33" customFormat="true" ht="12.75" customHeight="true">
      <c r="A6471" s="33" t="str">
        <f t="shared" si="404"/>
        <v>NEW - CGS</v>
      </c>
      <c r="B6471" s="33" t="str">
        <f t="shared" si="405"/>
        <v>NEW</v>
      </c>
      <c r="C6471" s="33" t="str">
        <f t="shared" si="406"/>
        <v>51006-0001</v>
      </c>
      <c r="D6471" s="64" t="s">
        <v>7608</v>
      </c>
      <c r="E6471" s="64" t="s">
        <v>7609</v>
      </c>
      <c r="F6471" s="64" t="s">
        <v>230</v>
      </c>
      <c r="G6471" s="64" t="s">
        <v>3740</v>
      </c>
      <c r="H6471" s="64" t="s">
        <v>1875</v>
      </c>
      <c r="I6471" s="64" t="s">
        <v>3741</v>
      </c>
      <c r="J6471" s="67">
        <v>156.69</v>
      </c>
      <c r="K6471" s="62">
        <v>786.07</v>
      </c>
      <c r="L6471" s="33" t="e">
        <f>HLOOKUP(B6471,#REF!,1,0)</f>
        <v>#REF!</v>
      </c>
      <c r="M6471" s="33" t="str">
        <f t="shared" si="407"/>
        <v>P&amp;L</v>
      </c>
    </row>
    <row r="6472" spans="1:13" s="33" customFormat="true" ht="12.75" customHeight="true">
      <c r="A6472" s="33" t="str">
        <f t="shared" si="404"/>
        <v>NEW - CGS</v>
      </c>
      <c r="B6472" s="33" t="str">
        <f t="shared" si="405"/>
        <v>NEW</v>
      </c>
      <c r="C6472" s="33" t="str">
        <f t="shared" si="406"/>
        <v>51008-0000</v>
      </c>
      <c r="D6472" s="64" t="s">
        <v>7610</v>
      </c>
      <c r="E6472" s="64" t="s">
        <v>3743</v>
      </c>
      <c r="F6472" s="64" t="s">
        <v>230</v>
      </c>
      <c r="G6472" s="64" t="s">
        <v>3740</v>
      </c>
      <c r="H6472" s="64" t="s">
        <v>1875</v>
      </c>
      <c r="I6472" s="64" t="s">
        <v>3744</v>
      </c>
      <c r="J6472" s="67">
        <v>0</v>
      </c>
      <c r="K6472" s="62">
        <v>590.54</v>
      </c>
      <c r="L6472" s="33" t="e">
        <f>HLOOKUP(B6472,#REF!,1,0)</f>
        <v>#REF!</v>
      </c>
      <c r="M6472" s="33" t="str">
        <f t="shared" si="407"/>
        <v>P&amp;L</v>
      </c>
    </row>
    <row r="6473" spans="1:13" s="33" customFormat="true" ht="12.75" customHeight="true">
      <c r="A6473" s="33" t="str">
        <f t="shared" si="404"/>
        <v>NEW - CGS</v>
      </c>
      <c r="B6473" s="33" t="str">
        <f t="shared" si="405"/>
        <v>NEW</v>
      </c>
      <c r="C6473" s="33" t="str">
        <f t="shared" si="406"/>
        <v>51008-0001</v>
      </c>
      <c r="D6473" s="64" t="s">
        <v>7611</v>
      </c>
      <c r="E6473" s="64" t="s">
        <v>7612</v>
      </c>
      <c r="F6473" s="64" t="s">
        <v>230</v>
      </c>
      <c r="G6473" s="64" t="s">
        <v>3740</v>
      </c>
      <c r="H6473" s="64" t="s">
        <v>1875</v>
      </c>
      <c r="I6473" s="64" t="s">
        <v>3744</v>
      </c>
      <c r="J6473" s="67">
        <v>0</v>
      </c>
      <c r="K6473" s="62">
        <v>4339.85</v>
      </c>
      <c r="L6473" s="33" t="e">
        <f>HLOOKUP(B6473,#REF!,1,0)</f>
        <v>#REF!</v>
      </c>
      <c r="M6473" s="33" t="str">
        <f t="shared" si="407"/>
        <v>P&amp;L</v>
      </c>
    </row>
    <row r="6474" spans="1:13" s="33" customFormat="true" ht="12.75" customHeight="true">
      <c r="A6474" s="33" t="str">
        <f t="shared" si="404"/>
        <v>NEW - CGS</v>
      </c>
      <c r="B6474" s="33" t="str">
        <f t="shared" si="405"/>
        <v>NEW</v>
      </c>
      <c r="C6474" s="33" t="str">
        <f t="shared" si="406"/>
        <v>51008-0002</v>
      </c>
      <c r="D6474" s="64" t="s">
        <v>7613</v>
      </c>
      <c r="E6474" s="64" t="s">
        <v>7614</v>
      </c>
      <c r="F6474" s="64" t="s">
        <v>230</v>
      </c>
      <c r="G6474" s="64" t="s">
        <v>3740</v>
      </c>
      <c r="H6474" s="64" t="s">
        <v>1875</v>
      </c>
      <c r="I6474" s="64" t="s">
        <v>3744</v>
      </c>
      <c r="J6474" s="67">
        <v>0</v>
      </c>
      <c r="K6474" s="62">
        <v>0</v>
      </c>
      <c r="L6474" s="33" t="e">
        <f>HLOOKUP(B6474,#REF!,1,0)</f>
        <v>#REF!</v>
      </c>
      <c r="M6474" s="33" t="str">
        <f t="shared" si="407"/>
        <v>P&amp;L</v>
      </c>
    </row>
    <row r="6475" spans="1:13" s="33" customFormat="true" ht="12.75" customHeight="true">
      <c r="A6475" s="33" t="str">
        <f t="shared" si="404"/>
        <v>NEW - CGS</v>
      </c>
      <c r="B6475" s="33" t="str">
        <f t="shared" si="405"/>
        <v>NEW</v>
      </c>
      <c r="C6475" s="33" t="str">
        <f t="shared" si="406"/>
        <v>51009-0000</v>
      </c>
      <c r="D6475" s="64" t="s">
        <v>7615</v>
      </c>
      <c r="E6475" s="64" t="s">
        <v>3746</v>
      </c>
      <c r="F6475" s="64" t="s">
        <v>230</v>
      </c>
      <c r="G6475" s="64" t="s">
        <v>3740</v>
      </c>
      <c r="H6475" s="64" t="s">
        <v>1875</v>
      </c>
      <c r="I6475" s="64" t="s">
        <v>3747</v>
      </c>
      <c r="J6475" s="67">
        <v>0</v>
      </c>
      <c r="K6475" s="62">
        <v>-69.51</v>
      </c>
      <c r="L6475" s="33" t="e">
        <f>HLOOKUP(B6475,#REF!,1,0)</f>
        <v>#REF!</v>
      </c>
      <c r="M6475" s="33" t="str">
        <f t="shared" si="407"/>
        <v>P&amp;L</v>
      </c>
    </row>
    <row r="6476" spans="1:13" s="33" customFormat="true" ht="12.75" customHeight="true">
      <c r="A6476" s="33" t="str">
        <f t="shared" si="404"/>
        <v>NEW - CGS</v>
      </c>
      <c r="B6476" s="33" t="str">
        <f t="shared" si="405"/>
        <v>NEW</v>
      </c>
      <c r="C6476" s="33" t="str">
        <f t="shared" si="406"/>
        <v>51009-0001</v>
      </c>
      <c r="D6476" s="64" t="s">
        <v>7616</v>
      </c>
      <c r="E6476" s="64" t="s">
        <v>7617</v>
      </c>
      <c r="F6476" s="64" t="s">
        <v>230</v>
      </c>
      <c r="G6476" s="64" t="s">
        <v>3740</v>
      </c>
      <c r="H6476" s="64" t="s">
        <v>1875</v>
      </c>
      <c r="I6476" s="64" t="s">
        <v>3747</v>
      </c>
      <c r="J6476" s="67">
        <v>299.95</v>
      </c>
      <c r="K6476" s="62">
        <v>1210.67</v>
      </c>
      <c r="L6476" s="33" t="e">
        <f>HLOOKUP(B6476,#REF!,1,0)</f>
        <v>#REF!</v>
      </c>
      <c r="M6476" s="33" t="str">
        <f t="shared" si="407"/>
        <v>P&amp;L</v>
      </c>
    </row>
    <row r="6477" spans="1:13" s="33" customFormat="true" ht="12.75" customHeight="true">
      <c r="A6477" s="33" t="str">
        <f t="shared" si="404"/>
        <v>NEW - CGS</v>
      </c>
      <c r="B6477" s="33" t="str">
        <f t="shared" si="405"/>
        <v>NEW</v>
      </c>
      <c r="C6477" s="33" t="str">
        <f t="shared" si="406"/>
        <v>51011-0001</v>
      </c>
      <c r="D6477" s="64" t="s">
        <v>7618</v>
      </c>
      <c r="E6477" s="64" t="s">
        <v>7619</v>
      </c>
      <c r="F6477" s="64" t="s">
        <v>230</v>
      </c>
      <c r="G6477" s="64" t="s">
        <v>3740</v>
      </c>
      <c r="H6477" s="64" t="s">
        <v>1875</v>
      </c>
      <c r="I6477" s="64" t="s">
        <v>3750</v>
      </c>
      <c r="J6477" s="67">
        <v>200</v>
      </c>
      <c r="K6477" s="62">
        <v>2000</v>
      </c>
      <c r="L6477" s="33" t="e">
        <f>HLOOKUP(B6477,#REF!,1,0)</f>
        <v>#REF!</v>
      </c>
      <c r="M6477" s="33" t="str">
        <f t="shared" si="407"/>
        <v>P&amp;L</v>
      </c>
    </row>
    <row r="6478" spans="1:13" s="33" customFormat="true" ht="12.75" customHeight="true">
      <c r="A6478" s="33" t="str">
        <f t="shared" si="404"/>
        <v>NEW - CGS</v>
      </c>
      <c r="B6478" s="33" t="str">
        <f t="shared" si="405"/>
        <v>NEW</v>
      </c>
      <c r="C6478" s="33" t="str">
        <f t="shared" si="406"/>
        <v>51012-0000</v>
      </c>
      <c r="D6478" s="64" t="s">
        <v>7620</v>
      </c>
      <c r="E6478" s="64" t="s">
        <v>3752</v>
      </c>
      <c r="F6478" s="64" t="s">
        <v>230</v>
      </c>
      <c r="G6478" s="64" t="s">
        <v>3740</v>
      </c>
      <c r="H6478" s="64" t="s">
        <v>1875</v>
      </c>
      <c r="I6478" s="64" t="s">
        <v>3753</v>
      </c>
      <c r="J6478" s="67">
        <v>99</v>
      </c>
      <c r="K6478" s="62">
        <v>99</v>
      </c>
      <c r="L6478" s="33" t="e">
        <f>HLOOKUP(B6478,#REF!,1,0)</f>
        <v>#REF!</v>
      </c>
      <c r="M6478" s="33" t="str">
        <f t="shared" si="407"/>
        <v>P&amp;L</v>
      </c>
    </row>
    <row r="6479" spans="1:13" s="33" customFormat="true" ht="12.75" customHeight="true">
      <c r="A6479" s="33" t="str">
        <f t="shared" si="404"/>
        <v>NEW - CGS</v>
      </c>
      <c r="B6479" s="33" t="str">
        <f t="shared" si="405"/>
        <v>NEW</v>
      </c>
      <c r="C6479" s="33" t="str">
        <f t="shared" si="406"/>
        <v>51012-0001</v>
      </c>
      <c r="D6479" s="64" t="s">
        <v>7621</v>
      </c>
      <c r="E6479" s="64" t="s">
        <v>7622</v>
      </c>
      <c r="F6479" s="64" t="s">
        <v>230</v>
      </c>
      <c r="G6479" s="64" t="s">
        <v>3740</v>
      </c>
      <c r="H6479" s="64" t="s">
        <v>1875</v>
      </c>
      <c r="I6479" s="64" t="s">
        <v>3753</v>
      </c>
      <c r="J6479" s="67">
        <v>0</v>
      </c>
      <c r="K6479" s="62">
        <v>1217</v>
      </c>
      <c r="L6479" s="33" t="e">
        <f>HLOOKUP(B6479,#REF!,1,0)</f>
        <v>#REF!</v>
      </c>
      <c r="M6479" s="33" t="str">
        <f t="shared" si="407"/>
        <v>P&amp;L</v>
      </c>
    </row>
    <row r="6480" spans="1:13" s="33" customFormat="true" ht="12.75" customHeight="true">
      <c r="A6480" s="33" t="str">
        <f t="shared" si="404"/>
        <v>NEW - CGS</v>
      </c>
      <c r="B6480" s="33" t="str">
        <f t="shared" si="405"/>
        <v>NEW</v>
      </c>
      <c r="C6480" s="33" t="str">
        <f t="shared" si="406"/>
        <v>51013-0001</v>
      </c>
      <c r="D6480" s="64" t="s">
        <v>7623</v>
      </c>
      <c r="E6480" s="64" t="s">
        <v>7624</v>
      </c>
      <c r="F6480" s="64" t="s">
        <v>230</v>
      </c>
      <c r="G6480" s="64" t="s">
        <v>3740</v>
      </c>
      <c r="H6480" s="64" t="s">
        <v>1875</v>
      </c>
      <c r="I6480" s="64" t="s">
        <v>3980</v>
      </c>
      <c r="J6480" s="67">
        <v>0</v>
      </c>
      <c r="K6480" s="62">
        <v>2225</v>
      </c>
      <c r="L6480" s="33" t="e">
        <f>HLOOKUP(B6480,#REF!,1,0)</f>
        <v>#REF!</v>
      </c>
      <c r="M6480" s="33" t="str">
        <f t="shared" si="407"/>
        <v>P&amp;L</v>
      </c>
    </row>
    <row r="6481" spans="1:13" s="33" customFormat="true" ht="12.75" customHeight="true">
      <c r="A6481" s="33" t="str">
        <f t="shared" si="404"/>
        <v>NEW - CGS</v>
      </c>
      <c r="B6481" s="33" t="str">
        <f t="shared" si="405"/>
        <v>NEW</v>
      </c>
      <c r="C6481" s="33" t="str">
        <f t="shared" si="406"/>
        <v>51015-0001</v>
      </c>
      <c r="D6481" s="64" t="s">
        <v>7625</v>
      </c>
      <c r="E6481" s="64" t="s">
        <v>7626</v>
      </c>
      <c r="F6481" s="64" t="s">
        <v>230</v>
      </c>
      <c r="G6481" s="64" t="s">
        <v>3740</v>
      </c>
      <c r="H6481" s="64" t="s">
        <v>1875</v>
      </c>
      <c r="I6481" s="64" t="s">
        <v>3756</v>
      </c>
      <c r="J6481" s="67">
        <v>0</v>
      </c>
      <c r="K6481" s="62">
        <v>75</v>
      </c>
      <c r="L6481" s="33" t="e">
        <f>HLOOKUP(B6481,#REF!,1,0)</f>
        <v>#REF!</v>
      </c>
      <c r="M6481" s="33" t="str">
        <f t="shared" si="407"/>
        <v>P&amp;L</v>
      </c>
    </row>
    <row r="6482" spans="1:13" s="33" customFormat="true" ht="12.75" customHeight="true">
      <c r="A6482" s="33" t="str">
        <f t="shared" si="404"/>
        <v>NEW - CGS</v>
      </c>
      <c r="B6482" s="33" t="str">
        <f t="shared" si="405"/>
        <v>NEW</v>
      </c>
      <c r="C6482" s="33" t="str">
        <f t="shared" si="406"/>
        <v>51017-0001</v>
      </c>
      <c r="D6482" s="64" t="s">
        <v>7627</v>
      </c>
      <c r="E6482" s="64" t="s">
        <v>7628</v>
      </c>
      <c r="F6482" s="64" t="s">
        <v>230</v>
      </c>
      <c r="G6482" s="64" t="s">
        <v>3160</v>
      </c>
      <c r="H6482" s="64" t="s">
        <v>1875</v>
      </c>
      <c r="I6482" s="64" t="s">
        <v>3759</v>
      </c>
      <c r="J6482" s="67">
        <v>53</v>
      </c>
      <c r="K6482" s="62">
        <v>1354.82</v>
      </c>
      <c r="L6482" s="33" t="e">
        <f>HLOOKUP(B6482,#REF!,1,0)</f>
        <v>#REF!</v>
      </c>
      <c r="M6482" s="33" t="str">
        <f t="shared" si="407"/>
        <v>P&amp;L</v>
      </c>
    </row>
    <row r="6483" spans="1:13" s="33" customFormat="true" ht="12.75" customHeight="true">
      <c r="A6483" s="33" t="str">
        <f t="shared" si="404"/>
        <v>NEW - CGS</v>
      </c>
      <c r="B6483" s="33" t="str">
        <f t="shared" si="405"/>
        <v>NEW</v>
      </c>
      <c r="C6483" s="33" t="str">
        <f t="shared" si="406"/>
        <v>51018-0001</v>
      </c>
      <c r="D6483" s="64" t="s">
        <v>7629</v>
      </c>
      <c r="E6483" s="64" t="s">
        <v>7630</v>
      </c>
      <c r="F6483" s="64" t="s">
        <v>230</v>
      </c>
      <c r="G6483" s="64" t="s">
        <v>3740</v>
      </c>
      <c r="H6483" s="64" t="s">
        <v>1875</v>
      </c>
      <c r="I6483" s="64" t="s">
        <v>3319</v>
      </c>
      <c r="J6483" s="67">
        <v>0</v>
      </c>
      <c r="K6483" s="62">
        <v>84.75</v>
      </c>
      <c r="L6483" s="33" t="e">
        <f>HLOOKUP(B6483,#REF!,1,0)</f>
        <v>#REF!</v>
      </c>
      <c r="M6483" s="33" t="str">
        <f t="shared" si="407"/>
        <v>P&amp;L</v>
      </c>
    </row>
    <row r="6484" spans="1:13" s="33" customFormat="true" ht="12.75" customHeight="true">
      <c r="A6484" s="33" t="str">
        <f t="shared" si="404"/>
        <v>NEW - CGS</v>
      </c>
      <c r="B6484" s="33" t="str">
        <f t="shared" si="405"/>
        <v>NEW</v>
      </c>
      <c r="C6484" s="33" t="str">
        <f t="shared" si="406"/>
        <v>51019-0001</v>
      </c>
      <c r="D6484" s="64" t="s">
        <v>7631</v>
      </c>
      <c r="E6484" s="64" t="s">
        <v>7632</v>
      </c>
      <c r="F6484" s="64" t="s">
        <v>230</v>
      </c>
      <c r="G6484" s="64" t="s">
        <v>3740</v>
      </c>
      <c r="H6484" s="64" t="s">
        <v>1875</v>
      </c>
      <c r="I6484" s="64" t="s">
        <v>3340</v>
      </c>
      <c r="J6484" s="67">
        <v>0</v>
      </c>
      <c r="K6484" s="62">
        <v>34.55</v>
      </c>
      <c r="L6484" s="33" t="e">
        <f>HLOOKUP(B6484,#REF!,1,0)</f>
        <v>#REF!</v>
      </c>
      <c r="M6484" s="33" t="str">
        <f t="shared" si="407"/>
        <v>P&amp;L</v>
      </c>
    </row>
    <row r="6485" spans="1:13" s="33" customFormat="true" ht="12.75" customHeight="true">
      <c r="A6485" s="33" t="str">
        <f t="shared" si="404"/>
        <v>NEW - CGS</v>
      </c>
      <c r="B6485" s="33" t="str">
        <f t="shared" si="405"/>
        <v>NEW</v>
      </c>
      <c r="C6485" s="33" t="str">
        <f t="shared" si="406"/>
        <v>51020-0000</v>
      </c>
      <c r="D6485" s="64" t="s">
        <v>7633</v>
      </c>
      <c r="E6485" s="64" t="s">
        <v>3763</v>
      </c>
      <c r="F6485" s="64" t="s">
        <v>230</v>
      </c>
      <c r="G6485" s="64" t="s">
        <v>3740</v>
      </c>
      <c r="H6485" s="64" t="s">
        <v>1875</v>
      </c>
      <c r="I6485" s="64" t="s">
        <v>3345</v>
      </c>
      <c r="J6485" s="67">
        <v>0</v>
      </c>
      <c r="K6485" s="62">
        <v>115.23</v>
      </c>
      <c r="L6485" s="33" t="e">
        <f>HLOOKUP(B6485,#REF!,1,0)</f>
        <v>#REF!</v>
      </c>
      <c r="M6485" s="33" t="str">
        <f t="shared" si="407"/>
        <v>P&amp;L</v>
      </c>
    </row>
    <row r="6486" spans="1:13" s="33" customFormat="true" ht="12.75" customHeight="true">
      <c r="A6486" s="33" t="str">
        <f t="shared" si="404"/>
        <v>NEW - CGS</v>
      </c>
      <c r="B6486" s="33" t="str">
        <f t="shared" si="405"/>
        <v>NEW</v>
      </c>
      <c r="C6486" s="33" t="str">
        <f t="shared" si="406"/>
        <v>51020-0001</v>
      </c>
      <c r="D6486" s="64" t="s">
        <v>7634</v>
      </c>
      <c r="E6486" s="64" t="s">
        <v>7635</v>
      </c>
      <c r="F6486" s="64" t="s">
        <v>230</v>
      </c>
      <c r="G6486" s="64" t="s">
        <v>3740</v>
      </c>
      <c r="H6486" s="64" t="s">
        <v>1875</v>
      </c>
      <c r="I6486" s="64" t="s">
        <v>3345</v>
      </c>
      <c r="J6486" s="67">
        <v>49.35</v>
      </c>
      <c r="K6486" s="62">
        <v>825.63</v>
      </c>
      <c r="L6486" s="33" t="e">
        <f>HLOOKUP(B6486,#REF!,1,0)</f>
        <v>#REF!</v>
      </c>
      <c r="M6486" s="33" t="str">
        <f t="shared" si="407"/>
        <v>P&amp;L</v>
      </c>
    </row>
    <row r="6487" spans="1:13" s="33" customFormat="true" ht="12.75" customHeight="true">
      <c r="A6487" s="33" t="str">
        <f t="shared" si="404"/>
        <v>NEW - CGS</v>
      </c>
      <c r="B6487" s="33" t="str">
        <f t="shared" si="405"/>
        <v>NEW</v>
      </c>
      <c r="C6487" s="33" t="str">
        <f t="shared" si="406"/>
        <v>51025-0000</v>
      </c>
      <c r="D6487" s="64" t="s">
        <v>7636</v>
      </c>
      <c r="E6487" s="64" t="s">
        <v>3988</v>
      </c>
      <c r="F6487" s="64" t="s">
        <v>230</v>
      </c>
      <c r="G6487" s="64" t="s">
        <v>3740</v>
      </c>
      <c r="H6487" s="64" t="s">
        <v>1875</v>
      </c>
      <c r="I6487" s="64" t="s">
        <v>3989</v>
      </c>
      <c r="J6487" s="67">
        <v>0</v>
      </c>
      <c r="K6487" s="62">
        <v>936.63</v>
      </c>
      <c r="L6487" s="33" t="e">
        <f>HLOOKUP(B6487,#REF!,1,0)</f>
        <v>#REF!</v>
      </c>
      <c r="M6487" s="33" t="str">
        <f t="shared" si="407"/>
        <v>P&amp;L</v>
      </c>
    </row>
    <row r="6488" spans="1:13" s="33" customFormat="true" ht="12.75" customHeight="true">
      <c r="A6488" s="33" t="str">
        <f t="shared" si="404"/>
        <v>NEW - CGS</v>
      </c>
      <c r="B6488" s="33" t="str">
        <f t="shared" si="405"/>
        <v>NEW</v>
      </c>
      <c r="C6488" s="33" t="str">
        <f t="shared" si="406"/>
        <v>51025-0001</v>
      </c>
      <c r="D6488" s="64" t="s">
        <v>7637</v>
      </c>
      <c r="E6488" s="64" t="s">
        <v>7638</v>
      </c>
      <c r="F6488" s="64" t="s">
        <v>230</v>
      </c>
      <c r="G6488" s="64" t="s">
        <v>3740</v>
      </c>
      <c r="H6488" s="64" t="s">
        <v>1875</v>
      </c>
      <c r="I6488" s="64" t="s">
        <v>3989</v>
      </c>
      <c r="J6488" s="67">
        <v>312.21</v>
      </c>
      <c r="K6488" s="62">
        <v>2235.86</v>
      </c>
      <c r="L6488" s="33" t="e">
        <f>HLOOKUP(B6488,#REF!,1,0)</f>
        <v>#REF!</v>
      </c>
      <c r="M6488" s="33" t="str">
        <f t="shared" si="407"/>
        <v>P&amp;L</v>
      </c>
    </row>
    <row r="6489" spans="1:13" s="33" customFormat="true" ht="12.75" customHeight="true">
      <c r="A6489" s="33" t="str">
        <f t="shared" si="404"/>
        <v>NEW - CGS</v>
      </c>
      <c r="B6489" s="33" t="str">
        <f t="shared" si="405"/>
        <v>NEW</v>
      </c>
      <c r="C6489" s="33" t="str">
        <f t="shared" si="406"/>
        <v>52001-0001</v>
      </c>
      <c r="D6489" s="64" t="s">
        <v>7639</v>
      </c>
      <c r="E6489" s="64" t="s">
        <v>7640</v>
      </c>
      <c r="F6489" s="64" t="s">
        <v>230</v>
      </c>
      <c r="G6489" s="64" t="s">
        <v>3769</v>
      </c>
      <c r="H6489" s="64" t="s">
        <v>1875</v>
      </c>
      <c r="I6489" s="64" t="s">
        <v>3770</v>
      </c>
      <c r="J6489" s="67">
        <v>375</v>
      </c>
      <c r="K6489" s="62">
        <v>5102.16</v>
      </c>
      <c r="L6489" s="33" t="e">
        <f>HLOOKUP(B6489,#REF!,1,0)</f>
        <v>#REF!</v>
      </c>
      <c r="M6489" s="33" t="str">
        <f t="shared" si="407"/>
        <v>P&amp;L</v>
      </c>
    </row>
    <row r="6490" spans="1:13" s="33" customFormat="true" ht="12.75" customHeight="true">
      <c r="A6490" s="33" t="str">
        <f t="shared" si="404"/>
        <v>NEW - CGS</v>
      </c>
      <c r="B6490" s="33" t="str">
        <f t="shared" si="405"/>
        <v>NEW</v>
      </c>
      <c r="C6490" s="33" t="str">
        <f t="shared" si="406"/>
        <v>52003-0001</v>
      </c>
      <c r="D6490" s="64" t="s">
        <v>7641</v>
      </c>
      <c r="E6490" s="64" t="s">
        <v>7642</v>
      </c>
      <c r="F6490" s="64" t="s">
        <v>230</v>
      </c>
      <c r="G6490" s="64" t="s">
        <v>3769</v>
      </c>
      <c r="H6490" s="64" t="s">
        <v>1875</v>
      </c>
      <c r="I6490" s="64" t="s">
        <v>3773</v>
      </c>
      <c r="J6490" s="67">
        <v>-325</v>
      </c>
      <c r="K6490" s="62">
        <v>260</v>
      </c>
      <c r="L6490" s="33" t="e">
        <f>HLOOKUP(B6490,#REF!,1,0)</f>
        <v>#REF!</v>
      </c>
      <c r="M6490" s="33" t="str">
        <f t="shared" si="407"/>
        <v>P&amp;L</v>
      </c>
    </row>
    <row r="6491" spans="1:13" s="33" customFormat="true" ht="12.75" customHeight="true">
      <c r="A6491" s="33" t="str">
        <f t="shared" si="404"/>
        <v>NEW - CGS</v>
      </c>
      <c r="B6491" s="33" t="str">
        <f t="shared" si="405"/>
        <v>NEW</v>
      </c>
      <c r="C6491" s="33" t="str">
        <f t="shared" si="406"/>
        <v>52004-0001</v>
      </c>
      <c r="D6491" s="64" t="s">
        <v>7643</v>
      </c>
      <c r="E6491" s="64" t="s">
        <v>7644</v>
      </c>
      <c r="F6491" s="64" t="s">
        <v>230</v>
      </c>
      <c r="G6491" s="64" t="s">
        <v>3769</v>
      </c>
      <c r="H6491" s="64" t="s">
        <v>1875</v>
      </c>
      <c r="I6491" s="64" t="s">
        <v>3776</v>
      </c>
      <c r="J6491" s="67">
        <v>0</v>
      </c>
      <c r="K6491" s="62">
        <v>-793.26</v>
      </c>
      <c r="L6491" s="33" t="e">
        <f>HLOOKUP(B6491,#REF!,1,0)</f>
        <v>#REF!</v>
      </c>
      <c r="M6491" s="33" t="str">
        <f t="shared" si="407"/>
        <v>P&amp;L</v>
      </c>
    </row>
    <row r="6492" spans="1:13" s="33" customFormat="true" ht="12.75" customHeight="true">
      <c r="A6492" s="33" t="str">
        <f t="shared" si="404"/>
        <v>NEW - CGS</v>
      </c>
      <c r="B6492" s="33" t="str">
        <f t="shared" si="405"/>
        <v>NEW</v>
      </c>
      <c r="C6492" s="33" t="str">
        <f t="shared" si="406"/>
        <v>52006-0001</v>
      </c>
      <c r="D6492" s="64" t="s">
        <v>7645</v>
      </c>
      <c r="E6492" s="64" t="s">
        <v>7646</v>
      </c>
      <c r="F6492" s="64" t="s">
        <v>230</v>
      </c>
      <c r="G6492" s="64" t="s">
        <v>3769</v>
      </c>
      <c r="H6492" s="64" t="s">
        <v>1875</v>
      </c>
      <c r="I6492" s="64" t="s">
        <v>3779</v>
      </c>
      <c r="J6492" s="67">
        <v>-750</v>
      </c>
      <c r="K6492" s="62">
        <v>-356.19</v>
      </c>
      <c r="L6492" s="33" t="e">
        <f>HLOOKUP(B6492,#REF!,1,0)</f>
        <v>#REF!</v>
      </c>
      <c r="M6492" s="33" t="str">
        <f t="shared" si="407"/>
        <v>P&amp;L</v>
      </c>
    </row>
    <row r="6493" spans="1:13" s="33" customFormat="true" ht="12.75" customHeight="true">
      <c r="A6493" s="33" t="str">
        <f t="shared" si="404"/>
        <v>NEW - CGS</v>
      </c>
      <c r="B6493" s="33" t="str">
        <f t="shared" si="405"/>
        <v>NEW</v>
      </c>
      <c r="C6493" s="33" t="str">
        <f t="shared" si="406"/>
        <v>53001-0001</v>
      </c>
      <c r="D6493" s="64" t="s">
        <v>7647</v>
      </c>
      <c r="E6493" s="64" t="s">
        <v>7648</v>
      </c>
      <c r="F6493" s="64" t="s">
        <v>230</v>
      </c>
      <c r="G6493" s="64" t="s">
        <v>3160</v>
      </c>
      <c r="H6493" s="64" t="s">
        <v>1875</v>
      </c>
      <c r="I6493" s="64" t="s">
        <v>3782</v>
      </c>
      <c r="J6493" s="67">
        <v>10</v>
      </c>
      <c r="K6493" s="62">
        <v>510.23</v>
      </c>
      <c r="L6493" s="33" t="e">
        <f>HLOOKUP(B6493,#REF!,1,0)</f>
        <v>#REF!</v>
      </c>
      <c r="M6493" s="33" t="str">
        <f t="shared" si="407"/>
        <v>P&amp;L</v>
      </c>
    </row>
    <row r="6494" spans="1:13" s="33" customFormat="true" ht="12.75" customHeight="true">
      <c r="A6494" s="33" t="str">
        <f t="shared" si="404"/>
        <v>NEW - CGS</v>
      </c>
      <c r="B6494" s="33" t="str">
        <f t="shared" si="405"/>
        <v>NEW</v>
      </c>
      <c r="C6494" s="33" t="str">
        <f t="shared" si="406"/>
        <v>53002-0000</v>
      </c>
      <c r="D6494" s="64" t="s">
        <v>7649</v>
      </c>
      <c r="E6494" s="64" t="s">
        <v>3784</v>
      </c>
      <c r="F6494" s="64" t="s">
        <v>230</v>
      </c>
      <c r="G6494" s="64" t="s">
        <v>3160</v>
      </c>
      <c r="H6494" s="64" t="s">
        <v>1875</v>
      </c>
      <c r="I6494" s="64" t="s">
        <v>3785</v>
      </c>
      <c r="J6494" s="67">
        <v>0</v>
      </c>
      <c r="K6494" s="62">
        <v>3498.72</v>
      </c>
      <c r="L6494" s="33" t="e">
        <f>HLOOKUP(B6494,#REF!,1,0)</f>
        <v>#REF!</v>
      </c>
      <c r="M6494" s="33" t="str">
        <f t="shared" si="407"/>
        <v>P&amp;L</v>
      </c>
    </row>
    <row r="6495" spans="1:13" s="33" customFormat="true" ht="12.75" customHeight="true">
      <c r="A6495" s="33" t="str">
        <f t="shared" si="404"/>
        <v>NEW - CGS</v>
      </c>
      <c r="B6495" s="33" t="str">
        <f t="shared" si="405"/>
        <v>NEW</v>
      </c>
      <c r="C6495" s="33" t="str">
        <f t="shared" si="406"/>
        <v>53002-0001</v>
      </c>
      <c r="D6495" s="64" t="s">
        <v>7650</v>
      </c>
      <c r="E6495" s="64" t="s">
        <v>7651</v>
      </c>
      <c r="F6495" s="64" t="s">
        <v>230</v>
      </c>
      <c r="G6495" s="64" t="s">
        <v>3160</v>
      </c>
      <c r="H6495" s="64" t="s">
        <v>1875</v>
      </c>
      <c r="I6495" s="64" t="s">
        <v>3785</v>
      </c>
      <c r="J6495" s="67">
        <v>1737.06</v>
      </c>
      <c r="K6495" s="62">
        <v>13471.42</v>
      </c>
      <c r="L6495" s="33" t="e">
        <f>HLOOKUP(B6495,#REF!,1,0)</f>
        <v>#REF!</v>
      </c>
      <c r="M6495" s="33" t="str">
        <f t="shared" si="407"/>
        <v>P&amp;L</v>
      </c>
    </row>
    <row r="6496" spans="1:13" s="33" customFormat="true" ht="12.75" customHeight="true">
      <c r="A6496" s="33" t="str">
        <f t="shared" si="404"/>
        <v>NEW - CGS</v>
      </c>
      <c r="B6496" s="33" t="str">
        <f t="shared" si="405"/>
        <v>NEW</v>
      </c>
      <c r="C6496" s="33" t="str">
        <f t="shared" si="406"/>
        <v>53003-0000</v>
      </c>
      <c r="D6496" s="64" t="s">
        <v>7652</v>
      </c>
      <c r="E6496" s="64" t="s">
        <v>3787</v>
      </c>
      <c r="F6496" s="64" t="s">
        <v>230</v>
      </c>
      <c r="G6496" s="64" t="s">
        <v>3160</v>
      </c>
      <c r="H6496" s="64" t="s">
        <v>1875</v>
      </c>
      <c r="I6496" s="64" t="s">
        <v>3788</v>
      </c>
      <c r="J6496" s="67">
        <v>19.63</v>
      </c>
      <c r="K6496" s="62">
        <v>19.63</v>
      </c>
      <c r="L6496" s="33" t="e">
        <f>HLOOKUP(B6496,#REF!,1,0)</f>
        <v>#REF!</v>
      </c>
      <c r="M6496" s="33" t="str">
        <f t="shared" si="407"/>
        <v>P&amp;L</v>
      </c>
    </row>
    <row r="6497" spans="1:13" s="33" customFormat="true" ht="12.75" customHeight="true">
      <c r="A6497" s="33" t="str">
        <f t="shared" si="404"/>
        <v>NEW - CGS</v>
      </c>
      <c r="B6497" s="33" t="str">
        <f t="shared" si="405"/>
        <v>NEW</v>
      </c>
      <c r="C6497" s="33" t="str">
        <f t="shared" si="406"/>
        <v>53003-0001</v>
      </c>
      <c r="D6497" s="64" t="s">
        <v>7653</v>
      </c>
      <c r="E6497" s="64" t="s">
        <v>7654</v>
      </c>
      <c r="F6497" s="64" t="s">
        <v>230</v>
      </c>
      <c r="G6497" s="64" t="s">
        <v>3160</v>
      </c>
      <c r="H6497" s="64" t="s">
        <v>1875</v>
      </c>
      <c r="I6497" s="64" t="s">
        <v>3788</v>
      </c>
      <c r="J6497" s="67">
        <v>0</v>
      </c>
      <c r="K6497" s="62">
        <v>5867.03</v>
      </c>
      <c r="L6497" s="33" t="e">
        <f>HLOOKUP(B6497,#REF!,1,0)</f>
        <v>#REF!</v>
      </c>
      <c r="M6497" s="33" t="str">
        <f t="shared" si="407"/>
        <v>P&amp;L</v>
      </c>
    </row>
    <row r="6498" spans="1:13" s="33" customFormat="true" ht="12.75" customHeight="true">
      <c r="A6498" s="33" t="str">
        <f t="shared" si="404"/>
        <v>NEW - CGS</v>
      </c>
      <c r="B6498" s="33" t="str">
        <f t="shared" si="405"/>
        <v>NEW</v>
      </c>
      <c r="C6498" s="33" t="str">
        <f t="shared" si="406"/>
        <v>53004-0000</v>
      </c>
      <c r="D6498" s="64" t="s">
        <v>7655</v>
      </c>
      <c r="E6498" s="64" t="s">
        <v>3790</v>
      </c>
      <c r="F6498" s="64" t="s">
        <v>230</v>
      </c>
      <c r="G6498" s="64" t="s">
        <v>3160</v>
      </c>
      <c r="H6498" s="64" t="s">
        <v>1875</v>
      </c>
      <c r="I6498" s="64" t="s">
        <v>3791</v>
      </c>
      <c r="J6498" s="67">
        <v>0</v>
      </c>
      <c r="K6498" s="62">
        <v>0</v>
      </c>
      <c r="L6498" s="33" t="e">
        <f>HLOOKUP(B6498,#REF!,1,0)</f>
        <v>#REF!</v>
      </c>
      <c r="M6498" s="33" t="str">
        <f t="shared" si="407"/>
        <v>P&amp;L</v>
      </c>
    </row>
    <row r="6499" spans="1:13" s="33" customFormat="true" ht="12.75" customHeight="true">
      <c r="A6499" s="33" t="str">
        <f t="shared" si="404"/>
        <v>NEW - CGS</v>
      </c>
      <c r="B6499" s="33" t="str">
        <f t="shared" si="405"/>
        <v>NEW</v>
      </c>
      <c r="C6499" s="33" t="str">
        <f t="shared" si="406"/>
        <v>53004-0001</v>
      </c>
      <c r="D6499" s="64" t="s">
        <v>7656</v>
      </c>
      <c r="E6499" s="64" t="s">
        <v>7657</v>
      </c>
      <c r="F6499" s="64" t="s">
        <v>230</v>
      </c>
      <c r="G6499" s="64" t="s">
        <v>3160</v>
      </c>
      <c r="H6499" s="64" t="s">
        <v>1875</v>
      </c>
      <c r="I6499" s="64" t="s">
        <v>3791</v>
      </c>
      <c r="J6499" s="67">
        <v>1289.81</v>
      </c>
      <c r="K6499" s="62">
        <v>12757.58</v>
      </c>
      <c r="L6499" s="33" t="e">
        <f>HLOOKUP(B6499,#REF!,1,0)</f>
        <v>#REF!</v>
      </c>
      <c r="M6499" s="33" t="str">
        <f t="shared" si="407"/>
        <v>P&amp;L</v>
      </c>
    </row>
    <row r="6500" spans="1:13" s="33" customFormat="true" ht="12.75" customHeight="true">
      <c r="A6500" s="33" t="str">
        <f t="shared" si="404"/>
        <v>NEW - CGS</v>
      </c>
      <c r="B6500" s="33" t="str">
        <f t="shared" si="405"/>
        <v>NEW</v>
      </c>
      <c r="C6500" s="33" t="str">
        <f t="shared" si="406"/>
        <v>53005-0000</v>
      </c>
      <c r="D6500" s="64" t="s">
        <v>7658</v>
      </c>
      <c r="E6500" s="64" t="s">
        <v>3793</v>
      </c>
      <c r="F6500" s="64" t="s">
        <v>230</v>
      </c>
      <c r="G6500" s="64" t="s">
        <v>3160</v>
      </c>
      <c r="H6500" s="64" t="s">
        <v>1875</v>
      </c>
      <c r="I6500" s="64" t="s">
        <v>3794</v>
      </c>
      <c r="J6500" s="67">
        <v>1832.29</v>
      </c>
      <c r="K6500" s="62">
        <v>3642.89</v>
      </c>
      <c r="L6500" s="33" t="e">
        <f>HLOOKUP(B6500,#REF!,1,0)</f>
        <v>#REF!</v>
      </c>
      <c r="M6500" s="33" t="str">
        <f t="shared" si="407"/>
        <v>P&amp;L</v>
      </c>
    </row>
    <row r="6501" spans="1:13" s="33" customFormat="true" ht="12.75" customHeight="true">
      <c r="A6501" s="33" t="str">
        <f t="shared" si="404"/>
        <v>NEW - CGS</v>
      </c>
      <c r="B6501" s="33" t="str">
        <f t="shared" si="405"/>
        <v>NEW</v>
      </c>
      <c r="C6501" s="33" t="str">
        <f t="shared" si="406"/>
        <v>53005-0001</v>
      </c>
      <c r="D6501" s="64" t="s">
        <v>7659</v>
      </c>
      <c r="E6501" s="64" t="s">
        <v>7660</v>
      </c>
      <c r="F6501" s="64" t="s">
        <v>230</v>
      </c>
      <c r="G6501" s="64" t="s">
        <v>3160</v>
      </c>
      <c r="H6501" s="64" t="s">
        <v>1875</v>
      </c>
      <c r="I6501" s="64" t="s">
        <v>3794</v>
      </c>
      <c r="J6501" s="67">
        <v>0</v>
      </c>
      <c r="K6501" s="62">
        <v>16561.62</v>
      </c>
      <c r="L6501" s="33" t="e">
        <f>HLOOKUP(B6501,#REF!,1,0)</f>
        <v>#REF!</v>
      </c>
      <c r="M6501" s="33" t="str">
        <f t="shared" si="407"/>
        <v>P&amp;L</v>
      </c>
    </row>
    <row r="6502" spans="1:13" s="33" customFormat="true" ht="12.75" customHeight="true">
      <c r="A6502" s="33" t="str">
        <f t="shared" si="404"/>
        <v>NEW - CGS</v>
      </c>
      <c r="B6502" s="33" t="str">
        <f t="shared" si="405"/>
        <v>NEW</v>
      </c>
      <c r="C6502" s="33" t="str">
        <f t="shared" si="406"/>
        <v>53006-0000</v>
      </c>
      <c r="D6502" s="64" t="s">
        <v>7661</v>
      </c>
      <c r="E6502" s="64" t="s">
        <v>3796</v>
      </c>
      <c r="F6502" s="64" t="s">
        <v>230</v>
      </c>
      <c r="G6502" s="64" t="s">
        <v>3160</v>
      </c>
      <c r="H6502" s="64" t="s">
        <v>1875</v>
      </c>
      <c r="I6502" s="64" t="s">
        <v>3797</v>
      </c>
      <c r="J6502" s="67">
        <v>2682.56</v>
      </c>
      <c r="K6502" s="62">
        <v>5311.79</v>
      </c>
      <c r="L6502" s="33" t="e">
        <f>HLOOKUP(B6502,#REF!,1,0)</f>
        <v>#REF!</v>
      </c>
      <c r="M6502" s="33" t="str">
        <f t="shared" si="407"/>
        <v>P&amp;L</v>
      </c>
    </row>
    <row r="6503" spans="1:13" s="33" customFormat="true" ht="12.75" customHeight="true">
      <c r="A6503" s="33" t="str">
        <f t="shared" si="404"/>
        <v>NEW - CGS</v>
      </c>
      <c r="B6503" s="33" t="str">
        <f t="shared" si="405"/>
        <v>NEW</v>
      </c>
      <c r="C6503" s="33" t="str">
        <f t="shared" si="406"/>
        <v>53006-0001</v>
      </c>
      <c r="D6503" s="64" t="s">
        <v>7662</v>
      </c>
      <c r="E6503" s="64" t="s">
        <v>7663</v>
      </c>
      <c r="F6503" s="64" t="s">
        <v>230</v>
      </c>
      <c r="G6503" s="64" t="s">
        <v>3160</v>
      </c>
      <c r="H6503" s="64" t="s">
        <v>1875</v>
      </c>
      <c r="I6503" s="64" t="s">
        <v>3797</v>
      </c>
      <c r="J6503" s="67">
        <v>0</v>
      </c>
      <c r="K6503" s="62">
        <v>23082.92</v>
      </c>
      <c r="L6503" s="33" t="e">
        <f>HLOOKUP(B6503,#REF!,1,0)</f>
        <v>#REF!</v>
      </c>
      <c r="M6503" s="33" t="str">
        <f t="shared" si="407"/>
        <v>P&amp;L</v>
      </c>
    </row>
    <row r="6504" spans="1:13" s="33" customFormat="true" ht="12.75" customHeight="true">
      <c r="A6504" s="33" t="str">
        <f t="shared" si="404"/>
        <v>NEW - CGS</v>
      </c>
      <c r="B6504" s="33" t="str">
        <f t="shared" si="405"/>
        <v>NEW</v>
      </c>
      <c r="C6504" s="33" t="str">
        <f t="shared" si="406"/>
        <v>54002-0001</v>
      </c>
      <c r="D6504" s="64" t="s">
        <v>7664</v>
      </c>
      <c r="E6504" s="64" t="s">
        <v>7665</v>
      </c>
      <c r="F6504" s="64" t="s">
        <v>230</v>
      </c>
      <c r="G6504" s="64" t="s">
        <v>3800</v>
      </c>
      <c r="H6504" s="64" t="s">
        <v>1875</v>
      </c>
      <c r="I6504" s="64" t="s">
        <v>3801</v>
      </c>
      <c r="J6504" s="67">
        <v>75</v>
      </c>
      <c r="K6504" s="62">
        <v>1503</v>
      </c>
      <c r="L6504" s="33" t="e">
        <f>HLOOKUP(B6504,#REF!,1,0)</f>
        <v>#REF!</v>
      </c>
      <c r="M6504" s="33" t="str">
        <f t="shared" si="407"/>
        <v>P&amp;L</v>
      </c>
    </row>
    <row r="6505" spans="1:13" s="33" customFormat="true" ht="12.75" customHeight="true">
      <c r="A6505" s="33" t="str">
        <f t="shared" si="404"/>
        <v>NEW - CGS</v>
      </c>
      <c r="B6505" s="33" t="str">
        <f t="shared" si="405"/>
        <v>NEW</v>
      </c>
      <c r="C6505" s="33" t="str">
        <f t="shared" si="406"/>
        <v>54003-0000</v>
      </c>
      <c r="D6505" s="64" t="s">
        <v>7666</v>
      </c>
      <c r="E6505" s="64" t="s">
        <v>3803</v>
      </c>
      <c r="F6505" s="64" t="s">
        <v>230</v>
      </c>
      <c r="G6505" s="64" t="s">
        <v>3800</v>
      </c>
      <c r="H6505" s="64" t="s">
        <v>1875</v>
      </c>
      <c r="I6505" s="64" t="s">
        <v>3804</v>
      </c>
      <c r="J6505" s="67">
        <v>0</v>
      </c>
      <c r="K6505" s="62">
        <v>0</v>
      </c>
      <c r="L6505" s="33" t="e">
        <f>HLOOKUP(B6505,#REF!,1,0)</f>
        <v>#REF!</v>
      </c>
      <c r="M6505" s="33" t="str">
        <f t="shared" si="407"/>
        <v>P&amp;L</v>
      </c>
    </row>
    <row r="6506" spans="1:13" s="33" customFormat="true" ht="12.75" customHeight="true">
      <c r="A6506" s="33" t="str">
        <f t="shared" si="404"/>
        <v>NEW - CGS</v>
      </c>
      <c r="B6506" s="33" t="str">
        <f t="shared" si="405"/>
        <v>NEW</v>
      </c>
      <c r="C6506" s="33" t="str">
        <f t="shared" si="406"/>
        <v>54003-0001</v>
      </c>
      <c r="D6506" s="64" t="s">
        <v>7667</v>
      </c>
      <c r="E6506" s="64" t="s">
        <v>7668</v>
      </c>
      <c r="F6506" s="64" t="s">
        <v>230</v>
      </c>
      <c r="G6506" s="64" t="s">
        <v>3800</v>
      </c>
      <c r="H6506" s="64" t="s">
        <v>1875</v>
      </c>
      <c r="I6506" s="64" t="s">
        <v>3804</v>
      </c>
      <c r="J6506" s="67">
        <v>0</v>
      </c>
      <c r="K6506" s="62">
        <v>0</v>
      </c>
      <c r="L6506" s="33" t="e">
        <f>HLOOKUP(B6506,#REF!,1,0)</f>
        <v>#REF!</v>
      </c>
      <c r="M6506" s="33" t="str">
        <f t="shared" si="407"/>
        <v>P&amp;L</v>
      </c>
    </row>
    <row r="6507" spans="1:13" s="33" customFormat="true" ht="12.75" customHeight="true">
      <c r="A6507" s="33" t="str">
        <f t="shared" si="404"/>
        <v>NEW - CGS</v>
      </c>
      <c r="B6507" s="33" t="str">
        <f t="shared" si="405"/>
        <v>NEW</v>
      </c>
      <c r="C6507" s="33" t="str">
        <f t="shared" si="406"/>
        <v>54004-0000</v>
      </c>
      <c r="D6507" s="64" t="s">
        <v>7669</v>
      </c>
      <c r="E6507" s="64" t="s">
        <v>3806</v>
      </c>
      <c r="F6507" s="64" t="s">
        <v>230</v>
      </c>
      <c r="G6507" s="64" t="s">
        <v>3800</v>
      </c>
      <c r="H6507" s="64" t="s">
        <v>1875</v>
      </c>
      <c r="I6507" s="64" t="s">
        <v>3807</v>
      </c>
      <c r="J6507" s="67">
        <v>0</v>
      </c>
      <c r="K6507" s="62">
        <v>0</v>
      </c>
      <c r="L6507" s="33" t="e">
        <f>HLOOKUP(B6507,#REF!,1,0)</f>
        <v>#REF!</v>
      </c>
      <c r="M6507" s="33" t="str">
        <f t="shared" si="407"/>
        <v>P&amp;L</v>
      </c>
    </row>
    <row r="6508" spans="1:13" s="33" customFormat="true" ht="12.75" customHeight="true">
      <c r="A6508" s="33" t="str">
        <f t="shared" si="404"/>
        <v>NEW - CGS</v>
      </c>
      <c r="B6508" s="33" t="str">
        <f t="shared" si="405"/>
        <v>NEW</v>
      </c>
      <c r="C6508" s="33" t="str">
        <f t="shared" si="406"/>
        <v>54004-0001</v>
      </c>
      <c r="D6508" s="64" t="s">
        <v>7670</v>
      </c>
      <c r="E6508" s="64" t="s">
        <v>7671</v>
      </c>
      <c r="F6508" s="64" t="s">
        <v>230</v>
      </c>
      <c r="G6508" s="64" t="s">
        <v>3800</v>
      </c>
      <c r="H6508" s="64" t="s">
        <v>1875</v>
      </c>
      <c r="I6508" s="64" t="s">
        <v>3807</v>
      </c>
      <c r="J6508" s="67">
        <v>1520</v>
      </c>
      <c r="K6508" s="62">
        <v>13959.57</v>
      </c>
      <c r="L6508" s="33" t="e">
        <f>HLOOKUP(B6508,#REF!,1,0)</f>
        <v>#REF!</v>
      </c>
      <c r="M6508" s="33" t="str">
        <f t="shared" si="407"/>
        <v>P&amp;L</v>
      </c>
    </row>
    <row r="6509" spans="1:13" s="33" customFormat="true" ht="12.75" customHeight="true">
      <c r="A6509" s="33" t="str">
        <f t="shared" si="404"/>
        <v>NEW - CGS</v>
      </c>
      <c r="B6509" s="33" t="str">
        <f t="shared" si="405"/>
        <v>NEW</v>
      </c>
      <c r="C6509" s="33" t="str">
        <f t="shared" si="406"/>
        <v>54005-0001</v>
      </c>
      <c r="D6509" s="64" t="s">
        <v>7672</v>
      </c>
      <c r="E6509" s="64" t="s">
        <v>7673</v>
      </c>
      <c r="F6509" s="64" t="s">
        <v>230</v>
      </c>
      <c r="G6509" s="64" t="s">
        <v>3800</v>
      </c>
      <c r="H6509" s="64" t="s">
        <v>1875</v>
      </c>
      <c r="I6509" s="64" t="s">
        <v>3810</v>
      </c>
      <c r="J6509" s="67">
        <v>17.34</v>
      </c>
      <c r="K6509" s="62">
        <v>148.74</v>
      </c>
      <c r="L6509" s="33" t="e">
        <f>HLOOKUP(B6509,#REF!,1,0)</f>
        <v>#REF!</v>
      </c>
      <c r="M6509" s="33" t="str">
        <f t="shared" si="407"/>
        <v>P&amp;L</v>
      </c>
    </row>
    <row r="6510" spans="1:13" s="33" customFormat="true" ht="12.75" customHeight="true">
      <c r="A6510" s="33" t="str">
        <f t="shared" si="404"/>
        <v>NEW - CGS</v>
      </c>
      <c r="B6510" s="33" t="str">
        <f t="shared" si="405"/>
        <v>NEW</v>
      </c>
      <c r="C6510" s="33" t="str">
        <f t="shared" si="406"/>
        <v>54006-0000</v>
      </c>
      <c r="D6510" s="64" t="s">
        <v>7674</v>
      </c>
      <c r="E6510" s="64" t="s">
        <v>3812</v>
      </c>
      <c r="F6510" s="64" t="s">
        <v>230</v>
      </c>
      <c r="G6510" s="64" t="s">
        <v>3800</v>
      </c>
      <c r="H6510" s="64" t="s">
        <v>1875</v>
      </c>
      <c r="I6510" s="64" t="s">
        <v>3003</v>
      </c>
      <c r="J6510" s="67">
        <v>0</v>
      </c>
      <c r="K6510" s="62">
        <v>0</v>
      </c>
      <c r="L6510" s="33" t="e">
        <f>HLOOKUP(B6510,#REF!,1,0)</f>
        <v>#REF!</v>
      </c>
      <c r="M6510" s="33" t="str">
        <f t="shared" si="407"/>
        <v>P&amp;L</v>
      </c>
    </row>
    <row r="6511" spans="1:13" s="33" customFormat="true" ht="12.75" customHeight="true">
      <c r="A6511" s="33" t="str">
        <f t="shared" si="404"/>
        <v>NEW - CGS</v>
      </c>
      <c r="B6511" s="33" t="str">
        <f t="shared" si="405"/>
        <v>NEW</v>
      </c>
      <c r="C6511" s="33" t="str">
        <f t="shared" si="406"/>
        <v>54006-0001</v>
      </c>
      <c r="D6511" s="64" t="s">
        <v>7675</v>
      </c>
      <c r="E6511" s="64" t="s">
        <v>7676</v>
      </c>
      <c r="F6511" s="64" t="s">
        <v>230</v>
      </c>
      <c r="G6511" s="64" t="s">
        <v>3800</v>
      </c>
      <c r="H6511" s="64" t="s">
        <v>1875</v>
      </c>
      <c r="I6511" s="64" t="s">
        <v>3003</v>
      </c>
      <c r="J6511" s="67">
        <v>185.83</v>
      </c>
      <c r="K6511" s="62">
        <v>1646.84</v>
      </c>
      <c r="L6511" s="33" t="e">
        <f>HLOOKUP(B6511,#REF!,1,0)</f>
        <v>#REF!</v>
      </c>
      <c r="M6511" s="33" t="str">
        <f t="shared" si="407"/>
        <v>P&amp;L</v>
      </c>
    </row>
    <row r="6512" spans="1:13" s="33" customFormat="true" ht="12.75" customHeight="true">
      <c r="A6512" s="33" t="str">
        <f t="shared" si="404"/>
        <v>NEW - CGS</v>
      </c>
      <c r="B6512" s="33" t="str">
        <f t="shared" si="405"/>
        <v>NEW</v>
      </c>
      <c r="C6512" s="33" t="str">
        <f t="shared" si="406"/>
        <v>54007-0000</v>
      </c>
      <c r="D6512" s="64" t="s">
        <v>7677</v>
      </c>
      <c r="E6512" s="64" t="s">
        <v>3814</v>
      </c>
      <c r="F6512" s="64" t="s">
        <v>230</v>
      </c>
      <c r="G6512" s="64" t="s">
        <v>3800</v>
      </c>
      <c r="H6512" s="64" t="s">
        <v>1875</v>
      </c>
      <c r="I6512" s="64" t="s">
        <v>3815</v>
      </c>
      <c r="J6512" s="67">
        <v>0</v>
      </c>
      <c r="K6512" s="62">
        <v>0</v>
      </c>
      <c r="L6512" s="33" t="e">
        <f>HLOOKUP(B6512,#REF!,1,0)</f>
        <v>#REF!</v>
      </c>
      <c r="M6512" s="33" t="str">
        <f t="shared" si="407"/>
        <v>P&amp;L</v>
      </c>
    </row>
    <row r="6513" spans="1:13" s="33" customFormat="true" ht="12.75" customHeight="true">
      <c r="A6513" s="33" t="str">
        <f t="shared" si="404"/>
        <v>NEW - CGS</v>
      </c>
      <c r="B6513" s="33" t="str">
        <f t="shared" si="405"/>
        <v>NEW</v>
      </c>
      <c r="C6513" s="33" t="str">
        <f t="shared" si="406"/>
        <v>54007-0001</v>
      </c>
      <c r="D6513" s="64" t="s">
        <v>7678</v>
      </c>
      <c r="E6513" s="64" t="s">
        <v>7679</v>
      </c>
      <c r="F6513" s="64" t="s">
        <v>230</v>
      </c>
      <c r="G6513" s="64" t="s">
        <v>3800</v>
      </c>
      <c r="H6513" s="64" t="s">
        <v>1875</v>
      </c>
      <c r="I6513" s="64" t="s">
        <v>3815</v>
      </c>
      <c r="J6513" s="67">
        <v>328</v>
      </c>
      <c r="K6513" s="62">
        <v>9106.42</v>
      </c>
      <c r="L6513" s="33" t="e">
        <f>HLOOKUP(B6513,#REF!,1,0)</f>
        <v>#REF!</v>
      </c>
      <c r="M6513" s="33" t="str">
        <f t="shared" si="407"/>
        <v>P&amp;L</v>
      </c>
    </row>
    <row r="6514" spans="1:13" s="33" customFormat="true" ht="12.75" customHeight="true">
      <c r="A6514" s="33" t="str">
        <f t="shared" si="404"/>
        <v>NEW - Capital-Remodel</v>
      </c>
      <c r="B6514" s="33" t="str">
        <f t="shared" si="405"/>
        <v>NEW</v>
      </c>
      <c r="C6514" s="33" t="str">
        <f t="shared" si="406"/>
        <v>55000-0001</v>
      </c>
      <c r="D6514" s="64" t="s">
        <v>7680</v>
      </c>
      <c r="E6514" s="64" t="s">
        <v>7681</v>
      </c>
      <c r="F6514" s="64" t="s">
        <v>230</v>
      </c>
      <c r="G6514" s="64" t="s">
        <v>3818</v>
      </c>
      <c r="H6514" s="64" t="s">
        <v>4021</v>
      </c>
      <c r="I6514" s="64" t="s">
        <v>4022</v>
      </c>
      <c r="J6514" s="67">
        <v>-3130</v>
      </c>
      <c r="K6514" s="62">
        <v>-3130</v>
      </c>
      <c r="L6514" s="33" t="e">
        <f>HLOOKUP(B6514,#REF!,1,0)</f>
        <v>#REF!</v>
      </c>
      <c r="M6514" s="33" t="str">
        <f t="shared" si="407"/>
        <v>P&amp;L</v>
      </c>
    </row>
    <row r="6515" spans="1:13" s="33" customFormat="true" ht="12.75" customHeight="true">
      <c r="A6515" s="33" t="str">
        <f t="shared" si="404"/>
        <v>NEW - PM Expenses</v>
      </c>
      <c r="B6515" s="33" t="str">
        <f t="shared" si="405"/>
        <v>NEW</v>
      </c>
      <c r="C6515" s="33" t="str">
        <f t="shared" si="406"/>
        <v>55501-0001</v>
      </c>
      <c r="D6515" s="64" t="s">
        <v>7682</v>
      </c>
      <c r="E6515" s="64" t="s">
        <v>7683</v>
      </c>
      <c r="F6515" s="64" t="s">
        <v>230</v>
      </c>
      <c r="G6515" s="64" t="s">
        <v>3818</v>
      </c>
      <c r="H6515" s="64" t="s">
        <v>3819</v>
      </c>
      <c r="I6515" s="64" t="s">
        <v>3820</v>
      </c>
      <c r="J6515" s="67">
        <v>0</v>
      </c>
      <c r="K6515" s="62">
        <v>500</v>
      </c>
      <c r="L6515" s="33" t="e">
        <f>HLOOKUP(B6515,#REF!,1,0)</f>
        <v>#REF!</v>
      </c>
      <c r="M6515" s="33" t="str">
        <f t="shared" si="407"/>
        <v>P&amp;L</v>
      </c>
    </row>
    <row r="6516" spans="1:13" s="33" customFormat="true" ht="12.75" customHeight="true">
      <c r="A6516" s="33" t="str">
        <f t="shared" si="404"/>
        <v>NEW - PM Expenses</v>
      </c>
      <c r="B6516" s="33" t="str">
        <f t="shared" si="405"/>
        <v>NEW</v>
      </c>
      <c r="C6516" s="33" t="str">
        <f t="shared" si="406"/>
        <v>55502-0001</v>
      </c>
      <c r="D6516" s="64" t="s">
        <v>7684</v>
      </c>
      <c r="E6516" s="64" t="s">
        <v>7685</v>
      </c>
      <c r="F6516" s="64" t="s">
        <v>230</v>
      </c>
      <c r="G6516" s="64" t="s">
        <v>3818</v>
      </c>
      <c r="H6516" s="64" t="s">
        <v>3819</v>
      </c>
      <c r="I6516" s="64" t="s">
        <v>3823</v>
      </c>
      <c r="J6516" s="67">
        <v>40</v>
      </c>
      <c r="K6516" s="62">
        <v>2656.13</v>
      </c>
      <c r="L6516" s="33" t="e">
        <f>HLOOKUP(B6516,#REF!,1,0)</f>
        <v>#REF!</v>
      </c>
      <c r="M6516" s="33" t="str">
        <f t="shared" si="407"/>
        <v>P&amp;L</v>
      </c>
    </row>
    <row r="6517" spans="1:13" s="33" customFormat="true" ht="12.75" customHeight="true">
      <c r="A6517" s="33" t="str">
        <f t="shared" si="404"/>
        <v>NEW - PM Expenses</v>
      </c>
      <c r="B6517" s="33" t="str">
        <f t="shared" si="405"/>
        <v>NEW</v>
      </c>
      <c r="C6517" s="33" t="str">
        <f t="shared" si="406"/>
        <v>55503-0001</v>
      </c>
      <c r="D6517" s="64" t="s">
        <v>7686</v>
      </c>
      <c r="E6517" s="64" t="s">
        <v>7687</v>
      </c>
      <c r="F6517" s="64" t="s">
        <v>230</v>
      </c>
      <c r="G6517" s="64" t="s">
        <v>3818</v>
      </c>
      <c r="H6517" s="64" t="s">
        <v>3819</v>
      </c>
      <c r="I6517" s="64" t="s">
        <v>3826</v>
      </c>
      <c r="J6517" s="67">
        <v>541.99</v>
      </c>
      <c r="K6517" s="62">
        <v>1399.68</v>
      </c>
      <c r="L6517" s="33" t="e">
        <f>HLOOKUP(B6517,#REF!,1,0)</f>
        <v>#REF!</v>
      </c>
      <c r="M6517" s="33" t="str">
        <f t="shared" si="407"/>
        <v>P&amp;L</v>
      </c>
    </row>
    <row r="6518" spans="1:13" s="33" customFormat="true" ht="12.75" customHeight="true">
      <c r="A6518" s="33" t="str">
        <f t="shared" si="404"/>
        <v>NEW - PM Expenses</v>
      </c>
      <c r="B6518" s="33" t="str">
        <f t="shared" si="405"/>
        <v>NEW</v>
      </c>
      <c r="C6518" s="33" t="str">
        <f t="shared" si="406"/>
        <v>55504-0001</v>
      </c>
      <c r="D6518" s="64" t="s">
        <v>7688</v>
      </c>
      <c r="E6518" s="64" t="s">
        <v>7689</v>
      </c>
      <c r="F6518" s="64" t="s">
        <v>230</v>
      </c>
      <c r="G6518" s="64" t="s">
        <v>3818</v>
      </c>
      <c r="H6518" s="64" t="s">
        <v>3819</v>
      </c>
      <c r="I6518" s="64" t="s">
        <v>4028</v>
      </c>
      <c r="J6518" s="67">
        <v>0</v>
      </c>
      <c r="K6518" s="62">
        <v>100.48</v>
      </c>
      <c r="L6518" s="33" t="e">
        <f>HLOOKUP(B6518,#REF!,1,0)</f>
        <v>#REF!</v>
      </c>
      <c r="M6518" s="33" t="str">
        <f t="shared" si="407"/>
        <v>P&amp;L</v>
      </c>
    </row>
    <row r="6519" spans="1:13" s="33" customFormat="true" ht="12.75" customHeight="true">
      <c r="A6519" s="33" t="str">
        <f t="shared" si="404"/>
        <v>NEW - PM Expenses</v>
      </c>
      <c r="B6519" s="33" t="str">
        <f t="shared" si="405"/>
        <v>NEW</v>
      </c>
      <c r="C6519" s="33" t="str">
        <f t="shared" si="406"/>
        <v>55505-0001</v>
      </c>
      <c r="D6519" s="64" t="s">
        <v>7690</v>
      </c>
      <c r="E6519" s="64" t="s">
        <v>7691</v>
      </c>
      <c r="F6519" s="64" t="s">
        <v>230</v>
      </c>
      <c r="G6519" s="64" t="s">
        <v>3818</v>
      </c>
      <c r="H6519" s="64" t="s">
        <v>3819</v>
      </c>
      <c r="I6519" s="64" t="s">
        <v>3829</v>
      </c>
      <c r="J6519" s="67">
        <v>264</v>
      </c>
      <c r="K6519" s="62">
        <v>10558.45</v>
      </c>
      <c r="L6519" s="33" t="e">
        <f>HLOOKUP(B6519,#REF!,1,0)</f>
        <v>#REF!</v>
      </c>
      <c r="M6519" s="33" t="str">
        <f t="shared" si="407"/>
        <v>P&amp;L</v>
      </c>
    </row>
    <row r="6520" spans="1:13" s="33" customFormat="true" ht="12.75" customHeight="true">
      <c r="A6520" s="33" t="str">
        <f t="shared" si="404"/>
        <v>NEW - PM Expenses</v>
      </c>
      <c r="B6520" s="33" t="str">
        <f t="shared" si="405"/>
        <v>NEW</v>
      </c>
      <c r="C6520" s="33" t="str">
        <f t="shared" si="406"/>
        <v>55506-0000</v>
      </c>
      <c r="D6520" s="64" t="s">
        <v>7692</v>
      </c>
      <c r="E6520" s="64" t="s">
        <v>3831</v>
      </c>
      <c r="F6520" s="64" t="s">
        <v>230</v>
      </c>
      <c r="G6520" s="64" t="s">
        <v>3818</v>
      </c>
      <c r="H6520" s="64" t="s">
        <v>3819</v>
      </c>
      <c r="I6520" s="64" t="s">
        <v>3832</v>
      </c>
      <c r="J6520" s="67">
        <v>0</v>
      </c>
      <c r="K6520" s="62">
        <v>1554.61</v>
      </c>
      <c r="L6520" s="33" t="e">
        <f>HLOOKUP(B6520,#REF!,1,0)</f>
        <v>#REF!</v>
      </c>
      <c r="M6520" s="33" t="str">
        <f t="shared" si="407"/>
        <v>P&amp;L</v>
      </c>
    </row>
    <row r="6521" spans="1:13" s="33" customFormat="true" ht="12.75" customHeight="true">
      <c r="A6521" s="33" t="str">
        <f t="shared" si="404"/>
        <v>NEW - PM Expenses</v>
      </c>
      <c r="B6521" s="33" t="str">
        <f t="shared" si="405"/>
        <v>NEW</v>
      </c>
      <c r="C6521" s="33" t="str">
        <f t="shared" si="406"/>
        <v>55506-0001</v>
      </c>
      <c r="D6521" s="64" t="s">
        <v>7693</v>
      </c>
      <c r="E6521" s="64" t="s">
        <v>7694</v>
      </c>
      <c r="F6521" s="64" t="s">
        <v>230</v>
      </c>
      <c r="G6521" s="64" t="s">
        <v>3818</v>
      </c>
      <c r="H6521" s="64" t="s">
        <v>3819</v>
      </c>
      <c r="I6521" s="64" t="s">
        <v>3832</v>
      </c>
      <c r="J6521" s="67">
        <v>6494.37</v>
      </c>
      <c r="K6521" s="62">
        <v>84472.96</v>
      </c>
      <c r="L6521" s="33" t="e">
        <f>HLOOKUP(B6521,#REF!,1,0)</f>
        <v>#REF!</v>
      </c>
      <c r="M6521" s="33" t="str">
        <f t="shared" si="407"/>
        <v>P&amp;L</v>
      </c>
    </row>
    <row r="6522" spans="1:13" s="33" customFormat="true" ht="12.75" customHeight="true">
      <c r="A6522" s="33" t="str">
        <f t="shared" si="404"/>
        <v>NEW - PM Expenses</v>
      </c>
      <c r="B6522" s="33" t="str">
        <f t="shared" si="405"/>
        <v>NEW</v>
      </c>
      <c r="C6522" s="33" t="str">
        <f t="shared" si="406"/>
        <v>55507-0001</v>
      </c>
      <c r="D6522" s="64" t="s">
        <v>7695</v>
      </c>
      <c r="E6522" s="64" t="s">
        <v>7696</v>
      </c>
      <c r="F6522" s="64" t="s">
        <v>230</v>
      </c>
      <c r="G6522" s="64" t="s">
        <v>3818</v>
      </c>
      <c r="H6522" s="64" t="s">
        <v>3819</v>
      </c>
      <c r="I6522" s="64" t="s">
        <v>3835</v>
      </c>
      <c r="J6522" s="67">
        <v>0</v>
      </c>
      <c r="K6522" s="62">
        <v>807</v>
      </c>
      <c r="L6522" s="33" t="e">
        <f>HLOOKUP(B6522,#REF!,1,0)</f>
        <v>#REF!</v>
      </c>
      <c r="M6522" s="33" t="str">
        <f t="shared" si="407"/>
        <v>P&amp;L</v>
      </c>
    </row>
    <row r="6523" spans="1:13" s="33" customFormat="true" ht="12.75" customHeight="true">
      <c r="A6523" s="33" t="str">
        <f t="shared" si="404"/>
        <v>NEW - CGS</v>
      </c>
      <c r="B6523" s="33" t="str">
        <f t="shared" si="405"/>
        <v>NEW</v>
      </c>
      <c r="C6523" s="33" t="str">
        <f t="shared" si="406"/>
        <v>60001-0001</v>
      </c>
      <c r="D6523" s="64" t="s">
        <v>7697</v>
      </c>
      <c r="E6523" s="64" t="s">
        <v>7698</v>
      </c>
      <c r="F6523" s="64" t="s">
        <v>230</v>
      </c>
      <c r="G6523" s="64" t="s">
        <v>3838</v>
      </c>
      <c r="H6523" s="64" t="s">
        <v>1875</v>
      </c>
      <c r="I6523" s="64" t="s">
        <v>4193</v>
      </c>
      <c r="J6523" s="67">
        <v>0</v>
      </c>
      <c r="K6523" s="62">
        <v>6828.16</v>
      </c>
      <c r="L6523" s="33" t="e">
        <f>HLOOKUP(B6523,#REF!,1,0)</f>
        <v>#REF!</v>
      </c>
      <c r="M6523" s="33" t="str">
        <f t="shared" si="407"/>
        <v>P&amp;L</v>
      </c>
    </row>
    <row r="6524" spans="1:13" s="33" customFormat="true" ht="12.75" customHeight="true">
      <c r="A6524" s="33" t="str">
        <f t="shared" si="404"/>
        <v>NEW - CGS</v>
      </c>
      <c r="B6524" s="33" t="str">
        <f t="shared" si="405"/>
        <v>NEW</v>
      </c>
      <c r="C6524" s="33" t="str">
        <f t="shared" si="406"/>
        <v>60002-0000</v>
      </c>
      <c r="D6524" s="64" t="s">
        <v>7699</v>
      </c>
      <c r="E6524" s="64" t="s">
        <v>3837</v>
      </c>
      <c r="F6524" s="64" t="s">
        <v>230</v>
      </c>
      <c r="G6524" s="64" t="s">
        <v>3838</v>
      </c>
      <c r="H6524" s="64" t="s">
        <v>1875</v>
      </c>
      <c r="I6524" s="64" t="s">
        <v>3839</v>
      </c>
      <c r="J6524" s="67">
        <v>96.3</v>
      </c>
      <c r="K6524" s="62">
        <v>367.74</v>
      </c>
      <c r="L6524" s="33" t="e">
        <f>HLOOKUP(B6524,#REF!,1,0)</f>
        <v>#REF!</v>
      </c>
      <c r="M6524" s="33" t="str">
        <f t="shared" si="407"/>
        <v>P&amp;L</v>
      </c>
    </row>
    <row r="6525" spans="1:13" s="33" customFormat="true" ht="12.75" customHeight="true">
      <c r="A6525" s="33" t="str">
        <f t="shared" si="404"/>
        <v>NEW - CGS</v>
      </c>
      <c r="B6525" s="33" t="str">
        <f t="shared" si="405"/>
        <v>NEW</v>
      </c>
      <c r="C6525" s="33" t="str">
        <f t="shared" si="406"/>
        <v>60002-0001</v>
      </c>
      <c r="D6525" s="64" t="s">
        <v>7700</v>
      </c>
      <c r="E6525" s="64" t="s">
        <v>7701</v>
      </c>
      <c r="F6525" s="64" t="s">
        <v>230</v>
      </c>
      <c r="G6525" s="64" t="s">
        <v>3838</v>
      </c>
      <c r="H6525" s="64" t="s">
        <v>1875</v>
      </c>
      <c r="I6525" s="64" t="s">
        <v>3839</v>
      </c>
      <c r="J6525" s="67">
        <v>0</v>
      </c>
      <c r="K6525" s="62">
        <v>551.55</v>
      </c>
      <c r="L6525" s="33" t="e">
        <f>HLOOKUP(B6525,#REF!,1,0)</f>
        <v>#REF!</v>
      </c>
      <c r="M6525" s="33" t="str">
        <f t="shared" si="407"/>
        <v>P&amp;L</v>
      </c>
    </row>
    <row r="6526" spans="1:13" s="33" customFormat="true" ht="12.75" customHeight="true">
      <c r="A6526" s="33" t="str">
        <f t="shared" si="404"/>
        <v>NEW - CGS</v>
      </c>
      <c r="B6526" s="33" t="str">
        <f t="shared" si="405"/>
        <v>NEW</v>
      </c>
      <c r="C6526" s="33" t="str">
        <f t="shared" si="406"/>
        <v>60005-0001</v>
      </c>
      <c r="D6526" s="64" t="s">
        <v>7702</v>
      </c>
      <c r="E6526" s="64" t="s">
        <v>7703</v>
      </c>
      <c r="F6526" s="64" t="s">
        <v>230</v>
      </c>
      <c r="G6526" s="64" t="s">
        <v>3838</v>
      </c>
      <c r="H6526" s="64" t="s">
        <v>1875</v>
      </c>
      <c r="I6526" s="64" t="s">
        <v>3842</v>
      </c>
      <c r="J6526" s="67">
        <v>175</v>
      </c>
      <c r="K6526" s="62">
        <v>33920.16</v>
      </c>
      <c r="L6526" s="33" t="e">
        <f>HLOOKUP(B6526,#REF!,1,0)</f>
        <v>#REF!</v>
      </c>
      <c r="M6526" s="33" t="str">
        <f t="shared" si="407"/>
        <v>P&amp;L</v>
      </c>
    </row>
    <row r="6527" spans="1:13" s="33" customFormat="true" ht="12.75" customHeight="true">
      <c r="A6527" s="33" t="str">
        <f t="shared" si="404"/>
        <v>NEW - Interest Expense</v>
      </c>
      <c r="B6527" s="33" t="str">
        <f t="shared" si="405"/>
        <v>NEW</v>
      </c>
      <c r="C6527" s="33" t="str">
        <f t="shared" si="406"/>
        <v>60006-0001</v>
      </c>
      <c r="D6527" s="64" t="s">
        <v>7704</v>
      </c>
      <c r="E6527" s="64" t="s">
        <v>7705</v>
      </c>
      <c r="F6527" s="64" t="s">
        <v>230</v>
      </c>
      <c r="G6527" s="64" t="s">
        <v>3844</v>
      </c>
      <c r="H6527" s="64" t="s">
        <v>3327</v>
      </c>
      <c r="I6527" s="64" t="s">
        <v>3328</v>
      </c>
      <c r="J6527" s="67">
        <v>28222.4</v>
      </c>
      <c r="K6527" s="62">
        <v>284210.12</v>
      </c>
      <c r="L6527" s="33" t="e">
        <f>HLOOKUP(B6527,#REF!,1,0)</f>
        <v>#REF!</v>
      </c>
      <c r="M6527" s="33" t="str">
        <f t="shared" si="407"/>
        <v>P&amp;L</v>
      </c>
    </row>
    <row r="6528" spans="1:13" s="33" customFormat="true" ht="12.75" customHeight="true">
      <c r="A6528" s="33" t="str">
        <f t="shared" si="404"/>
        <v>NEW - CGS</v>
      </c>
      <c r="B6528" s="33" t="str">
        <f t="shared" si="405"/>
        <v>NEW</v>
      </c>
      <c r="C6528" s="33" t="str">
        <f t="shared" si="406"/>
        <v>60007-0000</v>
      </c>
      <c r="D6528" s="64" t="s">
        <v>7706</v>
      </c>
      <c r="E6528" s="64" t="s">
        <v>3846</v>
      </c>
      <c r="F6528" s="64" t="s">
        <v>230</v>
      </c>
      <c r="G6528" s="64" t="s">
        <v>3838</v>
      </c>
      <c r="H6528" s="64" t="s">
        <v>1875</v>
      </c>
      <c r="I6528" s="64" t="s">
        <v>3847</v>
      </c>
      <c r="J6528" s="67">
        <v>0</v>
      </c>
      <c r="K6528" s="62">
        <v>180000</v>
      </c>
      <c r="L6528" s="33" t="e">
        <f>HLOOKUP(B6528,#REF!,1,0)</f>
        <v>#REF!</v>
      </c>
      <c r="M6528" s="33" t="str">
        <f t="shared" si="407"/>
        <v>P&amp;L</v>
      </c>
    </row>
    <row r="6529" spans="1:13" s="33" customFormat="true" ht="12.75" customHeight="true">
      <c r="A6529" s="33" t="str">
        <f t="shared" si="404"/>
        <v>NEW - CGS</v>
      </c>
      <c r="B6529" s="33" t="str">
        <f t="shared" si="405"/>
        <v>NEW</v>
      </c>
      <c r="C6529" s="33" t="str">
        <f t="shared" si="406"/>
        <v>60007-0001</v>
      </c>
      <c r="D6529" s="64" t="s">
        <v>7707</v>
      </c>
      <c r="E6529" s="64" t="s">
        <v>7708</v>
      </c>
      <c r="F6529" s="64" t="s">
        <v>230</v>
      </c>
      <c r="G6529" s="64" t="s">
        <v>3838</v>
      </c>
      <c r="H6529" s="64" t="s">
        <v>1875</v>
      </c>
      <c r="I6529" s="64" t="s">
        <v>3847</v>
      </c>
      <c r="J6529" s="67">
        <v>0</v>
      </c>
      <c r="K6529" s="62">
        <v>801</v>
      </c>
      <c r="L6529" s="33" t="e">
        <f>HLOOKUP(B6529,#REF!,1,0)</f>
        <v>#REF!</v>
      </c>
      <c r="M6529" s="33" t="str">
        <f t="shared" si="407"/>
        <v>P&amp;L</v>
      </c>
    </row>
    <row r="6530" spans="1:13" s="33" customFormat="true" ht="12.75" customHeight="true">
      <c r="A6530" s="33" t="str">
        <f t="shared" ref="A6530:A6593" si="408">B6530&amp;" - "&amp;TRIM(H6530)</f>
        <v>NEW - CGS</v>
      </c>
      <c r="B6530" s="33" t="str">
        <f t="shared" ref="B6530:B6593" si="409">LEFT(D6530,3)</f>
        <v>NEW</v>
      </c>
      <c r="C6530" s="33" t="str">
        <f t="shared" ref="C6530:C6593" si="410">RIGHT(D6530,10)</f>
        <v>60008-0001</v>
      </c>
      <c r="D6530" s="64" t="s">
        <v>7709</v>
      </c>
      <c r="E6530" s="64" t="s">
        <v>7710</v>
      </c>
      <c r="F6530" s="64" t="s">
        <v>230</v>
      </c>
      <c r="G6530" s="64" t="s">
        <v>3838</v>
      </c>
      <c r="H6530" s="64" t="s">
        <v>1875</v>
      </c>
      <c r="I6530" s="64" t="s">
        <v>3850</v>
      </c>
      <c r="J6530" s="67">
        <v>0</v>
      </c>
      <c r="K6530" s="62">
        <v>5965</v>
      </c>
      <c r="L6530" s="33" t="e">
        <f>HLOOKUP(B6530,#REF!,1,0)</f>
        <v>#REF!</v>
      </c>
      <c r="M6530" s="33" t="str">
        <f t="shared" ref="M6530:M6593" si="411">IF(VALUE(LEFT(C6530,5))&gt;40000,"P&amp;L","BS")</f>
        <v>P&amp;L</v>
      </c>
    </row>
    <row r="6531" spans="1:13" s="33" customFormat="true" ht="12.75" customHeight="true">
      <c r="A6531" s="33" t="str">
        <f t="shared" si="408"/>
        <v>NEW - CGS</v>
      </c>
      <c r="B6531" s="33" t="str">
        <f t="shared" si="409"/>
        <v>NEW</v>
      </c>
      <c r="C6531" s="33" t="str">
        <f t="shared" si="410"/>
        <v>60011-0000</v>
      </c>
      <c r="D6531" s="64" t="s">
        <v>7711</v>
      </c>
      <c r="E6531" s="64" t="s">
        <v>4199</v>
      </c>
      <c r="F6531" s="64" t="s">
        <v>230</v>
      </c>
      <c r="G6531" s="64" t="s">
        <v>3838</v>
      </c>
      <c r="H6531" s="64" t="s">
        <v>1875</v>
      </c>
      <c r="I6531" s="64" t="s">
        <v>4200</v>
      </c>
      <c r="J6531" s="67">
        <v>0</v>
      </c>
      <c r="K6531" s="62">
        <v>-1248.6</v>
      </c>
      <c r="L6531" s="33" t="e">
        <f>HLOOKUP(B6531,#REF!,1,0)</f>
        <v>#REF!</v>
      </c>
      <c r="M6531" s="33" t="str">
        <f t="shared" si="411"/>
        <v>P&amp;L</v>
      </c>
    </row>
    <row r="6532" spans="1:13" s="33" customFormat="true" ht="12.75" customHeight="true">
      <c r="A6532" s="33" t="str">
        <f t="shared" si="408"/>
        <v>NEW - CGS</v>
      </c>
      <c r="B6532" s="33" t="str">
        <f t="shared" si="409"/>
        <v>NEW</v>
      </c>
      <c r="C6532" s="33" t="str">
        <f t="shared" si="410"/>
        <v>60011-0001</v>
      </c>
      <c r="D6532" s="64" t="s">
        <v>7712</v>
      </c>
      <c r="E6532" s="64" t="s">
        <v>7713</v>
      </c>
      <c r="F6532" s="64" t="s">
        <v>230</v>
      </c>
      <c r="G6532" s="64" t="s">
        <v>3838</v>
      </c>
      <c r="H6532" s="64" t="s">
        <v>1875</v>
      </c>
      <c r="I6532" s="64" t="s">
        <v>4200</v>
      </c>
      <c r="J6532" s="67">
        <v>0</v>
      </c>
      <c r="K6532" s="62">
        <v>2614.3</v>
      </c>
      <c r="L6532" s="33" t="e">
        <f>HLOOKUP(B6532,#REF!,1,0)</f>
        <v>#REF!</v>
      </c>
      <c r="M6532" s="33" t="str">
        <f t="shared" si="411"/>
        <v>P&amp;L</v>
      </c>
    </row>
    <row r="6533" spans="1:13" s="33" customFormat="true" ht="12.75" customHeight="true">
      <c r="A6533" s="33" t="str">
        <f t="shared" si="408"/>
        <v>NEW - CGS</v>
      </c>
      <c r="B6533" s="33" t="str">
        <f t="shared" si="409"/>
        <v>NEW</v>
      </c>
      <c r="C6533" s="33" t="str">
        <f t="shared" si="410"/>
        <v>60012-0001</v>
      </c>
      <c r="D6533" s="64" t="s">
        <v>7714</v>
      </c>
      <c r="E6533" s="64" t="s">
        <v>7715</v>
      </c>
      <c r="F6533" s="64" t="s">
        <v>230</v>
      </c>
      <c r="G6533" s="64" t="s">
        <v>3838</v>
      </c>
      <c r="H6533" s="64" t="s">
        <v>1875</v>
      </c>
      <c r="I6533" s="64" t="s">
        <v>3853</v>
      </c>
      <c r="J6533" s="67">
        <v>0</v>
      </c>
      <c r="K6533" s="62">
        <v>50817.19</v>
      </c>
      <c r="L6533" s="33" t="e">
        <f>HLOOKUP(B6533,#REF!,1,0)</f>
        <v>#REF!</v>
      </c>
      <c r="M6533" s="33" t="str">
        <f t="shared" si="411"/>
        <v>P&amp;L</v>
      </c>
    </row>
    <row r="6534" spans="1:13" s="33" customFormat="true" ht="12.75" customHeight="true">
      <c r="A6534" s="33" t="str">
        <f t="shared" si="408"/>
        <v>NEW - CGS</v>
      </c>
      <c r="B6534" s="33" t="str">
        <f t="shared" si="409"/>
        <v>NEW</v>
      </c>
      <c r="C6534" s="33" t="str">
        <f t="shared" si="410"/>
        <v>60014-0000</v>
      </c>
      <c r="D6534" s="64" t="s">
        <v>7716</v>
      </c>
      <c r="E6534" s="64" t="s">
        <v>3855</v>
      </c>
      <c r="F6534" s="64" t="s">
        <v>230</v>
      </c>
      <c r="G6534" s="64" t="s">
        <v>3838</v>
      </c>
      <c r="H6534" s="64" t="s">
        <v>1875</v>
      </c>
      <c r="I6534" s="64" t="s">
        <v>3856</v>
      </c>
      <c r="J6534" s="67">
        <v>3224.59</v>
      </c>
      <c r="K6534" s="62">
        <v>6624.32</v>
      </c>
      <c r="L6534" s="33" t="e">
        <f>HLOOKUP(B6534,#REF!,1,0)</f>
        <v>#REF!</v>
      </c>
      <c r="M6534" s="33" t="str">
        <f t="shared" si="411"/>
        <v>P&amp;L</v>
      </c>
    </row>
    <row r="6535" spans="1:13" s="33" customFormat="true" ht="12.75" customHeight="true">
      <c r="A6535" s="33" t="str">
        <f t="shared" si="408"/>
        <v>NEW - CGS</v>
      </c>
      <c r="B6535" s="33" t="str">
        <f t="shared" si="409"/>
        <v>NEW</v>
      </c>
      <c r="C6535" s="33" t="str">
        <f t="shared" si="410"/>
        <v>60014-0001</v>
      </c>
      <c r="D6535" s="64" t="s">
        <v>7717</v>
      </c>
      <c r="E6535" s="64" t="s">
        <v>7718</v>
      </c>
      <c r="F6535" s="64" t="s">
        <v>230</v>
      </c>
      <c r="G6535" s="64" t="s">
        <v>3838</v>
      </c>
      <c r="H6535" s="64" t="s">
        <v>1875</v>
      </c>
      <c r="I6535" s="64" t="s">
        <v>3856</v>
      </c>
      <c r="J6535" s="67">
        <v>0</v>
      </c>
      <c r="K6535" s="62">
        <v>30186.6</v>
      </c>
      <c r="L6535" s="33" t="e">
        <f>HLOOKUP(B6535,#REF!,1,0)</f>
        <v>#REF!</v>
      </c>
      <c r="M6535" s="33" t="str">
        <f t="shared" si="411"/>
        <v>P&amp;L</v>
      </c>
    </row>
    <row r="6536" spans="1:13" s="33" customFormat="true" ht="12.75" customHeight="true">
      <c r="A6536" s="33" t="str">
        <f t="shared" si="408"/>
        <v>NEW - CGS</v>
      </c>
      <c r="B6536" s="33" t="str">
        <f t="shared" si="409"/>
        <v>NEW</v>
      </c>
      <c r="C6536" s="33" t="str">
        <f t="shared" si="410"/>
        <v>60015-0000</v>
      </c>
      <c r="D6536" s="64" t="s">
        <v>7719</v>
      </c>
      <c r="E6536" s="64" t="s">
        <v>3858</v>
      </c>
      <c r="F6536" s="64" t="s">
        <v>230</v>
      </c>
      <c r="G6536" s="64" t="s">
        <v>3838</v>
      </c>
      <c r="H6536" s="64" t="s">
        <v>1875</v>
      </c>
      <c r="I6536" s="64" t="s">
        <v>3859</v>
      </c>
      <c r="J6536" s="67">
        <v>235</v>
      </c>
      <c r="K6536" s="62">
        <v>235</v>
      </c>
      <c r="L6536" s="33" t="e">
        <f>HLOOKUP(B6536,#REF!,1,0)</f>
        <v>#REF!</v>
      </c>
      <c r="M6536" s="33" t="str">
        <f t="shared" si="411"/>
        <v>P&amp;L</v>
      </c>
    </row>
    <row r="6537" spans="1:13" s="33" customFormat="true" ht="12.75" customHeight="true">
      <c r="A6537" s="33" t="str">
        <f t="shared" si="408"/>
        <v>NEW - CGS</v>
      </c>
      <c r="B6537" s="33" t="str">
        <f t="shared" si="409"/>
        <v>NEW</v>
      </c>
      <c r="C6537" s="33" t="str">
        <f t="shared" si="410"/>
        <v>60015-0001</v>
      </c>
      <c r="D6537" s="64" t="s">
        <v>7720</v>
      </c>
      <c r="E6537" s="64" t="s">
        <v>7721</v>
      </c>
      <c r="F6537" s="64" t="s">
        <v>230</v>
      </c>
      <c r="G6537" s="64" t="s">
        <v>3838</v>
      </c>
      <c r="H6537" s="64" t="s">
        <v>1875</v>
      </c>
      <c r="I6537" s="64" t="s">
        <v>3859</v>
      </c>
      <c r="J6537" s="67">
        <v>0</v>
      </c>
      <c r="K6537" s="62">
        <v>167.88</v>
      </c>
      <c r="L6537" s="33" t="e">
        <f>HLOOKUP(B6537,#REF!,1,0)</f>
        <v>#REF!</v>
      </c>
      <c r="M6537" s="33" t="str">
        <f t="shared" si="411"/>
        <v>P&amp;L</v>
      </c>
    </row>
    <row r="6538" spans="1:13" s="33" customFormat="true" ht="12.75" customHeight="true">
      <c r="A6538" s="33" t="str">
        <f t="shared" si="408"/>
        <v>NEW - CGS</v>
      </c>
      <c r="B6538" s="33" t="str">
        <f t="shared" si="409"/>
        <v>NEW</v>
      </c>
      <c r="C6538" s="33" t="str">
        <f t="shared" si="410"/>
        <v>61016-0001</v>
      </c>
      <c r="D6538" s="64" t="s">
        <v>7722</v>
      </c>
      <c r="E6538" s="64" t="s">
        <v>7723</v>
      </c>
      <c r="F6538" s="64" t="s">
        <v>230</v>
      </c>
      <c r="G6538" s="64" t="s">
        <v>3838</v>
      </c>
      <c r="H6538" s="64" t="s">
        <v>1875</v>
      </c>
      <c r="I6538" s="64" t="s">
        <v>3862</v>
      </c>
      <c r="J6538" s="67">
        <v>0</v>
      </c>
      <c r="K6538" s="62">
        <v>200</v>
      </c>
      <c r="L6538" s="33" t="e">
        <f>HLOOKUP(B6538,#REF!,1,0)</f>
        <v>#REF!</v>
      </c>
      <c r="M6538" s="33" t="str">
        <f t="shared" si="411"/>
        <v>P&amp;L</v>
      </c>
    </row>
    <row r="6539" spans="1:13" s="33" customFormat="true" ht="12.75" customHeight="true">
      <c r="A6539" s="33" t="str">
        <f t="shared" si="408"/>
        <v>NEW - CGS</v>
      </c>
      <c r="B6539" s="33" t="str">
        <f t="shared" si="409"/>
        <v>NEW</v>
      </c>
      <c r="C6539" s="33" t="str">
        <f t="shared" si="410"/>
        <v>61018-0000</v>
      </c>
      <c r="D6539" s="64" t="s">
        <v>7724</v>
      </c>
      <c r="E6539" s="64" t="s">
        <v>3864</v>
      </c>
      <c r="F6539" s="64" t="s">
        <v>230</v>
      </c>
      <c r="G6539" s="64" t="s">
        <v>3838</v>
      </c>
      <c r="H6539" s="64" t="s">
        <v>1875</v>
      </c>
      <c r="I6539" s="64" t="s">
        <v>3866</v>
      </c>
      <c r="J6539" s="67">
        <v>0</v>
      </c>
      <c r="K6539" s="62">
        <v>-5313.8</v>
      </c>
      <c r="L6539" s="33" t="e">
        <f>HLOOKUP(B6539,#REF!,1,0)</f>
        <v>#REF!</v>
      </c>
      <c r="M6539" s="33" t="str">
        <f t="shared" si="411"/>
        <v>P&amp;L</v>
      </c>
    </row>
    <row r="6540" spans="1:13" s="33" customFormat="true" ht="12.75" customHeight="true">
      <c r="A6540" s="33" t="str">
        <f t="shared" si="408"/>
        <v>NEW - Income Tax</v>
      </c>
      <c r="B6540" s="33" t="str">
        <f t="shared" si="409"/>
        <v>NEW</v>
      </c>
      <c r="C6540" s="33" t="str">
        <f t="shared" si="410"/>
        <v>61019-0000</v>
      </c>
      <c r="D6540" s="64" t="s">
        <v>7725</v>
      </c>
      <c r="E6540" s="64" t="s">
        <v>4041</v>
      </c>
      <c r="F6540" s="64" t="s">
        <v>230</v>
      </c>
      <c r="G6540" s="64" t="s">
        <v>3844</v>
      </c>
      <c r="H6540" s="64" t="s">
        <v>3378</v>
      </c>
      <c r="I6540" s="64" t="s">
        <v>4042</v>
      </c>
      <c r="J6540" s="67">
        <v>3500</v>
      </c>
      <c r="K6540" s="62">
        <v>6751.92</v>
      </c>
      <c r="L6540" s="33" t="e">
        <f>HLOOKUP(B6540,#REF!,1,0)</f>
        <v>#REF!</v>
      </c>
      <c r="M6540" s="33" t="str">
        <f t="shared" si="411"/>
        <v>P&amp;L</v>
      </c>
    </row>
    <row r="6541" spans="1:13" s="33" customFormat="true" ht="12.75" customHeight="true">
      <c r="A6541" s="33" t="str">
        <f t="shared" si="408"/>
        <v>NWS - Revenue</v>
      </c>
      <c r="B6541" s="33" t="str">
        <f t="shared" si="409"/>
        <v>NWS</v>
      </c>
      <c r="C6541" s="33" t="str">
        <f t="shared" si="410"/>
        <v>40300-1200</v>
      </c>
      <c r="D6541" s="64" t="s">
        <v>7726</v>
      </c>
      <c r="E6541" s="64" t="s">
        <v>7727</v>
      </c>
      <c r="F6541" s="64" t="s">
        <v>1794</v>
      </c>
      <c r="G6541" s="64" t="s">
        <v>4447</v>
      </c>
      <c r="H6541" s="64" t="s">
        <v>2871</v>
      </c>
      <c r="I6541" s="64" t="s">
        <v>5790</v>
      </c>
      <c r="J6541" s="67">
        <v>-1318.88</v>
      </c>
      <c r="K6541" s="62">
        <v>-13188.8</v>
      </c>
      <c r="L6541" s="33" t="e">
        <f>HLOOKUP(B6541,#REF!,1,0)</f>
        <v>#REF!</v>
      </c>
      <c r="M6541" s="33" t="str">
        <f t="shared" si="411"/>
        <v>P&amp;L</v>
      </c>
    </row>
    <row r="6542" spans="1:13" s="33" customFormat="true" ht="12.75" customHeight="true">
      <c r="A6542" s="33" t="str">
        <f t="shared" si="408"/>
        <v>NWS - Revenue</v>
      </c>
      <c r="B6542" s="33" t="str">
        <f t="shared" si="409"/>
        <v>NWS</v>
      </c>
      <c r="C6542" s="33" t="str">
        <f t="shared" si="410"/>
        <v>40400-1200</v>
      </c>
      <c r="D6542" s="64" t="s">
        <v>7728</v>
      </c>
      <c r="E6542" s="64" t="s">
        <v>7729</v>
      </c>
      <c r="F6542" s="64" t="s">
        <v>1794</v>
      </c>
      <c r="G6542" s="64" t="s">
        <v>4447</v>
      </c>
      <c r="H6542" s="64" t="s">
        <v>2871</v>
      </c>
      <c r="I6542" s="64" t="s">
        <v>7730</v>
      </c>
      <c r="J6542" s="67">
        <v>-51652.53</v>
      </c>
      <c r="K6542" s="62">
        <v>-400181.65</v>
      </c>
      <c r="L6542" s="33" t="e">
        <f>HLOOKUP(B6542,#REF!,1,0)</f>
        <v>#REF!</v>
      </c>
      <c r="M6542" s="33" t="str">
        <f t="shared" si="411"/>
        <v>P&amp;L</v>
      </c>
    </row>
    <row r="6543" spans="1:13" s="33" customFormat="true" ht="12.75" customHeight="true">
      <c r="A6543" s="33" t="str">
        <f t="shared" si="408"/>
        <v>NWS - CGS</v>
      </c>
      <c r="B6543" s="33" t="str">
        <f t="shared" si="409"/>
        <v>NWS</v>
      </c>
      <c r="C6543" s="33" t="str">
        <f t="shared" si="410"/>
        <v>52001-1200</v>
      </c>
      <c r="D6543" s="64" t="s">
        <v>7731</v>
      </c>
      <c r="E6543" s="64" t="s">
        <v>7732</v>
      </c>
      <c r="F6543" s="64" t="s">
        <v>1794</v>
      </c>
      <c r="G6543" s="64" t="s">
        <v>4426</v>
      </c>
      <c r="H6543" s="64" t="s">
        <v>1875</v>
      </c>
      <c r="I6543" s="64" t="s">
        <v>7733</v>
      </c>
      <c r="J6543" s="67">
        <v>45421.92</v>
      </c>
      <c r="K6543" s="62">
        <v>480322.96</v>
      </c>
      <c r="L6543" s="33" t="e">
        <f>HLOOKUP(B6543,#REF!,1,0)</f>
        <v>#REF!</v>
      </c>
      <c r="M6543" s="33" t="str">
        <f t="shared" si="411"/>
        <v>P&amp;L</v>
      </c>
    </row>
    <row r="6544" spans="1:13" s="33" customFormat="true" ht="12.75" customHeight="true">
      <c r="A6544" s="33" t="str">
        <f t="shared" si="408"/>
        <v>NWS - CGS</v>
      </c>
      <c r="B6544" s="33" t="str">
        <f t="shared" si="409"/>
        <v>NWS</v>
      </c>
      <c r="C6544" s="33" t="str">
        <f t="shared" si="410"/>
        <v>55001-0000</v>
      </c>
      <c r="D6544" s="64" t="s">
        <v>7734</v>
      </c>
      <c r="E6544" s="64" t="s">
        <v>7735</v>
      </c>
      <c r="F6544" s="64" t="s">
        <v>1794</v>
      </c>
      <c r="G6544" s="64" t="s">
        <v>5235</v>
      </c>
      <c r="H6544" s="64" t="s">
        <v>1875</v>
      </c>
      <c r="I6544" s="64" t="s">
        <v>7736</v>
      </c>
      <c r="J6544" s="67">
        <v>1318.88</v>
      </c>
      <c r="K6544" s="62">
        <v>13188.8</v>
      </c>
      <c r="L6544" s="33" t="e">
        <f>HLOOKUP(B6544,#REF!,1,0)</f>
        <v>#REF!</v>
      </c>
      <c r="M6544" s="33" t="str">
        <f t="shared" si="411"/>
        <v>P&amp;L</v>
      </c>
    </row>
    <row r="6545" spans="1:13" s="33" customFormat="true" ht="12.75" customHeight="true">
      <c r="A6545" s="33" t="str">
        <f t="shared" si="408"/>
        <v>NWS - CGS</v>
      </c>
      <c r="B6545" s="33" t="str">
        <f t="shared" si="409"/>
        <v>NWS</v>
      </c>
      <c r="C6545" s="33" t="str">
        <f t="shared" si="410"/>
        <v>56001-1200</v>
      </c>
      <c r="D6545" s="64" t="s">
        <v>7737</v>
      </c>
      <c r="E6545" s="64" t="s">
        <v>7738</v>
      </c>
      <c r="F6545" s="64" t="s">
        <v>1794</v>
      </c>
      <c r="G6545" s="64" t="s">
        <v>5235</v>
      </c>
      <c r="H6545" s="64" t="s">
        <v>1875</v>
      </c>
      <c r="I6545" s="64" t="s">
        <v>7739</v>
      </c>
      <c r="J6545" s="67">
        <v>3830.61</v>
      </c>
      <c r="K6545" s="62">
        <v>-104141.31</v>
      </c>
      <c r="L6545" s="33" t="e">
        <f>HLOOKUP(B6545,#REF!,1,0)</f>
        <v>#REF!</v>
      </c>
      <c r="M6545" s="33" t="str">
        <f t="shared" si="411"/>
        <v>P&amp;L</v>
      </c>
    </row>
    <row r="6546" spans="1:13" s="33" customFormat="true" ht="12.75" customHeight="true">
      <c r="A6546" s="33" t="str">
        <f t="shared" si="408"/>
        <v>NWS - Operating Expense</v>
      </c>
      <c r="B6546" s="33" t="str">
        <f t="shared" si="409"/>
        <v>NWS</v>
      </c>
      <c r="C6546" s="33" t="str">
        <f t="shared" si="410"/>
        <v>56002-0000</v>
      </c>
      <c r="D6546" s="64" t="s">
        <v>7740</v>
      </c>
      <c r="E6546" s="64" t="s">
        <v>4496</v>
      </c>
      <c r="F6546" s="64" t="s">
        <v>1794</v>
      </c>
      <c r="G6546" s="64" t="s">
        <v>5235</v>
      </c>
      <c r="H6546" s="64" t="s">
        <v>3022</v>
      </c>
      <c r="I6546" s="64" t="s">
        <v>3010</v>
      </c>
      <c r="J6546" s="67">
        <v>11630.58</v>
      </c>
      <c r="K6546" s="62">
        <v>13316.07</v>
      </c>
      <c r="L6546" s="33" t="e">
        <f>HLOOKUP(B6546,#REF!,1,0)</f>
        <v>#REF!</v>
      </c>
      <c r="M6546" s="33" t="str">
        <f t="shared" si="411"/>
        <v>P&amp;L</v>
      </c>
    </row>
    <row r="6547" spans="1:13" s="33" customFormat="true" ht="12.75" customHeight="true">
      <c r="A6547" s="33" t="str">
        <f t="shared" si="408"/>
        <v>NWS - CGS</v>
      </c>
      <c r="B6547" s="33" t="str">
        <f t="shared" si="409"/>
        <v>NWS</v>
      </c>
      <c r="C6547" s="33" t="str">
        <f t="shared" si="410"/>
        <v>57900-0000</v>
      </c>
      <c r="D6547" s="64" t="s">
        <v>7741</v>
      </c>
      <c r="E6547" s="64" t="s">
        <v>4425</v>
      </c>
      <c r="F6547" s="64" t="s">
        <v>1794</v>
      </c>
      <c r="G6547" s="64" t="s">
        <v>4426</v>
      </c>
      <c r="H6547" s="64" t="s">
        <v>1875</v>
      </c>
      <c r="I6547" s="64" t="s">
        <v>4427</v>
      </c>
      <c r="J6547" s="67">
        <v>12</v>
      </c>
      <c r="K6547" s="62">
        <v>3239</v>
      </c>
      <c r="L6547" s="33" t="e">
        <f>HLOOKUP(B6547,#REF!,1,0)</f>
        <v>#REF!</v>
      </c>
      <c r="M6547" s="33" t="str">
        <f t="shared" si="411"/>
        <v>P&amp;L</v>
      </c>
    </row>
    <row r="6548" spans="1:13" s="33" customFormat="true" ht="12.75" customHeight="true">
      <c r="A6548" s="33" t="str">
        <f t="shared" si="408"/>
        <v>NWS - Operating Expense</v>
      </c>
      <c r="B6548" s="33" t="str">
        <f t="shared" si="409"/>
        <v>NWS</v>
      </c>
      <c r="C6548" s="33" t="str">
        <f t="shared" si="410"/>
        <v>64502-0000</v>
      </c>
      <c r="D6548" s="64" t="s">
        <v>7742</v>
      </c>
      <c r="E6548" s="64" t="s">
        <v>3195</v>
      </c>
      <c r="F6548" s="64" t="s">
        <v>1794</v>
      </c>
      <c r="G6548" s="64" t="s">
        <v>5235</v>
      </c>
      <c r="H6548" s="64" t="s">
        <v>3022</v>
      </c>
      <c r="I6548" s="64" t="s">
        <v>5233</v>
      </c>
      <c r="J6548" s="67">
        <v>80.13</v>
      </c>
      <c r="K6548" s="62">
        <v>908.48</v>
      </c>
      <c r="L6548" s="33" t="e">
        <f>HLOOKUP(B6548,#REF!,1,0)</f>
        <v>#REF!</v>
      </c>
      <c r="M6548" s="33" t="str">
        <f t="shared" si="411"/>
        <v>P&amp;L</v>
      </c>
    </row>
    <row r="6549" spans="1:13" s="33" customFormat="true" ht="12.75" customHeight="true">
      <c r="A6549" s="33" t="str">
        <f t="shared" si="408"/>
        <v>NWS - Operating Expense</v>
      </c>
      <c r="B6549" s="33" t="str">
        <f t="shared" si="409"/>
        <v>NWS</v>
      </c>
      <c r="C6549" s="33" t="str">
        <f t="shared" si="410"/>
        <v>64530-0000</v>
      </c>
      <c r="D6549" s="64" t="s">
        <v>7743</v>
      </c>
      <c r="E6549" s="64" t="s">
        <v>4759</v>
      </c>
      <c r="F6549" s="64" t="s">
        <v>1794</v>
      </c>
      <c r="G6549" s="64" t="s">
        <v>5235</v>
      </c>
      <c r="H6549" s="64" t="s">
        <v>3022</v>
      </c>
      <c r="I6549" s="64" t="s">
        <v>4760</v>
      </c>
      <c r="J6549" s="67">
        <v>196.1</v>
      </c>
      <c r="K6549" s="62">
        <v>2282.87</v>
      </c>
      <c r="L6549" s="33" t="e">
        <f>HLOOKUP(B6549,#REF!,1,0)</f>
        <v>#REF!</v>
      </c>
      <c r="M6549" s="33" t="str">
        <f t="shared" si="411"/>
        <v>P&amp;L</v>
      </c>
    </row>
    <row r="6550" spans="1:13" s="33" customFormat="true" ht="12.75" customHeight="true">
      <c r="A6550" s="33" t="str">
        <f t="shared" si="408"/>
        <v>NWS - Operating Expense</v>
      </c>
      <c r="B6550" s="33" t="str">
        <f t="shared" si="409"/>
        <v>NWS</v>
      </c>
      <c r="C6550" s="33" t="str">
        <f t="shared" si="410"/>
        <v>90601-0000</v>
      </c>
      <c r="D6550" s="64" t="s">
        <v>7744</v>
      </c>
      <c r="E6550" s="64" t="s">
        <v>4500</v>
      </c>
      <c r="F6550" s="64" t="s">
        <v>1794</v>
      </c>
      <c r="G6550" s="64" t="s">
        <v>5235</v>
      </c>
      <c r="H6550" s="64" t="s">
        <v>3022</v>
      </c>
      <c r="I6550" s="64" t="s">
        <v>3316</v>
      </c>
      <c r="J6550" s="67">
        <v>0</v>
      </c>
      <c r="K6550" s="62">
        <v>9099.88</v>
      </c>
      <c r="L6550" s="33" t="e">
        <f>HLOOKUP(B6550,#REF!,1,0)</f>
        <v>#REF!</v>
      </c>
      <c r="M6550" s="33" t="str">
        <f t="shared" si="411"/>
        <v>P&amp;L</v>
      </c>
    </row>
    <row r="6551" spans="1:13" s="33" customFormat="true" ht="12.75" customHeight="true">
      <c r="A6551" s="33" t="str">
        <f t="shared" si="408"/>
        <v>NWS - Income Tax</v>
      </c>
      <c r="B6551" s="33" t="str">
        <f t="shared" si="409"/>
        <v>NWS</v>
      </c>
      <c r="C6551" s="33" t="str">
        <f t="shared" si="410"/>
        <v>99901-0000</v>
      </c>
      <c r="D6551" s="64" t="s">
        <v>7745</v>
      </c>
      <c r="E6551" s="64" t="s">
        <v>6026</v>
      </c>
      <c r="F6551" s="64" t="s">
        <v>1794</v>
      </c>
      <c r="G6551" s="64" t="s">
        <v>5235</v>
      </c>
      <c r="H6551" s="64" t="s">
        <v>3378</v>
      </c>
      <c r="I6551" s="64" t="s">
        <v>5245</v>
      </c>
      <c r="J6551" s="67">
        <v>0</v>
      </c>
      <c r="K6551" s="62">
        <v>3300</v>
      </c>
      <c r="L6551" s="33" t="e">
        <f>HLOOKUP(B6551,#REF!,1,0)</f>
        <v>#REF!</v>
      </c>
      <c r="M6551" s="33" t="str">
        <f t="shared" si="411"/>
        <v>P&amp;L</v>
      </c>
    </row>
    <row r="6552" spans="1:13" s="33" customFormat="true" ht="12.75" customHeight="true">
      <c r="A6552" s="33" t="str">
        <f t="shared" si="408"/>
        <v>OLD - Revenue</v>
      </c>
      <c r="B6552" s="33" t="str">
        <f t="shared" si="409"/>
        <v>OLD</v>
      </c>
      <c r="C6552" s="33" t="str">
        <f t="shared" si="410"/>
        <v>40110-0040</v>
      </c>
      <c r="D6552" s="64" t="s">
        <v>7746</v>
      </c>
      <c r="E6552" s="64" t="s">
        <v>3683</v>
      </c>
      <c r="F6552" s="64" t="s">
        <v>230</v>
      </c>
      <c r="G6552" s="64" t="s">
        <v>3684</v>
      </c>
      <c r="H6552" s="64" t="s">
        <v>2871</v>
      </c>
      <c r="I6552" s="64" t="s">
        <v>3685</v>
      </c>
      <c r="J6552" s="67">
        <v>0</v>
      </c>
      <c r="K6552" s="62">
        <v>-38913.06</v>
      </c>
      <c r="L6552" s="33" t="e">
        <f>HLOOKUP(B6552,#REF!,1,0)</f>
        <v>#REF!</v>
      </c>
      <c r="M6552" s="33" t="str">
        <f t="shared" si="411"/>
        <v>P&amp;L</v>
      </c>
    </row>
    <row r="6553" spans="1:13" s="33" customFormat="true" ht="12.75" customHeight="true">
      <c r="A6553" s="33" t="str">
        <f t="shared" si="408"/>
        <v>OLD - Revenue</v>
      </c>
      <c r="B6553" s="33" t="str">
        <f t="shared" si="409"/>
        <v>OLD</v>
      </c>
      <c r="C6553" s="33" t="str">
        <f t="shared" si="410"/>
        <v>40110-0041</v>
      </c>
      <c r="D6553" s="64" t="s">
        <v>7747</v>
      </c>
      <c r="E6553" s="64" t="s">
        <v>3683</v>
      </c>
      <c r="F6553" s="64" t="s">
        <v>230</v>
      </c>
      <c r="G6553" s="64" t="s">
        <v>3684</v>
      </c>
      <c r="H6553" s="64" t="s">
        <v>2871</v>
      </c>
      <c r="I6553" s="64" t="s">
        <v>3685</v>
      </c>
      <c r="J6553" s="67">
        <v>0</v>
      </c>
      <c r="K6553" s="62">
        <v>-157550</v>
      </c>
      <c r="L6553" s="33" t="e">
        <f>HLOOKUP(B6553,#REF!,1,0)</f>
        <v>#REF!</v>
      </c>
      <c r="M6553" s="33" t="str">
        <f t="shared" si="411"/>
        <v>P&amp;L</v>
      </c>
    </row>
    <row r="6554" spans="1:13" s="33" customFormat="true" ht="12.75" customHeight="true">
      <c r="A6554" s="33" t="str">
        <f t="shared" si="408"/>
        <v>OLD - Revenue</v>
      </c>
      <c r="B6554" s="33" t="str">
        <f t="shared" si="409"/>
        <v>OLD</v>
      </c>
      <c r="C6554" s="33" t="str">
        <f t="shared" si="410"/>
        <v>40110-0042</v>
      </c>
      <c r="D6554" s="64" t="s">
        <v>7748</v>
      </c>
      <c r="E6554" s="64" t="s">
        <v>3683</v>
      </c>
      <c r="F6554" s="64" t="s">
        <v>230</v>
      </c>
      <c r="G6554" s="64" t="s">
        <v>3684</v>
      </c>
      <c r="H6554" s="64" t="s">
        <v>2871</v>
      </c>
      <c r="I6554" s="64" t="s">
        <v>3685</v>
      </c>
      <c r="J6554" s="67">
        <v>0</v>
      </c>
      <c r="K6554" s="62">
        <v>-165885</v>
      </c>
      <c r="L6554" s="33" t="e">
        <f>HLOOKUP(B6554,#REF!,1,0)</f>
        <v>#REF!</v>
      </c>
      <c r="M6554" s="33" t="str">
        <f t="shared" si="411"/>
        <v>P&amp;L</v>
      </c>
    </row>
    <row r="6555" spans="1:13" s="33" customFormat="true" ht="12.75" customHeight="true">
      <c r="A6555" s="33" t="str">
        <f t="shared" si="408"/>
        <v>OLD - Revenue</v>
      </c>
      <c r="B6555" s="33" t="str">
        <f t="shared" si="409"/>
        <v>OLD</v>
      </c>
      <c r="C6555" s="33" t="str">
        <f t="shared" si="410"/>
        <v>40110-0043</v>
      </c>
      <c r="D6555" s="64" t="s">
        <v>7749</v>
      </c>
      <c r="E6555" s="64" t="s">
        <v>3683</v>
      </c>
      <c r="F6555" s="64" t="s">
        <v>230</v>
      </c>
      <c r="G6555" s="64" t="s">
        <v>3684</v>
      </c>
      <c r="H6555" s="64" t="s">
        <v>2871</v>
      </c>
      <c r="I6555" s="64" t="s">
        <v>3685</v>
      </c>
      <c r="J6555" s="67">
        <v>0</v>
      </c>
      <c r="K6555" s="62">
        <v>-408804</v>
      </c>
      <c r="L6555" s="33" t="e">
        <f>HLOOKUP(B6555,#REF!,1,0)</f>
        <v>#REF!</v>
      </c>
      <c r="M6555" s="33" t="str">
        <f t="shared" si="411"/>
        <v>P&amp;L</v>
      </c>
    </row>
    <row r="6556" spans="1:13" s="33" customFormat="true" ht="12.75" customHeight="true">
      <c r="A6556" s="33" t="str">
        <f t="shared" si="408"/>
        <v>OLD - Revenue</v>
      </c>
      <c r="B6556" s="33" t="str">
        <f t="shared" si="409"/>
        <v>OLD</v>
      </c>
      <c r="C6556" s="33" t="str">
        <f t="shared" si="410"/>
        <v>40110-0044</v>
      </c>
      <c r="D6556" s="64" t="s">
        <v>7750</v>
      </c>
      <c r="E6556" s="64" t="s">
        <v>3683</v>
      </c>
      <c r="F6556" s="64" t="s">
        <v>230</v>
      </c>
      <c r="G6556" s="64" t="s">
        <v>3684</v>
      </c>
      <c r="H6556" s="64" t="s">
        <v>2871</v>
      </c>
      <c r="I6556" s="64" t="s">
        <v>3685</v>
      </c>
      <c r="J6556" s="67">
        <v>0</v>
      </c>
      <c r="K6556" s="62">
        <v>-182062</v>
      </c>
      <c r="L6556" s="33" t="e">
        <f>HLOOKUP(B6556,#REF!,1,0)</f>
        <v>#REF!</v>
      </c>
      <c r="M6556" s="33" t="str">
        <f t="shared" si="411"/>
        <v>P&amp;L</v>
      </c>
    </row>
    <row r="6557" spans="1:13" s="33" customFormat="true" ht="12.75" customHeight="true">
      <c r="A6557" s="33" t="str">
        <f t="shared" si="408"/>
        <v>OLD - Revenue</v>
      </c>
      <c r="B6557" s="33" t="str">
        <f t="shared" si="409"/>
        <v>OLD</v>
      </c>
      <c r="C6557" s="33" t="str">
        <f t="shared" si="410"/>
        <v>40110-0045</v>
      </c>
      <c r="D6557" s="64" t="s">
        <v>7751</v>
      </c>
      <c r="E6557" s="64" t="s">
        <v>3683</v>
      </c>
      <c r="F6557" s="64" t="s">
        <v>230</v>
      </c>
      <c r="G6557" s="64" t="s">
        <v>3684</v>
      </c>
      <c r="H6557" s="64" t="s">
        <v>2871</v>
      </c>
      <c r="I6557" s="64" t="s">
        <v>3685</v>
      </c>
      <c r="J6557" s="67">
        <v>0</v>
      </c>
      <c r="K6557" s="62">
        <v>-49200</v>
      </c>
      <c r="L6557" s="33" t="e">
        <f>HLOOKUP(B6557,#REF!,1,0)</f>
        <v>#REF!</v>
      </c>
      <c r="M6557" s="33" t="str">
        <f t="shared" si="411"/>
        <v>P&amp;L</v>
      </c>
    </row>
    <row r="6558" spans="1:13" s="33" customFormat="true" ht="12.75" customHeight="true">
      <c r="A6558" s="33" t="str">
        <f t="shared" si="408"/>
        <v>OLD - Revenue</v>
      </c>
      <c r="B6558" s="33" t="str">
        <f t="shared" si="409"/>
        <v>OLD</v>
      </c>
      <c r="C6558" s="33" t="str">
        <f t="shared" si="410"/>
        <v>40110-0046</v>
      </c>
      <c r="D6558" s="64" t="s">
        <v>7752</v>
      </c>
      <c r="E6558" s="64" t="s">
        <v>3683</v>
      </c>
      <c r="F6558" s="64" t="s">
        <v>230</v>
      </c>
      <c r="G6558" s="64" t="s">
        <v>3684</v>
      </c>
      <c r="H6558" s="64" t="s">
        <v>2871</v>
      </c>
      <c r="I6558" s="64" t="s">
        <v>3685</v>
      </c>
      <c r="J6558" s="67">
        <v>0</v>
      </c>
      <c r="K6558" s="62">
        <v>-851629.14</v>
      </c>
      <c r="L6558" s="33" t="e">
        <f>HLOOKUP(B6558,#REF!,1,0)</f>
        <v>#REF!</v>
      </c>
      <c r="M6558" s="33" t="str">
        <f t="shared" si="411"/>
        <v>P&amp;L</v>
      </c>
    </row>
    <row r="6559" spans="1:13" s="33" customFormat="true" ht="12.75" customHeight="true">
      <c r="A6559" s="33" t="str">
        <f t="shared" si="408"/>
        <v>OLD - Revenue</v>
      </c>
      <c r="B6559" s="33" t="str">
        <f t="shared" si="409"/>
        <v>OLD</v>
      </c>
      <c r="C6559" s="33" t="str">
        <f t="shared" si="410"/>
        <v>40110-0048</v>
      </c>
      <c r="D6559" s="64" t="s">
        <v>7753</v>
      </c>
      <c r="E6559" s="64" t="s">
        <v>3683</v>
      </c>
      <c r="F6559" s="64" t="s">
        <v>230</v>
      </c>
      <c r="G6559" s="64" t="s">
        <v>3684</v>
      </c>
      <c r="H6559" s="64" t="s">
        <v>2871</v>
      </c>
      <c r="I6559" s="64" t="s">
        <v>3685</v>
      </c>
      <c r="J6559" s="67">
        <v>0</v>
      </c>
      <c r="K6559" s="62">
        <v>-125663</v>
      </c>
      <c r="L6559" s="33" t="e">
        <f>HLOOKUP(B6559,#REF!,1,0)</f>
        <v>#REF!</v>
      </c>
      <c r="M6559" s="33" t="str">
        <f t="shared" si="411"/>
        <v>P&amp;L</v>
      </c>
    </row>
    <row r="6560" spans="1:13" s="33" customFormat="true" ht="12.75" customHeight="true">
      <c r="A6560" s="33" t="str">
        <f t="shared" si="408"/>
        <v>OLD - Revenue</v>
      </c>
      <c r="B6560" s="33" t="str">
        <f t="shared" si="409"/>
        <v>OLD</v>
      </c>
      <c r="C6560" s="33" t="str">
        <f t="shared" si="410"/>
        <v>40110-0049</v>
      </c>
      <c r="D6560" s="64" t="s">
        <v>7754</v>
      </c>
      <c r="E6560" s="64" t="s">
        <v>3683</v>
      </c>
      <c r="F6560" s="64" t="s">
        <v>230</v>
      </c>
      <c r="G6560" s="64" t="s">
        <v>3684</v>
      </c>
      <c r="H6560" s="64" t="s">
        <v>2871</v>
      </c>
      <c r="I6560" s="64" t="s">
        <v>3685</v>
      </c>
      <c r="J6560" s="67">
        <v>0</v>
      </c>
      <c r="K6560" s="62">
        <v>-4277536.58</v>
      </c>
      <c r="L6560" s="33" t="e">
        <f>HLOOKUP(B6560,#REF!,1,0)</f>
        <v>#REF!</v>
      </c>
      <c r="M6560" s="33" t="str">
        <f t="shared" si="411"/>
        <v>P&amp;L</v>
      </c>
    </row>
    <row r="6561" spans="1:13" s="33" customFormat="true" ht="12.75" customHeight="true">
      <c r="A6561" s="33" t="str">
        <f t="shared" si="408"/>
        <v>OLD - Revenue</v>
      </c>
      <c r="B6561" s="33" t="str">
        <f t="shared" si="409"/>
        <v>OLD</v>
      </c>
      <c r="C6561" s="33" t="str">
        <f t="shared" si="410"/>
        <v>40110-0050</v>
      </c>
      <c r="D6561" s="64" t="s">
        <v>7755</v>
      </c>
      <c r="E6561" s="64" t="s">
        <v>3683</v>
      </c>
      <c r="F6561" s="64" t="s">
        <v>230</v>
      </c>
      <c r="G6561" s="64" t="s">
        <v>3684</v>
      </c>
      <c r="H6561" s="64" t="s">
        <v>2871</v>
      </c>
      <c r="I6561" s="64" t="s">
        <v>3685</v>
      </c>
      <c r="J6561" s="67">
        <v>0</v>
      </c>
      <c r="K6561" s="62">
        <v>-2046726.29</v>
      </c>
      <c r="L6561" s="33" t="e">
        <f>HLOOKUP(B6561,#REF!,1,0)</f>
        <v>#REF!</v>
      </c>
      <c r="M6561" s="33" t="str">
        <f t="shared" si="411"/>
        <v>P&amp;L</v>
      </c>
    </row>
    <row r="6562" spans="1:13" s="33" customFormat="true" ht="12.75" customHeight="true">
      <c r="A6562" s="33" t="str">
        <f t="shared" si="408"/>
        <v>OLD - Revenue</v>
      </c>
      <c r="B6562" s="33" t="str">
        <f t="shared" si="409"/>
        <v>OLD</v>
      </c>
      <c r="C6562" s="33" t="str">
        <f t="shared" si="410"/>
        <v>40140-0050</v>
      </c>
      <c r="D6562" s="64" t="s">
        <v>7756</v>
      </c>
      <c r="E6562" s="64" t="s">
        <v>3948</v>
      </c>
      <c r="F6562" s="64" t="s">
        <v>230</v>
      </c>
      <c r="G6562" s="64" t="s">
        <v>3684</v>
      </c>
      <c r="H6562" s="64" t="s">
        <v>2871</v>
      </c>
      <c r="I6562" s="64" t="s">
        <v>3949</v>
      </c>
      <c r="J6562" s="67">
        <v>0</v>
      </c>
      <c r="K6562" s="62">
        <v>390000.38</v>
      </c>
      <c r="L6562" s="33" t="e">
        <f>HLOOKUP(B6562,#REF!,1,0)</f>
        <v>#REF!</v>
      </c>
      <c r="M6562" s="33" t="str">
        <f t="shared" si="411"/>
        <v>P&amp;L</v>
      </c>
    </row>
    <row r="6563" spans="1:13" s="33" customFormat="true" ht="12.75" customHeight="true">
      <c r="A6563" s="33" t="str">
        <f t="shared" si="408"/>
        <v>OLD - Revenue</v>
      </c>
      <c r="B6563" s="33" t="str">
        <f t="shared" si="409"/>
        <v>OLD</v>
      </c>
      <c r="C6563" s="33" t="str">
        <f t="shared" si="410"/>
        <v>41110-0041</v>
      </c>
      <c r="D6563" s="64" t="s">
        <v>7757</v>
      </c>
      <c r="E6563" s="64" t="s">
        <v>3693</v>
      </c>
      <c r="F6563" s="64" t="s">
        <v>230</v>
      </c>
      <c r="G6563" s="64" t="s">
        <v>3694</v>
      </c>
      <c r="H6563" s="64" t="s">
        <v>2871</v>
      </c>
      <c r="I6563" s="64" t="s">
        <v>3695</v>
      </c>
      <c r="J6563" s="67">
        <v>0</v>
      </c>
      <c r="K6563" s="62">
        <v>41869.51</v>
      </c>
      <c r="L6563" s="33" t="e">
        <f>HLOOKUP(B6563,#REF!,1,0)</f>
        <v>#REF!</v>
      </c>
      <c r="M6563" s="33" t="str">
        <f t="shared" si="411"/>
        <v>P&amp;L</v>
      </c>
    </row>
    <row r="6564" spans="1:13" s="33" customFormat="true" ht="12.75" customHeight="true">
      <c r="A6564" s="33" t="str">
        <f t="shared" si="408"/>
        <v>OLD - Revenue</v>
      </c>
      <c r="B6564" s="33" t="str">
        <f t="shared" si="409"/>
        <v>OLD</v>
      </c>
      <c r="C6564" s="33" t="str">
        <f t="shared" si="410"/>
        <v>41110-0042</v>
      </c>
      <c r="D6564" s="64" t="s">
        <v>7758</v>
      </c>
      <c r="E6564" s="64" t="s">
        <v>3693</v>
      </c>
      <c r="F6564" s="64" t="s">
        <v>230</v>
      </c>
      <c r="G6564" s="64" t="s">
        <v>3694</v>
      </c>
      <c r="H6564" s="64" t="s">
        <v>2871</v>
      </c>
      <c r="I6564" s="64" t="s">
        <v>3695</v>
      </c>
      <c r="J6564" s="67">
        <v>0</v>
      </c>
      <c r="K6564" s="62">
        <v>11303.5</v>
      </c>
      <c r="L6564" s="33" t="e">
        <f>HLOOKUP(B6564,#REF!,1,0)</f>
        <v>#REF!</v>
      </c>
      <c r="M6564" s="33" t="str">
        <f t="shared" si="411"/>
        <v>P&amp;L</v>
      </c>
    </row>
    <row r="6565" spans="1:13" s="33" customFormat="true" ht="12.75" customHeight="true">
      <c r="A6565" s="33" t="str">
        <f t="shared" si="408"/>
        <v>OLD - Revenue</v>
      </c>
      <c r="B6565" s="33" t="str">
        <f t="shared" si="409"/>
        <v>OLD</v>
      </c>
      <c r="C6565" s="33" t="str">
        <f t="shared" si="410"/>
        <v>41110-0043</v>
      </c>
      <c r="D6565" s="64" t="s">
        <v>7759</v>
      </c>
      <c r="E6565" s="64" t="s">
        <v>3693</v>
      </c>
      <c r="F6565" s="64" t="s">
        <v>230</v>
      </c>
      <c r="G6565" s="64" t="s">
        <v>3694</v>
      </c>
      <c r="H6565" s="64" t="s">
        <v>2871</v>
      </c>
      <c r="I6565" s="64" t="s">
        <v>3695</v>
      </c>
      <c r="J6565" s="67">
        <v>0</v>
      </c>
      <c r="K6565" s="62">
        <v>3619.21</v>
      </c>
      <c r="L6565" s="33" t="e">
        <f>HLOOKUP(B6565,#REF!,1,0)</f>
        <v>#REF!</v>
      </c>
      <c r="M6565" s="33" t="str">
        <f t="shared" si="411"/>
        <v>P&amp;L</v>
      </c>
    </row>
    <row r="6566" spans="1:13" s="33" customFormat="true" ht="12.75" customHeight="true">
      <c r="A6566" s="33" t="str">
        <f t="shared" si="408"/>
        <v>OLD - Revenue</v>
      </c>
      <c r="B6566" s="33" t="str">
        <f t="shared" si="409"/>
        <v>OLD</v>
      </c>
      <c r="C6566" s="33" t="str">
        <f t="shared" si="410"/>
        <v>41110-0044</v>
      </c>
      <c r="D6566" s="64" t="s">
        <v>7760</v>
      </c>
      <c r="E6566" s="64" t="s">
        <v>3693</v>
      </c>
      <c r="F6566" s="64" t="s">
        <v>230</v>
      </c>
      <c r="G6566" s="64" t="s">
        <v>3694</v>
      </c>
      <c r="H6566" s="64" t="s">
        <v>2871</v>
      </c>
      <c r="I6566" s="64" t="s">
        <v>3695</v>
      </c>
      <c r="J6566" s="67">
        <v>0</v>
      </c>
      <c r="K6566" s="62">
        <v>3266.77</v>
      </c>
      <c r="L6566" s="33" t="e">
        <f>HLOOKUP(B6566,#REF!,1,0)</f>
        <v>#REF!</v>
      </c>
      <c r="M6566" s="33" t="str">
        <f t="shared" si="411"/>
        <v>P&amp;L</v>
      </c>
    </row>
    <row r="6567" spans="1:13" s="33" customFormat="true" ht="12.75" customHeight="true">
      <c r="A6567" s="33" t="str">
        <f t="shared" si="408"/>
        <v>OLD - Revenue</v>
      </c>
      <c r="B6567" s="33" t="str">
        <f t="shared" si="409"/>
        <v>OLD</v>
      </c>
      <c r="C6567" s="33" t="str">
        <f t="shared" si="410"/>
        <v>41110-0045</v>
      </c>
      <c r="D6567" s="64" t="s">
        <v>7761</v>
      </c>
      <c r="E6567" s="64" t="s">
        <v>3693</v>
      </c>
      <c r="F6567" s="64" t="s">
        <v>230</v>
      </c>
      <c r="G6567" s="64" t="s">
        <v>3694</v>
      </c>
      <c r="H6567" s="64" t="s">
        <v>2871</v>
      </c>
      <c r="I6567" s="64" t="s">
        <v>3695</v>
      </c>
      <c r="J6567" s="67">
        <v>0</v>
      </c>
      <c r="K6567" s="62">
        <v>133.33</v>
      </c>
      <c r="L6567" s="33" t="e">
        <f>HLOOKUP(B6567,#REF!,1,0)</f>
        <v>#REF!</v>
      </c>
      <c r="M6567" s="33" t="str">
        <f t="shared" si="411"/>
        <v>P&amp;L</v>
      </c>
    </row>
    <row r="6568" spans="1:13" s="33" customFormat="true" ht="12.75" customHeight="true">
      <c r="A6568" s="33" t="str">
        <f t="shared" si="408"/>
        <v>OLD - Revenue</v>
      </c>
      <c r="B6568" s="33" t="str">
        <f t="shared" si="409"/>
        <v>OLD</v>
      </c>
      <c r="C6568" s="33" t="str">
        <f t="shared" si="410"/>
        <v>41110-0046</v>
      </c>
      <c r="D6568" s="64" t="s">
        <v>7762</v>
      </c>
      <c r="E6568" s="64" t="s">
        <v>3693</v>
      </c>
      <c r="F6568" s="64" t="s">
        <v>230</v>
      </c>
      <c r="G6568" s="64" t="s">
        <v>3694</v>
      </c>
      <c r="H6568" s="64" t="s">
        <v>2871</v>
      </c>
      <c r="I6568" s="64" t="s">
        <v>3695</v>
      </c>
      <c r="J6568" s="67">
        <v>0</v>
      </c>
      <c r="K6568" s="62">
        <v>13966.82</v>
      </c>
      <c r="L6568" s="33" t="e">
        <f>HLOOKUP(B6568,#REF!,1,0)</f>
        <v>#REF!</v>
      </c>
      <c r="M6568" s="33" t="str">
        <f t="shared" si="411"/>
        <v>P&amp;L</v>
      </c>
    </row>
    <row r="6569" spans="1:13" s="33" customFormat="true" ht="12.75" customHeight="true">
      <c r="A6569" s="33" t="str">
        <f t="shared" si="408"/>
        <v>OLD - Revenue</v>
      </c>
      <c r="B6569" s="33" t="str">
        <f t="shared" si="409"/>
        <v>OLD</v>
      </c>
      <c r="C6569" s="33" t="str">
        <f t="shared" si="410"/>
        <v>41110-0048</v>
      </c>
      <c r="D6569" s="64" t="s">
        <v>7763</v>
      </c>
      <c r="E6569" s="64" t="s">
        <v>3693</v>
      </c>
      <c r="F6569" s="64" t="s">
        <v>230</v>
      </c>
      <c r="G6569" s="64" t="s">
        <v>3694</v>
      </c>
      <c r="H6569" s="64" t="s">
        <v>2871</v>
      </c>
      <c r="I6569" s="64" t="s">
        <v>3695</v>
      </c>
      <c r="J6569" s="67">
        <v>0</v>
      </c>
      <c r="K6569" s="62">
        <v>4325.06</v>
      </c>
      <c r="L6569" s="33" t="e">
        <f>HLOOKUP(B6569,#REF!,1,0)</f>
        <v>#REF!</v>
      </c>
      <c r="M6569" s="33" t="str">
        <f t="shared" si="411"/>
        <v>P&amp;L</v>
      </c>
    </row>
    <row r="6570" spans="1:13" s="33" customFormat="true" ht="12.75" customHeight="true">
      <c r="A6570" s="33" t="str">
        <f t="shared" si="408"/>
        <v>OLD - Revenue</v>
      </c>
      <c r="B6570" s="33" t="str">
        <f t="shared" si="409"/>
        <v>OLD</v>
      </c>
      <c r="C6570" s="33" t="str">
        <f t="shared" si="410"/>
        <v>41110-0049</v>
      </c>
      <c r="D6570" s="64" t="s">
        <v>7764</v>
      </c>
      <c r="E6570" s="64" t="s">
        <v>3693</v>
      </c>
      <c r="F6570" s="64" t="s">
        <v>230</v>
      </c>
      <c r="G6570" s="64" t="s">
        <v>3694</v>
      </c>
      <c r="H6570" s="64" t="s">
        <v>2871</v>
      </c>
      <c r="I6570" s="64" t="s">
        <v>3695</v>
      </c>
      <c r="J6570" s="67">
        <v>0</v>
      </c>
      <c r="K6570" s="62">
        <v>394478.58</v>
      </c>
      <c r="L6570" s="33" t="e">
        <f>HLOOKUP(B6570,#REF!,1,0)</f>
        <v>#REF!</v>
      </c>
      <c r="M6570" s="33" t="str">
        <f t="shared" si="411"/>
        <v>P&amp;L</v>
      </c>
    </row>
    <row r="6571" spans="1:13" s="33" customFormat="true" ht="12.75" customHeight="true">
      <c r="A6571" s="33" t="str">
        <f t="shared" si="408"/>
        <v>OLD - Revenue</v>
      </c>
      <c r="B6571" s="33" t="str">
        <f t="shared" si="409"/>
        <v>OLD</v>
      </c>
      <c r="C6571" s="33" t="str">
        <f t="shared" si="410"/>
        <v>41110-0050</v>
      </c>
      <c r="D6571" s="64" t="s">
        <v>7765</v>
      </c>
      <c r="E6571" s="64" t="s">
        <v>3693</v>
      </c>
      <c r="F6571" s="64" t="s">
        <v>230</v>
      </c>
      <c r="G6571" s="64" t="s">
        <v>3694</v>
      </c>
      <c r="H6571" s="64" t="s">
        <v>2871</v>
      </c>
      <c r="I6571" s="64" t="s">
        <v>3695</v>
      </c>
      <c r="J6571" s="67">
        <v>0</v>
      </c>
      <c r="K6571" s="62">
        <v>81403.64</v>
      </c>
      <c r="L6571" s="33" t="e">
        <f>HLOOKUP(B6571,#REF!,1,0)</f>
        <v>#REF!</v>
      </c>
      <c r="M6571" s="33" t="str">
        <f t="shared" si="411"/>
        <v>P&amp;L</v>
      </c>
    </row>
    <row r="6572" spans="1:13" s="33" customFormat="true" ht="12.75" customHeight="true">
      <c r="A6572" s="33" t="str">
        <f t="shared" si="408"/>
        <v>OLD - Revenue</v>
      </c>
      <c r="B6572" s="33" t="str">
        <f t="shared" si="409"/>
        <v>OLD</v>
      </c>
      <c r="C6572" s="33" t="str">
        <f t="shared" si="410"/>
        <v>41120-0044</v>
      </c>
      <c r="D6572" s="64" t="s">
        <v>7766</v>
      </c>
      <c r="E6572" s="64" t="s">
        <v>3700</v>
      </c>
      <c r="F6572" s="64" t="s">
        <v>230</v>
      </c>
      <c r="G6572" s="64" t="s">
        <v>3694</v>
      </c>
      <c r="H6572" s="64" t="s">
        <v>2871</v>
      </c>
      <c r="I6572" s="64" t="s">
        <v>3701</v>
      </c>
      <c r="J6572" s="67">
        <v>0</v>
      </c>
      <c r="K6572" s="62">
        <v>-916.51</v>
      </c>
      <c r="L6572" s="33" t="e">
        <f>HLOOKUP(B6572,#REF!,1,0)</f>
        <v>#REF!</v>
      </c>
      <c r="M6572" s="33" t="str">
        <f t="shared" si="411"/>
        <v>P&amp;L</v>
      </c>
    </row>
    <row r="6573" spans="1:13" s="33" customFormat="true" ht="12.75" customHeight="true">
      <c r="A6573" s="33" t="str">
        <f t="shared" si="408"/>
        <v>OLD - Revenue</v>
      </c>
      <c r="B6573" s="33" t="str">
        <f t="shared" si="409"/>
        <v>OLD</v>
      </c>
      <c r="C6573" s="33" t="str">
        <f t="shared" si="410"/>
        <v>41121-0041</v>
      </c>
      <c r="D6573" s="64" t="s">
        <v>7767</v>
      </c>
      <c r="E6573" s="64" t="s">
        <v>7768</v>
      </c>
      <c r="F6573" s="64" t="s">
        <v>230</v>
      </c>
      <c r="G6573" s="64" t="s">
        <v>3694</v>
      </c>
      <c r="H6573" s="64" t="s">
        <v>2871</v>
      </c>
      <c r="I6573" s="64" t="s">
        <v>3698</v>
      </c>
      <c r="J6573" s="67">
        <v>0</v>
      </c>
      <c r="K6573" s="62">
        <v>3842.85</v>
      </c>
      <c r="L6573" s="33" t="e">
        <f>HLOOKUP(B6573,#REF!,1,0)</f>
        <v>#REF!</v>
      </c>
      <c r="M6573" s="33" t="str">
        <f t="shared" si="411"/>
        <v>P&amp;L</v>
      </c>
    </row>
    <row r="6574" spans="1:13" s="33" customFormat="true" ht="12.75" customHeight="true">
      <c r="A6574" s="33" t="str">
        <f t="shared" si="408"/>
        <v>OLD - Revenue</v>
      </c>
      <c r="B6574" s="33" t="str">
        <f t="shared" si="409"/>
        <v>OLD</v>
      </c>
      <c r="C6574" s="33" t="str">
        <f t="shared" si="410"/>
        <v>41121-0042</v>
      </c>
      <c r="D6574" s="64" t="s">
        <v>7769</v>
      </c>
      <c r="E6574" s="64" t="s">
        <v>7768</v>
      </c>
      <c r="F6574" s="64" t="s">
        <v>230</v>
      </c>
      <c r="G6574" s="64" t="s">
        <v>3694</v>
      </c>
      <c r="H6574" s="64" t="s">
        <v>2871</v>
      </c>
      <c r="I6574" s="64" t="s">
        <v>3698</v>
      </c>
      <c r="J6574" s="67">
        <v>0</v>
      </c>
      <c r="K6574" s="62">
        <v>-13.39</v>
      </c>
      <c r="L6574" s="33" t="e">
        <f>HLOOKUP(B6574,#REF!,1,0)</f>
        <v>#REF!</v>
      </c>
      <c r="M6574" s="33" t="str">
        <f t="shared" si="411"/>
        <v>P&amp;L</v>
      </c>
    </row>
    <row r="6575" spans="1:13" s="33" customFormat="true" ht="12.75" customHeight="true">
      <c r="A6575" s="33" t="str">
        <f t="shared" si="408"/>
        <v>OLD - Revenue</v>
      </c>
      <c r="B6575" s="33" t="str">
        <f t="shared" si="409"/>
        <v>OLD</v>
      </c>
      <c r="C6575" s="33" t="str">
        <f t="shared" si="410"/>
        <v>41121-0043</v>
      </c>
      <c r="D6575" s="64" t="s">
        <v>7770</v>
      </c>
      <c r="E6575" s="64" t="s">
        <v>7768</v>
      </c>
      <c r="F6575" s="64" t="s">
        <v>230</v>
      </c>
      <c r="G6575" s="64" t="s">
        <v>3694</v>
      </c>
      <c r="H6575" s="64" t="s">
        <v>2871</v>
      </c>
      <c r="I6575" s="64" t="s">
        <v>3698</v>
      </c>
      <c r="J6575" s="67">
        <v>0</v>
      </c>
      <c r="K6575" s="62">
        <v>7418.99</v>
      </c>
      <c r="L6575" s="33" t="e">
        <f>HLOOKUP(B6575,#REF!,1,0)</f>
        <v>#REF!</v>
      </c>
      <c r="M6575" s="33" t="str">
        <f t="shared" si="411"/>
        <v>P&amp;L</v>
      </c>
    </row>
    <row r="6576" spans="1:13" s="33" customFormat="true" ht="12.75" customHeight="true">
      <c r="A6576" s="33" t="str">
        <f t="shared" si="408"/>
        <v>OLD - Revenue</v>
      </c>
      <c r="B6576" s="33" t="str">
        <f t="shared" si="409"/>
        <v>OLD</v>
      </c>
      <c r="C6576" s="33" t="str">
        <f t="shared" si="410"/>
        <v>41121-0044</v>
      </c>
      <c r="D6576" s="64" t="s">
        <v>7771</v>
      </c>
      <c r="E6576" s="64" t="s">
        <v>7768</v>
      </c>
      <c r="F6576" s="64" t="s">
        <v>230</v>
      </c>
      <c r="G6576" s="64" t="s">
        <v>3694</v>
      </c>
      <c r="H6576" s="64" t="s">
        <v>2871</v>
      </c>
      <c r="I6576" s="64" t="s">
        <v>3698</v>
      </c>
      <c r="J6576" s="67">
        <v>0</v>
      </c>
      <c r="K6576" s="62">
        <v>31594.68</v>
      </c>
      <c r="L6576" s="33" t="e">
        <f>HLOOKUP(B6576,#REF!,1,0)</f>
        <v>#REF!</v>
      </c>
      <c r="M6576" s="33" t="str">
        <f t="shared" si="411"/>
        <v>P&amp;L</v>
      </c>
    </row>
    <row r="6577" spans="1:13" s="33" customFormat="true" ht="12.75" customHeight="true">
      <c r="A6577" s="33" t="str">
        <f t="shared" si="408"/>
        <v>OLD - Revenue</v>
      </c>
      <c r="B6577" s="33" t="str">
        <f t="shared" si="409"/>
        <v>OLD</v>
      </c>
      <c r="C6577" s="33" t="str">
        <f t="shared" si="410"/>
        <v>41121-0045</v>
      </c>
      <c r="D6577" s="64" t="s">
        <v>7772</v>
      </c>
      <c r="E6577" s="64" t="s">
        <v>7768</v>
      </c>
      <c r="F6577" s="64" t="s">
        <v>230</v>
      </c>
      <c r="G6577" s="64" t="s">
        <v>3694</v>
      </c>
      <c r="H6577" s="64" t="s">
        <v>2871</v>
      </c>
      <c r="I6577" s="64" t="s">
        <v>3698</v>
      </c>
      <c r="J6577" s="67">
        <v>0</v>
      </c>
      <c r="K6577" s="62">
        <v>4766.67</v>
      </c>
      <c r="L6577" s="33" t="e">
        <f>HLOOKUP(B6577,#REF!,1,0)</f>
        <v>#REF!</v>
      </c>
      <c r="M6577" s="33" t="str">
        <f t="shared" si="411"/>
        <v>P&amp;L</v>
      </c>
    </row>
    <row r="6578" spans="1:13" s="33" customFormat="true" ht="12.75" customHeight="true">
      <c r="A6578" s="33" t="str">
        <f t="shared" si="408"/>
        <v>OLD - Revenue</v>
      </c>
      <c r="B6578" s="33" t="str">
        <f t="shared" si="409"/>
        <v>OLD</v>
      </c>
      <c r="C6578" s="33" t="str">
        <f t="shared" si="410"/>
        <v>41121-0046</v>
      </c>
      <c r="D6578" s="64" t="s">
        <v>7773</v>
      </c>
      <c r="E6578" s="64" t="s">
        <v>7768</v>
      </c>
      <c r="F6578" s="64" t="s">
        <v>230</v>
      </c>
      <c r="G6578" s="64" t="s">
        <v>3694</v>
      </c>
      <c r="H6578" s="64" t="s">
        <v>2871</v>
      </c>
      <c r="I6578" s="64" t="s">
        <v>3698</v>
      </c>
      <c r="J6578" s="67">
        <v>0</v>
      </c>
      <c r="K6578" s="62">
        <v>1105.28</v>
      </c>
      <c r="L6578" s="33" t="e">
        <f>HLOOKUP(B6578,#REF!,1,0)</f>
        <v>#REF!</v>
      </c>
      <c r="M6578" s="33" t="str">
        <f t="shared" si="411"/>
        <v>P&amp;L</v>
      </c>
    </row>
    <row r="6579" spans="1:13" s="33" customFormat="true" ht="12.75" customHeight="true">
      <c r="A6579" s="33" t="str">
        <f t="shared" si="408"/>
        <v>OLD - Revenue</v>
      </c>
      <c r="B6579" s="33" t="str">
        <f t="shared" si="409"/>
        <v>OLD</v>
      </c>
      <c r="C6579" s="33" t="str">
        <f t="shared" si="410"/>
        <v>41121-0049</v>
      </c>
      <c r="D6579" s="64" t="s">
        <v>7774</v>
      </c>
      <c r="E6579" s="64" t="s">
        <v>7768</v>
      </c>
      <c r="F6579" s="64" t="s">
        <v>230</v>
      </c>
      <c r="G6579" s="64" t="s">
        <v>3694</v>
      </c>
      <c r="H6579" s="64" t="s">
        <v>2871</v>
      </c>
      <c r="I6579" s="64" t="s">
        <v>3698</v>
      </c>
      <c r="J6579" s="67">
        <v>0</v>
      </c>
      <c r="K6579" s="62">
        <v>118241.26</v>
      </c>
      <c r="L6579" s="33" t="e">
        <f>HLOOKUP(B6579,#REF!,1,0)</f>
        <v>#REF!</v>
      </c>
      <c r="M6579" s="33" t="str">
        <f t="shared" si="411"/>
        <v>P&amp;L</v>
      </c>
    </row>
    <row r="6580" spans="1:13" s="33" customFormat="true" ht="12.75" customHeight="true">
      <c r="A6580" s="33" t="str">
        <f t="shared" si="408"/>
        <v>OLD - Revenue</v>
      </c>
      <c r="B6580" s="33" t="str">
        <f t="shared" si="409"/>
        <v>OLD</v>
      </c>
      <c r="C6580" s="33" t="str">
        <f t="shared" si="410"/>
        <v>41121-0050</v>
      </c>
      <c r="D6580" s="64" t="s">
        <v>7775</v>
      </c>
      <c r="E6580" s="64" t="s">
        <v>7768</v>
      </c>
      <c r="F6580" s="64" t="s">
        <v>230</v>
      </c>
      <c r="G6580" s="64" t="s">
        <v>3694</v>
      </c>
      <c r="H6580" s="64" t="s">
        <v>2871</v>
      </c>
      <c r="I6580" s="64" t="s">
        <v>3698</v>
      </c>
      <c r="J6580" s="67">
        <v>0</v>
      </c>
      <c r="K6580" s="62">
        <v>11757.09</v>
      </c>
      <c r="L6580" s="33" t="e">
        <f>HLOOKUP(B6580,#REF!,1,0)</f>
        <v>#REF!</v>
      </c>
      <c r="M6580" s="33" t="str">
        <f t="shared" si="411"/>
        <v>P&amp;L</v>
      </c>
    </row>
    <row r="6581" spans="1:13" s="33" customFormat="true" ht="12.75" customHeight="true">
      <c r="A6581" s="33" t="str">
        <f t="shared" si="408"/>
        <v>OLD - Revenue</v>
      </c>
      <c r="B6581" s="33" t="str">
        <f t="shared" si="409"/>
        <v>OLD</v>
      </c>
      <c r="C6581" s="33" t="str">
        <f t="shared" si="410"/>
        <v>41122-0050</v>
      </c>
      <c r="D6581" s="64" t="s">
        <v>7776</v>
      </c>
      <c r="E6581" s="64" t="s">
        <v>3700</v>
      </c>
      <c r="F6581" s="64" t="s">
        <v>230</v>
      </c>
      <c r="G6581" s="64" t="s">
        <v>3694</v>
      </c>
      <c r="H6581" s="64" t="s">
        <v>2871</v>
      </c>
      <c r="I6581" s="64" t="s">
        <v>3701</v>
      </c>
      <c r="J6581" s="67">
        <v>0</v>
      </c>
      <c r="K6581" s="62">
        <v>-6710.9</v>
      </c>
      <c r="L6581" s="33" t="e">
        <f>HLOOKUP(B6581,#REF!,1,0)</f>
        <v>#REF!</v>
      </c>
      <c r="M6581" s="33" t="str">
        <f t="shared" si="411"/>
        <v>P&amp;L</v>
      </c>
    </row>
    <row r="6582" spans="1:13" s="33" customFormat="true" ht="12.75" customHeight="true">
      <c r="A6582" s="33" t="str">
        <f t="shared" si="408"/>
        <v>OLD - Revenue</v>
      </c>
      <c r="B6582" s="33" t="str">
        <f t="shared" si="409"/>
        <v>OLD</v>
      </c>
      <c r="C6582" s="33" t="str">
        <f t="shared" si="410"/>
        <v>41130-0041</v>
      </c>
      <c r="D6582" s="64" t="s">
        <v>7777</v>
      </c>
      <c r="E6582" s="64" t="s">
        <v>3703</v>
      </c>
      <c r="F6582" s="64" t="s">
        <v>230</v>
      </c>
      <c r="G6582" s="64" t="s">
        <v>3694</v>
      </c>
      <c r="H6582" s="64" t="s">
        <v>2871</v>
      </c>
      <c r="I6582" s="64" t="s">
        <v>3704</v>
      </c>
      <c r="J6582" s="67">
        <v>0</v>
      </c>
      <c r="K6582" s="62">
        <v>1086.66</v>
      </c>
      <c r="L6582" s="33" t="e">
        <f>HLOOKUP(B6582,#REF!,1,0)</f>
        <v>#REF!</v>
      </c>
      <c r="M6582" s="33" t="str">
        <f t="shared" si="411"/>
        <v>P&amp;L</v>
      </c>
    </row>
    <row r="6583" spans="1:13" s="33" customFormat="true" ht="12.75" customHeight="true">
      <c r="A6583" s="33" t="str">
        <f t="shared" si="408"/>
        <v>OLD - Revenue</v>
      </c>
      <c r="B6583" s="33" t="str">
        <f t="shared" si="409"/>
        <v>OLD</v>
      </c>
      <c r="C6583" s="33" t="str">
        <f t="shared" si="410"/>
        <v>41130-0042</v>
      </c>
      <c r="D6583" s="64" t="s">
        <v>7778</v>
      </c>
      <c r="E6583" s="64" t="s">
        <v>3703</v>
      </c>
      <c r="F6583" s="64" t="s">
        <v>230</v>
      </c>
      <c r="G6583" s="64" t="s">
        <v>3694</v>
      </c>
      <c r="H6583" s="64" t="s">
        <v>2871</v>
      </c>
      <c r="I6583" s="64" t="s">
        <v>3704</v>
      </c>
      <c r="J6583" s="67">
        <v>0</v>
      </c>
      <c r="K6583" s="62">
        <v>1882.29</v>
      </c>
      <c r="L6583" s="33" t="e">
        <f>HLOOKUP(B6583,#REF!,1,0)</f>
        <v>#REF!</v>
      </c>
      <c r="M6583" s="33" t="str">
        <f t="shared" si="411"/>
        <v>P&amp;L</v>
      </c>
    </row>
    <row r="6584" spans="1:13" s="33" customFormat="true" ht="12.75" customHeight="true">
      <c r="A6584" s="33" t="str">
        <f t="shared" si="408"/>
        <v>OLD - Revenue</v>
      </c>
      <c r="B6584" s="33" t="str">
        <f t="shared" si="409"/>
        <v>OLD</v>
      </c>
      <c r="C6584" s="33" t="str">
        <f t="shared" si="410"/>
        <v>41130-0043</v>
      </c>
      <c r="D6584" s="64" t="s">
        <v>7779</v>
      </c>
      <c r="E6584" s="64" t="s">
        <v>3703</v>
      </c>
      <c r="F6584" s="64" t="s">
        <v>230</v>
      </c>
      <c r="G6584" s="64" t="s">
        <v>3694</v>
      </c>
      <c r="H6584" s="64" t="s">
        <v>2871</v>
      </c>
      <c r="I6584" s="64" t="s">
        <v>3704</v>
      </c>
      <c r="J6584" s="67">
        <v>0</v>
      </c>
      <c r="K6584" s="62">
        <v>0</v>
      </c>
      <c r="L6584" s="33" t="e">
        <f>HLOOKUP(B6584,#REF!,1,0)</f>
        <v>#REF!</v>
      </c>
      <c r="M6584" s="33" t="str">
        <f t="shared" si="411"/>
        <v>P&amp;L</v>
      </c>
    </row>
    <row r="6585" spans="1:13" s="33" customFormat="true" ht="12.75" customHeight="true">
      <c r="A6585" s="33" t="str">
        <f t="shared" si="408"/>
        <v>OLD - Revenue</v>
      </c>
      <c r="B6585" s="33" t="str">
        <f t="shared" si="409"/>
        <v>OLD</v>
      </c>
      <c r="C6585" s="33" t="str">
        <f t="shared" si="410"/>
        <v>41130-0044</v>
      </c>
      <c r="D6585" s="64" t="s">
        <v>7780</v>
      </c>
      <c r="E6585" s="64" t="s">
        <v>3703</v>
      </c>
      <c r="F6585" s="64" t="s">
        <v>230</v>
      </c>
      <c r="G6585" s="64" t="s">
        <v>3694</v>
      </c>
      <c r="H6585" s="64" t="s">
        <v>2871</v>
      </c>
      <c r="I6585" s="64" t="s">
        <v>3704</v>
      </c>
      <c r="J6585" s="67">
        <v>0</v>
      </c>
      <c r="K6585" s="62">
        <v>282</v>
      </c>
      <c r="L6585" s="33" t="e">
        <f>HLOOKUP(B6585,#REF!,1,0)</f>
        <v>#REF!</v>
      </c>
      <c r="M6585" s="33" t="str">
        <f t="shared" si="411"/>
        <v>P&amp;L</v>
      </c>
    </row>
    <row r="6586" spans="1:13" s="33" customFormat="true" ht="12.75" customHeight="true">
      <c r="A6586" s="33" t="str">
        <f t="shared" si="408"/>
        <v>OLD - Revenue</v>
      </c>
      <c r="B6586" s="33" t="str">
        <f t="shared" si="409"/>
        <v>OLD</v>
      </c>
      <c r="C6586" s="33" t="str">
        <f t="shared" si="410"/>
        <v>41130-0045</v>
      </c>
      <c r="D6586" s="64" t="s">
        <v>7781</v>
      </c>
      <c r="E6586" s="64" t="s">
        <v>3703</v>
      </c>
      <c r="F6586" s="64" t="s">
        <v>230</v>
      </c>
      <c r="G6586" s="64" t="s">
        <v>3694</v>
      </c>
      <c r="H6586" s="64" t="s">
        <v>2871</v>
      </c>
      <c r="I6586" s="64" t="s">
        <v>3704</v>
      </c>
      <c r="J6586" s="67">
        <v>0</v>
      </c>
      <c r="K6586" s="62">
        <v>0</v>
      </c>
      <c r="L6586" s="33" t="e">
        <f>HLOOKUP(B6586,#REF!,1,0)</f>
        <v>#REF!</v>
      </c>
      <c r="M6586" s="33" t="str">
        <f t="shared" si="411"/>
        <v>P&amp;L</v>
      </c>
    </row>
    <row r="6587" spans="1:13" s="33" customFormat="true" ht="12.75" customHeight="true">
      <c r="A6587" s="33" t="str">
        <f t="shared" si="408"/>
        <v>OLD - Revenue</v>
      </c>
      <c r="B6587" s="33" t="str">
        <f t="shared" si="409"/>
        <v>OLD</v>
      </c>
      <c r="C6587" s="33" t="str">
        <f t="shared" si="410"/>
        <v>41130-0046</v>
      </c>
      <c r="D6587" s="64" t="s">
        <v>7782</v>
      </c>
      <c r="E6587" s="64" t="s">
        <v>3703</v>
      </c>
      <c r="F6587" s="64" t="s">
        <v>230</v>
      </c>
      <c r="G6587" s="64" t="s">
        <v>3694</v>
      </c>
      <c r="H6587" s="64" t="s">
        <v>2871</v>
      </c>
      <c r="I6587" s="64" t="s">
        <v>3704</v>
      </c>
      <c r="J6587" s="67">
        <v>0</v>
      </c>
      <c r="K6587" s="62">
        <v>304.5</v>
      </c>
      <c r="L6587" s="33" t="e">
        <f>HLOOKUP(B6587,#REF!,1,0)</f>
        <v>#REF!</v>
      </c>
      <c r="M6587" s="33" t="str">
        <f t="shared" si="411"/>
        <v>P&amp;L</v>
      </c>
    </row>
    <row r="6588" spans="1:13" s="33" customFormat="true" ht="12.75" customHeight="true">
      <c r="A6588" s="33" t="str">
        <f t="shared" si="408"/>
        <v>OLD - Revenue</v>
      </c>
      <c r="B6588" s="33" t="str">
        <f t="shared" si="409"/>
        <v>OLD</v>
      </c>
      <c r="C6588" s="33" t="str">
        <f t="shared" si="410"/>
        <v>41130-0048</v>
      </c>
      <c r="D6588" s="64" t="s">
        <v>7783</v>
      </c>
      <c r="E6588" s="64" t="s">
        <v>3703</v>
      </c>
      <c r="F6588" s="64" t="s">
        <v>230</v>
      </c>
      <c r="G6588" s="64" t="s">
        <v>3694</v>
      </c>
      <c r="H6588" s="64" t="s">
        <v>2871</v>
      </c>
      <c r="I6588" s="64" t="s">
        <v>3704</v>
      </c>
      <c r="J6588" s="67">
        <v>0</v>
      </c>
      <c r="K6588" s="62">
        <v>2614</v>
      </c>
      <c r="L6588" s="33" t="e">
        <f>HLOOKUP(B6588,#REF!,1,0)</f>
        <v>#REF!</v>
      </c>
      <c r="M6588" s="33" t="str">
        <f t="shared" si="411"/>
        <v>P&amp;L</v>
      </c>
    </row>
    <row r="6589" spans="1:13" s="33" customFormat="true" ht="12.75" customHeight="true">
      <c r="A6589" s="33" t="str">
        <f t="shared" si="408"/>
        <v>OLD - Revenue</v>
      </c>
      <c r="B6589" s="33" t="str">
        <f t="shared" si="409"/>
        <v>OLD</v>
      </c>
      <c r="C6589" s="33" t="str">
        <f t="shared" si="410"/>
        <v>41130-0049</v>
      </c>
      <c r="D6589" s="64" t="s">
        <v>7784</v>
      </c>
      <c r="E6589" s="64" t="s">
        <v>3703</v>
      </c>
      <c r="F6589" s="64" t="s">
        <v>230</v>
      </c>
      <c r="G6589" s="64" t="s">
        <v>3694</v>
      </c>
      <c r="H6589" s="64" t="s">
        <v>2871</v>
      </c>
      <c r="I6589" s="64" t="s">
        <v>3704</v>
      </c>
      <c r="J6589" s="67">
        <v>0</v>
      </c>
      <c r="K6589" s="62">
        <v>667900.65</v>
      </c>
      <c r="L6589" s="33" t="e">
        <f>HLOOKUP(B6589,#REF!,1,0)</f>
        <v>#REF!</v>
      </c>
      <c r="M6589" s="33" t="str">
        <f t="shared" si="411"/>
        <v>P&amp;L</v>
      </c>
    </row>
    <row r="6590" spans="1:13" s="33" customFormat="true" ht="12.75" customHeight="true">
      <c r="A6590" s="33" t="str">
        <f t="shared" si="408"/>
        <v>OLD - Revenue</v>
      </c>
      <c r="B6590" s="33" t="str">
        <f t="shared" si="409"/>
        <v>OLD</v>
      </c>
      <c r="C6590" s="33" t="str">
        <f t="shared" si="410"/>
        <v>41130-0050</v>
      </c>
      <c r="D6590" s="64" t="s">
        <v>7785</v>
      </c>
      <c r="E6590" s="64" t="s">
        <v>3703</v>
      </c>
      <c r="F6590" s="64" t="s">
        <v>230</v>
      </c>
      <c r="G6590" s="64" t="s">
        <v>3694</v>
      </c>
      <c r="H6590" s="64" t="s">
        <v>2871</v>
      </c>
      <c r="I6590" s="64" t="s">
        <v>3704</v>
      </c>
      <c r="J6590" s="67">
        <v>0</v>
      </c>
      <c r="K6590" s="62">
        <v>27967.74</v>
      </c>
      <c r="L6590" s="33" t="e">
        <f>HLOOKUP(B6590,#REF!,1,0)</f>
        <v>#REF!</v>
      </c>
      <c r="M6590" s="33" t="str">
        <f t="shared" si="411"/>
        <v>P&amp;L</v>
      </c>
    </row>
    <row r="6591" spans="1:13" s="33" customFormat="true" ht="12.75" customHeight="true">
      <c r="A6591" s="33" t="str">
        <f t="shared" si="408"/>
        <v>OLD - Revenue</v>
      </c>
      <c r="B6591" s="33" t="str">
        <f t="shared" si="409"/>
        <v>OLD</v>
      </c>
      <c r="C6591" s="33" t="str">
        <f t="shared" si="410"/>
        <v>41150-0043</v>
      </c>
      <c r="D6591" s="64" t="s">
        <v>7786</v>
      </c>
      <c r="E6591" s="64" t="s">
        <v>3709</v>
      </c>
      <c r="F6591" s="64" t="s">
        <v>230</v>
      </c>
      <c r="G6591" s="64" t="s">
        <v>3694</v>
      </c>
      <c r="H6591" s="64" t="s">
        <v>2871</v>
      </c>
      <c r="I6591" s="64" t="s">
        <v>3710</v>
      </c>
      <c r="J6591" s="67">
        <v>0</v>
      </c>
      <c r="K6591" s="62">
        <v>4760</v>
      </c>
      <c r="L6591" s="33" t="e">
        <f>HLOOKUP(B6591,#REF!,1,0)</f>
        <v>#REF!</v>
      </c>
      <c r="M6591" s="33" t="str">
        <f t="shared" si="411"/>
        <v>P&amp;L</v>
      </c>
    </row>
    <row r="6592" spans="1:13" s="33" customFormat="true" ht="12.75" customHeight="true">
      <c r="A6592" s="33" t="str">
        <f t="shared" si="408"/>
        <v>OLD - Revenue</v>
      </c>
      <c r="B6592" s="33" t="str">
        <f t="shared" si="409"/>
        <v>OLD</v>
      </c>
      <c r="C6592" s="33" t="str">
        <f t="shared" si="410"/>
        <v>41150-0044</v>
      </c>
      <c r="D6592" s="64" t="s">
        <v>7787</v>
      </c>
      <c r="E6592" s="64" t="s">
        <v>3709</v>
      </c>
      <c r="F6592" s="64" t="s">
        <v>230</v>
      </c>
      <c r="G6592" s="64" t="s">
        <v>3694</v>
      </c>
      <c r="H6592" s="64" t="s">
        <v>2871</v>
      </c>
      <c r="I6592" s="64" t="s">
        <v>3710</v>
      </c>
      <c r="J6592" s="67">
        <v>0</v>
      </c>
      <c r="K6592" s="62">
        <v>0</v>
      </c>
      <c r="L6592" s="33" t="e">
        <f>HLOOKUP(B6592,#REF!,1,0)</f>
        <v>#REF!</v>
      </c>
      <c r="M6592" s="33" t="str">
        <f t="shared" si="411"/>
        <v>P&amp;L</v>
      </c>
    </row>
    <row r="6593" spans="1:13" s="33" customFormat="true" ht="12.75" customHeight="true">
      <c r="A6593" s="33" t="str">
        <f t="shared" si="408"/>
        <v>OLD - Revenue</v>
      </c>
      <c r="B6593" s="33" t="str">
        <f t="shared" si="409"/>
        <v>OLD</v>
      </c>
      <c r="C6593" s="33" t="str">
        <f t="shared" si="410"/>
        <v>41150-0045</v>
      </c>
      <c r="D6593" s="64" t="s">
        <v>7788</v>
      </c>
      <c r="E6593" s="64" t="s">
        <v>3709</v>
      </c>
      <c r="F6593" s="64" t="s">
        <v>230</v>
      </c>
      <c r="G6593" s="64" t="s">
        <v>3694</v>
      </c>
      <c r="H6593" s="64" t="s">
        <v>2871</v>
      </c>
      <c r="I6593" s="64" t="s">
        <v>3710</v>
      </c>
      <c r="J6593" s="67">
        <v>0</v>
      </c>
      <c r="K6593" s="62">
        <v>0</v>
      </c>
      <c r="L6593" s="33" t="e">
        <f>HLOOKUP(B6593,#REF!,1,0)</f>
        <v>#REF!</v>
      </c>
      <c r="M6593" s="33" t="str">
        <f t="shared" si="411"/>
        <v>P&amp;L</v>
      </c>
    </row>
    <row r="6594" spans="1:13" s="33" customFormat="true" ht="12.75" customHeight="true">
      <c r="A6594" s="33" t="str">
        <f t="shared" ref="A6594:A6657" si="412">B6594&amp;" - "&amp;TRIM(H6594)</f>
        <v>OLD - Revenue</v>
      </c>
      <c r="B6594" s="33" t="str">
        <f t="shared" ref="B6594:B6657" si="413">LEFT(D6594,3)</f>
        <v>OLD</v>
      </c>
      <c r="C6594" s="33" t="str">
        <f t="shared" ref="C6594:C6657" si="414">RIGHT(D6594,10)</f>
        <v>41150-0048</v>
      </c>
      <c r="D6594" s="64" t="s">
        <v>7789</v>
      </c>
      <c r="E6594" s="64" t="s">
        <v>3709</v>
      </c>
      <c r="F6594" s="64" t="s">
        <v>230</v>
      </c>
      <c r="G6594" s="64" t="s">
        <v>3694</v>
      </c>
      <c r="H6594" s="64" t="s">
        <v>2871</v>
      </c>
      <c r="I6594" s="64" t="s">
        <v>3710</v>
      </c>
      <c r="J6594" s="67">
        <v>0</v>
      </c>
      <c r="K6594" s="62">
        <v>534.4</v>
      </c>
      <c r="L6594" s="33" t="e">
        <f>HLOOKUP(B6594,#REF!,1,0)</f>
        <v>#REF!</v>
      </c>
      <c r="M6594" s="33" t="str">
        <f t="shared" ref="M6594:M6657" si="415">IF(VALUE(LEFT(C6594,5))&gt;40000,"P&amp;L","BS")</f>
        <v>P&amp;L</v>
      </c>
    </row>
    <row r="6595" spans="1:13" s="33" customFormat="true" ht="12.75" customHeight="true">
      <c r="A6595" s="33" t="str">
        <f t="shared" si="412"/>
        <v>OLD - Revenue</v>
      </c>
      <c r="B6595" s="33" t="str">
        <f t="shared" si="413"/>
        <v>OLD</v>
      </c>
      <c r="C6595" s="33" t="str">
        <f t="shared" si="414"/>
        <v>41150-0049</v>
      </c>
      <c r="D6595" s="64" t="s">
        <v>7790</v>
      </c>
      <c r="E6595" s="64" t="s">
        <v>3709</v>
      </c>
      <c r="F6595" s="64" t="s">
        <v>230</v>
      </c>
      <c r="G6595" s="64" t="s">
        <v>3694</v>
      </c>
      <c r="H6595" s="64" t="s">
        <v>2871</v>
      </c>
      <c r="I6595" s="64" t="s">
        <v>3710</v>
      </c>
      <c r="J6595" s="67">
        <v>0</v>
      </c>
      <c r="K6595" s="62">
        <v>32000.45</v>
      </c>
      <c r="L6595" s="33" t="e">
        <f>HLOOKUP(B6595,#REF!,1,0)</f>
        <v>#REF!</v>
      </c>
      <c r="M6595" s="33" t="str">
        <f t="shared" si="415"/>
        <v>P&amp;L</v>
      </c>
    </row>
    <row r="6596" spans="1:13" s="33" customFormat="true" ht="12.75" customHeight="true">
      <c r="A6596" s="33" t="str">
        <f t="shared" si="412"/>
        <v>OLD - Revenue</v>
      </c>
      <c r="B6596" s="33" t="str">
        <f t="shared" si="413"/>
        <v>OLD</v>
      </c>
      <c r="C6596" s="33" t="str">
        <f t="shared" si="414"/>
        <v>41999-0040</v>
      </c>
      <c r="D6596" s="64" t="s">
        <v>7791</v>
      </c>
      <c r="E6596" s="64" t="s">
        <v>3712</v>
      </c>
      <c r="F6596" s="64" t="s">
        <v>230</v>
      </c>
      <c r="G6596" s="64" t="s">
        <v>3713</v>
      </c>
      <c r="H6596" s="64" t="s">
        <v>2871</v>
      </c>
      <c r="I6596" s="64" t="s">
        <v>3714</v>
      </c>
      <c r="J6596" s="67">
        <v>0</v>
      </c>
      <c r="K6596" s="62">
        <v>38913.06</v>
      </c>
      <c r="L6596" s="33" t="e">
        <f>HLOOKUP(B6596,#REF!,1,0)</f>
        <v>#REF!</v>
      </c>
      <c r="M6596" s="33" t="str">
        <f t="shared" si="415"/>
        <v>P&amp;L</v>
      </c>
    </row>
    <row r="6597" spans="1:13" s="33" customFormat="true" ht="12.75" customHeight="true">
      <c r="A6597" s="33" t="str">
        <f t="shared" si="412"/>
        <v>OLD - Revenue</v>
      </c>
      <c r="B6597" s="33" t="str">
        <f t="shared" si="413"/>
        <v>OLD</v>
      </c>
      <c r="C6597" s="33" t="str">
        <f t="shared" si="414"/>
        <v>41999-0041</v>
      </c>
      <c r="D6597" s="64" t="s">
        <v>7792</v>
      </c>
      <c r="E6597" s="64" t="s">
        <v>3712</v>
      </c>
      <c r="F6597" s="64" t="s">
        <v>230</v>
      </c>
      <c r="G6597" s="64" t="s">
        <v>3713</v>
      </c>
      <c r="H6597" s="64" t="s">
        <v>2871</v>
      </c>
      <c r="I6597" s="64" t="s">
        <v>3714</v>
      </c>
      <c r="J6597" s="67">
        <v>0</v>
      </c>
      <c r="K6597" s="62">
        <v>110750.98</v>
      </c>
      <c r="L6597" s="33" t="e">
        <f>HLOOKUP(B6597,#REF!,1,0)</f>
        <v>#REF!</v>
      </c>
      <c r="M6597" s="33" t="str">
        <f t="shared" si="415"/>
        <v>P&amp;L</v>
      </c>
    </row>
    <row r="6598" spans="1:13" s="33" customFormat="true" ht="12.75" customHeight="true">
      <c r="A6598" s="33" t="str">
        <f t="shared" si="412"/>
        <v>OLD - Revenue</v>
      </c>
      <c r="B6598" s="33" t="str">
        <f t="shared" si="413"/>
        <v>OLD</v>
      </c>
      <c r="C6598" s="33" t="str">
        <f t="shared" si="414"/>
        <v>41999-0042</v>
      </c>
      <c r="D6598" s="64" t="s">
        <v>7793</v>
      </c>
      <c r="E6598" s="64" t="s">
        <v>3712</v>
      </c>
      <c r="F6598" s="64" t="s">
        <v>230</v>
      </c>
      <c r="G6598" s="64" t="s">
        <v>3713</v>
      </c>
      <c r="H6598" s="64" t="s">
        <v>2871</v>
      </c>
      <c r="I6598" s="64" t="s">
        <v>3714</v>
      </c>
      <c r="J6598" s="67">
        <v>0</v>
      </c>
      <c r="K6598" s="62">
        <v>152712.6</v>
      </c>
      <c r="L6598" s="33" t="e">
        <f>HLOOKUP(B6598,#REF!,1,0)</f>
        <v>#REF!</v>
      </c>
      <c r="M6598" s="33" t="str">
        <f t="shared" si="415"/>
        <v>P&amp;L</v>
      </c>
    </row>
    <row r="6599" spans="1:13" s="33" customFormat="true" ht="12.75" customHeight="true">
      <c r="A6599" s="33" t="str">
        <f t="shared" si="412"/>
        <v>OLD - Revenue</v>
      </c>
      <c r="B6599" s="33" t="str">
        <f t="shared" si="413"/>
        <v>OLD</v>
      </c>
      <c r="C6599" s="33" t="str">
        <f t="shared" si="414"/>
        <v>41999-0043</v>
      </c>
      <c r="D6599" s="64" t="s">
        <v>7794</v>
      </c>
      <c r="E6599" s="64" t="s">
        <v>3712</v>
      </c>
      <c r="F6599" s="64" t="s">
        <v>230</v>
      </c>
      <c r="G6599" s="64" t="s">
        <v>3713</v>
      </c>
      <c r="H6599" s="64" t="s">
        <v>2871</v>
      </c>
      <c r="I6599" s="64" t="s">
        <v>3714</v>
      </c>
      <c r="J6599" s="67">
        <v>0</v>
      </c>
      <c r="K6599" s="62">
        <v>393005.8</v>
      </c>
      <c r="L6599" s="33" t="e">
        <f>HLOOKUP(B6599,#REF!,1,0)</f>
        <v>#REF!</v>
      </c>
      <c r="M6599" s="33" t="str">
        <f t="shared" si="415"/>
        <v>P&amp;L</v>
      </c>
    </row>
    <row r="6600" spans="1:13" s="33" customFormat="true" ht="12.75" customHeight="true">
      <c r="A6600" s="33" t="str">
        <f t="shared" si="412"/>
        <v>OLD - Revenue</v>
      </c>
      <c r="B6600" s="33" t="str">
        <f t="shared" si="413"/>
        <v>OLD</v>
      </c>
      <c r="C6600" s="33" t="str">
        <f t="shared" si="414"/>
        <v>41999-0044</v>
      </c>
      <c r="D6600" s="64" t="s">
        <v>7795</v>
      </c>
      <c r="E6600" s="64" t="s">
        <v>3712</v>
      </c>
      <c r="F6600" s="64" t="s">
        <v>230</v>
      </c>
      <c r="G6600" s="64" t="s">
        <v>3713</v>
      </c>
      <c r="H6600" s="64" t="s">
        <v>2871</v>
      </c>
      <c r="I6600" s="64" t="s">
        <v>3714</v>
      </c>
      <c r="J6600" s="67">
        <v>0</v>
      </c>
      <c r="K6600" s="62">
        <v>147835.06</v>
      </c>
      <c r="L6600" s="33" t="e">
        <f>HLOOKUP(B6600,#REF!,1,0)</f>
        <v>#REF!</v>
      </c>
      <c r="M6600" s="33" t="str">
        <f t="shared" si="415"/>
        <v>P&amp;L</v>
      </c>
    </row>
    <row r="6601" spans="1:13" s="33" customFormat="true" ht="12.75" customHeight="true">
      <c r="A6601" s="33" t="str">
        <f t="shared" si="412"/>
        <v>OLD - Revenue</v>
      </c>
      <c r="B6601" s="33" t="str">
        <f t="shared" si="413"/>
        <v>OLD</v>
      </c>
      <c r="C6601" s="33" t="str">
        <f t="shared" si="414"/>
        <v>41999-0045</v>
      </c>
      <c r="D6601" s="64" t="s">
        <v>7796</v>
      </c>
      <c r="E6601" s="64" t="s">
        <v>3712</v>
      </c>
      <c r="F6601" s="64" t="s">
        <v>230</v>
      </c>
      <c r="G6601" s="64" t="s">
        <v>3713</v>
      </c>
      <c r="H6601" s="64" t="s">
        <v>2871</v>
      </c>
      <c r="I6601" s="64" t="s">
        <v>3714</v>
      </c>
      <c r="J6601" s="67">
        <v>0</v>
      </c>
      <c r="K6601" s="62">
        <v>44300</v>
      </c>
      <c r="L6601" s="33" t="e">
        <f>HLOOKUP(B6601,#REF!,1,0)</f>
        <v>#REF!</v>
      </c>
      <c r="M6601" s="33" t="str">
        <f t="shared" si="415"/>
        <v>P&amp;L</v>
      </c>
    </row>
    <row r="6602" spans="1:13" s="33" customFormat="true" ht="12.75" customHeight="true">
      <c r="A6602" s="33" t="str">
        <f t="shared" si="412"/>
        <v>OLD - Revenue</v>
      </c>
      <c r="B6602" s="33" t="str">
        <f t="shared" si="413"/>
        <v>OLD</v>
      </c>
      <c r="C6602" s="33" t="str">
        <f t="shared" si="414"/>
        <v>41999-0046</v>
      </c>
      <c r="D6602" s="64" t="s">
        <v>7797</v>
      </c>
      <c r="E6602" s="64" t="s">
        <v>3712</v>
      </c>
      <c r="F6602" s="64" t="s">
        <v>230</v>
      </c>
      <c r="G6602" s="64" t="s">
        <v>3713</v>
      </c>
      <c r="H6602" s="64" t="s">
        <v>2871</v>
      </c>
      <c r="I6602" s="64" t="s">
        <v>3714</v>
      </c>
      <c r="J6602" s="67">
        <v>0</v>
      </c>
      <c r="K6602" s="62">
        <v>836252.54</v>
      </c>
      <c r="L6602" s="33" t="e">
        <f>HLOOKUP(B6602,#REF!,1,0)</f>
        <v>#REF!</v>
      </c>
      <c r="M6602" s="33" t="str">
        <f t="shared" si="415"/>
        <v>P&amp;L</v>
      </c>
    </row>
    <row r="6603" spans="1:13" s="33" customFormat="true" ht="12.75" customHeight="true">
      <c r="A6603" s="33" t="str">
        <f t="shared" si="412"/>
        <v>OLD - Revenue</v>
      </c>
      <c r="B6603" s="33" t="str">
        <f t="shared" si="413"/>
        <v>OLD</v>
      </c>
      <c r="C6603" s="33" t="str">
        <f t="shared" si="414"/>
        <v>41999-0048</v>
      </c>
      <c r="D6603" s="64" t="s">
        <v>7798</v>
      </c>
      <c r="E6603" s="64" t="s">
        <v>3712</v>
      </c>
      <c r="F6603" s="64" t="s">
        <v>230</v>
      </c>
      <c r="G6603" s="64" t="s">
        <v>3713</v>
      </c>
      <c r="H6603" s="64" t="s">
        <v>2871</v>
      </c>
      <c r="I6603" s="64" t="s">
        <v>3714</v>
      </c>
      <c r="J6603" s="67">
        <v>0</v>
      </c>
      <c r="K6603" s="62">
        <v>118189.54</v>
      </c>
      <c r="L6603" s="33" t="e">
        <f>HLOOKUP(B6603,#REF!,1,0)</f>
        <v>#REF!</v>
      </c>
      <c r="M6603" s="33" t="str">
        <f t="shared" si="415"/>
        <v>P&amp;L</v>
      </c>
    </row>
    <row r="6604" spans="1:13" s="33" customFormat="true" ht="12.75" customHeight="true">
      <c r="A6604" s="33" t="str">
        <f t="shared" si="412"/>
        <v>OLD - Revenue</v>
      </c>
      <c r="B6604" s="33" t="str">
        <f t="shared" si="413"/>
        <v>OLD</v>
      </c>
      <c r="C6604" s="33" t="str">
        <f t="shared" si="414"/>
        <v>41999-0049</v>
      </c>
      <c r="D6604" s="64" t="s">
        <v>7799</v>
      </c>
      <c r="E6604" s="64" t="s">
        <v>3712</v>
      </c>
      <c r="F6604" s="64" t="s">
        <v>230</v>
      </c>
      <c r="G6604" s="64" t="s">
        <v>3713</v>
      </c>
      <c r="H6604" s="64" t="s">
        <v>2871</v>
      </c>
      <c r="I6604" s="64" t="s">
        <v>3714</v>
      </c>
      <c r="J6604" s="67">
        <v>0</v>
      </c>
      <c r="K6604" s="62">
        <v>3064915.65</v>
      </c>
      <c r="L6604" s="33" t="e">
        <f>HLOOKUP(B6604,#REF!,1,0)</f>
        <v>#REF!</v>
      </c>
      <c r="M6604" s="33" t="str">
        <f t="shared" si="415"/>
        <v>P&amp;L</v>
      </c>
    </row>
    <row r="6605" spans="1:13" s="33" customFormat="true" ht="12.75" customHeight="true">
      <c r="A6605" s="33" t="str">
        <f t="shared" si="412"/>
        <v>OLD - Revenue</v>
      </c>
      <c r="B6605" s="33" t="str">
        <f t="shared" si="413"/>
        <v>OLD</v>
      </c>
      <c r="C6605" s="33" t="str">
        <f t="shared" si="414"/>
        <v>41999-0050</v>
      </c>
      <c r="D6605" s="64" t="s">
        <v>7800</v>
      </c>
      <c r="E6605" s="64" t="s">
        <v>3712</v>
      </c>
      <c r="F6605" s="64" t="s">
        <v>230</v>
      </c>
      <c r="G6605" s="64" t="s">
        <v>3713</v>
      </c>
      <c r="H6605" s="64" t="s">
        <v>2871</v>
      </c>
      <c r="I6605" s="64" t="s">
        <v>3714</v>
      </c>
      <c r="J6605" s="67">
        <v>0</v>
      </c>
      <c r="K6605" s="62">
        <v>1542308.34</v>
      </c>
      <c r="L6605" s="33" t="e">
        <f>HLOOKUP(B6605,#REF!,1,0)</f>
        <v>#REF!</v>
      </c>
      <c r="M6605" s="33" t="str">
        <f t="shared" si="415"/>
        <v>P&amp;L</v>
      </c>
    </row>
    <row r="6606" spans="1:13" s="33" customFormat="true" ht="12.75" customHeight="true">
      <c r="A6606" s="33" t="str">
        <f t="shared" si="412"/>
        <v>OLD - Revenue</v>
      </c>
      <c r="B6606" s="33" t="str">
        <f t="shared" si="413"/>
        <v>OLD</v>
      </c>
      <c r="C6606" s="33" t="str">
        <f t="shared" si="414"/>
        <v>47400-0040</v>
      </c>
      <c r="D6606" s="64" t="s">
        <v>7801</v>
      </c>
      <c r="E6606" s="64" t="s">
        <v>7802</v>
      </c>
      <c r="F6606" s="64" t="s">
        <v>230</v>
      </c>
      <c r="G6606" s="64" t="s">
        <v>3717</v>
      </c>
      <c r="H6606" s="64" t="s">
        <v>2871</v>
      </c>
      <c r="I6606" s="64" t="s">
        <v>3718</v>
      </c>
      <c r="J6606" s="67">
        <v>0</v>
      </c>
      <c r="K6606" s="62">
        <v>-38913.06</v>
      </c>
      <c r="L6606" s="33" t="e">
        <f>HLOOKUP(B6606,#REF!,1,0)</f>
        <v>#REF!</v>
      </c>
      <c r="M6606" s="33" t="str">
        <f t="shared" si="415"/>
        <v>P&amp;L</v>
      </c>
    </row>
    <row r="6607" spans="1:13" s="33" customFormat="true" ht="12.75" customHeight="true">
      <c r="A6607" s="33" t="str">
        <f t="shared" si="412"/>
        <v>OLD - Revenue</v>
      </c>
      <c r="B6607" s="33" t="str">
        <f t="shared" si="413"/>
        <v>OLD</v>
      </c>
      <c r="C6607" s="33" t="str">
        <f t="shared" si="414"/>
        <v>47400-0041</v>
      </c>
      <c r="D6607" s="64" t="s">
        <v>7803</v>
      </c>
      <c r="E6607" s="64" t="s">
        <v>7802</v>
      </c>
      <c r="F6607" s="64" t="s">
        <v>230</v>
      </c>
      <c r="G6607" s="64" t="s">
        <v>3717</v>
      </c>
      <c r="H6607" s="64" t="s">
        <v>2871</v>
      </c>
      <c r="I6607" s="64" t="s">
        <v>3718</v>
      </c>
      <c r="J6607" s="67">
        <v>0</v>
      </c>
      <c r="K6607" s="62">
        <v>-110750.98</v>
      </c>
      <c r="L6607" s="33" t="e">
        <f>HLOOKUP(B6607,#REF!,1,0)</f>
        <v>#REF!</v>
      </c>
      <c r="M6607" s="33" t="str">
        <f t="shared" si="415"/>
        <v>P&amp;L</v>
      </c>
    </row>
    <row r="6608" spans="1:13" s="33" customFormat="true" ht="12.75" customHeight="true">
      <c r="A6608" s="33" t="str">
        <f t="shared" si="412"/>
        <v>OLD - Revenue</v>
      </c>
      <c r="B6608" s="33" t="str">
        <f t="shared" si="413"/>
        <v>OLD</v>
      </c>
      <c r="C6608" s="33" t="str">
        <f t="shared" si="414"/>
        <v>47400-0042</v>
      </c>
      <c r="D6608" s="64" t="s">
        <v>7804</v>
      </c>
      <c r="E6608" s="64" t="s">
        <v>7802</v>
      </c>
      <c r="F6608" s="64" t="s">
        <v>230</v>
      </c>
      <c r="G6608" s="64" t="s">
        <v>3717</v>
      </c>
      <c r="H6608" s="64" t="s">
        <v>2871</v>
      </c>
      <c r="I6608" s="64" t="s">
        <v>3718</v>
      </c>
      <c r="J6608" s="67">
        <v>0</v>
      </c>
      <c r="K6608" s="62">
        <v>-152712.6</v>
      </c>
      <c r="L6608" s="33" t="e">
        <f>HLOOKUP(B6608,#REF!,1,0)</f>
        <v>#REF!</v>
      </c>
      <c r="M6608" s="33" t="str">
        <f t="shared" si="415"/>
        <v>P&amp;L</v>
      </c>
    </row>
    <row r="6609" spans="1:13" s="33" customFormat="true" ht="12.75" customHeight="true">
      <c r="A6609" s="33" t="str">
        <f t="shared" si="412"/>
        <v>OLD - Revenue</v>
      </c>
      <c r="B6609" s="33" t="str">
        <f t="shared" si="413"/>
        <v>OLD</v>
      </c>
      <c r="C6609" s="33" t="str">
        <f t="shared" si="414"/>
        <v>47400-0043</v>
      </c>
      <c r="D6609" s="64" t="s">
        <v>7805</v>
      </c>
      <c r="E6609" s="64" t="s">
        <v>7802</v>
      </c>
      <c r="F6609" s="64" t="s">
        <v>230</v>
      </c>
      <c r="G6609" s="64" t="s">
        <v>3717</v>
      </c>
      <c r="H6609" s="64" t="s">
        <v>2871</v>
      </c>
      <c r="I6609" s="64" t="s">
        <v>3718</v>
      </c>
      <c r="J6609" s="67">
        <v>0</v>
      </c>
      <c r="K6609" s="62">
        <v>-393005.8</v>
      </c>
      <c r="L6609" s="33" t="e">
        <f>HLOOKUP(B6609,#REF!,1,0)</f>
        <v>#REF!</v>
      </c>
      <c r="M6609" s="33" t="str">
        <f t="shared" si="415"/>
        <v>P&amp;L</v>
      </c>
    </row>
    <row r="6610" spans="1:13" s="33" customFormat="true" ht="12.75" customHeight="true">
      <c r="A6610" s="33" t="str">
        <f t="shared" si="412"/>
        <v>OLD - Revenue</v>
      </c>
      <c r="B6610" s="33" t="str">
        <f t="shared" si="413"/>
        <v>OLD</v>
      </c>
      <c r="C6610" s="33" t="str">
        <f t="shared" si="414"/>
        <v>47400-0044</v>
      </c>
      <c r="D6610" s="64" t="s">
        <v>7806</v>
      </c>
      <c r="E6610" s="64" t="s">
        <v>7802</v>
      </c>
      <c r="F6610" s="64" t="s">
        <v>230</v>
      </c>
      <c r="G6610" s="64" t="s">
        <v>3717</v>
      </c>
      <c r="H6610" s="64" t="s">
        <v>2871</v>
      </c>
      <c r="I6610" s="64" t="s">
        <v>3718</v>
      </c>
      <c r="J6610" s="67">
        <v>0</v>
      </c>
      <c r="K6610" s="62">
        <v>-147835.06</v>
      </c>
      <c r="L6610" s="33" t="e">
        <f>HLOOKUP(B6610,#REF!,1,0)</f>
        <v>#REF!</v>
      </c>
      <c r="M6610" s="33" t="str">
        <f t="shared" si="415"/>
        <v>P&amp;L</v>
      </c>
    </row>
    <row r="6611" spans="1:13" s="33" customFormat="true" ht="12.75" customHeight="true">
      <c r="A6611" s="33" t="str">
        <f t="shared" si="412"/>
        <v>OLD - Revenue</v>
      </c>
      <c r="B6611" s="33" t="str">
        <f t="shared" si="413"/>
        <v>OLD</v>
      </c>
      <c r="C6611" s="33" t="str">
        <f t="shared" si="414"/>
        <v>47400-0045</v>
      </c>
      <c r="D6611" s="64" t="s">
        <v>7807</v>
      </c>
      <c r="E6611" s="64" t="s">
        <v>7802</v>
      </c>
      <c r="F6611" s="64" t="s">
        <v>230</v>
      </c>
      <c r="G6611" s="64" t="s">
        <v>3717</v>
      </c>
      <c r="H6611" s="64" t="s">
        <v>2871</v>
      </c>
      <c r="I6611" s="64" t="s">
        <v>3718</v>
      </c>
      <c r="J6611" s="67">
        <v>0</v>
      </c>
      <c r="K6611" s="62">
        <v>-44300</v>
      </c>
      <c r="L6611" s="33" t="e">
        <f>HLOOKUP(B6611,#REF!,1,0)</f>
        <v>#REF!</v>
      </c>
      <c r="M6611" s="33" t="str">
        <f t="shared" si="415"/>
        <v>P&amp;L</v>
      </c>
    </row>
    <row r="6612" spans="1:13" s="33" customFormat="true" ht="12.75" customHeight="true">
      <c r="A6612" s="33" t="str">
        <f t="shared" si="412"/>
        <v>OLD - Revenue</v>
      </c>
      <c r="B6612" s="33" t="str">
        <f t="shared" si="413"/>
        <v>OLD</v>
      </c>
      <c r="C6612" s="33" t="str">
        <f t="shared" si="414"/>
        <v>47400-0046</v>
      </c>
      <c r="D6612" s="64" t="s">
        <v>7808</v>
      </c>
      <c r="E6612" s="64" t="s">
        <v>7802</v>
      </c>
      <c r="F6612" s="64" t="s">
        <v>230</v>
      </c>
      <c r="G6612" s="64" t="s">
        <v>3717</v>
      </c>
      <c r="H6612" s="64" t="s">
        <v>2871</v>
      </c>
      <c r="I6612" s="64" t="s">
        <v>3718</v>
      </c>
      <c r="J6612" s="67">
        <v>0</v>
      </c>
      <c r="K6612" s="62">
        <v>-836252.54</v>
      </c>
      <c r="L6612" s="33" t="e">
        <f>HLOOKUP(B6612,#REF!,1,0)</f>
        <v>#REF!</v>
      </c>
      <c r="M6612" s="33" t="str">
        <f t="shared" si="415"/>
        <v>P&amp;L</v>
      </c>
    </row>
    <row r="6613" spans="1:13" s="33" customFormat="true" ht="12.75" customHeight="true">
      <c r="A6613" s="33" t="str">
        <f t="shared" si="412"/>
        <v>OLD - Revenue</v>
      </c>
      <c r="B6613" s="33" t="str">
        <f t="shared" si="413"/>
        <v>OLD</v>
      </c>
      <c r="C6613" s="33" t="str">
        <f t="shared" si="414"/>
        <v>47400-0048</v>
      </c>
      <c r="D6613" s="64" t="s">
        <v>7809</v>
      </c>
      <c r="E6613" s="64" t="s">
        <v>7802</v>
      </c>
      <c r="F6613" s="64" t="s">
        <v>230</v>
      </c>
      <c r="G6613" s="64" t="s">
        <v>3717</v>
      </c>
      <c r="H6613" s="64" t="s">
        <v>2871</v>
      </c>
      <c r="I6613" s="64" t="s">
        <v>3718</v>
      </c>
      <c r="J6613" s="67">
        <v>0</v>
      </c>
      <c r="K6613" s="62">
        <v>-118189.54</v>
      </c>
      <c r="L6613" s="33" t="e">
        <f>HLOOKUP(B6613,#REF!,1,0)</f>
        <v>#REF!</v>
      </c>
      <c r="M6613" s="33" t="str">
        <f t="shared" si="415"/>
        <v>P&amp;L</v>
      </c>
    </row>
    <row r="6614" spans="1:13" s="33" customFormat="true" ht="12.75" customHeight="true">
      <c r="A6614" s="33" t="str">
        <f t="shared" si="412"/>
        <v>OLD - Revenue</v>
      </c>
      <c r="B6614" s="33" t="str">
        <f t="shared" si="413"/>
        <v>OLD</v>
      </c>
      <c r="C6614" s="33" t="str">
        <f t="shared" si="414"/>
        <v>47400-0049</v>
      </c>
      <c r="D6614" s="64" t="s">
        <v>7810</v>
      </c>
      <c r="E6614" s="64" t="s">
        <v>7802</v>
      </c>
      <c r="F6614" s="64" t="s">
        <v>230</v>
      </c>
      <c r="G6614" s="64" t="s">
        <v>3717</v>
      </c>
      <c r="H6614" s="64" t="s">
        <v>2871</v>
      </c>
      <c r="I6614" s="64" t="s">
        <v>3718</v>
      </c>
      <c r="J6614" s="67">
        <v>0</v>
      </c>
      <c r="K6614" s="62">
        <v>-3064915.65</v>
      </c>
      <c r="L6614" s="33" t="e">
        <f>HLOOKUP(B6614,#REF!,1,0)</f>
        <v>#REF!</v>
      </c>
      <c r="M6614" s="33" t="str">
        <f t="shared" si="415"/>
        <v>P&amp;L</v>
      </c>
    </row>
    <row r="6615" spans="1:13" s="33" customFormat="true" ht="12.75" customHeight="true">
      <c r="A6615" s="33" t="str">
        <f t="shared" si="412"/>
        <v>OLD - Revenue</v>
      </c>
      <c r="B6615" s="33" t="str">
        <f t="shared" si="413"/>
        <v>OLD</v>
      </c>
      <c r="C6615" s="33" t="str">
        <f t="shared" si="414"/>
        <v>47400-0050</v>
      </c>
      <c r="D6615" s="64" t="s">
        <v>7811</v>
      </c>
      <c r="E6615" s="64" t="s">
        <v>7802</v>
      </c>
      <c r="F6615" s="64" t="s">
        <v>230</v>
      </c>
      <c r="G6615" s="64" t="s">
        <v>3717</v>
      </c>
      <c r="H6615" s="64" t="s">
        <v>2871</v>
      </c>
      <c r="I6615" s="64" t="s">
        <v>3718</v>
      </c>
      <c r="J6615" s="67">
        <v>0</v>
      </c>
      <c r="K6615" s="62">
        <v>-1542308.34</v>
      </c>
      <c r="L6615" s="33" t="e">
        <f>HLOOKUP(B6615,#REF!,1,0)</f>
        <v>#REF!</v>
      </c>
      <c r="M6615" s="33" t="str">
        <f t="shared" si="415"/>
        <v>P&amp;L</v>
      </c>
    </row>
    <row r="6616" spans="1:13" s="33" customFormat="true" ht="12.75" customHeight="true">
      <c r="A6616" s="33" t="str">
        <f t="shared" si="412"/>
        <v>OLD - Revenue</v>
      </c>
      <c r="B6616" s="33" t="str">
        <f t="shared" si="413"/>
        <v>OLD</v>
      </c>
      <c r="C6616" s="33" t="str">
        <f t="shared" si="414"/>
        <v>47410-0049</v>
      </c>
      <c r="D6616" s="64" t="s">
        <v>7812</v>
      </c>
      <c r="E6616" s="64" t="s">
        <v>7813</v>
      </c>
      <c r="F6616" s="64" t="s">
        <v>230</v>
      </c>
      <c r="G6616" s="64" t="s">
        <v>3717</v>
      </c>
      <c r="H6616" s="64" t="s">
        <v>2871</v>
      </c>
      <c r="I6616" s="64" t="s">
        <v>3727</v>
      </c>
      <c r="J6616" s="67">
        <v>0</v>
      </c>
      <c r="K6616" s="62">
        <v>-36803.84</v>
      </c>
      <c r="L6616" s="33" t="e">
        <f>HLOOKUP(B6616,#REF!,1,0)</f>
        <v>#REF!</v>
      </c>
      <c r="M6616" s="33" t="str">
        <f t="shared" si="415"/>
        <v>P&amp;L</v>
      </c>
    </row>
    <row r="6617" spans="1:13" s="33" customFormat="true" ht="12.75" customHeight="true">
      <c r="A6617" s="33" t="str">
        <f t="shared" si="412"/>
        <v>OLD - Revenue</v>
      </c>
      <c r="B6617" s="33" t="str">
        <f t="shared" si="413"/>
        <v>OLD</v>
      </c>
      <c r="C6617" s="33" t="str">
        <f t="shared" si="414"/>
        <v>47410-0050</v>
      </c>
      <c r="D6617" s="64" t="s">
        <v>7814</v>
      </c>
      <c r="E6617" s="64" t="s">
        <v>7813</v>
      </c>
      <c r="F6617" s="64" t="s">
        <v>230</v>
      </c>
      <c r="G6617" s="64" t="s">
        <v>3717</v>
      </c>
      <c r="H6617" s="64" t="s">
        <v>2871</v>
      </c>
      <c r="I6617" s="64" t="s">
        <v>3727</v>
      </c>
      <c r="J6617" s="67">
        <v>0</v>
      </c>
      <c r="K6617" s="62">
        <v>-28308.62</v>
      </c>
      <c r="L6617" s="33" t="e">
        <f>HLOOKUP(B6617,#REF!,1,0)</f>
        <v>#REF!</v>
      </c>
      <c r="M6617" s="33" t="str">
        <f t="shared" si="415"/>
        <v>P&amp;L</v>
      </c>
    </row>
    <row r="6618" spans="1:13" s="33" customFormat="true" ht="12.75" customHeight="true">
      <c r="A6618" s="33" t="str">
        <f t="shared" si="412"/>
        <v>OLD - Revenue</v>
      </c>
      <c r="B6618" s="33" t="str">
        <f t="shared" si="413"/>
        <v>OLD</v>
      </c>
      <c r="C6618" s="33" t="str">
        <f t="shared" si="414"/>
        <v>47430-0043</v>
      </c>
      <c r="D6618" s="64" t="s">
        <v>7815</v>
      </c>
      <c r="E6618" s="64" t="s">
        <v>4053</v>
      </c>
      <c r="F6618" s="64" t="s">
        <v>230</v>
      </c>
      <c r="G6618" s="64" t="s">
        <v>3717</v>
      </c>
      <c r="H6618" s="64" t="s">
        <v>2871</v>
      </c>
      <c r="I6618" s="64" t="s">
        <v>4054</v>
      </c>
      <c r="J6618" s="67">
        <v>0</v>
      </c>
      <c r="K6618" s="62">
        <v>-5093.39</v>
      </c>
      <c r="L6618" s="33" t="e">
        <f>HLOOKUP(B6618,#REF!,1,0)</f>
        <v>#REF!</v>
      </c>
      <c r="M6618" s="33" t="str">
        <f t="shared" si="415"/>
        <v>P&amp;L</v>
      </c>
    </row>
    <row r="6619" spans="1:13" s="33" customFormat="true" ht="12.75" customHeight="true">
      <c r="A6619" s="33" t="str">
        <f t="shared" si="412"/>
        <v>OLD - Revenue</v>
      </c>
      <c r="B6619" s="33" t="str">
        <f t="shared" si="413"/>
        <v>OLD</v>
      </c>
      <c r="C6619" s="33" t="str">
        <f t="shared" si="414"/>
        <v>47430-0044</v>
      </c>
      <c r="D6619" s="64" t="s">
        <v>7816</v>
      </c>
      <c r="E6619" s="64" t="s">
        <v>4053</v>
      </c>
      <c r="F6619" s="64" t="s">
        <v>230</v>
      </c>
      <c r="G6619" s="64" t="s">
        <v>3717</v>
      </c>
      <c r="H6619" s="64" t="s">
        <v>2871</v>
      </c>
      <c r="I6619" s="64" t="s">
        <v>4054</v>
      </c>
      <c r="J6619" s="67">
        <v>0</v>
      </c>
      <c r="K6619" s="62">
        <v>0</v>
      </c>
      <c r="L6619" s="33" t="e">
        <f>HLOOKUP(B6619,#REF!,1,0)</f>
        <v>#REF!</v>
      </c>
      <c r="M6619" s="33" t="str">
        <f t="shared" si="415"/>
        <v>P&amp;L</v>
      </c>
    </row>
    <row r="6620" spans="1:13" s="33" customFormat="true" ht="12.75" customHeight="true">
      <c r="A6620" s="33" t="str">
        <f t="shared" si="412"/>
        <v>OLD - Revenue</v>
      </c>
      <c r="B6620" s="33" t="str">
        <f t="shared" si="413"/>
        <v>OLD</v>
      </c>
      <c r="C6620" s="33" t="str">
        <f t="shared" si="414"/>
        <v>47430-0045</v>
      </c>
      <c r="D6620" s="64" t="s">
        <v>7817</v>
      </c>
      <c r="E6620" s="64" t="s">
        <v>4053</v>
      </c>
      <c r="F6620" s="64" t="s">
        <v>230</v>
      </c>
      <c r="G6620" s="64" t="s">
        <v>3717</v>
      </c>
      <c r="H6620" s="64" t="s">
        <v>2871</v>
      </c>
      <c r="I6620" s="64" t="s">
        <v>4054</v>
      </c>
      <c r="J6620" s="67">
        <v>0</v>
      </c>
      <c r="K6620" s="62">
        <v>0</v>
      </c>
      <c r="L6620" s="33" t="e">
        <f>HLOOKUP(B6620,#REF!,1,0)</f>
        <v>#REF!</v>
      </c>
      <c r="M6620" s="33" t="str">
        <f t="shared" si="415"/>
        <v>P&amp;L</v>
      </c>
    </row>
    <row r="6621" spans="1:13" s="33" customFormat="true" ht="12.75" customHeight="true">
      <c r="A6621" s="33" t="str">
        <f t="shared" si="412"/>
        <v>OLD - Revenue</v>
      </c>
      <c r="B6621" s="33" t="str">
        <f t="shared" si="413"/>
        <v>OLD</v>
      </c>
      <c r="C6621" s="33" t="str">
        <f t="shared" si="414"/>
        <v>47430-0046</v>
      </c>
      <c r="D6621" s="64" t="s">
        <v>7818</v>
      </c>
      <c r="E6621" s="64" t="s">
        <v>4053</v>
      </c>
      <c r="F6621" s="64" t="s">
        <v>230</v>
      </c>
      <c r="G6621" s="64" t="s">
        <v>3717</v>
      </c>
      <c r="H6621" s="64" t="s">
        <v>2871</v>
      </c>
      <c r="I6621" s="64" t="s">
        <v>4054</v>
      </c>
      <c r="J6621" s="67">
        <v>0</v>
      </c>
      <c r="K6621" s="62">
        <v>-733.95</v>
      </c>
      <c r="L6621" s="33" t="e">
        <f>HLOOKUP(B6621,#REF!,1,0)</f>
        <v>#REF!</v>
      </c>
      <c r="M6621" s="33" t="str">
        <f t="shared" si="415"/>
        <v>P&amp;L</v>
      </c>
    </row>
    <row r="6622" spans="1:13" s="33" customFormat="true" ht="12.75" customHeight="true">
      <c r="A6622" s="33" t="str">
        <f t="shared" si="412"/>
        <v>OLD - Revenue</v>
      </c>
      <c r="B6622" s="33" t="str">
        <f t="shared" si="413"/>
        <v>OLD</v>
      </c>
      <c r="C6622" s="33" t="str">
        <f t="shared" si="414"/>
        <v>47430-0049</v>
      </c>
      <c r="D6622" s="64" t="s">
        <v>7819</v>
      </c>
      <c r="E6622" s="64" t="s">
        <v>4053</v>
      </c>
      <c r="F6622" s="64" t="s">
        <v>230</v>
      </c>
      <c r="G6622" s="64" t="s">
        <v>3717</v>
      </c>
      <c r="H6622" s="64" t="s">
        <v>2871</v>
      </c>
      <c r="I6622" s="64" t="s">
        <v>4054</v>
      </c>
      <c r="J6622" s="67">
        <v>0</v>
      </c>
      <c r="K6622" s="62">
        <v>-781.32</v>
      </c>
      <c r="L6622" s="33" t="e">
        <f>HLOOKUP(B6622,#REF!,1,0)</f>
        <v>#REF!</v>
      </c>
      <c r="M6622" s="33" t="str">
        <f t="shared" si="415"/>
        <v>P&amp;L</v>
      </c>
    </row>
    <row r="6623" spans="1:13" s="33" customFormat="true" ht="12.75" customHeight="true">
      <c r="A6623" s="33" t="str">
        <f t="shared" si="412"/>
        <v>OLD - Revenue</v>
      </c>
      <c r="B6623" s="33" t="str">
        <f t="shared" si="413"/>
        <v>OLD</v>
      </c>
      <c r="C6623" s="33" t="str">
        <f t="shared" si="414"/>
        <v>47430-0050</v>
      </c>
      <c r="D6623" s="64" t="s">
        <v>7820</v>
      </c>
      <c r="E6623" s="64" t="s">
        <v>4053</v>
      </c>
      <c r="F6623" s="64" t="s">
        <v>230</v>
      </c>
      <c r="G6623" s="64" t="s">
        <v>3717</v>
      </c>
      <c r="H6623" s="64" t="s">
        <v>2871</v>
      </c>
      <c r="I6623" s="64" t="s">
        <v>4054</v>
      </c>
      <c r="J6623" s="67">
        <v>0</v>
      </c>
      <c r="K6623" s="62">
        <v>-12396.16</v>
      </c>
      <c r="L6623" s="33" t="e">
        <f>HLOOKUP(B6623,#REF!,1,0)</f>
        <v>#REF!</v>
      </c>
      <c r="M6623" s="33" t="str">
        <f t="shared" si="415"/>
        <v>P&amp;L</v>
      </c>
    </row>
    <row r="6624" spans="1:13" s="33" customFormat="true" ht="12.75" customHeight="true">
      <c r="A6624" s="33" t="str">
        <f t="shared" si="412"/>
        <v>OLD - Revenue</v>
      </c>
      <c r="B6624" s="33" t="str">
        <f t="shared" si="413"/>
        <v>OLD</v>
      </c>
      <c r="C6624" s="33" t="str">
        <f t="shared" si="414"/>
        <v>47440-0040</v>
      </c>
      <c r="D6624" s="64" t="s">
        <v>7821</v>
      </c>
      <c r="E6624" s="64" t="s">
        <v>7822</v>
      </c>
      <c r="F6624" s="64" t="s">
        <v>230</v>
      </c>
      <c r="G6624" s="64" t="s">
        <v>3717</v>
      </c>
      <c r="H6624" s="64" t="s">
        <v>2871</v>
      </c>
      <c r="I6624" s="64" t="s">
        <v>3721</v>
      </c>
      <c r="J6624" s="67">
        <v>0</v>
      </c>
      <c r="K6624" s="62">
        <v>-43.45</v>
      </c>
      <c r="L6624" s="33" t="e">
        <f>HLOOKUP(B6624,#REF!,1,0)</f>
        <v>#REF!</v>
      </c>
      <c r="M6624" s="33" t="str">
        <f t="shared" si="415"/>
        <v>P&amp;L</v>
      </c>
    </row>
    <row r="6625" spans="1:13" s="33" customFormat="true" ht="12.75" customHeight="true">
      <c r="A6625" s="33" t="str">
        <f t="shared" si="412"/>
        <v>OLD - Revenue</v>
      </c>
      <c r="B6625" s="33" t="str">
        <f t="shared" si="413"/>
        <v>OLD</v>
      </c>
      <c r="C6625" s="33" t="str">
        <f t="shared" si="414"/>
        <v>47440-0041</v>
      </c>
      <c r="D6625" s="64" t="s">
        <v>7823</v>
      </c>
      <c r="E6625" s="64" t="s">
        <v>7822</v>
      </c>
      <c r="F6625" s="64" t="s">
        <v>230</v>
      </c>
      <c r="G6625" s="64" t="s">
        <v>3717</v>
      </c>
      <c r="H6625" s="64" t="s">
        <v>2871</v>
      </c>
      <c r="I6625" s="64" t="s">
        <v>3721</v>
      </c>
      <c r="J6625" s="67">
        <v>0</v>
      </c>
      <c r="K6625" s="62">
        <v>-2486.77</v>
      </c>
      <c r="L6625" s="33" t="e">
        <f>HLOOKUP(B6625,#REF!,1,0)</f>
        <v>#REF!</v>
      </c>
      <c r="M6625" s="33" t="str">
        <f t="shared" si="415"/>
        <v>P&amp;L</v>
      </c>
    </row>
    <row r="6626" spans="1:13" s="33" customFormat="true" ht="12.75" customHeight="true">
      <c r="A6626" s="33" t="str">
        <f t="shared" si="412"/>
        <v>OLD - Revenue</v>
      </c>
      <c r="B6626" s="33" t="str">
        <f t="shared" si="413"/>
        <v>OLD</v>
      </c>
      <c r="C6626" s="33" t="str">
        <f t="shared" si="414"/>
        <v>47440-0042</v>
      </c>
      <c r="D6626" s="64" t="s">
        <v>7824</v>
      </c>
      <c r="E6626" s="64" t="s">
        <v>7822</v>
      </c>
      <c r="F6626" s="64" t="s">
        <v>230</v>
      </c>
      <c r="G6626" s="64" t="s">
        <v>3717</v>
      </c>
      <c r="H6626" s="64" t="s">
        <v>2871</v>
      </c>
      <c r="I6626" s="64" t="s">
        <v>3721</v>
      </c>
      <c r="J6626" s="67">
        <v>0</v>
      </c>
      <c r="K6626" s="62">
        <v>-9762.73</v>
      </c>
      <c r="L6626" s="33" t="e">
        <f>HLOOKUP(B6626,#REF!,1,0)</f>
        <v>#REF!</v>
      </c>
      <c r="M6626" s="33" t="str">
        <f t="shared" si="415"/>
        <v>P&amp;L</v>
      </c>
    </row>
    <row r="6627" spans="1:13" s="33" customFormat="true" ht="12.75" customHeight="true">
      <c r="A6627" s="33" t="str">
        <f t="shared" si="412"/>
        <v>OLD - Revenue</v>
      </c>
      <c r="B6627" s="33" t="str">
        <f t="shared" si="413"/>
        <v>OLD</v>
      </c>
      <c r="C6627" s="33" t="str">
        <f t="shared" si="414"/>
        <v>47440-0043</v>
      </c>
      <c r="D6627" s="64" t="s">
        <v>7825</v>
      </c>
      <c r="E6627" s="64" t="s">
        <v>7822</v>
      </c>
      <c r="F6627" s="64" t="s">
        <v>230</v>
      </c>
      <c r="G6627" s="64" t="s">
        <v>3717</v>
      </c>
      <c r="H6627" s="64" t="s">
        <v>2871</v>
      </c>
      <c r="I6627" s="64" t="s">
        <v>3721</v>
      </c>
      <c r="J6627" s="67">
        <v>0</v>
      </c>
      <c r="K6627" s="62">
        <v>-11080.34</v>
      </c>
      <c r="L6627" s="33" t="e">
        <f>HLOOKUP(B6627,#REF!,1,0)</f>
        <v>#REF!</v>
      </c>
      <c r="M6627" s="33" t="str">
        <f t="shared" si="415"/>
        <v>P&amp;L</v>
      </c>
    </row>
    <row r="6628" spans="1:13" s="33" customFormat="true" ht="12.75" customHeight="true">
      <c r="A6628" s="33" t="str">
        <f t="shared" si="412"/>
        <v>OLD - Revenue</v>
      </c>
      <c r="B6628" s="33" t="str">
        <f t="shared" si="413"/>
        <v>OLD</v>
      </c>
      <c r="C6628" s="33" t="str">
        <f t="shared" si="414"/>
        <v>47440-0044</v>
      </c>
      <c r="D6628" s="64" t="s">
        <v>7826</v>
      </c>
      <c r="E6628" s="64" t="s">
        <v>7822</v>
      </c>
      <c r="F6628" s="64" t="s">
        <v>230</v>
      </c>
      <c r="G6628" s="64" t="s">
        <v>3717</v>
      </c>
      <c r="H6628" s="64" t="s">
        <v>2871</v>
      </c>
      <c r="I6628" s="64" t="s">
        <v>3721</v>
      </c>
      <c r="J6628" s="67">
        <v>0</v>
      </c>
      <c r="K6628" s="62">
        <v>-2594.23</v>
      </c>
      <c r="L6628" s="33" t="e">
        <f>HLOOKUP(B6628,#REF!,1,0)</f>
        <v>#REF!</v>
      </c>
      <c r="M6628" s="33" t="str">
        <f t="shared" si="415"/>
        <v>P&amp;L</v>
      </c>
    </row>
    <row r="6629" spans="1:13" s="33" customFormat="true" ht="12.75" customHeight="true">
      <c r="A6629" s="33" t="str">
        <f t="shared" si="412"/>
        <v>OLD - Revenue</v>
      </c>
      <c r="B6629" s="33" t="str">
        <f t="shared" si="413"/>
        <v>OLD</v>
      </c>
      <c r="C6629" s="33" t="str">
        <f t="shared" si="414"/>
        <v>47440-0045</v>
      </c>
      <c r="D6629" s="64" t="s">
        <v>7827</v>
      </c>
      <c r="E6629" s="64" t="s">
        <v>7822</v>
      </c>
      <c r="F6629" s="64" t="s">
        <v>230</v>
      </c>
      <c r="G6629" s="64" t="s">
        <v>3717</v>
      </c>
      <c r="H6629" s="64" t="s">
        <v>2871</v>
      </c>
      <c r="I6629" s="64" t="s">
        <v>3721</v>
      </c>
      <c r="J6629" s="67">
        <v>0</v>
      </c>
      <c r="K6629" s="62">
        <v>-2700.89</v>
      </c>
      <c r="L6629" s="33" t="e">
        <f>HLOOKUP(B6629,#REF!,1,0)</f>
        <v>#REF!</v>
      </c>
      <c r="M6629" s="33" t="str">
        <f t="shared" si="415"/>
        <v>P&amp;L</v>
      </c>
    </row>
    <row r="6630" spans="1:13" s="33" customFormat="true" ht="12.75" customHeight="true">
      <c r="A6630" s="33" t="str">
        <f t="shared" si="412"/>
        <v>OLD - Revenue</v>
      </c>
      <c r="B6630" s="33" t="str">
        <f t="shared" si="413"/>
        <v>OLD</v>
      </c>
      <c r="C6630" s="33" t="str">
        <f t="shared" si="414"/>
        <v>47440-0046</v>
      </c>
      <c r="D6630" s="64" t="s">
        <v>7828</v>
      </c>
      <c r="E6630" s="64" t="s">
        <v>7822</v>
      </c>
      <c r="F6630" s="64" t="s">
        <v>230</v>
      </c>
      <c r="G6630" s="64" t="s">
        <v>3717</v>
      </c>
      <c r="H6630" s="64" t="s">
        <v>2871</v>
      </c>
      <c r="I6630" s="64" t="s">
        <v>3721</v>
      </c>
      <c r="J6630" s="67">
        <v>0</v>
      </c>
      <c r="K6630" s="62">
        <v>-34872.11</v>
      </c>
      <c r="L6630" s="33" t="e">
        <f>HLOOKUP(B6630,#REF!,1,0)</f>
        <v>#REF!</v>
      </c>
      <c r="M6630" s="33" t="str">
        <f t="shared" si="415"/>
        <v>P&amp;L</v>
      </c>
    </row>
    <row r="6631" spans="1:13" s="33" customFormat="true" ht="12.75" customHeight="true">
      <c r="A6631" s="33" t="str">
        <f t="shared" si="412"/>
        <v>OLD - Revenue</v>
      </c>
      <c r="B6631" s="33" t="str">
        <f t="shared" si="413"/>
        <v>OLD</v>
      </c>
      <c r="C6631" s="33" t="str">
        <f t="shared" si="414"/>
        <v>47440-0048</v>
      </c>
      <c r="D6631" s="64" t="s">
        <v>7829</v>
      </c>
      <c r="E6631" s="64" t="s">
        <v>7822</v>
      </c>
      <c r="F6631" s="64" t="s">
        <v>230</v>
      </c>
      <c r="G6631" s="64" t="s">
        <v>3717</v>
      </c>
      <c r="H6631" s="64" t="s">
        <v>2871</v>
      </c>
      <c r="I6631" s="64" t="s">
        <v>3721</v>
      </c>
      <c r="J6631" s="67">
        <v>0</v>
      </c>
      <c r="K6631" s="62">
        <v>-4848.18</v>
      </c>
      <c r="L6631" s="33" t="e">
        <f>HLOOKUP(B6631,#REF!,1,0)</f>
        <v>#REF!</v>
      </c>
      <c r="M6631" s="33" t="str">
        <f t="shared" si="415"/>
        <v>P&amp;L</v>
      </c>
    </row>
    <row r="6632" spans="1:13" s="33" customFormat="true" ht="12.75" customHeight="true">
      <c r="A6632" s="33" t="str">
        <f t="shared" si="412"/>
        <v>OLD - Revenue</v>
      </c>
      <c r="B6632" s="33" t="str">
        <f t="shared" si="413"/>
        <v>OLD</v>
      </c>
      <c r="C6632" s="33" t="str">
        <f t="shared" si="414"/>
        <v>47440-0049</v>
      </c>
      <c r="D6632" s="64" t="s">
        <v>7830</v>
      </c>
      <c r="E6632" s="64" t="s">
        <v>7822</v>
      </c>
      <c r="F6632" s="64" t="s">
        <v>230</v>
      </c>
      <c r="G6632" s="64" t="s">
        <v>3717</v>
      </c>
      <c r="H6632" s="64" t="s">
        <v>2871</v>
      </c>
      <c r="I6632" s="64" t="s">
        <v>3721</v>
      </c>
      <c r="J6632" s="67">
        <v>0</v>
      </c>
      <c r="K6632" s="62">
        <v>-10206.71</v>
      </c>
      <c r="L6632" s="33" t="e">
        <f>HLOOKUP(B6632,#REF!,1,0)</f>
        <v>#REF!</v>
      </c>
      <c r="M6632" s="33" t="str">
        <f t="shared" si="415"/>
        <v>P&amp;L</v>
      </c>
    </row>
    <row r="6633" spans="1:13" s="33" customFormat="true" ht="12.75" customHeight="true">
      <c r="A6633" s="33" t="str">
        <f t="shared" si="412"/>
        <v>OLD - Revenue</v>
      </c>
      <c r="B6633" s="33" t="str">
        <f t="shared" si="413"/>
        <v>OLD</v>
      </c>
      <c r="C6633" s="33" t="str">
        <f t="shared" si="414"/>
        <v>47440-0050</v>
      </c>
      <c r="D6633" s="64" t="s">
        <v>7831</v>
      </c>
      <c r="E6633" s="64" t="s">
        <v>7822</v>
      </c>
      <c r="F6633" s="64" t="s">
        <v>230</v>
      </c>
      <c r="G6633" s="64" t="s">
        <v>3717</v>
      </c>
      <c r="H6633" s="64" t="s">
        <v>2871</v>
      </c>
      <c r="I6633" s="64" t="s">
        <v>3721</v>
      </c>
      <c r="J6633" s="67">
        <v>0</v>
      </c>
      <c r="K6633" s="62">
        <v>-53073.4</v>
      </c>
      <c r="L6633" s="33" t="e">
        <f>HLOOKUP(B6633,#REF!,1,0)</f>
        <v>#REF!</v>
      </c>
      <c r="M6633" s="33" t="str">
        <f t="shared" si="415"/>
        <v>P&amp;L</v>
      </c>
    </row>
    <row r="6634" spans="1:13" s="33" customFormat="true" ht="12.75" customHeight="true">
      <c r="A6634" s="33" t="str">
        <f t="shared" si="412"/>
        <v>OLD - Revenue</v>
      </c>
      <c r="B6634" s="33" t="str">
        <f t="shared" si="413"/>
        <v>OLD</v>
      </c>
      <c r="C6634" s="33" t="str">
        <f t="shared" si="414"/>
        <v>47450-0048</v>
      </c>
      <c r="D6634" s="64" t="s">
        <v>7832</v>
      </c>
      <c r="E6634" s="64" t="s">
        <v>3723</v>
      </c>
      <c r="F6634" s="64" t="s">
        <v>230</v>
      </c>
      <c r="G6634" s="64" t="s">
        <v>3717</v>
      </c>
      <c r="H6634" s="64" t="s">
        <v>2871</v>
      </c>
      <c r="I6634" s="64" t="s">
        <v>3724</v>
      </c>
      <c r="J6634" s="67">
        <v>0</v>
      </c>
      <c r="K6634" s="62">
        <v>-25</v>
      </c>
      <c r="L6634" s="33" t="e">
        <f>HLOOKUP(B6634,#REF!,1,0)</f>
        <v>#REF!</v>
      </c>
      <c r="M6634" s="33" t="str">
        <f t="shared" si="415"/>
        <v>P&amp;L</v>
      </c>
    </row>
    <row r="6635" spans="1:13" s="33" customFormat="true" ht="12.75" customHeight="true">
      <c r="A6635" s="33" t="str">
        <f t="shared" si="412"/>
        <v>OLD - Revenue</v>
      </c>
      <c r="B6635" s="33" t="str">
        <f t="shared" si="413"/>
        <v>OLD</v>
      </c>
      <c r="C6635" s="33" t="str">
        <f t="shared" si="414"/>
        <v>47450-0049</v>
      </c>
      <c r="D6635" s="64" t="s">
        <v>7833</v>
      </c>
      <c r="E6635" s="64" t="s">
        <v>3723</v>
      </c>
      <c r="F6635" s="64" t="s">
        <v>230</v>
      </c>
      <c r="G6635" s="64" t="s">
        <v>3717</v>
      </c>
      <c r="H6635" s="64" t="s">
        <v>2871</v>
      </c>
      <c r="I6635" s="64" t="s">
        <v>3724</v>
      </c>
      <c r="J6635" s="67">
        <v>0</v>
      </c>
      <c r="K6635" s="62">
        <v>-39144.27</v>
      </c>
      <c r="L6635" s="33" t="e">
        <f>HLOOKUP(B6635,#REF!,1,0)</f>
        <v>#REF!</v>
      </c>
      <c r="M6635" s="33" t="str">
        <f t="shared" si="415"/>
        <v>P&amp;L</v>
      </c>
    </row>
    <row r="6636" spans="1:13" s="33" customFormat="true" ht="12.75" customHeight="true">
      <c r="A6636" s="33" t="str">
        <f t="shared" si="412"/>
        <v>OLD - Revenue</v>
      </c>
      <c r="B6636" s="33" t="str">
        <f t="shared" si="413"/>
        <v>OLD</v>
      </c>
      <c r="C6636" s="33" t="str">
        <f t="shared" si="414"/>
        <v>47460-0040</v>
      </c>
      <c r="D6636" s="64" t="s">
        <v>7834</v>
      </c>
      <c r="E6636" s="64" t="s">
        <v>7835</v>
      </c>
      <c r="F6636" s="64" t="s">
        <v>230</v>
      </c>
      <c r="G6636" s="64" t="s">
        <v>3717</v>
      </c>
      <c r="H6636" s="64" t="s">
        <v>2871</v>
      </c>
      <c r="I6636" s="64" t="s">
        <v>3727</v>
      </c>
      <c r="J6636" s="67">
        <v>0</v>
      </c>
      <c r="K6636" s="62">
        <v>-50</v>
      </c>
      <c r="L6636" s="33" t="e">
        <f>HLOOKUP(B6636,#REF!,1,0)</f>
        <v>#REF!</v>
      </c>
      <c r="M6636" s="33" t="str">
        <f t="shared" si="415"/>
        <v>P&amp;L</v>
      </c>
    </row>
    <row r="6637" spans="1:13" s="33" customFormat="true" ht="12.75" customHeight="true">
      <c r="A6637" s="33" t="str">
        <f t="shared" si="412"/>
        <v>OLD - Revenue</v>
      </c>
      <c r="B6637" s="33" t="str">
        <f t="shared" si="413"/>
        <v>OLD</v>
      </c>
      <c r="C6637" s="33" t="str">
        <f t="shared" si="414"/>
        <v>47460-0041</v>
      </c>
      <c r="D6637" s="64" t="s">
        <v>7836</v>
      </c>
      <c r="E6637" s="64" t="s">
        <v>7835</v>
      </c>
      <c r="F6637" s="64" t="s">
        <v>230</v>
      </c>
      <c r="G6637" s="64" t="s">
        <v>3717</v>
      </c>
      <c r="H6637" s="64" t="s">
        <v>2871</v>
      </c>
      <c r="I6637" s="64" t="s">
        <v>3727</v>
      </c>
      <c r="J6637" s="67">
        <v>0</v>
      </c>
      <c r="K6637" s="62">
        <v>-1708.9</v>
      </c>
      <c r="L6637" s="33" t="e">
        <f>HLOOKUP(B6637,#REF!,1,0)</f>
        <v>#REF!</v>
      </c>
      <c r="M6637" s="33" t="str">
        <f t="shared" si="415"/>
        <v>P&amp;L</v>
      </c>
    </row>
    <row r="6638" spans="1:13" s="33" customFormat="true" ht="12.75" customHeight="true">
      <c r="A6638" s="33" t="str">
        <f t="shared" si="412"/>
        <v>OLD - Revenue</v>
      </c>
      <c r="B6638" s="33" t="str">
        <f t="shared" si="413"/>
        <v>OLD</v>
      </c>
      <c r="C6638" s="33" t="str">
        <f t="shared" si="414"/>
        <v>47460-0042</v>
      </c>
      <c r="D6638" s="64" t="s">
        <v>7837</v>
      </c>
      <c r="E6638" s="64" t="s">
        <v>7835</v>
      </c>
      <c r="F6638" s="64" t="s">
        <v>230</v>
      </c>
      <c r="G6638" s="64" t="s">
        <v>3717</v>
      </c>
      <c r="H6638" s="64" t="s">
        <v>2871</v>
      </c>
      <c r="I6638" s="64" t="s">
        <v>3727</v>
      </c>
      <c r="J6638" s="67">
        <v>0</v>
      </c>
      <c r="K6638" s="62">
        <v>-2052.94</v>
      </c>
      <c r="L6638" s="33" t="e">
        <f>HLOOKUP(B6638,#REF!,1,0)</f>
        <v>#REF!</v>
      </c>
      <c r="M6638" s="33" t="str">
        <f t="shared" si="415"/>
        <v>P&amp;L</v>
      </c>
    </row>
    <row r="6639" spans="1:13" s="33" customFormat="true" ht="12.75" customHeight="true">
      <c r="A6639" s="33" t="str">
        <f t="shared" si="412"/>
        <v>OLD - Revenue</v>
      </c>
      <c r="B6639" s="33" t="str">
        <f t="shared" si="413"/>
        <v>OLD</v>
      </c>
      <c r="C6639" s="33" t="str">
        <f t="shared" si="414"/>
        <v>47460-0043</v>
      </c>
      <c r="D6639" s="64" t="s">
        <v>7838</v>
      </c>
      <c r="E6639" s="64" t="s">
        <v>7835</v>
      </c>
      <c r="F6639" s="64" t="s">
        <v>230</v>
      </c>
      <c r="G6639" s="64" t="s">
        <v>3717</v>
      </c>
      <c r="H6639" s="64" t="s">
        <v>2871</v>
      </c>
      <c r="I6639" s="64" t="s">
        <v>3727</v>
      </c>
      <c r="J6639" s="67">
        <v>0</v>
      </c>
      <c r="K6639" s="62">
        <v>-5590</v>
      </c>
      <c r="L6639" s="33" t="e">
        <f>HLOOKUP(B6639,#REF!,1,0)</f>
        <v>#REF!</v>
      </c>
      <c r="M6639" s="33" t="str">
        <f t="shared" si="415"/>
        <v>P&amp;L</v>
      </c>
    </row>
    <row r="6640" spans="1:13" s="33" customFormat="true" ht="12.75" customHeight="true">
      <c r="A6640" s="33" t="str">
        <f t="shared" si="412"/>
        <v>OLD - Revenue</v>
      </c>
      <c r="B6640" s="33" t="str">
        <f t="shared" si="413"/>
        <v>OLD</v>
      </c>
      <c r="C6640" s="33" t="str">
        <f t="shared" si="414"/>
        <v>47460-0044</v>
      </c>
      <c r="D6640" s="64" t="s">
        <v>7839</v>
      </c>
      <c r="E6640" s="64" t="s">
        <v>7835</v>
      </c>
      <c r="F6640" s="64" t="s">
        <v>230</v>
      </c>
      <c r="G6640" s="64" t="s">
        <v>3717</v>
      </c>
      <c r="H6640" s="64" t="s">
        <v>2871</v>
      </c>
      <c r="I6640" s="64" t="s">
        <v>3727</v>
      </c>
      <c r="J6640" s="67">
        <v>0</v>
      </c>
      <c r="K6640" s="62">
        <v>-255</v>
      </c>
      <c r="L6640" s="33" t="e">
        <f>HLOOKUP(B6640,#REF!,1,0)</f>
        <v>#REF!</v>
      </c>
      <c r="M6640" s="33" t="str">
        <f t="shared" si="415"/>
        <v>P&amp;L</v>
      </c>
    </row>
    <row r="6641" spans="1:13" s="33" customFormat="true" ht="12.75" customHeight="true">
      <c r="A6641" s="33" t="str">
        <f t="shared" si="412"/>
        <v>OLD - Revenue</v>
      </c>
      <c r="B6641" s="33" t="str">
        <f t="shared" si="413"/>
        <v>OLD</v>
      </c>
      <c r="C6641" s="33" t="str">
        <f t="shared" si="414"/>
        <v>47460-0045</v>
      </c>
      <c r="D6641" s="64" t="s">
        <v>7840</v>
      </c>
      <c r="E6641" s="64" t="s">
        <v>7835</v>
      </c>
      <c r="F6641" s="64" t="s">
        <v>230</v>
      </c>
      <c r="G6641" s="64" t="s">
        <v>3717</v>
      </c>
      <c r="H6641" s="64" t="s">
        <v>2871</v>
      </c>
      <c r="I6641" s="64" t="s">
        <v>3727</v>
      </c>
      <c r="J6641" s="67">
        <v>0</v>
      </c>
      <c r="K6641" s="62">
        <v>-1613.85</v>
      </c>
      <c r="L6641" s="33" t="e">
        <f>HLOOKUP(B6641,#REF!,1,0)</f>
        <v>#REF!</v>
      </c>
      <c r="M6641" s="33" t="str">
        <f t="shared" si="415"/>
        <v>P&amp;L</v>
      </c>
    </row>
    <row r="6642" spans="1:13" s="33" customFormat="true" ht="12.75" customHeight="true">
      <c r="A6642" s="33" t="str">
        <f t="shared" si="412"/>
        <v>OLD - Revenue</v>
      </c>
      <c r="B6642" s="33" t="str">
        <f t="shared" si="413"/>
        <v>OLD</v>
      </c>
      <c r="C6642" s="33" t="str">
        <f t="shared" si="414"/>
        <v>47460-0046</v>
      </c>
      <c r="D6642" s="64" t="s">
        <v>7841</v>
      </c>
      <c r="E6642" s="64" t="s">
        <v>7835</v>
      </c>
      <c r="F6642" s="64" t="s">
        <v>230</v>
      </c>
      <c r="G6642" s="64" t="s">
        <v>3717</v>
      </c>
      <c r="H6642" s="64" t="s">
        <v>2871</v>
      </c>
      <c r="I6642" s="64" t="s">
        <v>3727</v>
      </c>
      <c r="J6642" s="67">
        <v>0</v>
      </c>
      <c r="K6642" s="62">
        <v>-19020</v>
      </c>
      <c r="L6642" s="33" t="e">
        <f>HLOOKUP(B6642,#REF!,1,0)</f>
        <v>#REF!</v>
      </c>
      <c r="M6642" s="33" t="str">
        <f t="shared" si="415"/>
        <v>P&amp;L</v>
      </c>
    </row>
    <row r="6643" spans="1:13" s="33" customFormat="true" ht="12.75" customHeight="true">
      <c r="A6643" s="33" t="str">
        <f t="shared" si="412"/>
        <v>OLD - Revenue</v>
      </c>
      <c r="B6643" s="33" t="str">
        <f t="shared" si="413"/>
        <v>OLD</v>
      </c>
      <c r="C6643" s="33" t="str">
        <f t="shared" si="414"/>
        <v>47460-0048</v>
      </c>
      <c r="D6643" s="64" t="s">
        <v>7842</v>
      </c>
      <c r="E6643" s="64" t="s">
        <v>7835</v>
      </c>
      <c r="F6643" s="64" t="s">
        <v>230</v>
      </c>
      <c r="G6643" s="64" t="s">
        <v>3717</v>
      </c>
      <c r="H6643" s="64" t="s">
        <v>2871</v>
      </c>
      <c r="I6643" s="64" t="s">
        <v>3727</v>
      </c>
      <c r="J6643" s="67">
        <v>0</v>
      </c>
      <c r="K6643" s="62">
        <v>64.19</v>
      </c>
      <c r="L6643" s="33" t="e">
        <f>HLOOKUP(B6643,#REF!,1,0)</f>
        <v>#REF!</v>
      </c>
      <c r="M6643" s="33" t="str">
        <f t="shared" si="415"/>
        <v>P&amp;L</v>
      </c>
    </row>
    <row r="6644" spans="1:13" s="33" customFormat="true" ht="12.75" customHeight="true">
      <c r="A6644" s="33" t="str">
        <f t="shared" si="412"/>
        <v>OLD - Revenue</v>
      </c>
      <c r="B6644" s="33" t="str">
        <f t="shared" si="413"/>
        <v>OLD</v>
      </c>
      <c r="C6644" s="33" t="str">
        <f t="shared" si="414"/>
        <v>47470-0049</v>
      </c>
      <c r="D6644" s="64" t="s">
        <v>7843</v>
      </c>
      <c r="E6644" s="64" t="s">
        <v>7844</v>
      </c>
      <c r="F6644" s="64" t="s">
        <v>230</v>
      </c>
      <c r="G6644" s="64" t="s">
        <v>3717</v>
      </c>
      <c r="H6644" s="64" t="s">
        <v>2871</v>
      </c>
      <c r="I6644" s="64" t="s">
        <v>3721</v>
      </c>
      <c r="J6644" s="67">
        <v>0</v>
      </c>
      <c r="K6644" s="62">
        <v>0</v>
      </c>
      <c r="L6644" s="33" t="e">
        <f>HLOOKUP(B6644,#REF!,1,0)</f>
        <v>#REF!</v>
      </c>
      <c r="M6644" s="33" t="str">
        <f t="shared" si="415"/>
        <v>P&amp;L</v>
      </c>
    </row>
    <row r="6645" spans="1:13" s="33" customFormat="true" ht="12.75" customHeight="true">
      <c r="A6645" s="33" t="str">
        <f t="shared" si="412"/>
        <v>OLD - Revenue</v>
      </c>
      <c r="B6645" s="33" t="str">
        <f t="shared" si="413"/>
        <v>OLD</v>
      </c>
      <c r="C6645" s="33" t="str">
        <f t="shared" si="414"/>
        <v>47480-0040</v>
      </c>
      <c r="D6645" s="64" t="s">
        <v>7845</v>
      </c>
      <c r="E6645" s="64" t="s">
        <v>7846</v>
      </c>
      <c r="F6645" s="64" t="s">
        <v>230</v>
      </c>
      <c r="G6645" s="64" t="s">
        <v>3717</v>
      </c>
      <c r="H6645" s="64" t="s">
        <v>2871</v>
      </c>
      <c r="I6645" s="64" t="s">
        <v>3721</v>
      </c>
      <c r="J6645" s="67">
        <v>0</v>
      </c>
      <c r="K6645" s="62">
        <v>315</v>
      </c>
      <c r="L6645" s="33" t="e">
        <f>HLOOKUP(B6645,#REF!,1,0)</f>
        <v>#REF!</v>
      </c>
      <c r="M6645" s="33" t="str">
        <f t="shared" si="415"/>
        <v>P&amp;L</v>
      </c>
    </row>
    <row r="6646" spans="1:13" s="33" customFormat="true" ht="12.75" customHeight="true">
      <c r="A6646" s="33" t="str">
        <f t="shared" si="412"/>
        <v>OLD - Revenue</v>
      </c>
      <c r="B6646" s="33" t="str">
        <f t="shared" si="413"/>
        <v>OLD</v>
      </c>
      <c r="C6646" s="33" t="str">
        <f t="shared" si="414"/>
        <v>47480-0048</v>
      </c>
      <c r="D6646" s="64" t="s">
        <v>7847</v>
      </c>
      <c r="E6646" s="64" t="s">
        <v>7846</v>
      </c>
      <c r="F6646" s="64" t="s">
        <v>230</v>
      </c>
      <c r="G6646" s="64" t="s">
        <v>3717</v>
      </c>
      <c r="H6646" s="64" t="s">
        <v>2871</v>
      </c>
      <c r="I6646" s="64" t="s">
        <v>3721</v>
      </c>
      <c r="J6646" s="67">
        <v>0</v>
      </c>
      <c r="K6646" s="62">
        <v>-750</v>
      </c>
      <c r="L6646" s="33" t="e">
        <f>HLOOKUP(B6646,#REF!,1,0)</f>
        <v>#REF!</v>
      </c>
      <c r="M6646" s="33" t="str">
        <f t="shared" si="415"/>
        <v>P&amp;L</v>
      </c>
    </row>
    <row r="6647" spans="1:13" s="33" customFormat="true" ht="12.75" customHeight="true">
      <c r="A6647" s="33" t="str">
        <f t="shared" si="412"/>
        <v>OLD - Revenue</v>
      </c>
      <c r="B6647" s="33" t="str">
        <f t="shared" si="413"/>
        <v>OLD</v>
      </c>
      <c r="C6647" s="33" t="str">
        <f t="shared" si="414"/>
        <v>47490-0040</v>
      </c>
      <c r="D6647" s="64" t="s">
        <v>7848</v>
      </c>
      <c r="E6647" s="64" t="s">
        <v>7849</v>
      </c>
      <c r="F6647" s="64" t="s">
        <v>230</v>
      </c>
      <c r="G6647" s="64" t="s">
        <v>3717</v>
      </c>
      <c r="H6647" s="64" t="s">
        <v>2871</v>
      </c>
      <c r="I6647" s="64" t="s">
        <v>3721</v>
      </c>
      <c r="J6647" s="67">
        <v>0</v>
      </c>
      <c r="K6647" s="62">
        <v>-217.74</v>
      </c>
      <c r="L6647" s="33" t="e">
        <f>HLOOKUP(B6647,#REF!,1,0)</f>
        <v>#REF!</v>
      </c>
      <c r="M6647" s="33" t="str">
        <f t="shared" si="415"/>
        <v>P&amp;L</v>
      </c>
    </row>
    <row r="6648" spans="1:13" s="33" customFormat="true" ht="12.75" customHeight="true">
      <c r="A6648" s="33" t="str">
        <f t="shared" si="412"/>
        <v>OLD - Revenue</v>
      </c>
      <c r="B6648" s="33" t="str">
        <f t="shared" si="413"/>
        <v>OLD</v>
      </c>
      <c r="C6648" s="33" t="str">
        <f t="shared" si="414"/>
        <v>47490-0048</v>
      </c>
      <c r="D6648" s="64" t="s">
        <v>7850</v>
      </c>
      <c r="E6648" s="64" t="s">
        <v>7849</v>
      </c>
      <c r="F6648" s="64" t="s">
        <v>230</v>
      </c>
      <c r="G6648" s="64" t="s">
        <v>3717</v>
      </c>
      <c r="H6648" s="64" t="s">
        <v>2871</v>
      </c>
      <c r="I6648" s="64" t="s">
        <v>3721</v>
      </c>
      <c r="J6648" s="67">
        <v>0</v>
      </c>
      <c r="K6648" s="62">
        <v>-1584.52</v>
      </c>
      <c r="L6648" s="33" t="e">
        <f>HLOOKUP(B6648,#REF!,1,0)</f>
        <v>#REF!</v>
      </c>
      <c r="M6648" s="33" t="str">
        <f t="shared" si="415"/>
        <v>P&amp;L</v>
      </c>
    </row>
    <row r="6649" spans="1:13" s="33" customFormat="true" ht="12.75" customHeight="true">
      <c r="A6649" s="33" t="str">
        <f t="shared" si="412"/>
        <v>OLD - Revenue</v>
      </c>
      <c r="B6649" s="33" t="str">
        <f t="shared" si="413"/>
        <v>OLD</v>
      </c>
      <c r="C6649" s="33" t="str">
        <f t="shared" si="414"/>
        <v>47491-0040</v>
      </c>
      <c r="D6649" s="64" t="s">
        <v>7851</v>
      </c>
      <c r="E6649" s="64" t="s">
        <v>7852</v>
      </c>
      <c r="F6649" s="64" t="s">
        <v>230</v>
      </c>
      <c r="G6649" s="64" t="s">
        <v>3717</v>
      </c>
      <c r="H6649" s="64" t="s">
        <v>2871</v>
      </c>
      <c r="I6649" s="64" t="s">
        <v>3734</v>
      </c>
      <c r="J6649" s="67">
        <v>0</v>
      </c>
      <c r="K6649" s="62">
        <v>-1495.48</v>
      </c>
      <c r="L6649" s="33" t="e">
        <f>HLOOKUP(B6649,#REF!,1,0)</f>
        <v>#REF!</v>
      </c>
      <c r="M6649" s="33" t="str">
        <f t="shared" si="415"/>
        <v>P&amp;L</v>
      </c>
    </row>
    <row r="6650" spans="1:13" s="33" customFormat="true" ht="12.75" customHeight="true">
      <c r="A6650" s="33" t="str">
        <f t="shared" si="412"/>
        <v>OLD - Revenue</v>
      </c>
      <c r="B6650" s="33" t="str">
        <f t="shared" si="413"/>
        <v>OLD</v>
      </c>
      <c r="C6650" s="33" t="str">
        <f t="shared" si="414"/>
        <v>47491-0041</v>
      </c>
      <c r="D6650" s="64" t="s">
        <v>7853</v>
      </c>
      <c r="E6650" s="64" t="s">
        <v>7852</v>
      </c>
      <c r="F6650" s="64" t="s">
        <v>230</v>
      </c>
      <c r="G6650" s="64" t="s">
        <v>3717</v>
      </c>
      <c r="H6650" s="64" t="s">
        <v>2871</v>
      </c>
      <c r="I6650" s="64" t="s">
        <v>3734</v>
      </c>
      <c r="J6650" s="67">
        <v>0</v>
      </c>
      <c r="K6650" s="62">
        <v>-5744.52</v>
      </c>
      <c r="L6650" s="33" t="e">
        <f>HLOOKUP(B6650,#REF!,1,0)</f>
        <v>#REF!</v>
      </c>
      <c r="M6650" s="33" t="str">
        <f t="shared" si="415"/>
        <v>P&amp;L</v>
      </c>
    </row>
    <row r="6651" spans="1:13" s="33" customFormat="true" ht="12.75" customHeight="true">
      <c r="A6651" s="33" t="str">
        <f t="shared" si="412"/>
        <v>OLD - Revenue</v>
      </c>
      <c r="B6651" s="33" t="str">
        <f t="shared" si="413"/>
        <v>OLD</v>
      </c>
      <c r="C6651" s="33" t="str">
        <f t="shared" si="414"/>
        <v>47491-0042</v>
      </c>
      <c r="D6651" s="64" t="s">
        <v>7854</v>
      </c>
      <c r="E6651" s="64" t="s">
        <v>7852</v>
      </c>
      <c r="F6651" s="64" t="s">
        <v>230</v>
      </c>
      <c r="G6651" s="64" t="s">
        <v>3717</v>
      </c>
      <c r="H6651" s="64" t="s">
        <v>2871</v>
      </c>
      <c r="I6651" s="64" t="s">
        <v>3734</v>
      </c>
      <c r="J6651" s="67">
        <v>0</v>
      </c>
      <c r="K6651" s="62">
        <v>-11049.51</v>
      </c>
      <c r="L6651" s="33" t="e">
        <f>HLOOKUP(B6651,#REF!,1,0)</f>
        <v>#REF!</v>
      </c>
      <c r="M6651" s="33" t="str">
        <f t="shared" si="415"/>
        <v>P&amp;L</v>
      </c>
    </row>
    <row r="6652" spans="1:13" s="33" customFormat="true" ht="12.75" customHeight="true">
      <c r="A6652" s="33" t="str">
        <f t="shared" si="412"/>
        <v>OLD - Revenue</v>
      </c>
      <c r="B6652" s="33" t="str">
        <f t="shared" si="413"/>
        <v>OLD</v>
      </c>
      <c r="C6652" s="33" t="str">
        <f t="shared" si="414"/>
        <v>47491-0043</v>
      </c>
      <c r="D6652" s="64" t="s">
        <v>7855</v>
      </c>
      <c r="E6652" s="64" t="s">
        <v>7852</v>
      </c>
      <c r="F6652" s="64" t="s">
        <v>230</v>
      </c>
      <c r="G6652" s="64" t="s">
        <v>3717</v>
      </c>
      <c r="H6652" s="64" t="s">
        <v>2871</v>
      </c>
      <c r="I6652" s="64" t="s">
        <v>3734</v>
      </c>
      <c r="J6652" s="67">
        <v>0</v>
      </c>
      <c r="K6652" s="62">
        <v>0</v>
      </c>
      <c r="L6652" s="33" t="e">
        <f>HLOOKUP(B6652,#REF!,1,0)</f>
        <v>#REF!</v>
      </c>
      <c r="M6652" s="33" t="str">
        <f t="shared" si="415"/>
        <v>P&amp;L</v>
      </c>
    </row>
    <row r="6653" spans="1:13" s="33" customFormat="true" ht="12.75" customHeight="true">
      <c r="A6653" s="33" t="str">
        <f t="shared" si="412"/>
        <v>OLD - Revenue</v>
      </c>
      <c r="B6653" s="33" t="str">
        <f t="shared" si="413"/>
        <v>OLD</v>
      </c>
      <c r="C6653" s="33" t="str">
        <f t="shared" si="414"/>
        <v>47491-0044</v>
      </c>
      <c r="D6653" s="64" t="s">
        <v>7856</v>
      </c>
      <c r="E6653" s="64" t="s">
        <v>7852</v>
      </c>
      <c r="F6653" s="64" t="s">
        <v>230</v>
      </c>
      <c r="G6653" s="64" t="s">
        <v>3717</v>
      </c>
      <c r="H6653" s="64" t="s">
        <v>2871</v>
      </c>
      <c r="I6653" s="64" t="s">
        <v>3734</v>
      </c>
      <c r="J6653" s="67">
        <v>0</v>
      </c>
      <c r="K6653" s="62">
        <v>0</v>
      </c>
      <c r="L6653" s="33" t="e">
        <f>HLOOKUP(B6653,#REF!,1,0)</f>
        <v>#REF!</v>
      </c>
      <c r="M6653" s="33" t="str">
        <f t="shared" si="415"/>
        <v>P&amp;L</v>
      </c>
    </row>
    <row r="6654" spans="1:13" s="33" customFormat="true" ht="12.75" customHeight="true">
      <c r="A6654" s="33" t="str">
        <f t="shared" si="412"/>
        <v>OLD - Revenue</v>
      </c>
      <c r="B6654" s="33" t="str">
        <f t="shared" si="413"/>
        <v>OLD</v>
      </c>
      <c r="C6654" s="33" t="str">
        <f t="shared" si="414"/>
        <v>47491-0045</v>
      </c>
      <c r="D6654" s="64" t="s">
        <v>7857</v>
      </c>
      <c r="E6654" s="64" t="s">
        <v>7852</v>
      </c>
      <c r="F6654" s="64" t="s">
        <v>230</v>
      </c>
      <c r="G6654" s="64" t="s">
        <v>3717</v>
      </c>
      <c r="H6654" s="64" t="s">
        <v>2871</v>
      </c>
      <c r="I6654" s="64" t="s">
        <v>3734</v>
      </c>
      <c r="J6654" s="67">
        <v>0</v>
      </c>
      <c r="K6654" s="62">
        <v>-2000</v>
      </c>
      <c r="L6654" s="33" t="e">
        <f>HLOOKUP(B6654,#REF!,1,0)</f>
        <v>#REF!</v>
      </c>
      <c r="M6654" s="33" t="str">
        <f t="shared" si="415"/>
        <v>P&amp;L</v>
      </c>
    </row>
    <row r="6655" spans="1:13" s="33" customFormat="true" ht="12.75" customHeight="true">
      <c r="A6655" s="33" t="str">
        <f t="shared" si="412"/>
        <v>OLD - Revenue</v>
      </c>
      <c r="B6655" s="33" t="str">
        <f t="shared" si="413"/>
        <v>OLD</v>
      </c>
      <c r="C6655" s="33" t="str">
        <f t="shared" si="414"/>
        <v>47491-0046</v>
      </c>
      <c r="D6655" s="64" t="s">
        <v>7858</v>
      </c>
      <c r="E6655" s="64" t="s">
        <v>7852</v>
      </c>
      <c r="F6655" s="64" t="s">
        <v>230</v>
      </c>
      <c r="G6655" s="64" t="s">
        <v>3717</v>
      </c>
      <c r="H6655" s="64" t="s">
        <v>2871</v>
      </c>
      <c r="I6655" s="64" t="s">
        <v>3734</v>
      </c>
      <c r="J6655" s="67">
        <v>0</v>
      </c>
      <c r="K6655" s="62">
        <v>-47122.39</v>
      </c>
      <c r="L6655" s="33" t="e">
        <f>HLOOKUP(B6655,#REF!,1,0)</f>
        <v>#REF!</v>
      </c>
      <c r="M6655" s="33" t="str">
        <f t="shared" si="415"/>
        <v>P&amp;L</v>
      </c>
    </row>
    <row r="6656" spans="1:13" s="33" customFormat="true" ht="12.75" customHeight="true">
      <c r="A6656" s="33" t="str">
        <f t="shared" si="412"/>
        <v>OLD - Revenue</v>
      </c>
      <c r="B6656" s="33" t="str">
        <f t="shared" si="413"/>
        <v>OLD</v>
      </c>
      <c r="C6656" s="33" t="str">
        <f t="shared" si="414"/>
        <v>47491-0048</v>
      </c>
      <c r="D6656" s="64" t="s">
        <v>7859</v>
      </c>
      <c r="E6656" s="64" t="s">
        <v>7852</v>
      </c>
      <c r="F6656" s="64" t="s">
        <v>230</v>
      </c>
      <c r="G6656" s="64" t="s">
        <v>3717</v>
      </c>
      <c r="H6656" s="64" t="s">
        <v>2871</v>
      </c>
      <c r="I6656" s="64" t="s">
        <v>3734</v>
      </c>
      <c r="J6656" s="67">
        <v>0</v>
      </c>
      <c r="K6656" s="62">
        <v>-4994.43</v>
      </c>
      <c r="L6656" s="33" t="e">
        <f>HLOOKUP(B6656,#REF!,1,0)</f>
        <v>#REF!</v>
      </c>
      <c r="M6656" s="33" t="str">
        <f t="shared" si="415"/>
        <v>P&amp;L</v>
      </c>
    </row>
    <row r="6657" spans="1:13" s="33" customFormat="true" ht="12.75" customHeight="true">
      <c r="A6657" s="33" t="str">
        <f t="shared" si="412"/>
        <v>OLD - Revenue</v>
      </c>
      <c r="B6657" s="33" t="str">
        <f t="shared" si="413"/>
        <v>OLD</v>
      </c>
      <c r="C6657" s="33" t="str">
        <f t="shared" si="414"/>
        <v>47491-0049</v>
      </c>
      <c r="D6657" s="64" t="s">
        <v>7860</v>
      </c>
      <c r="E6657" s="64" t="s">
        <v>7852</v>
      </c>
      <c r="F6657" s="64" t="s">
        <v>230</v>
      </c>
      <c r="G6657" s="64" t="s">
        <v>3717</v>
      </c>
      <c r="H6657" s="64" t="s">
        <v>2871</v>
      </c>
      <c r="I6657" s="64" t="s">
        <v>3734</v>
      </c>
      <c r="J6657" s="67">
        <v>0</v>
      </c>
      <c r="K6657" s="62">
        <v>-129924.45</v>
      </c>
      <c r="L6657" s="33" t="e">
        <f>HLOOKUP(B6657,#REF!,1,0)</f>
        <v>#REF!</v>
      </c>
      <c r="M6657" s="33" t="str">
        <f t="shared" si="415"/>
        <v>P&amp;L</v>
      </c>
    </row>
    <row r="6658" spans="1:13" s="33" customFormat="true" ht="12.75" customHeight="true">
      <c r="A6658" s="33" t="str">
        <f t="shared" ref="A6658:A6721" si="416">B6658&amp;" - "&amp;TRIM(H6658)</f>
        <v>OLD - Revenue</v>
      </c>
      <c r="B6658" s="33" t="str">
        <f t="shared" ref="B6658:B6721" si="417">LEFT(D6658,3)</f>
        <v>OLD</v>
      </c>
      <c r="C6658" s="33" t="str">
        <f t="shared" ref="C6658:C6721" si="418">RIGHT(D6658,10)</f>
        <v>47491-0050</v>
      </c>
      <c r="D6658" s="64" t="s">
        <v>7861</v>
      </c>
      <c r="E6658" s="64" t="s">
        <v>7852</v>
      </c>
      <c r="F6658" s="64" t="s">
        <v>230</v>
      </c>
      <c r="G6658" s="64" t="s">
        <v>3717</v>
      </c>
      <c r="H6658" s="64" t="s">
        <v>2871</v>
      </c>
      <c r="I6658" s="64" t="s">
        <v>3734</v>
      </c>
      <c r="J6658" s="67">
        <v>0</v>
      </c>
      <c r="K6658" s="62">
        <v>-102360.68</v>
      </c>
      <c r="L6658" s="33" t="e">
        <f>HLOOKUP(B6658,#REF!,1,0)</f>
        <v>#REF!</v>
      </c>
      <c r="M6658" s="33" t="str">
        <f t="shared" ref="M6658:M6721" si="419">IF(VALUE(LEFT(C6658,5))&gt;40000,"P&amp;L","BS")</f>
        <v>P&amp;L</v>
      </c>
    </row>
    <row r="6659" spans="1:13" s="33" customFormat="true" ht="12.75" customHeight="true">
      <c r="A6659" s="33" t="str">
        <f t="shared" si="416"/>
        <v>OLD - Revenue</v>
      </c>
      <c r="B6659" s="33" t="str">
        <f t="shared" si="417"/>
        <v>OLD</v>
      </c>
      <c r="C6659" s="33" t="str">
        <f t="shared" si="418"/>
        <v>47492-0043</v>
      </c>
      <c r="D6659" s="64" t="s">
        <v>7862</v>
      </c>
      <c r="E6659" s="64" t="s">
        <v>3736</v>
      </c>
      <c r="F6659" s="64" t="s">
        <v>230</v>
      </c>
      <c r="G6659" s="64" t="s">
        <v>3717</v>
      </c>
      <c r="H6659" s="64" t="s">
        <v>2871</v>
      </c>
      <c r="I6659" s="64" t="s">
        <v>3737</v>
      </c>
      <c r="J6659" s="67">
        <v>0</v>
      </c>
      <c r="K6659" s="62">
        <v>0</v>
      </c>
      <c r="L6659" s="33" t="e">
        <f>HLOOKUP(B6659,#REF!,1,0)</f>
        <v>#REF!</v>
      </c>
      <c r="M6659" s="33" t="str">
        <f t="shared" si="419"/>
        <v>P&amp;L</v>
      </c>
    </row>
    <row r="6660" spans="1:13" s="33" customFormat="true" ht="12.75" customHeight="true">
      <c r="A6660" s="33" t="str">
        <f t="shared" si="416"/>
        <v>OLD - Revenue</v>
      </c>
      <c r="B6660" s="33" t="str">
        <f t="shared" si="417"/>
        <v>OLD</v>
      </c>
      <c r="C6660" s="33" t="str">
        <f t="shared" si="418"/>
        <v>47492-0044</v>
      </c>
      <c r="D6660" s="64" t="s">
        <v>7863</v>
      </c>
      <c r="E6660" s="64" t="s">
        <v>3736</v>
      </c>
      <c r="F6660" s="64" t="s">
        <v>230</v>
      </c>
      <c r="G6660" s="64" t="s">
        <v>3717</v>
      </c>
      <c r="H6660" s="64" t="s">
        <v>2871</v>
      </c>
      <c r="I6660" s="64" t="s">
        <v>3737</v>
      </c>
      <c r="J6660" s="67">
        <v>0</v>
      </c>
      <c r="K6660" s="62">
        <v>0</v>
      </c>
      <c r="L6660" s="33" t="e">
        <f>HLOOKUP(B6660,#REF!,1,0)</f>
        <v>#REF!</v>
      </c>
      <c r="M6660" s="33" t="str">
        <f t="shared" si="419"/>
        <v>P&amp;L</v>
      </c>
    </row>
    <row r="6661" spans="1:13" s="33" customFormat="true" ht="12.75" customHeight="true">
      <c r="A6661" s="33" t="str">
        <f t="shared" si="416"/>
        <v>OLD - Revenue</v>
      </c>
      <c r="B6661" s="33" t="str">
        <f t="shared" si="417"/>
        <v>OLD</v>
      </c>
      <c r="C6661" s="33" t="str">
        <f t="shared" si="418"/>
        <v>47492-0045</v>
      </c>
      <c r="D6661" s="64" t="s">
        <v>7864</v>
      </c>
      <c r="E6661" s="64" t="s">
        <v>3736</v>
      </c>
      <c r="F6661" s="64" t="s">
        <v>230</v>
      </c>
      <c r="G6661" s="64" t="s">
        <v>3717</v>
      </c>
      <c r="H6661" s="64" t="s">
        <v>2871</v>
      </c>
      <c r="I6661" s="64" t="s">
        <v>3737</v>
      </c>
      <c r="J6661" s="67">
        <v>0</v>
      </c>
      <c r="K6661" s="62">
        <v>0</v>
      </c>
      <c r="L6661" s="33" t="e">
        <f>HLOOKUP(B6661,#REF!,1,0)</f>
        <v>#REF!</v>
      </c>
      <c r="M6661" s="33" t="str">
        <f t="shared" si="419"/>
        <v>P&amp;L</v>
      </c>
    </row>
    <row r="6662" spans="1:13" s="33" customFormat="true" ht="12.75" customHeight="true">
      <c r="A6662" s="33" t="str">
        <f t="shared" si="416"/>
        <v>OLD - Revenue</v>
      </c>
      <c r="B6662" s="33" t="str">
        <f t="shared" si="417"/>
        <v>OLD</v>
      </c>
      <c r="C6662" s="33" t="str">
        <f t="shared" si="418"/>
        <v>47492-0046</v>
      </c>
      <c r="D6662" s="64" t="s">
        <v>7865</v>
      </c>
      <c r="E6662" s="64" t="s">
        <v>3736</v>
      </c>
      <c r="F6662" s="64" t="s">
        <v>230</v>
      </c>
      <c r="G6662" s="64" t="s">
        <v>3717</v>
      </c>
      <c r="H6662" s="64" t="s">
        <v>2871</v>
      </c>
      <c r="I6662" s="64" t="s">
        <v>3737</v>
      </c>
      <c r="J6662" s="67">
        <v>0</v>
      </c>
      <c r="K6662" s="62">
        <v>-1499.84</v>
      </c>
      <c r="L6662" s="33" t="e">
        <f>HLOOKUP(B6662,#REF!,1,0)</f>
        <v>#REF!</v>
      </c>
      <c r="M6662" s="33" t="str">
        <f t="shared" si="419"/>
        <v>P&amp;L</v>
      </c>
    </row>
    <row r="6663" spans="1:13" s="33" customFormat="true" ht="12.75" customHeight="true">
      <c r="A6663" s="33" t="str">
        <f t="shared" si="416"/>
        <v>OLD - Revenue</v>
      </c>
      <c r="B6663" s="33" t="str">
        <f t="shared" si="417"/>
        <v>OLD</v>
      </c>
      <c r="C6663" s="33" t="str">
        <f t="shared" si="418"/>
        <v>47492-0048</v>
      </c>
      <c r="D6663" s="64" t="s">
        <v>7866</v>
      </c>
      <c r="E6663" s="64" t="s">
        <v>3736</v>
      </c>
      <c r="F6663" s="64" t="s">
        <v>230</v>
      </c>
      <c r="G6663" s="64" t="s">
        <v>3717</v>
      </c>
      <c r="H6663" s="64" t="s">
        <v>2871</v>
      </c>
      <c r="I6663" s="64" t="s">
        <v>3737</v>
      </c>
      <c r="J6663" s="67">
        <v>0</v>
      </c>
      <c r="K6663" s="62">
        <v>-10</v>
      </c>
      <c r="L6663" s="33" t="e">
        <f>HLOOKUP(B6663,#REF!,1,0)</f>
        <v>#REF!</v>
      </c>
      <c r="M6663" s="33" t="str">
        <f t="shared" si="419"/>
        <v>P&amp;L</v>
      </c>
    </row>
    <row r="6664" spans="1:13" s="33" customFormat="true" ht="12.75" customHeight="true">
      <c r="A6664" s="33" t="str">
        <f t="shared" si="416"/>
        <v>OLD - Revenue</v>
      </c>
      <c r="B6664" s="33" t="str">
        <f t="shared" si="417"/>
        <v>OLD</v>
      </c>
      <c r="C6664" s="33" t="str">
        <f t="shared" si="418"/>
        <v>47492-0049</v>
      </c>
      <c r="D6664" s="64" t="s">
        <v>7867</v>
      </c>
      <c r="E6664" s="64" t="s">
        <v>3736</v>
      </c>
      <c r="F6664" s="64" t="s">
        <v>230</v>
      </c>
      <c r="G6664" s="64" t="s">
        <v>3717</v>
      </c>
      <c r="H6664" s="64" t="s">
        <v>2871</v>
      </c>
      <c r="I6664" s="64" t="s">
        <v>3737</v>
      </c>
      <c r="J6664" s="67">
        <v>0</v>
      </c>
      <c r="K6664" s="62">
        <v>-450.39</v>
      </c>
      <c r="L6664" s="33" t="e">
        <f>HLOOKUP(B6664,#REF!,1,0)</f>
        <v>#REF!</v>
      </c>
      <c r="M6664" s="33" t="str">
        <f t="shared" si="419"/>
        <v>P&amp;L</v>
      </c>
    </row>
    <row r="6665" spans="1:13" s="33" customFormat="true" ht="12.75" customHeight="true">
      <c r="A6665" s="33" t="str">
        <f t="shared" si="416"/>
        <v>OLD - Revenue</v>
      </c>
      <c r="B6665" s="33" t="str">
        <f t="shared" si="417"/>
        <v>OLD</v>
      </c>
      <c r="C6665" s="33" t="str">
        <f t="shared" si="418"/>
        <v>47492-0050</v>
      </c>
      <c r="D6665" s="64" t="s">
        <v>7868</v>
      </c>
      <c r="E6665" s="64" t="s">
        <v>3736</v>
      </c>
      <c r="F6665" s="64" t="s">
        <v>230</v>
      </c>
      <c r="G6665" s="64" t="s">
        <v>3717</v>
      </c>
      <c r="H6665" s="64" t="s">
        <v>2871</v>
      </c>
      <c r="I6665" s="64" t="s">
        <v>3737</v>
      </c>
      <c r="J6665" s="67">
        <v>0</v>
      </c>
      <c r="K6665" s="62">
        <v>-3053.9</v>
      </c>
      <c r="L6665" s="33" t="e">
        <f>HLOOKUP(B6665,#REF!,1,0)</f>
        <v>#REF!</v>
      </c>
      <c r="M6665" s="33" t="str">
        <f t="shared" si="419"/>
        <v>P&amp;L</v>
      </c>
    </row>
    <row r="6666" spans="1:13" s="33" customFormat="true" ht="12.75" customHeight="true">
      <c r="A6666" s="33" t="str">
        <f t="shared" si="416"/>
        <v>OLD - Revenue</v>
      </c>
      <c r="B6666" s="33" t="str">
        <f t="shared" si="417"/>
        <v>OLD</v>
      </c>
      <c r="C6666" s="33" t="str">
        <f t="shared" si="418"/>
        <v>47493-0043</v>
      </c>
      <c r="D6666" s="64" t="s">
        <v>7869</v>
      </c>
      <c r="E6666" s="64" t="s">
        <v>4229</v>
      </c>
      <c r="F6666" s="64" t="s">
        <v>230</v>
      </c>
      <c r="G6666" s="64" t="s">
        <v>3717</v>
      </c>
      <c r="H6666" s="64" t="s">
        <v>2871</v>
      </c>
      <c r="I6666" s="64" t="s">
        <v>4230</v>
      </c>
      <c r="J6666" s="67">
        <v>0</v>
      </c>
      <c r="K6666" s="62">
        <v>0</v>
      </c>
      <c r="L6666" s="33" t="e">
        <f>HLOOKUP(B6666,#REF!,1,0)</f>
        <v>#REF!</v>
      </c>
      <c r="M6666" s="33" t="str">
        <f t="shared" si="419"/>
        <v>P&amp;L</v>
      </c>
    </row>
    <row r="6667" spans="1:13" s="33" customFormat="true" ht="12.75" customHeight="true">
      <c r="A6667" s="33" t="str">
        <f t="shared" si="416"/>
        <v>OLD - Revenue</v>
      </c>
      <c r="B6667" s="33" t="str">
        <f t="shared" si="417"/>
        <v>OLD</v>
      </c>
      <c r="C6667" s="33" t="str">
        <f t="shared" si="418"/>
        <v>47493-0044</v>
      </c>
      <c r="D6667" s="64" t="s">
        <v>7870</v>
      </c>
      <c r="E6667" s="64" t="s">
        <v>4229</v>
      </c>
      <c r="F6667" s="64" t="s">
        <v>230</v>
      </c>
      <c r="G6667" s="64" t="s">
        <v>3717</v>
      </c>
      <c r="H6667" s="64" t="s">
        <v>2871</v>
      </c>
      <c r="I6667" s="64" t="s">
        <v>4230</v>
      </c>
      <c r="J6667" s="67">
        <v>0</v>
      </c>
      <c r="K6667" s="62">
        <v>0</v>
      </c>
      <c r="L6667" s="33" t="e">
        <f>HLOOKUP(B6667,#REF!,1,0)</f>
        <v>#REF!</v>
      </c>
      <c r="M6667" s="33" t="str">
        <f t="shared" si="419"/>
        <v>P&amp;L</v>
      </c>
    </row>
    <row r="6668" spans="1:13" s="33" customFormat="true" ht="12.75" customHeight="true">
      <c r="A6668" s="33" t="str">
        <f t="shared" si="416"/>
        <v>OLD - Revenue</v>
      </c>
      <c r="B6668" s="33" t="str">
        <f t="shared" si="417"/>
        <v>OLD</v>
      </c>
      <c r="C6668" s="33" t="str">
        <f t="shared" si="418"/>
        <v>47493-0045</v>
      </c>
      <c r="D6668" s="64" t="s">
        <v>7871</v>
      </c>
      <c r="E6668" s="64" t="s">
        <v>4229</v>
      </c>
      <c r="F6668" s="64" t="s">
        <v>230</v>
      </c>
      <c r="G6668" s="64" t="s">
        <v>3717</v>
      </c>
      <c r="H6668" s="64" t="s">
        <v>2871</v>
      </c>
      <c r="I6668" s="64" t="s">
        <v>4230</v>
      </c>
      <c r="J6668" s="67">
        <v>0</v>
      </c>
      <c r="K6668" s="62">
        <v>0</v>
      </c>
      <c r="L6668" s="33" t="e">
        <f>HLOOKUP(B6668,#REF!,1,0)</f>
        <v>#REF!</v>
      </c>
      <c r="M6668" s="33" t="str">
        <f t="shared" si="419"/>
        <v>P&amp;L</v>
      </c>
    </row>
    <row r="6669" spans="1:13" s="33" customFormat="true" ht="12.75" customHeight="true">
      <c r="A6669" s="33" t="str">
        <f t="shared" si="416"/>
        <v>OLD - Revenue</v>
      </c>
      <c r="B6669" s="33" t="str">
        <f t="shared" si="417"/>
        <v>OLD</v>
      </c>
      <c r="C6669" s="33" t="str">
        <f t="shared" si="418"/>
        <v>47493-0046</v>
      </c>
      <c r="D6669" s="64" t="s">
        <v>7872</v>
      </c>
      <c r="E6669" s="64" t="s">
        <v>4229</v>
      </c>
      <c r="F6669" s="64" t="s">
        <v>230</v>
      </c>
      <c r="G6669" s="64" t="s">
        <v>3717</v>
      </c>
      <c r="H6669" s="64" t="s">
        <v>2871</v>
      </c>
      <c r="I6669" s="64" t="s">
        <v>4230</v>
      </c>
      <c r="J6669" s="67">
        <v>0</v>
      </c>
      <c r="K6669" s="62">
        <v>-3252.08</v>
      </c>
      <c r="L6669" s="33" t="e">
        <f>HLOOKUP(B6669,#REF!,1,0)</f>
        <v>#REF!</v>
      </c>
      <c r="M6669" s="33" t="str">
        <f t="shared" si="419"/>
        <v>P&amp;L</v>
      </c>
    </row>
    <row r="6670" spans="1:13" s="33" customFormat="true" ht="12.75" customHeight="true">
      <c r="A6670" s="33" t="str">
        <f t="shared" si="416"/>
        <v>OLD - Revenue</v>
      </c>
      <c r="B6670" s="33" t="str">
        <f t="shared" si="417"/>
        <v>OLD</v>
      </c>
      <c r="C6670" s="33" t="str">
        <f t="shared" si="418"/>
        <v>47493-0050</v>
      </c>
      <c r="D6670" s="64" t="s">
        <v>7873</v>
      </c>
      <c r="E6670" s="64" t="s">
        <v>4229</v>
      </c>
      <c r="F6670" s="64" t="s">
        <v>230</v>
      </c>
      <c r="G6670" s="64" t="s">
        <v>3717</v>
      </c>
      <c r="H6670" s="64" t="s">
        <v>2871</v>
      </c>
      <c r="I6670" s="64" t="s">
        <v>4230</v>
      </c>
      <c r="J6670" s="67">
        <v>0</v>
      </c>
      <c r="K6670" s="62">
        <v>-6935.48</v>
      </c>
      <c r="L6670" s="33" t="e">
        <f>HLOOKUP(B6670,#REF!,1,0)</f>
        <v>#REF!</v>
      </c>
      <c r="M6670" s="33" t="str">
        <f t="shared" si="419"/>
        <v>P&amp;L</v>
      </c>
    </row>
    <row r="6671" spans="1:13" s="33" customFormat="true" ht="12.75" customHeight="true">
      <c r="A6671" s="33" t="str">
        <f t="shared" si="416"/>
        <v>OLD - CGS</v>
      </c>
      <c r="B6671" s="33" t="str">
        <f t="shared" si="417"/>
        <v>OLD</v>
      </c>
      <c r="C6671" s="33" t="str">
        <f t="shared" si="418"/>
        <v>51001-0042</v>
      </c>
      <c r="D6671" s="64" t="s">
        <v>7874</v>
      </c>
      <c r="E6671" s="64" t="s">
        <v>4536</v>
      </c>
      <c r="F6671" s="64" t="s">
        <v>230</v>
      </c>
      <c r="G6671" s="64" t="s">
        <v>3740</v>
      </c>
      <c r="H6671" s="64" t="s">
        <v>1875</v>
      </c>
      <c r="I6671" s="64" t="s">
        <v>4537</v>
      </c>
      <c r="J6671" s="67">
        <v>0</v>
      </c>
      <c r="K6671" s="62">
        <v>0</v>
      </c>
      <c r="L6671" s="33" t="e">
        <f>HLOOKUP(B6671,#REF!,1,0)</f>
        <v>#REF!</v>
      </c>
      <c r="M6671" s="33" t="str">
        <f t="shared" si="419"/>
        <v>P&amp;L</v>
      </c>
    </row>
    <row r="6672" spans="1:13" s="33" customFormat="true" ht="12.75" customHeight="true">
      <c r="A6672" s="33" t="str">
        <f t="shared" si="416"/>
        <v>OLD - CGS</v>
      </c>
      <c r="B6672" s="33" t="str">
        <f t="shared" si="417"/>
        <v>OLD</v>
      </c>
      <c r="C6672" s="33" t="str">
        <f t="shared" si="418"/>
        <v>51001-0044</v>
      </c>
      <c r="D6672" s="64" t="s">
        <v>7875</v>
      </c>
      <c r="E6672" s="64" t="s">
        <v>4536</v>
      </c>
      <c r="F6672" s="64" t="s">
        <v>230</v>
      </c>
      <c r="G6672" s="64" t="s">
        <v>3740</v>
      </c>
      <c r="H6672" s="64" t="s">
        <v>1875</v>
      </c>
      <c r="I6672" s="64" t="s">
        <v>4537</v>
      </c>
      <c r="J6672" s="67">
        <v>0</v>
      </c>
      <c r="K6672" s="62">
        <v>1222.71</v>
      </c>
      <c r="L6672" s="33" t="e">
        <f>HLOOKUP(B6672,#REF!,1,0)</f>
        <v>#REF!</v>
      </c>
      <c r="M6672" s="33" t="str">
        <f t="shared" si="419"/>
        <v>P&amp;L</v>
      </c>
    </row>
    <row r="6673" spans="1:13" s="33" customFormat="true" ht="12.75" customHeight="true">
      <c r="A6673" s="33" t="str">
        <f t="shared" si="416"/>
        <v>OLD - CGS</v>
      </c>
      <c r="B6673" s="33" t="str">
        <f t="shared" si="417"/>
        <v>OLD</v>
      </c>
      <c r="C6673" s="33" t="str">
        <f t="shared" si="418"/>
        <v>51002-0041</v>
      </c>
      <c r="D6673" s="64" t="s">
        <v>7876</v>
      </c>
      <c r="E6673" s="64" t="s">
        <v>4086</v>
      </c>
      <c r="F6673" s="64" t="s">
        <v>230</v>
      </c>
      <c r="G6673" s="64" t="s">
        <v>3740</v>
      </c>
      <c r="H6673" s="64" t="s">
        <v>1875</v>
      </c>
      <c r="I6673" s="64" t="s">
        <v>4087</v>
      </c>
      <c r="J6673" s="67">
        <v>0</v>
      </c>
      <c r="K6673" s="62">
        <v>1792.75</v>
      </c>
      <c r="L6673" s="33" t="e">
        <f>HLOOKUP(B6673,#REF!,1,0)</f>
        <v>#REF!</v>
      </c>
      <c r="M6673" s="33" t="str">
        <f t="shared" si="419"/>
        <v>P&amp;L</v>
      </c>
    </row>
    <row r="6674" spans="1:13" s="33" customFormat="true" ht="12.75" customHeight="true">
      <c r="A6674" s="33" t="str">
        <f t="shared" si="416"/>
        <v>OLD - CGS</v>
      </c>
      <c r="B6674" s="33" t="str">
        <f t="shared" si="417"/>
        <v>OLD</v>
      </c>
      <c r="C6674" s="33" t="str">
        <f t="shared" si="418"/>
        <v>51002-0042</v>
      </c>
      <c r="D6674" s="64" t="s">
        <v>7877</v>
      </c>
      <c r="E6674" s="64" t="s">
        <v>4086</v>
      </c>
      <c r="F6674" s="64" t="s">
        <v>230</v>
      </c>
      <c r="G6674" s="64" t="s">
        <v>3740</v>
      </c>
      <c r="H6674" s="64" t="s">
        <v>1875</v>
      </c>
      <c r="I6674" s="64" t="s">
        <v>4087</v>
      </c>
      <c r="J6674" s="67">
        <v>0</v>
      </c>
      <c r="K6674" s="62">
        <v>3990.75</v>
      </c>
      <c r="L6674" s="33" t="e">
        <f>HLOOKUP(B6674,#REF!,1,0)</f>
        <v>#REF!</v>
      </c>
      <c r="M6674" s="33" t="str">
        <f t="shared" si="419"/>
        <v>P&amp;L</v>
      </c>
    </row>
    <row r="6675" spans="1:13" s="33" customFormat="true" ht="12.75" customHeight="true">
      <c r="A6675" s="33" t="str">
        <f t="shared" si="416"/>
        <v>OLD - CGS</v>
      </c>
      <c r="B6675" s="33" t="str">
        <f t="shared" si="417"/>
        <v>OLD</v>
      </c>
      <c r="C6675" s="33" t="str">
        <f t="shared" si="418"/>
        <v>51002-0043</v>
      </c>
      <c r="D6675" s="64" t="s">
        <v>7878</v>
      </c>
      <c r="E6675" s="64" t="s">
        <v>4086</v>
      </c>
      <c r="F6675" s="64" t="s">
        <v>230</v>
      </c>
      <c r="G6675" s="64" t="s">
        <v>3740</v>
      </c>
      <c r="H6675" s="64" t="s">
        <v>1875</v>
      </c>
      <c r="I6675" s="64" t="s">
        <v>4087</v>
      </c>
      <c r="J6675" s="67">
        <v>0</v>
      </c>
      <c r="K6675" s="62">
        <v>0</v>
      </c>
      <c r="L6675" s="33" t="e">
        <f>HLOOKUP(B6675,#REF!,1,0)</f>
        <v>#REF!</v>
      </c>
      <c r="M6675" s="33" t="str">
        <f t="shared" si="419"/>
        <v>P&amp;L</v>
      </c>
    </row>
    <row r="6676" spans="1:13" s="33" customFormat="true" ht="12.75" customHeight="true">
      <c r="A6676" s="33" t="str">
        <f t="shared" si="416"/>
        <v>OLD - CGS</v>
      </c>
      <c r="B6676" s="33" t="str">
        <f t="shared" si="417"/>
        <v>OLD</v>
      </c>
      <c r="C6676" s="33" t="str">
        <f t="shared" si="418"/>
        <v>51002-0044</v>
      </c>
      <c r="D6676" s="64" t="s">
        <v>7879</v>
      </c>
      <c r="E6676" s="64" t="s">
        <v>4086</v>
      </c>
      <c r="F6676" s="64" t="s">
        <v>230</v>
      </c>
      <c r="G6676" s="64" t="s">
        <v>3740</v>
      </c>
      <c r="H6676" s="64" t="s">
        <v>1875</v>
      </c>
      <c r="I6676" s="64" t="s">
        <v>4087</v>
      </c>
      <c r="J6676" s="67">
        <v>0</v>
      </c>
      <c r="K6676" s="62">
        <v>0</v>
      </c>
      <c r="L6676" s="33" t="e">
        <f>HLOOKUP(B6676,#REF!,1,0)</f>
        <v>#REF!</v>
      </c>
      <c r="M6676" s="33" t="str">
        <f t="shared" si="419"/>
        <v>P&amp;L</v>
      </c>
    </row>
    <row r="6677" spans="1:13" s="33" customFormat="true" ht="12.75" customHeight="true">
      <c r="A6677" s="33" t="str">
        <f t="shared" si="416"/>
        <v>OLD - CGS</v>
      </c>
      <c r="B6677" s="33" t="str">
        <f t="shared" si="417"/>
        <v>OLD</v>
      </c>
      <c r="C6677" s="33" t="str">
        <f t="shared" si="418"/>
        <v>51002-0045</v>
      </c>
      <c r="D6677" s="64" t="s">
        <v>7880</v>
      </c>
      <c r="E6677" s="64" t="s">
        <v>4086</v>
      </c>
      <c r="F6677" s="64" t="s">
        <v>230</v>
      </c>
      <c r="G6677" s="64" t="s">
        <v>3740</v>
      </c>
      <c r="H6677" s="64" t="s">
        <v>1875</v>
      </c>
      <c r="I6677" s="64" t="s">
        <v>4087</v>
      </c>
      <c r="J6677" s="67">
        <v>0</v>
      </c>
      <c r="K6677" s="62">
        <v>0</v>
      </c>
      <c r="L6677" s="33" t="e">
        <f>HLOOKUP(B6677,#REF!,1,0)</f>
        <v>#REF!</v>
      </c>
      <c r="M6677" s="33" t="str">
        <f t="shared" si="419"/>
        <v>P&amp;L</v>
      </c>
    </row>
    <row r="6678" spans="1:13" s="33" customFormat="true" ht="12.75" customHeight="true">
      <c r="A6678" s="33" t="str">
        <f t="shared" si="416"/>
        <v>OLD - CGS</v>
      </c>
      <c r="B6678" s="33" t="str">
        <f t="shared" si="417"/>
        <v>OLD</v>
      </c>
      <c r="C6678" s="33" t="str">
        <f t="shared" si="418"/>
        <v>51002-0046</v>
      </c>
      <c r="D6678" s="64" t="s">
        <v>7881</v>
      </c>
      <c r="E6678" s="64" t="s">
        <v>4086</v>
      </c>
      <c r="F6678" s="64" t="s">
        <v>230</v>
      </c>
      <c r="G6678" s="64" t="s">
        <v>3740</v>
      </c>
      <c r="H6678" s="64" t="s">
        <v>1875</v>
      </c>
      <c r="I6678" s="64" t="s">
        <v>4087</v>
      </c>
      <c r="J6678" s="67">
        <v>0</v>
      </c>
      <c r="K6678" s="62">
        <v>2949</v>
      </c>
      <c r="L6678" s="33" t="e">
        <f>HLOOKUP(B6678,#REF!,1,0)</f>
        <v>#REF!</v>
      </c>
      <c r="M6678" s="33" t="str">
        <f t="shared" si="419"/>
        <v>P&amp;L</v>
      </c>
    </row>
    <row r="6679" spans="1:13" s="33" customFormat="true" ht="12.75" customHeight="true">
      <c r="A6679" s="33" t="str">
        <f t="shared" si="416"/>
        <v>OLD - CGS</v>
      </c>
      <c r="B6679" s="33" t="str">
        <f t="shared" si="417"/>
        <v>OLD</v>
      </c>
      <c r="C6679" s="33" t="str">
        <f t="shared" si="418"/>
        <v>51003-0048</v>
      </c>
      <c r="D6679" s="64" t="s">
        <v>7882</v>
      </c>
      <c r="E6679" s="64" t="s">
        <v>7883</v>
      </c>
      <c r="F6679" s="64" t="s">
        <v>230</v>
      </c>
      <c r="G6679" s="64" t="s">
        <v>3740</v>
      </c>
      <c r="H6679" s="64" t="s">
        <v>1875</v>
      </c>
      <c r="I6679" s="64" t="s">
        <v>4233</v>
      </c>
      <c r="J6679" s="67">
        <v>0</v>
      </c>
      <c r="K6679" s="62">
        <v>0</v>
      </c>
      <c r="L6679" s="33" t="e">
        <f>HLOOKUP(B6679,#REF!,1,0)</f>
        <v>#REF!</v>
      </c>
      <c r="M6679" s="33" t="str">
        <f t="shared" si="419"/>
        <v>P&amp;L</v>
      </c>
    </row>
    <row r="6680" spans="1:13" s="33" customFormat="true" ht="12.75" customHeight="true">
      <c r="A6680" s="33" t="str">
        <f t="shared" si="416"/>
        <v>OLD - CGS</v>
      </c>
      <c r="B6680" s="33" t="str">
        <f t="shared" si="417"/>
        <v>OLD</v>
      </c>
      <c r="C6680" s="33" t="str">
        <f t="shared" si="418"/>
        <v>51006-0040</v>
      </c>
      <c r="D6680" s="64" t="s">
        <v>7884</v>
      </c>
      <c r="E6680" s="64" t="s">
        <v>7885</v>
      </c>
      <c r="F6680" s="64" t="s">
        <v>230</v>
      </c>
      <c r="G6680" s="64" t="s">
        <v>3740</v>
      </c>
      <c r="H6680" s="64" t="s">
        <v>1875</v>
      </c>
      <c r="I6680" s="64" t="s">
        <v>3741</v>
      </c>
      <c r="J6680" s="67">
        <v>0</v>
      </c>
      <c r="K6680" s="62">
        <v>240.91</v>
      </c>
      <c r="L6680" s="33" t="e">
        <f>HLOOKUP(B6680,#REF!,1,0)</f>
        <v>#REF!</v>
      </c>
      <c r="M6680" s="33" t="str">
        <f t="shared" si="419"/>
        <v>P&amp;L</v>
      </c>
    </row>
    <row r="6681" spans="1:13" s="33" customFormat="true" ht="12.75" customHeight="true">
      <c r="A6681" s="33" t="str">
        <f t="shared" si="416"/>
        <v>OLD - CGS</v>
      </c>
      <c r="B6681" s="33" t="str">
        <f t="shared" si="417"/>
        <v>OLD</v>
      </c>
      <c r="C6681" s="33" t="str">
        <f t="shared" si="418"/>
        <v>51006-0041</v>
      </c>
      <c r="D6681" s="64" t="s">
        <v>7886</v>
      </c>
      <c r="E6681" s="64" t="s">
        <v>7885</v>
      </c>
      <c r="F6681" s="64" t="s">
        <v>230</v>
      </c>
      <c r="G6681" s="64" t="s">
        <v>3740</v>
      </c>
      <c r="H6681" s="64" t="s">
        <v>1875</v>
      </c>
      <c r="I6681" s="64" t="s">
        <v>3741</v>
      </c>
      <c r="J6681" s="67">
        <v>0</v>
      </c>
      <c r="K6681" s="62">
        <v>501.5</v>
      </c>
      <c r="L6681" s="33" t="e">
        <f>HLOOKUP(B6681,#REF!,1,0)</f>
        <v>#REF!</v>
      </c>
      <c r="M6681" s="33" t="str">
        <f t="shared" si="419"/>
        <v>P&amp;L</v>
      </c>
    </row>
    <row r="6682" spans="1:13" s="33" customFormat="true" ht="12.75" customHeight="true">
      <c r="A6682" s="33" t="str">
        <f t="shared" si="416"/>
        <v>OLD - CGS</v>
      </c>
      <c r="B6682" s="33" t="str">
        <f t="shared" si="417"/>
        <v>OLD</v>
      </c>
      <c r="C6682" s="33" t="str">
        <f t="shared" si="418"/>
        <v>51006-0042</v>
      </c>
      <c r="D6682" s="64" t="s">
        <v>7887</v>
      </c>
      <c r="E6682" s="64" t="s">
        <v>7885</v>
      </c>
      <c r="F6682" s="64" t="s">
        <v>230</v>
      </c>
      <c r="G6682" s="64" t="s">
        <v>3740</v>
      </c>
      <c r="H6682" s="64" t="s">
        <v>1875</v>
      </c>
      <c r="I6682" s="64" t="s">
        <v>3741</v>
      </c>
      <c r="J6682" s="67">
        <v>0</v>
      </c>
      <c r="K6682" s="62">
        <v>690.5</v>
      </c>
      <c r="L6682" s="33" t="e">
        <f>HLOOKUP(B6682,#REF!,1,0)</f>
        <v>#REF!</v>
      </c>
      <c r="M6682" s="33" t="str">
        <f t="shared" si="419"/>
        <v>P&amp;L</v>
      </c>
    </row>
    <row r="6683" spans="1:13" s="33" customFormat="true" ht="12.75" customHeight="true">
      <c r="A6683" s="33" t="str">
        <f t="shared" si="416"/>
        <v>OLD - CGS</v>
      </c>
      <c r="B6683" s="33" t="str">
        <f t="shared" si="417"/>
        <v>OLD</v>
      </c>
      <c r="C6683" s="33" t="str">
        <f t="shared" si="418"/>
        <v>51006-0043</v>
      </c>
      <c r="D6683" s="64" t="s">
        <v>7888</v>
      </c>
      <c r="E6683" s="64" t="s">
        <v>7885</v>
      </c>
      <c r="F6683" s="64" t="s">
        <v>230</v>
      </c>
      <c r="G6683" s="64" t="s">
        <v>3740</v>
      </c>
      <c r="H6683" s="64" t="s">
        <v>1875</v>
      </c>
      <c r="I6683" s="64" t="s">
        <v>3741</v>
      </c>
      <c r="J6683" s="67">
        <v>0</v>
      </c>
      <c r="K6683" s="62">
        <v>3131.85</v>
      </c>
      <c r="L6683" s="33" t="e">
        <f>HLOOKUP(B6683,#REF!,1,0)</f>
        <v>#REF!</v>
      </c>
      <c r="M6683" s="33" t="str">
        <f t="shared" si="419"/>
        <v>P&amp;L</v>
      </c>
    </row>
    <row r="6684" spans="1:13" s="33" customFormat="true" ht="12.75" customHeight="true">
      <c r="A6684" s="33" t="str">
        <f t="shared" si="416"/>
        <v>OLD - CGS</v>
      </c>
      <c r="B6684" s="33" t="str">
        <f t="shared" si="417"/>
        <v>OLD</v>
      </c>
      <c r="C6684" s="33" t="str">
        <f t="shared" si="418"/>
        <v>51006-0044</v>
      </c>
      <c r="D6684" s="64" t="s">
        <v>7889</v>
      </c>
      <c r="E6684" s="64" t="s">
        <v>7885</v>
      </c>
      <c r="F6684" s="64" t="s">
        <v>230</v>
      </c>
      <c r="G6684" s="64" t="s">
        <v>3740</v>
      </c>
      <c r="H6684" s="64" t="s">
        <v>1875</v>
      </c>
      <c r="I6684" s="64" t="s">
        <v>3741</v>
      </c>
      <c r="J6684" s="67">
        <v>0</v>
      </c>
      <c r="K6684" s="62">
        <v>0</v>
      </c>
      <c r="L6684" s="33" t="e">
        <f>HLOOKUP(B6684,#REF!,1,0)</f>
        <v>#REF!</v>
      </c>
      <c r="M6684" s="33" t="str">
        <f t="shared" si="419"/>
        <v>P&amp;L</v>
      </c>
    </row>
    <row r="6685" spans="1:13" s="33" customFormat="true" ht="12.75" customHeight="true">
      <c r="A6685" s="33" t="str">
        <f t="shared" si="416"/>
        <v>OLD - CGS</v>
      </c>
      <c r="B6685" s="33" t="str">
        <f t="shared" si="417"/>
        <v>OLD</v>
      </c>
      <c r="C6685" s="33" t="str">
        <f t="shared" si="418"/>
        <v>51006-0045</v>
      </c>
      <c r="D6685" s="64" t="s">
        <v>7890</v>
      </c>
      <c r="E6685" s="64" t="s">
        <v>7885</v>
      </c>
      <c r="F6685" s="64" t="s">
        <v>230</v>
      </c>
      <c r="G6685" s="64" t="s">
        <v>3740</v>
      </c>
      <c r="H6685" s="64" t="s">
        <v>1875</v>
      </c>
      <c r="I6685" s="64" t="s">
        <v>3741</v>
      </c>
      <c r="J6685" s="67">
        <v>0</v>
      </c>
      <c r="K6685" s="62">
        <v>149.42</v>
      </c>
      <c r="L6685" s="33" t="e">
        <f>HLOOKUP(B6685,#REF!,1,0)</f>
        <v>#REF!</v>
      </c>
      <c r="M6685" s="33" t="str">
        <f t="shared" si="419"/>
        <v>P&amp;L</v>
      </c>
    </row>
    <row r="6686" spans="1:13" s="33" customFormat="true" ht="12.75" customHeight="true">
      <c r="A6686" s="33" t="str">
        <f t="shared" si="416"/>
        <v>OLD - CGS</v>
      </c>
      <c r="B6686" s="33" t="str">
        <f t="shared" si="417"/>
        <v>OLD</v>
      </c>
      <c r="C6686" s="33" t="str">
        <f t="shared" si="418"/>
        <v>51006-0046</v>
      </c>
      <c r="D6686" s="64" t="s">
        <v>7891</v>
      </c>
      <c r="E6686" s="64" t="s">
        <v>7885</v>
      </c>
      <c r="F6686" s="64" t="s">
        <v>230</v>
      </c>
      <c r="G6686" s="64" t="s">
        <v>3740</v>
      </c>
      <c r="H6686" s="64" t="s">
        <v>1875</v>
      </c>
      <c r="I6686" s="64" t="s">
        <v>3741</v>
      </c>
      <c r="J6686" s="67">
        <v>0</v>
      </c>
      <c r="K6686" s="62">
        <v>6977</v>
      </c>
      <c r="L6686" s="33" t="e">
        <f>HLOOKUP(B6686,#REF!,1,0)</f>
        <v>#REF!</v>
      </c>
      <c r="M6686" s="33" t="str">
        <f t="shared" si="419"/>
        <v>P&amp;L</v>
      </c>
    </row>
    <row r="6687" spans="1:13" s="33" customFormat="true" ht="12.75" customHeight="true">
      <c r="A6687" s="33" t="str">
        <f t="shared" si="416"/>
        <v>OLD - CGS</v>
      </c>
      <c r="B6687" s="33" t="str">
        <f t="shared" si="417"/>
        <v>OLD</v>
      </c>
      <c r="C6687" s="33" t="str">
        <f t="shared" si="418"/>
        <v>51006-0049</v>
      </c>
      <c r="D6687" s="64" t="s">
        <v>7892</v>
      </c>
      <c r="E6687" s="64" t="s">
        <v>7885</v>
      </c>
      <c r="F6687" s="64" t="s">
        <v>230</v>
      </c>
      <c r="G6687" s="64" t="s">
        <v>3740</v>
      </c>
      <c r="H6687" s="64" t="s">
        <v>1875</v>
      </c>
      <c r="I6687" s="64" t="s">
        <v>3741</v>
      </c>
      <c r="J6687" s="67">
        <v>0</v>
      </c>
      <c r="K6687" s="62">
        <v>3387.53</v>
      </c>
      <c r="L6687" s="33" t="e">
        <f>HLOOKUP(B6687,#REF!,1,0)</f>
        <v>#REF!</v>
      </c>
      <c r="M6687" s="33" t="str">
        <f t="shared" si="419"/>
        <v>P&amp;L</v>
      </c>
    </row>
    <row r="6688" spans="1:13" s="33" customFormat="true" ht="12.75" customHeight="true">
      <c r="A6688" s="33" t="str">
        <f t="shared" si="416"/>
        <v>OLD - CGS</v>
      </c>
      <c r="B6688" s="33" t="str">
        <f t="shared" si="417"/>
        <v>OLD</v>
      </c>
      <c r="C6688" s="33" t="str">
        <f t="shared" si="418"/>
        <v>51007-0048</v>
      </c>
      <c r="D6688" s="64" t="s">
        <v>7893</v>
      </c>
      <c r="E6688" s="64" t="s">
        <v>3972</v>
      </c>
      <c r="F6688" s="64" t="s">
        <v>230</v>
      </c>
      <c r="G6688" s="64" t="s">
        <v>3740</v>
      </c>
      <c r="H6688" s="64" t="s">
        <v>1875</v>
      </c>
      <c r="I6688" s="64" t="s">
        <v>3973</v>
      </c>
      <c r="J6688" s="67">
        <v>0</v>
      </c>
      <c r="K6688" s="62">
        <v>0</v>
      </c>
      <c r="L6688" s="33" t="e">
        <f>HLOOKUP(B6688,#REF!,1,0)</f>
        <v>#REF!</v>
      </c>
      <c r="M6688" s="33" t="str">
        <f t="shared" si="419"/>
        <v>P&amp;L</v>
      </c>
    </row>
    <row r="6689" spans="1:13" s="33" customFormat="true" ht="12.75" customHeight="true">
      <c r="A6689" s="33" t="str">
        <f t="shared" si="416"/>
        <v>OLD - CGS</v>
      </c>
      <c r="B6689" s="33" t="str">
        <f t="shared" si="417"/>
        <v>OLD</v>
      </c>
      <c r="C6689" s="33" t="str">
        <f t="shared" si="418"/>
        <v>51008-0040</v>
      </c>
      <c r="D6689" s="64" t="s">
        <v>7894</v>
      </c>
      <c r="E6689" s="64" t="s">
        <v>7895</v>
      </c>
      <c r="F6689" s="64" t="s">
        <v>230</v>
      </c>
      <c r="G6689" s="64" t="s">
        <v>3740</v>
      </c>
      <c r="H6689" s="64" t="s">
        <v>1875</v>
      </c>
      <c r="I6689" s="64" t="s">
        <v>3744</v>
      </c>
      <c r="J6689" s="67">
        <v>0</v>
      </c>
      <c r="K6689" s="62">
        <v>393.37</v>
      </c>
      <c r="L6689" s="33" t="e">
        <f>HLOOKUP(B6689,#REF!,1,0)</f>
        <v>#REF!</v>
      </c>
      <c r="M6689" s="33" t="str">
        <f t="shared" si="419"/>
        <v>P&amp;L</v>
      </c>
    </row>
    <row r="6690" spans="1:13" s="33" customFormat="true" ht="12.75" customHeight="true">
      <c r="A6690" s="33" t="str">
        <f t="shared" si="416"/>
        <v>OLD - CGS</v>
      </c>
      <c r="B6690" s="33" t="str">
        <f t="shared" si="417"/>
        <v>OLD</v>
      </c>
      <c r="C6690" s="33" t="str">
        <f t="shared" si="418"/>
        <v>51008-0042</v>
      </c>
      <c r="D6690" s="64" t="s">
        <v>7896</v>
      </c>
      <c r="E6690" s="64" t="s">
        <v>7895</v>
      </c>
      <c r="F6690" s="64" t="s">
        <v>230</v>
      </c>
      <c r="G6690" s="64" t="s">
        <v>3740</v>
      </c>
      <c r="H6690" s="64" t="s">
        <v>1875</v>
      </c>
      <c r="I6690" s="64" t="s">
        <v>3744</v>
      </c>
      <c r="J6690" s="67">
        <v>0</v>
      </c>
      <c r="K6690" s="62">
        <v>1351.45</v>
      </c>
      <c r="L6690" s="33" t="e">
        <f>HLOOKUP(B6690,#REF!,1,0)</f>
        <v>#REF!</v>
      </c>
      <c r="M6690" s="33" t="str">
        <f t="shared" si="419"/>
        <v>P&amp;L</v>
      </c>
    </row>
    <row r="6691" spans="1:13" s="33" customFormat="true" ht="12.75" customHeight="true">
      <c r="A6691" s="33" t="str">
        <f t="shared" si="416"/>
        <v>OLD - CGS</v>
      </c>
      <c r="B6691" s="33" t="str">
        <f t="shared" si="417"/>
        <v>OLD</v>
      </c>
      <c r="C6691" s="33" t="str">
        <f t="shared" si="418"/>
        <v>51008-0043</v>
      </c>
      <c r="D6691" s="64" t="s">
        <v>7897</v>
      </c>
      <c r="E6691" s="64" t="s">
        <v>7895</v>
      </c>
      <c r="F6691" s="64" t="s">
        <v>230</v>
      </c>
      <c r="G6691" s="64" t="s">
        <v>3740</v>
      </c>
      <c r="H6691" s="64" t="s">
        <v>1875</v>
      </c>
      <c r="I6691" s="64" t="s">
        <v>3744</v>
      </c>
      <c r="J6691" s="67">
        <v>0</v>
      </c>
      <c r="K6691" s="62">
        <v>7488.4</v>
      </c>
      <c r="L6691" s="33" t="e">
        <f>HLOOKUP(B6691,#REF!,1,0)</f>
        <v>#REF!</v>
      </c>
      <c r="M6691" s="33" t="str">
        <f t="shared" si="419"/>
        <v>P&amp;L</v>
      </c>
    </row>
    <row r="6692" spans="1:13" s="33" customFormat="true" ht="12.75" customHeight="true">
      <c r="A6692" s="33" t="str">
        <f t="shared" si="416"/>
        <v>OLD - CGS</v>
      </c>
      <c r="B6692" s="33" t="str">
        <f t="shared" si="417"/>
        <v>OLD</v>
      </c>
      <c r="C6692" s="33" t="str">
        <f t="shared" si="418"/>
        <v>51008-0044</v>
      </c>
      <c r="D6692" s="64" t="s">
        <v>7898</v>
      </c>
      <c r="E6692" s="64" t="s">
        <v>7895</v>
      </c>
      <c r="F6692" s="64" t="s">
        <v>230</v>
      </c>
      <c r="G6692" s="64" t="s">
        <v>3740</v>
      </c>
      <c r="H6692" s="64" t="s">
        <v>1875</v>
      </c>
      <c r="I6692" s="64" t="s">
        <v>3744</v>
      </c>
      <c r="J6692" s="67">
        <v>0</v>
      </c>
      <c r="K6692" s="62">
        <v>0</v>
      </c>
      <c r="L6692" s="33" t="e">
        <f>HLOOKUP(B6692,#REF!,1,0)</f>
        <v>#REF!</v>
      </c>
      <c r="M6692" s="33" t="str">
        <f t="shared" si="419"/>
        <v>P&amp;L</v>
      </c>
    </row>
    <row r="6693" spans="1:13" s="33" customFormat="true" ht="12.75" customHeight="true">
      <c r="A6693" s="33" t="str">
        <f t="shared" si="416"/>
        <v>OLD - CGS</v>
      </c>
      <c r="B6693" s="33" t="str">
        <f t="shared" si="417"/>
        <v>OLD</v>
      </c>
      <c r="C6693" s="33" t="str">
        <f t="shared" si="418"/>
        <v>51008-0045</v>
      </c>
      <c r="D6693" s="64" t="s">
        <v>7899</v>
      </c>
      <c r="E6693" s="64" t="s">
        <v>7895</v>
      </c>
      <c r="F6693" s="64" t="s">
        <v>230</v>
      </c>
      <c r="G6693" s="64" t="s">
        <v>3740</v>
      </c>
      <c r="H6693" s="64" t="s">
        <v>1875</v>
      </c>
      <c r="I6693" s="64" t="s">
        <v>3744</v>
      </c>
      <c r="J6693" s="67">
        <v>0</v>
      </c>
      <c r="K6693" s="62">
        <v>1146.75</v>
      </c>
      <c r="L6693" s="33" t="e">
        <f>HLOOKUP(B6693,#REF!,1,0)</f>
        <v>#REF!</v>
      </c>
      <c r="M6693" s="33" t="str">
        <f t="shared" si="419"/>
        <v>P&amp;L</v>
      </c>
    </row>
    <row r="6694" spans="1:13" s="33" customFormat="true" ht="12.75" customHeight="true">
      <c r="A6694" s="33" t="str">
        <f t="shared" si="416"/>
        <v>OLD - CGS</v>
      </c>
      <c r="B6694" s="33" t="str">
        <f t="shared" si="417"/>
        <v>OLD</v>
      </c>
      <c r="C6694" s="33" t="str">
        <f t="shared" si="418"/>
        <v>51008-0046</v>
      </c>
      <c r="D6694" s="64" t="s">
        <v>7900</v>
      </c>
      <c r="E6694" s="64" t="s">
        <v>7895</v>
      </c>
      <c r="F6694" s="64" t="s">
        <v>230</v>
      </c>
      <c r="G6694" s="64" t="s">
        <v>3740</v>
      </c>
      <c r="H6694" s="64" t="s">
        <v>1875</v>
      </c>
      <c r="I6694" s="64" t="s">
        <v>3744</v>
      </c>
      <c r="J6694" s="67">
        <v>0</v>
      </c>
      <c r="K6694" s="62">
        <v>926.23</v>
      </c>
      <c r="L6694" s="33" t="e">
        <f>HLOOKUP(B6694,#REF!,1,0)</f>
        <v>#REF!</v>
      </c>
      <c r="M6694" s="33" t="str">
        <f t="shared" si="419"/>
        <v>P&amp;L</v>
      </c>
    </row>
    <row r="6695" spans="1:13" s="33" customFormat="true" ht="12.75" customHeight="true">
      <c r="A6695" s="33" t="str">
        <f t="shared" si="416"/>
        <v>OLD - CGS</v>
      </c>
      <c r="B6695" s="33" t="str">
        <f t="shared" si="417"/>
        <v>OLD</v>
      </c>
      <c r="C6695" s="33" t="str">
        <f t="shared" si="418"/>
        <v>51008-0048</v>
      </c>
      <c r="D6695" s="64" t="s">
        <v>7901</v>
      </c>
      <c r="E6695" s="64" t="s">
        <v>7895</v>
      </c>
      <c r="F6695" s="64" t="s">
        <v>230</v>
      </c>
      <c r="G6695" s="64" t="s">
        <v>3740</v>
      </c>
      <c r="H6695" s="64" t="s">
        <v>1875</v>
      </c>
      <c r="I6695" s="64" t="s">
        <v>3744</v>
      </c>
      <c r="J6695" s="67">
        <v>0</v>
      </c>
      <c r="K6695" s="62">
        <v>6426.72</v>
      </c>
      <c r="L6695" s="33" t="e">
        <f>HLOOKUP(B6695,#REF!,1,0)</f>
        <v>#REF!</v>
      </c>
      <c r="M6695" s="33" t="str">
        <f t="shared" si="419"/>
        <v>P&amp;L</v>
      </c>
    </row>
    <row r="6696" spans="1:13" s="33" customFormat="true" ht="12.75" customHeight="true">
      <c r="A6696" s="33" t="str">
        <f t="shared" si="416"/>
        <v>OLD - CGS</v>
      </c>
      <c r="B6696" s="33" t="str">
        <f t="shared" si="417"/>
        <v>OLD</v>
      </c>
      <c r="C6696" s="33" t="str">
        <f t="shared" si="418"/>
        <v>51008-0049</v>
      </c>
      <c r="D6696" s="64" t="s">
        <v>7902</v>
      </c>
      <c r="E6696" s="64" t="s">
        <v>7895</v>
      </c>
      <c r="F6696" s="64" t="s">
        <v>230</v>
      </c>
      <c r="G6696" s="64" t="s">
        <v>3740</v>
      </c>
      <c r="H6696" s="64" t="s">
        <v>1875</v>
      </c>
      <c r="I6696" s="64" t="s">
        <v>3744</v>
      </c>
      <c r="J6696" s="67">
        <v>0</v>
      </c>
      <c r="K6696" s="62">
        <v>31383.11</v>
      </c>
      <c r="L6696" s="33" t="e">
        <f>HLOOKUP(B6696,#REF!,1,0)</f>
        <v>#REF!</v>
      </c>
      <c r="M6696" s="33" t="str">
        <f t="shared" si="419"/>
        <v>P&amp;L</v>
      </c>
    </row>
    <row r="6697" spans="1:13" s="33" customFormat="true" ht="12.75" customHeight="true">
      <c r="A6697" s="33" t="str">
        <f t="shared" si="416"/>
        <v>OLD - CGS</v>
      </c>
      <c r="B6697" s="33" t="str">
        <f t="shared" si="417"/>
        <v>OLD</v>
      </c>
      <c r="C6697" s="33" t="str">
        <f t="shared" si="418"/>
        <v>51008-0050</v>
      </c>
      <c r="D6697" s="64" t="s">
        <v>7903</v>
      </c>
      <c r="E6697" s="64" t="s">
        <v>7895</v>
      </c>
      <c r="F6697" s="64" t="s">
        <v>230</v>
      </c>
      <c r="G6697" s="64" t="s">
        <v>3740</v>
      </c>
      <c r="H6697" s="64" t="s">
        <v>1875</v>
      </c>
      <c r="I6697" s="64" t="s">
        <v>3744</v>
      </c>
      <c r="J6697" s="67">
        <v>0</v>
      </c>
      <c r="K6697" s="62">
        <v>118825.25</v>
      </c>
      <c r="L6697" s="33" t="e">
        <f>HLOOKUP(B6697,#REF!,1,0)</f>
        <v>#REF!</v>
      </c>
      <c r="M6697" s="33" t="str">
        <f t="shared" si="419"/>
        <v>P&amp;L</v>
      </c>
    </row>
    <row r="6698" spans="1:13" s="33" customFormat="true" ht="12.75" customHeight="true">
      <c r="A6698" s="33" t="str">
        <f t="shared" si="416"/>
        <v>OLD - CGS</v>
      </c>
      <c r="B6698" s="33" t="str">
        <f t="shared" si="417"/>
        <v>OLD</v>
      </c>
      <c r="C6698" s="33" t="str">
        <f t="shared" si="418"/>
        <v>51009-0040</v>
      </c>
      <c r="D6698" s="64" t="s">
        <v>7904</v>
      </c>
      <c r="E6698" s="64" t="s">
        <v>7905</v>
      </c>
      <c r="F6698" s="64" t="s">
        <v>230</v>
      </c>
      <c r="G6698" s="64" t="s">
        <v>3740</v>
      </c>
      <c r="H6698" s="64" t="s">
        <v>1875</v>
      </c>
      <c r="I6698" s="64" t="s">
        <v>3747</v>
      </c>
      <c r="J6698" s="67">
        <v>0</v>
      </c>
      <c r="K6698" s="62">
        <v>547.9</v>
      </c>
      <c r="L6698" s="33" t="e">
        <f>HLOOKUP(B6698,#REF!,1,0)</f>
        <v>#REF!</v>
      </c>
      <c r="M6698" s="33" t="str">
        <f t="shared" si="419"/>
        <v>P&amp;L</v>
      </c>
    </row>
    <row r="6699" spans="1:13" s="33" customFormat="true" ht="12.75" customHeight="true">
      <c r="A6699" s="33" t="str">
        <f t="shared" si="416"/>
        <v>OLD - CGS</v>
      </c>
      <c r="B6699" s="33" t="str">
        <f t="shared" si="417"/>
        <v>OLD</v>
      </c>
      <c r="C6699" s="33" t="str">
        <f t="shared" si="418"/>
        <v>51009-0041</v>
      </c>
      <c r="D6699" s="64" t="s">
        <v>7906</v>
      </c>
      <c r="E6699" s="64" t="s">
        <v>7905</v>
      </c>
      <c r="F6699" s="64" t="s">
        <v>230</v>
      </c>
      <c r="G6699" s="64" t="s">
        <v>3740</v>
      </c>
      <c r="H6699" s="64" t="s">
        <v>1875</v>
      </c>
      <c r="I6699" s="64" t="s">
        <v>3747</v>
      </c>
      <c r="J6699" s="67">
        <v>0</v>
      </c>
      <c r="K6699" s="62">
        <v>590.23</v>
      </c>
      <c r="L6699" s="33" t="e">
        <f>HLOOKUP(B6699,#REF!,1,0)</f>
        <v>#REF!</v>
      </c>
      <c r="M6699" s="33" t="str">
        <f t="shared" si="419"/>
        <v>P&amp;L</v>
      </c>
    </row>
    <row r="6700" spans="1:13" s="33" customFormat="true" ht="12.75" customHeight="true">
      <c r="A6700" s="33" t="str">
        <f t="shared" si="416"/>
        <v>OLD - CGS</v>
      </c>
      <c r="B6700" s="33" t="str">
        <f t="shared" si="417"/>
        <v>OLD</v>
      </c>
      <c r="C6700" s="33" t="str">
        <f t="shared" si="418"/>
        <v>51009-0042</v>
      </c>
      <c r="D6700" s="64" t="s">
        <v>7907</v>
      </c>
      <c r="E6700" s="64" t="s">
        <v>7905</v>
      </c>
      <c r="F6700" s="64" t="s">
        <v>230</v>
      </c>
      <c r="G6700" s="64" t="s">
        <v>3740</v>
      </c>
      <c r="H6700" s="64" t="s">
        <v>1875</v>
      </c>
      <c r="I6700" s="64" t="s">
        <v>3747</v>
      </c>
      <c r="J6700" s="67">
        <v>0</v>
      </c>
      <c r="K6700" s="62">
        <v>1423.86</v>
      </c>
      <c r="L6700" s="33" t="e">
        <f>HLOOKUP(B6700,#REF!,1,0)</f>
        <v>#REF!</v>
      </c>
      <c r="M6700" s="33" t="str">
        <f t="shared" si="419"/>
        <v>P&amp;L</v>
      </c>
    </row>
    <row r="6701" spans="1:13" s="33" customFormat="true" ht="12.75" customHeight="true">
      <c r="A6701" s="33" t="str">
        <f t="shared" si="416"/>
        <v>OLD - CGS</v>
      </c>
      <c r="B6701" s="33" t="str">
        <f t="shared" si="417"/>
        <v>OLD</v>
      </c>
      <c r="C6701" s="33" t="str">
        <f t="shared" si="418"/>
        <v>51009-0043</v>
      </c>
      <c r="D6701" s="64" t="s">
        <v>7908</v>
      </c>
      <c r="E6701" s="64" t="s">
        <v>7905</v>
      </c>
      <c r="F6701" s="64" t="s">
        <v>230</v>
      </c>
      <c r="G6701" s="64" t="s">
        <v>3740</v>
      </c>
      <c r="H6701" s="64" t="s">
        <v>1875</v>
      </c>
      <c r="I6701" s="64" t="s">
        <v>3747</v>
      </c>
      <c r="J6701" s="67">
        <v>0</v>
      </c>
      <c r="K6701" s="62">
        <v>3203.12</v>
      </c>
      <c r="L6701" s="33" t="e">
        <f>HLOOKUP(B6701,#REF!,1,0)</f>
        <v>#REF!</v>
      </c>
      <c r="M6701" s="33" t="str">
        <f t="shared" si="419"/>
        <v>P&amp;L</v>
      </c>
    </row>
    <row r="6702" spans="1:13" s="33" customFormat="true" ht="12.75" customHeight="true">
      <c r="A6702" s="33" t="str">
        <f t="shared" si="416"/>
        <v>OLD - CGS</v>
      </c>
      <c r="B6702" s="33" t="str">
        <f t="shared" si="417"/>
        <v>OLD</v>
      </c>
      <c r="C6702" s="33" t="str">
        <f t="shared" si="418"/>
        <v>51009-0044</v>
      </c>
      <c r="D6702" s="64" t="s">
        <v>7909</v>
      </c>
      <c r="E6702" s="64" t="s">
        <v>7905</v>
      </c>
      <c r="F6702" s="64" t="s">
        <v>230</v>
      </c>
      <c r="G6702" s="64" t="s">
        <v>3740</v>
      </c>
      <c r="H6702" s="64" t="s">
        <v>1875</v>
      </c>
      <c r="I6702" s="64" t="s">
        <v>3747</v>
      </c>
      <c r="J6702" s="67">
        <v>0</v>
      </c>
      <c r="K6702" s="62">
        <v>0</v>
      </c>
      <c r="L6702" s="33" t="e">
        <f>HLOOKUP(B6702,#REF!,1,0)</f>
        <v>#REF!</v>
      </c>
      <c r="M6702" s="33" t="str">
        <f t="shared" si="419"/>
        <v>P&amp;L</v>
      </c>
    </row>
    <row r="6703" spans="1:13" s="33" customFormat="true" ht="12.75" customHeight="true">
      <c r="A6703" s="33" t="str">
        <f t="shared" si="416"/>
        <v>OLD - CGS</v>
      </c>
      <c r="B6703" s="33" t="str">
        <f t="shared" si="417"/>
        <v>OLD</v>
      </c>
      <c r="C6703" s="33" t="str">
        <f t="shared" si="418"/>
        <v>51009-0045</v>
      </c>
      <c r="D6703" s="64" t="s">
        <v>7910</v>
      </c>
      <c r="E6703" s="64" t="s">
        <v>7905</v>
      </c>
      <c r="F6703" s="64" t="s">
        <v>230</v>
      </c>
      <c r="G6703" s="64" t="s">
        <v>3740</v>
      </c>
      <c r="H6703" s="64" t="s">
        <v>1875</v>
      </c>
      <c r="I6703" s="64" t="s">
        <v>3747</v>
      </c>
      <c r="J6703" s="67">
        <v>0</v>
      </c>
      <c r="K6703" s="62">
        <v>0</v>
      </c>
      <c r="L6703" s="33" t="e">
        <f>HLOOKUP(B6703,#REF!,1,0)</f>
        <v>#REF!</v>
      </c>
      <c r="M6703" s="33" t="str">
        <f t="shared" si="419"/>
        <v>P&amp;L</v>
      </c>
    </row>
    <row r="6704" spans="1:13" s="33" customFormat="true" ht="12.75" customHeight="true">
      <c r="A6704" s="33" t="str">
        <f t="shared" si="416"/>
        <v>OLD - CGS</v>
      </c>
      <c r="B6704" s="33" t="str">
        <f t="shared" si="417"/>
        <v>OLD</v>
      </c>
      <c r="C6704" s="33" t="str">
        <f t="shared" si="418"/>
        <v>51009-0046</v>
      </c>
      <c r="D6704" s="64" t="s">
        <v>7911</v>
      </c>
      <c r="E6704" s="64" t="s">
        <v>7905</v>
      </c>
      <c r="F6704" s="64" t="s">
        <v>230</v>
      </c>
      <c r="G6704" s="64" t="s">
        <v>3740</v>
      </c>
      <c r="H6704" s="64" t="s">
        <v>1875</v>
      </c>
      <c r="I6704" s="64" t="s">
        <v>3747</v>
      </c>
      <c r="J6704" s="67">
        <v>0</v>
      </c>
      <c r="K6704" s="62">
        <v>14902.91</v>
      </c>
      <c r="L6704" s="33" t="e">
        <f>HLOOKUP(B6704,#REF!,1,0)</f>
        <v>#REF!</v>
      </c>
      <c r="M6704" s="33" t="str">
        <f t="shared" si="419"/>
        <v>P&amp;L</v>
      </c>
    </row>
    <row r="6705" spans="1:13" s="33" customFormat="true" ht="12.75" customHeight="true">
      <c r="A6705" s="33" t="str">
        <f t="shared" si="416"/>
        <v>OLD - CGS</v>
      </c>
      <c r="B6705" s="33" t="str">
        <f t="shared" si="417"/>
        <v>OLD</v>
      </c>
      <c r="C6705" s="33" t="str">
        <f t="shared" si="418"/>
        <v>51009-0049</v>
      </c>
      <c r="D6705" s="64" t="s">
        <v>7912</v>
      </c>
      <c r="E6705" s="64" t="s">
        <v>7905</v>
      </c>
      <c r="F6705" s="64" t="s">
        <v>230</v>
      </c>
      <c r="G6705" s="64" t="s">
        <v>3740</v>
      </c>
      <c r="H6705" s="64" t="s">
        <v>1875</v>
      </c>
      <c r="I6705" s="64" t="s">
        <v>3747</v>
      </c>
      <c r="J6705" s="67">
        <v>0</v>
      </c>
      <c r="K6705" s="62">
        <v>14148.05</v>
      </c>
      <c r="L6705" s="33" t="e">
        <f>HLOOKUP(B6705,#REF!,1,0)</f>
        <v>#REF!</v>
      </c>
      <c r="M6705" s="33" t="str">
        <f t="shared" si="419"/>
        <v>P&amp;L</v>
      </c>
    </row>
    <row r="6706" spans="1:13" s="33" customFormat="true" ht="12.75" customHeight="true">
      <c r="A6706" s="33" t="str">
        <f t="shared" si="416"/>
        <v>OLD - CGS</v>
      </c>
      <c r="B6706" s="33" t="str">
        <f t="shared" si="417"/>
        <v>OLD</v>
      </c>
      <c r="C6706" s="33" t="str">
        <f t="shared" si="418"/>
        <v>51010-0042</v>
      </c>
      <c r="D6706" s="64" t="s">
        <v>7913</v>
      </c>
      <c r="E6706" s="64" t="s">
        <v>7509</v>
      </c>
      <c r="F6706" s="64" t="s">
        <v>230</v>
      </c>
      <c r="G6706" s="64" t="s">
        <v>3740</v>
      </c>
      <c r="H6706" s="64" t="s">
        <v>1875</v>
      </c>
      <c r="I6706" s="64" t="s">
        <v>7510</v>
      </c>
      <c r="J6706" s="67">
        <v>0</v>
      </c>
      <c r="K6706" s="62">
        <v>221.16</v>
      </c>
      <c r="L6706" s="33" t="e">
        <f>HLOOKUP(B6706,#REF!,1,0)</f>
        <v>#REF!</v>
      </c>
      <c r="M6706" s="33" t="str">
        <f t="shared" si="419"/>
        <v>P&amp;L</v>
      </c>
    </row>
    <row r="6707" spans="1:13" s="33" customFormat="true" ht="12.75" customHeight="true">
      <c r="A6707" s="33" t="str">
        <f t="shared" si="416"/>
        <v>OLD - CGS</v>
      </c>
      <c r="B6707" s="33" t="str">
        <f t="shared" si="417"/>
        <v>OLD</v>
      </c>
      <c r="C6707" s="33" t="str">
        <f t="shared" si="418"/>
        <v>51010-0043</v>
      </c>
      <c r="D6707" s="64" t="s">
        <v>7914</v>
      </c>
      <c r="E6707" s="64" t="s">
        <v>7509</v>
      </c>
      <c r="F6707" s="64" t="s">
        <v>230</v>
      </c>
      <c r="G6707" s="64" t="s">
        <v>3740</v>
      </c>
      <c r="H6707" s="64" t="s">
        <v>1875</v>
      </c>
      <c r="I6707" s="64" t="s">
        <v>7510</v>
      </c>
      <c r="J6707" s="67">
        <v>0</v>
      </c>
      <c r="K6707" s="62">
        <v>0</v>
      </c>
      <c r="L6707" s="33" t="e">
        <f>HLOOKUP(B6707,#REF!,1,0)</f>
        <v>#REF!</v>
      </c>
      <c r="M6707" s="33" t="str">
        <f t="shared" si="419"/>
        <v>P&amp;L</v>
      </c>
    </row>
    <row r="6708" spans="1:13" s="33" customFormat="true" ht="12.75" customHeight="true">
      <c r="A6708" s="33" t="str">
        <f t="shared" si="416"/>
        <v>OLD - CGS</v>
      </c>
      <c r="B6708" s="33" t="str">
        <f t="shared" si="417"/>
        <v>OLD</v>
      </c>
      <c r="C6708" s="33" t="str">
        <f t="shared" si="418"/>
        <v>51010-0044</v>
      </c>
      <c r="D6708" s="64" t="s">
        <v>7915</v>
      </c>
      <c r="E6708" s="64" t="s">
        <v>7509</v>
      </c>
      <c r="F6708" s="64" t="s">
        <v>230</v>
      </c>
      <c r="G6708" s="64" t="s">
        <v>3740</v>
      </c>
      <c r="H6708" s="64" t="s">
        <v>1875</v>
      </c>
      <c r="I6708" s="64" t="s">
        <v>7510</v>
      </c>
      <c r="J6708" s="67">
        <v>0</v>
      </c>
      <c r="K6708" s="62">
        <v>0</v>
      </c>
      <c r="L6708" s="33" t="e">
        <f>HLOOKUP(B6708,#REF!,1,0)</f>
        <v>#REF!</v>
      </c>
      <c r="M6708" s="33" t="str">
        <f t="shared" si="419"/>
        <v>P&amp;L</v>
      </c>
    </row>
    <row r="6709" spans="1:13" s="33" customFormat="true" ht="12.75" customHeight="true">
      <c r="A6709" s="33" t="str">
        <f t="shared" si="416"/>
        <v>OLD - CGS</v>
      </c>
      <c r="B6709" s="33" t="str">
        <f t="shared" si="417"/>
        <v>OLD</v>
      </c>
      <c r="C6709" s="33" t="str">
        <f t="shared" si="418"/>
        <v>51010-0045</v>
      </c>
      <c r="D6709" s="64" t="s">
        <v>7916</v>
      </c>
      <c r="E6709" s="64" t="s">
        <v>7509</v>
      </c>
      <c r="F6709" s="64" t="s">
        <v>230</v>
      </c>
      <c r="G6709" s="64" t="s">
        <v>3740</v>
      </c>
      <c r="H6709" s="64" t="s">
        <v>1875</v>
      </c>
      <c r="I6709" s="64" t="s">
        <v>7510</v>
      </c>
      <c r="J6709" s="67">
        <v>0</v>
      </c>
      <c r="K6709" s="62">
        <v>0</v>
      </c>
      <c r="L6709" s="33" t="e">
        <f>HLOOKUP(B6709,#REF!,1,0)</f>
        <v>#REF!</v>
      </c>
      <c r="M6709" s="33" t="str">
        <f t="shared" si="419"/>
        <v>P&amp;L</v>
      </c>
    </row>
    <row r="6710" spans="1:13" s="33" customFormat="true" ht="12.75" customHeight="true">
      <c r="A6710" s="33" t="str">
        <f t="shared" si="416"/>
        <v>OLD - CGS</v>
      </c>
      <c r="B6710" s="33" t="str">
        <f t="shared" si="417"/>
        <v>OLD</v>
      </c>
      <c r="C6710" s="33" t="str">
        <f t="shared" si="418"/>
        <v>51010-0046</v>
      </c>
      <c r="D6710" s="64" t="s">
        <v>7917</v>
      </c>
      <c r="E6710" s="64" t="s">
        <v>7509</v>
      </c>
      <c r="F6710" s="64" t="s">
        <v>230</v>
      </c>
      <c r="G6710" s="64" t="s">
        <v>3740</v>
      </c>
      <c r="H6710" s="64" t="s">
        <v>1875</v>
      </c>
      <c r="I6710" s="64" t="s">
        <v>7510</v>
      </c>
      <c r="J6710" s="67">
        <v>0</v>
      </c>
      <c r="K6710" s="62">
        <v>106.52</v>
      </c>
      <c r="L6710" s="33" t="e">
        <f>HLOOKUP(B6710,#REF!,1,0)</f>
        <v>#REF!</v>
      </c>
      <c r="M6710" s="33" t="str">
        <f t="shared" si="419"/>
        <v>P&amp;L</v>
      </c>
    </row>
    <row r="6711" spans="1:13" s="33" customFormat="true" ht="12.75" customHeight="true">
      <c r="A6711" s="33" t="str">
        <f t="shared" si="416"/>
        <v>OLD - CGS</v>
      </c>
      <c r="B6711" s="33" t="str">
        <f t="shared" si="417"/>
        <v>OLD</v>
      </c>
      <c r="C6711" s="33" t="str">
        <f t="shared" si="418"/>
        <v>51010-0048</v>
      </c>
      <c r="D6711" s="64" t="s">
        <v>7918</v>
      </c>
      <c r="E6711" s="64" t="s">
        <v>7509</v>
      </c>
      <c r="F6711" s="64" t="s">
        <v>230</v>
      </c>
      <c r="G6711" s="64" t="s">
        <v>3740</v>
      </c>
      <c r="H6711" s="64" t="s">
        <v>1875</v>
      </c>
      <c r="I6711" s="64" t="s">
        <v>7510</v>
      </c>
      <c r="J6711" s="67">
        <v>0</v>
      </c>
      <c r="K6711" s="62">
        <v>0</v>
      </c>
      <c r="L6711" s="33" t="e">
        <f>HLOOKUP(B6711,#REF!,1,0)</f>
        <v>#REF!</v>
      </c>
      <c r="M6711" s="33" t="str">
        <f t="shared" si="419"/>
        <v>P&amp;L</v>
      </c>
    </row>
    <row r="6712" spans="1:13" s="33" customFormat="true" ht="12.75" customHeight="true">
      <c r="A6712" s="33" t="str">
        <f t="shared" si="416"/>
        <v>OLD - CGS</v>
      </c>
      <c r="B6712" s="33" t="str">
        <f t="shared" si="417"/>
        <v>OLD</v>
      </c>
      <c r="C6712" s="33" t="str">
        <f t="shared" si="418"/>
        <v>51011-0040</v>
      </c>
      <c r="D6712" s="64" t="s">
        <v>7919</v>
      </c>
      <c r="E6712" s="64" t="s">
        <v>7920</v>
      </c>
      <c r="F6712" s="64" t="s">
        <v>230</v>
      </c>
      <c r="G6712" s="64" t="s">
        <v>3740</v>
      </c>
      <c r="H6712" s="64" t="s">
        <v>1875</v>
      </c>
      <c r="I6712" s="64" t="s">
        <v>3750</v>
      </c>
      <c r="J6712" s="67">
        <v>0</v>
      </c>
      <c r="K6712" s="62">
        <v>1499</v>
      </c>
      <c r="L6712" s="33" t="e">
        <f>HLOOKUP(B6712,#REF!,1,0)</f>
        <v>#REF!</v>
      </c>
      <c r="M6712" s="33" t="str">
        <f t="shared" si="419"/>
        <v>P&amp;L</v>
      </c>
    </row>
    <row r="6713" spans="1:13" s="33" customFormat="true" ht="12.75" customHeight="true">
      <c r="A6713" s="33" t="str">
        <f t="shared" si="416"/>
        <v>OLD - CGS</v>
      </c>
      <c r="B6713" s="33" t="str">
        <f t="shared" si="417"/>
        <v>OLD</v>
      </c>
      <c r="C6713" s="33" t="str">
        <f t="shared" si="418"/>
        <v>51011-0043</v>
      </c>
      <c r="D6713" s="64" t="s">
        <v>7921</v>
      </c>
      <c r="E6713" s="64" t="s">
        <v>7920</v>
      </c>
      <c r="F6713" s="64" t="s">
        <v>230</v>
      </c>
      <c r="G6713" s="64" t="s">
        <v>3740</v>
      </c>
      <c r="H6713" s="64" t="s">
        <v>1875</v>
      </c>
      <c r="I6713" s="64" t="s">
        <v>3750</v>
      </c>
      <c r="J6713" s="67">
        <v>0</v>
      </c>
      <c r="K6713" s="62">
        <v>9157.99</v>
      </c>
      <c r="L6713" s="33" t="e">
        <f>HLOOKUP(B6713,#REF!,1,0)</f>
        <v>#REF!</v>
      </c>
      <c r="M6713" s="33" t="str">
        <f t="shared" si="419"/>
        <v>P&amp;L</v>
      </c>
    </row>
    <row r="6714" spans="1:13" s="33" customFormat="true" ht="12.75" customHeight="true">
      <c r="A6714" s="33" t="str">
        <f t="shared" si="416"/>
        <v>OLD - CGS</v>
      </c>
      <c r="B6714" s="33" t="str">
        <f t="shared" si="417"/>
        <v>OLD</v>
      </c>
      <c r="C6714" s="33" t="str">
        <f t="shared" si="418"/>
        <v>51011-0044</v>
      </c>
      <c r="D6714" s="64" t="s">
        <v>7922</v>
      </c>
      <c r="E6714" s="64" t="s">
        <v>7920</v>
      </c>
      <c r="F6714" s="64" t="s">
        <v>230</v>
      </c>
      <c r="G6714" s="64" t="s">
        <v>3740</v>
      </c>
      <c r="H6714" s="64" t="s">
        <v>1875</v>
      </c>
      <c r="I6714" s="64" t="s">
        <v>3750</v>
      </c>
      <c r="J6714" s="67">
        <v>0</v>
      </c>
      <c r="K6714" s="62">
        <v>2695</v>
      </c>
      <c r="L6714" s="33" t="e">
        <f>HLOOKUP(B6714,#REF!,1,0)</f>
        <v>#REF!</v>
      </c>
      <c r="M6714" s="33" t="str">
        <f t="shared" si="419"/>
        <v>P&amp;L</v>
      </c>
    </row>
    <row r="6715" spans="1:13" s="33" customFormat="true" ht="12.75" customHeight="true">
      <c r="A6715" s="33" t="str">
        <f t="shared" si="416"/>
        <v>OLD - CGS</v>
      </c>
      <c r="B6715" s="33" t="str">
        <f t="shared" si="417"/>
        <v>OLD</v>
      </c>
      <c r="C6715" s="33" t="str">
        <f t="shared" si="418"/>
        <v>51011-0045</v>
      </c>
      <c r="D6715" s="64" t="s">
        <v>7923</v>
      </c>
      <c r="E6715" s="64" t="s">
        <v>7920</v>
      </c>
      <c r="F6715" s="64" t="s">
        <v>230</v>
      </c>
      <c r="G6715" s="64" t="s">
        <v>3740</v>
      </c>
      <c r="H6715" s="64" t="s">
        <v>1875</v>
      </c>
      <c r="I6715" s="64" t="s">
        <v>3750</v>
      </c>
      <c r="J6715" s="67">
        <v>0</v>
      </c>
      <c r="K6715" s="62">
        <v>1757.33</v>
      </c>
      <c r="L6715" s="33" t="e">
        <f>HLOOKUP(B6715,#REF!,1,0)</f>
        <v>#REF!</v>
      </c>
      <c r="M6715" s="33" t="str">
        <f t="shared" si="419"/>
        <v>P&amp;L</v>
      </c>
    </row>
    <row r="6716" spans="1:13" s="33" customFormat="true" ht="12.75" customHeight="true">
      <c r="A6716" s="33" t="str">
        <f t="shared" si="416"/>
        <v>OLD - CGS</v>
      </c>
      <c r="B6716" s="33" t="str">
        <f t="shared" si="417"/>
        <v>OLD</v>
      </c>
      <c r="C6716" s="33" t="str">
        <f t="shared" si="418"/>
        <v>51011-0046</v>
      </c>
      <c r="D6716" s="64" t="s">
        <v>7924</v>
      </c>
      <c r="E6716" s="64" t="s">
        <v>7920</v>
      </c>
      <c r="F6716" s="64" t="s">
        <v>230</v>
      </c>
      <c r="G6716" s="64" t="s">
        <v>3740</v>
      </c>
      <c r="H6716" s="64" t="s">
        <v>1875</v>
      </c>
      <c r="I6716" s="64" t="s">
        <v>3750</v>
      </c>
      <c r="J6716" s="67">
        <v>0</v>
      </c>
      <c r="K6716" s="62">
        <v>12610</v>
      </c>
      <c r="L6716" s="33" t="e">
        <f>HLOOKUP(B6716,#REF!,1,0)</f>
        <v>#REF!</v>
      </c>
      <c r="M6716" s="33" t="str">
        <f t="shared" si="419"/>
        <v>P&amp;L</v>
      </c>
    </row>
    <row r="6717" spans="1:13" s="33" customFormat="true" ht="12.75" customHeight="true">
      <c r="A6717" s="33" t="str">
        <f t="shared" si="416"/>
        <v>OLD - CGS</v>
      </c>
      <c r="B6717" s="33" t="str">
        <f t="shared" si="417"/>
        <v>OLD</v>
      </c>
      <c r="C6717" s="33" t="str">
        <f t="shared" si="418"/>
        <v>51011-0048</v>
      </c>
      <c r="D6717" s="64" t="s">
        <v>7925</v>
      </c>
      <c r="E6717" s="64" t="s">
        <v>7920</v>
      </c>
      <c r="F6717" s="64" t="s">
        <v>230</v>
      </c>
      <c r="G6717" s="64" t="s">
        <v>3740</v>
      </c>
      <c r="H6717" s="64" t="s">
        <v>1875</v>
      </c>
      <c r="I6717" s="64" t="s">
        <v>3750</v>
      </c>
      <c r="J6717" s="67">
        <v>0</v>
      </c>
      <c r="K6717" s="62">
        <v>811.88</v>
      </c>
      <c r="L6717" s="33" t="e">
        <f>HLOOKUP(B6717,#REF!,1,0)</f>
        <v>#REF!</v>
      </c>
      <c r="M6717" s="33" t="str">
        <f t="shared" si="419"/>
        <v>P&amp;L</v>
      </c>
    </row>
    <row r="6718" spans="1:13" s="33" customFormat="true" ht="12.75" customHeight="true">
      <c r="A6718" s="33" t="str">
        <f t="shared" si="416"/>
        <v>OLD - CGS</v>
      </c>
      <c r="B6718" s="33" t="str">
        <f t="shared" si="417"/>
        <v>OLD</v>
      </c>
      <c r="C6718" s="33" t="str">
        <f t="shared" si="418"/>
        <v>51011-0049</v>
      </c>
      <c r="D6718" s="64" t="s">
        <v>7926</v>
      </c>
      <c r="E6718" s="64" t="s">
        <v>7920</v>
      </c>
      <c r="F6718" s="64" t="s">
        <v>230</v>
      </c>
      <c r="G6718" s="64" t="s">
        <v>3740</v>
      </c>
      <c r="H6718" s="64" t="s">
        <v>1875</v>
      </c>
      <c r="I6718" s="64" t="s">
        <v>3750</v>
      </c>
      <c r="J6718" s="67">
        <v>0</v>
      </c>
      <c r="K6718" s="62">
        <v>12275.91</v>
      </c>
      <c r="L6718" s="33" t="e">
        <f>HLOOKUP(B6718,#REF!,1,0)</f>
        <v>#REF!</v>
      </c>
      <c r="M6718" s="33" t="str">
        <f t="shared" si="419"/>
        <v>P&amp;L</v>
      </c>
    </row>
    <row r="6719" spans="1:13" s="33" customFormat="true" ht="12.75" customHeight="true">
      <c r="A6719" s="33" t="str">
        <f t="shared" si="416"/>
        <v>OLD - CGS</v>
      </c>
      <c r="B6719" s="33" t="str">
        <f t="shared" si="417"/>
        <v>OLD</v>
      </c>
      <c r="C6719" s="33" t="str">
        <f t="shared" si="418"/>
        <v>51011-0050</v>
      </c>
      <c r="D6719" s="64" t="s">
        <v>7927</v>
      </c>
      <c r="E6719" s="64" t="s">
        <v>7920</v>
      </c>
      <c r="F6719" s="64" t="s">
        <v>230</v>
      </c>
      <c r="G6719" s="64" t="s">
        <v>3740</v>
      </c>
      <c r="H6719" s="64" t="s">
        <v>1875</v>
      </c>
      <c r="I6719" s="64" t="s">
        <v>3750</v>
      </c>
      <c r="J6719" s="67">
        <v>0</v>
      </c>
      <c r="K6719" s="62">
        <v>26768.71</v>
      </c>
      <c r="L6719" s="33" t="e">
        <f>HLOOKUP(B6719,#REF!,1,0)</f>
        <v>#REF!</v>
      </c>
      <c r="M6719" s="33" t="str">
        <f t="shared" si="419"/>
        <v>P&amp;L</v>
      </c>
    </row>
    <row r="6720" spans="1:13" s="33" customFormat="true" ht="12.75" customHeight="true">
      <c r="A6720" s="33" t="str">
        <f t="shared" si="416"/>
        <v>OLD - CGS</v>
      </c>
      <c r="B6720" s="33" t="str">
        <f t="shared" si="417"/>
        <v>OLD</v>
      </c>
      <c r="C6720" s="33" t="str">
        <f t="shared" si="418"/>
        <v>51012-0040</v>
      </c>
      <c r="D6720" s="64" t="s">
        <v>7928</v>
      </c>
      <c r="E6720" s="64" t="s">
        <v>7929</v>
      </c>
      <c r="F6720" s="64" t="s">
        <v>230</v>
      </c>
      <c r="G6720" s="64" t="s">
        <v>3740</v>
      </c>
      <c r="H6720" s="64" t="s">
        <v>1875</v>
      </c>
      <c r="I6720" s="64" t="s">
        <v>3753</v>
      </c>
      <c r="J6720" s="67">
        <v>0</v>
      </c>
      <c r="K6720" s="62">
        <v>300</v>
      </c>
      <c r="L6720" s="33" t="e">
        <f>HLOOKUP(B6720,#REF!,1,0)</f>
        <v>#REF!</v>
      </c>
      <c r="M6720" s="33" t="str">
        <f t="shared" si="419"/>
        <v>P&amp;L</v>
      </c>
    </row>
    <row r="6721" spans="1:13" s="33" customFormat="true" ht="12.75" customHeight="true">
      <c r="A6721" s="33" t="str">
        <f t="shared" si="416"/>
        <v>OLD - CGS</v>
      </c>
      <c r="B6721" s="33" t="str">
        <f t="shared" si="417"/>
        <v>OLD</v>
      </c>
      <c r="C6721" s="33" t="str">
        <f t="shared" si="418"/>
        <v>51012-0041</v>
      </c>
      <c r="D6721" s="64" t="s">
        <v>7930</v>
      </c>
      <c r="E6721" s="64" t="s">
        <v>7929</v>
      </c>
      <c r="F6721" s="64" t="s">
        <v>230</v>
      </c>
      <c r="G6721" s="64" t="s">
        <v>3740</v>
      </c>
      <c r="H6721" s="64" t="s">
        <v>1875</v>
      </c>
      <c r="I6721" s="64" t="s">
        <v>3753</v>
      </c>
      <c r="J6721" s="67">
        <v>0</v>
      </c>
      <c r="K6721" s="62">
        <v>1150</v>
      </c>
      <c r="L6721" s="33" t="e">
        <f>HLOOKUP(B6721,#REF!,1,0)</f>
        <v>#REF!</v>
      </c>
      <c r="M6721" s="33" t="str">
        <f t="shared" si="419"/>
        <v>P&amp;L</v>
      </c>
    </row>
    <row r="6722" spans="1:13" s="33" customFormat="true" ht="12.75" customHeight="true">
      <c r="A6722" s="33" t="str">
        <f t="shared" ref="A6722:A6785" si="420">B6722&amp;" - "&amp;TRIM(H6722)</f>
        <v>OLD - CGS</v>
      </c>
      <c r="B6722" s="33" t="str">
        <f t="shared" ref="B6722:B6785" si="421">LEFT(D6722,3)</f>
        <v>OLD</v>
      </c>
      <c r="C6722" s="33" t="str">
        <f t="shared" ref="C6722:C6785" si="422">RIGHT(D6722,10)</f>
        <v>51012-0042</v>
      </c>
      <c r="D6722" s="64" t="s">
        <v>7931</v>
      </c>
      <c r="E6722" s="64" t="s">
        <v>7929</v>
      </c>
      <c r="F6722" s="64" t="s">
        <v>230</v>
      </c>
      <c r="G6722" s="64" t="s">
        <v>3740</v>
      </c>
      <c r="H6722" s="64" t="s">
        <v>1875</v>
      </c>
      <c r="I6722" s="64" t="s">
        <v>3753</v>
      </c>
      <c r="J6722" s="67">
        <v>0</v>
      </c>
      <c r="K6722" s="62">
        <v>1146.25</v>
      </c>
      <c r="L6722" s="33" t="e">
        <f>HLOOKUP(B6722,#REF!,1,0)</f>
        <v>#REF!</v>
      </c>
      <c r="M6722" s="33" t="str">
        <f t="shared" ref="M6722:M6785" si="423">IF(VALUE(LEFT(C6722,5))&gt;40000,"P&amp;L","BS")</f>
        <v>P&amp;L</v>
      </c>
    </row>
    <row r="6723" spans="1:13" s="33" customFormat="true" ht="12.75" customHeight="true">
      <c r="A6723" s="33" t="str">
        <f t="shared" si="420"/>
        <v>OLD - CGS</v>
      </c>
      <c r="B6723" s="33" t="str">
        <f t="shared" si="421"/>
        <v>OLD</v>
      </c>
      <c r="C6723" s="33" t="str">
        <f t="shared" si="422"/>
        <v>51012-0043</v>
      </c>
      <c r="D6723" s="64" t="s">
        <v>7932</v>
      </c>
      <c r="E6723" s="64" t="s">
        <v>7929</v>
      </c>
      <c r="F6723" s="64" t="s">
        <v>230</v>
      </c>
      <c r="G6723" s="64" t="s">
        <v>3740</v>
      </c>
      <c r="H6723" s="64" t="s">
        <v>1875</v>
      </c>
      <c r="I6723" s="64" t="s">
        <v>3753</v>
      </c>
      <c r="J6723" s="67">
        <v>0</v>
      </c>
      <c r="K6723" s="62">
        <v>4223.37</v>
      </c>
      <c r="L6723" s="33" t="e">
        <f>HLOOKUP(B6723,#REF!,1,0)</f>
        <v>#REF!</v>
      </c>
      <c r="M6723" s="33" t="str">
        <f t="shared" si="423"/>
        <v>P&amp;L</v>
      </c>
    </row>
    <row r="6724" spans="1:13" s="33" customFormat="true" ht="12.75" customHeight="true">
      <c r="A6724" s="33" t="str">
        <f t="shared" si="420"/>
        <v>OLD - CGS</v>
      </c>
      <c r="B6724" s="33" t="str">
        <f t="shared" si="421"/>
        <v>OLD</v>
      </c>
      <c r="C6724" s="33" t="str">
        <f t="shared" si="422"/>
        <v>51012-0044</v>
      </c>
      <c r="D6724" s="64" t="s">
        <v>7933</v>
      </c>
      <c r="E6724" s="64" t="s">
        <v>7929</v>
      </c>
      <c r="F6724" s="64" t="s">
        <v>230</v>
      </c>
      <c r="G6724" s="64" t="s">
        <v>3740</v>
      </c>
      <c r="H6724" s="64" t="s">
        <v>1875</v>
      </c>
      <c r="I6724" s="64" t="s">
        <v>3753</v>
      </c>
      <c r="J6724" s="67">
        <v>0</v>
      </c>
      <c r="K6724" s="62">
        <v>328</v>
      </c>
      <c r="L6724" s="33" t="e">
        <f>HLOOKUP(B6724,#REF!,1,0)</f>
        <v>#REF!</v>
      </c>
      <c r="M6724" s="33" t="str">
        <f t="shared" si="423"/>
        <v>P&amp;L</v>
      </c>
    </row>
    <row r="6725" spans="1:13" s="33" customFormat="true" ht="12.75" customHeight="true">
      <c r="A6725" s="33" t="str">
        <f t="shared" si="420"/>
        <v>OLD - CGS</v>
      </c>
      <c r="B6725" s="33" t="str">
        <f t="shared" si="421"/>
        <v>OLD</v>
      </c>
      <c r="C6725" s="33" t="str">
        <f t="shared" si="422"/>
        <v>51012-0045</v>
      </c>
      <c r="D6725" s="64" t="s">
        <v>7934</v>
      </c>
      <c r="E6725" s="64" t="s">
        <v>7929</v>
      </c>
      <c r="F6725" s="64" t="s">
        <v>230</v>
      </c>
      <c r="G6725" s="64" t="s">
        <v>3740</v>
      </c>
      <c r="H6725" s="64" t="s">
        <v>1875</v>
      </c>
      <c r="I6725" s="64" t="s">
        <v>3753</v>
      </c>
      <c r="J6725" s="67">
        <v>0</v>
      </c>
      <c r="K6725" s="62">
        <v>0</v>
      </c>
      <c r="L6725" s="33" t="e">
        <f>HLOOKUP(B6725,#REF!,1,0)</f>
        <v>#REF!</v>
      </c>
      <c r="M6725" s="33" t="str">
        <f t="shared" si="423"/>
        <v>P&amp;L</v>
      </c>
    </row>
    <row r="6726" spans="1:13" s="33" customFormat="true" ht="12.75" customHeight="true">
      <c r="A6726" s="33" t="str">
        <f t="shared" si="420"/>
        <v>OLD - CGS</v>
      </c>
      <c r="B6726" s="33" t="str">
        <f t="shared" si="421"/>
        <v>OLD</v>
      </c>
      <c r="C6726" s="33" t="str">
        <f t="shared" si="422"/>
        <v>51012-0046</v>
      </c>
      <c r="D6726" s="64" t="s">
        <v>7935</v>
      </c>
      <c r="E6726" s="64" t="s">
        <v>7929</v>
      </c>
      <c r="F6726" s="64" t="s">
        <v>230</v>
      </c>
      <c r="G6726" s="64" t="s">
        <v>3740</v>
      </c>
      <c r="H6726" s="64" t="s">
        <v>1875</v>
      </c>
      <c r="I6726" s="64" t="s">
        <v>3753</v>
      </c>
      <c r="J6726" s="67">
        <v>0</v>
      </c>
      <c r="K6726" s="62">
        <v>0</v>
      </c>
      <c r="L6726" s="33" t="e">
        <f>HLOOKUP(B6726,#REF!,1,0)</f>
        <v>#REF!</v>
      </c>
      <c r="M6726" s="33" t="str">
        <f t="shared" si="423"/>
        <v>P&amp;L</v>
      </c>
    </row>
    <row r="6727" spans="1:13" s="33" customFormat="true" ht="12.75" customHeight="true">
      <c r="A6727" s="33" t="str">
        <f t="shared" si="420"/>
        <v>OLD - CGS</v>
      </c>
      <c r="B6727" s="33" t="str">
        <f t="shared" si="421"/>
        <v>OLD</v>
      </c>
      <c r="C6727" s="33" t="str">
        <f t="shared" si="422"/>
        <v>51012-0048</v>
      </c>
      <c r="D6727" s="64" t="s">
        <v>7936</v>
      </c>
      <c r="E6727" s="64" t="s">
        <v>7929</v>
      </c>
      <c r="F6727" s="64" t="s">
        <v>230</v>
      </c>
      <c r="G6727" s="64" t="s">
        <v>3740</v>
      </c>
      <c r="H6727" s="64" t="s">
        <v>1875</v>
      </c>
      <c r="I6727" s="64" t="s">
        <v>3753</v>
      </c>
      <c r="J6727" s="67">
        <v>0</v>
      </c>
      <c r="K6727" s="62">
        <v>140.73</v>
      </c>
      <c r="L6727" s="33" t="e">
        <f>HLOOKUP(B6727,#REF!,1,0)</f>
        <v>#REF!</v>
      </c>
      <c r="M6727" s="33" t="str">
        <f t="shared" si="423"/>
        <v>P&amp;L</v>
      </c>
    </row>
    <row r="6728" spans="1:13" s="33" customFormat="true" ht="12.75" customHeight="true">
      <c r="A6728" s="33" t="str">
        <f t="shared" si="420"/>
        <v>OLD - CGS</v>
      </c>
      <c r="B6728" s="33" t="str">
        <f t="shared" si="421"/>
        <v>OLD</v>
      </c>
      <c r="C6728" s="33" t="str">
        <f t="shared" si="422"/>
        <v>51012-0049</v>
      </c>
      <c r="D6728" s="64" t="s">
        <v>7937</v>
      </c>
      <c r="E6728" s="64" t="s">
        <v>7929</v>
      </c>
      <c r="F6728" s="64" t="s">
        <v>230</v>
      </c>
      <c r="G6728" s="64" t="s">
        <v>3740</v>
      </c>
      <c r="H6728" s="64" t="s">
        <v>1875</v>
      </c>
      <c r="I6728" s="64" t="s">
        <v>3753</v>
      </c>
      <c r="J6728" s="67">
        <v>0</v>
      </c>
      <c r="K6728" s="62">
        <v>5461.65</v>
      </c>
      <c r="L6728" s="33" t="e">
        <f>HLOOKUP(B6728,#REF!,1,0)</f>
        <v>#REF!</v>
      </c>
      <c r="M6728" s="33" t="str">
        <f t="shared" si="423"/>
        <v>P&amp;L</v>
      </c>
    </row>
    <row r="6729" spans="1:13" s="33" customFormat="true" ht="12.75" customHeight="true">
      <c r="A6729" s="33" t="str">
        <f t="shared" si="420"/>
        <v>OLD - CGS</v>
      </c>
      <c r="B6729" s="33" t="str">
        <f t="shared" si="421"/>
        <v>OLD</v>
      </c>
      <c r="C6729" s="33" t="str">
        <f t="shared" si="422"/>
        <v>51013-0041</v>
      </c>
      <c r="D6729" s="64" t="s">
        <v>7938</v>
      </c>
      <c r="E6729" s="64" t="s">
        <v>7939</v>
      </c>
      <c r="F6729" s="64" t="s">
        <v>230</v>
      </c>
      <c r="G6729" s="64" t="s">
        <v>3740</v>
      </c>
      <c r="H6729" s="64" t="s">
        <v>1875</v>
      </c>
      <c r="I6729" s="64" t="s">
        <v>3980</v>
      </c>
      <c r="J6729" s="67">
        <v>0</v>
      </c>
      <c r="K6729" s="62">
        <v>944.66</v>
      </c>
      <c r="L6729" s="33" t="e">
        <f>HLOOKUP(B6729,#REF!,1,0)</f>
        <v>#REF!</v>
      </c>
      <c r="M6729" s="33" t="str">
        <f t="shared" si="423"/>
        <v>P&amp;L</v>
      </c>
    </row>
    <row r="6730" spans="1:13" s="33" customFormat="true" ht="12.75" customHeight="true">
      <c r="A6730" s="33" t="str">
        <f t="shared" si="420"/>
        <v>OLD - CGS</v>
      </c>
      <c r="B6730" s="33" t="str">
        <f t="shared" si="421"/>
        <v>OLD</v>
      </c>
      <c r="C6730" s="33" t="str">
        <f t="shared" si="422"/>
        <v>51013-0042</v>
      </c>
      <c r="D6730" s="64" t="s">
        <v>7940</v>
      </c>
      <c r="E6730" s="64" t="s">
        <v>7939</v>
      </c>
      <c r="F6730" s="64" t="s">
        <v>230</v>
      </c>
      <c r="G6730" s="64" t="s">
        <v>3740</v>
      </c>
      <c r="H6730" s="64" t="s">
        <v>1875</v>
      </c>
      <c r="I6730" s="64" t="s">
        <v>3980</v>
      </c>
      <c r="J6730" s="67">
        <v>0</v>
      </c>
      <c r="K6730" s="62">
        <v>1223.72</v>
      </c>
      <c r="L6730" s="33" t="e">
        <f>HLOOKUP(B6730,#REF!,1,0)</f>
        <v>#REF!</v>
      </c>
      <c r="M6730" s="33" t="str">
        <f t="shared" si="423"/>
        <v>P&amp;L</v>
      </c>
    </row>
    <row r="6731" spans="1:13" s="33" customFormat="true" ht="12.75" customHeight="true">
      <c r="A6731" s="33" t="str">
        <f t="shared" si="420"/>
        <v>OLD - CGS</v>
      </c>
      <c r="B6731" s="33" t="str">
        <f t="shared" si="421"/>
        <v>OLD</v>
      </c>
      <c r="C6731" s="33" t="str">
        <f t="shared" si="422"/>
        <v>51013-0043</v>
      </c>
      <c r="D6731" s="64" t="s">
        <v>7941</v>
      </c>
      <c r="E6731" s="64" t="s">
        <v>7939</v>
      </c>
      <c r="F6731" s="64" t="s">
        <v>230</v>
      </c>
      <c r="G6731" s="64" t="s">
        <v>3740</v>
      </c>
      <c r="H6731" s="64" t="s">
        <v>1875</v>
      </c>
      <c r="I6731" s="64" t="s">
        <v>3980</v>
      </c>
      <c r="J6731" s="67">
        <v>0</v>
      </c>
      <c r="K6731" s="62">
        <v>0</v>
      </c>
      <c r="L6731" s="33" t="e">
        <f>HLOOKUP(B6731,#REF!,1,0)</f>
        <v>#REF!</v>
      </c>
      <c r="M6731" s="33" t="str">
        <f t="shared" si="423"/>
        <v>P&amp;L</v>
      </c>
    </row>
    <row r="6732" spans="1:13" s="33" customFormat="true" ht="12.75" customHeight="true">
      <c r="A6732" s="33" t="str">
        <f t="shared" si="420"/>
        <v>OLD - CGS</v>
      </c>
      <c r="B6732" s="33" t="str">
        <f t="shared" si="421"/>
        <v>OLD</v>
      </c>
      <c r="C6732" s="33" t="str">
        <f t="shared" si="422"/>
        <v>51013-0044</v>
      </c>
      <c r="D6732" s="64" t="s">
        <v>7942</v>
      </c>
      <c r="E6732" s="64" t="s">
        <v>7939</v>
      </c>
      <c r="F6732" s="64" t="s">
        <v>230</v>
      </c>
      <c r="G6732" s="64" t="s">
        <v>3740</v>
      </c>
      <c r="H6732" s="64" t="s">
        <v>1875</v>
      </c>
      <c r="I6732" s="64" t="s">
        <v>3980</v>
      </c>
      <c r="J6732" s="67">
        <v>0</v>
      </c>
      <c r="K6732" s="62">
        <v>0</v>
      </c>
      <c r="L6732" s="33" t="e">
        <f>HLOOKUP(B6732,#REF!,1,0)</f>
        <v>#REF!</v>
      </c>
      <c r="M6732" s="33" t="str">
        <f t="shared" si="423"/>
        <v>P&amp;L</v>
      </c>
    </row>
    <row r="6733" spans="1:13" s="33" customFormat="true" ht="12.75" customHeight="true">
      <c r="A6733" s="33" t="str">
        <f t="shared" si="420"/>
        <v>OLD - CGS</v>
      </c>
      <c r="B6733" s="33" t="str">
        <f t="shared" si="421"/>
        <v>OLD</v>
      </c>
      <c r="C6733" s="33" t="str">
        <f t="shared" si="422"/>
        <v>51013-0045</v>
      </c>
      <c r="D6733" s="64" t="s">
        <v>7943</v>
      </c>
      <c r="E6733" s="64" t="s">
        <v>7939</v>
      </c>
      <c r="F6733" s="64" t="s">
        <v>230</v>
      </c>
      <c r="G6733" s="64" t="s">
        <v>3740</v>
      </c>
      <c r="H6733" s="64" t="s">
        <v>1875</v>
      </c>
      <c r="I6733" s="64" t="s">
        <v>3980</v>
      </c>
      <c r="J6733" s="67">
        <v>0</v>
      </c>
      <c r="K6733" s="62">
        <v>0</v>
      </c>
      <c r="L6733" s="33" t="e">
        <f>HLOOKUP(B6733,#REF!,1,0)</f>
        <v>#REF!</v>
      </c>
      <c r="M6733" s="33" t="str">
        <f t="shared" si="423"/>
        <v>P&amp;L</v>
      </c>
    </row>
    <row r="6734" spans="1:13" s="33" customFormat="true" ht="12.75" customHeight="true">
      <c r="A6734" s="33" t="str">
        <f t="shared" si="420"/>
        <v>OLD - CGS</v>
      </c>
      <c r="B6734" s="33" t="str">
        <f t="shared" si="421"/>
        <v>OLD</v>
      </c>
      <c r="C6734" s="33" t="str">
        <f t="shared" si="422"/>
        <v>51013-0046</v>
      </c>
      <c r="D6734" s="64" t="s">
        <v>7944</v>
      </c>
      <c r="E6734" s="64" t="s">
        <v>7939</v>
      </c>
      <c r="F6734" s="64" t="s">
        <v>230</v>
      </c>
      <c r="G6734" s="64" t="s">
        <v>3740</v>
      </c>
      <c r="H6734" s="64" t="s">
        <v>1875</v>
      </c>
      <c r="I6734" s="64" t="s">
        <v>3980</v>
      </c>
      <c r="J6734" s="67">
        <v>0</v>
      </c>
      <c r="K6734" s="62">
        <v>669.06</v>
      </c>
      <c r="L6734" s="33" t="e">
        <f>HLOOKUP(B6734,#REF!,1,0)</f>
        <v>#REF!</v>
      </c>
      <c r="M6734" s="33" t="str">
        <f t="shared" si="423"/>
        <v>P&amp;L</v>
      </c>
    </row>
    <row r="6735" spans="1:13" s="33" customFormat="true" ht="12.75" customHeight="true">
      <c r="A6735" s="33" t="str">
        <f t="shared" si="420"/>
        <v>OLD - CGS</v>
      </c>
      <c r="B6735" s="33" t="str">
        <f t="shared" si="421"/>
        <v>OLD</v>
      </c>
      <c r="C6735" s="33" t="str">
        <f t="shared" si="422"/>
        <v>51013-0048</v>
      </c>
      <c r="D6735" s="64" t="s">
        <v>7945</v>
      </c>
      <c r="E6735" s="64" t="s">
        <v>7939</v>
      </c>
      <c r="F6735" s="64" t="s">
        <v>230</v>
      </c>
      <c r="G6735" s="64" t="s">
        <v>3740</v>
      </c>
      <c r="H6735" s="64" t="s">
        <v>1875</v>
      </c>
      <c r="I6735" s="64" t="s">
        <v>3980</v>
      </c>
      <c r="J6735" s="67">
        <v>0</v>
      </c>
      <c r="K6735" s="62">
        <v>86.65</v>
      </c>
      <c r="L6735" s="33" t="e">
        <f>HLOOKUP(B6735,#REF!,1,0)</f>
        <v>#REF!</v>
      </c>
      <c r="M6735" s="33" t="str">
        <f t="shared" si="423"/>
        <v>P&amp;L</v>
      </c>
    </row>
    <row r="6736" spans="1:13" s="33" customFormat="true" ht="12.75" customHeight="true">
      <c r="A6736" s="33" t="str">
        <f t="shared" si="420"/>
        <v>OLD - CGS</v>
      </c>
      <c r="B6736" s="33" t="str">
        <f t="shared" si="421"/>
        <v>OLD</v>
      </c>
      <c r="C6736" s="33" t="str">
        <f t="shared" si="422"/>
        <v>51013-0049</v>
      </c>
      <c r="D6736" s="64" t="s">
        <v>7946</v>
      </c>
      <c r="E6736" s="64" t="s">
        <v>7939</v>
      </c>
      <c r="F6736" s="64" t="s">
        <v>230</v>
      </c>
      <c r="G6736" s="64" t="s">
        <v>3740</v>
      </c>
      <c r="H6736" s="64" t="s">
        <v>1875</v>
      </c>
      <c r="I6736" s="64" t="s">
        <v>3980</v>
      </c>
      <c r="J6736" s="67">
        <v>0</v>
      </c>
      <c r="K6736" s="62">
        <v>13964.19</v>
      </c>
      <c r="L6736" s="33" t="e">
        <f>HLOOKUP(B6736,#REF!,1,0)</f>
        <v>#REF!</v>
      </c>
      <c r="M6736" s="33" t="str">
        <f t="shared" si="423"/>
        <v>P&amp;L</v>
      </c>
    </row>
    <row r="6737" spans="1:13" s="33" customFormat="true" ht="12.75" customHeight="true">
      <c r="A6737" s="33" t="str">
        <f t="shared" si="420"/>
        <v>OLD - CGS</v>
      </c>
      <c r="B6737" s="33" t="str">
        <f t="shared" si="421"/>
        <v>OLD</v>
      </c>
      <c r="C6737" s="33" t="str">
        <f t="shared" si="422"/>
        <v>51013-0050</v>
      </c>
      <c r="D6737" s="64" t="s">
        <v>7947</v>
      </c>
      <c r="E6737" s="64" t="s">
        <v>7939</v>
      </c>
      <c r="F6737" s="64" t="s">
        <v>230</v>
      </c>
      <c r="G6737" s="64" t="s">
        <v>3740</v>
      </c>
      <c r="H6737" s="64" t="s">
        <v>1875</v>
      </c>
      <c r="I6737" s="64" t="s">
        <v>3980</v>
      </c>
      <c r="J6737" s="67">
        <v>0</v>
      </c>
      <c r="K6737" s="62">
        <v>2153.39</v>
      </c>
      <c r="L6737" s="33" t="e">
        <f>HLOOKUP(B6737,#REF!,1,0)</f>
        <v>#REF!</v>
      </c>
      <c r="M6737" s="33" t="str">
        <f t="shared" si="423"/>
        <v>P&amp;L</v>
      </c>
    </row>
    <row r="6738" spans="1:13" s="33" customFormat="true" ht="12.75" customHeight="true">
      <c r="A6738" s="33" t="str">
        <f t="shared" si="420"/>
        <v>OLD - CGS</v>
      </c>
      <c r="B6738" s="33" t="str">
        <f t="shared" si="421"/>
        <v>OLD</v>
      </c>
      <c r="C6738" s="33" t="str">
        <f t="shared" si="422"/>
        <v>51017-0040</v>
      </c>
      <c r="D6738" s="64" t="s">
        <v>7948</v>
      </c>
      <c r="E6738" s="64" t="s">
        <v>7949</v>
      </c>
      <c r="F6738" s="64" t="s">
        <v>230</v>
      </c>
      <c r="G6738" s="64" t="s">
        <v>3160</v>
      </c>
      <c r="H6738" s="64" t="s">
        <v>1875</v>
      </c>
      <c r="I6738" s="64" t="s">
        <v>3759</v>
      </c>
      <c r="J6738" s="67">
        <v>0</v>
      </c>
      <c r="K6738" s="62">
        <v>175</v>
      </c>
      <c r="L6738" s="33" t="e">
        <f>HLOOKUP(B6738,#REF!,1,0)</f>
        <v>#REF!</v>
      </c>
      <c r="M6738" s="33" t="str">
        <f t="shared" si="423"/>
        <v>P&amp;L</v>
      </c>
    </row>
    <row r="6739" spans="1:13" s="33" customFormat="true" ht="12.75" customHeight="true">
      <c r="A6739" s="33" t="str">
        <f t="shared" si="420"/>
        <v>OLD - CGS</v>
      </c>
      <c r="B6739" s="33" t="str">
        <f t="shared" si="421"/>
        <v>OLD</v>
      </c>
      <c r="C6739" s="33" t="str">
        <f t="shared" si="422"/>
        <v>51017-0041</v>
      </c>
      <c r="D6739" s="64" t="s">
        <v>7950</v>
      </c>
      <c r="E6739" s="64" t="s">
        <v>7949</v>
      </c>
      <c r="F6739" s="64" t="s">
        <v>230</v>
      </c>
      <c r="G6739" s="64" t="s">
        <v>3160</v>
      </c>
      <c r="H6739" s="64" t="s">
        <v>1875</v>
      </c>
      <c r="I6739" s="64" t="s">
        <v>3759</v>
      </c>
      <c r="J6739" s="67">
        <v>0</v>
      </c>
      <c r="K6739" s="62">
        <v>398.85</v>
      </c>
      <c r="L6739" s="33" t="e">
        <f>HLOOKUP(B6739,#REF!,1,0)</f>
        <v>#REF!</v>
      </c>
      <c r="M6739" s="33" t="str">
        <f t="shared" si="423"/>
        <v>P&amp;L</v>
      </c>
    </row>
    <row r="6740" spans="1:13" s="33" customFormat="true" ht="12.75" customHeight="true">
      <c r="A6740" s="33" t="str">
        <f t="shared" si="420"/>
        <v>OLD - CGS</v>
      </c>
      <c r="B6740" s="33" t="str">
        <f t="shared" si="421"/>
        <v>OLD</v>
      </c>
      <c r="C6740" s="33" t="str">
        <f t="shared" si="422"/>
        <v>51017-0042</v>
      </c>
      <c r="D6740" s="64" t="s">
        <v>7951</v>
      </c>
      <c r="E6740" s="64" t="s">
        <v>7949</v>
      </c>
      <c r="F6740" s="64" t="s">
        <v>230</v>
      </c>
      <c r="G6740" s="64" t="s">
        <v>3160</v>
      </c>
      <c r="H6740" s="64" t="s">
        <v>1875</v>
      </c>
      <c r="I6740" s="64" t="s">
        <v>3759</v>
      </c>
      <c r="J6740" s="67">
        <v>0</v>
      </c>
      <c r="K6740" s="62">
        <v>491.19</v>
      </c>
      <c r="L6740" s="33" t="e">
        <f>HLOOKUP(B6740,#REF!,1,0)</f>
        <v>#REF!</v>
      </c>
      <c r="M6740" s="33" t="str">
        <f t="shared" si="423"/>
        <v>P&amp;L</v>
      </c>
    </row>
    <row r="6741" spans="1:13" s="33" customFormat="true" ht="12.75" customHeight="true">
      <c r="A6741" s="33" t="str">
        <f t="shared" si="420"/>
        <v>OLD - CGS</v>
      </c>
      <c r="B6741" s="33" t="str">
        <f t="shared" si="421"/>
        <v>OLD</v>
      </c>
      <c r="C6741" s="33" t="str">
        <f t="shared" si="422"/>
        <v>51017-0043</v>
      </c>
      <c r="D6741" s="64" t="s">
        <v>7952</v>
      </c>
      <c r="E6741" s="64" t="s">
        <v>7949</v>
      </c>
      <c r="F6741" s="64" t="s">
        <v>230</v>
      </c>
      <c r="G6741" s="64" t="s">
        <v>3160</v>
      </c>
      <c r="H6741" s="64" t="s">
        <v>1875</v>
      </c>
      <c r="I6741" s="64" t="s">
        <v>3759</v>
      </c>
      <c r="J6741" s="67">
        <v>0</v>
      </c>
      <c r="K6741" s="62">
        <v>439.64</v>
      </c>
      <c r="L6741" s="33" t="e">
        <f>HLOOKUP(B6741,#REF!,1,0)</f>
        <v>#REF!</v>
      </c>
      <c r="M6741" s="33" t="str">
        <f t="shared" si="423"/>
        <v>P&amp;L</v>
      </c>
    </row>
    <row r="6742" spans="1:13" s="33" customFormat="true" ht="12.75" customHeight="true">
      <c r="A6742" s="33" t="str">
        <f t="shared" si="420"/>
        <v>OLD - CGS</v>
      </c>
      <c r="B6742" s="33" t="str">
        <f t="shared" si="421"/>
        <v>OLD</v>
      </c>
      <c r="C6742" s="33" t="str">
        <f t="shared" si="422"/>
        <v>51017-0044</v>
      </c>
      <c r="D6742" s="64" t="s">
        <v>7953</v>
      </c>
      <c r="E6742" s="64" t="s">
        <v>7949</v>
      </c>
      <c r="F6742" s="64" t="s">
        <v>230</v>
      </c>
      <c r="G6742" s="64" t="s">
        <v>3160</v>
      </c>
      <c r="H6742" s="64" t="s">
        <v>1875</v>
      </c>
      <c r="I6742" s="64" t="s">
        <v>3759</v>
      </c>
      <c r="J6742" s="67">
        <v>0</v>
      </c>
      <c r="K6742" s="62">
        <v>1101.76</v>
      </c>
      <c r="L6742" s="33" t="e">
        <f>HLOOKUP(B6742,#REF!,1,0)</f>
        <v>#REF!</v>
      </c>
      <c r="M6742" s="33" t="str">
        <f t="shared" si="423"/>
        <v>P&amp;L</v>
      </c>
    </row>
    <row r="6743" spans="1:13" s="33" customFormat="true" ht="12.75" customHeight="true">
      <c r="A6743" s="33" t="str">
        <f t="shared" si="420"/>
        <v>OLD - CGS</v>
      </c>
      <c r="B6743" s="33" t="str">
        <f t="shared" si="421"/>
        <v>OLD</v>
      </c>
      <c r="C6743" s="33" t="str">
        <f t="shared" si="422"/>
        <v>51017-0045</v>
      </c>
      <c r="D6743" s="64" t="s">
        <v>7954</v>
      </c>
      <c r="E6743" s="64" t="s">
        <v>7949</v>
      </c>
      <c r="F6743" s="64" t="s">
        <v>230</v>
      </c>
      <c r="G6743" s="64" t="s">
        <v>3160</v>
      </c>
      <c r="H6743" s="64" t="s">
        <v>1875</v>
      </c>
      <c r="I6743" s="64" t="s">
        <v>3759</v>
      </c>
      <c r="J6743" s="67">
        <v>0</v>
      </c>
      <c r="K6743" s="62">
        <v>203.48</v>
      </c>
      <c r="L6743" s="33" t="e">
        <f>HLOOKUP(B6743,#REF!,1,0)</f>
        <v>#REF!</v>
      </c>
      <c r="M6743" s="33" t="str">
        <f t="shared" si="423"/>
        <v>P&amp;L</v>
      </c>
    </row>
    <row r="6744" spans="1:13" s="33" customFormat="true" ht="12.75" customHeight="true">
      <c r="A6744" s="33" t="str">
        <f t="shared" si="420"/>
        <v>OLD - CGS</v>
      </c>
      <c r="B6744" s="33" t="str">
        <f t="shared" si="421"/>
        <v>OLD</v>
      </c>
      <c r="C6744" s="33" t="str">
        <f t="shared" si="422"/>
        <v>51017-0046</v>
      </c>
      <c r="D6744" s="64" t="s">
        <v>7955</v>
      </c>
      <c r="E6744" s="64" t="s">
        <v>7949</v>
      </c>
      <c r="F6744" s="64" t="s">
        <v>230</v>
      </c>
      <c r="G6744" s="64" t="s">
        <v>3160</v>
      </c>
      <c r="H6744" s="64" t="s">
        <v>1875</v>
      </c>
      <c r="I6744" s="64" t="s">
        <v>3759</v>
      </c>
      <c r="J6744" s="67">
        <v>0</v>
      </c>
      <c r="K6744" s="62">
        <v>1441.95</v>
      </c>
      <c r="L6744" s="33" t="e">
        <f>HLOOKUP(B6744,#REF!,1,0)</f>
        <v>#REF!</v>
      </c>
      <c r="M6744" s="33" t="str">
        <f t="shared" si="423"/>
        <v>P&amp;L</v>
      </c>
    </row>
    <row r="6745" spans="1:13" s="33" customFormat="true" ht="12.75" customHeight="true">
      <c r="A6745" s="33" t="str">
        <f t="shared" si="420"/>
        <v>OLD - CGS</v>
      </c>
      <c r="B6745" s="33" t="str">
        <f t="shared" si="421"/>
        <v>OLD</v>
      </c>
      <c r="C6745" s="33" t="str">
        <f t="shared" si="422"/>
        <v>51017-0048</v>
      </c>
      <c r="D6745" s="64" t="s">
        <v>7956</v>
      </c>
      <c r="E6745" s="64" t="s">
        <v>7949</v>
      </c>
      <c r="F6745" s="64" t="s">
        <v>230</v>
      </c>
      <c r="G6745" s="64" t="s">
        <v>3160</v>
      </c>
      <c r="H6745" s="64" t="s">
        <v>1875</v>
      </c>
      <c r="I6745" s="64" t="s">
        <v>3759</v>
      </c>
      <c r="J6745" s="67">
        <v>0</v>
      </c>
      <c r="K6745" s="62">
        <v>643.3</v>
      </c>
      <c r="L6745" s="33" t="e">
        <f>HLOOKUP(B6745,#REF!,1,0)</f>
        <v>#REF!</v>
      </c>
      <c r="M6745" s="33" t="str">
        <f t="shared" si="423"/>
        <v>P&amp;L</v>
      </c>
    </row>
    <row r="6746" spans="1:13" s="33" customFormat="true" ht="12.75" customHeight="true">
      <c r="A6746" s="33" t="str">
        <f t="shared" si="420"/>
        <v>OLD - CGS</v>
      </c>
      <c r="B6746" s="33" t="str">
        <f t="shared" si="421"/>
        <v>OLD</v>
      </c>
      <c r="C6746" s="33" t="str">
        <f t="shared" si="422"/>
        <v>51017-0049</v>
      </c>
      <c r="D6746" s="64" t="s">
        <v>7957</v>
      </c>
      <c r="E6746" s="64" t="s">
        <v>7949</v>
      </c>
      <c r="F6746" s="64" t="s">
        <v>230</v>
      </c>
      <c r="G6746" s="64" t="s">
        <v>3160</v>
      </c>
      <c r="H6746" s="64" t="s">
        <v>1875</v>
      </c>
      <c r="I6746" s="64" t="s">
        <v>3759</v>
      </c>
      <c r="J6746" s="67">
        <v>0</v>
      </c>
      <c r="K6746" s="62">
        <v>3874.97</v>
      </c>
      <c r="L6746" s="33" t="e">
        <f>HLOOKUP(B6746,#REF!,1,0)</f>
        <v>#REF!</v>
      </c>
      <c r="M6746" s="33" t="str">
        <f t="shared" si="423"/>
        <v>P&amp;L</v>
      </c>
    </row>
    <row r="6747" spans="1:13" s="33" customFormat="true" ht="12.75" customHeight="true">
      <c r="A6747" s="33" t="str">
        <f t="shared" si="420"/>
        <v>OLD - CGS</v>
      </c>
      <c r="B6747" s="33" t="str">
        <f t="shared" si="421"/>
        <v>OLD</v>
      </c>
      <c r="C6747" s="33" t="str">
        <f t="shared" si="422"/>
        <v>51017-0050</v>
      </c>
      <c r="D6747" s="64" t="s">
        <v>7958</v>
      </c>
      <c r="E6747" s="64" t="s">
        <v>7949</v>
      </c>
      <c r="F6747" s="64" t="s">
        <v>230</v>
      </c>
      <c r="G6747" s="64" t="s">
        <v>3160</v>
      </c>
      <c r="H6747" s="64" t="s">
        <v>1875</v>
      </c>
      <c r="I6747" s="64" t="s">
        <v>3759</v>
      </c>
      <c r="J6747" s="67">
        <v>0</v>
      </c>
      <c r="K6747" s="62">
        <v>7625.42</v>
      </c>
      <c r="L6747" s="33" t="e">
        <f>HLOOKUP(B6747,#REF!,1,0)</f>
        <v>#REF!</v>
      </c>
      <c r="M6747" s="33" t="str">
        <f t="shared" si="423"/>
        <v>P&amp;L</v>
      </c>
    </row>
    <row r="6748" spans="1:13" s="33" customFormat="true" ht="12.75" customHeight="true">
      <c r="A6748" s="33" t="str">
        <f t="shared" si="420"/>
        <v>OLD - CGS</v>
      </c>
      <c r="B6748" s="33" t="str">
        <f t="shared" si="421"/>
        <v>OLD</v>
      </c>
      <c r="C6748" s="33" t="str">
        <f t="shared" si="422"/>
        <v>51018-0044</v>
      </c>
      <c r="D6748" s="64" t="s">
        <v>7959</v>
      </c>
      <c r="E6748" s="64" t="s">
        <v>7960</v>
      </c>
      <c r="F6748" s="64" t="s">
        <v>230</v>
      </c>
      <c r="G6748" s="64" t="s">
        <v>3740</v>
      </c>
      <c r="H6748" s="64" t="s">
        <v>1875</v>
      </c>
      <c r="I6748" s="64" t="s">
        <v>3319</v>
      </c>
      <c r="J6748" s="67">
        <v>0</v>
      </c>
      <c r="K6748" s="62">
        <v>385.43</v>
      </c>
      <c r="L6748" s="33" t="e">
        <f>HLOOKUP(B6748,#REF!,1,0)</f>
        <v>#REF!</v>
      </c>
      <c r="M6748" s="33" t="str">
        <f t="shared" si="423"/>
        <v>P&amp;L</v>
      </c>
    </row>
    <row r="6749" spans="1:13" s="33" customFormat="true" ht="12.75" customHeight="true">
      <c r="A6749" s="33" t="str">
        <f t="shared" si="420"/>
        <v>OLD - CGS</v>
      </c>
      <c r="B6749" s="33" t="str">
        <f t="shared" si="421"/>
        <v>OLD</v>
      </c>
      <c r="C6749" s="33" t="str">
        <f t="shared" si="422"/>
        <v>51018-0046</v>
      </c>
      <c r="D6749" s="64" t="s">
        <v>7961</v>
      </c>
      <c r="E6749" s="64" t="s">
        <v>7960</v>
      </c>
      <c r="F6749" s="64" t="s">
        <v>230</v>
      </c>
      <c r="G6749" s="64" t="s">
        <v>3740</v>
      </c>
      <c r="H6749" s="64" t="s">
        <v>1875</v>
      </c>
      <c r="I6749" s="64" t="s">
        <v>3319</v>
      </c>
      <c r="J6749" s="67">
        <v>0</v>
      </c>
      <c r="K6749" s="62">
        <v>12.33</v>
      </c>
      <c r="L6749" s="33" t="e">
        <f>HLOOKUP(B6749,#REF!,1,0)</f>
        <v>#REF!</v>
      </c>
      <c r="M6749" s="33" t="str">
        <f t="shared" si="423"/>
        <v>P&amp;L</v>
      </c>
    </row>
    <row r="6750" spans="1:13" s="33" customFormat="true" ht="12.75" customHeight="true">
      <c r="A6750" s="33" t="str">
        <f t="shared" si="420"/>
        <v>OLD - CGS</v>
      </c>
      <c r="B6750" s="33" t="str">
        <f t="shared" si="421"/>
        <v>OLD</v>
      </c>
      <c r="C6750" s="33" t="str">
        <f t="shared" si="422"/>
        <v>51018-0049</v>
      </c>
      <c r="D6750" s="64" t="s">
        <v>7962</v>
      </c>
      <c r="E6750" s="64" t="s">
        <v>7960</v>
      </c>
      <c r="F6750" s="64" t="s">
        <v>230</v>
      </c>
      <c r="G6750" s="64" t="s">
        <v>3740</v>
      </c>
      <c r="H6750" s="64" t="s">
        <v>1875</v>
      </c>
      <c r="I6750" s="64" t="s">
        <v>3319</v>
      </c>
      <c r="J6750" s="67">
        <v>0</v>
      </c>
      <c r="K6750" s="62">
        <v>1864.53</v>
      </c>
      <c r="L6750" s="33" t="e">
        <f>HLOOKUP(B6750,#REF!,1,0)</f>
        <v>#REF!</v>
      </c>
      <c r="M6750" s="33" t="str">
        <f t="shared" si="423"/>
        <v>P&amp;L</v>
      </c>
    </row>
    <row r="6751" spans="1:13" s="33" customFormat="true" ht="12.75" customHeight="true">
      <c r="A6751" s="33" t="str">
        <f t="shared" si="420"/>
        <v>OLD - CGS</v>
      </c>
      <c r="B6751" s="33" t="str">
        <f t="shared" si="421"/>
        <v>OLD</v>
      </c>
      <c r="C6751" s="33" t="str">
        <f t="shared" si="422"/>
        <v>51018-0050</v>
      </c>
      <c r="D6751" s="64" t="s">
        <v>7963</v>
      </c>
      <c r="E6751" s="64" t="s">
        <v>7960</v>
      </c>
      <c r="F6751" s="64" t="s">
        <v>230</v>
      </c>
      <c r="G6751" s="64" t="s">
        <v>3740</v>
      </c>
      <c r="H6751" s="64" t="s">
        <v>1875</v>
      </c>
      <c r="I6751" s="64" t="s">
        <v>3319</v>
      </c>
      <c r="J6751" s="67">
        <v>0</v>
      </c>
      <c r="K6751" s="62">
        <v>805.84</v>
      </c>
      <c r="L6751" s="33" t="e">
        <f>HLOOKUP(B6751,#REF!,1,0)</f>
        <v>#REF!</v>
      </c>
      <c r="M6751" s="33" t="str">
        <f t="shared" si="423"/>
        <v>P&amp;L</v>
      </c>
    </row>
    <row r="6752" spans="1:13" s="33" customFormat="true" ht="12.75" customHeight="true">
      <c r="A6752" s="33" t="str">
        <f t="shared" si="420"/>
        <v>OLD - CGS</v>
      </c>
      <c r="B6752" s="33" t="str">
        <f t="shared" si="421"/>
        <v>OLD</v>
      </c>
      <c r="C6752" s="33" t="str">
        <f t="shared" si="422"/>
        <v>51020-0041</v>
      </c>
      <c r="D6752" s="64" t="s">
        <v>7964</v>
      </c>
      <c r="E6752" s="64" t="s">
        <v>7965</v>
      </c>
      <c r="F6752" s="64" t="s">
        <v>230</v>
      </c>
      <c r="G6752" s="64" t="s">
        <v>3740</v>
      </c>
      <c r="H6752" s="64" t="s">
        <v>1875</v>
      </c>
      <c r="I6752" s="64" t="s">
        <v>3345</v>
      </c>
      <c r="J6752" s="67">
        <v>0</v>
      </c>
      <c r="K6752" s="62">
        <v>170.49</v>
      </c>
      <c r="L6752" s="33" t="e">
        <f>HLOOKUP(B6752,#REF!,1,0)</f>
        <v>#REF!</v>
      </c>
      <c r="M6752" s="33" t="str">
        <f t="shared" si="423"/>
        <v>P&amp;L</v>
      </c>
    </row>
    <row r="6753" spans="1:13" s="33" customFormat="true" ht="12.75" customHeight="true">
      <c r="A6753" s="33" t="str">
        <f t="shared" si="420"/>
        <v>OLD - CGS</v>
      </c>
      <c r="B6753" s="33" t="str">
        <f t="shared" si="421"/>
        <v>OLD</v>
      </c>
      <c r="C6753" s="33" t="str">
        <f t="shared" si="422"/>
        <v>51020-0042</v>
      </c>
      <c r="D6753" s="64" t="s">
        <v>7966</v>
      </c>
      <c r="E6753" s="64" t="s">
        <v>7965</v>
      </c>
      <c r="F6753" s="64" t="s">
        <v>230</v>
      </c>
      <c r="G6753" s="64" t="s">
        <v>3740</v>
      </c>
      <c r="H6753" s="64" t="s">
        <v>1875</v>
      </c>
      <c r="I6753" s="64" t="s">
        <v>3345</v>
      </c>
      <c r="J6753" s="67">
        <v>0</v>
      </c>
      <c r="K6753" s="62">
        <v>0</v>
      </c>
      <c r="L6753" s="33" t="e">
        <f>HLOOKUP(B6753,#REF!,1,0)</f>
        <v>#REF!</v>
      </c>
      <c r="M6753" s="33" t="str">
        <f t="shared" si="423"/>
        <v>P&amp;L</v>
      </c>
    </row>
    <row r="6754" spans="1:13" s="33" customFormat="true" ht="12.75" customHeight="true">
      <c r="A6754" s="33" t="str">
        <f t="shared" si="420"/>
        <v>OLD - CGS</v>
      </c>
      <c r="B6754" s="33" t="str">
        <f t="shared" si="421"/>
        <v>OLD</v>
      </c>
      <c r="C6754" s="33" t="str">
        <f t="shared" si="422"/>
        <v>51020-0043</v>
      </c>
      <c r="D6754" s="64" t="s">
        <v>7967</v>
      </c>
      <c r="E6754" s="64" t="s">
        <v>7965</v>
      </c>
      <c r="F6754" s="64" t="s">
        <v>230</v>
      </c>
      <c r="G6754" s="64" t="s">
        <v>3740</v>
      </c>
      <c r="H6754" s="64" t="s">
        <v>1875</v>
      </c>
      <c r="I6754" s="64" t="s">
        <v>3345</v>
      </c>
      <c r="J6754" s="67">
        <v>0</v>
      </c>
      <c r="K6754" s="62">
        <v>761.61</v>
      </c>
      <c r="L6754" s="33" t="e">
        <f>HLOOKUP(B6754,#REF!,1,0)</f>
        <v>#REF!</v>
      </c>
      <c r="M6754" s="33" t="str">
        <f t="shared" si="423"/>
        <v>P&amp;L</v>
      </c>
    </row>
    <row r="6755" spans="1:13" s="33" customFormat="true" ht="12.75" customHeight="true">
      <c r="A6755" s="33" t="str">
        <f t="shared" si="420"/>
        <v>OLD - CGS</v>
      </c>
      <c r="B6755" s="33" t="str">
        <f t="shared" si="421"/>
        <v>OLD</v>
      </c>
      <c r="C6755" s="33" t="str">
        <f t="shared" si="422"/>
        <v>51020-0044</v>
      </c>
      <c r="D6755" s="64" t="s">
        <v>7968</v>
      </c>
      <c r="E6755" s="64" t="s">
        <v>7965</v>
      </c>
      <c r="F6755" s="64" t="s">
        <v>230</v>
      </c>
      <c r="G6755" s="64" t="s">
        <v>3740</v>
      </c>
      <c r="H6755" s="64" t="s">
        <v>1875</v>
      </c>
      <c r="I6755" s="64" t="s">
        <v>3345</v>
      </c>
      <c r="J6755" s="67">
        <v>0</v>
      </c>
      <c r="K6755" s="62">
        <v>473.05</v>
      </c>
      <c r="L6755" s="33" t="e">
        <f>HLOOKUP(B6755,#REF!,1,0)</f>
        <v>#REF!</v>
      </c>
      <c r="M6755" s="33" t="str">
        <f t="shared" si="423"/>
        <v>P&amp;L</v>
      </c>
    </row>
    <row r="6756" spans="1:13" s="33" customFormat="true" ht="12.75" customHeight="true">
      <c r="A6756" s="33" t="str">
        <f t="shared" si="420"/>
        <v>OLD - CGS</v>
      </c>
      <c r="B6756" s="33" t="str">
        <f t="shared" si="421"/>
        <v>OLD</v>
      </c>
      <c r="C6756" s="33" t="str">
        <f t="shared" si="422"/>
        <v>51020-0045</v>
      </c>
      <c r="D6756" s="64" t="s">
        <v>7969</v>
      </c>
      <c r="E6756" s="64" t="s">
        <v>7965</v>
      </c>
      <c r="F6756" s="64" t="s">
        <v>230</v>
      </c>
      <c r="G6756" s="64" t="s">
        <v>3740</v>
      </c>
      <c r="H6756" s="64" t="s">
        <v>1875</v>
      </c>
      <c r="I6756" s="64" t="s">
        <v>3345</v>
      </c>
      <c r="J6756" s="67">
        <v>0</v>
      </c>
      <c r="K6756" s="62">
        <v>87.39</v>
      </c>
      <c r="L6756" s="33" t="e">
        <f>HLOOKUP(B6756,#REF!,1,0)</f>
        <v>#REF!</v>
      </c>
      <c r="M6756" s="33" t="str">
        <f t="shared" si="423"/>
        <v>P&amp;L</v>
      </c>
    </row>
    <row r="6757" spans="1:13" s="33" customFormat="true" ht="12.75" customHeight="true">
      <c r="A6757" s="33" t="str">
        <f t="shared" si="420"/>
        <v>OLD - CGS</v>
      </c>
      <c r="B6757" s="33" t="str">
        <f t="shared" si="421"/>
        <v>OLD</v>
      </c>
      <c r="C6757" s="33" t="str">
        <f t="shared" si="422"/>
        <v>51020-0046</v>
      </c>
      <c r="D6757" s="64" t="s">
        <v>7970</v>
      </c>
      <c r="E6757" s="64" t="s">
        <v>7965</v>
      </c>
      <c r="F6757" s="64" t="s">
        <v>230</v>
      </c>
      <c r="G6757" s="64" t="s">
        <v>3740</v>
      </c>
      <c r="H6757" s="64" t="s">
        <v>1875</v>
      </c>
      <c r="I6757" s="64" t="s">
        <v>3345</v>
      </c>
      <c r="J6757" s="67">
        <v>0</v>
      </c>
      <c r="K6757" s="62">
        <v>5572.26</v>
      </c>
      <c r="L6757" s="33" t="e">
        <f>HLOOKUP(B6757,#REF!,1,0)</f>
        <v>#REF!</v>
      </c>
      <c r="M6757" s="33" t="str">
        <f t="shared" si="423"/>
        <v>P&amp;L</v>
      </c>
    </row>
    <row r="6758" spans="1:13" s="33" customFormat="true" ht="12.75" customHeight="true">
      <c r="A6758" s="33" t="str">
        <f t="shared" si="420"/>
        <v>OLD - CGS</v>
      </c>
      <c r="B6758" s="33" t="str">
        <f t="shared" si="421"/>
        <v>OLD</v>
      </c>
      <c r="C6758" s="33" t="str">
        <f t="shared" si="422"/>
        <v>51020-0048</v>
      </c>
      <c r="D6758" s="64" t="s">
        <v>7971</v>
      </c>
      <c r="E6758" s="64" t="s">
        <v>7965</v>
      </c>
      <c r="F6758" s="64" t="s">
        <v>230</v>
      </c>
      <c r="G6758" s="64" t="s">
        <v>3740</v>
      </c>
      <c r="H6758" s="64" t="s">
        <v>1875</v>
      </c>
      <c r="I6758" s="64" t="s">
        <v>3345</v>
      </c>
      <c r="J6758" s="67">
        <v>0</v>
      </c>
      <c r="K6758" s="62">
        <v>2393.1</v>
      </c>
      <c r="L6758" s="33" t="e">
        <f>HLOOKUP(B6758,#REF!,1,0)</f>
        <v>#REF!</v>
      </c>
      <c r="M6758" s="33" t="str">
        <f t="shared" si="423"/>
        <v>P&amp;L</v>
      </c>
    </row>
    <row r="6759" spans="1:13" s="33" customFormat="true" ht="12.75" customHeight="true">
      <c r="A6759" s="33" t="str">
        <f t="shared" si="420"/>
        <v>OLD - CGS</v>
      </c>
      <c r="B6759" s="33" t="str">
        <f t="shared" si="421"/>
        <v>OLD</v>
      </c>
      <c r="C6759" s="33" t="str">
        <f t="shared" si="422"/>
        <v>51020-0049</v>
      </c>
      <c r="D6759" s="64" t="s">
        <v>7972</v>
      </c>
      <c r="E6759" s="64" t="s">
        <v>7965</v>
      </c>
      <c r="F6759" s="64" t="s">
        <v>230</v>
      </c>
      <c r="G6759" s="64" t="s">
        <v>3740</v>
      </c>
      <c r="H6759" s="64" t="s">
        <v>1875</v>
      </c>
      <c r="I6759" s="64" t="s">
        <v>3345</v>
      </c>
      <c r="J6759" s="67">
        <v>0</v>
      </c>
      <c r="K6759" s="62">
        <v>-716.57</v>
      </c>
      <c r="L6759" s="33" t="e">
        <f>HLOOKUP(B6759,#REF!,1,0)</f>
        <v>#REF!</v>
      </c>
      <c r="M6759" s="33" t="str">
        <f t="shared" si="423"/>
        <v>P&amp;L</v>
      </c>
    </row>
    <row r="6760" spans="1:13" s="33" customFormat="true" ht="12.75" customHeight="true">
      <c r="A6760" s="33" t="str">
        <f t="shared" si="420"/>
        <v>OLD - CGS</v>
      </c>
      <c r="B6760" s="33" t="str">
        <f t="shared" si="421"/>
        <v>OLD</v>
      </c>
      <c r="C6760" s="33" t="str">
        <f t="shared" si="422"/>
        <v>51020-0050</v>
      </c>
      <c r="D6760" s="64" t="s">
        <v>7973</v>
      </c>
      <c r="E6760" s="64" t="s">
        <v>7965</v>
      </c>
      <c r="F6760" s="64" t="s">
        <v>230</v>
      </c>
      <c r="G6760" s="64" t="s">
        <v>3740</v>
      </c>
      <c r="H6760" s="64" t="s">
        <v>1875</v>
      </c>
      <c r="I6760" s="64" t="s">
        <v>3345</v>
      </c>
      <c r="J6760" s="67">
        <v>0</v>
      </c>
      <c r="K6760" s="62">
        <v>1235.74</v>
      </c>
      <c r="L6760" s="33" t="e">
        <f>HLOOKUP(B6760,#REF!,1,0)</f>
        <v>#REF!</v>
      </c>
      <c r="M6760" s="33" t="str">
        <f t="shared" si="423"/>
        <v>P&amp;L</v>
      </c>
    </row>
    <row r="6761" spans="1:13" s="33" customFormat="true" ht="12.75" customHeight="true">
      <c r="A6761" s="33" t="str">
        <f t="shared" si="420"/>
        <v>OLD - CGS</v>
      </c>
      <c r="B6761" s="33" t="str">
        <f t="shared" si="421"/>
        <v>OLD</v>
      </c>
      <c r="C6761" s="33" t="str">
        <f t="shared" si="422"/>
        <v>51021-0040</v>
      </c>
      <c r="D6761" s="64" t="s">
        <v>7974</v>
      </c>
      <c r="E6761" s="64" t="s">
        <v>7106</v>
      </c>
      <c r="F6761" s="64" t="s">
        <v>230</v>
      </c>
      <c r="G6761" s="64" t="s">
        <v>3740</v>
      </c>
      <c r="H6761" s="64" t="s">
        <v>1875</v>
      </c>
      <c r="I6761" s="64" t="s">
        <v>4752</v>
      </c>
      <c r="J6761" s="67">
        <v>0</v>
      </c>
      <c r="K6761" s="62">
        <v>1088.42</v>
      </c>
      <c r="L6761" s="33" t="e">
        <f>HLOOKUP(B6761,#REF!,1,0)</f>
        <v>#REF!</v>
      </c>
      <c r="M6761" s="33" t="str">
        <f t="shared" si="423"/>
        <v>P&amp;L</v>
      </c>
    </row>
    <row r="6762" spans="1:13" s="33" customFormat="true" ht="12.75" customHeight="true">
      <c r="A6762" s="33" t="str">
        <f t="shared" si="420"/>
        <v>OLD - CGS</v>
      </c>
      <c r="B6762" s="33" t="str">
        <f t="shared" si="421"/>
        <v>OLD</v>
      </c>
      <c r="C6762" s="33" t="str">
        <f t="shared" si="422"/>
        <v>51021-0041</v>
      </c>
      <c r="D6762" s="64" t="s">
        <v>7975</v>
      </c>
      <c r="E6762" s="64" t="s">
        <v>7106</v>
      </c>
      <c r="F6762" s="64" t="s">
        <v>230</v>
      </c>
      <c r="G6762" s="64" t="s">
        <v>3740</v>
      </c>
      <c r="H6762" s="64" t="s">
        <v>1875</v>
      </c>
      <c r="I6762" s="64" t="s">
        <v>4752</v>
      </c>
      <c r="J6762" s="67">
        <v>0</v>
      </c>
      <c r="K6762" s="62">
        <v>1298.66</v>
      </c>
      <c r="L6762" s="33" t="e">
        <f>HLOOKUP(B6762,#REF!,1,0)</f>
        <v>#REF!</v>
      </c>
      <c r="M6762" s="33" t="str">
        <f t="shared" si="423"/>
        <v>P&amp;L</v>
      </c>
    </row>
    <row r="6763" spans="1:13" s="33" customFormat="true" ht="12.75" customHeight="true">
      <c r="A6763" s="33" t="str">
        <f t="shared" si="420"/>
        <v>OLD - CGS</v>
      </c>
      <c r="B6763" s="33" t="str">
        <f t="shared" si="421"/>
        <v>OLD</v>
      </c>
      <c r="C6763" s="33" t="str">
        <f t="shared" si="422"/>
        <v>51021-0042</v>
      </c>
      <c r="D6763" s="64" t="s">
        <v>7976</v>
      </c>
      <c r="E6763" s="64" t="s">
        <v>7106</v>
      </c>
      <c r="F6763" s="64" t="s">
        <v>230</v>
      </c>
      <c r="G6763" s="64" t="s">
        <v>3740</v>
      </c>
      <c r="H6763" s="64" t="s">
        <v>1875</v>
      </c>
      <c r="I6763" s="64" t="s">
        <v>4752</v>
      </c>
      <c r="J6763" s="67">
        <v>0</v>
      </c>
      <c r="K6763" s="62">
        <v>2345.64</v>
      </c>
      <c r="L6763" s="33" t="e">
        <f>HLOOKUP(B6763,#REF!,1,0)</f>
        <v>#REF!</v>
      </c>
      <c r="M6763" s="33" t="str">
        <f t="shared" si="423"/>
        <v>P&amp;L</v>
      </c>
    </row>
    <row r="6764" spans="1:13" s="33" customFormat="true" ht="12.75" customHeight="true">
      <c r="A6764" s="33" t="str">
        <f t="shared" si="420"/>
        <v>OLD - CGS</v>
      </c>
      <c r="B6764" s="33" t="str">
        <f t="shared" si="421"/>
        <v>OLD</v>
      </c>
      <c r="C6764" s="33" t="str">
        <f t="shared" si="422"/>
        <v>51021-0043</v>
      </c>
      <c r="D6764" s="64" t="s">
        <v>7977</v>
      </c>
      <c r="E6764" s="64" t="s">
        <v>7106</v>
      </c>
      <c r="F6764" s="64" t="s">
        <v>230</v>
      </c>
      <c r="G6764" s="64" t="s">
        <v>3740</v>
      </c>
      <c r="H6764" s="64" t="s">
        <v>1875</v>
      </c>
      <c r="I6764" s="64" t="s">
        <v>4752</v>
      </c>
      <c r="J6764" s="67">
        <v>0</v>
      </c>
      <c r="K6764" s="62">
        <v>0</v>
      </c>
      <c r="L6764" s="33" t="e">
        <f>HLOOKUP(B6764,#REF!,1,0)</f>
        <v>#REF!</v>
      </c>
      <c r="M6764" s="33" t="str">
        <f t="shared" si="423"/>
        <v>P&amp;L</v>
      </c>
    </row>
    <row r="6765" spans="1:13" s="33" customFormat="true" ht="12.75" customHeight="true">
      <c r="A6765" s="33" t="str">
        <f t="shared" si="420"/>
        <v>OLD - CGS</v>
      </c>
      <c r="B6765" s="33" t="str">
        <f t="shared" si="421"/>
        <v>OLD</v>
      </c>
      <c r="C6765" s="33" t="str">
        <f t="shared" si="422"/>
        <v>51021-0044</v>
      </c>
      <c r="D6765" s="64" t="s">
        <v>7978</v>
      </c>
      <c r="E6765" s="64" t="s">
        <v>7106</v>
      </c>
      <c r="F6765" s="64" t="s">
        <v>230</v>
      </c>
      <c r="G6765" s="64" t="s">
        <v>3740</v>
      </c>
      <c r="H6765" s="64" t="s">
        <v>1875</v>
      </c>
      <c r="I6765" s="64" t="s">
        <v>4752</v>
      </c>
      <c r="J6765" s="67">
        <v>0</v>
      </c>
      <c r="K6765" s="62">
        <v>244</v>
      </c>
      <c r="L6765" s="33" t="e">
        <f>HLOOKUP(B6765,#REF!,1,0)</f>
        <v>#REF!</v>
      </c>
      <c r="M6765" s="33" t="str">
        <f t="shared" si="423"/>
        <v>P&amp;L</v>
      </c>
    </row>
    <row r="6766" spans="1:13" s="33" customFormat="true" ht="12.75" customHeight="true">
      <c r="A6766" s="33" t="str">
        <f t="shared" si="420"/>
        <v>OLD - CGS</v>
      </c>
      <c r="B6766" s="33" t="str">
        <f t="shared" si="421"/>
        <v>OLD</v>
      </c>
      <c r="C6766" s="33" t="str">
        <f t="shared" si="422"/>
        <v>51021-0045</v>
      </c>
      <c r="D6766" s="64" t="s">
        <v>7979</v>
      </c>
      <c r="E6766" s="64" t="s">
        <v>7106</v>
      </c>
      <c r="F6766" s="64" t="s">
        <v>230</v>
      </c>
      <c r="G6766" s="64" t="s">
        <v>3740</v>
      </c>
      <c r="H6766" s="64" t="s">
        <v>1875</v>
      </c>
      <c r="I6766" s="64" t="s">
        <v>4752</v>
      </c>
      <c r="J6766" s="67">
        <v>0</v>
      </c>
      <c r="K6766" s="62">
        <v>0</v>
      </c>
      <c r="L6766" s="33" t="e">
        <f>HLOOKUP(B6766,#REF!,1,0)</f>
        <v>#REF!</v>
      </c>
      <c r="M6766" s="33" t="str">
        <f t="shared" si="423"/>
        <v>P&amp;L</v>
      </c>
    </row>
    <row r="6767" spans="1:13" s="33" customFormat="true" ht="12.75" customHeight="true">
      <c r="A6767" s="33" t="str">
        <f t="shared" si="420"/>
        <v>OLD - CGS</v>
      </c>
      <c r="B6767" s="33" t="str">
        <f t="shared" si="421"/>
        <v>OLD</v>
      </c>
      <c r="C6767" s="33" t="str">
        <f t="shared" si="422"/>
        <v>51021-0046</v>
      </c>
      <c r="D6767" s="64" t="s">
        <v>7980</v>
      </c>
      <c r="E6767" s="64" t="s">
        <v>7106</v>
      </c>
      <c r="F6767" s="64" t="s">
        <v>230</v>
      </c>
      <c r="G6767" s="64" t="s">
        <v>3740</v>
      </c>
      <c r="H6767" s="64" t="s">
        <v>1875</v>
      </c>
      <c r="I6767" s="64" t="s">
        <v>4752</v>
      </c>
      <c r="J6767" s="67">
        <v>0</v>
      </c>
      <c r="K6767" s="62">
        <v>0</v>
      </c>
      <c r="L6767" s="33" t="e">
        <f>HLOOKUP(B6767,#REF!,1,0)</f>
        <v>#REF!</v>
      </c>
      <c r="M6767" s="33" t="str">
        <f t="shared" si="423"/>
        <v>P&amp;L</v>
      </c>
    </row>
    <row r="6768" spans="1:13" s="33" customFormat="true" ht="12.75" customHeight="true">
      <c r="A6768" s="33" t="str">
        <f t="shared" si="420"/>
        <v>OLD - CGS</v>
      </c>
      <c r="B6768" s="33" t="str">
        <f t="shared" si="421"/>
        <v>OLD</v>
      </c>
      <c r="C6768" s="33" t="str">
        <f t="shared" si="422"/>
        <v>51021-0048</v>
      </c>
      <c r="D6768" s="64" t="s">
        <v>7981</v>
      </c>
      <c r="E6768" s="64" t="s">
        <v>7106</v>
      </c>
      <c r="F6768" s="64" t="s">
        <v>230</v>
      </c>
      <c r="G6768" s="64" t="s">
        <v>3740</v>
      </c>
      <c r="H6768" s="64" t="s">
        <v>1875</v>
      </c>
      <c r="I6768" s="64" t="s">
        <v>4752</v>
      </c>
      <c r="J6768" s="67">
        <v>0</v>
      </c>
      <c r="K6768" s="62">
        <v>83.89</v>
      </c>
      <c r="L6768" s="33" t="e">
        <f>HLOOKUP(B6768,#REF!,1,0)</f>
        <v>#REF!</v>
      </c>
      <c r="M6768" s="33" t="str">
        <f t="shared" si="423"/>
        <v>P&amp;L</v>
      </c>
    </row>
    <row r="6769" spans="1:13" s="33" customFormat="true" ht="12.75" customHeight="true">
      <c r="A6769" s="33" t="str">
        <f t="shared" si="420"/>
        <v>OLD - CGS</v>
      </c>
      <c r="B6769" s="33" t="str">
        <f t="shared" si="421"/>
        <v>OLD</v>
      </c>
      <c r="C6769" s="33" t="str">
        <f t="shared" si="422"/>
        <v>51024-0048</v>
      </c>
      <c r="D6769" s="64" t="s">
        <v>7982</v>
      </c>
      <c r="E6769" s="64" t="s">
        <v>3765</v>
      </c>
      <c r="F6769" s="64" t="s">
        <v>230</v>
      </c>
      <c r="G6769" s="64" t="s">
        <v>7983</v>
      </c>
      <c r="H6769" s="64" t="s">
        <v>1875</v>
      </c>
      <c r="I6769" s="64" t="s">
        <v>3766</v>
      </c>
      <c r="J6769" s="67">
        <v>0</v>
      </c>
      <c r="K6769" s="62">
        <v>0</v>
      </c>
      <c r="L6769" s="33" t="e">
        <f>HLOOKUP(B6769,#REF!,1,0)</f>
        <v>#REF!</v>
      </c>
      <c r="M6769" s="33" t="str">
        <f t="shared" si="423"/>
        <v>P&amp;L</v>
      </c>
    </row>
    <row r="6770" spans="1:13" s="33" customFormat="true" ht="12.75" customHeight="true">
      <c r="A6770" s="33" t="str">
        <f t="shared" si="420"/>
        <v>OLD - CGS</v>
      </c>
      <c r="B6770" s="33" t="str">
        <f t="shared" si="421"/>
        <v>OLD</v>
      </c>
      <c r="C6770" s="33" t="str">
        <f t="shared" si="422"/>
        <v>51024-0049</v>
      </c>
      <c r="D6770" s="64" t="s">
        <v>7984</v>
      </c>
      <c r="E6770" s="64" t="s">
        <v>3765</v>
      </c>
      <c r="F6770" s="64" t="s">
        <v>230</v>
      </c>
      <c r="G6770" s="64" t="s">
        <v>7983</v>
      </c>
      <c r="H6770" s="64" t="s">
        <v>1875</v>
      </c>
      <c r="I6770" s="64" t="s">
        <v>3766</v>
      </c>
      <c r="J6770" s="67">
        <v>0</v>
      </c>
      <c r="K6770" s="62">
        <v>21.66</v>
      </c>
      <c r="L6770" s="33" t="e">
        <f>HLOOKUP(B6770,#REF!,1,0)</f>
        <v>#REF!</v>
      </c>
      <c r="M6770" s="33" t="str">
        <f t="shared" si="423"/>
        <v>P&amp;L</v>
      </c>
    </row>
    <row r="6771" spans="1:13" s="33" customFormat="true" ht="12.75" customHeight="true">
      <c r="A6771" s="33" t="str">
        <f t="shared" si="420"/>
        <v>OLD - CGS</v>
      </c>
      <c r="B6771" s="33" t="str">
        <f t="shared" si="421"/>
        <v>OLD</v>
      </c>
      <c r="C6771" s="33" t="str">
        <f t="shared" si="422"/>
        <v>51025-0043</v>
      </c>
      <c r="D6771" s="64" t="s">
        <v>7985</v>
      </c>
      <c r="E6771" s="64" t="s">
        <v>7986</v>
      </c>
      <c r="F6771" s="64" t="s">
        <v>230</v>
      </c>
      <c r="G6771" s="64" t="s">
        <v>3740</v>
      </c>
      <c r="H6771" s="64" t="s">
        <v>1875</v>
      </c>
      <c r="I6771" s="64" t="s">
        <v>3989</v>
      </c>
      <c r="J6771" s="67">
        <v>0</v>
      </c>
      <c r="K6771" s="62">
        <v>475.91</v>
      </c>
      <c r="L6771" s="33" t="e">
        <f>HLOOKUP(B6771,#REF!,1,0)</f>
        <v>#REF!</v>
      </c>
      <c r="M6771" s="33" t="str">
        <f t="shared" si="423"/>
        <v>P&amp;L</v>
      </c>
    </row>
    <row r="6772" spans="1:13" s="33" customFormat="true" ht="12.75" customHeight="true">
      <c r="A6772" s="33" t="str">
        <f t="shared" si="420"/>
        <v>OLD - CGS</v>
      </c>
      <c r="B6772" s="33" t="str">
        <f t="shared" si="421"/>
        <v>OLD</v>
      </c>
      <c r="C6772" s="33" t="str">
        <f t="shared" si="422"/>
        <v>51025-0044</v>
      </c>
      <c r="D6772" s="64" t="s">
        <v>7987</v>
      </c>
      <c r="E6772" s="64" t="s">
        <v>7986</v>
      </c>
      <c r="F6772" s="64" t="s">
        <v>230</v>
      </c>
      <c r="G6772" s="64" t="s">
        <v>3740</v>
      </c>
      <c r="H6772" s="64" t="s">
        <v>1875</v>
      </c>
      <c r="I6772" s="64" t="s">
        <v>3989</v>
      </c>
      <c r="J6772" s="67">
        <v>0</v>
      </c>
      <c r="K6772" s="62">
        <v>181.42</v>
      </c>
      <c r="L6772" s="33" t="e">
        <f>HLOOKUP(B6772,#REF!,1,0)</f>
        <v>#REF!</v>
      </c>
      <c r="M6772" s="33" t="str">
        <f t="shared" si="423"/>
        <v>P&amp;L</v>
      </c>
    </row>
    <row r="6773" spans="1:13" s="33" customFormat="true" ht="12.75" customHeight="true">
      <c r="A6773" s="33" t="str">
        <f t="shared" si="420"/>
        <v>OLD - CGS</v>
      </c>
      <c r="B6773" s="33" t="str">
        <f t="shared" si="421"/>
        <v>OLD</v>
      </c>
      <c r="C6773" s="33" t="str">
        <f t="shared" si="422"/>
        <v>51025-0045</v>
      </c>
      <c r="D6773" s="64" t="s">
        <v>7988</v>
      </c>
      <c r="E6773" s="64" t="s">
        <v>7986</v>
      </c>
      <c r="F6773" s="64" t="s">
        <v>230</v>
      </c>
      <c r="G6773" s="64" t="s">
        <v>3740</v>
      </c>
      <c r="H6773" s="64" t="s">
        <v>1875</v>
      </c>
      <c r="I6773" s="64" t="s">
        <v>3989</v>
      </c>
      <c r="J6773" s="67">
        <v>0</v>
      </c>
      <c r="K6773" s="62">
        <v>0</v>
      </c>
      <c r="L6773" s="33" t="e">
        <f>HLOOKUP(B6773,#REF!,1,0)</f>
        <v>#REF!</v>
      </c>
      <c r="M6773" s="33" t="str">
        <f t="shared" si="423"/>
        <v>P&amp;L</v>
      </c>
    </row>
    <row r="6774" spans="1:13" s="33" customFormat="true" ht="12.75" customHeight="true">
      <c r="A6774" s="33" t="str">
        <f t="shared" si="420"/>
        <v>OLD - CGS</v>
      </c>
      <c r="B6774" s="33" t="str">
        <f t="shared" si="421"/>
        <v>OLD</v>
      </c>
      <c r="C6774" s="33" t="str">
        <f t="shared" si="422"/>
        <v>51025-0046</v>
      </c>
      <c r="D6774" s="64" t="s">
        <v>7989</v>
      </c>
      <c r="E6774" s="64" t="s">
        <v>7986</v>
      </c>
      <c r="F6774" s="64" t="s">
        <v>230</v>
      </c>
      <c r="G6774" s="64" t="s">
        <v>3740</v>
      </c>
      <c r="H6774" s="64" t="s">
        <v>1875</v>
      </c>
      <c r="I6774" s="64" t="s">
        <v>3989</v>
      </c>
      <c r="J6774" s="67">
        <v>0</v>
      </c>
      <c r="K6774" s="62">
        <v>2857.61</v>
      </c>
      <c r="L6774" s="33" t="e">
        <f>HLOOKUP(B6774,#REF!,1,0)</f>
        <v>#REF!</v>
      </c>
      <c r="M6774" s="33" t="str">
        <f t="shared" si="423"/>
        <v>P&amp;L</v>
      </c>
    </row>
    <row r="6775" spans="1:13" s="33" customFormat="true" ht="12.75" customHeight="true">
      <c r="A6775" s="33" t="str">
        <f t="shared" si="420"/>
        <v>OLD - CGS</v>
      </c>
      <c r="B6775" s="33" t="str">
        <f t="shared" si="421"/>
        <v>OLD</v>
      </c>
      <c r="C6775" s="33" t="str">
        <f t="shared" si="422"/>
        <v>51025-0048</v>
      </c>
      <c r="D6775" s="64" t="s">
        <v>7990</v>
      </c>
      <c r="E6775" s="64" t="s">
        <v>7986</v>
      </c>
      <c r="F6775" s="64" t="s">
        <v>230</v>
      </c>
      <c r="G6775" s="64" t="s">
        <v>3740</v>
      </c>
      <c r="H6775" s="64" t="s">
        <v>1875</v>
      </c>
      <c r="I6775" s="64" t="s">
        <v>3989</v>
      </c>
      <c r="J6775" s="67">
        <v>0</v>
      </c>
      <c r="K6775" s="62">
        <v>411.78</v>
      </c>
      <c r="L6775" s="33" t="e">
        <f>HLOOKUP(B6775,#REF!,1,0)</f>
        <v>#REF!</v>
      </c>
      <c r="M6775" s="33" t="str">
        <f t="shared" si="423"/>
        <v>P&amp;L</v>
      </c>
    </row>
    <row r="6776" spans="1:13" s="33" customFormat="true" ht="12.75" customHeight="true">
      <c r="A6776" s="33" t="str">
        <f t="shared" si="420"/>
        <v>OLD - CGS</v>
      </c>
      <c r="B6776" s="33" t="str">
        <f t="shared" si="421"/>
        <v>OLD</v>
      </c>
      <c r="C6776" s="33" t="str">
        <f t="shared" si="422"/>
        <v>51028-0042</v>
      </c>
      <c r="D6776" s="64" t="s">
        <v>7991</v>
      </c>
      <c r="E6776" s="64" t="s">
        <v>3736</v>
      </c>
      <c r="F6776" s="64" t="s">
        <v>230</v>
      </c>
      <c r="G6776" s="64" t="s">
        <v>7983</v>
      </c>
      <c r="H6776" s="64" t="s">
        <v>1875</v>
      </c>
      <c r="I6776" s="64" t="s">
        <v>3991</v>
      </c>
      <c r="J6776" s="67">
        <v>0</v>
      </c>
      <c r="K6776" s="62">
        <v>2794.09</v>
      </c>
      <c r="L6776" s="33" t="e">
        <f>HLOOKUP(B6776,#REF!,1,0)</f>
        <v>#REF!</v>
      </c>
      <c r="M6776" s="33" t="str">
        <f t="shared" si="423"/>
        <v>P&amp;L</v>
      </c>
    </row>
    <row r="6777" spans="1:13" s="33" customFormat="true" ht="12.75" customHeight="true">
      <c r="A6777" s="33" t="str">
        <f t="shared" si="420"/>
        <v>OLD - CGS</v>
      </c>
      <c r="B6777" s="33" t="str">
        <f t="shared" si="421"/>
        <v>OLD</v>
      </c>
      <c r="C6777" s="33" t="str">
        <f t="shared" si="422"/>
        <v>51029-0043</v>
      </c>
      <c r="D6777" s="64" t="s">
        <v>7992</v>
      </c>
      <c r="E6777" s="64" t="s">
        <v>3993</v>
      </c>
      <c r="F6777" s="64" t="s">
        <v>230</v>
      </c>
      <c r="G6777" s="64" t="s">
        <v>3740</v>
      </c>
      <c r="H6777" s="64" t="s">
        <v>1875</v>
      </c>
      <c r="I6777" s="64" t="s">
        <v>3994</v>
      </c>
      <c r="J6777" s="67">
        <v>0</v>
      </c>
      <c r="K6777" s="62">
        <v>524.33</v>
      </c>
      <c r="L6777" s="33" t="e">
        <f>HLOOKUP(B6777,#REF!,1,0)</f>
        <v>#REF!</v>
      </c>
      <c r="M6777" s="33" t="str">
        <f t="shared" si="423"/>
        <v>P&amp;L</v>
      </c>
    </row>
    <row r="6778" spans="1:13" s="33" customFormat="true" ht="12.75" customHeight="true">
      <c r="A6778" s="33" t="str">
        <f t="shared" si="420"/>
        <v>OLD - CGS</v>
      </c>
      <c r="B6778" s="33" t="str">
        <f t="shared" si="421"/>
        <v>OLD</v>
      </c>
      <c r="C6778" s="33" t="str">
        <f t="shared" si="422"/>
        <v>51029-0044</v>
      </c>
      <c r="D6778" s="64" t="s">
        <v>7993</v>
      </c>
      <c r="E6778" s="64" t="s">
        <v>3993</v>
      </c>
      <c r="F6778" s="64" t="s">
        <v>230</v>
      </c>
      <c r="G6778" s="64" t="s">
        <v>3740</v>
      </c>
      <c r="H6778" s="64" t="s">
        <v>1875</v>
      </c>
      <c r="I6778" s="64" t="s">
        <v>3994</v>
      </c>
      <c r="J6778" s="67">
        <v>0</v>
      </c>
      <c r="K6778" s="62">
        <v>240</v>
      </c>
      <c r="L6778" s="33" t="e">
        <f>HLOOKUP(B6778,#REF!,1,0)</f>
        <v>#REF!</v>
      </c>
      <c r="M6778" s="33" t="str">
        <f t="shared" si="423"/>
        <v>P&amp;L</v>
      </c>
    </row>
    <row r="6779" spans="1:13" s="33" customFormat="true" ht="12.75" customHeight="true">
      <c r="A6779" s="33" t="str">
        <f t="shared" si="420"/>
        <v>OLD - CGS</v>
      </c>
      <c r="B6779" s="33" t="str">
        <f t="shared" si="421"/>
        <v>OLD</v>
      </c>
      <c r="C6779" s="33" t="str">
        <f t="shared" si="422"/>
        <v>51029-0045</v>
      </c>
      <c r="D6779" s="64" t="s">
        <v>7994</v>
      </c>
      <c r="E6779" s="64" t="s">
        <v>3993</v>
      </c>
      <c r="F6779" s="64" t="s">
        <v>230</v>
      </c>
      <c r="G6779" s="64" t="s">
        <v>3740</v>
      </c>
      <c r="H6779" s="64" t="s">
        <v>1875</v>
      </c>
      <c r="I6779" s="64" t="s">
        <v>3994</v>
      </c>
      <c r="J6779" s="67">
        <v>0</v>
      </c>
      <c r="K6779" s="62">
        <v>0</v>
      </c>
      <c r="L6779" s="33" t="e">
        <f>HLOOKUP(B6779,#REF!,1,0)</f>
        <v>#REF!</v>
      </c>
      <c r="M6779" s="33" t="str">
        <f t="shared" si="423"/>
        <v>P&amp;L</v>
      </c>
    </row>
    <row r="6780" spans="1:13" s="33" customFormat="true" ht="12.75" customHeight="true">
      <c r="A6780" s="33" t="str">
        <f t="shared" si="420"/>
        <v>OLD - CGS</v>
      </c>
      <c r="B6780" s="33" t="str">
        <f t="shared" si="421"/>
        <v>OLD</v>
      </c>
      <c r="C6780" s="33" t="str">
        <f t="shared" si="422"/>
        <v>51029-0046</v>
      </c>
      <c r="D6780" s="64" t="s">
        <v>7995</v>
      </c>
      <c r="E6780" s="64" t="s">
        <v>3993</v>
      </c>
      <c r="F6780" s="64" t="s">
        <v>230</v>
      </c>
      <c r="G6780" s="64" t="s">
        <v>3740</v>
      </c>
      <c r="H6780" s="64" t="s">
        <v>1875</v>
      </c>
      <c r="I6780" s="64" t="s">
        <v>3994</v>
      </c>
      <c r="J6780" s="67">
        <v>0</v>
      </c>
      <c r="K6780" s="62">
        <v>4553.05</v>
      </c>
      <c r="L6780" s="33" t="e">
        <f>HLOOKUP(B6780,#REF!,1,0)</f>
        <v>#REF!</v>
      </c>
      <c r="M6780" s="33" t="str">
        <f t="shared" si="423"/>
        <v>P&amp;L</v>
      </c>
    </row>
    <row r="6781" spans="1:13" s="33" customFormat="true" ht="12.75" customHeight="true">
      <c r="A6781" s="33" t="str">
        <f t="shared" si="420"/>
        <v>OLD - CGS</v>
      </c>
      <c r="B6781" s="33" t="str">
        <f t="shared" si="421"/>
        <v>OLD</v>
      </c>
      <c r="C6781" s="33" t="str">
        <f t="shared" si="422"/>
        <v>51029-0050</v>
      </c>
      <c r="D6781" s="64" t="s">
        <v>7996</v>
      </c>
      <c r="E6781" s="64" t="s">
        <v>3993</v>
      </c>
      <c r="F6781" s="64" t="s">
        <v>230</v>
      </c>
      <c r="G6781" s="64" t="s">
        <v>3740</v>
      </c>
      <c r="H6781" s="64" t="s">
        <v>1875</v>
      </c>
      <c r="I6781" s="64" t="s">
        <v>3994</v>
      </c>
      <c r="J6781" s="67">
        <v>0</v>
      </c>
      <c r="K6781" s="62">
        <v>6133.19</v>
      </c>
      <c r="L6781" s="33" t="e">
        <f>HLOOKUP(B6781,#REF!,1,0)</f>
        <v>#REF!</v>
      </c>
      <c r="M6781" s="33" t="str">
        <f t="shared" si="423"/>
        <v>P&amp;L</v>
      </c>
    </row>
    <row r="6782" spans="1:13" s="33" customFormat="true" ht="12.75" customHeight="true">
      <c r="A6782" s="33" t="str">
        <f t="shared" si="420"/>
        <v>OLD - CGS</v>
      </c>
      <c r="B6782" s="33" t="str">
        <f t="shared" si="421"/>
        <v>OLD</v>
      </c>
      <c r="C6782" s="33" t="str">
        <f t="shared" si="422"/>
        <v>52001-0040</v>
      </c>
      <c r="D6782" s="64" t="s">
        <v>7997</v>
      </c>
      <c r="E6782" s="64" t="s">
        <v>7998</v>
      </c>
      <c r="F6782" s="64" t="s">
        <v>230</v>
      </c>
      <c r="G6782" s="64" t="s">
        <v>3769</v>
      </c>
      <c r="H6782" s="64" t="s">
        <v>1875</v>
      </c>
      <c r="I6782" s="64" t="s">
        <v>3770</v>
      </c>
      <c r="J6782" s="67">
        <v>0</v>
      </c>
      <c r="K6782" s="62">
        <v>29.97</v>
      </c>
      <c r="L6782" s="33" t="e">
        <f>HLOOKUP(B6782,#REF!,1,0)</f>
        <v>#REF!</v>
      </c>
      <c r="M6782" s="33" t="str">
        <f t="shared" si="423"/>
        <v>P&amp;L</v>
      </c>
    </row>
    <row r="6783" spans="1:13" s="33" customFormat="true" ht="12.75" customHeight="true">
      <c r="A6783" s="33" t="str">
        <f t="shared" si="420"/>
        <v>OLD - CGS</v>
      </c>
      <c r="B6783" s="33" t="str">
        <f t="shared" si="421"/>
        <v>OLD</v>
      </c>
      <c r="C6783" s="33" t="str">
        <f t="shared" si="422"/>
        <v>52001-0041</v>
      </c>
      <c r="D6783" s="64" t="s">
        <v>7999</v>
      </c>
      <c r="E6783" s="64" t="s">
        <v>7998</v>
      </c>
      <c r="F6783" s="64" t="s">
        <v>230</v>
      </c>
      <c r="G6783" s="64" t="s">
        <v>3769</v>
      </c>
      <c r="H6783" s="64" t="s">
        <v>1875</v>
      </c>
      <c r="I6783" s="64" t="s">
        <v>3770</v>
      </c>
      <c r="J6783" s="67">
        <v>0</v>
      </c>
      <c r="K6783" s="62">
        <v>2556.07</v>
      </c>
      <c r="L6783" s="33" t="e">
        <f>HLOOKUP(B6783,#REF!,1,0)</f>
        <v>#REF!</v>
      </c>
      <c r="M6783" s="33" t="str">
        <f t="shared" si="423"/>
        <v>P&amp;L</v>
      </c>
    </row>
    <row r="6784" spans="1:13" s="33" customFormat="true" ht="12.75" customHeight="true">
      <c r="A6784" s="33" t="str">
        <f t="shared" si="420"/>
        <v>OLD - CGS</v>
      </c>
      <c r="B6784" s="33" t="str">
        <f t="shared" si="421"/>
        <v>OLD</v>
      </c>
      <c r="C6784" s="33" t="str">
        <f t="shared" si="422"/>
        <v>52001-0042</v>
      </c>
      <c r="D6784" s="64" t="s">
        <v>8000</v>
      </c>
      <c r="E6784" s="64" t="s">
        <v>7998</v>
      </c>
      <c r="F6784" s="64" t="s">
        <v>230</v>
      </c>
      <c r="G6784" s="64" t="s">
        <v>3769</v>
      </c>
      <c r="H6784" s="64" t="s">
        <v>1875</v>
      </c>
      <c r="I6784" s="64" t="s">
        <v>3770</v>
      </c>
      <c r="J6784" s="67">
        <v>0</v>
      </c>
      <c r="K6784" s="62">
        <v>401.92</v>
      </c>
      <c r="L6784" s="33" t="e">
        <f>HLOOKUP(B6784,#REF!,1,0)</f>
        <v>#REF!</v>
      </c>
      <c r="M6784" s="33" t="str">
        <f t="shared" si="423"/>
        <v>P&amp;L</v>
      </c>
    </row>
    <row r="6785" spans="1:13" s="33" customFormat="true" ht="12.75" customHeight="true">
      <c r="A6785" s="33" t="str">
        <f t="shared" si="420"/>
        <v>OLD - CGS</v>
      </c>
      <c r="B6785" s="33" t="str">
        <f t="shared" si="421"/>
        <v>OLD</v>
      </c>
      <c r="C6785" s="33" t="str">
        <f t="shared" si="422"/>
        <v>52001-0043</v>
      </c>
      <c r="D6785" s="64" t="s">
        <v>8001</v>
      </c>
      <c r="E6785" s="64" t="s">
        <v>7998</v>
      </c>
      <c r="F6785" s="64" t="s">
        <v>230</v>
      </c>
      <c r="G6785" s="64" t="s">
        <v>3769</v>
      </c>
      <c r="H6785" s="64" t="s">
        <v>1875</v>
      </c>
      <c r="I6785" s="64" t="s">
        <v>3770</v>
      </c>
      <c r="J6785" s="67">
        <v>0</v>
      </c>
      <c r="K6785" s="62">
        <v>1320</v>
      </c>
      <c r="L6785" s="33" t="e">
        <f>HLOOKUP(B6785,#REF!,1,0)</f>
        <v>#REF!</v>
      </c>
      <c r="M6785" s="33" t="str">
        <f t="shared" si="423"/>
        <v>P&amp;L</v>
      </c>
    </row>
    <row r="6786" spans="1:13" s="33" customFormat="true" ht="12.75" customHeight="true">
      <c r="A6786" s="33" t="str">
        <f t="shared" ref="A6786:A6849" si="424">B6786&amp;" - "&amp;TRIM(H6786)</f>
        <v>OLD - CGS</v>
      </c>
      <c r="B6786" s="33" t="str">
        <f t="shared" ref="B6786:B6849" si="425">LEFT(D6786,3)</f>
        <v>OLD</v>
      </c>
      <c r="C6786" s="33" t="str">
        <f t="shared" ref="C6786:C6849" si="426">RIGHT(D6786,10)</f>
        <v>52001-0044</v>
      </c>
      <c r="D6786" s="64" t="s">
        <v>8002</v>
      </c>
      <c r="E6786" s="64" t="s">
        <v>7998</v>
      </c>
      <c r="F6786" s="64" t="s">
        <v>230</v>
      </c>
      <c r="G6786" s="64" t="s">
        <v>3769</v>
      </c>
      <c r="H6786" s="64" t="s">
        <v>1875</v>
      </c>
      <c r="I6786" s="64" t="s">
        <v>3770</v>
      </c>
      <c r="J6786" s="67">
        <v>0</v>
      </c>
      <c r="K6786" s="62">
        <v>605.26</v>
      </c>
      <c r="L6786" s="33" t="e">
        <f>HLOOKUP(B6786,#REF!,1,0)</f>
        <v>#REF!</v>
      </c>
      <c r="M6786" s="33" t="str">
        <f t="shared" ref="M6786:M6849" si="427">IF(VALUE(LEFT(C6786,5))&gt;40000,"P&amp;L","BS")</f>
        <v>P&amp;L</v>
      </c>
    </row>
    <row r="6787" spans="1:13" s="33" customFormat="true" ht="12.75" customHeight="true">
      <c r="A6787" s="33" t="str">
        <f t="shared" si="424"/>
        <v>OLD - CGS</v>
      </c>
      <c r="B6787" s="33" t="str">
        <f t="shared" si="425"/>
        <v>OLD</v>
      </c>
      <c r="C6787" s="33" t="str">
        <f t="shared" si="426"/>
        <v>52001-0045</v>
      </c>
      <c r="D6787" s="64" t="s">
        <v>8003</v>
      </c>
      <c r="E6787" s="64" t="s">
        <v>7998</v>
      </c>
      <c r="F6787" s="64" t="s">
        <v>230</v>
      </c>
      <c r="G6787" s="64" t="s">
        <v>3769</v>
      </c>
      <c r="H6787" s="64" t="s">
        <v>1875</v>
      </c>
      <c r="I6787" s="64" t="s">
        <v>3770</v>
      </c>
      <c r="J6787" s="67">
        <v>0</v>
      </c>
      <c r="K6787" s="62">
        <v>0</v>
      </c>
      <c r="L6787" s="33" t="e">
        <f>HLOOKUP(B6787,#REF!,1,0)</f>
        <v>#REF!</v>
      </c>
      <c r="M6787" s="33" t="str">
        <f t="shared" si="427"/>
        <v>P&amp;L</v>
      </c>
    </row>
    <row r="6788" spans="1:13" s="33" customFormat="true" ht="12.75" customHeight="true">
      <c r="A6788" s="33" t="str">
        <f t="shared" si="424"/>
        <v>OLD - CGS</v>
      </c>
      <c r="B6788" s="33" t="str">
        <f t="shared" si="425"/>
        <v>OLD</v>
      </c>
      <c r="C6788" s="33" t="str">
        <f t="shared" si="426"/>
        <v>52001-0046</v>
      </c>
      <c r="D6788" s="64" t="s">
        <v>8004</v>
      </c>
      <c r="E6788" s="64" t="s">
        <v>7998</v>
      </c>
      <c r="F6788" s="64" t="s">
        <v>230</v>
      </c>
      <c r="G6788" s="64" t="s">
        <v>3769</v>
      </c>
      <c r="H6788" s="64" t="s">
        <v>1875</v>
      </c>
      <c r="I6788" s="64" t="s">
        <v>3770</v>
      </c>
      <c r="J6788" s="67">
        <v>0</v>
      </c>
      <c r="K6788" s="62">
        <v>19238.45</v>
      </c>
      <c r="L6788" s="33" t="e">
        <f>HLOOKUP(B6788,#REF!,1,0)</f>
        <v>#REF!</v>
      </c>
      <c r="M6788" s="33" t="str">
        <f t="shared" si="427"/>
        <v>P&amp;L</v>
      </c>
    </row>
    <row r="6789" spans="1:13" s="33" customFormat="true" ht="12.75" customHeight="true">
      <c r="A6789" s="33" t="str">
        <f t="shared" si="424"/>
        <v>OLD - CGS</v>
      </c>
      <c r="B6789" s="33" t="str">
        <f t="shared" si="425"/>
        <v>OLD</v>
      </c>
      <c r="C6789" s="33" t="str">
        <f t="shared" si="426"/>
        <v>52001-0048</v>
      </c>
      <c r="D6789" s="64" t="s">
        <v>8005</v>
      </c>
      <c r="E6789" s="64" t="s">
        <v>7998</v>
      </c>
      <c r="F6789" s="64" t="s">
        <v>230</v>
      </c>
      <c r="G6789" s="64" t="s">
        <v>3769</v>
      </c>
      <c r="H6789" s="64" t="s">
        <v>1875</v>
      </c>
      <c r="I6789" s="64" t="s">
        <v>3770</v>
      </c>
      <c r="J6789" s="67">
        <v>0</v>
      </c>
      <c r="K6789" s="62">
        <v>2908.93</v>
      </c>
      <c r="L6789" s="33" t="e">
        <f>HLOOKUP(B6789,#REF!,1,0)</f>
        <v>#REF!</v>
      </c>
      <c r="M6789" s="33" t="str">
        <f t="shared" si="427"/>
        <v>P&amp;L</v>
      </c>
    </row>
    <row r="6790" spans="1:13" s="33" customFormat="true" ht="12.75" customHeight="true">
      <c r="A6790" s="33" t="str">
        <f t="shared" si="424"/>
        <v>OLD - CGS</v>
      </c>
      <c r="B6790" s="33" t="str">
        <f t="shared" si="425"/>
        <v>OLD</v>
      </c>
      <c r="C6790" s="33" t="str">
        <f t="shared" si="426"/>
        <v>52001-0049</v>
      </c>
      <c r="D6790" s="64" t="s">
        <v>8006</v>
      </c>
      <c r="E6790" s="64" t="s">
        <v>7998</v>
      </c>
      <c r="F6790" s="64" t="s">
        <v>230</v>
      </c>
      <c r="G6790" s="64" t="s">
        <v>3769</v>
      </c>
      <c r="H6790" s="64" t="s">
        <v>1875</v>
      </c>
      <c r="I6790" s="64" t="s">
        <v>3770</v>
      </c>
      <c r="J6790" s="67">
        <v>0</v>
      </c>
      <c r="K6790" s="62">
        <v>13116.12</v>
      </c>
      <c r="L6790" s="33" t="e">
        <f>HLOOKUP(B6790,#REF!,1,0)</f>
        <v>#REF!</v>
      </c>
      <c r="M6790" s="33" t="str">
        <f t="shared" si="427"/>
        <v>P&amp;L</v>
      </c>
    </row>
    <row r="6791" spans="1:13" s="33" customFormat="true" ht="12.75" customHeight="true">
      <c r="A6791" s="33" t="str">
        <f t="shared" si="424"/>
        <v>OLD - CGS</v>
      </c>
      <c r="B6791" s="33" t="str">
        <f t="shared" si="425"/>
        <v>OLD</v>
      </c>
      <c r="C6791" s="33" t="str">
        <f t="shared" si="426"/>
        <v>52001-0050</v>
      </c>
      <c r="D6791" s="64" t="s">
        <v>8007</v>
      </c>
      <c r="E6791" s="64" t="s">
        <v>7998</v>
      </c>
      <c r="F6791" s="64" t="s">
        <v>230</v>
      </c>
      <c r="G6791" s="64" t="s">
        <v>3769</v>
      </c>
      <c r="H6791" s="64" t="s">
        <v>1875</v>
      </c>
      <c r="I6791" s="64" t="s">
        <v>3770</v>
      </c>
      <c r="J6791" s="67">
        <v>0</v>
      </c>
      <c r="K6791" s="62">
        <v>30479.18</v>
      </c>
      <c r="L6791" s="33" t="e">
        <f>HLOOKUP(B6791,#REF!,1,0)</f>
        <v>#REF!</v>
      </c>
      <c r="M6791" s="33" t="str">
        <f t="shared" si="427"/>
        <v>P&amp;L</v>
      </c>
    </row>
    <row r="6792" spans="1:13" s="33" customFormat="true" ht="12.75" customHeight="true">
      <c r="A6792" s="33" t="str">
        <f t="shared" si="424"/>
        <v>OLD - CGS</v>
      </c>
      <c r="B6792" s="33" t="str">
        <f t="shared" si="425"/>
        <v>OLD</v>
      </c>
      <c r="C6792" s="33" t="str">
        <f t="shared" si="426"/>
        <v>52002-0043</v>
      </c>
      <c r="D6792" s="64" t="s">
        <v>8008</v>
      </c>
      <c r="E6792" s="64" t="s">
        <v>3997</v>
      </c>
      <c r="F6792" s="64" t="s">
        <v>230</v>
      </c>
      <c r="G6792" s="64" t="s">
        <v>3769</v>
      </c>
      <c r="H6792" s="64" t="s">
        <v>1875</v>
      </c>
      <c r="I6792" s="64" t="s">
        <v>3998</v>
      </c>
      <c r="J6792" s="67">
        <v>0</v>
      </c>
      <c r="K6792" s="62">
        <v>0</v>
      </c>
      <c r="L6792" s="33" t="e">
        <f>HLOOKUP(B6792,#REF!,1,0)</f>
        <v>#REF!</v>
      </c>
      <c r="M6792" s="33" t="str">
        <f t="shared" si="427"/>
        <v>P&amp;L</v>
      </c>
    </row>
    <row r="6793" spans="1:13" s="33" customFormat="true" ht="12.75" customHeight="true">
      <c r="A6793" s="33" t="str">
        <f t="shared" si="424"/>
        <v>OLD - CGS</v>
      </c>
      <c r="B6793" s="33" t="str">
        <f t="shared" si="425"/>
        <v>OLD</v>
      </c>
      <c r="C6793" s="33" t="str">
        <f t="shared" si="426"/>
        <v>52002-0044</v>
      </c>
      <c r="D6793" s="64" t="s">
        <v>8009</v>
      </c>
      <c r="E6793" s="64" t="s">
        <v>3997</v>
      </c>
      <c r="F6793" s="64" t="s">
        <v>230</v>
      </c>
      <c r="G6793" s="64" t="s">
        <v>3769</v>
      </c>
      <c r="H6793" s="64" t="s">
        <v>1875</v>
      </c>
      <c r="I6793" s="64" t="s">
        <v>3998</v>
      </c>
      <c r="J6793" s="67">
        <v>0</v>
      </c>
      <c r="K6793" s="62">
        <v>0</v>
      </c>
      <c r="L6793" s="33" t="e">
        <f>HLOOKUP(B6793,#REF!,1,0)</f>
        <v>#REF!</v>
      </c>
      <c r="M6793" s="33" t="str">
        <f t="shared" si="427"/>
        <v>P&amp;L</v>
      </c>
    </row>
    <row r="6794" spans="1:13" s="33" customFormat="true" ht="12.75" customHeight="true">
      <c r="A6794" s="33" t="str">
        <f t="shared" si="424"/>
        <v>OLD - CGS</v>
      </c>
      <c r="B6794" s="33" t="str">
        <f t="shared" si="425"/>
        <v>OLD</v>
      </c>
      <c r="C6794" s="33" t="str">
        <f t="shared" si="426"/>
        <v>52002-0045</v>
      </c>
      <c r="D6794" s="64" t="s">
        <v>8010</v>
      </c>
      <c r="E6794" s="64" t="s">
        <v>3997</v>
      </c>
      <c r="F6794" s="64" t="s">
        <v>230</v>
      </c>
      <c r="G6794" s="64" t="s">
        <v>3769</v>
      </c>
      <c r="H6794" s="64" t="s">
        <v>1875</v>
      </c>
      <c r="I6794" s="64" t="s">
        <v>3998</v>
      </c>
      <c r="J6794" s="67">
        <v>0</v>
      </c>
      <c r="K6794" s="62">
        <v>0</v>
      </c>
      <c r="L6794" s="33" t="e">
        <f>HLOOKUP(B6794,#REF!,1,0)</f>
        <v>#REF!</v>
      </c>
      <c r="M6794" s="33" t="str">
        <f t="shared" si="427"/>
        <v>P&amp;L</v>
      </c>
    </row>
    <row r="6795" spans="1:13" s="33" customFormat="true" ht="12.75" customHeight="true">
      <c r="A6795" s="33" t="str">
        <f t="shared" si="424"/>
        <v>OLD - CGS</v>
      </c>
      <c r="B6795" s="33" t="str">
        <f t="shared" si="425"/>
        <v>OLD</v>
      </c>
      <c r="C6795" s="33" t="str">
        <f t="shared" si="426"/>
        <v>52002-0046</v>
      </c>
      <c r="D6795" s="64" t="s">
        <v>8011</v>
      </c>
      <c r="E6795" s="64" t="s">
        <v>3997</v>
      </c>
      <c r="F6795" s="64" t="s">
        <v>230</v>
      </c>
      <c r="G6795" s="64" t="s">
        <v>3769</v>
      </c>
      <c r="H6795" s="64" t="s">
        <v>1875</v>
      </c>
      <c r="I6795" s="64" t="s">
        <v>3998</v>
      </c>
      <c r="J6795" s="67">
        <v>0</v>
      </c>
      <c r="K6795" s="62">
        <v>485</v>
      </c>
      <c r="L6795" s="33" t="e">
        <f>HLOOKUP(B6795,#REF!,1,0)</f>
        <v>#REF!</v>
      </c>
      <c r="M6795" s="33" t="str">
        <f t="shared" si="427"/>
        <v>P&amp;L</v>
      </c>
    </row>
    <row r="6796" spans="1:13" s="33" customFormat="true" ht="12.75" customHeight="true">
      <c r="A6796" s="33" t="str">
        <f t="shared" si="424"/>
        <v>OLD - CGS</v>
      </c>
      <c r="B6796" s="33" t="str">
        <f t="shared" si="425"/>
        <v>OLD</v>
      </c>
      <c r="C6796" s="33" t="str">
        <f t="shared" si="426"/>
        <v>52002-0048</v>
      </c>
      <c r="D6796" s="64" t="s">
        <v>8012</v>
      </c>
      <c r="E6796" s="64" t="s">
        <v>3997</v>
      </c>
      <c r="F6796" s="64" t="s">
        <v>230</v>
      </c>
      <c r="G6796" s="64" t="s">
        <v>3769</v>
      </c>
      <c r="H6796" s="64" t="s">
        <v>1875</v>
      </c>
      <c r="I6796" s="64" t="s">
        <v>3998</v>
      </c>
      <c r="J6796" s="67">
        <v>0</v>
      </c>
      <c r="K6796" s="62">
        <v>3873.38</v>
      </c>
      <c r="L6796" s="33" t="e">
        <f>HLOOKUP(B6796,#REF!,1,0)</f>
        <v>#REF!</v>
      </c>
      <c r="M6796" s="33" t="str">
        <f t="shared" si="427"/>
        <v>P&amp;L</v>
      </c>
    </row>
    <row r="6797" spans="1:13" s="33" customFormat="true" ht="12.75" customHeight="true">
      <c r="A6797" s="33" t="str">
        <f t="shared" si="424"/>
        <v>OLD - CGS</v>
      </c>
      <c r="B6797" s="33" t="str">
        <f t="shared" si="425"/>
        <v>OLD</v>
      </c>
      <c r="C6797" s="33" t="str">
        <f t="shared" si="426"/>
        <v>52002-0049</v>
      </c>
      <c r="D6797" s="64" t="s">
        <v>8013</v>
      </c>
      <c r="E6797" s="64" t="s">
        <v>3997</v>
      </c>
      <c r="F6797" s="64" t="s">
        <v>230</v>
      </c>
      <c r="G6797" s="64" t="s">
        <v>3769</v>
      </c>
      <c r="H6797" s="64" t="s">
        <v>1875</v>
      </c>
      <c r="I6797" s="64" t="s">
        <v>3998</v>
      </c>
      <c r="J6797" s="67">
        <v>0</v>
      </c>
      <c r="K6797" s="62">
        <v>8000.62</v>
      </c>
      <c r="L6797" s="33" t="e">
        <f>HLOOKUP(B6797,#REF!,1,0)</f>
        <v>#REF!</v>
      </c>
      <c r="M6797" s="33" t="str">
        <f t="shared" si="427"/>
        <v>P&amp;L</v>
      </c>
    </row>
    <row r="6798" spans="1:13" s="33" customFormat="true" ht="12.75" customHeight="true">
      <c r="A6798" s="33" t="str">
        <f t="shared" si="424"/>
        <v>OLD - CGS</v>
      </c>
      <c r="B6798" s="33" t="str">
        <f t="shared" si="425"/>
        <v>OLD</v>
      </c>
      <c r="C6798" s="33" t="str">
        <f t="shared" si="426"/>
        <v>52002-0050</v>
      </c>
      <c r="D6798" s="64" t="s">
        <v>8014</v>
      </c>
      <c r="E6798" s="64" t="s">
        <v>3997</v>
      </c>
      <c r="F6798" s="64" t="s">
        <v>230</v>
      </c>
      <c r="G6798" s="64" t="s">
        <v>3769</v>
      </c>
      <c r="H6798" s="64" t="s">
        <v>1875</v>
      </c>
      <c r="I6798" s="64" t="s">
        <v>3998</v>
      </c>
      <c r="J6798" s="67">
        <v>0</v>
      </c>
      <c r="K6798" s="62">
        <v>1908.39</v>
      </c>
      <c r="L6798" s="33" t="e">
        <f>HLOOKUP(B6798,#REF!,1,0)</f>
        <v>#REF!</v>
      </c>
      <c r="M6798" s="33" t="str">
        <f t="shared" si="427"/>
        <v>P&amp;L</v>
      </c>
    </row>
    <row r="6799" spans="1:13" s="33" customFormat="true" ht="12.75" customHeight="true">
      <c r="A6799" s="33" t="str">
        <f t="shared" si="424"/>
        <v>OLD - CGS</v>
      </c>
      <c r="B6799" s="33" t="str">
        <f t="shared" si="425"/>
        <v>OLD</v>
      </c>
      <c r="C6799" s="33" t="str">
        <f t="shared" si="426"/>
        <v>52003-0040</v>
      </c>
      <c r="D6799" s="64" t="s">
        <v>8015</v>
      </c>
      <c r="E6799" s="64" t="s">
        <v>3772</v>
      </c>
      <c r="F6799" s="64" t="s">
        <v>230</v>
      </c>
      <c r="G6799" s="64" t="s">
        <v>3769</v>
      </c>
      <c r="H6799" s="64" t="s">
        <v>1875</v>
      </c>
      <c r="I6799" s="64" t="s">
        <v>3773</v>
      </c>
      <c r="J6799" s="67">
        <v>0</v>
      </c>
      <c r="K6799" s="62">
        <v>170</v>
      </c>
      <c r="L6799" s="33" t="e">
        <f>HLOOKUP(B6799,#REF!,1,0)</f>
        <v>#REF!</v>
      </c>
      <c r="M6799" s="33" t="str">
        <f t="shared" si="427"/>
        <v>P&amp;L</v>
      </c>
    </row>
    <row r="6800" spans="1:13" s="33" customFormat="true" ht="12.75" customHeight="true">
      <c r="A6800" s="33" t="str">
        <f t="shared" si="424"/>
        <v>OLD - CGS</v>
      </c>
      <c r="B6800" s="33" t="str">
        <f t="shared" si="425"/>
        <v>OLD</v>
      </c>
      <c r="C6800" s="33" t="str">
        <f t="shared" si="426"/>
        <v>52003-0041</v>
      </c>
      <c r="D6800" s="64" t="s">
        <v>8016</v>
      </c>
      <c r="E6800" s="64" t="s">
        <v>3772</v>
      </c>
      <c r="F6800" s="64" t="s">
        <v>230</v>
      </c>
      <c r="G6800" s="64" t="s">
        <v>3769</v>
      </c>
      <c r="H6800" s="64" t="s">
        <v>1875</v>
      </c>
      <c r="I6800" s="64" t="s">
        <v>3773</v>
      </c>
      <c r="J6800" s="67">
        <v>0</v>
      </c>
      <c r="K6800" s="62">
        <v>777.51</v>
      </c>
      <c r="L6800" s="33" t="e">
        <f>HLOOKUP(B6800,#REF!,1,0)</f>
        <v>#REF!</v>
      </c>
      <c r="M6800" s="33" t="str">
        <f t="shared" si="427"/>
        <v>P&amp;L</v>
      </c>
    </row>
    <row r="6801" spans="1:13" s="33" customFormat="true" ht="12.75" customHeight="true">
      <c r="A6801" s="33" t="str">
        <f t="shared" si="424"/>
        <v>OLD - CGS</v>
      </c>
      <c r="B6801" s="33" t="str">
        <f t="shared" si="425"/>
        <v>OLD</v>
      </c>
      <c r="C6801" s="33" t="str">
        <f t="shared" si="426"/>
        <v>52003-0042</v>
      </c>
      <c r="D6801" s="64" t="s">
        <v>8017</v>
      </c>
      <c r="E6801" s="64" t="s">
        <v>3772</v>
      </c>
      <c r="F6801" s="64" t="s">
        <v>230</v>
      </c>
      <c r="G6801" s="64" t="s">
        <v>3769</v>
      </c>
      <c r="H6801" s="64" t="s">
        <v>1875</v>
      </c>
      <c r="I6801" s="64" t="s">
        <v>3773</v>
      </c>
      <c r="J6801" s="67">
        <v>0</v>
      </c>
      <c r="K6801" s="62">
        <v>1652.5</v>
      </c>
      <c r="L6801" s="33" t="e">
        <f>HLOOKUP(B6801,#REF!,1,0)</f>
        <v>#REF!</v>
      </c>
      <c r="M6801" s="33" t="str">
        <f t="shared" si="427"/>
        <v>P&amp;L</v>
      </c>
    </row>
    <row r="6802" spans="1:13" s="33" customFormat="true" ht="14.25" customHeight="true">
      <c r="A6802" s="33" t="str">
        <f t="shared" si="424"/>
        <v>OLD - CGS</v>
      </c>
      <c r="B6802" s="33" t="str">
        <f t="shared" si="425"/>
        <v>OLD</v>
      </c>
      <c r="C6802" s="33" t="str">
        <f t="shared" si="426"/>
        <v>52003-0043</v>
      </c>
      <c r="D6802" s="64" t="s">
        <v>8018</v>
      </c>
      <c r="E6802" s="64" t="s">
        <v>3772</v>
      </c>
      <c r="F6802" s="64" t="s">
        <v>230</v>
      </c>
      <c r="G6802" s="64" t="s">
        <v>3769</v>
      </c>
      <c r="H6802" s="33" t="s">
        <v>1875</v>
      </c>
      <c r="I6802" s="64" t="s">
        <v>3773</v>
      </c>
      <c r="J6802" s="67">
        <v>0</v>
      </c>
      <c r="K6802" s="62">
        <v>0</v>
      </c>
      <c r="L6802" s="33" t="e">
        <f>HLOOKUP(B6802,#REF!,1,0)</f>
        <v>#REF!</v>
      </c>
      <c r="M6802" s="33" t="str">
        <f t="shared" si="427"/>
        <v>P&amp;L</v>
      </c>
    </row>
    <row r="6803" spans="1:13" s="33" customFormat="true" ht="12.75" customHeight="true">
      <c r="A6803" s="33" t="str">
        <f t="shared" si="424"/>
        <v>OLD - CGS</v>
      </c>
      <c r="B6803" s="33" t="str">
        <f t="shared" si="425"/>
        <v>OLD</v>
      </c>
      <c r="C6803" s="33" t="str">
        <f t="shared" si="426"/>
        <v>52003-0044</v>
      </c>
      <c r="D6803" s="64" t="s">
        <v>8019</v>
      </c>
      <c r="E6803" s="64" t="s">
        <v>3772</v>
      </c>
      <c r="F6803" s="64" t="s">
        <v>230</v>
      </c>
      <c r="G6803" s="64" t="s">
        <v>3769</v>
      </c>
      <c r="H6803" s="64" t="s">
        <v>1875</v>
      </c>
      <c r="I6803" s="64" t="s">
        <v>3773</v>
      </c>
      <c r="J6803" s="67">
        <v>0</v>
      </c>
      <c r="K6803" s="62">
        <v>683.62</v>
      </c>
      <c r="L6803" s="33" t="e">
        <f>HLOOKUP(B6803,#REF!,1,0)</f>
        <v>#REF!</v>
      </c>
      <c r="M6803" s="33" t="str">
        <f t="shared" si="427"/>
        <v>P&amp;L</v>
      </c>
    </row>
    <row r="6804" spans="1:13" s="33" customFormat="true" ht="12.75" customHeight="true">
      <c r="A6804" s="33" t="str">
        <f t="shared" si="424"/>
        <v>OLD - CGS</v>
      </c>
      <c r="B6804" s="33" t="str">
        <f t="shared" si="425"/>
        <v>OLD</v>
      </c>
      <c r="C6804" s="33" t="str">
        <f t="shared" si="426"/>
        <v>52003-0045</v>
      </c>
      <c r="D6804" s="64" t="s">
        <v>8020</v>
      </c>
      <c r="E6804" s="64" t="s">
        <v>3772</v>
      </c>
      <c r="F6804" s="64" t="s">
        <v>230</v>
      </c>
      <c r="G6804" s="64" t="s">
        <v>3769</v>
      </c>
      <c r="H6804" s="64" t="s">
        <v>1875</v>
      </c>
      <c r="I6804" s="64" t="s">
        <v>3773</v>
      </c>
      <c r="J6804" s="67">
        <v>0</v>
      </c>
      <c r="K6804" s="62">
        <v>0</v>
      </c>
      <c r="L6804" s="33" t="e">
        <f>HLOOKUP(B6804,#REF!,1,0)</f>
        <v>#REF!</v>
      </c>
      <c r="M6804" s="33" t="str">
        <f t="shared" si="427"/>
        <v>P&amp;L</v>
      </c>
    </row>
    <row r="6805" spans="1:13" s="33" customFormat="true" ht="12.75" customHeight="true">
      <c r="A6805" s="33" t="str">
        <f t="shared" si="424"/>
        <v>OLD - CGS</v>
      </c>
      <c r="B6805" s="33" t="str">
        <f t="shared" si="425"/>
        <v>OLD</v>
      </c>
      <c r="C6805" s="33" t="str">
        <f t="shared" si="426"/>
        <v>52003-0046</v>
      </c>
      <c r="D6805" s="64" t="s">
        <v>8021</v>
      </c>
      <c r="E6805" s="64" t="s">
        <v>3772</v>
      </c>
      <c r="F6805" s="64" t="s">
        <v>230</v>
      </c>
      <c r="G6805" s="64" t="s">
        <v>3769</v>
      </c>
      <c r="H6805" s="64" t="s">
        <v>1875</v>
      </c>
      <c r="I6805" s="64" t="s">
        <v>3773</v>
      </c>
      <c r="J6805" s="67">
        <v>0</v>
      </c>
      <c r="K6805" s="62">
        <v>4109.89</v>
      </c>
      <c r="L6805" s="33" t="e">
        <f>HLOOKUP(B6805,#REF!,1,0)</f>
        <v>#REF!</v>
      </c>
      <c r="M6805" s="33" t="str">
        <f t="shared" si="427"/>
        <v>P&amp;L</v>
      </c>
    </row>
    <row r="6806" spans="1:13" s="33" customFormat="true" ht="12.75" customHeight="true">
      <c r="A6806" s="33" t="str">
        <f t="shared" si="424"/>
        <v>OLD - CGS</v>
      </c>
      <c r="B6806" s="33" t="str">
        <f t="shared" si="425"/>
        <v>OLD</v>
      </c>
      <c r="C6806" s="33" t="str">
        <f t="shared" si="426"/>
        <v>52003-0048</v>
      </c>
      <c r="D6806" s="64" t="s">
        <v>8022</v>
      </c>
      <c r="E6806" s="64" t="s">
        <v>3772</v>
      </c>
      <c r="F6806" s="64" t="s">
        <v>230</v>
      </c>
      <c r="G6806" s="64" t="s">
        <v>3769</v>
      </c>
      <c r="H6806" s="64" t="s">
        <v>1875</v>
      </c>
      <c r="I6806" s="64" t="s">
        <v>3773</v>
      </c>
      <c r="J6806" s="67">
        <v>0</v>
      </c>
      <c r="K6806" s="62">
        <v>0</v>
      </c>
      <c r="L6806" s="33" t="e">
        <f>HLOOKUP(B6806,#REF!,1,0)</f>
        <v>#REF!</v>
      </c>
      <c r="M6806" s="33" t="str">
        <f t="shared" si="427"/>
        <v>P&amp;L</v>
      </c>
    </row>
    <row r="6807" spans="1:13" s="33" customFormat="true" ht="12.75" customHeight="true">
      <c r="A6807" s="33" t="str">
        <f t="shared" si="424"/>
        <v>OLD - CGS</v>
      </c>
      <c r="B6807" s="33" t="str">
        <f t="shared" si="425"/>
        <v>OLD</v>
      </c>
      <c r="C6807" s="33" t="str">
        <f t="shared" si="426"/>
        <v>52003-0049</v>
      </c>
      <c r="D6807" s="64" t="s">
        <v>8023</v>
      </c>
      <c r="E6807" s="64" t="s">
        <v>3772</v>
      </c>
      <c r="F6807" s="64" t="s">
        <v>230</v>
      </c>
      <c r="G6807" s="64" t="s">
        <v>3769</v>
      </c>
      <c r="H6807" s="64" t="s">
        <v>1875</v>
      </c>
      <c r="I6807" s="64" t="s">
        <v>3773</v>
      </c>
      <c r="J6807" s="67">
        <v>0</v>
      </c>
      <c r="K6807" s="62">
        <v>5705.83</v>
      </c>
      <c r="L6807" s="33" t="e">
        <f>HLOOKUP(B6807,#REF!,1,0)</f>
        <v>#REF!</v>
      </c>
      <c r="M6807" s="33" t="str">
        <f t="shared" si="427"/>
        <v>P&amp;L</v>
      </c>
    </row>
    <row r="6808" spans="1:13" s="33" customFormat="true" ht="12.75" customHeight="true">
      <c r="A6808" s="33" t="str">
        <f t="shared" si="424"/>
        <v>OLD - CGS</v>
      </c>
      <c r="B6808" s="33" t="str">
        <f t="shared" si="425"/>
        <v>OLD</v>
      </c>
      <c r="C6808" s="33" t="str">
        <f t="shared" si="426"/>
        <v>52003-0050</v>
      </c>
      <c r="D6808" s="64" t="s">
        <v>8024</v>
      </c>
      <c r="E6808" s="64" t="s">
        <v>3772</v>
      </c>
      <c r="F6808" s="64" t="s">
        <v>230</v>
      </c>
      <c r="G6808" s="64" t="s">
        <v>3769</v>
      </c>
      <c r="H6808" s="64" t="s">
        <v>1875</v>
      </c>
      <c r="I6808" s="64" t="s">
        <v>3773</v>
      </c>
      <c r="J6808" s="67">
        <v>0</v>
      </c>
      <c r="K6808" s="62">
        <v>6118.87</v>
      </c>
      <c r="L6808" s="33" t="e">
        <f>HLOOKUP(B6808,#REF!,1,0)</f>
        <v>#REF!</v>
      </c>
      <c r="M6808" s="33" t="str">
        <f t="shared" si="427"/>
        <v>P&amp;L</v>
      </c>
    </row>
    <row r="6809" spans="1:13" s="33" customFormat="true" ht="12.75" customHeight="true">
      <c r="A6809" s="33" t="str">
        <f t="shared" si="424"/>
        <v>OLD - CGS</v>
      </c>
      <c r="B6809" s="33" t="str">
        <f t="shared" si="425"/>
        <v>OLD</v>
      </c>
      <c r="C6809" s="33" t="str">
        <f t="shared" si="426"/>
        <v>52004-0048</v>
      </c>
      <c r="D6809" s="64" t="s">
        <v>8025</v>
      </c>
      <c r="E6809" s="64" t="s">
        <v>3775</v>
      </c>
      <c r="F6809" s="64" t="s">
        <v>230</v>
      </c>
      <c r="G6809" s="64" t="s">
        <v>3769</v>
      </c>
      <c r="H6809" s="64" t="s">
        <v>1875</v>
      </c>
      <c r="I6809" s="64" t="s">
        <v>3776</v>
      </c>
      <c r="J6809" s="67">
        <v>0</v>
      </c>
      <c r="K6809" s="62">
        <v>0</v>
      </c>
      <c r="L6809" s="33" t="e">
        <f>HLOOKUP(B6809,#REF!,1,0)</f>
        <v>#REF!</v>
      </c>
      <c r="M6809" s="33" t="str">
        <f t="shared" si="427"/>
        <v>P&amp;L</v>
      </c>
    </row>
    <row r="6810" spans="1:13" s="33" customFormat="true" ht="12.75" customHeight="true">
      <c r="A6810" s="33" t="str">
        <f t="shared" si="424"/>
        <v>OLD - CGS</v>
      </c>
      <c r="B6810" s="33" t="str">
        <f t="shared" si="425"/>
        <v>OLD</v>
      </c>
      <c r="C6810" s="33" t="str">
        <f t="shared" si="426"/>
        <v>52007-0041</v>
      </c>
      <c r="D6810" s="64" t="s">
        <v>8026</v>
      </c>
      <c r="E6810" s="64" t="s">
        <v>8027</v>
      </c>
      <c r="F6810" s="64" t="s">
        <v>230</v>
      </c>
      <c r="G6810" s="64" t="s">
        <v>3769</v>
      </c>
      <c r="H6810" s="64" t="s">
        <v>1875</v>
      </c>
      <c r="I6810" s="64" t="s">
        <v>8028</v>
      </c>
      <c r="J6810" s="67">
        <v>0</v>
      </c>
      <c r="K6810" s="62">
        <v>3665.66</v>
      </c>
      <c r="L6810" s="33" t="e">
        <f>HLOOKUP(B6810,#REF!,1,0)</f>
        <v>#REF!</v>
      </c>
      <c r="M6810" s="33" t="str">
        <f t="shared" si="427"/>
        <v>P&amp;L</v>
      </c>
    </row>
    <row r="6811" spans="1:13" s="33" customFormat="true" ht="12.75" customHeight="true">
      <c r="A6811" s="33" t="str">
        <f t="shared" si="424"/>
        <v>OLD - CGS</v>
      </c>
      <c r="B6811" s="33" t="str">
        <f t="shared" si="425"/>
        <v>OLD</v>
      </c>
      <c r="C6811" s="33" t="str">
        <f t="shared" si="426"/>
        <v>52007-0043</v>
      </c>
      <c r="D6811" s="64" t="s">
        <v>8029</v>
      </c>
      <c r="E6811" s="64" t="s">
        <v>8027</v>
      </c>
      <c r="F6811" s="64" t="s">
        <v>230</v>
      </c>
      <c r="G6811" s="64" t="s">
        <v>3769</v>
      </c>
      <c r="H6811" s="64" t="s">
        <v>1875</v>
      </c>
      <c r="I6811" s="64" t="s">
        <v>8028</v>
      </c>
      <c r="J6811" s="67">
        <v>0</v>
      </c>
      <c r="K6811" s="62">
        <v>0</v>
      </c>
      <c r="L6811" s="33" t="e">
        <f>HLOOKUP(B6811,#REF!,1,0)</f>
        <v>#REF!</v>
      </c>
      <c r="M6811" s="33" t="str">
        <f t="shared" si="427"/>
        <v>P&amp;L</v>
      </c>
    </row>
    <row r="6812" spans="1:13" s="33" customFormat="true" ht="12.75" customHeight="true">
      <c r="A6812" s="33" t="str">
        <f t="shared" si="424"/>
        <v>OLD - CGS</v>
      </c>
      <c r="B6812" s="33" t="str">
        <f t="shared" si="425"/>
        <v>OLD</v>
      </c>
      <c r="C6812" s="33" t="str">
        <f t="shared" si="426"/>
        <v>52007-0044</v>
      </c>
      <c r="D6812" s="64" t="s">
        <v>8030</v>
      </c>
      <c r="E6812" s="64" t="s">
        <v>8027</v>
      </c>
      <c r="F6812" s="64" t="s">
        <v>230</v>
      </c>
      <c r="G6812" s="64" t="s">
        <v>3769</v>
      </c>
      <c r="H6812" s="64" t="s">
        <v>1875</v>
      </c>
      <c r="I6812" s="64" t="s">
        <v>8028</v>
      </c>
      <c r="J6812" s="67">
        <v>0</v>
      </c>
      <c r="K6812" s="62">
        <v>23.93</v>
      </c>
      <c r="L6812" s="33" t="e">
        <f>HLOOKUP(B6812,#REF!,1,0)</f>
        <v>#REF!</v>
      </c>
      <c r="M6812" s="33" t="str">
        <f t="shared" si="427"/>
        <v>P&amp;L</v>
      </c>
    </row>
    <row r="6813" spans="1:13" s="33" customFormat="true" ht="12.75" customHeight="true">
      <c r="A6813" s="33" t="str">
        <f t="shared" si="424"/>
        <v>OLD - CGS</v>
      </c>
      <c r="B6813" s="33" t="str">
        <f t="shared" si="425"/>
        <v>OLD</v>
      </c>
      <c r="C6813" s="33" t="str">
        <f t="shared" si="426"/>
        <v>52007-0045</v>
      </c>
      <c r="D6813" s="64" t="s">
        <v>8031</v>
      </c>
      <c r="E6813" s="64" t="s">
        <v>8027</v>
      </c>
      <c r="F6813" s="64" t="s">
        <v>230</v>
      </c>
      <c r="G6813" s="64" t="s">
        <v>3769</v>
      </c>
      <c r="H6813" s="64" t="s">
        <v>1875</v>
      </c>
      <c r="I6813" s="64" t="s">
        <v>8028</v>
      </c>
      <c r="J6813" s="67">
        <v>0</v>
      </c>
      <c r="K6813" s="62">
        <v>0</v>
      </c>
      <c r="L6813" s="33" t="e">
        <f>HLOOKUP(B6813,#REF!,1,0)</f>
        <v>#REF!</v>
      </c>
      <c r="M6813" s="33" t="str">
        <f t="shared" si="427"/>
        <v>P&amp;L</v>
      </c>
    </row>
    <row r="6814" spans="1:13" s="33" customFormat="true" ht="12.75" customHeight="true">
      <c r="A6814" s="33" t="str">
        <f t="shared" si="424"/>
        <v>OLD - CGS</v>
      </c>
      <c r="B6814" s="33" t="str">
        <f t="shared" si="425"/>
        <v>OLD</v>
      </c>
      <c r="C6814" s="33" t="str">
        <f t="shared" si="426"/>
        <v>52007-0046</v>
      </c>
      <c r="D6814" s="64" t="s">
        <v>8032</v>
      </c>
      <c r="E6814" s="64" t="s">
        <v>8027</v>
      </c>
      <c r="F6814" s="64" t="s">
        <v>230</v>
      </c>
      <c r="G6814" s="64" t="s">
        <v>3769</v>
      </c>
      <c r="H6814" s="64" t="s">
        <v>1875</v>
      </c>
      <c r="I6814" s="64" t="s">
        <v>8028</v>
      </c>
      <c r="J6814" s="67">
        <v>0</v>
      </c>
      <c r="K6814" s="62">
        <v>4048.56</v>
      </c>
      <c r="L6814" s="33" t="e">
        <f>HLOOKUP(B6814,#REF!,1,0)</f>
        <v>#REF!</v>
      </c>
      <c r="M6814" s="33" t="str">
        <f t="shared" si="427"/>
        <v>P&amp;L</v>
      </c>
    </row>
    <row r="6815" spans="1:13" s="33" customFormat="true" ht="12.75" customHeight="true">
      <c r="A6815" s="33" t="str">
        <f t="shared" si="424"/>
        <v>OLD - CGS</v>
      </c>
      <c r="B6815" s="33" t="str">
        <f t="shared" si="425"/>
        <v>OLD</v>
      </c>
      <c r="C6815" s="33" t="str">
        <f t="shared" si="426"/>
        <v>52007-0048</v>
      </c>
      <c r="D6815" s="64" t="s">
        <v>8033</v>
      </c>
      <c r="E6815" s="64" t="s">
        <v>8027</v>
      </c>
      <c r="F6815" s="64" t="s">
        <v>230</v>
      </c>
      <c r="G6815" s="64" t="s">
        <v>3769</v>
      </c>
      <c r="H6815" s="64" t="s">
        <v>1875</v>
      </c>
      <c r="I6815" s="64" t="s">
        <v>8028</v>
      </c>
      <c r="J6815" s="67">
        <v>0</v>
      </c>
      <c r="K6815" s="62">
        <v>184.35</v>
      </c>
      <c r="L6815" s="33" t="e">
        <f>HLOOKUP(B6815,#REF!,1,0)</f>
        <v>#REF!</v>
      </c>
      <c r="M6815" s="33" t="str">
        <f t="shared" si="427"/>
        <v>P&amp;L</v>
      </c>
    </row>
    <row r="6816" spans="1:13" s="33" customFormat="true" ht="12.75" customHeight="true">
      <c r="A6816" s="33" t="str">
        <f t="shared" si="424"/>
        <v>OLD - CGS</v>
      </c>
      <c r="B6816" s="33" t="str">
        <f t="shared" si="425"/>
        <v>OLD</v>
      </c>
      <c r="C6816" s="33" t="str">
        <f t="shared" si="426"/>
        <v>52007-0049</v>
      </c>
      <c r="D6816" s="64" t="s">
        <v>8034</v>
      </c>
      <c r="E6816" s="64" t="s">
        <v>8027</v>
      </c>
      <c r="F6816" s="64" t="s">
        <v>230</v>
      </c>
      <c r="G6816" s="64" t="s">
        <v>3769</v>
      </c>
      <c r="H6816" s="64" t="s">
        <v>1875</v>
      </c>
      <c r="I6816" s="64" t="s">
        <v>8028</v>
      </c>
      <c r="J6816" s="67">
        <v>0</v>
      </c>
      <c r="K6816" s="62">
        <v>35469.56</v>
      </c>
      <c r="L6816" s="33" t="e">
        <f>HLOOKUP(B6816,#REF!,1,0)</f>
        <v>#REF!</v>
      </c>
      <c r="M6816" s="33" t="str">
        <f t="shared" si="427"/>
        <v>P&amp;L</v>
      </c>
    </row>
    <row r="6817" spans="1:13" s="33" customFormat="true" ht="12.75" customHeight="true">
      <c r="A6817" s="33" t="str">
        <f t="shared" si="424"/>
        <v>OLD - CGS</v>
      </c>
      <c r="B6817" s="33" t="str">
        <f t="shared" si="425"/>
        <v>OLD</v>
      </c>
      <c r="C6817" s="33" t="str">
        <f t="shared" si="426"/>
        <v>52007-0050</v>
      </c>
      <c r="D6817" s="64" t="s">
        <v>8035</v>
      </c>
      <c r="E6817" s="64" t="s">
        <v>8027</v>
      </c>
      <c r="F6817" s="64" t="s">
        <v>230</v>
      </c>
      <c r="G6817" s="64" t="s">
        <v>3769</v>
      </c>
      <c r="H6817" s="64" t="s">
        <v>1875</v>
      </c>
      <c r="I6817" s="64" t="s">
        <v>8028</v>
      </c>
      <c r="J6817" s="67">
        <v>0</v>
      </c>
      <c r="K6817" s="62">
        <v>23270.7</v>
      </c>
      <c r="L6817" s="33" t="e">
        <f>HLOOKUP(B6817,#REF!,1,0)</f>
        <v>#REF!</v>
      </c>
      <c r="M6817" s="33" t="str">
        <f t="shared" si="427"/>
        <v>P&amp;L</v>
      </c>
    </row>
    <row r="6818" spans="1:13" s="33" customFormat="true" ht="12.75" customHeight="true">
      <c r="A6818" s="33" t="str">
        <f t="shared" si="424"/>
        <v>OLD - CGS</v>
      </c>
      <c r="B6818" s="33" t="str">
        <f t="shared" si="425"/>
        <v>OLD</v>
      </c>
      <c r="C6818" s="33" t="str">
        <f t="shared" si="426"/>
        <v>53001-0041</v>
      </c>
      <c r="D6818" s="64" t="s">
        <v>8036</v>
      </c>
      <c r="E6818" s="64" t="s">
        <v>8037</v>
      </c>
      <c r="F6818" s="64" t="s">
        <v>230</v>
      </c>
      <c r="G6818" s="64" t="s">
        <v>3160</v>
      </c>
      <c r="H6818" s="64" t="s">
        <v>1875</v>
      </c>
      <c r="I6818" s="64" t="s">
        <v>3782</v>
      </c>
      <c r="J6818" s="67">
        <v>0</v>
      </c>
      <c r="K6818" s="62">
        <v>182.87</v>
      </c>
      <c r="L6818" s="33" t="e">
        <f>HLOOKUP(B6818,#REF!,1,0)</f>
        <v>#REF!</v>
      </c>
      <c r="M6818" s="33" t="str">
        <f t="shared" si="427"/>
        <v>P&amp;L</v>
      </c>
    </row>
    <row r="6819" spans="1:13" s="33" customFormat="true" ht="12.75" customHeight="true">
      <c r="A6819" s="33" t="str">
        <f t="shared" si="424"/>
        <v>OLD - CGS</v>
      </c>
      <c r="B6819" s="33" t="str">
        <f t="shared" si="425"/>
        <v>OLD</v>
      </c>
      <c r="C6819" s="33" t="str">
        <f t="shared" si="426"/>
        <v>53001-0042</v>
      </c>
      <c r="D6819" s="64" t="s">
        <v>8038</v>
      </c>
      <c r="E6819" s="64" t="s">
        <v>8037</v>
      </c>
      <c r="F6819" s="64" t="s">
        <v>230</v>
      </c>
      <c r="G6819" s="64" t="s">
        <v>3160</v>
      </c>
      <c r="H6819" s="64" t="s">
        <v>1875</v>
      </c>
      <c r="I6819" s="64" t="s">
        <v>3782</v>
      </c>
      <c r="J6819" s="67">
        <v>0</v>
      </c>
      <c r="K6819" s="62">
        <v>39.99</v>
      </c>
      <c r="L6819" s="33" t="e">
        <f>HLOOKUP(B6819,#REF!,1,0)</f>
        <v>#REF!</v>
      </c>
      <c r="M6819" s="33" t="str">
        <f t="shared" si="427"/>
        <v>P&amp;L</v>
      </c>
    </row>
    <row r="6820" spans="1:13" s="33" customFormat="true" ht="12.75" customHeight="true">
      <c r="A6820" s="33" t="str">
        <f t="shared" si="424"/>
        <v>OLD - CGS</v>
      </c>
      <c r="B6820" s="33" t="str">
        <f t="shared" si="425"/>
        <v>OLD</v>
      </c>
      <c r="C6820" s="33" t="str">
        <f t="shared" si="426"/>
        <v>53001-0043</v>
      </c>
      <c r="D6820" s="64" t="s">
        <v>8039</v>
      </c>
      <c r="E6820" s="64" t="s">
        <v>8037</v>
      </c>
      <c r="F6820" s="64" t="s">
        <v>230</v>
      </c>
      <c r="G6820" s="64" t="s">
        <v>3160</v>
      </c>
      <c r="H6820" s="64" t="s">
        <v>1875</v>
      </c>
      <c r="I6820" s="64" t="s">
        <v>3782</v>
      </c>
      <c r="J6820" s="67">
        <v>0</v>
      </c>
      <c r="K6820" s="62">
        <v>266.33</v>
      </c>
      <c r="L6820" s="33" t="e">
        <f>HLOOKUP(B6820,#REF!,1,0)</f>
        <v>#REF!</v>
      </c>
      <c r="M6820" s="33" t="str">
        <f t="shared" si="427"/>
        <v>P&amp;L</v>
      </c>
    </row>
    <row r="6821" spans="1:13" s="33" customFormat="true" ht="12.75" customHeight="true">
      <c r="A6821" s="33" t="str">
        <f t="shared" si="424"/>
        <v>OLD - CGS</v>
      </c>
      <c r="B6821" s="33" t="str">
        <f t="shared" si="425"/>
        <v>OLD</v>
      </c>
      <c r="C6821" s="33" t="str">
        <f t="shared" si="426"/>
        <v>53001-0044</v>
      </c>
      <c r="D6821" s="64" t="s">
        <v>8040</v>
      </c>
      <c r="E6821" s="64" t="s">
        <v>8037</v>
      </c>
      <c r="F6821" s="64" t="s">
        <v>230</v>
      </c>
      <c r="G6821" s="64" t="s">
        <v>3160</v>
      </c>
      <c r="H6821" s="64" t="s">
        <v>1875</v>
      </c>
      <c r="I6821" s="64" t="s">
        <v>3782</v>
      </c>
      <c r="J6821" s="67">
        <v>0</v>
      </c>
      <c r="K6821" s="62">
        <v>1854.51</v>
      </c>
      <c r="L6821" s="33" t="e">
        <f>HLOOKUP(B6821,#REF!,1,0)</f>
        <v>#REF!</v>
      </c>
      <c r="M6821" s="33" t="str">
        <f t="shared" si="427"/>
        <v>P&amp;L</v>
      </c>
    </row>
    <row r="6822" spans="1:13" s="33" customFormat="true" ht="12.75" customHeight="true">
      <c r="A6822" s="33" t="str">
        <f t="shared" si="424"/>
        <v>OLD - CGS</v>
      </c>
      <c r="B6822" s="33" t="str">
        <f t="shared" si="425"/>
        <v>OLD</v>
      </c>
      <c r="C6822" s="33" t="str">
        <f t="shared" si="426"/>
        <v>53001-0045</v>
      </c>
      <c r="D6822" s="64" t="s">
        <v>8041</v>
      </c>
      <c r="E6822" s="64" t="s">
        <v>8037</v>
      </c>
      <c r="F6822" s="64" t="s">
        <v>230</v>
      </c>
      <c r="G6822" s="64" t="s">
        <v>3160</v>
      </c>
      <c r="H6822" s="64" t="s">
        <v>1875</v>
      </c>
      <c r="I6822" s="64" t="s">
        <v>3782</v>
      </c>
      <c r="J6822" s="67">
        <v>0</v>
      </c>
      <c r="K6822" s="62">
        <v>0</v>
      </c>
      <c r="L6822" s="33" t="e">
        <f>HLOOKUP(B6822,#REF!,1,0)</f>
        <v>#REF!</v>
      </c>
      <c r="M6822" s="33" t="str">
        <f t="shared" si="427"/>
        <v>P&amp;L</v>
      </c>
    </row>
    <row r="6823" spans="1:13" s="33" customFormat="true" ht="12.75" customHeight="true">
      <c r="A6823" s="33" t="str">
        <f t="shared" si="424"/>
        <v>OLD - CGS</v>
      </c>
      <c r="B6823" s="33" t="str">
        <f t="shared" si="425"/>
        <v>OLD</v>
      </c>
      <c r="C6823" s="33" t="str">
        <f t="shared" si="426"/>
        <v>53001-0046</v>
      </c>
      <c r="D6823" s="64" t="s">
        <v>8042</v>
      </c>
      <c r="E6823" s="64" t="s">
        <v>8037</v>
      </c>
      <c r="F6823" s="64" t="s">
        <v>230</v>
      </c>
      <c r="G6823" s="64" t="s">
        <v>3160</v>
      </c>
      <c r="H6823" s="64" t="s">
        <v>1875</v>
      </c>
      <c r="I6823" s="64" t="s">
        <v>3782</v>
      </c>
      <c r="J6823" s="67">
        <v>0</v>
      </c>
      <c r="K6823" s="62">
        <v>180</v>
      </c>
      <c r="L6823" s="33" t="e">
        <f>HLOOKUP(B6823,#REF!,1,0)</f>
        <v>#REF!</v>
      </c>
      <c r="M6823" s="33" t="str">
        <f t="shared" si="427"/>
        <v>P&amp;L</v>
      </c>
    </row>
    <row r="6824" spans="1:13" s="33" customFormat="true" ht="12.75" customHeight="true">
      <c r="A6824" s="33" t="str">
        <f t="shared" si="424"/>
        <v>OLD - CGS</v>
      </c>
      <c r="B6824" s="33" t="str">
        <f t="shared" si="425"/>
        <v>OLD</v>
      </c>
      <c r="C6824" s="33" t="str">
        <f t="shared" si="426"/>
        <v>53001-0048</v>
      </c>
      <c r="D6824" s="64" t="s">
        <v>8043</v>
      </c>
      <c r="E6824" s="64" t="s">
        <v>8037</v>
      </c>
      <c r="F6824" s="64" t="s">
        <v>230</v>
      </c>
      <c r="G6824" s="64" t="s">
        <v>3160</v>
      </c>
      <c r="H6824" s="64" t="s">
        <v>1875</v>
      </c>
      <c r="I6824" s="64" t="s">
        <v>3782</v>
      </c>
      <c r="J6824" s="67">
        <v>0</v>
      </c>
      <c r="K6824" s="62">
        <v>0</v>
      </c>
      <c r="L6824" s="33" t="e">
        <f>HLOOKUP(B6824,#REF!,1,0)</f>
        <v>#REF!</v>
      </c>
      <c r="M6824" s="33" t="str">
        <f t="shared" si="427"/>
        <v>P&amp;L</v>
      </c>
    </row>
    <row r="6825" spans="1:13" s="33" customFormat="true" ht="12.75" customHeight="true">
      <c r="A6825" s="33" t="str">
        <f t="shared" si="424"/>
        <v>OLD - CGS</v>
      </c>
      <c r="B6825" s="33" t="str">
        <f t="shared" si="425"/>
        <v>OLD</v>
      </c>
      <c r="C6825" s="33" t="str">
        <f t="shared" si="426"/>
        <v>53001-0050</v>
      </c>
      <c r="D6825" s="64" t="s">
        <v>8044</v>
      </c>
      <c r="E6825" s="64" t="s">
        <v>8037</v>
      </c>
      <c r="F6825" s="64" t="s">
        <v>230</v>
      </c>
      <c r="G6825" s="64" t="s">
        <v>3160</v>
      </c>
      <c r="H6825" s="64" t="s">
        <v>1875</v>
      </c>
      <c r="I6825" s="64" t="s">
        <v>3782</v>
      </c>
      <c r="J6825" s="67">
        <v>0</v>
      </c>
      <c r="K6825" s="62">
        <v>923.66</v>
      </c>
      <c r="L6825" s="33" t="e">
        <f>HLOOKUP(B6825,#REF!,1,0)</f>
        <v>#REF!</v>
      </c>
      <c r="M6825" s="33" t="str">
        <f t="shared" si="427"/>
        <v>P&amp;L</v>
      </c>
    </row>
    <row r="6826" spans="1:13" s="33" customFormat="true" ht="12.75" customHeight="true">
      <c r="A6826" s="33" t="str">
        <f t="shared" si="424"/>
        <v>OLD - CGS</v>
      </c>
      <c r="B6826" s="33" t="str">
        <f t="shared" si="425"/>
        <v>OLD</v>
      </c>
      <c r="C6826" s="33" t="str">
        <f t="shared" si="426"/>
        <v>53002-0040</v>
      </c>
      <c r="D6826" s="64" t="s">
        <v>8045</v>
      </c>
      <c r="E6826" s="64" t="s">
        <v>8046</v>
      </c>
      <c r="F6826" s="64" t="s">
        <v>230</v>
      </c>
      <c r="G6826" s="64" t="s">
        <v>3160</v>
      </c>
      <c r="H6826" s="64" t="s">
        <v>1875</v>
      </c>
      <c r="I6826" s="64" t="s">
        <v>3785</v>
      </c>
      <c r="J6826" s="67">
        <v>0</v>
      </c>
      <c r="K6826" s="62">
        <v>165</v>
      </c>
      <c r="L6826" s="33" t="e">
        <f>HLOOKUP(B6826,#REF!,1,0)</f>
        <v>#REF!</v>
      </c>
      <c r="M6826" s="33" t="str">
        <f t="shared" si="427"/>
        <v>P&amp;L</v>
      </c>
    </row>
    <row r="6827" spans="1:13" s="33" customFormat="true" ht="12.75" customHeight="true">
      <c r="A6827" s="33" t="str">
        <f t="shared" si="424"/>
        <v>OLD - CGS</v>
      </c>
      <c r="B6827" s="33" t="str">
        <f t="shared" si="425"/>
        <v>OLD</v>
      </c>
      <c r="C6827" s="33" t="str">
        <f t="shared" si="426"/>
        <v>53002-0041</v>
      </c>
      <c r="D6827" s="64" t="s">
        <v>8047</v>
      </c>
      <c r="E6827" s="64" t="s">
        <v>8046</v>
      </c>
      <c r="F6827" s="64" t="s">
        <v>230</v>
      </c>
      <c r="G6827" s="64" t="s">
        <v>3160</v>
      </c>
      <c r="H6827" s="64" t="s">
        <v>1875</v>
      </c>
      <c r="I6827" s="64" t="s">
        <v>3785</v>
      </c>
      <c r="J6827" s="67">
        <v>0</v>
      </c>
      <c r="K6827" s="62">
        <v>2334.46</v>
      </c>
      <c r="L6827" s="33" t="e">
        <f>HLOOKUP(B6827,#REF!,1,0)</f>
        <v>#REF!</v>
      </c>
      <c r="M6827" s="33" t="str">
        <f t="shared" si="427"/>
        <v>P&amp;L</v>
      </c>
    </row>
    <row r="6828" spans="1:13" s="33" customFormat="true" ht="12.75" customHeight="true">
      <c r="A6828" s="33" t="str">
        <f t="shared" si="424"/>
        <v>OLD - CGS</v>
      </c>
      <c r="B6828" s="33" t="str">
        <f t="shared" si="425"/>
        <v>OLD</v>
      </c>
      <c r="C6828" s="33" t="str">
        <f t="shared" si="426"/>
        <v>53002-0042</v>
      </c>
      <c r="D6828" s="64" t="s">
        <v>8048</v>
      </c>
      <c r="E6828" s="64" t="s">
        <v>8046</v>
      </c>
      <c r="F6828" s="64" t="s">
        <v>230</v>
      </c>
      <c r="G6828" s="64" t="s">
        <v>3160</v>
      </c>
      <c r="H6828" s="64" t="s">
        <v>1875</v>
      </c>
      <c r="I6828" s="64" t="s">
        <v>3785</v>
      </c>
      <c r="J6828" s="67">
        <v>0</v>
      </c>
      <c r="K6828" s="62">
        <v>3185.48</v>
      </c>
      <c r="L6828" s="33" t="e">
        <f>HLOOKUP(B6828,#REF!,1,0)</f>
        <v>#REF!</v>
      </c>
      <c r="M6828" s="33" t="str">
        <f t="shared" si="427"/>
        <v>P&amp;L</v>
      </c>
    </row>
    <row r="6829" spans="1:13" s="33" customFormat="true" ht="12.75" customHeight="true">
      <c r="A6829" s="33" t="str">
        <f t="shared" si="424"/>
        <v>OLD - CGS</v>
      </c>
      <c r="B6829" s="33" t="str">
        <f t="shared" si="425"/>
        <v>OLD</v>
      </c>
      <c r="C6829" s="33" t="str">
        <f t="shared" si="426"/>
        <v>53002-0043</v>
      </c>
      <c r="D6829" s="64" t="s">
        <v>8049</v>
      </c>
      <c r="E6829" s="64" t="s">
        <v>8046</v>
      </c>
      <c r="F6829" s="64" t="s">
        <v>230</v>
      </c>
      <c r="G6829" s="64" t="s">
        <v>3160</v>
      </c>
      <c r="H6829" s="64" t="s">
        <v>1875</v>
      </c>
      <c r="I6829" s="64" t="s">
        <v>3785</v>
      </c>
      <c r="J6829" s="67">
        <v>0</v>
      </c>
      <c r="K6829" s="62">
        <v>6564.25</v>
      </c>
      <c r="L6829" s="33" t="e">
        <f>HLOOKUP(B6829,#REF!,1,0)</f>
        <v>#REF!</v>
      </c>
      <c r="M6829" s="33" t="str">
        <f t="shared" si="427"/>
        <v>P&amp;L</v>
      </c>
    </row>
    <row r="6830" spans="1:13" s="33" customFormat="true" ht="12.75" customHeight="true">
      <c r="A6830" s="33" t="str">
        <f t="shared" si="424"/>
        <v>OLD - CGS</v>
      </c>
      <c r="B6830" s="33" t="str">
        <f t="shared" si="425"/>
        <v>OLD</v>
      </c>
      <c r="C6830" s="33" t="str">
        <f t="shared" si="426"/>
        <v>53002-0044</v>
      </c>
      <c r="D6830" s="64" t="s">
        <v>8050</v>
      </c>
      <c r="E6830" s="64" t="s">
        <v>8046</v>
      </c>
      <c r="F6830" s="64" t="s">
        <v>230</v>
      </c>
      <c r="G6830" s="64" t="s">
        <v>3160</v>
      </c>
      <c r="H6830" s="64" t="s">
        <v>1875</v>
      </c>
      <c r="I6830" s="64" t="s">
        <v>3785</v>
      </c>
      <c r="J6830" s="67">
        <v>0</v>
      </c>
      <c r="K6830" s="62">
        <v>226.6</v>
      </c>
      <c r="L6830" s="33" t="e">
        <f>HLOOKUP(B6830,#REF!,1,0)</f>
        <v>#REF!</v>
      </c>
      <c r="M6830" s="33" t="str">
        <f t="shared" si="427"/>
        <v>P&amp;L</v>
      </c>
    </row>
    <row r="6831" spans="1:13" s="33" customFormat="true" ht="12.75" customHeight="true">
      <c r="A6831" s="33" t="str">
        <f t="shared" si="424"/>
        <v>OLD - CGS</v>
      </c>
      <c r="B6831" s="33" t="str">
        <f t="shared" si="425"/>
        <v>OLD</v>
      </c>
      <c r="C6831" s="33" t="str">
        <f t="shared" si="426"/>
        <v>53002-0045</v>
      </c>
      <c r="D6831" s="64" t="s">
        <v>8051</v>
      </c>
      <c r="E6831" s="64" t="s">
        <v>8046</v>
      </c>
      <c r="F6831" s="64" t="s">
        <v>230</v>
      </c>
      <c r="G6831" s="64" t="s">
        <v>3160</v>
      </c>
      <c r="H6831" s="64" t="s">
        <v>1875</v>
      </c>
      <c r="I6831" s="64" t="s">
        <v>3785</v>
      </c>
      <c r="J6831" s="67">
        <v>0</v>
      </c>
      <c r="K6831" s="62">
        <v>1032.57</v>
      </c>
      <c r="L6831" s="33" t="e">
        <f>HLOOKUP(B6831,#REF!,1,0)</f>
        <v>#REF!</v>
      </c>
      <c r="M6831" s="33" t="str">
        <f t="shared" si="427"/>
        <v>P&amp;L</v>
      </c>
    </row>
    <row r="6832" spans="1:13" s="33" customFormat="true" ht="12.75" customHeight="true">
      <c r="A6832" s="33" t="str">
        <f t="shared" si="424"/>
        <v>OLD - CGS</v>
      </c>
      <c r="B6832" s="33" t="str">
        <f t="shared" si="425"/>
        <v>OLD</v>
      </c>
      <c r="C6832" s="33" t="str">
        <f t="shared" si="426"/>
        <v>53002-0046</v>
      </c>
      <c r="D6832" s="64" t="s">
        <v>8052</v>
      </c>
      <c r="E6832" s="64" t="s">
        <v>8046</v>
      </c>
      <c r="F6832" s="64" t="s">
        <v>230</v>
      </c>
      <c r="G6832" s="64" t="s">
        <v>3160</v>
      </c>
      <c r="H6832" s="64" t="s">
        <v>1875</v>
      </c>
      <c r="I6832" s="64" t="s">
        <v>3785</v>
      </c>
      <c r="J6832" s="67">
        <v>0</v>
      </c>
      <c r="K6832" s="62">
        <v>6751.23</v>
      </c>
      <c r="L6832" s="33" t="e">
        <f>HLOOKUP(B6832,#REF!,1,0)</f>
        <v>#REF!</v>
      </c>
      <c r="M6832" s="33" t="str">
        <f t="shared" si="427"/>
        <v>P&amp;L</v>
      </c>
    </row>
    <row r="6833" spans="1:13" s="33" customFormat="true" ht="12.75" customHeight="true">
      <c r="A6833" s="33" t="str">
        <f t="shared" si="424"/>
        <v>OLD - CGS</v>
      </c>
      <c r="B6833" s="33" t="str">
        <f t="shared" si="425"/>
        <v>OLD</v>
      </c>
      <c r="C6833" s="33" t="str">
        <f t="shared" si="426"/>
        <v>53002-0048</v>
      </c>
      <c r="D6833" s="64" t="s">
        <v>8053</v>
      </c>
      <c r="E6833" s="64" t="s">
        <v>8046</v>
      </c>
      <c r="F6833" s="64" t="s">
        <v>230</v>
      </c>
      <c r="G6833" s="64" t="s">
        <v>3160</v>
      </c>
      <c r="H6833" s="64" t="s">
        <v>1875</v>
      </c>
      <c r="I6833" s="64" t="s">
        <v>3785</v>
      </c>
      <c r="J6833" s="67">
        <v>0</v>
      </c>
      <c r="K6833" s="62">
        <v>981.48</v>
      </c>
      <c r="L6833" s="33" t="e">
        <f>HLOOKUP(B6833,#REF!,1,0)</f>
        <v>#REF!</v>
      </c>
      <c r="M6833" s="33" t="str">
        <f t="shared" si="427"/>
        <v>P&amp;L</v>
      </c>
    </row>
    <row r="6834" spans="1:13" s="33" customFormat="true" ht="12.75" customHeight="true">
      <c r="A6834" s="33" t="str">
        <f t="shared" si="424"/>
        <v>OLD - CGS</v>
      </c>
      <c r="B6834" s="33" t="str">
        <f t="shared" si="425"/>
        <v>OLD</v>
      </c>
      <c r="C6834" s="33" t="str">
        <f t="shared" si="426"/>
        <v>53002-0049</v>
      </c>
      <c r="D6834" s="64" t="s">
        <v>8054</v>
      </c>
      <c r="E6834" s="64" t="s">
        <v>8046</v>
      </c>
      <c r="F6834" s="64" t="s">
        <v>230</v>
      </c>
      <c r="G6834" s="64" t="s">
        <v>3160</v>
      </c>
      <c r="H6834" s="64" t="s">
        <v>1875</v>
      </c>
      <c r="I6834" s="64" t="s">
        <v>3785</v>
      </c>
      <c r="J6834" s="67">
        <v>0</v>
      </c>
      <c r="K6834" s="62">
        <v>143149.59</v>
      </c>
      <c r="L6834" s="33" t="e">
        <f>HLOOKUP(B6834,#REF!,1,0)</f>
        <v>#REF!</v>
      </c>
      <c r="M6834" s="33" t="str">
        <f t="shared" si="427"/>
        <v>P&amp;L</v>
      </c>
    </row>
    <row r="6835" spans="1:13" s="33" customFormat="true" ht="12.75" customHeight="true">
      <c r="A6835" s="33" t="str">
        <f t="shared" si="424"/>
        <v>OLD - CGS</v>
      </c>
      <c r="B6835" s="33" t="str">
        <f t="shared" si="425"/>
        <v>OLD</v>
      </c>
      <c r="C6835" s="33" t="str">
        <f t="shared" si="426"/>
        <v>53003-0040</v>
      </c>
      <c r="D6835" s="64" t="s">
        <v>8055</v>
      </c>
      <c r="E6835" s="64" t="s">
        <v>8056</v>
      </c>
      <c r="F6835" s="64" t="s">
        <v>230</v>
      </c>
      <c r="G6835" s="64" t="s">
        <v>3160</v>
      </c>
      <c r="H6835" s="64" t="s">
        <v>1875</v>
      </c>
      <c r="I6835" s="64" t="s">
        <v>3788</v>
      </c>
      <c r="J6835" s="67">
        <v>0</v>
      </c>
      <c r="K6835" s="62">
        <v>237.38</v>
      </c>
      <c r="L6835" s="33" t="e">
        <f>HLOOKUP(B6835,#REF!,1,0)</f>
        <v>#REF!</v>
      </c>
      <c r="M6835" s="33" t="str">
        <f t="shared" si="427"/>
        <v>P&amp;L</v>
      </c>
    </row>
    <row r="6836" spans="1:13" s="33" customFormat="true" ht="12.75" customHeight="true">
      <c r="A6836" s="33" t="str">
        <f t="shared" si="424"/>
        <v>OLD - CGS</v>
      </c>
      <c r="B6836" s="33" t="str">
        <f t="shared" si="425"/>
        <v>OLD</v>
      </c>
      <c r="C6836" s="33" t="str">
        <f t="shared" si="426"/>
        <v>53003-0041</v>
      </c>
      <c r="D6836" s="64" t="s">
        <v>8057</v>
      </c>
      <c r="E6836" s="64" t="s">
        <v>8056</v>
      </c>
      <c r="F6836" s="64" t="s">
        <v>230</v>
      </c>
      <c r="G6836" s="64" t="s">
        <v>3160</v>
      </c>
      <c r="H6836" s="64" t="s">
        <v>1875</v>
      </c>
      <c r="I6836" s="64" t="s">
        <v>3788</v>
      </c>
      <c r="J6836" s="67">
        <v>0</v>
      </c>
      <c r="K6836" s="62">
        <v>1107.28</v>
      </c>
      <c r="L6836" s="33" t="e">
        <f>HLOOKUP(B6836,#REF!,1,0)</f>
        <v>#REF!</v>
      </c>
      <c r="M6836" s="33" t="str">
        <f t="shared" si="427"/>
        <v>P&amp;L</v>
      </c>
    </row>
    <row r="6837" spans="1:13" s="33" customFormat="true" ht="12.75" customHeight="true">
      <c r="A6837" s="33" t="str">
        <f t="shared" si="424"/>
        <v>OLD - CGS</v>
      </c>
      <c r="B6837" s="33" t="str">
        <f t="shared" si="425"/>
        <v>OLD</v>
      </c>
      <c r="C6837" s="33" t="str">
        <f t="shared" si="426"/>
        <v>53003-0042</v>
      </c>
      <c r="D6837" s="64" t="s">
        <v>8058</v>
      </c>
      <c r="E6837" s="64" t="s">
        <v>8056</v>
      </c>
      <c r="F6837" s="64" t="s">
        <v>230</v>
      </c>
      <c r="G6837" s="64" t="s">
        <v>3160</v>
      </c>
      <c r="H6837" s="64" t="s">
        <v>1875</v>
      </c>
      <c r="I6837" s="64" t="s">
        <v>3788</v>
      </c>
      <c r="J6837" s="67">
        <v>0</v>
      </c>
      <c r="K6837" s="62">
        <v>7275.48</v>
      </c>
      <c r="L6837" s="33" t="e">
        <f>HLOOKUP(B6837,#REF!,1,0)</f>
        <v>#REF!</v>
      </c>
      <c r="M6837" s="33" t="str">
        <f t="shared" si="427"/>
        <v>P&amp;L</v>
      </c>
    </row>
    <row r="6838" spans="1:13" s="33" customFormat="true" ht="12.75" customHeight="true">
      <c r="A6838" s="33" t="str">
        <f t="shared" si="424"/>
        <v>OLD - CGS</v>
      </c>
      <c r="B6838" s="33" t="str">
        <f t="shared" si="425"/>
        <v>OLD</v>
      </c>
      <c r="C6838" s="33" t="str">
        <f t="shared" si="426"/>
        <v>53003-0043</v>
      </c>
      <c r="D6838" s="64" t="s">
        <v>8059</v>
      </c>
      <c r="E6838" s="64" t="s">
        <v>8056</v>
      </c>
      <c r="F6838" s="64" t="s">
        <v>230</v>
      </c>
      <c r="G6838" s="64" t="s">
        <v>3160</v>
      </c>
      <c r="H6838" s="64" t="s">
        <v>1875</v>
      </c>
      <c r="I6838" s="64" t="s">
        <v>3788</v>
      </c>
      <c r="J6838" s="67">
        <v>0</v>
      </c>
      <c r="K6838" s="62">
        <v>14039.4</v>
      </c>
      <c r="L6838" s="33" t="e">
        <f>HLOOKUP(B6838,#REF!,1,0)</f>
        <v>#REF!</v>
      </c>
      <c r="M6838" s="33" t="str">
        <f t="shared" si="427"/>
        <v>P&amp;L</v>
      </c>
    </row>
    <row r="6839" spans="1:13" s="33" customFormat="true" ht="12.75" customHeight="true">
      <c r="A6839" s="33" t="str">
        <f t="shared" si="424"/>
        <v>OLD - CGS</v>
      </c>
      <c r="B6839" s="33" t="str">
        <f t="shared" si="425"/>
        <v>OLD</v>
      </c>
      <c r="C6839" s="33" t="str">
        <f t="shared" si="426"/>
        <v>53003-0044</v>
      </c>
      <c r="D6839" s="64" t="s">
        <v>8060</v>
      </c>
      <c r="E6839" s="64" t="s">
        <v>8056</v>
      </c>
      <c r="F6839" s="64" t="s">
        <v>230</v>
      </c>
      <c r="G6839" s="64" t="s">
        <v>3160</v>
      </c>
      <c r="H6839" s="64" t="s">
        <v>1875</v>
      </c>
      <c r="I6839" s="64" t="s">
        <v>3788</v>
      </c>
      <c r="J6839" s="67">
        <v>0</v>
      </c>
      <c r="K6839" s="62">
        <v>2869.72</v>
      </c>
      <c r="L6839" s="33" t="e">
        <f>HLOOKUP(B6839,#REF!,1,0)</f>
        <v>#REF!</v>
      </c>
      <c r="M6839" s="33" t="str">
        <f t="shared" si="427"/>
        <v>P&amp;L</v>
      </c>
    </row>
    <row r="6840" spans="1:13" s="33" customFormat="true" ht="12.75" customHeight="true">
      <c r="A6840" s="33" t="str">
        <f t="shared" si="424"/>
        <v>OLD - CGS</v>
      </c>
      <c r="B6840" s="33" t="str">
        <f t="shared" si="425"/>
        <v>OLD</v>
      </c>
      <c r="C6840" s="33" t="str">
        <f t="shared" si="426"/>
        <v>53003-0045</v>
      </c>
      <c r="D6840" s="64" t="s">
        <v>8061</v>
      </c>
      <c r="E6840" s="64" t="s">
        <v>8056</v>
      </c>
      <c r="F6840" s="64" t="s">
        <v>230</v>
      </c>
      <c r="G6840" s="64" t="s">
        <v>3160</v>
      </c>
      <c r="H6840" s="64" t="s">
        <v>1875</v>
      </c>
      <c r="I6840" s="64" t="s">
        <v>3788</v>
      </c>
      <c r="J6840" s="67">
        <v>0</v>
      </c>
      <c r="K6840" s="62">
        <v>0</v>
      </c>
      <c r="L6840" s="33" t="e">
        <f>HLOOKUP(B6840,#REF!,1,0)</f>
        <v>#REF!</v>
      </c>
      <c r="M6840" s="33" t="str">
        <f t="shared" si="427"/>
        <v>P&amp;L</v>
      </c>
    </row>
    <row r="6841" spans="1:13" s="33" customFormat="true" ht="12.75" customHeight="true">
      <c r="A6841" s="33" t="str">
        <f t="shared" si="424"/>
        <v>OLD - CGS</v>
      </c>
      <c r="B6841" s="33" t="str">
        <f t="shared" si="425"/>
        <v>OLD</v>
      </c>
      <c r="C6841" s="33" t="str">
        <f t="shared" si="426"/>
        <v>53003-0046</v>
      </c>
      <c r="D6841" s="64" t="s">
        <v>8062</v>
      </c>
      <c r="E6841" s="64" t="s">
        <v>8056</v>
      </c>
      <c r="F6841" s="64" t="s">
        <v>230</v>
      </c>
      <c r="G6841" s="64" t="s">
        <v>3160</v>
      </c>
      <c r="H6841" s="64" t="s">
        <v>1875</v>
      </c>
      <c r="I6841" s="64" t="s">
        <v>3788</v>
      </c>
      <c r="J6841" s="67">
        <v>0</v>
      </c>
      <c r="K6841" s="62">
        <v>6938.18</v>
      </c>
      <c r="L6841" s="33" t="e">
        <f>HLOOKUP(B6841,#REF!,1,0)</f>
        <v>#REF!</v>
      </c>
      <c r="M6841" s="33" t="str">
        <f t="shared" si="427"/>
        <v>P&amp;L</v>
      </c>
    </row>
    <row r="6842" spans="1:13" s="33" customFormat="true" ht="12.75" customHeight="true">
      <c r="A6842" s="33" t="str">
        <f t="shared" si="424"/>
        <v>OLD - CGS</v>
      </c>
      <c r="B6842" s="33" t="str">
        <f t="shared" si="425"/>
        <v>OLD</v>
      </c>
      <c r="C6842" s="33" t="str">
        <f t="shared" si="426"/>
        <v>53003-0048</v>
      </c>
      <c r="D6842" s="64" t="s">
        <v>8063</v>
      </c>
      <c r="E6842" s="64" t="s">
        <v>8056</v>
      </c>
      <c r="F6842" s="64" t="s">
        <v>230</v>
      </c>
      <c r="G6842" s="64" t="s">
        <v>3160</v>
      </c>
      <c r="H6842" s="64" t="s">
        <v>1875</v>
      </c>
      <c r="I6842" s="64" t="s">
        <v>3788</v>
      </c>
      <c r="J6842" s="67">
        <v>0</v>
      </c>
      <c r="K6842" s="62">
        <v>1963.1</v>
      </c>
      <c r="L6842" s="33" t="e">
        <f>HLOOKUP(B6842,#REF!,1,0)</f>
        <v>#REF!</v>
      </c>
      <c r="M6842" s="33" t="str">
        <f t="shared" si="427"/>
        <v>P&amp;L</v>
      </c>
    </row>
    <row r="6843" spans="1:13" s="33" customFormat="true" ht="12.75" customHeight="true">
      <c r="A6843" s="33" t="str">
        <f t="shared" si="424"/>
        <v>OLD - CGS</v>
      </c>
      <c r="B6843" s="33" t="str">
        <f t="shared" si="425"/>
        <v>OLD</v>
      </c>
      <c r="C6843" s="33" t="str">
        <f t="shared" si="426"/>
        <v>53003-0049</v>
      </c>
      <c r="D6843" s="64" t="s">
        <v>8064</v>
      </c>
      <c r="E6843" s="64" t="s">
        <v>8056</v>
      </c>
      <c r="F6843" s="64" t="s">
        <v>230</v>
      </c>
      <c r="G6843" s="64" t="s">
        <v>3160</v>
      </c>
      <c r="H6843" s="64" t="s">
        <v>1875</v>
      </c>
      <c r="I6843" s="64" t="s">
        <v>3788</v>
      </c>
      <c r="J6843" s="67">
        <v>0</v>
      </c>
      <c r="K6843" s="62">
        <v>24694.96</v>
      </c>
      <c r="L6843" s="33" t="e">
        <f>HLOOKUP(B6843,#REF!,1,0)</f>
        <v>#REF!</v>
      </c>
      <c r="M6843" s="33" t="str">
        <f t="shared" si="427"/>
        <v>P&amp;L</v>
      </c>
    </row>
    <row r="6844" spans="1:13" s="33" customFormat="true" ht="12.75" customHeight="true">
      <c r="A6844" s="33" t="str">
        <f t="shared" si="424"/>
        <v>OLD - CGS</v>
      </c>
      <c r="B6844" s="33" t="str">
        <f t="shared" si="425"/>
        <v>OLD</v>
      </c>
      <c r="C6844" s="33" t="str">
        <f t="shared" si="426"/>
        <v>53003-0050</v>
      </c>
      <c r="D6844" s="64" t="s">
        <v>8065</v>
      </c>
      <c r="E6844" s="64" t="s">
        <v>8056</v>
      </c>
      <c r="F6844" s="64" t="s">
        <v>230</v>
      </c>
      <c r="G6844" s="64" t="s">
        <v>3160</v>
      </c>
      <c r="H6844" s="64" t="s">
        <v>1875</v>
      </c>
      <c r="I6844" s="64" t="s">
        <v>3788</v>
      </c>
      <c r="J6844" s="67">
        <v>0</v>
      </c>
      <c r="K6844" s="62">
        <v>14640.86</v>
      </c>
      <c r="L6844" s="33" t="e">
        <f>HLOOKUP(B6844,#REF!,1,0)</f>
        <v>#REF!</v>
      </c>
      <c r="M6844" s="33" t="str">
        <f t="shared" si="427"/>
        <v>P&amp;L</v>
      </c>
    </row>
    <row r="6845" spans="1:13" s="33" customFormat="true" ht="12.75" customHeight="true">
      <c r="A6845" s="33" t="str">
        <f t="shared" si="424"/>
        <v>OLD - CGS</v>
      </c>
      <c r="B6845" s="33" t="str">
        <f t="shared" si="425"/>
        <v>OLD</v>
      </c>
      <c r="C6845" s="33" t="str">
        <f t="shared" si="426"/>
        <v>53004-0041</v>
      </c>
      <c r="D6845" s="64" t="s">
        <v>8066</v>
      </c>
      <c r="E6845" s="64" t="s">
        <v>8067</v>
      </c>
      <c r="F6845" s="64" t="s">
        <v>230</v>
      </c>
      <c r="G6845" s="64" t="s">
        <v>3160</v>
      </c>
      <c r="H6845" s="64" t="s">
        <v>1875</v>
      </c>
      <c r="I6845" s="64" t="s">
        <v>3791</v>
      </c>
      <c r="J6845" s="67">
        <v>0</v>
      </c>
      <c r="K6845" s="62">
        <v>1486.85</v>
      </c>
      <c r="L6845" s="33" t="e">
        <f>HLOOKUP(B6845,#REF!,1,0)</f>
        <v>#REF!</v>
      </c>
      <c r="M6845" s="33" t="str">
        <f t="shared" si="427"/>
        <v>P&amp;L</v>
      </c>
    </row>
    <row r="6846" spans="1:13" s="33" customFormat="true" ht="12.75" customHeight="true">
      <c r="A6846" s="33" t="str">
        <f t="shared" si="424"/>
        <v>OLD - CGS</v>
      </c>
      <c r="B6846" s="33" t="str">
        <f t="shared" si="425"/>
        <v>OLD</v>
      </c>
      <c r="C6846" s="33" t="str">
        <f t="shared" si="426"/>
        <v>53004-0042</v>
      </c>
      <c r="D6846" s="64" t="s">
        <v>8068</v>
      </c>
      <c r="E6846" s="64" t="s">
        <v>8067</v>
      </c>
      <c r="F6846" s="64" t="s">
        <v>230</v>
      </c>
      <c r="G6846" s="64" t="s">
        <v>3160</v>
      </c>
      <c r="H6846" s="64" t="s">
        <v>1875</v>
      </c>
      <c r="I6846" s="64" t="s">
        <v>3791</v>
      </c>
      <c r="J6846" s="67">
        <v>0</v>
      </c>
      <c r="K6846" s="62">
        <v>2970.78</v>
      </c>
      <c r="L6846" s="33" t="e">
        <f>HLOOKUP(B6846,#REF!,1,0)</f>
        <v>#REF!</v>
      </c>
      <c r="M6846" s="33" t="str">
        <f t="shared" si="427"/>
        <v>P&amp;L</v>
      </c>
    </row>
    <row r="6847" spans="1:13" s="33" customFormat="true" ht="12.75" customHeight="true">
      <c r="A6847" s="33" t="str">
        <f t="shared" si="424"/>
        <v>OLD - CGS</v>
      </c>
      <c r="B6847" s="33" t="str">
        <f t="shared" si="425"/>
        <v>OLD</v>
      </c>
      <c r="C6847" s="33" t="str">
        <f t="shared" si="426"/>
        <v>53004-0043</v>
      </c>
      <c r="D6847" s="64" t="s">
        <v>8069</v>
      </c>
      <c r="E6847" s="64" t="s">
        <v>8067</v>
      </c>
      <c r="F6847" s="64" t="s">
        <v>230</v>
      </c>
      <c r="G6847" s="64" t="s">
        <v>3160</v>
      </c>
      <c r="H6847" s="64" t="s">
        <v>1875</v>
      </c>
      <c r="I6847" s="64" t="s">
        <v>3791</v>
      </c>
      <c r="J6847" s="67">
        <v>0</v>
      </c>
      <c r="K6847" s="62">
        <v>18936.15</v>
      </c>
      <c r="L6847" s="33" t="e">
        <f>HLOOKUP(B6847,#REF!,1,0)</f>
        <v>#REF!</v>
      </c>
      <c r="M6847" s="33" t="str">
        <f t="shared" si="427"/>
        <v>P&amp;L</v>
      </c>
    </row>
    <row r="6848" spans="1:13" s="33" customFormat="true" ht="12.75" customHeight="true">
      <c r="A6848" s="33" t="str">
        <f t="shared" si="424"/>
        <v>OLD - CGS</v>
      </c>
      <c r="B6848" s="33" t="str">
        <f t="shared" si="425"/>
        <v>OLD</v>
      </c>
      <c r="C6848" s="33" t="str">
        <f t="shared" si="426"/>
        <v>53004-0044</v>
      </c>
      <c r="D6848" s="64" t="s">
        <v>8070</v>
      </c>
      <c r="E6848" s="64" t="s">
        <v>8067</v>
      </c>
      <c r="F6848" s="64" t="s">
        <v>230</v>
      </c>
      <c r="G6848" s="64" t="s">
        <v>3160</v>
      </c>
      <c r="H6848" s="64" t="s">
        <v>1875</v>
      </c>
      <c r="I6848" s="64" t="s">
        <v>3791</v>
      </c>
      <c r="J6848" s="67">
        <v>0</v>
      </c>
      <c r="K6848" s="62">
        <v>0</v>
      </c>
      <c r="L6848" s="33" t="e">
        <f>HLOOKUP(B6848,#REF!,1,0)</f>
        <v>#REF!</v>
      </c>
      <c r="M6848" s="33" t="str">
        <f t="shared" si="427"/>
        <v>P&amp;L</v>
      </c>
    </row>
    <row r="6849" spans="1:13" s="33" customFormat="true" ht="12.75" customHeight="true">
      <c r="A6849" s="33" t="str">
        <f t="shared" si="424"/>
        <v>OLD - CGS</v>
      </c>
      <c r="B6849" s="33" t="str">
        <f t="shared" si="425"/>
        <v>OLD</v>
      </c>
      <c r="C6849" s="33" t="str">
        <f t="shared" si="426"/>
        <v>53004-0045</v>
      </c>
      <c r="D6849" s="64" t="s">
        <v>8071</v>
      </c>
      <c r="E6849" s="64" t="s">
        <v>8067</v>
      </c>
      <c r="F6849" s="64" t="s">
        <v>230</v>
      </c>
      <c r="G6849" s="64" t="s">
        <v>3160</v>
      </c>
      <c r="H6849" s="64" t="s">
        <v>1875</v>
      </c>
      <c r="I6849" s="64" t="s">
        <v>3791</v>
      </c>
      <c r="J6849" s="67">
        <v>0</v>
      </c>
      <c r="K6849" s="62">
        <v>0</v>
      </c>
      <c r="L6849" s="33" t="e">
        <f>HLOOKUP(B6849,#REF!,1,0)</f>
        <v>#REF!</v>
      </c>
      <c r="M6849" s="33" t="str">
        <f t="shared" si="427"/>
        <v>P&amp;L</v>
      </c>
    </row>
    <row r="6850" spans="1:13" s="33" customFormat="true" ht="12.75" customHeight="true">
      <c r="A6850" s="33" t="str">
        <f t="shared" ref="A6850:A6913" si="428">B6850&amp;" - "&amp;TRIM(H6850)</f>
        <v>OLD - CGS</v>
      </c>
      <c r="B6850" s="33" t="str">
        <f t="shared" ref="B6850:B6913" si="429">LEFT(D6850,3)</f>
        <v>OLD</v>
      </c>
      <c r="C6850" s="33" t="str">
        <f t="shared" ref="C6850:C6913" si="430">RIGHT(D6850,10)</f>
        <v>53004-0046</v>
      </c>
      <c r="D6850" s="64" t="s">
        <v>8072</v>
      </c>
      <c r="E6850" s="64" t="s">
        <v>8067</v>
      </c>
      <c r="F6850" s="64" t="s">
        <v>230</v>
      </c>
      <c r="G6850" s="64" t="s">
        <v>3160</v>
      </c>
      <c r="H6850" s="64" t="s">
        <v>1875</v>
      </c>
      <c r="I6850" s="64" t="s">
        <v>3791</v>
      </c>
      <c r="J6850" s="67">
        <v>0</v>
      </c>
      <c r="K6850" s="62">
        <v>13104.51</v>
      </c>
      <c r="L6850" s="33" t="e">
        <f>HLOOKUP(B6850,#REF!,1,0)</f>
        <v>#REF!</v>
      </c>
      <c r="M6850" s="33" t="str">
        <f t="shared" ref="M6850:M6913" si="431">IF(VALUE(LEFT(C6850,5))&gt;40000,"P&amp;L","BS")</f>
        <v>P&amp;L</v>
      </c>
    </row>
    <row r="6851" spans="1:13" s="33" customFormat="true" ht="12.75" customHeight="true">
      <c r="A6851" s="33" t="str">
        <f t="shared" si="428"/>
        <v>OLD - CGS</v>
      </c>
      <c r="B6851" s="33" t="str">
        <f t="shared" si="429"/>
        <v>OLD</v>
      </c>
      <c r="C6851" s="33" t="str">
        <f t="shared" si="430"/>
        <v>53004-0048</v>
      </c>
      <c r="D6851" s="64" t="s">
        <v>8073</v>
      </c>
      <c r="E6851" s="64" t="s">
        <v>8067</v>
      </c>
      <c r="F6851" s="64" t="s">
        <v>230</v>
      </c>
      <c r="G6851" s="64" t="s">
        <v>3160</v>
      </c>
      <c r="H6851" s="64" t="s">
        <v>1875</v>
      </c>
      <c r="I6851" s="64" t="s">
        <v>3791</v>
      </c>
      <c r="J6851" s="67">
        <v>0</v>
      </c>
      <c r="K6851" s="62">
        <v>123.69</v>
      </c>
      <c r="L6851" s="33" t="e">
        <f>HLOOKUP(B6851,#REF!,1,0)</f>
        <v>#REF!</v>
      </c>
      <c r="M6851" s="33" t="str">
        <f t="shared" si="431"/>
        <v>P&amp;L</v>
      </c>
    </row>
    <row r="6852" spans="1:13" s="33" customFormat="true" ht="12.75" customHeight="true">
      <c r="A6852" s="33" t="str">
        <f t="shared" si="428"/>
        <v>OLD - CGS</v>
      </c>
      <c r="B6852" s="33" t="str">
        <f t="shared" si="429"/>
        <v>OLD</v>
      </c>
      <c r="C6852" s="33" t="str">
        <f t="shared" si="430"/>
        <v>53004-0049</v>
      </c>
      <c r="D6852" s="64" t="s">
        <v>8074</v>
      </c>
      <c r="E6852" s="64" t="s">
        <v>8067</v>
      </c>
      <c r="F6852" s="64" t="s">
        <v>230</v>
      </c>
      <c r="G6852" s="64" t="s">
        <v>3160</v>
      </c>
      <c r="H6852" s="64" t="s">
        <v>1875</v>
      </c>
      <c r="I6852" s="64" t="s">
        <v>3791</v>
      </c>
      <c r="J6852" s="67">
        <v>0</v>
      </c>
      <c r="K6852" s="62">
        <v>49077.77</v>
      </c>
      <c r="L6852" s="33" t="e">
        <f>HLOOKUP(B6852,#REF!,1,0)</f>
        <v>#REF!</v>
      </c>
      <c r="M6852" s="33" t="str">
        <f t="shared" si="431"/>
        <v>P&amp;L</v>
      </c>
    </row>
    <row r="6853" spans="1:13" s="33" customFormat="true" ht="12.75" customHeight="true">
      <c r="A6853" s="33" t="str">
        <f t="shared" si="428"/>
        <v>OLD - CGS</v>
      </c>
      <c r="B6853" s="33" t="str">
        <f t="shared" si="429"/>
        <v>OLD</v>
      </c>
      <c r="C6853" s="33" t="str">
        <f t="shared" si="430"/>
        <v>53004-0050</v>
      </c>
      <c r="D6853" s="64" t="s">
        <v>8075</v>
      </c>
      <c r="E6853" s="64" t="s">
        <v>8067</v>
      </c>
      <c r="F6853" s="64" t="s">
        <v>230</v>
      </c>
      <c r="G6853" s="64" t="s">
        <v>3160</v>
      </c>
      <c r="H6853" s="64" t="s">
        <v>1875</v>
      </c>
      <c r="I6853" s="64" t="s">
        <v>3791</v>
      </c>
      <c r="J6853" s="67">
        <v>0</v>
      </c>
      <c r="K6853" s="62">
        <v>2231.43</v>
      </c>
      <c r="L6853" s="33" t="e">
        <f>HLOOKUP(B6853,#REF!,1,0)</f>
        <v>#REF!</v>
      </c>
      <c r="M6853" s="33" t="str">
        <f t="shared" si="431"/>
        <v>P&amp;L</v>
      </c>
    </row>
    <row r="6854" spans="1:13" s="33" customFormat="true" ht="12.75" customHeight="true">
      <c r="A6854" s="33" t="str">
        <f t="shared" si="428"/>
        <v>OLD - CGS</v>
      </c>
      <c r="B6854" s="33" t="str">
        <f t="shared" si="429"/>
        <v>OLD</v>
      </c>
      <c r="C6854" s="33" t="str">
        <f t="shared" si="430"/>
        <v>53005-0040</v>
      </c>
      <c r="D6854" s="64" t="s">
        <v>8076</v>
      </c>
      <c r="E6854" s="64" t="s">
        <v>3793</v>
      </c>
      <c r="F6854" s="64" t="s">
        <v>230</v>
      </c>
      <c r="G6854" s="64" t="s">
        <v>3160</v>
      </c>
      <c r="H6854" s="64" t="s">
        <v>1875</v>
      </c>
      <c r="I6854" s="64" t="s">
        <v>3794</v>
      </c>
      <c r="J6854" s="67">
        <v>0</v>
      </c>
      <c r="K6854" s="62">
        <v>549.11</v>
      </c>
      <c r="L6854" s="33" t="e">
        <f>HLOOKUP(B6854,#REF!,1,0)</f>
        <v>#REF!</v>
      </c>
      <c r="M6854" s="33" t="str">
        <f t="shared" si="431"/>
        <v>P&amp;L</v>
      </c>
    </row>
    <row r="6855" spans="1:13" s="33" customFormat="true" ht="12.75" customHeight="true">
      <c r="A6855" s="33" t="str">
        <f t="shared" si="428"/>
        <v>OLD - CGS</v>
      </c>
      <c r="B6855" s="33" t="str">
        <f t="shared" si="429"/>
        <v>OLD</v>
      </c>
      <c r="C6855" s="33" t="str">
        <f t="shared" si="430"/>
        <v>53005-0041</v>
      </c>
      <c r="D6855" s="64" t="s">
        <v>8077</v>
      </c>
      <c r="E6855" s="64" t="s">
        <v>3793</v>
      </c>
      <c r="F6855" s="64" t="s">
        <v>230</v>
      </c>
      <c r="G6855" s="64" t="s">
        <v>3160</v>
      </c>
      <c r="H6855" s="64" t="s">
        <v>1875</v>
      </c>
      <c r="I6855" s="64" t="s">
        <v>3794</v>
      </c>
      <c r="J6855" s="67">
        <v>0</v>
      </c>
      <c r="K6855" s="62">
        <v>2661.56</v>
      </c>
      <c r="L6855" s="33" t="e">
        <f>HLOOKUP(B6855,#REF!,1,0)</f>
        <v>#REF!</v>
      </c>
      <c r="M6855" s="33" t="str">
        <f t="shared" si="431"/>
        <v>P&amp;L</v>
      </c>
    </row>
    <row r="6856" spans="1:13" s="33" customFormat="true" ht="12.75" customHeight="true">
      <c r="A6856" s="33" t="str">
        <f t="shared" si="428"/>
        <v>OLD - CGS</v>
      </c>
      <c r="B6856" s="33" t="str">
        <f t="shared" si="429"/>
        <v>OLD</v>
      </c>
      <c r="C6856" s="33" t="str">
        <f t="shared" si="430"/>
        <v>53005-0042</v>
      </c>
      <c r="D6856" s="64" t="s">
        <v>8078</v>
      </c>
      <c r="E6856" s="64" t="s">
        <v>3793</v>
      </c>
      <c r="F6856" s="64" t="s">
        <v>230</v>
      </c>
      <c r="G6856" s="64" t="s">
        <v>3160</v>
      </c>
      <c r="H6856" s="64" t="s">
        <v>1875</v>
      </c>
      <c r="I6856" s="64" t="s">
        <v>3794</v>
      </c>
      <c r="J6856" s="67">
        <v>0</v>
      </c>
      <c r="K6856" s="62">
        <v>3289.93</v>
      </c>
      <c r="L6856" s="33" t="e">
        <f>HLOOKUP(B6856,#REF!,1,0)</f>
        <v>#REF!</v>
      </c>
      <c r="M6856" s="33" t="str">
        <f t="shared" si="431"/>
        <v>P&amp;L</v>
      </c>
    </row>
    <row r="6857" spans="1:13" s="33" customFormat="true" ht="12.75" customHeight="true">
      <c r="A6857" s="33" t="str">
        <f t="shared" si="428"/>
        <v>OLD - CGS</v>
      </c>
      <c r="B6857" s="33" t="str">
        <f t="shared" si="429"/>
        <v>OLD</v>
      </c>
      <c r="C6857" s="33" t="str">
        <f t="shared" si="430"/>
        <v>53005-0043</v>
      </c>
      <c r="D6857" s="64" t="s">
        <v>8079</v>
      </c>
      <c r="E6857" s="64" t="s">
        <v>3793</v>
      </c>
      <c r="F6857" s="64" t="s">
        <v>230</v>
      </c>
      <c r="G6857" s="64" t="s">
        <v>3160</v>
      </c>
      <c r="H6857" s="64" t="s">
        <v>1875</v>
      </c>
      <c r="I6857" s="64" t="s">
        <v>3794</v>
      </c>
      <c r="J6857" s="67">
        <v>0</v>
      </c>
      <c r="K6857" s="62">
        <v>17580.43</v>
      </c>
      <c r="L6857" s="33" t="e">
        <f>HLOOKUP(B6857,#REF!,1,0)</f>
        <v>#REF!</v>
      </c>
      <c r="M6857" s="33" t="str">
        <f t="shared" si="431"/>
        <v>P&amp;L</v>
      </c>
    </row>
    <row r="6858" spans="1:13" s="33" customFormat="true" ht="12.75" customHeight="true">
      <c r="A6858" s="33" t="str">
        <f t="shared" si="428"/>
        <v>OLD - CGS</v>
      </c>
      <c r="B6858" s="33" t="str">
        <f t="shared" si="429"/>
        <v>OLD</v>
      </c>
      <c r="C6858" s="33" t="str">
        <f t="shared" si="430"/>
        <v>53005-0044</v>
      </c>
      <c r="D6858" s="64" t="s">
        <v>8080</v>
      </c>
      <c r="E6858" s="64" t="s">
        <v>3793</v>
      </c>
      <c r="F6858" s="64" t="s">
        <v>230</v>
      </c>
      <c r="G6858" s="64" t="s">
        <v>3160</v>
      </c>
      <c r="H6858" s="64" t="s">
        <v>1875</v>
      </c>
      <c r="I6858" s="64" t="s">
        <v>3794</v>
      </c>
      <c r="J6858" s="67">
        <v>0</v>
      </c>
      <c r="K6858" s="62">
        <v>702.32</v>
      </c>
      <c r="L6858" s="33" t="e">
        <f>HLOOKUP(B6858,#REF!,1,0)</f>
        <v>#REF!</v>
      </c>
      <c r="M6858" s="33" t="str">
        <f t="shared" si="431"/>
        <v>P&amp;L</v>
      </c>
    </row>
    <row r="6859" spans="1:13" s="33" customFormat="true" ht="12.75" customHeight="true">
      <c r="A6859" s="33" t="str">
        <f t="shared" si="428"/>
        <v>OLD - CGS</v>
      </c>
      <c r="B6859" s="33" t="str">
        <f t="shared" si="429"/>
        <v>OLD</v>
      </c>
      <c r="C6859" s="33" t="str">
        <f t="shared" si="430"/>
        <v>53005-0045</v>
      </c>
      <c r="D6859" s="64" t="s">
        <v>8081</v>
      </c>
      <c r="E6859" s="64" t="s">
        <v>3793</v>
      </c>
      <c r="F6859" s="64" t="s">
        <v>230</v>
      </c>
      <c r="G6859" s="64" t="s">
        <v>3160</v>
      </c>
      <c r="H6859" s="64" t="s">
        <v>1875</v>
      </c>
      <c r="I6859" s="64" t="s">
        <v>3794</v>
      </c>
      <c r="J6859" s="67">
        <v>0</v>
      </c>
      <c r="K6859" s="62">
        <v>0</v>
      </c>
      <c r="L6859" s="33" t="e">
        <f>HLOOKUP(B6859,#REF!,1,0)</f>
        <v>#REF!</v>
      </c>
      <c r="M6859" s="33" t="str">
        <f t="shared" si="431"/>
        <v>P&amp;L</v>
      </c>
    </row>
    <row r="6860" spans="1:13" s="33" customFormat="true" ht="12.75" customHeight="true">
      <c r="A6860" s="33" t="str">
        <f t="shared" si="428"/>
        <v>OLD - CGS</v>
      </c>
      <c r="B6860" s="33" t="str">
        <f t="shared" si="429"/>
        <v>OLD</v>
      </c>
      <c r="C6860" s="33" t="str">
        <f t="shared" si="430"/>
        <v>53005-0046</v>
      </c>
      <c r="D6860" s="64" t="s">
        <v>8082</v>
      </c>
      <c r="E6860" s="64" t="s">
        <v>3793</v>
      </c>
      <c r="F6860" s="64" t="s">
        <v>230</v>
      </c>
      <c r="G6860" s="64" t="s">
        <v>3160</v>
      </c>
      <c r="H6860" s="64" t="s">
        <v>1875</v>
      </c>
      <c r="I6860" s="64" t="s">
        <v>3794</v>
      </c>
      <c r="J6860" s="67">
        <v>0</v>
      </c>
      <c r="K6860" s="62">
        <v>11355.45</v>
      </c>
      <c r="L6860" s="33" t="e">
        <f>HLOOKUP(B6860,#REF!,1,0)</f>
        <v>#REF!</v>
      </c>
      <c r="M6860" s="33" t="str">
        <f t="shared" si="431"/>
        <v>P&amp;L</v>
      </c>
    </row>
    <row r="6861" spans="1:13" s="33" customFormat="true" ht="12.75" customHeight="true">
      <c r="A6861" s="33" t="str">
        <f t="shared" si="428"/>
        <v>OLD - CGS</v>
      </c>
      <c r="B6861" s="33" t="str">
        <f t="shared" si="429"/>
        <v>OLD</v>
      </c>
      <c r="C6861" s="33" t="str">
        <f t="shared" si="430"/>
        <v>53005-0048</v>
      </c>
      <c r="D6861" s="64" t="s">
        <v>8083</v>
      </c>
      <c r="E6861" s="64" t="s">
        <v>3793</v>
      </c>
      <c r="F6861" s="64" t="s">
        <v>230</v>
      </c>
      <c r="G6861" s="64" t="s">
        <v>3160</v>
      </c>
      <c r="H6861" s="64" t="s">
        <v>1875</v>
      </c>
      <c r="I6861" s="64" t="s">
        <v>3794</v>
      </c>
      <c r="J6861" s="67">
        <v>0</v>
      </c>
      <c r="K6861" s="62">
        <v>1723.05</v>
      </c>
      <c r="L6861" s="33" t="e">
        <f>HLOOKUP(B6861,#REF!,1,0)</f>
        <v>#REF!</v>
      </c>
      <c r="M6861" s="33" t="str">
        <f t="shared" si="431"/>
        <v>P&amp;L</v>
      </c>
    </row>
    <row r="6862" spans="1:13" s="33" customFormat="true" ht="12.75" customHeight="true">
      <c r="A6862" s="33" t="str">
        <f t="shared" si="428"/>
        <v>OLD - CGS</v>
      </c>
      <c r="B6862" s="33" t="str">
        <f t="shared" si="429"/>
        <v>OLD</v>
      </c>
      <c r="C6862" s="33" t="str">
        <f t="shared" si="430"/>
        <v>53006-0040</v>
      </c>
      <c r="D6862" s="64" t="s">
        <v>8084</v>
      </c>
      <c r="E6862" s="64" t="s">
        <v>8085</v>
      </c>
      <c r="F6862" s="64" t="s">
        <v>230</v>
      </c>
      <c r="G6862" s="64" t="s">
        <v>3160</v>
      </c>
      <c r="H6862" s="64" t="s">
        <v>1875</v>
      </c>
      <c r="I6862" s="64" t="s">
        <v>3797</v>
      </c>
      <c r="J6862" s="67">
        <v>0</v>
      </c>
      <c r="K6862" s="62">
        <v>549.11</v>
      </c>
      <c r="L6862" s="33" t="e">
        <f>HLOOKUP(B6862,#REF!,1,0)</f>
        <v>#REF!</v>
      </c>
      <c r="M6862" s="33" t="str">
        <f t="shared" si="431"/>
        <v>P&amp;L</v>
      </c>
    </row>
    <row r="6863" spans="1:13" s="33" customFormat="true" ht="12.75" customHeight="true">
      <c r="A6863" s="33" t="str">
        <f t="shared" si="428"/>
        <v>OLD - CGS</v>
      </c>
      <c r="B6863" s="33" t="str">
        <f t="shared" si="429"/>
        <v>OLD</v>
      </c>
      <c r="C6863" s="33" t="str">
        <f t="shared" si="430"/>
        <v>53006-0041</v>
      </c>
      <c r="D6863" s="64" t="s">
        <v>8086</v>
      </c>
      <c r="E6863" s="64" t="s">
        <v>8085</v>
      </c>
      <c r="F6863" s="64" t="s">
        <v>230</v>
      </c>
      <c r="G6863" s="64" t="s">
        <v>3160</v>
      </c>
      <c r="H6863" s="64" t="s">
        <v>1875</v>
      </c>
      <c r="I6863" s="64" t="s">
        <v>3797</v>
      </c>
      <c r="J6863" s="67">
        <v>0</v>
      </c>
      <c r="K6863" s="62">
        <v>2661.59</v>
      </c>
      <c r="L6863" s="33" t="e">
        <f>HLOOKUP(B6863,#REF!,1,0)</f>
        <v>#REF!</v>
      </c>
      <c r="M6863" s="33" t="str">
        <f t="shared" si="431"/>
        <v>P&amp;L</v>
      </c>
    </row>
    <row r="6864" spans="1:13" s="33" customFormat="true" ht="12.75" customHeight="true">
      <c r="A6864" s="33" t="str">
        <f t="shared" si="428"/>
        <v>OLD - CGS</v>
      </c>
      <c r="B6864" s="33" t="str">
        <f t="shared" si="429"/>
        <v>OLD</v>
      </c>
      <c r="C6864" s="33" t="str">
        <f t="shared" si="430"/>
        <v>53006-0042</v>
      </c>
      <c r="D6864" s="64" t="s">
        <v>8087</v>
      </c>
      <c r="E6864" s="64" t="s">
        <v>8085</v>
      </c>
      <c r="F6864" s="64" t="s">
        <v>230</v>
      </c>
      <c r="G6864" s="64" t="s">
        <v>3160</v>
      </c>
      <c r="H6864" s="64" t="s">
        <v>1875</v>
      </c>
      <c r="I6864" s="64" t="s">
        <v>3797</v>
      </c>
      <c r="J6864" s="67">
        <v>0</v>
      </c>
      <c r="K6864" s="62">
        <v>3289.93</v>
      </c>
      <c r="L6864" s="33" t="e">
        <f>HLOOKUP(B6864,#REF!,1,0)</f>
        <v>#REF!</v>
      </c>
      <c r="M6864" s="33" t="str">
        <f t="shared" si="431"/>
        <v>P&amp;L</v>
      </c>
    </row>
    <row r="6865" spans="1:13" s="33" customFormat="true" ht="12.75" customHeight="true">
      <c r="A6865" s="33" t="str">
        <f t="shared" si="428"/>
        <v>OLD - CGS</v>
      </c>
      <c r="B6865" s="33" t="str">
        <f t="shared" si="429"/>
        <v>OLD</v>
      </c>
      <c r="C6865" s="33" t="str">
        <f t="shared" si="430"/>
        <v>53006-0043</v>
      </c>
      <c r="D6865" s="64" t="s">
        <v>8088</v>
      </c>
      <c r="E6865" s="64" t="s">
        <v>8085</v>
      </c>
      <c r="F6865" s="64" t="s">
        <v>230</v>
      </c>
      <c r="G6865" s="64" t="s">
        <v>3160</v>
      </c>
      <c r="H6865" s="64" t="s">
        <v>1875</v>
      </c>
      <c r="I6865" s="64" t="s">
        <v>3797</v>
      </c>
      <c r="J6865" s="67">
        <v>0</v>
      </c>
      <c r="K6865" s="62">
        <v>16068.85</v>
      </c>
      <c r="L6865" s="33" t="e">
        <f>HLOOKUP(B6865,#REF!,1,0)</f>
        <v>#REF!</v>
      </c>
      <c r="M6865" s="33" t="str">
        <f t="shared" si="431"/>
        <v>P&amp;L</v>
      </c>
    </row>
    <row r="6866" spans="1:13" s="33" customFormat="true" ht="12.75" customHeight="true">
      <c r="A6866" s="33" t="str">
        <f t="shared" si="428"/>
        <v>OLD - CGS</v>
      </c>
      <c r="B6866" s="33" t="str">
        <f t="shared" si="429"/>
        <v>OLD</v>
      </c>
      <c r="C6866" s="33" t="str">
        <f t="shared" si="430"/>
        <v>53006-0044</v>
      </c>
      <c r="D6866" s="64" t="s">
        <v>8089</v>
      </c>
      <c r="E6866" s="64" t="s">
        <v>8085</v>
      </c>
      <c r="F6866" s="64" t="s">
        <v>230</v>
      </c>
      <c r="G6866" s="64" t="s">
        <v>3160</v>
      </c>
      <c r="H6866" s="64" t="s">
        <v>1875</v>
      </c>
      <c r="I6866" s="64" t="s">
        <v>3797</v>
      </c>
      <c r="J6866" s="67">
        <v>0</v>
      </c>
      <c r="K6866" s="62">
        <v>1565.07</v>
      </c>
      <c r="L6866" s="33" t="e">
        <f>HLOOKUP(B6866,#REF!,1,0)</f>
        <v>#REF!</v>
      </c>
      <c r="M6866" s="33" t="str">
        <f t="shared" si="431"/>
        <v>P&amp;L</v>
      </c>
    </row>
    <row r="6867" spans="1:13" s="33" customFormat="true" ht="12.75" customHeight="true">
      <c r="A6867" s="33" t="str">
        <f t="shared" si="428"/>
        <v>OLD - CGS</v>
      </c>
      <c r="B6867" s="33" t="str">
        <f t="shared" si="429"/>
        <v>OLD</v>
      </c>
      <c r="C6867" s="33" t="str">
        <f t="shared" si="430"/>
        <v>53006-0045</v>
      </c>
      <c r="D6867" s="64" t="s">
        <v>8090</v>
      </c>
      <c r="E6867" s="64" t="s">
        <v>8085</v>
      </c>
      <c r="F6867" s="64" t="s">
        <v>230</v>
      </c>
      <c r="G6867" s="64" t="s">
        <v>3160</v>
      </c>
      <c r="H6867" s="64" t="s">
        <v>1875</v>
      </c>
      <c r="I6867" s="64" t="s">
        <v>3797</v>
      </c>
      <c r="J6867" s="67">
        <v>0</v>
      </c>
      <c r="K6867" s="62">
        <v>1033.36</v>
      </c>
      <c r="L6867" s="33" t="e">
        <f>HLOOKUP(B6867,#REF!,1,0)</f>
        <v>#REF!</v>
      </c>
      <c r="M6867" s="33" t="str">
        <f t="shared" si="431"/>
        <v>P&amp;L</v>
      </c>
    </row>
    <row r="6868" spans="1:13" s="33" customFormat="true" ht="12.75" customHeight="true">
      <c r="A6868" s="33" t="str">
        <f t="shared" si="428"/>
        <v>OLD - CGS</v>
      </c>
      <c r="B6868" s="33" t="str">
        <f t="shared" si="429"/>
        <v>OLD</v>
      </c>
      <c r="C6868" s="33" t="str">
        <f t="shared" si="430"/>
        <v>53006-0046</v>
      </c>
      <c r="D6868" s="64" t="s">
        <v>8091</v>
      </c>
      <c r="E6868" s="64" t="s">
        <v>8085</v>
      </c>
      <c r="F6868" s="64" t="s">
        <v>230</v>
      </c>
      <c r="G6868" s="64" t="s">
        <v>3160</v>
      </c>
      <c r="H6868" s="64" t="s">
        <v>1875</v>
      </c>
      <c r="I6868" s="64" t="s">
        <v>3797</v>
      </c>
      <c r="J6868" s="67">
        <v>0</v>
      </c>
      <c r="K6868" s="62">
        <v>11355.47</v>
      </c>
      <c r="L6868" s="33" t="e">
        <f>HLOOKUP(B6868,#REF!,1,0)</f>
        <v>#REF!</v>
      </c>
      <c r="M6868" s="33" t="str">
        <f t="shared" si="431"/>
        <v>P&amp;L</v>
      </c>
    </row>
    <row r="6869" spans="1:13" s="33" customFormat="true" ht="12.75" customHeight="true">
      <c r="A6869" s="33" t="str">
        <f t="shared" si="428"/>
        <v>OLD - CGS</v>
      </c>
      <c r="B6869" s="33" t="str">
        <f t="shared" si="429"/>
        <v>OLD</v>
      </c>
      <c r="C6869" s="33" t="str">
        <f t="shared" si="430"/>
        <v>53006-0048</v>
      </c>
      <c r="D6869" s="64" t="s">
        <v>8092</v>
      </c>
      <c r="E6869" s="64" t="s">
        <v>8085</v>
      </c>
      <c r="F6869" s="64" t="s">
        <v>230</v>
      </c>
      <c r="G6869" s="64" t="s">
        <v>3160</v>
      </c>
      <c r="H6869" s="64" t="s">
        <v>1875</v>
      </c>
      <c r="I6869" s="64" t="s">
        <v>3797</v>
      </c>
      <c r="J6869" s="67">
        <v>0</v>
      </c>
      <c r="K6869" s="62">
        <v>3158.28</v>
      </c>
      <c r="L6869" s="33" t="e">
        <f>HLOOKUP(B6869,#REF!,1,0)</f>
        <v>#REF!</v>
      </c>
      <c r="M6869" s="33" t="str">
        <f t="shared" si="431"/>
        <v>P&amp;L</v>
      </c>
    </row>
    <row r="6870" spans="1:13" s="33" customFormat="true" ht="12.75" customHeight="true">
      <c r="A6870" s="33" t="str">
        <f t="shared" si="428"/>
        <v>OLD - CGS</v>
      </c>
      <c r="B6870" s="33" t="str">
        <f t="shared" si="429"/>
        <v>OLD</v>
      </c>
      <c r="C6870" s="33" t="str">
        <f t="shared" si="430"/>
        <v>53006-0049</v>
      </c>
      <c r="D6870" s="64" t="s">
        <v>8093</v>
      </c>
      <c r="E6870" s="64" t="s">
        <v>8085</v>
      </c>
      <c r="F6870" s="64" t="s">
        <v>230</v>
      </c>
      <c r="G6870" s="64" t="s">
        <v>3160</v>
      </c>
      <c r="H6870" s="64" t="s">
        <v>1875</v>
      </c>
      <c r="I6870" s="64" t="s">
        <v>3797</v>
      </c>
      <c r="J6870" s="67">
        <v>0</v>
      </c>
      <c r="K6870" s="62">
        <v>49759.22</v>
      </c>
      <c r="L6870" s="33" t="e">
        <f>HLOOKUP(B6870,#REF!,1,0)</f>
        <v>#REF!</v>
      </c>
      <c r="M6870" s="33" t="str">
        <f t="shared" si="431"/>
        <v>P&amp;L</v>
      </c>
    </row>
    <row r="6871" spans="1:13" s="33" customFormat="true" ht="12.75" customHeight="true">
      <c r="A6871" s="33" t="str">
        <f t="shared" si="428"/>
        <v>OLD - CGS</v>
      </c>
      <c r="B6871" s="33" t="str">
        <f t="shared" si="429"/>
        <v>OLD</v>
      </c>
      <c r="C6871" s="33" t="str">
        <f t="shared" si="430"/>
        <v>53006-0050</v>
      </c>
      <c r="D6871" s="64" t="s">
        <v>8094</v>
      </c>
      <c r="E6871" s="64" t="s">
        <v>8085</v>
      </c>
      <c r="F6871" s="64" t="s">
        <v>230</v>
      </c>
      <c r="G6871" s="64" t="s">
        <v>3160</v>
      </c>
      <c r="H6871" s="64" t="s">
        <v>1875</v>
      </c>
      <c r="I6871" s="64" t="s">
        <v>3797</v>
      </c>
      <c r="J6871" s="67">
        <v>0</v>
      </c>
      <c r="K6871" s="62">
        <v>44600.12</v>
      </c>
      <c r="L6871" s="33" t="e">
        <f>HLOOKUP(B6871,#REF!,1,0)</f>
        <v>#REF!</v>
      </c>
      <c r="M6871" s="33" t="str">
        <f t="shared" si="431"/>
        <v>P&amp;L</v>
      </c>
    </row>
    <row r="6872" spans="1:13" s="33" customFormat="true" ht="12.75" customHeight="true">
      <c r="A6872" s="33" t="str">
        <f t="shared" si="428"/>
        <v>OLD - CGS</v>
      </c>
      <c r="B6872" s="33" t="str">
        <f t="shared" si="429"/>
        <v>OLD</v>
      </c>
      <c r="C6872" s="33" t="str">
        <f t="shared" si="430"/>
        <v>54001-0043</v>
      </c>
      <c r="D6872" s="64" t="s">
        <v>8095</v>
      </c>
      <c r="E6872" s="64" t="s">
        <v>8096</v>
      </c>
      <c r="F6872" s="64" t="s">
        <v>230</v>
      </c>
      <c r="G6872" s="64" t="s">
        <v>3800</v>
      </c>
      <c r="H6872" s="64" t="s">
        <v>1875</v>
      </c>
      <c r="I6872" s="64" t="s">
        <v>4009</v>
      </c>
      <c r="J6872" s="67">
        <v>0</v>
      </c>
      <c r="K6872" s="62">
        <v>9533.25</v>
      </c>
      <c r="L6872" s="33" t="e">
        <f>HLOOKUP(B6872,#REF!,1,0)</f>
        <v>#REF!</v>
      </c>
      <c r="M6872" s="33" t="str">
        <f t="shared" si="431"/>
        <v>P&amp;L</v>
      </c>
    </row>
    <row r="6873" spans="1:13" s="33" customFormat="true" ht="12.75" customHeight="true">
      <c r="A6873" s="33" t="str">
        <f t="shared" si="428"/>
        <v>OLD - CGS</v>
      </c>
      <c r="B6873" s="33" t="str">
        <f t="shared" si="429"/>
        <v>OLD</v>
      </c>
      <c r="C6873" s="33" t="str">
        <f t="shared" si="430"/>
        <v>54001-0044</v>
      </c>
      <c r="D6873" s="64" t="s">
        <v>8097</v>
      </c>
      <c r="E6873" s="64" t="s">
        <v>8096</v>
      </c>
      <c r="F6873" s="64" t="s">
        <v>230</v>
      </c>
      <c r="G6873" s="64" t="s">
        <v>3800</v>
      </c>
      <c r="H6873" s="64" t="s">
        <v>1875</v>
      </c>
      <c r="I6873" s="64" t="s">
        <v>4009</v>
      </c>
      <c r="J6873" s="67">
        <v>0</v>
      </c>
      <c r="K6873" s="62">
        <v>-653.93</v>
      </c>
      <c r="L6873" s="33" t="e">
        <f>HLOOKUP(B6873,#REF!,1,0)</f>
        <v>#REF!</v>
      </c>
      <c r="M6873" s="33" t="str">
        <f t="shared" si="431"/>
        <v>P&amp;L</v>
      </c>
    </row>
    <row r="6874" spans="1:13" s="33" customFormat="true" ht="12.75" customHeight="true">
      <c r="A6874" s="33" t="str">
        <f t="shared" si="428"/>
        <v>OLD - CGS</v>
      </c>
      <c r="B6874" s="33" t="str">
        <f t="shared" si="429"/>
        <v>OLD</v>
      </c>
      <c r="C6874" s="33" t="str">
        <f t="shared" si="430"/>
        <v>54001-0045</v>
      </c>
      <c r="D6874" s="64" t="s">
        <v>8098</v>
      </c>
      <c r="E6874" s="64" t="s">
        <v>8096</v>
      </c>
      <c r="F6874" s="64" t="s">
        <v>230</v>
      </c>
      <c r="G6874" s="64" t="s">
        <v>3800</v>
      </c>
      <c r="H6874" s="64" t="s">
        <v>1875</v>
      </c>
      <c r="I6874" s="64" t="s">
        <v>4009</v>
      </c>
      <c r="J6874" s="67">
        <v>0</v>
      </c>
      <c r="K6874" s="62">
        <v>0</v>
      </c>
      <c r="L6874" s="33" t="e">
        <f>HLOOKUP(B6874,#REF!,1,0)</f>
        <v>#REF!</v>
      </c>
      <c r="M6874" s="33" t="str">
        <f t="shared" si="431"/>
        <v>P&amp;L</v>
      </c>
    </row>
    <row r="6875" spans="1:13" s="33" customFormat="true" ht="12.75" customHeight="true">
      <c r="A6875" s="33" t="str">
        <f t="shared" si="428"/>
        <v>OLD - CGS</v>
      </c>
      <c r="B6875" s="33" t="str">
        <f t="shared" si="429"/>
        <v>OLD</v>
      </c>
      <c r="C6875" s="33" t="str">
        <f t="shared" si="430"/>
        <v>54001-0046</v>
      </c>
      <c r="D6875" s="64" t="s">
        <v>8099</v>
      </c>
      <c r="E6875" s="64" t="s">
        <v>8096</v>
      </c>
      <c r="F6875" s="64" t="s">
        <v>230</v>
      </c>
      <c r="G6875" s="64" t="s">
        <v>3800</v>
      </c>
      <c r="H6875" s="64" t="s">
        <v>1875</v>
      </c>
      <c r="I6875" s="64" t="s">
        <v>4009</v>
      </c>
      <c r="J6875" s="67">
        <v>0</v>
      </c>
      <c r="K6875" s="62">
        <v>12997.28</v>
      </c>
      <c r="L6875" s="33" t="e">
        <f>HLOOKUP(B6875,#REF!,1,0)</f>
        <v>#REF!</v>
      </c>
      <c r="M6875" s="33" t="str">
        <f t="shared" si="431"/>
        <v>P&amp;L</v>
      </c>
    </row>
    <row r="6876" spans="1:13" s="33" customFormat="true" ht="12.75" customHeight="true">
      <c r="A6876" s="33" t="str">
        <f t="shared" si="428"/>
        <v>OLD - CGS</v>
      </c>
      <c r="B6876" s="33" t="str">
        <f t="shared" si="429"/>
        <v>OLD</v>
      </c>
      <c r="C6876" s="33" t="str">
        <f t="shared" si="430"/>
        <v>54001-0048</v>
      </c>
      <c r="D6876" s="64" t="s">
        <v>8100</v>
      </c>
      <c r="E6876" s="64" t="s">
        <v>8096</v>
      </c>
      <c r="F6876" s="64" t="s">
        <v>230</v>
      </c>
      <c r="G6876" s="64" t="s">
        <v>3800</v>
      </c>
      <c r="H6876" s="64" t="s">
        <v>1875</v>
      </c>
      <c r="I6876" s="64" t="s">
        <v>4009</v>
      </c>
      <c r="J6876" s="67">
        <v>0</v>
      </c>
      <c r="K6876" s="62">
        <v>1081.69</v>
      </c>
      <c r="L6876" s="33" t="e">
        <f>HLOOKUP(B6876,#REF!,1,0)</f>
        <v>#REF!</v>
      </c>
      <c r="M6876" s="33" t="str">
        <f t="shared" si="431"/>
        <v>P&amp;L</v>
      </c>
    </row>
    <row r="6877" spans="1:13" s="33" customFormat="true" ht="12.75" customHeight="true">
      <c r="A6877" s="33" t="str">
        <f t="shared" si="428"/>
        <v>OLD - CGS</v>
      </c>
      <c r="B6877" s="33" t="str">
        <f t="shared" si="429"/>
        <v>OLD</v>
      </c>
      <c r="C6877" s="33" t="str">
        <f t="shared" si="430"/>
        <v>54001-0049</v>
      </c>
      <c r="D6877" s="64" t="s">
        <v>8101</v>
      </c>
      <c r="E6877" s="64" t="s">
        <v>8096</v>
      </c>
      <c r="F6877" s="64" t="s">
        <v>230</v>
      </c>
      <c r="G6877" s="64" t="s">
        <v>3800</v>
      </c>
      <c r="H6877" s="64" t="s">
        <v>1875</v>
      </c>
      <c r="I6877" s="64" t="s">
        <v>4009</v>
      </c>
      <c r="J6877" s="67">
        <v>0</v>
      </c>
      <c r="K6877" s="62">
        <v>52845.47</v>
      </c>
      <c r="L6877" s="33" t="e">
        <f>HLOOKUP(B6877,#REF!,1,0)</f>
        <v>#REF!</v>
      </c>
      <c r="M6877" s="33" t="str">
        <f t="shared" si="431"/>
        <v>P&amp;L</v>
      </c>
    </row>
    <row r="6878" spans="1:13" s="33" customFormat="true" ht="12.75" customHeight="true">
      <c r="A6878" s="33" t="str">
        <f t="shared" si="428"/>
        <v>OLD - CGS</v>
      </c>
      <c r="B6878" s="33" t="str">
        <f t="shared" si="429"/>
        <v>OLD</v>
      </c>
      <c r="C6878" s="33" t="str">
        <f t="shared" si="430"/>
        <v>54001-0050</v>
      </c>
      <c r="D6878" s="64" t="s">
        <v>8102</v>
      </c>
      <c r="E6878" s="64" t="s">
        <v>8096</v>
      </c>
      <c r="F6878" s="64" t="s">
        <v>230</v>
      </c>
      <c r="G6878" s="64" t="s">
        <v>3800</v>
      </c>
      <c r="H6878" s="64" t="s">
        <v>1875</v>
      </c>
      <c r="I6878" s="64" t="s">
        <v>4009</v>
      </c>
      <c r="J6878" s="67">
        <v>0</v>
      </c>
      <c r="K6878" s="62">
        <v>2248.37</v>
      </c>
      <c r="L6878" s="33" t="e">
        <f>HLOOKUP(B6878,#REF!,1,0)</f>
        <v>#REF!</v>
      </c>
      <c r="M6878" s="33" t="str">
        <f t="shared" si="431"/>
        <v>P&amp;L</v>
      </c>
    </row>
    <row r="6879" spans="1:13" s="33" customFormat="true" ht="12.75" customHeight="true">
      <c r="A6879" s="33" t="str">
        <f t="shared" si="428"/>
        <v>OLD - CGS</v>
      </c>
      <c r="B6879" s="33" t="str">
        <f t="shared" si="429"/>
        <v>OLD</v>
      </c>
      <c r="C6879" s="33" t="str">
        <f t="shared" si="430"/>
        <v>54002-0043</v>
      </c>
      <c r="D6879" s="64" t="s">
        <v>8103</v>
      </c>
      <c r="E6879" s="64" t="s">
        <v>8104</v>
      </c>
      <c r="F6879" s="64" t="s">
        <v>230</v>
      </c>
      <c r="G6879" s="64" t="s">
        <v>3800</v>
      </c>
      <c r="H6879" s="64" t="s">
        <v>1875</v>
      </c>
      <c r="I6879" s="64" t="s">
        <v>3801</v>
      </c>
      <c r="J6879" s="67">
        <v>0</v>
      </c>
      <c r="K6879" s="62">
        <v>0</v>
      </c>
      <c r="L6879" s="33" t="e">
        <f>HLOOKUP(B6879,#REF!,1,0)</f>
        <v>#REF!</v>
      </c>
      <c r="M6879" s="33" t="str">
        <f t="shared" si="431"/>
        <v>P&amp;L</v>
      </c>
    </row>
    <row r="6880" spans="1:13" s="33" customFormat="true" ht="12.75" customHeight="true">
      <c r="A6880" s="33" t="str">
        <f t="shared" si="428"/>
        <v>OLD - CGS</v>
      </c>
      <c r="B6880" s="33" t="str">
        <f t="shared" si="429"/>
        <v>OLD</v>
      </c>
      <c r="C6880" s="33" t="str">
        <f t="shared" si="430"/>
        <v>54002-0044</v>
      </c>
      <c r="D6880" s="64" t="s">
        <v>8105</v>
      </c>
      <c r="E6880" s="64" t="s">
        <v>8104</v>
      </c>
      <c r="F6880" s="64" t="s">
        <v>230</v>
      </c>
      <c r="G6880" s="64" t="s">
        <v>3800</v>
      </c>
      <c r="H6880" s="64" t="s">
        <v>1875</v>
      </c>
      <c r="I6880" s="64" t="s">
        <v>3801</v>
      </c>
      <c r="J6880" s="67">
        <v>0</v>
      </c>
      <c r="K6880" s="62">
        <v>0</v>
      </c>
      <c r="L6880" s="33" t="e">
        <f>HLOOKUP(B6880,#REF!,1,0)</f>
        <v>#REF!</v>
      </c>
      <c r="M6880" s="33" t="str">
        <f t="shared" si="431"/>
        <v>P&amp;L</v>
      </c>
    </row>
    <row r="6881" spans="1:13" s="33" customFormat="true" ht="12.75" customHeight="true">
      <c r="A6881" s="33" t="str">
        <f t="shared" si="428"/>
        <v>OLD - CGS</v>
      </c>
      <c r="B6881" s="33" t="str">
        <f t="shared" si="429"/>
        <v>OLD</v>
      </c>
      <c r="C6881" s="33" t="str">
        <f t="shared" si="430"/>
        <v>54002-0045</v>
      </c>
      <c r="D6881" s="64" t="s">
        <v>8106</v>
      </c>
      <c r="E6881" s="64" t="s">
        <v>8104</v>
      </c>
      <c r="F6881" s="64" t="s">
        <v>230</v>
      </c>
      <c r="G6881" s="64" t="s">
        <v>3800</v>
      </c>
      <c r="H6881" s="64" t="s">
        <v>1875</v>
      </c>
      <c r="I6881" s="64" t="s">
        <v>3801</v>
      </c>
      <c r="J6881" s="67">
        <v>0</v>
      </c>
      <c r="K6881" s="62">
        <v>0</v>
      </c>
      <c r="L6881" s="33" t="e">
        <f>HLOOKUP(B6881,#REF!,1,0)</f>
        <v>#REF!</v>
      </c>
      <c r="M6881" s="33" t="str">
        <f t="shared" si="431"/>
        <v>P&amp;L</v>
      </c>
    </row>
    <row r="6882" spans="1:13" s="33" customFormat="true" ht="12.75" customHeight="true">
      <c r="A6882" s="33" t="str">
        <f t="shared" si="428"/>
        <v>OLD - CGS</v>
      </c>
      <c r="B6882" s="33" t="str">
        <f t="shared" si="429"/>
        <v>OLD</v>
      </c>
      <c r="C6882" s="33" t="str">
        <f t="shared" si="430"/>
        <v>54002-0046</v>
      </c>
      <c r="D6882" s="64" t="s">
        <v>8107</v>
      </c>
      <c r="E6882" s="64" t="s">
        <v>8104</v>
      </c>
      <c r="F6882" s="64" t="s">
        <v>230</v>
      </c>
      <c r="G6882" s="64" t="s">
        <v>3800</v>
      </c>
      <c r="H6882" s="64" t="s">
        <v>1875</v>
      </c>
      <c r="I6882" s="64" t="s">
        <v>3801</v>
      </c>
      <c r="J6882" s="67">
        <v>0</v>
      </c>
      <c r="K6882" s="62">
        <v>2517.5</v>
      </c>
      <c r="L6882" s="33" t="e">
        <f>HLOOKUP(B6882,#REF!,1,0)</f>
        <v>#REF!</v>
      </c>
      <c r="M6882" s="33" t="str">
        <f t="shared" si="431"/>
        <v>P&amp;L</v>
      </c>
    </row>
    <row r="6883" spans="1:13" s="33" customFormat="true" ht="12.75" customHeight="true">
      <c r="A6883" s="33" t="str">
        <f t="shared" si="428"/>
        <v>OLD - CGS</v>
      </c>
      <c r="B6883" s="33" t="str">
        <f t="shared" si="429"/>
        <v>OLD</v>
      </c>
      <c r="C6883" s="33" t="str">
        <f t="shared" si="430"/>
        <v>54002-0048</v>
      </c>
      <c r="D6883" s="64" t="s">
        <v>8108</v>
      </c>
      <c r="E6883" s="64" t="s">
        <v>8104</v>
      </c>
      <c r="F6883" s="64" t="s">
        <v>230</v>
      </c>
      <c r="G6883" s="64" t="s">
        <v>3800</v>
      </c>
      <c r="H6883" s="64" t="s">
        <v>1875</v>
      </c>
      <c r="I6883" s="64" t="s">
        <v>3801</v>
      </c>
      <c r="J6883" s="67">
        <v>0</v>
      </c>
      <c r="K6883" s="62">
        <v>0</v>
      </c>
      <c r="L6883" s="33" t="e">
        <f>HLOOKUP(B6883,#REF!,1,0)</f>
        <v>#REF!</v>
      </c>
      <c r="M6883" s="33" t="str">
        <f t="shared" si="431"/>
        <v>P&amp;L</v>
      </c>
    </row>
    <row r="6884" spans="1:13" s="33" customFormat="true" ht="12.75" customHeight="true">
      <c r="A6884" s="33" t="str">
        <f t="shared" si="428"/>
        <v>OLD - CGS</v>
      </c>
      <c r="B6884" s="33" t="str">
        <f t="shared" si="429"/>
        <v>OLD</v>
      </c>
      <c r="C6884" s="33" t="str">
        <f t="shared" si="430"/>
        <v>54002-0049</v>
      </c>
      <c r="D6884" s="64" t="s">
        <v>8109</v>
      </c>
      <c r="E6884" s="64" t="s">
        <v>8104</v>
      </c>
      <c r="F6884" s="64" t="s">
        <v>230</v>
      </c>
      <c r="G6884" s="64" t="s">
        <v>3800</v>
      </c>
      <c r="H6884" s="64" t="s">
        <v>1875</v>
      </c>
      <c r="I6884" s="64" t="s">
        <v>3801</v>
      </c>
      <c r="J6884" s="67">
        <v>0</v>
      </c>
      <c r="K6884" s="62">
        <v>29664.59</v>
      </c>
      <c r="L6884" s="33" t="e">
        <f>HLOOKUP(B6884,#REF!,1,0)</f>
        <v>#REF!</v>
      </c>
      <c r="M6884" s="33" t="str">
        <f t="shared" si="431"/>
        <v>P&amp;L</v>
      </c>
    </row>
    <row r="6885" spans="1:13" s="33" customFormat="true" ht="12.75" customHeight="true">
      <c r="A6885" s="33" t="str">
        <f t="shared" si="428"/>
        <v>OLD - CGS</v>
      </c>
      <c r="B6885" s="33" t="str">
        <f t="shared" si="429"/>
        <v>OLD</v>
      </c>
      <c r="C6885" s="33" t="str">
        <f t="shared" si="430"/>
        <v>54002-0050</v>
      </c>
      <c r="D6885" s="64" t="s">
        <v>8110</v>
      </c>
      <c r="E6885" s="64" t="s">
        <v>8104</v>
      </c>
      <c r="F6885" s="64" t="s">
        <v>230</v>
      </c>
      <c r="G6885" s="64" t="s">
        <v>3800</v>
      </c>
      <c r="H6885" s="64" t="s">
        <v>1875</v>
      </c>
      <c r="I6885" s="64" t="s">
        <v>3801</v>
      </c>
      <c r="J6885" s="67">
        <v>0</v>
      </c>
      <c r="K6885" s="62">
        <v>6087.75</v>
      </c>
      <c r="L6885" s="33" t="e">
        <f>HLOOKUP(B6885,#REF!,1,0)</f>
        <v>#REF!</v>
      </c>
      <c r="M6885" s="33" t="str">
        <f t="shared" si="431"/>
        <v>P&amp;L</v>
      </c>
    </row>
    <row r="6886" spans="1:13" s="33" customFormat="true" ht="12.75" customHeight="true">
      <c r="A6886" s="33" t="str">
        <f t="shared" si="428"/>
        <v>OLD - CGS</v>
      </c>
      <c r="B6886" s="33" t="str">
        <f t="shared" si="429"/>
        <v>OLD</v>
      </c>
      <c r="C6886" s="33" t="str">
        <f t="shared" si="430"/>
        <v>54003-0043</v>
      </c>
      <c r="D6886" s="64" t="s">
        <v>8111</v>
      </c>
      <c r="E6886" s="64" t="s">
        <v>8112</v>
      </c>
      <c r="F6886" s="64" t="s">
        <v>230</v>
      </c>
      <c r="G6886" s="64" t="s">
        <v>3800</v>
      </c>
      <c r="H6886" s="64" t="s">
        <v>1875</v>
      </c>
      <c r="I6886" s="64" t="s">
        <v>3804</v>
      </c>
      <c r="J6886" s="67">
        <v>0</v>
      </c>
      <c r="K6886" s="62">
        <v>17899.09</v>
      </c>
      <c r="L6886" s="33" t="e">
        <f>HLOOKUP(B6886,#REF!,1,0)</f>
        <v>#REF!</v>
      </c>
      <c r="M6886" s="33" t="str">
        <f t="shared" si="431"/>
        <v>P&amp;L</v>
      </c>
    </row>
    <row r="6887" spans="1:13" s="33" customFormat="true" ht="12.75" customHeight="true">
      <c r="A6887" s="33" t="str">
        <f t="shared" si="428"/>
        <v>OLD - CGS</v>
      </c>
      <c r="B6887" s="33" t="str">
        <f t="shared" si="429"/>
        <v>OLD</v>
      </c>
      <c r="C6887" s="33" t="str">
        <f t="shared" si="430"/>
        <v>54003-0044</v>
      </c>
      <c r="D6887" s="64" t="s">
        <v>8113</v>
      </c>
      <c r="E6887" s="64" t="s">
        <v>8112</v>
      </c>
      <c r="F6887" s="64" t="s">
        <v>230</v>
      </c>
      <c r="G6887" s="64" t="s">
        <v>3800</v>
      </c>
      <c r="H6887" s="64" t="s">
        <v>1875</v>
      </c>
      <c r="I6887" s="64" t="s">
        <v>3804</v>
      </c>
      <c r="J6887" s="67">
        <v>0</v>
      </c>
      <c r="K6887" s="62">
        <v>0</v>
      </c>
      <c r="L6887" s="33" t="e">
        <f>HLOOKUP(B6887,#REF!,1,0)</f>
        <v>#REF!</v>
      </c>
      <c r="M6887" s="33" t="str">
        <f t="shared" si="431"/>
        <v>P&amp;L</v>
      </c>
    </row>
    <row r="6888" spans="1:13" s="33" customFormat="true" ht="12.75" customHeight="true">
      <c r="A6888" s="33" t="str">
        <f t="shared" si="428"/>
        <v>OLD - CGS</v>
      </c>
      <c r="B6888" s="33" t="str">
        <f t="shared" si="429"/>
        <v>OLD</v>
      </c>
      <c r="C6888" s="33" t="str">
        <f t="shared" si="430"/>
        <v>54003-0045</v>
      </c>
      <c r="D6888" s="64" t="s">
        <v>8114</v>
      </c>
      <c r="E6888" s="64" t="s">
        <v>8112</v>
      </c>
      <c r="F6888" s="64" t="s">
        <v>230</v>
      </c>
      <c r="G6888" s="64" t="s">
        <v>3800</v>
      </c>
      <c r="H6888" s="64" t="s">
        <v>1875</v>
      </c>
      <c r="I6888" s="64" t="s">
        <v>3804</v>
      </c>
      <c r="J6888" s="67">
        <v>0</v>
      </c>
      <c r="K6888" s="62">
        <v>0</v>
      </c>
      <c r="L6888" s="33" t="e">
        <f>HLOOKUP(B6888,#REF!,1,0)</f>
        <v>#REF!</v>
      </c>
      <c r="M6888" s="33" t="str">
        <f t="shared" si="431"/>
        <v>P&amp;L</v>
      </c>
    </row>
    <row r="6889" spans="1:13" s="33" customFormat="true" ht="12.75" customHeight="true">
      <c r="A6889" s="33" t="str">
        <f t="shared" si="428"/>
        <v>OLD - CGS</v>
      </c>
      <c r="B6889" s="33" t="str">
        <f t="shared" si="429"/>
        <v>OLD</v>
      </c>
      <c r="C6889" s="33" t="str">
        <f t="shared" si="430"/>
        <v>54003-0046</v>
      </c>
      <c r="D6889" s="64" t="s">
        <v>8115</v>
      </c>
      <c r="E6889" s="64" t="s">
        <v>8112</v>
      </c>
      <c r="F6889" s="64" t="s">
        <v>230</v>
      </c>
      <c r="G6889" s="64" t="s">
        <v>3800</v>
      </c>
      <c r="H6889" s="64" t="s">
        <v>1875</v>
      </c>
      <c r="I6889" s="64" t="s">
        <v>3804</v>
      </c>
      <c r="J6889" s="67">
        <v>0</v>
      </c>
      <c r="K6889" s="62">
        <v>30432.51</v>
      </c>
      <c r="L6889" s="33" t="e">
        <f>HLOOKUP(B6889,#REF!,1,0)</f>
        <v>#REF!</v>
      </c>
      <c r="M6889" s="33" t="str">
        <f t="shared" si="431"/>
        <v>P&amp;L</v>
      </c>
    </row>
    <row r="6890" spans="1:13" s="33" customFormat="true" ht="12.75" customHeight="true">
      <c r="A6890" s="33" t="str">
        <f t="shared" si="428"/>
        <v>OLD - CGS</v>
      </c>
      <c r="B6890" s="33" t="str">
        <f t="shared" si="429"/>
        <v>OLD</v>
      </c>
      <c r="C6890" s="33" t="str">
        <f t="shared" si="430"/>
        <v>54003-0048</v>
      </c>
      <c r="D6890" s="64" t="s">
        <v>8116</v>
      </c>
      <c r="E6890" s="64" t="s">
        <v>8112</v>
      </c>
      <c r="F6890" s="64" t="s">
        <v>230</v>
      </c>
      <c r="G6890" s="64" t="s">
        <v>3800</v>
      </c>
      <c r="H6890" s="64" t="s">
        <v>1875</v>
      </c>
      <c r="I6890" s="64" t="s">
        <v>3804</v>
      </c>
      <c r="J6890" s="67">
        <v>0</v>
      </c>
      <c r="K6890" s="62">
        <v>323.7</v>
      </c>
      <c r="L6890" s="33" t="e">
        <f>HLOOKUP(B6890,#REF!,1,0)</f>
        <v>#REF!</v>
      </c>
      <c r="M6890" s="33" t="str">
        <f t="shared" si="431"/>
        <v>P&amp;L</v>
      </c>
    </row>
    <row r="6891" spans="1:13" s="33" customFormat="true" ht="12.75" customHeight="true">
      <c r="A6891" s="33" t="str">
        <f t="shared" si="428"/>
        <v>OLD - CGS</v>
      </c>
      <c r="B6891" s="33" t="str">
        <f t="shared" si="429"/>
        <v>OLD</v>
      </c>
      <c r="C6891" s="33" t="str">
        <f t="shared" si="430"/>
        <v>54003-0049</v>
      </c>
      <c r="D6891" s="64" t="s">
        <v>8117</v>
      </c>
      <c r="E6891" s="64" t="s">
        <v>8112</v>
      </c>
      <c r="F6891" s="64" t="s">
        <v>230</v>
      </c>
      <c r="G6891" s="64" t="s">
        <v>3800</v>
      </c>
      <c r="H6891" s="64" t="s">
        <v>1875</v>
      </c>
      <c r="I6891" s="64" t="s">
        <v>3804</v>
      </c>
      <c r="J6891" s="67">
        <v>0</v>
      </c>
      <c r="K6891" s="62">
        <v>74336.07</v>
      </c>
      <c r="L6891" s="33" t="e">
        <f>HLOOKUP(B6891,#REF!,1,0)</f>
        <v>#REF!</v>
      </c>
      <c r="M6891" s="33" t="str">
        <f t="shared" si="431"/>
        <v>P&amp;L</v>
      </c>
    </row>
    <row r="6892" spans="1:13" s="33" customFormat="true" ht="12.75" customHeight="true">
      <c r="A6892" s="33" t="str">
        <f t="shared" si="428"/>
        <v>OLD - CGS</v>
      </c>
      <c r="B6892" s="33" t="str">
        <f t="shared" si="429"/>
        <v>OLD</v>
      </c>
      <c r="C6892" s="33" t="str">
        <f t="shared" si="430"/>
        <v>54003-0050</v>
      </c>
      <c r="D6892" s="64" t="s">
        <v>8118</v>
      </c>
      <c r="E6892" s="64" t="s">
        <v>8112</v>
      </c>
      <c r="F6892" s="64" t="s">
        <v>230</v>
      </c>
      <c r="G6892" s="64" t="s">
        <v>3800</v>
      </c>
      <c r="H6892" s="64" t="s">
        <v>1875</v>
      </c>
      <c r="I6892" s="64" t="s">
        <v>3804</v>
      </c>
      <c r="J6892" s="67">
        <v>0</v>
      </c>
      <c r="K6892" s="62">
        <v>18186.88</v>
      </c>
      <c r="L6892" s="33" t="e">
        <f>HLOOKUP(B6892,#REF!,1,0)</f>
        <v>#REF!</v>
      </c>
      <c r="M6892" s="33" t="str">
        <f t="shared" si="431"/>
        <v>P&amp;L</v>
      </c>
    </row>
    <row r="6893" spans="1:13" s="33" customFormat="true" ht="12.75" customHeight="true">
      <c r="A6893" s="33" t="str">
        <f t="shared" si="428"/>
        <v>OLD - CGS</v>
      </c>
      <c r="B6893" s="33" t="str">
        <f t="shared" si="429"/>
        <v>OLD</v>
      </c>
      <c r="C6893" s="33" t="str">
        <f t="shared" si="430"/>
        <v>54004-0043</v>
      </c>
      <c r="D6893" s="64" t="s">
        <v>8119</v>
      </c>
      <c r="E6893" s="64" t="s">
        <v>3806</v>
      </c>
      <c r="F6893" s="64" t="s">
        <v>230</v>
      </c>
      <c r="G6893" s="64" t="s">
        <v>3800</v>
      </c>
      <c r="H6893" s="64" t="s">
        <v>1875</v>
      </c>
      <c r="I6893" s="64" t="s">
        <v>3807</v>
      </c>
      <c r="J6893" s="67">
        <v>0</v>
      </c>
      <c r="K6893" s="62">
        <v>0</v>
      </c>
      <c r="L6893" s="33" t="e">
        <f>HLOOKUP(B6893,#REF!,1,0)</f>
        <v>#REF!</v>
      </c>
      <c r="M6893" s="33" t="str">
        <f t="shared" si="431"/>
        <v>P&amp;L</v>
      </c>
    </row>
    <row r="6894" spans="1:13" s="33" customFormat="true" ht="12.75" customHeight="true">
      <c r="A6894" s="33" t="str">
        <f t="shared" si="428"/>
        <v>OLD - CGS</v>
      </c>
      <c r="B6894" s="33" t="str">
        <f t="shared" si="429"/>
        <v>OLD</v>
      </c>
      <c r="C6894" s="33" t="str">
        <f t="shared" si="430"/>
        <v>54004-0044</v>
      </c>
      <c r="D6894" s="64" t="s">
        <v>8120</v>
      </c>
      <c r="E6894" s="64" t="s">
        <v>3806</v>
      </c>
      <c r="F6894" s="64" t="s">
        <v>230</v>
      </c>
      <c r="G6894" s="64" t="s">
        <v>3800</v>
      </c>
      <c r="H6894" s="64" t="s">
        <v>1875</v>
      </c>
      <c r="I6894" s="64" t="s">
        <v>3807</v>
      </c>
      <c r="J6894" s="67">
        <v>0</v>
      </c>
      <c r="K6894" s="62">
        <v>3667.13</v>
      </c>
      <c r="L6894" s="33" t="e">
        <f>HLOOKUP(B6894,#REF!,1,0)</f>
        <v>#REF!</v>
      </c>
      <c r="M6894" s="33" t="str">
        <f t="shared" si="431"/>
        <v>P&amp;L</v>
      </c>
    </row>
    <row r="6895" spans="1:13" s="33" customFormat="true" ht="12.75" customHeight="true">
      <c r="A6895" s="33" t="str">
        <f t="shared" si="428"/>
        <v>OLD - CGS</v>
      </c>
      <c r="B6895" s="33" t="str">
        <f t="shared" si="429"/>
        <v>OLD</v>
      </c>
      <c r="C6895" s="33" t="str">
        <f t="shared" si="430"/>
        <v>54004-0045</v>
      </c>
      <c r="D6895" s="64" t="s">
        <v>8121</v>
      </c>
      <c r="E6895" s="64" t="s">
        <v>3806</v>
      </c>
      <c r="F6895" s="64" t="s">
        <v>230</v>
      </c>
      <c r="G6895" s="64" t="s">
        <v>3800</v>
      </c>
      <c r="H6895" s="64" t="s">
        <v>1875</v>
      </c>
      <c r="I6895" s="64" t="s">
        <v>3807</v>
      </c>
      <c r="J6895" s="67">
        <v>0</v>
      </c>
      <c r="K6895" s="62">
        <v>0</v>
      </c>
      <c r="L6895" s="33" t="e">
        <f>HLOOKUP(B6895,#REF!,1,0)</f>
        <v>#REF!</v>
      </c>
      <c r="M6895" s="33" t="str">
        <f t="shared" si="431"/>
        <v>P&amp;L</v>
      </c>
    </row>
    <row r="6896" spans="1:13" s="33" customFormat="true" ht="12.75" customHeight="true">
      <c r="A6896" s="33" t="str">
        <f t="shared" si="428"/>
        <v>OLD - CGS</v>
      </c>
      <c r="B6896" s="33" t="str">
        <f t="shared" si="429"/>
        <v>OLD</v>
      </c>
      <c r="C6896" s="33" t="str">
        <f t="shared" si="430"/>
        <v>54004-0046</v>
      </c>
      <c r="D6896" s="64" t="s">
        <v>8122</v>
      </c>
      <c r="E6896" s="64" t="s">
        <v>3806</v>
      </c>
      <c r="F6896" s="64" t="s">
        <v>230</v>
      </c>
      <c r="G6896" s="64" t="s">
        <v>3800</v>
      </c>
      <c r="H6896" s="64" t="s">
        <v>1875</v>
      </c>
      <c r="I6896" s="64" t="s">
        <v>3807</v>
      </c>
      <c r="J6896" s="67">
        <v>0</v>
      </c>
      <c r="K6896" s="62">
        <v>1242.36</v>
      </c>
      <c r="L6896" s="33" t="e">
        <f>HLOOKUP(B6896,#REF!,1,0)</f>
        <v>#REF!</v>
      </c>
      <c r="M6896" s="33" t="str">
        <f t="shared" si="431"/>
        <v>P&amp;L</v>
      </c>
    </row>
    <row r="6897" spans="1:13" s="33" customFormat="true" ht="12.75" customHeight="true">
      <c r="A6897" s="33" t="str">
        <f t="shared" si="428"/>
        <v>OLD - CGS</v>
      </c>
      <c r="B6897" s="33" t="str">
        <f t="shared" si="429"/>
        <v>OLD</v>
      </c>
      <c r="C6897" s="33" t="str">
        <f t="shared" si="430"/>
        <v>54004-0048</v>
      </c>
      <c r="D6897" s="64" t="s">
        <v>8123</v>
      </c>
      <c r="E6897" s="64" t="s">
        <v>3806</v>
      </c>
      <c r="F6897" s="64" t="s">
        <v>230</v>
      </c>
      <c r="G6897" s="64" t="s">
        <v>3800</v>
      </c>
      <c r="H6897" s="64" t="s">
        <v>1875</v>
      </c>
      <c r="I6897" s="64" t="s">
        <v>3807</v>
      </c>
      <c r="J6897" s="67">
        <v>0</v>
      </c>
      <c r="K6897" s="62">
        <v>5609.51</v>
      </c>
      <c r="L6897" s="33" t="e">
        <f>HLOOKUP(B6897,#REF!,1,0)</f>
        <v>#REF!</v>
      </c>
      <c r="M6897" s="33" t="str">
        <f t="shared" si="431"/>
        <v>P&amp;L</v>
      </c>
    </row>
    <row r="6898" spans="1:13" s="33" customFormat="true" ht="12.75" customHeight="true">
      <c r="A6898" s="33" t="str">
        <f t="shared" si="428"/>
        <v>OLD - CGS</v>
      </c>
      <c r="B6898" s="33" t="str">
        <f t="shared" si="429"/>
        <v>OLD</v>
      </c>
      <c r="C6898" s="33" t="str">
        <f t="shared" si="430"/>
        <v>54004-0049</v>
      </c>
      <c r="D6898" s="64" t="s">
        <v>8124</v>
      </c>
      <c r="E6898" s="64" t="s">
        <v>3806</v>
      </c>
      <c r="F6898" s="64" t="s">
        <v>230</v>
      </c>
      <c r="G6898" s="64" t="s">
        <v>3800</v>
      </c>
      <c r="H6898" s="64" t="s">
        <v>1875</v>
      </c>
      <c r="I6898" s="64" t="s">
        <v>3807</v>
      </c>
      <c r="J6898" s="67">
        <v>0</v>
      </c>
      <c r="K6898" s="62">
        <v>77153.61</v>
      </c>
      <c r="L6898" s="33" t="e">
        <f>HLOOKUP(B6898,#REF!,1,0)</f>
        <v>#REF!</v>
      </c>
      <c r="M6898" s="33" t="str">
        <f t="shared" si="431"/>
        <v>P&amp;L</v>
      </c>
    </row>
    <row r="6899" spans="1:13" s="33" customFormat="true" ht="12.75" customHeight="true">
      <c r="A6899" s="33" t="str">
        <f t="shared" si="428"/>
        <v>OLD - CGS</v>
      </c>
      <c r="B6899" s="33" t="str">
        <f t="shared" si="429"/>
        <v>OLD</v>
      </c>
      <c r="C6899" s="33" t="str">
        <f t="shared" si="430"/>
        <v>54004-0050</v>
      </c>
      <c r="D6899" s="64" t="s">
        <v>8125</v>
      </c>
      <c r="E6899" s="64" t="s">
        <v>3806</v>
      </c>
      <c r="F6899" s="64" t="s">
        <v>230</v>
      </c>
      <c r="G6899" s="64" t="s">
        <v>3800</v>
      </c>
      <c r="H6899" s="64" t="s">
        <v>1875</v>
      </c>
      <c r="I6899" s="64" t="s">
        <v>3807</v>
      </c>
      <c r="J6899" s="67">
        <v>0</v>
      </c>
      <c r="K6899" s="62">
        <v>57406.3</v>
      </c>
      <c r="L6899" s="33" t="e">
        <f>HLOOKUP(B6899,#REF!,1,0)</f>
        <v>#REF!</v>
      </c>
      <c r="M6899" s="33" t="str">
        <f t="shared" si="431"/>
        <v>P&amp;L</v>
      </c>
    </row>
    <row r="6900" spans="1:13" s="33" customFormat="true" ht="12.75" customHeight="true">
      <c r="A6900" s="33" t="str">
        <f t="shared" si="428"/>
        <v>OLD - CGS</v>
      </c>
      <c r="B6900" s="33" t="str">
        <f t="shared" si="429"/>
        <v>OLD</v>
      </c>
      <c r="C6900" s="33" t="str">
        <f t="shared" si="430"/>
        <v>54005-0043</v>
      </c>
      <c r="D6900" s="64" t="s">
        <v>8126</v>
      </c>
      <c r="E6900" s="64" t="s">
        <v>3809</v>
      </c>
      <c r="F6900" s="64" t="s">
        <v>230</v>
      </c>
      <c r="G6900" s="64" t="s">
        <v>3800</v>
      </c>
      <c r="H6900" s="64" t="s">
        <v>1875</v>
      </c>
      <c r="I6900" s="64" t="s">
        <v>3810</v>
      </c>
      <c r="J6900" s="67">
        <v>0</v>
      </c>
      <c r="K6900" s="62">
        <v>235.01</v>
      </c>
      <c r="L6900" s="33" t="e">
        <f>HLOOKUP(B6900,#REF!,1,0)</f>
        <v>#REF!</v>
      </c>
      <c r="M6900" s="33" t="str">
        <f t="shared" si="431"/>
        <v>P&amp;L</v>
      </c>
    </row>
    <row r="6901" spans="1:13" s="33" customFormat="true" ht="12.75" customHeight="true">
      <c r="A6901" s="33" t="str">
        <f t="shared" si="428"/>
        <v>OLD - CGS</v>
      </c>
      <c r="B6901" s="33" t="str">
        <f t="shared" si="429"/>
        <v>OLD</v>
      </c>
      <c r="C6901" s="33" t="str">
        <f t="shared" si="430"/>
        <v>54005-0044</v>
      </c>
      <c r="D6901" s="64" t="s">
        <v>8127</v>
      </c>
      <c r="E6901" s="64" t="s">
        <v>3809</v>
      </c>
      <c r="F6901" s="64" t="s">
        <v>230</v>
      </c>
      <c r="G6901" s="64" t="s">
        <v>3800</v>
      </c>
      <c r="H6901" s="64" t="s">
        <v>1875</v>
      </c>
      <c r="I6901" s="64" t="s">
        <v>3810</v>
      </c>
      <c r="J6901" s="67">
        <v>0</v>
      </c>
      <c r="K6901" s="62">
        <v>541.25</v>
      </c>
      <c r="L6901" s="33" t="e">
        <f>HLOOKUP(B6901,#REF!,1,0)</f>
        <v>#REF!</v>
      </c>
      <c r="M6901" s="33" t="str">
        <f t="shared" si="431"/>
        <v>P&amp;L</v>
      </c>
    </row>
    <row r="6902" spans="1:13" s="33" customFormat="true" ht="12.75" customHeight="true">
      <c r="A6902" s="33" t="str">
        <f t="shared" si="428"/>
        <v>OLD - CGS</v>
      </c>
      <c r="B6902" s="33" t="str">
        <f t="shared" si="429"/>
        <v>OLD</v>
      </c>
      <c r="C6902" s="33" t="str">
        <f t="shared" si="430"/>
        <v>54005-0045</v>
      </c>
      <c r="D6902" s="64" t="s">
        <v>8128</v>
      </c>
      <c r="E6902" s="64" t="s">
        <v>3809</v>
      </c>
      <c r="F6902" s="64" t="s">
        <v>230</v>
      </c>
      <c r="G6902" s="64" t="s">
        <v>3800</v>
      </c>
      <c r="H6902" s="64" t="s">
        <v>1875</v>
      </c>
      <c r="I6902" s="64" t="s">
        <v>3810</v>
      </c>
      <c r="J6902" s="67">
        <v>0</v>
      </c>
      <c r="K6902" s="62">
        <v>0</v>
      </c>
      <c r="L6902" s="33" t="e">
        <f>HLOOKUP(B6902,#REF!,1,0)</f>
        <v>#REF!</v>
      </c>
      <c r="M6902" s="33" t="str">
        <f t="shared" si="431"/>
        <v>P&amp;L</v>
      </c>
    </row>
    <row r="6903" spans="1:13" s="33" customFormat="true" ht="12.75" customHeight="true">
      <c r="A6903" s="33" t="str">
        <f t="shared" si="428"/>
        <v>OLD - CGS</v>
      </c>
      <c r="B6903" s="33" t="str">
        <f t="shared" si="429"/>
        <v>OLD</v>
      </c>
      <c r="C6903" s="33" t="str">
        <f t="shared" si="430"/>
        <v>54005-0046</v>
      </c>
      <c r="D6903" s="64" t="s">
        <v>8129</v>
      </c>
      <c r="E6903" s="64" t="s">
        <v>3809</v>
      </c>
      <c r="F6903" s="64" t="s">
        <v>230</v>
      </c>
      <c r="G6903" s="64" t="s">
        <v>3800</v>
      </c>
      <c r="H6903" s="64" t="s">
        <v>1875</v>
      </c>
      <c r="I6903" s="64" t="s">
        <v>3810</v>
      </c>
      <c r="J6903" s="67">
        <v>0</v>
      </c>
      <c r="K6903" s="62">
        <v>408</v>
      </c>
      <c r="L6903" s="33" t="e">
        <f>HLOOKUP(B6903,#REF!,1,0)</f>
        <v>#REF!</v>
      </c>
      <c r="M6903" s="33" t="str">
        <f t="shared" si="431"/>
        <v>P&amp;L</v>
      </c>
    </row>
    <row r="6904" spans="1:13" s="33" customFormat="true" ht="12.75" customHeight="true">
      <c r="A6904" s="33" t="str">
        <f t="shared" si="428"/>
        <v>OLD - CGS</v>
      </c>
      <c r="B6904" s="33" t="str">
        <f t="shared" si="429"/>
        <v>OLD</v>
      </c>
      <c r="C6904" s="33" t="str">
        <f t="shared" si="430"/>
        <v>54006-0043</v>
      </c>
      <c r="D6904" s="64" t="s">
        <v>8130</v>
      </c>
      <c r="E6904" s="64" t="s">
        <v>3812</v>
      </c>
      <c r="F6904" s="64" t="s">
        <v>230</v>
      </c>
      <c r="G6904" s="64" t="s">
        <v>3800</v>
      </c>
      <c r="H6904" s="64" t="s">
        <v>1875</v>
      </c>
      <c r="I6904" s="64" t="s">
        <v>3003</v>
      </c>
      <c r="J6904" s="67">
        <v>0</v>
      </c>
      <c r="K6904" s="62">
        <v>3299.63</v>
      </c>
      <c r="L6904" s="33" t="e">
        <f>HLOOKUP(B6904,#REF!,1,0)</f>
        <v>#REF!</v>
      </c>
      <c r="M6904" s="33" t="str">
        <f t="shared" si="431"/>
        <v>P&amp;L</v>
      </c>
    </row>
    <row r="6905" spans="1:13" s="33" customFormat="true" ht="12.75" customHeight="true">
      <c r="A6905" s="33" t="str">
        <f t="shared" si="428"/>
        <v>OLD - CGS</v>
      </c>
      <c r="B6905" s="33" t="str">
        <f t="shared" si="429"/>
        <v>OLD</v>
      </c>
      <c r="C6905" s="33" t="str">
        <f t="shared" si="430"/>
        <v>54006-0044</v>
      </c>
      <c r="D6905" s="64" t="s">
        <v>8131</v>
      </c>
      <c r="E6905" s="64" t="s">
        <v>3812</v>
      </c>
      <c r="F6905" s="64" t="s">
        <v>230</v>
      </c>
      <c r="G6905" s="64" t="s">
        <v>3800</v>
      </c>
      <c r="H6905" s="64" t="s">
        <v>1875</v>
      </c>
      <c r="I6905" s="64" t="s">
        <v>3003</v>
      </c>
      <c r="J6905" s="67">
        <v>0</v>
      </c>
      <c r="K6905" s="62">
        <v>657.84</v>
      </c>
      <c r="L6905" s="33" t="e">
        <f>HLOOKUP(B6905,#REF!,1,0)</f>
        <v>#REF!</v>
      </c>
      <c r="M6905" s="33" t="str">
        <f t="shared" si="431"/>
        <v>P&amp;L</v>
      </c>
    </row>
    <row r="6906" spans="1:13" s="33" customFormat="true" ht="12.75" customHeight="true">
      <c r="A6906" s="33" t="str">
        <f t="shared" si="428"/>
        <v>OLD - CGS</v>
      </c>
      <c r="B6906" s="33" t="str">
        <f t="shared" si="429"/>
        <v>OLD</v>
      </c>
      <c r="C6906" s="33" t="str">
        <f t="shared" si="430"/>
        <v>54006-0045</v>
      </c>
      <c r="D6906" s="64" t="s">
        <v>8132</v>
      </c>
      <c r="E6906" s="64" t="s">
        <v>3812</v>
      </c>
      <c r="F6906" s="64" t="s">
        <v>230</v>
      </c>
      <c r="G6906" s="64" t="s">
        <v>3800</v>
      </c>
      <c r="H6906" s="64" t="s">
        <v>1875</v>
      </c>
      <c r="I6906" s="64" t="s">
        <v>3003</v>
      </c>
      <c r="J6906" s="67">
        <v>0</v>
      </c>
      <c r="K6906" s="62">
        <v>0</v>
      </c>
      <c r="L6906" s="33" t="e">
        <f>HLOOKUP(B6906,#REF!,1,0)</f>
        <v>#REF!</v>
      </c>
      <c r="M6906" s="33" t="str">
        <f t="shared" si="431"/>
        <v>P&amp;L</v>
      </c>
    </row>
    <row r="6907" spans="1:13" s="33" customFormat="true" ht="12.75" customHeight="true">
      <c r="A6907" s="33" t="str">
        <f t="shared" si="428"/>
        <v>OLD - CGS</v>
      </c>
      <c r="B6907" s="33" t="str">
        <f t="shared" si="429"/>
        <v>OLD</v>
      </c>
      <c r="C6907" s="33" t="str">
        <f t="shared" si="430"/>
        <v>54006-0046</v>
      </c>
      <c r="D6907" s="64" t="s">
        <v>8133</v>
      </c>
      <c r="E6907" s="64" t="s">
        <v>3812</v>
      </c>
      <c r="F6907" s="64" t="s">
        <v>230</v>
      </c>
      <c r="G6907" s="64" t="s">
        <v>3800</v>
      </c>
      <c r="H6907" s="64" t="s">
        <v>1875</v>
      </c>
      <c r="I6907" s="64" t="s">
        <v>3003</v>
      </c>
      <c r="J6907" s="67">
        <v>0</v>
      </c>
      <c r="K6907" s="62">
        <v>8882.08</v>
      </c>
      <c r="L6907" s="33" t="e">
        <f>HLOOKUP(B6907,#REF!,1,0)</f>
        <v>#REF!</v>
      </c>
      <c r="M6907" s="33" t="str">
        <f t="shared" si="431"/>
        <v>P&amp;L</v>
      </c>
    </row>
    <row r="6908" spans="1:13" s="33" customFormat="true" ht="12.75" customHeight="true">
      <c r="A6908" s="33" t="str">
        <f t="shared" si="428"/>
        <v>OLD - CGS</v>
      </c>
      <c r="B6908" s="33" t="str">
        <f t="shared" si="429"/>
        <v>OLD</v>
      </c>
      <c r="C6908" s="33" t="str">
        <f t="shared" si="430"/>
        <v>54006-0048</v>
      </c>
      <c r="D6908" s="64" t="s">
        <v>8134</v>
      </c>
      <c r="E6908" s="64" t="s">
        <v>3812</v>
      </c>
      <c r="F6908" s="64" t="s">
        <v>230</v>
      </c>
      <c r="G6908" s="64" t="s">
        <v>3800</v>
      </c>
      <c r="H6908" s="64" t="s">
        <v>1875</v>
      </c>
      <c r="I6908" s="64" t="s">
        <v>3003</v>
      </c>
      <c r="J6908" s="67">
        <v>0</v>
      </c>
      <c r="K6908" s="62">
        <v>1101.04</v>
      </c>
      <c r="L6908" s="33" t="e">
        <f>HLOOKUP(B6908,#REF!,1,0)</f>
        <v>#REF!</v>
      </c>
      <c r="M6908" s="33" t="str">
        <f t="shared" si="431"/>
        <v>P&amp;L</v>
      </c>
    </row>
    <row r="6909" spans="1:13" s="33" customFormat="true" ht="12.75" customHeight="true">
      <c r="A6909" s="33" t="str">
        <f t="shared" si="428"/>
        <v>OLD - CGS</v>
      </c>
      <c r="B6909" s="33" t="str">
        <f t="shared" si="429"/>
        <v>OLD</v>
      </c>
      <c r="C6909" s="33" t="str">
        <f t="shared" si="430"/>
        <v>54007-0043</v>
      </c>
      <c r="D6909" s="64" t="s">
        <v>8135</v>
      </c>
      <c r="E6909" s="64" t="s">
        <v>8136</v>
      </c>
      <c r="F6909" s="64" t="s">
        <v>230</v>
      </c>
      <c r="G6909" s="64" t="s">
        <v>3800</v>
      </c>
      <c r="H6909" s="64" t="s">
        <v>1875</v>
      </c>
      <c r="I6909" s="64" t="s">
        <v>3815</v>
      </c>
      <c r="J6909" s="67">
        <v>0</v>
      </c>
      <c r="K6909" s="62">
        <v>19200</v>
      </c>
      <c r="L6909" s="33" t="e">
        <f>HLOOKUP(B6909,#REF!,1,0)</f>
        <v>#REF!</v>
      </c>
      <c r="M6909" s="33" t="str">
        <f t="shared" si="431"/>
        <v>P&amp;L</v>
      </c>
    </row>
    <row r="6910" spans="1:13" s="33" customFormat="true" ht="12.75" customHeight="true">
      <c r="A6910" s="33" t="str">
        <f t="shared" si="428"/>
        <v>OLD - CGS</v>
      </c>
      <c r="B6910" s="33" t="str">
        <f t="shared" si="429"/>
        <v>OLD</v>
      </c>
      <c r="C6910" s="33" t="str">
        <f t="shared" si="430"/>
        <v>54007-0044</v>
      </c>
      <c r="D6910" s="64" t="s">
        <v>8137</v>
      </c>
      <c r="E6910" s="64" t="s">
        <v>8136</v>
      </c>
      <c r="F6910" s="64" t="s">
        <v>230</v>
      </c>
      <c r="G6910" s="64" t="s">
        <v>3800</v>
      </c>
      <c r="H6910" s="64" t="s">
        <v>1875</v>
      </c>
      <c r="I6910" s="64" t="s">
        <v>3815</v>
      </c>
      <c r="J6910" s="67">
        <v>0</v>
      </c>
      <c r="K6910" s="62">
        <v>2974.22</v>
      </c>
      <c r="L6910" s="33" t="e">
        <f>HLOOKUP(B6910,#REF!,1,0)</f>
        <v>#REF!</v>
      </c>
      <c r="M6910" s="33" t="str">
        <f t="shared" si="431"/>
        <v>P&amp;L</v>
      </c>
    </row>
    <row r="6911" spans="1:13" s="33" customFormat="true" ht="12.75" customHeight="true">
      <c r="A6911" s="33" t="str">
        <f t="shared" si="428"/>
        <v>OLD - CGS</v>
      </c>
      <c r="B6911" s="33" t="str">
        <f t="shared" si="429"/>
        <v>OLD</v>
      </c>
      <c r="C6911" s="33" t="str">
        <f t="shared" si="430"/>
        <v>54007-0045</v>
      </c>
      <c r="D6911" s="64" t="s">
        <v>8138</v>
      </c>
      <c r="E6911" s="64" t="s">
        <v>8136</v>
      </c>
      <c r="F6911" s="64" t="s">
        <v>230</v>
      </c>
      <c r="G6911" s="64" t="s">
        <v>3800</v>
      </c>
      <c r="H6911" s="64" t="s">
        <v>1875</v>
      </c>
      <c r="I6911" s="64" t="s">
        <v>3815</v>
      </c>
      <c r="J6911" s="67">
        <v>0</v>
      </c>
      <c r="K6911" s="62">
        <v>0</v>
      </c>
      <c r="L6911" s="33" t="e">
        <f>HLOOKUP(B6911,#REF!,1,0)</f>
        <v>#REF!</v>
      </c>
      <c r="M6911" s="33" t="str">
        <f t="shared" si="431"/>
        <v>P&amp;L</v>
      </c>
    </row>
    <row r="6912" spans="1:13" s="33" customFormat="true" ht="12.75" customHeight="true">
      <c r="A6912" s="33" t="str">
        <f t="shared" si="428"/>
        <v>OLD - CGS</v>
      </c>
      <c r="B6912" s="33" t="str">
        <f t="shared" si="429"/>
        <v>OLD</v>
      </c>
      <c r="C6912" s="33" t="str">
        <f t="shared" si="430"/>
        <v>54007-0046</v>
      </c>
      <c r="D6912" s="64" t="s">
        <v>8139</v>
      </c>
      <c r="E6912" s="64" t="s">
        <v>8136</v>
      </c>
      <c r="F6912" s="64" t="s">
        <v>230</v>
      </c>
      <c r="G6912" s="64" t="s">
        <v>3800</v>
      </c>
      <c r="H6912" s="64" t="s">
        <v>1875</v>
      </c>
      <c r="I6912" s="64" t="s">
        <v>3815</v>
      </c>
      <c r="J6912" s="67">
        <v>0</v>
      </c>
      <c r="K6912" s="62">
        <v>27042.19</v>
      </c>
      <c r="L6912" s="33" t="e">
        <f>HLOOKUP(B6912,#REF!,1,0)</f>
        <v>#REF!</v>
      </c>
      <c r="M6912" s="33" t="str">
        <f t="shared" si="431"/>
        <v>P&amp;L</v>
      </c>
    </row>
    <row r="6913" spans="1:13" s="33" customFormat="true" ht="12.75" customHeight="true">
      <c r="A6913" s="33" t="str">
        <f t="shared" si="428"/>
        <v>OLD - CGS</v>
      </c>
      <c r="B6913" s="33" t="str">
        <f t="shared" si="429"/>
        <v>OLD</v>
      </c>
      <c r="C6913" s="33" t="str">
        <f t="shared" si="430"/>
        <v>54007-0048</v>
      </c>
      <c r="D6913" s="64" t="s">
        <v>8140</v>
      </c>
      <c r="E6913" s="64" t="s">
        <v>8136</v>
      </c>
      <c r="F6913" s="64" t="s">
        <v>230</v>
      </c>
      <c r="G6913" s="64" t="s">
        <v>3800</v>
      </c>
      <c r="H6913" s="64" t="s">
        <v>1875</v>
      </c>
      <c r="I6913" s="64" t="s">
        <v>3815</v>
      </c>
      <c r="J6913" s="67">
        <v>0</v>
      </c>
      <c r="K6913" s="62">
        <v>4379.87</v>
      </c>
      <c r="L6913" s="33" t="e">
        <f>HLOOKUP(B6913,#REF!,1,0)</f>
        <v>#REF!</v>
      </c>
      <c r="M6913" s="33" t="str">
        <f t="shared" si="431"/>
        <v>P&amp;L</v>
      </c>
    </row>
    <row r="6914" spans="1:13" s="33" customFormat="true" ht="12.75" customHeight="true">
      <c r="A6914" s="33" t="str">
        <f t="shared" ref="A6914:A6977" si="432">B6914&amp;" - "&amp;TRIM(H6914)</f>
        <v>OLD - CGS</v>
      </c>
      <c r="B6914" s="33" t="str">
        <f t="shared" ref="B6914:B6977" si="433">LEFT(D6914,3)</f>
        <v>OLD</v>
      </c>
      <c r="C6914" s="33" t="str">
        <f t="shared" ref="C6914:C6977" si="434">RIGHT(D6914,10)</f>
        <v>54007-0049</v>
      </c>
      <c r="D6914" s="64" t="s">
        <v>8141</v>
      </c>
      <c r="E6914" s="64" t="s">
        <v>8136</v>
      </c>
      <c r="F6914" s="64" t="s">
        <v>230</v>
      </c>
      <c r="G6914" s="64" t="s">
        <v>3800</v>
      </c>
      <c r="H6914" s="64" t="s">
        <v>1875</v>
      </c>
      <c r="I6914" s="64" t="s">
        <v>3815</v>
      </c>
      <c r="J6914" s="67">
        <v>0</v>
      </c>
      <c r="K6914" s="62">
        <v>77485.65</v>
      </c>
      <c r="L6914" s="33" t="e">
        <f>HLOOKUP(B6914,#REF!,1,0)</f>
        <v>#REF!</v>
      </c>
      <c r="M6914" s="33" t="str">
        <f t="shared" ref="M6914:M6977" si="435">IF(VALUE(LEFT(C6914,5))&gt;40000,"P&amp;L","BS")</f>
        <v>P&amp;L</v>
      </c>
    </row>
    <row r="6915" spans="1:13" s="33" customFormat="true" ht="12.75" customHeight="true">
      <c r="A6915" s="33" t="str">
        <f t="shared" si="432"/>
        <v>OLD - CGS</v>
      </c>
      <c r="B6915" s="33" t="str">
        <f t="shared" si="433"/>
        <v>OLD</v>
      </c>
      <c r="C6915" s="33" t="str">
        <f t="shared" si="434"/>
        <v>54007-0050</v>
      </c>
      <c r="D6915" s="64" t="s">
        <v>8142</v>
      </c>
      <c r="E6915" s="64" t="s">
        <v>8136</v>
      </c>
      <c r="F6915" s="64" t="s">
        <v>230</v>
      </c>
      <c r="G6915" s="64" t="s">
        <v>3800</v>
      </c>
      <c r="H6915" s="64" t="s">
        <v>1875</v>
      </c>
      <c r="I6915" s="64" t="s">
        <v>3815</v>
      </c>
      <c r="J6915" s="67">
        <v>0</v>
      </c>
      <c r="K6915" s="62">
        <v>15420.7</v>
      </c>
      <c r="L6915" s="33" t="e">
        <f>HLOOKUP(B6915,#REF!,1,0)</f>
        <v>#REF!</v>
      </c>
      <c r="M6915" s="33" t="str">
        <f t="shared" si="435"/>
        <v>P&amp;L</v>
      </c>
    </row>
    <row r="6916" spans="1:13" s="33" customFormat="true" ht="12.75" customHeight="true">
      <c r="A6916" s="33" t="str">
        <f t="shared" si="432"/>
        <v>OLD - PM Expenses</v>
      </c>
      <c r="B6916" s="33" t="str">
        <f t="shared" si="433"/>
        <v>OLD</v>
      </c>
      <c r="C6916" s="33" t="str">
        <f t="shared" si="434"/>
        <v>55506-0040</v>
      </c>
      <c r="D6916" s="64" t="s">
        <v>8143</v>
      </c>
      <c r="E6916" s="64" t="s">
        <v>3831</v>
      </c>
      <c r="F6916" s="64" t="s">
        <v>230</v>
      </c>
      <c r="G6916" s="64" t="s">
        <v>3818</v>
      </c>
      <c r="H6916" s="64" t="s">
        <v>3819</v>
      </c>
      <c r="I6916" s="64" t="s">
        <v>3832</v>
      </c>
      <c r="J6916" s="67">
        <v>0</v>
      </c>
      <c r="K6916" s="62">
        <v>89.95</v>
      </c>
      <c r="L6916" s="33" t="e">
        <f>HLOOKUP(B6916,#REF!,1,0)</f>
        <v>#REF!</v>
      </c>
      <c r="M6916" s="33" t="str">
        <f t="shared" si="435"/>
        <v>P&amp;L</v>
      </c>
    </row>
    <row r="6917" spans="1:13" s="33" customFormat="true" ht="12.75" customHeight="true">
      <c r="A6917" s="33" t="str">
        <f t="shared" si="432"/>
        <v>OLD - CGS</v>
      </c>
      <c r="B6917" s="33" t="str">
        <f t="shared" si="433"/>
        <v>OLD</v>
      </c>
      <c r="C6917" s="33" t="str">
        <f t="shared" si="434"/>
        <v>60002-0041</v>
      </c>
      <c r="D6917" s="64" t="s">
        <v>8144</v>
      </c>
      <c r="E6917" s="64" t="s">
        <v>8145</v>
      </c>
      <c r="F6917" s="64" t="s">
        <v>230</v>
      </c>
      <c r="G6917" s="64" t="s">
        <v>3838</v>
      </c>
      <c r="H6917" s="64" t="s">
        <v>1875</v>
      </c>
      <c r="I6917" s="64" t="s">
        <v>3839</v>
      </c>
      <c r="J6917" s="67">
        <v>0</v>
      </c>
      <c r="K6917" s="62">
        <v>528.15</v>
      </c>
      <c r="L6917" s="33" t="e">
        <f>HLOOKUP(B6917,#REF!,1,0)</f>
        <v>#REF!</v>
      </c>
      <c r="M6917" s="33" t="str">
        <f t="shared" si="435"/>
        <v>P&amp;L</v>
      </c>
    </row>
    <row r="6918" spans="1:13" s="33" customFormat="true" ht="12.75" customHeight="true">
      <c r="A6918" s="33" t="str">
        <f t="shared" si="432"/>
        <v>OLD - CGS</v>
      </c>
      <c r="B6918" s="33" t="str">
        <f t="shared" si="433"/>
        <v>OLD</v>
      </c>
      <c r="C6918" s="33" t="str">
        <f t="shared" si="434"/>
        <v>60002-0042</v>
      </c>
      <c r="D6918" s="64" t="s">
        <v>8146</v>
      </c>
      <c r="E6918" s="64" t="s">
        <v>8145</v>
      </c>
      <c r="F6918" s="64" t="s">
        <v>230</v>
      </c>
      <c r="G6918" s="64" t="s">
        <v>3838</v>
      </c>
      <c r="H6918" s="64" t="s">
        <v>1875</v>
      </c>
      <c r="I6918" s="64" t="s">
        <v>3839</v>
      </c>
      <c r="J6918" s="67">
        <v>0</v>
      </c>
      <c r="K6918" s="62">
        <v>369.86</v>
      </c>
      <c r="L6918" s="33" t="e">
        <f>HLOOKUP(B6918,#REF!,1,0)</f>
        <v>#REF!</v>
      </c>
      <c r="M6918" s="33" t="str">
        <f t="shared" si="435"/>
        <v>P&amp;L</v>
      </c>
    </row>
    <row r="6919" spans="1:13" s="33" customFormat="true" ht="12.75" customHeight="true">
      <c r="A6919" s="33" t="str">
        <f t="shared" si="432"/>
        <v>OLD - CGS</v>
      </c>
      <c r="B6919" s="33" t="str">
        <f t="shared" si="433"/>
        <v>OLD</v>
      </c>
      <c r="C6919" s="33" t="str">
        <f t="shared" si="434"/>
        <v>60002-0043</v>
      </c>
      <c r="D6919" s="64" t="s">
        <v>8147</v>
      </c>
      <c r="E6919" s="64" t="s">
        <v>8145</v>
      </c>
      <c r="F6919" s="64" t="s">
        <v>230</v>
      </c>
      <c r="G6919" s="64" t="s">
        <v>3838</v>
      </c>
      <c r="H6919" s="64" t="s">
        <v>1875</v>
      </c>
      <c r="I6919" s="64" t="s">
        <v>3839</v>
      </c>
      <c r="J6919" s="67">
        <v>0</v>
      </c>
      <c r="K6919" s="62">
        <v>32.44</v>
      </c>
      <c r="L6919" s="33" t="e">
        <f>HLOOKUP(B6919,#REF!,1,0)</f>
        <v>#REF!</v>
      </c>
      <c r="M6919" s="33" t="str">
        <f t="shared" si="435"/>
        <v>P&amp;L</v>
      </c>
    </row>
    <row r="6920" spans="1:13" s="33" customFormat="true" ht="12.75" customHeight="true">
      <c r="A6920" s="33" t="str">
        <f t="shared" si="432"/>
        <v>OLD - CGS</v>
      </c>
      <c r="B6920" s="33" t="str">
        <f t="shared" si="433"/>
        <v>OLD</v>
      </c>
      <c r="C6920" s="33" t="str">
        <f t="shared" si="434"/>
        <v>60002-0044</v>
      </c>
      <c r="D6920" s="64" t="s">
        <v>8148</v>
      </c>
      <c r="E6920" s="64" t="s">
        <v>8145</v>
      </c>
      <c r="F6920" s="64" t="s">
        <v>230</v>
      </c>
      <c r="G6920" s="64" t="s">
        <v>3838</v>
      </c>
      <c r="H6920" s="64" t="s">
        <v>1875</v>
      </c>
      <c r="I6920" s="64" t="s">
        <v>3839</v>
      </c>
      <c r="J6920" s="67">
        <v>0</v>
      </c>
      <c r="K6920" s="62">
        <v>248.19</v>
      </c>
      <c r="L6920" s="33" t="e">
        <f>HLOOKUP(B6920,#REF!,1,0)</f>
        <v>#REF!</v>
      </c>
      <c r="M6920" s="33" t="str">
        <f t="shared" si="435"/>
        <v>P&amp;L</v>
      </c>
    </row>
    <row r="6921" spans="1:13" s="33" customFormat="true" ht="12.75" customHeight="true">
      <c r="A6921" s="33" t="str">
        <f t="shared" si="432"/>
        <v>OLD - CGS</v>
      </c>
      <c r="B6921" s="33" t="str">
        <f t="shared" si="433"/>
        <v>OLD</v>
      </c>
      <c r="C6921" s="33" t="str">
        <f t="shared" si="434"/>
        <v>60002-0045</v>
      </c>
      <c r="D6921" s="64" t="s">
        <v>8149</v>
      </c>
      <c r="E6921" s="64" t="s">
        <v>8145</v>
      </c>
      <c r="F6921" s="64" t="s">
        <v>230</v>
      </c>
      <c r="G6921" s="64" t="s">
        <v>3838</v>
      </c>
      <c r="H6921" s="64" t="s">
        <v>1875</v>
      </c>
      <c r="I6921" s="64" t="s">
        <v>3839</v>
      </c>
      <c r="J6921" s="67">
        <v>0</v>
      </c>
      <c r="K6921" s="62">
        <v>372.83</v>
      </c>
      <c r="L6921" s="33" t="e">
        <f>HLOOKUP(B6921,#REF!,1,0)</f>
        <v>#REF!</v>
      </c>
      <c r="M6921" s="33" t="str">
        <f t="shared" si="435"/>
        <v>P&amp;L</v>
      </c>
    </row>
    <row r="6922" spans="1:13" s="33" customFormat="true" ht="12.75" customHeight="true">
      <c r="A6922" s="33" t="str">
        <f t="shared" si="432"/>
        <v>OLD - CGS</v>
      </c>
      <c r="B6922" s="33" t="str">
        <f t="shared" si="433"/>
        <v>OLD</v>
      </c>
      <c r="C6922" s="33" t="str">
        <f t="shared" si="434"/>
        <v>60002-0046</v>
      </c>
      <c r="D6922" s="64" t="s">
        <v>8150</v>
      </c>
      <c r="E6922" s="64" t="s">
        <v>8145</v>
      </c>
      <c r="F6922" s="64" t="s">
        <v>230</v>
      </c>
      <c r="G6922" s="64" t="s">
        <v>3838</v>
      </c>
      <c r="H6922" s="64" t="s">
        <v>1875</v>
      </c>
      <c r="I6922" s="64" t="s">
        <v>3839</v>
      </c>
      <c r="J6922" s="67">
        <v>0</v>
      </c>
      <c r="K6922" s="62">
        <v>1371.86</v>
      </c>
      <c r="L6922" s="33" t="e">
        <f>HLOOKUP(B6922,#REF!,1,0)</f>
        <v>#REF!</v>
      </c>
      <c r="M6922" s="33" t="str">
        <f t="shared" si="435"/>
        <v>P&amp;L</v>
      </c>
    </row>
    <row r="6923" spans="1:13" s="33" customFormat="true" ht="12.75" customHeight="true">
      <c r="A6923" s="33" t="str">
        <f t="shared" si="432"/>
        <v>OLD - CGS</v>
      </c>
      <c r="B6923" s="33" t="str">
        <f t="shared" si="433"/>
        <v>OLD</v>
      </c>
      <c r="C6923" s="33" t="str">
        <f t="shared" si="434"/>
        <v>60002-0048</v>
      </c>
      <c r="D6923" s="64" t="s">
        <v>8151</v>
      </c>
      <c r="E6923" s="64" t="s">
        <v>8145</v>
      </c>
      <c r="F6923" s="64" t="s">
        <v>230</v>
      </c>
      <c r="G6923" s="64" t="s">
        <v>3838</v>
      </c>
      <c r="H6923" s="64" t="s">
        <v>1875</v>
      </c>
      <c r="I6923" s="64" t="s">
        <v>3839</v>
      </c>
      <c r="J6923" s="67">
        <v>0</v>
      </c>
      <c r="K6923" s="62">
        <v>118.9</v>
      </c>
      <c r="L6923" s="33" t="e">
        <f>HLOOKUP(B6923,#REF!,1,0)</f>
        <v>#REF!</v>
      </c>
      <c r="M6923" s="33" t="str">
        <f t="shared" si="435"/>
        <v>P&amp;L</v>
      </c>
    </row>
    <row r="6924" spans="1:13" s="33" customFormat="true" ht="12.75" customHeight="true">
      <c r="A6924" s="33" t="str">
        <f t="shared" si="432"/>
        <v>OLD - CGS</v>
      </c>
      <c r="B6924" s="33" t="str">
        <f t="shared" si="433"/>
        <v>OLD</v>
      </c>
      <c r="C6924" s="33" t="str">
        <f t="shared" si="434"/>
        <v>60002-0049</v>
      </c>
      <c r="D6924" s="64" t="s">
        <v>8152</v>
      </c>
      <c r="E6924" s="64" t="s">
        <v>8145</v>
      </c>
      <c r="F6924" s="64" t="s">
        <v>230</v>
      </c>
      <c r="G6924" s="64" t="s">
        <v>3838</v>
      </c>
      <c r="H6924" s="64" t="s">
        <v>1875</v>
      </c>
      <c r="I6924" s="64" t="s">
        <v>3839</v>
      </c>
      <c r="J6924" s="67">
        <v>0</v>
      </c>
      <c r="K6924" s="62">
        <v>7480.07</v>
      </c>
      <c r="L6924" s="33" t="e">
        <f>HLOOKUP(B6924,#REF!,1,0)</f>
        <v>#REF!</v>
      </c>
      <c r="M6924" s="33" t="str">
        <f t="shared" si="435"/>
        <v>P&amp;L</v>
      </c>
    </row>
    <row r="6925" spans="1:13" s="33" customFormat="true" ht="12.75" customHeight="true">
      <c r="A6925" s="33" t="str">
        <f t="shared" si="432"/>
        <v>OLD - CGS</v>
      </c>
      <c r="B6925" s="33" t="str">
        <f t="shared" si="433"/>
        <v>OLD</v>
      </c>
      <c r="C6925" s="33" t="str">
        <f t="shared" si="434"/>
        <v>60005-0041</v>
      </c>
      <c r="D6925" s="64" t="s">
        <v>8153</v>
      </c>
      <c r="E6925" s="64" t="s">
        <v>8154</v>
      </c>
      <c r="F6925" s="64" t="s">
        <v>230</v>
      </c>
      <c r="G6925" s="64" t="s">
        <v>3838</v>
      </c>
      <c r="H6925" s="64" t="s">
        <v>1875</v>
      </c>
      <c r="I6925" s="64" t="s">
        <v>3842</v>
      </c>
      <c r="J6925" s="67">
        <v>0</v>
      </c>
      <c r="K6925" s="62">
        <v>3844.05</v>
      </c>
      <c r="L6925" s="33" t="e">
        <f>HLOOKUP(B6925,#REF!,1,0)</f>
        <v>#REF!</v>
      </c>
      <c r="M6925" s="33" t="str">
        <f t="shared" si="435"/>
        <v>P&amp;L</v>
      </c>
    </row>
    <row r="6926" spans="1:13" s="33" customFormat="true" ht="12.75" customHeight="true">
      <c r="A6926" s="33" t="str">
        <f t="shared" si="432"/>
        <v>OLD - CGS</v>
      </c>
      <c r="B6926" s="33" t="str">
        <f t="shared" si="433"/>
        <v>OLD</v>
      </c>
      <c r="C6926" s="33" t="str">
        <f t="shared" si="434"/>
        <v>60005-0042</v>
      </c>
      <c r="D6926" s="64" t="s">
        <v>8155</v>
      </c>
      <c r="E6926" s="64" t="s">
        <v>8154</v>
      </c>
      <c r="F6926" s="64" t="s">
        <v>230</v>
      </c>
      <c r="G6926" s="64" t="s">
        <v>3838</v>
      </c>
      <c r="H6926" s="64" t="s">
        <v>1875</v>
      </c>
      <c r="I6926" s="64" t="s">
        <v>3842</v>
      </c>
      <c r="J6926" s="67">
        <v>0</v>
      </c>
      <c r="K6926" s="62">
        <v>0</v>
      </c>
      <c r="L6926" s="33" t="e">
        <f>HLOOKUP(B6926,#REF!,1,0)</f>
        <v>#REF!</v>
      </c>
      <c r="M6926" s="33" t="str">
        <f t="shared" si="435"/>
        <v>P&amp;L</v>
      </c>
    </row>
    <row r="6927" spans="1:13" s="33" customFormat="true" ht="12.75" customHeight="true">
      <c r="A6927" s="33" t="str">
        <f t="shared" si="432"/>
        <v>OLD - CGS</v>
      </c>
      <c r="B6927" s="33" t="str">
        <f t="shared" si="433"/>
        <v>OLD</v>
      </c>
      <c r="C6927" s="33" t="str">
        <f t="shared" si="434"/>
        <v>60005-0043</v>
      </c>
      <c r="D6927" s="64" t="s">
        <v>8156</v>
      </c>
      <c r="E6927" s="64" t="s">
        <v>8154</v>
      </c>
      <c r="F6927" s="64" t="s">
        <v>230</v>
      </c>
      <c r="G6927" s="64" t="s">
        <v>3838</v>
      </c>
      <c r="H6927" s="64" t="s">
        <v>1875</v>
      </c>
      <c r="I6927" s="64" t="s">
        <v>3842</v>
      </c>
      <c r="J6927" s="67">
        <v>0</v>
      </c>
      <c r="K6927" s="62">
        <v>8047.81</v>
      </c>
      <c r="L6927" s="33" t="e">
        <f>HLOOKUP(B6927,#REF!,1,0)</f>
        <v>#REF!</v>
      </c>
      <c r="M6927" s="33" t="str">
        <f t="shared" si="435"/>
        <v>P&amp;L</v>
      </c>
    </row>
    <row r="6928" spans="1:13" s="33" customFormat="true" ht="12.75" customHeight="true">
      <c r="A6928" s="33" t="str">
        <f t="shared" si="432"/>
        <v>OLD - CGS</v>
      </c>
      <c r="B6928" s="33" t="str">
        <f t="shared" si="433"/>
        <v>OLD</v>
      </c>
      <c r="C6928" s="33" t="str">
        <f t="shared" si="434"/>
        <v>60005-0044</v>
      </c>
      <c r="D6928" s="64" t="s">
        <v>8157</v>
      </c>
      <c r="E6928" s="64" t="s">
        <v>8154</v>
      </c>
      <c r="F6928" s="64" t="s">
        <v>230</v>
      </c>
      <c r="G6928" s="64" t="s">
        <v>3838</v>
      </c>
      <c r="H6928" s="64" t="s">
        <v>1875</v>
      </c>
      <c r="I6928" s="64" t="s">
        <v>3842</v>
      </c>
      <c r="J6928" s="67">
        <v>0</v>
      </c>
      <c r="K6928" s="62">
        <v>1477.32</v>
      </c>
      <c r="L6928" s="33" t="e">
        <f>HLOOKUP(B6928,#REF!,1,0)</f>
        <v>#REF!</v>
      </c>
      <c r="M6928" s="33" t="str">
        <f t="shared" si="435"/>
        <v>P&amp;L</v>
      </c>
    </row>
    <row r="6929" spans="1:13" s="33" customFormat="true" ht="12.75" customHeight="true">
      <c r="A6929" s="33" t="str">
        <f t="shared" si="432"/>
        <v>OLD - CGS</v>
      </c>
      <c r="B6929" s="33" t="str">
        <f t="shared" si="433"/>
        <v>OLD</v>
      </c>
      <c r="C6929" s="33" t="str">
        <f t="shared" si="434"/>
        <v>60005-0045</v>
      </c>
      <c r="D6929" s="64" t="s">
        <v>8158</v>
      </c>
      <c r="E6929" s="64" t="s">
        <v>8154</v>
      </c>
      <c r="F6929" s="64" t="s">
        <v>230</v>
      </c>
      <c r="G6929" s="64" t="s">
        <v>3838</v>
      </c>
      <c r="H6929" s="64" t="s">
        <v>1875</v>
      </c>
      <c r="I6929" s="64" t="s">
        <v>3842</v>
      </c>
      <c r="J6929" s="67">
        <v>0</v>
      </c>
      <c r="K6929" s="62">
        <v>0</v>
      </c>
      <c r="L6929" s="33" t="e">
        <f>HLOOKUP(B6929,#REF!,1,0)</f>
        <v>#REF!</v>
      </c>
      <c r="M6929" s="33" t="str">
        <f t="shared" si="435"/>
        <v>P&amp;L</v>
      </c>
    </row>
    <row r="6930" spans="1:13" s="33" customFormat="true" ht="12.75" customHeight="true">
      <c r="A6930" s="33" t="str">
        <f t="shared" si="432"/>
        <v>OLD - CGS</v>
      </c>
      <c r="B6930" s="33" t="str">
        <f t="shared" si="433"/>
        <v>OLD</v>
      </c>
      <c r="C6930" s="33" t="str">
        <f t="shared" si="434"/>
        <v>60005-0046</v>
      </c>
      <c r="D6930" s="64" t="s">
        <v>8159</v>
      </c>
      <c r="E6930" s="64" t="s">
        <v>8154</v>
      </c>
      <c r="F6930" s="64" t="s">
        <v>230</v>
      </c>
      <c r="G6930" s="64" t="s">
        <v>3838</v>
      </c>
      <c r="H6930" s="64" t="s">
        <v>1875</v>
      </c>
      <c r="I6930" s="64" t="s">
        <v>3842</v>
      </c>
      <c r="J6930" s="67">
        <v>0</v>
      </c>
      <c r="K6930" s="62">
        <v>39695.16</v>
      </c>
      <c r="L6930" s="33" t="e">
        <f>HLOOKUP(B6930,#REF!,1,0)</f>
        <v>#REF!</v>
      </c>
      <c r="M6930" s="33" t="str">
        <f t="shared" si="435"/>
        <v>P&amp;L</v>
      </c>
    </row>
    <row r="6931" spans="1:13" s="33" customFormat="true" ht="12.75" customHeight="true">
      <c r="A6931" s="33" t="str">
        <f t="shared" si="432"/>
        <v>OLD - CGS</v>
      </c>
      <c r="B6931" s="33" t="str">
        <f t="shared" si="433"/>
        <v>OLD</v>
      </c>
      <c r="C6931" s="33" t="str">
        <f t="shared" si="434"/>
        <v>60005-0048</v>
      </c>
      <c r="D6931" s="64" t="s">
        <v>8160</v>
      </c>
      <c r="E6931" s="64" t="s">
        <v>8154</v>
      </c>
      <c r="F6931" s="64" t="s">
        <v>230</v>
      </c>
      <c r="G6931" s="64" t="s">
        <v>3838</v>
      </c>
      <c r="H6931" s="64" t="s">
        <v>1875</v>
      </c>
      <c r="I6931" s="64" t="s">
        <v>3842</v>
      </c>
      <c r="J6931" s="67">
        <v>0</v>
      </c>
      <c r="K6931" s="62">
        <v>2130.66</v>
      </c>
      <c r="L6931" s="33" t="e">
        <f>HLOOKUP(B6931,#REF!,1,0)</f>
        <v>#REF!</v>
      </c>
      <c r="M6931" s="33" t="str">
        <f t="shared" si="435"/>
        <v>P&amp;L</v>
      </c>
    </row>
    <row r="6932" spans="1:13" s="33" customFormat="true" ht="12.75" customHeight="true">
      <c r="A6932" s="33" t="str">
        <f t="shared" si="432"/>
        <v>OLD - CGS</v>
      </c>
      <c r="B6932" s="33" t="str">
        <f t="shared" si="433"/>
        <v>OLD</v>
      </c>
      <c r="C6932" s="33" t="str">
        <f t="shared" si="434"/>
        <v>60005-0049</v>
      </c>
      <c r="D6932" s="64" t="s">
        <v>8161</v>
      </c>
      <c r="E6932" s="64" t="s">
        <v>8154</v>
      </c>
      <c r="F6932" s="64" t="s">
        <v>230</v>
      </c>
      <c r="G6932" s="64" t="s">
        <v>3838</v>
      </c>
      <c r="H6932" s="64" t="s">
        <v>1875</v>
      </c>
      <c r="I6932" s="64" t="s">
        <v>3842</v>
      </c>
      <c r="J6932" s="67">
        <v>0</v>
      </c>
      <c r="K6932" s="62">
        <v>100492.02</v>
      </c>
      <c r="L6932" s="33" t="e">
        <f>HLOOKUP(B6932,#REF!,1,0)</f>
        <v>#REF!</v>
      </c>
      <c r="M6932" s="33" t="str">
        <f t="shared" si="435"/>
        <v>P&amp;L</v>
      </c>
    </row>
    <row r="6933" spans="1:13" s="33" customFormat="true" ht="12.75" customHeight="true">
      <c r="A6933" s="33" t="str">
        <f t="shared" si="432"/>
        <v>OLD - CGS</v>
      </c>
      <c r="B6933" s="33" t="str">
        <f t="shared" si="433"/>
        <v>OLD</v>
      </c>
      <c r="C6933" s="33" t="str">
        <f t="shared" si="434"/>
        <v>60005-0050</v>
      </c>
      <c r="D6933" s="64" t="s">
        <v>8162</v>
      </c>
      <c r="E6933" s="64" t="s">
        <v>8154</v>
      </c>
      <c r="F6933" s="64" t="s">
        <v>230</v>
      </c>
      <c r="G6933" s="64" t="s">
        <v>3838</v>
      </c>
      <c r="H6933" s="64" t="s">
        <v>1875</v>
      </c>
      <c r="I6933" s="64" t="s">
        <v>3842</v>
      </c>
      <c r="J6933" s="67">
        <v>0</v>
      </c>
      <c r="K6933" s="62">
        <v>24220.58</v>
      </c>
      <c r="L6933" s="33" t="e">
        <f>HLOOKUP(B6933,#REF!,1,0)</f>
        <v>#REF!</v>
      </c>
      <c r="M6933" s="33" t="str">
        <f t="shared" si="435"/>
        <v>P&amp;L</v>
      </c>
    </row>
    <row r="6934" spans="1:13" s="33" customFormat="true" ht="12.75" customHeight="true">
      <c r="A6934" s="33" t="str">
        <f t="shared" si="432"/>
        <v>OLD - Interest Expense</v>
      </c>
      <c r="B6934" s="33" t="str">
        <f t="shared" si="433"/>
        <v>OLD</v>
      </c>
      <c r="C6934" s="33" t="str">
        <f t="shared" si="434"/>
        <v>60006-0040</v>
      </c>
      <c r="D6934" s="64" t="s">
        <v>8163</v>
      </c>
      <c r="E6934" s="64" t="s">
        <v>8164</v>
      </c>
      <c r="F6934" s="64" t="s">
        <v>230</v>
      </c>
      <c r="G6934" s="64" t="s">
        <v>3844</v>
      </c>
      <c r="H6934" s="64" t="s">
        <v>3327</v>
      </c>
      <c r="I6934" s="64" t="s">
        <v>3328</v>
      </c>
      <c r="J6934" s="67">
        <v>0</v>
      </c>
      <c r="K6934" s="62">
        <v>7102.29</v>
      </c>
      <c r="L6934" s="33" t="e">
        <f>HLOOKUP(B6934,#REF!,1,0)</f>
        <v>#REF!</v>
      </c>
      <c r="M6934" s="33" t="str">
        <f t="shared" si="435"/>
        <v>P&amp;L</v>
      </c>
    </row>
    <row r="6935" spans="1:13" s="33" customFormat="true" ht="12.75" customHeight="true">
      <c r="A6935" s="33" t="str">
        <f t="shared" si="432"/>
        <v>OLD - Interest Expense</v>
      </c>
      <c r="B6935" s="33" t="str">
        <f t="shared" si="433"/>
        <v>OLD</v>
      </c>
      <c r="C6935" s="33" t="str">
        <f t="shared" si="434"/>
        <v>60006-0048</v>
      </c>
      <c r="D6935" s="64" t="s">
        <v>8165</v>
      </c>
      <c r="E6935" s="64" t="s">
        <v>8164</v>
      </c>
      <c r="F6935" s="64" t="s">
        <v>230</v>
      </c>
      <c r="G6935" s="64" t="s">
        <v>3844</v>
      </c>
      <c r="H6935" s="64" t="s">
        <v>3327</v>
      </c>
      <c r="I6935" s="64" t="s">
        <v>3328</v>
      </c>
      <c r="J6935" s="67">
        <v>0</v>
      </c>
      <c r="K6935" s="62">
        <v>32470.46</v>
      </c>
      <c r="L6935" s="33" t="e">
        <f>HLOOKUP(B6935,#REF!,1,0)</f>
        <v>#REF!</v>
      </c>
      <c r="M6935" s="33" t="str">
        <f t="shared" si="435"/>
        <v>P&amp;L</v>
      </c>
    </row>
    <row r="6936" spans="1:13" s="33" customFormat="true" ht="12.75" customHeight="true">
      <c r="A6936" s="33" t="str">
        <f t="shared" si="432"/>
        <v>OLD - CGS</v>
      </c>
      <c r="B6936" s="33" t="str">
        <f t="shared" si="433"/>
        <v>OLD</v>
      </c>
      <c r="C6936" s="33" t="str">
        <f t="shared" si="434"/>
        <v>60008-0040</v>
      </c>
      <c r="D6936" s="64" t="s">
        <v>8166</v>
      </c>
      <c r="E6936" s="64" t="s">
        <v>8167</v>
      </c>
      <c r="F6936" s="64" t="s">
        <v>230</v>
      </c>
      <c r="G6936" s="64" t="s">
        <v>3838</v>
      </c>
      <c r="H6936" s="64" t="s">
        <v>1875</v>
      </c>
      <c r="I6936" s="64" t="s">
        <v>3850</v>
      </c>
      <c r="J6936" s="67">
        <v>0</v>
      </c>
      <c r="K6936" s="62">
        <v>3160</v>
      </c>
      <c r="L6936" s="33" t="e">
        <f>HLOOKUP(B6936,#REF!,1,0)</f>
        <v>#REF!</v>
      </c>
      <c r="M6936" s="33" t="str">
        <f t="shared" si="435"/>
        <v>P&amp;L</v>
      </c>
    </row>
    <row r="6937" spans="1:13" s="33" customFormat="true" ht="12.75" customHeight="true">
      <c r="A6937" s="33" t="str">
        <f t="shared" si="432"/>
        <v>OLD - CGS</v>
      </c>
      <c r="B6937" s="33" t="str">
        <f t="shared" si="433"/>
        <v>OLD</v>
      </c>
      <c r="C6937" s="33" t="str">
        <f t="shared" si="434"/>
        <v>60008-0041</v>
      </c>
      <c r="D6937" s="64" t="s">
        <v>8168</v>
      </c>
      <c r="E6937" s="64" t="s">
        <v>8167</v>
      </c>
      <c r="F6937" s="64" t="s">
        <v>230</v>
      </c>
      <c r="G6937" s="64" t="s">
        <v>3838</v>
      </c>
      <c r="H6937" s="64" t="s">
        <v>1875</v>
      </c>
      <c r="I6937" s="64" t="s">
        <v>3850</v>
      </c>
      <c r="J6937" s="67">
        <v>0</v>
      </c>
      <c r="K6937" s="62">
        <v>1799</v>
      </c>
      <c r="L6937" s="33" t="e">
        <f>HLOOKUP(B6937,#REF!,1,0)</f>
        <v>#REF!</v>
      </c>
      <c r="M6937" s="33" t="str">
        <f t="shared" si="435"/>
        <v>P&amp;L</v>
      </c>
    </row>
    <row r="6938" spans="1:13" s="33" customFormat="true" ht="12.75" customHeight="true">
      <c r="A6938" s="33" t="str">
        <f t="shared" si="432"/>
        <v>OLD - CGS</v>
      </c>
      <c r="B6938" s="33" t="str">
        <f t="shared" si="433"/>
        <v>OLD</v>
      </c>
      <c r="C6938" s="33" t="str">
        <f t="shared" si="434"/>
        <v>60008-0042</v>
      </c>
      <c r="D6938" s="64" t="s">
        <v>8169</v>
      </c>
      <c r="E6938" s="64" t="s">
        <v>8167</v>
      </c>
      <c r="F6938" s="64" t="s">
        <v>230</v>
      </c>
      <c r="G6938" s="64" t="s">
        <v>3838</v>
      </c>
      <c r="H6938" s="64" t="s">
        <v>1875</v>
      </c>
      <c r="I6938" s="64" t="s">
        <v>3850</v>
      </c>
      <c r="J6938" s="67">
        <v>0</v>
      </c>
      <c r="K6938" s="62">
        <v>1528</v>
      </c>
      <c r="L6938" s="33" t="e">
        <f>HLOOKUP(B6938,#REF!,1,0)</f>
        <v>#REF!</v>
      </c>
      <c r="M6938" s="33" t="str">
        <f t="shared" si="435"/>
        <v>P&amp;L</v>
      </c>
    </row>
    <row r="6939" spans="1:13" s="33" customFormat="true" ht="12.75" customHeight="true">
      <c r="A6939" s="33" t="str">
        <f t="shared" si="432"/>
        <v>OLD - CGS</v>
      </c>
      <c r="B6939" s="33" t="str">
        <f t="shared" si="433"/>
        <v>OLD</v>
      </c>
      <c r="C6939" s="33" t="str">
        <f t="shared" si="434"/>
        <v>60008-0043</v>
      </c>
      <c r="D6939" s="64" t="s">
        <v>8170</v>
      </c>
      <c r="E6939" s="64" t="s">
        <v>8167</v>
      </c>
      <c r="F6939" s="64" t="s">
        <v>230</v>
      </c>
      <c r="G6939" s="64" t="s">
        <v>3838</v>
      </c>
      <c r="H6939" s="64" t="s">
        <v>1875</v>
      </c>
      <c r="I6939" s="64" t="s">
        <v>3850</v>
      </c>
      <c r="J6939" s="67">
        <v>0</v>
      </c>
      <c r="K6939" s="62">
        <v>2796.97</v>
      </c>
      <c r="L6939" s="33" t="e">
        <f>HLOOKUP(B6939,#REF!,1,0)</f>
        <v>#REF!</v>
      </c>
      <c r="M6939" s="33" t="str">
        <f t="shared" si="435"/>
        <v>P&amp;L</v>
      </c>
    </row>
    <row r="6940" spans="1:13" s="33" customFormat="true" ht="12.75" customHeight="true">
      <c r="A6940" s="33" t="str">
        <f t="shared" si="432"/>
        <v>OLD - CGS</v>
      </c>
      <c r="B6940" s="33" t="str">
        <f t="shared" si="433"/>
        <v>OLD</v>
      </c>
      <c r="C6940" s="33" t="str">
        <f t="shared" si="434"/>
        <v>60008-0044</v>
      </c>
      <c r="D6940" s="64" t="s">
        <v>8171</v>
      </c>
      <c r="E6940" s="64" t="s">
        <v>8167</v>
      </c>
      <c r="F6940" s="64" t="s">
        <v>230</v>
      </c>
      <c r="G6940" s="64" t="s">
        <v>3838</v>
      </c>
      <c r="H6940" s="64" t="s">
        <v>1875</v>
      </c>
      <c r="I6940" s="64" t="s">
        <v>3850</v>
      </c>
      <c r="J6940" s="67">
        <v>0</v>
      </c>
      <c r="K6940" s="62">
        <v>464</v>
      </c>
      <c r="L6940" s="33" t="e">
        <f>HLOOKUP(B6940,#REF!,1,0)</f>
        <v>#REF!</v>
      </c>
      <c r="M6940" s="33" t="str">
        <f t="shared" si="435"/>
        <v>P&amp;L</v>
      </c>
    </row>
    <row r="6941" spans="1:13" s="33" customFormat="true" ht="12.75" customHeight="true">
      <c r="A6941" s="33" t="str">
        <f t="shared" si="432"/>
        <v>OLD - CGS</v>
      </c>
      <c r="B6941" s="33" t="str">
        <f t="shared" si="433"/>
        <v>OLD</v>
      </c>
      <c r="C6941" s="33" t="str">
        <f t="shared" si="434"/>
        <v>60008-0045</v>
      </c>
      <c r="D6941" s="64" t="s">
        <v>8172</v>
      </c>
      <c r="E6941" s="64" t="s">
        <v>8167</v>
      </c>
      <c r="F6941" s="64" t="s">
        <v>230</v>
      </c>
      <c r="G6941" s="64" t="s">
        <v>3838</v>
      </c>
      <c r="H6941" s="64" t="s">
        <v>1875</v>
      </c>
      <c r="I6941" s="64" t="s">
        <v>3850</v>
      </c>
      <c r="J6941" s="67">
        <v>0</v>
      </c>
      <c r="K6941" s="62">
        <v>86.67</v>
      </c>
      <c r="L6941" s="33" t="e">
        <f>HLOOKUP(B6941,#REF!,1,0)</f>
        <v>#REF!</v>
      </c>
      <c r="M6941" s="33" t="str">
        <f t="shared" si="435"/>
        <v>P&amp;L</v>
      </c>
    </row>
    <row r="6942" spans="1:13" s="33" customFormat="true" ht="12.75" customHeight="true">
      <c r="A6942" s="33" t="str">
        <f t="shared" si="432"/>
        <v>OLD - CGS</v>
      </c>
      <c r="B6942" s="33" t="str">
        <f t="shared" si="433"/>
        <v>OLD</v>
      </c>
      <c r="C6942" s="33" t="str">
        <f t="shared" si="434"/>
        <v>60008-0046</v>
      </c>
      <c r="D6942" s="64" t="s">
        <v>8173</v>
      </c>
      <c r="E6942" s="64" t="s">
        <v>8167</v>
      </c>
      <c r="F6942" s="64" t="s">
        <v>230</v>
      </c>
      <c r="G6942" s="64" t="s">
        <v>3838</v>
      </c>
      <c r="H6942" s="64" t="s">
        <v>1875</v>
      </c>
      <c r="I6942" s="64" t="s">
        <v>3850</v>
      </c>
      <c r="J6942" s="67">
        <v>0</v>
      </c>
      <c r="K6942" s="62">
        <v>13102.18</v>
      </c>
      <c r="L6942" s="33" t="e">
        <f>HLOOKUP(B6942,#REF!,1,0)</f>
        <v>#REF!</v>
      </c>
      <c r="M6942" s="33" t="str">
        <f t="shared" si="435"/>
        <v>P&amp;L</v>
      </c>
    </row>
    <row r="6943" spans="1:13" s="33" customFormat="true" ht="12.75" customHeight="true">
      <c r="A6943" s="33" t="str">
        <f t="shared" si="432"/>
        <v>OLD - CGS</v>
      </c>
      <c r="B6943" s="33" t="str">
        <f t="shared" si="433"/>
        <v>OLD</v>
      </c>
      <c r="C6943" s="33" t="str">
        <f t="shared" si="434"/>
        <v>60008-0048</v>
      </c>
      <c r="D6943" s="64" t="s">
        <v>8174</v>
      </c>
      <c r="E6943" s="64" t="s">
        <v>8167</v>
      </c>
      <c r="F6943" s="64" t="s">
        <v>230</v>
      </c>
      <c r="G6943" s="64" t="s">
        <v>3838</v>
      </c>
      <c r="H6943" s="64" t="s">
        <v>1875</v>
      </c>
      <c r="I6943" s="64" t="s">
        <v>3850</v>
      </c>
      <c r="J6943" s="67">
        <v>0</v>
      </c>
      <c r="K6943" s="62">
        <v>0</v>
      </c>
      <c r="L6943" s="33" t="e">
        <f>HLOOKUP(B6943,#REF!,1,0)</f>
        <v>#REF!</v>
      </c>
      <c r="M6943" s="33" t="str">
        <f t="shared" si="435"/>
        <v>P&amp;L</v>
      </c>
    </row>
    <row r="6944" spans="1:13" s="33" customFormat="true" ht="12.75" customHeight="true">
      <c r="A6944" s="33" t="str">
        <f t="shared" si="432"/>
        <v>OLD - CGS</v>
      </c>
      <c r="B6944" s="33" t="str">
        <f t="shared" si="433"/>
        <v>OLD</v>
      </c>
      <c r="C6944" s="33" t="str">
        <f t="shared" si="434"/>
        <v>60008-0049</v>
      </c>
      <c r="D6944" s="64" t="s">
        <v>8175</v>
      </c>
      <c r="E6944" s="64" t="s">
        <v>8167</v>
      </c>
      <c r="F6944" s="64" t="s">
        <v>230</v>
      </c>
      <c r="G6944" s="64" t="s">
        <v>3838</v>
      </c>
      <c r="H6944" s="64" t="s">
        <v>1875</v>
      </c>
      <c r="I6944" s="64" t="s">
        <v>3850</v>
      </c>
      <c r="J6944" s="67">
        <v>0</v>
      </c>
      <c r="K6944" s="62">
        <v>4333.54</v>
      </c>
      <c r="L6944" s="33" t="e">
        <f>HLOOKUP(B6944,#REF!,1,0)</f>
        <v>#REF!</v>
      </c>
      <c r="M6944" s="33" t="str">
        <f t="shared" si="435"/>
        <v>P&amp;L</v>
      </c>
    </row>
    <row r="6945" spans="1:13" s="33" customFormat="true" ht="12.75" customHeight="true">
      <c r="A6945" s="33" t="str">
        <f t="shared" si="432"/>
        <v>OLD - CGS</v>
      </c>
      <c r="B6945" s="33" t="str">
        <f t="shared" si="433"/>
        <v>OLD</v>
      </c>
      <c r="C6945" s="33" t="str">
        <f t="shared" si="434"/>
        <v>60008-0050</v>
      </c>
      <c r="D6945" s="64" t="s">
        <v>8176</v>
      </c>
      <c r="E6945" s="64" t="s">
        <v>8167</v>
      </c>
      <c r="F6945" s="64" t="s">
        <v>230</v>
      </c>
      <c r="G6945" s="64" t="s">
        <v>3838</v>
      </c>
      <c r="H6945" s="64" t="s">
        <v>1875</v>
      </c>
      <c r="I6945" s="64" t="s">
        <v>3850</v>
      </c>
      <c r="J6945" s="67">
        <v>0</v>
      </c>
      <c r="K6945" s="62">
        <v>11540.44</v>
      </c>
      <c r="L6945" s="33" t="e">
        <f>HLOOKUP(B6945,#REF!,1,0)</f>
        <v>#REF!</v>
      </c>
      <c r="M6945" s="33" t="str">
        <f t="shared" si="435"/>
        <v>P&amp;L</v>
      </c>
    </row>
    <row r="6946" spans="1:13" s="33" customFormat="true" ht="12.75" customHeight="true">
      <c r="A6946" s="33" t="str">
        <f t="shared" si="432"/>
        <v>OLD - CGS</v>
      </c>
      <c r="B6946" s="33" t="str">
        <f t="shared" si="433"/>
        <v>OLD</v>
      </c>
      <c r="C6946" s="33" t="str">
        <f t="shared" si="434"/>
        <v>60012-0041</v>
      </c>
      <c r="D6946" s="64" t="s">
        <v>8177</v>
      </c>
      <c r="E6946" s="64" t="s">
        <v>8178</v>
      </c>
      <c r="F6946" s="64" t="s">
        <v>230</v>
      </c>
      <c r="G6946" s="64" t="s">
        <v>3838</v>
      </c>
      <c r="H6946" s="64" t="s">
        <v>1875</v>
      </c>
      <c r="I6946" s="64" t="s">
        <v>3853</v>
      </c>
      <c r="J6946" s="67">
        <v>0</v>
      </c>
      <c r="K6946" s="62">
        <v>2165.76</v>
      </c>
      <c r="L6946" s="33" t="e">
        <f>HLOOKUP(B6946,#REF!,1,0)</f>
        <v>#REF!</v>
      </c>
      <c r="M6946" s="33" t="str">
        <f t="shared" si="435"/>
        <v>P&amp;L</v>
      </c>
    </row>
    <row r="6947" spans="1:13" s="33" customFormat="true" ht="12.75" customHeight="true">
      <c r="A6947" s="33" t="str">
        <f t="shared" si="432"/>
        <v>OLD - CGS</v>
      </c>
      <c r="B6947" s="33" t="str">
        <f t="shared" si="433"/>
        <v>OLD</v>
      </c>
      <c r="C6947" s="33" t="str">
        <f t="shared" si="434"/>
        <v>60012-0042</v>
      </c>
      <c r="D6947" s="64" t="s">
        <v>8179</v>
      </c>
      <c r="E6947" s="64" t="s">
        <v>8178</v>
      </c>
      <c r="F6947" s="64" t="s">
        <v>230</v>
      </c>
      <c r="G6947" s="64" t="s">
        <v>3838</v>
      </c>
      <c r="H6947" s="64" t="s">
        <v>1875</v>
      </c>
      <c r="I6947" s="64" t="s">
        <v>3853</v>
      </c>
      <c r="J6947" s="67">
        <v>0</v>
      </c>
      <c r="K6947" s="62">
        <v>0</v>
      </c>
      <c r="L6947" s="33" t="e">
        <f>HLOOKUP(B6947,#REF!,1,0)</f>
        <v>#REF!</v>
      </c>
      <c r="M6947" s="33" t="str">
        <f t="shared" si="435"/>
        <v>P&amp;L</v>
      </c>
    </row>
    <row r="6948" spans="1:13" s="33" customFormat="true" ht="12.75" customHeight="true">
      <c r="A6948" s="33" t="str">
        <f t="shared" si="432"/>
        <v>OLD - CGS</v>
      </c>
      <c r="B6948" s="33" t="str">
        <f t="shared" si="433"/>
        <v>OLD</v>
      </c>
      <c r="C6948" s="33" t="str">
        <f t="shared" si="434"/>
        <v>60012-0043</v>
      </c>
      <c r="D6948" s="64" t="s">
        <v>8180</v>
      </c>
      <c r="E6948" s="64" t="s">
        <v>8178</v>
      </c>
      <c r="F6948" s="64" t="s">
        <v>230</v>
      </c>
      <c r="G6948" s="64" t="s">
        <v>3838</v>
      </c>
      <c r="H6948" s="64" t="s">
        <v>1875</v>
      </c>
      <c r="I6948" s="64" t="s">
        <v>3853</v>
      </c>
      <c r="J6948" s="67">
        <v>0</v>
      </c>
      <c r="K6948" s="62">
        <v>12195.32</v>
      </c>
      <c r="L6948" s="33" t="e">
        <f>HLOOKUP(B6948,#REF!,1,0)</f>
        <v>#REF!</v>
      </c>
      <c r="M6948" s="33" t="str">
        <f t="shared" si="435"/>
        <v>P&amp;L</v>
      </c>
    </row>
    <row r="6949" spans="1:13" s="33" customFormat="true" ht="12.75" customHeight="true">
      <c r="A6949" s="33" t="str">
        <f t="shared" si="432"/>
        <v>OLD - CGS</v>
      </c>
      <c r="B6949" s="33" t="str">
        <f t="shared" si="433"/>
        <v>OLD</v>
      </c>
      <c r="C6949" s="33" t="str">
        <f t="shared" si="434"/>
        <v>60012-0044</v>
      </c>
      <c r="D6949" s="64" t="s">
        <v>8181</v>
      </c>
      <c r="E6949" s="64" t="s">
        <v>8178</v>
      </c>
      <c r="F6949" s="64" t="s">
        <v>230</v>
      </c>
      <c r="G6949" s="64" t="s">
        <v>3838</v>
      </c>
      <c r="H6949" s="64" t="s">
        <v>1875</v>
      </c>
      <c r="I6949" s="64" t="s">
        <v>3853</v>
      </c>
      <c r="J6949" s="67">
        <v>0</v>
      </c>
      <c r="K6949" s="62">
        <v>10366.84</v>
      </c>
      <c r="L6949" s="33" t="e">
        <f>HLOOKUP(B6949,#REF!,1,0)</f>
        <v>#REF!</v>
      </c>
      <c r="M6949" s="33" t="str">
        <f t="shared" si="435"/>
        <v>P&amp;L</v>
      </c>
    </row>
    <row r="6950" spans="1:13" s="33" customFormat="true" ht="12.75" customHeight="true">
      <c r="A6950" s="33" t="str">
        <f t="shared" si="432"/>
        <v>OLD - CGS</v>
      </c>
      <c r="B6950" s="33" t="str">
        <f t="shared" si="433"/>
        <v>OLD</v>
      </c>
      <c r="C6950" s="33" t="str">
        <f t="shared" si="434"/>
        <v>60012-0045</v>
      </c>
      <c r="D6950" s="64" t="s">
        <v>8182</v>
      </c>
      <c r="E6950" s="64" t="s">
        <v>8178</v>
      </c>
      <c r="F6950" s="64" t="s">
        <v>230</v>
      </c>
      <c r="G6950" s="64" t="s">
        <v>3838</v>
      </c>
      <c r="H6950" s="64" t="s">
        <v>1875</v>
      </c>
      <c r="I6950" s="64" t="s">
        <v>3853</v>
      </c>
      <c r="J6950" s="67">
        <v>0</v>
      </c>
      <c r="K6950" s="62">
        <v>0</v>
      </c>
      <c r="L6950" s="33" t="e">
        <f>HLOOKUP(B6950,#REF!,1,0)</f>
        <v>#REF!</v>
      </c>
      <c r="M6950" s="33" t="str">
        <f t="shared" si="435"/>
        <v>P&amp;L</v>
      </c>
    </row>
    <row r="6951" spans="1:13" s="33" customFormat="true" ht="12.75" customHeight="true">
      <c r="A6951" s="33" t="str">
        <f t="shared" si="432"/>
        <v>OLD - CGS</v>
      </c>
      <c r="B6951" s="33" t="str">
        <f t="shared" si="433"/>
        <v>OLD</v>
      </c>
      <c r="C6951" s="33" t="str">
        <f t="shared" si="434"/>
        <v>60012-0046</v>
      </c>
      <c r="D6951" s="64" t="s">
        <v>8183</v>
      </c>
      <c r="E6951" s="64" t="s">
        <v>8178</v>
      </c>
      <c r="F6951" s="64" t="s">
        <v>230</v>
      </c>
      <c r="G6951" s="64" t="s">
        <v>3838</v>
      </c>
      <c r="H6951" s="64" t="s">
        <v>1875</v>
      </c>
      <c r="I6951" s="64" t="s">
        <v>3853</v>
      </c>
      <c r="J6951" s="67">
        <v>0</v>
      </c>
      <c r="K6951" s="62">
        <v>29405.52</v>
      </c>
      <c r="L6951" s="33" t="e">
        <f>HLOOKUP(B6951,#REF!,1,0)</f>
        <v>#REF!</v>
      </c>
      <c r="M6951" s="33" t="str">
        <f t="shared" si="435"/>
        <v>P&amp;L</v>
      </c>
    </row>
    <row r="6952" spans="1:13" s="33" customFormat="true" ht="12.75" customHeight="true">
      <c r="A6952" s="33" t="str">
        <f t="shared" si="432"/>
        <v>OLD - CGS</v>
      </c>
      <c r="B6952" s="33" t="str">
        <f t="shared" si="433"/>
        <v>OLD</v>
      </c>
      <c r="C6952" s="33" t="str">
        <f t="shared" si="434"/>
        <v>60012-0048</v>
      </c>
      <c r="D6952" s="64" t="s">
        <v>8184</v>
      </c>
      <c r="E6952" s="64" t="s">
        <v>8178</v>
      </c>
      <c r="F6952" s="64" t="s">
        <v>230</v>
      </c>
      <c r="G6952" s="64" t="s">
        <v>3838</v>
      </c>
      <c r="H6952" s="64" t="s">
        <v>1875</v>
      </c>
      <c r="I6952" s="64" t="s">
        <v>3853</v>
      </c>
      <c r="J6952" s="67">
        <v>0</v>
      </c>
      <c r="K6952" s="62">
        <v>22990.4</v>
      </c>
      <c r="L6952" s="33" t="e">
        <f>HLOOKUP(B6952,#REF!,1,0)</f>
        <v>#REF!</v>
      </c>
      <c r="M6952" s="33" t="str">
        <f t="shared" si="435"/>
        <v>P&amp;L</v>
      </c>
    </row>
    <row r="6953" spans="1:13" s="33" customFormat="true" ht="12.75" customHeight="true">
      <c r="A6953" s="33" t="str">
        <f t="shared" si="432"/>
        <v>OLD - CGS</v>
      </c>
      <c r="B6953" s="33" t="str">
        <f t="shared" si="433"/>
        <v>OLD</v>
      </c>
      <c r="C6953" s="33" t="str">
        <f t="shared" si="434"/>
        <v>60012-0049</v>
      </c>
      <c r="D6953" s="64" t="s">
        <v>8185</v>
      </c>
      <c r="E6953" s="64" t="s">
        <v>8178</v>
      </c>
      <c r="F6953" s="64" t="s">
        <v>230</v>
      </c>
      <c r="G6953" s="64" t="s">
        <v>3838</v>
      </c>
      <c r="H6953" s="64" t="s">
        <v>1875</v>
      </c>
      <c r="I6953" s="64" t="s">
        <v>3853</v>
      </c>
      <c r="J6953" s="67">
        <v>0</v>
      </c>
      <c r="K6953" s="62">
        <v>410664.14</v>
      </c>
      <c r="L6953" s="33" t="e">
        <f>HLOOKUP(B6953,#REF!,1,0)</f>
        <v>#REF!</v>
      </c>
      <c r="M6953" s="33" t="str">
        <f t="shared" si="435"/>
        <v>P&amp;L</v>
      </c>
    </row>
    <row r="6954" spans="1:13" s="33" customFormat="true" ht="12.75" customHeight="true">
      <c r="A6954" s="33" t="str">
        <f t="shared" si="432"/>
        <v>OLD - CGS</v>
      </c>
      <c r="B6954" s="33" t="str">
        <f t="shared" si="433"/>
        <v>OLD</v>
      </c>
      <c r="C6954" s="33" t="str">
        <f t="shared" si="434"/>
        <v>60012-0050</v>
      </c>
      <c r="D6954" s="64" t="s">
        <v>8186</v>
      </c>
      <c r="E6954" s="64" t="s">
        <v>8178</v>
      </c>
      <c r="F6954" s="64" t="s">
        <v>230</v>
      </c>
      <c r="G6954" s="64" t="s">
        <v>3838</v>
      </c>
      <c r="H6954" s="64" t="s">
        <v>1875</v>
      </c>
      <c r="I6954" s="64" t="s">
        <v>3853</v>
      </c>
      <c r="J6954" s="67">
        <v>0</v>
      </c>
      <c r="K6954" s="62">
        <v>96036.56</v>
      </c>
      <c r="L6954" s="33" t="e">
        <f>HLOOKUP(B6954,#REF!,1,0)</f>
        <v>#REF!</v>
      </c>
      <c r="M6954" s="33" t="str">
        <f t="shared" si="435"/>
        <v>P&amp;L</v>
      </c>
    </row>
    <row r="6955" spans="1:13" s="33" customFormat="true" ht="12.75" customHeight="true">
      <c r="A6955" s="33" t="str">
        <f t="shared" si="432"/>
        <v>OLD - CGS</v>
      </c>
      <c r="B6955" s="33" t="str">
        <f t="shared" si="433"/>
        <v>OLD</v>
      </c>
      <c r="C6955" s="33" t="str">
        <f t="shared" si="434"/>
        <v>60014-0040</v>
      </c>
      <c r="D6955" s="64" t="s">
        <v>8187</v>
      </c>
      <c r="E6955" s="64" t="s">
        <v>8188</v>
      </c>
      <c r="F6955" s="64" t="s">
        <v>230</v>
      </c>
      <c r="G6955" s="64" t="s">
        <v>3838</v>
      </c>
      <c r="H6955" s="64" t="s">
        <v>1875</v>
      </c>
      <c r="I6955" s="64" t="s">
        <v>3856</v>
      </c>
      <c r="J6955" s="67">
        <v>0</v>
      </c>
      <c r="K6955" s="62">
        <v>3678.99</v>
      </c>
      <c r="L6955" s="33" t="e">
        <f>HLOOKUP(B6955,#REF!,1,0)</f>
        <v>#REF!</v>
      </c>
      <c r="M6955" s="33" t="str">
        <f t="shared" si="435"/>
        <v>P&amp;L</v>
      </c>
    </row>
    <row r="6956" spans="1:13" s="33" customFormat="true" ht="12.75" customHeight="true">
      <c r="A6956" s="33" t="str">
        <f t="shared" si="432"/>
        <v>OLD - CGS</v>
      </c>
      <c r="B6956" s="33" t="str">
        <f t="shared" si="433"/>
        <v>OLD</v>
      </c>
      <c r="C6956" s="33" t="str">
        <f t="shared" si="434"/>
        <v>60014-0041</v>
      </c>
      <c r="D6956" s="64" t="s">
        <v>8189</v>
      </c>
      <c r="E6956" s="64" t="s">
        <v>8188</v>
      </c>
      <c r="F6956" s="64" t="s">
        <v>230</v>
      </c>
      <c r="G6956" s="64" t="s">
        <v>3838</v>
      </c>
      <c r="H6956" s="64" t="s">
        <v>1875</v>
      </c>
      <c r="I6956" s="64" t="s">
        <v>3856</v>
      </c>
      <c r="J6956" s="67">
        <v>0</v>
      </c>
      <c r="K6956" s="62">
        <v>4445</v>
      </c>
      <c r="L6956" s="33" t="e">
        <f>HLOOKUP(B6956,#REF!,1,0)</f>
        <v>#REF!</v>
      </c>
      <c r="M6956" s="33" t="str">
        <f t="shared" si="435"/>
        <v>P&amp;L</v>
      </c>
    </row>
    <row r="6957" spans="1:13" s="33" customFormat="true" ht="12.75" customHeight="true">
      <c r="A6957" s="33" t="str">
        <f t="shared" si="432"/>
        <v>OLD - CGS</v>
      </c>
      <c r="B6957" s="33" t="str">
        <f t="shared" si="433"/>
        <v>OLD</v>
      </c>
      <c r="C6957" s="33" t="str">
        <f t="shared" si="434"/>
        <v>60014-0042</v>
      </c>
      <c r="D6957" s="64" t="s">
        <v>8190</v>
      </c>
      <c r="E6957" s="64" t="s">
        <v>8188</v>
      </c>
      <c r="F6957" s="64" t="s">
        <v>230</v>
      </c>
      <c r="G6957" s="64" t="s">
        <v>3838</v>
      </c>
      <c r="H6957" s="64" t="s">
        <v>1875</v>
      </c>
      <c r="I6957" s="64" t="s">
        <v>3856</v>
      </c>
      <c r="J6957" s="67">
        <v>0</v>
      </c>
      <c r="K6957" s="62">
        <v>5951.33</v>
      </c>
      <c r="L6957" s="33" t="e">
        <f>HLOOKUP(B6957,#REF!,1,0)</f>
        <v>#REF!</v>
      </c>
      <c r="M6957" s="33" t="str">
        <f t="shared" si="435"/>
        <v>P&amp;L</v>
      </c>
    </row>
    <row r="6958" spans="1:13" s="33" customFormat="true" ht="12.75" customHeight="true">
      <c r="A6958" s="33" t="str">
        <f t="shared" si="432"/>
        <v>OLD - CGS</v>
      </c>
      <c r="B6958" s="33" t="str">
        <f t="shared" si="433"/>
        <v>OLD</v>
      </c>
      <c r="C6958" s="33" t="str">
        <f t="shared" si="434"/>
        <v>60014-0043</v>
      </c>
      <c r="D6958" s="64" t="s">
        <v>8191</v>
      </c>
      <c r="E6958" s="64" t="s">
        <v>8188</v>
      </c>
      <c r="F6958" s="64" t="s">
        <v>230</v>
      </c>
      <c r="G6958" s="64" t="s">
        <v>3838</v>
      </c>
      <c r="H6958" s="64" t="s">
        <v>1875</v>
      </c>
      <c r="I6958" s="64" t="s">
        <v>3856</v>
      </c>
      <c r="J6958" s="67">
        <v>0</v>
      </c>
      <c r="K6958" s="62">
        <v>14784.96</v>
      </c>
      <c r="L6958" s="33" t="e">
        <f>HLOOKUP(B6958,#REF!,1,0)</f>
        <v>#REF!</v>
      </c>
      <c r="M6958" s="33" t="str">
        <f t="shared" si="435"/>
        <v>P&amp;L</v>
      </c>
    </row>
    <row r="6959" spans="1:13" s="33" customFormat="true" ht="12.75" customHeight="true">
      <c r="A6959" s="33" t="str">
        <f t="shared" si="432"/>
        <v>OLD - CGS</v>
      </c>
      <c r="B6959" s="33" t="str">
        <f t="shared" si="433"/>
        <v>OLD</v>
      </c>
      <c r="C6959" s="33" t="str">
        <f t="shared" si="434"/>
        <v>60014-0044</v>
      </c>
      <c r="D6959" s="64" t="s">
        <v>8192</v>
      </c>
      <c r="E6959" s="64" t="s">
        <v>8188</v>
      </c>
      <c r="F6959" s="64" t="s">
        <v>230</v>
      </c>
      <c r="G6959" s="64" t="s">
        <v>3838</v>
      </c>
      <c r="H6959" s="64" t="s">
        <v>1875</v>
      </c>
      <c r="I6959" s="64" t="s">
        <v>3856</v>
      </c>
      <c r="J6959" s="67">
        <v>0</v>
      </c>
      <c r="K6959" s="62">
        <v>6000</v>
      </c>
      <c r="L6959" s="33" t="e">
        <f>HLOOKUP(B6959,#REF!,1,0)</f>
        <v>#REF!</v>
      </c>
      <c r="M6959" s="33" t="str">
        <f t="shared" si="435"/>
        <v>P&amp;L</v>
      </c>
    </row>
    <row r="6960" spans="1:13" s="33" customFormat="true" ht="12.75" customHeight="true">
      <c r="A6960" s="33" t="str">
        <f t="shared" si="432"/>
        <v>OLD - CGS</v>
      </c>
      <c r="B6960" s="33" t="str">
        <f t="shared" si="433"/>
        <v>OLD</v>
      </c>
      <c r="C6960" s="33" t="str">
        <f t="shared" si="434"/>
        <v>60014-0045</v>
      </c>
      <c r="D6960" s="64" t="s">
        <v>8193</v>
      </c>
      <c r="E6960" s="64" t="s">
        <v>8188</v>
      </c>
      <c r="F6960" s="64" t="s">
        <v>230</v>
      </c>
      <c r="G6960" s="64" t="s">
        <v>3838</v>
      </c>
      <c r="H6960" s="64" t="s">
        <v>1875</v>
      </c>
      <c r="I6960" s="64" t="s">
        <v>3856</v>
      </c>
      <c r="J6960" s="67">
        <v>0</v>
      </c>
      <c r="K6960" s="62">
        <v>2806.05</v>
      </c>
      <c r="L6960" s="33" t="e">
        <f>HLOOKUP(B6960,#REF!,1,0)</f>
        <v>#REF!</v>
      </c>
      <c r="M6960" s="33" t="str">
        <f t="shared" si="435"/>
        <v>P&amp;L</v>
      </c>
    </row>
    <row r="6961" spans="1:13" s="33" customFormat="true" ht="12.75" customHeight="true">
      <c r="A6961" s="33" t="str">
        <f t="shared" si="432"/>
        <v>OLD - CGS</v>
      </c>
      <c r="B6961" s="33" t="str">
        <f t="shared" si="433"/>
        <v>OLD</v>
      </c>
      <c r="C6961" s="33" t="str">
        <f t="shared" si="434"/>
        <v>60014-0046</v>
      </c>
      <c r="D6961" s="64" t="s">
        <v>8194</v>
      </c>
      <c r="E6961" s="64" t="s">
        <v>8188</v>
      </c>
      <c r="F6961" s="64" t="s">
        <v>230</v>
      </c>
      <c r="G6961" s="64" t="s">
        <v>3838</v>
      </c>
      <c r="H6961" s="64" t="s">
        <v>1875</v>
      </c>
      <c r="I6961" s="64" t="s">
        <v>3856</v>
      </c>
      <c r="J6961" s="67">
        <v>0</v>
      </c>
      <c r="K6961" s="62">
        <v>21067.74</v>
      </c>
      <c r="L6961" s="33" t="e">
        <f>HLOOKUP(B6961,#REF!,1,0)</f>
        <v>#REF!</v>
      </c>
      <c r="M6961" s="33" t="str">
        <f t="shared" si="435"/>
        <v>P&amp;L</v>
      </c>
    </row>
    <row r="6962" spans="1:13" s="33" customFormat="true" ht="12.75" customHeight="true">
      <c r="A6962" s="33" t="str">
        <f t="shared" si="432"/>
        <v>OLD - CGS</v>
      </c>
      <c r="B6962" s="33" t="str">
        <f t="shared" si="433"/>
        <v>OLD</v>
      </c>
      <c r="C6962" s="33" t="str">
        <f t="shared" si="434"/>
        <v>60014-0049</v>
      </c>
      <c r="D6962" s="64" t="s">
        <v>8195</v>
      </c>
      <c r="E6962" s="64" t="s">
        <v>8188</v>
      </c>
      <c r="F6962" s="64" t="s">
        <v>230</v>
      </c>
      <c r="G6962" s="64" t="s">
        <v>3838</v>
      </c>
      <c r="H6962" s="64" t="s">
        <v>1875</v>
      </c>
      <c r="I6962" s="64" t="s">
        <v>3856</v>
      </c>
      <c r="J6962" s="67">
        <v>0</v>
      </c>
      <c r="K6962" s="62">
        <v>112781.96</v>
      </c>
      <c r="L6962" s="33" t="e">
        <f>HLOOKUP(B6962,#REF!,1,0)</f>
        <v>#REF!</v>
      </c>
      <c r="M6962" s="33" t="str">
        <f t="shared" si="435"/>
        <v>P&amp;L</v>
      </c>
    </row>
    <row r="6963" spans="1:13" s="33" customFormat="true" ht="12.75" customHeight="true">
      <c r="A6963" s="33" t="str">
        <f t="shared" si="432"/>
        <v>OLD - CGS</v>
      </c>
      <c r="B6963" s="33" t="str">
        <f t="shared" si="433"/>
        <v>OLD</v>
      </c>
      <c r="C6963" s="33" t="str">
        <f t="shared" si="434"/>
        <v>60014-0050</v>
      </c>
      <c r="D6963" s="64" t="s">
        <v>8196</v>
      </c>
      <c r="E6963" s="64" t="s">
        <v>8188</v>
      </c>
      <c r="F6963" s="64" t="s">
        <v>230</v>
      </c>
      <c r="G6963" s="64" t="s">
        <v>3838</v>
      </c>
      <c r="H6963" s="64" t="s">
        <v>1875</v>
      </c>
      <c r="I6963" s="64" t="s">
        <v>3856</v>
      </c>
      <c r="J6963" s="67">
        <v>0</v>
      </c>
      <c r="K6963" s="62">
        <v>47151.69</v>
      </c>
      <c r="L6963" s="33" t="e">
        <f>HLOOKUP(B6963,#REF!,1,0)</f>
        <v>#REF!</v>
      </c>
      <c r="M6963" s="33" t="str">
        <f t="shared" si="435"/>
        <v>P&amp;L</v>
      </c>
    </row>
    <row r="6964" spans="1:13" s="33" customFormat="true" ht="12.75" customHeight="true">
      <c r="A6964" s="33" t="str">
        <f t="shared" si="432"/>
        <v>OLD - CGS</v>
      </c>
      <c r="B6964" s="33" t="str">
        <f t="shared" si="433"/>
        <v>OLD</v>
      </c>
      <c r="C6964" s="33" t="str">
        <f t="shared" si="434"/>
        <v>60015-0040</v>
      </c>
      <c r="D6964" s="64" t="s">
        <v>8197</v>
      </c>
      <c r="E6964" s="64" t="s">
        <v>8198</v>
      </c>
      <c r="F6964" s="64" t="s">
        <v>230</v>
      </c>
      <c r="G6964" s="64" t="s">
        <v>3838</v>
      </c>
      <c r="H6964" s="64" t="s">
        <v>1875</v>
      </c>
      <c r="I6964" s="64" t="s">
        <v>3859</v>
      </c>
      <c r="J6964" s="67">
        <v>0</v>
      </c>
      <c r="K6964" s="62">
        <v>20</v>
      </c>
      <c r="L6964" s="33" t="e">
        <f>HLOOKUP(B6964,#REF!,1,0)</f>
        <v>#REF!</v>
      </c>
      <c r="M6964" s="33" t="str">
        <f t="shared" si="435"/>
        <v>P&amp;L</v>
      </c>
    </row>
    <row r="6965" spans="1:13" s="33" customFormat="true" ht="12.75" customHeight="true">
      <c r="A6965" s="33" t="str">
        <f t="shared" si="432"/>
        <v>OLD - CGS</v>
      </c>
      <c r="B6965" s="33" t="str">
        <f t="shared" si="433"/>
        <v>OLD</v>
      </c>
      <c r="C6965" s="33" t="str">
        <f t="shared" si="434"/>
        <v>60015-0042</v>
      </c>
      <c r="D6965" s="64" t="s">
        <v>8199</v>
      </c>
      <c r="E6965" s="64" t="s">
        <v>8198</v>
      </c>
      <c r="F6965" s="64" t="s">
        <v>230</v>
      </c>
      <c r="G6965" s="64" t="s">
        <v>3838</v>
      </c>
      <c r="H6965" s="64" t="s">
        <v>1875</v>
      </c>
      <c r="I6965" s="64" t="s">
        <v>3859</v>
      </c>
      <c r="J6965" s="67">
        <v>0</v>
      </c>
      <c r="K6965" s="62">
        <v>0</v>
      </c>
      <c r="L6965" s="33" t="e">
        <f>HLOOKUP(B6965,#REF!,1,0)</f>
        <v>#REF!</v>
      </c>
      <c r="M6965" s="33" t="str">
        <f t="shared" si="435"/>
        <v>P&amp;L</v>
      </c>
    </row>
    <row r="6966" spans="1:13" s="33" customFormat="true" ht="12.75" customHeight="true">
      <c r="A6966" s="33" t="str">
        <f t="shared" si="432"/>
        <v>OLD - CGS</v>
      </c>
      <c r="B6966" s="33" t="str">
        <f t="shared" si="433"/>
        <v>OLD</v>
      </c>
      <c r="C6966" s="33" t="str">
        <f t="shared" si="434"/>
        <v>60015-0043</v>
      </c>
      <c r="D6966" s="64" t="s">
        <v>8200</v>
      </c>
      <c r="E6966" s="64" t="s">
        <v>8198</v>
      </c>
      <c r="F6966" s="64" t="s">
        <v>230</v>
      </c>
      <c r="G6966" s="64" t="s">
        <v>3838</v>
      </c>
      <c r="H6966" s="64" t="s">
        <v>1875</v>
      </c>
      <c r="I6966" s="64" t="s">
        <v>3859</v>
      </c>
      <c r="J6966" s="67">
        <v>0</v>
      </c>
      <c r="K6966" s="62">
        <v>579.53</v>
      </c>
      <c r="L6966" s="33" t="e">
        <f>HLOOKUP(B6966,#REF!,1,0)</f>
        <v>#REF!</v>
      </c>
      <c r="M6966" s="33" t="str">
        <f t="shared" si="435"/>
        <v>P&amp;L</v>
      </c>
    </row>
    <row r="6967" spans="1:13" s="33" customFormat="true" ht="12.75" customHeight="true">
      <c r="A6967" s="33" t="str">
        <f t="shared" si="432"/>
        <v>OLD - CGS</v>
      </c>
      <c r="B6967" s="33" t="str">
        <f t="shared" si="433"/>
        <v>OLD</v>
      </c>
      <c r="C6967" s="33" t="str">
        <f t="shared" si="434"/>
        <v>60015-0044</v>
      </c>
      <c r="D6967" s="64" t="s">
        <v>8201</v>
      </c>
      <c r="E6967" s="64" t="s">
        <v>8198</v>
      </c>
      <c r="F6967" s="64" t="s">
        <v>230</v>
      </c>
      <c r="G6967" s="64" t="s">
        <v>3838</v>
      </c>
      <c r="H6967" s="64" t="s">
        <v>1875</v>
      </c>
      <c r="I6967" s="64" t="s">
        <v>3859</v>
      </c>
      <c r="J6967" s="67">
        <v>0</v>
      </c>
      <c r="K6967" s="62">
        <v>369.88</v>
      </c>
      <c r="L6967" s="33" t="e">
        <f>HLOOKUP(B6967,#REF!,1,0)</f>
        <v>#REF!</v>
      </c>
      <c r="M6967" s="33" t="str">
        <f t="shared" si="435"/>
        <v>P&amp;L</v>
      </c>
    </row>
    <row r="6968" spans="1:13" s="33" customFormat="true" ht="12.75" customHeight="true">
      <c r="A6968" s="33" t="str">
        <f t="shared" si="432"/>
        <v>OLD - CGS</v>
      </c>
      <c r="B6968" s="33" t="str">
        <f t="shared" si="433"/>
        <v>OLD</v>
      </c>
      <c r="C6968" s="33" t="str">
        <f t="shared" si="434"/>
        <v>60015-0045</v>
      </c>
      <c r="D6968" s="64" t="s">
        <v>8202</v>
      </c>
      <c r="E6968" s="64" t="s">
        <v>8198</v>
      </c>
      <c r="F6968" s="64" t="s">
        <v>230</v>
      </c>
      <c r="G6968" s="64" t="s">
        <v>3838</v>
      </c>
      <c r="H6968" s="64" t="s">
        <v>1875</v>
      </c>
      <c r="I6968" s="64" t="s">
        <v>3859</v>
      </c>
      <c r="J6968" s="67">
        <v>0</v>
      </c>
      <c r="K6968" s="62">
        <v>29.33</v>
      </c>
      <c r="L6968" s="33" t="e">
        <f>HLOOKUP(B6968,#REF!,1,0)</f>
        <v>#REF!</v>
      </c>
      <c r="M6968" s="33" t="str">
        <f t="shared" si="435"/>
        <v>P&amp;L</v>
      </c>
    </row>
    <row r="6969" spans="1:13" s="33" customFormat="true" ht="12.75" customHeight="true">
      <c r="A6969" s="33" t="str">
        <f t="shared" si="432"/>
        <v>OLD - CGS</v>
      </c>
      <c r="B6969" s="33" t="str">
        <f t="shared" si="433"/>
        <v>OLD</v>
      </c>
      <c r="C6969" s="33" t="str">
        <f t="shared" si="434"/>
        <v>60015-0046</v>
      </c>
      <c r="D6969" s="64" t="s">
        <v>8203</v>
      </c>
      <c r="E6969" s="64" t="s">
        <v>8198</v>
      </c>
      <c r="F6969" s="64" t="s">
        <v>230</v>
      </c>
      <c r="G6969" s="64" t="s">
        <v>3838</v>
      </c>
      <c r="H6969" s="64" t="s">
        <v>1875</v>
      </c>
      <c r="I6969" s="64" t="s">
        <v>3859</v>
      </c>
      <c r="J6969" s="67">
        <v>0</v>
      </c>
      <c r="K6969" s="62">
        <v>1403.73</v>
      </c>
      <c r="L6969" s="33" t="e">
        <f>HLOOKUP(B6969,#REF!,1,0)</f>
        <v>#REF!</v>
      </c>
      <c r="M6969" s="33" t="str">
        <f t="shared" si="435"/>
        <v>P&amp;L</v>
      </c>
    </row>
    <row r="6970" spans="1:13" s="33" customFormat="true" ht="12.75" customHeight="true">
      <c r="A6970" s="33" t="str">
        <f t="shared" si="432"/>
        <v>OLD - CGS</v>
      </c>
      <c r="B6970" s="33" t="str">
        <f t="shared" si="433"/>
        <v>OLD</v>
      </c>
      <c r="C6970" s="33" t="str">
        <f t="shared" si="434"/>
        <v>60015-0048</v>
      </c>
      <c r="D6970" s="64" t="s">
        <v>8204</v>
      </c>
      <c r="E6970" s="64" t="s">
        <v>8198</v>
      </c>
      <c r="F6970" s="64" t="s">
        <v>230</v>
      </c>
      <c r="G6970" s="64" t="s">
        <v>3838</v>
      </c>
      <c r="H6970" s="64" t="s">
        <v>1875</v>
      </c>
      <c r="I6970" s="64" t="s">
        <v>3859</v>
      </c>
      <c r="J6970" s="67">
        <v>0</v>
      </c>
      <c r="K6970" s="62">
        <v>0</v>
      </c>
      <c r="L6970" s="33" t="e">
        <f>HLOOKUP(B6970,#REF!,1,0)</f>
        <v>#REF!</v>
      </c>
      <c r="M6970" s="33" t="str">
        <f t="shared" si="435"/>
        <v>P&amp;L</v>
      </c>
    </row>
    <row r="6971" spans="1:13" s="33" customFormat="true" ht="12.75" customHeight="true">
      <c r="A6971" s="33" t="str">
        <f t="shared" si="432"/>
        <v>OLD - CGS</v>
      </c>
      <c r="B6971" s="33" t="str">
        <f t="shared" si="433"/>
        <v>OLD</v>
      </c>
      <c r="C6971" s="33" t="str">
        <f t="shared" si="434"/>
        <v>60015-0049</v>
      </c>
      <c r="D6971" s="64" t="s">
        <v>8205</v>
      </c>
      <c r="E6971" s="64" t="s">
        <v>8198</v>
      </c>
      <c r="F6971" s="64" t="s">
        <v>230</v>
      </c>
      <c r="G6971" s="64" t="s">
        <v>3838</v>
      </c>
      <c r="H6971" s="64" t="s">
        <v>1875</v>
      </c>
      <c r="I6971" s="64" t="s">
        <v>3859</v>
      </c>
      <c r="J6971" s="67">
        <v>0</v>
      </c>
      <c r="K6971" s="62">
        <v>4929.3</v>
      </c>
      <c r="L6971" s="33" t="e">
        <f>HLOOKUP(B6971,#REF!,1,0)</f>
        <v>#REF!</v>
      </c>
      <c r="M6971" s="33" t="str">
        <f t="shared" si="435"/>
        <v>P&amp;L</v>
      </c>
    </row>
    <row r="6972" spans="1:13" s="33" customFormat="true" ht="12.75" customHeight="true">
      <c r="A6972" s="33" t="str">
        <f t="shared" si="432"/>
        <v>OLD - CGS</v>
      </c>
      <c r="B6972" s="33" t="str">
        <f t="shared" si="433"/>
        <v>OLD</v>
      </c>
      <c r="C6972" s="33" t="str">
        <f t="shared" si="434"/>
        <v>60015-0050</v>
      </c>
      <c r="D6972" s="64" t="s">
        <v>8206</v>
      </c>
      <c r="E6972" s="64" t="s">
        <v>8198</v>
      </c>
      <c r="F6972" s="64" t="s">
        <v>230</v>
      </c>
      <c r="G6972" s="64" t="s">
        <v>3838</v>
      </c>
      <c r="H6972" s="64" t="s">
        <v>1875</v>
      </c>
      <c r="I6972" s="64" t="s">
        <v>3859</v>
      </c>
      <c r="J6972" s="67">
        <v>0</v>
      </c>
      <c r="K6972" s="62">
        <v>0</v>
      </c>
      <c r="L6972" s="33" t="e">
        <f>HLOOKUP(B6972,#REF!,1,0)</f>
        <v>#REF!</v>
      </c>
      <c r="M6972" s="33" t="str">
        <f t="shared" si="435"/>
        <v>P&amp;L</v>
      </c>
    </row>
    <row r="6973" spans="1:13" s="33" customFormat="true" ht="12.75" customHeight="true">
      <c r="A6973" s="33" t="str">
        <f t="shared" si="432"/>
        <v>OLD - CGS</v>
      </c>
      <c r="B6973" s="33" t="str">
        <f t="shared" si="433"/>
        <v>OLD</v>
      </c>
      <c r="C6973" s="33" t="str">
        <f t="shared" si="434"/>
        <v>61016-0048</v>
      </c>
      <c r="D6973" s="64" t="s">
        <v>8207</v>
      </c>
      <c r="E6973" s="64" t="s">
        <v>3861</v>
      </c>
      <c r="F6973" s="64" t="s">
        <v>230</v>
      </c>
      <c r="G6973" s="64" t="s">
        <v>3838</v>
      </c>
      <c r="H6973" s="64" t="s">
        <v>1875</v>
      </c>
      <c r="I6973" s="64" t="s">
        <v>3862</v>
      </c>
      <c r="J6973" s="67">
        <v>0</v>
      </c>
      <c r="K6973" s="62">
        <v>0</v>
      </c>
      <c r="L6973" s="33" t="e">
        <f>HLOOKUP(B6973,#REF!,1,0)</f>
        <v>#REF!</v>
      </c>
      <c r="M6973" s="33" t="str">
        <f t="shared" si="435"/>
        <v>P&amp;L</v>
      </c>
    </row>
    <row r="6974" spans="1:13" s="33" customFormat="true" ht="12.75" customHeight="true">
      <c r="A6974" s="33" t="str">
        <f t="shared" si="432"/>
        <v>OLD - CGS</v>
      </c>
      <c r="B6974" s="33" t="str">
        <f t="shared" si="433"/>
        <v>OLD</v>
      </c>
      <c r="C6974" s="33" t="str">
        <f t="shared" si="434"/>
        <v>61018-0048</v>
      </c>
      <c r="D6974" s="64" t="s">
        <v>8208</v>
      </c>
      <c r="E6974" s="64" t="s">
        <v>8209</v>
      </c>
      <c r="F6974" s="64" t="s">
        <v>230</v>
      </c>
      <c r="G6974" s="64" t="s">
        <v>3838</v>
      </c>
      <c r="H6974" s="64" t="s">
        <v>1875</v>
      </c>
      <c r="I6974" s="64" t="s">
        <v>3866</v>
      </c>
      <c r="J6974" s="67">
        <v>0</v>
      </c>
      <c r="K6974" s="62">
        <v>5796.86</v>
      </c>
      <c r="L6974" s="33" t="e">
        <f>HLOOKUP(B6974,#REF!,1,0)</f>
        <v>#REF!</v>
      </c>
      <c r="M6974" s="33" t="str">
        <f t="shared" si="435"/>
        <v>P&amp;L</v>
      </c>
    </row>
    <row r="6975" spans="1:13" s="33" customFormat="true" ht="12.75" customHeight="true">
      <c r="A6975" s="33" t="str">
        <f t="shared" si="432"/>
        <v>OLD - Other Income/Expense</v>
      </c>
      <c r="B6975" s="33" t="str">
        <f t="shared" si="433"/>
        <v>OLD</v>
      </c>
      <c r="C6975" s="33" t="str">
        <f t="shared" si="434"/>
        <v>61022-0046</v>
      </c>
      <c r="D6975" s="64" t="s">
        <v>8210</v>
      </c>
      <c r="E6975" s="64" t="s">
        <v>4286</v>
      </c>
      <c r="F6975" s="64" t="s">
        <v>230</v>
      </c>
      <c r="G6975" s="64" t="s">
        <v>3838</v>
      </c>
      <c r="H6975" s="64" t="s">
        <v>3300</v>
      </c>
      <c r="I6975" s="64" t="s">
        <v>4287</v>
      </c>
      <c r="J6975" s="67">
        <v>0</v>
      </c>
      <c r="K6975" s="62">
        <v>297.95</v>
      </c>
      <c r="L6975" s="33" t="e">
        <f>HLOOKUP(B6975,#REF!,1,0)</f>
        <v>#REF!</v>
      </c>
      <c r="M6975" s="33" t="str">
        <f t="shared" si="435"/>
        <v>P&amp;L</v>
      </c>
    </row>
    <row r="6976" spans="1:13" s="33" customFormat="true" ht="12.75" customHeight="true">
      <c r="A6976" s="33" t="str">
        <f t="shared" si="432"/>
        <v>OLD - Other Income/Expense</v>
      </c>
      <c r="B6976" s="33" t="str">
        <f t="shared" si="433"/>
        <v>OLD</v>
      </c>
      <c r="C6976" s="33" t="str">
        <f t="shared" si="434"/>
        <v>61022-0050</v>
      </c>
      <c r="D6976" s="64" t="s">
        <v>8211</v>
      </c>
      <c r="E6976" s="64" t="s">
        <v>4286</v>
      </c>
      <c r="F6976" s="64" t="s">
        <v>230</v>
      </c>
      <c r="G6976" s="64" t="s">
        <v>3838</v>
      </c>
      <c r="H6976" s="64" t="s">
        <v>3300</v>
      </c>
      <c r="I6976" s="64" t="s">
        <v>4287</v>
      </c>
      <c r="J6976" s="67">
        <v>0</v>
      </c>
      <c r="K6976" s="62">
        <v>2569.45</v>
      </c>
      <c r="L6976" s="33" t="e">
        <f>HLOOKUP(B6976,#REF!,1,0)</f>
        <v>#REF!</v>
      </c>
      <c r="M6976" s="33" t="str">
        <f t="shared" si="435"/>
        <v>P&amp;L</v>
      </c>
    </row>
    <row r="6977" spans="1:13" s="33" customFormat="true" ht="12.75" customHeight="true">
      <c r="A6977" s="33" t="str">
        <f t="shared" si="432"/>
        <v>OVA - Fixed Assets</v>
      </c>
      <c r="B6977" s="33" t="str">
        <f t="shared" si="433"/>
        <v>OVA</v>
      </c>
      <c r="C6977" s="33" t="str">
        <f t="shared" si="434"/>
        <v>15501-0000</v>
      </c>
      <c r="D6977" s="64" t="s">
        <v>8212</v>
      </c>
      <c r="E6977" s="64" t="s">
        <v>2635</v>
      </c>
      <c r="F6977" s="64" t="s">
        <v>230</v>
      </c>
      <c r="G6977" s="64" t="s">
        <v>62</v>
      </c>
      <c r="H6977" s="64" t="s">
        <v>63</v>
      </c>
      <c r="I6977" s="64" t="s">
        <v>64</v>
      </c>
      <c r="J6977" s="67">
        <v>598.41</v>
      </c>
      <c r="K6977" s="62">
        <v>2348.56</v>
      </c>
      <c r="L6977" s="33" t="e">
        <f>HLOOKUP(B6977,#REF!,1,0)</f>
        <v>#REF!</v>
      </c>
      <c r="M6977" s="33" t="str">
        <f t="shared" si="435"/>
        <v>BS</v>
      </c>
    </row>
    <row r="6978" spans="1:13" s="33" customFormat="true" ht="12.75" customHeight="true">
      <c r="A6978" s="33" t="str">
        <f t="shared" ref="A6978:A7041" si="436">B6978&amp;" - "&amp;TRIM(H6978)</f>
        <v>OVA - AR-PPD</v>
      </c>
      <c r="B6978" s="33" t="str">
        <f t="shared" ref="B6978:B7041" si="437">LEFT(D6978,3)</f>
        <v>OVA</v>
      </c>
      <c r="C6978" s="33" t="str">
        <f t="shared" ref="C6978:C7041" si="438">RIGHT(D6978,10)</f>
        <v>25300-0000</v>
      </c>
      <c r="D6978" s="64" t="s">
        <v>8213</v>
      </c>
      <c r="E6978" s="64" t="s">
        <v>3677</v>
      </c>
      <c r="F6978" s="64" t="s">
        <v>230</v>
      </c>
      <c r="G6978" s="64" t="s">
        <v>3678</v>
      </c>
      <c r="H6978" s="64" t="s">
        <v>35</v>
      </c>
      <c r="I6978" s="64" t="s">
        <v>102</v>
      </c>
      <c r="J6978" s="67">
        <v>2245.68</v>
      </c>
      <c r="K6978" s="62">
        <v>-230</v>
      </c>
      <c r="L6978" s="33" t="e">
        <f>HLOOKUP(B6978,#REF!,1,0)</f>
        <v>#REF!</v>
      </c>
      <c r="M6978" s="33" t="str">
        <f t="shared" ref="M6978:M7041" si="439">IF(VALUE(LEFT(C6978,5))&gt;40000,"P&amp;L","BS")</f>
        <v>BS</v>
      </c>
    </row>
    <row r="6979" spans="1:13" s="33" customFormat="true" ht="12.75" customHeight="true">
      <c r="A6979" s="33" t="str">
        <f t="shared" si="436"/>
        <v>OVA - Revenue</v>
      </c>
      <c r="B6979" s="33" t="str">
        <f t="shared" si="437"/>
        <v>OVA</v>
      </c>
      <c r="C6979" s="33" t="str">
        <f t="shared" si="438"/>
        <v>40110-0000</v>
      </c>
      <c r="D6979" s="64" t="s">
        <v>8214</v>
      </c>
      <c r="E6979" s="64" t="s">
        <v>3683</v>
      </c>
      <c r="F6979" s="64" t="s">
        <v>230</v>
      </c>
      <c r="G6979" s="64" t="s">
        <v>3684</v>
      </c>
      <c r="H6979" s="64" t="s">
        <v>2871</v>
      </c>
      <c r="I6979" s="64" t="s">
        <v>3685</v>
      </c>
      <c r="J6979" s="67">
        <v>-50887.88</v>
      </c>
      <c r="K6979" s="62">
        <v>-508878.8</v>
      </c>
      <c r="L6979" s="33" t="e">
        <f>HLOOKUP(B6979,#REF!,1,0)</f>
        <v>#REF!</v>
      </c>
      <c r="M6979" s="33" t="str">
        <f t="shared" si="439"/>
        <v>P&amp;L</v>
      </c>
    </row>
    <row r="6980" spans="1:13" s="33" customFormat="true" ht="12.75" customHeight="true">
      <c r="A6980" s="33" t="str">
        <f t="shared" si="436"/>
        <v>OVA - Revenue</v>
      </c>
      <c r="B6980" s="33" t="str">
        <f t="shared" si="437"/>
        <v>OVA</v>
      </c>
      <c r="C6980" s="33" t="str">
        <f t="shared" si="438"/>
        <v>40120-0000</v>
      </c>
      <c r="D6980" s="64" t="s">
        <v>8215</v>
      </c>
      <c r="E6980" s="64" t="s">
        <v>3687</v>
      </c>
      <c r="F6980" s="64" t="s">
        <v>230</v>
      </c>
      <c r="G6980" s="64" t="s">
        <v>3684</v>
      </c>
      <c r="H6980" s="64" t="s">
        <v>2871</v>
      </c>
      <c r="I6980" s="64" t="s">
        <v>3688</v>
      </c>
      <c r="J6980" s="67">
        <v>-508</v>
      </c>
      <c r="K6980" s="62">
        <v>-3298</v>
      </c>
      <c r="L6980" s="33" t="e">
        <f>HLOOKUP(B6980,#REF!,1,0)</f>
        <v>#REF!</v>
      </c>
      <c r="M6980" s="33" t="str">
        <f t="shared" si="439"/>
        <v>P&amp;L</v>
      </c>
    </row>
    <row r="6981" spans="1:13" s="33" customFormat="true" ht="12.75" customHeight="true">
      <c r="A6981" s="33" t="str">
        <f t="shared" si="436"/>
        <v>OVA - Revenue</v>
      </c>
      <c r="B6981" s="33" t="str">
        <f t="shared" si="437"/>
        <v>OVA</v>
      </c>
      <c r="C6981" s="33" t="str">
        <f t="shared" si="438"/>
        <v>40130-0000</v>
      </c>
      <c r="D6981" s="64" t="s">
        <v>8216</v>
      </c>
      <c r="E6981" s="64" t="s">
        <v>3690</v>
      </c>
      <c r="F6981" s="64" t="s">
        <v>230</v>
      </c>
      <c r="G6981" s="64" t="s">
        <v>3684</v>
      </c>
      <c r="H6981" s="64" t="s">
        <v>2871</v>
      </c>
      <c r="I6981" s="64" t="s">
        <v>3691</v>
      </c>
      <c r="J6981" s="67">
        <v>-129</v>
      </c>
      <c r="K6981" s="62">
        <v>-220</v>
      </c>
      <c r="L6981" s="33" t="e">
        <f>HLOOKUP(B6981,#REF!,1,0)</f>
        <v>#REF!</v>
      </c>
      <c r="M6981" s="33" t="str">
        <f t="shared" si="439"/>
        <v>P&amp;L</v>
      </c>
    </row>
    <row r="6982" spans="1:13" s="33" customFormat="true" ht="12.75" customHeight="true">
      <c r="A6982" s="33" t="str">
        <f t="shared" si="436"/>
        <v>OVA - Revenue</v>
      </c>
      <c r="B6982" s="33" t="str">
        <f t="shared" si="437"/>
        <v>OVA</v>
      </c>
      <c r="C6982" s="33" t="str">
        <f t="shared" si="438"/>
        <v>40140-0000</v>
      </c>
      <c r="D6982" s="64" t="s">
        <v>8217</v>
      </c>
      <c r="E6982" s="64" t="s">
        <v>3948</v>
      </c>
      <c r="F6982" s="64" t="s">
        <v>230</v>
      </c>
      <c r="G6982" s="64" t="s">
        <v>3684</v>
      </c>
      <c r="H6982" s="64" t="s">
        <v>2871</v>
      </c>
      <c r="I6982" s="64" t="s">
        <v>3949</v>
      </c>
      <c r="J6982" s="67">
        <v>0</v>
      </c>
      <c r="K6982" s="62">
        <v>63</v>
      </c>
      <c r="L6982" s="33" t="e">
        <f>HLOOKUP(B6982,#REF!,1,0)</f>
        <v>#REF!</v>
      </c>
      <c r="M6982" s="33" t="str">
        <f t="shared" si="439"/>
        <v>P&amp;L</v>
      </c>
    </row>
    <row r="6983" spans="1:13" s="33" customFormat="true" ht="12.75" customHeight="true">
      <c r="A6983" s="33" t="str">
        <f t="shared" si="436"/>
        <v>OVA - Revenue</v>
      </c>
      <c r="B6983" s="33" t="str">
        <f t="shared" si="437"/>
        <v>OVA</v>
      </c>
      <c r="C6983" s="33" t="str">
        <f t="shared" si="438"/>
        <v>41110-0000</v>
      </c>
      <c r="D6983" s="64" t="s">
        <v>8218</v>
      </c>
      <c r="E6983" s="64" t="s">
        <v>3693</v>
      </c>
      <c r="F6983" s="64" t="s">
        <v>230</v>
      </c>
      <c r="G6983" s="64" t="s">
        <v>3694</v>
      </c>
      <c r="H6983" s="64" t="s">
        <v>2871</v>
      </c>
      <c r="I6983" s="64" t="s">
        <v>3695</v>
      </c>
      <c r="J6983" s="67">
        <v>1663</v>
      </c>
      <c r="K6983" s="62">
        <v>7054.62</v>
      </c>
      <c r="L6983" s="33" t="e">
        <f>HLOOKUP(B6983,#REF!,1,0)</f>
        <v>#REF!</v>
      </c>
      <c r="M6983" s="33" t="str">
        <f t="shared" si="439"/>
        <v>P&amp;L</v>
      </c>
    </row>
    <row r="6984" spans="1:13" s="33" customFormat="true" ht="12.75" customHeight="true">
      <c r="A6984" s="33" t="str">
        <f t="shared" si="436"/>
        <v>OVA - Revenue</v>
      </c>
      <c r="B6984" s="33" t="str">
        <f t="shared" si="437"/>
        <v>OVA</v>
      </c>
      <c r="C6984" s="33" t="str">
        <f t="shared" si="438"/>
        <v>41121-0000</v>
      </c>
      <c r="D6984" s="64" t="s">
        <v>8219</v>
      </c>
      <c r="E6984" s="64" t="s">
        <v>3697</v>
      </c>
      <c r="F6984" s="64" t="s">
        <v>230</v>
      </c>
      <c r="G6984" s="64" t="s">
        <v>3694</v>
      </c>
      <c r="H6984" s="64" t="s">
        <v>2871</v>
      </c>
      <c r="I6984" s="64" t="s">
        <v>3698</v>
      </c>
      <c r="J6984" s="67">
        <v>18507.28</v>
      </c>
      <c r="K6984" s="62">
        <v>198895.86</v>
      </c>
      <c r="L6984" s="33" t="e">
        <f>HLOOKUP(B6984,#REF!,1,0)</f>
        <v>#REF!</v>
      </c>
      <c r="M6984" s="33" t="str">
        <f t="shared" si="439"/>
        <v>P&amp;L</v>
      </c>
    </row>
    <row r="6985" spans="1:13" s="33" customFormat="true" ht="12.75" customHeight="true">
      <c r="A6985" s="33" t="str">
        <f t="shared" si="436"/>
        <v>OVA - Revenue</v>
      </c>
      <c r="B6985" s="33" t="str">
        <f t="shared" si="437"/>
        <v>OVA</v>
      </c>
      <c r="C6985" s="33" t="str">
        <f t="shared" si="438"/>
        <v>41122-0000</v>
      </c>
      <c r="D6985" s="64" t="s">
        <v>8220</v>
      </c>
      <c r="E6985" s="64" t="s">
        <v>3700</v>
      </c>
      <c r="F6985" s="64" t="s">
        <v>230</v>
      </c>
      <c r="G6985" s="64" t="s">
        <v>3694</v>
      </c>
      <c r="H6985" s="64" t="s">
        <v>2871</v>
      </c>
      <c r="I6985" s="64" t="s">
        <v>3701</v>
      </c>
      <c r="J6985" s="67">
        <v>-3092.77</v>
      </c>
      <c r="K6985" s="62">
        <v>-57119.35</v>
      </c>
      <c r="L6985" s="33" t="e">
        <f>HLOOKUP(B6985,#REF!,1,0)</f>
        <v>#REF!</v>
      </c>
      <c r="M6985" s="33" t="str">
        <f t="shared" si="439"/>
        <v>P&amp;L</v>
      </c>
    </row>
    <row r="6986" spans="1:13" s="33" customFormat="true" ht="12.75" customHeight="true">
      <c r="A6986" s="33" t="str">
        <f t="shared" si="436"/>
        <v>OVA - Revenue</v>
      </c>
      <c r="B6986" s="33" t="str">
        <f t="shared" si="437"/>
        <v>OVA</v>
      </c>
      <c r="C6986" s="33" t="str">
        <f t="shared" si="438"/>
        <v>41130-0000</v>
      </c>
      <c r="D6986" s="64" t="s">
        <v>8221</v>
      </c>
      <c r="E6986" s="64" t="s">
        <v>3703</v>
      </c>
      <c r="F6986" s="64" t="s">
        <v>230</v>
      </c>
      <c r="G6986" s="64" t="s">
        <v>3694</v>
      </c>
      <c r="H6986" s="64" t="s">
        <v>2871</v>
      </c>
      <c r="I6986" s="64" t="s">
        <v>3704</v>
      </c>
      <c r="J6986" s="67">
        <v>0</v>
      </c>
      <c r="K6986" s="62">
        <v>70</v>
      </c>
      <c r="L6986" s="33" t="e">
        <f>HLOOKUP(B6986,#REF!,1,0)</f>
        <v>#REF!</v>
      </c>
      <c r="M6986" s="33" t="str">
        <f t="shared" si="439"/>
        <v>P&amp;L</v>
      </c>
    </row>
    <row r="6987" spans="1:13" s="33" customFormat="true" ht="12.75" customHeight="true">
      <c r="A6987" s="33" t="str">
        <f t="shared" si="436"/>
        <v>OVA - Revenue</v>
      </c>
      <c r="B6987" s="33" t="str">
        <f t="shared" si="437"/>
        <v>OVA</v>
      </c>
      <c r="C6987" s="33" t="str">
        <f t="shared" si="438"/>
        <v>41140-0000</v>
      </c>
      <c r="D6987" s="64" t="s">
        <v>8222</v>
      </c>
      <c r="E6987" s="64" t="s">
        <v>3706</v>
      </c>
      <c r="F6987" s="64" t="s">
        <v>230</v>
      </c>
      <c r="G6987" s="64" t="s">
        <v>3694</v>
      </c>
      <c r="H6987" s="64" t="s">
        <v>2871</v>
      </c>
      <c r="I6987" s="64" t="s">
        <v>3707</v>
      </c>
      <c r="J6987" s="67">
        <v>1075.76</v>
      </c>
      <c r="K6987" s="62">
        <v>2151.52</v>
      </c>
      <c r="L6987" s="33" t="e">
        <f>HLOOKUP(B6987,#REF!,1,0)</f>
        <v>#REF!</v>
      </c>
      <c r="M6987" s="33" t="str">
        <f t="shared" si="439"/>
        <v>P&amp;L</v>
      </c>
    </row>
    <row r="6988" spans="1:13" s="33" customFormat="true" ht="12.75" customHeight="true">
      <c r="A6988" s="33" t="str">
        <f t="shared" si="436"/>
        <v>OVA - Revenue</v>
      </c>
      <c r="B6988" s="33" t="str">
        <f t="shared" si="437"/>
        <v>OVA</v>
      </c>
      <c r="C6988" s="33" t="str">
        <f t="shared" si="438"/>
        <v>41150-0000</v>
      </c>
      <c r="D6988" s="64" t="s">
        <v>8223</v>
      </c>
      <c r="E6988" s="64" t="s">
        <v>3709</v>
      </c>
      <c r="F6988" s="64" t="s">
        <v>230</v>
      </c>
      <c r="G6988" s="64" t="s">
        <v>3694</v>
      </c>
      <c r="H6988" s="64" t="s">
        <v>2871</v>
      </c>
      <c r="I6988" s="64" t="s">
        <v>3710</v>
      </c>
      <c r="J6988" s="67">
        <v>2051</v>
      </c>
      <c r="K6988" s="62">
        <v>14116.5</v>
      </c>
      <c r="L6988" s="33" t="e">
        <f>HLOOKUP(B6988,#REF!,1,0)</f>
        <v>#REF!</v>
      </c>
      <c r="M6988" s="33" t="str">
        <f t="shared" si="439"/>
        <v>P&amp;L</v>
      </c>
    </row>
    <row r="6989" spans="1:13" s="33" customFormat="true" ht="12.75" customHeight="true">
      <c r="A6989" s="33" t="str">
        <f t="shared" si="436"/>
        <v>OVA - Revenue</v>
      </c>
      <c r="B6989" s="33" t="str">
        <f t="shared" si="437"/>
        <v>OVA</v>
      </c>
      <c r="C6989" s="33" t="str">
        <f t="shared" si="438"/>
        <v>41160-0000</v>
      </c>
      <c r="D6989" s="64" t="s">
        <v>8224</v>
      </c>
      <c r="E6989" s="64" t="s">
        <v>3957</v>
      </c>
      <c r="F6989" s="64" t="s">
        <v>230</v>
      </c>
      <c r="G6989" s="64" t="s">
        <v>3694</v>
      </c>
      <c r="H6989" s="64" t="s">
        <v>2871</v>
      </c>
      <c r="I6989" s="64" t="s">
        <v>3701</v>
      </c>
      <c r="J6989" s="67">
        <v>0</v>
      </c>
      <c r="K6989" s="62">
        <v>-113629.18</v>
      </c>
      <c r="L6989" s="33" t="e">
        <f>HLOOKUP(B6989,#REF!,1,0)</f>
        <v>#REF!</v>
      </c>
      <c r="M6989" s="33" t="str">
        <f t="shared" si="439"/>
        <v>P&amp;L</v>
      </c>
    </row>
    <row r="6990" spans="1:13" s="33" customFormat="true" ht="12.75" customHeight="true">
      <c r="A6990" s="33" t="str">
        <f t="shared" si="436"/>
        <v>OVA - Revenue</v>
      </c>
      <c r="B6990" s="33" t="str">
        <f t="shared" si="437"/>
        <v>OVA</v>
      </c>
      <c r="C6990" s="33" t="str">
        <f t="shared" si="438"/>
        <v>41999-0000</v>
      </c>
      <c r="D6990" s="64" t="s">
        <v>8225</v>
      </c>
      <c r="E6990" s="64" t="s">
        <v>3712</v>
      </c>
      <c r="F6990" s="64" t="s">
        <v>230</v>
      </c>
      <c r="G6990" s="64" t="s">
        <v>3713</v>
      </c>
      <c r="H6990" s="64" t="s">
        <v>2871</v>
      </c>
      <c r="I6990" s="64" t="s">
        <v>3714</v>
      </c>
      <c r="J6990" s="67">
        <v>31320.61</v>
      </c>
      <c r="K6990" s="62">
        <v>461462.92</v>
      </c>
      <c r="L6990" s="33" t="e">
        <f>HLOOKUP(B6990,#REF!,1,0)</f>
        <v>#REF!</v>
      </c>
      <c r="M6990" s="33" t="str">
        <f t="shared" si="439"/>
        <v>P&amp;L</v>
      </c>
    </row>
    <row r="6991" spans="1:13" s="33" customFormat="true" ht="12.75" customHeight="true">
      <c r="A6991" s="33" t="str">
        <f t="shared" si="436"/>
        <v>OVA - Revenue</v>
      </c>
      <c r="B6991" s="33" t="str">
        <f t="shared" si="437"/>
        <v>OVA</v>
      </c>
      <c r="C6991" s="33" t="str">
        <f t="shared" si="438"/>
        <v>47400-0000</v>
      </c>
      <c r="D6991" s="64" t="s">
        <v>8226</v>
      </c>
      <c r="E6991" s="64" t="s">
        <v>3716</v>
      </c>
      <c r="F6991" s="64" t="s">
        <v>230</v>
      </c>
      <c r="G6991" s="64" t="s">
        <v>3717</v>
      </c>
      <c r="H6991" s="64" t="s">
        <v>2871</v>
      </c>
      <c r="I6991" s="64" t="s">
        <v>3718</v>
      </c>
      <c r="J6991" s="67">
        <v>-33566.29</v>
      </c>
      <c r="K6991" s="62">
        <v>-460578.37</v>
      </c>
      <c r="L6991" s="33" t="e">
        <f>HLOOKUP(B6991,#REF!,1,0)</f>
        <v>#REF!</v>
      </c>
      <c r="M6991" s="33" t="str">
        <f t="shared" si="439"/>
        <v>P&amp;L</v>
      </c>
    </row>
    <row r="6992" spans="1:13" s="33" customFormat="true" ht="12.75" customHeight="true">
      <c r="A6992" s="33" t="str">
        <f t="shared" si="436"/>
        <v>OVA - Revenue</v>
      </c>
      <c r="B6992" s="33" t="str">
        <f t="shared" si="437"/>
        <v>OVA</v>
      </c>
      <c r="C6992" s="33" t="str">
        <f t="shared" si="438"/>
        <v>47420-0000</v>
      </c>
      <c r="D6992" s="64" t="s">
        <v>8227</v>
      </c>
      <c r="E6992" s="64" t="s">
        <v>4154</v>
      </c>
      <c r="F6992" s="64" t="s">
        <v>230</v>
      </c>
      <c r="G6992" s="64" t="s">
        <v>3717</v>
      </c>
      <c r="H6992" s="64" t="s">
        <v>2871</v>
      </c>
      <c r="I6992" s="64" t="s">
        <v>4155</v>
      </c>
      <c r="J6992" s="67">
        <v>-151.16</v>
      </c>
      <c r="K6992" s="62">
        <v>-1831.13</v>
      </c>
      <c r="L6992" s="33" t="e">
        <f>HLOOKUP(B6992,#REF!,1,0)</f>
        <v>#REF!</v>
      </c>
      <c r="M6992" s="33" t="str">
        <f t="shared" si="439"/>
        <v>P&amp;L</v>
      </c>
    </row>
    <row r="6993" spans="1:13" s="33" customFormat="true" ht="12.75" customHeight="true">
      <c r="A6993" s="33" t="str">
        <f t="shared" si="436"/>
        <v>OVA - Revenue</v>
      </c>
      <c r="B6993" s="33" t="str">
        <f t="shared" si="437"/>
        <v>OVA</v>
      </c>
      <c r="C6993" s="33" t="str">
        <f t="shared" si="438"/>
        <v>47430-0000</v>
      </c>
      <c r="D6993" s="64" t="s">
        <v>8228</v>
      </c>
      <c r="E6993" s="64" t="s">
        <v>4053</v>
      </c>
      <c r="F6993" s="64" t="s">
        <v>230</v>
      </c>
      <c r="G6993" s="64" t="s">
        <v>3717</v>
      </c>
      <c r="H6993" s="64" t="s">
        <v>2871</v>
      </c>
      <c r="I6993" s="64" t="s">
        <v>4054</v>
      </c>
      <c r="J6993" s="67">
        <v>-115.88</v>
      </c>
      <c r="K6993" s="62">
        <v>-1972.16</v>
      </c>
      <c r="L6993" s="33" t="e">
        <f>HLOOKUP(B6993,#REF!,1,0)</f>
        <v>#REF!</v>
      </c>
      <c r="M6993" s="33" t="str">
        <f t="shared" si="439"/>
        <v>P&amp;L</v>
      </c>
    </row>
    <row r="6994" spans="1:13" s="33" customFormat="true" ht="12.75" customHeight="true">
      <c r="A6994" s="33" t="str">
        <f t="shared" si="436"/>
        <v>OVA - Revenue</v>
      </c>
      <c r="B6994" s="33" t="str">
        <f t="shared" si="437"/>
        <v>OVA</v>
      </c>
      <c r="C6994" s="33" t="str">
        <f t="shared" si="438"/>
        <v>47440-0000</v>
      </c>
      <c r="D6994" s="64" t="s">
        <v>8229</v>
      </c>
      <c r="E6994" s="64" t="s">
        <v>3720</v>
      </c>
      <c r="F6994" s="64" t="s">
        <v>230</v>
      </c>
      <c r="G6994" s="64" t="s">
        <v>3717</v>
      </c>
      <c r="H6994" s="64" t="s">
        <v>2871</v>
      </c>
      <c r="I6994" s="64" t="s">
        <v>3721</v>
      </c>
      <c r="J6994" s="67">
        <v>0</v>
      </c>
      <c r="K6994" s="62">
        <v>-418.33</v>
      </c>
      <c r="L6994" s="33" t="e">
        <f>HLOOKUP(B6994,#REF!,1,0)</f>
        <v>#REF!</v>
      </c>
      <c r="M6994" s="33" t="str">
        <f t="shared" si="439"/>
        <v>P&amp;L</v>
      </c>
    </row>
    <row r="6995" spans="1:13" s="33" customFormat="true" ht="12.75" customHeight="true">
      <c r="A6995" s="33" t="str">
        <f t="shared" si="436"/>
        <v>OVA - Revenue</v>
      </c>
      <c r="B6995" s="33" t="str">
        <f t="shared" si="437"/>
        <v>OVA</v>
      </c>
      <c r="C6995" s="33" t="str">
        <f t="shared" si="438"/>
        <v>47450-0000</v>
      </c>
      <c r="D6995" s="64" t="s">
        <v>8230</v>
      </c>
      <c r="E6995" s="64" t="s">
        <v>3723</v>
      </c>
      <c r="F6995" s="64" t="s">
        <v>230</v>
      </c>
      <c r="G6995" s="64" t="s">
        <v>3717</v>
      </c>
      <c r="H6995" s="64" t="s">
        <v>2871</v>
      </c>
      <c r="I6995" s="64" t="s">
        <v>3724</v>
      </c>
      <c r="J6995" s="67">
        <v>-100</v>
      </c>
      <c r="K6995" s="62">
        <v>-400</v>
      </c>
      <c r="L6995" s="33" t="e">
        <f>HLOOKUP(B6995,#REF!,1,0)</f>
        <v>#REF!</v>
      </c>
      <c r="M6995" s="33" t="str">
        <f t="shared" si="439"/>
        <v>P&amp;L</v>
      </c>
    </row>
    <row r="6996" spans="1:13" s="33" customFormat="true" ht="12.75" customHeight="true">
      <c r="A6996" s="33" t="str">
        <f t="shared" si="436"/>
        <v>OVA - Revenue</v>
      </c>
      <c r="B6996" s="33" t="str">
        <f t="shared" si="437"/>
        <v>OVA</v>
      </c>
      <c r="C6996" s="33" t="str">
        <f t="shared" si="438"/>
        <v>47460-0000</v>
      </c>
      <c r="D6996" s="64" t="s">
        <v>8231</v>
      </c>
      <c r="E6996" s="64" t="s">
        <v>3726</v>
      </c>
      <c r="F6996" s="64" t="s">
        <v>230</v>
      </c>
      <c r="G6996" s="64" t="s">
        <v>3717</v>
      </c>
      <c r="H6996" s="64" t="s">
        <v>2871</v>
      </c>
      <c r="I6996" s="64" t="s">
        <v>3727</v>
      </c>
      <c r="J6996" s="67">
        <v>0</v>
      </c>
      <c r="K6996" s="62">
        <v>-149.43</v>
      </c>
      <c r="L6996" s="33" t="e">
        <f>HLOOKUP(B6996,#REF!,1,0)</f>
        <v>#REF!</v>
      </c>
      <c r="M6996" s="33" t="str">
        <f t="shared" si="439"/>
        <v>P&amp;L</v>
      </c>
    </row>
    <row r="6997" spans="1:13" s="33" customFormat="true" ht="12.75" customHeight="true">
      <c r="A6997" s="33" t="str">
        <f t="shared" si="436"/>
        <v>OVA - Revenue</v>
      </c>
      <c r="B6997" s="33" t="str">
        <f t="shared" si="437"/>
        <v>OVA</v>
      </c>
      <c r="C6997" s="33" t="str">
        <f t="shared" si="438"/>
        <v>47480-0000</v>
      </c>
      <c r="D6997" s="64" t="s">
        <v>8232</v>
      </c>
      <c r="E6997" s="64" t="s">
        <v>3729</v>
      </c>
      <c r="F6997" s="64" t="s">
        <v>230</v>
      </c>
      <c r="G6997" s="64" t="s">
        <v>3717</v>
      </c>
      <c r="H6997" s="64" t="s">
        <v>2871</v>
      </c>
      <c r="I6997" s="64" t="s">
        <v>3721</v>
      </c>
      <c r="J6997" s="67">
        <v>0</v>
      </c>
      <c r="K6997" s="62">
        <v>-360</v>
      </c>
      <c r="L6997" s="33" t="e">
        <f>HLOOKUP(B6997,#REF!,1,0)</f>
        <v>#REF!</v>
      </c>
      <c r="M6997" s="33" t="str">
        <f t="shared" si="439"/>
        <v>P&amp;L</v>
      </c>
    </row>
    <row r="6998" spans="1:13" s="33" customFormat="true" ht="12.75" customHeight="true">
      <c r="A6998" s="33" t="str">
        <f t="shared" si="436"/>
        <v>OVA - Revenue</v>
      </c>
      <c r="B6998" s="33" t="str">
        <f t="shared" si="437"/>
        <v>OVA</v>
      </c>
      <c r="C6998" s="33" t="str">
        <f t="shared" si="438"/>
        <v>47492-0000</v>
      </c>
      <c r="D6998" s="64" t="s">
        <v>8233</v>
      </c>
      <c r="E6998" s="64" t="s">
        <v>3736</v>
      </c>
      <c r="F6998" s="64" t="s">
        <v>230</v>
      </c>
      <c r="G6998" s="64" t="s">
        <v>3717</v>
      </c>
      <c r="H6998" s="64" t="s">
        <v>2871</v>
      </c>
      <c r="I6998" s="64" t="s">
        <v>3737</v>
      </c>
      <c r="J6998" s="67">
        <v>-316.61</v>
      </c>
      <c r="K6998" s="62">
        <v>-2453.6</v>
      </c>
      <c r="L6998" s="33" t="e">
        <f>HLOOKUP(B6998,#REF!,1,0)</f>
        <v>#REF!</v>
      </c>
      <c r="M6998" s="33" t="str">
        <f t="shared" si="439"/>
        <v>P&amp;L</v>
      </c>
    </row>
    <row r="6999" spans="1:13" s="33" customFormat="true" ht="12.75" customHeight="true">
      <c r="A6999" s="33" t="str">
        <f t="shared" si="436"/>
        <v>OVA - Revenue</v>
      </c>
      <c r="B6999" s="33" t="str">
        <f t="shared" si="437"/>
        <v>OVA</v>
      </c>
      <c r="C6999" s="33" t="str">
        <f t="shared" si="438"/>
        <v>47495-0000</v>
      </c>
      <c r="D6999" s="64" t="s">
        <v>8234</v>
      </c>
      <c r="E6999" s="64" t="s">
        <v>8235</v>
      </c>
      <c r="F6999" s="64" t="s">
        <v>230</v>
      </c>
      <c r="G6999" s="64" t="s">
        <v>3717</v>
      </c>
      <c r="H6999" s="64" t="s">
        <v>2871</v>
      </c>
      <c r="I6999" s="64" t="s">
        <v>6431</v>
      </c>
      <c r="J6999" s="67">
        <v>0</v>
      </c>
      <c r="K6999" s="62">
        <v>-2461.14</v>
      </c>
      <c r="L6999" s="33" t="e">
        <f>HLOOKUP(B6999,#REF!,1,0)</f>
        <v>#REF!</v>
      </c>
      <c r="M6999" s="33" t="str">
        <f t="shared" si="439"/>
        <v>P&amp;L</v>
      </c>
    </row>
    <row r="7000" spans="1:13" s="33" customFormat="true" ht="12.75" customHeight="true">
      <c r="A7000" s="33" t="str">
        <f t="shared" si="436"/>
        <v>OVA - CGS</v>
      </c>
      <c r="B7000" s="33" t="str">
        <f t="shared" si="437"/>
        <v>OVA</v>
      </c>
      <c r="C7000" s="33" t="str">
        <f t="shared" si="438"/>
        <v>51001-0000</v>
      </c>
      <c r="D7000" s="64" t="s">
        <v>8236</v>
      </c>
      <c r="E7000" s="64" t="s">
        <v>4536</v>
      </c>
      <c r="F7000" s="64" t="s">
        <v>230</v>
      </c>
      <c r="G7000" s="64" t="s">
        <v>3740</v>
      </c>
      <c r="H7000" s="64" t="s">
        <v>1875</v>
      </c>
      <c r="I7000" s="64" t="s">
        <v>4537</v>
      </c>
      <c r="J7000" s="67">
        <v>0</v>
      </c>
      <c r="K7000" s="62">
        <v>136.17</v>
      </c>
      <c r="L7000" s="33" t="e">
        <f>HLOOKUP(B7000,#REF!,1,0)</f>
        <v>#REF!</v>
      </c>
      <c r="M7000" s="33" t="str">
        <f t="shared" si="439"/>
        <v>P&amp;L</v>
      </c>
    </row>
    <row r="7001" spans="1:13" s="33" customFormat="true" ht="12.75" customHeight="true">
      <c r="A7001" s="33" t="str">
        <f t="shared" si="436"/>
        <v>OVA - CGS</v>
      </c>
      <c r="B7001" s="33" t="str">
        <f t="shared" si="437"/>
        <v>OVA</v>
      </c>
      <c r="C7001" s="33" t="str">
        <f t="shared" si="438"/>
        <v>51002-0000</v>
      </c>
      <c r="D7001" s="64" t="s">
        <v>8237</v>
      </c>
      <c r="E7001" s="64" t="s">
        <v>4086</v>
      </c>
      <c r="F7001" s="64" t="s">
        <v>230</v>
      </c>
      <c r="G7001" s="64" t="s">
        <v>3740</v>
      </c>
      <c r="H7001" s="64" t="s">
        <v>1875</v>
      </c>
      <c r="I7001" s="64" t="s">
        <v>4087</v>
      </c>
      <c r="J7001" s="67">
        <v>-500</v>
      </c>
      <c r="K7001" s="62">
        <v>-500</v>
      </c>
      <c r="L7001" s="33" t="e">
        <f>HLOOKUP(B7001,#REF!,1,0)</f>
        <v>#REF!</v>
      </c>
      <c r="M7001" s="33" t="str">
        <f t="shared" si="439"/>
        <v>P&amp;L</v>
      </c>
    </row>
    <row r="7002" spans="1:13" s="33" customFormat="true" ht="12.75" customHeight="true">
      <c r="A7002" s="33" t="str">
        <f t="shared" si="436"/>
        <v>OVA - CGS</v>
      </c>
      <c r="B7002" s="33" t="str">
        <f t="shared" si="437"/>
        <v>OVA</v>
      </c>
      <c r="C7002" s="33" t="str">
        <f t="shared" si="438"/>
        <v>51005-0000</v>
      </c>
      <c r="D7002" s="64" t="s">
        <v>8238</v>
      </c>
      <c r="E7002" s="64" t="s">
        <v>3968</v>
      </c>
      <c r="F7002" s="64" t="s">
        <v>230</v>
      </c>
      <c r="G7002" s="64" t="s">
        <v>3740</v>
      </c>
      <c r="H7002" s="64" t="s">
        <v>1875</v>
      </c>
      <c r="I7002" s="64" t="s">
        <v>3969</v>
      </c>
      <c r="J7002" s="67">
        <v>0</v>
      </c>
      <c r="K7002" s="62">
        <v>136.27</v>
      </c>
      <c r="L7002" s="33" t="e">
        <f>HLOOKUP(B7002,#REF!,1,0)</f>
        <v>#REF!</v>
      </c>
      <c r="M7002" s="33" t="str">
        <f t="shared" si="439"/>
        <v>P&amp;L</v>
      </c>
    </row>
    <row r="7003" spans="1:13" s="33" customFormat="true" ht="12.75" customHeight="true">
      <c r="A7003" s="33" t="str">
        <f t="shared" si="436"/>
        <v>OVA - CGS</v>
      </c>
      <c r="B7003" s="33" t="str">
        <f t="shared" si="437"/>
        <v>OVA</v>
      </c>
      <c r="C7003" s="33" t="str">
        <f t="shared" si="438"/>
        <v>51006-0000</v>
      </c>
      <c r="D7003" s="64" t="s">
        <v>8239</v>
      </c>
      <c r="E7003" s="64" t="s">
        <v>3739</v>
      </c>
      <c r="F7003" s="64" t="s">
        <v>230</v>
      </c>
      <c r="G7003" s="64" t="s">
        <v>3740</v>
      </c>
      <c r="H7003" s="64" t="s">
        <v>1875</v>
      </c>
      <c r="I7003" s="64" t="s">
        <v>3741</v>
      </c>
      <c r="J7003" s="67">
        <v>7.07</v>
      </c>
      <c r="K7003" s="62">
        <v>289.41</v>
      </c>
      <c r="L7003" s="33" t="e">
        <f>HLOOKUP(B7003,#REF!,1,0)</f>
        <v>#REF!</v>
      </c>
      <c r="M7003" s="33" t="str">
        <f t="shared" si="439"/>
        <v>P&amp;L</v>
      </c>
    </row>
    <row r="7004" spans="1:13" s="33" customFormat="true" ht="12.75" customHeight="true">
      <c r="A7004" s="33" t="str">
        <f t="shared" si="436"/>
        <v>OVA - CGS</v>
      </c>
      <c r="B7004" s="33" t="str">
        <f t="shared" si="437"/>
        <v>OVA</v>
      </c>
      <c r="C7004" s="33" t="str">
        <f t="shared" si="438"/>
        <v>51008-0000</v>
      </c>
      <c r="D7004" s="64" t="s">
        <v>8240</v>
      </c>
      <c r="E7004" s="64" t="s">
        <v>3743</v>
      </c>
      <c r="F7004" s="64" t="s">
        <v>230</v>
      </c>
      <c r="G7004" s="64" t="s">
        <v>3740</v>
      </c>
      <c r="H7004" s="64" t="s">
        <v>1875</v>
      </c>
      <c r="I7004" s="64" t="s">
        <v>3744</v>
      </c>
      <c r="J7004" s="67">
        <v>-275</v>
      </c>
      <c r="K7004" s="62">
        <v>3114.82</v>
      </c>
      <c r="L7004" s="33" t="e">
        <f>HLOOKUP(B7004,#REF!,1,0)</f>
        <v>#REF!</v>
      </c>
      <c r="M7004" s="33" t="str">
        <f t="shared" si="439"/>
        <v>P&amp;L</v>
      </c>
    </row>
    <row r="7005" spans="1:13" s="33" customFormat="true" ht="12.75" customHeight="true">
      <c r="A7005" s="33" t="str">
        <f t="shared" si="436"/>
        <v>OVA - CGS</v>
      </c>
      <c r="B7005" s="33" t="str">
        <f t="shared" si="437"/>
        <v>OVA</v>
      </c>
      <c r="C7005" s="33" t="str">
        <f t="shared" si="438"/>
        <v>51009-0000</v>
      </c>
      <c r="D7005" s="64" t="s">
        <v>8241</v>
      </c>
      <c r="E7005" s="64" t="s">
        <v>3746</v>
      </c>
      <c r="F7005" s="64" t="s">
        <v>230</v>
      </c>
      <c r="G7005" s="64" t="s">
        <v>3740</v>
      </c>
      <c r="H7005" s="64" t="s">
        <v>1875</v>
      </c>
      <c r="I7005" s="64" t="s">
        <v>3747</v>
      </c>
      <c r="J7005" s="67">
        <v>364.32</v>
      </c>
      <c r="K7005" s="62">
        <v>2167.44</v>
      </c>
      <c r="L7005" s="33" t="e">
        <f>HLOOKUP(B7005,#REF!,1,0)</f>
        <v>#REF!</v>
      </c>
      <c r="M7005" s="33" t="str">
        <f t="shared" si="439"/>
        <v>P&amp;L</v>
      </c>
    </row>
    <row r="7006" spans="1:13" s="33" customFormat="true" ht="12.75" customHeight="true">
      <c r="A7006" s="33" t="str">
        <f t="shared" si="436"/>
        <v>OVA - CGS</v>
      </c>
      <c r="B7006" s="33" t="str">
        <f t="shared" si="437"/>
        <v>OVA</v>
      </c>
      <c r="C7006" s="33" t="str">
        <f t="shared" si="438"/>
        <v>51011-0000</v>
      </c>
      <c r="D7006" s="64" t="s">
        <v>8242</v>
      </c>
      <c r="E7006" s="64" t="s">
        <v>3749</v>
      </c>
      <c r="F7006" s="64" t="s">
        <v>230</v>
      </c>
      <c r="G7006" s="64" t="s">
        <v>3740</v>
      </c>
      <c r="H7006" s="64" t="s">
        <v>1875</v>
      </c>
      <c r="I7006" s="64" t="s">
        <v>3750</v>
      </c>
      <c r="J7006" s="67">
        <v>0</v>
      </c>
      <c r="K7006" s="62">
        <v>2250</v>
      </c>
      <c r="L7006" s="33" t="e">
        <f>HLOOKUP(B7006,#REF!,1,0)</f>
        <v>#REF!</v>
      </c>
      <c r="M7006" s="33" t="str">
        <f t="shared" si="439"/>
        <v>P&amp;L</v>
      </c>
    </row>
    <row r="7007" spans="1:13" s="33" customFormat="true" ht="12.75" customHeight="true">
      <c r="A7007" s="33" t="str">
        <f t="shared" si="436"/>
        <v>OVA - CGS</v>
      </c>
      <c r="B7007" s="33" t="str">
        <f t="shared" si="437"/>
        <v>OVA</v>
      </c>
      <c r="C7007" s="33" t="str">
        <f t="shared" si="438"/>
        <v>51012-0000</v>
      </c>
      <c r="D7007" s="64" t="s">
        <v>8243</v>
      </c>
      <c r="E7007" s="64" t="s">
        <v>3752</v>
      </c>
      <c r="F7007" s="64" t="s">
        <v>230</v>
      </c>
      <c r="G7007" s="64" t="s">
        <v>3740</v>
      </c>
      <c r="H7007" s="64" t="s">
        <v>1875</v>
      </c>
      <c r="I7007" s="64" t="s">
        <v>3753</v>
      </c>
      <c r="J7007" s="67">
        <v>90</v>
      </c>
      <c r="K7007" s="62">
        <v>900</v>
      </c>
      <c r="L7007" s="33" t="e">
        <f>HLOOKUP(B7007,#REF!,1,0)</f>
        <v>#REF!</v>
      </c>
      <c r="M7007" s="33" t="str">
        <f t="shared" si="439"/>
        <v>P&amp;L</v>
      </c>
    </row>
    <row r="7008" spans="1:13" s="33" customFormat="true" ht="12.75" customHeight="true">
      <c r="A7008" s="33" t="str">
        <f t="shared" si="436"/>
        <v>OVA - CGS</v>
      </c>
      <c r="B7008" s="33" t="str">
        <f t="shared" si="437"/>
        <v>OVA</v>
      </c>
      <c r="C7008" s="33" t="str">
        <f t="shared" si="438"/>
        <v>51013-0000</v>
      </c>
      <c r="D7008" s="64" t="s">
        <v>8244</v>
      </c>
      <c r="E7008" s="64" t="s">
        <v>3979</v>
      </c>
      <c r="F7008" s="64" t="s">
        <v>230</v>
      </c>
      <c r="G7008" s="64" t="s">
        <v>3740</v>
      </c>
      <c r="H7008" s="64" t="s">
        <v>1875</v>
      </c>
      <c r="I7008" s="64" t="s">
        <v>3980</v>
      </c>
      <c r="J7008" s="67">
        <v>0</v>
      </c>
      <c r="K7008" s="62">
        <v>2225</v>
      </c>
      <c r="L7008" s="33" t="e">
        <f>HLOOKUP(B7008,#REF!,1,0)</f>
        <v>#REF!</v>
      </c>
      <c r="M7008" s="33" t="str">
        <f t="shared" si="439"/>
        <v>P&amp;L</v>
      </c>
    </row>
    <row r="7009" spans="1:13" s="33" customFormat="true" ht="12.75" customHeight="true">
      <c r="A7009" s="33" t="str">
        <f t="shared" si="436"/>
        <v>OVA - CGS</v>
      </c>
      <c r="B7009" s="33" t="str">
        <f t="shared" si="437"/>
        <v>OVA</v>
      </c>
      <c r="C7009" s="33" t="str">
        <f t="shared" si="438"/>
        <v>51020-0000</v>
      </c>
      <c r="D7009" s="64" t="s">
        <v>8245</v>
      </c>
      <c r="E7009" s="64" t="s">
        <v>3763</v>
      </c>
      <c r="F7009" s="64" t="s">
        <v>230</v>
      </c>
      <c r="G7009" s="64" t="s">
        <v>3740</v>
      </c>
      <c r="H7009" s="64" t="s">
        <v>1875</v>
      </c>
      <c r="I7009" s="64" t="s">
        <v>3345</v>
      </c>
      <c r="J7009" s="67">
        <v>0</v>
      </c>
      <c r="K7009" s="62">
        <v>172.63</v>
      </c>
      <c r="L7009" s="33" t="e">
        <f>HLOOKUP(B7009,#REF!,1,0)</f>
        <v>#REF!</v>
      </c>
      <c r="M7009" s="33" t="str">
        <f t="shared" si="439"/>
        <v>P&amp;L</v>
      </c>
    </row>
    <row r="7010" spans="1:13" s="33" customFormat="true" ht="12.75" customHeight="true">
      <c r="A7010" s="33" t="str">
        <f t="shared" si="436"/>
        <v>OVA - CGS</v>
      </c>
      <c r="B7010" s="33" t="str">
        <f t="shared" si="437"/>
        <v>OVA</v>
      </c>
      <c r="C7010" s="33" t="str">
        <f t="shared" si="438"/>
        <v>51025-0000</v>
      </c>
      <c r="D7010" s="64" t="s">
        <v>8246</v>
      </c>
      <c r="E7010" s="64" t="s">
        <v>3988</v>
      </c>
      <c r="F7010" s="64" t="s">
        <v>230</v>
      </c>
      <c r="G7010" s="64" t="s">
        <v>3740</v>
      </c>
      <c r="H7010" s="64" t="s">
        <v>1875</v>
      </c>
      <c r="I7010" s="64" t="s">
        <v>3989</v>
      </c>
      <c r="J7010" s="67">
        <v>312.21</v>
      </c>
      <c r="K7010" s="62">
        <v>3172.49</v>
      </c>
      <c r="L7010" s="33" t="e">
        <f>HLOOKUP(B7010,#REF!,1,0)</f>
        <v>#REF!</v>
      </c>
      <c r="M7010" s="33" t="str">
        <f t="shared" si="439"/>
        <v>P&amp;L</v>
      </c>
    </row>
    <row r="7011" spans="1:13" s="33" customFormat="true" ht="12.75" customHeight="true">
      <c r="A7011" s="33" t="str">
        <f t="shared" si="436"/>
        <v>OVA - CGS</v>
      </c>
      <c r="B7011" s="33" t="str">
        <f t="shared" si="437"/>
        <v>OVA</v>
      </c>
      <c r="C7011" s="33" t="str">
        <f t="shared" si="438"/>
        <v>52001-0000</v>
      </c>
      <c r="D7011" s="64" t="s">
        <v>8247</v>
      </c>
      <c r="E7011" s="64" t="s">
        <v>3768</v>
      </c>
      <c r="F7011" s="64" t="s">
        <v>230</v>
      </c>
      <c r="G7011" s="64" t="s">
        <v>3769</v>
      </c>
      <c r="H7011" s="64" t="s">
        <v>1875</v>
      </c>
      <c r="I7011" s="64" t="s">
        <v>3770</v>
      </c>
      <c r="J7011" s="67">
        <v>0</v>
      </c>
      <c r="K7011" s="62">
        <v>140.04</v>
      </c>
      <c r="L7011" s="33" t="e">
        <f>HLOOKUP(B7011,#REF!,1,0)</f>
        <v>#REF!</v>
      </c>
      <c r="M7011" s="33" t="str">
        <f t="shared" si="439"/>
        <v>P&amp;L</v>
      </c>
    </row>
    <row r="7012" spans="1:13" s="33" customFormat="true" ht="12.75" customHeight="true">
      <c r="A7012" s="33" t="str">
        <f t="shared" si="436"/>
        <v>OVA - CGS</v>
      </c>
      <c r="B7012" s="33" t="str">
        <f t="shared" si="437"/>
        <v>OVA</v>
      </c>
      <c r="C7012" s="33" t="str">
        <f t="shared" si="438"/>
        <v>52003-0000</v>
      </c>
      <c r="D7012" s="64" t="s">
        <v>8248</v>
      </c>
      <c r="E7012" s="64" t="s">
        <v>3772</v>
      </c>
      <c r="F7012" s="64" t="s">
        <v>230</v>
      </c>
      <c r="G7012" s="64" t="s">
        <v>3769</v>
      </c>
      <c r="H7012" s="64" t="s">
        <v>1875</v>
      </c>
      <c r="I7012" s="64" t="s">
        <v>3773</v>
      </c>
      <c r="J7012" s="67">
        <v>0</v>
      </c>
      <c r="K7012" s="62">
        <v>380</v>
      </c>
      <c r="L7012" s="33" t="e">
        <f>HLOOKUP(B7012,#REF!,1,0)</f>
        <v>#REF!</v>
      </c>
      <c r="M7012" s="33" t="str">
        <f t="shared" si="439"/>
        <v>P&amp;L</v>
      </c>
    </row>
    <row r="7013" spans="1:13" s="33" customFormat="true" ht="12.75" customHeight="true">
      <c r="A7013" s="33" t="str">
        <f t="shared" si="436"/>
        <v>OVA - CGS</v>
      </c>
      <c r="B7013" s="33" t="str">
        <f t="shared" si="437"/>
        <v>OVA</v>
      </c>
      <c r="C7013" s="33" t="str">
        <f t="shared" si="438"/>
        <v>52004-0000</v>
      </c>
      <c r="D7013" s="64" t="s">
        <v>8249</v>
      </c>
      <c r="E7013" s="64" t="s">
        <v>3775</v>
      </c>
      <c r="F7013" s="64" t="s">
        <v>230</v>
      </c>
      <c r="G7013" s="64" t="s">
        <v>3769</v>
      </c>
      <c r="H7013" s="64" t="s">
        <v>1875</v>
      </c>
      <c r="I7013" s="64" t="s">
        <v>3776</v>
      </c>
      <c r="J7013" s="67">
        <v>0</v>
      </c>
      <c r="K7013" s="62">
        <v>-112</v>
      </c>
      <c r="L7013" s="33" t="e">
        <f>HLOOKUP(B7013,#REF!,1,0)</f>
        <v>#REF!</v>
      </c>
      <c r="M7013" s="33" t="str">
        <f t="shared" si="439"/>
        <v>P&amp;L</v>
      </c>
    </row>
    <row r="7014" spans="1:13" s="33" customFormat="true" ht="12.75" customHeight="true">
      <c r="A7014" s="33" t="str">
        <f t="shared" si="436"/>
        <v>OVA - CGS</v>
      </c>
      <c r="B7014" s="33" t="str">
        <f t="shared" si="437"/>
        <v>OVA</v>
      </c>
      <c r="C7014" s="33" t="str">
        <f t="shared" si="438"/>
        <v>53001-0000</v>
      </c>
      <c r="D7014" s="64" t="s">
        <v>8250</v>
      </c>
      <c r="E7014" s="64" t="s">
        <v>3781</v>
      </c>
      <c r="F7014" s="64" t="s">
        <v>230</v>
      </c>
      <c r="G7014" s="64" t="s">
        <v>3160</v>
      </c>
      <c r="H7014" s="64" t="s">
        <v>1875</v>
      </c>
      <c r="I7014" s="64" t="s">
        <v>3782</v>
      </c>
      <c r="J7014" s="67">
        <v>36.95</v>
      </c>
      <c r="K7014" s="62">
        <v>728.05</v>
      </c>
      <c r="L7014" s="33" t="e">
        <f>HLOOKUP(B7014,#REF!,1,0)</f>
        <v>#REF!</v>
      </c>
      <c r="M7014" s="33" t="str">
        <f t="shared" si="439"/>
        <v>P&amp;L</v>
      </c>
    </row>
    <row r="7015" spans="1:13" s="33" customFormat="true" ht="12.75" customHeight="true">
      <c r="A7015" s="33" t="str">
        <f t="shared" si="436"/>
        <v>OVA - CGS</v>
      </c>
      <c r="B7015" s="33" t="str">
        <f t="shared" si="437"/>
        <v>OVA</v>
      </c>
      <c r="C7015" s="33" t="str">
        <f t="shared" si="438"/>
        <v>53002-0000</v>
      </c>
      <c r="D7015" s="64" t="s">
        <v>8251</v>
      </c>
      <c r="E7015" s="64" t="s">
        <v>3784</v>
      </c>
      <c r="F7015" s="64" t="s">
        <v>230</v>
      </c>
      <c r="G7015" s="64" t="s">
        <v>3160</v>
      </c>
      <c r="H7015" s="64" t="s">
        <v>1875</v>
      </c>
      <c r="I7015" s="64" t="s">
        <v>3785</v>
      </c>
      <c r="J7015" s="67">
        <v>836.24</v>
      </c>
      <c r="K7015" s="62">
        <v>7636.76</v>
      </c>
      <c r="L7015" s="33" t="e">
        <f>HLOOKUP(B7015,#REF!,1,0)</f>
        <v>#REF!</v>
      </c>
      <c r="M7015" s="33" t="str">
        <f t="shared" si="439"/>
        <v>P&amp;L</v>
      </c>
    </row>
    <row r="7016" spans="1:13" s="33" customFormat="true" ht="12.75" customHeight="true">
      <c r="A7016" s="33" t="str">
        <f t="shared" si="436"/>
        <v>OVA - CGS</v>
      </c>
      <c r="B7016" s="33" t="str">
        <f t="shared" si="437"/>
        <v>OVA</v>
      </c>
      <c r="C7016" s="33" t="str">
        <f t="shared" si="438"/>
        <v>53003-0000</v>
      </c>
      <c r="D7016" s="64" t="s">
        <v>8252</v>
      </c>
      <c r="E7016" s="64" t="s">
        <v>3787</v>
      </c>
      <c r="F7016" s="64" t="s">
        <v>230</v>
      </c>
      <c r="G7016" s="64" t="s">
        <v>3160</v>
      </c>
      <c r="H7016" s="64" t="s">
        <v>1875</v>
      </c>
      <c r="I7016" s="64" t="s">
        <v>3788</v>
      </c>
      <c r="J7016" s="67">
        <v>694.96</v>
      </c>
      <c r="K7016" s="62">
        <v>6295.8</v>
      </c>
      <c r="L7016" s="33" t="e">
        <f>HLOOKUP(B7016,#REF!,1,0)</f>
        <v>#REF!</v>
      </c>
      <c r="M7016" s="33" t="str">
        <f t="shared" si="439"/>
        <v>P&amp;L</v>
      </c>
    </row>
    <row r="7017" spans="1:13" s="33" customFormat="true" ht="12.75" customHeight="true">
      <c r="A7017" s="33" t="str">
        <f t="shared" si="436"/>
        <v>OVA - CGS</v>
      </c>
      <c r="B7017" s="33" t="str">
        <f t="shared" si="437"/>
        <v>OVA</v>
      </c>
      <c r="C7017" s="33" t="str">
        <f t="shared" si="438"/>
        <v>53004-0000</v>
      </c>
      <c r="D7017" s="64" t="s">
        <v>8253</v>
      </c>
      <c r="E7017" s="64" t="s">
        <v>3790</v>
      </c>
      <c r="F7017" s="64" t="s">
        <v>230</v>
      </c>
      <c r="G7017" s="64" t="s">
        <v>3160</v>
      </c>
      <c r="H7017" s="64" t="s">
        <v>1875</v>
      </c>
      <c r="I7017" s="64" t="s">
        <v>3791</v>
      </c>
      <c r="J7017" s="67">
        <v>808.01</v>
      </c>
      <c r="K7017" s="62">
        <v>7088.32</v>
      </c>
      <c r="L7017" s="33" t="e">
        <f>HLOOKUP(B7017,#REF!,1,0)</f>
        <v>#REF!</v>
      </c>
      <c r="M7017" s="33" t="str">
        <f t="shared" si="439"/>
        <v>P&amp;L</v>
      </c>
    </row>
    <row r="7018" spans="1:13" s="33" customFormat="true" ht="12.75" customHeight="true">
      <c r="A7018" s="33" t="str">
        <f t="shared" si="436"/>
        <v>OVA - CGS</v>
      </c>
      <c r="B7018" s="33" t="str">
        <f t="shared" si="437"/>
        <v>OVA</v>
      </c>
      <c r="C7018" s="33" t="str">
        <f t="shared" si="438"/>
        <v>53005-0000</v>
      </c>
      <c r="D7018" s="64" t="s">
        <v>8254</v>
      </c>
      <c r="E7018" s="64" t="s">
        <v>3793</v>
      </c>
      <c r="F7018" s="64" t="s">
        <v>230</v>
      </c>
      <c r="G7018" s="64" t="s">
        <v>3160</v>
      </c>
      <c r="H7018" s="64" t="s">
        <v>1875</v>
      </c>
      <c r="I7018" s="64" t="s">
        <v>3794</v>
      </c>
      <c r="J7018" s="67">
        <v>629.96</v>
      </c>
      <c r="K7018" s="62">
        <v>10257.37</v>
      </c>
      <c r="L7018" s="33" t="e">
        <f>HLOOKUP(B7018,#REF!,1,0)</f>
        <v>#REF!</v>
      </c>
      <c r="M7018" s="33" t="str">
        <f t="shared" si="439"/>
        <v>P&amp;L</v>
      </c>
    </row>
    <row r="7019" spans="1:13" s="33" customFormat="true" ht="12.75" customHeight="true">
      <c r="A7019" s="33" t="str">
        <f t="shared" si="436"/>
        <v>OVA - CGS</v>
      </c>
      <c r="B7019" s="33" t="str">
        <f t="shared" si="437"/>
        <v>OVA</v>
      </c>
      <c r="C7019" s="33" t="str">
        <f t="shared" si="438"/>
        <v>53006-0000</v>
      </c>
      <c r="D7019" s="64" t="s">
        <v>8255</v>
      </c>
      <c r="E7019" s="64" t="s">
        <v>3796</v>
      </c>
      <c r="F7019" s="64" t="s">
        <v>230</v>
      </c>
      <c r="G7019" s="64" t="s">
        <v>3160</v>
      </c>
      <c r="H7019" s="64" t="s">
        <v>1875</v>
      </c>
      <c r="I7019" s="64" t="s">
        <v>3797</v>
      </c>
      <c r="J7019" s="67">
        <v>849.53</v>
      </c>
      <c r="K7019" s="62">
        <v>15022.6</v>
      </c>
      <c r="L7019" s="33" t="e">
        <f>HLOOKUP(B7019,#REF!,1,0)</f>
        <v>#REF!</v>
      </c>
      <c r="M7019" s="33" t="str">
        <f t="shared" si="439"/>
        <v>P&amp;L</v>
      </c>
    </row>
    <row r="7020" spans="1:13" s="33" customFormat="true" ht="12.75" customHeight="true">
      <c r="A7020" s="33" t="str">
        <f t="shared" si="436"/>
        <v>OVA - CGS</v>
      </c>
      <c r="B7020" s="33" t="str">
        <f t="shared" si="437"/>
        <v>OVA</v>
      </c>
      <c r="C7020" s="33" t="str">
        <f t="shared" si="438"/>
        <v>54002-0000</v>
      </c>
      <c r="D7020" s="64" t="s">
        <v>8256</v>
      </c>
      <c r="E7020" s="64" t="s">
        <v>3799</v>
      </c>
      <c r="F7020" s="64" t="s">
        <v>230</v>
      </c>
      <c r="G7020" s="64" t="s">
        <v>3800</v>
      </c>
      <c r="H7020" s="64" t="s">
        <v>1875</v>
      </c>
      <c r="I7020" s="64" t="s">
        <v>3801</v>
      </c>
      <c r="J7020" s="67">
        <v>0</v>
      </c>
      <c r="K7020" s="62">
        <v>264</v>
      </c>
      <c r="L7020" s="33" t="e">
        <f>HLOOKUP(B7020,#REF!,1,0)</f>
        <v>#REF!</v>
      </c>
      <c r="M7020" s="33" t="str">
        <f t="shared" si="439"/>
        <v>P&amp;L</v>
      </c>
    </row>
    <row r="7021" spans="1:13" s="33" customFormat="true" ht="12.75" customHeight="true">
      <c r="A7021" s="33" t="str">
        <f t="shared" si="436"/>
        <v>OVA - CGS</v>
      </c>
      <c r="B7021" s="33" t="str">
        <f t="shared" si="437"/>
        <v>OVA</v>
      </c>
      <c r="C7021" s="33" t="str">
        <f t="shared" si="438"/>
        <v>54003-0000</v>
      </c>
      <c r="D7021" s="64" t="s">
        <v>8257</v>
      </c>
      <c r="E7021" s="64" t="s">
        <v>3803</v>
      </c>
      <c r="F7021" s="64" t="s">
        <v>230</v>
      </c>
      <c r="G7021" s="64" t="s">
        <v>3800</v>
      </c>
      <c r="H7021" s="64" t="s">
        <v>1875</v>
      </c>
      <c r="I7021" s="64" t="s">
        <v>3804</v>
      </c>
      <c r="J7021" s="67">
        <v>0</v>
      </c>
      <c r="K7021" s="62">
        <v>0</v>
      </c>
      <c r="L7021" s="33" t="e">
        <f>HLOOKUP(B7021,#REF!,1,0)</f>
        <v>#REF!</v>
      </c>
      <c r="M7021" s="33" t="str">
        <f t="shared" si="439"/>
        <v>P&amp;L</v>
      </c>
    </row>
    <row r="7022" spans="1:13" s="33" customFormat="true" ht="12.75" customHeight="true">
      <c r="A7022" s="33" t="str">
        <f t="shared" si="436"/>
        <v>OVA - CGS</v>
      </c>
      <c r="B7022" s="33" t="str">
        <f t="shared" si="437"/>
        <v>OVA</v>
      </c>
      <c r="C7022" s="33" t="str">
        <f t="shared" si="438"/>
        <v>54004-0000</v>
      </c>
      <c r="D7022" s="64" t="s">
        <v>8258</v>
      </c>
      <c r="E7022" s="64" t="s">
        <v>3806</v>
      </c>
      <c r="F7022" s="64" t="s">
        <v>230</v>
      </c>
      <c r="G7022" s="64" t="s">
        <v>3800</v>
      </c>
      <c r="H7022" s="64" t="s">
        <v>1875</v>
      </c>
      <c r="I7022" s="64" t="s">
        <v>3807</v>
      </c>
      <c r="J7022" s="67">
        <v>0</v>
      </c>
      <c r="K7022" s="62">
        <v>6614.43</v>
      </c>
      <c r="L7022" s="33" t="e">
        <f>HLOOKUP(B7022,#REF!,1,0)</f>
        <v>#REF!</v>
      </c>
      <c r="M7022" s="33" t="str">
        <f t="shared" si="439"/>
        <v>P&amp;L</v>
      </c>
    </row>
    <row r="7023" spans="1:13" s="33" customFormat="true" ht="12.75" customHeight="true">
      <c r="A7023" s="33" t="str">
        <f t="shared" si="436"/>
        <v>OVA - CGS</v>
      </c>
      <c r="B7023" s="33" t="str">
        <f t="shared" si="437"/>
        <v>OVA</v>
      </c>
      <c r="C7023" s="33" t="str">
        <f t="shared" si="438"/>
        <v>54005-0000</v>
      </c>
      <c r="D7023" s="64" t="s">
        <v>8259</v>
      </c>
      <c r="E7023" s="64" t="s">
        <v>3809</v>
      </c>
      <c r="F7023" s="64" t="s">
        <v>230</v>
      </c>
      <c r="G7023" s="64" t="s">
        <v>3800</v>
      </c>
      <c r="H7023" s="64" t="s">
        <v>1875</v>
      </c>
      <c r="I7023" s="64" t="s">
        <v>3810</v>
      </c>
      <c r="J7023" s="67">
        <v>0</v>
      </c>
      <c r="K7023" s="62">
        <v>84.42</v>
      </c>
      <c r="L7023" s="33" t="e">
        <f>HLOOKUP(B7023,#REF!,1,0)</f>
        <v>#REF!</v>
      </c>
      <c r="M7023" s="33" t="str">
        <f t="shared" si="439"/>
        <v>P&amp;L</v>
      </c>
    </row>
    <row r="7024" spans="1:13" s="33" customFormat="true" ht="12.75" customHeight="true">
      <c r="A7024" s="33" t="str">
        <f t="shared" si="436"/>
        <v>OVA - CGS</v>
      </c>
      <c r="B7024" s="33" t="str">
        <f t="shared" si="437"/>
        <v>OVA</v>
      </c>
      <c r="C7024" s="33" t="str">
        <f t="shared" si="438"/>
        <v>54006-0000</v>
      </c>
      <c r="D7024" s="64" t="s">
        <v>8260</v>
      </c>
      <c r="E7024" s="64" t="s">
        <v>3812</v>
      </c>
      <c r="F7024" s="64" t="s">
        <v>230</v>
      </c>
      <c r="G7024" s="64" t="s">
        <v>3800</v>
      </c>
      <c r="H7024" s="64" t="s">
        <v>1875</v>
      </c>
      <c r="I7024" s="64" t="s">
        <v>3003</v>
      </c>
      <c r="J7024" s="67">
        <v>0</v>
      </c>
      <c r="K7024" s="62">
        <v>744.52</v>
      </c>
      <c r="L7024" s="33" t="e">
        <f>HLOOKUP(B7024,#REF!,1,0)</f>
        <v>#REF!</v>
      </c>
      <c r="M7024" s="33" t="str">
        <f t="shared" si="439"/>
        <v>P&amp;L</v>
      </c>
    </row>
    <row r="7025" spans="1:13" s="33" customFormat="true" ht="12.75" customHeight="true">
      <c r="A7025" s="33" t="str">
        <f t="shared" si="436"/>
        <v>OVA - CGS</v>
      </c>
      <c r="B7025" s="33" t="str">
        <f t="shared" si="437"/>
        <v>OVA</v>
      </c>
      <c r="C7025" s="33" t="str">
        <f t="shared" si="438"/>
        <v>54007-0000</v>
      </c>
      <c r="D7025" s="64" t="s">
        <v>8261</v>
      </c>
      <c r="E7025" s="64" t="s">
        <v>4182</v>
      </c>
      <c r="F7025" s="64" t="s">
        <v>230</v>
      </c>
      <c r="G7025" s="64" t="s">
        <v>3800</v>
      </c>
      <c r="H7025" s="64" t="s">
        <v>1875</v>
      </c>
      <c r="I7025" s="64" t="s">
        <v>3815</v>
      </c>
      <c r="J7025" s="67">
        <v>114</v>
      </c>
      <c r="K7025" s="62">
        <v>2165.05</v>
      </c>
      <c r="L7025" s="33" t="e">
        <f>HLOOKUP(B7025,#REF!,1,0)</f>
        <v>#REF!</v>
      </c>
      <c r="M7025" s="33" t="str">
        <f t="shared" si="439"/>
        <v>P&amp;L</v>
      </c>
    </row>
    <row r="7026" spans="1:13" s="33" customFormat="true" ht="12.75" customHeight="true">
      <c r="A7026" s="33" t="str">
        <f t="shared" si="436"/>
        <v>OVA - PM Expenses</v>
      </c>
      <c r="B7026" s="33" t="str">
        <f t="shared" si="437"/>
        <v>OVA</v>
      </c>
      <c r="C7026" s="33" t="str">
        <f t="shared" si="438"/>
        <v>55501-0000</v>
      </c>
      <c r="D7026" s="64" t="s">
        <v>8262</v>
      </c>
      <c r="E7026" s="64" t="s">
        <v>3817</v>
      </c>
      <c r="F7026" s="64" t="s">
        <v>230</v>
      </c>
      <c r="G7026" s="64" t="s">
        <v>3818</v>
      </c>
      <c r="H7026" s="64" t="s">
        <v>3819</v>
      </c>
      <c r="I7026" s="64" t="s">
        <v>3820</v>
      </c>
      <c r="J7026" s="67">
        <v>0</v>
      </c>
      <c r="K7026" s="62">
        <v>545.29</v>
      </c>
      <c r="L7026" s="33" t="e">
        <f>HLOOKUP(B7026,#REF!,1,0)</f>
        <v>#REF!</v>
      </c>
      <c r="M7026" s="33" t="str">
        <f t="shared" si="439"/>
        <v>P&amp;L</v>
      </c>
    </row>
    <row r="7027" spans="1:13" s="33" customFormat="true" ht="12.75" customHeight="true">
      <c r="A7027" s="33" t="str">
        <f t="shared" si="436"/>
        <v>OVA - PM Expenses</v>
      </c>
      <c r="B7027" s="33" t="str">
        <f t="shared" si="437"/>
        <v>OVA</v>
      </c>
      <c r="C7027" s="33" t="str">
        <f t="shared" si="438"/>
        <v>55502-0000</v>
      </c>
      <c r="D7027" s="64" t="s">
        <v>8263</v>
      </c>
      <c r="E7027" s="64" t="s">
        <v>3822</v>
      </c>
      <c r="F7027" s="64" t="s">
        <v>230</v>
      </c>
      <c r="G7027" s="64" t="s">
        <v>3818</v>
      </c>
      <c r="H7027" s="64" t="s">
        <v>3819</v>
      </c>
      <c r="I7027" s="64" t="s">
        <v>3823</v>
      </c>
      <c r="J7027" s="67">
        <v>0</v>
      </c>
      <c r="K7027" s="62">
        <v>1326.16</v>
      </c>
      <c r="L7027" s="33" t="e">
        <f>HLOOKUP(B7027,#REF!,1,0)</f>
        <v>#REF!</v>
      </c>
      <c r="M7027" s="33" t="str">
        <f t="shared" si="439"/>
        <v>P&amp;L</v>
      </c>
    </row>
    <row r="7028" spans="1:13" s="33" customFormat="true" ht="12.75" customHeight="true">
      <c r="A7028" s="33" t="str">
        <f t="shared" si="436"/>
        <v>OVA - PM Expenses</v>
      </c>
      <c r="B7028" s="33" t="str">
        <f t="shared" si="437"/>
        <v>OVA</v>
      </c>
      <c r="C7028" s="33" t="str">
        <f t="shared" si="438"/>
        <v>55503-0000</v>
      </c>
      <c r="D7028" s="64" t="s">
        <v>8264</v>
      </c>
      <c r="E7028" s="64" t="s">
        <v>3825</v>
      </c>
      <c r="F7028" s="64" t="s">
        <v>230</v>
      </c>
      <c r="G7028" s="64" t="s">
        <v>3818</v>
      </c>
      <c r="H7028" s="64" t="s">
        <v>3819</v>
      </c>
      <c r="I7028" s="64" t="s">
        <v>3826</v>
      </c>
      <c r="J7028" s="67">
        <v>0</v>
      </c>
      <c r="K7028" s="62">
        <v>3040.1</v>
      </c>
      <c r="L7028" s="33" t="e">
        <f>HLOOKUP(B7028,#REF!,1,0)</f>
        <v>#REF!</v>
      </c>
      <c r="M7028" s="33" t="str">
        <f t="shared" si="439"/>
        <v>P&amp;L</v>
      </c>
    </row>
    <row r="7029" spans="1:13" s="33" customFormat="true" ht="12.75" customHeight="true">
      <c r="A7029" s="33" t="str">
        <f t="shared" si="436"/>
        <v>OVA - PM Expenses</v>
      </c>
      <c r="B7029" s="33" t="str">
        <f t="shared" si="437"/>
        <v>OVA</v>
      </c>
      <c r="C7029" s="33" t="str">
        <f t="shared" si="438"/>
        <v>55505-0000</v>
      </c>
      <c r="D7029" s="64" t="s">
        <v>8265</v>
      </c>
      <c r="E7029" s="64" t="s">
        <v>3828</v>
      </c>
      <c r="F7029" s="64" t="s">
        <v>230</v>
      </c>
      <c r="G7029" s="64" t="s">
        <v>3818</v>
      </c>
      <c r="H7029" s="64" t="s">
        <v>3819</v>
      </c>
      <c r="I7029" s="64" t="s">
        <v>3829</v>
      </c>
      <c r="J7029" s="67">
        <v>342.5</v>
      </c>
      <c r="K7029" s="62">
        <v>3718.47</v>
      </c>
      <c r="L7029" s="33" t="e">
        <f>HLOOKUP(B7029,#REF!,1,0)</f>
        <v>#REF!</v>
      </c>
      <c r="M7029" s="33" t="str">
        <f t="shared" si="439"/>
        <v>P&amp;L</v>
      </c>
    </row>
    <row r="7030" spans="1:13" s="33" customFormat="true" ht="12.75" customHeight="true">
      <c r="A7030" s="33" t="str">
        <f t="shared" si="436"/>
        <v>OVA - PM Expenses</v>
      </c>
      <c r="B7030" s="33" t="str">
        <f t="shared" si="437"/>
        <v>OVA</v>
      </c>
      <c r="C7030" s="33" t="str">
        <f t="shared" si="438"/>
        <v>55506-0000</v>
      </c>
      <c r="D7030" s="64" t="s">
        <v>8266</v>
      </c>
      <c r="E7030" s="64" t="s">
        <v>3831</v>
      </c>
      <c r="F7030" s="64" t="s">
        <v>230</v>
      </c>
      <c r="G7030" s="64" t="s">
        <v>3818</v>
      </c>
      <c r="H7030" s="64" t="s">
        <v>3819</v>
      </c>
      <c r="I7030" s="64" t="s">
        <v>3832</v>
      </c>
      <c r="J7030" s="67">
        <v>-1331.46</v>
      </c>
      <c r="K7030" s="62">
        <v>6722.92</v>
      </c>
      <c r="L7030" s="33" t="e">
        <f>HLOOKUP(B7030,#REF!,1,0)</f>
        <v>#REF!</v>
      </c>
      <c r="M7030" s="33" t="str">
        <f t="shared" si="439"/>
        <v>P&amp;L</v>
      </c>
    </row>
    <row r="7031" spans="1:13" s="33" customFormat="true" ht="12.75" customHeight="true">
      <c r="A7031" s="33" t="str">
        <f t="shared" si="436"/>
        <v>OVA - PM Expenses</v>
      </c>
      <c r="B7031" s="33" t="str">
        <f t="shared" si="437"/>
        <v>OVA</v>
      </c>
      <c r="C7031" s="33" t="str">
        <f t="shared" si="438"/>
        <v>55507-0000</v>
      </c>
      <c r="D7031" s="64" t="s">
        <v>8267</v>
      </c>
      <c r="E7031" s="64" t="s">
        <v>3834</v>
      </c>
      <c r="F7031" s="64" t="s">
        <v>230</v>
      </c>
      <c r="G7031" s="64" t="s">
        <v>3818</v>
      </c>
      <c r="H7031" s="64" t="s">
        <v>3819</v>
      </c>
      <c r="I7031" s="64" t="s">
        <v>3835</v>
      </c>
      <c r="J7031" s="67">
        <v>0</v>
      </c>
      <c r="K7031" s="62">
        <v>495.7</v>
      </c>
      <c r="L7031" s="33" t="e">
        <f>HLOOKUP(B7031,#REF!,1,0)</f>
        <v>#REF!</v>
      </c>
      <c r="M7031" s="33" t="str">
        <f t="shared" si="439"/>
        <v>P&amp;L</v>
      </c>
    </row>
    <row r="7032" spans="1:13" s="33" customFormat="true" ht="12.75" customHeight="true">
      <c r="A7032" s="33" t="str">
        <f t="shared" si="436"/>
        <v>OVA - CGS</v>
      </c>
      <c r="B7032" s="33" t="str">
        <f t="shared" si="437"/>
        <v>OVA</v>
      </c>
      <c r="C7032" s="33" t="str">
        <f t="shared" si="438"/>
        <v>60001-0000</v>
      </c>
      <c r="D7032" s="64" t="s">
        <v>8268</v>
      </c>
      <c r="E7032" s="64" t="s">
        <v>4192</v>
      </c>
      <c r="F7032" s="64" t="s">
        <v>230</v>
      </c>
      <c r="G7032" s="64" t="s">
        <v>3838</v>
      </c>
      <c r="H7032" s="64" t="s">
        <v>1875</v>
      </c>
      <c r="I7032" s="64" t="s">
        <v>4193</v>
      </c>
      <c r="J7032" s="67">
        <v>0</v>
      </c>
      <c r="K7032" s="62">
        <v>4267.6</v>
      </c>
      <c r="L7032" s="33" t="e">
        <f>HLOOKUP(B7032,#REF!,1,0)</f>
        <v>#REF!</v>
      </c>
      <c r="M7032" s="33" t="str">
        <f t="shared" si="439"/>
        <v>P&amp;L</v>
      </c>
    </row>
    <row r="7033" spans="1:13" s="33" customFormat="true" ht="12.75" customHeight="true">
      <c r="A7033" s="33" t="str">
        <f t="shared" si="436"/>
        <v>OVA - CGS</v>
      </c>
      <c r="B7033" s="33" t="str">
        <f t="shared" si="437"/>
        <v>OVA</v>
      </c>
      <c r="C7033" s="33" t="str">
        <f t="shared" si="438"/>
        <v>60002-0000</v>
      </c>
      <c r="D7033" s="64" t="s">
        <v>8269</v>
      </c>
      <c r="E7033" s="64" t="s">
        <v>3837</v>
      </c>
      <c r="F7033" s="64" t="s">
        <v>230</v>
      </c>
      <c r="G7033" s="64" t="s">
        <v>3838</v>
      </c>
      <c r="H7033" s="64" t="s">
        <v>1875</v>
      </c>
      <c r="I7033" s="64" t="s">
        <v>3839</v>
      </c>
      <c r="J7033" s="67">
        <v>63.44</v>
      </c>
      <c r="K7033" s="62">
        <v>769.95</v>
      </c>
      <c r="L7033" s="33" t="e">
        <f>HLOOKUP(B7033,#REF!,1,0)</f>
        <v>#REF!</v>
      </c>
      <c r="M7033" s="33" t="str">
        <f t="shared" si="439"/>
        <v>P&amp;L</v>
      </c>
    </row>
    <row r="7034" spans="1:13" s="33" customFormat="true" ht="12.75" customHeight="true">
      <c r="A7034" s="33" t="str">
        <f t="shared" si="436"/>
        <v>OVA - CGS</v>
      </c>
      <c r="B7034" s="33" t="str">
        <f t="shared" si="437"/>
        <v>OVA</v>
      </c>
      <c r="C7034" s="33" t="str">
        <f t="shared" si="438"/>
        <v>60005-0000</v>
      </c>
      <c r="D7034" s="64" t="s">
        <v>8270</v>
      </c>
      <c r="E7034" s="64" t="s">
        <v>3841</v>
      </c>
      <c r="F7034" s="64" t="s">
        <v>230</v>
      </c>
      <c r="G7034" s="64" t="s">
        <v>3838</v>
      </c>
      <c r="H7034" s="64" t="s">
        <v>1875</v>
      </c>
      <c r="I7034" s="64" t="s">
        <v>3842</v>
      </c>
      <c r="J7034" s="67">
        <v>0</v>
      </c>
      <c r="K7034" s="62">
        <v>21941.03</v>
      </c>
      <c r="L7034" s="33" t="e">
        <f>HLOOKUP(B7034,#REF!,1,0)</f>
        <v>#REF!</v>
      </c>
      <c r="M7034" s="33" t="str">
        <f t="shared" si="439"/>
        <v>P&amp;L</v>
      </c>
    </row>
    <row r="7035" spans="1:13" s="33" customFormat="true" ht="12.75" customHeight="true">
      <c r="A7035" s="33" t="str">
        <f t="shared" si="436"/>
        <v>OVA - Interest Expense</v>
      </c>
      <c r="B7035" s="33" t="str">
        <f t="shared" si="437"/>
        <v>OVA</v>
      </c>
      <c r="C7035" s="33" t="str">
        <f t="shared" si="438"/>
        <v>60006-0000</v>
      </c>
      <c r="D7035" s="64" t="s">
        <v>8271</v>
      </c>
      <c r="E7035" s="64" t="s">
        <v>3325</v>
      </c>
      <c r="F7035" s="64" t="s">
        <v>230</v>
      </c>
      <c r="G7035" s="64" t="s">
        <v>3844</v>
      </c>
      <c r="H7035" s="64" t="s">
        <v>3327</v>
      </c>
      <c r="I7035" s="64" t="s">
        <v>3328</v>
      </c>
      <c r="J7035" s="67">
        <v>9364.31</v>
      </c>
      <c r="K7035" s="62">
        <v>94451.36</v>
      </c>
      <c r="L7035" s="33" t="e">
        <f>HLOOKUP(B7035,#REF!,1,0)</f>
        <v>#REF!</v>
      </c>
      <c r="M7035" s="33" t="str">
        <f t="shared" si="439"/>
        <v>P&amp;L</v>
      </c>
    </row>
    <row r="7036" spans="1:13" s="33" customFormat="true" ht="12.75" customHeight="true">
      <c r="A7036" s="33" t="str">
        <f t="shared" si="436"/>
        <v>OVA - CGS</v>
      </c>
      <c r="B7036" s="33" t="str">
        <f t="shared" si="437"/>
        <v>OVA</v>
      </c>
      <c r="C7036" s="33" t="str">
        <f t="shared" si="438"/>
        <v>60007-0000</v>
      </c>
      <c r="D7036" s="64" t="s">
        <v>8272</v>
      </c>
      <c r="E7036" s="64" t="s">
        <v>3846</v>
      </c>
      <c r="F7036" s="64" t="s">
        <v>230</v>
      </c>
      <c r="G7036" s="64" t="s">
        <v>3838</v>
      </c>
      <c r="H7036" s="64" t="s">
        <v>1875</v>
      </c>
      <c r="I7036" s="64" t="s">
        <v>3847</v>
      </c>
      <c r="J7036" s="67">
        <v>0</v>
      </c>
      <c r="K7036" s="62">
        <v>50801</v>
      </c>
      <c r="L7036" s="33" t="e">
        <f>HLOOKUP(B7036,#REF!,1,0)</f>
        <v>#REF!</v>
      </c>
      <c r="M7036" s="33" t="str">
        <f t="shared" si="439"/>
        <v>P&amp;L</v>
      </c>
    </row>
    <row r="7037" spans="1:13" s="33" customFormat="true" ht="12.75" customHeight="true">
      <c r="A7037" s="33" t="str">
        <f t="shared" si="436"/>
        <v>OVA - CGS</v>
      </c>
      <c r="B7037" s="33" t="str">
        <f t="shared" si="437"/>
        <v>OVA</v>
      </c>
      <c r="C7037" s="33" t="str">
        <f t="shared" si="438"/>
        <v>60008-0000</v>
      </c>
      <c r="D7037" s="64" t="s">
        <v>8273</v>
      </c>
      <c r="E7037" s="64" t="s">
        <v>3849</v>
      </c>
      <c r="F7037" s="64" t="s">
        <v>230</v>
      </c>
      <c r="G7037" s="64" t="s">
        <v>3838</v>
      </c>
      <c r="H7037" s="64" t="s">
        <v>1875</v>
      </c>
      <c r="I7037" s="64" t="s">
        <v>3850</v>
      </c>
      <c r="J7037" s="67">
        <v>1195</v>
      </c>
      <c r="K7037" s="62">
        <v>1195</v>
      </c>
      <c r="L7037" s="33" t="e">
        <f>HLOOKUP(B7037,#REF!,1,0)</f>
        <v>#REF!</v>
      </c>
      <c r="M7037" s="33" t="str">
        <f t="shared" si="439"/>
        <v>P&amp;L</v>
      </c>
    </row>
    <row r="7038" spans="1:13" s="33" customFormat="true" ht="12.75" customHeight="true">
      <c r="A7038" s="33" t="str">
        <f t="shared" si="436"/>
        <v>OVA - CGS</v>
      </c>
      <c r="B7038" s="33" t="str">
        <f t="shared" si="437"/>
        <v>OVA</v>
      </c>
      <c r="C7038" s="33" t="str">
        <f t="shared" si="438"/>
        <v>60011-0000</v>
      </c>
      <c r="D7038" s="64" t="s">
        <v>8274</v>
      </c>
      <c r="E7038" s="64" t="s">
        <v>4199</v>
      </c>
      <c r="F7038" s="64" t="s">
        <v>230</v>
      </c>
      <c r="G7038" s="64" t="s">
        <v>3838</v>
      </c>
      <c r="H7038" s="64" t="s">
        <v>1875</v>
      </c>
      <c r="I7038" s="64" t="s">
        <v>4200</v>
      </c>
      <c r="J7038" s="67">
        <v>0</v>
      </c>
      <c r="K7038" s="62">
        <v>2378.35</v>
      </c>
      <c r="L7038" s="33" t="e">
        <f>HLOOKUP(B7038,#REF!,1,0)</f>
        <v>#REF!</v>
      </c>
      <c r="M7038" s="33" t="str">
        <f t="shared" si="439"/>
        <v>P&amp;L</v>
      </c>
    </row>
    <row r="7039" spans="1:13" s="33" customFormat="true" ht="12.75" customHeight="true">
      <c r="A7039" s="33" t="str">
        <f t="shared" si="436"/>
        <v>OVA - CGS</v>
      </c>
      <c r="B7039" s="33" t="str">
        <f t="shared" si="437"/>
        <v>OVA</v>
      </c>
      <c r="C7039" s="33" t="str">
        <f t="shared" si="438"/>
        <v>60012-0000</v>
      </c>
      <c r="D7039" s="64" t="s">
        <v>8275</v>
      </c>
      <c r="E7039" s="64" t="s">
        <v>3852</v>
      </c>
      <c r="F7039" s="64" t="s">
        <v>230</v>
      </c>
      <c r="G7039" s="64" t="s">
        <v>3838</v>
      </c>
      <c r="H7039" s="64" t="s">
        <v>1875</v>
      </c>
      <c r="I7039" s="64" t="s">
        <v>3853</v>
      </c>
      <c r="J7039" s="67">
        <v>0</v>
      </c>
      <c r="K7039" s="62">
        <v>35704.03</v>
      </c>
      <c r="L7039" s="33" t="e">
        <f>HLOOKUP(B7039,#REF!,1,0)</f>
        <v>#REF!</v>
      </c>
      <c r="M7039" s="33" t="str">
        <f t="shared" si="439"/>
        <v>P&amp;L</v>
      </c>
    </row>
    <row r="7040" spans="1:13" s="33" customFormat="true" ht="12.75" customHeight="true">
      <c r="A7040" s="33" t="str">
        <f t="shared" si="436"/>
        <v>OVA - CGS</v>
      </c>
      <c r="B7040" s="33" t="str">
        <f t="shared" si="437"/>
        <v>OVA</v>
      </c>
      <c r="C7040" s="33" t="str">
        <f t="shared" si="438"/>
        <v>60014-0000</v>
      </c>
      <c r="D7040" s="64" t="s">
        <v>8276</v>
      </c>
      <c r="E7040" s="64" t="s">
        <v>3855</v>
      </c>
      <c r="F7040" s="64" t="s">
        <v>230</v>
      </c>
      <c r="G7040" s="64" t="s">
        <v>3838</v>
      </c>
      <c r="H7040" s="64" t="s">
        <v>1875</v>
      </c>
      <c r="I7040" s="64" t="s">
        <v>3856</v>
      </c>
      <c r="J7040" s="67">
        <v>2055</v>
      </c>
      <c r="K7040" s="62">
        <v>27398.26</v>
      </c>
      <c r="L7040" s="33" t="e">
        <f>HLOOKUP(B7040,#REF!,1,0)</f>
        <v>#REF!</v>
      </c>
      <c r="M7040" s="33" t="str">
        <f t="shared" si="439"/>
        <v>P&amp;L</v>
      </c>
    </row>
    <row r="7041" spans="1:13" s="33" customFormat="true" ht="12.75" customHeight="true">
      <c r="A7041" s="33" t="str">
        <f t="shared" si="436"/>
        <v>OVA - CGS</v>
      </c>
      <c r="B7041" s="33" t="str">
        <f t="shared" si="437"/>
        <v>OVA</v>
      </c>
      <c r="C7041" s="33" t="str">
        <f t="shared" si="438"/>
        <v>60015-0000</v>
      </c>
      <c r="D7041" s="64" t="s">
        <v>8277</v>
      </c>
      <c r="E7041" s="64" t="s">
        <v>3858</v>
      </c>
      <c r="F7041" s="64" t="s">
        <v>230</v>
      </c>
      <c r="G7041" s="64" t="s">
        <v>3838</v>
      </c>
      <c r="H7041" s="64" t="s">
        <v>1875</v>
      </c>
      <c r="I7041" s="64" t="s">
        <v>3859</v>
      </c>
      <c r="J7041" s="67">
        <v>249</v>
      </c>
      <c r="K7041" s="62">
        <v>667.36</v>
      </c>
      <c r="L7041" s="33" t="e">
        <f>HLOOKUP(B7041,#REF!,1,0)</f>
        <v>#REF!</v>
      </c>
      <c r="M7041" s="33" t="str">
        <f t="shared" si="439"/>
        <v>P&amp;L</v>
      </c>
    </row>
    <row r="7042" spans="1:13" s="33" customFormat="true" ht="12.75" customHeight="true">
      <c r="A7042" s="33" t="str">
        <f t="shared" ref="A7042:A7105" si="440">B7042&amp;" - "&amp;TRIM(H7042)</f>
        <v>OVA - CGS</v>
      </c>
      <c r="B7042" s="33" t="str">
        <f t="shared" ref="B7042:B7105" si="441">LEFT(D7042,3)</f>
        <v>OVA</v>
      </c>
      <c r="C7042" s="33" t="str">
        <f t="shared" ref="C7042:C7105" si="442">RIGHT(D7042,10)</f>
        <v>61016-0000</v>
      </c>
      <c r="D7042" s="64" t="s">
        <v>8278</v>
      </c>
      <c r="E7042" s="64" t="s">
        <v>3861</v>
      </c>
      <c r="F7042" s="64" t="s">
        <v>230</v>
      </c>
      <c r="G7042" s="64" t="s">
        <v>3838</v>
      </c>
      <c r="H7042" s="64" t="s">
        <v>1875</v>
      </c>
      <c r="I7042" s="64" t="s">
        <v>3862</v>
      </c>
      <c r="J7042" s="67">
        <v>0</v>
      </c>
      <c r="K7042" s="62">
        <v>40</v>
      </c>
      <c r="L7042" s="33" t="e">
        <f>HLOOKUP(B7042,#REF!,1,0)</f>
        <v>#REF!</v>
      </c>
      <c r="M7042" s="33" t="str">
        <f t="shared" ref="M7042:M7105" si="443">IF(VALUE(LEFT(C7042,5))&gt;40000,"P&amp;L","BS")</f>
        <v>P&amp;L</v>
      </c>
    </row>
    <row r="7043" spans="1:13" s="33" customFormat="true" ht="12.75" customHeight="true">
      <c r="A7043" s="33" t="str">
        <f t="shared" si="440"/>
        <v>OVA - CGS</v>
      </c>
      <c r="B7043" s="33" t="str">
        <f t="shared" si="441"/>
        <v>OVA</v>
      </c>
      <c r="C7043" s="33" t="str">
        <f t="shared" si="442"/>
        <v>61018-0000</v>
      </c>
      <c r="D7043" s="64" t="s">
        <v>8279</v>
      </c>
      <c r="E7043" s="64" t="s">
        <v>3864</v>
      </c>
      <c r="F7043" s="64" t="s">
        <v>230</v>
      </c>
      <c r="G7043" s="64" t="s">
        <v>3838</v>
      </c>
      <c r="H7043" s="64" t="s">
        <v>1875</v>
      </c>
      <c r="I7043" s="64" t="s">
        <v>3866</v>
      </c>
      <c r="J7043" s="67">
        <v>0</v>
      </c>
      <c r="K7043" s="62">
        <v>2000</v>
      </c>
      <c r="L7043" s="33" t="e">
        <f>HLOOKUP(B7043,#REF!,1,0)</f>
        <v>#REF!</v>
      </c>
      <c r="M7043" s="33" t="str">
        <f t="shared" si="443"/>
        <v>P&amp;L</v>
      </c>
    </row>
    <row r="7044" spans="1:13" s="33" customFormat="true" ht="12.75" customHeight="true">
      <c r="A7044" s="33" t="str">
        <f t="shared" si="440"/>
        <v>OVA - Income Tax</v>
      </c>
      <c r="B7044" s="33" t="str">
        <f t="shared" si="441"/>
        <v>OVA</v>
      </c>
      <c r="C7044" s="33" t="str">
        <f t="shared" si="442"/>
        <v>61019-0000</v>
      </c>
      <c r="D7044" s="64" t="s">
        <v>8280</v>
      </c>
      <c r="E7044" s="64" t="s">
        <v>4041</v>
      </c>
      <c r="F7044" s="64" t="s">
        <v>230</v>
      </c>
      <c r="G7044" s="64" t="s">
        <v>3844</v>
      </c>
      <c r="H7044" s="64" t="s">
        <v>3378</v>
      </c>
      <c r="I7044" s="64" t="s">
        <v>4042</v>
      </c>
      <c r="J7044" s="67">
        <v>800</v>
      </c>
      <c r="K7044" s="62">
        <v>4100</v>
      </c>
      <c r="L7044" s="33" t="e">
        <f>HLOOKUP(B7044,#REF!,1,0)</f>
        <v>#REF!</v>
      </c>
      <c r="M7044" s="33" t="str">
        <f t="shared" si="443"/>
        <v>P&amp;L</v>
      </c>
    </row>
    <row r="7045" spans="1:13" s="33" customFormat="true" ht="12.75" customHeight="true">
      <c r="A7045" s="33" t="str">
        <f t="shared" si="440"/>
        <v>PGP - Fixed Assets</v>
      </c>
      <c r="B7045" s="33" t="str">
        <f t="shared" si="441"/>
        <v>PGP</v>
      </c>
      <c r="C7045" s="33" t="str">
        <f t="shared" si="442"/>
        <v>15600-0000</v>
      </c>
      <c r="D7045" s="64" t="s">
        <v>8281</v>
      </c>
      <c r="E7045" s="64" t="s">
        <v>2262</v>
      </c>
      <c r="F7045" s="64" t="s">
        <v>230</v>
      </c>
      <c r="G7045" s="64" t="s">
        <v>62</v>
      </c>
      <c r="H7045" s="64" t="s">
        <v>63</v>
      </c>
      <c r="I7045" s="64" t="s">
        <v>64</v>
      </c>
      <c r="J7045" s="67">
        <v>0</v>
      </c>
      <c r="K7045" s="62">
        <v>27049.64</v>
      </c>
      <c r="L7045" s="33" t="e">
        <f>HLOOKUP(B7045,#REF!,1,0)</f>
        <v>#REF!</v>
      </c>
      <c r="M7045" s="33" t="str">
        <f t="shared" si="443"/>
        <v>BS</v>
      </c>
    </row>
    <row r="7046" spans="1:13" s="33" customFormat="true" ht="12.75" customHeight="true">
      <c r="A7046" s="33" t="str">
        <f t="shared" si="440"/>
        <v>PGP - CGS</v>
      </c>
      <c r="B7046" s="33" t="str">
        <f t="shared" si="441"/>
        <v>PGP</v>
      </c>
      <c r="C7046" s="33" t="str">
        <f t="shared" si="442"/>
        <v>51008-0000</v>
      </c>
      <c r="D7046" s="64" t="s">
        <v>8282</v>
      </c>
      <c r="E7046" s="64" t="s">
        <v>3743</v>
      </c>
      <c r="F7046" s="64" t="s">
        <v>230</v>
      </c>
      <c r="G7046" s="64" t="s">
        <v>3740</v>
      </c>
      <c r="H7046" s="64" t="s">
        <v>1875</v>
      </c>
      <c r="I7046" s="64" t="s">
        <v>3744</v>
      </c>
      <c r="J7046" s="67">
        <v>0</v>
      </c>
      <c r="K7046" s="62">
        <v>326.8</v>
      </c>
      <c r="L7046" s="33" t="e">
        <f>HLOOKUP(B7046,#REF!,1,0)</f>
        <v>#REF!</v>
      </c>
      <c r="M7046" s="33" t="str">
        <f t="shared" si="443"/>
        <v>P&amp;L</v>
      </c>
    </row>
    <row r="7047" spans="1:13" s="33" customFormat="true" ht="12.75" customHeight="true">
      <c r="A7047" s="33" t="str">
        <f t="shared" si="440"/>
        <v>PGP - CGS</v>
      </c>
      <c r="B7047" s="33" t="str">
        <f t="shared" si="441"/>
        <v>PGP</v>
      </c>
      <c r="C7047" s="33" t="str">
        <f t="shared" si="442"/>
        <v>51015-0000</v>
      </c>
      <c r="D7047" s="64" t="s">
        <v>8283</v>
      </c>
      <c r="E7047" s="64" t="s">
        <v>3755</v>
      </c>
      <c r="F7047" s="64" t="s">
        <v>230</v>
      </c>
      <c r="G7047" s="64" t="s">
        <v>3740</v>
      </c>
      <c r="H7047" s="64" t="s">
        <v>1875</v>
      </c>
      <c r="I7047" s="64" t="s">
        <v>3756</v>
      </c>
      <c r="J7047" s="67">
        <v>4090.16</v>
      </c>
      <c r="K7047" s="62">
        <v>9826.15</v>
      </c>
      <c r="L7047" s="33" t="e">
        <f>HLOOKUP(B7047,#REF!,1,0)</f>
        <v>#REF!</v>
      </c>
      <c r="M7047" s="33" t="str">
        <f t="shared" si="443"/>
        <v>P&amp;L</v>
      </c>
    </row>
    <row r="7048" spans="1:13" s="33" customFormat="true" ht="12.75" customHeight="true">
      <c r="A7048" s="33" t="str">
        <f t="shared" si="440"/>
        <v>PGP - CGS</v>
      </c>
      <c r="B7048" s="33" t="str">
        <f t="shared" si="441"/>
        <v>PGP</v>
      </c>
      <c r="C7048" s="33" t="str">
        <f t="shared" si="442"/>
        <v>51019-0000</v>
      </c>
      <c r="D7048" s="64" t="s">
        <v>8284</v>
      </c>
      <c r="E7048" s="64" t="s">
        <v>3761</v>
      </c>
      <c r="F7048" s="64" t="s">
        <v>230</v>
      </c>
      <c r="G7048" s="64" t="s">
        <v>3740</v>
      </c>
      <c r="H7048" s="64" t="s">
        <v>1875</v>
      </c>
      <c r="I7048" s="64" t="s">
        <v>3340</v>
      </c>
      <c r="J7048" s="67">
        <v>160.52</v>
      </c>
      <c r="K7048" s="62">
        <v>1155.98</v>
      </c>
      <c r="L7048" s="33" t="e">
        <f>HLOOKUP(B7048,#REF!,1,0)</f>
        <v>#REF!</v>
      </c>
      <c r="M7048" s="33" t="str">
        <f t="shared" si="443"/>
        <v>P&amp;L</v>
      </c>
    </row>
    <row r="7049" spans="1:13" s="33" customFormat="true" ht="12.75" customHeight="true">
      <c r="A7049" s="33" t="str">
        <f t="shared" si="440"/>
        <v>PGP - CGS</v>
      </c>
      <c r="B7049" s="33" t="str">
        <f t="shared" si="441"/>
        <v>PGP</v>
      </c>
      <c r="C7049" s="33" t="str">
        <f t="shared" si="442"/>
        <v>53003-0000</v>
      </c>
      <c r="D7049" s="64" t="s">
        <v>8285</v>
      </c>
      <c r="E7049" s="64" t="s">
        <v>3787</v>
      </c>
      <c r="F7049" s="64" t="s">
        <v>230</v>
      </c>
      <c r="G7049" s="64" t="s">
        <v>3160</v>
      </c>
      <c r="H7049" s="64" t="s">
        <v>1875</v>
      </c>
      <c r="I7049" s="64" t="s">
        <v>3788</v>
      </c>
      <c r="J7049" s="67">
        <v>0</v>
      </c>
      <c r="K7049" s="62">
        <v>405.3</v>
      </c>
      <c r="L7049" s="33" t="e">
        <f>HLOOKUP(B7049,#REF!,1,0)</f>
        <v>#REF!</v>
      </c>
      <c r="M7049" s="33" t="str">
        <f t="shared" si="443"/>
        <v>P&amp;L</v>
      </c>
    </row>
    <row r="7050" spans="1:13" s="33" customFormat="true" ht="12.75" customHeight="true">
      <c r="A7050" s="33" t="str">
        <f t="shared" si="440"/>
        <v>PGP - CGS</v>
      </c>
      <c r="B7050" s="33" t="str">
        <f t="shared" si="441"/>
        <v>PGP</v>
      </c>
      <c r="C7050" s="33" t="str">
        <f t="shared" si="442"/>
        <v>53006-0000</v>
      </c>
      <c r="D7050" s="64" t="s">
        <v>8286</v>
      </c>
      <c r="E7050" s="64" t="s">
        <v>3796</v>
      </c>
      <c r="F7050" s="64" t="s">
        <v>230</v>
      </c>
      <c r="G7050" s="64" t="s">
        <v>3160</v>
      </c>
      <c r="H7050" s="64" t="s">
        <v>1875</v>
      </c>
      <c r="I7050" s="64" t="s">
        <v>3797</v>
      </c>
      <c r="J7050" s="67">
        <v>435.31</v>
      </c>
      <c r="K7050" s="62">
        <v>2256.17</v>
      </c>
      <c r="L7050" s="33" t="e">
        <f>HLOOKUP(B7050,#REF!,1,0)</f>
        <v>#REF!</v>
      </c>
      <c r="M7050" s="33" t="str">
        <f t="shared" si="443"/>
        <v>P&amp;L</v>
      </c>
    </row>
    <row r="7051" spans="1:13" s="33" customFormat="true" ht="12.75" customHeight="true">
      <c r="A7051" s="33" t="str">
        <f t="shared" si="440"/>
        <v>PGP - Capital-Remodel</v>
      </c>
      <c r="B7051" s="33" t="str">
        <f t="shared" si="441"/>
        <v>PGP</v>
      </c>
      <c r="C7051" s="33" t="str">
        <f t="shared" si="442"/>
        <v>55000-0000</v>
      </c>
      <c r="D7051" s="64" t="s">
        <v>8287</v>
      </c>
      <c r="E7051" s="64" t="s">
        <v>4020</v>
      </c>
      <c r="F7051" s="64" t="s">
        <v>230</v>
      </c>
      <c r="G7051" s="64" t="s">
        <v>3818</v>
      </c>
      <c r="H7051" s="64" t="s">
        <v>4021</v>
      </c>
      <c r="I7051" s="64" t="s">
        <v>4022</v>
      </c>
      <c r="J7051" s="67">
        <v>0</v>
      </c>
      <c r="K7051" s="62">
        <v>77000</v>
      </c>
      <c r="L7051" s="33" t="e">
        <f>HLOOKUP(B7051,#REF!,1,0)</f>
        <v>#REF!</v>
      </c>
      <c r="M7051" s="33" t="str">
        <f t="shared" si="443"/>
        <v>P&amp;L</v>
      </c>
    </row>
    <row r="7052" spans="1:13" s="33" customFormat="true" ht="12.75" customHeight="true">
      <c r="A7052" s="33" t="str">
        <f t="shared" si="440"/>
        <v>PGP - PM Expenses</v>
      </c>
      <c r="B7052" s="33" t="str">
        <f t="shared" si="441"/>
        <v>PGP</v>
      </c>
      <c r="C7052" s="33" t="str">
        <f t="shared" si="442"/>
        <v>55501-0000</v>
      </c>
      <c r="D7052" s="64" t="s">
        <v>8288</v>
      </c>
      <c r="E7052" s="64" t="s">
        <v>3817</v>
      </c>
      <c r="F7052" s="64" t="s">
        <v>230</v>
      </c>
      <c r="G7052" s="64" t="s">
        <v>3818</v>
      </c>
      <c r="H7052" s="64" t="s">
        <v>3819</v>
      </c>
      <c r="I7052" s="64" t="s">
        <v>3820</v>
      </c>
      <c r="J7052" s="67">
        <v>0</v>
      </c>
      <c r="K7052" s="62">
        <v>1006.19</v>
      </c>
      <c r="L7052" s="33" t="e">
        <f>HLOOKUP(B7052,#REF!,1,0)</f>
        <v>#REF!</v>
      </c>
      <c r="M7052" s="33" t="str">
        <f t="shared" si="443"/>
        <v>P&amp;L</v>
      </c>
    </row>
    <row r="7053" spans="1:13" s="33" customFormat="true" ht="12.75" customHeight="true">
      <c r="A7053" s="33" t="str">
        <f t="shared" si="440"/>
        <v>PGP - PM Expenses</v>
      </c>
      <c r="B7053" s="33" t="str">
        <f t="shared" si="441"/>
        <v>PGP</v>
      </c>
      <c r="C7053" s="33" t="str">
        <f t="shared" si="442"/>
        <v>55505-0000</v>
      </c>
      <c r="D7053" s="64" t="s">
        <v>8289</v>
      </c>
      <c r="E7053" s="64" t="s">
        <v>3828</v>
      </c>
      <c r="F7053" s="64" t="s">
        <v>230</v>
      </c>
      <c r="G7053" s="64" t="s">
        <v>3818</v>
      </c>
      <c r="H7053" s="64" t="s">
        <v>3819</v>
      </c>
      <c r="I7053" s="64" t="s">
        <v>3829</v>
      </c>
      <c r="J7053" s="67">
        <v>6396.18</v>
      </c>
      <c r="K7053" s="62">
        <v>295511.74</v>
      </c>
      <c r="L7053" s="33" t="e">
        <f>HLOOKUP(B7053,#REF!,1,0)</f>
        <v>#REF!</v>
      </c>
      <c r="M7053" s="33" t="str">
        <f t="shared" si="443"/>
        <v>P&amp;L</v>
      </c>
    </row>
    <row r="7054" spans="1:13" s="33" customFormat="true" ht="12.75" customHeight="true">
      <c r="A7054" s="33" t="str">
        <f t="shared" si="440"/>
        <v>PGP - CGS</v>
      </c>
      <c r="B7054" s="33" t="str">
        <f t="shared" si="441"/>
        <v>PGP</v>
      </c>
      <c r="C7054" s="33" t="str">
        <f t="shared" si="442"/>
        <v>60005-0000</v>
      </c>
      <c r="D7054" s="64" t="s">
        <v>8290</v>
      </c>
      <c r="E7054" s="64" t="s">
        <v>3841</v>
      </c>
      <c r="F7054" s="64" t="s">
        <v>230</v>
      </c>
      <c r="G7054" s="64" t="s">
        <v>3838</v>
      </c>
      <c r="H7054" s="64" t="s">
        <v>1875</v>
      </c>
      <c r="I7054" s="64" t="s">
        <v>3842</v>
      </c>
      <c r="J7054" s="67">
        <v>0</v>
      </c>
      <c r="K7054" s="62">
        <v>225.14</v>
      </c>
      <c r="L7054" s="33" t="e">
        <f>HLOOKUP(B7054,#REF!,1,0)</f>
        <v>#REF!</v>
      </c>
      <c r="M7054" s="33" t="str">
        <f t="shared" si="443"/>
        <v>P&amp;L</v>
      </c>
    </row>
    <row r="7055" spans="1:13" s="33" customFormat="true" ht="12.75" customHeight="true">
      <c r="A7055" s="33" t="str">
        <f t="shared" si="440"/>
        <v>PGP - Interest Expense</v>
      </c>
      <c r="B7055" s="33" t="str">
        <f t="shared" si="441"/>
        <v>PGP</v>
      </c>
      <c r="C7055" s="33" t="str">
        <f t="shared" si="442"/>
        <v>60006-0000</v>
      </c>
      <c r="D7055" s="64" t="s">
        <v>8291</v>
      </c>
      <c r="E7055" s="64" t="s">
        <v>3325</v>
      </c>
      <c r="F7055" s="64" t="s">
        <v>230</v>
      </c>
      <c r="G7055" s="64" t="s">
        <v>3844</v>
      </c>
      <c r="H7055" s="64" t="s">
        <v>3327</v>
      </c>
      <c r="I7055" s="64" t="s">
        <v>3328</v>
      </c>
      <c r="J7055" s="67">
        <v>7109.25</v>
      </c>
      <c r="K7055" s="62">
        <v>65970.62</v>
      </c>
      <c r="L7055" s="33" t="e">
        <f>HLOOKUP(B7055,#REF!,1,0)</f>
        <v>#REF!</v>
      </c>
      <c r="M7055" s="33" t="str">
        <f t="shared" si="443"/>
        <v>P&amp;L</v>
      </c>
    </row>
    <row r="7056" spans="1:13" s="33" customFormat="true" ht="12.75" customHeight="true">
      <c r="A7056" s="33" t="str">
        <f t="shared" si="440"/>
        <v>PGP - CGS</v>
      </c>
      <c r="B7056" s="33" t="str">
        <f t="shared" si="441"/>
        <v>PGP</v>
      </c>
      <c r="C7056" s="33" t="str">
        <f t="shared" si="442"/>
        <v>60007-0000</v>
      </c>
      <c r="D7056" s="64" t="s">
        <v>8292</v>
      </c>
      <c r="E7056" s="64" t="s">
        <v>3846</v>
      </c>
      <c r="F7056" s="64" t="s">
        <v>230</v>
      </c>
      <c r="G7056" s="64" t="s">
        <v>3838</v>
      </c>
      <c r="H7056" s="64" t="s">
        <v>1875</v>
      </c>
      <c r="I7056" s="64" t="s">
        <v>3847</v>
      </c>
      <c r="J7056" s="67">
        <v>0</v>
      </c>
      <c r="K7056" s="62">
        <v>525</v>
      </c>
      <c r="L7056" s="33" t="e">
        <f>HLOOKUP(B7056,#REF!,1,0)</f>
        <v>#REF!</v>
      </c>
      <c r="M7056" s="33" t="str">
        <f t="shared" si="443"/>
        <v>P&amp;L</v>
      </c>
    </row>
    <row r="7057" spans="1:13" s="33" customFormat="true" ht="12.75" customHeight="true">
      <c r="A7057" s="33" t="str">
        <f t="shared" si="440"/>
        <v>PGP - CGS</v>
      </c>
      <c r="B7057" s="33" t="str">
        <f t="shared" si="441"/>
        <v>PGP</v>
      </c>
      <c r="C7057" s="33" t="str">
        <f t="shared" si="442"/>
        <v>60012-0000</v>
      </c>
      <c r="D7057" s="64" t="s">
        <v>8293</v>
      </c>
      <c r="E7057" s="64" t="s">
        <v>3852</v>
      </c>
      <c r="F7057" s="64" t="s">
        <v>230</v>
      </c>
      <c r="G7057" s="64" t="s">
        <v>3838</v>
      </c>
      <c r="H7057" s="64" t="s">
        <v>1875</v>
      </c>
      <c r="I7057" s="64" t="s">
        <v>3853</v>
      </c>
      <c r="J7057" s="67">
        <v>0</v>
      </c>
      <c r="K7057" s="62">
        <v>10040.21</v>
      </c>
      <c r="L7057" s="33" t="e">
        <f>HLOOKUP(B7057,#REF!,1,0)</f>
        <v>#REF!</v>
      </c>
      <c r="M7057" s="33" t="str">
        <f t="shared" si="443"/>
        <v>P&amp;L</v>
      </c>
    </row>
    <row r="7058" spans="1:13" s="33" customFormat="true" ht="12.75" customHeight="true">
      <c r="A7058" s="33" t="str">
        <f t="shared" si="440"/>
        <v>PGP - CGS</v>
      </c>
      <c r="B7058" s="33" t="str">
        <f t="shared" si="441"/>
        <v>PGP</v>
      </c>
      <c r="C7058" s="33" t="str">
        <f t="shared" si="442"/>
        <v>60015-0000</v>
      </c>
      <c r="D7058" s="64" t="s">
        <v>8294</v>
      </c>
      <c r="E7058" s="64" t="s">
        <v>3858</v>
      </c>
      <c r="F7058" s="64" t="s">
        <v>230</v>
      </c>
      <c r="G7058" s="64" t="s">
        <v>3838</v>
      </c>
      <c r="H7058" s="64" t="s">
        <v>1875</v>
      </c>
      <c r="I7058" s="64" t="s">
        <v>3859</v>
      </c>
      <c r="J7058" s="67">
        <v>0</v>
      </c>
      <c r="K7058" s="62">
        <v>310.72</v>
      </c>
      <c r="L7058" s="33" t="e">
        <f>HLOOKUP(B7058,#REF!,1,0)</f>
        <v>#REF!</v>
      </c>
      <c r="M7058" s="33" t="str">
        <f t="shared" si="443"/>
        <v>P&amp;L</v>
      </c>
    </row>
    <row r="7059" spans="1:13" s="33" customFormat="true" ht="12.75" customHeight="true">
      <c r="A7059" s="33" t="str">
        <f t="shared" si="440"/>
        <v>PGP - CGS</v>
      </c>
      <c r="B7059" s="33" t="str">
        <f t="shared" si="441"/>
        <v>PGP</v>
      </c>
      <c r="C7059" s="33" t="str">
        <f t="shared" si="442"/>
        <v>61018-0000</v>
      </c>
      <c r="D7059" s="64" t="s">
        <v>8295</v>
      </c>
      <c r="E7059" s="64" t="s">
        <v>3864</v>
      </c>
      <c r="F7059" s="64" t="s">
        <v>230</v>
      </c>
      <c r="G7059" s="64" t="s">
        <v>3838</v>
      </c>
      <c r="H7059" s="64" t="s">
        <v>1875</v>
      </c>
      <c r="I7059" s="64" t="s">
        <v>3866</v>
      </c>
      <c r="J7059" s="67">
        <v>0</v>
      </c>
      <c r="K7059" s="62">
        <v>241.65</v>
      </c>
      <c r="L7059" s="33" t="e">
        <f>HLOOKUP(B7059,#REF!,1,0)</f>
        <v>#REF!</v>
      </c>
      <c r="M7059" s="33" t="str">
        <f t="shared" si="443"/>
        <v>P&amp;L</v>
      </c>
    </row>
    <row r="7060" spans="1:13" s="33" customFormat="true" ht="12.75" customHeight="true">
      <c r="A7060" s="33" t="str">
        <f t="shared" si="440"/>
        <v>PGP - Income Tax</v>
      </c>
      <c r="B7060" s="33" t="str">
        <f t="shared" si="441"/>
        <v>PGP</v>
      </c>
      <c r="C7060" s="33" t="str">
        <f t="shared" si="442"/>
        <v>61019-0000</v>
      </c>
      <c r="D7060" s="64" t="s">
        <v>8296</v>
      </c>
      <c r="E7060" s="64" t="s">
        <v>4041</v>
      </c>
      <c r="F7060" s="64" t="s">
        <v>230</v>
      </c>
      <c r="G7060" s="64" t="s">
        <v>3844</v>
      </c>
      <c r="H7060" s="64" t="s">
        <v>3378</v>
      </c>
      <c r="I7060" s="64" t="s">
        <v>4042</v>
      </c>
      <c r="J7060" s="67">
        <v>0</v>
      </c>
      <c r="K7060" s="62">
        <v>800</v>
      </c>
      <c r="L7060" s="33" t="e">
        <f>HLOOKUP(B7060,#REF!,1,0)</f>
        <v>#REF!</v>
      </c>
      <c r="M7060" s="33" t="str">
        <f t="shared" si="443"/>
        <v>P&amp;L</v>
      </c>
    </row>
    <row r="7061" spans="1:13" s="33" customFormat="true" ht="12.75" customHeight="true">
      <c r="A7061" s="33" t="str">
        <f t="shared" si="440"/>
        <v>PUR - Fixed Assets</v>
      </c>
      <c r="B7061" s="33" t="str">
        <f t="shared" si="441"/>
        <v>PUR</v>
      </c>
      <c r="C7061" s="33" t="str">
        <f t="shared" si="442"/>
        <v>15501-0000</v>
      </c>
      <c r="D7061" s="64" t="s">
        <v>8297</v>
      </c>
      <c r="E7061" s="64" t="s">
        <v>2635</v>
      </c>
      <c r="F7061" s="64" t="s">
        <v>230</v>
      </c>
      <c r="G7061" s="64" t="s">
        <v>62</v>
      </c>
      <c r="H7061" s="64" t="s">
        <v>63</v>
      </c>
      <c r="I7061" s="64" t="s">
        <v>64</v>
      </c>
      <c r="J7061" s="67">
        <v>538.57</v>
      </c>
      <c r="K7061" s="62">
        <v>2113.71</v>
      </c>
      <c r="L7061" s="33" t="e">
        <f>HLOOKUP(B7061,#REF!,1,0)</f>
        <v>#REF!</v>
      </c>
      <c r="M7061" s="33" t="str">
        <f t="shared" si="443"/>
        <v>BS</v>
      </c>
    </row>
    <row r="7062" spans="1:13" s="33" customFormat="true" ht="12.75" customHeight="true">
      <c r="A7062" s="33" t="str">
        <f t="shared" si="440"/>
        <v>PUR - AR-PPD</v>
      </c>
      <c r="B7062" s="33" t="str">
        <f t="shared" si="441"/>
        <v>PUR</v>
      </c>
      <c r="C7062" s="33" t="str">
        <f t="shared" si="442"/>
        <v>25300-0000</v>
      </c>
      <c r="D7062" s="64" t="s">
        <v>8298</v>
      </c>
      <c r="E7062" s="64" t="s">
        <v>3677</v>
      </c>
      <c r="F7062" s="64" t="s">
        <v>230</v>
      </c>
      <c r="G7062" s="64" t="s">
        <v>3678</v>
      </c>
      <c r="H7062" s="64" t="s">
        <v>35</v>
      </c>
      <c r="I7062" s="64" t="s">
        <v>102</v>
      </c>
      <c r="J7062" s="67">
        <v>1249.6</v>
      </c>
      <c r="K7062" s="62">
        <v>0</v>
      </c>
      <c r="L7062" s="33" t="e">
        <f>HLOOKUP(B7062,#REF!,1,0)</f>
        <v>#REF!</v>
      </c>
      <c r="M7062" s="33" t="str">
        <f t="shared" si="443"/>
        <v>BS</v>
      </c>
    </row>
    <row r="7063" spans="1:13" s="33" customFormat="true" ht="12.75" customHeight="true">
      <c r="A7063" s="33" t="str">
        <f t="shared" si="440"/>
        <v>PUR - Revenue</v>
      </c>
      <c r="B7063" s="33" t="str">
        <f t="shared" si="441"/>
        <v>PUR</v>
      </c>
      <c r="C7063" s="33" t="str">
        <f t="shared" si="442"/>
        <v>40110-0000</v>
      </c>
      <c r="D7063" s="64" t="s">
        <v>8299</v>
      </c>
      <c r="E7063" s="64" t="s">
        <v>3683</v>
      </c>
      <c r="F7063" s="64" t="s">
        <v>230</v>
      </c>
      <c r="G7063" s="64" t="s">
        <v>3684</v>
      </c>
      <c r="H7063" s="64" t="s">
        <v>2871</v>
      </c>
      <c r="I7063" s="64" t="s">
        <v>3685</v>
      </c>
      <c r="J7063" s="67">
        <v>-52033.37</v>
      </c>
      <c r="K7063" s="62">
        <v>-520333.7</v>
      </c>
      <c r="L7063" s="33" t="e">
        <f>HLOOKUP(B7063,#REF!,1,0)</f>
        <v>#REF!</v>
      </c>
      <c r="M7063" s="33" t="str">
        <f t="shared" si="443"/>
        <v>P&amp;L</v>
      </c>
    </row>
    <row r="7064" spans="1:13" s="33" customFormat="true" ht="12.75" customHeight="true">
      <c r="A7064" s="33" t="str">
        <f t="shared" si="440"/>
        <v>PUR - Revenue</v>
      </c>
      <c r="B7064" s="33" t="str">
        <f t="shared" si="441"/>
        <v>PUR</v>
      </c>
      <c r="C7064" s="33" t="str">
        <f t="shared" si="442"/>
        <v>40120-0000</v>
      </c>
      <c r="D7064" s="64" t="s">
        <v>8300</v>
      </c>
      <c r="E7064" s="64" t="s">
        <v>3687</v>
      </c>
      <c r="F7064" s="64" t="s">
        <v>230</v>
      </c>
      <c r="G7064" s="64" t="s">
        <v>3684</v>
      </c>
      <c r="H7064" s="64" t="s">
        <v>2871</v>
      </c>
      <c r="I7064" s="64" t="s">
        <v>3688</v>
      </c>
      <c r="J7064" s="67">
        <v>-923.2</v>
      </c>
      <c r="K7064" s="62">
        <v>-8732</v>
      </c>
      <c r="L7064" s="33" t="e">
        <f>HLOOKUP(B7064,#REF!,1,0)</f>
        <v>#REF!</v>
      </c>
      <c r="M7064" s="33" t="str">
        <f t="shared" si="443"/>
        <v>P&amp;L</v>
      </c>
    </row>
    <row r="7065" spans="1:13" s="33" customFormat="true" ht="12.75" customHeight="true">
      <c r="A7065" s="33" t="str">
        <f t="shared" si="440"/>
        <v>PUR - Revenue</v>
      </c>
      <c r="B7065" s="33" t="str">
        <f t="shared" si="441"/>
        <v>PUR</v>
      </c>
      <c r="C7065" s="33" t="str">
        <f t="shared" si="442"/>
        <v>40130-0000</v>
      </c>
      <c r="D7065" s="64" t="s">
        <v>8301</v>
      </c>
      <c r="E7065" s="64" t="s">
        <v>3690</v>
      </c>
      <c r="F7065" s="64" t="s">
        <v>230</v>
      </c>
      <c r="G7065" s="64" t="s">
        <v>3684</v>
      </c>
      <c r="H7065" s="64" t="s">
        <v>2871</v>
      </c>
      <c r="I7065" s="64" t="s">
        <v>3691</v>
      </c>
      <c r="J7065" s="67">
        <v>0</v>
      </c>
      <c r="K7065" s="62">
        <v>0</v>
      </c>
      <c r="L7065" s="33" t="e">
        <f>HLOOKUP(B7065,#REF!,1,0)</f>
        <v>#REF!</v>
      </c>
      <c r="M7065" s="33" t="str">
        <f t="shared" si="443"/>
        <v>P&amp;L</v>
      </c>
    </row>
    <row r="7066" spans="1:13" s="33" customFormat="true" ht="12.75" customHeight="true">
      <c r="A7066" s="33" t="str">
        <f t="shared" si="440"/>
        <v>PUR - Revenue</v>
      </c>
      <c r="B7066" s="33" t="str">
        <f t="shared" si="441"/>
        <v>PUR</v>
      </c>
      <c r="C7066" s="33" t="str">
        <f t="shared" si="442"/>
        <v>40140-0000</v>
      </c>
      <c r="D7066" s="64" t="s">
        <v>8302</v>
      </c>
      <c r="E7066" s="64" t="s">
        <v>3948</v>
      </c>
      <c r="F7066" s="64" t="s">
        <v>230</v>
      </c>
      <c r="G7066" s="64" t="s">
        <v>3684</v>
      </c>
      <c r="H7066" s="64" t="s">
        <v>2871</v>
      </c>
      <c r="I7066" s="64" t="s">
        <v>3949</v>
      </c>
      <c r="J7066" s="67">
        <v>0</v>
      </c>
      <c r="K7066" s="62">
        <v>0</v>
      </c>
      <c r="L7066" s="33" t="e">
        <f>HLOOKUP(B7066,#REF!,1,0)</f>
        <v>#REF!</v>
      </c>
      <c r="M7066" s="33" t="str">
        <f t="shared" si="443"/>
        <v>P&amp;L</v>
      </c>
    </row>
    <row r="7067" spans="1:13" s="33" customFormat="true" ht="12.75" customHeight="true">
      <c r="A7067" s="33" t="str">
        <f t="shared" si="440"/>
        <v>PUR - Revenue</v>
      </c>
      <c r="B7067" s="33" t="str">
        <f t="shared" si="441"/>
        <v>PUR</v>
      </c>
      <c r="C7067" s="33" t="str">
        <f t="shared" si="442"/>
        <v>41110-0000</v>
      </c>
      <c r="D7067" s="64" t="s">
        <v>8303</v>
      </c>
      <c r="E7067" s="64" t="s">
        <v>3693</v>
      </c>
      <c r="F7067" s="64" t="s">
        <v>230</v>
      </c>
      <c r="G7067" s="64" t="s">
        <v>3694</v>
      </c>
      <c r="H7067" s="64" t="s">
        <v>2871</v>
      </c>
      <c r="I7067" s="64" t="s">
        <v>3695</v>
      </c>
      <c r="J7067" s="67">
        <v>1802.5</v>
      </c>
      <c r="K7067" s="62">
        <v>3360.9</v>
      </c>
      <c r="L7067" s="33" t="e">
        <f>HLOOKUP(B7067,#REF!,1,0)</f>
        <v>#REF!</v>
      </c>
      <c r="M7067" s="33" t="str">
        <f t="shared" si="443"/>
        <v>P&amp;L</v>
      </c>
    </row>
    <row r="7068" spans="1:13" s="33" customFormat="true" ht="12.75" customHeight="true">
      <c r="A7068" s="33" t="str">
        <f t="shared" si="440"/>
        <v>PUR - Revenue</v>
      </c>
      <c r="B7068" s="33" t="str">
        <f t="shared" si="441"/>
        <v>PUR</v>
      </c>
      <c r="C7068" s="33" t="str">
        <f t="shared" si="442"/>
        <v>41121-0000</v>
      </c>
      <c r="D7068" s="64" t="s">
        <v>8304</v>
      </c>
      <c r="E7068" s="64" t="s">
        <v>3697</v>
      </c>
      <c r="F7068" s="64" t="s">
        <v>230</v>
      </c>
      <c r="G7068" s="64" t="s">
        <v>3694</v>
      </c>
      <c r="H7068" s="64" t="s">
        <v>2871</v>
      </c>
      <c r="I7068" s="64" t="s">
        <v>3698</v>
      </c>
      <c r="J7068" s="67">
        <v>6784.26</v>
      </c>
      <c r="K7068" s="62">
        <v>116170.64</v>
      </c>
      <c r="L7068" s="33" t="e">
        <f>HLOOKUP(B7068,#REF!,1,0)</f>
        <v>#REF!</v>
      </c>
      <c r="M7068" s="33" t="str">
        <f t="shared" si="443"/>
        <v>P&amp;L</v>
      </c>
    </row>
    <row r="7069" spans="1:13" s="33" customFormat="true" ht="12.75" customHeight="true">
      <c r="A7069" s="33" t="str">
        <f t="shared" si="440"/>
        <v>PUR - Revenue</v>
      </c>
      <c r="B7069" s="33" t="str">
        <f t="shared" si="441"/>
        <v>PUR</v>
      </c>
      <c r="C7069" s="33" t="str">
        <f t="shared" si="442"/>
        <v>41122-0000</v>
      </c>
      <c r="D7069" s="64" t="s">
        <v>8305</v>
      </c>
      <c r="E7069" s="64" t="s">
        <v>3700</v>
      </c>
      <c r="F7069" s="64" t="s">
        <v>230</v>
      </c>
      <c r="G7069" s="64" t="s">
        <v>3694</v>
      </c>
      <c r="H7069" s="64" t="s">
        <v>2871</v>
      </c>
      <c r="I7069" s="64" t="s">
        <v>3701</v>
      </c>
      <c r="J7069" s="67">
        <v>-1333.44</v>
      </c>
      <c r="K7069" s="62">
        <v>-34435.55</v>
      </c>
      <c r="L7069" s="33" t="e">
        <f>HLOOKUP(B7069,#REF!,1,0)</f>
        <v>#REF!</v>
      </c>
      <c r="M7069" s="33" t="str">
        <f t="shared" si="443"/>
        <v>P&amp;L</v>
      </c>
    </row>
    <row r="7070" spans="1:13" s="33" customFormat="true" ht="12.75" customHeight="true">
      <c r="A7070" s="33" t="str">
        <f t="shared" si="440"/>
        <v>PUR - Revenue</v>
      </c>
      <c r="B7070" s="33" t="str">
        <f t="shared" si="441"/>
        <v>PUR</v>
      </c>
      <c r="C7070" s="33" t="str">
        <f t="shared" si="442"/>
        <v>41130-0000</v>
      </c>
      <c r="D7070" s="64" t="s">
        <v>8306</v>
      </c>
      <c r="E7070" s="64" t="s">
        <v>3703</v>
      </c>
      <c r="F7070" s="64" t="s">
        <v>230</v>
      </c>
      <c r="G7070" s="64" t="s">
        <v>3694</v>
      </c>
      <c r="H7070" s="64" t="s">
        <v>2871</v>
      </c>
      <c r="I7070" s="64" t="s">
        <v>3704</v>
      </c>
      <c r="J7070" s="67">
        <v>250</v>
      </c>
      <c r="K7070" s="62">
        <v>2380</v>
      </c>
      <c r="L7070" s="33" t="e">
        <f>HLOOKUP(B7070,#REF!,1,0)</f>
        <v>#REF!</v>
      </c>
      <c r="M7070" s="33" t="str">
        <f t="shared" si="443"/>
        <v>P&amp;L</v>
      </c>
    </row>
    <row r="7071" spans="1:13" s="33" customFormat="true" ht="12.75" customHeight="true">
      <c r="A7071" s="33" t="str">
        <f t="shared" si="440"/>
        <v>PUR - Revenue</v>
      </c>
      <c r="B7071" s="33" t="str">
        <f t="shared" si="441"/>
        <v>PUR</v>
      </c>
      <c r="C7071" s="33" t="str">
        <f t="shared" si="442"/>
        <v>41140-0000</v>
      </c>
      <c r="D7071" s="64" t="s">
        <v>8307</v>
      </c>
      <c r="E7071" s="64" t="s">
        <v>3706</v>
      </c>
      <c r="F7071" s="64" t="s">
        <v>230</v>
      </c>
      <c r="G7071" s="64" t="s">
        <v>3694</v>
      </c>
      <c r="H7071" s="64" t="s">
        <v>2871</v>
      </c>
      <c r="I7071" s="64" t="s">
        <v>3707</v>
      </c>
      <c r="J7071" s="67">
        <v>0</v>
      </c>
      <c r="K7071" s="62">
        <v>1802.5</v>
      </c>
      <c r="L7071" s="33" t="e">
        <f>HLOOKUP(B7071,#REF!,1,0)</f>
        <v>#REF!</v>
      </c>
      <c r="M7071" s="33" t="str">
        <f t="shared" si="443"/>
        <v>P&amp;L</v>
      </c>
    </row>
    <row r="7072" spans="1:13" s="33" customFormat="true" ht="12.75" customHeight="true">
      <c r="A7072" s="33" t="str">
        <f t="shared" si="440"/>
        <v>PUR - Revenue</v>
      </c>
      <c r="B7072" s="33" t="str">
        <f t="shared" si="441"/>
        <v>PUR</v>
      </c>
      <c r="C7072" s="33" t="str">
        <f t="shared" si="442"/>
        <v>41150-0000</v>
      </c>
      <c r="D7072" s="64" t="s">
        <v>8308</v>
      </c>
      <c r="E7072" s="64" t="s">
        <v>3709</v>
      </c>
      <c r="F7072" s="64" t="s">
        <v>230</v>
      </c>
      <c r="G7072" s="64" t="s">
        <v>3694</v>
      </c>
      <c r="H7072" s="64" t="s">
        <v>2871</v>
      </c>
      <c r="I7072" s="64" t="s">
        <v>3710</v>
      </c>
      <c r="J7072" s="67">
        <v>1197</v>
      </c>
      <c r="K7072" s="62">
        <v>11970</v>
      </c>
      <c r="L7072" s="33" t="e">
        <f>HLOOKUP(B7072,#REF!,1,0)</f>
        <v>#REF!</v>
      </c>
      <c r="M7072" s="33" t="str">
        <f t="shared" si="443"/>
        <v>P&amp;L</v>
      </c>
    </row>
    <row r="7073" spans="1:13" s="33" customFormat="true" ht="12.75" customHeight="true">
      <c r="A7073" s="33" t="str">
        <f t="shared" si="440"/>
        <v>PUR - Revenue</v>
      </c>
      <c r="B7073" s="33" t="str">
        <f t="shared" si="441"/>
        <v>PUR</v>
      </c>
      <c r="C7073" s="33" t="str">
        <f t="shared" si="442"/>
        <v>41160-0000</v>
      </c>
      <c r="D7073" s="64" t="s">
        <v>8309</v>
      </c>
      <c r="E7073" s="64" t="s">
        <v>3957</v>
      </c>
      <c r="F7073" s="64" t="s">
        <v>230</v>
      </c>
      <c r="G7073" s="64" t="s">
        <v>3694</v>
      </c>
      <c r="H7073" s="64" t="s">
        <v>2871</v>
      </c>
      <c r="I7073" s="64" t="s">
        <v>3701</v>
      </c>
      <c r="J7073" s="67">
        <v>0</v>
      </c>
      <c r="K7073" s="62">
        <v>-50410.71</v>
      </c>
      <c r="L7073" s="33" t="e">
        <f>HLOOKUP(B7073,#REF!,1,0)</f>
        <v>#REF!</v>
      </c>
      <c r="M7073" s="33" t="str">
        <f t="shared" si="443"/>
        <v>P&amp;L</v>
      </c>
    </row>
    <row r="7074" spans="1:13" s="33" customFormat="true" ht="12.75" customHeight="true">
      <c r="A7074" s="33" t="str">
        <f t="shared" si="440"/>
        <v>PUR - Revenue</v>
      </c>
      <c r="B7074" s="33" t="str">
        <f t="shared" si="441"/>
        <v>PUR</v>
      </c>
      <c r="C7074" s="33" t="str">
        <f t="shared" si="442"/>
        <v>41999-0000</v>
      </c>
      <c r="D7074" s="64" t="s">
        <v>8310</v>
      </c>
      <c r="E7074" s="64" t="s">
        <v>3712</v>
      </c>
      <c r="F7074" s="64" t="s">
        <v>230</v>
      </c>
      <c r="G7074" s="64" t="s">
        <v>3713</v>
      </c>
      <c r="H7074" s="64" t="s">
        <v>2871</v>
      </c>
      <c r="I7074" s="64" t="s">
        <v>3714</v>
      </c>
      <c r="J7074" s="67">
        <v>44256.25</v>
      </c>
      <c r="K7074" s="62">
        <v>478227.92</v>
      </c>
      <c r="L7074" s="33" t="e">
        <f>HLOOKUP(B7074,#REF!,1,0)</f>
        <v>#REF!</v>
      </c>
      <c r="M7074" s="33" t="str">
        <f t="shared" si="443"/>
        <v>P&amp;L</v>
      </c>
    </row>
    <row r="7075" spans="1:13" s="33" customFormat="true" ht="12.75" customHeight="true">
      <c r="A7075" s="33" t="str">
        <f t="shared" si="440"/>
        <v>PUR - Revenue</v>
      </c>
      <c r="B7075" s="33" t="str">
        <f t="shared" si="441"/>
        <v>PUR</v>
      </c>
      <c r="C7075" s="33" t="str">
        <f t="shared" si="442"/>
        <v>47400-0000</v>
      </c>
      <c r="D7075" s="64" t="s">
        <v>8311</v>
      </c>
      <c r="E7075" s="64" t="s">
        <v>3716</v>
      </c>
      <c r="F7075" s="64" t="s">
        <v>230</v>
      </c>
      <c r="G7075" s="64" t="s">
        <v>3717</v>
      </c>
      <c r="H7075" s="64" t="s">
        <v>2871</v>
      </c>
      <c r="I7075" s="64" t="s">
        <v>3718</v>
      </c>
      <c r="J7075" s="67">
        <v>-44256.25</v>
      </c>
      <c r="K7075" s="62">
        <v>-478227.92</v>
      </c>
      <c r="L7075" s="33" t="e">
        <f>HLOOKUP(B7075,#REF!,1,0)</f>
        <v>#REF!</v>
      </c>
      <c r="M7075" s="33" t="str">
        <f t="shared" si="443"/>
        <v>P&amp;L</v>
      </c>
    </row>
    <row r="7076" spans="1:13" s="33" customFormat="true" ht="12.75" customHeight="true">
      <c r="A7076" s="33" t="str">
        <f t="shared" si="440"/>
        <v>PUR - Revenue</v>
      </c>
      <c r="B7076" s="33" t="str">
        <f t="shared" si="441"/>
        <v>PUR</v>
      </c>
      <c r="C7076" s="33" t="str">
        <f t="shared" si="442"/>
        <v>47420-0000</v>
      </c>
      <c r="D7076" s="64" t="s">
        <v>8312</v>
      </c>
      <c r="E7076" s="64" t="s">
        <v>4154</v>
      </c>
      <c r="F7076" s="64" t="s">
        <v>230</v>
      </c>
      <c r="G7076" s="64" t="s">
        <v>3717</v>
      </c>
      <c r="H7076" s="64" t="s">
        <v>2871</v>
      </c>
      <c r="I7076" s="64" t="s">
        <v>4155</v>
      </c>
      <c r="J7076" s="67">
        <v>-182.7</v>
      </c>
      <c r="K7076" s="62">
        <v>-1724.21</v>
      </c>
      <c r="L7076" s="33" t="e">
        <f>HLOOKUP(B7076,#REF!,1,0)</f>
        <v>#REF!</v>
      </c>
      <c r="M7076" s="33" t="str">
        <f t="shared" si="443"/>
        <v>P&amp;L</v>
      </c>
    </row>
    <row r="7077" spans="1:13" s="33" customFormat="true" ht="12.75" customHeight="true">
      <c r="A7077" s="33" t="str">
        <f t="shared" si="440"/>
        <v>PUR - Revenue</v>
      </c>
      <c r="B7077" s="33" t="str">
        <f t="shared" si="441"/>
        <v>PUR</v>
      </c>
      <c r="C7077" s="33" t="str">
        <f t="shared" si="442"/>
        <v>47430-0000</v>
      </c>
      <c r="D7077" s="64" t="s">
        <v>8313</v>
      </c>
      <c r="E7077" s="64" t="s">
        <v>4053</v>
      </c>
      <c r="F7077" s="64" t="s">
        <v>230</v>
      </c>
      <c r="G7077" s="64" t="s">
        <v>3717</v>
      </c>
      <c r="H7077" s="64" t="s">
        <v>2871</v>
      </c>
      <c r="I7077" s="64" t="s">
        <v>4054</v>
      </c>
      <c r="J7077" s="67">
        <v>-1183.28</v>
      </c>
      <c r="K7077" s="62">
        <v>-9196.04</v>
      </c>
      <c r="L7077" s="33" t="e">
        <f>HLOOKUP(B7077,#REF!,1,0)</f>
        <v>#REF!</v>
      </c>
      <c r="M7077" s="33" t="str">
        <f t="shared" si="443"/>
        <v>P&amp;L</v>
      </c>
    </row>
    <row r="7078" spans="1:13" s="33" customFormat="true" ht="12.75" customHeight="true">
      <c r="A7078" s="33" t="str">
        <f t="shared" si="440"/>
        <v>PUR - Revenue</v>
      </c>
      <c r="B7078" s="33" t="str">
        <f t="shared" si="441"/>
        <v>PUR</v>
      </c>
      <c r="C7078" s="33" t="str">
        <f t="shared" si="442"/>
        <v>47460-0000</v>
      </c>
      <c r="D7078" s="64" t="s">
        <v>8314</v>
      </c>
      <c r="E7078" s="64" t="s">
        <v>3726</v>
      </c>
      <c r="F7078" s="64" t="s">
        <v>230</v>
      </c>
      <c r="G7078" s="64" t="s">
        <v>3717</v>
      </c>
      <c r="H7078" s="64" t="s">
        <v>2871</v>
      </c>
      <c r="I7078" s="64" t="s">
        <v>3727</v>
      </c>
      <c r="J7078" s="67">
        <v>0</v>
      </c>
      <c r="K7078" s="62">
        <v>0</v>
      </c>
      <c r="L7078" s="33" t="e">
        <f>HLOOKUP(B7078,#REF!,1,0)</f>
        <v>#REF!</v>
      </c>
      <c r="M7078" s="33" t="str">
        <f t="shared" si="443"/>
        <v>P&amp;L</v>
      </c>
    </row>
    <row r="7079" spans="1:13" s="33" customFormat="true" ht="12.75" customHeight="true">
      <c r="A7079" s="33" t="str">
        <f t="shared" si="440"/>
        <v>PUR - Revenue</v>
      </c>
      <c r="B7079" s="33" t="str">
        <f t="shared" si="441"/>
        <v>PUR</v>
      </c>
      <c r="C7079" s="33" t="str">
        <f t="shared" si="442"/>
        <v>47480-0000</v>
      </c>
      <c r="D7079" s="64" t="s">
        <v>8315</v>
      </c>
      <c r="E7079" s="64" t="s">
        <v>3729</v>
      </c>
      <c r="F7079" s="64" t="s">
        <v>230</v>
      </c>
      <c r="G7079" s="64" t="s">
        <v>3717</v>
      </c>
      <c r="H7079" s="64" t="s">
        <v>2871</v>
      </c>
      <c r="I7079" s="64" t="s">
        <v>3721</v>
      </c>
      <c r="J7079" s="67">
        <v>0</v>
      </c>
      <c r="K7079" s="62">
        <v>-200</v>
      </c>
      <c r="L7079" s="33" t="e">
        <f>HLOOKUP(B7079,#REF!,1,0)</f>
        <v>#REF!</v>
      </c>
      <c r="M7079" s="33" t="str">
        <f t="shared" si="443"/>
        <v>P&amp;L</v>
      </c>
    </row>
    <row r="7080" spans="1:13" s="33" customFormat="true" ht="12.75" customHeight="true">
      <c r="A7080" s="33" t="str">
        <f t="shared" si="440"/>
        <v>PUR - Revenue</v>
      </c>
      <c r="B7080" s="33" t="str">
        <f t="shared" si="441"/>
        <v>PUR</v>
      </c>
      <c r="C7080" s="33" t="str">
        <f t="shared" si="442"/>
        <v>47492-0000</v>
      </c>
      <c r="D7080" s="64" t="s">
        <v>8316</v>
      </c>
      <c r="E7080" s="64" t="s">
        <v>3736</v>
      </c>
      <c r="F7080" s="64" t="s">
        <v>230</v>
      </c>
      <c r="G7080" s="64" t="s">
        <v>3717</v>
      </c>
      <c r="H7080" s="64" t="s">
        <v>2871</v>
      </c>
      <c r="I7080" s="64" t="s">
        <v>3737</v>
      </c>
      <c r="J7080" s="67">
        <v>-384.78</v>
      </c>
      <c r="K7080" s="62">
        <v>-3184.06</v>
      </c>
      <c r="L7080" s="33" t="e">
        <f>HLOOKUP(B7080,#REF!,1,0)</f>
        <v>#REF!</v>
      </c>
      <c r="M7080" s="33" t="str">
        <f t="shared" si="443"/>
        <v>P&amp;L</v>
      </c>
    </row>
    <row r="7081" spans="1:13" s="33" customFormat="true" ht="12.75" customHeight="true">
      <c r="A7081" s="33" t="str">
        <f t="shared" si="440"/>
        <v>PUR - CGS</v>
      </c>
      <c r="B7081" s="33" t="str">
        <f t="shared" si="441"/>
        <v>PUR</v>
      </c>
      <c r="C7081" s="33" t="str">
        <f t="shared" si="442"/>
        <v>51005-0000</v>
      </c>
      <c r="D7081" s="64" t="s">
        <v>8317</v>
      </c>
      <c r="E7081" s="64" t="s">
        <v>3968</v>
      </c>
      <c r="F7081" s="64" t="s">
        <v>230</v>
      </c>
      <c r="G7081" s="64" t="s">
        <v>3740</v>
      </c>
      <c r="H7081" s="64" t="s">
        <v>1875</v>
      </c>
      <c r="I7081" s="64" t="s">
        <v>3969</v>
      </c>
      <c r="J7081" s="67">
        <v>0</v>
      </c>
      <c r="K7081" s="62">
        <v>174.73</v>
      </c>
      <c r="L7081" s="33" t="e">
        <f>HLOOKUP(B7081,#REF!,1,0)</f>
        <v>#REF!</v>
      </c>
      <c r="M7081" s="33" t="str">
        <f t="shared" si="443"/>
        <v>P&amp;L</v>
      </c>
    </row>
    <row r="7082" spans="1:13" s="33" customFormat="true" ht="12.75" customHeight="true">
      <c r="A7082" s="33" t="str">
        <f t="shared" si="440"/>
        <v>PUR - CGS</v>
      </c>
      <c r="B7082" s="33" t="str">
        <f t="shared" si="441"/>
        <v>PUR</v>
      </c>
      <c r="C7082" s="33" t="str">
        <f t="shared" si="442"/>
        <v>51006-0000</v>
      </c>
      <c r="D7082" s="64" t="s">
        <v>8318</v>
      </c>
      <c r="E7082" s="64" t="s">
        <v>3739</v>
      </c>
      <c r="F7082" s="64" t="s">
        <v>230</v>
      </c>
      <c r="G7082" s="64" t="s">
        <v>3740</v>
      </c>
      <c r="H7082" s="64" t="s">
        <v>1875</v>
      </c>
      <c r="I7082" s="64" t="s">
        <v>3741</v>
      </c>
      <c r="J7082" s="67">
        <v>0</v>
      </c>
      <c r="K7082" s="62">
        <v>363.88</v>
      </c>
      <c r="L7082" s="33" t="e">
        <f>HLOOKUP(B7082,#REF!,1,0)</f>
        <v>#REF!</v>
      </c>
      <c r="M7082" s="33" t="str">
        <f t="shared" si="443"/>
        <v>P&amp;L</v>
      </c>
    </row>
    <row r="7083" spans="1:13" s="33" customFormat="true" ht="12.75" customHeight="true">
      <c r="A7083" s="33" t="str">
        <f t="shared" si="440"/>
        <v>PUR - CGS</v>
      </c>
      <c r="B7083" s="33" t="str">
        <f t="shared" si="441"/>
        <v>PUR</v>
      </c>
      <c r="C7083" s="33" t="str">
        <f t="shared" si="442"/>
        <v>51007-0000</v>
      </c>
      <c r="D7083" s="64" t="s">
        <v>8319</v>
      </c>
      <c r="E7083" s="64" t="s">
        <v>3972</v>
      </c>
      <c r="F7083" s="64" t="s">
        <v>230</v>
      </c>
      <c r="G7083" s="64" t="s">
        <v>3740</v>
      </c>
      <c r="H7083" s="64" t="s">
        <v>1875</v>
      </c>
      <c r="I7083" s="64" t="s">
        <v>3973</v>
      </c>
      <c r="J7083" s="67">
        <v>0</v>
      </c>
      <c r="K7083" s="62">
        <v>24.18</v>
      </c>
      <c r="L7083" s="33" t="e">
        <f>HLOOKUP(B7083,#REF!,1,0)</f>
        <v>#REF!</v>
      </c>
      <c r="M7083" s="33" t="str">
        <f t="shared" si="443"/>
        <v>P&amp;L</v>
      </c>
    </row>
    <row r="7084" spans="1:13" s="33" customFormat="true" ht="12.75" customHeight="true">
      <c r="A7084" s="33" t="str">
        <f t="shared" si="440"/>
        <v>PUR - CGS</v>
      </c>
      <c r="B7084" s="33" t="str">
        <f t="shared" si="441"/>
        <v>PUR</v>
      </c>
      <c r="C7084" s="33" t="str">
        <f t="shared" si="442"/>
        <v>51008-0000</v>
      </c>
      <c r="D7084" s="64" t="s">
        <v>8320</v>
      </c>
      <c r="E7084" s="64" t="s">
        <v>3743</v>
      </c>
      <c r="F7084" s="64" t="s">
        <v>230</v>
      </c>
      <c r="G7084" s="64" t="s">
        <v>3740</v>
      </c>
      <c r="H7084" s="64" t="s">
        <v>1875</v>
      </c>
      <c r="I7084" s="64" t="s">
        <v>3744</v>
      </c>
      <c r="J7084" s="67">
        <v>602.27</v>
      </c>
      <c r="K7084" s="62">
        <v>7482.83</v>
      </c>
      <c r="L7084" s="33" t="e">
        <f>HLOOKUP(B7084,#REF!,1,0)</f>
        <v>#REF!</v>
      </c>
      <c r="M7084" s="33" t="str">
        <f t="shared" si="443"/>
        <v>P&amp;L</v>
      </c>
    </row>
    <row r="7085" spans="1:13" s="33" customFormat="true" ht="12.75" customHeight="true">
      <c r="A7085" s="33" t="str">
        <f t="shared" si="440"/>
        <v>PUR - CGS</v>
      </c>
      <c r="B7085" s="33" t="str">
        <f t="shared" si="441"/>
        <v>PUR</v>
      </c>
      <c r="C7085" s="33" t="str">
        <f t="shared" si="442"/>
        <v>51009-0000</v>
      </c>
      <c r="D7085" s="64" t="s">
        <v>8321</v>
      </c>
      <c r="E7085" s="64" t="s">
        <v>3746</v>
      </c>
      <c r="F7085" s="64" t="s">
        <v>230</v>
      </c>
      <c r="G7085" s="64" t="s">
        <v>3740</v>
      </c>
      <c r="H7085" s="64" t="s">
        <v>1875</v>
      </c>
      <c r="I7085" s="64" t="s">
        <v>3747</v>
      </c>
      <c r="J7085" s="67">
        <v>0</v>
      </c>
      <c r="K7085" s="62">
        <v>4289.49</v>
      </c>
      <c r="L7085" s="33" t="e">
        <f>HLOOKUP(B7085,#REF!,1,0)</f>
        <v>#REF!</v>
      </c>
      <c r="M7085" s="33" t="str">
        <f t="shared" si="443"/>
        <v>P&amp;L</v>
      </c>
    </row>
    <row r="7086" spans="1:13" s="33" customFormat="true" ht="12.75" customHeight="true">
      <c r="A7086" s="33" t="str">
        <f t="shared" si="440"/>
        <v>PUR - CGS</v>
      </c>
      <c r="B7086" s="33" t="str">
        <f t="shared" si="441"/>
        <v>PUR</v>
      </c>
      <c r="C7086" s="33" t="str">
        <f t="shared" si="442"/>
        <v>51010-0000</v>
      </c>
      <c r="D7086" s="64" t="s">
        <v>8322</v>
      </c>
      <c r="E7086" s="64" t="s">
        <v>7509</v>
      </c>
      <c r="F7086" s="64" t="s">
        <v>230</v>
      </c>
      <c r="G7086" s="64" t="s">
        <v>3740</v>
      </c>
      <c r="H7086" s="64" t="s">
        <v>1875</v>
      </c>
      <c r="I7086" s="64" t="s">
        <v>7510</v>
      </c>
      <c r="J7086" s="67">
        <v>82.69</v>
      </c>
      <c r="K7086" s="62">
        <v>82.69</v>
      </c>
      <c r="L7086" s="33" t="e">
        <f>HLOOKUP(B7086,#REF!,1,0)</f>
        <v>#REF!</v>
      </c>
      <c r="M7086" s="33" t="str">
        <f t="shared" si="443"/>
        <v>P&amp;L</v>
      </c>
    </row>
    <row r="7087" spans="1:13" s="33" customFormat="true" ht="12.75" customHeight="true">
      <c r="A7087" s="33" t="str">
        <f t="shared" si="440"/>
        <v>PUR - CGS</v>
      </c>
      <c r="B7087" s="33" t="str">
        <f t="shared" si="441"/>
        <v>PUR</v>
      </c>
      <c r="C7087" s="33" t="str">
        <f t="shared" si="442"/>
        <v>51011-0000</v>
      </c>
      <c r="D7087" s="64" t="s">
        <v>8323</v>
      </c>
      <c r="E7087" s="64" t="s">
        <v>3749</v>
      </c>
      <c r="F7087" s="64" t="s">
        <v>230</v>
      </c>
      <c r="G7087" s="64" t="s">
        <v>3740</v>
      </c>
      <c r="H7087" s="64" t="s">
        <v>1875</v>
      </c>
      <c r="I7087" s="64" t="s">
        <v>3750</v>
      </c>
      <c r="J7087" s="67">
        <v>600</v>
      </c>
      <c r="K7087" s="62">
        <v>6318</v>
      </c>
      <c r="L7087" s="33" t="e">
        <f>HLOOKUP(B7087,#REF!,1,0)</f>
        <v>#REF!</v>
      </c>
      <c r="M7087" s="33" t="str">
        <f t="shared" si="443"/>
        <v>P&amp;L</v>
      </c>
    </row>
    <row r="7088" spans="1:13" s="33" customFormat="true" ht="12.75" customHeight="true">
      <c r="A7088" s="33" t="str">
        <f t="shared" si="440"/>
        <v>PUR - CGS</v>
      </c>
      <c r="B7088" s="33" t="str">
        <f t="shared" si="441"/>
        <v>PUR</v>
      </c>
      <c r="C7088" s="33" t="str">
        <f t="shared" si="442"/>
        <v>51012-0000</v>
      </c>
      <c r="D7088" s="64" t="s">
        <v>8324</v>
      </c>
      <c r="E7088" s="64" t="s">
        <v>3752</v>
      </c>
      <c r="F7088" s="64" t="s">
        <v>230</v>
      </c>
      <c r="G7088" s="64" t="s">
        <v>3740</v>
      </c>
      <c r="H7088" s="64" t="s">
        <v>1875</v>
      </c>
      <c r="I7088" s="64" t="s">
        <v>3753</v>
      </c>
      <c r="J7088" s="67">
        <v>70</v>
      </c>
      <c r="K7088" s="62">
        <v>700</v>
      </c>
      <c r="L7088" s="33" t="e">
        <f>HLOOKUP(B7088,#REF!,1,0)</f>
        <v>#REF!</v>
      </c>
      <c r="M7088" s="33" t="str">
        <f t="shared" si="443"/>
        <v>P&amp;L</v>
      </c>
    </row>
    <row r="7089" spans="1:13" s="33" customFormat="true" ht="12.75" customHeight="true">
      <c r="A7089" s="33" t="str">
        <f t="shared" si="440"/>
        <v>PUR - CGS</v>
      </c>
      <c r="B7089" s="33" t="str">
        <f t="shared" si="441"/>
        <v>PUR</v>
      </c>
      <c r="C7089" s="33" t="str">
        <f t="shared" si="442"/>
        <v>51013-0000</v>
      </c>
      <c r="D7089" s="64" t="s">
        <v>8325</v>
      </c>
      <c r="E7089" s="64" t="s">
        <v>3979</v>
      </c>
      <c r="F7089" s="64" t="s">
        <v>230</v>
      </c>
      <c r="G7089" s="64" t="s">
        <v>3740</v>
      </c>
      <c r="H7089" s="64" t="s">
        <v>1875</v>
      </c>
      <c r="I7089" s="64" t="s">
        <v>3980</v>
      </c>
      <c r="J7089" s="67">
        <v>0</v>
      </c>
      <c r="K7089" s="62">
        <v>4095</v>
      </c>
      <c r="L7089" s="33" t="e">
        <f>HLOOKUP(B7089,#REF!,1,0)</f>
        <v>#REF!</v>
      </c>
      <c r="M7089" s="33" t="str">
        <f t="shared" si="443"/>
        <v>P&amp;L</v>
      </c>
    </row>
    <row r="7090" spans="1:13" s="33" customFormat="true" ht="12.75" customHeight="true">
      <c r="A7090" s="33" t="str">
        <f t="shared" si="440"/>
        <v>PUR - CGS</v>
      </c>
      <c r="B7090" s="33" t="str">
        <f t="shared" si="441"/>
        <v>PUR</v>
      </c>
      <c r="C7090" s="33" t="str">
        <f t="shared" si="442"/>
        <v>51015-0000</v>
      </c>
      <c r="D7090" s="64" t="s">
        <v>8326</v>
      </c>
      <c r="E7090" s="64" t="s">
        <v>3755</v>
      </c>
      <c r="F7090" s="64" t="s">
        <v>230</v>
      </c>
      <c r="G7090" s="64" t="s">
        <v>3740</v>
      </c>
      <c r="H7090" s="64" t="s">
        <v>1875</v>
      </c>
      <c r="I7090" s="64" t="s">
        <v>3756</v>
      </c>
      <c r="J7090" s="67">
        <v>0</v>
      </c>
      <c r="K7090" s="62">
        <v>190</v>
      </c>
      <c r="L7090" s="33" t="e">
        <f>HLOOKUP(B7090,#REF!,1,0)</f>
        <v>#REF!</v>
      </c>
      <c r="M7090" s="33" t="str">
        <f t="shared" si="443"/>
        <v>P&amp;L</v>
      </c>
    </row>
    <row r="7091" spans="1:13" s="33" customFormat="true" ht="12.75" customHeight="true">
      <c r="A7091" s="33" t="str">
        <f t="shared" si="440"/>
        <v>PUR - CGS</v>
      </c>
      <c r="B7091" s="33" t="str">
        <f t="shared" si="441"/>
        <v>PUR</v>
      </c>
      <c r="C7091" s="33" t="str">
        <f t="shared" si="442"/>
        <v>51018-0000</v>
      </c>
      <c r="D7091" s="64" t="s">
        <v>8327</v>
      </c>
      <c r="E7091" s="64" t="s">
        <v>3984</v>
      </c>
      <c r="F7091" s="64" t="s">
        <v>230</v>
      </c>
      <c r="G7091" s="64" t="s">
        <v>3740</v>
      </c>
      <c r="H7091" s="64" t="s">
        <v>1875</v>
      </c>
      <c r="I7091" s="64" t="s">
        <v>3319</v>
      </c>
      <c r="J7091" s="67">
        <v>0</v>
      </c>
      <c r="K7091" s="62">
        <v>50.85</v>
      </c>
      <c r="L7091" s="33" t="e">
        <f>HLOOKUP(B7091,#REF!,1,0)</f>
        <v>#REF!</v>
      </c>
      <c r="M7091" s="33" t="str">
        <f t="shared" si="443"/>
        <v>P&amp;L</v>
      </c>
    </row>
    <row r="7092" spans="1:13" s="33" customFormat="true" ht="12.75" customHeight="true">
      <c r="A7092" s="33" t="str">
        <f t="shared" si="440"/>
        <v>PUR - CGS</v>
      </c>
      <c r="B7092" s="33" t="str">
        <f t="shared" si="441"/>
        <v>PUR</v>
      </c>
      <c r="C7092" s="33" t="str">
        <f t="shared" si="442"/>
        <v>51020-0000</v>
      </c>
      <c r="D7092" s="64" t="s">
        <v>8328</v>
      </c>
      <c r="E7092" s="64" t="s">
        <v>3763</v>
      </c>
      <c r="F7092" s="64" t="s">
        <v>230</v>
      </c>
      <c r="G7092" s="64" t="s">
        <v>3740</v>
      </c>
      <c r="H7092" s="64" t="s">
        <v>1875</v>
      </c>
      <c r="I7092" s="64" t="s">
        <v>3345</v>
      </c>
      <c r="J7092" s="67">
        <v>0</v>
      </c>
      <c r="K7092" s="62">
        <v>188.86</v>
      </c>
      <c r="L7092" s="33" t="e">
        <f>HLOOKUP(B7092,#REF!,1,0)</f>
        <v>#REF!</v>
      </c>
      <c r="M7092" s="33" t="str">
        <f t="shared" si="443"/>
        <v>P&amp;L</v>
      </c>
    </row>
    <row r="7093" spans="1:13" s="33" customFormat="true" ht="12.75" customHeight="true">
      <c r="A7093" s="33" t="str">
        <f t="shared" si="440"/>
        <v>PUR - CGS</v>
      </c>
      <c r="B7093" s="33" t="str">
        <f t="shared" si="441"/>
        <v>PUR</v>
      </c>
      <c r="C7093" s="33" t="str">
        <f t="shared" si="442"/>
        <v>51025-0000</v>
      </c>
      <c r="D7093" s="64" t="s">
        <v>8329</v>
      </c>
      <c r="E7093" s="64" t="s">
        <v>3988</v>
      </c>
      <c r="F7093" s="64" t="s">
        <v>230</v>
      </c>
      <c r="G7093" s="64" t="s">
        <v>3740</v>
      </c>
      <c r="H7093" s="64" t="s">
        <v>1875</v>
      </c>
      <c r="I7093" s="64" t="s">
        <v>3989</v>
      </c>
      <c r="J7093" s="67">
        <v>624.42</v>
      </c>
      <c r="K7093" s="62">
        <v>6344.95</v>
      </c>
      <c r="L7093" s="33" t="e">
        <f>HLOOKUP(B7093,#REF!,1,0)</f>
        <v>#REF!</v>
      </c>
      <c r="M7093" s="33" t="str">
        <f t="shared" si="443"/>
        <v>P&amp;L</v>
      </c>
    </row>
    <row r="7094" spans="1:13" s="33" customFormat="true" ht="12.75" customHeight="true">
      <c r="A7094" s="33" t="str">
        <f t="shared" si="440"/>
        <v>PUR - CGS</v>
      </c>
      <c r="B7094" s="33" t="str">
        <f t="shared" si="441"/>
        <v>PUR</v>
      </c>
      <c r="C7094" s="33" t="str">
        <f t="shared" si="442"/>
        <v>52001-0000</v>
      </c>
      <c r="D7094" s="64" t="s">
        <v>8330</v>
      </c>
      <c r="E7094" s="64" t="s">
        <v>3768</v>
      </c>
      <c r="F7094" s="64" t="s">
        <v>230</v>
      </c>
      <c r="G7094" s="64" t="s">
        <v>3769</v>
      </c>
      <c r="H7094" s="64" t="s">
        <v>1875</v>
      </c>
      <c r="I7094" s="64" t="s">
        <v>3770</v>
      </c>
      <c r="J7094" s="67">
        <v>0</v>
      </c>
      <c r="K7094" s="62">
        <v>49.95</v>
      </c>
      <c r="L7094" s="33" t="e">
        <f>HLOOKUP(B7094,#REF!,1,0)</f>
        <v>#REF!</v>
      </c>
      <c r="M7094" s="33" t="str">
        <f t="shared" si="443"/>
        <v>P&amp;L</v>
      </c>
    </row>
    <row r="7095" spans="1:13" s="33" customFormat="true" ht="12.75" customHeight="true">
      <c r="A7095" s="33" t="str">
        <f t="shared" si="440"/>
        <v>PUR - CGS</v>
      </c>
      <c r="B7095" s="33" t="str">
        <f t="shared" si="441"/>
        <v>PUR</v>
      </c>
      <c r="C7095" s="33" t="str">
        <f t="shared" si="442"/>
        <v>52003-0000</v>
      </c>
      <c r="D7095" s="64" t="s">
        <v>8331</v>
      </c>
      <c r="E7095" s="64" t="s">
        <v>3772</v>
      </c>
      <c r="F7095" s="64" t="s">
        <v>230</v>
      </c>
      <c r="G7095" s="64" t="s">
        <v>3769</v>
      </c>
      <c r="H7095" s="64" t="s">
        <v>1875</v>
      </c>
      <c r="I7095" s="64" t="s">
        <v>3773</v>
      </c>
      <c r="J7095" s="67">
        <v>0</v>
      </c>
      <c r="K7095" s="62">
        <v>0</v>
      </c>
      <c r="L7095" s="33" t="e">
        <f>HLOOKUP(B7095,#REF!,1,0)</f>
        <v>#REF!</v>
      </c>
      <c r="M7095" s="33" t="str">
        <f t="shared" si="443"/>
        <v>P&amp;L</v>
      </c>
    </row>
    <row r="7096" spans="1:13" s="33" customFormat="true" ht="12.75" customHeight="true">
      <c r="A7096" s="33" t="str">
        <f t="shared" si="440"/>
        <v>PUR - CGS</v>
      </c>
      <c r="B7096" s="33" t="str">
        <f t="shared" si="441"/>
        <v>PUR</v>
      </c>
      <c r="C7096" s="33" t="str">
        <f t="shared" si="442"/>
        <v>53001-0000</v>
      </c>
      <c r="D7096" s="64" t="s">
        <v>8332</v>
      </c>
      <c r="E7096" s="64" t="s">
        <v>3781</v>
      </c>
      <c r="F7096" s="64" t="s">
        <v>230</v>
      </c>
      <c r="G7096" s="64" t="s">
        <v>3160</v>
      </c>
      <c r="H7096" s="64" t="s">
        <v>1875</v>
      </c>
      <c r="I7096" s="64" t="s">
        <v>3782</v>
      </c>
      <c r="J7096" s="67">
        <v>60</v>
      </c>
      <c r="K7096" s="62">
        <v>800.32</v>
      </c>
      <c r="L7096" s="33" t="e">
        <f>HLOOKUP(B7096,#REF!,1,0)</f>
        <v>#REF!</v>
      </c>
      <c r="M7096" s="33" t="str">
        <f t="shared" si="443"/>
        <v>P&amp;L</v>
      </c>
    </row>
    <row r="7097" spans="1:13" s="33" customFormat="true" ht="12.75" customHeight="true">
      <c r="A7097" s="33" t="str">
        <f t="shared" si="440"/>
        <v>PUR - CGS</v>
      </c>
      <c r="B7097" s="33" t="str">
        <f t="shared" si="441"/>
        <v>PUR</v>
      </c>
      <c r="C7097" s="33" t="str">
        <f t="shared" si="442"/>
        <v>53002-0000</v>
      </c>
      <c r="D7097" s="64" t="s">
        <v>8333</v>
      </c>
      <c r="E7097" s="64" t="s">
        <v>3784</v>
      </c>
      <c r="F7097" s="64" t="s">
        <v>230</v>
      </c>
      <c r="G7097" s="64" t="s">
        <v>3160</v>
      </c>
      <c r="H7097" s="64" t="s">
        <v>1875</v>
      </c>
      <c r="I7097" s="64" t="s">
        <v>3785</v>
      </c>
      <c r="J7097" s="67">
        <v>1549.42</v>
      </c>
      <c r="K7097" s="62">
        <v>15494.2</v>
      </c>
      <c r="L7097" s="33" t="e">
        <f>HLOOKUP(B7097,#REF!,1,0)</f>
        <v>#REF!</v>
      </c>
      <c r="M7097" s="33" t="str">
        <f t="shared" si="443"/>
        <v>P&amp;L</v>
      </c>
    </row>
    <row r="7098" spans="1:13" s="33" customFormat="true" ht="12.75" customHeight="true">
      <c r="A7098" s="33" t="str">
        <f t="shared" si="440"/>
        <v>PUR - CGS</v>
      </c>
      <c r="B7098" s="33" t="str">
        <f t="shared" si="441"/>
        <v>PUR</v>
      </c>
      <c r="C7098" s="33" t="str">
        <f t="shared" si="442"/>
        <v>53003-0000</v>
      </c>
      <c r="D7098" s="64" t="s">
        <v>8334</v>
      </c>
      <c r="E7098" s="64" t="s">
        <v>3787</v>
      </c>
      <c r="F7098" s="64" t="s">
        <v>230</v>
      </c>
      <c r="G7098" s="64" t="s">
        <v>3160</v>
      </c>
      <c r="H7098" s="64" t="s">
        <v>1875</v>
      </c>
      <c r="I7098" s="64" t="s">
        <v>3788</v>
      </c>
      <c r="J7098" s="67">
        <v>0</v>
      </c>
      <c r="K7098" s="62">
        <v>6964.37</v>
      </c>
      <c r="L7098" s="33" t="e">
        <f>HLOOKUP(B7098,#REF!,1,0)</f>
        <v>#REF!</v>
      </c>
      <c r="M7098" s="33" t="str">
        <f t="shared" si="443"/>
        <v>P&amp;L</v>
      </c>
    </row>
    <row r="7099" spans="1:13" s="33" customFormat="true" ht="12.75" customHeight="true">
      <c r="A7099" s="33" t="str">
        <f t="shared" si="440"/>
        <v>PUR - CGS</v>
      </c>
      <c r="B7099" s="33" t="str">
        <f t="shared" si="441"/>
        <v>PUR</v>
      </c>
      <c r="C7099" s="33" t="str">
        <f t="shared" si="442"/>
        <v>53004-0000</v>
      </c>
      <c r="D7099" s="64" t="s">
        <v>8335</v>
      </c>
      <c r="E7099" s="64" t="s">
        <v>3790</v>
      </c>
      <c r="F7099" s="64" t="s">
        <v>230</v>
      </c>
      <c r="G7099" s="64" t="s">
        <v>3160</v>
      </c>
      <c r="H7099" s="64" t="s">
        <v>1875</v>
      </c>
      <c r="I7099" s="64" t="s">
        <v>3791</v>
      </c>
      <c r="J7099" s="67">
        <v>1122.63</v>
      </c>
      <c r="K7099" s="62">
        <v>15852.52</v>
      </c>
      <c r="L7099" s="33" t="e">
        <f>HLOOKUP(B7099,#REF!,1,0)</f>
        <v>#REF!</v>
      </c>
      <c r="M7099" s="33" t="str">
        <f t="shared" si="443"/>
        <v>P&amp;L</v>
      </c>
    </row>
    <row r="7100" spans="1:13" s="33" customFormat="true" ht="12.75" customHeight="true">
      <c r="A7100" s="33" t="str">
        <f t="shared" si="440"/>
        <v>PUR - CGS</v>
      </c>
      <c r="B7100" s="33" t="str">
        <f t="shared" si="441"/>
        <v>PUR</v>
      </c>
      <c r="C7100" s="33" t="str">
        <f t="shared" si="442"/>
        <v>53005-0000</v>
      </c>
      <c r="D7100" s="64" t="s">
        <v>8336</v>
      </c>
      <c r="E7100" s="64" t="s">
        <v>3793</v>
      </c>
      <c r="F7100" s="64" t="s">
        <v>230</v>
      </c>
      <c r="G7100" s="64" t="s">
        <v>3160</v>
      </c>
      <c r="H7100" s="64" t="s">
        <v>1875</v>
      </c>
      <c r="I7100" s="64" t="s">
        <v>3794</v>
      </c>
      <c r="J7100" s="67">
        <v>0</v>
      </c>
      <c r="K7100" s="62">
        <v>20030.3</v>
      </c>
      <c r="L7100" s="33" t="e">
        <f>HLOOKUP(B7100,#REF!,1,0)</f>
        <v>#REF!</v>
      </c>
      <c r="M7100" s="33" t="str">
        <f t="shared" si="443"/>
        <v>P&amp;L</v>
      </c>
    </row>
    <row r="7101" spans="1:13" s="33" customFormat="true" ht="12.75" customHeight="true">
      <c r="A7101" s="33" t="str">
        <f t="shared" si="440"/>
        <v>PUR - CGS</v>
      </c>
      <c r="B7101" s="33" t="str">
        <f t="shared" si="441"/>
        <v>PUR</v>
      </c>
      <c r="C7101" s="33" t="str">
        <f t="shared" si="442"/>
        <v>53006-0000</v>
      </c>
      <c r="D7101" s="64" t="s">
        <v>8337</v>
      </c>
      <c r="E7101" s="64" t="s">
        <v>3796</v>
      </c>
      <c r="F7101" s="64" t="s">
        <v>230</v>
      </c>
      <c r="G7101" s="64" t="s">
        <v>3160</v>
      </c>
      <c r="H7101" s="64" t="s">
        <v>1875</v>
      </c>
      <c r="I7101" s="64" t="s">
        <v>3797</v>
      </c>
      <c r="J7101" s="67">
        <v>0</v>
      </c>
      <c r="K7101" s="62">
        <v>27722.96</v>
      </c>
      <c r="L7101" s="33" t="e">
        <f>HLOOKUP(B7101,#REF!,1,0)</f>
        <v>#REF!</v>
      </c>
      <c r="M7101" s="33" t="str">
        <f t="shared" si="443"/>
        <v>P&amp;L</v>
      </c>
    </row>
    <row r="7102" spans="1:13" s="33" customFormat="true" ht="12.75" customHeight="true">
      <c r="A7102" s="33" t="str">
        <f t="shared" si="440"/>
        <v>PUR - CGS</v>
      </c>
      <c r="B7102" s="33" t="str">
        <f t="shared" si="441"/>
        <v>PUR</v>
      </c>
      <c r="C7102" s="33" t="str">
        <f t="shared" si="442"/>
        <v>54002-0000</v>
      </c>
      <c r="D7102" s="64" t="s">
        <v>8338</v>
      </c>
      <c r="E7102" s="64" t="s">
        <v>3799</v>
      </c>
      <c r="F7102" s="64" t="s">
        <v>230</v>
      </c>
      <c r="G7102" s="64" t="s">
        <v>3800</v>
      </c>
      <c r="H7102" s="64" t="s">
        <v>1875</v>
      </c>
      <c r="I7102" s="64" t="s">
        <v>3801</v>
      </c>
      <c r="J7102" s="67">
        <v>0</v>
      </c>
      <c r="K7102" s="62">
        <v>2239.2</v>
      </c>
      <c r="L7102" s="33" t="e">
        <f>HLOOKUP(B7102,#REF!,1,0)</f>
        <v>#REF!</v>
      </c>
      <c r="M7102" s="33" t="str">
        <f t="shared" si="443"/>
        <v>P&amp;L</v>
      </c>
    </row>
    <row r="7103" spans="1:13" s="33" customFormat="true" ht="12.75" customHeight="true">
      <c r="A7103" s="33" t="str">
        <f t="shared" si="440"/>
        <v>PUR - CGS</v>
      </c>
      <c r="B7103" s="33" t="str">
        <f t="shared" si="441"/>
        <v>PUR</v>
      </c>
      <c r="C7103" s="33" t="str">
        <f t="shared" si="442"/>
        <v>54003-0000</v>
      </c>
      <c r="D7103" s="64" t="s">
        <v>8339</v>
      </c>
      <c r="E7103" s="64" t="s">
        <v>3803</v>
      </c>
      <c r="F7103" s="64" t="s">
        <v>230</v>
      </c>
      <c r="G7103" s="64" t="s">
        <v>3800</v>
      </c>
      <c r="H7103" s="64" t="s">
        <v>1875</v>
      </c>
      <c r="I7103" s="64" t="s">
        <v>3804</v>
      </c>
      <c r="J7103" s="67">
        <v>0</v>
      </c>
      <c r="K7103" s="62">
        <v>0</v>
      </c>
      <c r="L7103" s="33" t="e">
        <f>HLOOKUP(B7103,#REF!,1,0)</f>
        <v>#REF!</v>
      </c>
      <c r="M7103" s="33" t="str">
        <f t="shared" si="443"/>
        <v>P&amp;L</v>
      </c>
    </row>
    <row r="7104" spans="1:13" s="33" customFormat="true" ht="12.75" customHeight="true">
      <c r="A7104" s="33" t="str">
        <f t="shared" si="440"/>
        <v>PUR - CGS</v>
      </c>
      <c r="B7104" s="33" t="str">
        <f t="shared" si="441"/>
        <v>PUR</v>
      </c>
      <c r="C7104" s="33" t="str">
        <f t="shared" si="442"/>
        <v>54004-0000</v>
      </c>
      <c r="D7104" s="64" t="s">
        <v>8340</v>
      </c>
      <c r="E7104" s="64" t="s">
        <v>3806</v>
      </c>
      <c r="F7104" s="64" t="s">
        <v>230</v>
      </c>
      <c r="G7104" s="64" t="s">
        <v>3800</v>
      </c>
      <c r="H7104" s="64" t="s">
        <v>1875</v>
      </c>
      <c r="I7104" s="64" t="s">
        <v>3807</v>
      </c>
      <c r="J7104" s="67">
        <v>660</v>
      </c>
      <c r="K7104" s="62">
        <v>6564.34</v>
      </c>
      <c r="L7104" s="33" t="e">
        <f>HLOOKUP(B7104,#REF!,1,0)</f>
        <v>#REF!</v>
      </c>
      <c r="M7104" s="33" t="str">
        <f t="shared" si="443"/>
        <v>P&amp;L</v>
      </c>
    </row>
    <row r="7105" spans="1:13" s="33" customFormat="true" ht="12.75" customHeight="true">
      <c r="A7105" s="33" t="str">
        <f t="shared" si="440"/>
        <v>PUR - CGS</v>
      </c>
      <c r="B7105" s="33" t="str">
        <f t="shared" si="441"/>
        <v>PUR</v>
      </c>
      <c r="C7105" s="33" t="str">
        <f t="shared" si="442"/>
        <v>54005-0000</v>
      </c>
      <c r="D7105" s="64" t="s">
        <v>8341</v>
      </c>
      <c r="E7105" s="64" t="s">
        <v>3809</v>
      </c>
      <c r="F7105" s="64" t="s">
        <v>230</v>
      </c>
      <c r="G7105" s="64" t="s">
        <v>3800</v>
      </c>
      <c r="H7105" s="64" t="s">
        <v>1875</v>
      </c>
      <c r="I7105" s="64" t="s">
        <v>3810</v>
      </c>
      <c r="J7105" s="67">
        <v>29.05</v>
      </c>
      <c r="K7105" s="62">
        <v>287.2</v>
      </c>
      <c r="L7105" s="33" t="e">
        <f>HLOOKUP(B7105,#REF!,1,0)</f>
        <v>#REF!</v>
      </c>
      <c r="M7105" s="33" t="str">
        <f t="shared" si="443"/>
        <v>P&amp;L</v>
      </c>
    </row>
    <row r="7106" spans="1:13" s="33" customFormat="true" ht="12.75" customHeight="true">
      <c r="A7106" s="33" t="str">
        <f t="shared" ref="A7106:A7169" si="444">B7106&amp;" - "&amp;TRIM(H7106)</f>
        <v>PUR - CGS</v>
      </c>
      <c r="B7106" s="33" t="str">
        <f t="shared" ref="B7106:B7169" si="445">LEFT(D7106,3)</f>
        <v>PUR</v>
      </c>
      <c r="C7106" s="33" t="str">
        <f t="shared" ref="C7106:C7169" si="446">RIGHT(D7106,10)</f>
        <v>54006-0000</v>
      </c>
      <c r="D7106" s="64" t="s">
        <v>8342</v>
      </c>
      <c r="E7106" s="64" t="s">
        <v>3812</v>
      </c>
      <c r="F7106" s="64" t="s">
        <v>230</v>
      </c>
      <c r="G7106" s="64" t="s">
        <v>3800</v>
      </c>
      <c r="H7106" s="64" t="s">
        <v>1875</v>
      </c>
      <c r="I7106" s="64" t="s">
        <v>3003</v>
      </c>
      <c r="J7106" s="67">
        <v>342.84</v>
      </c>
      <c r="K7106" s="62">
        <v>4442.04</v>
      </c>
      <c r="L7106" s="33" t="e">
        <f>HLOOKUP(B7106,#REF!,1,0)</f>
        <v>#REF!</v>
      </c>
      <c r="M7106" s="33" t="str">
        <f t="shared" ref="M7106:M7169" si="447">IF(VALUE(LEFT(C7106,5))&gt;40000,"P&amp;L","BS")</f>
        <v>P&amp;L</v>
      </c>
    </row>
    <row r="7107" spans="1:13" s="33" customFormat="true" ht="12.75" customHeight="true">
      <c r="A7107" s="33" t="str">
        <f t="shared" si="444"/>
        <v>PUR - CGS</v>
      </c>
      <c r="B7107" s="33" t="str">
        <f t="shared" si="445"/>
        <v>PUR</v>
      </c>
      <c r="C7107" s="33" t="str">
        <f t="shared" si="446"/>
        <v>54007-0000</v>
      </c>
      <c r="D7107" s="64" t="s">
        <v>8343</v>
      </c>
      <c r="E7107" s="64" t="s">
        <v>3814</v>
      </c>
      <c r="F7107" s="64" t="s">
        <v>230</v>
      </c>
      <c r="G7107" s="64" t="s">
        <v>3800</v>
      </c>
      <c r="H7107" s="64" t="s">
        <v>1875</v>
      </c>
      <c r="I7107" s="64" t="s">
        <v>3815</v>
      </c>
      <c r="J7107" s="67">
        <v>1844.77</v>
      </c>
      <c r="K7107" s="62">
        <v>9549.67</v>
      </c>
      <c r="L7107" s="33" t="e">
        <f>HLOOKUP(B7107,#REF!,1,0)</f>
        <v>#REF!</v>
      </c>
      <c r="M7107" s="33" t="str">
        <f t="shared" si="447"/>
        <v>P&amp;L</v>
      </c>
    </row>
    <row r="7108" spans="1:13" s="33" customFormat="true" ht="12.75" customHeight="true">
      <c r="A7108" s="33" t="str">
        <f t="shared" si="444"/>
        <v>PUR - PM Expenses</v>
      </c>
      <c r="B7108" s="33" t="str">
        <f t="shared" si="445"/>
        <v>PUR</v>
      </c>
      <c r="C7108" s="33" t="str">
        <f t="shared" si="446"/>
        <v>55501-0000</v>
      </c>
      <c r="D7108" s="64" t="s">
        <v>8344</v>
      </c>
      <c r="E7108" s="64" t="s">
        <v>3817</v>
      </c>
      <c r="F7108" s="64" t="s">
        <v>230</v>
      </c>
      <c r="G7108" s="64" t="s">
        <v>3818</v>
      </c>
      <c r="H7108" s="64" t="s">
        <v>3819</v>
      </c>
      <c r="I7108" s="64" t="s">
        <v>3820</v>
      </c>
      <c r="J7108" s="67">
        <v>400</v>
      </c>
      <c r="K7108" s="62">
        <v>1439</v>
      </c>
      <c r="L7108" s="33" t="e">
        <f>HLOOKUP(B7108,#REF!,1,0)</f>
        <v>#REF!</v>
      </c>
      <c r="M7108" s="33" t="str">
        <f t="shared" si="447"/>
        <v>P&amp;L</v>
      </c>
    </row>
    <row r="7109" spans="1:13" s="33" customFormat="true" ht="12.75" customHeight="true">
      <c r="A7109" s="33" t="str">
        <f t="shared" si="444"/>
        <v>PUR - PM Expenses</v>
      </c>
      <c r="B7109" s="33" t="str">
        <f t="shared" si="445"/>
        <v>PUR</v>
      </c>
      <c r="C7109" s="33" t="str">
        <f t="shared" si="446"/>
        <v>55502-0000</v>
      </c>
      <c r="D7109" s="64" t="s">
        <v>8345</v>
      </c>
      <c r="E7109" s="64" t="s">
        <v>3822</v>
      </c>
      <c r="F7109" s="64" t="s">
        <v>230</v>
      </c>
      <c r="G7109" s="64" t="s">
        <v>3818</v>
      </c>
      <c r="H7109" s="64" t="s">
        <v>3819</v>
      </c>
      <c r="I7109" s="64" t="s">
        <v>3823</v>
      </c>
      <c r="J7109" s="67">
        <v>558</v>
      </c>
      <c r="K7109" s="62">
        <v>10469.65</v>
      </c>
      <c r="L7109" s="33" t="e">
        <f>HLOOKUP(B7109,#REF!,1,0)</f>
        <v>#REF!</v>
      </c>
      <c r="M7109" s="33" t="str">
        <f t="shared" si="447"/>
        <v>P&amp;L</v>
      </c>
    </row>
    <row r="7110" spans="1:13" s="33" customFormat="true" ht="12.75" customHeight="true">
      <c r="A7110" s="33" t="str">
        <f t="shared" si="444"/>
        <v>PUR - PM Expenses</v>
      </c>
      <c r="B7110" s="33" t="str">
        <f t="shared" si="445"/>
        <v>PUR</v>
      </c>
      <c r="C7110" s="33" t="str">
        <f t="shared" si="446"/>
        <v>55503-0000</v>
      </c>
      <c r="D7110" s="64" t="s">
        <v>8346</v>
      </c>
      <c r="E7110" s="64" t="s">
        <v>3825</v>
      </c>
      <c r="F7110" s="64" t="s">
        <v>230</v>
      </c>
      <c r="G7110" s="64" t="s">
        <v>3818</v>
      </c>
      <c r="H7110" s="64" t="s">
        <v>3819</v>
      </c>
      <c r="I7110" s="64" t="s">
        <v>3826</v>
      </c>
      <c r="J7110" s="67">
        <v>421</v>
      </c>
      <c r="K7110" s="62">
        <v>12144.31</v>
      </c>
      <c r="L7110" s="33" t="e">
        <f>HLOOKUP(B7110,#REF!,1,0)</f>
        <v>#REF!</v>
      </c>
      <c r="M7110" s="33" t="str">
        <f t="shared" si="447"/>
        <v>P&amp;L</v>
      </c>
    </row>
    <row r="7111" spans="1:13" s="33" customFormat="true" ht="12.75" customHeight="true">
      <c r="A7111" s="33" t="str">
        <f t="shared" si="444"/>
        <v>PUR - PM Expenses</v>
      </c>
      <c r="B7111" s="33" t="str">
        <f t="shared" si="445"/>
        <v>PUR</v>
      </c>
      <c r="C7111" s="33" t="str">
        <f t="shared" si="446"/>
        <v>55504-0000</v>
      </c>
      <c r="D7111" s="64" t="s">
        <v>8347</v>
      </c>
      <c r="E7111" s="64" t="s">
        <v>4027</v>
      </c>
      <c r="F7111" s="64" t="s">
        <v>230</v>
      </c>
      <c r="G7111" s="64" t="s">
        <v>3818</v>
      </c>
      <c r="H7111" s="64" t="s">
        <v>3819</v>
      </c>
      <c r="I7111" s="64" t="s">
        <v>4028</v>
      </c>
      <c r="J7111" s="67">
        <v>0</v>
      </c>
      <c r="K7111" s="62">
        <v>705.96</v>
      </c>
      <c r="L7111" s="33" t="e">
        <f>HLOOKUP(B7111,#REF!,1,0)</f>
        <v>#REF!</v>
      </c>
      <c r="M7111" s="33" t="str">
        <f t="shared" si="447"/>
        <v>P&amp;L</v>
      </c>
    </row>
    <row r="7112" spans="1:13" s="33" customFormat="true" ht="12.75" customHeight="true">
      <c r="A7112" s="33" t="str">
        <f t="shared" si="444"/>
        <v>PUR - PM Expenses</v>
      </c>
      <c r="B7112" s="33" t="str">
        <f t="shared" si="445"/>
        <v>PUR</v>
      </c>
      <c r="C7112" s="33" t="str">
        <f t="shared" si="446"/>
        <v>55505-0000</v>
      </c>
      <c r="D7112" s="64" t="s">
        <v>8348</v>
      </c>
      <c r="E7112" s="64" t="s">
        <v>3828</v>
      </c>
      <c r="F7112" s="64" t="s">
        <v>230</v>
      </c>
      <c r="G7112" s="64" t="s">
        <v>3818</v>
      </c>
      <c r="H7112" s="64" t="s">
        <v>3819</v>
      </c>
      <c r="I7112" s="64" t="s">
        <v>3829</v>
      </c>
      <c r="J7112" s="67">
        <v>2603.5</v>
      </c>
      <c r="K7112" s="62">
        <v>15671.49</v>
      </c>
      <c r="L7112" s="33" t="e">
        <f>HLOOKUP(B7112,#REF!,1,0)</f>
        <v>#REF!</v>
      </c>
      <c r="M7112" s="33" t="str">
        <f t="shared" si="447"/>
        <v>P&amp;L</v>
      </c>
    </row>
    <row r="7113" spans="1:13" s="33" customFormat="true" ht="12.75" customHeight="true">
      <c r="A7113" s="33" t="str">
        <f t="shared" si="444"/>
        <v>PUR - PM Expenses</v>
      </c>
      <c r="B7113" s="33" t="str">
        <f t="shared" si="445"/>
        <v>PUR</v>
      </c>
      <c r="C7113" s="33" t="str">
        <f t="shared" si="446"/>
        <v>55506-0000</v>
      </c>
      <c r="D7113" s="64" t="s">
        <v>8349</v>
      </c>
      <c r="E7113" s="64" t="s">
        <v>3831</v>
      </c>
      <c r="F7113" s="64" t="s">
        <v>230</v>
      </c>
      <c r="G7113" s="64" t="s">
        <v>3818</v>
      </c>
      <c r="H7113" s="64" t="s">
        <v>3819</v>
      </c>
      <c r="I7113" s="64" t="s">
        <v>3832</v>
      </c>
      <c r="J7113" s="67">
        <v>1904</v>
      </c>
      <c r="K7113" s="62">
        <v>7941.42</v>
      </c>
      <c r="L7113" s="33" t="e">
        <f>HLOOKUP(B7113,#REF!,1,0)</f>
        <v>#REF!</v>
      </c>
      <c r="M7113" s="33" t="str">
        <f t="shared" si="447"/>
        <v>P&amp;L</v>
      </c>
    </row>
    <row r="7114" spans="1:13" s="33" customFormat="true" ht="12.75" customHeight="true">
      <c r="A7114" s="33" t="str">
        <f t="shared" si="444"/>
        <v>PUR - PM Expenses</v>
      </c>
      <c r="B7114" s="33" t="str">
        <f t="shared" si="445"/>
        <v>PUR</v>
      </c>
      <c r="C7114" s="33" t="str">
        <f t="shared" si="446"/>
        <v>55507-0000</v>
      </c>
      <c r="D7114" s="64" t="s">
        <v>8350</v>
      </c>
      <c r="E7114" s="64" t="s">
        <v>3834</v>
      </c>
      <c r="F7114" s="64" t="s">
        <v>230</v>
      </c>
      <c r="G7114" s="64" t="s">
        <v>3818</v>
      </c>
      <c r="H7114" s="64" t="s">
        <v>3819</v>
      </c>
      <c r="I7114" s="64" t="s">
        <v>3835</v>
      </c>
      <c r="J7114" s="67">
        <v>109.37</v>
      </c>
      <c r="K7114" s="62">
        <v>3238.25</v>
      </c>
      <c r="L7114" s="33" t="e">
        <f>HLOOKUP(B7114,#REF!,1,0)</f>
        <v>#REF!</v>
      </c>
      <c r="M7114" s="33" t="str">
        <f t="shared" si="447"/>
        <v>P&amp;L</v>
      </c>
    </row>
    <row r="7115" spans="1:13" s="33" customFormat="true" ht="12.75" customHeight="true">
      <c r="A7115" s="33" t="str">
        <f t="shared" si="444"/>
        <v>PUR - CGS</v>
      </c>
      <c r="B7115" s="33" t="str">
        <f t="shared" si="445"/>
        <v>PUR</v>
      </c>
      <c r="C7115" s="33" t="str">
        <f t="shared" si="446"/>
        <v>60001-0000</v>
      </c>
      <c r="D7115" s="64" t="s">
        <v>8351</v>
      </c>
      <c r="E7115" s="64" t="s">
        <v>4192</v>
      </c>
      <c r="F7115" s="64" t="s">
        <v>230</v>
      </c>
      <c r="G7115" s="64" t="s">
        <v>3838</v>
      </c>
      <c r="H7115" s="64" t="s">
        <v>1875</v>
      </c>
      <c r="I7115" s="64" t="s">
        <v>4193</v>
      </c>
      <c r="J7115" s="67">
        <v>0</v>
      </c>
      <c r="K7115" s="62">
        <v>3840.84</v>
      </c>
      <c r="L7115" s="33" t="e">
        <f>HLOOKUP(B7115,#REF!,1,0)</f>
        <v>#REF!</v>
      </c>
      <c r="M7115" s="33" t="str">
        <f t="shared" si="447"/>
        <v>P&amp;L</v>
      </c>
    </row>
    <row r="7116" spans="1:13" s="33" customFormat="true" ht="12.75" customHeight="true">
      <c r="A7116" s="33" t="str">
        <f t="shared" si="444"/>
        <v>PUR - CGS</v>
      </c>
      <c r="B7116" s="33" t="str">
        <f t="shared" si="445"/>
        <v>PUR</v>
      </c>
      <c r="C7116" s="33" t="str">
        <f t="shared" si="446"/>
        <v>60002-0000</v>
      </c>
      <c r="D7116" s="64" t="s">
        <v>8352</v>
      </c>
      <c r="E7116" s="64" t="s">
        <v>3837</v>
      </c>
      <c r="F7116" s="64" t="s">
        <v>230</v>
      </c>
      <c r="G7116" s="64" t="s">
        <v>3838</v>
      </c>
      <c r="H7116" s="64" t="s">
        <v>1875</v>
      </c>
      <c r="I7116" s="64" t="s">
        <v>3839</v>
      </c>
      <c r="J7116" s="67">
        <v>78.45</v>
      </c>
      <c r="K7116" s="62">
        <v>943.42</v>
      </c>
      <c r="L7116" s="33" t="e">
        <f>HLOOKUP(B7116,#REF!,1,0)</f>
        <v>#REF!</v>
      </c>
      <c r="M7116" s="33" t="str">
        <f t="shared" si="447"/>
        <v>P&amp;L</v>
      </c>
    </row>
    <row r="7117" spans="1:13" s="33" customFormat="true" ht="12.75" customHeight="true">
      <c r="A7117" s="33" t="str">
        <f t="shared" si="444"/>
        <v>PUR - CGS</v>
      </c>
      <c r="B7117" s="33" t="str">
        <f t="shared" si="445"/>
        <v>PUR</v>
      </c>
      <c r="C7117" s="33" t="str">
        <f t="shared" si="446"/>
        <v>60005-0000</v>
      </c>
      <c r="D7117" s="64" t="s">
        <v>8353</v>
      </c>
      <c r="E7117" s="64" t="s">
        <v>3841</v>
      </c>
      <c r="F7117" s="64" t="s">
        <v>230</v>
      </c>
      <c r="G7117" s="64" t="s">
        <v>3838</v>
      </c>
      <c r="H7117" s="64" t="s">
        <v>1875</v>
      </c>
      <c r="I7117" s="64" t="s">
        <v>3842</v>
      </c>
      <c r="J7117" s="67">
        <v>0</v>
      </c>
      <c r="K7117" s="62">
        <v>18050.84</v>
      </c>
      <c r="L7117" s="33" t="e">
        <f>HLOOKUP(B7117,#REF!,1,0)</f>
        <v>#REF!</v>
      </c>
      <c r="M7117" s="33" t="str">
        <f t="shared" si="447"/>
        <v>P&amp;L</v>
      </c>
    </row>
    <row r="7118" spans="1:13" s="33" customFormat="true" ht="12.75" customHeight="true">
      <c r="A7118" s="33" t="str">
        <f t="shared" si="444"/>
        <v>PUR - Interest Expense</v>
      </c>
      <c r="B7118" s="33" t="str">
        <f t="shared" si="445"/>
        <v>PUR</v>
      </c>
      <c r="C7118" s="33" t="str">
        <f t="shared" si="446"/>
        <v>60006-0000</v>
      </c>
      <c r="D7118" s="64" t="s">
        <v>8354</v>
      </c>
      <c r="E7118" s="64" t="s">
        <v>3325</v>
      </c>
      <c r="F7118" s="64" t="s">
        <v>230</v>
      </c>
      <c r="G7118" s="64" t="s">
        <v>3844</v>
      </c>
      <c r="H7118" s="64" t="s">
        <v>3327</v>
      </c>
      <c r="I7118" s="64" t="s">
        <v>3328</v>
      </c>
      <c r="J7118" s="67">
        <v>14915.03</v>
      </c>
      <c r="K7118" s="62">
        <v>132749.73</v>
      </c>
      <c r="L7118" s="33" t="e">
        <f>HLOOKUP(B7118,#REF!,1,0)</f>
        <v>#REF!</v>
      </c>
      <c r="M7118" s="33" t="str">
        <f t="shared" si="447"/>
        <v>P&amp;L</v>
      </c>
    </row>
    <row r="7119" spans="1:13" s="33" customFormat="true" ht="12.75" customHeight="true">
      <c r="A7119" s="33" t="str">
        <f t="shared" si="444"/>
        <v>PUR - CGS</v>
      </c>
      <c r="B7119" s="33" t="str">
        <f t="shared" si="445"/>
        <v>PUR</v>
      </c>
      <c r="C7119" s="33" t="str">
        <f t="shared" si="446"/>
        <v>60007-0000</v>
      </c>
      <c r="D7119" s="64" t="s">
        <v>8355</v>
      </c>
      <c r="E7119" s="64" t="s">
        <v>3846</v>
      </c>
      <c r="F7119" s="64" t="s">
        <v>230</v>
      </c>
      <c r="G7119" s="64" t="s">
        <v>3838</v>
      </c>
      <c r="H7119" s="64" t="s">
        <v>1875</v>
      </c>
      <c r="I7119" s="64" t="s">
        <v>3847</v>
      </c>
      <c r="J7119" s="67">
        <v>0</v>
      </c>
      <c r="K7119" s="62">
        <v>801</v>
      </c>
      <c r="L7119" s="33" t="e">
        <f>HLOOKUP(B7119,#REF!,1,0)</f>
        <v>#REF!</v>
      </c>
      <c r="M7119" s="33" t="str">
        <f t="shared" si="447"/>
        <v>P&amp;L</v>
      </c>
    </row>
    <row r="7120" spans="1:13" s="33" customFormat="true" ht="12.75" customHeight="true">
      <c r="A7120" s="33" t="str">
        <f t="shared" si="444"/>
        <v>PUR - CGS</v>
      </c>
      <c r="B7120" s="33" t="str">
        <f t="shared" si="445"/>
        <v>PUR</v>
      </c>
      <c r="C7120" s="33" t="str">
        <f t="shared" si="446"/>
        <v>60008-0000</v>
      </c>
      <c r="D7120" s="64" t="s">
        <v>8356</v>
      </c>
      <c r="E7120" s="64" t="s">
        <v>3849</v>
      </c>
      <c r="F7120" s="64" t="s">
        <v>230</v>
      </c>
      <c r="G7120" s="64" t="s">
        <v>3838</v>
      </c>
      <c r="H7120" s="64" t="s">
        <v>1875</v>
      </c>
      <c r="I7120" s="64" t="s">
        <v>3850</v>
      </c>
      <c r="J7120" s="67">
        <v>0</v>
      </c>
      <c r="K7120" s="62">
        <v>1195</v>
      </c>
      <c r="L7120" s="33" t="e">
        <f>HLOOKUP(B7120,#REF!,1,0)</f>
        <v>#REF!</v>
      </c>
      <c r="M7120" s="33" t="str">
        <f t="shared" si="447"/>
        <v>P&amp;L</v>
      </c>
    </row>
    <row r="7121" spans="1:13" s="33" customFormat="true" ht="12.75" customHeight="true">
      <c r="A7121" s="33" t="str">
        <f t="shared" si="444"/>
        <v>PUR - CGS</v>
      </c>
      <c r="B7121" s="33" t="str">
        <f t="shared" si="445"/>
        <v>PUR</v>
      </c>
      <c r="C7121" s="33" t="str">
        <f t="shared" si="446"/>
        <v>60011-0000</v>
      </c>
      <c r="D7121" s="64" t="s">
        <v>8357</v>
      </c>
      <c r="E7121" s="64" t="s">
        <v>4199</v>
      </c>
      <c r="F7121" s="64" t="s">
        <v>230</v>
      </c>
      <c r="G7121" s="64" t="s">
        <v>3838</v>
      </c>
      <c r="H7121" s="64" t="s">
        <v>1875</v>
      </c>
      <c r="I7121" s="64" t="s">
        <v>4200</v>
      </c>
      <c r="J7121" s="67">
        <v>0</v>
      </c>
      <c r="K7121" s="62">
        <v>793.76</v>
      </c>
      <c r="L7121" s="33" t="e">
        <f>HLOOKUP(B7121,#REF!,1,0)</f>
        <v>#REF!</v>
      </c>
      <c r="M7121" s="33" t="str">
        <f t="shared" si="447"/>
        <v>P&amp;L</v>
      </c>
    </row>
    <row r="7122" spans="1:13" s="33" customFormat="true" ht="12.75" customHeight="true">
      <c r="A7122" s="33" t="str">
        <f t="shared" si="444"/>
        <v>PUR - CGS</v>
      </c>
      <c r="B7122" s="33" t="str">
        <f t="shared" si="445"/>
        <v>PUR</v>
      </c>
      <c r="C7122" s="33" t="str">
        <f t="shared" si="446"/>
        <v>60012-0000</v>
      </c>
      <c r="D7122" s="64" t="s">
        <v>8358</v>
      </c>
      <c r="E7122" s="64" t="s">
        <v>3852</v>
      </c>
      <c r="F7122" s="64" t="s">
        <v>230</v>
      </c>
      <c r="G7122" s="64" t="s">
        <v>3838</v>
      </c>
      <c r="H7122" s="64" t="s">
        <v>1875</v>
      </c>
      <c r="I7122" s="64" t="s">
        <v>3853</v>
      </c>
      <c r="J7122" s="67">
        <v>0</v>
      </c>
      <c r="K7122" s="62">
        <v>33182.73</v>
      </c>
      <c r="L7122" s="33" t="e">
        <f>HLOOKUP(B7122,#REF!,1,0)</f>
        <v>#REF!</v>
      </c>
      <c r="M7122" s="33" t="str">
        <f t="shared" si="447"/>
        <v>P&amp;L</v>
      </c>
    </row>
    <row r="7123" spans="1:13" s="33" customFormat="true" ht="12.75" customHeight="true">
      <c r="A7123" s="33" t="str">
        <f t="shared" si="444"/>
        <v>PUR - CGS</v>
      </c>
      <c r="B7123" s="33" t="str">
        <f t="shared" si="445"/>
        <v>PUR</v>
      </c>
      <c r="C7123" s="33" t="str">
        <f t="shared" si="446"/>
        <v>60014-0000</v>
      </c>
      <c r="D7123" s="64" t="s">
        <v>8359</v>
      </c>
      <c r="E7123" s="64" t="s">
        <v>3855</v>
      </c>
      <c r="F7123" s="64" t="s">
        <v>230</v>
      </c>
      <c r="G7123" s="64" t="s">
        <v>3838</v>
      </c>
      <c r="H7123" s="64" t="s">
        <v>1875</v>
      </c>
      <c r="I7123" s="64" t="s">
        <v>3856</v>
      </c>
      <c r="J7123" s="67">
        <v>2760.42</v>
      </c>
      <c r="K7123" s="62">
        <v>28909.87</v>
      </c>
      <c r="L7123" s="33" t="e">
        <f>HLOOKUP(B7123,#REF!,1,0)</f>
        <v>#REF!</v>
      </c>
      <c r="M7123" s="33" t="str">
        <f t="shared" si="447"/>
        <v>P&amp;L</v>
      </c>
    </row>
    <row r="7124" spans="1:13" s="33" customFormat="true" ht="12.75" customHeight="true">
      <c r="A7124" s="33" t="str">
        <f t="shared" si="444"/>
        <v>PUR - CGS</v>
      </c>
      <c r="B7124" s="33" t="str">
        <f t="shared" si="445"/>
        <v>PUR</v>
      </c>
      <c r="C7124" s="33" t="str">
        <f t="shared" si="446"/>
        <v>60015-0000</v>
      </c>
      <c r="D7124" s="64" t="s">
        <v>8360</v>
      </c>
      <c r="E7124" s="64" t="s">
        <v>3858</v>
      </c>
      <c r="F7124" s="64" t="s">
        <v>230</v>
      </c>
      <c r="G7124" s="64" t="s">
        <v>3838</v>
      </c>
      <c r="H7124" s="64" t="s">
        <v>1875</v>
      </c>
      <c r="I7124" s="64" t="s">
        <v>3859</v>
      </c>
      <c r="J7124" s="67">
        <v>0</v>
      </c>
      <c r="K7124" s="62">
        <v>863.12</v>
      </c>
      <c r="L7124" s="33" t="e">
        <f>HLOOKUP(B7124,#REF!,1,0)</f>
        <v>#REF!</v>
      </c>
      <c r="M7124" s="33" t="str">
        <f t="shared" si="447"/>
        <v>P&amp;L</v>
      </c>
    </row>
    <row r="7125" spans="1:13" s="33" customFormat="true" ht="12.75" customHeight="true">
      <c r="A7125" s="33" t="str">
        <f t="shared" si="444"/>
        <v>PUR - CGS</v>
      </c>
      <c r="B7125" s="33" t="str">
        <f t="shared" si="445"/>
        <v>PUR</v>
      </c>
      <c r="C7125" s="33" t="str">
        <f t="shared" si="446"/>
        <v>61016-0000</v>
      </c>
      <c r="D7125" s="64" t="s">
        <v>8361</v>
      </c>
      <c r="E7125" s="64" t="s">
        <v>3861</v>
      </c>
      <c r="F7125" s="64" t="s">
        <v>230</v>
      </c>
      <c r="G7125" s="64" t="s">
        <v>3838</v>
      </c>
      <c r="H7125" s="64" t="s">
        <v>1875</v>
      </c>
      <c r="I7125" s="64" t="s">
        <v>3862</v>
      </c>
      <c r="J7125" s="67">
        <v>0</v>
      </c>
      <c r="K7125" s="62">
        <v>100</v>
      </c>
      <c r="L7125" s="33" t="e">
        <f>HLOOKUP(B7125,#REF!,1,0)</f>
        <v>#REF!</v>
      </c>
      <c r="M7125" s="33" t="str">
        <f t="shared" si="447"/>
        <v>P&amp;L</v>
      </c>
    </row>
    <row r="7126" spans="1:13" s="33" customFormat="true" ht="12.75" customHeight="true">
      <c r="A7126" s="33" t="str">
        <f t="shared" si="444"/>
        <v>PUR - Income Tax</v>
      </c>
      <c r="B7126" s="33" t="str">
        <f t="shared" si="445"/>
        <v>PUR</v>
      </c>
      <c r="C7126" s="33" t="str">
        <f t="shared" si="446"/>
        <v>61019-0000</v>
      </c>
      <c r="D7126" s="64" t="s">
        <v>8362</v>
      </c>
      <c r="E7126" s="64" t="s">
        <v>4041</v>
      </c>
      <c r="F7126" s="64" t="s">
        <v>230</v>
      </c>
      <c r="G7126" s="64" t="s">
        <v>3844</v>
      </c>
      <c r="H7126" s="64" t="s">
        <v>3378</v>
      </c>
      <c r="I7126" s="64" t="s">
        <v>4042</v>
      </c>
      <c r="J7126" s="67">
        <v>0</v>
      </c>
      <c r="K7126" s="62">
        <v>3300</v>
      </c>
      <c r="L7126" s="33" t="e">
        <f>HLOOKUP(B7126,#REF!,1,0)</f>
        <v>#REF!</v>
      </c>
      <c r="M7126" s="33" t="str">
        <f t="shared" si="447"/>
        <v>P&amp;L</v>
      </c>
    </row>
    <row r="7127" spans="1:13" s="33" customFormat="true" ht="12.75" customHeight="true">
      <c r="A7127" s="33" t="str">
        <f t="shared" si="444"/>
        <v>RCI - AP-Accr Exp</v>
      </c>
      <c r="B7127" s="33" t="str">
        <f t="shared" si="445"/>
        <v>RCI</v>
      </c>
      <c r="C7127" s="33" t="str">
        <f t="shared" si="446"/>
        <v>20001-0000</v>
      </c>
      <c r="D7127" s="64" t="s">
        <v>8363</v>
      </c>
      <c r="E7127" s="64" t="s">
        <v>96</v>
      </c>
      <c r="F7127" s="64" t="s">
        <v>1794</v>
      </c>
      <c r="G7127" s="64" t="s">
        <v>97</v>
      </c>
      <c r="H7127" s="64" t="s">
        <v>98</v>
      </c>
      <c r="I7127" s="64" t="s">
        <v>99</v>
      </c>
      <c r="J7127" s="67">
        <v>-259</v>
      </c>
      <c r="K7127" s="62">
        <v>-518</v>
      </c>
      <c r="L7127" s="33" t="e">
        <f>HLOOKUP(B7127,#REF!,1,0)</f>
        <v>#REF!</v>
      </c>
      <c r="M7127" s="33" t="str">
        <f t="shared" si="447"/>
        <v>BS</v>
      </c>
    </row>
    <row r="7128" spans="1:13" s="33" customFormat="true" ht="12.75" customHeight="true">
      <c r="A7128" s="33" t="str">
        <f t="shared" si="444"/>
        <v>RCI - Revenue</v>
      </c>
      <c r="B7128" s="33" t="str">
        <f t="shared" si="445"/>
        <v>RCI</v>
      </c>
      <c r="C7128" s="33" t="str">
        <f t="shared" si="446"/>
        <v>40300-1200</v>
      </c>
      <c r="D7128" s="64" t="s">
        <v>8364</v>
      </c>
      <c r="E7128" s="64" t="s">
        <v>7727</v>
      </c>
      <c r="F7128" s="64" t="s">
        <v>1794</v>
      </c>
      <c r="G7128" s="64" t="s">
        <v>4447</v>
      </c>
      <c r="H7128" s="64" t="s">
        <v>2871</v>
      </c>
      <c r="I7128" s="64" t="s">
        <v>5790</v>
      </c>
      <c r="J7128" s="67">
        <v>-5200</v>
      </c>
      <c r="K7128" s="62">
        <v>-52000</v>
      </c>
      <c r="L7128" s="33" t="e">
        <f>HLOOKUP(B7128,#REF!,1,0)</f>
        <v>#REF!</v>
      </c>
      <c r="M7128" s="33" t="str">
        <f t="shared" si="447"/>
        <v>P&amp;L</v>
      </c>
    </row>
    <row r="7129" spans="1:13" s="33" customFormat="true" ht="12.75" customHeight="true">
      <c r="A7129" s="33" t="str">
        <f t="shared" si="444"/>
        <v>RCI - Revenue</v>
      </c>
      <c r="B7129" s="33" t="str">
        <f t="shared" si="445"/>
        <v>RCI</v>
      </c>
      <c r="C7129" s="33" t="str">
        <f t="shared" si="446"/>
        <v>40400-1200</v>
      </c>
      <c r="D7129" s="64" t="s">
        <v>8365</v>
      </c>
      <c r="E7129" s="64" t="s">
        <v>7729</v>
      </c>
      <c r="F7129" s="64" t="s">
        <v>1794</v>
      </c>
      <c r="G7129" s="64" t="s">
        <v>4447</v>
      </c>
      <c r="H7129" s="64" t="s">
        <v>2871</v>
      </c>
      <c r="I7129" s="64" t="s">
        <v>7730</v>
      </c>
      <c r="J7129" s="67">
        <v>-187384.92</v>
      </c>
      <c r="K7129" s="62">
        <v>-1975015.28</v>
      </c>
      <c r="L7129" s="33" t="e">
        <f>HLOOKUP(B7129,#REF!,1,0)</f>
        <v>#REF!</v>
      </c>
      <c r="M7129" s="33" t="str">
        <f t="shared" si="447"/>
        <v>P&amp;L</v>
      </c>
    </row>
    <row r="7130" spans="1:13" s="33" customFormat="true" ht="12.75" customHeight="true">
      <c r="A7130" s="33" t="str">
        <f t="shared" si="444"/>
        <v>RCI - Revenue</v>
      </c>
      <c r="B7130" s="33" t="str">
        <f t="shared" si="445"/>
        <v>RCI</v>
      </c>
      <c r="C7130" s="33" t="str">
        <f t="shared" si="446"/>
        <v>40400-1300</v>
      </c>
      <c r="D7130" s="64" t="s">
        <v>8366</v>
      </c>
      <c r="E7130" s="64" t="s">
        <v>8367</v>
      </c>
      <c r="F7130" s="64" t="s">
        <v>1794</v>
      </c>
      <c r="G7130" s="64" t="s">
        <v>4447</v>
      </c>
      <c r="H7130" s="64" t="s">
        <v>2871</v>
      </c>
      <c r="I7130" s="64" t="s">
        <v>7730</v>
      </c>
      <c r="J7130" s="67">
        <v>0</v>
      </c>
      <c r="K7130" s="62">
        <v>0</v>
      </c>
      <c r="L7130" s="33" t="e">
        <f>HLOOKUP(B7130,#REF!,1,0)</f>
        <v>#REF!</v>
      </c>
      <c r="M7130" s="33" t="str">
        <f t="shared" si="447"/>
        <v>P&amp;L</v>
      </c>
    </row>
    <row r="7131" spans="1:13" s="33" customFormat="true" ht="12.75" customHeight="true">
      <c r="A7131" s="33" t="str">
        <f t="shared" si="444"/>
        <v>RCI - CGS</v>
      </c>
      <c r="B7131" s="33" t="str">
        <f t="shared" si="445"/>
        <v>RCI</v>
      </c>
      <c r="C7131" s="33" t="str">
        <f t="shared" si="446"/>
        <v>52001-1200</v>
      </c>
      <c r="D7131" s="64" t="s">
        <v>8368</v>
      </c>
      <c r="E7131" s="64" t="s">
        <v>7732</v>
      </c>
      <c r="F7131" s="64" t="s">
        <v>1794</v>
      </c>
      <c r="G7131" s="64" t="s">
        <v>4426</v>
      </c>
      <c r="H7131" s="64" t="s">
        <v>1875</v>
      </c>
      <c r="I7131" s="64" t="s">
        <v>7733</v>
      </c>
      <c r="J7131" s="67">
        <v>168243.28</v>
      </c>
      <c r="K7131" s="62">
        <v>1767857.12</v>
      </c>
      <c r="L7131" s="33" t="e">
        <f>HLOOKUP(B7131,#REF!,1,0)</f>
        <v>#REF!</v>
      </c>
      <c r="M7131" s="33" t="str">
        <f t="shared" si="447"/>
        <v>P&amp;L</v>
      </c>
    </row>
    <row r="7132" spans="1:13" s="33" customFormat="true" ht="12.75" customHeight="true">
      <c r="A7132" s="33" t="str">
        <f t="shared" si="444"/>
        <v>RCI - CGS</v>
      </c>
      <c r="B7132" s="33" t="str">
        <f t="shared" si="445"/>
        <v>RCI</v>
      </c>
      <c r="C7132" s="33" t="str">
        <f t="shared" si="446"/>
        <v>52001-1300</v>
      </c>
      <c r="D7132" s="64" t="s">
        <v>8369</v>
      </c>
      <c r="E7132" s="64" t="s">
        <v>8370</v>
      </c>
      <c r="F7132" s="64" t="s">
        <v>1794</v>
      </c>
      <c r="G7132" s="64" t="s">
        <v>4426</v>
      </c>
      <c r="H7132" s="64" t="s">
        <v>1875</v>
      </c>
      <c r="I7132" s="64" t="s">
        <v>7733</v>
      </c>
      <c r="J7132" s="67">
        <v>0</v>
      </c>
      <c r="K7132" s="62">
        <v>0</v>
      </c>
      <c r="L7132" s="33" t="e">
        <f>HLOOKUP(B7132,#REF!,1,0)</f>
        <v>#REF!</v>
      </c>
      <c r="M7132" s="33" t="str">
        <f t="shared" si="447"/>
        <v>P&amp;L</v>
      </c>
    </row>
    <row r="7133" spans="1:13" s="33" customFormat="true" ht="12.75" customHeight="true">
      <c r="A7133" s="33" t="str">
        <f t="shared" si="444"/>
        <v>RCI - CGS</v>
      </c>
      <c r="B7133" s="33" t="str">
        <f t="shared" si="445"/>
        <v>RCI</v>
      </c>
      <c r="C7133" s="33" t="str">
        <f t="shared" si="446"/>
        <v>55001-0000</v>
      </c>
      <c r="D7133" s="64" t="s">
        <v>8371</v>
      </c>
      <c r="E7133" s="64" t="s">
        <v>7735</v>
      </c>
      <c r="F7133" s="64" t="s">
        <v>1794</v>
      </c>
      <c r="G7133" s="64" t="s">
        <v>5235</v>
      </c>
      <c r="H7133" s="64" t="s">
        <v>1875</v>
      </c>
      <c r="I7133" s="64" t="s">
        <v>7736</v>
      </c>
      <c r="J7133" s="67">
        <v>5275.52</v>
      </c>
      <c r="K7133" s="62">
        <v>52755.2</v>
      </c>
      <c r="L7133" s="33" t="e">
        <f>HLOOKUP(B7133,#REF!,1,0)</f>
        <v>#REF!</v>
      </c>
      <c r="M7133" s="33" t="str">
        <f t="shared" si="447"/>
        <v>P&amp;L</v>
      </c>
    </row>
    <row r="7134" spans="1:13" s="33" customFormat="true" ht="12.75" customHeight="true">
      <c r="A7134" s="33" t="str">
        <f t="shared" si="444"/>
        <v>RCI - CGS</v>
      </c>
      <c r="B7134" s="33" t="str">
        <f t="shared" si="445"/>
        <v>RCI</v>
      </c>
      <c r="C7134" s="33" t="str">
        <f t="shared" si="446"/>
        <v>56001-0000</v>
      </c>
      <c r="D7134" s="64" t="s">
        <v>8372</v>
      </c>
      <c r="E7134" s="64" t="s">
        <v>4493</v>
      </c>
      <c r="F7134" s="64" t="s">
        <v>1794</v>
      </c>
      <c r="G7134" s="64" t="s">
        <v>5235</v>
      </c>
      <c r="H7134" s="64" t="s">
        <v>1875</v>
      </c>
      <c r="I7134" s="64" t="s">
        <v>7739</v>
      </c>
      <c r="J7134" s="67">
        <v>614.54</v>
      </c>
      <c r="K7134" s="62">
        <v>510.96</v>
      </c>
      <c r="L7134" s="33" t="e">
        <f>HLOOKUP(B7134,#REF!,1,0)</f>
        <v>#REF!</v>
      </c>
      <c r="M7134" s="33" t="str">
        <f t="shared" si="447"/>
        <v>P&amp;L</v>
      </c>
    </row>
    <row r="7135" spans="1:13" s="33" customFormat="true" ht="12.75" customHeight="true">
      <c r="A7135" s="33" t="str">
        <f t="shared" si="444"/>
        <v>RCI - CGS</v>
      </c>
      <c r="B7135" s="33" t="str">
        <f t="shared" si="445"/>
        <v>RCI</v>
      </c>
      <c r="C7135" s="33" t="str">
        <f t="shared" si="446"/>
        <v>56001-1200</v>
      </c>
      <c r="D7135" s="64" t="s">
        <v>8373</v>
      </c>
      <c r="E7135" s="64" t="s">
        <v>8374</v>
      </c>
      <c r="F7135" s="64" t="s">
        <v>1794</v>
      </c>
      <c r="G7135" s="64" t="s">
        <v>5235</v>
      </c>
      <c r="H7135" s="64" t="s">
        <v>1875</v>
      </c>
      <c r="I7135" s="64" t="s">
        <v>7739</v>
      </c>
      <c r="J7135" s="67">
        <v>13866.12</v>
      </c>
      <c r="K7135" s="62">
        <v>155166.27</v>
      </c>
      <c r="L7135" s="33" t="e">
        <f>HLOOKUP(B7135,#REF!,1,0)</f>
        <v>#REF!</v>
      </c>
      <c r="M7135" s="33" t="str">
        <f t="shared" si="447"/>
        <v>P&amp;L</v>
      </c>
    </row>
    <row r="7136" spans="1:13" s="33" customFormat="true" ht="12.75" customHeight="true">
      <c r="A7136" s="33" t="str">
        <f t="shared" si="444"/>
        <v>RCI - CGS</v>
      </c>
      <c r="B7136" s="33" t="str">
        <f t="shared" si="445"/>
        <v>RCI</v>
      </c>
      <c r="C7136" s="33" t="str">
        <f t="shared" si="446"/>
        <v>56001-1300</v>
      </c>
      <c r="D7136" s="64" t="s">
        <v>8375</v>
      </c>
      <c r="E7136" s="64" t="s">
        <v>8376</v>
      </c>
      <c r="F7136" s="64" t="s">
        <v>1794</v>
      </c>
      <c r="G7136" s="64" t="s">
        <v>5235</v>
      </c>
      <c r="H7136" s="64" t="s">
        <v>1875</v>
      </c>
      <c r="I7136" s="64" t="s">
        <v>7739</v>
      </c>
      <c r="J7136" s="67">
        <v>0</v>
      </c>
      <c r="K7136" s="62">
        <v>0</v>
      </c>
      <c r="L7136" s="33" t="e">
        <f>HLOOKUP(B7136,#REF!,1,0)</f>
        <v>#REF!</v>
      </c>
      <c r="M7136" s="33" t="str">
        <f t="shared" si="447"/>
        <v>P&amp;L</v>
      </c>
    </row>
    <row r="7137" spans="1:13" s="33" customFormat="true" ht="12.75" customHeight="true">
      <c r="A7137" s="33" t="str">
        <f t="shared" si="444"/>
        <v>RCI - Operating Expense</v>
      </c>
      <c r="B7137" s="33" t="str">
        <f t="shared" si="445"/>
        <v>RCI</v>
      </c>
      <c r="C7137" s="33" t="str">
        <f t="shared" si="446"/>
        <v>64502-0000</v>
      </c>
      <c r="D7137" s="64" t="s">
        <v>8377</v>
      </c>
      <c r="E7137" s="64" t="s">
        <v>3195</v>
      </c>
      <c r="F7137" s="64" t="s">
        <v>1794</v>
      </c>
      <c r="G7137" s="64" t="s">
        <v>5235</v>
      </c>
      <c r="H7137" s="64" t="s">
        <v>3022</v>
      </c>
      <c r="I7137" s="64" t="s">
        <v>5233</v>
      </c>
      <c r="J7137" s="67">
        <v>100.22</v>
      </c>
      <c r="K7137" s="62">
        <v>1636.04</v>
      </c>
      <c r="L7137" s="33" t="e">
        <f>HLOOKUP(B7137,#REF!,1,0)</f>
        <v>#REF!</v>
      </c>
      <c r="M7137" s="33" t="str">
        <f t="shared" si="447"/>
        <v>P&amp;L</v>
      </c>
    </row>
    <row r="7138" spans="1:13" s="33" customFormat="true" ht="12.75" customHeight="true">
      <c r="A7138" s="33" t="str">
        <f t="shared" si="444"/>
        <v>RCI - Operating Expense</v>
      </c>
      <c r="B7138" s="33" t="str">
        <f t="shared" si="445"/>
        <v>RCI</v>
      </c>
      <c r="C7138" s="33" t="str">
        <f t="shared" si="446"/>
        <v>64530-0000</v>
      </c>
      <c r="D7138" s="64" t="s">
        <v>8378</v>
      </c>
      <c r="E7138" s="64" t="s">
        <v>4759</v>
      </c>
      <c r="F7138" s="64" t="s">
        <v>1794</v>
      </c>
      <c r="G7138" s="64" t="s">
        <v>5235</v>
      </c>
      <c r="H7138" s="64" t="s">
        <v>3022</v>
      </c>
      <c r="I7138" s="64" t="s">
        <v>4760</v>
      </c>
      <c r="J7138" s="67">
        <v>1365.93</v>
      </c>
      <c r="K7138" s="62">
        <v>15210.2</v>
      </c>
      <c r="L7138" s="33" t="e">
        <f>HLOOKUP(B7138,#REF!,1,0)</f>
        <v>#REF!</v>
      </c>
      <c r="M7138" s="33" t="str">
        <f t="shared" si="447"/>
        <v>P&amp;L</v>
      </c>
    </row>
    <row r="7139" spans="1:13" s="33" customFormat="true" ht="12.75" customHeight="true">
      <c r="A7139" s="33" t="str">
        <f t="shared" si="444"/>
        <v>RCI - Operating Expense</v>
      </c>
      <c r="B7139" s="33" t="str">
        <f t="shared" si="445"/>
        <v>RCI</v>
      </c>
      <c r="C7139" s="33" t="str">
        <f t="shared" si="446"/>
        <v>75001-0000</v>
      </c>
      <c r="D7139" s="64" t="s">
        <v>8379</v>
      </c>
      <c r="E7139" s="64" t="s">
        <v>4765</v>
      </c>
      <c r="F7139" s="64" t="s">
        <v>1794</v>
      </c>
      <c r="G7139" s="64" t="s">
        <v>5235</v>
      </c>
      <c r="H7139" s="64" t="s">
        <v>3022</v>
      </c>
      <c r="I7139" s="64" t="s">
        <v>3342</v>
      </c>
      <c r="J7139" s="67">
        <v>0</v>
      </c>
      <c r="K7139" s="62">
        <v>650.14</v>
      </c>
      <c r="L7139" s="33" t="e">
        <f>HLOOKUP(B7139,#REF!,1,0)</f>
        <v>#REF!</v>
      </c>
      <c r="M7139" s="33" t="str">
        <f t="shared" si="447"/>
        <v>P&amp;L</v>
      </c>
    </row>
    <row r="7140" spans="1:13" s="33" customFormat="true" ht="12.75" customHeight="true">
      <c r="A7140" s="33" t="str">
        <f t="shared" si="444"/>
        <v>RCI - Operating Expense</v>
      </c>
      <c r="B7140" s="33" t="str">
        <f t="shared" si="445"/>
        <v>RCI</v>
      </c>
      <c r="C7140" s="33" t="str">
        <f t="shared" si="446"/>
        <v>94201-0000</v>
      </c>
      <c r="D7140" s="64" t="s">
        <v>8380</v>
      </c>
      <c r="E7140" s="64" t="s">
        <v>8381</v>
      </c>
      <c r="F7140" s="64" t="s">
        <v>1794</v>
      </c>
      <c r="G7140" s="64" t="s">
        <v>5235</v>
      </c>
      <c r="H7140" s="64" t="s">
        <v>3022</v>
      </c>
      <c r="I7140" s="64" t="s">
        <v>3342</v>
      </c>
      <c r="J7140" s="67">
        <v>259</v>
      </c>
      <c r="K7140" s="62">
        <v>6086</v>
      </c>
      <c r="L7140" s="33" t="e">
        <f>HLOOKUP(B7140,#REF!,1,0)</f>
        <v>#REF!</v>
      </c>
      <c r="M7140" s="33" t="str">
        <f t="shared" si="447"/>
        <v>P&amp;L</v>
      </c>
    </row>
    <row r="7141" spans="1:13" s="33" customFormat="true" ht="12.75" customHeight="true">
      <c r="A7141" s="33" t="str">
        <f t="shared" si="444"/>
        <v>RCI - Operating Expense</v>
      </c>
      <c r="B7141" s="33" t="str">
        <f t="shared" si="445"/>
        <v>RCI</v>
      </c>
      <c r="C7141" s="33" t="str">
        <f t="shared" si="446"/>
        <v>99001-0000</v>
      </c>
      <c r="D7141" s="64" t="s">
        <v>8382</v>
      </c>
      <c r="E7141" s="64" t="s">
        <v>8383</v>
      </c>
      <c r="F7141" s="64" t="s">
        <v>1794</v>
      </c>
      <c r="G7141" s="64" t="s">
        <v>5235</v>
      </c>
      <c r="H7141" s="64" t="s">
        <v>3022</v>
      </c>
      <c r="I7141" s="64" t="s">
        <v>8384</v>
      </c>
      <c r="J7141" s="67">
        <v>0</v>
      </c>
      <c r="K7141" s="62">
        <v>685.27</v>
      </c>
      <c r="L7141" s="33" t="e">
        <f>HLOOKUP(B7141,#REF!,1,0)</f>
        <v>#REF!</v>
      </c>
      <c r="M7141" s="33" t="str">
        <f t="shared" si="447"/>
        <v>P&amp;L</v>
      </c>
    </row>
    <row r="7142" spans="1:13" s="33" customFormat="true" ht="12.75" customHeight="true">
      <c r="A7142" s="33" t="str">
        <f t="shared" si="444"/>
        <v>RCI - Income Tax</v>
      </c>
      <c r="B7142" s="33" t="str">
        <f t="shared" si="445"/>
        <v>RCI</v>
      </c>
      <c r="C7142" s="33" t="str">
        <f t="shared" si="446"/>
        <v>99901-0000</v>
      </c>
      <c r="D7142" s="64" t="s">
        <v>8385</v>
      </c>
      <c r="E7142" s="64" t="s">
        <v>8386</v>
      </c>
      <c r="F7142" s="64" t="s">
        <v>1794</v>
      </c>
      <c r="G7142" s="64" t="s">
        <v>5235</v>
      </c>
      <c r="H7142" s="64" t="s">
        <v>3378</v>
      </c>
      <c r="I7142" s="64" t="s">
        <v>5245</v>
      </c>
      <c r="J7142" s="67">
        <v>0</v>
      </c>
      <c r="K7142" s="62">
        <v>6800</v>
      </c>
      <c r="L7142" s="33" t="e">
        <f>HLOOKUP(B7142,#REF!,1,0)</f>
        <v>#REF!</v>
      </c>
      <c r="M7142" s="33" t="str">
        <f t="shared" si="447"/>
        <v>P&amp;L</v>
      </c>
    </row>
    <row r="7143" spans="1:13" s="33" customFormat="true" ht="12.75" customHeight="true">
      <c r="A7143" s="33" t="str">
        <f t="shared" si="444"/>
        <v>SAT - Fixed Assets</v>
      </c>
      <c r="B7143" s="33" t="str">
        <f t="shared" si="445"/>
        <v>SAT</v>
      </c>
      <c r="C7143" s="33" t="str">
        <f t="shared" si="446"/>
        <v>15501-0000</v>
      </c>
      <c r="D7143" s="64" t="s">
        <v>8387</v>
      </c>
      <c r="E7143" s="64" t="s">
        <v>2635</v>
      </c>
      <c r="F7143" s="64" t="s">
        <v>230</v>
      </c>
      <c r="G7143" s="64" t="s">
        <v>62</v>
      </c>
      <c r="H7143" s="64" t="s">
        <v>63</v>
      </c>
      <c r="I7143" s="64" t="s">
        <v>64</v>
      </c>
      <c r="J7143" s="67">
        <v>104.72</v>
      </c>
      <c r="K7143" s="62">
        <v>411</v>
      </c>
      <c r="L7143" s="33" t="e">
        <f>HLOOKUP(B7143,#REF!,1,0)</f>
        <v>#REF!</v>
      </c>
      <c r="M7143" s="33" t="str">
        <f t="shared" si="447"/>
        <v>BS</v>
      </c>
    </row>
    <row r="7144" spans="1:13" s="33" customFormat="true" ht="12.75" customHeight="true">
      <c r="A7144" s="33" t="str">
        <f t="shared" si="444"/>
        <v>SAT - Deposits</v>
      </c>
      <c r="B7144" s="33" t="str">
        <f t="shared" si="445"/>
        <v>SAT</v>
      </c>
      <c r="C7144" s="33" t="str">
        <f t="shared" si="446"/>
        <v>19000-0000</v>
      </c>
      <c r="D7144" s="64" t="s">
        <v>8388</v>
      </c>
      <c r="E7144" s="64" t="s">
        <v>342</v>
      </c>
      <c r="F7144" s="64" t="s">
        <v>230</v>
      </c>
      <c r="G7144" s="64" t="s">
        <v>62</v>
      </c>
      <c r="H7144" s="64" t="s">
        <v>80</v>
      </c>
      <c r="I7144" s="64" t="s">
        <v>81</v>
      </c>
      <c r="J7144" s="67">
        <v>1406921.97</v>
      </c>
      <c r="K7144" s="62">
        <v>1406921.97</v>
      </c>
      <c r="L7144" s="33" t="e">
        <f>HLOOKUP(B7144,#REF!,1,0)</f>
        <v>#REF!</v>
      </c>
      <c r="M7144" s="33" t="str">
        <f t="shared" si="447"/>
        <v>BS</v>
      </c>
    </row>
    <row r="7145" spans="1:13" s="33" customFormat="true" ht="12.75" customHeight="true">
      <c r="A7145" s="33" t="str">
        <f t="shared" si="444"/>
        <v>SAT - Revenue</v>
      </c>
      <c r="B7145" s="33" t="str">
        <f t="shared" si="445"/>
        <v>SAT</v>
      </c>
      <c r="C7145" s="33" t="str">
        <f t="shared" si="446"/>
        <v>40110-0000</v>
      </c>
      <c r="D7145" s="64" t="s">
        <v>8389</v>
      </c>
      <c r="E7145" s="64" t="s">
        <v>3683</v>
      </c>
      <c r="F7145" s="64" t="s">
        <v>230</v>
      </c>
      <c r="G7145" s="64" t="s">
        <v>3684</v>
      </c>
      <c r="H7145" s="64" t="s">
        <v>2871</v>
      </c>
      <c r="I7145" s="64" t="s">
        <v>3685</v>
      </c>
      <c r="J7145" s="67">
        <v>0</v>
      </c>
      <c r="K7145" s="62">
        <v>-260287.47</v>
      </c>
      <c r="L7145" s="33" t="e">
        <f>HLOOKUP(B7145,#REF!,1,0)</f>
        <v>#REF!</v>
      </c>
      <c r="M7145" s="33" t="str">
        <f t="shared" si="447"/>
        <v>P&amp;L</v>
      </c>
    </row>
    <row r="7146" spans="1:13" s="33" customFormat="true" ht="12.75" customHeight="true">
      <c r="A7146" s="33" t="str">
        <f t="shared" si="444"/>
        <v>SAT - Revenue</v>
      </c>
      <c r="B7146" s="33" t="str">
        <f t="shared" si="445"/>
        <v>SAT</v>
      </c>
      <c r="C7146" s="33" t="str">
        <f t="shared" si="446"/>
        <v>40120-0000</v>
      </c>
      <c r="D7146" s="64" t="s">
        <v>8390</v>
      </c>
      <c r="E7146" s="64" t="s">
        <v>3687</v>
      </c>
      <c r="F7146" s="64" t="s">
        <v>230</v>
      </c>
      <c r="G7146" s="64" t="s">
        <v>3684</v>
      </c>
      <c r="H7146" s="64" t="s">
        <v>2871</v>
      </c>
      <c r="I7146" s="64" t="s">
        <v>3688</v>
      </c>
      <c r="J7146" s="67">
        <v>0</v>
      </c>
      <c r="K7146" s="62">
        <v>-7858.35</v>
      </c>
      <c r="L7146" s="33" t="e">
        <f>HLOOKUP(B7146,#REF!,1,0)</f>
        <v>#REF!</v>
      </c>
      <c r="M7146" s="33" t="str">
        <f t="shared" si="447"/>
        <v>P&amp;L</v>
      </c>
    </row>
    <row r="7147" spans="1:13" s="33" customFormat="true" ht="12.75" customHeight="true">
      <c r="A7147" s="33" t="str">
        <f t="shared" si="444"/>
        <v>SAT - Revenue</v>
      </c>
      <c r="B7147" s="33" t="str">
        <f t="shared" si="445"/>
        <v>SAT</v>
      </c>
      <c r="C7147" s="33" t="str">
        <f t="shared" si="446"/>
        <v>40130-0000</v>
      </c>
      <c r="D7147" s="64" t="s">
        <v>8391</v>
      </c>
      <c r="E7147" s="64" t="s">
        <v>3690</v>
      </c>
      <c r="F7147" s="64" t="s">
        <v>230</v>
      </c>
      <c r="G7147" s="64" t="s">
        <v>3684</v>
      </c>
      <c r="H7147" s="64" t="s">
        <v>2871</v>
      </c>
      <c r="I7147" s="64" t="s">
        <v>3691</v>
      </c>
      <c r="J7147" s="67">
        <v>0</v>
      </c>
      <c r="K7147" s="62">
        <v>-1477.28</v>
      </c>
      <c r="L7147" s="33" t="e">
        <f>HLOOKUP(B7147,#REF!,1,0)</f>
        <v>#REF!</v>
      </c>
      <c r="M7147" s="33" t="str">
        <f t="shared" si="447"/>
        <v>P&amp;L</v>
      </c>
    </row>
    <row r="7148" spans="1:13" s="33" customFormat="true" ht="12.75" customHeight="true">
      <c r="A7148" s="33" t="str">
        <f t="shared" si="444"/>
        <v>SAT - Revenue</v>
      </c>
      <c r="B7148" s="33" t="str">
        <f t="shared" si="445"/>
        <v>SAT</v>
      </c>
      <c r="C7148" s="33" t="str">
        <f t="shared" si="446"/>
        <v>40140-0000</v>
      </c>
      <c r="D7148" s="64" t="s">
        <v>8392</v>
      </c>
      <c r="E7148" s="64" t="s">
        <v>3948</v>
      </c>
      <c r="F7148" s="64" t="s">
        <v>230</v>
      </c>
      <c r="G7148" s="64" t="s">
        <v>3684</v>
      </c>
      <c r="H7148" s="64" t="s">
        <v>2871</v>
      </c>
      <c r="I7148" s="64" t="s">
        <v>3949</v>
      </c>
      <c r="J7148" s="67">
        <v>0</v>
      </c>
      <c r="K7148" s="62">
        <v>0</v>
      </c>
      <c r="L7148" s="33" t="e">
        <f>HLOOKUP(B7148,#REF!,1,0)</f>
        <v>#REF!</v>
      </c>
      <c r="M7148" s="33" t="str">
        <f t="shared" si="447"/>
        <v>P&amp;L</v>
      </c>
    </row>
    <row r="7149" spans="1:13" s="33" customFormat="true" ht="12.75" customHeight="true">
      <c r="A7149" s="33" t="str">
        <f t="shared" si="444"/>
        <v>SAT - Revenue</v>
      </c>
      <c r="B7149" s="33" t="str">
        <f t="shared" si="445"/>
        <v>SAT</v>
      </c>
      <c r="C7149" s="33" t="str">
        <f t="shared" si="446"/>
        <v>41110-0000</v>
      </c>
      <c r="D7149" s="64" t="s">
        <v>8393</v>
      </c>
      <c r="E7149" s="64" t="s">
        <v>3693</v>
      </c>
      <c r="F7149" s="64" t="s">
        <v>230</v>
      </c>
      <c r="G7149" s="64" t="s">
        <v>3694</v>
      </c>
      <c r="H7149" s="64" t="s">
        <v>2871</v>
      </c>
      <c r="I7149" s="64" t="s">
        <v>3695</v>
      </c>
      <c r="J7149" s="67">
        <v>0</v>
      </c>
      <c r="K7149" s="62">
        <v>21428.5</v>
      </c>
      <c r="L7149" s="33" t="e">
        <f>HLOOKUP(B7149,#REF!,1,0)</f>
        <v>#REF!</v>
      </c>
      <c r="M7149" s="33" t="str">
        <f t="shared" si="447"/>
        <v>P&amp;L</v>
      </c>
    </row>
    <row r="7150" spans="1:13" s="33" customFormat="true" ht="12.75" customHeight="true">
      <c r="A7150" s="33" t="str">
        <f t="shared" si="444"/>
        <v>SAT - Revenue</v>
      </c>
      <c r="B7150" s="33" t="str">
        <f t="shared" si="445"/>
        <v>SAT</v>
      </c>
      <c r="C7150" s="33" t="str">
        <f t="shared" si="446"/>
        <v>41121-0000</v>
      </c>
      <c r="D7150" s="64" t="s">
        <v>8394</v>
      </c>
      <c r="E7150" s="64" t="s">
        <v>4146</v>
      </c>
      <c r="F7150" s="64" t="s">
        <v>230</v>
      </c>
      <c r="G7150" s="64" t="s">
        <v>3694</v>
      </c>
      <c r="H7150" s="64" t="s">
        <v>2871</v>
      </c>
      <c r="I7150" s="64" t="s">
        <v>3698</v>
      </c>
      <c r="J7150" s="67">
        <v>9967.1</v>
      </c>
      <c r="K7150" s="62">
        <v>43473.94</v>
      </c>
      <c r="L7150" s="33" t="e">
        <f>HLOOKUP(B7150,#REF!,1,0)</f>
        <v>#REF!</v>
      </c>
      <c r="M7150" s="33" t="str">
        <f t="shared" si="447"/>
        <v>P&amp;L</v>
      </c>
    </row>
    <row r="7151" spans="1:13" s="33" customFormat="true" ht="12.75" customHeight="true">
      <c r="A7151" s="33" t="str">
        <f t="shared" si="444"/>
        <v>SAT - Revenue</v>
      </c>
      <c r="B7151" s="33" t="str">
        <f t="shared" si="445"/>
        <v>SAT</v>
      </c>
      <c r="C7151" s="33" t="str">
        <f t="shared" si="446"/>
        <v>41122-0000</v>
      </c>
      <c r="D7151" s="64" t="s">
        <v>8395</v>
      </c>
      <c r="E7151" s="64" t="s">
        <v>3700</v>
      </c>
      <c r="F7151" s="64" t="s">
        <v>230</v>
      </c>
      <c r="G7151" s="64" t="s">
        <v>3694</v>
      </c>
      <c r="H7151" s="64" t="s">
        <v>2871</v>
      </c>
      <c r="I7151" s="64" t="s">
        <v>3701</v>
      </c>
      <c r="J7151" s="67">
        <v>0</v>
      </c>
      <c r="K7151" s="62">
        <v>-19356.43</v>
      </c>
      <c r="L7151" s="33" t="e">
        <f>HLOOKUP(B7151,#REF!,1,0)</f>
        <v>#REF!</v>
      </c>
      <c r="M7151" s="33" t="str">
        <f t="shared" si="447"/>
        <v>P&amp;L</v>
      </c>
    </row>
    <row r="7152" spans="1:13" s="33" customFormat="true" ht="12.75" customHeight="true">
      <c r="A7152" s="33" t="str">
        <f t="shared" si="444"/>
        <v>SAT - Revenue</v>
      </c>
      <c r="B7152" s="33" t="str">
        <f t="shared" si="445"/>
        <v>SAT</v>
      </c>
      <c r="C7152" s="33" t="str">
        <f t="shared" si="446"/>
        <v>41130-0000</v>
      </c>
      <c r="D7152" s="64" t="s">
        <v>8396</v>
      </c>
      <c r="E7152" s="64" t="s">
        <v>3703</v>
      </c>
      <c r="F7152" s="64" t="s">
        <v>230</v>
      </c>
      <c r="G7152" s="64" t="s">
        <v>3694</v>
      </c>
      <c r="H7152" s="64" t="s">
        <v>2871</v>
      </c>
      <c r="I7152" s="64" t="s">
        <v>3704</v>
      </c>
      <c r="J7152" s="67">
        <v>0</v>
      </c>
      <c r="K7152" s="62">
        <v>6558.84</v>
      </c>
      <c r="L7152" s="33" t="e">
        <f>HLOOKUP(B7152,#REF!,1,0)</f>
        <v>#REF!</v>
      </c>
      <c r="M7152" s="33" t="str">
        <f t="shared" si="447"/>
        <v>P&amp;L</v>
      </c>
    </row>
    <row r="7153" spans="1:13" s="33" customFormat="true" ht="12.75" customHeight="true">
      <c r="A7153" s="33" t="str">
        <f t="shared" si="444"/>
        <v>SAT - Revenue</v>
      </c>
      <c r="B7153" s="33" t="str">
        <f t="shared" si="445"/>
        <v>SAT</v>
      </c>
      <c r="C7153" s="33" t="str">
        <f t="shared" si="446"/>
        <v>41140-0000</v>
      </c>
      <c r="D7153" s="64" t="s">
        <v>8397</v>
      </c>
      <c r="E7153" s="64" t="s">
        <v>3706</v>
      </c>
      <c r="F7153" s="64" t="s">
        <v>230</v>
      </c>
      <c r="G7153" s="64" t="s">
        <v>3694</v>
      </c>
      <c r="H7153" s="64" t="s">
        <v>2871</v>
      </c>
      <c r="I7153" s="64" t="s">
        <v>3707</v>
      </c>
      <c r="J7153" s="67">
        <v>0</v>
      </c>
      <c r="K7153" s="62">
        <v>19712.7</v>
      </c>
      <c r="L7153" s="33" t="e">
        <f>HLOOKUP(B7153,#REF!,1,0)</f>
        <v>#REF!</v>
      </c>
      <c r="M7153" s="33" t="str">
        <f t="shared" si="447"/>
        <v>P&amp;L</v>
      </c>
    </row>
    <row r="7154" spans="1:13" s="33" customFormat="true" ht="12.75" customHeight="true">
      <c r="A7154" s="33" t="str">
        <f t="shared" si="444"/>
        <v>SAT - Revenue</v>
      </c>
      <c r="B7154" s="33" t="str">
        <f t="shared" si="445"/>
        <v>SAT</v>
      </c>
      <c r="C7154" s="33" t="str">
        <f t="shared" si="446"/>
        <v>41150-0000</v>
      </c>
      <c r="D7154" s="64" t="s">
        <v>8398</v>
      </c>
      <c r="E7154" s="64" t="s">
        <v>3709</v>
      </c>
      <c r="F7154" s="64" t="s">
        <v>230</v>
      </c>
      <c r="G7154" s="64" t="s">
        <v>3694</v>
      </c>
      <c r="H7154" s="64" t="s">
        <v>2871</v>
      </c>
      <c r="I7154" s="64" t="s">
        <v>3710</v>
      </c>
      <c r="J7154" s="67">
        <v>0</v>
      </c>
      <c r="K7154" s="62">
        <v>0</v>
      </c>
      <c r="L7154" s="33" t="e">
        <f>HLOOKUP(B7154,#REF!,1,0)</f>
        <v>#REF!</v>
      </c>
      <c r="M7154" s="33" t="str">
        <f t="shared" si="447"/>
        <v>P&amp;L</v>
      </c>
    </row>
    <row r="7155" spans="1:13" s="33" customFormat="true" ht="12.75" customHeight="true">
      <c r="A7155" s="33" t="str">
        <f t="shared" si="444"/>
        <v>SAT - Revenue</v>
      </c>
      <c r="B7155" s="33" t="str">
        <f t="shared" si="445"/>
        <v>SAT</v>
      </c>
      <c r="C7155" s="33" t="str">
        <f t="shared" si="446"/>
        <v>41160-0000</v>
      </c>
      <c r="D7155" s="64" t="s">
        <v>8399</v>
      </c>
      <c r="E7155" s="64" t="s">
        <v>3957</v>
      </c>
      <c r="F7155" s="64" t="s">
        <v>230</v>
      </c>
      <c r="G7155" s="64" t="s">
        <v>3694</v>
      </c>
      <c r="H7155" s="64" t="s">
        <v>2871</v>
      </c>
      <c r="I7155" s="64" t="s">
        <v>3701</v>
      </c>
      <c r="J7155" s="67">
        <v>0</v>
      </c>
      <c r="K7155" s="62">
        <v>-74923.75</v>
      </c>
      <c r="L7155" s="33" t="e">
        <f>HLOOKUP(B7155,#REF!,1,0)</f>
        <v>#REF!</v>
      </c>
      <c r="M7155" s="33" t="str">
        <f t="shared" si="447"/>
        <v>P&amp;L</v>
      </c>
    </row>
    <row r="7156" spans="1:13" s="33" customFormat="true" ht="12.75" customHeight="true">
      <c r="A7156" s="33" t="str">
        <f t="shared" si="444"/>
        <v>SAT - Revenue</v>
      </c>
      <c r="B7156" s="33" t="str">
        <f t="shared" si="445"/>
        <v>SAT</v>
      </c>
      <c r="C7156" s="33" t="str">
        <f t="shared" si="446"/>
        <v>41999-0000</v>
      </c>
      <c r="D7156" s="64" t="s">
        <v>8400</v>
      </c>
      <c r="E7156" s="64" t="s">
        <v>3712</v>
      </c>
      <c r="F7156" s="64" t="s">
        <v>230</v>
      </c>
      <c r="G7156" s="64" t="s">
        <v>3713</v>
      </c>
      <c r="H7156" s="64" t="s">
        <v>2871</v>
      </c>
      <c r="I7156" s="64" t="s">
        <v>3714</v>
      </c>
      <c r="J7156" s="67">
        <v>-9967.1</v>
      </c>
      <c r="K7156" s="62">
        <v>272729.3</v>
      </c>
      <c r="L7156" s="33" t="e">
        <f>HLOOKUP(B7156,#REF!,1,0)</f>
        <v>#REF!</v>
      </c>
      <c r="M7156" s="33" t="str">
        <f t="shared" si="447"/>
        <v>P&amp;L</v>
      </c>
    </row>
    <row r="7157" spans="1:13" s="33" customFormat="true" ht="12.75" customHeight="true">
      <c r="A7157" s="33" t="str">
        <f t="shared" si="444"/>
        <v>SAT - Revenue</v>
      </c>
      <c r="B7157" s="33" t="str">
        <f t="shared" si="445"/>
        <v>SAT</v>
      </c>
      <c r="C7157" s="33" t="str">
        <f t="shared" si="446"/>
        <v>47400-0000</v>
      </c>
      <c r="D7157" s="64" t="s">
        <v>8401</v>
      </c>
      <c r="E7157" s="64" t="s">
        <v>3716</v>
      </c>
      <c r="F7157" s="64" t="s">
        <v>230</v>
      </c>
      <c r="G7157" s="64" t="s">
        <v>3717</v>
      </c>
      <c r="H7157" s="64" t="s">
        <v>2871</v>
      </c>
      <c r="I7157" s="64" t="s">
        <v>3718</v>
      </c>
      <c r="J7157" s="67">
        <v>9805.1</v>
      </c>
      <c r="K7157" s="62">
        <v>-272891.3</v>
      </c>
      <c r="L7157" s="33" t="e">
        <f>HLOOKUP(B7157,#REF!,1,0)</f>
        <v>#REF!</v>
      </c>
      <c r="M7157" s="33" t="str">
        <f t="shared" si="447"/>
        <v>P&amp;L</v>
      </c>
    </row>
    <row r="7158" spans="1:13" s="33" customFormat="true" ht="12.75" customHeight="true">
      <c r="A7158" s="33" t="str">
        <f t="shared" si="444"/>
        <v>SAT - Revenue</v>
      </c>
      <c r="B7158" s="33" t="str">
        <f t="shared" si="445"/>
        <v>SAT</v>
      </c>
      <c r="C7158" s="33" t="str">
        <f t="shared" si="446"/>
        <v>47420-0000</v>
      </c>
      <c r="D7158" s="64" t="s">
        <v>8402</v>
      </c>
      <c r="E7158" s="64" t="s">
        <v>4154</v>
      </c>
      <c r="F7158" s="64" t="s">
        <v>230</v>
      </c>
      <c r="G7158" s="64" t="s">
        <v>3717</v>
      </c>
      <c r="H7158" s="64" t="s">
        <v>2871</v>
      </c>
      <c r="I7158" s="64" t="s">
        <v>4155</v>
      </c>
      <c r="J7158" s="67">
        <v>0</v>
      </c>
      <c r="K7158" s="62">
        <v>0</v>
      </c>
      <c r="L7158" s="33" t="e">
        <f>HLOOKUP(B7158,#REF!,1,0)</f>
        <v>#REF!</v>
      </c>
      <c r="M7158" s="33" t="str">
        <f t="shared" si="447"/>
        <v>P&amp;L</v>
      </c>
    </row>
    <row r="7159" spans="1:13" s="33" customFormat="true" ht="12.75" customHeight="true">
      <c r="A7159" s="33" t="str">
        <f t="shared" si="444"/>
        <v>SAT - Revenue</v>
      </c>
      <c r="B7159" s="33" t="str">
        <f t="shared" si="445"/>
        <v>SAT</v>
      </c>
      <c r="C7159" s="33" t="str">
        <f t="shared" si="446"/>
        <v>47450-0000</v>
      </c>
      <c r="D7159" s="64" t="s">
        <v>8403</v>
      </c>
      <c r="E7159" s="64" t="s">
        <v>3723</v>
      </c>
      <c r="F7159" s="64" t="s">
        <v>230</v>
      </c>
      <c r="G7159" s="64" t="s">
        <v>3717</v>
      </c>
      <c r="H7159" s="64" t="s">
        <v>2871</v>
      </c>
      <c r="I7159" s="64" t="s">
        <v>3724</v>
      </c>
      <c r="J7159" s="67">
        <v>0</v>
      </c>
      <c r="K7159" s="62">
        <v>0</v>
      </c>
      <c r="L7159" s="33" t="e">
        <f>HLOOKUP(B7159,#REF!,1,0)</f>
        <v>#REF!</v>
      </c>
      <c r="M7159" s="33" t="str">
        <f t="shared" si="447"/>
        <v>P&amp;L</v>
      </c>
    </row>
    <row r="7160" spans="1:13" s="33" customFormat="true" ht="12.75" customHeight="true">
      <c r="A7160" s="33" t="str">
        <f t="shared" si="444"/>
        <v>SAT - Revenue</v>
      </c>
      <c r="B7160" s="33" t="str">
        <f t="shared" si="445"/>
        <v>SAT</v>
      </c>
      <c r="C7160" s="33" t="str">
        <f t="shared" si="446"/>
        <v>47460-0000</v>
      </c>
      <c r="D7160" s="64" t="s">
        <v>8404</v>
      </c>
      <c r="E7160" s="64" t="s">
        <v>3726</v>
      </c>
      <c r="F7160" s="64" t="s">
        <v>230</v>
      </c>
      <c r="G7160" s="64" t="s">
        <v>3717</v>
      </c>
      <c r="H7160" s="64" t="s">
        <v>2871</v>
      </c>
      <c r="I7160" s="64" t="s">
        <v>3727</v>
      </c>
      <c r="J7160" s="67">
        <v>0</v>
      </c>
      <c r="K7160" s="62">
        <v>0</v>
      </c>
      <c r="L7160" s="33" t="e">
        <f>HLOOKUP(B7160,#REF!,1,0)</f>
        <v>#REF!</v>
      </c>
      <c r="M7160" s="33" t="str">
        <f t="shared" si="447"/>
        <v>P&amp;L</v>
      </c>
    </row>
    <row r="7161" spans="1:13" s="33" customFormat="true" ht="12.75" customHeight="true">
      <c r="A7161" s="33" t="str">
        <f t="shared" si="444"/>
        <v>SAT - Revenue</v>
      </c>
      <c r="B7161" s="33" t="str">
        <f t="shared" si="445"/>
        <v>SAT</v>
      </c>
      <c r="C7161" s="33" t="str">
        <f t="shared" si="446"/>
        <v>47480-0000</v>
      </c>
      <c r="D7161" s="64" t="s">
        <v>8405</v>
      </c>
      <c r="E7161" s="64" t="s">
        <v>3729</v>
      </c>
      <c r="F7161" s="64" t="s">
        <v>230</v>
      </c>
      <c r="G7161" s="64" t="s">
        <v>3717</v>
      </c>
      <c r="H7161" s="64" t="s">
        <v>2871</v>
      </c>
      <c r="I7161" s="64" t="s">
        <v>3721</v>
      </c>
      <c r="J7161" s="67">
        <v>0</v>
      </c>
      <c r="K7161" s="62">
        <v>-360</v>
      </c>
      <c r="L7161" s="33" t="e">
        <f>HLOOKUP(B7161,#REF!,1,0)</f>
        <v>#REF!</v>
      </c>
      <c r="M7161" s="33" t="str">
        <f t="shared" si="447"/>
        <v>P&amp;L</v>
      </c>
    </row>
    <row r="7162" spans="1:13" s="33" customFormat="true" ht="12.75" customHeight="true">
      <c r="A7162" s="33" t="str">
        <f t="shared" si="444"/>
        <v>SAT - Revenue</v>
      </c>
      <c r="B7162" s="33" t="str">
        <f t="shared" si="445"/>
        <v>SAT</v>
      </c>
      <c r="C7162" s="33" t="str">
        <f t="shared" si="446"/>
        <v>47494-0000</v>
      </c>
      <c r="D7162" s="64" t="s">
        <v>8406</v>
      </c>
      <c r="E7162" s="64" t="s">
        <v>8407</v>
      </c>
      <c r="F7162" s="64" t="s">
        <v>230</v>
      </c>
      <c r="G7162" s="64" t="s">
        <v>3717</v>
      </c>
      <c r="H7162" s="64" t="s">
        <v>2871</v>
      </c>
      <c r="I7162" s="64" t="s">
        <v>8408</v>
      </c>
      <c r="J7162" s="67">
        <v>0</v>
      </c>
      <c r="K7162" s="62">
        <v>-449.26</v>
      </c>
      <c r="L7162" s="33" t="e">
        <f>HLOOKUP(B7162,#REF!,1,0)</f>
        <v>#REF!</v>
      </c>
      <c r="M7162" s="33" t="str">
        <f t="shared" si="447"/>
        <v>P&amp;L</v>
      </c>
    </row>
    <row r="7163" spans="1:13" s="33" customFormat="true" ht="12.75" customHeight="true">
      <c r="A7163" s="33" t="str">
        <f t="shared" si="444"/>
        <v>SAT - CGS</v>
      </c>
      <c r="B7163" s="33" t="str">
        <f t="shared" si="445"/>
        <v>SAT</v>
      </c>
      <c r="C7163" s="33" t="str">
        <f t="shared" si="446"/>
        <v>51006-0000</v>
      </c>
      <c r="D7163" s="64" t="s">
        <v>8409</v>
      </c>
      <c r="E7163" s="64" t="s">
        <v>3739</v>
      </c>
      <c r="F7163" s="64" t="s">
        <v>230</v>
      </c>
      <c r="G7163" s="64" t="s">
        <v>3740</v>
      </c>
      <c r="H7163" s="64" t="s">
        <v>1875</v>
      </c>
      <c r="I7163" s="64" t="s">
        <v>3741</v>
      </c>
      <c r="J7163" s="67">
        <v>0</v>
      </c>
      <c r="K7163" s="62">
        <v>219</v>
      </c>
      <c r="L7163" s="33" t="e">
        <f>HLOOKUP(B7163,#REF!,1,0)</f>
        <v>#REF!</v>
      </c>
      <c r="M7163" s="33" t="str">
        <f t="shared" si="447"/>
        <v>P&amp;L</v>
      </c>
    </row>
    <row r="7164" spans="1:13" s="33" customFormat="true" ht="12.75" customHeight="true">
      <c r="A7164" s="33" t="str">
        <f t="shared" si="444"/>
        <v>SAT - CGS</v>
      </c>
      <c r="B7164" s="33" t="str">
        <f t="shared" si="445"/>
        <v>SAT</v>
      </c>
      <c r="C7164" s="33" t="str">
        <f t="shared" si="446"/>
        <v>51007-0000</v>
      </c>
      <c r="D7164" s="64" t="s">
        <v>8410</v>
      </c>
      <c r="E7164" s="64" t="s">
        <v>3972</v>
      </c>
      <c r="F7164" s="64" t="s">
        <v>230</v>
      </c>
      <c r="G7164" s="64" t="s">
        <v>3740</v>
      </c>
      <c r="H7164" s="64" t="s">
        <v>1875</v>
      </c>
      <c r="I7164" s="64" t="s">
        <v>3973</v>
      </c>
      <c r="J7164" s="67">
        <v>0</v>
      </c>
      <c r="K7164" s="62">
        <v>149.17</v>
      </c>
      <c r="L7164" s="33" t="e">
        <f>HLOOKUP(B7164,#REF!,1,0)</f>
        <v>#REF!</v>
      </c>
      <c r="M7164" s="33" t="str">
        <f t="shared" si="447"/>
        <v>P&amp;L</v>
      </c>
    </row>
    <row r="7165" spans="1:13" s="33" customFormat="true" ht="12.75" customHeight="true">
      <c r="A7165" s="33" t="str">
        <f t="shared" si="444"/>
        <v>SAT - CGS</v>
      </c>
      <c r="B7165" s="33" t="str">
        <f t="shared" si="445"/>
        <v>SAT</v>
      </c>
      <c r="C7165" s="33" t="str">
        <f t="shared" si="446"/>
        <v>51008-0000</v>
      </c>
      <c r="D7165" s="64" t="s">
        <v>8411</v>
      </c>
      <c r="E7165" s="64" t="s">
        <v>3743</v>
      </c>
      <c r="F7165" s="64" t="s">
        <v>230</v>
      </c>
      <c r="G7165" s="64" t="s">
        <v>3740</v>
      </c>
      <c r="H7165" s="64" t="s">
        <v>1875</v>
      </c>
      <c r="I7165" s="64" t="s">
        <v>3744</v>
      </c>
      <c r="J7165" s="67">
        <v>-350</v>
      </c>
      <c r="K7165" s="62">
        <v>285.55</v>
      </c>
      <c r="L7165" s="33" t="e">
        <f>HLOOKUP(B7165,#REF!,1,0)</f>
        <v>#REF!</v>
      </c>
      <c r="M7165" s="33" t="str">
        <f t="shared" si="447"/>
        <v>P&amp;L</v>
      </c>
    </row>
    <row r="7166" spans="1:13" s="33" customFormat="true" ht="12.75" customHeight="true">
      <c r="A7166" s="33" t="str">
        <f t="shared" si="444"/>
        <v>SAT - CGS</v>
      </c>
      <c r="B7166" s="33" t="str">
        <f t="shared" si="445"/>
        <v>SAT</v>
      </c>
      <c r="C7166" s="33" t="str">
        <f t="shared" si="446"/>
        <v>51009-0000</v>
      </c>
      <c r="D7166" s="64" t="s">
        <v>8412</v>
      </c>
      <c r="E7166" s="64" t="s">
        <v>3746</v>
      </c>
      <c r="F7166" s="64" t="s">
        <v>230</v>
      </c>
      <c r="G7166" s="64" t="s">
        <v>3740</v>
      </c>
      <c r="H7166" s="64" t="s">
        <v>1875</v>
      </c>
      <c r="I7166" s="64" t="s">
        <v>3747</v>
      </c>
      <c r="J7166" s="67">
        <v>0</v>
      </c>
      <c r="K7166" s="62">
        <v>295.01</v>
      </c>
      <c r="L7166" s="33" t="e">
        <f>HLOOKUP(B7166,#REF!,1,0)</f>
        <v>#REF!</v>
      </c>
      <c r="M7166" s="33" t="str">
        <f t="shared" si="447"/>
        <v>P&amp;L</v>
      </c>
    </row>
    <row r="7167" spans="1:13" s="33" customFormat="true" ht="12.75" customHeight="true">
      <c r="A7167" s="33" t="str">
        <f t="shared" si="444"/>
        <v>SAT - CGS</v>
      </c>
      <c r="B7167" s="33" t="str">
        <f t="shared" si="445"/>
        <v>SAT</v>
      </c>
      <c r="C7167" s="33" t="str">
        <f t="shared" si="446"/>
        <v>51011-0000</v>
      </c>
      <c r="D7167" s="64" t="s">
        <v>8413</v>
      </c>
      <c r="E7167" s="64" t="s">
        <v>3749</v>
      </c>
      <c r="F7167" s="64" t="s">
        <v>230</v>
      </c>
      <c r="G7167" s="64" t="s">
        <v>3740</v>
      </c>
      <c r="H7167" s="64" t="s">
        <v>1875</v>
      </c>
      <c r="I7167" s="64" t="s">
        <v>3750</v>
      </c>
      <c r="J7167" s="67">
        <v>350</v>
      </c>
      <c r="K7167" s="62">
        <v>4521.5</v>
      </c>
      <c r="L7167" s="33" t="e">
        <f>HLOOKUP(B7167,#REF!,1,0)</f>
        <v>#REF!</v>
      </c>
      <c r="M7167" s="33" t="str">
        <f t="shared" si="447"/>
        <v>P&amp;L</v>
      </c>
    </row>
    <row r="7168" spans="1:13" s="33" customFormat="true" ht="12.75" customHeight="true">
      <c r="A7168" s="33" t="str">
        <f t="shared" si="444"/>
        <v>SAT - CGS</v>
      </c>
      <c r="B7168" s="33" t="str">
        <f t="shared" si="445"/>
        <v>SAT</v>
      </c>
      <c r="C7168" s="33" t="str">
        <f t="shared" si="446"/>
        <v>52001-0000</v>
      </c>
      <c r="D7168" s="64" t="s">
        <v>8414</v>
      </c>
      <c r="E7168" s="64" t="s">
        <v>3768</v>
      </c>
      <c r="F7168" s="64" t="s">
        <v>230</v>
      </c>
      <c r="G7168" s="64" t="s">
        <v>3769</v>
      </c>
      <c r="H7168" s="64" t="s">
        <v>1875</v>
      </c>
      <c r="I7168" s="64" t="s">
        <v>3770</v>
      </c>
      <c r="J7168" s="67">
        <v>0</v>
      </c>
      <c r="K7168" s="62">
        <v>367.85</v>
      </c>
      <c r="L7168" s="33" t="e">
        <f>HLOOKUP(B7168,#REF!,1,0)</f>
        <v>#REF!</v>
      </c>
      <c r="M7168" s="33" t="str">
        <f t="shared" si="447"/>
        <v>P&amp;L</v>
      </c>
    </row>
    <row r="7169" spans="1:13" s="33" customFormat="true" ht="12.75" customHeight="true">
      <c r="A7169" s="33" t="str">
        <f t="shared" si="444"/>
        <v>SAT - CGS</v>
      </c>
      <c r="B7169" s="33" t="str">
        <f t="shared" si="445"/>
        <v>SAT</v>
      </c>
      <c r="C7169" s="33" t="str">
        <f t="shared" si="446"/>
        <v>52002-0000</v>
      </c>
      <c r="D7169" s="64" t="s">
        <v>8415</v>
      </c>
      <c r="E7169" s="64" t="s">
        <v>3997</v>
      </c>
      <c r="F7169" s="64" t="s">
        <v>230</v>
      </c>
      <c r="G7169" s="64" t="s">
        <v>3769</v>
      </c>
      <c r="H7169" s="64" t="s">
        <v>1875</v>
      </c>
      <c r="I7169" s="64" t="s">
        <v>3998</v>
      </c>
      <c r="J7169" s="67">
        <v>0</v>
      </c>
      <c r="K7169" s="62">
        <v>-1314.36</v>
      </c>
      <c r="L7169" s="33" t="e">
        <f>HLOOKUP(B7169,#REF!,1,0)</f>
        <v>#REF!</v>
      </c>
      <c r="M7169" s="33" t="str">
        <f t="shared" si="447"/>
        <v>P&amp;L</v>
      </c>
    </row>
    <row r="7170" spans="1:13" s="33" customFormat="true" ht="12.75" customHeight="true">
      <c r="A7170" s="33" t="str">
        <f t="shared" ref="A7170:A7233" si="448">B7170&amp;" - "&amp;TRIM(H7170)</f>
        <v>SAT - CGS</v>
      </c>
      <c r="B7170" s="33" t="str">
        <f t="shared" ref="B7170:B7233" si="449">LEFT(D7170,3)</f>
        <v>SAT</v>
      </c>
      <c r="C7170" s="33" t="str">
        <f t="shared" ref="C7170:C7233" si="450">RIGHT(D7170,10)</f>
        <v>52003-0000</v>
      </c>
      <c r="D7170" s="64" t="s">
        <v>8416</v>
      </c>
      <c r="E7170" s="64" t="s">
        <v>3772</v>
      </c>
      <c r="F7170" s="64" t="s">
        <v>230</v>
      </c>
      <c r="G7170" s="64" t="s">
        <v>3769</v>
      </c>
      <c r="H7170" s="64" t="s">
        <v>1875</v>
      </c>
      <c r="I7170" s="64" t="s">
        <v>3773</v>
      </c>
      <c r="J7170" s="67">
        <v>-300</v>
      </c>
      <c r="K7170" s="62">
        <v>-250</v>
      </c>
      <c r="L7170" s="33" t="e">
        <f>HLOOKUP(B7170,#REF!,1,0)</f>
        <v>#REF!</v>
      </c>
      <c r="M7170" s="33" t="str">
        <f t="shared" ref="M7170:M7233" si="451">IF(VALUE(LEFT(C7170,5))&gt;40000,"P&amp;L","BS")</f>
        <v>P&amp;L</v>
      </c>
    </row>
    <row r="7171" spans="1:13" s="33" customFormat="true" ht="12.75" customHeight="true">
      <c r="A7171" s="33" t="str">
        <f t="shared" si="448"/>
        <v>SAT - CGS</v>
      </c>
      <c r="B7171" s="33" t="str">
        <f t="shared" si="449"/>
        <v>SAT</v>
      </c>
      <c r="C7171" s="33" t="str">
        <f t="shared" si="450"/>
        <v>52004-0000</v>
      </c>
      <c r="D7171" s="64" t="s">
        <v>8417</v>
      </c>
      <c r="E7171" s="64" t="s">
        <v>3775</v>
      </c>
      <c r="F7171" s="64" t="s">
        <v>230</v>
      </c>
      <c r="G7171" s="64" t="s">
        <v>3769</v>
      </c>
      <c r="H7171" s="64" t="s">
        <v>1875</v>
      </c>
      <c r="I7171" s="64" t="s">
        <v>3776</v>
      </c>
      <c r="J7171" s="67">
        <v>-291</v>
      </c>
      <c r="K7171" s="62">
        <v>-693.18</v>
      </c>
      <c r="L7171" s="33" t="e">
        <f>HLOOKUP(B7171,#REF!,1,0)</f>
        <v>#REF!</v>
      </c>
      <c r="M7171" s="33" t="str">
        <f t="shared" si="451"/>
        <v>P&amp;L</v>
      </c>
    </row>
    <row r="7172" spans="1:13" s="33" customFormat="true" ht="12.75" customHeight="true">
      <c r="A7172" s="33" t="str">
        <f t="shared" si="448"/>
        <v>SAT - CGS</v>
      </c>
      <c r="B7172" s="33" t="str">
        <f t="shared" si="449"/>
        <v>SAT</v>
      </c>
      <c r="C7172" s="33" t="str">
        <f t="shared" si="450"/>
        <v>52006-0000</v>
      </c>
      <c r="D7172" s="64" t="s">
        <v>8418</v>
      </c>
      <c r="E7172" s="64" t="s">
        <v>3778</v>
      </c>
      <c r="F7172" s="64" t="s">
        <v>230</v>
      </c>
      <c r="G7172" s="64" t="s">
        <v>3769</v>
      </c>
      <c r="H7172" s="64" t="s">
        <v>1875</v>
      </c>
      <c r="I7172" s="64" t="s">
        <v>3779</v>
      </c>
      <c r="J7172" s="67">
        <v>-1129.51</v>
      </c>
      <c r="K7172" s="62">
        <v>-1030.05</v>
      </c>
      <c r="L7172" s="33" t="e">
        <f>HLOOKUP(B7172,#REF!,1,0)</f>
        <v>#REF!</v>
      </c>
      <c r="M7172" s="33" t="str">
        <f t="shared" si="451"/>
        <v>P&amp;L</v>
      </c>
    </row>
    <row r="7173" spans="1:13" s="33" customFormat="true" ht="12.75" customHeight="true">
      <c r="A7173" s="33" t="str">
        <f t="shared" si="448"/>
        <v>SAT - CGS</v>
      </c>
      <c r="B7173" s="33" t="str">
        <f t="shared" si="449"/>
        <v>SAT</v>
      </c>
      <c r="C7173" s="33" t="str">
        <f t="shared" si="450"/>
        <v>53002-0000</v>
      </c>
      <c r="D7173" s="64" t="s">
        <v>8419</v>
      </c>
      <c r="E7173" s="64" t="s">
        <v>3784</v>
      </c>
      <c r="F7173" s="64" t="s">
        <v>230</v>
      </c>
      <c r="G7173" s="64" t="s">
        <v>3160</v>
      </c>
      <c r="H7173" s="64" t="s">
        <v>1875</v>
      </c>
      <c r="I7173" s="64" t="s">
        <v>3785</v>
      </c>
      <c r="J7173" s="67">
        <v>0</v>
      </c>
      <c r="K7173" s="62">
        <v>1745.3</v>
      </c>
      <c r="L7173" s="33" t="e">
        <f>HLOOKUP(B7173,#REF!,1,0)</f>
        <v>#REF!</v>
      </c>
      <c r="M7173" s="33" t="str">
        <f t="shared" si="451"/>
        <v>P&amp;L</v>
      </c>
    </row>
    <row r="7174" spans="1:13" s="33" customFormat="true" ht="12.75" customHeight="true">
      <c r="A7174" s="33" t="str">
        <f t="shared" si="448"/>
        <v>SAT - CGS</v>
      </c>
      <c r="B7174" s="33" t="str">
        <f t="shared" si="449"/>
        <v>SAT</v>
      </c>
      <c r="C7174" s="33" t="str">
        <f t="shared" si="450"/>
        <v>53003-0000</v>
      </c>
      <c r="D7174" s="64" t="s">
        <v>8420</v>
      </c>
      <c r="E7174" s="64" t="s">
        <v>3787</v>
      </c>
      <c r="F7174" s="64" t="s">
        <v>230</v>
      </c>
      <c r="G7174" s="64" t="s">
        <v>3160</v>
      </c>
      <c r="H7174" s="64" t="s">
        <v>1875</v>
      </c>
      <c r="I7174" s="64" t="s">
        <v>3788</v>
      </c>
      <c r="J7174" s="67">
        <v>11.61</v>
      </c>
      <c r="K7174" s="62">
        <v>517.33</v>
      </c>
      <c r="L7174" s="33" t="e">
        <f>HLOOKUP(B7174,#REF!,1,0)</f>
        <v>#REF!</v>
      </c>
      <c r="M7174" s="33" t="str">
        <f t="shared" si="451"/>
        <v>P&amp;L</v>
      </c>
    </row>
    <row r="7175" spans="1:13" s="33" customFormat="true" ht="12.75" customHeight="true">
      <c r="A7175" s="33" t="str">
        <f t="shared" si="448"/>
        <v>SAT - CGS</v>
      </c>
      <c r="B7175" s="33" t="str">
        <f t="shared" si="449"/>
        <v>SAT</v>
      </c>
      <c r="C7175" s="33" t="str">
        <f t="shared" si="450"/>
        <v>53006-0000</v>
      </c>
      <c r="D7175" s="64" t="s">
        <v>8421</v>
      </c>
      <c r="E7175" s="64" t="s">
        <v>3796</v>
      </c>
      <c r="F7175" s="64" t="s">
        <v>230</v>
      </c>
      <c r="G7175" s="64" t="s">
        <v>3160</v>
      </c>
      <c r="H7175" s="64" t="s">
        <v>1875</v>
      </c>
      <c r="I7175" s="64" t="s">
        <v>3797</v>
      </c>
      <c r="J7175" s="67">
        <v>0</v>
      </c>
      <c r="K7175" s="62">
        <v>241.74</v>
      </c>
      <c r="L7175" s="33" t="e">
        <f>HLOOKUP(B7175,#REF!,1,0)</f>
        <v>#REF!</v>
      </c>
      <c r="M7175" s="33" t="str">
        <f t="shared" si="451"/>
        <v>P&amp;L</v>
      </c>
    </row>
    <row r="7176" spans="1:13" s="33" customFormat="true" ht="12.75" customHeight="true">
      <c r="A7176" s="33" t="str">
        <f t="shared" si="448"/>
        <v>SAT - CGS</v>
      </c>
      <c r="B7176" s="33" t="str">
        <f t="shared" si="449"/>
        <v>SAT</v>
      </c>
      <c r="C7176" s="33" t="str">
        <f t="shared" si="450"/>
        <v>54003-0000</v>
      </c>
      <c r="D7176" s="64" t="s">
        <v>8422</v>
      </c>
      <c r="E7176" s="64" t="s">
        <v>3803</v>
      </c>
      <c r="F7176" s="64" t="s">
        <v>230</v>
      </c>
      <c r="G7176" s="64" t="s">
        <v>3800</v>
      </c>
      <c r="H7176" s="64" t="s">
        <v>1875</v>
      </c>
      <c r="I7176" s="64" t="s">
        <v>3804</v>
      </c>
      <c r="J7176" s="67">
        <v>0</v>
      </c>
      <c r="K7176" s="62">
        <v>0</v>
      </c>
      <c r="L7176" s="33" t="e">
        <f>HLOOKUP(B7176,#REF!,1,0)</f>
        <v>#REF!</v>
      </c>
      <c r="M7176" s="33" t="str">
        <f t="shared" si="451"/>
        <v>P&amp;L</v>
      </c>
    </row>
    <row r="7177" spans="1:13" s="33" customFormat="true" ht="12.75" customHeight="true">
      <c r="A7177" s="33" t="str">
        <f t="shared" si="448"/>
        <v>SAT - CGS</v>
      </c>
      <c r="B7177" s="33" t="str">
        <f t="shared" si="449"/>
        <v>SAT</v>
      </c>
      <c r="C7177" s="33" t="str">
        <f t="shared" si="450"/>
        <v>54004-0000</v>
      </c>
      <c r="D7177" s="64" t="s">
        <v>8423</v>
      </c>
      <c r="E7177" s="64" t="s">
        <v>3806</v>
      </c>
      <c r="F7177" s="64" t="s">
        <v>230</v>
      </c>
      <c r="G7177" s="64" t="s">
        <v>3800</v>
      </c>
      <c r="H7177" s="64" t="s">
        <v>1875</v>
      </c>
      <c r="I7177" s="64" t="s">
        <v>3807</v>
      </c>
      <c r="J7177" s="67">
        <v>0</v>
      </c>
      <c r="K7177" s="62">
        <v>0</v>
      </c>
      <c r="L7177" s="33" t="e">
        <f>HLOOKUP(B7177,#REF!,1,0)</f>
        <v>#REF!</v>
      </c>
      <c r="M7177" s="33" t="str">
        <f t="shared" si="451"/>
        <v>P&amp;L</v>
      </c>
    </row>
    <row r="7178" spans="1:13" s="33" customFormat="true" ht="12.75" customHeight="true">
      <c r="A7178" s="33" t="str">
        <f t="shared" si="448"/>
        <v>SAT - CGS</v>
      </c>
      <c r="B7178" s="33" t="str">
        <f t="shared" si="449"/>
        <v>SAT</v>
      </c>
      <c r="C7178" s="33" t="str">
        <f t="shared" si="450"/>
        <v>54006-0000</v>
      </c>
      <c r="D7178" s="64" t="s">
        <v>8424</v>
      </c>
      <c r="E7178" s="64" t="s">
        <v>3812</v>
      </c>
      <c r="F7178" s="64" t="s">
        <v>230</v>
      </c>
      <c r="G7178" s="64" t="s">
        <v>3800</v>
      </c>
      <c r="H7178" s="64" t="s">
        <v>1875</v>
      </c>
      <c r="I7178" s="64" t="s">
        <v>3003</v>
      </c>
      <c r="J7178" s="67">
        <v>0</v>
      </c>
      <c r="K7178" s="62">
        <v>0</v>
      </c>
      <c r="L7178" s="33" t="e">
        <f>HLOOKUP(B7178,#REF!,1,0)</f>
        <v>#REF!</v>
      </c>
      <c r="M7178" s="33" t="str">
        <f t="shared" si="451"/>
        <v>P&amp;L</v>
      </c>
    </row>
    <row r="7179" spans="1:13" s="33" customFormat="true" ht="12.75" customHeight="true">
      <c r="A7179" s="33" t="str">
        <f t="shared" si="448"/>
        <v>SAT - CGS</v>
      </c>
      <c r="B7179" s="33" t="str">
        <f t="shared" si="449"/>
        <v>SAT</v>
      </c>
      <c r="C7179" s="33" t="str">
        <f t="shared" si="450"/>
        <v>54007-0000</v>
      </c>
      <c r="D7179" s="64" t="s">
        <v>8425</v>
      </c>
      <c r="E7179" s="64" t="s">
        <v>4182</v>
      </c>
      <c r="F7179" s="64" t="s">
        <v>230</v>
      </c>
      <c r="G7179" s="64" t="s">
        <v>3800</v>
      </c>
      <c r="H7179" s="64" t="s">
        <v>1875</v>
      </c>
      <c r="I7179" s="64" t="s">
        <v>3815</v>
      </c>
      <c r="J7179" s="67">
        <v>0</v>
      </c>
      <c r="K7179" s="62">
        <v>315.33</v>
      </c>
      <c r="L7179" s="33" t="e">
        <f>HLOOKUP(B7179,#REF!,1,0)</f>
        <v>#REF!</v>
      </c>
      <c r="M7179" s="33" t="str">
        <f t="shared" si="451"/>
        <v>P&amp;L</v>
      </c>
    </row>
    <row r="7180" spans="1:13" s="33" customFormat="true" ht="12.75" customHeight="true">
      <c r="A7180" s="33" t="str">
        <f t="shared" si="448"/>
        <v>SAT - PM Expenses</v>
      </c>
      <c r="B7180" s="33" t="str">
        <f t="shared" si="449"/>
        <v>SAT</v>
      </c>
      <c r="C7180" s="33" t="str">
        <f t="shared" si="450"/>
        <v>55502-0000</v>
      </c>
      <c r="D7180" s="64" t="s">
        <v>8426</v>
      </c>
      <c r="E7180" s="64" t="s">
        <v>3822</v>
      </c>
      <c r="F7180" s="64" t="s">
        <v>230</v>
      </c>
      <c r="G7180" s="64" t="s">
        <v>3818</v>
      </c>
      <c r="H7180" s="64" t="s">
        <v>3819</v>
      </c>
      <c r="I7180" s="64" t="s">
        <v>3823</v>
      </c>
      <c r="J7180" s="67">
        <v>-568.95</v>
      </c>
      <c r="K7180" s="62">
        <v>5198.24</v>
      </c>
      <c r="L7180" s="33" t="e">
        <f>HLOOKUP(B7180,#REF!,1,0)</f>
        <v>#REF!</v>
      </c>
      <c r="M7180" s="33" t="str">
        <f t="shared" si="451"/>
        <v>P&amp;L</v>
      </c>
    </row>
    <row r="7181" spans="1:13" s="33" customFormat="true" ht="12.75" customHeight="true">
      <c r="A7181" s="33" t="str">
        <f t="shared" si="448"/>
        <v>SAT - PM Expenses</v>
      </c>
      <c r="B7181" s="33" t="str">
        <f t="shared" si="449"/>
        <v>SAT</v>
      </c>
      <c r="C7181" s="33" t="str">
        <f t="shared" si="450"/>
        <v>55503-0000</v>
      </c>
      <c r="D7181" s="64" t="s">
        <v>8427</v>
      </c>
      <c r="E7181" s="64" t="s">
        <v>3825</v>
      </c>
      <c r="F7181" s="64" t="s">
        <v>230</v>
      </c>
      <c r="G7181" s="64" t="s">
        <v>3818</v>
      </c>
      <c r="H7181" s="64" t="s">
        <v>3819</v>
      </c>
      <c r="I7181" s="64" t="s">
        <v>3826</v>
      </c>
      <c r="J7181" s="67">
        <v>180</v>
      </c>
      <c r="K7181" s="62">
        <v>1002.37</v>
      </c>
      <c r="L7181" s="33" t="e">
        <f>HLOOKUP(B7181,#REF!,1,0)</f>
        <v>#REF!</v>
      </c>
      <c r="M7181" s="33" t="str">
        <f t="shared" si="451"/>
        <v>P&amp;L</v>
      </c>
    </row>
    <row r="7182" spans="1:13" s="33" customFormat="true" ht="12.75" customHeight="true">
      <c r="A7182" s="33" t="str">
        <f t="shared" si="448"/>
        <v>SAT - PM Expenses</v>
      </c>
      <c r="B7182" s="33" t="str">
        <f t="shared" si="449"/>
        <v>SAT</v>
      </c>
      <c r="C7182" s="33" t="str">
        <f t="shared" si="450"/>
        <v>55505-0000</v>
      </c>
      <c r="D7182" s="64" t="s">
        <v>8428</v>
      </c>
      <c r="E7182" s="64" t="s">
        <v>3828</v>
      </c>
      <c r="F7182" s="64" t="s">
        <v>230</v>
      </c>
      <c r="G7182" s="64" t="s">
        <v>3818</v>
      </c>
      <c r="H7182" s="64" t="s">
        <v>3819</v>
      </c>
      <c r="I7182" s="64" t="s">
        <v>3829</v>
      </c>
      <c r="J7182" s="67">
        <v>0</v>
      </c>
      <c r="K7182" s="62">
        <v>8911.44</v>
      </c>
      <c r="L7182" s="33" t="e">
        <f>HLOOKUP(B7182,#REF!,1,0)</f>
        <v>#REF!</v>
      </c>
      <c r="M7182" s="33" t="str">
        <f t="shared" si="451"/>
        <v>P&amp;L</v>
      </c>
    </row>
    <row r="7183" spans="1:13" s="33" customFormat="true" ht="12.75" customHeight="true">
      <c r="A7183" s="33" t="str">
        <f t="shared" si="448"/>
        <v>SAT - PM Expenses</v>
      </c>
      <c r="B7183" s="33" t="str">
        <f t="shared" si="449"/>
        <v>SAT</v>
      </c>
      <c r="C7183" s="33" t="str">
        <f t="shared" si="450"/>
        <v>55506-0000</v>
      </c>
      <c r="D7183" s="64" t="s">
        <v>8429</v>
      </c>
      <c r="E7183" s="64" t="s">
        <v>3831</v>
      </c>
      <c r="F7183" s="64" t="s">
        <v>230</v>
      </c>
      <c r="G7183" s="64" t="s">
        <v>3818</v>
      </c>
      <c r="H7183" s="64" t="s">
        <v>3819</v>
      </c>
      <c r="I7183" s="64" t="s">
        <v>3832</v>
      </c>
      <c r="J7183" s="67">
        <v>0</v>
      </c>
      <c r="K7183" s="62">
        <v>25164.15</v>
      </c>
      <c r="L7183" s="33" t="e">
        <f>HLOOKUP(B7183,#REF!,1,0)</f>
        <v>#REF!</v>
      </c>
      <c r="M7183" s="33" t="str">
        <f t="shared" si="451"/>
        <v>P&amp;L</v>
      </c>
    </row>
    <row r="7184" spans="1:13" s="33" customFormat="true" ht="12.75" customHeight="true">
      <c r="A7184" s="33" t="str">
        <f t="shared" si="448"/>
        <v>SAT - CGS</v>
      </c>
      <c r="B7184" s="33" t="str">
        <f t="shared" si="449"/>
        <v>SAT</v>
      </c>
      <c r="C7184" s="33" t="str">
        <f t="shared" si="450"/>
        <v>60001-0000</v>
      </c>
      <c r="D7184" s="64" t="s">
        <v>8430</v>
      </c>
      <c r="E7184" s="64" t="s">
        <v>4192</v>
      </c>
      <c r="F7184" s="64" t="s">
        <v>230</v>
      </c>
      <c r="G7184" s="64" t="s">
        <v>3838</v>
      </c>
      <c r="H7184" s="64" t="s">
        <v>1875</v>
      </c>
      <c r="I7184" s="64" t="s">
        <v>4193</v>
      </c>
      <c r="J7184" s="67">
        <v>-141.35</v>
      </c>
      <c r="K7184" s="62">
        <v>-141.35</v>
      </c>
      <c r="L7184" s="33" t="e">
        <f>HLOOKUP(B7184,#REF!,1,0)</f>
        <v>#REF!</v>
      </c>
      <c r="M7184" s="33" t="str">
        <f t="shared" si="451"/>
        <v>P&amp;L</v>
      </c>
    </row>
    <row r="7185" spans="1:13" s="33" customFormat="true" ht="12.75" customHeight="true">
      <c r="A7185" s="33" t="str">
        <f t="shared" si="448"/>
        <v>SAT - CGS</v>
      </c>
      <c r="B7185" s="33" t="str">
        <f t="shared" si="449"/>
        <v>SAT</v>
      </c>
      <c r="C7185" s="33" t="str">
        <f t="shared" si="450"/>
        <v>60002-0000</v>
      </c>
      <c r="D7185" s="64" t="s">
        <v>8431</v>
      </c>
      <c r="E7185" s="64" t="s">
        <v>3837</v>
      </c>
      <c r="F7185" s="64" t="s">
        <v>230</v>
      </c>
      <c r="G7185" s="64" t="s">
        <v>3838</v>
      </c>
      <c r="H7185" s="64" t="s">
        <v>1875</v>
      </c>
      <c r="I7185" s="64" t="s">
        <v>3839</v>
      </c>
      <c r="J7185" s="67">
        <v>107.93</v>
      </c>
      <c r="K7185" s="62">
        <v>1125.31</v>
      </c>
      <c r="L7185" s="33" t="e">
        <f>HLOOKUP(B7185,#REF!,1,0)</f>
        <v>#REF!</v>
      </c>
      <c r="M7185" s="33" t="str">
        <f t="shared" si="451"/>
        <v>P&amp;L</v>
      </c>
    </row>
    <row r="7186" spans="1:13" s="33" customFormat="true" ht="12.75" customHeight="true">
      <c r="A7186" s="33" t="str">
        <f t="shared" si="448"/>
        <v>SAT - CGS</v>
      </c>
      <c r="B7186" s="33" t="str">
        <f t="shared" si="449"/>
        <v>SAT</v>
      </c>
      <c r="C7186" s="33" t="str">
        <f t="shared" si="450"/>
        <v>60005-0000</v>
      </c>
      <c r="D7186" s="64" t="s">
        <v>8432</v>
      </c>
      <c r="E7186" s="64" t="s">
        <v>3841</v>
      </c>
      <c r="F7186" s="64" t="s">
        <v>230</v>
      </c>
      <c r="G7186" s="64" t="s">
        <v>3838</v>
      </c>
      <c r="H7186" s="64" t="s">
        <v>1875</v>
      </c>
      <c r="I7186" s="64" t="s">
        <v>3842</v>
      </c>
      <c r="J7186" s="67">
        <v>0</v>
      </c>
      <c r="K7186" s="62">
        <v>5758.7</v>
      </c>
      <c r="L7186" s="33" t="e">
        <f>HLOOKUP(B7186,#REF!,1,0)</f>
        <v>#REF!</v>
      </c>
      <c r="M7186" s="33" t="str">
        <f t="shared" si="451"/>
        <v>P&amp;L</v>
      </c>
    </row>
    <row r="7187" spans="1:13" s="33" customFormat="true" ht="12.75" customHeight="true">
      <c r="A7187" s="33" t="str">
        <f t="shared" si="448"/>
        <v>SAT - Interest Expense</v>
      </c>
      <c r="B7187" s="33" t="str">
        <f t="shared" si="449"/>
        <v>SAT</v>
      </c>
      <c r="C7187" s="33" t="str">
        <f t="shared" si="450"/>
        <v>60006-0000</v>
      </c>
      <c r="D7187" s="64" t="s">
        <v>8433</v>
      </c>
      <c r="E7187" s="64" t="s">
        <v>3325</v>
      </c>
      <c r="F7187" s="64" t="s">
        <v>230</v>
      </c>
      <c r="G7187" s="64" t="s">
        <v>3844</v>
      </c>
      <c r="H7187" s="64" t="s">
        <v>3327</v>
      </c>
      <c r="I7187" s="64" t="s">
        <v>3328</v>
      </c>
      <c r="J7187" s="67">
        <v>22209.27</v>
      </c>
      <c r="K7187" s="62">
        <v>91372.13</v>
      </c>
      <c r="L7187" s="33" t="e">
        <f>HLOOKUP(B7187,#REF!,1,0)</f>
        <v>#REF!</v>
      </c>
      <c r="M7187" s="33" t="str">
        <f t="shared" si="451"/>
        <v>P&amp;L</v>
      </c>
    </row>
    <row r="7188" spans="1:13" s="33" customFormat="true" ht="12.75" customHeight="true">
      <c r="A7188" s="33" t="str">
        <f t="shared" si="448"/>
        <v>SAT - CGS</v>
      </c>
      <c r="B7188" s="33" t="str">
        <f t="shared" si="449"/>
        <v>SAT</v>
      </c>
      <c r="C7188" s="33" t="str">
        <f t="shared" si="450"/>
        <v>60007-0000</v>
      </c>
      <c r="D7188" s="64" t="s">
        <v>8434</v>
      </c>
      <c r="E7188" s="64" t="s">
        <v>3846</v>
      </c>
      <c r="F7188" s="64" t="s">
        <v>230</v>
      </c>
      <c r="G7188" s="64" t="s">
        <v>3838</v>
      </c>
      <c r="H7188" s="64" t="s">
        <v>1875</v>
      </c>
      <c r="I7188" s="64" t="s">
        <v>3847</v>
      </c>
      <c r="J7188" s="67">
        <v>0</v>
      </c>
      <c r="K7188" s="62">
        <v>50801</v>
      </c>
      <c r="L7188" s="33" t="e">
        <f>HLOOKUP(B7188,#REF!,1,0)</f>
        <v>#REF!</v>
      </c>
      <c r="M7188" s="33" t="str">
        <f t="shared" si="451"/>
        <v>P&amp;L</v>
      </c>
    </row>
    <row r="7189" spans="1:13" s="33" customFormat="true" ht="12.75" customHeight="true">
      <c r="A7189" s="33" t="str">
        <f t="shared" si="448"/>
        <v>SAT - CGS</v>
      </c>
      <c r="B7189" s="33" t="str">
        <f t="shared" si="449"/>
        <v>SAT</v>
      </c>
      <c r="C7189" s="33" t="str">
        <f t="shared" si="450"/>
        <v>60008-0000</v>
      </c>
      <c r="D7189" s="64" t="s">
        <v>8435</v>
      </c>
      <c r="E7189" s="64" t="s">
        <v>3849</v>
      </c>
      <c r="F7189" s="64" t="s">
        <v>230</v>
      </c>
      <c r="G7189" s="64" t="s">
        <v>3838</v>
      </c>
      <c r="H7189" s="64" t="s">
        <v>1875</v>
      </c>
      <c r="I7189" s="64" t="s">
        <v>3850</v>
      </c>
      <c r="J7189" s="67">
        <v>0</v>
      </c>
      <c r="K7189" s="62">
        <v>1195</v>
      </c>
      <c r="L7189" s="33" t="e">
        <f>HLOOKUP(B7189,#REF!,1,0)</f>
        <v>#REF!</v>
      </c>
      <c r="M7189" s="33" t="str">
        <f t="shared" si="451"/>
        <v>P&amp;L</v>
      </c>
    </row>
    <row r="7190" spans="1:13" s="33" customFormat="true" ht="12.75" customHeight="true">
      <c r="A7190" s="33" t="str">
        <f t="shared" si="448"/>
        <v>SAT - CGS</v>
      </c>
      <c r="B7190" s="33" t="str">
        <f t="shared" si="449"/>
        <v>SAT</v>
      </c>
      <c r="C7190" s="33" t="str">
        <f t="shared" si="450"/>
        <v>60012-0000</v>
      </c>
      <c r="D7190" s="64" t="s">
        <v>8436</v>
      </c>
      <c r="E7190" s="64" t="s">
        <v>3852</v>
      </c>
      <c r="F7190" s="64" t="s">
        <v>230</v>
      </c>
      <c r="G7190" s="64" t="s">
        <v>3838</v>
      </c>
      <c r="H7190" s="64" t="s">
        <v>1875</v>
      </c>
      <c r="I7190" s="64" t="s">
        <v>3853</v>
      </c>
      <c r="J7190" s="67">
        <v>21307.95</v>
      </c>
      <c r="K7190" s="62">
        <v>55785.58</v>
      </c>
      <c r="L7190" s="33" t="e">
        <f>HLOOKUP(B7190,#REF!,1,0)</f>
        <v>#REF!</v>
      </c>
      <c r="M7190" s="33" t="str">
        <f t="shared" si="451"/>
        <v>P&amp;L</v>
      </c>
    </row>
    <row r="7191" spans="1:13" s="33" customFormat="true" ht="12.75" customHeight="true">
      <c r="A7191" s="33" t="str">
        <f t="shared" si="448"/>
        <v>SAT - CGS</v>
      </c>
      <c r="B7191" s="33" t="str">
        <f t="shared" si="449"/>
        <v>SAT</v>
      </c>
      <c r="C7191" s="33" t="str">
        <f t="shared" si="450"/>
        <v>60014-0000</v>
      </c>
      <c r="D7191" s="64" t="s">
        <v>8437</v>
      </c>
      <c r="E7191" s="64" t="s">
        <v>3855</v>
      </c>
      <c r="F7191" s="64" t="s">
        <v>230</v>
      </c>
      <c r="G7191" s="64" t="s">
        <v>3838</v>
      </c>
      <c r="H7191" s="64" t="s">
        <v>1875</v>
      </c>
      <c r="I7191" s="64" t="s">
        <v>3856</v>
      </c>
      <c r="J7191" s="67">
        <v>9.72</v>
      </c>
      <c r="K7191" s="62">
        <v>8818.91</v>
      </c>
      <c r="L7191" s="33" t="e">
        <f>HLOOKUP(B7191,#REF!,1,0)</f>
        <v>#REF!</v>
      </c>
      <c r="M7191" s="33" t="str">
        <f t="shared" si="451"/>
        <v>P&amp;L</v>
      </c>
    </row>
    <row r="7192" spans="1:13" s="33" customFormat="true" ht="12.75" customHeight="true">
      <c r="A7192" s="33" t="str">
        <f t="shared" si="448"/>
        <v>SAT - CGS</v>
      </c>
      <c r="B7192" s="33" t="str">
        <f t="shared" si="449"/>
        <v>SAT</v>
      </c>
      <c r="C7192" s="33" t="str">
        <f t="shared" si="450"/>
        <v>60015-0000</v>
      </c>
      <c r="D7192" s="64" t="s">
        <v>8438</v>
      </c>
      <c r="E7192" s="64" t="s">
        <v>3858</v>
      </c>
      <c r="F7192" s="64" t="s">
        <v>230</v>
      </c>
      <c r="G7192" s="64" t="s">
        <v>3838</v>
      </c>
      <c r="H7192" s="64" t="s">
        <v>1875</v>
      </c>
      <c r="I7192" s="64" t="s">
        <v>3859</v>
      </c>
      <c r="J7192" s="67">
        <v>0</v>
      </c>
      <c r="K7192" s="62">
        <v>515.18</v>
      </c>
      <c r="L7192" s="33" t="e">
        <f>HLOOKUP(B7192,#REF!,1,0)</f>
        <v>#REF!</v>
      </c>
      <c r="M7192" s="33" t="str">
        <f t="shared" si="451"/>
        <v>P&amp;L</v>
      </c>
    </row>
    <row r="7193" spans="1:13" s="33" customFormat="true" ht="12.75" customHeight="true">
      <c r="A7193" s="33" t="str">
        <f t="shared" si="448"/>
        <v>SAT - CGS</v>
      </c>
      <c r="B7193" s="33" t="str">
        <f t="shared" si="449"/>
        <v>SAT</v>
      </c>
      <c r="C7193" s="33" t="str">
        <f t="shared" si="450"/>
        <v>61018-0000</v>
      </c>
      <c r="D7193" s="64" t="s">
        <v>8439</v>
      </c>
      <c r="E7193" s="64" t="s">
        <v>3864</v>
      </c>
      <c r="F7193" s="64" t="s">
        <v>230</v>
      </c>
      <c r="G7193" s="64" t="s">
        <v>3838</v>
      </c>
      <c r="H7193" s="64" t="s">
        <v>1875</v>
      </c>
      <c r="I7193" s="64" t="s">
        <v>3866</v>
      </c>
      <c r="J7193" s="67">
        <v>295142.72</v>
      </c>
      <c r="K7193" s="62">
        <v>295142.72</v>
      </c>
      <c r="L7193" s="33" t="e">
        <f>HLOOKUP(B7193,#REF!,1,0)</f>
        <v>#REF!</v>
      </c>
      <c r="M7193" s="33" t="str">
        <f t="shared" si="451"/>
        <v>P&amp;L</v>
      </c>
    </row>
    <row r="7194" spans="1:13" s="33" customFormat="true" ht="12.75" customHeight="true">
      <c r="A7194" s="33" t="str">
        <f t="shared" si="448"/>
        <v>SAT - Income Tax</v>
      </c>
      <c r="B7194" s="33" t="str">
        <f t="shared" si="449"/>
        <v>SAT</v>
      </c>
      <c r="C7194" s="33" t="str">
        <f t="shared" si="450"/>
        <v>61019-0000</v>
      </c>
      <c r="D7194" s="64" t="s">
        <v>8440</v>
      </c>
      <c r="E7194" s="64" t="s">
        <v>4041</v>
      </c>
      <c r="F7194" s="64" t="s">
        <v>230</v>
      </c>
      <c r="G7194" s="64" t="s">
        <v>3844</v>
      </c>
      <c r="H7194" s="64" t="s">
        <v>3378</v>
      </c>
      <c r="I7194" s="64" t="s">
        <v>4042</v>
      </c>
      <c r="J7194" s="67">
        <v>0</v>
      </c>
      <c r="K7194" s="62">
        <v>1700</v>
      </c>
      <c r="L7194" s="33" t="e">
        <f>HLOOKUP(B7194,#REF!,1,0)</f>
        <v>#REF!</v>
      </c>
      <c r="M7194" s="33" t="str">
        <f t="shared" si="451"/>
        <v>P&amp;L</v>
      </c>
    </row>
    <row r="7195" spans="1:13" s="33" customFormat="true" ht="12.75" customHeight="true">
      <c r="A7195" s="33" t="str">
        <f t="shared" si="448"/>
        <v>SAT - Gain/Loss on Disp</v>
      </c>
      <c r="B7195" s="33" t="str">
        <f t="shared" si="449"/>
        <v>SAT</v>
      </c>
      <c r="C7195" s="33" t="str">
        <f t="shared" si="450"/>
        <v>99700-0000</v>
      </c>
      <c r="D7195" s="64" t="s">
        <v>8441</v>
      </c>
      <c r="E7195" s="64" t="s">
        <v>5920</v>
      </c>
      <c r="F7195" s="64" t="s">
        <v>230</v>
      </c>
      <c r="G7195" s="64" t="s">
        <v>3326</v>
      </c>
      <c r="H7195" s="64" t="s">
        <v>5921</v>
      </c>
      <c r="I7195" s="64" t="s">
        <v>5922</v>
      </c>
      <c r="J7195" s="67">
        <v>-11890.05</v>
      </c>
      <c r="K7195" s="62">
        <v>-11890.05</v>
      </c>
      <c r="L7195" s="33" t="e">
        <f>HLOOKUP(B7195,#REF!,1,0)</f>
        <v>#REF!</v>
      </c>
      <c r="M7195" s="33" t="str">
        <f t="shared" si="451"/>
        <v>P&amp;L</v>
      </c>
    </row>
    <row r="7196" spans="1:13" s="33" customFormat="true" ht="12.75" customHeight="true">
      <c r="A7196" s="33" t="str">
        <f t="shared" si="448"/>
        <v>SC1 - Revenue</v>
      </c>
      <c r="B7196" s="33" t="str">
        <f t="shared" si="449"/>
        <v>SC1</v>
      </c>
      <c r="C7196" s="33" t="str">
        <f t="shared" si="450"/>
        <v>40700-7352</v>
      </c>
      <c r="D7196" s="64" t="s">
        <v>8442</v>
      </c>
      <c r="E7196" s="64" t="s">
        <v>3716</v>
      </c>
      <c r="F7196" s="64" t="s">
        <v>547</v>
      </c>
      <c r="G7196" s="64" t="s">
        <v>2870</v>
      </c>
      <c r="H7196" s="64" t="s">
        <v>2871</v>
      </c>
      <c r="I7196" s="64" t="s">
        <v>4422</v>
      </c>
      <c r="J7196" s="67">
        <v>-9000</v>
      </c>
      <c r="K7196" s="62">
        <v>-90000</v>
      </c>
      <c r="L7196" s="33" t="e">
        <f>HLOOKUP(B7196,#REF!,1,0)</f>
        <v>#REF!</v>
      </c>
      <c r="M7196" s="33" t="str">
        <f t="shared" si="451"/>
        <v>P&amp;L</v>
      </c>
    </row>
    <row r="7197" spans="1:13" s="33" customFormat="true" ht="12.75" customHeight="true">
      <c r="A7197" s="33" t="str">
        <f t="shared" si="448"/>
        <v>SC1 - Revenue</v>
      </c>
      <c r="B7197" s="33" t="str">
        <f t="shared" si="449"/>
        <v>SC1</v>
      </c>
      <c r="C7197" s="33" t="str">
        <f t="shared" si="450"/>
        <v>40700-7361</v>
      </c>
      <c r="D7197" s="64" t="s">
        <v>8443</v>
      </c>
      <c r="E7197" s="64" t="s">
        <v>3716</v>
      </c>
      <c r="F7197" s="64" t="s">
        <v>547</v>
      </c>
      <c r="G7197" s="64" t="s">
        <v>2870</v>
      </c>
      <c r="H7197" s="64" t="s">
        <v>2871</v>
      </c>
      <c r="I7197" s="64" t="s">
        <v>4422</v>
      </c>
      <c r="J7197" s="67">
        <v>-10750</v>
      </c>
      <c r="K7197" s="62">
        <v>-107500</v>
      </c>
      <c r="L7197" s="33" t="e">
        <f>HLOOKUP(B7197,#REF!,1,0)</f>
        <v>#REF!</v>
      </c>
      <c r="M7197" s="33" t="str">
        <f t="shared" si="451"/>
        <v>P&amp;L</v>
      </c>
    </row>
    <row r="7198" spans="1:13" s="33" customFormat="true" ht="12.75" customHeight="true">
      <c r="A7198" s="33" t="str">
        <f t="shared" si="448"/>
        <v>SC1 - Revenue</v>
      </c>
      <c r="B7198" s="33" t="str">
        <f t="shared" si="449"/>
        <v>SC1</v>
      </c>
      <c r="C7198" s="33" t="str">
        <f t="shared" si="450"/>
        <v>40700-7365</v>
      </c>
      <c r="D7198" s="64" t="s">
        <v>8444</v>
      </c>
      <c r="E7198" s="64" t="s">
        <v>3716</v>
      </c>
      <c r="F7198" s="64" t="s">
        <v>547</v>
      </c>
      <c r="G7198" s="64" t="s">
        <v>2870</v>
      </c>
      <c r="H7198" s="64" t="s">
        <v>2871</v>
      </c>
      <c r="I7198" s="64" t="s">
        <v>4422</v>
      </c>
      <c r="J7198" s="67">
        <v>-9000</v>
      </c>
      <c r="K7198" s="62">
        <v>-90000</v>
      </c>
      <c r="L7198" s="33" t="e">
        <f>HLOOKUP(B7198,#REF!,1,0)</f>
        <v>#REF!</v>
      </c>
      <c r="M7198" s="33" t="str">
        <f t="shared" si="451"/>
        <v>P&amp;L</v>
      </c>
    </row>
    <row r="7199" spans="1:13" s="33" customFormat="true" ht="12.75" customHeight="true">
      <c r="A7199" s="33" t="str">
        <f t="shared" si="448"/>
        <v>SC1 - Operating Expense</v>
      </c>
      <c r="B7199" s="33" t="str">
        <f t="shared" si="449"/>
        <v>SC1</v>
      </c>
      <c r="C7199" s="33" t="str">
        <f t="shared" si="450"/>
        <v>91001-0000</v>
      </c>
      <c r="D7199" s="64" t="s">
        <v>8445</v>
      </c>
      <c r="E7199" s="64" t="s">
        <v>4432</v>
      </c>
      <c r="F7199" s="64" t="s">
        <v>547</v>
      </c>
      <c r="G7199" s="64" t="s">
        <v>4430</v>
      </c>
      <c r="H7199" s="64" t="s">
        <v>3022</v>
      </c>
      <c r="I7199" s="64" t="s">
        <v>4433</v>
      </c>
      <c r="J7199" s="67">
        <v>24.84</v>
      </c>
      <c r="K7199" s="62">
        <v>270.68</v>
      </c>
      <c r="L7199" s="33" t="e">
        <f>HLOOKUP(B7199,#REF!,1,0)</f>
        <v>#REF!</v>
      </c>
      <c r="M7199" s="33" t="str">
        <f t="shared" si="451"/>
        <v>P&amp;L</v>
      </c>
    </row>
    <row r="7200" spans="1:13" s="33" customFormat="true" ht="12.75" customHeight="true">
      <c r="A7200" s="33" t="str">
        <f t="shared" si="448"/>
        <v>SC1 - Interest Expense</v>
      </c>
      <c r="B7200" s="33" t="str">
        <f t="shared" si="449"/>
        <v>SC1</v>
      </c>
      <c r="C7200" s="33" t="str">
        <f t="shared" si="450"/>
        <v>92401-7352</v>
      </c>
      <c r="D7200" s="64" t="s">
        <v>8446</v>
      </c>
      <c r="E7200" s="64" t="s">
        <v>3325</v>
      </c>
      <c r="F7200" s="64" t="s">
        <v>547</v>
      </c>
      <c r="G7200" s="64" t="s">
        <v>3326</v>
      </c>
      <c r="H7200" s="64" t="s">
        <v>3327</v>
      </c>
      <c r="I7200" s="64" t="s">
        <v>3328</v>
      </c>
      <c r="J7200" s="67">
        <v>4627.94</v>
      </c>
      <c r="K7200" s="62">
        <v>44850.21</v>
      </c>
      <c r="L7200" s="33" t="e">
        <f>HLOOKUP(B7200,#REF!,1,0)</f>
        <v>#REF!</v>
      </c>
      <c r="M7200" s="33" t="str">
        <f t="shared" si="451"/>
        <v>P&amp;L</v>
      </c>
    </row>
    <row r="7201" spans="1:13" s="33" customFormat="true" ht="12.75" customHeight="true">
      <c r="A7201" s="33" t="str">
        <f t="shared" si="448"/>
        <v>SC1 - Interest Expense</v>
      </c>
      <c r="B7201" s="33" t="str">
        <f t="shared" si="449"/>
        <v>SC1</v>
      </c>
      <c r="C7201" s="33" t="str">
        <f t="shared" si="450"/>
        <v>92401-7361</v>
      </c>
      <c r="D7201" s="64" t="s">
        <v>8447</v>
      </c>
      <c r="E7201" s="64" t="s">
        <v>3325</v>
      </c>
      <c r="F7201" s="64" t="s">
        <v>547</v>
      </c>
      <c r="G7201" s="64" t="s">
        <v>3326</v>
      </c>
      <c r="H7201" s="64" t="s">
        <v>3327</v>
      </c>
      <c r="I7201" s="64" t="s">
        <v>3328</v>
      </c>
      <c r="J7201" s="67">
        <v>6085.62</v>
      </c>
      <c r="K7201" s="62">
        <v>58976.86</v>
      </c>
      <c r="L7201" s="33" t="e">
        <f>HLOOKUP(B7201,#REF!,1,0)</f>
        <v>#REF!</v>
      </c>
      <c r="M7201" s="33" t="str">
        <f t="shared" si="451"/>
        <v>P&amp;L</v>
      </c>
    </row>
    <row r="7202" spans="1:13" s="33" customFormat="true" ht="12.75" customHeight="true">
      <c r="A7202" s="33" t="str">
        <f t="shared" si="448"/>
        <v>SC1 - Interest Expense</v>
      </c>
      <c r="B7202" s="33" t="str">
        <f t="shared" si="449"/>
        <v>SC1</v>
      </c>
      <c r="C7202" s="33" t="str">
        <f t="shared" si="450"/>
        <v>92401-7365</v>
      </c>
      <c r="D7202" s="64" t="s">
        <v>8448</v>
      </c>
      <c r="E7202" s="64" t="s">
        <v>3325</v>
      </c>
      <c r="F7202" s="64" t="s">
        <v>547</v>
      </c>
      <c r="G7202" s="64" t="s">
        <v>3326</v>
      </c>
      <c r="H7202" s="64" t="s">
        <v>3327</v>
      </c>
      <c r="I7202" s="64" t="s">
        <v>3328</v>
      </c>
      <c r="J7202" s="67">
        <v>6531.68</v>
      </c>
      <c r="K7202" s="62">
        <v>63299.76</v>
      </c>
      <c r="L7202" s="33" t="e">
        <f>HLOOKUP(B7202,#REF!,1,0)</f>
        <v>#REF!</v>
      </c>
      <c r="M7202" s="33" t="str">
        <f t="shared" si="451"/>
        <v>P&amp;L</v>
      </c>
    </row>
    <row r="7203" spans="1:13" s="33" customFormat="true" ht="12.75" customHeight="true">
      <c r="A7203" s="33" t="str">
        <f t="shared" si="448"/>
        <v>SC1 - Operating Expense</v>
      </c>
      <c r="B7203" s="33" t="str">
        <f t="shared" si="449"/>
        <v>SC1</v>
      </c>
      <c r="C7203" s="33" t="str">
        <f t="shared" si="450"/>
        <v>94201-0000</v>
      </c>
      <c r="D7203" s="64" t="s">
        <v>8449</v>
      </c>
      <c r="E7203" s="64" t="s">
        <v>4354</v>
      </c>
      <c r="F7203" s="64" t="s">
        <v>562</v>
      </c>
      <c r="G7203" s="64" t="s">
        <v>4430</v>
      </c>
      <c r="H7203" s="64" t="s">
        <v>3022</v>
      </c>
      <c r="I7203" s="64" t="s">
        <v>3354</v>
      </c>
      <c r="J7203" s="67">
        <v>0</v>
      </c>
      <c r="K7203" s="62">
        <v>1395</v>
      </c>
      <c r="L7203" s="33" t="e">
        <f>HLOOKUP(B7203,#REF!,1,0)</f>
        <v>#REF!</v>
      </c>
      <c r="M7203" s="33" t="str">
        <f t="shared" si="451"/>
        <v>P&amp;L</v>
      </c>
    </row>
    <row r="7204" spans="1:13" s="33" customFormat="true" ht="12.75" customHeight="true">
      <c r="A7204" s="33" t="str">
        <f t="shared" si="448"/>
        <v>SC1 - Income Tax</v>
      </c>
      <c r="B7204" s="33" t="str">
        <f t="shared" si="449"/>
        <v>SC1</v>
      </c>
      <c r="C7204" s="33" t="str">
        <f t="shared" si="450"/>
        <v>99901-0000</v>
      </c>
      <c r="D7204" s="64" t="s">
        <v>8450</v>
      </c>
      <c r="E7204" s="64" t="s">
        <v>4440</v>
      </c>
      <c r="F7204" s="64" t="s">
        <v>547</v>
      </c>
      <c r="G7204" s="64" t="s">
        <v>3326</v>
      </c>
      <c r="H7204" s="64" t="s">
        <v>3378</v>
      </c>
      <c r="I7204" s="64" t="s">
        <v>3379</v>
      </c>
      <c r="J7204" s="67">
        <v>0</v>
      </c>
      <c r="K7204" s="62">
        <v>900</v>
      </c>
      <c r="L7204" s="33" t="e">
        <f>HLOOKUP(B7204,#REF!,1,0)</f>
        <v>#REF!</v>
      </c>
      <c r="M7204" s="33" t="str">
        <f t="shared" si="451"/>
        <v>P&amp;L</v>
      </c>
    </row>
    <row r="7205" spans="1:13" s="33" customFormat="true" ht="12.75" customHeight="true">
      <c r="A7205" s="33" t="str">
        <f t="shared" si="448"/>
        <v>SC2 - Intercompany</v>
      </c>
      <c r="B7205" s="33" t="str">
        <f t="shared" si="449"/>
        <v>SC2</v>
      </c>
      <c r="C7205" s="33" t="str">
        <f t="shared" si="450"/>
        <v>11363-7364</v>
      </c>
      <c r="D7205" s="64" t="s">
        <v>8451</v>
      </c>
      <c r="E7205" s="64" t="s">
        <v>6139</v>
      </c>
      <c r="F7205" s="64" t="s">
        <v>230</v>
      </c>
      <c r="G7205" s="64" t="s">
        <v>16</v>
      </c>
      <c r="H7205" s="64" t="s">
        <v>39</v>
      </c>
      <c r="I7205" s="64" t="s">
        <v>40</v>
      </c>
      <c r="J7205" s="67">
        <v>0</v>
      </c>
      <c r="K7205" s="62">
        <v>4615899.97</v>
      </c>
      <c r="L7205" s="33" t="e">
        <f>HLOOKUP(B7205,#REF!,1,0)</f>
        <v>#REF!</v>
      </c>
      <c r="M7205" s="33" t="str">
        <f t="shared" si="451"/>
        <v>BS</v>
      </c>
    </row>
    <row r="7206" spans="1:13">
      <c r="A7206" s="33" t="str">
        <f t="shared" si="448"/>
        <v>SC2 - Deposits</v>
      </c>
      <c r="B7206" s="33" t="str">
        <f t="shared" si="449"/>
        <v>SC2</v>
      </c>
      <c r="C7206" s="33" t="str">
        <f t="shared" si="450"/>
        <v>19000-0000</v>
      </c>
      <c r="D7206" s="64" t="s">
        <v>8452</v>
      </c>
      <c r="E7206" s="64" t="s">
        <v>342</v>
      </c>
      <c r="F7206" s="64" t="s">
        <v>547</v>
      </c>
      <c r="G7206" s="64" t="s">
        <v>62</v>
      </c>
      <c r="H7206" s="64" t="s">
        <v>80</v>
      </c>
      <c r="I7206" s="64" t="s">
        <v>81</v>
      </c>
      <c r="J7206" s="67">
        <v>0</v>
      </c>
      <c r="K7206" s="62">
        <v>0</v>
      </c>
      <c r="L7206" s="33" t="e">
        <f>HLOOKUP(B7206,#REF!,1,0)</f>
        <v>#REF!</v>
      </c>
      <c r="M7206" s="33" t="str">
        <f t="shared" si="451"/>
        <v>BS</v>
      </c>
    </row>
    <row r="7207" spans="1:13">
      <c r="A7207" s="33" t="str">
        <f t="shared" si="448"/>
        <v>SC2 - Deposits</v>
      </c>
      <c r="B7207" s="33" t="str">
        <f t="shared" si="449"/>
        <v>SC2</v>
      </c>
      <c r="C7207" s="33" t="str">
        <f t="shared" si="450"/>
        <v>19000-7364</v>
      </c>
      <c r="D7207" s="64" t="s">
        <v>8453</v>
      </c>
      <c r="E7207" s="64" t="s">
        <v>8454</v>
      </c>
      <c r="F7207" s="64" t="s">
        <v>547</v>
      </c>
      <c r="G7207" s="64" t="s">
        <v>62</v>
      </c>
      <c r="H7207" s="64" t="s">
        <v>80</v>
      </c>
      <c r="I7207" s="64" t="s">
        <v>81</v>
      </c>
      <c r="J7207" s="67">
        <v>0</v>
      </c>
      <c r="K7207" s="62">
        <v>0</v>
      </c>
      <c r="L7207" s="33" t="e">
        <f>HLOOKUP(B7207,#REF!,1,0)</f>
        <v>#REF!</v>
      </c>
      <c r="M7207" s="33" t="str">
        <f t="shared" si="451"/>
        <v>BS</v>
      </c>
    </row>
    <row r="7208" spans="1:13">
      <c r="A7208" s="33" t="str">
        <f t="shared" si="448"/>
        <v>SC2 - Revenue</v>
      </c>
      <c r="B7208" s="33" t="str">
        <f t="shared" si="449"/>
        <v>SC2</v>
      </c>
      <c r="C7208" s="33" t="str">
        <f t="shared" si="450"/>
        <v>40700-7364</v>
      </c>
      <c r="D7208" s="64" t="s">
        <v>8455</v>
      </c>
      <c r="E7208" s="64" t="s">
        <v>3716</v>
      </c>
      <c r="F7208" s="64" t="s">
        <v>547</v>
      </c>
      <c r="G7208" s="64" t="s">
        <v>2870</v>
      </c>
      <c r="H7208" s="64" t="s">
        <v>2871</v>
      </c>
      <c r="I7208" s="64" t="s">
        <v>4422</v>
      </c>
      <c r="J7208" s="67">
        <v>0</v>
      </c>
      <c r="K7208" s="62">
        <v>-20000</v>
      </c>
      <c r="L7208" s="33" t="e">
        <f>HLOOKUP(B7208,#REF!,1,0)</f>
        <v>#REF!</v>
      </c>
      <c r="M7208" s="33" t="str">
        <f t="shared" si="451"/>
        <v>P&amp;L</v>
      </c>
    </row>
    <row r="7209" spans="1:13">
      <c r="A7209" s="33" t="str">
        <f t="shared" si="448"/>
        <v>SC2 - Revenue</v>
      </c>
      <c r="B7209" s="33" t="str">
        <f t="shared" si="449"/>
        <v>SC2</v>
      </c>
      <c r="C7209" s="33" t="str">
        <f t="shared" si="450"/>
        <v>40700-7489</v>
      </c>
      <c r="D7209" s="64" t="s">
        <v>8456</v>
      </c>
      <c r="E7209" s="64" t="s">
        <v>3716</v>
      </c>
      <c r="F7209" s="64" t="s">
        <v>547</v>
      </c>
      <c r="G7209" s="64" t="s">
        <v>2870</v>
      </c>
      <c r="H7209" s="64" t="s">
        <v>2871</v>
      </c>
      <c r="I7209" s="64" t="s">
        <v>4422</v>
      </c>
      <c r="J7209" s="67">
        <v>-21000</v>
      </c>
      <c r="K7209" s="62">
        <v>-210000</v>
      </c>
      <c r="L7209" s="33" t="e">
        <f>HLOOKUP(B7209,#REF!,1,0)</f>
        <v>#REF!</v>
      </c>
      <c r="M7209" s="33" t="str">
        <f t="shared" si="451"/>
        <v>P&amp;L</v>
      </c>
    </row>
    <row r="7210" spans="1:13">
      <c r="A7210" s="33" t="str">
        <f t="shared" si="448"/>
        <v>SC2 - Revenue</v>
      </c>
      <c r="B7210" s="33" t="str">
        <f t="shared" si="449"/>
        <v>SC2</v>
      </c>
      <c r="C7210" s="33" t="str">
        <f t="shared" si="450"/>
        <v>40700-7493</v>
      </c>
      <c r="D7210" s="64" t="s">
        <v>8457</v>
      </c>
      <c r="E7210" s="64" t="s">
        <v>3716</v>
      </c>
      <c r="F7210" s="64" t="s">
        <v>547</v>
      </c>
      <c r="G7210" s="64" t="s">
        <v>2870</v>
      </c>
      <c r="H7210" s="64" t="s">
        <v>2871</v>
      </c>
      <c r="I7210" s="64" t="s">
        <v>4422</v>
      </c>
      <c r="J7210" s="67">
        <v>-13000</v>
      </c>
      <c r="K7210" s="62">
        <v>-130000</v>
      </c>
      <c r="L7210" s="33" t="e">
        <f>HLOOKUP(B7210,#REF!,1,0)</f>
        <v>#REF!</v>
      </c>
      <c r="M7210" s="33" t="str">
        <f t="shared" si="451"/>
        <v>P&amp;L</v>
      </c>
    </row>
    <row r="7211" spans="1:13">
      <c r="A7211" s="33" t="str">
        <f t="shared" si="448"/>
        <v>SC2 - Other Expenses</v>
      </c>
      <c r="B7211" s="33" t="str">
        <f t="shared" si="449"/>
        <v>SC2</v>
      </c>
      <c r="C7211" s="33" t="str">
        <f t="shared" si="450"/>
        <v>61018-0000</v>
      </c>
      <c r="D7211" s="64" t="s">
        <v>8458</v>
      </c>
      <c r="E7211" s="64" t="s">
        <v>3864</v>
      </c>
      <c r="F7211" s="64" t="s">
        <v>547</v>
      </c>
      <c r="G7211" s="64" t="s">
        <v>3838</v>
      </c>
      <c r="H7211" s="64" t="s">
        <v>3865</v>
      </c>
      <c r="I7211" s="64" t="s">
        <v>3866</v>
      </c>
      <c r="J7211" s="67">
        <v>0</v>
      </c>
      <c r="K7211" s="62">
        <v>0</v>
      </c>
      <c r="L7211" s="33" t="e">
        <f>HLOOKUP(B7211,#REF!,1,0)</f>
        <v>#REF!</v>
      </c>
      <c r="M7211" s="33" t="str">
        <f t="shared" si="451"/>
        <v>P&amp;L</v>
      </c>
    </row>
    <row r="7212" spans="1:13">
      <c r="A7212" s="33" t="str">
        <f t="shared" si="448"/>
        <v>SC2 - Other Expenses</v>
      </c>
      <c r="B7212" s="33" t="str">
        <f t="shared" si="449"/>
        <v>SC2</v>
      </c>
      <c r="C7212" s="33" t="str">
        <f t="shared" si="450"/>
        <v>61018-7364</v>
      </c>
      <c r="D7212" s="64" t="s">
        <v>8459</v>
      </c>
      <c r="E7212" s="64" t="s">
        <v>3864</v>
      </c>
      <c r="F7212" s="64" t="s">
        <v>547</v>
      </c>
      <c r="G7212" s="64" t="s">
        <v>3838</v>
      </c>
      <c r="H7212" s="64" t="s">
        <v>3865</v>
      </c>
      <c r="I7212" s="64" t="s">
        <v>3866</v>
      </c>
      <c r="J7212" s="67">
        <v>0</v>
      </c>
      <c r="K7212" s="62">
        <v>284100.03</v>
      </c>
      <c r="L7212" s="33" t="e">
        <f>HLOOKUP(B7212,#REF!,1,0)</f>
        <v>#REF!</v>
      </c>
      <c r="M7212" s="33" t="str">
        <f t="shared" si="451"/>
        <v>P&amp;L</v>
      </c>
    </row>
    <row r="7213" spans="1:13">
      <c r="A7213" s="33" t="str">
        <f t="shared" si="448"/>
        <v>SC2 - Operating Expense</v>
      </c>
      <c r="B7213" s="33" t="str">
        <f t="shared" si="449"/>
        <v>SC2</v>
      </c>
      <c r="C7213" s="33" t="str">
        <f t="shared" si="450"/>
        <v>91001-0000</v>
      </c>
      <c r="D7213" s="64" t="s">
        <v>8460</v>
      </c>
      <c r="E7213" s="64" t="s">
        <v>4432</v>
      </c>
      <c r="F7213" s="64" t="s">
        <v>547</v>
      </c>
      <c r="G7213" s="64" t="s">
        <v>4430</v>
      </c>
      <c r="H7213" s="64" t="s">
        <v>3022</v>
      </c>
      <c r="I7213" s="64" t="s">
        <v>4433</v>
      </c>
      <c r="J7213" s="67">
        <v>24.41</v>
      </c>
      <c r="K7213" s="62">
        <v>292.05</v>
      </c>
      <c r="L7213" s="33" t="e">
        <f>HLOOKUP(B7213,#REF!,1,0)</f>
        <v>#REF!</v>
      </c>
      <c r="M7213" s="33" t="str">
        <f t="shared" si="451"/>
        <v>P&amp;L</v>
      </c>
    </row>
    <row r="7214" spans="1:13">
      <c r="A7214" s="33" t="str">
        <f t="shared" si="448"/>
        <v>SC2 - Interest Expense</v>
      </c>
      <c r="B7214" s="33" t="str">
        <f t="shared" si="449"/>
        <v>SC2</v>
      </c>
      <c r="C7214" s="33" t="str">
        <f t="shared" si="450"/>
        <v>92401-7364</v>
      </c>
      <c r="D7214" s="64" t="s">
        <v>8461</v>
      </c>
      <c r="E7214" s="64" t="s">
        <v>3325</v>
      </c>
      <c r="F7214" s="64" t="s">
        <v>547</v>
      </c>
      <c r="G7214" s="64" t="s">
        <v>3326</v>
      </c>
      <c r="H7214" s="64" t="s">
        <v>3327</v>
      </c>
      <c r="I7214" s="64" t="s">
        <v>3328</v>
      </c>
      <c r="J7214" s="67">
        <v>3361.43</v>
      </c>
      <c r="K7214" s="62">
        <v>32576.22</v>
      </c>
      <c r="L7214" s="33" t="e">
        <f>HLOOKUP(B7214,#REF!,1,0)</f>
        <v>#REF!</v>
      </c>
      <c r="M7214" s="33" t="str">
        <f t="shared" si="451"/>
        <v>P&amp;L</v>
      </c>
    </row>
    <row r="7215" spans="1:13">
      <c r="A7215" s="33" t="str">
        <f t="shared" si="448"/>
        <v>SC2 - Interest Expense</v>
      </c>
      <c r="B7215" s="33" t="str">
        <f t="shared" si="449"/>
        <v>SC2</v>
      </c>
      <c r="C7215" s="33" t="str">
        <f t="shared" si="450"/>
        <v>92401-7489</v>
      </c>
      <c r="D7215" s="64" t="s">
        <v>8462</v>
      </c>
      <c r="E7215" s="64" t="s">
        <v>3325</v>
      </c>
      <c r="F7215" s="64" t="s">
        <v>547</v>
      </c>
      <c r="G7215" s="64" t="s">
        <v>3326</v>
      </c>
      <c r="H7215" s="64" t="s">
        <v>3327</v>
      </c>
      <c r="I7215" s="64" t="s">
        <v>3328</v>
      </c>
      <c r="J7215" s="67">
        <v>12115.47</v>
      </c>
      <c r="K7215" s="62">
        <v>117413.35</v>
      </c>
      <c r="L7215" s="33" t="e">
        <f>HLOOKUP(B7215,#REF!,1,0)</f>
        <v>#REF!</v>
      </c>
      <c r="M7215" s="33" t="str">
        <f t="shared" si="451"/>
        <v>P&amp;L</v>
      </c>
    </row>
    <row r="7216" spans="1:13">
      <c r="A7216" s="33" t="str">
        <f t="shared" si="448"/>
        <v>SC2 - Interest Expense</v>
      </c>
      <c r="B7216" s="33" t="str">
        <f t="shared" si="449"/>
        <v>SC2</v>
      </c>
      <c r="C7216" s="33" t="str">
        <f t="shared" si="450"/>
        <v>92401-7493</v>
      </c>
      <c r="D7216" s="64" t="s">
        <v>8463</v>
      </c>
      <c r="E7216" s="64" t="s">
        <v>3325</v>
      </c>
      <c r="F7216" s="64" t="s">
        <v>547</v>
      </c>
      <c r="G7216" s="64" t="s">
        <v>3326</v>
      </c>
      <c r="H7216" s="64" t="s">
        <v>3327</v>
      </c>
      <c r="I7216" s="64" t="s">
        <v>3328</v>
      </c>
      <c r="J7216" s="67">
        <v>7288.4</v>
      </c>
      <c r="K7216" s="62">
        <v>70633.28</v>
      </c>
      <c r="L7216" s="33" t="e">
        <f>HLOOKUP(B7216,#REF!,1,0)</f>
        <v>#REF!</v>
      </c>
      <c r="M7216" s="33" t="str">
        <f t="shared" si="451"/>
        <v>P&amp;L</v>
      </c>
    </row>
    <row r="7217" spans="1:13">
      <c r="A7217" s="33" t="str">
        <f t="shared" si="448"/>
        <v>SC2 - Operating Expense</v>
      </c>
      <c r="B7217" s="33" t="str">
        <f t="shared" si="449"/>
        <v>SC2</v>
      </c>
      <c r="C7217" s="33" t="str">
        <f t="shared" si="450"/>
        <v>94201-0000</v>
      </c>
      <c r="D7217" s="64" t="s">
        <v>8464</v>
      </c>
      <c r="E7217" s="64" t="s">
        <v>4354</v>
      </c>
      <c r="F7217" s="64" t="s">
        <v>562</v>
      </c>
      <c r="G7217" s="64" t="s">
        <v>4430</v>
      </c>
      <c r="H7217" s="64" t="s">
        <v>3022</v>
      </c>
      <c r="I7217" s="64" t="s">
        <v>3354</v>
      </c>
      <c r="J7217" s="67">
        <v>0</v>
      </c>
      <c r="K7217" s="62">
        <v>870</v>
      </c>
      <c r="L7217" s="33" t="e">
        <f>HLOOKUP(B7217,#REF!,1,0)</f>
        <v>#REF!</v>
      </c>
      <c r="M7217" s="33" t="str">
        <f t="shared" si="451"/>
        <v>P&amp;L</v>
      </c>
    </row>
    <row r="7218" spans="1:13">
      <c r="A7218" s="33" t="str">
        <f t="shared" si="448"/>
        <v>SC2 - Gain/Loss on Disposal</v>
      </c>
      <c r="B7218" s="33" t="str">
        <f t="shared" si="449"/>
        <v>SC2</v>
      </c>
      <c r="C7218" s="33" t="str">
        <f t="shared" si="450"/>
        <v>99700-0000</v>
      </c>
      <c r="D7218" s="64" t="s">
        <v>8465</v>
      </c>
      <c r="E7218" s="64" t="s">
        <v>5920</v>
      </c>
      <c r="F7218" s="64" t="s">
        <v>547</v>
      </c>
      <c r="G7218" s="64" t="s">
        <v>3326</v>
      </c>
      <c r="H7218" s="64" t="s">
        <v>8466</v>
      </c>
      <c r="I7218" s="64" t="s">
        <v>5922</v>
      </c>
      <c r="J7218" s="67">
        <v>0</v>
      </c>
      <c r="K7218" s="62">
        <v>0</v>
      </c>
      <c r="L7218" s="33" t="e">
        <f>HLOOKUP(B7218,#REF!,1,0)</f>
        <v>#REF!</v>
      </c>
      <c r="M7218" s="33" t="str">
        <f t="shared" si="451"/>
        <v>P&amp;L</v>
      </c>
    </row>
    <row r="7219" spans="1:13">
      <c r="A7219" s="33" t="str">
        <f t="shared" si="448"/>
        <v>SC2 - Gain/Loss on Disposal</v>
      </c>
      <c r="B7219" s="33" t="str">
        <f t="shared" si="449"/>
        <v>SC2</v>
      </c>
      <c r="C7219" s="33" t="str">
        <f t="shared" si="450"/>
        <v>99700-7364</v>
      </c>
      <c r="D7219" s="64" t="s">
        <v>8467</v>
      </c>
      <c r="E7219" s="64" t="s">
        <v>5920</v>
      </c>
      <c r="F7219" s="64" t="s">
        <v>547</v>
      </c>
      <c r="G7219" s="64" t="s">
        <v>3326</v>
      </c>
      <c r="H7219" s="64" t="s">
        <v>8466</v>
      </c>
      <c r="I7219" s="64" t="s">
        <v>5922</v>
      </c>
      <c r="J7219" s="67">
        <v>0</v>
      </c>
      <c r="K7219" s="62">
        <v>-4123399</v>
      </c>
      <c r="L7219" s="33" t="e">
        <f>HLOOKUP(B7219,#REF!,1,0)</f>
        <v>#REF!</v>
      </c>
      <c r="M7219" s="33" t="str">
        <f t="shared" si="451"/>
        <v>P&amp;L</v>
      </c>
    </row>
    <row r="7220" spans="1:13">
      <c r="A7220" s="33" t="str">
        <f t="shared" si="448"/>
        <v>SC2 - Income Tax</v>
      </c>
      <c r="B7220" s="33" t="str">
        <f t="shared" si="449"/>
        <v>SC2</v>
      </c>
      <c r="C7220" s="33" t="str">
        <f t="shared" si="450"/>
        <v>99901-0000</v>
      </c>
      <c r="D7220" s="64" t="s">
        <v>8468</v>
      </c>
      <c r="E7220" s="64" t="s">
        <v>4440</v>
      </c>
      <c r="F7220" s="64" t="s">
        <v>547</v>
      </c>
      <c r="G7220" s="64" t="s">
        <v>3326</v>
      </c>
      <c r="H7220" s="64" t="s">
        <v>3378</v>
      </c>
      <c r="I7220" s="64" t="s">
        <v>3379</v>
      </c>
      <c r="J7220" s="67">
        <v>0</v>
      </c>
      <c r="K7220" s="62">
        <v>66.92</v>
      </c>
      <c r="L7220" s="33" t="e">
        <f>HLOOKUP(B7220,#REF!,1,0)</f>
        <v>#REF!</v>
      </c>
      <c r="M7220" s="33" t="str">
        <f t="shared" si="451"/>
        <v>P&amp;L</v>
      </c>
    </row>
    <row r="7221" spans="1:13">
      <c r="A7221" s="33" t="str">
        <f t="shared" si="448"/>
        <v>SC3 - Revenue</v>
      </c>
      <c r="B7221" s="33" t="str">
        <f t="shared" si="449"/>
        <v>SC3</v>
      </c>
      <c r="C7221" s="33" t="str">
        <f t="shared" si="450"/>
        <v>40700-7494</v>
      </c>
      <c r="D7221" s="64" t="s">
        <v>8469</v>
      </c>
      <c r="E7221" s="64" t="s">
        <v>3716</v>
      </c>
      <c r="F7221" s="64" t="s">
        <v>547</v>
      </c>
      <c r="G7221" s="64" t="s">
        <v>2870</v>
      </c>
      <c r="H7221" s="64" t="s">
        <v>2871</v>
      </c>
      <c r="I7221" s="64" t="s">
        <v>4422</v>
      </c>
      <c r="J7221" s="67">
        <v>-12000</v>
      </c>
      <c r="K7221" s="62">
        <v>-120000</v>
      </c>
      <c r="L7221" s="33" t="e">
        <f>HLOOKUP(B7221,#REF!,1,0)</f>
        <v>#REF!</v>
      </c>
      <c r="M7221" s="33" t="str">
        <f t="shared" si="451"/>
        <v>P&amp;L</v>
      </c>
    </row>
    <row r="7222" spans="1:13">
      <c r="A7222" s="33" t="str">
        <f t="shared" si="448"/>
        <v>SC3 - Revenue</v>
      </c>
      <c r="B7222" s="33" t="str">
        <f t="shared" si="449"/>
        <v>SC3</v>
      </c>
      <c r="C7222" s="33" t="str">
        <f t="shared" si="450"/>
        <v>40700-7625</v>
      </c>
      <c r="D7222" s="64" t="s">
        <v>8470</v>
      </c>
      <c r="E7222" s="64" t="s">
        <v>3716</v>
      </c>
      <c r="F7222" s="64" t="s">
        <v>547</v>
      </c>
      <c r="G7222" s="64" t="s">
        <v>2870</v>
      </c>
      <c r="H7222" s="64" t="s">
        <v>2871</v>
      </c>
      <c r="I7222" s="64" t="s">
        <v>4422</v>
      </c>
      <c r="J7222" s="67">
        <v>-10500</v>
      </c>
      <c r="K7222" s="62">
        <v>-105000</v>
      </c>
      <c r="L7222" s="33" t="e">
        <f>HLOOKUP(B7222,#REF!,1,0)</f>
        <v>#REF!</v>
      </c>
      <c r="M7222" s="33" t="str">
        <f t="shared" si="451"/>
        <v>P&amp;L</v>
      </c>
    </row>
    <row r="7223" spans="1:13">
      <c r="A7223" s="33" t="str">
        <f t="shared" si="448"/>
        <v>SC3 - Operating Expense</v>
      </c>
      <c r="B7223" s="33" t="str">
        <f t="shared" si="449"/>
        <v>SC3</v>
      </c>
      <c r="C7223" s="33" t="str">
        <f t="shared" si="450"/>
        <v>91001-0000</v>
      </c>
      <c r="D7223" s="64" t="s">
        <v>8471</v>
      </c>
      <c r="E7223" s="64" t="s">
        <v>4432</v>
      </c>
      <c r="F7223" s="64" t="s">
        <v>547</v>
      </c>
      <c r="G7223" s="64" t="s">
        <v>4430</v>
      </c>
      <c r="H7223" s="64" t="s">
        <v>3022</v>
      </c>
      <c r="I7223" s="64" t="s">
        <v>4433</v>
      </c>
      <c r="J7223" s="67">
        <v>23.07</v>
      </c>
      <c r="K7223" s="62">
        <v>288.75</v>
      </c>
      <c r="L7223" s="33" t="e">
        <f>HLOOKUP(B7223,#REF!,1,0)</f>
        <v>#REF!</v>
      </c>
      <c r="M7223" s="33" t="str">
        <f t="shared" si="451"/>
        <v>P&amp;L</v>
      </c>
    </row>
    <row r="7224" spans="1:13">
      <c r="A7224" s="33" t="str">
        <f t="shared" si="448"/>
        <v>SC3 - Interest Expense</v>
      </c>
      <c r="B7224" s="33" t="str">
        <f t="shared" si="449"/>
        <v>SC3</v>
      </c>
      <c r="C7224" s="33" t="str">
        <f t="shared" si="450"/>
        <v>92401-7494</v>
      </c>
      <c r="D7224" s="64" t="s">
        <v>8472</v>
      </c>
      <c r="E7224" s="64" t="s">
        <v>3325</v>
      </c>
      <c r="F7224" s="64" t="s">
        <v>547</v>
      </c>
      <c r="G7224" s="64" t="s">
        <v>3326</v>
      </c>
      <c r="H7224" s="64" t="s">
        <v>3327</v>
      </c>
      <c r="I7224" s="64" t="s">
        <v>3328</v>
      </c>
      <c r="J7224" s="67">
        <v>6499.82</v>
      </c>
      <c r="K7224" s="62">
        <v>62990.98</v>
      </c>
      <c r="L7224" s="33" t="e">
        <f>HLOOKUP(B7224,#REF!,1,0)</f>
        <v>#REF!</v>
      </c>
      <c r="M7224" s="33" t="str">
        <f t="shared" si="451"/>
        <v>P&amp;L</v>
      </c>
    </row>
    <row r="7225" spans="1:13">
      <c r="A7225" s="33" t="str">
        <f t="shared" si="448"/>
        <v>SC3 - Interest Expense</v>
      </c>
      <c r="B7225" s="33" t="str">
        <f t="shared" si="449"/>
        <v>SC3</v>
      </c>
      <c r="C7225" s="33" t="str">
        <f t="shared" si="450"/>
        <v>92401-7625</v>
      </c>
      <c r="D7225" s="64" t="s">
        <v>8473</v>
      </c>
      <c r="E7225" s="64" t="s">
        <v>3325</v>
      </c>
      <c r="F7225" s="64" t="s">
        <v>547</v>
      </c>
      <c r="G7225" s="64" t="s">
        <v>3326</v>
      </c>
      <c r="H7225" s="64" t="s">
        <v>3327</v>
      </c>
      <c r="I7225" s="64" t="s">
        <v>3328</v>
      </c>
      <c r="J7225" s="67">
        <v>5551.93</v>
      </c>
      <c r="K7225" s="62">
        <v>53804.79</v>
      </c>
      <c r="L7225" s="33" t="e">
        <f>HLOOKUP(B7225,#REF!,1,0)</f>
        <v>#REF!</v>
      </c>
      <c r="M7225" s="33" t="str">
        <f t="shared" si="451"/>
        <v>P&amp;L</v>
      </c>
    </row>
    <row r="7226" spans="1:13">
      <c r="A7226" s="33" t="str">
        <f t="shared" si="448"/>
        <v>SC3 - Operating Expense</v>
      </c>
      <c r="B7226" s="33" t="str">
        <f t="shared" si="449"/>
        <v>SC3</v>
      </c>
      <c r="C7226" s="33" t="str">
        <f t="shared" si="450"/>
        <v>94201-0000</v>
      </c>
      <c r="D7226" s="64" t="s">
        <v>8474</v>
      </c>
      <c r="E7226" s="64" t="s">
        <v>4354</v>
      </c>
      <c r="F7226" s="64" t="s">
        <v>562</v>
      </c>
      <c r="G7226" s="64" t="s">
        <v>4430</v>
      </c>
      <c r="H7226" s="64" t="s">
        <v>3022</v>
      </c>
      <c r="I7226" s="64" t="s">
        <v>3354</v>
      </c>
      <c r="J7226" s="67">
        <v>0</v>
      </c>
      <c r="K7226" s="62">
        <v>870</v>
      </c>
      <c r="L7226" s="33" t="e">
        <f>HLOOKUP(B7226,#REF!,1,0)</f>
        <v>#REF!</v>
      </c>
      <c r="M7226" s="33" t="str">
        <f t="shared" si="451"/>
        <v>P&amp;L</v>
      </c>
    </row>
    <row r="7227" spans="1:13">
      <c r="A7227" s="33" t="str">
        <f t="shared" si="448"/>
        <v>SC3 - Income Tax</v>
      </c>
      <c r="B7227" s="33" t="str">
        <f t="shared" si="449"/>
        <v>SC3</v>
      </c>
      <c r="C7227" s="33" t="str">
        <f t="shared" si="450"/>
        <v>99901-0000</v>
      </c>
      <c r="D7227" s="64" t="s">
        <v>8475</v>
      </c>
      <c r="E7227" s="64" t="s">
        <v>4440</v>
      </c>
      <c r="F7227" s="64" t="s">
        <v>547</v>
      </c>
      <c r="G7227" s="64" t="s">
        <v>3326</v>
      </c>
      <c r="H7227" s="64" t="s">
        <v>3378</v>
      </c>
      <c r="I7227" s="64" t="s">
        <v>3379</v>
      </c>
      <c r="J7227" s="67">
        <v>0</v>
      </c>
      <c r="K7227" s="62">
        <v>781.39</v>
      </c>
      <c r="L7227" s="33" t="e">
        <f>HLOOKUP(B7227,#REF!,1,0)</f>
        <v>#REF!</v>
      </c>
      <c r="M7227" s="33" t="str">
        <f t="shared" si="451"/>
        <v>P&amp;L</v>
      </c>
    </row>
    <row r="7228" spans="1:13">
      <c r="A7228" s="33" t="str">
        <f t="shared" si="448"/>
        <v>SC4 - Revenue</v>
      </c>
      <c r="B7228" s="33" t="str">
        <f t="shared" si="449"/>
        <v>SC4</v>
      </c>
      <c r="C7228" s="33" t="str">
        <f t="shared" si="450"/>
        <v>40700-7355</v>
      </c>
      <c r="D7228" s="64" t="s">
        <v>8476</v>
      </c>
      <c r="E7228" s="64" t="s">
        <v>3716</v>
      </c>
      <c r="F7228" s="64" t="s">
        <v>547</v>
      </c>
      <c r="G7228" s="64" t="s">
        <v>2870</v>
      </c>
      <c r="H7228" s="64" t="s">
        <v>2871</v>
      </c>
      <c r="I7228" s="64" t="s">
        <v>4422</v>
      </c>
      <c r="J7228" s="67">
        <v>-8500</v>
      </c>
      <c r="K7228" s="62">
        <v>-85000</v>
      </c>
      <c r="L7228" s="33" t="e">
        <f>HLOOKUP(B7228,#REF!,1,0)</f>
        <v>#REF!</v>
      </c>
      <c r="M7228" s="33" t="str">
        <f t="shared" si="451"/>
        <v>P&amp;L</v>
      </c>
    </row>
    <row r="7229" spans="1:13">
      <c r="A7229" s="33" t="str">
        <f t="shared" si="448"/>
        <v>SC4 - Revenue</v>
      </c>
      <c r="B7229" s="33" t="str">
        <f t="shared" si="449"/>
        <v>SC4</v>
      </c>
      <c r="C7229" s="33" t="str">
        <f t="shared" si="450"/>
        <v>40700-7400</v>
      </c>
      <c r="D7229" s="64" t="s">
        <v>8477</v>
      </c>
      <c r="E7229" s="64" t="s">
        <v>3716</v>
      </c>
      <c r="F7229" s="64" t="s">
        <v>547</v>
      </c>
      <c r="G7229" s="64" t="s">
        <v>2870</v>
      </c>
      <c r="H7229" s="64" t="s">
        <v>2871</v>
      </c>
      <c r="I7229" s="64" t="s">
        <v>4422</v>
      </c>
      <c r="J7229" s="67">
        <v>-7250</v>
      </c>
      <c r="K7229" s="62">
        <v>-72500</v>
      </c>
      <c r="L7229" s="33" t="e">
        <f>HLOOKUP(B7229,#REF!,1,0)</f>
        <v>#REF!</v>
      </c>
      <c r="M7229" s="33" t="str">
        <f t="shared" si="451"/>
        <v>P&amp;L</v>
      </c>
    </row>
    <row r="7230" spans="1:13">
      <c r="A7230" s="33" t="str">
        <f t="shared" si="448"/>
        <v>SC4 - Operating Expense</v>
      </c>
      <c r="B7230" s="33" t="str">
        <f t="shared" si="449"/>
        <v>SC4</v>
      </c>
      <c r="C7230" s="33" t="str">
        <f t="shared" si="450"/>
        <v>91001-0000</v>
      </c>
      <c r="D7230" s="64" t="s">
        <v>8478</v>
      </c>
      <c r="E7230" s="64" t="s">
        <v>4432</v>
      </c>
      <c r="F7230" s="64" t="s">
        <v>547</v>
      </c>
      <c r="G7230" s="64" t="s">
        <v>4430</v>
      </c>
      <c r="H7230" s="64" t="s">
        <v>3022</v>
      </c>
      <c r="I7230" s="64" t="s">
        <v>4433</v>
      </c>
      <c r="J7230" s="67">
        <v>23.76</v>
      </c>
      <c r="K7230" s="62">
        <v>290.53</v>
      </c>
      <c r="L7230" s="33" t="e">
        <f>HLOOKUP(B7230,#REF!,1,0)</f>
        <v>#REF!</v>
      </c>
      <c r="M7230" s="33" t="str">
        <f t="shared" si="451"/>
        <v>P&amp;L</v>
      </c>
    </row>
    <row r="7231" spans="1:13">
      <c r="A7231" s="33" t="str">
        <f t="shared" si="448"/>
        <v>SC4 - Interest Expense</v>
      </c>
      <c r="B7231" s="33" t="str">
        <f t="shared" si="449"/>
        <v>SC4</v>
      </c>
      <c r="C7231" s="33" t="str">
        <f t="shared" si="450"/>
        <v>92401-7355</v>
      </c>
      <c r="D7231" s="64" t="s">
        <v>8479</v>
      </c>
      <c r="E7231" s="64" t="s">
        <v>3325</v>
      </c>
      <c r="F7231" s="64" t="s">
        <v>547</v>
      </c>
      <c r="G7231" s="64" t="s">
        <v>3326</v>
      </c>
      <c r="H7231" s="64" t="s">
        <v>3327</v>
      </c>
      <c r="I7231" s="64" t="s">
        <v>3328</v>
      </c>
      <c r="J7231" s="67">
        <v>4038.49</v>
      </c>
      <c r="K7231" s="62">
        <v>39137.79</v>
      </c>
      <c r="L7231" s="33" t="e">
        <f>HLOOKUP(B7231,#REF!,1,0)</f>
        <v>#REF!</v>
      </c>
      <c r="M7231" s="33" t="str">
        <f t="shared" si="451"/>
        <v>P&amp;L</v>
      </c>
    </row>
    <row r="7232" spans="1:13">
      <c r="A7232" s="33" t="str">
        <f t="shared" si="448"/>
        <v>SC4 - Interest Expense</v>
      </c>
      <c r="B7232" s="33" t="str">
        <f t="shared" si="449"/>
        <v>SC4</v>
      </c>
      <c r="C7232" s="33" t="str">
        <f t="shared" si="450"/>
        <v>92401-7400</v>
      </c>
      <c r="D7232" s="64" t="s">
        <v>8480</v>
      </c>
      <c r="E7232" s="64" t="s">
        <v>3325</v>
      </c>
      <c r="F7232" s="64" t="s">
        <v>547</v>
      </c>
      <c r="G7232" s="64" t="s">
        <v>3326</v>
      </c>
      <c r="H7232" s="64" t="s">
        <v>3327</v>
      </c>
      <c r="I7232" s="64" t="s">
        <v>3328</v>
      </c>
      <c r="J7232" s="67">
        <v>4150.01</v>
      </c>
      <c r="K7232" s="62">
        <v>40218.52</v>
      </c>
      <c r="L7232" s="33" t="e">
        <f>HLOOKUP(B7232,#REF!,1,0)</f>
        <v>#REF!</v>
      </c>
      <c r="M7232" s="33" t="str">
        <f t="shared" si="451"/>
        <v>P&amp;L</v>
      </c>
    </row>
    <row r="7233" spans="1:13">
      <c r="A7233" s="33" t="str">
        <f t="shared" si="448"/>
        <v>SC4 - Operating Expense</v>
      </c>
      <c r="B7233" s="33" t="str">
        <f t="shared" si="449"/>
        <v>SC4</v>
      </c>
      <c r="C7233" s="33" t="str">
        <f t="shared" si="450"/>
        <v>94201-0000</v>
      </c>
      <c r="D7233" s="64" t="s">
        <v>8481</v>
      </c>
      <c r="E7233" s="64" t="s">
        <v>4354</v>
      </c>
      <c r="F7233" s="64" t="s">
        <v>562</v>
      </c>
      <c r="G7233" s="64" t="s">
        <v>4430</v>
      </c>
      <c r="H7233" s="64" t="s">
        <v>3022</v>
      </c>
      <c r="I7233" s="64" t="s">
        <v>3354</v>
      </c>
      <c r="J7233" s="67">
        <v>0</v>
      </c>
      <c r="K7233" s="62">
        <v>870</v>
      </c>
      <c r="L7233" s="33" t="e">
        <f>HLOOKUP(B7233,#REF!,1,0)</f>
        <v>#REF!</v>
      </c>
      <c r="M7233" s="33" t="str">
        <f t="shared" si="451"/>
        <v>P&amp;L</v>
      </c>
    </row>
    <row r="7234" spans="1:13">
      <c r="A7234" s="33" t="str">
        <f t="shared" ref="A7234:A7297" si="452">B7234&amp;" - "&amp;TRIM(H7234)</f>
        <v>SC4 - Income Tax</v>
      </c>
      <c r="B7234" s="33" t="str">
        <f t="shared" ref="B7234:B7297" si="453">LEFT(D7234,3)</f>
        <v>SC4</v>
      </c>
      <c r="C7234" s="33" t="str">
        <f t="shared" ref="C7234:C7297" si="454">RIGHT(D7234,10)</f>
        <v>99901-0000</v>
      </c>
      <c r="D7234" s="64" t="s">
        <v>8482</v>
      </c>
      <c r="E7234" s="64" t="s">
        <v>4440</v>
      </c>
      <c r="F7234" s="64" t="s">
        <v>547</v>
      </c>
      <c r="G7234" s="64" t="s">
        <v>3326</v>
      </c>
      <c r="H7234" s="64" t="s">
        <v>3378</v>
      </c>
      <c r="I7234" s="64" t="s">
        <v>3379</v>
      </c>
      <c r="J7234" s="67">
        <v>0</v>
      </c>
      <c r="K7234" s="62">
        <v>-116.57</v>
      </c>
      <c r="L7234" s="33" t="e">
        <f>HLOOKUP(B7234,#REF!,1,0)</f>
        <v>#REF!</v>
      </c>
      <c r="M7234" s="33" t="str">
        <f t="shared" ref="M7234:M7297" si="455">IF(VALUE(LEFT(C7234,5))&gt;40000,"P&amp;L","BS")</f>
        <v>P&amp;L</v>
      </c>
    </row>
    <row r="7235" spans="1:13">
      <c r="A7235" s="33" t="str">
        <f t="shared" si="452"/>
        <v>SCL - Cash</v>
      </c>
      <c r="B7235" s="33" t="str">
        <f t="shared" si="453"/>
        <v>SCL</v>
      </c>
      <c r="C7235" s="33" t="str">
        <f t="shared" si="454"/>
        <v>10020-0000</v>
      </c>
      <c r="D7235" s="64" t="s">
        <v>8483</v>
      </c>
      <c r="E7235" s="64" t="s">
        <v>8484</v>
      </c>
      <c r="F7235" s="64" t="s">
        <v>15</v>
      </c>
      <c r="G7235" s="64" t="s">
        <v>16</v>
      </c>
      <c r="H7235" s="64" t="s">
        <v>25</v>
      </c>
      <c r="I7235" s="64" t="s">
        <v>18</v>
      </c>
      <c r="J7235" s="67">
        <v>0</v>
      </c>
      <c r="K7235" s="62">
        <v>0</v>
      </c>
      <c r="L7235" s="33" t="e">
        <f>HLOOKUP(B7235,#REF!,1,0)</f>
        <v>#REF!</v>
      </c>
      <c r="M7235" s="33" t="str">
        <f t="shared" si="455"/>
        <v>BS</v>
      </c>
    </row>
    <row r="7236" spans="1:13">
      <c r="A7236" s="33" t="str">
        <f t="shared" si="452"/>
        <v>SCL - Cash</v>
      </c>
      <c r="B7236" s="33" t="str">
        <f t="shared" si="453"/>
        <v>SCL</v>
      </c>
      <c r="C7236" s="33" t="str">
        <f t="shared" si="454"/>
        <v>10022-0000</v>
      </c>
      <c r="D7236" s="64" t="s">
        <v>8485</v>
      </c>
      <c r="E7236" s="64" t="s">
        <v>760</v>
      </c>
      <c r="F7236" s="64" t="s">
        <v>15</v>
      </c>
      <c r="G7236" s="64" t="s">
        <v>16</v>
      </c>
      <c r="H7236" s="64" t="s">
        <v>25</v>
      </c>
      <c r="I7236" s="64" t="s">
        <v>18</v>
      </c>
      <c r="J7236" s="67">
        <v>-54.59</v>
      </c>
      <c r="K7236" s="62">
        <v>-54.59</v>
      </c>
      <c r="L7236" s="33" t="e">
        <f>HLOOKUP(B7236,#REF!,1,0)</f>
        <v>#REF!</v>
      </c>
      <c r="M7236" s="33" t="str">
        <f t="shared" si="455"/>
        <v>BS</v>
      </c>
    </row>
    <row r="7237" spans="1:13">
      <c r="A7237" s="33" t="str">
        <f t="shared" si="452"/>
        <v>SCL - AR-PPD</v>
      </c>
      <c r="B7237" s="33" t="str">
        <f t="shared" si="453"/>
        <v>SCL</v>
      </c>
      <c r="C7237" s="33" t="str">
        <f t="shared" si="454"/>
        <v>15002-0000</v>
      </c>
      <c r="D7237" s="64" t="s">
        <v>8486</v>
      </c>
      <c r="E7237" s="64" t="s">
        <v>56</v>
      </c>
      <c r="F7237" s="64" t="s">
        <v>15</v>
      </c>
      <c r="G7237" s="64" t="s">
        <v>16</v>
      </c>
      <c r="H7237" s="64" t="s">
        <v>35</v>
      </c>
      <c r="I7237" s="64" t="s">
        <v>57</v>
      </c>
      <c r="J7237" s="67">
        <v>0</v>
      </c>
      <c r="K7237" s="62">
        <v>0</v>
      </c>
      <c r="L7237" s="33" t="e">
        <f>HLOOKUP(B7237,#REF!,1,0)</f>
        <v>#REF!</v>
      </c>
      <c r="M7237" s="33" t="str">
        <f t="shared" si="455"/>
        <v>BS</v>
      </c>
    </row>
    <row r="7238" spans="1:13">
      <c r="A7238" s="33" t="str">
        <f t="shared" si="452"/>
        <v>SCL - LOC</v>
      </c>
      <c r="B7238" s="33" t="str">
        <f t="shared" si="453"/>
        <v>SCL</v>
      </c>
      <c r="C7238" s="33" t="str">
        <f t="shared" si="454"/>
        <v>25606-0000</v>
      </c>
      <c r="D7238" s="64" t="s">
        <v>8487</v>
      </c>
      <c r="E7238" s="64" t="s">
        <v>865</v>
      </c>
      <c r="F7238" s="64" t="s">
        <v>15</v>
      </c>
      <c r="G7238" s="64" t="s">
        <v>97</v>
      </c>
      <c r="H7238" s="64" t="s">
        <v>866</v>
      </c>
      <c r="I7238" s="64" t="s">
        <v>867</v>
      </c>
      <c r="J7238" s="67">
        <v>0</v>
      </c>
      <c r="K7238" s="62">
        <v>0</v>
      </c>
      <c r="L7238" s="33" t="e">
        <f>HLOOKUP(B7238,#REF!,1,0)</f>
        <v>#REF!</v>
      </c>
      <c r="M7238" s="33" t="str">
        <f t="shared" si="455"/>
        <v>BS</v>
      </c>
    </row>
    <row r="7239" spans="1:13">
      <c r="A7239" s="33" t="str">
        <f t="shared" si="452"/>
        <v>SCL - Revenue</v>
      </c>
      <c r="B7239" s="33" t="str">
        <f t="shared" si="453"/>
        <v>SCL</v>
      </c>
      <c r="C7239" s="33" t="str">
        <f t="shared" si="454"/>
        <v>40001-7351</v>
      </c>
      <c r="D7239" s="64" t="s">
        <v>8488</v>
      </c>
      <c r="E7239" s="64" t="s">
        <v>2869</v>
      </c>
      <c r="F7239" s="64" t="s">
        <v>15</v>
      </c>
      <c r="G7239" s="64" t="s">
        <v>2870</v>
      </c>
      <c r="H7239" s="64" t="s">
        <v>2871</v>
      </c>
      <c r="I7239" s="64" t="s">
        <v>2872</v>
      </c>
      <c r="J7239" s="67">
        <v>-142016.51</v>
      </c>
      <c r="K7239" s="62">
        <v>-1306066.13</v>
      </c>
      <c r="L7239" s="33" t="e">
        <f>HLOOKUP(B7239,#REF!,1,0)</f>
        <v>#REF!</v>
      </c>
      <c r="M7239" s="33" t="str">
        <f t="shared" si="455"/>
        <v>P&amp;L</v>
      </c>
    </row>
    <row r="7240" spans="1:13">
      <c r="A7240" s="33" t="str">
        <f t="shared" si="452"/>
        <v>SCL - Revenue</v>
      </c>
      <c r="B7240" s="33" t="str">
        <f t="shared" si="453"/>
        <v>SCL</v>
      </c>
      <c r="C7240" s="33" t="str">
        <f t="shared" si="454"/>
        <v>40001-7352</v>
      </c>
      <c r="D7240" s="64" t="s">
        <v>8489</v>
      </c>
      <c r="E7240" s="64" t="s">
        <v>2869</v>
      </c>
      <c r="F7240" s="64" t="s">
        <v>15</v>
      </c>
      <c r="G7240" s="64" t="s">
        <v>2870</v>
      </c>
      <c r="H7240" s="64" t="s">
        <v>2871</v>
      </c>
      <c r="I7240" s="64" t="s">
        <v>2872</v>
      </c>
      <c r="J7240" s="67">
        <v>-133972.74</v>
      </c>
      <c r="K7240" s="62">
        <v>-1171424.95</v>
      </c>
      <c r="L7240" s="33" t="e">
        <f>HLOOKUP(B7240,#REF!,1,0)</f>
        <v>#REF!</v>
      </c>
      <c r="M7240" s="33" t="str">
        <f t="shared" si="455"/>
        <v>P&amp;L</v>
      </c>
    </row>
    <row r="7241" spans="1:13">
      <c r="A7241" s="33" t="str">
        <f t="shared" si="452"/>
        <v>SCL - Revenue</v>
      </c>
      <c r="B7241" s="33" t="str">
        <f t="shared" si="453"/>
        <v>SCL</v>
      </c>
      <c r="C7241" s="33" t="str">
        <f t="shared" si="454"/>
        <v>40001-7355</v>
      </c>
      <c r="D7241" s="64" t="s">
        <v>8490</v>
      </c>
      <c r="E7241" s="64" t="s">
        <v>2869</v>
      </c>
      <c r="F7241" s="64" t="s">
        <v>15</v>
      </c>
      <c r="G7241" s="64" t="s">
        <v>2870</v>
      </c>
      <c r="H7241" s="64" t="s">
        <v>2871</v>
      </c>
      <c r="I7241" s="64" t="s">
        <v>2872</v>
      </c>
      <c r="J7241" s="67">
        <v>-144624.97</v>
      </c>
      <c r="K7241" s="62">
        <v>-1356604.42</v>
      </c>
      <c r="L7241" s="33" t="e">
        <f>HLOOKUP(B7241,#REF!,1,0)</f>
        <v>#REF!</v>
      </c>
      <c r="M7241" s="33" t="str">
        <f t="shared" si="455"/>
        <v>P&amp;L</v>
      </c>
    </row>
    <row r="7242" spans="1:13">
      <c r="A7242" s="33" t="str">
        <f t="shared" si="452"/>
        <v>SCL - Revenue</v>
      </c>
      <c r="B7242" s="33" t="str">
        <f t="shared" si="453"/>
        <v>SCL</v>
      </c>
      <c r="C7242" s="33" t="str">
        <f t="shared" si="454"/>
        <v>40001-7356</v>
      </c>
      <c r="D7242" s="64" t="s">
        <v>8491</v>
      </c>
      <c r="E7242" s="64" t="s">
        <v>2869</v>
      </c>
      <c r="F7242" s="64" t="s">
        <v>15</v>
      </c>
      <c r="G7242" s="64" t="s">
        <v>2870</v>
      </c>
      <c r="H7242" s="64" t="s">
        <v>2871</v>
      </c>
      <c r="I7242" s="64" t="s">
        <v>2872</v>
      </c>
      <c r="J7242" s="67">
        <v>0</v>
      </c>
      <c r="K7242" s="62">
        <v>-85735.28</v>
      </c>
      <c r="L7242" s="33" t="e">
        <f>HLOOKUP(B7242,#REF!,1,0)</f>
        <v>#REF!</v>
      </c>
      <c r="M7242" s="33" t="str">
        <f t="shared" si="455"/>
        <v>P&amp;L</v>
      </c>
    </row>
    <row r="7243" spans="1:13">
      <c r="A7243" s="33" t="str">
        <f t="shared" si="452"/>
        <v>SCL - Revenue</v>
      </c>
      <c r="B7243" s="33" t="str">
        <f t="shared" si="453"/>
        <v>SCL</v>
      </c>
      <c r="C7243" s="33" t="str">
        <f t="shared" si="454"/>
        <v>40001-7359</v>
      </c>
      <c r="D7243" s="64" t="s">
        <v>8492</v>
      </c>
      <c r="E7243" s="64" t="s">
        <v>2869</v>
      </c>
      <c r="F7243" s="64" t="s">
        <v>15</v>
      </c>
      <c r="G7243" s="64" t="s">
        <v>2870</v>
      </c>
      <c r="H7243" s="64" t="s">
        <v>2871</v>
      </c>
      <c r="I7243" s="64" t="s">
        <v>2872</v>
      </c>
      <c r="J7243" s="67">
        <v>-122098.12</v>
      </c>
      <c r="K7243" s="62">
        <v>-1065404.86</v>
      </c>
      <c r="L7243" s="33" t="e">
        <f>HLOOKUP(B7243,#REF!,1,0)</f>
        <v>#REF!</v>
      </c>
      <c r="M7243" s="33" t="str">
        <f t="shared" si="455"/>
        <v>P&amp;L</v>
      </c>
    </row>
    <row r="7244" spans="1:13">
      <c r="A7244" s="33" t="str">
        <f t="shared" si="452"/>
        <v>SCL - Revenue</v>
      </c>
      <c r="B7244" s="33" t="str">
        <f t="shared" si="453"/>
        <v>SCL</v>
      </c>
      <c r="C7244" s="33" t="str">
        <f t="shared" si="454"/>
        <v>40001-7360</v>
      </c>
      <c r="D7244" s="64" t="s">
        <v>8493</v>
      </c>
      <c r="E7244" s="64" t="s">
        <v>2869</v>
      </c>
      <c r="F7244" s="64" t="s">
        <v>15</v>
      </c>
      <c r="G7244" s="64" t="s">
        <v>2870</v>
      </c>
      <c r="H7244" s="64" t="s">
        <v>2871</v>
      </c>
      <c r="I7244" s="64" t="s">
        <v>2872</v>
      </c>
      <c r="J7244" s="67">
        <v>-169541.83</v>
      </c>
      <c r="K7244" s="62">
        <v>-1414053.55</v>
      </c>
      <c r="L7244" s="33" t="e">
        <f>HLOOKUP(B7244,#REF!,1,0)</f>
        <v>#REF!</v>
      </c>
      <c r="M7244" s="33" t="str">
        <f t="shared" si="455"/>
        <v>P&amp;L</v>
      </c>
    </row>
    <row r="7245" spans="1:13">
      <c r="A7245" s="33" t="str">
        <f t="shared" si="452"/>
        <v>SCL - Revenue</v>
      </c>
      <c r="B7245" s="33" t="str">
        <f t="shared" si="453"/>
        <v>SCL</v>
      </c>
      <c r="C7245" s="33" t="str">
        <f t="shared" si="454"/>
        <v>40001-7361</v>
      </c>
      <c r="D7245" s="64" t="s">
        <v>8494</v>
      </c>
      <c r="E7245" s="64" t="s">
        <v>2869</v>
      </c>
      <c r="F7245" s="64" t="s">
        <v>15</v>
      </c>
      <c r="G7245" s="64" t="s">
        <v>2870</v>
      </c>
      <c r="H7245" s="64" t="s">
        <v>2871</v>
      </c>
      <c r="I7245" s="64" t="s">
        <v>2872</v>
      </c>
      <c r="J7245" s="67">
        <v>-158708.69</v>
      </c>
      <c r="K7245" s="62">
        <v>-1410444.8</v>
      </c>
      <c r="L7245" s="33" t="e">
        <f>HLOOKUP(B7245,#REF!,1,0)</f>
        <v>#REF!</v>
      </c>
      <c r="M7245" s="33" t="str">
        <f t="shared" si="455"/>
        <v>P&amp;L</v>
      </c>
    </row>
    <row r="7246" spans="1:13">
      <c r="A7246" s="33" t="str">
        <f t="shared" si="452"/>
        <v>SCL - Revenue</v>
      </c>
      <c r="B7246" s="33" t="str">
        <f t="shared" si="453"/>
        <v>SCL</v>
      </c>
      <c r="C7246" s="33" t="str">
        <f t="shared" si="454"/>
        <v>40001-7362</v>
      </c>
      <c r="D7246" s="64" t="s">
        <v>8495</v>
      </c>
      <c r="E7246" s="64" t="s">
        <v>2869</v>
      </c>
      <c r="F7246" s="64" t="s">
        <v>15</v>
      </c>
      <c r="G7246" s="64" t="s">
        <v>2870</v>
      </c>
      <c r="H7246" s="64" t="s">
        <v>2871</v>
      </c>
      <c r="I7246" s="64" t="s">
        <v>2872</v>
      </c>
      <c r="J7246" s="67">
        <v>-102047.94</v>
      </c>
      <c r="K7246" s="62">
        <v>-901633.03</v>
      </c>
      <c r="L7246" s="33" t="e">
        <f>HLOOKUP(B7246,#REF!,1,0)</f>
        <v>#REF!</v>
      </c>
      <c r="M7246" s="33" t="str">
        <f t="shared" si="455"/>
        <v>P&amp;L</v>
      </c>
    </row>
    <row r="7247" spans="1:13">
      <c r="A7247" s="33" t="str">
        <f t="shared" si="452"/>
        <v>SCL - Revenue</v>
      </c>
      <c r="B7247" s="33" t="str">
        <f t="shared" si="453"/>
        <v>SCL</v>
      </c>
      <c r="C7247" s="33" t="str">
        <f t="shared" si="454"/>
        <v>40001-7363</v>
      </c>
      <c r="D7247" s="64" t="s">
        <v>8496</v>
      </c>
      <c r="E7247" s="64" t="s">
        <v>2869</v>
      </c>
      <c r="F7247" s="64" t="s">
        <v>15</v>
      </c>
      <c r="G7247" s="64" t="s">
        <v>2870</v>
      </c>
      <c r="H7247" s="64" t="s">
        <v>2871</v>
      </c>
      <c r="I7247" s="64" t="s">
        <v>2872</v>
      </c>
      <c r="J7247" s="67">
        <v>-121594.17</v>
      </c>
      <c r="K7247" s="62">
        <v>-1077730.22</v>
      </c>
      <c r="L7247" s="33" t="e">
        <f>HLOOKUP(B7247,#REF!,1,0)</f>
        <v>#REF!</v>
      </c>
      <c r="M7247" s="33" t="str">
        <f t="shared" si="455"/>
        <v>P&amp;L</v>
      </c>
    </row>
    <row r="7248" spans="1:13">
      <c r="A7248" s="33" t="str">
        <f t="shared" si="452"/>
        <v>SCL - Revenue</v>
      </c>
      <c r="B7248" s="33" t="str">
        <f t="shared" si="453"/>
        <v>SCL</v>
      </c>
      <c r="C7248" s="33" t="str">
        <f t="shared" si="454"/>
        <v>40001-7364</v>
      </c>
      <c r="D7248" s="64" t="s">
        <v>8497</v>
      </c>
      <c r="E7248" s="64" t="s">
        <v>2869</v>
      </c>
      <c r="F7248" s="64" t="s">
        <v>15</v>
      </c>
      <c r="G7248" s="64" t="s">
        <v>2870</v>
      </c>
      <c r="H7248" s="64" t="s">
        <v>2871</v>
      </c>
      <c r="I7248" s="64" t="s">
        <v>2872</v>
      </c>
      <c r="J7248" s="67">
        <v>-54385.34</v>
      </c>
      <c r="K7248" s="62">
        <v>-543925.88</v>
      </c>
      <c r="L7248" s="33" t="e">
        <f>HLOOKUP(B7248,#REF!,1,0)</f>
        <v>#REF!</v>
      </c>
      <c r="M7248" s="33" t="str">
        <f t="shared" si="455"/>
        <v>P&amp;L</v>
      </c>
    </row>
    <row r="7249" spans="1:13">
      <c r="A7249" s="33" t="str">
        <f t="shared" si="452"/>
        <v>SCL - Revenue</v>
      </c>
      <c r="B7249" s="33" t="str">
        <f t="shared" si="453"/>
        <v>SCL</v>
      </c>
      <c r="C7249" s="33" t="str">
        <f t="shared" si="454"/>
        <v>40001-7365</v>
      </c>
      <c r="D7249" s="64" t="s">
        <v>8498</v>
      </c>
      <c r="E7249" s="64" t="s">
        <v>2869</v>
      </c>
      <c r="F7249" s="64" t="s">
        <v>15</v>
      </c>
      <c r="G7249" s="64" t="s">
        <v>2870</v>
      </c>
      <c r="H7249" s="64" t="s">
        <v>2871</v>
      </c>
      <c r="I7249" s="64" t="s">
        <v>2872</v>
      </c>
      <c r="J7249" s="67">
        <v>-110828.18</v>
      </c>
      <c r="K7249" s="62">
        <v>-989096.86</v>
      </c>
      <c r="L7249" s="33" t="e">
        <f>HLOOKUP(B7249,#REF!,1,0)</f>
        <v>#REF!</v>
      </c>
      <c r="M7249" s="33" t="str">
        <f t="shared" si="455"/>
        <v>P&amp;L</v>
      </c>
    </row>
    <row r="7250" spans="1:13">
      <c r="A7250" s="33" t="str">
        <f t="shared" si="452"/>
        <v>SCL - Revenue</v>
      </c>
      <c r="B7250" s="33" t="str">
        <f t="shared" si="453"/>
        <v>SCL</v>
      </c>
      <c r="C7250" s="33" t="str">
        <f t="shared" si="454"/>
        <v>40001-7366</v>
      </c>
      <c r="D7250" s="64" t="s">
        <v>8499</v>
      </c>
      <c r="E7250" s="64" t="s">
        <v>2869</v>
      </c>
      <c r="F7250" s="64" t="s">
        <v>15</v>
      </c>
      <c r="G7250" s="64" t="s">
        <v>2870</v>
      </c>
      <c r="H7250" s="64" t="s">
        <v>2871</v>
      </c>
      <c r="I7250" s="64" t="s">
        <v>2872</v>
      </c>
      <c r="J7250" s="67">
        <v>-195872.14</v>
      </c>
      <c r="K7250" s="62">
        <v>-1735179.14</v>
      </c>
      <c r="L7250" s="33" t="e">
        <f>HLOOKUP(B7250,#REF!,1,0)</f>
        <v>#REF!</v>
      </c>
      <c r="M7250" s="33" t="str">
        <f t="shared" si="455"/>
        <v>P&amp;L</v>
      </c>
    </row>
    <row r="7251" spans="1:13">
      <c r="A7251" s="33" t="str">
        <f t="shared" si="452"/>
        <v>SCL - Revenue</v>
      </c>
      <c r="B7251" s="33" t="str">
        <f t="shared" si="453"/>
        <v>SCL</v>
      </c>
      <c r="C7251" s="33" t="str">
        <f t="shared" si="454"/>
        <v>40001-7368</v>
      </c>
      <c r="D7251" s="64" t="s">
        <v>8500</v>
      </c>
      <c r="E7251" s="64" t="s">
        <v>2869</v>
      </c>
      <c r="F7251" s="64" t="s">
        <v>15</v>
      </c>
      <c r="G7251" s="64" t="s">
        <v>2870</v>
      </c>
      <c r="H7251" s="64" t="s">
        <v>2871</v>
      </c>
      <c r="I7251" s="64" t="s">
        <v>2872</v>
      </c>
      <c r="J7251" s="67">
        <v>-226419.75</v>
      </c>
      <c r="K7251" s="62">
        <v>-2045107.8</v>
      </c>
      <c r="L7251" s="33" t="e">
        <f>HLOOKUP(B7251,#REF!,1,0)</f>
        <v>#REF!</v>
      </c>
      <c r="M7251" s="33" t="str">
        <f t="shared" si="455"/>
        <v>P&amp;L</v>
      </c>
    </row>
    <row r="7252" spans="1:13">
      <c r="A7252" s="33" t="str">
        <f t="shared" si="452"/>
        <v>SCL - Revenue</v>
      </c>
      <c r="B7252" s="33" t="str">
        <f t="shared" si="453"/>
        <v>SCL</v>
      </c>
      <c r="C7252" s="33" t="str">
        <f t="shared" si="454"/>
        <v>40001-7369</v>
      </c>
      <c r="D7252" s="64" t="s">
        <v>8501</v>
      </c>
      <c r="E7252" s="64" t="s">
        <v>2869</v>
      </c>
      <c r="F7252" s="64" t="s">
        <v>15</v>
      </c>
      <c r="G7252" s="64" t="s">
        <v>2870</v>
      </c>
      <c r="H7252" s="64" t="s">
        <v>2871</v>
      </c>
      <c r="I7252" s="64" t="s">
        <v>2872</v>
      </c>
      <c r="J7252" s="67">
        <v>-129470.89</v>
      </c>
      <c r="K7252" s="62">
        <v>-1104050.79</v>
      </c>
      <c r="L7252" s="33" t="e">
        <f>HLOOKUP(B7252,#REF!,1,0)</f>
        <v>#REF!</v>
      </c>
      <c r="M7252" s="33" t="str">
        <f t="shared" si="455"/>
        <v>P&amp;L</v>
      </c>
    </row>
    <row r="7253" spans="1:13">
      <c r="A7253" s="33" t="str">
        <f t="shared" si="452"/>
        <v>SCL - Revenue</v>
      </c>
      <c r="B7253" s="33" t="str">
        <f t="shared" si="453"/>
        <v>SCL</v>
      </c>
      <c r="C7253" s="33" t="str">
        <f t="shared" si="454"/>
        <v>40001-7370</v>
      </c>
      <c r="D7253" s="64" t="s">
        <v>8502</v>
      </c>
      <c r="E7253" s="64" t="s">
        <v>2869</v>
      </c>
      <c r="F7253" s="64" t="s">
        <v>15</v>
      </c>
      <c r="G7253" s="64" t="s">
        <v>2870</v>
      </c>
      <c r="H7253" s="64" t="s">
        <v>2871</v>
      </c>
      <c r="I7253" s="64" t="s">
        <v>2872</v>
      </c>
      <c r="J7253" s="67">
        <v>0</v>
      </c>
      <c r="K7253" s="62">
        <v>0</v>
      </c>
      <c r="L7253" s="33" t="e">
        <f>HLOOKUP(B7253,#REF!,1,0)</f>
        <v>#REF!</v>
      </c>
      <c r="M7253" s="33" t="str">
        <f t="shared" si="455"/>
        <v>P&amp;L</v>
      </c>
    </row>
    <row r="7254" spans="1:13">
      <c r="A7254" s="33" t="str">
        <f t="shared" si="452"/>
        <v>SCL - Revenue</v>
      </c>
      <c r="B7254" s="33" t="str">
        <f t="shared" si="453"/>
        <v>SCL</v>
      </c>
      <c r="C7254" s="33" t="str">
        <f t="shared" si="454"/>
        <v>40001-7371</v>
      </c>
      <c r="D7254" s="64" t="s">
        <v>8503</v>
      </c>
      <c r="E7254" s="64" t="s">
        <v>2869</v>
      </c>
      <c r="F7254" s="64" t="s">
        <v>15</v>
      </c>
      <c r="G7254" s="64" t="s">
        <v>2870</v>
      </c>
      <c r="H7254" s="64" t="s">
        <v>2871</v>
      </c>
      <c r="I7254" s="64" t="s">
        <v>2872</v>
      </c>
      <c r="J7254" s="67">
        <v>-135481.28</v>
      </c>
      <c r="K7254" s="62">
        <v>-1185163.27</v>
      </c>
      <c r="L7254" s="33" t="e">
        <f>HLOOKUP(B7254,#REF!,1,0)</f>
        <v>#REF!</v>
      </c>
      <c r="M7254" s="33" t="str">
        <f t="shared" si="455"/>
        <v>P&amp;L</v>
      </c>
    </row>
    <row r="7255" spans="1:13">
      <c r="A7255" s="33" t="str">
        <f t="shared" si="452"/>
        <v>SCL - Revenue</v>
      </c>
      <c r="B7255" s="33" t="str">
        <f t="shared" si="453"/>
        <v>SCL</v>
      </c>
      <c r="C7255" s="33" t="str">
        <f t="shared" si="454"/>
        <v>40001-7374</v>
      </c>
      <c r="D7255" s="64" t="s">
        <v>8504</v>
      </c>
      <c r="E7255" s="64" t="s">
        <v>2869</v>
      </c>
      <c r="F7255" s="64" t="s">
        <v>15</v>
      </c>
      <c r="G7255" s="64" t="s">
        <v>2870</v>
      </c>
      <c r="H7255" s="64" t="s">
        <v>2871</v>
      </c>
      <c r="I7255" s="64" t="s">
        <v>2872</v>
      </c>
      <c r="J7255" s="67">
        <v>-191773.01</v>
      </c>
      <c r="K7255" s="62">
        <v>-1437860.18</v>
      </c>
      <c r="L7255" s="33" t="e">
        <f>HLOOKUP(B7255,#REF!,1,0)</f>
        <v>#REF!</v>
      </c>
      <c r="M7255" s="33" t="str">
        <f t="shared" si="455"/>
        <v>P&amp;L</v>
      </c>
    </row>
    <row r="7256" spans="1:13">
      <c r="A7256" s="33" t="str">
        <f t="shared" si="452"/>
        <v>SCL - Revenue</v>
      </c>
      <c r="B7256" s="33" t="str">
        <f t="shared" si="453"/>
        <v>SCL</v>
      </c>
      <c r="C7256" s="33" t="str">
        <f t="shared" si="454"/>
        <v>40001-7375</v>
      </c>
      <c r="D7256" s="64" t="s">
        <v>8505</v>
      </c>
      <c r="E7256" s="64" t="s">
        <v>2869</v>
      </c>
      <c r="F7256" s="64" t="s">
        <v>15</v>
      </c>
      <c r="G7256" s="64" t="s">
        <v>2870</v>
      </c>
      <c r="H7256" s="64" t="s">
        <v>2871</v>
      </c>
      <c r="I7256" s="64" t="s">
        <v>2872</v>
      </c>
      <c r="J7256" s="67">
        <v>-144310.1</v>
      </c>
      <c r="K7256" s="62">
        <v>-1250057.93</v>
      </c>
      <c r="L7256" s="33" t="e">
        <f>HLOOKUP(B7256,#REF!,1,0)</f>
        <v>#REF!</v>
      </c>
      <c r="M7256" s="33" t="str">
        <f t="shared" si="455"/>
        <v>P&amp;L</v>
      </c>
    </row>
    <row r="7257" spans="1:13">
      <c r="A7257" s="33" t="str">
        <f t="shared" si="452"/>
        <v>SCL - Revenue</v>
      </c>
      <c r="B7257" s="33" t="str">
        <f t="shared" si="453"/>
        <v>SCL</v>
      </c>
      <c r="C7257" s="33" t="str">
        <f t="shared" si="454"/>
        <v>40001-7376</v>
      </c>
      <c r="D7257" s="64" t="s">
        <v>8506</v>
      </c>
      <c r="E7257" s="64" t="s">
        <v>2869</v>
      </c>
      <c r="F7257" s="64" t="s">
        <v>15</v>
      </c>
      <c r="G7257" s="64" t="s">
        <v>2870</v>
      </c>
      <c r="H7257" s="64" t="s">
        <v>2871</v>
      </c>
      <c r="I7257" s="64" t="s">
        <v>2872</v>
      </c>
      <c r="J7257" s="67">
        <v>-309710.17</v>
      </c>
      <c r="K7257" s="62">
        <v>-2974093.93</v>
      </c>
      <c r="L7257" s="33" t="e">
        <f>HLOOKUP(B7257,#REF!,1,0)</f>
        <v>#REF!</v>
      </c>
      <c r="M7257" s="33" t="str">
        <f t="shared" si="455"/>
        <v>P&amp;L</v>
      </c>
    </row>
    <row r="7258" spans="1:13">
      <c r="A7258" s="33" t="str">
        <f t="shared" si="452"/>
        <v>SCL - Revenue</v>
      </c>
      <c r="B7258" s="33" t="str">
        <f t="shared" si="453"/>
        <v>SCL</v>
      </c>
      <c r="C7258" s="33" t="str">
        <f t="shared" si="454"/>
        <v>40001-7377</v>
      </c>
      <c r="D7258" s="64" t="s">
        <v>8507</v>
      </c>
      <c r="E7258" s="64" t="s">
        <v>2869</v>
      </c>
      <c r="F7258" s="64" t="s">
        <v>15</v>
      </c>
      <c r="G7258" s="64" t="s">
        <v>2870</v>
      </c>
      <c r="H7258" s="64" t="s">
        <v>2871</v>
      </c>
      <c r="I7258" s="64" t="s">
        <v>2872</v>
      </c>
      <c r="J7258" s="67">
        <v>-154983.87</v>
      </c>
      <c r="K7258" s="62">
        <v>-1386109.18</v>
      </c>
      <c r="L7258" s="33" t="e">
        <f>HLOOKUP(B7258,#REF!,1,0)</f>
        <v>#REF!</v>
      </c>
      <c r="M7258" s="33" t="str">
        <f t="shared" si="455"/>
        <v>P&amp;L</v>
      </c>
    </row>
    <row r="7259" spans="1:13">
      <c r="A7259" s="33" t="str">
        <f t="shared" si="452"/>
        <v>SCL - Revenue</v>
      </c>
      <c r="B7259" s="33" t="str">
        <f t="shared" si="453"/>
        <v>SCL</v>
      </c>
      <c r="C7259" s="33" t="str">
        <f t="shared" si="454"/>
        <v>40001-7378</v>
      </c>
      <c r="D7259" s="64" t="s">
        <v>8508</v>
      </c>
      <c r="E7259" s="64" t="s">
        <v>2869</v>
      </c>
      <c r="F7259" s="64" t="s">
        <v>15</v>
      </c>
      <c r="G7259" s="64" t="s">
        <v>2870</v>
      </c>
      <c r="H7259" s="64" t="s">
        <v>2871</v>
      </c>
      <c r="I7259" s="64" t="s">
        <v>2872</v>
      </c>
      <c r="J7259" s="67">
        <v>-216168.26</v>
      </c>
      <c r="K7259" s="62">
        <v>-1908029.01</v>
      </c>
      <c r="L7259" s="33" t="e">
        <f>HLOOKUP(B7259,#REF!,1,0)</f>
        <v>#REF!</v>
      </c>
      <c r="M7259" s="33" t="str">
        <f t="shared" si="455"/>
        <v>P&amp;L</v>
      </c>
    </row>
    <row r="7260" spans="1:13">
      <c r="A7260" s="33" t="str">
        <f t="shared" si="452"/>
        <v>SCL - Revenue</v>
      </c>
      <c r="B7260" s="33" t="str">
        <f t="shared" si="453"/>
        <v>SCL</v>
      </c>
      <c r="C7260" s="33" t="str">
        <f t="shared" si="454"/>
        <v>40001-7379</v>
      </c>
      <c r="D7260" s="64" t="s">
        <v>8509</v>
      </c>
      <c r="E7260" s="64" t="s">
        <v>2869</v>
      </c>
      <c r="F7260" s="64" t="s">
        <v>15</v>
      </c>
      <c r="G7260" s="64" t="s">
        <v>2870</v>
      </c>
      <c r="H7260" s="64" t="s">
        <v>2871</v>
      </c>
      <c r="I7260" s="64" t="s">
        <v>2872</v>
      </c>
      <c r="J7260" s="67">
        <v>-175768.12</v>
      </c>
      <c r="K7260" s="62">
        <v>-1632177.75</v>
      </c>
      <c r="L7260" s="33" t="e">
        <f>HLOOKUP(B7260,#REF!,1,0)</f>
        <v>#REF!</v>
      </c>
      <c r="M7260" s="33" t="str">
        <f t="shared" si="455"/>
        <v>P&amp;L</v>
      </c>
    </row>
    <row r="7261" spans="1:13">
      <c r="A7261" s="33" t="str">
        <f t="shared" si="452"/>
        <v>SCL - Revenue</v>
      </c>
      <c r="B7261" s="33" t="str">
        <f t="shared" si="453"/>
        <v>SCL</v>
      </c>
      <c r="C7261" s="33" t="str">
        <f t="shared" si="454"/>
        <v>40001-7380</v>
      </c>
      <c r="D7261" s="64" t="s">
        <v>8510</v>
      </c>
      <c r="E7261" s="64" t="s">
        <v>2869</v>
      </c>
      <c r="F7261" s="64" t="s">
        <v>15</v>
      </c>
      <c r="G7261" s="64" t="s">
        <v>2870</v>
      </c>
      <c r="H7261" s="64" t="s">
        <v>2871</v>
      </c>
      <c r="I7261" s="64" t="s">
        <v>2872</v>
      </c>
      <c r="J7261" s="67">
        <v>-112570.05</v>
      </c>
      <c r="K7261" s="62">
        <v>-1038140.37</v>
      </c>
      <c r="L7261" s="33" t="e">
        <f>HLOOKUP(B7261,#REF!,1,0)</f>
        <v>#REF!</v>
      </c>
      <c r="M7261" s="33" t="str">
        <f t="shared" si="455"/>
        <v>P&amp;L</v>
      </c>
    </row>
    <row r="7262" spans="1:13">
      <c r="A7262" s="33" t="str">
        <f t="shared" si="452"/>
        <v>SCL - Revenue</v>
      </c>
      <c r="B7262" s="33" t="str">
        <f t="shared" si="453"/>
        <v>SCL</v>
      </c>
      <c r="C7262" s="33" t="str">
        <f t="shared" si="454"/>
        <v>40001-7381</v>
      </c>
      <c r="D7262" s="64" t="s">
        <v>8511</v>
      </c>
      <c r="E7262" s="64" t="s">
        <v>2869</v>
      </c>
      <c r="F7262" s="64" t="s">
        <v>15</v>
      </c>
      <c r="G7262" s="64" t="s">
        <v>2870</v>
      </c>
      <c r="H7262" s="64" t="s">
        <v>2871</v>
      </c>
      <c r="I7262" s="64" t="s">
        <v>2872</v>
      </c>
      <c r="J7262" s="67">
        <v>-206118.73</v>
      </c>
      <c r="K7262" s="62">
        <v>-1716583.15</v>
      </c>
      <c r="L7262" s="33" t="e">
        <f>HLOOKUP(B7262,#REF!,1,0)</f>
        <v>#REF!</v>
      </c>
      <c r="M7262" s="33" t="str">
        <f t="shared" si="455"/>
        <v>P&amp;L</v>
      </c>
    </row>
    <row r="7263" spans="1:13">
      <c r="A7263" s="33" t="str">
        <f t="shared" si="452"/>
        <v>SCL - Revenue</v>
      </c>
      <c r="B7263" s="33" t="str">
        <f t="shared" si="453"/>
        <v>SCL</v>
      </c>
      <c r="C7263" s="33" t="str">
        <f t="shared" si="454"/>
        <v>40001-7383</v>
      </c>
      <c r="D7263" s="64" t="s">
        <v>8512</v>
      </c>
      <c r="E7263" s="64" t="s">
        <v>2869</v>
      </c>
      <c r="F7263" s="64" t="s">
        <v>15</v>
      </c>
      <c r="G7263" s="64" t="s">
        <v>2870</v>
      </c>
      <c r="H7263" s="64" t="s">
        <v>2871</v>
      </c>
      <c r="I7263" s="64" t="s">
        <v>2872</v>
      </c>
      <c r="J7263" s="67">
        <v>-154245.18</v>
      </c>
      <c r="K7263" s="62">
        <v>-1410871.18</v>
      </c>
      <c r="L7263" s="33" t="e">
        <f>HLOOKUP(B7263,#REF!,1,0)</f>
        <v>#REF!</v>
      </c>
      <c r="M7263" s="33" t="str">
        <f t="shared" si="455"/>
        <v>P&amp;L</v>
      </c>
    </row>
    <row r="7264" spans="1:13">
      <c r="A7264" s="33" t="str">
        <f t="shared" si="452"/>
        <v>SCL - Revenue</v>
      </c>
      <c r="B7264" s="33" t="str">
        <f t="shared" si="453"/>
        <v>SCL</v>
      </c>
      <c r="C7264" s="33" t="str">
        <f t="shared" si="454"/>
        <v>40001-7385</v>
      </c>
      <c r="D7264" s="64" t="s">
        <v>8513</v>
      </c>
      <c r="E7264" s="64" t="s">
        <v>2869</v>
      </c>
      <c r="F7264" s="64" t="s">
        <v>15</v>
      </c>
      <c r="G7264" s="64" t="s">
        <v>2870</v>
      </c>
      <c r="H7264" s="64" t="s">
        <v>2871</v>
      </c>
      <c r="I7264" s="64" t="s">
        <v>2872</v>
      </c>
      <c r="J7264" s="67">
        <v>-103880.44</v>
      </c>
      <c r="K7264" s="62">
        <v>-911334.7</v>
      </c>
      <c r="L7264" s="33" t="e">
        <f>HLOOKUP(B7264,#REF!,1,0)</f>
        <v>#REF!</v>
      </c>
      <c r="M7264" s="33" t="str">
        <f t="shared" si="455"/>
        <v>P&amp;L</v>
      </c>
    </row>
    <row r="7265" spans="1:13">
      <c r="A7265" s="33" t="str">
        <f t="shared" si="452"/>
        <v>SCL - Revenue</v>
      </c>
      <c r="B7265" s="33" t="str">
        <f t="shared" si="453"/>
        <v>SCL</v>
      </c>
      <c r="C7265" s="33" t="str">
        <f t="shared" si="454"/>
        <v>40001-7386</v>
      </c>
      <c r="D7265" s="64" t="s">
        <v>8514</v>
      </c>
      <c r="E7265" s="64" t="s">
        <v>2869</v>
      </c>
      <c r="F7265" s="64" t="s">
        <v>15</v>
      </c>
      <c r="G7265" s="64" t="s">
        <v>2870</v>
      </c>
      <c r="H7265" s="64" t="s">
        <v>2871</v>
      </c>
      <c r="I7265" s="64" t="s">
        <v>2872</v>
      </c>
      <c r="J7265" s="67">
        <v>-141183.97</v>
      </c>
      <c r="K7265" s="62">
        <v>-1206053.04</v>
      </c>
      <c r="L7265" s="33" t="e">
        <f>HLOOKUP(B7265,#REF!,1,0)</f>
        <v>#REF!</v>
      </c>
      <c r="M7265" s="33" t="str">
        <f t="shared" si="455"/>
        <v>P&amp;L</v>
      </c>
    </row>
    <row r="7266" spans="1:13">
      <c r="A7266" s="33" t="str">
        <f t="shared" si="452"/>
        <v>SCL - Revenue</v>
      </c>
      <c r="B7266" s="33" t="str">
        <f t="shared" si="453"/>
        <v>SCL</v>
      </c>
      <c r="C7266" s="33" t="str">
        <f t="shared" si="454"/>
        <v>40001-7387</v>
      </c>
      <c r="D7266" s="64" t="s">
        <v>8515</v>
      </c>
      <c r="E7266" s="64" t="s">
        <v>2869</v>
      </c>
      <c r="F7266" s="64" t="s">
        <v>15</v>
      </c>
      <c r="G7266" s="64" t="s">
        <v>2870</v>
      </c>
      <c r="H7266" s="64" t="s">
        <v>2871</v>
      </c>
      <c r="I7266" s="64" t="s">
        <v>2872</v>
      </c>
      <c r="J7266" s="67">
        <v>-175748.56</v>
      </c>
      <c r="K7266" s="62">
        <v>-1573190.73</v>
      </c>
      <c r="L7266" s="33" t="e">
        <f>HLOOKUP(B7266,#REF!,1,0)</f>
        <v>#REF!</v>
      </c>
      <c r="M7266" s="33" t="str">
        <f t="shared" si="455"/>
        <v>P&amp;L</v>
      </c>
    </row>
    <row r="7267" spans="1:13">
      <c r="A7267" s="33" t="str">
        <f t="shared" si="452"/>
        <v>SCL - Revenue</v>
      </c>
      <c r="B7267" s="33" t="str">
        <f t="shared" si="453"/>
        <v>SCL</v>
      </c>
      <c r="C7267" s="33" t="str">
        <f t="shared" si="454"/>
        <v>40001-7389</v>
      </c>
      <c r="D7267" s="64" t="s">
        <v>8516</v>
      </c>
      <c r="E7267" s="64" t="s">
        <v>2869</v>
      </c>
      <c r="F7267" s="64" t="s">
        <v>15</v>
      </c>
      <c r="G7267" s="64" t="s">
        <v>2870</v>
      </c>
      <c r="H7267" s="64" t="s">
        <v>2871</v>
      </c>
      <c r="I7267" s="64" t="s">
        <v>2872</v>
      </c>
      <c r="J7267" s="67">
        <v>-254300.24</v>
      </c>
      <c r="K7267" s="62">
        <v>-2110345.66</v>
      </c>
      <c r="L7267" s="33" t="e">
        <f>HLOOKUP(B7267,#REF!,1,0)</f>
        <v>#REF!</v>
      </c>
      <c r="M7267" s="33" t="str">
        <f t="shared" si="455"/>
        <v>P&amp;L</v>
      </c>
    </row>
    <row r="7268" spans="1:13">
      <c r="A7268" s="33" t="str">
        <f t="shared" si="452"/>
        <v>SCL - Revenue</v>
      </c>
      <c r="B7268" s="33" t="str">
        <f t="shared" si="453"/>
        <v>SCL</v>
      </c>
      <c r="C7268" s="33" t="str">
        <f t="shared" si="454"/>
        <v>40001-7391</v>
      </c>
      <c r="D7268" s="64" t="s">
        <v>8517</v>
      </c>
      <c r="E7268" s="64" t="s">
        <v>2869</v>
      </c>
      <c r="F7268" s="64" t="s">
        <v>15</v>
      </c>
      <c r="G7268" s="64" t="s">
        <v>2870</v>
      </c>
      <c r="H7268" s="64" t="s">
        <v>2871</v>
      </c>
      <c r="I7268" s="64" t="s">
        <v>2872</v>
      </c>
      <c r="J7268" s="67">
        <v>-168924.58</v>
      </c>
      <c r="K7268" s="62">
        <v>-1433564.23</v>
      </c>
      <c r="L7268" s="33" t="e">
        <f>HLOOKUP(B7268,#REF!,1,0)</f>
        <v>#REF!</v>
      </c>
      <c r="M7268" s="33" t="str">
        <f t="shared" si="455"/>
        <v>P&amp;L</v>
      </c>
    </row>
    <row r="7269" spans="1:13">
      <c r="A7269" s="33" t="str">
        <f t="shared" si="452"/>
        <v>SCL - Revenue</v>
      </c>
      <c r="B7269" s="33" t="str">
        <f t="shared" si="453"/>
        <v>SCL</v>
      </c>
      <c r="C7269" s="33" t="str">
        <f t="shared" si="454"/>
        <v>40001-7393</v>
      </c>
      <c r="D7269" s="64" t="s">
        <v>8518</v>
      </c>
      <c r="E7269" s="64" t="s">
        <v>2869</v>
      </c>
      <c r="F7269" s="64" t="s">
        <v>15</v>
      </c>
      <c r="G7269" s="64" t="s">
        <v>2870</v>
      </c>
      <c r="H7269" s="64" t="s">
        <v>2871</v>
      </c>
      <c r="I7269" s="64" t="s">
        <v>2872</v>
      </c>
      <c r="J7269" s="67">
        <v>-130839.88</v>
      </c>
      <c r="K7269" s="62">
        <v>-1184105.4</v>
      </c>
      <c r="L7269" s="33" t="e">
        <f>HLOOKUP(B7269,#REF!,1,0)</f>
        <v>#REF!</v>
      </c>
      <c r="M7269" s="33" t="str">
        <f t="shared" si="455"/>
        <v>P&amp;L</v>
      </c>
    </row>
    <row r="7270" spans="1:13">
      <c r="A7270" s="33" t="str">
        <f t="shared" si="452"/>
        <v>SCL - Revenue</v>
      </c>
      <c r="B7270" s="33" t="str">
        <f t="shared" si="453"/>
        <v>SCL</v>
      </c>
      <c r="C7270" s="33" t="str">
        <f t="shared" si="454"/>
        <v>40001-7394</v>
      </c>
      <c r="D7270" s="64" t="s">
        <v>8519</v>
      </c>
      <c r="E7270" s="64" t="s">
        <v>2869</v>
      </c>
      <c r="F7270" s="64" t="s">
        <v>15</v>
      </c>
      <c r="G7270" s="64" t="s">
        <v>2870</v>
      </c>
      <c r="H7270" s="64" t="s">
        <v>2871</v>
      </c>
      <c r="I7270" s="64" t="s">
        <v>2872</v>
      </c>
      <c r="J7270" s="67">
        <v>-112835.67</v>
      </c>
      <c r="K7270" s="62">
        <v>-1047952.79</v>
      </c>
      <c r="L7270" s="33" t="e">
        <f>HLOOKUP(B7270,#REF!,1,0)</f>
        <v>#REF!</v>
      </c>
      <c r="M7270" s="33" t="str">
        <f t="shared" si="455"/>
        <v>P&amp;L</v>
      </c>
    </row>
    <row r="7271" spans="1:13">
      <c r="A7271" s="33" t="str">
        <f t="shared" si="452"/>
        <v>SCL - Revenue</v>
      </c>
      <c r="B7271" s="33" t="str">
        <f t="shared" si="453"/>
        <v>SCL</v>
      </c>
      <c r="C7271" s="33" t="str">
        <f t="shared" si="454"/>
        <v>40001-7396</v>
      </c>
      <c r="D7271" s="64" t="s">
        <v>8520</v>
      </c>
      <c r="E7271" s="64" t="s">
        <v>2869</v>
      </c>
      <c r="F7271" s="64" t="s">
        <v>15</v>
      </c>
      <c r="G7271" s="64" t="s">
        <v>2870</v>
      </c>
      <c r="H7271" s="64" t="s">
        <v>2871</v>
      </c>
      <c r="I7271" s="64" t="s">
        <v>2872</v>
      </c>
      <c r="J7271" s="67">
        <v>-149025.35</v>
      </c>
      <c r="K7271" s="62">
        <v>-1274339.82</v>
      </c>
      <c r="L7271" s="33" t="e">
        <f>HLOOKUP(B7271,#REF!,1,0)</f>
        <v>#REF!</v>
      </c>
      <c r="M7271" s="33" t="str">
        <f t="shared" si="455"/>
        <v>P&amp;L</v>
      </c>
    </row>
    <row r="7272" spans="1:13">
      <c r="A7272" s="33" t="str">
        <f t="shared" si="452"/>
        <v>SCL - Revenue</v>
      </c>
      <c r="B7272" s="33" t="str">
        <f t="shared" si="453"/>
        <v>SCL</v>
      </c>
      <c r="C7272" s="33" t="str">
        <f t="shared" si="454"/>
        <v>40001-7397</v>
      </c>
      <c r="D7272" s="64" t="s">
        <v>8521</v>
      </c>
      <c r="E7272" s="64" t="s">
        <v>2869</v>
      </c>
      <c r="F7272" s="64" t="s">
        <v>15</v>
      </c>
      <c r="G7272" s="64" t="s">
        <v>2870</v>
      </c>
      <c r="H7272" s="64" t="s">
        <v>2871</v>
      </c>
      <c r="I7272" s="64" t="s">
        <v>2872</v>
      </c>
      <c r="J7272" s="67">
        <v>-141037.98</v>
      </c>
      <c r="K7272" s="62">
        <v>-1320150.26</v>
      </c>
      <c r="L7272" s="33" t="e">
        <f>HLOOKUP(B7272,#REF!,1,0)</f>
        <v>#REF!</v>
      </c>
      <c r="M7272" s="33" t="str">
        <f t="shared" si="455"/>
        <v>P&amp;L</v>
      </c>
    </row>
    <row r="7273" spans="1:13">
      <c r="A7273" s="33" t="str">
        <f t="shared" si="452"/>
        <v>SCL - Revenue</v>
      </c>
      <c r="B7273" s="33" t="str">
        <f t="shared" si="453"/>
        <v>SCL</v>
      </c>
      <c r="C7273" s="33" t="str">
        <f t="shared" si="454"/>
        <v>40001-7398</v>
      </c>
      <c r="D7273" s="64" t="s">
        <v>8522</v>
      </c>
      <c r="E7273" s="64" t="s">
        <v>2869</v>
      </c>
      <c r="F7273" s="64" t="s">
        <v>15</v>
      </c>
      <c r="G7273" s="64" t="s">
        <v>2870</v>
      </c>
      <c r="H7273" s="64" t="s">
        <v>2871</v>
      </c>
      <c r="I7273" s="64" t="s">
        <v>2872</v>
      </c>
      <c r="J7273" s="67">
        <v>-150570.88</v>
      </c>
      <c r="K7273" s="62">
        <v>-1330899.74</v>
      </c>
      <c r="L7273" s="33" t="e">
        <f>HLOOKUP(B7273,#REF!,1,0)</f>
        <v>#REF!</v>
      </c>
      <c r="M7273" s="33" t="str">
        <f t="shared" si="455"/>
        <v>P&amp;L</v>
      </c>
    </row>
    <row r="7274" spans="1:13">
      <c r="A7274" s="33" t="str">
        <f t="shared" si="452"/>
        <v>SCL - Revenue</v>
      </c>
      <c r="B7274" s="33" t="str">
        <f t="shared" si="453"/>
        <v>SCL</v>
      </c>
      <c r="C7274" s="33" t="str">
        <f t="shared" si="454"/>
        <v>40001-7400</v>
      </c>
      <c r="D7274" s="64" t="s">
        <v>8523</v>
      </c>
      <c r="E7274" s="64" t="s">
        <v>2869</v>
      </c>
      <c r="F7274" s="64" t="s">
        <v>15</v>
      </c>
      <c r="G7274" s="64" t="s">
        <v>2870</v>
      </c>
      <c r="H7274" s="64" t="s">
        <v>2871</v>
      </c>
      <c r="I7274" s="64" t="s">
        <v>2872</v>
      </c>
      <c r="J7274" s="67">
        <v>-115626.58</v>
      </c>
      <c r="K7274" s="62">
        <v>-1078546.85</v>
      </c>
      <c r="L7274" s="33" t="e">
        <f>HLOOKUP(B7274,#REF!,1,0)</f>
        <v>#REF!</v>
      </c>
      <c r="M7274" s="33" t="str">
        <f t="shared" si="455"/>
        <v>P&amp;L</v>
      </c>
    </row>
    <row r="7275" spans="1:13">
      <c r="A7275" s="33" t="str">
        <f t="shared" si="452"/>
        <v>SCL - Revenue</v>
      </c>
      <c r="B7275" s="33" t="str">
        <f t="shared" si="453"/>
        <v>SCL</v>
      </c>
      <c r="C7275" s="33" t="str">
        <f t="shared" si="454"/>
        <v>40001-7401</v>
      </c>
      <c r="D7275" s="64" t="s">
        <v>8524</v>
      </c>
      <c r="E7275" s="64" t="s">
        <v>2869</v>
      </c>
      <c r="F7275" s="64" t="s">
        <v>15</v>
      </c>
      <c r="G7275" s="64" t="s">
        <v>2870</v>
      </c>
      <c r="H7275" s="64" t="s">
        <v>2871</v>
      </c>
      <c r="I7275" s="64" t="s">
        <v>2872</v>
      </c>
      <c r="J7275" s="67">
        <v>-136910.16</v>
      </c>
      <c r="K7275" s="62">
        <v>-1198881.26</v>
      </c>
      <c r="L7275" s="33" t="e">
        <f>HLOOKUP(B7275,#REF!,1,0)</f>
        <v>#REF!</v>
      </c>
      <c r="M7275" s="33" t="str">
        <f t="shared" si="455"/>
        <v>P&amp;L</v>
      </c>
    </row>
    <row r="7276" spans="1:13">
      <c r="A7276" s="33" t="str">
        <f t="shared" si="452"/>
        <v>SCL - Revenue</v>
      </c>
      <c r="B7276" s="33" t="str">
        <f t="shared" si="453"/>
        <v>SCL</v>
      </c>
      <c r="C7276" s="33" t="str">
        <f t="shared" si="454"/>
        <v>40001-7402</v>
      </c>
      <c r="D7276" s="64" t="s">
        <v>8525</v>
      </c>
      <c r="E7276" s="64" t="s">
        <v>2869</v>
      </c>
      <c r="F7276" s="64" t="s">
        <v>15</v>
      </c>
      <c r="G7276" s="64" t="s">
        <v>2870</v>
      </c>
      <c r="H7276" s="64" t="s">
        <v>2871</v>
      </c>
      <c r="I7276" s="64" t="s">
        <v>2872</v>
      </c>
      <c r="J7276" s="67">
        <v>-151087.62</v>
      </c>
      <c r="K7276" s="62">
        <v>-1381467.7</v>
      </c>
      <c r="L7276" s="33" t="e">
        <f>HLOOKUP(B7276,#REF!,1,0)</f>
        <v>#REF!</v>
      </c>
      <c r="M7276" s="33" t="str">
        <f t="shared" si="455"/>
        <v>P&amp;L</v>
      </c>
    </row>
    <row r="7277" spans="1:13">
      <c r="A7277" s="33" t="str">
        <f t="shared" si="452"/>
        <v>SCL - Revenue</v>
      </c>
      <c r="B7277" s="33" t="str">
        <f t="shared" si="453"/>
        <v>SCL</v>
      </c>
      <c r="C7277" s="33" t="str">
        <f t="shared" si="454"/>
        <v>40001-7403</v>
      </c>
      <c r="D7277" s="64" t="s">
        <v>8526</v>
      </c>
      <c r="E7277" s="64" t="s">
        <v>2869</v>
      </c>
      <c r="F7277" s="64" t="s">
        <v>15</v>
      </c>
      <c r="G7277" s="64" t="s">
        <v>2870</v>
      </c>
      <c r="H7277" s="64" t="s">
        <v>2871</v>
      </c>
      <c r="I7277" s="64" t="s">
        <v>2872</v>
      </c>
      <c r="J7277" s="67">
        <v>-149309.39</v>
      </c>
      <c r="K7277" s="62">
        <v>-1404761.88</v>
      </c>
      <c r="L7277" s="33" t="e">
        <f>HLOOKUP(B7277,#REF!,1,0)</f>
        <v>#REF!</v>
      </c>
      <c r="M7277" s="33" t="str">
        <f t="shared" si="455"/>
        <v>P&amp;L</v>
      </c>
    </row>
    <row r="7278" spans="1:13">
      <c r="A7278" s="33" t="str">
        <f t="shared" si="452"/>
        <v>SCL - Revenue</v>
      </c>
      <c r="B7278" s="33" t="str">
        <f t="shared" si="453"/>
        <v>SCL</v>
      </c>
      <c r="C7278" s="33" t="str">
        <f t="shared" si="454"/>
        <v>40001-7404</v>
      </c>
      <c r="D7278" s="64" t="s">
        <v>8527</v>
      </c>
      <c r="E7278" s="64" t="s">
        <v>2869</v>
      </c>
      <c r="F7278" s="64" t="s">
        <v>15</v>
      </c>
      <c r="G7278" s="64" t="s">
        <v>2870</v>
      </c>
      <c r="H7278" s="64" t="s">
        <v>2871</v>
      </c>
      <c r="I7278" s="64" t="s">
        <v>2872</v>
      </c>
      <c r="J7278" s="67">
        <v>0</v>
      </c>
      <c r="K7278" s="62">
        <v>0</v>
      </c>
      <c r="L7278" s="33" t="e">
        <f>HLOOKUP(B7278,#REF!,1,0)</f>
        <v>#REF!</v>
      </c>
      <c r="M7278" s="33" t="str">
        <f t="shared" si="455"/>
        <v>P&amp;L</v>
      </c>
    </row>
    <row r="7279" spans="1:13">
      <c r="A7279" s="33" t="str">
        <f t="shared" si="452"/>
        <v>SCL - Revenue</v>
      </c>
      <c r="B7279" s="33" t="str">
        <f t="shared" si="453"/>
        <v>SCL</v>
      </c>
      <c r="C7279" s="33" t="str">
        <f t="shared" si="454"/>
        <v>40001-7405</v>
      </c>
      <c r="D7279" s="64" t="s">
        <v>8528</v>
      </c>
      <c r="E7279" s="64" t="s">
        <v>2869</v>
      </c>
      <c r="F7279" s="64" t="s">
        <v>15</v>
      </c>
      <c r="G7279" s="64" t="s">
        <v>2870</v>
      </c>
      <c r="H7279" s="64" t="s">
        <v>2871</v>
      </c>
      <c r="I7279" s="64" t="s">
        <v>2872</v>
      </c>
      <c r="J7279" s="67">
        <v>0</v>
      </c>
      <c r="K7279" s="62">
        <v>0</v>
      </c>
      <c r="L7279" s="33" t="e">
        <f>HLOOKUP(B7279,#REF!,1,0)</f>
        <v>#REF!</v>
      </c>
      <c r="M7279" s="33" t="str">
        <f t="shared" si="455"/>
        <v>P&amp;L</v>
      </c>
    </row>
    <row r="7280" spans="1:13">
      <c r="A7280" s="33" t="str">
        <f t="shared" si="452"/>
        <v>SCL - Revenue</v>
      </c>
      <c r="B7280" s="33" t="str">
        <f t="shared" si="453"/>
        <v>SCL</v>
      </c>
      <c r="C7280" s="33" t="str">
        <f t="shared" si="454"/>
        <v>40001-7406</v>
      </c>
      <c r="D7280" s="64" t="s">
        <v>8529</v>
      </c>
      <c r="E7280" s="64" t="s">
        <v>2869</v>
      </c>
      <c r="F7280" s="64" t="s">
        <v>15</v>
      </c>
      <c r="G7280" s="64" t="s">
        <v>2870</v>
      </c>
      <c r="H7280" s="64" t="s">
        <v>2871</v>
      </c>
      <c r="I7280" s="64" t="s">
        <v>2872</v>
      </c>
      <c r="J7280" s="67">
        <v>0</v>
      </c>
      <c r="K7280" s="62">
        <v>0</v>
      </c>
      <c r="L7280" s="33" t="e">
        <f>HLOOKUP(B7280,#REF!,1,0)</f>
        <v>#REF!</v>
      </c>
      <c r="M7280" s="33" t="str">
        <f t="shared" si="455"/>
        <v>P&amp;L</v>
      </c>
    </row>
    <row r="7281" spans="1:13">
      <c r="A7281" s="33" t="str">
        <f t="shared" si="452"/>
        <v>SCL - Revenue</v>
      </c>
      <c r="B7281" s="33" t="str">
        <f t="shared" si="453"/>
        <v>SCL</v>
      </c>
      <c r="C7281" s="33" t="str">
        <f t="shared" si="454"/>
        <v>40001-7489</v>
      </c>
      <c r="D7281" s="64" t="s">
        <v>8530</v>
      </c>
      <c r="E7281" s="64" t="s">
        <v>2869</v>
      </c>
      <c r="F7281" s="64" t="s">
        <v>15</v>
      </c>
      <c r="G7281" s="64" t="s">
        <v>2870</v>
      </c>
      <c r="H7281" s="64" t="s">
        <v>2871</v>
      </c>
      <c r="I7281" s="64" t="s">
        <v>2872</v>
      </c>
      <c r="J7281" s="67">
        <v>-236772.43</v>
      </c>
      <c r="K7281" s="62">
        <v>-2026135.63</v>
      </c>
      <c r="L7281" s="33" t="e">
        <f>HLOOKUP(B7281,#REF!,1,0)</f>
        <v>#REF!</v>
      </c>
      <c r="M7281" s="33" t="str">
        <f t="shared" si="455"/>
        <v>P&amp;L</v>
      </c>
    </row>
    <row r="7282" spans="1:13">
      <c r="A7282" s="33" t="str">
        <f t="shared" si="452"/>
        <v>SCL - Revenue</v>
      </c>
      <c r="B7282" s="33" t="str">
        <f t="shared" si="453"/>
        <v>SCL</v>
      </c>
      <c r="C7282" s="33" t="str">
        <f t="shared" si="454"/>
        <v>40001-7490</v>
      </c>
      <c r="D7282" s="64" t="s">
        <v>8531</v>
      </c>
      <c r="E7282" s="64" t="s">
        <v>2869</v>
      </c>
      <c r="F7282" s="64" t="s">
        <v>15</v>
      </c>
      <c r="G7282" s="64" t="s">
        <v>2870</v>
      </c>
      <c r="H7282" s="64" t="s">
        <v>2871</v>
      </c>
      <c r="I7282" s="64" t="s">
        <v>2872</v>
      </c>
      <c r="J7282" s="67">
        <v>0</v>
      </c>
      <c r="K7282" s="62">
        <v>0</v>
      </c>
      <c r="L7282" s="33" t="e">
        <f>HLOOKUP(B7282,#REF!,1,0)</f>
        <v>#REF!</v>
      </c>
      <c r="M7282" s="33" t="str">
        <f t="shared" si="455"/>
        <v>P&amp;L</v>
      </c>
    </row>
    <row r="7283" spans="1:13">
      <c r="A7283" s="33" t="str">
        <f t="shared" si="452"/>
        <v>SCL - Revenue</v>
      </c>
      <c r="B7283" s="33" t="str">
        <f t="shared" si="453"/>
        <v>SCL</v>
      </c>
      <c r="C7283" s="33" t="str">
        <f t="shared" si="454"/>
        <v>40001-7491</v>
      </c>
      <c r="D7283" s="64" t="s">
        <v>8532</v>
      </c>
      <c r="E7283" s="64" t="s">
        <v>2869</v>
      </c>
      <c r="F7283" s="64" t="s">
        <v>15</v>
      </c>
      <c r="G7283" s="64" t="s">
        <v>2870</v>
      </c>
      <c r="H7283" s="64" t="s">
        <v>2871</v>
      </c>
      <c r="I7283" s="64" t="s">
        <v>2872</v>
      </c>
      <c r="J7283" s="67">
        <v>-123254.33</v>
      </c>
      <c r="K7283" s="62">
        <v>-1080699.29</v>
      </c>
      <c r="L7283" s="33" t="e">
        <f>HLOOKUP(B7283,#REF!,1,0)</f>
        <v>#REF!</v>
      </c>
      <c r="M7283" s="33" t="str">
        <f t="shared" si="455"/>
        <v>P&amp;L</v>
      </c>
    </row>
    <row r="7284" spans="1:13">
      <c r="A7284" s="33" t="str">
        <f t="shared" si="452"/>
        <v>SCL - Revenue</v>
      </c>
      <c r="B7284" s="33" t="str">
        <f t="shared" si="453"/>
        <v>SCL</v>
      </c>
      <c r="C7284" s="33" t="str">
        <f t="shared" si="454"/>
        <v>40001-7492</v>
      </c>
      <c r="D7284" s="64" t="s">
        <v>8533</v>
      </c>
      <c r="E7284" s="64" t="s">
        <v>2869</v>
      </c>
      <c r="F7284" s="64" t="s">
        <v>15</v>
      </c>
      <c r="G7284" s="64" t="s">
        <v>2870</v>
      </c>
      <c r="H7284" s="64" t="s">
        <v>2871</v>
      </c>
      <c r="I7284" s="64" t="s">
        <v>2872</v>
      </c>
      <c r="J7284" s="67">
        <v>-142278.37</v>
      </c>
      <c r="K7284" s="62">
        <v>-1212096</v>
      </c>
      <c r="L7284" s="33" t="e">
        <f>HLOOKUP(B7284,#REF!,1,0)</f>
        <v>#REF!</v>
      </c>
      <c r="M7284" s="33" t="str">
        <f t="shared" si="455"/>
        <v>P&amp;L</v>
      </c>
    </row>
    <row r="7285" spans="1:13">
      <c r="A7285" s="33" t="str">
        <f t="shared" si="452"/>
        <v>SCL - Revenue</v>
      </c>
      <c r="B7285" s="33" t="str">
        <f t="shared" si="453"/>
        <v>SCL</v>
      </c>
      <c r="C7285" s="33" t="str">
        <f t="shared" si="454"/>
        <v>40001-7493</v>
      </c>
      <c r="D7285" s="64" t="s">
        <v>8534</v>
      </c>
      <c r="E7285" s="64" t="s">
        <v>2869</v>
      </c>
      <c r="F7285" s="64" t="s">
        <v>15</v>
      </c>
      <c r="G7285" s="64" t="s">
        <v>2870</v>
      </c>
      <c r="H7285" s="64" t="s">
        <v>2871</v>
      </c>
      <c r="I7285" s="64" t="s">
        <v>2872</v>
      </c>
      <c r="J7285" s="67">
        <v>-193065.04</v>
      </c>
      <c r="K7285" s="62">
        <v>-1739608.29</v>
      </c>
      <c r="L7285" s="33" t="e">
        <f>HLOOKUP(B7285,#REF!,1,0)</f>
        <v>#REF!</v>
      </c>
      <c r="M7285" s="33" t="str">
        <f t="shared" si="455"/>
        <v>P&amp;L</v>
      </c>
    </row>
    <row r="7286" spans="1:13">
      <c r="A7286" s="33" t="str">
        <f t="shared" si="452"/>
        <v>SCL - Revenue</v>
      </c>
      <c r="B7286" s="33" t="str">
        <f t="shared" si="453"/>
        <v>SCL</v>
      </c>
      <c r="C7286" s="33" t="str">
        <f t="shared" si="454"/>
        <v>40001-7494</v>
      </c>
      <c r="D7286" s="64" t="s">
        <v>8535</v>
      </c>
      <c r="E7286" s="64" t="s">
        <v>2869</v>
      </c>
      <c r="F7286" s="64" t="s">
        <v>15</v>
      </c>
      <c r="G7286" s="64" t="s">
        <v>2870</v>
      </c>
      <c r="H7286" s="64" t="s">
        <v>2871</v>
      </c>
      <c r="I7286" s="64" t="s">
        <v>2872</v>
      </c>
      <c r="J7286" s="67">
        <v>-142176.68</v>
      </c>
      <c r="K7286" s="62">
        <v>-1277219.97</v>
      </c>
      <c r="L7286" s="33" t="e">
        <f>HLOOKUP(B7286,#REF!,1,0)</f>
        <v>#REF!</v>
      </c>
      <c r="M7286" s="33" t="str">
        <f t="shared" si="455"/>
        <v>P&amp;L</v>
      </c>
    </row>
    <row r="7287" spans="1:13">
      <c r="A7287" s="33" t="str">
        <f t="shared" si="452"/>
        <v>SCL - Revenue</v>
      </c>
      <c r="B7287" s="33" t="str">
        <f t="shared" si="453"/>
        <v>SCL</v>
      </c>
      <c r="C7287" s="33" t="str">
        <f t="shared" si="454"/>
        <v>40001-7625</v>
      </c>
      <c r="D7287" s="64" t="s">
        <v>8536</v>
      </c>
      <c r="E7287" s="64" t="s">
        <v>2869</v>
      </c>
      <c r="F7287" s="64" t="s">
        <v>15</v>
      </c>
      <c r="G7287" s="64" t="s">
        <v>2870</v>
      </c>
      <c r="H7287" s="64" t="s">
        <v>2871</v>
      </c>
      <c r="I7287" s="64" t="s">
        <v>2872</v>
      </c>
      <c r="J7287" s="67">
        <v>-189813.19</v>
      </c>
      <c r="K7287" s="62">
        <v>-1720157.48</v>
      </c>
      <c r="L7287" s="33" t="e">
        <f>HLOOKUP(B7287,#REF!,1,0)</f>
        <v>#REF!</v>
      </c>
      <c r="M7287" s="33" t="str">
        <f t="shared" si="455"/>
        <v>P&amp;L</v>
      </c>
    </row>
    <row r="7288" spans="1:13">
      <c r="A7288" s="33" t="str">
        <f t="shared" si="452"/>
        <v>SCL - Revenue</v>
      </c>
      <c r="B7288" s="33" t="str">
        <f t="shared" si="453"/>
        <v>SCL</v>
      </c>
      <c r="C7288" s="33" t="str">
        <f t="shared" si="454"/>
        <v>40001-8150</v>
      </c>
      <c r="D7288" s="64" t="s">
        <v>8537</v>
      </c>
      <c r="E7288" s="64" t="s">
        <v>2869</v>
      </c>
      <c r="F7288" s="64" t="s">
        <v>15</v>
      </c>
      <c r="G7288" s="64" t="s">
        <v>2870</v>
      </c>
      <c r="H7288" s="64" t="s">
        <v>2871</v>
      </c>
      <c r="I7288" s="64" t="s">
        <v>2872</v>
      </c>
      <c r="J7288" s="67">
        <v>-154530.05</v>
      </c>
      <c r="K7288" s="62">
        <v>-1450287.24</v>
      </c>
      <c r="L7288" s="33" t="e">
        <f>HLOOKUP(B7288,#REF!,1,0)</f>
        <v>#REF!</v>
      </c>
      <c r="M7288" s="33" t="str">
        <f t="shared" si="455"/>
        <v>P&amp;L</v>
      </c>
    </row>
    <row r="7289" spans="1:13">
      <c r="A7289" s="33" t="str">
        <f t="shared" si="452"/>
        <v>SCL - Revenue</v>
      </c>
      <c r="B7289" s="33" t="str">
        <f t="shared" si="453"/>
        <v>SCL</v>
      </c>
      <c r="C7289" s="33" t="str">
        <f t="shared" si="454"/>
        <v>40002-7351</v>
      </c>
      <c r="D7289" s="64" t="s">
        <v>8538</v>
      </c>
      <c r="E7289" s="64" t="s">
        <v>2877</v>
      </c>
      <c r="F7289" s="64" t="s">
        <v>15</v>
      </c>
      <c r="G7289" s="64" t="s">
        <v>2870</v>
      </c>
      <c r="H7289" s="64" t="s">
        <v>2871</v>
      </c>
      <c r="I7289" s="64" t="s">
        <v>2872</v>
      </c>
      <c r="J7289" s="67">
        <v>0</v>
      </c>
      <c r="K7289" s="62">
        <v>4.73</v>
      </c>
      <c r="L7289" s="33" t="e">
        <f>HLOOKUP(B7289,#REF!,1,0)</f>
        <v>#REF!</v>
      </c>
      <c r="M7289" s="33" t="str">
        <f t="shared" si="455"/>
        <v>P&amp;L</v>
      </c>
    </row>
    <row r="7290" spans="1:13">
      <c r="A7290" s="33" t="str">
        <f t="shared" si="452"/>
        <v>SCL - Revenue</v>
      </c>
      <c r="B7290" s="33" t="str">
        <f t="shared" si="453"/>
        <v>SCL</v>
      </c>
      <c r="C7290" s="33" t="str">
        <f t="shared" si="454"/>
        <v>40002-7352</v>
      </c>
      <c r="D7290" s="64" t="s">
        <v>8539</v>
      </c>
      <c r="E7290" s="64" t="s">
        <v>2877</v>
      </c>
      <c r="F7290" s="64" t="s">
        <v>15</v>
      </c>
      <c r="G7290" s="64" t="s">
        <v>2870</v>
      </c>
      <c r="H7290" s="64" t="s">
        <v>2871</v>
      </c>
      <c r="I7290" s="64" t="s">
        <v>2872</v>
      </c>
      <c r="J7290" s="67">
        <v>0</v>
      </c>
      <c r="K7290" s="62">
        <v>-34.27</v>
      </c>
      <c r="L7290" s="33" t="e">
        <f>HLOOKUP(B7290,#REF!,1,0)</f>
        <v>#REF!</v>
      </c>
      <c r="M7290" s="33" t="str">
        <f t="shared" si="455"/>
        <v>P&amp;L</v>
      </c>
    </row>
    <row r="7291" spans="1:13">
      <c r="A7291" s="33" t="str">
        <f t="shared" si="452"/>
        <v>SCL - Revenue</v>
      </c>
      <c r="B7291" s="33" t="str">
        <f t="shared" si="453"/>
        <v>SCL</v>
      </c>
      <c r="C7291" s="33" t="str">
        <f t="shared" si="454"/>
        <v>40002-7355</v>
      </c>
      <c r="D7291" s="64" t="s">
        <v>8540</v>
      </c>
      <c r="E7291" s="64" t="s">
        <v>2877</v>
      </c>
      <c r="F7291" s="64" t="s">
        <v>15</v>
      </c>
      <c r="G7291" s="64" t="s">
        <v>2870</v>
      </c>
      <c r="H7291" s="64" t="s">
        <v>2871</v>
      </c>
      <c r="I7291" s="64" t="s">
        <v>2872</v>
      </c>
      <c r="J7291" s="67">
        <v>0</v>
      </c>
      <c r="K7291" s="62">
        <v>16.73</v>
      </c>
      <c r="L7291" s="33" t="e">
        <f>HLOOKUP(B7291,#REF!,1,0)</f>
        <v>#REF!</v>
      </c>
      <c r="M7291" s="33" t="str">
        <f t="shared" si="455"/>
        <v>P&amp;L</v>
      </c>
    </row>
    <row r="7292" spans="1:13">
      <c r="A7292" s="33" t="str">
        <f t="shared" si="452"/>
        <v>SCL - Revenue</v>
      </c>
      <c r="B7292" s="33" t="str">
        <f t="shared" si="453"/>
        <v>SCL</v>
      </c>
      <c r="C7292" s="33" t="str">
        <f t="shared" si="454"/>
        <v>40002-7356</v>
      </c>
      <c r="D7292" s="64" t="s">
        <v>8541</v>
      </c>
      <c r="E7292" s="64" t="s">
        <v>2877</v>
      </c>
      <c r="F7292" s="64" t="s">
        <v>15</v>
      </c>
      <c r="G7292" s="64" t="s">
        <v>2870</v>
      </c>
      <c r="H7292" s="64" t="s">
        <v>2871</v>
      </c>
      <c r="I7292" s="64" t="s">
        <v>2872</v>
      </c>
      <c r="J7292" s="67">
        <v>0</v>
      </c>
      <c r="K7292" s="62">
        <v>0</v>
      </c>
      <c r="L7292" s="33" t="e">
        <f>HLOOKUP(B7292,#REF!,1,0)</f>
        <v>#REF!</v>
      </c>
      <c r="M7292" s="33" t="str">
        <f t="shared" si="455"/>
        <v>P&amp;L</v>
      </c>
    </row>
    <row r="7293" spans="1:13">
      <c r="A7293" s="33" t="str">
        <f t="shared" si="452"/>
        <v>SCL - Revenue</v>
      </c>
      <c r="B7293" s="33" t="str">
        <f t="shared" si="453"/>
        <v>SCL</v>
      </c>
      <c r="C7293" s="33" t="str">
        <f t="shared" si="454"/>
        <v>40002-7359</v>
      </c>
      <c r="D7293" s="64" t="s">
        <v>8542</v>
      </c>
      <c r="E7293" s="64" t="s">
        <v>2877</v>
      </c>
      <c r="F7293" s="64" t="s">
        <v>15</v>
      </c>
      <c r="G7293" s="64" t="s">
        <v>2870</v>
      </c>
      <c r="H7293" s="64" t="s">
        <v>2871</v>
      </c>
      <c r="I7293" s="64" t="s">
        <v>2872</v>
      </c>
      <c r="J7293" s="67">
        <v>0</v>
      </c>
      <c r="K7293" s="62">
        <v>10.73</v>
      </c>
      <c r="L7293" s="33" t="e">
        <f>HLOOKUP(B7293,#REF!,1,0)</f>
        <v>#REF!</v>
      </c>
      <c r="M7293" s="33" t="str">
        <f t="shared" si="455"/>
        <v>P&amp;L</v>
      </c>
    </row>
    <row r="7294" spans="1:13">
      <c r="A7294" s="33" t="str">
        <f t="shared" si="452"/>
        <v>SCL - Revenue</v>
      </c>
      <c r="B7294" s="33" t="str">
        <f t="shared" si="453"/>
        <v>SCL</v>
      </c>
      <c r="C7294" s="33" t="str">
        <f t="shared" si="454"/>
        <v>40002-7360</v>
      </c>
      <c r="D7294" s="64" t="s">
        <v>8543</v>
      </c>
      <c r="E7294" s="64" t="s">
        <v>2877</v>
      </c>
      <c r="F7294" s="64" t="s">
        <v>15</v>
      </c>
      <c r="G7294" s="64" t="s">
        <v>2870</v>
      </c>
      <c r="H7294" s="64" t="s">
        <v>2871</v>
      </c>
      <c r="I7294" s="64" t="s">
        <v>2872</v>
      </c>
      <c r="J7294" s="67">
        <v>0</v>
      </c>
      <c r="K7294" s="62">
        <v>14.72</v>
      </c>
      <c r="L7294" s="33" t="e">
        <f>HLOOKUP(B7294,#REF!,1,0)</f>
        <v>#REF!</v>
      </c>
      <c r="M7294" s="33" t="str">
        <f t="shared" si="455"/>
        <v>P&amp;L</v>
      </c>
    </row>
    <row r="7295" spans="1:13">
      <c r="A7295" s="33" t="str">
        <f t="shared" si="452"/>
        <v>SCL - Revenue</v>
      </c>
      <c r="B7295" s="33" t="str">
        <f t="shared" si="453"/>
        <v>SCL</v>
      </c>
      <c r="C7295" s="33" t="str">
        <f t="shared" si="454"/>
        <v>40002-7361</v>
      </c>
      <c r="D7295" s="64" t="s">
        <v>8544</v>
      </c>
      <c r="E7295" s="64" t="s">
        <v>2877</v>
      </c>
      <c r="F7295" s="64" t="s">
        <v>15</v>
      </c>
      <c r="G7295" s="64" t="s">
        <v>2870</v>
      </c>
      <c r="H7295" s="64" t="s">
        <v>2871</v>
      </c>
      <c r="I7295" s="64" t="s">
        <v>2872</v>
      </c>
      <c r="J7295" s="67">
        <v>0</v>
      </c>
      <c r="K7295" s="62">
        <v>-21.27</v>
      </c>
      <c r="L7295" s="33" t="e">
        <f>HLOOKUP(B7295,#REF!,1,0)</f>
        <v>#REF!</v>
      </c>
      <c r="M7295" s="33" t="str">
        <f t="shared" si="455"/>
        <v>P&amp;L</v>
      </c>
    </row>
    <row r="7296" spans="1:13">
      <c r="A7296" s="33" t="str">
        <f t="shared" si="452"/>
        <v>SCL - Revenue</v>
      </c>
      <c r="B7296" s="33" t="str">
        <f t="shared" si="453"/>
        <v>SCL</v>
      </c>
      <c r="C7296" s="33" t="str">
        <f t="shared" si="454"/>
        <v>40002-7362</v>
      </c>
      <c r="D7296" s="64" t="s">
        <v>8545</v>
      </c>
      <c r="E7296" s="64" t="s">
        <v>2877</v>
      </c>
      <c r="F7296" s="64" t="s">
        <v>15</v>
      </c>
      <c r="G7296" s="64" t="s">
        <v>2870</v>
      </c>
      <c r="H7296" s="64" t="s">
        <v>2871</v>
      </c>
      <c r="I7296" s="64" t="s">
        <v>2872</v>
      </c>
      <c r="J7296" s="67">
        <v>0</v>
      </c>
      <c r="K7296" s="62">
        <v>4.73</v>
      </c>
      <c r="L7296" s="33" t="e">
        <f>HLOOKUP(B7296,#REF!,1,0)</f>
        <v>#REF!</v>
      </c>
      <c r="M7296" s="33" t="str">
        <f t="shared" si="455"/>
        <v>P&amp;L</v>
      </c>
    </row>
    <row r="7297" spans="1:13">
      <c r="A7297" s="33" t="str">
        <f t="shared" si="452"/>
        <v>SCL - Revenue</v>
      </c>
      <c r="B7297" s="33" t="str">
        <f t="shared" si="453"/>
        <v>SCL</v>
      </c>
      <c r="C7297" s="33" t="str">
        <f t="shared" si="454"/>
        <v>40002-7363</v>
      </c>
      <c r="D7297" s="64" t="s">
        <v>8546</v>
      </c>
      <c r="E7297" s="64" t="s">
        <v>2877</v>
      </c>
      <c r="F7297" s="64" t="s">
        <v>15</v>
      </c>
      <c r="G7297" s="64" t="s">
        <v>2870</v>
      </c>
      <c r="H7297" s="64" t="s">
        <v>2871</v>
      </c>
      <c r="I7297" s="64" t="s">
        <v>2872</v>
      </c>
      <c r="J7297" s="67">
        <v>0</v>
      </c>
      <c r="K7297" s="62">
        <v>17.73</v>
      </c>
      <c r="L7297" s="33" t="e">
        <f>HLOOKUP(B7297,#REF!,1,0)</f>
        <v>#REF!</v>
      </c>
      <c r="M7297" s="33" t="str">
        <f t="shared" si="455"/>
        <v>P&amp;L</v>
      </c>
    </row>
    <row r="7298" spans="1:13">
      <c r="A7298" s="33" t="str">
        <f t="shared" ref="A7298:A7361" si="456">B7298&amp;" - "&amp;TRIM(H7298)</f>
        <v>SCL - Revenue</v>
      </c>
      <c r="B7298" s="33" t="str">
        <f t="shared" ref="B7298:B7361" si="457">LEFT(D7298,3)</f>
        <v>SCL</v>
      </c>
      <c r="C7298" s="33" t="str">
        <f t="shared" ref="C7298:C7361" si="458">RIGHT(D7298,10)</f>
        <v>40002-7364</v>
      </c>
      <c r="D7298" s="64" t="s">
        <v>8547</v>
      </c>
      <c r="E7298" s="64" t="s">
        <v>2877</v>
      </c>
      <c r="F7298" s="64" t="s">
        <v>15</v>
      </c>
      <c r="G7298" s="64" t="s">
        <v>2870</v>
      </c>
      <c r="H7298" s="64" t="s">
        <v>2871</v>
      </c>
      <c r="I7298" s="64" t="s">
        <v>2872</v>
      </c>
      <c r="J7298" s="67">
        <v>0</v>
      </c>
      <c r="K7298" s="62">
        <v>17.73</v>
      </c>
      <c r="L7298" s="33" t="e">
        <f>HLOOKUP(B7298,#REF!,1,0)</f>
        <v>#REF!</v>
      </c>
      <c r="M7298" s="33" t="str">
        <f t="shared" ref="M7298:M7361" si="459">IF(VALUE(LEFT(C7298,5))&gt;40000,"P&amp;L","BS")</f>
        <v>P&amp;L</v>
      </c>
    </row>
    <row r="7299" spans="1:13">
      <c r="A7299" s="33" t="str">
        <f t="shared" si="456"/>
        <v>SCL - Revenue</v>
      </c>
      <c r="B7299" s="33" t="str">
        <f t="shared" si="457"/>
        <v>SCL</v>
      </c>
      <c r="C7299" s="33" t="str">
        <f t="shared" si="458"/>
        <v>40002-7365</v>
      </c>
      <c r="D7299" s="64" t="s">
        <v>8548</v>
      </c>
      <c r="E7299" s="64" t="s">
        <v>2877</v>
      </c>
      <c r="F7299" s="64" t="s">
        <v>15</v>
      </c>
      <c r="G7299" s="64" t="s">
        <v>2870</v>
      </c>
      <c r="H7299" s="64" t="s">
        <v>2871</v>
      </c>
      <c r="I7299" s="64" t="s">
        <v>2872</v>
      </c>
      <c r="J7299" s="67">
        <v>0</v>
      </c>
      <c r="K7299" s="62">
        <v>12.73</v>
      </c>
      <c r="L7299" s="33" t="e">
        <f>HLOOKUP(B7299,#REF!,1,0)</f>
        <v>#REF!</v>
      </c>
      <c r="M7299" s="33" t="str">
        <f t="shared" si="459"/>
        <v>P&amp;L</v>
      </c>
    </row>
    <row r="7300" spans="1:13">
      <c r="A7300" s="33" t="str">
        <f t="shared" si="456"/>
        <v>SCL - Revenue</v>
      </c>
      <c r="B7300" s="33" t="str">
        <f t="shared" si="457"/>
        <v>SCL</v>
      </c>
      <c r="C7300" s="33" t="str">
        <f t="shared" si="458"/>
        <v>40002-7366</v>
      </c>
      <c r="D7300" s="64" t="s">
        <v>8549</v>
      </c>
      <c r="E7300" s="64" t="s">
        <v>2877</v>
      </c>
      <c r="F7300" s="64" t="s">
        <v>15</v>
      </c>
      <c r="G7300" s="64" t="s">
        <v>2870</v>
      </c>
      <c r="H7300" s="64" t="s">
        <v>2871</v>
      </c>
      <c r="I7300" s="64" t="s">
        <v>2872</v>
      </c>
      <c r="J7300" s="67">
        <v>0</v>
      </c>
      <c r="K7300" s="62">
        <v>-5.27</v>
      </c>
      <c r="L7300" s="33" t="e">
        <f>HLOOKUP(B7300,#REF!,1,0)</f>
        <v>#REF!</v>
      </c>
      <c r="M7300" s="33" t="str">
        <f t="shared" si="459"/>
        <v>P&amp;L</v>
      </c>
    </row>
    <row r="7301" spans="1:13">
      <c r="A7301" s="33" t="str">
        <f t="shared" si="456"/>
        <v>SCL - Revenue</v>
      </c>
      <c r="B7301" s="33" t="str">
        <f t="shared" si="457"/>
        <v>SCL</v>
      </c>
      <c r="C7301" s="33" t="str">
        <f t="shared" si="458"/>
        <v>40002-7368</v>
      </c>
      <c r="D7301" s="64" t="s">
        <v>8550</v>
      </c>
      <c r="E7301" s="64" t="s">
        <v>2877</v>
      </c>
      <c r="F7301" s="64" t="s">
        <v>15</v>
      </c>
      <c r="G7301" s="64" t="s">
        <v>2870</v>
      </c>
      <c r="H7301" s="64" t="s">
        <v>2871</v>
      </c>
      <c r="I7301" s="64" t="s">
        <v>2872</v>
      </c>
      <c r="J7301" s="67">
        <v>0</v>
      </c>
      <c r="K7301" s="62">
        <v>9.73</v>
      </c>
      <c r="L7301" s="33" t="e">
        <f>HLOOKUP(B7301,#REF!,1,0)</f>
        <v>#REF!</v>
      </c>
      <c r="M7301" s="33" t="str">
        <f t="shared" si="459"/>
        <v>P&amp;L</v>
      </c>
    </row>
    <row r="7302" spans="1:13">
      <c r="A7302" s="33" t="str">
        <f t="shared" si="456"/>
        <v>SCL - Revenue</v>
      </c>
      <c r="B7302" s="33" t="str">
        <f t="shared" si="457"/>
        <v>SCL</v>
      </c>
      <c r="C7302" s="33" t="str">
        <f t="shared" si="458"/>
        <v>40002-7369</v>
      </c>
      <c r="D7302" s="64" t="s">
        <v>8551</v>
      </c>
      <c r="E7302" s="64" t="s">
        <v>2877</v>
      </c>
      <c r="F7302" s="64" t="s">
        <v>15</v>
      </c>
      <c r="G7302" s="64" t="s">
        <v>2870</v>
      </c>
      <c r="H7302" s="64" t="s">
        <v>2871</v>
      </c>
      <c r="I7302" s="64" t="s">
        <v>2872</v>
      </c>
      <c r="J7302" s="67">
        <v>0</v>
      </c>
      <c r="K7302" s="62">
        <v>16.73</v>
      </c>
      <c r="L7302" s="33" t="e">
        <f>HLOOKUP(B7302,#REF!,1,0)</f>
        <v>#REF!</v>
      </c>
      <c r="M7302" s="33" t="str">
        <f t="shared" si="459"/>
        <v>P&amp;L</v>
      </c>
    </row>
    <row r="7303" spans="1:13">
      <c r="A7303" s="33" t="str">
        <f t="shared" si="456"/>
        <v>SCL - Revenue</v>
      </c>
      <c r="B7303" s="33" t="str">
        <f t="shared" si="457"/>
        <v>SCL</v>
      </c>
      <c r="C7303" s="33" t="str">
        <f t="shared" si="458"/>
        <v>40002-7370</v>
      </c>
      <c r="D7303" s="64" t="s">
        <v>8552</v>
      </c>
      <c r="E7303" s="64" t="s">
        <v>2877</v>
      </c>
      <c r="F7303" s="64" t="s">
        <v>15</v>
      </c>
      <c r="G7303" s="64" t="s">
        <v>2870</v>
      </c>
      <c r="H7303" s="64" t="s">
        <v>2871</v>
      </c>
      <c r="I7303" s="64" t="s">
        <v>2872</v>
      </c>
      <c r="J7303" s="67">
        <v>0</v>
      </c>
      <c r="K7303" s="62">
        <v>0</v>
      </c>
      <c r="L7303" s="33" t="e">
        <f>HLOOKUP(B7303,#REF!,1,0)</f>
        <v>#REF!</v>
      </c>
      <c r="M7303" s="33" t="str">
        <f t="shared" si="459"/>
        <v>P&amp;L</v>
      </c>
    </row>
    <row r="7304" spans="1:13">
      <c r="A7304" s="33" t="str">
        <f t="shared" si="456"/>
        <v>SCL - Revenue</v>
      </c>
      <c r="B7304" s="33" t="str">
        <f t="shared" si="457"/>
        <v>SCL</v>
      </c>
      <c r="C7304" s="33" t="str">
        <f t="shared" si="458"/>
        <v>40002-7371</v>
      </c>
      <c r="D7304" s="64" t="s">
        <v>8553</v>
      </c>
      <c r="E7304" s="64" t="s">
        <v>2877</v>
      </c>
      <c r="F7304" s="64" t="s">
        <v>15</v>
      </c>
      <c r="G7304" s="64" t="s">
        <v>2870</v>
      </c>
      <c r="H7304" s="64" t="s">
        <v>2871</v>
      </c>
      <c r="I7304" s="64" t="s">
        <v>2872</v>
      </c>
      <c r="J7304" s="67">
        <v>0</v>
      </c>
      <c r="K7304" s="62">
        <v>17.73</v>
      </c>
      <c r="L7304" s="33" t="e">
        <f>HLOOKUP(B7304,#REF!,1,0)</f>
        <v>#REF!</v>
      </c>
      <c r="M7304" s="33" t="str">
        <f t="shared" si="459"/>
        <v>P&amp;L</v>
      </c>
    </row>
    <row r="7305" spans="1:13">
      <c r="A7305" s="33" t="str">
        <f t="shared" si="456"/>
        <v>SCL - Revenue</v>
      </c>
      <c r="B7305" s="33" t="str">
        <f t="shared" si="457"/>
        <v>SCL</v>
      </c>
      <c r="C7305" s="33" t="str">
        <f t="shared" si="458"/>
        <v>40002-7374</v>
      </c>
      <c r="D7305" s="64" t="s">
        <v>8554</v>
      </c>
      <c r="E7305" s="64" t="s">
        <v>2877</v>
      </c>
      <c r="F7305" s="64" t="s">
        <v>15</v>
      </c>
      <c r="G7305" s="64" t="s">
        <v>2870</v>
      </c>
      <c r="H7305" s="64" t="s">
        <v>2871</v>
      </c>
      <c r="I7305" s="64" t="s">
        <v>2872</v>
      </c>
      <c r="J7305" s="67">
        <v>0</v>
      </c>
      <c r="K7305" s="62">
        <v>5.73</v>
      </c>
      <c r="L7305" s="33" t="e">
        <f>HLOOKUP(B7305,#REF!,1,0)</f>
        <v>#REF!</v>
      </c>
      <c r="M7305" s="33" t="str">
        <f t="shared" si="459"/>
        <v>P&amp;L</v>
      </c>
    </row>
    <row r="7306" spans="1:13">
      <c r="A7306" s="33" t="str">
        <f t="shared" si="456"/>
        <v>SCL - Revenue</v>
      </c>
      <c r="B7306" s="33" t="str">
        <f t="shared" si="457"/>
        <v>SCL</v>
      </c>
      <c r="C7306" s="33" t="str">
        <f t="shared" si="458"/>
        <v>40002-7375</v>
      </c>
      <c r="D7306" s="64" t="s">
        <v>8555</v>
      </c>
      <c r="E7306" s="64" t="s">
        <v>2877</v>
      </c>
      <c r="F7306" s="64" t="s">
        <v>15</v>
      </c>
      <c r="G7306" s="64" t="s">
        <v>2870</v>
      </c>
      <c r="H7306" s="64" t="s">
        <v>2871</v>
      </c>
      <c r="I7306" s="64" t="s">
        <v>2872</v>
      </c>
      <c r="J7306" s="67">
        <v>-2</v>
      </c>
      <c r="K7306" s="62">
        <v>14.73</v>
      </c>
      <c r="L7306" s="33" t="e">
        <f>HLOOKUP(B7306,#REF!,1,0)</f>
        <v>#REF!</v>
      </c>
      <c r="M7306" s="33" t="str">
        <f t="shared" si="459"/>
        <v>P&amp;L</v>
      </c>
    </row>
    <row r="7307" spans="1:13">
      <c r="A7307" s="33" t="str">
        <f t="shared" si="456"/>
        <v>SCL - Revenue</v>
      </c>
      <c r="B7307" s="33" t="str">
        <f t="shared" si="457"/>
        <v>SCL</v>
      </c>
      <c r="C7307" s="33" t="str">
        <f t="shared" si="458"/>
        <v>40002-7376</v>
      </c>
      <c r="D7307" s="64" t="s">
        <v>8556</v>
      </c>
      <c r="E7307" s="64" t="s">
        <v>2877</v>
      </c>
      <c r="F7307" s="64" t="s">
        <v>15</v>
      </c>
      <c r="G7307" s="64" t="s">
        <v>2870</v>
      </c>
      <c r="H7307" s="64" t="s">
        <v>2871</v>
      </c>
      <c r="I7307" s="64" t="s">
        <v>2872</v>
      </c>
      <c r="J7307" s="67">
        <v>0</v>
      </c>
      <c r="K7307" s="62">
        <v>17.73</v>
      </c>
      <c r="L7307" s="33" t="e">
        <f>HLOOKUP(B7307,#REF!,1,0)</f>
        <v>#REF!</v>
      </c>
      <c r="M7307" s="33" t="str">
        <f t="shared" si="459"/>
        <v>P&amp;L</v>
      </c>
    </row>
    <row r="7308" spans="1:13">
      <c r="A7308" s="33" t="str">
        <f t="shared" si="456"/>
        <v>SCL - Revenue</v>
      </c>
      <c r="B7308" s="33" t="str">
        <f t="shared" si="457"/>
        <v>SCL</v>
      </c>
      <c r="C7308" s="33" t="str">
        <f t="shared" si="458"/>
        <v>40002-7377</v>
      </c>
      <c r="D7308" s="64" t="s">
        <v>8557</v>
      </c>
      <c r="E7308" s="64" t="s">
        <v>2877</v>
      </c>
      <c r="F7308" s="64" t="s">
        <v>15</v>
      </c>
      <c r="G7308" s="64" t="s">
        <v>2870</v>
      </c>
      <c r="H7308" s="64" t="s">
        <v>2871</v>
      </c>
      <c r="I7308" s="64" t="s">
        <v>2872</v>
      </c>
      <c r="J7308" s="67">
        <v>0</v>
      </c>
      <c r="K7308" s="62">
        <v>6.73</v>
      </c>
      <c r="L7308" s="33" t="e">
        <f>HLOOKUP(B7308,#REF!,1,0)</f>
        <v>#REF!</v>
      </c>
      <c r="M7308" s="33" t="str">
        <f t="shared" si="459"/>
        <v>P&amp;L</v>
      </c>
    </row>
    <row r="7309" spans="1:13">
      <c r="A7309" s="33" t="str">
        <f t="shared" si="456"/>
        <v>SCL - Revenue</v>
      </c>
      <c r="B7309" s="33" t="str">
        <f t="shared" si="457"/>
        <v>SCL</v>
      </c>
      <c r="C7309" s="33" t="str">
        <f t="shared" si="458"/>
        <v>40002-7378</v>
      </c>
      <c r="D7309" s="64" t="s">
        <v>8558</v>
      </c>
      <c r="E7309" s="64" t="s">
        <v>2877</v>
      </c>
      <c r="F7309" s="64" t="s">
        <v>15</v>
      </c>
      <c r="G7309" s="64" t="s">
        <v>2870</v>
      </c>
      <c r="H7309" s="64" t="s">
        <v>2871</v>
      </c>
      <c r="I7309" s="64" t="s">
        <v>2872</v>
      </c>
      <c r="J7309" s="67">
        <v>0</v>
      </c>
      <c r="K7309" s="62">
        <v>8.73</v>
      </c>
      <c r="L7309" s="33" t="e">
        <f>HLOOKUP(B7309,#REF!,1,0)</f>
        <v>#REF!</v>
      </c>
      <c r="M7309" s="33" t="str">
        <f t="shared" si="459"/>
        <v>P&amp;L</v>
      </c>
    </row>
    <row r="7310" spans="1:13">
      <c r="A7310" s="33" t="str">
        <f t="shared" si="456"/>
        <v>SCL - Revenue</v>
      </c>
      <c r="B7310" s="33" t="str">
        <f t="shared" si="457"/>
        <v>SCL</v>
      </c>
      <c r="C7310" s="33" t="str">
        <f t="shared" si="458"/>
        <v>40002-7379</v>
      </c>
      <c r="D7310" s="64" t="s">
        <v>8559</v>
      </c>
      <c r="E7310" s="64" t="s">
        <v>2877</v>
      </c>
      <c r="F7310" s="64" t="s">
        <v>15</v>
      </c>
      <c r="G7310" s="64" t="s">
        <v>2870</v>
      </c>
      <c r="H7310" s="64" t="s">
        <v>2871</v>
      </c>
      <c r="I7310" s="64" t="s">
        <v>2872</v>
      </c>
      <c r="J7310" s="67">
        <v>0</v>
      </c>
      <c r="K7310" s="62">
        <v>12.73</v>
      </c>
      <c r="L7310" s="33" t="e">
        <f>HLOOKUP(B7310,#REF!,1,0)</f>
        <v>#REF!</v>
      </c>
      <c r="M7310" s="33" t="str">
        <f t="shared" si="459"/>
        <v>P&amp;L</v>
      </c>
    </row>
    <row r="7311" spans="1:13">
      <c r="A7311" s="33" t="str">
        <f t="shared" si="456"/>
        <v>SCL - Revenue</v>
      </c>
      <c r="B7311" s="33" t="str">
        <f t="shared" si="457"/>
        <v>SCL</v>
      </c>
      <c r="C7311" s="33" t="str">
        <f t="shared" si="458"/>
        <v>40002-7380</v>
      </c>
      <c r="D7311" s="64" t="s">
        <v>8560</v>
      </c>
      <c r="E7311" s="64" t="s">
        <v>2877</v>
      </c>
      <c r="F7311" s="64" t="s">
        <v>15</v>
      </c>
      <c r="G7311" s="64" t="s">
        <v>2870</v>
      </c>
      <c r="H7311" s="64" t="s">
        <v>2871</v>
      </c>
      <c r="I7311" s="64" t="s">
        <v>2872</v>
      </c>
      <c r="J7311" s="67">
        <v>0</v>
      </c>
      <c r="K7311" s="62">
        <v>0.73</v>
      </c>
      <c r="L7311" s="33" t="e">
        <f>HLOOKUP(B7311,#REF!,1,0)</f>
        <v>#REF!</v>
      </c>
      <c r="M7311" s="33" t="str">
        <f t="shared" si="459"/>
        <v>P&amp;L</v>
      </c>
    </row>
    <row r="7312" spans="1:13">
      <c r="A7312" s="33" t="str">
        <f t="shared" si="456"/>
        <v>SCL - Revenue</v>
      </c>
      <c r="B7312" s="33" t="str">
        <f t="shared" si="457"/>
        <v>SCL</v>
      </c>
      <c r="C7312" s="33" t="str">
        <f t="shared" si="458"/>
        <v>40002-7381</v>
      </c>
      <c r="D7312" s="64" t="s">
        <v>8561</v>
      </c>
      <c r="E7312" s="64" t="s">
        <v>2877</v>
      </c>
      <c r="F7312" s="64" t="s">
        <v>15</v>
      </c>
      <c r="G7312" s="64" t="s">
        <v>2870</v>
      </c>
      <c r="H7312" s="64" t="s">
        <v>2871</v>
      </c>
      <c r="I7312" s="64" t="s">
        <v>2872</v>
      </c>
      <c r="J7312" s="67">
        <v>0</v>
      </c>
      <c r="K7312" s="62">
        <v>13.73</v>
      </c>
      <c r="L7312" s="33" t="e">
        <f>HLOOKUP(B7312,#REF!,1,0)</f>
        <v>#REF!</v>
      </c>
      <c r="M7312" s="33" t="str">
        <f t="shared" si="459"/>
        <v>P&amp;L</v>
      </c>
    </row>
    <row r="7313" spans="1:13">
      <c r="A7313" s="33" t="str">
        <f t="shared" si="456"/>
        <v>SCL - Revenue</v>
      </c>
      <c r="B7313" s="33" t="str">
        <f t="shared" si="457"/>
        <v>SCL</v>
      </c>
      <c r="C7313" s="33" t="str">
        <f t="shared" si="458"/>
        <v>40002-7383</v>
      </c>
      <c r="D7313" s="64" t="s">
        <v>8562</v>
      </c>
      <c r="E7313" s="64" t="s">
        <v>2877</v>
      </c>
      <c r="F7313" s="64" t="s">
        <v>15</v>
      </c>
      <c r="G7313" s="64" t="s">
        <v>2870</v>
      </c>
      <c r="H7313" s="64" t="s">
        <v>2871</v>
      </c>
      <c r="I7313" s="64" t="s">
        <v>2872</v>
      </c>
      <c r="J7313" s="67">
        <v>0</v>
      </c>
      <c r="K7313" s="62">
        <v>9.73</v>
      </c>
      <c r="L7313" s="33" t="e">
        <f>HLOOKUP(B7313,#REF!,1,0)</f>
        <v>#REF!</v>
      </c>
      <c r="M7313" s="33" t="str">
        <f t="shared" si="459"/>
        <v>P&amp;L</v>
      </c>
    </row>
    <row r="7314" spans="1:13">
      <c r="A7314" s="33" t="str">
        <f t="shared" si="456"/>
        <v>SCL - Revenue</v>
      </c>
      <c r="B7314" s="33" t="str">
        <f t="shared" si="457"/>
        <v>SCL</v>
      </c>
      <c r="C7314" s="33" t="str">
        <f t="shared" si="458"/>
        <v>40002-7385</v>
      </c>
      <c r="D7314" s="64" t="s">
        <v>8563</v>
      </c>
      <c r="E7314" s="64" t="s">
        <v>2877</v>
      </c>
      <c r="F7314" s="64" t="s">
        <v>15</v>
      </c>
      <c r="G7314" s="64" t="s">
        <v>2870</v>
      </c>
      <c r="H7314" s="64" t="s">
        <v>2871</v>
      </c>
      <c r="I7314" s="64" t="s">
        <v>2872</v>
      </c>
      <c r="J7314" s="67">
        <v>0</v>
      </c>
      <c r="K7314" s="62">
        <v>-11.27</v>
      </c>
      <c r="L7314" s="33" t="e">
        <f>HLOOKUP(B7314,#REF!,1,0)</f>
        <v>#REF!</v>
      </c>
      <c r="M7314" s="33" t="str">
        <f t="shared" si="459"/>
        <v>P&amp;L</v>
      </c>
    </row>
    <row r="7315" spans="1:13">
      <c r="A7315" s="33" t="str">
        <f t="shared" si="456"/>
        <v>SCL - Revenue</v>
      </c>
      <c r="B7315" s="33" t="str">
        <f t="shared" si="457"/>
        <v>SCL</v>
      </c>
      <c r="C7315" s="33" t="str">
        <f t="shared" si="458"/>
        <v>40002-7386</v>
      </c>
      <c r="D7315" s="64" t="s">
        <v>8564</v>
      </c>
      <c r="E7315" s="64" t="s">
        <v>2877</v>
      </c>
      <c r="F7315" s="64" t="s">
        <v>15</v>
      </c>
      <c r="G7315" s="64" t="s">
        <v>2870</v>
      </c>
      <c r="H7315" s="64" t="s">
        <v>2871</v>
      </c>
      <c r="I7315" s="64" t="s">
        <v>2872</v>
      </c>
      <c r="J7315" s="67">
        <v>0</v>
      </c>
      <c r="K7315" s="62">
        <v>-86.27</v>
      </c>
      <c r="L7315" s="33" t="e">
        <f>HLOOKUP(B7315,#REF!,1,0)</f>
        <v>#REF!</v>
      </c>
      <c r="M7315" s="33" t="str">
        <f t="shared" si="459"/>
        <v>P&amp;L</v>
      </c>
    </row>
    <row r="7316" spans="1:13">
      <c r="A7316" s="33" t="str">
        <f t="shared" si="456"/>
        <v>SCL - Revenue</v>
      </c>
      <c r="B7316" s="33" t="str">
        <f t="shared" si="457"/>
        <v>SCL</v>
      </c>
      <c r="C7316" s="33" t="str">
        <f t="shared" si="458"/>
        <v>40002-7387</v>
      </c>
      <c r="D7316" s="64" t="s">
        <v>8565</v>
      </c>
      <c r="E7316" s="64" t="s">
        <v>2877</v>
      </c>
      <c r="F7316" s="64" t="s">
        <v>15</v>
      </c>
      <c r="G7316" s="64" t="s">
        <v>2870</v>
      </c>
      <c r="H7316" s="64" t="s">
        <v>2871</v>
      </c>
      <c r="I7316" s="64" t="s">
        <v>2872</v>
      </c>
      <c r="J7316" s="67">
        <v>0</v>
      </c>
      <c r="K7316" s="62">
        <v>-3.27</v>
      </c>
      <c r="L7316" s="33" t="e">
        <f>HLOOKUP(B7316,#REF!,1,0)</f>
        <v>#REF!</v>
      </c>
      <c r="M7316" s="33" t="str">
        <f t="shared" si="459"/>
        <v>P&amp;L</v>
      </c>
    </row>
    <row r="7317" spans="1:13">
      <c r="A7317" s="33" t="str">
        <f t="shared" si="456"/>
        <v>SCL - Revenue</v>
      </c>
      <c r="B7317" s="33" t="str">
        <f t="shared" si="457"/>
        <v>SCL</v>
      </c>
      <c r="C7317" s="33" t="str">
        <f t="shared" si="458"/>
        <v>40002-7389</v>
      </c>
      <c r="D7317" s="64" t="s">
        <v>8566</v>
      </c>
      <c r="E7317" s="64" t="s">
        <v>2877</v>
      </c>
      <c r="F7317" s="64" t="s">
        <v>15</v>
      </c>
      <c r="G7317" s="64" t="s">
        <v>2870</v>
      </c>
      <c r="H7317" s="64" t="s">
        <v>2871</v>
      </c>
      <c r="I7317" s="64" t="s">
        <v>2872</v>
      </c>
      <c r="J7317" s="67">
        <v>0</v>
      </c>
      <c r="K7317" s="62">
        <v>-46.27</v>
      </c>
      <c r="L7317" s="33" t="e">
        <f>HLOOKUP(B7317,#REF!,1,0)</f>
        <v>#REF!</v>
      </c>
      <c r="M7317" s="33" t="str">
        <f t="shared" si="459"/>
        <v>P&amp;L</v>
      </c>
    </row>
    <row r="7318" spans="1:13">
      <c r="A7318" s="33" t="str">
        <f t="shared" si="456"/>
        <v>SCL - Revenue</v>
      </c>
      <c r="B7318" s="33" t="str">
        <f t="shared" si="457"/>
        <v>SCL</v>
      </c>
      <c r="C7318" s="33" t="str">
        <f t="shared" si="458"/>
        <v>40002-7391</v>
      </c>
      <c r="D7318" s="64" t="s">
        <v>8567</v>
      </c>
      <c r="E7318" s="64" t="s">
        <v>2877</v>
      </c>
      <c r="F7318" s="64" t="s">
        <v>15</v>
      </c>
      <c r="G7318" s="64" t="s">
        <v>2870</v>
      </c>
      <c r="H7318" s="64" t="s">
        <v>2871</v>
      </c>
      <c r="I7318" s="64" t="s">
        <v>2872</v>
      </c>
      <c r="J7318" s="67">
        <v>0</v>
      </c>
      <c r="K7318" s="62">
        <v>-8.27</v>
      </c>
      <c r="L7318" s="33" t="e">
        <f>HLOOKUP(B7318,#REF!,1,0)</f>
        <v>#REF!</v>
      </c>
      <c r="M7318" s="33" t="str">
        <f t="shared" si="459"/>
        <v>P&amp;L</v>
      </c>
    </row>
    <row r="7319" spans="1:13">
      <c r="A7319" s="33" t="str">
        <f t="shared" si="456"/>
        <v>SCL - Revenue</v>
      </c>
      <c r="B7319" s="33" t="str">
        <f t="shared" si="457"/>
        <v>SCL</v>
      </c>
      <c r="C7319" s="33" t="str">
        <f t="shared" si="458"/>
        <v>40002-7393</v>
      </c>
      <c r="D7319" s="64" t="s">
        <v>8568</v>
      </c>
      <c r="E7319" s="64" t="s">
        <v>2877</v>
      </c>
      <c r="F7319" s="64" t="s">
        <v>15</v>
      </c>
      <c r="G7319" s="64" t="s">
        <v>2870</v>
      </c>
      <c r="H7319" s="64" t="s">
        <v>2871</v>
      </c>
      <c r="I7319" s="64" t="s">
        <v>2872</v>
      </c>
      <c r="J7319" s="67">
        <v>0</v>
      </c>
      <c r="K7319" s="62">
        <v>9.73</v>
      </c>
      <c r="L7319" s="33" t="e">
        <f>HLOOKUP(B7319,#REF!,1,0)</f>
        <v>#REF!</v>
      </c>
      <c r="M7319" s="33" t="str">
        <f t="shared" si="459"/>
        <v>P&amp;L</v>
      </c>
    </row>
    <row r="7320" spans="1:13">
      <c r="A7320" s="33" t="str">
        <f t="shared" si="456"/>
        <v>SCL - Revenue</v>
      </c>
      <c r="B7320" s="33" t="str">
        <f t="shared" si="457"/>
        <v>SCL</v>
      </c>
      <c r="C7320" s="33" t="str">
        <f t="shared" si="458"/>
        <v>40002-7394</v>
      </c>
      <c r="D7320" s="64" t="s">
        <v>8569</v>
      </c>
      <c r="E7320" s="64" t="s">
        <v>2877</v>
      </c>
      <c r="F7320" s="64" t="s">
        <v>15</v>
      </c>
      <c r="G7320" s="64" t="s">
        <v>2870</v>
      </c>
      <c r="H7320" s="64" t="s">
        <v>2871</v>
      </c>
      <c r="I7320" s="64" t="s">
        <v>2872</v>
      </c>
      <c r="J7320" s="67">
        <v>-1</v>
      </c>
      <c r="K7320" s="62">
        <v>-25.27</v>
      </c>
      <c r="L7320" s="33" t="e">
        <f>HLOOKUP(B7320,#REF!,1,0)</f>
        <v>#REF!</v>
      </c>
      <c r="M7320" s="33" t="str">
        <f t="shared" si="459"/>
        <v>P&amp;L</v>
      </c>
    </row>
    <row r="7321" spans="1:13">
      <c r="A7321" s="33" t="str">
        <f t="shared" si="456"/>
        <v>SCL - Revenue</v>
      </c>
      <c r="B7321" s="33" t="str">
        <f t="shared" si="457"/>
        <v>SCL</v>
      </c>
      <c r="C7321" s="33" t="str">
        <f t="shared" si="458"/>
        <v>40002-7396</v>
      </c>
      <c r="D7321" s="64" t="s">
        <v>8570</v>
      </c>
      <c r="E7321" s="64" t="s">
        <v>2877</v>
      </c>
      <c r="F7321" s="64" t="s">
        <v>15</v>
      </c>
      <c r="G7321" s="64" t="s">
        <v>2870</v>
      </c>
      <c r="H7321" s="64" t="s">
        <v>2871</v>
      </c>
      <c r="I7321" s="64" t="s">
        <v>2872</v>
      </c>
      <c r="J7321" s="67">
        <v>0</v>
      </c>
      <c r="K7321" s="62">
        <v>-989.27</v>
      </c>
      <c r="L7321" s="33" t="e">
        <f>HLOOKUP(B7321,#REF!,1,0)</f>
        <v>#REF!</v>
      </c>
      <c r="M7321" s="33" t="str">
        <f t="shared" si="459"/>
        <v>P&amp;L</v>
      </c>
    </row>
    <row r="7322" spans="1:13">
      <c r="A7322" s="33" t="str">
        <f t="shared" si="456"/>
        <v>SCL - Revenue</v>
      </c>
      <c r="B7322" s="33" t="str">
        <f t="shared" si="457"/>
        <v>SCL</v>
      </c>
      <c r="C7322" s="33" t="str">
        <f t="shared" si="458"/>
        <v>40002-7397</v>
      </c>
      <c r="D7322" s="64" t="s">
        <v>8571</v>
      </c>
      <c r="E7322" s="64" t="s">
        <v>2877</v>
      </c>
      <c r="F7322" s="64" t="s">
        <v>15</v>
      </c>
      <c r="G7322" s="64" t="s">
        <v>2870</v>
      </c>
      <c r="H7322" s="64" t="s">
        <v>2871</v>
      </c>
      <c r="I7322" s="64" t="s">
        <v>2872</v>
      </c>
      <c r="J7322" s="67">
        <v>0</v>
      </c>
      <c r="K7322" s="62">
        <v>-33.27</v>
      </c>
      <c r="L7322" s="33" t="e">
        <f>HLOOKUP(B7322,#REF!,1,0)</f>
        <v>#REF!</v>
      </c>
      <c r="M7322" s="33" t="str">
        <f t="shared" si="459"/>
        <v>P&amp;L</v>
      </c>
    </row>
    <row r="7323" spans="1:13">
      <c r="A7323" s="33" t="str">
        <f t="shared" si="456"/>
        <v>SCL - Revenue</v>
      </c>
      <c r="B7323" s="33" t="str">
        <f t="shared" si="457"/>
        <v>SCL</v>
      </c>
      <c r="C7323" s="33" t="str">
        <f t="shared" si="458"/>
        <v>40002-7398</v>
      </c>
      <c r="D7323" s="64" t="s">
        <v>8572</v>
      </c>
      <c r="E7323" s="64" t="s">
        <v>2877</v>
      </c>
      <c r="F7323" s="64" t="s">
        <v>15</v>
      </c>
      <c r="G7323" s="64" t="s">
        <v>2870</v>
      </c>
      <c r="H7323" s="64" t="s">
        <v>2871</v>
      </c>
      <c r="I7323" s="64" t="s">
        <v>2872</v>
      </c>
      <c r="J7323" s="67">
        <v>0</v>
      </c>
      <c r="K7323" s="62">
        <v>0.72</v>
      </c>
      <c r="L7323" s="33" t="e">
        <f>HLOOKUP(B7323,#REF!,1,0)</f>
        <v>#REF!</v>
      </c>
      <c r="M7323" s="33" t="str">
        <f t="shared" si="459"/>
        <v>P&amp;L</v>
      </c>
    </row>
    <row r="7324" spans="1:13">
      <c r="A7324" s="33" t="str">
        <f t="shared" si="456"/>
        <v>SCL - Revenue</v>
      </c>
      <c r="B7324" s="33" t="str">
        <f t="shared" si="457"/>
        <v>SCL</v>
      </c>
      <c r="C7324" s="33" t="str">
        <f t="shared" si="458"/>
        <v>40002-7400</v>
      </c>
      <c r="D7324" s="64" t="s">
        <v>8573</v>
      </c>
      <c r="E7324" s="64" t="s">
        <v>2877</v>
      </c>
      <c r="F7324" s="64" t="s">
        <v>15</v>
      </c>
      <c r="G7324" s="64" t="s">
        <v>2870</v>
      </c>
      <c r="H7324" s="64" t="s">
        <v>2871</v>
      </c>
      <c r="I7324" s="64" t="s">
        <v>2872</v>
      </c>
      <c r="J7324" s="67">
        <v>0</v>
      </c>
      <c r="K7324" s="62">
        <v>14.72</v>
      </c>
      <c r="L7324" s="33" t="e">
        <f>HLOOKUP(B7324,#REF!,1,0)</f>
        <v>#REF!</v>
      </c>
      <c r="M7324" s="33" t="str">
        <f t="shared" si="459"/>
        <v>P&amp;L</v>
      </c>
    </row>
    <row r="7325" spans="1:13">
      <c r="A7325" s="33" t="str">
        <f t="shared" si="456"/>
        <v>SCL - Revenue</v>
      </c>
      <c r="B7325" s="33" t="str">
        <f t="shared" si="457"/>
        <v>SCL</v>
      </c>
      <c r="C7325" s="33" t="str">
        <f t="shared" si="458"/>
        <v>40002-7401</v>
      </c>
      <c r="D7325" s="64" t="s">
        <v>8574</v>
      </c>
      <c r="E7325" s="64" t="s">
        <v>2877</v>
      </c>
      <c r="F7325" s="64" t="s">
        <v>15</v>
      </c>
      <c r="G7325" s="64" t="s">
        <v>2870</v>
      </c>
      <c r="H7325" s="64" t="s">
        <v>2871</v>
      </c>
      <c r="I7325" s="64" t="s">
        <v>2872</v>
      </c>
      <c r="J7325" s="67">
        <v>0</v>
      </c>
      <c r="K7325" s="62">
        <v>11.72</v>
      </c>
      <c r="L7325" s="33" t="e">
        <f>HLOOKUP(B7325,#REF!,1,0)</f>
        <v>#REF!</v>
      </c>
      <c r="M7325" s="33" t="str">
        <f t="shared" si="459"/>
        <v>P&amp;L</v>
      </c>
    </row>
    <row r="7326" spans="1:13">
      <c r="A7326" s="33" t="str">
        <f t="shared" si="456"/>
        <v>SCL - Revenue</v>
      </c>
      <c r="B7326" s="33" t="str">
        <f t="shared" si="457"/>
        <v>SCL</v>
      </c>
      <c r="C7326" s="33" t="str">
        <f t="shared" si="458"/>
        <v>40002-7402</v>
      </c>
      <c r="D7326" s="64" t="s">
        <v>8575</v>
      </c>
      <c r="E7326" s="64" t="s">
        <v>2877</v>
      </c>
      <c r="F7326" s="64" t="s">
        <v>15</v>
      </c>
      <c r="G7326" s="64" t="s">
        <v>2870</v>
      </c>
      <c r="H7326" s="64" t="s">
        <v>2871</v>
      </c>
      <c r="I7326" s="64" t="s">
        <v>2872</v>
      </c>
      <c r="J7326" s="67">
        <v>0</v>
      </c>
      <c r="K7326" s="62">
        <v>-6.28</v>
      </c>
      <c r="L7326" s="33" t="e">
        <f>HLOOKUP(B7326,#REF!,1,0)</f>
        <v>#REF!</v>
      </c>
      <c r="M7326" s="33" t="str">
        <f t="shared" si="459"/>
        <v>P&amp;L</v>
      </c>
    </row>
    <row r="7327" spans="1:13">
      <c r="A7327" s="33" t="str">
        <f t="shared" si="456"/>
        <v>SCL - Revenue</v>
      </c>
      <c r="B7327" s="33" t="str">
        <f t="shared" si="457"/>
        <v>SCL</v>
      </c>
      <c r="C7327" s="33" t="str">
        <f t="shared" si="458"/>
        <v>40002-7403</v>
      </c>
      <c r="D7327" s="64" t="s">
        <v>8576</v>
      </c>
      <c r="E7327" s="64" t="s">
        <v>2877</v>
      </c>
      <c r="F7327" s="64" t="s">
        <v>15</v>
      </c>
      <c r="G7327" s="64" t="s">
        <v>2870</v>
      </c>
      <c r="H7327" s="64" t="s">
        <v>2871</v>
      </c>
      <c r="I7327" s="64" t="s">
        <v>2872</v>
      </c>
      <c r="J7327" s="67">
        <v>0</v>
      </c>
      <c r="K7327" s="62">
        <v>17.72</v>
      </c>
      <c r="L7327" s="33" t="e">
        <f>HLOOKUP(B7327,#REF!,1,0)</f>
        <v>#REF!</v>
      </c>
      <c r="M7327" s="33" t="str">
        <f t="shared" si="459"/>
        <v>P&amp;L</v>
      </c>
    </row>
    <row r="7328" spans="1:13">
      <c r="A7328" s="33" t="str">
        <f t="shared" si="456"/>
        <v>SCL - Revenue</v>
      </c>
      <c r="B7328" s="33" t="str">
        <f t="shared" si="457"/>
        <v>SCL</v>
      </c>
      <c r="C7328" s="33" t="str">
        <f t="shared" si="458"/>
        <v>40002-7404</v>
      </c>
      <c r="D7328" s="64" t="s">
        <v>8577</v>
      </c>
      <c r="E7328" s="64" t="s">
        <v>2877</v>
      </c>
      <c r="F7328" s="64" t="s">
        <v>15</v>
      </c>
      <c r="G7328" s="64" t="s">
        <v>2870</v>
      </c>
      <c r="H7328" s="64" t="s">
        <v>2871</v>
      </c>
      <c r="I7328" s="64" t="s">
        <v>2872</v>
      </c>
      <c r="J7328" s="67">
        <v>0</v>
      </c>
      <c r="K7328" s="62">
        <v>0</v>
      </c>
      <c r="L7328" s="33" t="e">
        <f>HLOOKUP(B7328,#REF!,1,0)</f>
        <v>#REF!</v>
      </c>
      <c r="M7328" s="33" t="str">
        <f t="shared" si="459"/>
        <v>P&amp;L</v>
      </c>
    </row>
    <row r="7329" spans="1:13">
      <c r="A7329" s="33" t="str">
        <f t="shared" si="456"/>
        <v>SCL - Revenue</v>
      </c>
      <c r="B7329" s="33" t="str">
        <f t="shared" si="457"/>
        <v>SCL</v>
      </c>
      <c r="C7329" s="33" t="str">
        <f t="shared" si="458"/>
        <v>40002-7405</v>
      </c>
      <c r="D7329" s="64" t="s">
        <v>8578</v>
      </c>
      <c r="E7329" s="64" t="s">
        <v>2877</v>
      </c>
      <c r="F7329" s="64" t="s">
        <v>15</v>
      </c>
      <c r="G7329" s="64" t="s">
        <v>2870</v>
      </c>
      <c r="H7329" s="64" t="s">
        <v>2871</v>
      </c>
      <c r="I7329" s="64" t="s">
        <v>2872</v>
      </c>
      <c r="J7329" s="67">
        <v>0</v>
      </c>
      <c r="K7329" s="62">
        <v>0</v>
      </c>
      <c r="L7329" s="33" t="e">
        <f>HLOOKUP(B7329,#REF!,1,0)</f>
        <v>#REF!</v>
      </c>
      <c r="M7329" s="33" t="str">
        <f t="shared" si="459"/>
        <v>P&amp;L</v>
      </c>
    </row>
    <row r="7330" spans="1:13">
      <c r="A7330" s="33" t="str">
        <f t="shared" si="456"/>
        <v>SCL - Revenue</v>
      </c>
      <c r="B7330" s="33" t="str">
        <f t="shared" si="457"/>
        <v>SCL</v>
      </c>
      <c r="C7330" s="33" t="str">
        <f t="shared" si="458"/>
        <v>40002-7406</v>
      </c>
      <c r="D7330" s="64" t="s">
        <v>8579</v>
      </c>
      <c r="E7330" s="64" t="s">
        <v>2877</v>
      </c>
      <c r="F7330" s="64" t="s">
        <v>15</v>
      </c>
      <c r="G7330" s="64" t="s">
        <v>2870</v>
      </c>
      <c r="H7330" s="64" t="s">
        <v>2871</v>
      </c>
      <c r="I7330" s="64" t="s">
        <v>2872</v>
      </c>
      <c r="J7330" s="67">
        <v>0</v>
      </c>
      <c r="K7330" s="62">
        <v>0</v>
      </c>
      <c r="L7330" s="33" t="e">
        <f>HLOOKUP(B7330,#REF!,1,0)</f>
        <v>#REF!</v>
      </c>
      <c r="M7330" s="33" t="str">
        <f t="shared" si="459"/>
        <v>P&amp;L</v>
      </c>
    </row>
    <row r="7331" spans="1:13">
      <c r="A7331" s="33" t="str">
        <f t="shared" si="456"/>
        <v>SCL - Revenue</v>
      </c>
      <c r="B7331" s="33" t="str">
        <f t="shared" si="457"/>
        <v>SCL</v>
      </c>
      <c r="C7331" s="33" t="str">
        <f t="shared" si="458"/>
        <v>40002-7489</v>
      </c>
      <c r="D7331" s="64" t="s">
        <v>8580</v>
      </c>
      <c r="E7331" s="64" t="s">
        <v>2877</v>
      </c>
      <c r="F7331" s="64" t="s">
        <v>15</v>
      </c>
      <c r="G7331" s="64" t="s">
        <v>2870</v>
      </c>
      <c r="H7331" s="64" t="s">
        <v>2871</v>
      </c>
      <c r="I7331" s="64" t="s">
        <v>2872</v>
      </c>
      <c r="J7331" s="67">
        <v>0</v>
      </c>
      <c r="K7331" s="62">
        <v>-158.28</v>
      </c>
      <c r="L7331" s="33" t="e">
        <f>HLOOKUP(B7331,#REF!,1,0)</f>
        <v>#REF!</v>
      </c>
      <c r="M7331" s="33" t="str">
        <f t="shared" si="459"/>
        <v>P&amp;L</v>
      </c>
    </row>
    <row r="7332" spans="1:13">
      <c r="A7332" s="33" t="str">
        <f t="shared" si="456"/>
        <v>SCL - Revenue</v>
      </c>
      <c r="B7332" s="33" t="str">
        <f t="shared" si="457"/>
        <v>SCL</v>
      </c>
      <c r="C7332" s="33" t="str">
        <f t="shared" si="458"/>
        <v>40002-7490</v>
      </c>
      <c r="D7332" s="64" t="s">
        <v>8581</v>
      </c>
      <c r="E7332" s="64" t="s">
        <v>2877</v>
      </c>
      <c r="F7332" s="64" t="s">
        <v>15</v>
      </c>
      <c r="G7332" s="64" t="s">
        <v>2870</v>
      </c>
      <c r="H7332" s="64" t="s">
        <v>2871</v>
      </c>
      <c r="I7332" s="64" t="s">
        <v>2872</v>
      </c>
      <c r="J7332" s="67">
        <v>0</v>
      </c>
      <c r="K7332" s="62">
        <v>0</v>
      </c>
      <c r="L7332" s="33" t="e">
        <f>HLOOKUP(B7332,#REF!,1,0)</f>
        <v>#REF!</v>
      </c>
      <c r="M7332" s="33" t="str">
        <f t="shared" si="459"/>
        <v>P&amp;L</v>
      </c>
    </row>
    <row r="7333" spans="1:13">
      <c r="A7333" s="33" t="str">
        <f t="shared" si="456"/>
        <v>SCL - Revenue</v>
      </c>
      <c r="B7333" s="33" t="str">
        <f t="shared" si="457"/>
        <v>SCL</v>
      </c>
      <c r="C7333" s="33" t="str">
        <f t="shared" si="458"/>
        <v>40002-7491</v>
      </c>
      <c r="D7333" s="64" t="s">
        <v>8582</v>
      </c>
      <c r="E7333" s="64" t="s">
        <v>2877</v>
      </c>
      <c r="F7333" s="64" t="s">
        <v>15</v>
      </c>
      <c r="G7333" s="64" t="s">
        <v>2870</v>
      </c>
      <c r="H7333" s="64" t="s">
        <v>2871</v>
      </c>
      <c r="I7333" s="64" t="s">
        <v>2872</v>
      </c>
      <c r="J7333" s="67">
        <v>0</v>
      </c>
      <c r="K7333" s="62">
        <v>14.72</v>
      </c>
      <c r="L7333" s="33" t="e">
        <f>HLOOKUP(B7333,#REF!,1,0)</f>
        <v>#REF!</v>
      </c>
      <c r="M7333" s="33" t="str">
        <f t="shared" si="459"/>
        <v>P&amp;L</v>
      </c>
    </row>
    <row r="7334" spans="1:13">
      <c r="A7334" s="33" t="str">
        <f t="shared" si="456"/>
        <v>SCL - Revenue</v>
      </c>
      <c r="B7334" s="33" t="str">
        <f t="shared" si="457"/>
        <v>SCL</v>
      </c>
      <c r="C7334" s="33" t="str">
        <f t="shared" si="458"/>
        <v>40002-7492</v>
      </c>
      <c r="D7334" s="64" t="s">
        <v>8583</v>
      </c>
      <c r="E7334" s="64" t="s">
        <v>2877</v>
      </c>
      <c r="F7334" s="64" t="s">
        <v>15</v>
      </c>
      <c r="G7334" s="64" t="s">
        <v>2870</v>
      </c>
      <c r="H7334" s="64" t="s">
        <v>2871</v>
      </c>
      <c r="I7334" s="64" t="s">
        <v>2872</v>
      </c>
      <c r="J7334" s="67">
        <v>0</v>
      </c>
      <c r="K7334" s="62">
        <v>-0.28</v>
      </c>
      <c r="L7334" s="33" t="e">
        <f>HLOOKUP(B7334,#REF!,1,0)</f>
        <v>#REF!</v>
      </c>
      <c r="M7334" s="33" t="str">
        <f t="shared" si="459"/>
        <v>P&amp;L</v>
      </c>
    </row>
    <row r="7335" spans="1:13">
      <c r="A7335" s="33" t="str">
        <f t="shared" si="456"/>
        <v>SCL - Revenue</v>
      </c>
      <c r="B7335" s="33" t="str">
        <f t="shared" si="457"/>
        <v>SCL</v>
      </c>
      <c r="C7335" s="33" t="str">
        <f t="shared" si="458"/>
        <v>40002-7493</v>
      </c>
      <c r="D7335" s="64" t="s">
        <v>8584</v>
      </c>
      <c r="E7335" s="64" t="s">
        <v>2877</v>
      </c>
      <c r="F7335" s="64" t="s">
        <v>15</v>
      </c>
      <c r="G7335" s="64" t="s">
        <v>2870</v>
      </c>
      <c r="H7335" s="64" t="s">
        <v>2871</v>
      </c>
      <c r="I7335" s="64" t="s">
        <v>2872</v>
      </c>
      <c r="J7335" s="67">
        <v>0</v>
      </c>
      <c r="K7335" s="62">
        <v>8.72</v>
      </c>
      <c r="L7335" s="33" t="e">
        <f>HLOOKUP(B7335,#REF!,1,0)</f>
        <v>#REF!</v>
      </c>
      <c r="M7335" s="33" t="str">
        <f t="shared" si="459"/>
        <v>P&amp;L</v>
      </c>
    </row>
    <row r="7336" spans="1:13">
      <c r="A7336" s="33" t="str">
        <f t="shared" si="456"/>
        <v>SCL - Revenue</v>
      </c>
      <c r="B7336" s="33" t="str">
        <f t="shared" si="457"/>
        <v>SCL</v>
      </c>
      <c r="C7336" s="33" t="str">
        <f t="shared" si="458"/>
        <v>40002-7494</v>
      </c>
      <c r="D7336" s="64" t="s">
        <v>8585</v>
      </c>
      <c r="E7336" s="64" t="s">
        <v>2877</v>
      </c>
      <c r="F7336" s="64" t="s">
        <v>15</v>
      </c>
      <c r="G7336" s="64" t="s">
        <v>2870</v>
      </c>
      <c r="H7336" s="64" t="s">
        <v>2871</v>
      </c>
      <c r="I7336" s="64" t="s">
        <v>2872</v>
      </c>
      <c r="J7336" s="67">
        <v>0</v>
      </c>
      <c r="K7336" s="62">
        <v>10.72</v>
      </c>
      <c r="L7336" s="33" t="e">
        <f>HLOOKUP(B7336,#REF!,1,0)</f>
        <v>#REF!</v>
      </c>
      <c r="M7336" s="33" t="str">
        <f t="shared" si="459"/>
        <v>P&amp;L</v>
      </c>
    </row>
    <row r="7337" spans="1:13">
      <c r="A7337" s="33" t="str">
        <f t="shared" si="456"/>
        <v>SCL - Revenue</v>
      </c>
      <c r="B7337" s="33" t="str">
        <f t="shared" si="457"/>
        <v>SCL</v>
      </c>
      <c r="C7337" s="33" t="str">
        <f t="shared" si="458"/>
        <v>40002-7625</v>
      </c>
      <c r="D7337" s="64" t="s">
        <v>8586</v>
      </c>
      <c r="E7337" s="64" t="s">
        <v>2877</v>
      </c>
      <c r="F7337" s="64" t="s">
        <v>15</v>
      </c>
      <c r="G7337" s="64" t="s">
        <v>2870</v>
      </c>
      <c r="H7337" s="64" t="s">
        <v>2871</v>
      </c>
      <c r="I7337" s="64" t="s">
        <v>2872</v>
      </c>
      <c r="J7337" s="67">
        <v>0</v>
      </c>
      <c r="K7337" s="62">
        <v>11.72</v>
      </c>
      <c r="L7337" s="33" t="e">
        <f>HLOOKUP(B7337,#REF!,1,0)</f>
        <v>#REF!</v>
      </c>
      <c r="M7337" s="33" t="str">
        <f t="shared" si="459"/>
        <v>P&amp;L</v>
      </c>
    </row>
    <row r="7338" spans="1:13">
      <c r="A7338" s="33" t="str">
        <f t="shared" si="456"/>
        <v>SCL - Revenue</v>
      </c>
      <c r="B7338" s="33" t="str">
        <f t="shared" si="457"/>
        <v>SCL</v>
      </c>
      <c r="C7338" s="33" t="str">
        <f t="shared" si="458"/>
        <v>40002-8150</v>
      </c>
      <c r="D7338" s="64" t="s">
        <v>8587</v>
      </c>
      <c r="E7338" s="64" t="s">
        <v>2877</v>
      </c>
      <c r="F7338" s="64" t="s">
        <v>15</v>
      </c>
      <c r="G7338" s="64" t="s">
        <v>2870</v>
      </c>
      <c r="H7338" s="64" t="s">
        <v>2871</v>
      </c>
      <c r="I7338" s="64" t="s">
        <v>2872</v>
      </c>
      <c r="J7338" s="67">
        <v>0</v>
      </c>
      <c r="K7338" s="62">
        <v>8.72</v>
      </c>
      <c r="L7338" s="33" t="e">
        <f>HLOOKUP(B7338,#REF!,1,0)</f>
        <v>#REF!</v>
      </c>
      <c r="M7338" s="33" t="str">
        <f t="shared" si="459"/>
        <v>P&amp;L</v>
      </c>
    </row>
    <row r="7339" spans="1:13">
      <c r="A7339" s="33" t="str">
        <f t="shared" si="456"/>
        <v>SCL - Revenue</v>
      </c>
      <c r="B7339" s="33" t="str">
        <f t="shared" si="457"/>
        <v>SCL</v>
      </c>
      <c r="C7339" s="33" t="str">
        <f t="shared" si="458"/>
        <v>40091-7351</v>
      </c>
      <c r="D7339" s="64" t="s">
        <v>8588</v>
      </c>
      <c r="E7339" s="64" t="s">
        <v>2882</v>
      </c>
      <c r="F7339" s="64" t="s">
        <v>15</v>
      </c>
      <c r="G7339" s="64" t="s">
        <v>2870</v>
      </c>
      <c r="H7339" s="64" t="s">
        <v>2871</v>
      </c>
      <c r="I7339" s="64" t="s">
        <v>2883</v>
      </c>
      <c r="J7339" s="67">
        <v>18094.2</v>
      </c>
      <c r="K7339" s="62">
        <v>150530.79</v>
      </c>
      <c r="L7339" s="33" t="e">
        <f>HLOOKUP(B7339,#REF!,1,0)</f>
        <v>#REF!</v>
      </c>
      <c r="M7339" s="33" t="str">
        <f t="shared" si="459"/>
        <v>P&amp;L</v>
      </c>
    </row>
    <row r="7340" spans="1:13">
      <c r="A7340" s="33" t="str">
        <f t="shared" si="456"/>
        <v>SCL - Revenue</v>
      </c>
      <c r="B7340" s="33" t="str">
        <f t="shared" si="457"/>
        <v>SCL</v>
      </c>
      <c r="C7340" s="33" t="str">
        <f t="shared" si="458"/>
        <v>40091-7352</v>
      </c>
      <c r="D7340" s="64" t="s">
        <v>8589</v>
      </c>
      <c r="E7340" s="64" t="s">
        <v>2882</v>
      </c>
      <c r="F7340" s="64" t="s">
        <v>15</v>
      </c>
      <c r="G7340" s="64" t="s">
        <v>2870</v>
      </c>
      <c r="H7340" s="64" t="s">
        <v>2871</v>
      </c>
      <c r="I7340" s="64" t="s">
        <v>2883</v>
      </c>
      <c r="J7340" s="67">
        <v>23175.94</v>
      </c>
      <c r="K7340" s="62">
        <v>148642.36</v>
      </c>
      <c r="L7340" s="33" t="e">
        <f>HLOOKUP(B7340,#REF!,1,0)</f>
        <v>#REF!</v>
      </c>
      <c r="M7340" s="33" t="str">
        <f t="shared" si="459"/>
        <v>P&amp;L</v>
      </c>
    </row>
    <row r="7341" spans="1:13">
      <c r="A7341" s="33" t="str">
        <f t="shared" si="456"/>
        <v>SCL - Revenue</v>
      </c>
      <c r="B7341" s="33" t="str">
        <f t="shared" si="457"/>
        <v>SCL</v>
      </c>
      <c r="C7341" s="33" t="str">
        <f t="shared" si="458"/>
        <v>40091-7355</v>
      </c>
      <c r="D7341" s="64" t="s">
        <v>8590</v>
      </c>
      <c r="E7341" s="64" t="s">
        <v>2882</v>
      </c>
      <c r="F7341" s="64" t="s">
        <v>15</v>
      </c>
      <c r="G7341" s="64" t="s">
        <v>2870</v>
      </c>
      <c r="H7341" s="64" t="s">
        <v>2871</v>
      </c>
      <c r="I7341" s="64" t="s">
        <v>2883</v>
      </c>
      <c r="J7341" s="67">
        <v>26524.36</v>
      </c>
      <c r="K7341" s="62">
        <v>202343.96</v>
      </c>
      <c r="L7341" s="33" t="e">
        <f>HLOOKUP(B7341,#REF!,1,0)</f>
        <v>#REF!</v>
      </c>
      <c r="M7341" s="33" t="str">
        <f t="shared" si="459"/>
        <v>P&amp;L</v>
      </c>
    </row>
    <row r="7342" spans="1:13">
      <c r="A7342" s="33" t="str">
        <f t="shared" si="456"/>
        <v>SCL - Revenue</v>
      </c>
      <c r="B7342" s="33" t="str">
        <f t="shared" si="457"/>
        <v>SCL</v>
      </c>
      <c r="C7342" s="33" t="str">
        <f t="shared" si="458"/>
        <v>40091-7356</v>
      </c>
      <c r="D7342" s="64" t="s">
        <v>8591</v>
      </c>
      <c r="E7342" s="64" t="s">
        <v>2882</v>
      </c>
      <c r="F7342" s="64" t="s">
        <v>15</v>
      </c>
      <c r="G7342" s="64" t="s">
        <v>2870</v>
      </c>
      <c r="H7342" s="64" t="s">
        <v>2871</v>
      </c>
      <c r="I7342" s="64" t="s">
        <v>2883</v>
      </c>
      <c r="J7342" s="67">
        <v>0</v>
      </c>
      <c r="K7342" s="62">
        <v>9012.78</v>
      </c>
      <c r="L7342" s="33" t="e">
        <f>HLOOKUP(B7342,#REF!,1,0)</f>
        <v>#REF!</v>
      </c>
      <c r="M7342" s="33" t="str">
        <f t="shared" si="459"/>
        <v>P&amp;L</v>
      </c>
    </row>
    <row r="7343" spans="1:13">
      <c r="A7343" s="33" t="str">
        <f t="shared" si="456"/>
        <v>SCL - Revenue</v>
      </c>
      <c r="B7343" s="33" t="str">
        <f t="shared" si="457"/>
        <v>SCL</v>
      </c>
      <c r="C7343" s="33" t="str">
        <f t="shared" si="458"/>
        <v>40091-7359</v>
      </c>
      <c r="D7343" s="64" t="s">
        <v>8592</v>
      </c>
      <c r="E7343" s="64" t="s">
        <v>2882</v>
      </c>
      <c r="F7343" s="64" t="s">
        <v>15</v>
      </c>
      <c r="G7343" s="64" t="s">
        <v>2870</v>
      </c>
      <c r="H7343" s="64" t="s">
        <v>2871</v>
      </c>
      <c r="I7343" s="64" t="s">
        <v>2883</v>
      </c>
      <c r="J7343" s="67">
        <v>22128.91</v>
      </c>
      <c r="K7343" s="62">
        <v>144311.88</v>
      </c>
      <c r="L7343" s="33" t="e">
        <f>HLOOKUP(B7343,#REF!,1,0)</f>
        <v>#REF!</v>
      </c>
      <c r="M7343" s="33" t="str">
        <f t="shared" si="459"/>
        <v>P&amp;L</v>
      </c>
    </row>
    <row r="7344" spans="1:13">
      <c r="A7344" s="33" t="str">
        <f t="shared" si="456"/>
        <v>SCL - Revenue</v>
      </c>
      <c r="B7344" s="33" t="str">
        <f t="shared" si="457"/>
        <v>SCL</v>
      </c>
      <c r="C7344" s="33" t="str">
        <f t="shared" si="458"/>
        <v>40091-7360</v>
      </c>
      <c r="D7344" s="64" t="s">
        <v>8593</v>
      </c>
      <c r="E7344" s="64" t="s">
        <v>2882</v>
      </c>
      <c r="F7344" s="64" t="s">
        <v>15</v>
      </c>
      <c r="G7344" s="64" t="s">
        <v>2870</v>
      </c>
      <c r="H7344" s="64" t="s">
        <v>2871</v>
      </c>
      <c r="I7344" s="64" t="s">
        <v>2883</v>
      </c>
      <c r="J7344" s="67">
        <v>20458.84</v>
      </c>
      <c r="K7344" s="62">
        <v>134355.19</v>
      </c>
      <c r="L7344" s="33" t="e">
        <f>HLOOKUP(B7344,#REF!,1,0)</f>
        <v>#REF!</v>
      </c>
      <c r="M7344" s="33" t="str">
        <f t="shared" si="459"/>
        <v>P&amp;L</v>
      </c>
    </row>
    <row r="7345" spans="1:13">
      <c r="A7345" s="33" t="str">
        <f t="shared" si="456"/>
        <v>SCL - Revenue</v>
      </c>
      <c r="B7345" s="33" t="str">
        <f t="shared" si="457"/>
        <v>SCL</v>
      </c>
      <c r="C7345" s="33" t="str">
        <f t="shared" si="458"/>
        <v>40091-7361</v>
      </c>
      <c r="D7345" s="64" t="s">
        <v>8594</v>
      </c>
      <c r="E7345" s="64" t="s">
        <v>2882</v>
      </c>
      <c r="F7345" s="64" t="s">
        <v>15</v>
      </c>
      <c r="G7345" s="64" t="s">
        <v>2870</v>
      </c>
      <c r="H7345" s="64" t="s">
        <v>2871</v>
      </c>
      <c r="I7345" s="64" t="s">
        <v>2883</v>
      </c>
      <c r="J7345" s="67">
        <v>30339.91</v>
      </c>
      <c r="K7345" s="62">
        <v>184915.32</v>
      </c>
      <c r="L7345" s="33" t="e">
        <f>HLOOKUP(B7345,#REF!,1,0)</f>
        <v>#REF!</v>
      </c>
      <c r="M7345" s="33" t="str">
        <f t="shared" si="459"/>
        <v>P&amp;L</v>
      </c>
    </row>
    <row r="7346" spans="1:13">
      <c r="A7346" s="33" t="str">
        <f t="shared" si="456"/>
        <v>SCL - Revenue</v>
      </c>
      <c r="B7346" s="33" t="str">
        <f t="shared" si="457"/>
        <v>SCL</v>
      </c>
      <c r="C7346" s="33" t="str">
        <f t="shared" si="458"/>
        <v>40091-7362</v>
      </c>
      <c r="D7346" s="64" t="s">
        <v>8595</v>
      </c>
      <c r="E7346" s="64" t="s">
        <v>2882</v>
      </c>
      <c r="F7346" s="64" t="s">
        <v>15</v>
      </c>
      <c r="G7346" s="64" t="s">
        <v>2870</v>
      </c>
      <c r="H7346" s="64" t="s">
        <v>2871</v>
      </c>
      <c r="I7346" s="64" t="s">
        <v>2883</v>
      </c>
      <c r="J7346" s="67">
        <v>19470.99</v>
      </c>
      <c r="K7346" s="62">
        <v>131648.01</v>
      </c>
      <c r="L7346" s="33" t="e">
        <f>HLOOKUP(B7346,#REF!,1,0)</f>
        <v>#REF!</v>
      </c>
      <c r="M7346" s="33" t="str">
        <f t="shared" si="459"/>
        <v>P&amp;L</v>
      </c>
    </row>
    <row r="7347" spans="1:13">
      <c r="A7347" s="33" t="str">
        <f t="shared" si="456"/>
        <v>SCL - Revenue</v>
      </c>
      <c r="B7347" s="33" t="str">
        <f t="shared" si="457"/>
        <v>SCL</v>
      </c>
      <c r="C7347" s="33" t="str">
        <f t="shared" si="458"/>
        <v>40091-7363</v>
      </c>
      <c r="D7347" s="64" t="s">
        <v>8596</v>
      </c>
      <c r="E7347" s="64" t="s">
        <v>2882</v>
      </c>
      <c r="F7347" s="64" t="s">
        <v>15</v>
      </c>
      <c r="G7347" s="64" t="s">
        <v>2870</v>
      </c>
      <c r="H7347" s="64" t="s">
        <v>2871</v>
      </c>
      <c r="I7347" s="64" t="s">
        <v>2883</v>
      </c>
      <c r="J7347" s="67">
        <v>22877.74</v>
      </c>
      <c r="K7347" s="62">
        <v>142043.84</v>
      </c>
      <c r="L7347" s="33" t="e">
        <f>HLOOKUP(B7347,#REF!,1,0)</f>
        <v>#REF!</v>
      </c>
      <c r="M7347" s="33" t="str">
        <f t="shared" si="459"/>
        <v>P&amp;L</v>
      </c>
    </row>
    <row r="7348" spans="1:13">
      <c r="A7348" s="33" t="str">
        <f t="shared" si="456"/>
        <v>SCL - Revenue</v>
      </c>
      <c r="B7348" s="33" t="str">
        <f t="shared" si="457"/>
        <v>SCL</v>
      </c>
      <c r="C7348" s="33" t="str">
        <f t="shared" si="458"/>
        <v>40091-7364</v>
      </c>
      <c r="D7348" s="64" t="s">
        <v>8597</v>
      </c>
      <c r="E7348" s="64" t="s">
        <v>2882</v>
      </c>
      <c r="F7348" s="64" t="s">
        <v>15</v>
      </c>
      <c r="G7348" s="64" t="s">
        <v>2870</v>
      </c>
      <c r="H7348" s="64" t="s">
        <v>2871</v>
      </c>
      <c r="I7348" s="64" t="s">
        <v>2883</v>
      </c>
      <c r="J7348" s="67">
        <v>3876.57</v>
      </c>
      <c r="K7348" s="62">
        <v>72592.32</v>
      </c>
      <c r="L7348" s="33" t="e">
        <f>HLOOKUP(B7348,#REF!,1,0)</f>
        <v>#REF!</v>
      </c>
      <c r="M7348" s="33" t="str">
        <f t="shared" si="459"/>
        <v>P&amp;L</v>
      </c>
    </row>
    <row r="7349" spans="1:13">
      <c r="A7349" s="33" t="str">
        <f t="shared" si="456"/>
        <v>SCL - Revenue</v>
      </c>
      <c r="B7349" s="33" t="str">
        <f t="shared" si="457"/>
        <v>SCL</v>
      </c>
      <c r="C7349" s="33" t="str">
        <f t="shared" si="458"/>
        <v>40091-7365</v>
      </c>
      <c r="D7349" s="64" t="s">
        <v>8598</v>
      </c>
      <c r="E7349" s="64" t="s">
        <v>2882</v>
      </c>
      <c r="F7349" s="64" t="s">
        <v>15</v>
      </c>
      <c r="G7349" s="64" t="s">
        <v>2870</v>
      </c>
      <c r="H7349" s="64" t="s">
        <v>2871</v>
      </c>
      <c r="I7349" s="64" t="s">
        <v>2883</v>
      </c>
      <c r="J7349" s="67">
        <v>20250.8</v>
      </c>
      <c r="K7349" s="62">
        <v>112640.52</v>
      </c>
      <c r="L7349" s="33" t="e">
        <f>HLOOKUP(B7349,#REF!,1,0)</f>
        <v>#REF!</v>
      </c>
      <c r="M7349" s="33" t="str">
        <f t="shared" si="459"/>
        <v>P&amp;L</v>
      </c>
    </row>
    <row r="7350" spans="1:13">
      <c r="A7350" s="33" t="str">
        <f t="shared" si="456"/>
        <v>SCL - Revenue</v>
      </c>
      <c r="B7350" s="33" t="str">
        <f t="shared" si="457"/>
        <v>SCL</v>
      </c>
      <c r="C7350" s="33" t="str">
        <f t="shared" si="458"/>
        <v>40091-7366</v>
      </c>
      <c r="D7350" s="64" t="s">
        <v>8599</v>
      </c>
      <c r="E7350" s="64" t="s">
        <v>2882</v>
      </c>
      <c r="F7350" s="64" t="s">
        <v>15</v>
      </c>
      <c r="G7350" s="64" t="s">
        <v>2870</v>
      </c>
      <c r="H7350" s="64" t="s">
        <v>2871</v>
      </c>
      <c r="I7350" s="64" t="s">
        <v>2883</v>
      </c>
      <c r="J7350" s="67">
        <v>31089.06</v>
      </c>
      <c r="K7350" s="62">
        <v>203057.81</v>
      </c>
      <c r="L7350" s="33" t="e">
        <f>HLOOKUP(B7350,#REF!,1,0)</f>
        <v>#REF!</v>
      </c>
      <c r="M7350" s="33" t="str">
        <f t="shared" si="459"/>
        <v>P&amp;L</v>
      </c>
    </row>
    <row r="7351" spans="1:13">
      <c r="A7351" s="33" t="str">
        <f t="shared" si="456"/>
        <v>SCL - Revenue</v>
      </c>
      <c r="B7351" s="33" t="str">
        <f t="shared" si="457"/>
        <v>SCL</v>
      </c>
      <c r="C7351" s="33" t="str">
        <f t="shared" si="458"/>
        <v>40091-7368</v>
      </c>
      <c r="D7351" s="64" t="s">
        <v>8600</v>
      </c>
      <c r="E7351" s="64" t="s">
        <v>2882</v>
      </c>
      <c r="F7351" s="64" t="s">
        <v>15</v>
      </c>
      <c r="G7351" s="64" t="s">
        <v>2870</v>
      </c>
      <c r="H7351" s="64" t="s">
        <v>2871</v>
      </c>
      <c r="I7351" s="64" t="s">
        <v>2883</v>
      </c>
      <c r="J7351" s="67">
        <v>28960.05</v>
      </c>
      <c r="K7351" s="62">
        <v>204960.32</v>
      </c>
      <c r="L7351" s="33" t="e">
        <f>HLOOKUP(B7351,#REF!,1,0)</f>
        <v>#REF!</v>
      </c>
      <c r="M7351" s="33" t="str">
        <f t="shared" si="459"/>
        <v>P&amp;L</v>
      </c>
    </row>
    <row r="7352" spans="1:13">
      <c r="A7352" s="33" t="str">
        <f t="shared" si="456"/>
        <v>SCL - Revenue</v>
      </c>
      <c r="B7352" s="33" t="str">
        <f t="shared" si="457"/>
        <v>SCL</v>
      </c>
      <c r="C7352" s="33" t="str">
        <f t="shared" si="458"/>
        <v>40091-7369</v>
      </c>
      <c r="D7352" s="64" t="s">
        <v>8601</v>
      </c>
      <c r="E7352" s="64" t="s">
        <v>2882</v>
      </c>
      <c r="F7352" s="64" t="s">
        <v>15</v>
      </c>
      <c r="G7352" s="64" t="s">
        <v>2870</v>
      </c>
      <c r="H7352" s="64" t="s">
        <v>2871</v>
      </c>
      <c r="I7352" s="64" t="s">
        <v>2883</v>
      </c>
      <c r="J7352" s="67">
        <v>26440.41</v>
      </c>
      <c r="K7352" s="62">
        <v>146257.51</v>
      </c>
      <c r="L7352" s="33" t="e">
        <f>HLOOKUP(B7352,#REF!,1,0)</f>
        <v>#REF!</v>
      </c>
      <c r="M7352" s="33" t="str">
        <f t="shared" si="459"/>
        <v>P&amp;L</v>
      </c>
    </row>
    <row r="7353" spans="1:13">
      <c r="A7353" s="33" t="str">
        <f t="shared" si="456"/>
        <v>SCL - Revenue</v>
      </c>
      <c r="B7353" s="33" t="str">
        <f t="shared" si="457"/>
        <v>SCL</v>
      </c>
      <c r="C7353" s="33" t="str">
        <f t="shared" si="458"/>
        <v>40091-7370</v>
      </c>
      <c r="D7353" s="64" t="s">
        <v>8602</v>
      </c>
      <c r="E7353" s="64" t="s">
        <v>2882</v>
      </c>
      <c r="F7353" s="64" t="s">
        <v>15</v>
      </c>
      <c r="G7353" s="64" t="s">
        <v>2870</v>
      </c>
      <c r="H7353" s="64" t="s">
        <v>2871</v>
      </c>
      <c r="I7353" s="64" t="s">
        <v>2883</v>
      </c>
      <c r="J7353" s="67">
        <v>0</v>
      </c>
      <c r="K7353" s="62">
        <v>0</v>
      </c>
      <c r="L7353" s="33" t="e">
        <f>HLOOKUP(B7353,#REF!,1,0)</f>
        <v>#REF!</v>
      </c>
      <c r="M7353" s="33" t="str">
        <f t="shared" si="459"/>
        <v>P&amp;L</v>
      </c>
    </row>
    <row r="7354" spans="1:13">
      <c r="A7354" s="33" t="str">
        <f t="shared" si="456"/>
        <v>SCL - Revenue</v>
      </c>
      <c r="B7354" s="33" t="str">
        <f t="shared" si="457"/>
        <v>SCL</v>
      </c>
      <c r="C7354" s="33" t="str">
        <f t="shared" si="458"/>
        <v>40091-7371</v>
      </c>
      <c r="D7354" s="64" t="s">
        <v>8603</v>
      </c>
      <c r="E7354" s="64" t="s">
        <v>2882</v>
      </c>
      <c r="F7354" s="64" t="s">
        <v>15</v>
      </c>
      <c r="G7354" s="64" t="s">
        <v>2870</v>
      </c>
      <c r="H7354" s="64" t="s">
        <v>2871</v>
      </c>
      <c r="I7354" s="64" t="s">
        <v>2883</v>
      </c>
      <c r="J7354" s="67">
        <v>22086.76</v>
      </c>
      <c r="K7354" s="62">
        <v>133278.64</v>
      </c>
      <c r="L7354" s="33" t="e">
        <f>HLOOKUP(B7354,#REF!,1,0)</f>
        <v>#REF!</v>
      </c>
      <c r="M7354" s="33" t="str">
        <f t="shared" si="459"/>
        <v>P&amp;L</v>
      </c>
    </row>
    <row r="7355" spans="1:13">
      <c r="A7355" s="33" t="str">
        <f t="shared" si="456"/>
        <v>SCL - Revenue</v>
      </c>
      <c r="B7355" s="33" t="str">
        <f t="shared" si="457"/>
        <v>SCL</v>
      </c>
      <c r="C7355" s="33" t="str">
        <f t="shared" si="458"/>
        <v>40091-7374</v>
      </c>
      <c r="D7355" s="64" t="s">
        <v>8604</v>
      </c>
      <c r="E7355" s="64" t="s">
        <v>2882</v>
      </c>
      <c r="F7355" s="64" t="s">
        <v>15</v>
      </c>
      <c r="G7355" s="64" t="s">
        <v>2870</v>
      </c>
      <c r="H7355" s="64" t="s">
        <v>2871</v>
      </c>
      <c r="I7355" s="64" t="s">
        <v>2883</v>
      </c>
      <c r="J7355" s="67">
        <v>47921.55</v>
      </c>
      <c r="K7355" s="62">
        <v>193684.55</v>
      </c>
      <c r="L7355" s="33" t="e">
        <f>HLOOKUP(B7355,#REF!,1,0)</f>
        <v>#REF!</v>
      </c>
      <c r="M7355" s="33" t="str">
        <f t="shared" si="459"/>
        <v>P&amp;L</v>
      </c>
    </row>
    <row r="7356" spans="1:13">
      <c r="A7356" s="33" t="str">
        <f t="shared" si="456"/>
        <v>SCL - Revenue</v>
      </c>
      <c r="B7356" s="33" t="str">
        <f t="shared" si="457"/>
        <v>SCL</v>
      </c>
      <c r="C7356" s="33" t="str">
        <f t="shared" si="458"/>
        <v>40091-7375</v>
      </c>
      <c r="D7356" s="64" t="s">
        <v>8605</v>
      </c>
      <c r="E7356" s="64" t="s">
        <v>2882</v>
      </c>
      <c r="F7356" s="64" t="s">
        <v>15</v>
      </c>
      <c r="G7356" s="64" t="s">
        <v>2870</v>
      </c>
      <c r="H7356" s="64" t="s">
        <v>2871</v>
      </c>
      <c r="I7356" s="64" t="s">
        <v>2883</v>
      </c>
      <c r="J7356" s="67">
        <v>31369.2</v>
      </c>
      <c r="K7356" s="62">
        <v>213353.67</v>
      </c>
      <c r="L7356" s="33" t="e">
        <f>HLOOKUP(B7356,#REF!,1,0)</f>
        <v>#REF!</v>
      </c>
      <c r="M7356" s="33" t="str">
        <f t="shared" si="459"/>
        <v>P&amp;L</v>
      </c>
    </row>
    <row r="7357" spans="1:13">
      <c r="A7357" s="33" t="str">
        <f t="shared" si="456"/>
        <v>SCL - Revenue</v>
      </c>
      <c r="B7357" s="33" t="str">
        <f t="shared" si="457"/>
        <v>SCL</v>
      </c>
      <c r="C7357" s="33" t="str">
        <f t="shared" si="458"/>
        <v>40091-7376</v>
      </c>
      <c r="D7357" s="64" t="s">
        <v>8606</v>
      </c>
      <c r="E7357" s="64" t="s">
        <v>2882</v>
      </c>
      <c r="F7357" s="64" t="s">
        <v>15</v>
      </c>
      <c r="G7357" s="64" t="s">
        <v>2870</v>
      </c>
      <c r="H7357" s="64" t="s">
        <v>2871</v>
      </c>
      <c r="I7357" s="64" t="s">
        <v>2883</v>
      </c>
      <c r="J7357" s="67">
        <v>32255.09</v>
      </c>
      <c r="K7357" s="62">
        <v>284071.82</v>
      </c>
      <c r="L7357" s="33" t="e">
        <f>HLOOKUP(B7357,#REF!,1,0)</f>
        <v>#REF!</v>
      </c>
      <c r="M7357" s="33" t="str">
        <f t="shared" si="459"/>
        <v>P&amp;L</v>
      </c>
    </row>
    <row r="7358" spans="1:13">
      <c r="A7358" s="33" t="str">
        <f t="shared" si="456"/>
        <v>SCL - Revenue</v>
      </c>
      <c r="B7358" s="33" t="str">
        <f t="shared" si="457"/>
        <v>SCL</v>
      </c>
      <c r="C7358" s="33" t="str">
        <f t="shared" si="458"/>
        <v>40091-7377</v>
      </c>
      <c r="D7358" s="64" t="s">
        <v>8607</v>
      </c>
      <c r="E7358" s="64" t="s">
        <v>2882</v>
      </c>
      <c r="F7358" s="64" t="s">
        <v>15</v>
      </c>
      <c r="G7358" s="64" t="s">
        <v>2870</v>
      </c>
      <c r="H7358" s="64" t="s">
        <v>2871</v>
      </c>
      <c r="I7358" s="64" t="s">
        <v>2883</v>
      </c>
      <c r="J7358" s="67">
        <v>29682.14</v>
      </c>
      <c r="K7358" s="62">
        <v>177023.41</v>
      </c>
      <c r="L7358" s="33" t="e">
        <f>HLOOKUP(B7358,#REF!,1,0)</f>
        <v>#REF!</v>
      </c>
      <c r="M7358" s="33" t="str">
        <f t="shared" si="459"/>
        <v>P&amp;L</v>
      </c>
    </row>
    <row r="7359" spans="1:13">
      <c r="A7359" s="33" t="str">
        <f t="shared" si="456"/>
        <v>SCL - Revenue</v>
      </c>
      <c r="B7359" s="33" t="str">
        <f t="shared" si="457"/>
        <v>SCL</v>
      </c>
      <c r="C7359" s="33" t="str">
        <f t="shared" si="458"/>
        <v>40091-7378</v>
      </c>
      <c r="D7359" s="64" t="s">
        <v>8608</v>
      </c>
      <c r="E7359" s="64" t="s">
        <v>2882</v>
      </c>
      <c r="F7359" s="64" t="s">
        <v>15</v>
      </c>
      <c r="G7359" s="64" t="s">
        <v>2870</v>
      </c>
      <c r="H7359" s="64" t="s">
        <v>2871</v>
      </c>
      <c r="I7359" s="64" t="s">
        <v>2883</v>
      </c>
      <c r="J7359" s="67">
        <v>31547.71</v>
      </c>
      <c r="K7359" s="62">
        <v>227458.89</v>
      </c>
      <c r="L7359" s="33" t="e">
        <f>HLOOKUP(B7359,#REF!,1,0)</f>
        <v>#REF!</v>
      </c>
      <c r="M7359" s="33" t="str">
        <f t="shared" si="459"/>
        <v>P&amp;L</v>
      </c>
    </row>
    <row r="7360" spans="1:13">
      <c r="A7360" s="33" t="str">
        <f t="shared" si="456"/>
        <v>SCL - Revenue</v>
      </c>
      <c r="B7360" s="33" t="str">
        <f t="shared" si="457"/>
        <v>SCL</v>
      </c>
      <c r="C7360" s="33" t="str">
        <f t="shared" si="458"/>
        <v>40091-7379</v>
      </c>
      <c r="D7360" s="64" t="s">
        <v>8609</v>
      </c>
      <c r="E7360" s="64" t="s">
        <v>2882</v>
      </c>
      <c r="F7360" s="64" t="s">
        <v>15</v>
      </c>
      <c r="G7360" s="64" t="s">
        <v>2870</v>
      </c>
      <c r="H7360" s="64" t="s">
        <v>2871</v>
      </c>
      <c r="I7360" s="64" t="s">
        <v>2883</v>
      </c>
      <c r="J7360" s="67">
        <v>33040.72</v>
      </c>
      <c r="K7360" s="62">
        <v>232551.55</v>
      </c>
      <c r="L7360" s="33" t="e">
        <f>HLOOKUP(B7360,#REF!,1,0)</f>
        <v>#REF!</v>
      </c>
      <c r="M7360" s="33" t="str">
        <f t="shared" si="459"/>
        <v>P&amp;L</v>
      </c>
    </row>
    <row r="7361" spans="1:13">
      <c r="A7361" s="33" t="str">
        <f t="shared" si="456"/>
        <v>SCL - Revenue</v>
      </c>
      <c r="B7361" s="33" t="str">
        <f t="shared" si="457"/>
        <v>SCL</v>
      </c>
      <c r="C7361" s="33" t="str">
        <f t="shared" si="458"/>
        <v>40091-7380</v>
      </c>
      <c r="D7361" s="64" t="s">
        <v>8610</v>
      </c>
      <c r="E7361" s="64" t="s">
        <v>2882</v>
      </c>
      <c r="F7361" s="64" t="s">
        <v>15</v>
      </c>
      <c r="G7361" s="64" t="s">
        <v>2870</v>
      </c>
      <c r="H7361" s="64" t="s">
        <v>2871</v>
      </c>
      <c r="I7361" s="64" t="s">
        <v>2883</v>
      </c>
      <c r="J7361" s="67">
        <v>20195.25</v>
      </c>
      <c r="K7361" s="62">
        <v>142912.56</v>
      </c>
      <c r="L7361" s="33" t="e">
        <f>HLOOKUP(B7361,#REF!,1,0)</f>
        <v>#REF!</v>
      </c>
      <c r="M7361" s="33" t="str">
        <f t="shared" si="459"/>
        <v>P&amp;L</v>
      </c>
    </row>
    <row r="7362" spans="1:13">
      <c r="A7362" s="33" t="str">
        <f t="shared" ref="A7362:A7425" si="460">B7362&amp;" - "&amp;TRIM(H7362)</f>
        <v>SCL - Revenue</v>
      </c>
      <c r="B7362" s="33" t="str">
        <f t="shared" ref="B7362:B7425" si="461">LEFT(D7362,3)</f>
        <v>SCL</v>
      </c>
      <c r="C7362" s="33" t="str">
        <f t="shared" ref="C7362:C7425" si="462">RIGHT(D7362,10)</f>
        <v>40091-7381</v>
      </c>
      <c r="D7362" s="64" t="s">
        <v>8611</v>
      </c>
      <c r="E7362" s="64" t="s">
        <v>2882</v>
      </c>
      <c r="F7362" s="64" t="s">
        <v>15</v>
      </c>
      <c r="G7362" s="64" t="s">
        <v>2870</v>
      </c>
      <c r="H7362" s="64" t="s">
        <v>2871</v>
      </c>
      <c r="I7362" s="64" t="s">
        <v>2883</v>
      </c>
      <c r="J7362" s="67">
        <v>34815.15</v>
      </c>
      <c r="K7362" s="62">
        <v>180291.52</v>
      </c>
      <c r="L7362" s="33" t="e">
        <f>HLOOKUP(B7362,#REF!,1,0)</f>
        <v>#REF!</v>
      </c>
      <c r="M7362" s="33" t="str">
        <f t="shared" ref="M7362:M7425" si="463">IF(VALUE(LEFT(C7362,5))&gt;40000,"P&amp;L","BS")</f>
        <v>P&amp;L</v>
      </c>
    </row>
    <row r="7363" spans="1:13">
      <c r="A7363" s="33" t="str">
        <f t="shared" si="460"/>
        <v>SCL - Revenue</v>
      </c>
      <c r="B7363" s="33" t="str">
        <f t="shared" si="461"/>
        <v>SCL</v>
      </c>
      <c r="C7363" s="33" t="str">
        <f t="shared" si="462"/>
        <v>40091-7383</v>
      </c>
      <c r="D7363" s="64" t="s">
        <v>8612</v>
      </c>
      <c r="E7363" s="64" t="s">
        <v>2882</v>
      </c>
      <c r="F7363" s="64" t="s">
        <v>15</v>
      </c>
      <c r="G7363" s="64" t="s">
        <v>2870</v>
      </c>
      <c r="H7363" s="64" t="s">
        <v>2871</v>
      </c>
      <c r="I7363" s="64" t="s">
        <v>2883</v>
      </c>
      <c r="J7363" s="67">
        <v>27783.64</v>
      </c>
      <c r="K7363" s="62">
        <v>188177.27</v>
      </c>
      <c r="L7363" s="33" t="e">
        <f>HLOOKUP(B7363,#REF!,1,0)</f>
        <v>#REF!</v>
      </c>
      <c r="M7363" s="33" t="str">
        <f t="shared" si="463"/>
        <v>P&amp;L</v>
      </c>
    </row>
    <row r="7364" spans="1:13">
      <c r="A7364" s="33" t="str">
        <f t="shared" si="460"/>
        <v>SCL - Revenue</v>
      </c>
      <c r="B7364" s="33" t="str">
        <f t="shared" si="461"/>
        <v>SCL</v>
      </c>
      <c r="C7364" s="33" t="str">
        <f t="shared" si="462"/>
        <v>40091-7385</v>
      </c>
      <c r="D7364" s="64" t="s">
        <v>8613</v>
      </c>
      <c r="E7364" s="64" t="s">
        <v>2882</v>
      </c>
      <c r="F7364" s="64" t="s">
        <v>15</v>
      </c>
      <c r="G7364" s="64" t="s">
        <v>2870</v>
      </c>
      <c r="H7364" s="64" t="s">
        <v>2871</v>
      </c>
      <c r="I7364" s="64" t="s">
        <v>2883</v>
      </c>
      <c r="J7364" s="67">
        <v>14927.89</v>
      </c>
      <c r="K7364" s="62">
        <v>88313.56</v>
      </c>
      <c r="L7364" s="33" t="e">
        <f>HLOOKUP(B7364,#REF!,1,0)</f>
        <v>#REF!</v>
      </c>
      <c r="M7364" s="33" t="str">
        <f t="shared" si="463"/>
        <v>P&amp;L</v>
      </c>
    </row>
    <row r="7365" spans="1:13">
      <c r="A7365" s="33" t="str">
        <f t="shared" si="460"/>
        <v>SCL - Revenue</v>
      </c>
      <c r="B7365" s="33" t="str">
        <f t="shared" si="461"/>
        <v>SCL</v>
      </c>
      <c r="C7365" s="33" t="str">
        <f t="shared" si="462"/>
        <v>40091-7386</v>
      </c>
      <c r="D7365" s="64" t="s">
        <v>8614</v>
      </c>
      <c r="E7365" s="64" t="s">
        <v>2882</v>
      </c>
      <c r="F7365" s="64" t="s">
        <v>15</v>
      </c>
      <c r="G7365" s="64" t="s">
        <v>2870</v>
      </c>
      <c r="H7365" s="64" t="s">
        <v>2871</v>
      </c>
      <c r="I7365" s="64" t="s">
        <v>2883</v>
      </c>
      <c r="J7365" s="67">
        <v>27324.09</v>
      </c>
      <c r="K7365" s="62">
        <v>146203.02</v>
      </c>
      <c r="L7365" s="33" t="e">
        <f>HLOOKUP(B7365,#REF!,1,0)</f>
        <v>#REF!</v>
      </c>
      <c r="M7365" s="33" t="str">
        <f t="shared" si="463"/>
        <v>P&amp;L</v>
      </c>
    </row>
    <row r="7366" spans="1:13">
      <c r="A7366" s="33" t="str">
        <f t="shared" si="460"/>
        <v>SCL - Revenue</v>
      </c>
      <c r="B7366" s="33" t="str">
        <f t="shared" si="461"/>
        <v>SCL</v>
      </c>
      <c r="C7366" s="33" t="str">
        <f t="shared" si="462"/>
        <v>40091-7387</v>
      </c>
      <c r="D7366" s="64" t="s">
        <v>8615</v>
      </c>
      <c r="E7366" s="64" t="s">
        <v>2882</v>
      </c>
      <c r="F7366" s="64" t="s">
        <v>15</v>
      </c>
      <c r="G7366" s="64" t="s">
        <v>2870</v>
      </c>
      <c r="H7366" s="64" t="s">
        <v>2871</v>
      </c>
      <c r="I7366" s="64" t="s">
        <v>2883</v>
      </c>
      <c r="J7366" s="67">
        <v>19825.93</v>
      </c>
      <c r="K7366" s="62">
        <v>164139.65</v>
      </c>
      <c r="L7366" s="33" t="e">
        <f>HLOOKUP(B7366,#REF!,1,0)</f>
        <v>#REF!</v>
      </c>
      <c r="M7366" s="33" t="str">
        <f t="shared" si="463"/>
        <v>P&amp;L</v>
      </c>
    </row>
    <row r="7367" spans="1:13">
      <c r="A7367" s="33" t="str">
        <f t="shared" si="460"/>
        <v>SCL - Revenue</v>
      </c>
      <c r="B7367" s="33" t="str">
        <f t="shared" si="461"/>
        <v>SCL</v>
      </c>
      <c r="C7367" s="33" t="str">
        <f t="shared" si="462"/>
        <v>40091-7389</v>
      </c>
      <c r="D7367" s="64" t="s">
        <v>8616</v>
      </c>
      <c r="E7367" s="64" t="s">
        <v>2882</v>
      </c>
      <c r="F7367" s="64" t="s">
        <v>15</v>
      </c>
      <c r="G7367" s="64" t="s">
        <v>2870</v>
      </c>
      <c r="H7367" s="64" t="s">
        <v>2871</v>
      </c>
      <c r="I7367" s="64" t="s">
        <v>2883</v>
      </c>
      <c r="J7367" s="67">
        <v>62269.17</v>
      </c>
      <c r="K7367" s="62">
        <v>303125.81</v>
      </c>
      <c r="L7367" s="33" t="e">
        <f>HLOOKUP(B7367,#REF!,1,0)</f>
        <v>#REF!</v>
      </c>
      <c r="M7367" s="33" t="str">
        <f t="shared" si="463"/>
        <v>P&amp;L</v>
      </c>
    </row>
    <row r="7368" spans="1:13">
      <c r="A7368" s="33" t="str">
        <f t="shared" si="460"/>
        <v>SCL - Revenue</v>
      </c>
      <c r="B7368" s="33" t="str">
        <f t="shared" si="461"/>
        <v>SCL</v>
      </c>
      <c r="C7368" s="33" t="str">
        <f t="shared" si="462"/>
        <v>40091-7391</v>
      </c>
      <c r="D7368" s="64" t="s">
        <v>8617</v>
      </c>
      <c r="E7368" s="64" t="s">
        <v>2882</v>
      </c>
      <c r="F7368" s="64" t="s">
        <v>15</v>
      </c>
      <c r="G7368" s="64" t="s">
        <v>2870</v>
      </c>
      <c r="H7368" s="64" t="s">
        <v>2871</v>
      </c>
      <c r="I7368" s="64" t="s">
        <v>2883</v>
      </c>
      <c r="J7368" s="67">
        <v>30098.84</v>
      </c>
      <c r="K7368" s="62">
        <v>157883.75</v>
      </c>
      <c r="L7368" s="33" t="e">
        <f>HLOOKUP(B7368,#REF!,1,0)</f>
        <v>#REF!</v>
      </c>
      <c r="M7368" s="33" t="str">
        <f t="shared" si="463"/>
        <v>P&amp;L</v>
      </c>
    </row>
    <row r="7369" spans="1:13">
      <c r="A7369" s="33" t="str">
        <f t="shared" si="460"/>
        <v>SCL - Revenue</v>
      </c>
      <c r="B7369" s="33" t="str">
        <f t="shared" si="461"/>
        <v>SCL</v>
      </c>
      <c r="C7369" s="33" t="str">
        <f t="shared" si="462"/>
        <v>40091-7393</v>
      </c>
      <c r="D7369" s="64" t="s">
        <v>8618</v>
      </c>
      <c r="E7369" s="64" t="s">
        <v>2882</v>
      </c>
      <c r="F7369" s="64" t="s">
        <v>15</v>
      </c>
      <c r="G7369" s="64" t="s">
        <v>2870</v>
      </c>
      <c r="H7369" s="64" t="s">
        <v>2871</v>
      </c>
      <c r="I7369" s="64" t="s">
        <v>2883</v>
      </c>
      <c r="J7369" s="67">
        <v>22398.42</v>
      </c>
      <c r="K7369" s="62">
        <v>128907.24</v>
      </c>
      <c r="L7369" s="33" t="e">
        <f>HLOOKUP(B7369,#REF!,1,0)</f>
        <v>#REF!</v>
      </c>
      <c r="M7369" s="33" t="str">
        <f t="shared" si="463"/>
        <v>P&amp;L</v>
      </c>
    </row>
    <row r="7370" spans="1:13">
      <c r="A7370" s="33" t="str">
        <f t="shared" si="460"/>
        <v>SCL - Revenue</v>
      </c>
      <c r="B7370" s="33" t="str">
        <f t="shared" si="461"/>
        <v>SCL</v>
      </c>
      <c r="C7370" s="33" t="str">
        <f t="shared" si="462"/>
        <v>40091-7394</v>
      </c>
      <c r="D7370" s="64" t="s">
        <v>8619</v>
      </c>
      <c r="E7370" s="64" t="s">
        <v>2882</v>
      </c>
      <c r="F7370" s="64" t="s">
        <v>15</v>
      </c>
      <c r="G7370" s="64" t="s">
        <v>2870</v>
      </c>
      <c r="H7370" s="64" t="s">
        <v>2871</v>
      </c>
      <c r="I7370" s="64" t="s">
        <v>2883</v>
      </c>
      <c r="J7370" s="67">
        <v>22094.49</v>
      </c>
      <c r="K7370" s="62">
        <v>110265.96</v>
      </c>
      <c r="L7370" s="33" t="e">
        <f>HLOOKUP(B7370,#REF!,1,0)</f>
        <v>#REF!</v>
      </c>
      <c r="M7370" s="33" t="str">
        <f t="shared" si="463"/>
        <v>P&amp;L</v>
      </c>
    </row>
    <row r="7371" spans="1:13">
      <c r="A7371" s="33" t="str">
        <f t="shared" si="460"/>
        <v>SCL - Revenue</v>
      </c>
      <c r="B7371" s="33" t="str">
        <f t="shared" si="461"/>
        <v>SCL</v>
      </c>
      <c r="C7371" s="33" t="str">
        <f t="shared" si="462"/>
        <v>40091-7396</v>
      </c>
      <c r="D7371" s="64" t="s">
        <v>8620</v>
      </c>
      <c r="E7371" s="64" t="s">
        <v>2882</v>
      </c>
      <c r="F7371" s="64" t="s">
        <v>15</v>
      </c>
      <c r="G7371" s="64" t="s">
        <v>2870</v>
      </c>
      <c r="H7371" s="64" t="s">
        <v>2871</v>
      </c>
      <c r="I7371" s="64" t="s">
        <v>2883</v>
      </c>
      <c r="J7371" s="67">
        <v>28332.82</v>
      </c>
      <c r="K7371" s="62">
        <v>171772.35</v>
      </c>
      <c r="L7371" s="33" t="e">
        <f>HLOOKUP(B7371,#REF!,1,0)</f>
        <v>#REF!</v>
      </c>
      <c r="M7371" s="33" t="str">
        <f t="shared" si="463"/>
        <v>P&amp;L</v>
      </c>
    </row>
    <row r="7372" spans="1:13">
      <c r="A7372" s="33" t="str">
        <f t="shared" si="460"/>
        <v>SCL - Revenue</v>
      </c>
      <c r="B7372" s="33" t="str">
        <f t="shared" si="461"/>
        <v>SCL</v>
      </c>
      <c r="C7372" s="33" t="str">
        <f t="shared" si="462"/>
        <v>40091-7397</v>
      </c>
      <c r="D7372" s="64" t="s">
        <v>8621</v>
      </c>
      <c r="E7372" s="64" t="s">
        <v>2882</v>
      </c>
      <c r="F7372" s="64" t="s">
        <v>15</v>
      </c>
      <c r="G7372" s="64" t="s">
        <v>2870</v>
      </c>
      <c r="H7372" s="64" t="s">
        <v>2871</v>
      </c>
      <c r="I7372" s="64" t="s">
        <v>2883</v>
      </c>
      <c r="J7372" s="67">
        <v>18243.43</v>
      </c>
      <c r="K7372" s="62">
        <v>143390.65</v>
      </c>
      <c r="L7372" s="33" t="e">
        <f>HLOOKUP(B7372,#REF!,1,0)</f>
        <v>#REF!</v>
      </c>
      <c r="M7372" s="33" t="str">
        <f t="shared" si="463"/>
        <v>P&amp;L</v>
      </c>
    </row>
    <row r="7373" spans="1:13">
      <c r="A7373" s="33" t="str">
        <f t="shared" si="460"/>
        <v>SCL - Revenue</v>
      </c>
      <c r="B7373" s="33" t="str">
        <f t="shared" si="461"/>
        <v>SCL</v>
      </c>
      <c r="C7373" s="33" t="str">
        <f t="shared" si="462"/>
        <v>40091-7398</v>
      </c>
      <c r="D7373" s="64" t="s">
        <v>8622</v>
      </c>
      <c r="E7373" s="64" t="s">
        <v>2882</v>
      </c>
      <c r="F7373" s="64" t="s">
        <v>15</v>
      </c>
      <c r="G7373" s="64" t="s">
        <v>2870</v>
      </c>
      <c r="H7373" s="64" t="s">
        <v>2871</v>
      </c>
      <c r="I7373" s="64" t="s">
        <v>2883</v>
      </c>
      <c r="J7373" s="67">
        <v>21359.7</v>
      </c>
      <c r="K7373" s="62">
        <v>148626.86</v>
      </c>
      <c r="L7373" s="33" t="e">
        <f>HLOOKUP(B7373,#REF!,1,0)</f>
        <v>#REF!</v>
      </c>
      <c r="M7373" s="33" t="str">
        <f t="shared" si="463"/>
        <v>P&amp;L</v>
      </c>
    </row>
    <row r="7374" spans="1:13">
      <c r="A7374" s="33" t="str">
        <f t="shared" si="460"/>
        <v>SCL - Revenue</v>
      </c>
      <c r="B7374" s="33" t="str">
        <f t="shared" si="461"/>
        <v>SCL</v>
      </c>
      <c r="C7374" s="33" t="str">
        <f t="shared" si="462"/>
        <v>40091-7400</v>
      </c>
      <c r="D7374" s="64" t="s">
        <v>8623</v>
      </c>
      <c r="E7374" s="64" t="s">
        <v>2882</v>
      </c>
      <c r="F7374" s="64" t="s">
        <v>15</v>
      </c>
      <c r="G7374" s="64" t="s">
        <v>2870</v>
      </c>
      <c r="H7374" s="64" t="s">
        <v>2871</v>
      </c>
      <c r="I7374" s="64" t="s">
        <v>2883</v>
      </c>
      <c r="J7374" s="67">
        <v>18681.6</v>
      </c>
      <c r="K7374" s="62">
        <v>131855.35</v>
      </c>
      <c r="L7374" s="33" t="e">
        <f>HLOOKUP(B7374,#REF!,1,0)</f>
        <v>#REF!</v>
      </c>
      <c r="M7374" s="33" t="str">
        <f t="shared" si="463"/>
        <v>P&amp;L</v>
      </c>
    </row>
    <row r="7375" spans="1:13">
      <c r="A7375" s="33" t="str">
        <f t="shared" si="460"/>
        <v>SCL - Revenue</v>
      </c>
      <c r="B7375" s="33" t="str">
        <f t="shared" si="461"/>
        <v>SCL</v>
      </c>
      <c r="C7375" s="33" t="str">
        <f t="shared" si="462"/>
        <v>40091-7401</v>
      </c>
      <c r="D7375" s="64" t="s">
        <v>8624</v>
      </c>
      <c r="E7375" s="64" t="s">
        <v>2882</v>
      </c>
      <c r="F7375" s="64" t="s">
        <v>15</v>
      </c>
      <c r="G7375" s="64" t="s">
        <v>2870</v>
      </c>
      <c r="H7375" s="64" t="s">
        <v>2871</v>
      </c>
      <c r="I7375" s="64" t="s">
        <v>2883</v>
      </c>
      <c r="J7375" s="67">
        <v>22790.68</v>
      </c>
      <c r="K7375" s="62">
        <v>138841.36</v>
      </c>
      <c r="L7375" s="33" t="e">
        <f>HLOOKUP(B7375,#REF!,1,0)</f>
        <v>#REF!</v>
      </c>
      <c r="M7375" s="33" t="str">
        <f t="shared" si="463"/>
        <v>P&amp;L</v>
      </c>
    </row>
    <row r="7376" spans="1:13">
      <c r="A7376" s="33" t="str">
        <f t="shared" si="460"/>
        <v>SCL - Revenue</v>
      </c>
      <c r="B7376" s="33" t="str">
        <f t="shared" si="461"/>
        <v>SCL</v>
      </c>
      <c r="C7376" s="33" t="str">
        <f t="shared" si="462"/>
        <v>40091-7402</v>
      </c>
      <c r="D7376" s="64" t="s">
        <v>8625</v>
      </c>
      <c r="E7376" s="64" t="s">
        <v>2882</v>
      </c>
      <c r="F7376" s="64" t="s">
        <v>15</v>
      </c>
      <c r="G7376" s="64" t="s">
        <v>2870</v>
      </c>
      <c r="H7376" s="64" t="s">
        <v>2871</v>
      </c>
      <c r="I7376" s="64" t="s">
        <v>2883</v>
      </c>
      <c r="J7376" s="67">
        <v>22233.38</v>
      </c>
      <c r="K7376" s="62">
        <v>154551.15</v>
      </c>
      <c r="L7376" s="33" t="e">
        <f>HLOOKUP(B7376,#REF!,1,0)</f>
        <v>#REF!</v>
      </c>
      <c r="M7376" s="33" t="str">
        <f t="shared" si="463"/>
        <v>P&amp;L</v>
      </c>
    </row>
    <row r="7377" spans="1:13">
      <c r="A7377" s="33" t="str">
        <f t="shared" si="460"/>
        <v>SCL - Revenue</v>
      </c>
      <c r="B7377" s="33" t="str">
        <f t="shared" si="461"/>
        <v>SCL</v>
      </c>
      <c r="C7377" s="33" t="str">
        <f t="shared" si="462"/>
        <v>40091-7403</v>
      </c>
      <c r="D7377" s="64" t="s">
        <v>8626</v>
      </c>
      <c r="E7377" s="64" t="s">
        <v>2882</v>
      </c>
      <c r="F7377" s="64" t="s">
        <v>15</v>
      </c>
      <c r="G7377" s="64" t="s">
        <v>2870</v>
      </c>
      <c r="H7377" s="64" t="s">
        <v>2871</v>
      </c>
      <c r="I7377" s="64" t="s">
        <v>2883</v>
      </c>
      <c r="J7377" s="67">
        <v>26123.23</v>
      </c>
      <c r="K7377" s="62">
        <v>182692.6</v>
      </c>
      <c r="L7377" s="33" t="e">
        <f>HLOOKUP(B7377,#REF!,1,0)</f>
        <v>#REF!</v>
      </c>
      <c r="M7377" s="33" t="str">
        <f t="shared" si="463"/>
        <v>P&amp;L</v>
      </c>
    </row>
    <row r="7378" spans="1:13">
      <c r="A7378" s="33" t="str">
        <f t="shared" si="460"/>
        <v>SCL - Revenue</v>
      </c>
      <c r="B7378" s="33" t="str">
        <f t="shared" si="461"/>
        <v>SCL</v>
      </c>
      <c r="C7378" s="33" t="str">
        <f t="shared" si="462"/>
        <v>40091-7404</v>
      </c>
      <c r="D7378" s="64" t="s">
        <v>8627</v>
      </c>
      <c r="E7378" s="64" t="s">
        <v>2882</v>
      </c>
      <c r="F7378" s="64" t="s">
        <v>15</v>
      </c>
      <c r="G7378" s="64" t="s">
        <v>2870</v>
      </c>
      <c r="H7378" s="64" t="s">
        <v>2871</v>
      </c>
      <c r="I7378" s="64" t="s">
        <v>2883</v>
      </c>
      <c r="J7378" s="67">
        <v>0</v>
      </c>
      <c r="K7378" s="62">
        <v>0</v>
      </c>
      <c r="L7378" s="33" t="e">
        <f>HLOOKUP(B7378,#REF!,1,0)</f>
        <v>#REF!</v>
      </c>
      <c r="M7378" s="33" t="str">
        <f t="shared" si="463"/>
        <v>P&amp;L</v>
      </c>
    </row>
    <row r="7379" spans="1:13">
      <c r="A7379" s="33" t="str">
        <f t="shared" si="460"/>
        <v>SCL - Revenue</v>
      </c>
      <c r="B7379" s="33" t="str">
        <f t="shared" si="461"/>
        <v>SCL</v>
      </c>
      <c r="C7379" s="33" t="str">
        <f t="shared" si="462"/>
        <v>40091-7405</v>
      </c>
      <c r="D7379" s="64" t="s">
        <v>8628</v>
      </c>
      <c r="E7379" s="64" t="s">
        <v>2882</v>
      </c>
      <c r="F7379" s="64" t="s">
        <v>15</v>
      </c>
      <c r="G7379" s="64" t="s">
        <v>2870</v>
      </c>
      <c r="H7379" s="64" t="s">
        <v>2871</v>
      </c>
      <c r="I7379" s="64" t="s">
        <v>2883</v>
      </c>
      <c r="J7379" s="67">
        <v>0</v>
      </c>
      <c r="K7379" s="62">
        <v>0</v>
      </c>
      <c r="L7379" s="33" t="e">
        <f>HLOOKUP(B7379,#REF!,1,0)</f>
        <v>#REF!</v>
      </c>
      <c r="M7379" s="33" t="str">
        <f t="shared" si="463"/>
        <v>P&amp;L</v>
      </c>
    </row>
    <row r="7380" spans="1:13">
      <c r="A7380" s="33" t="str">
        <f t="shared" si="460"/>
        <v>SCL - Revenue</v>
      </c>
      <c r="B7380" s="33" t="str">
        <f t="shared" si="461"/>
        <v>SCL</v>
      </c>
      <c r="C7380" s="33" t="str">
        <f t="shared" si="462"/>
        <v>40091-7406</v>
      </c>
      <c r="D7380" s="64" t="s">
        <v>8629</v>
      </c>
      <c r="E7380" s="64" t="s">
        <v>2882</v>
      </c>
      <c r="F7380" s="64" t="s">
        <v>15</v>
      </c>
      <c r="G7380" s="64" t="s">
        <v>2870</v>
      </c>
      <c r="H7380" s="64" t="s">
        <v>2871</v>
      </c>
      <c r="I7380" s="64" t="s">
        <v>2883</v>
      </c>
      <c r="J7380" s="67">
        <v>0</v>
      </c>
      <c r="K7380" s="62">
        <v>0</v>
      </c>
      <c r="L7380" s="33" t="e">
        <f>HLOOKUP(B7380,#REF!,1,0)</f>
        <v>#REF!</v>
      </c>
      <c r="M7380" s="33" t="str">
        <f t="shared" si="463"/>
        <v>P&amp;L</v>
      </c>
    </row>
    <row r="7381" spans="1:13">
      <c r="A7381" s="33" t="str">
        <f t="shared" si="460"/>
        <v>SCL - Revenue</v>
      </c>
      <c r="B7381" s="33" t="str">
        <f t="shared" si="461"/>
        <v>SCL</v>
      </c>
      <c r="C7381" s="33" t="str">
        <f t="shared" si="462"/>
        <v>40091-7489</v>
      </c>
      <c r="D7381" s="64" t="s">
        <v>8630</v>
      </c>
      <c r="E7381" s="64" t="s">
        <v>2882</v>
      </c>
      <c r="F7381" s="64" t="s">
        <v>15</v>
      </c>
      <c r="G7381" s="64" t="s">
        <v>2870</v>
      </c>
      <c r="H7381" s="64" t="s">
        <v>2871</v>
      </c>
      <c r="I7381" s="64" t="s">
        <v>2883</v>
      </c>
      <c r="J7381" s="67">
        <v>49374.02</v>
      </c>
      <c r="K7381" s="62">
        <v>277426.72</v>
      </c>
      <c r="L7381" s="33" t="e">
        <f>HLOOKUP(B7381,#REF!,1,0)</f>
        <v>#REF!</v>
      </c>
      <c r="M7381" s="33" t="str">
        <f t="shared" si="463"/>
        <v>P&amp;L</v>
      </c>
    </row>
    <row r="7382" spans="1:13">
      <c r="A7382" s="33" t="str">
        <f t="shared" si="460"/>
        <v>SCL - Revenue</v>
      </c>
      <c r="B7382" s="33" t="str">
        <f t="shared" si="461"/>
        <v>SCL</v>
      </c>
      <c r="C7382" s="33" t="str">
        <f t="shared" si="462"/>
        <v>40091-7490</v>
      </c>
      <c r="D7382" s="64" t="s">
        <v>8631</v>
      </c>
      <c r="E7382" s="64" t="s">
        <v>2882</v>
      </c>
      <c r="F7382" s="64" t="s">
        <v>15</v>
      </c>
      <c r="G7382" s="64" t="s">
        <v>2870</v>
      </c>
      <c r="H7382" s="64" t="s">
        <v>2871</v>
      </c>
      <c r="I7382" s="64" t="s">
        <v>2883</v>
      </c>
      <c r="J7382" s="67">
        <v>0</v>
      </c>
      <c r="K7382" s="62">
        <v>0</v>
      </c>
      <c r="L7382" s="33" t="e">
        <f>HLOOKUP(B7382,#REF!,1,0)</f>
        <v>#REF!</v>
      </c>
      <c r="M7382" s="33" t="str">
        <f t="shared" si="463"/>
        <v>P&amp;L</v>
      </c>
    </row>
    <row r="7383" spans="1:13">
      <c r="A7383" s="33" t="str">
        <f t="shared" si="460"/>
        <v>SCL - Revenue</v>
      </c>
      <c r="B7383" s="33" t="str">
        <f t="shared" si="461"/>
        <v>SCL</v>
      </c>
      <c r="C7383" s="33" t="str">
        <f t="shared" si="462"/>
        <v>40091-7491</v>
      </c>
      <c r="D7383" s="64" t="s">
        <v>8632</v>
      </c>
      <c r="E7383" s="64" t="s">
        <v>2882</v>
      </c>
      <c r="F7383" s="64" t="s">
        <v>15</v>
      </c>
      <c r="G7383" s="64" t="s">
        <v>2870</v>
      </c>
      <c r="H7383" s="64" t="s">
        <v>2871</v>
      </c>
      <c r="I7383" s="64" t="s">
        <v>2883</v>
      </c>
      <c r="J7383" s="67">
        <v>15583.24</v>
      </c>
      <c r="K7383" s="62">
        <v>110178.75</v>
      </c>
      <c r="L7383" s="33" t="e">
        <f>HLOOKUP(B7383,#REF!,1,0)</f>
        <v>#REF!</v>
      </c>
      <c r="M7383" s="33" t="str">
        <f t="shared" si="463"/>
        <v>P&amp;L</v>
      </c>
    </row>
    <row r="7384" spans="1:13">
      <c r="A7384" s="33" t="str">
        <f t="shared" si="460"/>
        <v>SCL - Revenue</v>
      </c>
      <c r="B7384" s="33" t="str">
        <f t="shared" si="461"/>
        <v>SCL</v>
      </c>
      <c r="C7384" s="33" t="str">
        <f t="shared" si="462"/>
        <v>40091-7492</v>
      </c>
      <c r="D7384" s="64" t="s">
        <v>8633</v>
      </c>
      <c r="E7384" s="64" t="s">
        <v>2882</v>
      </c>
      <c r="F7384" s="64" t="s">
        <v>15</v>
      </c>
      <c r="G7384" s="64" t="s">
        <v>2870</v>
      </c>
      <c r="H7384" s="64" t="s">
        <v>2871</v>
      </c>
      <c r="I7384" s="64" t="s">
        <v>2883</v>
      </c>
      <c r="J7384" s="67">
        <v>21187.08</v>
      </c>
      <c r="K7384" s="62">
        <v>110403.17</v>
      </c>
      <c r="L7384" s="33" t="e">
        <f>HLOOKUP(B7384,#REF!,1,0)</f>
        <v>#REF!</v>
      </c>
      <c r="M7384" s="33" t="str">
        <f t="shared" si="463"/>
        <v>P&amp;L</v>
      </c>
    </row>
    <row r="7385" spans="1:13">
      <c r="A7385" s="33" t="str">
        <f t="shared" si="460"/>
        <v>SCL - Revenue</v>
      </c>
      <c r="B7385" s="33" t="str">
        <f t="shared" si="461"/>
        <v>SCL</v>
      </c>
      <c r="C7385" s="33" t="str">
        <f t="shared" si="462"/>
        <v>40091-7493</v>
      </c>
      <c r="D7385" s="64" t="s">
        <v>8634</v>
      </c>
      <c r="E7385" s="64" t="s">
        <v>2882</v>
      </c>
      <c r="F7385" s="64" t="s">
        <v>15</v>
      </c>
      <c r="G7385" s="64" t="s">
        <v>2870</v>
      </c>
      <c r="H7385" s="64" t="s">
        <v>2871</v>
      </c>
      <c r="I7385" s="64" t="s">
        <v>2883</v>
      </c>
      <c r="J7385" s="67">
        <v>29536.44</v>
      </c>
      <c r="K7385" s="62">
        <v>198285.06</v>
      </c>
      <c r="L7385" s="33" t="e">
        <f>HLOOKUP(B7385,#REF!,1,0)</f>
        <v>#REF!</v>
      </c>
      <c r="M7385" s="33" t="str">
        <f t="shared" si="463"/>
        <v>P&amp;L</v>
      </c>
    </row>
    <row r="7386" spans="1:13">
      <c r="A7386" s="33" t="str">
        <f t="shared" si="460"/>
        <v>SCL - Revenue</v>
      </c>
      <c r="B7386" s="33" t="str">
        <f t="shared" si="461"/>
        <v>SCL</v>
      </c>
      <c r="C7386" s="33" t="str">
        <f t="shared" si="462"/>
        <v>40091-7494</v>
      </c>
      <c r="D7386" s="64" t="s">
        <v>8635</v>
      </c>
      <c r="E7386" s="64" t="s">
        <v>2882</v>
      </c>
      <c r="F7386" s="64" t="s">
        <v>15</v>
      </c>
      <c r="G7386" s="64" t="s">
        <v>2870</v>
      </c>
      <c r="H7386" s="64" t="s">
        <v>2871</v>
      </c>
      <c r="I7386" s="64" t="s">
        <v>2883</v>
      </c>
      <c r="J7386" s="67">
        <v>21299.4</v>
      </c>
      <c r="K7386" s="62">
        <v>138272.19</v>
      </c>
      <c r="L7386" s="33" t="e">
        <f>HLOOKUP(B7386,#REF!,1,0)</f>
        <v>#REF!</v>
      </c>
      <c r="M7386" s="33" t="str">
        <f t="shared" si="463"/>
        <v>P&amp;L</v>
      </c>
    </row>
    <row r="7387" spans="1:13">
      <c r="A7387" s="33" t="str">
        <f t="shared" si="460"/>
        <v>SCL - Revenue</v>
      </c>
      <c r="B7387" s="33" t="str">
        <f t="shared" si="461"/>
        <v>SCL</v>
      </c>
      <c r="C7387" s="33" t="str">
        <f t="shared" si="462"/>
        <v>40091-7625</v>
      </c>
      <c r="D7387" s="64" t="s">
        <v>8636</v>
      </c>
      <c r="E7387" s="64" t="s">
        <v>2882</v>
      </c>
      <c r="F7387" s="64" t="s">
        <v>15</v>
      </c>
      <c r="G7387" s="64" t="s">
        <v>2870</v>
      </c>
      <c r="H7387" s="64" t="s">
        <v>2871</v>
      </c>
      <c r="I7387" s="64" t="s">
        <v>2883</v>
      </c>
      <c r="J7387" s="67">
        <v>34560.56</v>
      </c>
      <c r="K7387" s="62">
        <v>218850.29</v>
      </c>
      <c r="L7387" s="33" t="e">
        <f>HLOOKUP(B7387,#REF!,1,0)</f>
        <v>#REF!</v>
      </c>
      <c r="M7387" s="33" t="str">
        <f t="shared" si="463"/>
        <v>P&amp;L</v>
      </c>
    </row>
    <row r="7388" spans="1:13">
      <c r="A7388" s="33" t="str">
        <f t="shared" si="460"/>
        <v>SCL - Revenue</v>
      </c>
      <c r="B7388" s="33" t="str">
        <f t="shared" si="461"/>
        <v>SCL</v>
      </c>
      <c r="C7388" s="33" t="str">
        <f t="shared" si="462"/>
        <v>40091-8150</v>
      </c>
      <c r="D7388" s="64" t="s">
        <v>8637</v>
      </c>
      <c r="E7388" s="64" t="s">
        <v>2882</v>
      </c>
      <c r="F7388" s="64" t="s">
        <v>15</v>
      </c>
      <c r="G7388" s="64" t="s">
        <v>2870</v>
      </c>
      <c r="H7388" s="64" t="s">
        <v>2871</v>
      </c>
      <c r="I7388" s="64" t="s">
        <v>2883</v>
      </c>
      <c r="J7388" s="67">
        <v>21765.64</v>
      </c>
      <c r="K7388" s="62">
        <v>150985.04</v>
      </c>
      <c r="L7388" s="33" t="e">
        <f>HLOOKUP(B7388,#REF!,1,0)</f>
        <v>#REF!</v>
      </c>
      <c r="M7388" s="33" t="str">
        <f t="shared" si="463"/>
        <v>P&amp;L</v>
      </c>
    </row>
    <row r="7389" spans="1:13">
      <c r="A7389" s="33" t="str">
        <f t="shared" si="460"/>
        <v>SCL - CGS</v>
      </c>
      <c r="B7389" s="33" t="str">
        <f t="shared" si="461"/>
        <v>SCL</v>
      </c>
      <c r="C7389" s="33" t="str">
        <f t="shared" si="462"/>
        <v>50003-0000</v>
      </c>
      <c r="D7389" s="64" t="s">
        <v>8638</v>
      </c>
      <c r="E7389" s="64" t="s">
        <v>2888</v>
      </c>
      <c r="F7389" s="64" t="s">
        <v>15</v>
      </c>
      <c r="G7389" s="64" t="s">
        <v>2889</v>
      </c>
      <c r="H7389" s="64" t="s">
        <v>1875</v>
      </c>
      <c r="I7389" s="64" t="s">
        <v>2890</v>
      </c>
      <c r="J7389" s="67">
        <v>0</v>
      </c>
      <c r="K7389" s="62">
        <v>0</v>
      </c>
      <c r="L7389" s="33" t="e">
        <f>HLOOKUP(B7389,#REF!,1,0)</f>
        <v>#REF!</v>
      </c>
      <c r="M7389" s="33" t="str">
        <f t="shared" si="463"/>
        <v>P&amp;L</v>
      </c>
    </row>
    <row r="7390" spans="1:13">
      <c r="A7390" s="33" t="str">
        <f t="shared" si="460"/>
        <v>SCL - CGS</v>
      </c>
      <c r="B7390" s="33" t="str">
        <f t="shared" si="461"/>
        <v>SCL</v>
      </c>
      <c r="C7390" s="33" t="str">
        <f t="shared" si="462"/>
        <v>50003-7351</v>
      </c>
      <c r="D7390" s="64" t="s">
        <v>8639</v>
      </c>
      <c r="E7390" s="64" t="s">
        <v>2888</v>
      </c>
      <c r="F7390" s="64" t="s">
        <v>15</v>
      </c>
      <c r="G7390" s="64" t="s">
        <v>2889</v>
      </c>
      <c r="H7390" s="64" t="s">
        <v>1875</v>
      </c>
      <c r="I7390" s="64" t="s">
        <v>2890</v>
      </c>
      <c r="J7390" s="67">
        <v>2231.91</v>
      </c>
      <c r="K7390" s="62">
        <v>18591.26</v>
      </c>
      <c r="L7390" s="33" t="e">
        <f>HLOOKUP(B7390,#REF!,1,0)</f>
        <v>#REF!</v>
      </c>
      <c r="M7390" s="33" t="str">
        <f t="shared" si="463"/>
        <v>P&amp;L</v>
      </c>
    </row>
    <row r="7391" spans="1:13">
      <c r="A7391" s="33" t="str">
        <f t="shared" si="460"/>
        <v>SCL - CGS</v>
      </c>
      <c r="B7391" s="33" t="str">
        <f t="shared" si="461"/>
        <v>SCL</v>
      </c>
      <c r="C7391" s="33" t="str">
        <f t="shared" si="462"/>
        <v>50003-7352</v>
      </c>
      <c r="D7391" s="64" t="s">
        <v>8640</v>
      </c>
      <c r="E7391" s="64" t="s">
        <v>2888</v>
      </c>
      <c r="F7391" s="64" t="s">
        <v>15</v>
      </c>
      <c r="G7391" s="64" t="s">
        <v>2889</v>
      </c>
      <c r="H7391" s="64" t="s">
        <v>1875</v>
      </c>
      <c r="I7391" s="64" t="s">
        <v>2890</v>
      </c>
      <c r="J7391" s="67">
        <v>2120.02</v>
      </c>
      <c r="K7391" s="62">
        <v>16848.82</v>
      </c>
      <c r="L7391" s="33" t="e">
        <f>HLOOKUP(B7391,#REF!,1,0)</f>
        <v>#REF!</v>
      </c>
      <c r="M7391" s="33" t="str">
        <f t="shared" si="463"/>
        <v>P&amp;L</v>
      </c>
    </row>
    <row r="7392" spans="1:13">
      <c r="A7392" s="33" t="str">
        <f t="shared" si="460"/>
        <v>SCL - CGS</v>
      </c>
      <c r="B7392" s="33" t="str">
        <f t="shared" si="461"/>
        <v>SCL</v>
      </c>
      <c r="C7392" s="33" t="str">
        <f t="shared" si="462"/>
        <v>50003-7355</v>
      </c>
      <c r="D7392" s="64" t="s">
        <v>8641</v>
      </c>
      <c r="E7392" s="64" t="s">
        <v>2888</v>
      </c>
      <c r="F7392" s="64" t="s">
        <v>15</v>
      </c>
      <c r="G7392" s="64" t="s">
        <v>2889</v>
      </c>
      <c r="H7392" s="64" t="s">
        <v>1875</v>
      </c>
      <c r="I7392" s="64" t="s">
        <v>2890</v>
      </c>
      <c r="J7392" s="67">
        <v>2240.21</v>
      </c>
      <c r="K7392" s="62">
        <v>18909.64</v>
      </c>
      <c r="L7392" s="33" t="e">
        <f>HLOOKUP(B7392,#REF!,1,0)</f>
        <v>#REF!</v>
      </c>
      <c r="M7392" s="33" t="str">
        <f t="shared" si="463"/>
        <v>P&amp;L</v>
      </c>
    </row>
    <row r="7393" spans="1:13">
      <c r="A7393" s="33" t="str">
        <f t="shared" si="460"/>
        <v>SCL - CGS</v>
      </c>
      <c r="B7393" s="33" t="str">
        <f t="shared" si="461"/>
        <v>SCL</v>
      </c>
      <c r="C7393" s="33" t="str">
        <f t="shared" si="462"/>
        <v>50003-7356</v>
      </c>
      <c r="D7393" s="64" t="s">
        <v>8642</v>
      </c>
      <c r="E7393" s="64" t="s">
        <v>2888</v>
      </c>
      <c r="F7393" s="64" t="s">
        <v>15</v>
      </c>
      <c r="G7393" s="64" t="s">
        <v>2889</v>
      </c>
      <c r="H7393" s="64" t="s">
        <v>1875</v>
      </c>
      <c r="I7393" s="64" t="s">
        <v>2890</v>
      </c>
      <c r="J7393" s="67">
        <v>0</v>
      </c>
      <c r="K7393" s="62">
        <v>1046.53</v>
      </c>
      <c r="L7393" s="33" t="e">
        <f>HLOOKUP(B7393,#REF!,1,0)</f>
        <v>#REF!</v>
      </c>
      <c r="M7393" s="33" t="str">
        <f t="shared" si="463"/>
        <v>P&amp;L</v>
      </c>
    </row>
    <row r="7394" spans="1:13">
      <c r="A7394" s="33" t="str">
        <f t="shared" si="460"/>
        <v>SCL - CGS</v>
      </c>
      <c r="B7394" s="33" t="str">
        <f t="shared" si="461"/>
        <v>SCL</v>
      </c>
      <c r="C7394" s="33" t="str">
        <f t="shared" si="462"/>
        <v>50003-7359</v>
      </c>
      <c r="D7394" s="64" t="s">
        <v>8643</v>
      </c>
      <c r="E7394" s="64" t="s">
        <v>2888</v>
      </c>
      <c r="F7394" s="64" t="s">
        <v>15</v>
      </c>
      <c r="G7394" s="64" t="s">
        <v>2889</v>
      </c>
      <c r="H7394" s="64" t="s">
        <v>1875</v>
      </c>
      <c r="I7394" s="64" t="s">
        <v>2890</v>
      </c>
      <c r="J7394" s="67">
        <v>1901.39</v>
      </c>
      <c r="K7394" s="62">
        <v>14545.88</v>
      </c>
      <c r="L7394" s="33" t="e">
        <f>HLOOKUP(B7394,#REF!,1,0)</f>
        <v>#REF!</v>
      </c>
      <c r="M7394" s="33" t="str">
        <f t="shared" si="463"/>
        <v>P&amp;L</v>
      </c>
    </row>
    <row r="7395" spans="1:13">
      <c r="A7395" s="33" t="str">
        <f t="shared" si="460"/>
        <v>SCL - CGS</v>
      </c>
      <c r="B7395" s="33" t="str">
        <f t="shared" si="461"/>
        <v>SCL</v>
      </c>
      <c r="C7395" s="33" t="str">
        <f t="shared" si="462"/>
        <v>50003-7360</v>
      </c>
      <c r="D7395" s="64" t="s">
        <v>8644</v>
      </c>
      <c r="E7395" s="64" t="s">
        <v>2888</v>
      </c>
      <c r="F7395" s="64" t="s">
        <v>15</v>
      </c>
      <c r="G7395" s="64" t="s">
        <v>2889</v>
      </c>
      <c r="H7395" s="64" t="s">
        <v>1875</v>
      </c>
      <c r="I7395" s="64" t="s">
        <v>2890</v>
      </c>
      <c r="J7395" s="67">
        <v>2635.77</v>
      </c>
      <c r="K7395" s="62">
        <v>19509.16</v>
      </c>
      <c r="L7395" s="33" t="e">
        <f>HLOOKUP(B7395,#REF!,1,0)</f>
        <v>#REF!</v>
      </c>
      <c r="M7395" s="33" t="str">
        <f t="shared" si="463"/>
        <v>P&amp;L</v>
      </c>
    </row>
    <row r="7396" spans="1:13">
      <c r="A7396" s="33" t="str">
        <f t="shared" si="460"/>
        <v>SCL - CGS</v>
      </c>
      <c r="B7396" s="33" t="str">
        <f t="shared" si="461"/>
        <v>SCL</v>
      </c>
      <c r="C7396" s="33" t="str">
        <f t="shared" si="462"/>
        <v>50003-7361</v>
      </c>
      <c r="D7396" s="64" t="s">
        <v>8645</v>
      </c>
      <c r="E7396" s="64" t="s">
        <v>2888</v>
      </c>
      <c r="F7396" s="64" t="s">
        <v>15</v>
      </c>
      <c r="G7396" s="64" t="s">
        <v>2889</v>
      </c>
      <c r="H7396" s="64" t="s">
        <v>1875</v>
      </c>
      <c r="I7396" s="64" t="s">
        <v>2890</v>
      </c>
      <c r="J7396" s="67">
        <v>2551.97</v>
      </c>
      <c r="K7396" s="62">
        <v>19981.35</v>
      </c>
      <c r="L7396" s="33" t="e">
        <f>HLOOKUP(B7396,#REF!,1,0)</f>
        <v>#REF!</v>
      </c>
      <c r="M7396" s="33" t="str">
        <f t="shared" si="463"/>
        <v>P&amp;L</v>
      </c>
    </row>
    <row r="7397" spans="1:13">
      <c r="A7397" s="33" t="str">
        <f t="shared" si="460"/>
        <v>SCL - CGS</v>
      </c>
      <c r="B7397" s="33" t="str">
        <f t="shared" si="461"/>
        <v>SCL</v>
      </c>
      <c r="C7397" s="33" t="str">
        <f t="shared" si="462"/>
        <v>50003-7362</v>
      </c>
      <c r="D7397" s="64" t="s">
        <v>8646</v>
      </c>
      <c r="E7397" s="64" t="s">
        <v>2888</v>
      </c>
      <c r="F7397" s="64" t="s">
        <v>15</v>
      </c>
      <c r="G7397" s="64" t="s">
        <v>2889</v>
      </c>
      <c r="H7397" s="64" t="s">
        <v>1875</v>
      </c>
      <c r="I7397" s="64" t="s">
        <v>2890</v>
      </c>
      <c r="J7397" s="67">
        <v>1631.05</v>
      </c>
      <c r="K7397" s="62">
        <v>13470.06</v>
      </c>
      <c r="L7397" s="33" t="e">
        <f>HLOOKUP(B7397,#REF!,1,0)</f>
        <v>#REF!</v>
      </c>
      <c r="M7397" s="33" t="str">
        <f t="shared" si="463"/>
        <v>P&amp;L</v>
      </c>
    </row>
    <row r="7398" spans="1:13">
      <c r="A7398" s="33" t="str">
        <f t="shared" si="460"/>
        <v>SCL - CGS</v>
      </c>
      <c r="B7398" s="33" t="str">
        <f t="shared" si="461"/>
        <v>SCL</v>
      </c>
      <c r="C7398" s="33" t="str">
        <f t="shared" si="462"/>
        <v>50003-7363</v>
      </c>
      <c r="D7398" s="64" t="s">
        <v>8647</v>
      </c>
      <c r="E7398" s="64" t="s">
        <v>2888</v>
      </c>
      <c r="F7398" s="64" t="s">
        <v>15</v>
      </c>
      <c r="G7398" s="64" t="s">
        <v>2889</v>
      </c>
      <c r="H7398" s="64" t="s">
        <v>1875</v>
      </c>
      <c r="I7398" s="64" t="s">
        <v>2890</v>
      </c>
      <c r="J7398" s="67">
        <v>1872.56</v>
      </c>
      <c r="K7398" s="62">
        <v>15463.38</v>
      </c>
      <c r="L7398" s="33" t="e">
        <f>HLOOKUP(B7398,#REF!,1,0)</f>
        <v>#REF!</v>
      </c>
      <c r="M7398" s="33" t="str">
        <f t="shared" si="463"/>
        <v>P&amp;L</v>
      </c>
    </row>
    <row r="7399" spans="1:13">
      <c r="A7399" s="33" t="str">
        <f t="shared" si="460"/>
        <v>SCL - CGS</v>
      </c>
      <c r="B7399" s="33" t="str">
        <f t="shared" si="461"/>
        <v>SCL</v>
      </c>
      <c r="C7399" s="33" t="str">
        <f t="shared" si="462"/>
        <v>50003-7364</v>
      </c>
      <c r="D7399" s="64" t="s">
        <v>8648</v>
      </c>
      <c r="E7399" s="64" t="s">
        <v>2888</v>
      </c>
      <c r="F7399" s="64" t="s">
        <v>15</v>
      </c>
      <c r="G7399" s="64" t="s">
        <v>2889</v>
      </c>
      <c r="H7399" s="64" t="s">
        <v>1875</v>
      </c>
      <c r="I7399" s="64" t="s">
        <v>2890</v>
      </c>
      <c r="J7399" s="67">
        <v>898.4</v>
      </c>
      <c r="K7399" s="62">
        <v>8369.09</v>
      </c>
      <c r="L7399" s="33" t="e">
        <f>HLOOKUP(B7399,#REF!,1,0)</f>
        <v>#REF!</v>
      </c>
      <c r="M7399" s="33" t="str">
        <f t="shared" si="463"/>
        <v>P&amp;L</v>
      </c>
    </row>
    <row r="7400" spans="1:13">
      <c r="A7400" s="33" t="str">
        <f t="shared" si="460"/>
        <v>SCL - CGS</v>
      </c>
      <c r="B7400" s="33" t="str">
        <f t="shared" si="461"/>
        <v>SCL</v>
      </c>
      <c r="C7400" s="33" t="str">
        <f t="shared" si="462"/>
        <v>50003-7365</v>
      </c>
      <c r="D7400" s="64" t="s">
        <v>8649</v>
      </c>
      <c r="E7400" s="64" t="s">
        <v>2888</v>
      </c>
      <c r="F7400" s="64" t="s">
        <v>15</v>
      </c>
      <c r="G7400" s="64" t="s">
        <v>2889</v>
      </c>
      <c r="H7400" s="64" t="s">
        <v>1875</v>
      </c>
      <c r="I7400" s="64" t="s">
        <v>2890</v>
      </c>
      <c r="J7400" s="67">
        <v>1607.04</v>
      </c>
      <c r="K7400" s="62">
        <v>13616.73</v>
      </c>
      <c r="L7400" s="33" t="e">
        <f>HLOOKUP(B7400,#REF!,1,0)</f>
        <v>#REF!</v>
      </c>
      <c r="M7400" s="33" t="str">
        <f t="shared" si="463"/>
        <v>P&amp;L</v>
      </c>
    </row>
    <row r="7401" spans="1:13">
      <c r="A7401" s="33" t="str">
        <f t="shared" si="460"/>
        <v>SCL - CGS</v>
      </c>
      <c r="B7401" s="33" t="str">
        <f t="shared" si="461"/>
        <v>SCL</v>
      </c>
      <c r="C7401" s="33" t="str">
        <f t="shared" si="462"/>
        <v>50003-7366</v>
      </c>
      <c r="D7401" s="64" t="s">
        <v>8650</v>
      </c>
      <c r="E7401" s="64" t="s">
        <v>2888</v>
      </c>
      <c r="F7401" s="64" t="s">
        <v>15</v>
      </c>
      <c r="G7401" s="64" t="s">
        <v>2889</v>
      </c>
      <c r="H7401" s="64" t="s">
        <v>1875</v>
      </c>
      <c r="I7401" s="64" t="s">
        <v>2890</v>
      </c>
      <c r="J7401" s="67">
        <v>2817.12</v>
      </c>
      <c r="K7401" s="62">
        <v>23467.66</v>
      </c>
      <c r="L7401" s="33" t="e">
        <f>HLOOKUP(B7401,#REF!,1,0)</f>
        <v>#REF!</v>
      </c>
      <c r="M7401" s="33" t="str">
        <f t="shared" si="463"/>
        <v>P&amp;L</v>
      </c>
    </row>
    <row r="7402" spans="1:13">
      <c r="A7402" s="33" t="str">
        <f t="shared" si="460"/>
        <v>SCL - CGS</v>
      </c>
      <c r="B7402" s="33" t="str">
        <f t="shared" si="461"/>
        <v>SCL</v>
      </c>
      <c r="C7402" s="33" t="str">
        <f t="shared" si="462"/>
        <v>50003-7368</v>
      </c>
      <c r="D7402" s="64" t="s">
        <v>8651</v>
      </c>
      <c r="E7402" s="64" t="s">
        <v>2888</v>
      </c>
      <c r="F7402" s="64" t="s">
        <v>15</v>
      </c>
      <c r="G7402" s="64" t="s">
        <v>2889</v>
      </c>
      <c r="H7402" s="64" t="s">
        <v>1875</v>
      </c>
      <c r="I7402" s="64" t="s">
        <v>2890</v>
      </c>
      <c r="J7402" s="67">
        <v>3270.27</v>
      </c>
      <c r="K7402" s="62">
        <v>27131.41</v>
      </c>
      <c r="L7402" s="33" t="e">
        <f>HLOOKUP(B7402,#REF!,1,0)</f>
        <v>#REF!</v>
      </c>
      <c r="M7402" s="33" t="str">
        <f t="shared" si="463"/>
        <v>P&amp;L</v>
      </c>
    </row>
    <row r="7403" spans="1:13">
      <c r="A7403" s="33" t="str">
        <f t="shared" si="460"/>
        <v>SCL - CGS</v>
      </c>
      <c r="B7403" s="33" t="str">
        <f t="shared" si="461"/>
        <v>SCL</v>
      </c>
      <c r="C7403" s="33" t="str">
        <f t="shared" si="462"/>
        <v>50003-7369</v>
      </c>
      <c r="D7403" s="64" t="s">
        <v>8652</v>
      </c>
      <c r="E7403" s="64" t="s">
        <v>2888</v>
      </c>
      <c r="F7403" s="64" t="s">
        <v>15</v>
      </c>
      <c r="G7403" s="64" t="s">
        <v>2889</v>
      </c>
      <c r="H7403" s="64" t="s">
        <v>1875</v>
      </c>
      <c r="I7403" s="64" t="s">
        <v>2890</v>
      </c>
      <c r="J7403" s="67">
        <v>1945.62</v>
      </c>
      <c r="K7403" s="62">
        <v>15498.31</v>
      </c>
      <c r="L7403" s="33" t="e">
        <f>HLOOKUP(B7403,#REF!,1,0)</f>
        <v>#REF!</v>
      </c>
      <c r="M7403" s="33" t="str">
        <f t="shared" si="463"/>
        <v>P&amp;L</v>
      </c>
    </row>
    <row r="7404" spans="1:13">
      <c r="A7404" s="33" t="str">
        <f t="shared" si="460"/>
        <v>SCL - CGS</v>
      </c>
      <c r="B7404" s="33" t="str">
        <f t="shared" si="461"/>
        <v>SCL</v>
      </c>
      <c r="C7404" s="33" t="str">
        <f t="shared" si="462"/>
        <v>50003-7370</v>
      </c>
      <c r="D7404" s="64" t="s">
        <v>8653</v>
      </c>
      <c r="E7404" s="64" t="s">
        <v>2888</v>
      </c>
      <c r="F7404" s="64" t="s">
        <v>15</v>
      </c>
      <c r="G7404" s="64" t="s">
        <v>2889</v>
      </c>
      <c r="H7404" s="64" t="s">
        <v>1875</v>
      </c>
      <c r="I7404" s="64" t="s">
        <v>2890</v>
      </c>
      <c r="J7404" s="67">
        <v>0</v>
      </c>
      <c r="K7404" s="62">
        <v>0</v>
      </c>
      <c r="L7404" s="33" t="e">
        <f>HLOOKUP(B7404,#REF!,1,0)</f>
        <v>#REF!</v>
      </c>
      <c r="M7404" s="33" t="str">
        <f t="shared" si="463"/>
        <v>P&amp;L</v>
      </c>
    </row>
    <row r="7405" spans="1:13">
      <c r="A7405" s="33" t="str">
        <f t="shared" si="460"/>
        <v>SCL - CGS</v>
      </c>
      <c r="B7405" s="33" t="str">
        <f t="shared" si="461"/>
        <v>SCL</v>
      </c>
      <c r="C7405" s="33" t="str">
        <f t="shared" si="462"/>
        <v>50003-7371</v>
      </c>
      <c r="D7405" s="64" t="s">
        <v>8654</v>
      </c>
      <c r="E7405" s="64" t="s">
        <v>2888</v>
      </c>
      <c r="F7405" s="64" t="s">
        <v>15</v>
      </c>
      <c r="G7405" s="64" t="s">
        <v>2889</v>
      </c>
      <c r="H7405" s="64" t="s">
        <v>1875</v>
      </c>
      <c r="I7405" s="64" t="s">
        <v>2890</v>
      </c>
      <c r="J7405" s="67">
        <v>1990.35</v>
      </c>
      <c r="K7405" s="62">
        <v>16110</v>
      </c>
      <c r="L7405" s="33" t="e">
        <f>HLOOKUP(B7405,#REF!,1,0)</f>
        <v>#REF!</v>
      </c>
      <c r="M7405" s="33" t="str">
        <f t="shared" si="463"/>
        <v>P&amp;L</v>
      </c>
    </row>
    <row r="7406" spans="1:13">
      <c r="A7406" s="33" t="str">
        <f t="shared" si="460"/>
        <v>SCL - CGS</v>
      </c>
      <c r="B7406" s="33" t="str">
        <f t="shared" si="461"/>
        <v>SCL</v>
      </c>
      <c r="C7406" s="33" t="str">
        <f t="shared" si="462"/>
        <v>50003-7374</v>
      </c>
      <c r="D7406" s="64" t="s">
        <v>8655</v>
      </c>
      <c r="E7406" s="64" t="s">
        <v>2888</v>
      </c>
      <c r="F7406" s="64" t="s">
        <v>15</v>
      </c>
      <c r="G7406" s="64" t="s">
        <v>2889</v>
      </c>
      <c r="H7406" s="64" t="s">
        <v>1875</v>
      </c>
      <c r="I7406" s="64" t="s">
        <v>2890</v>
      </c>
      <c r="J7406" s="67">
        <v>3420.29</v>
      </c>
      <c r="K7406" s="62">
        <v>20889.45</v>
      </c>
      <c r="L7406" s="33" t="e">
        <f>HLOOKUP(B7406,#REF!,1,0)</f>
        <v>#REF!</v>
      </c>
      <c r="M7406" s="33" t="str">
        <f t="shared" si="463"/>
        <v>P&amp;L</v>
      </c>
    </row>
    <row r="7407" spans="1:13">
      <c r="A7407" s="33" t="str">
        <f t="shared" si="460"/>
        <v>SCL - CGS</v>
      </c>
      <c r="B7407" s="33" t="str">
        <f t="shared" si="461"/>
        <v>SCL</v>
      </c>
      <c r="C7407" s="33" t="str">
        <f t="shared" si="462"/>
        <v>50003-7375</v>
      </c>
      <c r="D7407" s="64" t="s">
        <v>8656</v>
      </c>
      <c r="E7407" s="64" t="s">
        <v>2888</v>
      </c>
      <c r="F7407" s="64" t="s">
        <v>15</v>
      </c>
      <c r="G7407" s="64" t="s">
        <v>2889</v>
      </c>
      <c r="H7407" s="64" t="s">
        <v>1875</v>
      </c>
      <c r="I7407" s="64" t="s">
        <v>2890</v>
      </c>
      <c r="J7407" s="67">
        <v>2206.61</v>
      </c>
      <c r="K7407" s="62">
        <v>17855.29</v>
      </c>
      <c r="L7407" s="33" t="e">
        <f>HLOOKUP(B7407,#REF!,1,0)</f>
        <v>#REF!</v>
      </c>
      <c r="M7407" s="33" t="str">
        <f t="shared" si="463"/>
        <v>P&amp;L</v>
      </c>
    </row>
    <row r="7408" spans="1:13">
      <c r="A7408" s="33" t="str">
        <f t="shared" si="460"/>
        <v>SCL - CGS</v>
      </c>
      <c r="B7408" s="33" t="str">
        <f t="shared" si="461"/>
        <v>SCL</v>
      </c>
      <c r="C7408" s="33" t="str">
        <f t="shared" si="462"/>
        <v>50003-7376</v>
      </c>
      <c r="D7408" s="64" t="s">
        <v>8657</v>
      </c>
      <c r="E7408" s="64" t="s">
        <v>2888</v>
      </c>
      <c r="F7408" s="64" t="s">
        <v>15</v>
      </c>
      <c r="G7408" s="64" t="s">
        <v>2889</v>
      </c>
      <c r="H7408" s="64" t="s">
        <v>1875</v>
      </c>
      <c r="I7408" s="64" t="s">
        <v>2890</v>
      </c>
      <c r="J7408" s="67">
        <v>4132.69</v>
      </c>
      <c r="K7408" s="62">
        <v>38944.62</v>
      </c>
      <c r="L7408" s="33" t="e">
        <f>HLOOKUP(B7408,#REF!,1,0)</f>
        <v>#REF!</v>
      </c>
      <c r="M7408" s="33" t="str">
        <f t="shared" si="463"/>
        <v>P&amp;L</v>
      </c>
    </row>
    <row r="7409" spans="1:13">
      <c r="A7409" s="33" t="str">
        <f t="shared" si="460"/>
        <v>SCL - CGS</v>
      </c>
      <c r="B7409" s="33" t="str">
        <f t="shared" si="461"/>
        <v>SCL</v>
      </c>
      <c r="C7409" s="33" t="str">
        <f t="shared" si="462"/>
        <v>50003-7377</v>
      </c>
      <c r="D7409" s="64" t="s">
        <v>8658</v>
      </c>
      <c r="E7409" s="64" t="s">
        <v>2888</v>
      </c>
      <c r="F7409" s="64" t="s">
        <v>15</v>
      </c>
      <c r="G7409" s="64" t="s">
        <v>2889</v>
      </c>
      <c r="H7409" s="64" t="s">
        <v>1875</v>
      </c>
      <c r="I7409" s="64" t="s">
        <v>2890</v>
      </c>
      <c r="J7409" s="67">
        <v>2438.34</v>
      </c>
      <c r="K7409" s="62">
        <v>19762.71</v>
      </c>
      <c r="L7409" s="33" t="e">
        <f>HLOOKUP(B7409,#REF!,1,0)</f>
        <v>#REF!</v>
      </c>
      <c r="M7409" s="33" t="str">
        <f t="shared" si="463"/>
        <v>P&amp;L</v>
      </c>
    </row>
    <row r="7410" spans="1:13">
      <c r="A7410" s="33" t="str">
        <f t="shared" si="460"/>
        <v>SCL - CGS</v>
      </c>
      <c r="B7410" s="33" t="str">
        <f t="shared" si="461"/>
        <v>SCL</v>
      </c>
      <c r="C7410" s="33" t="str">
        <f t="shared" si="462"/>
        <v>50003-7378</v>
      </c>
      <c r="D7410" s="64" t="s">
        <v>8659</v>
      </c>
      <c r="E7410" s="64" t="s">
        <v>2888</v>
      </c>
      <c r="F7410" s="64" t="s">
        <v>15</v>
      </c>
      <c r="G7410" s="64" t="s">
        <v>2889</v>
      </c>
      <c r="H7410" s="64" t="s">
        <v>1875</v>
      </c>
      <c r="I7410" s="64" t="s">
        <v>2890</v>
      </c>
      <c r="J7410" s="67">
        <v>3213.68</v>
      </c>
      <c r="K7410" s="62">
        <v>25176.77</v>
      </c>
      <c r="L7410" s="33" t="e">
        <f>HLOOKUP(B7410,#REF!,1,0)</f>
        <v>#REF!</v>
      </c>
      <c r="M7410" s="33" t="str">
        <f t="shared" si="463"/>
        <v>P&amp;L</v>
      </c>
    </row>
    <row r="7411" spans="1:13">
      <c r="A7411" s="33" t="str">
        <f t="shared" si="460"/>
        <v>SCL - CGS</v>
      </c>
      <c r="B7411" s="33" t="str">
        <f t="shared" si="461"/>
        <v>SCL</v>
      </c>
      <c r="C7411" s="33" t="str">
        <f t="shared" si="462"/>
        <v>50003-7379</v>
      </c>
      <c r="D7411" s="64" t="s">
        <v>8660</v>
      </c>
      <c r="E7411" s="64" t="s">
        <v>2888</v>
      </c>
      <c r="F7411" s="64" t="s">
        <v>15</v>
      </c>
      <c r="G7411" s="64" t="s">
        <v>2889</v>
      </c>
      <c r="H7411" s="64" t="s">
        <v>1875</v>
      </c>
      <c r="I7411" s="64" t="s">
        <v>2890</v>
      </c>
      <c r="J7411" s="67">
        <v>2908.68</v>
      </c>
      <c r="K7411" s="62">
        <v>23202.9</v>
      </c>
      <c r="L7411" s="33" t="e">
        <f>HLOOKUP(B7411,#REF!,1,0)</f>
        <v>#REF!</v>
      </c>
      <c r="M7411" s="33" t="str">
        <f t="shared" si="463"/>
        <v>P&amp;L</v>
      </c>
    </row>
    <row r="7412" spans="1:13">
      <c r="A7412" s="33" t="str">
        <f t="shared" si="460"/>
        <v>SCL - CGS</v>
      </c>
      <c r="B7412" s="33" t="str">
        <f t="shared" si="461"/>
        <v>SCL</v>
      </c>
      <c r="C7412" s="33" t="str">
        <f t="shared" si="462"/>
        <v>50003-7380</v>
      </c>
      <c r="D7412" s="64" t="s">
        <v>8661</v>
      </c>
      <c r="E7412" s="64" t="s">
        <v>2888</v>
      </c>
      <c r="F7412" s="64" t="s">
        <v>15</v>
      </c>
      <c r="G7412" s="64" t="s">
        <v>2889</v>
      </c>
      <c r="H7412" s="64" t="s">
        <v>1875</v>
      </c>
      <c r="I7412" s="64" t="s">
        <v>2890</v>
      </c>
      <c r="J7412" s="67">
        <v>1724.07</v>
      </c>
      <c r="K7412" s="62">
        <v>14687.39</v>
      </c>
      <c r="L7412" s="33" t="e">
        <f>HLOOKUP(B7412,#REF!,1,0)</f>
        <v>#REF!</v>
      </c>
      <c r="M7412" s="33" t="str">
        <f t="shared" si="463"/>
        <v>P&amp;L</v>
      </c>
    </row>
    <row r="7413" spans="1:13">
      <c r="A7413" s="33" t="str">
        <f t="shared" si="460"/>
        <v>SCL - CGS</v>
      </c>
      <c r="B7413" s="33" t="str">
        <f t="shared" si="461"/>
        <v>SCL</v>
      </c>
      <c r="C7413" s="33" t="str">
        <f t="shared" si="462"/>
        <v>50003-7381</v>
      </c>
      <c r="D7413" s="64" t="s">
        <v>8662</v>
      </c>
      <c r="E7413" s="64" t="s">
        <v>2888</v>
      </c>
      <c r="F7413" s="64" t="s">
        <v>15</v>
      </c>
      <c r="G7413" s="64" t="s">
        <v>2889</v>
      </c>
      <c r="H7413" s="64" t="s">
        <v>1875</v>
      </c>
      <c r="I7413" s="64" t="s">
        <v>2890</v>
      </c>
      <c r="J7413" s="67">
        <v>3260.46</v>
      </c>
      <c r="K7413" s="62">
        <v>22682.47</v>
      </c>
      <c r="L7413" s="33" t="e">
        <f>HLOOKUP(B7413,#REF!,1,0)</f>
        <v>#REF!</v>
      </c>
      <c r="M7413" s="33" t="str">
        <f t="shared" si="463"/>
        <v>P&amp;L</v>
      </c>
    </row>
    <row r="7414" spans="1:13">
      <c r="A7414" s="33" t="str">
        <f t="shared" si="460"/>
        <v>SCL - CGS</v>
      </c>
      <c r="B7414" s="33" t="str">
        <f t="shared" si="461"/>
        <v>SCL</v>
      </c>
      <c r="C7414" s="33" t="str">
        <f t="shared" si="462"/>
        <v>50003-7383</v>
      </c>
      <c r="D7414" s="64" t="s">
        <v>8663</v>
      </c>
      <c r="E7414" s="64" t="s">
        <v>2888</v>
      </c>
      <c r="F7414" s="64" t="s">
        <v>15</v>
      </c>
      <c r="G7414" s="64" t="s">
        <v>2889</v>
      </c>
      <c r="H7414" s="64" t="s">
        <v>1875</v>
      </c>
      <c r="I7414" s="64" t="s">
        <v>2890</v>
      </c>
      <c r="J7414" s="67">
        <v>2348.15</v>
      </c>
      <c r="K7414" s="62">
        <v>19327.67</v>
      </c>
      <c r="L7414" s="33" t="e">
        <f>HLOOKUP(B7414,#REF!,1,0)</f>
        <v>#REF!</v>
      </c>
      <c r="M7414" s="33" t="str">
        <f t="shared" si="463"/>
        <v>P&amp;L</v>
      </c>
    </row>
    <row r="7415" spans="1:13">
      <c r="A7415" s="33" t="str">
        <f t="shared" si="460"/>
        <v>SCL - CGS</v>
      </c>
      <c r="B7415" s="33" t="str">
        <f t="shared" si="461"/>
        <v>SCL</v>
      </c>
      <c r="C7415" s="33" t="str">
        <f t="shared" si="462"/>
        <v>50003-7385</v>
      </c>
      <c r="D7415" s="64" t="s">
        <v>8664</v>
      </c>
      <c r="E7415" s="64" t="s">
        <v>2888</v>
      </c>
      <c r="F7415" s="64" t="s">
        <v>15</v>
      </c>
      <c r="G7415" s="64" t="s">
        <v>2889</v>
      </c>
      <c r="H7415" s="64" t="s">
        <v>1875</v>
      </c>
      <c r="I7415" s="64" t="s">
        <v>2890</v>
      </c>
      <c r="J7415" s="67">
        <v>1630.9</v>
      </c>
      <c r="K7415" s="62">
        <v>12913.3</v>
      </c>
      <c r="L7415" s="33" t="e">
        <f>HLOOKUP(B7415,#REF!,1,0)</f>
        <v>#REF!</v>
      </c>
      <c r="M7415" s="33" t="str">
        <f t="shared" si="463"/>
        <v>P&amp;L</v>
      </c>
    </row>
    <row r="7416" spans="1:13">
      <c r="A7416" s="33" t="str">
        <f t="shared" si="460"/>
        <v>SCL - CGS</v>
      </c>
      <c r="B7416" s="33" t="str">
        <f t="shared" si="461"/>
        <v>SCL</v>
      </c>
      <c r="C7416" s="33" t="str">
        <f t="shared" si="462"/>
        <v>50003-7386</v>
      </c>
      <c r="D7416" s="64" t="s">
        <v>8665</v>
      </c>
      <c r="E7416" s="64" t="s">
        <v>2888</v>
      </c>
      <c r="F7416" s="64" t="s">
        <v>15</v>
      </c>
      <c r="G7416" s="64" t="s">
        <v>2889</v>
      </c>
      <c r="H7416" s="64" t="s">
        <v>1875</v>
      </c>
      <c r="I7416" s="64" t="s">
        <v>2890</v>
      </c>
      <c r="J7416" s="67">
        <v>2297.6</v>
      </c>
      <c r="K7416" s="62">
        <v>17687.91</v>
      </c>
      <c r="L7416" s="33" t="e">
        <f>HLOOKUP(B7416,#REF!,1,0)</f>
        <v>#REF!</v>
      </c>
      <c r="M7416" s="33" t="str">
        <f t="shared" si="463"/>
        <v>P&amp;L</v>
      </c>
    </row>
    <row r="7417" spans="1:13">
      <c r="A7417" s="33" t="str">
        <f t="shared" si="460"/>
        <v>SCL - CGS</v>
      </c>
      <c r="B7417" s="33" t="str">
        <f t="shared" si="461"/>
        <v>SCL</v>
      </c>
      <c r="C7417" s="33" t="str">
        <f t="shared" si="462"/>
        <v>50003-7387</v>
      </c>
      <c r="D7417" s="64" t="s">
        <v>8666</v>
      </c>
      <c r="E7417" s="64" t="s">
        <v>2888</v>
      </c>
      <c r="F7417" s="64" t="s">
        <v>15</v>
      </c>
      <c r="G7417" s="64" t="s">
        <v>2889</v>
      </c>
      <c r="H7417" s="64" t="s">
        <v>1875</v>
      </c>
      <c r="I7417" s="64" t="s">
        <v>2890</v>
      </c>
      <c r="J7417" s="67">
        <v>2474.04</v>
      </c>
      <c r="K7417" s="62">
        <v>20761.04</v>
      </c>
      <c r="L7417" s="33" t="e">
        <f>HLOOKUP(B7417,#REF!,1,0)</f>
        <v>#REF!</v>
      </c>
      <c r="M7417" s="33" t="str">
        <f t="shared" si="463"/>
        <v>P&amp;L</v>
      </c>
    </row>
    <row r="7418" spans="1:13">
      <c r="A7418" s="33" t="str">
        <f t="shared" si="460"/>
        <v>SCL - CGS</v>
      </c>
      <c r="B7418" s="33" t="str">
        <f t="shared" si="461"/>
        <v>SCL</v>
      </c>
      <c r="C7418" s="33" t="str">
        <f t="shared" si="462"/>
        <v>50003-7389</v>
      </c>
      <c r="D7418" s="64" t="s">
        <v>8667</v>
      </c>
      <c r="E7418" s="64" t="s">
        <v>2888</v>
      </c>
      <c r="F7418" s="64" t="s">
        <v>15</v>
      </c>
      <c r="G7418" s="64" t="s">
        <v>2889</v>
      </c>
      <c r="H7418" s="64" t="s">
        <v>1875</v>
      </c>
      <c r="I7418" s="64" t="s">
        <v>2890</v>
      </c>
      <c r="J7418" s="67">
        <v>4728.47</v>
      </c>
      <c r="K7418" s="62">
        <v>29587.55</v>
      </c>
      <c r="L7418" s="33" t="e">
        <f>HLOOKUP(B7418,#REF!,1,0)</f>
        <v>#REF!</v>
      </c>
      <c r="M7418" s="33" t="str">
        <f t="shared" si="463"/>
        <v>P&amp;L</v>
      </c>
    </row>
    <row r="7419" spans="1:13">
      <c r="A7419" s="33" t="str">
        <f t="shared" si="460"/>
        <v>SCL - CGS</v>
      </c>
      <c r="B7419" s="33" t="str">
        <f t="shared" si="461"/>
        <v>SCL</v>
      </c>
      <c r="C7419" s="33" t="str">
        <f t="shared" si="462"/>
        <v>50003-7391</v>
      </c>
      <c r="D7419" s="64" t="s">
        <v>8668</v>
      </c>
      <c r="E7419" s="64" t="s">
        <v>2888</v>
      </c>
      <c r="F7419" s="64" t="s">
        <v>15</v>
      </c>
      <c r="G7419" s="64" t="s">
        <v>2889</v>
      </c>
      <c r="H7419" s="64" t="s">
        <v>1875</v>
      </c>
      <c r="I7419" s="64" t="s">
        <v>2890</v>
      </c>
      <c r="J7419" s="67">
        <v>2689.16</v>
      </c>
      <c r="K7419" s="62">
        <v>19580.11</v>
      </c>
      <c r="L7419" s="33" t="e">
        <f>HLOOKUP(B7419,#REF!,1,0)</f>
        <v>#REF!</v>
      </c>
      <c r="M7419" s="33" t="str">
        <f t="shared" si="463"/>
        <v>P&amp;L</v>
      </c>
    </row>
    <row r="7420" spans="1:13">
      <c r="A7420" s="33" t="str">
        <f t="shared" si="460"/>
        <v>SCL - CGS</v>
      </c>
      <c r="B7420" s="33" t="str">
        <f t="shared" si="461"/>
        <v>SCL</v>
      </c>
      <c r="C7420" s="33" t="str">
        <f t="shared" si="462"/>
        <v>50003-7393</v>
      </c>
      <c r="D7420" s="64" t="s">
        <v>8669</v>
      </c>
      <c r="E7420" s="64" t="s">
        <v>2888</v>
      </c>
      <c r="F7420" s="64" t="s">
        <v>15</v>
      </c>
      <c r="G7420" s="64" t="s">
        <v>2889</v>
      </c>
      <c r="H7420" s="64" t="s">
        <v>1875</v>
      </c>
      <c r="I7420" s="64" t="s">
        <v>2890</v>
      </c>
      <c r="J7420" s="67">
        <v>1933.77</v>
      </c>
      <c r="K7420" s="62">
        <v>15562.36</v>
      </c>
      <c r="L7420" s="33" t="e">
        <f>HLOOKUP(B7420,#REF!,1,0)</f>
        <v>#REF!</v>
      </c>
      <c r="M7420" s="33" t="str">
        <f t="shared" si="463"/>
        <v>P&amp;L</v>
      </c>
    </row>
    <row r="7421" spans="1:13">
      <c r="A7421" s="33" t="str">
        <f t="shared" si="460"/>
        <v>SCL - CGS</v>
      </c>
      <c r="B7421" s="33" t="str">
        <f t="shared" si="461"/>
        <v>SCL</v>
      </c>
      <c r="C7421" s="33" t="str">
        <f t="shared" si="462"/>
        <v>50003-7394</v>
      </c>
      <c r="D7421" s="64" t="s">
        <v>8670</v>
      </c>
      <c r="E7421" s="64" t="s">
        <v>2888</v>
      </c>
      <c r="F7421" s="64" t="s">
        <v>15</v>
      </c>
      <c r="G7421" s="64" t="s">
        <v>2889</v>
      </c>
      <c r="H7421" s="64" t="s">
        <v>1875</v>
      </c>
      <c r="I7421" s="64" t="s">
        <v>2890</v>
      </c>
      <c r="J7421" s="67">
        <v>1916.93</v>
      </c>
      <c r="K7421" s="62">
        <v>15115.86</v>
      </c>
      <c r="L7421" s="33" t="e">
        <f>HLOOKUP(B7421,#REF!,1,0)</f>
        <v>#REF!</v>
      </c>
      <c r="M7421" s="33" t="str">
        <f t="shared" si="463"/>
        <v>P&amp;L</v>
      </c>
    </row>
    <row r="7422" spans="1:13">
      <c r="A7422" s="33" t="str">
        <f t="shared" si="460"/>
        <v>SCL - CGS</v>
      </c>
      <c r="B7422" s="33" t="str">
        <f t="shared" si="461"/>
        <v>SCL</v>
      </c>
      <c r="C7422" s="33" t="str">
        <f t="shared" si="462"/>
        <v>50003-7396</v>
      </c>
      <c r="D7422" s="64" t="s">
        <v>8671</v>
      </c>
      <c r="E7422" s="64" t="s">
        <v>2888</v>
      </c>
      <c r="F7422" s="64" t="s">
        <v>15</v>
      </c>
      <c r="G7422" s="64" t="s">
        <v>2889</v>
      </c>
      <c r="H7422" s="64" t="s">
        <v>1875</v>
      </c>
      <c r="I7422" s="64" t="s">
        <v>2890</v>
      </c>
      <c r="J7422" s="67">
        <v>2307.3</v>
      </c>
      <c r="K7422" s="62">
        <v>18356.56</v>
      </c>
      <c r="L7422" s="33" t="e">
        <f>HLOOKUP(B7422,#REF!,1,0)</f>
        <v>#REF!</v>
      </c>
      <c r="M7422" s="33" t="str">
        <f t="shared" si="463"/>
        <v>P&amp;L</v>
      </c>
    </row>
    <row r="7423" spans="1:13">
      <c r="A7423" s="33" t="str">
        <f t="shared" si="460"/>
        <v>SCL - CGS</v>
      </c>
      <c r="B7423" s="33" t="str">
        <f t="shared" si="461"/>
        <v>SCL</v>
      </c>
      <c r="C7423" s="33" t="str">
        <f t="shared" si="462"/>
        <v>50003-7397</v>
      </c>
      <c r="D7423" s="64" t="s">
        <v>8672</v>
      </c>
      <c r="E7423" s="64" t="s">
        <v>2888</v>
      </c>
      <c r="F7423" s="64" t="s">
        <v>15</v>
      </c>
      <c r="G7423" s="64" t="s">
        <v>2889</v>
      </c>
      <c r="H7423" s="64" t="s">
        <v>1875</v>
      </c>
      <c r="I7423" s="64" t="s">
        <v>2890</v>
      </c>
      <c r="J7423" s="67">
        <v>2127.1</v>
      </c>
      <c r="K7423" s="62">
        <v>17516.97</v>
      </c>
      <c r="L7423" s="33" t="e">
        <f>HLOOKUP(B7423,#REF!,1,0)</f>
        <v>#REF!</v>
      </c>
      <c r="M7423" s="33" t="str">
        <f t="shared" si="463"/>
        <v>P&amp;L</v>
      </c>
    </row>
    <row r="7424" spans="1:13">
      <c r="A7424" s="33" t="str">
        <f t="shared" si="460"/>
        <v>SCL - CGS</v>
      </c>
      <c r="B7424" s="33" t="str">
        <f t="shared" si="461"/>
        <v>SCL</v>
      </c>
      <c r="C7424" s="33" t="str">
        <f t="shared" si="462"/>
        <v>50003-7398</v>
      </c>
      <c r="D7424" s="64" t="s">
        <v>8673</v>
      </c>
      <c r="E7424" s="64" t="s">
        <v>2888</v>
      </c>
      <c r="F7424" s="64" t="s">
        <v>15</v>
      </c>
      <c r="G7424" s="64" t="s">
        <v>2889</v>
      </c>
      <c r="H7424" s="64" t="s">
        <v>1875</v>
      </c>
      <c r="I7424" s="64" t="s">
        <v>2890</v>
      </c>
      <c r="J7424" s="67">
        <v>2313.89</v>
      </c>
      <c r="K7424" s="62">
        <v>18821.07</v>
      </c>
      <c r="L7424" s="33" t="e">
        <f>HLOOKUP(B7424,#REF!,1,0)</f>
        <v>#REF!</v>
      </c>
      <c r="M7424" s="33" t="str">
        <f t="shared" si="463"/>
        <v>P&amp;L</v>
      </c>
    </row>
    <row r="7425" spans="1:13">
      <c r="A7425" s="33" t="str">
        <f t="shared" si="460"/>
        <v>SCL - CGS</v>
      </c>
      <c r="B7425" s="33" t="str">
        <f t="shared" si="461"/>
        <v>SCL</v>
      </c>
      <c r="C7425" s="33" t="str">
        <f t="shared" si="462"/>
        <v>50003-7400</v>
      </c>
      <c r="D7425" s="64" t="s">
        <v>8674</v>
      </c>
      <c r="E7425" s="64" t="s">
        <v>2888</v>
      </c>
      <c r="F7425" s="64" t="s">
        <v>15</v>
      </c>
      <c r="G7425" s="64" t="s">
        <v>2889</v>
      </c>
      <c r="H7425" s="64" t="s">
        <v>1875</v>
      </c>
      <c r="I7425" s="64" t="s">
        <v>2890</v>
      </c>
      <c r="J7425" s="67">
        <v>1769.03</v>
      </c>
      <c r="K7425" s="62">
        <v>14455.59</v>
      </c>
      <c r="L7425" s="33" t="e">
        <f>HLOOKUP(B7425,#REF!,1,0)</f>
        <v>#REF!</v>
      </c>
      <c r="M7425" s="33" t="str">
        <f t="shared" si="463"/>
        <v>P&amp;L</v>
      </c>
    </row>
    <row r="7426" spans="1:13">
      <c r="A7426" s="33" t="str">
        <f t="shared" ref="A7426:A7489" si="464">B7426&amp;" - "&amp;TRIM(H7426)</f>
        <v>SCL - CGS</v>
      </c>
      <c r="B7426" s="33" t="str">
        <f t="shared" ref="B7426:B7489" si="465">LEFT(D7426,3)</f>
        <v>SCL</v>
      </c>
      <c r="C7426" s="33" t="str">
        <f t="shared" ref="C7426:C7489" si="466">RIGHT(D7426,10)</f>
        <v>50003-7401</v>
      </c>
      <c r="D7426" s="64" t="s">
        <v>8675</v>
      </c>
      <c r="E7426" s="64" t="s">
        <v>2888</v>
      </c>
      <c r="F7426" s="64" t="s">
        <v>15</v>
      </c>
      <c r="G7426" s="64" t="s">
        <v>2889</v>
      </c>
      <c r="H7426" s="64" t="s">
        <v>1875</v>
      </c>
      <c r="I7426" s="64" t="s">
        <v>2890</v>
      </c>
      <c r="J7426" s="67">
        <v>2141.44</v>
      </c>
      <c r="K7426" s="62">
        <v>16855.53</v>
      </c>
      <c r="L7426" s="33" t="e">
        <f>HLOOKUP(B7426,#REF!,1,0)</f>
        <v>#REF!</v>
      </c>
      <c r="M7426" s="33" t="str">
        <f t="shared" ref="M7426:M7489" si="467">IF(VALUE(LEFT(C7426,5))&gt;40000,"P&amp;L","BS")</f>
        <v>P&amp;L</v>
      </c>
    </row>
    <row r="7427" spans="1:13">
      <c r="A7427" s="33" t="str">
        <f t="shared" si="464"/>
        <v>SCL - CGS</v>
      </c>
      <c r="B7427" s="33" t="str">
        <f t="shared" si="465"/>
        <v>SCL</v>
      </c>
      <c r="C7427" s="33" t="str">
        <f t="shared" si="466"/>
        <v>50003-7402</v>
      </c>
      <c r="D7427" s="64" t="s">
        <v>8676</v>
      </c>
      <c r="E7427" s="64" t="s">
        <v>2888</v>
      </c>
      <c r="F7427" s="64" t="s">
        <v>15</v>
      </c>
      <c r="G7427" s="64" t="s">
        <v>2889</v>
      </c>
      <c r="H7427" s="64" t="s">
        <v>1875</v>
      </c>
      <c r="I7427" s="64" t="s">
        <v>2890</v>
      </c>
      <c r="J7427" s="67">
        <v>2370.47</v>
      </c>
      <c r="K7427" s="62">
        <v>19048.99</v>
      </c>
      <c r="L7427" s="33" t="e">
        <f>HLOOKUP(B7427,#REF!,1,0)</f>
        <v>#REF!</v>
      </c>
      <c r="M7427" s="33" t="str">
        <f t="shared" si="467"/>
        <v>P&amp;L</v>
      </c>
    </row>
    <row r="7428" spans="1:13">
      <c r="A7428" s="33" t="str">
        <f t="shared" si="464"/>
        <v>SCL - CGS</v>
      </c>
      <c r="B7428" s="33" t="str">
        <f t="shared" si="465"/>
        <v>SCL</v>
      </c>
      <c r="C7428" s="33" t="str">
        <f t="shared" si="466"/>
        <v>50003-7403</v>
      </c>
      <c r="D7428" s="64" t="s">
        <v>8677</v>
      </c>
      <c r="E7428" s="64" t="s">
        <v>2888</v>
      </c>
      <c r="F7428" s="64" t="s">
        <v>15</v>
      </c>
      <c r="G7428" s="64" t="s">
        <v>2889</v>
      </c>
      <c r="H7428" s="64" t="s">
        <v>1875</v>
      </c>
      <c r="I7428" s="64" t="s">
        <v>2890</v>
      </c>
      <c r="J7428" s="67">
        <v>2394.31</v>
      </c>
      <c r="K7428" s="62">
        <v>19169.87</v>
      </c>
      <c r="L7428" s="33" t="e">
        <f>HLOOKUP(B7428,#REF!,1,0)</f>
        <v>#REF!</v>
      </c>
      <c r="M7428" s="33" t="str">
        <f t="shared" si="467"/>
        <v>P&amp;L</v>
      </c>
    </row>
    <row r="7429" spans="1:13">
      <c r="A7429" s="33" t="str">
        <f t="shared" si="464"/>
        <v>SCL - CGS</v>
      </c>
      <c r="B7429" s="33" t="str">
        <f t="shared" si="465"/>
        <v>SCL</v>
      </c>
      <c r="C7429" s="33" t="str">
        <f t="shared" si="466"/>
        <v>50003-7405</v>
      </c>
      <c r="D7429" s="64" t="s">
        <v>8678</v>
      </c>
      <c r="E7429" s="64" t="s">
        <v>2888</v>
      </c>
      <c r="F7429" s="64" t="s">
        <v>15</v>
      </c>
      <c r="G7429" s="64" t="s">
        <v>2889</v>
      </c>
      <c r="H7429" s="64" t="s">
        <v>1875</v>
      </c>
      <c r="I7429" s="64" t="s">
        <v>2890</v>
      </c>
      <c r="J7429" s="67">
        <v>0</v>
      </c>
      <c r="K7429" s="62">
        <v>0</v>
      </c>
      <c r="L7429" s="33" t="e">
        <f>HLOOKUP(B7429,#REF!,1,0)</f>
        <v>#REF!</v>
      </c>
      <c r="M7429" s="33" t="str">
        <f t="shared" si="467"/>
        <v>P&amp;L</v>
      </c>
    </row>
    <row r="7430" spans="1:13">
      <c r="A7430" s="33" t="str">
        <f t="shared" si="464"/>
        <v>SCL - CGS</v>
      </c>
      <c r="B7430" s="33" t="str">
        <f t="shared" si="465"/>
        <v>SCL</v>
      </c>
      <c r="C7430" s="33" t="str">
        <f t="shared" si="466"/>
        <v>50003-7406</v>
      </c>
      <c r="D7430" s="64" t="s">
        <v>8679</v>
      </c>
      <c r="E7430" s="64" t="s">
        <v>2888</v>
      </c>
      <c r="F7430" s="64" t="s">
        <v>15</v>
      </c>
      <c r="G7430" s="64" t="s">
        <v>2889</v>
      </c>
      <c r="H7430" s="64" t="s">
        <v>1875</v>
      </c>
      <c r="I7430" s="64" t="s">
        <v>2890</v>
      </c>
      <c r="J7430" s="67">
        <v>0</v>
      </c>
      <c r="K7430" s="62">
        <v>0</v>
      </c>
      <c r="L7430" s="33" t="e">
        <f>HLOOKUP(B7430,#REF!,1,0)</f>
        <v>#REF!</v>
      </c>
      <c r="M7430" s="33" t="str">
        <f t="shared" si="467"/>
        <v>P&amp;L</v>
      </c>
    </row>
    <row r="7431" spans="1:13">
      <c r="A7431" s="33" t="str">
        <f t="shared" si="464"/>
        <v>SCL - CGS</v>
      </c>
      <c r="B7431" s="33" t="str">
        <f t="shared" si="465"/>
        <v>SCL</v>
      </c>
      <c r="C7431" s="33" t="str">
        <f t="shared" si="466"/>
        <v>50003-7489</v>
      </c>
      <c r="D7431" s="64" t="s">
        <v>8680</v>
      </c>
      <c r="E7431" s="64" t="s">
        <v>2888</v>
      </c>
      <c r="F7431" s="64" t="s">
        <v>15</v>
      </c>
      <c r="G7431" s="64" t="s">
        <v>2889</v>
      </c>
      <c r="H7431" s="64" t="s">
        <v>1875</v>
      </c>
      <c r="I7431" s="64" t="s">
        <v>2890</v>
      </c>
      <c r="J7431" s="67">
        <v>3896.33</v>
      </c>
      <c r="K7431" s="62">
        <v>27941.99</v>
      </c>
      <c r="L7431" s="33" t="e">
        <f>HLOOKUP(B7431,#REF!,1,0)</f>
        <v>#REF!</v>
      </c>
      <c r="M7431" s="33" t="str">
        <f t="shared" si="467"/>
        <v>P&amp;L</v>
      </c>
    </row>
    <row r="7432" spans="1:13">
      <c r="A7432" s="33" t="str">
        <f t="shared" si="464"/>
        <v>SCL - CGS</v>
      </c>
      <c r="B7432" s="33" t="str">
        <f t="shared" si="465"/>
        <v>SCL</v>
      </c>
      <c r="C7432" s="33" t="str">
        <f t="shared" si="466"/>
        <v>50003-7491</v>
      </c>
      <c r="D7432" s="64" t="s">
        <v>8681</v>
      </c>
      <c r="E7432" s="64" t="s">
        <v>2888</v>
      </c>
      <c r="F7432" s="64" t="s">
        <v>15</v>
      </c>
      <c r="G7432" s="64" t="s">
        <v>2889</v>
      </c>
      <c r="H7432" s="64" t="s">
        <v>1875</v>
      </c>
      <c r="I7432" s="64" t="s">
        <v>2890</v>
      </c>
      <c r="J7432" s="67">
        <v>1868.41</v>
      </c>
      <c r="K7432" s="62">
        <v>14356.24</v>
      </c>
      <c r="L7432" s="33" t="e">
        <f>HLOOKUP(B7432,#REF!,1,0)</f>
        <v>#REF!</v>
      </c>
      <c r="M7432" s="33" t="str">
        <f t="shared" si="467"/>
        <v>P&amp;L</v>
      </c>
    </row>
    <row r="7433" spans="1:13">
      <c r="A7433" s="33" t="str">
        <f t="shared" si="464"/>
        <v>SCL - CGS</v>
      </c>
      <c r="B7433" s="33" t="str">
        <f t="shared" si="465"/>
        <v>SCL</v>
      </c>
      <c r="C7433" s="33" t="str">
        <f t="shared" si="466"/>
        <v>50003-7492</v>
      </c>
      <c r="D7433" s="64" t="s">
        <v>8682</v>
      </c>
      <c r="E7433" s="64" t="s">
        <v>2888</v>
      </c>
      <c r="F7433" s="64" t="s">
        <v>15</v>
      </c>
      <c r="G7433" s="64" t="s">
        <v>2889</v>
      </c>
      <c r="H7433" s="64" t="s">
        <v>1875</v>
      </c>
      <c r="I7433" s="64" t="s">
        <v>2890</v>
      </c>
      <c r="J7433" s="67">
        <v>2082.78</v>
      </c>
      <c r="K7433" s="62">
        <v>15692.16</v>
      </c>
      <c r="L7433" s="33" t="e">
        <f>HLOOKUP(B7433,#REF!,1,0)</f>
        <v>#REF!</v>
      </c>
      <c r="M7433" s="33" t="str">
        <f t="shared" si="467"/>
        <v>P&amp;L</v>
      </c>
    </row>
    <row r="7434" spans="1:13">
      <c r="A7434" s="33" t="str">
        <f t="shared" si="464"/>
        <v>SCL - CGS</v>
      </c>
      <c r="B7434" s="33" t="str">
        <f t="shared" si="465"/>
        <v>SCL</v>
      </c>
      <c r="C7434" s="33" t="str">
        <f t="shared" si="466"/>
        <v>50003-7493</v>
      </c>
      <c r="D7434" s="64" t="s">
        <v>8683</v>
      </c>
      <c r="E7434" s="64" t="s">
        <v>2888</v>
      </c>
      <c r="F7434" s="64" t="s">
        <v>15</v>
      </c>
      <c r="G7434" s="64" t="s">
        <v>2889</v>
      </c>
      <c r="H7434" s="64" t="s">
        <v>1875</v>
      </c>
      <c r="I7434" s="64" t="s">
        <v>2890</v>
      </c>
      <c r="J7434" s="67">
        <v>2758.03</v>
      </c>
      <c r="K7434" s="62">
        <v>22672.06</v>
      </c>
      <c r="L7434" s="33" t="e">
        <f>HLOOKUP(B7434,#REF!,1,0)</f>
        <v>#REF!</v>
      </c>
      <c r="M7434" s="33" t="str">
        <f t="shared" si="467"/>
        <v>P&amp;L</v>
      </c>
    </row>
    <row r="7435" spans="1:13">
      <c r="A7435" s="33" t="str">
        <f t="shared" si="464"/>
        <v>SCL - CGS</v>
      </c>
      <c r="B7435" s="33" t="str">
        <f t="shared" si="465"/>
        <v>SCL</v>
      </c>
      <c r="C7435" s="33" t="str">
        <f t="shared" si="466"/>
        <v>50003-7494</v>
      </c>
      <c r="D7435" s="64" t="s">
        <v>8684</v>
      </c>
      <c r="E7435" s="64" t="s">
        <v>2888</v>
      </c>
      <c r="F7435" s="64" t="s">
        <v>15</v>
      </c>
      <c r="G7435" s="64" t="s">
        <v>2889</v>
      </c>
      <c r="H7435" s="64" t="s">
        <v>1875</v>
      </c>
      <c r="I7435" s="64" t="s">
        <v>2890</v>
      </c>
      <c r="J7435" s="67">
        <v>2075.53</v>
      </c>
      <c r="K7435" s="62">
        <v>17120.77</v>
      </c>
      <c r="L7435" s="33" t="e">
        <f>HLOOKUP(B7435,#REF!,1,0)</f>
        <v>#REF!</v>
      </c>
      <c r="M7435" s="33" t="str">
        <f t="shared" si="467"/>
        <v>P&amp;L</v>
      </c>
    </row>
    <row r="7436" spans="1:13">
      <c r="A7436" s="33" t="str">
        <f t="shared" si="464"/>
        <v>SCL - CGS</v>
      </c>
      <c r="B7436" s="33" t="str">
        <f t="shared" si="465"/>
        <v>SCL</v>
      </c>
      <c r="C7436" s="33" t="str">
        <f t="shared" si="466"/>
        <v>50003-7625</v>
      </c>
      <c r="D7436" s="64" t="s">
        <v>8685</v>
      </c>
      <c r="E7436" s="64" t="s">
        <v>2888</v>
      </c>
      <c r="F7436" s="64" t="s">
        <v>15</v>
      </c>
      <c r="G7436" s="64" t="s">
        <v>2889</v>
      </c>
      <c r="H7436" s="64" t="s">
        <v>1875</v>
      </c>
      <c r="I7436" s="64" t="s">
        <v>2890</v>
      </c>
      <c r="J7436" s="67">
        <v>2772.6</v>
      </c>
      <c r="K7436" s="62">
        <v>22798.56</v>
      </c>
      <c r="L7436" s="33" t="e">
        <f>HLOOKUP(B7436,#REF!,1,0)</f>
        <v>#REF!</v>
      </c>
      <c r="M7436" s="33" t="str">
        <f t="shared" si="467"/>
        <v>P&amp;L</v>
      </c>
    </row>
    <row r="7437" spans="1:13">
      <c r="A7437" s="33" t="str">
        <f t="shared" si="464"/>
        <v>SCL - CGS</v>
      </c>
      <c r="B7437" s="33" t="str">
        <f t="shared" si="465"/>
        <v>SCL</v>
      </c>
      <c r="C7437" s="33" t="str">
        <f t="shared" si="466"/>
        <v>50003-8150</v>
      </c>
      <c r="D7437" s="64" t="s">
        <v>8686</v>
      </c>
      <c r="E7437" s="64" t="s">
        <v>2888</v>
      </c>
      <c r="F7437" s="64" t="s">
        <v>15</v>
      </c>
      <c r="G7437" s="64" t="s">
        <v>2889</v>
      </c>
      <c r="H7437" s="64" t="s">
        <v>1875</v>
      </c>
      <c r="I7437" s="64" t="s">
        <v>2890</v>
      </c>
      <c r="J7437" s="67">
        <v>2110.16</v>
      </c>
      <c r="K7437" s="62">
        <v>18471.68</v>
      </c>
      <c r="L7437" s="33" t="e">
        <f>HLOOKUP(B7437,#REF!,1,0)</f>
        <v>#REF!</v>
      </c>
      <c r="M7437" s="33" t="str">
        <f t="shared" si="467"/>
        <v>P&amp;L</v>
      </c>
    </row>
    <row r="7438" spans="1:13">
      <c r="A7438" s="33" t="str">
        <f t="shared" si="464"/>
        <v>SCL - CGS</v>
      </c>
      <c r="B7438" s="33" t="str">
        <f t="shared" si="465"/>
        <v>SCL</v>
      </c>
      <c r="C7438" s="33" t="str">
        <f t="shared" si="466"/>
        <v>50007-7351</v>
      </c>
      <c r="D7438" s="64" t="s">
        <v>8687</v>
      </c>
      <c r="E7438" s="64" t="s">
        <v>2895</v>
      </c>
      <c r="F7438" s="64" t="s">
        <v>15</v>
      </c>
      <c r="G7438" s="64" t="s">
        <v>2889</v>
      </c>
      <c r="H7438" s="64" t="s">
        <v>1875</v>
      </c>
      <c r="I7438" s="64" t="s">
        <v>2890</v>
      </c>
      <c r="J7438" s="67">
        <v>22255.87</v>
      </c>
      <c r="K7438" s="62">
        <v>253516.92</v>
      </c>
      <c r="L7438" s="33" t="e">
        <f>HLOOKUP(B7438,#REF!,1,0)</f>
        <v>#REF!</v>
      </c>
      <c r="M7438" s="33" t="str">
        <f t="shared" si="467"/>
        <v>P&amp;L</v>
      </c>
    </row>
    <row r="7439" spans="1:13">
      <c r="A7439" s="33" t="str">
        <f t="shared" si="464"/>
        <v>SCL - CGS</v>
      </c>
      <c r="B7439" s="33" t="str">
        <f t="shared" si="465"/>
        <v>SCL</v>
      </c>
      <c r="C7439" s="33" t="str">
        <f t="shared" si="466"/>
        <v>50007-7352</v>
      </c>
      <c r="D7439" s="64" t="s">
        <v>8688</v>
      </c>
      <c r="E7439" s="64" t="s">
        <v>2895</v>
      </c>
      <c r="F7439" s="64" t="s">
        <v>15</v>
      </c>
      <c r="G7439" s="64" t="s">
        <v>2889</v>
      </c>
      <c r="H7439" s="64" t="s">
        <v>1875</v>
      </c>
      <c r="I7439" s="64" t="s">
        <v>2890</v>
      </c>
      <c r="J7439" s="67">
        <v>22384.07</v>
      </c>
      <c r="K7439" s="62">
        <v>226783.61</v>
      </c>
      <c r="L7439" s="33" t="e">
        <f>HLOOKUP(B7439,#REF!,1,0)</f>
        <v>#REF!</v>
      </c>
      <c r="M7439" s="33" t="str">
        <f t="shared" si="467"/>
        <v>P&amp;L</v>
      </c>
    </row>
    <row r="7440" spans="1:13">
      <c r="A7440" s="33" t="str">
        <f t="shared" si="464"/>
        <v>SCL - CGS</v>
      </c>
      <c r="B7440" s="33" t="str">
        <f t="shared" si="465"/>
        <v>SCL</v>
      </c>
      <c r="C7440" s="33" t="str">
        <f t="shared" si="466"/>
        <v>50007-7355</v>
      </c>
      <c r="D7440" s="64" t="s">
        <v>8689</v>
      </c>
      <c r="E7440" s="64" t="s">
        <v>2895</v>
      </c>
      <c r="F7440" s="64" t="s">
        <v>15</v>
      </c>
      <c r="G7440" s="64" t="s">
        <v>2889</v>
      </c>
      <c r="H7440" s="64" t="s">
        <v>1875</v>
      </c>
      <c r="I7440" s="64" t="s">
        <v>2890</v>
      </c>
      <c r="J7440" s="67">
        <v>22281.54</v>
      </c>
      <c r="K7440" s="62">
        <v>240342.77</v>
      </c>
      <c r="L7440" s="33" t="e">
        <f>HLOOKUP(B7440,#REF!,1,0)</f>
        <v>#REF!</v>
      </c>
      <c r="M7440" s="33" t="str">
        <f t="shared" si="467"/>
        <v>P&amp;L</v>
      </c>
    </row>
    <row r="7441" spans="1:13">
      <c r="A7441" s="33" t="str">
        <f t="shared" si="464"/>
        <v>SCL - CGS</v>
      </c>
      <c r="B7441" s="33" t="str">
        <f t="shared" si="465"/>
        <v>SCL</v>
      </c>
      <c r="C7441" s="33" t="str">
        <f t="shared" si="466"/>
        <v>50007-7356</v>
      </c>
      <c r="D7441" s="64" t="s">
        <v>8690</v>
      </c>
      <c r="E7441" s="64" t="s">
        <v>2895</v>
      </c>
      <c r="F7441" s="64" t="s">
        <v>15</v>
      </c>
      <c r="G7441" s="64" t="s">
        <v>2889</v>
      </c>
      <c r="H7441" s="64" t="s">
        <v>1875</v>
      </c>
      <c r="I7441" s="64" t="s">
        <v>2890</v>
      </c>
      <c r="J7441" s="67">
        <v>0</v>
      </c>
      <c r="K7441" s="62">
        <v>15340.16</v>
      </c>
      <c r="L7441" s="33" t="e">
        <f>HLOOKUP(B7441,#REF!,1,0)</f>
        <v>#REF!</v>
      </c>
      <c r="M7441" s="33" t="str">
        <f t="shared" si="467"/>
        <v>P&amp;L</v>
      </c>
    </row>
    <row r="7442" spans="1:13">
      <c r="A7442" s="33" t="str">
        <f t="shared" si="464"/>
        <v>SCL - CGS</v>
      </c>
      <c r="B7442" s="33" t="str">
        <f t="shared" si="465"/>
        <v>SCL</v>
      </c>
      <c r="C7442" s="33" t="str">
        <f t="shared" si="466"/>
        <v>50007-7359</v>
      </c>
      <c r="D7442" s="64" t="s">
        <v>8691</v>
      </c>
      <c r="E7442" s="64" t="s">
        <v>2895</v>
      </c>
      <c r="F7442" s="64" t="s">
        <v>15</v>
      </c>
      <c r="G7442" s="64" t="s">
        <v>2889</v>
      </c>
      <c r="H7442" s="64" t="s">
        <v>1875</v>
      </c>
      <c r="I7442" s="64" t="s">
        <v>2890</v>
      </c>
      <c r="J7442" s="67">
        <v>21082.05</v>
      </c>
      <c r="K7442" s="62">
        <v>206850.12</v>
      </c>
      <c r="L7442" s="33" t="e">
        <f>HLOOKUP(B7442,#REF!,1,0)</f>
        <v>#REF!</v>
      </c>
      <c r="M7442" s="33" t="str">
        <f t="shared" si="467"/>
        <v>P&amp;L</v>
      </c>
    </row>
    <row r="7443" spans="1:13">
      <c r="A7443" s="33" t="str">
        <f t="shared" si="464"/>
        <v>SCL - CGS</v>
      </c>
      <c r="B7443" s="33" t="str">
        <f t="shared" si="465"/>
        <v>SCL</v>
      </c>
      <c r="C7443" s="33" t="str">
        <f t="shared" si="466"/>
        <v>50007-7360</v>
      </c>
      <c r="D7443" s="64" t="s">
        <v>8692</v>
      </c>
      <c r="E7443" s="64" t="s">
        <v>2895</v>
      </c>
      <c r="F7443" s="64" t="s">
        <v>15</v>
      </c>
      <c r="G7443" s="64" t="s">
        <v>2889</v>
      </c>
      <c r="H7443" s="64" t="s">
        <v>1875</v>
      </c>
      <c r="I7443" s="64" t="s">
        <v>2890</v>
      </c>
      <c r="J7443" s="67">
        <v>30553.25</v>
      </c>
      <c r="K7443" s="62">
        <v>273646.45</v>
      </c>
      <c r="L7443" s="33" t="e">
        <f>HLOOKUP(B7443,#REF!,1,0)</f>
        <v>#REF!</v>
      </c>
      <c r="M7443" s="33" t="str">
        <f t="shared" si="467"/>
        <v>P&amp;L</v>
      </c>
    </row>
    <row r="7444" spans="1:13">
      <c r="A7444" s="33" t="str">
        <f t="shared" si="464"/>
        <v>SCL - CGS</v>
      </c>
      <c r="B7444" s="33" t="str">
        <f t="shared" si="465"/>
        <v>SCL</v>
      </c>
      <c r="C7444" s="33" t="str">
        <f t="shared" si="466"/>
        <v>50007-7361</v>
      </c>
      <c r="D7444" s="64" t="s">
        <v>8693</v>
      </c>
      <c r="E7444" s="64" t="s">
        <v>2895</v>
      </c>
      <c r="F7444" s="64" t="s">
        <v>15</v>
      </c>
      <c r="G7444" s="64" t="s">
        <v>2889</v>
      </c>
      <c r="H7444" s="64" t="s">
        <v>1875</v>
      </c>
      <c r="I7444" s="64" t="s">
        <v>2890</v>
      </c>
      <c r="J7444" s="67">
        <v>24260.19</v>
      </c>
      <c r="K7444" s="62">
        <v>252388.23</v>
      </c>
      <c r="L7444" s="33" t="e">
        <f>HLOOKUP(B7444,#REF!,1,0)</f>
        <v>#REF!</v>
      </c>
      <c r="M7444" s="33" t="str">
        <f t="shared" si="467"/>
        <v>P&amp;L</v>
      </c>
    </row>
    <row r="7445" spans="1:13">
      <c r="A7445" s="33" t="str">
        <f t="shared" si="464"/>
        <v>SCL - CGS</v>
      </c>
      <c r="B7445" s="33" t="str">
        <f t="shared" si="465"/>
        <v>SCL</v>
      </c>
      <c r="C7445" s="33" t="str">
        <f t="shared" si="466"/>
        <v>50007-7362</v>
      </c>
      <c r="D7445" s="64" t="s">
        <v>8694</v>
      </c>
      <c r="E7445" s="64" t="s">
        <v>2895</v>
      </c>
      <c r="F7445" s="64" t="s">
        <v>15</v>
      </c>
      <c r="G7445" s="64" t="s">
        <v>2889</v>
      </c>
      <c r="H7445" s="64" t="s">
        <v>1875</v>
      </c>
      <c r="I7445" s="64" t="s">
        <v>2890</v>
      </c>
      <c r="J7445" s="67">
        <v>19507.11</v>
      </c>
      <c r="K7445" s="62">
        <v>174273.6</v>
      </c>
      <c r="L7445" s="33" t="e">
        <f>HLOOKUP(B7445,#REF!,1,0)</f>
        <v>#REF!</v>
      </c>
      <c r="M7445" s="33" t="str">
        <f t="shared" si="467"/>
        <v>P&amp;L</v>
      </c>
    </row>
    <row r="7446" spans="1:13">
      <c r="A7446" s="33" t="str">
        <f t="shared" si="464"/>
        <v>SCL - CGS</v>
      </c>
      <c r="B7446" s="33" t="str">
        <f t="shared" si="465"/>
        <v>SCL</v>
      </c>
      <c r="C7446" s="33" t="str">
        <f t="shared" si="466"/>
        <v>50007-7363</v>
      </c>
      <c r="D7446" s="64" t="s">
        <v>8695</v>
      </c>
      <c r="E7446" s="64" t="s">
        <v>2895</v>
      </c>
      <c r="F7446" s="64" t="s">
        <v>15</v>
      </c>
      <c r="G7446" s="64" t="s">
        <v>2889</v>
      </c>
      <c r="H7446" s="64" t="s">
        <v>1875</v>
      </c>
      <c r="I7446" s="64" t="s">
        <v>2890</v>
      </c>
      <c r="J7446" s="67">
        <v>18428.05</v>
      </c>
      <c r="K7446" s="62">
        <v>208200.75</v>
      </c>
      <c r="L7446" s="33" t="e">
        <f>HLOOKUP(B7446,#REF!,1,0)</f>
        <v>#REF!</v>
      </c>
      <c r="M7446" s="33" t="str">
        <f t="shared" si="467"/>
        <v>P&amp;L</v>
      </c>
    </row>
    <row r="7447" spans="1:13">
      <c r="A7447" s="33" t="str">
        <f t="shared" si="464"/>
        <v>SCL - CGS</v>
      </c>
      <c r="B7447" s="33" t="str">
        <f t="shared" si="465"/>
        <v>SCL</v>
      </c>
      <c r="C7447" s="33" t="str">
        <f t="shared" si="466"/>
        <v>50007-7364</v>
      </c>
      <c r="D7447" s="64" t="s">
        <v>8696</v>
      </c>
      <c r="E7447" s="64" t="s">
        <v>2895</v>
      </c>
      <c r="F7447" s="64" t="s">
        <v>15</v>
      </c>
      <c r="G7447" s="64" t="s">
        <v>2889</v>
      </c>
      <c r="H7447" s="64" t="s">
        <v>1875</v>
      </c>
      <c r="I7447" s="64" t="s">
        <v>2890</v>
      </c>
      <c r="J7447" s="67">
        <v>9489.89</v>
      </c>
      <c r="K7447" s="62">
        <v>104116.56</v>
      </c>
      <c r="L7447" s="33" t="e">
        <f>HLOOKUP(B7447,#REF!,1,0)</f>
        <v>#REF!</v>
      </c>
      <c r="M7447" s="33" t="str">
        <f t="shared" si="467"/>
        <v>P&amp;L</v>
      </c>
    </row>
    <row r="7448" spans="1:13">
      <c r="A7448" s="33" t="str">
        <f t="shared" si="464"/>
        <v>SCL - CGS</v>
      </c>
      <c r="B7448" s="33" t="str">
        <f t="shared" si="465"/>
        <v>SCL</v>
      </c>
      <c r="C7448" s="33" t="str">
        <f t="shared" si="466"/>
        <v>50007-7365</v>
      </c>
      <c r="D7448" s="64" t="s">
        <v>8697</v>
      </c>
      <c r="E7448" s="64" t="s">
        <v>2895</v>
      </c>
      <c r="F7448" s="64" t="s">
        <v>15</v>
      </c>
      <c r="G7448" s="64" t="s">
        <v>2889</v>
      </c>
      <c r="H7448" s="64" t="s">
        <v>1875</v>
      </c>
      <c r="I7448" s="64" t="s">
        <v>2890</v>
      </c>
      <c r="J7448" s="67">
        <v>18631.54</v>
      </c>
      <c r="K7448" s="62">
        <v>186195.64</v>
      </c>
      <c r="L7448" s="33" t="e">
        <f>HLOOKUP(B7448,#REF!,1,0)</f>
        <v>#REF!</v>
      </c>
      <c r="M7448" s="33" t="str">
        <f t="shared" si="467"/>
        <v>P&amp;L</v>
      </c>
    </row>
    <row r="7449" spans="1:13">
      <c r="A7449" s="33" t="str">
        <f t="shared" si="464"/>
        <v>SCL - CGS</v>
      </c>
      <c r="B7449" s="33" t="str">
        <f t="shared" si="465"/>
        <v>SCL</v>
      </c>
      <c r="C7449" s="33" t="str">
        <f t="shared" si="466"/>
        <v>50007-7366</v>
      </c>
      <c r="D7449" s="64" t="s">
        <v>8698</v>
      </c>
      <c r="E7449" s="64" t="s">
        <v>2895</v>
      </c>
      <c r="F7449" s="64" t="s">
        <v>15</v>
      </c>
      <c r="G7449" s="64" t="s">
        <v>2889</v>
      </c>
      <c r="H7449" s="64" t="s">
        <v>1875</v>
      </c>
      <c r="I7449" s="64" t="s">
        <v>2890</v>
      </c>
      <c r="J7449" s="67">
        <v>32154.6</v>
      </c>
      <c r="K7449" s="62">
        <v>339080.87</v>
      </c>
      <c r="L7449" s="33" t="e">
        <f>HLOOKUP(B7449,#REF!,1,0)</f>
        <v>#REF!</v>
      </c>
      <c r="M7449" s="33" t="str">
        <f t="shared" si="467"/>
        <v>P&amp;L</v>
      </c>
    </row>
    <row r="7450" spans="1:13">
      <c r="A7450" s="33" t="str">
        <f t="shared" si="464"/>
        <v>SCL - CGS</v>
      </c>
      <c r="B7450" s="33" t="str">
        <f t="shared" si="465"/>
        <v>SCL</v>
      </c>
      <c r="C7450" s="33" t="str">
        <f t="shared" si="466"/>
        <v>50007-7368</v>
      </c>
      <c r="D7450" s="64" t="s">
        <v>8699</v>
      </c>
      <c r="E7450" s="64" t="s">
        <v>2895</v>
      </c>
      <c r="F7450" s="64" t="s">
        <v>15</v>
      </c>
      <c r="G7450" s="64" t="s">
        <v>2889</v>
      </c>
      <c r="H7450" s="64" t="s">
        <v>1875</v>
      </c>
      <c r="I7450" s="64" t="s">
        <v>2890</v>
      </c>
      <c r="J7450" s="67">
        <v>37132.7</v>
      </c>
      <c r="K7450" s="62">
        <v>389337.94</v>
      </c>
      <c r="L7450" s="33" t="e">
        <f>HLOOKUP(B7450,#REF!,1,0)</f>
        <v>#REF!</v>
      </c>
      <c r="M7450" s="33" t="str">
        <f t="shared" si="467"/>
        <v>P&amp;L</v>
      </c>
    </row>
    <row r="7451" spans="1:13">
      <c r="A7451" s="33" t="str">
        <f t="shared" si="464"/>
        <v>SCL - CGS</v>
      </c>
      <c r="B7451" s="33" t="str">
        <f t="shared" si="465"/>
        <v>SCL</v>
      </c>
      <c r="C7451" s="33" t="str">
        <f t="shared" si="466"/>
        <v>50007-7369</v>
      </c>
      <c r="D7451" s="64" t="s">
        <v>8700</v>
      </c>
      <c r="E7451" s="64" t="s">
        <v>2895</v>
      </c>
      <c r="F7451" s="64" t="s">
        <v>15</v>
      </c>
      <c r="G7451" s="64" t="s">
        <v>2889</v>
      </c>
      <c r="H7451" s="64" t="s">
        <v>1875</v>
      </c>
      <c r="I7451" s="64" t="s">
        <v>2890</v>
      </c>
      <c r="J7451" s="67">
        <v>19109.9</v>
      </c>
      <c r="K7451" s="62">
        <v>200731.75</v>
      </c>
      <c r="L7451" s="33" t="e">
        <f>HLOOKUP(B7451,#REF!,1,0)</f>
        <v>#REF!</v>
      </c>
      <c r="M7451" s="33" t="str">
        <f t="shared" si="467"/>
        <v>P&amp;L</v>
      </c>
    </row>
    <row r="7452" spans="1:13">
      <c r="A7452" s="33" t="str">
        <f t="shared" si="464"/>
        <v>SCL - CGS</v>
      </c>
      <c r="B7452" s="33" t="str">
        <f t="shared" si="465"/>
        <v>SCL</v>
      </c>
      <c r="C7452" s="33" t="str">
        <f t="shared" si="466"/>
        <v>50007-7371</v>
      </c>
      <c r="D7452" s="64" t="s">
        <v>8701</v>
      </c>
      <c r="E7452" s="64" t="s">
        <v>2895</v>
      </c>
      <c r="F7452" s="64" t="s">
        <v>15</v>
      </c>
      <c r="G7452" s="64" t="s">
        <v>2889</v>
      </c>
      <c r="H7452" s="64" t="s">
        <v>1875</v>
      </c>
      <c r="I7452" s="64" t="s">
        <v>2890</v>
      </c>
      <c r="J7452" s="67">
        <v>22651.07</v>
      </c>
      <c r="K7452" s="62">
        <v>223313.49</v>
      </c>
      <c r="L7452" s="33" t="e">
        <f>HLOOKUP(B7452,#REF!,1,0)</f>
        <v>#REF!</v>
      </c>
      <c r="M7452" s="33" t="str">
        <f t="shared" si="467"/>
        <v>P&amp;L</v>
      </c>
    </row>
    <row r="7453" spans="1:13">
      <c r="A7453" s="33" t="str">
        <f t="shared" si="464"/>
        <v>SCL - CGS</v>
      </c>
      <c r="B7453" s="33" t="str">
        <f t="shared" si="465"/>
        <v>SCL</v>
      </c>
      <c r="C7453" s="33" t="str">
        <f t="shared" si="466"/>
        <v>50007-7374</v>
      </c>
      <c r="D7453" s="64" t="s">
        <v>8702</v>
      </c>
      <c r="E7453" s="64" t="s">
        <v>2895</v>
      </c>
      <c r="F7453" s="64" t="s">
        <v>15</v>
      </c>
      <c r="G7453" s="64" t="s">
        <v>2889</v>
      </c>
      <c r="H7453" s="64" t="s">
        <v>1875</v>
      </c>
      <c r="I7453" s="64" t="s">
        <v>2890</v>
      </c>
      <c r="J7453" s="67">
        <v>29611.6</v>
      </c>
      <c r="K7453" s="62">
        <v>270735.45</v>
      </c>
      <c r="L7453" s="33" t="e">
        <f>HLOOKUP(B7453,#REF!,1,0)</f>
        <v>#REF!</v>
      </c>
      <c r="M7453" s="33" t="str">
        <f t="shared" si="467"/>
        <v>P&amp;L</v>
      </c>
    </row>
    <row r="7454" spans="1:13">
      <c r="A7454" s="33" t="str">
        <f t="shared" si="464"/>
        <v>SCL - CGS</v>
      </c>
      <c r="B7454" s="33" t="str">
        <f t="shared" si="465"/>
        <v>SCL</v>
      </c>
      <c r="C7454" s="33" t="str">
        <f t="shared" si="466"/>
        <v>50007-7375</v>
      </c>
      <c r="D7454" s="64" t="s">
        <v>8703</v>
      </c>
      <c r="E7454" s="64" t="s">
        <v>2895</v>
      </c>
      <c r="F7454" s="64" t="s">
        <v>15</v>
      </c>
      <c r="G7454" s="64" t="s">
        <v>2889</v>
      </c>
      <c r="H7454" s="64" t="s">
        <v>1875</v>
      </c>
      <c r="I7454" s="64" t="s">
        <v>2890</v>
      </c>
      <c r="J7454" s="67">
        <v>24002.01</v>
      </c>
      <c r="K7454" s="62">
        <v>228954.85</v>
      </c>
      <c r="L7454" s="33" t="e">
        <f>HLOOKUP(B7454,#REF!,1,0)</f>
        <v>#REF!</v>
      </c>
      <c r="M7454" s="33" t="str">
        <f t="shared" si="467"/>
        <v>P&amp;L</v>
      </c>
    </row>
    <row r="7455" spans="1:13">
      <c r="A7455" s="33" t="str">
        <f t="shared" si="464"/>
        <v>SCL - CGS</v>
      </c>
      <c r="B7455" s="33" t="str">
        <f t="shared" si="465"/>
        <v>SCL</v>
      </c>
      <c r="C7455" s="33" t="str">
        <f t="shared" si="466"/>
        <v>50007-7376</v>
      </c>
      <c r="D7455" s="64" t="s">
        <v>8704</v>
      </c>
      <c r="E7455" s="64" t="s">
        <v>2895</v>
      </c>
      <c r="F7455" s="64" t="s">
        <v>15</v>
      </c>
      <c r="G7455" s="64" t="s">
        <v>2889</v>
      </c>
      <c r="H7455" s="64" t="s">
        <v>1875</v>
      </c>
      <c r="I7455" s="64" t="s">
        <v>2890</v>
      </c>
      <c r="J7455" s="67">
        <v>55115.54</v>
      </c>
      <c r="K7455" s="62">
        <v>561009.46</v>
      </c>
      <c r="L7455" s="33" t="e">
        <f>HLOOKUP(B7455,#REF!,1,0)</f>
        <v>#REF!</v>
      </c>
      <c r="M7455" s="33" t="str">
        <f t="shared" si="467"/>
        <v>P&amp;L</v>
      </c>
    </row>
    <row r="7456" spans="1:13">
      <c r="A7456" s="33" t="str">
        <f t="shared" si="464"/>
        <v>SCL - CGS</v>
      </c>
      <c r="B7456" s="33" t="str">
        <f t="shared" si="465"/>
        <v>SCL</v>
      </c>
      <c r="C7456" s="33" t="str">
        <f t="shared" si="466"/>
        <v>50007-7377</v>
      </c>
      <c r="D7456" s="64" t="s">
        <v>8705</v>
      </c>
      <c r="E7456" s="64" t="s">
        <v>2895</v>
      </c>
      <c r="F7456" s="64" t="s">
        <v>15</v>
      </c>
      <c r="G7456" s="64" t="s">
        <v>2889</v>
      </c>
      <c r="H7456" s="64" t="s">
        <v>1875</v>
      </c>
      <c r="I7456" s="64" t="s">
        <v>2890</v>
      </c>
      <c r="J7456" s="67">
        <v>23465.35</v>
      </c>
      <c r="K7456" s="62">
        <v>240762.98</v>
      </c>
      <c r="L7456" s="33" t="e">
        <f>HLOOKUP(B7456,#REF!,1,0)</f>
        <v>#REF!</v>
      </c>
      <c r="M7456" s="33" t="str">
        <f t="shared" si="467"/>
        <v>P&amp;L</v>
      </c>
    </row>
    <row r="7457" spans="1:13">
      <c r="A7457" s="33" t="str">
        <f t="shared" si="464"/>
        <v>SCL - CGS</v>
      </c>
      <c r="B7457" s="33" t="str">
        <f t="shared" si="465"/>
        <v>SCL</v>
      </c>
      <c r="C7457" s="33" t="str">
        <f t="shared" si="466"/>
        <v>50007-7378</v>
      </c>
      <c r="D7457" s="64" t="s">
        <v>8706</v>
      </c>
      <c r="E7457" s="64" t="s">
        <v>2895</v>
      </c>
      <c r="F7457" s="64" t="s">
        <v>15</v>
      </c>
      <c r="G7457" s="64" t="s">
        <v>2889</v>
      </c>
      <c r="H7457" s="64" t="s">
        <v>1875</v>
      </c>
      <c r="I7457" s="64" t="s">
        <v>2890</v>
      </c>
      <c r="J7457" s="67">
        <v>36002.88</v>
      </c>
      <c r="K7457" s="62">
        <v>364546.17</v>
      </c>
      <c r="L7457" s="33" t="e">
        <f>HLOOKUP(B7457,#REF!,1,0)</f>
        <v>#REF!</v>
      </c>
      <c r="M7457" s="33" t="str">
        <f t="shared" si="467"/>
        <v>P&amp;L</v>
      </c>
    </row>
    <row r="7458" spans="1:13">
      <c r="A7458" s="33" t="str">
        <f t="shared" si="464"/>
        <v>SCL - CGS</v>
      </c>
      <c r="B7458" s="33" t="str">
        <f t="shared" si="465"/>
        <v>SCL</v>
      </c>
      <c r="C7458" s="33" t="str">
        <f t="shared" si="466"/>
        <v>50007-7379</v>
      </c>
      <c r="D7458" s="64" t="s">
        <v>8707</v>
      </c>
      <c r="E7458" s="64" t="s">
        <v>2895</v>
      </c>
      <c r="F7458" s="64" t="s">
        <v>15</v>
      </c>
      <c r="G7458" s="64" t="s">
        <v>2889</v>
      </c>
      <c r="H7458" s="64" t="s">
        <v>1875</v>
      </c>
      <c r="I7458" s="64" t="s">
        <v>2890</v>
      </c>
      <c r="J7458" s="67">
        <v>32979.36</v>
      </c>
      <c r="K7458" s="62">
        <v>292214.42</v>
      </c>
      <c r="L7458" s="33" t="e">
        <f>HLOOKUP(B7458,#REF!,1,0)</f>
        <v>#REF!</v>
      </c>
      <c r="M7458" s="33" t="str">
        <f t="shared" si="467"/>
        <v>P&amp;L</v>
      </c>
    </row>
    <row r="7459" spans="1:13">
      <c r="A7459" s="33" t="str">
        <f t="shared" si="464"/>
        <v>SCL - CGS</v>
      </c>
      <c r="B7459" s="33" t="str">
        <f t="shared" si="465"/>
        <v>SCL</v>
      </c>
      <c r="C7459" s="33" t="str">
        <f t="shared" si="466"/>
        <v>50007-7380</v>
      </c>
      <c r="D7459" s="64" t="s">
        <v>8708</v>
      </c>
      <c r="E7459" s="64" t="s">
        <v>2895</v>
      </c>
      <c r="F7459" s="64" t="s">
        <v>15</v>
      </c>
      <c r="G7459" s="64" t="s">
        <v>2889</v>
      </c>
      <c r="H7459" s="64" t="s">
        <v>1875</v>
      </c>
      <c r="I7459" s="64" t="s">
        <v>2890</v>
      </c>
      <c r="J7459" s="67">
        <v>17101.8</v>
      </c>
      <c r="K7459" s="62">
        <v>187370.7</v>
      </c>
      <c r="L7459" s="33" t="e">
        <f>HLOOKUP(B7459,#REF!,1,0)</f>
        <v>#REF!</v>
      </c>
      <c r="M7459" s="33" t="str">
        <f t="shared" si="467"/>
        <v>P&amp;L</v>
      </c>
    </row>
    <row r="7460" spans="1:13">
      <c r="A7460" s="33" t="str">
        <f t="shared" si="464"/>
        <v>SCL - CGS</v>
      </c>
      <c r="B7460" s="33" t="str">
        <f t="shared" si="465"/>
        <v>SCL</v>
      </c>
      <c r="C7460" s="33" t="str">
        <f t="shared" si="466"/>
        <v>50007-7381</v>
      </c>
      <c r="D7460" s="64" t="s">
        <v>8709</v>
      </c>
      <c r="E7460" s="64" t="s">
        <v>2895</v>
      </c>
      <c r="F7460" s="64" t="s">
        <v>15</v>
      </c>
      <c r="G7460" s="64" t="s">
        <v>2889</v>
      </c>
      <c r="H7460" s="64" t="s">
        <v>1875</v>
      </c>
      <c r="I7460" s="64" t="s">
        <v>2890</v>
      </c>
      <c r="J7460" s="67">
        <v>36961.3</v>
      </c>
      <c r="K7460" s="62">
        <v>325247.73</v>
      </c>
      <c r="L7460" s="33" t="e">
        <f>HLOOKUP(B7460,#REF!,1,0)</f>
        <v>#REF!</v>
      </c>
      <c r="M7460" s="33" t="str">
        <f t="shared" si="467"/>
        <v>P&amp;L</v>
      </c>
    </row>
    <row r="7461" spans="1:13">
      <c r="A7461" s="33" t="str">
        <f t="shared" si="464"/>
        <v>SCL - CGS</v>
      </c>
      <c r="B7461" s="33" t="str">
        <f t="shared" si="465"/>
        <v>SCL</v>
      </c>
      <c r="C7461" s="33" t="str">
        <f t="shared" si="466"/>
        <v>50007-7383</v>
      </c>
      <c r="D7461" s="64" t="s">
        <v>8710</v>
      </c>
      <c r="E7461" s="64" t="s">
        <v>2895</v>
      </c>
      <c r="F7461" s="64" t="s">
        <v>15</v>
      </c>
      <c r="G7461" s="64" t="s">
        <v>2889</v>
      </c>
      <c r="H7461" s="64" t="s">
        <v>1875</v>
      </c>
      <c r="I7461" s="64" t="s">
        <v>2890</v>
      </c>
      <c r="J7461" s="67">
        <v>25656.53</v>
      </c>
      <c r="K7461" s="62">
        <v>272702.34</v>
      </c>
      <c r="L7461" s="33" t="e">
        <f>HLOOKUP(B7461,#REF!,1,0)</f>
        <v>#REF!</v>
      </c>
      <c r="M7461" s="33" t="str">
        <f t="shared" si="467"/>
        <v>P&amp;L</v>
      </c>
    </row>
    <row r="7462" spans="1:13">
      <c r="A7462" s="33" t="str">
        <f t="shared" si="464"/>
        <v>SCL - CGS</v>
      </c>
      <c r="B7462" s="33" t="str">
        <f t="shared" si="465"/>
        <v>SCL</v>
      </c>
      <c r="C7462" s="33" t="str">
        <f t="shared" si="466"/>
        <v>50007-7385</v>
      </c>
      <c r="D7462" s="64" t="s">
        <v>8711</v>
      </c>
      <c r="E7462" s="64" t="s">
        <v>2895</v>
      </c>
      <c r="F7462" s="64" t="s">
        <v>15</v>
      </c>
      <c r="G7462" s="64" t="s">
        <v>2889</v>
      </c>
      <c r="H7462" s="64" t="s">
        <v>1875</v>
      </c>
      <c r="I7462" s="64" t="s">
        <v>2890</v>
      </c>
      <c r="J7462" s="67">
        <v>17334.97</v>
      </c>
      <c r="K7462" s="62">
        <v>175863.77</v>
      </c>
      <c r="L7462" s="33" t="e">
        <f>HLOOKUP(B7462,#REF!,1,0)</f>
        <v>#REF!</v>
      </c>
      <c r="M7462" s="33" t="str">
        <f t="shared" si="467"/>
        <v>P&amp;L</v>
      </c>
    </row>
    <row r="7463" spans="1:13">
      <c r="A7463" s="33" t="str">
        <f t="shared" si="464"/>
        <v>SCL - CGS</v>
      </c>
      <c r="B7463" s="33" t="str">
        <f t="shared" si="465"/>
        <v>SCL</v>
      </c>
      <c r="C7463" s="33" t="str">
        <f t="shared" si="466"/>
        <v>50007-7386</v>
      </c>
      <c r="D7463" s="64" t="s">
        <v>8712</v>
      </c>
      <c r="E7463" s="64" t="s">
        <v>2895</v>
      </c>
      <c r="F7463" s="64" t="s">
        <v>15</v>
      </c>
      <c r="G7463" s="64" t="s">
        <v>2889</v>
      </c>
      <c r="H7463" s="64" t="s">
        <v>1875</v>
      </c>
      <c r="I7463" s="64" t="s">
        <v>2890</v>
      </c>
      <c r="J7463" s="67">
        <v>23331.02</v>
      </c>
      <c r="K7463" s="62">
        <v>226932.44</v>
      </c>
      <c r="L7463" s="33" t="e">
        <f>HLOOKUP(B7463,#REF!,1,0)</f>
        <v>#REF!</v>
      </c>
      <c r="M7463" s="33" t="str">
        <f t="shared" si="467"/>
        <v>P&amp;L</v>
      </c>
    </row>
    <row r="7464" spans="1:13">
      <c r="A7464" s="33" t="str">
        <f t="shared" si="464"/>
        <v>SCL - CGS</v>
      </c>
      <c r="B7464" s="33" t="str">
        <f t="shared" si="465"/>
        <v>SCL</v>
      </c>
      <c r="C7464" s="33" t="str">
        <f t="shared" si="466"/>
        <v>50007-7387</v>
      </c>
      <c r="D7464" s="64" t="s">
        <v>8713</v>
      </c>
      <c r="E7464" s="64" t="s">
        <v>2895</v>
      </c>
      <c r="F7464" s="64" t="s">
        <v>15</v>
      </c>
      <c r="G7464" s="64" t="s">
        <v>2889</v>
      </c>
      <c r="H7464" s="64" t="s">
        <v>1875</v>
      </c>
      <c r="I7464" s="64" t="s">
        <v>2890</v>
      </c>
      <c r="J7464" s="67">
        <v>27189.86</v>
      </c>
      <c r="K7464" s="62">
        <v>289105.99</v>
      </c>
      <c r="L7464" s="33" t="e">
        <f>HLOOKUP(B7464,#REF!,1,0)</f>
        <v>#REF!</v>
      </c>
      <c r="M7464" s="33" t="str">
        <f t="shared" si="467"/>
        <v>P&amp;L</v>
      </c>
    </row>
    <row r="7465" spans="1:13">
      <c r="A7465" s="33" t="str">
        <f t="shared" si="464"/>
        <v>SCL - CGS</v>
      </c>
      <c r="B7465" s="33" t="str">
        <f t="shared" si="465"/>
        <v>SCL</v>
      </c>
      <c r="C7465" s="33" t="str">
        <f t="shared" si="466"/>
        <v>50007-7389</v>
      </c>
      <c r="D7465" s="64" t="s">
        <v>8714</v>
      </c>
      <c r="E7465" s="64" t="s">
        <v>2895</v>
      </c>
      <c r="F7465" s="64" t="s">
        <v>15</v>
      </c>
      <c r="G7465" s="64" t="s">
        <v>2889</v>
      </c>
      <c r="H7465" s="64" t="s">
        <v>1875</v>
      </c>
      <c r="I7465" s="64" t="s">
        <v>2890</v>
      </c>
      <c r="J7465" s="67">
        <v>38184.2</v>
      </c>
      <c r="K7465" s="62">
        <v>375432.65</v>
      </c>
      <c r="L7465" s="33" t="e">
        <f>HLOOKUP(B7465,#REF!,1,0)</f>
        <v>#REF!</v>
      </c>
      <c r="M7465" s="33" t="str">
        <f t="shared" si="467"/>
        <v>P&amp;L</v>
      </c>
    </row>
    <row r="7466" spans="1:13">
      <c r="A7466" s="33" t="str">
        <f t="shared" si="464"/>
        <v>SCL - CGS</v>
      </c>
      <c r="B7466" s="33" t="str">
        <f t="shared" si="465"/>
        <v>SCL</v>
      </c>
      <c r="C7466" s="33" t="str">
        <f t="shared" si="466"/>
        <v>50007-7391</v>
      </c>
      <c r="D7466" s="64" t="s">
        <v>8715</v>
      </c>
      <c r="E7466" s="64" t="s">
        <v>2895</v>
      </c>
      <c r="F7466" s="64" t="s">
        <v>15</v>
      </c>
      <c r="G7466" s="64" t="s">
        <v>2889</v>
      </c>
      <c r="H7466" s="64" t="s">
        <v>1875</v>
      </c>
      <c r="I7466" s="64" t="s">
        <v>2890</v>
      </c>
      <c r="J7466" s="67">
        <v>29348.23</v>
      </c>
      <c r="K7466" s="62">
        <v>279040.66</v>
      </c>
      <c r="L7466" s="33" t="e">
        <f>HLOOKUP(B7466,#REF!,1,0)</f>
        <v>#REF!</v>
      </c>
      <c r="M7466" s="33" t="str">
        <f t="shared" si="467"/>
        <v>P&amp;L</v>
      </c>
    </row>
    <row r="7467" spans="1:13">
      <c r="A7467" s="33" t="str">
        <f t="shared" si="464"/>
        <v>SCL - CGS</v>
      </c>
      <c r="B7467" s="33" t="str">
        <f t="shared" si="465"/>
        <v>SCL</v>
      </c>
      <c r="C7467" s="33" t="str">
        <f t="shared" si="466"/>
        <v>50007-7393</v>
      </c>
      <c r="D7467" s="64" t="s">
        <v>8716</v>
      </c>
      <c r="E7467" s="64" t="s">
        <v>2895</v>
      </c>
      <c r="F7467" s="64" t="s">
        <v>15</v>
      </c>
      <c r="G7467" s="64" t="s">
        <v>2889</v>
      </c>
      <c r="H7467" s="64" t="s">
        <v>1875</v>
      </c>
      <c r="I7467" s="64" t="s">
        <v>2890</v>
      </c>
      <c r="J7467" s="67">
        <v>21024.22</v>
      </c>
      <c r="K7467" s="62">
        <v>224012.79</v>
      </c>
      <c r="L7467" s="33" t="e">
        <f>HLOOKUP(B7467,#REF!,1,0)</f>
        <v>#REF!</v>
      </c>
      <c r="M7467" s="33" t="str">
        <f t="shared" si="467"/>
        <v>P&amp;L</v>
      </c>
    </row>
    <row r="7468" spans="1:13">
      <c r="A7468" s="33" t="str">
        <f t="shared" si="464"/>
        <v>SCL - CGS</v>
      </c>
      <c r="B7468" s="33" t="str">
        <f t="shared" si="465"/>
        <v>SCL</v>
      </c>
      <c r="C7468" s="33" t="str">
        <f t="shared" si="466"/>
        <v>50007-7394</v>
      </c>
      <c r="D7468" s="64" t="s">
        <v>8717</v>
      </c>
      <c r="E7468" s="64" t="s">
        <v>2895</v>
      </c>
      <c r="F7468" s="64" t="s">
        <v>15</v>
      </c>
      <c r="G7468" s="64" t="s">
        <v>2889</v>
      </c>
      <c r="H7468" s="64" t="s">
        <v>1875</v>
      </c>
      <c r="I7468" s="64" t="s">
        <v>2890</v>
      </c>
      <c r="J7468" s="67">
        <v>20222.5</v>
      </c>
      <c r="K7468" s="62">
        <v>205492.98</v>
      </c>
      <c r="L7468" s="33" t="e">
        <f>HLOOKUP(B7468,#REF!,1,0)</f>
        <v>#REF!</v>
      </c>
      <c r="M7468" s="33" t="str">
        <f t="shared" si="467"/>
        <v>P&amp;L</v>
      </c>
    </row>
    <row r="7469" spans="1:13">
      <c r="A7469" s="33" t="str">
        <f t="shared" si="464"/>
        <v>SCL - CGS</v>
      </c>
      <c r="B7469" s="33" t="str">
        <f t="shared" si="465"/>
        <v>SCL</v>
      </c>
      <c r="C7469" s="33" t="str">
        <f t="shared" si="466"/>
        <v>50007-7396</v>
      </c>
      <c r="D7469" s="64" t="s">
        <v>8718</v>
      </c>
      <c r="E7469" s="64" t="s">
        <v>2895</v>
      </c>
      <c r="F7469" s="64" t="s">
        <v>15</v>
      </c>
      <c r="G7469" s="64" t="s">
        <v>2889</v>
      </c>
      <c r="H7469" s="64" t="s">
        <v>1875</v>
      </c>
      <c r="I7469" s="64" t="s">
        <v>2890</v>
      </c>
      <c r="J7469" s="67">
        <v>24807.9</v>
      </c>
      <c r="K7469" s="62">
        <v>239950.58</v>
      </c>
      <c r="L7469" s="33" t="e">
        <f>HLOOKUP(B7469,#REF!,1,0)</f>
        <v>#REF!</v>
      </c>
      <c r="M7469" s="33" t="str">
        <f t="shared" si="467"/>
        <v>P&amp;L</v>
      </c>
    </row>
    <row r="7470" spans="1:13">
      <c r="A7470" s="33" t="str">
        <f t="shared" si="464"/>
        <v>SCL - CGS</v>
      </c>
      <c r="B7470" s="33" t="str">
        <f t="shared" si="465"/>
        <v>SCL</v>
      </c>
      <c r="C7470" s="33" t="str">
        <f t="shared" si="466"/>
        <v>50007-7397</v>
      </c>
      <c r="D7470" s="64" t="s">
        <v>8719</v>
      </c>
      <c r="E7470" s="64" t="s">
        <v>2895</v>
      </c>
      <c r="F7470" s="64" t="s">
        <v>15</v>
      </c>
      <c r="G7470" s="64" t="s">
        <v>2889</v>
      </c>
      <c r="H7470" s="64" t="s">
        <v>1875</v>
      </c>
      <c r="I7470" s="64" t="s">
        <v>2890</v>
      </c>
      <c r="J7470" s="67">
        <v>24863.48</v>
      </c>
      <c r="K7470" s="62">
        <v>256012.05</v>
      </c>
      <c r="L7470" s="33" t="e">
        <f>HLOOKUP(B7470,#REF!,1,0)</f>
        <v>#REF!</v>
      </c>
      <c r="M7470" s="33" t="str">
        <f t="shared" si="467"/>
        <v>P&amp;L</v>
      </c>
    </row>
    <row r="7471" spans="1:13">
      <c r="A7471" s="33" t="str">
        <f t="shared" si="464"/>
        <v>SCL - CGS</v>
      </c>
      <c r="B7471" s="33" t="str">
        <f t="shared" si="465"/>
        <v>SCL</v>
      </c>
      <c r="C7471" s="33" t="str">
        <f t="shared" si="466"/>
        <v>50007-7398</v>
      </c>
      <c r="D7471" s="64" t="s">
        <v>8720</v>
      </c>
      <c r="E7471" s="64" t="s">
        <v>2895</v>
      </c>
      <c r="F7471" s="64" t="s">
        <v>15</v>
      </c>
      <c r="G7471" s="64" t="s">
        <v>2889</v>
      </c>
      <c r="H7471" s="64" t="s">
        <v>1875</v>
      </c>
      <c r="I7471" s="64" t="s">
        <v>2890</v>
      </c>
      <c r="J7471" s="67">
        <v>23562.6</v>
      </c>
      <c r="K7471" s="62">
        <v>238247.22</v>
      </c>
      <c r="L7471" s="33" t="e">
        <f>HLOOKUP(B7471,#REF!,1,0)</f>
        <v>#REF!</v>
      </c>
      <c r="M7471" s="33" t="str">
        <f t="shared" si="467"/>
        <v>P&amp;L</v>
      </c>
    </row>
    <row r="7472" spans="1:13">
      <c r="A7472" s="33" t="str">
        <f t="shared" si="464"/>
        <v>SCL - CGS</v>
      </c>
      <c r="B7472" s="33" t="str">
        <f t="shared" si="465"/>
        <v>SCL</v>
      </c>
      <c r="C7472" s="33" t="str">
        <f t="shared" si="466"/>
        <v>50007-7400</v>
      </c>
      <c r="D7472" s="64" t="s">
        <v>8721</v>
      </c>
      <c r="E7472" s="64" t="s">
        <v>2895</v>
      </c>
      <c r="F7472" s="64" t="s">
        <v>15</v>
      </c>
      <c r="G7472" s="64" t="s">
        <v>2889</v>
      </c>
      <c r="H7472" s="64" t="s">
        <v>1875</v>
      </c>
      <c r="I7472" s="64" t="s">
        <v>2890</v>
      </c>
      <c r="J7472" s="67">
        <v>20852.17</v>
      </c>
      <c r="K7472" s="62">
        <v>204645.91</v>
      </c>
      <c r="L7472" s="33" t="e">
        <f>HLOOKUP(B7472,#REF!,1,0)</f>
        <v>#REF!</v>
      </c>
      <c r="M7472" s="33" t="str">
        <f t="shared" si="467"/>
        <v>P&amp;L</v>
      </c>
    </row>
    <row r="7473" spans="1:13">
      <c r="A7473" s="33" t="str">
        <f t="shared" si="464"/>
        <v>SCL - CGS</v>
      </c>
      <c r="B7473" s="33" t="str">
        <f t="shared" si="465"/>
        <v>SCL</v>
      </c>
      <c r="C7473" s="33" t="str">
        <f t="shared" si="466"/>
        <v>50007-7401</v>
      </c>
      <c r="D7473" s="64" t="s">
        <v>8722</v>
      </c>
      <c r="E7473" s="64" t="s">
        <v>2895</v>
      </c>
      <c r="F7473" s="64" t="s">
        <v>15</v>
      </c>
      <c r="G7473" s="64" t="s">
        <v>2889</v>
      </c>
      <c r="H7473" s="64" t="s">
        <v>1875</v>
      </c>
      <c r="I7473" s="64" t="s">
        <v>2890</v>
      </c>
      <c r="J7473" s="67">
        <v>22903.75</v>
      </c>
      <c r="K7473" s="62">
        <v>221102.82</v>
      </c>
      <c r="L7473" s="33" t="e">
        <f>HLOOKUP(B7473,#REF!,1,0)</f>
        <v>#REF!</v>
      </c>
      <c r="M7473" s="33" t="str">
        <f t="shared" si="467"/>
        <v>P&amp;L</v>
      </c>
    </row>
    <row r="7474" spans="1:13">
      <c r="A7474" s="33" t="str">
        <f t="shared" si="464"/>
        <v>SCL - CGS</v>
      </c>
      <c r="B7474" s="33" t="str">
        <f t="shared" si="465"/>
        <v>SCL</v>
      </c>
      <c r="C7474" s="33" t="str">
        <f t="shared" si="466"/>
        <v>50007-7402</v>
      </c>
      <c r="D7474" s="64" t="s">
        <v>8723</v>
      </c>
      <c r="E7474" s="64" t="s">
        <v>2895</v>
      </c>
      <c r="F7474" s="64" t="s">
        <v>15</v>
      </c>
      <c r="G7474" s="64" t="s">
        <v>2889</v>
      </c>
      <c r="H7474" s="64" t="s">
        <v>1875</v>
      </c>
      <c r="I7474" s="64" t="s">
        <v>2890</v>
      </c>
      <c r="J7474" s="67">
        <v>26203.15</v>
      </c>
      <c r="K7474" s="62">
        <v>262654.57</v>
      </c>
      <c r="L7474" s="33" t="e">
        <f>HLOOKUP(B7474,#REF!,1,0)</f>
        <v>#REF!</v>
      </c>
      <c r="M7474" s="33" t="str">
        <f t="shared" si="467"/>
        <v>P&amp;L</v>
      </c>
    </row>
    <row r="7475" spans="1:13">
      <c r="A7475" s="33" t="str">
        <f t="shared" si="464"/>
        <v>SCL - CGS</v>
      </c>
      <c r="B7475" s="33" t="str">
        <f t="shared" si="465"/>
        <v>SCL</v>
      </c>
      <c r="C7475" s="33" t="str">
        <f t="shared" si="466"/>
        <v>50007-7403</v>
      </c>
      <c r="D7475" s="64" t="s">
        <v>8724</v>
      </c>
      <c r="E7475" s="64" t="s">
        <v>2895</v>
      </c>
      <c r="F7475" s="64" t="s">
        <v>15</v>
      </c>
      <c r="G7475" s="64" t="s">
        <v>2889</v>
      </c>
      <c r="H7475" s="64" t="s">
        <v>1875</v>
      </c>
      <c r="I7475" s="64" t="s">
        <v>2890</v>
      </c>
      <c r="J7475" s="67">
        <v>25005</v>
      </c>
      <c r="K7475" s="62">
        <v>269831.81</v>
      </c>
      <c r="L7475" s="33" t="e">
        <f>HLOOKUP(B7475,#REF!,1,0)</f>
        <v>#REF!</v>
      </c>
      <c r="M7475" s="33" t="str">
        <f t="shared" si="467"/>
        <v>P&amp;L</v>
      </c>
    </row>
    <row r="7476" spans="1:13">
      <c r="A7476" s="33" t="str">
        <f t="shared" si="464"/>
        <v>SCL - CGS</v>
      </c>
      <c r="B7476" s="33" t="str">
        <f t="shared" si="465"/>
        <v>SCL</v>
      </c>
      <c r="C7476" s="33" t="str">
        <f t="shared" si="466"/>
        <v>50007-7489</v>
      </c>
      <c r="D7476" s="64" t="s">
        <v>8725</v>
      </c>
      <c r="E7476" s="64" t="s">
        <v>2895</v>
      </c>
      <c r="F7476" s="64" t="s">
        <v>15</v>
      </c>
      <c r="G7476" s="64" t="s">
        <v>2889</v>
      </c>
      <c r="H7476" s="64" t="s">
        <v>1875</v>
      </c>
      <c r="I7476" s="64" t="s">
        <v>2890</v>
      </c>
      <c r="J7476" s="67">
        <v>49222.09</v>
      </c>
      <c r="K7476" s="62">
        <v>385444.87</v>
      </c>
      <c r="L7476" s="33" t="e">
        <f>HLOOKUP(B7476,#REF!,1,0)</f>
        <v>#REF!</v>
      </c>
      <c r="M7476" s="33" t="str">
        <f t="shared" si="467"/>
        <v>P&amp;L</v>
      </c>
    </row>
    <row r="7477" spans="1:13">
      <c r="A7477" s="33" t="str">
        <f t="shared" si="464"/>
        <v>SCL - CGS</v>
      </c>
      <c r="B7477" s="33" t="str">
        <f t="shared" si="465"/>
        <v>SCL</v>
      </c>
      <c r="C7477" s="33" t="str">
        <f t="shared" si="466"/>
        <v>50007-7491</v>
      </c>
      <c r="D7477" s="64" t="s">
        <v>8726</v>
      </c>
      <c r="E7477" s="64" t="s">
        <v>2895</v>
      </c>
      <c r="F7477" s="64" t="s">
        <v>15</v>
      </c>
      <c r="G7477" s="64" t="s">
        <v>2889</v>
      </c>
      <c r="H7477" s="64" t="s">
        <v>1875</v>
      </c>
      <c r="I7477" s="64" t="s">
        <v>2890</v>
      </c>
      <c r="J7477" s="67">
        <v>20537.12</v>
      </c>
      <c r="K7477" s="62">
        <v>201648.29</v>
      </c>
      <c r="L7477" s="33" t="e">
        <f>HLOOKUP(B7477,#REF!,1,0)</f>
        <v>#REF!</v>
      </c>
      <c r="M7477" s="33" t="str">
        <f t="shared" si="467"/>
        <v>P&amp;L</v>
      </c>
    </row>
    <row r="7478" spans="1:13">
      <c r="A7478" s="33" t="str">
        <f t="shared" si="464"/>
        <v>SCL - CGS</v>
      </c>
      <c r="B7478" s="33" t="str">
        <f t="shared" si="465"/>
        <v>SCL</v>
      </c>
      <c r="C7478" s="33" t="str">
        <f t="shared" si="466"/>
        <v>50007-7492</v>
      </c>
      <c r="D7478" s="64" t="s">
        <v>8727</v>
      </c>
      <c r="E7478" s="64" t="s">
        <v>2895</v>
      </c>
      <c r="F7478" s="64" t="s">
        <v>15</v>
      </c>
      <c r="G7478" s="64" t="s">
        <v>2889</v>
      </c>
      <c r="H7478" s="64" t="s">
        <v>1875</v>
      </c>
      <c r="I7478" s="64" t="s">
        <v>2890</v>
      </c>
      <c r="J7478" s="67">
        <v>22710.93</v>
      </c>
      <c r="K7478" s="62">
        <v>226914.05</v>
      </c>
      <c r="L7478" s="33" t="e">
        <f>HLOOKUP(B7478,#REF!,1,0)</f>
        <v>#REF!</v>
      </c>
      <c r="M7478" s="33" t="str">
        <f t="shared" si="467"/>
        <v>P&amp;L</v>
      </c>
    </row>
    <row r="7479" spans="1:13">
      <c r="A7479" s="33" t="str">
        <f t="shared" si="464"/>
        <v>SCL - CGS</v>
      </c>
      <c r="B7479" s="33" t="str">
        <f t="shared" si="465"/>
        <v>SCL</v>
      </c>
      <c r="C7479" s="33" t="str">
        <f t="shared" si="466"/>
        <v>50007-7493</v>
      </c>
      <c r="D7479" s="64" t="s">
        <v>8728</v>
      </c>
      <c r="E7479" s="64" t="s">
        <v>2895</v>
      </c>
      <c r="F7479" s="64" t="s">
        <v>15</v>
      </c>
      <c r="G7479" s="64" t="s">
        <v>2889</v>
      </c>
      <c r="H7479" s="64" t="s">
        <v>1875</v>
      </c>
      <c r="I7479" s="64" t="s">
        <v>2890</v>
      </c>
      <c r="J7479" s="67">
        <v>29845.08</v>
      </c>
      <c r="K7479" s="62">
        <v>319432.12</v>
      </c>
      <c r="L7479" s="33" t="e">
        <f>HLOOKUP(B7479,#REF!,1,0)</f>
        <v>#REF!</v>
      </c>
      <c r="M7479" s="33" t="str">
        <f t="shared" si="467"/>
        <v>P&amp;L</v>
      </c>
    </row>
    <row r="7480" spans="1:13">
      <c r="A7480" s="33" t="str">
        <f t="shared" si="464"/>
        <v>SCL - CGS</v>
      </c>
      <c r="B7480" s="33" t="str">
        <f t="shared" si="465"/>
        <v>SCL</v>
      </c>
      <c r="C7480" s="33" t="str">
        <f t="shared" si="466"/>
        <v>50007-7494</v>
      </c>
      <c r="D7480" s="64" t="s">
        <v>8729</v>
      </c>
      <c r="E7480" s="64" t="s">
        <v>2895</v>
      </c>
      <c r="F7480" s="64" t="s">
        <v>15</v>
      </c>
      <c r="G7480" s="64" t="s">
        <v>2889</v>
      </c>
      <c r="H7480" s="64" t="s">
        <v>1875</v>
      </c>
      <c r="I7480" s="64" t="s">
        <v>2890</v>
      </c>
      <c r="J7480" s="67">
        <v>22519.19</v>
      </c>
      <c r="K7480" s="62">
        <v>238770.1</v>
      </c>
      <c r="L7480" s="33" t="e">
        <f>HLOOKUP(B7480,#REF!,1,0)</f>
        <v>#REF!</v>
      </c>
      <c r="M7480" s="33" t="str">
        <f t="shared" si="467"/>
        <v>P&amp;L</v>
      </c>
    </row>
    <row r="7481" spans="1:13">
      <c r="A7481" s="33" t="str">
        <f t="shared" si="464"/>
        <v>SCL - CGS</v>
      </c>
      <c r="B7481" s="33" t="str">
        <f t="shared" si="465"/>
        <v>SCL</v>
      </c>
      <c r="C7481" s="33" t="str">
        <f t="shared" si="466"/>
        <v>50007-7625</v>
      </c>
      <c r="D7481" s="64" t="s">
        <v>8730</v>
      </c>
      <c r="E7481" s="64" t="s">
        <v>2895</v>
      </c>
      <c r="F7481" s="64" t="s">
        <v>15</v>
      </c>
      <c r="G7481" s="64" t="s">
        <v>2889</v>
      </c>
      <c r="H7481" s="64" t="s">
        <v>1875</v>
      </c>
      <c r="I7481" s="64" t="s">
        <v>2890</v>
      </c>
      <c r="J7481" s="67">
        <v>32509.2</v>
      </c>
      <c r="K7481" s="62">
        <v>323748.27</v>
      </c>
      <c r="L7481" s="33" t="e">
        <f>HLOOKUP(B7481,#REF!,1,0)</f>
        <v>#REF!</v>
      </c>
      <c r="M7481" s="33" t="str">
        <f t="shared" si="467"/>
        <v>P&amp;L</v>
      </c>
    </row>
    <row r="7482" spans="1:13">
      <c r="A7482" s="33" t="str">
        <f t="shared" si="464"/>
        <v>SCL - CGS</v>
      </c>
      <c r="B7482" s="33" t="str">
        <f t="shared" si="465"/>
        <v>SCL</v>
      </c>
      <c r="C7482" s="33" t="str">
        <f t="shared" si="466"/>
        <v>50007-8150</v>
      </c>
      <c r="D7482" s="64" t="s">
        <v>8731</v>
      </c>
      <c r="E7482" s="64" t="s">
        <v>2895</v>
      </c>
      <c r="F7482" s="64" t="s">
        <v>15</v>
      </c>
      <c r="G7482" s="64" t="s">
        <v>2889</v>
      </c>
      <c r="H7482" s="64" t="s">
        <v>1875</v>
      </c>
      <c r="I7482" s="64" t="s">
        <v>2890</v>
      </c>
      <c r="J7482" s="67">
        <v>23462.02</v>
      </c>
      <c r="K7482" s="62">
        <v>259096.25</v>
      </c>
      <c r="L7482" s="33" t="e">
        <f>HLOOKUP(B7482,#REF!,1,0)</f>
        <v>#REF!</v>
      </c>
      <c r="M7482" s="33" t="str">
        <f t="shared" si="467"/>
        <v>P&amp;L</v>
      </c>
    </row>
    <row r="7483" spans="1:13">
      <c r="A7483" s="33" t="str">
        <f t="shared" si="464"/>
        <v>SCL - CGS</v>
      </c>
      <c r="B7483" s="33" t="str">
        <f t="shared" si="465"/>
        <v>SCL</v>
      </c>
      <c r="C7483" s="33" t="str">
        <f t="shared" si="466"/>
        <v>50099-7351</v>
      </c>
      <c r="D7483" s="64" t="s">
        <v>8732</v>
      </c>
      <c r="E7483" s="64" t="s">
        <v>2900</v>
      </c>
      <c r="F7483" s="64" t="s">
        <v>15</v>
      </c>
      <c r="G7483" s="64" t="s">
        <v>2889</v>
      </c>
      <c r="H7483" s="64" t="s">
        <v>1875</v>
      </c>
      <c r="I7483" s="64" t="s">
        <v>2901</v>
      </c>
      <c r="J7483" s="67">
        <v>-26440.93</v>
      </c>
      <c r="K7483" s="62">
        <v>-242472.41</v>
      </c>
      <c r="L7483" s="33" t="e">
        <f>HLOOKUP(B7483,#REF!,1,0)</f>
        <v>#REF!</v>
      </c>
      <c r="M7483" s="33" t="str">
        <f t="shared" si="467"/>
        <v>P&amp;L</v>
      </c>
    </row>
    <row r="7484" spans="1:13">
      <c r="A7484" s="33" t="str">
        <f t="shared" si="464"/>
        <v>SCL - CGS</v>
      </c>
      <c r="B7484" s="33" t="str">
        <f t="shared" si="465"/>
        <v>SCL</v>
      </c>
      <c r="C7484" s="33" t="str">
        <f t="shared" si="466"/>
        <v>50099-7352</v>
      </c>
      <c r="D7484" s="64" t="s">
        <v>8733</v>
      </c>
      <c r="E7484" s="64" t="s">
        <v>2900</v>
      </c>
      <c r="F7484" s="64" t="s">
        <v>15</v>
      </c>
      <c r="G7484" s="64" t="s">
        <v>2889</v>
      </c>
      <c r="H7484" s="64" t="s">
        <v>1875</v>
      </c>
      <c r="I7484" s="64" t="s">
        <v>2901</v>
      </c>
      <c r="J7484" s="67">
        <v>-24635.22</v>
      </c>
      <c r="K7484" s="62">
        <v>-223774.09</v>
      </c>
      <c r="L7484" s="33" t="e">
        <f>HLOOKUP(B7484,#REF!,1,0)</f>
        <v>#REF!</v>
      </c>
      <c r="M7484" s="33" t="str">
        <f t="shared" si="467"/>
        <v>P&amp;L</v>
      </c>
    </row>
    <row r="7485" spans="1:13">
      <c r="A7485" s="33" t="str">
        <f t="shared" si="464"/>
        <v>SCL - CGS</v>
      </c>
      <c r="B7485" s="33" t="str">
        <f t="shared" si="465"/>
        <v>SCL</v>
      </c>
      <c r="C7485" s="33" t="str">
        <f t="shared" si="466"/>
        <v>50099-7355</v>
      </c>
      <c r="D7485" s="64" t="s">
        <v>8734</v>
      </c>
      <c r="E7485" s="64" t="s">
        <v>2900</v>
      </c>
      <c r="F7485" s="64" t="s">
        <v>15</v>
      </c>
      <c r="G7485" s="64" t="s">
        <v>2889</v>
      </c>
      <c r="H7485" s="64" t="s">
        <v>1875</v>
      </c>
      <c r="I7485" s="64" t="s">
        <v>2901</v>
      </c>
      <c r="J7485" s="67">
        <v>-26206.5</v>
      </c>
      <c r="K7485" s="62">
        <v>-251994.15</v>
      </c>
      <c r="L7485" s="33" t="e">
        <f>HLOOKUP(B7485,#REF!,1,0)</f>
        <v>#REF!</v>
      </c>
      <c r="M7485" s="33" t="str">
        <f t="shared" si="467"/>
        <v>P&amp;L</v>
      </c>
    </row>
    <row r="7486" spans="1:13">
      <c r="A7486" s="33" t="str">
        <f t="shared" si="464"/>
        <v>SCL - CGS</v>
      </c>
      <c r="B7486" s="33" t="str">
        <f t="shared" si="465"/>
        <v>SCL</v>
      </c>
      <c r="C7486" s="33" t="str">
        <f t="shared" si="466"/>
        <v>50099-7356</v>
      </c>
      <c r="D7486" s="64" t="s">
        <v>8735</v>
      </c>
      <c r="E7486" s="64" t="s">
        <v>2900</v>
      </c>
      <c r="F7486" s="64" t="s">
        <v>15</v>
      </c>
      <c r="G7486" s="64" t="s">
        <v>2889</v>
      </c>
      <c r="H7486" s="64" t="s">
        <v>1875</v>
      </c>
      <c r="I7486" s="64" t="s">
        <v>2901</v>
      </c>
      <c r="J7486" s="67">
        <v>0</v>
      </c>
      <c r="K7486" s="62">
        <v>-16186.74</v>
      </c>
      <c r="L7486" s="33" t="e">
        <f>HLOOKUP(B7486,#REF!,1,0)</f>
        <v>#REF!</v>
      </c>
      <c r="M7486" s="33" t="str">
        <f t="shared" si="467"/>
        <v>P&amp;L</v>
      </c>
    </row>
    <row r="7487" spans="1:13">
      <c r="A7487" s="33" t="str">
        <f t="shared" si="464"/>
        <v>SCL - CGS</v>
      </c>
      <c r="B7487" s="33" t="str">
        <f t="shared" si="465"/>
        <v>SCL</v>
      </c>
      <c r="C7487" s="33" t="str">
        <f t="shared" si="466"/>
        <v>50099-7359</v>
      </c>
      <c r="D7487" s="64" t="s">
        <v>8736</v>
      </c>
      <c r="E7487" s="64" t="s">
        <v>2900</v>
      </c>
      <c r="F7487" s="64" t="s">
        <v>15</v>
      </c>
      <c r="G7487" s="64" t="s">
        <v>2889</v>
      </c>
      <c r="H7487" s="64" t="s">
        <v>1875</v>
      </c>
      <c r="I7487" s="64" t="s">
        <v>2901</v>
      </c>
      <c r="J7487" s="67">
        <v>-22095.87</v>
      </c>
      <c r="K7487" s="62">
        <v>-200371.33</v>
      </c>
      <c r="L7487" s="33" t="e">
        <f>HLOOKUP(B7487,#REF!,1,0)</f>
        <v>#REF!</v>
      </c>
      <c r="M7487" s="33" t="str">
        <f t="shared" si="467"/>
        <v>P&amp;L</v>
      </c>
    </row>
    <row r="7488" spans="1:13">
      <c r="A7488" s="33" t="str">
        <f t="shared" si="464"/>
        <v>SCL - CGS</v>
      </c>
      <c r="B7488" s="33" t="str">
        <f t="shared" si="465"/>
        <v>SCL</v>
      </c>
      <c r="C7488" s="33" t="str">
        <f t="shared" si="466"/>
        <v>50099-7360</v>
      </c>
      <c r="D7488" s="64" t="s">
        <v>8737</v>
      </c>
      <c r="E7488" s="64" t="s">
        <v>2900</v>
      </c>
      <c r="F7488" s="64" t="s">
        <v>15</v>
      </c>
      <c r="G7488" s="64" t="s">
        <v>2889</v>
      </c>
      <c r="H7488" s="64" t="s">
        <v>1875</v>
      </c>
      <c r="I7488" s="64" t="s">
        <v>2901</v>
      </c>
      <c r="J7488" s="67">
        <v>-31345.35</v>
      </c>
      <c r="K7488" s="62">
        <v>-264717.02</v>
      </c>
      <c r="L7488" s="33" t="e">
        <f>HLOOKUP(B7488,#REF!,1,0)</f>
        <v>#REF!</v>
      </c>
      <c r="M7488" s="33" t="str">
        <f t="shared" si="467"/>
        <v>P&amp;L</v>
      </c>
    </row>
    <row r="7489" spans="1:13">
      <c r="A7489" s="33" t="str">
        <f t="shared" si="464"/>
        <v>SCL - CGS</v>
      </c>
      <c r="B7489" s="33" t="str">
        <f t="shared" si="465"/>
        <v>SCL</v>
      </c>
      <c r="C7489" s="33" t="str">
        <f t="shared" si="466"/>
        <v>50099-7361</v>
      </c>
      <c r="D7489" s="64" t="s">
        <v>8738</v>
      </c>
      <c r="E7489" s="64" t="s">
        <v>2900</v>
      </c>
      <c r="F7489" s="64" t="s">
        <v>15</v>
      </c>
      <c r="G7489" s="64" t="s">
        <v>2889</v>
      </c>
      <c r="H7489" s="64" t="s">
        <v>1875</v>
      </c>
      <c r="I7489" s="64" t="s">
        <v>2901</v>
      </c>
      <c r="J7489" s="67">
        <v>-28927.11</v>
      </c>
      <c r="K7489" s="62">
        <v>-271808.96</v>
      </c>
      <c r="L7489" s="33" t="e">
        <f>HLOOKUP(B7489,#REF!,1,0)</f>
        <v>#REF!</v>
      </c>
      <c r="M7489" s="33" t="str">
        <f t="shared" si="467"/>
        <v>P&amp;L</v>
      </c>
    </row>
    <row r="7490" spans="1:13">
      <c r="A7490" s="33" t="str">
        <f t="shared" ref="A7490:A7553" si="468">B7490&amp;" - "&amp;TRIM(H7490)</f>
        <v>SCL - CGS</v>
      </c>
      <c r="B7490" s="33" t="str">
        <f t="shared" ref="B7490:B7553" si="469">LEFT(D7490,3)</f>
        <v>SCL</v>
      </c>
      <c r="C7490" s="33" t="str">
        <f t="shared" ref="C7490:C7553" si="470">RIGHT(D7490,10)</f>
        <v>50099-7362</v>
      </c>
      <c r="D7490" s="64" t="s">
        <v>8739</v>
      </c>
      <c r="E7490" s="64" t="s">
        <v>2900</v>
      </c>
      <c r="F7490" s="64" t="s">
        <v>15</v>
      </c>
      <c r="G7490" s="64" t="s">
        <v>2889</v>
      </c>
      <c r="H7490" s="64" t="s">
        <v>1875</v>
      </c>
      <c r="I7490" s="64" t="s">
        <v>2901</v>
      </c>
      <c r="J7490" s="67">
        <v>-18150.49</v>
      </c>
      <c r="K7490" s="62">
        <v>-166487.5</v>
      </c>
      <c r="L7490" s="33" t="e">
        <f>HLOOKUP(B7490,#REF!,1,0)</f>
        <v>#REF!</v>
      </c>
      <c r="M7490" s="33" t="str">
        <f t="shared" ref="M7490:M7553" si="471">IF(VALUE(LEFT(C7490,5))&gt;40000,"P&amp;L","BS")</f>
        <v>P&amp;L</v>
      </c>
    </row>
    <row r="7491" spans="1:13">
      <c r="A7491" s="33" t="str">
        <f t="shared" si="468"/>
        <v>SCL - CGS</v>
      </c>
      <c r="B7491" s="33" t="str">
        <f t="shared" si="469"/>
        <v>SCL</v>
      </c>
      <c r="C7491" s="33" t="str">
        <f t="shared" si="470"/>
        <v>50099-7363</v>
      </c>
      <c r="D7491" s="64" t="s">
        <v>8740</v>
      </c>
      <c r="E7491" s="64" t="s">
        <v>2900</v>
      </c>
      <c r="F7491" s="64" t="s">
        <v>15</v>
      </c>
      <c r="G7491" s="64" t="s">
        <v>2889</v>
      </c>
      <c r="H7491" s="64" t="s">
        <v>1875</v>
      </c>
      <c r="I7491" s="64" t="s">
        <v>2901</v>
      </c>
      <c r="J7491" s="67">
        <v>-21859.49</v>
      </c>
      <c r="K7491" s="62">
        <v>-203811.15</v>
      </c>
      <c r="L7491" s="33" t="e">
        <f>HLOOKUP(B7491,#REF!,1,0)</f>
        <v>#REF!</v>
      </c>
      <c r="M7491" s="33" t="str">
        <f t="shared" si="471"/>
        <v>P&amp;L</v>
      </c>
    </row>
    <row r="7492" spans="1:13">
      <c r="A7492" s="33" t="str">
        <f t="shared" si="468"/>
        <v>SCL - CGS</v>
      </c>
      <c r="B7492" s="33" t="str">
        <f t="shared" si="469"/>
        <v>SCL</v>
      </c>
      <c r="C7492" s="33" t="str">
        <f t="shared" si="470"/>
        <v>50099-7364</v>
      </c>
      <c r="D7492" s="64" t="s">
        <v>8741</v>
      </c>
      <c r="E7492" s="64" t="s">
        <v>2900</v>
      </c>
      <c r="F7492" s="64" t="s">
        <v>15</v>
      </c>
      <c r="G7492" s="64" t="s">
        <v>2889</v>
      </c>
      <c r="H7492" s="64" t="s">
        <v>1875</v>
      </c>
      <c r="I7492" s="64" t="s">
        <v>2901</v>
      </c>
      <c r="J7492" s="67">
        <v>-12033.02</v>
      </c>
      <c r="K7492" s="62">
        <v>-110541.12</v>
      </c>
      <c r="L7492" s="33" t="e">
        <f>HLOOKUP(B7492,#REF!,1,0)</f>
        <v>#REF!</v>
      </c>
      <c r="M7492" s="33" t="str">
        <f t="shared" si="471"/>
        <v>P&amp;L</v>
      </c>
    </row>
    <row r="7493" spans="1:13">
      <c r="A7493" s="33" t="str">
        <f t="shared" si="468"/>
        <v>SCL - CGS</v>
      </c>
      <c r="B7493" s="33" t="str">
        <f t="shared" si="469"/>
        <v>SCL</v>
      </c>
      <c r="C7493" s="33" t="str">
        <f t="shared" si="470"/>
        <v>50099-7365</v>
      </c>
      <c r="D7493" s="64" t="s">
        <v>8742</v>
      </c>
      <c r="E7493" s="64" t="s">
        <v>2900</v>
      </c>
      <c r="F7493" s="64" t="s">
        <v>15</v>
      </c>
      <c r="G7493" s="64" t="s">
        <v>2889</v>
      </c>
      <c r="H7493" s="64" t="s">
        <v>1875</v>
      </c>
      <c r="I7493" s="64" t="s">
        <v>2901</v>
      </c>
      <c r="J7493" s="67">
        <v>-19348.46</v>
      </c>
      <c r="K7493" s="62">
        <v>-184036.41</v>
      </c>
      <c r="L7493" s="33" t="e">
        <f>HLOOKUP(B7493,#REF!,1,0)</f>
        <v>#REF!</v>
      </c>
      <c r="M7493" s="33" t="str">
        <f t="shared" si="471"/>
        <v>P&amp;L</v>
      </c>
    </row>
    <row r="7494" spans="1:13">
      <c r="A7494" s="33" t="str">
        <f t="shared" si="468"/>
        <v>SCL - CGS</v>
      </c>
      <c r="B7494" s="33" t="str">
        <f t="shared" si="469"/>
        <v>SCL</v>
      </c>
      <c r="C7494" s="33" t="str">
        <f t="shared" si="470"/>
        <v>50099-7366</v>
      </c>
      <c r="D7494" s="64" t="s">
        <v>8743</v>
      </c>
      <c r="E7494" s="64" t="s">
        <v>2900</v>
      </c>
      <c r="F7494" s="64" t="s">
        <v>15</v>
      </c>
      <c r="G7494" s="64" t="s">
        <v>2889</v>
      </c>
      <c r="H7494" s="64" t="s">
        <v>1875</v>
      </c>
      <c r="I7494" s="64" t="s">
        <v>2901</v>
      </c>
      <c r="J7494" s="67">
        <v>-35906.49</v>
      </c>
      <c r="K7494" s="62">
        <v>-328497.85</v>
      </c>
      <c r="L7494" s="33" t="e">
        <f>HLOOKUP(B7494,#REF!,1,0)</f>
        <v>#REF!</v>
      </c>
      <c r="M7494" s="33" t="str">
        <f t="shared" si="471"/>
        <v>P&amp;L</v>
      </c>
    </row>
    <row r="7495" spans="1:13">
      <c r="A7495" s="33" t="str">
        <f t="shared" si="468"/>
        <v>SCL - CGS</v>
      </c>
      <c r="B7495" s="33" t="str">
        <f t="shared" si="469"/>
        <v>SCL</v>
      </c>
      <c r="C7495" s="33" t="str">
        <f t="shared" si="470"/>
        <v>50099-7368</v>
      </c>
      <c r="D7495" s="64" t="s">
        <v>8744</v>
      </c>
      <c r="E7495" s="64" t="s">
        <v>2900</v>
      </c>
      <c r="F7495" s="64" t="s">
        <v>15</v>
      </c>
      <c r="G7495" s="64" t="s">
        <v>2889</v>
      </c>
      <c r="H7495" s="64" t="s">
        <v>1875</v>
      </c>
      <c r="I7495" s="64" t="s">
        <v>2901</v>
      </c>
      <c r="J7495" s="67">
        <v>-41391.22</v>
      </c>
      <c r="K7495" s="62">
        <v>-379320.52</v>
      </c>
      <c r="L7495" s="33" t="e">
        <f>HLOOKUP(B7495,#REF!,1,0)</f>
        <v>#REF!</v>
      </c>
      <c r="M7495" s="33" t="str">
        <f t="shared" si="471"/>
        <v>P&amp;L</v>
      </c>
    </row>
    <row r="7496" spans="1:13">
      <c r="A7496" s="33" t="str">
        <f t="shared" si="468"/>
        <v>SCL - CGS</v>
      </c>
      <c r="B7496" s="33" t="str">
        <f t="shared" si="469"/>
        <v>SCL</v>
      </c>
      <c r="C7496" s="33" t="str">
        <f t="shared" si="470"/>
        <v>50099-7369</v>
      </c>
      <c r="D7496" s="64" t="s">
        <v>8745</v>
      </c>
      <c r="E7496" s="64" t="s">
        <v>2900</v>
      </c>
      <c r="F7496" s="64" t="s">
        <v>15</v>
      </c>
      <c r="G7496" s="64" t="s">
        <v>2889</v>
      </c>
      <c r="H7496" s="64" t="s">
        <v>1875</v>
      </c>
      <c r="I7496" s="64" t="s">
        <v>2901</v>
      </c>
      <c r="J7496" s="67">
        <v>-22914.2</v>
      </c>
      <c r="K7496" s="62">
        <v>-209573.76</v>
      </c>
      <c r="L7496" s="33" t="e">
        <f>HLOOKUP(B7496,#REF!,1,0)</f>
        <v>#REF!</v>
      </c>
      <c r="M7496" s="33" t="str">
        <f t="shared" si="471"/>
        <v>P&amp;L</v>
      </c>
    </row>
    <row r="7497" spans="1:13">
      <c r="A7497" s="33" t="str">
        <f t="shared" si="468"/>
        <v>SCL - CGS</v>
      </c>
      <c r="B7497" s="33" t="str">
        <f t="shared" si="469"/>
        <v>SCL</v>
      </c>
      <c r="C7497" s="33" t="str">
        <f t="shared" si="470"/>
        <v>50099-7371</v>
      </c>
      <c r="D7497" s="64" t="s">
        <v>8746</v>
      </c>
      <c r="E7497" s="64" t="s">
        <v>2900</v>
      </c>
      <c r="F7497" s="64" t="s">
        <v>15</v>
      </c>
      <c r="G7497" s="64" t="s">
        <v>2889</v>
      </c>
      <c r="H7497" s="64" t="s">
        <v>1875</v>
      </c>
      <c r="I7497" s="64" t="s">
        <v>2901</v>
      </c>
      <c r="J7497" s="67">
        <v>-24417.11</v>
      </c>
      <c r="K7497" s="62">
        <v>-222780.83</v>
      </c>
      <c r="L7497" s="33" t="e">
        <f>HLOOKUP(B7497,#REF!,1,0)</f>
        <v>#REF!</v>
      </c>
      <c r="M7497" s="33" t="str">
        <f t="shared" si="471"/>
        <v>P&amp;L</v>
      </c>
    </row>
    <row r="7498" spans="1:13">
      <c r="A7498" s="33" t="str">
        <f t="shared" si="468"/>
        <v>SCL - CGS</v>
      </c>
      <c r="B7498" s="33" t="str">
        <f t="shared" si="469"/>
        <v>SCL</v>
      </c>
      <c r="C7498" s="33" t="str">
        <f t="shared" si="470"/>
        <v>50099-7374</v>
      </c>
      <c r="D7498" s="64" t="s">
        <v>8747</v>
      </c>
      <c r="E7498" s="64" t="s">
        <v>2900</v>
      </c>
      <c r="F7498" s="64" t="s">
        <v>15</v>
      </c>
      <c r="G7498" s="64" t="s">
        <v>2889</v>
      </c>
      <c r="H7498" s="64" t="s">
        <v>1875</v>
      </c>
      <c r="I7498" s="64" t="s">
        <v>2901</v>
      </c>
      <c r="J7498" s="67">
        <v>-30852.48</v>
      </c>
      <c r="K7498" s="62">
        <v>-262628.59</v>
      </c>
      <c r="L7498" s="33" t="e">
        <f>HLOOKUP(B7498,#REF!,1,0)</f>
        <v>#REF!</v>
      </c>
      <c r="M7498" s="33" t="str">
        <f t="shared" si="471"/>
        <v>P&amp;L</v>
      </c>
    </row>
    <row r="7499" spans="1:13">
      <c r="A7499" s="33" t="str">
        <f t="shared" si="468"/>
        <v>SCL - CGS</v>
      </c>
      <c r="B7499" s="33" t="str">
        <f t="shared" si="469"/>
        <v>SCL</v>
      </c>
      <c r="C7499" s="33" t="str">
        <f t="shared" si="470"/>
        <v>50099-7375</v>
      </c>
      <c r="D7499" s="64" t="s">
        <v>8748</v>
      </c>
      <c r="E7499" s="64" t="s">
        <v>2900</v>
      </c>
      <c r="F7499" s="64" t="s">
        <v>15</v>
      </c>
      <c r="G7499" s="64" t="s">
        <v>2889</v>
      </c>
      <c r="H7499" s="64" t="s">
        <v>1875</v>
      </c>
      <c r="I7499" s="64" t="s">
        <v>2901</v>
      </c>
      <c r="J7499" s="67">
        <v>-26590.35</v>
      </c>
      <c r="K7499" s="62">
        <v>-240416.1</v>
      </c>
      <c r="L7499" s="33" t="e">
        <f>HLOOKUP(B7499,#REF!,1,0)</f>
        <v>#REF!</v>
      </c>
      <c r="M7499" s="33" t="str">
        <f t="shared" si="471"/>
        <v>P&amp;L</v>
      </c>
    </row>
    <row r="7500" spans="1:13">
      <c r="A7500" s="33" t="str">
        <f t="shared" si="468"/>
        <v>SCL - CGS</v>
      </c>
      <c r="B7500" s="33" t="str">
        <f t="shared" si="469"/>
        <v>SCL</v>
      </c>
      <c r="C7500" s="33" t="str">
        <f t="shared" si="470"/>
        <v>50099-7376</v>
      </c>
      <c r="D7500" s="64" t="s">
        <v>8749</v>
      </c>
      <c r="E7500" s="64" t="s">
        <v>2900</v>
      </c>
      <c r="F7500" s="64" t="s">
        <v>15</v>
      </c>
      <c r="G7500" s="64" t="s">
        <v>2889</v>
      </c>
      <c r="H7500" s="64" t="s">
        <v>1875</v>
      </c>
      <c r="I7500" s="64" t="s">
        <v>2901</v>
      </c>
      <c r="J7500" s="67">
        <v>-58764.4</v>
      </c>
      <c r="K7500" s="62">
        <v>-560242.01</v>
      </c>
      <c r="L7500" s="33" t="e">
        <f>HLOOKUP(B7500,#REF!,1,0)</f>
        <v>#REF!</v>
      </c>
      <c r="M7500" s="33" t="str">
        <f t="shared" si="471"/>
        <v>P&amp;L</v>
      </c>
    </row>
    <row r="7501" spans="1:13">
      <c r="A7501" s="33" t="str">
        <f t="shared" si="468"/>
        <v>SCL - CGS</v>
      </c>
      <c r="B7501" s="33" t="str">
        <f t="shared" si="469"/>
        <v>SCL</v>
      </c>
      <c r="C7501" s="33" t="str">
        <f t="shared" si="470"/>
        <v>50099-7377</v>
      </c>
      <c r="D7501" s="64" t="s">
        <v>8750</v>
      </c>
      <c r="E7501" s="64" t="s">
        <v>2900</v>
      </c>
      <c r="F7501" s="64" t="s">
        <v>15</v>
      </c>
      <c r="G7501" s="64" t="s">
        <v>2889</v>
      </c>
      <c r="H7501" s="64" t="s">
        <v>1875</v>
      </c>
      <c r="I7501" s="64" t="s">
        <v>2901</v>
      </c>
      <c r="J7501" s="67">
        <v>-27937.22</v>
      </c>
      <c r="K7501" s="62">
        <v>-265275.53</v>
      </c>
      <c r="L7501" s="33" t="e">
        <f>HLOOKUP(B7501,#REF!,1,0)</f>
        <v>#REF!</v>
      </c>
      <c r="M7501" s="33" t="str">
        <f t="shared" si="471"/>
        <v>P&amp;L</v>
      </c>
    </row>
    <row r="7502" spans="1:13">
      <c r="A7502" s="33" t="str">
        <f t="shared" si="468"/>
        <v>SCL - CGS</v>
      </c>
      <c r="B7502" s="33" t="str">
        <f t="shared" si="469"/>
        <v>SCL</v>
      </c>
      <c r="C7502" s="33" t="str">
        <f t="shared" si="470"/>
        <v>50099-7378</v>
      </c>
      <c r="D7502" s="64" t="s">
        <v>8751</v>
      </c>
      <c r="E7502" s="64" t="s">
        <v>2900</v>
      </c>
      <c r="F7502" s="64" t="s">
        <v>15</v>
      </c>
      <c r="G7502" s="64" t="s">
        <v>2889</v>
      </c>
      <c r="H7502" s="64" t="s">
        <v>1875</v>
      </c>
      <c r="I7502" s="64" t="s">
        <v>2901</v>
      </c>
      <c r="J7502" s="67">
        <v>-39960.69</v>
      </c>
      <c r="K7502" s="62">
        <v>-357857.27</v>
      </c>
      <c r="L7502" s="33" t="e">
        <f>HLOOKUP(B7502,#REF!,1,0)</f>
        <v>#REF!</v>
      </c>
      <c r="M7502" s="33" t="str">
        <f t="shared" si="471"/>
        <v>P&amp;L</v>
      </c>
    </row>
    <row r="7503" spans="1:13">
      <c r="A7503" s="33" t="str">
        <f t="shared" si="468"/>
        <v>SCL - CGS</v>
      </c>
      <c r="B7503" s="33" t="str">
        <f t="shared" si="469"/>
        <v>SCL</v>
      </c>
      <c r="C7503" s="33" t="str">
        <f t="shared" si="470"/>
        <v>50099-7379</v>
      </c>
      <c r="D7503" s="64" t="s">
        <v>8752</v>
      </c>
      <c r="E7503" s="64" t="s">
        <v>2900</v>
      </c>
      <c r="F7503" s="64" t="s">
        <v>15</v>
      </c>
      <c r="G7503" s="64" t="s">
        <v>2889</v>
      </c>
      <c r="H7503" s="64" t="s">
        <v>1875</v>
      </c>
      <c r="I7503" s="64" t="s">
        <v>2901</v>
      </c>
      <c r="J7503" s="67">
        <v>-31910.86</v>
      </c>
      <c r="K7503" s="62">
        <v>-307855.75</v>
      </c>
      <c r="L7503" s="33" t="e">
        <f>HLOOKUP(B7503,#REF!,1,0)</f>
        <v>#REF!</v>
      </c>
      <c r="M7503" s="33" t="str">
        <f t="shared" si="471"/>
        <v>P&amp;L</v>
      </c>
    </row>
    <row r="7504" spans="1:13">
      <c r="A7504" s="33" t="str">
        <f t="shared" si="468"/>
        <v>SCL - CGS</v>
      </c>
      <c r="B7504" s="33" t="str">
        <f t="shared" si="469"/>
        <v>SCL</v>
      </c>
      <c r="C7504" s="33" t="str">
        <f t="shared" si="470"/>
        <v>50099-7380</v>
      </c>
      <c r="D7504" s="64" t="s">
        <v>8753</v>
      </c>
      <c r="E7504" s="64" t="s">
        <v>2900</v>
      </c>
      <c r="F7504" s="64" t="s">
        <v>15</v>
      </c>
      <c r="G7504" s="64" t="s">
        <v>2889</v>
      </c>
      <c r="H7504" s="64" t="s">
        <v>1875</v>
      </c>
      <c r="I7504" s="64" t="s">
        <v>2901</v>
      </c>
      <c r="J7504" s="67">
        <v>-21060.97</v>
      </c>
      <c r="K7504" s="62">
        <v>-200866.97</v>
      </c>
      <c r="L7504" s="33" t="e">
        <f>HLOOKUP(B7504,#REF!,1,0)</f>
        <v>#REF!</v>
      </c>
      <c r="M7504" s="33" t="str">
        <f t="shared" si="471"/>
        <v>P&amp;L</v>
      </c>
    </row>
    <row r="7505" spans="1:13">
      <c r="A7505" s="33" t="str">
        <f t="shared" si="468"/>
        <v>SCL - CGS</v>
      </c>
      <c r="B7505" s="33" t="str">
        <f t="shared" si="469"/>
        <v>SCL</v>
      </c>
      <c r="C7505" s="33" t="str">
        <f t="shared" si="470"/>
        <v>50099-7381</v>
      </c>
      <c r="D7505" s="64" t="s">
        <v>8754</v>
      </c>
      <c r="E7505" s="64" t="s">
        <v>2900</v>
      </c>
      <c r="F7505" s="64" t="s">
        <v>15</v>
      </c>
      <c r="G7505" s="64" t="s">
        <v>2889</v>
      </c>
      <c r="H7505" s="64" t="s">
        <v>1875</v>
      </c>
      <c r="I7505" s="64" t="s">
        <v>2901</v>
      </c>
      <c r="J7505" s="67">
        <v>-35936.49</v>
      </c>
      <c r="K7505" s="62">
        <v>-316989.5</v>
      </c>
      <c r="L7505" s="33" t="e">
        <f>HLOOKUP(B7505,#REF!,1,0)</f>
        <v>#REF!</v>
      </c>
      <c r="M7505" s="33" t="str">
        <f t="shared" si="471"/>
        <v>P&amp;L</v>
      </c>
    </row>
    <row r="7506" spans="1:13">
      <c r="A7506" s="33" t="str">
        <f t="shared" si="468"/>
        <v>SCL - CGS</v>
      </c>
      <c r="B7506" s="33" t="str">
        <f t="shared" si="469"/>
        <v>SCL</v>
      </c>
      <c r="C7506" s="33" t="str">
        <f t="shared" si="470"/>
        <v>50099-7383</v>
      </c>
      <c r="D7506" s="64" t="s">
        <v>8755</v>
      </c>
      <c r="E7506" s="64" t="s">
        <v>2900</v>
      </c>
      <c r="F7506" s="64" t="s">
        <v>15</v>
      </c>
      <c r="G7506" s="64" t="s">
        <v>2889</v>
      </c>
      <c r="H7506" s="64" t="s">
        <v>1875</v>
      </c>
      <c r="I7506" s="64" t="s">
        <v>2901</v>
      </c>
      <c r="J7506" s="67">
        <v>-28068.59</v>
      </c>
      <c r="K7506" s="62">
        <v>-266979.96</v>
      </c>
      <c r="L7506" s="33" t="e">
        <f>HLOOKUP(B7506,#REF!,1,0)</f>
        <v>#REF!</v>
      </c>
      <c r="M7506" s="33" t="str">
        <f t="shared" si="471"/>
        <v>P&amp;L</v>
      </c>
    </row>
    <row r="7507" spans="1:13">
      <c r="A7507" s="33" t="str">
        <f t="shared" si="468"/>
        <v>SCL - CGS</v>
      </c>
      <c r="B7507" s="33" t="str">
        <f t="shared" si="469"/>
        <v>SCL</v>
      </c>
      <c r="C7507" s="33" t="str">
        <f t="shared" si="470"/>
        <v>50099-7385</v>
      </c>
      <c r="D7507" s="64" t="s">
        <v>8756</v>
      </c>
      <c r="E7507" s="64" t="s">
        <v>2900</v>
      </c>
      <c r="F7507" s="64" t="s">
        <v>15</v>
      </c>
      <c r="G7507" s="64" t="s">
        <v>2889</v>
      </c>
      <c r="H7507" s="64" t="s">
        <v>1875</v>
      </c>
      <c r="I7507" s="64" t="s">
        <v>2901</v>
      </c>
      <c r="J7507" s="67">
        <v>-19492.1</v>
      </c>
      <c r="K7507" s="62">
        <v>-177386.28</v>
      </c>
      <c r="L7507" s="33" t="e">
        <f>HLOOKUP(B7507,#REF!,1,0)</f>
        <v>#REF!</v>
      </c>
      <c r="M7507" s="33" t="str">
        <f t="shared" si="471"/>
        <v>P&amp;L</v>
      </c>
    </row>
    <row r="7508" spans="1:13">
      <c r="A7508" s="33" t="str">
        <f t="shared" si="468"/>
        <v>SCL - CGS</v>
      </c>
      <c r="B7508" s="33" t="str">
        <f t="shared" si="469"/>
        <v>SCL</v>
      </c>
      <c r="C7508" s="33" t="str">
        <f t="shared" si="470"/>
        <v>50099-7386</v>
      </c>
      <c r="D7508" s="64" t="s">
        <v>8757</v>
      </c>
      <c r="E7508" s="64" t="s">
        <v>2900</v>
      </c>
      <c r="F7508" s="64" t="s">
        <v>15</v>
      </c>
      <c r="G7508" s="64" t="s">
        <v>2889</v>
      </c>
      <c r="H7508" s="64" t="s">
        <v>1875</v>
      </c>
      <c r="I7508" s="64" t="s">
        <v>2901</v>
      </c>
      <c r="J7508" s="67">
        <v>-24858.56</v>
      </c>
      <c r="K7508" s="62">
        <v>-227696.12</v>
      </c>
      <c r="L7508" s="33" t="e">
        <f>HLOOKUP(B7508,#REF!,1,0)</f>
        <v>#REF!</v>
      </c>
      <c r="M7508" s="33" t="str">
        <f t="shared" si="471"/>
        <v>P&amp;L</v>
      </c>
    </row>
    <row r="7509" spans="1:13">
      <c r="A7509" s="33" t="str">
        <f t="shared" si="468"/>
        <v>SCL - CGS</v>
      </c>
      <c r="B7509" s="33" t="str">
        <f t="shared" si="469"/>
        <v>SCL</v>
      </c>
      <c r="C7509" s="33" t="str">
        <f t="shared" si="470"/>
        <v>50099-7387</v>
      </c>
      <c r="D7509" s="64" t="s">
        <v>8758</v>
      </c>
      <c r="E7509" s="64" t="s">
        <v>2900</v>
      </c>
      <c r="F7509" s="64" t="s">
        <v>15</v>
      </c>
      <c r="G7509" s="64" t="s">
        <v>2889</v>
      </c>
      <c r="H7509" s="64" t="s">
        <v>1875</v>
      </c>
      <c r="I7509" s="64" t="s">
        <v>2901</v>
      </c>
      <c r="J7509" s="67">
        <v>-33107.06</v>
      </c>
      <c r="K7509" s="62">
        <v>-294258.89</v>
      </c>
      <c r="L7509" s="33" t="e">
        <f>HLOOKUP(B7509,#REF!,1,0)</f>
        <v>#REF!</v>
      </c>
      <c r="M7509" s="33" t="str">
        <f t="shared" si="471"/>
        <v>P&amp;L</v>
      </c>
    </row>
    <row r="7510" spans="1:13">
      <c r="A7510" s="33" t="str">
        <f t="shared" si="468"/>
        <v>SCL - CGS</v>
      </c>
      <c r="B7510" s="33" t="str">
        <f t="shared" si="469"/>
        <v>SCL</v>
      </c>
      <c r="C7510" s="33" t="str">
        <f t="shared" si="470"/>
        <v>50099-7389</v>
      </c>
      <c r="D7510" s="64" t="s">
        <v>8759</v>
      </c>
      <c r="E7510" s="64" t="s">
        <v>2900</v>
      </c>
      <c r="F7510" s="64" t="s">
        <v>15</v>
      </c>
      <c r="G7510" s="64" t="s">
        <v>2889</v>
      </c>
      <c r="H7510" s="64" t="s">
        <v>1875</v>
      </c>
      <c r="I7510" s="64" t="s">
        <v>2901</v>
      </c>
      <c r="J7510" s="67">
        <v>-42099.05</v>
      </c>
      <c r="K7510" s="62">
        <v>-389782.58</v>
      </c>
      <c r="L7510" s="33" t="e">
        <f>HLOOKUP(B7510,#REF!,1,0)</f>
        <v>#REF!</v>
      </c>
      <c r="M7510" s="33" t="str">
        <f t="shared" si="471"/>
        <v>P&amp;L</v>
      </c>
    </row>
    <row r="7511" spans="1:13">
      <c r="A7511" s="33" t="str">
        <f t="shared" si="468"/>
        <v>SCL - CGS</v>
      </c>
      <c r="B7511" s="33" t="str">
        <f t="shared" si="469"/>
        <v>SCL</v>
      </c>
      <c r="C7511" s="33" t="str">
        <f t="shared" si="470"/>
        <v>50099-7391</v>
      </c>
      <c r="D7511" s="64" t="s">
        <v>8760</v>
      </c>
      <c r="E7511" s="64" t="s">
        <v>2900</v>
      </c>
      <c r="F7511" s="64" t="s">
        <v>15</v>
      </c>
      <c r="G7511" s="64" t="s">
        <v>2889</v>
      </c>
      <c r="H7511" s="64" t="s">
        <v>1875</v>
      </c>
      <c r="I7511" s="64" t="s">
        <v>2901</v>
      </c>
      <c r="J7511" s="67">
        <v>-29708.06</v>
      </c>
      <c r="K7511" s="62">
        <v>-268437.23</v>
      </c>
      <c r="L7511" s="33" t="e">
        <f>HLOOKUP(B7511,#REF!,1,0)</f>
        <v>#REF!</v>
      </c>
      <c r="M7511" s="33" t="str">
        <f t="shared" si="471"/>
        <v>P&amp;L</v>
      </c>
    </row>
    <row r="7512" spans="1:13">
      <c r="A7512" s="33" t="str">
        <f t="shared" si="468"/>
        <v>SCL - CGS</v>
      </c>
      <c r="B7512" s="33" t="str">
        <f t="shared" si="469"/>
        <v>SCL</v>
      </c>
      <c r="C7512" s="33" t="str">
        <f t="shared" si="470"/>
        <v>50099-7393</v>
      </c>
      <c r="D7512" s="64" t="s">
        <v>8761</v>
      </c>
      <c r="E7512" s="64" t="s">
        <v>2900</v>
      </c>
      <c r="F7512" s="64" t="s">
        <v>15</v>
      </c>
      <c r="G7512" s="64" t="s">
        <v>2889</v>
      </c>
      <c r="H7512" s="64" t="s">
        <v>1875</v>
      </c>
      <c r="I7512" s="64" t="s">
        <v>2901</v>
      </c>
      <c r="J7512" s="67">
        <v>-23571.07</v>
      </c>
      <c r="K7512" s="62">
        <v>-225479.74</v>
      </c>
      <c r="L7512" s="33" t="e">
        <f>HLOOKUP(B7512,#REF!,1,0)</f>
        <v>#REF!</v>
      </c>
      <c r="M7512" s="33" t="str">
        <f t="shared" si="471"/>
        <v>P&amp;L</v>
      </c>
    </row>
    <row r="7513" spans="1:13">
      <c r="A7513" s="33" t="str">
        <f t="shared" si="468"/>
        <v>SCL - CGS</v>
      </c>
      <c r="B7513" s="33" t="str">
        <f t="shared" si="469"/>
        <v>SCL</v>
      </c>
      <c r="C7513" s="33" t="str">
        <f t="shared" si="470"/>
        <v>50099-7394</v>
      </c>
      <c r="D7513" s="64" t="s">
        <v>8762</v>
      </c>
      <c r="E7513" s="64" t="s">
        <v>2900</v>
      </c>
      <c r="F7513" s="64" t="s">
        <v>15</v>
      </c>
      <c r="G7513" s="64" t="s">
        <v>2889</v>
      </c>
      <c r="H7513" s="64" t="s">
        <v>1875</v>
      </c>
      <c r="I7513" s="64" t="s">
        <v>2901</v>
      </c>
      <c r="J7513" s="67">
        <v>-18612.2</v>
      </c>
      <c r="K7513" s="62">
        <v>-188742.6</v>
      </c>
      <c r="L7513" s="33" t="e">
        <f>HLOOKUP(B7513,#REF!,1,0)</f>
        <v>#REF!</v>
      </c>
      <c r="M7513" s="33" t="str">
        <f t="shared" si="471"/>
        <v>P&amp;L</v>
      </c>
    </row>
    <row r="7514" spans="1:13">
      <c r="A7514" s="33" t="str">
        <f t="shared" si="468"/>
        <v>SCL - CGS</v>
      </c>
      <c r="B7514" s="33" t="str">
        <f t="shared" si="469"/>
        <v>SCL</v>
      </c>
      <c r="C7514" s="33" t="str">
        <f t="shared" si="470"/>
        <v>50099-7396</v>
      </c>
      <c r="D7514" s="64" t="s">
        <v>8763</v>
      </c>
      <c r="E7514" s="64" t="s">
        <v>2900</v>
      </c>
      <c r="F7514" s="64" t="s">
        <v>15</v>
      </c>
      <c r="G7514" s="64" t="s">
        <v>2889</v>
      </c>
      <c r="H7514" s="64" t="s">
        <v>1875</v>
      </c>
      <c r="I7514" s="64" t="s">
        <v>2901</v>
      </c>
      <c r="J7514" s="67">
        <v>-26779.84</v>
      </c>
      <c r="K7514" s="62">
        <v>-241046.19</v>
      </c>
      <c r="L7514" s="33" t="e">
        <f>HLOOKUP(B7514,#REF!,1,0)</f>
        <v>#REF!</v>
      </c>
      <c r="M7514" s="33" t="str">
        <f t="shared" si="471"/>
        <v>P&amp;L</v>
      </c>
    </row>
    <row r="7515" spans="1:13">
      <c r="A7515" s="33" t="str">
        <f t="shared" si="468"/>
        <v>SCL - CGS</v>
      </c>
      <c r="B7515" s="33" t="str">
        <f t="shared" si="469"/>
        <v>SCL</v>
      </c>
      <c r="C7515" s="33" t="str">
        <f t="shared" si="470"/>
        <v>50099-7397</v>
      </c>
      <c r="D7515" s="64" t="s">
        <v>8764</v>
      </c>
      <c r="E7515" s="64" t="s">
        <v>2900</v>
      </c>
      <c r="F7515" s="64" t="s">
        <v>15</v>
      </c>
      <c r="G7515" s="64" t="s">
        <v>2889</v>
      </c>
      <c r="H7515" s="64" t="s">
        <v>1875</v>
      </c>
      <c r="I7515" s="64" t="s">
        <v>2901</v>
      </c>
      <c r="J7515" s="67">
        <v>-25967.74</v>
      </c>
      <c r="K7515" s="62">
        <v>-244646.33</v>
      </c>
      <c r="L7515" s="33" t="e">
        <f>HLOOKUP(B7515,#REF!,1,0)</f>
        <v>#REF!</v>
      </c>
      <c r="M7515" s="33" t="str">
        <f t="shared" si="471"/>
        <v>P&amp;L</v>
      </c>
    </row>
    <row r="7516" spans="1:13">
      <c r="A7516" s="33" t="str">
        <f t="shared" si="468"/>
        <v>SCL - CGS</v>
      </c>
      <c r="B7516" s="33" t="str">
        <f t="shared" si="469"/>
        <v>SCL</v>
      </c>
      <c r="C7516" s="33" t="str">
        <f t="shared" si="470"/>
        <v>50099-7398</v>
      </c>
      <c r="D7516" s="64" t="s">
        <v>8765</v>
      </c>
      <c r="E7516" s="64" t="s">
        <v>2900</v>
      </c>
      <c r="F7516" s="64" t="s">
        <v>15</v>
      </c>
      <c r="G7516" s="64" t="s">
        <v>2889</v>
      </c>
      <c r="H7516" s="64" t="s">
        <v>1875</v>
      </c>
      <c r="I7516" s="64" t="s">
        <v>2901</v>
      </c>
      <c r="J7516" s="67">
        <v>-26971.5</v>
      </c>
      <c r="K7516" s="62">
        <v>-242700.26</v>
      </c>
      <c r="L7516" s="33" t="e">
        <f>HLOOKUP(B7516,#REF!,1,0)</f>
        <v>#REF!</v>
      </c>
      <c r="M7516" s="33" t="str">
        <f t="shared" si="471"/>
        <v>P&amp;L</v>
      </c>
    </row>
    <row r="7517" spans="1:13">
      <c r="A7517" s="33" t="str">
        <f t="shared" si="468"/>
        <v>SCL - CGS</v>
      </c>
      <c r="B7517" s="33" t="str">
        <f t="shared" si="469"/>
        <v>SCL</v>
      </c>
      <c r="C7517" s="33" t="str">
        <f t="shared" si="470"/>
        <v>50099-7400</v>
      </c>
      <c r="D7517" s="64" t="s">
        <v>8766</v>
      </c>
      <c r="E7517" s="64" t="s">
        <v>2900</v>
      </c>
      <c r="F7517" s="64" t="s">
        <v>15</v>
      </c>
      <c r="G7517" s="64" t="s">
        <v>2889</v>
      </c>
      <c r="H7517" s="64" t="s">
        <v>1875</v>
      </c>
      <c r="I7517" s="64" t="s">
        <v>2901</v>
      </c>
      <c r="J7517" s="67">
        <v>-20751.32</v>
      </c>
      <c r="K7517" s="62">
        <v>-199170.72</v>
      </c>
      <c r="L7517" s="33" t="e">
        <f>HLOOKUP(B7517,#REF!,1,0)</f>
        <v>#REF!</v>
      </c>
      <c r="M7517" s="33" t="str">
        <f t="shared" si="471"/>
        <v>P&amp;L</v>
      </c>
    </row>
    <row r="7518" spans="1:13">
      <c r="A7518" s="33" t="str">
        <f t="shared" si="468"/>
        <v>SCL - CGS</v>
      </c>
      <c r="B7518" s="33" t="str">
        <f t="shared" si="469"/>
        <v>SCL</v>
      </c>
      <c r="C7518" s="33" t="str">
        <f t="shared" si="470"/>
        <v>50099-7401</v>
      </c>
      <c r="D7518" s="64" t="s">
        <v>8767</v>
      </c>
      <c r="E7518" s="64" t="s">
        <v>2900</v>
      </c>
      <c r="F7518" s="64" t="s">
        <v>15</v>
      </c>
      <c r="G7518" s="64" t="s">
        <v>2889</v>
      </c>
      <c r="H7518" s="64" t="s">
        <v>1875</v>
      </c>
      <c r="I7518" s="64" t="s">
        <v>2901</v>
      </c>
      <c r="J7518" s="67">
        <v>-24390.1</v>
      </c>
      <c r="K7518" s="62">
        <v>-222759.24</v>
      </c>
      <c r="L7518" s="33" t="e">
        <f>HLOOKUP(B7518,#REF!,1,0)</f>
        <v>#REF!</v>
      </c>
      <c r="M7518" s="33" t="str">
        <f t="shared" si="471"/>
        <v>P&amp;L</v>
      </c>
    </row>
    <row r="7519" spans="1:13">
      <c r="A7519" s="33" t="str">
        <f t="shared" si="468"/>
        <v>SCL - CGS</v>
      </c>
      <c r="B7519" s="33" t="str">
        <f t="shared" si="469"/>
        <v>SCL</v>
      </c>
      <c r="C7519" s="33" t="str">
        <f t="shared" si="470"/>
        <v>50099-7402</v>
      </c>
      <c r="D7519" s="64" t="s">
        <v>8768</v>
      </c>
      <c r="E7519" s="64" t="s">
        <v>2900</v>
      </c>
      <c r="F7519" s="64" t="s">
        <v>15</v>
      </c>
      <c r="G7519" s="64" t="s">
        <v>2889</v>
      </c>
      <c r="H7519" s="64" t="s">
        <v>1875</v>
      </c>
      <c r="I7519" s="64" t="s">
        <v>2901</v>
      </c>
      <c r="J7519" s="67">
        <v>-27644.57</v>
      </c>
      <c r="K7519" s="62">
        <v>-258767.02</v>
      </c>
      <c r="L7519" s="33" t="e">
        <f>HLOOKUP(B7519,#REF!,1,0)</f>
        <v>#REF!</v>
      </c>
      <c r="M7519" s="33" t="str">
        <f t="shared" si="471"/>
        <v>P&amp;L</v>
      </c>
    </row>
    <row r="7520" spans="1:13">
      <c r="A7520" s="33" t="str">
        <f t="shared" si="468"/>
        <v>SCL - CGS</v>
      </c>
      <c r="B7520" s="33" t="str">
        <f t="shared" si="469"/>
        <v>SCL</v>
      </c>
      <c r="C7520" s="33" t="str">
        <f t="shared" si="470"/>
        <v>50099-7403</v>
      </c>
      <c r="D7520" s="64" t="s">
        <v>8769</v>
      </c>
      <c r="E7520" s="64" t="s">
        <v>2900</v>
      </c>
      <c r="F7520" s="64" t="s">
        <v>15</v>
      </c>
      <c r="G7520" s="64" t="s">
        <v>2889</v>
      </c>
      <c r="H7520" s="64" t="s">
        <v>1875</v>
      </c>
      <c r="I7520" s="64" t="s">
        <v>2901</v>
      </c>
      <c r="J7520" s="67">
        <v>-27417.66</v>
      </c>
      <c r="K7520" s="62">
        <v>-267587.77</v>
      </c>
      <c r="L7520" s="33" t="e">
        <f>HLOOKUP(B7520,#REF!,1,0)</f>
        <v>#REF!</v>
      </c>
      <c r="M7520" s="33" t="str">
        <f t="shared" si="471"/>
        <v>P&amp;L</v>
      </c>
    </row>
    <row r="7521" spans="1:13">
      <c r="A7521" s="33" t="str">
        <f t="shared" si="468"/>
        <v>SCL - CGS</v>
      </c>
      <c r="B7521" s="33" t="str">
        <f t="shared" si="469"/>
        <v>SCL</v>
      </c>
      <c r="C7521" s="33" t="str">
        <f t="shared" si="470"/>
        <v>50099-7489</v>
      </c>
      <c r="D7521" s="64" t="s">
        <v>8770</v>
      </c>
      <c r="E7521" s="64" t="s">
        <v>2900</v>
      </c>
      <c r="F7521" s="64" t="s">
        <v>15</v>
      </c>
      <c r="G7521" s="64" t="s">
        <v>2889</v>
      </c>
      <c r="H7521" s="64" t="s">
        <v>1875</v>
      </c>
      <c r="I7521" s="64" t="s">
        <v>2901</v>
      </c>
      <c r="J7521" s="67">
        <v>-40598.19</v>
      </c>
      <c r="K7521" s="62">
        <v>-372724.82</v>
      </c>
      <c r="L7521" s="33" t="e">
        <f>HLOOKUP(B7521,#REF!,1,0)</f>
        <v>#REF!</v>
      </c>
      <c r="M7521" s="33" t="str">
        <f t="shared" si="471"/>
        <v>P&amp;L</v>
      </c>
    </row>
    <row r="7522" spans="1:13">
      <c r="A7522" s="33" t="str">
        <f t="shared" si="468"/>
        <v>SCL - CGS</v>
      </c>
      <c r="B7522" s="33" t="str">
        <f t="shared" si="469"/>
        <v>SCL</v>
      </c>
      <c r="C7522" s="33" t="str">
        <f t="shared" si="470"/>
        <v>50099-7491</v>
      </c>
      <c r="D7522" s="64" t="s">
        <v>8771</v>
      </c>
      <c r="E7522" s="64" t="s">
        <v>2900</v>
      </c>
      <c r="F7522" s="64" t="s">
        <v>15</v>
      </c>
      <c r="G7522" s="64" t="s">
        <v>2889</v>
      </c>
      <c r="H7522" s="64" t="s">
        <v>1875</v>
      </c>
      <c r="I7522" s="64" t="s">
        <v>2901</v>
      </c>
      <c r="J7522" s="67">
        <v>-23135.03</v>
      </c>
      <c r="K7522" s="62">
        <v>-205151.54</v>
      </c>
      <c r="L7522" s="33" t="e">
        <f>HLOOKUP(B7522,#REF!,1,0)</f>
        <v>#REF!</v>
      </c>
      <c r="M7522" s="33" t="str">
        <f t="shared" si="471"/>
        <v>P&amp;L</v>
      </c>
    </row>
    <row r="7523" spans="1:13">
      <c r="A7523" s="33" t="str">
        <f t="shared" si="468"/>
        <v>SCL - CGS</v>
      </c>
      <c r="B7523" s="33" t="str">
        <f t="shared" si="469"/>
        <v>SCL</v>
      </c>
      <c r="C7523" s="33" t="str">
        <f t="shared" si="470"/>
        <v>50099-7492</v>
      </c>
      <c r="D7523" s="64" t="s">
        <v>8772</v>
      </c>
      <c r="E7523" s="64" t="s">
        <v>2900</v>
      </c>
      <c r="F7523" s="64" t="s">
        <v>15</v>
      </c>
      <c r="G7523" s="64" t="s">
        <v>2889</v>
      </c>
      <c r="H7523" s="64" t="s">
        <v>1875</v>
      </c>
      <c r="I7523" s="64" t="s">
        <v>2901</v>
      </c>
      <c r="J7523" s="67">
        <v>-25378.62</v>
      </c>
      <c r="K7523" s="62">
        <v>-226951.06</v>
      </c>
      <c r="L7523" s="33" t="e">
        <f>HLOOKUP(B7523,#REF!,1,0)</f>
        <v>#REF!</v>
      </c>
      <c r="M7523" s="33" t="str">
        <f t="shared" si="471"/>
        <v>P&amp;L</v>
      </c>
    </row>
    <row r="7524" spans="1:13">
      <c r="A7524" s="33" t="str">
        <f t="shared" si="468"/>
        <v>SCL - CGS</v>
      </c>
      <c r="B7524" s="33" t="str">
        <f t="shared" si="469"/>
        <v>SCL</v>
      </c>
      <c r="C7524" s="33" t="str">
        <f t="shared" si="470"/>
        <v>50099-7493</v>
      </c>
      <c r="D7524" s="64" t="s">
        <v>8773</v>
      </c>
      <c r="E7524" s="64" t="s">
        <v>2900</v>
      </c>
      <c r="F7524" s="64" t="s">
        <v>15</v>
      </c>
      <c r="G7524" s="64" t="s">
        <v>2889</v>
      </c>
      <c r="H7524" s="64" t="s">
        <v>1875</v>
      </c>
      <c r="I7524" s="64" t="s">
        <v>2901</v>
      </c>
      <c r="J7524" s="67">
        <v>-34848.83</v>
      </c>
      <c r="K7524" s="62">
        <v>-322958.01</v>
      </c>
      <c r="L7524" s="33" t="e">
        <f>HLOOKUP(B7524,#REF!,1,0)</f>
        <v>#REF!</v>
      </c>
      <c r="M7524" s="33" t="str">
        <f t="shared" si="471"/>
        <v>P&amp;L</v>
      </c>
    </row>
    <row r="7525" spans="1:13">
      <c r="A7525" s="33" t="str">
        <f t="shared" si="468"/>
        <v>SCL - CGS</v>
      </c>
      <c r="B7525" s="33" t="str">
        <f t="shared" si="469"/>
        <v>SCL</v>
      </c>
      <c r="C7525" s="33" t="str">
        <f t="shared" si="470"/>
        <v>50099-7494</v>
      </c>
      <c r="D7525" s="64" t="s">
        <v>8774</v>
      </c>
      <c r="E7525" s="64" t="s">
        <v>2900</v>
      </c>
      <c r="F7525" s="64" t="s">
        <v>15</v>
      </c>
      <c r="G7525" s="64" t="s">
        <v>2889</v>
      </c>
      <c r="H7525" s="64" t="s">
        <v>1875</v>
      </c>
      <c r="I7525" s="64" t="s">
        <v>2901</v>
      </c>
      <c r="J7525" s="67">
        <v>-25793.25</v>
      </c>
      <c r="K7525" s="62">
        <v>-238948.94</v>
      </c>
      <c r="L7525" s="33" t="e">
        <f>HLOOKUP(B7525,#REF!,1,0)</f>
        <v>#REF!</v>
      </c>
      <c r="M7525" s="33" t="str">
        <f t="shared" si="471"/>
        <v>P&amp;L</v>
      </c>
    </row>
    <row r="7526" spans="1:13">
      <c r="A7526" s="33" t="str">
        <f t="shared" si="468"/>
        <v>SCL - CGS</v>
      </c>
      <c r="B7526" s="33" t="str">
        <f t="shared" si="469"/>
        <v>SCL</v>
      </c>
      <c r="C7526" s="33" t="str">
        <f t="shared" si="470"/>
        <v>50099-7625</v>
      </c>
      <c r="D7526" s="64" t="s">
        <v>8775</v>
      </c>
      <c r="E7526" s="64" t="s">
        <v>2900</v>
      </c>
      <c r="F7526" s="64" t="s">
        <v>15</v>
      </c>
      <c r="G7526" s="64" t="s">
        <v>2889</v>
      </c>
      <c r="H7526" s="64" t="s">
        <v>1875</v>
      </c>
      <c r="I7526" s="64" t="s">
        <v>2901</v>
      </c>
      <c r="J7526" s="67">
        <v>-34051.93</v>
      </c>
      <c r="K7526" s="62">
        <v>-323874.56</v>
      </c>
      <c r="L7526" s="33" t="e">
        <f>HLOOKUP(B7526,#REF!,1,0)</f>
        <v>#REF!</v>
      </c>
      <c r="M7526" s="33" t="str">
        <f t="shared" si="471"/>
        <v>P&amp;L</v>
      </c>
    </row>
    <row r="7527" spans="1:13">
      <c r="A7527" s="33" t="str">
        <f t="shared" si="468"/>
        <v>SCL - CGS</v>
      </c>
      <c r="B7527" s="33" t="str">
        <f t="shared" si="469"/>
        <v>SCL</v>
      </c>
      <c r="C7527" s="33" t="str">
        <f t="shared" si="470"/>
        <v>50099-8150</v>
      </c>
      <c r="D7527" s="64" t="s">
        <v>8776</v>
      </c>
      <c r="E7527" s="64" t="s">
        <v>2900</v>
      </c>
      <c r="F7527" s="64" t="s">
        <v>15</v>
      </c>
      <c r="G7527" s="64" t="s">
        <v>2889</v>
      </c>
      <c r="H7527" s="64" t="s">
        <v>1875</v>
      </c>
      <c r="I7527" s="64" t="s">
        <v>2901</v>
      </c>
      <c r="J7527" s="67">
        <v>-28666.83</v>
      </c>
      <c r="K7527" s="62">
        <v>-275884.34</v>
      </c>
      <c r="L7527" s="33" t="e">
        <f>HLOOKUP(B7527,#REF!,1,0)</f>
        <v>#REF!</v>
      </c>
      <c r="M7527" s="33" t="str">
        <f t="shared" si="471"/>
        <v>P&amp;L</v>
      </c>
    </row>
    <row r="7528" spans="1:13">
      <c r="A7528" s="33" t="str">
        <f t="shared" si="468"/>
        <v>SCL - CGS</v>
      </c>
      <c r="B7528" s="33" t="str">
        <f t="shared" si="469"/>
        <v>SCL</v>
      </c>
      <c r="C7528" s="33" t="str">
        <f t="shared" si="470"/>
        <v>50100-7351</v>
      </c>
      <c r="D7528" s="64" t="s">
        <v>8777</v>
      </c>
      <c r="E7528" s="64" t="s">
        <v>2907</v>
      </c>
      <c r="F7528" s="64" t="s">
        <v>15</v>
      </c>
      <c r="G7528" s="64" t="s">
        <v>2889</v>
      </c>
      <c r="H7528" s="64" t="s">
        <v>1875</v>
      </c>
      <c r="I7528" s="64" t="s">
        <v>2908</v>
      </c>
      <c r="J7528" s="67">
        <v>26440.93</v>
      </c>
      <c r="K7528" s="62">
        <v>242472.41</v>
      </c>
      <c r="L7528" s="33" t="e">
        <f>HLOOKUP(B7528,#REF!,1,0)</f>
        <v>#REF!</v>
      </c>
      <c r="M7528" s="33" t="str">
        <f t="shared" si="471"/>
        <v>P&amp;L</v>
      </c>
    </row>
    <row r="7529" spans="1:13">
      <c r="A7529" s="33" t="str">
        <f t="shared" si="468"/>
        <v>SCL - CGS</v>
      </c>
      <c r="B7529" s="33" t="str">
        <f t="shared" si="469"/>
        <v>SCL</v>
      </c>
      <c r="C7529" s="33" t="str">
        <f t="shared" si="470"/>
        <v>50100-7352</v>
      </c>
      <c r="D7529" s="64" t="s">
        <v>8778</v>
      </c>
      <c r="E7529" s="64" t="s">
        <v>2907</v>
      </c>
      <c r="F7529" s="64" t="s">
        <v>15</v>
      </c>
      <c r="G7529" s="64" t="s">
        <v>2889</v>
      </c>
      <c r="H7529" s="64" t="s">
        <v>1875</v>
      </c>
      <c r="I7529" s="64" t="s">
        <v>2908</v>
      </c>
      <c r="J7529" s="67">
        <v>24635.22</v>
      </c>
      <c r="K7529" s="62">
        <v>223774.09</v>
      </c>
      <c r="L7529" s="33" t="e">
        <f>HLOOKUP(B7529,#REF!,1,0)</f>
        <v>#REF!</v>
      </c>
      <c r="M7529" s="33" t="str">
        <f t="shared" si="471"/>
        <v>P&amp;L</v>
      </c>
    </row>
    <row r="7530" spans="1:13">
      <c r="A7530" s="33" t="str">
        <f t="shared" si="468"/>
        <v>SCL - CGS</v>
      </c>
      <c r="B7530" s="33" t="str">
        <f t="shared" si="469"/>
        <v>SCL</v>
      </c>
      <c r="C7530" s="33" t="str">
        <f t="shared" si="470"/>
        <v>50100-7355</v>
      </c>
      <c r="D7530" s="64" t="s">
        <v>8779</v>
      </c>
      <c r="E7530" s="64" t="s">
        <v>2907</v>
      </c>
      <c r="F7530" s="64" t="s">
        <v>15</v>
      </c>
      <c r="G7530" s="64" t="s">
        <v>2889</v>
      </c>
      <c r="H7530" s="64" t="s">
        <v>1875</v>
      </c>
      <c r="I7530" s="64" t="s">
        <v>2908</v>
      </c>
      <c r="J7530" s="67">
        <v>26206.5</v>
      </c>
      <c r="K7530" s="62">
        <v>251994.15</v>
      </c>
      <c r="L7530" s="33" t="e">
        <f>HLOOKUP(B7530,#REF!,1,0)</f>
        <v>#REF!</v>
      </c>
      <c r="M7530" s="33" t="str">
        <f t="shared" si="471"/>
        <v>P&amp;L</v>
      </c>
    </row>
    <row r="7531" spans="1:13">
      <c r="A7531" s="33" t="str">
        <f t="shared" si="468"/>
        <v>SCL - CGS</v>
      </c>
      <c r="B7531" s="33" t="str">
        <f t="shared" si="469"/>
        <v>SCL</v>
      </c>
      <c r="C7531" s="33" t="str">
        <f t="shared" si="470"/>
        <v>50100-7356</v>
      </c>
      <c r="D7531" s="64" t="s">
        <v>8780</v>
      </c>
      <c r="E7531" s="64" t="s">
        <v>2907</v>
      </c>
      <c r="F7531" s="64" t="s">
        <v>15</v>
      </c>
      <c r="G7531" s="64" t="s">
        <v>2889</v>
      </c>
      <c r="H7531" s="64" t="s">
        <v>1875</v>
      </c>
      <c r="I7531" s="64" t="s">
        <v>2908</v>
      </c>
      <c r="J7531" s="67">
        <v>0</v>
      </c>
      <c r="K7531" s="62">
        <v>16186.74</v>
      </c>
      <c r="L7531" s="33" t="e">
        <f>HLOOKUP(B7531,#REF!,1,0)</f>
        <v>#REF!</v>
      </c>
      <c r="M7531" s="33" t="str">
        <f t="shared" si="471"/>
        <v>P&amp;L</v>
      </c>
    </row>
    <row r="7532" spans="1:13">
      <c r="A7532" s="33" t="str">
        <f t="shared" si="468"/>
        <v>SCL - CGS</v>
      </c>
      <c r="B7532" s="33" t="str">
        <f t="shared" si="469"/>
        <v>SCL</v>
      </c>
      <c r="C7532" s="33" t="str">
        <f t="shared" si="470"/>
        <v>50100-7359</v>
      </c>
      <c r="D7532" s="64" t="s">
        <v>8781</v>
      </c>
      <c r="E7532" s="64" t="s">
        <v>2907</v>
      </c>
      <c r="F7532" s="64" t="s">
        <v>15</v>
      </c>
      <c r="G7532" s="64" t="s">
        <v>2889</v>
      </c>
      <c r="H7532" s="64" t="s">
        <v>1875</v>
      </c>
      <c r="I7532" s="64" t="s">
        <v>2908</v>
      </c>
      <c r="J7532" s="67">
        <v>22095.87</v>
      </c>
      <c r="K7532" s="62">
        <v>200371.33</v>
      </c>
      <c r="L7532" s="33" t="e">
        <f>HLOOKUP(B7532,#REF!,1,0)</f>
        <v>#REF!</v>
      </c>
      <c r="M7532" s="33" t="str">
        <f t="shared" si="471"/>
        <v>P&amp;L</v>
      </c>
    </row>
    <row r="7533" spans="1:13">
      <c r="A7533" s="33" t="str">
        <f t="shared" si="468"/>
        <v>SCL - CGS</v>
      </c>
      <c r="B7533" s="33" t="str">
        <f t="shared" si="469"/>
        <v>SCL</v>
      </c>
      <c r="C7533" s="33" t="str">
        <f t="shared" si="470"/>
        <v>50100-7360</v>
      </c>
      <c r="D7533" s="64" t="s">
        <v>8782</v>
      </c>
      <c r="E7533" s="64" t="s">
        <v>2907</v>
      </c>
      <c r="F7533" s="64" t="s">
        <v>15</v>
      </c>
      <c r="G7533" s="64" t="s">
        <v>2889</v>
      </c>
      <c r="H7533" s="64" t="s">
        <v>1875</v>
      </c>
      <c r="I7533" s="64" t="s">
        <v>2908</v>
      </c>
      <c r="J7533" s="67">
        <v>31345.35</v>
      </c>
      <c r="K7533" s="62">
        <v>264717.02</v>
      </c>
      <c r="L7533" s="33" t="e">
        <f>HLOOKUP(B7533,#REF!,1,0)</f>
        <v>#REF!</v>
      </c>
      <c r="M7533" s="33" t="str">
        <f t="shared" si="471"/>
        <v>P&amp;L</v>
      </c>
    </row>
    <row r="7534" spans="1:13">
      <c r="A7534" s="33" t="str">
        <f t="shared" si="468"/>
        <v>SCL - CGS</v>
      </c>
      <c r="B7534" s="33" t="str">
        <f t="shared" si="469"/>
        <v>SCL</v>
      </c>
      <c r="C7534" s="33" t="str">
        <f t="shared" si="470"/>
        <v>50100-7361</v>
      </c>
      <c r="D7534" s="64" t="s">
        <v>8783</v>
      </c>
      <c r="E7534" s="64" t="s">
        <v>2907</v>
      </c>
      <c r="F7534" s="64" t="s">
        <v>15</v>
      </c>
      <c r="G7534" s="64" t="s">
        <v>2889</v>
      </c>
      <c r="H7534" s="64" t="s">
        <v>1875</v>
      </c>
      <c r="I7534" s="64" t="s">
        <v>2908</v>
      </c>
      <c r="J7534" s="67">
        <v>28927.11</v>
      </c>
      <c r="K7534" s="62">
        <v>271808.96</v>
      </c>
      <c r="L7534" s="33" t="e">
        <f>HLOOKUP(B7534,#REF!,1,0)</f>
        <v>#REF!</v>
      </c>
      <c r="M7534" s="33" t="str">
        <f t="shared" si="471"/>
        <v>P&amp;L</v>
      </c>
    </row>
    <row r="7535" spans="1:13">
      <c r="A7535" s="33" t="str">
        <f t="shared" si="468"/>
        <v>SCL - CGS</v>
      </c>
      <c r="B7535" s="33" t="str">
        <f t="shared" si="469"/>
        <v>SCL</v>
      </c>
      <c r="C7535" s="33" t="str">
        <f t="shared" si="470"/>
        <v>50100-7362</v>
      </c>
      <c r="D7535" s="64" t="s">
        <v>8784</v>
      </c>
      <c r="E7535" s="64" t="s">
        <v>2907</v>
      </c>
      <c r="F7535" s="64" t="s">
        <v>15</v>
      </c>
      <c r="G7535" s="64" t="s">
        <v>2889</v>
      </c>
      <c r="H7535" s="64" t="s">
        <v>1875</v>
      </c>
      <c r="I7535" s="64" t="s">
        <v>2908</v>
      </c>
      <c r="J7535" s="67">
        <v>18150.49</v>
      </c>
      <c r="K7535" s="62">
        <v>166487.5</v>
      </c>
      <c r="L7535" s="33" t="e">
        <f>HLOOKUP(B7535,#REF!,1,0)</f>
        <v>#REF!</v>
      </c>
      <c r="M7535" s="33" t="str">
        <f t="shared" si="471"/>
        <v>P&amp;L</v>
      </c>
    </row>
    <row r="7536" spans="1:13">
      <c r="A7536" s="33" t="str">
        <f t="shared" si="468"/>
        <v>SCL - CGS</v>
      </c>
      <c r="B7536" s="33" t="str">
        <f t="shared" si="469"/>
        <v>SCL</v>
      </c>
      <c r="C7536" s="33" t="str">
        <f t="shared" si="470"/>
        <v>50100-7363</v>
      </c>
      <c r="D7536" s="64" t="s">
        <v>8785</v>
      </c>
      <c r="E7536" s="64" t="s">
        <v>2907</v>
      </c>
      <c r="F7536" s="64" t="s">
        <v>15</v>
      </c>
      <c r="G7536" s="64" t="s">
        <v>2889</v>
      </c>
      <c r="H7536" s="64" t="s">
        <v>1875</v>
      </c>
      <c r="I7536" s="64" t="s">
        <v>2908</v>
      </c>
      <c r="J7536" s="67">
        <v>21859.49</v>
      </c>
      <c r="K7536" s="62">
        <v>203811.15</v>
      </c>
      <c r="L7536" s="33" t="e">
        <f>HLOOKUP(B7536,#REF!,1,0)</f>
        <v>#REF!</v>
      </c>
      <c r="M7536" s="33" t="str">
        <f t="shared" si="471"/>
        <v>P&amp;L</v>
      </c>
    </row>
    <row r="7537" spans="1:13">
      <c r="A7537" s="33" t="str">
        <f t="shared" si="468"/>
        <v>SCL - CGS</v>
      </c>
      <c r="B7537" s="33" t="str">
        <f t="shared" si="469"/>
        <v>SCL</v>
      </c>
      <c r="C7537" s="33" t="str">
        <f t="shared" si="470"/>
        <v>50100-7364</v>
      </c>
      <c r="D7537" s="64" t="s">
        <v>8786</v>
      </c>
      <c r="E7537" s="64" t="s">
        <v>2907</v>
      </c>
      <c r="F7537" s="64" t="s">
        <v>15</v>
      </c>
      <c r="G7537" s="64" t="s">
        <v>2889</v>
      </c>
      <c r="H7537" s="64" t="s">
        <v>1875</v>
      </c>
      <c r="I7537" s="64" t="s">
        <v>2908</v>
      </c>
      <c r="J7537" s="67">
        <v>12033.02</v>
      </c>
      <c r="K7537" s="62">
        <v>110541.12</v>
      </c>
      <c r="L7537" s="33" t="e">
        <f>HLOOKUP(B7537,#REF!,1,0)</f>
        <v>#REF!</v>
      </c>
      <c r="M7537" s="33" t="str">
        <f t="shared" si="471"/>
        <v>P&amp;L</v>
      </c>
    </row>
    <row r="7538" spans="1:13">
      <c r="A7538" s="33" t="str">
        <f t="shared" si="468"/>
        <v>SCL - CGS</v>
      </c>
      <c r="B7538" s="33" t="str">
        <f t="shared" si="469"/>
        <v>SCL</v>
      </c>
      <c r="C7538" s="33" t="str">
        <f t="shared" si="470"/>
        <v>50100-7365</v>
      </c>
      <c r="D7538" s="64" t="s">
        <v>8787</v>
      </c>
      <c r="E7538" s="64" t="s">
        <v>2907</v>
      </c>
      <c r="F7538" s="64" t="s">
        <v>15</v>
      </c>
      <c r="G7538" s="64" t="s">
        <v>2889</v>
      </c>
      <c r="H7538" s="64" t="s">
        <v>1875</v>
      </c>
      <c r="I7538" s="64" t="s">
        <v>2908</v>
      </c>
      <c r="J7538" s="67">
        <v>19348.46</v>
      </c>
      <c r="K7538" s="62">
        <v>184036.41</v>
      </c>
      <c r="L7538" s="33" t="e">
        <f>HLOOKUP(B7538,#REF!,1,0)</f>
        <v>#REF!</v>
      </c>
      <c r="M7538" s="33" t="str">
        <f t="shared" si="471"/>
        <v>P&amp;L</v>
      </c>
    </row>
    <row r="7539" spans="1:13">
      <c r="A7539" s="33" t="str">
        <f t="shared" si="468"/>
        <v>SCL - CGS</v>
      </c>
      <c r="B7539" s="33" t="str">
        <f t="shared" si="469"/>
        <v>SCL</v>
      </c>
      <c r="C7539" s="33" t="str">
        <f t="shared" si="470"/>
        <v>50100-7366</v>
      </c>
      <c r="D7539" s="64" t="s">
        <v>8788</v>
      </c>
      <c r="E7539" s="64" t="s">
        <v>2907</v>
      </c>
      <c r="F7539" s="64" t="s">
        <v>15</v>
      </c>
      <c r="G7539" s="64" t="s">
        <v>2889</v>
      </c>
      <c r="H7539" s="64" t="s">
        <v>1875</v>
      </c>
      <c r="I7539" s="64" t="s">
        <v>2908</v>
      </c>
      <c r="J7539" s="67">
        <v>35906.49</v>
      </c>
      <c r="K7539" s="62">
        <v>328497.85</v>
      </c>
      <c r="L7539" s="33" t="e">
        <f>HLOOKUP(B7539,#REF!,1,0)</f>
        <v>#REF!</v>
      </c>
      <c r="M7539" s="33" t="str">
        <f t="shared" si="471"/>
        <v>P&amp;L</v>
      </c>
    </row>
    <row r="7540" spans="1:13">
      <c r="A7540" s="33" t="str">
        <f t="shared" si="468"/>
        <v>SCL - CGS</v>
      </c>
      <c r="B7540" s="33" t="str">
        <f t="shared" si="469"/>
        <v>SCL</v>
      </c>
      <c r="C7540" s="33" t="str">
        <f t="shared" si="470"/>
        <v>50100-7368</v>
      </c>
      <c r="D7540" s="64" t="s">
        <v>8789</v>
      </c>
      <c r="E7540" s="64" t="s">
        <v>2907</v>
      </c>
      <c r="F7540" s="64" t="s">
        <v>15</v>
      </c>
      <c r="G7540" s="64" t="s">
        <v>2889</v>
      </c>
      <c r="H7540" s="64" t="s">
        <v>1875</v>
      </c>
      <c r="I7540" s="64" t="s">
        <v>2908</v>
      </c>
      <c r="J7540" s="67">
        <v>41391.22</v>
      </c>
      <c r="K7540" s="62">
        <v>379320.52</v>
      </c>
      <c r="L7540" s="33" t="e">
        <f>HLOOKUP(B7540,#REF!,1,0)</f>
        <v>#REF!</v>
      </c>
      <c r="M7540" s="33" t="str">
        <f t="shared" si="471"/>
        <v>P&amp;L</v>
      </c>
    </row>
    <row r="7541" spans="1:13">
      <c r="A7541" s="33" t="str">
        <f t="shared" si="468"/>
        <v>SCL - CGS</v>
      </c>
      <c r="B7541" s="33" t="str">
        <f t="shared" si="469"/>
        <v>SCL</v>
      </c>
      <c r="C7541" s="33" t="str">
        <f t="shared" si="470"/>
        <v>50100-7369</v>
      </c>
      <c r="D7541" s="64" t="s">
        <v>8790</v>
      </c>
      <c r="E7541" s="64" t="s">
        <v>2907</v>
      </c>
      <c r="F7541" s="64" t="s">
        <v>15</v>
      </c>
      <c r="G7541" s="64" t="s">
        <v>2889</v>
      </c>
      <c r="H7541" s="64" t="s">
        <v>1875</v>
      </c>
      <c r="I7541" s="64" t="s">
        <v>2908</v>
      </c>
      <c r="J7541" s="67">
        <v>22914.2</v>
      </c>
      <c r="K7541" s="62">
        <v>209573.76</v>
      </c>
      <c r="L7541" s="33" t="e">
        <f>HLOOKUP(B7541,#REF!,1,0)</f>
        <v>#REF!</v>
      </c>
      <c r="M7541" s="33" t="str">
        <f t="shared" si="471"/>
        <v>P&amp;L</v>
      </c>
    </row>
    <row r="7542" spans="1:13">
      <c r="A7542" s="33" t="str">
        <f t="shared" si="468"/>
        <v>SCL - CGS</v>
      </c>
      <c r="B7542" s="33" t="str">
        <f t="shared" si="469"/>
        <v>SCL</v>
      </c>
      <c r="C7542" s="33" t="str">
        <f t="shared" si="470"/>
        <v>50100-7371</v>
      </c>
      <c r="D7542" s="64" t="s">
        <v>8791</v>
      </c>
      <c r="E7542" s="64" t="s">
        <v>2907</v>
      </c>
      <c r="F7542" s="64" t="s">
        <v>15</v>
      </c>
      <c r="G7542" s="64" t="s">
        <v>2889</v>
      </c>
      <c r="H7542" s="64" t="s">
        <v>1875</v>
      </c>
      <c r="I7542" s="64" t="s">
        <v>2908</v>
      </c>
      <c r="J7542" s="67">
        <v>24417.11</v>
      </c>
      <c r="K7542" s="62">
        <v>222780.83</v>
      </c>
      <c r="L7542" s="33" t="e">
        <f>HLOOKUP(B7542,#REF!,1,0)</f>
        <v>#REF!</v>
      </c>
      <c r="M7542" s="33" t="str">
        <f t="shared" si="471"/>
        <v>P&amp;L</v>
      </c>
    </row>
    <row r="7543" spans="1:13">
      <c r="A7543" s="33" t="str">
        <f t="shared" si="468"/>
        <v>SCL - CGS</v>
      </c>
      <c r="B7543" s="33" t="str">
        <f t="shared" si="469"/>
        <v>SCL</v>
      </c>
      <c r="C7543" s="33" t="str">
        <f t="shared" si="470"/>
        <v>50100-7374</v>
      </c>
      <c r="D7543" s="64" t="s">
        <v>8792</v>
      </c>
      <c r="E7543" s="64" t="s">
        <v>2907</v>
      </c>
      <c r="F7543" s="64" t="s">
        <v>15</v>
      </c>
      <c r="G7543" s="64" t="s">
        <v>2889</v>
      </c>
      <c r="H7543" s="64" t="s">
        <v>1875</v>
      </c>
      <c r="I7543" s="64" t="s">
        <v>2908</v>
      </c>
      <c r="J7543" s="67">
        <v>30852.48</v>
      </c>
      <c r="K7543" s="62">
        <v>262628.59</v>
      </c>
      <c r="L7543" s="33" t="e">
        <f>HLOOKUP(B7543,#REF!,1,0)</f>
        <v>#REF!</v>
      </c>
      <c r="M7543" s="33" t="str">
        <f t="shared" si="471"/>
        <v>P&amp;L</v>
      </c>
    </row>
    <row r="7544" spans="1:13">
      <c r="A7544" s="33" t="str">
        <f t="shared" si="468"/>
        <v>SCL - CGS</v>
      </c>
      <c r="B7544" s="33" t="str">
        <f t="shared" si="469"/>
        <v>SCL</v>
      </c>
      <c r="C7544" s="33" t="str">
        <f t="shared" si="470"/>
        <v>50100-7375</v>
      </c>
      <c r="D7544" s="64" t="s">
        <v>8793</v>
      </c>
      <c r="E7544" s="64" t="s">
        <v>2907</v>
      </c>
      <c r="F7544" s="64" t="s">
        <v>15</v>
      </c>
      <c r="G7544" s="64" t="s">
        <v>2889</v>
      </c>
      <c r="H7544" s="64" t="s">
        <v>1875</v>
      </c>
      <c r="I7544" s="64" t="s">
        <v>2908</v>
      </c>
      <c r="J7544" s="67">
        <v>26590.35</v>
      </c>
      <c r="K7544" s="62">
        <v>240416.1</v>
      </c>
      <c r="L7544" s="33" t="e">
        <f>HLOOKUP(B7544,#REF!,1,0)</f>
        <v>#REF!</v>
      </c>
      <c r="M7544" s="33" t="str">
        <f t="shared" si="471"/>
        <v>P&amp;L</v>
      </c>
    </row>
    <row r="7545" spans="1:13">
      <c r="A7545" s="33" t="str">
        <f t="shared" si="468"/>
        <v>SCL - CGS</v>
      </c>
      <c r="B7545" s="33" t="str">
        <f t="shared" si="469"/>
        <v>SCL</v>
      </c>
      <c r="C7545" s="33" t="str">
        <f t="shared" si="470"/>
        <v>50100-7376</v>
      </c>
      <c r="D7545" s="64" t="s">
        <v>8794</v>
      </c>
      <c r="E7545" s="64" t="s">
        <v>2907</v>
      </c>
      <c r="F7545" s="64" t="s">
        <v>15</v>
      </c>
      <c r="G7545" s="64" t="s">
        <v>2889</v>
      </c>
      <c r="H7545" s="64" t="s">
        <v>1875</v>
      </c>
      <c r="I7545" s="64" t="s">
        <v>2908</v>
      </c>
      <c r="J7545" s="67">
        <v>58764.4</v>
      </c>
      <c r="K7545" s="62">
        <v>560242.01</v>
      </c>
      <c r="L7545" s="33" t="e">
        <f>HLOOKUP(B7545,#REF!,1,0)</f>
        <v>#REF!</v>
      </c>
      <c r="M7545" s="33" t="str">
        <f t="shared" si="471"/>
        <v>P&amp;L</v>
      </c>
    </row>
    <row r="7546" spans="1:13">
      <c r="A7546" s="33" t="str">
        <f t="shared" si="468"/>
        <v>SCL - CGS</v>
      </c>
      <c r="B7546" s="33" t="str">
        <f t="shared" si="469"/>
        <v>SCL</v>
      </c>
      <c r="C7546" s="33" t="str">
        <f t="shared" si="470"/>
        <v>50100-7377</v>
      </c>
      <c r="D7546" s="64" t="s">
        <v>8795</v>
      </c>
      <c r="E7546" s="64" t="s">
        <v>2907</v>
      </c>
      <c r="F7546" s="64" t="s">
        <v>15</v>
      </c>
      <c r="G7546" s="64" t="s">
        <v>2889</v>
      </c>
      <c r="H7546" s="64" t="s">
        <v>1875</v>
      </c>
      <c r="I7546" s="64" t="s">
        <v>2908</v>
      </c>
      <c r="J7546" s="67">
        <v>27937.22</v>
      </c>
      <c r="K7546" s="62">
        <v>265275.53</v>
      </c>
      <c r="L7546" s="33" t="e">
        <f>HLOOKUP(B7546,#REF!,1,0)</f>
        <v>#REF!</v>
      </c>
      <c r="M7546" s="33" t="str">
        <f t="shared" si="471"/>
        <v>P&amp;L</v>
      </c>
    </row>
    <row r="7547" spans="1:13">
      <c r="A7547" s="33" t="str">
        <f t="shared" si="468"/>
        <v>SCL - CGS</v>
      </c>
      <c r="B7547" s="33" t="str">
        <f t="shared" si="469"/>
        <v>SCL</v>
      </c>
      <c r="C7547" s="33" t="str">
        <f t="shared" si="470"/>
        <v>50100-7378</v>
      </c>
      <c r="D7547" s="64" t="s">
        <v>8796</v>
      </c>
      <c r="E7547" s="64" t="s">
        <v>2907</v>
      </c>
      <c r="F7547" s="64" t="s">
        <v>15</v>
      </c>
      <c r="G7547" s="64" t="s">
        <v>2889</v>
      </c>
      <c r="H7547" s="64" t="s">
        <v>1875</v>
      </c>
      <c r="I7547" s="64" t="s">
        <v>2908</v>
      </c>
      <c r="J7547" s="67">
        <v>39960.69</v>
      </c>
      <c r="K7547" s="62">
        <v>357857.27</v>
      </c>
      <c r="L7547" s="33" t="e">
        <f>HLOOKUP(B7547,#REF!,1,0)</f>
        <v>#REF!</v>
      </c>
      <c r="M7547" s="33" t="str">
        <f t="shared" si="471"/>
        <v>P&amp;L</v>
      </c>
    </row>
    <row r="7548" spans="1:13">
      <c r="A7548" s="33" t="str">
        <f t="shared" si="468"/>
        <v>SCL - CGS</v>
      </c>
      <c r="B7548" s="33" t="str">
        <f t="shared" si="469"/>
        <v>SCL</v>
      </c>
      <c r="C7548" s="33" t="str">
        <f t="shared" si="470"/>
        <v>50100-7379</v>
      </c>
      <c r="D7548" s="64" t="s">
        <v>8797</v>
      </c>
      <c r="E7548" s="64" t="s">
        <v>2907</v>
      </c>
      <c r="F7548" s="64" t="s">
        <v>15</v>
      </c>
      <c r="G7548" s="64" t="s">
        <v>2889</v>
      </c>
      <c r="H7548" s="64" t="s">
        <v>1875</v>
      </c>
      <c r="I7548" s="64" t="s">
        <v>2908</v>
      </c>
      <c r="J7548" s="67">
        <v>31910.86</v>
      </c>
      <c r="K7548" s="62">
        <v>307855.75</v>
      </c>
      <c r="L7548" s="33" t="e">
        <f>HLOOKUP(B7548,#REF!,1,0)</f>
        <v>#REF!</v>
      </c>
      <c r="M7548" s="33" t="str">
        <f t="shared" si="471"/>
        <v>P&amp;L</v>
      </c>
    </row>
    <row r="7549" spans="1:13">
      <c r="A7549" s="33" t="str">
        <f t="shared" si="468"/>
        <v>SCL - CGS</v>
      </c>
      <c r="B7549" s="33" t="str">
        <f t="shared" si="469"/>
        <v>SCL</v>
      </c>
      <c r="C7549" s="33" t="str">
        <f t="shared" si="470"/>
        <v>50100-7380</v>
      </c>
      <c r="D7549" s="64" t="s">
        <v>8798</v>
      </c>
      <c r="E7549" s="64" t="s">
        <v>2907</v>
      </c>
      <c r="F7549" s="64" t="s">
        <v>15</v>
      </c>
      <c r="G7549" s="64" t="s">
        <v>2889</v>
      </c>
      <c r="H7549" s="64" t="s">
        <v>1875</v>
      </c>
      <c r="I7549" s="64" t="s">
        <v>2908</v>
      </c>
      <c r="J7549" s="67">
        <v>21060.97</v>
      </c>
      <c r="K7549" s="62">
        <v>200866.97</v>
      </c>
      <c r="L7549" s="33" t="e">
        <f>HLOOKUP(B7549,#REF!,1,0)</f>
        <v>#REF!</v>
      </c>
      <c r="M7549" s="33" t="str">
        <f t="shared" si="471"/>
        <v>P&amp;L</v>
      </c>
    </row>
    <row r="7550" spans="1:13">
      <c r="A7550" s="33" t="str">
        <f t="shared" si="468"/>
        <v>SCL - CGS</v>
      </c>
      <c r="B7550" s="33" t="str">
        <f t="shared" si="469"/>
        <v>SCL</v>
      </c>
      <c r="C7550" s="33" t="str">
        <f t="shared" si="470"/>
        <v>50100-7381</v>
      </c>
      <c r="D7550" s="64" t="s">
        <v>8799</v>
      </c>
      <c r="E7550" s="64" t="s">
        <v>2907</v>
      </c>
      <c r="F7550" s="64" t="s">
        <v>15</v>
      </c>
      <c r="G7550" s="64" t="s">
        <v>2889</v>
      </c>
      <c r="H7550" s="64" t="s">
        <v>1875</v>
      </c>
      <c r="I7550" s="64" t="s">
        <v>2908</v>
      </c>
      <c r="J7550" s="67">
        <v>35936.49</v>
      </c>
      <c r="K7550" s="62">
        <v>316989.5</v>
      </c>
      <c r="L7550" s="33" t="e">
        <f>HLOOKUP(B7550,#REF!,1,0)</f>
        <v>#REF!</v>
      </c>
      <c r="M7550" s="33" t="str">
        <f t="shared" si="471"/>
        <v>P&amp;L</v>
      </c>
    </row>
    <row r="7551" spans="1:13">
      <c r="A7551" s="33" t="str">
        <f t="shared" si="468"/>
        <v>SCL - CGS</v>
      </c>
      <c r="B7551" s="33" t="str">
        <f t="shared" si="469"/>
        <v>SCL</v>
      </c>
      <c r="C7551" s="33" t="str">
        <f t="shared" si="470"/>
        <v>50100-7383</v>
      </c>
      <c r="D7551" s="64" t="s">
        <v>8800</v>
      </c>
      <c r="E7551" s="64" t="s">
        <v>2907</v>
      </c>
      <c r="F7551" s="64" t="s">
        <v>15</v>
      </c>
      <c r="G7551" s="64" t="s">
        <v>2889</v>
      </c>
      <c r="H7551" s="64" t="s">
        <v>1875</v>
      </c>
      <c r="I7551" s="64" t="s">
        <v>2908</v>
      </c>
      <c r="J7551" s="67">
        <v>28068.59</v>
      </c>
      <c r="K7551" s="62">
        <v>266979.96</v>
      </c>
      <c r="L7551" s="33" t="e">
        <f>HLOOKUP(B7551,#REF!,1,0)</f>
        <v>#REF!</v>
      </c>
      <c r="M7551" s="33" t="str">
        <f t="shared" si="471"/>
        <v>P&amp;L</v>
      </c>
    </row>
    <row r="7552" spans="1:13">
      <c r="A7552" s="33" t="str">
        <f t="shared" si="468"/>
        <v>SCL - CGS</v>
      </c>
      <c r="B7552" s="33" t="str">
        <f t="shared" si="469"/>
        <v>SCL</v>
      </c>
      <c r="C7552" s="33" t="str">
        <f t="shared" si="470"/>
        <v>50100-7385</v>
      </c>
      <c r="D7552" s="64" t="s">
        <v>8801</v>
      </c>
      <c r="E7552" s="64" t="s">
        <v>2907</v>
      </c>
      <c r="F7552" s="64" t="s">
        <v>15</v>
      </c>
      <c r="G7552" s="64" t="s">
        <v>2889</v>
      </c>
      <c r="H7552" s="64" t="s">
        <v>1875</v>
      </c>
      <c r="I7552" s="64" t="s">
        <v>2908</v>
      </c>
      <c r="J7552" s="67">
        <v>19492.1</v>
      </c>
      <c r="K7552" s="62">
        <v>177386.28</v>
      </c>
      <c r="L7552" s="33" t="e">
        <f>HLOOKUP(B7552,#REF!,1,0)</f>
        <v>#REF!</v>
      </c>
      <c r="M7552" s="33" t="str">
        <f t="shared" si="471"/>
        <v>P&amp;L</v>
      </c>
    </row>
    <row r="7553" spans="1:13">
      <c r="A7553" s="33" t="str">
        <f t="shared" si="468"/>
        <v>SCL - CGS</v>
      </c>
      <c r="B7553" s="33" t="str">
        <f t="shared" si="469"/>
        <v>SCL</v>
      </c>
      <c r="C7553" s="33" t="str">
        <f t="shared" si="470"/>
        <v>50100-7386</v>
      </c>
      <c r="D7553" s="64" t="s">
        <v>8802</v>
      </c>
      <c r="E7553" s="64" t="s">
        <v>2907</v>
      </c>
      <c r="F7553" s="64" t="s">
        <v>15</v>
      </c>
      <c r="G7553" s="64" t="s">
        <v>2889</v>
      </c>
      <c r="H7553" s="64" t="s">
        <v>1875</v>
      </c>
      <c r="I7553" s="64" t="s">
        <v>2908</v>
      </c>
      <c r="J7553" s="67">
        <v>24858.56</v>
      </c>
      <c r="K7553" s="62">
        <v>227696.12</v>
      </c>
      <c r="L7553" s="33" t="e">
        <f>HLOOKUP(B7553,#REF!,1,0)</f>
        <v>#REF!</v>
      </c>
      <c r="M7553" s="33" t="str">
        <f t="shared" si="471"/>
        <v>P&amp;L</v>
      </c>
    </row>
    <row r="7554" spans="1:13">
      <c r="A7554" s="33" t="str">
        <f t="shared" ref="A7554:A7617" si="472">B7554&amp;" - "&amp;TRIM(H7554)</f>
        <v>SCL - CGS</v>
      </c>
      <c r="B7554" s="33" t="str">
        <f t="shared" ref="B7554:B7617" si="473">LEFT(D7554,3)</f>
        <v>SCL</v>
      </c>
      <c r="C7554" s="33" t="str">
        <f t="shared" ref="C7554:C7617" si="474">RIGHT(D7554,10)</f>
        <v>50100-7387</v>
      </c>
      <c r="D7554" s="64" t="s">
        <v>8803</v>
      </c>
      <c r="E7554" s="64" t="s">
        <v>2907</v>
      </c>
      <c r="F7554" s="64" t="s">
        <v>15</v>
      </c>
      <c r="G7554" s="64" t="s">
        <v>2889</v>
      </c>
      <c r="H7554" s="64" t="s">
        <v>1875</v>
      </c>
      <c r="I7554" s="64" t="s">
        <v>2908</v>
      </c>
      <c r="J7554" s="67">
        <v>33107.06</v>
      </c>
      <c r="K7554" s="62">
        <v>294258.89</v>
      </c>
      <c r="L7554" s="33" t="e">
        <f>HLOOKUP(B7554,#REF!,1,0)</f>
        <v>#REF!</v>
      </c>
      <c r="M7554" s="33" t="str">
        <f t="shared" ref="M7554:M7617" si="475">IF(VALUE(LEFT(C7554,5))&gt;40000,"P&amp;L","BS")</f>
        <v>P&amp;L</v>
      </c>
    </row>
    <row r="7555" spans="1:13">
      <c r="A7555" s="33" t="str">
        <f t="shared" si="472"/>
        <v>SCL - CGS</v>
      </c>
      <c r="B7555" s="33" t="str">
        <f t="shared" si="473"/>
        <v>SCL</v>
      </c>
      <c r="C7555" s="33" t="str">
        <f t="shared" si="474"/>
        <v>50100-7389</v>
      </c>
      <c r="D7555" s="64" t="s">
        <v>8804</v>
      </c>
      <c r="E7555" s="64" t="s">
        <v>2907</v>
      </c>
      <c r="F7555" s="64" t="s">
        <v>15</v>
      </c>
      <c r="G7555" s="64" t="s">
        <v>2889</v>
      </c>
      <c r="H7555" s="64" t="s">
        <v>1875</v>
      </c>
      <c r="I7555" s="64" t="s">
        <v>2908</v>
      </c>
      <c r="J7555" s="67">
        <v>42099.05</v>
      </c>
      <c r="K7555" s="62">
        <v>389782.58</v>
      </c>
      <c r="L7555" s="33" t="e">
        <f>HLOOKUP(B7555,#REF!,1,0)</f>
        <v>#REF!</v>
      </c>
      <c r="M7555" s="33" t="str">
        <f t="shared" si="475"/>
        <v>P&amp;L</v>
      </c>
    </row>
    <row r="7556" spans="1:13">
      <c r="A7556" s="33" t="str">
        <f t="shared" si="472"/>
        <v>SCL - CGS</v>
      </c>
      <c r="B7556" s="33" t="str">
        <f t="shared" si="473"/>
        <v>SCL</v>
      </c>
      <c r="C7556" s="33" t="str">
        <f t="shared" si="474"/>
        <v>50100-7391</v>
      </c>
      <c r="D7556" s="64" t="s">
        <v>8805</v>
      </c>
      <c r="E7556" s="64" t="s">
        <v>2907</v>
      </c>
      <c r="F7556" s="64" t="s">
        <v>15</v>
      </c>
      <c r="G7556" s="64" t="s">
        <v>2889</v>
      </c>
      <c r="H7556" s="64" t="s">
        <v>1875</v>
      </c>
      <c r="I7556" s="64" t="s">
        <v>2908</v>
      </c>
      <c r="J7556" s="67">
        <v>29708.06</v>
      </c>
      <c r="K7556" s="62">
        <v>268437.23</v>
      </c>
      <c r="L7556" s="33" t="e">
        <f>HLOOKUP(B7556,#REF!,1,0)</f>
        <v>#REF!</v>
      </c>
      <c r="M7556" s="33" t="str">
        <f t="shared" si="475"/>
        <v>P&amp;L</v>
      </c>
    </row>
    <row r="7557" spans="1:13">
      <c r="A7557" s="33" t="str">
        <f t="shared" si="472"/>
        <v>SCL - CGS</v>
      </c>
      <c r="B7557" s="33" t="str">
        <f t="shared" si="473"/>
        <v>SCL</v>
      </c>
      <c r="C7557" s="33" t="str">
        <f t="shared" si="474"/>
        <v>50100-7393</v>
      </c>
      <c r="D7557" s="64" t="s">
        <v>8806</v>
      </c>
      <c r="E7557" s="64" t="s">
        <v>2907</v>
      </c>
      <c r="F7557" s="64" t="s">
        <v>15</v>
      </c>
      <c r="G7557" s="64" t="s">
        <v>2889</v>
      </c>
      <c r="H7557" s="64" t="s">
        <v>1875</v>
      </c>
      <c r="I7557" s="64" t="s">
        <v>2908</v>
      </c>
      <c r="J7557" s="67">
        <v>23571.07</v>
      </c>
      <c r="K7557" s="62">
        <v>225479.74</v>
      </c>
      <c r="L7557" s="33" t="e">
        <f>HLOOKUP(B7557,#REF!,1,0)</f>
        <v>#REF!</v>
      </c>
      <c r="M7557" s="33" t="str">
        <f t="shared" si="475"/>
        <v>P&amp;L</v>
      </c>
    </row>
    <row r="7558" spans="1:13">
      <c r="A7558" s="33" t="str">
        <f t="shared" si="472"/>
        <v>SCL - CGS</v>
      </c>
      <c r="B7558" s="33" t="str">
        <f t="shared" si="473"/>
        <v>SCL</v>
      </c>
      <c r="C7558" s="33" t="str">
        <f t="shared" si="474"/>
        <v>50100-7394</v>
      </c>
      <c r="D7558" s="64" t="s">
        <v>8807</v>
      </c>
      <c r="E7558" s="64" t="s">
        <v>2907</v>
      </c>
      <c r="F7558" s="64" t="s">
        <v>15</v>
      </c>
      <c r="G7558" s="64" t="s">
        <v>2889</v>
      </c>
      <c r="H7558" s="64" t="s">
        <v>1875</v>
      </c>
      <c r="I7558" s="64" t="s">
        <v>2908</v>
      </c>
      <c r="J7558" s="67">
        <v>18612.2</v>
      </c>
      <c r="K7558" s="62">
        <v>188742.6</v>
      </c>
      <c r="L7558" s="33" t="e">
        <f>HLOOKUP(B7558,#REF!,1,0)</f>
        <v>#REF!</v>
      </c>
      <c r="M7558" s="33" t="str">
        <f t="shared" si="475"/>
        <v>P&amp;L</v>
      </c>
    </row>
    <row r="7559" spans="1:13">
      <c r="A7559" s="33" t="str">
        <f t="shared" si="472"/>
        <v>SCL - CGS</v>
      </c>
      <c r="B7559" s="33" t="str">
        <f t="shared" si="473"/>
        <v>SCL</v>
      </c>
      <c r="C7559" s="33" t="str">
        <f t="shared" si="474"/>
        <v>50100-7396</v>
      </c>
      <c r="D7559" s="64" t="s">
        <v>8808</v>
      </c>
      <c r="E7559" s="64" t="s">
        <v>2907</v>
      </c>
      <c r="F7559" s="64" t="s">
        <v>15</v>
      </c>
      <c r="G7559" s="64" t="s">
        <v>2889</v>
      </c>
      <c r="H7559" s="64" t="s">
        <v>1875</v>
      </c>
      <c r="I7559" s="64" t="s">
        <v>2908</v>
      </c>
      <c r="J7559" s="67">
        <v>26779.84</v>
      </c>
      <c r="K7559" s="62">
        <v>241046.19</v>
      </c>
      <c r="L7559" s="33" t="e">
        <f>HLOOKUP(B7559,#REF!,1,0)</f>
        <v>#REF!</v>
      </c>
      <c r="M7559" s="33" t="str">
        <f t="shared" si="475"/>
        <v>P&amp;L</v>
      </c>
    </row>
    <row r="7560" spans="1:13">
      <c r="A7560" s="33" t="str">
        <f t="shared" si="472"/>
        <v>SCL - CGS</v>
      </c>
      <c r="B7560" s="33" t="str">
        <f t="shared" si="473"/>
        <v>SCL</v>
      </c>
      <c r="C7560" s="33" t="str">
        <f t="shared" si="474"/>
        <v>50100-7397</v>
      </c>
      <c r="D7560" s="64" t="s">
        <v>8809</v>
      </c>
      <c r="E7560" s="64" t="s">
        <v>2907</v>
      </c>
      <c r="F7560" s="64" t="s">
        <v>15</v>
      </c>
      <c r="G7560" s="64" t="s">
        <v>2889</v>
      </c>
      <c r="H7560" s="64" t="s">
        <v>1875</v>
      </c>
      <c r="I7560" s="64" t="s">
        <v>2908</v>
      </c>
      <c r="J7560" s="67">
        <v>25967.74</v>
      </c>
      <c r="K7560" s="62">
        <v>244646.33</v>
      </c>
      <c r="L7560" s="33" t="e">
        <f>HLOOKUP(B7560,#REF!,1,0)</f>
        <v>#REF!</v>
      </c>
      <c r="M7560" s="33" t="str">
        <f t="shared" si="475"/>
        <v>P&amp;L</v>
      </c>
    </row>
    <row r="7561" spans="1:13">
      <c r="A7561" s="33" t="str">
        <f t="shared" si="472"/>
        <v>SCL - CGS</v>
      </c>
      <c r="B7561" s="33" t="str">
        <f t="shared" si="473"/>
        <v>SCL</v>
      </c>
      <c r="C7561" s="33" t="str">
        <f t="shared" si="474"/>
        <v>50100-7398</v>
      </c>
      <c r="D7561" s="64" t="s">
        <v>8810</v>
      </c>
      <c r="E7561" s="64" t="s">
        <v>2907</v>
      </c>
      <c r="F7561" s="64" t="s">
        <v>15</v>
      </c>
      <c r="G7561" s="64" t="s">
        <v>2889</v>
      </c>
      <c r="H7561" s="64" t="s">
        <v>1875</v>
      </c>
      <c r="I7561" s="64" t="s">
        <v>2908</v>
      </c>
      <c r="J7561" s="67">
        <v>26971.5</v>
      </c>
      <c r="K7561" s="62">
        <v>242700.26</v>
      </c>
      <c r="L7561" s="33" t="e">
        <f>HLOOKUP(B7561,#REF!,1,0)</f>
        <v>#REF!</v>
      </c>
      <c r="M7561" s="33" t="str">
        <f t="shared" si="475"/>
        <v>P&amp;L</v>
      </c>
    </row>
    <row r="7562" spans="1:13">
      <c r="A7562" s="33" t="str">
        <f t="shared" si="472"/>
        <v>SCL - CGS</v>
      </c>
      <c r="B7562" s="33" t="str">
        <f t="shared" si="473"/>
        <v>SCL</v>
      </c>
      <c r="C7562" s="33" t="str">
        <f t="shared" si="474"/>
        <v>50100-7400</v>
      </c>
      <c r="D7562" s="64" t="s">
        <v>8811</v>
      </c>
      <c r="E7562" s="64" t="s">
        <v>2907</v>
      </c>
      <c r="F7562" s="64" t="s">
        <v>15</v>
      </c>
      <c r="G7562" s="64" t="s">
        <v>2889</v>
      </c>
      <c r="H7562" s="64" t="s">
        <v>1875</v>
      </c>
      <c r="I7562" s="64" t="s">
        <v>2908</v>
      </c>
      <c r="J7562" s="67">
        <v>20751.32</v>
      </c>
      <c r="K7562" s="62">
        <v>199170.72</v>
      </c>
      <c r="L7562" s="33" t="e">
        <f>HLOOKUP(B7562,#REF!,1,0)</f>
        <v>#REF!</v>
      </c>
      <c r="M7562" s="33" t="str">
        <f t="shared" si="475"/>
        <v>P&amp;L</v>
      </c>
    </row>
    <row r="7563" spans="1:13">
      <c r="A7563" s="33" t="str">
        <f t="shared" si="472"/>
        <v>SCL - CGS</v>
      </c>
      <c r="B7563" s="33" t="str">
        <f t="shared" si="473"/>
        <v>SCL</v>
      </c>
      <c r="C7563" s="33" t="str">
        <f t="shared" si="474"/>
        <v>50100-7401</v>
      </c>
      <c r="D7563" s="64" t="s">
        <v>8812</v>
      </c>
      <c r="E7563" s="64" t="s">
        <v>2907</v>
      </c>
      <c r="F7563" s="64" t="s">
        <v>15</v>
      </c>
      <c r="G7563" s="64" t="s">
        <v>2889</v>
      </c>
      <c r="H7563" s="64" t="s">
        <v>1875</v>
      </c>
      <c r="I7563" s="64" t="s">
        <v>2908</v>
      </c>
      <c r="J7563" s="67">
        <v>24390.1</v>
      </c>
      <c r="K7563" s="62">
        <v>222759.24</v>
      </c>
      <c r="L7563" s="33" t="e">
        <f>HLOOKUP(B7563,#REF!,1,0)</f>
        <v>#REF!</v>
      </c>
      <c r="M7563" s="33" t="str">
        <f t="shared" si="475"/>
        <v>P&amp;L</v>
      </c>
    </row>
    <row r="7564" spans="1:13">
      <c r="A7564" s="33" t="str">
        <f t="shared" si="472"/>
        <v>SCL - CGS</v>
      </c>
      <c r="B7564" s="33" t="str">
        <f t="shared" si="473"/>
        <v>SCL</v>
      </c>
      <c r="C7564" s="33" t="str">
        <f t="shared" si="474"/>
        <v>50100-7402</v>
      </c>
      <c r="D7564" s="64" t="s">
        <v>8813</v>
      </c>
      <c r="E7564" s="64" t="s">
        <v>2907</v>
      </c>
      <c r="F7564" s="64" t="s">
        <v>15</v>
      </c>
      <c r="G7564" s="64" t="s">
        <v>2889</v>
      </c>
      <c r="H7564" s="64" t="s">
        <v>1875</v>
      </c>
      <c r="I7564" s="64" t="s">
        <v>2908</v>
      </c>
      <c r="J7564" s="67">
        <v>27644.57</v>
      </c>
      <c r="K7564" s="62">
        <v>258767.02</v>
      </c>
      <c r="L7564" s="33" t="e">
        <f>HLOOKUP(B7564,#REF!,1,0)</f>
        <v>#REF!</v>
      </c>
      <c r="M7564" s="33" t="str">
        <f t="shared" si="475"/>
        <v>P&amp;L</v>
      </c>
    </row>
    <row r="7565" spans="1:13">
      <c r="A7565" s="33" t="str">
        <f t="shared" si="472"/>
        <v>SCL - CGS</v>
      </c>
      <c r="B7565" s="33" t="str">
        <f t="shared" si="473"/>
        <v>SCL</v>
      </c>
      <c r="C7565" s="33" t="str">
        <f t="shared" si="474"/>
        <v>50100-7403</v>
      </c>
      <c r="D7565" s="64" t="s">
        <v>8814</v>
      </c>
      <c r="E7565" s="64" t="s">
        <v>2907</v>
      </c>
      <c r="F7565" s="64" t="s">
        <v>15</v>
      </c>
      <c r="G7565" s="64" t="s">
        <v>2889</v>
      </c>
      <c r="H7565" s="64" t="s">
        <v>1875</v>
      </c>
      <c r="I7565" s="64" t="s">
        <v>2908</v>
      </c>
      <c r="J7565" s="67">
        <v>27417.66</v>
      </c>
      <c r="K7565" s="62">
        <v>267587.77</v>
      </c>
      <c r="L7565" s="33" t="e">
        <f>HLOOKUP(B7565,#REF!,1,0)</f>
        <v>#REF!</v>
      </c>
      <c r="M7565" s="33" t="str">
        <f t="shared" si="475"/>
        <v>P&amp;L</v>
      </c>
    </row>
    <row r="7566" spans="1:13">
      <c r="A7566" s="33" t="str">
        <f t="shared" si="472"/>
        <v>SCL - CGS</v>
      </c>
      <c r="B7566" s="33" t="str">
        <f t="shared" si="473"/>
        <v>SCL</v>
      </c>
      <c r="C7566" s="33" t="str">
        <f t="shared" si="474"/>
        <v>50100-7489</v>
      </c>
      <c r="D7566" s="64" t="s">
        <v>8815</v>
      </c>
      <c r="E7566" s="64" t="s">
        <v>2907</v>
      </c>
      <c r="F7566" s="64" t="s">
        <v>15</v>
      </c>
      <c r="G7566" s="64" t="s">
        <v>2889</v>
      </c>
      <c r="H7566" s="64" t="s">
        <v>1875</v>
      </c>
      <c r="I7566" s="64" t="s">
        <v>2908</v>
      </c>
      <c r="J7566" s="67">
        <v>40598.19</v>
      </c>
      <c r="K7566" s="62">
        <v>372724.82</v>
      </c>
      <c r="L7566" s="33" t="e">
        <f>HLOOKUP(B7566,#REF!,1,0)</f>
        <v>#REF!</v>
      </c>
      <c r="M7566" s="33" t="str">
        <f t="shared" si="475"/>
        <v>P&amp;L</v>
      </c>
    </row>
    <row r="7567" spans="1:13">
      <c r="A7567" s="33" t="str">
        <f t="shared" si="472"/>
        <v>SCL - CGS</v>
      </c>
      <c r="B7567" s="33" t="str">
        <f t="shared" si="473"/>
        <v>SCL</v>
      </c>
      <c r="C7567" s="33" t="str">
        <f t="shared" si="474"/>
        <v>50100-7491</v>
      </c>
      <c r="D7567" s="64" t="s">
        <v>8816</v>
      </c>
      <c r="E7567" s="64" t="s">
        <v>2907</v>
      </c>
      <c r="F7567" s="64" t="s">
        <v>15</v>
      </c>
      <c r="G7567" s="64" t="s">
        <v>2889</v>
      </c>
      <c r="H7567" s="64" t="s">
        <v>1875</v>
      </c>
      <c r="I7567" s="64" t="s">
        <v>2908</v>
      </c>
      <c r="J7567" s="67">
        <v>23135.03</v>
      </c>
      <c r="K7567" s="62">
        <v>205151.54</v>
      </c>
      <c r="L7567" s="33" t="e">
        <f>HLOOKUP(B7567,#REF!,1,0)</f>
        <v>#REF!</v>
      </c>
      <c r="M7567" s="33" t="str">
        <f t="shared" si="475"/>
        <v>P&amp;L</v>
      </c>
    </row>
    <row r="7568" spans="1:13">
      <c r="A7568" s="33" t="str">
        <f t="shared" si="472"/>
        <v>SCL - CGS</v>
      </c>
      <c r="B7568" s="33" t="str">
        <f t="shared" si="473"/>
        <v>SCL</v>
      </c>
      <c r="C7568" s="33" t="str">
        <f t="shared" si="474"/>
        <v>50100-7492</v>
      </c>
      <c r="D7568" s="64" t="s">
        <v>8817</v>
      </c>
      <c r="E7568" s="64" t="s">
        <v>2907</v>
      </c>
      <c r="F7568" s="64" t="s">
        <v>15</v>
      </c>
      <c r="G7568" s="64" t="s">
        <v>2889</v>
      </c>
      <c r="H7568" s="64" t="s">
        <v>1875</v>
      </c>
      <c r="I7568" s="64" t="s">
        <v>2908</v>
      </c>
      <c r="J7568" s="67">
        <v>25378.62</v>
      </c>
      <c r="K7568" s="62">
        <v>226951.06</v>
      </c>
      <c r="L7568" s="33" t="e">
        <f>HLOOKUP(B7568,#REF!,1,0)</f>
        <v>#REF!</v>
      </c>
      <c r="M7568" s="33" t="str">
        <f t="shared" si="475"/>
        <v>P&amp;L</v>
      </c>
    </row>
    <row r="7569" spans="1:13">
      <c r="A7569" s="33" t="str">
        <f t="shared" si="472"/>
        <v>SCL - CGS</v>
      </c>
      <c r="B7569" s="33" t="str">
        <f t="shared" si="473"/>
        <v>SCL</v>
      </c>
      <c r="C7569" s="33" t="str">
        <f t="shared" si="474"/>
        <v>50100-7493</v>
      </c>
      <c r="D7569" s="64" t="s">
        <v>8818</v>
      </c>
      <c r="E7569" s="64" t="s">
        <v>2907</v>
      </c>
      <c r="F7569" s="64" t="s">
        <v>15</v>
      </c>
      <c r="G7569" s="64" t="s">
        <v>2889</v>
      </c>
      <c r="H7569" s="64" t="s">
        <v>1875</v>
      </c>
      <c r="I7569" s="64" t="s">
        <v>2908</v>
      </c>
      <c r="J7569" s="67">
        <v>34848.83</v>
      </c>
      <c r="K7569" s="62">
        <v>322958.01</v>
      </c>
      <c r="L7569" s="33" t="e">
        <f>HLOOKUP(B7569,#REF!,1,0)</f>
        <v>#REF!</v>
      </c>
      <c r="M7569" s="33" t="str">
        <f t="shared" si="475"/>
        <v>P&amp;L</v>
      </c>
    </row>
    <row r="7570" spans="1:13">
      <c r="A7570" s="33" t="str">
        <f t="shared" si="472"/>
        <v>SCL - CGS</v>
      </c>
      <c r="B7570" s="33" t="str">
        <f t="shared" si="473"/>
        <v>SCL</v>
      </c>
      <c r="C7570" s="33" t="str">
        <f t="shared" si="474"/>
        <v>50100-7494</v>
      </c>
      <c r="D7570" s="64" t="s">
        <v>8819</v>
      </c>
      <c r="E7570" s="64" t="s">
        <v>2907</v>
      </c>
      <c r="F7570" s="64" t="s">
        <v>15</v>
      </c>
      <c r="G7570" s="64" t="s">
        <v>2889</v>
      </c>
      <c r="H7570" s="64" t="s">
        <v>1875</v>
      </c>
      <c r="I7570" s="64" t="s">
        <v>2908</v>
      </c>
      <c r="J7570" s="67">
        <v>25793.25</v>
      </c>
      <c r="K7570" s="62">
        <v>238948.94</v>
      </c>
      <c r="L7570" s="33" t="e">
        <f>HLOOKUP(B7570,#REF!,1,0)</f>
        <v>#REF!</v>
      </c>
      <c r="M7570" s="33" t="str">
        <f t="shared" si="475"/>
        <v>P&amp;L</v>
      </c>
    </row>
    <row r="7571" spans="1:13">
      <c r="A7571" s="33" t="str">
        <f t="shared" si="472"/>
        <v>SCL - CGS</v>
      </c>
      <c r="B7571" s="33" t="str">
        <f t="shared" si="473"/>
        <v>SCL</v>
      </c>
      <c r="C7571" s="33" t="str">
        <f t="shared" si="474"/>
        <v>50100-7625</v>
      </c>
      <c r="D7571" s="64" t="s">
        <v>8820</v>
      </c>
      <c r="E7571" s="64" t="s">
        <v>2907</v>
      </c>
      <c r="F7571" s="64" t="s">
        <v>15</v>
      </c>
      <c r="G7571" s="64" t="s">
        <v>2889</v>
      </c>
      <c r="H7571" s="64" t="s">
        <v>1875</v>
      </c>
      <c r="I7571" s="64" t="s">
        <v>2908</v>
      </c>
      <c r="J7571" s="67">
        <v>34051.93</v>
      </c>
      <c r="K7571" s="62">
        <v>323874.56</v>
      </c>
      <c r="L7571" s="33" t="e">
        <f>HLOOKUP(B7571,#REF!,1,0)</f>
        <v>#REF!</v>
      </c>
      <c r="M7571" s="33" t="str">
        <f t="shared" si="475"/>
        <v>P&amp;L</v>
      </c>
    </row>
    <row r="7572" spans="1:13">
      <c r="A7572" s="33" t="str">
        <f t="shared" si="472"/>
        <v>SCL - CGS</v>
      </c>
      <c r="B7572" s="33" t="str">
        <f t="shared" si="473"/>
        <v>SCL</v>
      </c>
      <c r="C7572" s="33" t="str">
        <f t="shared" si="474"/>
        <v>50100-8150</v>
      </c>
      <c r="D7572" s="64" t="s">
        <v>8821</v>
      </c>
      <c r="E7572" s="64" t="s">
        <v>2907</v>
      </c>
      <c r="F7572" s="64" t="s">
        <v>15</v>
      </c>
      <c r="G7572" s="64" t="s">
        <v>2889</v>
      </c>
      <c r="H7572" s="64" t="s">
        <v>1875</v>
      </c>
      <c r="I7572" s="64" t="s">
        <v>2908</v>
      </c>
      <c r="J7572" s="67">
        <v>28666.83</v>
      </c>
      <c r="K7572" s="62">
        <v>275884.34</v>
      </c>
      <c r="L7572" s="33" t="e">
        <f>HLOOKUP(B7572,#REF!,1,0)</f>
        <v>#REF!</v>
      </c>
      <c r="M7572" s="33" t="str">
        <f t="shared" si="475"/>
        <v>P&amp;L</v>
      </c>
    </row>
    <row r="7573" spans="1:13">
      <c r="A7573" s="33" t="str">
        <f t="shared" si="472"/>
        <v>SCL - CGS</v>
      </c>
      <c r="B7573" s="33" t="str">
        <f t="shared" si="473"/>
        <v>SCL</v>
      </c>
      <c r="C7573" s="33" t="str">
        <f t="shared" si="474"/>
        <v>51001-7351</v>
      </c>
      <c r="D7573" s="64" t="s">
        <v>8822</v>
      </c>
      <c r="E7573" s="64" t="s">
        <v>2914</v>
      </c>
      <c r="F7573" s="64" t="s">
        <v>15</v>
      </c>
      <c r="G7573" s="64" t="s">
        <v>2889</v>
      </c>
      <c r="H7573" s="64" t="s">
        <v>1875</v>
      </c>
      <c r="I7573" s="64" t="s">
        <v>2915</v>
      </c>
      <c r="J7573" s="67">
        <v>1467.11</v>
      </c>
      <c r="K7573" s="62">
        <v>21897.05</v>
      </c>
      <c r="L7573" s="33" t="e">
        <f>HLOOKUP(B7573,#REF!,1,0)</f>
        <v>#REF!</v>
      </c>
      <c r="M7573" s="33" t="str">
        <f t="shared" si="475"/>
        <v>P&amp;L</v>
      </c>
    </row>
    <row r="7574" spans="1:13">
      <c r="A7574" s="33" t="str">
        <f t="shared" si="472"/>
        <v>SCL - CGS</v>
      </c>
      <c r="B7574" s="33" t="str">
        <f t="shared" si="473"/>
        <v>SCL</v>
      </c>
      <c r="C7574" s="33" t="str">
        <f t="shared" si="474"/>
        <v>51001-7352</v>
      </c>
      <c r="D7574" s="64" t="s">
        <v>8823</v>
      </c>
      <c r="E7574" s="64" t="s">
        <v>2914</v>
      </c>
      <c r="F7574" s="64" t="s">
        <v>15</v>
      </c>
      <c r="G7574" s="64" t="s">
        <v>2889</v>
      </c>
      <c r="H7574" s="64" t="s">
        <v>1875</v>
      </c>
      <c r="I7574" s="64" t="s">
        <v>2915</v>
      </c>
      <c r="J7574" s="67">
        <v>1241.13</v>
      </c>
      <c r="K7574" s="62">
        <v>18895.85</v>
      </c>
      <c r="L7574" s="33" t="e">
        <f>HLOOKUP(B7574,#REF!,1,0)</f>
        <v>#REF!</v>
      </c>
      <c r="M7574" s="33" t="str">
        <f t="shared" si="475"/>
        <v>P&amp;L</v>
      </c>
    </row>
    <row r="7575" spans="1:13">
      <c r="A7575" s="33" t="str">
        <f t="shared" si="472"/>
        <v>SCL - CGS</v>
      </c>
      <c r="B7575" s="33" t="str">
        <f t="shared" si="473"/>
        <v>SCL</v>
      </c>
      <c r="C7575" s="33" t="str">
        <f t="shared" si="474"/>
        <v>51001-7355</v>
      </c>
      <c r="D7575" s="64" t="s">
        <v>8824</v>
      </c>
      <c r="E7575" s="64" t="s">
        <v>2914</v>
      </c>
      <c r="F7575" s="64" t="s">
        <v>15</v>
      </c>
      <c r="G7575" s="64" t="s">
        <v>2889</v>
      </c>
      <c r="H7575" s="64" t="s">
        <v>1875</v>
      </c>
      <c r="I7575" s="64" t="s">
        <v>2915</v>
      </c>
      <c r="J7575" s="67">
        <v>1803.22</v>
      </c>
      <c r="K7575" s="62">
        <v>22488.22</v>
      </c>
      <c r="L7575" s="33" t="e">
        <f>HLOOKUP(B7575,#REF!,1,0)</f>
        <v>#REF!</v>
      </c>
      <c r="M7575" s="33" t="str">
        <f t="shared" si="475"/>
        <v>P&amp;L</v>
      </c>
    </row>
    <row r="7576" spans="1:13">
      <c r="A7576" s="33" t="str">
        <f t="shared" si="472"/>
        <v>SCL - CGS</v>
      </c>
      <c r="B7576" s="33" t="str">
        <f t="shared" si="473"/>
        <v>SCL</v>
      </c>
      <c r="C7576" s="33" t="str">
        <f t="shared" si="474"/>
        <v>51001-7356</v>
      </c>
      <c r="D7576" s="64" t="s">
        <v>8825</v>
      </c>
      <c r="E7576" s="64" t="s">
        <v>2914</v>
      </c>
      <c r="F7576" s="64" t="s">
        <v>15</v>
      </c>
      <c r="G7576" s="64" t="s">
        <v>2889</v>
      </c>
      <c r="H7576" s="64" t="s">
        <v>1875</v>
      </c>
      <c r="I7576" s="64" t="s">
        <v>2915</v>
      </c>
      <c r="J7576" s="67">
        <v>0</v>
      </c>
      <c r="K7576" s="62">
        <v>1395.06</v>
      </c>
      <c r="L7576" s="33" t="e">
        <f>HLOOKUP(B7576,#REF!,1,0)</f>
        <v>#REF!</v>
      </c>
      <c r="M7576" s="33" t="str">
        <f t="shared" si="475"/>
        <v>P&amp;L</v>
      </c>
    </row>
    <row r="7577" spans="1:13">
      <c r="A7577" s="33" t="str">
        <f t="shared" si="472"/>
        <v>SCL - CGS</v>
      </c>
      <c r="B7577" s="33" t="str">
        <f t="shared" si="473"/>
        <v>SCL</v>
      </c>
      <c r="C7577" s="33" t="str">
        <f t="shared" si="474"/>
        <v>51001-7359</v>
      </c>
      <c r="D7577" s="64" t="s">
        <v>8826</v>
      </c>
      <c r="E7577" s="64" t="s">
        <v>2914</v>
      </c>
      <c r="F7577" s="64" t="s">
        <v>15</v>
      </c>
      <c r="G7577" s="64" t="s">
        <v>2889</v>
      </c>
      <c r="H7577" s="64" t="s">
        <v>1875</v>
      </c>
      <c r="I7577" s="64" t="s">
        <v>2915</v>
      </c>
      <c r="J7577" s="67">
        <v>1348.35</v>
      </c>
      <c r="K7577" s="62">
        <v>16808.08</v>
      </c>
      <c r="L7577" s="33" t="e">
        <f>HLOOKUP(B7577,#REF!,1,0)</f>
        <v>#REF!</v>
      </c>
      <c r="M7577" s="33" t="str">
        <f t="shared" si="475"/>
        <v>P&amp;L</v>
      </c>
    </row>
    <row r="7578" spans="1:13">
      <c r="A7578" s="33" t="str">
        <f t="shared" si="472"/>
        <v>SCL - CGS</v>
      </c>
      <c r="B7578" s="33" t="str">
        <f t="shared" si="473"/>
        <v>SCL</v>
      </c>
      <c r="C7578" s="33" t="str">
        <f t="shared" si="474"/>
        <v>51001-7360</v>
      </c>
      <c r="D7578" s="64" t="s">
        <v>8827</v>
      </c>
      <c r="E7578" s="64" t="s">
        <v>2914</v>
      </c>
      <c r="F7578" s="64" t="s">
        <v>15</v>
      </c>
      <c r="G7578" s="64" t="s">
        <v>2889</v>
      </c>
      <c r="H7578" s="64" t="s">
        <v>1875</v>
      </c>
      <c r="I7578" s="64" t="s">
        <v>2915</v>
      </c>
      <c r="J7578" s="67">
        <v>2189.61</v>
      </c>
      <c r="K7578" s="62">
        <v>23359.29</v>
      </c>
      <c r="L7578" s="33" t="e">
        <f>HLOOKUP(B7578,#REF!,1,0)</f>
        <v>#REF!</v>
      </c>
      <c r="M7578" s="33" t="str">
        <f t="shared" si="475"/>
        <v>P&amp;L</v>
      </c>
    </row>
    <row r="7579" spans="1:13">
      <c r="A7579" s="33" t="str">
        <f t="shared" si="472"/>
        <v>SCL - CGS</v>
      </c>
      <c r="B7579" s="33" t="str">
        <f t="shared" si="473"/>
        <v>SCL</v>
      </c>
      <c r="C7579" s="33" t="str">
        <f t="shared" si="474"/>
        <v>51001-7361</v>
      </c>
      <c r="D7579" s="64" t="s">
        <v>8828</v>
      </c>
      <c r="E7579" s="64" t="s">
        <v>2914</v>
      </c>
      <c r="F7579" s="64" t="s">
        <v>15</v>
      </c>
      <c r="G7579" s="64" t="s">
        <v>2889</v>
      </c>
      <c r="H7579" s="64" t="s">
        <v>1875</v>
      </c>
      <c r="I7579" s="64" t="s">
        <v>2915</v>
      </c>
      <c r="J7579" s="67">
        <v>1863.54</v>
      </c>
      <c r="K7579" s="62">
        <v>21466.86</v>
      </c>
      <c r="L7579" s="33" t="e">
        <f>HLOOKUP(B7579,#REF!,1,0)</f>
        <v>#REF!</v>
      </c>
      <c r="M7579" s="33" t="str">
        <f t="shared" si="475"/>
        <v>P&amp;L</v>
      </c>
    </row>
    <row r="7580" spans="1:13">
      <c r="A7580" s="33" t="str">
        <f t="shared" si="472"/>
        <v>SCL - CGS</v>
      </c>
      <c r="B7580" s="33" t="str">
        <f t="shared" si="473"/>
        <v>SCL</v>
      </c>
      <c r="C7580" s="33" t="str">
        <f t="shared" si="474"/>
        <v>51001-7362</v>
      </c>
      <c r="D7580" s="64" t="s">
        <v>8829</v>
      </c>
      <c r="E7580" s="64" t="s">
        <v>2914</v>
      </c>
      <c r="F7580" s="64" t="s">
        <v>15</v>
      </c>
      <c r="G7580" s="64" t="s">
        <v>2889</v>
      </c>
      <c r="H7580" s="64" t="s">
        <v>1875</v>
      </c>
      <c r="I7580" s="64" t="s">
        <v>2915</v>
      </c>
      <c r="J7580" s="67">
        <v>1979.38</v>
      </c>
      <c r="K7580" s="62">
        <v>14307.51</v>
      </c>
      <c r="L7580" s="33" t="e">
        <f>HLOOKUP(B7580,#REF!,1,0)</f>
        <v>#REF!</v>
      </c>
      <c r="M7580" s="33" t="str">
        <f t="shared" si="475"/>
        <v>P&amp;L</v>
      </c>
    </row>
    <row r="7581" spans="1:13">
      <c r="A7581" s="33" t="str">
        <f t="shared" si="472"/>
        <v>SCL - CGS</v>
      </c>
      <c r="B7581" s="33" t="str">
        <f t="shared" si="473"/>
        <v>SCL</v>
      </c>
      <c r="C7581" s="33" t="str">
        <f t="shared" si="474"/>
        <v>51001-7363</v>
      </c>
      <c r="D7581" s="64" t="s">
        <v>8830</v>
      </c>
      <c r="E7581" s="64" t="s">
        <v>2914</v>
      </c>
      <c r="F7581" s="64" t="s">
        <v>15</v>
      </c>
      <c r="G7581" s="64" t="s">
        <v>2889</v>
      </c>
      <c r="H7581" s="64" t="s">
        <v>1875</v>
      </c>
      <c r="I7581" s="64" t="s">
        <v>2915</v>
      </c>
      <c r="J7581" s="67">
        <v>1425.12</v>
      </c>
      <c r="K7581" s="62">
        <v>17283.45</v>
      </c>
      <c r="L7581" s="33" t="e">
        <f>HLOOKUP(B7581,#REF!,1,0)</f>
        <v>#REF!</v>
      </c>
      <c r="M7581" s="33" t="str">
        <f t="shared" si="475"/>
        <v>P&amp;L</v>
      </c>
    </row>
    <row r="7582" spans="1:13">
      <c r="A7582" s="33" t="str">
        <f t="shared" si="472"/>
        <v>SCL - CGS</v>
      </c>
      <c r="B7582" s="33" t="str">
        <f t="shared" si="473"/>
        <v>SCL</v>
      </c>
      <c r="C7582" s="33" t="str">
        <f t="shared" si="474"/>
        <v>51001-7364</v>
      </c>
      <c r="D7582" s="64" t="s">
        <v>8831</v>
      </c>
      <c r="E7582" s="64" t="s">
        <v>2914</v>
      </c>
      <c r="F7582" s="64" t="s">
        <v>15</v>
      </c>
      <c r="G7582" s="64" t="s">
        <v>2889</v>
      </c>
      <c r="H7582" s="64" t="s">
        <v>1875</v>
      </c>
      <c r="I7582" s="64" t="s">
        <v>2915</v>
      </c>
      <c r="J7582" s="67">
        <v>633.57</v>
      </c>
      <c r="K7582" s="62">
        <v>10121.96</v>
      </c>
      <c r="L7582" s="33" t="e">
        <f>HLOOKUP(B7582,#REF!,1,0)</f>
        <v>#REF!</v>
      </c>
      <c r="M7582" s="33" t="str">
        <f t="shared" si="475"/>
        <v>P&amp;L</v>
      </c>
    </row>
    <row r="7583" spans="1:13">
      <c r="A7583" s="33" t="str">
        <f t="shared" si="472"/>
        <v>SCL - CGS</v>
      </c>
      <c r="B7583" s="33" t="str">
        <f t="shared" si="473"/>
        <v>SCL</v>
      </c>
      <c r="C7583" s="33" t="str">
        <f t="shared" si="474"/>
        <v>51001-7365</v>
      </c>
      <c r="D7583" s="64" t="s">
        <v>8832</v>
      </c>
      <c r="E7583" s="64" t="s">
        <v>2914</v>
      </c>
      <c r="F7583" s="64" t="s">
        <v>15</v>
      </c>
      <c r="G7583" s="64" t="s">
        <v>2889</v>
      </c>
      <c r="H7583" s="64" t="s">
        <v>1875</v>
      </c>
      <c r="I7583" s="64" t="s">
        <v>2915</v>
      </c>
      <c r="J7583" s="67">
        <v>1129.73</v>
      </c>
      <c r="K7583" s="62">
        <v>15941.81</v>
      </c>
      <c r="L7583" s="33" t="e">
        <f>HLOOKUP(B7583,#REF!,1,0)</f>
        <v>#REF!</v>
      </c>
      <c r="M7583" s="33" t="str">
        <f t="shared" si="475"/>
        <v>P&amp;L</v>
      </c>
    </row>
    <row r="7584" spans="1:13">
      <c r="A7584" s="33" t="str">
        <f t="shared" si="472"/>
        <v>SCL - CGS</v>
      </c>
      <c r="B7584" s="33" t="str">
        <f t="shared" si="473"/>
        <v>SCL</v>
      </c>
      <c r="C7584" s="33" t="str">
        <f t="shared" si="474"/>
        <v>51001-7366</v>
      </c>
      <c r="D7584" s="64" t="s">
        <v>8833</v>
      </c>
      <c r="E7584" s="64" t="s">
        <v>2914</v>
      </c>
      <c r="F7584" s="64" t="s">
        <v>15</v>
      </c>
      <c r="G7584" s="64" t="s">
        <v>2889</v>
      </c>
      <c r="H7584" s="64" t="s">
        <v>1875</v>
      </c>
      <c r="I7584" s="64" t="s">
        <v>2915</v>
      </c>
      <c r="J7584" s="67">
        <v>2701.34</v>
      </c>
      <c r="K7584" s="62">
        <v>30719.57</v>
      </c>
      <c r="L7584" s="33" t="e">
        <f>HLOOKUP(B7584,#REF!,1,0)</f>
        <v>#REF!</v>
      </c>
      <c r="M7584" s="33" t="str">
        <f t="shared" si="475"/>
        <v>P&amp;L</v>
      </c>
    </row>
    <row r="7585" spans="1:13">
      <c r="A7585" s="33" t="str">
        <f t="shared" si="472"/>
        <v>SCL - CGS</v>
      </c>
      <c r="B7585" s="33" t="str">
        <f t="shared" si="473"/>
        <v>SCL</v>
      </c>
      <c r="C7585" s="33" t="str">
        <f t="shared" si="474"/>
        <v>51001-7368</v>
      </c>
      <c r="D7585" s="64" t="s">
        <v>8834</v>
      </c>
      <c r="E7585" s="64" t="s">
        <v>2914</v>
      </c>
      <c r="F7585" s="64" t="s">
        <v>15</v>
      </c>
      <c r="G7585" s="64" t="s">
        <v>2889</v>
      </c>
      <c r="H7585" s="64" t="s">
        <v>1875</v>
      </c>
      <c r="I7585" s="64" t="s">
        <v>2915</v>
      </c>
      <c r="J7585" s="67">
        <v>3004.36</v>
      </c>
      <c r="K7585" s="62">
        <v>36368.58</v>
      </c>
      <c r="L7585" s="33" t="e">
        <f>HLOOKUP(B7585,#REF!,1,0)</f>
        <v>#REF!</v>
      </c>
      <c r="M7585" s="33" t="str">
        <f t="shared" si="475"/>
        <v>P&amp;L</v>
      </c>
    </row>
    <row r="7586" spans="1:13">
      <c r="A7586" s="33" t="str">
        <f t="shared" si="472"/>
        <v>SCL - CGS</v>
      </c>
      <c r="B7586" s="33" t="str">
        <f t="shared" si="473"/>
        <v>SCL</v>
      </c>
      <c r="C7586" s="33" t="str">
        <f t="shared" si="474"/>
        <v>51001-7369</v>
      </c>
      <c r="D7586" s="64" t="s">
        <v>8835</v>
      </c>
      <c r="E7586" s="64" t="s">
        <v>2914</v>
      </c>
      <c r="F7586" s="64" t="s">
        <v>15</v>
      </c>
      <c r="G7586" s="64" t="s">
        <v>2889</v>
      </c>
      <c r="H7586" s="64" t="s">
        <v>1875</v>
      </c>
      <c r="I7586" s="64" t="s">
        <v>2915</v>
      </c>
      <c r="J7586" s="67">
        <v>1316.02</v>
      </c>
      <c r="K7586" s="62">
        <v>16285.95</v>
      </c>
      <c r="L7586" s="33" t="e">
        <f>HLOOKUP(B7586,#REF!,1,0)</f>
        <v>#REF!</v>
      </c>
      <c r="M7586" s="33" t="str">
        <f t="shared" si="475"/>
        <v>P&amp;L</v>
      </c>
    </row>
    <row r="7587" spans="1:13">
      <c r="A7587" s="33" t="str">
        <f t="shared" si="472"/>
        <v>SCL - CGS</v>
      </c>
      <c r="B7587" s="33" t="str">
        <f t="shared" si="473"/>
        <v>SCL</v>
      </c>
      <c r="C7587" s="33" t="str">
        <f t="shared" si="474"/>
        <v>51001-7371</v>
      </c>
      <c r="D7587" s="64" t="s">
        <v>8836</v>
      </c>
      <c r="E7587" s="64" t="s">
        <v>2914</v>
      </c>
      <c r="F7587" s="64" t="s">
        <v>15</v>
      </c>
      <c r="G7587" s="64" t="s">
        <v>2889</v>
      </c>
      <c r="H7587" s="64" t="s">
        <v>1875</v>
      </c>
      <c r="I7587" s="64" t="s">
        <v>2915</v>
      </c>
      <c r="J7587" s="67">
        <v>1451.45</v>
      </c>
      <c r="K7587" s="62">
        <v>18616.54</v>
      </c>
      <c r="L7587" s="33" t="e">
        <f>HLOOKUP(B7587,#REF!,1,0)</f>
        <v>#REF!</v>
      </c>
      <c r="M7587" s="33" t="str">
        <f t="shared" si="475"/>
        <v>P&amp;L</v>
      </c>
    </row>
    <row r="7588" spans="1:13">
      <c r="A7588" s="33" t="str">
        <f t="shared" si="472"/>
        <v>SCL - CGS</v>
      </c>
      <c r="B7588" s="33" t="str">
        <f t="shared" si="473"/>
        <v>SCL</v>
      </c>
      <c r="C7588" s="33" t="str">
        <f t="shared" si="474"/>
        <v>51001-7374</v>
      </c>
      <c r="D7588" s="64" t="s">
        <v>8837</v>
      </c>
      <c r="E7588" s="64" t="s">
        <v>2914</v>
      </c>
      <c r="F7588" s="64" t="s">
        <v>15</v>
      </c>
      <c r="G7588" s="64" t="s">
        <v>2889</v>
      </c>
      <c r="H7588" s="64" t="s">
        <v>1875</v>
      </c>
      <c r="I7588" s="64" t="s">
        <v>2915</v>
      </c>
      <c r="J7588" s="67">
        <v>2685.12</v>
      </c>
      <c r="K7588" s="62">
        <v>24076.93</v>
      </c>
      <c r="L7588" s="33" t="e">
        <f>HLOOKUP(B7588,#REF!,1,0)</f>
        <v>#REF!</v>
      </c>
      <c r="M7588" s="33" t="str">
        <f t="shared" si="475"/>
        <v>P&amp;L</v>
      </c>
    </row>
    <row r="7589" spans="1:13">
      <c r="A7589" s="33" t="str">
        <f t="shared" si="472"/>
        <v>SCL - CGS</v>
      </c>
      <c r="B7589" s="33" t="str">
        <f t="shared" si="473"/>
        <v>SCL</v>
      </c>
      <c r="C7589" s="33" t="str">
        <f t="shared" si="474"/>
        <v>51001-7375</v>
      </c>
      <c r="D7589" s="64" t="s">
        <v>8838</v>
      </c>
      <c r="E7589" s="64" t="s">
        <v>2914</v>
      </c>
      <c r="F7589" s="64" t="s">
        <v>15</v>
      </c>
      <c r="G7589" s="64" t="s">
        <v>2889</v>
      </c>
      <c r="H7589" s="64" t="s">
        <v>1875</v>
      </c>
      <c r="I7589" s="64" t="s">
        <v>2915</v>
      </c>
      <c r="J7589" s="67">
        <v>1984.81</v>
      </c>
      <c r="K7589" s="62">
        <v>20125.01</v>
      </c>
      <c r="L7589" s="33" t="e">
        <f>HLOOKUP(B7589,#REF!,1,0)</f>
        <v>#REF!</v>
      </c>
      <c r="M7589" s="33" t="str">
        <f t="shared" si="475"/>
        <v>P&amp;L</v>
      </c>
    </row>
    <row r="7590" spans="1:13">
      <c r="A7590" s="33" t="str">
        <f t="shared" si="472"/>
        <v>SCL - CGS</v>
      </c>
      <c r="B7590" s="33" t="str">
        <f t="shared" si="473"/>
        <v>SCL</v>
      </c>
      <c r="C7590" s="33" t="str">
        <f t="shared" si="474"/>
        <v>51001-7376</v>
      </c>
      <c r="D7590" s="64" t="s">
        <v>8839</v>
      </c>
      <c r="E7590" s="64" t="s">
        <v>2914</v>
      </c>
      <c r="F7590" s="64" t="s">
        <v>15</v>
      </c>
      <c r="G7590" s="64" t="s">
        <v>2889</v>
      </c>
      <c r="H7590" s="64" t="s">
        <v>1875</v>
      </c>
      <c r="I7590" s="64" t="s">
        <v>2915</v>
      </c>
      <c r="J7590" s="67">
        <v>4346.13</v>
      </c>
      <c r="K7590" s="62">
        <v>50805.04</v>
      </c>
      <c r="L7590" s="33" t="e">
        <f>HLOOKUP(B7590,#REF!,1,0)</f>
        <v>#REF!</v>
      </c>
      <c r="M7590" s="33" t="str">
        <f t="shared" si="475"/>
        <v>P&amp;L</v>
      </c>
    </row>
    <row r="7591" spans="1:13">
      <c r="A7591" s="33" t="str">
        <f t="shared" si="472"/>
        <v>SCL - CGS</v>
      </c>
      <c r="B7591" s="33" t="str">
        <f t="shared" si="473"/>
        <v>SCL</v>
      </c>
      <c r="C7591" s="33" t="str">
        <f t="shared" si="474"/>
        <v>51001-7377</v>
      </c>
      <c r="D7591" s="64" t="s">
        <v>8840</v>
      </c>
      <c r="E7591" s="64" t="s">
        <v>2914</v>
      </c>
      <c r="F7591" s="64" t="s">
        <v>15</v>
      </c>
      <c r="G7591" s="64" t="s">
        <v>2889</v>
      </c>
      <c r="H7591" s="64" t="s">
        <v>1875</v>
      </c>
      <c r="I7591" s="64" t="s">
        <v>2915</v>
      </c>
      <c r="J7591" s="67">
        <v>1930.04</v>
      </c>
      <c r="K7591" s="62">
        <v>20596.23</v>
      </c>
      <c r="L7591" s="33" t="e">
        <f>HLOOKUP(B7591,#REF!,1,0)</f>
        <v>#REF!</v>
      </c>
      <c r="M7591" s="33" t="str">
        <f t="shared" si="475"/>
        <v>P&amp;L</v>
      </c>
    </row>
    <row r="7592" spans="1:13">
      <c r="A7592" s="33" t="str">
        <f t="shared" si="472"/>
        <v>SCL - CGS</v>
      </c>
      <c r="B7592" s="33" t="str">
        <f t="shared" si="473"/>
        <v>SCL</v>
      </c>
      <c r="C7592" s="33" t="str">
        <f t="shared" si="474"/>
        <v>51001-7378</v>
      </c>
      <c r="D7592" s="64" t="s">
        <v>8841</v>
      </c>
      <c r="E7592" s="64" t="s">
        <v>2914</v>
      </c>
      <c r="F7592" s="64" t="s">
        <v>15</v>
      </c>
      <c r="G7592" s="64" t="s">
        <v>2889</v>
      </c>
      <c r="H7592" s="64" t="s">
        <v>1875</v>
      </c>
      <c r="I7592" s="64" t="s">
        <v>2915</v>
      </c>
      <c r="J7592" s="67">
        <v>2813.01</v>
      </c>
      <c r="K7592" s="62">
        <v>31164.42</v>
      </c>
      <c r="L7592" s="33" t="e">
        <f>HLOOKUP(B7592,#REF!,1,0)</f>
        <v>#REF!</v>
      </c>
      <c r="M7592" s="33" t="str">
        <f t="shared" si="475"/>
        <v>P&amp;L</v>
      </c>
    </row>
    <row r="7593" spans="1:13">
      <c r="A7593" s="33" t="str">
        <f t="shared" si="472"/>
        <v>SCL - CGS</v>
      </c>
      <c r="B7593" s="33" t="str">
        <f t="shared" si="473"/>
        <v>SCL</v>
      </c>
      <c r="C7593" s="33" t="str">
        <f t="shared" si="474"/>
        <v>51001-7379</v>
      </c>
      <c r="D7593" s="64" t="s">
        <v>8842</v>
      </c>
      <c r="E7593" s="64" t="s">
        <v>2914</v>
      </c>
      <c r="F7593" s="64" t="s">
        <v>15</v>
      </c>
      <c r="G7593" s="64" t="s">
        <v>2889</v>
      </c>
      <c r="H7593" s="64" t="s">
        <v>1875</v>
      </c>
      <c r="I7593" s="64" t="s">
        <v>2915</v>
      </c>
      <c r="J7593" s="67">
        <v>2122.83</v>
      </c>
      <c r="K7593" s="62">
        <v>27328</v>
      </c>
      <c r="L7593" s="33" t="e">
        <f>HLOOKUP(B7593,#REF!,1,0)</f>
        <v>#REF!</v>
      </c>
      <c r="M7593" s="33" t="str">
        <f t="shared" si="475"/>
        <v>P&amp;L</v>
      </c>
    </row>
    <row r="7594" spans="1:13">
      <c r="A7594" s="33" t="str">
        <f t="shared" si="472"/>
        <v>SCL - CGS</v>
      </c>
      <c r="B7594" s="33" t="str">
        <f t="shared" si="473"/>
        <v>SCL</v>
      </c>
      <c r="C7594" s="33" t="str">
        <f t="shared" si="474"/>
        <v>51001-7380</v>
      </c>
      <c r="D7594" s="64" t="s">
        <v>8843</v>
      </c>
      <c r="E7594" s="64" t="s">
        <v>2914</v>
      </c>
      <c r="F7594" s="64" t="s">
        <v>15</v>
      </c>
      <c r="G7594" s="64" t="s">
        <v>2889</v>
      </c>
      <c r="H7594" s="64" t="s">
        <v>1875</v>
      </c>
      <c r="I7594" s="64" t="s">
        <v>2915</v>
      </c>
      <c r="J7594" s="67">
        <v>1341.21</v>
      </c>
      <c r="K7594" s="62">
        <v>14850.27</v>
      </c>
      <c r="L7594" s="33" t="e">
        <f>HLOOKUP(B7594,#REF!,1,0)</f>
        <v>#REF!</v>
      </c>
      <c r="M7594" s="33" t="str">
        <f t="shared" si="475"/>
        <v>P&amp;L</v>
      </c>
    </row>
    <row r="7595" spans="1:13">
      <c r="A7595" s="33" t="str">
        <f t="shared" si="472"/>
        <v>SCL - CGS</v>
      </c>
      <c r="B7595" s="33" t="str">
        <f t="shared" si="473"/>
        <v>SCL</v>
      </c>
      <c r="C7595" s="33" t="str">
        <f t="shared" si="474"/>
        <v>51001-7381</v>
      </c>
      <c r="D7595" s="64" t="s">
        <v>8844</v>
      </c>
      <c r="E7595" s="64" t="s">
        <v>2914</v>
      </c>
      <c r="F7595" s="64" t="s">
        <v>15</v>
      </c>
      <c r="G7595" s="64" t="s">
        <v>2889</v>
      </c>
      <c r="H7595" s="64" t="s">
        <v>1875</v>
      </c>
      <c r="I7595" s="64" t="s">
        <v>2915</v>
      </c>
      <c r="J7595" s="67">
        <v>2839.94</v>
      </c>
      <c r="K7595" s="62">
        <v>28147.69</v>
      </c>
      <c r="L7595" s="33" t="e">
        <f>HLOOKUP(B7595,#REF!,1,0)</f>
        <v>#REF!</v>
      </c>
      <c r="M7595" s="33" t="str">
        <f t="shared" si="475"/>
        <v>P&amp;L</v>
      </c>
    </row>
    <row r="7596" spans="1:13">
      <c r="A7596" s="33" t="str">
        <f t="shared" si="472"/>
        <v>SCL - CGS</v>
      </c>
      <c r="B7596" s="33" t="str">
        <f t="shared" si="473"/>
        <v>SCL</v>
      </c>
      <c r="C7596" s="33" t="str">
        <f t="shared" si="474"/>
        <v>51001-7383</v>
      </c>
      <c r="D7596" s="64" t="s">
        <v>8845</v>
      </c>
      <c r="E7596" s="64" t="s">
        <v>2914</v>
      </c>
      <c r="F7596" s="64" t="s">
        <v>15</v>
      </c>
      <c r="G7596" s="64" t="s">
        <v>2889</v>
      </c>
      <c r="H7596" s="64" t="s">
        <v>1875</v>
      </c>
      <c r="I7596" s="64" t="s">
        <v>2915</v>
      </c>
      <c r="J7596" s="67">
        <v>2002.7</v>
      </c>
      <c r="K7596" s="62">
        <v>23840.72</v>
      </c>
      <c r="L7596" s="33" t="e">
        <f>HLOOKUP(B7596,#REF!,1,0)</f>
        <v>#REF!</v>
      </c>
      <c r="M7596" s="33" t="str">
        <f t="shared" si="475"/>
        <v>P&amp;L</v>
      </c>
    </row>
    <row r="7597" spans="1:13">
      <c r="A7597" s="33" t="str">
        <f t="shared" si="472"/>
        <v>SCL - CGS</v>
      </c>
      <c r="B7597" s="33" t="str">
        <f t="shared" si="473"/>
        <v>SCL</v>
      </c>
      <c r="C7597" s="33" t="str">
        <f t="shared" si="474"/>
        <v>51001-7385</v>
      </c>
      <c r="D7597" s="64" t="s">
        <v>8846</v>
      </c>
      <c r="E7597" s="64" t="s">
        <v>2914</v>
      </c>
      <c r="F7597" s="64" t="s">
        <v>15</v>
      </c>
      <c r="G7597" s="64" t="s">
        <v>2889</v>
      </c>
      <c r="H7597" s="64" t="s">
        <v>1875</v>
      </c>
      <c r="I7597" s="64" t="s">
        <v>2915</v>
      </c>
      <c r="J7597" s="67">
        <v>1197.38</v>
      </c>
      <c r="K7597" s="62">
        <v>14820.76</v>
      </c>
      <c r="L7597" s="33" t="e">
        <f>HLOOKUP(B7597,#REF!,1,0)</f>
        <v>#REF!</v>
      </c>
      <c r="M7597" s="33" t="str">
        <f t="shared" si="475"/>
        <v>P&amp;L</v>
      </c>
    </row>
    <row r="7598" spans="1:13">
      <c r="A7598" s="33" t="str">
        <f t="shared" si="472"/>
        <v>SCL - CGS</v>
      </c>
      <c r="B7598" s="33" t="str">
        <f t="shared" si="473"/>
        <v>SCL</v>
      </c>
      <c r="C7598" s="33" t="str">
        <f t="shared" si="474"/>
        <v>51001-7386</v>
      </c>
      <c r="D7598" s="64" t="s">
        <v>8847</v>
      </c>
      <c r="E7598" s="64" t="s">
        <v>2914</v>
      </c>
      <c r="F7598" s="64" t="s">
        <v>15</v>
      </c>
      <c r="G7598" s="64" t="s">
        <v>2889</v>
      </c>
      <c r="H7598" s="64" t="s">
        <v>1875</v>
      </c>
      <c r="I7598" s="64" t="s">
        <v>2915</v>
      </c>
      <c r="J7598" s="67">
        <v>1708.48</v>
      </c>
      <c r="K7598" s="62">
        <v>20046.06</v>
      </c>
      <c r="L7598" s="33" t="e">
        <f>HLOOKUP(B7598,#REF!,1,0)</f>
        <v>#REF!</v>
      </c>
      <c r="M7598" s="33" t="str">
        <f t="shared" si="475"/>
        <v>P&amp;L</v>
      </c>
    </row>
    <row r="7599" spans="1:13">
      <c r="A7599" s="33" t="str">
        <f t="shared" si="472"/>
        <v>SCL - CGS</v>
      </c>
      <c r="B7599" s="33" t="str">
        <f t="shared" si="473"/>
        <v>SCL</v>
      </c>
      <c r="C7599" s="33" t="str">
        <f t="shared" si="474"/>
        <v>51001-7387</v>
      </c>
      <c r="D7599" s="64" t="s">
        <v>8848</v>
      </c>
      <c r="E7599" s="64" t="s">
        <v>2914</v>
      </c>
      <c r="F7599" s="64" t="s">
        <v>15</v>
      </c>
      <c r="G7599" s="64" t="s">
        <v>2889</v>
      </c>
      <c r="H7599" s="64" t="s">
        <v>1875</v>
      </c>
      <c r="I7599" s="64" t="s">
        <v>2915</v>
      </c>
      <c r="J7599" s="67">
        <v>2172.19</v>
      </c>
      <c r="K7599" s="62">
        <v>25063.09</v>
      </c>
      <c r="L7599" s="33" t="e">
        <f>HLOOKUP(B7599,#REF!,1,0)</f>
        <v>#REF!</v>
      </c>
      <c r="M7599" s="33" t="str">
        <f t="shared" si="475"/>
        <v>P&amp;L</v>
      </c>
    </row>
    <row r="7600" spans="1:13">
      <c r="A7600" s="33" t="str">
        <f t="shared" si="472"/>
        <v>SCL - CGS</v>
      </c>
      <c r="B7600" s="33" t="str">
        <f t="shared" si="473"/>
        <v>SCL</v>
      </c>
      <c r="C7600" s="33" t="str">
        <f t="shared" si="474"/>
        <v>51001-7389</v>
      </c>
      <c r="D7600" s="64" t="s">
        <v>8849</v>
      </c>
      <c r="E7600" s="64" t="s">
        <v>2914</v>
      </c>
      <c r="F7600" s="64" t="s">
        <v>15</v>
      </c>
      <c r="G7600" s="64" t="s">
        <v>2889</v>
      </c>
      <c r="H7600" s="64" t="s">
        <v>1875</v>
      </c>
      <c r="I7600" s="64" t="s">
        <v>2915</v>
      </c>
      <c r="J7600" s="67">
        <v>2791.41</v>
      </c>
      <c r="K7600" s="62">
        <v>35286.71</v>
      </c>
      <c r="L7600" s="33" t="e">
        <f>HLOOKUP(B7600,#REF!,1,0)</f>
        <v>#REF!</v>
      </c>
      <c r="M7600" s="33" t="str">
        <f t="shared" si="475"/>
        <v>P&amp;L</v>
      </c>
    </row>
    <row r="7601" spans="1:13">
      <c r="A7601" s="33" t="str">
        <f t="shared" si="472"/>
        <v>SCL - CGS</v>
      </c>
      <c r="B7601" s="33" t="str">
        <f t="shared" si="473"/>
        <v>SCL</v>
      </c>
      <c r="C7601" s="33" t="str">
        <f t="shared" si="474"/>
        <v>51001-7391</v>
      </c>
      <c r="D7601" s="64" t="s">
        <v>8850</v>
      </c>
      <c r="E7601" s="64" t="s">
        <v>2914</v>
      </c>
      <c r="F7601" s="64" t="s">
        <v>15</v>
      </c>
      <c r="G7601" s="64" t="s">
        <v>2889</v>
      </c>
      <c r="H7601" s="64" t="s">
        <v>1875</v>
      </c>
      <c r="I7601" s="64" t="s">
        <v>2915</v>
      </c>
      <c r="J7601" s="67">
        <v>2101.56</v>
      </c>
      <c r="K7601" s="62">
        <v>24988.08</v>
      </c>
      <c r="L7601" s="33" t="e">
        <f>HLOOKUP(B7601,#REF!,1,0)</f>
        <v>#REF!</v>
      </c>
      <c r="M7601" s="33" t="str">
        <f t="shared" si="475"/>
        <v>P&amp;L</v>
      </c>
    </row>
    <row r="7602" spans="1:13">
      <c r="A7602" s="33" t="str">
        <f t="shared" si="472"/>
        <v>SCL - CGS</v>
      </c>
      <c r="B7602" s="33" t="str">
        <f t="shared" si="473"/>
        <v>SCL</v>
      </c>
      <c r="C7602" s="33" t="str">
        <f t="shared" si="474"/>
        <v>51001-7393</v>
      </c>
      <c r="D7602" s="64" t="s">
        <v>8851</v>
      </c>
      <c r="E7602" s="64" t="s">
        <v>2914</v>
      </c>
      <c r="F7602" s="64" t="s">
        <v>15</v>
      </c>
      <c r="G7602" s="64" t="s">
        <v>2889</v>
      </c>
      <c r="H7602" s="64" t="s">
        <v>1875</v>
      </c>
      <c r="I7602" s="64" t="s">
        <v>2915</v>
      </c>
      <c r="J7602" s="67">
        <v>1605.64</v>
      </c>
      <c r="K7602" s="62">
        <v>17615.11</v>
      </c>
      <c r="L7602" s="33" t="e">
        <f>HLOOKUP(B7602,#REF!,1,0)</f>
        <v>#REF!</v>
      </c>
      <c r="M7602" s="33" t="str">
        <f t="shared" si="475"/>
        <v>P&amp;L</v>
      </c>
    </row>
    <row r="7603" spans="1:13">
      <c r="A7603" s="33" t="str">
        <f t="shared" si="472"/>
        <v>SCL - CGS</v>
      </c>
      <c r="B7603" s="33" t="str">
        <f t="shared" si="473"/>
        <v>SCL</v>
      </c>
      <c r="C7603" s="33" t="str">
        <f t="shared" si="474"/>
        <v>51001-7394</v>
      </c>
      <c r="D7603" s="64" t="s">
        <v>8852</v>
      </c>
      <c r="E7603" s="64" t="s">
        <v>2914</v>
      </c>
      <c r="F7603" s="64" t="s">
        <v>15</v>
      </c>
      <c r="G7603" s="64" t="s">
        <v>2889</v>
      </c>
      <c r="H7603" s="64" t="s">
        <v>1875</v>
      </c>
      <c r="I7603" s="64" t="s">
        <v>2915</v>
      </c>
      <c r="J7603" s="67">
        <v>1019.05</v>
      </c>
      <c r="K7603" s="62">
        <v>17960.96</v>
      </c>
      <c r="L7603" s="33" t="e">
        <f>HLOOKUP(B7603,#REF!,1,0)</f>
        <v>#REF!</v>
      </c>
      <c r="M7603" s="33" t="str">
        <f t="shared" si="475"/>
        <v>P&amp;L</v>
      </c>
    </row>
    <row r="7604" spans="1:13">
      <c r="A7604" s="33" t="str">
        <f t="shared" si="472"/>
        <v>SCL - CGS</v>
      </c>
      <c r="B7604" s="33" t="str">
        <f t="shared" si="473"/>
        <v>SCL</v>
      </c>
      <c r="C7604" s="33" t="str">
        <f t="shared" si="474"/>
        <v>51001-7396</v>
      </c>
      <c r="D7604" s="64" t="s">
        <v>8853</v>
      </c>
      <c r="E7604" s="64" t="s">
        <v>2914</v>
      </c>
      <c r="F7604" s="64" t="s">
        <v>15</v>
      </c>
      <c r="G7604" s="64" t="s">
        <v>2889</v>
      </c>
      <c r="H7604" s="64" t="s">
        <v>1875</v>
      </c>
      <c r="I7604" s="64" t="s">
        <v>2915</v>
      </c>
      <c r="J7604" s="67">
        <v>1816.13</v>
      </c>
      <c r="K7604" s="62">
        <v>19681.51</v>
      </c>
      <c r="L7604" s="33" t="e">
        <f>HLOOKUP(B7604,#REF!,1,0)</f>
        <v>#REF!</v>
      </c>
      <c r="M7604" s="33" t="str">
        <f t="shared" si="475"/>
        <v>P&amp;L</v>
      </c>
    </row>
    <row r="7605" spans="1:13">
      <c r="A7605" s="33" t="str">
        <f t="shared" si="472"/>
        <v>SCL - CGS</v>
      </c>
      <c r="B7605" s="33" t="str">
        <f t="shared" si="473"/>
        <v>SCL</v>
      </c>
      <c r="C7605" s="33" t="str">
        <f t="shared" si="474"/>
        <v>51001-7397</v>
      </c>
      <c r="D7605" s="64" t="s">
        <v>8854</v>
      </c>
      <c r="E7605" s="64" t="s">
        <v>2914</v>
      </c>
      <c r="F7605" s="64" t="s">
        <v>15</v>
      </c>
      <c r="G7605" s="64" t="s">
        <v>2889</v>
      </c>
      <c r="H7605" s="64" t="s">
        <v>1875</v>
      </c>
      <c r="I7605" s="64" t="s">
        <v>2915</v>
      </c>
      <c r="J7605" s="67">
        <v>1686.37</v>
      </c>
      <c r="K7605" s="62">
        <v>21133.17</v>
      </c>
      <c r="L7605" s="33" t="e">
        <f>HLOOKUP(B7605,#REF!,1,0)</f>
        <v>#REF!</v>
      </c>
      <c r="M7605" s="33" t="str">
        <f t="shared" si="475"/>
        <v>P&amp;L</v>
      </c>
    </row>
    <row r="7606" spans="1:13">
      <c r="A7606" s="33" t="str">
        <f t="shared" si="472"/>
        <v>SCL - CGS</v>
      </c>
      <c r="B7606" s="33" t="str">
        <f t="shared" si="473"/>
        <v>SCL</v>
      </c>
      <c r="C7606" s="33" t="str">
        <f t="shared" si="474"/>
        <v>51001-7398</v>
      </c>
      <c r="D7606" s="64" t="s">
        <v>8855</v>
      </c>
      <c r="E7606" s="64" t="s">
        <v>2914</v>
      </c>
      <c r="F7606" s="64" t="s">
        <v>15</v>
      </c>
      <c r="G7606" s="64" t="s">
        <v>2889</v>
      </c>
      <c r="H7606" s="64" t="s">
        <v>1875</v>
      </c>
      <c r="I7606" s="64" t="s">
        <v>2915</v>
      </c>
      <c r="J7606" s="67">
        <v>1598.03</v>
      </c>
      <c r="K7606" s="62">
        <v>21062.51</v>
      </c>
      <c r="L7606" s="33" t="e">
        <f>HLOOKUP(B7606,#REF!,1,0)</f>
        <v>#REF!</v>
      </c>
      <c r="M7606" s="33" t="str">
        <f t="shared" si="475"/>
        <v>P&amp;L</v>
      </c>
    </row>
    <row r="7607" spans="1:13">
      <c r="A7607" s="33" t="str">
        <f t="shared" si="472"/>
        <v>SCL - CGS</v>
      </c>
      <c r="B7607" s="33" t="str">
        <f t="shared" si="473"/>
        <v>SCL</v>
      </c>
      <c r="C7607" s="33" t="str">
        <f t="shared" si="474"/>
        <v>51001-7400</v>
      </c>
      <c r="D7607" s="64" t="s">
        <v>8856</v>
      </c>
      <c r="E7607" s="64" t="s">
        <v>2914</v>
      </c>
      <c r="F7607" s="64" t="s">
        <v>15</v>
      </c>
      <c r="G7607" s="64" t="s">
        <v>2889</v>
      </c>
      <c r="H7607" s="64" t="s">
        <v>1875</v>
      </c>
      <c r="I7607" s="64" t="s">
        <v>2915</v>
      </c>
      <c r="J7607" s="67">
        <v>1506.72</v>
      </c>
      <c r="K7607" s="62">
        <v>18333.2</v>
      </c>
      <c r="L7607" s="33" t="e">
        <f>HLOOKUP(B7607,#REF!,1,0)</f>
        <v>#REF!</v>
      </c>
      <c r="M7607" s="33" t="str">
        <f t="shared" si="475"/>
        <v>P&amp;L</v>
      </c>
    </row>
    <row r="7608" spans="1:13">
      <c r="A7608" s="33" t="str">
        <f t="shared" si="472"/>
        <v>SCL - CGS</v>
      </c>
      <c r="B7608" s="33" t="str">
        <f t="shared" si="473"/>
        <v>SCL</v>
      </c>
      <c r="C7608" s="33" t="str">
        <f t="shared" si="474"/>
        <v>51001-7401</v>
      </c>
      <c r="D7608" s="64" t="s">
        <v>8857</v>
      </c>
      <c r="E7608" s="64" t="s">
        <v>2914</v>
      </c>
      <c r="F7608" s="64" t="s">
        <v>15</v>
      </c>
      <c r="G7608" s="64" t="s">
        <v>2889</v>
      </c>
      <c r="H7608" s="64" t="s">
        <v>1875</v>
      </c>
      <c r="I7608" s="64" t="s">
        <v>2915</v>
      </c>
      <c r="J7608" s="67">
        <v>1503.07</v>
      </c>
      <c r="K7608" s="62">
        <v>19448.48</v>
      </c>
      <c r="L7608" s="33" t="e">
        <f>HLOOKUP(B7608,#REF!,1,0)</f>
        <v>#REF!</v>
      </c>
      <c r="M7608" s="33" t="str">
        <f t="shared" si="475"/>
        <v>P&amp;L</v>
      </c>
    </row>
    <row r="7609" spans="1:13">
      <c r="A7609" s="33" t="str">
        <f t="shared" si="472"/>
        <v>SCL - CGS</v>
      </c>
      <c r="B7609" s="33" t="str">
        <f t="shared" si="473"/>
        <v>SCL</v>
      </c>
      <c r="C7609" s="33" t="str">
        <f t="shared" si="474"/>
        <v>51001-7402</v>
      </c>
      <c r="D7609" s="64" t="s">
        <v>8858</v>
      </c>
      <c r="E7609" s="64" t="s">
        <v>2914</v>
      </c>
      <c r="F7609" s="64" t="s">
        <v>15</v>
      </c>
      <c r="G7609" s="64" t="s">
        <v>2889</v>
      </c>
      <c r="H7609" s="64" t="s">
        <v>1875</v>
      </c>
      <c r="I7609" s="64" t="s">
        <v>2915</v>
      </c>
      <c r="J7609" s="67">
        <v>1835.58</v>
      </c>
      <c r="K7609" s="62">
        <v>21349.46</v>
      </c>
      <c r="L7609" s="33" t="e">
        <f>HLOOKUP(B7609,#REF!,1,0)</f>
        <v>#REF!</v>
      </c>
      <c r="M7609" s="33" t="str">
        <f t="shared" si="475"/>
        <v>P&amp;L</v>
      </c>
    </row>
    <row r="7610" spans="1:13">
      <c r="A7610" s="33" t="str">
        <f t="shared" si="472"/>
        <v>SCL - CGS</v>
      </c>
      <c r="B7610" s="33" t="str">
        <f t="shared" si="473"/>
        <v>SCL</v>
      </c>
      <c r="C7610" s="33" t="str">
        <f t="shared" si="474"/>
        <v>51001-7403</v>
      </c>
      <c r="D7610" s="64" t="s">
        <v>8859</v>
      </c>
      <c r="E7610" s="64" t="s">
        <v>2914</v>
      </c>
      <c r="F7610" s="64" t="s">
        <v>15</v>
      </c>
      <c r="G7610" s="64" t="s">
        <v>2889</v>
      </c>
      <c r="H7610" s="64" t="s">
        <v>1875</v>
      </c>
      <c r="I7610" s="64" t="s">
        <v>2915</v>
      </c>
      <c r="J7610" s="67">
        <v>1860.98</v>
      </c>
      <c r="K7610" s="62">
        <v>24719.2</v>
      </c>
      <c r="L7610" s="33" t="e">
        <f>HLOOKUP(B7610,#REF!,1,0)</f>
        <v>#REF!</v>
      </c>
      <c r="M7610" s="33" t="str">
        <f t="shared" si="475"/>
        <v>P&amp;L</v>
      </c>
    </row>
    <row r="7611" spans="1:13">
      <c r="A7611" s="33" t="str">
        <f t="shared" si="472"/>
        <v>SCL - CGS</v>
      </c>
      <c r="B7611" s="33" t="str">
        <f t="shared" si="473"/>
        <v>SCL</v>
      </c>
      <c r="C7611" s="33" t="str">
        <f t="shared" si="474"/>
        <v>51001-7489</v>
      </c>
      <c r="D7611" s="64" t="s">
        <v>8860</v>
      </c>
      <c r="E7611" s="64" t="s">
        <v>2914</v>
      </c>
      <c r="F7611" s="64" t="s">
        <v>15</v>
      </c>
      <c r="G7611" s="64" t="s">
        <v>2889</v>
      </c>
      <c r="H7611" s="64" t="s">
        <v>1875</v>
      </c>
      <c r="I7611" s="64" t="s">
        <v>2915</v>
      </c>
      <c r="J7611" s="67">
        <v>3278.71</v>
      </c>
      <c r="K7611" s="62">
        <v>32020.19</v>
      </c>
      <c r="L7611" s="33" t="e">
        <f>HLOOKUP(B7611,#REF!,1,0)</f>
        <v>#REF!</v>
      </c>
      <c r="M7611" s="33" t="str">
        <f t="shared" si="475"/>
        <v>P&amp;L</v>
      </c>
    </row>
    <row r="7612" spans="1:13">
      <c r="A7612" s="33" t="str">
        <f t="shared" si="472"/>
        <v>SCL - CGS</v>
      </c>
      <c r="B7612" s="33" t="str">
        <f t="shared" si="473"/>
        <v>SCL</v>
      </c>
      <c r="C7612" s="33" t="str">
        <f t="shared" si="474"/>
        <v>51001-7491</v>
      </c>
      <c r="D7612" s="64" t="s">
        <v>8861</v>
      </c>
      <c r="E7612" s="64" t="s">
        <v>2914</v>
      </c>
      <c r="F7612" s="64" t="s">
        <v>15</v>
      </c>
      <c r="G7612" s="64" t="s">
        <v>2889</v>
      </c>
      <c r="H7612" s="64" t="s">
        <v>1875</v>
      </c>
      <c r="I7612" s="64" t="s">
        <v>2915</v>
      </c>
      <c r="J7612" s="67">
        <v>1875.43</v>
      </c>
      <c r="K7612" s="62">
        <v>17993.3</v>
      </c>
      <c r="L7612" s="33" t="e">
        <f>HLOOKUP(B7612,#REF!,1,0)</f>
        <v>#REF!</v>
      </c>
      <c r="M7612" s="33" t="str">
        <f t="shared" si="475"/>
        <v>P&amp;L</v>
      </c>
    </row>
    <row r="7613" spans="1:13">
      <c r="A7613" s="33" t="str">
        <f t="shared" si="472"/>
        <v>SCL - CGS</v>
      </c>
      <c r="B7613" s="33" t="str">
        <f t="shared" si="473"/>
        <v>SCL</v>
      </c>
      <c r="C7613" s="33" t="str">
        <f t="shared" si="474"/>
        <v>51001-7492</v>
      </c>
      <c r="D7613" s="64" t="s">
        <v>8862</v>
      </c>
      <c r="E7613" s="64" t="s">
        <v>2914</v>
      </c>
      <c r="F7613" s="64" t="s">
        <v>15</v>
      </c>
      <c r="G7613" s="64" t="s">
        <v>2889</v>
      </c>
      <c r="H7613" s="64" t="s">
        <v>1875</v>
      </c>
      <c r="I7613" s="64" t="s">
        <v>2915</v>
      </c>
      <c r="J7613" s="67">
        <v>1677.76</v>
      </c>
      <c r="K7613" s="62">
        <v>20343.83</v>
      </c>
      <c r="L7613" s="33" t="e">
        <f>HLOOKUP(B7613,#REF!,1,0)</f>
        <v>#REF!</v>
      </c>
      <c r="M7613" s="33" t="str">
        <f t="shared" si="475"/>
        <v>P&amp;L</v>
      </c>
    </row>
    <row r="7614" spans="1:13">
      <c r="A7614" s="33" t="str">
        <f t="shared" si="472"/>
        <v>SCL - CGS</v>
      </c>
      <c r="B7614" s="33" t="str">
        <f t="shared" si="473"/>
        <v>SCL</v>
      </c>
      <c r="C7614" s="33" t="str">
        <f t="shared" si="474"/>
        <v>51001-7493</v>
      </c>
      <c r="D7614" s="64" t="s">
        <v>8863</v>
      </c>
      <c r="E7614" s="64" t="s">
        <v>2914</v>
      </c>
      <c r="F7614" s="64" t="s">
        <v>15</v>
      </c>
      <c r="G7614" s="64" t="s">
        <v>2889</v>
      </c>
      <c r="H7614" s="64" t="s">
        <v>1875</v>
      </c>
      <c r="I7614" s="64" t="s">
        <v>2915</v>
      </c>
      <c r="J7614" s="67">
        <v>2079.72</v>
      </c>
      <c r="K7614" s="62">
        <v>28447.91</v>
      </c>
      <c r="L7614" s="33" t="e">
        <f>HLOOKUP(B7614,#REF!,1,0)</f>
        <v>#REF!</v>
      </c>
      <c r="M7614" s="33" t="str">
        <f t="shared" si="475"/>
        <v>P&amp;L</v>
      </c>
    </row>
    <row r="7615" spans="1:13">
      <c r="A7615" s="33" t="str">
        <f t="shared" si="472"/>
        <v>SCL - CGS</v>
      </c>
      <c r="B7615" s="33" t="str">
        <f t="shared" si="473"/>
        <v>SCL</v>
      </c>
      <c r="C7615" s="33" t="str">
        <f t="shared" si="474"/>
        <v>51001-7494</v>
      </c>
      <c r="D7615" s="64" t="s">
        <v>8864</v>
      </c>
      <c r="E7615" s="64" t="s">
        <v>2914</v>
      </c>
      <c r="F7615" s="64" t="s">
        <v>15</v>
      </c>
      <c r="G7615" s="64" t="s">
        <v>2889</v>
      </c>
      <c r="H7615" s="64" t="s">
        <v>1875</v>
      </c>
      <c r="I7615" s="64" t="s">
        <v>2915</v>
      </c>
      <c r="J7615" s="67">
        <v>1656.69</v>
      </c>
      <c r="K7615" s="62">
        <v>19736.28</v>
      </c>
      <c r="L7615" s="33" t="e">
        <f>HLOOKUP(B7615,#REF!,1,0)</f>
        <v>#REF!</v>
      </c>
      <c r="M7615" s="33" t="str">
        <f t="shared" si="475"/>
        <v>P&amp;L</v>
      </c>
    </row>
    <row r="7616" spans="1:13">
      <c r="A7616" s="33" t="str">
        <f t="shared" si="472"/>
        <v>SCL - CGS</v>
      </c>
      <c r="B7616" s="33" t="str">
        <f t="shared" si="473"/>
        <v>SCL</v>
      </c>
      <c r="C7616" s="33" t="str">
        <f t="shared" si="474"/>
        <v>51001-7625</v>
      </c>
      <c r="D7616" s="64" t="s">
        <v>8865</v>
      </c>
      <c r="E7616" s="64" t="s">
        <v>2914</v>
      </c>
      <c r="F7616" s="64" t="s">
        <v>15</v>
      </c>
      <c r="G7616" s="64" t="s">
        <v>2889</v>
      </c>
      <c r="H7616" s="64" t="s">
        <v>1875</v>
      </c>
      <c r="I7616" s="64" t="s">
        <v>2915</v>
      </c>
      <c r="J7616" s="67">
        <v>2309.19</v>
      </c>
      <c r="K7616" s="62">
        <v>26562.53</v>
      </c>
      <c r="L7616" s="33" t="e">
        <f>HLOOKUP(B7616,#REF!,1,0)</f>
        <v>#REF!</v>
      </c>
      <c r="M7616" s="33" t="str">
        <f t="shared" si="475"/>
        <v>P&amp;L</v>
      </c>
    </row>
    <row r="7617" spans="1:13">
      <c r="A7617" s="33" t="str">
        <f t="shared" si="472"/>
        <v>SCL - CGS</v>
      </c>
      <c r="B7617" s="33" t="str">
        <f t="shared" si="473"/>
        <v>SCL</v>
      </c>
      <c r="C7617" s="33" t="str">
        <f t="shared" si="474"/>
        <v>51001-8150</v>
      </c>
      <c r="D7617" s="64" t="s">
        <v>8866</v>
      </c>
      <c r="E7617" s="64" t="s">
        <v>2914</v>
      </c>
      <c r="F7617" s="64" t="s">
        <v>15</v>
      </c>
      <c r="G7617" s="64" t="s">
        <v>2889</v>
      </c>
      <c r="H7617" s="64" t="s">
        <v>1875</v>
      </c>
      <c r="I7617" s="64" t="s">
        <v>2915</v>
      </c>
      <c r="J7617" s="67">
        <v>1427.68</v>
      </c>
      <c r="K7617" s="62">
        <v>19730.66</v>
      </c>
      <c r="L7617" s="33" t="e">
        <f>HLOOKUP(B7617,#REF!,1,0)</f>
        <v>#REF!</v>
      </c>
      <c r="M7617" s="33" t="str">
        <f t="shared" si="475"/>
        <v>P&amp;L</v>
      </c>
    </row>
    <row r="7618" spans="1:13">
      <c r="A7618" s="33" t="str">
        <f t="shared" ref="A7618:A7681" si="476">B7618&amp;" - "&amp;TRIM(H7618)</f>
        <v>SCL - CGS</v>
      </c>
      <c r="B7618" s="33" t="str">
        <f t="shared" ref="B7618:B7681" si="477">LEFT(D7618,3)</f>
        <v>SCL</v>
      </c>
      <c r="C7618" s="33" t="str">
        <f t="shared" ref="C7618:C7681" si="478">RIGHT(D7618,10)</f>
        <v>52001-7351</v>
      </c>
      <c r="D7618" s="64" t="s">
        <v>8867</v>
      </c>
      <c r="E7618" s="64" t="s">
        <v>2920</v>
      </c>
      <c r="F7618" s="64" t="s">
        <v>15</v>
      </c>
      <c r="G7618" s="64" t="s">
        <v>2921</v>
      </c>
      <c r="H7618" s="64" t="s">
        <v>1875</v>
      </c>
      <c r="I7618" s="64" t="s">
        <v>2922</v>
      </c>
      <c r="J7618" s="67">
        <v>19171.93</v>
      </c>
      <c r="K7618" s="62">
        <v>188798.38</v>
      </c>
      <c r="L7618" s="33" t="e">
        <f>HLOOKUP(B7618,#REF!,1,0)</f>
        <v>#REF!</v>
      </c>
      <c r="M7618" s="33" t="str">
        <f t="shared" ref="M7618:M7681" si="479">IF(VALUE(LEFT(C7618,5))&gt;40000,"P&amp;L","BS")</f>
        <v>P&amp;L</v>
      </c>
    </row>
    <row r="7619" spans="1:13">
      <c r="A7619" s="33" t="str">
        <f t="shared" si="476"/>
        <v>SCL - CGS</v>
      </c>
      <c r="B7619" s="33" t="str">
        <f t="shared" si="477"/>
        <v>SCL</v>
      </c>
      <c r="C7619" s="33" t="str">
        <f t="shared" si="478"/>
        <v>52001-7352</v>
      </c>
      <c r="D7619" s="64" t="s">
        <v>8868</v>
      </c>
      <c r="E7619" s="64" t="s">
        <v>2920</v>
      </c>
      <c r="F7619" s="64" t="s">
        <v>15</v>
      </c>
      <c r="G7619" s="64" t="s">
        <v>2921</v>
      </c>
      <c r="H7619" s="64" t="s">
        <v>1875</v>
      </c>
      <c r="I7619" s="64" t="s">
        <v>2922</v>
      </c>
      <c r="J7619" s="67">
        <v>18297.65</v>
      </c>
      <c r="K7619" s="62">
        <v>181348.27</v>
      </c>
      <c r="L7619" s="33" t="e">
        <f>HLOOKUP(B7619,#REF!,1,0)</f>
        <v>#REF!</v>
      </c>
      <c r="M7619" s="33" t="str">
        <f t="shared" si="479"/>
        <v>P&amp;L</v>
      </c>
    </row>
    <row r="7620" spans="1:13">
      <c r="A7620" s="33" t="str">
        <f t="shared" si="476"/>
        <v>SCL - CGS</v>
      </c>
      <c r="B7620" s="33" t="str">
        <f t="shared" si="477"/>
        <v>SCL</v>
      </c>
      <c r="C7620" s="33" t="str">
        <f t="shared" si="478"/>
        <v>52001-7355</v>
      </c>
      <c r="D7620" s="64" t="s">
        <v>8869</v>
      </c>
      <c r="E7620" s="64" t="s">
        <v>2920</v>
      </c>
      <c r="F7620" s="64" t="s">
        <v>15</v>
      </c>
      <c r="G7620" s="64" t="s">
        <v>2921</v>
      </c>
      <c r="H7620" s="64" t="s">
        <v>1875</v>
      </c>
      <c r="I7620" s="64" t="s">
        <v>2922</v>
      </c>
      <c r="J7620" s="67">
        <v>12525.74</v>
      </c>
      <c r="K7620" s="62">
        <v>138591.55</v>
      </c>
      <c r="L7620" s="33" t="e">
        <f>HLOOKUP(B7620,#REF!,1,0)</f>
        <v>#REF!</v>
      </c>
      <c r="M7620" s="33" t="str">
        <f t="shared" si="479"/>
        <v>P&amp;L</v>
      </c>
    </row>
    <row r="7621" spans="1:13">
      <c r="A7621" s="33" t="str">
        <f t="shared" si="476"/>
        <v>SCL - CGS</v>
      </c>
      <c r="B7621" s="33" t="str">
        <f t="shared" si="477"/>
        <v>SCL</v>
      </c>
      <c r="C7621" s="33" t="str">
        <f t="shared" si="478"/>
        <v>52001-7356</v>
      </c>
      <c r="D7621" s="64" t="s">
        <v>8870</v>
      </c>
      <c r="E7621" s="64" t="s">
        <v>2920</v>
      </c>
      <c r="F7621" s="64" t="s">
        <v>15</v>
      </c>
      <c r="G7621" s="64" t="s">
        <v>2921</v>
      </c>
      <c r="H7621" s="64" t="s">
        <v>1875</v>
      </c>
      <c r="I7621" s="64" t="s">
        <v>2922</v>
      </c>
      <c r="J7621" s="67">
        <v>0</v>
      </c>
      <c r="K7621" s="62">
        <v>17042.81</v>
      </c>
      <c r="L7621" s="33" t="e">
        <f>HLOOKUP(B7621,#REF!,1,0)</f>
        <v>#REF!</v>
      </c>
      <c r="M7621" s="33" t="str">
        <f t="shared" si="479"/>
        <v>P&amp;L</v>
      </c>
    </row>
    <row r="7622" spans="1:13">
      <c r="A7622" s="33" t="str">
        <f t="shared" si="476"/>
        <v>SCL - CGS</v>
      </c>
      <c r="B7622" s="33" t="str">
        <f t="shared" si="477"/>
        <v>SCL</v>
      </c>
      <c r="C7622" s="33" t="str">
        <f t="shared" si="478"/>
        <v>52001-7359</v>
      </c>
      <c r="D7622" s="64" t="s">
        <v>8871</v>
      </c>
      <c r="E7622" s="64" t="s">
        <v>2920</v>
      </c>
      <c r="F7622" s="64" t="s">
        <v>15</v>
      </c>
      <c r="G7622" s="64" t="s">
        <v>2921</v>
      </c>
      <c r="H7622" s="64" t="s">
        <v>1875</v>
      </c>
      <c r="I7622" s="64" t="s">
        <v>2922</v>
      </c>
      <c r="J7622" s="67">
        <v>11319.44</v>
      </c>
      <c r="K7622" s="62">
        <v>133771.61</v>
      </c>
      <c r="L7622" s="33" t="e">
        <f>HLOOKUP(B7622,#REF!,1,0)</f>
        <v>#REF!</v>
      </c>
      <c r="M7622" s="33" t="str">
        <f t="shared" si="479"/>
        <v>P&amp;L</v>
      </c>
    </row>
    <row r="7623" spans="1:13">
      <c r="A7623" s="33" t="str">
        <f t="shared" si="476"/>
        <v>SCL - CGS</v>
      </c>
      <c r="B7623" s="33" t="str">
        <f t="shared" si="477"/>
        <v>SCL</v>
      </c>
      <c r="C7623" s="33" t="str">
        <f t="shared" si="478"/>
        <v>52001-7360</v>
      </c>
      <c r="D7623" s="64" t="s">
        <v>8872</v>
      </c>
      <c r="E7623" s="64" t="s">
        <v>2920</v>
      </c>
      <c r="F7623" s="64" t="s">
        <v>15</v>
      </c>
      <c r="G7623" s="64" t="s">
        <v>2921</v>
      </c>
      <c r="H7623" s="64" t="s">
        <v>1875</v>
      </c>
      <c r="I7623" s="64" t="s">
        <v>2922</v>
      </c>
      <c r="J7623" s="67">
        <v>14570.46</v>
      </c>
      <c r="K7623" s="62">
        <v>174619.25</v>
      </c>
      <c r="L7623" s="33" t="e">
        <f>HLOOKUP(B7623,#REF!,1,0)</f>
        <v>#REF!</v>
      </c>
      <c r="M7623" s="33" t="str">
        <f t="shared" si="479"/>
        <v>P&amp;L</v>
      </c>
    </row>
    <row r="7624" spans="1:13">
      <c r="A7624" s="33" t="str">
        <f t="shared" si="476"/>
        <v>SCL - CGS</v>
      </c>
      <c r="B7624" s="33" t="str">
        <f t="shared" si="477"/>
        <v>SCL</v>
      </c>
      <c r="C7624" s="33" t="str">
        <f t="shared" si="478"/>
        <v>52001-7361</v>
      </c>
      <c r="D7624" s="64" t="s">
        <v>8873</v>
      </c>
      <c r="E7624" s="64" t="s">
        <v>2920</v>
      </c>
      <c r="F7624" s="64" t="s">
        <v>15</v>
      </c>
      <c r="G7624" s="64" t="s">
        <v>2921</v>
      </c>
      <c r="H7624" s="64" t="s">
        <v>1875</v>
      </c>
      <c r="I7624" s="64" t="s">
        <v>2922</v>
      </c>
      <c r="J7624" s="67">
        <v>12441</v>
      </c>
      <c r="K7624" s="62">
        <v>157388.57</v>
      </c>
      <c r="L7624" s="33" t="e">
        <f>HLOOKUP(B7624,#REF!,1,0)</f>
        <v>#REF!</v>
      </c>
      <c r="M7624" s="33" t="str">
        <f t="shared" si="479"/>
        <v>P&amp;L</v>
      </c>
    </row>
    <row r="7625" spans="1:13">
      <c r="A7625" s="33" t="str">
        <f t="shared" si="476"/>
        <v>SCL - CGS</v>
      </c>
      <c r="B7625" s="33" t="str">
        <f t="shared" si="477"/>
        <v>SCL</v>
      </c>
      <c r="C7625" s="33" t="str">
        <f t="shared" si="478"/>
        <v>52001-7362</v>
      </c>
      <c r="D7625" s="64" t="s">
        <v>8874</v>
      </c>
      <c r="E7625" s="64" t="s">
        <v>2920</v>
      </c>
      <c r="F7625" s="64" t="s">
        <v>15</v>
      </c>
      <c r="G7625" s="64" t="s">
        <v>2921</v>
      </c>
      <c r="H7625" s="64" t="s">
        <v>1875</v>
      </c>
      <c r="I7625" s="64" t="s">
        <v>2922</v>
      </c>
      <c r="J7625" s="67">
        <v>13900.4</v>
      </c>
      <c r="K7625" s="62">
        <v>133429.27</v>
      </c>
      <c r="L7625" s="33" t="e">
        <f>HLOOKUP(B7625,#REF!,1,0)</f>
        <v>#REF!</v>
      </c>
      <c r="M7625" s="33" t="str">
        <f t="shared" si="479"/>
        <v>P&amp;L</v>
      </c>
    </row>
    <row r="7626" spans="1:13">
      <c r="A7626" s="33" t="str">
        <f t="shared" si="476"/>
        <v>SCL - CGS</v>
      </c>
      <c r="B7626" s="33" t="str">
        <f t="shared" si="477"/>
        <v>SCL</v>
      </c>
      <c r="C7626" s="33" t="str">
        <f t="shared" si="478"/>
        <v>52001-7363</v>
      </c>
      <c r="D7626" s="64" t="s">
        <v>8875</v>
      </c>
      <c r="E7626" s="64" t="s">
        <v>2920</v>
      </c>
      <c r="F7626" s="64" t="s">
        <v>15</v>
      </c>
      <c r="G7626" s="64" t="s">
        <v>2921</v>
      </c>
      <c r="H7626" s="64" t="s">
        <v>1875</v>
      </c>
      <c r="I7626" s="64" t="s">
        <v>2922</v>
      </c>
      <c r="J7626" s="67">
        <v>8030.14</v>
      </c>
      <c r="K7626" s="62">
        <v>141371.88</v>
      </c>
      <c r="L7626" s="33" t="e">
        <f>HLOOKUP(B7626,#REF!,1,0)</f>
        <v>#REF!</v>
      </c>
      <c r="M7626" s="33" t="str">
        <f t="shared" si="479"/>
        <v>P&amp;L</v>
      </c>
    </row>
    <row r="7627" spans="1:13">
      <c r="A7627" s="33" t="str">
        <f t="shared" si="476"/>
        <v>SCL - CGS</v>
      </c>
      <c r="B7627" s="33" t="str">
        <f t="shared" si="477"/>
        <v>SCL</v>
      </c>
      <c r="C7627" s="33" t="str">
        <f t="shared" si="478"/>
        <v>52001-7364</v>
      </c>
      <c r="D7627" s="64" t="s">
        <v>8876</v>
      </c>
      <c r="E7627" s="64" t="s">
        <v>2920</v>
      </c>
      <c r="F7627" s="64" t="s">
        <v>15</v>
      </c>
      <c r="G7627" s="64" t="s">
        <v>2921</v>
      </c>
      <c r="H7627" s="64" t="s">
        <v>1875</v>
      </c>
      <c r="I7627" s="64" t="s">
        <v>2922</v>
      </c>
      <c r="J7627" s="67">
        <v>8407.53</v>
      </c>
      <c r="K7627" s="62">
        <v>105655.42</v>
      </c>
      <c r="L7627" s="33" t="e">
        <f>HLOOKUP(B7627,#REF!,1,0)</f>
        <v>#REF!</v>
      </c>
      <c r="M7627" s="33" t="str">
        <f t="shared" si="479"/>
        <v>P&amp;L</v>
      </c>
    </row>
    <row r="7628" spans="1:13">
      <c r="A7628" s="33" t="str">
        <f t="shared" si="476"/>
        <v>SCL - CGS</v>
      </c>
      <c r="B7628" s="33" t="str">
        <f t="shared" si="477"/>
        <v>SCL</v>
      </c>
      <c r="C7628" s="33" t="str">
        <f t="shared" si="478"/>
        <v>52001-7365</v>
      </c>
      <c r="D7628" s="64" t="s">
        <v>8877</v>
      </c>
      <c r="E7628" s="64" t="s">
        <v>2920</v>
      </c>
      <c r="F7628" s="64" t="s">
        <v>15</v>
      </c>
      <c r="G7628" s="64" t="s">
        <v>2921</v>
      </c>
      <c r="H7628" s="64" t="s">
        <v>1875</v>
      </c>
      <c r="I7628" s="64" t="s">
        <v>2922</v>
      </c>
      <c r="J7628" s="67">
        <v>16052.8</v>
      </c>
      <c r="K7628" s="62">
        <v>177313.24</v>
      </c>
      <c r="L7628" s="33" t="e">
        <f>HLOOKUP(B7628,#REF!,1,0)</f>
        <v>#REF!</v>
      </c>
      <c r="M7628" s="33" t="str">
        <f t="shared" si="479"/>
        <v>P&amp;L</v>
      </c>
    </row>
    <row r="7629" spans="1:13">
      <c r="A7629" s="33" t="str">
        <f t="shared" si="476"/>
        <v>SCL - CGS</v>
      </c>
      <c r="B7629" s="33" t="str">
        <f t="shared" si="477"/>
        <v>SCL</v>
      </c>
      <c r="C7629" s="33" t="str">
        <f t="shared" si="478"/>
        <v>52001-7366</v>
      </c>
      <c r="D7629" s="64" t="s">
        <v>8878</v>
      </c>
      <c r="E7629" s="64" t="s">
        <v>2920</v>
      </c>
      <c r="F7629" s="64" t="s">
        <v>15</v>
      </c>
      <c r="G7629" s="64" t="s">
        <v>2921</v>
      </c>
      <c r="H7629" s="64" t="s">
        <v>1875</v>
      </c>
      <c r="I7629" s="64" t="s">
        <v>2922</v>
      </c>
      <c r="J7629" s="67">
        <v>19111.31</v>
      </c>
      <c r="K7629" s="62">
        <v>190983.16</v>
      </c>
      <c r="L7629" s="33" t="e">
        <f>HLOOKUP(B7629,#REF!,1,0)</f>
        <v>#REF!</v>
      </c>
      <c r="M7629" s="33" t="str">
        <f t="shared" si="479"/>
        <v>P&amp;L</v>
      </c>
    </row>
    <row r="7630" spans="1:13">
      <c r="A7630" s="33" t="str">
        <f t="shared" si="476"/>
        <v>SCL - CGS</v>
      </c>
      <c r="B7630" s="33" t="str">
        <f t="shared" si="477"/>
        <v>SCL</v>
      </c>
      <c r="C7630" s="33" t="str">
        <f t="shared" si="478"/>
        <v>52001-7368</v>
      </c>
      <c r="D7630" s="64" t="s">
        <v>8879</v>
      </c>
      <c r="E7630" s="64" t="s">
        <v>2920</v>
      </c>
      <c r="F7630" s="64" t="s">
        <v>15</v>
      </c>
      <c r="G7630" s="64" t="s">
        <v>2921</v>
      </c>
      <c r="H7630" s="64" t="s">
        <v>1875</v>
      </c>
      <c r="I7630" s="64" t="s">
        <v>2922</v>
      </c>
      <c r="J7630" s="67">
        <v>17277.64</v>
      </c>
      <c r="K7630" s="62">
        <v>209760.96</v>
      </c>
      <c r="L7630" s="33" t="e">
        <f>HLOOKUP(B7630,#REF!,1,0)</f>
        <v>#REF!</v>
      </c>
      <c r="M7630" s="33" t="str">
        <f t="shared" si="479"/>
        <v>P&amp;L</v>
      </c>
    </row>
    <row r="7631" spans="1:13">
      <c r="A7631" s="33" t="str">
        <f t="shared" si="476"/>
        <v>SCL - CGS</v>
      </c>
      <c r="B7631" s="33" t="str">
        <f t="shared" si="477"/>
        <v>SCL</v>
      </c>
      <c r="C7631" s="33" t="str">
        <f t="shared" si="478"/>
        <v>52001-7369</v>
      </c>
      <c r="D7631" s="64" t="s">
        <v>8880</v>
      </c>
      <c r="E7631" s="64" t="s">
        <v>2920</v>
      </c>
      <c r="F7631" s="64" t="s">
        <v>15</v>
      </c>
      <c r="G7631" s="64" t="s">
        <v>2921</v>
      </c>
      <c r="H7631" s="64" t="s">
        <v>1875</v>
      </c>
      <c r="I7631" s="64" t="s">
        <v>2922</v>
      </c>
      <c r="J7631" s="67">
        <v>17685.21</v>
      </c>
      <c r="K7631" s="62">
        <v>190725.71</v>
      </c>
      <c r="L7631" s="33" t="e">
        <f>HLOOKUP(B7631,#REF!,1,0)</f>
        <v>#REF!</v>
      </c>
      <c r="M7631" s="33" t="str">
        <f t="shared" si="479"/>
        <v>P&amp;L</v>
      </c>
    </row>
    <row r="7632" spans="1:13">
      <c r="A7632" s="33" t="str">
        <f t="shared" si="476"/>
        <v>SCL - CGS</v>
      </c>
      <c r="B7632" s="33" t="str">
        <f t="shared" si="477"/>
        <v>SCL</v>
      </c>
      <c r="C7632" s="33" t="str">
        <f t="shared" si="478"/>
        <v>52001-7370</v>
      </c>
      <c r="D7632" s="64" t="s">
        <v>8881</v>
      </c>
      <c r="E7632" s="64" t="s">
        <v>2920</v>
      </c>
      <c r="F7632" s="64" t="s">
        <v>15</v>
      </c>
      <c r="G7632" s="64" t="s">
        <v>2921</v>
      </c>
      <c r="H7632" s="64" t="s">
        <v>1875</v>
      </c>
      <c r="I7632" s="64" t="s">
        <v>2922</v>
      </c>
      <c r="J7632" s="67">
        <v>0</v>
      </c>
      <c r="K7632" s="62">
        <v>125.59</v>
      </c>
      <c r="L7632" s="33" t="e">
        <f>HLOOKUP(B7632,#REF!,1,0)</f>
        <v>#REF!</v>
      </c>
      <c r="M7632" s="33" t="str">
        <f t="shared" si="479"/>
        <v>P&amp;L</v>
      </c>
    </row>
    <row r="7633" spans="1:13">
      <c r="A7633" s="33" t="str">
        <f t="shared" si="476"/>
        <v>SCL - CGS</v>
      </c>
      <c r="B7633" s="33" t="str">
        <f t="shared" si="477"/>
        <v>SCL</v>
      </c>
      <c r="C7633" s="33" t="str">
        <f t="shared" si="478"/>
        <v>52001-7371</v>
      </c>
      <c r="D7633" s="64" t="s">
        <v>8882</v>
      </c>
      <c r="E7633" s="64" t="s">
        <v>2920</v>
      </c>
      <c r="F7633" s="64" t="s">
        <v>15</v>
      </c>
      <c r="G7633" s="64" t="s">
        <v>2921</v>
      </c>
      <c r="H7633" s="64" t="s">
        <v>1875</v>
      </c>
      <c r="I7633" s="64" t="s">
        <v>2922</v>
      </c>
      <c r="J7633" s="67">
        <v>15871.49</v>
      </c>
      <c r="K7633" s="62">
        <v>188699.55</v>
      </c>
      <c r="L7633" s="33" t="e">
        <f>HLOOKUP(B7633,#REF!,1,0)</f>
        <v>#REF!</v>
      </c>
      <c r="M7633" s="33" t="str">
        <f t="shared" si="479"/>
        <v>P&amp;L</v>
      </c>
    </row>
    <row r="7634" spans="1:13">
      <c r="A7634" s="33" t="str">
        <f t="shared" si="476"/>
        <v>SCL - CGS</v>
      </c>
      <c r="B7634" s="33" t="str">
        <f t="shared" si="477"/>
        <v>SCL</v>
      </c>
      <c r="C7634" s="33" t="str">
        <f t="shared" si="478"/>
        <v>52001-7374</v>
      </c>
      <c r="D7634" s="64" t="s">
        <v>8883</v>
      </c>
      <c r="E7634" s="64" t="s">
        <v>2920</v>
      </c>
      <c r="F7634" s="64" t="s">
        <v>15</v>
      </c>
      <c r="G7634" s="64" t="s">
        <v>2921</v>
      </c>
      <c r="H7634" s="64" t="s">
        <v>1875</v>
      </c>
      <c r="I7634" s="64" t="s">
        <v>2922</v>
      </c>
      <c r="J7634" s="67">
        <v>17381.35</v>
      </c>
      <c r="K7634" s="62">
        <v>179352</v>
      </c>
      <c r="L7634" s="33" t="e">
        <f>HLOOKUP(B7634,#REF!,1,0)</f>
        <v>#REF!</v>
      </c>
      <c r="M7634" s="33" t="str">
        <f t="shared" si="479"/>
        <v>P&amp;L</v>
      </c>
    </row>
    <row r="7635" spans="1:13">
      <c r="A7635" s="33" t="str">
        <f t="shared" si="476"/>
        <v>SCL - CGS</v>
      </c>
      <c r="B7635" s="33" t="str">
        <f t="shared" si="477"/>
        <v>SCL</v>
      </c>
      <c r="C7635" s="33" t="str">
        <f t="shared" si="478"/>
        <v>52001-7375</v>
      </c>
      <c r="D7635" s="64" t="s">
        <v>8884</v>
      </c>
      <c r="E7635" s="64" t="s">
        <v>2920</v>
      </c>
      <c r="F7635" s="64" t="s">
        <v>15</v>
      </c>
      <c r="G7635" s="64" t="s">
        <v>2921</v>
      </c>
      <c r="H7635" s="64" t="s">
        <v>1875</v>
      </c>
      <c r="I7635" s="64" t="s">
        <v>2922</v>
      </c>
      <c r="J7635" s="67">
        <v>19779.33</v>
      </c>
      <c r="K7635" s="62">
        <v>200171.72</v>
      </c>
      <c r="L7635" s="33" t="e">
        <f>HLOOKUP(B7635,#REF!,1,0)</f>
        <v>#REF!</v>
      </c>
      <c r="M7635" s="33" t="str">
        <f t="shared" si="479"/>
        <v>P&amp;L</v>
      </c>
    </row>
    <row r="7636" spans="1:13">
      <c r="A7636" s="33" t="str">
        <f t="shared" si="476"/>
        <v>SCL - CGS</v>
      </c>
      <c r="B7636" s="33" t="str">
        <f t="shared" si="477"/>
        <v>SCL</v>
      </c>
      <c r="C7636" s="33" t="str">
        <f t="shared" si="478"/>
        <v>52001-7376</v>
      </c>
      <c r="D7636" s="64" t="s">
        <v>8885</v>
      </c>
      <c r="E7636" s="64" t="s">
        <v>2920</v>
      </c>
      <c r="F7636" s="64" t="s">
        <v>15</v>
      </c>
      <c r="G7636" s="64" t="s">
        <v>2921</v>
      </c>
      <c r="H7636" s="64" t="s">
        <v>1875</v>
      </c>
      <c r="I7636" s="64" t="s">
        <v>2922</v>
      </c>
      <c r="J7636" s="67">
        <v>28000.79</v>
      </c>
      <c r="K7636" s="62">
        <v>333932.45</v>
      </c>
      <c r="L7636" s="33" t="e">
        <f>HLOOKUP(B7636,#REF!,1,0)</f>
        <v>#REF!</v>
      </c>
      <c r="M7636" s="33" t="str">
        <f t="shared" si="479"/>
        <v>P&amp;L</v>
      </c>
    </row>
    <row r="7637" spans="1:13">
      <c r="A7637" s="33" t="str">
        <f t="shared" si="476"/>
        <v>SCL - CGS</v>
      </c>
      <c r="B7637" s="33" t="str">
        <f t="shared" si="477"/>
        <v>SCL</v>
      </c>
      <c r="C7637" s="33" t="str">
        <f t="shared" si="478"/>
        <v>52001-7377</v>
      </c>
      <c r="D7637" s="64" t="s">
        <v>8886</v>
      </c>
      <c r="E7637" s="64" t="s">
        <v>2920</v>
      </c>
      <c r="F7637" s="64" t="s">
        <v>15</v>
      </c>
      <c r="G7637" s="64" t="s">
        <v>2921</v>
      </c>
      <c r="H7637" s="64" t="s">
        <v>1875</v>
      </c>
      <c r="I7637" s="64" t="s">
        <v>2922</v>
      </c>
      <c r="J7637" s="67">
        <v>12755.47</v>
      </c>
      <c r="K7637" s="62">
        <v>156205.78</v>
      </c>
      <c r="L7637" s="33" t="e">
        <f>HLOOKUP(B7637,#REF!,1,0)</f>
        <v>#REF!</v>
      </c>
      <c r="M7637" s="33" t="str">
        <f t="shared" si="479"/>
        <v>P&amp;L</v>
      </c>
    </row>
    <row r="7638" spans="1:13">
      <c r="A7638" s="33" t="str">
        <f t="shared" si="476"/>
        <v>SCL - CGS</v>
      </c>
      <c r="B7638" s="33" t="str">
        <f t="shared" si="477"/>
        <v>SCL</v>
      </c>
      <c r="C7638" s="33" t="str">
        <f t="shared" si="478"/>
        <v>52001-7378</v>
      </c>
      <c r="D7638" s="64" t="s">
        <v>8887</v>
      </c>
      <c r="E7638" s="64" t="s">
        <v>2920</v>
      </c>
      <c r="F7638" s="64" t="s">
        <v>15</v>
      </c>
      <c r="G7638" s="64" t="s">
        <v>2921</v>
      </c>
      <c r="H7638" s="64" t="s">
        <v>1875</v>
      </c>
      <c r="I7638" s="64" t="s">
        <v>2922</v>
      </c>
      <c r="J7638" s="67">
        <v>17004.19</v>
      </c>
      <c r="K7638" s="62">
        <v>201917.94</v>
      </c>
      <c r="L7638" s="33" t="e">
        <f>HLOOKUP(B7638,#REF!,1,0)</f>
        <v>#REF!</v>
      </c>
      <c r="M7638" s="33" t="str">
        <f t="shared" si="479"/>
        <v>P&amp;L</v>
      </c>
    </row>
    <row r="7639" spans="1:13">
      <c r="A7639" s="33" t="str">
        <f t="shared" si="476"/>
        <v>SCL - CGS</v>
      </c>
      <c r="B7639" s="33" t="str">
        <f t="shared" si="477"/>
        <v>SCL</v>
      </c>
      <c r="C7639" s="33" t="str">
        <f t="shared" si="478"/>
        <v>52001-7379</v>
      </c>
      <c r="D7639" s="64" t="s">
        <v>8888</v>
      </c>
      <c r="E7639" s="64" t="s">
        <v>2920</v>
      </c>
      <c r="F7639" s="64" t="s">
        <v>15</v>
      </c>
      <c r="G7639" s="64" t="s">
        <v>2921</v>
      </c>
      <c r="H7639" s="64" t="s">
        <v>1875</v>
      </c>
      <c r="I7639" s="64" t="s">
        <v>2922</v>
      </c>
      <c r="J7639" s="67">
        <v>19792.78</v>
      </c>
      <c r="K7639" s="62">
        <v>206864.09</v>
      </c>
      <c r="L7639" s="33" t="e">
        <f>HLOOKUP(B7639,#REF!,1,0)</f>
        <v>#REF!</v>
      </c>
      <c r="M7639" s="33" t="str">
        <f t="shared" si="479"/>
        <v>P&amp;L</v>
      </c>
    </row>
    <row r="7640" spans="1:13">
      <c r="A7640" s="33" t="str">
        <f t="shared" si="476"/>
        <v>SCL - CGS</v>
      </c>
      <c r="B7640" s="33" t="str">
        <f t="shared" si="477"/>
        <v>SCL</v>
      </c>
      <c r="C7640" s="33" t="str">
        <f t="shared" si="478"/>
        <v>52001-7380</v>
      </c>
      <c r="D7640" s="64" t="s">
        <v>8889</v>
      </c>
      <c r="E7640" s="64" t="s">
        <v>2920</v>
      </c>
      <c r="F7640" s="64" t="s">
        <v>15</v>
      </c>
      <c r="G7640" s="64" t="s">
        <v>2921</v>
      </c>
      <c r="H7640" s="64" t="s">
        <v>1875</v>
      </c>
      <c r="I7640" s="64" t="s">
        <v>2922</v>
      </c>
      <c r="J7640" s="67">
        <v>13445.41</v>
      </c>
      <c r="K7640" s="62">
        <v>158811.83</v>
      </c>
      <c r="L7640" s="33" t="e">
        <f>HLOOKUP(B7640,#REF!,1,0)</f>
        <v>#REF!</v>
      </c>
      <c r="M7640" s="33" t="str">
        <f t="shared" si="479"/>
        <v>P&amp;L</v>
      </c>
    </row>
    <row r="7641" spans="1:13">
      <c r="A7641" s="33" t="str">
        <f t="shared" si="476"/>
        <v>SCL - CGS</v>
      </c>
      <c r="B7641" s="33" t="str">
        <f t="shared" si="477"/>
        <v>SCL</v>
      </c>
      <c r="C7641" s="33" t="str">
        <f t="shared" si="478"/>
        <v>52001-7381</v>
      </c>
      <c r="D7641" s="64" t="s">
        <v>8890</v>
      </c>
      <c r="E7641" s="64" t="s">
        <v>2920</v>
      </c>
      <c r="F7641" s="64" t="s">
        <v>15</v>
      </c>
      <c r="G7641" s="64" t="s">
        <v>2921</v>
      </c>
      <c r="H7641" s="64" t="s">
        <v>1875</v>
      </c>
      <c r="I7641" s="64" t="s">
        <v>2922</v>
      </c>
      <c r="J7641" s="67">
        <v>22517.43</v>
      </c>
      <c r="K7641" s="62">
        <v>222960.84</v>
      </c>
      <c r="L7641" s="33" t="e">
        <f>HLOOKUP(B7641,#REF!,1,0)</f>
        <v>#REF!</v>
      </c>
      <c r="M7641" s="33" t="str">
        <f t="shared" si="479"/>
        <v>P&amp;L</v>
      </c>
    </row>
    <row r="7642" spans="1:13">
      <c r="A7642" s="33" t="str">
        <f t="shared" si="476"/>
        <v>SCL - CGS</v>
      </c>
      <c r="B7642" s="33" t="str">
        <f t="shared" si="477"/>
        <v>SCL</v>
      </c>
      <c r="C7642" s="33" t="str">
        <f t="shared" si="478"/>
        <v>52001-7383</v>
      </c>
      <c r="D7642" s="64" t="s">
        <v>8891</v>
      </c>
      <c r="E7642" s="64" t="s">
        <v>2920</v>
      </c>
      <c r="F7642" s="64" t="s">
        <v>15</v>
      </c>
      <c r="G7642" s="64" t="s">
        <v>2921</v>
      </c>
      <c r="H7642" s="64" t="s">
        <v>1875</v>
      </c>
      <c r="I7642" s="64" t="s">
        <v>2922</v>
      </c>
      <c r="J7642" s="67">
        <v>15294.05</v>
      </c>
      <c r="K7642" s="62">
        <v>146358.74</v>
      </c>
      <c r="L7642" s="33" t="e">
        <f>HLOOKUP(B7642,#REF!,1,0)</f>
        <v>#REF!</v>
      </c>
      <c r="M7642" s="33" t="str">
        <f t="shared" si="479"/>
        <v>P&amp;L</v>
      </c>
    </row>
    <row r="7643" spans="1:13">
      <c r="A7643" s="33" t="str">
        <f t="shared" si="476"/>
        <v>SCL - CGS</v>
      </c>
      <c r="B7643" s="33" t="str">
        <f t="shared" si="477"/>
        <v>SCL</v>
      </c>
      <c r="C7643" s="33" t="str">
        <f t="shared" si="478"/>
        <v>52001-7385</v>
      </c>
      <c r="D7643" s="64" t="s">
        <v>8892</v>
      </c>
      <c r="E7643" s="64" t="s">
        <v>2920</v>
      </c>
      <c r="F7643" s="64" t="s">
        <v>15</v>
      </c>
      <c r="G7643" s="64" t="s">
        <v>2921</v>
      </c>
      <c r="H7643" s="64" t="s">
        <v>1875</v>
      </c>
      <c r="I7643" s="64" t="s">
        <v>2922</v>
      </c>
      <c r="J7643" s="67">
        <v>12112.43</v>
      </c>
      <c r="K7643" s="62">
        <v>135546.53</v>
      </c>
      <c r="L7643" s="33" t="e">
        <f>HLOOKUP(B7643,#REF!,1,0)</f>
        <v>#REF!</v>
      </c>
      <c r="M7643" s="33" t="str">
        <f t="shared" si="479"/>
        <v>P&amp;L</v>
      </c>
    </row>
    <row r="7644" spans="1:13">
      <c r="A7644" s="33" t="str">
        <f t="shared" si="476"/>
        <v>SCL - CGS</v>
      </c>
      <c r="B7644" s="33" t="str">
        <f t="shared" si="477"/>
        <v>SCL</v>
      </c>
      <c r="C7644" s="33" t="str">
        <f t="shared" si="478"/>
        <v>52001-7386</v>
      </c>
      <c r="D7644" s="64" t="s">
        <v>8893</v>
      </c>
      <c r="E7644" s="64" t="s">
        <v>2920</v>
      </c>
      <c r="F7644" s="64" t="s">
        <v>15</v>
      </c>
      <c r="G7644" s="64" t="s">
        <v>2921</v>
      </c>
      <c r="H7644" s="64" t="s">
        <v>1875</v>
      </c>
      <c r="I7644" s="64" t="s">
        <v>2922</v>
      </c>
      <c r="J7644" s="67">
        <v>10693.07</v>
      </c>
      <c r="K7644" s="62">
        <v>155830.83</v>
      </c>
      <c r="L7644" s="33" t="e">
        <f>HLOOKUP(B7644,#REF!,1,0)</f>
        <v>#REF!</v>
      </c>
      <c r="M7644" s="33" t="str">
        <f t="shared" si="479"/>
        <v>P&amp;L</v>
      </c>
    </row>
    <row r="7645" spans="1:13">
      <c r="A7645" s="33" t="str">
        <f t="shared" si="476"/>
        <v>SCL - CGS</v>
      </c>
      <c r="B7645" s="33" t="str">
        <f t="shared" si="477"/>
        <v>SCL</v>
      </c>
      <c r="C7645" s="33" t="str">
        <f t="shared" si="478"/>
        <v>52001-7387</v>
      </c>
      <c r="D7645" s="64" t="s">
        <v>8894</v>
      </c>
      <c r="E7645" s="64" t="s">
        <v>2920</v>
      </c>
      <c r="F7645" s="64" t="s">
        <v>15</v>
      </c>
      <c r="G7645" s="64" t="s">
        <v>2921</v>
      </c>
      <c r="H7645" s="64" t="s">
        <v>1875</v>
      </c>
      <c r="I7645" s="64" t="s">
        <v>2922</v>
      </c>
      <c r="J7645" s="67">
        <v>21106.28</v>
      </c>
      <c r="K7645" s="62">
        <v>202495.22</v>
      </c>
      <c r="L7645" s="33" t="e">
        <f>HLOOKUP(B7645,#REF!,1,0)</f>
        <v>#REF!</v>
      </c>
      <c r="M7645" s="33" t="str">
        <f t="shared" si="479"/>
        <v>P&amp;L</v>
      </c>
    </row>
    <row r="7646" spans="1:13">
      <c r="A7646" s="33" t="str">
        <f t="shared" si="476"/>
        <v>SCL - CGS</v>
      </c>
      <c r="B7646" s="33" t="str">
        <f t="shared" si="477"/>
        <v>SCL</v>
      </c>
      <c r="C7646" s="33" t="str">
        <f t="shared" si="478"/>
        <v>52001-7389</v>
      </c>
      <c r="D7646" s="64" t="s">
        <v>8895</v>
      </c>
      <c r="E7646" s="64" t="s">
        <v>2920</v>
      </c>
      <c r="F7646" s="64" t="s">
        <v>15</v>
      </c>
      <c r="G7646" s="64" t="s">
        <v>2921</v>
      </c>
      <c r="H7646" s="64" t="s">
        <v>1875</v>
      </c>
      <c r="I7646" s="64" t="s">
        <v>2922</v>
      </c>
      <c r="J7646" s="67">
        <v>22501.74</v>
      </c>
      <c r="K7646" s="62">
        <v>231002.24</v>
      </c>
      <c r="L7646" s="33" t="e">
        <f>HLOOKUP(B7646,#REF!,1,0)</f>
        <v>#REF!</v>
      </c>
      <c r="M7646" s="33" t="str">
        <f t="shared" si="479"/>
        <v>P&amp;L</v>
      </c>
    </row>
    <row r="7647" spans="1:13">
      <c r="A7647" s="33" t="str">
        <f t="shared" si="476"/>
        <v>SCL - CGS</v>
      </c>
      <c r="B7647" s="33" t="str">
        <f t="shared" si="477"/>
        <v>SCL</v>
      </c>
      <c r="C7647" s="33" t="str">
        <f t="shared" si="478"/>
        <v>52001-7391</v>
      </c>
      <c r="D7647" s="64" t="s">
        <v>8896</v>
      </c>
      <c r="E7647" s="64" t="s">
        <v>2920</v>
      </c>
      <c r="F7647" s="64" t="s">
        <v>15</v>
      </c>
      <c r="G7647" s="64" t="s">
        <v>2921</v>
      </c>
      <c r="H7647" s="64" t="s">
        <v>1875</v>
      </c>
      <c r="I7647" s="64" t="s">
        <v>2922</v>
      </c>
      <c r="J7647" s="67">
        <v>20338.88</v>
      </c>
      <c r="K7647" s="62">
        <v>237911.05</v>
      </c>
      <c r="L7647" s="33" t="e">
        <f>HLOOKUP(B7647,#REF!,1,0)</f>
        <v>#REF!</v>
      </c>
      <c r="M7647" s="33" t="str">
        <f t="shared" si="479"/>
        <v>P&amp;L</v>
      </c>
    </row>
    <row r="7648" spans="1:13">
      <c r="A7648" s="33" t="str">
        <f t="shared" si="476"/>
        <v>SCL - CGS</v>
      </c>
      <c r="B7648" s="33" t="str">
        <f t="shared" si="477"/>
        <v>SCL</v>
      </c>
      <c r="C7648" s="33" t="str">
        <f t="shared" si="478"/>
        <v>52001-7393</v>
      </c>
      <c r="D7648" s="64" t="s">
        <v>8897</v>
      </c>
      <c r="E7648" s="64" t="s">
        <v>2920</v>
      </c>
      <c r="F7648" s="64" t="s">
        <v>15</v>
      </c>
      <c r="G7648" s="64" t="s">
        <v>2921</v>
      </c>
      <c r="H7648" s="64" t="s">
        <v>1875</v>
      </c>
      <c r="I7648" s="64" t="s">
        <v>2922</v>
      </c>
      <c r="J7648" s="67">
        <v>14198.38</v>
      </c>
      <c r="K7648" s="62">
        <v>182844.53</v>
      </c>
      <c r="L7648" s="33" t="e">
        <f>HLOOKUP(B7648,#REF!,1,0)</f>
        <v>#REF!</v>
      </c>
      <c r="M7648" s="33" t="str">
        <f t="shared" si="479"/>
        <v>P&amp;L</v>
      </c>
    </row>
    <row r="7649" spans="1:13">
      <c r="A7649" s="33" t="str">
        <f t="shared" si="476"/>
        <v>SCL - CGS</v>
      </c>
      <c r="B7649" s="33" t="str">
        <f t="shared" si="477"/>
        <v>SCL</v>
      </c>
      <c r="C7649" s="33" t="str">
        <f t="shared" si="478"/>
        <v>52001-7394</v>
      </c>
      <c r="D7649" s="64" t="s">
        <v>8898</v>
      </c>
      <c r="E7649" s="64" t="s">
        <v>2920</v>
      </c>
      <c r="F7649" s="64" t="s">
        <v>15</v>
      </c>
      <c r="G7649" s="64" t="s">
        <v>2921</v>
      </c>
      <c r="H7649" s="64" t="s">
        <v>1875</v>
      </c>
      <c r="I7649" s="64" t="s">
        <v>2922</v>
      </c>
      <c r="J7649" s="67">
        <v>11971.22</v>
      </c>
      <c r="K7649" s="62">
        <v>192248.77</v>
      </c>
      <c r="L7649" s="33" t="e">
        <f>HLOOKUP(B7649,#REF!,1,0)</f>
        <v>#REF!</v>
      </c>
      <c r="M7649" s="33" t="str">
        <f t="shared" si="479"/>
        <v>P&amp;L</v>
      </c>
    </row>
    <row r="7650" spans="1:13">
      <c r="A7650" s="33" t="str">
        <f t="shared" si="476"/>
        <v>SCL - CGS</v>
      </c>
      <c r="B7650" s="33" t="str">
        <f t="shared" si="477"/>
        <v>SCL</v>
      </c>
      <c r="C7650" s="33" t="str">
        <f t="shared" si="478"/>
        <v>52001-7396</v>
      </c>
      <c r="D7650" s="64" t="s">
        <v>8899</v>
      </c>
      <c r="E7650" s="64" t="s">
        <v>2920</v>
      </c>
      <c r="F7650" s="64" t="s">
        <v>15</v>
      </c>
      <c r="G7650" s="64" t="s">
        <v>2921</v>
      </c>
      <c r="H7650" s="64" t="s">
        <v>1875</v>
      </c>
      <c r="I7650" s="64" t="s">
        <v>2922</v>
      </c>
      <c r="J7650" s="67">
        <v>17842.92</v>
      </c>
      <c r="K7650" s="62">
        <v>207606.93</v>
      </c>
      <c r="L7650" s="33" t="e">
        <f>HLOOKUP(B7650,#REF!,1,0)</f>
        <v>#REF!</v>
      </c>
      <c r="M7650" s="33" t="str">
        <f t="shared" si="479"/>
        <v>P&amp;L</v>
      </c>
    </row>
    <row r="7651" spans="1:13">
      <c r="A7651" s="33" t="str">
        <f t="shared" si="476"/>
        <v>SCL - CGS</v>
      </c>
      <c r="B7651" s="33" t="str">
        <f t="shared" si="477"/>
        <v>SCL</v>
      </c>
      <c r="C7651" s="33" t="str">
        <f t="shared" si="478"/>
        <v>52001-7397</v>
      </c>
      <c r="D7651" s="64" t="s">
        <v>8900</v>
      </c>
      <c r="E7651" s="64" t="s">
        <v>2920</v>
      </c>
      <c r="F7651" s="64" t="s">
        <v>15</v>
      </c>
      <c r="G7651" s="64" t="s">
        <v>2921</v>
      </c>
      <c r="H7651" s="64" t="s">
        <v>1875</v>
      </c>
      <c r="I7651" s="64" t="s">
        <v>2922</v>
      </c>
      <c r="J7651" s="67">
        <v>21459.49</v>
      </c>
      <c r="K7651" s="62">
        <v>222858.82</v>
      </c>
      <c r="L7651" s="33" t="e">
        <f>HLOOKUP(B7651,#REF!,1,0)</f>
        <v>#REF!</v>
      </c>
      <c r="M7651" s="33" t="str">
        <f t="shared" si="479"/>
        <v>P&amp;L</v>
      </c>
    </row>
    <row r="7652" spans="1:13">
      <c r="A7652" s="33" t="str">
        <f t="shared" si="476"/>
        <v>SCL - CGS</v>
      </c>
      <c r="B7652" s="33" t="str">
        <f t="shared" si="477"/>
        <v>SCL</v>
      </c>
      <c r="C7652" s="33" t="str">
        <f t="shared" si="478"/>
        <v>52001-7398</v>
      </c>
      <c r="D7652" s="64" t="s">
        <v>8901</v>
      </c>
      <c r="E7652" s="64" t="s">
        <v>2920</v>
      </c>
      <c r="F7652" s="64" t="s">
        <v>15</v>
      </c>
      <c r="G7652" s="64" t="s">
        <v>2921</v>
      </c>
      <c r="H7652" s="64" t="s">
        <v>1875</v>
      </c>
      <c r="I7652" s="64" t="s">
        <v>2922</v>
      </c>
      <c r="J7652" s="67">
        <v>18323.46</v>
      </c>
      <c r="K7652" s="62">
        <v>179584.66</v>
      </c>
      <c r="L7652" s="33" t="e">
        <f>HLOOKUP(B7652,#REF!,1,0)</f>
        <v>#REF!</v>
      </c>
      <c r="M7652" s="33" t="str">
        <f t="shared" si="479"/>
        <v>P&amp;L</v>
      </c>
    </row>
    <row r="7653" spans="1:13">
      <c r="A7653" s="33" t="str">
        <f t="shared" si="476"/>
        <v>SCL - CGS</v>
      </c>
      <c r="B7653" s="33" t="str">
        <f t="shared" si="477"/>
        <v>SCL</v>
      </c>
      <c r="C7653" s="33" t="str">
        <f t="shared" si="478"/>
        <v>52001-7400</v>
      </c>
      <c r="D7653" s="64" t="s">
        <v>8902</v>
      </c>
      <c r="E7653" s="64" t="s">
        <v>2920</v>
      </c>
      <c r="F7653" s="64" t="s">
        <v>15</v>
      </c>
      <c r="G7653" s="64" t="s">
        <v>2921</v>
      </c>
      <c r="H7653" s="64" t="s">
        <v>1875</v>
      </c>
      <c r="I7653" s="64" t="s">
        <v>2922</v>
      </c>
      <c r="J7653" s="67">
        <v>15142.77</v>
      </c>
      <c r="K7653" s="62">
        <v>168538.74</v>
      </c>
      <c r="L7653" s="33" t="e">
        <f>HLOOKUP(B7653,#REF!,1,0)</f>
        <v>#REF!</v>
      </c>
      <c r="M7653" s="33" t="str">
        <f t="shared" si="479"/>
        <v>P&amp;L</v>
      </c>
    </row>
    <row r="7654" spans="1:13">
      <c r="A7654" s="33" t="str">
        <f t="shared" si="476"/>
        <v>SCL - CGS</v>
      </c>
      <c r="B7654" s="33" t="str">
        <f t="shared" si="477"/>
        <v>SCL</v>
      </c>
      <c r="C7654" s="33" t="str">
        <f t="shared" si="478"/>
        <v>52001-7401</v>
      </c>
      <c r="D7654" s="64" t="s">
        <v>8903</v>
      </c>
      <c r="E7654" s="64" t="s">
        <v>2920</v>
      </c>
      <c r="F7654" s="64" t="s">
        <v>15</v>
      </c>
      <c r="G7654" s="64" t="s">
        <v>2921</v>
      </c>
      <c r="H7654" s="64" t="s">
        <v>1875</v>
      </c>
      <c r="I7654" s="64" t="s">
        <v>2922</v>
      </c>
      <c r="J7654" s="67">
        <v>19648.46</v>
      </c>
      <c r="K7654" s="62">
        <v>197602.91</v>
      </c>
      <c r="L7654" s="33" t="e">
        <f>HLOOKUP(B7654,#REF!,1,0)</f>
        <v>#REF!</v>
      </c>
      <c r="M7654" s="33" t="str">
        <f t="shared" si="479"/>
        <v>P&amp;L</v>
      </c>
    </row>
    <row r="7655" spans="1:13">
      <c r="A7655" s="33" t="str">
        <f t="shared" si="476"/>
        <v>SCL - CGS</v>
      </c>
      <c r="B7655" s="33" t="str">
        <f t="shared" si="477"/>
        <v>SCL</v>
      </c>
      <c r="C7655" s="33" t="str">
        <f t="shared" si="478"/>
        <v>52001-7402</v>
      </c>
      <c r="D7655" s="64" t="s">
        <v>8904</v>
      </c>
      <c r="E7655" s="64" t="s">
        <v>2920</v>
      </c>
      <c r="F7655" s="64" t="s">
        <v>15</v>
      </c>
      <c r="G7655" s="64" t="s">
        <v>2921</v>
      </c>
      <c r="H7655" s="64" t="s">
        <v>1875</v>
      </c>
      <c r="I7655" s="64" t="s">
        <v>2922</v>
      </c>
      <c r="J7655" s="67">
        <v>16401.53</v>
      </c>
      <c r="K7655" s="62">
        <v>164167.04</v>
      </c>
      <c r="L7655" s="33" t="e">
        <f>HLOOKUP(B7655,#REF!,1,0)</f>
        <v>#REF!</v>
      </c>
      <c r="M7655" s="33" t="str">
        <f t="shared" si="479"/>
        <v>P&amp;L</v>
      </c>
    </row>
    <row r="7656" spans="1:13">
      <c r="A7656" s="33" t="str">
        <f t="shared" si="476"/>
        <v>SCL - CGS</v>
      </c>
      <c r="B7656" s="33" t="str">
        <f t="shared" si="477"/>
        <v>SCL</v>
      </c>
      <c r="C7656" s="33" t="str">
        <f t="shared" si="478"/>
        <v>52001-7403</v>
      </c>
      <c r="D7656" s="64" t="s">
        <v>8905</v>
      </c>
      <c r="E7656" s="64" t="s">
        <v>2920</v>
      </c>
      <c r="F7656" s="64" t="s">
        <v>15</v>
      </c>
      <c r="G7656" s="64" t="s">
        <v>2921</v>
      </c>
      <c r="H7656" s="64" t="s">
        <v>1875</v>
      </c>
      <c r="I7656" s="64" t="s">
        <v>2922</v>
      </c>
      <c r="J7656" s="67">
        <v>14872.64</v>
      </c>
      <c r="K7656" s="62">
        <v>164961.52</v>
      </c>
      <c r="L7656" s="33" t="e">
        <f>HLOOKUP(B7656,#REF!,1,0)</f>
        <v>#REF!</v>
      </c>
      <c r="M7656" s="33" t="str">
        <f t="shared" si="479"/>
        <v>P&amp;L</v>
      </c>
    </row>
    <row r="7657" spans="1:13">
      <c r="A7657" s="33" t="str">
        <f t="shared" si="476"/>
        <v>SCL - CGS</v>
      </c>
      <c r="B7657" s="33" t="str">
        <f t="shared" si="477"/>
        <v>SCL</v>
      </c>
      <c r="C7657" s="33" t="str">
        <f t="shared" si="478"/>
        <v>52001-7489</v>
      </c>
      <c r="D7657" s="64" t="s">
        <v>8906</v>
      </c>
      <c r="E7657" s="64" t="s">
        <v>2920</v>
      </c>
      <c r="F7657" s="64" t="s">
        <v>15</v>
      </c>
      <c r="G7657" s="64" t="s">
        <v>2921</v>
      </c>
      <c r="H7657" s="64" t="s">
        <v>1875</v>
      </c>
      <c r="I7657" s="64" t="s">
        <v>2922</v>
      </c>
      <c r="J7657" s="67">
        <v>20146.11</v>
      </c>
      <c r="K7657" s="62">
        <v>184239.11</v>
      </c>
      <c r="L7657" s="33" t="e">
        <f>HLOOKUP(B7657,#REF!,1,0)</f>
        <v>#REF!</v>
      </c>
      <c r="M7657" s="33" t="str">
        <f t="shared" si="479"/>
        <v>P&amp;L</v>
      </c>
    </row>
    <row r="7658" spans="1:13">
      <c r="A7658" s="33" t="str">
        <f t="shared" si="476"/>
        <v>SCL - CGS</v>
      </c>
      <c r="B7658" s="33" t="str">
        <f t="shared" si="477"/>
        <v>SCL</v>
      </c>
      <c r="C7658" s="33" t="str">
        <f t="shared" si="478"/>
        <v>52001-7491</v>
      </c>
      <c r="D7658" s="64" t="s">
        <v>8907</v>
      </c>
      <c r="E7658" s="64" t="s">
        <v>2920</v>
      </c>
      <c r="F7658" s="64" t="s">
        <v>15</v>
      </c>
      <c r="G7658" s="64" t="s">
        <v>2921</v>
      </c>
      <c r="H7658" s="64" t="s">
        <v>1875</v>
      </c>
      <c r="I7658" s="64" t="s">
        <v>2922</v>
      </c>
      <c r="J7658" s="67">
        <v>17654.53</v>
      </c>
      <c r="K7658" s="62">
        <v>175172.37</v>
      </c>
      <c r="L7658" s="33" t="e">
        <f>HLOOKUP(B7658,#REF!,1,0)</f>
        <v>#REF!</v>
      </c>
      <c r="M7658" s="33" t="str">
        <f t="shared" si="479"/>
        <v>P&amp;L</v>
      </c>
    </row>
    <row r="7659" spans="1:13">
      <c r="A7659" s="33" t="str">
        <f t="shared" si="476"/>
        <v>SCL - CGS</v>
      </c>
      <c r="B7659" s="33" t="str">
        <f t="shared" si="477"/>
        <v>SCL</v>
      </c>
      <c r="C7659" s="33" t="str">
        <f t="shared" si="478"/>
        <v>52001-7492</v>
      </c>
      <c r="D7659" s="64" t="s">
        <v>8908</v>
      </c>
      <c r="E7659" s="64" t="s">
        <v>2920</v>
      </c>
      <c r="F7659" s="64" t="s">
        <v>15</v>
      </c>
      <c r="G7659" s="64" t="s">
        <v>2921</v>
      </c>
      <c r="H7659" s="64" t="s">
        <v>1875</v>
      </c>
      <c r="I7659" s="64" t="s">
        <v>2922</v>
      </c>
      <c r="J7659" s="67">
        <v>16697.61</v>
      </c>
      <c r="K7659" s="62">
        <v>175727.21</v>
      </c>
      <c r="L7659" s="33" t="e">
        <f>HLOOKUP(B7659,#REF!,1,0)</f>
        <v>#REF!</v>
      </c>
      <c r="M7659" s="33" t="str">
        <f t="shared" si="479"/>
        <v>P&amp;L</v>
      </c>
    </row>
    <row r="7660" spans="1:13">
      <c r="A7660" s="33" t="str">
        <f t="shared" si="476"/>
        <v>SCL - CGS</v>
      </c>
      <c r="B7660" s="33" t="str">
        <f t="shared" si="477"/>
        <v>SCL</v>
      </c>
      <c r="C7660" s="33" t="str">
        <f t="shared" si="478"/>
        <v>52001-7493</v>
      </c>
      <c r="D7660" s="64" t="s">
        <v>8909</v>
      </c>
      <c r="E7660" s="64" t="s">
        <v>2920</v>
      </c>
      <c r="F7660" s="64" t="s">
        <v>15</v>
      </c>
      <c r="G7660" s="64" t="s">
        <v>2921</v>
      </c>
      <c r="H7660" s="64" t="s">
        <v>1875</v>
      </c>
      <c r="I7660" s="64" t="s">
        <v>2922</v>
      </c>
      <c r="J7660" s="67">
        <v>16583.67</v>
      </c>
      <c r="K7660" s="62">
        <v>180236.46</v>
      </c>
      <c r="L7660" s="33" t="e">
        <f>HLOOKUP(B7660,#REF!,1,0)</f>
        <v>#REF!</v>
      </c>
      <c r="M7660" s="33" t="str">
        <f t="shared" si="479"/>
        <v>P&amp;L</v>
      </c>
    </row>
    <row r="7661" spans="1:13">
      <c r="A7661" s="33" t="str">
        <f t="shared" si="476"/>
        <v>SCL - CGS</v>
      </c>
      <c r="B7661" s="33" t="str">
        <f t="shared" si="477"/>
        <v>SCL</v>
      </c>
      <c r="C7661" s="33" t="str">
        <f t="shared" si="478"/>
        <v>52001-7494</v>
      </c>
      <c r="D7661" s="64" t="s">
        <v>8910</v>
      </c>
      <c r="E7661" s="64" t="s">
        <v>2920</v>
      </c>
      <c r="F7661" s="64" t="s">
        <v>15</v>
      </c>
      <c r="G7661" s="64" t="s">
        <v>2921</v>
      </c>
      <c r="H7661" s="64" t="s">
        <v>1875</v>
      </c>
      <c r="I7661" s="64" t="s">
        <v>2922</v>
      </c>
      <c r="J7661" s="67">
        <v>13631.04</v>
      </c>
      <c r="K7661" s="62">
        <v>136976.77</v>
      </c>
      <c r="L7661" s="33" t="e">
        <f>HLOOKUP(B7661,#REF!,1,0)</f>
        <v>#REF!</v>
      </c>
      <c r="M7661" s="33" t="str">
        <f t="shared" si="479"/>
        <v>P&amp;L</v>
      </c>
    </row>
    <row r="7662" spans="1:13">
      <c r="A7662" s="33" t="str">
        <f t="shared" si="476"/>
        <v>SCL - CGS</v>
      </c>
      <c r="B7662" s="33" t="str">
        <f t="shared" si="477"/>
        <v>SCL</v>
      </c>
      <c r="C7662" s="33" t="str">
        <f t="shared" si="478"/>
        <v>52001-7625</v>
      </c>
      <c r="D7662" s="64" t="s">
        <v>8911</v>
      </c>
      <c r="E7662" s="64" t="s">
        <v>2920</v>
      </c>
      <c r="F7662" s="64" t="s">
        <v>15</v>
      </c>
      <c r="G7662" s="64" t="s">
        <v>2921</v>
      </c>
      <c r="H7662" s="64" t="s">
        <v>1875</v>
      </c>
      <c r="I7662" s="64" t="s">
        <v>2922</v>
      </c>
      <c r="J7662" s="67">
        <v>19800.47</v>
      </c>
      <c r="K7662" s="62">
        <v>196800.57</v>
      </c>
      <c r="L7662" s="33" t="e">
        <f>HLOOKUP(B7662,#REF!,1,0)</f>
        <v>#REF!</v>
      </c>
      <c r="M7662" s="33" t="str">
        <f t="shared" si="479"/>
        <v>P&amp;L</v>
      </c>
    </row>
    <row r="7663" spans="1:13">
      <c r="A7663" s="33" t="str">
        <f t="shared" si="476"/>
        <v>SCL - CGS</v>
      </c>
      <c r="B7663" s="33" t="str">
        <f t="shared" si="477"/>
        <v>SCL</v>
      </c>
      <c r="C7663" s="33" t="str">
        <f t="shared" si="478"/>
        <v>52001-8150</v>
      </c>
      <c r="D7663" s="64" t="s">
        <v>8912</v>
      </c>
      <c r="E7663" s="64" t="s">
        <v>2920</v>
      </c>
      <c r="F7663" s="64" t="s">
        <v>15</v>
      </c>
      <c r="G7663" s="64" t="s">
        <v>2921</v>
      </c>
      <c r="H7663" s="64" t="s">
        <v>1875</v>
      </c>
      <c r="I7663" s="64" t="s">
        <v>2922</v>
      </c>
      <c r="J7663" s="67">
        <v>12437.15</v>
      </c>
      <c r="K7663" s="62">
        <v>140217.65</v>
      </c>
      <c r="L7663" s="33" t="e">
        <f>HLOOKUP(B7663,#REF!,1,0)</f>
        <v>#REF!</v>
      </c>
      <c r="M7663" s="33" t="str">
        <f t="shared" si="479"/>
        <v>P&amp;L</v>
      </c>
    </row>
    <row r="7664" spans="1:13">
      <c r="A7664" s="33" t="str">
        <f t="shared" si="476"/>
        <v>SCL - CGS</v>
      </c>
      <c r="B7664" s="33" t="str">
        <f t="shared" si="477"/>
        <v>SCL</v>
      </c>
      <c r="C7664" s="33" t="str">
        <f t="shared" si="478"/>
        <v>52002-7351</v>
      </c>
      <c r="D7664" s="64" t="s">
        <v>8913</v>
      </c>
      <c r="E7664" s="64" t="s">
        <v>2927</v>
      </c>
      <c r="F7664" s="64" t="s">
        <v>15</v>
      </c>
      <c r="G7664" s="64" t="s">
        <v>2921</v>
      </c>
      <c r="H7664" s="64" t="s">
        <v>1875</v>
      </c>
      <c r="I7664" s="64" t="s">
        <v>2928</v>
      </c>
      <c r="J7664" s="67">
        <v>3342.57</v>
      </c>
      <c r="K7664" s="62">
        <v>51593.12</v>
      </c>
      <c r="L7664" s="33" t="e">
        <f>HLOOKUP(B7664,#REF!,1,0)</f>
        <v>#REF!</v>
      </c>
      <c r="M7664" s="33" t="str">
        <f t="shared" si="479"/>
        <v>P&amp;L</v>
      </c>
    </row>
    <row r="7665" spans="1:13">
      <c r="A7665" s="33" t="str">
        <f t="shared" si="476"/>
        <v>SCL - CGS</v>
      </c>
      <c r="B7665" s="33" t="str">
        <f t="shared" si="477"/>
        <v>SCL</v>
      </c>
      <c r="C7665" s="33" t="str">
        <f t="shared" si="478"/>
        <v>52002-7352</v>
      </c>
      <c r="D7665" s="64" t="s">
        <v>8914</v>
      </c>
      <c r="E7665" s="64" t="s">
        <v>2927</v>
      </c>
      <c r="F7665" s="64" t="s">
        <v>15</v>
      </c>
      <c r="G7665" s="64" t="s">
        <v>2921</v>
      </c>
      <c r="H7665" s="64" t="s">
        <v>1875</v>
      </c>
      <c r="I7665" s="64" t="s">
        <v>2928</v>
      </c>
      <c r="J7665" s="67">
        <v>5633.38</v>
      </c>
      <c r="K7665" s="62">
        <v>83810.08</v>
      </c>
      <c r="L7665" s="33" t="e">
        <f>HLOOKUP(B7665,#REF!,1,0)</f>
        <v>#REF!</v>
      </c>
      <c r="M7665" s="33" t="str">
        <f t="shared" si="479"/>
        <v>P&amp;L</v>
      </c>
    </row>
    <row r="7666" spans="1:13">
      <c r="A7666" s="33" t="str">
        <f t="shared" si="476"/>
        <v>SCL - CGS</v>
      </c>
      <c r="B7666" s="33" t="str">
        <f t="shared" si="477"/>
        <v>SCL</v>
      </c>
      <c r="C7666" s="33" t="str">
        <f t="shared" si="478"/>
        <v>52002-7355</v>
      </c>
      <c r="D7666" s="64" t="s">
        <v>8915</v>
      </c>
      <c r="E7666" s="64" t="s">
        <v>2927</v>
      </c>
      <c r="F7666" s="64" t="s">
        <v>15</v>
      </c>
      <c r="G7666" s="64" t="s">
        <v>2921</v>
      </c>
      <c r="H7666" s="64" t="s">
        <v>1875</v>
      </c>
      <c r="I7666" s="64" t="s">
        <v>2928</v>
      </c>
      <c r="J7666" s="67">
        <v>9245.53</v>
      </c>
      <c r="K7666" s="62">
        <v>88119.22</v>
      </c>
      <c r="L7666" s="33" t="e">
        <f>HLOOKUP(B7666,#REF!,1,0)</f>
        <v>#REF!</v>
      </c>
      <c r="M7666" s="33" t="str">
        <f t="shared" si="479"/>
        <v>P&amp;L</v>
      </c>
    </row>
    <row r="7667" spans="1:13">
      <c r="A7667" s="33" t="str">
        <f t="shared" si="476"/>
        <v>SCL - CGS</v>
      </c>
      <c r="B7667" s="33" t="str">
        <f t="shared" si="477"/>
        <v>SCL</v>
      </c>
      <c r="C7667" s="33" t="str">
        <f t="shared" si="478"/>
        <v>52002-7356</v>
      </c>
      <c r="D7667" s="64" t="s">
        <v>8916</v>
      </c>
      <c r="E7667" s="64" t="s">
        <v>2927</v>
      </c>
      <c r="F7667" s="64" t="s">
        <v>15</v>
      </c>
      <c r="G7667" s="64" t="s">
        <v>2921</v>
      </c>
      <c r="H7667" s="64" t="s">
        <v>1875</v>
      </c>
      <c r="I7667" s="64" t="s">
        <v>2928</v>
      </c>
      <c r="J7667" s="67">
        <v>0</v>
      </c>
      <c r="K7667" s="62">
        <v>2973.59</v>
      </c>
      <c r="L7667" s="33" t="e">
        <f>HLOOKUP(B7667,#REF!,1,0)</f>
        <v>#REF!</v>
      </c>
      <c r="M7667" s="33" t="str">
        <f t="shared" si="479"/>
        <v>P&amp;L</v>
      </c>
    </row>
    <row r="7668" spans="1:13">
      <c r="A7668" s="33" t="str">
        <f t="shared" si="476"/>
        <v>SCL - CGS</v>
      </c>
      <c r="B7668" s="33" t="str">
        <f t="shared" si="477"/>
        <v>SCL</v>
      </c>
      <c r="C7668" s="33" t="str">
        <f t="shared" si="478"/>
        <v>52002-7359</v>
      </c>
      <c r="D7668" s="64" t="s">
        <v>8917</v>
      </c>
      <c r="E7668" s="64" t="s">
        <v>2927</v>
      </c>
      <c r="F7668" s="64" t="s">
        <v>15</v>
      </c>
      <c r="G7668" s="64" t="s">
        <v>2921</v>
      </c>
      <c r="H7668" s="64" t="s">
        <v>1875</v>
      </c>
      <c r="I7668" s="64" t="s">
        <v>2928</v>
      </c>
      <c r="J7668" s="67">
        <v>9381.5</v>
      </c>
      <c r="K7668" s="62">
        <v>84140.37</v>
      </c>
      <c r="L7668" s="33" t="e">
        <f>HLOOKUP(B7668,#REF!,1,0)</f>
        <v>#REF!</v>
      </c>
      <c r="M7668" s="33" t="str">
        <f t="shared" si="479"/>
        <v>P&amp;L</v>
      </c>
    </row>
    <row r="7669" spans="1:13">
      <c r="A7669" s="33" t="str">
        <f t="shared" si="476"/>
        <v>SCL - CGS</v>
      </c>
      <c r="B7669" s="33" t="str">
        <f t="shared" si="477"/>
        <v>SCL</v>
      </c>
      <c r="C7669" s="33" t="str">
        <f t="shared" si="478"/>
        <v>52002-7360</v>
      </c>
      <c r="D7669" s="64" t="s">
        <v>8918</v>
      </c>
      <c r="E7669" s="64" t="s">
        <v>2927</v>
      </c>
      <c r="F7669" s="64" t="s">
        <v>15</v>
      </c>
      <c r="G7669" s="64" t="s">
        <v>2921</v>
      </c>
      <c r="H7669" s="64" t="s">
        <v>1875</v>
      </c>
      <c r="I7669" s="64" t="s">
        <v>2928</v>
      </c>
      <c r="J7669" s="67">
        <v>8087.18</v>
      </c>
      <c r="K7669" s="62">
        <v>61140.67</v>
      </c>
      <c r="L7669" s="33" t="e">
        <f>HLOOKUP(B7669,#REF!,1,0)</f>
        <v>#REF!</v>
      </c>
      <c r="M7669" s="33" t="str">
        <f t="shared" si="479"/>
        <v>P&amp;L</v>
      </c>
    </row>
    <row r="7670" spans="1:13">
      <c r="A7670" s="33" t="str">
        <f t="shared" si="476"/>
        <v>SCL - CGS</v>
      </c>
      <c r="B7670" s="33" t="str">
        <f t="shared" si="477"/>
        <v>SCL</v>
      </c>
      <c r="C7670" s="33" t="str">
        <f t="shared" si="478"/>
        <v>52002-7361</v>
      </c>
      <c r="D7670" s="64" t="s">
        <v>8919</v>
      </c>
      <c r="E7670" s="64" t="s">
        <v>2927</v>
      </c>
      <c r="F7670" s="64" t="s">
        <v>15</v>
      </c>
      <c r="G7670" s="64" t="s">
        <v>2921</v>
      </c>
      <c r="H7670" s="64" t="s">
        <v>1875</v>
      </c>
      <c r="I7670" s="64" t="s">
        <v>2928</v>
      </c>
      <c r="J7670" s="67">
        <v>8532.84</v>
      </c>
      <c r="K7670" s="62">
        <v>75901.82</v>
      </c>
      <c r="L7670" s="33" t="e">
        <f>HLOOKUP(B7670,#REF!,1,0)</f>
        <v>#REF!</v>
      </c>
      <c r="M7670" s="33" t="str">
        <f t="shared" si="479"/>
        <v>P&amp;L</v>
      </c>
    </row>
    <row r="7671" spans="1:13">
      <c r="A7671" s="33" t="str">
        <f t="shared" si="476"/>
        <v>SCL - CGS</v>
      </c>
      <c r="B7671" s="33" t="str">
        <f t="shared" si="477"/>
        <v>SCL</v>
      </c>
      <c r="C7671" s="33" t="str">
        <f t="shared" si="478"/>
        <v>52002-7362</v>
      </c>
      <c r="D7671" s="64" t="s">
        <v>8920</v>
      </c>
      <c r="E7671" s="64" t="s">
        <v>2927</v>
      </c>
      <c r="F7671" s="64" t="s">
        <v>15</v>
      </c>
      <c r="G7671" s="64" t="s">
        <v>2921</v>
      </c>
      <c r="H7671" s="64" t="s">
        <v>1875</v>
      </c>
      <c r="I7671" s="64" t="s">
        <v>2928</v>
      </c>
      <c r="J7671" s="67">
        <v>6662.4</v>
      </c>
      <c r="K7671" s="62">
        <v>62610.4</v>
      </c>
      <c r="L7671" s="33" t="e">
        <f>HLOOKUP(B7671,#REF!,1,0)</f>
        <v>#REF!</v>
      </c>
      <c r="M7671" s="33" t="str">
        <f t="shared" si="479"/>
        <v>P&amp;L</v>
      </c>
    </row>
    <row r="7672" spans="1:13">
      <c r="A7672" s="33" t="str">
        <f t="shared" si="476"/>
        <v>SCL - CGS</v>
      </c>
      <c r="B7672" s="33" t="str">
        <f t="shared" si="477"/>
        <v>SCL</v>
      </c>
      <c r="C7672" s="33" t="str">
        <f t="shared" si="478"/>
        <v>52002-7363</v>
      </c>
      <c r="D7672" s="64" t="s">
        <v>8921</v>
      </c>
      <c r="E7672" s="64" t="s">
        <v>2927</v>
      </c>
      <c r="F7672" s="64" t="s">
        <v>15</v>
      </c>
      <c r="G7672" s="64" t="s">
        <v>2921</v>
      </c>
      <c r="H7672" s="64" t="s">
        <v>1875</v>
      </c>
      <c r="I7672" s="64" t="s">
        <v>2928</v>
      </c>
      <c r="J7672" s="67">
        <v>13894.3</v>
      </c>
      <c r="K7672" s="62">
        <v>93879.79</v>
      </c>
      <c r="L7672" s="33" t="e">
        <f>HLOOKUP(B7672,#REF!,1,0)</f>
        <v>#REF!</v>
      </c>
      <c r="M7672" s="33" t="str">
        <f t="shared" si="479"/>
        <v>P&amp;L</v>
      </c>
    </row>
    <row r="7673" spans="1:13">
      <c r="A7673" s="33" t="str">
        <f t="shared" si="476"/>
        <v>SCL - CGS</v>
      </c>
      <c r="B7673" s="33" t="str">
        <f t="shared" si="477"/>
        <v>SCL</v>
      </c>
      <c r="C7673" s="33" t="str">
        <f t="shared" si="478"/>
        <v>52002-7364</v>
      </c>
      <c r="D7673" s="64" t="s">
        <v>8922</v>
      </c>
      <c r="E7673" s="64" t="s">
        <v>2927</v>
      </c>
      <c r="F7673" s="64" t="s">
        <v>15</v>
      </c>
      <c r="G7673" s="64" t="s">
        <v>2921</v>
      </c>
      <c r="H7673" s="64" t="s">
        <v>1875</v>
      </c>
      <c r="I7673" s="64" t="s">
        <v>2928</v>
      </c>
      <c r="J7673" s="67">
        <v>6818.48</v>
      </c>
      <c r="K7673" s="62">
        <v>55470.38</v>
      </c>
      <c r="L7673" s="33" t="e">
        <f>HLOOKUP(B7673,#REF!,1,0)</f>
        <v>#REF!</v>
      </c>
      <c r="M7673" s="33" t="str">
        <f t="shared" si="479"/>
        <v>P&amp;L</v>
      </c>
    </row>
    <row r="7674" spans="1:13">
      <c r="A7674" s="33" t="str">
        <f t="shared" si="476"/>
        <v>SCL - CGS</v>
      </c>
      <c r="B7674" s="33" t="str">
        <f t="shared" si="477"/>
        <v>SCL</v>
      </c>
      <c r="C7674" s="33" t="str">
        <f t="shared" si="478"/>
        <v>52002-7365</v>
      </c>
      <c r="D7674" s="64" t="s">
        <v>8923</v>
      </c>
      <c r="E7674" s="64" t="s">
        <v>2927</v>
      </c>
      <c r="F7674" s="64" t="s">
        <v>15</v>
      </c>
      <c r="G7674" s="64" t="s">
        <v>2921</v>
      </c>
      <c r="H7674" s="64" t="s">
        <v>1875</v>
      </c>
      <c r="I7674" s="64" t="s">
        <v>2928</v>
      </c>
      <c r="J7674" s="67">
        <v>3609.58</v>
      </c>
      <c r="K7674" s="62">
        <v>16036.15</v>
      </c>
      <c r="L7674" s="33" t="e">
        <f>HLOOKUP(B7674,#REF!,1,0)</f>
        <v>#REF!</v>
      </c>
      <c r="M7674" s="33" t="str">
        <f t="shared" si="479"/>
        <v>P&amp;L</v>
      </c>
    </row>
    <row r="7675" spans="1:13">
      <c r="A7675" s="33" t="str">
        <f t="shared" si="476"/>
        <v>SCL - CGS</v>
      </c>
      <c r="B7675" s="33" t="str">
        <f t="shared" si="477"/>
        <v>SCL</v>
      </c>
      <c r="C7675" s="33" t="str">
        <f t="shared" si="478"/>
        <v>52002-7366</v>
      </c>
      <c r="D7675" s="64" t="s">
        <v>8924</v>
      </c>
      <c r="E7675" s="64" t="s">
        <v>2927</v>
      </c>
      <c r="F7675" s="64" t="s">
        <v>15</v>
      </c>
      <c r="G7675" s="64" t="s">
        <v>2921</v>
      </c>
      <c r="H7675" s="64" t="s">
        <v>1875</v>
      </c>
      <c r="I7675" s="64" t="s">
        <v>2928</v>
      </c>
      <c r="J7675" s="67">
        <v>6053.23</v>
      </c>
      <c r="K7675" s="62">
        <v>70654.31</v>
      </c>
      <c r="L7675" s="33" t="e">
        <f>HLOOKUP(B7675,#REF!,1,0)</f>
        <v>#REF!</v>
      </c>
      <c r="M7675" s="33" t="str">
        <f t="shared" si="479"/>
        <v>P&amp;L</v>
      </c>
    </row>
    <row r="7676" spans="1:13">
      <c r="A7676" s="33" t="str">
        <f t="shared" si="476"/>
        <v>SCL - CGS</v>
      </c>
      <c r="B7676" s="33" t="str">
        <f t="shared" si="477"/>
        <v>SCL</v>
      </c>
      <c r="C7676" s="33" t="str">
        <f t="shared" si="478"/>
        <v>52002-7368</v>
      </c>
      <c r="D7676" s="64" t="s">
        <v>8925</v>
      </c>
      <c r="E7676" s="64" t="s">
        <v>2927</v>
      </c>
      <c r="F7676" s="64" t="s">
        <v>15</v>
      </c>
      <c r="G7676" s="64" t="s">
        <v>2921</v>
      </c>
      <c r="H7676" s="64" t="s">
        <v>1875</v>
      </c>
      <c r="I7676" s="64" t="s">
        <v>2928</v>
      </c>
      <c r="J7676" s="67">
        <v>13931.32</v>
      </c>
      <c r="K7676" s="62">
        <v>119826.44</v>
      </c>
      <c r="L7676" s="33" t="e">
        <f>HLOOKUP(B7676,#REF!,1,0)</f>
        <v>#REF!</v>
      </c>
      <c r="M7676" s="33" t="str">
        <f t="shared" si="479"/>
        <v>P&amp;L</v>
      </c>
    </row>
    <row r="7677" spans="1:13">
      <c r="A7677" s="33" t="str">
        <f t="shared" si="476"/>
        <v>SCL - CGS</v>
      </c>
      <c r="B7677" s="33" t="str">
        <f t="shared" si="477"/>
        <v>SCL</v>
      </c>
      <c r="C7677" s="33" t="str">
        <f t="shared" si="478"/>
        <v>52002-7369</v>
      </c>
      <c r="D7677" s="64" t="s">
        <v>8926</v>
      </c>
      <c r="E7677" s="64" t="s">
        <v>2927</v>
      </c>
      <c r="F7677" s="64" t="s">
        <v>15</v>
      </c>
      <c r="G7677" s="64" t="s">
        <v>2921</v>
      </c>
      <c r="H7677" s="64" t="s">
        <v>1875</v>
      </c>
      <c r="I7677" s="64" t="s">
        <v>2928</v>
      </c>
      <c r="J7677" s="67">
        <v>2376.26</v>
      </c>
      <c r="K7677" s="62">
        <v>29485.98</v>
      </c>
      <c r="L7677" s="33" t="e">
        <f>HLOOKUP(B7677,#REF!,1,0)</f>
        <v>#REF!</v>
      </c>
      <c r="M7677" s="33" t="str">
        <f t="shared" si="479"/>
        <v>P&amp;L</v>
      </c>
    </row>
    <row r="7678" spans="1:13">
      <c r="A7678" s="33" t="str">
        <f t="shared" si="476"/>
        <v>SCL - CGS</v>
      </c>
      <c r="B7678" s="33" t="str">
        <f t="shared" si="477"/>
        <v>SCL</v>
      </c>
      <c r="C7678" s="33" t="str">
        <f t="shared" si="478"/>
        <v>52002-7371</v>
      </c>
      <c r="D7678" s="64" t="s">
        <v>8927</v>
      </c>
      <c r="E7678" s="64" t="s">
        <v>2927</v>
      </c>
      <c r="F7678" s="64" t="s">
        <v>15</v>
      </c>
      <c r="G7678" s="64" t="s">
        <v>2921</v>
      </c>
      <c r="H7678" s="64" t="s">
        <v>1875</v>
      </c>
      <c r="I7678" s="64" t="s">
        <v>2928</v>
      </c>
      <c r="J7678" s="67">
        <v>5727.48</v>
      </c>
      <c r="K7678" s="62">
        <v>48916.35</v>
      </c>
      <c r="L7678" s="33" t="e">
        <f>HLOOKUP(B7678,#REF!,1,0)</f>
        <v>#REF!</v>
      </c>
      <c r="M7678" s="33" t="str">
        <f t="shared" si="479"/>
        <v>P&amp;L</v>
      </c>
    </row>
    <row r="7679" spans="1:13">
      <c r="A7679" s="33" t="str">
        <f t="shared" si="476"/>
        <v>SCL - CGS</v>
      </c>
      <c r="B7679" s="33" t="str">
        <f t="shared" si="477"/>
        <v>SCL</v>
      </c>
      <c r="C7679" s="33" t="str">
        <f t="shared" si="478"/>
        <v>52002-7374</v>
      </c>
      <c r="D7679" s="64" t="s">
        <v>8928</v>
      </c>
      <c r="E7679" s="64" t="s">
        <v>2927</v>
      </c>
      <c r="F7679" s="64" t="s">
        <v>15</v>
      </c>
      <c r="G7679" s="64" t="s">
        <v>2921</v>
      </c>
      <c r="H7679" s="64" t="s">
        <v>1875</v>
      </c>
      <c r="I7679" s="64" t="s">
        <v>2928</v>
      </c>
      <c r="J7679" s="67">
        <v>6529.36</v>
      </c>
      <c r="K7679" s="62">
        <v>70603.95</v>
      </c>
      <c r="L7679" s="33" t="e">
        <f>HLOOKUP(B7679,#REF!,1,0)</f>
        <v>#REF!</v>
      </c>
      <c r="M7679" s="33" t="str">
        <f t="shared" si="479"/>
        <v>P&amp;L</v>
      </c>
    </row>
    <row r="7680" spans="1:13">
      <c r="A7680" s="33" t="str">
        <f t="shared" si="476"/>
        <v>SCL - CGS</v>
      </c>
      <c r="B7680" s="33" t="str">
        <f t="shared" si="477"/>
        <v>SCL</v>
      </c>
      <c r="C7680" s="33" t="str">
        <f t="shared" si="478"/>
        <v>52002-7375</v>
      </c>
      <c r="D7680" s="64" t="s">
        <v>8929</v>
      </c>
      <c r="E7680" s="64" t="s">
        <v>2927</v>
      </c>
      <c r="F7680" s="64" t="s">
        <v>15</v>
      </c>
      <c r="G7680" s="64" t="s">
        <v>2921</v>
      </c>
      <c r="H7680" s="64" t="s">
        <v>1875</v>
      </c>
      <c r="I7680" s="64" t="s">
        <v>2928</v>
      </c>
      <c r="J7680" s="67">
        <v>2268.8</v>
      </c>
      <c r="K7680" s="62">
        <v>29828.12</v>
      </c>
      <c r="L7680" s="33" t="e">
        <f>HLOOKUP(B7680,#REF!,1,0)</f>
        <v>#REF!</v>
      </c>
      <c r="M7680" s="33" t="str">
        <f t="shared" si="479"/>
        <v>P&amp;L</v>
      </c>
    </row>
    <row r="7681" spans="1:13">
      <c r="A7681" s="33" t="str">
        <f t="shared" si="476"/>
        <v>SCL - CGS</v>
      </c>
      <c r="B7681" s="33" t="str">
        <f t="shared" si="477"/>
        <v>SCL</v>
      </c>
      <c r="C7681" s="33" t="str">
        <f t="shared" si="478"/>
        <v>52002-7376</v>
      </c>
      <c r="D7681" s="64" t="s">
        <v>8930</v>
      </c>
      <c r="E7681" s="64" t="s">
        <v>2927</v>
      </c>
      <c r="F7681" s="64" t="s">
        <v>15</v>
      </c>
      <c r="G7681" s="64" t="s">
        <v>2921</v>
      </c>
      <c r="H7681" s="64" t="s">
        <v>1875</v>
      </c>
      <c r="I7681" s="64" t="s">
        <v>2928</v>
      </c>
      <c r="J7681" s="67">
        <v>10320.88</v>
      </c>
      <c r="K7681" s="62">
        <v>91336.22</v>
      </c>
      <c r="L7681" s="33" t="e">
        <f>HLOOKUP(B7681,#REF!,1,0)</f>
        <v>#REF!</v>
      </c>
      <c r="M7681" s="33" t="str">
        <f t="shared" si="479"/>
        <v>P&amp;L</v>
      </c>
    </row>
    <row r="7682" spans="1:13">
      <c r="A7682" s="33" t="str">
        <f t="shared" ref="A7682:A7745" si="480">B7682&amp;" - "&amp;TRIM(H7682)</f>
        <v>SCL - CGS</v>
      </c>
      <c r="B7682" s="33" t="str">
        <f t="shared" ref="B7682:B7745" si="481">LEFT(D7682,3)</f>
        <v>SCL</v>
      </c>
      <c r="C7682" s="33" t="str">
        <f t="shared" ref="C7682:C7745" si="482">RIGHT(D7682,10)</f>
        <v>52002-7377</v>
      </c>
      <c r="D7682" s="64" t="s">
        <v>8931</v>
      </c>
      <c r="E7682" s="64" t="s">
        <v>2927</v>
      </c>
      <c r="F7682" s="64" t="s">
        <v>15</v>
      </c>
      <c r="G7682" s="64" t="s">
        <v>2921</v>
      </c>
      <c r="H7682" s="64" t="s">
        <v>1875</v>
      </c>
      <c r="I7682" s="64" t="s">
        <v>2928</v>
      </c>
      <c r="J7682" s="67">
        <v>8781.15</v>
      </c>
      <c r="K7682" s="62">
        <v>69418.95</v>
      </c>
      <c r="L7682" s="33" t="e">
        <f>HLOOKUP(B7682,#REF!,1,0)</f>
        <v>#REF!</v>
      </c>
      <c r="M7682" s="33" t="str">
        <f t="shared" ref="M7682:M7745" si="483">IF(VALUE(LEFT(C7682,5))&gt;40000,"P&amp;L","BS")</f>
        <v>P&amp;L</v>
      </c>
    </row>
    <row r="7683" spans="1:13">
      <c r="A7683" s="33" t="str">
        <f t="shared" si="480"/>
        <v>SCL - CGS</v>
      </c>
      <c r="B7683" s="33" t="str">
        <f t="shared" si="481"/>
        <v>SCL</v>
      </c>
      <c r="C7683" s="33" t="str">
        <f t="shared" si="482"/>
        <v>52002-7378</v>
      </c>
      <c r="D7683" s="64" t="s">
        <v>8932</v>
      </c>
      <c r="E7683" s="64" t="s">
        <v>2927</v>
      </c>
      <c r="F7683" s="64" t="s">
        <v>15</v>
      </c>
      <c r="G7683" s="64" t="s">
        <v>2921</v>
      </c>
      <c r="H7683" s="64" t="s">
        <v>1875</v>
      </c>
      <c r="I7683" s="64" t="s">
        <v>2928</v>
      </c>
      <c r="J7683" s="67">
        <v>10123.61</v>
      </c>
      <c r="K7683" s="62">
        <v>90112.12</v>
      </c>
      <c r="L7683" s="33" t="e">
        <f>HLOOKUP(B7683,#REF!,1,0)</f>
        <v>#REF!</v>
      </c>
      <c r="M7683" s="33" t="str">
        <f t="shared" si="483"/>
        <v>P&amp;L</v>
      </c>
    </row>
    <row r="7684" spans="1:13">
      <c r="A7684" s="33" t="str">
        <f t="shared" si="480"/>
        <v>SCL - CGS</v>
      </c>
      <c r="B7684" s="33" t="str">
        <f t="shared" si="481"/>
        <v>SCL</v>
      </c>
      <c r="C7684" s="33" t="str">
        <f t="shared" si="482"/>
        <v>52002-7379</v>
      </c>
      <c r="D7684" s="64" t="s">
        <v>8933</v>
      </c>
      <c r="E7684" s="64" t="s">
        <v>2927</v>
      </c>
      <c r="F7684" s="64" t="s">
        <v>15</v>
      </c>
      <c r="G7684" s="64" t="s">
        <v>2921</v>
      </c>
      <c r="H7684" s="64" t="s">
        <v>1875</v>
      </c>
      <c r="I7684" s="64" t="s">
        <v>2928</v>
      </c>
      <c r="J7684" s="67">
        <v>5250.72</v>
      </c>
      <c r="K7684" s="62">
        <v>48768</v>
      </c>
      <c r="L7684" s="33" t="e">
        <f>HLOOKUP(B7684,#REF!,1,0)</f>
        <v>#REF!</v>
      </c>
      <c r="M7684" s="33" t="str">
        <f t="shared" si="483"/>
        <v>P&amp;L</v>
      </c>
    </row>
    <row r="7685" spans="1:13">
      <c r="A7685" s="33" t="str">
        <f t="shared" si="480"/>
        <v>SCL - CGS</v>
      </c>
      <c r="B7685" s="33" t="str">
        <f t="shared" si="481"/>
        <v>SCL</v>
      </c>
      <c r="C7685" s="33" t="str">
        <f t="shared" si="482"/>
        <v>52002-7380</v>
      </c>
      <c r="D7685" s="64" t="s">
        <v>8934</v>
      </c>
      <c r="E7685" s="64" t="s">
        <v>2927</v>
      </c>
      <c r="F7685" s="64" t="s">
        <v>15</v>
      </c>
      <c r="G7685" s="64" t="s">
        <v>2921</v>
      </c>
      <c r="H7685" s="64" t="s">
        <v>1875</v>
      </c>
      <c r="I7685" s="64" t="s">
        <v>2928</v>
      </c>
      <c r="J7685" s="67">
        <v>5641.34</v>
      </c>
      <c r="K7685" s="62">
        <v>46018.82</v>
      </c>
      <c r="L7685" s="33" t="e">
        <f>HLOOKUP(B7685,#REF!,1,0)</f>
        <v>#REF!</v>
      </c>
      <c r="M7685" s="33" t="str">
        <f t="shared" si="483"/>
        <v>P&amp;L</v>
      </c>
    </row>
    <row r="7686" spans="1:13">
      <c r="A7686" s="33" t="str">
        <f t="shared" si="480"/>
        <v>SCL - CGS</v>
      </c>
      <c r="B7686" s="33" t="str">
        <f t="shared" si="481"/>
        <v>SCL</v>
      </c>
      <c r="C7686" s="33" t="str">
        <f t="shared" si="482"/>
        <v>52002-7381</v>
      </c>
      <c r="D7686" s="64" t="s">
        <v>8935</v>
      </c>
      <c r="E7686" s="64" t="s">
        <v>2927</v>
      </c>
      <c r="F7686" s="64" t="s">
        <v>15</v>
      </c>
      <c r="G7686" s="64" t="s">
        <v>2921</v>
      </c>
      <c r="H7686" s="64" t="s">
        <v>1875</v>
      </c>
      <c r="I7686" s="64" t="s">
        <v>2928</v>
      </c>
      <c r="J7686" s="67">
        <v>6848.75</v>
      </c>
      <c r="K7686" s="62">
        <v>63729.46</v>
      </c>
      <c r="L7686" s="33" t="e">
        <f>HLOOKUP(B7686,#REF!,1,0)</f>
        <v>#REF!</v>
      </c>
      <c r="M7686" s="33" t="str">
        <f t="shared" si="483"/>
        <v>P&amp;L</v>
      </c>
    </row>
    <row r="7687" spans="1:13">
      <c r="A7687" s="33" t="str">
        <f t="shared" si="480"/>
        <v>SCL - CGS</v>
      </c>
      <c r="B7687" s="33" t="str">
        <f t="shared" si="481"/>
        <v>SCL</v>
      </c>
      <c r="C7687" s="33" t="str">
        <f t="shared" si="482"/>
        <v>52002-7383</v>
      </c>
      <c r="D7687" s="64" t="s">
        <v>8936</v>
      </c>
      <c r="E7687" s="64" t="s">
        <v>2927</v>
      </c>
      <c r="F7687" s="64" t="s">
        <v>15</v>
      </c>
      <c r="G7687" s="64" t="s">
        <v>2921</v>
      </c>
      <c r="H7687" s="64" t="s">
        <v>1875</v>
      </c>
      <c r="I7687" s="64" t="s">
        <v>2928</v>
      </c>
      <c r="J7687" s="67">
        <v>5749.23</v>
      </c>
      <c r="K7687" s="62">
        <v>82498.92</v>
      </c>
      <c r="L7687" s="33" t="e">
        <f>HLOOKUP(B7687,#REF!,1,0)</f>
        <v>#REF!</v>
      </c>
      <c r="M7687" s="33" t="str">
        <f t="shared" si="483"/>
        <v>P&amp;L</v>
      </c>
    </row>
    <row r="7688" spans="1:13">
      <c r="A7688" s="33" t="str">
        <f t="shared" si="480"/>
        <v>SCL - CGS</v>
      </c>
      <c r="B7688" s="33" t="str">
        <f t="shared" si="481"/>
        <v>SCL</v>
      </c>
      <c r="C7688" s="33" t="str">
        <f t="shared" si="482"/>
        <v>52002-7385</v>
      </c>
      <c r="D7688" s="64" t="s">
        <v>8937</v>
      </c>
      <c r="E7688" s="64" t="s">
        <v>2927</v>
      </c>
      <c r="F7688" s="64" t="s">
        <v>15</v>
      </c>
      <c r="G7688" s="64" t="s">
        <v>2921</v>
      </c>
      <c r="H7688" s="64" t="s">
        <v>1875</v>
      </c>
      <c r="I7688" s="64" t="s">
        <v>2928</v>
      </c>
      <c r="J7688" s="67">
        <v>2720</v>
      </c>
      <c r="K7688" s="62">
        <v>27414.46</v>
      </c>
      <c r="L7688" s="33" t="e">
        <f>HLOOKUP(B7688,#REF!,1,0)</f>
        <v>#REF!</v>
      </c>
      <c r="M7688" s="33" t="str">
        <f t="shared" si="483"/>
        <v>P&amp;L</v>
      </c>
    </row>
    <row r="7689" spans="1:13">
      <c r="A7689" s="33" t="str">
        <f t="shared" si="480"/>
        <v>SCL - CGS</v>
      </c>
      <c r="B7689" s="33" t="str">
        <f t="shared" si="481"/>
        <v>SCL</v>
      </c>
      <c r="C7689" s="33" t="str">
        <f t="shared" si="482"/>
        <v>52002-7386</v>
      </c>
      <c r="D7689" s="64" t="s">
        <v>8938</v>
      </c>
      <c r="E7689" s="64" t="s">
        <v>2927</v>
      </c>
      <c r="F7689" s="64" t="s">
        <v>15</v>
      </c>
      <c r="G7689" s="64" t="s">
        <v>2921</v>
      </c>
      <c r="H7689" s="64" t="s">
        <v>1875</v>
      </c>
      <c r="I7689" s="64" t="s">
        <v>2928</v>
      </c>
      <c r="J7689" s="67">
        <v>12196.18</v>
      </c>
      <c r="K7689" s="62">
        <v>78127.73</v>
      </c>
      <c r="L7689" s="33" t="e">
        <f>HLOOKUP(B7689,#REF!,1,0)</f>
        <v>#REF!</v>
      </c>
      <c r="M7689" s="33" t="str">
        <f t="shared" si="483"/>
        <v>P&amp;L</v>
      </c>
    </row>
    <row r="7690" spans="1:13">
      <c r="A7690" s="33" t="str">
        <f t="shared" si="480"/>
        <v>SCL - CGS</v>
      </c>
      <c r="B7690" s="33" t="str">
        <f t="shared" si="481"/>
        <v>SCL</v>
      </c>
      <c r="C7690" s="33" t="str">
        <f t="shared" si="482"/>
        <v>52002-7387</v>
      </c>
      <c r="D7690" s="64" t="s">
        <v>8939</v>
      </c>
      <c r="E7690" s="64" t="s">
        <v>2927</v>
      </c>
      <c r="F7690" s="64" t="s">
        <v>15</v>
      </c>
      <c r="G7690" s="64" t="s">
        <v>2921</v>
      </c>
      <c r="H7690" s="64" t="s">
        <v>1875</v>
      </c>
      <c r="I7690" s="64" t="s">
        <v>2928</v>
      </c>
      <c r="J7690" s="67">
        <v>5943.41</v>
      </c>
      <c r="K7690" s="62">
        <v>62478.5</v>
      </c>
      <c r="L7690" s="33" t="e">
        <f>HLOOKUP(B7690,#REF!,1,0)</f>
        <v>#REF!</v>
      </c>
      <c r="M7690" s="33" t="str">
        <f t="shared" si="483"/>
        <v>P&amp;L</v>
      </c>
    </row>
    <row r="7691" spans="1:13">
      <c r="A7691" s="33" t="str">
        <f t="shared" si="480"/>
        <v>SCL - CGS</v>
      </c>
      <c r="B7691" s="33" t="str">
        <f t="shared" si="481"/>
        <v>SCL</v>
      </c>
      <c r="C7691" s="33" t="str">
        <f t="shared" si="482"/>
        <v>52002-7389</v>
      </c>
      <c r="D7691" s="64" t="s">
        <v>8940</v>
      </c>
      <c r="E7691" s="64" t="s">
        <v>2927</v>
      </c>
      <c r="F7691" s="64" t="s">
        <v>15</v>
      </c>
      <c r="G7691" s="64" t="s">
        <v>2921</v>
      </c>
      <c r="H7691" s="64" t="s">
        <v>1875</v>
      </c>
      <c r="I7691" s="64" t="s">
        <v>2928</v>
      </c>
      <c r="J7691" s="67">
        <v>5075.13</v>
      </c>
      <c r="K7691" s="62">
        <v>70162.05</v>
      </c>
      <c r="L7691" s="33" t="e">
        <f>HLOOKUP(B7691,#REF!,1,0)</f>
        <v>#REF!</v>
      </c>
      <c r="M7691" s="33" t="str">
        <f t="shared" si="483"/>
        <v>P&amp;L</v>
      </c>
    </row>
    <row r="7692" spans="1:13">
      <c r="A7692" s="33" t="str">
        <f t="shared" si="480"/>
        <v>SCL - CGS</v>
      </c>
      <c r="B7692" s="33" t="str">
        <f t="shared" si="481"/>
        <v>SCL</v>
      </c>
      <c r="C7692" s="33" t="str">
        <f t="shared" si="482"/>
        <v>52002-7391</v>
      </c>
      <c r="D7692" s="64" t="s">
        <v>8941</v>
      </c>
      <c r="E7692" s="64" t="s">
        <v>2927</v>
      </c>
      <c r="F7692" s="64" t="s">
        <v>15</v>
      </c>
      <c r="G7692" s="64" t="s">
        <v>2921</v>
      </c>
      <c r="H7692" s="64" t="s">
        <v>1875</v>
      </c>
      <c r="I7692" s="64" t="s">
        <v>2928</v>
      </c>
      <c r="J7692" s="67">
        <v>2488.29</v>
      </c>
      <c r="K7692" s="62">
        <v>26329.24</v>
      </c>
      <c r="L7692" s="33" t="e">
        <f>HLOOKUP(B7692,#REF!,1,0)</f>
        <v>#REF!</v>
      </c>
      <c r="M7692" s="33" t="str">
        <f t="shared" si="483"/>
        <v>P&amp;L</v>
      </c>
    </row>
    <row r="7693" spans="1:13">
      <c r="A7693" s="33" t="str">
        <f t="shared" si="480"/>
        <v>SCL - CGS</v>
      </c>
      <c r="B7693" s="33" t="str">
        <f t="shared" si="481"/>
        <v>SCL</v>
      </c>
      <c r="C7693" s="33" t="str">
        <f t="shared" si="482"/>
        <v>52002-7393</v>
      </c>
      <c r="D7693" s="64" t="s">
        <v>8942</v>
      </c>
      <c r="E7693" s="64" t="s">
        <v>2927</v>
      </c>
      <c r="F7693" s="64" t="s">
        <v>15</v>
      </c>
      <c r="G7693" s="64" t="s">
        <v>2921</v>
      </c>
      <c r="H7693" s="64" t="s">
        <v>1875</v>
      </c>
      <c r="I7693" s="64" t="s">
        <v>2928</v>
      </c>
      <c r="J7693" s="67">
        <v>8158.04</v>
      </c>
      <c r="K7693" s="62">
        <v>43358.06</v>
      </c>
      <c r="L7693" s="33" t="e">
        <f>HLOOKUP(B7693,#REF!,1,0)</f>
        <v>#REF!</v>
      </c>
      <c r="M7693" s="33" t="str">
        <f t="shared" si="483"/>
        <v>P&amp;L</v>
      </c>
    </row>
    <row r="7694" spans="1:13">
      <c r="A7694" s="33" t="str">
        <f t="shared" si="480"/>
        <v>SCL - CGS</v>
      </c>
      <c r="B7694" s="33" t="str">
        <f t="shared" si="481"/>
        <v>SCL</v>
      </c>
      <c r="C7694" s="33" t="str">
        <f t="shared" si="482"/>
        <v>52002-7394</v>
      </c>
      <c r="D7694" s="64" t="s">
        <v>8943</v>
      </c>
      <c r="E7694" s="64" t="s">
        <v>2927</v>
      </c>
      <c r="F7694" s="64" t="s">
        <v>15</v>
      </c>
      <c r="G7694" s="64" t="s">
        <v>2921</v>
      </c>
      <c r="H7694" s="64" t="s">
        <v>1875</v>
      </c>
      <c r="I7694" s="64" t="s">
        <v>2928</v>
      </c>
      <c r="J7694" s="67">
        <v>8047.68</v>
      </c>
      <c r="K7694" s="62">
        <v>35426.65</v>
      </c>
      <c r="L7694" s="33" t="e">
        <f>HLOOKUP(B7694,#REF!,1,0)</f>
        <v>#REF!</v>
      </c>
      <c r="M7694" s="33" t="str">
        <f t="shared" si="483"/>
        <v>P&amp;L</v>
      </c>
    </row>
    <row r="7695" spans="1:13">
      <c r="A7695" s="33" t="str">
        <f t="shared" si="480"/>
        <v>SCL - CGS</v>
      </c>
      <c r="B7695" s="33" t="str">
        <f t="shared" si="481"/>
        <v>SCL</v>
      </c>
      <c r="C7695" s="33" t="str">
        <f t="shared" si="482"/>
        <v>52002-7396</v>
      </c>
      <c r="D7695" s="64" t="s">
        <v>8944</v>
      </c>
      <c r="E7695" s="64" t="s">
        <v>2927</v>
      </c>
      <c r="F7695" s="64" t="s">
        <v>15</v>
      </c>
      <c r="G7695" s="64" t="s">
        <v>2921</v>
      </c>
      <c r="H7695" s="64" t="s">
        <v>1875</v>
      </c>
      <c r="I7695" s="64" t="s">
        <v>2928</v>
      </c>
      <c r="J7695" s="67">
        <v>1613.95</v>
      </c>
      <c r="K7695" s="62">
        <v>13307.72</v>
      </c>
      <c r="L7695" s="33" t="e">
        <f>HLOOKUP(B7695,#REF!,1,0)</f>
        <v>#REF!</v>
      </c>
      <c r="M7695" s="33" t="str">
        <f t="shared" si="483"/>
        <v>P&amp;L</v>
      </c>
    </row>
    <row r="7696" spans="1:13">
      <c r="A7696" s="33" t="str">
        <f t="shared" si="480"/>
        <v>SCL - CGS</v>
      </c>
      <c r="B7696" s="33" t="str">
        <f t="shared" si="481"/>
        <v>SCL</v>
      </c>
      <c r="C7696" s="33" t="str">
        <f t="shared" si="482"/>
        <v>52002-7397</v>
      </c>
      <c r="D7696" s="64" t="s">
        <v>8945</v>
      </c>
      <c r="E7696" s="64" t="s">
        <v>2927</v>
      </c>
      <c r="F7696" s="64" t="s">
        <v>15</v>
      </c>
      <c r="G7696" s="64" t="s">
        <v>2921</v>
      </c>
      <c r="H7696" s="64" t="s">
        <v>1875</v>
      </c>
      <c r="I7696" s="64" t="s">
        <v>2928</v>
      </c>
      <c r="J7696" s="67">
        <v>5235.08</v>
      </c>
      <c r="K7696" s="62">
        <v>44202.49</v>
      </c>
      <c r="L7696" s="33" t="e">
        <f>HLOOKUP(B7696,#REF!,1,0)</f>
        <v>#REF!</v>
      </c>
      <c r="M7696" s="33" t="str">
        <f t="shared" si="483"/>
        <v>P&amp;L</v>
      </c>
    </row>
    <row r="7697" spans="1:13">
      <c r="A7697" s="33" t="str">
        <f t="shared" si="480"/>
        <v>SCL - CGS</v>
      </c>
      <c r="B7697" s="33" t="str">
        <f t="shared" si="481"/>
        <v>SCL</v>
      </c>
      <c r="C7697" s="33" t="str">
        <f t="shared" si="482"/>
        <v>52002-7398</v>
      </c>
      <c r="D7697" s="64" t="s">
        <v>8946</v>
      </c>
      <c r="E7697" s="64" t="s">
        <v>2927</v>
      </c>
      <c r="F7697" s="64" t="s">
        <v>15</v>
      </c>
      <c r="G7697" s="64" t="s">
        <v>2921</v>
      </c>
      <c r="H7697" s="64" t="s">
        <v>1875</v>
      </c>
      <c r="I7697" s="64" t="s">
        <v>2928</v>
      </c>
      <c r="J7697" s="67">
        <v>2330.36</v>
      </c>
      <c r="K7697" s="62">
        <v>51422.83</v>
      </c>
      <c r="L7697" s="33" t="e">
        <f>HLOOKUP(B7697,#REF!,1,0)</f>
        <v>#REF!</v>
      </c>
      <c r="M7697" s="33" t="str">
        <f t="shared" si="483"/>
        <v>P&amp;L</v>
      </c>
    </row>
    <row r="7698" spans="1:13">
      <c r="A7698" s="33" t="str">
        <f t="shared" si="480"/>
        <v>SCL - CGS</v>
      </c>
      <c r="B7698" s="33" t="str">
        <f t="shared" si="481"/>
        <v>SCL</v>
      </c>
      <c r="C7698" s="33" t="str">
        <f t="shared" si="482"/>
        <v>52002-7400</v>
      </c>
      <c r="D7698" s="64" t="s">
        <v>8947</v>
      </c>
      <c r="E7698" s="64" t="s">
        <v>2927</v>
      </c>
      <c r="F7698" s="64" t="s">
        <v>15</v>
      </c>
      <c r="G7698" s="64" t="s">
        <v>2921</v>
      </c>
      <c r="H7698" s="64" t="s">
        <v>1875</v>
      </c>
      <c r="I7698" s="64" t="s">
        <v>2928</v>
      </c>
      <c r="J7698" s="67">
        <v>5050.82</v>
      </c>
      <c r="K7698" s="62">
        <v>58167.81</v>
      </c>
      <c r="L7698" s="33" t="e">
        <f>HLOOKUP(B7698,#REF!,1,0)</f>
        <v>#REF!</v>
      </c>
      <c r="M7698" s="33" t="str">
        <f t="shared" si="483"/>
        <v>P&amp;L</v>
      </c>
    </row>
    <row r="7699" spans="1:13">
      <c r="A7699" s="33" t="str">
        <f t="shared" si="480"/>
        <v>SCL - CGS</v>
      </c>
      <c r="B7699" s="33" t="str">
        <f t="shared" si="481"/>
        <v>SCL</v>
      </c>
      <c r="C7699" s="33" t="str">
        <f t="shared" si="482"/>
        <v>52002-7401</v>
      </c>
      <c r="D7699" s="64" t="s">
        <v>8948</v>
      </c>
      <c r="E7699" s="64" t="s">
        <v>2927</v>
      </c>
      <c r="F7699" s="64" t="s">
        <v>15</v>
      </c>
      <c r="G7699" s="64" t="s">
        <v>2921</v>
      </c>
      <c r="H7699" s="64" t="s">
        <v>1875</v>
      </c>
      <c r="I7699" s="64" t="s">
        <v>2928</v>
      </c>
      <c r="J7699" s="67">
        <v>2498.1</v>
      </c>
      <c r="K7699" s="62">
        <v>24583.46</v>
      </c>
      <c r="L7699" s="33" t="e">
        <f>HLOOKUP(B7699,#REF!,1,0)</f>
        <v>#REF!</v>
      </c>
      <c r="M7699" s="33" t="str">
        <f t="shared" si="483"/>
        <v>P&amp;L</v>
      </c>
    </row>
    <row r="7700" spans="1:13">
      <c r="A7700" s="33" t="str">
        <f t="shared" si="480"/>
        <v>SCL - CGS</v>
      </c>
      <c r="B7700" s="33" t="str">
        <f t="shared" si="481"/>
        <v>SCL</v>
      </c>
      <c r="C7700" s="33" t="str">
        <f t="shared" si="482"/>
        <v>52002-7402</v>
      </c>
      <c r="D7700" s="64" t="s">
        <v>8949</v>
      </c>
      <c r="E7700" s="64" t="s">
        <v>2927</v>
      </c>
      <c r="F7700" s="64" t="s">
        <v>15</v>
      </c>
      <c r="G7700" s="64" t="s">
        <v>2921</v>
      </c>
      <c r="H7700" s="64" t="s">
        <v>1875</v>
      </c>
      <c r="I7700" s="64" t="s">
        <v>2928</v>
      </c>
      <c r="J7700" s="67">
        <v>6461.66</v>
      </c>
      <c r="K7700" s="62">
        <v>87800.08</v>
      </c>
      <c r="L7700" s="33" t="e">
        <f>HLOOKUP(B7700,#REF!,1,0)</f>
        <v>#REF!</v>
      </c>
      <c r="M7700" s="33" t="str">
        <f t="shared" si="483"/>
        <v>P&amp;L</v>
      </c>
    </row>
    <row r="7701" spans="1:13">
      <c r="A7701" s="33" t="str">
        <f t="shared" si="480"/>
        <v>SCL - CGS</v>
      </c>
      <c r="B7701" s="33" t="str">
        <f t="shared" si="481"/>
        <v>SCL</v>
      </c>
      <c r="C7701" s="33" t="str">
        <f t="shared" si="482"/>
        <v>52002-7403</v>
      </c>
      <c r="D7701" s="64" t="s">
        <v>8950</v>
      </c>
      <c r="E7701" s="64" t="s">
        <v>2927</v>
      </c>
      <c r="F7701" s="64" t="s">
        <v>15</v>
      </c>
      <c r="G7701" s="64" t="s">
        <v>2921</v>
      </c>
      <c r="H7701" s="64" t="s">
        <v>1875</v>
      </c>
      <c r="I7701" s="64" t="s">
        <v>2928</v>
      </c>
      <c r="J7701" s="67">
        <v>7696.48</v>
      </c>
      <c r="K7701" s="62">
        <v>73442.29</v>
      </c>
      <c r="L7701" s="33" t="e">
        <f>HLOOKUP(B7701,#REF!,1,0)</f>
        <v>#REF!</v>
      </c>
      <c r="M7701" s="33" t="str">
        <f t="shared" si="483"/>
        <v>P&amp;L</v>
      </c>
    </row>
    <row r="7702" spans="1:13">
      <c r="A7702" s="33" t="str">
        <f t="shared" si="480"/>
        <v>SCL - CGS</v>
      </c>
      <c r="B7702" s="33" t="str">
        <f t="shared" si="481"/>
        <v>SCL</v>
      </c>
      <c r="C7702" s="33" t="str">
        <f t="shared" si="482"/>
        <v>52002-7489</v>
      </c>
      <c r="D7702" s="64" t="s">
        <v>8951</v>
      </c>
      <c r="E7702" s="64" t="s">
        <v>2927</v>
      </c>
      <c r="F7702" s="64" t="s">
        <v>15</v>
      </c>
      <c r="G7702" s="64" t="s">
        <v>2921</v>
      </c>
      <c r="H7702" s="64" t="s">
        <v>1875</v>
      </c>
      <c r="I7702" s="64" t="s">
        <v>2928</v>
      </c>
      <c r="J7702" s="67">
        <v>10339.36</v>
      </c>
      <c r="K7702" s="62">
        <v>114198.62</v>
      </c>
      <c r="L7702" s="33" t="e">
        <f>HLOOKUP(B7702,#REF!,1,0)</f>
        <v>#REF!</v>
      </c>
      <c r="M7702" s="33" t="str">
        <f t="shared" si="483"/>
        <v>P&amp;L</v>
      </c>
    </row>
    <row r="7703" spans="1:13">
      <c r="A7703" s="33" t="str">
        <f t="shared" si="480"/>
        <v>SCL - CGS</v>
      </c>
      <c r="B7703" s="33" t="str">
        <f t="shared" si="481"/>
        <v>SCL</v>
      </c>
      <c r="C7703" s="33" t="str">
        <f t="shared" si="482"/>
        <v>52002-7491</v>
      </c>
      <c r="D7703" s="64" t="s">
        <v>8952</v>
      </c>
      <c r="E7703" s="64" t="s">
        <v>2927</v>
      </c>
      <c r="F7703" s="64" t="s">
        <v>15</v>
      </c>
      <c r="G7703" s="64" t="s">
        <v>2921</v>
      </c>
      <c r="H7703" s="64" t="s">
        <v>1875</v>
      </c>
      <c r="I7703" s="64" t="s">
        <v>2928</v>
      </c>
      <c r="J7703" s="67">
        <v>2288.89</v>
      </c>
      <c r="K7703" s="62">
        <v>31516.58</v>
      </c>
      <c r="L7703" s="33" t="e">
        <f>HLOOKUP(B7703,#REF!,1,0)</f>
        <v>#REF!</v>
      </c>
      <c r="M7703" s="33" t="str">
        <f t="shared" si="483"/>
        <v>P&amp;L</v>
      </c>
    </row>
    <row r="7704" spans="1:13">
      <c r="A7704" s="33" t="str">
        <f t="shared" si="480"/>
        <v>SCL - CGS</v>
      </c>
      <c r="B7704" s="33" t="str">
        <f t="shared" si="481"/>
        <v>SCL</v>
      </c>
      <c r="C7704" s="33" t="str">
        <f t="shared" si="482"/>
        <v>52002-7492</v>
      </c>
      <c r="D7704" s="64" t="s">
        <v>8953</v>
      </c>
      <c r="E7704" s="64" t="s">
        <v>2927</v>
      </c>
      <c r="F7704" s="64" t="s">
        <v>15</v>
      </c>
      <c r="G7704" s="64" t="s">
        <v>2921</v>
      </c>
      <c r="H7704" s="64" t="s">
        <v>1875</v>
      </c>
      <c r="I7704" s="64" t="s">
        <v>2928</v>
      </c>
      <c r="J7704" s="67">
        <v>5395.64</v>
      </c>
      <c r="K7704" s="62">
        <v>34696.85</v>
      </c>
      <c r="L7704" s="33" t="e">
        <f>HLOOKUP(B7704,#REF!,1,0)</f>
        <v>#REF!</v>
      </c>
      <c r="M7704" s="33" t="str">
        <f t="shared" si="483"/>
        <v>P&amp;L</v>
      </c>
    </row>
    <row r="7705" spans="1:13">
      <c r="A7705" s="33" t="str">
        <f t="shared" si="480"/>
        <v>SCL - CGS</v>
      </c>
      <c r="B7705" s="33" t="str">
        <f t="shared" si="481"/>
        <v>SCL</v>
      </c>
      <c r="C7705" s="33" t="str">
        <f t="shared" si="482"/>
        <v>52002-7493</v>
      </c>
      <c r="D7705" s="64" t="s">
        <v>8954</v>
      </c>
      <c r="E7705" s="64" t="s">
        <v>2927</v>
      </c>
      <c r="F7705" s="64" t="s">
        <v>15</v>
      </c>
      <c r="G7705" s="64" t="s">
        <v>2921</v>
      </c>
      <c r="H7705" s="64" t="s">
        <v>1875</v>
      </c>
      <c r="I7705" s="64" t="s">
        <v>2928</v>
      </c>
      <c r="J7705" s="67">
        <v>8584.12</v>
      </c>
      <c r="K7705" s="62">
        <v>79112.48</v>
      </c>
      <c r="L7705" s="33" t="e">
        <f>HLOOKUP(B7705,#REF!,1,0)</f>
        <v>#REF!</v>
      </c>
      <c r="M7705" s="33" t="str">
        <f t="shared" si="483"/>
        <v>P&amp;L</v>
      </c>
    </row>
    <row r="7706" spans="1:13">
      <c r="A7706" s="33" t="str">
        <f t="shared" si="480"/>
        <v>SCL - CGS</v>
      </c>
      <c r="B7706" s="33" t="str">
        <f t="shared" si="481"/>
        <v>SCL</v>
      </c>
      <c r="C7706" s="33" t="str">
        <f t="shared" si="482"/>
        <v>52002-7494</v>
      </c>
      <c r="D7706" s="64" t="s">
        <v>8955</v>
      </c>
      <c r="E7706" s="64" t="s">
        <v>2927</v>
      </c>
      <c r="F7706" s="64" t="s">
        <v>15</v>
      </c>
      <c r="G7706" s="64" t="s">
        <v>2921</v>
      </c>
      <c r="H7706" s="64" t="s">
        <v>1875</v>
      </c>
      <c r="I7706" s="64" t="s">
        <v>2928</v>
      </c>
      <c r="J7706" s="67">
        <v>2906.81</v>
      </c>
      <c r="K7706" s="62">
        <v>54674.48</v>
      </c>
      <c r="L7706" s="33" t="e">
        <f>HLOOKUP(B7706,#REF!,1,0)</f>
        <v>#REF!</v>
      </c>
      <c r="M7706" s="33" t="str">
        <f t="shared" si="483"/>
        <v>P&amp;L</v>
      </c>
    </row>
    <row r="7707" spans="1:13">
      <c r="A7707" s="33" t="str">
        <f t="shared" si="480"/>
        <v>SCL - CGS</v>
      </c>
      <c r="B7707" s="33" t="str">
        <f t="shared" si="481"/>
        <v>SCL</v>
      </c>
      <c r="C7707" s="33" t="str">
        <f t="shared" si="482"/>
        <v>52002-7625</v>
      </c>
      <c r="D7707" s="64" t="s">
        <v>8956</v>
      </c>
      <c r="E7707" s="64" t="s">
        <v>2927</v>
      </c>
      <c r="F7707" s="64" t="s">
        <v>15</v>
      </c>
      <c r="G7707" s="64" t="s">
        <v>2921</v>
      </c>
      <c r="H7707" s="64" t="s">
        <v>1875</v>
      </c>
      <c r="I7707" s="64" t="s">
        <v>2928</v>
      </c>
      <c r="J7707" s="67">
        <v>5829.86</v>
      </c>
      <c r="K7707" s="62">
        <v>69720.35</v>
      </c>
      <c r="L7707" s="33" t="e">
        <f>HLOOKUP(B7707,#REF!,1,0)</f>
        <v>#REF!</v>
      </c>
      <c r="M7707" s="33" t="str">
        <f t="shared" si="483"/>
        <v>P&amp;L</v>
      </c>
    </row>
    <row r="7708" spans="1:13">
      <c r="A7708" s="33" t="str">
        <f t="shared" si="480"/>
        <v>SCL - CGS</v>
      </c>
      <c r="B7708" s="33" t="str">
        <f t="shared" si="481"/>
        <v>SCL</v>
      </c>
      <c r="C7708" s="33" t="str">
        <f t="shared" si="482"/>
        <v>52002-8150</v>
      </c>
      <c r="D7708" s="64" t="s">
        <v>8957</v>
      </c>
      <c r="E7708" s="64" t="s">
        <v>2927</v>
      </c>
      <c r="F7708" s="64" t="s">
        <v>15</v>
      </c>
      <c r="G7708" s="64" t="s">
        <v>2921</v>
      </c>
      <c r="H7708" s="64" t="s">
        <v>1875</v>
      </c>
      <c r="I7708" s="64" t="s">
        <v>2928</v>
      </c>
      <c r="J7708" s="67">
        <v>11302.44</v>
      </c>
      <c r="K7708" s="62">
        <v>111487.11</v>
      </c>
      <c r="L7708" s="33" t="e">
        <f>HLOOKUP(B7708,#REF!,1,0)</f>
        <v>#REF!</v>
      </c>
      <c r="M7708" s="33" t="str">
        <f t="shared" si="483"/>
        <v>P&amp;L</v>
      </c>
    </row>
    <row r="7709" spans="1:13">
      <c r="A7709" s="33" t="str">
        <f t="shared" si="480"/>
        <v>SCL - CGS</v>
      </c>
      <c r="B7709" s="33" t="str">
        <f t="shared" si="481"/>
        <v>SCL</v>
      </c>
      <c r="C7709" s="33" t="str">
        <f t="shared" si="482"/>
        <v>52003-7351</v>
      </c>
      <c r="D7709" s="64" t="s">
        <v>8958</v>
      </c>
      <c r="E7709" s="64" t="s">
        <v>2933</v>
      </c>
      <c r="F7709" s="64" t="s">
        <v>15</v>
      </c>
      <c r="G7709" s="64" t="s">
        <v>2921</v>
      </c>
      <c r="H7709" s="64" t="s">
        <v>1875</v>
      </c>
      <c r="I7709" s="64" t="s">
        <v>2934</v>
      </c>
      <c r="J7709" s="67">
        <v>481.38</v>
      </c>
      <c r="K7709" s="62">
        <v>1664.08</v>
      </c>
      <c r="L7709" s="33" t="e">
        <f>HLOOKUP(B7709,#REF!,1,0)</f>
        <v>#REF!</v>
      </c>
      <c r="M7709" s="33" t="str">
        <f t="shared" si="483"/>
        <v>P&amp;L</v>
      </c>
    </row>
    <row r="7710" spans="1:13">
      <c r="A7710" s="33" t="str">
        <f t="shared" si="480"/>
        <v>SCL - CGS</v>
      </c>
      <c r="B7710" s="33" t="str">
        <f t="shared" si="481"/>
        <v>SCL</v>
      </c>
      <c r="C7710" s="33" t="str">
        <f t="shared" si="482"/>
        <v>52003-7352</v>
      </c>
      <c r="D7710" s="64" t="s">
        <v>8959</v>
      </c>
      <c r="E7710" s="64" t="s">
        <v>2933</v>
      </c>
      <c r="F7710" s="64" t="s">
        <v>15</v>
      </c>
      <c r="G7710" s="64" t="s">
        <v>2921</v>
      </c>
      <c r="H7710" s="64" t="s">
        <v>1875</v>
      </c>
      <c r="I7710" s="64" t="s">
        <v>2934</v>
      </c>
      <c r="J7710" s="67">
        <v>198.4</v>
      </c>
      <c r="K7710" s="62">
        <v>2955.46</v>
      </c>
      <c r="L7710" s="33" t="e">
        <f>HLOOKUP(B7710,#REF!,1,0)</f>
        <v>#REF!</v>
      </c>
      <c r="M7710" s="33" t="str">
        <f t="shared" si="483"/>
        <v>P&amp;L</v>
      </c>
    </row>
    <row r="7711" spans="1:13">
      <c r="A7711" s="33" t="str">
        <f t="shared" si="480"/>
        <v>SCL - CGS</v>
      </c>
      <c r="B7711" s="33" t="str">
        <f t="shared" si="481"/>
        <v>SCL</v>
      </c>
      <c r="C7711" s="33" t="str">
        <f t="shared" si="482"/>
        <v>52003-7355</v>
      </c>
      <c r="D7711" s="64" t="s">
        <v>8960</v>
      </c>
      <c r="E7711" s="64" t="s">
        <v>2933</v>
      </c>
      <c r="F7711" s="64" t="s">
        <v>15</v>
      </c>
      <c r="G7711" s="64" t="s">
        <v>2921</v>
      </c>
      <c r="H7711" s="64" t="s">
        <v>1875</v>
      </c>
      <c r="I7711" s="64" t="s">
        <v>2934</v>
      </c>
      <c r="J7711" s="67">
        <v>0</v>
      </c>
      <c r="K7711" s="62">
        <v>578.07</v>
      </c>
      <c r="L7711" s="33" t="e">
        <f>HLOOKUP(B7711,#REF!,1,0)</f>
        <v>#REF!</v>
      </c>
      <c r="M7711" s="33" t="str">
        <f t="shared" si="483"/>
        <v>P&amp;L</v>
      </c>
    </row>
    <row r="7712" spans="1:13">
      <c r="A7712" s="33" t="str">
        <f t="shared" si="480"/>
        <v>SCL - CGS</v>
      </c>
      <c r="B7712" s="33" t="str">
        <f t="shared" si="481"/>
        <v>SCL</v>
      </c>
      <c r="C7712" s="33" t="str">
        <f t="shared" si="482"/>
        <v>52003-7356</v>
      </c>
      <c r="D7712" s="64" t="s">
        <v>8961</v>
      </c>
      <c r="E7712" s="64" t="s">
        <v>2933</v>
      </c>
      <c r="F7712" s="64" t="s">
        <v>15</v>
      </c>
      <c r="G7712" s="64" t="s">
        <v>2921</v>
      </c>
      <c r="H7712" s="64" t="s">
        <v>1875</v>
      </c>
      <c r="I7712" s="64" t="s">
        <v>2934</v>
      </c>
      <c r="J7712" s="67">
        <v>0</v>
      </c>
      <c r="K7712" s="62">
        <v>1138.59</v>
      </c>
      <c r="L7712" s="33" t="e">
        <f>HLOOKUP(B7712,#REF!,1,0)</f>
        <v>#REF!</v>
      </c>
      <c r="M7712" s="33" t="str">
        <f t="shared" si="483"/>
        <v>P&amp;L</v>
      </c>
    </row>
    <row r="7713" spans="1:13">
      <c r="A7713" s="33" t="str">
        <f t="shared" si="480"/>
        <v>SCL - CGS</v>
      </c>
      <c r="B7713" s="33" t="str">
        <f t="shared" si="481"/>
        <v>SCL</v>
      </c>
      <c r="C7713" s="33" t="str">
        <f t="shared" si="482"/>
        <v>52003-7359</v>
      </c>
      <c r="D7713" s="64" t="s">
        <v>8962</v>
      </c>
      <c r="E7713" s="64" t="s">
        <v>2933</v>
      </c>
      <c r="F7713" s="64" t="s">
        <v>15</v>
      </c>
      <c r="G7713" s="64" t="s">
        <v>2921</v>
      </c>
      <c r="H7713" s="64" t="s">
        <v>1875</v>
      </c>
      <c r="I7713" s="64" t="s">
        <v>2934</v>
      </c>
      <c r="J7713" s="67">
        <v>19.73</v>
      </c>
      <c r="K7713" s="62">
        <v>309.57</v>
      </c>
      <c r="L7713" s="33" t="e">
        <f>HLOOKUP(B7713,#REF!,1,0)</f>
        <v>#REF!</v>
      </c>
      <c r="M7713" s="33" t="str">
        <f t="shared" si="483"/>
        <v>P&amp;L</v>
      </c>
    </row>
    <row r="7714" spans="1:13">
      <c r="A7714" s="33" t="str">
        <f t="shared" si="480"/>
        <v>SCL - CGS</v>
      </c>
      <c r="B7714" s="33" t="str">
        <f t="shared" si="481"/>
        <v>SCL</v>
      </c>
      <c r="C7714" s="33" t="str">
        <f t="shared" si="482"/>
        <v>52003-7360</v>
      </c>
      <c r="D7714" s="64" t="s">
        <v>8963</v>
      </c>
      <c r="E7714" s="64" t="s">
        <v>2933</v>
      </c>
      <c r="F7714" s="64" t="s">
        <v>15</v>
      </c>
      <c r="G7714" s="64" t="s">
        <v>2921</v>
      </c>
      <c r="H7714" s="64" t="s">
        <v>1875</v>
      </c>
      <c r="I7714" s="64" t="s">
        <v>2934</v>
      </c>
      <c r="J7714" s="67">
        <v>1757.34</v>
      </c>
      <c r="K7714" s="62">
        <v>11606.44</v>
      </c>
      <c r="L7714" s="33" t="e">
        <f>HLOOKUP(B7714,#REF!,1,0)</f>
        <v>#REF!</v>
      </c>
      <c r="M7714" s="33" t="str">
        <f t="shared" si="483"/>
        <v>P&amp;L</v>
      </c>
    </row>
    <row r="7715" spans="1:13">
      <c r="A7715" s="33" t="str">
        <f t="shared" si="480"/>
        <v>SCL - CGS</v>
      </c>
      <c r="B7715" s="33" t="str">
        <f t="shared" si="481"/>
        <v>SCL</v>
      </c>
      <c r="C7715" s="33" t="str">
        <f t="shared" si="482"/>
        <v>52003-7361</v>
      </c>
      <c r="D7715" s="64" t="s">
        <v>8964</v>
      </c>
      <c r="E7715" s="64" t="s">
        <v>2933</v>
      </c>
      <c r="F7715" s="64" t="s">
        <v>15</v>
      </c>
      <c r="G7715" s="64" t="s">
        <v>2921</v>
      </c>
      <c r="H7715" s="64" t="s">
        <v>1875</v>
      </c>
      <c r="I7715" s="64" t="s">
        <v>2934</v>
      </c>
      <c r="J7715" s="67">
        <v>539.33</v>
      </c>
      <c r="K7715" s="62">
        <v>7058.51</v>
      </c>
      <c r="L7715" s="33" t="e">
        <f>HLOOKUP(B7715,#REF!,1,0)</f>
        <v>#REF!</v>
      </c>
      <c r="M7715" s="33" t="str">
        <f t="shared" si="483"/>
        <v>P&amp;L</v>
      </c>
    </row>
    <row r="7716" spans="1:13">
      <c r="A7716" s="33" t="str">
        <f t="shared" si="480"/>
        <v>SCL - CGS</v>
      </c>
      <c r="B7716" s="33" t="str">
        <f t="shared" si="481"/>
        <v>SCL</v>
      </c>
      <c r="C7716" s="33" t="str">
        <f t="shared" si="482"/>
        <v>52003-7362</v>
      </c>
      <c r="D7716" s="64" t="s">
        <v>8965</v>
      </c>
      <c r="E7716" s="64" t="s">
        <v>2933</v>
      </c>
      <c r="F7716" s="64" t="s">
        <v>15</v>
      </c>
      <c r="G7716" s="64" t="s">
        <v>2921</v>
      </c>
      <c r="H7716" s="64" t="s">
        <v>1875</v>
      </c>
      <c r="I7716" s="64" t="s">
        <v>2934</v>
      </c>
      <c r="J7716" s="67">
        <v>236.74</v>
      </c>
      <c r="K7716" s="62">
        <v>5297.27</v>
      </c>
      <c r="L7716" s="33" t="e">
        <f>HLOOKUP(B7716,#REF!,1,0)</f>
        <v>#REF!</v>
      </c>
      <c r="M7716" s="33" t="str">
        <f t="shared" si="483"/>
        <v>P&amp;L</v>
      </c>
    </row>
    <row r="7717" spans="1:13">
      <c r="A7717" s="33" t="str">
        <f t="shared" si="480"/>
        <v>SCL - CGS</v>
      </c>
      <c r="B7717" s="33" t="str">
        <f t="shared" si="481"/>
        <v>SCL</v>
      </c>
      <c r="C7717" s="33" t="str">
        <f t="shared" si="482"/>
        <v>52003-7363</v>
      </c>
      <c r="D7717" s="64" t="s">
        <v>8966</v>
      </c>
      <c r="E7717" s="64" t="s">
        <v>2933</v>
      </c>
      <c r="F7717" s="64" t="s">
        <v>15</v>
      </c>
      <c r="G7717" s="64" t="s">
        <v>2921</v>
      </c>
      <c r="H7717" s="64" t="s">
        <v>1875</v>
      </c>
      <c r="I7717" s="64" t="s">
        <v>2934</v>
      </c>
      <c r="J7717" s="67">
        <v>32.96</v>
      </c>
      <c r="K7717" s="62">
        <v>4735.07</v>
      </c>
      <c r="L7717" s="33" t="e">
        <f>HLOOKUP(B7717,#REF!,1,0)</f>
        <v>#REF!</v>
      </c>
      <c r="M7717" s="33" t="str">
        <f t="shared" si="483"/>
        <v>P&amp;L</v>
      </c>
    </row>
    <row r="7718" spans="1:13">
      <c r="A7718" s="33" t="str">
        <f t="shared" si="480"/>
        <v>SCL - CGS</v>
      </c>
      <c r="B7718" s="33" t="str">
        <f t="shared" si="481"/>
        <v>SCL</v>
      </c>
      <c r="C7718" s="33" t="str">
        <f t="shared" si="482"/>
        <v>52003-7364</v>
      </c>
      <c r="D7718" s="64" t="s">
        <v>8967</v>
      </c>
      <c r="E7718" s="64" t="s">
        <v>2933</v>
      </c>
      <c r="F7718" s="64" t="s">
        <v>15</v>
      </c>
      <c r="G7718" s="64" t="s">
        <v>2921</v>
      </c>
      <c r="H7718" s="64" t="s">
        <v>1875</v>
      </c>
      <c r="I7718" s="64" t="s">
        <v>2934</v>
      </c>
      <c r="J7718" s="67">
        <v>0</v>
      </c>
      <c r="K7718" s="62">
        <v>5769.33</v>
      </c>
      <c r="L7718" s="33" t="e">
        <f>HLOOKUP(B7718,#REF!,1,0)</f>
        <v>#REF!</v>
      </c>
      <c r="M7718" s="33" t="str">
        <f t="shared" si="483"/>
        <v>P&amp;L</v>
      </c>
    </row>
    <row r="7719" spans="1:13">
      <c r="A7719" s="33" t="str">
        <f t="shared" si="480"/>
        <v>SCL - CGS</v>
      </c>
      <c r="B7719" s="33" t="str">
        <f t="shared" si="481"/>
        <v>SCL</v>
      </c>
      <c r="C7719" s="33" t="str">
        <f t="shared" si="482"/>
        <v>52003-7365</v>
      </c>
      <c r="D7719" s="64" t="s">
        <v>8968</v>
      </c>
      <c r="E7719" s="64" t="s">
        <v>2933</v>
      </c>
      <c r="F7719" s="64" t="s">
        <v>15</v>
      </c>
      <c r="G7719" s="64" t="s">
        <v>2921</v>
      </c>
      <c r="H7719" s="64" t="s">
        <v>1875</v>
      </c>
      <c r="I7719" s="64" t="s">
        <v>2934</v>
      </c>
      <c r="J7719" s="67">
        <v>1783.17</v>
      </c>
      <c r="K7719" s="62">
        <v>16713.03</v>
      </c>
      <c r="L7719" s="33" t="e">
        <f>HLOOKUP(B7719,#REF!,1,0)</f>
        <v>#REF!</v>
      </c>
      <c r="M7719" s="33" t="str">
        <f t="shared" si="483"/>
        <v>P&amp;L</v>
      </c>
    </row>
    <row r="7720" spans="1:13">
      <c r="A7720" s="33" t="str">
        <f t="shared" si="480"/>
        <v>SCL - CGS</v>
      </c>
      <c r="B7720" s="33" t="str">
        <f t="shared" si="481"/>
        <v>SCL</v>
      </c>
      <c r="C7720" s="33" t="str">
        <f t="shared" si="482"/>
        <v>52003-7366</v>
      </c>
      <c r="D7720" s="64" t="s">
        <v>8969</v>
      </c>
      <c r="E7720" s="64" t="s">
        <v>2933</v>
      </c>
      <c r="F7720" s="64" t="s">
        <v>15</v>
      </c>
      <c r="G7720" s="64" t="s">
        <v>2921</v>
      </c>
      <c r="H7720" s="64" t="s">
        <v>1875</v>
      </c>
      <c r="I7720" s="64" t="s">
        <v>2934</v>
      </c>
      <c r="J7720" s="67">
        <v>1145.11</v>
      </c>
      <c r="K7720" s="62">
        <v>5805.21</v>
      </c>
      <c r="L7720" s="33" t="e">
        <f>HLOOKUP(B7720,#REF!,1,0)</f>
        <v>#REF!</v>
      </c>
      <c r="M7720" s="33" t="str">
        <f t="shared" si="483"/>
        <v>P&amp;L</v>
      </c>
    </row>
    <row r="7721" spans="1:13">
      <c r="A7721" s="33" t="str">
        <f t="shared" si="480"/>
        <v>SCL - CGS</v>
      </c>
      <c r="B7721" s="33" t="str">
        <f t="shared" si="481"/>
        <v>SCL</v>
      </c>
      <c r="C7721" s="33" t="str">
        <f t="shared" si="482"/>
        <v>52003-7368</v>
      </c>
      <c r="D7721" s="64" t="s">
        <v>8970</v>
      </c>
      <c r="E7721" s="64" t="s">
        <v>2933</v>
      </c>
      <c r="F7721" s="64" t="s">
        <v>15</v>
      </c>
      <c r="G7721" s="64" t="s">
        <v>2921</v>
      </c>
      <c r="H7721" s="64" t="s">
        <v>1875</v>
      </c>
      <c r="I7721" s="64" t="s">
        <v>2934</v>
      </c>
      <c r="J7721" s="67">
        <v>31.04</v>
      </c>
      <c r="K7721" s="62">
        <v>2959.79</v>
      </c>
      <c r="L7721" s="33" t="e">
        <f>HLOOKUP(B7721,#REF!,1,0)</f>
        <v>#REF!</v>
      </c>
      <c r="M7721" s="33" t="str">
        <f t="shared" si="483"/>
        <v>P&amp;L</v>
      </c>
    </row>
    <row r="7722" spans="1:13">
      <c r="A7722" s="33" t="str">
        <f t="shared" si="480"/>
        <v>SCL - CGS</v>
      </c>
      <c r="B7722" s="33" t="str">
        <f t="shared" si="481"/>
        <v>SCL</v>
      </c>
      <c r="C7722" s="33" t="str">
        <f t="shared" si="482"/>
        <v>52003-7369</v>
      </c>
      <c r="D7722" s="64" t="s">
        <v>8971</v>
      </c>
      <c r="E7722" s="64" t="s">
        <v>2933</v>
      </c>
      <c r="F7722" s="64" t="s">
        <v>15</v>
      </c>
      <c r="G7722" s="64" t="s">
        <v>2921</v>
      </c>
      <c r="H7722" s="64" t="s">
        <v>1875</v>
      </c>
      <c r="I7722" s="64" t="s">
        <v>2934</v>
      </c>
      <c r="J7722" s="67">
        <v>577.05</v>
      </c>
      <c r="K7722" s="62">
        <v>11285.42</v>
      </c>
      <c r="L7722" s="33" t="e">
        <f>HLOOKUP(B7722,#REF!,1,0)</f>
        <v>#REF!</v>
      </c>
      <c r="M7722" s="33" t="str">
        <f t="shared" si="483"/>
        <v>P&amp;L</v>
      </c>
    </row>
    <row r="7723" spans="1:13">
      <c r="A7723" s="33" t="str">
        <f t="shared" si="480"/>
        <v>SCL - CGS</v>
      </c>
      <c r="B7723" s="33" t="str">
        <f t="shared" si="481"/>
        <v>SCL</v>
      </c>
      <c r="C7723" s="33" t="str">
        <f t="shared" si="482"/>
        <v>52003-7371</v>
      </c>
      <c r="D7723" s="64" t="s">
        <v>8972</v>
      </c>
      <c r="E7723" s="64" t="s">
        <v>2933</v>
      </c>
      <c r="F7723" s="64" t="s">
        <v>15</v>
      </c>
      <c r="G7723" s="64" t="s">
        <v>2921</v>
      </c>
      <c r="H7723" s="64" t="s">
        <v>1875</v>
      </c>
      <c r="I7723" s="64" t="s">
        <v>2934</v>
      </c>
      <c r="J7723" s="67">
        <v>110.19</v>
      </c>
      <c r="K7723" s="62">
        <v>1691.75</v>
      </c>
      <c r="L7723" s="33" t="e">
        <f>HLOOKUP(B7723,#REF!,1,0)</f>
        <v>#REF!</v>
      </c>
      <c r="M7723" s="33" t="str">
        <f t="shared" si="483"/>
        <v>P&amp;L</v>
      </c>
    </row>
    <row r="7724" spans="1:13">
      <c r="A7724" s="33" t="str">
        <f t="shared" si="480"/>
        <v>SCL - CGS</v>
      </c>
      <c r="B7724" s="33" t="str">
        <f t="shared" si="481"/>
        <v>SCL</v>
      </c>
      <c r="C7724" s="33" t="str">
        <f t="shared" si="482"/>
        <v>52003-7374</v>
      </c>
      <c r="D7724" s="64" t="s">
        <v>8973</v>
      </c>
      <c r="E7724" s="64" t="s">
        <v>2933</v>
      </c>
      <c r="F7724" s="64" t="s">
        <v>15</v>
      </c>
      <c r="G7724" s="64" t="s">
        <v>2921</v>
      </c>
      <c r="H7724" s="64" t="s">
        <v>1875</v>
      </c>
      <c r="I7724" s="64" t="s">
        <v>2934</v>
      </c>
      <c r="J7724" s="67">
        <v>883.97</v>
      </c>
      <c r="K7724" s="62">
        <v>3723.54</v>
      </c>
      <c r="L7724" s="33" t="e">
        <f>HLOOKUP(B7724,#REF!,1,0)</f>
        <v>#REF!</v>
      </c>
      <c r="M7724" s="33" t="str">
        <f t="shared" si="483"/>
        <v>P&amp;L</v>
      </c>
    </row>
    <row r="7725" spans="1:13">
      <c r="A7725" s="33" t="str">
        <f t="shared" si="480"/>
        <v>SCL - CGS</v>
      </c>
      <c r="B7725" s="33" t="str">
        <f t="shared" si="481"/>
        <v>SCL</v>
      </c>
      <c r="C7725" s="33" t="str">
        <f t="shared" si="482"/>
        <v>52003-7375</v>
      </c>
      <c r="D7725" s="64" t="s">
        <v>8974</v>
      </c>
      <c r="E7725" s="64" t="s">
        <v>2933</v>
      </c>
      <c r="F7725" s="64" t="s">
        <v>15</v>
      </c>
      <c r="G7725" s="64" t="s">
        <v>2921</v>
      </c>
      <c r="H7725" s="64" t="s">
        <v>1875</v>
      </c>
      <c r="I7725" s="64" t="s">
        <v>2934</v>
      </c>
      <c r="J7725" s="67">
        <v>154.19</v>
      </c>
      <c r="K7725" s="62">
        <v>2243.37</v>
      </c>
      <c r="L7725" s="33" t="e">
        <f>HLOOKUP(B7725,#REF!,1,0)</f>
        <v>#REF!</v>
      </c>
      <c r="M7725" s="33" t="str">
        <f t="shared" si="483"/>
        <v>P&amp;L</v>
      </c>
    </row>
    <row r="7726" spans="1:13">
      <c r="A7726" s="33" t="str">
        <f t="shared" si="480"/>
        <v>SCL - CGS</v>
      </c>
      <c r="B7726" s="33" t="str">
        <f t="shared" si="481"/>
        <v>SCL</v>
      </c>
      <c r="C7726" s="33" t="str">
        <f t="shared" si="482"/>
        <v>52003-7376</v>
      </c>
      <c r="D7726" s="64" t="s">
        <v>8975</v>
      </c>
      <c r="E7726" s="64" t="s">
        <v>2933</v>
      </c>
      <c r="F7726" s="64" t="s">
        <v>15</v>
      </c>
      <c r="G7726" s="64" t="s">
        <v>2921</v>
      </c>
      <c r="H7726" s="64" t="s">
        <v>1875</v>
      </c>
      <c r="I7726" s="64" t="s">
        <v>2934</v>
      </c>
      <c r="J7726" s="67">
        <v>393.71</v>
      </c>
      <c r="K7726" s="62">
        <v>8145.16</v>
      </c>
      <c r="L7726" s="33" t="e">
        <f>HLOOKUP(B7726,#REF!,1,0)</f>
        <v>#REF!</v>
      </c>
      <c r="M7726" s="33" t="str">
        <f t="shared" si="483"/>
        <v>P&amp;L</v>
      </c>
    </row>
    <row r="7727" spans="1:13">
      <c r="A7727" s="33" t="str">
        <f t="shared" si="480"/>
        <v>SCL - CGS</v>
      </c>
      <c r="B7727" s="33" t="str">
        <f t="shared" si="481"/>
        <v>SCL</v>
      </c>
      <c r="C7727" s="33" t="str">
        <f t="shared" si="482"/>
        <v>52003-7377</v>
      </c>
      <c r="D7727" s="64" t="s">
        <v>8976</v>
      </c>
      <c r="E7727" s="64" t="s">
        <v>2933</v>
      </c>
      <c r="F7727" s="64" t="s">
        <v>15</v>
      </c>
      <c r="G7727" s="64" t="s">
        <v>2921</v>
      </c>
      <c r="H7727" s="64" t="s">
        <v>1875</v>
      </c>
      <c r="I7727" s="64" t="s">
        <v>2934</v>
      </c>
      <c r="J7727" s="67">
        <v>0</v>
      </c>
      <c r="K7727" s="62">
        <v>179.37</v>
      </c>
      <c r="L7727" s="33" t="e">
        <f>HLOOKUP(B7727,#REF!,1,0)</f>
        <v>#REF!</v>
      </c>
      <c r="M7727" s="33" t="str">
        <f t="shared" si="483"/>
        <v>P&amp;L</v>
      </c>
    </row>
    <row r="7728" spans="1:13">
      <c r="A7728" s="33" t="str">
        <f t="shared" si="480"/>
        <v>SCL - CGS</v>
      </c>
      <c r="B7728" s="33" t="str">
        <f t="shared" si="481"/>
        <v>SCL</v>
      </c>
      <c r="C7728" s="33" t="str">
        <f t="shared" si="482"/>
        <v>52003-7378</v>
      </c>
      <c r="D7728" s="64" t="s">
        <v>8977</v>
      </c>
      <c r="E7728" s="64" t="s">
        <v>2933</v>
      </c>
      <c r="F7728" s="64" t="s">
        <v>15</v>
      </c>
      <c r="G7728" s="64" t="s">
        <v>2921</v>
      </c>
      <c r="H7728" s="64" t="s">
        <v>1875</v>
      </c>
      <c r="I7728" s="64" t="s">
        <v>2934</v>
      </c>
      <c r="J7728" s="67">
        <v>55.21</v>
      </c>
      <c r="K7728" s="62">
        <v>1723.81</v>
      </c>
      <c r="L7728" s="33" t="e">
        <f>HLOOKUP(B7728,#REF!,1,0)</f>
        <v>#REF!</v>
      </c>
      <c r="M7728" s="33" t="str">
        <f t="shared" si="483"/>
        <v>P&amp;L</v>
      </c>
    </row>
    <row r="7729" spans="1:13">
      <c r="A7729" s="33" t="str">
        <f t="shared" si="480"/>
        <v>SCL - CGS</v>
      </c>
      <c r="B7729" s="33" t="str">
        <f t="shared" si="481"/>
        <v>SCL</v>
      </c>
      <c r="C7729" s="33" t="str">
        <f t="shared" si="482"/>
        <v>52003-7379</v>
      </c>
      <c r="D7729" s="64" t="s">
        <v>8978</v>
      </c>
      <c r="E7729" s="64" t="s">
        <v>2933</v>
      </c>
      <c r="F7729" s="64" t="s">
        <v>15</v>
      </c>
      <c r="G7729" s="64" t="s">
        <v>2921</v>
      </c>
      <c r="H7729" s="64" t="s">
        <v>1875</v>
      </c>
      <c r="I7729" s="64" t="s">
        <v>2934</v>
      </c>
      <c r="J7729" s="67">
        <v>515.59</v>
      </c>
      <c r="K7729" s="62">
        <v>2388.12</v>
      </c>
      <c r="L7729" s="33" t="e">
        <f>HLOOKUP(B7729,#REF!,1,0)</f>
        <v>#REF!</v>
      </c>
      <c r="M7729" s="33" t="str">
        <f t="shared" si="483"/>
        <v>P&amp;L</v>
      </c>
    </row>
    <row r="7730" spans="1:13">
      <c r="A7730" s="33" t="str">
        <f t="shared" si="480"/>
        <v>SCL - CGS</v>
      </c>
      <c r="B7730" s="33" t="str">
        <f t="shared" si="481"/>
        <v>SCL</v>
      </c>
      <c r="C7730" s="33" t="str">
        <f t="shared" si="482"/>
        <v>52003-7380</v>
      </c>
      <c r="D7730" s="64" t="s">
        <v>8979</v>
      </c>
      <c r="E7730" s="64" t="s">
        <v>2933</v>
      </c>
      <c r="F7730" s="64" t="s">
        <v>15</v>
      </c>
      <c r="G7730" s="64" t="s">
        <v>2921</v>
      </c>
      <c r="H7730" s="64" t="s">
        <v>1875</v>
      </c>
      <c r="I7730" s="64" t="s">
        <v>2934</v>
      </c>
      <c r="J7730" s="67">
        <v>101.54</v>
      </c>
      <c r="K7730" s="62">
        <v>1313.78</v>
      </c>
      <c r="L7730" s="33" t="e">
        <f>HLOOKUP(B7730,#REF!,1,0)</f>
        <v>#REF!</v>
      </c>
      <c r="M7730" s="33" t="str">
        <f t="shared" si="483"/>
        <v>P&amp;L</v>
      </c>
    </row>
    <row r="7731" spans="1:13">
      <c r="A7731" s="33" t="str">
        <f t="shared" si="480"/>
        <v>SCL - CGS</v>
      </c>
      <c r="B7731" s="33" t="str">
        <f t="shared" si="481"/>
        <v>SCL</v>
      </c>
      <c r="C7731" s="33" t="str">
        <f t="shared" si="482"/>
        <v>52003-7381</v>
      </c>
      <c r="D7731" s="64" t="s">
        <v>8980</v>
      </c>
      <c r="E7731" s="64" t="s">
        <v>2933</v>
      </c>
      <c r="F7731" s="64" t="s">
        <v>15</v>
      </c>
      <c r="G7731" s="64" t="s">
        <v>2921</v>
      </c>
      <c r="H7731" s="64" t="s">
        <v>1875</v>
      </c>
      <c r="I7731" s="64" t="s">
        <v>2934</v>
      </c>
      <c r="J7731" s="67">
        <v>368.86</v>
      </c>
      <c r="K7731" s="62">
        <v>5252.73</v>
      </c>
      <c r="L7731" s="33" t="e">
        <f>HLOOKUP(B7731,#REF!,1,0)</f>
        <v>#REF!</v>
      </c>
      <c r="M7731" s="33" t="str">
        <f t="shared" si="483"/>
        <v>P&amp;L</v>
      </c>
    </row>
    <row r="7732" spans="1:13">
      <c r="A7732" s="33" t="str">
        <f t="shared" si="480"/>
        <v>SCL - CGS</v>
      </c>
      <c r="B7732" s="33" t="str">
        <f t="shared" si="481"/>
        <v>SCL</v>
      </c>
      <c r="C7732" s="33" t="str">
        <f t="shared" si="482"/>
        <v>52003-7383</v>
      </c>
      <c r="D7732" s="64" t="s">
        <v>8981</v>
      </c>
      <c r="E7732" s="64" t="s">
        <v>2933</v>
      </c>
      <c r="F7732" s="64" t="s">
        <v>15</v>
      </c>
      <c r="G7732" s="64" t="s">
        <v>2921</v>
      </c>
      <c r="H7732" s="64" t="s">
        <v>1875</v>
      </c>
      <c r="I7732" s="64" t="s">
        <v>2934</v>
      </c>
      <c r="J7732" s="67">
        <v>199.06</v>
      </c>
      <c r="K7732" s="62">
        <v>2570.81</v>
      </c>
      <c r="L7732" s="33" t="e">
        <f>HLOOKUP(B7732,#REF!,1,0)</f>
        <v>#REF!</v>
      </c>
      <c r="M7732" s="33" t="str">
        <f t="shared" si="483"/>
        <v>P&amp;L</v>
      </c>
    </row>
    <row r="7733" spans="1:13">
      <c r="A7733" s="33" t="str">
        <f t="shared" si="480"/>
        <v>SCL - CGS</v>
      </c>
      <c r="B7733" s="33" t="str">
        <f t="shared" si="481"/>
        <v>SCL</v>
      </c>
      <c r="C7733" s="33" t="str">
        <f t="shared" si="482"/>
        <v>52003-7385</v>
      </c>
      <c r="D7733" s="64" t="s">
        <v>8982</v>
      </c>
      <c r="E7733" s="64" t="s">
        <v>2933</v>
      </c>
      <c r="F7733" s="64" t="s">
        <v>15</v>
      </c>
      <c r="G7733" s="64" t="s">
        <v>2921</v>
      </c>
      <c r="H7733" s="64" t="s">
        <v>1875</v>
      </c>
      <c r="I7733" s="64" t="s">
        <v>2934</v>
      </c>
      <c r="J7733" s="67">
        <v>1570.03</v>
      </c>
      <c r="K7733" s="62">
        <v>19071.99</v>
      </c>
      <c r="L7733" s="33" t="e">
        <f>HLOOKUP(B7733,#REF!,1,0)</f>
        <v>#REF!</v>
      </c>
      <c r="M7733" s="33" t="str">
        <f t="shared" si="483"/>
        <v>P&amp;L</v>
      </c>
    </row>
    <row r="7734" spans="1:13">
      <c r="A7734" s="33" t="str">
        <f t="shared" si="480"/>
        <v>SCL - CGS</v>
      </c>
      <c r="B7734" s="33" t="str">
        <f t="shared" si="481"/>
        <v>SCL</v>
      </c>
      <c r="C7734" s="33" t="str">
        <f t="shared" si="482"/>
        <v>52003-7386</v>
      </c>
      <c r="D7734" s="64" t="s">
        <v>8983</v>
      </c>
      <c r="E7734" s="64" t="s">
        <v>2933</v>
      </c>
      <c r="F7734" s="64" t="s">
        <v>15</v>
      </c>
      <c r="G7734" s="64" t="s">
        <v>2921</v>
      </c>
      <c r="H7734" s="64" t="s">
        <v>1875</v>
      </c>
      <c r="I7734" s="64" t="s">
        <v>2934</v>
      </c>
      <c r="J7734" s="67">
        <v>23.58</v>
      </c>
      <c r="K7734" s="62">
        <v>896.6</v>
      </c>
      <c r="L7734" s="33" t="e">
        <f>HLOOKUP(B7734,#REF!,1,0)</f>
        <v>#REF!</v>
      </c>
      <c r="M7734" s="33" t="str">
        <f t="shared" si="483"/>
        <v>P&amp;L</v>
      </c>
    </row>
    <row r="7735" spans="1:13">
      <c r="A7735" s="33" t="str">
        <f t="shared" si="480"/>
        <v>SCL - CGS</v>
      </c>
      <c r="B7735" s="33" t="str">
        <f t="shared" si="481"/>
        <v>SCL</v>
      </c>
      <c r="C7735" s="33" t="str">
        <f t="shared" si="482"/>
        <v>52003-7387</v>
      </c>
      <c r="D7735" s="64" t="s">
        <v>8984</v>
      </c>
      <c r="E7735" s="64" t="s">
        <v>2933</v>
      </c>
      <c r="F7735" s="64" t="s">
        <v>15</v>
      </c>
      <c r="G7735" s="64" t="s">
        <v>2921</v>
      </c>
      <c r="H7735" s="64" t="s">
        <v>1875</v>
      </c>
      <c r="I7735" s="64" t="s">
        <v>2934</v>
      </c>
      <c r="J7735" s="67">
        <v>230.44</v>
      </c>
      <c r="K7735" s="62">
        <v>1914.33</v>
      </c>
      <c r="L7735" s="33" t="e">
        <f>HLOOKUP(B7735,#REF!,1,0)</f>
        <v>#REF!</v>
      </c>
      <c r="M7735" s="33" t="str">
        <f t="shared" si="483"/>
        <v>P&amp;L</v>
      </c>
    </row>
    <row r="7736" spans="1:13">
      <c r="A7736" s="33" t="str">
        <f t="shared" si="480"/>
        <v>SCL - CGS</v>
      </c>
      <c r="B7736" s="33" t="str">
        <f t="shared" si="481"/>
        <v>SCL</v>
      </c>
      <c r="C7736" s="33" t="str">
        <f t="shared" si="482"/>
        <v>52003-7389</v>
      </c>
      <c r="D7736" s="64" t="s">
        <v>8985</v>
      </c>
      <c r="E7736" s="64" t="s">
        <v>2933</v>
      </c>
      <c r="F7736" s="64" t="s">
        <v>15</v>
      </c>
      <c r="G7736" s="64" t="s">
        <v>2921</v>
      </c>
      <c r="H7736" s="64" t="s">
        <v>1875</v>
      </c>
      <c r="I7736" s="64" t="s">
        <v>2934</v>
      </c>
      <c r="J7736" s="67">
        <v>950.44</v>
      </c>
      <c r="K7736" s="62">
        <v>5461</v>
      </c>
      <c r="L7736" s="33" t="e">
        <f>HLOOKUP(B7736,#REF!,1,0)</f>
        <v>#REF!</v>
      </c>
      <c r="M7736" s="33" t="str">
        <f t="shared" si="483"/>
        <v>P&amp;L</v>
      </c>
    </row>
    <row r="7737" spans="1:13">
      <c r="A7737" s="33" t="str">
        <f t="shared" si="480"/>
        <v>SCL - CGS</v>
      </c>
      <c r="B7737" s="33" t="str">
        <f t="shared" si="481"/>
        <v>SCL</v>
      </c>
      <c r="C7737" s="33" t="str">
        <f t="shared" si="482"/>
        <v>52003-7391</v>
      </c>
      <c r="D7737" s="64" t="s">
        <v>8986</v>
      </c>
      <c r="E7737" s="64" t="s">
        <v>2933</v>
      </c>
      <c r="F7737" s="64" t="s">
        <v>15</v>
      </c>
      <c r="G7737" s="64" t="s">
        <v>2921</v>
      </c>
      <c r="H7737" s="64" t="s">
        <v>1875</v>
      </c>
      <c r="I7737" s="64" t="s">
        <v>2934</v>
      </c>
      <c r="J7737" s="67">
        <v>752.22</v>
      </c>
      <c r="K7737" s="62">
        <v>14997.99</v>
      </c>
      <c r="L7737" s="33" t="e">
        <f>HLOOKUP(B7737,#REF!,1,0)</f>
        <v>#REF!</v>
      </c>
      <c r="M7737" s="33" t="str">
        <f t="shared" si="483"/>
        <v>P&amp;L</v>
      </c>
    </row>
    <row r="7738" spans="1:13">
      <c r="A7738" s="33" t="str">
        <f t="shared" si="480"/>
        <v>SCL - CGS</v>
      </c>
      <c r="B7738" s="33" t="str">
        <f t="shared" si="481"/>
        <v>SCL</v>
      </c>
      <c r="C7738" s="33" t="str">
        <f t="shared" si="482"/>
        <v>52003-7393</v>
      </c>
      <c r="D7738" s="64" t="s">
        <v>8987</v>
      </c>
      <c r="E7738" s="64" t="s">
        <v>2933</v>
      </c>
      <c r="F7738" s="64" t="s">
        <v>15</v>
      </c>
      <c r="G7738" s="64" t="s">
        <v>2921</v>
      </c>
      <c r="H7738" s="64" t="s">
        <v>1875</v>
      </c>
      <c r="I7738" s="64" t="s">
        <v>2934</v>
      </c>
      <c r="J7738" s="67">
        <v>29.29</v>
      </c>
      <c r="K7738" s="62">
        <v>3515.71</v>
      </c>
      <c r="L7738" s="33" t="e">
        <f>HLOOKUP(B7738,#REF!,1,0)</f>
        <v>#REF!</v>
      </c>
      <c r="M7738" s="33" t="str">
        <f t="shared" si="483"/>
        <v>P&amp;L</v>
      </c>
    </row>
    <row r="7739" spans="1:13">
      <c r="A7739" s="33" t="str">
        <f t="shared" si="480"/>
        <v>SCL - CGS</v>
      </c>
      <c r="B7739" s="33" t="str">
        <f t="shared" si="481"/>
        <v>SCL</v>
      </c>
      <c r="C7739" s="33" t="str">
        <f t="shared" si="482"/>
        <v>52003-7394</v>
      </c>
      <c r="D7739" s="64" t="s">
        <v>8988</v>
      </c>
      <c r="E7739" s="64" t="s">
        <v>2933</v>
      </c>
      <c r="F7739" s="64" t="s">
        <v>15</v>
      </c>
      <c r="G7739" s="64" t="s">
        <v>2921</v>
      </c>
      <c r="H7739" s="64" t="s">
        <v>1875</v>
      </c>
      <c r="I7739" s="64" t="s">
        <v>2934</v>
      </c>
      <c r="J7739" s="67">
        <v>118.38</v>
      </c>
      <c r="K7739" s="62">
        <v>1638.27</v>
      </c>
      <c r="L7739" s="33" t="e">
        <f>HLOOKUP(B7739,#REF!,1,0)</f>
        <v>#REF!</v>
      </c>
      <c r="M7739" s="33" t="str">
        <f t="shared" si="483"/>
        <v>P&amp;L</v>
      </c>
    </row>
    <row r="7740" spans="1:13">
      <c r="A7740" s="33" t="str">
        <f t="shared" si="480"/>
        <v>SCL - CGS</v>
      </c>
      <c r="B7740" s="33" t="str">
        <f t="shared" si="481"/>
        <v>SCL</v>
      </c>
      <c r="C7740" s="33" t="str">
        <f t="shared" si="482"/>
        <v>52003-7396</v>
      </c>
      <c r="D7740" s="64" t="s">
        <v>8989</v>
      </c>
      <c r="E7740" s="64" t="s">
        <v>2933</v>
      </c>
      <c r="F7740" s="64" t="s">
        <v>15</v>
      </c>
      <c r="G7740" s="64" t="s">
        <v>2921</v>
      </c>
      <c r="H7740" s="64" t="s">
        <v>1875</v>
      </c>
      <c r="I7740" s="64" t="s">
        <v>2934</v>
      </c>
      <c r="J7740" s="67">
        <v>433.64</v>
      </c>
      <c r="K7740" s="62">
        <v>4998.72</v>
      </c>
      <c r="L7740" s="33" t="e">
        <f>HLOOKUP(B7740,#REF!,1,0)</f>
        <v>#REF!</v>
      </c>
      <c r="M7740" s="33" t="str">
        <f t="shared" si="483"/>
        <v>P&amp;L</v>
      </c>
    </row>
    <row r="7741" spans="1:13">
      <c r="A7741" s="33" t="str">
        <f t="shared" si="480"/>
        <v>SCL - CGS</v>
      </c>
      <c r="B7741" s="33" t="str">
        <f t="shared" si="481"/>
        <v>SCL</v>
      </c>
      <c r="C7741" s="33" t="str">
        <f t="shared" si="482"/>
        <v>52003-7397</v>
      </c>
      <c r="D7741" s="64" t="s">
        <v>8990</v>
      </c>
      <c r="E7741" s="64" t="s">
        <v>2933</v>
      </c>
      <c r="F7741" s="64" t="s">
        <v>15</v>
      </c>
      <c r="G7741" s="64" t="s">
        <v>2921</v>
      </c>
      <c r="H7741" s="64" t="s">
        <v>1875</v>
      </c>
      <c r="I7741" s="64" t="s">
        <v>2934</v>
      </c>
      <c r="J7741" s="67">
        <v>238.96</v>
      </c>
      <c r="K7741" s="62">
        <v>5853.89</v>
      </c>
      <c r="L7741" s="33" t="e">
        <f>HLOOKUP(B7741,#REF!,1,0)</f>
        <v>#REF!</v>
      </c>
      <c r="M7741" s="33" t="str">
        <f t="shared" si="483"/>
        <v>P&amp;L</v>
      </c>
    </row>
    <row r="7742" spans="1:13">
      <c r="A7742" s="33" t="str">
        <f t="shared" si="480"/>
        <v>SCL - CGS</v>
      </c>
      <c r="B7742" s="33" t="str">
        <f t="shared" si="481"/>
        <v>SCL</v>
      </c>
      <c r="C7742" s="33" t="str">
        <f t="shared" si="482"/>
        <v>52003-7398</v>
      </c>
      <c r="D7742" s="64" t="s">
        <v>8991</v>
      </c>
      <c r="E7742" s="64" t="s">
        <v>2933</v>
      </c>
      <c r="F7742" s="64" t="s">
        <v>15</v>
      </c>
      <c r="G7742" s="64" t="s">
        <v>2921</v>
      </c>
      <c r="H7742" s="64" t="s">
        <v>1875</v>
      </c>
      <c r="I7742" s="64" t="s">
        <v>2934</v>
      </c>
      <c r="J7742" s="67">
        <v>367.27</v>
      </c>
      <c r="K7742" s="62">
        <v>8779.87</v>
      </c>
      <c r="L7742" s="33" t="e">
        <f>HLOOKUP(B7742,#REF!,1,0)</f>
        <v>#REF!</v>
      </c>
      <c r="M7742" s="33" t="str">
        <f t="shared" si="483"/>
        <v>P&amp;L</v>
      </c>
    </row>
    <row r="7743" spans="1:13">
      <c r="A7743" s="33" t="str">
        <f t="shared" si="480"/>
        <v>SCL - CGS</v>
      </c>
      <c r="B7743" s="33" t="str">
        <f t="shared" si="481"/>
        <v>SCL</v>
      </c>
      <c r="C7743" s="33" t="str">
        <f t="shared" si="482"/>
        <v>52003-7400</v>
      </c>
      <c r="D7743" s="64" t="s">
        <v>8992</v>
      </c>
      <c r="E7743" s="64" t="s">
        <v>2933</v>
      </c>
      <c r="F7743" s="64" t="s">
        <v>15</v>
      </c>
      <c r="G7743" s="64" t="s">
        <v>2921</v>
      </c>
      <c r="H7743" s="64" t="s">
        <v>1875</v>
      </c>
      <c r="I7743" s="64" t="s">
        <v>2934</v>
      </c>
      <c r="J7743" s="67">
        <v>0</v>
      </c>
      <c r="K7743" s="62">
        <v>210.64</v>
      </c>
      <c r="L7743" s="33" t="e">
        <f>HLOOKUP(B7743,#REF!,1,0)</f>
        <v>#REF!</v>
      </c>
      <c r="M7743" s="33" t="str">
        <f t="shared" si="483"/>
        <v>P&amp;L</v>
      </c>
    </row>
    <row r="7744" spans="1:13">
      <c r="A7744" s="33" t="str">
        <f t="shared" si="480"/>
        <v>SCL - CGS</v>
      </c>
      <c r="B7744" s="33" t="str">
        <f t="shared" si="481"/>
        <v>SCL</v>
      </c>
      <c r="C7744" s="33" t="str">
        <f t="shared" si="482"/>
        <v>52003-7401</v>
      </c>
      <c r="D7744" s="64" t="s">
        <v>8993</v>
      </c>
      <c r="E7744" s="64" t="s">
        <v>2933</v>
      </c>
      <c r="F7744" s="64" t="s">
        <v>15</v>
      </c>
      <c r="G7744" s="64" t="s">
        <v>2921</v>
      </c>
      <c r="H7744" s="64" t="s">
        <v>1875</v>
      </c>
      <c r="I7744" s="64" t="s">
        <v>2934</v>
      </c>
      <c r="J7744" s="67">
        <v>0</v>
      </c>
      <c r="K7744" s="62">
        <v>402.46</v>
      </c>
      <c r="L7744" s="33" t="e">
        <f>HLOOKUP(B7744,#REF!,1,0)</f>
        <v>#REF!</v>
      </c>
      <c r="M7744" s="33" t="str">
        <f t="shared" si="483"/>
        <v>P&amp;L</v>
      </c>
    </row>
    <row r="7745" spans="1:13">
      <c r="A7745" s="33" t="str">
        <f t="shared" si="480"/>
        <v>SCL - CGS</v>
      </c>
      <c r="B7745" s="33" t="str">
        <f t="shared" si="481"/>
        <v>SCL</v>
      </c>
      <c r="C7745" s="33" t="str">
        <f t="shared" si="482"/>
        <v>52003-7402</v>
      </c>
      <c r="D7745" s="64" t="s">
        <v>8994</v>
      </c>
      <c r="E7745" s="64" t="s">
        <v>2933</v>
      </c>
      <c r="F7745" s="64" t="s">
        <v>15</v>
      </c>
      <c r="G7745" s="64" t="s">
        <v>2921</v>
      </c>
      <c r="H7745" s="64" t="s">
        <v>1875</v>
      </c>
      <c r="I7745" s="64" t="s">
        <v>2934</v>
      </c>
      <c r="J7745" s="67">
        <v>22.89</v>
      </c>
      <c r="K7745" s="62">
        <v>8110.76</v>
      </c>
      <c r="L7745" s="33" t="e">
        <f>HLOOKUP(B7745,#REF!,1,0)</f>
        <v>#REF!</v>
      </c>
      <c r="M7745" s="33" t="str">
        <f t="shared" si="483"/>
        <v>P&amp;L</v>
      </c>
    </row>
    <row r="7746" spans="1:13">
      <c r="A7746" s="33" t="str">
        <f t="shared" ref="A7746:A7809" si="484">B7746&amp;" - "&amp;TRIM(H7746)</f>
        <v>SCL - CGS</v>
      </c>
      <c r="B7746" s="33" t="str">
        <f t="shared" ref="B7746:B7809" si="485">LEFT(D7746,3)</f>
        <v>SCL</v>
      </c>
      <c r="C7746" s="33" t="str">
        <f t="shared" ref="C7746:C7809" si="486">RIGHT(D7746,10)</f>
        <v>52003-7403</v>
      </c>
      <c r="D7746" s="64" t="s">
        <v>8995</v>
      </c>
      <c r="E7746" s="64" t="s">
        <v>2933</v>
      </c>
      <c r="F7746" s="64" t="s">
        <v>15</v>
      </c>
      <c r="G7746" s="64" t="s">
        <v>2921</v>
      </c>
      <c r="H7746" s="64" t="s">
        <v>1875</v>
      </c>
      <c r="I7746" s="64" t="s">
        <v>2934</v>
      </c>
      <c r="J7746" s="67">
        <v>144.16</v>
      </c>
      <c r="K7746" s="62">
        <v>9926.86</v>
      </c>
      <c r="L7746" s="33" t="e">
        <f>HLOOKUP(B7746,#REF!,1,0)</f>
        <v>#REF!</v>
      </c>
      <c r="M7746" s="33" t="str">
        <f t="shared" ref="M7746:M7809" si="487">IF(VALUE(LEFT(C7746,5))&gt;40000,"P&amp;L","BS")</f>
        <v>P&amp;L</v>
      </c>
    </row>
    <row r="7747" spans="1:13">
      <c r="A7747" s="33" t="str">
        <f t="shared" si="484"/>
        <v>SCL - CGS</v>
      </c>
      <c r="B7747" s="33" t="str">
        <f t="shared" si="485"/>
        <v>SCL</v>
      </c>
      <c r="C7747" s="33" t="str">
        <f t="shared" si="486"/>
        <v>52003-7489</v>
      </c>
      <c r="D7747" s="64" t="s">
        <v>8996</v>
      </c>
      <c r="E7747" s="64" t="s">
        <v>2933</v>
      </c>
      <c r="F7747" s="64" t="s">
        <v>15</v>
      </c>
      <c r="G7747" s="64" t="s">
        <v>2921</v>
      </c>
      <c r="H7747" s="64" t="s">
        <v>1875</v>
      </c>
      <c r="I7747" s="64" t="s">
        <v>2934</v>
      </c>
      <c r="J7747" s="67">
        <v>77.48</v>
      </c>
      <c r="K7747" s="62">
        <v>12363.86</v>
      </c>
      <c r="L7747" s="33" t="e">
        <f>HLOOKUP(B7747,#REF!,1,0)</f>
        <v>#REF!</v>
      </c>
      <c r="M7747" s="33" t="str">
        <f t="shared" si="487"/>
        <v>P&amp;L</v>
      </c>
    </row>
    <row r="7748" spans="1:13">
      <c r="A7748" s="33" t="str">
        <f t="shared" si="484"/>
        <v>SCL - CGS</v>
      </c>
      <c r="B7748" s="33" t="str">
        <f t="shared" si="485"/>
        <v>SCL</v>
      </c>
      <c r="C7748" s="33" t="str">
        <f t="shared" si="486"/>
        <v>52003-7491</v>
      </c>
      <c r="D7748" s="64" t="s">
        <v>8997</v>
      </c>
      <c r="E7748" s="64" t="s">
        <v>2933</v>
      </c>
      <c r="F7748" s="64" t="s">
        <v>15</v>
      </c>
      <c r="G7748" s="64" t="s">
        <v>2921</v>
      </c>
      <c r="H7748" s="64" t="s">
        <v>1875</v>
      </c>
      <c r="I7748" s="64" t="s">
        <v>2934</v>
      </c>
      <c r="J7748" s="67">
        <v>116.03</v>
      </c>
      <c r="K7748" s="62">
        <v>6725.36</v>
      </c>
      <c r="L7748" s="33" t="e">
        <f>HLOOKUP(B7748,#REF!,1,0)</f>
        <v>#REF!</v>
      </c>
      <c r="M7748" s="33" t="str">
        <f t="shared" si="487"/>
        <v>P&amp;L</v>
      </c>
    </row>
    <row r="7749" spans="1:13">
      <c r="A7749" s="33" t="str">
        <f t="shared" si="484"/>
        <v>SCL - CGS</v>
      </c>
      <c r="B7749" s="33" t="str">
        <f t="shared" si="485"/>
        <v>SCL</v>
      </c>
      <c r="C7749" s="33" t="str">
        <f t="shared" si="486"/>
        <v>52003-7492</v>
      </c>
      <c r="D7749" s="64" t="s">
        <v>8998</v>
      </c>
      <c r="E7749" s="64" t="s">
        <v>2933</v>
      </c>
      <c r="F7749" s="64" t="s">
        <v>15</v>
      </c>
      <c r="G7749" s="64" t="s">
        <v>2921</v>
      </c>
      <c r="H7749" s="64" t="s">
        <v>1875</v>
      </c>
      <c r="I7749" s="64" t="s">
        <v>2934</v>
      </c>
      <c r="J7749" s="67">
        <v>30.71</v>
      </c>
      <c r="K7749" s="62">
        <v>1907.92</v>
      </c>
      <c r="L7749" s="33" t="e">
        <f>HLOOKUP(B7749,#REF!,1,0)</f>
        <v>#REF!</v>
      </c>
      <c r="M7749" s="33" t="str">
        <f t="shared" si="487"/>
        <v>P&amp;L</v>
      </c>
    </row>
    <row r="7750" spans="1:13">
      <c r="A7750" s="33" t="str">
        <f t="shared" si="484"/>
        <v>SCL - CGS</v>
      </c>
      <c r="B7750" s="33" t="str">
        <f t="shared" si="485"/>
        <v>SCL</v>
      </c>
      <c r="C7750" s="33" t="str">
        <f t="shared" si="486"/>
        <v>52003-7493</v>
      </c>
      <c r="D7750" s="64" t="s">
        <v>8999</v>
      </c>
      <c r="E7750" s="64" t="s">
        <v>2933</v>
      </c>
      <c r="F7750" s="64" t="s">
        <v>15</v>
      </c>
      <c r="G7750" s="64" t="s">
        <v>2921</v>
      </c>
      <c r="H7750" s="64" t="s">
        <v>1875</v>
      </c>
      <c r="I7750" s="64" t="s">
        <v>2934</v>
      </c>
      <c r="J7750" s="67">
        <v>655.68</v>
      </c>
      <c r="K7750" s="62">
        <v>15154.13</v>
      </c>
      <c r="L7750" s="33" t="e">
        <f>HLOOKUP(B7750,#REF!,1,0)</f>
        <v>#REF!</v>
      </c>
      <c r="M7750" s="33" t="str">
        <f t="shared" si="487"/>
        <v>P&amp;L</v>
      </c>
    </row>
    <row r="7751" spans="1:13">
      <c r="A7751" s="33" t="str">
        <f t="shared" si="484"/>
        <v>SCL - CGS</v>
      </c>
      <c r="B7751" s="33" t="str">
        <f t="shared" si="485"/>
        <v>SCL</v>
      </c>
      <c r="C7751" s="33" t="str">
        <f t="shared" si="486"/>
        <v>52003-7494</v>
      </c>
      <c r="D7751" s="64" t="s">
        <v>9000</v>
      </c>
      <c r="E7751" s="64" t="s">
        <v>2933</v>
      </c>
      <c r="F7751" s="64" t="s">
        <v>15</v>
      </c>
      <c r="G7751" s="64" t="s">
        <v>2921</v>
      </c>
      <c r="H7751" s="64" t="s">
        <v>1875</v>
      </c>
      <c r="I7751" s="64" t="s">
        <v>2934</v>
      </c>
      <c r="J7751" s="67">
        <v>810.88</v>
      </c>
      <c r="K7751" s="62">
        <v>4697.93</v>
      </c>
      <c r="L7751" s="33" t="e">
        <f>HLOOKUP(B7751,#REF!,1,0)</f>
        <v>#REF!</v>
      </c>
      <c r="M7751" s="33" t="str">
        <f t="shared" si="487"/>
        <v>P&amp;L</v>
      </c>
    </row>
    <row r="7752" spans="1:13">
      <c r="A7752" s="33" t="str">
        <f t="shared" si="484"/>
        <v>SCL - CGS</v>
      </c>
      <c r="B7752" s="33" t="str">
        <f t="shared" si="485"/>
        <v>SCL</v>
      </c>
      <c r="C7752" s="33" t="str">
        <f t="shared" si="486"/>
        <v>52003-7625</v>
      </c>
      <c r="D7752" s="64" t="s">
        <v>9001</v>
      </c>
      <c r="E7752" s="64" t="s">
        <v>2933</v>
      </c>
      <c r="F7752" s="64" t="s">
        <v>15</v>
      </c>
      <c r="G7752" s="64" t="s">
        <v>2921</v>
      </c>
      <c r="H7752" s="64" t="s">
        <v>1875</v>
      </c>
      <c r="I7752" s="64" t="s">
        <v>2934</v>
      </c>
      <c r="J7752" s="67">
        <v>36.24</v>
      </c>
      <c r="K7752" s="62">
        <v>1153.85</v>
      </c>
      <c r="L7752" s="33" t="e">
        <f>HLOOKUP(B7752,#REF!,1,0)</f>
        <v>#REF!</v>
      </c>
      <c r="M7752" s="33" t="str">
        <f t="shared" si="487"/>
        <v>P&amp;L</v>
      </c>
    </row>
    <row r="7753" spans="1:13">
      <c r="A7753" s="33" t="str">
        <f t="shared" si="484"/>
        <v>SCL - CGS</v>
      </c>
      <c r="B7753" s="33" t="str">
        <f t="shared" si="485"/>
        <v>SCL</v>
      </c>
      <c r="C7753" s="33" t="str">
        <f t="shared" si="486"/>
        <v>52003-8150</v>
      </c>
      <c r="D7753" s="64" t="s">
        <v>9002</v>
      </c>
      <c r="E7753" s="64" t="s">
        <v>2933</v>
      </c>
      <c r="F7753" s="64" t="s">
        <v>15</v>
      </c>
      <c r="G7753" s="64" t="s">
        <v>2921</v>
      </c>
      <c r="H7753" s="64" t="s">
        <v>1875</v>
      </c>
      <c r="I7753" s="64" t="s">
        <v>2934</v>
      </c>
      <c r="J7753" s="67">
        <v>48.88</v>
      </c>
      <c r="K7753" s="62">
        <v>1529.04</v>
      </c>
      <c r="L7753" s="33" t="e">
        <f>HLOOKUP(B7753,#REF!,1,0)</f>
        <v>#REF!</v>
      </c>
      <c r="M7753" s="33" t="str">
        <f t="shared" si="487"/>
        <v>P&amp;L</v>
      </c>
    </row>
    <row r="7754" spans="1:13">
      <c r="A7754" s="33" t="str">
        <f t="shared" si="484"/>
        <v>SCL - CGS</v>
      </c>
      <c r="B7754" s="33" t="str">
        <f t="shared" si="485"/>
        <v>SCL</v>
      </c>
      <c r="C7754" s="33" t="str">
        <f t="shared" si="486"/>
        <v>52004-7351</v>
      </c>
      <c r="D7754" s="64" t="s">
        <v>9003</v>
      </c>
      <c r="E7754" s="64" t="s">
        <v>2939</v>
      </c>
      <c r="F7754" s="64" t="s">
        <v>15</v>
      </c>
      <c r="G7754" s="64" t="s">
        <v>2921</v>
      </c>
      <c r="H7754" s="64" t="s">
        <v>1875</v>
      </c>
      <c r="I7754" s="64" t="s">
        <v>2940</v>
      </c>
      <c r="J7754" s="67">
        <v>18.62</v>
      </c>
      <c r="K7754" s="62">
        <v>3833.29</v>
      </c>
      <c r="L7754" s="33" t="e">
        <f>HLOOKUP(B7754,#REF!,1,0)</f>
        <v>#REF!</v>
      </c>
      <c r="M7754" s="33" t="str">
        <f t="shared" si="487"/>
        <v>P&amp;L</v>
      </c>
    </row>
    <row r="7755" spans="1:13">
      <c r="A7755" s="33" t="str">
        <f t="shared" si="484"/>
        <v>SCL - CGS</v>
      </c>
      <c r="B7755" s="33" t="str">
        <f t="shared" si="485"/>
        <v>SCL</v>
      </c>
      <c r="C7755" s="33" t="str">
        <f t="shared" si="486"/>
        <v>52004-7352</v>
      </c>
      <c r="D7755" s="64" t="s">
        <v>9004</v>
      </c>
      <c r="E7755" s="64" t="s">
        <v>2939</v>
      </c>
      <c r="F7755" s="64" t="s">
        <v>15</v>
      </c>
      <c r="G7755" s="64" t="s">
        <v>2921</v>
      </c>
      <c r="H7755" s="64" t="s">
        <v>1875</v>
      </c>
      <c r="I7755" s="64" t="s">
        <v>2940</v>
      </c>
      <c r="J7755" s="67">
        <v>1330.35</v>
      </c>
      <c r="K7755" s="62">
        <v>12095.39</v>
      </c>
      <c r="L7755" s="33" t="e">
        <f>HLOOKUP(B7755,#REF!,1,0)</f>
        <v>#REF!</v>
      </c>
      <c r="M7755" s="33" t="str">
        <f t="shared" si="487"/>
        <v>P&amp;L</v>
      </c>
    </row>
    <row r="7756" spans="1:13">
      <c r="A7756" s="33" t="str">
        <f t="shared" si="484"/>
        <v>SCL - CGS</v>
      </c>
      <c r="B7756" s="33" t="str">
        <f t="shared" si="485"/>
        <v>SCL</v>
      </c>
      <c r="C7756" s="33" t="str">
        <f t="shared" si="486"/>
        <v>52004-7355</v>
      </c>
      <c r="D7756" s="64" t="s">
        <v>9005</v>
      </c>
      <c r="E7756" s="64" t="s">
        <v>2939</v>
      </c>
      <c r="F7756" s="64" t="s">
        <v>15</v>
      </c>
      <c r="G7756" s="64" t="s">
        <v>2921</v>
      </c>
      <c r="H7756" s="64" t="s">
        <v>1875</v>
      </c>
      <c r="I7756" s="64" t="s">
        <v>2940</v>
      </c>
      <c r="J7756" s="67">
        <v>27.09</v>
      </c>
      <c r="K7756" s="62">
        <v>3430.08</v>
      </c>
      <c r="L7756" s="33" t="e">
        <f>HLOOKUP(B7756,#REF!,1,0)</f>
        <v>#REF!</v>
      </c>
      <c r="M7756" s="33" t="str">
        <f t="shared" si="487"/>
        <v>P&amp;L</v>
      </c>
    </row>
    <row r="7757" spans="1:13">
      <c r="A7757" s="33" t="str">
        <f t="shared" si="484"/>
        <v>SCL - CGS</v>
      </c>
      <c r="B7757" s="33" t="str">
        <f t="shared" si="485"/>
        <v>SCL</v>
      </c>
      <c r="C7757" s="33" t="str">
        <f t="shared" si="486"/>
        <v>52004-7356</v>
      </c>
      <c r="D7757" s="64" t="s">
        <v>9006</v>
      </c>
      <c r="E7757" s="64" t="s">
        <v>2939</v>
      </c>
      <c r="F7757" s="64" t="s">
        <v>15</v>
      </c>
      <c r="G7757" s="64" t="s">
        <v>2921</v>
      </c>
      <c r="H7757" s="64" t="s">
        <v>1875</v>
      </c>
      <c r="I7757" s="64" t="s">
        <v>2940</v>
      </c>
      <c r="J7757" s="67">
        <v>0</v>
      </c>
      <c r="K7757" s="62">
        <v>585.79</v>
      </c>
      <c r="L7757" s="33" t="e">
        <f>HLOOKUP(B7757,#REF!,1,0)</f>
        <v>#REF!</v>
      </c>
      <c r="M7757" s="33" t="str">
        <f t="shared" si="487"/>
        <v>P&amp;L</v>
      </c>
    </row>
    <row r="7758" spans="1:13">
      <c r="A7758" s="33" t="str">
        <f t="shared" si="484"/>
        <v>SCL - CGS</v>
      </c>
      <c r="B7758" s="33" t="str">
        <f t="shared" si="485"/>
        <v>SCL</v>
      </c>
      <c r="C7758" s="33" t="str">
        <f t="shared" si="486"/>
        <v>52004-7359</v>
      </c>
      <c r="D7758" s="64" t="s">
        <v>9007</v>
      </c>
      <c r="E7758" s="64" t="s">
        <v>2939</v>
      </c>
      <c r="F7758" s="64" t="s">
        <v>15</v>
      </c>
      <c r="G7758" s="64" t="s">
        <v>2921</v>
      </c>
      <c r="H7758" s="64" t="s">
        <v>1875</v>
      </c>
      <c r="I7758" s="64" t="s">
        <v>2940</v>
      </c>
      <c r="J7758" s="67">
        <v>105.27</v>
      </c>
      <c r="K7758" s="62">
        <v>1789.48</v>
      </c>
      <c r="L7758" s="33" t="e">
        <f>HLOOKUP(B7758,#REF!,1,0)</f>
        <v>#REF!</v>
      </c>
      <c r="M7758" s="33" t="str">
        <f t="shared" si="487"/>
        <v>P&amp;L</v>
      </c>
    </row>
    <row r="7759" spans="1:13">
      <c r="A7759" s="33" t="str">
        <f t="shared" si="484"/>
        <v>SCL - CGS</v>
      </c>
      <c r="B7759" s="33" t="str">
        <f t="shared" si="485"/>
        <v>SCL</v>
      </c>
      <c r="C7759" s="33" t="str">
        <f t="shared" si="486"/>
        <v>52004-7360</v>
      </c>
      <c r="D7759" s="64" t="s">
        <v>9008</v>
      </c>
      <c r="E7759" s="64" t="s">
        <v>2939</v>
      </c>
      <c r="F7759" s="64" t="s">
        <v>15</v>
      </c>
      <c r="G7759" s="64" t="s">
        <v>2921</v>
      </c>
      <c r="H7759" s="64" t="s">
        <v>1875</v>
      </c>
      <c r="I7759" s="64" t="s">
        <v>2940</v>
      </c>
      <c r="J7759" s="67">
        <v>1295.42</v>
      </c>
      <c r="K7759" s="62">
        <v>7916.69</v>
      </c>
      <c r="L7759" s="33" t="e">
        <f>HLOOKUP(B7759,#REF!,1,0)</f>
        <v>#REF!</v>
      </c>
      <c r="M7759" s="33" t="str">
        <f t="shared" si="487"/>
        <v>P&amp;L</v>
      </c>
    </row>
    <row r="7760" spans="1:13">
      <c r="A7760" s="33" t="str">
        <f t="shared" si="484"/>
        <v>SCL - CGS</v>
      </c>
      <c r="B7760" s="33" t="str">
        <f t="shared" si="485"/>
        <v>SCL</v>
      </c>
      <c r="C7760" s="33" t="str">
        <f t="shared" si="486"/>
        <v>52004-7361</v>
      </c>
      <c r="D7760" s="64" t="s">
        <v>9009</v>
      </c>
      <c r="E7760" s="64" t="s">
        <v>2939</v>
      </c>
      <c r="F7760" s="64" t="s">
        <v>15</v>
      </c>
      <c r="G7760" s="64" t="s">
        <v>2921</v>
      </c>
      <c r="H7760" s="64" t="s">
        <v>1875</v>
      </c>
      <c r="I7760" s="64" t="s">
        <v>2940</v>
      </c>
      <c r="J7760" s="67">
        <v>114.93</v>
      </c>
      <c r="K7760" s="62">
        <v>1166.49</v>
      </c>
      <c r="L7760" s="33" t="e">
        <f>HLOOKUP(B7760,#REF!,1,0)</f>
        <v>#REF!</v>
      </c>
      <c r="M7760" s="33" t="str">
        <f t="shared" si="487"/>
        <v>P&amp;L</v>
      </c>
    </row>
    <row r="7761" spans="1:13">
      <c r="A7761" s="33" t="str">
        <f t="shared" si="484"/>
        <v>SCL - CGS</v>
      </c>
      <c r="B7761" s="33" t="str">
        <f t="shared" si="485"/>
        <v>SCL</v>
      </c>
      <c r="C7761" s="33" t="str">
        <f t="shared" si="486"/>
        <v>52004-7362</v>
      </c>
      <c r="D7761" s="64" t="s">
        <v>9010</v>
      </c>
      <c r="E7761" s="64" t="s">
        <v>2939</v>
      </c>
      <c r="F7761" s="64" t="s">
        <v>15</v>
      </c>
      <c r="G7761" s="64" t="s">
        <v>2921</v>
      </c>
      <c r="H7761" s="64" t="s">
        <v>1875</v>
      </c>
      <c r="I7761" s="64" t="s">
        <v>2940</v>
      </c>
      <c r="J7761" s="67">
        <v>267.13</v>
      </c>
      <c r="K7761" s="62">
        <v>3235.19</v>
      </c>
      <c r="L7761" s="33" t="e">
        <f>HLOOKUP(B7761,#REF!,1,0)</f>
        <v>#REF!</v>
      </c>
      <c r="M7761" s="33" t="str">
        <f t="shared" si="487"/>
        <v>P&amp;L</v>
      </c>
    </row>
    <row r="7762" spans="1:13">
      <c r="A7762" s="33" t="str">
        <f t="shared" si="484"/>
        <v>SCL - CGS</v>
      </c>
      <c r="B7762" s="33" t="str">
        <f t="shared" si="485"/>
        <v>SCL</v>
      </c>
      <c r="C7762" s="33" t="str">
        <f t="shared" si="486"/>
        <v>52004-7363</v>
      </c>
      <c r="D7762" s="64" t="s">
        <v>9011</v>
      </c>
      <c r="E7762" s="64" t="s">
        <v>2939</v>
      </c>
      <c r="F7762" s="64" t="s">
        <v>15</v>
      </c>
      <c r="G7762" s="64" t="s">
        <v>2921</v>
      </c>
      <c r="H7762" s="64" t="s">
        <v>1875</v>
      </c>
      <c r="I7762" s="64" t="s">
        <v>2940</v>
      </c>
      <c r="J7762" s="67">
        <v>576.16</v>
      </c>
      <c r="K7762" s="62">
        <v>2631.82</v>
      </c>
      <c r="L7762" s="33" t="e">
        <f>HLOOKUP(B7762,#REF!,1,0)</f>
        <v>#REF!</v>
      </c>
      <c r="M7762" s="33" t="str">
        <f t="shared" si="487"/>
        <v>P&amp;L</v>
      </c>
    </row>
    <row r="7763" spans="1:13">
      <c r="A7763" s="33" t="str">
        <f t="shared" si="484"/>
        <v>SCL - CGS</v>
      </c>
      <c r="B7763" s="33" t="str">
        <f t="shared" si="485"/>
        <v>SCL</v>
      </c>
      <c r="C7763" s="33" t="str">
        <f t="shared" si="486"/>
        <v>52004-7364</v>
      </c>
      <c r="D7763" s="64" t="s">
        <v>9012</v>
      </c>
      <c r="E7763" s="64" t="s">
        <v>2939</v>
      </c>
      <c r="F7763" s="64" t="s">
        <v>15</v>
      </c>
      <c r="G7763" s="64" t="s">
        <v>2921</v>
      </c>
      <c r="H7763" s="64" t="s">
        <v>1875</v>
      </c>
      <c r="I7763" s="64" t="s">
        <v>2940</v>
      </c>
      <c r="J7763" s="67">
        <v>325.97</v>
      </c>
      <c r="K7763" s="62">
        <v>2299.61</v>
      </c>
      <c r="L7763" s="33" t="e">
        <f>HLOOKUP(B7763,#REF!,1,0)</f>
        <v>#REF!</v>
      </c>
      <c r="M7763" s="33" t="str">
        <f t="shared" si="487"/>
        <v>P&amp;L</v>
      </c>
    </row>
    <row r="7764" spans="1:13">
      <c r="A7764" s="33" t="str">
        <f t="shared" si="484"/>
        <v>SCL - CGS</v>
      </c>
      <c r="B7764" s="33" t="str">
        <f t="shared" si="485"/>
        <v>SCL</v>
      </c>
      <c r="C7764" s="33" t="str">
        <f t="shared" si="486"/>
        <v>52004-7365</v>
      </c>
      <c r="D7764" s="64" t="s">
        <v>9013</v>
      </c>
      <c r="E7764" s="64" t="s">
        <v>2939</v>
      </c>
      <c r="F7764" s="64" t="s">
        <v>15</v>
      </c>
      <c r="G7764" s="64" t="s">
        <v>2921</v>
      </c>
      <c r="H7764" s="64" t="s">
        <v>1875</v>
      </c>
      <c r="I7764" s="64" t="s">
        <v>2940</v>
      </c>
      <c r="J7764" s="67">
        <v>208.07</v>
      </c>
      <c r="K7764" s="62">
        <v>1009.69</v>
      </c>
      <c r="L7764" s="33" t="e">
        <f>HLOOKUP(B7764,#REF!,1,0)</f>
        <v>#REF!</v>
      </c>
      <c r="M7764" s="33" t="str">
        <f t="shared" si="487"/>
        <v>P&amp;L</v>
      </c>
    </row>
    <row r="7765" spans="1:13">
      <c r="A7765" s="33" t="str">
        <f t="shared" si="484"/>
        <v>SCL - CGS</v>
      </c>
      <c r="B7765" s="33" t="str">
        <f t="shared" si="485"/>
        <v>SCL</v>
      </c>
      <c r="C7765" s="33" t="str">
        <f t="shared" si="486"/>
        <v>52004-7366</v>
      </c>
      <c r="D7765" s="64" t="s">
        <v>9014</v>
      </c>
      <c r="E7765" s="64" t="s">
        <v>2939</v>
      </c>
      <c r="F7765" s="64" t="s">
        <v>15</v>
      </c>
      <c r="G7765" s="64" t="s">
        <v>2921</v>
      </c>
      <c r="H7765" s="64" t="s">
        <v>1875</v>
      </c>
      <c r="I7765" s="64" t="s">
        <v>2940</v>
      </c>
      <c r="J7765" s="67">
        <v>965.65</v>
      </c>
      <c r="K7765" s="62">
        <v>3967.42</v>
      </c>
      <c r="L7765" s="33" t="e">
        <f>HLOOKUP(B7765,#REF!,1,0)</f>
        <v>#REF!</v>
      </c>
      <c r="M7765" s="33" t="str">
        <f t="shared" si="487"/>
        <v>P&amp;L</v>
      </c>
    </row>
    <row r="7766" spans="1:13">
      <c r="A7766" s="33" t="str">
        <f t="shared" si="484"/>
        <v>SCL - CGS</v>
      </c>
      <c r="B7766" s="33" t="str">
        <f t="shared" si="485"/>
        <v>SCL</v>
      </c>
      <c r="C7766" s="33" t="str">
        <f t="shared" si="486"/>
        <v>52004-7368</v>
      </c>
      <c r="D7766" s="64" t="s">
        <v>9015</v>
      </c>
      <c r="E7766" s="64" t="s">
        <v>2939</v>
      </c>
      <c r="F7766" s="64" t="s">
        <v>15</v>
      </c>
      <c r="G7766" s="64" t="s">
        <v>2921</v>
      </c>
      <c r="H7766" s="64" t="s">
        <v>1875</v>
      </c>
      <c r="I7766" s="64" t="s">
        <v>2940</v>
      </c>
      <c r="J7766" s="67">
        <v>107.49</v>
      </c>
      <c r="K7766" s="62">
        <v>2695.97</v>
      </c>
      <c r="L7766" s="33" t="e">
        <f>HLOOKUP(B7766,#REF!,1,0)</f>
        <v>#REF!</v>
      </c>
      <c r="M7766" s="33" t="str">
        <f t="shared" si="487"/>
        <v>P&amp;L</v>
      </c>
    </row>
    <row r="7767" spans="1:13">
      <c r="A7767" s="33" t="str">
        <f t="shared" si="484"/>
        <v>SCL - CGS</v>
      </c>
      <c r="B7767" s="33" t="str">
        <f t="shared" si="485"/>
        <v>SCL</v>
      </c>
      <c r="C7767" s="33" t="str">
        <f t="shared" si="486"/>
        <v>52004-7369</v>
      </c>
      <c r="D7767" s="64" t="s">
        <v>9016</v>
      </c>
      <c r="E7767" s="64" t="s">
        <v>2939</v>
      </c>
      <c r="F7767" s="64" t="s">
        <v>15</v>
      </c>
      <c r="G7767" s="64" t="s">
        <v>2921</v>
      </c>
      <c r="H7767" s="64" t="s">
        <v>1875</v>
      </c>
      <c r="I7767" s="64" t="s">
        <v>2940</v>
      </c>
      <c r="J7767" s="67">
        <v>263.42</v>
      </c>
      <c r="K7767" s="62">
        <v>3752.05</v>
      </c>
      <c r="L7767" s="33" t="e">
        <f>HLOOKUP(B7767,#REF!,1,0)</f>
        <v>#REF!</v>
      </c>
      <c r="M7767" s="33" t="str">
        <f t="shared" si="487"/>
        <v>P&amp;L</v>
      </c>
    </row>
    <row r="7768" spans="1:13">
      <c r="A7768" s="33" t="str">
        <f t="shared" si="484"/>
        <v>SCL - CGS</v>
      </c>
      <c r="B7768" s="33" t="str">
        <f t="shared" si="485"/>
        <v>SCL</v>
      </c>
      <c r="C7768" s="33" t="str">
        <f t="shared" si="486"/>
        <v>52004-7371</v>
      </c>
      <c r="D7768" s="64" t="s">
        <v>9017</v>
      </c>
      <c r="E7768" s="64" t="s">
        <v>2939</v>
      </c>
      <c r="F7768" s="64" t="s">
        <v>15</v>
      </c>
      <c r="G7768" s="64" t="s">
        <v>2921</v>
      </c>
      <c r="H7768" s="64" t="s">
        <v>1875</v>
      </c>
      <c r="I7768" s="64" t="s">
        <v>2940</v>
      </c>
      <c r="J7768" s="67">
        <v>13.82</v>
      </c>
      <c r="K7768" s="62">
        <v>625.12</v>
      </c>
      <c r="L7768" s="33" t="e">
        <f>HLOOKUP(B7768,#REF!,1,0)</f>
        <v>#REF!</v>
      </c>
      <c r="M7768" s="33" t="str">
        <f t="shared" si="487"/>
        <v>P&amp;L</v>
      </c>
    </row>
    <row r="7769" spans="1:13">
      <c r="A7769" s="33" t="str">
        <f t="shared" si="484"/>
        <v>SCL - CGS</v>
      </c>
      <c r="B7769" s="33" t="str">
        <f t="shared" si="485"/>
        <v>SCL</v>
      </c>
      <c r="C7769" s="33" t="str">
        <f t="shared" si="486"/>
        <v>52004-7374</v>
      </c>
      <c r="D7769" s="64" t="s">
        <v>9018</v>
      </c>
      <c r="E7769" s="64" t="s">
        <v>2939</v>
      </c>
      <c r="F7769" s="64" t="s">
        <v>15</v>
      </c>
      <c r="G7769" s="64" t="s">
        <v>2921</v>
      </c>
      <c r="H7769" s="64" t="s">
        <v>1875</v>
      </c>
      <c r="I7769" s="64" t="s">
        <v>2940</v>
      </c>
      <c r="J7769" s="67">
        <v>515.37</v>
      </c>
      <c r="K7769" s="62">
        <v>2565.95</v>
      </c>
      <c r="L7769" s="33" t="e">
        <f>HLOOKUP(B7769,#REF!,1,0)</f>
        <v>#REF!</v>
      </c>
      <c r="M7769" s="33" t="str">
        <f t="shared" si="487"/>
        <v>P&amp;L</v>
      </c>
    </row>
    <row r="7770" spans="1:13">
      <c r="A7770" s="33" t="str">
        <f t="shared" si="484"/>
        <v>SCL - CGS</v>
      </c>
      <c r="B7770" s="33" t="str">
        <f t="shared" si="485"/>
        <v>SCL</v>
      </c>
      <c r="C7770" s="33" t="str">
        <f t="shared" si="486"/>
        <v>52004-7375</v>
      </c>
      <c r="D7770" s="64" t="s">
        <v>9019</v>
      </c>
      <c r="E7770" s="64" t="s">
        <v>2939</v>
      </c>
      <c r="F7770" s="64" t="s">
        <v>15</v>
      </c>
      <c r="G7770" s="64" t="s">
        <v>2921</v>
      </c>
      <c r="H7770" s="64" t="s">
        <v>1875</v>
      </c>
      <c r="I7770" s="64" t="s">
        <v>2940</v>
      </c>
      <c r="J7770" s="67">
        <v>0</v>
      </c>
      <c r="K7770" s="62">
        <v>9601.38</v>
      </c>
      <c r="L7770" s="33" t="e">
        <f>HLOOKUP(B7770,#REF!,1,0)</f>
        <v>#REF!</v>
      </c>
      <c r="M7770" s="33" t="str">
        <f t="shared" si="487"/>
        <v>P&amp;L</v>
      </c>
    </row>
    <row r="7771" spans="1:13">
      <c r="A7771" s="33" t="str">
        <f t="shared" si="484"/>
        <v>SCL - CGS</v>
      </c>
      <c r="B7771" s="33" t="str">
        <f t="shared" si="485"/>
        <v>SCL</v>
      </c>
      <c r="C7771" s="33" t="str">
        <f t="shared" si="486"/>
        <v>52004-7376</v>
      </c>
      <c r="D7771" s="64" t="s">
        <v>9020</v>
      </c>
      <c r="E7771" s="64" t="s">
        <v>2939</v>
      </c>
      <c r="F7771" s="64" t="s">
        <v>15</v>
      </c>
      <c r="G7771" s="64" t="s">
        <v>2921</v>
      </c>
      <c r="H7771" s="64" t="s">
        <v>1875</v>
      </c>
      <c r="I7771" s="64" t="s">
        <v>2940</v>
      </c>
      <c r="J7771" s="67">
        <v>329</v>
      </c>
      <c r="K7771" s="62">
        <v>5852.5</v>
      </c>
      <c r="L7771" s="33" t="e">
        <f>HLOOKUP(B7771,#REF!,1,0)</f>
        <v>#REF!</v>
      </c>
      <c r="M7771" s="33" t="str">
        <f t="shared" si="487"/>
        <v>P&amp;L</v>
      </c>
    </row>
    <row r="7772" spans="1:13">
      <c r="A7772" s="33" t="str">
        <f t="shared" si="484"/>
        <v>SCL - CGS</v>
      </c>
      <c r="B7772" s="33" t="str">
        <f t="shared" si="485"/>
        <v>SCL</v>
      </c>
      <c r="C7772" s="33" t="str">
        <f t="shared" si="486"/>
        <v>52004-7377</v>
      </c>
      <c r="D7772" s="64" t="s">
        <v>9021</v>
      </c>
      <c r="E7772" s="64" t="s">
        <v>2939</v>
      </c>
      <c r="F7772" s="64" t="s">
        <v>15</v>
      </c>
      <c r="G7772" s="64" t="s">
        <v>2921</v>
      </c>
      <c r="H7772" s="64" t="s">
        <v>1875</v>
      </c>
      <c r="I7772" s="64" t="s">
        <v>2940</v>
      </c>
      <c r="J7772" s="67">
        <v>47.03</v>
      </c>
      <c r="K7772" s="62">
        <v>152.26</v>
      </c>
      <c r="L7772" s="33" t="e">
        <f>HLOOKUP(B7772,#REF!,1,0)</f>
        <v>#REF!</v>
      </c>
      <c r="M7772" s="33" t="str">
        <f t="shared" si="487"/>
        <v>P&amp;L</v>
      </c>
    </row>
    <row r="7773" spans="1:13">
      <c r="A7773" s="33" t="str">
        <f t="shared" si="484"/>
        <v>SCL - CGS</v>
      </c>
      <c r="B7773" s="33" t="str">
        <f t="shared" si="485"/>
        <v>SCL</v>
      </c>
      <c r="C7773" s="33" t="str">
        <f t="shared" si="486"/>
        <v>52004-7378</v>
      </c>
      <c r="D7773" s="64" t="s">
        <v>9022</v>
      </c>
      <c r="E7773" s="64" t="s">
        <v>2939</v>
      </c>
      <c r="F7773" s="64" t="s">
        <v>15</v>
      </c>
      <c r="G7773" s="64" t="s">
        <v>2921</v>
      </c>
      <c r="H7773" s="64" t="s">
        <v>1875</v>
      </c>
      <c r="I7773" s="64" t="s">
        <v>2940</v>
      </c>
      <c r="J7773" s="67">
        <v>273.02</v>
      </c>
      <c r="K7773" s="62">
        <v>2188.78</v>
      </c>
      <c r="L7773" s="33" t="e">
        <f>HLOOKUP(B7773,#REF!,1,0)</f>
        <v>#REF!</v>
      </c>
      <c r="M7773" s="33" t="str">
        <f t="shared" si="487"/>
        <v>P&amp;L</v>
      </c>
    </row>
    <row r="7774" spans="1:13">
      <c r="A7774" s="33" t="str">
        <f t="shared" si="484"/>
        <v>SCL - CGS</v>
      </c>
      <c r="B7774" s="33" t="str">
        <f t="shared" si="485"/>
        <v>SCL</v>
      </c>
      <c r="C7774" s="33" t="str">
        <f t="shared" si="486"/>
        <v>52004-7379</v>
      </c>
      <c r="D7774" s="64" t="s">
        <v>9023</v>
      </c>
      <c r="E7774" s="64" t="s">
        <v>2939</v>
      </c>
      <c r="F7774" s="64" t="s">
        <v>15</v>
      </c>
      <c r="G7774" s="64" t="s">
        <v>2921</v>
      </c>
      <c r="H7774" s="64" t="s">
        <v>1875</v>
      </c>
      <c r="I7774" s="64" t="s">
        <v>2940</v>
      </c>
      <c r="J7774" s="67">
        <v>80.23</v>
      </c>
      <c r="K7774" s="62">
        <v>956.77</v>
      </c>
      <c r="L7774" s="33" t="e">
        <f>HLOOKUP(B7774,#REF!,1,0)</f>
        <v>#REF!</v>
      </c>
      <c r="M7774" s="33" t="str">
        <f t="shared" si="487"/>
        <v>P&amp;L</v>
      </c>
    </row>
    <row r="7775" spans="1:13">
      <c r="A7775" s="33" t="str">
        <f t="shared" si="484"/>
        <v>SCL - CGS</v>
      </c>
      <c r="B7775" s="33" t="str">
        <f t="shared" si="485"/>
        <v>SCL</v>
      </c>
      <c r="C7775" s="33" t="str">
        <f t="shared" si="486"/>
        <v>52004-7380</v>
      </c>
      <c r="D7775" s="64" t="s">
        <v>9024</v>
      </c>
      <c r="E7775" s="64" t="s">
        <v>2939</v>
      </c>
      <c r="F7775" s="64" t="s">
        <v>15</v>
      </c>
      <c r="G7775" s="64" t="s">
        <v>2921</v>
      </c>
      <c r="H7775" s="64" t="s">
        <v>1875</v>
      </c>
      <c r="I7775" s="64" t="s">
        <v>2940</v>
      </c>
      <c r="J7775" s="67">
        <v>0</v>
      </c>
      <c r="K7775" s="62">
        <v>248.28</v>
      </c>
      <c r="L7775" s="33" t="e">
        <f>HLOOKUP(B7775,#REF!,1,0)</f>
        <v>#REF!</v>
      </c>
      <c r="M7775" s="33" t="str">
        <f t="shared" si="487"/>
        <v>P&amp;L</v>
      </c>
    </row>
    <row r="7776" spans="1:13">
      <c r="A7776" s="33" t="str">
        <f t="shared" si="484"/>
        <v>SCL - CGS</v>
      </c>
      <c r="B7776" s="33" t="str">
        <f t="shared" si="485"/>
        <v>SCL</v>
      </c>
      <c r="C7776" s="33" t="str">
        <f t="shared" si="486"/>
        <v>52004-7381</v>
      </c>
      <c r="D7776" s="64" t="s">
        <v>9025</v>
      </c>
      <c r="E7776" s="64" t="s">
        <v>2939</v>
      </c>
      <c r="F7776" s="64" t="s">
        <v>15</v>
      </c>
      <c r="G7776" s="64" t="s">
        <v>2921</v>
      </c>
      <c r="H7776" s="64" t="s">
        <v>1875</v>
      </c>
      <c r="I7776" s="64" t="s">
        <v>2940</v>
      </c>
      <c r="J7776" s="67">
        <v>239.98</v>
      </c>
      <c r="K7776" s="62">
        <v>1333.17</v>
      </c>
      <c r="L7776" s="33" t="e">
        <f>HLOOKUP(B7776,#REF!,1,0)</f>
        <v>#REF!</v>
      </c>
      <c r="M7776" s="33" t="str">
        <f t="shared" si="487"/>
        <v>P&amp;L</v>
      </c>
    </row>
    <row r="7777" spans="1:13">
      <c r="A7777" s="33" t="str">
        <f t="shared" si="484"/>
        <v>SCL - CGS</v>
      </c>
      <c r="B7777" s="33" t="str">
        <f t="shared" si="485"/>
        <v>SCL</v>
      </c>
      <c r="C7777" s="33" t="str">
        <f t="shared" si="486"/>
        <v>52004-7383</v>
      </c>
      <c r="D7777" s="64" t="s">
        <v>9026</v>
      </c>
      <c r="E7777" s="64" t="s">
        <v>2939</v>
      </c>
      <c r="F7777" s="64" t="s">
        <v>15</v>
      </c>
      <c r="G7777" s="64" t="s">
        <v>2921</v>
      </c>
      <c r="H7777" s="64" t="s">
        <v>1875</v>
      </c>
      <c r="I7777" s="64" t="s">
        <v>2940</v>
      </c>
      <c r="J7777" s="67">
        <v>243.64</v>
      </c>
      <c r="K7777" s="62">
        <v>2401.77</v>
      </c>
      <c r="L7777" s="33" t="e">
        <f>HLOOKUP(B7777,#REF!,1,0)</f>
        <v>#REF!</v>
      </c>
      <c r="M7777" s="33" t="str">
        <f t="shared" si="487"/>
        <v>P&amp;L</v>
      </c>
    </row>
    <row r="7778" spans="1:13">
      <c r="A7778" s="33" t="str">
        <f t="shared" si="484"/>
        <v>SCL - CGS</v>
      </c>
      <c r="B7778" s="33" t="str">
        <f t="shared" si="485"/>
        <v>SCL</v>
      </c>
      <c r="C7778" s="33" t="str">
        <f t="shared" si="486"/>
        <v>52004-7385</v>
      </c>
      <c r="D7778" s="64" t="s">
        <v>9027</v>
      </c>
      <c r="E7778" s="64" t="s">
        <v>2939</v>
      </c>
      <c r="F7778" s="64" t="s">
        <v>15</v>
      </c>
      <c r="G7778" s="64" t="s">
        <v>2921</v>
      </c>
      <c r="H7778" s="64" t="s">
        <v>1875</v>
      </c>
      <c r="I7778" s="64" t="s">
        <v>2940</v>
      </c>
      <c r="J7778" s="67">
        <v>162.95</v>
      </c>
      <c r="K7778" s="62">
        <v>5371.6</v>
      </c>
      <c r="L7778" s="33" t="e">
        <f>HLOOKUP(B7778,#REF!,1,0)</f>
        <v>#REF!</v>
      </c>
      <c r="M7778" s="33" t="str">
        <f t="shared" si="487"/>
        <v>P&amp;L</v>
      </c>
    </row>
    <row r="7779" spans="1:13">
      <c r="A7779" s="33" t="str">
        <f t="shared" si="484"/>
        <v>SCL - CGS</v>
      </c>
      <c r="B7779" s="33" t="str">
        <f t="shared" si="485"/>
        <v>SCL</v>
      </c>
      <c r="C7779" s="33" t="str">
        <f t="shared" si="486"/>
        <v>52004-7386</v>
      </c>
      <c r="D7779" s="64" t="s">
        <v>9028</v>
      </c>
      <c r="E7779" s="64" t="s">
        <v>2939</v>
      </c>
      <c r="F7779" s="64" t="s">
        <v>15</v>
      </c>
      <c r="G7779" s="64" t="s">
        <v>2921</v>
      </c>
      <c r="H7779" s="64" t="s">
        <v>1875</v>
      </c>
      <c r="I7779" s="64" t="s">
        <v>2940</v>
      </c>
      <c r="J7779" s="67">
        <v>146</v>
      </c>
      <c r="K7779" s="62">
        <v>691.63</v>
      </c>
      <c r="L7779" s="33" t="e">
        <f>HLOOKUP(B7779,#REF!,1,0)</f>
        <v>#REF!</v>
      </c>
      <c r="M7779" s="33" t="str">
        <f t="shared" si="487"/>
        <v>P&amp;L</v>
      </c>
    </row>
    <row r="7780" spans="1:13">
      <c r="A7780" s="33" t="str">
        <f t="shared" si="484"/>
        <v>SCL - CGS</v>
      </c>
      <c r="B7780" s="33" t="str">
        <f t="shared" si="485"/>
        <v>SCL</v>
      </c>
      <c r="C7780" s="33" t="str">
        <f t="shared" si="486"/>
        <v>52004-7387</v>
      </c>
      <c r="D7780" s="64" t="s">
        <v>9029</v>
      </c>
      <c r="E7780" s="64" t="s">
        <v>2939</v>
      </c>
      <c r="F7780" s="64" t="s">
        <v>15</v>
      </c>
      <c r="G7780" s="64" t="s">
        <v>2921</v>
      </c>
      <c r="H7780" s="64" t="s">
        <v>1875</v>
      </c>
      <c r="I7780" s="64" t="s">
        <v>2940</v>
      </c>
      <c r="J7780" s="67">
        <v>8.42</v>
      </c>
      <c r="K7780" s="62">
        <v>99.14</v>
      </c>
      <c r="L7780" s="33" t="e">
        <f>HLOOKUP(B7780,#REF!,1,0)</f>
        <v>#REF!</v>
      </c>
      <c r="M7780" s="33" t="str">
        <f t="shared" si="487"/>
        <v>P&amp;L</v>
      </c>
    </row>
    <row r="7781" spans="1:13">
      <c r="A7781" s="33" t="str">
        <f t="shared" si="484"/>
        <v>SCL - CGS</v>
      </c>
      <c r="B7781" s="33" t="str">
        <f t="shared" si="485"/>
        <v>SCL</v>
      </c>
      <c r="C7781" s="33" t="str">
        <f t="shared" si="486"/>
        <v>52004-7389</v>
      </c>
      <c r="D7781" s="64" t="s">
        <v>9030</v>
      </c>
      <c r="E7781" s="64" t="s">
        <v>2939</v>
      </c>
      <c r="F7781" s="64" t="s">
        <v>15</v>
      </c>
      <c r="G7781" s="64" t="s">
        <v>2921</v>
      </c>
      <c r="H7781" s="64" t="s">
        <v>1875</v>
      </c>
      <c r="I7781" s="64" t="s">
        <v>2940</v>
      </c>
      <c r="J7781" s="67">
        <v>84.25</v>
      </c>
      <c r="K7781" s="62">
        <v>3773.09</v>
      </c>
      <c r="L7781" s="33" t="e">
        <f>HLOOKUP(B7781,#REF!,1,0)</f>
        <v>#REF!</v>
      </c>
      <c r="M7781" s="33" t="str">
        <f t="shared" si="487"/>
        <v>P&amp;L</v>
      </c>
    </row>
    <row r="7782" spans="1:13">
      <c r="A7782" s="33" t="str">
        <f t="shared" si="484"/>
        <v>SCL - CGS</v>
      </c>
      <c r="B7782" s="33" t="str">
        <f t="shared" si="485"/>
        <v>SCL</v>
      </c>
      <c r="C7782" s="33" t="str">
        <f t="shared" si="486"/>
        <v>52004-7391</v>
      </c>
      <c r="D7782" s="64" t="s">
        <v>9031</v>
      </c>
      <c r="E7782" s="64" t="s">
        <v>2939</v>
      </c>
      <c r="F7782" s="64" t="s">
        <v>15</v>
      </c>
      <c r="G7782" s="64" t="s">
        <v>2921</v>
      </c>
      <c r="H7782" s="64" t="s">
        <v>1875</v>
      </c>
      <c r="I7782" s="64" t="s">
        <v>2940</v>
      </c>
      <c r="J7782" s="67">
        <v>109.66</v>
      </c>
      <c r="K7782" s="62">
        <v>2436.41</v>
      </c>
      <c r="L7782" s="33" t="e">
        <f>HLOOKUP(B7782,#REF!,1,0)</f>
        <v>#REF!</v>
      </c>
      <c r="M7782" s="33" t="str">
        <f t="shared" si="487"/>
        <v>P&amp;L</v>
      </c>
    </row>
    <row r="7783" spans="1:13">
      <c r="A7783" s="33" t="str">
        <f t="shared" si="484"/>
        <v>SCL - CGS</v>
      </c>
      <c r="B7783" s="33" t="str">
        <f t="shared" si="485"/>
        <v>SCL</v>
      </c>
      <c r="C7783" s="33" t="str">
        <f t="shared" si="486"/>
        <v>52004-7393</v>
      </c>
      <c r="D7783" s="64" t="s">
        <v>9032</v>
      </c>
      <c r="E7783" s="64" t="s">
        <v>2939</v>
      </c>
      <c r="F7783" s="64" t="s">
        <v>15</v>
      </c>
      <c r="G7783" s="64" t="s">
        <v>2921</v>
      </c>
      <c r="H7783" s="64" t="s">
        <v>1875</v>
      </c>
      <c r="I7783" s="64" t="s">
        <v>2940</v>
      </c>
      <c r="J7783" s="67">
        <v>150.73</v>
      </c>
      <c r="K7783" s="62">
        <v>426.99</v>
      </c>
      <c r="L7783" s="33" t="e">
        <f>HLOOKUP(B7783,#REF!,1,0)</f>
        <v>#REF!</v>
      </c>
      <c r="M7783" s="33" t="str">
        <f t="shared" si="487"/>
        <v>P&amp;L</v>
      </c>
    </row>
    <row r="7784" spans="1:13">
      <c r="A7784" s="33" t="str">
        <f t="shared" si="484"/>
        <v>SCL - CGS</v>
      </c>
      <c r="B7784" s="33" t="str">
        <f t="shared" si="485"/>
        <v>SCL</v>
      </c>
      <c r="C7784" s="33" t="str">
        <f t="shared" si="486"/>
        <v>52004-7394</v>
      </c>
      <c r="D7784" s="64" t="s">
        <v>9033</v>
      </c>
      <c r="E7784" s="64" t="s">
        <v>2939</v>
      </c>
      <c r="F7784" s="64" t="s">
        <v>15</v>
      </c>
      <c r="G7784" s="64" t="s">
        <v>2921</v>
      </c>
      <c r="H7784" s="64" t="s">
        <v>1875</v>
      </c>
      <c r="I7784" s="64" t="s">
        <v>2940</v>
      </c>
      <c r="J7784" s="67">
        <v>178.86</v>
      </c>
      <c r="K7784" s="62">
        <v>229.03</v>
      </c>
      <c r="L7784" s="33" t="e">
        <f>HLOOKUP(B7784,#REF!,1,0)</f>
        <v>#REF!</v>
      </c>
      <c r="M7784" s="33" t="str">
        <f t="shared" si="487"/>
        <v>P&amp;L</v>
      </c>
    </row>
    <row r="7785" spans="1:13">
      <c r="A7785" s="33" t="str">
        <f t="shared" si="484"/>
        <v>SCL - CGS</v>
      </c>
      <c r="B7785" s="33" t="str">
        <f t="shared" si="485"/>
        <v>SCL</v>
      </c>
      <c r="C7785" s="33" t="str">
        <f t="shared" si="486"/>
        <v>52004-7396</v>
      </c>
      <c r="D7785" s="64" t="s">
        <v>9034</v>
      </c>
      <c r="E7785" s="64" t="s">
        <v>2939</v>
      </c>
      <c r="F7785" s="64" t="s">
        <v>15</v>
      </c>
      <c r="G7785" s="64" t="s">
        <v>2921</v>
      </c>
      <c r="H7785" s="64" t="s">
        <v>1875</v>
      </c>
      <c r="I7785" s="64" t="s">
        <v>2940</v>
      </c>
      <c r="J7785" s="67">
        <v>0</v>
      </c>
      <c r="K7785" s="62">
        <v>46.05</v>
      </c>
      <c r="L7785" s="33" t="e">
        <f>HLOOKUP(B7785,#REF!,1,0)</f>
        <v>#REF!</v>
      </c>
      <c r="M7785" s="33" t="str">
        <f t="shared" si="487"/>
        <v>P&amp;L</v>
      </c>
    </row>
    <row r="7786" spans="1:13">
      <c r="A7786" s="33" t="str">
        <f t="shared" si="484"/>
        <v>SCL - CGS</v>
      </c>
      <c r="B7786" s="33" t="str">
        <f t="shared" si="485"/>
        <v>SCL</v>
      </c>
      <c r="C7786" s="33" t="str">
        <f t="shared" si="486"/>
        <v>52004-7397</v>
      </c>
      <c r="D7786" s="64" t="s">
        <v>9035</v>
      </c>
      <c r="E7786" s="64" t="s">
        <v>2939</v>
      </c>
      <c r="F7786" s="64" t="s">
        <v>15</v>
      </c>
      <c r="G7786" s="64" t="s">
        <v>2921</v>
      </c>
      <c r="H7786" s="64" t="s">
        <v>1875</v>
      </c>
      <c r="I7786" s="64" t="s">
        <v>2940</v>
      </c>
      <c r="J7786" s="67">
        <v>128.3</v>
      </c>
      <c r="K7786" s="62">
        <v>1445.09</v>
      </c>
      <c r="L7786" s="33" t="e">
        <f>HLOOKUP(B7786,#REF!,1,0)</f>
        <v>#REF!</v>
      </c>
      <c r="M7786" s="33" t="str">
        <f t="shared" si="487"/>
        <v>P&amp;L</v>
      </c>
    </row>
    <row r="7787" spans="1:13">
      <c r="A7787" s="33" t="str">
        <f t="shared" si="484"/>
        <v>SCL - CGS</v>
      </c>
      <c r="B7787" s="33" t="str">
        <f t="shared" si="485"/>
        <v>SCL</v>
      </c>
      <c r="C7787" s="33" t="str">
        <f t="shared" si="486"/>
        <v>52004-7398</v>
      </c>
      <c r="D7787" s="64" t="s">
        <v>9036</v>
      </c>
      <c r="E7787" s="64" t="s">
        <v>2939</v>
      </c>
      <c r="F7787" s="64" t="s">
        <v>15</v>
      </c>
      <c r="G7787" s="64" t="s">
        <v>2921</v>
      </c>
      <c r="H7787" s="64" t="s">
        <v>1875</v>
      </c>
      <c r="I7787" s="64" t="s">
        <v>2940</v>
      </c>
      <c r="J7787" s="67">
        <v>46.16</v>
      </c>
      <c r="K7787" s="62">
        <v>1758.7</v>
      </c>
      <c r="L7787" s="33" t="e">
        <f>HLOOKUP(B7787,#REF!,1,0)</f>
        <v>#REF!</v>
      </c>
      <c r="M7787" s="33" t="str">
        <f t="shared" si="487"/>
        <v>P&amp;L</v>
      </c>
    </row>
    <row r="7788" spans="1:13">
      <c r="A7788" s="33" t="str">
        <f t="shared" si="484"/>
        <v>SCL - CGS</v>
      </c>
      <c r="B7788" s="33" t="str">
        <f t="shared" si="485"/>
        <v>SCL</v>
      </c>
      <c r="C7788" s="33" t="str">
        <f t="shared" si="486"/>
        <v>52004-7400</v>
      </c>
      <c r="D7788" s="64" t="s">
        <v>9037</v>
      </c>
      <c r="E7788" s="64" t="s">
        <v>2939</v>
      </c>
      <c r="F7788" s="64" t="s">
        <v>15</v>
      </c>
      <c r="G7788" s="64" t="s">
        <v>2921</v>
      </c>
      <c r="H7788" s="64" t="s">
        <v>1875</v>
      </c>
      <c r="I7788" s="64" t="s">
        <v>2940</v>
      </c>
      <c r="J7788" s="67">
        <v>0</v>
      </c>
      <c r="K7788" s="62">
        <v>607.09</v>
      </c>
      <c r="L7788" s="33" t="e">
        <f>HLOOKUP(B7788,#REF!,1,0)</f>
        <v>#REF!</v>
      </c>
      <c r="M7788" s="33" t="str">
        <f t="shared" si="487"/>
        <v>P&amp;L</v>
      </c>
    </row>
    <row r="7789" spans="1:13">
      <c r="A7789" s="33" t="str">
        <f t="shared" si="484"/>
        <v>SCL - CGS</v>
      </c>
      <c r="B7789" s="33" t="str">
        <f t="shared" si="485"/>
        <v>SCL</v>
      </c>
      <c r="C7789" s="33" t="str">
        <f t="shared" si="486"/>
        <v>52004-7401</v>
      </c>
      <c r="D7789" s="64" t="s">
        <v>9038</v>
      </c>
      <c r="E7789" s="64" t="s">
        <v>2939</v>
      </c>
      <c r="F7789" s="64" t="s">
        <v>15</v>
      </c>
      <c r="G7789" s="64" t="s">
        <v>2921</v>
      </c>
      <c r="H7789" s="64" t="s">
        <v>1875</v>
      </c>
      <c r="I7789" s="64" t="s">
        <v>2940</v>
      </c>
      <c r="J7789" s="67">
        <v>15.35</v>
      </c>
      <c r="K7789" s="62">
        <v>78.83</v>
      </c>
      <c r="L7789" s="33" t="e">
        <f>HLOOKUP(B7789,#REF!,1,0)</f>
        <v>#REF!</v>
      </c>
      <c r="M7789" s="33" t="str">
        <f t="shared" si="487"/>
        <v>P&amp;L</v>
      </c>
    </row>
    <row r="7790" spans="1:13">
      <c r="A7790" s="33" t="str">
        <f t="shared" si="484"/>
        <v>SCL - CGS</v>
      </c>
      <c r="B7790" s="33" t="str">
        <f t="shared" si="485"/>
        <v>SCL</v>
      </c>
      <c r="C7790" s="33" t="str">
        <f t="shared" si="486"/>
        <v>52004-7402</v>
      </c>
      <c r="D7790" s="64" t="s">
        <v>9039</v>
      </c>
      <c r="E7790" s="64" t="s">
        <v>2939</v>
      </c>
      <c r="F7790" s="64" t="s">
        <v>15</v>
      </c>
      <c r="G7790" s="64" t="s">
        <v>2921</v>
      </c>
      <c r="H7790" s="64" t="s">
        <v>1875</v>
      </c>
      <c r="I7790" s="64" t="s">
        <v>2940</v>
      </c>
      <c r="J7790" s="67">
        <v>83.95</v>
      </c>
      <c r="K7790" s="62">
        <v>1313.26</v>
      </c>
      <c r="L7790" s="33" t="e">
        <f>HLOOKUP(B7790,#REF!,1,0)</f>
        <v>#REF!</v>
      </c>
      <c r="M7790" s="33" t="str">
        <f t="shared" si="487"/>
        <v>P&amp;L</v>
      </c>
    </row>
    <row r="7791" spans="1:13">
      <c r="A7791" s="33" t="str">
        <f t="shared" si="484"/>
        <v>SCL - CGS</v>
      </c>
      <c r="B7791" s="33" t="str">
        <f t="shared" si="485"/>
        <v>SCL</v>
      </c>
      <c r="C7791" s="33" t="str">
        <f t="shared" si="486"/>
        <v>52004-7403</v>
      </c>
      <c r="D7791" s="64" t="s">
        <v>9040</v>
      </c>
      <c r="E7791" s="64" t="s">
        <v>2939</v>
      </c>
      <c r="F7791" s="64" t="s">
        <v>15</v>
      </c>
      <c r="G7791" s="64" t="s">
        <v>2921</v>
      </c>
      <c r="H7791" s="64" t="s">
        <v>1875</v>
      </c>
      <c r="I7791" s="64" t="s">
        <v>2940</v>
      </c>
      <c r="J7791" s="67">
        <v>512.96</v>
      </c>
      <c r="K7791" s="62">
        <v>1362.05</v>
      </c>
      <c r="L7791" s="33" t="e">
        <f>HLOOKUP(B7791,#REF!,1,0)</f>
        <v>#REF!</v>
      </c>
      <c r="M7791" s="33" t="str">
        <f t="shared" si="487"/>
        <v>P&amp;L</v>
      </c>
    </row>
    <row r="7792" spans="1:13">
      <c r="A7792" s="33" t="str">
        <f t="shared" si="484"/>
        <v>SCL - CGS</v>
      </c>
      <c r="B7792" s="33" t="str">
        <f t="shared" si="485"/>
        <v>SCL</v>
      </c>
      <c r="C7792" s="33" t="str">
        <f t="shared" si="486"/>
        <v>52004-7489</v>
      </c>
      <c r="D7792" s="64" t="s">
        <v>9041</v>
      </c>
      <c r="E7792" s="64" t="s">
        <v>2939</v>
      </c>
      <c r="F7792" s="64" t="s">
        <v>15</v>
      </c>
      <c r="G7792" s="64" t="s">
        <v>2921</v>
      </c>
      <c r="H7792" s="64" t="s">
        <v>1875</v>
      </c>
      <c r="I7792" s="64" t="s">
        <v>2940</v>
      </c>
      <c r="J7792" s="67">
        <v>193.44</v>
      </c>
      <c r="K7792" s="62">
        <v>2862.23</v>
      </c>
      <c r="L7792" s="33" t="e">
        <f>HLOOKUP(B7792,#REF!,1,0)</f>
        <v>#REF!</v>
      </c>
      <c r="M7792" s="33" t="str">
        <f t="shared" si="487"/>
        <v>P&amp;L</v>
      </c>
    </row>
    <row r="7793" spans="1:13">
      <c r="A7793" s="33" t="str">
        <f t="shared" si="484"/>
        <v>SCL - CGS</v>
      </c>
      <c r="B7793" s="33" t="str">
        <f t="shared" si="485"/>
        <v>SCL</v>
      </c>
      <c r="C7793" s="33" t="str">
        <f t="shared" si="486"/>
        <v>52004-7491</v>
      </c>
      <c r="D7793" s="64" t="s">
        <v>9042</v>
      </c>
      <c r="E7793" s="64" t="s">
        <v>2939</v>
      </c>
      <c r="F7793" s="64" t="s">
        <v>15</v>
      </c>
      <c r="G7793" s="64" t="s">
        <v>2921</v>
      </c>
      <c r="H7793" s="64" t="s">
        <v>1875</v>
      </c>
      <c r="I7793" s="64" t="s">
        <v>2940</v>
      </c>
      <c r="J7793" s="67">
        <v>0</v>
      </c>
      <c r="K7793" s="62">
        <v>702.71</v>
      </c>
      <c r="L7793" s="33" t="e">
        <f>HLOOKUP(B7793,#REF!,1,0)</f>
        <v>#REF!</v>
      </c>
      <c r="M7793" s="33" t="str">
        <f t="shared" si="487"/>
        <v>P&amp;L</v>
      </c>
    </row>
    <row r="7794" spans="1:13">
      <c r="A7794" s="33" t="str">
        <f t="shared" si="484"/>
        <v>SCL - CGS</v>
      </c>
      <c r="B7794" s="33" t="str">
        <f t="shared" si="485"/>
        <v>SCL</v>
      </c>
      <c r="C7794" s="33" t="str">
        <f t="shared" si="486"/>
        <v>52004-7492</v>
      </c>
      <c r="D7794" s="64" t="s">
        <v>9043</v>
      </c>
      <c r="E7794" s="64" t="s">
        <v>2939</v>
      </c>
      <c r="F7794" s="64" t="s">
        <v>15</v>
      </c>
      <c r="G7794" s="64" t="s">
        <v>2921</v>
      </c>
      <c r="H7794" s="64" t="s">
        <v>1875</v>
      </c>
      <c r="I7794" s="64" t="s">
        <v>2940</v>
      </c>
      <c r="J7794" s="67">
        <v>720.51</v>
      </c>
      <c r="K7794" s="62">
        <v>1491.17</v>
      </c>
      <c r="L7794" s="33" t="e">
        <f>HLOOKUP(B7794,#REF!,1,0)</f>
        <v>#REF!</v>
      </c>
      <c r="M7794" s="33" t="str">
        <f t="shared" si="487"/>
        <v>P&amp;L</v>
      </c>
    </row>
    <row r="7795" spans="1:13">
      <c r="A7795" s="33" t="str">
        <f t="shared" si="484"/>
        <v>SCL - CGS</v>
      </c>
      <c r="B7795" s="33" t="str">
        <f t="shared" si="485"/>
        <v>SCL</v>
      </c>
      <c r="C7795" s="33" t="str">
        <f t="shared" si="486"/>
        <v>52004-7493</v>
      </c>
      <c r="D7795" s="64" t="s">
        <v>9044</v>
      </c>
      <c r="E7795" s="64" t="s">
        <v>2939</v>
      </c>
      <c r="F7795" s="64" t="s">
        <v>15</v>
      </c>
      <c r="G7795" s="64" t="s">
        <v>2921</v>
      </c>
      <c r="H7795" s="64" t="s">
        <v>1875</v>
      </c>
      <c r="I7795" s="64" t="s">
        <v>2940</v>
      </c>
      <c r="J7795" s="67">
        <v>328.18</v>
      </c>
      <c r="K7795" s="62">
        <v>8694.31</v>
      </c>
      <c r="L7795" s="33" t="e">
        <f>HLOOKUP(B7795,#REF!,1,0)</f>
        <v>#REF!</v>
      </c>
      <c r="M7795" s="33" t="str">
        <f t="shared" si="487"/>
        <v>P&amp;L</v>
      </c>
    </row>
    <row r="7796" spans="1:13">
      <c r="A7796" s="33" t="str">
        <f t="shared" si="484"/>
        <v>SCL - CGS</v>
      </c>
      <c r="B7796" s="33" t="str">
        <f t="shared" si="485"/>
        <v>SCL</v>
      </c>
      <c r="C7796" s="33" t="str">
        <f t="shared" si="486"/>
        <v>52004-7494</v>
      </c>
      <c r="D7796" s="64" t="s">
        <v>9045</v>
      </c>
      <c r="E7796" s="64" t="s">
        <v>2939</v>
      </c>
      <c r="F7796" s="64" t="s">
        <v>15</v>
      </c>
      <c r="G7796" s="64" t="s">
        <v>2921</v>
      </c>
      <c r="H7796" s="64" t="s">
        <v>1875</v>
      </c>
      <c r="I7796" s="64" t="s">
        <v>2940</v>
      </c>
      <c r="J7796" s="67">
        <v>9.4</v>
      </c>
      <c r="K7796" s="62">
        <v>279.21</v>
      </c>
      <c r="L7796" s="33" t="e">
        <f>HLOOKUP(B7796,#REF!,1,0)</f>
        <v>#REF!</v>
      </c>
      <c r="M7796" s="33" t="str">
        <f t="shared" si="487"/>
        <v>P&amp;L</v>
      </c>
    </row>
    <row r="7797" spans="1:13">
      <c r="A7797" s="33" t="str">
        <f t="shared" si="484"/>
        <v>SCL - CGS</v>
      </c>
      <c r="B7797" s="33" t="str">
        <f t="shared" si="485"/>
        <v>SCL</v>
      </c>
      <c r="C7797" s="33" t="str">
        <f t="shared" si="486"/>
        <v>52004-7625</v>
      </c>
      <c r="D7797" s="64" t="s">
        <v>9046</v>
      </c>
      <c r="E7797" s="64" t="s">
        <v>2939</v>
      </c>
      <c r="F7797" s="64" t="s">
        <v>15</v>
      </c>
      <c r="G7797" s="64" t="s">
        <v>2921</v>
      </c>
      <c r="H7797" s="64" t="s">
        <v>1875</v>
      </c>
      <c r="I7797" s="64" t="s">
        <v>2940</v>
      </c>
      <c r="J7797" s="67">
        <v>0</v>
      </c>
      <c r="K7797" s="62">
        <v>347.55</v>
      </c>
      <c r="L7797" s="33" t="e">
        <f>HLOOKUP(B7797,#REF!,1,0)</f>
        <v>#REF!</v>
      </c>
      <c r="M7797" s="33" t="str">
        <f t="shared" si="487"/>
        <v>P&amp;L</v>
      </c>
    </row>
    <row r="7798" spans="1:13">
      <c r="A7798" s="33" t="str">
        <f t="shared" si="484"/>
        <v>SCL - CGS</v>
      </c>
      <c r="B7798" s="33" t="str">
        <f t="shared" si="485"/>
        <v>SCL</v>
      </c>
      <c r="C7798" s="33" t="str">
        <f t="shared" si="486"/>
        <v>52004-8150</v>
      </c>
      <c r="D7798" s="64" t="s">
        <v>9047</v>
      </c>
      <c r="E7798" s="64" t="s">
        <v>2939</v>
      </c>
      <c r="F7798" s="64" t="s">
        <v>15</v>
      </c>
      <c r="G7798" s="64" t="s">
        <v>2921</v>
      </c>
      <c r="H7798" s="64" t="s">
        <v>1875</v>
      </c>
      <c r="I7798" s="64" t="s">
        <v>2940</v>
      </c>
      <c r="J7798" s="67">
        <v>135.18</v>
      </c>
      <c r="K7798" s="62">
        <v>1939.9</v>
      </c>
      <c r="L7798" s="33" t="e">
        <f>HLOOKUP(B7798,#REF!,1,0)</f>
        <v>#REF!</v>
      </c>
      <c r="M7798" s="33" t="str">
        <f t="shared" si="487"/>
        <v>P&amp;L</v>
      </c>
    </row>
    <row r="7799" spans="1:13">
      <c r="A7799" s="33" t="str">
        <f t="shared" si="484"/>
        <v>SCL - CGS</v>
      </c>
      <c r="B7799" s="33" t="str">
        <f t="shared" si="485"/>
        <v>SCL</v>
      </c>
      <c r="C7799" s="33" t="str">
        <f t="shared" si="486"/>
        <v>52005-7351</v>
      </c>
      <c r="D7799" s="64" t="s">
        <v>9048</v>
      </c>
      <c r="E7799" s="64" t="s">
        <v>2945</v>
      </c>
      <c r="F7799" s="64" t="s">
        <v>15</v>
      </c>
      <c r="G7799" s="64" t="s">
        <v>2921</v>
      </c>
      <c r="H7799" s="64" t="s">
        <v>1875</v>
      </c>
      <c r="I7799" s="64" t="s">
        <v>2946</v>
      </c>
      <c r="J7799" s="67">
        <v>396</v>
      </c>
      <c r="K7799" s="62">
        <v>6497.64</v>
      </c>
      <c r="L7799" s="33" t="e">
        <f>HLOOKUP(B7799,#REF!,1,0)</f>
        <v>#REF!</v>
      </c>
      <c r="M7799" s="33" t="str">
        <f t="shared" si="487"/>
        <v>P&amp;L</v>
      </c>
    </row>
    <row r="7800" spans="1:13">
      <c r="A7800" s="33" t="str">
        <f t="shared" si="484"/>
        <v>SCL - CGS</v>
      </c>
      <c r="B7800" s="33" t="str">
        <f t="shared" si="485"/>
        <v>SCL</v>
      </c>
      <c r="C7800" s="33" t="str">
        <f t="shared" si="486"/>
        <v>52005-7352</v>
      </c>
      <c r="D7800" s="64" t="s">
        <v>9049</v>
      </c>
      <c r="E7800" s="64" t="s">
        <v>2945</v>
      </c>
      <c r="F7800" s="64" t="s">
        <v>15</v>
      </c>
      <c r="G7800" s="64" t="s">
        <v>2921</v>
      </c>
      <c r="H7800" s="64" t="s">
        <v>1875</v>
      </c>
      <c r="I7800" s="64" t="s">
        <v>2946</v>
      </c>
      <c r="J7800" s="67">
        <v>1020.4</v>
      </c>
      <c r="K7800" s="62">
        <v>3905.23</v>
      </c>
      <c r="L7800" s="33" t="e">
        <f>HLOOKUP(B7800,#REF!,1,0)</f>
        <v>#REF!</v>
      </c>
      <c r="M7800" s="33" t="str">
        <f t="shared" si="487"/>
        <v>P&amp;L</v>
      </c>
    </row>
    <row r="7801" spans="1:13">
      <c r="A7801" s="33" t="str">
        <f t="shared" si="484"/>
        <v>SCL - CGS</v>
      </c>
      <c r="B7801" s="33" t="str">
        <f t="shared" si="485"/>
        <v>SCL</v>
      </c>
      <c r="C7801" s="33" t="str">
        <f t="shared" si="486"/>
        <v>52005-7355</v>
      </c>
      <c r="D7801" s="64" t="s">
        <v>9050</v>
      </c>
      <c r="E7801" s="64" t="s">
        <v>2945</v>
      </c>
      <c r="F7801" s="64" t="s">
        <v>15</v>
      </c>
      <c r="G7801" s="64" t="s">
        <v>2921</v>
      </c>
      <c r="H7801" s="64" t="s">
        <v>1875</v>
      </c>
      <c r="I7801" s="64" t="s">
        <v>2946</v>
      </c>
      <c r="J7801" s="67">
        <v>268</v>
      </c>
      <c r="K7801" s="62">
        <v>4538.54</v>
      </c>
      <c r="L7801" s="33" t="e">
        <f>HLOOKUP(B7801,#REF!,1,0)</f>
        <v>#REF!</v>
      </c>
      <c r="M7801" s="33" t="str">
        <f t="shared" si="487"/>
        <v>P&amp;L</v>
      </c>
    </row>
    <row r="7802" spans="1:13">
      <c r="A7802" s="33" t="str">
        <f t="shared" si="484"/>
        <v>SCL - CGS</v>
      </c>
      <c r="B7802" s="33" t="str">
        <f t="shared" si="485"/>
        <v>SCL</v>
      </c>
      <c r="C7802" s="33" t="str">
        <f t="shared" si="486"/>
        <v>52005-7356</v>
      </c>
      <c r="D7802" s="64" t="s">
        <v>9051</v>
      </c>
      <c r="E7802" s="64" t="s">
        <v>2945</v>
      </c>
      <c r="F7802" s="64" t="s">
        <v>15</v>
      </c>
      <c r="G7802" s="64" t="s">
        <v>2921</v>
      </c>
      <c r="H7802" s="64" t="s">
        <v>1875</v>
      </c>
      <c r="I7802" s="64" t="s">
        <v>2946</v>
      </c>
      <c r="J7802" s="67">
        <v>0</v>
      </c>
      <c r="K7802" s="62">
        <v>1817.36</v>
      </c>
      <c r="L7802" s="33" t="e">
        <f>HLOOKUP(B7802,#REF!,1,0)</f>
        <v>#REF!</v>
      </c>
      <c r="M7802" s="33" t="str">
        <f t="shared" si="487"/>
        <v>P&amp;L</v>
      </c>
    </row>
    <row r="7803" spans="1:13">
      <c r="A7803" s="33" t="str">
        <f t="shared" si="484"/>
        <v>SCL - CGS</v>
      </c>
      <c r="B7803" s="33" t="str">
        <f t="shared" si="485"/>
        <v>SCL</v>
      </c>
      <c r="C7803" s="33" t="str">
        <f t="shared" si="486"/>
        <v>52005-7359</v>
      </c>
      <c r="D7803" s="64" t="s">
        <v>9052</v>
      </c>
      <c r="E7803" s="64" t="s">
        <v>2945</v>
      </c>
      <c r="F7803" s="64" t="s">
        <v>15</v>
      </c>
      <c r="G7803" s="64" t="s">
        <v>2921</v>
      </c>
      <c r="H7803" s="64" t="s">
        <v>1875</v>
      </c>
      <c r="I7803" s="64" t="s">
        <v>2946</v>
      </c>
      <c r="J7803" s="67">
        <v>288</v>
      </c>
      <c r="K7803" s="62">
        <v>5307.84</v>
      </c>
      <c r="L7803" s="33" t="e">
        <f>HLOOKUP(B7803,#REF!,1,0)</f>
        <v>#REF!</v>
      </c>
      <c r="M7803" s="33" t="str">
        <f t="shared" si="487"/>
        <v>P&amp;L</v>
      </c>
    </row>
    <row r="7804" spans="1:13">
      <c r="A7804" s="33" t="str">
        <f t="shared" si="484"/>
        <v>SCL - CGS</v>
      </c>
      <c r="B7804" s="33" t="str">
        <f t="shared" si="485"/>
        <v>SCL</v>
      </c>
      <c r="C7804" s="33" t="str">
        <f t="shared" si="486"/>
        <v>52005-7360</v>
      </c>
      <c r="D7804" s="64" t="s">
        <v>9053</v>
      </c>
      <c r="E7804" s="64" t="s">
        <v>2945</v>
      </c>
      <c r="F7804" s="64" t="s">
        <v>15</v>
      </c>
      <c r="G7804" s="64" t="s">
        <v>2921</v>
      </c>
      <c r="H7804" s="64" t="s">
        <v>1875</v>
      </c>
      <c r="I7804" s="64" t="s">
        <v>2946</v>
      </c>
      <c r="J7804" s="67">
        <v>812</v>
      </c>
      <c r="K7804" s="62">
        <v>4570.7</v>
      </c>
      <c r="L7804" s="33" t="e">
        <f>HLOOKUP(B7804,#REF!,1,0)</f>
        <v>#REF!</v>
      </c>
      <c r="M7804" s="33" t="str">
        <f t="shared" si="487"/>
        <v>P&amp;L</v>
      </c>
    </row>
    <row r="7805" spans="1:13">
      <c r="A7805" s="33" t="str">
        <f t="shared" si="484"/>
        <v>SCL - CGS</v>
      </c>
      <c r="B7805" s="33" t="str">
        <f t="shared" si="485"/>
        <v>SCL</v>
      </c>
      <c r="C7805" s="33" t="str">
        <f t="shared" si="486"/>
        <v>52005-7361</v>
      </c>
      <c r="D7805" s="64" t="s">
        <v>9054</v>
      </c>
      <c r="E7805" s="64" t="s">
        <v>2945</v>
      </c>
      <c r="F7805" s="64" t="s">
        <v>15</v>
      </c>
      <c r="G7805" s="64" t="s">
        <v>2921</v>
      </c>
      <c r="H7805" s="64" t="s">
        <v>1875</v>
      </c>
      <c r="I7805" s="64" t="s">
        <v>2946</v>
      </c>
      <c r="J7805" s="67">
        <v>708.32</v>
      </c>
      <c r="K7805" s="62">
        <v>6286.28</v>
      </c>
      <c r="L7805" s="33" t="e">
        <f>HLOOKUP(B7805,#REF!,1,0)</f>
        <v>#REF!</v>
      </c>
      <c r="M7805" s="33" t="str">
        <f t="shared" si="487"/>
        <v>P&amp;L</v>
      </c>
    </row>
    <row r="7806" spans="1:13">
      <c r="A7806" s="33" t="str">
        <f t="shared" si="484"/>
        <v>SCL - CGS</v>
      </c>
      <c r="B7806" s="33" t="str">
        <f t="shared" si="485"/>
        <v>SCL</v>
      </c>
      <c r="C7806" s="33" t="str">
        <f t="shared" si="486"/>
        <v>52005-7362</v>
      </c>
      <c r="D7806" s="64" t="s">
        <v>9055</v>
      </c>
      <c r="E7806" s="64" t="s">
        <v>2945</v>
      </c>
      <c r="F7806" s="64" t="s">
        <v>15</v>
      </c>
      <c r="G7806" s="64" t="s">
        <v>2921</v>
      </c>
      <c r="H7806" s="64" t="s">
        <v>1875</v>
      </c>
      <c r="I7806" s="64" t="s">
        <v>2946</v>
      </c>
      <c r="J7806" s="67">
        <v>0</v>
      </c>
      <c r="K7806" s="62">
        <v>792.34</v>
      </c>
      <c r="L7806" s="33" t="e">
        <f>HLOOKUP(B7806,#REF!,1,0)</f>
        <v>#REF!</v>
      </c>
      <c r="M7806" s="33" t="str">
        <f t="shared" si="487"/>
        <v>P&amp;L</v>
      </c>
    </row>
    <row r="7807" spans="1:13">
      <c r="A7807" s="33" t="str">
        <f t="shared" si="484"/>
        <v>SCL - CGS</v>
      </c>
      <c r="B7807" s="33" t="str">
        <f t="shared" si="485"/>
        <v>SCL</v>
      </c>
      <c r="C7807" s="33" t="str">
        <f t="shared" si="486"/>
        <v>52005-7363</v>
      </c>
      <c r="D7807" s="64" t="s">
        <v>9056</v>
      </c>
      <c r="E7807" s="64" t="s">
        <v>2945</v>
      </c>
      <c r="F7807" s="64" t="s">
        <v>15</v>
      </c>
      <c r="G7807" s="64" t="s">
        <v>2921</v>
      </c>
      <c r="H7807" s="64" t="s">
        <v>1875</v>
      </c>
      <c r="I7807" s="64" t="s">
        <v>2946</v>
      </c>
      <c r="J7807" s="67">
        <v>216.2</v>
      </c>
      <c r="K7807" s="62">
        <v>5806.95</v>
      </c>
      <c r="L7807" s="33" t="e">
        <f>HLOOKUP(B7807,#REF!,1,0)</f>
        <v>#REF!</v>
      </c>
      <c r="M7807" s="33" t="str">
        <f t="shared" si="487"/>
        <v>P&amp;L</v>
      </c>
    </row>
    <row r="7808" spans="1:13">
      <c r="A7808" s="33" t="str">
        <f t="shared" si="484"/>
        <v>SCL - CGS</v>
      </c>
      <c r="B7808" s="33" t="str">
        <f t="shared" si="485"/>
        <v>SCL</v>
      </c>
      <c r="C7808" s="33" t="str">
        <f t="shared" si="486"/>
        <v>52005-7364</v>
      </c>
      <c r="D7808" s="64" t="s">
        <v>9057</v>
      </c>
      <c r="E7808" s="64" t="s">
        <v>2945</v>
      </c>
      <c r="F7808" s="64" t="s">
        <v>15</v>
      </c>
      <c r="G7808" s="64" t="s">
        <v>2921</v>
      </c>
      <c r="H7808" s="64" t="s">
        <v>1875</v>
      </c>
      <c r="I7808" s="64" t="s">
        <v>2946</v>
      </c>
      <c r="J7808" s="67">
        <v>256.64</v>
      </c>
      <c r="K7808" s="62">
        <v>1530.71</v>
      </c>
      <c r="L7808" s="33" t="e">
        <f>HLOOKUP(B7808,#REF!,1,0)</f>
        <v>#REF!</v>
      </c>
      <c r="M7808" s="33" t="str">
        <f t="shared" si="487"/>
        <v>P&amp;L</v>
      </c>
    </row>
    <row r="7809" spans="1:13">
      <c r="A7809" s="33" t="str">
        <f t="shared" si="484"/>
        <v>SCL - CGS</v>
      </c>
      <c r="B7809" s="33" t="str">
        <f t="shared" si="485"/>
        <v>SCL</v>
      </c>
      <c r="C7809" s="33" t="str">
        <f t="shared" si="486"/>
        <v>52005-7365</v>
      </c>
      <c r="D7809" s="64" t="s">
        <v>9058</v>
      </c>
      <c r="E7809" s="64" t="s">
        <v>2945</v>
      </c>
      <c r="F7809" s="64" t="s">
        <v>15</v>
      </c>
      <c r="G7809" s="64" t="s">
        <v>2921</v>
      </c>
      <c r="H7809" s="64" t="s">
        <v>1875</v>
      </c>
      <c r="I7809" s="64" t="s">
        <v>2946</v>
      </c>
      <c r="J7809" s="67">
        <v>0</v>
      </c>
      <c r="K7809" s="62">
        <v>1214.2</v>
      </c>
      <c r="L7809" s="33" t="e">
        <f>HLOOKUP(B7809,#REF!,1,0)</f>
        <v>#REF!</v>
      </c>
      <c r="M7809" s="33" t="str">
        <f t="shared" si="487"/>
        <v>P&amp;L</v>
      </c>
    </row>
    <row r="7810" spans="1:13">
      <c r="A7810" s="33" t="str">
        <f t="shared" ref="A7810:A7873" si="488">B7810&amp;" - "&amp;TRIM(H7810)</f>
        <v>SCL - CGS</v>
      </c>
      <c r="B7810" s="33" t="str">
        <f t="shared" ref="B7810:B7873" si="489">LEFT(D7810,3)</f>
        <v>SCL</v>
      </c>
      <c r="C7810" s="33" t="str">
        <f t="shared" ref="C7810:C7873" si="490">RIGHT(D7810,10)</f>
        <v>52005-7366</v>
      </c>
      <c r="D7810" s="64" t="s">
        <v>9059</v>
      </c>
      <c r="E7810" s="64" t="s">
        <v>2945</v>
      </c>
      <c r="F7810" s="64" t="s">
        <v>15</v>
      </c>
      <c r="G7810" s="64" t="s">
        <v>2921</v>
      </c>
      <c r="H7810" s="64" t="s">
        <v>1875</v>
      </c>
      <c r="I7810" s="64" t="s">
        <v>2946</v>
      </c>
      <c r="J7810" s="67">
        <v>481.2</v>
      </c>
      <c r="K7810" s="62">
        <v>4908.18</v>
      </c>
      <c r="L7810" s="33" t="e">
        <f>HLOOKUP(B7810,#REF!,1,0)</f>
        <v>#REF!</v>
      </c>
      <c r="M7810" s="33" t="str">
        <f t="shared" ref="M7810:M7873" si="491">IF(VALUE(LEFT(C7810,5))&gt;40000,"P&amp;L","BS")</f>
        <v>P&amp;L</v>
      </c>
    </row>
    <row r="7811" spans="1:13">
      <c r="A7811" s="33" t="str">
        <f t="shared" si="488"/>
        <v>SCL - CGS</v>
      </c>
      <c r="B7811" s="33" t="str">
        <f t="shared" si="489"/>
        <v>SCL</v>
      </c>
      <c r="C7811" s="33" t="str">
        <f t="shared" si="490"/>
        <v>52005-7368</v>
      </c>
      <c r="D7811" s="64" t="s">
        <v>9060</v>
      </c>
      <c r="E7811" s="64" t="s">
        <v>2945</v>
      </c>
      <c r="F7811" s="64" t="s">
        <v>15</v>
      </c>
      <c r="G7811" s="64" t="s">
        <v>2921</v>
      </c>
      <c r="H7811" s="64" t="s">
        <v>1875</v>
      </c>
      <c r="I7811" s="64" t="s">
        <v>2946</v>
      </c>
      <c r="J7811" s="67">
        <v>680</v>
      </c>
      <c r="K7811" s="62">
        <v>4584.32</v>
      </c>
      <c r="L7811" s="33" t="e">
        <f>HLOOKUP(B7811,#REF!,1,0)</f>
        <v>#REF!</v>
      </c>
      <c r="M7811" s="33" t="str">
        <f t="shared" si="491"/>
        <v>P&amp;L</v>
      </c>
    </row>
    <row r="7812" spans="1:13">
      <c r="A7812" s="33" t="str">
        <f t="shared" si="488"/>
        <v>SCL - CGS</v>
      </c>
      <c r="B7812" s="33" t="str">
        <f t="shared" si="489"/>
        <v>SCL</v>
      </c>
      <c r="C7812" s="33" t="str">
        <f t="shared" si="490"/>
        <v>52005-7369</v>
      </c>
      <c r="D7812" s="64" t="s">
        <v>9061</v>
      </c>
      <c r="E7812" s="64" t="s">
        <v>2945</v>
      </c>
      <c r="F7812" s="64" t="s">
        <v>15</v>
      </c>
      <c r="G7812" s="64" t="s">
        <v>2921</v>
      </c>
      <c r="H7812" s="64" t="s">
        <v>1875</v>
      </c>
      <c r="I7812" s="64" t="s">
        <v>2946</v>
      </c>
      <c r="J7812" s="67">
        <v>706.55</v>
      </c>
      <c r="K7812" s="62">
        <v>4151.84</v>
      </c>
      <c r="L7812" s="33" t="e">
        <f>HLOOKUP(B7812,#REF!,1,0)</f>
        <v>#REF!</v>
      </c>
      <c r="M7812" s="33" t="str">
        <f t="shared" si="491"/>
        <v>P&amp;L</v>
      </c>
    </row>
    <row r="7813" spans="1:13">
      <c r="A7813" s="33" t="str">
        <f t="shared" si="488"/>
        <v>SCL - CGS</v>
      </c>
      <c r="B7813" s="33" t="str">
        <f t="shared" si="489"/>
        <v>SCL</v>
      </c>
      <c r="C7813" s="33" t="str">
        <f t="shared" si="490"/>
        <v>52005-7371</v>
      </c>
      <c r="D7813" s="64" t="s">
        <v>9062</v>
      </c>
      <c r="E7813" s="64" t="s">
        <v>2945</v>
      </c>
      <c r="F7813" s="64" t="s">
        <v>15</v>
      </c>
      <c r="G7813" s="64" t="s">
        <v>2921</v>
      </c>
      <c r="H7813" s="64" t="s">
        <v>1875</v>
      </c>
      <c r="I7813" s="64" t="s">
        <v>2946</v>
      </c>
      <c r="J7813" s="67">
        <v>115.5</v>
      </c>
      <c r="K7813" s="62">
        <v>942.75</v>
      </c>
      <c r="L7813" s="33" t="e">
        <f>HLOOKUP(B7813,#REF!,1,0)</f>
        <v>#REF!</v>
      </c>
      <c r="M7813" s="33" t="str">
        <f t="shared" si="491"/>
        <v>P&amp;L</v>
      </c>
    </row>
    <row r="7814" spans="1:13">
      <c r="A7814" s="33" t="str">
        <f t="shared" si="488"/>
        <v>SCL - CGS</v>
      </c>
      <c r="B7814" s="33" t="str">
        <f t="shared" si="489"/>
        <v>SCL</v>
      </c>
      <c r="C7814" s="33" t="str">
        <f t="shared" si="490"/>
        <v>52005-7374</v>
      </c>
      <c r="D7814" s="64" t="s">
        <v>9063</v>
      </c>
      <c r="E7814" s="64" t="s">
        <v>2945</v>
      </c>
      <c r="F7814" s="64" t="s">
        <v>15</v>
      </c>
      <c r="G7814" s="64" t="s">
        <v>2921</v>
      </c>
      <c r="H7814" s="64" t="s">
        <v>1875</v>
      </c>
      <c r="I7814" s="64" t="s">
        <v>2946</v>
      </c>
      <c r="J7814" s="67">
        <v>512.46</v>
      </c>
      <c r="K7814" s="62">
        <v>5636.81</v>
      </c>
      <c r="L7814" s="33" t="e">
        <f>HLOOKUP(B7814,#REF!,1,0)</f>
        <v>#REF!</v>
      </c>
      <c r="M7814" s="33" t="str">
        <f t="shared" si="491"/>
        <v>P&amp;L</v>
      </c>
    </row>
    <row r="7815" spans="1:13">
      <c r="A7815" s="33" t="str">
        <f t="shared" si="488"/>
        <v>SCL - CGS</v>
      </c>
      <c r="B7815" s="33" t="str">
        <f t="shared" si="489"/>
        <v>SCL</v>
      </c>
      <c r="C7815" s="33" t="str">
        <f t="shared" si="490"/>
        <v>52005-7375</v>
      </c>
      <c r="D7815" s="64" t="s">
        <v>9064</v>
      </c>
      <c r="E7815" s="64" t="s">
        <v>2945</v>
      </c>
      <c r="F7815" s="64" t="s">
        <v>15</v>
      </c>
      <c r="G7815" s="64" t="s">
        <v>2921</v>
      </c>
      <c r="H7815" s="64" t="s">
        <v>1875</v>
      </c>
      <c r="I7815" s="64" t="s">
        <v>2946</v>
      </c>
      <c r="J7815" s="67">
        <v>125.63</v>
      </c>
      <c r="K7815" s="62">
        <v>2825.54</v>
      </c>
      <c r="L7815" s="33" t="e">
        <f>HLOOKUP(B7815,#REF!,1,0)</f>
        <v>#REF!</v>
      </c>
      <c r="M7815" s="33" t="str">
        <f t="shared" si="491"/>
        <v>P&amp;L</v>
      </c>
    </row>
    <row r="7816" spans="1:13">
      <c r="A7816" s="33" t="str">
        <f t="shared" si="488"/>
        <v>SCL - CGS</v>
      </c>
      <c r="B7816" s="33" t="str">
        <f t="shared" si="489"/>
        <v>SCL</v>
      </c>
      <c r="C7816" s="33" t="str">
        <f t="shared" si="490"/>
        <v>52005-7376</v>
      </c>
      <c r="D7816" s="64" t="s">
        <v>9065</v>
      </c>
      <c r="E7816" s="64" t="s">
        <v>2945</v>
      </c>
      <c r="F7816" s="64" t="s">
        <v>15</v>
      </c>
      <c r="G7816" s="64" t="s">
        <v>2921</v>
      </c>
      <c r="H7816" s="64" t="s">
        <v>1875</v>
      </c>
      <c r="I7816" s="64" t="s">
        <v>2946</v>
      </c>
      <c r="J7816" s="67">
        <v>200</v>
      </c>
      <c r="K7816" s="62">
        <v>4735.24</v>
      </c>
      <c r="L7816" s="33" t="e">
        <f>HLOOKUP(B7816,#REF!,1,0)</f>
        <v>#REF!</v>
      </c>
      <c r="M7816" s="33" t="str">
        <f t="shared" si="491"/>
        <v>P&amp;L</v>
      </c>
    </row>
    <row r="7817" spans="1:13">
      <c r="A7817" s="33" t="str">
        <f t="shared" si="488"/>
        <v>SCL - CGS</v>
      </c>
      <c r="B7817" s="33" t="str">
        <f t="shared" si="489"/>
        <v>SCL</v>
      </c>
      <c r="C7817" s="33" t="str">
        <f t="shared" si="490"/>
        <v>52005-7377</v>
      </c>
      <c r="D7817" s="64" t="s">
        <v>9066</v>
      </c>
      <c r="E7817" s="64" t="s">
        <v>2945</v>
      </c>
      <c r="F7817" s="64" t="s">
        <v>15</v>
      </c>
      <c r="G7817" s="64" t="s">
        <v>2921</v>
      </c>
      <c r="H7817" s="64" t="s">
        <v>1875</v>
      </c>
      <c r="I7817" s="64" t="s">
        <v>2946</v>
      </c>
      <c r="J7817" s="67">
        <v>313.12</v>
      </c>
      <c r="K7817" s="62">
        <v>2229.72</v>
      </c>
      <c r="L7817" s="33" t="e">
        <f>HLOOKUP(B7817,#REF!,1,0)</f>
        <v>#REF!</v>
      </c>
      <c r="M7817" s="33" t="str">
        <f t="shared" si="491"/>
        <v>P&amp;L</v>
      </c>
    </row>
    <row r="7818" spans="1:13">
      <c r="A7818" s="33" t="str">
        <f t="shared" si="488"/>
        <v>SCL - CGS</v>
      </c>
      <c r="B7818" s="33" t="str">
        <f t="shared" si="489"/>
        <v>SCL</v>
      </c>
      <c r="C7818" s="33" t="str">
        <f t="shared" si="490"/>
        <v>52005-7378</v>
      </c>
      <c r="D7818" s="64" t="s">
        <v>9067</v>
      </c>
      <c r="E7818" s="64" t="s">
        <v>2945</v>
      </c>
      <c r="F7818" s="64" t="s">
        <v>15</v>
      </c>
      <c r="G7818" s="64" t="s">
        <v>2921</v>
      </c>
      <c r="H7818" s="64" t="s">
        <v>1875</v>
      </c>
      <c r="I7818" s="64" t="s">
        <v>2946</v>
      </c>
      <c r="J7818" s="67">
        <v>260.32</v>
      </c>
      <c r="K7818" s="62">
        <v>4496.56</v>
      </c>
      <c r="L7818" s="33" t="e">
        <f>HLOOKUP(B7818,#REF!,1,0)</f>
        <v>#REF!</v>
      </c>
      <c r="M7818" s="33" t="str">
        <f t="shared" si="491"/>
        <v>P&amp;L</v>
      </c>
    </row>
    <row r="7819" spans="1:13">
      <c r="A7819" s="33" t="str">
        <f t="shared" si="488"/>
        <v>SCL - CGS</v>
      </c>
      <c r="B7819" s="33" t="str">
        <f t="shared" si="489"/>
        <v>SCL</v>
      </c>
      <c r="C7819" s="33" t="str">
        <f t="shared" si="490"/>
        <v>52005-7379</v>
      </c>
      <c r="D7819" s="64" t="s">
        <v>9068</v>
      </c>
      <c r="E7819" s="64" t="s">
        <v>2945</v>
      </c>
      <c r="F7819" s="64" t="s">
        <v>15</v>
      </c>
      <c r="G7819" s="64" t="s">
        <v>2921</v>
      </c>
      <c r="H7819" s="64" t="s">
        <v>1875</v>
      </c>
      <c r="I7819" s="64" t="s">
        <v>2946</v>
      </c>
      <c r="J7819" s="67">
        <v>507.26</v>
      </c>
      <c r="K7819" s="62">
        <v>4670.29</v>
      </c>
      <c r="L7819" s="33" t="e">
        <f>HLOOKUP(B7819,#REF!,1,0)</f>
        <v>#REF!</v>
      </c>
      <c r="M7819" s="33" t="str">
        <f t="shared" si="491"/>
        <v>P&amp;L</v>
      </c>
    </row>
    <row r="7820" spans="1:13">
      <c r="A7820" s="33" t="str">
        <f t="shared" si="488"/>
        <v>SCL - CGS</v>
      </c>
      <c r="B7820" s="33" t="str">
        <f t="shared" si="489"/>
        <v>SCL</v>
      </c>
      <c r="C7820" s="33" t="str">
        <f t="shared" si="490"/>
        <v>52005-7380</v>
      </c>
      <c r="D7820" s="64" t="s">
        <v>9069</v>
      </c>
      <c r="E7820" s="64" t="s">
        <v>2945</v>
      </c>
      <c r="F7820" s="64" t="s">
        <v>15</v>
      </c>
      <c r="G7820" s="64" t="s">
        <v>2921</v>
      </c>
      <c r="H7820" s="64" t="s">
        <v>1875</v>
      </c>
      <c r="I7820" s="64" t="s">
        <v>2946</v>
      </c>
      <c r="J7820" s="67">
        <v>432.5</v>
      </c>
      <c r="K7820" s="62">
        <v>2850.51</v>
      </c>
      <c r="L7820" s="33" t="e">
        <f>HLOOKUP(B7820,#REF!,1,0)</f>
        <v>#REF!</v>
      </c>
      <c r="M7820" s="33" t="str">
        <f t="shared" si="491"/>
        <v>P&amp;L</v>
      </c>
    </row>
    <row r="7821" spans="1:13">
      <c r="A7821" s="33" t="str">
        <f t="shared" si="488"/>
        <v>SCL - CGS</v>
      </c>
      <c r="B7821" s="33" t="str">
        <f t="shared" si="489"/>
        <v>SCL</v>
      </c>
      <c r="C7821" s="33" t="str">
        <f t="shared" si="490"/>
        <v>52005-7381</v>
      </c>
      <c r="D7821" s="64" t="s">
        <v>9070</v>
      </c>
      <c r="E7821" s="64" t="s">
        <v>2945</v>
      </c>
      <c r="F7821" s="64" t="s">
        <v>15</v>
      </c>
      <c r="G7821" s="64" t="s">
        <v>2921</v>
      </c>
      <c r="H7821" s="64" t="s">
        <v>1875</v>
      </c>
      <c r="I7821" s="64" t="s">
        <v>2946</v>
      </c>
      <c r="J7821" s="67">
        <v>266</v>
      </c>
      <c r="K7821" s="62">
        <v>3569.79</v>
      </c>
      <c r="L7821" s="33" t="e">
        <f>HLOOKUP(B7821,#REF!,1,0)</f>
        <v>#REF!</v>
      </c>
      <c r="M7821" s="33" t="str">
        <f t="shared" si="491"/>
        <v>P&amp;L</v>
      </c>
    </row>
    <row r="7822" spans="1:13">
      <c r="A7822" s="33" t="str">
        <f t="shared" si="488"/>
        <v>SCL - CGS</v>
      </c>
      <c r="B7822" s="33" t="str">
        <f t="shared" si="489"/>
        <v>SCL</v>
      </c>
      <c r="C7822" s="33" t="str">
        <f t="shared" si="490"/>
        <v>52005-7383</v>
      </c>
      <c r="D7822" s="64" t="s">
        <v>9071</v>
      </c>
      <c r="E7822" s="64" t="s">
        <v>2945</v>
      </c>
      <c r="F7822" s="64" t="s">
        <v>15</v>
      </c>
      <c r="G7822" s="64" t="s">
        <v>2921</v>
      </c>
      <c r="H7822" s="64" t="s">
        <v>1875</v>
      </c>
      <c r="I7822" s="64" t="s">
        <v>2946</v>
      </c>
      <c r="J7822" s="67">
        <v>968.67</v>
      </c>
      <c r="K7822" s="62">
        <v>3934.28</v>
      </c>
      <c r="L7822" s="33" t="e">
        <f>HLOOKUP(B7822,#REF!,1,0)</f>
        <v>#REF!</v>
      </c>
      <c r="M7822" s="33" t="str">
        <f t="shared" si="491"/>
        <v>P&amp;L</v>
      </c>
    </row>
    <row r="7823" spans="1:13">
      <c r="A7823" s="33" t="str">
        <f t="shared" si="488"/>
        <v>SCL - CGS</v>
      </c>
      <c r="B7823" s="33" t="str">
        <f t="shared" si="489"/>
        <v>SCL</v>
      </c>
      <c r="C7823" s="33" t="str">
        <f t="shared" si="490"/>
        <v>52005-7385</v>
      </c>
      <c r="D7823" s="64" t="s">
        <v>9072</v>
      </c>
      <c r="E7823" s="64" t="s">
        <v>2945</v>
      </c>
      <c r="F7823" s="64" t="s">
        <v>15</v>
      </c>
      <c r="G7823" s="64" t="s">
        <v>2921</v>
      </c>
      <c r="H7823" s="64" t="s">
        <v>1875</v>
      </c>
      <c r="I7823" s="64" t="s">
        <v>2946</v>
      </c>
      <c r="J7823" s="67">
        <v>132</v>
      </c>
      <c r="K7823" s="62">
        <v>2589.89</v>
      </c>
      <c r="L7823" s="33" t="e">
        <f>HLOOKUP(B7823,#REF!,1,0)</f>
        <v>#REF!</v>
      </c>
      <c r="M7823" s="33" t="str">
        <f t="shared" si="491"/>
        <v>P&amp;L</v>
      </c>
    </row>
    <row r="7824" spans="1:13">
      <c r="A7824" s="33" t="str">
        <f t="shared" si="488"/>
        <v>SCL - CGS</v>
      </c>
      <c r="B7824" s="33" t="str">
        <f t="shared" si="489"/>
        <v>SCL</v>
      </c>
      <c r="C7824" s="33" t="str">
        <f t="shared" si="490"/>
        <v>52005-7386</v>
      </c>
      <c r="D7824" s="64" t="s">
        <v>9073</v>
      </c>
      <c r="E7824" s="64" t="s">
        <v>2945</v>
      </c>
      <c r="F7824" s="64" t="s">
        <v>15</v>
      </c>
      <c r="G7824" s="64" t="s">
        <v>2921</v>
      </c>
      <c r="H7824" s="64" t="s">
        <v>1875</v>
      </c>
      <c r="I7824" s="64" t="s">
        <v>2946</v>
      </c>
      <c r="J7824" s="67">
        <v>297</v>
      </c>
      <c r="K7824" s="62">
        <v>406.5</v>
      </c>
      <c r="L7824" s="33" t="e">
        <f>HLOOKUP(B7824,#REF!,1,0)</f>
        <v>#REF!</v>
      </c>
      <c r="M7824" s="33" t="str">
        <f t="shared" si="491"/>
        <v>P&amp;L</v>
      </c>
    </row>
    <row r="7825" spans="1:13">
      <c r="A7825" s="33" t="str">
        <f t="shared" si="488"/>
        <v>SCL - CGS</v>
      </c>
      <c r="B7825" s="33" t="str">
        <f t="shared" si="489"/>
        <v>SCL</v>
      </c>
      <c r="C7825" s="33" t="str">
        <f t="shared" si="490"/>
        <v>52005-7387</v>
      </c>
      <c r="D7825" s="64" t="s">
        <v>9074</v>
      </c>
      <c r="E7825" s="64" t="s">
        <v>2945</v>
      </c>
      <c r="F7825" s="64" t="s">
        <v>15</v>
      </c>
      <c r="G7825" s="64" t="s">
        <v>2921</v>
      </c>
      <c r="H7825" s="64" t="s">
        <v>1875</v>
      </c>
      <c r="I7825" s="64" t="s">
        <v>2946</v>
      </c>
      <c r="J7825" s="67">
        <v>1603.44</v>
      </c>
      <c r="K7825" s="62">
        <v>6000.98</v>
      </c>
      <c r="L7825" s="33" t="e">
        <f>HLOOKUP(B7825,#REF!,1,0)</f>
        <v>#REF!</v>
      </c>
      <c r="M7825" s="33" t="str">
        <f t="shared" si="491"/>
        <v>P&amp;L</v>
      </c>
    </row>
    <row r="7826" spans="1:13">
      <c r="A7826" s="33" t="str">
        <f t="shared" si="488"/>
        <v>SCL - CGS</v>
      </c>
      <c r="B7826" s="33" t="str">
        <f t="shared" si="489"/>
        <v>SCL</v>
      </c>
      <c r="C7826" s="33" t="str">
        <f t="shared" si="490"/>
        <v>52005-7389</v>
      </c>
      <c r="D7826" s="64" t="s">
        <v>9075</v>
      </c>
      <c r="E7826" s="64" t="s">
        <v>2945</v>
      </c>
      <c r="F7826" s="64" t="s">
        <v>15</v>
      </c>
      <c r="G7826" s="64" t="s">
        <v>2921</v>
      </c>
      <c r="H7826" s="64" t="s">
        <v>1875</v>
      </c>
      <c r="I7826" s="64" t="s">
        <v>2946</v>
      </c>
      <c r="J7826" s="67">
        <v>2820.54</v>
      </c>
      <c r="K7826" s="62">
        <v>5994.03</v>
      </c>
      <c r="L7826" s="33" t="e">
        <f>HLOOKUP(B7826,#REF!,1,0)</f>
        <v>#REF!</v>
      </c>
      <c r="M7826" s="33" t="str">
        <f t="shared" si="491"/>
        <v>P&amp;L</v>
      </c>
    </row>
    <row r="7827" spans="1:13">
      <c r="A7827" s="33" t="str">
        <f t="shared" si="488"/>
        <v>SCL - CGS</v>
      </c>
      <c r="B7827" s="33" t="str">
        <f t="shared" si="489"/>
        <v>SCL</v>
      </c>
      <c r="C7827" s="33" t="str">
        <f t="shared" si="490"/>
        <v>52005-7391</v>
      </c>
      <c r="D7827" s="64" t="s">
        <v>9076</v>
      </c>
      <c r="E7827" s="64" t="s">
        <v>2945</v>
      </c>
      <c r="F7827" s="64" t="s">
        <v>15</v>
      </c>
      <c r="G7827" s="64" t="s">
        <v>2921</v>
      </c>
      <c r="H7827" s="64" t="s">
        <v>1875</v>
      </c>
      <c r="I7827" s="64" t="s">
        <v>2946</v>
      </c>
      <c r="J7827" s="67">
        <v>305.2</v>
      </c>
      <c r="K7827" s="62">
        <v>5040.5</v>
      </c>
      <c r="L7827" s="33" t="e">
        <f>HLOOKUP(B7827,#REF!,1,0)</f>
        <v>#REF!</v>
      </c>
      <c r="M7827" s="33" t="str">
        <f t="shared" si="491"/>
        <v>P&amp;L</v>
      </c>
    </row>
    <row r="7828" spans="1:13">
      <c r="A7828" s="33" t="str">
        <f t="shared" si="488"/>
        <v>SCL - CGS</v>
      </c>
      <c r="B7828" s="33" t="str">
        <f t="shared" si="489"/>
        <v>SCL</v>
      </c>
      <c r="C7828" s="33" t="str">
        <f t="shared" si="490"/>
        <v>52005-7393</v>
      </c>
      <c r="D7828" s="64" t="s">
        <v>9077</v>
      </c>
      <c r="E7828" s="64" t="s">
        <v>2945</v>
      </c>
      <c r="F7828" s="64" t="s">
        <v>15</v>
      </c>
      <c r="G7828" s="64" t="s">
        <v>2921</v>
      </c>
      <c r="H7828" s="64" t="s">
        <v>1875</v>
      </c>
      <c r="I7828" s="64" t="s">
        <v>2946</v>
      </c>
      <c r="J7828" s="67">
        <v>354.7</v>
      </c>
      <c r="K7828" s="62">
        <v>3198.28</v>
      </c>
      <c r="L7828" s="33" t="e">
        <f>HLOOKUP(B7828,#REF!,1,0)</f>
        <v>#REF!</v>
      </c>
      <c r="M7828" s="33" t="str">
        <f t="shared" si="491"/>
        <v>P&amp;L</v>
      </c>
    </row>
    <row r="7829" spans="1:13">
      <c r="A7829" s="33" t="str">
        <f t="shared" si="488"/>
        <v>SCL - CGS</v>
      </c>
      <c r="B7829" s="33" t="str">
        <f t="shared" si="489"/>
        <v>SCL</v>
      </c>
      <c r="C7829" s="33" t="str">
        <f t="shared" si="490"/>
        <v>52005-7394</v>
      </c>
      <c r="D7829" s="64" t="s">
        <v>9078</v>
      </c>
      <c r="E7829" s="64" t="s">
        <v>2945</v>
      </c>
      <c r="F7829" s="64" t="s">
        <v>15</v>
      </c>
      <c r="G7829" s="64" t="s">
        <v>2921</v>
      </c>
      <c r="H7829" s="64" t="s">
        <v>1875</v>
      </c>
      <c r="I7829" s="64" t="s">
        <v>2946</v>
      </c>
      <c r="J7829" s="67">
        <v>227.5</v>
      </c>
      <c r="K7829" s="62">
        <v>3472.39</v>
      </c>
      <c r="L7829" s="33" t="e">
        <f>HLOOKUP(B7829,#REF!,1,0)</f>
        <v>#REF!</v>
      </c>
      <c r="M7829" s="33" t="str">
        <f t="shared" si="491"/>
        <v>P&amp;L</v>
      </c>
    </row>
    <row r="7830" spans="1:13">
      <c r="A7830" s="33" t="str">
        <f t="shared" si="488"/>
        <v>SCL - CGS</v>
      </c>
      <c r="B7830" s="33" t="str">
        <f t="shared" si="489"/>
        <v>SCL</v>
      </c>
      <c r="C7830" s="33" t="str">
        <f t="shared" si="490"/>
        <v>52005-7396</v>
      </c>
      <c r="D7830" s="64" t="s">
        <v>9079</v>
      </c>
      <c r="E7830" s="64" t="s">
        <v>2945</v>
      </c>
      <c r="F7830" s="64" t="s">
        <v>15</v>
      </c>
      <c r="G7830" s="64" t="s">
        <v>2921</v>
      </c>
      <c r="H7830" s="64" t="s">
        <v>1875</v>
      </c>
      <c r="I7830" s="64" t="s">
        <v>2946</v>
      </c>
      <c r="J7830" s="67">
        <v>740</v>
      </c>
      <c r="K7830" s="62">
        <v>3926.96</v>
      </c>
      <c r="L7830" s="33" t="e">
        <f>HLOOKUP(B7830,#REF!,1,0)</f>
        <v>#REF!</v>
      </c>
      <c r="M7830" s="33" t="str">
        <f t="shared" si="491"/>
        <v>P&amp;L</v>
      </c>
    </row>
    <row r="7831" spans="1:13">
      <c r="A7831" s="33" t="str">
        <f t="shared" si="488"/>
        <v>SCL - CGS</v>
      </c>
      <c r="B7831" s="33" t="str">
        <f t="shared" si="489"/>
        <v>SCL</v>
      </c>
      <c r="C7831" s="33" t="str">
        <f t="shared" si="490"/>
        <v>52005-7397</v>
      </c>
      <c r="D7831" s="64" t="s">
        <v>9080</v>
      </c>
      <c r="E7831" s="64" t="s">
        <v>2945</v>
      </c>
      <c r="F7831" s="64" t="s">
        <v>15</v>
      </c>
      <c r="G7831" s="64" t="s">
        <v>2921</v>
      </c>
      <c r="H7831" s="64" t="s">
        <v>1875</v>
      </c>
      <c r="I7831" s="64" t="s">
        <v>2946</v>
      </c>
      <c r="J7831" s="67">
        <v>128.32</v>
      </c>
      <c r="K7831" s="62">
        <v>4481.53</v>
      </c>
      <c r="L7831" s="33" t="e">
        <f>HLOOKUP(B7831,#REF!,1,0)</f>
        <v>#REF!</v>
      </c>
      <c r="M7831" s="33" t="str">
        <f t="shared" si="491"/>
        <v>P&amp;L</v>
      </c>
    </row>
    <row r="7832" spans="1:13">
      <c r="A7832" s="33" t="str">
        <f t="shared" si="488"/>
        <v>SCL - CGS</v>
      </c>
      <c r="B7832" s="33" t="str">
        <f t="shared" si="489"/>
        <v>SCL</v>
      </c>
      <c r="C7832" s="33" t="str">
        <f t="shared" si="490"/>
        <v>52005-7398</v>
      </c>
      <c r="D7832" s="64" t="s">
        <v>9081</v>
      </c>
      <c r="E7832" s="64" t="s">
        <v>2945</v>
      </c>
      <c r="F7832" s="64" t="s">
        <v>15</v>
      </c>
      <c r="G7832" s="64" t="s">
        <v>2921</v>
      </c>
      <c r="H7832" s="64" t="s">
        <v>1875</v>
      </c>
      <c r="I7832" s="64" t="s">
        <v>2946</v>
      </c>
      <c r="J7832" s="67">
        <v>128.32</v>
      </c>
      <c r="K7832" s="62">
        <v>3727.13</v>
      </c>
      <c r="L7832" s="33" t="e">
        <f>HLOOKUP(B7832,#REF!,1,0)</f>
        <v>#REF!</v>
      </c>
      <c r="M7832" s="33" t="str">
        <f t="shared" si="491"/>
        <v>P&amp;L</v>
      </c>
    </row>
    <row r="7833" spans="1:13">
      <c r="A7833" s="33" t="str">
        <f t="shared" si="488"/>
        <v>SCL - CGS</v>
      </c>
      <c r="B7833" s="33" t="str">
        <f t="shared" si="489"/>
        <v>SCL</v>
      </c>
      <c r="C7833" s="33" t="str">
        <f t="shared" si="490"/>
        <v>52005-7400</v>
      </c>
      <c r="D7833" s="64" t="s">
        <v>9082</v>
      </c>
      <c r="E7833" s="64" t="s">
        <v>2945</v>
      </c>
      <c r="F7833" s="64" t="s">
        <v>15</v>
      </c>
      <c r="G7833" s="64" t="s">
        <v>2921</v>
      </c>
      <c r="H7833" s="64" t="s">
        <v>1875</v>
      </c>
      <c r="I7833" s="64" t="s">
        <v>2946</v>
      </c>
      <c r="J7833" s="67">
        <v>0</v>
      </c>
      <c r="K7833" s="62">
        <v>4080.65</v>
      </c>
      <c r="L7833" s="33" t="e">
        <f>HLOOKUP(B7833,#REF!,1,0)</f>
        <v>#REF!</v>
      </c>
      <c r="M7833" s="33" t="str">
        <f t="shared" si="491"/>
        <v>P&amp;L</v>
      </c>
    </row>
    <row r="7834" spans="1:13">
      <c r="A7834" s="33" t="str">
        <f t="shared" si="488"/>
        <v>SCL - CGS</v>
      </c>
      <c r="B7834" s="33" t="str">
        <f t="shared" si="489"/>
        <v>SCL</v>
      </c>
      <c r="C7834" s="33" t="str">
        <f t="shared" si="490"/>
        <v>52005-7401</v>
      </c>
      <c r="D7834" s="64" t="s">
        <v>9083</v>
      </c>
      <c r="E7834" s="64" t="s">
        <v>2945</v>
      </c>
      <c r="F7834" s="64" t="s">
        <v>15</v>
      </c>
      <c r="G7834" s="64" t="s">
        <v>2921</v>
      </c>
      <c r="H7834" s="64" t="s">
        <v>1875</v>
      </c>
      <c r="I7834" s="64" t="s">
        <v>2946</v>
      </c>
      <c r="J7834" s="67">
        <v>284.32</v>
      </c>
      <c r="K7834" s="62">
        <v>1718.09</v>
      </c>
      <c r="L7834" s="33" t="e">
        <f>HLOOKUP(B7834,#REF!,1,0)</f>
        <v>#REF!</v>
      </c>
      <c r="M7834" s="33" t="str">
        <f t="shared" si="491"/>
        <v>P&amp;L</v>
      </c>
    </row>
    <row r="7835" spans="1:13">
      <c r="A7835" s="33" t="str">
        <f t="shared" si="488"/>
        <v>SCL - CGS</v>
      </c>
      <c r="B7835" s="33" t="str">
        <f t="shared" si="489"/>
        <v>SCL</v>
      </c>
      <c r="C7835" s="33" t="str">
        <f t="shared" si="490"/>
        <v>52005-7402</v>
      </c>
      <c r="D7835" s="64" t="s">
        <v>9084</v>
      </c>
      <c r="E7835" s="64" t="s">
        <v>2945</v>
      </c>
      <c r="F7835" s="64" t="s">
        <v>15</v>
      </c>
      <c r="G7835" s="64" t="s">
        <v>2921</v>
      </c>
      <c r="H7835" s="64" t="s">
        <v>1875</v>
      </c>
      <c r="I7835" s="64" t="s">
        <v>2946</v>
      </c>
      <c r="J7835" s="67">
        <v>408</v>
      </c>
      <c r="K7835" s="62">
        <v>3583.68</v>
      </c>
      <c r="L7835" s="33" t="e">
        <f>HLOOKUP(B7835,#REF!,1,0)</f>
        <v>#REF!</v>
      </c>
      <c r="M7835" s="33" t="str">
        <f t="shared" si="491"/>
        <v>P&amp;L</v>
      </c>
    </row>
    <row r="7836" spans="1:13">
      <c r="A7836" s="33" t="str">
        <f t="shared" si="488"/>
        <v>SCL - CGS</v>
      </c>
      <c r="B7836" s="33" t="str">
        <f t="shared" si="489"/>
        <v>SCL</v>
      </c>
      <c r="C7836" s="33" t="str">
        <f t="shared" si="490"/>
        <v>52005-7403</v>
      </c>
      <c r="D7836" s="64" t="s">
        <v>9085</v>
      </c>
      <c r="E7836" s="64" t="s">
        <v>2945</v>
      </c>
      <c r="F7836" s="64" t="s">
        <v>15</v>
      </c>
      <c r="G7836" s="64" t="s">
        <v>2921</v>
      </c>
      <c r="H7836" s="64" t="s">
        <v>1875</v>
      </c>
      <c r="I7836" s="64" t="s">
        <v>2946</v>
      </c>
      <c r="J7836" s="67">
        <v>1576.12</v>
      </c>
      <c r="K7836" s="62">
        <v>7028.84</v>
      </c>
      <c r="L7836" s="33" t="e">
        <f>HLOOKUP(B7836,#REF!,1,0)</f>
        <v>#REF!</v>
      </c>
      <c r="M7836" s="33" t="str">
        <f t="shared" si="491"/>
        <v>P&amp;L</v>
      </c>
    </row>
    <row r="7837" spans="1:13">
      <c r="A7837" s="33" t="str">
        <f t="shared" si="488"/>
        <v>SCL - CGS</v>
      </c>
      <c r="B7837" s="33" t="str">
        <f t="shared" si="489"/>
        <v>SCL</v>
      </c>
      <c r="C7837" s="33" t="str">
        <f t="shared" si="490"/>
        <v>52005-7489</v>
      </c>
      <c r="D7837" s="64" t="s">
        <v>9086</v>
      </c>
      <c r="E7837" s="64" t="s">
        <v>2945</v>
      </c>
      <c r="F7837" s="64" t="s">
        <v>15</v>
      </c>
      <c r="G7837" s="64" t="s">
        <v>2921</v>
      </c>
      <c r="H7837" s="64" t="s">
        <v>1875</v>
      </c>
      <c r="I7837" s="64" t="s">
        <v>2946</v>
      </c>
      <c r="J7837" s="67">
        <v>392.3</v>
      </c>
      <c r="K7837" s="62">
        <v>4404.37</v>
      </c>
      <c r="L7837" s="33" t="e">
        <f>HLOOKUP(B7837,#REF!,1,0)</f>
        <v>#REF!</v>
      </c>
      <c r="M7837" s="33" t="str">
        <f t="shared" si="491"/>
        <v>P&amp;L</v>
      </c>
    </row>
    <row r="7838" spans="1:13">
      <c r="A7838" s="33" t="str">
        <f t="shared" si="488"/>
        <v>SCL - CGS</v>
      </c>
      <c r="B7838" s="33" t="str">
        <f t="shared" si="489"/>
        <v>SCL</v>
      </c>
      <c r="C7838" s="33" t="str">
        <f t="shared" si="490"/>
        <v>52005-7491</v>
      </c>
      <c r="D7838" s="64" t="s">
        <v>9087</v>
      </c>
      <c r="E7838" s="64" t="s">
        <v>2945</v>
      </c>
      <c r="F7838" s="64" t="s">
        <v>15</v>
      </c>
      <c r="G7838" s="64" t="s">
        <v>2921</v>
      </c>
      <c r="H7838" s="64" t="s">
        <v>1875</v>
      </c>
      <c r="I7838" s="64" t="s">
        <v>2946</v>
      </c>
      <c r="J7838" s="67">
        <v>0</v>
      </c>
      <c r="K7838" s="62">
        <v>3056.85</v>
      </c>
      <c r="L7838" s="33" t="e">
        <f>HLOOKUP(B7838,#REF!,1,0)</f>
        <v>#REF!</v>
      </c>
      <c r="M7838" s="33" t="str">
        <f t="shared" si="491"/>
        <v>P&amp;L</v>
      </c>
    </row>
    <row r="7839" spans="1:13">
      <c r="A7839" s="33" t="str">
        <f t="shared" si="488"/>
        <v>SCL - CGS</v>
      </c>
      <c r="B7839" s="33" t="str">
        <f t="shared" si="489"/>
        <v>SCL</v>
      </c>
      <c r="C7839" s="33" t="str">
        <f t="shared" si="490"/>
        <v>52005-7492</v>
      </c>
      <c r="D7839" s="64" t="s">
        <v>9088</v>
      </c>
      <c r="E7839" s="64" t="s">
        <v>2945</v>
      </c>
      <c r="F7839" s="64" t="s">
        <v>15</v>
      </c>
      <c r="G7839" s="64" t="s">
        <v>2921</v>
      </c>
      <c r="H7839" s="64" t="s">
        <v>1875</v>
      </c>
      <c r="I7839" s="64" t="s">
        <v>2946</v>
      </c>
      <c r="J7839" s="67">
        <v>462.56</v>
      </c>
      <c r="K7839" s="62">
        <v>2862.78</v>
      </c>
      <c r="L7839" s="33" t="e">
        <f>HLOOKUP(B7839,#REF!,1,0)</f>
        <v>#REF!</v>
      </c>
      <c r="M7839" s="33" t="str">
        <f t="shared" si="491"/>
        <v>P&amp;L</v>
      </c>
    </row>
    <row r="7840" spans="1:13">
      <c r="A7840" s="33" t="str">
        <f t="shared" si="488"/>
        <v>SCL - CGS</v>
      </c>
      <c r="B7840" s="33" t="str">
        <f t="shared" si="489"/>
        <v>SCL</v>
      </c>
      <c r="C7840" s="33" t="str">
        <f t="shared" si="490"/>
        <v>52005-7493</v>
      </c>
      <c r="D7840" s="64" t="s">
        <v>9089</v>
      </c>
      <c r="E7840" s="64" t="s">
        <v>2945</v>
      </c>
      <c r="F7840" s="64" t="s">
        <v>15</v>
      </c>
      <c r="G7840" s="64" t="s">
        <v>2921</v>
      </c>
      <c r="H7840" s="64" t="s">
        <v>1875</v>
      </c>
      <c r="I7840" s="64" t="s">
        <v>2946</v>
      </c>
      <c r="J7840" s="67">
        <v>343.7</v>
      </c>
      <c r="K7840" s="62">
        <v>6844.98</v>
      </c>
      <c r="L7840" s="33" t="e">
        <f>HLOOKUP(B7840,#REF!,1,0)</f>
        <v>#REF!</v>
      </c>
      <c r="M7840" s="33" t="str">
        <f t="shared" si="491"/>
        <v>P&amp;L</v>
      </c>
    </row>
    <row r="7841" spans="1:13">
      <c r="A7841" s="33" t="str">
        <f t="shared" si="488"/>
        <v>SCL - CGS</v>
      </c>
      <c r="B7841" s="33" t="str">
        <f t="shared" si="489"/>
        <v>SCL</v>
      </c>
      <c r="C7841" s="33" t="str">
        <f t="shared" si="490"/>
        <v>52005-7494</v>
      </c>
      <c r="D7841" s="64" t="s">
        <v>9090</v>
      </c>
      <c r="E7841" s="64" t="s">
        <v>2945</v>
      </c>
      <c r="F7841" s="64" t="s">
        <v>15</v>
      </c>
      <c r="G7841" s="64" t="s">
        <v>2921</v>
      </c>
      <c r="H7841" s="64" t="s">
        <v>1875</v>
      </c>
      <c r="I7841" s="64" t="s">
        <v>2946</v>
      </c>
      <c r="J7841" s="67">
        <v>240</v>
      </c>
      <c r="K7841" s="62">
        <v>5540.39</v>
      </c>
      <c r="L7841" s="33" t="e">
        <f>HLOOKUP(B7841,#REF!,1,0)</f>
        <v>#REF!</v>
      </c>
      <c r="M7841" s="33" t="str">
        <f t="shared" si="491"/>
        <v>P&amp;L</v>
      </c>
    </row>
    <row r="7842" spans="1:13">
      <c r="A7842" s="33" t="str">
        <f t="shared" si="488"/>
        <v>SCL - CGS</v>
      </c>
      <c r="B7842" s="33" t="str">
        <f t="shared" si="489"/>
        <v>SCL</v>
      </c>
      <c r="C7842" s="33" t="str">
        <f t="shared" si="490"/>
        <v>52005-7625</v>
      </c>
      <c r="D7842" s="64" t="s">
        <v>9091</v>
      </c>
      <c r="E7842" s="64" t="s">
        <v>2945</v>
      </c>
      <c r="F7842" s="64" t="s">
        <v>15</v>
      </c>
      <c r="G7842" s="64" t="s">
        <v>2921</v>
      </c>
      <c r="H7842" s="64" t="s">
        <v>1875</v>
      </c>
      <c r="I7842" s="64" t="s">
        <v>2946</v>
      </c>
      <c r="J7842" s="67">
        <v>898.41</v>
      </c>
      <c r="K7842" s="62">
        <v>5640.77</v>
      </c>
      <c r="L7842" s="33" t="e">
        <f>HLOOKUP(B7842,#REF!,1,0)</f>
        <v>#REF!</v>
      </c>
      <c r="M7842" s="33" t="str">
        <f t="shared" si="491"/>
        <v>P&amp;L</v>
      </c>
    </row>
    <row r="7843" spans="1:13">
      <c r="A7843" s="33" t="str">
        <f t="shared" si="488"/>
        <v>SCL - CGS</v>
      </c>
      <c r="B7843" s="33" t="str">
        <f t="shared" si="489"/>
        <v>SCL</v>
      </c>
      <c r="C7843" s="33" t="str">
        <f t="shared" si="490"/>
        <v>52005-8150</v>
      </c>
      <c r="D7843" s="64" t="s">
        <v>9092</v>
      </c>
      <c r="E7843" s="64" t="s">
        <v>2945</v>
      </c>
      <c r="F7843" s="64" t="s">
        <v>15</v>
      </c>
      <c r="G7843" s="64" t="s">
        <v>2921</v>
      </c>
      <c r="H7843" s="64" t="s">
        <v>1875</v>
      </c>
      <c r="I7843" s="64" t="s">
        <v>2946</v>
      </c>
      <c r="J7843" s="67">
        <v>0</v>
      </c>
      <c r="K7843" s="62">
        <v>4933.45</v>
      </c>
      <c r="L7843" s="33" t="e">
        <f>HLOOKUP(B7843,#REF!,1,0)</f>
        <v>#REF!</v>
      </c>
      <c r="M7843" s="33" t="str">
        <f t="shared" si="491"/>
        <v>P&amp;L</v>
      </c>
    </row>
    <row r="7844" spans="1:13">
      <c r="A7844" s="33" t="str">
        <f t="shared" si="488"/>
        <v>SCL - CGS</v>
      </c>
      <c r="B7844" s="33" t="str">
        <f t="shared" si="489"/>
        <v>SCL</v>
      </c>
      <c r="C7844" s="33" t="str">
        <f t="shared" si="490"/>
        <v>53001-7351</v>
      </c>
      <c r="D7844" s="64" t="s">
        <v>9093</v>
      </c>
      <c r="E7844" s="64" t="s">
        <v>3426</v>
      </c>
      <c r="F7844" s="64" t="s">
        <v>15</v>
      </c>
      <c r="G7844" s="64" t="s">
        <v>2921</v>
      </c>
      <c r="H7844" s="64" t="s">
        <v>1875</v>
      </c>
      <c r="I7844" s="64" t="s">
        <v>3427</v>
      </c>
      <c r="J7844" s="67">
        <v>0</v>
      </c>
      <c r="K7844" s="62">
        <v>8292.1</v>
      </c>
      <c r="L7844" s="33" t="e">
        <f>HLOOKUP(B7844,#REF!,1,0)</f>
        <v>#REF!</v>
      </c>
      <c r="M7844" s="33" t="str">
        <f t="shared" si="491"/>
        <v>P&amp;L</v>
      </c>
    </row>
    <row r="7845" spans="1:13">
      <c r="A7845" s="33" t="str">
        <f t="shared" si="488"/>
        <v>SCL - CGS</v>
      </c>
      <c r="B7845" s="33" t="str">
        <f t="shared" si="489"/>
        <v>SCL</v>
      </c>
      <c r="C7845" s="33" t="str">
        <f t="shared" si="490"/>
        <v>53001-7359</v>
      </c>
      <c r="D7845" s="64" t="s">
        <v>9094</v>
      </c>
      <c r="E7845" s="64" t="s">
        <v>3426</v>
      </c>
      <c r="F7845" s="64" t="s">
        <v>15</v>
      </c>
      <c r="G7845" s="64" t="s">
        <v>2921</v>
      </c>
      <c r="H7845" s="64" t="s">
        <v>1875</v>
      </c>
      <c r="I7845" s="64" t="s">
        <v>3427</v>
      </c>
      <c r="J7845" s="67">
        <v>0</v>
      </c>
      <c r="K7845" s="62">
        <v>1440</v>
      </c>
      <c r="L7845" s="33" t="e">
        <f>HLOOKUP(B7845,#REF!,1,0)</f>
        <v>#REF!</v>
      </c>
      <c r="M7845" s="33" t="str">
        <f t="shared" si="491"/>
        <v>P&amp;L</v>
      </c>
    </row>
    <row r="7846" spans="1:13">
      <c r="A7846" s="33" t="str">
        <f t="shared" si="488"/>
        <v>SCL - CGS</v>
      </c>
      <c r="B7846" s="33" t="str">
        <f t="shared" si="489"/>
        <v>SCL</v>
      </c>
      <c r="C7846" s="33" t="str">
        <f t="shared" si="490"/>
        <v>53001-7366</v>
      </c>
      <c r="D7846" s="64" t="s">
        <v>9095</v>
      </c>
      <c r="E7846" s="64" t="s">
        <v>3426</v>
      </c>
      <c r="F7846" s="64" t="s">
        <v>15</v>
      </c>
      <c r="G7846" s="64" t="s">
        <v>2921</v>
      </c>
      <c r="H7846" s="64" t="s">
        <v>1875</v>
      </c>
      <c r="I7846" s="64" t="s">
        <v>3427</v>
      </c>
      <c r="J7846" s="67">
        <v>0</v>
      </c>
      <c r="K7846" s="62">
        <v>705.6</v>
      </c>
      <c r="L7846" s="33" t="e">
        <f>HLOOKUP(B7846,#REF!,1,0)</f>
        <v>#REF!</v>
      </c>
      <c r="M7846" s="33" t="str">
        <f t="shared" si="491"/>
        <v>P&amp;L</v>
      </c>
    </row>
    <row r="7847" spans="1:13">
      <c r="A7847" s="33" t="str">
        <f t="shared" si="488"/>
        <v>SCL - CGS</v>
      </c>
      <c r="B7847" s="33" t="str">
        <f t="shared" si="489"/>
        <v>SCL</v>
      </c>
      <c r="C7847" s="33" t="str">
        <f t="shared" si="490"/>
        <v>53001-7492</v>
      </c>
      <c r="D7847" s="64" t="s">
        <v>9096</v>
      </c>
      <c r="E7847" s="64" t="s">
        <v>3426</v>
      </c>
      <c r="F7847" s="64" t="s">
        <v>15</v>
      </c>
      <c r="G7847" s="64" t="s">
        <v>2921</v>
      </c>
      <c r="H7847" s="64" t="s">
        <v>1875</v>
      </c>
      <c r="I7847" s="64" t="s">
        <v>3427</v>
      </c>
      <c r="J7847" s="67">
        <v>1600</v>
      </c>
      <c r="K7847" s="62">
        <v>1600</v>
      </c>
      <c r="L7847" s="33" t="e">
        <f>HLOOKUP(B7847,#REF!,1,0)</f>
        <v>#REF!</v>
      </c>
      <c r="M7847" s="33" t="str">
        <f t="shared" si="491"/>
        <v>P&amp;L</v>
      </c>
    </row>
    <row r="7848" spans="1:13">
      <c r="A7848" s="33" t="str">
        <f t="shared" si="488"/>
        <v>SCL - CGS</v>
      </c>
      <c r="B7848" s="33" t="str">
        <f t="shared" si="489"/>
        <v>SCL</v>
      </c>
      <c r="C7848" s="33" t="str">
        <f t="shared" si="490"/>
        <v>53002-7352</v>
      </c>
      <c r="D7848" s="64" t="s">
        <v>9097</v>
      </c>
      <c r="E7848" s="64" t="s">
        <v>2951</v>
      </c>
      <c r="F7848" s="64" t="s">
        <v>15</v>
      </c>
      <c r="G7848" s="64" t="s">
        <v>2921</v>
      </c>
      <c r="H7848" s="64" t="s">
        <v>1875</v>
      </c>
      <c r="I7848" s="64" t="s">
        <v>2952</v>
      </c>
      <c r="J7848" s="67">
        <v>0</v>
      </c>
      <c r="K7848" s="62">
        <v>1774.03</v>
      </c>
      <c r="L7848" s="33" t="e">
        <f>HLOOKUP(B7848,#REF!,1,0)</f>
        <v>#REF!</v>
      </c>
      <c r="M7848" s="33" t="str">
        <f t="shared" si="491"/>
        <v>P&amp;L</v>
      </c>
    </row>
    <row r="7849" spans="1:13">
      <c r="A7849" s="33" t="str">
        <f t="shared" si="488"/>
        <v>SCL - CGS</v>
      </c>
      <c r="B7849" s="33" t="str">
        <f t="shared" si="489"/>
        <v>SCL</v>
      </c>
      <c r="C7849" s="33" t="str">
        <f t="shared" si="490"/>
        <v>53002-7360</v>
      </c>
      <c r="D7849" s="64" t="s">
        <v>9098</v>
      </c>
      <c r="E7849" s="64" t="s">
        <v>2951</v>
      </c>
      <c r="F7849" s="64" t="s">
        <v>15</v>
      </c>
      <c r="G7849" s="64" t="s">
        <v>2921</v>
      </c>
      <c r="H7849" s="64" t="s">
        <v>1875</v>
      </c>
      <c r="I7849" s="64" t="s">
        <v>2952</v>
      </c>
      <c r="J7849" s="67">
        <v>0</v>
      </c>
      <c r="K7849" s="62">
        <v>0</v>
      </c>
      <c r="L7849" s="33" t="e">
        <f>HLOOKUP(B7849,#REF!,1,0)</f>
        <v>#REF!</v>
      </c>
      <c r="M7849" s="33" t="str">
        <f t="shared" si="491"/>
        <v>P&amp;L</v>
      </c>
    </row>
    <row r="7850" spans="1:13">
      <c r="A7850" s="33" t="str">
        <f t="shared" si="488"/>
        <v>SCL - CGS</v>
      </c>
      <c r="B7850" s="33" t="str">
        <f t="shared" si="489"/>
        <v>SCL</v>
      </c>
      <c r="C7850" s="33" t="str">
        <f t="shared" si="490"/>
        <v>53002-7366</v>
      </c>
      <c r="D7850" s="64" t="s">
        <v>9099</v>
      </c>
      <c r="E7850" s="64" t="s">
        <v>2951</v>
      </c>
      <c r="F7850" s="64" t="s">
        <v>15</v>
      </c>
      <c r="G7850" s="64" t="s">
        <v>2921</v>
      </c>
      <c r="H7850" s="64" t="s">
        <v>1875</v>
      </c>
      <c r="I7850" s="64" t="s">
        <v>2952</v>
      </c>
      <c r="J7850" s="67">
        <v>1094.41</v>
      </c>
      <c r="K7850" s="62">
        <v>13269.58</v>
      </c>
      <c r="L7850" s="33" t="e">
        <f>HLOOKUP(B7850,#REF!,1,0)</f>
        <v>#REF!</v>
      </c>
      <c r="M7850" s="33" t="str">
        <f t="shared" si="491"/>
        <v>P&amp;L</v>
      </c>
    </row>
    <row r="7851" spans="1:13">
      <c r="A7851" s="33" t="str">
        <f t="shared" si="488"/>
        <v>SCL - CGS</v>
      </c>
      <c r="B7851" s="33" t="str">
        <f t="shared" si="489"/>
        <v>SCL</v>
      </c>
      <c r="C7851" s="33" t="str">
        <f t="shared" si="490"/>
        <v>53002-7376</v>
      </c>
      <c r="D7851" s="64" t="s">
        <v>9100</v>
      </c>
      <c r="E7851" s="64" t="s">
        <v>2951</v>
      </c>
      <c r="F7851" s="64" t="s">
        <v>15</v>
      </c>
      <c r="G7851" s="64" t="s">
        <v>2921</v>
      </c>
      <c r="H7851" s="64" t="s">
        <v>1875</v>
      </c>
      <c r="I7851" s="64" t="s">
        <v>2952</v>
      </c>
      <c r="J7851" s="67">
        <v>609.36</v>
      </c>
      <c r="K7851" s="62">
        <v>7438.06</v>
      </c>
      <c r="L7851" s="33" t="e">
        <f>HLOOKUP(B7851,#REF!,1,0)</f>
        <v>#REF!</v>
      </c>
      <c r="M7851" s="33" t="str">
        <f t="shared" si="491"/>
        <v>P&amp;L</v>
      </c>
    </row>
    <row r="7852" spans="1:13">
      <c r="A7852" s="33" t="str">
        <f t="shared" si="488"/>
        <v>SCL - CGS</v>
      </c>
      <c r="B7852" s="33" t="str">
        <f t="shared" si="489"/>
        <v>SCL</v>
      </c>
      <c r="C7852" s="33" t="str">
        <f t="shared" si="490"/>
        <v>53002-7389</v>
      </c>
      <c r="D7852" s="64" t="s">
        <v>9101</v>
      </c>
      <c r="E7852" s="64" t="s">
        <v>2951</v>
      </c>
      <c r="F7852" s="64" t="s">
        <v>15</v>
      </c>
      <c r="G7852" s="64" t="s">
        <v>2921</v>
      </c>
      <c r="H7852" s="64" t="s">
        <v>1875</v>
      </c>
      <c r="I7852" s="64" t="s">
        <v>2952</v>
      </c>
      <c r="J7852" s="67">
        <v>0</v>
      </c>
      <c r="K7852" s="62">
        <v>-146.92</v>
      </c>
      <c r="L7852" s="33" t="e">
        <f>HLOOKUP(B7852,#REF!,1,0)</f>
        <v>#REF!</v>
      </c>
      <c r="M7852" s="33" t="str">
        <f t="shared" si="491"/>
        <v>P&amp;L</v>
      </c>
    </row>
    <row r="7853" spans="1:13">
      <c r="A7853" s="33" t="str">
        <f t="shared" si="488"/>
        <v>SCL - CGS</v>
      </c>
      <c r="B7853" s="33" t="str">
        <f t="shared" si="489"/>
        <v>SCL</v>
      </c>
      <c r="C7853" s="33" t="str">
        <f t="shared" si="490"/>
        <v>53002-7394</v>
      </c>
      <c r="D7853" s="64" t="s">
        <v>9102</v>
      </c>
      <c r="E7853" s="64" t="s">
        <v>2951</v>
      </c>
      <c r="F7853" s="64" t="s">
        <v>15</v>
      </c>
      <c r="G7853" s="64" t="s">
        <v>2921</v>
      </c>
      <c r="H7853" s="64" t="s">
        <v>1875</v>
      </c>
      <c r="I7853" s="64" t="s">
        <v>2952</v>
      </c>
      <c r="J7853" s="67">
        <v>660.21</v>
      </c>
      <c r="K7853" s="62">
        <v>8726.7</v>
      </c>
      <c r="L7853" s="33" t="e">
        <f>HLOOKUP(B7853,#REF!,1,0)</f>
        <v>#REF!</v>
      </c>
      <c r="M7853" s="33" t="str">
        <f t="shared" si="491"/>
        <v>P&amp;L</v>
      </c>
    </row>
    <row r="7854" spans="1:13">
      <c r="A7854" s="33" t="str">
        <f t="shared" si="488"/>
        <v>SCL - CGS</v>
      </c>
      <c r="B7854" s="33" t="str">
        <f t="shared" si="489"/>
        <v>SCL</v>
      </c>
      <c r="C7854" s="33" t="str">
        <f t="shared" si="490"/>
        <v>53002-7401</v>
      </c>
      <c r="D7854" s="64" t="s">
        <v>9103</v>
      </c>
      <c r="E7854" s="64" t="s">
        <v>2951</v>
      </c>
      <c r="F7854" s="64" t="s">
        <v>15</v>
      </c>
      <c r="G7854" s="64" t="s">
        <v>2921</v>
      </c>
      <c r="H7854" s="64" t="s">
        <v>1875</v>
      </c>
      <c r="I7854" s="64" t="s">
        <v>2952</v>
      </c>
      <c r="J7854" s="67">
        <v>0</v>
      </c>
      <c r="K7854" s="62">
        <v>7120.27</v>
      </c>
      <c r="L7854" s="33" t="e">
        <f>HLOOKUP(B7854,#REF!,1,0)</f>
        <v>#REF!</v>
      </c>
      <c r="M7854" s="33" t="str">
        <f t="shared" si="491"/>
        <v>P&amp;L</v>
      </c>
    </row>
    <row r="7855" spans="1:13">
      <c r="A7855" s="33" t="str">
        <f t="shared" si="488"/>
        <v>SCL - CGS</v>
      </c>
      <c r="B7855" s="33" t="str">
        <f t="shared" si="489"/>
        <v>SCL</v>
      </c>
      <c r="C7855" s="33" t="str">
        <f t="shared" si="490"/>
        <v>53002-7489</v>
      </c>
      <c r="D7855" s="64" t="s">
        <v>9104</v>
      </c>
      <c r="E7855" s="64" t="s">
        <v>2951</v>
      </c>
      <c r="F7855" s="64" t="s">
        <v>15</v>
      </c>
      <c r="G7855" s="64" t="s">
        <v>2921</v>
      </c>
      <c r="H7855" s="64" t="s">
        <v>1875</v>
      </c>
      <c r="I7855" s="64" t="s">
        <v>2952</v>
      </c>
      <c r="J7855" s="67">
        <v>0</v>
      </c>
      <c r="K7855" s="62">
        <v>771.43</v>
      </c>
      <c r="L7855" s="33" t="e">
        <f>HLOOKUP(B7855,#REF!,1,0)</f>
        <v>#REF!</v>
      </c>
      <c r="M7855" s="33" t="str">
        <f t="shared" si="491"/>
        <v>P&amp;L</v>
      </c>
    </row>
    <row r="7856" spans="1:13">
      <c r="A7856" s="33" t="str">
        <f t="shared" si="488"/>
        <v>SCL - CGS</v>
      </c>
      <c r="B7856" s="33" t="str">
        <f t="shared" si="489"/>
        <v>SCL</v>
      </c>
      <c r="C7856" s="33" t="str">
        <f t="shared" si="490"/>
        <v>53002-7625</v>
      </c>
      <c r="D7856" s="64" t="s">
        <v>9105</v>
      </c>
      <c r="E7856" s="64" t="s">
        <v>2951</v>
      </c>
      <c r="F7856" s="64" t="s">
        <v>15</v>
      </c>
      <c r="G7856" s="64" t="s">
        <v>2921</v>
      </c>
      <c r="H7856" s="64" t="s">
        <v>1875</v>
      </c>
      <c r="I7856" s="64" t="s">
        <v>2952</v>
      </c>
      <c r="J7856" s="67">
        <v>0</v>
      </c>
      <c r="K7856" s="62">
        <v>1463</v>
      </c>
      <c r="L7856" s="33" t="e">
        <f>HLOOKUP(B7856,#REF!,1,0)</f>
        <v>#REF!</v>
      </c>
      <c r="M7856" s="33" t="str">
        <f t="shared" si="491"/>
        <v>P&amp;L</v>
      </c>
    </row>
    <row r="7857" spans="1:13">
      <c r="A7857" s="33" t="str">
        <f t="shared" si="488"/>
        <v>SCL - CGS</v>
      </c>
      <c r="B7857" s="33" t="str">
        <f t="shared" si="489"/>
        <v>SCL</v>
      </c>
      <c r="C7857" s="33" t="str">
        <f t="shared" si="490"/>
        <v>53003-7351</v>
      </c>
      <c r="D7857" s="64" t="s">
        <v>9106</v>
      </c>
      <c r="E7857" s="64" t="s">
        <v>2954</v>
      </c>
      <c r="F7857" s="64" t="s">
        <v>15</v>
      </c>
      <c r="G7857" s="64" t="s">
        <v>2921</v>
      </c>
      <c r="H7857" s="64" t="s">
        <v>1875</v>
      </c>
      <c r="I7857" s="64" t="s">
        <v>2955</v>
      </c>
      <c r="J7857" s="67">
        <v>3260.67</v>
      </c>
      <c r="K7857" s="62">
        <v>26881.02</v>
      </c>
      <c r="L7857" s="33" t="e">
        <f>HLOOKUP(B7857,#REF!,1,0)</f>
        <v>#REF!</v>
      </c>
      <c r="M7857" s="33" t="str">
        <f t="shared" si="491"/>
        <v>P&amp;L</v>
      </c>
    </row>
    <row r="7858" spans="1:13">
      <c r="A7858" s="33" t="str">
        <f t="shared" si="488"/>
        <v>SCL - CGS</v>
      </c>
      <c r="B7858" s="33" t="str">
        <f t="shared" si="489"/>
        <v>SCL</v>
      </c>
      <c r="C7858" s="33" t="str">
        <f t="shared" si="490"/>
        <v>53003-7352</v>
      </c>
      <c r="D7858" s="64" t="s">
        <v>9107</v>
      </c>
      <c r="E7858" s="64" t="s">
        <v>2954</v>
      </c>
      <c r="F7858" s="64" t="s">
        <v>15</v>
      </c>
      <c r="G7858" s="64" t="s">
        <v>2921</v>
      </c>
      <c r="H7858" s="64" t="s">
        <v>1875</v>
      </c>
      <c r="I7858" s="64" t="s">
        <v>2955</v>
      </c>
      <c r="J7858" s="67">
        <v>0</v>
      </c>
      <c r="K7858" s="62">
        <v>-647.79</v>
      </c>
      <c r="L7858" s="33" t="e">
        <f>HLOOKUP(B7858,#REF!,1,0)</f>
        <v>#REF!</v>
      </c>
      <c r="M7858" s="33" t="str">
        <f t="shared" si="491"/>
        <v>P&amp;L</v>
      </c>
    </row>
    <row r="7859" spans="1:13">
      <c r="A7859" s="33" t="str">
        <f t="shared" si="488"/>
        <v>SCL - CGS</v>
      </c>
      <c r="B7859" s="33" t="str">
        <f t="shared" si="489"/>
        <v>SCL</v>
      </c>
      <c r="C7859" s="33" t="str">
        <f t="shared" si="490"/>
        <v>53003-7355</v>
      </c>
      <c r="D7859" s="64" t="s">
        <v>9108</v>
      </c>
      <c r="E7859" s="64" t="s">
        <v>2954</v>
      </c>
      <c r="F7859" s="64" t="s">
        <v>15</v>
      </c>
      <c r="G7859" s="64" t="s">
        <v>2921</v>
      </c>
      <c r="H7859" s="64" t="s">
        <v>1875</v>
      </c>
      <c r="I7859" s="64" t="s">
        <v>2955</v>
      </c>
      <c r="J7859" s="67">
        <v>3040</v>
      </c>
      <c r="K7859" s="62">
        <v>28821.87</v>
      </c>
      <c r="L7859" s="33" t="e">
        <f>HLOOKUP(B7859,#REF!,1,0)</f>
        <v>#REF!</v>
      </c>
      <c r="M7859" s="33" t="str">
        <f t="shared" si="491"/>
        <v>P&amp;L</v>
      </c>
    </row>
    <row r="7860" spans="1:13">
      <c r="A7860" s="33" t="str">
        <f t="shared" si="488"/>
        <v>SCL - CGS</v>
      </c>
      <c r="B7860" s="33" t="str">
        <f t="shared" si="489"/>
        <v>SCL</v>
      </c>
      <c r="C7860" s="33" t="str">
        <f t="shared" si="490"/>
        <v>53003-7356</v>
      </c>
      <c r="D7860" s="64" t="s">
        <v>9109</v>
      </c>
      <c r="E7860" s="64" t="s">
        <v>2954</v>
      </c>
      <c r="F7860" s="64" t="s">
        <v>15</v>
      </c>
      <c r="G7860" s="64" t="s">
        <v>2921</v>
      </c>
      <c r="H7860" s="64" t="s">
        <v>1875</v>
      </c>
      <c r="I7860" s="64" t="s">
        <v>2955</v>
      </c>
      <c r="J7860" s="67">
        <v>0</v>
      </c>
      <c r="K7860" s="62">
        <v>1095.35</v>
      </c>
      <c r="L7860" s="33" t="e">
        <f>HLOOKUP(B7860,#REF!,1,0)</f>
        <v>#REF!</v>
      </c>
      <c r="M7860" s="33" t="str">
        <f t="shared" si="491"/>
        <v>P&amp;L</v>
      </c>
    </row>
    <row r="7861" spans="1:13">
      <c r="A7861" s="33" t="str">
        <f t="shared" si="488"/>
        <v>SCL - CGS</v>
      </c>
      <c r="B7861" s="33" t="str">
        <f t="shared" si="489"/>
        <v>SCL</v>
      </c>
      <c r="C7861" s="33" t="str">
        <f t="shared" si="490"/>
        <v>53003-7359</v>
      </c>
      <c r="D7861" s="64" t="s">
        <v>9110</v>
      </c>
      <c r="E7861" s="64" t="s">
        <v>2954</v>
      </c>
      <c r="F7861" s="64" t="s">
        <v>15</v>
      </c>
      <c r="G7861" s="64" t="s">
        <v>2921</v>
      </c>
      <c r="H7861" s="64" t="s">
        <v>1875</v>
      </c>
      <c r="I7861" s="64" t="s">
        <v>2955</v>
      </c>
      <c r="J7861" s="67">
        <v>2879.46</v>
      </c>
      <c r="K7861" s="62">
        <v>45745.66</v>
      </c>
      <c r="L7861" s="33" t="e">
        <f>HLOOKUP(B7861,#REF!,1,0)</f>
        <v>#REF!</v>
      </c>
      <c r="M7861" s="33" t="str">
        <f t="shared" si="491"/>
        <v>P&amp;L</v>
      </c>
    </row>
    <row r="7862" spans="1:13">
      <c r="A7862" s="33" t="str">
        <f t="shared" si="488"/>
        <v>SCL - CGS</v>
      </c>
      <c r="B7862" s="33" t="str">
        <f t="shared" si="489"/>
        <v>SCL</v>
      </c>
      <c r="C7862" s="33" t="str">
        <f t="shared" si="490"/>
        <v>53003-7360</v>
      </c>
      <c r="D7862" s="64" t="s">
        <v>9111</v>
      </c>
      <c r="E7862" s="64" t="s">
        <v>2954</v>
      </c>
      <c r="F7862" s="64" t="s">
        <v>15</v>
      </c>
      <c r="G7862" s="64" t="s">
        <v>2921</v>
      </c>
      <c r="H7862" s="64" t="s">
        <v>1875</v>
      </c>
      <c r="I7862" s="64" t="s">
        <v>2955</v>
      </c>
      <c r="J7862" s="67">
        <v>2393.2</v>
      </c>
      <c r="K7862" s="62">
        <v>26799.71</v>
      </c>
      <c r="L7862" s="33" t="e">
        <f>HLOOKUP(B7862,#REF!,1,0)</f>
        <v>#REF!</v>
      </c>
      <c r="M7862" s="33" t="str">
        <f t="shared" si="491"/>
        <v>P&amp;L</v>
      </c>
    </row>
    <row r="7863" spans="1:13">
      <c r="A7863" s="33" t="str">
        <f t="shared" si="488"/>
        <v>SCL - CGS</v>
      </c>
      <c r="B7863" s="33" t="str">
        <f t="shared" si="489"/>
        <v>SCL</v>
      </c>
      <c r="C7863" s="33" t="str">
        <f t="shared" si="490"/>
        <v>53003-7361</v>
      </c>
      <c r="D7863" s="64" t="s">
        <v>9112</v>
      </c>
      <c r="E7863" s="64" t="s">
        <v>2954</v>
      </c>
      <c r="F7863" s="64" t="s">
        <v>15</v>
      </c>
      <c r="G7863" s="64" t="s">
        <v>2921</v>
      </c>
      <c r="H7863" s="64" t="s">
        <v>1875</v>
      </c>
      <c r="I7863" s="64" t="s">
        <v>2955</v>
      </c>
      <c r="J7863" s="67">
        <v>4787.21</v>
      </c>
      <c r="K7863" s="62">
        <v>49820.86</v>
      </c>
      <c r="L7863" s="33" t="e">
        <f>HLOOKUP(B7863,#REF!,1,0)</f>
        <v>#REF!</v>
      </c>
      <c r="M7863" s="33" t="str">
        <f t="shared" si="491"/>
        <v>P&amp;L</v>
      </c>
    </row>
    <row r="7864" spans="1:13">
      <c r="A7864" s="33" t="str">
        <f t="shared" si="488"/>
        <v>SCL - CGS</v>
      </c>
      <c r="B7864" s="33" t="str">
        <f t="shared" si="489"/>
        <v>SCL</v>
      </c>
      <c r="C7864" s="33" t="str">
        <f t="shared" si="490"/>
        <v>53003-7362</v>
      </c>
      <c r="D7864" s="64" t="s">
        <v>9113</v>
      </c>
      <c r="E7864" s="64" t="s">
        <v>2954</v>
      </c>
      <c r="F7864" s="64" t="s">
        <v>15</v>
      </c>
      <c r="G7864" s="64" t="s">
        <v>2921</v>
      </c>
      <c r="H7864" s="64" t="s">
        <v>1875</v>
      </c>
      <c r="I7864" s="64" t="s">
        <v>2955</v>
      </c>
      <c r="J7864" s="67">
        <v>2324.34</v>
      </c>
      <c r="K7864" s="62">
        <v>30646.15</v>
      </c>
      <c r="L7864" s="33" t="e">
        <f>HLOOKUP(B7864,#REF!,1,0)</f>
        <v>#REF!</v>
      </c>
      <c r="M7864" s="33" t="str">
        <f t="shared" si="491"/>
        <v>P&amp;L</v>
      </c>
    </row>
    <row r="7865" spans="1:13">
      <c r="A7865" s="33" t="str">
        <f t="shared" si="488"/>
        <v>SCL - CGS</v>
      </c>
      <c r="B7865" s="33" t="str">
        <f t="shared" si="489"/>
        <v>SCL</v>
      </c>
      <c r="C7865" s="33" t="str">
        <f t="shared" si="490"/>
        <v>53003-7363</v>
      </c>
      <c r="D7865" s="64" t="s">
        <v>9114</v>
      </c>
      <c r="E7865" s="64" t="s">
        <v>2954</v>
      </c>
      <c r="F7865" s="64" t="s">
        <v>15</v>
      </c>
      <c r="G7865" s="64" t="s">
        <v>2921</v>
      </c>
      <c r="H7865" s="64" t="s">
        <v>1875</v>
      </c>
      <c r="I7865" s="64" t="s">
        <v>2955</v>
      </c>
      <c r="J7865" s="67">
        <v>3010.55</v>
      </c>
      <c r="K7865" s="62">
        <v>27040.09</v>
      </c>
      <c r="L7865" s="33" t="e">
        <f>HLOOKUP(B7865,#REF!,1,0)</f>
        <v>#REF!</v>
      </c>
      <c r="M7865" s="33" t="str">
        <f t="shared" si="491"/>
        <v>P&amp;L</v>
      </c>
    </row>
    <row r="7866" spans="1:13">
      <c r="A7866" s="33" t="str">
        <f t="shared" si="488"/>
        <v>SCL - CGS</v>
      </c>
      <c r="B7866" s="33" t="str">
        <f t="shared" si="489"/>
        <v>SCL</v>
      </c>
      <c r="C7866" s="33" t="str">
        <f t="shared" si="490"/>
        <v>53003-7364</v>
      </c>
      <c r="D7866" s="64" t="s">
        <v>9115</v>
      </c>
      <c r="E7866" s="64" t="s">
        <v>2954</v>
      </c>
      <c r="F7866" s="64" t="s">
        <v>15</v>
      </c>
      <c r="G7866" s="64" t="s">
        <v>2921</v>
      </c>
      <c r="H7866" s="64" t="s">
        <v>1875</v>
      </c>
      <c r="I7866" s="64" t="s">
        <v>2955</v>
      </c>
      <c r="J7866" s="67">
        <v>2686.5</v>
      </c>
      <c r="K7866" s="62">
        <v>22921.2</v>
      </c>
      <c r="L7866" s="33" t="e">
        <f>HLOOKUP(B7866,#REF!,1,0)</f>
        <v>#REF!</v>
      </c>
      <c r="M7866" s="33" t="str">
        <f t="shared" si="491"/>
        <v>P&amp;L</v>
      </c>
    </row>
    <row r="7867" spans="1:13">
      <c r="A7867" s="33" t="str">
        <f t="shared" si="488"/>
        <v>SCL - CGS</v>
      </c>
      <c r="B7867" s="33" t="str">
        <f t="shared" si="489"/>
        <v>SCL</v>
      </c>
      <c r="C7867" s="33" t="str">
        <f t="shared" si="490"/>
        <v>53003-7365</v>
      </c>
      <c r="D7867" s="64" t="s">
        <v>9116</v>
      </c>
      <c r="E7867" s="64" t="s">
        <v>2954</v>
      </c>
      <c r="F7867" s="64" t="s">
        <v>15</v>
      </c>
      <c r="G7867" s="64" t="s">
        <v>2921</v>
      </c>
      <c r="H7867" s="64" t="s">
        <v>1875</v>
      </c>
      <c r="I7867" s="64" t="s">
        <v>2955</v>
      </c>
      <c r="J7867" s="67">
        <v>2200.77</v>
      </c>
      <c r="K7867" s="62">
        <v>29675.22</v>
      </c>
      <c r="L7867" s="33" t="e">
        <f>HLOOKUP(B7867,#REF!,1,0)</f>
        <v>#REF!</v>
      </c>
      <c r="M7867" s="33" t="str">
        <f t="shared" si="491"/>
        <v>P&amp;L</v>
      </c>
    </row>
    <row r="7868" spans="1:13">
      <c r="A7868" s="33" t="str">
        <f t="shared" si="488"/>
        <v>SCL - CGS</v>
      </c>
      <c r="B7868" s="33" t="str">
        <f t="shared" si="489"/>
        <v>SCL</v>
      </c>
      <c r="C7868" s="33" t="str">
        <f t="shared" si="490"/>
        <v>53003-7366</v>
      </c>
      <c r="D7868" s="64" t="s">
        <v>9117</v>
      </c>
      <c r="E7868" s="64" t="s">
        <v>2954</v>
      </c>
      <c r="F7868" s="64" t="s">
        <v>15</v>
      </c>
      <c r="G7868" s="64" t="s">
        <v>2921</v>
      </c>
      <c r="H7868" s="64" t="s">
        <v>1875</v>
      </c>
      <c r="I7868" s="64" t="s">
        <v>2955</v>
      </c>
      <c r="J7868" s="67">
        <v>5213.03</v>
      </c>
      <c r="K7868" s="62">
        <v>36017.35</v>
      </c>
      <c r="L7868" s="33" t="e">
        <f>HLOOKUP(B7868,#REF!,1,0)</f>
        <v>#REF!</v>
      </c>
      <c r="M7868" s="33" t="str">
        <f t="shared" si="491"/>
        <v>P&amp;L</v>
      </c>
    </row>
    <row r="7869" spans="1:13">
      <c r="A7869" s="33" t="str">
        <f t="shared" si="488"/>
        <v>SCL - CGS</v>
      </c>
      <c r="B7869" s="33" t="str">
        <f t="shared" si="489"/>
        <v>SCL</v>
      </c>
      <c r="C7869" s="33" t="str">
        <f t="shared" si="490"/>
        <v>53003-7368</v>
      </c>
      <c r="D7869" s="64" t="s">
        <v>9118</v>
      </c>
      <c r="E7869" s="64" t="s">
        <v>2954</v>
      </c>
      <c r="F7869" s="64" t="s">
        <v>15</v>
      </c>
      <c r="G7869" s="64" t="s">
        <v>2921</v>
      </c>
      <c r="H7869" s="64" t="s">
        <v>1875</v>
      </c>
      <c r="I7869" s="64" t="s">
        <v>2955</v>
      </c>
      <c r="J7869" s="67">
        <v>3095</v>
      </c>
      <c r="K7869" s="62">
        <v>30049.38</v>
      </c>
      <c r="L7869" s="33" t="e">
        <f>HLOOKUP(B7869,#REF!,1,0)</f>
        <v>#REF!</v>
      </c>
      <c r="M7869" s="33" t="str">
        <f t="shared" si="491"/>
        <v>P&amp;L</v>
      </c>
    </row>
    <row r="7870" spans="1:13">
      <c r="A7870" s="33" t="str">
        <f t="shared" si="488"/>
        <v>SCL - CGS</v>
      </c>
      <c r="B7870" s="33" t="str">
        <f t="shared" si="489"/>
        <v>SCL</v>
      </c>
      <c r="C7870" s="33" t="str">
        <f t="shared" si="490"/>
        <v>53003-7369</v>
      </c>
      <c r="D7870" s="64" t="s">
        <v>9119</v>
      </c>
      <c r="E7870" s="64" t="s">
        <v>2954</v>
      </c>
      <c r="F7870" s="64" t="s">
        <v>15</v>
      </c>
      <c r="G7870" s="64" t="s">
        <v>2921</v>
      </c>
      <c r="H7870" s="64" t="s">
        <v>1875</v>
      </c>
      <c r="I7870" s="64" t="s">
        <v>2955</v>
      </c>
      <c r="J7870" s="67">
        <v>3420</v>
      </c>
      <c r="K7870" s="62">
        <v>28568.68</v>
      </c>
      <c r="L7870" s="33" t="e">
        <f>HLOOKUP(B7870,#REF!,1,0)</f>
        <v>#REF!</v>
      </c>
      <c r="M7870" s="33" t="str">
        <f t="shared" si="491"/>
        <v>P&amp;L</v>
      </c>
    </row>
    <row r="7871" spans="1:13">
      <c r="A7871" s="33" t="str">
        <f t="shared" si="488"/>
        <v>SCL - CGS</v>
      </c>
      <c r="B7871" s="33" t="str">
        <f t="shared" si="489"/>
        <v>SCL</v>
      </c>
      <c r="C7871" s="33" t="str">
        <f t="shared" si="490"/>
        <v>53003-7371</v>
      </c>
      <c r="D7871" s="64" t="s">
        <v>9120</v>
      </c>
      <c r="E7871" s="64" t="s">
        <v>2954</v>
      </c>
      <c r="F7871" s="64" t="s">
        <v>15</v>
      </c>
      <c r="G7871" s="64" t="s">
        <v>2921</v>
      </c>
      <c r="H7871" s="64" t="s">
        <v>1875</v>
      </c>
      <c r="I7871" s="64" t="s">
        <v>2955</v>
      </c>
      <c r="J7871" s="67">
        <v>3119.61</v>
      </c>
      <c r="K7871" s="62">
        <v>31588.53</v>
      </c>
      <c r="L7871" s="33" t="e">
        <f>HLOOKUP(B7871,#REF!,1,0)</f>
        <v>#REF!</v>
      </c>
      <c r="M7871" s="33" t="str">
        <f t="shared" si="491"/>
        <v>P&amp;L</v>
      </c>
    </row>
    <row r="7872" spans="1:13">
      <c r="A7872" s="33" t="str">
        <f t="shared" si="488"/>
        <v>SCL - CGS</v>
      </c>
      <c r="B7872" s="33" t="str">
        <f t="shared" si="489"/>
        <v>SCL</v>
      </c>
      <c r="C7872" s="33" t="str">
        <f t="shared" si="490"/>
        <v>53003-7374</v>
      </c>
      <c r="D7872" s="64" t="s">
        <v>9121</v>
      </c>
      <c r="E7872" s="64" t="s">
        <v>2954</v>
      </c>
      <c r="F7872" s="64" t="s">
        <v>15</v>
      </c>
      <c r="G7872" s="64" t="s">
        <v>2921</v>
      </c>
      <c r="H7872" s="64" t="s">
        <v>1875</v>
      </c>
      <c r="I7872" s="64" t="s">
        <v>2955</v>
      </c>
      <c r="J7872" s="67">
        <v>2945.4</v>
      </c>
      <c r="K7872" s="62">
        <v>31532.04</v>
      </c>
      <c r="L7872" s="33" t="e">
        <f>HLOOKUP(B7872,#REF!,1,0)</f>
        <v>#REF!</v>
      </c>
      <c r="M7872" s="33" t="str">
        <f t="shared" si="491"/>
        <v>P&amp;L</v>
      </c>
    </row>
    <row r="7873" spans="1:13">
      <c r="A7873" s="33" t="str">
        <f t="shared" si="488"/>
        <v>SCL - CGS</v>
      </c>
      <c r="B7873" s="33" t="str">
        <f t="shared" si="489"/>
        <v>SCL</v>
      </c>
      <c r="C7873" s="33" t="str">
        <f t="shared" si="490"/>
        <v>53003-7375</v>
      </c>
      <c r="D7873" s="64" t="s">
        <v>9122</v>
      </c>
      <c r="E7873" s="64" t="s">
        <v>2954</v>
      </c>
      <c r="F7873" s="64" t="s">
        <v>15</v>
      </c>
      <c r="G7873" s="64" t="s">
        <v>2921</v>
      </c>
      <c r="H7873" s="64" t="s">
        <v>1875</v>
      </c>
      <c r="I7873" s="64" t="s">
        <v>2955</v>
      </c>
      <c r="J7873" s="67">
        <v>3010.89</v>
      </c>
      <c r="K7873" s="62">
        <v>31404.61</v>
      </c>
      <c r="L7873" s="33" t="e">
        <f>HLOOKUP(B7873,#REF!,1,0)</f>
        <v>#REF!</v>
      </c>
      <c r="M7873" s="33" t="str">
        <f t="shared" si="491"/>
        <v>P&amp;L</v>
      </c>
    </row>
    <row r="7874" spans="1:13">
      <c r="A7874" s="33" t="str">
        <f t="shared" ref="A7874:A7937" si="492">B7874&amp;" - "&amp;TRIM(H7874)</f>
        <v>SCL - CGS</v>
      </c>
      <c r="B7874" s="33" t="str">
        <f t="shared" ref="B7874:B7937" si="493">LEFT(D7874,3)</f>
        <v>SCL</v>
      </c>
      <c r="C7874" s="33" t="str">
        <f t="shared" ref="C7874:C7937" si="494">RIGHT(D7874,10)</f>
        <v>53003-7376</v>
      </c>
      <c r="D7874" s="64" t="s">
        <v>9123</v>
      </c>
      <c r="E7874" s="64" t="s">
        <v>2954</v>
      </c>
      <c r="F7874" s="64" t="s">
        <v>15</v>
      </c>
      <c r="G7874" s="64" t="s">
        <v>2921</v>
      </c>
      <c r="H7874" s="64" t="s">
        <v>1875</v>
      </c>
      <c r="I7874" s="64" t="s">
        <v>2955</v>
      </c>
      <c r="J7874" s="67">
        <v>3093.2</v>
      </c>
      <c r="K7874" s="62">
        <v>31319.56</v>
      </c>
      <c r="L7874" s="33" t="e">
        <f>HLOOKUP(B7874,#REF!,1,0)</f>
        <v>#REF!</v>
      </c>
      <c r="M7874" s="33" t="str">
        <f t="shared" ref="M7874:M7937" si="495">IF(VALUE(LEFT(C7874,5))&gt;40000,"P&amp;L","BS")</f>
        <v>P&amp;L</v>
      </c>
    </row>
    <row r="7875" spans="1:13">
      <c r="A7875" s="33" t="str">
        <f t="shared" si="492"/>
        <v>SCL - CGS</v>
      </c>
      <c r="B7875" s="33" t="str">
        <f t="shared" si="493"/>
        <v>SCL</v>
      </c>
      <c r="C7875" s="33" t="str">
        <f t="shared" si="494"/>
        <v>53003-7377</v>
      </c>
      <c r="D7875" s="64" t="s">
        <v>9124</v>
      </c>
      <c r="E7875" s="64" t="s">
        <v>2954</v>
      </c>
      <c r="F7875" s="64" t="s">
        <v>15</v>
      </c>
      <c r="G7875" s="64" t="s">
        <v>2921</v>
      </c>
      <c r="H7875" s="64" t="s">
        <v>1875</v>
      </c>
      <c r="I7875" s="64" t="s">
        <v>2955</v>
      </c>
      <c r="J7875" s="67">
        <v>2874.25</v>
      </c>
      <c r="K7875" s="62">
        <v>31823.31</v>
      </c>
      <c r="L7875" s="33" t="e">
        <f>HLOOKUP(B7875,#REF!,1,0)</f>
        <v>#REF!</v>
      </c>
      <c r="M7875" s="33" t="str">
        <f t="shared" si="495"/>
        <v>P&amp;L</v>
      </c>
    </row>
    <row r="7876" spans="1:13">
      <c r="A7876" s="33" t="str">
        <f t="shared" si="492"/>
        <v>SCL - CGS</v>
      </c>
      <c r="B7876" s="33" t="str">
        <f t="shared" si="493"/>
        <v>SCL</v>
      </c>
      <c r="C7876" s="33" t="str">
        <f t="shared" si="494"/>
        <v>53003-7378</v>
      </c>
      <c r="D7876" s="64" t="s">
        <v>9125</v>
      </c>
      <c r="E7876" s="64" t="s">
        <v>2954</v>
      </c>
      <c r="F7876" s="64" t="s">
        <v>15</v>
      </c>
      <c r="G7876" s="64" t="s">
        <v>2921</v>
      </c>
      <c r="H7876" s="64" t="s">
        <v>1875</v>
      </c>
      <c r="I7876" s="64" t="s">
        <v>2955</v>
      </c>
      <c r="J7876" s="67">
        <v>3120</v>
      </c>
      <c r="K7876" s="62">
        <v>30166.99</v>
      </c>
      <c r="L7876" s="33" t="e">
        <f>HLOOKUP(B7876,#REF!,1,0)</f>
        <v>#REF!</v>
      </c>
      <c r="M7876" s="33" t="str">
        <f t="shared" si="495"/>
        <v>P&amp;L</v>
      </c>
    </row>
    <row r="7877" spans="1:13">
      <c r="A7877" s="33" t="str">
        <f t="shared" si="492"/>
        <v>SCL - CGS</v>
      </c>
      <c r="B7877" s="33" t="str">
        <f t="shared" si="493"/>
        <v>SCL</v>
      </c>
      <c r="C7877" s="33" t="str">
        <f t="shared" si="494"/>
        <v>53003-7379</v>
      </c>
      <c r="D7877" s="64" t="s">
        <v>9126</v>
      </c>
      <c r="E7877" s="64" t="s">
        <v>2954</v>
      </c>
      <c r="F7877" s="64" t="s">
        <v>15</v>
      </c>
      <c r="G7877" s="64" t="s">
        <v>2921</v>
      </c>
      <c r="H7877" s="64" t="s">
        <v>1875</v>
      </c>
      <c r="I7877" s="64" t="s">
        <v>2955</v>
      </c>
      <c r="J7877" s="67">
        <v>2887.37</v>
      </c>
      <c r="K7877" s="62">
        <v>29842.22</v>
      </c>
      <c r="L7877" s="33" t="e">
        <f>HLOOKUP(B7877,#REF!,1,0)</f>
        <v>#REF!</v>
      </c>
      <c r="M7877" s="33" t="str">
        <f t="shared" si="495"/>
        <v>P&amp;L</v>
      </c>
    </row>
    <row r="7878" spans="1:13">
      <c r="A7878" s="33" t="str">
        <f t="shared" si="492"/>
        <v>SCL - CGS</v>
      </c>
      <c r="B7878" s="33" t="str">
        <f t="shared" si="493"/>
        <v>SCL</v>
      </c>
      <c r="C7878" s="33" t="str">
        <f t="shared" si="494"/>
        <v>53003-7380</v>
      </c>
      <c r="D7878" s="64" t="s">
        <v>9127</v>
      </c>
      <c r="E7878" s="64" t="s">
        <v>2954</v>
      </c>
      <c r="F7878" s="64" t="s">
        <v>15</v>
      </c>
      <c r="G7878" s="64" t="s">
        <v>2921</v>
      </c>
      <c r="H7878" s="64" t="s">
        <v>1875</v>
      </c>
      <c r="I7878" s="64" t="s">
        <v>2955</v>
      </c>
      <c r="J7878" s="67">
        <v>3520</v>
      </c>
      <c r="K7878" s="62">
        <v>36325.23</v>
      </c>
      <c r="L7878" s="33" t="e">
        <f>HLOOKUP(B7878,#REF!,1,0)</f>
        <v>#REF!</v>
      </c>
      <c r="M7878" s="33" t="str">
        <f t="shared" si="495"/>
        <v>P&amp;L</v>
      </c>
    </row>
    <row r="7879" spans="1:13">
      <c r="A7879" s="33" t="str">
        <f t="shared" si="492"/>
        <v>SCL - CGS</v>
      </c>
      <c r="B7879" s="33" t="str">
        <f t="shared" si="493"/>
        <v>SCL</v>
      </c>
      <c r="C7879" s="33" t="str">
        <f t="shared" si="494"/>
        <v>53003-7381</v>
      </c>
      <c r="D7879" s="64" t="s">
        <v>9128</v>
      </c>
      <c r="E7879" s="64" t="s">
        <v>2954</v>
      </c>
      <c r="F7879" s="64" t="s">
        <v>15</v>
      </c>
      <c r="G7879" s="64" t="s">
        <v>2921</v>
      </c>
      <c r="H7879" s="64" t="s">
        <v>1875</v>
      </c>
      <c r="I7879" s="64" t="s">
        <v>2955</v>
      </c>
      <c r="J7879" s="67">
        <v>2394.38</v>
      </c>
      <c r="K7879" s="62">
        <v>30134.95</v>
      </c>
      <c r="L7879" s="33" t="e">
        <f>HLOOKUP(B7879,#REF!,1,0)</f>
        <v>#REF!</v>
      </c>
      <c r="M7879" s="33" t="str">
        <f t="shared" si="495"/>
        <v>P&amp;L</v>
      </c>
    </row>
    <row r="7880" spans="1:13">
      <c r="A7880" s="33" t="str">
        <f t="shared" si="492"/>
        <v>SCL - CGS</v>
      </c>
      <c r="B7880" s="33" t="str">
        <f t="shared" si="493"/>
        <v>SCL</v>
      </c>
      <c r="C7880" s="33" t="str">
        <f t="shared" si="494"/>
        <v>53003-7383</v>
      </c>
      <c r="D7880" s="64" t="s">
        <v>9129</v>
      </c>
      <c r="E7880" s="64" t="s">
        <v>2954</v>
      </c>
      <c r="F7880" s="64" t="s">
        <v>15</v>
      </c>
      <c r="G7880" s="64" t="s">
        <v>2921</v>
      </c>
      <c r="H7880" s="64" t="s">
        <v>1875</v>
      </c>
      <c r="I7880" s="64" t="s">
        <v>2955</v>
      </c>
      <c r="J7880" s="67">
        <v>5349.75</v>
      </c>
      <c r="K7880" s="62">
        <v>58094.87</v>
      </c>
      <c r="L7880" s="33" t="e">
        <f>HLOOKUP(B7880,#REF!,1,0)</f>
        <v>#REF!</v>
      </c>
      <c r="M7880" s="33" t="str">
        <f t="shared" si="495"/>
        <v>P&amp;L</v>
      </c>
    </row>
    <row r="7881" spans="1:13">
      <c r="A7881" s="33" t="str">
        <f t="shared" si="492"/>
        <v>SCL - CGS</v>
      </c>
      <c r="B7881" s="33" t="str">
        <f t="shared" si="493"/>
        <v>SCL</v>
      </c>
      <c r="C7881" s="33" t="str">
        <f t="shared" si="494"/>
        <v>53003-7385</v>
      </c>
      <c r="D7881" s="64" t="s">
        <v>9130</v>
      </c>
      <c r="E7881" s="64" t="s">
        <v>2954</v>
      </c>
      <c r="F7881" s="64" t="s">
        <v>15</v>
      </c>
      <c r="G7881" s="64" t="s">
        <v>2921</v>
      </c>
      <c r="H7881" s="64" t="s">
        <v>1875</v>
      </c>
      <c r="I7881" s="64" t="s">
        <v>2955</v>
      </c>
      <c r="J7881" s="67">
        <v>5530.28</v>
      </c>
      <c r="K7881" s="62">
        <v>50861.86</v>
      </c>
      <c r="L7881" s="33" t="e">
        <f>HLOOKUP(B7881,#REF!,1,0)</f>
        <v>#REF!</v>
      </c>
      <c r="M7881" s="33" t="str">
        <f t="shared" si="495"/>
        <v>P&amp;L</v>
      </c>
    </row>
    <row r="7882" spans="1:13">
      <c r="A7882" s="33" t="str">
        <f t="shared" si="492"/>
        <v>SCL - CGS</v>
      </c>
      <c r="B7882" s="33" t="str">
        <f t="shared" si="493"/>
        <v>SCL</v>
      </c>
      <c r="C7882" s="33" t="str">
        <f t="shared" si="494"/>
        <v>53003-7386</v>
      </c>
      <c r="D7882" s="64" t="s">
        <v>9131</v>
      </c>
      <c r="E7882" s="64" t="s">
        <v>2954</v>
      </c>
      <c r="F7882" s="64" t="s">
        <v>15</v>
      </c>
      <c r="G7882" s="64" t="s">
        <v>2921</v>
      </c>
      <c r="H7882" s="64" t="s">
        <v>1875</v>
      </c>
      <c r="I7882" s="64" t="s">
        <v>2955</v>
      </c>
      <c r="J7882" s="67">
        <v>2942.27</v>
      </c>
      <c r="K7882" s="62">
        <v>28723.28</v>
      </c>
      <c r="L7882" s="33" t="e">
        <f>HLOOKUP(B7882,#REF!,1,0)</f>
        <v>#REF!</v>
      </c>
      <c r="M7882" s="33" t="str">
        <f t="shared" si="495"/>
        <v>P&amp;L</v>
      </c>
    </row>
    <row r="7883" spans="1:13">
      <c r="A7883" s="33" t="str">
        <f t="shared" si="492"/>
        <v>SCL - CGS</v>
      </c>
      <c r="B7883" s="33" t="str">
        <f t="shared" si="493"/>
        <v>SCL</v>
      </c>
      <c r="C7883" s="33" t="str">
        <f t="shared" si="494"/>
        <v>53003-7387</v>
      </c>
      <c r="D7883" s="64" t="s">
        <v>9132</v>
      </c>
      <c r="E7883" s="64" t="s">
        <v>2954</v>
      </c>
      <c r="F7883" s="64" t="s">
        <v>15</v>
      </c>
      <c r="G7883" s="64" t="s">
        <v>2921</v>
      </c>
      <c r="H7883" s="64" t="s">
        <v>1875</v>
      </c>
      <c r="I7883" s="64" t="s">
        <v>2955</v>
      </c>
      <c r="J7883" s="67">
        <v>2507.4</v>
      </c>
      <c r="K7883" s="62">
        <v>32238.66</v>
      </c>
      <c r="L7883" s="33" t="e">
        <f>HLOOKUP(B7883,#REF!,1,0)</f>
        <v>#REF!</v>
      </c>
      <c r="M7883" s="33" t="str">
        <f t="shared" si="495"/>
        <v>P&amp;L</v>
      </c>
    </row>
    <row r="7884" spans="1:13">
      <c r="A7884" s="33" t="str">
        <f t="shared" si="492"/>
        <v>SCL - CGS</v>
      </c>
      <c r="B7884" s="33" t="str">
        <f t="shared" si="493"/>
        <v>SCL</v>
      </c>
      <c r="C7884" s="33" t="str">
        <f t="shared" si="494"/>
        <v>53003-7389</v>
      </c>
      <c r="D7884" s="64" t="s">
        <v>9133</v>
      </c>
      <c r="E7884" s="64" t="s">
        <v>2954</v>
      </c>
      <c r="F7884" s="64" t="s">
        <v>15</v>
      </c>
      <c r="G7884" s="64" t="s">
        <v>2921</v>
      </c>
      <c r="H7884" s="64" t="s">
        <v>1875</v>
      </c>
      <c r="I7884" s="64" t="s">
        <v>2955</v>
      </c>
      <c r="J7884" s="67">
        <v>4903.37</v>
      </c>
      <c r="K7884" s="62">
        <v>30359.6</v>
      </c>
      <c r="L7884" s="33" t="e">
        <f>HLOOKUP(B7884,#REF!,1,0)</f>
        <v>#REF!</v>
      </c>
      <c r="M7884" s="33" t="str">
        <f t="shared" si="495"/>
        <v>P&amp;L</v>
      </c>
    </row>
    <row r="7885" spans="1:13">
      <c r="A7885" s="33" t="str">
        <f t="shared" si="492"/>
        <v>SCL - CGS</v>
      </c>
      <c r="B7885" s="33" t="str">
        <f t="shared" si="493"/>
        <v>SCL</v>
      </c>
      <c r="C7885" s="33" t="str">
        <f t="shared" si="494"/>
        <v>53003-7391</v>
      </c>
      <c r="D7885" s="64" t="s">
        <v>9134</v>
      </c>
      <c r="E7885" s="64" t="s">
        <v>2954</v>
      </c>
      <c r="F7885" s="64" t="s">
        <v>15</v>
      </c>
      <c r="G7885" s="64" t="s">
        <v>2921</v>
      </c>
      <c r="H7885" s="64" t="s">
        <v>1875</v>
      </c>
      <c r="I7885" s="64" t="s">
        <v>2955</v>
      </c>
      <c r="J7885" s="67">
        <v>5434.58</v>
      </c>
      <c r="K7885" s="62">
        <v>33371.33</v>
      </c>
      <c r="L7885" s="33" t="e">
        <f>HLOOKUP(B7885,#REF!,1,0)</f>
        <v>#REF!</v>
      </c>
      <c r="M7885" s="33" t="str">
        <f t="shared" si="495"/>
        <v>P&amp;L</v>
      </c>
    </row>
    <row r="7886" spans="1:13">
      <c r="A7886" s="33" t="str">
        <f t="shared" si="492"/>
        <v>SCL - CGS</v>
      </c>
      <c r="B7886" s="33" t="str">
        <f t="shared" si="493"/>
        <v>SCL</v>
      </c>
      <c r="C7886" s="33" t="str">
        <f t="shared" si="494"/>
        <v>53003-7393</v>
      </c>
      <c r="D7886" s="64" t="s">
        <v>9135</v>
      </c>
      <c r="E7886" s="64" t="s">
        <v>2954</v>
      </c>
      <c r="F7886" s="64" t="s">
        <v>15</v>
      </c>
      <c r="G7886" s="64" t="s">
        <v>2921</v>
      </c>
      <c r="H7886" s="64" t="s">
        <v>1875</v>
      </c>
      <c r="I7886" s="64" t="s">
        <v>2955</v>
      </c>
      <c r="J7886" s="67">
        <v>3320</v>
      </c>
      <c r="K7886" s="62">
        <v>39890.13</v>
      </c>
      <c r="L7886" s="33" t="e">
        <f>HLOOKUP(B7886,#REF!,1,0)</f>
        <v>#REF!</v>
      </c>
      <c r="M7886" s="33" t="str">
        <f t="shared" si="495"/>
        <v>P&amp;L</v>
      </c>
    </row>
    <row r="7887" spans="1:13">
      <c r="A7887" s="33" t="str">
        <f t="shared" si="492"/>
        <v>SCL - CGS</v>
      </c>
      <c r="B7887" s="33" t="str">
        <f t="shared" si="493"/>
        <v>SCL</v>
      </c>
      <c r="C7887" s="33" t="str">
        <f t="shared" si="494"/>
        <v>53003-7394</v>
      </c>
      <c r="D7887" s="64" t="s">
        <v>9136</v>
      </c>
      <c r="E7887" s="64" t="s">
        <v>2954</v>
      </c>
      <c r="F7887" s="64" t="s">
        <v>15</v>
      </c>
      <c r="G7887" s="64" t="s">
        <v>2921</v>
      </c>
      <c r="H7887" s="64" t="s">
        <v>1875</v>
      </c>
      <c r="I7887" s="64" t="s">
        <v>2955</v>
      </c>
      <c r="J7887" s="67">
        <v>3236.61</v>
      </c>
      <c r="K7887" s="62">
        <v>30943.15</v>
      </c>
      <c r="L7887" s="33" t="e">
        <f>HLOOKUP(B7887,#REF!,1,0)</f>
        <v>#REF!</v>
      </c>
      <c r="M7887" s="33" t="str">
        <f t="shared" si="495"/>
        <v>P&amp;L</v>
      </c>
    </row>
    <row r="7888" spans="1:13">
      <c r="A7888" s="33" t="str">
        <f t="shared" si="492"/>
        <v>SCL - CGS</v>
      </c>
      <c r="B7888" s="33" t="str">
        <f t="shared" si="493"/>
        <v>SCL</v>
      </c>
      <c r="C7888" s="33" t="str">
        <f t="shared" si="494"/>
        <v>53003-7396</v>
      </c>
      <c r="D7888" s="64" t="s">
        <v>9137</v>
      </c>
      <c r="E7888" s="64" t="s">
        <v>2954</v>
      </c>
      <c r="F7888" s="64" t="s">
        <v>15</v>
      </c>
      <c r="G7888" s="64" t="s">
        <v>2921</v>
      </c>
      <c r="H7888" s="64" t="s">
        <v>1875</v>
      </c>
      <c r="I7888" s="64" t="s">
        <v>2955</v>
      </c>
      <c r="J7888" s="67">
        <v>3862.7</v>
      </c>
      <c r="K7888" s="62">
        <v>45718.33</v>
      </c>
      <c r="L7888" s="33" t="e">
        <f>HLOOKUP(B7888,#REF!,1,0)</f>
        <v>#REF!</v>
      </c>
      <c r="M7888" s="33" t="str">
        <f t="shared" si="495"/>
        <v>P&amp;L</v>
      </c>
    </row>
    <row r="7889" spans="1:13">
      <c r="A7889" s="33" t="str">
        <f t="shared" si="492"/>
        <v>SCL - CGS</v>
      </c>
      <c r="B7889" s="33" t="str">
        <f t="shared" si="493"/>
        <v>SCL</v>
      </c>
      <c r="C7889" s="33" t="str">
        <f t="shared" si="494"/>
        <v>53003-7397</v>
      </c>
      <c r="D7889" s="64" t="s">
        <v>9138</v>
      </c>
      <c r="E7889" s="64" t="s">
        <v>2954</v>
      </c>
      <c r="F7889" s="64" t="s">
        <v>15</v>
      </c>
      <c r="G7889" s="64" t="s">
        <v>2921</v>
      </c>
      <c r="H7889" s="64" t="s">
        <v>1875</v>
      </c>
      <c r="I7889" s="64" t="s">
        <v>2955</v>
      </c>
      <c r="J7889" s="67">
        <v>1932.62</v>
      </c>
      <c r="K7889" s="62">
        <v>20000.2</v>
      </c>
      <c r="L7889" s="33" t="e">
        <f>HLOOKUP(B7889,#REF!,1,0)</f>
        <v>#REF!</v>
      </c>
      <c r="M7889" s="33" t="str">
        <f t="shared" si="495"/>
        <v>P&amp;L</v>
      </c>
    </row>
    <row r="7890" spans="1:13">
      <c r="A7890" s="33" t="str">
        <f t="shared" si="492"/>
        <v>SCL - CGS</v>
      </c>
      <c r="B7890" s="33" t="str">
        <f t="shared" si="493"/>
        <v>SCL</v>
      </c>
      <c r="C7890" s="33" t="str">
        <f t="shared" si="494"/>
        <v>53003-7398</v>
      </c>
      <c r="D7890" s="64" t="s">
        <v>9139</v>
      </c>
      <c r="E7890" s="64" t="s">
        <v>2954</v>
      </c>
      <c r="F7890" s="64" t="s">
        <v>15</v>
      </c>
      <c r="G7890" s="64" t="s">
        <v>2921</v>
      </c>
      <c r="H7890" s="64" t="s">
        <v>1875</v>
      </c>
      <c r="I7890" s="64" t="s">
        <v>2955</v>
      </c>
      <c r="J7890" s="67">
        <v>6468.03</v>
      </c>
      <c r="K7890" s="62">
        <v>39671.66</v>
      </c>
      <c r="L7890" s="33" t="e">
        <f>HLOOKUP(B7890,#REF!,1,0)</f>
        <v>#REF!</v>
      </c>
      <c r="M7890" s="33" t="str">
        <f t="shared" si="495"/>
        <v>P&amp;L</v>
      </c>
    </row>
    <row r="7891" spans="1:13">
      <c r="A7891" s="33" t="str">
        <f t="shared" si="492"/>
        <v>SCL - CGS</v>
      </c>
      <c r="B7891" s="33" t="str">
        <f t="shared" si="493"/>
        <v>SCL</v>
      </c>
      <c r="C7891" s="33" t="str">
        <f t="shared" si="494"/>
        <v>53003-7400</v>
      </c>
      <c r="D7891" s="64" t="s">
        <v>9140</v>
      </c>
      <c r="E7891" s="64" t="s">
        <v>2954</v>
      </c>
      <c r="F7891" s="64" t="s">
        <v>15</v>
      </c>
      <c r="G7891" s="64" t="s">
        <v>2921</v>
      </c>
      <c r="H7891" s="64" t="s">
        <v>1875</v>
      </c>
      <c r="I7891" s="64" t="s">
        <v>2955</v>
      </c>
      <c r="J7891" s="67">
        <v>3040</v>
      </c>
      <c r="K7891" s="62">
        <v>32124.25</v>
      </c>
      <c r="L7891" s="33" t="e">
        <f>HLOOKUP(B7891,#REF!,1,0)</f>
        <v>#REF!</v>
      </c>
      <c r="M7891" s="33" t="str">
        <f t="shared" si="495"/>
        <v>P&amp;L</v>
      </c>
    </row>
    <row r="7892" spans="1:13">
      <c r="A7892" s="33" t="str">
        <f t="shared" si="492"/>
        <v>SCL - CGS</v>
      </c>
      <c r="B7892" s="33" t="str">
        <f t="shared" si="493"/>
        <v>SCL</v>
      </c>
      <c r="C7892" s="33" t="str">
        <f t="shared" si="494"/>
        <v>53003-7401</v>
      </c>
      <c r="D7892" s="64" t="s">
        <v>9141</v>
      </c>
      <c r="E7892" s="64" t="s">
        <v>2954</v>
      </c>
      <c r="F7892" s="64" t="s">
        <v>15</v>
      </c>
      <c r="G7892" s="64" t="s">
        <v>2921</v>
      </c>
      <c r="H7892" s="64" t="s">
        <v>1875</v>
      </c>
      <c r="I7892" s="64" t="s">
        <v>2955</v>
      </c>
      <c r="J7892" s="67">
        <v>4357.28</v>
      </c>
      <c r="K7892" s="62">
        <v>30794.1</v>
      </c>
      <c r="L7892" s="33" t="e">
        <f>HLOOKUP(B7892,#REF!,1,0)</f>
        <v>#REF!</v>
      </c>
      <c r="M7892" s="33" t="str">
        <f t="shared" si="495"/>
        <v>P&amp;L</v>
      </c>
    </row>
    <row r="7893" spans="1:13">
      <c r="A7893" s="33" t="str">
        <f t="shared" si="492"/>
        <v>SCL - CGS</v>
      </c>
      <c r="B7893" s="33" t="str">
        <f t="shared" si="493"/>
        <v>SCL</v>
      </c>
      <c r="C7893" s="33" t="str">
        <f t="shared" si="494"/>
        <v>53003-7402</v>
      </c>
      <c r="D7893" s="64" t="s">
        <v>9142</v>
      </c>
      <c r="E7893" s="64" t="s">
        <v>2954</v>
      </c>
      <c r="F7893" s="64" t="s">
        <v>15</v>
      </c>
      <c r="G7893" s="64" t="s">
        <v>2921</v>
      </c>
      <c r="H7893" s="64" t="s">
        <v>1875</v>
      </c>
      <c r="I7893" s="64" t="s">
        <v>2955</v>
      </c>
      <c r="J7893" s="67">
        <v>4055.31</v>
      </c>
      <c r="K7893" s="62">
        <v>28974.34</v>
      </c>
      <c r="L7893" s="33" t="e">
        <f>HLOOKUP(B7893,#REF!,1,0)</f>
        <v>#REF!</v>
      </c>
      <c r="M7893" s="33" t="str">
        <f t="shared" si="495"/>
        <v>P&amp;L</v>
      </c>
    </row>
    <row r="7894" spans="1:13">
      <c r="A7894" s="33" t="str">
        <f t="shared" si="492"/>
        <v>SCL - CGS</v>
      </c>
      <c r="B7894" s="33" t="str">
        <f t="shared" si="493"/>
        <v>SCL</v>
      </c>
      <c r="C7894" s="33" t="str">
        <f t="shared" si="494"/>
        <v>53003-7403</v>
      </c>
      <c r="D7894" s="64" t="s">
        <v>9143</v>
      </c>
      <c r="E7894" s="64" t="s">
        <v>2954</v>
      </c>
      <c r="F7894" s="64" t="s">
        <v>15</v>
      </c>
      <c r="G7894" s="64" t="s">
        <v>2921</v>
      </c>
      <c r="H7894" s="64" t="s">
        <v>1875</v>
      </c>
      <c r="I7894" s="64" t="s">
        <v>2955</v>
      </c>
      <c r="J7894" s="67">
        <v>2644.6</v>
      </c>
      <c r="K7894" s="62">
        <v>31680.36</v>
      </c>
      <c r="L7894" s="33" t="e">
        <f>HLOOKUP(B7894,#REF!,1,0)</f>
        <v>#REF!</v>
      </c>
      <c r="M7894" s="33" t="str">
        <f t="shared" si="495"/>
        <v>P&amp;L</v>
      </c>
    </row>
    <row r="7895" spans="1:13">
      <c r="A7895" s="33" t="str">
        <f t="shared" si="492"/>
        <v>SCL - CGS</v>
      </c>
      <c r="B7895" s="33" t="str">
        <f t="shared" si="493"/>
        <v>SCL</v>
      </c>
      <c r="C7895" s="33" t="str">
        <f t="shared" si="494"/>
        <v>53003-7489</v>
      </c>
      <c r="D7895" s="64" t="s">
        <v>9144</v>
      </c>
      <c r="E7895" s="64" t="s">
        <v>2954</v>
      </c>
      <c r="F7895" s="64" t="s">
        <v>15</v>
      </c>
      <c r="G7895" s="64" t="s">
        <v>2921</v>
      </c>
      <c r="H7895" s="64" t="s">
        <v>1875</v>
      </c>
      <c r="I7895" s="64" t="s">
        <v>2955</v>
      </c>
      <c r="J7895" s="67">
        <v>4159.21</v>
      </c>
      <c r="K7895" s="62">
        <v>34789.31</v>
      </c>
      <c r="L7895" s="33" t="e">
        <f>HLOOKUP(B7895,#REF!,1,0)</f>
        <v>#REF!</v>
      </c>
      <c r="M7895" s="33" t="str">
        <f t="shared" si="495"/>
        <v>P&amp;L</v>
      </c>
    </row>
    <row r="7896" spans="1:13">
      <c r="A7896" s="33" t="str">
        <f t="shared" si="492"/>
        <v>SCL - CGS</v>
      </c>
      <c r="B7896" s="33" t="str">
        <f t="shared" si="493"/>
        <v>SCL</v>
      </c>
      <c r="C7896" s="33" t="str">
        <f t="shared" si="494"/>
        <v>53003-7491</v>
      </c>
      <c r="D7896" s="64" t="s">
        <v>9145</v>
      </c>
      <c r="E7896" s="64" t="s">
        <v>2954</v>
      </c>
      <c r="F7896" s="64" t="s">
        <v>15</v>
      </c>
      <c r="G7896" s="64" t="s">
        <v>2921</v>
      </c>
      <c r="H7896" s="64" t="s">
        <v>1875</v>
      </c>
      <c r="I7896" s="64" t="s">
        <v>2955</v>
      </c>
      <c r="J7896" s="67">
        <v>2960</v>
      </c>
      <c r="K7896" s="62">
        <v>28426.06</v>
      </c>
      <c r="L7896" s="33" t="e">
        <f>HLOOKUP(B7896,#REF!,1,0)</f>
        <v>#REF!</v>
      </c>
      <c r="M7896" s="33" t="str">
        <f t="shared" si="495"/>
        <v>P&amp;L</v>
      </c>
    </row>
    <row r="7897" spans="1:13">
      <c r="A7897" s="33" t="str">
        <f t="shared" si="492"/>
        <v>SCL - CGS</v>
      </c>
      <c r="B7897" s="33" t="str">
        <f t="shared" si="493"/>
        <v>SCL</v>
      </c>
      <c r="C7897" s="33" t="str">
        <f t="shared" si="494"/>
        <v>53003-7492</v>
      </c>
      <c r="D7897" s="64" t="s">
        <v>9146</v>
      </c>
      <c r="E7897" s="64" t="s">
        <v>2954</v>
      </c>
      <c r="F7897" s="64" t="s">
        <v>15</v>
      </c>
      <c r="G7897" s="64" t="s">
        <v>2921</v>
      </c>
      <c r="H7897" s="64" t="s">
        <v>1875</v>
      </c>
      <c r="I7897" s="64" t="s">
        <v>2955</v>
      </c>
      <c r="J7897" s="67">
        <v>1600</v>
      </c>
      <c r="K7897" s="62">
        <v>51925.63</v>
      </c>
      <c r="L7897" s="33" t="e">
        <f>HLOOKUP(B7897,#REF!,1,0)</f>
        <v>#REF!</v>
      </c>
      <c r="M7897" s="33" t="str">
        <f t="shared" si="495"/>
        <v>P&amp;L</v>
      </c>
    </row>
    <row r="7898" spans="1:13">
      <c r="A7898" s="33" t="str">
        <f t="shared" si="492"/>
        <v>SCL - CGS</v>
      </c>
      <c r="B7898" s="33" t="str">
        <f t="shared" si="493"/>
        <v>SCL</v>
      </c>
      <c r="C7898" s="33" t="str">
        <f t="shared" si="494"/>
        <v>53003-7493</v>
      </c>
      <c r="D7898" s="64" t="s">
        <v>9147</v>
      </c>
      <c r="E7898" s="64" t="s">
        <v>2954</v>
      </c>
      <c r="F7898" s="64" t="s">
        <v>15</v>
      </c>
      <c r="G7898" s="64" t="s">
        <v>2921</v>
      </c>
      <c r="H7898" s="64" t="s">
        <v>1875</v>
      </c>
      <c r="I7898" s="64" t="s">
        <v>2955</v>
      </c>
      <c r="J7898" s="67">
        <v>3175</v>
      </c>
      <c r="K7898" s="62">
        <v>24808.58</v>
      </c>
      <c r="L7898" s="33" t="e">
        <f>HLOOKUP(B7898,#REF!,1,0)</f>
        <v>#REF!</v>
      </c>
      <c r="M7898" s="33" t="str">
        <f t="shared" si="495"/>
        <v>P&amp;L</v>
      </c>
    </row>
    <row r="7899" spans="1:13">
      <c r="A7899" s="33" t="str">
        <f t="shared" si="492"/>
        <v>SCL - CGS</v>
      </c>
      <c r="B7899" s="33" t="str">
        <f t="shared" si="493"/>
        <v>SCL</v>
      </c>
      <c r="C7899" s="33" t="str">
        <f t="shared" si="494"/>
        <v>53003-7494</v>
      </c>
      <c r="D7899" s="64" t="s">
        <v>9148</v>
      </c>
      <c r="E7899" s="64" t="s">
        <v>2954</v>
      </c>
      <c r="F7899" s="64" t="s">
        <v>15</v>
      </c>
      <c r="G7899" s="64" t="s">
        <v>2921</v>
      </c>
      <c r="H7899" s="64" t="s">
        <v>1875</v>
      </c>
      <c r="I7899" s="64" t="s">
        <v>2955</v>
      </c>
      <c r="J7899" s="67">
        <v>8578.6</v>
      </c>
      <c r="K7899" s="62">
        <v>83103.29</v>
      </c>
      <c r="L7899" s="33" t="e">
        <f>HLOOKUP(B7899,#REF!,1,0)</f>
        <v>#REF!</v>
      </c>
      <c r="M7899" s="33" t="str">
        <f t="shared" si="495"/>
        <v>P&amp;L</v>
      </c>
    </row>
    <row r="7900" spans="1:13">
      <c r="A7900" s="33" t="str">
        <f t="shared" si="492"/>
        <v>SCL - CGS</v>
      </c>
      <c r="B7900" s="33" t="str">
        <f t="shared" si="493"/>
        <v>SCL</v>
      </c>
      <c r="C7900" s="33" t="str">
        <f t="shared" si="494"/>
        <v>53003-7625</v>
      </c>
      <c r="D7900" s="64" t="s">
        <v>9149</v>
      </c>
      <c r="E7900" s="64" t="s">
        <v>2954</v>
      </c>
      <c r="F7900" s="64" t="s">
        <v>15</v>
      </c>
      <c r="G7900" s="64" t="s">
        <v>2921</v>
      </c>
      <c r="H7900" s="64" t="s">
        <v>1875</v>
      </c>
      <c r="I7900" s="64" t="s">
        <v>2955</v>
      </c>
      <c r="J7900" s="67">
        <v>3040</v>
      </c>
      <c r="K7900" s="62">
        <v>32062.44</v>
      </c>
      <c r="L7900" s="33" t="e">
        <f>HLOOKUP(B7900,#REF!,1,0)</f>
        <v>#REF!</v>
      </c>
      <c r="M7900" s="33" t="str">
        <f t="shared" si="495"/>
        <v>P&amp;L</v>
      </c>
    </row>
    <row r="7901" spans="1:13">
      <c r="A7901" s="33" t="str">
        <f t="shared" si="492"/>
        <v>SCL - CGS</v>
      </c>
      <c r="B7901" s="33" t="str">
        <f t="shared" si="493"/>
        <v>SCL</v>
      </c>
      <c r="C7901" s="33" t="str">
        <f t="shared" si="494"/>
        <v>53003-8150</v>
      </c>
      <c r="D7901" s="64" t="s">
        <v>9150</v>
      </c>
      <c r="E7901" s="64" t="s">
        <v>2954</v>
      </c>
      <c r="F7901" s="64" t="s">
        <v>15</v>
      </c>
      <c r="G7901" s="64" t="s">
        <v>2921</v>
      </c>
      <c r="H7901" s="64" t="s">
        <v>1875</v>
      </c>
      <c r="I7901" s="64" t="s">
        <v>2955</v>
      </c>
      <c r="J7901" s="67">
        <v>3157</v>
      </c>
      <c r="K7901" s="62">
        <v>22999.05</v>
      </c>
      <c r="L7901" s="33" t="e">
        <f>HLOOKUP(B7901,#REF!,1,0)</f>
        <v>#REF!</v>
      </c>
      <c r="M7901" s="33" t="str">
        <f t="shared" si="495"/>
        <v>P&amp;L</v>
      </c>
    </row>
    <row r="7902" spans="1:13">
      <c r="A7902" s="33" t="str">
        <f t="shared" si="492"/>
        <v>SCL - CGS</v>
      </c>
      <c r="B7902" s="33" t="str">
        <f t="shared" si="493"/>
        <v>SCL</v>
      </c>
      <c r="C7902" s="33" t="str">
        <f t="shared" si="494"/>
        <v>53004-7351</v>
      </c>
      <c r="D7902" s="64" t="s">
        <v>9151</v>
      </c>
      <c r="E7902" s="64" t="s">
        <v>2960</v>
      </c>
      <c r="F7902" s="64" t="s">
        <v>15</v>
      </c>
      <c r="G7902" s="64" t="s">
        <v>2921</v>
      </c>
      <c r="H7902" s="64" t="s">
        <v>1875</v>
      </c>
      <c r="I7902" s="64" t="s">
        <v>2961</v>
      </c>
      <c r="J7902" s="67">
        <v>1250.97</v>
      </c>
      <c r="K7902" s="62">
        <v>7117.76</v>
      </c>
      <c r="L7902" s="33" t="e">
        <f>HLOOKUP(B7902,#REF!,1,0)</f>
        <v>#REF!</v>
      </c>
      <c r="M7902" s="33" t="str">
        <f t="shared" si="495"/>
        <v>P&amp;L</v>
      </c>
    </row>
    <row r="7903" spans="1:13">
      <c r="A7903" s="33" t="str">
        <f t="shared" si="492"/>
        <v>SCL - CGS</v>
      </c>
      <c r="B7903" s="33" t="str">
        <f t="shared" si="493"/>
        <v>SCL</v>
      </c>
      <c r="C7903" s="33" t="str">
        <f t="shared" si="494"/>
        <v>53004-7352</v>
      </c>
      <c r="D7903" s="64" t="s">
        <v>9152</v>
      </c>
      <c r="E7903" s="64" t="s">
        <v>2960</v>
      </c>
      <c r="F7903" s="64" t="s">
        <v>15</v>
      </c>
      <c r="G7903" s="64" t="s">
        <v>2921</v>
      </c>
      <c r="H7903" s="64" t="s">
        <v>1875</v>
      </c>
      <c r="I7903" s="64" t="s">
        <v>2961</v>
      </c>
      <c r="J7903" s="67">
        <v>0</v>
      </c>
      <c r="K7903" s="62">
        <v>-187.8</v>
      </c>
      <c r="L7903" s="33" t="e">
        <f>HLOOKUP(B7903,#REF!,1,0)</f>
        <v>#REF!</v>
      </c>
      <c r="M7903" s="33" t="str">
        <f t="shared" si="495"/>
        <v>P&amp;L</v>
      </c>
    </row>
    <row r="7904" spans="1:13">
      <c r="A7904" s="33" t="str">
        <f t="shared" si="492"/>
        <v>SCL - CGS</v>
      </c>
      <c r="B7904" s="33" t="str">
        <f t="shared" si="493"/>
        <v>SCL</v>
      </c>
      <c r="C7904" s="33" t="str">
        <f t="shared" si="494"/>
        <v>53004-7355</v>
      </c>
      <c r="D7904" s="64" t="s">
        <v>9153</v>
      </c>
      <c r="E7904" s="64" t="s">
        <v>2960</v>
      </c>
      <c r="F7904" s="64" t="s">
        <v>15</v>
      </c>
      <c r="G7904" s="64" t="s">
        <v>2921</v>
      </c>
      <c r="H7904" s="64" t="s">
        <v>1875</v>
      </c>
      <c r="I7904" s="64" t="s">
        <v>2961</v>
      </c>
      <c r="J7904" s="67">
        <v>625.01</v>
      </c>
      <c r="K7904" s="62">
        <v>7575.42</v>
      </c>
      <c r="L7904" s="33" t="e">
        <f>HLOOKUP(B7904,#REF!,1,0)</f>
        <v>#REF!</v>
      </c>
      <c r="M7904" s="33" t="str">
        <f t="shared" si="495"/>
        <v>P&amp;L</v>
      </c>
    </row>
    <row r="7905" spans="1:13">
      <c r="A7905" s="33" t="str">
        <f t="shared" si="492"/>
        <v>SCL - CGS</v>
      </c>
      <c r="B7905" s="33" t="str">
        <f t="shared" si="493"/>
        <v>SCL</v>
      </c>
      <c r="C7905" s="33" t="str">
        <f t="shared" si="494"/>
        <v>53004-7356</v>
      </c>
      <c r="D7905" s="64" t="s">
        <v>9154</v>
      </c>
      <c r="E7905" s="64" t="s">
        <v>2960</v>
      </c>
      <c r="F7905" s="64" t="s">
        <v>15</v>
      </c>
      <c r="G7905" s="64" t="s">
        <v>2921</v>
      </c>
      <c r="H7905" s="64" t="s">
        <v>1875</v>
      </c>
      <c r="I7905" s="64" t="s">
        <v>2961</v>
      </c>
      <c r="J7905" s="67">
        <v>0</v>
      </c>
      <c r="K7905" s="62">
        <v>740.67</v>
      </c>
      <c r="L7905" s="33" t="e">
        <f>HLOOKUP(B7905,#REF!,1,0)</f>
        <v>#REF!</v>
      </c>
      <c r="M7905" s="33" t="str">
        <f t="shared" si="495"/>
        <v>P&amp;L</v>
      </c>
    </row>
    <row r="7906" spans="1:13">
      <c r="A7906" s="33" t="str">
        <f t="shared" si="492"/>
        <v>SCL - CGS</v>
      </c>
      <c r="B7906" s="33" t="str">
        <f t="shared" si="493"/>
        <v>SCL</v>
      </c>
      <c r="C7906" s="33" t="str">
        <f t="shared" si="494"/>
        <v>53004-7359</v>
      </c>
      <c r="D7906" s="64" t="s">
        <v>9155</v>
      </c>
      <c r="E7906" s="64" t="s">
        <v>2960</v>
      </c>
      <c r="F7906" s="64" t="s">
        <v>15</v>
      </c>
      <c r="G7906" s="64" t="s">
        <v>2921</v>
      </c>
      <c r="H7906" s="64" t="s">
        <v>1875</v>
      </c>
      <c r="I7906" s="64" t="s">
        <v>2961</v>
      </c>
      <c r="J7906" s="67">
        <v>550.26</v>
      </c>
      <c r="K7906" s="62">
        <v>7190.16</v>
      </c>
      <c r="L7906" s="33" t="e">
        <f>HLOOKUP(B7906,#REF!,1,0)</f>
        <v>#REF!</v>
      </c>
      <c r="M7906" s="33" t="str">
        <f t="shared" si="495"/>
        <v>P&amp;L</v>
      </c>
    </row>
    <row r="7907" spans="1:13">
      <c r="A7907" s="33" t="str">
        <f t="shared" si="492"/>
        <v>SCL - CGS</v>
      </c>
      <c r="B7907" s="33" t="str">
        <f t="shared" si="493"/>
        <v>SCL</v>
      </c>
      <c r="C7907" s="33" t="str">
        <f t="shared" si="494"/>
        <v>53004-7360</v>
      </c>
      <c r="D7907" s="64" t="s">
        <v>9156</v>
      </c>
      <c r="E7907" s="64" t="s">
        <v>2960</v>
      </c>
      <c r="F7907" s="64" t="s">
        <v>15</v>
      </c>
      <c r="G7907" s="64" t="s">
        <v>2921</v>
      </c>
      <c r="H7907" s="64" t="s">
        <v>1875</v>
      </c>
      <c r="I7907" s="64" t="s">
        <v>2961</v>
      </c>
      <c r="J7907" s="67">
        <v>557.72</v>
      </c>
      <c r="K7907" s="62">
        <v>5712.07</v>
      </c>
      <c r="L7907" s="33" t="e">
        <f>HLOOKUP(B7907,#REF!,1,0)</f>
        <v>#REF!</v>
      </c>
      <c r="M7907" s="33" t="str">
        <f t="shared" si="495"/>
        <v>P&amp;L</v>
      </c>
    </row>
    <row r="7908" spans="1:13">
      <c r="A7908" s="33" t="str">
        <f t="shared" si="492"/>
        <v>SCL - CGS</v>
      </c>
      <c r="B7908" s="33" t="str">
        <f t="shared" si="493"/>
        <v>SCL</v>
      </c>
      <c r="C7908" s="33" t="str">
        <f t="shared" si="494"/>
        <v>53004-7361</v>
      </c>
      <c r="D7908" s="64" t="s">
        <v>9157</v>
      </c>
      <c r="E7908" s="64" t="s">
        <v>2960</v>
      </c>
      <c r="F7908" s="64" t="s">
        <v>15</v>
      </c>
      <c r="G7908" s="64" t="s">
        <v>2921</v>
      </c>
      <c r="H7908" s="64" t="s">
        <v>1875</v>
      </c>
      <c r="I7908" s="64" t="s">
        <v>2961</v>
      </c>
      <c r="J7908" s="67">
        <v>560.4</v>
      </c>
      <c r="K7908" s="62">
        <v>8458.77</v>
      </c>
      <c r="L7908" s="33" t="e">
        <f>HLOOKUP(B7908,#REF!,1,0)</f>
        <v>#REF!</v>
      </c>
      <c r="M7908" s="33" t="str">
        <f t="shared" si="495"/>
        <v>P&amp;L</v>
      </c>
    </row>
    <row r="7909" spans="1:13">
      <c r="A7909" s="33" t="str">
        <f t="shared" si="492"/>
        <v>SCL - CGS</v>
      </c>
      <c r="B7909" s="33" t="str">
        <f t="shared" si="493"/>
        <v>SCL</v>
      </c>
      <c r="C7909" s="33" t="str">
        <f t="shared" si="494"/>
        <v>53004-7362</v>
      </c>
      <c r="D7909" s="64" t="s">
        <v>9158</v>
      </c>
      <c r="E7909" s="64" t="s">
        <v>2960</v>
      </c>
      <c r="F7909" s="64" t="s">
        <v>15</v>
      </c>
      <c r="G7909" s="64" t="s">
        <v>2921</v>
      </c>
      <c r="H7909" s="64" t="s">
        <v>1875</v>
      </c>
      <c r="I7909" s="64" t="s">
        <v>2961</v>
      </c>
      <c r="J7909" s="67">
        <v>40.23</v>
      </c>
      <c r="K7909" s="62">
        <v>9187.99</v>
      </c>
      <c r="L7909" s="33" t="e">
        <f>HLOOKUP(B7909,#REF!,1,0)</f>
        <v>#REF!</v>
      </c>
      <c r="M7909" s="33" t="str">
        <f t="shared" si="495"/>
        <v>P&amp;L</v>
      </c>
    </row>
    <row r="7910" spans="1:13">
      <c r="A7910" s="33" t="str">
        <f t="shared" si="492"/>
        <v>SCL - CGS</v>
      </c>
      <c r="B7910" s="33" t="str">
        <f t="shared" si="493"/>
        <v>SCL</v>
      </c>
      <c r="C7910" s="33" t="str">
        <f t="shared" si="494"/>
        <v>53004-7363</v>
      </c>
      <c r="D7910" s="64" t="s">
        <v>9159</v>
      </c>
      <c r="E7910" s="64" t="s">
        <v>2960</v>
      </c>
      <c r="F7910" s="64" t="s">
        <v>15</v>
      </c>
      <c r="G7910" s="64" t="s">
        <v>2921</v>
      </c>
      <c r="H7910" s="64" t="s">
        <v>1875</v>
      </c>
      <c r="I7910" s="64" t="s">
        <v>2961</v>
      </c>
      <c r="J7910" s="67">
        <v>1048.52</v>
      </c>
      <c r="K7910" s="62">
        <v>4935.71</v>
      </c>
      <c r="L7910" s="33" t="e">
        <f>HLOOKUP(B7910,#REF!,1,0)</f>
        <v>#REF!</v>
      </c>
      <c r="M7910" s="33" t="str">
        <f t="shared" si="495"/>
        <v>P&amp;L</v>
      </c>
    </row>
    <row r="7911" spans="1:13">
      <c r="A7911" s="33" t="str">
        <f t="shared" si="492"/>
        <v>SCL - CGS</v>
      </c>
      <c r="B7911" s="33" t="str">
        <f t="shared" si="493"/>
        <v>SCL</v>
      </c>
      <c r="C7911" s="33" t="str">
        <f t="shared" si="494"/>
        <v>53004-7364</v>
      </c>
      <c r="D7911" s="64" t="s">
        <v>9160</v>
      </c>
      <c r="E7911" s="64" t="s">
        <v>2960</v>
      </c>
      <c r="F7911" s="64" t="s">
        <v>15</v>
      </c>
      <c r="G7911" s="64" t="s">
        <v>2921</v>
      </c>
      <c r="H7911" s="64" t="s">
        <v>1875</v>
      </c>
      <c r="I7911" s="64" t="s">
        <v>2961</v>
      </c>
      <c r="J7911" s="67">
        <v>1013.67</v>
      </c>
      <c r="K7911" s="62">
        <v>8512.73</v>
      </c>
      <c r="L7911" s="33" t="e">
        <f>HLOOKUP(B7911,#REF!,1,0)</f>
        <v>#REF!</v>
      </c>
      <c r="M7911" s="33" t="str">
        <f t="shared" si="495"/>
        <v>P&amp;L</v>
      </c>
    </row>
    <row r="7912" spans="1:13">
      <c r="A7912" s="33" t="str">
        <f t="shared" si="492"/>
        <v>SCL - CGS</v>
      </c>
      <c r="B7912" s="33" t="str">
        <f t="shared" si="493"/>
        <v>SCL</v>
      </c>
      <c r="C7912" s="33" t="str">
        <f t="shared" si="494"/>
        <v>53004-7365</v>
      </c>
      <c r="D7912" s="64" t="s">
        <v>9161</v>
      </c>
      <c r="E7912" s="64" t="s">
        <v>2960</v>
      </c>
      <c r="F7912" s="64" t="s">
        <v>15</v>
      </c>
      <c r="G7912" s="64" t="s">
        <v>2921</v>
      </c>
      <c r="H7912" s="64" t="s">
        <v>1875</v>
      </c>
      <c r="I7912" s="64" t="s">
        <v>2961</v>
      </c>
      <c r="J7912" s="67">
        <v>375.64</v>
      </c>
      <c r="K7912" s="62">
        <v>12041.89</v>
      </c>
      <c r="L7912" s="33" t="e">
        <f>HLOOKUP(B7912,#REF!,1,0)</f>
        <v>#REF!</v>
      </c>
      <c r="M7912" s="33" t="str">
        <f t="shared" si="495"/>
        <v>P&amp;L</v>
      </c>
    </row>
    <row r="7913" spans="1:13">
      <c r="A7913" s="33" t="str">
        <f t="shared" si="492"/>
        <v>SCL - CGS</v>
      </c>
      <c r="B7913" s="33" t="str">
        <f t="shared" si="493"/>
        <v>SCL</v>
      </c>
      <c r="C7913" s="33" t="str">
        <f t="shared" si="494"/>
        <v>53004-7366</v>
      </c>
      <c r="D7913" s="64" t="s">
        <v>9162</v>
      </c>
      <c r="E7913" s="64" t="s">
        <v>2960</v>
      </c>
      <c r="F7913" s="64" t="s">
        <v>15</v>
      </c>
      <c r="G7913" s="64" t="s">
        <v>2921</v>
      </c>
      <c r="H7913" s="64" t="s">
        <v>1875</v>
      </c>
      <c r="I7913" s="64" t="s">
        <v>2961</v>
      </c>
      <c r="J7913" s="67">
        <v>241.22</v>
      </c>
      <c r="K7913" s="62">
        <v>3586.27</v>
      </c>
      <c r="L7913" s="33" t="e">
        <f>HLOOKUP(B7913,#REF!,1,0)</f>
        <v>#REF!</v>
      </c>
      <c r="M7913" s="33" t="str">
        <f t="shared" si="495"/>
        <v>P&amp;L</v>
      </c>
    </row>
    <row r="7914" spans="1:13">
      <c r="A7914" s="33" t="str">
        <f t="shared" si="492"/>
        <v>SCL - CGS</v>
      </c>
      <c r="B7914" s="33" t="str">
        <f t="shared" si="493"/>
        <v>SCL</v>
      </c>
      <c r="C7914" s="33" t="str">
        <f t="shared" si="494"/>
        <v>53004-7368</v>
      </c>
      <c r="D7914" s="64" t="s">
        <v>9163</v>
      </c>
      <c r="E7914" s="64" t="s">
        <v>2960</v>
      </c>
      <c r="F7914" s="64" t="s">
        <v>15</v>
      </c>
      <c r="G7914" s="64" t="s">
        <v>2921</v>
      </c>
      <c r="H7914" s="64" t="s">
        <v>1875</v>
      </c>
      <c r="I7914" s="64" t="s">
        <v>2961</v>
      </c>
      <c r="J7914" s="67">
        <v>774.6</v>
      </c>
      <c r="K7914" s="62">
        <v>8230.63</v>
      </c>
      <c r="L7914" s="33" t="e">
        <f>HLOOKUP(B7914,#REF!,1,0)</f>
        <v>#REF!</v>
      </c>
      <c r="M7914" s="33" t="str">
        <f t="shared" si="495"/>
        <v>P&amp;L</v>
      </c>
    </row>
    <row r="7915" spans="1:13">
      <c r="A7915" s="33" t="str">
        <f t="shared" si="492"/>
        <v>SCL - CGS</v>
      </c>
      <c r="B7915" s="33" t="str">
        <f t="shared" si="493"/>
        <v>SCL</v>
      </c>
      <c r="C7915" s="33" t="str">
        <f t="shared" si="494"/>
        <v>53004-7369</v>
      </c>
      <c r="D7915" s="64" t="s">
        <v>9164</v>
      </c>
      <c r="E7915" s="64" t="s">
        <v>2960</v>
      </c>
      <c r="F7915" s="64" t="s">
        <v>15</v>
      </c>
      <c r="G7915" s="64" t="s">
        <v>2921</v>
      </c>
      <c r="H7915" s="64" t="s">
        <v>1875</v>
      </c>
      <c r="I7915" s="64" t="s">
        <v>2961</v>
      </c>
      <c r="J7915" s="67">
        <v>1162.69</v>
      </c>
      <c r="K7915" s="62">
        <v>12130.45</v>
      </c>
      <c r="L7915" s="33" t="e">
        <f>HLOOKUP(B7915,#REF!,1,0)</f>
        <v>#REF!</v>
      </c>
      <c r="M7915" s="33" t="str">
        <f t="shared" si="495"/>
        <v>P&amp;L</v>
      </c>
    </row>
    <row r="7916" spans="1:13">
      <c r="A7916" s="33" t="str">
        <f t="shared" si="492"/>
        <v>SCL - CGS</v>
      </c>
      <c r="B7916" s="33" t="str">
        <f t="shared" si="493"/>
        <v>SCL</v>
      </c>
      <c r="C7916" s="33" t="str">
        <f t="shared" si="494"/>
        <v>53004-7371</v>
      </c>
      <c r="D7916" s="64" t="s">
        <v>9165</v>
      </c>
      <c r="E7916" s="64" t="s">
        <v>2960</v>
      </c>
      <c r="F7916" s="64" t="s">
        <v>15</v>
      </c>
      <c r="G7916" s="64" t="s">
        <v>2921</v>
      </c>
      <c r="H7916" s="64" t="s">
        <v>1875</v>
      </c>
      <c r="I7916" s="64" t="s">
        <v>2961</v>
      </c>
      <c r="J7916" s="67">
        <v>936.3</v>
      </c>
      <c r="K7916" s="62">
        <v>8317.95</v>
      </c>
      <c r="L7916" s="33" t="e">
        <f>HLOOKUP(B7916,#REF!,1,0)</f>
        <v>#REF!</v>
      </c>
      <c r="M7916" s="33" t="str">
        <f t="shared" si="495"/>
        <v>P&amp;L</v>
      </c>
    </row>
    <row r="7917" spans="1:13">
      <c r="A7917" s="33" t="str">
        <f t="shared" si="492"/>
        <v>SCL - CGS</v>
      </c>
      <c r="B7917" s="33" t="str">
        <f t="shared" si="493"/>
        <v>SCL</v>
      </c>
      <c r="C7917" s="33" t="str">
        <f t="shared" si="494"/>
        <v>53004-7374</v>
      </c>
      <c r="D7917" s="64" t="s">
        <v>9166</v>
      </c>
      <c r="E7917" s="64" t="s">
        <v>2960</v>
      </c>
      <c r="F7917" s="64" t="s">
        <v>15</v>
      </c>
      <c r="G7917" s="64" t="s">
        <v>2921</v>
      </c>
      <c r="H7917" s="64" t="s">
        <v>1875</v>
      </c>
      <c r="I7917" s="64" t="s">
        <v>2961</v>
      </c>
      <c r="J7917" s="67">
        <v>1167.3</v>
      </c>
      <c r="K7917" s="62">
        <v>9343.5</v>
      </c>
      <c r="L7917" s="33" t="e">
        <f>HLOOKUP(B7917,#REF!,1,0)</f>
        <v>#REF!</v>
      </c>
      <c r="M7917" s="33" t="str">
        <f t="shared" si="495"/>
        <v>P&amp;L</v>
      </c>
    </row>
    <row r="7918" spans="1:13">
      <c r="A7918" s="33" t="str">
        <f t="shared" si="492"/>
        <v>SCL - CGS</v>
      </c>
      <c r="B7918" s="33" t="str">
        <f t="shared" si="493"/>
        <v>SCL</v>
      </c>
      <c r="C7918" s="33" t="str">
        <f t="shared" si="494"/>
        <v>53004-7375</v>
      </c>
      <c r="D7918" s="64" t="s">
        <v>9167</v>
      </c>
      <c r="E7918" s="64" t="s">
        <v>2960</v>
      </c>
      <c r="F7918" s="64" t="s">
        <v>15</v>
      </c>
      <c r="G7918" s="64" t="s">
        <v>2921</v>
      </c>
      <c r="H7918" s="64" t="s">
        <v>1875</v>
      </c>
      <c r="I7918" s="64" t="s">
        <v>2961</v>
      </c>
      <c r="J7918" s="67">
        <v>678.3</v>
      </c>
      <c r="K7918" s="62">
        <v>5892.11</v>
      </c>
      <c r="L7918" s="33" t="e">
        <f>HLOOKUP(B7918,#REF!,1,0)</f>
        <v>#REF!</v>
      </c>
      <c r="M7918" s="33" t="str">
        <f t="shared" si="495"/>
        <v>P&amp;L</v>
      </c>
    </row>
    <row r="7919" spans="1:13">
      <c r="A7919" s="33" t="str">
        <f t="shared" si="492"/>
        <v>SCL - CGS</v>
      </c>
      <c r="B7919" s="33" t="str">
        <f t="shared" si="493"/>
        <v>SCL</v>
      </c>
      <c r="C7919" s="33" t="str">
        <f t="shared" si="494"/>
        <v>53004-7376</v>
      </c>
      <c r="D7919" s="64" t="s">
        <v>9168</v>
      </c>
      <c r="E7919" s="64" t="s">
        <v>2960</v>
      </c>
      <c r="F7919" s="64" t="s">
        <v>15</v>
      </c>
      <c r="G7919" s="64" t="s">
        <v>2921</v>
      </c>
      <c r="H7919" s="64" t="s">
        <v>1875</v>
      </c>
      <c r="I7919" s="64" t="s">
        <v>2961</v>
      </c>
      <c r="J7919" s="67">
        <v>955.6</v>
      </c>
      <c r="K7919" s="62">
        <v>14411.05</v>
      </c>
      <c r="L7919" s="33" t="e">
        <f>HLOOKUP(B7919,#REF!,1,0)</f>
        <v>#REF!</v>
      </c>
      <c r="M7919" s="33" t="str">
        <f t="shared" si="495"/>
        <v>P&amp;L</v>
      </c>
    </row>
    <row r="7920" spans="1:13">
      <c r="A7920" s="33" t="str">
        <f t="shared" si="492"/>
        <v>SCL - CGS</v>
      </c>
      <c r="B7920" s="33" t="str">
        <f t="shared" si="493"/>
        <v>SCL</v>
      </c>
      <c r="C7920" s="33" t="str">
        <f t="shared" si="494"/>
        <v>53004-7377</v>
      </c>
      <c r="D7920" s="64" t="s">
        <v>9169</v>
      </c>
      <c r="E7920" s="64" t="s">
        <v>2960</v>
      </c>
      <c r="F7920" s="64" t="s">
        <v>15</v>
      </c>
      <c r="G7920" s="64" t="s">
        <v>2921</v>
      </c>
      <c r="H7920" s="64" t="s">
        <v>1875</v>
      </c>
      <c r="I7920" s="64" t="s">
        <v>2961</v>
      </c>
      <c r="J7920" s="67">
        <v>1459.73</v>
      </c>
      <c r="K7920" s="62">
        <v>15300.59</v>
      </c>
      <c r="L7920" s="33" t="e">
        <f>HLOOKUP(B7920,#REF!,1,0)</f>
        <v>#REF!</v>
      </c>
      <c r="M7920" s="33" t="str">
        <f t="shared" si="495"/>
        <v>P&amp;L</v>
      </c>
    </row>
    <row r="7921" spans="1:13">
      <c r="A7921" s="33" t="str">
        <f t="shared" si="492"/>
        <v>SCL - CGS</v>
      </c>
      <c r="B7921" s="33" t="str">
        <f t="shared" si="493"/>
        <v>SCL</v>
      </c>
      <c r="C7921" s="33" t="str">
        <f t="shared" si="494"/>
        <v>53004-7378</v>
      </c>
      <c r="D7921" s="64" t="s">
        <v>9170</v>
      </c>
      <c r="E7921" s="64" t="s">
        <v>2960</v>
      </c>
      <c r="F7921" s="64" t="s">
        <v>15</v>
      </c>
      <c r="G7921" s="64" t="s">
        <v>2921</v>
      </c>
      <c r="H7921" s="64" t="s">
        <v>1875</v>
      </c>
      <c r="I7921" s="64" t="s">
        <v>2961</v>
      </c>
      <c r="J7921" s="67">
        <v>1523.34</v>
      </c>
      <c r="K7921" s="62">
        <v>14073.49</v>
      </c>
      <c r="L7921" s="33" t="e">
        <f>HLOOKUP(B7921,#REF!,1,0)</f>
        <v>#REF!</v>
      </c>
      <c r="M7921" s="33" t="str">
        <f t="shared" si="495"/>
        <v>P&amp;L</v>
      </c>
    </row>
    <row r="7922" spans="1:13">
      <c r="A7922" s="33" t="str">
        <f t="shared" si="492"/>
        <v>SCL - CGS</v>
      </c>
      <c r="B7922" s="33" t="str">
        <f t="shared" si="493"/>
        <v>SCL</v>
      </c>
      <c r="C7922" s="33" t="str">
        <f t="shared" si="494"/>
        <v>53004-7379</v>
      </c>
      <c r="D7922" s="64" t="s">
        <v>9171</v>
      </c>
      <c r="E7922" s="64" t="s">
        <v>2960</v>
      </c>
      <c r="F7922" s="64" t="s">
        <v>15</v>
      </c>
      <c r="G7922" s="64" t="s">
        <v>2921</v>
      </c>
      <c r="H7922" s="64" t="s">
        <v>1875</v>
      </c>
      <c r="I7922" s="64" t="s">
        <v>2961</v>
      </c>
      <c r="J7922" s="67">
        <v>648.22</v>
      </c>
      <c r="K7922" s="62">
        <v>5692.7</v>
      </c>
      <c r="L7922" s="33" t="e">
        <f>HLOOKUP(B7922,#REF!,1,0)</f>
        <v>#REF!</v>
      </c>
      <c r="M7922" s="33" t="str">
        <f t="shared" si="495"/>
        <v>P&amp;L</v>
      </c>
    </row>
    <row r="7923" spans="1:13">
      <c r="A7923" s="33" t="str">
        <f t="shared" si="492"/>
        <v>SCL - CGS</v>
      </c>
      <c r="B7923" s="33" t="str">
        <f t="shared" si="493"/>
        <v>SCL</v>
      </c>
      <c r="C7923" s="33" t="str">
        <f t="shared" si="494"/>
        <v>53004-7380</v>
      </c>
      <c r="D7923" s="64" t="s">
        <v>9172</v>
      </c>
      <c r="E7923" s="64" t="s">
        <v>2960</v>
      </c>
      <c r="F7923" s="64" t="s">
        <v>15</v>
      </c>
      <c r="G7923" s="64" t="s">
        <v>2921</v>
      </c>
      <c r="H7923" s="64" t="s">
        <v>1875</v>
      </c>
      <c r="I7923" s="64" t="s">
        <v>2961</v>
      </c>
      <c r="J7923" s="67">
        <v>1028.28</v>
      </c>
      <c r="K7923" s="62">
        <v>11403.96</v>
      </c>
      <c r="L7923" s="33" t="e">
        <f>HLOOKUP(B7923,#REF!,1,0)</f>
        <v>#REF!</v>
      </c>
      <c r="M7923" s="33" t="str">
        <f t="shared" si="495"/>
        <v>P&amp;L</v>
      </c>
    </row>
    <row r="7924" spans="1:13">
      <c r="A7924" s="33" t="str">
        <f t="shared" si="492"/>
        <v>SCL - CGS</v>
      </c>
      <c r="B7924" s="33" t="str">
        <f t="shared" si="493"/>
        <v>SCL</v>
      </c>
      <c r="C7924" s="33" t="str">
        <f t="shared" si="494"/>
        <v>53004-7381</v>
      </c>
      <c r="D7924" s="64" t="s">
        <v>9173</v>
      </c>
      <c r="E7924" s="64" t="s">
        <v>2960</v>
      </c>
      <c r="F7924" s="64" t="s">
        <v>15</v>
      </c>
      <c r="G7924" s="64" t="s">
        <v>2921</v>
      </c>
      <c r="H7924" s="64" t="s">
        <v>1875</v>
      </c>
      <c r="I7924" s="64" t="s">
        <v>2961</v>
      </c>
      <c r="J7924" s="67">
        <v>43.61</v>
      </c>
      <c r="K7924" s="62">
        <v>4671.76</v>
      </c>
      <c r="L7924" s="33" t="e">
        <f>HLOOKUP(B7924,#REF!,1,0)</f>
        <v>#REF!</v>
      </c>
      <c r="M7924" s="33" t="str">
        <f t="shared" si="495"/>
        <v>P&amp;L</v>
      </c>
    </row>
    <row r="7925" spans="1:13">
      <c r="A7925" s="33" t="str">
        <f t="shared" si="492"/>
        <v>SCL - CGS</v>
      </c>
      <c r="B7925" s="33" t="str">
        <f t="shared" si="493"/>
        <v>SCL</v>
      </c>
      <c r="C7925" s="33" t="str">
        <f t="shared" si="494"/>
        <v>53004-7383</v>
      </c>
      <c r="D7925" s="64" t="s">
        <v>9174</v>
      </c>
      <c r="E7925" s="64" t="s">
        <v>2960</v>
      </c>
      <c r="F7925" s="64" t="s">
        <v>15</v>
      </c>
      <c r="G7925" s="64" t="s">
        <v>2921</v>
      </c>
      <c r="H7925" s="64" t="s">
        <v>1875</v>
      </c>
      <c r="I7925" s="64" t="s">
        <v>2961</v>
      </c>
      <c r="J7925" s="67">
        <v>409.92</v>
      </c>
      <c r="K7925" s="62">
        <v>3650.49</v>
      </c>
      <c r="L7925" s="33" t="e">
        <f>HLOOKUP(B7925,#REF!,1,0)</f>
        <v>#REF!</v>
      </c>
      <c r="M7925" s="33" t="str">
        <f t="shared" si="495"/>
        <v>P&amp;L</v>
      </c>
    </row>
    <row r="7926" spans="1:13">
      <c r="A7926" s="33" t="str">
        <f t="shared" si="492"/>
        <v>SCL - CGS</v>
      </c>
      <c r="B7926" s="33" t="str">
        <f t="shared" si="493"/>
        <v>SCL</v>
      </c>
      <c r="C7926" s="33" t="str">
        <f t="shared" si="494"/>
        <v>53004-7385</v>
      </c>
      <c r="D7926" s="64" t="s">
        <v>9175</v>
      </c>
      <c r="E7926" s="64" t="s">
        <v>2960</v>
      </c>
      <c r="F7926" s="64" t="s">
        <v>15</v>
      </c>
      <c r="G7926" s="64" t="s">
        <v>2921</v>
      </c>
      <c r="H7926" s="64" t="s">
        <v>1875</v>
      </c>
      <c r="I7926" s="64" t="s">
        <v>2961</v>
      </c>
      <c r="J7926" s="67">
        <v>1494.53</v>
      </c>
      <c r="K7926" s="62">
        <v>14449.78</v>
      </c>
      <c r="L7926" s="33" t="e">
        <f>HLOOKUP(B7926,#REF!,1,0)</f>
        <v>#REF!</v>
      </c>
      <c r="M7926" s="33" t="str">
        <f t="shared" si="495"/>
        <v>P&amp;L</v>
      </c>
    </row>
    <row r="7927" spans="1:13">
      <c r="A7927" s="33" t="str">
        <f t="shared" si="492"/>
        <v>SCL - CGS</v>
      </c>
      <c r="B7927" s="33" t="str">
        <f t="shared" si="493"/>
        <v>SCL</v>
      </c>
      <c r="C7927" s="33" t="str">
        <f t="shared" si="494"/>
        <v>53004-7386</v>
      </c>
      <c r="D7927" s="64" t="s">
        <v>9176</v>
      </c>
      <c r="E7927" s="64" t="s">
        <v>2960</v>
      </c>
      <c r="F7927" s="64" t="s">
        <v>15</v>
      </c>
      <c r="G7927" s="64" t="s">
        <v>2921</v>
      </c>
      <c r="H7927" s="64" t="s">
        <v>1875</v>
      </c>
      <c r="I7927" s="64" t="s">
        <v>2961</v>
      </c>
      <c r="J7927" s="67">
        <v>663.8</v>
      </c>
      <c r="K7927" s="62">
        <v>4099.39</v>
      </c>
      <c r="L7927" s="33" t="e">
        <f>HLOOKUP(B7927,#REF!,1,0)</f>
        <v>#REF!</v>
      </c>
      <c r="M7927" s="33" t="str">
        <f t="shared" si="495"/>
        <v>P&amp;L</v>
      </c>
    </row>
    <row r="7928" spans="1:13">
      <c r="A7928" s="33" t="str">
        <f t="shared" si="492"/>
        <v>SCL - CGS</v>
      </c>
      <c r="B7928" s="33" t="str">
        <f t="shared" si="493"/>
        <v>SCL</v>
      </c>
      <c r="C7928" s="33" t="str">
        <f t="shared" si="494"/>
        <v>53004-7387</v>
      </c>
      <c r="D7928" s="64" t="s">
        <v>9177</v>
      </c>
      <c r="E7928" s="64" t="s">
        <v>2960</v>
      </c>
      <c r="F7928" s="64" t="s">
        <v>15</v>
      </c>
      <c r="G7928" s="64" t="s">
        <v>2921</v>
      </c>
      <c r="H7928" s="64" t="s">
        <v>1875</v>
      </c>
      <c r="I7928" s="64" t="s">
        <v>2961</v>
      </c>
      <c r="J7928" s="67">
        <v>798.84</v>
      </c>
      <c r="K7928" s="62">
        <v>12081.28</v>
      </c>
      <c r="L7928" s="33" t="e">
        <f>HLOOKUP(B7928,#REF!,1,0)</f>
        <v>#REF!</v>
      </c>
      <c r="M7928" s="33" t="str">
        <f t="shared" si="495"/>
        <v>P&amp;L</v>
      </c>
    </row>
    <row r="7929" spans="1:13">
      <c r="A7929" s="33" t="str">
        <f t="shared" si="492"/>
        <v>SCL - CGS</v>
      </c>
      <c r="B7929" s="33" t="str">
        <f t="shared" si="493"/>
        <v>SCL</v>
      </c>
      <c r="C7929" s="33" t="str">
        <f t="shared" si="494"/>
        <v>53004-7389</v>
      </c>
      <c r="D7929" s="64" t="s">
        <v>9178</v>
      </c>
      <c r="E7929" s="64" t="s">
        <v>2960</v>
      </c>
      <c r="F7929" s="64" t="s">
        <v>15</v>
      </c>
      <c r="G7929" s="64" t="s">
        <v>2921</v>
      </c>
      <c r="H7929" s="64" t="s">
        <v>1875</v>
      </c>
      <c r="I7929" s="64" t="s">
        <v>2961</v>
      </c>
      <c r="J7929" s="67">
        <v>828.16</v>
      </c>
      <c r="K7929" s="62">
        <v>10457.38</v>
      </c>
      <c r="L7929" s="33" t="e">
        <f>HLOOKUP(B7929,#REF!,1,0)</f>
        <v>#REF!</v>
      </c>
      <c r="M7929" s="33" t="str">
        <f t="shared" si="495"/>
        <v>P&amp;L</v>
      </c>
    </row>
    <row r="7930" spans="1:13">
      <c r="A7930" s="33" t="str">
        <f t="shared" si="492"/>
        <v>SCL - CGS</v>
      </c>
      <c r="B7930" s="33" t="str">
        <f t="shared" si="493"/>
        <v>SCL</v>
      </c>
      <c r="C7930" s="33" t="str">
        <f t="shared" si="494"/>
        <v>53004-7391</v>
      </c>
      <c r="D7930" s="64" t="s">
        <v>9179</v>
      </c>
      <c r="E7930" s="64" t="s">
        <v>2960</v>
      </c>
      <c r="F7930" s="64" t="s">
        <v>15</v>
      </c>
      <c r="G7930" s="64" t="s">
        <v>2921</v>
      </c>
      <c r="H7930" s="64" t="s">
        <v>1875</v>
      </c>
      <c r="I7930" s="64" t="s">
        <v>2961</v>
      </c>
      <c r="J7930" s="67">
        <v>672.14</v>
      </c>
      <c r="K7930" s="62">
        <v>7166.49</v>
      </c>
      <c r="L7930" s="33" t="e">
        <f>HLOOKUP(B7930,#REF!,1,0)</f>
        <v>#REF!</v>
      </c>
      <c r="M7930" s="33" t="str">
        <f t="shared" si="495"/>
        <v>P&amp;L</v>
      </c>
    </row>
    <row r="7931" spans="1:13">
      <c r="A7931" s="33" t="str">
        <f t="shared" si="492"/>
        <v>SCL - CGS</v>
      </c>
      <c r="B7931" s="33" t="str">
        <f t="shared" si="493"/>
        <v>SCL</v>
      </c>
      <c r="C7931" s="33" t="str">
        <f t="shared" si="494"/>
        <v>53004-7393</v>
      </c>
      <c r="D7931" s="64" t="s">
        <v>9180</v>
      </c>
      <c r="E7931" s="64" t="s">
        <v>2960</v>
      </c>
      <c r="F7931" s="64" t="s">
        <v>15</v>
      </c>
      <c r="G7931" s="64" t="s">
        <v>2921</v>
      </c>
      <c r="H7931" s="64" t="s">
        <v>1875</v>
      </c>
      <c r="I7931" s="64" t="s">
        <v>2961</v>
      </c>
      <c r="J7931" s="67">
        <v>1349.45</v>
      </c>
      <c r="K7931" s="62">
        <v>13005.7</v>
      </c>
      <c r="L7931" s="33" t="e">
        <f>HLOOKUP(B7931,#REF!,1,0)</f>
        <v>#REF!</v>
      </c>
      <c r="M7931" s="33" t="str">
        <f t="shared" si="495"/>
        <v>P&amp;L</v>
      </c>
    </row>
    <row r="7932" spans="1:13">
      <c r="A7932" s="33" t="str">
        <f t="shared" si="492"/>
        <v>SCL - CGS</v>
      </c>
      <c r="B7932" s="33" t="str">
        <f t="shared" si="493"/>
        <v>SCL</v>
      </c>
      <c r="C7932" s="33" t="str">
        <f t="shared" si="494"/>
        <v>53004-7394</v>
      </c>
      <c r="D7932" s="64" t="s">
        <v>9181</v>
      </c>
      <c r="E7932" s="64" t="s">
        <v>2960</v>
      </c>
      <c r="F7932" s="64" t="s">
        <v>15</v>
      </c>
      <c r="G7932" s="64" t="s">
        <v>2921</v>
      </c>
      <c r="H7932" s="64" t="s">
        <v>1875</v>
      </c>
      <c r="I7932" s="64" t="s">
        <v>2961</v>
      </c>
      <c r="J7932" s="67">
        <v>897.52</v>
      </c>
      <c r="K7932" s="62">
        <v>8917.58</v>
      </c>
      <c r="L7932" s="33" t="e">
        <f>HLOOKUP(B7932,#REF!,1,0)</f>
        <v>#REF!</v>
      </c>
      <c r="M7932" s="33" t="str">
        <f t="shared" si="495"/>
        <v>P&amp;L</v>
      </c>
    </row>
    <row r="7933" spans="1:13">
      <c r="A7933" s="33" t="str">
        <f t="shared" si="492"/>
        <v>SCL - CGS</v>
      </c>
      <c r="B7933" s="33" t="str">
        <f t="shared" si="493"/>
        <v>SCL</v>
      </c>
      <c r="C7933" s="33" t="str">
        <f t="shared" si="494"/>
        <v>53004-7396</v>
      </c>
      <c r="D7933" s="64" t="s">
        <v>9182</v>
      </c>
      <c r="E7933" s="64" t="s">
        <v>2960</v>
      </c>
      <c r="F7933" s="64" t="s">
        <v>15</v>
      </c>
      <c r="G7933" s="64" t="s">
        <v>2921</v>
      </c>
      <c r="H7933" s="64" t="s">
        <v>1875</v>
      </c>
      <c r="I7933" s="64" t="s">
        <v>2961</v>
      </c>
      <c r="J7933" s="67">
        <v>1722</v>
      </c>
      <c r="K7933" s="62">
        <v>18097.24</v>
      </c>
      <c r="L7933" s="33" t="e">
        <f>HLOOKUP(B7933,#REF!,1,0)</f>
        <v>#REF!</v>
      </c>
      <c r="M7933" s="33" t="str">
        <f t="shared" si="495"/>
        <v>P&amp;L</v>
      </c>
    </row>
    <row r="7934" spans="1:13">
      <c r="A7934" s="33" t="str">
        <f t="shared" si="492"/>
        <v>SCL - CGS</v>
      </c>
      <c r="B7934" s="33" t="str">
        <f t="shared" si="493"/>
        <v>SCL</v>
      </c>
      <c r="C7934" s="33" t="str">
        <f t="shared" si="494"/>
        <v>53004-7397</v>
      </c>
      <c r="D7934" s="64" t="s">
        <v>9183</v>
      </c>
      <c r="E7934" s="64" t="s">
        <v>2960</v>
      </c>
      <c r="F7934" s="64" t="s">
        <v>15</v>
      </c>
      <c r="G7934" s="64" t="s">
        <v>2921</v>
      </c>
      <c r="H7934" s="64" t="s">
        <v>1875</v>
      </c>
      <c r="I7934" s="64" t="s">
        <v>2961</v>
      </c>
      <c r="J7934" s="67">
        <v>112.62</v>
      </c>
      <c r="K7934" s="62">
        <v>2732.71</v>
      </c>
      <c r="L7934" s="33" t="e">
        <f>HLOOKUP(B7934,#REF!,1,0)</f>
        <v>#REF!</v>
      </c>
      <c r="M7934" s="33" t="str">
        <f t="shared" si="495"/>
        <v>P&amp;L</v>
      </c>
    </row>
    <row r="7935" spans="1:13">
      <c r="A7935" s="33" t="str">
        <f t="shared" si="492"/>
        <v>SCL - CGS</v>
      </c>
      <c r="B7935" s="33" t="str">
        <f t="shared" si="493"/>
        <v>SCL</v>
      </c>
      <c r="C7935" s="33" t="str">
        <f t="shared" si="494"/>
        <v>53004-7398</v>
      </c>
      <c r="D7935" s="64" t="s">
        <v>9184</v>
      </c>
      <c r="E7935" s="64" t="s">
        <v>2960</v>
      </c>
      <c r="F7935" s="64" t="s">
        <v>15</v>
      </c>
      <c r="G7935" s="64" t="s">
        <v>2921</v>
      </c>
      <c r="H7935" s="64" t="s">
        <v>1875</v>
      </c>
      <c r="I7935" s="64" t="s">
        <v>2961</v>
      </c>
      <c r="J7935" s="67">
        <v>1468.25</v>
      </c>
      <c r="K7935" s="62">
        <v>9665.28</v>
      </c>
      <c r="L7935" s="33" t="e">
        <f>HLOOKUP(B7935,#REF!,1,0)</f>
        <v>#REF!</v>
      </c>
      <c r="M7935" s="33" t="str">
        <f t="shared" si="495"/>
        <v>P&amp;L</v>
      </c>
    </row>
    <row r="7936" spans="1:13">
      <c r="A7936" s="33" t="str">
        <f t="shared" si="492"/>
        <v>SCL - CGS</v>
      </c>
      <c r="B7936" s="33" t="str">
        <f t="shared" si="493"/>
        <v>SCL</v>
      </c>
      <c r="C7936" s="33" t="str">
        <f t="shared" si="494"/>
        <v>53004-7400</v>
      </c>
      <c r="D7936" s="64" t="s">
        <v>9185</v>
      </c>
      <c r="E7936" s="64" t="s">
        <v>2960</v>
      </c>
      <c r="F7936" s="64" t="s">
        <v>15</v>
      </c>
      <c r="G7936" s="64" t="s">
        <v>2921</v>
      </c>
      <c r="H7936" s="64" t="s">
        <v>1875</v>
      </c>
      <c r="I7936" s="64" t="s">
        <v>2961</v>
      </c>
      <c r="J7936" s="67">
        <v>949.63</v>
      </c>
      <c r="K7936" s="62">
        <v>10718.38</v>
      </c>
      <c r="L7936" s="33" t="e">
        <f>HLOOKUP(B7936,#REF!,1,0)</f>
        <v>#REF!</v>
      </c>
      <c r="M7936" s="33" t="str">
        <f t="shared" si="495"/>
        <v>P&amp;L</v>
      </c>
    </row>
    <row r="7937" spans="1:13">
      <c r="A7937" s="33" t="str">
        <f t="shared" si="492"/>
        <v>SCL - CGS</v>
      </c>
      <c r="B7937" s="33" t="str">
        <f t="shared" si="493"/>
        <v>SCL</v>
      </c>
      <c r="C7937" s="33" t="str">
        <f t="shared" si="494"/>
        <v>53004-7401</v>
      </c>
      <c r="D7937" s="64" t="s">
        <v>9186</v>
      </c>
      <c r="E7937" s="64" t="s">
        <v>2960</v>
      </c>
      <c r="F7937" s="64" t="s">
        <v>15</v>
      </c>
      <c r="G7937" s="64" t="s">
        <v>2921</v>
      </c>
      <c r="H7937" s="64" t="s">
        <v>1875</v>
      </c>
      <c r="I7937" s="64" t="s">
        <v>2961</v>
      </c>
      <c r="J7937" s="67">
        <v>1187.26</v>
      </c>
      <c r="K7937" s="62">
        <v>8814.92</v>
      </c>
      <c r="L7937" s="33" t="e">
        <f>HLOOKUP(B7937,#REF!,1,0)</f>
        <v>#REF!</v>
      </c>
      <c r="M7937" s="33" t="str">
        <f t="shared" si="495"/>
        <v>P&amp;L</v>
      </c>
    </row>
    <row r="7938" spans="1:13">
      <c r="A7938" s="33" t="str">
        <f t="shared" ref="A7938:A8001" si="496">B7938&amp;" - "&amp;TRIM(H7938)</f>
        <v>SCL - CGS</v>
      </c>
      <c r="B7938" s="33" t="str">
        <f t="shared" ref="B7938:B8001" si="497">LEFT(D7938,3)</f>
        <v>SCL</v>
      </c>
      <c r="C7938" s="33" t="str">
        <f t="shared" ref="C7938:C8001" si="498">RIGHT(D7938,10)</f>
        <v>53004-7402</v>
      </c>
      <c r="D7938" s="64" t="s">
        <v>9187</v>
      </c>
      <c r="E7938" s="64" t="s">
        <v>2960</v>
      </c>
      <c r="F7938" s="64" t="s">
        <v>15</v>
      </c>
      <c r="G7938" s="64" t="s">
        <v>2921</v>
      </c>
      <c r="H7938" s="64" t="s">
        <v>1875</v>
      </c>
      <c r="I7938" s="64" t="s">
        <v>2961</v>
      </c>
      <c r="J7938" s="67">
        <v>702.24</v>
      </c>
      <c r="K7938" s="62">
        <v>9588.82</v>
      </c>
      <c r="L7938" s="33" t="e">
        <f>HLOOKUP(B7938,#REF!,1,0)</f>
        <v>#REF!</v>
      </c>
      <c r="M7938" s="33" t="str">
        <f t="shared" ref="M7938:M8001" si="499">IF(VALUE(LEFT(C7938,5))&gt;40000,"P&amp;L","BS")</f>
        <v>P&amp;L</v>
      </c>
    </row>
    <row r="7939" spans="1:13">
      <c r="A7939" s="33" t="str">
        <f t="shared" si="496"/>
        <v>SCL - CGS</v>
      </c>
      <c r="B7939" s="33" t="str">
        <f t="shared" si="497"/>
        <v>SCL</v>
      </c>
      <c r="C7939" s="33" t="str">
        <f t="shared" si="498"/>
        <v>53004-7403</v>
      </c>
      <c r="D7939" s="64" t="s">
        <v>9188</v>
      </c>
      <c r="E7939" s="64" t="s">
        <v>2960</v>
      </c>
      <c r="F7939" s="64" t="s">
        <v>15</v>
      </c>
      <c r="G7939" s="64" t="s">
        <v>2921</v>
      </c>
      <c r="H7939" s="64" t="s">
        <v>1875</v>
      </c>
      <c r="I7939" s="64" t="s">
        <v>2961</v>
      </c>
      <c r="J7939" s="67">
        <v>714.47</v>
      </c>
      <c r="K7939" s="62">
        <v>11454.39</v>
      </c>
      <c r="L7939" s="33" t="e">
        <f>HLOOKUP(B7939,#REF!,1,0)</f>
        <v>#REF!</v>
      </c>
      <c r="M7939" s="33" t="str">
        <f t="shared" si="499"/>
        <v>P&amp;L</v>
      </c>
    </row>
    <row r="7940" spans="1:13">
      <c r="A7940" s="33" t="str">
        <f t="shared" si="496"/>
        <v>SCL - CGS</v>
      </c>
      <c r="B7940" s="33" t="str">
        <f t="shared" si="497"/>
        <v>SCL</v>
      </c>
      <c r="C7940" s="33" t="str">
        <f t="shared" si="498"/>
        <v>53004-7489</v>
      </c>
      <c r="D7940" s="64" t="s">
        <v>9189</v>
      </c>
      <c r="E7940" s="64" t="s">
        <v>2960</v>
      </c>
      <c r="F7940" s="64" t="s">
        <v>15</v>
      </c>
      <c r="G7940" s="64" t="s">
        <v>2921</v>
      </c>
      <c r="H7940" s="64" t="s">
        <v>1875</v>
      </c>
      <c r="I7940" s="64" t="s">
        <v>2961</v>
      </c>
      <c r="J7940" s="67">
        <v>683.43</v>
      </c>
      <c r="K7940" s="62">
        <v>6181.27</v>
      </c>
      <c r="L7940" s="33" t="e">
        <f>HLOOKUP(B7940,#REF!,1,0)</f>
        <v>#REF!</v>
      </c>
      <c r="M7940" s="33" t="str">
        <f t="shared" si="499"/>
        <v>P&amp;L</v>
      </c>
    </row>
    <row r="7941" spans="1:13">
      <c r="A7941" s="33" t="str">
        <f t="shared" si="496"/>
        <v>SCL - CGS</v>
      </c>
      <c r="B7941" s="33" t="str">
        <f t="shared" si="497"/>
        <v>SCL</v>
      </c>
      <c r="C7941" s="33" t="str">
        <f t="shared" si="498"/>
        <v>53004-7491</v>
      </c>
      <c r="D7941" s="64" t="s">
        <v>9190</v>
      </c>
      <c r="E7941" s="64" t="s">
        <v>2960</v>
      </c>
      <c r="F7941" s="64" t="s">
        <v>15</v>
      </c>
      <c r="G7941" s="64" t="s">
        <v>2921</v>
      </c>
      <c r="H7941" s="64" t="s">
        <v>1875</v>
      </c>
      <c r="I7941" s="64" t="s">
        <v>2961</v>
      </c>
      <c r="J7941" s="67">
        <v>1621.99</v>
      </c>
      <c r="K7941" s="62">
        <v>15359.35</v>
      </c>
      <c r="L7941" s="33" t="e">
        <f>HLOOKUP(B7941,#REF!,1,0)</f>
        <v>#REF!</v>
      </c>
      <c r="M7941" s="33" t="str">
        <f t="shared" si="499"/>
        <v>P&amp;L</v>
      </c>
    </row>
    <row r="7942" spans="1:13">
      <c r="A7942" s="33" t="str">
        <f t="shared" si="496"/>
        <v>SCL - CGS</v>
      </c>
      <c r="B7942" s="33" t="str">
        <f t="shared" si="497"/>
        <v>SCL</v>
      </c>
      <c r="C7942" s="33" t="str">
        <f t="shared" si="498"/>
        <v>53004-7492</v>
      </c>
      <c r="D7942" s="64" t="s">
        <v>9191</v>
      </c>
      <c r="E7942" s="64" t="s">
        <v>2960</v>
      </c>
      <c r="F7942" s="64" t="s">
        <v>15</v>
      </c>
      <c r="G7942" s="64" t="s">
        <v>2921</v>
      </c>
      <c r="H7942" s="64" t="s">
        <v>1875</v>
      </c>
      <c r="I7942" s="64" t="s">
        <v>2961</v>
      </c>
      <c r="J7942" s="67">
        <v>297.9</v>
      </c>
      <c r="K7942" s="62">
        <v>4489.34</v>
      </c>
      <c r="L7942" s="33" t="e">
        <f>HLOOKUP(B7942,#REF!,1,0)</f>
        <v>#REF!</v>
      </c>
      <c r="M7942" s="33" t="str">
        <f t="shared" si="499"/>
        <v>P&amp;L</v>
      </c>
    </row>
    <row r="7943" spans="1:13">
      <c r="A7943" s="33" t="str">
        <f t="shared" si="496"/>
        <v>SCL - CGS</v>
      </c>
      <c r="B7943" s="33" t="str">
        <f t="shared" si="497"/>
        <v>SCL</v>
      </c>
      <c r="C7943" s="33" t="str">
        <f t="shared" si="498"/>
        <v>53004-7493</v>
      </c>
      <c r="D7943" s="64" t="s">
        <v>9192</v>
      </c>
      <c r="E7943" s="64" t="s">
        <v>2960</v>
      </c>
      <c r="F7943" s="64" t="s">
        <v>15</v>
      </c>
      <c r="G7943" s="64" t="s">
        <v>2921</v>
      </c>
      <c r="H7943" s="64" t="s">
        <v>1875</v>
      </c>
      <c r="I7943" s="64" t="s">
        <v>2961</v>
      </c>
      <c r="J7943" s="67">
        <v>1136.1</v>
      </c>
      <c r="K7943" s="62">
        <v>10370.2</v>
      </c>
      <c r="L7943" s="33" t="e">
        <f>HLOOKUP(B7943,#REF!,1,0)</f>
        <v>#REF!</v>
      </c>
      <c r="M7943" s="33" t="str">
        <f t="shared" si="499"/>
        <v>P&amp;L</v>
      </c>
    </row>
    <row r="7944" spans="1:13">
      <c r="A7944" s="33" t="str">
        <f t="shared" si="496"/>
        <v>SCL - CGS</v>
      </c>
      <c r="B7944" s="33" t="str">
        <f t="shared" si="497"/>
        <v>SCL</v>
      </c>
      <c r="C7944" s="33" t="str">
        <f t="shared" si="498"/>
        <v>53004-7494</v>
      </c>
      <c r="D7944" s="64" t="s">
        <v>9193</v>
      </c>
      <c r="E7944" s="64" t="s">
        <v>2960</v>
      </c>
      <c r="F7944" s="64" t="s">
        <v>15</v>
      </c>
      <c r="G7944" s="64" t="s">
        <v>2921</v>
      </c>
      <c r="H7944" s="64" t="s">
        <v>1875</v>
      </c>
      <c r="I7944" s="64" t="s">
        <v>2961</v>
      </c>
      <c r="J7944" s="67">
        <v>1387.5</v>
      </c>
      <c r="K7944" s="62">
        <v>14859.21</v>
      </c>
      <c r="L7944" s="33" t="e">
        <f>HLOOKUP(B7944,#REF!,1,0)</f>
        <v>#REF!</v>
      </c>
      <c r="M7944" s="33" t="str">
        <f t="shared" si="499"/>
        <v>P&amp;L</v>
      </c>
    </row>
    <row r="7945" spans="1:13">
      <c r="A7945" s="33" t="str">
        <f t="shared" si="496"/>
        <v>SCL - CGS</v>
      </c>
      <c r="B7945" s="33" t="str">
        <f t="shared" si="497"/>
        <v>SCL</v>
      </c>
      <c r="C7945" s="33" t="str">
        <f t="shared" si="498"/>
        <v>53004-7625</v>
      </c>
      <c r="D7945" s="64" t="s">
        <v>9194</v>
      </c>
      <c r="E7945" s="64" t="s">
        <v>2960</v>
      </c>
      <c r="F7945" s="64" t="s">
        <v>15</v>
      </c>
      <c r="G7945" s="64" t="s">
        <v>2921</v>
      </c>
      <c r="H7945" s="64" t="s">
        <v>1875</v>
      </c>
      <c r="I7945" s="64" t="s">
        <v>2961</v>
      </c>
      <c r="J7945" s="67">
        <v>1202.14</v>
      </c>
      <c r="K7945" s="62">
        <v>13583.28</v>
      </c>
      <c r="L7945" s="33" t="e">
        <f>HLOOKUP(B7945,#REF!,1,0)</f>
        <v>#REF!</v>
      </c>
      <c r="M7945" s="33" t="str">
        <f t="shared" si="499"/>
        <v>P&amp;L</v>
      </c>
    </row>
    <row r="7946" spans="1:13">
      <c r="A7946" s="33" t="str">
        <f t="shared" si="496"/>
        <v>SCL - CGS</v>
      </c>
      <c r="B7946" s="33" t="str">
        <f t="shared" si="497"/>
        <v>SCL</v>
      </c>
      <c r="C7946" s="33" t="str">
        <f t="shared" si="498"/>
        <v>53004-8150</v>
      </c>
      <c r="D7946" s="64" t="s">
        <v>9195</v>
      </c>
      <c r="E7946" s="64" t="s">
        <v>2960</v>
      </c>
      <c r="F7946" s="64" t="s">
        <v>15</v>
      </c>
      <c r="G7946" s="64" t="s">
        <v>2921</v>
      </c>
      <c r="H7946" s="64" t="s">
        <v>1875</v>
      </c>
      <c r="I7946" s="64" t="s">
        <v>2961</v>
      </c>
      <c r="J7946" s="67">
        <v>525.9</v>
      </c>
      <c r="K7946" s="62">
        <v>4337.71</v>
      </c>
      <c r="L7946" s="33" t="e">
        <f>HLOOKUP(B7946,#REF!,1,0)</f>
        <v>#REF!</v>
      </c>
      <c r="M7946" s="33" t="str">
        <f t="shared" si="499"/>
        <v>P&amp;L</v>
      </c>
    </row>
    <row r="7947" spans="1:13">
      <c r="A7947" s="33" t="str">
        <f t="shared" si="496"/>
        <v>SCL - CGS</v>
      </c>
      <c r="B7947" s="33" t="str">
        <f t="shared" si="497"/>
        <v>SCL</v>
      </c>
      <c r="C7947" s="33" t="str">
        <f t="shared" si="498"/>
        <v>53005-7351</v>
      </c>
      <c r="D7947" s="64" t="s">
        <v>9196</v>
      </c>
      <c r="E7947" s="64" t="s">
        <v>2966</v>
      </c>
      <c r="F7947" s="64" t="s">
        <v>15</v>
      </c>
      <c r="G7947" s="64" t="s">
        <v>2921</v>
      </c>
      <c r="H7947" s="64" t="s">
        <v>1875</v>
      </c>
      <c r="I7947" s="64" t="s">
        <v>2946</v>
      </c>
      <c r="J7947" s="67">
        <v>0</v>
      </c>
      <c r="K7947" s="62">
        <v>1243.06</v>
      </c>
      <c r="L7947" s="33" t="e">
        <f>HLOOKUP(B7947,#REF!,1,0)</f>
        <v>#REF!</v>
      </c>
      <c r="M7947" s="33" t="str">
        <f t="shared" si="499"/>
        <v>P&amp;L</v>
      </c>
    </row>
    <row r="7948" spans="1:13">
      <c r="A7948" s="33" t="str">
        <f t="shared" si="496"/>
        <v>SCL - CGS</v>
      </c>
      <c r="B7948" s="33" t="str">
        <f t="shared" si="497"/>
        <v>SCL</v>
      </c>
      <c r="C7948" s="33" t="str">
        <f t="shared" si="498"/>
        <v>53005-7355</v>
      </c>
      <c r="D7948" s="64" t="s">
        <v>9197</v>
      </c>
      <c r="E7948" s="64" t="s">
        <v>2966</v>
      </c>
      <c r="F7948" s="64" t="s">
        <v>15</v>
      </c>
      <c r="G7948" s="64" t="s">
        <v>2921</v>
      </c>
      <c r="H7948" s="64" t="s">
        <v>1875</v>
      </c>
      <c r="I7948" s="64" t="s">
        <v>2946</v>
      </c>
      <c r="J7948" s="67">
        <v>0</v>
      </c>
      <c r="K7948" s="62">
        <v>1026.5</v>
      </c>
      <c r="L7948" s="33" t="e">
        <f>HLOOKUP(B7948,#REF!,1,0)</f>
        <v>#REF!</v>
      </c>
      <c r="M7948" s="33" t="str">
        <f t="shared" si="499"/>
        <v>P&amp;L</v>
      </c>
    </row>
    <row r="7949" spans="1:13">
      <c r="A7949" s="33" t="str">
        <f t="shared" si="496"/>
        <v>SCL - CGS</v>
      </c>
      <c r="B7949" s="33" t="str">
        <f t="shared" si="497"/>
        <v>SCL</v>
      </c>
      <c r="C7949" s="33" t="str">
        <f t="shared" si="498"/>
        <v>53005-7356</v>
      </c>
      <c r="D7949" s="64" t="s">
        <v>9198</v>
      </c>
      <c r="E7949" s="64" t="s">
        <v>2966</v>
      </c>
      <c r="F7949" s="64" t="s">
        <v>15</v>
      </c>
      <c r="G7949" s="64" t="s">
        <v>2921</v>
      </c>
      <c r="H7949" s="64" t="s">
        <v>1875</v>
      </c>
      <c r="I7949" s="64" t="s">
        <v>2946</v>
      </c>
      <c r="J7949" s="67">
        <v>0</v>
      </c>
      <c r="K7949" s="62">
        <v>576</v>
      </c>
      <c r="L7949" s="33" t="e">
        <f>HLOOKUP(B7949,#REF!,1,0)</f>
        <v>#REF!</v>
      </c>
      <c r="M7949" s="33" t="str">
        <f t="shared" si="499"/>
        <v>P&amp;L</v>
      </c>
    </row>
    <row r="7950" spans="1:13">
      <c r="A7950" s="33" t="str">
        <f t="shared" si="496"/>
        <v>SCL - CGS</v>
      </c>
      <c r="B7950" s="33" t="str">
        <f t="shared" si="497"/>
        <v>SCL</v>
      </c>
      <c r="C7950" s="33" t="str">
        <f t="shared" si="498"/>
        <v>53005-7360</v>
      </c>
      <c r="D7950" s="64" t="s">
        <v>9199</v>
      </c>
      <c r="E7950" s="64" t="s">
        <v>2966</v>
      </c>
      <c r="F7950" s="64" t="s">
        <v>15</v>
      </c>
      <c r="G7950" s="64" t="s">
        <v>2921</v>
      </c>
      <c r="H7950" s="64" t="s">
        <v>1875</v>
      </c>
      <c r="I7950" s="64" t="s">
        <v>2946</v>
      </c>
      <c r="J7950" s="67">
        <v>0</v>
      </c>
      <c r="K7950" s="62">
        <v>2618</v>
      </c>
      <c r="L7950" s="33" t="e">
        <f>HLOOKUP(B7950,#REF!,1,0)</f>
        <v>#REF!</v>
      </c>
      <c r="M7950" s="33" t="str">
        <f t="shared" si="499"/>
        <v>P&amp;L</v>
      </c>
    </row>
    <row r="7951" spans="1:13">
      <c r="A7951" s="33" t="str">
        <f t="shared" si="496"/>
        <v>SCL - CGS</v>
      </c>
      <c r="B7951" s="33" t="str">
        <f t="shared" si="497"/>
        <v>SCL</v>
      </c>
      <c r="C7951" s="33" t="str">
        <f t="shared" si="498"/>
        <v>53005-7361</v>
      </c>
      <c r="D7951" s="64" t="s">
        <v>9200</v>
      </c>
      <c r="E7951" s="64" t="s">
        <v>2966</v>
      </c>
      <c r="F7951" s="64" t="s">
        <v>15</v>
      </c>
      <c r="G7951" s="64" t="s">
        <v>2921</v>
      </c>
      <c r="H7951" s="64" t="s">
        <v>1875</v>
      </c>
      <c r="I7951" s="64" t="s">
        <v>2946</v>
      </c>
      <c r="J7951" s="67">
        <v>0</v>
      </c>
      <c r="K7951" s="62">
        <v>720</v>
      </c>
      <c r="L7951" s="33" t="e">
        <f>HLOOKUP(B7951,#REF!,1,0)</f>
        <v>#REF!</v>
      </c>
      <c r="M7951" s="33" t="str">
        <f t="shared" si="499"/>
        <v>P&amp;L</v>
      </c>
    </row>
    <row r="7952" spans="1:13">
      <c r="A7952" s="33" t="str">
        <f t="shared" si="496"/>
        <v>SCL - CGS</v>
      </c>
      <c r="B7952" s="33" t="str">
        <f t="shared" si="497"/>
        <v>SCL</v>
      </c>
      <c r="C7952" s="33" t="str">
        <f t="shared" si="498"/>
        <v>53005-7362</v>
      </c>
      <c r="D7952" s="64" t="s">
        <v>9201</v>
      </c>
      <c r="E7952" s="64" t="s">
        <v>2966</v>
      </c>
      <c r="F7952" s="64" t="s">
        <v>15</v>
      </c>
      <c r="G7952" s="64" t="s">
        <v>2921</v>
      </c>
      <c r="H7952" s="64" t="s">
        <v>1875</v>
      </c>
      <c r="I7952" s="64" t="s">
        <v>2946</v>
      </c>
      <c r="J7952" s="67">
        <v>0</v>
      </c>
      <c r="K7952" s="62">
        <v>-113.14</v>
      </c>
      <c r="L7952" s="33" t="e">
        <f>HLOOKUP(B7952,#REF!,1,0)</f>
        <v>#REF!</v>
      </c>
      <c r="M7952" s="33" t="str">
        <f t="shared" si="499"/>
        <v>P&amp;L</v>
      </c>
    </row>
    <row r="7953" spans="1:13">
      <c r="A7953" s="33" t="str">
        <f t="shared" si="496"/>
        <v>SCL - CGS</v>
      </c>
      <c r="B7953" s="33" t="str">
        <f t="shared" si="497"/>
        <v>SCL</v>
      </c>
      <c r="C7953" s="33" t="str">
        <f t="shared" si="498"/>
        <v>53005-7364</v>
      </c>
      <c r="D7953" s="64" t="s">
        <v>9202</v>
      </c>
      <c r="E7953" s="64" t="s">
        <v>2966</v>
      </c>
      <c r="F7953" s="64" t="s">
        <v>15</v>
      </c>
      <c r="G7953" s="64" t="s">
        <v>2921</v>
      </c>
      <c r="H7953" s="64" t="s">
        <v>1875</v>
      </c>
      <c r="I7953" s="64" t="s">
        <v>2946</v>
      </c>
      <c r="J7953" s="67">
        <v>0</v>
      </c>
      <c r="K7953" s="62">
        <v>287.25</v>
      </c>
      <c r="L7953" s="33" t="e">
        <f>HLOOKUP(B7953,#REF!,1,0)</f>
        <v>#REF!</v>
      </c>
      <c r="M7953" s="33" t="str">
        <f t="shared" si="499"/>
        <v>P&amp;L</v>
      </c>
    </row>
    <row r="7954" spans="1:13">
      <c r="A7954" s="33" t="str">
        <f t="shared" si="496"/>
        <v>SCL - CGS</v>
      </c>
      <c r="B7954" s="33" t="str">
        <f t="shared" si="497"/>
        <v>SCL</v>
      </c>
      <c r="C7954" s="33" t="str">
        <f t="shared" si="498"/>
        <v>53005-7365</v>
      </c>
      <c r="D7954" s="64" t="s">
        <v>9203</v>
      </c>
      <c r="E7954" s="64" t="s">
        <v>2966</v>
      </c>
      <c r="F7954" s="64" t="s">
        <v>15</v>
      </c>
      <c r="G7954" s="64" t="s">
        <v>2921</v>
      </c>
      <c r="H7954" s="64" t="s">
        <v>1875</v>
      </c>
      <c r="I7954" s="64" t="s">
        <v>2946</v>
      </c>
      <c r="J7954" s="67">
        <v>0</v>
      </c>
      <c r="K7954" s="62">
        <v>760</v>
      </c>
      <c r="L7954" s="33" t="e">
        <f>HLOOKUP(B7954,#REF!,1,0)</f>
        <v>#REF!</v>
      </c>
      <c r="M7954" s="33" t="str">
        <f t="shared" si="499"/>
        <v>P&amp;L</v>
      </c>
    </row>
    <row r="7955" spans="1:13">
      <c r="A7955" s="33" t="str">
        <f t="shared" si="496"/>
        <v>SCL - CGS</v>
      </c>
      <c r="B7955" s="33" t="str">
        <f t="shared" si="497"/>
        <v>SCL</v>
      </c>
      <c r="C7955" s="33" t="str">
        <f t="shared" si="498"/>
        <v>53005-7366</v>
      </c>
      <c r="D7955" s="64" t="s">
        <v>9204</v>
      </c>
      <c r="E7955" s="64" t="s">
        <v>2966</v>
      </c>
      <c r="F7955" s="64" t="s">
        <v>15</v>
      </c>
      <c r="G7955" s="64" t="s">
        <v>2921</v>
      </c>
      <c r="H7955" s="64" t="s">
        <v>1875</v>
      </c>
      <c r="I7955" s="64" t="s">
        <v>2946</v>
      </c>
      <c r="J7955" s="67">
        <v>1640</v>
      </c>
      <c r="K7955" s="62">
        <v>1968</v>
      </c>
      <c r="L7955" s="33" t="e">
        <f>HLOOKUP(B7955,#REF!,1,0)</f>
        <v>#REF!</v>
      </c>
      <c r="M7955" s="33" t="str">
        <f t="shared" si="499"/>
        <v>P&amp;L</v>
      </c>
    </row>
    <row r="7956" spans="1:13">
      <c r="A7956" s="33" t="str">
        <f t="shared" si="496"/>
        <v>SCL - CGS</v>
      </c>
      <c r="B7956" s="33" t="str">
        <f t="shared" si="497"/>
        <v>SCL</v>
      </c>
      <c r="C7956" s="33" t="str">
        <f t="shared" si="498"/>
        <v>53005-7368</v>
      </c>
      <c r="D7956" s="64" t="s">
        <v>9205</v>
      </c>
      <c r="E7956" s="64" t="s">
        <v>2966</v>
      </c>
      <c r="F7956" s="64" t="s">
        <v>15</v>
      </c>
      <c r="G7956" s="64" t="s">
        <v>2921</v>
      </c>
      <c r="H7956" s="64" t="s">
        <v>1875</v>
      </c>
      <c r="I7956" s="64" t="s">
        <v>2946</v>
      </c>
      <c r="J7956" s="67">
        <v>0</v>
      </c>
      <c r="K7956" s="62">
        <v>1696</v>
      </c>
      <c r="L7956" s="33" t="e">
        <f>HLOOKUP(B7956,#REF!,1,0)</f>
        <v>#REF!</v>
      </c>
      <c r="M7956" s="33" t="str">
        <f t="shared" si="499"/>
        <v>P&amp;L</v>
      </c>
    </row>
    <row r="7957" spans="1:13">
      <c r="A7957" s="33" t="str">
        <f t="shared" si="496"/>
        <v>SCL - CGS</v>
      </c>
      <c r="B7957" s="33" t="str">
        <f t="shared" si="497"/>
        <v>SCL</v>
      </c>
      <c r="C7957" s="33" t="str">
        <f t="shared" si="498"/>
        <v>53005-7369</v>
      </c>
      <c r="D7957" s="64" t="s">
        <v>9206</v>
      </c>
      <c r="E7957" s="64" t="s">
        <v>2966</v>
      </c>
      <c r="F7957" s="64" t="s">
        <v>15</v>
      </c>
      <c r="G7957" s="64" t="s">
        <v>2921</v>
      </c>
      <c r="H7957" s="64" t="s">
        <v>1875</v>
      </c>
      <c r="I7957" s="64" t="s">
        <v>2946</v>
      </c>
      <c r="J7957" s="67">
        <v>0</v>
      </c>
      <c r="K7957" s="62">
        <v>666</v>
      </c>
      <c r="L7957" s="33" t="e">
        <f>HLOOKUP(B7957,#REF!,1,0)</f>
        <v>#REF!</v>
      </c>
      <c r="M7957" s="33" t="str">
        <f t="shared" si="499"/>
        <v>P&amp;L</v>
      </c>
    </row>
    <row r="7958" spans="1:13">
      <c r="A7958" s="33" t="str">
        <f t="shared" si="496"/>
        <v>SCL - CGS</v>
      </c>
      <c r="B7958" s="33" t="str">
        <f t="shared" si="497"/>
        <v>SCL</v>
      </c>
      <c r="C7958" s="33" t="str">
        <f t="shared" si="498"/>
        <v>53005-7371</v>
      </c>
      <c r="D7958" s="64" t="s">
        <v>9207</v>
      </c>
      <c r="E7958" s="64" t="s">
        <v>2966</v>
      </c>
      <c r="F7958" s="64" t="s">
        <v>15</v>
      </c>
      <c r="G7958" s="64" t="s">
        <v>2921</v>
      </c>
      <c r="H7958" s="64" t="s">
        <v>1875</v>
      </c>
      <c r="I7958" s="64" t="s">
        <v>2946</v>
      </c>
      <c r="J7958" s="67">
        <v>0</v>
      </c>
      <c r="K7958" s="62">
        <v>468</v>
      </c>
      <c r="L7958" s="33" t="e">
        <f>HLOOKUP(B7958,#REF!,1,0)</f>
        <v>#REF!</v>
      </c>
      <c r="M7958" s="33" t="str">
        <f t="shared" si="499"/>
        <v>P&amp;L</v>
      </c>
    </row>
    <row r="7959" spans="1:13">
      <c r="A7959" s="33" t="str">
        <f t="shared" si="496"/>
        <v>SCL - CGS</v>
      </c>
      <c r="B7959" s="33" t="str">
        <f t="shared" si="497"/>
        <v>SCL</v>
      </c>
      <c r="C7959" s="33" t="str">
        <f t="shared" si="498"/>
        <v>53005-7374</v>
      </c>
      <c r="D7959" s="64" t="s">
        <v>9208</v>
      </c>
      <c r="E7959" s="64" t="s">
        <v>2966</v>
      </c>
      <c r="F7959" s="64" t="s">
        <v>15</v>
      </c>
      <c r="G7959" s="64" t="s">
        <v>2921</v>
      </c>
      <c r="H7959" s="64" t="s">
        <v>1875</v>
      </c>
      <c r="I7959" s="64" t="s">
        <v>2946</v>
      </c>
      <c r="J7959" s="67">
        <v>0</v>
      </c>
      <c r="K7959" s="62">
        <v>426</v>
      </c>
      <c r="L7959" s="33" t="e">
        <f>HLOOKUP(B7959,#REF!,1,0)</f>
        <v>#REF!</v>
      </c>
      <c r="M7959" s="33" t="str">
        <f t="shared" si="499"/>
        <v>P&amp;L</v>
      </c>
    </row>
    <row r="7960" spans="1:13">
      <c r="A7960" s="33" t="str">
        <f t="shared" si="496"/>
        <v>SCL - CGS</v>
      </c>
      <c r="B7960" s="33" t="str">
        <f t="shared" si="497"/>
        <v>SCL</v>
      </c>
      <c r="C7960" s="33" t="str">
        <f t="shared" si="498"/>
        <v>53005-7376</v>
      </c>
      <c r="D7960" s="64" t="s">
        <v>9209</v>
      </c>
      <c r="E7960" s="64" t="s">
        <v>2966</v>
      </c>
      <c r="F7960" s="64" t="s">
        <v>15</v>
      </c>
      <c r="G7960" s="64" t="s">
        <v>2921</v>
      </c>
      <c r="H7960" s="64" t="s">
        <v>1875</v>
      </c>
      <c r="I7960" s="64" t="s">
        <v>2946</v>
      </c>
      <c r="J7960" s="67">
        <v>0</v>
      </c>
      <c r="K7960" s="62">
        <v>2089.56</v>
      </c>
      <c r="L7960" s="33" t="e">
        <f>HLOOKUP(B7960,#REF!,1,0)</f>
        <v>#REF!</v>
      </c>
      <c r="M7960" s="33" t="str">
        <f t="shared" si="499"/>
        <v>P&amp;L</v>
      </c>
    </row>
    <row r="7961" spans="1:13">
      <c r="A7961" s="33" t="str">
        <f t="shared" si="496"/>
        <v>SCL - CGS</v>
      </c>
      <c r="B7961" s="33" t="str">
        <f t="shared" si="497"/>
        <v>SCL</v>
      </c>
      <c r="C7961" s="33" t="str">
        <f t="shared" si="498"/>
        <v>53005-7377</v>
      </c>
      <c r="D7961" s="64" t="s">
        <v>9210</v>
      </c>
      <c r="E7961" s="64" t="s">
        <v>2966</v>
      </c>
      <c r="F7961" s="64" t="s">
        <v>15</v>
      </c>
      <c r="G7961" s="64" t="s">
        <v>2921</v>
      </c>
      <c r="H7961" s="64" t="s">
        <v>1875</v>
      </c>
      <c r="I7961" s="64" t="s">
        <v>2946</v>
      </c>
      <c r="J7961" s="67">
        <v>0</v>
      </c>
      <c r="K7961" s="62">
        <v>626.24</v>
      </c>
      <c r="L7961" s="33" t="e">
        <f>HLOOKUP(B7961,#REF!,1,0)</f>
        <v>#REF!</v>
      </c>
      <c r="M7961" s="33" t="str">
        <f t="shared" si="499"/>
        <v>P&amp;L</v>
      </c>
    </row>
    <row r="7962" spans="1:13">
      <c r="A7962" s="33" t="str">
        <f t="shared" si="496"/>
        <v>SCL - CGS</v>
      </c>
      <c r="B7962" s="33" t="str">
        <f t="shared" si="497"/>
        <v>SCL</v>
      </c>
      <c r="C7962" s="33" t="str">
        <f t="shared" si="498"/>
        <v>53005-7379</v>
      </c>
      <c r="D7962" s="64" t="s">
        <v>9211</v>
      </c>
      <c r="E7962" s="64" t="s">
        <v>2966</v>
      </c>
      <c r="F7962" s="64" t="s">
        <v>15</v>
      </c>
      <c r="G7962" s="64" t="s">
        <v>2921</v>
      </c>
      <c r="H7962" s="64" t="s">
        <v>1875</v>
      </c>
      <c r="I7962" s="64" t="s">
        <v>2946</v>
      </c>
      <c r="J7962" s="67">
        <v>0</v>
      </c>
      <c r="K7962" s="62">
        <v>804</v>
      </c>
      <c r="L7962" s="33" t="e">
        <f>HLOOKUP(B7962,#REF!,1,0)</f>
        <v>#REF!</v>
      </c>
      <c r="M7962" s="33" t="str">
        <f t="shared" si="499"/>
        <v>P&amp;L</v>
      </c>
    </row>
    <row r="7963" spans="1:13">
      <c r="A7963" s="33" t="str">
        <f t="shared" si="496"/>
        <v>SCL - CGS</v>
      </c>
      <c r="B7963" s="33" t="str">
        <f t="shared" si="497"/>
        <v>SCL</v>
      </c>
      <c r="C7963" s="33" t="str">
        <f t="shared" si="498"/>
        <v>53005-7380</v>
      </c>
      <c r="D7963" s="64" t="s">
        <v>9212</v>
      </c>
      <c r="E7963" s="64" t="s">
        <v>2966</v>
      </c>
      <c r="F7963" s="64" t="s">
        <v>15</v>
      </c>
      <c r="G7963" s="64" t="s">
        <v>2921</v>
      </c>
      <c r="H7963" s="64" t="s">
        <v>1875</v>
      </c>
      <c r="I7963" s="64" t="s">
        <v>2946</v>
      </c>
      <c r="J7963" s="67">
        <v>0</v>
      </c>
      <c r="K7963" s="62">
        <v>220</v>
      </c>
      <c r="L7963" s="33" t="e">
        <f>HLOOKUP(B7963,#REF!,1,0)</f>
        <v>#REF!</v>
      </c>
      <c r="M7963" s="33" t="str">
        <f t="shared" si="499"/>
        <v>P&amp;L</v>
      </c>
    </row>
    <row r="7964" spans="1:13">
      <c r="A7964" s="33" t="str">
        <f t="shared" si="496"/>
        <v>SCL - CGS</v>
      </c>
      <c r="B7964" s="33" t="str">
        <f t="shared" si="497"/>
        <v>SCL</v>
      </c>
      <c r="C7964" s="33" t="str">
        <f t="shared" si="498"/>
        <v>53005-7381</v>
      </c>
      <c r="D7964" s="64" t="s">
        <v>9213</v>
      </c>
      <c r="E7964" s="64" t="s">
        <v>2966</v>
      </c>
      <c r="F7964" s="64" t="s">
        <v>15</v>
      </c>
      <c r="G7964" s="64" t="s">
        <v>2921</v>
      </c>
      <c r="H7964" s="64" t="s">
        <v>1875</v>
      </c>
      <c r="I7964" s="64" t="s">
        <v>2946</v>
      </c>
      <c r="J7964" s="67">
        <v>0</v>
      </c>
      <c r="K7964" s="62">
        <v>2301.54</v>
      </c>
      <c r="L7964" s="33" t="e">
        <f>HLOOKUP(B7964,#REF!,1,0)</f>
        <v>#REF!</v>
      </c>
      <c r="M7964" s="33" t="str">
        <f t="shared" si="499"/>
        <v>P&amp;L</v>
      </c>
    </row>
    <row r="7965" spans="1:13">
      <c r="A7965" s="33" t="str">
        <f t="shared" si="496"/>
        <v>SCL - CGS</v>
      </c>
      <c r="B7965" s="33" t="str">
        <f t="shared" si="497"/>
        <v>SCL</v>
      </c>
      <c r="C7965" s="33" t="str">
        <f t="shared" si="498"/>
        <v>53005-7383</v>
      </c>
      <c r="D7965" s="64" t="s">
        <v>9214</v>
      </c>
      <c r="E7965" s="64" t="s">
        <v>2966</v>
      </c>
      <c r="F7965" s="64" t="s">
        <v>15</v>
      </c>
      <c r="G7965" s="64" t="s">
        <v>2921</v>
      </c>
      <c r="H7965" s="64" t="s">
        <v>1875</v>
      </c>
      <c r="I7965" s="64" t="s">
        <v>2946</v>
      </c>
      <c r="J7965" s="67">
        <v>0</v>
      </c>
      <c r="K7965" s="62">
        <v>1802.24</v>
      </c>
      <c r="L7965" s="33" t="e">
        <f>HLOOKUP(B7965,#REF!,1,0)</f>
        <v>#REF!</v>
      </c>
      <c r="M7965" s="33" t="str">
        <f t="shared" si="499"/>
        <v>P&amp;L</v>
      </c>
    </row>
    <row r="7966" spans="1:13">
      <c r="A7966" s="33" t="str">
        <f t="shared" si="496"/>
        <v>SCL - CGS</v>
      </c>
      <c r="B7966" s="33" t="str">
        <f t="shared" si="497"/>
        <v>SCL</v>
      </c>
      <c r="C7966" s="33" t="str">
        <f t="shared" si="498"/>
        <v>53005-7385</v>
      </c>
      <c r="D7966" s="64" t="s">
        <v>9215</v>
      </c>
      <c r="E7966" s="64" t="s">
        <v>2966</v>
      </c>
      <c r="F7966" s="64" t="s">
        <v>15</v>
      </c>
      <c r="G7966" s="64" t="s">
        <v>2921</v>
      </c>
      <c r="H7966" s="64" t="s">
        <v>1875</v>
      </c>
      <c r="I7966" s="64" t="s">
        <v>2946</v>
      </c>
      <c r="J7966" s="67">
        <v>0</v>
      </c>
      <c r="K7966" s="62">
        <v>2552.31</v>
      </c>
      <c r="L7966" s="33" t="e">
        <f>HLOOKUP(B7966,#REF!,1,0)</f>
        <v>#REF!</v>
      </c>
      <c r="M7966" s="33" t="str">
        <f t="shared" si="499"/>
        <v>P&amp;L</v>
      </c>
    </row>
    <row r="7967" spans="1:13">
      <c r="A7967" s="33" t="str">
        <f t="shared" si="496"/>
        <v>SCL - CGS</v>
      </c>
      <c r="B7967" s="33" t="str">
        <f t="shared" si="497"/>
        <v>SCL</v>
      </c>
      <c r="C7967" s="33" t="str">
        <f t="shared" si="498"/>
        <v>53005-7387</v>
      </c>
      <c r="D7967" s="64" t="s">
        <v>9216</v>
      </c>
      <c r="E7967" s="64" t="s">
        <v>2966</v>
      </c>
      <c r="F7967" s="64" t="s">
        <v>15</v>
      </c>
      <c r="G7967" s="64" t="s">
        <v>2921</v>
      </c>
      <c r="H7967" s="64" t="s">
        <v>1875</v>
      </c>
      <c r="I7967" s="64" t="s">
        <v>2946</v>
      </c>
      <c r="J7967" s="67">
        <v>0</v>
      </c>
      <c r="K7967" s="62">
        <v>840</v>
      </c>
      <c r="L7967" s="33" t="e">
        <f>HLOOKUP(B7967,#REF!,1,0)</f>
        <v>#REF!</v>
      </c>
      <c r="M7967" s="33" t="str">
        <f t="shared" si="499"/>
        <v>P&amp;L</v>
      </c>
    </row>
    <row r="7968" spans="1:13">
      <c r="A7968" s="33" t="str">
        <f t="shared" si="496"/>
        <v>SCL - CGS</v>
      </c>
      <c r="B7968" s="33" t="str">
        <f t="shared" si="497"/>
        <v>SCL</v>
      </c>
      <c r="C7968" s="33" t="str">
        <f t="shared" si="498"/>
        <v>53005-7389</v>
      </c>
      <c r="D7968" s="64" t="s">
        <v>9217</v>
      </c>
      <c r="E7968" s="64" t="s">
        <v>2966</v>
      </c>
      <c r="F7968" s="64" t="s">
        <v>15</v>
      </c>
      <c r="G7968" s="64" t="s">
        <v>2921</v>
      </c>
      <c r="H7968" s="64" t="s">
        <v>1875</v>
      </c>
      <c r="I7968" s="64" t="s">
        <v>2946</v>
      </c>
      <c r="J7968" s="67">
        <v>166.86</v>
      </c>
      <c r="K7968" s="62">
        <v>2869.2</v>
      </c>
      <c r="L7968" s="33" t="e">
        <f>HLOOKUP(B7968,#REF!,1,0)</f>
        <v>#REF!</v>
      </c>
      <c r="M7968" s="33" t="str">
        <f t="shared" si="499"/>
        <v>P&amp;L</v>
      </c>
    </row>
    <row r="7969" spans="1:13">
      <c r="A7969" s="33" t="str">
        <f t="shared" si="496"/>
        <v>SCL - CGS</v>
      </c>
      <c r="B7969" s="33" t="str">
        <f t="shared" si="497"/>
        <v>SCL</v>
      </c>
      <c r="C7969" s="33" t="str">
        <f t="shared" si="498"/>
        <v>53005-7391</v>
      </c>
      <c r="D7969" s="64" t="s">
        <v>9218</v>
      </c>
      <c r="E7969" s="64" t="s">
        <v>2966</v>
      </c>
      <c r="F7969" s="64" t="s">
        <v>15</v>
      </c>
      <c r="G7969" s="64" t="s">
        <v>2921</v>
      </c>
      <c r="H7969" s="64" t="s">
        <v>1875</v>
      </c>
      <c r="I7969" s="64" t="s">
        <v>2946</v>
      </c>
      <c r="J7969" s="67">
        <v>288</v>
      </c>
      <c r="K7969" s="62">
        <v>720</v>
      </c>
      <c r="L7969" s="33" t="e">
        <f>HLOOKUP(B7969,#REF!,1,0)</f>
        <v>#REF!</v>
      </c>
      <c r="M7969" s="33" t="str">
        <f t="shared" si="499"/>
        <v>P&amp;L</v>
      </c>
    </row>
    <row r="7970" spans="1:13">
      <c r="A7970" s="33" t="str">
        <f t="shared" si="496"/>
        <v>SCL - CGS</v>
      </c>
      <c r="B7970" s="33" t="str">
        <f t="shared" si="497"/>
        <v>SCL</v>
      </c>
      <c r="C7970" s="33" t="str">
        <f t="shared" si="498"/>
        <v>53005-7393</v>
      </c>
      <c r="D7970" s="64" t="s">
        <v>9219</v>
      </c>
      <c r="E7970" s="64" t="s">
        <v>2966</v>
      </c>
      <c r="F7970" s="64" t="s">
        <v>15</v>
      </c>
      <c r="G7970" s="64" t="s">
        <v>2921</v>
      </c>
      <c r="H7970" s="64" t="s">
        <v>1875</v>
      </c>
      <c r="I7970" s="64" t="s">
        <v>2946</v>
      </c>
      <c r="J7970" s="67">
        <v>0</v>
      </c>
      <c r="K7970" s="62">
        <v>852.32</v>
      </c>
      <c r="L7970" s="33" t="e">
        <f>HLOOKUP(B7970,#REF!,1,0)</f>
        <v>#REF!</v>
      </c>
      <c r="M7970" s="33" t="str">
        <f t="shared" si="499"/>
        <v>P&amp;L</v>
      </c>
    </row>
    <row r="7971" spans="1:13">
      <c r="A7971" s="33" t="str">
        <f t="shared" si="496"/>
        <v>SCL - CGS</v>
      </c>
      <c r="B7971" s="33" t="str">
        <f t="shared" si="497"/>
        <v>SCL</v>
      </c>
      <c r="C7971" s="33" t="str">
        <f t="shared" si="498"/>
        <v>53005-7394</v>
      </c>
      <c r="D7971" s="64" t="s">
        <v>9220</v>
      </c>
      <c r="E7971" s="64" t="s">
        <v>2966</v>
      </c>
      <c r="F7971" s="64" t="s">
        <v>15</v>
      </c>
      <c r="G7971" s="64" t="s">
        <v>2921</v>
      </c>
      <c r="H7971" s="64" t="s">
        <v>1875</v>
      </c>
      <c r="I7971" s="64" t="s">
        <v>2946</v>
      </c>
      <c r="J7971" s="67">
        <v>0</v>
      </c>
      <c r="K7971" s="62">
        <v>1684.84</v>
      </c>
      <c r="L7971" s="33" t="e">
        <f>HLOOKUP(B7971,#REF!,1,0)</f>
        <v>#REF!</v>
      </c>
      <c r="M7971" s="33" t="str">
        <f t="shared" si="499"/>
        <v>P&amp;L</v>
      </c>
    </row>
    <row r="7972" spans="1:13">
      <c r="A7972" s="33" t="str">
        <f t="shared" si="496"/>
        <v>SCL - CGS</v>
      </c>
      <c r="B7972" s="33" t="str">
        <f t="shared" si="497"/>
        <v>SCL</v>
      </c>
      <c r="C7972" s="33" t="str">
        <f t="shared" si="498"/>
        <v>53005-7397</v>
      </c>
      <c r="D7972" s="64" t="s">
        <v>9221</v>
      </c>
      <c r="E7972" s="64" t="s">
        <v>2966</v>
      </c>
      <c r="F7972" s="64" t="s">
        <v>15</v>
      </c>
      <c r="G7972" s="64" t="s">
        <v>2921</v>
      </c>
      <c r="H7972" s="64" t="s">
        <v>1875</v>
      </c>
      <c r="I7972" s="64" t="s">
        <v>2946</v>
      </c>
      <c r="J7972" s="67">
        <v>0</v>
      </c>
      <c r="K7972" s="62">
        <v>1776</v>
      </c>
      <c r="L7972" s="33" t="e">
        <f>HLOOKUP(B7972,#REF!,1,0)</f>
        <v>#REF!</v>
      </c>
      <c r="M7972" s="33" t="str">
        <f t="shared" si="499"/>
        <v>P&amp;L</v>
      </c>
    </row>
    <row r="7973" spans="1:13">
      <c r="A7973" s="33" t="str">
        <f t="shared" si="496"/>
        <v>SCL - CGS</v>
      </c>
      <c r="B7973" s="33" t="str">
        <f t="shared" si="497"/>
        <v>SCL</v>
      </c>
      <c r="C7973" s="33" t="str">
        <f t="shared" si="498"/>
        <v>53005-7398</v>
      </c>
      <c r="D7973" s="64" t="s">
        <v>9222</v>
      </c>
      <c r="E7973" s="64" t="s">
        <v>2966</v>
      </c>
      <c r="F7973" s="64" t="s">
        <v>15</v>
      </c>
      <c r="G7973" s="64" t="s">
        <v>2921</v>
      </c>
      <c r="H7973" s="64" t="s">
        <v>1875</v>
      </c>
      <c r="I7973" s="64" t="s">
        <v>2946</v>
      </c>
      <c r="J7973" s="67">
        <v>0</v>
      </c>
      <c r="K7973" s="62">
        <v>3061.5</v>
      </c>
      <c r="L7973" s="33" t="e">
        <f>HLOOKUP(B7973,#REF!,1,0)</f>
        <v>#REF!</v>
      </c>
      <c r="M7973" s="33" t="str">
        <f t="shared" si="499"/>
        <v>P&amp;L</v>
      </c>
    </row>
    <row r="7974" spans="1:13">
      <c r="A7974" s="33" t="str">
        <f t="shared" si="496"/>
        <v>SCL - CGS</v>
      </c>
      <c r="B7974" s="33" t="str">
        <f t="shared" si="497"/>
        <v>SCL</v>
      </c>
      <c r="C7974" s="33" t="str">
        <f t="shared" si="498"/>
        <v>53005-7400</v>
      </c>
      <c r="D7974" s="64" t="s">
        <v>9223</v>
      </c>
      <c r="E7974" s="64" t="s">
        <v>2966</v>
      </c>
      <c r="F7974" s="64" t="s">
        <v>15</v>
      </c>
      <c r="G7974" s="64" t="s">
        <v>2921</v>
      </c>
      <c r="H7974" s="64" t="s">
        <v>1875</v>
      </c>
      <c r="I7974" s="64" t="s">
        <v>2946</v>
      </c>
      <c r="J7974" s="67">
        <v>0</v>
      </c>
      <c r="K7974" s="62">
        <v>1987.78</v>
      </c>
      <c r="L7974" s="33" t="e">
        <f>HLOOKUP(B7974,#REF!,1,0)</f>
        <v>#REF!</v>
      </c>
      <c r="M7974" s="33" t="str">
        <f t="shared" si="499"/>
        <v>P&amp;L</v>
      </c>
    </row>
    <row r="7975" spans="1:13">
      <c r="A7975" s="33" t="str">
        <f t="shared" si="496"/>
        <v>SCL - CGS</v>
      </c>
      <c r="B7975" s="33" t="str">
        <f t="shared" si="497"/>
        <v>SCL</v>
      </c>
      <c r="C7975" s="33" t="str">
        <f t="shared" si="498"/>
        <v>53005-7403</v>
      </c>
      <c r="D7975" s="64" t="s">
        <v>9224</v>
      </c>
      <c r="E7975" s="64" t="s">
        <v>2966</v>
      </c>
      <c r="F7975" s="64" t="s">
        <v>15</v>
      </c>
      <c r="G7975" s="64" t="s">
        <v>2921</v>
      </c>
      <c r="H7975" s="64" t="s">
        <v>1875</v>
      </c>
      <c r="I7975" s="64" t="s">
        <v>2946</v>
      </c>
      <c r="J7975" s="67">
        <v>3120</v>
      </c>
      <c r="K7975" s="62">
        <v>3120</v>
      </c>
      <c r="L7975" s="33" t="e">
        <f>HLOOKUP(B7975,#REF!,1,0)</f>
        <v>#REF!</v>
      </c>
      <c r="M7975" s="33" t="str">
        <f t="shared" si="499"/>
        <v>P&amp;L</v>
      </c>
    </row>
    <row r="7976" spans="1:13">
      <c r="A7976" s="33" t="str">
        <f t="shared" si="496"/>
        <v>SCL - CGS</v>
      </c>
      <c r="B7976" s="33" t="str">
        <f t="shared" si="497"/>
        <v>SCL</v>
      </c>
      <c r="C7976" s="33" t="str">
        <f t="shared" si="498"/>
        <v>53005-7489</v>
      </c>
      <c r="D7976" s="64" t="s">
        <v>9225</v>
      </c>
      <c r="E7976" s="64" t="s">
        <v>2966</v>
      </c>
      <c r="F7976" s="64" t="s">
        <v>15</v>
      </c>
      <c r="G7976" s="64" t="s">
        <v>2921</v>
      </c>
      <c r="H7976" s="64" t="s">
        <v>1875</v>
      </c>
      <c r="I7976" s="64" t="s">
        <v>2946</v>
      </c>
      <c r="J7976" s="67">
        <v>0</v>
      </c>
      <c r="K7976" s="62">
        <v>2587.09</v>
      </c>
      <c r="L7976" s="33" t="e">
        <f>HLOOKUP(B7976,#REF!,1,0)</f>
        <v>#REF!</v>
      </c>
      <c r="M7976" s="33" t="str">
        <f t="shared" si="499"/>
        <v>P&amp;L</v>
      </c>
    </row>
    <row r="7977" spans="1:13">
      <c r="A7977" s="33" t="str">
        <f t="shared" si="496"/>
        <v>SCL - CGS</v>
      </c>
      <c r="B7977" s="33" t="str">
        <f t="shared" si="497"/>
        <v>SCL</v>
      </c>
      <c r="C7977" s="33" t="str">
        <f t="shared" si="498"/>
        <v>53005-7493</v>
      </c>
      <c r="D7977" s="64" t="s">
        <v>9226</v>
      </c>
      <c r="E7977" s="64" t="s">
        <v>2966</v>
      </c>
      <c r="F7977" s="64" t="s">
        <v>15</v>
      </c>
      <c r="G7977" s="64" t="s">
        <v>2921</v>
      </c>
      <c r="H7977" s="64" t="s">
        <v>1875</v>
      </c>
      <c r="I7977" s="64" t="s">
        <v>2946</v>
      </c>
      <c r="J7977" s="67">
        <v>0</v>
      </c>
      <c r="K7977" s="62">
        <v>2894.6</v>
      </c>
      <c r="L7977" s="33" t="e">
        <f>HLOOKUP(B7977,#REF!,1,0)</f>
        <v>#REF!</v>
      </c>
      <c r="M7977" s="33" t="str">
        <f t="shared" si="499"/>
        <v>P&amp;L</v>
      </c>
    </row>
    <row r="7978" spans="1:13">
      <c r="A7978" s="33" t="str">
        <f t="shared" si="496"/>
        <v>SCL - CGS</v>
      </c>
      <c r="B7978" s="33" t="str">
        <f t="shared" si="497"/>
        <v>SCL</v>
      </c>
      <c r="C7978" s="33" t="str">
        <f t="shared" si="498"/>
        <v>53006-7351</v>
      </c>
      <c r="D7978" s="64" t="s">
        <v>9227</v>
      </c>
      <c r="E7978" s="64" t="s">
        <v>2970</v>
      </c>
      <c r="F7978" s="64" t="s">
        <v>15</v>
      </c>
      <c r="G7978" s="64" t="s">
        <v>2921</v>
      </c>
      <c r="H7978" s="64" t="s">
        <v>1875</v>
      </c>
      <c r="I7978" s="64" t="s">
        <v>2946</v>
      </c>
      <c r="J7978" s="67">
        <v>0</v>
      </c>
      <c r="K7978" s="62">
        <v>1237.4</v>
      </c>
      <c r="L7978" s="33" t="e">
        <f>HLOOKUP(B7978,#REF!,1,0)</f>
        <v>#REF!</v>
      </c>
      <c r="M7978" s="33" t="str">
        <f t="shared" si="499"/>
        <v>P&amp;L</v>
      </c>
    </row>
    <row r="7979" spans="1:13">
      <c r="A7979" s="33" t="str">
        <f t="shared" si="496"/>
        <v>SCL - CGS</v>
      </c>
      <c r="B7979" s="33" t="str">
        <f t="shared" si="497"/>
        <v>SCL</v>
      </c>
      <c r="C7979" s="33" t="str">
        <f t="shared" si="498"/>
        <v>53006-7352</v>
      </c>
      <c r="D7979" s="64" t="s">
        <v>9228</v>
      </c>
      <c r="E7979" s="64" t="s">
        <v>2970</v>
      </c>
      <c r="F7979" s="64" t="s">
        <v>15</v>
      </c>
      <c r="G7979" s="64" t="s">
        <v>2921</v>
      </c>
      <c r="H7979" s="64" t="s">
        <v>1875</v>
      </c>
      <c r="I7979" s="64" t="s">
        <v>2946</v>
      </c>
      <c r="J7979" s="67">
        <v>0</v>
      </c>
      <c r="K7979" s="62">
        <v>1032.13</v>
      </c>
      <c r="L7979" s="33" t="e">
        <f>HLOOKUP(B7979,#REF!,1,0)</f>
        <v>#REF!</v>
      </c>
      <c r="M7979" s="33" t="str">
        <f t="shared" si="499"/>
        <v>P&amp;L</v>
      </c>
    </row>
    <row r="7980" spans="1:13">
      <c r="A7980" s="33" t="str">
        <f t="shared" si="496"/>
        <v>SCL - CGS</v>
      </c>
      <c r="B7980" s="33" t="str">
        <f t="shared" si="497"/>
        <v>SCL</v>
      </c>
      <c r="C7980" s="33" t="str">
        <f t="shared" si="498"/>
        <v>53006-7355</v>
      </c>
      <c r="D7980" s="64" t="s">
        <v>9229</v>
      </c>
      <c r="E7980" s="64" t="s">
        <v>2970</v>
      </c>
      <c r="F7980" s="64" t="s">
        <v>15</v>
      </c>
      <c r="G7980" s="64" t="s">
        <v>2921</v>
      </c>
      <c r="H7980" s="64" t="s">
        <v>1875</v>
      </c>
      <c r="I7980" s="64" t="s">
        <v>2946</v>
      </c>
      <c r="J7980" s="67">
        <v>0</v>
      </c>
      <c r="K7980" s="62">
        <v>1269.68</v>
      </c>
      <c r="L7980" s="33" t="e">
        <f>HLOOKUP(B7980,#REF!,1,0)</f>
        <v>#REF!</v>
      </c>
      <c r="M7980" s="33" t="str">
        <f t="shared" si="499"/>
        <v>P&amp;L</v>
      </c>
    </row>
    <row r="7981" spans="1:13">
      <c r="A7981" s="33" t="str">
        <f t="shared" si="496"/>
        <v>SCL - CGS</v>
      </c>
      <c r="B7981" s="33" t="str">
        <f t="shared" si="497"/>
        <v>SCL</v>
      </c>
      <c r="C7981" s="33" t="str">
        <f t="shared" si="498"/>
        <v>53006-7356</v>
      </c>
      <c r="D7981" s="64" t="s">
        <v>9230</v>
      </c>
      <c r="E7981" s="64" t="s">
        <v>2970</v>
      </c>
      <c r="F7981" s="64" t="s">
        <v>15</v>
      </c>
      <c r="G7981" s="64" t="s">
        <v>2921</v>
      </c>
      <c r="H7981" s="64" t="s">
        <v>1875</v>
      </c>
      <c r="I7981" s="64" t="s">
        <v>2946</v>
      </c>
      <c r="J7981" s="67">
        <v>0</v>
      </c>
      <c r="K7981" s="62">
        <v>1270.9</v>
      </c>
      <c r="L7981" s="33" t="e">
        <f>HLOOKUP(B7981,#REF!,1,0)</f>
        <v>#REF!</v>
      </c>
      <c r="M7981" s="33" t="str">
        <f t="shared" si="499"/>
        <v>P&amp;L</v>
      </c>
    </row>
    <row r="7982" spans="1:13">
      <c r="A7982" s="33" t="str">
        <f t="shared" si="496"/>
        <v>SCL - CGS</v>
      </c>
      <c r="B7982" s="33" t="str">
        <f t="shared" si="497"/>
        <v>SCL</v>
      </c>
      <c r="C7982" s="33" t="str">
        <f t="shared" si="498"/>
        <v>53006-7359</v>
      </c>
      <c r="D7982" s="64" t="s">
        <v>9231</v>
      </c>
      <c r="E7982" s="64" t="s">
        <v>2970</v>
      </c>
      <c r="F7982" s="64" t="s">
        <v>15</v>
      </c>
      <c r="G7982" s="64" t="s">
        <v>2921</v>
      </c>
      <c r="H7982" s="64" t="s">
        <v>1875</v>
      </c>
      <c r="I7982" s="64" t="s">
        <v>2946</v>
      </c>
      <c r="J7982" s="67">
        <v>0</v>
      </c>
      <c r="K7982" s="62">
        <v>1187.98</v>
      </c>
      <c r="L7982" s="33" t="e">
        <f>HLOOKUP(B7982,#REF!,1,0)</f>
        <v>#REF!</v>
      </c>
      <c r="M7982" s="33" t="str">
        <f t="shared" si="499"/>
        <v>P&amp;L</v>
      </c>
    </row>
    <row r="7983" spans="1:13">
      <c r="A7983" s="33" t="str">
        <f t="shared" si="496"/>
        <v>SCL - CGS</v>
      </c>
      <c r="B7983" s="33" t="str">
        <f t="shared" si="497"/>
        <v>SCL</v>
      </c>
      <c r="C7983" s="33" t="str">
        <f t="shared" si="498"/>
        <v>53006-7360</v>
      </c>
      <c r="D7983" s="64" t="s">
        <v>9232</v>
      </c>
      <c r="E7983" s="64" t="s">
        <v>2970</v>
      </c>
      <c r="F7983" s="64" t="s">
        <v>15</v>
      </c>
      <c r="G7983" s="64" t="s">
        <v>2921</v>
      </c>
      <c r="H7983" s="64" t="s">
        <v>1875</v>
      </c>
      <c r="I7983" s="64" t="s">
        <v>2946</v>
      </c>
      <c r="J7983" s="67">
        <v>0</v>
      </c>
      <c r="K7983" s="62">
        <v>1931.98</v>
      </c>
      <c r="L7983" s="33" t="e">
        <f>HLOOKUP(B7983,#REF!,1,0)</f>
        <v>#REF!</v>
      </c>
      <c r="M7983" s="33" t="str">
        <f t="shared" si="499"/>
        <v>P&amp;L</v>
      </c>
    </row>
    <row r="7984" spans="1:13">
      <c r="A7984" s="33" t="str">
        <f t="shared" si="496"/>
        <v>SCL - CGS</v>
      </c>
      <c r="B7984" s="33" t="str">
        <f t="shared" si="497"/>
        <v>SCL</v>
      </c>
      <c r="C7984" s="33" t="str">
        <f t="shared" si="498"/>
        <v>53006-7361</v>
      </c>
      <c r="D7984" s="64" t="s">
        <v>9233</v>
      </c>
      <c r="E7984" s="64" t="s">
        <v>2970</v>
      </c>
      <c r="F7984" s="64" t="s">
        <v>15</v>
      </c>
      <c r="G7984" s="64" t="s">
        <v>2921</v>
      </c>
      <c r="H7984" s="64" t="s">
        <v>1875</v>
      </c>
      <c r="I7984" s="64" t="s">
        <v>2946</v>
      </c>
      <c r="J7984" s="67">
        <v>0</v>
      </c>
      <c r="K7984" s="62">
        <v>2208.08</v>
      </c>
      <c r="L7984" s="33" t="e">
        <f>HLOOKUP(B7984,#REF!,1,0)</f>
        <v>#REF!</v>
      </c>
      <c r="M7984" s="33" t="str">
        <f t="shared" si="499"/>
        <v>P&amp;L</v>
      </c>
    </row>
    <row r="7985" spans="1:13">
      <c r="A7985" s="33" t="str">
        <f t="shared" si="496"/>
        <v>SCL - CGS</v>
      </c>
      <c r="B7985" s="33" t="str">
        <f t="shared" si="497"/>
        <v>SCL</v>
      </c>
      <c r="C7985" s="33" t="str">
        <f t="shared" si="498"/>
        <v>53006-7362</v>
      </c>
      <c r="D7985" s="64" t="s">
        <v>9234</v>
      </c>
      <c r="E7985" s="64" t="s">
        <v>2970</v>
      </c>
      <c r="F7985" s="64" t="s">
        <v>15</v>
      </c>
      <c r="G7985" s="64" t="s">
        <v>2921</v>
      </c>
      <c r="H7985" s="64" t="s">
        <v>1875</v>
      </c>
      <c r="I7985" s="64" t="s">
        <v>2946</v>
      </c>
      <c r="J7985" s="67">
        <v>0</v>
      </c>
      <c r="K7985" s="62">
        <v>903.05</v>
      </c>
      <c r="L7985" s="33" t="e">
        <f>HLOOKUP(B7985,#REF!,1,0)</f>
        <v>#REF!</v>
      </c>
      <c r="M7985" s="33" t="str">
        <f t="shared" si="499"/>
        <v>P&amp;L</v>
      </c>
    </row>
    <row r="7986" spans="1:13">
      <c r="A7986" s="33" t="str">
        <f t="shared" si="496"/>
        <v>SCL - CGS</v>
      </c>
      <c r="B7986" s="33" t="str">
        <f t="shared" si="497"/>
        <v>SCL</v>
      </c>
      <c r="C7986" s="33" t="str">
        <f t="shared" si="498"/>
        <v>53006-7363</v>
      </c>
      <c r="D7986" s="64" t="s">
        <v>9235</v>
      </c>
      <c r="E7986" s="64" t="s">
        <v>2970</v>
      </c>
      <c r="F7986" s="64" t="s">
        <v>15</v>
      </c>
      <c r="G7986" s="64" t="s">
        <v>2921</v>
      </c>
      <c r="H7986" s="64" t="s">
        <v>1875</v>
      </c>
      <c r="I7986" s="64" t="s">
        <v>2946</v>
      </c>
      <c r="J7986" s="67">
        <v>0</v>
      </c>
      <c r="K7986" s="62">
        <v>1525.61</v>
      </c>
      <c r="L7986" s="33" t="e">
        <f>HLOOKUP(B7986,#REF!,1,0)</f>
        <v>#REF!</v>
      </c>
      <c r="M7986" s="33" t="str">
        <f t="shared" si="499"/>
        <v>P&amp;L</v>
      </c>
    </row>
    <row r="7987" spans="1:13">
      <c r="A7987" s="33" t="str">
        <f t="shared" si="496"/>
        <v>SCL - CGS</v>
      </c>
      <c r="B7987" s="33" t="str">
        <f t="shared" si="497"/>
        <v>SCL</v>
      </c>
      <c r="C7987" s="33" t="str">
        <f t="shared" si="498"/>
        <v>53006-7364</v>
      </c>
      <c r="D7987" s="64" t="s">
        <v>9236</v>
      </c>
      <c r="E7987" s="64" t="s">
        <v>2970</v>
      </c>
      <c r="F7987" s="64" t="s">
        <v>15</v>
      </c>
      <c r="G7987" s="64" t="s">
        <v>2921</v>
      </c>
      <c r="H7987" s="64" t="s">
        <v>1875</v>
      </c>
      <c r="I7987" s="64" t="s">
        <v>2946</v>
      </c>
      <c r="J7987" s="67">
        <v>0</v>
      </c>
      <c r="K7987" s="62">
        <v>552.43</v>
      </c>
      <c r="L7987" s="33" t="e">
        <f>HLOOKUP(B7987,#REF!,1,0)</f>
        <v>#REF!</v>
      </c>
      <c r="M7987" s="33" t="str">
        <f t="shared" si="499"/>
        <v>P&amp;L</v>
      </c>
    </row>
    <row r="7988" spans="1:13">
      <c r="A7988" s="33" t="str">
        <f t="shared" si="496"/>
        <v>SCL - CGS</v>
      </c>
      <c r="B7988" s="33" t="str">
        <f t="shared" si="497"/>
        <v>SCL</v>
      </c>
      <c r="C7988" s="33" t="str">
        <f t="shared" si="498"/>
        <v>53006-7365</v>
      </c>
      <c r="D7988" s="64" t="s">
        <v>9237</v>
      </c>
      <c r="E7988" s="64" t="s">
        <v>2970</v>
      </c>
      <c r="F7988" s="64" t="s">
        <v>15</v>
      </c>
      <c r="G7988" s="64" t="s">
        <v>2921</v>
      </c>
      <c r="H7988" s="64" t="s">
        <v>1875</v>
      </c>
      <c r="I7988" s="64" t="s">
        <v>2946</v>
      </c>
      <c r="J7988" s="67">
        <v>0</v>
      </c>
      <c r="K7988" s="62">
        <v>1311.64</v>
      </c>
      <c r="L7988" s="33" t="e">
        <f>HLOOKUP(B7988,#REF!,1,0)</f>
        <v>#REF!</v>
      </c>
      <c r="M7988" s="33" t="str">
        <f t="shared" si="499"/>
        <v>P&amp;L</v>
      </c>
    </row>
    <row r="7989" spans="1:13">
      <c r="A7989" s="33" t="str">
        <f t="shared" si="496"/>
        <v>SCL - CGS</v>
      </c>
      <c r="B7989" s="33" t="str">
        <f t="shared" si="497"/>
        <v>SCL</v>
      </c>
      <c r="C7989" s="33" t="str">
        <f t="shared" si="498"/>
        <v>53006-7366</v>
      </c>
      <c r="D7989" s="64" t="s">
        <v>9238</v>
      </c>
      <c r="E7989" s="64" t="s">
        <v>2970</v>
      </c>
      <c r="F7989" s="64" t="s">
        <v>15</v>
      </c>
      <c r="G7989" s="64" t="s">
        <v>2921</v>
      </c>
      <c r="H7989" s="64" t="s">
        <v>1875</v>
      </c>
      <c r="I7989" s="64" t="s">
        <v>2946</v>
      </c>
      <c r="J7989" s="67">
        <v>0</v>
      </c>
      <c r="K7989" s="62">
        <v>1657.95</v>
      </c>
      <c r="L7989" s="33" t="e">
        <f>HLOOKUP(B7989,#REF!,1,0)</f>
        <v>#REF!</v>
      </c>
      <c r="M7989" s="33" t="str">
        <f t="shared" si="499"/>
        <v>P&amp;L</v>
      </c>
    </row>
    <row r="7990" spans="1:13">
      <c r="A7990" s="33" t="str">
        <f t="shared" si="496"/>
        <v>SCL - CGS</v>
      </c>
      <c r="B7990" s="33" t="str">
        <f t="shared" si="497"/>
        <v>SCL</v>
      </c>
      <c r="C7990" s="33" t="str">
        <f t="shared" si="498"/>
        <v>53006-7368</v>
      </c>
      <c r="D7990" s="64" t="s">
        <v>9239</v>
      </c>
      <c r="E7990" s="64" t="s">
        <v>2970</v>
      </c>
      <c r="F7990" s="64" t="s">
        <v>15</v>
      </c>
      <c r="G7990" s="64" t="s">
        <v>2921</v>
      </c>
      <c r="H7990" s="64" t="s">
        <v>1875</v>
      </c>
      <c r="I7990" s="64" t="s">
        <v>2946</v>
      </c>
      <c r="J7990" s="67">
        <v>0</v>
      </c>
      <c r="K7990" s="62">
        <v>1949.84</v>
      </c>
      <c r="L7990" s="33" t="e">
        <f>HLOOKUP(B7990,#REF!,1,0)</f>
        <v>#REF!</v>
      </c>
      <c r="M7990" s="33" t="str">
        <f t="shared" si="499"/>
        <v>P&amp;L</v>
      </c>
    </row>
    <row r="7991" spans="1:13">
      <c r="A7991" s="33" t="str">
        <f t="shared" si="496"/>
        <v>SCL - CGS</v>
      </c>
      <c r="B7991" s="33" t="str">
        <f t="shared" si="497"/>
        <v>SCL</v>
      </c>
      <c r="C7991" s="33" t="str">
        <f t="shared" si="498"/>
        <v>53006-7369</v>
      </c>
      <c r="D7991" s="64" t="s">
        <v>9240</v>
      </c>
      <c r="E7991" s="64" t="s">
        <v>2970</v>
      </c>
      <c r="F7991" s="64" t="s">
        <v>15</v>
      </c>
      <c r="G7991" s="64" t="s">
        <v>2921</v>
      </c>
      <c r="H7991" s="64" t="s">
        <v>1875</v>
      </c>
      <c r="I7991" s="64" t="s">
        <v>2946</v>
      </c>
      <c r="J7991" s="67">
        <v>0</v>
      </c>
      <c r="K7991" s="62">
        <v>1567.22</v>
      </c>
      <c r="L7991" s="33" t="e">
        <f>HLOOKUP(B7991,#REF!,1,0)</f>
        <v>#REF!</v>
      </c>
      <c r="M7991" s="33" t="str">
        <f t="shared" si="499"/>
        <v>P&amp;L</v>
      </c>
    </row>
    <row r="7992" spans="1:13">
      <c r="A7992" s="33" t="str">
        <f t="shared" si="496"/>
        <v>SCL - CGS</v>
      </c>
      <c r="B7992" s="33" t="str">
        <f t="shared" si="497"/>
        <v>SCL</v>
      </c>
      <c r="C7992" s="33" t="str">
        <f t="shared" si="498"/>
        <v>53006-7371</v>
      </c>
      <c r="D7992" s="64" t="s">
        <v>9241</v>
      </c>
      <c r="E7992" s="64" t="s">
        <v>2970</v>
      </c>
      <c r="F7992" s="64" t="s">
        <v>15</v>
      </c>
      <c r="G7992" s="64" t="s">
        <v>2921</v>
      </c>
      <c r="H7992" s="64" t="s">
        <v>1875</v>
      </c>
      <c r="I7992" s="64" t="s">
        <v>2946</v>
      </c>
      <c r="J7992" s="67">
        <v>0</v>
      </c>
      <c r="K7992" s="62">
        <v>1304.13</v>
      </c>
      <c r="L7992" s="33" t="e">
        <f>HLOOKUP(B7992,#REF!,1,0)</f>
        <v>#REF!</v>
      </c>
      <c r="M7992" s="33" t="str">
        <f t="shared" si="499"/>
        <v>P&amp;L</v>
      </c>
    </row>
    <row r="7993" spans="1:13">
      <c r="A7993" s="33" t="str">
        <f t="shared" si="496"/>
        <v>SCL - CGS</v>
      </c>
      <c r="B7993" s="33" t="str">
        <f t="shared" si="497"/>
        <v>SCL</v>
      </c>
      <c r="C7993" s="33" t="str">
        <f t="shared" si="498"/>
        <v>53006-7374</v>
      </c>
      <c r="D7993" s="64" t="s">
        <v>9242</v>
      </c>
      <c r="E7993" s="64" t="s">
        <v>2970</v>
      </c>
      <c r="F7993" s="64" t="s">
        <v>15</v>
      </c>
      <c r="G7993" s="64" t="s">
        <v>2921</v>
      </c>
      <c r="H7993" s="64" t="s">
        <v>1875</v>
      </c>
      <c r="I7993" s="64" t="s">
        <v>2946</v>
      </c>
      <c r="J7993" s="67">
        <v>0</v>
      </c>
      <c r="K7993" s="62">
        <v>1932.2</v>
      </c>
      <c r="L7993" s="33" t="e">
        <f>HLOOKUP(B7993,#REF!,1,0)</f>
        <v>#REF!</v>
      </c>
      <c r="M7993" s="33" t="str">
        <f t="shared" si="499"/>
        <v>P&amp;L</v>
      </c>
    </row>
    <row r="7994" spans="1:13">
      <c r="A7994" s="33" t="str">
        <f t="shared" si="496"/>
        <v>SCL - CGS</v>
      </c>
      <c r="B7994" s="33" t="str">
        <f t="shared" si="497"/>
        <v>SCL</v>
      </c>
      <c r="C7994" s="33" t="str">
        <f t="shared" si="498"/>
        <v>53006-7375</v>
      </c>
      <c r="D7994" s="64" t="s">
        <v>9243</v>
      </c>
      <c r="E7994" s="64" t="s">
        <v>2970</v>
      </c>
      <c r="F7994" s="64" t="s">
        <v>15</v>
      </c>
      <c r="G7994" s="64" t="s">
        <v>2921</v>
      </c>
      <c r="H7994" s="64" t="s">
        <v>1875</v>
      </c>
      <c r="I7994" s="64" t="s">
        <v>2946</v>
      </c>
      <c r="J7994" s="67">
        <v>0</v>
      </c>
      <c r="K7994" s="62">
        <v>1517.77</v>
      </c>
      <c r="L7994" s="33" t="e">
        <f>HLOOKUP(B7994,#REF!,1,0)</f>
        <v>#REF!</v>
      </c>
      <c r="M7994" s="33" t="str">
        <f t="shared" si="499"/>
        <v>P&amp;L</v>
      </c>
    </row>
    <row r="7995" spans="1:13">
      <c r="A7995" s="33" t="str">
        <f t="shared" si="496"/>
        <v>SCL - CGS</v>
      </c>
      <c r="B7995" s="33" t="str">
        <f t="shared" si="497"/>
        <v>SCL</v>
      </c>
      <c r="C7995" s="33" t="str">
        <f t="shared" si="498"/>
        <v>53006-7376</v>
      </c>
      <c r="D7995" s="64" t="s">
        <v>9244</v>
      </c>
      <c r="E7995" s="64" t="s">
        <v>2970</v>
      </c>
      <c r="F7995" s="64" t="s">
        <v>15</v>
      </c>
      <c r="G7995" s="64" t="s">
        <v>2921</v>
      </c>
      <c r="H7995" s="64" t="s">
        <v>1875</v>
      </c>
      <c r="I7995" s="64" t="s">
        <v>2946</v>
      </c>
      <c r="J7995" s="67">
        <v>0</v>
      </c>
      <c r="K7995" s="62">
        <v>2953.34</v>
      </c>
      <c r="L7995" s="33" t="e">
        <f>HLOOKUP(B7995,#REF!,1,0)</f>
        <v>#REF!</v>
      </c>
      <c r="M7995" s="33" t="str">
        <f t="shared" si="499"/>
        <v>P&amp;L</v>
      </c>
    </row>
    <row r="7996" spans="1:13">
      <c r="A7996" s="33" t="str">
        <f t="shared" si="496"/>
        <v>SCL - CGS</v>
      </c>
      <c r="B7996" s="33" t="str">
        <f t="shared" si="497"/>
        <v>SCL</v>
      </c>
      <c r="C7996" s="33" t="str">
        <f t="shared" si="498"/>
        <v>53006-7377</v>
      </c>
      <c r="D7996" s="64" t="s">
        <v>9245</v>
      </c>
      <c r="E7996" s="64" t="s">
        <v>2970</v>
      </c>
      <c r="F7996" s="64" t="s">
        <v>15</v>
      </c>
      <c r="G7996" s="64" t="s">
        <v>2921</v>
      </c>
      <c r="H7996" s="64" t="s">
        <v>1875</v>
      </c>
      <c r="I7996" s="64" t="s">
        <v>2946</v>
      </c>
      <c r="J7996" s="67">
        <v>0</v>
      </c>
      <c r="K7996" s="62">
        <v>1666.68</v>
      </c>
      <c r="L7996" s="33" t="e">
        <f>HLOOKUP(B7996,#REF!,1,0)</f>
        <v>#REF!</v>
      </c>
      <c r="M7996" s="33" t="str">
        <f t="shared" si="499"/>
        <v>P&amp;L</v>
      </c>
    </row>
    <row r="7997" spans="1:13">
      <c r="A7997" s="33" t="str">
        <f t="shared" si="496"/>
        <v>SCL - CGS</v>
      </c>
      <c r="B7997" s="33" t="str">
        <f t="shared" si="497"/>
        <v>SCL</v>
      </c>
      <c r="C7997" s="33" t="str">
        <f t="shared" si="498"/>
        <v>53006-7378</v>
      </c>
      <c r="D7997" s="64" t="s">
        <v>9246</v>
      </c>
      <c r="E7997" s="64" t="s">
        <v>2970</v>
      </c>
      <c r="F7997" s="64" t="s">
        <v>15</v>
      </c>
      <c r="G7997" s="64" t="s">
        <v>2921</v>
      </c>
      <c r="H7997" s="64" t="s">
        <v>1875</v>
      </c>
      <c r="I7997" s="64" t="s">
        <v>2946</v>
      </c>
      <c r="J7997" s="67">
        <v>0</v>
      </c>
      <c r="K7997" s="62">
        <v>1903.63</v>
      </c>
      <c r="L7997" s="33" t="e">
        <f>HLOOKUP(B7997,#REF!,1,0)</f>
        <v>#REF!</v>
      </c>
      <c r="M7997" s="33" t="str">
        <f t="shared" si="499"/>
        <v>P&amp;L</v>
      </c>
    </row>
    <row r="7998" spans="1:13">
      <c r="A7998" s="33" t="str">
        <f t="shared" si="496"/>
        <v>SCL - CGS</v>
      </c>
      <c r="B7998" s="33" t="str">
        <f t="shared" si="497"/>
        <v>SCL</v>
      </c>
      <c r="C7998" s="33" t="str">
        <f t="shared" si="498"/>
        <v>53006-7379</v>
      </c>
      <c r="D7998" s="64" t="s">
        <v>9247</v>
      </c>
      <c r="E7998" s="64" t="s">
        <v>2970</v>
      </c>
      <c r="F7998" s="64" t="s">
        <v>15</v>
      </c>
      <c r="G7998" s="64" t="s">
        <v>2921</v>
      </c>
      <c r="H7998" s="64" t="s">
        <v>1875</v>
      </c>
      <c r="I7998" s="64" t="s">
        <v>2946</v>
      </c>
      <c r="J7998" s="67">
        <v>0</v>
      </c>
      <c r="K7998" s="62">
        <v>1363.9</v>
      </c>
      <c r="L7998" s="33" t="e">
        <f>HLOOKUP(B7998,#REF!,1,0)</f>
        <v>#REF!</v>
      </c>
      <c r="M7998" s="33" t="str">
        <f t="shared" si="499"/>
        <v>P&amp;L</v>
      </c>
    </row>
    <row r="7999" spans="1:13">
      <c r="A7999" s="33" t="str">
        <f t="shared" si="496"/>
        <v>SCL - CGS</v>
      </c>
      <c r="B7999" s="33" t="str">
        <f t="shared" si="497"/>
        <v>SCL</v>
      </c>
      <c r="C7999" s="33" t="str">
        <f t="shared" si="498"/>
        <v>53006-7380</v>
      </c>
      <c r="D7999" s="64" t="s">
        <v>9248</v>
      </c>
      <c r="E7999" s="64" t="s">
        <v>2970</v>
      </c>
      <c r="F7999" s="64" t="s">
        <v>15</v>
      </c>
      <c r="G7999" s="64" t="s">
        <v>2921</v>
      </c>
      <c r="H7999" s="64" t="s">
        <v>1875</v>
      </c>
      <c r="I7999" s="64" t="s">
        <v>2946</v>
      </c>
      <c r="J7999" s="67">
        <v>0</v>
      </c>
      <c r="K7999" s="62">
        <v>1179.94</v>
      </c>
      <c r="L7999" s="33" t="e">
        <f>HLOOKUP(B7999,#REF!,1,0)</f>
        <v>#REF!</v>
      </c>
      <c r="M7999" s="33" t="str">
        <f t="shared" si="499"/>
        <v>P&amp;L</v>
      </c>
    </row>
    <row r="8000" spans="1:13">
      <c r="A8000" s="33" t="str">
        <f t="shared" si="496"/>
        <v>SCL - CGS</v>
      </c>
      <c r="B8000" s="33" t="str">
        <f t="shared" si="497"/>
        <v>SCL</v>
      </c>
      <c r="C8000" s="33" t="str">
        <f t="shared" si="498"/>
        <v>53006-7381</v>
      </c>
      <c r="D8000" s="64" t="s">
        <v>9249</v>
      </c>
      <c r="E8000" s="64" t="s">
        <v>2970</v>
      </c>
      <c r="F8000" s="64" t="s">
        <v>15</v>
      </c>
      <c r="G8000" s="64" t="s">
        <v>2921</v>
      </c>
      <c r="H8000" s="64" t="s">
        <v>1875</v>
      </c>
      <c r="I8000" s="64" t="s">
        <v>2946</v>
      </c>
      <c r="J8000" s="67">
        <v>0</v>
      </c>
      <c r="K8000" s="62">
        <v>2156.17</v>
      </c>
      <c r="L8000" s="33" t="e">
        <f>HLOOKUP(B8000,#REF!,1,0)</f>
        <v>#REF!</v>
      </c>
      <c r="M8000" s="33" t="str">
        <f t="shared" si="499"/>
        <v>P&amp;L</v>
      </c>
    </row>
    <row r="8001" spans="1:13">
      <c r="A8001" s="33" t="str">
        <f t="shared" si="496"/>
        <v>SCL - CGS</v>
      </c>
      <c r="B8001" s="33" t="str">
        <f t="shared" si="497"/>
        <v>SCL</v>
      </c>
      <c r="C8001" s="33" t="str">
        <f t="shared" si="498"/>
        <v>53006-7383</v>
      </c>
      <c r="D8001" s="64" t="s">
        <v>9250</v>
      </c>
      <c r="E8001" s="64" t="s">
        <v>2970</v>
      </c>
      <c r="F8001" s="64" t="s">
        <v>15</v>
      </c>
      <c r="G8001" s="64" t="s">
        <v>2921</v>
      </c>
      <c r="H8001" s="64" t="s">
        <v>1875</v>
      </c>
      <c r="I8001" s="64" t="s">
        <v>2946</v>
      </c>
      <c r="J8001" s="67">
        <v>0</v>
      </c>
      <c r="K8001" s="62">
        <v>1557.18</v>
      </c>
      <c r="L8001" s="33" t="e">
        <f>HLOOKUP(B8001,#REF!,1,0)</f>
        <v>#REF!</v>
      </c>
      <c r="M8001" s="33" t="str">
        <f t="shared" si="499"/>
        <v>P&amp;L</v>
      </c>
    </row>
    <row r="8002" spans="1:13">
      <c r="A8002" s="33" t="str">
        <f t="shared" ref="A8002:A8065" si="500">B8002&amp;" - "&amp;TRIM(H8002)</f>
        <v>SCL - CGS</v>
      </c>
      <c r="B8002" s="33" t="str">
        <f t="shared" ref="B8002:B8065" si="501">LEFT(D8002,3)</f>
        <v>SCL</v>
      </c>
      <c r="C8002" s="33" t="str">
        <f t="shared" ref="C8002:C8065" si="502">RIGHT(D8002,10)</f>
        <v>53006-7385</v>
      </c>
      <c r="D8002" s="64" t="s">
        <v>9251</v>
      </c>
      <c r="E8002" s="64" t="s">
        <v>2970</v>
      </c>
      <c r="F8002" s="64" t="s">
        <v>15</v>
      </c>
      <c r="G8002" s="64" t="s">
        <v>2921</v>
      </c>
      <c r="H8002" s="64" t="s">
        <v>1875</v>
      </c>
      <c r="I8002" s="64" t="s">
        <v>2946</v>
      </c>
      <c r="J8002" s="67">
        <v>0</v>
      </c>
      <c r="K8002" s="62">
        <v>1251.99</v>
      </c>
      <c r="L8002" s="33" t="e">
        <f>HLOOKUP(B8002,#REF!,1,0)</f>
        <v>#REF!</v>
      </c>
      <c r="M8002" s="33" t="str">
        <f t="shared" ref="M8002:M8065" si="503">IF(VALUE(LEFT(C8002,5))&gt;40000,"P&amp;L","BS")</f>
        <v>P&amp;L</v>
      </c>
    </row>
    <row r="8003" spans="1:13">
      <c r="A8003" s="33" t="str">
        <f t="shared" si="500"/>
        <v>SCL - CGS</v>
      </c>
      <c r="B8003" s="33" t="str">
        <f t="shared" si="501"/>
        <v>SCL</v>
      </c>
      <c r="C8003" s="33" t="str">
        <f t="shared" si="502"/>
        <v>53006-7386</v>
      </c>
      <c r="D8003" s="64" t="s">
        <v>9252</v>
      </c>
      <c r="E8003" s="64" t="s">
        <v>2970</v>
      </c>
      <c r="F8003" s="64" t="s">
        <v>15</v>
      </c>
      <c r="G8003" s="64" t="s">
        <v>2921</v>
      </c>
      <c r="H8003" s="64" t="s">
        <v>1875</v>
      </c>
      <c r="I8003" s="64" t="s">
        <v>2946</v>
      </c>
      <c r="J8003" s="67">
        <v>0</v>
      </c>
      <c r="K8003" s="62">
        <v>1927.05</v>
      </c>
      <c r="L8003" s="33" t="e">
        <f>HLOOKUP(B8003,#REF!,1,0)</f>
        <v>#REF!</v>
      </c>
      <c r="M8003" s="33" t="str">
        <f t="shared" si="503"/>
        <v>P&amp;L</v>
      </c>
    </row>
    <row r="8004" spans="1:13">
      <c r="A8004" s="33" t="str">
        <f t="shared" si="500"/>
        <v>SCL - CGS</v>
      </c>
      <c r="B8004" s="33" t="str">
        <f t="shared" si="501"/>
        <v>SCL</v>
      </c>
      <c r="C8004" s="33" t="str">
        <f t="shared" si="502"/>
        <v>53006-7387</v>
      </c>
      <c r="D8004" s="64" t="s">
        <v>9253</v>
      </c>
      <c r="E8004" s="64" t="s">
        <v>2970</v>
      </c>
      <c r="F8004" s="64" t="s">
        <v>15</v>
      </c>
      <c r="G8004" s="64" t="s">
        <v>2921</v>
      </c>
      <c r="H8004" s="64" t="s">
        <v>1875</v>
      </c>
      <c r="I8004" s="64" t="s">
        <v>2946</v>
      </c>
      <c r="J8004" s="67">
        <v>0</v>
      </c>
      <c r="K8004" s="62">
        <v>1779.72</v>
      </c>
      <c r="L8004" s="33" t="e">
        <f>HLOOKUP(B8004,#REF!,1,0)</f>
        <v>#REF!</v>
      </c>
      <c r="M8004" s="33" t="str">
        <f t="shared" si="503"/>
        <v>P&amp;L</v>
      </c>
    </row>
    <row r="8005" spans="1:13">
      <c r="A8005" s="33" t="str">
        <f t="shared" si="500"/>
        <v>SCL - CGS</v>
      </c>
      <c r="B8005" s="33" t="str">
        <f t="shared" si="501"/>
        <v>SCL</v>
      </c>
      <c r="C8005" s="33" t="str">
        <f t="shared" si="502"/>
        <v>53006-7389</v>
      </c>
      <c r="D8005" s="64" t="s">
        <v>9254</v>
      </c>
      <c r="E8005" s="64" t="s">
        <v>2970</v>
      </c>
      <c r="F8005" s="64" t="s">
        <v>15</v>
      </c>
      <c r="G8005" s="64" t="s">
        <v>2921</v>
      </c>
      <c r="H8005" s="64" t="s">
        <v>1875</v>
      </c>
      <c r="I8005" s="64" t="s">
        <v>2946</v>
      </c>
      <c r="J8005" s="67">
        <v>0</v>
      </c>
      <c r="K8005" s="62">
        <v>1934.5</v>
      </c>
      <c r="L8005" s="33" t="e">
        <f>HLOOKUP(B8005,#REF!,1,0)</f>
        <v>#REF!</v>
      </c>
      <c r="M8005" s="33" t="str">
        <f t="shared" si="503"/>
        <v>P&amp;L</v>
      </c>
    </row>
    <row r="8006" spans="1:13">
      <c r="A8006" s="33" t="str">
        <f t="shared" si="500"/>
        <v>SCL - CGS</v>
      </c>
      <c r="B8006" s="33" t="str">
        <f t="shared" si="501"/>
        <v>SCL</v>
      </c>
      <c r="C8006" s="33" t="str">
        <f t="shared" si="502"/>
        <v>53006-7391</v>
      </c>
      <c r="D8006" s="64" t="s">
        <v>9255</v>
      </c>
      <c r="E8006" s="64" t="s">
        <v>2970</v>
      </c>
      <c r="F8006" s="64" t="s">
        <v>15</v>
      </c>
      <c r="G8006" s="64" t="s">
        <v>2921</v>
      </c>
      <c r="H8006" s="64" t="s">
        <v>1875</v>
      </c>
      <c r="I8006" s="64" t="s">
        <v>2946</v>
      </c>
      <c r="J8006" s="67">
        <v>0</v>
      </c>
      <c r="K8006" s="62">
        <v>1793.5</v>
      </c>
      <c r="L8006" s="33" t="e">
        <f>HLOOKUP(B8006,#REF!,1,0)</f>
        <v>#REF!</v>
      </c>
      <c r="M8006" s="33" t="str">
        <f t="shared" si="503"/>
        <v>P&amp;L</v>
      </c>
    </row>
    <row r="8007" spans="1:13">
      <c r="A8007" s="33" t="str">
        <f t="shared" si="500"/>
        <v>SCL - CGS</v>
      </c>
      <c r="B8007" s="33" t="str">
        <f t="shared" si="501"/>
        <v>SCL</v>
      </c>
      <c r="C8007" s="33" t="str">
        <f t="shared" si="502"/>
        <v>53006-7393</v>
      </c>
      <c r="D8007" s="64" t="s">
        <v>9256</v>
      </c>
      <c r="E8007" s="64" t="s">
        <v>2970</v>
      </c>
      <c r="F8007" s="64" t="s">
        <v>15</v>
      </c>
      <c r="G8007" s="64" t="s">
        <v>2921</v>
      </c>
      <c r="H8007" s="64" t="s">
        <v>1875</v>
      </c>
      <c r="I8007" s="64" t="s">
        <v>2946</v>
      </c>
      <c r="J8007" s="67">
        <v>0</v>
      </c>
      <c r="K8007" s="62">
        <v>1831.59</v>
      </c>
      <c r="L8007" s="33" t="e">
        <f>HLOOKUP(B8007,#REF!,1,0)</f>
        <v>#REF!</v>
      </c>
      <c r="M8007" s="33" t="str">
        <f t="shared" si="503"/>
        <v>P&amp;L</v>
      </c>
    </row>
    <row r="8008" spans="1:13">
      <c r="A8008" s="33" t="str">
        <f t="shared" si="500"/>
        <v>SCL - CGS</v>
      </c>
      <c r="B8008" s="33" t="str">
        <f t="shared" si="501"/>
        <v>SCL</v>
      </c>
      <c r="C8008" s="33" t="str">
        <f t="shared" si="502"/>
        <v>53006-7394</v>
      </c>
      <c r="D8008" s="64" t="s">
        <v>9257</v>
      </c>
      <c r="E8008" s="64" t="s">
        <v>2970</v>
      </c>
      <c r="F8008" s="64" t="s">
        <v>15</v>
      </c>
      <c r="G8008" s="64" t="s">
        <v>2921</v>
      </c>
      <c r="H8008" s="64" t="s">
        <v>1875</v>
      </c>
      <c r="I8008" s="64" t="s">
        <v>2946</v>
      </c>
      <c r="J8008" s="67">
        <v>0</v>
      </c>
      <c r="K8008" s="62">
        <v>1705.94</v>
      </c>
      <c r="L8008" s="33" t="e">
        <f>HLOOKUP(B8008,#REF!,1,0)</f>
        <v>#REF!</v>
      </c>
      <c r="M8008" s="33" t="str">
        <f t="shared" si="503"/>
        <v>P&amp;L</v>
      </c>
    </row>
    <row r="8009" spans="1:13">
      <c r="A8009" s="33" t="str">
        <f t="shared" si="500"/>
        <v>SCL - CGS</v>
      </c>
      <c r="B8009" s="33" t="str">
        <f t="shared" si="501"/>
        <v>SCL</v>
      </c>
      <c r="C8009" s="33" t="str">
        <f t="shared" si="502"/>
        <v>53006-7396</v>
      </c>
      <c r="D8009" s="64" t="s">
        <v>9258</v>
      </c>
      <c r="E8009" s="64" t="s">
        <v>2970</v>
      </c>
      <c r="F8009" s="64" t="s">
        <v>15</v>
      </c>
      <c r="G8009" s="64" t="s">
        <v>2921</v>
      </c>
      <c r="H8009" s="64" t="s">
        <v>1875</v>
      </c>
      <c r="I8009" s="64" t="s">
        <v>2946</v>
      </c>
      <c r="J8009" s="67">
        <v>0</v>
      </c>
      <c r="K8009" s="62">
        <v>1367.89</v>
      </c>
      <c r="L8009" s="33" t="e">
        <f>HLOOKUP(B8009,#REF!,1,0)</f>
        <v>#REF!</v>
      </c>
      <c r="M8009" s="33" t="str">
        <f t="shared" si="503"/>
        <v>P&amp;L</v>
      </c>
    </row>
    <row r="8010" spans="1:13">
      <c r="A8010" s="33" t="str">
        <f t="shared" si="500"/>
        <v>SCL - CGS</v>
      </c>
      <c r="B8010" s="33" t="str">
        <f t="shared" si="501"/>
        <v>SCL</v>
      </c>
      <c r="C8010" s="33" t="str">
        <f t="shared" si="502"/>
        <v>53006-7397</v>
      </c>
      <c r="D8010" s="64" t="s">
        <v>9259</v>
      </c>
      <c r="E8010" s="64" t="s">
        <v>2970</v>
      </c>
      <c r="F8010" s="64" t="s">
        <v>15</v>
      </c>
      <c r="G8010" s="64" t="s">
        <v>2921</v>
      </c>
      <c r="H8010" s="64" t="s">
        <v>1875</v>
      </c>
      <c r="I8010" s="64" t="s">
        <v>2946</v>
      </c>
      <c r="J8010" s="67">
        <v>0</v>
      </c>
      <c r="K8010" s="62">
        <v>2900.44</v>
      </c>
      <c r="L8010" s="33" t="e">
        <f>HLOOKUP(B8010,#REF!,1,0)</f>
        <v>#REF!</v>
      </c>
      <c r="M8010" s="33" t="str">
        <f t="shared" si="503"/>
        <v>P&amp;L</v>
      </c>
    </row>
    <row r="8011" spans="1:13">
      <c r="A8011" s="33" t="str">
        <f t="shared" si="500"/>
        <v>SCL - CGS</v>
      </c>
      <c r="B8011" s="33" t="str">
        <f t="shared" si="501"/>
        <v>SCL</v>
      </c>
      <c r="C8011" s="33" t="str">
        <f t="shared" si="502"/>
        <v>53006-7398</v>
      </c>
      <c r="D8011" s="64" t="s">
        <v>9260</v>
      </c>
      <c r="E8011" s="64" t="s">
        <v>2970</v>
      </c>
      <c r="F8011" s="64" t="s">
        <v>15</v>
      </c>
      <c r="G8011" s="64" t="s">
        <v>2921</v>
      </c>
      <c r="H8011" s="64" t="s">
        <v>1875</v>
      </c>
      <c r="I8011" s="64" t="s">
        <v>2946</v>
      </c>
      <c r="J8011" s="67">
        <v>0</v>
      </c>
      <c r="K8011" s="62">
        <v>2221</v>
      </c>
      <c r="L8011" s="33" t="e">
        <f>HLOOKUP(B8011,#REF!,1,0)</f>
        <v>#REF!</v>
      </c>
      <c r="M8011" s="33" t="str">
        <f t="shared" si="503"/>
        <v>P&amp;L</v>
      </c>
    </row>
    <row r="8012" spans="1:13">
      <c r="A8012" s="33" t="str">
        <f t="shared" si="500"/>
        <v>SCL - CGS</v>
      </c>
      <c r="B8012" s="33" t="str">
        <f t="shared" si="501"/>
        <v>SCL</v>
      </c>
      <c r="C8012" s="33" t="str">
        <f t="shared" si="502"/>
        <v>53006-7400</v>
      </c>
      <c r="D8012" s="64" t="s">
        <v>9261</v>
      </c>
      <c r="E8012" s="64" t="s">
        <v>2970</v>
      </c>
      <c r="F8012" s="64" t="s">
        <v>15</v>
      </c>
      <c r="G8012" s="64" t="s">
        <v>2921</v>
      </c>
      <c r="H8012" s="64" t="s">
        <v>1875</v>
      </c>
      <c r="I8012" s="64" t="s">
        <v>2946</v>
      </c>
      <c r="J8012" s="67">
        <v>0</v>
      </c>
      <c r="K8012" s="62">
        <v>1563.75</v>
      </c>
      <c r="L8012" s="33" t="e">
        <f>HLOOKUP(B8012,#REF!,1,0)</f>
        <v>#REF!</v>
      </c>
      <c r="M8012" s="33" t="str">
        <f t="shared" si="503"/>
        <v>P&amp;L</v>
      </c>
    </row>
    <row r="8013" spans="1:13">
      <c r="A8013" s="33" t="str">
        <f t="shared" si="500"/>
        <v>SCL - CGS</v>
      </c>
      <c r="B8013" s="33" t="str">
        <f t="shared" si="501"/>
        <v>SCL</v>
      </c>
      <c r="C8013" s="33" t="str">
        <f t="shared" si="502"/>
        <v>53006-7401</v>
      </c>
      <c r="D8013" s="64" t="s">
        <v>9262</v>
      </c>
      <c r="E8013" s="64" t="s">
        <v>2970</v>
      </c>
      <c r="F8013" s="64" t="s">
        <v>15</v>
      </c>
      <c r="G8013" s="64" t="s">
        <v>2921</v>
      </c>
      <c r="H8013" s="64" t="s">
        <v>1875</v>
      </c>
      <c r="I8013" s="64" t="s">
        <v>2946</v>
      </c>
      <c r="J8013" s="67">
        <v>0</v>
      </c>
      <c r="K8013" s="62">
        <v>1311.01</v>
      </c>
      <c r="L8013" s="33" t="e">
        <f>HLOOKUP(B8013,#REF!,1,0)</f>
        <v>#REF!</v>
      </c>
      <c r="M8013" s="33" t="str">
        <f t="shared" si="503"/>
        <v>P&amp;L</v>
      </c>
    </row>
    <row r="8014" spans="1:13">
      <c r="A8014" s="33" t="str">
        <f t="shared" si="500"/>
        <v>SCL - CGS</v>
      </c>
      <c r="B8014" s="33" t="str">
        <f t="shared" si="501"/>
        <v>SCL</v>
      </c>
      <c r="C8014" s="33" t="str">
        <f t="shared" si="502"/>
        <v>53006-7402</v>
      </c>
      <c r="D8014" s="64" t="s">
        <v>9263</v>
      </c>
      <c r="E8014" s="64" t="s">
        <v>2970</v>
      </c>
      <c r="F8014" s="64" t="s">
        <v>15</v>
      </c>
      <c r="G8014" s="64" t="s">
        <v>2921</v>
      </c>
      <c r="H8014" s="64" t="s">
        <v>1875</v>
      </c>
      <c r="I8014" s="64" t="s">
        <v>2946</v>
      </c>
      <c r="J8014" s="67">
        <v>0</v>
      </c>
      <c r="K8014" s="62">
        <v>1573.55</v>
      </c>
      <c r="L8014" s="33" t="e">
        <f>HLOOKUP(B8014,#REF!,1,0)</f>
        <v>#REF!</v>
      </c>
      <c r="M8014" s="33" t="str">
        <f t="shared" si="503"/>
        <v>P&amp;L</v>
      </c>
    </row>
    <row r="8015" spans="1:13">
      <c r="A8015" s="33" t="str">
        <f t="shared" si="500"/>
        <v>SCL - CGS</v>
      </c>
      <c r="B8015" s="33" t="str">
        <f t="shared" si="501"/>
        <v>SCL</v>
      </c>
      <c r="C8015" s="33" t="str">
        <f t="shared" si="502"/>
        <v>53006-7403</v>
      </c>
      <c r="D8015" s="64" t="s">
        <v>9264</v>
      </c>
      <c r="E8015" s="64" t="s">
        <v>2970</v>
      </c>
      <c r="F8015" s="64" t="s">
        <v>15</v>
      </c>
      <c r="G8015" s="64" t="s">
        <v>2921</v>
      </c>
      <c r="H8015" s="64" t="s">
        <v>1875</v>
      </c>
      <c r="I8015" s="64" t="s">
        <v>2946</v>
      </c>
      <c r="J8015" s="67">
        <v>0</v>
      </c>
      <c r="K8015" s="62">
        <v>1349.68</v>
      </c>
      <c r="L8015" s="33" t="e">
        <f>HLOOKUP(B8015,#REF!,1,0)</f>
        <v>#REF!</v>
      </c>
      <c r="M8015" s="33" t="str">
        <f t="shared" si="503"/>
        <v>P&amp;L</v>
      </c>
    </row>
    <row r="8016" spans="1:13">
      <c r="A8016" s="33" t="str">
        <f t="shared" si="500"/>
        <v>SCL - CGS</v>
      </c>
      <c r="B8016" s="33" t="str">
        <f t="shared" si="501"/>
        <v>SCL</v>
      </c>
      <c r="C8016" s="33" t="str">
        <f t="shared" si="502"/>
        <v>53006-7489</v>
      </c>
      <c r="D8016" s="64" t="s">
        <v>9265</v>
      </c>
      <c r="E8016" s="64" t="s">
        <v>2970</v>
      </c>
      <c r="F8016" s="64" t="s">
        <v>15</v>
      </c>
      <c r="G8016" s="64" t="s">
        <v>2921</v>
      </c>
      <c r="H8016" s="64" t="s">
        <v>1875</v>
      </c>
      <c r="I8016" s="64" t="s">
        <v>2946</v>
      </c>
      <c r="J8016" s="67">
        <v>0</v>
      </c>
      <c r="K8016" s="62">
        <v>1465.24</v>
      </c>
      <c r="L8016" s="33" t="e">
        <f>HLOOKUP(B8016,#REF!,1,0)</f>
        <v>#REF!</v>
      </c>
      <c r="M8016" s="33" t="str">
        <f t="shared" si="503"/>
        <v>P&amp;L</v>
      </c>
    </row>
    <row r="8017" spans="1:13">
      <c r="A8017" s="33" t="str">
        <f t="shared" si="500"/>
        <v>SCL - CGS</v>
      </c>
      <c r="B8017" s="33" t="str">
        <f t="shared" si="501"/>
        <v>SCL</v>
      </c>
      <c r="C8017" s="33" t="str">
        <f t="shared" si="502"/>
        <v>53006-7491</v>
      </c>
      <c r="D8017" s="64" t="s">
        <v>9266</v>
      </c>
      <c r="E8017" s="64" t="s">
        <v>2970</v>
      </c>
      <c r="F8017" s="64" t="s">
        <v>15</v>
      </c>
      <c r="G8017" s="64" t="s">
        <v>2921</v>
      </c>
      <c r="H8017" s="64" t="s">
        <v>1875</v>
      </c>
      <c r="I8017" s="64" t="s">
        <v>2946</v>
      </c>
      <c r="J8017" s="67">
        <v>0</v>
      </c>
      <c r="K8017" s="62">
        <v>1141.13</v>
      </c>
      <c r="L8017" s="33" t="e">
        <f>HLOOKUP(B8017,#REF!,1,0)</f>
        <v>#REF!</v>
      </c>
      <c r="M8017" s="33" t="str">
        <f t="shared" si="503"/>
        <v>P&amp;L</v>
      </c>
    </row>
    <row r="8018" spans="1:13">
      <c r="A8018" s="33" t="str">
        <f t="shared" si="500"/>
        <v>SCL - CGS</v>
      </c>
      <c r="B8018" s="33" t="str">
        <f t="shared" si="501"/>
        <v>SCL</v>
      </c>
      <c r="C8018" s="33" t="str">
        <f t="shared" si="502"/>
        <v>53006-7492</v>
      </c>
      <c r="D8018" s="64" t="s">
        <v>9267</v>
      </c>
      <c r="E8018" s="64" t="s">
        <v>2970</v>
      </c>
      <c r="F8018" s="64" t="s">
        <v>15</v>
      </c>
      <c r="G8018" s="64" t="s">
        <v>2921</v>
      </c>
      <c r="H8018" s="64" t="s">
        <v>1875</v>
      </c>
      <c r="I8018" s="64" t="s">
        <v>2946</v>
      </c>
      <c r="J8018" s="67">
        <v>0</v>
      </c>
      <c r="K8018" s="62">
        <v>2877.65</v>
      </c>
      <c r="L8018" s="33" t="e">
        <f>HLOOKUP(B8018,#REF!,1,0)</f>
        <v>#REF!</v>
      </c>
      <c r="M8018" s="33" t="str">
        <f t="shared" si="503"/>
        <v>P&amp;L</v>
      </c>
    </row>
    <row r="8019" spans="1:13">
      <c r="A8019" s="33" t="str">
        <f t="shared" si="500"/>
        <v>SCL - CGS</v>
      </c>
      <c r="B8019" s="33" t="str">
        <f t="shared" si="501"/>
        <v>SCL</v>
      </c>
      <c r="C8019" s="33" t="str">
        <f t="shared" si="502"/>
        <v>53006-7493</v>
      </c>
      <c r="D8019" s="64" t="s">
        <v>9268</v>
      </c>
      <c r="E8019" s="64" t="s">
        <v>2970</v>
      </c>
      <c r="F8019" s="64" t="s">
        <v>15</v>
      </c>
      <c r="G8019" s="64" t="s">
        <v>2921</v>
      </c>
      <c r="H8019" s="64" t="s">
        <v>1875</v>
      </c>
      <c r="I8019" s="64" t="s">
        <v>2946</v>
      </c>
      <c r="J8019" s="67">
        <v>0</v>
      </c>
      <c r="K8019" s="62">
        <v>1612.37</v>
      </c>
      <c r="L8019" s="33" t="e">
        <f>HLOOKUP(B8019,#REF!,1,0)</f>
        <v>#REF!</v>
      </c>
      <c r="M8019" s="33" t="str">
        <f t="shared" si="503"/>
        <v>P&amp;L</v>
      </c>
    </row>
    <row r="8020" spans="1:13">
      <c r="A8020" s="33" t="str">
        <f t="shared" si="500"/>
        <v>SCL - CGS</v>
      </c>
      <c r="B8020" s="33" t="str">
        <f t="shared" si="501"/>
        <v>SCL</v>
      </c>
      <c r="C8020" s="33" t="str">
        <f t="shared" si="502"/>
        <v>53006-7494</v>
      </c>
      <c r="D8020" s="64" t="s">
        <v>9269</v>
      </c>
      <c r="E8020" s="64" t="s">
        <v>2970</v>
      </c>
      <c r="F8020" s="64" t="s">
        <v>15</v>
      </c>
      <c r="G8020" s="64" t="s">
        <v>2921</v>
      </c>
      <c r="H8020" s="64" t="s">
        <v>1875</v>
      </c>
      <c r="I8020" s="64" t="s">
        <v>2946</v>
      </c>
      <c r="J8020" s="67">
        <v>0</v>
      </c>
      <c r="K8020" s="62">
        <v>1491.62</v>
      </c>
      <c r="L8020" s="33" t="e">
        <f>HLOOKUP(B8020,#REF!,1,0)</f>
        <v>#REF!</v>
      </c>
      <c r="M8020" s="33" t="str">
        <f t="shared" si="503"/>
        <v>P&amp;L</v>
      </c>
    </row>
    <row r="8021" spans="1:13">
      <c r="A8021" s="33" t="str">
        <f t="shared" si="500"/>
        <v>SCL - CGS</v>
      </c>
      <c r="B8021" s="33" t="str">
        <f t="shared" si="501"/>
        <v>SCL</v>
      </c>
      <c r="C8021" s="33" t="str">
        <f t="shared" si="502"/>
        <v>53006-7625</v>
      </c>
      <c r="D8021" s="64" t="s">
        <v>9270</v>
      </c>
      <c r="E8021" s="64" t="s">
        <v>2970</v>
      </c>
      <c r="F8021" s="64" t="s">
        <v>15</v>
      </c>
      <c r="G8021" s="64" t="s">
        <v>2921</v>
      </c>
      <c r="H8021" s="64" t="s">
        <v>1875</v>
      </c>
      <c r="I8021" s="64" t="s">
        <v>2946</v>
      </c>
      <c r="J8021" s="67">
        <v>0</v>
      </c>
      <c r="K8021" s="62">
        <v>1589.25</v>
      </c>
      <c r="L8021" s="33" t="e">
        <f>HLOOKUP(B8021,#REF!,1,0)</f>
        <v>#REF!</v>
      </c>
      <c r="M8021" s="33" t="str">
        <f t="shared" si="503"/>
        <v>P&amp;L</v>
      </c>
    </row>
    <row r="8022" spans="1:13">
      <c r="A8022" s="33" t="str">
        <f t="shared" si="500"/>
        <v>SCL - CGS</v>
      </c>
      <c r="B8022" s="33" t="str">
        <f t="shared" si="501"/>
        <v>SCL</v>
      </c>
      <c r="C8022" s="33" t="str">
        <f t="shared" si="502"/>
        <v>53006-8150</v>
      </c>
      <c r="D8022" s="64" t="s">
        <v>9271</v>
      </c>
      <c r="E8022" s="64" t="s">
        <v>2970</v>
      </c>
      <c r="F8022" s="64" t="s">
        <v>15</v>
      </c>
      <c r="G8022" s="64" t="s">
        <v>2921</v>
      </c>
      <c r="H8022" s="64" t="s">
        <v>1875</v>
      </c>
      <c r="I8022" s="64" t="s">
        <v>2946</v>
      </c>
      <c r="J8022" s="67">
        <v>0</v>
      </c>
      <c r="K8022" s="62">
        <v>1559.59</v>
      </c>
      <c r="L8022" s="33" t="e">
        <f>HLOOKUP(B8022,#REF!,1,0)</f>
        <v>#REF!</v>
      </c>
      <c r="M8022" s="33" t="str">
        <f t="shared" si="503"/>
        <v>P&amp;L</v>
      </c>
    </row>
    <row r="8023" spans="1:13">
      <c r="A8023" s="33" t="str">
        <f t="shared" si="500"/>
        <v>SCL - CGS</v>
      </c>
      <c r="B8023" s="33" t="str">
        <f t="shared" si="501"/>
        <v>SCL</v>
      </c>
      <c r="C8023" s="33" t="str">
        <f t="shared" si="502"/>
        <v>54001-7351</v>
      </c>
      <c r="D8023" s="64" t="s">
        <v>9272</v>
      </c>
      <c r="E8023" s="64" t="s">
        <v>2975</v>
      </c>
      <c r="F8023" s="64" t="s">
        <v>15</v>
      </c>
      <c r="G8023" s="64" t="s">
        <v>2976</v>
      </c>
      <c r="H8023" s="64" t="s">
        <v>1875</v>
      </c>
      <c r="I8023" s="64" t="s">
        <v>2977</v>
      </c>
      <c r="J8023" s="67">
        <v>1270.5</v>
      </c>
      <c r="K8023" s="62">
        <v>2395.5</v>
      </c>
      <c r="L8023" s="33" t="e">
        <f>HLOOKUP(B8023,#REF!,1,0)</f>
        <v>#REF!</v>
      </c>
      <c r="M8023" s="33" t="str">
        <f t="shared" si="503"/>
        <v>P&amp;L</v>
      </c>
    </row>
    <row r="8024" spans="1:13">
      <c r="A8024" s="33" t="str">
        <f t="shared" si="500"/>
        <v>SCL - CGS</v>
      </c>
      <c r="B8024" s="33" t="str">
        <f t="shared" si="501"/>
        <v>SCL</v>
      </c>
      <c r="C8024" s="33" t="str">
        <f t="shared" si="502"/>
        <v>54001-7352</v>
      </c>
      <c r="D8024" s="64" t="s">
        <v>9273</v>
      </c>
      <c r="E8024" s="64" t="s">
        <v>2975</v>
      </c>
      <c r="F8024" s="64" t="s">
        <v>15</v>
      </c>
      <c r="G8024" s="64" t="s">
        <v>2976</v>
      </c>
      <c r="H8024" s="64" t="s">
        <v>1875</v>
      </c>
      <c r="I8024" s="64" t="s">
        <v>2977</v>
      </c>
      <c r="J8024" s="67">
        <v>0</v>
      </c>
      <c r="K8024" s="62">
        <v>4716.42</v>
      </c>
      <c r="L8024" s="33" t="e">
        <f>HLOOKUP(B8024,#REF!,1,0)</f>
        <v>#REF!</v>
      </c>
      <c r="M8024" s="33" t="str">
        <f t="shared" si="503"/>
        <v>P&amp;L</v>
      </c>
    </row>
    <row r="8025" spans="1:13">
      <c r="A8025" s="33" t="str">
        <f t="shared" si="500"/>
        <v>SCL - CGS</v>
      </c>
      <c r="B8025" s="33" t="str">
        <f t="shared" si="501"/>
        <v>SCL</v>
      </c>
      <c r="C8025" s="33" t="str">
        <f t="shared" si="502"/>
        <v>54001-7355</v>
      </c>
      <c r="D8025" s="64" t="s">
        <v>9274</v>
      </c>
      <c r="E8025" s="64" t="s">
        <v>2975</v>
      </c>
      <c r="F8025" s="64" t="s">
        <v>15</v>
      </c>
      <c r="G8025" s="64" t="s">
        <v>2976</v>
      </c>
      <c r="H8025" s="64" t="s">
        <v>1875</v>
      </c>
      <c r="I8025" s="64" t="s">
        <v>2977</v>
      </c>
      <c r="J8025" s="67">
        <v>0</v>
      </c>
      <c r="K8025" s="62">
        <v>5386.22</v>
      </c>
      <c r="L8025" s="33" t="e">
        <f>HLOOKUP(B8025,#REF!,1,0)</f>
        <v>#REF!</v>
      </c>
      <c r="M8025" s="33" t="str">
        <f t="shared" si="503"/>
        <v>P&amp;L</v>
      </c>
    </row>
    <row r="8026" spans="1:13">
      <c r="A8026" s="33" t="str">
        <f t="shared" si="500"/>
        <v>SCL - CGS</v>
      </c>
      <c r="B8026" s="33" t="str">
        <f t="shared" si="501"/>
        <v>SCL</v>
      </c>
      <c r="C8026" s="33" t="str">
        <f t="shared" si="502"/>
        <v>54001-7359</v>
      </c>
      <c r="D8026" s="64" t="s">
        <v>9275</v>
      </c>
      <c r="E8026" s="64" t="s">
        <v>2975</v>
      </c>
      <c r="F8026" s="64" t="s">
        <v>15</v>
      </c>
      <c r="G8026" s="64" t="s">
        <v>2976</v>
      </c>
      <c r="H8026" s="64" t="s">
        <v>1875</v>
      </c>
      <c r="I8026" s="64" t="s">
        <v>2977</v>
      </c>
      <c r="J8026" s="67">
        <v>887.22</v>
      </c>
      <c r="K8026" s="62">
        <v>1731.22</v>
      </c>
      <c r="L8026" s="33" t="e">
        <f>HLOOKUP(B8026,#REF!,1,0)</f>
        <v>#REF!</v>
      </c>
      <c r="M8026" s="33" t="str">
        <f t="shared" si="503"/>
        <v>P&amp;L</v>
      </c>
    </row>
    <row r="8027" spans="1:13">
      <c r="A8027" s="33" t="str">
        <f t="shared" si="500"/>
        <v>SCL - CGS</v>
      </c>
      <c r="B8027" s="33" t="str">
        <f t="shared" si="501"/>
        <v>SCL</v>
      </c>
      <c r="C8027" s="33" t="str">
        <f t="shared" si="502"/>
        <v>54001-7360</v>
      </c>
      <c r="D8027" s="64" t="s">
        <v>9276</v>
      </c>
      <c r="E8027" s="64" t="s">
        <v>2975</v>
      </c>
      <c r="F8027" s="64" t="s">
        <v>15</v>
      </c>
      <c r="G8027" s="64" t="s">
        <v>2976</v>
      </c>
      <c r="H8027" s="64" t="s">
        <v>1875</v>
      </c>
      <c r="I8027" s="64" t="s">
        <v>2977</v>
      </c>
      <c r="J8027" s="67">
        <v>1122.22</v>
      </c>
      <c r="K8027" s="62">
        <v>6208.22</v>
      </c>
      <c r="L8027" s="33" t="e">
        <f>HLOOKUP(B8027,#REF!,1,0)</f>
        <v>#REF!</v>
      </c>
      <c r="M8027" s="33" t="str">
        <f t="shared" si="503"/>
        <v>P&amp;L</v>
      </c>
    </row>
    <row r="8028" spans="1:13">
      <c r="A8028" s="33" t="str">
        <f t="shared" si="500"/>
        <v>SCL - CGS</v>
      </c>
      <c r="B8028" s="33" t="str">
        <f t="shared" si="501"/>
        <v>SCL</v>
      </c>
      <c r="C8028" s="33" t="str">
        <f t="shared" si="502"/>
        <v>54001-7361</v>
      </c>
      <c r="D8028" s="64" t="s">
        <v>9277</v>
      </c>
      <c r="E8028" s="64" t="s">
        <v>2975</v>
      </c>
      <c r="F8028" s="64" t="s">
        <v>15</v>
      </c>
      <c r="G8028" s="64" t="s">
        <v>2976</v>
      </c>
      <c r="H8028" s="64" t="s">
        <v>1875</v>
      </c>
      <c r="I8028" s="64" t="s">
        <v>2977</v>
      </c>
      <c r="J8028" s="67">
        <v>0</v>
      </c>
      <c r="K8028" s="62">
        <v>856</v>
      </c>
      <c r="L8028" s="33" t="e">
        <f>HLOOKUP(B8028,#REF!,1,0)</f>
        <v>#REF!</v>
      </c>
      <c r="M8028" s="33" t="str">
        <f t="shared" si="503"/>
        <v>P&amp;L</v>
      </c>
    </row>
    <row r="8029" spans="1:13">
      <c r="A8029" s="33" t="str">
        <f t="shared" si="500"/>
        <v>SCL - CGS</v>
      </c>
      <c r="B8029" s="33" t="str">
        <f t="shared" si="501"/>
        <v>SCL</v>
      </c>
      <c r="C8029" s="33" t="str">
        <f t="shared" si="502"/>
        <v>54001-7362</v>
      </c>
      <c r="D8029" s="64" t="s">
        <v>9278</v>
      </c>
      <c r="E8029" s="64" t="s">
        <v>2975</v>
      </c>
      <c r="F8029" s="64" t="s">
        <v>15</v>
      </c>
      <c r="G8029" s="64" t="s">
        <v>2976</v>
      </c>
      <c r="H8029" s="64" t="s">
        <v>1875</v>
      </c>
      <c r="I8029" s="64" t="s">
        <v>2977</v>
      </c>
      <c r="J8029" s="67">
        <v>0</v>
      </c>
      <c r="K8029" s="62">
        <v>813</v>
      </c>
      <c r="L8029" s="33" t="e">
        <f>HLOOKUP(B8029,#REF!,1,0)</f>
        <v>#REF!</v>
      </c>
      <c r="M8029" s="33" t="str">
        <f t="shared" si="503"/>
        <v>P&amp;L</v>
      </c>
    </row>
    <row r="8030" spans="1:13">
      <c r="A8030" s="33" t="str">
        <f t="shared" si="500"/>
        <v>SCL - CGS</v>
      </c>
      <c r="B8030" s="33" t="str">
        <f t="shared" si="501"/>
        <v>SCL</v>
      </c>
      <c r="C8030" s="33" t="str">
        <f t="shared" si="502"/>
        <v>54001-7363</v>
      </c>
      <c r="D8030" s="64" t="s">
        <v>9279</v>
      </c>
      <c r="E8030" s="64" t="s">
        <v>2975</v>
      </c>
      <c r="F8030" s="64" t="s">
        <v>15</v>
      </c>
      <c r="G8030" s="64" t="s">
        <v>2976</v>
      </c>
      <c r="H8030" s="64" t="s">
        <v>1875</v>
      </c>
      <c r="I8030" s="64" t="s">
        <v>2977</v>
      </c>
      <c r="J8030" s="67">
        <v>1750.52</v>
      </c>
      <c r="K8030" s="62">
        <v>3684.52</v>
      </c>
      <c r="L8030" s="33" t="e">
        <f>HLOOKUP(B8030,#REF!,1,0)</f>
        <v>#REF!</v>
      </c>
      <c r="M8030" s="33" t="str">
        <f t="shared" si="503"/>
        <v>P&amp;L</v>
      </c>
    </row>
    <row r="8031" spans="1:13">
      <c r="A8031" s="33" t="str">
        <f t="shared" si="500"/>
        <v>SCL - CGS</v>
      </c>
      <c r="B8031" s="33" t="str">
        <f t="shared" si="501"/>
        <v>SCL</v>
      </c>
      <c r="C8031" s="33" t="str">
        <f t="shared" si="502"/>
        <v>54001-7364</v>
      </c>
      <c r="D8031" s="64" t="s">
        <v>9280</v>
      </c>
      <c r="E8031" s="64" t="s">
        <v>2975</v>
      </c>
      <c r="F8031" s="64" t="s">
        <v>15</v>
      </c>
      <c r="G8031" s="64" t="s">
        <v>2976</v>
      </c>
      <c r="H8031" s="64" t="s">
        <v>1875</v>
      </c>
      <c r="I8031" s="64" t="s">
        <v>2977</v>
      </c>
      <c r="J8031" s="67">
        <v>952.53</v>
      </c>
      <c r="K8031" s="62">
        <v>1683.53</v>
      </c>
      <c r="L8031" s="33" t="e">
        <f>HLOOKUP(B8031,#REF!,1,0)</f>
        <v>#REF!</v>
      </c>
      <c r="M8031" s="33" t="str">
        <f t="shared" si="503"/>
        <v>P&amp;L</v>
      </c>
    </row>
    <row r="8032" spans="1:13">
      <c r="A8032" s="33" t="str">
        <f t="shared" si="500"/>
        <v>SCL - CGS</v>
      </c>
      <c r="B8032" s="33" t="str">
        <f t="shared" si="501"/>
        <v>SCL</v>
      </c>
      <c r="C8032" s="33" t="str">
        <f t="shared" si="502"/>
        <v>54001-7365</v>
      </c>
      <c r="D8032" s="64" t="s">
        <v>9281</v>
      </c>
      <c r="E8032" s="64" t="s">
        <v>2975</v>
      </c>
      <c r="F8032" s="64" t="s">
        <v>15</v>
      </c>
      <c r="G8032" s="64" t="s">
        <v>2976</v>
      </c>
      <c r="H8032" s="64" t="s">
        <v>1875</v>
      </c>
      <c r="I8032" s="64" t="s">
        <v>2977</v>
      </c>
      <c r="J8032" s="67">
        <v>0</v>
      </c>
      <c r="K8032" s="62">
        <v>969</v>
      </c>
      <c r="L8032" s="33" t="e">
        <f>HLOOKUP(B8032,#REF!,1,0)</f>
        <v>#REF!</v>
      </c>
      <c r="M8032" s="33" t="str">
        <f t="shared" si="503"/>
        <v>P&amp;L</v>
      </c>
    </row>
    <row r="8033" spans="1:13">
      <c r="A8033" s="33" t="str">
        <f t="shared" si="500"/>
        <v>SCL - CGS</v>
      </c>
      <c r="B8033" s="33" t="str">
        <f t="shared" si="501"/>
        <v>SCL</v>
      </c>
      <c r="C8033" s="33" t="str">
        <f t="shared" si="502"/>
        <v>54001-7366</v>
      </c>
      <c r="D8033" s="64" t="s">
        <v>9282</v>
      </c>
      <c r="E8033" s="64" t="s">
        <v>2975</v>
      </c>
      <c r="F8033" s="64" t="s">
        <v>15</v>
      </c>
      <c r="G8033" s="64" t="s">
        <v>2976</v>
      </c>
      <c r="H8033" s="64" t="s">
        <v>1875</v>
      </c>
      <c r="I8033" s="64" t="s">
        <v>2977</v>
      </c>
      <c r="J8033" s="67">
        <v>890.05</v>
      </c>
      <c r="K8033" s="62">
        <v>4080.05</v>
      </c>
      <c r="L8033" s="33" t="e">
        <f>HLOOKUP(B8033,#REF!,1,0)</f>
        <v>#REF!</v>
      </c>
      <c r="M8033" s="33" t="str">
        <f t="shared" si="503"/>
        <v>P&amp;L</v>
      </c>
    </row>
    <row r="8034" spans="1:13">
      <c r="A8034" s="33" t="str">
        <f t="shared" si="500"/>
        <v>SCL - CGS</v>
      </c>
      <c r="B8034" s="33" t="str">
        <f t="shared" si="501"/>
        <v>SCL</v>
      </c>
      <c r="C8034" s="33" t="str">
        <f t="shared" si="502"/>
        <v>54001-7368</v>
      </c>
      <c r="D8034" s="64" t="s">
        <v>9283</v>
      </c>
      <c r="E8034" s="64" t="s">
        <v>2975</v>
      </c>
      <c r="F8034" s="64" t="s">
        <v>15</v>
      </c>
      <c r="G8034" s="64" t="s">
        <v>2976</v>
      </c>
      <c r="H8034" s="64" t="s">
        <v>1875</v>
      </c>
      <c r="I8034" s="64" t="s">
        <v>2977</v>
      </c>
      <c r="J8034" s="67">
        <v>1761.14</v>
      </c>
      <c r="K8034" s="62">
        <v>4196.14</v>
      </c>
      <c r="L8034" s="33" t="e">
        <f>HLOOKUP(B8034,#REF!,1,0)</f>
        <v>#REF!</v>
      </c>
      <c r="M8034" s="33" t="str">
        <f t="shared" si="503"/>
        <v>P&amp;L</v>
      </c>
    </row>
    <row r="8035" spans="1:13">
      <c r="A8035" s="33" t="str">
        <f t="shared" si="500"/>
        <v>SCL - CGS</v>
      </c>
      <c r="B8035" s="33" t="str">
        <f t="shared" si="501"/>
        <v>SCL</v>
      </c>
      <c r="C8035" s="33" t="str">
        <f t="shared" si="502"/>
        <v>54001-7371</v>
      </c>
      <c r="D8035" s="64" t="s">
        <v>9284</v>
      </c>
      <c r="E8035" s="64" t="s">
        <v>2975</v>
      </c>
      <c r="F8035" s="64" t="s">
        <v>15</v>
      </c>
      <c r="G8035" s="64" t="s">
        <v>2976</v>
      </c>
      <c r="H8035" s="64" t="s">
        <v>1875</v>
      </c>
      <c r="I8035" s="64" t="s">
        <v>2977</v>
      </c>
      <c r="J8035" s="67">
        <v>1159.42</v>
      </c>
      <c r="K8035" s="62">
        <v>4607.42</v>
      </c>
      <c r="L8035" s="33" t="e">
        <f>HLOOKUP(B8035,#REF!,1,0)</f>
        <v>#REF!</v>
      </c>
      <c r="M8035" s="33" t="str">
        <f t="shared" si="503"/>
        <v>P&amp;L</v>
      </c>
    </row>
    <row r="8036" spans="1:13">
      <c r="A8036" s="33" t="str">
        <f t="shared" si="500"/>
        <v>SCL - CGS</v>
      </c>
      <c r="B8036" s="33" t="str">
        <f t="shared" si="501"/>
        <v>SCL</v>
      </c>
      <c r="C8036" s="33" t="str">
        <f t="shared" si="502"/>
        <v>54001-7374</v>
      </c>
      <c r="D8036" s="64" t="s">
        <v>9285</v>
      </c>
      <c r="E8036" s="64" t="s">
        <v>2975</v>
      </c>
      <c r="F8036" s="64" t="s">
        <v>15</v>
      </c>
      <c r="G8036" s="64" t="s">
        <v>2976</v>
      </c>
      <c r="H8036" s="64" t="s">
        <v>1875</v>
      </c>
      <c r="I8036" s="64" t="s">
        <v>2977</v>
      </c>
      <c r="J8036" s="67">
        <v>0</v>
      </c>
      <c r="K8036" s="62">
        <v>463</v>
      </c>
      <c r="L8036" s="33" t="e">
        <f>HLOOKUP(B8036,#REF!,1,0)</f>
        <v>#REF!</v>
      </c>
      <c r="M8036" s="33" t="str">
        <f t="shared" si="503"/>
        <v>P&amp;L</v>
      </c>
    </row>
    <row r="8037" spans="1:13">
      <c r="A8037" s="33" t="str">
        <f t="shared" si="500"/>
        <v>SCL - CGS</v>
      </c>
      <c r="B8037" s="33" t="str">
        <f t="shared" si="501"/>
        <v>SCL</v>
      </c>
      <c r="C8037" s="33" t="str">
        <f t="shared" si="502"/>
        <v>54001-7375</v>
      </c>
      <c r="D8037" s="64" t="s">
        <v>9286</v>
      </c>
      <c r="E8037" s="64" t="s">
        <v>2975</v>
      </c>
      <c r="F8037" s="64" t="s">
        <v>15</v>
      </c>
      <c r="G8037" s="64" t="s">
        <v>2976</v>
      </c>
      <c r="H8037" s="64" t="s">
        <v>1875</v>
      </c>
      <c r="I8037" s="64" t="s">
        <v>2977</v>
      </c>
      <c r="J8037" s="67">
        <v>0</v>
      </c>
      <c r="K8037" s="62">
        <v>3325</v>
      </c>
      <c r="L8037" s="33" t="e">
        <f>HLOOKUP(B8037,#REF!,1,0)</f>
        <v>#REF!</v>
      </c>
      <c r="M8037" s="33" t="str">
        <f t="shared" si="503"/>
        <v>P&amp;L</v>
      </c>
    </row>
    <row r="8038" spans="1:13">
      <c r="A8038" s="33" t="str">
        <f t="shared" si="500"/>
        <v>SCL - CGS</v>
      </c>
      <c r="B8038" s="33" t="str">
        <f t="shared" si="501"/>
        <v>SCL</v>
      </c>
      <c r="C8038" s="33" t="str">
        <f t="shared" si="502"/>
        <v>54001-7376</v>
      </c>
      <c r="D8038" s="64" t="s">
        <v>9287</v>
      </c>
      <c r="E8038" s="64" t="s">
        <v>2975</v>
      </c>
      <c r="F8038" s="64" t="s">
        <v>15</v>
      </c>
      <c r="G8038" s="64" t="s">
        <v>2976</v>
      </c>
      <c r="H8038" s="64" t="s">
        <v>1875</v>
      </c>
      <c r="I8038" s="64" t="s">
        <v>2977</v>
      </c>
      <c r="J8038" s="67">
        <v>4407.55</v>
      </c>
      <c r="K8038" s="62">
        <v>11580.55</v>
      </c>
      <c r="L8038" s="33" t="e">
        <f>HLOOKUP(B8038,#REF!,1,0)</f>
        <v>#REF!</v>
      </c>
      <c r="M8038" s="33" t="str">
        <f t="shared" si="503"/>
        <v>P&amp;L</v>
      </c>
    </row>
    <row r="8039" spans="1:13">
      <c r="A8039" s="33" t="str">
        <f t="shared" si="500"/>
        <v>SCL - CGS</v>
      </c>
      <c r="B8039" s="33" t="str">
        <f t="shared" si="501"/>
        <v>SCL</v>
      </c>
      <c r="C8039" s="33" t="str">
        <f t="shared" si="502"/>
        <v>54001-7377</v>
      </c>
      <c r="D8039" s="64" t="s">
        <v>9288</v>
      </c>
      <c r="E8039" s="64" t="s">
        <v>2975</v>
      </c>
      <c r="F8039" s="64" t="s">
        <v>15</v>
      </c>
      <c r="G8039" s="64" t="s">
        <v>2976</v>
      </c>
      <c r="H8039" s="64" t="s">
        <v>1875</v>
      </c>
      <c r="I8039" s="64" t="s">
        <v>2977</v>
      </c>
      <c r="J8039" s="67">
        <v>727.87</v>
      </c>
      <c r="K8039" s="62">
        <v>4401.87</v>
      </c>
      <c r="L8039" s="33" t="e">
        <f>HLOOKUP(B8039,#REF!,1,0)</f>
        <v>#REF!</v>
      </c>
      <c r="M8039" s="33" t="str">
        <f t="shared" si="503"/>
        <v>P&amp;L</v>
      </c>
    </row>
    <row r="8040" spans="1:13">
      <c r="A8040" s="33" t="str">
        <f t="shared" si="500"/>
        <v>SCL - CGS</v>
      </c>
      <c r="B8040" s="33" t="str">
        <f t="shared" si="501"/>
        <v>SCL</v>
      </c>
      <c r="C8040" s="33" t="str">
        <f t="shared" si="502"/>
        <v>54001-7378</v>
      </c>
      <c r="D8040" s="64" t="s">
        <v>9289</v>
      </c>
      <c r="E8040" s="64" t="s">
        <v>2975</v>
      </c>
      <c r="F8040" s="64" t="s">
        <v>15</v>
      </c>
      <c r="G8040" s="64" t="s">
        <v>2976</v>
      </c>
      <c r="H8040" s="64" t="s">
        <v>1875</v>
      </c>
      <c r="I8040" s="64" t="s">
        <v>2977</v>
      </c>
      <c r="J8040" s="67">
        <v>0</v>
      </c>
      <c r="K8040" s="62">
        <v>688</v>
      </c>
      <c r="L8040" s="33" t="e">
        <f>HLOOKUP(B8040,#REF!,1,0)</f>
        <v>#REF!</v>
      </c>
      <c r="M8040" s="33" t="str">
        <f t="shared" si="503"/>
        <v>P&amp;L</v>
      </c>
    </row>
    <row r="8041" spans="1:13">
      <c r="A8041" s="33" t="str">
        <f t="shared" si="500"/>
        <v>SCL - CGS</v>
      </c>
      <c r="B8041" s="33" t="str">
        <f t="shared" si="501"/>
        <v>SCL</v>
      </c>
      <c r="C8041" s="33" t="str">
        <f t="shared" si="502"/>
        <v>54001-7379</v>
      </c>
      <c r="D8041" s="64" t="s">
        <v>9290</v>
      </c>
      <c r="E8041" s="64" t="s">
        <v>2975</v>
      </c>
      <c r="F8041" s="64" t="s">
        <v>15</v>
      </c>
      <c r="G8041" s="64" t="s">
        <v>2976</v>
      </c>
      <c r="H8041" s="64" t="s">
        <v>1875</v>
      </c>
      <c r="I8041" s="64" t="s">
        <v>2977</v>
      </c>
      <c r="J8041" s="67">
        <v>0</v>
      </c>
      <c r="K8041" s="62">
        <v>7042</v>
      </c>
      <c r="L8041" s="33" t="e">
        <f>HLOOKUP(B8041,#REF!,1,0)</f>
        <v>#REF!</v>
      </c>
      <c r="M8041" s="33" t="str">
        <f t="shared" si="503"/>
        <v>P&amp;L</v>
      </c>
    </row>
    <row r="8042" spans="1:13">
      <c r="A8042" s="33" t="str">
        <f t="shared" si="500"/>
        <v>SCL - CGS</v>
      </c>
      <c r="B8042" s="33" t="str">
        <f t="shared" si="501"/>
        <v>SCL</v>
      </c>
      <c r="C8042" s="33" t="str">
        <f t="shared" si="502"/>
        <v>54001-7380</v>
      </c>
      <c r="D8042" s="64" t="s">
        <v>9291</v>
      </c>
      <c r="E8042" s="64" t="s">
        <v>2975</v>
      </c>
      <c r="F8042" s="64" t="s">
        <v>15</v>
      </c>
      <c r="G8042" s="64" t="s">
        <v>2976</v>
      </c>
      <c r="H8042" s="64" t="s">
        <v>1875</v>
      </c>
      <c r="I8042" s="64" t="s">
        <v>2977</v>
      </c>
      <c r="J8042" s="67">
        <v>0</v>
      </c>
      <c r="K8042" s="62">
        <v>4993</v>
      </c>
      <c r="L8042" s="33" t="e">
        <f>HLOOKUP(B8042,#REF!,1,0)</f>
        <v>#REF!</v>
      </c>
      <c r="M8042" s="33" t="str">
        <f t="shared" si="503"/>
        <v>P&amp;L</v>
      </c>
    </row>
    <row r="8043" spans="1:13">
      <c r="A8043" s="33" t="str">
        <f t="shared" si="500"/>
        <v>SCL - CGS</v>
      </c>
      <c r="B8043" s="33" t="str">
        <f t="shared" si="501"/>
        <v>SCL</v>
      </c>
      <c r="C8043" s="33" t="str">
        <f t="shared" si="502"/>
        <v>54001-7381</v>
      </c>
      <c r="D8043" s="64" t="s">
        <v>9292</v>
      </c>
      <c r="E8043" s="64" t="s">
        <v>2975</v>
      </c>
      <c r="F8043" s="64" t="s">
        <v>15</v>
      </c>
      <c r="G8043" s="64" t="s">
        <v>2976</v>
      </c>
      <c r="H8043" s="64" t="s">
        <v>1875</v>
      </c>
      <c r="I8043" s="64" t="s">
        <v>2977</v>
      </c>
      <c r="J8043" s="67">
        <v>0</v>
      </c>
      <c r="K8043" s="62">
        <v>3406</v>
      </c>
      <c r="L8043" s="33" t="e">
        <f>HLOOKUP(B8043,#REF!,1,0)</f>
        <v>#REF!</v>
      </c>
      <c r="M8043" s="33" t="str">
        <f t="shared" si="503"/>
        <v>P&amp;L</v>
      </c>
    </row>
    <row r="8044" spans="1:13">
      <c r="A8044" s="33" t="str">
        <f t="shared" si="500"/>
        <v>SCL - CGS</v>
      </c>
      <c r="B8044" s="33" t="str">
        <f t="shared" si="501"/>
        <v>SCL</v>
      </c>
      <c r="C8044" s="33" t="str">
        <f t="shared" si="502"/>
        <v>54001-7383</v>
      </c>
      <c r="D8044" s="64" t="s">
        <v>9293</v>
      </c>
      <c r="E8044" s="64" t="s">
        <v>2975</v>
      </c>
      <c r="F8044" s="64" t="s">
        <v>15</v>
      </c>
      <c r="G8044" s="64" t="s">
        <v>2976</v>
      </c>
      <c r="H8044" s="64" t="s">
        <v>1875</v>
      </c>
      <c r="I8044" s="64" t="s">
        <v>2977</v>
      </c>
      <c r="J8044" s="67">
        <v>1912.2</v>
      </c>
      <c r="K8044" s="62">
        <v>4435.2</v>
      </c>
      <c r="L8044" s="33" t="e">
        <f>HLOOKUP(B8044,#REF!,1,0)</f>
        <v>#REF!</v>
      </c>
      <c r="M8044" s="33" t="str">
        <f t="shared" si="503"/>
        <v>P&amp;L</v>
      </c>
    </row>
    <row r="8045" spans="1:13">
      <c r="A8045" s="33" t="str">
        <f t="shared" si="500"/>
        <v>SCL - CGS</v>
      </c>
      <c r="B8045" s="33" t="str">
        <f t="shared" si="501"/>
        <v>SCL</v>
      </c>
      <c r="C8045" s="33" t="str">
        <f t="shared" si="502"/>
        <v>54001-7385</v>
      </c>
      <c r="D8045" s="64" t="s">
        <v>9294</v>
      </c>
      <c r="E8045" s="64" t="s">
        <v>2975</v>
      </c>
      <c r="F8045" s="64" t="s">
        <v>15</v>
      </c>
      <c r="G8045" s="64" t="s">
        <v>2976</v>
      </c>
      <c r="H8045" s="64" t="s">
        <v>1875</v>
      </c>
      <c r="I8045" s="64" t="s">
        <v>2977</v>
      </c>
      <c r="J8045" s="67">
        <v>838.66</v>
      </c>
      <c r="K8045" s="62">
        <v>838.66</v>
      </c>
      <c r="L8045" s="33" t="e">
        <f>HLOOKUP(B8045,#REF!,1,0)</f>
        <v>#REF!</v>
      </c>
      <c r="M8045" s="33" t="str">
        <f t="shared" si="503"/>
        <v>P&amp;L</v>
      </c>
    </row>
    <row r="8046" spans="1:13">
      <c r="A8046" s="33" t="str">
        <f t="shared" si="500"/>
        <v>SCL - CGS</v>
      </c>
      <c r="B8046" s="33" t="str">
        <f t="shared" si="501"/>
        <v>SCL</v>
      </c>
      <c r="C8046" s="33" t="str">
        <f t="shared" si="502"/>
        <v>54001-7386</v>
      </c>
      <c r="D8046" s="64" t="s">
        <v>9295</v>
      </c>
      <c r="E8046" s="64" t="s">
        <v>2975</v>
      </c>
      <c r="F8046" s="64" t="s">
        <v>15</v>
      </c>
      <c r="G8046" s="64" t="s">
        <v>2976</v>
      </c>
      <c r="H8046" s="64" t="s">
        <v>1875</v>
      </c>
      <c r="I8046" s="64" t="s">
        <v>2977</v>
      </c>
      <c r="J8046" s="67">
        <v>0</v>
      </c>
      <c r="K8046" s="62">
        <v>575</v>
      </c>
      <c r="L8046" s="33" t="e">
        <f>HLOOKUP(B8046,#REF!,1,0)</f>
        <v>#REF!</v>
      </c>
      <c r="M8046" s="33" t="str">
        <f t="shared" si="503"/>
        <v>P&amp;L</v>
      </c>
    </row>
    <row r="8047" spans="1:13">
      <c r="A8047" s="33" t="str">
        <f t="shared" si="500"/>
        <v>SCL - CGS</v>
      </c>
      <c r="B8047" s="33" t="str">
        <f t="shared" si="501"/>
        <v>SCL</v>
      </c>
      <c r="C8047" s="33" t="str">
        <f t="shared" si="502"/>
        <v>54001-7387</v>
      </c>
      <c r="D8047" s="64" t="s">
        <v>9296</v>
      </c>
      <c r="E8047" s="64" t="s">
        <v>2975</v>
      </c>
      <c r="F8047" s="64" t="s">
        <v>15</v>
      </c>
      <c r="G8047" s="64" t="s">
        <v>2976</v>
      </c>
      <c r="H8047" s="64" t="s">
        <v>1875</v>
      </c>
      <c r="I8047" s="64" t="s">
        <v>2977</v>
      </c>
      <c r="J8047" s="67">
        <v>2283.13</v>
      </c>
      <c r="K8047" s="62">
        <v>6583.13</v>
      </c>
      <c r="L8047" s="33" t="e">
        <f>HLOOKUP(B8047,#REF!,1,0)</f>
        <v>#REF!</v>
      </c>
      <c r="M8047" s="33" t="str">
        <f t="shared" si="503"/>
        <v>P&amp;L</v>
      </c>
    </row>
    <row r="8048" spans="1:13">
      <c r="A8048" s="33" t="str">
        <f t="shared" si="500"/>
        <v>SCL - CGS</v>
      </c>
      <c r="B8048" s="33" t="str">
        <f t="shared" si="501"/>
        <v>SCL</v>
      </c>
      <c r="C8048" s="33" t="str">
        <f t="shared" si="502"/>
        <v>54001-7389</v>
      </c>
      <c r="D8048" s="64" t="s">
        <v>9297</v>
      </c>
      <c r="E8048" s="64" t="s">
        <v>2975</v>
      </c>
      <c r="F8048" s="64" t="s">
        <v>15</v>
      </c>
      <c r="G8048" s="64" t="s">
        <v>2976</v>
      </c>
      <c r="H8048" s="64" t="s">
        <v>1875</v>
      </c>
      <c r="I8048" s="64" t="s">
        <v>2977</v>
      </c>
      <c r="J8048" s="67">
        <v>2894.89</v>
      </c>
      <c r="K8048" s="62">
        <v>5301.89</v>
      </c>
      <c r="L8048" s="33" t="e">
        <f>HLOOKUP(B8048,#REF!,1,0)</f>
        <v>#REF!</v>
      </c>
      <c r="M8048" s="33" t="str">
        <f t="shared" si="503"/>
        <v>P&amp;L</v>
      </c>
    </row>
    <row r="8049" spans="1:13">
      <c r="A8049" s="33" t="str">
        <f t="shared" si="500"/>
        <v>SCL - CGS</v>
      </c>
      <c r="B8049" s="33" t="str">
        <f t="shared" si="501"/>
        <v>SCL</v>
      </c>
      <c r="C8049" s="33" t="str">
        <f t="shared" si="502"/>
        <v>54001-7391</v>
      </c>
      <c r="D8049" s="64" t="s">
        <v>9298</v>
      </c>
      <c r="E8049" s="64" t="s">
        <v>2975</v>
      </c>
      <c r="F8049" s="64" t="s">
        <v>15</v>
      </c>
      <c r="G8049" s="64" t="s">
        <v>2976</v>
      </c>
      <c r="H8049" s="64" t="s">
        <v>1875</v>
      </c>
      <c r="I8049" s="64" t="s">
        <v>2977</v>
      </c>
      <c r="J8049" s="67">
        <v>0</v>
      </c>
      <c r="K8049" s="62">
        <v>500</v>
      </c>
      <c r="L8049" s="33" t="e">
        <f>HLOOKUP(B8049,#REF!,1,0)</f>
        <v>#REF!</v>
      </c>
      <c r="M8049" s="33" t="str">
        <f t="shared" si="503"/>
        <v>P&amp;L</v>
      </c>
    </row>
    <row r="8050" spans="1:13">
      <c r="A8050" s="33" t="str">
        <f t="shared" si="500"/>
        <v>SCL - CGS</v>
      </c>
      <c r="B8050" s="33" t="str">
        <f t="shared" si="501"/>
        <v>SCL</v>
      </c>
      <c r="C8050" s="33" t="str">
        <f t="shared" si="502"/>
        <v>54001-7393</v>
      </c>
      <c r="D8050" s="64" t="s">
        <v>9299</v>
      </c>
      <c r="E8050" s="64" t="s">
        <v>2975</v>
      </c>
      <c r="F8050" s="64" t="s">
        <v>15</v>
      </c>
      <c r="G8050" s="64" t="s">
        <v>2976</v>
      </c>
      <c r="H8050" s="64" t="s">
        <v>1875</v>
      </c>
      <c r="I8050" s="64" t="s">
        <v>2977</v>
      </c>
      <c r="J8050" s="67">
        <v>2391.59</v>
      </c>
      <c r="K8050" s="62">
        <v>4939.59</v>
      </c>
      <c r="L8050" s="33" t="e">
        <f>HLOOKUP(B8050,#REF!,1,0)</f>
        <v>#REF!</v>
      </c>
      <c r="M8050" s="33" t="str">
        <f t="shared" si="503"/>
        <v>P&amp;L</v>
      </c>
    </row>
    <row r="8051" spans="1:13">
      <c r="A8051" s="33" t="str">
        <f t="shared" si="500"/>
        <v>SCL - CGS</v>
      </c>
      <c r="B8051" s="33" t="str">
        <f t="shared" si="501"/>
        <v>SCL</v>
      </c>
      <c r="C8051" s="33" t="str">
        <f t="shared" si="502"/>
        <v>54001-7394</v>
      </c>
      <c r="D8051" s="64" t="s">
        <v>9300</v>
      </c>
      <c r="E8051" s="64" t="s">
        <v>2975</v>
      </c>
      <c r="F8051" s="64" t="s">
        <v>15</v>
      </c>
      <c r="G8051" s="64" t="s">
        <v>2976</v>
      </c>
      <c r="H8051" s="64" t="s">
        <v>1875</v>
      </c>
      <c r="I8051" s="64" t="s">
        <v>2977</v>
      </c>
      <c r="J8051" s="67">
        <v>1415.24</v>
      </c>
      <c r="K8051" s="62">
        <v>4149.24</v>
      </c>
      <c r="L8051" s="33" t="e">
        <f>HLOOKUP(B8051,#REF!,1,0)</f>
        <v>#REF!</v>
      </c>
      <c r="M8051" s="33" t="str">
        <f t="shared" si="503"/>
        <v>P&amp;L</v>
      </c>
    </row>
    <row r="8052" spans="1:13">
      <c r="A8052" s="33" t="str">
        <f t="shared" si="500"/>
        <v>SCL - CGS</v>
      </c>
      <c r="B8052" s="33" t="str">
        <f t="shared" si="501"/>
        <v>SCL</v>
      </c>
      <c r="C8052" s="33" t="str">
        <f t="shared" si="502"/>
        <v>54001-7396</v>
      </c>
      <c r="D8052" s="64" t="s">
        <v>9301</v>
      </c>
      <c r="E8052" s="64" t="s">
        <v>2975</v>
      </c>
      <c r="F8052" s="64" t="s">
        <v>15</v>
      </c>
      <c r="G8052" s="64" t="s">
        <v>2976</v>
      </c>
      <c r="H8052" s="64" t="s">
        <v>1875</v>
      </c>
      <c r="I8052" s="64" t="s">
        <v>2977</v>
      </c>
      <c r="J8052" s="67">
        <v>171.32</v>
      </c>
      <c r="K8052" s="62">
        <v>1444.32</v>
      </c>
      <c r="L8052" s="33" t="e">
        <f>HLOOKUP(B8052,#REF!,1,0)</f>
        <v>#REF!</v>
      </c>
      <c r="M8052" s="33" t="str">
        <f t="shared" si="503"/>
        <v>P&amp;L</v>
      </c>
    </row>
    <row r="8053" spans="1:13">
      <c r="A8053" s="33" t="str">
        <f t="shared" si="500"/>
        <v>SCL - CGS</v>
      </c>
      <c r="B8053" s="33" t="str">
        <f t="shared" si="501"/>
        <v>SCL</v>
      </c>
      <c r="C8053" s="33" t="str">
        <f t="shared" si="502"/>
        <v>54001-7397</v>
      </c>
      <c r="D8053" s="64" t="s">
        <v>9302</v>
      </c>
      <c r="E8053" s="64" t="s">
        <v>2975</v>
      </c>
      <c r="F8053" s="64" t="s">
        <v>15</v>
      </c>
      <c r="G8053" s="64" t="s">
        <v>2976</v>
      </c>
      <c r="H8053" s="64" t="s">
        <v>1875</v>
      </c>
      <c r="I8053" s="64" t="s">
        <v>2977</v>
      </c>
      <c r="J8053" s="67">
        <v>0</v>
      </c>
      <c r="K8053" s="62">
        <v>5237.45</v>
      </c>
      <c r="L8053" s="33" t="e">
        <f>HLOOKUP(B8053,#REF!,1,0)</f>
        <v>#REF!</v>
      </c>
      <c r="M8053" s="33" t="str">
        <f t="shared" si="503"/>
        <v>P&amp;L</v>
      </c>
    </row>
    <row r="8054" spans="1:13">
      <c r="A8054" s="33" t="str">
        <f t="shared" si="500"/>
        <v>SCL - CGS</v>
      </c>
      <c r="B8054" s="33" t="str">
        <f t="shared" si="501"/>
        <v>SCL</v>
      </c>
      <c r="C8054" s="33" t="str">
        <f t="shared" si="502"/>
        <v>54001-7398</v>
      </c>
      <c r="D8054" s="64" t="s">
        <v>9303</v>
      </c>
      <c r="E8054" s="64" t="s">
        <v>2975</v>
      </c>
      <c r="F8054" s="64" t="s">
        <v>15</v>
      </c>
      <c r="G8054" s="64" t="s">
        <v>2976</v>
      </c>
      <c r="H8054" s="64" t="s">
        <v>1875</v>
      </c>
      <c r="I8054" s="64" t="s">
        <v>2977</v>
      </c>
      <c r="J8054" s="67">
        <v>0</v>
      </c>
      <c r="K8054" s="62">
        <v>321</v>
      </c>
      <c r="L8054" s="33" t="e">
        <f>HLOOKUP(B8054,#REF!,1,0)</f>
        <v>#REF!</v>
      </c>
      <c r="M8054" s="33" t="str">
        <f t="shared" si="503"/>
        <v>P&amp;L</v>
      </c>
    </row>
    <row r="8055" spans="1:13">
      <c r="A8055" s="33" t="str">
        <f t="shared" si="500"/>
        <v>SCL - CGS</v>
      </c>
      <c r="B8055" s="33" t="str">
        <f t="shared" si="501"/>
        <v>SCL</v>
      </c>
      <c r="C8055" s="33" t="str">
        <f t="shared" si="502"/>
        <v>54001-7400</v>
      </c>
      <c r="D8055" s="64" t="s">
        <v>9304</v>
      </c>
      <c r="E8055" s="64" t="s">
        <v>2975</v>
      </c>
      <c r="F8055" s="64" t="s">
        <v>15</v>
      </c>
      <c r="G8055" s="64" t="s">
        <v>2976</v>
      </c>
      <c r="H8055" s="64" t="s">
        <v>1875</v>
      </c>
      <c r="I8055" s="64" t="s">
        <v>2977</v>
      </c>
      <c r="J8055" s="67">
        <v>1998.97</v>
      </c>
      <c r="K8055" s="62">
        <v>2686.97</v>
      </c>
      <c r="L8055" s="33" t="e">
        <f>HLOOKUP(B8055,#REF!,1,0)</f>
        <v>#REF!</v>
      </c>
      <c r="M8055" s="33" t="str">
        <f t="shared" si="503"/>
        <v>P&amp;L</v>
      </c>
    </row>
    <row r="8056" spans="1:13">
      <c r="A8056" s="33" t="str">
        <f t="shared" si="500"/>
        <v>SCL - CGS</v>
      </c>
      <c r="B8056" s="33" t="str">
        <f t="shared" si="501"/>
        <v>SCL</v>
      </c>
      <c r="C8056" s="33" t="str">
        <f t="shared" si="502"/>
        <v>54001-7401</v>
      </c>
      <c r="D8056" s="64" t="s">
        <v>9305</v>
      </c>
      <c r="E8056" s="64" t="s">
        <v>2975</v>
      </c>
      <c r="F8056" s="64" t="s">
        <v>15</v>
      </c>
      <c r="G8056" s="64" t="s">
        <v>2976</v>
      </c>
      <c r="H8056" s="64" t="s">
        <v>1875</v>
      </c>
      <c r="I8056" s="64" t="s">
        <v>2977</v>
      </c>
      <c r="J8056" s="67">
        <v>1219.06</v>
      </c>
      <c r="K8056" s="62">
        <v>6924.06</v>
      </c>
      <c r="L8056" s="33" t="e">
        <f>HLOOKUP(B8056,#REF!,1,0)</f>
        <v>#REF!</v>
      </c>
      <c r="M8056" s="33" t="str">
        <f t="shared" si="503"/>
        <v>P&amp;L</v>
      </c>
    </row>
    <row r="8057" spans="1:13">
      <c r="A8057" s="33" t="str">
        <f t="shared" si="500"/>
        <v>SCL - CGS</v>
      </c>
      <c r="B8057" s="33" t="str">
        <f t="shared" si="501"/>
        <v>SCL</v>
      </c>
      <c r="C8057" s="33" t="str">
        <f t="shared" si="502"/>
        <v>54001-7402</v>
      </c>
      <c r="D8057" s="64" t="s">
        <v>9306</v>
      </c>
      <c r="E8057" s="64" t="s">
        <v>2975</v>
      </c>
      <c r="F8057" s="64" t="s">
        <v>15</v>
      </c>
      <c r="G8057" s="64" t="s">
        <v>2976</v>
      </c>
      <c r="H8057" s="64" t="s">
        <v>1875</v>
      </c>
      <c r="I8057" s="64" t="s">
        <v>2977</v>
      </c>
      <c r="J8057" s="67">
        <v>0</v>
      </c>
      <c r="K8057" s="62">
        <v>813</v>
      </c>
      <c r="L8057" s="33" t="e">
        <f>HLOOKUP(B8057,#REF!,1,0)</f>
        <v>#REF!</v>
      </c>
      <c r="M8057" s="33" t="str">
        <f t="shared" si="503"/>
        <v>P&amp;L</v>
      </c>
    </row>
    <row r="8058" spans="1:13">
      <c r="A8058" s="33" t="str">
        <f t="shared" si="500"/>
        <v>SCL - CGS</v>
      </c>
      <c r="B8058" s="33" t="str">
        <f t="shared" si="501"/>
        <v>SCL</v>
      </c>
      <c r="C8058" s="33" t="str">
        <f t="shared" si="502"/>
        <v>54001-7403</v>
      </c>
      <c r="D8058" s="64" t="s">
        <v>9307</v>
      </c>
      <c r="E8058" s="64" t="s">
        <v>2975</v>
      </c>
      <c r="F8058" s="64" t="s">
        <v>15</v>
      </c>
      <c r="G8058" s="64" t="s">
        <v>2976</v>
      </c>
      <c r="H8058" s="64" t="s">
        <v>1875</v>
      </c>
      <c r="I8058" s="64" t="s">
        <v>2977</v>
      </c>
      <c r="J8058" s="67">
        <v>0</v>
      </c>
      <c r="K8058" s="62">
        <v>3378</v>
      </c>
      <c r="L8058" s="33" t="e">
        <f>HLOOKUP(B8058,#REF!,1,0)</f>
        <v>#REF!</v>
      </c>
      <c r="M8058" s="33" t="str">
        <f t="shared" si="503"/>
        <v>P&amp;L</v>
      </c>
    </row>
    <row r="8059" spans="1:13">
      <c r="A8059" s="33" t="str">
        <f t="shared" si="500"/>
        <v>SCL - CGS</v>
      </c>
      <c r="B8059" s="33" t="str">
        <f t="shared" si="501"/>
        <v>SCL</v>
      </c>
      <c r="C8059" s="33" t="str">
        <f t="shared" si="502"/>
        <v>54001-7489</v>
      </c>
      <c r="D8059" s="64" t="s">
        <v>9308</v>
      </c>
      <c r="E8059" s="64" t="s">
        <v>2975</v>
      </c>
      <c r="F8059" s="64" t="s">
        <v>15</v>
      </c>
      <c r="G8059" s="64" t="s">
        <v>2976</v>
      </c>
      <c r="H8059" s="64" t="s">
        <v>1875</v>
      </c>
      <c r="I8059" s="64" t="s">
        <v>2977</v>
      </c>
      <c r="J8059" s="67">
        <v>2344.8</v>
      </c>
      <c r="K8059" s="62">
        <v>5321.8</v>
      </c>
      <c r="L8059" s="33" t="e">
        <f>HLOOKUP(B8059,#REF!,1,0)</f>
        <v>#REF!</v>
      </c>
      <c r="M8059" s="33" t="str">
        <f t="shared" si="503"/>
        <v>P&amp;L</v>
      </c>
    </row>
    <row r="8060" spans="1:13">
      <c r="A8060" s="33" t="str">
        <f t="shared" si="500"/>
        <v>SCL - CGS</v>
      </c>
      <c r="B8060" s="33" t="str">
        <f t="shared" si="501"/>
        <v>SCL</v>
      </c>
      <c r="C8060" s="33" t="str">
        <f t="shared" si="502"/>
        <v>54001-7491</v>
      </c>
      <c r="D8060" s="64" t="s">
        <v>9309</v>
      </c>
      <c r="E8060" s="64" t="s">
        <v>2975</v>
      </c>
      <c r="F8060" s="64" t="s">
        <v>15</v>
      </c>
      <c r="G8060" s="64" t="s">
        <v>2976</v>
      </c>
      <c r="H8060" s="64" t="s">
        <v>1875</v>
      </c>
      <c r="I8060" s="64" t="s">
        <v>2977</v>
      </c>
      <c r="J8060" s="67">
        <v>1284.08</v>
      </c>
      <c r="K8060" s="62">
        <v>3783.08</v>
      </c>
      <c r="L8060" s="33" t="e">
        <f>HLOOKUP(B8060,#REF!,1,0)</f>
        <v>#REF!</v>
      </c>
      <c r="M8060" s="33" t="str">
        <f t="shared" si="503"/>
        <v>P&amp;L</v>
      </c>
    </row>
    <row r="8061" spans="1:13">
      <c r="A8061" s="33" t="str">
        <f t="shared" si="500"/>
        <v>SCL - CGS</v>
      </c>
      <c r="B8061" s="33" t="str">
        <f t="shared" si="501"/>
        <v>SCL</v>
      </c>
      <c r="C8061" s="33" t="str">
        <f t="shared" si="502"/>
        <v>54001-7492</v>
      </c>
      <c r="D8061" s="64" t="s">
        <v>9310</v>
      </c>
      <c r="E8061" s="64" t="s">
        <v>2975</v>
      </c>
      <c r="F8061" s="64" t="s">
        <v>15</v>
      </c>
      <c r="G8061" s="64" t="s">
        <v>2976</v>
      </c>
      <c r="H8061" s="64" t="s">
        <v>1875</v>
      </c>
      <c r="I8061" s="64" t="s">
        <v>2977</v>
      </c>
      <c r="J8061" s="67">
        <v>0</v>
      </c>
      <c r="K8061" s="62">
        <v>9609.75</v>
      </c>
      <c r="L8061" s="33" t="e">
        <f>HLOOKUP(B8061,#REF!,1,0)</f>
        <v>#REF!</v>
      </c>
      <c r="M8061" s="33" t="str">
        <f t="shared" si="503"/>
        <v>P&amp;L</v>
      </c>
    </row>
    <row r="8062" spans="1:13">
      <c r="A8062" s="33" t="str">
        <f t="shared" si="500"/>
        <v>SCL - CGS</v>
      </c>
      <c r="B8062" s="33" t="str">
        <f t="shared" si="501"/>
        <v>SCL</v>
      </c>
      <c r="C8062" s="33" t="str">
        <f t="shared" si="502"/>
        <v>54001-7493</v>
      </c>
      <c r="D8062" s="64" t="s">
        <v>9311</v>
      </c>
      <c r="E8062" s="64" t="s">
        <v>2975</v>
      </c>
      <c r="F8062" s="64" t="s">
        <v>15</v>
      </c>
      <c r="G8062" s="64" t="s">
        <v>2976</v>
      </c>
      <c r="H8062" s="64" t="s">
        <v>1875</v>
      </c>
      <c r="I8062" s="64" t="s">
        <v>2977</v>
      </c>
      <c r="J8062" s="67">
        <v>1971.81</v>
      </c>
      <c r="K8062" s="62">
        <v>9571.81</v>
      </c>
      <c r="L8062" s="33" t="e">
        <f>HLOOKUP(B8062,#REF!,1,0)</f>
        <v>#REF!</v>
      </c>
      <c r="M8062" s="33" t="str">
        <f t="shared" si="503"/>
        <v>P&amp;L</v>
      </c>
    </row>
    <row r="8063" spans="1:13">
      <c r="A8063" s="33" t="str">
        <f t="shared" si="500"/>
        <v>SCL - CGS</v>
      </c>
      <c r="B8063" s="33" t="str">
        <f t="shared" si="501"/>
        <v>SCL</v>
      </c>
      <c r="C8063" s="33" t="str">
        <f t="shared" si="502"/>
        <v>54001-7494</v>
      </c>
      <c r="D8063" s="64" t="s">
        <v>9312</v>
      </c>
      <c r="E8063" s="64" t="s">
        <v>2975</v>
      </c>
      <c r="F8063" s="64" t="s">
        <v>15</v>
      </c>
      <c r="G8063" s="64" t="s">
        <v>2976</v>
      </c>
      <c r="H8063" s="64" t="s">
        <v>1875</v>
      </c>
      <c r="I8063" s="64" t="s">
        <v>2977</v>
      </c>
      <c r="J8063" s="67">
        <v>1226.14</v>
      </c>
      <c r="K8063" s="62">
        <v>8562.14</v>
      </c>
      <c r="L8063" s="33" t="e">
        <f>HLOOKUP(B8063,#REF!,1,0)</f>
        <v>#REF!</v>
      </c>
      <c r="M8063" s="33" t="str">
        <f t="shared" si="503"/>
        <v>P&amp;L</v>
      </c>
    </row>
    <row r="8064" spans="1:13">
      <c r="A8064" s="33" t="str">
        <f t="shared" si="500"/>
        <v>SCL - CGS</v>
      </c>
      <c r="B8064" s="33" t="str">
        <f t="shared" si="501"/>
        <v>SCL</v>
      </c>
      <c r="C8064" s="33" t="str">
        <f t="shared" si="502"/>
        <v>54001-7625</v>
      </c>
      <c r="D8064" s="64" t="s">
        <v>9313</v>
      </c>
      <c r="E8064" s="64" t="s">
        <v>2975</v>
      </c>
      <c r="F8064" s="64" t="s">
        <v>15</v>
      </c>
      <c r="G8064" s="64" t="s">
        <v>2976</v>
      </c>
      <c r="H8064" s="64" t="s">
        <v>1875</v>
      </c>
      <c r="I8064" s="64" t="s">
        <v>2977</v>
      </c>
      <c r="J8064" s="67">
        <v>887.18</v>
      </c>
      <c r="K8064" s="62">
        <v>4517.18</v>
      </c>
      <c r="L8064" s="33" t="e">
        <f>HLOOKUP(B8064,#REF!,1,0)</f>
        <v>#REF!</v>
      </c>
      <c r="M8064" s="33" t="str">
        <f t="shared" si="503"/>
        <v>P&amp;L</v>
      </c>
    </row>
    <row r="8065" spans="1:13">
      <c r="A8065" s="33" t="str">
        <f t="shared" si="500"/>
        <v>SCL - CGS</v>
      </c>
      <c r="B8065" s="33" t="str">
        <f t="shared" si="501"/>
        <v>SCL</v>
      </c>
      <c r="C8065" s="33" t="str">
        <f t="shared" si="502"/>
        <v>54001-8150</v>
      </c>
      <c r="D8065" s="64" t="s">
        <v>9314</v>
      </c>
      <c r="E8065" s="64" t="s">
        <v>2975</v>
      </c>
      <c r="F8065" s="64" t="s">
        <v>15</v>
      </c>
      <c r="G8065" s="64" t="s">
        <v>2976</v>
      </c>
      <c r="H8065" s="64" t="s">
        <v>1875</v>
      </c>
      <c r="I8065" s="64" t="s">
        <v>2977</v>
      </c>
      <c r="J8065" s="67">
        <v>1552.61</v>
      </c>
      <c r="K8065" s="62">
        <v>3740.61</v>
      </c>
      <c r="L8065" s="33" t="e">
        <f>HLOOKUP(B8065,#REF!,1,0)</f>
        <v>#REF!</v>
      </c>
      <c r="M8065" s="33" t="str">
        <f t="shared" si="503"/>
        <v>P&amp;L</v>
      </c>
    </row>
    <row r="8066" spans="1:13">
      <c r="A8066" s="33" t="str">
        <f t="shared" ref="A8066:A8129" si="504">B8066&amp;" - "&amp;TRIM(H8066)</f>
        <v>SCL - CGS</v>
      </c>
      <c r="B8066" s="33" t="str">
        <f t="shared" ref="B8066:B8129" si="505">LEFT(D8066,3)</f>
        <v>SCL</v>
      </c>
      <c r="C8066" s="33" t="str">
        <f t="shared" ref="C8066:C8129" si="506">RIGHT(D8066,10)</f>
        <v>54099-7351</v>
      </c>
      <c r="D8066" s="64" t="s">
        <v>9315</v>
      </c>
      <c r="E8066" s="64" t="s">
        <v>2982</v>
      </c>
      <c r="F8066" s="64" t="s">
        <v>15</v>
      </c>
      <c r="G8066" s="64" t="s">
        <v>2921</v>
      </c>
      <c r="H8066" s="64" t="s">
        <v>1875</v>
      </c>
      <c r="I8066" s="64" t="s">
        <v>2983</v>
      </c>
      <c r="J8066" s="67">
        <v>-28936.06</v>
      </c>
      <c r="K8066" s="62">
        <v>-269204.09</v>
      </c>
      <c r="L8066" s="33" t="e">
        <f>HLOOKUP(B8066,#REF!,1,0)</f>
        <v>#REF!</v>
      </c>
      <c r="M8066" s="33" t="str">
        <f t="shared" ref="M8066:M8129" si="507">IF(VALUE(LEFT(C8066,5))&gt;40000,"P&amp;L","BS")</f>
        <v>P&amp;L</v>
      </c>
    </row>
    <row r="8067" spans="1:13">
      <c r="A8067" s="33" t="str">
        <f t="shared" si="504"/>
        <v>SCL - CGS</v>
      </c>
      <c r="B8067" s="33" t="str">
        <f t="shared" si="505"/>
        <v>SCL</v>
      </c>
      <c r="C8067" s="33" t="str">
        <f t="shared" si="506"/>
        <v>54099-7352</v>
      </c>
      <c r="D8067" s="64" t="s">
        <v>9316</v>
      </c>
      <c r="E8067" s="64" t="s">
        <v>2982</v>
      </c>
      <c r="F8067" s="64" t="s">
        <v>15</v>
      </c>
      <c r="G8067" s="64" t="s">
        <v>2921</v>
      </c>
      <c r="H8067" s="64" t="s">
        <v>1875</v>
      </c>
      <c r="I8067" s="64" t="s">
        <v>2983</v>
      </c>
      <c r="J8067" s="67">
        <v>-27593.12</v>
      </c>
      <c r="K8067" s="62">
        <v>-255624.1</v>
      </c>
      <c r="L8067" s="33" t="e">
        <f>HLOOKUP(B8067,#REF!,1,0)</f>
        <v>#REF!</v>
      </c>
      <c r="M8067" s="33" t="str">
        <f t="shared" si="507"/>
        <v>P&amp;L</v>
      </c>
    </row>
    <row r="8068" spans="1:13">
      <c r="A8068" s="33" t="str">
        <f t="shared" si="504"/>
        <v>SCL - CGS</v>
      </c>
      <c r="B8068" s="33" t="str">
        <f t="shared" si="505"/>
        <v>SCL</v>
      </c>
      <c r="C8068" s="33" t="str">
        <f t="shared" si="506"/>
        <v>54099-7355</v>
      </c>
      <c r="D8068" s="64" t="s">
        <v>9317</v>
      </c>
      <c r="E8068" s="64" t="s">
        <v>2982</v>
      </c>
      <c r="F8068" s="64" t="s">
        <v>15</v>
      </c>
      <c r="G8068" s="64" t="s">
        <v>2921</v>
      </c>
      <c r="H8068" s="64" t="s">
        <v>1875</v>
      </c>
      <c r="I8068" s="64" t="s">
        <v>2983</v>
      </c>
      <c r="J8068" s="67">
        <v>-28229.66</v>
      </c>
      <c r="K8068" s="62">
        <v>-268823.61</v>
      </c>
      <c r="L8068" s="33" t="e">
        <f>HLOOKUP(B8068,#REF!,1,0)</f>
        <v>#REF!</v>
      </c>
      <c r="M8068" s="33" t="str">
        <f t="shared" si="507"/>
        <v>P&amp;L</v>
      </c>
    </row>
    <row r="8069" spans="1:13">
      <c r="A8069" s="33" t="str">
        <f t="shared" si="504"/>
        <v>SCL - CGS</v>
      </c>
      <c r="B8069" s="33" t="str">
        <f t="shared" si="505"/>
        <v>SCL</v>
      </c>
      <c r="C8069" s="33" t="str">
        <f t="shared" si="506"/>
        <v>54099-7356</v>
      </c>
      <c r="D8069" s="64" t="s">
        <v>9318</v>
      </c>
      <c r="E8069" s="64" t="s">
        <v>2982</v>
      </c>
      <c r="F8069" s="64" t="s">
        <v>15</v>
      </c>
      <c r="G8069" s="64" t="s">
        <v>2921</v>
      </c>
      <c r="H8069" s="64" t="s">
        <v>1875</v>
      </c>
      <c r="I8069" s="64" t="s">
        <v>2983</v>
      </c>
      <c r="J8069" s="67">
        <v>0</v>
      </c>
      <c r="K8069" s="62">
        <v>-24447.61</v>
      </c>
      <c r="L8069" s="33" t="e">
        <f>HLOOKUP(B8069,#REF!,1,0)</f>
        <v>#REF!</v>
      </c>
      <c r="M8069" s="33" t="str">
        <f t="shared" si="507"/>
        <v>P&amp;L</v>
      </c>
    </row>
    <row r="8070" spans="1:13">
      <c r="A8070" s="33" t="str">
        <f t="shared" si="504"/>
        <v>SCL - CGS</v>
      </c>
      <c r="B8070" s="33" t="str">
        <f t="shared" si="505"/>
        <v>SCL</v>
      </c>
      <c r="C8070" s="33" t="str">
        <f t="shared" si="506"/>
        <v>54099-7359</v>
      </c>
      <c r="D8070" s="64" t="s">
        <v>9319</v>
      </c>
      <c r="E8070" s="64" t="s">
        <v>2982</v>
      </c>
      <c r="F8070" s="64" t="s">
        <v>15</v>
      </c>
      <c r="G8070" s="64" t="s">
        <v>2921</v>
      </c>
      <c r="H8070" s="64" t="s">
        <v>1875</v>
      </c>
      <c r="I8070" s="64" t="s">
        <v>2983</v>
      </c>
      <c r="J8070" s="67">
        <v>-26289.54</v>
      </c>
      <c r="K8070" s="62">
        <v>-247254.4</v>
      </c>
      <c r="L8070" s="33" t="e">
        <f>HLOOKUP(B8070,#REF!,1,0)</f>
        <v>#REF!</v>
      </c>
      <c r="M8070" s="33" t="str">
        <f t="shared" si="507"/>
        <v>P&amp;L</v>
      </c>
    </row>
    <row r="8071" spans="1:13">
      <c r="A8071" s="33" t="str">
        <f t="shared" si="504"/>
        <v>SCL - CGS</v>
      </c>
      <c r="B8071" s="33" t="str">
        <f t="shared" si="505"/>
        <v>SCL</v>
      </c>
      <c r="C8071" s="33" t="str">
        <f t="shared" si="506"/>
        <v>54099-7360</v>
      </c>
      <c r="D8071" s="64" t="s">
        <v>9320</v>
      </c>
      <c r="E8071" s="64" t="s">
        <v>2982</v>
      </c>
      <c r="F8071" s="64" t="s">
        <v>15</v>
      </c>
      <c r="G8071" s="64" t="s">
        <v>2921</v>
      </c>
      <c r="H8071" s="64" t="s">
        <v>1875</v>
      </c>
      <c r="I8071" s="64" t="s">
        <v>2983</v>
      </c>
      <c r="J8071" s="67">
        <v>-31879.73</v>
      </c>
      <c r="K8071" s="62">
        <v>-283213.84</v>
      </c>
      <c r="L8071" s="33" t="e">
        <f>HLOOKUP(B8071,#REF!,1,0)</f>
        <v>#REF!</v>
      </c>
      <c r="M8071" s="33" t="str">
        <f t="shared" si="507"/>
        <v>P&amp;L</v>
      </c>
    </row>
    <row r="8072" spans="1:13">
      <c r="A8072" s="33" t="str">
        <f t="shared" si="504"/>
        <v>SCL - CGS</v>
      </c>
      <c r="B8072" s="33" t="str">
        <f t="shared" si="505"/>
        <v>SCL</v>
      </c>
      <c r="C8072" s="33" t="str">
        <f t="shared" si="506"/>
        <v>54099-7361</v>
      </c>
      <c r="D8072" s="64" t="s">
        <v>9321</v>
      </c>
      <c r="E8072" s="64" t="s">
        <v>2982</v>
      </c>
      <c r="F8072" s="64" t="s">
        <v>15</v>
      </c>
      <c r="G8072" s="64" t="s">
        <v>2921</v>
      </c>
      <c r="H8072" s="64" t="s">
        <v>1875</v>
      </c>
      <c r="I8072" s="64" t="s">
        <v>2983</v>
      </c>
      <c r="J8072" s="67">
        <v>-29506.17</v>
      </c>
      <c r="K8072" s="62">
        <v>-277269.61</v>
      </c>
      <c r="L8072" s="33" t="e">
        <f>HLOOKUP(B8072,#REF!,1,0)</f>
        <v>#REF!</v>
      </c>
      <c r="M8072" s="33" t="str">
        <f t="shared" si="507"/>
        <v>P&amp;L</v>
      </c>
    </row>
    <row r="8073" spans="1:13">
      <c r="A8073" s="33" t="str">
        <f t="shared" si="504"/>
        <v>SCL - CGS</v>
      </c>
      <c r="B8073" s="33" t="str">
        <f t="shared" si="505"/>
        <v>SCL</v>
      </c>
      <c r="C8073" s="33" t="str">
        <f t="shared" si="506"/>
        <v>54099-7362</v>
      </c>
      <c r="D8073" s="64" t="s">
        <v>9322</v>
      </c>
      <c r="E8073" s="64" t="s">
        <v>2982</v>
      </c>
      <c r="F8073" s="64" t="s">
        <v>15</v>
      </c>
      <c r="G8073" s="64" t="s">
        <v>2921</v>
      </c>
      <c r="H8073" s="64" t="s">
        <v>1875</v>
      </c>
      <c r="I8073" s="64" t="s">
        <v>2983</v>
      </c>
      <c r="J8073" s="67">
        <v>-25946.62</v>
      </c>
      <c r="K8073" s="62">
        <v>-246015.58</v>
      </c>
      <c r="L8073" s="33" t="e">
        <f>HLOOKUP(B8073,#REF!,1,0)</f>
        <v>#REF!</v>
      </c>
      <c r="M8073" s="33" t="str">
        <f t="shared" si="507"/>
        <v>P&amp;L</v>
      </c>
    </row>
    <row r="8074" spans="1:13">
      <c r="A8074" s="33" t="str">
        <f t="shared" si="504"/>
        <v>SCL - CGS</v>
      </c>
      <c r="B8074" s="33" t="str">
        <f t="shared" si="505"/>
        <v>SCL</v>
      </c>
      <c r="C8074" s="33" t="str">
        <f t="shared" si="506"/>
        <v>54099-7363</v>
      </c>
      <c r="D8074" s="64" t="s">
        <v>9323</v>
      </c>
      <c r="E8074" s="64" t="s">
        <v>2982</v>
      </c>
      <c r="F8074" s="64" t="s">
        <v>15</v>
      </c>
      <c r="G8074" s="64" t="s">
        <v>2921</v>
      </c>
      <c r="H8074" s="64" t="s">
        <v>1875</v>
      </c>
      <c r="I8074" s="64" t="s">
        <v>2983</v>
      </c>
      <c r="J8074" s="67">
        <v>-26390.17</v>
      </c>
      <c r="K8074" s="62">
        <v>-247957.37</v>
      </c>
      <c r="L8074" s="33" t="e">
        <f>HLOOKUP(B8074,#REF!,1,0)</f>
        <v>#REF!</v>
      </c>
      <c r="M8074" s="33" t="str">
        <f t="shared" si="507"/>
        <v>P&amp;L</v>
      </c>
    </row>
    <row r="8075" spans="1:13">
      <c r="A8075" s="33" t="str">
        <f t="shared" si="504"/>
        <v>SCL - CGS</v>
      </c>
      <c r="B8075" s="33" t="str">
        <f t="shared" si="505"/>
        <v>SCL</v>
      </c>
      <c r="C8075" s="33" t="str">
        <f t="shared" si="506"/>
        <v>54099-7364</v>
      </c>
      <c r="D8075" s="64" t="s">
        <v>9324</v>
      </c>
      <c r="E8075" s="64" t="s">
        <v>2982</v>
      </c>
      <c r="F8075" s="64" t="s">
        <v>15</v>
      </c>
      <c r="G8075" s="64" t="s">
        <v>2921</v>
      </c>
      <c r="H8075" s="64" t="s">
        <v>1875</v>
      </c>
      <c r="I8075" s="64" t="s">
        <v>2983</v>
      </c>
      <c r="J8075" s="67">
        <v>-22704.92</v>
      </c>
      <c r="K8075" s="62">
        <v>-216172.46</v>
      </c>
      <c r="L8075" s="33" t="e">
        <f>HLOOKUP(B8075,#REF!,1,0)</f>
        <v>#REF!</v>
      </c>
      <c r="M8075" s="33" t="str">
        <f t="shared" si="507"/>
        <v>P&amp;L</v>
      </c>
    </row>
    <row r="8076" spans="1:13">
      <c r="A8076" s="33" t="str">
        <f t="shared" si="504"/>
        <v>SCL - CGS</v>
      </c>
      <c r="B8076" s="33" t="str">
        <f t="shared" si="505"/>
        <v>SCL</v>
      </c>
      <c r="C8076" s="33" t="str">
        <f t="shared" si="506"/>
        <v>54099-7365</v>
      </c>
      <c r="D8076" s="64" t="s">
        <v>9325</v>
      </c>
      <c r="E8076" s="64" t="s">
        <v>2982</v>
      </c>
      <c r="F8076" s="64" t="s">
        <v>15</v>
      </c>
      <c r="G8076" s="64" t="s">
        <v>2921</v>
      </c>
      <c r="H8076" s="64" t="s">
        <v>1875</v>
      </c>
      <c r="I8076" s="64" t="s">
        <v>2983</v>
      </c>
      <c r="J8076" s="67">
        <v>-26020.37</v>
      </c>
      <c r="K8076" s="62">
        <v>-245766.39</v>
      </c>
      <c r="L8076" s="33" t="e">
        <f>HLOOKUP(B8076,#REF!,1,0)</f>
        <v>#REF!</v>
      </c>
      <c r="M8076" s="33" t="str">
        <f t="shared" si="507"/>
        <v>P&amp;L</v>
      </c>
    </row>
    <row r="8077" spans="1:13">
      <c r="A8077" s="33" t="str">
        <f t="shared" si="504"/>
        <v>SCL - CGS</v>
      </c>
      <c r="B8077" s="33" t="str">
        <f t="shared" si="505"/>
        <v>SCL</v>
      </c>
      <c r="C8077" s="33" t="str">
        <f t="shared" si="506"/>
        <v>54099-7366</v>
      </c>
      <c r="D8077" s="64" t="s">
        <v>9326</v>
      </c>
      <c r="E8077" s="64" t="s">
        <v>2982</v>
      </c>
      <c r="F8077" s="64" t="s">
        <v>15</v>
      </c>
      <c r="G8077" s="64" t="s">
        <v>2921</v>
      </c>
      <c r="H8077" s="64" t="s">
        <v>1875</v>
      </c>
      <c r="I8077" s="64" t="s">
        <v>2983</v>
      </c>
      <c r="J8077" s="67">
        <v>-33210.22</v>
      </c>
      <c r="K8077" s="62">
        <v>-309546.65</v>
      </c>
      <c r="L8077" s="33" t="e">
        <f>HLOOKUP(B8077,#REF!,1,0)</f>
        <v>#REF!</v>
      </c>
      <c r="M8077" s="33" t="str">
        <f t="shared" si="507"/>
        <v>P&amp;L</v>
      </c>
    </row>
    <row r="8078" spans="1:13">
      <c r="A8078" s="33" t="str">
        <f t="shared" si="504"/>
        <v>SCL - CGS</v>
      </c>
      <c r="B8078" s="33" t="str">
        <f t="shared" si="505"/>
        <v>SCL</v>
      </c>
      <c r="C8078" s="33" t="str">
        <f t="shared" si="506"/>
        <v>54099-7368</v>
      </c>
      <c r="D8078" s="64" t="s">
        <v>9327</v>
      </c>
      <c r="E8078" s="64" t="s">
        <v>2982</v>
      </c>
      <c r="F8078" s="64" t="s">
        <v>15</v>
      </c>
      <c r="G8078" s="64" t="s">
        <v>2921</v>
      </c>
      <c r="H8078" s="64" t="s">
        <v>1875</v>
      </c>
      <c r="I8078" s="64" t="s">
        <v>2983</v>
      </c>
      <c r="J8078" s="67">
        <v>-37317.08</v>
      </c>
      <c r="K8078" s="62">
        <v>-346701.5</v>
      </c>
      <c r="L8078" s="33" t="e">
        <f>HLOOKUP(B8078,#REF!,1,0)</f>
        <v>#REF!</v>
      </c>
      <c r="M8078" s="33" t="str">
        <f t="shared" si="507"/>
        <v>P&amp;L</v>
      </c>
    </row>
    <row r="8079" spans="1:13">
      <c r="A8079" s="33" t="str">
        <f t="shared" si="504"/>
        <v>SCL - CGS</v>
      </c>
      <c r="B8079" s="33" t="str">
        <f t="shared" si="505"/>
        <v>SCL</v>
      </c>
      <c r="C8079" s="33" t="str">
        <f t="shared" si="506"/>
        <v>54099-7369</v>
      </c>
      <c r="D8079" s="64" t="s">
        <v>9328</v>
      </c>
      <c r="E8079" s="64" t="s">
        <v>2982</v>
      </c>
      <c r="F8079" s="64" t="s">
        <v>15</v>
      </c>
      <c r="G8079" s="64" t="s">
        <v>2921</v>
      </c>
      <c r="H8079" s="64" t="s">
        <v>1875</v>
      </c>
      <c r="I8079" s="64" t="s">
        <v>2983</v>
      </c>
      <c r="J8079" s="67">
        <v>-26690.11</v>
      </c>
      <c r="K8079" s="62">
        <v>-249820.3</v>
      </c>
      <c r="L8079" s="33" t="e">
        <f>HLOOKUP(B8079,#REF!,1,0)</f>
        <v>#REF!</v>
      </c>
      <c r="M8079" s="33" t="str">
        <f t="shared" si="507"/>
        <v>P&amp;L</v>
      </c>
    </row>
    <row r="8080" spans="1:13">
      <c r="A8080" s="33" t="str">
        <f t="shared" si="504"/>
        <v>SCL - CGS</v>
      </c>
      <c r="B8080" s="33" t="str">
        <f t="shared" si="505"/>
        <v>SCL</v>
      </c>
      <c r="C8080" s="33" t="str">
        <f t="shared" si="506"/>
        <v>54099-7371</v>
      </c>
      <c r="D8080" s="64" t="s">
        <v>9329</v>
      </c>
      <c r="E8080" s="64" t="s">
        <v>2982</v>
      </c>
      <c r="F8080" s="64" t="s">
        <v>15</v>
      </c>
      <c r="G8080" s="64" t="s">
        <v>2921</v>
      </c>
      <c r="H8080" s="64" t="s">
        <v>1875</v>
      </c>
      <c r="I8080" s="64" t="s">
        <v>2983</v>
      </c>
      <c r="J8080" s="67">
        <v>-27846</v>
      </c>
      <c r="K8080" s="62">
        <v>-258685.27</v>
      </c>
      <c r="L8080" s="33" t="e">
        <f>HLOOKUP(B8080,#REF!,1,0)</f>
        <v>#REF!</v>
      </c>
      <c r="M8080" s="33" t="str">
        <f t="shared" si="507"/>
        <v>P&amp;L</v>
      </c>
    </row>
    <row r="8081" spans="1:13">
      <c r="A8081" s="33" t="str">
        <f t="shared" si="504"/>
        <v>SCL - CGS</v>
      </c>
      <c r="B8081" s="33" t="str">
        <f t="shared" si="505"/>
        <v>SCL</v>
      </c>
      <c r="C8081" s="33" t="str">
        <f t="shared" si="506"/>
        <v>54099-7374</v>
      </c>
      <c r="D8081" s="64" t="s">
        <v>9330</v>
      </c>
      <c r="E8081" s="64" t="s">
        <v>2982</v>
      </c>
      <c r="F8081" s="64" t="s">
        <v>15</v>
      </c>
      <c r="G8081" s="64" t="s">
        <v>2921</v>
      </c>
      <c r="H8081" s="64" t="s">
        <v>1875</v>
      </c>
      <c r="I8081" s="64" t="s">
        <v>2983</v>
      </c>
      <c r="J8081" s="67">
        <v>-31224.03</v>
      </c>
      <c r="K8081" s="62">
        <v>-279359.59</v>
      </c>
      <c r="L8081" s="33" t="e">
        <f>HLOOKUP(B8081,#REF!,1,0)</f>
        <v>#REF!</v>
      </c>
      <c r="M8081" s="33" t="str">
        <f t="shared" si="507"/>
        <v>P&amp;L</v>
      </c>
    </row>
    <row r="8082" spans="1:13">
      <c r="A8082" s="33" t="str">
        <f t="shared" si="504"/>
        <v>SCL - CGS</v>
      </c>
      <c r="B8082" s="33" t="str">
        <f t="shared" si="505"/>
        <v>SCL</v>
      </c>
      <c r="C8082" s="33" t="str">
        <f t="shared" si="506"/>
        <v>54099-7375</v>
      </c>
      <c r="D8082" s="64" t="s">
        <v>9331</v>
      </c>
      <c r="E8082" s="64" t="s">
        <v>2982</v>
      </c>
      <c r="F8082" s="64" t="s">
        <v>15</v>
      </c>
      <c r="G8082" s="64" t="s">
        <v>2921</v>
      </c>
      <c r="H8082" s="64" t="s">
        <v>1875</v>
      </c>
      <c r="I8082" s="64" t="s">
        <v>2983</v>
      </c>
      <c r="J8082" s="67">
        <v>-27823.92</v>
      </c>
      <c r="K8082" s="62">
        <v>-256437.75</v>
      </c>
      <c r="L8082" s="33" t="e">
        <f>HLOOKUP(B8082,#REF!,1,0)</f>
        <v>#REF!</v>
      </c>
      <c r="M8082" s="33" t="str">
        <f t="shared" si="507"/>
        <v>P&amp;L</v>
      </c>
    </row>
    <row r="8083" spans="1:13">
      <c r="A8083" s="33" t="str">
        <f t="shared" si="504"/>
        <v>SCL - CGS</v>
      </c>
      <c r="B8083" s="33" t="str">
        <f t="shared" si="505"/>
        <v>SCL</v>
      </c>
      <c r="C8083" s="33" t="str">
        <f t="shared" si="506"/>
        <v>54099-7376</v>
      </c>
      <c r="D8083" s="64" t="s">
        <v>9332</v>
      </c>
      <c r="E8083" s="64" t="s">
        <v>2982</v>
      </c>
      <c r="F8083" s="64" t="s">
        <v>15</v>
      </c>
      <c r="G8083" s="64" t="s">
        <v>2921</v>
      </c>
      <c r="H8083" s="64" t="s">
        <v>1875</v>
      </c>
      <c r="I8083" s="64" t="s">
        <v>2983</v>
      </c>
      <c r="J8083" s="67">
        <v>-47891.98</v>
      </c>
      <c r="K8083" s="62">
        <v>-454334.28</v>
      </c>
      <c r="L8083" s="33" t="e">
        <f>HLOOKUP(B8083,#REF!,1,0)</f>
        <v>#REF!</v>
      </c>
      <c r="M8083" s="33" t="str">
        <f t="shared" si="507"/>
        <v>P&amp;L</v>
      </c>
    </row>
    <row r="8084" spans="1:13">
      <c r="A8084" s="33" t="str">
        <f t="shared" si="504"/>
        <v>SCL - CGS</v>
      </c>
      <c r="B8084" s="33" t="str">
        <f t="shared" si="505"/>
        <v>SCL</v>
      </c>
      <c r="C8084" s="33" t="str">
        <f t="shared" si="506"/>
        <v>54099-7377</v>
      </c>
      <c r="D8084" s="64" t="s">
        <v>9333</v>
      </c>
      <c r="E8084" s="64" t="s">
        <v>2982</v>
      </c>
      <c r="F8084" s="64" t="s">
        <v>15</v>
      </c>
      <c r="G8084" s="64" t="s">
        <v>2921</v>
      </c>
      <c r="H8084" s="64" t="s">
        <v>1875</v>
      </c>
      <c r="I8084" s="64" t="s">
        <v>2983</v>
      </c>
      <c r="J8084" s="67">
        <v>-29199.92</v>
      </c>
      <c r="K8084" s="62">
        <v>-275471.53</v>
      </c>
      <c r="L8084" s="33" t="e">
        <f>HLOOKUP(B8084,#REF!,1,0)</f>
        <v>#REF!</v>
      </c>
      <c r="M8084" s="33" t="str">
        <f t="shared" si="507"/>
        <v>P&amp;L</v>
      </c>
    </row>
    <row r="8085" spans="1:13">
      <c r="A8085" s="33" t="str">
        <f t="shared" si="504"/>
        <v>SCL - CGS</v>
      </c>
      <c r="B8085" s="33" t="str">
        <f t="shared" si="505"/>
        <v>SCL</v>
      </c>
      <c r="C8085" s="33" t="str">
        <f t="shared" si="506"/>
        <v>54099-7378</v>
      </c>
      <c r="D8085" s="64" t="s">
        <v>9334</v>
      </c>
      <c r="E8085" s="64" t="s">
        <v>2982</v>
      </c>
      <c r="F8085" s="64" t="s">
        <v>15</v>
      </c>
      <c r="G8085" s="64" t="s">
        <v>2921</v>
      </c>
      <c r="H8085" s="64" t="s">
        <v>1875</v>
      </c>
      <c r="I8085" s="64" t="s">
        <v>2983</v>
      </c>
      <c r="J8085" s="67">
        <v>-35851.56</v>
      </c>
      <c r="K8085" s="62">
        <v>-327131.97</v>
      </c>
      <c r="L8085" s="33" t="e">
        <f>HLOOKUP(B8085,#REF!,1,0)</f>
        <v>#REF!</v>
      </c>
      <c r="M8085" s="33" t="str">
        <f t="shared" si="507"/>
        <v>P&amp;L</v>
      </c>
    </row>
    <row r="8086" spans="1:13">
      <c r="A8086" s="33" t="str">
        <f t="shared" si="504"/>
        <v>SCL - CGS</v>
      </c>
      <c r="B8086" s="33" t="str">
        <f t="shared" si="505"/>
        <v>SCL</v>
      </c>
      <c r="C8086" s="33" t="str">
        <f t="shared" si="506"/>
        <v>54099-7379</v>
      </c>
      <c r="D8086" s="64" t="s">
        <v>9335</v>
      </c>
      <c r="E8086" s="64" t="s">
        <v>2982</v>
      </c>
      <c r="F8086" s="64" t="s">
        <v>15</v>
      </c>
      <c r="G8086" s="64" t="s">
        <v>2921</v>
      </c>
      <c r="H8086" s="64" t="s">
        <v>1875</v>
      </c>
      <c r="I8086" s="64" t="s">
        <v>2983</v>
      </c>
      <c r="J8086" s="67">
        <v>-31093.28</v>
      </c>
      <c r="K8086" s="62">
        <v>-296954.67</v>
      </c>
      <c r="L8086" s="33" t="e">
        <f>HLOOKUP(B8086,#REF!,1,0)</f>
        <v>#REF!</v>
      </c>
      <c r="M8086" s="33" t="str">
        <f t="shared" si="507"/>
        <v>P&amp;L</v>
      </c>
    </row>
    <row r="8087" spans="1:13">
      <c r="A8087" s="33" t="str">
        <f t="shared" si="504"/>
        <v>SCL - CGS</v>
      </c>
      <c r="B8087" s="33" t="str">
        <f t="shared" si="505"/>
        <v>SCL</v>
      </c>
      <c r="C8087" s="33" t="str">
        <f t="shared" si="506"/>
        <v>54099-7380</v>
      </c>
      <c r="D8087" s="64" t="s">
        <v>9336</v>
      </c>
      <c r="E8087" s="64" t="s">
        <v>2982</v>
      </c>
      <c r="F8087" s="64" t="s">
        <v>15</v>
      </c>
      <c r="G8087" s="64" t="s">
        <v>2921</v>
      </c>
      <c r="H8087" s="64" t="s">
        <v>1875</v>
      </c>
      <c r="I8087" s="64" t="s">
        <v>2983</v>
      </c>
      <c r="J8087" s="67">
        <v>-26279.5</v>
      </c>
      <c r="K8087" s="62">
        <v>-246963.57</v>
      </c>
      <c r="L8087" s="33" t="e">
        <f>HLOOKUP(B8087,#REF!,1,0)</f>
        <v>#REF!</v>
      </c>
      <c r="M8087" s="33" t="str">
        <f t="shared" si="507"/>
        <v>P&amp;L</v>
      </c>
    </row>
    <row r="8088" spans="1:13">
      <c r="A8088" s="33" t="str">
        <f t="shared" si="504"/>
        <v>SCL - CGS</v>
      </c>
      <c r="B8088" s="33" t="str">
        <f t="shared" si="505"/>
        <v>SCL</v>
      </c>
      <c r="C8088" s="33" t="str">
        <f t="shared" si="506"/>
        <v>54099-7381</v>
      </c>
      <c r="D8088" s="64" t="s">
        <v>9337</v>
      </c>
      <c r="E8088" s="64" t="s">
        <v>2982</v>
      </c>
      <c r="F8088" s="64" t="s">
        <v>15</v>
      </c>
      <c r="G8088" s="64" t="s">
        <v>2921</v>
      </c>
      <c r="H8088" s="64" t="s">
        <v>1875</v>
      </c>
      <c r="I8088" s="64" t="s">
        <v>2983</v>
      </c>
      <c r="J8088" s="67">
        <v>-34131.79</v>
      </c>
      <c r="K8088" s="62">
        <v>-310446.07</v>
      </c>
      <c r="L8088" s="33" t="e">
        <f>HLOOKUP(B8088,#REF!,1,0)</f>
        <v>#REF!</v>
      </c>
      <c r="M8088" s="33" t="str">
        <f t="shared" si="507"/>
        <v>P&amp;L</v>
      </c>
    </row>
    <row r="8089" spans="1:13">
      <c r="A8089" s="33" t="str">
        <f t="shared" si="504"/>
        <v>SCL - CGS</v>
      </c>
      <c r="B8089" s="33" t="str">
        <f t="shared" si="505"/>
        <v>SCL</v>
      </c>
      <c r="C8089" s="33" t="str">
        <f t="shared" si="506"/>
        <v>54099-7383</v>
      </c>
      <c r="D8089" s="64" t="s">
        <v>9338</v>
      </c>
      <c r="E8089" s="64" t="s">
        <v>2982</v>
      </c>
      <c r="F8089" s="64" t="s">
        <v>15</v>
      </c>
      <c r="G8089" s="64" t="s">
        <v>2921</v>
      </c>
      <c r="H8089" s="64" t="s">
        <v>1875</v>
      </c>
      <c r="I8089" s="64" t="s">
        <v>2983</v>
      </c>
      <c r="J8089" s="67">
        <v>-29351.41</v>
      </c>
      <c r="K8089" s="62">
        <v>-276787.59</v>
      </c>
      <c r="L8089" s="33" t="e">
        <f>HLOOKUP(B8089,#REF!,1,0)</f>
        <v>#REF!</v>
      </c>
      <c r="M8089" s="33" t="str">
        <f t="shared" si="507"/>
        <v>P&amp;L</v>
      </c>
    </row>
    <row r="8090" spans="1:13">
      <c r="A8090" s="33" t="str">
        <f t="shared" si="504"/>
        <v>SCL - CGS</v>
      </c>
      <c r="B8090" s="33" t="str">
        <f t="shared" si="505"/>
        <v>SCL</v>
      </c>
      <c r="C8090" s="33" t="str">
        <f t="shared" si="506"/>
        <v>54099-7385</v>
      </c>
      <c r="D8090" s="64" t="s">
        <v>9339</v>
      </c>
      <c r="E8090" s="64" t="s">
        <v>2982</v>
      </c>
      <c r="F8090" s="64" t="s">
        <v>15</v>
      </c>
      <c r="G8090" s="64" t="s">
        <v>2921</v>
      </c>
      <c r="H8090" s="64" t="s">
        <v>1875</v>
      </c>
      <c r="I8090" s="64" t="s">
        <v>2983</v>
      </c>
      <c r="J8090" s="67">
        <v>-24910.6</v>
      </c>
      <c r="K8090" s="62">
        <v>-234007.87</v>
      </c>
      <c r="L8090" s="33" t="e">
        <f>HLOOKUP(B8090,#REF!,1,0)</f>
        <v>#REF!</v>
      </c>
      <c r="M8090" s="33" t="str">
        <f t="shared" si="507"/>
        <v>P&amp;L</v>
      </c>
    </row>
    <row r="8091" spans="1:13">
      <c r="A8091" s="33" t="str">
        <f t="shared" si="504"/>
        <v>SCL - CGS</v>
      </c>
      <c r="B8091" s="33" t="str">
        <f t="shared" si="505"/>
        <v>SCL</v>
      </c>
      <c r="C8091" s="33" t="str">
        <f t="shared" si="506"/>
        <v>54099-7386</v>
      </c>
      <c r="D8091" s="64" t="s">
        <v>9340</v>
      </c>
      <c r="E8091" s="64" t="s">
        <v>2982</v>
      </c>
      <c r="F8091" s="64" t="s">
        <v>15</v>
      </c>
      <c r="G8091" s="64" t="s">
        <v>2921</v>
      </c>
      <c r="H8091" s="64" t="s">
        <v>1875</v>
      </c>
      <c r="I8091" s="64" t="s">
        <v>2983</v>
      </c>
      <c r="J8091" s="67">
        <v>-27881.45</v>
      </c>
      <c r="K8091" s="62">
        <v>-259808.54</v>
      </c>
      <c r="L8091" s="33" t="e">
        <f>HLOOKUP(B8091,#REF!,1,0)</f>
        <v>#REF!</v>
      </c>
      <c r="M8091" s="33" t="str">
        <f t="shared" si="507"/>
        <v>P&amp;L</v>
      </c>
    </row>
    <row r="8092" spans="1:13">
      <c r="A8092" s="33" t="str">
        <f t="shared" si="504"/>
        <v>SCL - CGS</v>
      </c>
      <c r="B8092" s="33" t="str">
        <f t="shared" si="505"/>
        <v>SCL</v>
      </c>
      <c r="C8092" s="33" t="str">
        <f t="shared" si="506"/>
        <v>54099-7387</v>
      </c>
      <c r="D8092" s="64" t="s">
        <v>9341</v>
      </c>
      <c r="E8092" s="64" t="s">
        <v>2982</v>
      </c>
      <c r="F8092" s="64" t="s">
        <v>15</v>
      </c>
      <c r="G8092" s="64" t="s">
        <v>2921</v>
      </c>
      <c r="H8092" s="64" t="s">
        <v>1875</v>
      </c>
      <c r="I8092" s="64" t="s">
        <v>2983</v>
      </c>
      <c r="J8092" s="67">
        <v>-32592.81</v>
      </c>
      <c r="K8092" s="62">
        <v>-297912.92</v>
      </c>
      <c r="L8092" s="33" t="e">
        <f>HLOOKUP(B8092,#REF!,1,0)</f>
        <v>#REF!</v>
      </c>
      <c r="M8092" s="33" t="str">
        <f t="shared" si="507"/>
        <v>P&amp;L</v>
      </c>
    </row>
    <row r="8093" spans="1:13">
      <c r="A8093" s="33" t="str">
        <f t="shared" si="504"/>
        <v>SCL - CGS</v>
      </c>
      <c r="B8093" s="33" t="str">
        <f t="shared" si="505"/>
        <v>SCL</v>
      </c>
      <c r="C8093" s="33" t="str">
        <f t="shared" si="506"/>
        <v>54099-7389</v>
      </c>
      <c r="D8093" s="64" t="s">
        <v>9342</v>
      </c>
      <c r="E8093" s="64" t="s">
        <v>2982</v>
      </c>
      <c r="F8093" s="64" t="s">
        <v>15</v>
      </c>
      <c r="G8093" s="64" t="s">
        <v>2921</v>
      </c>
      <c r="H8093" s="64" t="s">
        <v>1875</v>
      </c>
      <c r="I8093" s="64" t="s">
        <v>2983</v>
      </c>
      <c r="J8093" s="67">
        <v>-36768.08</v>
      </c>
      <c r="K8093" s="62">
        <v>-342900.27</v>
      </c>
      <c r="L8093" s="33" t="e">
        <f>HLOOKUP(B8093,#REF!,1,0)</f>
        <v>#REF!</v>
      </c>
      <c r="M8093" s="33" t="str">
        <f t="shared" si="507"/>
        <v>P&amp;L</v>
      </c>
    </row>
    <row r="8094" spans="1:13">
      <c r="A8094" s="33" t="str">
        <f t="shared" si="504"/>
        <v>SCL - CGS</v>
      </c>
      <c r="B8094" s="33" t="str">
        <f t="shared" si="505"/>
        <v>SCL</v>
      </c>
      <c r="C8094" s="33" t="str">
        <f t="shared" si="506"/>
        <v>54099-7391</v>
      </c>
      <c r="D8094" s="64" t="s">
        <v>9343</v>
      </c>
      <c r="E8094" s="64" t="s">
        <v>2982</v>
      </c>
      <c r="F8094" s="64" t="s">
        <v>15</v>
      </c>
      <c r="G8094" s="64" t="s">
        <v>2921</v>
      </c>
      <c r="H8094" s="64" t="s">
        <v>1875</v>
      </c>
      <c r="I8094" s="64" t="s">
        <v>2983</v>
      </c>
      <c r="J8094" s="67">
        <v>-30616.55</v>
      </c>
      <c r="K8094" s="62">
        <v>-282849.08</v>
      </c>
      <c r="L8094" s="33" t="e">
        <f>HLOOKUP(B8094,#REF!,1,0)</f>
        <v>#REF!</v>
      </c>
      <c r="M8094" s="33" t="str">
        <f t="shared" si="507"/>
        <v>P&amp;L</v>
      </c>
    </row>
    <row r="8095" spans="1:13">
      <c r="A8095" s="33" t="str">
        <f t="shared" si="504"/>
        <v>SCL - CGS</v>
      </c>
      <c r="B8095" s="33" t="str">
        <f t="shared" si="505"/>
        <v>SCL</v>
      </c>
      <c r="C8095" s="33" t="str">
        <f t="shared" si="506"/>
        <v>54099-7393</v>
      </c>
      <c r="D8095" s="64" t="s">
        <v>9344</v>
      </c>
      <c r="E8095" s="64" t="s">
        <v>2982</v>
      </c>
      <c r="F8095" s="64" t="s">
        <v>15</v>
      </c>
      <c r="G8095" s="64" t="s">
        <v>2921</v>
      </c>
      <c r="H8095" s="64" t="s">
        <v>1875</v>
      </c>
      <c r="I8095" s="64" t="s">
        <v>2983</v>
      </c>
      <c r="J8095" s="67">
        <v>-27306.94</v>
      </c>
      <c r="K8095" s="62">
        <v>-259169.01</v>
      </c>
      <c r="L8095" s="33" t="e">
        <f>HLOOKUP(B8095,#REF!,1,0)</f>
        <v>#REF!</v>
      </c>
      <c r="M8095" s="33" t="str">
        <f t="shared" si="507"/>
        <v>P&amp;L</v>
      </c>
    </row>
    <row r="8096" spans="1:13">
      <c r="A8096" s="33" t="str">
        <f t="shared" si="504"/>
        <v>SCL - CGS</v>
      </c>
      <c r="B8096" s="33" t="str">
        <f t="shared" si="505"/>
        <v>SCL</v>
      </c>
      <c r="C8096" s="33" t="str">
        <f t="shared" si="506"/>
        <v>54099-7394</v>
      </c>
      <c r="D8096" s="64" t="s">
        <v>9345</v>
      </c>
      <c r="E8096" s="64" t="s">
        <v>2982</v>
      </c>
      <c r="F8096" s="64" t="s">
        <v>15</v>
      </c>
      <c r="G8096" s="64" t="s">
        <v>2921</v>
      </c>
      <c r="H8096" s="64" t="s">
        <v>1875</v>
      </c>
      <c r="I8096" s="64" t="s">
        <v>2983</v>
      </c>
      <c r="J8096" s="67">
        <v>-26067.71</v>
      </c>
      <c r="K8096" s="62">
        <v>-249757.21</v>
      </c>
      <c r="L8096" s="33" t="e">
        <f>HLOOKUP(B8096,#REF!,1,0)</f>
        <v>#REF!</v>
      </c>
      <c r="M8096" s="33" t="str">
        <f t="shared" si="507"/>
        <v>P&amp;L</v>
      </c>
    </row>
    <row r="8097" spans="1:13">
      <c r="A8097" s="33" t="str">
        <f t="shared" si="504"/>
        <v>SCL - CGS</v>
      </c>
      <c r="B8097" s="33" t="str">
        <f t="shared" si="505"/>
        <v>SCL</v>
      </c>
      <c r="C8097" s="33" t="str">
        <f t="shared" si="506"/>
        <v>54099-7396</v>
      </c>
      <c r="D8097" s="64" t="s">
        <v>9346</v>
      </c>
      <c r="E8097" s="64" t="s">
        <v>2982</v>
      </c>
      <c r="F8097" s="64" t="s">
        <v>15</v>
      </c>
      <c r="G8097" s="64" t="s">
        <v>2921</v>
      </c>
      <c r="H8097" s="64" t="s">
        <v>1875</v>
      </c>
      <c r="I8097" s="64" t="s">
        <v>2983</v>
      </c>
      <c r="J8097" s="67">
        <v>-28561.14</v>
      </c>
      <c r="K8097" s="62">
        <v>-264171.23</v>
      </c>
      <c r="L8097" s="33" t="e">
        <f>HLOOKUP(B8097,#REF!,1,0)</f>
        <v>#REF!</v>
      </c>
      <c r="M8097" s="33" t="str">
        <f t="shared" si="507"/>
        <v>P&amp;L</v>
      </c>
    </row>
    <row r="8098" spans="1:13">
      <c r="A8098" s="33" t="str">
        <f t="shared" si="504"/>
        <v>SCL - CGS</v>
      </c>
      <c r="B8098" s="33" t="str">
        <f t="shared" si="505"/>
        <v>SCL</v>
      </c>
      <c r="C8098" s="33" t="str">
        <f t="shared" si="506"/>
        <v>54099-7397</v>
      </c>
      <c r="D8098" s="64" t="s">
        <v>9347</v>
      </c>
      <c r="E8098" s="64" t="s">
        <v>2982</v>
      </c>
      <c r="F8098" s="64" t="s">
        <v>15</v>
      </c>
      <c r="G8098" s="64" t="s">
        <v>2921</v>
      </c>
      <c r="H8098" s="64" t="s">
        <v>1875</v>
      </c>
      <c r="I8098" s="64" t="s">
        <v>2983</v>
      </c>
      <c r="J8098" s="67">
        <v>-28742.24</v>
      </c>
      <c r="K8098" s="62">
        <v>-271720.18</v>
      </c>
      <c r="L8098" s="33" t="e">
        <f>HLOOKUP(B8098,#REF!,1,0)</f>
        <v>#REF!</v>
      </c>
      <c r="M8098" s="33" t="str">
        <f t="shared" si="507"/>
        <v>P&amp;L</v>
      </c>
    </row>
    <row r="8099" spans="1:13">
      <c r="A8099" s="33" t="str">
        <f t="shared" si="504"/>
        <v>SCL - CGS</v>
      </c>
      <c r="B8099" s="33" t="str">
        <f t="shared" si="505"/>
        <v>SCL</v>
      </c>
      <c r="C8099" s="33" t="str">
        <f t="shared" si="506"/>
        <v>54099-7398</v>
      </c>
      <c r="D8099" s="64" t="s">
        <v>9348</v>
      </c>
      <c r="E8099" s="64" t="s">
        <v>2982</v>
      </c>
      <c r="F8099" s="64" t="s">
        <v>15</v>
      </c>
      <c r="G8099" s="64" t="s">
        <v>2921</v>
      </c>
      <c r="H8099" s="64" t="s">
        <v>1875</v>
      </c>
      <c r="I8099" s="64" t="s">
        <v>2983</v>
      </c>
      <c r="J8099" s="67">
        <v>-29578.56</v>
      </c>
      <c r="K8099" s="62">
        <v>-272363.46</v>
      </c>
      <c r="L8099" s="33" t="e">
        <f>HLOOKUP(B8099,#REF!,1,0)</f>
        <v>#REF!</v>
      </c>
      <c r="M8099" s="33" t="str">
        <f t="shared" si="507"/>
        <v>P&amp;L</v>
      </c>
    </row>
    <row r="8100" spans="1:13">
      <c r="A8100" s="33" t="str">
        <f t="shared" si="504"/>
        <v>SCL - CGS</v>
      </c>
      <c r="B8100" s="33" t="str">
        <f t="shared" si="505"/>
        <v>SCL</v>
      </c>
      <c r="C8100" s="33" t="str">
        <f t="shared" si="506"/>
        <v>54099-7400</v>
      </c>
      <c r="D8100" s="64" t="s">
        <v>9349</v>
      </c>
      <c r="E8100" s="64" t="s">
        <v>2982</v>
      </c>
      <c r="F8100" s="64" t="s">
        <v>15</v>
      </c>
      <c r="G8100" s="64" t="s">
        <v>2921</v>
      </c>
      <c r="H8100" s="64" t="s">
        <v>1875</v>
      </c>
      <c r="I8100" s="64" t="s">
        <v>2983</v>
      </c>
      <c r="J8100" s="67">
        <v>-26205.83</v>
      </c>
      <c r="K8100" s="62">
        <v>-248395.9</v>
      </c>
      <c r="L8100" s="33" t="e">
        <f>HLOOKUP(B8100,#REF!,1,0)</f>
        <v>#REF!</v>
      </c>
      <c r="M8100" s="33" t="str">
        <f t="shared" si="507"/>
        <v>P&amp;L</v>
      </c>
    </row>
    <row r="8101" spans="1:13">
      <c r="A8101" s="33" t="str">
        <f t="shared" si="504"/>
        <v>SCL - CGS</v>
      </c>
      <c r="B8101" s="33" t="str">
        <f t="shared" si="505"/>
        <v>SCL</v>
      </c>
      <c r="C8101" s="33" t="str">
        <f t="shared" si="506"/>
        <v>54099-7401</v>
      </c>
      <c r="D8101" s="64" t="s">
        <v>9350</v>
      </c>
      <c r="E8101" s="64" t="s">
        <v>2982</v>
      </c>
      <c r="F8101" s="64" t="s">
        <v>15</v>
      </c>
      <c r="G8101" s="64" t="s">
        <v>2921</v>
      </c>
      <c r="H8101" s="64" t="s">
        <v>1875</v>
      </c>
      <c r="I8101" s="64" t="s">
        <v>2983</v>
      </c>
      <c r="J8101" s="67">
        <v>-27945.02</v>
      </c>
      <c r="K8101" s="62">
        <v>-259644.22</v>
      </c>
      <c r="L8101" s="33" t="e">
        <f>HLOOKUP(B8101,#REF!,1,0)</f>
        <v>#REF!</v>
      </c>
      <c r="M8101" s="33" t="str">
        <f t="shared" si="507"/>
        <v>P&amp;L</v>
      </c>
    </row>
    <row r="8102" spans="1:13">
      <c r="A8102" s="33" t="str">
        <f t="shared" si="504"/>
        <v>SCL - CGS</v>
      </c>
      <c r="B8102" s="33" t="str">
        <f t="shared" si="505"/>
        <v>SCL</v>
      </c>
      <c r="C8102" s="33" t="str">
        <f t="shared" si="506"/>
        <v>54099-7402</v>
      </c>
      <c r="D8102" s="64" t="s">
        <v>9351</v>
      </c>
      <c r="E8102" s="64" t="s">
        <v>2982</v>
      </c>
      <c r="F8102" s="64" t="s">
        <v>15</v>
      </c>
      <c r="G8102" s="64" t="s">
        <v>2921</v>
      </c>
      <c r="H8102" s="64" t="s">
        <v>1875</v>
      </c>
      <c r="I8102" s="64" t="s">
        <v>2983</v>
      </c>
      <c r="J8102" s="67">
        <v>-29557.24</v>
      </c>
      <c r="K8102" s="62">
        <v>-277555.4</v>
      </c>
      <c r="L8102" s="33" t="e">
        <f>HLOOKUP(B8102,#REF!,1,0)</f>
        <v>#REF!</v>
      </c>
      <c r="M8102" s="33" t="str">
        <f t="shared" si="507"/>
        <v>P&amp;L</v>
      </c>
    </row>
    <row r="8103" spans="1:13">
      <c r="A8103" s="33" t="str">
        <f t="shared" si="504"/>
        <v>SCL - CGS</v>
      </c>
      <c r="B8103" s="33" t="str">
        <f t="shared" si="505"/>
        <v>SCL</v>
      </c>
      <c r="C8103" s="33" t="str">
        <f t="shared" si="506"/>
        <v>54099-7403</v>
      </c>
      <c r="D8103" s="64" t="s">
        <v>9352</v>
      </c>
      <c r="E8103" s="64" t="s">
        <v>2982</v>
      </c>
      <c r="F8103" s="64" t="s">
        <v>15</v>
      </c>
      <c r="G8103" s="64" t="s">
        <v>2921</v>
      </c>
      <c r="H8103" s="64" t="s">
        <v>1875</v>
      </c>
      <c r="I8103" s="64" t="s">
        <v>2983</v>
      </c>
      <c r="J8103" s="67">
        <v>-28764.17</v>
      </c>
      <c r="K8103" s="62">
        <v>-276528.11</v>
      </c>
      <c r="L8103" s="33" t="e">
        <f>HLOOKUP(B8103,#REF!,1,0)</f>
        <v>#REF!</v>
      </c>
      <c r="M8103" s="33" t="str">
        <f t="shared" si="507"/>
        <v>P&amp;L</v>
      </c>
    </row>
    <row r="8104" spans="1:13">
      <c r="A8104" s="33" t="str">
        <f t="shared" si="504"/>
        <v>SCL - CGS</v>
      </c>
      <c r="B8104" s="33" t="str">
        <f t="shared" si="505"/>
        <v>SCL</v>
      </c>
      <c r="C8104" s="33" t="str">
        <f t="shared" si="506"/>
        <v>54099-7489</v>
      </c>
      <c r="D8104" s="64" t="s">
        <v>9353</v>
      </c>
      <c r="E8104" s="64" t="s">
        <v>2982</v>
      </c>
      <c r="F8104" s="64" t="s">
        <v>15</v>
      </c>
      <c r="G8104" s="64" t="s">
        <v>2921</v>
      </c>
      <c r="H8104" s="64" t="s">
        <v>1875</v>
      </c>
      <c r="I8104" s="64" t="s">
        <v>2983</v>
      </c>
      <c r="J8104" s="67">
        <v>-36208.89</v>
      </c>
      <c r="K8104" s="62">
        <v>-335327.29</v>
      </c>
      <c r="L8104" s="33" t="e">
        <f>HLOOKUP(B8104,#REF!,1,0)</f>
        <v>#REF!</v>
      </c>
      <c r="M8104" s="33" t="str">
        <f t="shared" si="507"/>
        <v>P&amp;L</v>
      </c>
    </row>
    <row r="8105" spans="1:13">
      <c r="A8105" s="33" t="str">
        <f t="shared" si="504"/>
        <v>SCL - CGS</v>
      </c>
      <c r="B8105" s="33" t="str">
        <f t="shared" si="505"/>
        <v>SCL</v>
      </c>
      <c r="C8105" s="33" t="str">
        <f t="shared" si="506"/>
        <v>54099-7491</v>
      </c>
      <c r="D8105" s="64" t="s">
        <v>9354</v>
      </c>
      <c r="E8105" s="64" t="s">
        <v>2982</v>
      </c>
      <c r="F8105" s="64" t="s">
        <v>15</v>
      </c>
      <c r="G8105" s="64" t="s">
        <v>2921</v>
      </c>
      <c r="H8105" s="64" t="s">
        <v>1875</v>
      </c>
      <c r="I8105" s="64" t="s">
        <v>2983</v>
      </c>
      <c r="J8105" s="67">
        <v>-27188.2</v>
      </c>
      <c r="K8105" s="62">
        <v>-249878.05</v>
      </c>
      <c r="L8105" s="33" t="e">
        <f>HLOOKUP(B8105,#REF!,1,0)</f>
        <v>#REF!</v>
      </c>
      <c r="M8105" s="33" t="str">
        <f t="shared" si="507"/>
        <v>P&amp;L</v>
      </c>
    </row>
    <row r="8106" spans="1:13">
      <c r="A8106" s="33" t="str">
        <f t="shared" si="504"/>
        <v>SCL - CGS</v>
      </c>
      <c r="B8106" s="33" t="str">
        <f t="shared" si="505"/>
        <v>SCL</v>
      </c>
      <c r="C8106" s="33" t="str">
        <f t="shared" si="506"/>
        <v>54099-7492</v>
      </c>
      <c r="D8106" s="64" t="s">
        <v>9355</v>
      </c>
      <c r="E8106" s="64" t="s">
        <v>2982</v>
      </c>
      <c r="F8106" s="64" t="s">
        <v>15</v>
      </c>
      <c r="G8106" s="64" t="s">
        <v>2921</v>
      </c>
      <c r="H8106" s="64" t="s">
        <v>1875</v>
      </c>
      <c r="I8106" s="64" t="s">
        <v>2983</v>
      </c>
      <c r="J8106" s="67">
        <v>-28655.51</v>
      </c>
      <c r="K8106" s="62">
        <v>-264020.65</v>
      </c>
      <c r="L8106" s="33" t="e">
        <f>HLOOKUP(B8106,#REF!,1,0)</f>
        <v>#REF!</v>
      </c>
      <c r="M8106" s="33" t="str">
        <f t="shared" si="507"/>
        <v>P&amp;L</v>
      </c>
    </row>
    <row r="8107" spans="1:13">
      <c r="A8107" s="33" t="str">
        <f t="shared" si="504"/>
        <v>SCL - CGS</v>
      </c>
      <c r="B8107" s="33" t="str">
        <f t="shared" si="505"/>
        <v>SCL</v>
      </c>
      <c r="C8107" s="33" t="str">
        <f t="shared" si="506"/>
        <v>54099-7493</v>
      </c>
      <c r="D8107" s="64" t="s">
        <v>9356</v>
      </c>
      <c r="E8107" s="64" t="s">
        <v>2982</v>
      </c>
      <c r="F8107" s="64" t="s">
        <v>15</v>
      </c>
      <c r="G8107" s="64" t="s">
        <v>2921</v>
      </c>
      <c r="H8107" s="64" t="s">
        <v>1875</v>
      </c>
      <c r="I8107" s="64" t="s">
        <v>2983</v>
      </c>
      <c r="J8107" s="67">
        <v>-33082.78</v>
      </c>
      <c r="K8107" s="62">
        <v>-311155.26</v>
      </c>
      <c r="L8107" s="33" t="e">
        <f>HLOOKUP(B8107,#REF!,1,0)</f>
        <v>#REF!</v>
      </c>
      <c r="M8107" s="33" t="str">
        <f t="shared" si="507"/>
        <v>P&amp;L</v>
      </c>
    </row>
    <row r="8108" spans="1:13">
      <c r="A8108" s="33" t="str">
        <f t="shared" si="504"/>
        <v>SCL - CGS</v>
      </c>
      <c r="B8108" s="33" t="str">
        <f t="shared" si="505"/>
        <v>SCL</v>
      </c>
      <c r="C8108" s="33" t="str">
        <f t="shared" si="506"/>
        <v>54099-7494</v>
      </c>
      <c r="D8108" s="64" t="s">
        <v>9357</v>
      </c>
      <c r="E8108" s="64" t="s">
        <v>2982</v>
      </c>
      <c r="F8108" s="64" t="s">
        <v>15</v>
      </c>
      <c r="G8108" s="64" t="s">
        <v>2921</v>
      </c>
      <c r="H8108" s="64" t="s">
        <v>1875</v>
      </c>
      <c r="I8108" s="64" t="s">
        <v>2983</v>
      </c>
      <c r="J8108" s="67">
        <v>-28604.86</v>
      </c>
      <c r="K8108" s="62">
        <v>-267911.38</v>
      </c>
      <c r="L8108" s="33" t="e">
        <f>HLOOKUP(B8108,#REF!,1,0)</f>
        <v>#REF!</v>
      </c>
      <c r="M8108" s="33" t="str">
        <f t="shared" si="507"/>
        <v>P&amp;L</v>
      </c>
    </row>
    <row r="8109" spans="1:13">
      <c r="A8109" s="33" t="str">
        <f t="shared" si="504"/>
        <v>SCL - CGS</v>
      </c>
      <c r="B8109" s="33" t="str">
        <f t="shared" si="505"/>
        <v>SCL</v>
      </c>
      <c r="C8109" s="33" t="str">
        <f t="shared" si="506"/>
        <v>54099-7625</v>
      </c>
      <c r="D8109" s="64" t="s">
        <v>9358</v>
      </c>
      <c r="E8109" s="64" t="s">
        <v>2982</v>
      </c>
      <c r="F8109" s="64" t="s">
        <v>15</v>
      </c>
      <c r="G8109" s="64" t="s">
        <v>2921</v>
      </c>
      <c r="H8109" s="64" t="s">
        <v>1875</v>
      </c>
      <c r="I8109" s="64" t="s">
        <v>2983</v>
      </c>
      <c r="J8109" s="67">
        <v>-32452.76</v>
      </c>
      <c r="K8109" s="62">
        <v>-307105.54</v>
      </c>
      <c r="L8109" s="33" t="e">
        <f>HLOOKUP(B8109,#REF!,1,0)</f>
        <v>#REF!</v>
      </c>
      <c r="M8109" s="33" t="str">
        <f t="shared" si="507"/>
        <v>P&amp;L</v>
      </c>
    </row>
    <row r="8110" spans="1:13">
      <c r="A8110" s="33" t="str">
        <f t="shared" si="504"/>
        <v>SCL - CGS</v>
      </c>
      <c r="B8110" s="33" t="str">
        <f t="shared" si="505"/>
        <v>SCL</v>
      </c>
      <c r="C8110" s="33" t="str">
        <f t="shared" si="506"/>
        <v>54099-8150</v>
      </c>
      <c r="D8110" s="64" t="s">
        <v>9359</v>
      </c>
      <c r="E8110" s="64" t="s">
        <v>2982</v>
      </c>
      <c r="F8110" s="64" t="s">
        <v>15</v>
      </c>
      <c r="G8110" s="64" t="s">
        <v>2921</v>
      </c>
      <c r="H8110" s="64" t="s">
        <v>1875</v>
      </c>
      <c r="I8110" s="64" t="s">
        <v>2983</v>
      </c>
      <c r="J8110" s="67">
        <v>-29955.87</v>
      </c>
      <c r="K8110" s="62">
        <v>-285555.34</v>
      </c>
      <c r="L8110" s="33" t="e">
        <f>HLOOKUP(B8110,#REF!,1,0)</f>
        <v>#REF!</v>
      </c>
      <c r="M8110" s="33" t="str">
        <f t="shared" si="507"/>
        <v>P&amp;L</v>
      </c>
    </row>
    <row r="8111" spans="1:13">
      <c r="A8111" s="33" t="str">
        <f t="shared" si="504"/>
        <v>SCL - CGS</v>
      </c>
      <c r="B8111" s="33" t="str">
        <f t="shared" si="505"/>
        <v>SCL</v>
      </c>
      <c r="C8111" s="33" t="str">
        <f t="shared" si="506"/>
        <v>54100-7351</v>
      </c>
      <c r="D8111" s="64" t="s">
        <v>9360</v>
      </c>
      <c r="E8111" s="64" t="s">
        <v>2989</v>
      </c>
      <c r="F8111" s="64" t="s">
        <v>15</v>
      </c>
      <c r="G8111" s="64" t="s">
        <v>2921</v>
      </c>
      <c r="H8111" s="64" t="s">
        <v>1875</v>
      </c>
      <c r="I8111" s="64" t="s">
        <v>2990</v>
      </c>
      <c r="J8111" s="67">
        <v>28936.06</v>
      </c>
      <c r="K8111" s="62">
        <v>269204.09</v>
      </c>
      <c r="L8111" s="33" t="e">
        <f>HLOOKUP(B8111,#REF!,1,0)</f>
        <v>#REF!</v>
      </c>
      <c r="M8111" s="33" t="str">
        <f t="shared" si="507"/>
        <v>P&amp;L</v>
      </c>
    </row>
    <row r="8112" spans="1:13">
      <c r="A8112" s="33" t="str">
        <f t="shared" si="504"/>
        <v>SCL - CGS</v>
      </c>
      <c r="B8112" s="33" t="str">
        <f t="shared" si="505"/>
        <v>SCL</v>
      </c>
      <c r="C8112" s="33" t="str">
        <f t="shared" si="506"/>
        <v>54100-7352</v>
      </c>
      <c r="D8112" s="64" t="s">
        <v>9361</v>
      </c>
      <c r="E8112" s="64" t="s">
        <v>2989</v>
      </c>
      <c r="F8112" s="64" t="s">
        <v>15</v>
      </c>
      <c r="G8112" s="64" t="s">
        <v>2921</v>
      </c>
      <c r="H8112" s="64" t="s">
        <v>1875</v>
      </c>
      <c r="I8112" s="64" t="s">
        <v>2990</v>
      </c>
      <c r="J8112" s="67">
        <v>27593.12</v>
      </c>
      <c r="K8112" s="62">
        <v>255624.1</v>
      </c>
      <c r="L8112" s="33" t="e">
        <f>HLOOKUP(B8112,#REF!,1,0)</f>
        <v>#REF!</v>
      </c>
      <c r="M8112" s="33" t="str">
        <f t="shared" si="507"/>
        <v>P&amp;L</v>
      </c>
    </row>
    <row r="8113" spans="1:13">
      <c r="A8113" s="33" t="str">
        <f t="shared" si="504"/>
        <v>SCL - CGS</v>
      </c>
      <c r="B8113" s="33" t="str">
        <f t="shared" si="505"/>
        <v>SCL</v>
      </c>
      <c r="C8113" s="33" t="str">
        <f t="shared" si="506"/>
        <v>54100-7355</v>
      </c>
      <c r="D8113" s="64" t="s">
        <v>9362</v>
      </c>
      <c r="E8113" s="64" t="s">
        <v>2989</v>
      </c>
      <c r="F8113" s="64" t="s">
        <v>15</v>
      </c>
      <c r="G8113" s="64" t="s">
        <v>2921</v>
      </c>
      <c r="H8113" s="64" t="s">
        <v>1875</v>
      </c>
      <c r="I8113" s="64" t="s">
        <v>2990</v>
      </c>
      <c r="J8113" s="67">
        <v>28229.66</v>
      </c>
      <c r="K8113" s="62">
        <v>268823.61</v>
      </c>
      <c r="L8113" s="33" t="e">
        <f>HLOOKUP(B8113,#REF!,1,0)</f>
        <v>#REF!</v>
      </c>
      <c r="M8113" s="33" t="str">
        <f t="shared" si="507"/>
        <v>P&amp;L</v>
      </c>
    </row>
    <row r="8114" spans="1:13">
      <c r="A8114" s="33" t="str">
        <f t="shared" si="504"/>
        <v>SCL - CGS</v>
      </c>
      <c r="B8114" s="33" t="str">
        <f t="shared" si="505"/>
        <v>SCL</v>
      </c>
      <c r="C8114" s="33" t="str">
        <f t="shared" si="506"/>
        <v>54100-7356</v>
      </c>
      <c r="D8114" s="64" t="s">
        <v>9363</v>
      </c>
      <c r="E8114" s="64" t="s">
        <v>2989</v>
      </c>
      <c r="F8114" s="64" t="s">
        <v>15</v>
      </c>
      <c r="G8114" s="64" t="s">
        <v>2921</v>
      </c>
      <c r="H8114" s="64" t="s">
        <v>1875</v>
      </c>
      <c r="I8114" s="64" t="s">
        <v>2990</v>
      </c>
      <c r="J8114" s="67">
        <v>0</v>
      </c>
      <c r="K8114" s="62">
        <v>24447.61</v>
      </c>
      <c r="L8114" s="33" t="e">
        <f>HLOOKUP(B8114,#REF!,1,0)</f>
        <v>#REF!</v>
      </c>
      <c r="M8114" s="33" t="str">
        <f t="shared" si="507"/>
        <v>P&amp;L</v>
      </c>
    </row>
    <row r="8115" spans="1:13">
      <c r="A8115" s="33" t="str">
        <f t="shared" si="504"/>
        <v>SCL - CGS</v>
      </c>
      <c r="B8115" s="33" t="str">
        <f t="shared" si="505"/>
        <v>SCL</v>
      </c>
      <c r="C8115" s="33" t="str">
        <f t="shared" si="506"/>
        <v>54100-7359</v>
      </c>
      <c r="D8115" s="64" t="s">
        <v>9364</v>
      </c>
      <c r="E8115" s="64" t="s">
        <v>2989</v>
      </c>
      <c r="F8115" s="64" t="s">
        <v>15</v>
      </c>
      <c r="G8115" s="64" t="s">
        <v>2921</v>
      </c>
      <c r="H8115" s="64" t="s">
        <v>1875</v>
      </c>
      <c r="I8115" s="64" t="s">
        <v>2990</v>
      </c>
      <c r="J8115" s="67">
        <v>26289.54</v>
      </c>
      <c r="K8115" s="62">
        <v>247254.4</v>
      </c>
      <c r="L8115" s="33" t="e">
        <f>HLOOKUP(B8115,#REF!,1,0)</f>
        <v>#REF!</v>
      </c>
      <c r="M8115" s="33" t="str">
        <f t="shared" si="507"/>
        <v>P&amp;L</v>
      </c>
    </row>
    <row r="8116" spans="1:13">
      <c r="A8116" s="33" t="str">
        <f t="shared" si="504"/>
        <v>SCL - CGS</v>
      </c>
      <c r="B8116" s="33" t="str">
        <f t="shared" si="505"/>
        <v>SCL</v>
      </c>
      <c r="C8116" s="33" t="str">
        <f t="shared" si="506"/>
        <v>54100-7360</v>
      </c>
      <c r="D8116" s="64" t="s">
        <v>9365</v>
      </c>
      <c r="E8116" s="64" t="s">
        <v>2989</v>
      </c>
      <c r="F8116" s="64" t="s">
        <v>15</v>
      </c>
      <c r="G8116" s="64" t="s">
        <v>2921</v>
      </c>
      <c r="H8116" s="64" t="s">
        <v>1875</v>
      </c>
      <c r="I8116" s="64" t="s">
        <v>2990</v>
      </c>
      <c r="J8116" s="67">
        <v>31879.73</v>
      </c>
      <c r="K8116" s="62">
        <v>283213.84</v>
      </c>
      <c r="L8116" s="33" t="e">
        <f>HLOOKUP(B8116,#REF!,1,0)</f>
        <v>#REF!</v>
      </c>
      <c r="M8116" s="33" t="str">
        <f t="shared" si="507"/>
        <v>P&amp;L</v>
      </c>
    </row>
    <row r="8117" spans="1:13">
      <c r="A8117" s="33" t="str">
        <f t="shared" si="504"/>
        <v>SCL - CGS</v>
      </c>
      <c r="B8117" s="33" t="str">
        <f t="shared" si="505"/>
        <v>SCL</v>
      </c>
      <c r="C8117" s="33" t="str">
        <f t="shared" si="506"/>
        <v>54100-7361</v>
      </c>
      <c r="D8117" s="64" t="s">
        <v>9366</v>
      </c>
      <c r="E8117" s="64" t="s">
        <v>2989</v>
      </c>
      <c r="F8117" s="64" t="s">
        <v>15</v>
      </c>
      <c r="G8117" s="64" t="s">
        <v>2921</v>
      </c>
      <c r="H8117" s="64" t="s">
        <v>1875</v>
      </c>
      <c r="I8117" s="64" t="s">
        <v>2990</v>
      </c>
      <c r="J8117" s="67">
        <v>29506.17</v>
      </c>
      <c r="K8117" s="62">
        <v>277269.61</v>
      </c>
      <c r="L8117" s="33" t="e">
        <f>HLOOKUP(B8117,#REF!,1,0)</f>
        <v>#REF!</v>
      </c>
      <c r="M8117" s="33" t="str">
        <f t="shared" si="507"/>
        <v>P&amp;L</v>
      </c>
    </row>
    <row r="8118" spans="1:13">
      <c r="A8118" s="33" t="str">
        <f t="shared" si="504"/>
        <v>SCL - CGS</v>
      </c>
      <c r="B8118" s="33" t="str">
        <f t="shared" si="505"/>
        <v>SCL</v>
      </c>
      <c r="C8118" s="33" t="str">
        <f t="shared" si="506"/>
        <v>54100-7362</v>
      </c>
      <c r="D8118" s="64" t="s">
        <v>9367</v>
      </c>
      <c r="E8118" s="64" t="s">
        <v>2989</v>
      </c>
      <c r="F8118" s="64" t="s">
        <v>15</v>
      </c>
      <c r="G8118" s="64" t="s">
        <v>2921</v>
      </c>
      <c r="H8118" s="64" t="s">
        <v>1875</v>
      </c>
      <c r="I8118" s="64" t="s">
        <v>2990</v>
      </c>
      <c r="J8118" s="67">
        <v>25946.62</v>
      </c>
      <c r="K8118" s="62">
        <v>246015.58</v>
      </c>
      <c r="L8118" s="33" t="e">
        <f>HLOOKUP(B8118,#REF!,1,0)</f>
        <v>#REF!</v>
      </c>
      <c r="M8118" s="33" t="str">
        <f t="shared" si="507"/>
        <v>P&amp;L</v>
      </c>
    </row>
    <row r="8119" spans="1:13">
      <c r="A8119" s="33" t="str">
        <f t="shared" si="504"/>
        <v>SCL - CGS</v>
      </c>
      <c r="B8119" s="33" t="str">
        <f t="shared" si="505"/>
        <v>SCL</v>
      </c>
      <c r="C8119" s="33" t="str">
        <f t="shared" si="506"/>
        <v>54100-7363</v>
      </c>
      <c r="D8119" s="64" t="s">
        <v>9368</v>
      </c>
      <c r="E8119" s="64" t="s">
        <v>2989</v>
      </c>
      <c r="F8119" s="64" t="s">
        <v>15</v>
      </c>
      <c r="G8119" s="64" t="s">
        <v>2921</v>
      </c>
      <c r="H8119" s="64" t="s">
        <v>1875</v>
      </c>
      <c r="I8119" s="64" t="s">
        <v>2990</v>
      </c>
      <c r="J8119" s="67">
        <v>26390.17</v>
      </c>
      <c r="K8119" s="62">
        <v>247957.37</v>
      </c>
      <c r="L8119" s="33" t="e">
        <f>HLOOKUP(B8119,#REF!,1,0)</f>
        <v>#REF!</v>
      </c>
      <c r="M8119" s="33" t="str">
        <f t="shared" si="507"/>
        <v>P&amp;L</v>
      </c>
    </row>
    <row r="8120" spans="1:13">
      <c r="A8120" s="33" t="str">
        <f t="shared" si="504"/>
        <v>SCL - CGS</v>
      </c>
      <c r="B8120" s="33" t="str">
        <f t="shared" si="505"/>
        <v>SCL</v>
      </c>
      <c r="C8120" s="33" t="str">
        <f t="shared" si="506"/>
        <v>54100-7364</v>
      </c>
      <c r="D8120" s="64" t="s">
        <v>9369</v>
      </c>
      <c r="E8120" s="64" t="s">
        <v>2989</v>
      </c>
      <c r="F8120" s="64" t="s">
        <v>15</v>
      </c>
      <c r="G8120" s="64" t="s">
        <v>2921</v>
      </c>
      <c r="H8120" s="64" t="s">
        <v>1875</v>
      </c>
      <c r="I8120" s="64" t="s">
        <v>2990</v>
      </c>
      <c r="J8120" s="67">
        <v>22704.92</v>
      </c>
      <c r="K8120" s="62">
        <v>216172.46</v>
      </c>
      <c r="L8120" s="33" t="e">
        <f>HLOOKUP(B8120,#REF!,1,0)</f>
        <v>#REF!</v>
      </c>
      <c r="M8120" s="33" t="str">
        <f t="shared" si="507"/>
        <v>P&amp;L</v>
      </c>
    </row>
    <row r="8121" spans="1:13">
      <c r="A8121" s="33" t="str">
        <f t="shared" si="504"/>
        <v>SCL - CGS</v>
      </c>
      <c r="B8121" s="33" t="str">
        <f t="shared" si="505"/>
        <v>SCL</v>
      </c>
      <c r="C8121" s="33" t="str">
        <f t="shared" si="506"/>
        <v>54100-7365</v>
      </c>
      <c r="D8121" s="64" t="s">
        <v>9370</v>
      </c>
      <c r="E8121" s="64" t="s">
        <v>2989</v>
      </c>
      <c r="F8121" s="64" t="s">
        <v>15</v>
      </c>
      <c r="G8121" s="64" t="s">
        <v>2921</v>
      </c>
      <c r="H8121" s="64" t="s">
        <v>1875</v>
      </c>
      <c r="I8121" s="64" t="s">
        <v>2990</v>
      </c>
      <c r="J8121" s="67">
        <v>26020.37</v>
      </c>
      <c r="K8121" s="62">
        <v>245766.39</v>
      </c>
      <c r="L8121" s="33" t="e">
        <f>HLOOKUP(B8121,#REF!,1,0)</f>
        <v>#REF!</v>
      </c>
      <c r="M8121" s="33" t="str">
        <f t="shared" si="507"/>
        <v>P&amp;L</v>
      </c>
    </row>
    <row r="8122" spans="1:13">
      <c r="A8122" s="33" t="str">
        <f t="shared" si="504"/>
        <v>SCL - CGS</v>
      </c>
      <c r="B8122" s="33" t="str">
        <f t="shared" si="505"/>
        <v>SCL</v>
      </c>
      <c r="C8122" s="33" t="str">
        <f t="shared" si="506"/>
        <v>54100-7366</v>
      </c>
      <c r="D8122" s="64" t="s">
        <v>9371</v>
      </c>
      <c r="E8122" s="64" t="s">
        <v>2989</v>
      </c>
      <c r="F8122" s="64" t="s">
        <v>15</v>
      </c>
      <c r="G8122" s="64" t="s">
        <v>2921</v>
      </c>
      <c r="H8122" s="64" t="s">
        <v>1875</v>
      </c>
      <c r="I8122" s="64" t="s">
        <v>2990</v>
      </c>
      <c r="J8122" s="67">
        <v>33210.22</v>
      </c>
      <c r="K8122" s="62">
        <v>309546.65</v>
      </c>
      <c r="L8122" s="33" t="e">
        <f>HLOOKUP(B8122,#REF!,1,0)</f>
        <v>#REF!</v>
      </c>
      <c r="M8122" s="33" t="str">
        <f t="shared" si="507"/>
        <v>P&amp;L</v>
      </c>
    </row>
    <row r="8123" spans="1:13">
      <c r="A8123" s="33" t="str">
        <f t="shared" si="504"/>
        <v>SCL - CGS</v>
      </c>
      <c r="B8123" s="33" t="str">
        <f t="shared" si="505"/>
        <v>SCL</v>
      </c>
      <c r="C8123" s="33" t="str">
        <f t="shared" si="506"/>
        <v>54100-7368</v>
      </c>
      <c r="D8123" s="64" t="s">
        <v>9372</v>
      </c>
      <c r="E8123" s="64" t="s">
        <v>2989</v>
      </c>
      <c r="F8123" s="64" t="s">
        <v>15</v>
      </c>
      <c r="G8123" s="64" t="s">
        <v>2921</v>
      </c>
      <c r="H8123" s="64" t="s">
        <v>1875</v>
      </c>
      <c r="I8123" s="64" t="s">
        <v>2990</v>
      </c>
      <c r="J8123" s="67">
        <v>37317.08</v>
      </c>
      <c r="K8123" s="62">
        <v>346701.5</v>
      </c>
      <c r="L8123" s="33" t="e">
        <f>HLOOKUP(B8123,#REF!,1,0)</f>
        <v>#REF!</v>
      </c>
      <c r="M8123" s="33" t="str">
        <f t="shared" si="507"/>
        <v>P&amp;L</v>
      </c>
    </row>
    <row r="8124" spans="1:13">
      <c r="A8124" s="33" t="str">
        <f t="shared" si="504"/>
        <v>SCL - CGS</v>
      </c>
      <c r="B8124" s="33" t="str">
        <f t="shared" si="505"/>
        <v>SCL</v>
      </c>
      <c r="C8124" s="33" t="str">
        <f t="shared" si="506"/>
        <v>54100-7369</v>
      </c>
      <c r="D8124" s="64" t="s">
        <v>9373</v>
      </c>
      <c r="E8124" s="64" t="s">
        <v>2989</v>
      </c>
      <c r="F8124" s="64" t="s">
        <v>15</v>
      </c>
      <c r="G8124" s="64" t="s">
        <v>2921</v>
      </c>
      <c r="H8124" s="64" t="s">
        <v>1875</v>
      </c>
      <c r="I8124" s="64" t="s">
        <v>2990</v>
      </c>
      <c r="J8124" s="67">
        <v>26690.11</v>
      </c>
      <c r="K8124" s="62">
        <v>249820.3</v>
      </c>
      <c r="L8124" s="33" t="e">
        <f>HLOOKUP(B8124,#REF!,1,0)</f>
        <v>#REF!</v>
      </c>
      <c r="M8124" s="33" t="str">
        <f t="shared" si="507"/>
        <v>P&amp;L</v>
      </c>
    </row>
    <row r="8125" spans="1:13">
      <c r="A8125" s="33" t="str">
        <f t="shared" si="504"/>
        <v>SCL - CGS</v>
      </c>
      <c r="B8125" s="33" t="str">
        <f t="shared" si="505"/>
        <v>SCL</v>
      </c>
      <c r="C8125" s="33" t="str">
        <f t="shared" si="506"/>
        <v>54100-7371</v>
      </c>
      <c r="D8125" s="64" t="s">
        <v>9374</v>
      </c>
      <c r="E8125" s="64" t="s">
        <v>2989</v>
      </c>
      <c r="F8125" s="64" t="s">
        <v>15</v>
      </c>
      <c r="G8125" s="64" t="s">
        <v>2921</v>
      </c>
      <c r="H8125" s="64" t="s">
        <v>1875</v>
      </c>
      <c r="I8125" s="64" t="s">
        <v>2990</v>
      </c>
      <c r="J8125" s="67">
        <v>27846</v>
      </c>
      <c r="K8125" s="62">
        <v>258685.27</v>
      </c>
      <c r="L8125" s="33" t="e">
        <f>HLOOKUP(B8125,#REF!,1,0)</f>
        <v>#REF!</v>
      </c>
      <c r="M8125" s="33" t="str">
        <f t="shared" si="507"/>
        <v>P&amp;L</v>
      </c>
    </row>
    <row r="8126" spans="1:13">
      <c r="A8126" s="33" t="str">
        <f t="shared" si="504"/>
        <v>SCL - CGS</v>
      </c>
      <c r="B8126" s="33" t="str">
        <f t="shared" si="505"/>
        <v>SCL</v>
      </c>
      <c r="C8126" s="33" t="str">
        <f t="shared" si="506"/>
        <v>54100-7374</v>
      </c>
      <c r="D8126" s="64" t="s">
        <v>9375</v>
      </c>
      <c r="E8126" s="64" t="s">
        <v>2989</v>
      </c>
      <c r="F8126" s="64" t="s">
        <v>15</v>
      </c>
      <c r="G8126" s="64" t="s">
        <v>2921</v>
      </c>
      <c r="H8126" s="64" t="s">
        <v>1875</v>
      </c>
      <c r="I8126" s="64" t="s">
        <v>2990</v>
      </c>
      <c r="J8126" s="67">
        <v>31224.03</v>
      </c>
      <c r="K8126" s="62">
        <v>279359.59</v>
      </c>
      <c r="L8126" s="33" t="e">
        <f>HLOOKUP(B8126,#REF!,1,0)</f>
        <v>#REF!</v>
      </c>
      <c r="M8126" s="33" t="str">
        <f t="shared" si="507"/>
        <v>P&amp;L</v>
      </c>
    </row>
    <row r="8127" spans="1:13">
      <c r="A8127" s="33" t="str">
        <f t="shared" si="504"/>
        <v>SCL - CGS</v>
      </c>
      <c r="B8127" s="33" t="str">
        <f t="shared" si="505"/>
        <v>SCL</v>
      </c>
      <c r="C8127" s="33" t="str">
        <f t="shared" si="506"/>
        <v>54100-7375</v>
      </c>
      <c r="D8127" s="64" t="s">
        <v>9376</v>
      </c>
      <c r="E8127" s="64" t="s">
        <v>2989</v>
      </c>
      <c r="F8127" s="64" t="s">
        <v>15</v>
      </c>
      <c r="G8127" s="64" t="s">
        <v>2921</v>
      </c>
      <c r="H8127" s="64" t="s">
        <v>1875</v>
      </c>
      <c r="I8127" s="64" t="s">
        <v>2990</v>
      </c>
      <c r="J8127" s="67">
        <v>27823.92</v>
      </c>
      <c r="K8127" s="62">
        <v>256437.75</v>
      </c>
      <c r="L8127" s="33" t="e">
        <f>HLOOKUP(B8127,#REF!,1,0)</f>
        <v>#REF!</v>
      </c>
      <c r="M8127" s="33" t="str">
        <f t="shared" si="507"/>
        <v>P&amp;L</v>
      </c>
    </row>
    <row r="8128" spans="1:13">
      <c r="A8128" s="33" t="str">
        <f t="shared" si="504"/>
        <v>SCL - CGS</v>
      </c>
      <c r="B8128" s="33" t="str">
        <f t="shared" si="505"/>
        <v>SCL</v>
      </c>
      <c r="C8128" s="33" t="str">
        <f t="shared" si="506"/>
        <v>54100-7376</v>
      </c>
      <c r="D8128" s="64" t="s">
        <v>9377</v>
      </c>
      <c r="E8128" s="64" t="s">
        <v>2989</v>
      </c>
      <c r="F8128" s="64" t="s">
        <v>15</v>
      </c>
      <c r="G8128" s="64" t="s">
        <v>2921</v>
      </c>
      <c r="H8128" s="64" t="s">
        <v>1875</v>
      </c>
      <c r="I8128" s="64" t="s">
        <v>2990</v>
      </c>
      <c r="J8128" s="67">
        <v>47891.98</v>
      </c>
      <c r="K8128" s="62">
        <v>454334.28</v>
      </c>
      <c r="L8128" s="33" t="e">
        <f>HLOOKUP(B8128,#REF!,1,0)</f>
        <v>#REF!</v>
      </c>
      <c r="M8128" s="33" t="str">
        <f t="shared" si="507"/>
        <v>P&amp;L</v>
      </c>
    </row>
    <row r="8129" spans="1:13">
      <c r="A8129" s="33" t="str">
        <f t="shared" si="504"/>
        <v>SCL - CGS</v>
      </c>
      <c r="B8129" s="33" t="str">
        <f t="shared" si="505"/>
        <v>SCL</v>
      </c>
      <c r="C8129" s="33" t="str">
        <f t="shared" si="506"/>
        <v>54100-7377</v>
      </c>
      <c r="D8129" s="64" t="s">
        <v>9378</v>
      </c>
      <c r="E8129" s="64" t="s">
        <v>2989</v>
      </c>
      <c r="F8129" s="64" t="s">
        <v>15</v>
      </c>
      <c r="G8129" s="64" t="s">
        <v>2921</v>
      </c>
      <c r="H8129" s="64" t="s">
        <v>1875</v>
      </c>
      <c r="I8129" s="64" t="s">
        <v>2990</v>
      </c>
      <c r="J8129" s="67">
        <v>29199.92</v>
      </c>
      <c r="K8129" s="62">
        <v>275471.53</v>
      </c>
      <c r="L8129" s="33" t="e">
        <f>HLOOKUP(B8129,#REF!,1,0)</f>
        <v>#REF!</v>
      </c>
      <c r="M8129" s="33" t="str">
        <f t="shared" si="507"/>
        <v>P&amp;L</v>
      </c>
    </row>
    <row r="8130" spans="1:13">
      <c r="A8130" s="33" t="str">
        <f t="shared" ref="A8130:A8193" si="508">B8130&amp;" - "&amp;TRIM(H8130)</f>
        <v>SCL - CGS</v>
      </c>
      <c r="B8130" s="33" t="str">
        <f t="shared" ref="B8130:B8193" si="509">LEFT(D8130,3)</f>
        <v>SCL</v>
      </c>
      <c r="C8130" s="33" t="str">
        <f t="shared" ref="C8130:C8193" si="510">RIGHT(D8130,10)</f>
        <v>54100-7378</v>
      </c>
      <c r="D8130" s="64" t="s">
        <v>9379</v>
      </c>
      <c r="E8130" s="64" t="s">
        <v>2989</v>
      </c>
      <c r="F8130" s="64" t="s">
        <v>15</v>
      </c>
      <c r="G8130" s="64" t="s">
        <v>2921</v>
      </c>
      <c r="H8130" s="64" t="s">
        <v>1875</v>
      </c>
      <c r="I8130" s="64" t="s">
        <v>2990</v>
      </c>
      <c r="J8130" s="67">
        <v>35851.56</v>
      </c>
      <c r="K8130" s="62">
        <v>327131.97</v>
      </c>
      <c r="L8130" s="33" t="e">
        <f>HLOOKUP(B8130,#REF!,1,0)</f>
        <v>#REF!</v>
      </c>
      <c r="M8130" s="33" t="str">
        <f t="shared" ref="M8130:M8193" si="511">IF(VALUE(LEFT(C8130,5))&gt;40000,"P&amp;L","BS")</f>
        <v>P&amp;L</v>
      </c>
    </row>
    <row r="8131" spans="1:13">
      <c r="A8131" s="33" t="str">
        <f t="shared" si="508"/>
        <v>SCL - CGS</v>
      </c>
      <c r="B8131" s="33" t="str">
        <f t="shared" si="509"/>
        <v>SCL</v>
      </c>
      <c r="C8131" s="33" t="str">
        <f t="shared" si="510"/>
        <v>54100-7379</v>
      </c>
      <c r="D8131" s="64" t="s">
        <v>9380</v>
      </c>
      <c r="E8131" s="64" t="s">
        <v>2989</v>
      </c>
      <c r="F8131" s="64" t="s">
        <v>15</v>
      </c>
      <c r="G8131" s="64" t="s">
        <v>2921</v>
      </c>
      <c r="H8131" s="64" t="s">
        <v>1875</v>
      </c>
      <c r="I8131" s="64" t="s">
        <v>2990</v>
      </c>
      <c r="J8131" s="67">
        <v>31093.28</v>
      </c>
      <c r="K8131" s="62">
        <v>296954.67</v>
      </c>
      <c r="L8131" s="33" t="e">
        <f>HLOOKUP(B8131,#REF!,1,0)</f>
        <v>#REF!</v>
      </c>
      <c r="M8131" s="33" t="str">
        <f t="shared" si="511"/>
        <v>P&amp;L</v>
      </c>
    </row>
    <row r="8132" spans="1:13">
      <c r="A8132" s="33" t="str">
        <f t="shared" si="508"/>
        <v>SCL - CGS</v>
      </c>
      <c r="B8132" s="33" t="str">
        <f t="shared" si="509"/>
        <v>SCL</v>
      </c>
      <c r="C8132" s="33" t="str">
        <f t="shared" si="510"/>
        <v>54100-7380</v>
      </c>
      <c r="D8132" s="64" t="s">
        <v>9381</v>
      </c>
      <c r="E8132" s="64" t="s">
        <v>2989</v>
      </c>
      <c r="F8132" s="64" t="s">
        <v>15</v>
      </c>
      <c r="G8132" s="64" t="s">
        <v>2921</v>
      </c>
      <c r="H8132" s="64" t="s">
        <v>1875</v>
      </c>
      <c r="I8132" s="64" t="s">
        <v>2990</v>
      </c>
      <c r="J8132" s="67">
        <v>26279.5</v>
      </c>
      <c r="K8132" s="62">
        <v>246963.57</v>
      </c>
      <c r="L8132" s="33" t="e">
        <f>HLOOKUP(B8132,#REF!,1,0)</f>
        <v>#REF!</v>
      </c>
      <c r="M8132" s="33" t="str">
        <f t="shared" si="511"/>
        <v>P&amp;L</v>
      </c>
    </row>
    <row r="8133" spans="1:13">
      <c r="A8133" s="33" t="str">
        <f t="shared" si="508"/>
        <v>SCL - CGS</v>
      </c>
      <c r="B8133" s="33" t="str">
        <f t="shared" si="509"/>
        <v>SCL</v>
      </c>
      <c r="C8133" s="33" t="str">
        <f t="shared" si="510"/>
        <v>54100-7381</v>
      </c>
      <c r="D8133" s="64" t="s">
        <v>9382</v>
      </c>
      <c r="E8133" s="64" t="s">
        <v>2989</v>
      </c>
      <c r="F8133" s="64" t="s">
        <v>15</v>
      </c>
      <c r="G8133" s="64" t="s">
        <v>2921</v>
      </c>
      <c r="H8133" s="64" t="s">
        <v>1875</v>
      </c>
      <c r="I8133" s="64" t="s">
        <v>2990</v>
      </c>
      <c r="J8133" s="67">
        <v>34131.79</v>
      </c>
      <c r="K8133" s="62">
        <v>310446.07</v>
      </c>
      <c r="L8133" s="33" t="e">
        <f>HLOOKUP(B8133,#REF!,1,0)</f>
        <v>#REF!</v>
      </c>
      <c r="M8133" s="33" t="str">
        <f t="shared" si="511"/>
        <v>P&amp;L</v>
      </c>
    </row>
    <row r="8134" spans="1:13">
      <c r="A8134" s="33" t="str">
        <f t="shared" si="508"/>
        <v>SCL - CGS</v>
      </c>
      <c r="B8134" s="33" t="str">
        <f t="shared" si="509"/>
        <v>SCL</v>
      </c>
      <c r="C8134" s="33" t="str">
        <f t="shared" si="510"/>
        <v>54100-7383</v>
      </c>
      <c r="D8134" s="64" t="s">
        <v>9383</v>
      </c>
      <c r="E8134" s="64" t="s">
        <v>2989</v>
      </c>
      <c r="F8134" s="64" t="s">
        <v>15</v>
      </c>
      <c r="G8134" s="64" t="s">
        <v>2921</v>
      </c>
      <c r="H8134" s="64" t="s">
        <v>1875</v>
      </c>
      <c r="I8134" s="64" t="s">
        <v>2990</v>
      </c>
      <c r="J8134" s="67">
        <v>29351.41</v>
      </c>
      <c r="K8134" s="62">
        <v>276787.59</v>
      </c>
      <c r="L8134" s="33" t="e">
        <f>HLOOKUP(B8134,#REF!,1,0)</f>
        <v>#REF!</v>
      </c>
      <c r="M8134" s="33" t="str">
        <f t="shared" si="511"/>
        <v>P&amp;L</v>
      </c>
    </row>
    <row r="8135" spans="1:13">
      <c r="A8135" s="33" t="str">
        <f t="shared" si="508"/>
        <v>SCL - CGS</v>
      </c>
      <c r="B8135" s="33" t="str">
        <f t="shared" si="509"/>
        <v>SCL</v>
      </c>
      <c r="C8135" s="33" t="str">
        <f t="shared" si="510"/>
        <v>54100-7385</v>
      </c>
      <c r="D8135" s="64" t="s">
        <v>9384</v>
      </c>
      <c r="E8135" s="64" t="s">
        <v>2989</v>
      </c>
      <c r="F8135" s="64" t="s">
        <v>15</v>
      </c>
      <c r="G8135" s="64" t="s">
        <v>2921</v>
      </c>
      <c r="H8135" s="64" t="s">
        <v>1875</v>
      </c>
      <c r="I8135" s="64" t="s">
        <v>2990</v>
      </c>
      <c r="J8135" s="67">
        <v>24910.6</v>
      </c>
      <c r="K8135" s="62">
        <v>234007.87</v>
      </c>
      <c r="L8135" s="33" t="e">
        <f>HLOOKUP(B8135,#REF!,1,0)</f>
        <v>#REF!</v>
      </c>
      <c r="M8135" s="33" t="str">
        <f t="shared" si="511"/>
        <v>P&amp;L</v>
      </c>
    </row>
    <row r="8136" spans="1:13">
      <c r="A8136" s="33" t="str">
        <f t="shared" si="508"/>
        <v>SCL - CGS</v>
      </c>
      <c r="B8136" s="33" t="str">
        <f t="shared" si="509"/>
        <v>SCL</v>
      </c>
      <c r="C8136" s="33" t="str">
        <f t="shared" si="510"/>
        <v>54100-7386</v>
      </c>
      <c r="D8136" s="64" t="s">
        <v>9385</v>
      </c>
      <c r="E8136" s="64" t="s">
        <v>2989</v>
      </c>
      <c r="F8136" s="64" t="s">
        <v>15</v>
      </c>
      <c r="G8136" s="64" t="s">
        <v>2921</v>
      </c>
      <c r="H8136" s="64" t="s">
        <v>1875</v>
      </c>
      <c r="I8136" s="64" t="s">
        <v>2990</v>
      </c>
      <c r="J8136" s="67">
        <v>27881.45</v>
      </c>
      <c r="K8136" s="62">
        <v>259808.54</v>
      </c>
      <c r="L8136" s="33" t="e">
        <f>HLOOKUP(B8136,#REF!,1,0)</f>
        <v>#REF!</v>
      </c>
      <c r="M8136" s="33" t="str">
        <f t="shared" si="511"/>
        <v>P&amp;L</v>
      </c>
    </row>
    <row r="8137" spans="1:13">
      <c r="A8137" s="33" t="str">
        <f t="shared" si="508"/>
        <v>SCL - CGS</v>
      </c>
      <c r="B8137" s="33" t="str">
        <f t="shared" si="509"/>
        <v>SCL</v>
      </c>
      <c r="C8137" s="33" t="str">
        <f t="shared" si="510"/>
        <v>54100-7387</v>
      </c>
      <c r="D8137" s="64" t="s">
        <v>9386</v>
      </c>
      <c r="E8137" s="64" t="s">
        <v>2989</v>
      </c>
      <c r="F8137" s="64" t="s">
        <v>15</v>
      </c>
      <c r="G8137" s="64" t="s">
        <v>2921</v>
      </c>
      <c r="H8137" s="64" t="s">
        <v>1875</v>
      </c>
      <c r="I8137" s="64" t="s">
        <v>2990</v>
      </c>
      <c r="J8137" s="67">
        <v>32592.81</v>
      </c>
      <c r="K8137" s="62">
        <v>297912.92</v>
      </c>
      <c r="L8137" s="33" t="e">
        <f>HLOOKUP(B8137,#REF!,1,0)</f>
        <v>#REF!</v>
      </c>
      <c r="M8137" s="33" t="str">
        <f t="shared" si="511"/>
        <v>P&amp;L</v>
      </c>
    </row>
    <row r="8138" spans="1:13">
      <c r="A8138" s="33" t="str">
        <f t="shared" si="508"/>
        <v>SCL - CGS</v>
      </c>
      <c r="B8138" s="33" t="str">
        <f t="shared" si="509"/>
        <v>SCL</v>
      </c>
      <c r="C8138" s="33" t="str">
        <f t="shared" si="510"/>
        <v>54100-7389</v>
      </c>
      <c r="D8138" s="64" t="s">
        <v>9387</v>
      </c>
      <c r="E8138" s="64" t="s">
        <v>2989</v>
      </c>
      <c r="F8138" s="64" t="s">
        <v>15</v>
      </c>
      <c r="G8138" s="64" t="s">
        <v>2921</v>
      </c>
      <c r="H8138" s="64" t="s">
        <v>1875</v>
      </c>
      <c r="I8138" s="64" t="s">
        <v>2990</v>
      </c>
      <c r="J8138" s="67">
        <v>36768.08</v>
      </c>
      <c r="K8138" s="62">
        <v>342900.27</v>
      </c>
      <c r="L8138" s="33" t="e">
        <f>HLOOKUP(B8138,#REF!,1,0)</f>
        <v>#REF!</v>
      </c>
      <c r="M8138" s="33" t="str">
        <f t="shared" si="511"/>
        <v>P&amp;L</v>
      </c>
    </row>
    <row r="8139" spans="1:13">
      <c r="A8139" s="33" t="str">
        <f t="shared" si="508"/>
        <v>SCL - CGS</v>
      </c>
      <c r="B8139" s="33" t="str">
        <f t="shared" si="509"/>
        <v>SCL</v>
      </c>
      <c r="C8139" s="33" t="str">
        <f t="shared" si="510"/>
        <v>54100-7391</v>
      </c>
      <c r="D8139" s="64" t="s">
        <v>9388</v>
      </c>
      <c r="E8139" s="64" t="s">
        <v>2989</v>
      </c>
      <c r="F8139" s="64" t="s">
        <v>15</v>
      </c>
      <c r="G8139" s="64" t="s">
        <v>2921</v>
      </c>
      <c r="H8139" s="64" t="s">
        <v>1875</v>
      </c>
      <c r="I8139" s="64" t="s">
        <v>2990</v>
      </c>
      <c r="J8139" s="67">
        <v>30616.55</v>
      </c>
      <c r="K8139" s="62">
        <v>282849.08</v>
      </c>
      <c r="L8139" s="33" t="e">
        <f>HLOOKUP(B8139,#REF!,1,0)</f>
        <v>#REF!</v>
      </c>
      <c r="M8139" s="33" t="str">
        <f t="shared" si="511"/>
        <v>P&amp;L</v>
      </c>
    </row>
    <row r="8140" spans="1:13">
      <c r="A8140" s="33" t="str">
        <f t="shared" si="508"/>
        <v>SCL - CGS</v>
      </c>
      <c r="B8140" s="33" t="str">
        <f t="shared" si="509"/>
        <v>SCL</v>
      </c>
      <c r="C8140" s="33" t="str">
        <f t="shared" si="510"/>
        <v>54100-7393</v>
      </c>
      <c r="D8140" s="64" t="s">
        <v>9389</v>
      </c>
      <c r="E8140" s="64" t="s">
        <v>2989</v>
      </c>
      <c r="F8140" s="64" t="s">
        <v>15</v>
      </c>
      <c r="G8140" s="64" t="s">
        <v>2921</v>
      </c>
      <c r="H8140" s="64" t="s">
        <v>1875</v>
      </c>
      <c r="I8140" s="64" t="s">
        <v>2990</v>
      </c>
      <c r="J8140" s="67">
        <v>27306.94</v>
      </c>
      <c r="K8140" s="62">
        <v>259169.01</v>
      </c>
      <c r="L8140" s="33" t="e">
        <f>HLOOKUP(B8140,#REF!,1,0)</f>
        <v>#REF!</v>
      </c>
      <c r="M8140" s="33" t="str">
        <f t="shared" si="511"/>
        <v>P&amp;L</v>
      </c>
    </row>
    <row r="8141" spans="1:13">
      <c r="A8141" s="33" t="str">
        <f t="shared" si="508"/>
        <v>SCL - CGS</v>
      </c>
      <c r="B8141" s="33" t="str">
        <f t="shared" si="509"/>
        <v>SCL</v>
      </c>
      <c r="C8141" s="33" t="str">
        <f t="shared" si="510"/>
        <v>54100-7394</v>
      </c>
      <c r="D8141" s="64" t="s">
        <v>9390</v>
      </c>
      <c r="E8141" s="64" t="s">
        <v>2989</v>
      </c>
      <c r="F8141" s="64" t="s">
        <v>15</v>
      </c>
      <c r="G8141" s="64" t="s">
        <v>2921</v>
      </c>
      <c r="H8141" s="64" t="s">
        <v>1875</v>
      </c>
      <c r="I8141" s="64" t="s">
        <v>2990</v>
      </c>
      <c r="J8141" s="67">
        <v>26067.71</v>
      </c>
      <c r="K8141" s="62">
        <v>249757.21</v>
      </c>
      <c r="L8141" s="33" t="e">
        <f>HLOOKUP(B8141,#REF!,1,0)</f>
        <v>#REF!</v>
      </c>
      <c r="M8141" s="33" t="str">
        <f t="shared" si="511"/>
        <v>P&amp;L</v>
      </c>
    </row>
    <row r="8142" spans="1:13">
      <c r="A8142" s="33" t="str">
        <f t="shared" si="508"/>
        <v>SCL - CGS</v>
      </c>
      <c r="B8142" s="33" t="str">
        <f t="shared" si="509"/>
        <v>SCL</v>
      </c>
      <c r="C8142" s="33" t="str">
        <f t="shared" si="510"/>
        <v>54100-7396</v>
      </c>
      <c r="D8142" s="64" t="s">
        <v>9391</v>
      </c>
      <c r="E8142" s="64" t="s">
        <v>2989</v>
      </c>
      <c r="F8142" s="64" t="s">
        <v>15</v>
      </c>
      <c r="G8142" s="64" t="s">
        <v>2921</v>
      </c>
      <c r="H8142" s="64" t="s">
        <v>1875</v>
      </c>
      <c r="I8142" s="64" t="s">
        <v>2990</v>
      </c>
      <c r="J8142" s="67">
        <v>28561.14</v>
      </c>
      <c r="K8142" s="62">
        <v>264171.23</v>
      </c>
      <c r="L8142" s="33" t="e">
        <f>HLOOKUP(B8142,#REF!,1,0)</f>
        <v>#REF!</v>
      </c>
      <c r="M8142" s="33" t="str">
        <f t="shared" si="511"/>
        <v>P&amp;L</v>
      </c>
    </row>
    <row r="8143" spans="1:13">
      <c r="A8143" s="33" t="str">
        <f t="shared" si="508"/>
        <v>SCL - CGS</v>
      </c>
      <c r="B8143" s="33" t="str">
        <f t="shared" si="509"/>
        <v>SCL</v>
      </c>
      <c r="C8143" s="33" t="str">
        <f t="shared" si="510"/>
        <v>54100-7397</v>
      </c>
      <c r="D8143" s="64" t="s">
        <v>9392</v>
      </c>
      <c r="E8143" s="64" t="s">
        <v>2989</v>
      </c>
      <c r="F8143" s="64" t="s">
        <v>15</v>
      </c>
      <c r="G8143" s="64" t="s">
        <v>2921</v>
      </c>
      <c r="H8143" s="64" t="s">
        <v>1875</v>
      </c>
      <c r="I8143" s="64" t="s">
        <v>2990</v>
      </c>
      <c r="J8143" s="67">
        <v>28742.24</v>
      </c>
      <c r="K8143" s="62">
        <v>271720.18</v>
      </c>
      <c r="L8143" s="33" t="e">
        <f>HLOOKUP(B8143,#REF!,1,0)</f>
        <v>#REF!</v>
      </c>
      <c r="M8143" s="33" t="str">
        <f t="shared" si="511"/>
        <v>P&amp;L</v>
      </c>
    </row>
    <row r="8144" spans="1:13">
      <c r="A8144" s="33" t="str">
        <f t="shared" si="508"/>
        <v>SCL - CGS</v>
      </c>
      <c r="B8144" s="33" t="str">
        <f t="shared" si="509"/>
        <v>SCL</v>
      </c>
      <c r="C8144" s="33" t="str">
        <f t="shared" si="510"/>
        <v>54100-7398</v>
      </c>
      <c r="D8144" s="64" t="s">
        <v>9393</v>
      </c>
      <c r="E8144" s="64" t="s">
        <v>2989</v>
      </c>
      <c r="F8144" s="64" t="s">
        <v>15</v>
      </c>
      <c r="G8144" s="64" t="s">
        <v>2921</v>
      </c>
      <c r="H8144" s="64" t="s">
        <v>1875</v>
      </c>
      <c r="I8144" s="64" t="s">
        <v>2990</v>
      </c>
      <c r="J8144" s="67">
        <v>29578.56</v>
      </c>
      <c r="K8144" s="62">
        <v>272363.46</v>
      </c>
      <c r="L8144" s="33" t="e">
        <f>HLOOKUP(B8144,#REF!,1,0)</f>
        <v>#REF!</v>
      </c>
      <c r="M8144" s="33" t="str">
        <f t="shared" si="511"/>
        <v>P&amp;L</v>
      </c>
    </row>
    <row r="8145" spans="1:13">
      <c r="A8145" s="33" t="str">
        <f t="shared" si="508"/>
        <v>SCL - CGS</v>
      </c>
      <c r="B8145" s="33" t="str">
        <f t="shared" si="509"/>
        <v>SCL</v>
      </c>
      <c r="C8145" s="33" t="str">
        <f t="shared" si="510"/>
        <v>54100-7400</v>
      </c>
      <c r="D8145" s="64" t="s">
        <v>9394</v>
      </c>
      <c r="E8145" s="64" t="s">
        <v>2989</v>
      </c>
      <c r="F8145" s="64" t="s">
        <v>15</v>
      </c>
      <c r="G8145" s="64" t="s">
        <v>2921</v>
      </c>
      <c r="H8145" s="64" t="s">
        <v>1875</v>
      </c>
      <c r="I8145" s="64" t="s">
        <v>2990</v>
      </c>
      <c r="J8145" s="67">
        <v>26205.83</v>
      </c>
      <c r="K8145" s="62">
        <v>248395.9</v>
      </c>
      <c r="L8145" s="33" t="e">
        <f>HLOOKUP(B8145,#REF!,1,0)</f>
        <v>#REF!</v>
      </c>
      <c r="M8145" s="33" t="str">
        <f t="shared" si="511"/>
        <v>P&amp;L</v>
      </c>
    </row>
    <row r="8146" spans="1:13">
      <c r="A8146" s="33" t="str">
        <f t="shared" si="508"/>
        <v>SCL - CGS</v>
      </c>
      <c r="B8146" s="33" t="str">
        <f t="shared" si="509"/>
        <v>SCL</v>
      </c>
      <c r="C8146" s="33" t="str">
        <f t="shared" si="510"/>
        <v>54100-7401</v>
      </c>
      <c r="D8146" s="64" t="s">
        <v>9395</v>
      </c>
      <c r="E8146" s="64" t="s">
        <v>2989</v>
      </c>
      <c r="F8146" s="64" t="s">
        <v>15</v>
      </c>
      <c r="G8146" s="64" t="s">
        <v>2921</v>
      </c>
      <c r="H8146" s="64" t="s">
        <v>1875</v>
      </c>
      <c r="I8146" s="64" t="s">
        <v>2990</v>
      </c>
      <c r="J8146" s="67">
        <v>27945.02</v>
      </c>
      <c r="K8146" s="62">
        <v>259644.22</v>
      </c>
      <c r="L8146" s="33" t="e">
        <f>HLOOKUP(B8146,#REF!,1,0)</f>
        <v>#REF!</v>
      </c>
      <c r="M8146" s="33" t="str">
        <f t="shared" si="511"/>
        <v>P&amp;L</v>
      </c>
    </row>
    <row r="8147" spans="1:13">
      <c r="A8147" s="33" t="str">
        <f t="shared" si="508"/>
        <v>SCL - CGS</v>
      </c>
      <c r="B8147" s="33" t="str">
        <f t="shared" si="509"/>
        <v>SCL</v>
      </c>
      <c r="C8147" s="33" t="str">
        <f t="shared" si="510"/>
        <v>54100-7402</v>
      </c>
      <c r="D8147" s="64" t="s">
        <v>9396</v>
      </c>
      <c r="E8147" s="64" t="s">
        <v>2989</v>
      </c>
      <c r="F8147" s="64" t="s">
        <v>15</v>
      </c>
      <c r="G8147" s="64" t="s">
        <v>2921</v>
      </c>
      <c r="H8147" s="64" t="s">
        <v>1875</v>
      </c>
      <c r="I8147" s="64" t="s">
        <v>2990</v>
      </c>
      <c r="J8147" s="67">
        <v>29557.24</v>
      </c>
      <c r="K8147" s="62">
        <v>277555.4</v>
      </c>
      <c r="L8147" s="33" t="e">
        <f>HLOOKUP(B8147,#REF!,1,0)</f>
        <v>#REF!</v>
      </c>
      <c r="M8147" s="33" t="str">
        <f t="shared" si="511"/>
        <v>P&amp;L</v>
      </c>
    </row>
    <row r="8148" spans="1:13">
      <c r="A8148" s="33" t="str">
        <f t="shared" si="508"/>
        <v>SCL - CGS</v>
      </c>
      <c r="B8148" s="33" t="str">
        <f t="shared" si="509"/>
        <v>SCL</v>
      </c>
      <c r="C8148" s="33" t="str">
        <f t="shared" si="510"/>
        <v>54100-7403</v>
      </c>
      <c r="D8148" s="64" t="s">
        <v>9397</v>
      </c>
      <c r="E8148" s="64" t="s">
        <v>2989</v>
      </c>
      <c r="F8148" s="64" t="s">
        <v>15</v>
      </c>
      <c r="G8148" s="64" t="s">
        <v>2921</v>
      </c>
      <c r="H8148" s="64" t="s">
        <v>1875</v>
      </c>
      <c r="I8148" s="64" t="s">
        <v>2990</v>
      </c>
      <c r="J8148" s="67">
        <v>28764.17</v>
      </c>
      <c r="K8148" s="62">
        <v>276528.11</v>
      </c>
      <c r="L8148" s="33" t="e">
        <f>HLOOKUP(B8148,#REF!,1,0)</f>
        <v>#REF!</v>
      </c>
      <c r="M8148" s="33" t="str">
        <f t="shared" si="511"/>
        <v>P&amp;L</v>
      </c>
    </row>
    <row r="8149" spans="1:13">
      <c r="A8149" s="33" t="str">
        <f t="shared" si="508"/>
        <v>SCL - CGS</v>
      </c>
      <c r="B8149" s="33" t="str">
        <f t="shared" si="509"/>
        <v>SCL</v>
      </c>
      <c r="C8149" s="33" t="str">
        <f t="shared" si="510"/>
        <v>54100-7489</v>
      </c>
      <c r="D8149" s="64" t="s">
        <v>9398</v>
      </c>
      <c r="E8149" s="64" t="s">
        <v>2989</v>
      </c>
      <c r="F8149" s="64" t="s">
        <v>15</v>
      </c>
      <c r="G8149" s="64" t="s">
        <v>2921</v>
      </c>
      <c r="H8149" s="64" t="s">
        <v>1875</v>
      </c>
      <c r="I8149" s="64" t="s">
        <v>2990</v>
      </c>
      <c r="J8149" s="67">
        <v>36208.89</v>
      </c>
      <c r="K8149" s="62">
        <v>335327.29</v>
      </c>
      <c r="L8149" s="33" t="e">
        <f>HLOOKUP(B8149,#REF!,1,0)</f>
        <v>#REF!</v>
      </c>
      <c r="M8149" s="33" t="str">
        <f t="shared" si="511"/>
        <v>P&amp;L</v>
      </c>
    </row>
    <row r="8150" spans="1:13">
      <c r="A8150" s="33" t="str">
        <f t="shared" si="508"/>
        <v>SCL - CGS</v>
      </c>
      <c r="B8150" s="33" t="str">
        <f t="shared" si="509"/>
        <v>SCL</v>
      </c>
      <c r="C8150" s="33" t="str">
        <f t="shared" si="510"/>
        <v>54100-7491</v>
      </c>
      <c r="D8150" s="64" t="s">
        <v>9399</v>
      </c>
      <c r="E8150" s="64" t="s">
        <v>2989</v>
      </c>
      <c r="F8150" s="64" t="s">
        <v>15</v>
      </c>
      <c r="G8150" s="64" t="s">
        <v>2921</v>
      </c>
      <c r="H8150" s="64" t="s">
        <v>1875</v>
      </c>
      <c r="I8150" s="64" t="s">
        <v>2990</v>
      </c>
      <c r="J8150" s="67">
        <v>27188.2</v>
      </c>
      <c r="K8150" s="62">
        <v>249878.05</v>
      </c>
      <c r="L8150" s="33" t="e">
        <f>HLOOKUP(B8150,#REF!,1,0)</f>
        <v>#REF!</v>
      </c>
      <c r="M8150" s="33" t="str">
        <f t="shared" si="511"/>
        <v>P&amp;L</v>
      </c>
    </row>
    <row r="8151" spans="1:13">
      <c r="A8151" s="33" t="str">
        <f t="shared" si="508"/>
        <v>SCL - CGS</v>
      </c>
      <c r="B8151" s="33" t="str">
        <f t="shared" si="509"/>
        <v>SCL</v>
      </c>
      <c r="C8151" s="33" t="str">
        <f t="shared" si="510"/>
        <v>54100-7492</v>
      </c>
      <c r="D8151" s="64" t="s">
        <v>9400</v>
      </c>
      <c r="E8151" s="64" t="s">
        <v>2989</v>
      </c>
      <c r="F8151" s="64" t="s">
        <v>15</v>
      </c>
      <c r="G8151" s="64" t="s">
        <v>2921</v>
      </c>
      <c r="H8151" s="64" t="s">
        <v>1875</v>
      </c>
      <c r="I8151" s="64" t="s">
        <v>2990</v>
      </c>
      <c r="J8151" s="67">
        <v>28655.51</v>
      </c>
      <c r="K8151" s="62">
        <v>264020.65</v>
      </c>
      <c r="L8151" s="33" t="e">
        <f>HLOOKUP(B8151,#REF!,1,0)</f>
        <v>#REF!</v>
      </c>
      <c r="M8151" s="33" t="str">
        <f t="shared" si="511"/>
        <v>P&amp;L</v>
      </c>
    </row>
    <row r="8152" spans="1:13">
      <c r="A8152" s="33" t="str">
        <f t="shared" si="508"/>
        <v>SCL - CGS</v>
      </c>
      <c r="B8152" s="33" t="str">
        <f t="shared" si="509"/>
        <v>SCL</v>
      </c>
      <c r="C8152" s="33" t="str">
        <f t="shared" si="510"/>
        <v>54100-7493</v>
      </c>
      <c r="D8152" s="64" t="s">
        <v>9401</v>
      </c>
      <c r="E8152" s="64" t="s">
        <v>2989</v>
      </c>
      <c r="F8152" s="64" t="s">
        <v>15</v>
      </c>
      <c r="G8152" s="64" t="s">
        <v>2921</v>
      </c>
      <c r="H8152" s="64" t="s">
        <v>1875</v>
      </c>
      <c r="I8152" s="64" t="s">
        <v>2990</v>
      </c>
      <c r="J8152" s="67">
        <v>33082.78</v>
      </c>
      <c r="K8152" s="62">
        <v>311155.26</v>
      </c>
      <c r="L8152" s="33" t="e">
        <f>HLOOKUP(B8152,#REF!,1,0)</f>
        <v>#REF!</v>
      </c>
      <c r="M8152" s="33" t="str">
        <f t="shared" si="511"/>
        <v>P&amp;L</v>
      </c>
    </row>
    <row r="8153" spans="1:13">
      <c r="A8153" s="33" t="str">
        <f t="shared" si="508"/>
        <v>SCL - CGS</v>
      </c>
      <c r="B8153" s="33" t="str">
        <f t="shared" si="509"/>
        <v>SCL</v>
      </c>
      <c r="C8153" s="33" t="str">
        <f t="shared" si="510"/>
        <v>54100-7494</v>
      </c>
      <c r="D8153" s="64" t="s">
        <v>9402</v>
      </c>
      <c r="E8153" s="64" t="s">
        <v>2989</v>
      </c>
      <c r="F8153" s="64" t="s">
        <v>15</v>
      </c>
      <c r="G8153" s="64" t="s">
        <v>2921</v>
      </c>
      <c r="H8153" s="64" t="s">
        <v>1875</v>
      </c>
      <c r="I8153" s="64" t="s">
        <v>2990</v>
      </c>
      <c r="J8153" s="67">
        <v>28604.86</v>
      </c>
      <c r="K8153" s="62">
        <v>267911.38</v>
      </c>
      <c r="L8153" s="33" t="e">
        <f>HLOOKUP(B8153,#REF!,1,0)</f>
        <v>#REF!</v>
      </c>
      <c r="M8153" s="33" t="str">
        <f t="shared" si="511"/>
        <v>P&amp;L</v>
      </c>
    </row>
    <row r="8154" spans="1:13">
      <c r="A8154" s="33" t="str">
        <f t="shared" si="508"/>
        <v>SCL - CGS</v>
      </c>
      <c r="B8154" s="33" t="str">
        <f t="shared" si="509"/>
        <v>SCL</v>
      </c>
      <c r="C8154" s="33" t="str">
        <f t="shared" si="510"/>
        <v>54100-7625</v>
      </c>
      <c r="D8154" s="64" t="s">
        <v>9403</v>
      </c>
      <c r="E8154" s="64" t="s">
        <v>2989</v>
      </c>
      <c r="F8154" s="64" t="s">
        <v>15</v>
      </c>
      <c r="G8154" s="64" t="s">
        <v>2921</v>
      </c>
      <c r="H8154" s="64" t="s">
        <v>1875</v>
      </c>
      <c r="I8154" s="64" t="s">
        <v>2990</v>
      </c>
      <c r="J8154" s="67">
        <v>32452.76</v>
      </c>
      <c r="K8154" s="62">
        <v>307105.54</v>
      </c>
      <c r="L8154" s="33" t="e">
        <f>HLOOKUP(B8154,#REF!,1,0)</f>
        <v>#REF!</v>
      </c>
      <c r="M8154" s="33" t="str">
        <f t="shared" si="511"/>
        <v>P&amp;L</v>
      </c>
    </row>
    <row r="8155" spans="1:13">
      <c r="A8155" s="33" t="str">
        <f t="shared" si="508"/>
        <v>SCL - CGS</v>
      </c>
      <c r="B8155" s="33" t="str">
        <f t="shared" si="509"/>
        <v>SCL</v>
      </c>
      <c r="C8155" s="33" t="str">
        <f t="shared" si="510"/>
        <v>54100-8150</v>
      </c>
      <c r="D8155" s="64" t="s">
        <v>9404</v>
      </c>
      <c r="E8155" s="64" t="s">
        <v>2989</v>
      </c>
      <c r="F8155" s="64" t="s">
        <v>15</v>
      </c>
      <c r="G8155" s="64" t="s">
        <v>2921</v>
      </c>
      <c r="H8155" s="64" t="s">
        <v>1875</v>
      </c>
      <c r="I8155" s="64" t="s">
        <v>2990</v>
      </c>
      <c r="J8155" s="67">
        <v>29955.87</v>
      </c>
      <c r="K8155" s="62">
        <v>285555.34</v>
      </c>
      <c r="L8155" s="33" t="e">
        <f>HLOOKUP(B8155,#REF!,1,0)</f>
        <v>#REF!</v>
      </c>
      <c r="M8155" s="33" t="str">
        <f t="shared" si="511"/>
        <v>P&amp;L</v>
      </c>
    </row>
    <row r="8156" spans="1:13">
      <c r="A8156" s="33" t="str">
        <f t="shared" si="508"/>
        <v>SCL - CGS</v>
      </c>
      <c r="B8156" s="33" t="str">
        <f t="shared" si="509"/>
        <v>SCL</v>
      </c>
      <c r="C8156" s="33" t="str">
        <f t="shared" si="510"/>
        <v>55001-0000</v>
      </c>
      <c r="D8156" s="64" t="s">
        <v>9405</v>
      </c>
      <c r="E8156" s="64" t="s">
        <v>2996</v>
      </c>
      <c r="F8156" s="64" t="s">
        <v>15</v>
      </c>
      <c r="G8156" s="64" t="s">
        <v>2976</v>
      </c>
      <c r="H8156" s="64" t="s">
        <v>1875</v>
      </c>
      <c r="I8156" s="64" t="s">
        <v>2997</v>
      </c>
      <c r="J8156" s="67">
        <v>0</v>
      </c>
      <c r="K8156" s="62">
        <v>4979.4</v>
      </c>
      <c r="L8156" s="33" t="e">
        <f>HLOOKUP(B8156,#REF!,1,0)</f>
        <v>#REF!</v>
      </c>
      <c r="M8156" s="33" t="str">
        <f t="shared" si="511"/>
        <v>P&amp;L</v>
      </c>
    </row>
    <row r="8157" spans="1:13">
      <c r="A8157" s="33" t="str">
        <f t="shared" si="508"/>
        <v>SCL - CGS</v>
      </c>
      <c r="B8157" s="33" t="str">
        <f t="shared" si="509"/>
        <v>SCL</v>
      </c>
      <c r="C8157" s="33" t="str">
        <f t="shared" si="510"/>
        <v>55001-7351</v>
      </c>
      <c r="D8157" s="64" t="s">
        <v>9406</v>
      </c>
      <c r="E8157" s="64" t="s">
        <v>2996</v>
      </c>
      <c r="F8157" s="64" t="s">
        <v>15</v>
      </c>
      <c r="G8157" s="64" t="s">
        <v>2976</v>
      </c>
      <c r="H8157" s="64" t="s">
        <v>1875</v>
      </c>
      <c r="I8157" s="64" t="s">
        <v>2997</v>
      </c>
      <c r="J8157" s="67">
        <v>2824.97</v>
      </c>
      <c r="K8157" s="62">
        <v>27998.58</v>
      </c>
      <c r="L8157" s="33" t="e">
        <f>HLOOKUP(B8157,#REF!,1,0)</f>
        <v>#REF!</v>
      </c>
      <c r="M8157" s="33" t="str">
        <f t="shared" si="511"/>
        <v>P&amp;L</v>
      </c>
    </row>
    <row r="8158" spans="1:13">
      <c r="A8158" s="33" t="str">
        <f t="shared" si="508"/>
        <v>SCL - CGS</v>
      </c>
      <c r="B8158" s="33" t="str">
        <f t="shared" si="509"/>
        <v>SCL</v>
      </c>
      <c r="C8158" s="33" t="str">
        <f t="shared" si="510"/>
        <v>55001-7352</v>
      </c>
      <c r="D8158" s="64" t="s">
        <v>9407</v>
      </c>
      <c r="E8158" s="64" t="s">
        <v>2996</v>
      </c>
      <c r="F8158" s="64" t="s">
        <v>15</v>
      </c>
      <c r="G8158" s="64" t="s">
        <v>2976</v>
      </c>
      <c r="H8158" s="64" t="s">
        <v>1875</v>
      </c>
      <c r="I8158" s="64" t="s">
        <v>2997</v>
      </c>
      <c r="J8158" s="67">
        <v>2824.97</v>
      </c>
      <c r="K8158" s="62">
        <v>27998.58</v>
      </c>
      <c r="L8158" s="33" t="e">
        <f>HLOOKUP(B8158,#REF!,1,0)</f>
        <v>#REF!</v>
      </c>
      <c r="M8158" s="33" t="str">
        <f t="shared" si="511"/>
        <v>P&amp;L</v>
      </c>
    </row>
    <row r="8159" spans="1:13">
      <c r="A8159" s="33" t="str">
        <f t="shared" si="508"/>
        <v>SCL - CGS</v>
      </c>
      <c r="B8159" s="33" t="str">
        <f t="shared" si="509"/>
        <v>SCL</v>
      </c>
      <c r="C8159" s="33" t="str">
        <f t="shared" si="510"/>
        <v>55001-7355</v>
      </c>
      <c r="D8159" s="64" t="s">
        <v>9408</v>
      </c>
      <c r="E8159" s="64" t="s">
        <v>2996</v>
      </c>
      <c r="F8159" s="64" t="s">
        <v>15</v>
      </c>
      <c r="G8159" s="64" t="s">
        <v>2976</v>
      </c>
      <c r="H8159" s="64" t="s">
        <v>1875</v>
      </c>
      <c r="I8159" s="64" t="s">
        <v>2997</v>
      </c>
      <c r="J8159" s="67">
        <v>2824.97</v>
      </c>
      <c r="K8159" s="62">
        <v>27998.58</v>
      </c>
      <c r="L8159" s="33" t="e">
        <f>HLOOKUP(B8159,#REF!,1,0)</f>
        <v>#REF!</v>
      </c>
      <c r="M8159" s="33" t="str">
        <f t="shared" si="511"/>
        <v>P&amp;L</v>
      </c>
    </row>
    <row r="8160" spans="1:13">
      <c r="A8160" s="33" t="str">
        <f t="shared" si="508"/>
        <v>SCL - CGS</v>
      </c>
      <c r="B8160" s="33" t="str">
        <f t="shared" si="509"/>
        <v>SCL</v>
      </c>
      <c r="C8160" s="33" t="str">
        <f t="shared" si="510"/>
        <v>55001-7356</v>
      </c>
      <c r="D8160" s="64" t="s">
        <v>9409</v>
      </c>
      <c r="E8160" s="64" t="s">
        <v>2996</v>
      </c>
      <c r="F8160" s="64" t="s">
        <v>15</v>
      </c>
      <c r="G8160" s="64" t="s">
        <v>2976</v>
      </c>
      <c r="H8160" s="64" t="s">
        <v>1875</v>
      </c>
      <c r="I8160" s="64" t="s">
        <v>2997</v>
      </c>
      <c r="J8160" s="67">
        <v>0</v>
      </c>
      <c r="K8160" s="62">
        <v>11048.76</v>
      </c>
      <c r="L8160" s="33" t="e">
        <f>HLOOKUP(B8160,#REF!,1,0)</f>
        <v>#REF!</v>
      </c>
      <c r="M8160" s="33" t="str">
        <f t="shared" si="511"/>
        <v>P&amp;L</v>
      </c>
    </row>
    <row r="8161" spans="1:13">
      <c r="A8161" s="33" t="str">
        <f t="shared" si="508"/>
        <v>SCL - CGS</v>
      </c>
      <c r="B8161" s="33" t="str">
        <f t="shared" si="509"/>
        <v>SCL</v>
      </c>
      <c r="C8161" s="33" t="str">
        <f t="shared" si="510"/>
        <v>55001-7359</v>
      </c>
      <c r="D8161" s="64" t="s">
        <v>9410</v>
      </c>
      <c r="E8161" s="64" t="s">
        <v>2996</v>
      </c>
      <c r="F8161" s="64" t="s">
        <v>15</v>
      </c>
      <c r="G8161" s="64" t="s">
        <v>2976</v>
      </c>
      <c r="H8161" s="64" t="s">
        <v>1875</v>
      </c>
      <c r="I8161" s="64" t="s">
        <v>2997</v>
      </c>
      <c r="J8161" s="67">
        <v>2824.97</v>
      </c>
      <c r="K8161" s="62">
        <v>27998.58</v>
      </c>
      <c r="L8161" s="33" t="e">
        <f>HLOOKUP(B8161,#REF!,1,0)</f>
        <v>#REF!</v>
      </c>
      <c r="M8161" s="33" t="str">
        <f t="shared" si="511"/>
        <v>P&amp;L</v>
      </c>
    </row>
    <row r="8162" spans="1:13">
      <c r="A8162" s="33" t="str">
        <f t="shared" si="508"/>
        <v>SCL - CGS</v>
      </c>
      <c r="B8162" s="33" t="str">
        <f t="shared" si="509"/>
        <v>SCL</v>
      </c>
      <c r="C8162" s="33" t="str">
        <f t="shared" si="510"/>
        <v>55001-7360</v>
      </c>
      <c r="D8162" s="64" t="s">
        <v>9411</v>
      </c>
      <c r="E8162" s="64" t="s">
        <v>2996</v>
      </c>
      <c r="F8162" s="64" t="s">
        <v>15</v>
      </c>
      <c r="G8162" s="64" t="s">
        <v>2976</v>
      </c>
      <c r="H8162" s="64" t="s">
        <v>1875</v>
      </c>
      <c r="I8162" s="64" t="s">
        <v>2997</v>
      </c>
      <c r="J8162" s="67">
        <v>5649.94</v>
      </c>
      <c r="K8162" s="62">
        <v>55997.16</v>
      </c>
      <c r="L8162" s="33" t="e">
        <f>HLOOKUP(B8162,#REF!,1,0)</f>
        <v>#REF!</v>
      </c>
      <c r="M8162" s="33" t="str">
        <f t="shared" si="511"/>
        <v>P&amp;L</v>
      </c>
    </row>
    <row r="8163" spans="1:13">
      <c r="A8163" s="33" t="str">
        <f t="shared" si="508"/>
        <v>SCL - CGS</v>
      </c>
      <c r="B8163" s="33" t="str">
        <f t="shared" si="509"/>
        <v>SCL</v>
      </c>
      <c r="C8163" s="33" t="str">
        <f t="shared" si="510"/>
        <v>55001-7362</v>
      </c>
      <c r="D8163" s="64" t="s">
        <v>9412</v>
      </c>
      <c r="E8163" s="64" t="s">
        <v>2996</v>
      </c>
      <c r="F8163" s="64" t="s">
        <v>15</v>
      </c>
      <c r="G8163" s="64" t="s">
        <v>2976</v>
      </c>
      <c r="H8163" s="64" t="s">
        <v>1875</v>
      </c>
      <c r="I8163" s="64" t="s">
        <v>2997</v>
      </c>
      <c r="J8163" s="67">
        <v>2824.97</v>
      </c>
      <c r="K8163" s="62">
        <v>27998.58</v>
      </c>
      <c r="L8163" s="33" t="e">
        <f>HLOOKUP(B8163,#REF!,1,0)</f>
        <v>#REF!</v>
      </c>
      <c r="M8163" s="33" t="str">
        <f t="shared" si="511"/>
        <v>P&amp;L</v>
      </c>
    </row>
    <row r="8164" spans="1:13">
      <c r="A8164" s="33" t="str">
        <f t="shared" si="508"/>
        <v>SCL - CGS</v>
      </c>
      <c r="B8164" s="33" t="str">
        <f t="shared" si="509"/>
        <v>SCL</v>
      </c>
      <c r="C8164" s="33" t="str">
        <f t="shared" si="510"/>
        <v>55001-7363</v>
      </c>
      <c r="D8164" s="64" t="s">
        <v>9413</v>
      </c>
      <c r="E8164" s="64" t="s">
        <v>2996</v>
      </c>
      <c r="F8164" s="64" t="s">
        <v>15</v>
      </c>
      <c r="G8164" s="64" t="s">
        <v>2976</v>
      </c>
      <c r="H8164" s="64" t="s">
        <v>1875</v>
      </c>
      <c r="I8164" s="64" t="s">
        <v>2997</v>
      </c>
      <c r="J8164" s="67">
        <v>2824.97</v>
      </c>
      <c r="K8164" s="62">
        <v>27998.58</v>
      </c>
      <c r="L8164" s="33" t="e">
        <f>HLOOKUP(B8164,#REF!,1,0)</f>
        <v>#REF!</v>
      </c>
      <c r="M8164" s="33" t="str">
        <f t="shared" si="511"/>
        <v>P&amp;L</v>
      </c>
    </row>
    <row r="8165" spans="1:13">
      <c r="A8165" s="33" t="str">
        <f t="shared" si="508"/>
        <v>SCL - CGS</v>
      </c>
      <c r="B8165" s="33" t="str">
        <f t="shared" si="509"/>
        <v>SCL</v>
      </c>
      <c r="C8165" s="33" t="str">
        <f t="shared" si="510"/>
        <v>55001-7364</v>
      </c>
      <c r="D8165" s="64" t="s">
        <v>9414</v>
      </c>
      <c r="E8165" s="64" t="s">
        <v>2996</v>
      </c>
      <c r="F8165" s="64" t="s">
        <v>15</v>
      </c>
      <c r="G8165" s="64" t="s">
        <v>2976</v>
      </c>
      <c r="H8165" s="64" t="s">
        <v>1875</v>
      </c>
      <c r="I8165" s="64" t="s">
        <v>2997</v>
      </c>
      <c r="J8165" s="67">
        <v>2824.97</v>
      </c>
      <c r="K8165" s="62">
        <v>27998.58</v>
      </c>
      <c r="L8165" s="33" t="e">
        <f>HLOOKUP(B8165,#REF!,1,0)</f>
        <v>#REF!</v>
      </c>
      <c r="M8165" s="33" t="str">
        <f t="shared" si="511"/>
        <v>P&amp;L</v>
      </c>
    </row>
    <row r="8166" spans="1:13">
      <c r="A8166" s="33" t="str">
        <f t="shared" si="508"/>
        <v>SCL - CGS</v>
      </c>
      <c r="B8166" s="33" t="str">
        <f t="shared" si="509"/>
        <v>SCL</v>
      </c>
      <c r="C8166" s="33" t="str">
        <f t="shared" si="510"/>
        <v>55001-7365</v>
      </c>
      <c r="D8166" s="64" t="s">
        <v>9415</v>
      </c>
      <c r="E8166" s="64" t="s">
        <v>2996</v>
      </c>
      <c r="F8166" s="64" t="s">
        <v>15</v>
      </c>
      <c r="G8166" s="64" t="s">
        <v>2976</v>
      </c>
      <c r="H8166" s="64" t="s">
        <v>1875</v>
      </c>
      <c r="I8166" s="64" t="s">
        <v>2997</v>
      </c>
      <c r="J8166" s="67">
        <v>2824.97</v>
      </c>
      <c r="K8166" s="62">
        <v>27998.58</v>
      </c>
      <c r="L8166" s="33" t="e">
        <f>HLOOKUP(B8166,#REF!,1,0)</f>
        <v>#REF!</v>
      </c>
      <c r="M8166" s="33" t="str">
        <f t="shared" si="511"/>
        <v>P&amp;L</v>
      </c>
    </row>
    <row r="8167" spans="1:13">
      <c r="A8167" s="33" t="str">
        <f t="shared" si="508"/>
        <v>SCL - CGS</v>
      </c>
      <c r="B8167" s="33" t="str">
        <f t="shared" si="509"/>
        <v>SCL</v>
      </c>
      <c r="C8167" s="33" t="str">
        <f t="shared" si="510"/>
        <v>55001-7366</v>
      </c>
      <c r="D8167" s="64" t="s">
        <v>9416</v>
      </c>
      <c r="E8167" s="64" t="s">
        <v>2996</v>
      </c>
      <c r="F8167" s="64" t="s">
        <v>15</v>
      </c>
      <c r="G8167" s="64" t="s">
        <v>2976</v>
      </c>
      <c r="H8167" s="64" t="s">
        <v>1875</v>
      </c>
      <c r="I8167" s="64" t="s">
        <v>2997</v>
      </c>
      <c r="J8167" s="67">
        <v>2824.97</v>
      </c>
      <c r="K8167" s="62">
        <v>27998.58</v>
      </c>
      <c r="L8167" s="33" t="e">
        <f>HLOOKUP(B8167,#REF!,1,0)</f>
        <v>#REF!</v>
      </c>
      <c r="M8167" s="33" t="str">
        <f t="shared" si="511"/>
        <v>P&amp;L</v>
      </c>
    </row>
    <row r="8168" spans="1:13">
      <c r="A8168" s="33" t="str">
        <f t="shared" si="508"/>
        <v>SCL - CGS</v>
      </c>
      <c r="B8168" s="33" t="str">
        <f t="shared" si="509"/>
        <v>SCL</v>
      </c>
      <c r="C8168" s="33" t="str">
        <f t="shared" si="510"/>
        <v>55001-7368</v>
      </c>
      <c r="D8168" s="64" t="s">
        <v>9417</v>
      </c>
      <c r="E8168" s="64" t="s">
        <v>2996</v>
      </c>
      <c r="F8168" s="64" t="s">
        <v>15</v>
      </c>
      <c r="G8168" s="64" t="s">
        <v>2976</v>
      </c>
      <c r="H8168" s="64" t="s">
        <v>1875</v>
      </c>
      <c r="I8168" s="64" t="s">
        <v>2997</v>
      </c>
      <c r="J8168" s="67">
        <v>2824.97</v>
      </c>
      <c r="K8168" s="62">
        <v>27998.58</v>
      </c>
      <c r="L8168" s="33" t="e">
        <f>HLOOKUP(B8168,#REF!,1,0)</f>
        <v>#REF!</v>
      </c>
      <c r="M8168" s="33" t="str">
        <f t="shared" si="511"/>
        <v>P&amp;L</v>
      </c>
    </row>
    <row r="8169" spans="1:13">
      <c r="A8169" s="33" t="str">
        <f t="shared" si="508"/>
        <v>SCL - CGS</v>
      </c>
      <c r="B8169" s="33" t="str">
        <f t="shared" si="509"/>
        <v>SCL</v>
      </c>
      <c r="C8169" s="33" t="str">
        <f t="shared" si="510"/>
        <v>55001-7369</v>
      </c>
      <c r="D8169" s="64" t="s">
        <v>9418</v>
      </c>
      <c r="E8169" s="64" t="s">
        <v>2996</v>
      </c>
      <c r="F8169" s="64" t="s">
        <v>15</v>
      </c>
      <c r="G8169" s="64" t="s">
        <v>2976</v>
      </c>
      <c r="H8169" s="64" t="s">
        <v>1875</v>
      </c>
      <c r="I8169" s="64" t="s">
        <v>2997</v>
      </c>
      <c r="J8169" s="67">
        <v>2824.97</v>
      </c>
      <c r="K8169" s="62">
        <v>27998.58</v>
      </c>
      <c r="L8169" s="33" t="e">
        <f>HLOOKUP(B8169,#REF!,1,0)</f>
        <v>#REF!</v>
      </c>
      <c r="M8169" s="33" t="str">
        <f t="shared" si="511"/>
        <v>P&amp;L</v>
      </c>
    </row>
    <row r="8170" spans="1:13">
      <c r="A8170" s="33" t="str">
        <f t="shared" si="508"/>
        <v>SCL - CGS</v>
      </c>
      <c r="B8170" s="33" t="str">
        <f t="shared" si="509"/>
        <v>SCL</v>
      </c>
      <c r="C8170" s="33" t="str">
        <f t="shared" si="510"/>
        <v>55001-7371</v>
      </c>
      <c r="D8170" s="64" t="s">
        <v>9419</v>
      </c>
      <c r="E8170" s="64" t="s">
        <v>2996</v>
      </c>
      <c r="F8170" s="64" t="s">
        <v>15</v>
      </c>
      <c r="G8170" s="64" t="s">
        <v>2976</v>
      </c>
      <c r="H8170" s="64" t="s">
        <v>1875</v>
      </c>
      <c r="I8170" s="64" t="s">
        <v>2997</v>
      </c>
      <c r="J8170" s="67">
        <v>2824.97</v>
      </c>
      <c r="K8170" s="62">
        <v>27998.58</v>
      </c>
      <c r="L8170" s="33" t="e">
        <f>HLOOKUP(B8170,#REF!,1,0)</f>
        <v>#REF!</v>
      </c>
      <c r="M8170" s="33" t="str">
        <f t="shared" si="511"/>
        <v>P&amp;L</v>
      </c>
    </row>
    <row r="8171" spans="1:13">
      <c r="A8171" s="33" t="str">
        <f t="shared" si="508"/>
        <v>SCL - CGS</v>
      </c>
      <c r="B8171" s="33" t="str">
        <f t="shared" si="509"/>
        <v>SCL</v>
      </c>
      <c r="C8171" s="33" t="str">
        <f t="shared" si="510"/>
        <v>55001-7374</v>
      </c>
      <c r="D8171" s="64" t="s">
        <v>9420</v>
      </c>
      <c r="E8171" s="64" t="s">
        <v>2996</v>
      </c>
      <c r="F8171" s="64" t="s">
        <v>15</v>
      </c>
      <c r="G8171" s="64" t="s">
        <v>2976</v>
      </c>
      <c r="H8171" s="64" t="s">
        <v>1875</v>
      </c>
      <c r="I8171" s="64" t="s">
        <v>2997</v>
      </c>
      <c r="J8171" s="67">
        <v>2824.97</v>
      </c>
      <c r="K8171" s="62">
        <v>27998.58</v>
      </c>
      <c r="L8171" s="33" t="e">
        <f>HLOOKUP(B8171,#REF!,1,0)</f>
        <v>#REF!</v>
      </c>
      <c r="M8171" s="33" t="str">
        <f t="shared" si="511"/>
        <v>P&amp;L</v>
      </c>
    </row>
    <row r="8172" spans="1:13">
      <c r="A8172" s="33" t="str">
        <f t="shared" si="508"/>
        <v>SCL - CGS</v>
      </c>
      <c r="B8172" s="33" t="str">
        <f t="shared" si="509"/>
        <v>SCL</v>
      </c>
      <c r="C8172" s="33" t="str">
        <f t="shared" si="510"/>
        <v>55001-7375</v>
      </c>
      <c r="D8172" s="64" t="s">
        <v>9421</v>
      </c>
      <c r="E8172" s="64" t="s">
        <v>2996</v>
      </c>
      <c r="F8172" s="64" t="s">
        <v>15</v>
      </c>
      <c r="G8172" s="64" t="s">
        <v>2976</v>
      </c>
      <c r="H8172" s="64" t="s">
        <v>1875</v>
      </c>
      <c r="I8172" s="64" t="s">
        <v>2997</v>
      </c>
      <c r="J8172" s="67">
        <v>2824.97</v>
      </c>
      <c r="K8172" s="62">
        <v>27998.58</v>
      </c>
      <c r="L8172" s="33" t="e">
        <f>HLOOKUP(B8172,#REF!,1,0)</f>
        <v>#REF!</v>
      </c>
      <c r="M8172" s="33" t="str">
        <f t="shared" si="511"/>
        <v>P&amp;L</v>
      </c>
    </row>
    <row r="8173" spans="1:13">
      <c r="A8173" s="33" t="str">
        <f t="shared" si="508"/>
        <v>SCL - CGS</v>
      </c>
      <c r="B8173" s="33" t="str">
        <f t="shared" si="509"/>
        <v>SCL</v>
      </c>
      <c r="C8173" s="33" t="str">
        <f t="shared" si="510"/>
        <v>55001-7376</v>
      </c>
      <c r="D8173" s="64" t="s">
        <v>9422</v>
      </c>
      <c r="E8173" s="64" t="s">
        <v>2996</v>
      </c>
      <c r="F8173" s="64" t="s">
        <v>15</v>
      </c>
      <c r="G8173" s="64" t="s">
        <v>2976</v>
      </c>
      <c r="H8173" s="64" t="s">
        <v>1875</v>
      </c>
      <c r="I8173" s="64" t="s">
        <v>2997</v>
      </c>
      <c r="J8173" s="67">
        <v>2824.97</v>
      </c>
      <c r="K8173" s="62">
        <v>27998.58</v>
      </c>
      <c r="L8173" s="33" t="e">
        <f>HLOOKUP(B8173,#REF!,1,0)</f>
        <v>#REF!</v>
      </c>
      <c r="M8173" s="33" t="str">
        <f t="shared" si="511"/>
        <v>P&amp;L</v>
      </c>
    </row>
    <row r="8174" spans="1:13">
      <c r="A8174" s="33" t="str">
        <f t="shared" si="508"/>
        <v>SCL - CGS</v>
      </c>
      <c r="B8174" s="33" t="str">
        <f t="shared" si="509"/>
        <v>SCL</v>
      </c>
      <c r="C8174" s="33" t="str">
        <f t="shared" si="510"/>
        <v>55001-7377</v>
      </c>
      <c r="D8174" s="64" t="s">
        <v>9423</v>
      </c>
      <c r="E8174" s="64" t="s">
        <v>2996</v>
      </c>
      <c r="F8174" s="64" t="s">
        <v>15</v>
      </c>
      <c r="G8174" s="64" t="s">
        <v>2976</v>
      </c>
      <c r="H8174" s="64" t="s">
        <v>1875</v>
      </c>
      <c r="I8174" s="64" t="s">
        <v>2997</v>
      </c>
      <c r="J8174" s="67">
        <v>2824.97</v>
      </c>
      <c r="K8174" s="62">
        <v>27998.58</v>
      </c>
      <c r="L8174" s="33" t="e">
        <f>HLOOKUP(B8174,#REF!,1,0)</f>
        <v>#REF!</v>
      </c>
      <c r="M8174" s="33" t="str">
        <f t="shared" si="511"/>
        <v>P&amp;L</v>
      </c>
    </row>
    <row r="8175" spans="1:13">
      <c r="A8175" s="33" t="str">
        <f t="shared" si="508"/>
        <v>SCL - CGS</v>
      </c>
      <c r="B8175" s="33" t="str">
        <f t="shared" si="509"/>
        <v>SCL</v>
      </c>
      <c r="C8175" s="33" t="str">
        <f t="shared" si="510"/>
        <v>55001-7378</v>
      </c>
      <c r="D8175" s="64" t="s">
        <v>9424</v>
      </c>
      <c r="E8175" s="64" t="s">
        <v>2996</v>
      </c>
      <c r="F8175" s="64" t="s">
        <v>15</v>
      </c>
      <c r="G8175" s="64" t="s">
        <v>2976</v>
      </c>
      <c r="H8175" s="64" t="s">
        <v>1875</v>
      </c>
      <c r="I8175" s="64" t="s">
        <v>2997</v>
      </c>
      <c r="J8175" s="67">
        <v>2824.97</v>
      </c>
      <c r="K8175" s="62">
        <v>27998.58</v>
      </c>
      <c r="L8175" s="33" t="e">
        <f>HLOOKUP(B8175,#REF!,1,0)</f>
        <v>#REF!</v>
      </c>
      <c r="M8175" s="33" t="str">
        <f t="shared" si="511"/>
        <v>P&amp;L</v>
      </c>
    </row>
    <row r="8176" spans="1:13">
      <c r="A8176" s="33" t="str">
        <f t="shared" si="508"/>
        <v>SCL - CGS</v>
      </c>
      <c r="B8176" s="33" t="str">
        <f t="shared" si="509"/>
        <v>SCL</v>
      </c>
      <c r="C8176" s="33" t="str">
        <f t="shared" si="510"/>
        <v>55001-7379</v>
      </c>
      <c r="D8176" s="64" t="s">
        <v>9425</v>
      </c>
      <c r="E8176" s="64" t="s">
        <v>2996</v>
      </c>
      <c r="F8176" s="64" t="s">
        <v>15</v>
      </c>
      <c r="G8176" s="64" t="s">
        <v>2976</v>
      </c>
      <c r="H8176" s="64" t="s">
        <v>1875</v>
      </c>
      <c r="I8176" s="64" t="s">
        <v>2997</v>
      </c>
      <c r="J8176" s="67">
        <v>2824.97</v>
      </c>
      <c r="K8176" s="62">
        <v>27998.58</v>
      </c>
      <c r="L8176" s="33" t="e">
        <f>HLOOKUP(B8176,#REF!,1,0)</f>
        <v>#REF!</v>
      </c>
      <c r="M8176" s="33" t="str">
        <f t="shared" si="511"/>
        <v>P&amp;L</v>
      </c>
    </row>
    <row r="8177" spans="1:13">
      <c r="A8177" s="33" t="str">
        <f t="shared" si="508"/>
        <v>SCL - CGS</v>
      </c>
      <c r="B8177" s="33" t="str">
        <f t="shared" si="509"/>
        <v>SCL</v>
      </c>
      <c r="C8177" s="33" t="str">
        <f t="shared" si="510"/>
        <v>55001-7380</v>
      </c>
      <c r="D8177" s="64" t="s">
        <v>9426</v>
      </c>
      <c r="E8177" s="64" t="s">
        <v>2996</v>
      </c>
      <c r="F8177" s="64" t="s">
        <v>15</v>
      </c>
      <c r="G8177" s="64" t="s">
        <v>2976</v>
      </c>
      <c r="H8177" s="64" t="s">
        <v>1875</v>
      </c>
      <c r="I8177" s="64" t="s">
        <v>2997</v>
      </c>
      <c r="J8177" s="67">
        <v>2824.96</v>
      </c>
      <c r="K8177" s="62">
        <v>27998.52</v>
      </c>
      <c r="L8177" s="33" t="e">
        <f>HLOOKUP(B8177,#REF!,1,0)</f>
        <v>#REF!</v>
      </c>
      <c r="M8177" s="33" t="str">
        <f t="shared" si="511"/>
        <v>P&amp;L</v>
      </c>
    </row>
    <row r="8178" spans="1:13">
      <c r="A8178" s="33" t="str">
        <f t="shared" si="508"/>
        <v>SCL - CGS</v>
      </c>
      <c r="B8178" s="33" t="str">
        <f t="shared" si="509"/>
        <v>SCL</v>
      </c>
      <c r="C8178" s="33" t="str">
        <f t="shared" si="510"/>
        <v>55001-7381</v>
      </c>
      <c r="D8178" s="64" t="s">
        <v>9427</v>
      </c>
      <c r="E8178" s="64" t="s">
        <v>2996</v>
      </c>
      <c r="F8178" s="64" t="s">
        <v>15</v>
      </c>
      <c r="G8178" s="64" t="s">
        <v>2976</v>
      </c>
      <c r="H8178" s="64" t="s">
        <v>1875</v>
      </c>
      <c r="I8178" s="64" t="s">
        <v>2997</v>
      </c>
      <c r="J8178" s="67">
        <v>2824.96</v>
      </c>
      <c r="K8178" s="62">
        <v>27998.52</v>
      </c>
      <c r="L8178" s="33" t="e">
        <f>HLOOKUP(B8178,#REF!,1,0)</f>
        <v>#REF!</v>
      </c>
      <c r="M8178" s="33" t="str">
        <f t="shared" si="511"/>
        <v>P&amp;L</v>
      </c>
    </row>
    <row r="8179" spans="1:13">
      <c r="A8179" s="33" t="str">
        <f t="shared" si="508"/>
        <v>SCL - CGS</v>
      </c>
      <c r="B8179" s="33" t="str">
        <f t="shared" si="509"/>
        <v>SCL</v>
      </c>
      <c r="C8179" s="33" t="str">
        <f t="shared" si="510"/>
        <v>55001-7383</v>
      </c>
      <c r="D8179" s="64" t="s">
        <v>9428</v>
      </c>
      <c r="E8179" s="64" t="s">
        <v>2996</v>
      </c>
      <c r="F8179" s="64" t="s">
        <v>15</v>
      </c>
      <c r="G8179" s="64" t="s">
        <v>2976</v>
      </c>
      <c r="H8179" s="64" t="s">
        <v>1875</v>
      </c>
      <c r="I8179" s="64" t="s">
        <v>2997</v>
      </c>
      <c r="J8179" s="67">
        <v>2824.96</v>
      </c>
      <c r="K8179" s="62">
        <v>27998.52</v>
      </c>
      <c r="L8179" s="33" t="e">
        <f>HLOOKUP(B8179,#REF!,1,0)</f>
        <v>#REF!</v>
      </c>
      <c r="M8179" s="33" t="str">
        <f t="shared" si="511"/>
        <v>P&amp;L</v>
      </c>
    </row>
    <row r="8180" spans="1:13">
      <c r="A8180" s="33" t="str">
        <f t="shared" si="508"/>
        <v>SCL - CGS</v>
      </c>
      <c r="B8180" s="33" t="str">
        <f t="shared" si="509"/>
        <v>SCL</v>
      </c>
      <c r="C8180" s="33" t="str">
        <f t="shared" si="510"/>
        <v>55001-7385</v>
      </c>
      <c r="D8180" s="64" t="s">
        <v>9429</v>
      </c>
      <c r="E8180" s="64" t="s">
        <v>2996</v>
      </c>
      <c r="F8180" s="64" t="s">
        <v>15</v>
      </c>
      <c r="G8180" s="64" t="s">
        <v>2976</v>
      </c>
      <c r="H8180" s="64" t="s">
        <v>1875</v>
      </c>
      <c r="I8180" s="64" t="s">
        <v>2997</v>
      </c>
      <c r="J8180" s="67">
        <v>2824.96</v>
      </c>
      <c r="K8180" s="62">
        <v>27998.52</v>
      </c>
      <c r="L8180" s="33" t="e">
        <f>HLOOKUP(B8180,#REF!,1,0)</f>
        <v>#REF!</v>
      </c>
      <c r="M8180" s="33" t="str">
        <f t="shared" si="511"/>
        <v>P&amp;L</v>
      </c>
    </row>
    <row r="8181" spans="1:13">
      <c r="A8181" s="33" t="str">
        <f t="shared" si="508"/>
        <v>SCL - CGS</v>
      </c>
      <c r="B8181" s="33" t="str">
        <f t="shared" si="509"/>
        <v>SCL</v>
      </c>
      <c r="C8181" s="33" t="str">
        <f t="shared" si="510"/>
        <v>55001-7386</v>
      </c>
      <c r="D8181" s="64" t="s">
        <v>9430</v>
      </c>
      <c r="E8181" s="64" t="s">
        <v>2996</v>
      </c>
      <c r="F8181" s="64" t="s">
        <v>15</v>
      </c>
      <c r="G8181" s="64" t="s">
        <v>2976</v>
      </c>
      <c r="H8181" s="64" t="s">
        <v>1875</v>
      </c>
      <c r="I8181" s="64" t="s">
        <v>2997</v>
      </c>
      <c r="J8181" s="67">
        <v>2824.96</v>
      </c>
      <c r="K8181" s="62">
        <v>27998.52</v>
      </c>
      <c r="L8181" s="33" t="e">
        <f>HLOOKUP(B8181,#REF!,1,0)</f>
        <v>#REF!</v>
      </c>
      <c r="M8181" s="33" t="str">
        <f t="shared" si="511"/>
        <v>P&amp;L</v>
      </c>
    </row>
    <row r="8182" spans="1:13">
      <c r="A8182" s="33" t="str">
        <f t="shared" si="508"/>
        <v>SCL - CGS</v>
      </c>
      <c r="B8182" s="33" t="str">
        <f t="shared" si="509"/>
        <v>SCL</v>
      </c>
      <c r="C8182" s="33" t="str">
        <f t="shared" si="510"/>
        <v>55001-7387</v>
      </c>
      <c r="D8182" s="64" t="s">
        <v>9431</v>
      </c>
      <c r="E8182" s="64" t="s">
        <v>2996</v>
      </c>
      <c r="F8182" s="64" t="s">
        <v>15</v>
      </c>
      <c r="G8182" s="64" t="s">
        <v>2976</v>
      </c>
      <c r="H8182" s="64" t="s">
        <v>1875</v>
      </c>
      <c r="I8182" s="64" t="s">
        <v>2997</v>
      </c>
      <c r="J8182" s="67">
        <v>2824.96</v>
      </c>
      <c r="K8182" s="62">
        <v>27998.52</v>
      </c>
      <c r="L8182" s="33" t="e">
        <f>HLOOKUP(B8182,#REF!,1,0)</f>
        <v>#REF!</v>
      </c>
      <c r="M8182" s="33" t="str">
        <f t="shared" si="511"/>
        <v>P&amp;L</v>
      </c>
    </row>
    <row r="8183" spans="1:13">
      <c r="A8183" s="33" t="str">
        <f t="shared" si="508"/>
        <v>SCL - CGS</v>
      </c>
      <c r="B8183" s="33" t="str">
        <f t="shared" si="509"/>
        <v>SCL</v>
      </c>
      <c r="C8183" s="33" t="str">
        <f t="shared" si="510"/>
        <v>55001-7389</v>
      </c>
      <c r="D8183" s="64" t="s">
        <v>9432</v>
      </c>
      <c r="E8183" s="64" t="s">
        <v>2996</v>
      </c>
      <c r="F8183" s="64" t="s">
        <v>15</v>
      </c>
      <c r="G8183" s="64" t="s">
        <v>2976</v>
      </c>
      <c r="H8183" s="64" t="s">
        <v>1875</v>
      </c>
      <c r="I8183" s="64" t="s">
        <v>2997</v>
      </c>
      <c r="J8183" s="67">
        <v>2824.96</v>
      </c>
      <c r="K8183" s="62">
        <v>27998.52</v>
      </c>
      <c r="L8183" s="33" t="e">
        <f>HLOOKUP(B8183,#REF!,1,0)</f>
        <v>#REF!</v>
      </c>
      <c r="M8183" s="33" t="str">
        <f t="shared" si="511"/>
        <v>P&amp;L</v>
      </c>
    </row>
    <row r="8184" spans="1:13">
      <c r="A8184" s="33" t="str">
        <f t="shared" si="508"/>
        <v>SCL - CGS</v>
      </c>
      <c r="B8184" s="33" t="str">
        <f t="shared" si="509"/>
        <v>SCL</v>
      </c>
      <c r="C8184" s="33" t="str">
        <f t="shared" si="510"/>
        <v>55001-7391</v>
      </c>
      <c r="D8184" s="64" t="s">
        <v>9433</v>
      </c>
      <c r="E8184" s="64" t="s">
        <v>2996</v>
      </c>
      <c r="F8184" s="64" t="s">
        <v>15</v>
      </c>
      <c r="G8184" s="64" t="s">
        <v>2976</v>
      </c>
      <c r="H8184" s="64" t="s">
        <v>1875</v>
      </c>
      <c r="I8184" s="64" t="s">
        <v>2997</v>
      </c>
      <c r="J8184" s="67">
        <v>2824.96</v>
      </c>
      <c r="K8184" s="62">
        <v>27998.52</v>
      </c>
      <c r="L8184" s="33" t="e">
        <f>HLOOKUP(B8184,#REF!,1,0)</f>
        <v>#REF!</v>
      </c>
      <c r="M8184" s="33" t="str">
        <f t="shared" si="511"/>
        <v>P&amp;L</v>
      </c>
    </row>
    <row r="8185" spans="1:13">
      <c r="A8185" s="33" t="str">
        <f t="shared" si="508"/>
        <v>SCL - CGS</v>
      </c>
      <c r="B8185" s="33" t="str">
        <f t="shared" si="509"/>
        <v>SCL</v>
      </c>
      <c r="C8185" s="33" t="str">
        <f t="shared" si="510"/>
        <v>55001-7393</v>
      </c>
      <c r="D8185" s="64" t="s">
        <v>9434</v>
      </c>
      <c r="E8185" s="64" t="s">
        <v>2996</v>
      </c>
      <c r="F8185" s="64" t="s">
        <v>15</v>
      </c>
      <c r="G8185" s="64" t="s">
        <v>2976</v>
      </c>
      <c r="H8185" s="64" t="s">
        <v>1875</v>
      </c>
      <c r="I8185" s="64" t="s">
        <v>2997</v>
      </c>
      <c r="J8185" s="67">
        <v>2824.96</v>
      </c>
      <c r="K8185" s="62">
        <v>27998.52</v>
      </c>
      <c r="L8185" s="33" t="e">
        <f>HLOOKUP(B8185,#REF!,1,0)</f>
        <v>#REF!</v>
      </c>
      <c r="M8185" s="33" t="str">
        <f t="shared" si="511"/>
        <v>P&amp;L</v>
      </c>
    </row>
    <row r="8186" spans="1:13">
      <c r="A8186" s="33" t="str">
        <f t="shared" si="508"/>
        <v>SCL - CGS</v>
      </c>
      <c r="B8186" s="33" t="str">
        <f t="shared" si="509"/>
        <v>SCL</v>
      </c>
      <c r="C8186" s="33" t="str">
        <f t="shared" si="510"/>
        <v>55001-7394</v>
      </c>
      <c r="D8186" s="64" t="s">
        <v>9435</v>
      </c>
      <c r="E8186" s="64" t="s">
        <v>2996</v>
      </c>
      <c r="F8186" s="64" t="s">
        <v>15</v>
      </c>
      <c r="G8186" s="64" t="s">
        <v>2976</v>
      </c>
      <c r="H8186" s="64" t="s">
        <v>1875</v>
      </c>
      <c r="I8186" s="64" t="s">
        <v>2997</v>
      </c>
      <c r="J8186" s="67">
        <v>2824.96</v>
      </c>
      <c r="K8186" s="62">
        <v>27998.52</v>
      </c>
      <c r="L8186" s="33" t="e">
        <f>HLOOKUP(B8186,#REF!,1,0)</f>
        <v>#REF!</v>
      </c>
      <c r="M8186" s="33" t="str">
        <f t="shared" si="511"/>
        <v>P&amp;L</v>
      </c>
    </row>
    <row r="8187" spans="1:13">
      <c r="A8187" s="33" t="str">
        <f t="shared" si="508"/>
        <v>SCL - CGS</v>
      </c>
      <c r="B8187" s="33" t="str">
        <f t="shared" si="509"/>
        <v>SCL</v>
      </c>
      <c r="C8187" s="33" t="str">
        <f t="shared" si="510"/>
        <v>55001-7396</v>
      </c>
      <c r="D8187" s="64" t="s">
        <v>9436</v>
      </c>
      <c r="E8187" s="64" t="s">
        <v>2996</v>
      </c>
      <c r="F8187" s="64" t="s">
        <v>15</v>
      </c>
      <c r="G8187" s="64" t="s">
        <v>2976</v>
      </c>
      <c r="H8187" s="64" t="s">
        <v>1875</v>
      </c>
      <c r="I8187" s="64" t="s">
        <v>2997</v>
      </c>
      <c r="J8187" s="67">
        <v>2824.96</v>
      </c>
      <c r="K8187" s="62">
        <v>27998.52</v>
      </c>
      <c r="L8187" s="33" t="e">
        <f>HLOOKUP(B8187,#REF!,1,0)</f>
        <v>#REF!</v>
      </c>
      <c r="M8187" s="33" t="str">
        <f t="shared" si="511"/>
        <v>P&amp;L</v>
      </c>
    </row>
    <row r="8188" spans="1:13">
      <c r="A8188" s="33" t="str">
        <f t="shared" si="508"/>
        <v>SCL - CGS</v>
      </c>
      <c r="B8188" s="33" t="str">
        <f t="shared" si="509"/>
        <v>SCL</v>
      </c>
      <c r="C8188" s="33" t="str">
        <f t="shared" si="510"/>
        <v>55001-7397</v>
      </c>
      <c r="D8188" s="64" t="s">
        <v>9437</v>
      </c>
      <c r="E8188" s="64" t="s">
        <v>2996</v>
      </c>
      <c r="F8188" s="64" t="s">
        <v>15</v>
      </c>
      <c r="G8188" s="64" t="s">
        <v>2976</v>
      </c>
      <c r="H8188" s="64" t="s">
        <v>1875</v>
      </c>
      <c r="I8188" s="64" t="s">
        <v>2997</v>
      </c>
      <c r="J8188" s="67">
        <v>2824.96</v>
      </c>
      <c r="K8188" s="62">
        <v>27998.52</v>
      </c>
      <c r="L8188" s="33" t="e">
        <f>HLOOKUP(B8188,#REF!,1,0)</f>
        <v>#REF!</v>
      </c>
      <c r="M8188" s="33" t="str">
        <f t="shared" si="511"/>
        <v>P&amp;L</v>
      </c>
    </row>
    <row r="8189" spans="1:13">
      <c r="A8189" s="33" t="str">
        <f t="shared" si="508"/>
        <v>SCL - CGS</v>
      </c>
      <c r="B8189" s="33" t="str">
        <f t="shared" si="509"/>
        <v>SCL</v>
      </c>
      <c r="C8189" s="33" t="str">
        <f t="shared" si="510"/>
        <v>55001-7398</v>
      </c>
      <c r="D8189" s="64" t="s">
        <v>9438</v>
      </c>
      <c r="E8189" s="64" t="s">
        <v>2996</v>
      </c>
      <c r="F8189" s="64" t="s">
        <v>15</v>
      </c>
      <c r="G8189" s="64" t="s">
        <v>2976</v>
      </c>
      <c r="H8189" s="64" t="s">
        <v>1875</v>
      </c>
      <c r="I8189" s="64" t="s">
        <v>2997</v>
      </c>
      <c r="J8189" s="67">
        <v>2824.96</v>
      </c>
      <c r="K8189" s="62">
        <v>27998.52</v>
      </c>
      <c r="L8189" s="33" t="e">
        <f>HLOOKUP(B8189,#REF!,1,0)</f>
        <v>#REF!</v>
      </c>
      <c r="M8189" s="33" t="str">
        <f t="shared" si="511"/>
        <v>P&amp;L</v>
      </c>
    </row>
    <row r="8190" spans="1:13">
      <c r="A8190" s="33" t="str">
        <f t="shared" si="508"/>
        <v>SCL - CGS</v>
      </c>
      <c r="B8190" s="33" t="str">
        <f t="shared" si="509"/>
        <v>SCL</v>
      </c>
      <c r="C8190" s="33" t="str">
        <f t="shared" si="510"/>
        <v>55001-7400</v>
      </c>
      <c r="D8190" s="64" t="s">
        <v>9439</v>
      </c>
      <c r="E8190" s="64" t="s">
        <v>2996</v>
      </c>
      <c r="F8190" s="64" t="s">
        <v>15</v>
      </c>
      <c r="G8190" s="64" t="s">
        <v>2976</v>
      </c>
      <c r="H8190" s="64" t="s">
        <v>1875</v>
      </c>
      <c r="I8190" s="64" t="s">
        <v>2997</v>
      </c>
      <c r="J8190" s="67">
        <v>2824.96</v>
      </c>
      <c r="K8190" s="62">
        <v>27998.48</v>
      </c>
      <c r="L8190" s="33" t="e">
        <f>HLOOKUP(B8190,#REF!,1,0)</f>
        <v>#REF!</v>
      </c>
      <c r="M8190" s="33" t="str">
        <f t="shared" si="511"/>
        <v>P&amp;L</v>
      </c>
    </row>
    <row r="8191" spans="1:13">
      <c r="A8191" s="33" t="str">
        <f t="shared" si="508"/>
        <v>SCL - CGS</v>
      </c>
      <c r="B8191" s="33" t="str">
        <f t="shared" si="509"/>
        <v>SCL</v>
      </c>
      <c r="C8191" s="33" t="str">
        <f t="shared" si="510"/>
        <v>55001-7401</v>
      </c>
      <c r="D8191" s="64" t="s">
        <v>9440</v>
      </c>
      <c r="E8191" s="64" t="s">
        <v>2996</v>
      </c>
      <c r="F8191" s="64" t="s">
        <v>15</v>
      </c>
      <c r="G8191" s="64" t="s">
        <v>2976</v>
      </c>
      <c r="H8191" s="64" t="s">
        <v>1875</v>
      </c>
      <c r="I8191" s="64" t="s">
        <v>2997</v>
      </c>
      <c r="J8191" s="67">
        <v>2824.96</v>
      </c>
      <c r="K8191" s="62">
        <v>27998.48</v>
      </c>
      <c r="L8191" s="33" t="e">
        <f>HLOOKUP(B8191,#REF!,1,0)</f>
        <v>#REF!</v>
      </c>
      <c r="M8191" s="33" t="str">
        <f t="shared" si="511"/>
        <v>P&amp;L</v>
      </c>
    </row>
    <row r="8192" spans="1:13">
      <c r="A8192" s="33" t="str">
        <f t="shared" si="508"/>
        <v>SCL - CGS</v>
      </c>
      <c r="B8192" s="33" t="str">
        <f t="shared" si="509"/>
        <v>SCL</v>
      </c>
      <c r="C8192" s="33" t="str">
        <f t="shared" si="510"/>
        <v>55001-7402</v>
      </c>
      <c r="D8192" s="64" t="s">
        <v>9441</v>
      </c>
      <c r="E8192" s="64" t="s">
        <v>2996</v>
      </c>
      <c r="F8192" s="64" t="s">
        <v>15</v>
      </c>
      <c r="G8192" s="64" t="s">
        <v>2976</v>
      </c>
      <c r="H8192" s="64" t="s">
        <v>1875</v>
      </c>
      <c r="I8192" s="64" t="s">
        <v>2997</v>
      </c>
      <c r="J8192" s="67">
        <v>2824.96</v>
      </c>
      <c r="K8192" s="62">
        <v>27998.48</v>
      </c>
      <c r="L8192" s="33" t="e">
        <f>HLOOKUP(B8192,#REF!,1,0)</f>
        <v>#REF!</v>
      </c>
      <c r="M8192" s="33" t="str">
        <f t="shared" si="511"/>
        <v>P&amp;L</v>
      </c>
    </row>
    <row r="8193" spans="1:13">
      <c r="A8193" s="33" t="str">
        <f t="shared" si="508"/>
        <v>SCL - CGS</v>
      </c>
      <c r="B8193" s="33" t="str">
        <f t="shared" si="509"/>
        <v>SCL</v>
      </c>
      <c r="C8193" s="33" t="str">
        <f t="shared" si="510"/>
        <v>55001-7403</v>
      </c>
      <c r="D8193" s="64" t="s">
        <v>9442</v>
      </c>
      <c r="E8193" s="64" t="s">
        <v>2996</v>
      </c>
      <c r="F8193" s="64" t="s">
        <v>15</v>
      </c>
      <c r="G8193" s="64" t="s">
        <v>2976</v>
      </c>
      <c r="H8193" s="64" t="s">
        <v>1875</v>
      </c>
      <c r="I8193" s="64" t="s">
        <v>2997</v>
      </c>
      <c r="J8193" s="67">
        <v>2824.96</v>
      </c>
      <c r="K8193" s="62">
        <v>27998.48</v>
      </c>
      <c r="L8193" s="33" t="e">
        <f>HLOOKUP(B8193,#REF!,1,0)</f>
        <v>#REF!</v>
      </c>
      <c r="M8193" s="33" t="str">
        <f t="shared" si="511"/>
        <v>P&amp;L</v>
      </c>
    </row>
    <row r="8194" spans="1:13">
      <c r="A8194" s="33" t="str">
        <f t="shared" ref="A8194:A8257" si="512">B8194&amp;" - "&amp;TRIM(H8194)</f>
        <v>SCL - CGS</v>
      </c>
      <c r="B8194" s="33" t="str">
        <f t="shared" ref="B8194:B8257" si="513">LEFT(D8194,3)</f>
        <v>SCL</v>
      </c>
      <c r="C8194" s="33" t="str">
        <f t="shared" ref="C8194:C8257" si="514">RIGHT(D8194,10)</f>
        <v>55001-7489</v>
      </c>
      <c r="D8194" s="64" t="s">
        <v>9443</v>
      </c>
      <c r="E8194" s="64" t="s">
        <v>2996</v>
      </c>
      <c r="F8194" s="64" t="s">
        <v>15</v>
      </c>
      <c r="G8194" s="64" t="s">
        <v>2976</v>
      </c>
      <c r="H8194" s="64" t="s">
        <v>1875</v>
      </c>
      <c r="I8194" s="64" t="s">
        <v>2997</v>
      </c>
      <c r="J8194" s="67">
        <v>2824.96</v>
      </c>
      <c r="K8194" s="62">
        <v>27998.48</v>
      </c>
      <c r="L8194" s="33" t="e">
        <f>HLOOKUP(B8194,#REF!,1,0)</f>
        <v>#REF!</v>
      </c>
      <c r="M8194" s="33" t="str">
        <f t="shared" ref="M8194:M8257" si="515">IF(VALUE(LEFT(C8194,5))&gt;40000,"P&amp;L","BS")</f>
        <v>P&amp;L</v>
      </c>
    </row>
    <row r="8195" spans="1:13">
      <c r="A8195" s="33" t="str">
        <f t="shared" si="512"/>
        <v>SCL - CGS</v>
      </c>
      <c r="B8195" s="33" t="str">
        <f t="shared" si="513"/>
        <v>SCL</v>
      </c>
      <c r="C8195" s="33" t="str">
        <f t="shared" si="514"/>
        <v>55001-7491</v>
      </c>
      <c r="D8195" s="64" t="s">
        <v>9444</v>
      </c>
      <c r="E8195" s="64" t="s">
        <v>2996</v>
      </c>
      <c r="F8195" s="64" t="s">
        <v>15</v>
      </c>
      <c r="G8195" s="64" t="s">
        <v>2976</v>
      </c>
      <c r="H8195" s="64" t="s">
        <v>1875</v>
      </c>
      <c r="I8195" s="64" t="s">
        <v>2997</v>
      </c>
      <c r="J8195" s="67">
        <v>2824.96</v>
      </c>
      <c r="K8195" s="62">
        <v>27998.48</v>
      </c>
      <c r="L8195" s="33" t="e">
        <f>HLOOKUP(B8195,#REF!,1,0)</f>
        <v>#REF!</v>
      </c>
      <c r="M8195" s="33" t="str">
        <f t="shared" si="515"/>
        <v>P&amp;L</v>
      </c>
    </row>
    <row r="8196" spans="1:13">
      <c r="A8196" s="33" t="str">
        <f t="shared" si="512"/>
        <v>SCL - CGS</v>
      </c>
      <c r="B8196" s="33" t="str">
        <f t="shared" si="513"/>
        <v>SCL</v>
      </c>
      <c r="C8196" s="33" t="str">
        <f t="shared" si="514"/>
        <v>55001-7492</v>
      </c>
      <c r="D8196" s="64" t="s">
        <v>9445</v>
      </c>
      <c r="E8196" s="64" t="s">
        <v>2996</v>
      </c>
      <c r="F8196" s="64" t="s">
        <v>15</v>
      </c>
      <c r="G8196" s="64" t="s">
        <v>2976</v>
      </c>
      <c r="H8196" s="64" t="s">
        <v>1875</v>
      </c>
      <c r="I8196" s="64" t="s">
        <v>2997</v>
      </c>
      <c r="J8196" s="67">
        <v>2824.96</v>
      </c>
      <c r="K8196" s="62">
        <v>27998.48</v>
      </c>
      <c r="L8196" s="33" t="e">
        <f>HLOOKUP(B8196,#REF!,1,0)</f>
        <v>#REF!</v>
      </c>
      <c r="M8196" s="33" t="str">
        <f t="shared" si="515"/>
        <v>P&amp;L</v>
      </c>
    </row>
    <row r="8197" spans="1:13">
      <c r="A8197" s="33" t="str">
        <f t="shared" si="512"/>
        <v>SCL - CGS</v>
      </c>
      <c r="B8197" s="33" t="str">
        <f t="shared" si="513"/>
        <v>SCL</v>
      </c>
      <c r="C8197" s="33" t="str">
        <f t="shared" si="514"/>
        <v>55001-7493</v>
      </c>
      <c r="D8197" s="64" t="s">
        <v>9446</v>
      </c>
      <c r="E8197" s="64" t="s">
        <v>2996</v>
      </c>
      <c r="F8197" s="64" t="s">
        <v>15</v>
      </c>
      <c r="G8197" s="64" t="s">
        <v>2976</v>
      </c>
      <c r="H8197" s="64" t="s">
        <v>1875</v>
      </c>
      <c r="I8197" s="64" t="s">
        <v>2997</v>
      </c>
      <c r="J8197" s="67">
        <v>2824.96</v>
      </c>
      <c r="K8197" s="62">
        <v>27998.48</v>
      </c>
      <c r="L8197" s="33" t="e">
        <f>HLOOKUP(B8197,#REF!,1,0)</f>
        <v>#REF!</v>
      </c>
      <c r="M8197" s="33" t="str">
        <f t="shared" si="515"/>
        <v>P&amp;L</v>
      </c>
    </row>
    <row r="8198" spans="1:13">
      <c r="A8198" s="33" t="str">
        <f t="shared" si="512"/>
        <v>SCL - CGS</v>
      </c>
      <c r="B8198" s="33" t="str">
        <f t="shared" si="513"/>
        <v>SCL</v>
      </c>
      <c r="C8198" s="33" t="str">
        <f t="shared" si="514"/>
        <v>55001-7494</v>
      </c>
      <c r="D8198" s="64" t="s">
        <v>9447</v>
      </c>
      <c r="E8198" s="64" t="s">
        <v>2996</v>
      </c>
      <c r="F8198" s="64" t="s">
        <v>15</v>
      </c>
      <c r="G8198" s="64" t="s">
        <v>2976</v>
      </c>
      <c r="H8198" s="64" t="s">
        <v>1875</v>
      </c>
      <c r="I8198" s="64" t="s">
        <v>2997</v>
      </c>
      <c r="J8198" s="67">
        <v>2824.96</v>
      </c>
      <c r="K8198" s="62">
        <v>27998.48</v>
      </c>
      <c r="L8198" s="33" t="e">
        <f>HLOOKUP(B8198,#REF!,1,0)</f>
        <v>#REF!</v>
      </c>
      <c r="M8198" s="33" t="str">
        <f t="shared" si="515"/>
        <v>P&amp;L</v>
      </c>
    </row>
    <row r="8199" spans="1:13">
      <c r="A8199" s="33" t="str">
        <f t="shared" si="512"/>
        <v>SCL - CGS</v>
      </c>
      <c r="B8199" s="33" t="str">
        <f t="shared" si="513"/>
        <v>SCL</v>
      </c>
      <c r="C8199" s="33" t="str">
        <f t="shared" si="514"/>
        <v>55001-7625</v>
      </c>
      <c r="D8199" s="64" t="s">
        <v>9448</v>
      </c>
      <c r="E8199" s="64" t="s">
        <v>2996</v>
      </c>
      <c r="F8199" s="64" t="s">
        <v>15</v>
      </c>
      <c r="G8199" s="64" t="s">
        <v>2976</v>
      </c>
      <c r="H8199" s="64" t="s">
        <v>1875</v>
      </c>
      <c r="I8199" s="64" t="s">
        <v>2997</v>
      </c>
      <c r="J8199" s="67">
        <v>2824.96</v>
      </c>
      <c r="K8199" s="62">
        <v>27998.48</v>
      </c>
      <c r="L8199" s="33" t="e">
        <f>HLOOKUP(B8199,#REF!,1,0)</f>
        <v>#REF!</v>
      </c>
      <c r="M8199" s="33" t="str">
        <f t="shared" si="515"/>
        <v>P&amp;L</v>
      </c>
    </row>
    <row r="8200" spans="1:13">
      <c r="A8200" s="33" t="str">
        <f t="shared" si="512"/>
        <v>SCL - CGS</v>
      </c>
      <c r="B8200" s="33" t="str">
        <f t="shared" si="513"/>
        <v>SCL</v>
      </c>
      <c r="C8200" s="33" t="str">
        <f t="shared" si="514"/>
        <v>55001-8150</v>
      </c>
      <c r="D8200" s="64" t="s">
        <v>9449</v>
      </c>
      <c r="E8200" s="64" t="s">
        <v>2996</v>
      </c>
      <c r="F8200" s="64" t="s">
        <v>15</v>
      </c>
      <c r="G8200" s="64" t="s">
        <v>2976</v>
      </c>
      <c r="H8200" s="64" t="s">
        <v>1875</v>
      </c>
      <c r="I8200" s="64" t="s">
        <v>2997</v>
      </c>
      <c r="J8200" s="67">
        <v>2824.96</v>
      </c>
      <c r="K8200" s="62">
        <v>27998.48</v>
      </c>
      <c r="L8200" s="33" t="e">
        <f>HLOOKUP(B8200,#REF!,1,0)</f>
        <v>#REF!</v>
      </c>
      <c r="M8200" s="33" t="str">
        <f t="shared" si="515"/>
        <v>P&amp;L</v>
      </c>
    </row>
    <row r="8201" spans="1:13">
      <c r="A8201" s="33" t="str">
        <f t="shared" si="512"/>
        <v>SCL - CGS</v>
      </c>
      <c r="B8201" s="33" t="str">
        <f t="shared" si="513"/>
        <v>SCL</v>
      </c>
      <c r="C8201" s="33" t="str">
        <f t="shared" si="514"/>
        <v>56001-7351</v>
      </c>
      <c r="D8201" s="64" t="s">
        <v>9450</v>
      </c>
      <c r="E8201" s="64" t="s">
        <v>3002</v>
      </c>
      <c r="F8201" s="64" t="s">
        <v>15</v>
      </c>
      <c r="G8201" s="64" t="s">
        <v>2976</v>
      </c>
      <c r="H8201" s="64" t="s">
        <v>1875</v>
      </c>
      <c r="I8201" s="64" t="s">
        <v>3003</v>
      </c>
      <c r="J8201" s="67">
        <v>2171.02</v>
      </c>
      <c r="K8201" s="62">
        <v>26611.99</v>
      </c>
      <c r="L8201" s="33" t="e">
        <f>HLOOKUP(B8201,#REF!,1,0)</f>
        <v>#REF!</v>
      </c>
      <c r="M8201" s="33" t="str">
        <f t="shared" si="515"/>
        <v>P&amp;L</v>
      </c>
    </row>
    <row r="8202" spans="1:13">
      <c r="A8202" s="33" t="str">
        <f t="shared" si="512"/>
        <v>SCL - CGS</v>
      </c>
      <c r="B8202" s="33" t="str">
        <f t="shared" si="513"/>
        <v>SCL</v>
      </c>
      <c r="C8202" s="33" t="str">
        <f t="shared" si="514"/>
        <v>56001-7352</v>
      </c>
      <c r="D8202" s="64" t="s">
        <v>9451</v>
      </c>
      <c r="E8202" s="64" t="s">
        <v>3002</v>
      </c>
      <c r="F8202" s="64" t="s">
        <v>15</v>
      </c>
      <c r="G8202" s="64" t="s">
        <v>2976</v>
      </c>
      <c r="H8202" s="64" t="s">
        <v>1875</v>
      </c>
      <c r="I8202" s="64" t="s">
        <v>3003</v>
      </c>
      <c r="J8202" s="67">
        <v>2349.24</v>
      </c>
      <c r="K8202" s="62">
        <v>27126.54</v>
      </c>
      <c r="L8202" s="33" t="e">
        <f>HLOOKUP(B8202,#REF!,1,0)</f>
        <v>#REF!</v>
      </c>
      <c r="M8202" s="33" t="str">
        <f t="shared" si="515"/>
        <v>P&amp;L</v>
      </c>
    </row>
    <row r="8203" spans="1:13">
      <c r="A8203" s="33" t="str">
        <f t="shared" si="512"/>
        <v>SCL - CGS</v>
      </c>
      <c r="B8203" s="33" t="str">
        <f t="shared" si="513"/>
        <v>SCL</v>
      </c>
      <c r="C8203" s="33" t="str">
        <f t="shared" si="514"/>
        <v>56001-7355</v>
      </c>
      <c r="D8203" s="64" t="s">
        <v>9452</v>
      </c>
      <c r="E8203" s="64" t="s">
        <v>3002</v>
      </c>
      <c r="F8203" s="64" t="s">
        <v>15</v>
      </c>
      <c r="G8203" s="64" t="s">
        <v>2976</v>
      </c>
      <c r="H8203" s="64" t="s">
        <v>1875</v>
      </c>
      <c r="I8203" s="64" t="s">
        <v>3003</v>
      </c>
      <c r="J8203" s="67">
        <v>2004.47</v>
      </c>
      <c r="K8203" s="62">
        <v>24400.39</v>
      </c>
      <c r="L8203" s="33" t="e">
        <f>HLOOKUP(B8203,#REF!,1,0)</f>
        <v>#REF!</v>
      </c>
      <c r="M8203" s="33" t="str">
        <f t="shared" si="515"/>
        <v>P&amp;L</v>
      </c>
    </row>
    <row r="8204" spans="1:13">
      <c r="A8204" s="33" t="str">
        <f t="shared" si="512"/>
        <v>SCL - CGS</v>
      </c>
      <c r="B8204" s="33" t="str">
        <f t="shared" si="513"/>
        <v>SCL</v>
      </c>
      <c r="C8204" s="33" t="str">
        <f t="shared" si="514"/>
        <v>56001-7356</v>
      </c>
      <c r="D8204" s="64" t="s">
        <v>9453</v>
      </c>
      <c r="E8204" s="64" t="s">
        <v>3002</v>
      </c>
      <c r="F8204" s="64" t="s">
        <v>15</v>
      </c>
      <c r="G8204" s="64" t="s">
        <v>2976</v>
      </c>
      <c r="H8204" s="64" t="s">
        <v>1875</v>
      </c>
      <c r="I8204" s="64" t="s">
        <v>3003</v>
      </c>
      <c r="J8204" s="67">
        <v>0</v>
      </c>
      <c r="K8204" s="62">
        <v>2398.5</v>
      </c>
      <c r="L8204" s="33" t="e">
        <f>HLOOKUP(B8204,#REF!,1,0)</f>
        <v>#REF!</v>
      </c>
      <c r="M8204" s="33" t="str">
        <f t="shared" si="515"/>
        <v>P&amp;L</v>
      </c>
    </row>
    <row r="8205" spans="1:13">
      <c r="A8205" s="33" t="str">
        <f t="shared" si="512"/>
        <v>SCL - CGS</v>
      </c>
      <c r="B8205" s="33" t="str">
        <f t="shared" si="513"/>
        <v>SCL</v>
      </c>
      <c r="C8205" s="33" t="str">
        <f t="shared" si="514"/>
        <v>56001-7359</v>
      </c>
      <c r="D8205" s="64" t="s">
        <v>9454</v>
      </c>
      <c r="E8205" s="64" t="s">
        <v>3002</v>
      </c>
      <c r="F8205" s="64" t="s">
        <v>15</v>
      </c>
      <c r="G8205" s="64" t="s">
        <v>2976</v>
      </c>
      <c r="H8205" s="64" t="s">
        <v>1875</v>
      </c>
      <c r="I8205" s="64" t="s">
        <v>3003</v>
      </c>
      <c r="J8205" s="67">
        <v>2064.14</v>
      </c>
      <c r="K8205" s="62">
        <v>25672.28</v>
      </c>
      <c r="L8205" s="33" t="e">
        <f>HLOOKUP(B8205,#REF!,1,0)</f>
        <v>#REF!</v>
      </c>
      <c r="M8205" s="33" t="str">
        <f t="shared" si="515"/>
        <v>P&amp;L</v>
      </c>
    </row>
    <row r="8206" spans="1:13">
      <c r="A8206" s="33" t="str">
        <f t="shared" si="512"/>
        <v>SCL - CGS</v>
      </c>
      <c r="B8206" s="33" t="str">
        <f t="shared" si="513"/>
        <v>SCL</v>
      </c>
      <c r="C8206" s="33" t="str">
        <f t="shared" si="514"/>
        <v>56001-7360</v>
      </c>
      <c r="D8206" s="64" t="s">
        <v>9455</v>
      </c>
      <c r="E8206" s="64" t="s">
        <v>3002</v>
      </c>
      <c r="F8206" s="64" t="s">
        <v>15</v>
      </c>
      <c r="G8206" s="64" t="s">
        <v>2976</v>
      </c>
      <c r="H8206" s="64" t="s">
        <v>1875</v>
      </c>
      <c r="I8206" s="64" t="s">
        <v>3003</v>
      </c>
      <c r="J8206" s="67">
        <v>2710.52</v>
      </c>
      <c r="K8206" s="62">
        <v>26995.82</v>
      </c>
      <c r="L8206" s="33" t="e">
        <f>HLOOKUP(B8206,#REF!,1,0)</f>
        <v>#REF!</v>
      </c>
      <c r="M8206" s="33" t="str">
        <f t="shared" si="515"/>
        <v>P&amp;L</v>
      </c>
    </row>
    <row r="8207" spans="1:13">
      <c r="A8207" s="33" t="str">
        <f t="shared" si="512"/>
        <v>SCL - CGS</v>
      </c>
      <c r="B8207" s="33" t="str">
        <f t="shared" si="513"/>
        <v>SCL</v>
      </c>
      <c r="C8207" s="33" t="str">
        <f t="shared" si="514"/>
        <v>56001-7361</v>
      </c>
      <c r="D8207" s="64" t="s">
        <v>9456</v>
      </c>
      <c r="E8207" s="64" t="s">
        <v>3002</v>
      </c>
      <c r="F8207" s="64" t="s">
        <v>15</v>
      </c>
      <c r="G8207" s="64" t="s">
        <v>2976</v>
      </c>
      <c r="H8207" s="64" t="s">
        <v>1875</v>
      </c>
      <c r="I8207" s="64" t="s">
        <v>3003</v>
      </c>
      <c r="J8207" s="67">
        <v>2217.11</v>
      </c>
      <c r="K8207" s="62">
        <v>27923.88</v>
      </c>
      <c r="L8207" s="33" t="e">
        <f>HLOOKUP(B8207,#REF!,1,0)</f>
        <v>#REF!</v>
      </c>
      <c r="M8207" s="33" t="str">
        <f t="shared" si="515"/>
        <v>P&amp;L</v>
      </c>
    </row>
    <row r="8208" spans="1:13">
      <c r="A8208" s="33" t="str">
        <f t="shared" si="512"/>
        <v>SCL - CGS</v>
      </c>
      <c r="B8208" s="33" t="str">
        <f t="shared" si="513"/>
        <v>SCL</v>
      </c>
      <c r="C8208" s="33" t="str">
        <f t="shared" si="514"/>
        <v>56001-7362</v>
      </c>
      <c r="D8208" s="64" t="s">
        <v>9457</v>
      </c>
      <c r="E8208" s="64" t="s">
        <v>3002</v>
      </c>
      <c r="F8208" s="64" t="s">
        <v>15</v>
      </c>
      <c r="G8208" s="64" t="s">
        <v>2976</v>
      </c>
      <c r="H8208" s="64" t="s">
        <v>1875</v>
      </c>
      <c r="I8208" s="64" t="s">
        <v>3003</v>
      </c>
      <c r="J8208" s="67">
        <v>1942.34</v>
      </c>
      <c r="K8208" s="62">
        <v>22571.03</v>
      </c>
      <c r="L8208" s="33" t="e">
        <f>HLOOKUP(B8208,#REF!,1,0)</f>
        <v>#REF!</v>
      </c>
      <c r="M8208" s="33" t="str">
        <f t="shared" si="515"/>
        <v>P&amp;L</v>
      </c>
    </row>
    <row r="8209" spans="1:13">
      <c r="A8209" s="33" t="str">
        <f t="shared" si="512"/>
        <v>SCL - CGS</v>
      </c>
      <c r="B8209" s="33" t="str">
        <f t="shared" si="513"/>
        <v>SCL</v>
      </c>
      <c r="C8209" s="33" t="str">
        <f t="shared" si="514"/>
        <v>56001-7363</v>
      </c>
      <c r="D8209" s="64" t="s">
        <v>9458</v>
      </c>
      <c r="E8209" s="64" t="s">
        <v>3002</v>
      </c>
      <c r="F8209" s="64" t="s">
        <v>15</v>
      </c>
      <c r="G8209" s="64" t="s">
        <v>2976</v>
      </c>
      <c r="H8209" s="64" t="s">
        <v>1875</v>
      </c>
      <c r="I8209" s="64" t="s">
        <v>3003</v>
      </c>
      <c r="J8209" s="67">
        <v>2069.9</v>
      </c>
      <c r="K8209" s="62">
        <v>24815.78</v>
      </c>
      <c r="L8209" s="33" t="e">
        <f>HLOOKUP(B8209,#REF!,1,0)</f>
        <v>#REF!</v>
      </c>
      <c r="M8209" s="33" t="str">
        <f t="shared" si="515"/>
        <v>P&amp;L</v>
      </c>
    </row>
    <row r="8210" spans="1:13">
      <c r="A8210" s="33" t="str">
        <f t="shared" si="512"/>
        <v>SCL - CGS</v>
      </c>
      <c r="B8210" s="33" t="str">
        <f t="shared" si="513"/>
        <v>SCL</v>
      </c>
      <c r="C8210" s="33" t="str">
        <f t="shared" si="514"/>
        <v>56001-7364</v>
      </c>
      <c r="D8210" s="64" t="s">
        <v>9459</v>
      </c>
      <c r="E8210" s="64" t="s">
        <v>3002</v>
      </c>
      <c r="F8210" s="64" t="s">
        <v>15</v>
      </c>
      <c r="G8210" s="64" t="s">
        <v>2976</v>
      </c>
      <c r="H8210" s="64" t="s">
        <v>1875</v>
      </c>
      <c r="I8210" s="64" t="s">
        <v>3003</v>
      </c>
      <c r="J8210" s="67">
        <v>1928.24</v>
      </c>
      <c r="K8210" s="62">
        <v>19093</v>
      </c>
      <c r="L8210" s="33" t="e">
        <f>HLOOKUP(B8210,#REF!,1,0)</f>
        <v>#REF!</v>
      </c>
      <c r="M8210" s="33" t="str">
        <f t="shared" si="515"/>
        <v>P&amp;L</v>
      </c>
    </row>
    <row r="8211" spans="1:13">
      <c r="A8211" s="33" t="str">
        <f t="shared" si="512"/>
        <v>SCL - CGS</v>
      </c>
      <c r="B8211" s="33" t="str">
        <f t="shared" si="513"/>
        <v>SCL</v>
      </c>
      <c r="C8211" s="33" t="str">
        <f t="shared" si="514"/>
        <v>56001-7365</v>
      </c>
      <c r="D8211" s="64" t="s">
        <v>9460</v>
      </c>
      <c r="E8211" s="64" t="s">
        <v>3002</v>
      </c>
      <c r="F8211" s="64" t="s">
        <v>15</v>
      </c>
      <c r="G8211" s="64" t="s">
        <v>2976</v>
      </c>
      <c r="H8211" s="64" t="s">
        <v>1875</v>
      </c>
      <c r="I8211" s="64" t="s">
        <v>3003</v>
      </c>
      <c r="J8211" s="67">
        <v>1798.29</v>
      </c>
      <c r="K8211" s="62">
        <v>22332.21</v>
      </c>
      <c r="L8211" s="33" t="e">
        <f>HLOOKUP(B8211,#REF!,1,0)</f>
        <v>#REF!</v>
      </c>
      <c r="M8211" s="33" t="str">
        <f t="shared" si="515"/>
        <v>P&amp;L</v>
      </c>
    </row>
    <row r="8212" spans="1:13">
      <c r="A8212" s="33" t="str">
        <f t="shared" si="512"/>
        <v>SCL - CGS</v>
      </c>
      <c r="B8212" s="33" t="str">
        <f t="shared" si="513"/>
        <v>SCL</v>
      </c>
      <c r="C8212" s="33" t="str">
        <f t="shared" si="514"/>
        <v>56001-7366</v>
      </c>
      <c r="D8212" s="64" t="s">
        <v>9461</v>
      </c>
      <c r="E8212" s="64" t="s">
        <v>3002</v>
      </c>
      <c r="F8212" s="64" t="s">
        <v>15</v>
      </c>
      <c r="G8212" s="64" t="s">
        <v>2976</v>
      </c>
      <c r="H8212" s="64" t="s">
        <v>1875</v>
      </c>
      <c r="I8212" s="64" t="s">
        <v>3003</v>
      </c>
      <c r="J8212" s="67">
        <v>2893.02</v>
      </c>
      <c r="K8212" s="62">
        <v>30055.02</v>
      </c>
      <c r="L8212" s="33" t="e">
        <f>HLOOKUP(B8212,#REF!,1,0)</f>
        <v>#REF!</v>
      </c>
      <c r="M8212" s="33" t="str">
        <f t="shared" si="515"/>
        <v>P&amp;L</v>
      </c>
    </row>
    <row r="8213" spans="1:13">
      <c r="A8213" s="33" t="str">
        <f t="shared" si="512"/>
        <v>SCL - CGS</v>
      </c>
      <c r="B8213" s="33" t="str">
        <f t="shared" si="513"/>
        <v>SCL</v>
      </c>
      <c r="C8213" s="33" t="str">
        <f t="shared" si="514"/>
        <v>56001-7368</v>
      </c>
      <c r="D8213" s="64" t="s">
        <v>9462</v>
      </c>
      <c r="E8213" s="64" t="s">
        <v>3002</v>
      </c>
      <c r="F8213" s="64" t="s">
        <v>15</v>
      </c>
      <c r="G8213" s="64" t="s">
        <v>2976</v>
      </c>
      <c r="H8213" s="64" t="s">
        <v>1875</v>
      </c>
      <c r="I8213" s="64" t="s">
        <v>3003</v>
      </c>
      <c r="J8213" s="67">
        <v>2928.9</v>
      </c>
      <c r="K8213" s="62">
        <v>34194.58</v>
      </c>
      <c r="L8213" s="33" t="e">
        <f>HLOOKUP(B8213,#REF!,1,0)</f>
        <v>#REF!</v>
      </c>
      <c r="M8213" s="33" t="str">
        <f t="shared" si="515"/>
        <v>P&amp;L</v>
      </c>
    </row>
    <row r="8214" spans="1:13">
      <c r="A8214" s="33" t="str">
        <f t="shared" si="512"/>
        <v>SCL - CGS</v>
      </c>
      <c r="B8214" s="33" t="str">
        <f t="shared" si="513"/>
        <v>SCL</v>
      </c>
      <c r="C8214" s="33" t="str">
        <f t="shared" si="514"/>
        <v>56001-7369</v>
      </c>
      <c r="D8214" s="64" t="s">
        <v>9463</v>
      </c>
      <c r="E8214" s="64" t="s">
        <v>3002</v>
      </c>
      <c r="F8214" s="64" t="s">
        <v>15</v>
      </c>
      <c r="G8214" s="64" t="s">
        <v>2976</v>
      </c>
      <c r="H8214" s="64" t="s">
        <v>1875</v>
      </c>
      <c r="I8214" s="64" t="s">
        <v>3003</v>
      </c>
      <c r="J8214" s="67">
        <v>1952.73</v>
      </c>
      <c r="K8214" s="62">
        <v>24860.28</v>
      </c>
      <c r="L8214" s="33" t="e">
        <f>HLOOKUP(B8214,#REF!,1,0)</f>
        <v>#REF!</v>
      </c>
      <c r="M8214" s="33" t="str">
        <f t="shared" si="515"/>
        <v>P&amp;L</v>
      </c>
    </row>
    <row r="8215" spans="1:13">
      <c r="A8215" s="33" t="str">
        <f t="shared" si="512"/>
        <v>SCL - CGS</v>
      </c>
      <c r="B8215" s="33" t="str">
        <f t="shared" si="513"/>
        <v>SCL</v>
      </c>
      <c r="C8215" s="33" t="str">
        <f t="shared" si="514"/>
        <v>56001-7371</v>
      </c>
      <c r="D8215" s="64" t="s">
        <v>9464</v>
      </c>
      <c r="E8215" s="64" t="s">
        <v>3002</v>
      </c>
      <c r="F8215" s="64" t="s">
        <v>15</v>
      </c>
      <c r="G8215" s="64" t="s">
        <v>2976</v>
      </c>
      <c r="H8215" s="64" t="s">
        <v>1875</v>
      </c>
      <c r="I8215" s="64" t="s">
        <v>3003</v>
      </c>
      <c r="J8215" s="67">
        <v>2177.63</v>
      </c>
      <c r="K8215" s="62">
        <v>25419.92</v>
      </c>
      <c r="L8215" s="33" t="e">
        <f>HLOOKUP(B8215,#REF!,1,0)</f>
        <v>#REF!</v>
      </c>
      <c r="M8215" s="33" t="str">
        <f t="shared" si="515"/>
        <v>P&amp;L</v>
      </c>
    </row>
    <row r="8216" spans="1:13">
      <c r="A8216" s="33" t="str">
        <f t="shared" si="512"/>
        <v>SCL - CGS</v>
      </c>
      <c r="B8216" s="33" t="str">
        <f t="shared" si="513"/>
        <v>SCL</v>
      </c>
      <c r="C8216" s="33" t="str">
        <f t="shared" si="514"/>
        <v>56001-7374</v>
      </c>
      <c r="D8216" s="64" t="s">
        <v>9465</v>
      </c>
      <c r="E8216" s="64" t="s">
        <v>3002</v>
      </c>
      <c r="F8216" s="64" t="s">
        <v>15</v>
      </c>
      <c r="G8216" s="64" t="s">
        <v>2976</v>
      </c>
      <c r="H8216" s="64" t="s">
        <v>1875</v>
      </c>
      <c r="I8216" s="64" t="s">
        <v>3003</v>
      </c>
      <c r="J8216" s="67">
        <v>2507.63</v>
      </c>
      <c r="K8216" s="62">
        <v>27060.61</v>
      </c>
      <c r="L8216" s="33" t="e">
        <f>HLOOKUP(B8216,#REF!,1,0)</f>
        <v>#REF!</v>
      </c>
      <c r="M8216" s="33" t="str">
        <f t="shared" si="515"/>
        <v>P&amp;L</v>
      </c>
    </row>
    <row r="8217" spans="1:13">
      <c r="A8217" s="33" t="str">
        <f t="shared" si="512"/>
        <v>SCL - CGS</v>
      </c>
      <c r="B8217" s="33" t="str">
        <f t="shared" si="513"/>
        <v>SCL</v>
      </c>
      <c r="C8217" s="33" t="str">
        <f t="shared" si="514"/>
        <v>56001-7375</v>
      </c>
      <c r="D8217" s="64" t="s">
        <v>9466</v>
      </c>
      <c r="E8217" s="64" t="s">
        <v>3002</v>
      </c>
      <c r="F8217" s="64" t="s">
        <v>15</v>
      </c>
      <c r="G8217" s="64" t="s">
        <v>2976</v>
      </c>
      <c r="H8217" s="64" t="s">
        <v>1875</v>
      </c>
      <c r="I8217" s="64" t="s">
        <v>3003</v>
      </c>
      <c r="J8217" s="67">
        <v>2151.46</v>
      </c>
      <c r="K8217" s="62">
        <v>25549.15</v>
      </c>
      <c r="L8217" s="33" t="e">
        <f>HLOOKUP(B8217,#REF!,1,0)</f>
        <v>#REF!</v>
      </c>
      <c r="M8217" s="33" t="str">
        <f t="shared" si="515"/>
        <v>P&amp;L</v>
      </c>
    </row>
    <row r="8218" spans="1:13">
      <c r="A8218" s="33" t="str">
        <f t="shared" si="512"/>
        <v>SCL - CGS</v>
      </c>
      <c r="B8218" s="33" t="str">
        <f t="shared" si="513"/>
        <v>SCL</v>
      </c>
      <c r="C8218" s="33" t="str">
        <f t="shared" si="514"/>
        <v>56001-7376</v>
      </c>
      <c r="D8218" s="64" t="s">
        <v>9467</v>
      </c>
      <c r="E8218" s="64" t="s">
        <v>3002</v>
      </c>
      <c r="F8218" s="64" t="s">
        <v>15</v>
      </c>
      <c r="G8218" s="64" t="s">
        <v>2976</v>
      </c>
      <c r="H8218" s="64" t="s">
        <v>1875</v>
      </c>
      <c r="I8218" s="64" t="s">
        <v>3003</v>
      </c>
      <c r="J8218" s="67">
        <v>3894.95</v>
      </c>
      <c r="K8218" s="62">
        <v>46957.73</v>
      </c>
      <c r="L8218" s="33" t="e">
        <f>HLOOKUP(B8218,#REF!,1,0)</f>
        <v>#REF!</v>
      </c>
      <c r="M8218" s="33" t="str">
        <f t="shared" si="515"/>
        <v>P&amp;L</v>
      </c>
    </row>
    <row r="8219" spans="1:13">
      <c r="A8219" s="33" t="str">
        <f t="shared" si="512"/>
        <v>SCL - CGS</v>
      </c>
      <c r="B8219" s="33" t="str">
        <f t="shared" si="513"/>
        <v>SCL</v>
      </c>
      <c r="C8219" s="33" t="str">
        <f t="shared" si="514"/>
        <v>56001-7377</v>
      </c>
      <c r="D8219" s="64" t="s">
        <v>9468</v>
      </c>
      <c r="E8219" s="64" t="s">
        <v>3002</v>
      </c>
      <c r="F8219" s="64" t="s">
        <v>15</v>
      </c>
      <c r="G8219" s="64" t="s">
        <v>2976</v>
      </c>
      <c r="H8219" s="64" t="s">
        <v>1875</v>
      </c>
      <c r="I8219" s="64" t="s">
        <v>3003</v>
      </c>
      <c r="J8219" s="67">
        <v>2555.85</v>
      </c>
      <c r="K8219" s="62">
        <v>26200.8</v>
      </c>
      <c r="L8219" s="33" t="e">
        <f>HLOOKUP(B8219,#REF!,1,0)</f>
        <v>#REF!</v>
      </c>
      <c r="M8219" s="33" t="str">
        <f t="shared" si="515"/>
        <v>P&amp;L</v>
      </c>
    </row>
    <row r="8220" spans="1:13">
      <c r="A8220" s="33" t="str">
        <f t="shared" si="512"/>
        <v>SCL - CGS</v>
      </c>
      <c r="B8220" s="33" t="str">
        <f t="shared" si="513"/>
        <v>SCL</v>
      </c>
      <c r="C8220" s="33" t="str">
        <f t="shared" si="514"/>
        <v>56001-7378</v>
      </c>
      <c r="D8220" s="64" t="s">
        <v>9469</v>
      </c>
      <c r="E8220" s="64" t="s">
        <v>3002</v>
      </c>
      <c r="F8220" s="64" t="s">
        <v>15</v>
      </c>
      <c r="G8220" s="64" t="s">
        <v>2976</v>
      </c>
      <c r="H8220" s="64" t="s">
        <v>1875</v>
      </c>
      <c r="I8220" s="64" t="s">
        <v>3003</v>
      </c>
      <c r="J8220" s="67">
        <v>2578.91</v>
      </c>
      <c r="K8220" s="62">
        <v>30619.66</v>
      </c>
      <c r="L8220" s="33" t="e">
        <f>HLOOKUP(B8220,#REF!,1,0)</f>
        <v>#REF!</v>
      </c>
      <c r="M8220" s="33" t="str">
        <f t="shared" si="515"/>
        <v>P&amp;L</v>
      </c>
    </row>
    <row r="8221" spans="1:13">
      <c r="A8221" s="33" t="str">
        <f t="shared" si="512"/>
        <v>SCL - CGS</v>
      </c>
      <c r="B8221" s="33" t="str">
        <f t="shared" si="513"/>
        <v>SCL</v>
      </c>
      <c r="C8221" s="33" t="str">
        <f t="shared" si="514"/>
        <v>56001-7379</v>
      </c>
      <c r="D8221" s="64" t="s">
        <v>9470</v>
      </c>
      <c r="E8221" s="64" t="s">
        <v>3002</v>
      </c>
      <c r="F8221" s="64" t="s">
        <v>15</v>
      </c>
      <c r="G8221" s="64" t="s">
        <v>2976</v>
      </c>
      <c r="H8221" s="64" t="s">
        <v>1875</v>
      </c>
      <c r="I8221" s="64" t="s">
        <v>3003</v>
      </c>
      <c r="J8221" s="67">
        <v>2437.55</v>
      </c>
      <c r="K8221" s="62">
        <v>27141.62</v>
      </c>
      <c r="L8221" s="33" t="e">
        <f>HLOOKUP(B8221,#REF!,1,0)</f>
        <v>#REF!</v>
      </c>
      <c r="M8221" s="33" t="str">
        <f t="shared" si="515"/>
        <v>P&amp;L</v>
      </c>
    </row>
    <row r="8222" spans="1:13">
      <c r="A8222" s="33" t="str">
        <f t="shared" si="512"/>
        <v>SCL - CGS</v>
      </c>
      <c r="B8222" s="33" t="str">
        <f t="shared" si="513"/>
        <v>SCL</v>
      </c>
      <c r="C8222" s="33" t="str">
        <f t="shared" si="514"/>
        <v>56001-7380</v>
      </c>
      <c r="D8222" s="64" t="s">
        <v>9471</v>
      </c>
      <c r="E8222" s="64" t="s">
        <v>3002</v>
      </c>
      <c r="F8222" s="64" t="s">
        <v>15</v>
      </c>
      <c r="G8222" s="64" t="s">
        <v>2976</v>
      </c>
      <c r="H8222" s="64" t="s">
        <v>1875</v>
      </c>
      <c r="I8222" s="64" t="s">
        <v>3003</v>
      </c>
      <c r="J8222" s="67">
        <v>2035.54</v>
      </c>
      <c r="K8222" s="62">
        <v>23709.17</v>
      </c>
      <c r="L8222" s="33" t="e">
        <f>HLOOKUP(B8222,#REF!,1,0)</f>
        <v>#REF!</v>
      </c>
      <c r="M8222" s="33" t="str">
        <f t="shared" si="515"/>
        <v>P&amp;L</v>
      </c>
    </row>
    <row r="8223" spans="1:13">
      <c r="A8223" s="33" t="str">
        <f t="shared" si="512"/>
        <v>SCL - CGS</v>
      </c>
      <c r="B8223" s="33" t="str">
        <f t="shared" si="513"/>
        <v>SCL</v>
      </c>
      <c r="C8223" s="33" t="str">
        <f t="shared" si="514"/>
        <v>56001-7381</v>
      </c>
      <c r="D8223" s="64" t="s">
        <v>9472</v>
      </c>
      <c r="E8223" s="64" t="s">
        <v>3002</v>
      </c>
      <c r="F8223" s="64" t="s">
        <v>15</v>
      </c>
      <c r="G8223" s="64" t="s">
        <v>2976</v>
      </c>
      <c r="H8223" s="64" t="s">
        <v>1875</v>
      </c>
      <c r="I8223" s="64" t="s">
        <v>3003</v>
      </c>
      <c r="J8223" s="67">
        <v>2673.05</v>
      </c>
      <c r="K8223" s="62">
        <v>29387.61</v>
      </c>
      <c r="L8223" s="33" t="e">
        <f>HLOOKUP(B8223,#REF!,1,0)</f>
        <v>#REF!</v>
      </c>
      <c r="M8223" s="33" t="str">
        <f t="shared" si="515"/>
        <v>P&amp;L</v>
      </c>
    </row>
    <row r="8224" spans="1:13">
      <c r="A8224" s="33" t="str">
        <f t="shared" si="512"/>
        <v>SCL - CGS</v>
      </c>
      <c r="B8224" s="33" t="str">
        <f t="shared" si="513"/>
        <v>SCL</v>
      </c>
      <c r="C8224" s="33" t="str">
        <f t="shared" si="514"/>
        <v>56001-7383</v>
      </c>
      <c r="D8224" s="64" t="s">
        <v>9473</v>
      </c>
      <c r="E8224" s="64" t="s">
        <v>3002</v>
      </c>
      <c r="F8224" s="64" t="s">
        <v>15</v>
      </c>
      <c r="G8224" s="64" t="s">
        <v>2976</v>
      </c>
      <c r="H8224" s="64" t="s">
        <v>1875</v>
      </c>
      <c r="I8224" s="64" t="s">
        <v>3003</v>
      </c>
      <c r="J8224" s="67">
        <v>2407.05</v>
      </c>
      <c r="K8224" s="62">
        <v>27156.95</v>
      </c>
      <c r="L8224" s="33" t="e">
        <f>HLOOKUP(B8224,#REF!,1,0)</f>
        <v>#REF!</v>
      </c>
      <c r="M8224" s="33" t="str">
        <f t="shared" si="515"/>
        <v>P&amp;L</v>
      </c>
    </row>
    <row r="8225" spans="1:13">
      <c r="A8225" s="33" t="str">
        <f t="shared" si="512"/>
        <v>SCL - CGS</v>
      </c>
      <c r="B8225" s="33" t="str">
        <f t="shared" si="513"/>
        <v>SCL</v>
      </c>
      <c r="C8225" s="33" t="str">
        <f t="shared" si="514"/>
        <v>56001-7385</v>
      </c>
      <c r="D8225" s="64" t="s">
        <v>9474</v>
      </c>
      <c r="E8225" s="64" t="s">
        <v>3002</v>
      </c>
      <c r="F8225" s="64" t="s">
        <v>15</v>
      </c>
      <c r="G8225" s="64" t="s">
        <v>2976</v>
      </c>
      <c r="H8225" s="64" t="s">
        <v>1875</v>
      </c>
      <c r="I8225" s="64" t="s">
        <v>3003</v>
      </c>
      <c r="J8225" s="67">
        <v>1875.8</v>
      </c>
      <c r="K8225" s="62">
        <v>22386.85</v>
      </c>
      <c r="L8225" s="33" t="e">
        <f>HLOOKUP(B8225,#REF!,1,0)</f>
        <v>#REF!</v>
      </c>
      <c r="M8225" s="33" t="str">
        <f t="shared" si="515"/>
        <v>P&amp;L</v>
      </c>
    </row>
    <row r="8226" spans="1:13">
      <c r="A8226" s="33" t="str">
        <f t="shared" si="512"/>
        <v>SCL - CGS</v>
      </c>
      <c r="B8226" s="33" t="str">
        <f t="shared" si="513"/>
        <v>SCL</v>
      </c>
      <c r="C8226" s="33" t="str">
        <f t="shared" si="514"/>
        <v>56001-7386</v>
      </c>
      <c r="D8226" s="64" t="s">
        <v>9475</v>
      </c>
      <c r="E8226" s="64" t="s">
        <v>3002</v>
      </c>
      <c r="F8226" s="64" t="s">
        <v>15</v>
      </c>
      <c r="G8226" s="64" t="s">
        <v>2976</v>
      </c>
      <c r="H8226" s="64" t="s">
        <v>1875</v>
      </c>
      <c r="I8226" s="64" t="s">
        <v>3003</v>
      </c>
      <c r="J8226" s="67">
        <v>2145.85</v>
      </c>
      <c r="K8226" s="62">
        <v>23968.12</v>
      </c>
      <c r="L8226" s="33" t="e">
        <f>HLOOKUP(B8226,#REF!,1,0)</f>
        <v>#REF!</v>
      </c>
      <c r="M8226" s="33" t="str">
        <f t="shared" si="515"/>
        <v>P&amp;L</v>
      </c>
    </row>
    <row r="8227" spans="1:13">
      <c r="A8227" s="33" t="str">
        <f t="shared" si="512"/>
        <v>SCL - CGS</v>
      </c>
      <c r="B8227" s="33" t="str">
        <f t="shared" si="513"/>
        <v>SCL</v>
      </c>
      <c r="C8227" s="33" t="str">
        <f t="shared" si="514"/>
        <v>56001-7387</v>
      </c>
      <c r="D8227" s="64" t="s">
        <v>9476</v>
      </c>
      <c r="E8227" s="64" t="s">
        <v>3002</v>
      </c>
      <c r="F8227" s="64" t="s">
        <v>15</v>
      </c>
      <c r="G8227" s="64" t="s">
        <v>2976</v>
      </c>
      <c r="H8227" s="64" t="s">
        <v>1875</v>
      </c>
      <c r="I8227" s="64" t="s">
        <v>3003</v>
      </c>
      <c r="J8227" s="67">
        <v>2952.89</v>
      </c>
      <c r="K8227" s="62">
        <v>28595.62</v>
      </c>
      <c r="L8227" s="33" t="e">
        <f>HLOOKUP(B8227,#REF!,1,0)</f>
        <v>#REF!</v>
      </c>
      <c r="M8227" s="33" t="str">
        <f t="shared" si="515"/>
        <v>P&amp;L</v>
      </c>
    </row>
    <row r="8228" spans="1:13">
      <c r="A8228" s="33" t="str">
        <f t="shared" si="512"/>
        <v>SCL - CGS</v>
      </c>
      <c r="B8228" s="33" t="str">
        <f t="shared" si="513"/>
        <v>SCL</v>
      </c>
      <c r="C8228" s="33" t="str">
        <f t="shared" si="514"/>
        <v>56001-7389</v>
      </c>
      <c r="D8228" s="64" t="s">
        <v>9477</v>
      </c>
      <c r="E8228" s="64" t="s">
        <v>3002</v>
      </c>
      <c r="F8228" s="64" t="s">
        <v>15</v>
      </c>
      <c r="G8228" s="64" t="s">
        <v>2976</v>
      </c>
      <c r="H8228" s="64" t="s">
        <v>1875</v>
      </c>
      <c r="I8228" s="64" t="s">
        <v>3003</v>
      </c>
      <c r="J8228" s="67">
        <v>3193.79</v>
      </c>
      <c r="K8228" s="62">
        <v>32581.12</v>
      </c>
      <c r="L8228" s="33" t="e">
        <f>HLOOKUP(B8228,#REF!,1,0)</f>
        <v>#REF!</v>
      </c>
      <c r="M8228" s="33" t="str">
        <f t="shared" si="515"/>
        <v>P&amp;L</v>
      </c>
    </row>
    <row r="8229" spans="1:13">
      <c r="A8229" s="33" t="str">
        <f t="shared" si="512"/>
        <v>SCL - CGS</v>
      </c>
      <c r="B8229" s="33" t="str">
        <f t="shared" si="513"/>
        <v>SCL</v>
      </c>
      <c r="C8229" s="33" t="str">
        <f t="shared" si="514"/>
        <v>56001-7391</v>
      </c>
      <c r="D8229" s="64" t="s">
        <v>9478</v>
      </c>
      <c r="E8229" s="64" t="s">
        <v>3002</v>
      </c>
      <c r="F8229" s="64" t="s">
        <v>15</v>
      </c>
      <c r="G8229" s="64" t="s">
        <v>2976</v>
      </c>
      <c r="H8229" s="64" t="s">
        <v>1875</v>
      </c>
      <c r="I8229" s="64" t="s">
        <v>3003</v>
      </c>
      <c r="J8229" s="67">
        <v>2577.79</v>
      </c>
      <c r="K8229" s="62">
        <v>29806.69</v>
      </c>
      <c r="L8229" s="33" t="e">
        <f>HLOOKUP(B8229,#REF!,1,0)</f>
        <v>#REF!</v>
      </c>
      <c r="M8229" s="33" t="str">
        <f t="shared" si="515"/>
        <v>P&amp;L</v>
      </c>
    </row>
    <row r="8230" spans="1:13">
      <c r="A8230" s="33" t="str">
        <f t="shared" si="512"/>
        <v>SCL - CGS</v>
      </c>
      <c r="B8230" s="33" t="str">
        <f t="shared" si="513"/>
        <v>SCL</v>
      </c>
      <c r="C8230" s="33" t="str">
        <f t="shared" si="514"/>
        <v>56001-7393</v>
      </c>
      <c r="D8230" s="64" t="s">
        <v>9479</v>
      </c>
      <c r="E8230" s="64" t="s">
        <v>3002</v>
      </c>
      <c r="F8230" s="64" t="s">
        <v>15</v>
      </c>
      <c r="G8230" s="64" t="s">
        <v>2976</v>
      </c>
      <c r="H8230" s="64" t="s">
        <v>1875</v>
      </c>
      <c r="I8230" s="64" t="s">
        <v>3003</v>
      </c>
      <c r="J8230" s="67">
        <v>2362.32</v>
      </c>
      <c r="K8230" s="62">
        <v>26072.68</v>
      </c>
      <c r="L8230" s="33" t="e">
        <f>HLOOKUP(B8230,#REF!,1,0)</f>
        <v>#REF!</v>
      </c>
      <c r="M8230" s="33" t="str">
        <f t="shared" si="515"/>
        <v>P&amp;L</v>
      </c>
    </row>
    <row r="8231" spans="1:13">
      <c r="A8231" s="33" t="str">
        <f t="shared" si="512"/>
        <v>SCL - CGS</v>
      </c>
      <c r="B8231" s="33" t="str">
        <f t="shared" si="513"/>
        <v>SCL</v>
      </c>
      <c r="C8231" s="33" t="str">
        <f t="shared" si="514"/>
        <v>56001-7394</v>
      </c>
      <c r="D8231" s="64" t="s">
        <v>9480</v>
      </c>
      <c r="E8231" s="64" t="s">
        <v>3002</v>
      </c>
      <c r="F8231" s="64" t="s">
        <v>15</v>
      </c>
      <c r="G8231" s="64" t="s">
        <v>2976</v>
      </c>
      <c r="H8231" s="64" t="s">
        <v>1875</v>
      </c>
      <c r="I8231" s="64" t="s">
        <v>3003</v>
      </c>
      <c r="J8231" s="67">
        <v>2310.01</v>
      </c>
      <c r="K8231" s="62">
        <v>27410.89</v>
      </c>
      <c r="L8231" s="33" t="e">
        <f>HLOOKUP(B8231,#REF!,1,0)</f>
        <v>#REF!</v>
      </c>
      <c r="M8231" s="33" t="str">
        <f t="shared" si="515"/>
        <v>P&amp;L</v>
      </c>
    </row>
    <row r="8232" spans="1:13">
      <c r="A8232" s="33" t="str">
        <f t="shared" si="512"/>
        <v>SCL - CGS</v>
      </c>
      <c r="B8232" s="33" t="str">
        <f t="shared" si="513"/>
        <v>SCL</v>
      </c>
      <c r="C8232" s="33" t="str">
        <f t="shared" si="514"/>
        <v>56001-7396</v>
      </c>
      <c r="D8232" s="64" t="s">
        <v>9481</v>
      </c>
      <c r="E8232" s="64" t="s">
        <v>3002</v>
      </c>
      <c r="F8232" s="64" t="s">
        <v>15</v>
      </c>
      <c r="G8232" s="64" t="s">
        <v>2976</v>
      </c>
      <c r="H8232" s="64" t="s">
        <v>1875</v>
      </c>
      <c r="I8232" s="64" t="s">
        <v>3003</v>
      </c>
      <c r="J8232" s="67">
        <v>2105.3</v>
      </c>
      <c r="K8232" s="62">
        <v>26570.78</v>
      </c>
      <c r="L8232" s="33" t="e">
        <f>HLOOKUP(B8232,#REF!,1,0)</f>
        <v>#REF!</v>
      </c>
      <c r="M8232" s="33" t="str">
        <f t="shared" si="515"/>
        <v>P&amp;L</v>
      </c>
    </row>
    <row r="8233" spans="1:13">
      <c r="A8233" s="33" t="str">
        <f t="shared" si="512"/>
        <v>SCL - CGS</v>
      </c>
      <c r="B8233" s="33" t="str">
        <f t="shared" si="513"/>
        <v>SCL</v>
      </c>
      <c r="C8233" s="33" t="str">
        <f t="shared" si="514"/>
        <v>56001-7397</v>
      </c>
      <c r="D8233" s="64" t="s">
        <v>9482</v>
      </c>
      <c r="E8233" s="64" t="s">
        <v>3002</v>
      </c>
      <c r="F8233" s="64" t="s">
        <v>15</v>
      </c>
      <c r="G8233" s="64" t="s">
        <v>2976</v>
      </c>
      <c r="H8233" s="64" t="s">
        <v>1875</v>
      </c>
      <c r="I8233" s="64" t="s">
        <v>3003</v>
      </c>
      <c r="J8233" s="67">
        <v>2493.71</v>
      </c>
      <c r="K8233" s="62">
        <v>28184.94</v>
      </c>
      <c r="L8233" s="33" t="e">
        <f>HLOOKUP(B8233,#REF!,1,0)</f>
        <v>#REF!</v>
      </c>
      <c r="M8233" s="33" t="str">
        <f t="shared" si="515"/>
        <v>P&amp;L</v>
      </c>
    </row>
    <row r="8234" spans="1:13">
      <c r="A8234" s="33" t="str">
        <f t="shared" si="512"/>
        <v>SCL - CGS</v>
      </c>
      <c r="B8234" s="33" t="str">
        <f t="shared" si="513"/>
        <v>SCL</v>
      </c>
      <c r="C8234" s="33" t="str">
        <f t="shared" si="514"/>
        <v>56001-7398</v>
      </c>
      <c r="D8234" s="64" t="s">
        <v>9483</v>
      </c>
      <c r="E8234" s="64" t="s">
        <v>3002</v>
      </c>
      <c r="F8234" s="64" t="s">
        <v>15</v>
      </c>
      <c r="G8234" s="64" t="s">
        <v>2976</v>
      </c>
      <c r="H8234" s="64" t="s">
        <v>1875</v>
      </c>
      <c r="I8234" s="64" t="s">
        <v>3003</v>
      </c>
      <c r="J8234" s="67">
        <v>2269.99</v>
      </c>
      <c r="K8234" s="62">
        <v>27560.4</v>
      </c>
      <c r="L8234" s="33" t="e">
        <f>HLOOKUP(B8234,#REF!,1,0)</f>
        <v>#REF!</v>
      </c>
      <c r="M8234" s="33" t="str">
        <f t="shared" si="515"/>
        <v>P&amp;L</v>
      </c>
    </row>
    <row r="8235" spans="1:13">
      <c r="A8235" s="33" t="str">
        <f t="shared" si="512"/>
        <v>SCL - CGS</v>
      </c>
      <c r="B8235" s="33" t="str">
        <f t="shared" si="513"/>
        <v>SCL</v>
      </c>
      <c r="C8235" s="33" t="str">
        <f t="shared" si="514"/>
        <v>56001-7400</v>
      </c>
      <c r="D8235" s="64" t="s">
        <v>9484</v>
      </c>
      <c r="E8235" s="64" t="s">
        <v>3002</v>
      </c>
      <c r="F8235" s="64" t="s">
        <v>15</v>
      </c>
      <c r="G8235" s="64" t="s">
        <v>2976</v>
      </c>
      <c r="H8235" s="64" t="s">
        <v>1875</v>
      </c>
      <c r="I8235" s="64" t="s">
        <v>3003</v>
      </c>
      <c r="J8235" s="67">
        <v>1963.43</v>
      </c>
      <c r="K8235" s="62">
        <v>24609.9</v>
      </c>
      <c r="L8235" s="33" t="e">
        <f>HLOOKUP(B8235,#REF!,1,0)</f>
        <v>#REF!</v>
      </c>
      <c r="M8235" s="33" t="str">
        <f t="shared" si="515"/>
        <v>P&amp;L</v>
      </c>
    </row>
    <row r="8236" spans="1:13">
      <c r="A8236" s="33" t="str">
        <f t="shared" si="512"/>
        <v>SCL - CGS</v>
      </c>
      <c r="B8236" s="33" t="str">
        <f t="shared" si="513"/>
        <v>SCL</v>
      </c>
      <c r="C8236" s="33" t="str">
        <f t="shared" si="514"/>
        <v>56001-7401</v>
      </c>
      <c r="D8236" s="64" t="s">
        <v>9485</v>
      </c>
      <c r="E8236" s="64" t="s">
        <v>3002</v>
      </c>
      <c r="F8236" s="64" t="s">
        <v>15</v>
      </c>
      <c r="G8236" s="64" t="s">
        <v>2976</v>
      </c>
      <c r="H8236" s="64" t="s">
        <v>1875</v>
      </c>
      <c r="I8236" s="64" t="s">
        <v>3003</v>
      </c>
      <c r="J8236" s="67">
        <v>2883.8</v>
      </c>
      <c r="K8236" s="62">
        <v>25782.6</v>
      </c>
      <c r="L8236" s="33" t="e">
        <f>HLOOKUP(B8236,#REF!,1,0)</f>
        <v>#REF!</v>
      </c>
      <c r="M8236" s="33" t="str">
        <f t="shared" si="515"/>
        <v>P&amp;L</v>
      </c>
    </row>
    <row r="8237" spans="1:13">
      <c r="A8237" s="33" t="str">
        <f t="shared" si="512"/>
        <v>SCL - CGS</v>
      </c>
      <c r="B8237" s="33" t="str">
        <f t="shared" si="513"/>
        <v>SCL</v>
      </c>
      <c r="C8237" s="33" t="str">
        <f t="shared" si="514"/>
        <v>56001-7402</v>
      </c>
      <c r="D8237" s="64" t="s">
        <v>9486</v>
      </c>
      <c r="E8237" s="64" t="s">
        <v>3002</v>
      </c>
      <c r="F8237" s="64" t="s">
        <v>15</v>
      </c>
      <c r="G8237" s="64" t="s">
        <v>2976</v>
      </c>
      <c r="H8237" s="64" t="s">
        <v>1875</v>
      </c>
      <c r="I8237" s="64" t="s">
        <v>3003</v>
      </c>
      <c r="J8237" s="67">
        <v>2327.22</v>
      </c>
      <c r="K8237" s="62">
        <v>27774.09</v>
      </c>
      <c r="L8237" s="33" t="e">
        <f>HLOOKUP(B8237,#REF!,1,0)</f>
        <v>#REF!</v>
      </c>
      <c r="M8237" s="33" t="str">
        <f t="shared" si="515"/>
        <v>P&amp;L</v>
      </c>
    </row>
    <row r="8238" spans="1:13">
      <c r="A8238" s="33" t="str">
        <f t="shared" si="512"/>
        <v>SCL - CGS</v>
      </c>
      <c r="B8238" s="33" t="str">
        <f t="shared" si="513"/>
        <v>SCL</v>
      </c>
      <c r="C8238" s="33" t="str">
        <f t="shared" si="514"/>
        <v>56001-7403</v>
      </c>
      <c r="D8238" s="64" t="s">
        <v>9487</v>
      </c>
      <c r="E8238" s="64" t="s">
        <v>3002</v>
      </c>
      <c r="F8238" s="64" t="s">
        <v>15</v>
      </c>
      <c r="G8238" s="64" t="s">
        <v>2976</v>
      </c>
      <c r="H8238" s="64" t="s">
        <v>1875</v>
      </c>
      <c r="I8238" s="64" t="s">
        <v>3003</v>
      </c>
      <c r="J8238" s="67">
        <v>2396.13</v>
      </c>
      <c r="K8238" s="62">
        <v>27201.5</v>
      </c>
      <c r="L8238" s="33" t="e">
        <f>HLOOKUP(B8238,#REF!,1,0)</f>
        <v>#REF!</v>
      </c>
      <c r="M8238" s="33" t="str">
        <f t="shared" si="515"/>
        <v>P&amp;L</v>
      </c>
    </row>
    <row r="8239" spans="1:13">
      <c r="A8239" s="33" t="str">
        <f t="shared" si="512"/>
        <v>SCL - CGS</v>
      </c>
      <c r="B8239" s="33" t="str">
        <f t="shared" si="513"/>
        <v>SCL</v>
      </c>
      <c r="C8239" s="33" t="str">
        <f t="shared" si="514"/>
        <v>56001-7404</v>
      </c>
      <c r="D8239" s="64" t="s">
        <v>9488</v>
      </c>
      <c r="E8239" s="64" t="s">
        <v>3002</v>
      </c>
      <c r="F8239" s="64" t="s">
        <v>15</v>
      </c>
      <c r="G8239" s="64" t="s">
        <v>2976</v>
      </c>
      <c r="H8239" s="64" t="s">
        <v>1875</v>
      </c>
      <c r="I8239" s="64" t="s">
        <v>3003</v>
      </c>
      <c r="J8239" s="67">
        <v>0</v>
      </c>
      <c r="K8239" s="62">
        <v>0</v>
      </c>
      <c r="L8239" s="33" t="e">
        <f>HLOOKUP(B8239,#REF!,1,0)</f>
        <v>#REF!</v>
      </c>
      <c r="M8239" s="33" t="str">
        <f t="shared" si="515"/>
        <v>P&amp;L</v>
      </c>
    </row>
    <row r="8240" spans="1:13">
      <c r="A8240" s="33" t="str">
        <f t="shared" si="512"/>
        <v>SCL - CGS</v>
      </c>
      <c r="B8240" s="33" t="str">
        <f t="shared" si="513"/>
        <v>SCL</v>
      </c>
      <c r="C8240" s="33" t="str">
        <f t="shared" si="514"/>
        <v>56001-7489</v>
      </c>
      <c r="D8240" s="64" t="s">
        <v>9489</v>
      </c>
      <c r="E8240" s="64" t="s">
        <v>3002</v>
      </c>
      <c r="F8240" s="64" t="s">
        <v>15</v>
      </c>
      <c r="G8240" s="64" t="s">
        <v>2976</v>
      </c>
      <c r="H8240" s="64" t="s">
        <v>1875</v>
      </c>
      <c r="I8240" s="64" t="s">
        <v>3003</v>
      </c>
      <c r="J8240" s="67">
        <v>3005.42</v>
      </c>
      <c r="K8240" s="62">
        <v>32405.37</v>
      </c>
      <c r="L8240" s="33" t="e">
        <f>HLOOKUP(B8240,#REF!,1,0)</f>
        <v>#REF!</v>
      </c>
      <c r="M8240" s="33" t="str">
        <f t="shared" si="515"/>
        <v>P&amp;L</v>
      </c>
    </row>
    <row r="8241" spans="1:13">
      <c r="A8241" s="33" t="str">
        <f t="shared" si="512"/>
        <v>SCL - CGS</v>
      </c>
      <c r="B8241" s="33" t="str">
        <f t="shared" si="513"/>
        <v>SCL</v>
      </c>
      <c r="C8241" s="33" t="str">
        <f t="shared" si="514"/>
        <v>56001-7491</v>
      </c>
      <c r="D8241" s="64" t="s">
        <v>9490</v>
      </c>
      <c r="E8241" s="64" t="s">
        <v>3002</v>
      </c>
      <c r="F8241" s="64" t="s">
        <v>15</v>
      </c>
      <c r="G8241" s="64" t="s">
        <v>2976</v>
      </c>
      <c r="H8241" s="64" t="s">
        <v>1875</v>
      </c>
      <c r="I8241" s="64" t="s">
        <v>3003</v>
      </c>
      <c r="J8241" s="67">
        <v>2053.77</v>
      </c>
      <c r="K8241" s="62">
        <v>23277.66</v>
      </c>
      <c r="L8241" s="33" t="e">
        <f>HLOOKUP(B8241,#REF!,1,0)</f>
        <v>#REF!</v>
      </c>
      <c r="M8241" s="33" t="str">
        <f t="shared" si="515"/>
        <v>P&amp;L</v>
      </c>
    </row>
    <row r="8242" spans="1:13">
      <c r="A8242" s="33" t="str">
        <f t="shared" si="512"/>
        <v>SCL - CGS</v>
      </c>
      <c r="B8242" s="33" t="str">
        <f t="shared" si="513"/>
        <v>SCL</v>
      </c>
      <c r="C8242" s="33" t="str">
        <f t="shared" si="514"/>
        <v>56001-7492</v>
      </c>
      <c r="D8242" s="64" t="s">
        <v>9491</v>
      </c>
      <c r="E8242" s="64" t="s">
        <v>3002</v>
      </c>
      <c r="F8242" s="64" t="s">
        <v>15</v>
      </c>
      <c r="G8242" s="64" t="s">
        <v>2976</v>
      </c>
      <c r="H8242" s="64" t="s">
        <v>1875</v>
      </c>
      <c r="I8242" s="64" t="s">
        <v>3003</v>
      </c>
      <c r="J8242" s="67">
        <v>2285.69</v>
      </c>
      <c r="K8242" s="62">
        <v>25441.77</v>
      </c>
      <c r="L8242" s="33" t="e">
        <f>HLOOKUP(B8242,#REF!,1,0)</f>
        <v>#REF!</v>
      </c>
      <c r="M8242" s="33" t="str">
        <f t="shared" si="515"/>
        <v>P&amp;L</v>
      </c>
    </row>
    <row r="8243" spans="1:13">
      <c r="A8243" s="33" t="str">
        <f t="shared" si="512"/>
        <v>SCL - CGS</v>
      </c>
      <c r="B8243" s="33" t="str">
        <f t="shared" si="513"/>
        <v>SCL</v>
      </c>
      <c r="C8243" s="33" t="str">
        <f t="shared" si="514"/>
        <v>56001-7493</v>
      </c>
      <c r="D8243" s="64" t="s">
        <v>9492</v>
      </c>
      <c r="E8243" s="64" t="s">
        <v>3002</v>
      </c>
      <c r="F8243" s="64" t="s">
        <v>15</v>
      </c>
      <c r="G8243" s="64" t="s">
        <v>2976</v>
      </c>
      <c r="H8243" s="64" t="s">
        <v>1875</v>
      </c>
      <c r="I8243" s="64" t="s">
        <v>3003</v>
      </c>
      <c r="J8243" s="67">
        <v>2647.45</v>
      </c>
      <c r="K8243" s="62">
        <v>28893.4</v>
      </c>
      <c r="L8243" s="33" t="e">
        <f>HLOOKUP(B8243,#REF!,1,0)</f>
        <v>#REF!</v>
      </c>
      <c r="M8243" s="33" t="str">
        <f t="shared" si="515"/>
        <v>P&amp;L</v>
      </c>
    </row>
    <row r="8244" spans="1:13">
      <c r="A8244" s="33" t="str">
        <f t="shared" si="512"/>
        <v>SCL - CGS</v>
      </c>
      <c r="B8244" s="33" t="str">
        <f t="shared" si="513"/>
        <v>SCL</v>
      </c>
      <c r="C8244" s="33" t="str">
        <f t="shared" si="514"/>
        <v>56001-7494</v>
      </c>
      <c r="D8244" s="64" t="s">
        <v>9493</v>
      </c>
      <c r="E8244" s="64" t="s">
        <v>3002</v>
      </c>
      <c r="F8244" s="64" t="s">
        <v>15</v>
      </c>
      <c r="G8244" s="64" t="s">
        <v>2976</v>
      </c>
      <c r="H8244" s="64" t="s">
        <v>1875</v>
      </c>
      <c r="I8244" s="64" t="s">
        <v>3003</v>
      </c>
      <c r="J8244" s="67">
        <v>2323.73</v>
      </c>
      <c r="K8244" s="62">
        <v>28108.37</v>
      </c>
      <c r="L8244" s="33" t="e">
        <f>HLOOKUP(B8244,#REF!,1,0)</f>
        <v>#REF!</v>
      </c>
      <c r="M8244" s="33" t="str">
        <f t="shared" si="515"/>
        <v>P&amp;L</v>
      </c>
    </row>
    <row r="8245" spans="1:13">
      <c r="A8245" s="33" t="str">
        <f t="shared" si="512"/>
        <v>SCL - CGS</v>
      </c>
      <c r="B8245" s="33" t="str">
        <f t="shared" si="513"/>
        <v>SCL</v>
      </c>
      <c r="C8245" s="33" t="str">
        <f t="shared" si="514"/>
        <v>56001-7625</v>
      </c>
      <c r="D8245" s="64" t="s">
        <v>9494</v>
      </c>
      <c r="E8245" s="64" t="s">
        <v>3002</v>
      </c>
      <c r="F8245" s="64" t="s">
        <v>15</v>
      </c>
      <c r="G8245" s="64" t="s">
        <v>2976</v>
      </c>
      <c r="H8245" s="64" t="s">
        <v>1875</v>
      </c>
      <c r="I8245" s="64" t="s">
        <v>3003</v>
      </c>
      <c r="J8245" s="67">
        <v>2697.31</v>
      </c>
      <c r="K8245" s="62">
        <v>29335.23</v>
      </c>
      <c r="L8245" s="33" t="e">
        <f>HLOOKUP(B8245,#REF!,1,0)</f>
        <v>#REF!</v>
      </c>
      <c r="M8245" s="33" t="str">
        <f t="shared" si="515"/>
        <v>P&amp;L</v>
      </c>
    </row>
    <row r="8246" spans="1:13">
      <c r="A8246" s="33" t="str">
        <f t="shared" si="512"/>
        <v>SCL - CGS</v>
      </c>
      <c r="B8246" s="33" t="str">
        <f t="shared" si="513"/>
        <v>SCL</v>
      </c>
      <c r="C8246" s="33" t="str">
        <f t="shared" si="514"/>
        <v>56001-8150</v>
      </c>
      <c r="D8246" s="64" t="s">
        <v>9495</v>
      </c>
      <c r="E8246" s="64" t="s">
        <v>3002</v>
      </c>
      <c r="F8246" s="64" t="s">
        <v>15</v>
      </c>
      <c r="G8246" s="64" t="s">
        <v>2976</v>
      </c>
      <c r="H8246" s="64" t="s">
        <v>1875</v>
      </c>
      <c r="I8246" s="64" t="s">
        <v>3003</v>
      </c>
      <c r="J8246" s="67">
        <v>2526.93</v>
      </c>
      <c r="K8246" s="62">
        <v>27301.72</v>
      </c>
      <c r="L8246" s="33" t="e">
        <f>HLOOKUP(B8246,#REF!,1,0)</f>
        <v>#REF!</v>
      </c>
      <c r="M8246" s="33" t="str">
        <f t="shared" si="515"/>
        <v>P&amp;L</v>
      </c>
    </row>
    <row r="8247" spans="1:13">
      <c r="A8247" s="33" t="str">
        <f t="shared" si="512"/>
        <v>SCL - CGS</v>
      </c>
      <c r="B8247" s="33" t="str">
        <f t="shared" si="513"/>
        <v>SCL</v>
      </c>
      <c r="C8247" s="33" t="str">
        <f t="shared" si="514"/>
        <v>56002-0000</v>
      </c>
      <c r="D8247" s="64" t="s">
        <v>9496</v>
      </c>
      <c r="E8247" s="64" t="s">
        <v>3009</v>
      </c>
      <c r="F8247" s="64" t="s">
        <v>15</v>
      </c>
      <c r="G8247" s="64" t="s">
        <v>2976</v>
      </c>
      <c r="H8247" s="64" t="s">
        <v>1875</v>
      </c>
      <c r="I8247" s="64" t="s">
        <v>3010</v>
      </c>
      <c r="J8247" s="67">
        <v>40</v>
      </c>
      <c r="K8247" s="62">
        <v>624.4</v>
      </c>
      <c r="L8247" s="33" t="e">
        <f>HLOOKUP(B8247,#REF!,1,0)</f>
        <v>#REF!</v>
      </c>
      <c r="M8247" s="33" t="str">
        <f t="shared" si="515"/>
        <v>P&amp;L</v>
      </c>
    </row>
    <row r="8248" spans="1:13">
      <c r="A8248" s="33" t="str">
        <f t="shared" si="512"/>
        <v>SCL - CGS</v>
      </c>
      <c r="B8248" s="33" t="str">
        <f t="shared" si="513"/>
        <v>SCL</v>
      </c>
      <c r="C8248" s="33" t="str">
        <f t="shared" si="514"/>
        <v>56002-7351</v>
      </c>
      <c r="D8248" s="64" t="s">
        <v>9497</v>
      </c>
      <c r="E8248" s="64" t="s">
        <v>3009</v>
      </c>
      <c r="F8248" s="64" t="s">
        <v>15</v>
      </c>
      <c r="G8248" s="64" t="s">
        <v>2976</v>
      </c>
      <c r="H8248" s="64" t="s">
        <v>1875</v>
      </c>
      <c r="I8248" s="64" t="s">
        <v>3010</v>
      </c>
      <c r="J8248" s="67">
        <v>45.47</v>
      </c>
      <c r="K8248" s="62">
        <v>-86.37</v>
      </c>
      <c r="L8248" s="33" t="e">
        <f>HLOOKUP(B8248,#REF!,1,0)</f>
        <v>#REF!</v>
      </c>
      <c r="M8248" s="33" t="str">
        <f t="shared" si="515"/>
        <v>P&amp;L</v>
      </c>
    </row>
    <row r="8249" spans="1:13">
      <c r="A8249" s="33" t="str">
        <f t="shared" si="512"/>
        <v>SCL - CGS</v>
      </c>
      <c r="B8249" s="33" t="str">
        <f t="shared" si="513"/>
        <v>SCL</v>
      </c>
      <c r="C8249" s="33" t="str">
        <f t="shared" si="514"/>
        <v>56002-7352</v>
      </c>
      <c r="D8249" s="64" t="s">
        <v>9498</v>
      </c>
      <c r="E8249" s="64" t="s">
        <v>3009</v>
      </c>
      <c r="F8249" s="64" t="s">
        <v>15</v>
      </c>
      <c r="G8249" s="64" t="s">
        <v>2976</v>
      </c>
      <c r="H8249" s="64" t="s">
        <v>1875</v>
      </c>
      <c r="I8249" s="64" t="s">
        <v>3010</v>
      </c>
      <c r="J8249" s="67">
        <v>57.16</v>
      </c>
      <c r="K8249" s="62">
        <v>-216.44</v>
      </c>
      <c r="L8249" s="33" t="e">
        <f>HLOOKUP(B8249,#REF!,1,0)</f>
        <v>#REF!</v>
      </c>
      <c r="M8249" s="33" t="str">
        <f t="shared" si="515"/>
        <v>P&amp;L</v>
      </c>
    </row>
    <row r="8250" spans="1:13">
      <c r="A8250" s="33" t="str">
        <f t="shared" si="512"/>
        <v>SCL - CGS</v>
      </c>
      <c r="B8250" s="33" t="str">
        <f t="shared" si="513"/>
        <v>SCL</v>
      </c>
      <c r="C8250" s="33" t="str">
        <f t="shared" si="514"/>
        <v>56002-7355</v>
      </c>
      <c r="D8250" s="64" t="s">
        <v>9499</v>
      </c>
      <c r="E8250" s="64" t="s">
        <v>3009</v>
      </c>
      <c r="F8250" s="64" t="s">
        <v>15</v>
      </c>
      <c r="G8250" s="64" t="s">
        <v>2976</v>
      </c>
      <c r="H8250" s="64" t="s">
        <v>1875</v>
      </c>
      <c r="I8250" s="64" t="s">
        <v>3010</v>
      </c>
      <c r="J8250" s="67">
        <v>0.06</v>
      </c>
      <c r="K8250" s="62">
        <v>-13.71</v>
      </c>
      <c r="L8250" s="33" t="e">
        <f>HLOOKUP(B8250,#REF!,1,0)</f>
        <v>#REF!</v>
      </c>
      <c r="M8250" s="33" t="str">
        <f t="shared" si="515"/>
        <v>P&amp;L</v>
      </c>
    </row>
    <row r="8251" spans="1:13">
      <c r="A8251" s="33" t="str">
        <f t="shared" si="512"/>
        <v>SCL - CGS</v>
      </c>
      <c r="B8251" s="33" t="str">
        <f t="shared" si="513"/>
        <v>SCL</v>
      </c>
      <c r="C8251" s="33" t="str">
        <f t="shared" si="514"/>
        <v>56002-7356</v>
      </c>
      <c r="D8251" s="64" t="s">
        <v>9500</v>
      </c>
      <c r="E8251" s="64" t="s">
        <v>3009</v>
      </c>
      <c r="F8251" s="64" t="s">
        <v>15</v>
      </c>
      <c r="G8251" s="64" t="s">
        <v>2976</v>
      </c>
      <c r="H8251" s="64" t="s">
        <v>1875</v>
      </c>
      <c r="I8251" s="64" t="s">
        <v>3010</v>
      </c>
      <c r="J8251" s="67">
        <v>0</v>
      </c>
      <c r="K8251" s="62">
        <v>0</v>
      </c>
      <c r="L8251" s="33" t="e">
        <f>HLOOKUP(B8251,#REF!,1,0)</f>
        <v>#REF!</v>
      </c>
      <c r="M8251" s="33" t="str">
        <f t="shared" si="515"/>
        <v>P&amp;L</v>
      </c>
    </row>
    <row r="8252" spans="1:13">
      <c r="A8252" s="33" t="str">
        <f t="shared" si="512"/>
        <v>SCL - CGS</v>
      </c>
      <c r="B8252" s="33" t="str">
        <f t="shared" si="513"/>
        <v>SCL</v>
      </c>
      <c r="C8252" s="33" t="str">
        <f t="shared" si="514"/>
        <v>56002-7359</v>
      </c>
      <c r="D8252" s="64" t="s">
        <v>9501</v>
      </c>
      <c r="E8252" s="64" t="s">
        <v>3009</v>
      </c>
      <c r="F8252" s="64" t="s">
        <v>15</v>
      </c>
      <c r="G8252" s="64" t="s">
        <v>2976</v>
      </c>
      <c r="H8252" s="64" t="s">
        <v>1875</v>
      </c>
      <c r="I8252" s="64" t="s">
        <v>3010</v>
      </c>
      <c r="J8252" s="67">
        <v>-12.67</v>
      </c>
      <c r="K8252" s="62">
        <v>-1474.01</v>
      </c>
      <c r="L8252" s="33" t="e">
        <f>HLOOKUP(B8252,#REF!,1,0)</f>
        <v>#REF!</v>
      </c>
      <c r="M8252" s="33" t="str">
        <f t="shared" si="515"/>
        <v>P&amp;L</v>
      </c>
    </row>
    <row r="8253" spans="1:13">
      <c r="A8253" s="33" t="str">
        <f t="shared" si="512"/>
        <v>SCL - CGS</v>
      </c>
      <c r="B8253" s="33" t="str">
        <f t="shared" si="513"/>
        <v>SCL</v>
      </c>
      <c r="C8253" s="33" t="str">
        <f t="shared" si="514"/>
        <v>56002-7360</v>
      </c>
      <c r="D8253" s="64" t="s">
        <v>9502</v>
      </c>
      <c r="E8253" s="64" t="s">
        <v>3009</v>
      </c>
      <c r="F8253" s="64" t="s">
        <v>15</v>
      </c>
      <c r="G8253" s="64" t="s">
        <v>2976</v>
      </c>
      <c r="H8253" s="64" t="s">
        <v>1875</v>
      </c>
      <c r="I8253" s="64" t="s">
        <v>3010</v>
      </c>
      <c r="J8253" s="67">
        <v>-40.37</v>
      </c>
      <c r="K8253" s="62">
        <v>1505.56</v>
      </c>
      <c r="L8253" s="33" t="e">
        <f>HLOOKUP(B8253,#REF!,1,0)</f>
        <v>#REF!</v>
      </c>
      <c r="M8253" s="33" t="str">
        <f t="shared" si="515"/>
        <v>P&amp;L</v>
      </c>
    </row>
    <row r="8254" spans="1:13">
      <c r="A8254" s="33" t="str">
        <f t="shared" si="512"/>
        <v>SCL - CGS</v>
      </c>
      <c r="B8254" s="33" t="str">
        <f t="shared" si="513"/>
        <v>SCL</v>
      </c>
      <c r="C8254" s="33" t="str">
        <f t="shared" si="514"/>
        <v>56002-7361</v>
      </c>
      <c r="D8254" s="64" t="s">
        <v>9503</v>
      </c>
      <c r="E8254" s="64" t="s">
        <v>3009</v>
      </c>
      <c r="F8254" s="64" t="s">
        <v>15</v>
      </c>
      <c r="G8254" s="64" t="s">
        <v>2976</v>
      </c>
      <c r="H8254" s="64" t="s">
        <v>1875</v>
      </c>
      <c r="I8254" s="64" t="s">
        <v>3010</v>
      </c>
      <c r="J8254" s="67">
        <v>10.13</v>
      </c>
      <c r="K8254" s="62">
        <v>-1166.16</v>
      </c>
      <c r="L8254" s="33" t="e">
        <f>HLOOKUP(B8254,#REF!,1,0)</f>
        <v>#REF!</v>
      </c>
      <c r="M8254" s="33" t="str">
        <f t="shared" si="515"/>
        <v>P&amp;L</v>
      </c>
    </row>
    <row r="8255" spans="1:13">
      <c r="A8255" s="33" t="str">
        <f t="shared" si="512"/>
        <v>SCL - CGS</v>
      </c>
      <c r="B8255" s="33" t="str">
        <f t="shared" si="513"/>
        <v>SCL</v>
      </c>
      <c r="C8255" s="33" t="str">
        <f t="shared" si="514"/>
        <v>56002-7362</v>
      </c>
      <c r="D8255" s="64" t="s">
        <v>9504</v>
      </c>
      <c r="E8255" s="64" t="s">
        <v>3009</v>
      </c>
      <c r="F8255" s="64" t="s">
        <v>15</v>
      </c>
      <c r="G8255" s="64" t="s">
        <v>2976</v>
      </c>
      <c r="H8255" s="64" t="s">
        <v>1875</v>
      </c>
      <c r="I8255" s="64" t="s">
        <v>3010</v>
      </c>
      <c r="J8255" s="67">
        <v>-78.03</v>
      </c>
      <c r="K8255" s="62">
        <v>-151.53</v>
      </c>
      <c r="L8255" s="33" t="e">
        <f>HLOOKUP(B8255,#REF!,1,0)</f>
        <v>#REF!</v>
      </c>
      <c r="M8255" s="33" t="str">
        <f t="shared" si="515"/>
        <v>P&amp;L</v>
      </c>
    </row>
    <row r="8256" spans="1:13">
      <c r="A8256" s="33" t="str">
        <f t="shared" si="512"/>
        <v>SCL - CGS</v>
      </c>
      <c r="B8256" s="33" t="str">
        <f t="shared" si="513"/>
        <v>SCL</v>
      </c>
      <c r="C8256" s="33" t="str">
        <f t="shared" si="514"/>
        <v>56002-7363</v>
      </c>
      <c r="D8256" s="64" t="s">
        <v>9505</v>
      </c>
      <c r="E8256" s="64" t="s">
        <v>3009</v>
      </c>
      <c r="F8256" s="64" t="s">
        <v>15</v>
      </c>
      <c r="G8256" s="64" t="s">
        <v>2976</v>
      </c>
      <c r="H8256" s="64" t="s">
        <v>1875</v>
      </c>
      <c r="I8256" s="64" t="s">
        <v>3010</v>
      </c>
      <c r="J8256" s="67">
        <v>29.77</v>
      </c>
      <c r="K8256" s="62">
        <v>-530.54</v>
      </c>
      <c r="L8256" s="33" t="e">
        <f>HLOOKUP(B8256,#REF!,1,0)</f>
        <v>#REF!</v>
      </c>
      <c r="M8256" s="33" t="str">
        <f t="shared" si="515"/>
        <v>P&amp;L</v>
      </c>
    </row>
    <row r="8257" spans="1:13">
      <c r="A8257" s="33" t="str">
        <f t="shared" si="512"/>
        <v>SCL - CGS</v>
      </c>
      <c r="B8257" s="33" t="str">
        <f t="shared" si="513"/>
        <v>SCL</v>
      </c>
      <c r="C8257" s="33" t="str">
        <f t="shared" si="514"/>
        <v>56002-7364</v>
      </c>
      <c r="D8257" s="64" t="s">
        <v>9506</v>
      </c>
      <c r="E8257" s="64" t="s">
        <v>3009</v>
      </c>
      <c r="F8257" s="64" t="s">
        <v>15</v>
      </c>
      <c r="G8257" s="64" t="s">
        <v>2976</v>
      </c>
      <c r="H8257" s="64" t="s">
        <v>1875</v>
      </c>
      <c r="I8257" s="64" t="s">
        <v>3010</v>
      </c>
      <c r="J8257" s="67">
        <v>9.27</v>
      </c>
      <c r="K8257" s="62">
        <v>-64.53</v>
      </c>
      <c r="L8257" s="33" t="e">
        <f>HLOOKUP(B8257,#REF!,1,0)</f>
        <v>#REF!</v>
      </c>
      <c r="M8257" s="33" t="str">
        <f t="shared" si="515"/>
        <v>P&amp;L</v>
      </c>
    </row>
    <row r="8258" spans="1:13">
      <c r="A8258" s="33" t="str">
        <f t="shared" ref="A8258:A8321" si="516">B8258&amp;" - "&amp;TRIM(H8258)</f>
        <v>SCL - CGS</v>
      </c>
      <c r="B8258" s="33" t="str">
        <f t="shared" ref="B8258:B8321" si="517">LEFT(D8258,3)</f>
        <v>SCL</v>
      </c>
      <c r="C8258" s="33" t="str">
        <f t="shared" ref="C8258:C8321" si="518">RIGHT(D8258,10)</f>
        <v>56002-7365</v>
      </c>
      <c r="D8258" s="64" t="s">
        <v>9507</v>
      </c>
      <c r="E8258" s="64" t="s">
        <v>3009</v>
      </c>
      <c r="F8258" s="64" t="s">
        <v>15</v>
      </c>
      <c r="G8258" s="64" t="s">
        <v>2976</v>
      </c>
      <c r="H8258" s="64" t="s">
        <v>1875</v>
      </c>
      <c r="I8258" s="64" t="s">
        <v>3010</v>
      </c>
      <c r="J8258" s="67">
        <v>-154.58</v>
      </c>
      <c r="K8258" s="62">
        <v>-2272.78</v>
      </c>
      <c r="L8258" s="33" t="e">
        <f>HLOOKUP(B8258,#REF!,1,0)</f>
        <v>#REF!</v>
      </c>
      <c r="M8258" s="33" t="str">
        <f t="shared" ref="M8258:M8321" si="519">IF(VALUE(LEFT(C8258,5))&gt;40000,"P&amp;L","BS")</f>
        <v>P&amp;L</v>
      </c>
    </row>
    <row r="8259" spans="1:13">
      <c r="A8259" s="33" t="str">
        <f t="shared" si="516"/>
        <v>SCL - CGS</v>
      </c>
      <c r="B8259" s="33" t="str">
        <f t="shared" si="517"/>
        <v>SCL</v>
      </c>
      <c r="C8259" s="33" t="str">
        <f t="shared" si="518"/>
        <v>56002-7366</v>
      </c>
      <c r="D8259" s="64" t="s">
        <v>9508</v>
      </c>
      <c r="E8259" s="64" t="s">
        <v>3009</v>
      </c>
      <c r="F8259" s="64" t="s">
        <v>15</v>
      </c>
      <c r="G8259" s="64" t="s">
        <v>2976</v>
      </c>
      <c r="H8259" s="64" t="s">
        <v>1875</v>
      </c>
      <c r="I8259" s="64" t="s">
        <v>3010</v>
      </c>
      <c r="J8259" s="67">
        <v>-176.55</v>
      </c>
      <c r="K8259" s="62">
        <v>-2011.87</v>
      </c>
      <c r="L8259" s="33" t="e">
        <f>HLOOKUP(B8259,#REF!,1,0)</f>
        <v>#REF!</v>
      </c>
      <c r="M8259" s="33" t="str">
        <f t="shared" si="519"/>
        <v>P&amp;L</v>
      </c>
    </row>
    <row r="8260" spans="1:13">
      <c r="A8260" s="33" t="str">
        <f t="shared" si="516"/>
        <v>SCL - CGS</v>
      </c>
      <c r="B8260" s="33" t="str">
        <f t="shared" si="517"/>
        <v>SCL</v>
      </c>
      <c r="C8260" s="33" t="str">
        <f t="shared" si="518"/>
        <v>56002-7368</v>
      </c>
      <c r="D8260" s="64" t="s">
        <v>9509</v>
      </c>
      <c r="E8260" s="64" t="s">
        <v>3009</v>
      </c>
      <c r="F8260" s="64" t="s">
        <v>15</v>
      </c>
      <c r="G8260" s="64" t="s">
        <v>2976</v>
      </c>
      <c r="H8260" s="64" t="s">
        <v>1875</v>
      </c>
      <c r="I8260" s="64" t="s">
        <v>3010</v>
      </c>
      <c r="J8260" s="67">
        <v>-6.61</v>
      </c>
      <c r="K8260" s="62">
        <v>-208.77</v>
      </c>
      <c r="L8260" s="33" t="e">
        <f>HLOOKUP(B8260,#REF!,1,0)</f>
        <v>#REF!</v>
      </c>
      <c r="M8260" s="33" t="str">
        <f t="shared" si="519"/>
        <v>P&amp;L</v>
      </c>
    </row>
    <row r="8261" spans="1:13">
      <c r="A8261" s="33" t="str">
        <f t="shared" si="516"/>
        <v>SCL - CGS</v>
      </c>
      <c r="B8261" s="33" t="str">
        <f t="shared" si="517"/>
        <v>SCL</v>
      </c>
      <c r="C8261" s="33" t="str">
        <f t="shared" si="518"/>
        <v>56002-7369</v>
      </c>
      <c r="D8261" s="64" t="s">
        <v>9510</v>
      </c>
      <c r="E8261" s="64" t="s">
        <v>3009</v>
      </c>
      <c r="F8261" s="64" t="s">
        <v>15</v>
      </c>
      <c r="G8261" s="64" t="s">
        <v>2976</v>
      </c>
      <c r="H8261" s="64" t="s">
        <v>1875</v>
      </c>
      <c r="I8261" s="64" t="s">
        <v>3010</v>
      </c>
      <c r="J8261" s="67">
        <v>-11.04</v>
      </c>
      <c r="K8261" s="62">
        <v>-90.05</v>
      </c>
      <c r="L8261" s="33" t="e">
        <f>HLOOKUP(B8261,#REF!,1,0)</f>
        <v>#REF!</v>
      </c>
      <c r="M8261" s="33" t="str">
        <f t="shared" si="519"/>
        <v>P&amp;L</v>
      </c>
    </row>
    <row r="8262" spans="1:13">
      <c r="A8262" s="33" t="str">
        <f t="shared" si="516"/>
        <v>SCL - CGS</v>
      </c>
      <c r="B8262" s="33" t="str">
        <f t="shared" si="517"/>
        <v>SCL</v>
      </c>
      <c r="C8262" s="33" t="str">
        <f t="shared" si="518"/>
        <v>56002-7371</v>
      </c>
      <c r="D8262" s="64" t="s">
        <v>9511</v>
      </c>
      <c r="E8262" s="64" t="s">
        <v>3009</v>
      </c>
      <c r="F8262" s="64" t="s">
        <v>15</v>
      </c>
      <c r="G8262" s="64" t="s">
        <v>2976</v>
      </c>
      <c r="H8262" s="64" t="s">
        <v>1875</v>
      </c>
      <c r="I8262" s="64" t="s">
        <v>3010</v>
      </c>
      <c r="J8262" s="67">
        <v>-229.95</v>
      </c>
      <c r="K8262" s="62">
        <v>-2290.74</v>
      </c>
      <c r="L8262" s="33" t="e">
        <f>HLOOKUP(B8262,#REF!,1,0)</f>
        <v>#REF!</v>
      </c>
      <c r="M8262" s="33" t="str">
        <f t="shared" si="519"/>
        <v>P&amp;L</v>
      </c>
    </row>
    <row r="8263" spans="1:13">
      <c r="A8263" s="33" t="str">
        <f t="shared" si="516"/>
        <v>SCL - CGS</v>
      </c>
      <c r="B8263" s="33" t="str">
        <f t="shared" si="517"/>
        <v>SCL</v>
      </c>
      <c r="C8263" s="33" t="str">
        <f t="shared" si="518"/>
        <v>56002-7374</v>
      </c>
      <c r="D8263" s="64" t="s">
        <v>9512</v>
      </c>
      <c r="E8263" s="64" t="s">
        <v>3009</v>
      </c>
      <c r="F8263" s="64" t="s">
        <v>15</v>
      </c>
      <c r="G8263" s="64" t="s">
        <v>2976</v>
      </c>
      <c r="H8263" s="64" t="s">
        <v>1875</v>
      </c>
      <c r="I8263" s="64" t="s">
        <v>3010</v>
      </c>
      <c r="J8263" s="67">
        <v>-256.05</v>
      </c>
      <c r="K8263" s="62">
        <v>-1919.17</v>
      </c>
      <c r="L8263" s="33" t="e">
        <f>HLOOKUP(B8263,#REF!,1,0)</f>
        <v>#REF!</v>
      </c>
      <c r="M8263" s="33" t="str">
        <f t="shared" si="519"/>
        <v>P&amp;L</v>
      </c>
    </row>
    <row r="8264" spans="1:13">
      <c r="A8264" s="33" t="str">
        <f t="shared" si="516"/>
        <v>SCL - CGS</v>
      </c>
      <c r="B8264" s="33" t="str">
        <f t="shared" si="517"/>
        <v>SCL</v>
      </c>
      <c r="C8264" s="33" t="str">
        <f t="shared" si="518"/>
        <v>56002-7375</v>
      </c>
      <c r="D8264" s="64" t="s">
        <v>9513</v>
      </c>
      <c r="E8264" s="64" t="s">
        <v>3009</v>
      </c>
      <c r="F8264" s="64" t="s">
        <v>15</v>
      </c>
      <c r="G8264" s="64" t="s">
        <v>2976</v>
      </c>
      <c r="H8264" s="64" t="s">
        <v>1875</v>
      </c>
      <c r="I8264" s="64" t="s">
        <v>3010</v>
      </c>
      <c r="J8264" s="67">
        <v>10.56</v>
      </c>
      <c r="K8264" s="62">
        <v>-90.65</v>
      </c>
      <c r="L8264" s="33" t="e">
        <f>HLOOKUP(B8264,#REF!,1,0)</f>
        <v>#REF!</v>
      </c>
      <c r="M8264" s="33" t="str">
        <f t="shared" si="519"/>
        <v>P&amp;L</v>
      </c>
    </row>
    <row r="8265" spans="1:13">
      <c r="A8265" s="33" t="str">
        <f t="shared" si="516"/>
        <v>SCL - CGS</v>
      </c>
      <c r="B8265" s="33" t="str">
        <f t="shared" si="517"/>
        <v>SCL</v>
      </c>
      <c r="C8265" s="33" t="str">
        <f t="shared" si="518"/>
        <v>56002-7376</v>
      </c>
      <c r="D8265" s="64" t="s">
        <v>9514</v>
      </c>
      <c r="E8265" s="64" t="s">
        <v>3009</v>
      </c>
      <c r="F8265" s="64" t="s">
        <v>15</v>
      </c>
      <c r="G8265" s="64" t="s">
        <v>2976</v>
      </c>
      <c r="H8265" s="64" t="s">
        <v>1875</v>
      </c>
      <c r="I8265" s="64" t="s">
        <v>3010</v>
      </c>
      <c r="J8265" s="67">
        <v>336.31</v>
      </c>
      <c r="K8265" s="62">
        <v>3948.69</v>
      </c>
      <c r="L8265" s="33" t="e">
        <f>HLOOKUP(B8265,#REF!,1,0)</f>
        <v>#REF!</v>
      </c>
      <c r="M8265" s="33" t="str">
        <f t="shared" si="519"/>
        <v>P&amp;L</v>
      </c>
    </row>
    <row r="8266" spans="1:13">
      <c r="A8266" s="33" t="str">
        <f t="shared" si="516"/>
        <v>SCL - CGS</v>
      </c>
      <c r="B8266" s="33" t="str">
        <f t="shared" si="517"/>
        <v>SCL</v>
      </c>
      <c r="C8266" s="33" t="str">
        <f t="shared" si="518"/>
        <v>56002-7377</v>
      </c>
      <c r="D8266" s="64" t="s">
        <v>9515</v>
      </c>
      <c r="E8266" s="64" t="s">
        <v>3009</v>
      </c>
      <c r="F8266" s="64" t="s">
        <v>15</v>
      </c>
      <c r="G8266" s="64" t="s">
        <v>2976</v>
      </c>
      <c r="H8266" s="64" t="s">
        <v>1875</v>
      </c>
      <c r="I8266" s="64" t="s">
        <v>3010</v>
      </c>
      <c r="J8266" s="67">
        <v>1.33</v>
      </c>
      <c r="K8266" s="62">
        <v>-192.28</v>
      </c>
      <c r="L8266" s="33" t="e">
        <f>HLOOKUP(B8266,#REF!,1,0)</f>
        <v>#REF!</v>
      </c>
      <c r="M8266" s="33" t="str">
        <f t="shared" si="519"/>
        <v>P&amp;L</v>
      </c>
    </row>
    <row r="8267" spans="1:13">
      <c r="A8267" s="33" t="str">
        <f t="shared" si="516"/>
        <v>SCL - CGS</v>
      </c>
      <c r="B8267" s="33" t="str">
        <f t="shared" si="517"/>
        <v>SCL</v>
      </c>
      <c r="C8267" s="33" t="str">
        <f t="shared" si="518"/>
        <v>56002-7378</v>
      </c>
      <c r="D8267" s="64" t="s">
        <v>9516</v>
      </c>
      <c r="E8267" s="64" t="s">
        <v>3009</v>
      </c>
      <c r="F8267" s="64" t="s">
        <v>15</v>
      </c>
      <c r="G8267" s="64" t="s">
        <v>2976</v>
      </c>
      <c r="H8267" s="64" t="s">
        <v>1875</v>
      </c>
      <c r="I8267" s="64" t="s">
        <v>3010</v>
      </c>
      <c r="J8267" s="67">
        <v>616.51</v>
      </c>
      <c r="K8267" s="62">
        <v>6713.85</v>
      </c>
      <c r="L8267" s="33" t="e">
        <f>HLOOKUP(B8267,#REF!,1,0)</f>
        <v>#REF!</v>
      </c>
      <c r="M8267" s="33" t="str">
        <f t="shared" si="519"/>
        <v>P&amp;L</v>
      </c>
    </row>
    <row r="8268" spans="1:13">
      <c r="A8268" s="33" t="str">
        <f t="shared" si="516"/>
        <v>SCL - CGS</v>
      </c>
      <c r="B8268" s="33" t="str">
        <f t="shared" si="517"/>
        <v>SCL</v>
      </c>
      <c r="C8268" s="33" t="str">
        <f t="shared" si="518"/>
        <v>56002-7380</v>
      </c>
      <c r="D8268" s="64" t="s">
        <v>9517</v>
      </c>
      <c r="E8268" s="64" t="s">
        <v>3009</v>
      </c>
      <c r="F8268" s="64" t="s">
        <v>15</v>
      </c>
      <c r="G8268" s="64" t="s">
        <v>2976</v>
      </c>
      <c r="H8268" s="64" t="s">
        <v>1875</v>
      </c>
      <c r="I8268" s="64" t="s">
        <v>3010</v>
      </c>
      <c r="J8268" s="67">
        <v>510.02</v>
      </c>
      <c r="K8268" s="62">
        <v>6160.69</v>
      </c>
      <c r="L8268" s="33" t="e">
        <f>HLOOKUP(B8268,#REF!,1,0)</f>
        <v>#REF!</v>
      </c>
      <c r="M8268" s="33" t="str">
        <f t="shared" si="519"/>
        <v>P&amp;L</v>
      </c>
    </row>
    <row r="8269" spans="1:13">
      <c r="A8269" s="33" t="str">
        <f t="shared" si="516"/>
        <v>SCL - CGS</v>
      </c>
      <c r="B8269" s="33" t="str">
        <f t="shared" si="517"/>
        <v>SCL</v>
      </c>
      <c r="C8269" s="33" t="str">
        <f t="shared" si="518"/>
        <v>56002-7381</v>
      </c>
      <c r="D8269" s="64" t="s">
        <v>9518</v>
      </c>
      <c r="E8269" s="64" t="s">
        <v>3009</v>
      </c>
      <c r="F8269" s="64" t="s">
        <v>15</v>
      </c>
      <c r="G8269" s="64" t="s">
        <v>2976</v>
      </c>
      <c r="H8269" s="64" t="s">
        <v>1875</v>
      </c>
      <c r="I8269" s="64" t="s">
        <v>3010</v>
      </c>
      <c r="J8269" s="67">
        <v>629.19</v>
      </c>
      <c r="K8269" s="62">
        <v>5602.2</v>
      </c>
      <c r="L8269" s="33" t="e">
        <f>HLOOKUP(B8269,#REF!,1,0)</f>
        <v>#REF!</v>
      </c>
      <c r="M8269" s="33" t="str">
        <f t="shared" si="519"/>
        <v>P&amp;L</v>
      </c>
    </row>
    <row r="8270" spans="1:13">
      <c r="A8270" s="33" t="str">
        <f t="shared" si="516"/>
        <v>SCL - CGS</v>
      </c>
      <c r="B8270" s="33" t="str">
        <f t="shared" si="517"/>
        <v>SCL</v>
      </c>
      <c r="C8270" s="33" t="str">
        <f t="shared" si="518"/>
        <v>56002-7383</v>
      </c>
      <c r="D8270" s="64" t="s">
        <v>9519</v>
      </c>
      <c r="E8270" s="64" t="s">
        <v>3009</v>
      </c>
      <c r="F8270" s="64" t="s">
        <v>15</v>
      </c>
      <c r="G8270" s="64" t="s">
        <v>2976</v>
      </c>
      <c r="H8270" s="64" t="s">
        <v>1875</v>
      </c>
      <c r="I8270" s="64" t="s">
        <v>3010</v>
      </c>
      <c r="J8270" s="67">
        <v>-3.96</v>
      </c>
      <c r="K8270" s="62">
        <v>-79.73</v>
      </c>
      <c r="L8270" s="33" t="e">
        <f>HLOOKUP(B8270,#REF!,1,0)</f>
        <v>#REF!</v>
      </c>
      <c r="M8270" s="33" t="str">
        <f t="shared" si="519"/>
        <v>P&amp;L</v>
      </c>
    </row>
    <row r="8271" spans="1:13">
      <c r="A8271" s="33" t="str">
        <f t="shared" si="516"/>
        <v>SCL - CGS</v>
      </c>
      <c r="B8271" s="33" t="str">
        <f t="shared" si="517"/>
        <v>SCL</v>
      </c>
      <c r="C8271" s="33" t="str">
        <f t="shared" si="518"/>
        <v>56002-7385</v>
      </c>
      <c r="D8271" s="64" t="s">
        <v>9520</v>
      </c>
      <c r="E8271" s="64" t="s">
        <v>3009</v>
      </c>
      <c r="F8271" s="64" t="s">
        <v>15</v>
      </c>
      <c r="G8271" s="64" t="s">
        <v>2976</v>
      </c>
      <c r="H8271" s="64" t="s">
        <v>1875</v>
      </c>
      <c r="I8271" s="64" t="s">
        <v>3010</v>
      </c>
      <c r="J8271" s="67">
        <v>0</v>
      </c>
      <c r="K8271" s="62">
        <v>906.22</v>
      </c>
      <c r="L8271" s="33" t="e">
        <f>HLOOKUP(B8271,#REF!,1,0)</f>
        <v>#REF!</v>
      </c>
      <c r="M8271" s="33" t="str">
        <f t="shared" si="519"/>
        <v>P&amp;L</v>
      </c>
    </row>
    <row r="8272" spans="1:13">
      <c r="A8272" s="33" t="str">
        <f t="shared" si="516"/>
        <v>SCL - CGS</v>
      </c>
      <c r="B8272" s="33" t="str">
        <f t="shared" si="517"/>
        <v>SCL</v>
      </c>
      <c r="C8272" s="33" t="str">
        <f t="shared" si="518"/>
        <v>56002-7386</v>
      </c>
      <c r="D8272" s="64" t="s">
        <v>9521</v>
      </c>
      <c r="E8272" s="64" t="s">
        <v>3009</v>
      </c>
      <c r="F8272" s="64" t="s">
        <v>15</v>
      </c>
      <c r="G8272" s="64" t="s">
        <v>2976</v>
      </c>
      <c r="H8272" s="64" t="s">
        <v>1875</v>
      </c>
      <c r="I8272" s="64" t="s">
        <v>3010</v>
      </c>
      <c r="J8272" s="67">
        <v>-2.95</v>
      </c>
      <c r="K8272" s="62">
        <v>-156.93</v>
      </c>
      <c r="L8272" s="33" t="e">
        <f>HLOOKUP(B8272,#REF!,1,0)</f>
        <v>#REF!</v>
      </c>
      <c r="M8272" s="33" t="str">
        <f t="shared" si="519"/>
        <v>P&amp;L</v>
      </c>
    </row>
    <row r="8273" spans="1:13">
      <c r="A8273" s="33" t="str">
        <f t="shared" si="516"/>
        <v>SCL - CGS</v>
      </c>
      <c r="B8273" s="33" t="str">
        <f t="shared" si="517"/>
        <v>SCL</v>
      </c>
      <c r="C8273" s="33" t="str">
        <f t="shared" si="518"/>
        <v>56002-7387</v>
      </c>
      <c r="D8273" s="64" t="s">
        <v>9522</v>
      </c>
      <c r="E8273" s="64" t="s">
        <v>3009</v>
      </c>
      <c r="F8273" s="64" t="s">
        <v>15</v>
      </c>
      <c r="G8273" s="64" t="s">
        <v>2976</v>
      </c>
      <c r="H8273" s="64" t="s">
        <v>1875</v>
      </c>
      <c r="I8273" s="64" t="s">
        <v>3010</v>
      </c>
      <c r="J8273" s="67">
        <v>-58.89</v>
      </c>
      <c r="K8273" s="62">
        <v>-483.96</v>
      </c>
      <c r="L8273" s="33" t="e">
        <f>HLOOKUP(B8273,#REF!,1,0)</f>
        <v>#REF!</v>
      </c>
      <c r="M8273" s="33" t="str">
        <f t="shared" si="519"/>
        <v>P&amp;L</v>
      </c>
    </row>
    <row r="8274" spans="1:13">
      <c r="A8274" s="33" t="str">
        <f t="shared" si="516"/>
        <v>SCL - CGS</v>
      </c>
      <c r="B8274" s="33" t="str">
        <f t="shared" si="517"/>
        <v>SCL</v>
      </c>
      <c r="C8274" s="33" t="str">
        <f t="shared" si="518"/>
        <v>56002-7389</v>
      </c>
      <c r="D8274" s="64" t="s">
        <v>9523</v>
      </c>
      <c r="E8274" s="64" t="s">
        <v>3009</v>
      </c>
      <c r="F8274" s="64" t="s">
        <v>15</v>
      </c>
      <c r="G8274" s="64" t="s">
        <v>2976</v>
      </c>
      <c r="H8274" s="64" t="s">
        <v>1875</v>
      </c>
      <c r="I8274" s="64" t="s">
        <v>3010</v>
      </c>
      <c r="J8274" s="67">
        <v>-0.04</v>
      </c>
      <c r="K8274" s="62">
        <v>1092.18</v>
      </c>
      <c r="L8274" s="33" t="e">
        <f>HLOOKUP(B8274,#REF!,1,0)</f>
        <v>#REF!</v>
      </c>
      <c r="M8274" s="33" t="str">
        <f t="shared" si="519"/>
        <v>P&amp;L</v>
      </c>
    </row>
    <row r="8275" spans="1:13">
      <c r="A8275" s="33" t="str">
        <f t="shared" si="516"/>
        <v>SCL - CGS</v>
      </c>
      <c r="B8275" s="33" t="str">
        <f t="shared" si="517"/>
        <v>SCL</v>
      </c>
      <c r="C8275" s="33" t="str">
        <f t="shared" si="518"/>
        <v>56002-7391</v>
      </c>
      <c r="D8275" s="64" t="s">
        <v>9524</v>
      </c>
      <c r="E8275" s="64" t="s">
        <v>3009</v>
      </c>
      <c r="F8275" s="64" t="s">
        <v>15</v>
      </c>
      <c r="G8275" s="64" t="s">
        <v>2976</v>
      </c>
      <c r="H8275" s="64" t="s">
        <v>1875</v>
      </c>
      <c r="I8275" s="64" t="s">
        <v>3010</v>
      </c>
      <c r="J8275" s="67">
        <v>36.25</v>
      </c>
      <c r="K8275" s="62">
        <v>-418.99</v>
      </c>
      <c r="L8275" s="33" t="e">
        <f>HLOOKUP(B8275,#REF!,1,0)</f>
        <v>#REF!</v>
      </c>
      <c r="M8275" s="33" t="str">
        <f t="shared" si="519"/>
        <v>P&amp;L</v>
      </c>
    </row>
    <row r="8276" spans="1:13">
      <c r="A8276" s="33" t="str">
        <f t="shared" si="516"/>
        <v>SCL - CGS</v>
      </c>
      <c r="B8276" s="33" t="str">
        <f t="shared" si="517"/>
        <v>SCL</v>
      </c>
      <c r="C8276" s="33" t="str">
        <f t="shared" si="518"/>
        <v>56002-7393</v>
      </c>
      <c r="D8276" s="64" t="s">
        <v>9525</v>
      </c>
      <c r="E8276" s="64" t="s">
        <v>3009</v>
      </c>
      <c r="F8276" s="64" t="s">
        <v>15</v>
      </c>
      <c r="G8276" s="64" t="s">
        <v>2976</v>
      </c>
      <c r="H8276" s="64" t="s">
        <v>1875</v>
      </c>
      <c r="I8276" s="64" t="s">
        <v>3010</v>
      </c>
      <c r="J8276" s="67">
        <v>270.18</v>
      </c>
      <c r="K8276" s="62">
        <v>2476.37</v>
      </c>
      <c r="L8276" s="33" t="e">
        <f>HLOOKUP(B8276,#REF!,1,0)</f>
        <v>#REF!</v>
      </c>
      <c r="M8276" s="33" t="str">
        <f t="shared" si="519"/>
        <v>P&amp;L</v>
      </c>
    </row>
    <row r="8277" spans="1:13">
      <c r="A8277" s="33" t="str">
        <f t="shared" si="516"/>
        <v>SCL - CGS</v>
      </c>
      <c r="B8277" s="33" t="str">
        <f t="shared" si="517"/>
        <v>SCL</v>
      </c>
      <c r="C8277" s="33" t="str">
        <f t="shared" si="518"/>
        <v>56002-7394</v>
      </c>
      <c r="D8277" s="64" t="s">
        <v>9526</v>
      </c>
      <c r="E8277" s="64" t="s">
        <v>3009</v>
      </c>
      <c r="F8277" s="64" t="s">
        <v>15</v>
      </c>
      <c r="G8277" s="64" t="s">
        <v>2976</v>
      </c>
      <c r="H8277" s="64" t="s">
        <v>1875</v>
      </c>
      <c r="I8277" s="64" t="s">
        <v>3010</v>
      </c>
      <c r="J8277" s="67">
        <v>-29.08</v>
      </c>
      <c r="K8277" s="62">
        <v>-213.31</v>
      </c>
      <c r="L8277" s="33" t="e">
        <f>HLOOKUP(B8277,#REF!,1,0)</f>
        <v>#REF!</v>
      </c>
      <c r="M8277" s="33" t="str">
        <f t="shared" si="519"/>
        <v>P&amp;L</v>
      </c>
    </row>
    <row r="8278" spans="1:13">
      <c r="A8278" s="33" t="str">
        <f t="shared" si="516"/>
        <v>SCL - CGS</v>
      </c>
      <c r="B8278" s="33" t="str">
        <f t="shared" si="517"/>
        <v>SCL</v>
      </c>
      <c r="C8278" s="33" t="str">
        <f t="shared" si="518"/>
        <v>56002-7396</v>
      </c>
      <c r="D8278" s="64" t="s">
        <v>9527</v>
      </c>
      <c r="E8278" s="64" t="s">
        <v>3009</v>
      </c>
      <c r="F8278" s="64" t="s">
        <v>15</v>
      </c>
      <c r="G8278" s="64" t="s">
        <v>2976</v>
      </c>
      <c r="H8278" s="64" t="s">
        <v>1875</v>
      </c>
      <c r="I8278" s="64" t="s">
        <v>3010</v>
      </c>
      <c r="J8278" s="67">
        <v>-78.59</v>
      </c>
      <c r="K8278" s="62">
        <v>-353.6</v>
      </c>
      <c r="L8278" s="33" t="e">
        <f>HLOOKUP(B8278,#REF!,1,0)</f>
        <v>#REF!</v>
      </c>
      <c r="M8278" s="33" t="str">
        <f t="shared" si="519"/>
        <v>P&amp;L</v>
      </c>
    </row>
    <row r="8279" spans="1:13">
      <c r="A8279" s="33" t="str">
        <f t="shared" si="516"/>
        <v>SCL - CGS</v>
      </c>
      <c r="B8279" s="33" t="str">
        <f t="shared" si="517"/>
        <v>SCL</v>
      </c>
      <c r="C8279" s="33" t="str">
        <f t="shared" si="518"/>
        <v>56002-7397</v>
      </c>
      <c r="D8279" s="64" t="s">
        <v>9528</v>
      </c>
      <c r="E8279" s="64" t="s">
        <v>3009</v>
      </c>
      <c r="F8279" s="64" t="s">
        <v>15</v>
      </c>
      <c r="G8279" s="64" t="s">
        <v>2976</v>
      </c>
      <c r="H8279" s="64" t="s">
        <v>1875</v>
      </c>
      <c r="I8279" s="64" t="s">
        <v>3010</v>
      </c>
      <c r="J8279" s="67">
        <v>0</v>
      </c>
      <c r="K8279" s="62">
        <v>1.52</v>
      </c>
      <c r="L8279" s="33" t="e">
        <f>HLOOKUP(B8279,#REF!,1,0)</f>
        <v>#REF!</v>
      </c>
      <c r="M8279" s="33" t="str">
        <f t="shared" si="519"/>
        <v>P&amp;L</v>
      </c>
    </row>
    <row r="8280" spans="1:13">
      <c r="A8280" s="33" t="str">
        <f t="shared" si="516"/>
        <v>SCL - CGS</v>
      </c>
      <c r="B8280" s="33" t="str">
        <f t="shared" si="517"/>
        <v>SCL</v>
      </c>
      <c r="C8280" s="33" t="str">
        <f t="shared" si="518"/>
        <v>56002-7398</v>
      </c>
      <c r="D8280" s="64" t="s">
        <v>9529</v>
      </c>
      <c r="E8280" s="64" t="s">
        <v>3009</v>
      </c>
      <c r="F8280" s="64" t="s">
        <v>15</v>
      </c>
      <c r="G8280" s="64" t="s">
        <v>2976</v>
      </c>
      <c r="H8280" s="64" t="s">
        <v>1875</v>
      </c>
      <c r="I8280" s="64" t="s">
        <v>3010</v>
      </c>
      <c r="J8280" s="67">
        <v>-14.98</v>
      </c>
      <c r="K8280" s="62">
        <v>-250.09</v>
      </c>
      <c r="L8280" s="33" t="e">
        <f>HLOOKUP(B8280,#REF!,1,0)</f>
        <v>#REF!</v>
      </c>
      <c r="M8280" s="33" t="str">
        <f t="shared" si="519"/>
        <v>P&amp;L</v>
      </c>
    </row>
    <row r="8281" spans="1:13">
      <c r="A8281" s="33" t="str">
        <f t="shared" si="516"/>
        <v>SCL - CGS</v>
      </c>
      <c r="B8281" s="33" t="str">
        <f t="shared" si="517"/>
        <v>SCL</v>
      </c>
      <c r="C8281" s="33" t="str">
        <f t="shared" si="518"/>
        <v>56002-7400</v>
      </c>
      <c r="D8281" s="64" t="s">
        <v>9530</v>
      </c>
      <c r="E8281" s="64" t="s">
        <v>3009</v>
      </c>
      <c r="F8281" s="64" t="s">
        <v>15</v>
      </c>
      <c r="G8281" s="64" t="s">
        <v>2976</v>
      </c>
      <c r="H8281" s="64" t="s">
        <v>1875</v>
      </c>
      <c r="I8281" s="64" t="s">
        <v>3010</v>
      </c>
      <c r="J8281" s="67">
        <v>1.34</v>
      </c>
      <c r="K8281" s="62">
        <v>-277.48</v>
      </c>
      <c r="L8281" s="33" t="e">
        <f>HLOOKUP(B8281,#REF!,1,0)</f>
        <v>#REF!</v>
      </c>
      <c r="M8281" s="33" t="str">
        <f t="shared" si="519"/>
        <v>P&amp;L</v>
      </c>
    </row>
    <row r="8282" spans="1:13">
      <c r="A8282" s="33" t="str">
        <f t="shared" si="516"/>
        <v>SCL - CGS</v>
      </c>
      <c r="B8282" s="33" t="str">
        <f t="shared" si="517"/>
        <v>SCL</v>
      </c>
      <c r="C8282" s="33" t="str">
        <f t="shared" si="518"/>
        <v>56002-7401</v>
      </c>
      <c r="D8282" s="64" t="s">
        <v>9531</v>
      </c>
      <c r="E8282" s="64" t="s">
        <v>3009</v>
      </c>
      <c r="F8282" s="64" t="s">
        <v>15</v>
      </c>
      <c r="G8282" s="64" t="s">
        <v>2976</v>
      </c>
      <c r="H8282" s="64" t="s">
        <v>1875</v>
      </c>
      <c r="I8282" s="64" t="s">
        <v>3010</v>
      </c>
      <c r="J8282" s="67">
        <v>5.69</v>
      </c>
      <c r="K8282" s="62">
        <v>-12.01</v>
      </c>
      <c r="L8282" s="33" t="e">
        <f>HLOOKUP(B8282,#REF!,1,0)</f>
        <v>#REF!</v>
      </c>
      <c r="M8282" s="33" t="str">
        <f t="shared" si="519"/>
        <v>P&amp;L</v>
      </c>
    </row>
    <row r="8283" spans="1:13">
      <c r="A8283" s="33" t="str">
        <f t="shared" si="516"/>
        <v>SCL - CGS</v>
      </c>
      <c r="B8283" s="33" t="str">
        <f t="shared" si="517"/>
        <v>SCL</v>
      </c>
      <c r="C8283" s="33" t="str">
        <f t="shared" si="518"/>
        <v>56002-7402</v>
      </c>
      <c r="D8283" s="64" t="s">
        <v>9532</v>
      </c>
      <c r="E8283" s="64" t="s">
        <v>3009</v>
      </c>
      <c r="F8283" s="64" t="s">
        <v>15</v>
      </c>
      <c r="G8283" s="64" t="s">
        <v>2976</v>
      </c>
      <c r="H8283" s="64" t="s">
        <v>1875</v>
      </c>
      <c r="I8283" s="64" t="s">
        <v>3010</v>
      </c>
      <c r="J8283" s="67">
        <v>0</v>
      </c>
      <c r="K8283" s="62">
        <v>0</v>
      </c>
      <c r="L8283" s="33" t="e">
        <f>HLOOKUP(B8283,#REF!,1,0)</f>
        <v>#REF!</v>
      </c>
      <c r="M8283" s="33" t="str">
        <f t="shared" si="519"/>
        <v>P&amp;L</v>
      </c>
    </row>
    <row r="8284" spans="1:13">
      <c r="A8284" s="33" t="str">
        <f t="shared" si="516"/>
        <v>SCL - CGS</v>
      </c>
      <c r="B8284" s="33" t="str">
        <f t="shared" si="517"/>
        <v>SCL</v>
      </c>
      <c r="C8284" s="33" t="str">
        <f t="shared" si="518"/>
        <v>56002-7403</v>
      </c>
      <c r="D8284" s="64" t="s">
        <v>9533</v>
      </c>
      <c r="E8284" s="64" t="s">
        <v>3009</v>
      </c>
      <c r="F8284" s="64" t="s">
        <v>15</v>
      </c>
      <c r="G8284" s="64" t="s">
        <v>2976</v>
      </c>
      <c r="H8284" s="64" t="s">
        <v>1875</v>
      </c>
      <c r="I8284" s="64" t="s">
        <v>3010</v>
      </c>
      <c r="J8284" s="67">
        <v>-47.56</v>
      </c>
      <c r="K8284" s="62">
        <v>-361.59</v>
      </c>
      <c r="L8284" s="33" t="e">
        <f>HLOOKUP(B8284,#REF!,1,0)</f>
        <v>#REF!</v>
      </c>
      <c r="M8284" s="33" t="str">
        <f t="shared" si="519"/>
        <v>P&amp;L</v>
      </c>
    </row>
    <row r="8285" spans="1:13">
      <c r="A8285" s="33" t="str">
        <f t="shared" si="516"/>
        <v>SCL - CGS</v>
      </c>
      <c r="B8285" s="33" t="str">
        <f t="shared" si="517"/>
        <v>SCL</v>
      </c>
      <c r="C8285" s="33" t="str">
        <f t="shared" si="518"/>
        <v>56002-7489</v>
      </c>
      <c r="D8285" s="64" t="s">
        <v>9534</v>
      </c>
      <c r="E8285" s="64" t="s">
        <v>3009</v>
      </c>
      <c r="F8285" s="64" t="s">
        <v>15</v>
      </c>
      <c r="G8285" s="64" t="s">
        <v>2976</v>
      </c>
      <c r="H8285" s="64" t="s">
        <v>1875</v>
      </c>
      <c r="I8285" s="64" t="s">
        <v>3010</v>
      </c>
      <c r="J8285" s="67">
        <v>-255.23</v>
      </c>
      <c r="K8285" s="62">
        <v>-2530.59</v>
      </c>
      <c r="L8285" s="33" t="e">
        <f>HLOOKUP(B8285,#REF!,1,0)</f>
        <v>#REF!</v>
      </c>
      <c r="M8285" s="33" t="str">
        <f t="shared" si="519"/>
        <v>P&amp;L</v>
      </c>
    </row>
    <row r="8286" spans="1:13">
      <c r="A8286" s="33" t="str">
        <f t="shared" si="516"/>
        <v>SCL - CGS</v>
      </c>
      <c r="B8286" s="33" t="str">
        <f t="shared" si="517"/>
        <v>SCL</v>
      </c>
      <c r="C8286" s="33" t="str">
        <f t="shared" si="518"/>
        <v>56002-7491</v>
      </c>
      <c r="D8286" s="64" t="s">
        <v>9535</v>
      </c>
      <c r="E8286" s="64" t="s">
        <v>3009</v>
      </c>
      <c r="F8286" s="64" t="s">
        <v>15</v>
      </c>
      <c r="G8286" s="64" t="s">
        <v>2976</v>
      </c>
      <c r="H8286" s="64" t="s">
        <v>1875</v>
      </c>
      <c r="I8286" s="64" t="s">
        <v>3010</v>
      </c>
      <c r="J8286" s="67">
        <v>38.09</v>
      </c>
      <c r="K8286" s="62">
        <v>-184.94</v>
      </c>
      <c r="L8286" s="33" t="e">
        <f>HLOOKUP(B8286,#REF!,1,0)</f>
        <v>#REF!</v>
      </c>
      <c r="M8286" s="33" t="str">
        <f t="shared" si="519"/>
        <v>P&amp;L</v>
      </c>
    </row>
    <row r="8287" spans="1:13">
      <c r="A8287" s="33" t="str">
        <f t="shared" si="516"/>
        <v>SCL - CGS</v>
      </c>
      <c r="B8287" s="33" t="str">
        <f t="shared" si="517"/>
        <v>SCL</v>
      </c>
      <c r="C8287" s="33" t="str">
        <f t="shared" si="518"/>
        <v>56002-7492</v>
      </c>
      <c r="D8287" s="64" t="s">
        <v>9536</v>
      </c>
      <c r="E8287" s="64" t="s">
        <v>3009</v>
      </c>
      <c r="F8287" s="64" t="s">
        <v>15</v>
      </c>
      <c r="G8287" s="64" t="s">
        <v>2976</v>
      </c>
      <c r="H8287" s="64" t="s">
        <v>1875</v>
      </c>
      <c r="I8287" s="64" t="s">
        <v>3010</v>
      </c>
      <c r="J8287" s="67">
        <v>100</v>
      </c>
      <c r="K8287" s="62">
        <v>-384.8</v>
      </c>
      <c r="L8287" s="33" t="e">
        <f>HLOOKUP(B8287,#REF!,1,0)</f>
        <v>#REF!</v>
      </c>
      <c r="M8287" s="33" t="str">
        <f t="shared" si="519"/>
        <v>P&amp;L</v>
      </c>
    </row>
    <row r="8288" spans="1:13">
      <c r="A8288" s="33" t="str">
        <f t="shared" si="516"/>
        <v>SCL - CGS</v>
      </c>
      <c r="B8288" s="33" t="str">
        <f t="shared" si="517"/>
        <v>SCL</v>
      </c>
      <c r="C8288" s="33" t="str">
        <f t="shared" si="518"/>
        <v>56002-7493</v>
      </c>
      <c r="D8288" s="64" t="s">
        <v>9537</v>
      </c>
      <c r="E8288" s="64" t="s">
        <v>3009</v>
      </c>
      <c r="F8288" s="64" t="s">
        <v>15</v>
      </c>
      <c r="G8288" s="64" t="s">
        <v>2976</v>
      </c>
      <c r="H8288" s="64" t="s">
        <v>1875</v>
      </c>
      <c r="I8288" s="64" t="s">
        <v>3010</v>
      </c>
      <c r="J8288" s="67">
        <v>446.81</v>
      </c>
      <c r="K8288" s="62">
        <v>4993.39</v>
      </c>
      <c r="L8288" s="33" t="e">
        <f>HLOOKUP(B8288,#REF!,1,0)</f>
        <v>#REF!</v>
      </c>
      <c r="M8288" s="33" t="str">
        <f t="shared" si="519"/>
        <v>P&amp;L</v>
      </c>
    </row>
    <row r="8289" spans="1:13">
      <c r="A8289" s="33" t="str">
        <f t="shared" si="516"/>
        <v>SCL - CGS</v>
      </c>
      <c r="B8289" s="33" t="str">
        <f t="shared" si="517"/>
        <v>SCL</v>
      </c>
      <c r="C8289" s="33" t="str">
        <f t="shared" si="518"/>
        <v>56002-7494</v>
      </c>
      <c r="D8289" s="64" t="s">
        <v>9538</v>
      </c>
      <c r="E8289" s="64" t="s">
        <v>3009</v>
      </c>
      <c r="F8289" s="64" t="s">
        <v>15</v>
      </c>
      <c r="G8289" s="64" t="s">
        <v>2976</v>
      </c>
      <c r="H8289" s="64" t="s">
        <v>1875</v>
      </c>
      <c r="I8289" s="64" t="s">
        <v>3010</v>
      </c>
      <c r="J8289" s="67">
        <v>2.07</v>
      </c>
      <c r="K8289" s="62">
        <v>-195.49</v>
      </c>
      <c r="L8289" s="33" t="e">
        <f>HLOOKUP(B8289,#REF!,1,0)</f>
        <v>#REF!</v>
      </c>
      <c r="M8289" s="33" t="str">
        <f t="shared" si="519"/>
        <v>P&amp;L</v>
      </c>
    </row>
    <row r="8290" spans="1:13">
      <c r="A8290" s="33" t="str">
        <f t="shared" si="516"/>
        <v>SCL - CGS</v>
      </c>
      <c r="B8290" s="33" t="str">
        <f t="shared" si="517"/>
        <v>SCL</v>
      </c>
      <c r="C8290" s="33" t="str">
        <f t="shared" si="518"/>
        <v>56002-7625</v>
      </c>
      <c r="D8290" s="64" t="s">
        <v>9539</v>
      </c>
      <c r="E8290" s="64" t="s">
        <v>3009</v>
      </c>
      <c r="F8290" s="64" t="s">
        <v>15</v>
      </c>
      <c r="G8290" s="64" t="s">
        <v>2976</v>
      </c>
      <c r="H8290" s="64" t="s">
        <v>1875</v>
      </c>
      <c r="I8290" s="64" t="s">
        <v>3010</v>
      </c>
      <c r="J8290" s="67">
        <v>-130.66</v>
      </c>
      <c r="K8290" s="62">
        <v>-2670.7</v>
      </c>
      <c r="L8290" s="33" t="e">
        <f>HLOOKUP(B8290,#REF!,1,0)</f>
        <v>#REF!</v>
      </c>
      <c r="M8290" s="33" t="str">
        <f t="shared" si="519"/>
        <v>P&amp;L</v>
      </c>
    </row>
    <row r="8291" spans="1:13">
      <c r="A8291" s="33" t="str">
        <f t="shared" si="516"/>
        <v>SCL - CGS</v>
      </c>
      <c r="B8291" s="33" t="str">
        <f t="shared" si="517"/>
        <v>SCL</v>
      </c>
      <c r="C8291" s="33" t="str">
        <f t="shared" si="518"/>
        <v>56002-8150</v>
      </c>
      <c r="D8291" s="64" t="s">
        <v>9540</v>
      </c>
      <c r="E8291" s="64" t="s">
        <v>3009</v>
      </c>
      <c r="F8291" s="64" t="s">
        <v>15</v>
      </c>
      <c r="G8291" s="64" t="s">
        <v>2976</v>
      </c>
      <c r="H8291" s="64" t="s">
        <v>1875</v>
      </c>
      <c r="I8291" s="64" t="s">
        <v>3010</v>
      </c>
      <c r="J8291" s="67">
        <v>-22.63</v>
      </c>
      <c r="K8291" s="62">
        <v>194.56</v>
      </c>
      <c r="L8291" s="33" t="e">
        <f>HLOOKUP(B8291,#REF!,1,0)</f>
        <v>#REF!</v>
      </c>
      <c r="M8291" s="33" t="str">
        <f t="shared" si="519"/>
        <v>P&amp;L</v>
      </c>
    </row>
    <row r="8292" spans="1:13">
      <c r="A8292" s="33" t="str">
        <f t="shared" si="516"/>
        <v>SCL - CGS</v>
      </c>
      <c r="B8292" s="33" t="str">
        <f t="shared" si="517"/>
        <v>SCL</v>
      </c>
      <c r="C8292" s="33" t="str">
        <f t="shared" si="518"/>
        <v>56050-0000</v>
      </c>
      <c r="D8292" s="64" t="s">
        <v>9541</v>
      </c>
      <c r="E8292" s="64" t="s">
        <v>3016</v>
      </c>
      <c r="F8292" s="64" t="s">
        <v>15</v>
      </c>
      <c r="G8292" s="64" t="s">
        <v>3017</v>
      </c>
      <c r="H8292" s="64" t="s">
        <v>1875</v>
      </c>
      <c r="I8292" s="64" t="s">
        <v>3018</v>
      </c>
      <c r="J8292" s="67">
        <v>-1017.37</v>
      </c>
      <c r="K8292" s="62">
        <v>-15826.86</v>
      </c>
      <c r="L8292" s="33" t="e">
        <f>HLOOKUP(B8292,#REF!,1,0)</f>
        <v>#REF!</v>
      </c>
      <c r="M8292" s="33" t="str">
        <f t="shared" si="519"/>
        <v>P&amp;L</v>
      </c>
    </row>
    <row r="8293" spans="1:13">
      <c r="A8293" s="33" t="str">
        <f t="shared" si="516"/>
        <v>SCL - Operating Expense</v>
      </c>
      <c r="B8293" s="33" t="str">
        <f t="shared" si="517"/>
        <v>SCL</v>
      </c>
      <c r="C8293" s="33" t="str">
        <f t="shared" si="518"/>
        <v>60001-7351</v>
      </c>
      <c r="D8293" s="64" t="s">
        <v>9542</v>
      </c>
      <c r="E8293" s="64" t="s">
        <v>3020</v>
      </c>
      <c r="F8293" s="64" t="s">
        <v>15</v>
      </c>
      <c r="G8293" s="64" t="s">
        <v>3021</v>
      </c>
      <c r="H8293" s="64" t="s">
        <v>3022</v>
      </c>
      <c r="I8293" s="64" t="s">
        <v>3023</v>
      </c>
      <c r="J8293" s="67">
        <v>-27.37</v>
      </c>
      <c r="K8293" s="62">
        <v>108.21</v>
      </c>
      <c r="L8293" s="33" t="e">
        <f>HLOOKUP(B8293,#REF!,1,0)</f>
        <v>#REF!</v>
      </c>
      <c r="M8293" s="33" t="str">
        <f t="shared" si="519"/>
        <v>P&amp;L</v>
      </c>
    </row>
    <row r="8294" spans="1:13">
      <c r="A8294" s="33" t="str">
        <f t="shared" si="516"/>
        <v>SCL - Operating Expense</v>
      </c>
      <c r="B8294" s="33" t="str">
        <f t="shared" si="517"/>
        <v>SCL</v>
      </c>
      <c r="C8294" s="33" t="str">
        <f t="shared" si="518"/>
        <v>60001-7352</v>
      </c>
      <c r="D8294" s="64" t="s">
        <v>9543</v>
      </c>
      <c r="E8294" s="64" t="s">
        <v>3020</v>
      </c>
      <c r="F8294" s="64" t="s">
        <v>15</v>
      </c>
      <c r="G8294" s="64" t="s">
        <v>3021</v>
      </c>
      <c r="H8294" s="64" t="s">
        <v>3022</v>
      </c>
      <c r="I8294" s="64" t="s">
        <v>3023</v>
      </c>
      <c r="J8294" s="67">
        <v>-25.66</v>
      </c>
      <c r="K8294" s="62">
        <v>340.84</v>
      </c>
      <c r="L8294" s="33" t="e">
        <f>HLOOKUP(B8294,#REF!,1,0)</f>
        <v>#REF!</v>
      </c>
      <c r="M8294" s="33" t="str">
        <f t="shared" si="519"/>
        <v>P&amp;L</v>
      </c>
    </row>
    <row r="8295" spans="1:13">
      <c r="A8295" s="33" t="str">
        <f t="shared" si="516"/>
        <v>SCL - Operating Expense</v>
      </c>
      <c r="B8295" s="33" t="str">
        <f t="shared" si="517"/>
        <v>SCL</v>
      </c>
      <c r="C8295" s="33" t="str">
        <f t="shared" si="518"/>
        <v>60001-7355</v>
      </c>
      <c r="D8295" s="64" t="s">
        <v>9544</v>
      </c>
      <c r="E8295" s="64" t="s">
        <v>3020</v>
      </c>
      <c r="F8295" s="64" t="s">
        <v>15</v>
      </c>
      <c r="G8295" s="64" t="s">
        <v>3021</v>
      </c>
      <c r="H8295" s="64" t="s">
        <v>3022</v>
      </c>
      <c r="I8295" s="64" t="s">
        <v>3023</v>
      </c>
      <c r="J8295" s="67">
        <v>-88.38</v>
      </c>
      <c r="K8295" s="62">
        <v>-47.64</v>
      </c>
      <c r="L8295" s="33" t="e">
        <f>HLOOKUP(B8295,#REF!,1,0)</f>
        <v>#REF!</v>
      </c>
      <c r="M8295" s="33" t="str">
        <f t="shared" si="519"/>
        <v>P&amp;L</v>
      </c>
    </row>
    <row r="8296" spans="1:13">
      <c r="A8296" s="33" t="str">
        <f t="shared" si="516"/>
        <v>SCL - Operating Expense</v>
      </c>
      <c r="B8296" s="33" t="str">
        <f t="shared" si="517"/>
        <v>SCL</v>
      </c>
      <c r="C8296" s="33" t="str">
        <f t="shared" si="518"/>
        <v>60001-7356</v>
      </c>
      <c r="D8296" s="64" t="s">
        <v>9545</v>
      </c>
      <c r="E8296" s="64" t="s">
        <v>3020</v>
      </c>
      <c r="F8296" s="64" t="s">
        <v>15</v>
      </c>
      <c r="G8296" s="64" t="s">
        <v>3021</v>
      </c>
      <c r="H8296" s="64" t="s">
        <v>3022</v>
      </c>
      <c r="I8296" s="64" t="s">
        <v>3023</v>
      </c>
      <c r="J8296" s="67">
        <v>0</v>
      </c>
      <c r="K8296" s="62">
        <v>-536.9</v>
      </c>
      <c r="L8296" s="33" t="e">
        <f>HLOOKUP(B8296,#REF!,1,0)</f>
        <v>#REF!</v>
      </c>
      <c r="M8296" s="33" t="str">
        <f t="shared" si="519"/>
        <v>P&amp;L</v>
      </c>
    </row>
    <row r="8297" spans="1:13">
      <c r="A8297" s="33" t="str">
        <f t="shared" si="516"/>
        <v>SCL - Operating Expense</v>
      </c>
      <c r="B8297" s="33" t="str">
        <f t="shared" si="517"/>
        <v>SCL</v>
      </c>
      <c r="C8297" s="33" t="str">
        <f t="shared" si="518"/>
        <v>60001-7359</v>
      </c>
      <c r="D8297" s="64" t="s">
        <v>9546</v>
      </c>
      <c r="E8297" s="64" t="s">
        <v>3020</v>
      </c>
      <c r="F8297" s="64" t="s">
        <v>15</v>
      </c>
      <c r="G8297" s="64" t="s">
        <v>3021</v>
      </c>
      <c r="H8297" s="64" t="s">
        <v>3022</v>
      </c>
      <c r="I8297" s="64" t="s">
        <v>3023</v>
      </c>
      <c r="J8297" s="67">
        <v>35.93</v>
      </c>
      <c r="K8297" s="62">
        <v>289.76</v>
      </c>
      <c r="L8297" s="33" t="e">
        <f>HLOOKUP(B8297,#REF!,1,0)</f>
        <v>#REF!</v>
      </c>
      <c r="M8297" s="33" t="str">
        <f t="shared" si="519"/>
        <v>P&amp;L</v>
      </c>
    </row>
    <row r="8298" spans="1:13">
      <c r="A8298" s="33" t="str">
        <f t="shared" si="516"/>
        <v>SCL - Operating Expense</v>
      </c>
      <c r="B8298" s="33" t="str">
        <f t="shared" si="517"/>
        <v>SCL</v>
      </c>
      <c r="C8298" s="33" t="str">
        <f t="shared" si="518"/>
        <v>60001-7360</v>
      </c>
      <c r="D8298" s="64" t="s">
        <v>9547</v>
      </c>
      <c r="E8298" s="64" t="s">
        <v>3020</v>
      </c>
      <c r="F8298" s="64" t="s">
        <v>15</v>
      </c>
      <c r="G8298" s="64" t="s">
        <v>3021</v>
      </c>
      <c r="H8298" s="64" t="s">
        <v>3022</v>
      </c>
      <c r="I8298" s="64" t="s">
        <v>3023</v>
      </c>
      <c r="J8298" s="67">
        <v>481.13</v>
      </c>
      <c r="K8298" s="62">
        <v>2592.33</v>
      </c>
      <c r="L8298" s="33" t="e">
        <f>HLOOKUP(B8298,#REF!,1,0)</f>
        <v>#REF!</v>
      </c>
      <c r="M8298" s="33" t="str">
        <f t="shared" si="519"/>
        <v>P&amp;L</v>
      </c>
    </row>
    <row r="8299" spans="1:13">
      <c r="A8299" s="33" t="str">
        <f t="shared" si="516"/>
        <v>SCL - Operating Expense</v>
      </c>
      <c r="B8299" s="33" t="str">
        <f t="shared" si="517"/>
        <v>SCL</v>
      </c>
      <c r="C8299" s="33" t="str">
        <f t="shared" si="518"/>
        <v>60001-7361</v>
      </c>
      <c r="D8299" s="64" t="s">
        <v>9548</v>
      </c>
      <c r="E8299" s="64" t="s">
        <v>3020</v>
      </c>
      <c r="F8299" s="64" t="s">
        <v>15</v>
      </c>
      <c r="G8299" s="64" t="s">
        <v>3021</v>
      </c>
      <c r="H8299" s="64" t="s">
        <v>3022</v>
      </c>
      <c r="I8299" s="64" t="s">
        <v>3023</v>
      </c>
      <c r="J8299" s="67">
        <v>13.7</v>
      </c>
      <c r="K8299" s="62">
        <v>-67.98</v>
      </c>
      <c r="L8299" s="33" t="e">
        <f>HLOOKUP(B8299,#REF!,1,0)</f>
        <v>#REF!</v>
      </c>
      <c r="M8299" s="33" t="str">
        <f t="shared" si="519"/>
        <v>P&amp;L</v>
      </c>
    </row>
    <row r="8300" spans="1:13">
      <c r="A8300" s="33" t="str">
        <f t="shared" si="516"/>
        <v>SCL - Operating Expense</v>
      </c>
      <c r="B8300" s="33" t="str">
        <f t="shared" si="517"/>
        <v>SCL</v>
      </c>
      <c r="C8300" s="33" t="str">
        <f t="shared" si="518"/>
        <v>60001-7362</v>
      </c>
      <c r="D8300" s="64" t="s">
        <v>9549</v>
      </c>
      <c r="E8300" s="64" t="s">
        <v>3020</v>
      </c>
      <c r="F8300" s="64" t="s">
        <v>15</v>
      </c>
      <c r="G8300" s="64" t="s">
        <v>3021</v>
      </c>
      <c r="H8300" s="64" t="s">
        <v>3022</v>
      </c>
      <c r="I8300" s="64" t="s">
        <v>3023</v>
      </c>
      <c r="J8300" s="67">
        <v>33.07</v>
      </c>
      <c r="K8300" s="62">
        <v>530.32</v>
      </c>
      <c r="L8300" s="33" t="e">
        <f>HLOOKUP(B8300,#REF!,1,0)</f>
        <v>#REF!</v>
      </c>
      <c r="M8300" s="33" t="str">
        <f t="shared" si="519"/>
        <v>P&amp;L</v>
      </c>
    </row>
    <row r="8301" spans="1:13">
      <c r="A8301" s="33" t="str">
        <f t="shared" si="516"/>
        <v>SCL - Operating Expense</v>
      </c>
      <c r="B8301" s="33" t="str">
        <f t="shared" si="517"/>
        <v>SCL</v>
      </c>
      <c r="C8301" s="33" t="str">
        <f t="shared" si="518"/>
        <v>60001-7363</v>
      </c>
      <c r="D8301" s="64" t="s">
        <v>9550</v>
      </c>
      <c r="E8301" s="64" t="s">
        <v>3020</v>
      </c>
      <c r="F8301" s="64" t="s">
        <v>15</v>
      </c>
      <c r="G8301" s="64" t="s">
        <v>3021</v>
      </c>
      <c r="H8301" s="64" t="s">
        <v>3022</v>
      </c>
      <c r="I8301" s="64" t="s">
        <v>3023</v>
      </c>
      <c r="J8301" s="67">
        <v>89.82</v>
      </c>
      <c r="K8301" s="62">
        <v>702.48</v>
      </c>
      <c r="L8301" s="33" t="e">
        <f>HLOOKUP(B8301,#REF!,1,0)</f>
        <v>#REF!</v>
      </c>
      <c r="M8301" s="33" t="str">
        <f t="shared" si="519"/>
        <v>P&amp;L</v>
      </c>
    </row>
    <row r="8302" spans="1:13">
      <c r="A8302" s="33" t="str">
        <f t="shared" si="516"/>
        <v>SCL - Operating Expense</v>
      </c>
      <c r="B8302" s="33" t="str">
        <f t="shared" si="517"/>
        <v>SCL</v>
      </c>
      <c r="C8302" s="33" t="str">
        <f t="shared" si="518"/>
        <v>60001-7364</v>
      </c>
      <c r="D8302" s="64" t="s">
        <v>9551</v>
      </c>
      <c r="E8302" s="64" t="s">
        <v>3020</v>
      </c>
      <c r="F8302" s="64" t="s">
        <v>15</v>
      </c>
      <c r="G8302" s="64" t="s">
        <v>3021</v>
      </c>
      <c r="H8302" s="64" t="s">
        <v>3022</v>
      </c>
      <c r="I8302" s="64" t="s">
        <v>3023</v>
      </c>
      <c r="J8302" s="67">
        <v>20.07</v>
      </c>
      <c r="K8302" s="62">
        <v>305.15</v>
      </c>
      <c r="L8302" s="33" t="e">
        <f>HLOOKUP(B8302,#REF!,1,0)</f>
        <v>#REF!</v>
      </c>
      <c r="M8302" s="33" t="str">
        <f t="shared" si="519"/>
        <v>P&amp;L</v>
      </c>
    </row>
    <row r="8303" spans="1:13">
      <c r="A8303" s="33" t="str">
        <f t="shared" si="516"/>
        <v>SCL - Operating Expense</v>
      </c>
      <c r="B8303" s="33" t="str">
        <f t="shared" si="517"/>
        <v>SCL</v>
      </c>
      <c r="C8303" s="33" t="str">
        <f t="shared" si="518"/>
        <v>60001-7365</v>
      </c>
      <c r="D8303" s="64" t="s">
        <v>9552</v>
      </c>
      <c r="E8303" s="64" t="s">
        <v>3020</v>
      </c>
      <c r="F8303" s="64" t="s">
        <v>15</v>
      </c>
      <c r="G8303" s="64" t="s">
        <v>3021</v>
      </c>
      <c r="H8303" s="64" t="s">
        <v>3022</v>
      </c>
      <c r="I8303" s="64" t="s">
        <v>3023</v>
      </c>
      <c r="J8303" s="67">
        <v>217.92</v>
      </c>
      <c r="K8303" s="62">
        <v>2381.18</v>
      </c>
      <c r="L8303" s="33" t="e">
        <f>HLOOKUP(B8303,#REF!,1,0)</f>
        <v>#REF!</v>
      </c>
      <c r="M8303" s="33" t="str">
        <f t="shared" si="519"/>
        <v>P&amp;L</v>
      </c>
    </row>
    <row r="8304" spans="1:13">
      <c r="A8304" s="33" t="str">
        <f t="shared" si="516"/>
        <v>SCL - Operating Expense</v>
      </c>
      <c r="B8304" s="33" t="str">
        <f t="shared" si="517"/>
        <v>SCL</v>
      </c>
      <c r="C8304" s="33" t="str">
        <f t="shared" si="518"/>
        <v>60001-7366</v>
      </c>
      <c r="D8304" s="64" t="s">
        <v>9553</v>
      </c>
      <c r="E8304" s="64" t="s">
        <v>3020</v>
      </c>
      <c r="F8304" s="64" t="s">
        <v>15</v>
      </c>
      <c r="G8304" s="64" t="s">
        <v>3021</v>
      </c>
      <c r="H8304" s="64" t="s">
        <v>3022</v>
      </c>
      <c r="I8304" s="64" t="s">
        <v>3023</v>
      </c>
      <c r="J8304" s="67">
        <v>226.35</v>
      </c>
      <c r="K8304" s="62">
        <v>640.57</v>
      </c>
      <c r="L8304" s="33" t="e">
        <f>HLOOKUP(B8304,#REF!,1,0)</f>
        <v>#REF!</v>
      </c>
      <c r="M8304" s="33" t="str">
        <f t="shared" si="519"/>
        <v>P&amp;L</v>
      </c>
    </row>
    <row r="8305" spans="1:13">
      <c r="A8305" s="33" t="str">
        <f t="shared" si="516"/>
        <v>SCL - Operating Expense</v>
      </c>
      <c r="B8305" s="33" t="str">
        <f t="shared" si="517"/>
        <v>SCL</v>
      </c>
      <c r="C8305" s="33" t="str">
        <f t="shared" si="518"/>
        <v>60001-7368</v>
      </c>
      <c r="D8305" s="64" t="s">
        <v>9554</v>
      </c>
      <c r="E8305" s="64" t="s">
        <v>3020</v>
      </c>
      <c r="F8305" s="64" t="s">
        <v>15</v>
      </c>
      <c r="G8305" s="64" t="s">
        <v>3021</v>
      </c>
      <c r="H8305" s="64" t="s">
        <v>3022</v>
      </c>
      <c r="I8305" s="64" t="s">
        <v>3023</v>
      </c>
      <c r="J8305" s="67">
        <v>77.19</v>
      </c>
      <c r="K8305" s="62">
        <v>884.22</v>
      </c>
      <c r="L8305" s="33" t="e">
        <f>HLOOKUP(B8305,#REF!,1,0)</f>
        <v>#REF!</v>
      </c>
      <c r="M8305" s="33" t="str">
        <f t="shared" si="519"/>
        <v>P&amp;L</v>
      </c>
    </row>
    <row r="8306" spans="1:13">
      <c r="A8306" s="33" t="str">
        <f t="shared" si="516"/>
        <v>SCL - Operating Expense</v>
      </c>
      <c r="B8306" s="33" t="str">
        <f t="shared" si="517"/>
        <v>SCL</v>
      </c>
      <c r="C8306" s="33" t="str">
        <f t="shared" si="518"/>
        <v>60001-7369</v>
      </c>
      <c r="D8306" s="64" t="s">
        <v>9555</v>
      </c>
      <c r="E8306" s="64" t="s">
        <v>3020</v>
      </c>
      <c r="F8306" s="64" t="s">
        <v>15</v>
      </c>
      <c r="G8306" s="64" t="s">
        <v>3021</v>
      </c>
      <c r="H8306" s="64" t="s">
        <v>3022</v>
      </c>
      <c r="I8306" s="64" t="s">
        <v>3023</v>
      </c>
      <c r="J8306" s="67">
        <v>-15.12</v>
      </c>
      <c r="K8306" s="62">
        <v>1571.31</v>
      </c>
      <c r="L8306" s="33" t="e">
        <f>HLOOKUP(B8306,#REF!,1,0)</f>
        <v>#REF!</v>
      </c>
      <c r="M8306" s="33" t="str">
        <f t="shared" si="519"/>
        <v>P&amp;L</v>
      </c>
    </row>
    <row r="8307" spans="1:13">
      <c r="A8307" s="33" t="str">
        <f t="shared" si="516"/>
        <v>SCL - Operating Expense</v>
      </c>
      <c r="B8307" s="33" t="str">
        <f t="shared" si="517"/>
        <v>SCL</v>
      </c>
      <c r="C8307" s="33" t="str">
        <f t="shared" si="518"/>
        <v>60001-7370</v>
      </c>
      <c r="D8307" s="64" t="s">
        <v>9556</v>
      </c>
      <c r="E8307" s="64" t="s">
        <v>3020</v>
      </c>
      <c r="F8307" s="64" t="s">
        <v>15</v>
      </c>
      <c r="G8307" s="64" t="s">
        <v>3021</v>
      </c>
      <c r="H8307" s="64" t="s">
        <v>3022</v>
      </c>
      <c r="I8307" s="64" t="s">
        <v>3023</v>
      </c>
      <c r="J8307" s="67">
        <v>0</v>
      </c>
      <c r="K8307" s="62">
        <v>0</v>
      </c>
      <c r="L8307" s="33" t="e">
        <f>HLOOKUP(B8307,#REF!,1,0)</f>
        <v>#REF!</v>
      </c>
      <c r="M8307" s="33" t="str">
        <f t="shared" si="519"/>
        <v>P&amp;L</v>
      </c>
    </row>
    <row r="8308" spans="1:13">
      <c r="A8308" s="33" t="str">
        <f t="shared" si="516"/>
        <v>SCL - Operating Expense</v>
      </c>
      <c r="B8308" s="33" t="str">
        <f t="shared" si="517"/>
        <v>SCL</v>
      </c>
      <c r="C8308" s="33" t="str">
        <f t="shared" si="518"/>
        <v>60001-7371</v>
      </c>
      <c r="D8308" s="64" t="s">
        <v>9557</v>
      </c>
      <c r="E8308" s="64" t="s">
        <v>3020</v>
      </c>
      <c r="F8308" s="64" t="s">
        <v>15</v>
      </c>
      <c r="G8308" s="64" t="s">
        <v>3021</v>
      </c>
      <c r="H8308" s="64" t="s">
        <v>3022</v>
      </c>
      <c r="I8308" s="64" t="s">
        <v>3023</v>
      </c>
      <c r="J8308" s="67">
        <v>11.07</v>
      </c>
      <c r="K8308" s="62">
        <v>529.9</v>
      </c>
      <c r="L8308" s="33" t="e">
        <f>HLOOKUP(B8308,#REF!,1,0)</f>
        <v>#REF!</v>
      </c>
      <c r="M8308" s="33" t="str">
        <f t="shared" si="519"/>
        <v>P&amp;L</v>
      </c>
    </row>
    <row r="8309" spans="1:13">
      <c r="A8309" s="33" t="str">
        <f t="shared" si="516"/>
        <v>SCL - Operating Expense</v>
      </c>
      <c r="B8309" s="33" t="str">
        <f t="shared" si="517"/>
        <v>SCL</v>
      </c>
      <c r="C8309" s="33" t="str">
        <f t="shared" si="518"/>
        <v>60001-7374</v>
      </c>
      <c r="D8309" s="64" t="s">
        <v>9558</v>
      </c>
      <c r="E8309" s="64" t="s">
        <v>3020</v>
      </c>
      <c r="F8309" s="64" t="s">
        <v>15</v>
      </c>
      <c r="G8309" s="64" t="s">
        <v>3021</v>
      </c>
      <c r="H8309" s="64" t="s">
        <v>3022</v>
      </c>
      <c r="I8309" s="64" t="s">
        <v>3023</v>
      </c>
      <c r="J8309" s="67">
        <v>225.99</v>
      </c>
      <c r="K8309" s="62">
        <v>1313.39</v>
      </c>
      <c r="L8309" s="33" t="e">
        <f>HLOOKUP(B8309,#REF!,1,0)</f>
        <v>#REF!</v>
      </c>
      <c r="M8309" s="33" t="str">
        <f t="shared" si="519"/>
        <v>P&amp;L</v>
      </c>
    </row>
    <row r="8310" spans="1:13">
      <c r="A8310" s="33" t="str">
        <f t="shared" si="516"/>
        <v>SCL - Operating Expense</v>
      </c>
      <c r="B8310" s="33" t="str">
        <f t="shared" si="517"/>
        <v>SCL</v>
      </c>
      <c r="C8310" s="33" t="str">
        <f t="shared" si="518"/>
        <v>60001-7375</v>
      </c>
      <c r="D8310" s="64" t="s">
        <v>9559</v>
      </c>
      <c r="E8310" s="64" t="s">
        <v>3020</v>
      </c>
      <c r="F8310" s="64" t="s">
        <v>15</v>
      </c>
      <c r="G8310" s="64" t="s">
        <v>3021</v>
      </c>
      <c r="H8310" s="64" t="s">
        <v>3022</v>
      </c>
      <c r="I8310" s="64" t="s">
        <v>3023</v>
      </c>
      <c r="J8310" s="67">
        <v>5.55</v>
      </c>
      <c r="K8310" s="62">
        <v>73.55</v>
      </c>
      <c r="L8310" s="33" t="e">
        <f>HLOOKUP(B8310,#REF!,1,0)</f>
        <v>#REF!</v>
      </c>
      <c r="M8310" s="33" t="str">
        <f t="shared" si="519"/>
        <v>P&amp;L</v>
      </c>
    </row>
    <row r="8311" spans="1:13">
      <c r="A8311" s="33" t="str">
        <f t="shared" si="516"/>
        <v>SCL - Operating Expense</v>
      </c>
      <c r="B8311" s="33" t="str">
        <f t="shared" si="517"/>
        <v>SCL</v>
      </c>
      <c r="C8311" s="33" t="str">
        <f t="shared" si="518"/>
        <v>60001-7376</v>
      </c>
      <c r="D8311" s="64" t="s">
        <v>9560</v>
      </c>
      <c r="E8311" s="64" t="s">
        <v>3020</v>
      </c>
      <c r="F8311" s="64" t="s">
        <v>15</v>
      </c>
      <c r="G8311" s="64" t="s">
        <v>3021</v>
      </c>
      <c r="H8311" s="64" t="s">
        <v>3022</v>
      </c>
      <c r="I8311" s="64" t="s">
        <v>3023</v>
      </c>
      <c r="J8311" s="67">
        <v>139.31</v>
      </c>
      <c r="K8311" s="62">
        <v>1011.17</v>
      </c>
      <c r="L8311" s="33" t="e">
        <f>HLOOKUP(B8311,#REF!,1,0)</f>
        <v>#REF!</v>
      </c>
      <c r="M8311" s="33" t="str">
        <f t="shared" si="519"/>
        <v>P&amp;L</v>
      </c>
    </row>
    <row r="8312" spans="1:13">
      <c r="A8312" s="33" t="str">
        <f t="shared" si="516"/>
        <v>SCL - Operating Expense</v>
      </c>
      <c r="B8312" s="33" t="str">
        <f t="shared" si="517"/>
        <v>SCL</v>
      </c>
      <c r="C8312" s="33" t="str">
        <f t="shared" si="518"/>
        <v>60001-7377</v>
      </c>
      <c r="D8312" s="64" t="s">
        <v>9561</v>
      </c>
      <c r="E8312" s="64" t="s">
        <v>3020</v>
      </c>
      <c r="F8312" s="64" t="s">
        <v>15</v>
      </c>
      <c r="G8312" s="64" t="s">
        <v>3021</v>
      </c>
      <c r="H8312" s="64" t="s">
        <v>3022</v>
      </c>
      <c r="I8312" s="64" t="s">
        <v>3023</v>
      </c>
      <c r="J8312" s="67">
        <v>5.45</v>
      </c>
      <c r="K8312" s="62">
        <v>179.2</v>
      </c>
      <c r="L8312" s="33" t="e">
        <f>HLOOKUP(B8312,#REF!,1,0)</f>
        <v>#REF!</v>
      </c>
      <c r="M8312" s="33" t="str">
        <f t="shared" si="519"/>
        <v>P&amp;L</v>
      </c>
    </row>
    <row r="8313" spans="1:13">
      <c r="A8313" s="33" t="str">
        <f t="shared" si="516"/>
        <v>SCL - Operating Expense</v>
      </c>
      <c r="B8313" s="33" t="str">
        <f t="shared" si="517"/>
        <v>SCL</v>
      </c>
      <c r="C8313" s="33" t="str">
        <f t="shared" si="518"/>
        <v>60001-7378</v>
      </c>
      <c r="D8313" s="64" t="s">
        <v>9562</v>
      </c>
      <c r="E8313" s="64" t="s">
        <v>3020</v>
      </c>
      <c r="F8313" s="64" t="s">
        <v>15</v>
      </c>
      <c r="G8313" s="64" t="s">
        <v>3021</v>
      </c>
      <c r="H8313" s="64" t="s">
        <v>3022</v>
      </c>
      <c r="I8313" s="64" t="s">
        <v>3023</v>
      </c>
      <c r="J8313" s="67">
        <v>88.01</v>
      </c>
      <c r="K8313" s="62">
        <v>145.17</v>
      </c>
      <c r="L8313" s="33" t="e">
        <f>HLOOKUP(B8313,#REF!,1,0)</f>
        <v>#REF!</v>
      </c>
      <c r="M8313" s="33" t="str">
        <f t="shared" si="519"/>
        <v>P&amp;L</v>
      </c>
    </row>
    <row r="8314" spans="1:13">
      <c r="A8314" s="33" t="str">
        <f t="shared" si="516"/>
        <v>SCL - Operating Expense</v>
      </c>
      <c r="B8314" s="33" t="str">
        <f t="shared" si="517"/>
        <v>SCL</v>
      </c>
      <c r="C8314" s="33" t="str">
        <f t="shared" si="518"/>
        <v>60001-7379</v>
      </c>
      <c r="D8314" s="64" t="s">
        <v>9563</v>
      </c>
      <c r="E8314" s="64" t="s">
        <v>3020</v>
      </c>
      <c r="F8314" s="64" t="s">
        <v>15</v>
      </c>
      <c r="G8314" s="64" t="s">
        <v>3021</v>
      </c>
      <c r="H8314" s="64" t="s">
        <v>3022</v>
      </c>
      <c r="I8314" s="64" t="s">
        <v>3023</v>
      </c>
      <c r="J8314" s="67">
        <v>-83.04</v>
      </c>
      <c r="K8314" s="62">
        <v>2014.7</v>
      </c>
      <c r="L8314" s="33" t="e">
        <f>HLOOKUP(B8314,#REF!,1,0)</f>
        <v>#REF!</v>
      </c>
      <c r="M8314" s="33" t="str">
        <f t="shared" si="519"/>
        <v>P&amp;L</v>
      </c>
    </row>
    <row r="8315" spans="1:13">
      <c r="A8315" s="33" t="str">
        <f t="shared" si="516"/>
        <v>SCL - Operating Expense</v>
      </c>
      <c r="B8315" s="33" t="str">
        <f t="shared" si="517"/>
        <v>SCL</v>
      </c>
      <c r="C8315" s="33" t="str">
        <f t="shared" si="518"/>
        <v>60001-7380</v>
      </c>
      <c r="D8315" s="64" t="s">
        <v>9564</v>
      </c>
      <c r="E8315" s="64" t="s">
        <v>3020</v>
      </c>
      <c r="F8315" s="64" t="s">
        <v>15</v>
      </c>
      <c r="G8315" s="64" t="s">
        <v>3021</v>
      </c>
      <c r="H8315" s="64" t="s">
        <v>3022</v>
      </c>
      <c r="I8315" s="64" t="s">
        <v>3023</v>
      </c>
      <c r="J8315" s="67">
        <v>33.4</v>
      </c>
      <c r="K8315" s="62">
        <v>167.4</v>
      </c>
      <c r="L8315" s="33" t="e">
        <f>HLOOKUP(B8315,#REF!,1,0)</f>
        <v>#REF!</v>
      </c>
      <c r="M8315" s="33" t="str">
        <f t="shared" si="519"/>
        <v>P&amp;L</v>
      </c>
    </row>
    <row r="8316" spans="1:13">
      <c r="A8316" s="33" t="str">
        <f t="shared" si="516"/>
        <v>SCL - Operating Expense</v>
      </c>
      <c r="B8316" s="33" t="str">
        <f t="shared" si="517"/>
        <v>SCL</v>
      </c>
      <c r="C8316" s="33" t="str">
        <f t="shared" si="518"/>
        <v>60001-7381</v>
      </c>
      <c r="D8316" s="64" t="s">
        <v>9565</v>
      </c>
      <c r="E8316" s="64" t="s">
        <v>3020</v>
      </c>
      <c r="F8316" s="64" t="s">
        <v>15</v>
      </c>
      <c r="G8316" s="64" t="s">
        <v>3021</v>
      </c>
      <c r="H8316" s="64" t="s">
        <v>3022</v>
      </c>
      <c r="I8316" s="64" t="s">
        <v>3023</v>
      </c>
      <c r="J8316" s="67">
        <v>36.22</v>
      </c>
      <c r="K8316" s="62">
        <v>296.64</v>
      </c>
      <c r="L8316" s="33" t="e">
        <f>HLOOKUP(B8316,#REF!,1,0)</f>
        <v>#REF!</v>
      </c>
      <c r="M8316" s="33" t="str">
        <f t="shared" si="519"/>
        <v>P&amp;L</v>
      </c>
    </row>
    <row r="8317" spans="1:13">
      <c r="A8317" s="33" t="str">
        <f t="shared" si="516"/>
        <v>SCL - Operating Expense</v>
      </c>
      <c r="B8317" s="33" t="str">
        <f t="shared" si="517"/>
        <v>SCL</v>
      </c>
      <c r="C8317" s="33" t="str">
        <f t="shared" si="518"/>
        <v>60001-7383</v>
      </c>
      <c r="D8317" s="64" t="s">
        <v>9566</v>
      </c>
      <c r="E8317" s="64" t="s">
        <v>3020</v>
      </c>
      <c r="F8317" s="64" t="s">
        <v>15</v>
      </c>
      <c r="G8317" s="64" t="s">
        <v>3021</v>
      </c>
      <c r="H8317" s="64" t="s">
        <v>3022</v>
      </c>
      <c r="I8317" s="64" t="s">
        <v>3023</v>
      </c>
      <c r="J8317" s="67">
        <v>-6.26</v>
      </c>
      <c r="K8317" s="62">
        <v>684.36</v>
      </c>
      <c r="L8317" s="33" t="e">
        <f>HLOOKUP(B8317,#REF!,1,0)</f>
        <v>#REF!</v>
      </c>
      <c r="M8317" s="33" t="str">
        <f t="shared" si="519"/>
        <v>P&amp;L</v>
      </c>
    </row>
    <row r="8318" spans="1:13">
      <c r="A8318" s="33" t="str">
        <f t="shared" si="516"/>
        <v>SCL - Operating Expense</v>
      </c>
      <c r="B8318" s="33" t="str">
        <f t="shared" si="517"/>
        <v>SCL</v>
      </c>
      <c r="C8318" s="33" t="str">
        <f t="shared" si="518"/>
        <v>60001-7385</v>
      </c>
      <c r="D8318" s="64" t="s">
        <v>9567</v>
      </c>
      <c r="E8318" s="64" t="s">
        <v>3020</v>
      </c>
      <c r="F8318" s="64" t="s">
        <v>15</v>
      </c>
      <c r="G8318" s="64" t="s">
        <v>3021</v>
      </c>
      <c r="H8318" s="64" t="s">
        <v>3022</v>
      </c>
      <c r="I8318" s="64" t="s">
        <v>3023</v>
      </c>
      <c r="J8318" s="67">
        <v>11.59</v>
      </c>
      <c r="K8318" s="62">
        <v>785.78</v>
      </c>
      <c r="L8318" s="33" t="e">
        <f>HLOOKUP(B8318,#REF!,1,0)</f>
        <v>#REF!</v>
      </c>
      <c r="M8318" s="33" t="str">
        <f t="shared" si="519"/>
        <v>P&amp;L</v>
      </c>
    </row>
    <row r="8319" spans="1:13">
      <c r="A8319" s="33" t="str">
        <f t="shared" si="516"/>
        <v>SCL - Operating Expense</v>
      </c>
      <c r="B8319" s="33" t="str">
        <f t="shared" si="517"/>
        <v>SCL</v>
      </c>
      <c r="C8319" s="33" t="str">
        <f t="shared" si="518"/>
        <v>60001-7386</v>
      </c>
      <c r="D8319" s="64" t="s">
        <v>9568</v>
      </c>
      <c r="E8319" s="64" t="s">
        <v>3020</v>
      </c>
      <c r="F8319" s="64" t="s">
        <v>15</v>
      </c>
      <c r="G8319" s="64" t="s">
        <v>3021</v>
      </c>
      <c r="H8319" s="64" t="s">
        <v>3022</v>
      </c>
      <c r="I8319" s="64" t="s">
        <v>3023</v>
      </c>
      <c r="J8319" s="67">
        <v>-246.09</v>
      </c>
      <c r="K8319" s="62">
        <v>-226.7</v>
      </c>
      <c r="L8319" s="33" t="e">
        <f>HLOOKUP(B8319,#REF!,1,0)</f>
        <v>#REF!</v>
      </c>
      <c r="M8319" s="33" t="str">
        <f t="shared" si="519"/>
        <v>P&amp;L</v>
      </c>
    </row>
    <row r="8320" spans="1:13">
      <c r="A8320" s="33" t="str">
        <f t="shared" si="516"/>
        <v>SCL - Operating Expense</v>
      </c>
      <c r="B8320" s="33" t="str">
        <f t="shared" si="517"/>
        <v>SCL</v>
      </c>
      <c r="C8320" s="33" t="str">
        <f t="shared" si="518"/>
        <v>60001-7387</v>
      </c>
      <c r="D8320" s="64" t="s">
        <v>9569</v>
      </c>
      <c r="E8320" s="64" t="s">
        <v>3020</v>
      </c>
      <c r="F8320" s="64" t="s">
        <v>15</v>
      </c>
      <c r="G8320" s="64" t="s">
        <v>3021</v>
      </c>
      <c r="H8320" s="64" t="s">
        <v>3022</v>
      </c>
      <c r="I8320" s="64" t="s">
        <v>3023</v>
      </c>
      <c r="J8320" s="67">
        <v>28.73</v>
      </c>
      <c r="K8320" s="62">
        <v>579.29</v>
      </c>
      <c r="L8320" s="33" t="e">
        <f>HLOOKUP(B8320,#REF!,1,0)</f>
        <v>#REF!</v>
      </c>
      <c r="M8320" s="33" t="str">
        <f t="shared" si="519"/>
        <v>P&amp;L</v>
      </c>
    </row>
    <row r="8321" spans="1:13">
      <c r="A8321" s="33" t="str">
        <f t="shared" si="516"/>
        <v>SCL - Operating Expense</v>
      </c>
      <c r="B8321" s="33" t="str">
        <f t="shared" si="517"/>
        <v>SCL</v>
      </c>
      <c r="C8321" s="33" t="str">
        <f t="shared" si="518"/>
        <v>60001-7389</v>
      </c>
      <c r="D8321" s="64" t="s">
        <v>9570</v>
      </c>
      <c r="E8321" s="64" t="s">
        <v>3020</v>
      </c>
      <c r="F8321" s="64" t="s">
        <v>15</v>
      </c>
      <c r="G8321" s="64" t="s">
        <v>3021</v>
      </c>
      <c r="H8321" s="64" t="s">
        <v>3022</v>
      </c>
      <c r="I8321" s="64" t="s">
        <v>3023</v>
      </c>
      <c r="J8321" s="67">
        <v>238.13</v>
      </c>
      <c r="K8321" s="62">
        <v>1647.22</v>
      </c>
      <c r="L8321" s="33" t="e">
        <f>HLOOKUP(B8321,#REF!,1,0)</f>
        <v>#REF!</v>
      </c>
      <c r="M8321" s="33" t="str">
        <f t="shared" si="519"/>
        <v>P&amp;L</v>
      </c>
    </row>
    <row r="8322" spans="1:13">
      <c r="A8322" s="33" t="str">
        <f t="shared" ref="A8322:A8385" si="520">B8322&amp;" - "&amp;TRIM(H8322)</f>
        <v>SCL - Operating Expense</v>
      </c>
      <c r="B8322" s="33" t="str">
        <f t="shared" ref="B8322:B8385" si="521">LEFT(D8322,3)</f>
        <v>SCL</v>
      </c>
      <c r="C8322" s="33" t="str">
        <f t="shared" ref="C8322:C8385" si="522">RIGHT(D8322,10)</f>
        <v>60001-7391</v>
      </c>
      <c r="D8322" s="64" t="s">
        <v>9571</v>
      </c>
      <c r="E8322" s="64" t="s">
        <v>3020</v>
      </c>
      <c r="F8322" s="64" t="s">
        <v>15</v>
      </c>
      <c r="G8322" s="64" t="s">
        <v>3021</v>
      </c>
      <c r="H8322" s="64" t="s">
        <v>3022</v>
      </c>
      <c r="I8322" s="64" t="s">
        <v>3023</v>
      </c>
      <c r="J8322" s="67">
        <v>117.22</v>
      </c>
      <c r="K8322" s="62">
        <v>927.79</v>
      </c>
      <c r="L8322" s="33" t="e">
        <f>HLOOKUP(B8322,#REF!,1,0)</f>
        <v>#REF!</v>
      </c>
      <c r="M8322" s="33" t="str">
        <f t="shared" ref="M8322:M8385" si="523">IF(VALUE(LEFT(C8322,5))&gt;40000,"P&amp;L","BS")</f>
        <v>P&amp;L</v>
      </c>
    </row>
    <row r="8323" spans="1:13">
      <c r="A8323" s="33" t="str">
        <f t="shared" si="520"/>
        <v>SCL - Operating Expense</v>
      </c>
      <c r="B8323" s="33" t="str">
        <f t="shared" si="521"/>
        <v>SCL</v>
      </c>
      <c r="C8323" s="33" t="str">
        <f t="shared" si="522"/>
        <v>60001-7393</v>
      </c>
      <c r="D8323" s="64" t="s">
        <v>9572</v>
      </c>
      <c r="E8323" s="64" t="s">
        <v>3020</v>
      </c>
      <c r="F8323" s="64" t="s">
        <v>15</v>
      </c>
      <c r="G8323" s="64" t="s">
        <v>3021</v>
      </c>
      <c r="H8323" s="64" t="s">
        <v>3022</v>
      </c>
      <c r="I8323" s="64" t="s">
        <v>3023</v>
      </c>
      <c r="J8323" s="67">
        <v>48.66</v>
      </c>
      <c r="K8323" s="62">
        <v>309.73</v>
      </c>
      <c r="L8323" s="33" t="e">
        <f>HLOOKUP(B8323,#REF!,1,0)</f>
        <v>#REF!</v>
      </c>
      <c r="M8323" s="33" t="str">
        <f t="shared" si="523"/>
        <v>P&amp;L</v>
      </c>
    </row>
    <row r="8324" spans="1:13">
      <c r="A8324" s="33" t="str">
        <f t="shared" si="520"/>
        <v>SCL - Operating Expense</v>
      </c>
      <c r="B8324" s="33" t="str">
        <f t="shared" si="521"/>
        <v>SCL</v>
      </c>
      <c r="C8324" s="33" t="str">
        <f t="shared" si="522"/>
        <v>60001-7394</v>
      </c>
      <c r="D8324" s="64" t="s">
        <v>9573</v>
      </c>
      <c r="E8324" s="64" t="s">
        <v>3020</v>
      </c>
      <c r="F8324" s="64" t="s">
        <v>15</v>
      </c>
      <c r="G8324" s="64" t="s">
        <v>3021</v>
      </c>
      <c r="H8324" s="64" t="s">
        <v>3022</v>
      </c>
      <c r="I8324" s="64" t="s">
        <v>3023</v>
      </c>
      <c r="J8324" s="67">
        <v>175.54</v>
      </c>
      <c r="K8324" s="62">
        <v>1780.19</v>
      </c>
      <c r="L8324" s="33" t="e">
        <f>HLOOKUP(B8324,#REF!,1,0)</f>
        <v>#REF!</v>
      </c>
      <c r="M8324" s="33" t="str">
        <f t="shared" si="523"/>
        <v>P&amp;L</v>
      </c>
    </row>
    <row r="8325" spans="1:13">
      <c r="A8325" s="33" t="str">
        <f t="shared" si="520"/>
        <v>SCL - Operating Expense</v>
      </c>
      <c r="B8325" s="33" t="str">
        <f t="shared" si="521"/>
        <v>SCL</v>
      </c>
      <c r="C8325" s="33" t="str">
        <f t="shared" si="522"/>
        <v>60001-7396</v>
      </c>
      <c r="D8325" s="64" t="s">
        <v>9574</v>
      </c>
      <c r="E8325" s="64" t="s">
        <v>3020</v>
      </c>
      <c r="F8325" s="64" t="s">
        <v>15</v>
      </c>
      <c r="G8325" s="64" t="s">
        <v>3021</v>
      </c>
      <c r="H8325" s="64" t="s">
        <v>3022</v>
      </c>
      <c r="I8325" s="64" t="s">
        <v>3023</v>
      </c>
      <c r="J8325" s="67">
        <v>-97.86</v>
      </c>
      <c r="K8325" s="62">
        <v>584.99</v>
      </c>
      <c r="L8325" s="33" t="e">
        <f>HLOOKUP(B8325,#REF!,1,0)</f>
        <v>#REF!</v>
      </c>
      <c r="M8325" s="33" t="str">
        <f t="shared" si="523"/>
        <v>P&amp;L</v>
      </c>
    </row>
    <row r="8326" spans="1:13">
      <c r="A8326" s="33" t="str">
        <f t="shared" si="520"/>
        <v>SCL - Operating Expense</v>
      </c>
      <c r="B8326" s="33" t="str">
        <f t="shared" si="521"/>
        <v>SCL</v>
      </c>
      <c r="C8326" s="33" t="str">
        <f t="shared" si="522"/>
        <v>60001-7397</v>
      </c>
      <c r="D8326" s="64" t="s">
        <v>9575</v>
      </c>
      <c r="E8326" s="64" t="s">
        <v>3020</v>
      </c>
      <c r="F8326" s="64" t="s">
        <v>15</v>
      </c>
      <c r="G8326" s="64" t="s">
        <v>3021</v>
      </c>
      <c r="H8326" s="64" t="s">
        <v>3022</v>
      </c>
      <c r="I8326" s="64" t="s">
        <v>3023</v>
      </c>
      <c r="J8326" s="67">
        <v>206.26</v>
      </c>
      <c r="K8326" s="62">
        <v>1621.04</v>
      </c>
      <c r="L8326" s="33" t="e">
        <f>HLOOKUP(B8326,#REF!,1,0)</f>
        <v>#REF!</v>
      </c>
      <c r="M8326" s="33" t="str">
        <f t="shared" si="523"/>
        <v>P&amp;L</v>
      </c>
    </row>
    <row r="8327" spans="1:13">
      <c r="A8327" s="33" t="str">
        <f t="shared" si="520"/>
        <v>SCL - Operating Expense</v>
      </c>
      <c r="B8327" s="33" t="str">
        <f t="shared" si="521"/>
        <v>SCL</v>
      </c>
      <c r="C8327" s="33" t="str">
        <f t="shared" si="522"/>
        <v>60001-7398</v>
      </c>
      <c r="D8327" s="64" t="s">
        <v>9576</v>
      </c>
      <c r="E8327" s="64" t="s">
        <v>3020</v>
      </c>
      <c r="F8327" s="64" t="s">
        <v>15</v>
      </c>
      <c r="G8327" s="64" t="s">
        <v>3021</v>
      </c>
      <c r="H8327" s="64" t="s">
        <v>3022</v>
      </c>
      <c r="I8327" s="64" t="s">
        <v>3023</v>
      </c>
      <c r="J8327" s="67">
        <v>-26.55</v>
      </c>
      <c r="K8327" s="62">
        <v>274.25</v>
      </c>
      <c r="L8327" s="33" t="e">
        <f>HLOOKUP(B8327,#REF!,1,0)</f>
        <v>#REF!</v>
      </c>
      <c r="M8327" s="33" t="str">
        <f t="shared" si="523"/>
        <v>P&amp;L</v>
      </c>
    </row>
    <row r="8328" spans="1:13">
      <c r="A8328" s="33" t="str">
        <f t="shared" si="520"/>
        <v>SCL - Operating Expense</v>
      </c>
      <c r="B8328" s="33" t="str">
        <f t="shared" si="521"/>
        <v>SCL</v>
      </c>
      <c r="C8328" s="33" t="str">
        <f t="shared" si="522"/>
        <v>60001-7400</v>
      </c>
      <c r="D8328" s="64" t="s">
        <v>9577</v>
      </c>
      <c r="E8328" s="64" t="s">
        <v>3020</v>
      </c>
      <c r="F8328" s="64" t="s">
        <v>15</v>
      </c>
      <c r="G8328" s="64" t="s">
        <v>3021</v>
      </c>
      <c r="H8328" s="64" t="s">
        <v>3022</v>
      </c>
      <c r="I8328" s="64" t="s">
        <v>3023</v>
      </c>
      <c r="J8328" s="67">
        <v>46.95</v>
      </c>
      <c r="K8328" s="62">
        <v>141.25</v>
      </c>
      <c r="L8328" s="33" t="e">
        <f>HLOOKUP(B8328,#REF!,1,0)</f>
        <v>#REF!</v>
      </c>
      <c r="M8328" s="33" t="str">
        <f t="shared" si="523"/>
        <v>P&amp;L</v>
      </c>
    </row>
    <row r="8329" spans="1:13">
      <c r="A8329" s="33" t="str">
        <f t="shared" si="520"/>
        <v>SCL - Operating Expense</v>
      </c>
      <c r="B8329" s="33" t="str">
        <f t="shared" si="521"/>
        <v>SCL</v>
      </c>
      <c r="C8329" s="33" t="str">
        <f t="shared" si="522"/>
        <v>60001-7401</v>
      </c>
      <c r="D8329" s="64" t="s">
        <v>9578</v>
      </c>
      <c r="E8329" s="64" t="s">
        <v>3020</v>
      </c>
      <c r="F8329" s="64" t="s">
        <v>15</v>
      </c>
      <c r="G8329" s="64" t="s">
        <v>3021</v>
      </c>
      <c r="H8329" s="64" t="s">
        <v>3022</v>
      </c>
      <c r="I8329" s="64" t="s">
        <v>3023</v>
      </c>
      <c r="J8329" s="67">
        <v>15.4</v>
      </c>
      <c r="K8329" s="62">
        <v>264.71</v>
      </c>
      <c r="L8329" s="33" t="e">
        <f>HLOOKUP(B8329,#REF!,1,0)</f>
        <v>#REF!</v>
      </c>
      <c r="M8329" s="33" t="str">
        <f t="shared" si="523"/>
        <v>P&amp;L</v>
      </c>
    </row>
    <row r="8330" spans="1:13">
      <c r="A8330" s="33" t="str">
        <f t="shared" si="520"/>
        <v>SCL - Operating Expense</v>
      </c>
      <c r="B8330" s="33" t="str">
        <f t="shared" si="521"/>
        <v>SCL</v>
      </c>
      <c r="C8330" s="33" t="str">
        <f t="shared" si="522"/>
        <v>60001-7402</v>
      </c>
      <c r="D8330" s="64" t="s">
        <v>9579</v>
      </c>
      <c r="E8330" s="64" t="s">
        <v>3020</v>
      </c>
      <c r="F8330" s="64" t="s">
        <v>15</v>
      </c>
      <c r="G8330" s="64" t="s">
        <v>3021</v>
      </c>
      <c r="H8330" s="64" t="s">
        <v>3022</v>
      </c>
      <c r="I8330" s="64" t="s">
        <v>3023</v>
      </c>
      <c r="J8330" s="67">
        <v>37.32</v>
      </c>
      <c r="K8330" s="62">
        <v>353.31</v>
      </c>
      <c r="L8330" s="33" t="e">
        <f>HLOOKUP(B8330,#REF!,1,0)</f>
        <v>#REF!</v>
      </c>
      <c r="M8330" s="33" t="str">
        <f t="shared" si="523"/>
        <v>P&amp;L</v>
      </c>
    </row>
    <row r="8331" spans="1:13">
      <c r="A8331" s="33" t="str">
        <f t="shared" si="520"/>
        <v>SCL - Operating Expense</v>
      </c>
      <c r="B8331" s="33" t="str">
        <f t="shared" si="521"/>
        <v>SCL</v>
      </c>
      <c r="C8331" s="33" t="str">
        <f t="shared" si="522"/>
        <v>60001-7403</v>
      </c>
      <c r="D8331" s="64" t="s">
        <v>9580</v>
      </c>
      <c r="E8331" s="64" t="s">
        <v>3020</v>
      </c>
      <c r="F8331" s="64" t="s">
        <v>15</v>
      </c>
      <c r="G8331" s="64" t="s">
        <v>3021</v>
      </c>
      <c r="H8331" s="64" t="s">
        <v>3022</v>
      </c>
      <c r="I8331" s="64" t="s">
        <v>3023</v>
      </c>
      <c r="J8331" s="67">
        <v>87.23</v>
      </c>
      <c r="K8331" s="62">
        <v>803.71</v>
      </c>
      <c r="L8331" s="33" t="e">
        <f>HLOOKUP(B8331,#REF!,1,0)</f>
        <v>#REF!</v>
      </c>
      <c r="M8331" s="33" t="str">
        <f t="shared" si="523"/>
        <v>P&amp;L</v>
      </c>
    </row>
    <row r="8332" spans="1:13">
      <c r="A8332" s="33" t="str">
        <f t="shared" si="520"/>
        <v>SCL - Operating Expense</v>
      </c>
      <c r="B8332" s="33" t="str">
        <f t="shared" si="521"/>
        <v>SCL</v>
      </c>
      <c r="C8332" s="33" t="str">
        <f t="shared" si="522"/>
        <v>60001-7404</v>
      </c>
      <c r="D8332" s="64" t="s">
        <v>9581</v>
      </c>
      <c r="E8332" s="64" t="s">
        <v>3020</v>
      </c>
      <c r="F8332" s="64" t="s">
        <v>15</v>
      </c>
      <c r="G8332" s="64" t="s">
        <v>3021</v>
      </c>
      <c r="H8332" s="64" t="s">
        <v>3022</v>
      </c>
      <c r="I8332" s="64" t="s">
        <v>3023</v>
      </c>
      <c r="J8332" s="67">
        <v>0</v>
      </c>
      <c r="K8332" s="62">
        <v>0</v>
      </c>
      <c r="L8332" s="33" t="e">
        <f>HLOOKUP(B8332,#REF!,1,0)</f>
        <v>#REF!</v>
      </c>
      <c r="M8332" s="33" t="str">
        <f t="shared" si="523"/>
        <v>P&amp;L</v>
      </c>
    </row>
    <row r="8333" spans="1:13">
      <c r="A8333" s="33" t="str">
        <f t="shared" si="520"/>
        <v>SCL - Operating Expense</v>
      </c>
      <c r="B8333" s="33" t="str">
        <f t="shared" si="521"/>
        <v>SCL</v>
      </c>
      <c r="C8333" s="33" t="str">
        <f t="shared" si="522"/>
        <v>60001-7405</v>
      </c>
      <c r="D8333" s="64" t="s">
        <v>9582</v>
      </c>
      <c r="E8333" s="64" t="s">
        <v>3020</v>
      </c>
      <c r="F8333" s="64" t="s">
        <v>15</v>
      </c>
      <c r="G8333" s="64" t="s">
        <v>3021</v>
      </c>
      <c r="H8333" s="64" t="s">
        <v>3022</v>
      </c>
      <c r="I8333" s="64" t="s">
        <v>3023</v>
      </c>
      <c r="J8333" s="67">
        <v>0</v>
      </c>
      <c r="K8333" s="62">
        <v>0</v>
      </c>
      <c r="L8333" s="33" t="e">
        <f>HLOOKUP(B8333,#REF!,1,0)</f>
        <v>#REF!</v>
      </c>
      <c r="M8333" s="33" t="str">
        <f t="shared" si="523"/>
        <v>P&amp;L</v>
      </c>
    </row>
    <row r="8334" spans="1:13">
      <c r="A8334" s="33" t="str">
        <f t="shared" si="520"/>
        <v>SCL - Operating Expense</v>
      </c>
      <c r="B8334" s="33" t="str">
        <f t="shared" si="521"/>
        <v>SCL</v>
      </c>
      <c r="C8334" s="33" t="str">
        <f t="shared" si="522"/>
        <v>60001-7406</v>
      </c>
      <c r="D8334" s="64" t="s">
        <v>9583</v>
      </c>
      <c r="E8334" s="64" t="s">
        <v>3020</v>
      </c>
      <c r="F8334" s="64" t="s">
        <v>15</v>
      </c>
      <c r="G8334" s="64" t="s">
        <v>3021</v>
      </c>
      <c r="H8334" s="64" t="s">
        <v>3022</v>
      </c>
      <c r="I8334" s="64" t="s">
        <v>3023</v>
      </c>
      <c r="J8334" s="67">
        <v>0</v>
      </c>
      <c r="K8334" s="62">
        <v>0</v>
      </c>
      <c r="L8334" s="33" t="e">
        <f>HLOOKUP(B8334,#REF!,1,0)</f>
        <v>#REF!</v>
      </c>
      <c r="M8334" s="33" t="str">
        <f t="shared" si="523"/>
        <v>P&amp;L</v>
      </c>
    </row>
    <row r="8335" spans="1:13">
      <c r="A8335" s="33" t="str">
        <f t="shared" si="520"/>
        <v>SCL - Operating Expense</v>
      </c>
      <c r="B8335" s="33" t="str">
        <f t="shared" si="521"/>
        <v>SCL</v>
      </c>
      <c r="C8335" s="33" t="str">
        <f t="shared" si="522"/>
        <v>60001-7489</v>
      </c>
      <c r="D8335" s="64" t="s">
        <v>9584</v>
      </c>
      <c r="E8335" s="64" t="s">
        <v>3020</v>
      </c>
      <c r="F8335" s="64" t="s">
        <v>15</v>
      </c>
      <c r="G8335" s="64" t="s">
        <v>3021</v>
      </c>
      <c r="H8335" s="64" t="s">
        <v>3022</v>
      </c>
      <c r="I8335" s="64" t="s">
        <v>3023</v>
      </c>
      <c r="J8335" s="67">
        <v>223.82</v>
      </c>
      <c r="K8335" s="62">
        <v>1176.3</v>
      </c>
      <c r="L8335" s="33" t="e">
        <f>HLOOKUP(B8335,#REF!,1,0)</f>
        <v>#REF!</v>
      </c>
      <c r="M8335" s="33" t="str">
        <f t="shared" si="523"/>
        <v>P&amp;L</v>
      </c>
    </row>
    <row r="8336" spans="1:13">
      <c r="A8336" s="33" t="str">
        <f t="shared" si="520"/>
        <v>SCL - Operating Expense</v>
      </c>
      <c r="B8336" s="33" t="str">
        <f t="shared" si="521"/>
        <v>SCL</v>
      </c>
      <c r="C8336" s="33" t="str">
        <f t="shared" si="522"/>
        <v>60001-7490</v>
      </c>
      <c r="D8336" s="64" t="s">
        <v>9585</v>
      </c>
      <c r="E8336" s="64" t="s">
        <v>3020</v>
      </c>
      <c r="F8336" s="64" t="s">
        <v>15</v>
      </c>
      <c r="G8336" s="64" t="s">
        <v>3021</v>
      </c>
      <c r="H8336" s="64" t="s">
        <v>3022</v>
      </c>
      <c r="I8336" s="64" t="s">
        <v>3023</v>
      </c>
      <c r="J8336" s="67">
        <v>0</v>
      </c>
      <c r="K8336" s="62">
        <v>0</v>
      </c>
      <c r="L8336" s="33" t="e">
        <f>HLOOKUP(B8336,#REF!,1,0)</f>
        <v>#REF!</v>
      </c>
      <c r="M8336" s="33" t="str">
        <f t="shared" si="523"/>
        <v>P&amp;L</v>
      </c>
    </row>
    <row r="8337" spans="1:13">
      <c r="A8337" s="33" t="str">
        <f t="shared" si="520"/>
        <v>SCL - Operating Expense</v>
      </c>
      <c r="B8337" s="33" t="str">
        <f t="shared" si="521"/>
        <v>SCL</v>
      </c>
      <c r="C8337" s="33" t="str">
        <f t="shared" si="522"/>
        <v>60001-7491</v>
      </c>
      <c r="D8337" s="64" t="s">
        <v>9586</v>
      </c>
      <c r="E8337" s="64" t="s">
        <v>3020</v>
      </c>
      <c r="F8337" s="64" t="s">
        <v>15</v>
      </c>
      <c r="G8337" s="64" t="s">
        <v>3021</v>
      </c>
      <c r="H8337" s="64" t="s">
        <v>3022</v>
      </c>
      <c r="I8337" s="64" t="s">
        <v>3023</v>
      </c>
      <c r="J8337" s="67">
        <v>42.4</v>
      </c>
      <c r="K8337" s="62">
        <v>268.09</v>
      </c>
      <c r="L8337" s="33" t="e">
        <f>HLOOKUP(B8337,#REF!,1,0)</f>
        <v>#REF!</v>
      </c>
      <c r="M8337" s="33" t="str">
        <f t="shared" si="523"/>
        <v>P&amp;L</v>
      </c>
    </row>
    <row r="8338" spans="1:13">
      <c r="A8338" s="33" t="str">
        <f t="shared" si="520"/>
        <v>SCL - Operating Expense</v>
      </c>
      <c r="B8338" s="33" t="str">
        <f t="shared" si="521"/>
        <v>SCL</v>
      </c>
      <c r="C8338" s="33" t="str">
        <f t="shared" si="522"/>
        <v>60001-7492</v>
      </c>
      <c r="D8338" s="64" t="s">
        <v>9587</v>
      </c>
      <c r="E8338" s="64" t="s">
        <v>3020</v>
      </c>
      <c r="F8338" s="64" t="s">
        <v>15</v>
      </c>
      <c r="G8338" s="64" t="s">
        <v>3021</v>
      </c>
      <c r="H8338" s="64" t="s">
        <v>3022</v>
      </c>
      <c r="I8338" s="64" t="s">
        <v>3023</v>
      </c>
      <c r="J8338" s="67">
        <v>18.89</v>
      </c>
      <c r="K8338" s="62">
        <v>693.95</v>
      </c>
      <c r="L8338" s="33" t="e">
        <f>HLOOKUP(B8338,#REF!,1,0)</f>
        <v>#REF!</v>
      </c>
      <c r="M8338" s="33" t="str">
        <f t="shared" si="523"/>
        <v>P&amp;L</v>
      </c>
    </row>
    <row r="8339" spans="1:13">
      <c r="A8339" s="33" t="str">
        <f t="shared" si="520"/>
        <v>SCL - Operating Expense</v>
      </c>
      <c r="B8339" s="33" t="str">
        <f t="shared" si="521"/>
        <v>SCL</v>
      </c>
      <c r="C8339" s="33" t="str">
        <f t="shared" si="522"/>
        <v>60001-7493</v>
      </c>
      <c r="D8339" s="64" t="s">
        <v>9588</v>
      </c>
      <c r="E8339" s="64" t="s">
        <v>3020</v>
      </c>
      <c r="F8339" s="64" t="s">
        <v>15</v>
      </c>
      <c r="G8339" s="64" t="s">
        <v>3021</v>
      </c>
      <c r="H8339" s="64" t="s">
        <v>3022</v>
      </c>
      <c r="I8339" s="64" t="s">
        <v>3023</v>
      </c>
      <c r="J8339" s="67">
        <v>26.81</v>
      </c>
      <c r="K8339" s="62">
        <v>752.4</v>
      </c>
      <c r="L8339" s="33" t="e">
        <f>HLOOKUP(B8339,#REF!,1,0)</f>
        <v>#REF!</v>
      </c>
      <c r="M8339" s="33" t="str">
        <f t="shared" si="523"/>
        <v>P&amp;L</v>
      </c>
    </row>
    <row r="8340" spans="1:13">
      <c r="A8340" s="33" t="str">
        <f t="shared" si="520"/>
        <v>SCL - Operating Expense</v>
      </c>
      <c r="B8340" s="33" t="str">
        <f t="shared" si="521"/>
        <v>SCL</v>
      </c>
      <c r="C8340" s="33" t="str">
        <f t="shared" si="522"/>
        <v>60001-7494</v>
      </c>
      <c r="D8340" s="64" t="s">
        <v>9589</v>
      </c>
      <c r="E8340" s="64" t="s">
        <v>3020</v>
      </c>
      <c r="F8340" s="64" t="s">
        <v>15</v>
      </c>
      <c r="G8340" s="64" t="s">
        <v>3021</v>
      </c>
      <c r="H8340" s="64" t="s">
        <v>3022</v>
      </c>
      <c r="I8340" s="64" t="s">
        <v>3023</v>
      </c>
      <c r="J8340" s="67">
        <v>33.9</v>
      </c>
      <c r="K8340" s="62">
        <v>275.98</v>
      </c>
      <c r="L8340" s="33" t="e">
        <f>HLOOKUP(B8340,#REF!,1,0)</f>
        <v>#REF!</v>
      </c>
      <c r="M8340" s="33" t="str">
        <f t="shared" si="523"/>
        <v>P&amp;L</v>
      </c>
    </row>
    <row r="8341" spans="1:13">
      <c r="A8341" s="33" t="str">
        <f t="shared" si="520"/>
        <v>SCL - Operating Expense</v>
      </c>
      <c r="B8341" s="33" t="str">
        <f t="shared" si="521"/>
        <v>SCL</v>
      </c>
      <c r="C8341" s="33" t="str">
        <f t="shared" si="522"/>
        <v>60001-7625</v>
      </c>
      <c r="D8341" s="64" t="s">
        <v>9590</v>
      </c>
      <c r="E8341" s="64" t="s">
        <v>3020</v>
      </c>
      <c r="F8341" s="64" t="s">
        <v>15</v>
      </c>
      <c r="G8341" s="64" t="s">
        <v>3021</v>
      </c>
      <c r="H8341" s="64" t="s">
        <v>3022</v>
      </c>
      <c r="I8341" s="64" t="s">
        <v>3023</v>
      </c>
      <c r="J8341" s="67">
        <v>44.46</v>
      </c>
      <c r="K8341" s="62">
        <v>-126.17</v>
      </c>
      <c r="L8341" s="33" t="e">
        <f>HLOOKUP(B8341,#REF!,1,0)</f>
        <v>#REF!</v>
      </c>
      <c r="M8341" s="33" t="str">
        <f t="shared" si="523"/>
        <v>P&amp;L</v>
      </c>
    </row>
    <row r="8342" spans="1:13">
      <c r="A8342" s="33" t="str">
        <f t="shared" si="520"/>
        <v>SCL - Operating Expense</v>
      </c>
      <c r="B8342" s="33" t="str">
        <f t="shared" si="521"/>
        <v>SCL</v>
      </c>
      <c r="C8342" s="33" t="str">
        <f t="shared" si="522"/>
        <v>60001-8150</v>
      </c>
      <c r="D8342" s="64" t="s">
        <v>9591</v>
      </c>
      <c r="E8342" s="64" t="s">
        <v>3020</v>
      </c>
      <c r="F8342" s="64" t="s">
        <v>15</v>
      </c>
      <c r="G8342" s="64" t="s">
        <v>3021</v>
      </c>
      <c r="H8342" s="64" t="s">
        <v>3022</v>
      </c>
      <c r="I8342" s="64" t="s">
        <v>3023</v>
      </c>
      <c r="J8342" s="67">
        <v>-16.13</v>
      </c>
      <c r="K8342" s="62">
        <v>170.96</v>
      </c>
      <c r="L8342" s="33" t="e">
        <f>HLOOKUP(B8342,#REF!,1,0)</f>
        <v>#REF!</v>
      </c>
      <c r="M8342" s="33" t="str">
        <f t="shared" si="523"/>
        <v>P&amp;L</v>
      </c>
    </row>
    <row r="8343" spans="1:13">
      <c r="A8343" s="33" t="str">
        <f t="shared" si="520"/>
        <v>SCL - Operating Expense</v>
      </c>
      <c r="B8343" s="33" t="str">
        <f t="shared" si="521"/>
        <v>SCL</v>
      </c>
      <c r="C8343" s="33" t="str">
        <f t="shared" si="522"/>
        <v>60503-0000</v>
      </c>
      <c r="D8343" s="64" t="s">
        <v>9592</v>
      </c>
      <c r="E8343" s="64" t="s">
        <v>3034</v>
      </c>
      <c r="F8343" s="64" t="s">
        <v>15</v>
      </c>
      <c r="G8343" s="64" t="s">
        <v>3035</v>
      </c>
      <c r="H8343" s="64" t="s">
        <v>3022</v>
      </c>
      <c r="I8343" s="64" t="s">
        <v>3036</v>
      </c>
      <c r="J8343" s="67">
        <v>0</v>
      </c>
      <c r="K8343" s="62">
        <v>0</v>
      </c>
      <c r="L8343" s="33" t="e">
        <f>HLOOKUP(B8343,#REF!,1,0)</f>
        <v>#REF!</v>
      </c>
      <c r="M8343" s="33" t="str">
        <f t="shared" si="523"/>
        <v>P&amp;L</v>
      </c>
    </row>
    <row r="8344" spans="1:13">
      <c r="A8344" s="33" t="str">
        <f t="shared" si="520"/>
        <v>SCL - Operating Expense</v>
      </c>
      <c r="B8344" s="33" t="str">
        <f t="shared" si="521"/>
        <v>SCL</v>
      </c>
      <c r="C8344" s="33" t="str">
        <f t="shared" si="522"/>
        <v>60503-7351</v>
      </c>
      <c r="D8344" s="64" t="s">
        <v>9593</v>
      </c>
      <c r="E8344" s="64" t="s">
        <v>3034</v>
      </c>
      <c r="F8344" s="64" t="s">
        <v>15</v>
      </c>
      <c r="G8344" s="64" t="s">
        <v>3035</v>
      </c>
      <c r="H8344" s="64" t="s">
        <v>3022</v>
      </c>
      <c r="I8344" s="64" t="s">
        <v>3036</v>
      </c>
      <c r="J8344" s="67">
        <v>0</v>
      </c>
      <c r="K8344" s="62">
        <v>464.48</v>
      </c>
      <c r="L8344" s="33" t="e">
        <f>HLOOKUP(B8344,#REF!,1,0)</f>
        <v>#REF!</v>
      </c>
      <c r="M8344" s="33" t="str">
        <f t="shared" si="523"/>
        <v>P&amp;L</v>
      </c>
    </row>
    <row r="8345" spans="1:13">
      <c r="A8345" s="33" t="str">
        <f t="shared" si="520"/>
        <v>SCL - Operating Expense</v>
      </c>
      <c r="B8345" s="33" t="str">
        <f t="shared" si="521"/>
        <v>SCL</v>
      </c>
      <c r="C8345" s="33" t="str">
        <f t="shared" si="522"/>
        <v>60503-7352</v>
      </c>
      <c r="D8345" s="64" t="s">
        <v>9594</v>
      </c>
      <c r="E8345" s="64" t="s">
        <v>3034</v>
      </c>
      <c r="F8345" s="64" t="s">
        <v>15</v>
      </c>
      <c r="G8345" s="64" t="s">
        <v>3035</v>
      </c>
      <c r="H8345" s="64" t="s">
        <v>3022</v>
      </c>
      <c r="I8345" s="64" t="s">
        <v>3036</v>
      </c>
      <c r="J8345" s="67">
        <v>43.21</v>
      </c>
      <c r="K8345" s="62">
        <v>2007.36</v>
      </c>
      <c r="L8345" s="33" t="e">
        <f>HLOOKUP(B8345,#REF!,1,0)</f>
        <v>#REF!</v>
      </c>
      <c r="M8345" s="33" t="str">
        <f t="shared" si="523"/>
        <v>P&amp;L</v>
      </c>
    </row>
    <row r="8346" spans="1:13">
      <c r="A8346" s="33" t="str">
        <f t="shared" si="520"/>
        <v>SCL - Operating Expense</v>
      </c>
      <c r="B8346" s="33" t="str">
        <f t="shared" si="521"/>
        <v>SCL</v>
      </c>
      <c r="C8346" s="33" t="str">
        <f t="shared" si="522"/>
        <v>60503-7355</v>
      </c>
      <c r="D8346" s="64" t="s">
        <v>9595</v>
      </c>
      <c r="E8346" s="64" t="s">
        <v>3034</v>
      </c>
      <c r="F8346" s="64" t="s">
        <v>15</v>
      </c>
      <c r="G8346" s="64" t="s">
        <v>3035</v>
      </c>
      <c r="H8346" s="64" t="s">
        <v>3022</v>
      </c>
      <c r="I8346" s="64" t="s">
        <v>3036</v>
      </c>
      <c r="J8346" s="67">
        <v>0</v>
      </c>
      <c r="K8346" s="62">
        <v>1785.76</v>
      </c>
      <c r="L8346" s="33" t="e">
        <f>HLOOKUP(B8346,#REF!,1,0)</f>
        <v>#REF!</v>
      </c>
      <c r="M8346" s="33" t="str">
        <f t="shared" si="523"/>
        <v>P&amp;L</v>
      </c>
    </row>
    <row r="8347" spans="1:13">
      <c r="A8347" s="33" t="str">
        <f t="shared" si="520"/>
        <v>SCL - Operating Expense</v>
      </c>
      <c r="B8347" s="33" t="str">
        <f t="shared" si="521"/>
        <v>SCL</v>
      </c>
      <c r="C8347" s="33" t="str">
        <f t="shared" si="522"/>
        <v>60503-7356</v>
      </c>
      <c r="D8347" s="64" t="s">
        <v>9596</v>
      </c>
      <c r="E8347" s="64" t="s">
        <v>3034</v>
      </c>
      <c r="F8347" s="64" t="s">
        <v>15</v>
      </c>
      <c r="G8347" s="64" t="s">
        <v>3035</v>
      </c>
      <c r="H8347" s="64" t="s">
        <v>3022</v>
      </c>
      <c r="I8347" s="64" t="s">
        <v>3036</v>
      </c>
      <c r="J8347" s="67">
        <v>0</v>
      </c>
      <c r="K8347" s="62">
        <v>133.92</v>
      </c>
      <c r="L8347" s="33" t="e">
        <f>HLOOKUP(B8347,#REF!,1,0)</f>
        <v>#REF!</v>
      </c>
      <c r="M8347" s="33" t="str">
        <f t="shared" si="523"/>
        <v>P&amp;L</v>
      </c>
    </row>
    <row r="8348" spans="1:13">
      <c r="A8348" s="33" t="str">
        <f t="shared" si="520"/>
        <v>SCL - Operating Expense</v>
      </c>
      <c r="B8348" s="33" t="str">
        <f t="shared" si="521"/>
        <v>SCL</v>
      </c>
      <c r="C8348" s="33" t="str">
        <f t="shared" si="522"/>
        <v>60503-7359</v>
      </c>
      <c r="D8348" s="64" t="s">
        <v>9597</v>
      </c>
      <c r="E8348" s="64" t="s">
        <v>3034</v>
      </c>
      <c r="F8348" s="64" t="s">
        <v>15</v>
      </c>
      <c r="G8348" s="64" t="s">
        <v>3035</v>
      </c>
      <c r="H8348" s="64" t="s">
        <v>3022</v>
      </c>
      <c r="I8348" s="64" t="s">
        <v>3036</v>
      </c>
      <c r="J8348" s="67">
        <v>0</v>
      </c>
      <c r="K8348" s="62">
        <v>668</v>
      </c>
      <c r="L8348" s="33" t="e">
        <f>HLOOKUP(B8348,#REF!,1,0)</f>
        <v>#REF!</v>
      </c>
      <c r="M8348" s="33" t="str">
        <f t="shared" si="523"/>
        <v>P&amp;L</v>
      </c>
    </row>
    <row r="8349" spans="1:13">
      <c r="A8349" s="33" t="str">
        <f t="shared" si="520"/>
        <v>SCL - Operating Expense</v>
      </c>
      <c r="B8349" s="33" t="str">
        <f t="shared" si="521"/>
        <v>SCL</v>
      </c>
      <c r="C8349" s="33" t="str">
        <f t="shared" si="522"/>
        <v>60503-7360</v>
      </c>
      <c r="D8349" s="64" t="s">
        <v>9598</v>
      </c>
      <c r="E8349" s="64" t="s">
        <v>3034</v>
      </c>
      <c r="F8349" s="64" t="s">
        <v>15</v>
      </c>
      <c r="G8349" s="64" t="s">
        <v>3035</v>
      </c>
      <c r="H8349" s="64" t="s">
        <v>3022</v>
      </c>
      <c r="I8349" s="64" t="s">
        <v>3036</v>
      </c>
      <c r="J8349" s="67">
        <v>0</v>
      </c>
      <c r="K8349" s="62">
        <v>342.2</v>
      </c>
      <c r="L8349" s="33" t="e">
        <f>HLOOKUP(B8349,#REF!,1,0)</f>
        <v>#REF!</v>
      </c>
      <c r="M8349" s="33" t="str">
        <f t="shared" si="523"/>
        <v>P&amp;L</v>
      </c>
    </row>
    <row r="8350" spans="1:13">
      <c r="A8350" s="33" t="str">
        <f t="shared" si="520"/>
        <v>SCL - Operating Expense</v>
      </c>
      <c r="B8350" s="33" t="str">
        <f t="shared" si="521"/>
        <v>SCL</v>
      </c>
      <c r="C8350" s="33" t="str">
        <f t="shared" si="522"/>
        <v>60503-7361</v>
      </c>
      <c r="D8350" s="64" t="s">
        <v>9599</v>
      </c>
      <c r="E8350" s="64" t="s">
        <v>3034</v>
      </c>
      <c r="F8350" s="64" t="s">
        <v>15</v>
      </c>
      <c r="G8350" s="64" t="s">
        <v>3035</v>
      </c>
      <c r="H8350" s="64" t="s">
        <v>3022</v>
      </c>
      <c r="I8350" s="64" t="s">
        <v>3036</v>
      </c>
      <c r="J8350" s="67">
        <v>0</v>
      </c>
      <c r="K8350" s="62">
        <v>1475</v>
      </c>
      <c r="L8350" s="33" t="e">
        <f>HLOOKUP(B8350,#REF!,1,0)</f>
        <v>#REF!</v>
      </c>
      <c r="M8350" s="33" t="str">
        <f t="shared" si="523"/>
        <v>P&amp;L</v>
      </c>
    </row>
    <row r="8351" spans="1:13">
      <c r="A8351" s="33" t="str">
        <f t="shared" si="520"/>
        <v>SCL - Operating Expense</v>
      </c>
      <c r="B8351" s="33" t="str">
        <f t="shared" si="521"/>
        <v>SCL</v>
      </c>
      <c r="C8351" s="33" t="str">
        <f t="shared" si="522"/>
        <v>60503-7362</v>
      </c>
      <c r="D8351" s="64" t="s">
        <v>9600</v>
      </c>
      <c r="E8351" s="64" t="s">
        <v>3034</v>
      </c>
      <c r="F8351" s="64" t="s">
        <v>15</v>
      </c>
      <c r="G8351" s="64" t="s">
        <v>3035</v>
      </c>
      <c r="H8351" s="64" t="s">
        <v>3022</v>
      </c>
      <c r="I8351" s="64" t="s">
        <v>3036</v>
      </c>
      <c r="J8351" s="67">
        <v>0</v>
      </c>
      <c r="K8351" s="62">
        <v>575.49</v>
      </c>
      <c r="L8351" s="33" t="e">
        <f>HLOOKUP(B8351,#REF!,1,0)</f>
        <v>#REF!</v>
      </c>
      <c r="M8351" s="33" t="str">
        <f t="shared" si="523"/>
        <v>P&amp;L</v>
      </c>
    </row>
    <row r="8352" spans="1:13">
      <c r="A8352" s="33" t="str">
        <f t="shared" si="520"/>
        <v>SCL - Operating Expense</v>
      </c>
      <c r="B8352" s="33" t="str">
        <f t="shared" si="521"/>
        <v>SCL</v>
      </c>
      <c r="C8352" s="33" t="str">
        <f t="shared" si="522"/>
        <v>60503-7363</v>
      </c>
      <c r="D8352" s="64" t="s">
        <v>9601</v>
      </c>
      <c r="E8352" s="64" t="s">
        <v>3034</v>
      </c>
      <c r="F8352" s="64" t="s">
        <v>15</v>
      </c>
      <c r="G8352" s="64" t="s">
        <v>3035</v>
      </c>
      <c r="H8352" s="64" t="s">
        <v>3022</v>
      </c>
      <c r="I8352" s="64" t="s">
        <v>3036</v>
      </c>
      <c r="J8352" s="67">
        <v>0</v>
      </c>
      <c r="K8352" s="62">
        <v>574.33</v>
      </c>
      <c r="L8352" s="33" t="e">
        <f>HLOOKUP(B8352,#REF!,1,0)</f>
        <v>#REF!</v>
      </c>
      <c r="M8352" s="33" t="str">
        <f t="shared" si="523"/>
        <v>P&amp;L</v>
      </c>
    </row>
    <row r="8353" spans="1:13">
      <c r="A8353" s="33" t="str">
        <f t="shared" si="520"/>
        <v>SCL - Operating Expense</v>
      </c>
      <c r="B8353" s="33" t="str">
        <f t="shared" si="521"/>
        <v>SCL</v>
      </c>
      <c r="C8353" s="33" t="str">
        <f t="shared" si="522"/>
        <v>60503-7364</v>
      </c>
      <c r="D8353" s="64" t="s">
        <v>9602</v>
      </c>
      <c r="E8353" s="64" t="s">
        <v>3034</v>
      </c>
      <c r="F8353" s="64" t="s">
        <v>15</v>
      </c>
      <c r="G8353" s="64" t="s">
        <v>3035</v>
      </c>
      <c r="H8353" s="64" t="s">
        <v>3022</v>
      </c>
      <c r="I8353" s="64" t="s">
        <v>3036</v>
      </c>
      <c r="J8353" s="67">
        <v>0</v>
      </c>
      <c r="K8353" s="62">
        <v>996.84</v>
      </c>
      <c r="L8353" s="33" t="e">
        <f>HLOOKUP(B8353,#REF!,1,0)</f>
        <v>#REF!</v>
      </c>
      <c r="M8353" s="33" t="str">
        <f t="shared" si="523"/>
        <v>P&amp;L</v>
      </c>
    </row>
    <row r="8354" spans="1:13">
      <c r="A8354" s="33" t="str">
        <f t="shared" si="520"/>
        <v>SCL - Operating Expense</v>
      </c>
      <c r="B8354" s="33" t="str">
        <f t="shared" si="521"/>
        <v>SCL</v>
      </c>
      <c r="C8354" s="33" t="str">
        <f t="shared" si="522"/>
        <v>60503-7365</v>
      </c>
      <c r="D8354" s="64" t="s">
        <v>9603</v>
      </c>
      <c r="E8354" s="64" t="s">
        <v>3034</v>
      </c>
      <c r="F8354" s="64" t="s">
        <v>15</v>
      </c>
      <c r="G8354" s="64" t="s">
        <v>3035</v>
      </c>
      <c r="H8354" s="64" t="s">
        <v>3022</v>
      </c>
      <c r="I8354" s="64" t="s">
        <v>3036</v>
      </c>
      <c r="J8354" s="67">
        <v>142.99</v>
      </c>
      <c r="K8354" s="62">
        <v>1629.69</v>
      </c>
      <c r="L8354" s="33" t="e">
        <f>HLOOKUP(B8354,#REF!,1,0)</f>
        <v>#REF!</v>
      </c>
      <c r="M8354" s="33" t="str">
        <f t="shared" si="523"/>
        <v>P&amp;L</v>
      </c>
    </row>
    <row r="8355" spans="1:13">
      <c r="A8355" s="33" t="str">
        <f t="shared" si="520"/>
        <v>SCL - Operating Expense</v>
      </c>
      <c r="B8355" s="33" t="str">
        <f t="shared" si="521"/>
        <v>SCL</v>
      </c>
      <c r="C8355" s="33" t="str">
        <f t="shared" si="522"/>
        <v>60503-7366</v>
      </c>
      <c r="D8355" s="64" t="s">
        <v>9604</v>
      </c>
      <c r="E8355" s="64" t="s">
        <v>3034</v>
      </c>
      <c r="F8355" s="64" t="s">
        <v>15</v>
      </c>
      <c r="G8355" s="64" t="s">
        <v>3035</v>
      </c>
      <c r="H8355" s="64" t="s">
        <v>3022</v>
      </c>
      <c r="I8355" s="64" t="s">
        <v>3036</v>
      </c>
      <c r="J8355" s="67">
        <v>0</v>
      </c>
      <c r="K8355" s="62">
        <v>1098.38</v>
      </c>
      <c r="L8355" s="33" t="e">
        <f>HLOOKUP(B8355,#REF!,1,0)</f>
        <v>#REF!</v>
      </c>
      <c r="M8355" s="33" t="str">
        <f t="shared" si="523"/>
        <v>P&amp;L</v>
      </c>
    </row>
    <row r="8356" spans="1:13">
      <c r="A8356" s="33" t="str">
        <f t="shared" si="520"/>
        <v>SCL - Operating Expense</v>
      </c>
      <c r="B8356" s="33" t="str">
        <f t="shared" si="521"/>
        <v>SCL</v>
      </c>
      <c r="C8356" s="33" t="str">
        <f t="shared" si="522"/>
        <v>60503-7368</v>
      </c>
      <c r="D8356" s="64" t="s">
        <v>9605</v>
      </c>
      <c r="E8356" s="64" t="s">
        <v>3034</v>
      </c>
      <c r="F8356" s="64" t="s">
        <v>15</v>
      </c>
      <c r="G8356" s="64" t="s">
        <v>3035</v>
      </c>
      <c r="H8356" s="64" t="s">
        <v>3022</v>
      </c>
      <c r="I8356" s="64" t="s">
        <v>3036</v>
      </c>
      <c r="J8356" s="67">
        <v>0</v>
      </c>
      <c r="K8356" s="62">
        <v>1121.4</v>
      </c>
      <c r="L8356" s="33" t="e">
        <f>HLOOKUP(B8356,#REF!,1,0)</f>
        <v>#REF!</v>
      </c>
      <c r="M8356" s="33" t="str">
        <f t="shared" si="523"/>
        <v>P&amp;L</v>
      </c>
    </row>
    <row r="8357" spans="1:13">
      <c r="A8357" s="33" t="str">
        <f t="shared" si="520"/>
        <v>SCL - Operating Expense</v>
      </c>
      <c r="B8357" s="33" t="str">
        <f t="shared" si="521"/>
        <v>SCL</v>
      </c>
      <c r="C8357" s="33" t="str">
        <f t="shared" si="522"/>
        <v>60503-7369</v>
      </c>
      <c r="D8357" s="64" t="s">
        <v>9606</v>
      </c>
      <c r="E8357" s="64" t="s">
        <v>3034</v>
      </c>
      <c r="F8357" s="64" t="s">
        <v>15</v>
      </c>
      <c r="G8357" s="64" t="s">
        <v>3035</v>
      </c>
      <c r="H8357" s="64" t="s">
        <v>3022</v>
      </c>
      <c r="I8357" s="64" t="s">
        <v>3036</v>
      </c>
      <c r="J8357" s="67">
        <v>142.99</v>
      </c>
      <c r="K8357" s="62">
        <v>889.89</v>
      </c>
      <c r="L8357" s="33" t="e">
        <f>HLOOKUP(B8357,#REF!,1,0)</f>
        <v>#REF!</v>
      </c>
      <c r="M8357" s="33" t="str">
        <f t="shared" si="523"/>
        <v>P&amp;L</v>
      </c>
    </row>
    <row r="8358" spans="1:13">
      <c r="A8358" s="33" t="str">
        <f t="shared" si="520"/>
        <v>SCL - Operating Expense</v>
      </c>
      <c r="B8358" s="33" t="str">
        <f t="shared" si="521"/>
        <v>SCL</v>
      </c>
      <c r="C8358" s="33" t="str">
        <f t="shared" si="522"/>
        <v>60503-7371</v>
      </c>
      <c r="D8358" s="64" t="s">
        <v>9607</v>
      </c>
      <c r="E8358" s="64" t="s">
        <v>3034</v>
      </c>
      <c r="F8358" s="64" t="s">
        <v>15</v>
      </c>
      <c r="G8358" s="64" t="s">
        <v>3035</v>
      </c>
      <c r="H8358" s="64" t="s">
        <v>3022</v>
      </c>
      <c r="I8358" s="64" t="s">
        <v>3036</v>
      </c>
      <c r="J8358" s="67">
        <v>0</v>
      </c>
      <c r="K8358" s="62">
        <v>646.55</v>
      </c>
      <c r="L8358" s="33" t="e">
        <f>HLOOKUP(B8358,#REF!,1,0)</f>
        <v>#REF!</v>
      </c>
      <c r="M8358" s="33" t="str">
        <f t="shared" si="523"/>
        <v>P&amp;L</v>
      </c>
    </row>
    <row r="8359" spans="1:13">
      <c r="A8359" s="33" t="str">
        <f t="shared" si="520"/>
        <v>SCL - Operating Expense</v>
      </c>
      <c r="B8359" s="33" t="str">
        <f t="shared" si="521"/>
        <v>SCL</v>
      </c>
      <c r="C8359" s="33" t="str">
        <f t="shared" si="522"/>
        <v>60503-7374</v>
      </c>
      <c r="D8359" s="64" t="s">
        <v>9608</v>
      </c>
      <c r="E8359" s="64" t="s">
        <v>3034</v>
      </c>
      <c r="F8359" s="64" t="s">
        <v>15</v>
      </c>
      <c r="G8359" s="64" t="s">
        <v>3035</v>
      </c>
      <c r="H8359" s="64" t="s">
        <v>3022</v>
      </c>
      <c r="I8359" s="64" t="s">
        <v>3036</v>
      </c>
      <c r="J8359" s="67">
        <v>0</v>
      </c>
      <c r="K8359" s="62">
        <v>892.61</v>
      </c>
      <c r="L8359" s="33" t="e">
        <f>HLOOKUP(B8359,#REF!,1,0)</f>
        <v>#REF!</v>
      </c>
      <c r="M8359" s="33" t="str">
        <f t="shared" si="523"/>
        <v>P&amp;L</v>
      </c>
    </row>
    <row r="8360" spans="1:13">
      <c r="A8360" s="33" t="str">
        <f t="shared" si="520"/>
        <v>SCL - Operating Expense</v>
      </c>
      <c r="B8360" s="33" t="str">
        <f t="shared" si="521"/>
        <v>SCL</v>
      </c>
      <c r="C8360" s="33" t="str">
        <f t="shared" si="522"/>
        <v>60503-7375</v>
      </c>
      <c r="D8360" s="64" t="s">
        <v>9609</v>
      </c>
      <c r="E8360" s="64" t="s">
        <v>3034</v>
      </c>
      <c r="F8360" s="64" t="s">
        <v>15</v>
      </c>
      <c r="G8360" s="64" t="s">
        <v>3035</v>
      </c>
      <c r="H8360" s="64" t="s">
        <v>3022</v>
      </c>
      <c r="I8360" s="64" t="s">
        <v>3036</v>
      </c>
      <c r="J8360" s="67">
        <v>14.87</v>
      </c>
      <c r="K8360" s="62">
        <v>336.08</v>
      </c>
      <c r="L8360" s="33" t="e">
        <f>HLOOKUP(B8360,#REF!,1,0)</f>
        <v>#REF!</v>
      </c>
      <c r="M8360" s="33" t="str">
        <f t="shared" si="523"/>
        <v>P&amp;L</v>
      </c>
    </row>
    <row r="8361" spans="1:13">
      <c r="A8361" s="33" t="str">
        <f t="shared" si="520"/>
        <v>SCL - Operating Expense</v>
      </c>
      <c r="B8361" s="33" t="str">
        <f t="shared" si="521"/>
        <v>SCL</v>
      </c>
      <c r="C8361" s="33" t="str">
        <f t="shared" si="522"/>
        <v>60503-7376</v>
      </c>
      <c r="D8361" s="64" t="s">
        <v>9610</v>
      </c>
      <c r="E8361" s="64" t="s">
        <v>3034</v>
      </c>
      <c r="F8361" s="64" t="s">
        <v>15</v>
      </c>
      <c r="G8361" s="64" t="s">
        <v>3035</v>
      </c>
      <c r="H8361" s="64" t="s">
        <v>3022</v>
      </c>
      <c r="I8361" s="64" t="s">
        <v>3036</v>
      </c>
      <c r="J8361" s="67">
        <v>271.83</v>
      </c>
      <c r="K8361" s="62">
        <v>1445.93</v>
      </c>
      <c r="L8361" s="33" t="e">
        <f>HLOOKUP(B8361,#REF!,1,0)</f>
        <v>#REF!</v>
      </c>
      <c r="M8361" s="33" t="str">
        <f t="shared" si="523"/>
        <v>P&amp;L</v>
      </c>
    </row>
    <row r="8362" spans="1:13">
      <c r="A8362" s="33" t="str">
        <f t="shared" si="520"/>
        <v>SCL - Operating Expense</v>
      </c>
      <c r="B8362" s="33" t="str">
        <f t="shared" si="521"/>
        <v>SCL</v>
      </c>
      <c r="C8362" s="33" t="str">
        <f t="shared" si="522"/>
        <v>60503-7377</v>
      </c>
      <c r="D8362" s="64" t="s">
        <v>9611</v>
      </c>
      <c r="E8362" s="64" t="s">
        <v>3034</v>
      </c>
      <c r="F8362" s="64" t="s">
        <v>15</v>
      </c>
      <c r="G8362" s="64" t="s">
        <v>3035</v>
      </c>
      <c r="H8362" s="64" t="s">
        <v>3022</v>
      </c>
      <c r="I8362" s="64" t="s">
        <v>3036</v>
      </c>
      <c r="J8362" s="67">
        <v>0</v>
      </c>
      <c r="K8362" s="62">
        <v>1006.72</v>
      </c>
      <c r="L8362" s="33" t="e">
        <f>HLOOKUP(B8362,#REF!,1,0)</f>
        <v>#REF!</v>
      </c>
      <c r="M8362" s="33" t="str">
        <f t="shared" si="523"/>
        <v>P&amp;L</v>
      </c>
    </row>
    <row r="8363" spans="1:13">
      <c r="A8363" s="33" t="str">
        <f t="shared" si="520"/>
        <v>SCL - Operating Expense</v>
      </c>
      <c r="B8363" s="33" t="str">
        <f t="shared" si="521"/>
        <v>SCL</v>
      </c>
      <c r="C8363" s="33" t="str">
        <f t="shared" si="522"/>
        <v>60503-7378</v>
      </c>
      <c r="D8363" s="64" t="s">
        <v>9612</v>
      </c>
      <c r="E8363" s="64" t="s">
        <v>3034</v>
      </c>
      <c r="F8363" s="64" t="s">
        <v>15</v>
      </c>
      <c r="G8363" s="64" t="s">
        <v>3035</v>
      </c>
      <c r="H8363" s="64" t="s">
        <v>3022</v>
      </c>
      <c r="I8363" s="64" t="s">
        <v>3036</v>
      </c>
      <c r="J8363" s="67">
        <v>0</v>
      </c>
      <c r="K8363" s="62">
        <v>540.93</v>
      </c>
      <c r="L8363" s="33" t="e">
        <f>HLOOKUP(B8363,#REF!,1,0)</f>
        <v>#REF!</v>
      </c>
      <c r="M8363" s="33" t="str">
        <f t="shared" si="523"/>
        <v>P&amp;L</v>
      </c>
    </row>
    <row r="8364" spans="1:13">
      <c r="A8364" s="33" t="str">
        <f t="shared" si="520"/>
        <v>SCL - Operating Expense</v>
      </c>
      <c r="B8364" s="33" t="str">
        <f t="shared" si="521"/>
        <v>SCL</v>
      </c>
      <c r="C8364" s="33" t="str">
        <f t="shared" si="522"/>
        <v>60503-7379</v>
      </c>
      <c r="D8364" s="64" t="s">
        <v>9613</v>
      </c>
      <c r="E8364" s="64" t="s">
        <v>3034</v>
      </c>
      <c r="F8364" s="64" t="s">
        <v>15</v>
      </c>
      <c r="G8364" s="64" t="s">
        <v>3035</v>
      </c>
      <c r="H8364" s="64" t="s">
        <v>3022</v>
      </c>
      <c r="I8364" s="64" t="s">
        <v>3036</v>
      </c>
      <c r="J8364" s="67">
        <v>474.17</v>
      </c>
      <c r="K8364" s="62">
        <v>3739.31</v>
      </c>
      <c r="L8364" s="33" t="e">
        <f>HLOOKUP(B8364,#REF!,1,0)</f>
        <v>#REF!</v>
      </c>
      <c r="M8364" s="33" t="str">
        <f t="shared" si="523"/>
        <v>P&amp;L</v>
      </c>
    </row>
    <row r="8365" spans="1:13">
      <c r="A8365" s="33" t="str">
        <f t="shared" si="520"/>
        <v>SCL - Operating Expense</v>
      </c>
      <c r="B8365" s="33" t="str">
        <f t="shared" si="521"/>
        <v>SCL</v>
      </c>
      <c r="C8365" s="33" t="str">
        <f t="shared" si="522"/>
        <v>60503-7380</v>
      </c>
      <c r="D8365" s="64" t="s">
        <v>9614</v>
      </c>
      <c r="E8365" s="64" t="s">
        <v>3034</v>
      </c>
      <c r="F8365" s="64" t="s">
        <v>15</v>
      </c>
      <c r="G8365" s="64" t="s">
        <v>3035</v>
      </c>
      <c r="H8365" s="64" t="s">
        <v>3022</v>
      </c>
      <c r="I8365" s="64" t="s">
        <v>3036</v>
      </c>
      <c r="J8365" s="67">
        <v>375.45</v>
      </c>
      <c r="K8365" s="62">
        <v>2593.71</v>
      </c>
      <c r="L8365" s="33" t="e">
        <f>HLOOKUP(B8365,#REF!,1,0)</f>
        <v>#REF!</v>
      </c>
      <c r="M8365" s="33" t="str">
        <f t="shared" si="523"/>
        <v>P&amp;L</v>
      </c>
    </row>
    <row r="8366" spans="1:13">
      <c r="A8366" s="33" t="str">
        <f t="shared" si="520"/>
        <v>SCL - Operating Expense</v>
      </c>
      <c r="B8366" s="33" t="str">
        <f t="shared" si="521"/>
        <v>SCL</v>
      </c>
      <c r="C8366" s="33" t="str">
        <f t="shared" si="522"/>
        <v>60503-7381</v>
      </c>
      <c r="D8366" s="64" t="s">
        <v>9615</v>
      </c>
      <c r="E8366" s="64" t="s">
        <v>3034</v>
      </c>
      <c r="F8366" s="64" t="s">
        <v>15</v>
      </c>
      <c r="G8366" s="64" t="s">
        <v>3035</v>
      </c>
      <c r="H8366" s="64" t="s">
        <v>3022</v>
      </c>
      <c r="I8366" s="64" t="s">
        <v>3036</v>
      </c>
      <c r="J8366" s="67">
        <v>373.97</v>
      </c>
      <c r="K8366" s="62">
        <v>1357.89</v>
      </c>
      <c r="L8366" s="33" t="e">
        <f>HLOOKUP(B8366,#REF!,1,0)</f>
        <v>#REF!</v>
      </c>
      <c r="M8366" s="33" t="str">
        <f t="shared" si="523"/>
        <v>P&amp;L</v>
      </c>
    </row>
    <row r="8367" spans="1:13">
      <c r="A8367" s="33" t="str">
        <f t="shared" si="520"/>
        <v>SCL - Operating Expense</v>
      </c>
      <c r="B8367" s="33" t="str">
        <f t="shared" si="521"/>
        <v>SCL</v>
      </c>
      <c r="C8367" s="33" t="str">
        <f t="shared" si="522"/>
        <v>60503-7383</v>
      </c>
      <c r="D8367" s="64" t="s">
        <v>9616</v>
      </c>
      <c r="E8367" s="64" t="s">
        <v>3034</v>
      </c>
      <c r="F8367" s="64" t="s">
        <v>15</v>
      </c>
      <c r="G8367" s="64" t="s">
        <v>3035</v>
      </c>
      <c r="H8367" s="64" t="s">
        <v>3022</v>
      </c>
      <c r="I8367" s="64" t="s">
        <v>3036</v>
      </c>
      <c r="J8367" s="67">
        <v>0</v>
      </c>
      <c r="K8367" s="62">
        <v>464.47</v>
      </c>
      <c r="L8367" s="33" t="e">
        <f>HLOOKUP(B8367,#REF!,1,0)</f>
        <v>#REF!</v>
      </c>
      <c r="M8367" s="33" t="str">
        <f t="shared" si="523"/>
        <v>P&amp;L</v>
      </c>
    </row>
    <row r="8368" spans="1:13">
      <c r="A8368" s="33" t="str">
        <f t="shared" si="520"/>
        <v>SCL - Operating Expense</v>
      </c>
      <c r="B8368" s="33" t="str">
        <f t="shared" si="521"/>
        <v>SCL</v>
      </c>
      <c r="C8368" s="33" t="str">
        <f t="shared" si="522"/>
        <v>60503-7385</v>
      </c>
      <c r="D8368" s="64" t="s">
        <v>9617</v>
      </c>
      <c r="E8368" s="64" t="s">
        <v>3034</v>
      </c>
      <c r="F8368" s="64" t="s">
        <v>15</v>
      </c>
      <c r="G8368" s="64" t="s">
        <v>3035</v>
      </c>
      <c r="H8368" s="64" t="s">
        <v>3022</v>
      </c>
      <c r="I8368" s="64" t="s">
        <v>3036</v>
      </c>
      <c r="J8368" s="67">
        <v>210.63</v>
      </c>
      <c r="K8368" s="62">
        <v>501.62</v>
      </c>
      <c r="L8368" s="33" t="e">
        <f>HLOOKUP(B8368,#REF!,1,0)</f>
        <v>#REF!</v>
      </c>
      <c r="M8368" s="33" t="str">
        <f t="shared" si="523"/>
        <v>P&amp;L</v>
      </c>
    </row>
    <row r="8369" spans="1:13">
      <c r="A8369" s="33" t="str">
        <f t="shared" si="520"/>
        <v>SCL - Operating Expense</v>
      </c>
      <c r="B8369" s="33" t="str">
        <f t="shared" si="521"/>
        <v>SCL</v>
      </c>
      <c r="C8369" s="33" t="str">
        <f t="shared" si="522"/>
        <v>60503-7386</v>
      </c>
      <c r="D8369" s="64" t="s">
        <v>9618</v>
      </c>
      <c r="E8369" s="64" t="s">
        <v>3034</v>
      </c>
      <c r="F8369" s="64" t="s">
        <v>15</v>
      </c>
      <c r="G8369" s="64" t="s">
        <v>3035</v>
      </c>
      <c r="H8369" s="64" t="s">
        <v>3022</v>
      </c>
      <c r="I8369" s="64" t="s">
        <v>3036</v>
      </c>
      <c r="J8369" s="67">
        <v>0</v>
      </c>
      <c r="K8369" s="62">
        <v>74.63</v>
      </c>
      <c r="L8369" s="33" t="e">
        <f>HLOOKUP(B8369,#REF!,1,0)</f>
        <v>#REF!</v>
      </c>
      <c r="M8369" s="33" t="str">
        <f t="shared" si="523"/>
        <v>P&amp;L</v>
      </c>
    </row>
    <row r="8370" spans="1:13">
      <c r="A8370" s="33" t="str">
        <f t="shared" si="520"/>
        <v>SCL - Operating Expense</v>
      </c>
      <c r="B8370" s="33" t="str">
        <f t="shared" si="521"/>
        <v>SCL</v>
      </c>
      <c r="C8370" s="33" t="str">
        <f t="shared" si="522"/>
        <v>60503-7387</v>
      </c>
      <c r="D8370" s="64" t="s">
        <v>9619</v>
      </c>
      <c r="E8370" s="64" t="s">
        <v>3034</v>
      </c>
      <c r="F8370" s="64" t="s">
        <v>15</v>
      </c>
      <c r="G8370" s="64" t="s">
        <v>3035</v>
      </c>
      <c r="H8370" s="64" t="s">
        <v>3022</v>
      </c>
      <c r="I8370" s="64" t="s">
        <v>3036</v>
      </c>
      <c r="J8370" s="67">
        <v>0</v>
      </c>
      <c r="K8370" s="62">
        <v>464.46</v>
      </c>
      <c r="L8370" s="33" t="e">
        <f>HLOOKUP(B8370,#REF!,1,0)</f>
        <v>#REF!</v>
      </c>
      <c r="M8370" s="33" t="str">
        <f t="shared" si="523"/>
        <v>P&amp;L</v>
      </c>
    </row>
    <row r="8371" spans="1:13">
      <c r="A8371" s="33" t="str">
        <f t="shared" si="520"/>
        <v>SCL - Operating Expense</v>
      </c>
      <c r="B8371" s="33" t="str">
        <f t="shared" si="521"/>
        <v>SCL</v>
      </c>
      <c r="C8371" s="33" t="str">
        <f t="shared" si="522"/>
        <v>60503-7389</v>
      </c>
      <c r="D8371" s="64" t="s">
        <v>9620</v>
      </c>
      <c r="E8371" s="64" t="s">
        <v>3034</v>
      </c>
      <c r="F8371" s="64" t="s">
        <v>15</v>
      </c>
      <c r="G8371" s="64" t="s">
        <v>3035</v>
      </c>
      <c r="H8371" s="64" t="s">
        <v>3022</v>
      </c>
      <c r="I8371" s="64" t="s">
        <v>3036</v>
      </c>
      <c r="J8371" s="67">
        <v>0</v>
      </c>
      <c r="K8371" s="62">
        <v>42.92</v>
      </c>
      <c r="L8371" s="33" t="e">
        <f>HLOOKUP(B8371,#REF!,1,0)</f>
        <v>#REF!</v>
      </c>
      <c r="M8371" s="33" t="str">
        <f t="shared" si="523"/>
        <v>P&amp;L</v>
      </c>
    </row>
    <row r="8372" spans="1:13">
      <c r="A8372" s="33" t="str">
        <f t="shared" si="520"/>
        <v>SCL - Operating Expense</v>
      </c>
      <c r="B8372" s="33" t="str">
        <f t="shared" si="521"/>
        <v>SCL</v>
      </c>
      <c r="C8372" s="33" t="str">
        <f t="shared" si="522"/>
        <v>60503-7391</v>
      </c>
      <c r="D8372" s="64" t="s">
        <v>9621</v>
      </c>
      <c r="E8372" s="64" t="s">
        <v>3034</v>
      </c>
      <c r="F8372" s="64" t="s">
        <v>15</v>
      </c>
      <c r="G8372" s="64" t="s">
        <v>3035</v>
      </c>
      <c r="H8372" s="64" t="s">
        <v>3022</v>
      </c>
      <c r="I8372" s="64" t="s">
        <v>3036</v>
      </c>
      <c r="J8372" s="67">
        <v>142.99</v>
      </c>
      <c r="K8372" s="62">
        <v>886.98</v>
      </c>
      <c r="L8372" s="33" t="e">
        <f>HLOOKUP(B8372,#REF!,1,0)</f>
        <v>#REF!</v>
      </c>
      <c r="M8372" s="33" t="str">
        <f t="shared" si="523"/>
        <v>P&amp;L</v>
      </c>
    </row>
    <row r="8373" spans="1:13">
      <c r="A8373" s="33" t="str">
        <f t="shared" si="520"/>
        <v>SCL - Operating Expense</v>
      </c>
      <c r="B8373" s="33" t="str">
        <f t="shared" si="521"/>
        <v>SCL</v>
      </c>
      <c r="C8373" s="33" t="str">
        <f t="shared" si="522"/>
        <v>60503-7393</v>
      </c>
      <c r="D8373" s="64" t="s">
        <v>9622</v>
      </c>
      <c r="E8373" s="64" t="s">
        <v>3034</v>
      </c>
      <c r="F8373" s="64" t="s">
        <v>15</v>
      </c>
      <c r="G8373" s="64" t="s">
        <v>3035</v>
      </c>
      <c r="H8373" s="64" t="s">
        <v>3022</v>
      </c>
      <c r="I8373" s="64" t="s">
        <v>3036</v>
      </c>
      <c r="J8373" s="67">
        <v>0</v>
      </c>
      <c r="K8373" s="62">
        <v>566.26</v>
      </c>
      <c r="L8373" s="33" t="e">
        <f>HLOOKUP(B8373,#REF!,1,0)</f>
        <v>#REF!</v>
      </c>
      <c r="M8373" s="33" t="str">
        <f t="shared" si="523"/>
        <v>P&amp;L</v>
      </c>
    </row>
    <row r="8374" spans="1:13">
      <c r="A8374" s="33" t="str">
        <f t="shared" si="520"/>
        <v>SCL - Operating Expense</v>
      </c>
      <c r="B8374" s="33" t="str">
        <f t="shared" si="521"/>
        <v>SCL</v>
      </c>
      <c r="C8374" s="33" t="str">
        <f t="shared" si="522"/>
        <v>60503-7394</v>
      </c>
      <c r="D8374" s="64" t="s">
        <v>9623</v>
      </c>
      <c r="E8374" s="64" t="s">
        <v>3034</v>
      </c>
      <c r="F8374" s="64" t="s">
        <v>15</v>
      </c>
      <c r="G8374" s="64" t="s">
        <v>3035</v>
      </c>
      <c r="H8374" s="64" t="s">
        <v>3022</v>
      </c>
      <c r="I8374" s="64" t="s">
        <v>3036</v>
      </c>
      <c r="J8374" s="67">
        <v>284.85</v>
      </c>
      <c r="K8374" s="62">
        <v>2751.95</v>
      </c>
      <c r="L8374" s="33" t="e">
        <f>HLOOKUP(B8374,#REF!,1,0)</f>
        <v>#REF!</v>
      </c>
      <c r="M8374" s="33" t="str">
        <f t="shared" si="523"/>
        <v>P&amp;L</v>
      </c>
    </row>
    <row r="8375" spans="1:13">
      <c r="A8375" s="33" t="str">
        <f t="shared" si="520"/>
        <v>SCL - Operating Expense</v>
      </c>
      <c r="B8375" s="33" t="str">
        <f t="shared" si="521"/>
        <v>SCL</v>
      </c>
      <c r="C8375" s="33" t="str">
        <f t="shared" si="522"/>
        <v>60503-7396</v>
      </c>
      <c r="D8375" s="64" t="s">
        <v>9624</v>
      </c>
      <c r="E8375" s="64" t="s">
        <v>3034</v>
      </c>
      <c r="F8375" s="64" t="s">
        <v>15</v>
      </c>
      <c r="G8375" s="64" t="s">
        <v>3035</v>
      </c>
      <c r="H8375" s="64" t="s">
        <v>3022</v>
      </c>
      <c r="I8375" s="64" t="s">
        <v>3036</v>
      </c>
      <c r="J8375" s="67">
        <v>142.97</v>
      </c>
      <c r="K8375" s="62">
        <v>429.87</v>
      </c>
      <c r="L8375" s="33" t="e">
        <f>HLOOKUP(B8375,#REF!,1,0)</f>
        <v>#REF!</v>
      </c>
      <c r="M8375" s="33" t="str">
        <f t="shared" si="523"/>
        <v>P&amp;L</v>
      </c>
    </row>
    <row r="8376" spans="1:13">
      <c r="A8376" s="33" t="str">
        <f t="shared" si="520"/>
        <v>SCL - Operating Expense</v>
      </c>
      <c r="B8376" s="33" t="str">
        <f t="shared" si="521"/>
        <v>SCL</v>
      </c>
      <c r="C8376" s="33" t="str">
        <f t="shared" si="522"/>
        <v>60503-7397</v>
      </c>
      <c r="D8376" s="64" t="s">
        <v>9625</v>
      </c>
      <c r="E8376" s="64" t="s">
        <v>3034</v>
      </c>
      <c r="F8376" s="64" t="s">
        <v>15</v>
      </c>
      <c r="G8376" s="64" t="s">
        <v>3035</v>
      </c>
      <c r="H8376" s="64" t="s">
        <v>3022</v>
      </c>
      <c r="I8376" s="64" t="s">
        <v>3036</v>
      </c>
      <c r="J8376" s="67">
        <v>0</v>
      </c>
      <c r="K8376" s="62">
        <v>441.79</v>
      </c>
      <c r="L8376" s="33" t="e">
        <f>HLOOKUP(B8376,#REF!,1,0)</f>
        <v>#REF!</v>
      </c>
      <c r="M8376" s="33" t="str">
        <f t="shared" si="523"/>
        <v>P&amp;L</v>
      </c>
    </row>
    <row r="8377" spans="1:13">
      <c r="A8377" s="33" t="str">
        <f t="shared" si="520"/>
        <v>SCL - Operating Expense</v>
      </c>
      <c r="B8377" s="33" t="str">
        <f t="shared" si="521"/>
        <v>SCL</v>
      </c>
      <c r="C8377" s="33" t="str">
        <f t="shared" si="522"/>
        <v>60503-7398</v>
      </c>
      <c r="D8377" s="64" t="s">
        <v>9626</v>
      </c>
      <c r="E8377" s="64" t="s">
        <v>3034</v>
      </c>
      <c r="F8377" s="64" t="s">
        <v>15</v>
      </c>
      <c r="G8377" s="64" t="s">
        <v>3035</v>
      </c>
      <c r="H8377" s="64" t="s">
        <v>3022</v>
      </c>
      <c r="I8377" s="64" t="s">
        <v>3036</v>
      </c>
      <c r="J8377" s="67">
        <v>71.48</v>
      </c>
      <c r="K8377" s="62">
        <v>1569.99</v>
      </c>
      <c r="L8377" s="33" t="e">
        <f>HLOOKUP(B8377,#REF!,1,0)</f>
        <v>#REF!</v>
      </c>
      <c r="M8377" s="33" t="str">
        <f t="shared" si="523"/>
        <v>P&amp;L</v>
      </c>
    </row>
    <row r="8378" spans="1:13">
      <c r="A8378" s="33" t="str">
        <f t="shared" si="520"/>
        <v>SCL - Operating Expense</v>
      </c>
      <c r="B8378" s="33" t="str">
        <f t="shared" si="521"/>
        <v>SCL</v>
      </c>
      <c r="C8378" s="33" t="str">
        <f t="shared" si="522"/>
        <v>60503-7400</v>
      </c>
      <c r="D8378" s="64" t="s">
        <v>9627</v>
      </c>
      <c r="E8378" s="64" t="s">
        <v>3034</v>
      </c>
      <c r="F8378" s="64" t="s">
        <v>15</v>
      </c>
      <c r="G8378" s="64" t="s">
        <v>3035</v>
      </c>
      <c r="H8378" s="64" t="s">
        <v>3022</v>
      </c>
      <c r="I8378" s="64" t="s">
        <v>3036</v>
      </c>
      <c r="J8378" s="67">
        <v>0</v>
      </c>
      <c r="K8378" s="62">
        <v>464.45</v>
      </c>
      <c r="L8378" s="33" t="e">
        <f>HLOOKUP(B8378,#REF!,1,0)</f>
        <v>#REF!</v>
      </c>
      <c r="M8378" s="33" t="str">
        <f t="shared" si="523"/>
        <v>P&amp;L</v>
      </c>
    </row>
    <row r="8379" spans="1:13">
      <c r="A8379" s="33" t="str">
        <f t="shared" si="520"/>
        <v>SCL - Operating Expense</v>
      </c>
      <c r="B8379" s="33" t="str">
        <f t="shared" si="521"/>
        <v>SCL</v>
      </c>
      <c r="C8379" s="33" t="str">
        <f t="shared" si="522"/>
        <v>60503-7401</v>
      </c>
      <c r="D8379" s="64" t="s">
        <v>9628</v>
      </c>
      <c r="E8379" s="64" t="s">
        <v>3034</v>
      </c>
      <c r="F8379" s="64" t="s">
        <v>15</v>
      </c>
      <c r="G8379" s="64" t="s">
        <v>3035</v>
      </c>
      <c r="H8379" s="64" t="s">
        <v>3022</v>
      </c>
      <c r="I8379" s="64" t="s">
        <v>3036</v>
      </c>
      <c r="J8379" s="67">
        <v>0</v>
      </c>
      <c r="K8379" s="62">
        <v>464.47</v>
      </c>
      <c r="L8379" s="33" t="e">
        <f>HLOOKUP(B8379,#REF!,1,0)</f>
        <v>#REF!</v>
      </c>
      <c r="M8379" s="33" t="str">
        <f t="shared" si="523"/>
        <v>P&amp;L</v>
      </c>
    </row>
    <row r="8380" spans="1:13">
      <c r="A8380" s="33" t="str">
        <f t="shared" si="520"/>
        <v>SCL - Operating Expense</v>
      </c>
      <c r="B8380" s="33" t="str">
        <f t="shared" si="521"/>
        <v>SCL</v>
      </c>
      <c r="C8380" s="33" t="str">
        <f t="shared" si="522"/>
        <v>60503-7402</v>
      </c>
      <c r="D8380" s="64" t="s">
        <v>9629</v>
      </c>
      <c r="E8380" s="64" t="s">
        <v>3034</v>
      </c>
      <c r="F8380" s="64" t="s">
        <v>15</v>
      </c>
      <c r="G8380" s="64" t="s">
        <v>3035</v>
      </c>
      <c r="H8380" s="64" t="s">
        <v>3022</v>
      </c>
      <c r="I8380" s="64" t="s">
        <v>3036</v>
      </c>
      <c r="J8380" s="67">
        <v>0</v>
      </c>
      <c r="K8380" s="62">
        <v>671.46</v>
      </c>
      <c r="L8380" s="33" t="e">
        <f>HLOOKUP(B8380,#REF!,1,0)</f>
        <v>#REF!</v>
      </c>
      <c r="M8380" s="33" t="str">
        <f t="shared" si="523"/>
        <v>P&amp;L</v>
      </c>
    </row>
    <row r="8381" spans="1:13">
      <c r="A8381" s="33" t="str">
        <f t="shared" si="520"/>
        <v>SCL - Operating Expense</v>
      </c>
      <c r="B8381" s="33" t="str">
        <f t="shared" si="521"/>
        <v>SCL</v>
      </c>
      <c r="C8381" s="33" t="str">
        <f t="shared" si="522"/>
        <v>60503-7403</v>
      </c>
      <c r="D8381" s="64" t="s">
        <v>9630</v>
      </c>
      <c r="E8381" s="64" t="s">
        <v>3034</v>
      </c>
      <c r="F8381" s="64" t="s">
        <v>15</v>
      </c>
      <c r="G8381" s="64" t="s">
        <v>3035</v>
      </c>
      <c r="H8381" s="64" t="s">
        <v>3022</v>
      </c>
      <c r="I8381" s="64" t="s">
        <v>3036</v>
      </c>
      <c r="J8381" s="67">
        <v>0</v>
      </c>
      <c r="K8381" s="62">
        <v>683.35</v>
      </c>
      <c r="L8381" s="33" t="e">
        <f>HLOOKUP(B8381,#REF!,1,0)</f>
        <v>#REF!</v>
      </c>
      <c r="M8381" s="33" t="str">
        <f t="shared" si="523"/>
        <v>P&amp;L</v>
      </c>
    </row>
    <row r="8382" spans="1:13">
      <c r="A8382" s="33" t="str">
        <f t="shared" si="520"/>
        <v>SCL - Operating Expense</v>
      </c>
      <c r="B8382" s="33" t="str">
        <f t="shared" si="521"/>
        <v>SCL</v>
      </c>
      <c r="C8382" s="33" t="str">
        <f t="shared" si="522"/>
        <v>60503-7489</v>
      </c>
      <c r="D8382" s="64" t="s">
        <v>9631</v>
      </c>
      <c r="E8382" s="64" t="s">
        <v>3034</v>
      </c>
      <c r="F8382" s="64" t="s">
        <v>15</v>
      </c>
      <c r="G8382" s="64" t="s">
        <v>3035</v>
      </c>
      <c r="H8382" s="64" t="s">
        <v>3022</v>
      </c>
      <c r="I8382" s="64" t="s">
        <v>3036</v>
      </c>
      <c r="J8382" s="67">
        <v>153.84</v>
      </c>
      <c r="K8382" s="62">
        <v>1429.18</v>
      </c>
      <c r="L8382" s="33" t="e">
        <f>HLOOKUP(B8382,#REF!,1,0)</f>
        <v>#REF!</v>
      </c>
      <c r="M8382" s="33" t="str">
        <f t="shared" si="523"/>
        <v>P&amp;L</v>
      </c>
    </row>
    <row r="8383" spans="1:13">
      <c r="A8383" s="33" t="str">
        <f t="shared" si="520"/>
        <v>SCL - Operating Expense</v>
      </c>
      <c r="B8383" s="33" t="str">
        <f t="shared" si="521"/>
        <v>SCL</v>
      </c>
      <c r="C8383" s="33" t="str">
        <f t="shared" si="522"/>
        <v>60503-7491</v>
      </c>
      <c r="D8383" s="64" t="s">
        <v>9632</v>
      </c>
      <c r="E8383" s="64" t="s">
        <v>3034</v>
      </c>
      <c r="F8383" s="64" t="s">
        <v>15</v>
      </c>
      <c r="G8383" s="64" t="s">
        <v>3035</v>
      </c>
      <c r="H8383" s="64" t="s">
        <v>3022</v>
      </c>
      <c r="I8383" s="64" t="s">
        <v>3036</v>
      </c>
      <c r="J8383" s="67">
        <v>142.97</v>
      </c>
      <c r="K8383" s="62">
        <v>471.93</v>
      </c>
      <c r="L8383" s="33" t="e">
        <f>HLOOKUP(B8383,#REF!,1,0)</f>
        <v>#REF!</v>
      </c>
      <c r="M8383" s="33" t="str">
        <f t="shared" si="523"/>
        <v>P&amp;L</v>
      </c>
    </row>
    <row r="8384" spans="1:13">
      <c r="A8384" s="33" t="str">
        <f t="shared" si="520"/>
        <v>SCL - Operating Expense</v>
      </c>
      <c r="B8384" s="33" t="str">
        <f t="shared" si="521"/>
        <v>SCL</v>
      </c>
      <c r="C8384" s="33" t="str">
        <f t="shared" si="522"/>
        <v>60503-7492</v>
      </c>
      <c r="D8384" s="64" t="s">
        <v>9633</v>
      </c>
      <c r="E8384" s="64" t="s">
        <v>3034</v>
      </c>
      <c r="F8384" s="64" t="s">
        <v>15</v>
      </c>
      <c r="G8384" s="64" t="s">
        <v>3035</v>
      </c>
      <c r="H8384" s="64" t="s">
        <v>3022</v>
      </c>
      <c r="I8384" s="64" t="s">
        <v>3036</v>
      </c>
      <c r="J8384" s="67">
        <v>14.87</v>
      </c>
      <c r="K8384" s="62">
        <v>336.03</v>
      </c>
      <c r="L8384" s="33" t="e">
        <f>HLOOKUP(B8384,#REF!,1,0)</f>
        <v>#REF!</v>
      </c>
      <c r="M8384" s="33" t="str">
        <f t="shared" si="523"/>
        <v>P&amp;L</v>
      </c>
    </row>
    <row r="8385" spans="1:13">
      <c r="A8385" s="33" t="str">
        <f t="shared" si="520"/>
        <v>SCL - Operating Expense</v>
      </c>
      <c r="B8385" s="33" t="str">
        <f t="shared" si="521"/>
        <v>SCL</v>
      </c>
      <c r="C8385" s="33" t="str">
        <f t="shared" si="522"/>
        <v>60503-7493</v>
      </c>
      <c r="D8385" s="64" t="s">
        <v>9634</v>
      </c>
      <c r="E8385" s="64" t="s">
        <v>3034</v>
      </c>
      <c r="F8385" s="64" t="s">
        <v>15</v>
      </c>
      <c r="G8385" s="64" t="s">
        <v>3035</v>
      </c>
      <c r="H8385" s="64" t="s">
        <v>3022</v>
      </c>
      <c r="I8385" s="64" t="s">
        <v>3036</v>
      </c>
      <c r="J8385" s="67">
        <v>0</v>
      </c>
      <c r="K8385" s="62">
        <v>785.54</v>
      </c>
      <c r="L8385" s="33" t="e">
        <f>HLOOKUP(B8385,#REF!,1,0)</f>
        <v>#REF!</v>
      </c>
      <c r="M8385" s="33" t="str">
        <f t="shared" si="523"/>
        <v>P&amp;L</v>
      </c>
    </row>
    <row r="8386" spans="1:13">
      <c r="A8386" s="33" t="str">
        <f t="shared" ref="A8386:A8449" si="524">B8386&amp;" - "&amp;TRIM(H8386)</f>
        <v>SCL - Operating Expense</v>
      </c>
      <c r="B8386" s="33" t="str">
        <f t="shared" ref="B8386:B8449" si="525">LEFT(D8386,3)</f>
        <v>SCL</v>
      </c>
      <c r="C8386" s="33" t="str">
        <f t="shared" ref="C8386:C8449" si="526">RIGHT(D8386,10)</f>
        <v>60503-7494</v>
      </c>
      <c r="D8386" s="64" t="s">
        <v>9635</v>
      </c>
      <c r="E8386" s="64" t="s">
        <v>3034</v>
      </c>
      <c r="F8386" s="64" t="s">
        <v>15</v>
      </c>
      <c r="G8386" s="64" t="s">
        <v>3035</v>
      </c>
      <c r="H8386" s="64" t="s">
        <v>3022</v>
      </c>
      <c r="I8386" s="64" t="s">
        <v>3036</v>
      </c>
      <c r="J8386" s="67">
        <v>279.17</v>
      </c>
      <c r="K8386" s="62">
        <v>1448.97</v>
      </c>
      <c r="L8386" s="33" t="e">
        <f>HLOOKUP(B8386,#REF!,1,0)</f>
        <v>#REF!</v>
      </c>
      <c r="M8386" s="33" t="str">
        <f t="shared" ref="M8386:M8449" si="527">IF(VALUE(LEFT(C8386,5))&gt;40000,"P&amp;L","BS")</f>
        <v>P&amp;L</v>
      </c>
    </row>
    <row r="8387" spans="1:13">
      <c r="A8387" s="33" t="str">
        <f t="shared" si="524"/>
        <v>SCL - Operating Expense</v>
      </c>
      <c r="B8387" s="33" t="str">
        <f t="shared" si="525"/>
        <v>SCL</v>
      </c>
      <c r="C8387" s="33" t="str">
        <f t="shared" si="526"/>
        <v>60503-7625</v>
      </c>
      <c r="D8387" s="64" t="s">
        <v>9636</v>
      </c>
      <c r="E8387" s="64" t="s">
        <v>3034</v>
      </c>
      <c r="F8387" s="64" t="s">
        <v>15</v>
      </c>
      <c r="G8387" s="64" t="s">
        <v>3035</v>
      </c>
      <c r="H8387" s="64" t="s">
        <v>3022</v>
      </c>
      <c r="I8387" s="64" t="s">
        <v>3036</v>
      </c>
      <c r="J8387" s="67">
        <v>14.82</v>
      </c>
      <c r="K8387" s="62">
        <v>390.76</v>
      </c>
      <c r="L8387" s="33" t="e">
        <f>HLOOKUP(B8387,#REF!,1,0)</f>
        <v>#REF!</v>
      </c>
      <c r="M8387" s="33" t="str">
        <f t="shared" si="527"/>
        <v>P&amp;L</v>
      </c>
    </row>
    <row r="8388" spans="1:13">
      <c r="A8388" s="33" t="str">
        <f t="shared" si="524"/>
        <v>SCL - Operating Expense</v>
      </c>
      <c r="B8388" s="33" t="str">
        <f t="shared" si="525"/>
        <v>SCL</v>
      </c>
      <c r="C8388" s="33" t="str">
        <f t="shared" si="526"/>
        <v>60503-8150</v>
      </c>
      <c r="D8388" s="64" t="s">
        <v>9637</v>
      </c>
      <c r="E8388" s="64" t="s">
        <v>3034</v>
      </c>
      <c r="F8388" s="64" t="s">
        <v>15</v>
      </c>
      <c r="G8388" s="64" t="s">
        <v>3035</v>
      </c>
      <c r="H8388" s="64" t="s">
        <v>3022</v>
      </c>
      <c r="I8388" s="64" t="s">
        <v>3036</v>
      </c>
      <c r="J8388" s="67">
        <v>0</v>
      </c>
      <c r="K8388" s="62">
        <v>116.91</v>
      </c>
      <c r="L8388" s="33" t="e">
        <f>HLOOKUP(B8388,#REF!,1,0)</f>
        <v>#REF!</v>
      </c>
      <c r="M8388" s="33" t="str">
        <f t="shared" si="527"/>
        <v>P&amp;L</v>
      </c>
    </row>
    <row r="8389" spans="1:13">
      <c r="A8389" s="33" t="str">
        <f t="shared" si="524"/>
        <v>SCL - Operating Expense</v>
      </c>
      <c r="B8389" s="33" t="str">
        <f t="shared" si="525"/>
        <v>SCL</v>
      </c>
      <c r="C8389" s="33" t="str">
        <f t="shared" si="526"/>
        <v>60504-7375</v>
      </c>
      <c r="D8389" s="64" t="s">
        <v>9638</v>
      </c>
      <c r="E8389" s="64" t="s">
        <v>3041</v>
      </c>
      <c r="F8389" s="64" t="s">
        <v>15</v>
      </c>
      <c r="G8389" s="64" t="s">
        <v>3035</v>
      </c>
      <c r="H8389" s="64" t="s">
        <v>3022</v>
      </c>
      <c r="I8389" s="64" t="s">
        <v>3036</v>
      </c>
      <c r="J8389" s="67">
        <v>0</v>
      </c>
      <c r="K8389" s="62">
        <v>960.2</v>
      </c>
      <c r="L8389" s="33" t="e">
        <f>HLOOKUP(B8389,#REF!,1,0)</f>
        <v>#REF!</v>
      </c>
      <c r="M8389" s="33" t="str">
        <f t="shared" si="527"/>
        <v>P&amp;L</v>
      </c>
    </row>
    <row r="8390" spans="1:13">
      <c r="A8390" s="33" t="str">
        <f t="shared" si="524"/>
        <v>SCL - Operating Expense</v>
      </c>
      <c r="B8390" s="33" t="str">
        <f t="shared" si="525"/>
        <v>SCL</v>
      </c>
      <c r="C8390" s="33" t="str">
        <f t="shared" si="526"/>
        <v>60504-7378</v>
      </c>
      <c r="D8390" s="64" t="s">
        <v>9639</v>
      </c>
      <c r="E8390" s="64" t="s">
        <v>3041</v>
      </c>
      <c r="F8390" s="64" t="s">
        <v>15</v>
      </c>
      <c r="G8390" s="64" t="s">
        <v>3035</v>
      </c>
      <c r="H8390" s="64" t="s">
        <v>3022</v>
      </c>
      <c r="I8390" s="64" t="s">
        <v>3036</v>
      </c>
      <c r="J8390" s="67">
        <v>0</v>
      </c>
      <c r="K8390" s="62">
        <v>954.24</v>
      </c>
      <c r="L8390" s="33" t="e">
        <f>HLOOKUP(B8390,#REF!,1,0)</f>
        <v>#REF!</v>
      </c>
      <c r="M8390" s="33" t="str">
        <f t="shared" si="527"/>
        <v>P&amp;L</v>
      </c>
    </row>
    <row r="8391" spans="1:13">
      <c r="A8391" s="33" t="str">
        <f t="shared" si="524"/>
        <v>SCL - Operating Expense</v>
      </c>
      <c r="B8391" s="33" t="str">
        <f t="shared" si="525"/>
        <v>SCL</v>
      </c>
      <c r="C8391" s="33" t="str">
        <f t="shared" si="526"/>
        <v>60504-7402</v>
      </c>
      <c r="D8391" s="64" t="s">
        <v>9640</v>
      </c>
      <c r="E8391" s="64" t="s">
        <v>3041</v>
      </c>
      <c r="F8391" s="64" t="s">
        <v>15</v>
      </c>
      <c r="G8391" s="64" t="s">
        <v>3035</v>
      </c>
      <c r="H8391" s="64" t="s">
        <v>3022</v>
      </c>
      <c r="I8391" s="64" t="s">
        <v>3036</v>
      </c>
      <c r="J8391" s="67">
        <v>0</v>
      </c>
      <c r="K8391" s="62">
        <v>15.3</v>
      </c>
      <c r="L8391" s="33" t="e">
        <f>HLOOKUP(B8391,#REF!,1,0)</f>
        <v>#REF!</v>
      </c>
      <c r="M8391" s="33" t="str">
        <f t="shared" si="527"/>
        <v>P&amp;L</v>
      </c>
    </row>
    <row r="8392" spans="1:13">
      <c r="A8392" s="33" t="str">
        <f t="shared" si="524"/>
        <v>SCL - Operating Expense</v>
      </c>
      <c r="B8392" s="33" t="str">
        <f t="shared" si="525"/>
        <v>SCL</v>
      </c>
      <c r="C8392" s="33" t="str">
        <f t="shared" si="526"/>
        <v>60505-0000</v>
      </c>
      <c r="D8392" s="64" t="s">
        <v>9641</v>
      </c>
      <c r="E8392" s="64" t="s">
        <v>3043</v>
      </c>
      <c r="F8392" s="64" t="s">
        <v>15</v>
      </c>
      <c r="G8392" s="64" t="s">
        <v>3044</v>
      </c>
      <c r="H8392" s="64" t="s">
        <v>3022</v>
      </c>
      <c r="I8392" s="64" t="s">
        <v>3045</v>
      </c>
      <c r="J8392" s="67">
        <v>0</v>
      </c>
      <c r="K8392" s="62">
        <v>10319.37</v>
      </c>
      <c r="L8392" s="33" t="e">
        <f>HLOOKUP(B8392,#REF!,1,0)</f>
        <v>#REF!</v>
      </c>
      <c r="M8392" s="33" t="str">
        <f t="shared" si="527"/>
        <v>P&amp;L</v>
      </c>
    </row>
    <row r="8393" spans="1:13">
      <c r="A8393" s="33" t="str">
        <f t="shared" si="524"/>
        <v>SCL - Operating Expense</v>
      </c>
      <c r="B8393" s="33" t="str">
        <f t="shared" si="525"/>
        <v>SCL</v>
      </c>
      <c r="C8393" s="33" t="str">
        <f t="shared" si="526"/>
        <v>60505-7355</v>
      </c>
      <c r="D8393" s="64" t="s">
        <v>9642</v>
      </c>
      <c r="E8393" s="64" t="s">
        <v>3043</v>
      </c>
      <c r="F8393" s="64" t="s">
        <v>15</v>
      </c>
      <c r="G8393" s="64" t="s">
        <v>3044</v>
      </c>
      <c r="H8393" s="64" t="s">
        <v>3022</v>
      </c>
      <c r="I8393" s="64" t="s">
        <v>3045</v>
      </c>
      <c r="J8393" s="67">
        <v>0</v>
      </c>
      <c r="K8393" s="62">
        <v>516.84</v>
      </c>
      <c r="L8393" s="33" t="e">
        <f>HLOOKUP(B8393,#REF!,1,0)</f>
        <v>#REF!</v>
      </c>
      <c r="M8393" s="33" t="str">
        <f t="shared" si="527"/>
        <v>P&amp;L</v>
      </c>
    </row>
    <row r="8394" spans="1:13">
      <c r="A8394" s="33" t="str">
        <f t="shared" si="524"/>
        <v>SCL - Operating Expense</v>
      </c>
      <c r="B8394" s="33" t="str">
        <f t="shared" si="525"/>
        <v>SCL</v>
      </c>
      <c r="C8394" s="33" t="str">
        <f t="shared" si="526"/>
        <v>60505-7359</v>
      </c>
      <c r="D8394" s="64" t="s">
        <v>9643</v>
      </c>
      <c r="E8394" s="64" t="s">
        <v>3043</v>
      </c>
      <c r="F8394" s="64" t="s">
        <v>15</v>
      </c>
      <c r="G8394" s="64" t="s">
        <v>3044</v>
      </c>
      <c r="H8394" s="64" t="s">
        <v>3022</v>
      </c>
      <c r="I8394" s="64" t="s">
        <v>3045</v>
      </c>
      <c r="J8394" s="67">
        <v>0</v>
      </c>
      <c r="K8394" s="62">
        <v>516.84</v>
      </c>
      <c r="L8394" s="33" t="e">
        <f>HLOOKUP(B8394,#REF!,1,0)</f>
        <v>#REF!</v>
      </c>
      <c r="M8394" s="33" t="str">
        <f t="shared" si="527"/>
        <v>P&amp;L</v>
      </c>
    </row>
    <row r="8395" spans="1:13">
      <c r="A8395" s="33" t="str">
        <f t="shared" si="524"/>
        <v>SCL - Operating Expense</v>
      </c>
      <c r="B8395" s="33" t="str">
        <f t="shared" si="525"/>
        <v>SCL</v>
      </c>
      <c r="C8395" s="33" t="str">
        <f t="shared" si="526"/>
        <v>60505-7361</v>
      </c>
      <c r="D8395" s="64" t="s">
        <v>9644</v>
      </c>
      <c r="E8395" s="64" t="s">
        <v>3043</v>
      </c>
      <c r="F8395" s="64" t="s">
        <v>15</v>
      </c>
      <c r="G8395" s="64" t="s">
        <v>3044</v>
      </c>
      <c r="H8395" s="64" t="s">
        <v>3022</v>
      </c>
      <c r="I8395" s="64" t="s">
        <v>3045</v>
      </c>
      <c r="J8395" s="67">
        <v>400</v>
      </c>
      <c r="K8395" s="62">
        <v>941.84</v>
      </c>
      <c r="L8395" s="33" t="e">
        <f>HLOOKUP(B8395,#REF!,1,0)</f>
        <v>#REF!</v>
      </c>
      <c r="M8395" s="33" t="str">
        <f t="shared" si="527"/>
        <v>P&amp;L</v>
      </c>
    </row>
    <row r="8396" spans="1:13">
      <c r="A8396" s="33" t="str">
        <f t="shared" si="524"/>
        <v>SCL - Operating Expense</v>
      </c>
      <c r="B8396" s="33" t="str">
        <f t="shared" si="525"/>
        <v>SCL</v>
      </c>
      <c r="C8396" s="33" t="str">
        <f t="shared" si="526"/>
        <v>60505-7362</v>
      </c>
      <c r="D8396" s="64" t="s">
        <v>9645</v>
      </c>
      <c r="E8396" s="64" t="s">
        <v>3043</v>
      </c>
      <c r="F8396" s="64" t="s">
        <v>15</v>
      </c>
      <c r="G8396" s="64" t="s">
        <v>3044</v>
      </c>
      <c r="H8396" s="64" t="s">
        <v>3022</v>
      </c>
      <c r="I8396" s="64" t="s">
        <v>3045</v>
      </c>
      <c r="J8396" s="67">
        <v>0</v>
      </c>
      <c r="K8396" s="62">
        <v>36.33</v>
      </c>
      <c r="L8396" s="33" t="e">
        <f>HLOOKUP(B8396,#REF!,1,0)</f>
        <v>#REF!</v>
      </c>
      <c r="M8396" s="33" t="str">
        <f t="shared" si="527"/>
        <v>P&amp;L</v>
      </c>
    </row>
    <row r="8397" spans="1:13">
      <c r="A8397" s="33" t="str">
        <f t="shared" si="524"/>
        <v>SCL - Operating Expense</v>
      </c>
      <c r="B8397" s="33" t="str">
        <f t="shared" si="525"/>
        <v>SCL</v>
      </c>
      <c r="C8397" s="33" t="str">
        <f t="shared" si="526"/>
        <v>60505-7366</v>
      </c>
      <c r="D8397" s="64" t="s">
        <v>9646</v>
      </c>
      <c r="E8397" s="64" t="s">
        <v>3043</v>
      </c>
      <c r="F8397" s="64" t="s">
        <v>15</v>
      </c>
      <c r="G8397" s="64" t="s">
        <v>3044</v>
      </c>
      <c r="H8397" s="64" t="s">
        <v>3022</v>
      </c>
      <c r="I8397" s="64" t="s">
        <v>3045</v>
      </c>
      <c r="J8397" s="67">
        <v>0</v>
      </c>
      <c r="K8397" s="62">
        <v>516.84</v>
      </c>
      <c r="L8397" s="33" t="e">
        <f>HLOOKUP(B8397,#REF!,1,0)</f>
        <v>#REF!</v>
      </c>
      <c r="M8397" s="33" t="str">
        <f t="shared" si="527"/>
        <v>P&amp;L</v>
      </c>
    </row>
    <row r="8398" spans="1:13">
      <c r="A8398" s="33" t="str">
        <f t="shared" si="524"/>
        <v>SCL - Operating Expense</v>
      </c>
      <c r="B8398" s="33" t="str">
        <f t="shared" si="525"/>
        <v>SCL</v>
      </c>
      <c r="C8398" s="33" t="str">
        <f t="shared" si="526"/>
        <v>60505-7368</v>
      </c>
      <c r="D8398" s="64" t="s">
        <v>9647</v>
      </c>
      <c r="E8398" s="64" t="s">
        <v>3043</v>
      </c>
      <c r="F8398" s="64" t="s">
        <v>15</v>
      </c>
      <c r="G8398" s="64" t="s">
        <v>3044</v>
      </c>
      <c r="H8398" s="64" t="s">
        <v>3022</v>
      </c>
      <c r="I8398" s="64" t="s">
        <v>3045</v>
      </c>
      <c r="J8398" s="67">
        <v>0</v>
      </c>
      <c r="K8398" s="62">
        <v>1730.1</v>
      </c>
      <c r="L8398" s="33" t="e">
        <f>HLOOKUP(B8398,#REF!,1,0)</f>
        <v>#REF!</v>
      </c>
      <c r="M8398" s="33" t="str">
        <f t="shared" si="527"/>
        <v>P&amp;L</v>
      </c>
    </row>
    <row r="8399" spans="1:13">
      <c r="A8399" s="33" t="str">
        <f t="shared" si="524"/>
        <v>SCL - Operating Expense</v>
      </c>
      <c r="B8399" s="33" t="str">
        <f t="shared" si="525"/>
        <v>SCL</v>
      </c>
      <c r="C8399" s="33" t="str">
        <f t="shared" si="526"/>
        <v>60505-7374</v>
      </c>
      <c r="D8399" s="64" t="s">
        <v>9648</v>
      </c>
      <c r="E8399" s="64" t="s">
        <v>3043</v>
      </c>
      <c r="F8399" s="64" t="s">
        <v>15</v>
      </c>
      <c r="G8399" s="64" t="s">
        <v>3044</v>
      </c>
      <c r="H8399" s="64" t="s">
        <v>3022</v>
      </c>
      <c r="I8399" s="64" t="s">
        <v>3045</v>
      </c>
      <c r="J8399" s="67">
        <v>651.95</v>
      </c>
      <c r="K8399" s="62">
        <v>1172.33</v>
      </c>
      <c r="L8399" s="33" t="e">
        <f>HLOOKUP(B8399,#REF!,1,0)</f>
        <v>#REF!</v>
      </c>
      <c r="M8399" s="33" t="str">
        <f t="shared" si="527"/>
        <v>P&amp;L</v>
      </c>
    </row>
    <row r="8400" spans="1:13">
      <c r="A8400" s="33" t="str">
        <f t="shared" si="524"/>
        <v>SCL - Operating Expense</v>
      </c>
      <c r="B8400" s="33" t="str">
        <f t="shared" si="525"/>
        <v>SCL</v>
      </c>
      <c r="C8400" s="33" t="str">
        <f t="shared" si="526"/>
        <v>60505-7375</v>
      </c>
      <c r="D8400" s="64" t="s">
        <v>9649</v>
      </c>
      <c r="E8400" s="64" t="s">
        <v>3043</v>
      </c>
      <c r="F8400" s="64" t="s">
        <v>15</v>
      </c>
      <c r="G8400" s="64" t="s">
        <v>3044</v>
      </c>
      <c r="H8400" s="64" t="s">
        <v>3022</v>
      </c>
      <c r="I8400" s="64" t="s">
        <v>3045</v>
      </c>
      <c r="J8400" s="67">
        <v>0</v>
      </c>
      <c r="K8400" s="62">
        <v>520.38</v>
      </c>
      <c r="L8400" s="33" t="e">
        <f>HLOOKUP(B8400,#REF!,1,0)</f>
        <v>#REF!</v>
      </c>
      <c r="M8400" s="33" t="str">
        <f t="shared" si="527"/>
        <v>P&amp;L</v>
      </c>
    </row>
    <row r="8401" spans="1:13">
      <c r="A8401" s="33" t="str">
        <f t="shared" si="524"/>
        <v>SCL - Operating Expense</v>
      </c>
      <c r="B8401" s="33" t="str">
        <f t="shared" si="525"/>
        <v>SCL</v>
      </c>
      <c r="C8401" s="33" t="str">
        <f t="shared" si="526"/>
        <v>60505-7376</v>
      </c>
      <c r="D8401" s="64" t="s">
        <v>9650</v>
      </c>
      <c r="E8401" s="64" t="s">
        <v>3043</v>
      </c>
      <c r="F8401" s="64" t="s">
        <v>15</v>
      </c>
      <c r="G8401" s="64" t="s">
        <v>3044</v>
      </c>
      <c r="H8401" s="64" t="s">
        <v>3022</v>
      </c>
      <c r="I8401" s="64" t="s">
        <v>3045</v>
      </c>
      <c r="J8401" s="67">
        <v>0</v>
      </c>
      <c r="K8401" s="62">
        <v>650.48</v>
      </c>
      <c r="L8401" s="33" t="e">
        <f>HLOOKUP(B8401,#REF!,1,0)</f>
        <v>#REF!</v>
      </c>
      <c r="M8401" s="33" t="str">
        <f t="shared" si="527"/>
        <v>P&amp;L</v>
      </c>
    </row>
    <row r="8402" spans="1:13">
      <c r="A8402" s="33" t="str">
        <f t="shared" si="524"/>
        <v>SCL - Operating Expense</v>
      </c>
      <c r="B8402" s="33" t="str">
        <f t="shared" si="525"/>
        <v>SCL</v>
      </c>
      <c r="C8402" s="33" t="str">
        <f t="shared" si="526"/>
        <v>60505-7377</v>
      </c>
      <c r="D8402" s="64" t="s">
        <v>9651</v>
      </c>
      <c r="E8402" s="64" t="s">
        <v>3043</v>
      </c>
      <c r="F8402" s="64" t="s">
        <v>15</v>
      </c>
      <c r="G8402" s="64" t="s">
        <v>3044</v>
      </c>
      <c r="H8402" s="64" t="s">
        <v>3022</v>
      </c>
      <c r="I8402" s="64" t="s">
        <v>3045</v>
      </c>
      <c r="J8402" s="67">
        <v>0</v>
      </c>
      <c r="K8402" s="62">
        <v>204.77</v>
      </c>
      <c r="L8402" s="33" t="e">
        <f>HLOOKUP(B8402,#REF!,1,0)</f>
        <v>#REF!</v>
      </c>
      <c r="M8402" s="33" t="str">
        <f t="shared" si="527"/>
        <v>P&amp;L</v>
      </c>
    </row>
    <row r="8403" spans="1:13">
      <c r="A8403" s="33" t="str">
        <f t="shared" si="524"/>
        <v>SCL - Operating Expense</v>
      </c>
      <c r="B8403" s="33" t="str">
        <f t="shared" si="525"/>
        <v>SCL</v>
      </c>
      <c r="C8403" s="33" t="str">
        <f t="shared" si="526"/>
        <v>60505-7379</v>
      </c>
      <c r="D8403" s="64" t="s">
        <v>9652</v>
      </c>
      <c r="E8403" s="64" t="s">
        <v>3043</v>
      </c>
      <c r="F8403" s="64" t="s">
        <v>15</v>
      </c>
      <c r="G8403" s="64" t="s">
        <v>3044</v>
      </c>
      <c r="H8403" s="64" t="s">
        <v>3022</v>
      </c>
      <c r="I8403" s="64" t="s">
        <v>3045</v>
      </c>
      <c r="J8403" s="67">
        <v>0</v>
      </c>
      <c r="K8403" s="62">
        <v>516.84</v>
      </c>
      <c r="L8403" s="33" t="e">
        <f>HLOOKUP(B8403,#REF!,1,0)</f>
        <v>#REF!</v>
      </c>
      <c r="M8403" s="33" t="str">
        <f t="shared" si="527"/>
        <v>P&amp;L</v>
      </c>
    </row>
    <row r="8404" spans="1:13">
      <c r="A8404" s="33" t="str">
        <f t="shared" si="524"/>
        <v>SCL - Operating Expense</v>
      </c>
      <c r="B8404" s="33" t="str">
        <f t="shared" si="525"/>
        <v>SCL</v>
      </c>
      <c r="C8404" s="33" t="str">
        <f t="shared" si="526"/>
        <v>60505-7380</v>
      </c>
      <c r="D8404" s="64" t="s">
        <v>9653</v>
      </c>
      <c r="E8404" s="64" t="s">
        <v>3043</v>
      </c>
      <c r="F8404" s="64" t="s">
        <v>15</v>
      </c>
      <c r="G8404" s="64" t="s">
        <v>3044</v>
      </c>
      <c r="H8404" s="64" t="s">
        <v>3022</v>
      </c>
      <c r="I8404" s="64" t="s">
        <v>3045</v>
      </c>
      <c r="J8404" s="67">
        <v>0</v>
      </c>
      <c r="K8404" s="62">
        <v>26.33</v>
      </c>
      <c r="L8404" s="33" t="e">
        <f>HLOOKUP(B8404,#REF!,1,0)</f>
        <v>#REF!</v>
      </c>
      <c r="M8404" s="33" t="str">
        <f t="shared" si="527"/>
        <v>P&amp;L</v>
      </c>
    </row>
    <row r="8405" spans="1:13">
      <c r="A8405" s="33" t="str">
        <f t="shared" si="524"/>
        <v>SCL - Operating Expense</v>
      </c>
      <c r="B8405" s="33" t="str">
        <f t="shared" si="525"/>
        <v>SCL</v>
      </c>
      <c r="C8405" s="33" t="str">
        <f t="shared" si="526"/>
        <v>60505-7381</v>
      </c>
      <c r="D8405" s="64" t="s">
        <v>9654</v>
      </c>
      <c r="E8405" s="64" t="s">
        <v>3043</v>
      </c>
      <c r="F8405" s="64" t="s">
        <v>15</v>
      </c>
      <c r="G8405" s="64" t="s">
        <v>3044</v>
      </c>
      <c r="H8405" s="64" t="s">
        <v>3022</v>
      </c>
      <c r="I8405" s="64" t="s">
        <v>3045</v>
      </c>
      <c r="J8405" s="67">
        <v>0</v>
      </c>
      <c r="K8405" s="62">
        <v>441</v>
      </c>
      <c r="L8405" s="33" t="e">
        <f>HLOOKUP(B8405,#REF!,1,0)</f>
        <v>#REF!</v>
      </c>
      <c r="M8405" s="33" t="str">
        <f t="shared" si="527"/>
        <v>P&amp;L</v>
      </c>
    </row>
    <row r="8406" spans="1:13">
      <c r="A8406" s="33" t="str">
        <f t="shared" si="524"/>
        <v>SCL - Operating Expense</v>
      </c>
      <c r="B8406" s="33" t="str">
        <f t="shared" si="525"/>
        <v>SCL</v>
      </c>
      <c r="C8406" s="33" t="str">
        <f t="shared" si="526"/>
        <v>60505-7383</v>
      </c>
      <c r="D8406" s="64" t="s">
        <v>9655</v>
      </c>
      <c r="E8406" s="64" t="s">
        <v>3043</v>
      </c>
      <c r="F8406" s="64" t="s">
        <v>15</v>
      </c>
      <c r="G8406" s="64" t="s">
        <v>3044</v>
      </c>
      <c r="H8406" s="64" t="s">
        <v>3022</v>
      </c>
      <c r="I8406" s="64" t="s">
        <v>3045</v>
      </c>
      <c r="J8406" s="67">
        <v>0</v>
      </c>
      <c r="K8406" s="62">
        <v>646.05</v>
      </c>
      <c r="L8406" s="33" t="e">
        <f>HLOOKUP(B8406,#REF!,1,0)</f>
        <v>#REF!</v>
      </c>
      <c r="M8406" s="33" t="str">
        <f t="shared" si="527"/>
        <v>P&amp;L</v>
      </c>
    </row>
    <row r="8407" spans="1:13">
      <c r="A8407" s="33" t="str">
        <f t="shared" si="524"/>
        <v>SCL - Operating Expense</v>
      </c>
      <c r="B8407" s="33" t="str">
        <f t="shared" si="525"/>
        <v>SCL</v>
      </c>
      <c r="C8407" s="33" t="str">
        <f t="shared" si="526"/>
        <v>60505-7386</v>
      </c>
      <c r="D8407" s="64" t="s">
        <v>9656</v>
      </c>
      <c r="E8407" s="64" t="s">
        <v>3043</v>
      </c>
      <c r="F8407" s="64" t="s">
        <v>15</v>
      </c>
      <c r="G8407" s="64" t="s">
        <v>3044</v>
      </c>
      <c r="H8407" s="64" t="s">
        <v>3022</v>
      </c>
      <c r="I8407" s="64" t="s">
        <v>3045</v>
      </c>
      <c r="J8407" s="67">
        <v>0</v>
      </c>
      <c r="K8407" s="62">
        <v>26.33</v>
      </c>
      <c r="L8407" s="33" t="e">
        <f>HLOOKUP(B8407,#REF!,1,0)</f>
        <v>#REF!</v>
      </c>
      <c r="M8407" s="33" t="str">
        <f t="shared" si="527"/>
        <v>P&amp;L</v>
      </c>
    </row>
    <row r="8408" spans="1:13">
      <c r="A8408" s="33" t="str">
        <f t="shared" si="524"/>
        <v>SCL - Operating Expense</v>
      </c>
      <c r="B8408" s="33" t="str">
        <f t="shared" si="525"/>
        <v>SCL</v>
      </c>
      <c r="C8408" s="33" t="str">
        <f t="shared" si="526"/>
        <v>60505-7391</v>
      </c>
      <c r="D8408" s="64" t="s">
        <v>9657</v>
      </c>
      <c r="E8408" s="64" t="s">
        <v>3043</v>
      </c>
      <c r="F8408" s="64" t="s">
        <v>15</v>
      </c>
      <c r="G8408" s="64" t="s">
        <v>3044</v>
      </c>
      <c r="H8408" s="64" t="s">
        <v>3022</v>
      </c>
      <c r="I8408" s="64" t="s">
        <v>3045</v>
      </c>
      <c r="J8408" s="67">
        <v>0</v>
      </c>
      <c r="K8408" s="62">
        <v>516.84</v>
      </c>
      <c r="L8408" s="33" t="e">
        <f>HLOOKUP(B8408,#REF!,1,0)</f>
        <v>#REF!</v>
      </c>
      <c r="M8408" s="33" t="str">
        <f t="shared" si="527"/>
        <v>P&amp;L</v>
      </c>
    </row>
    <row r="8409" spans="1:13">
      <c r="A8409" s="33" t="str">
        <f t="shared" si="524"/>
        <v>SCL - Operating Expense</v>
      </c>
      <c r="B8409" s="33" t="str">
        <f t="shared" si="525"/>
        <v>SCL</v>
      </c>
      <c r="C8409" s="33" t="str">
        <f t="shared" si="526"/>
        <v>60505-7393</v>
      </c>
      <c r="D8409" s="64" t="s">
        <v>9658</v>
      </c>
      <c r="E8409" s="64" t="s">
        <v>3043</v>
      </c>
      <c r="F8409" s="64" t="s">
        <v>15</v>
      </c>
      <c r="G8409" s="64" t="s">
        <v>3044</v>
      </c>
      <c r="H8409" s="64" t="s">
        <v>3022</v>
      </c>
      <c r="I8409" s="64" t="s">
        <v>3045</v>
      </c>
      <c r="J8409" s="67">
        <v>0</v>
      </c>
      <c r="K8409" s="62">
        <v>95.09</v>
      </c>
      <c r="L8409" s="33" t="e">
        <f>HLOOKUP(B8409,#REF!,1,0)</f>
        <v>#REF!</v>
      </c>
      <c r="M8409" s="33" t="str">
        <f t="shared" si="527"/>
        <v>P&amp;L</v>
      </c>
    </row>
    <row r="8410" spans="1:13">
      <c r="A8410" s="33" t="str">
        <f t="shared" si="524"/>
        <v>SCL - Operating Expense</v>
      </c>
      <c r="B8410" s="33" t="str">
        <f t="shared" si="525"/>
        <v>SCL</v>
      </c>
      <c r="C8410" s="33" t="str">
        <f t="shared" si="526"/>
        <v>60505-7394</v>
      </c>
      <c r="D8410" s="64" t="s">
        <v>9659</v>
      </c>
      <c r="E8410" s="64" t="s">
        <v>3043</v>
      </c>
      <c r="F8410" s="64" t="s">
        <v>15</v>
      </c>
      <c r="G8410" s="64" t="s">
        <v>3044</v>
      </c>
      <c r="H8410" s="64" t="s">
        <v>3022</v>
      </c>
      <c r="I8410" s="64" t="s">
        <v>3045</v>
      </c>
      <c r="J8410" s="67">
        <v>0</v>
      </c>
      <c r="K8410" s="62">
        <v>520.38</v>
      </c>
      <c r="L8410" s="33" t="e">
        <f>HLOOKUP(B8410,#REF!,1,0)</f>
        <v>#REF!</v>
      </c>
      <c r="M8410" s="33" t="str">
        <f t="shared" si="527"/>
        <v>P&amp;L</v>
      </c>
    </row>
    <row r="8411" spans="1:13">
      <c r="A8411" s="33" t="str">
        <f t="shared" si="524"/>
        <v>SCL - Operating Expense</v>
      </c>
      <c r="B8411" s="33" t="str">
        <f t="shared" si="525"/>
        <v>SCL</v>
      </c>
      <c r="C8411" s="33" t="str">
        <f t="shared" si="526"/>
        <v>60505-7396</v>
      </c>
      <c r="D8411" s="64" t="s">
        <v>9660</v>
      </c>
      <c r="E8411" s="64" t="s">
        <v>3043</v>
      </c>
      <c r="F8411" s="64" t="s">
        <v>15</v>
      </c>
      <c r="G8411" s="64" t="s">
        <v>3044</v>
      </c>
      <c r="H8411" s="64" t="s">
        <v>3022</v>
      </c>
      <c r="I8411" s="64" t="s">
        <v>3045</v>
      </c>
      <c r="J8411" s="67">
        <v>0</v>
      </c>
      <c r="K8411" s="62">
        <v>26.33</v>
      </c>
      <c r="L8411" s="33" t="e">
        <f>HLOOKUP(B8411,#REF!,1,0)</f>
        <v>#REF!</v>
      </c>
      <c r="M8411" s="33" t="str">
        <f t="shared" si="527"/>
        <v>P&amp;L</v>
      </c>
    </row>
    <row r="8412" spans="1:13">
      <c r="A8412" s="33" t="str">
        <f t="shared" si="524"/>
        <v>SCL - Operating Expense</v>
      </c>
      <c r="B8412" s="33" t="str">
        <f t="shared" si="525"/>
        <v>SCL</v>
      </c>
      <c r="C8412" s="33" t="str">
        <f t="shared" si="526"/>
        <v>60505-7489</v>
      </c>
      <c r="D8412" s="64" t="s">
        <v>9661</v>
      </c>
      <c r="E8412" s="64" t="s">
        <v>3043</v>
      </c>
      <c r="F8412" s="64" t="s">
        <v>15</v>
      </c>
      <c r="G8412" s="64" t="s">
        <v>3044</v>
      </c>
      <c r="H8412" s="64" t="s">
        <v>3022</v>
      </c>
      <c r="I8412" s="64" t="s">
        <v>3045</v>
      </c>
      <c r="J8412" s="67">
        <v>0</v>
      </c>
      <c r="K8412" s="62">
        <v>1808.94</v>
      </c>
      <c r="L8412" s="33" t="e">
        <f>HLOOKUP(B8412,#REF!,1,0)</f>
        <v>#REF!</v>
      </c>
      <c r="M8412" s="33" t="str">
        <f t="shared" si="527"/>
        <v>P&amp;L</v>
      </c>
    </row>
    <row r="8413" spans="1:13">
      <c r="A8413" s="33" t="str">
        <f t="shared" si="524"/>
        <v>SCL - Operating Expense</v>
      </c>
      <c r="B8413" s="33" t="str">
        <f t="shared" si="525"/>
        <v>SCL</v>
      </c>
      <c r="C8413" s="33" t="str">
        <f t="shared" si="526"/>
        <v>60505-7491</v>
      </c>
      <c r="D8413" s="64" t="s">
        <v>9662</v>
      </c>
      <c r="E8413" s="64" t="s">
        <v>3043</v>
      </c>
      <c r="F8413" s="64" t="s">
        <v>15</v>
      </c>
      <c r="G8413" s="64" t="s">
        <v>3044</v>
      </c>
      <c r="H8413" s="64" t="s">
        <v>3022</v>
      </c>
      <c r="I8413" s="64" t="s">
        <v>3045</v>
      </c>
      <c r="J8413" s="67">
        <v>0</v>
      </c>
      <c r="K8413" s="62">
        <v>650.48</v>
      </c>
      <c r="L8413" s="33" t="e">
        <f>HLOOKUP(B8413,#REF!,1,0)</f>
        <v>#REF!</v>
      </c>
      <c r="M8413" s="33" t="str">
        <f t="shared" si="527"/>
        <v>P&amp;L</v>
      </c>
    </row>
    <row r="8414" spans="1:13">
      <c r="A8414" s="33" t="str">
        <f t="shared" si="524"/>
        <v>SCL - Operating Expense</v>
      </c>
      <c r="B8414" s="33" t="str">
        <f t="shared" si="525"/>
        <v>SCL</v>
      </c>
      <c r="C8414" s="33" t="str">
        <f t="shared" si="526"/>
        <v>60505-7492</v>
      </c>
      <c r="D8414" s="64" t="s">
        <v>9663</v>
      </c>
      <c r="E8414" s="64" t="s">
        <v>3043</v>
      </c>
      <c r="F8414" s="64" t="s">
        <v>15</v>
      </c>
      <c r="G8414" s="64" t="s">
        <v>3044</v>
      </c>
      <c r="H8414" s="64" t="s">
        <v>3022</v>
      </c>
      <c r="I8414" s="64" t="s">
        <v>3045</v>
      </c>
      <c r="J8414" s="67">
        <v>0</v>
      </c>
      <c r="K8414" s="62">
        <v>1170.86</v>
      </c>
      <c r="L8414" s="33" t="e">
        <f>HLOOKUP(B8414,#REF!,1,0)</f>
        <v>#REF!</v>
      </c>
      <c r="M8414" s="33" t="str">
        <f t="shared" si="527"/>
        <v>P&amp;L</v>
      </c>
    </row>
    <row r="8415" spans="1:13">
      <c r="A8415" s="33" t="str">
        <f t="shared" si="524"/>
        <v>SCL - Operating Expense</v>
      </c>
      <c r="B8415" s="33" t="str">
        <f t="shared" si="525"/>
        <v>SCL</v>
      </c>
      <c r="C8415" s="33" t="str">
        <f t="shared" si="526"/>
        <v>60507-0000</v>
      </c>
      <c r="D8415" s="64" t="s">
        <v>9664</v>
      </c>
      <c r="E8415" s="64" t="s">
        <v>3050</v>
      </c>
      <c r="F8415" s="64" t="s">
        <v>15</v>
      </c>
      <c r="G8415" s="64" t="s">
        <v>3021</v>
      </c>
      <c r="H8415" s="64" t="s">
        <v>3022</v>
      </c>
      <c r="I8415" s="64" t="s">
        <v>3051</v>
      </c>
      <c r="J8415" s="67">
        <v>0</v>
      </c>
      <c r="K8415" s="62">
        <v>311.05</v>
      </c>
      <c r="L8415" s="33" t="e">
        <f>HLOOKUP(B8415,#REF!,1,0)</f>
        <v>#REF!</v>
      </c>
      <c r="M8415" s="33" t="str">
        <f t="shared" si="527"/>
        <v>P&amp;L</v>
      </c>
    </row>
    <row r="8416" spans="1:13">
      <c r="A8416" s="33" t="str">
        <f t="shared" si="524"/>
        <v>SCL - Operating Expense</v>
      </c>
      <c r="B8416" s="33" t="str">
        <f t="shared" si="525"/>
        <v>SCL</v>
      </c>
      <c r="C8416" s="33" t="str">
        <f t="shared" si="526"/>
        <v>60507-7351</v>
      </c>
      <c r="D8416" s="64" t="s">
        <v>9665</v>
      </c>
      <c r="E8416" s="64" t="s">
        <v>3050</v>
      </c>
      <c r="F8416" s="64" t="s">
        <v>15</v>
      </c>
      <c r="G8416" s="64" t="s">
        <v>3021</v>
      </c>
      <c r="H8416" s="64" t="s">
        <v>3022</v>
      </c>
      <c r="I8416" s="64" t="s">
        <v>3051</v>
      </c>
      <c r="J8416" s="67">
        <v>550.02</v>
      </c>
      <c r="K8416" s="62">
        <v>6803.52</v>
      </c>
      <c r="L8416" s="33" t="e">
        <f>HLOOKUP(B8416,#REF!,1,0)</f>
        <v>#REF!</v>
      </c>
      <c r="M8416" s="33" t="str">
        <f t="shared" si="527"/>
        <v>P&amp;L</v>
      </c>
    </row>
    <row r="8417" spans="1:13">
      <c r="A8417" s="33" t="str">
        <f t="shared" si="524"/>
        <v>SCL - Operating Expense</v>
      </c>
      <c r="B8417" s="33" t="str">
        <f t="shared" si="525"/>
        <v>SCL</v>
      </c>
      <c r="C8417" s="33" t="str">
        <f t="shared" si="526"/>
        <v>60507-7352</v>
      </c>
      <c r="D8417" s="64" t="s">
        <v>9666</v>
      </c>
      <c r="E8417" s="64" t="s">
        <v>3050</v>
      </c>
      <c r="F8417" s="64" t="s">
        <v>15</v>
      </c>
      <c r="G8417" s="64" t="s">
        <v>3021</v>
      </c>
      <c r="H8417" s="64" t="s">
        <v>3022</v>
      </c>
      <c r="I8417" s="64" t="s">
        <v>3051</v>
      </c>
      <c r="J8417" s="67">
        <v>499.83</v>
      </c>
      <c r="K8417" s="62">
        <v>6269.71</v>
      </c>
      <c r="L8417" s="33" t="e">
        <f>HLOOKUP(B8417,#REF!,1,0)</f>
        <v>#REF!</v>
      </c>
      <c r="M8417" s="33" t="str">
        <f t="shared" si="527"/>
        <v>P&amp;L</v>
      </c>
    </row>
    <row r="8418" spans="1:13">
      <c r="A8418" s="33" t="str">
        <f t="shared" si="524"/>
        <v>SCL - Operating Expense</v>
      </c>
      <c r="B8418" s="33" t="str">
        <f t="shared" si="525"/>
        <v>SCL</v>
      </c>
      <c r="C8418" s="33" t="str">
        <f t="shared" si="526"/>
        <v>60507-7355</v>
      </c>
      <c r="D8418" s="64" t="s">
        <v>9667</v>
      </c>
      <c r="E8418" s="64" t="s">
        <v>3050</v>
      </c>
      <c r="F8418" s="64" t="s">
        <v>15</v>
      </c>
      <c r="G8418" s="64" t="s">
        <v>3021</v>
      </c>
      <c r="H8418" s="64" t="s">
        <v>3022</v>
      </c>
      <c r="I8418" s="64" t="s">
        <v>3051</v>
      </c>
      <c r="J8418" s="67">
        <v>747.9</v>
      </c>
      <c r="K8418" s="62">
        <v>8362.96</v>
      </c>
      <c r="L8418" s="33" t="e">
        <f>HLOOKUP(B8418,#REF!,1,0)</f>
        <v>#REF!</v>
      </c>
      <c r="M8418" s="33" t="str">
        <f t="shared" si="527"/>
        <v>P&amp;L</v>
      </c>
    </row>
    <row r="8419" spans="1:13">
      <c r="A8419" s="33" t="str">
        <f t="shared" si="524"/>
        <v>SCL - Operating Expense</v>
      </c>
      <c r="B8419" s="33" t="str">
        <f t="shared" si="525"/>
        <v>SCL</v>
      </c>
      <c r="C8419" s="33" t="str">
        <f t="shared" si="526"/>
        <v>60507-7356</v>
      </c>
      <c r="D8419" s="64" t="s">
        <v>9668</v>
      </c>
      <c r="E8419" s="64" t="s">
        <v>3050</v>
      </c>
      <c r="F8419" s="64" t="s">
        <v>15</v>
      </c>
      <c r="G8419" s="64" t="s">
        <v>3021</v>
      </c>
      <c r="H8419" s="64" t="s">
        <v>3022</v>
      </c>
      <c r="I8419" s="64" t="s">
        <v>3051</v>
      </c>
      <c r="J8419" s="67">
        <v>0</v>
      </c>
      <c r="K8419" s="62">
        <v>586.54</v>
      </c>
      <c r="L8419" s="33" t="e">
        <f>HLOOKUP(B8419,#REF!,1,0)</f>
        <v>#REF!</v>
      </c>
      <c r="M8419" s="33" t="str">
        <f t="shared" si="527"/>
        <v>P&amp;L</v>
      </c>
    </row>
    <row r="8420" spans="1:13">
      <c r="A8420" s="33" t="str">
        <f t="shared" si="524"/>
        <v>SCL - Operating Expense</v>
      </c>
      <c r="B8420" s="33" t="str">
        <f t="shared" si="525"/>
        <v>SCL</v>
      </c>
      <c r="C8420" s="33" t="str">
        <f t="shared" si="526"/>
        <v>60507-7359</v>
      </c>
      <c r="D8420" s="64" t="s">
        <v>9669</v>
      </c>
      <c r="E8420" s="64" t="s">
        <v>3050</v>
      </c>
      <c r="F8420" s="64" t="s">
        <v>15</v>
      </c>
      <c r="G8420" s="64" t="s">
        <v>3021</v>
      </c>
      <c r="H8420" s="64" t="s">
        <v>3022</v>
      </c>
      <c r="I8420" s="64" t="s">
        <v>3051</v>
      </c>
      <c r="J8420" s="67">
        <v>523.04</v>
      </c>
      <c r="K8420" s="62">
        <v>6262.41</v>
      </c>
      <c r="L8420" s="33" t="e">
        <f>HLOOKUP(B8420,#REF!,1,0)</f>
        <v>#REF!</v>
      </c>
      <c r="M8420" s="33" t="str">
        <f t="shared" si="527"/>
        <v>P&amp;L</v>
      </c>
    </row>
    <row r="8421" spans="1:13">
      <c r="A8421" s="33" t="str">
        <f t="shared" si="524"/>
        <v>SCL - Operating Expense</v>
      </c>
      <c r="B8421" s="33" t="str">
        <f t="shared" si="525"/>
        <v>SCL</v>
      </c>
      <c r="C8421" s="33" t="str">
        <f t="shared" si="526"/>
        <v>60507-7360</v>
      </c>
      <c r="D8421" s="64" t="s">
        <v>9670</v>
      </c>
      <c r="E8421" s="64" t="s">
        <v>3050</v>
      </c>
      <c r="F8421" s="64" t="s">
        <v>15</v>
      </c>
      <c r="G8421" s="64" t="s">
        <v>3021</v>
      </c>
      <c r="H8421" s="64" t="s">
        <v>3022</v>
      </c>
      <c r="I8421" s="64" t="s">
        <v>3051</v>
      </c>
      <c r="J8421" s="67">
        <v>757.29</v>
      </c>
      <c r="K8421" s="62">
        <v>6381.92</v>
      </c>
      <c r="L8421" s="33" t="e">
        <f>HLOOKUP(B8421,#REF!,1,0)</f>
        <v>#REF!</v>
      </c>
      <c r="M8421" s="33" t="str">
        <f t="shared" si="527"/>
        <v>P&amp;L</v>
      </c>
    </row>
    <row r="8422" spans="1:13">
      <c r="A8422" s="33" t="str">
        <f t="shared" si="524"/>
        <v>SCL - Operating Expense</v>
      </c>
      <c r="B8422" s="33" t="str">
        <f t="shared" si="525"/>
        <v>SCL</v>
      </c>
      <c r="C8422" s="33" t="str">
        <f t="shared" si="526"/>
        <v>60507-7361</v>
      </c>
      <c r="D8422" s="64" t="s">
        <v>9671</v>
      </c>
      <c r="E8422" s="64" t="s">
        <v>3050</v>
      </c>
      <c r="F8422" s="64" t="s">
        <v>15</v>
      </c>
      <c r="G8422" s="64" t="s">
        <v>3021</v>
      </c>
      <c r="H8422" s="64" t="s">
        <v>3022</v>
      </c>
      <c r="I8422" s="64" t="s">
        <v>3051</v>
      </c>
      <c r="J8422" s="67">
        <v>807.11</v>
      </c>
      <c r="K8422" s="62">
        <v>7898.8</v>
      </c>
      <c r="L8422" s="33" t="e">
        <f>HLOOKUP(B8422,#REF!,1,0)</f>
        <v>#REF!</v>
      </c>
      <c r="M8422" s="33" t="str">
        <f t="shared" si="527"/>
        <v>P&amp;L</v>
      </c>
    </row>
    <row r="8423" spans="1:13">
      <c r="A8423" s="33" t="str">
        <f t="shared" si="524"/>
        <v>SCL - Operating Expense</v>
      </c>
      <c r="B8423" s="33" t="str">
        <f t="shared" si="525"/>
        <v>SCL</v>
      </c>
      <c r="C8423" s="33" t="str">
        <f t="shared" si="526"/>
        <v>60507-7362</v>
      </c>
      <c r="D8423" s="64" t="s">
        <v>9672</v>
      </c>
      <c r="E8423" s="64" t="s">
        <v>3050</v>
      </c>
      <c r="F8423" s="64" t="s">
        <v>15</v>
      </c>
      <c r="G8423" s="64" t="s">
        <v>3021</v>
      </c>
      <c r="H8423" s="64" t="s">
        <v>3022</v>
      </c>
      <c r="I8423" s="64" t="s">
        <v>3051</v>
      </c>
      <c r="J8423" s="67">
        <v>596.19</v>
      </c>
      <c r="K8423" s="62">
        <v>4699.73</v>
      </c>
      <c r="L8423" s="33" t="e">
        <f>HLOOKUP(B8423,#REF!,1,0)</f>
        <v>#REF!</v>
      </c>
      <c r="M8423" s="33" t="str">
        <f t="shared" si="527"/>
        <v>P&amp;L</v>
      </c>
    </row>
    <row r="8424" spans="1:13">
      <c r="A8424" s="33" t="str">
        <f t="shared" si="524"/>
        <v>SCL - Operating Expense</v>
      </c>
      <c r="B8424" s="33" t="str">
        <f t="shared" si="525"/>
        <v>SCL</v>
      </c>
      <c r="C8424" s="33" t="str">
        <f t="shared" si="526"/>
        <v>60507-7363</v>
      </c>
      <c r="D8424" s="64" t="s">
        <v>9673</v>
      </c>
      <c r="E8424" s="64" t="s">
        <v>3050</v>
      </c>
      <c r="F8424" s="64" t="s">
        <v>15</v>
      </c>
      <c r="G8424" s="64" t="s">
        <v>3021</v>
      </c>
      <c r="H8424" s="64" t="s">
        <v>3022</v>
      </c>
      <c r="I8424" s="64" t="s">
        <v>3051</v>
      </c>
      <c r="J8424" s="67">
        <v>759.05</v>
      </c>
      <c r="K8424" s="62">
        <v>5641.24</v>
      </c>
      <c r="L8424" s="33" t="e">
        <f>HLOOKUP(B8424,#REF!,1,0)</f>
        <v>#REF!</v>
      </c>
      <c r="M8424" s="33" t="str">
        <f t="shared" si="527"/>
        <v>P&amp;L</v>
      </c>
    </row>
    <row r="8425" spans="1:13">
      <c r="A8425" s="33" t="str">
        <f t="shared" si="524"/>
        <v>SCL - Operating Expense</v>
      </c>
      <c r="B8425" s="33" t="str">
        <f t="shared" si="525"/>
        <v>SCL</v>
      </c>
      <c r="C8425" s="33" t="str">
        <f t="shared" si="526"/>
        <v>60507-7364</v>
      </c>
      <c r="D8425" s="64" t="s">
        <v>9674</v>
      </c>
      <c r="E8425" s="64" t="s">
        <v>3050</v>
      </c>
      <c r="F8425" s="64" t="s">
        <v>15</v>
      </c>
      <c r="G8425" s="64" t="s">
        <v>3021</v>
      </c>
      <c r="H8425" s="64" t="s">
        <v>3022</v>
      </c>
      <c r="I8425" s="64" t="s">
        <v>3051</v>
      </c>
      <c r="J8425" s="67">
        <v>359.81</v>
      </c>
      <c r="K8425" s="62">
        <v>5464.93</v>
      </c>
      <c r="L8425" s="33" t="e">
        <f>HLOOKUP(B8425,#REF!,1,0)</f>
        <v>#REF!</v>
      </c>
      <c r="M8425" s="33" t="str">
        <f t="shared" si="527"/>
        <v>P&amp;L</v>
      </c>
    </row>
    <row r="8426" spans="1:13">
      <c r="A8426" s="33" t="str">
        <f t="shared" si="524"/>
        <v>SCL - Operating Expense</v>
      </c>
      <c r="B8426" s="33" t="str">
        <f t="shared" si="525"/>
        <v>SCL</v>
      </c>
      <c r="C8426" s="33" t="str">
        <f t="shared" si="526"/>
        <v>60507-7365</v>
      </c>
      <c r="D8426" s="64" t="s">
        <v>9675</v>
      </c>
      <c r="E8426" s="64" t="s">
        <v>3050</v>
      </c>
      <c r="F8426" s="64" t="s">
        <v>15</v>
      </c>
      <c r="G8426" s="64" t="s">
        <v>3021</v>
      </c>
      <c r="H8426" s="64" t="s">
        <v>3022</v>
      </c>
      <c r="I8426" s="64" t="s">
        <v>3051</v>
      </c>
      <c r="J8426" s="67">
        <v>1249.45</v>
      </c>
      <c r="K8426" s="62">
        <v>5380.82</v>
      </c>
      <c r="L8426" s="33" t="e">
        <f>HLOOKUP(B8426,#REF!,1,0)</f>
        <v>#REF!</v>
      </c>
      <c r="M8426" s="33" t="str">
        <f t="shared" si="527"/>
        <v>P&amp;L</v>
      </c>
    </row>
    <row r="8427" spans="1:13">
      <c r="A8427" s="33" t="str">
        <f t="shared" si="524"/>
        <v>SCL - Operating Expense</v>
      </c>
      <c r="B8427" s="33" t="str">
        <f t="shared" si="525"/>
        <v>SCL</v>
      </c>
      <c r="C8427" s="33" t="str">
        <f t="shared" si="526"/>
        <v>60507-7366</v>
      </c>
      <c r="D8427" s="64" t="s">
        <v>9676</v>
      </c>
      <c r="E8427" s="64" t="s">
        <v>3050</v>
      </c>
      <c r="F8427" s="64" t="s">
        <v>15</v>
      </c>
      <c r="G8427" s="64" t="s">
        <v>3021</v>
      </c>
      <c r="H8427" s="64" t="s">
        <v>3022</v>
      </c>
      <c r="I8427" s="64" t="s">
        <v>3051</v>
      </c>
      <c r="J8427" s="67">
        <v>836.48</v>
      </c>
      <c r="K8427" s="62">
        <v>6696.24</v>
      </c>
      <c r="L8427" s="33" t="e">
        <f>HLOOKUP(B8427,#REF!,1,0)</f>
        <v>#REF!</v>
      </c>
      <c r="M8427" s="33" t="str">
        <f t="shared" si="527"/>
        <v>P&amp;L</v>
      </c>
    </row>
    <row r="8428" spans="1:13">
      <c r="A8428" s="33" t="str">
        <f t="shared" si="524"/>
        <v>SCL - Operating Expense</v>
      </c>
      <c r="B8428" s="33" t="str">
        <f t="shared" si="525"/>
        <v>SCL</v>
      </c>
      <c r="C8428" s="33" t="str">
        <f t="shared" si="526"/>
        <v>60507-7368</v>
      </c>
      <c r="D8428" s="64" t="s">
        <v>9677</v>
      </c>
      <c r="E8428" s="64" t="s">
        <v>3050</v>
      </c>
      <c r="F8428" s="64" t="s">
        <v>15</v>
      </c>
      <c r="G8428" s="64" t="s">
        <v>3021</v>
      </c>
      <c r="H8428" s="64" t="s">
        <v>3022</v>
      </c>
      <c r="I8428" s="64" t="s">
        <v>3051</v>
      </c>
      <c r="J8428" s="67">
        <v>943.33</v>
      </c>
      <c r="K8428" s="62">
        <v>10421.97</v>
      </c>
      <c r="L8428" s="33" t="e">
        <f>HLOOKUP(B8428,#REF!,1,0)</f>
        <v>#REF!</v>
      </c>
      <c r="M8428" s="33" t="str">
        <f t="shared" si="527"/>
        <v>P&amp;L</v>
      </c>
    </row>
    <row r="8429" spans="1:13">
      <c r="A8429" s="33" t="str">
        <f t="shared" si="524"/>
        <v>SCL - Operating Expense</v>
      </c>
      <c r="B8429" s="33" t="str">
        <f t="shared" si="525"/>
        <v>SCL</v>
      </c>
      <c r="C8429" s="33" t="str">
        <f t="shared" si="526"/>
        <v>60507-7369</v>
      </c>
      <c r="D8429" s="64" t="s">
        <v>9678</v>
      </c>
      <c r="E8429" s="64" t="s">
        <v>3050</v>
      </c>
      <c r="F8429" s="64" t="s">
        <v>15</v>
      </c>
      <c r="G8429" s="64" t="s">
        <v>3021</v>
      </c>
      <c r="H8429" s="64" t="s">
        <v>3022</v>
      </c>
      <c r="I8429" s="64" t="s">
        <v>3051</v>
      </c>
      <c r="J8429" s="67">
        <v>538.89</v>
      </c>
      <c r="K8429" s="62">
        <v>4681.32</v>
      </c>
      <c r="L8429" s="33" t="e">
        <f>HLOOKUP(B8429,#REF!,1,0)</f>
        <v>#REF!</v>
      </c>
      <c r="M8429" s="33" t="str">
        <f t="shared" si="527"/>
        <v>P&amp;L</v>
      </c>
    </row>
    <row r="8430" spans="1:13">
      <c r="A8430" s="33" t="str">
        <f t="shared" si="524"/>
        <v>SCL - Operating Expense</v>
      </c>
      <c r="B8430" s="33" t="str">
        <f t="shared" si="525"/>
        <v>SCL</v>
      </c>
      <c r="C8430" s="33" t="str">
        <f t="shared" si="526"/>
        <v>60507-7370</v>
      </c>
      <c r="D8430" s="64" t="s">
        <v>9679</v>
      </c>
      <c r="E8430" s="64" t="s">
        <v>3050</v>
      </c>
      <c r="F8430" s="64" t="s">
        <v>15</v>
      </c>
      <c r="G8430" s="64" t="s">
        <v>3021</v>
      </c>
      <c r="H8430" s="64" t="s">
        <v>3022</v>
      </c>
      <c r="I8430" s="64" t="s">
        <v>3051</v>
      </c>
      <c r="J8430" s="67">
        <v>0</v>
      </c>
      <c r="K8430" s="62">
        <v>0</v>
      </c>
      <c r="L8430" s="33" t="e">
        <f>HLOOKUP(B8430,#REF!,1,0)</f>
        <v>#REF!</v>
      </c>
      <c r="M8430" s="33" t="str">
        <f t="shared" si="527"/>
        <v>P&amp;L</v>
      </c>
    </row>
    <row r="8431" spans="1:13">
      <c r="A8431" s="33" t="str">
        <f t="shared" si="524"/>
        <v>SCL - Operating Expense</v>
      </c>
      <c r="B8431" s="33" t="str">
        <f t="shared" si="525"/>
        <v>SCL</v>
      </c>
      <c r="C8431" s="33" t="str">
        <f t="shared" si="526"/>
        <v>60507-7371</v>
      </c>
      <c r="D8431" s="64" t="s">
        <v>9680</v>
      </c>
      <c r="E8431" s="64" t="s">
        <v>3050</v>
      </c>
      <c r="F8431" s="64" t="s">
        <v>15</v>
      </c>
      <c r="G8431" s="64" t="s">
        <v>3021</v>
      </c>
      <c r="H8431" s="64" t="s">
        <v>3022</v>
      </c>
      <c r="I8431" s="64" t="s">
        <v>3051</v>
      </c>
      <c r="J8431" s="67">
        <v>1146.31</v>
      </c>
      <c r="K8431" s="62">
        <v>9049.23</v>
      </c>
      <c r="L8431" s="33" t="e">
        <f>HLOOKUP(B8431,#REF!,1,0)</f>
        <v>#REF!</v>
      </c>
      <c r="M8431" s="33" t="str">
        <f t="shared" si="527"/>
        <v>P&amp;L</v>
      </c>
    </row>
    <row r="8432" spans="1:13">
      <c r="A8432" s="33" t="str">
        <f t="shared" si="524"/>
        <v>SCL - Operating Expense</v>
      </c>
      <c r="B8432" s="33" t="str">
        <f t="shared" si="525"/>
        <v>SCL</v>
      </c>
      <c r="C8432" s="33" t="str">
        <f t="shared" si="526"/>
        <v>60507-7374</v>
      </c>
      <c r="D8432" s="64" t="s">
        <v>9681</v>
      </c>
      <c r="E8432" s="64" t="s">
        <v>3050</v>
      </c>
      <c r="F8432" s="64" t="s">
        <v>15</v>
      </c>
      <c r="G8432" s="64" t="s">
        <v>3021</v>
      </c>
      <c r="H8432" s="64" t="s">
        <v>3022</v>
      </c>
      <c r="I8432" s="64" t="s">
        <v>3051</v>
      </c>
      <c r="J8432" s="67">
        <v>1162.46</v>
      </c>
      <c r="K8432" s="62">
        <v>7848.43</v>
      </c>
      <c r="L8432" s="33" t="e">
        <f>HLOOKUP(B8432,#REF!,1,0)</f>
        <v>#REF!</v>
      </c>
      <c r="M8432" s="33" t="str">
        <f t="shared" si="527"/>
        <v>P&amp;L</v>
      </c>
    </row>
    <row r="8433" spans="1:13">
      <c r="A8433" s="33" t="str">
        <f t="shared" si="524"/>
        <v>SCL - Operating Expense</v>
      </c>
      <c r="B8433" s="33" t="str">
        <f t="shared" si="525"/>
        <v>SCL</v>
      </c>
      <c r="C8433" s="33" t="str">
        <f t="shared" si="526"/>
        <v>60507-7375</v>
      </c>
      <c r="D8433" s="64" t="s">
        <v>9682</v>
      </c>
      <c r="E8433" s="64" t="s">
        <v>3050</v>
      </c>
      <c r="F8433" s="64" t="s">
        <v>15</v>
      </c>
      <c r="G8433" s="64" t="s">
        <v>3021</v>
      </c>
      <c r="H8433" s="64" t="s">
        <v>3022</v>
      </c>
      <c r="I8433" s="64" t="s">
        <v>3051</v>
      </c>
      <c r="J8433" s="67">
        <v>478.78</v>
      </c>
      <c r="K8433" s="62">
        <v>3472.42</v>
      </c>
      <c r="L8433" s="33" t="e">
        <f>HLOOKUP(B8433,#REF!,1,0)</f>
        <v>#REF!</v>
      </c>
      <c r="M8433" s="33" t="str">
        <f t="shared" si="527"/>
        <v>P&amp;L</v>
      </c>
    </row>
    <row r="8434" spans="1:13">
      <c r="A8434" s="33" t="str">
        <f t="shared" si="524"/>
        <v>SCL - Operating Expense</v>
      </c>
      <c r="B8434" s="33" t="str">
        <f t="shared" si="525"/>
        <v>SCL</v>
      </c>
      <c r="C8434" s="33" t="str">
        <f t="shared" si="526"/>
        <v>60507-7376</v>
      </c>
      <c r="D8434" s="64" t="s">
        <v>9683</v>
      </c>
      <c r="E8434" s="64" t="s">
        <v>3050</v>
      </c>
      <c r="F8434" s="64" t="s">
        <v>15</v>
      </c>
      <c r="G8434" s="64" t="s">
        <v>3021</v>
      </c>
      <c r="H8434" s="64" t="s">
        <v>3022</v>
      </c>
      <c r="I8434" s="64" t="s">
        <v>3051</v>
      </c>
      <c r="J8434" s="67">
        <v>1948.75</v>
      </c>
      <c r="K8434" s="62">
        <v>15738.69</v>
      </c>
      <c r="L8434" s="33" t="e">
        <f>HLOOKUP(B8434,#REF!,1,0)</f>
        <v>#REF!</v>
      </c>
      <c r="M8434" s="33" t="str">
        <f t="shared" si="527"/>
        <v>P&amp;L</v>
      </c>
    </row>
    <row r="8435" spans="1:13">
      <c r="A8435" s="33" t="str">
        <f t="shared" si="524"/>
        <v>SCL - Operating Expense</v>
      </c>
      <c r="B8435" s="33" t="str">
        <f t="shared" si="525"/>
        <v>SCL</v>
      </c>
      <c r="C8435" s="33" t="str">
        <f t="shared" si="526"/>
        <v>60507-7377</v>
      </c>
      <c r="D8435" s="64" t="s">
        <v>9684</v>
      </c>
      <c r="E8435" s="64" t="s">
        <v>3050</v>
      </c>
      <c r="F8435" s="64" t="s">
        <v>15</v>
      </c>
      <c r="G8435" s="64" t="s">
        <v>3021</v>
      </c>
      <c r="H8435" s="64" t="s">
        <v>3022</v>
      </c>
      <c r="I8435" s="64" t="s">
        <v>3051</v>
      </c>
      <c r="J8435" s="67">
        <v>673.12</v>
      </c>
      <c r="K8435" s="62">
        <v>4015.71</v>
      </c>
      <c r="L8435" s="33" t="e">
        <f>HLOOKUP(B8435,#REF!,1,0)</f>
        <v>#REF!</v>
      </c>
      <c r="M8435" s="33" t="str">
        <f t="shared" si="527"/>
        <v>P&amp;L</v>
      </c>
    </row>
    <row r="8436" spans="1:13">
      <c r="A8436" s="33" t="str">
        <f t="shared" si="524"/>
        <v>SCL - Operating Expense</v>
      </c>
      <c r="B8436" s="33" t="str">
        <f t="shared" si="525"/>
        <v>SCL</v>
      </c>
      <c r="C8436" s="33" t="str">
        <f t="shared" si="526"/>
        <v>60507-7378</v>
      </c>
      <c r="D8436" s="64" t="s">
        <v>9685</v>
      </c>
      <c r="E8436" s="64" t="s">
        <v>3050</v>
      </c>
      <c r="F8436" s="64" t="s">
        <v>15</v>
      </c>
      <c r="G8436" s="64" t="s">
        <v>3021</v>
      </c>
      <c r="H8436" s="64" t="s">
        <v>3022</v>
      </c>
      <c r="I8436" s="64" t="s">
        <v>3051</v>
      </c>
      <c r="J8436" s="67">
        <v>896.23</v>
      </c>
      <c r="K8436" s="62">
        <v>8687.64</v>
      </c>
      <c r="L8436" s="33" t="e">
        <f>HLOOKUP(B8436,#REF!,1,0)</f>
        <v>#REF!</v>
      </c>
      <c r="M8436" s="33" t="str">
        <f t="shared" si="527"/>
        <v>P&amp;L</v>
      </c>
    </row>
    <row r="8437" spans="1:13">
      <c r="A8437" s="33" t="str">
        <f t="shared" si="524"/>
        <v>SCL - Operating Expense</v>
      </c>
      <c r="B8437" s="33" t="str">
        <f t="shared" si="525"/>
        <v>SCL</v>
      </c>
      <c r="C8437" s="33" t="str">
        <f t="shared" si="526"/>
        <v>60507-7379</v>
      </c>
      <c r="D8437" s="64" t="s">
        <v>9686</v>
      </c>
      <c r="E8437" s="64" t="s">
        <v>3050</v>
      </c>
      <c r="F8437" s="64" t="s">
        <v>15</v>
      </c>
      <c r="G8437" s="64" t="s">
        <v>3021</v>
      </c>
      <c r="H8437" s="64" t="s">
        <v>3022</v>
      </c>
      <c r="I8437" s="64" t="s">
        <v>3051</v>
      </c>
      <c r="J8437" s="67">
        <v>1168.18</v>
      </c>
      <c r="K8437" s="62">
        <v>8306.46</v>
      </c>
      <c r="L8437" s="33" t="e">
        <f>HLOOKUP(B8437,#REF!,1,0)</f>
        <v>#REF!</v>
      </c>
      <c r="M8437" s="33" t="str">
        <f t="shared" si="527"/>
        <v>P&amp;L</v>
      </c>
    </row>
    <row r="8438" spans="1:13">
      <c r="A8438" s="33" t="str">
        <f t="shared" si="524"/>
        <v>SCL - Operating Expense</v>
      </c>
      <c r="B8438" s="33" t="str">
        <f t="shared" si="525"/>
        <v>SCL</v>
      </c>
      <c r="C8438" s="33" t="str">
        <f t="shared" si="526"/>
        <v>60507-7380</v>
      </c>
      <c r="D8438" s="64" t="s">
        <v>9687</v>
      </c>
      <c r="E8438" s="64" t="s">
        <v>3050</v>
      </c>
      <c r="F8438" s="64" t="s">
        <v>15</v>
      </c>
      <c r="G8438" s="64" t="s">
        <v>3021</v>
      </c>
      <c r="H8438" s="64" t="s">
        <v>3022</v>
      </c>
      <c r="I8438" s="64" t="s">
        <v>3051</v>
      </c>
      <c r="J8438" s="67">
        <v>286.46</v>
      </c>
      <c r="K8438" s="62">
        <v>3769.92</v>
      </c>
      <c r="L8438" s="33" t="e">
        <f>HLOOKUP(B8438,#REF!,1,0)</f>
        <v>#REF!</v>
      </c>
      <c r="M8438" s="33" t="str">
        <f t="shared" si="527"/>
        <v>P&amp;L</v>
      </c>
    </row>
    <row r="8439" spans="1:13">
      <c r="A8439" s="33" t="str">
        <f t="shared" si="524"/>
        <v>SCL - Operating Expense</v>
      </c>
      <c r="B8439" s="33" t="str">
        <f t="shared" si="525"/>
        <v>SCL</v>
      </c>
      <c r="C8439" s="33" t="str">
        <f t="shared" si="526"/>
        <v>60507-7381</v>
      </c>
      <c r="D8439" s="64" t="s">
        <v>9688</v>
      </c>
      <c r="E8439" s="64" t="s">
        <v>3050</v>
      </c>
      <c r="F8439" s="64" t="s">
        <v>15</v>
      </c>
      <c r="G8439" s="64" t="s">
        <v>3021</v>
      </c>
      <c r="H8439" s="64" t="s">
        <v>3022</v>
      </c>
      <c r="I8439" s="64" t="s">
        <v>3051</v>
      </c>
      <c r="J8439" s="67">
        <v>1599.91</v>
      </c>
      <c r="K8439" s="62">
        <v>8069.98</v>
      </c>
      <c r="L8439" s="33" t="e">
        <f>HLOOKUP(B8439,#REF!,1,0)</f>
        <v>#REF!</v>
      </c>
      <c r="M8439" s="33" t="str">
        <f t="shared" si="527"/>
        <v>P&amp;L</v>
      </c>
    </row>
    <row r="8440" spans="1:13">
      <c r="A8440" s="33" t="str">
        <f t="shared" si="524"/>
        <v>SCL - Operating Expense</v>
      </c>
      <c r="B8440" s="33" t="str">
        <f t="shared" si="525"/>
        <v>SCL</v>
      </c>
      <c r="C8440" s="33" t="str">
        <f t="shared" si="526"/>
        <v>60507-7383</v>
      </c>
      <c r="D8440" s="64" t="s">
        <v>9689</v>
      </c>
      <c r="E8440" s="64" t="s">
        <v>3050</v>
      </c>
      <c r="F8440" s="64" t="s">
        <v>15</v>
      </c>
      <c r="G8440" s="64" t="s">
        <v>3021</v>
      </c>
      <c r="H8440" s="64" t="s">
        <v>3022</v>
      </c>
      <c r="I8440" s="64" t="s">
        <v>3051</v>
      </c>
      <c r="J8440" s="67">
        <v>905.8</v>
      </c>
      <c r="K8440" s="62">
        <v>6467.77</v>
      </c>
      <c r="L8440" s="33" t="e">
        <f>HLOOKUP(B8440,#REF!,1,0)</f>
        <v>#REF!</v>
      </c>
      <c r="M8440" s="33" t="str">
        <f t="shared" si="527"/>
        <v>P&amp;L</v>
      </c>
    </row>
    <row r="8441" spans="1:13">
      <c r="A8441" s="33" t="str">
        <f t="shared" si="524"/>
        <v>SCL - Operating Expense</v>
      </c>
      <c r="B8441" s="33" t="str">
        <f t="shared" si="525"/>
        <v>SCL</v>
      </c>
      <c r="C8441" s="33" t="str">
        <f t="shared" si="526"/>
        <v>60507-7385</v>
      </c>
      <c r="D8441" s="64" t="s">
        <v>9690</v>
      </c>
      <c r="E8441" s="64" t="s">
        <v>3050</v>
      </c>
      <c r="F8441" s="64" t="s">
        <v>15</v>
      </c>
      <c r="G8441" s="64" t="s">
        <v>3021</v>
      </c>
      <c r="H8441" s="64" t="s">
        <v>3022</v>
      </c>
      <c r="I8441" s="64" t="s">
        <v>3051</v>
      </c>
      <c r="J8441" s="67">
        <v>437.97</v>
      </c>
      <c r="K8441" s="62">
        <v>4304.28</v>
      </c>
      <c r="L8441" s="33" t="e">
        <f>HLOOKUP(B8441,#REF!,1,0)</f>
        <v>#REF!</v>
      </c>
      <c r="M8441" s="33" t="str">
        <f t="shared" si="527"/>
        <v>P&amp;L</v>
      </c>
    </row>
    <row r="8442" spans="1:13">
      <c r="A8442" s="33" t="str">
        <f t="shared" si="524"/>
        <v>SCL - Operating Expense</v>
      </c>
      <c r="B8442" s="33" t="str">
        <f t="shared" si="525"/>
        <v>SCL</v>
      </c>
      <c r="C8442" s="33" t="str">
        <f t="shared" si="526"/>
        <v>60507-7386</v>
      </c>
      <c r="D8442" s="64" t="s">
        <v>9691</v>
      </c>
      <c r="E8442" s="64" t="s">
        <v>3050</v>
      </c>
      <c r="F8442" s="64" t="s">
        <v>15</v>
      </c>
      <c r="G8442" s="64" t="s">
        <v>3021</v>
      </c>
      <c r="H8442" s="64" t="s">
        <v>3022</v>
      </c>
      <c r="I8442" s="64" t="s">
        <v>3051</v>
      </c>
      <c r="J8442" s="67">
        <v>824.28</v>
      </c>
      <c r="K8442" s="62">
        <v>4994.12</v>
      </c>
      <c r="L8442" s="33" t="e">
        <f>HLOOKUP(B8442,#REF!,1,0)</f>
        <v>#REF!</v>
      </c>
      <c r="M8442" s="33" t="str">
        <f t="shared" si="527"/>
        <v>P&amp;L</v>
      </c>
    </row>
    <row r="8443" spans="1:13">
      <c r="A8443" s="33" t="str">
        <f t="shared" si="524"/>
        <v>SCL - Operating Expense</v>
      </c>
      <c r="B8443" s="33" t="str">
        <f t="shared" si="525"/>
        <v>SCL</v>
      </c>
      <c r="C8443" s="33" t="str">
        <f t="shared" si="526"/>
        <v>60507-7387</v>
      </c>
      <c r="D8443" s="64" t="s">
        <v>9692</v>
      </c>
      <c r="E8443" s="64" t="s">
        <v>3050</v>
      </c>
      <c r="F8443" s="64" t="s">
        <v>15</v>
      </c>
      <c r="G8443" s="64" t="s">
        <v>3021</v>
      </c>
      <c r="H8443" s="64" t="s">
        <v>3022</v>
      </c>
      <c r="I8443" s="64" t="s">
        <v>3051</v>
      </c>
      <c r="J8443" s="67">
        <v>806.06</v>
      </c>
      <c r="K8443" s="62">
        <v>6020.1</v>
      </c>
      <c r="L8443" s="33" t="e">
        <f>HLOOKUP(B8443,#REF!,1,0)</f>
        <v>#REF!</v>
      </c>
      <c r="M8443" s="33" t="str">
        <f t="shared" si="527"/>
        <v>P&amp;L</v>
      </c>
    </row>
    <row r="8444" spans="1:13">
      <c r="A8444" s="33" t="str">
        <f t="shared" si="524"/>
        <v>SCL - Operating Expense</v>
      </c>
      <c r="B8444" s="33" t="str">
        <f t="shared" si="525"/>
        <v>SCL</v>
      </c>
      <c r="C8444" s="33" t="str">
        <f t="shared" si="526"/>
        <v>60507-7389</v>
      </c>
      <c r="D8444" s="64" t="s">
        <v>9693</v>
      </c>
      <c r="E8444" s="64" t="s">
        <v>3050</v>
      </c>
      <c r="F8444" s="64" t="s">
        <v>15</v>
      </c>
      <c r="G8444" s="64" t="s">
        <v>3021</v>
      </c>
      <c r="H8444" s="64" t="s">
        <v>3022</v>
      </c>
      <c r="I8444" s="64" t="s">
        <v>3051</v>
      </c>
      <c r="J8444" s="67">
        <v>990.82</v>
      </c>
      <c r="K8444" s="62">
        <v>8566.19</v>
      </c>
      <c r="L8444" s="33" t="e">
        <f>HLOOKUP(B8444,#REF!,1,0)</f>
        <v>#REF!</v>
      </c>
      <c r="M8444" s="33" t="str">
        <f t="shared" si="527"/>
        <v>P&amp;L</v>
      </c>
    </row>
    <row r="8445" spans="1:13">
      <c r="A8445" s="33" t="str">
        <f t="shared" si="524"/>
        <v>SCL - Operating Expense</v>
      </c>
      <c r="B8445" s="33" t="str">
        <f t="shared" si="525"/>
        <v>SCL</v>
      </c>
      <c r="C8445" s="33" t="str">
        <f t="shared" si="526"/>
        <v>60507-7391</v>
      </c>
      <c r="D8445" s="64" t="s">
        <v>9694</v>
      </c>
      <c r="E8445" s="64" t="s">
        <v>3050</v>
      </c>
      <c r="F8445" s="64" t="s">
        <v>15</v>
      </c>
      <c r="G8445" s="64" t="s">
        <v>3021</v>
      </c>
      <c r="H8445" s="64" t="s">
        <v>3022</v>
      </c>
      <c r="I8445" s="64" t="s">
        <v>3051</v>
      </c>
      <c r="J8445" s="67">
        <v>874.41</v>
      </c>
      <c r="K8445" s="62">
        <v>6538.16</v>
      </c>
      <c r="L8445" s="33" t="e">
        <f>HLOOKUP(B8445,#REF!,1,0)</f>
        <v>#REF!</v>
      </c>
      <c r="M8445" s="33" t="str">
        <f t="shared" si="527"/>
        <v>P&amp;L</v>
      </c>
    </row>
    <row r="8446" spans="1:13">
      <c r="A8446" s="33" t="str">
        <f t="shared" si="524"/>
        <v>SCL - Operating Expense</v>
      </c>
      <c r="B8446" s="33" t="str">
        <f t="shared" si="525"/>
        <v>SCL</v>
      </c>
      <c r="C8446" s="33" t="str">
        <f t="shared" si="526"/>
        <v>60507-7393</v>
      </c>
      <c r="D8446" s="64" t="s">
        <v>9695</v>
      </c>
      <c r="E8446" s="64" t="s">
        <v>3050</v>
      </c>
      <c r="F8446" s="64" t="s">
        <v>15</v>
      </c>
      <c r="G8446" s="64" t="s">
        <v>3021</v>
      </c>
      <c r="H8446" s="64" t="s">
        <v>3022</v>
      </c>
      <c r="I8446" s="64" t="s">
        <v>3051</v>
      </c>
      <c r="J8446" s="67">
        <v>668.16</v>
      </c>
      <c r="K8446" s="62">
        <v>4722.64</v>
      </c>
      <c r="L8446" s="33" t="e">
        <f>HLOOKUP(B8446,#REF!,1,0)</f>
        <v>#REF!</v>
      </c>
      <c r="M8446" s="33" t="str">
        <f t="shared" si="527"/>
        <v>P&amp;L</v>
      </c>
    </row>
    <row r="8447" spans="1:13">
      <c r="A8447" s="33" t="str">
        <f t="shared" si="524"/>
        <v>SCL - Operating Expense</v>
      </c>
      <c r="B8447" s="33" t="str">
        <f t="shared" si="525"/>
        <v>SCL</v>
      </c>
      <c r="C8447" s="33" t="str">
        <f t="shared" si="526"/>
        <v>60507-7394</v>
      </c>
      <c r="D8447" s="64" t="s">
        <v>9696</v>
      </c>
      <c r="E8447" s="64" t="s">
        <v>3050</v>
      </c>
      <c r="F8447" s="64" t="s">
        <v>15</v>
      </c>
      <c r="G8447" s="64" t="s">
        <v>3021</v>
      </c>
      <c r="H8447" s="64" t="s">
        <v>3022</v>
      </c>
      <c r="I8447" s="64" t="s">
        <v>3051</v>
      </c>
      <c r="J8447" s="67">
        <v>612.79</v>
      </c>
      <c r="K8447" s="62">
        <v>4394.21</v>
      </c>
      <c r="L8447" s="33" t="e">
        <f>HLOOKUP(B8447,#REF!,1,0)</f>
        <v>#REF!</v>
      </c>
      <c r="M8447" s="33" t="str">
        <f t="shared" si="527"/>
        <v>P&amp;L</v>
      </c>
    </row>
    <row r="8448" spans="1:13">
      <c r="A8448" s="33" t="str">
        <f t="shared" si="524"/>
        <v>SCL - Operating Expense</v>
      </c>
      <c r="B8448" s="33" t="str">
        <f t="shared" si="525"/>
        <v>SCL</v>
      </c>
      <c r="C8448" s="33" t="str">
        <f t="shared" si="526"/>
        <v>60507-7396</v>
      </c>
      <c r="D8448" s="64" t="s">
        <v>9697</v>
      </c>
      <c r="E8448" s="64" t="s">
        <v>3050</v>
      </c>
      <c r="F8448" s="64" t="s">
        <v>15</v>
      </c>
      <c r="G8448" s="64" t="s">
        <v>3021</v>
      </c>
      <c r="H8448" s="64" t="s">
        <v>3022</v>
      </c>
      <c r="I8448" s="64" t="s">
        <v>3051</v>
      </c>
      <c r="J8448" s="67">
        <v>756.44</v>
      </c>
      <c r="K8448" s="62">
        <v>5679.43</v>
      </c>
      <c r="L8448" s="33" t="e">
        <f>HLOOKUP(B8448,#REF!,1,0)</f>
        <v>#REF!</v>
      </c>
      <c r="M8448" s="33" t="str">
        <f t="shared" si="527"/>
        <v>P&amp;L</v>
      </c>
    </row>
    <row r="8449" spans="1:13">
      <c r="A8449" s="33" t="str">
        <f t="shared" si="524"/>
        <v>SCL - Operating Expense</v>
      </c>
      <c r="B8449" s="33" t="str">
        <f t="shared" si="525"/>
        <v>SCL</v>
      </c>
      <c r="C8449" s="33" t="str">
        <f t="shared" si="526"/>
        <v>60507-7397</v>
      </c>
      <c r="D8449" s="64" t="s">
        <v>9698</v>
      </c>
      <c r="E8449" s="64" t="s">
        <v>3050</v>
      </c>
      <c r="F8449" s="64" t="s">
        <v>15</v>
      </c>
      <c r="G8449" s="64" t="s">
        <v>3021</v>
      </c>
      <c r="H8449" s="64" t="s">
        <v>3022</v>
      </c>
      <c r="I8449" s="64" t="s">
        <v>3051</v>
      </c>
      <c r="J8449" s="67">
        <v>641.36</v>
      </c>
      <c r="K8449" s="62">
        <v>6607.79</v>
      </c>
      <c r="L8449" s="33" t="e">
        <f>HLOOKUP(B8449,#REF!,1,0)</f>
        <v>#REF!</v>
      </c>
      <c r="M8449" s="33" t="str">
        <f t="shared" si="527"/>
        <v>P&amp;L</v>
      </c>
    </row>
    <row r="8450" spans="1:13">
      <c r="A8450" s="33" t="str">
        <f t="shared" ref="A8450:A8513" si="528">B8450&amp;" - "&amp;TRIM(H8450)</f>
        <v>SCL - Operating Expense</v>
      </c>
      <c r="B8450" s="33" t="str">
        <f t="shared" ref="B8450:B8513" si="529">LEFT(D8450,3)</f>
        <v>SCL</v>
      </c>
      <c r="C8450" s="33" t="str">
        <f t="shared" ref="C8450:C8513" si="530">RIGHT(D8450,10)</f>
        <v>60507-7398</v>
      </c>
      <c r="D8450" s="64" t="s">
        <v>9699</v>
      </c>
      <c r="E8450" s="64" t="s">
        <v>3050</v>
      </c>
      <c r="F8450" s="64" t="s">
        <v>15</v>
      </c>
      <c r="G8450" s="64" t="s">
        <v>3021</v>
      </c>
      <c r="H8450" s="64" t="s">
        <v>3022</v>
      </c>
      <c r="I8450" s="64" t="s">
        <v>3051</v>
      </c>
      <c r="J8450" s="67">
        <v>693.45</v>
      </c>
      <c r="K8450" s="62">
        <v>4352.49</v>
      </c>
      <c r="L8450" s="33" t="e">
        <f>HLOOKUP(B8450,#REF!,1,0)</f>
        <v>#REF!</v>
      </c>
      <c r="M8450" s="33" t="str">
        <f t="shared" ref="M8450:M8513" si="531">IF(VALUE(LEFT(C8450,5))&gt;40000,"P&amp;L","BS")</f>
        <v>P&amp;L</v>
      </c>
    </row>
    <row r="8451" spans="1:13">
      <c r="A8451" s="33" t="str">
        <f t="shared" si="528"/>
        <v>SCL - Operating Expense</v>
      </c>
      <c r="B8451" s="33" t="str">
        <f t="shared" si="529"/>
        <v>SCL</v>
      </c>
      <c r="C8451" s="33" t="str">
        <f t="shared" si="530"/>
        <v>60507-7400</v>
      </c>
      <c r="D8451" s="64" t="s">
        <v>9700</v>
      </c>
      <c r="E8451" s="64" t="s">
        <v>3050</v>
      </c>
      <c r="F8451" s="64" t="s">
        <v>15</v>
      </c>
      <c r="G8451" s="64" t="s">
        <v>3021</v>
      </c>
      <c r="H8451" s="64" t="s">
        <v>3022</v>
      </c>
      <c r="I8451" s="64" t="s">
        <v>3051</v>
      </c>
      <c r="J8451" s="67">
        <v>753.66</v>
      </c>
      <c r="K8451" s="62">
        <v>5166.09</v>
      </c>
      <c r="L8451" s="33" t="e">
        <f>HLOOKUP(B8451,#REF!,1,0)</f>
        <v>#REF!</v>
      </c>
      <c r="M8451" s="33" t="str">
        <f t="shared" si="531"/>
        <v>P&amp;L</v>
      </c>
    </row>
    <row r="8452" spans="1:13">
      <c r="A8452" s="33" t="str">
        <f t="shared" si="528"/>
        <v>SCL - Operating Expense</v>
      </c>
      <c r="B8452" s="33" t="str">
        <f t="shared" si="529"/>
        <v>SCL</v>
      </c>
      <c r="C8452" s="33" t="str">
        <f t="shared" si="530"/>
        <v>60507-7401</v>
      </c>
      <c r="D8452" s="64" t="s">
        <v>9701</v>
      </c>
      <c r="E8452" s="64" t="s">
        <v>3050</v>
      </c>
      <c r="F8452" s="64" t="s">
        <v>15</v>
      </c>
      <c r="G8452" s="64" t="s">
        <v>3021</v>
      </c>
      <c r="H8452" s="64" t="s">
        <v>3022</v>
      </c>
      <c r="I8452" s="64" t="s">
        <v>3051</v>
      </c>
      <c r="J8452" s="67">
        <v>628.39</v>
      </c>
      <c r="K8452" s="62">
        <v>5571.05</v>
      </c>
      <c r="L8452" s="33" t="e">
        <f>HLOOKUP(B8452,#REF!,1,0)</f>
        <v>#REF!</v>
      </c>
      <c r="M8452" s="33" t="str">
        <f t="shared" si="531"/>
        <v>P&amp;L</v>
      </c>
    </row>
    <row r="8453" spans="1:13">
      <c r="A8453" s="33" t="str">
        <f t="shared" si="528"/>
        <v>SCL - Operating Expense</v>
      </c>
      <c r="B8453" s="33" t="str">
        <f t="shared" si="529"/>
        <v>SCL</v>
      </c>
      <c r="C8453" s="33" t="str">
        <f t="shared" si="530"/>
        <v>60507-7402</v>
      </c>
      <c r="D8453" s="64" t="s">
        <v>9702</v>
      </c>
      <c r="E8453" s="64" t="s">
        <v>3050</v>
      </c>
      <c r="F8453" s="64" t="s">
        <v>15</v>
      </c>
      <c r="G8453" s="64" t="s">
        <v>3021</v>
      </c>
      <c r="H8453" s="64" t="s">
        <v>3022</v>
      </c>
      <c r="I8453" s="64" t="s">
        <v>3051</v>
      </c>
      <c r="J8453" s="67">
        <v>563.09</v>
      </c>
      <c r="K8453" s="62">
        <v>7171.4</v>
      </c>
      <c r="L8453" s="33" t="e">
        <f>HLOOKUP(B8453,#REF!,1,0)</f>
        <v>#REF!</v>
      </c>
      <c r="M8453" s="33" t="str">
        <f t="shared" si="531"/>
        <v>P&amp;L</v>
      </c>
    </row>
    <row r="8454" spans="1:13">
      <c r="A8454" s="33" t="str">
        <f t="shared" si="528"/>
        <v>SCL - Operating Expense</v>
      </c>
      <c r="B8454" s="33" t="str">
        <f t="shared" si="529"/>
        <v>SCL</v>
      </c>
      <c r="C8454" s="33" t="str">
        <f t="shared" si="530"/>
        <v>60507-7403</v>
      </c>
      <c r="D8454" s="64" t="s">
        <v>9703</v>
      </c>
      <c r="E8454" s="64" t="s">
        <v>3050</v>
      </c>
      <c r="F8454" s="64" t="s">
        <v>15</v>
      </c>
      <c r="G8454" s="64" t="s">
        <v>3021</v>
      </c>
      <c r="H8454" s="64" t="s">
        <v>3022</v>
      </c>
      <c r="I8454" s="64" t="s">
        <v>3051</v>
      </c>
      <c r="J8454" s="67">
        <v>848.18</v>
      </c>
      <c r="K8454" s="62">
        <v>6430.33</v>
      </c>
      <c r="L8454" s="33" t="e">
        <f>HLOOKUP(B8454,#REF!,1,0)</f>
        <v>#REF!</v>
      </c>
      <c r="M8454" s="33" t="str">
        <f t="shared" si="531"/>
        <v>P&amp;L</v>
      </c>
    </row>
    <row r="8455" spans="1:13">
      <c r="A8455" s="33" t="str">
        <f t="shared" si="528"/>
        <v>SCL - Operating Expense</v>
      </c>
      <c r="B8455" s="33" t="str">
        <f t="shared" si="529"/>
        <v>SCL</v>
      </c>
      <c r="C8455" s="33" t="str">
        <f t="shared" si="530"/>
        <v>60507-7404</v>
      </c>
      <c r="D8455" s="64" t="s">
        <v>9704</v>
      </c>
      <c r="E8455" s="64" t="s">
        <v>3050</v>
      </c>
      <c r="F8455" s="64" t="s">
        <v>15</v>
      </c>
      <c r="G8455" s="64" t="s">
        <v>3021</v>
      </c>
      <c r="H8455" s="64" t="s">
        <v>3022</v>
      </c>
      <c r="I8455" s="64" t="s">
        <v>3051</v>
      </c>
      <c r="J8455" s="67">
        <v>0</v>
      </c>
      <c r="K8455" s="62">
        <v>0</v>
      </c>
      <c r="L8455" s="33" t="e">
        <f>HLOOKUP(B8455,#REF!,1,0)</f>
        <v>#REF!</v>
      </c>
      <c r="M8455" s="33" t="str">
        <f t="shared" si="531"/>
        <v>P&amp;L</v>
      </c>
    </row>
    <row r="8456" spans="1:13">
      <c r="A8456" s="33" t="str">
        <f t="shared" si="528"/>
        <v>SCL - Operating Expense</v>
      </c>
      <c r="B8456" s="33" t="str">
        <f t="shared" si="529"/>
        <v>SCL</v>
      </c>
      <c r="C8456" s="33" t="str">
        <f t="shared" si="530"/>
        <v>60507-7405</v>
      </c>
      <c r="D8456" s="64" t="s">
        <v>9705</v>
      </c>
      <c r="E8456" s="64" t="s">
        <v>3050</v>
      </c>
      <c r="F8456" s="64" t="s">
        <v>15</v>
      </c>
      <c r="G8456" s="64" t="s">
        <v>3021</v>
      </c>
      <c r="H8456" s="64" t="s">
        <v>3022</v>
      </c>
      <c r="I8456" s="64" t="s">
        <v>3051</v>
      </c>
      <c r="J8456" s="67">
        <v>0</v>
      </c>
      <c r="K8456" s="62">
        <v>0</v>
      </c>
      <c r="L8456" s="33" t="e">
        <f>HLOOKUP(B8456,#REF!,1,0)</f>
        <v>#REF!</v>
      </c>
      <c r="M8456" s="33" t="str">
        <f t="shared" si="531"/>
        <v>P&amp;L</v>
      </c>
    </row>
    <row r="8457" spans="1:13">
      <c r="A8457" s="33" t="str">
        <f t="shared" si="528"/>
        <v>SCL - Operating Expense</v>
      </c>
      <c r="B8457" s="33" t="str">
        <f t="shared" si="529"/>
        <v>SCL</v>
      </c>
      <c r="C8457" s="33" t="str">
        <f t="shared" si="530"/>
        <v>60507-7406</v>
      </c>
      <c r="D8457" s="64" t="s">
        <v>9706</v>
      </c>
      <c r="E8457" s="64" t="s">
        <v>3050</v>
      </c>
      <c r="F8457" s="64" t="s">
        <v>15</v>
      </c>
      <c r="G8457" s="64" t="s">
        <v>3021</v>
      </c>
      <c r="H8457" s="64" t="s">
        <v>3022</v>
      </c>
      <c r="I8457" s="64" t="s">
        <v>3051</v>
      </c>
      <c r="J8457" s="67">
        <v>0</v>
      </c>
      <c r="K8457" s="62">
        <v>0</v>
      </c>
      <c r="L8457" s="33" t="e">
        <f>HLOOKUP(B8457,#REF!,1,0)</f>
        <v>#REF!</v>
      </c>
      <c r="M8457" s="33" t="str">
        <f t="shared" si="531"/>
        <v>P&amp;L</v>
      </c>
    </row>
    <row r="8458" spans="1:13">
      <c r="A8458" s="33" t="str">
        <f t="shared" si="528"/>
        <v>SCL - Operating Expense</v>
      </c>
      <c r="B8458" s="33" t="str">
        <f t="shared" si="529"/>
        <v>SCL</v>
      </c>
      <c r="C8458" s="33" t="str">
        <f t="shared" si="530"/>
        <v>60507-7489</v>
      </c>
      <c r="D8458" s="64" t="s">
        <v>9707</v>
      </c>
      <c r="E8458" s="64" t="s">
        <v>3050</v>
      </c>
      <c r="F8458" s="64" t="s">
        <v>15</v>
      </c>
      <c r="G8458" s="64" t="s">
        <v>3021</v>
      </c>
      <c r="H8458" s="64" t="s">
        <v>3022</v>
      </c>
      <c r="I8458" s="64" t="s">
        <v>3051</v>
      </c>
      <c r="J8458" s="67">
        <v>1313.06</v>
      </c>
      <c r="K8458" s="62">
        <v>9581.97</v>
      </c>
      <c r="L8458" s="33" t="e">
        <f>HLOOKUP(B8458,#REF!,1,0)</f>
        <v>#REF!</v>
      </c>
      <c r="M8458" s="33" t="str">
        <f t="shared" si="531"/>
        <v>P&amp;L</v>
      </c>
    </row>
    <row r="8459" spans="1:13">
      <c r="A8459" s="33" t="str">
        <f t="shared" si="528"/>
        <v>SCL - Operating Expense</v>
      </c>
      <c r="B8459" s="33" t="str">
        <f t="shared" si="529"/>
        <v>SCL</v>
      </c>
      <c r="C8459" s="33" t="str">
        <f t="shared" si="530"/>
        <v>60507-7490</v>
      </c>
      <c r="D8459" s="64" t="s">
        <v>9708</v>
      </c>
      <c r="E8459" s="64" t="s">
        <v>3050</v>
      </c>
      <c r="F8459" s="64" t="s">
        <v>15</v>
      </c>
      <c r="G8459" s="64" t="s">
        <v>3021</v>
      </c>
      <c r="H8459" s="64" t="s">
        <v>3022</v>
      </c>
      <c r="I8459" s="64" t="s">
        <v>3051</v>
      </c>
      <c r="J8459" s="67">
        <v>0</v>
      </c>
      <c r="K8459" s="62">
        <v>0</v>
      </c>
      <c r="L8459" s="33" t="e">
        <f>HLOOKUP(B8459,#REF!,1,0)</f>
        <v>#REF!</v>
      </c>
      <c r="M8459" s="33" t="str">
        <f t="shared" si="531"/>
        <v>P&amp;L</v>
      </c>
    </row>
    <row r="8460" spans="1:13">
      <c r="A8460" s="33" t="str">
        <f t="shared" si="528"/>
        <v>SCL - Operating Expense</v>
      </c>
      <c r="B8460" s="33" t="str">
        <f t="shared" si="529"/>
        <v>SCL</v>
      </c>
      <c r="C8460" s="33" t="str">
        <f t="shared" si="530"/>
        <v>60507-7491</v>
      </c>
      <c r="D8460" s="64" t="s">
        <v>9709</v>
      </c>
      <c r="E8460" s="64" t="s">
        <v>3050</v>
      </c>
      <c r="F8460" s="64" t="s">
        <v>15</v>
      </c>
      <c r="G8460" s="64" t="s">
        <v>3021</v>
      </c>
      <c r="H8460" s="64" t="s">
        <v>3022</v>
      </c>
      <c r="I8460" s="64" t="s">
        <v>3051</v>
      </c>
      <c r="J8460" s="67">
        <v>775.27</v>
      </c>
      <c r="K8460" s="62">
        <v>4880.06</v>
      </c>
      <c r="L8460" s="33" t="e">
        <f>HLOOKUP(B8460,#REF!,1,0)</f>
        <v>#REF!</v>
      </c>
      <c r="M8460" s="33" t="str">
        <f t="shared" si="531"/>
        <v>P&amp;L</v>
      </c>
    </row>
    <row r="8461" spans="1:13">
      <c r="A8461" s="33" t="str">
        <f t="shared" si="528"/>
        <v>SCL - Operating Expense</v>
      </c>
      <c r="B8461" s="33" t="str">
        <f t="shared" si="529"/>
        <v>SCL</v>
      </c>
      <c r="C8461" s="33" t="str">
        <f t="shared" si="530"/>
        <v>60507-7492</v>
      </c>
      <c r="D8461" s="64" t="s">
        <v>9710</v>
      </c>
      <c r="E8461" s="64" t="s">
        <v>3050</v>
      </c>
      <c r="F8461" s="64" t="s">
        <v>15</v>
      </c>
      <c r="G8461" s="64" t="s">
        <v>3021</v>
      </c>
      <c r="H8461" s="64" t="s">
        <v>3022</v>
      </c>
      <c r="I8461" s="64" t="s">
        <v>3051</v>
      </c>
      <c r="J8461" s="67">
        <v>790.85</v>
      </c>
      <c r="K8461" s="62">
        <v>4778.06</v>
      </c>
      <c r="L8461" s="33" t="e">
        <f>HLOOKUP(B8461,#REF!,1,0)</f>
        <v>#REF!</v>
      </c>
      <c r="M8461" s="33" t="str">
        <f t="shared" si="531"/>
        <v>P&amp;L</v>
      </c>
    </row>
    <row r="8462" spans="1:13">
      <c r="A8462" s="33" t="str">
        <f t="shared" si="528"/>
        <v>SCL - Operating Expense</v>
      </c>
      <c r="B8462" s="33" t="str">
        <f t="shared" si="529"/>
        <v>SCL</v>
      </c>
      <c r="C8462" s="33" t="str">
        <f t="shared" si="530"/>
        <v>60507-7493</v>
      </c>
      <c r="D8462" s="64" t="s">
        <v>9711</v>
      </c>
      <c r="E8462" s="64" t="s">
        <v>3050</v>
      </c>
      <c r="F8462" s="64" t="s">
        <v>15</v>
      </c>
      <c r="G8462" s="64" t="s">
        <v>3021</v>
      </c>
      <c r="H8462" s="64" t="s">
        <v>3022</v>
      </c>
      <c r="I8462" s="64" t="s">
        <v>3051</v>
      </c>
      <c r="J8462" s="67">
        <v>644.33</v>
      </c>
      <c r="K8462" s="62">
        <v>8418.55</v>
      </c>
      <c r="L8462" s="33" t="e">
        <f>HLOOKUP(B8462,#REF!,1,0)</f>
        <v>#REF!</v>
      </c>
      <c r="M8462" s="33" t="str">
        <f t="shared" si="531"/>
        <v>P&amp;L</v>
      </c>
    </row>
    <row r="8463" spans="1:13">
      <c r="A8463" s="33" t="str">
        <f t="shared" si="528"/>
        <v>SCL - Operating Expense</v>
      </c>
      <c r="B8463" s="33" t="str">
        <f t="shared" si="529"/>
        <v>SCL</v>
      </c>
      <c r="C8463" s="33" t="str">
        <f t="shared" si="530"/>
        <v>60507-7494</v>
      </c>
      <c r="D8463" s="64" t="s">
        <v>9712</v>
      </c>
      <c r="E8463" s="64" t="s">
        <v>3050</v>
      </c>
      <c r="F8463" s="64" t="s">
        <v>15</v>
      </c>
      <c r="G8463" s="64" t="s">
        <v>3021</v>
      </c>
      <c r="H8463" s="64" t="s">
        <v>3022</v>
      </c>
      <c r="I8463" s="64" t="s">
        <v>3051</v>
      </c>
      <c r="J8463" s="67">
        <v>534.06</v>
      </c>
      <c r="K8463" s="62">
        <v>4866.27</v>
      </c>
      <c r="L8463" s="33" t="e">
        <f>HLOOKUP(B8463,#REF!,1,0)</f>
        <v>#REF!</v>
      </c>
      <c r="M8463" s="33" t="str">
        <f t="shared" si="531"/>
        <v>P&amp;L</v>
      </c>
    </row>
    <row r="8464" spans="1:13">
      <c r="A8464" s="33" t="str">
        <f t="shared" si="528"/>
        <v>SCL - Operating Expense</v>
      </c>
      <c r="B8464" s="33" t="str">
        <f t="shared" si="529"/>
        <v>SCL</v>
      </c>
      <c r="C8464" s="33" t="str">
        <f t="shared" si="530"/>
        <v>60507-7625</v>
      </c>
      <c r="D8464" s="64" t="s">
        <v>9713</v>
      </c>
      <c r="E8464" s="64" t="s">
        <v>3050</v>
      </c>
      <c r="F8464" s="64" t="s">
        <v>15</v>
      </c>
      <c r="G8464" s="64" t="s">
        <v>3021</v>
      </c>
      <c r="H8464" s="64" t="s">
        <v>3022</v>
      </c>
      <c r="I8464" s="64" t="s">
        <v>3051</v>
      </c>
      <c r="J8464" s="67">
        <v>735.88</v>
      </c>
      <c r="K8464" s="62">
        <v>6395.15</v>
      </c>
      <c r="L8464" s="33" t="e">
        <f>HLOOKUP(B8464,#REF!,1,0)</f>
        <v>#REF!</v>
      </c>
      <c r="M8464" s="33" t="str">
        <f t="shared" si="531"/>
        <v>P&amp;L</v>
      </c>
    </row>
    <row r="8465" spans="1:13">
      <c r="A8465" s="33" t="str">
        <f t="shared" si="528"/>
        <v>SCL - Operating Expense</v>
      </c>
      <c r="B8465" s="33" t="str">
        <f t="shared" si="529"/>
        <v>SCL</v>
      </c>
      <c r="C8465" s="33" t="str">
        <f t="shared" si="530"/>
        <v>60507-8150</v>
      </c>
      <c r="D8465" s="64" t="s">
        <v>9714</v>
      </c>
      <c r="E8465" s="64" t="s">
        <v>3050</v>
      </c>
      <c r="F8465" s="64" t="s">
        <v>15</v>
      </c>
      <c r="G8465" s="64" t="s">
        <v>3021</v>
      </c>
      <c r="H8465" s="64" t="s">
        <v>3022</v>
      </c>
      <c r="I8465" s="64" t="s">
        <v>3051</v>
      </c>
      <c r="J8465" s="67">
        <v>494.15</v>
      </c>
      <c r="K8465" s="62">
        <v>4739.87</v>
      </c>
      <c r="L8465" s="33" t="e">
        <f>HLOOKUP(B8465,#REF!,1,0)</f>
        <v>#REF!</v>
      </c>
      <c r="M8465" s="33" t="str">
        <f t="shared" si="531"/>
        <v>P&amp;L</v>
      </c>
    </row>
    <row r="8466" spans="1:13">
      <c r="A8466" s="33" t="str">
        <f t="shared" si="528"/>
        <v>SCL - Operating Expense</v>
      </c>
      <c r="B8466" s="33" t="str">
        <f t="shared" si="529"/>
        <v>SCL</v>
      </c>
      <c r="C8466" s="33" t="str">
        <f t="shared" si="530"/>
        <v>60509-0000</v>
      </c>
      <c r="D8466" s="64" t="s">
        <v>9715</v>
      </c>
      <c r="E8466" s="64" t="s">
        <v>3056</v>
      </c>
      <c r="F8466" s="64" t="s">
        <v>15</v>
      </c>
      <c r="G8466" s="64" t="s">
        <v>3021</v>
      </c>
      <c r="H8466" s="64" t="s">
        <v>3022</v>
      </c>
      <c r="I8466" s="64" t="s">
        <v>3051</v>
      </c>
      <c r="J8466" s="67">
        <v>0</v>
      </c>
      <c r="K8466" s="62">
        <v>-378.78</v>
      </c>
      <c r="L8466" s="33" t="e">
        <f>HLOOKUP(B8466,#REF!,1,0)</f>
        <v>#REF!</v>
      </c>
      <c r="M8466" s="33" t="str">
        <f t="shared" si="531"/>
        <v>P&amp;L</v>
      </c>
    </row>
    <row r="8467" spans="1:13">
      <c r="A8467" s="33" t="str">
        <f t="shared" si="528"/>
        <v>SCL - Operating Expense</v>
      </c>
      <c r="B8467" s="33" t="str">
        <f t="shared" si="529"/>
        <v>SCL</v>
      </c>
      <c r="C8467" s="33" t="str">
        <f t="shared" si="530"/>
        <v>60509-7351</v>
      </c>
      <c r="D8467" s="64" t="s">
        <v>9716</v>
      </c>
      <c r="E8467" s="64" t="s">
        <v>3056</v>
      </c>
      <c r="F8467" s="64" t="s">
        <v>15</v>
      </c>
      <c r="G8467" s="64" t="s">
        <v>3021</v>
      </c>
      <c r="H8467" s="64" t="s">
        <v>3022</v>
      </c>
      <c r="I8467" s="64" t="s">
        <v>3051</v>
      </c>
      <c r="J8467" s="67">
        <v>175.89</v>
      </c>
      <c r="K8467" s="62">
        <v>1337.89</v>
      </c>
      <c r="L8467" s="33" t="e">
        <f>HLOOKUP(B8467,#REF!,1,0)</f>
        <v>#REF!</v>
      </c>
      <c r="M8467" s="33" t="str">
        <f t="shared" si="531"/>
        <v>P&amp;L</v>
      </c>
    </row>
    <row r="8468" spans="1:13">
      <c r="A8468" s="33" t="str">
        <f t="shared" si="528"/>
        <v>SCL - Operating Expense</v>
      </c>
      <c r="B8468" s="33" t="str">
        <f t="shared" si="529"/>
        <v>SCL</v>
      </c>
      <c r="C8468" s="33" t="str">
        <f t="shared" si="530"/>
        <v>60509-7352</v>
      </c>
      <c r="D8468" s="64" t="s">
        <v>9717</v>
      </c>
      <c r="E8468" s="64" t="s">
        <v>3056</v>
      </c>
      <c r="F8468" s="64" t="s">
        <v>15</v>
      </c>
      <c r="G8468" s="64" t="s">
        <v>3021</v>
      </c>
      <c r="H8468" s="64" t="s">
        <v>3022</v>
      </c>
      <c r="I8468" s="64" t="s">
        <v>3051</v>
      </c>
      <c r="J8468" s="67">
        <v>129.11</v>
      </c>
      <c r="K8468" s="62">
        <v>959.84</v>
      </c>
      <c r="L8468" s="33" t="e">
        <f>HLOOKUP(B8468,#REF!,1,0)</f>
        <v>#REF!</v>
      </c>
      <c r="M8468" s="33" t="str">
        <f t="shared" si="531"/>
        <v>P&amp;L</v>
      </c>
    </row>
    <row r="8469" spans="1:13">
      <c r="A8469" s="33" t="str">
        <f t="shared" si="528"/>
        <v>SCL - Operating Expense</v>
      </c>
      <c r="B8469" s="33" t="str">
        <f t="shared" si="529"/>
        <v>SCL</v>
      </c>
      <c r="C8469" s="33" t="str">
        <f t="shared" si="530"/>
        <v>60509-7355</v>
      </c>
      <c r="D8469" s="64" t="s">
        <v>9718</v>
      </c>
      <c r="E8469" s="64" t="s">
        <v>3056</v>
      </c>
      <c r="F8469" s="64" t="s">
        <v>15</v>
      </c>
      <c r="G8469" s="64" t="s">
        <v>3021</v>
      </c>
      <c r="H8469" s="64" t="s">
        <v>3022</v>
      </c>
      <c r="I8469" s="64" t="s">
        <v>3051</v>
      </c>
      <c r="J8469" s="67">
        <v>175.39</v>
      </c>
      <c r="K8469" s="62">
        <v>1086.85</v>
      </c>
      <c r="L8469" s="33" t="e">
        <f>HLOOKUP(B8469,#REF!,1,0)</f>
        <v>#REF!</v>
      </c>
      <c r="M8469" s="33" t="str">
        <f t="shared" si="531"/>
        <v>P&amp;L</v>
      </c>
    </row>
    <row r="8470" spans="1:13">
      <c r="A8470" s="33" t="str">
        <f t="shared" si="528"/>
        <v>SCL - Operating Expense</v>
      </c>
      <c r="B8470" s="33" t="str">
        <f t="shared" si="529"/>
        <v>SCL</v>
      </c>
      <c r="C8470" s="33" t="str">
        <f t="shared" si="530"/>
        <v>60509-7356</v>
      </c>
      <c r="D8470" s="64" t="s">
        <v>9719</v>
      </c>
      <c r="E8470" s="64" t="s">
        <v>3056</v>
      </c>
      <c r="F8470" s="64" t="s">
        <v>15</v>
      </c>
      <c r="G8470" s="64" t="s">
        <v>3021</v>
      </c>
      <c r="H8470" s="64" t="s">
        <v>3022</v>
      </c>
      <c r="I8470" s="64" t="s">
        <v>3051</v>
      </c>
      <c r="J8470" s="67">
        <v>0</v>
      </c>
      <c r="K8470" s="62">
        <v>246.85</v>
      </c>
      <c r="L8470" s="33" t="e">
        <f>HLOOKUP(B8470,#REF!,1,0)</f>
        <v>#REF!</v>
      </c>
      <c r="M8470" s="33" t="str">
        <f t="shared" si="531"/>
        <v>P&amp;L</v>
      </c>
    </row>
    <row r="8471" spans="1:13">
      <c r="A8471" s="33" t="str">
        <f t="shared" si="528"/>
        <v>SCL - Operating Expense</v>
      </c>
      <c r="B8471" s="33" t="str">
        <f t="shared" si="529"/>
        <v>SCL</v>
      </c>
      <c r="C8471" s="33" t="str">
        <f t="shared" si="530"/>
        <v>60509-7359</v>
      </c>
      <c r="D8471" s="64" t="s">
        <v>9720</v>
      </c>
      <c r="E8471" s="64" t="s">
        <v>3056</v>
      </c>
      <c r="F8471" s="64" t="s">
        <v>15</v>
      </c>
      <c r="G8471" s="64" t="s">
        <v>3021</v>
      </c>
      <c r="H8471" s="64" t="s">
        <v>3022</v>
      </c>
      <c r="I8471" s="64" t="s">
        <v>3051</v>
      </c>
      <c r="J8471" s="67">
        <v>253.25</v>
      </c>
      <c r="K8471" s="62">
        <v>1539.71</v>
      </c>
      <c r="L8471" s="33" t="e">
        <f>HLOOKUP(B8471,#REF!,1,0)</f>
        <v>#REF!</v>
      </c>
      <c r="M8471" s="33" t="str">
        <f t="shared" si="531"/>
        <v>P&amp;L</v>
      </c>
    </row>
    <row r="8472" spans="1:13">
      <c r="A8472" s="33" t="str">
        <f t="shared" si="528"/>
        <v>SCL - Operating Expense</v>
      </c>
      <c r="B8472" s="33" t="str">
        <f t="shared" si="529"/>
        <v>SCL</v>
      </c>
      <c r="C8472" s="33" t="str">
        <f t="shared" si="530"/>
        <v>60509-7360</v>
      </c>
      <c r="D8472" s="64" t="s">
        <v>9721</v>
      </c>
      <c r="E8472" s="64" t="s">
        <v>3056</v>
      </c>
      <c r="F8472" s="64" t="s">
        <v>15</v>
      </c>
      <c r="G8472" s="64" t="s">
        <v>3021</v>
      </c>
      <c r="H8472" s="64" t="s">
        <v>3022</v>
      </c>
      <c r="I8472" s="64" t="s">
        <v>3051</v>
      </c>
      <c r="J8472" s="67">
        <v>155.43</v>
      </c>
      <c r="K8472" s="62">
        <v>1235.74</v>
      </c>
      <c r="L8472" s="33" t="e">
        <f>HLOOKUP(B8472,#REF!,1,0)</f>
        <v>#REF!</v>
      </c>
      <c r="M8472" s="33" t="str">
        <f t="shared" si="531"/>
        <v>P&amp;L</v>
      </c>
    </row>
    <row r="8473" spans="1:13">
      <c r="A8473" s="33" t="str">
        <f t="shared" si="528"/>
        <v>SCL - Operating Expense</v>
      </c>
      <c r="B8473" s="33" t="str">
        <f t="shared" si="529"/>
        <v>SCL</v>
      </c>
      <c r="C8473" s="33" t="str">
        <f t="shared" si="530"/>
        <v>60509-7361</v>
      </c>
      <c r="D8473" s="64" t="s">
        <v>9722</v>
      </c>
      <c r="E8473" s="64" t="s">
        <v>3056</v>
      </c>
      <c r="F8473" s="64" t="s">
        <v>15</v>
      </c>
      <c r="G8473" s="64" t="s">
        <v>3021</v>
      </c>
      <c r="H8473" s="64" t="s">
        <v>3022</v>
      </c>
      <c r="I8473" s="64" t="s">
        <v>3051</v>
      </c>
      <c r="J8473" s="67">
        <v>158.46</v>
      </c>
      <c r="K8473" s="62">
        <v>1513.86</v>
      </c>
      <c r="L8473" s="33" t="e">
        <f>HLOOKUP(B8473,#REF!,1,0)</f>
        <v>#REF!</v>
      </c>
      <c r="M8473" s="33" t="str">
        <f t="shared" si="531"/>
        <v>P&amp;L</v>
      </c>
    </row>
    <row r="8474" spans="1:13">
      <c r="A8474" s="33" t="str">
        <f t="shared" si="528"/>
        <v>SCL - Operating Expense</v>
      </c>
      <c r="B8474" s="33" t="str">
        <f t="shared" si="529"/>
        <v>SCL</v>
      </c>
      <c r="C8474" s="33" t="str">
        <f t="shared" si="530"/>
        <v>60509-7362</v>
      </c>
      <c r="D8474" s="64" t="s">
        <v>9723</v>
      </c>
      <c r="E8474" s="64" t="s">
        <v>3056</v>
      </c>
      <c r="F8474" s="64" t="s">
        <v>15</v>
      </c>
      <c r="G8474" s="64" t="s">
        <v>3021</v>
      </c>
      <c r="H8474" s="64" t="s">
        <v>3022</v>
      </c>
      <c r="I8474" s="64" t="s">
        <v>3051</v>
      </c>
      <c r="J8474" s="67">
        <v>251.12</v>
      </c>
      <c r="K8474" s="62">
        <v>1986.09</v>
      </c>
      <c r="L8474" s="33" t="e">
        <f>HLOOKUP(B8474,#REF!,1,0)</f>
        <v>#REF!</v>
      </c>
      <c r="M8474" s="33" t="str">
        <f t="shared" si="531"/>
        <v>P&amp;L</v>
      </c>
    </row>
    <row r="8475" spans="1:13">
      <c r="A8475" s="33" t="str">
        <f t="shared" si="528"/>
        <v>SCL - Operating Expense</v>
      </c>
      <c r="B8475" s="33" t="str">
        <f t="shared" si="529"/>
        <v>SCL</v>
      </c>
      <c r="C8475" s="33" t="str">
        <f t="shared" si="530"/>
        <v>60509-7363</v>
      </c>
      <c r="D8475" s="64" t="s">
        <v>9724</v>
      </c>
      <c r="E8475" s="64" t="s">
        <v>3056</v>
      </c>
      <c r="F8475" s="64" t="s">
        <v>15</v>
      </c>
      <c r="G8475" s="64" t="s">
        <v>3021</v>
      </c>
      <c r="H8475" s="64" t="s">
        <v>3022</v>
      </c>
      <c r="I8475" s="64" t="s">
        <v>3051</v>
      </c>
      <c r="J8475" s="67">
        <v>0</v>
      </c>
      <c r="K8475" s="62">
        <v>1275.93</v>
      </c>
      <c r="L8475" s="33" t="e">
        <f>HLOOKUP(B8475,#REF!,1,0)</f>
        <v>#REF!</v>
      </c>
      <c r="M8475" s="33" t="str">
        <f t="shared" si="531"/>
        <v>P&amp;L</v>
      </c>
    </row>
    <row r="8476" spans="1:13">
      <c r="A8476" s="33" t="str">
        <f t="shared" si="528"/>
        <v>SCL - Operating Expense</v>
      </c>
      <c r="B8476" s="33" t="str">
        <f t="shared" si="529"/>
        <v>SCL</v>
      </c>
      <c r="C8476" s="33" t="str">
        <f t="shared" si="530"/>
        <v>60509-7364</v>
      </c>
      <c r="D8476" s="64" t="s">
        <v>9725</v>
      </c>
      <c r="E8476" s="64" t="s">
        <v>3056</v>
      </c>
      <c r="F8476" s="64" t="s">
        <v>15</v>
      </c>
      <c r="G8476" s="64" t="s">
        <v>3021</v>
      </c>
      <c r="H8476" s="64" t="s">
        <v>3022</v>
      </c>
      <c r="I8476" s="64" t="s">
        <v>3051</v>
      </c>
      <c r="J8476" s="67">
        <v>98.62</v>
      </c>
      <c r="K8476" s="62">
        <v>1299.61</v>
      </c>
      <c r="L8476" s="33" t="e">
        <f>HLOOKUP(B8476,#REF!,1,0)</f>
        <v>#REF!</v>
      </c>
      <c r="M8476" s="33" t="str">
        <f t="shared" si="531"/>
        <v>P&amp;L</v>
      </c>
    </row>
    <row r="8477" spans="1:13">
      <c r="A8477" s="33" t="str">
        <f t="shared" si="528"/>
        <v>SCL - Operating Expense</v>
      </c>
      <c r="B8477" s="33" t="str">
        <f t="shared" si="529"/>
        <v>SCL</v>
      </c>
      <c r="C8477" s="33" t="str">
        <f t="shared" si="530"/>
        <v>60509-7365</v>
      </c>
      <c r="D8477" s="64" t="s">
        <v>9726</v>
      </c>
      <c r="E8477" s="64" t="s">
        <v>3056</v>
      </c>
      <c r="F8477" s="64" t="s">
        <v>15</v>
      </c>
      <c r="G8477" s="64" t="s">
        <v>3021</v>
      </c>
      <c r="H8477" s="64" t="s">
        <v>3022</v>
      </c>
      <c r="I8477" s="64" t="s">
        <v>3051</v>
      </c>
      <c r="J8477" s="67">
        <v>23.65</v>
      </c>
      <c r="K8477" s="62">
        <v>1552.85</v>
      </c>
      <c r="L8477" s="33" t="e">
        <f>HLOOKUP(B8477,#REF!,1,0)</f>
        <v>#REF!</v>
      </c>
      <c r="M8477" s="33" t="str">
        <f t="shared" si="531"/>
        <v>P&amp;L</v>
      </c>
    </row>
    <row r="8478" spans="1:13">
      <c r="A8478" s="33" t="str">
        <f t="shared" si="528"/>
        <v>SCL - Operating Expense</v>
      </c>
      <c r="B8478" s="33" t="str">
        <f t="shared" si="529"/>
        <v>SCL</v>
      </c>
      <c r="C8478" s="33" t="str">
        <f t="shared" si="530"/>
        <v>60509-7366</v>
      </c>
      <c r="D8478" s="64" t="s">
        <v>9727</v>
      </c>
      <c r="E8478" s="64" t="s">
        <v>3056</v>
      </c>
      <c r="F8478" s="64" t="s">
        <v>15</v>
      </c>
      <c r="G8478" s="64" t="s">
        <v>3021</v>
      </c>
      <c r="H8478" s="64" t="s">
        <v>3022</v>
      </c>
      <c r="I8478" s="64" t="s">
        <v>3051</v>
      </c>
      <c r="J8478" s="67">
        <v>90.27</v>
      </c>
      <c r="K8478" s="62">
        <v>1194</v>
      </c>
      <c r="L8478" s="33" t="e">
        <f>HLOOKUP(B8478,#REF!,1,0)</f>
        <v>#REF!</v>
      </c>
      <c r="M8478" s="33" t="str">
        <f t="shared" si="531"/>
        <v>P&amp;L</v>
      </c>
    </row>
    <row r="8479" spans="1:13">
      <c r="A8479" s="33" t="str">
        <f t="shared" si="528"/>
        <v>SCL - Operating Expense</v>
      </c>
      <c r="B8479" s="33" t="str">
        <f t="shared" si="529"/>
        <v>SCL</v>
      </c>
      <c r="C8479" s="33" t="str">
        <f t="shared" si="530"/>
        <v>60509-7368</v>
      </c>
      <c r="D8479" s="64" t="s">
        <v>9728</v>
      </c>
      <c r="E8479" s="64" t="s">
        <v>3056</v>
      </c>
      <c r="F8479" s="64" t="s">
        <v>15</v>
      </c>
      <c r="G8479" s="64" t="s">
        <v>3021</v>
      </c>
      <c r="H8479" s="64" t="s">
        <v>3022</v>
      </c>
      <c r="I8479" s="64" t="s">
        <v>3051</v>
      </c>
      <c r="J8479" s="67">
        <v>178.41</v>
      </c>
      <c r="K8479" s="62">
        <v>1222.31</v>
      </c>
      <c r="L8479" s="33" t="e">
        <f>HLOOKUP(B8479,#REF!,1,0)</f>
        <v>#REF!</v>
      </c>
      <c r="M8479" s="33" t="str">
        <f t="shared" si="531"/>
        <v>P&amp;L</v>
      </c>
    </row>
    <row r="8480" spans="1:13">
      <c r="A8480" s="33" t="str">
        <f t="shared" si="528"/>
        <v>SCL - Operating Expense</v>
      </c>
      <c r="B8480" s="33" t="str">
        <f t="shared" si="529"/>
        <v>SCL</v>
      </c>
      <c r="C8480" s="33" t="str">
        <f t="shared" si="530"/>
        <v>60509-7369</v>
      </c>
      <c r="D8480" s="64" t="s">
        <v>9729</v>
      </c>
      <c r="E8480" s="64" t="s">
        <v>3056</v>
      </c>
      <c r="F8480" s="64" t="s">
        <v>15</v>
      </c>
      <c r="G8480" s="64" t="s">
        <v>3021</v>
      </c>
      <c r="H8480" s="64" t="s">
        <v>3022</v>
      </c>
      <c r="I8480" s="64" t="s">
        <v>3051</v>
      </c>
      <c r="J8480" s="67">
        <v>211.8</v>
      </c>
      <c r="K8480" s="62">
        <v>1274.32</v>
      </c>
      <c r="L8480" s="33" t="e">
        <f>HLOOKUP(B8480,#REF!,1,0)</f>
        <v>#REF!</v>
      </c>
      <c r="M8480" s="33" t="str">
        <f t="shared" si="531"/>
        <v>P&amp;L</v>
      </c>
    </row>
    <row r="8481" spans="1:13">
      <c r="A8481" s="33" t="str">
        <f t="shared" si="528"/>
        <v>SCL - Operating Expense</v>
      </c>
      <c r="B8481" s="33" t="str">
        <f t="shared" si="529"/>
        <v>SCL</v>
      </c>
      <c r="C8481" s="33" t="str">
        <f t="shared" si="530"/>
        <v>60509-7371</v>
      </c>
      <c r="D8481" s="64" t="s">
        <v>9730</v>
      </c>
      <c r="E8481" s="64" t="s">
        <v>3056</v>
      </c>
      <c r="F8481" s="64" t="s">
        <v>15</v>
      </c>
      <c r="G8481" s="64" t="s">
        <v>3021</v>
      </c>
      <c r="H8481" s="64" t="s">
        <v>3022</v>
      </c>
      <c r="I8481" s="64" t="s">
        <v>3051</v>
      </c>
      <c r="J8481" s="67">
        <v>57.35</v>
      </c>
      <c r="K8481" s="62">
        <v>1266.18</v>
      </c>
      <c r="L8481" s="33" t="e">
        <f>HLOOKUP(B8481,#REF!,1,0)</f>
        <v>#REF!</v>
      </c>
      <c r="M8481" s="33" t="str">
        <f t="shared" si="531"/>
        <v>P&amp;L</v>
      </c>
    </row>
    <row r="8482" spans="1:13">
      <c r="A8482" s="33" t="str">
        <f t="shared" si="528"/>
        <v>SCL - Operating Expense</v>
      </c>
      <c r="B8482" s="33" t="str">
        <f t="shared" si="529"/>
        <v>SCL</v>
      </c>
      <c r="C8482" s="33" t="str">
        <f t="shared" si="530"/>
        <v>60509-7374</v>
      </c>
      <c r="D8482" s="64" t="s">
        <v>9731</v>
      </c>
      <c r="E8482" s="64" t="s">
        <v>3056</v>
      </c>
      <c r="F8482" s="64" t="s">
        <v>15</v>
      </c>
      <c r="G8482" s="64" t="s">
        <v>3021</v>
      </c>
      <c r="H8482" s="64" t="s">
        <v>3022</v>
      </c>
      <c r="I8482" s="64" t="s">
        <v>3051</v>
      </c>
      <c r="J8482" s="67">
        <v>95.48</v>
      </c>
      <c r="K8482" s="62">
        <v>792.22</v>
      </c>
      <c r="L8482" s="33" t="e">
        <f>HLOOKUP(B8482,#REF!,1,0)</f>
        <v>#REF!</v>
      </c>
      <c r="M8482" s="33" t="str">
        <f t="shared" si="531"/>
        <v>P&amp;L</v>
      </c>
    </row>
    <row r="8483" spans="1:13">
      <c r="A8483" s="33" t="str">
        <f t="shared" si="528"/>
        <v>SCL - Operating Expense</v>
      </c>
      <c r="B8483" s="33" t="str">
        <f t="shared" si="529"/>
        <v>SCL</v>
      </c>
      <c r="C8483" s="33" t="str">
        <f t="shared" si="530"/>
        <v>60509-7375</v>
      </c>
      <c r="D8483" s="64" t="s">
        <v>9732</v>
      </c>
      <c r="E8483" s="64" t="s">
        <v>3056</v>
      </c>
      <c r="F8483" s="64" t="s">
        <v>15</v>
      </c>
      <c r="G8483" s="64" t="s">
        <v>3021</v>
      </c>
      <c r="H8483" s="64" t="s">
        <v>3022</v>
      </c>
      <c r="I8483" s="64" t="s">
        <v>3051</v>
      </c>
      <c r="J8483" s="67">
        <v>44.19</v>
      </c>
      <c r="K8483" s="62">
        <v>434.84</v>
      </c>
      <c r="L8483" s="33" t="e">
        <f>HLOOKUP(B8483,#REF!,1,0)</f>
        <v>#REF!</v>
      </c>
      <c r="M8483" s="33" t="str">
        <f t="shared" si="531"/>
        <v>P&amp;L</v>
      </c>
    </row>
    <row r="8484" spans="1:13">
      <c r="A8484" s="33" t="str">
        <f t="shared" si="528"/>
        <v>SCL - Operating Expense</v>
      </c>
      <c r="B8484" s="33" t="str">
        <f t="shared" si="529"/>
        <v>SCL</v>
      </c>
      <c r="C8484" s="33" t="str">
        <f t="shared" si="530"/>
        <v>60509-7376</v>
      </c>
      <c r="D8484" s="64" t="s">
        <v>9733</v>
      </c>
      <c r="E8484" s="64" t="s">
        <v>3056</v>
      </c>
      <c r="F8484" s="64" t="s">
        <v>15</v>
      </c>
      <c r="G8484" s="64" t="s">
        <v>3021</v>
      </c>
      <c r="H8484" s="64" t="s">
        <v>3022</v>
      </c>
      <c r="I8484" s="64" t="s">
        <v>3051</v>
      </c>
      <c r="J8484" s="67">
        <v>76.02</v>
      </c>
      <c r="K8484" s="62">
        <v>1018.19</v>
      </c>
      <c r="L8484" s="33" t="e">
        <f>HLOOKUP(B8484,#REF!,1,0)</f>
        <v>#REF!</v>
      </c>
      <c r="M8484" s="33" t="str">
        <f t="shared" si="531"/>
        <v>P&amp;L</v>
      </c>
    </row>
    <row r="8485" spans="1:13">
      <c r="A8485" s="33" t="str">
        <f t="shared" si="528"/>
        <v>SCL - Operating Expense</v>
      </c>
      <c r="B8485" s="33" t="str">
        <f t="shared" si="529"/>
        <v>SCL</v>
      </c>
      <c r="C8485" s="33" t="str">
        <f t="shared" si="530"/>
        <v>60509-7377</v>
      </c>
      <c r="D8485" s="64" t="s">
        <v>9734</v>
      </c>
      <c r="E8485" s="64" t="s">
        <v>3056</v>
      </c>
      <c r="F8485" s="64" t="s">
        <v>15</v>
      </c>
      <c r="G8485" s="64" t="s">
        <v>3021</v>
      </c>
      <c r="H8485" s="64" t="s">
        <v>3022</v>
      </c>
      <c r="I8485" s="64" t="s">
        <v>3051</v>
      </c>
      <c r="J8485" s="67">
        <v>213.55</v>
      </c>
      <c r="K8485" s="62">
        <v>1542.55</v>
      </c>
      <c r="L8485" s="33" t="e">
        <f>HLOOKUP(B8485,#REF!,1,0)</f>
        <v>#REF!</v>
      </c>
      <c r="M8485" s="33" t="str">
        <f t="shared" si="531"/>
        <v>P&amp;L</v>
      </c>
    </row>
    <row r="8486" spans="1:13">
      <c r="A8486" s="33" t="str">
        <f t="shared" si="528"/>
        <v>SCL - Operating Expense</v>
      </c>
      <c r="B8486" s="33" t="str">
        <f t="shared" si="529"/>
        <v>SCL</v>
      </c>
      <c r="C8486" s="33" t="str">
        <f t="shared" si="530"/>
        <v>60509-7378</v>
      </c>
      <c r="D8486" s="64" t="s">
        <v>9735</v>
      </c>
      <c r="E8486" s="64" t="s">
        <v>3056</v>
      </c>
      <c r="F8486" s="64" t="s">
        <v>15</v>
      </c>
      <c r="G8486" s="64" t="s">
        <v>3021</v>
      </c>
      <c r="H8486" s="64" t="s">
        <v>3022</v>
      </c>
      <c r="I8486" s="64" t="s">
        <v>3051</v>
      </c>
      <c r="J8486" s="67">
        <v>102.17</v>
      </c>
      <c r="K8486" s="62">
        <v>1190.87</v>
      </c>
      <c r="L8486" s="33" t="e">
        <f>HLOOKUP(B8486,#REF!,1,0)</f>
        <v>#REF!</v>
      </c>
      <c r="M8486" s="33" t="str">
        <f t="shared" si="531"/>
        <v>P&amp;L</v>
      </c>
    </row>
    <row r="8487" spans="1:13">
      <c r="A8487" s="33" t="str">
        <f t="shared" si="528"/>
        <v>SCL - Operating Expense</v>
      </c>
      <c r="B8487" s="33" t="str">
        <f t="shared" si="529"/>
        <v>SCL</v>
      </c>
      <c r="C8487" s="33" t="str">
        <f t="shared" si="530"/>
        <v>60509-7379</v>
      </c>
      <c r="D8487" s="64" t="s">
        <v>9736</v>
      </c>
      <c r="E8487" s="64" t="s">
        <v>3056</v>
      </c>
      <c r="F8487" s="64" t="s">
        <v>15</v>
      </c>
      <c r="G8487" s="64" t="s">
        <v>3021</v>
      </c>
      <c r="H8487" s="64" t="s">
        <v>3022</v>
      </c>
      <c r="I8487" s="64" t="s">
        <v>3051</v>
      </c>
      <c r="J8487" s="67">
        <v>133.2</v>
      </c>
      <c r="K8487" s="62">
        <v>2125.04</v>
      </c>
      <c r="L8487" s="33" t="e">
        <f>HLOOKUP(B8487,#REF!,1,0)</f>
        <v>#REF!</v>
      </c>
      <c r="M8487" s="33" t="str">
        <f t="shared" si="531"/>
        <v>P&amp;L</v>
      </c>
    </row>
    <row r="8488" spans="1:13">
      <c r="A8488" s="33" t="str">
        <f t="shared" si="528"/>
        <v>SCL - Operating Expense</v>
      </c>
      <c r="B8488" s="33" t="str">
        <f t="shared" si="529"/>
        <v>SCL</v>
      </c>
      <c r="C8488" s="33" t="str">
        <f t="shared" si="530"/>
        <v>60509-7380</v>
      </c>
      <c r="D8488" s="64" t="s">
        <v>9737</v>
      </c>
      <c r="E8488" s="64" t="s">
        <v>3056</v>
      </c>
      <c r="F8488" s="64" t="s">
        <v>15</v>
      </c>
      <c r="G8488" s="64" t="s">
        <v>3021</v>
      </c>
      <c r="H8488" s="64" t="s">
        <v>3022</v>
      </c>
      <c r="I8488" s="64" t="s">
        <v>3051</v>
      </c>
      <c r="J8488" s="67">
        <v>68.81</v>
      </c>
      <c r="K8488" s="62">
        <v>454.25</v>
      </c>
      <c r="L8488" s="33" t="e">
        <f>HLOOKUP(B8488,#REF!,1,0)</f>
        <v>#REF!</v>
      </c>
      <c r="M8488" s="33" t="str">
        <f t="shared" si="531"/>
        <v>P&amp;L</v>
      </c>
    </row>
    <row r="8489" spans="1:13">
      <c r="A8489" s="33" t="str">
        <f t="shared" si="528"/>
        <v>SCL - Operating Expense</v>
      </c>
      <c r="B8489" s="33" t="str">
        <f t="shared" si="529"/>
        <v>SCL</v>
      </c>
      <c r="C8489" s="33" t="str">
        <f t="shared" si="530"/>
        <v>60509-7381</v>
      </c>
      <c r="D8489" s="64" t="s">
        <v>9738</v>
      </c>
      <c r="E8489" s="64" t="s">
        <v>3056</v>
      </c>
      <c r="F8489" s="64" t="s">
        <v>15</v>
      </c>
      <c r="G8489" s="64" t="s">
        <v>3021</v>
      </c>
      <c r="H8489" s="64" t="s">
        <v>3022</v>
      </c>
      <c r="I8489" s="64" t="s">
        <v>3051</v>
      </c>
      <c r="J8489" s="67">
        <v>157.52</v>
      </c>
      <c r="K8489" s="62">
        <v>1577.07</v>
      </c>
      <c r="L8489" s="33" t="e">
        <f>HLOOKUP(B8489,#REF!,1,0)</f>
        <v>#REF!</v>
      </c>
      <c r="M8489" s="33" t="str">
        <f t="shared" si="531"/>
        <v>P&amp;L</v>
      </c>
    </row>
    <row r="8490" spans="1:13">
      <c r="A8490" s="33" t="str">
        <f t="shared" si="528"/>
        <v>SCL - Operating Expense</v>
      </c>
      <c r="B8490" s="33" t="str">
        <f t="shared" si="529"/>
        <v>SCL</v>
      </c>
      <c r="C8490" s="33" t="str">
        <f t="shared" si="530"/>
        <v>60509-7383</v>
      </c>
      <c r="D8490" s="64" t="s">
        <v>9739</v>
      </c>
      <c r="E8490" s="64" t="s">
        <v>3056</v>
      </c>
      <c r="F8490" s="64" t="s">
        <v>15</v>
      </c>
      <c r="G8490" s="64" t="s">
        <v>3021</v>
      </c>
      <c r="H8490" s="64" t="s">
        <v>3022</v>
      </c>
      <c r="I8490" s="64" t="s">
        <v>3051</v>
      </c>
      <c r="J8490" s="67">
        <v>100.1</v>
      </c>
      <c r="K8490" s="62">
        <v>1133.14</v>
      </c>
      <c r="L8490" s="33" t="e">
        <f>HLOOKUP(B8490,#REF!,1,0)</f>
        <v>#REF!</v>
      </c>
      <c r="M8490" s="33" t="str">
        <f t="shared" si="531"/>
        <v>P&amp;L</v>
      </c>
    </row>
    <row r="8491" spans="1:13">
      <c r="A8491" s="33" t="str">
        <f t="shared" si="528"/>
        <v>SCL - Operating Expense</v>
      </c>
      <c r="B8491" s="33" t="str">
        <f t="shared" si="529"/>
        <v>SCL</v>
      </c>
      <c r="C8491" s="33" t="str">
        <f t="shared" si="530"/>
        <v>60509-7385</v>
      </c>
      <c r="D8491" s="64" t="s">
        <v>9740</v>
      </c>
      <c r="E8491" s="64" t="s">
        <v>3056</v>
      </c>
      <c r="F8491" s="64" t="s">
        <v>15</v>
      </c>
      <c r="G8491" s="64" t="s">
        <v>3021</v>
      </c>
      <c r="H8491" s="64" t="s">
        <v>3022</v>
      </c>
      <c r="I8491" s="64" t="s">
        <v>3051</v>
      </c>
      <c r="J8491" s="67">
        <v>112</v>
      </c>
      <c r="K8491" s="62">
        <v>1074.83</v>
      </c>
      <c r="L8491" s="33" t="e">
        <f>HLOOKUP(B8491,#REF!,1,0)</f>
        <v>#REF!</v>
      </c>
      <c r="M8491" s="33" t="str">
        <f t="shared" si="531"/>
        <v>P&amp;L</v>
      </c>
    </row>
    <row r="8492" spans="1:13">
      <c r="A8492" s="33" t="str">
        <f t="shared" si="528"/>
        <v>SCL - Operating Expense</v>
      </c>
      <c r="B8492" s="33" t="str">
        <f t="shared" si="529"/>
        <v>SCL</v>
      </c>
      <c r="C8492" s="33" t="str">
        <f t="shared" si="530"/>
        <v>60509-7386</v>
      </c>
      <c r="D8492" s="64" t="s">
        <v>9741</v>
      </c>
      <c r="E8492" s="64" t="s">
        <v>3056</v>
      </c>
      <c r="F8492" s="64" t="s">
        <v>15</v>
      </c>
      <c r="G8492" s="64" t="s">
        <v>3021</v>
      </c>
      <c r="H8492" s="64" t="s">
        <v>3022</v>
      </c>
      <c r="I8492" s="64" t="s">
        <v>3051</v>
      </c>
      <c r="J8492" s="67">
        <v>188.53</v>
      </c>
      <c r="K8492" s="62">
        <v>1288.81</v>
      </c>
      <c r="L8492" s="33" t="e">
        <f>HLOOKUP(B8492,#REF!,1,0)</f>
        <v>#REF!</v>
      </c>
      <c r="M8492" s="33" t="str">
        <f t="shared" si="531"/>
        <v>P&amp;L</v>
      </c>
    </row>
    <row r="8493" spans="1:13">
      <c r="A8493" s="33" t="str">
        <f t="shared" si="528"/>
        <v>SCL - Operating Expense</v>
      </c>
      <c r="B8493" s="33" t="str">
        <f t="shared" si="529"/>
        <v>SCL</v>
      </c>
      <c r="C8493" s="33" t="str">
        <f t="shared" si="530"/>
        <v>60509-7387</v>
      </c>
      <c r="D8493" s="64" t="s">
        <v>9742</v>
      </c>
      <c r="E8493" s="64" t="s">
        <v>3056</v>
      </c>
      <c r="F8493" s="64" t="s">
        <v>15</v>
      </c>
      <c r="G8493" s="64" t="s">
        <v>3021</v>
      </c>
      <c r="H8493" s="64" t="s">
        <v>3022</v>
      </c>
      <c r="I8493" s="64" t="s">
        <v>3051</v>
      </c>
      <c r="J8493" s="67">
        <v>69.86</v>
      </c>
      <c r="K8493" s="62">
        <v>495.92</v>
      </c>
      <c r="L8493" s="33" t="e">
        <f>HLOOKUP(B8493,#REF!,1,0)</f>
        <v>#REF!</v>
      </c>
      <c r="M8493" s="33" t="str">
        <f t="shared" si="531"/>
        <v>P&amp;L</v>
      </c>
    </row>
    <row r="8494" spans="1:13">
      <c r="A8494" s="33" t="str">
        <f t="shared" si="528"/>
        <v>SCL - Operating Expense</v>
      </c>
      <c r="B8494" s="33" t="str">
        <f t="shared" si="529"/>
        <v>SCL</v>
      </c>
      <c r="C8494" s="33" t="str">
        <f t="shared" si="530"/>
        <v>60509-7389</v>
      </c>
      <c r="D8494" s="64" t="s">
        <v>9743</v>
      </c>
      <c r="E8494" s="64" t="s">
        <v>3056</v>
      </c>
      <c r="F8494" s="64" t="s">
        <v>15</v>
      </c>
      <c r="G8494" s="64" t="s">
        <v>3021</v>
      </c>
      <c r="H8494" s="64" t="s">
        <v>3022</v>
      </c>
      <c r="I8494" s="64" t="s">
        <v>3051</v>
      </c>
      <c r="J8494" s="67">
        <v>112.78</v>
      </c>
      <c r="K8494" s="62">
        <v>1269</v>
      </c>
      <c r="L8494" s="33" t="e">
        <f>HLOOKUP(B8494,#REF!,1,0)</f>
        <v>#REF!</v>
      </c>
      <c r="M8494" s="33" t="str">
        <f t="shared" si="531"/>
        <v>P&amp;L</v>
      </c>
    </row>
    <row r="8495" spans="1:13">
      <c r="A8495" s="33" t="str">
        <f t="shared" si="528"/>
        <v>SCL - Operating Expense</v>
      </c>
      <c r="B8495" s="33" t="str">
        <f t="shared" si="529"/>
        <v>SCL</v>
      </c>
      <c r="C8495" s="33" t="str">
        <f t="shared" si="530"/>
        <v>60509-7391</v>
      </c>
      <c r="D8495" s="64" t="s">
        <v>9744</v>
      </c>
      <c r="E8495" s="64" t="s">
        <v>3056</v>
      </c>
      <c r="F8495" s="64" t="s">
        <v>15</v>
      </c>
      <c r="G8495" s="64" t="s">
        <v>3021</v>
      </c>
      <c r="H8495" s="64" t="s">
        <v>3022</v>
      </c>
      <c r="I8495" s="64" t="s">
        <v>3051</v>
      </c>
      <c r="J8495" s="67">
        <v>208.37</v>
      </c>
      <c r="K8495" s="62">
        <v>794.97</v>
      </c>
      <c r="L8495" s="33" t="e">
        <f>HLOOKUP(B8495,#REF!,1,0)</f>
        <v>#REF!</v>
      </c>
      <c r="M8495" s="33" t="str">
        <f t="shared" si="531"/>
        <v>P&amp;L</v>
      </c>
    </row>
    <row r="8496" spans="1:13">
      <c r="A8496" s="33" t="str">
        <f t="shared" si="528"/>
        <v>SCL - Operating Expense</v>
      </c>
      <c r="B8496" s="33" t="str">
        <f t="shared" si="529"/>
        <v>SCL</v>
      </c>
      <c r="C8496" s="33" t="str">
        <f t="shared" si="530"/>
        <v>60509-7393</v>
      </c>
      <c r="D8496" s="64" t="s">
        <v>9745</v>
      </c>
      <c r="E8496" s="64" t="s">
        <v>3056</v>
      </c>
      <c r="F8496" s="64" t="s">
        <v>15</v>
      </c>
      <c r="G8496" s="64" t="s">
        <v>3021</v>
      </c>
      <c r="H8496" s="64" t="s">
        <v>3022</v>
      </c>
      <c r="I8496" s="64" t="s">
        <v>3051</v>
      </c>
      <c r="J8496" s="67">
        <v>120.23</v>
      </c>
      <c r="K8496" s="62">
        <v>963.72</v>
      </c>
      <c r="L8496" s="33" t="e">
        <f>HLOOKUP(B8496,#REF!,1,0)</f>
        <v>#REF!</v>
      </c>
      <c r="M8496" s="33" t="str">
        <f t="shared" si="531"/>
        <v>P&amp;L</v>
      </c>
    </row>
    <row r="8497" spans="1:13">
      <c r="A8497" s="33" t="str">
        <f t="shared" si="528"/>
        <v>SCL - Operating Expense</v>
      </c>
      <c r="B8497" s="33" t="str">
        <f t="shared" si="529"/>
        <v>SCL</v>
      </c>
      <c r="C8497" s="33" t="str">
        <f t="shared" si="530"/>
        <v>60509-7394</v>
      </c>
      <c r="D8497" s="64" t="s">
        <v>9746</v>
      </c>
      <c r="E8497" s="64" t="s">
        <v>3056</v>
      </c>
      <c r="F8497" s="64" t="s">
        <v>15</v>
      </c>
      <c r="G8497" s="64" t="s">
        <v>3021</v>
      </c>
      <c r="H8497" s="64" t="s">
        <v>3022</v>
      </c>
      <c r="I8497" s="64" t="s">
        <v>3051</v>
      </c>
      <c r="J8497" s="67">
        <v>65.85</v>
      </c>
      <c r="K8497" s="62">
        <v>667.43</v>
      </c>
      <c r="L8497" s="33" t="e">
        <f>HLOOKUP(B8497,#REF!,1,0)</f>
        <v>#REF!</v>
      </c>
      <c r="M8497" s="33" t="str">
        <f t="shared" si="531"/>
        <v>P&amp;L</v>
      </c>
    </row>
    <row r="8498" spans="1:13">
      <c r="A8498" s="33" t="str">
        <f t="shared" si="528"/>
        <v>SCL - Operating Expense</v>
      </c>
      <c r="B8498" s="33" t="str">
        <f t="shared" si="529"/>
        <v>SCL</v>
      </c>
      <c r="C8498" s="33" t="str">
        <f t="shared" si="530"/>
        <v>60509-7396</v>
      </c>
      <c r="D8498" s="64" t="s">
        <v>9747</v>
      </c>
      <c r="E8498" s="64" t="s">
        <v>3056</v>
      </c>
      <c r="F8498" s="64" t="s">
        <v>15</v>
      </c>
      <c r="G8498" s="64" t="s">
        <v>3021</v>
      </c>
      <c r="H8498" s="64" t="s">
        <v>3022</v>
      </c>
      <c r="I8498" s="64" t="s">
        <v>3051</v>
      </c>
      <c r="J8498" s="67">
        <v>89.57</v>
      </c>
      <c r="K8498" s="62">
        <v>1884.14</v>
      </c>
      <c r="L8498" s="33" t="e">
        <f>HLOOKUP(B8498,#REF!,1,0)</f>
        <v>#REF!</v>
      </c>
      <c r="M8498" s="33" t="str">
        <f t="shared" si="531"/>
        <v>P&amp;L</v>
      </c>
    </row>
    <row r="8499" spans="1:13">
      <c r="A8499" s="33" t="str">
        <f t="shared" si="528"/>
        <v>SCL - Operating Expense</v>
      </c>
      <c r="B8499" s="33" t="str">
        <f t="shared" si="529"/>
        <v>SCL</v>
      </c>
      <c r="C8499" s="33" t="str">
        <f t="shared" si="530"/>
        <v>60509-7397</v>
      </c>
      <c r="D8499" s="64" t="s">
        <v>9748</v>
      </c>
      <c r="E8499" s="64" t="s">
        <v>3056</v>
      </c>
      <c r="F8499" s="64" t="s">
        <v>15</v>
      </c>
      <c r="G8499" s="64" t="s">
        <v>3021</v>
      </c>
      <c r="H8499" s="64" t="s">
        <v>3022</v>
      </c>
      <c r="I8499" s="64" t="s">
        <v>3051</v>
      </c>
      <c r="J8499" s="67">
        <v>81.13</v>
      </c>
      <c r="K8499" s="62">
        <v>1004.07</v>
      </c>
      <c r="L8499" s="33" t="e">
        <f>HLOOKUP(B8499,#REF!,1,0)</f>
        <v>#REF!</v>
      </c>
      <c r="M8499" s="33" t="str">
        <f t="shared" si="531"/>
        <v>P&amp;L</v>
      </c>
    </row>
    <row r="8500" spans="1:13">
      <c r="A8500" s="33" t="str">
        <f t="shared" si="528"/>
        <v>SCL - Operating Expense</v>
      </c>
      <c r="B8500" s="33" t="str">
        <f t="shared" si="529"/>
        <v>SCL</v>
      </c>
      <c r="C8500" s="33" t="str">
        <f t="shared" si="530"/>
        <v>60509-7398</v>
      </c>
      <c r="D8500" s="64" t="s">
        <v>9749</v>
      </c>
      <c r="E8500" s="64" t="s">
        <v>3056</v>
      </c>
      <c r="F8500" s="64" t="s">
        <v>15</v>
      </c>
      <c r="G8500" s="64" t="s">
        <v>3021</v>
      </c>
      <c r="H8500" s="64" t="s">
        <v>3022</v>
      </c>
      <c r="I8500" s="64" t="s">
        <v>3051</v>
      </c>
      <c r="J8500" s="67">
        <v>70.79</v>
      </c>
      <c r="K8500" s="62">
        <v>473.27</v>
      </c>
      <c r="L8500" s="33" t="e">
        <f>HLOOKUP(B8500,#REF!,1,0)</f>
        <v>#REF!</v>
      </c>
      <c r="M8500" s="33" t="str">
        <f t="shared" si="531"/>
        <v>P&amp;L</v>
      </c>
    </row>
    <row r="8501" spans="1:13">
      <c r="A8501" s="33" t="str">
        <f t="shared" si="528"/>
        <v>SCL - Operating Expense</v>
      </c>
      <c r="B8501" s="33" t="str">
        <f t="shared" si="529"/>
        <v>SCL</v>
      </c>
      <c r="C8501" s="33" t="str">
        <f t="shared" si="530"/>
        <v>60509-7400</v>
      </c>
      <c r="D8501" s="64" t="s">
        <v>9750</v>
      </c>
      <c r="E8501" s="64" t="s">
        <v>3056</v>
      </c>
      <c r="F8501" s="64" t="s">
        <v>15</v>
      </c>
      <c r="G8501" s="64" t="s">
        <v>3021</v>
      </c>
      <c r="H8501" s="64" t="s">
        <v>3022</v>
      </c>
      <c r="I8501" s="64" t="s">
        <v>3051</v>
      </c>
      <c r="J8501" s="67">
        <v>15</v>
      </c>
      <c r="K8501" s="62">
        <v>1075.49</v>
      </c>
      <c r="L8501" s="33" t="e">
        <f>HLOOKUP(B8501,#REF!,1,0)</f>
        <v>#REF!</v>
      </c>
      <c r="M8501" s="33" t="str">
        <f t="shared" si="531"/>
        <v>P&amp;L</v>
      </c>
    </row>
    <row r="8502" spans="1:13">
      <c r="A8502" s="33" t="str">
        <f t="shared" si="528"/>
        <v>SCL - Operating Expense</v>
      </c>
      <c r="B8502" s="33" t="str">
        <f t="shared" si="529"/>
        <v>SCL</v>
      </c>
      <c r="C8502" s="33" t="str">
        <f t="shared" si="530"/>
        <v>60509-7401</v>
      </c>
      <c r="D8502" s="64" t="s">
        <v>9751</v>
      </c>
      <c r="E8502" s="64" t="s">
        <v>3056</v>
      </c>
      <c r="F8502" s="64" t="s">
        <v>15</v>
      </c>
      <c r="G8502" s="64" t="s">
        <v>3021</v>
      </c>
      <c r="H8502" s="64" t="s">
        <v>3022</v>
      </c>
      <c r="I8502" s="64" t="s">
        <v>3051</v>
      </c>
      <c r="J8502" s="67">
        <v>89.7</v>
      </c>
      <c r="K8502" s="62">
        <v>1306.87</v>
      </c>
      <c r="L8502" s="33" t="e">
        <f>HLOOKUP(B8502,#REF!,1,0)</f>
        <v>#REF!</v>
      </c>
      <c r="M8502" s="33" t="str">
        <f t="shared" si="531"/>
        <v>P&amp;L</v>
      </c>
    </row>
    <row r="8503" spans="1:13">
      <c r="A8503" s="33" t="str">
        <f t="shared" si="528"/>
        <v>SCL - Operating Expense</v>
      </c>
      <c r="B8503" s="33" t="str">
        <f t="shared" si="529"/>
        <v>SCL</v>
      </c>
      <c r="C8503" s="33" t="str">
        <f t="shared" si="530"/>
        <v>60509-7402</v>
      </c>
      <c r="D8503" s="64" t="s">
        <v>9752</v>
      </c>
      <c r="E8503" s="64" t="s">
        <v>3056</v>
      </c>
      <c r="F8503" s="64" t="s">
        <v>15</v>
      </c>
      <c r="G8503" s="64" t="s">
        <v>3021</v>
      </c>
      <c r="H8503" s="64" t="s">
        <v>3022</v>
      </c>
      <c r="I8503" s="64" t="s">
        <v>3051</v>
      </c>
      <c r="J8503" s="67">
        <v>119.75</v>
      </c>
      <c r="K8503" s="62">
        <v>1233.42</v>
      </c>
      <c r="L8503" s="33" t="e">
        <f>HLOOKUP(B8503,#REF!,1,0)</f>
        <v>#REF!</v>
      </c>
      <c r="M8503" s="33" t="str">
        <f t="shared" si="531"/>
        <v>P&amp;L</v>
      </c>
    </row>
    <row r="8504" spans="1:13">
      <c r="A8504" s="33" t="str">
        <f t="shared" si="528"/>
        <v>SCL - Operating Expense</v>
      </c>
      <c r="B8504" s="33" t="str">
        <f t="shared" si="529"/>
        <v>SCL</v>
      </c>
      <c r="C8504" s="33" t="str">
        <f t="shared" si="530"/>
        <v>60509-7403</v>
      </c>
      <c r="D8504" s="64" t="s">
        <v>9753</v>
      </c>
      <c r="E8504" s="64" t="s">
        <v>3056</v>
      </c>
      <c r="F8504" s="64" t="s">
        <v>15</v>
      </c>
      <c r="G8504" s="64" t="s">
        <v>3021</v>
      </c>
      <c r="H8504" s="64" t="s">
        <v>3022</v>
      </c>
      <c r="I8504" s="64" t="s">
        <v>3051</v>
      </c>
      <c r="J8504" s="67">
        <v>89.06</v>
      </c>
      <c r="K8504" s="62">
        <v>1193.55</v>
      </c>
      <c r="L8504" s="33" t="e">
        <f>HLOOKUP(B8504,#REF!,1,0)</f>
        <v>#REF!</v>
      </c>
      <c r="M8504" s="33" t="str">
        <f t="shared" si="531"/>
        <v>P&amp;L</v>
      </c>
    </row>
    <row r="8505" spans="1:13">
      <c r="A8505" s="33" t="str">
        <f t="shared" si="528"/>
        <v>SCL - Operating Expense</v>
      </c>
      <c r="B8505" s="33" t="str">
        <f t="shared" si="529"/>
        <v>SCL</v>
      </c>
      <c r="C8505" s="33" t="str">
        <f t="shared" si="530"/>
        <v>60509-7489</v>
      </c>
      <c r="D8505" s="64" t="s">
        <v>9754</v>
      </c>
      <c r="E8505" s="64" t="s">
        <v>3056</v>
      </c>
      <c r="F8505" s="64" t="s">
        <v>15</v>
      </c>
      <c r="G8505" s="64" t="s">
        <v>3021</v>
      </c>
      <c r="H8505" s="64" t="s">
        <v>3022</v>
      </c>
      <c r="I8505" s="64" t="s">
        <v>3051</v>
      </c>
      <c r="J8505" s="67">
        <v>159.37</v>
      </c>
      <c r="K8505" s="62">
        <v>1726.96</v>
      </c>
      <c r="L8505" s="33" t="e">
        <f>HLOOKUP(B8505,#REF!,1,0)</f>
        <v>#REF!</v>
      </c>
      <c r="M8505" s="33" t="str">
        <f t="shared" si="531"/>
        <v>P&amp;L</v>
      </c>
    </row>
    <row r="8506" spans="1:13">
      <c r="A8506" s="33" t="str">
        <f t="shared" si="528"/>
        <v>SCL - Operating Expense</v>
      </c>
      <c r="B8506" s="33" t="str">
        <f t="shared" si="529"/>
        <v>SCL</v>
      </c>
      <c r="C8506" s="33" t="str">
        <f t="shared" si="530"/>
        <v>60509-7491</v>
      </c>
      <c r="D8506" s="64" t="s">
        <v>9755</v>
      </c>
      <c r="E8506" s="64" t="s">
        <v>3056</v>
      </c>
      <c r="F8506" s="64" t="s">
        <v>15</v>
      </c>
      <c r="G8506" s="64" t="s">
        <v>3021</v>
      </c>
      <c r="H8506" s="64" t="s">
        <v>3022</v>
      </c>
      <c r="I8506" s="64" t="s">
        <v>3051</v>
      </c>
      <c r="J8506" s="67">
        <v>131.14</v>
      </c>
      <c r="K8506" s="62">
        <v>1159.64</v>
      </c>
      <c r="L8506" s="33" t="e">
        <f>HLOOKUP(B8506,#REF!,1,0)</f>
        <v>#REF!</v>
      </c>
      <c r="M8506" s="33" t="str">
        <f t="shared" si="531"/>
        <v>P&amp;L</v>
      </c>
    </row>
    <row r="8507" spans="1:13">
      <c r="A8507" s="33" t="str">
        <f t="shared" si="528"/>
        <v>SCL - Operating Expense</v>
      </c>
      <c r="B8507" s="33" t="str">
        <f t="shared" si="529"/>
        <v>SCL</v>
      </c>
      <c r="C8507" s="33" t="str">
        <f t="shared" si="530"/>
        <v>60509-7492</v>
      </c>
      <c r="D8507" s="64" t="s">
        <v>9756</v>
      </c>
      <c r="E8507" s="64" t="s">
        <v>3056</v>
      </c>
      <c r="F8507" s="64" t="s">
        <v>15</v>
      </c>
      <c r="G8507" s="64" t="s">
        <v>3021</v>
      </c>
      <c r="H8507" s="64" t="s">
        <v>3022</v>
      </c>
      <c r="I8507" s="64" t="s">
        <v>3051</v>
      </c>
      <c r="J8507" s="67">
        <v>138.4</v>
      </c>
      <c r="K8507" s="62">
        <v>1209.67</v>
      </c>
      <c r="L8507" s="33" t="e">
        <f>HLOOKUP(B8507,#REF!,1,0)</f>
        <v>#REF!</v>
      </c>
      <c r="M8507" s="33" t="str">
        <f t="shared" si="531"/>
        <v>P&amp;L</v>
      </c>
    </row>
    <row r="8508" spans="1:13">
      <c r="A8508" s="33" t="str">
        <f t="shared" si="528"/>
        <v>SCL - Operating Expense</v>
      </c>
      <c r="B8508" s="33" t="str">
        <f t="shared" si="529"/>
        <v>SCL</v>
      </c>
      <c r="C8508" s="33" t="str">
        <f t="shared" si="530"/>
        <v>60509-7493</v>
      </c>
      <c r="D8508" s="64" t="s">
        <v>9757</v>
      </c>
      <c r="E8508" s="64" t="s">
        <v>3056</v>
      </c>
      <c r="F8508" s="64" t="s">
        <v>15</v>
      </c>
      <c r="G8508" s="64" t="s">
        <v>3021</v>
      </c>
      <c r="H8508" s="64" t="s">
        <v>3022</v>
      </c>
      <c r="I8508" s="64" t="s">
        <v>3051</v>
      </c>
      <c r="J8508" s="67">
        <v>81.26</v>
      </c>
      <c r="K8508" s="62">
        <v>1248.37</v>
      </c>
      <c r="L8508" s="33" t="e">
        <f>HLOOKUP(B8508,#REF!,1,0)</f>
        <v>#REF!</v>
      </c>
      <c r="M8508" s="33" t="str">
        <f t="shared" si="531"/>
        <v>P&amp;L</v>
      </c>
    </row>
    <row r="8509" spans="1:13">
      <c r="A8509" s="33" t="str">
        <f t="shared" si="528"/>
        <v>SCL - Operating Expense</v>
      </c>
      <c r="B8509" s="33" t="str">
        <f t="shared" si="529"/>
        <v>SCL</v>
      </c>
      <c r="C8509" s="33" t="str">
        <f t="shared" si="530"/>
        <v>60509-7494</v>
      </c>
      <c r="D8509" s="64" t="s">
        <v>9758</v>
      </c>
      <c r="E8509" s="64" t="s">
        <v>3056</v>
      </c>
      <c r="F8509" s="64" t="s">
        <v>15</v>
      </c>
      <c r="G8509" s="64" t="s">
        <v>3021</v>
      </c>
      <c r="H8509" s="64" t="s">
        <v>3022</v>
      </c>
      <c r="I8509" s="64" t="s">
        <v>3051</v>
      </c>
      <c r="J8509" s="67">
        <v>0</v>
      </c>
      <c r="K8509" s="62">
        <v>545.79</v>
      </c>
      <c r="L8509" s="33" t="e">
        <f>HLOOKUP(B8509,#REF!,1,0)</f>
        <v>#REF!</v>
      </c>
      <c r="M8509" s="33" t="str">
        <f t="shared" si="531"/>
        <v>P&amp;L</v>
      </c>
    </row>
    <row r="8510" spans="1:13">
      <c r="A8510" s="33" t="str">
        <f t="shared" si="528"/>
        <v>SCL - Operating Expense</v>
      </c>
      <c r="B8510" s="33" t="str">
        <f t="shared" si="529"/>
        <v>SCL</v>
      </c>
      <c r="C8510" s="33" t="str">
        <f t="shared" si="530"/>
        <v>60509-7625</v>
      </c>
      <c r="D8510" s="64" t="s">
        <v>9759</v>
      </c>
      <c r="E8510" s="64" t="s">
        <v>3056</v>
      </c>
      <c r="F8510" s="64" t="s">
        <v>15</v>
      </c>
      <c r="G8510" s="64" t="s">
        <v>3021</v>
      </c>
      <c r="H8510" s="64" t="s">
        <v>3022</v>
      </c>
      <c r="I8510" s="64" t="s">
        <v>3051</v>
      </c>
      <c r="J8510" s="67">
        <v>69.86</v>
      </c>
      <c r="K8510" s="62">
        <v>508.39</v>
      </c>
      <c r="L8510" s="33" t="e">
        <f>HLOOKUP(B8510,#REF!,1,0)</f>
        <v>#REF!</v>
      </c>
      <c r="M8510" s="33" t="str">
        <f t="shared" si="531"/>
        <v>P&amp;L</v>
      </c>
    </row>
    <row r="8511" spans="1:13">
      <c r="A8511" s="33" t="str">
        <f t="shared" si="528"/>
        <v>SCL - Operating Expense</v>
      </c>
      <c r="B8511" s="33" t="str">
        <f t="shared" si="529"/>
        <v>SCL</v>
      </c>
      <c r="C8511" s="33" t="str">
        <f t="shared" si="530"/>
        <v>60509-8150</v>
      </c>
      <c r="D8511" s="64" t="s">
        <v>9760</v>
      </c>
      <c r="E8511" s="64" t="s">
        <v>3056</v>
      </c>
      <c r="F8511" s="64" t="s">
        <v>15</v>
      </c>
      <c r="G8511" s="64" t="s">
        <v>3021</v>
      </c>
      <c r="H8511" s="64" t="s">
        <v>3022</v>
      </c>
      <c r="I8511" s="64" t="s">
        <v>3051</v>
      </c>
      <c r="J8511" s="67">
        <v>94.84</v>
      </c>
      <c r="K8511" s="62">
        <v>1437.61</v>
      </c>
      <c r="L8511" s="33" t="e">
        <f>HLOOKUP(B8511,#REF!,1,0)</f>
        <v>#REF!</v>
      </c>
      <c r="M8511" s="33" t="str">
        <f t="shared" si="531"/>
        <v>P&amp;L</v>
      </c>
    </row>
    <row r="8512" spans="1:13">
      <c r="A8512" s="33" t="str">
        <f t="shared" si="528"/>
        <v>SCL - Operating Expense</v>
      </c>
      <c r="B8512" s="33" t="str">
        <f t="shared" si="529"/>
        <v>SCL</v>
      </c>
      <c r="C8512" s="33" t="str">
        <f t="shared" si="530"/>
        <v>61001-7351</v>
      </c>
      <c r="D8512" s="64" t="s">
        <v>9761</v>
      </c>
      <c r="E8512" s="64" t="s">
        <v>3062</v>
      </c>
      <c r="F8512" s="64" t="s">
        <v>15</v>
      </c>
      <c r="G8512" s="64" t="s">
        <v>3021</v>
      </c>
      <c r="H8512" s="64" t="s">
        <v>3022</v>
      </c>
      <c r="I8512" s="64" t="s">
        <v>3063</v>
      </c>
      <c r="J8512" s="67">
        <v>0</v>
      </c>
      <c r="K8512" s="62">
        <v>124.73</v>
      </c>
      <c r="L8512" s="33" t="e">
        <f>HLOOKUP(B8512,#REF!,1,0)</f>
        <v>#REF!</v>
      </c>
      <c r="M8512" s="33" t="str">
        <f t="shared" si="531"/>
        <v>P&amp;L</v>
      </c>
    </row>
    <row r="8513" spans="1:13">
      <c r="A8513" s="33" t="str">
        <f t="shared" si="528"/>
        <v>SCL - Operating Expense</v>
      </c>
      <c r="B8513" s="33" t="str">
        <f t="shared" si="529"/>
        <v>SCL</v>
      </c>
      <c r="C8513" s="33" t="str">
        <f t="shared" si="530"/>
        <v>61001-7352</v>
      </c>
      <c r="D8513" s="64" t="s">
        <v>9762</v>
      </c>
      <c r="E8513" s="64" t="s">
        <v>3062</v>
      </c>
      <c r="F8513" s="64" t="s">
        <v>15</v>
      </c>
      <c r="G8513" s="64" t="s">
        <v>3021</v>
      </c>
      <c r="H8513" s="64" t="s">
        <v>3022</v>
      </c>
      <c r="I8513" s="64" t="s">
        <v>3063</v>
      </c>
      <c r="J8513" s="67">
        <v>468.08</v>
      </c>
      <c r="K8513" s="62">
        <v>1902.49</v>
      </c>
      <c r="L8513" s="33" t="e">
        <f>HLOOKUP(B8513,#REF!,1,0)</f>
        <v>#REF!</v>
      </c>
      <c r="M8513" s="33" t="str">
        <f t="shared" si="531"/>
        <v>P&amp;L</v>
      </c>
    </row>
    <row r="8514" spans="1:13">
      <c r="A8514" s="33" t="str">
        <f t="shared" ref="A8514:A8577" si="532">B8514&amp;" - "&amp;TRIM(H8514)</f>
        <v>SCL - Operating Expense</v>
      </c>
      <c r="B8514" s="33" t="str">
        <f t="shared" ref="B8514:B8577" si="533">LEFT(D8514,3)</f>
        <v>SCL</v>
      </c>
      <c r="C8514" s="33" t="str">
        <f t="shared" ref="C8514:C8577" si="534">RIGHT(D8514,10)</f>
        <v>61001-7359</v>
      </c>
      <c r="D8514" s="64" t="s">
        <v>9763</v>
      </c>
      <c r="E8514" s="64" t="s">
        <v>3062</v>
      </c>
      <c r="F8514" s="64" t="s">
        <v>15</v>
      </c>
      <c r="G8514" s="64" t="s">
        <v>3021</v>
      </c>
      <c r="H8514" s="64" t="s">
        <v>3022</v>
      </c>
      <c r="I8514" s="64" t="s">
        <v>3063</v>
      </c>
      <c r="J8514" s="67">
        <v>-196.72</v>
      </c>
      <c r="K8514" s="62">
        <v>862.53</v>
      </c>
      <c r="L8514" s="33" t="e">
        <f>HLOOKUP(B8514,#REF!,1,0)</f>
        <v>#REF!</v>
      </c>
      <c r="M8514" s="33" t="str">
        <f t="shared" ref="M8514:M8577" si="535">IF(VALUE(LEFT(C8514,5))&gt;40000,"P&amp;L","BS")</f>
        <v>P&amp;L</v>
      </c>
    </row>
    <row r="8515" spans="1:13">
      <c r="A8515" s="33" t="str">
        <f t="shared" si="532"/>
        <v>SCL - Operating Expense</v>
      </c>
      <c r="B8515" s="33" t="str">
        <f t="shared" si="533"/>
        <v>SCL</v>
      </c>
      <c r="C8515" s="33" t="str">
        <f t="shared" si="534"/>
        <v>61001-7360</v>
      </c>
      <c r="D8515" s="64" t="s">
        <v>9764</v>
      </c>
      <c r="E8515" s="64" t="s">
        <v>3062</v>
      </c>
      <c r="F8515" s="64" t="s">
        <v>15</v>
      </c>
      <c r="G8515" s="64" t="s">
        <v>3021</v>
      </c>
      <c r="H8515" s="64" t="s">
        <v>3022</v>
      </c>
      <c r="I8515" s="64" t="s">
        <v>3063</v>
      </c>
      <c r="J8515" s="67">
        <v>0</v>
      </c>
      <c r="K8515" s="62">
        <v>209.7</v>
      </c>
      <c r="L8515" s="33" t="e">
        <f>HLOOKUP(B8515,#REF!,1,0)</f>
        <v>#REF!</v>
      </c>
      <c r="M8515" s="33" t="str">
        <f t="shared" si="535"/>
        <v>P&amp;L</v>
      </c>
    </row>
    <row r="8516" spans="1:13">
      <c r="A8516" s="33" t="str">
        <f t="shared" si="532"/>
        <v>SCL - Operating Expense</v>
      </c>
      <c r="B8516" s="33" t="str">
        <f t="shared" si="533"/>
        <v>SCL</v>
      </c>
      <c r="C8516" s="33" t="str">
        <f t="shared" si="534"/>
        <v>61001-7364</v>
      </c>
      <c r="D8516" s="64" t="s">
        <v>9765</v>
      </c>
      <c r="E8516" s="64" t="s">
        <v>3062</v>
      </c>
      <c r="F8516" s="64" t="s">
        <v>15</v>
      </c>
      <c r="G8516" s="64" t="s">
        <v>3021</v>
      </c>
      <c r="H8516" s="64" t="s">
        <v>3022</v>
      </c>
      <c r="I8516" s="64" t="s">
        <v>3063</v>
      </c>
      <c r="J8516" s="67">
        <v>0</v>
      </c>
      <c r="K8516" s="62">
        <v>658.87</v>
      </c>
      <c r="L8516" s="33" t="e">
        <f>HLOOKUP(B8516,#REF!,1,0)</f>
        <v>#REF!</v>
      </c>
      <c r="M8516" s="33" t="str">
        <f t="shared" si="535"/>
        <v>P&amp;L</v>
      </c>
    </row>
    <row r="8517" spans="1:13">
      <c r="A8517" s="33" t="str">
        <f t="shared" si="532"/>
        <v>SCL - Operating Expense</v>
      </c>
      <c r="B8517" s="33" t="str">
        <f t="shared" si="533"/>
        <v>SCL</v>
      </c>
      <c r="C8517" s="33" t="str">
        <f t="shared" si="534"/>
        <v>61001-7365</v>
      </c>
      <c r="D8517" s="64" t="s">
        <v>9766</v>
      </c>
      <c r="E8517" s="64" t="s">
        <v>3062</v>
      </c>
      <c r="F8517" s="64" t="s">
        <v>15</v>
      </c>
      <c r="G8517" s="64" t="s">
        <v>3021</v>
      </c>
      <c r="H8517" s="64" t="s">
        <v>3022</v>
      </c>
      <c r="I8517" s="64" t="s">
        <v>3063</v>
      </c>
      <c r="J8517" s="67">
        <v>0</v>
      </c>
      <c r="K8517" s="62">
        <v>166.2</v>
      </c>
      <c r="L8517" s="33" t="e">
        <f>HLOOKUP(B8517,#REF!,1,0)</f>
        <v>#REF!</v>
      </c>
      <c r="M8517" s="33" t="str">
        <f t="shared" si="535"/>
        <v>P&amp;L</v>
      </c>
    </row>
    <row r="8518" spans="1:13">
      <c r="A8518" s="33" t="str">
        <f t="shared" si="532"/>
        <v>SCL - Operating Expense</v>
      </c>
      <c r="B8518" s="33" t="str">
        <f t="shared" si="533"/>
        <v>SCL</v>
      </c>
      <c r="C8518" s="33" t="str">
        <f t="shared" si="534"/>
        <v>61001-7366</v>
      </c>
      <c r="D8518" s="64" t="s">
        <v>9767</v>
      </c>
      <c r="E8518" s="64" t="s">
        <v>3062</v>
      </c>
      <c r="F8518" s="64" t="s">
        <v>15</v>
      </c>
      <c r="G8518" s="64" t="s">
        <v>3021</v>
      </c>
      <c r="H8518" s="64" t="s">
        <v>3022</v>
      </c>
      <c r="I8518" s="64" t="s">
        <v>3063</v>
      </c>
      <c r="J8518" s="67">
        <v>0</v>
      </c>
      <c r="K8518" s="62">
        <v>124.73</v>
      </c>
      <c r="L8518" s="33" t="e">
        <f>HLOOKUP(B8518,#REF!,1,0)</f>
        <v>#REF!</v>
      </c>
      <c r="M8518" s="33" t="str">
        <f t="shared" si="535"/>
        <v>P&amp;L</v>
      </c>
    </row>
    <row r="8519" spans="1:13">
      <c r="A8519" s="33" t="str">
        <f t="shared" si="532"/>
        <v>SCL - Operating Expense</v>
      </c>
      <c r="B8519" s="33" t="str">
        <f t="shared" si="533"/>
        <v>SCL</v>
      </c>
      <c r="C8519" s="33" t="str">
        <f t="shared" si="534"/>
        <v>61001-7368</v>
      </c>
      <c r="D8519" s="64" t="s">
        <v>9768</v>
      </c>
      <c r="E8519" s="64" t="s">
        <v>3062</v>
      </c>
      <c r="F8519" s="64" t="s">
        <v>15</v>
      </c>
      <c r="G8519" s="64" t="s">
        <v>3021</v>
      </c>
      <c r="H8519" s="64" t="s">
        <v>3022</v>
      </c>
      <c r="I8519" s="64" t="s">
        <v>3063</v>
      </c>
      <c r="J8519" s="67">
        <v>0</v>
      </c>
      <c r="K8519" s="62">
        <v>209.31</v>
      </c>
      <c r="L8519" s="33" t="e">
        <f>HLOOKUP(B8519,#REF!,1,0)</f>
        <v>#REF!</v>
      </c>
      <c r="M8519" s="33" t="str">
        <f t="shared" si="535"/>
        <v>P&amp;L</v>
      </c>
    </row>
    <row r="8520" spans="1:13">
      <c r="A8520" s="33" t="str">
        <f t="shared" si="532"/>
        <v>SCL - Operating Expense</v>
      </c>
      <c r="B8520" s="33" t="str">
        <f t="shared" si="533"/>
        <v>SCL</v>
      </c>
      <c r="C8520" s="33" t="str">
        <f t="shared" si="534"/>
        <v>61001-7369</v>
      </c>
      <c r="D8520" s="64" t="s">
        <v>9769</v>
      </c>
      <c r="E8520" s="64" t="s">
        <v>3062</v>
      </c>
      <c r="F8520" s="64" t="s">
        <v>15</v>
      </c>
      <c r="G8520" s="64" t="s">
        <v>3021</v>
      </c>
      <c r="H8520" s="64" t="s">
        <v>3022</v>
      </c>
      <c r="I8520" s="64" t="s">
        <v>3063</v>
      </c>
      <c r="J8520" s="67">
        <v>0</v>
      </c>
      <c r="K8520" s="62">
        <v>166.2</v>
      </c>
      <c r="L8520" s="33" t="e">
        <f>HLOOKUP(B8520,#REF!,1,0)</f>
        <v>#REF!</v>
      </c>
      <c r="M8520" s="33" t="str">
        <f t="shared" si="535"/>
        <v>P&amp;L</v>
      </c>
    </row>
    <row r="8521" spans="1:13">
      <c r="A8521" s="33" t="str">
        <f t="shared" si="532"/>
        <v>SCL - Operating Expense</v>
      </c>
      <c r="B8521" s="33" t="str">
        <f t="shared" si="533"/>
        <v>SCL</v>
      </c>
      <c r="C8521" s="33" t="str">
        <f t="shared" si="534"/>
        <v>61001-7371</v>
      </c>
      <c r="D8521" s="64" t="s">
        <v>9770</v>
      </c>
      <c r="E8521" s="64" t="s">
        <v>3062</v>
      </c>
      <c r="F8521" s="64" t="s">
        <v>15</v>
      </c>
      <c r="G8521" s="64" t="s">
        <v>3021</v>
      </c>
      <c r="H8521" s="64" t="s">
        <v>3022</v>
      </c>
      <c r="I8521" s="64" t="s">
        <v>3063</v>
      </c>
      <c r="J8521" s="67">
        <v>0</v>
      </c>
      <c r="K8521" s="62">
        <v>209.3</v>
      </c>
      <c r="L8521" s="33" t="e">
        <f>HLOOKUP(B8521,#REF!,1,0)</f>
        <v>#REF!</v>
      </c>
      <c r="M8521" s="33" t="str">
        <f t="shared" si="535"/>
        <v>P&amp;L</v>
      </c>
    </row>
    <row r="8522" spans="1:13">
      <c r="A8522" s="33" t="str">
        <f t="shared" si="532"/>
        <v>SCL - Operating Expense</v>
      </c>
      <c r="B8522" s="33" t="str">
        <f t="shared" si="533"/>
        <v>SCL</v>
      </c>
      <c r="C8522" s="33" t="str">
        <f t="shared" si="534"/>
        <v>61001-7375</v>
      </c>
      <c r="D8522" s="64" t="s">
        <v>9771</v>
      </c>
      <c r="E8522" s="64" t="s">
        <v>3062</v>
      </c>
      <c r="F8522" s="64" t="s">
        <v>15</v>
      </c>
      <c r="G8522" s="64" t="s">
        <v>3021</v>
      </c>
      <c r="H8522" s="64" t="s">
        <v>3022</v>
      </c>
      <c r="I8522" s="64" t="s">
        <v>3063</v>
      </c>
      <c r="J8522" s="67">
        <v>0</v>
      </c>
      <c r="K8522" s="62">
        <v>124.07</v>
      </c>
      <c r="L8522" s="33" t="e">
        <f>HLOOKUP(B8522,#REF!,1,0)</f>
        <v>#REF!</v>
      </c>
      <c r="M8522" s="33" t="str">
        <f t="shared" si="535"/>
        <v>P&amp;L</v>
      </c>
    </row>
    <row r="8523" spans="1:13">
      <c r="A8523" s="33" t="str">
        <f t="shared" si="532"/>
        <v>SCL - Operating Expense</v>
      </c>
      <c r="B8523" s="33" t="str">
        <f t="shared" si="533"/>
        <v>SCL</v>
      </c>
      <c r="C8523" s="33" t="str">
        <f t="shared" si="534"/>
        <v>61001-7376</v>
      </c>
      <c r="D8523" s="64" t="s">
        <v>9772</v>
      </c>
      <c r="E8523" s="64" t="s">
        <v>3062</v>
      </c>
      <c r="F8523" s="64" t="s">
        <v>15</v>
      </c>
      <c r="G8523" s="64" t="s">
        <v>3021</v>
      </c>
      <c r="H8523" s="64" t="s">
        <v>3022</v>
      </c>
      <c r="I8523" s="64" t="s">
        <v>3063</v>
      </c>
      <c r="J8523" s="67">
        <v>0</v>
      </c>
      <c r="K8523" s="62">
        <v>314.97</v>
      </c>
      <c r="L8523" s="33" t="e">
        <f>HLOOKUP(B8523,#REF!,1,0)</f>
        <v>#REF!</v>
      </c>
      <c r="M8523" s="33" t="str">
        <f t="shared" si="535"/>
        <v>P&amp;L</v>
      </c>
    </row>
    <row r="8524" spans="1:13">
      <c r="A8524" s="33" t="str">
        <f t="shared" si="532"/>
        <v>SCL - Operating Expense</v>
      </c>
      <c r="B8524" s="33" t="str">
        <f t="shared" si="533"/>
        <v>SCL</v>
      </c>
      <c r="C8524" s="33" t="str">
        <f t="shared" si="534"/>
        <v>61001-7378</v>
      </c>
      <c r="D8524" s="64" t="s">
        <v>9773</v>
      </c>
      <c r="E8524" s="64" t="s">
        <v>3062</v>
      </c>
      <c r="F8524" s="64" t="s">
        <v>15</v>
      </c>
      <c r="G8524" s="64" t="s">
        <v>3021</v>
      </c>
      <c r="H8524" s="64" t="s">
        <v>3022</v>
      </c>
      <c r="I8524" s="64" t="s">
        <v>3063</v>
      </c>
      <c r="J8524" s="67">
        <v>0</v>
      </c>
      <c r="K8524" s="62">
        <v>209.3</v>
      </c>
      <c r="L8524" s="33" t="e">
        <f>HLOOKUP(B8524,#REF!,1,0)</f>
        <v>#REF!</v>
      </c>
      <c r="M8524" s="33" t="str">
        <f t="shared" si="535"/>
        <v>P&amp;L</v>
      </c>
    </row>
    <row r="8525" spans="1:13">
      <c r="A8525" s="33" t="str">
        <f t="shared" si="532"/>
        <v>SCL - Operating Expense</v>
      </c>
      <c r="B8525" s="33" t="str">
        <f t="shared" si="533"/>
        <v>SCL</v>
      </c>
      <c r="C8525" s="33" t="str">
        <f t="shared" si="534"/>
        <v>61001-7379</v>
      </c>
      <c r="D8525" s="64" t="s">
        <v>9774</v>
      </c>
      <c r="E8525" s="64" t="s">
        <v>3062</v>
      </c>
      <c r="F8525" s="64" t="s">
        <v>15</v>
      </c>
      <c r="G8525" s="64" t="s">
        <v>3021</v>
      </c>
      <c r="H8525" s="64" t="s">
        <v>3022</v>
      </c>
      <c r="I8525" s="64" t="s">
        <v>3063</v>
      </c>
      <c r="J8525" s="67">
        <v>0</v>
      </c>
      <c r="K8525" s="62">
        <v>2746.55</v>
      </c>
      <c r="L8525" s="33" t="e">
        <f>HLOOKUP(B8525,#REF!,1,0)</f>
        <v>#REF!</v>
      </c>
      <c r="M8525" s="33" t="str">
        <f t="shared" si="535"/>
        <v>P&amp;L</v>
      </c>
    </row>
    <row r="8526" spans="1:13">
      <c r="A8526" s="33" t="str">
        <f t="shared" si="532"/>
        <v>SCL - Operating Expense</v>
      </c>
      <c r="B8526" s="33" t="str">
        <f t="shared" si="533"/>
        <v>SCL</v>
      </c>
      <c r="C8526" s="33" t="str">
        <f t="shared" si="534"/>
        <v>61001-7383</v>
      </c>
      <c r="D8526" s="64" t="s">
        <v>9775</v>
      </c>
      <c r="E8526" s="64" t="s">
        <v>3062</v>
      </c>
      <c r="F8526" s="64" t="s">
        <v>15</v>
      </c>
      <c r="G8526" s="64" t="s">
        <v>3021</v>
      </c>
      <c r="H8526" s="64" t="s">
        <v>3022</v>
      </c>
      <c r="I8526" s="64" t="s">
        <v>3063</v>
      </c>
      <c r="J8526" s="67">
        <v>0</v>
      </c>
      <c r="K8526" s="62">
        <v>124.73</v>
      </c>
      <c r="L8526" s="33" t="e">
        <f>HLOOKUP(B8526,#REF!,1,0)</f>
        <v>#REF!</v>
      </c>
      <c r="M8526" s="33" t="str">
        <f t="shared" si="535"/>
        <v>P&amp;L</v>
      </c>
    </row>
    <row r="8527" spans="1:13">
      <c r="A8527" s="33" t="str">
        <f t="shared" si="532"/>
        <v>SCL - Operating Expense</v>
      </c>
      <c r="B8527" s="33" t="str">
        <f t="shared" si="533"/>
        <v>SCL</v>
      </c>
      <c r="C8527" s="33" t="str">
        <f t="shared" si="534"/>
        <v>61001-7385</v>
      </c>
      <c r="D8527" s="64" t="s">
        <v>9776</v>
      </c>
      <c r="E8527" s="64" t="s">
        <v>3062</v>
      </c>
      <c r="F8527" s="64" t="s">
        <v>15</v>
      </c>
      <c r="G8527" s="64" t="s">
        <v>3021</v>
      </c>
      <c r="H8527" s="64" t="s">
        <v>3022</v>
      </c>
      <c r="I8527" s="64" t="s">
        <v>3063</v>
      </c>
      <c r="J8527" s="67">
        <v>27.98</v>
      </c>
      <c r="K8527" s="62">
        <v>1047.13</v>
      </c>
      <c r="L8527" s="33" t="e">
        <f>HLOOKUP(B8527,#REF!,1,0)</f>
        <v>#REF!</v>
      </c>
      <c r="M8527" s="33" t="str">
        <f t="shared" si="535"/>
        <v>P&amp;L</v>
      </c>
    </row>
    <row r="8528" spans="1:13">
      <c r="A8528" s="33" t="str">
        <f t="shared" si="532"/>
        <v>SCL - Operating Expense</v>
      </c>
      <c r="B8528" s="33" t="str">
        <f t="shared" si="533"/>
        <v>SCL</v>
      </c>
      <c r="C8528" s="33" t="str">
        <f t="shared" si="534"/>
        <v>61001-7386</v>
      </c>
      <c r="D8528" s="64" t="s">
        <v>9777</v>
      </c>
      <c r="E8528" s="64" t="s">
        <v>3062</v>
      </c>
      <c r="F8528" s="64" t="s">
        <v>15</v>
      </c>
      <c r="G8528" s="64" t="s">
        <v>3021</v>
      </c>
      <c r="H8528" s="64" t="s">
        <v>3022</v>
      </c>
      <c r="I8528" s="64" t="s">
        <v>3063</v>
      </c>
      <c r="J8528" s="67">
        <v>0</v>
      </c>
      <c r="K8528" s="62">
        <v>1984.11</v>
      </c>
      <c r="L8528" s="33" t="e">
        <f>HLOOKUP(B8528,#REF!,1,0)</f>
        <v>#REF!</v>
      </c>
      <c r="M8528" s="33" t="str">
        <f t="shared" si="535"/>
        <v>P&amp;L</v>
      </c>
    </row>
    <row r="8529" spans="1:13">
      <c r="A8529" s="33" t="str">
        <f t="shared" si="532"/>
        <v>SCL - Operating Expense</v>
      </c>
      <c r="B8529" s="33" t="str">
        <f t="shared" si="533"/>
        <v>SCL</v>
      </c>
      <c r="C8529" s="33" t="str">
        <f t="shared" si="534"/>
        <v>61001-7387</v>
      </c>
      <c r="D8529" s="64" t="s">
        <v>9778</v>
      </c>
      <c r="E8529" s="64" t="s">
        <v>3062</v>
      </c>
      <c r="F8529" s="64" t="s">
        <v>15</v>
      </c>
      <c r="G8529" s="64" t="s">
        <v>3021</v>
      </c>
      <c r="H8529" s="64" t="s">
        <v>3022</v>
      </c>
      <c r="I8529" s="64" t="s">
        <v>3063</v>
      </c>
      <c r="J8529" s="67">
        <v>0</v>
      </c>
      <c r="K8529" s="62">
        <v>124.74</v>
      </c>
      <c r="L8529" s="33" t="e">
        <f>HLOOKUP(B8529,#REF!,1,0)</f>
        <v>#REF!</v>
      </c>
      <c r="M8529" s="33" t="str">
        <f t="shared" si="535"/>
        <v>P&amp;L</v>
      </c>
    </row>
    <row r="8530" spans="1:13">
      <c r="A8530" s="33" t="str">
        <f t="shared" si="532"/>
        <v>SCL - Operating Expense</v>
      </c>
      <c r="B8530" s="33" t="str">
        <f t="shared" si="533"/>
        <v>SCL</v>
      </c>
      <c r="C8530" s="33" t="str">
        <f t="shared" si="534"/>
        <v>61001-7389</v>
      </c>
      <c r="D8530" s="64" t="s">
        <v>9779</v>
      </c>
      <c r="E8530" s="64" t="s">
        <v>3062</v>
      </c>
      <c r="F8530" s="64" t="s">
        <v>15</v>
      </c>
      <c r="G8530" s="64" t="s">
        <v>3021</v>
      </c>
      <c r="H8530" s="64" t="s">
        <v>3022</v>
      </c>
      <c r="I8530" s="64" t="s">
        <v>3063</v>
      </c>
      <c r="J8530" s="67">
        <v>0</v>
      </c>
      <c r="K8530" s="62">
        <v>461.67</v>
      </c>
      <c r="L8530" s="33" t="e">
        <f>HLOOKUP(B8530,#REF!,1,0)</f>
        <v>#REF!</v>
      </c>
      <c r="M8530" s="33" t="str">
        <f t="shared" si="535"/>
        <v>P&amp;L</v>
      </c>
    </row>
    <row r="8531" spans="1:13">
      <c r="A8531" s="33" t="str">
        <f t="shared" si="532"/>
        <v>SCL - Operating Expense</v>
      </c>
      <c r="B8531" s="33" t="str">
        <f t="shared" si="533"/>
        <v>SCL</v>
      </c>
      <c r="C8531" s="33" t="str">
        <f t="shared" si="534"/>
        <v>61001-7391</v>
      </c>
      <c r="D8531" s="64" t="s">
        <v>9780</v>
      </c>
      <c r="E8531" s="64" t="s">
        <v>3062</v>
      </c>
      <c r="F8531" s="64" t="s">
        <v>15</v>
      </c>
      <c r="G8531" s="64" t="s">
        <v>3021</v>
      </c>
      <c r="H8531" s="64" t="s">
        <v>3022</v>
      </c>
      <c r="I8531" s="64" t="s">
        <v>3063</v>
      </c>
      <c r="J8531" s="67">
        <v>18.53</v>
      </c>
      <c r="K8531" s="62">
        <v>270.1</v>
      </c>
      <c r="L8531" s="33" t="e">
        <f>HLOOKUP(B8531,#REF!,1,0)</f>
        <v>#REF!</v>
      </c>
      <c r="M8531" s="33" t="str">
        <f t="shared" si="535"/>
        <v>P&amp;L</v>
      </c>
    </row>
    <row r="8532" spans="1:13">
      <c r="A8532" s="33" t="str">
        <f t="shared" si="532"/>
        <v>SCL - Operating Expense</v>
      </c>
      <c r="B8532" s="33" t="str">
        <f t="shared" si="533"/>
        <v>SCL</v>
      </c>
      <c r="C8532" s="33" t="str">
        <f t="shared" si="534"/>
        <v>61001-7393</v>
      </c>
      <c r="D8532" s="64" t="s">
        <v>9781</v>
      </c>
      <c r="E8532" s="64" t="s">
        <v>3062</v>
      </c>
      <c r="F8532" s="64" t="s">
        <v>15</v>
      </c>
      <c r="G8532" s="64" t="s">
        <v>3021</v>
      </c>
      <c r="H8532" s="64" t="s">
        <v>3022</v>
      </c>
      <c r="I8532" s="64" t="s">
        <v>3063</v>
      </c>
      <c r="J8532" s="67">
        <v>233.18</v>
      </c>
      <c r="K8532" s="62">
        <v>4634.61</v>
      </c>
      <c r="L8532" s="33" t="e">
        <f>HLOOKUP(B8532,#REF!,1,0)</f>
        <v>#REF!</v>
      </c>
      <c r="M8532" s="33" t="str">
        <f t="shared" si="535"/>
        <v>P&amp;L</v>
      </c>
    </row>
    <row r="8533" spans="1:13">
      <c r="A8533" s="33" t="str">
        <f t="shared" si="532"/>
        <v>SCL - Operating Expense</v>
      </c>
      <c r="B8533" s="33" t="str">
        <f t="shared" si="533"/>
        <v>SCL</v>
      </c>
      <c r="C8533" s="33" t="str">
        <f t="shared" si="534"/>
        <v>61001-7394</v>
      </c>
      <c r="D8533" s="64" t="s">
        <v>9782</v>
      </c>
      <c r="E8533" s="64" t="s">
        <v>3062</v>
      </c>
      <c r="F8533" s="64" t="s">
        <v>15</v>
      </c>
      <c r="G8533" s="64" t="s">
        <v>3021</v>
      </c>
      <c r="H8533" s="64" t="s">
        <v>3022</v>
      </c>
      <c r="I8533" s="64" t="s">
        <v>3063</v>
      </c>
      <c r="J8533" s="67">
        <v>0</v>
      </c>
      <c r="K8533" s="62">
        <v>166.2</v>
      </c>
      <c r="L8533" s="33" t="e">
        <f>HLOOKUP(B8533,#REF!,1,0)</f>
        <v>#REF!</v>
      </c>
      <c r="M8533" s="33" t="str">
        <f t="shared" si="535"/>
        <v>P&amp;L</v>
      </c>
    </row>
    <row r="8534" spans="1:13">
      <c r="A8534" s="33" t="str">
        <f t="shared" si="532"/>
        <v>SCL - Operating Expense</v>
      </c>
      <c r="B8534" s="33" t="str">
        <f t="shared" si="533"/>
        <v>SCL</v>
      </c>
      <c r="C8534" s="33" t="str">
        <f t="shared" si="534"/>
        <v>61001-7396</v>
      </c>
      <c r="D8534" s="64" t="s">
        <v>9783</v>
      </c>
      <c r="E8534" s="64" t="s">
        <v>3062</v>
      </c>
      <c r="F8534" s="64" t="s">
        <v>15</v>
      </c>
      <c r="G8534" s="64" t="s">
        <v>3021</v>
      </c>
      <c r="H8534" s="64" t="s">
        <v>3022</v>
      </c>
      <c r="I8534" s="64" t="s">
        <v>3063</v>
      </c>
      <c r="J8534" s="67">
        <v>0</v>
      </c>
      <c r="K8534" s="62">
        <v>166.2</v>
      </c>
      <c r="L8534" s="33" t="e">
        <f>HLOOKUP(B8534,#REF!,1,0)</f>
        <v>#REF!</v>
      </c>
      <c r="M8534" s="33" t="str">
        <f t="shared" si="535"/>
        <v>P&amp;L</v>
      </c>
    </row>
    <row r="8535" spans="1:13">
      <c r="A8535" s="33" t="str">
        <f t="shared" si="532"/>
        <v>SCL - Operating Expense</v>
      </c>
      <c r="B8535" s="33" t="str">
        <f t="shared" si="533"/>
        <v>SCL</v>
      </c>
      <c r="C8535" s="33" t="str">
        <f t="shared" si="534"/>
        <v>61001-7397</v>
      </c>
      <c r="D8535" s="64" t="s">
        <v>9784</v>
      </c>
      <c r="E8535" s="64" t="s">
        <v>3062</v>
      </c>
      <c r="F8535" s="64" t="s">
        <v>15</v>
      </c>
      <c r="G8535" s="64" t="s">
        <v>3021</v>
      </c>
      <c r="H8535" s="64" t="s">
        <v>3022</v>
      </c>
      <c r="I8535" s="64" t="s">
        <v>3063</v>
      </c>
      <c r="J8535" s="67">
        <v>0</v>
      </c>
      <c r="K8535" s="62">
        <v>76.96</v>
      </c>
      <c r="L8535" s="33" t="e">
        <f>HLOOKUP(B8535,#REF!,1,0)</f>
        <v>#REF!</v>
      </c>
      <c r="M8535" s="33" t="str">
        <f t="shared" si="535"/>
        <v>P&amp;L</v>
      </c>
    </row>
    <row r="8536" spans="1:13">
      <c r="A8536" s="33" t="str">
        <f t="shared" si="532"/>
        <v>SCL - Operating Expense</v>
      </c>
      <c r="B8536" s="33" t="str">
        <f t="shared" si="533"/>
        <v>SCL</v>
      </c>
      <c r="C8536" s="33" t="str">
        <f t="shared" si="534"/>
        <v>61001-7400</v>
      </c>
      <c r="D8536" s="64" t="s">
        <v>9785</v>
      </c>
      <c r="E8536" s="64" t="s">
        <v>3062</v>
      </c>
      <c r="F8536" s="64" t="s">
        <v>15</v>
      </c>
      <c r="G8536" s="64" t="s">
        <v>3021</v>
      </c>
      <c r="H8536" s="64" t="s">
        <v>3022</v>
      </c>
      <c r="I8536" s="64" t="s">
        <v>3063</v>
      </c>
      <c r="J8536" s="67">
        <v>0</v>
      </c>
      <c r="K8536" s="62">
        <v>124.74</v>
      </c>
      <c r="L8536" s="33" t="e">
        <f>HLOOKUP(B8536,#REF!,1,0)</f>
        <v>#REF!</v>
      </c>
      <c r="M8536" s="33" t="str">
        <f t="shared" si="535"/>
        <v>P&amp;L</v>
      </c>
    </row>
    <row r="8537" spans="1:13">
      <c r="A8537" s="33" t="str">
        <f t="shared" si="532"/>
        <v>SCL - Operating Expense</v>
      </c>
      <c r="B8537" s="33" t="str">
        <f t="shared" si="533"/>
        <v>SCL</v>
      </c>
      <c r="C8537" s="33" t="str">
        <f t="shared" si="534"/>
        <v>61001-7401</v>
      </c>
      <c r="D8537" s="64" t="s">
        <v>9786</v>
      </c>
      <c r="E8537" s="64" t="s">
        <v>3062</v>
      </c>
      <c r="F8537" s="64" t="s">
        <v>15</v>
      </c>
      <c r="G8537" s="64" t="s">
        <v>3021</v>
      </c>
      <c r="H8537" s="64" t="s">
        <v>3022</v>
      </c>
      <c r="I8537" s="64" t="s">
        <v>3063</v>
      </c>
      <c r="J8537" s="67">
        <v>0</v>
      </c>
      <c r="K8537" s="62">
        <v>124.74</v>
      </c>
      <c r="L8537" s="33" t="e">
        <f>HLOOKUP(B8537,#REF!,1,0)</f>
        <v>#REF!</v>
      </c>
      <c r="M8537" s="33" t="str">
        <f t="shared" si="535"/>
        <v>P&amp;L</v>
      </c>
    </row>
    <row r="8538" spans="1:13">
      <c r="A8538" s="33" t="str">
        <f t="shared" si="532"/>
        <v>SCL - Operating Expense</v>
      </c>
      <c r="B8538" s="33" t="str">
        <f t="shared" si="533"/>
        <v>SCL</v>
      </c>
      <c r="C8538" s="33" t="str">
        <f t="shared" si="534"/>
        <v>61001-7402</v>
      </c>
      <c r="D8538" s="64" t="s">
        <v>9787</v>
      </c>
      <c r="E8538" s="64" t="s">
        <v>3062</v>
      </c>
      <c r="F8538" s="64" t="s">
        <v>15</v>
      </c>
      <c r="G8538" s="64" t="s">
        <v>3021</v>
      </c>
      <c r="H8538" s="64" t="s">
        <v>3022</v>
      </c>
      <c r="I8538" s="64" t="s">
        <v>3063</v>
      </c>
      <c r="J8538" s="67">
        <v>0</v>
      </c>
      <c r="K8538" s="62">
        <v>209.3</v>
      </c>
      <c r="L8538" s="33" t="e">
        <f>HLOOKUP(B8538,#REF!,1,0)</f>
        <v>#REF!</v>
      </c>
      <c r="M8538" s="33" t="str">
        <f t="shared" si="535"/>
        <v>P&amp;L</v>
      </c>
    </row>
    <row r="8539" spans="1:13">
      <c r="A8539" s="33" t="str">
        <f t="shared" si="532"/>
        <v>SCL - Operating Expense</v>
      </c>
      <c r="B8539" s="33" t="str">
        <f t="shared" si="533"/>
        <v>SCL</v>
      </c>
      <c r="C8539" s="33" t="str">
        <f t="shared" si="534"/>
        <v>61001-7403</v>
      </c>
      <c r="D8539" s="64" t="s">
        <v>9788</v>
      </c>
      <c r="E8539" s="64" t="s">
        <v>3062</v>
      </c>
      <c r="F8539" s="64" t="s">
        <v>15</v>
      </c>
      <c r="G8539" s="64" t="s">
        <v>3021</v>
      </c>
      <c r="H8539" s="64" t="s">
        <v>3022</v>
      </c>
      <c r="I8539" s="64" t="s">
        <v>3063</v>
      </c>
      <c r="J8539" s="67">
        <v>0</v>
      </c>
      <c r="K8539" s="62">
        <v>209.29</v>
      </c>
      <c r="L8539" s="33" t="e">
        <f>HLOOKUP(B8539,#REF!,1,0)</f>
        <v>#REF!</v>
      </c>
      <c r="M8539" s="33" t="str">
        <f t="shared" si="535"/>
        <v>P&amp;L</v>
      </c>
    </row>
    <row r="8540" spans="1:13">
      <c r="A8540" s="33" t="str">
        <f t="shared" si="532"/>
        <v>SCL - Operating Expense</v>
      </c>
      <c r="B8540" s="33" t="str">
        <f t="shared" si="533"/>
        <v>SCL</v>
      </c>
      <c r="C8540" s="33" t="str">
        <f t="shared" si="534"/>
        <v>61001-7489</v>
      </c>
      <c r="D8540" s="64" t="s">
        <v>9789</v>
      </c>
      <c r="E8540" s="64" t="s">
        <v>3062</v>
      </c>
      <c r="F8540" s="64" t="s">
        <v>15</v>
      </c>
      <c r="G8540" s="64" t="s">
        <v>3021</v>
      </c>
      <c r="H8540" s="64" t="s">
        <v>3022</v>
      </c>
      <c r="I8540" s="64" t="s">
        <v>3063</v>
      </c>
      <c r="J8540" s="67">
        <v>0</v>
      </c>
      <c r="K8540" s="62">
        <v>124.06</v>
      </c>
      <c r="L8540" s="33" t="e">
        <f>HLOOKUP(B8540,#REF!,1,0)</f>
        <v>#REF!</v>
      </c>
      <c r="M8540" s="33" t="str">
        <f t="shared" si="535"/>
        <v>P&amp;L</v>
      </c>
    </row>
    <row r="8541" spans="1:13">
      <c r="A8541" s="33" t="str">
        <f t="shared" si="532"/>
        <v>SCL - Operating Expense</v>
      </c>
      <c r="B8541" s="33" t="str">
        <f t="shared" si="533"/>
        <v>SCL</v>
      </c>
      <c r="C8541" s="33" t="str">
        <f t="shared" si="534"/>
        <v>61001-7491</v>
      </c>
      <c r="D8541" s="64" t="s">
        <v>9790</v>
      </c>
      <c r="E8541" s="64" t="s">
        <v>3062</v>
      </c>
      <c r="F8541" s="64" t="s">
        <v>15</v>
      </c>
      <c r="G8541" s="64" t="s">
        <v>3021</v>
      </c>
      <c r="H8541" s="64" t="s">
        <v>3022</v>
      </c>
      <c r="I8541" s="64" t="s">
        <v>3063</v>
      </c>
      <c r="J8541" s="67">
        <v>0</v>
      </c>
      <c r="K8541" s="62">
        <v>539.12</v>
      </c>
      <c r="L8541" s="33" t="e">
        <f>HLOOKUP(B8541,#REF!,1,0)</f>
        <v>#REF!</v>
      </c>
      <c r="M8541" s="33" t="str">
        <f t="shared" si="535"/>
        <v>P&amp;L</v>
      </c>
    </row>
    <row r="8542" spans="1:13">
      <c r="A8542" s="33" t="str">
        <f t="shared" si="532"/>
        <v>SCL - Operating Expense</v>
      </c>
      <c r="B8542" s="33" t="str">
        <f t="shared" si="533"/>
        <v>SCL</v>
      </c>
      <c r="C8542" s="33" t="str">
        <f t="shared" si="534"/>
        <v>61001-7492</v>
      </c>
      <c r="D8542" s="64" t="s">
        <v>9791</v>
      </c>
      <c r="E8542" s="64" t="s">
        <v>3062</v>
      </c>
      <c r="F8542" s="64" t="s">
        <v>15</v>
      </c>
      <c r="G8542" s="64" t="s">
        <v>3021</v>
      </c>
      <c r="H8542" s="64" t="s">
        <v>3022</v>
      </c>
      <c r="I8542" s="64" t="s">
        <v>3063</v>
      </c>
      <c r="J8542" s="67">
        <v>0</v>
      </c>
      <c r="K8542" s="62">
        <v>124.06</v>
      </c>
      <c r="L8542" s="33" t="e">
        <f>HLOOKUP(B8542,#REF!,1,0)</f>
        <v>#REF!</v>
      </c>
      <c r="M8542" s="33" t="str">
        <f t="shared" si="535"/>
        <v>P&amp;L</v>
      </c>
    </row>
    <row r="8543" spans="1:13">
      <c r="A8543" s="33" t="str">
        <f t="shared" si="532"/>
        <v>SCL - Operating Expense</v>
      </c>
      <c r="B8543" s="33" t="str">
        <f t="shared" si="533"/>
        <v>SCL</v>
      </c>
      <c r="C8543" s="33" t="str">
        <f t="shared" si="534"/>
        <v>61001-7493</v>
      </c>
      <c r="D8543" s="64" t="s">
        <v>9792</v>
      </c>
      <c r="E8543" s="64" t="s">
        <v>3062</v>
      </c>
      <c r="F8543" s="64" t="s">
        <v>15</v>
      </c>
      <c r="G8543" s="64" t="s">
        <v>3021</v>
      </c>
      <c r="H8543" s="64" t="s">
        <v>3022</v>
      </c>
      <c r="I8543" s="64" t="s">
        <v>3063</v>
      </c>
      <c r="J8543" s="67">
        <v>0</v>
      </c>
      <c r="K8543" s="62">
        <v>206.98</v>
      </c>
      <c r="L8543" s="33" t="e">
        <f>HLOOKUP(B8543,#REF!,1,0)</f>
        <v>#REF!</v>
      </c>
      <c r="M8543" s="33" t="str">
        <f t="shared" si="535"/>
        <v>P&amp;L</v>
      </c>
    </row>
    <row r="8544" spans="1:13">
      <c r="A8544" s="33" t="str">
        <f t="shared" si="532"/>
        <v>SCL - Operating Expense</v>
      </c>
      <c r="B8544" s="33" t="str">
        <f t="shared" si="533"/>
        <v>SCL</v>
      </c>
      <c r="C8544" s="33" t="str">
        <f t="shared" si="534"/>
        <v>61001-7625</v>
      </c>
      <c r="D8544" s="64" t="s">
        <v>9793</v>
      </c>
      <c r="E8544" s="64" t="s">
        <v>3062</v>
      </c>
      <c r="F8544" s="64" t="s">
        <v>15</v>
      </c>
      <c r="G8544" s="64" t="s">
        <v>3021</v>
      </c>
      <c r="H8544" s="64" t="s">
        <v>3022</v>
      </c>
      <c r="I8544" s="64" t="s">
        <v>3063</v>
      </c>
      <c r="J8544" s="67">
        <v>0</v>
      </c>
      <c r="K8544" s="62">
        <v>124.04</v>
      </c>
      <c r="L8544" s="33" t="e">
        <f>HLOOKUP(B8544,#REF!,1,0)</f>
        <v>#REF!</v>
      </c>
      <c r="M8544" s="33" t="str">
        <f t="shared" si="535"/>
        <v>P&amp;L</v>
      </c>
    </row>
    <row r="8545" spans="1:13">
      <c r="A8545" s="33" t="str">
        <f t="shared" si="532"/>
        <v>SCL - Operating Expense</v>
      </c>
      <c r="B8545" s="33" t="str">
        <f t="shared" si="533"/>
        <v>SCL</v>
      </c>
      <c r="C8545" s="33" t="str">
        <f t="shared" si="534"/>
        <v>61002-0000</v>
      </c>
      <c r="D8545" s="64" t="s">
        <v>9794</v>
      </c>
      <c r="E8545" s="64" t="s">
        <v>3067</v>
      </c>
      <c r="F8545" s="64" t="s">
        <v>15</v>
      </c>
      <c r="G8545" s="64" t="s">
        <v>3035</v>
      </c>
      <c r="H8545" s="64" t="s">
        <v>3022</v>
      </c>
      <c r="I8545" s="64" t="s">
        <v>3036</v>
      </c>
      <c r="J8545" s="67">
        <v>0</v>
      </c>
      <c r="K8545" s="62">
        <v>339.56</v>
      </c>
      <c r="L8545" s="33" t="e">
        <f>HLOOKUP(B8545,#REF!,1,0)</f>
        <v>#REF!</v>
      </c>
      <c r="M8545" s="33" t="str">
        <f t="shared" si="535"/>
        <v>P&amp;L</v>
      </c>
    </row>
    <row r="8546" spans="1:13">
      <c r="A8546" s="33" t="str">
        <f t="shared" si="532"/>
        <v>SCL - Operating Expense</v>
      </c>
      <c r="B8546" s="33" t="str">
        <f t="shared" si="533"/>
        <v>SCL</v>
      </c>
      <c r="C8546" s="33" t="str">
        <f t="shared" si="534"/>
        <v>61002-7352</v>
      </c>
      <c r="D8546" s="64" t="s">
        <v>9795</v>
      </c>
      <c r="E8546" s="64" t="s">
        <v>3067</v>
      </c>
      <c r="F8546" s="64" t="s">
        <v>15</v>
      </c>
      <c r="G8546" s="64" t="s">
        <v>3035</v>
      </c>
      <c r="H8546" s="64" t="s">
        <v>3022</v>
      </c>
      <c r="I8546" s="64" t="s">
        <v>3036</v>
      </c>
      <c r="J8546" s="67">
        <v>0</v>
      </c>
      <c r="K8546" s="62">
        <v>1282.18</v>
      </c>
      <c r="L8546" s="33" t="e">
        <f>HLOOKUP(B8546,#REF!,1,0)</f>
        <v>#REF!</v>
      </c>
      <c r="M8546" s="33" t="str">
        <f t="shared" si="535"/>
        <v>P&amp;L</v>
      </c>
    </row>
    <row r="8547" spans="1:13">
      <c r="A8547" s="33" t="str">
        <f t="shared" si="532"/>
        <v>SCL - Operating Expense</v>
      </c>
      <c r="B8547" s="33" t="str">
        <f t="shared" si="533"/>
        <v>SCL</v>
      </c>
      <c r="C8547" s="33" t="str">
        <f t="shared" si="534"/>
        <v>61002-7356</v>
      </c>
      <c r="D8547" s="64" t="s">
        <v>9796</v>
      </c>
      <c r="E8547" s="64" t="s">
        <v>3067</v>
      </c>
      <c r="F8547" s="64" t="s">
        <v>15</v>
      </c>
      <c r="G8547" s="64" t="s">
        <v>3035</v>
      </c>
      <c r="H8547" s="64" t="s">
        <v>3022</v>
      </c>
      <c r="I8547" s="64" t="s">
        <v>3036</v>
      </c>
      <c r="J8547" s="67">
        <v>0</v>
      </c>
      <c r="K8547" s="62">
        <v>182.9</v>
      </c>
      <c r="L8547" s="33" t="e">
        <f>HLOOKUP(B8547,#REF!,1,0)</f>
        <v>#REF!</v>
      </c>
      <c r="M8547" s="33" t="str">
        <f t="shared" si="535"/>
        <v>P&amp;L</v>
      </c>
    </row>
    <row r="8548" spans="1:13">
      <c r="A8548" s="33" t="str">
        <f t="shared" si="532"/>
        <v>SCL - Operating Expense</v>
      </c>
      <c r="B8548" s="33" t="str">
        <f t="shared" si="533"/>
        <v>SCL</v>
      </c>
      <c r="C8548" s="33" t="str">
        <f t="shared" si="534"/>
        <v>61002-7359</v>
      </c>
      <c r="D8548" s="64" t="s">
        <v>9797</v>
      </c>
      <c r="E8548" s="64" t="s">
        <v>3067</v>
      </c>
      <c r="F8548" s="64" t="s">
        <v>15</v>
      </c>
      <c r="G8548" s="64" t="s">
        <v>3035</v>
      </c>
      <c r="H8548" s="64" t="s">
        <v>3022</v>
      </c>
      <c r="I8548" s="64" t="s">
        <v>3036</v>
      </c>
      <c r="J8548" s="67">
        <v>0</v>
      </c>
      <c r="K8548" s="62">
        <v>968.92</v>
      </c>
      <c r="L8548" s="33" t="e">
        <f>HLOOKUP(B8548,#REF!,1,0)</f>
        <v>#REF!</v>
      </c>
      <c r="M8548" s="33" t="str">
        <f t="shared" si="535"/>
        <v>P&amp;L</v>
      </c>
    </row>
    <row r="8549" spans="1:13">
      <c r="A8549" s="33" t="str">
        <f t="shared" si="532"/>
        <v>SCL - Operating Expense</v>
      </c>
      <c r="B8549" s="33" t="str">
        <f t="shared" si="533"/>
        <v>SCL</v>
      </c>
      <c r="C8549" s="33" t="str">
        <f t="shared" si="534"/>
        <v>61002-7360</v>
      </c>
      <c r="D8549" s="64" t="s">
        <v>9798</v>
      </c>
      <c r="E8549" s="64" t="s">
        <v>3067</v>
      </c>
      <c r="F8549" s="64" t="s">
        <v>15</v>
      </c>
      <c r="G8549" s="64" t="s">
        <v>3035</v>
      </c>
      <c r="H8549" s="64" t="s">
        <v>3022</v>
      </c>
      <c r="I8549" s="64" t="s">
        <v>3036</v>
      </c>
      <c r="J8549" s="67">
        <v>0</v>
      </c>
      <c r="K8549" s="62">
        <v>238.74</v>
      </c>
      <c r="L8549" s="33" t="e">
        <f>HLOOKUP(B8549,#REF!,1,0)</f>
        <v>#REF!</v>
      </c>
      <c r="M8549" s="33" t="str">
        <f t="shared" si="535"/>
        <v>P&amp;L</v>
      </c>
    </row>
    <row r="8550" spans="1:13">
      <c r="A8550" s="33" t="str">
        <f t="shared" si="532"/>
        <v>SCL - Operating Expense</v>
      </c>
      <c r="B8550" s="33" t="str">
        <f t="shared" si="533"/>
        <v>SCL</v>
      </c>
      <c r="C8550" s="33" t="str">
        <f t="shared" si="534"/>
        <v>61002-7362</v>
      </c>
      <c r="D8550" s="64" t="s">
        <v>9799</v>
      </c>
      <c r="E8550" s="64" t="s">
        <v>3067</v>
      </c>
      <c r="F8550" s="64" t="s">
        <v>15</v>
      </c>
      <c r="G8550" s="64" t="s">
        <v>3035</v>
      </c>
      <c r="H8550" s="64" t="s">
        <v>3022</v>
      </c>
      <c r="I8550" s="64" t="s">
        <v>3036</v>
      </c>
      <c r="J8550" s="67">
        <v>0</v>
      </c>
      <c r="K8550" s="62">
        <v>241.87</v>
      </c>
      <c r="L8550" s="33" t="e">
        <f>HLOOKUP(B8550,#REF!,1,0)</f>
        <v>#REF!</v>
      </c>
      <c r="M8550" s="33" t="str">
        <f t="shared" si="535"/>
        <v>P&amp;L</v>
      </c>
    </row>
    <row r="8551" spans="1:13">
      <c r="A8551" s="33" t="str">
        <f t="shared" si="532"/>
        <v>SCL - Operating Expense</v>
      </c>
      <c r="B8551" s="33" t="str">
        <f t="shared" si="533"/>
        <v>SCL</v>
      </c>
      <c r="C8551" s="33" t="str">
        <f t="shared" si="534"/>
        <v>61002-7364</v>
      </c>
      <c r="D8551" s="64" t="s">
        <v>9800</v>
      </c>
      <c r="E8551" s="64" t="s">
        <v>3067</v>
      </c>
      <c r="F8551" s="64" t="s">
        <v>15</v>
      </c>
      <c r="G8551" s="64" t="s">
        <v>3035</v>
      </c>
      <c r="H8551" s="64" t="s">
        <v>3022</v>
      </c>
      <c r="I8551" s="64" t="s">
        <v>3036</v>
      </c>
      <c r="J8551" s="67">
        <v>0</v>
      </c>
      <c r="K8551" s="62">
        <v>741.13</v>
      </c>
      <c r="L8551" s="33" t="e">
        <f>HLOOKUP(B8551,#REF!,1,0)</f>
        <v>#REF!</v>
      </c>
      <c r="M8551" s="33" t="str">
        <f t="shared" si="535"/>
        <v>P&amp;L</v>
      </c>
    </row>
    <row r="8552" spans="1:13">
      <c r="A8552" s="33" t="str">
        <f t="shared" si="532"/>
        <v>SCL - Operating Expense</v>
      </c>
      <c r="B8552" s="33" t="str">
        <f t="shared" si="533"/>
        <v>SCL</v>
      </c>
      <c r="C8552" s="33" t="str">
        <f t="shared" si="534"/>
        <v>61002-7365</v>
      </c>
      <c r="D8552" s="64" t="s">
        <v>9801</v>
      </c>
      <c r="E8552" s="64" t="s">
        <v>3067</v>
      </c>
      <c r="F8552" s="64" t="s">
        <v>15</v>
      </c>
      <c r="G8552" s="64" t="s">
        <v>3035</v>
      </c>
      <c r="H8552" s="64" t="s">
        <v>3022</v>
      </c>
      <c r="I8552" s="64" t="s">
        <v>3036</v>
      </c>
      <c r="J8552" s="67">
        <v>0</v>
      </c>
      <c r="K8552" s="62">
        <v>732.67</v>
      </c>
      <c r="L8552" s="33" t="e">
        <f>HLOOKUP(B8552,#REF!,1,0)</f>
        <v>#REF!</v>
      </c>
      <c r="M8552" s="33" t="str">
        <f t="shared" si="535"/>
        <v>P&amp;L</v>
      </c>
    </row>
    <row r="8553" spans="1:13">
      <c r="A8553" s="33" t="str">
        <f t="shared" si="532"/>
        <v>SCL - Operating Expense</v>
      </c>
      <c r="B8553" s="33" t="str">
        <f t="shared" si="533"/>
        <v>SCL</v>
      </c>
      <c r="C8553" s="33" t="str">
        <f t="shared" si="534"/>
        <v>61002-7366</v>
      </c>
      <c r="D8553" s="64" t="s">
        <v>9802</v>
      </c>
      <c r="E8553" s="64" t="s">
        <v>3067</v>
      </c>
      <c r="F8553" s="64" t="s">
        <v>15</v>
      </c>
      <c r="G8553" s="64" t="s">
        <v>3035</v>
      </c>
      <c r="H8553" s="64" t="s">
        <v>3022</v>
      </c>
      <c r="I8553" s="64" t="s">
        <v>3036</v>
      </c>
      <c r="J8553" s="67">
        <v>0</v>
      </c>
      <c r="K8553" s="62">
        <v>1272.69</v>
      </c>
      <c r="L8553" s="33" t="e">
        <f>HLOOKUP(B8553,#REF!,1,0)</f>
        <v>#REF!</v>
      </c>
      <c r="M8553" s="33" t="str">
        <f t="shared" si="535"/>
        <v>P&amp;L</v>
      </c>
    </row>
    <row r="8554" spans="1:13">
      <c r="A8554" s="33" t="str">
        <f t="shared" si="532"/>
        <v>SCL - Operating Expense</v>
      </c>
      <c r="B8554" s="33" t="str">
        <f t="shared" si="533"/>
        <v>SCL</v>
      </c>
      <c r="C8554" s="33" t="str">
        <f t="shared" si="534"/>
        <v>61002-7369</v>
      </c>
      <c r="D8554" s="64" t="s">
        <v>9803</v>
      </c>
      <c r="E8554" s="64" t="s">
        <v>3067</v>
      </c>
      <c r="F8554" s="64" t="s">
        <v>15</v>
      </c>
      <c r="G8554" s="64" t="s">
        <v>3035</v>
      </c>
      <c r="H8554" s="64" t="s">
        <v>3022</v>
      </c>
      <c r="I8554" s="64" t="s">
        <v>3036</v>
      </c>
      <c r="J8554" s="67">
        <v>0</v>
      </c>
      <c r="K8554" s="62">
        <v>439.71</v>
      </c>
      <c r="L8554" s="33" t="e">
        <f>HLOOKUP(B8554,#REF!,1,0)</f>
        <v>#REF!</v>
      </c>
      <c r="M8554" s="33" t="str">
        <f t="shared" si="535"/>
        <v>P&amp;L</v>
      </c>
    </row>
    <row r="8555" spans="1:13">
      <c r="A8555" s="33" t="str">
        <f t="shared" si="532"/>
        <v>SCL - Operating Expense</v>
      </c>
      <c r="B8555" s="33" t="str">
        <f t="shared" si="533"/>
        <v>SCL</v>
      </c>
      <c r="C8555" s="33" t="str">
        <f t="shared" si="534"/>
        <v>61002-7371</v>
      </c>
      <c r="D8555" s="64" t="s">
        <v>9804</v>
      </c>
      <c r="E8555" s="64" t="s">
        <v>3067</v>
      </c>
      <c r="F8555" s="64" t="s">
        <v>15</v>
      </c>
      <c r="G8555" s="64" t="s">
        <v>3035</v>
      </c>
      <c r="H8555" s="64" t="s">
        <v>3022</v>
      </c>
      <c r="I8555" s="64" t="s">
        <v>3036</v>
      </c>
      <c r="J8555" s="67">
        <v>0</v>
      </c>
      <c r="K8555" s="62">
        <v>1051.62</v>
      </c>
      <c r="L8555" s="33" t="e">
        <f>HLOOKUP(B8555,#REF!,1,0)</f>
        <v>#REF!</v>
      </c>
      <c r="M8555" s="33" t="str">
        <f t="shared" si="535"/>
        <v>P&amp;L</v>
      </c>
    </row>
    <row r="8556" spans="1:13">
      <c r="A8556" s="33" t="str">
        <f t="shared" si="532"/>
        <v>SCL - Operating Expense</v>
      </c>
      <c r="B8556" s="33" t="str">
        <f t="shared" si="533"/>
        <v>SCL</v>
      </c>
      <c r="C8556" s="33" t="str">
        <f t="shared" si="534"/>
        <v>61002-7374</v>
      </c>
      <c r="D8556" s="64" t="s">
        <v>9805</v>
      </c>
      <c r="E8556" s="64" t="s">
        <v>3067</v>
      </c>
      <c r="F8556" s="64" t="s">
        <v>15</v>
      </c>
      <c r="G8556" s="64" t="s">
        <v>3035</v>
      </c>
      <c r="H8556" s="64" t="s">
        <v>3022</v>
      </c>
      <c r="I8556" s="64" t="s">
        <v>3036</v>
      </c>
      <c r="J8556" s="67">
        <v>0</v>
      </c>
      <c r="K8556" s="62">
        <v>186.78</v>
      </c>
      <c r="L8556" s="33" t="e">
        <f>HLOOKUP(B8556,#REF!,1,0)</f>
        <v>#REF!</v>
      </c>
      <c r="M8556" s="33" t="str">
        <f t="shared" si="535"/>
        <v>P&amp;L</v>
      </c>
    </row>
    <row r="8557" spans="1:13">
      <c r="A8557" s="33" t="str">
        <f t="shared" si="532"/>
        <v>SCL - Operating Expense</v>
      </c>
      <c r="B8557" s="33" t="str">
        <f t="shared" si="533"/>
        <v>SCL</v>
      </c>
      <c r="C8557" s="33" t="str">
        <f t="shared" si="534"/>
        <v>61002-7375</v>
      </c>
      <c r="D8557" s="64" t="s">
        <v>9806</v>
      </c>
      <c r="E8557" s="64" t="s">
        <v>3067</v>
      </c>
      <c r="F8557" s="64" t="s">
        <v>15</v>
      </c>
      <c r="G8557" s="64" t="s">
        <v>3035</v>
      </c>
      <c r="H8557" s="64" t="s">
        <v>3022</v>
      </c>
      <c r="I8557" s="64" t="s">
        <v>3036</v>
      </c>
      <c r="J8557" s="67">
        <v>0</v>
      </c>
      <c r="K8557" s="62">
        <v>182.17</v>
      </c>
      <c r="L8557" s="33" t="e">
        <f>HLOOKUP(B8557,#REF!,1,0)</f>
        <v>#REF!</v>
      </c>
      <c r="M8557" s="33" t="str">
        <f t="shared" si="535"/>
        <v>P&amp;L</v>
      </c>
    </row>
    <row r="8558" spans="1:13">
      <c r="A8558" s="33" t="str">
        <f t="shared" si="532"/>
        <v>SCL - Operating Expense</v>
      </c>
      <c r="B8558" s="33" t="str">
        <f t="shared" si="533"/>
        <v>SCL</v>
      </c>
      <c r="C8558" s="33" t="str">
        <f t="shared" si="534"/>
        <v>61002-7376</v>
      </c>
      <c r="D8558" s="64" t="s">
        <v>9807</v>
      </c>
      <c r="E8558" s="64" t="s">
        <v>3067</v>
      </c>
      <c r="F8558" s="64" t="s">
        <v>15</v>
      </c>
      <c r="G8558" s="64" t="s">
        <v>3035</v>
      </c>
      <c r="H8558" s="64" t="s">
        <v>3022</v>
      </c>
      <c r="I8558" s="64" t="s">
        <v>3036</v>
      </c>
      <c r="J8558" s="67">
        <v>0</v>
      </c>
      <c r="K8558" s="62">
        <v>1048.24</v>
      </c>
      <c r="L8558" s="33" t="e">
        <f>HLOOKUP(B8558,#REF!,1,0)</f>
        <v>#REF!</v>
      </c>
      <c r="M8558" s="33" t="str">
        <f t="shared" si="535"/>
        <v>P&amp;L</v>
      </c>
    </row>
    <row r="8559" spans="1:13">
      <c r="A8559" s="33" t="str">
        <f t="shared" si="532"/>
        <v>SCL - Operating Expense</v>
      </c>
      <c r="B8559" s="33" t="str">
        <f t="shared" si="533"/>
        <v>SCL</v>
      </c>
      <c r="C8559" s="33" t="str">
        <f t="shared" si="534"/>
        <v>61002-7377</v>
      </c>
      <c r="D8559" s="64" t="s">
        <v>9808</v>
      </c>
      <c r="E8559" s="64" t="s">
        <v>3067</v>
      </c>
      <c r="F8559" s="64" t="s">
        <v>15</v>
      </c>
      <c r="G8559" s="64" t="s">
        <v>3035</v>
      </c>
      <c r="H8559" s="64" t="s">
        <v>3022</v>
      </c>
      <c r="I8559" s="64" t="s">
        <v>3036</v>
      </c>
      <c r="J8559" s="67">
        <v>0</v>
      </c>
      <c r="K8559" s="62">
        <v>511.66</v>
      </c>
      <c r="L8559" s="33" t="e">
        <f>HLOOKUP(B8559,#REF!,1,0)</f>
        <v>#REF!</v>
      </c>
      <c r="M8559" s="33" t="str">
        <f t="shared" si="535"/>
        <v>P&amp;L</v>
      </c>
    </row>
    <row r="8560" spans="1:13">
      <c r="A8560" s="33" t="str">
        <f t="shared" si="532"/>
        <v>SCL - Operating Expense</v>
      </c>
      <c r="B8560" s="33" t="str">
        <f t="shared" si="533"/>
        <v>SCL</v>
      </c>
      <c r="C8560" s="33" t="str">
        <f t="shared" si="534"/>
        <v>61002-7378</v>
      </c>
      <c r="D8560" s="64" t="s">
        <v>9809</v>
      </c>
      <c r="E8560" s="64" t="s">
        <v>3067</v>
      </c>
      <c r="F8560" s="64" t="s">
        <v>15</v>
      </c>
      <c r="G8560" s="64" t="s">
        <v>3035</v>
      </c>
      <c r="H8560" s="64" t="s">
        <v>3022</v>
      </c>
      <c r="I8560" s="64" t="s">
        <v>3036</v>
      </c>
      <c r="J8560" s="67">
        <v>0</v>
      </c>
      <c r="K8560" s="62">
        <v>933.96</v>
      </c>
      <c r="L8560" s="33" t="e">
        <f>HLOOKUP(B8560,#REF!,1,0)</f>
        <v>#REF!</v>
      </c>
      <c r="M8560" s="33" t="str">
        <f t="shared" si="535"/>
        <v>P&amp;L</v>
      </c>
    </row>
    <row r="8561" spans="1:13">
      <c r="A8561" s="33" t="str">
        <f t="shared" si="532"/>
        <v>SCL - Operating Expense</v>
      </c>
      <c r="B8561" s="33" t="str">
        <f t="shared" si="533"/>
        <v>SCL</v>
      </c>
      <c r="C8561" s="33" t="str">
        <f t="shared" si="534"/>
        <v>61002-7379</v>
      </c>
      <c r="D8561" s="64" t="s">
        <v>9810</v>
      </c>
      <c r="E8561" s="64" t="s">
        <v>3067</v>
      </c>
      <c r="F8561" s="64" t="s">
        <v>15</v>
      </c>
      <c r="G8561" s="64" t="s">
        <v>3035</v>
      </c>
      <c r="H8561" s="64" t="s">
        <v>3022</v>
      </c>
      <c r="I8561" s="64" t="s">
        <v>3036</v>
      </c>
      <c r="J8561" s="67">
        <v>0</v>
      </c>
      <c r="K8561" s="62">
        <v>884.45</v>
      </c>
      <c r="L8561" s="33" t="e">
        <f>HLOOKUP(B8561,#REF!,1,0)</f>
        <v>#REF!</v>
      </c>
      <c r="M8561" s="33" t="str">
        <f t="shared" si="535"/>
        <v>P&amp;L</v>
      </c>
    </row>
    <row r="8562" spans="1:13">
      <c r="A8562" s="33" t="str">
        <f t="shared" si="532"/>
        <v>SCL - Operating Expense</v>
      </c>
      <c r="B8562" s="33" t="str">
        <f t="shared" si="533"/>
        <v>SCL</v>
      </c>
      <c r="C8562" s="33" t="str">
        <f t="shared" si="534"/>
        <v>61002-7381</v>
      </c>
      <c r="D8562" s="64" t="s">
        <v>9811</v>
      </c>
      <c r="E8562" s="64" t="s">
        <v>3067</v>
      </c>
      <c r="F8562" s="64" t="s">
        <v>15</v>
      </c>
      <c r="G8562" s="64" t="s">
        <v>3035</v>
      </c>
      <c r="H8562" s="64" t="s">
        <v>3022</v>
      </c>
      <c r="I8562" s="64" t="s">
        <v>3036</v>
      </c>
      <c r="J8562" s="67">
        <v>0</v>
      </c>
      <c r="K8562" s="62">
        <v>1076.12</v>
      </c>
      <c r="L8562" s="33" t="e">
        <f>HLOOKUP(B8562,#REF!,1,0)</f>
        <v>#REF!</v>
      </c>
      <c r="M8562" s="33" t="str">
        <f t="shared" si="535"/>
        <v>P&amp;L</v>
      </c>
    </row>
    <row r="8563" spans="1:13">
      <c r="A8563" s="33" t="str">
        <f t="shared" si="532"/>
        <v>SCL - Operating Expense</v>
      </c>
      <c r="B8563" s="33" t="str">
        <f t="shared" si="533"/>
        <v>SCL</v>
      </c>
      <c r="C8563" s="33" t="str">
        <f t="shared" si="534"/>
        <v>61002-7383</v>
      </c>
      <c r="D8563" s="64" t="s">
        <v>9812</v>
      </c>
      <c r="E8563" s="64" t="s">
        <v>3067</v>
      </c>
      <c r="F8563" s="64" t="s">
        <v>15</v>
      </c>
      <c r="G8563" s="64" t="s">
        <v>3035</v>
      </c>
      <c r="H8563" s="64" t="s">
        <v>3022</v>
      </c>
      <c r="I8563" s="64" t="s">
        <v>3036</v>
      </c>
      <c r="J8563" s="67">
        <v>0</v>
      </c>
      <c r="K8563" s="62">
        <v>1018.14</v>
      </c>
      <c r="L8563" s="33" t="e">
        <f>HLOOKUP(B8563,#REF!,1,0)</f>
        <v>#REF!</v>
      </c>
      <c r="M8563" s="33" t="str">
        <f t="shared" si="535"/>
        <v>P&amp;L</v>
      </c>
    </row>
    <row r="8564" spans="1:13">
      <c r="A8564" s="33" t="str">
        <f t="shared" si="532"/>
        <v>SCL - Operating Expense</v>
      </c>
      <c r="B8564" s="33" t="str">
        <f t="shared" si="533"/>
        <v>SCL</v>
      </c>
      <c r="C8564" s="33" t="str">
        <f t="shared" si="534"/>
        <v>61002-7385</v>
      </c>
      <c r="D8564" s="64" t="s">
        <v>9813</v>
      </c>
      <c r="E8564" s="64" t="s">
        <v>3067</v>
      </c>
      <c r="F8564" s="64" t="s">
        <v>15</v>
      </c>
      <c r="G8564" s="64" t="s">
        <v>3035</v>
      </c>
      <c r="H8564" s="64" t="s">
        <v>3022</v>
      </c>
      <c r="I8564" s="64" t="s">
        <v>3036</v>
      </c>
      <c r="J8564" s="67">
        <v>0</v>
      </c>
      <c r="K8564" s="62">
        <v>279.93</v>
      </c>
      <c r="L8564" s="33" t="e">
        <f>HLOOKUP(B8564,#REF!,1,0)</f>
        <v>#REF!</v>
      </c>
      <c r="M8564" s="33" t="str">
        <f t="shared" si="535"/>
        <v>P&amp;L</v>
      </c>
    </row>
    <row r="8565" spans="1:13">
      <c r="A8565" s="33" t="str">
        <f t="shared" si="532"/>
        <v>SCL - Operating Expense</v>
      </c>
      <c r="B8565" s="33" t="str">
        <f t="shared" si="533"/>
        <v>SCL</v>
      </c>
      <c r="C8565" s="33" t="str">
        <f t="shared" si="534"/>
        <v>61002-7386</v>
      </c>
      <c r="D8565" s="64" t="s">
        <v>9814</v>
      </c>
      <c r="E8565" s="64" t="s">
        <v>3067</v>
      </c>
      <c r="F8565" s="64" t="s">
        <v>15</v>
      </c>
      <c r="G8565" s="64" t="s">
        <v>3035</v>
      </c>
      <c r="H8565" s="64" t="s">
        <v>3022</v>
      </c>
      <c r="I8565" s="64" t="s">
        <v>3036</v>
      </c>
      <c r="J8565" s="67">
        <v>0</v>
      </c>
      <c r="K8565" s="62">
        <v>389.78</v>
      </c>
      <c r="L8565" s="33" t="e">
        <f>HLOOKUP(B8565,#REF!,1,0)</f>
        <v>#REF!</v>
      </c>
      <c r="M8565" s="33" t="str">
        <f t="shared" si="535"/>
        <v>P&amp;L</v>
      </c>
    </row>
    <row r="8566" spans="1:13">
      <c r="A8566" s="33" t="str">
        <f t="shared" si="532"/>
        <v>SCL - Operating Expense</v>
      </c>
      <c r="B8566" s="33" t="str">
        <f t="shared" si="533"/>
        <v>SCL</v>
      </c>
      <c r="C8566" s="33" t="str">
        <f t="shared" si="534"/>
        <v>61002-7387</v>
      </c>
      <c r="D8566" s="64" t="s">
        <v>9815</v>
      </c>
      <c r="E8566" s="64" t="s">
        <v>3067</v>
      </c>
      <c r="F8566" s="64" t="s">
        <v>15</v>
      </c>
      <c r="G8566" s="64" t="s">
        <v>3035</v>
      </c>
      <c r="H8566" s="64" t="s">
        <v>3022</v>
      </c>
      <c r="I8566" s="64" t="s">
        <v>3036</v>
      </c>
      <c r="J8566" s="67">
        <v>0</v>
      </c>
      <c r="K8566" s="62">
        <v>392.38</v>
      </c>
      <c r="L8566" s="33" t="e">
        <f>HLOOKUP(B8566,#REF!,1,0)</f>
        <v>#REF!</v>
      </c>
      <c r="M8566" s="33" t="str">
        <f t="shared" si="535"/>
        <v>P&amp;L</v>
      </c>
    </row>
    <row r="8567" spans="1:13">
      <c r="A8567" s="33" t="str">
        <f t="shared" si="532"/>
        <v>SCL - Operating Expense</v>
      </c>
      <c r="B8567" s="33" t="str">
        <f t="shared" si="533"/>
        <v>SCL</v>
      </c>
      <c r="C8567" s="33" t="str">
        <f t="shared" si="534"/>
        <v>61002-7389</v>
      </c>
      <c r="D8567" s="64" t="s">
        <v>9816</v>
      </c>
      <c r="E8567" s="64" t="s">
        <v>3067</v>
      </c>
      <c r="F8567" s="64" t="s">
        <v>15</v>
      </c>
      <c r="G8567" s="64" t="s">
        <v>3035</v>
      </c>
      <c r="H8567" s="64" t="s">
        <v>3022</v>
      </c>
      <c r="I8567" s="64" t="s">
        <v>3036</v>
      </c>
      <c r="J8567" s="67">
        <v>0</v>
      </c>
      <c r="K8567" s="62">
        <v>154.66</v>
      </c>
      <c r="L8567" s="33" t="e">
        <f>HLOOKUP(B8567,#REF!,1,0)</f>
        <v>#REF!</v>
      </c>
      <c r="M8567" s="33" t="str">
        <f t="shared" si="535"/>
        <v>P&amp;L</v>
      </c>
    </row>
    <row r="8568" spans="1:13">
      <c r="A8568" s="33" t="str">
        <f t="shared" si="532"/>
        <v>SCL - Operating Expense</v>
      </c>
      <c r="B8568" s="33" t="str">
        <f t="shared" si="533"/>
        <v>SCL</v>
      </c>
      <c r="C8568" s="33" t="str">
        <f t="shared" si="534"/>
        <v>61002-7391</v>
      </c>
      <c r="D8568" s="64" t="s">
        <v>9817</v>
      </c>
      <c r="E8568" s="64" t="s">
        <v>3067</v>
      </c>
      <c r="F8568" s="64" t="s">
        <v>15</v>
      </c>
      <c r="G8568" s="64" t="s">
        <v>3035</v>
      </c>
      <c r="H8568" s="64" t="s">
        <v>3022</v>
      </c>
      <c r="I8568" s="64" t="s">
        <v>3036</v>
      </c>
      <c r="J8568" s="67">
        <v>0</v>
      </c>
      <c r="K8568" s="62">
        <v>372.21</v>
      </c>
      <c r="L8568" s="33" t="e">
        <f>HLOOKUP(B8568,#REF!,1,0)</f>
        <v>#REF!</v>
      </c>
      <c r="M8568" s="33" t="str">
        <f t="shared" si="535"/>
        <v>P&amp;L</v>
      </c>
    </row>
    <row r="8569" spans="1:13">
      <c r="A8569" s="33" t="str">
        <f t="shared" si="532"/>
        <v>SCL - Operating Expense</v>
      </c>
      <c r="B8569" s="33" t="str">
        <f t="shared" si="533"/>
        <v>SCL</v>
      </c>
      <c r="C8569" s="33" t="str">
        <f t="shared" si="534"/>
        <v>61002-7394</v>
      </c>
      <c r="D8569" s="64" t="s">
        <v>9818</v>
      </c>
      <c r="E8569" s="64" t="s">
        <v>3067</v>
      </c>
      <c r="F8569" s="64" t="s">
        <v>15</v>
      </c>
      <c r="G8569" s="64" t="s">
        <v>3035</v>
      </c>
      <c r="H8569" s="64" t="s">
        <v>3022</v>
      </c>
      <c r="I8569" s="64" t="s">
        <v>3036</v>
      </c>
      <c r="J8569" s="67">
        <v>0</v>
      </c>
      <c r="K8569" s="62">
        <v>196.43</v>
      </c>
      <c r="L8569" s="33" t="e">
        <f>HLOOKUP(B8569,#REF!,1,0)</f>
        <v>#REF!</v>
      </c>
      <c r="M8569" s="33" t="str">
        <f t="shared" si="535"/>
        <v>P&amp;L</v>
      </c>
    </row>
    <row r="8570" spans="1:13">
      <c r="A8570" s="33" t="str">
        <f t="shared" si="532"/>
        <v>SCL - Operating Expense</v>
      </c>
      <c r="B8570" s="33" t="str">
        <f t="shared" si="533"/>
        <v>SCL</v>
      </c>
      <c r="C8570" s="33" t="str">
        <f t="shared" si="534"/>
        <v>61002-7396</v>
      </c>
      <c r="D8570" s="64" t="s">
        <v>9819</v>
      </c>
      <c r="E8570" s="64" t="s">
        <v>3067</v>
      </c>
      <c r="F8570" s="64" t="s">
        <v>15</v>
      </c>
      <c r="G8570" s="64" t="s">
        <v>3035</v>
      </c>
      <c r="H8570" s="64" t="s">
        <v>3022</v>
      </c>
      <c r="I8570" s="64" t="s">
        <v>3036</v>
      </c>
      <c r="J8570" s="67">
        <v>0</v>
      </c>
      <c r="K8570" s="62">
        <v>534.04</v>
      </c>
      <c r="L8570" s="33" t="e">
        <f>HLOOKUP(B8570,#REF!,1,0)</f>
        <v>#REF!</v>
      </c>
      <c r="M8570" s="33" t="str">
        <f t="shared" si="535"/>
        <v>P&amp;L</v>
      </c>
    </row>
    <row r="8571" spans="1:13">
      <c r="A8571" s="33" t="str">
        <f t="shared" si="532"/>
        <v>SCL - Operating Expense</v>
      </c>
      <c r="B8571" s="33" t="str">
        <f t="shared" si="533"/>
        <v>SCL</v>
      </c>
      <c r="C8571" s="33" t="str">
        <f t="shared" si="534"/>
        <v>61002-7397</v>
      </c>
      <c r="D8571" s="64" t="s">
        <v>9820</v>
      </c>
      <c r="E8571" s="64" t="s">
        <v>3067</v>
      </c>
      <c r="F8571" s="64" t="s">
        <v>15</v>
      </c>
      <c r="G8571" s="64" t="s">
        <v>3035</v>
      </c>
      <c r="H8571" s="64" t="s">
        <v>3022</v>
      </c>
      <c r="I8571" s="64" t="s">
        <v>3036</v>
      </c>
      <c r="J8571" s="67">
        <v>0</v>
      </c>
      <c r="K8571" s="62">
        <v>239.99</v>
      </c>
      <c r="L8571" s="33" t="e">
        <f>HLOOKUP(B8571,#REF!,1,0)</f>
        <v>#REF!</v>
      </c>
      <c r="M8571" s="33" t="str">
        <f t="shared" si="535"/>
        <v>P&amp;L</v>
      </c>
    </row>
    <row r="8572" spans="1:13">
      <c r="A8572" s="33" t="str">
        <f t="shared" si="532"/>
        <v>SCL - Operating Expense</v>
      </c>
      <c r="B8572" s="33" t="str">
        <f t="shared" si="533"/>
        <v>SCL</v>
      </c>
      <c r="C8572" s="33" t="str">
        <f t="shared" si="534"/>
        <v>61002-7400</v>
      </c>
      <c r="D8572" s="64" t="s">
        <v>9821</v>
      </c>
      <c r="E8572" s="64" t="s">
        <v>3067</v>
      </c>
      <c r="F8572" s="64" t="s">
        <v>15</v>
      </c>
      <c r="G8572" s="64" t="s">
        <v>3035</v>
      </c>
      <c r="H8572" s="64" t="s">
        <v>3022</v>
      </c>
      <c r="I8572" s="64" t="s">
        <v>3036</v>
      </c>
      <c r="J8572" s="67">
        <v>0</v>
      </c>
      <c r="K8572" s="62">
        <v>100.75</v>
      </c>
      <c r="L8572" s="33" t="e">
        <f>HLOOKUP(B8572,#REF!,1,0)</f>
        <v>#REF!</v>
      </c>
      <c r="M8572" s="33" t="str">
        <f t="shared" si="535"/>
        <v>P&amp;L</v>
      </c>
    </row>
    <row r="8573" spans="1:13">
      <c r="A8573" s="33" t="str">
        <f t="shared" si="532"/>
        <v>SCL - Operating Expense</v>
      </c>
      <c r="B8573" s="33" t="str">
        <f t="shared" si="533"/>
        <v>SCL</v>
      </c>
      <c r="C8573" s="33" t="str">
        <f t="shared" si="534"/>
        <v>61002-7401</v>
      </c>
      <c r="D8573" s="64" t="s">
        <v>9822</v>
      </c>
      <c r="E8573" s="64" t="s">
        <v>3067</v>
      </c>
      <c r="F8573" s="64" t="s">
        <v>15</v>
      </c>
      <c r="G8573" s="64" t="s">
        <v>3035</v>
      </c>
      <c r="H8573" s="64" t="s">
        <v>3022</v>
      </c>
      <c r="I8573" s="64" t="s">
        <v>3036</v>
      </c>
      <c r="J8573" s="67">
        <v>0</v>
      </c>
      <c r="K8573" s="62">
        <v>442.23</v>
      </c>
      <c r="L8573" s="33" t="e">
        <f>HLOOKUP(B8573,#REF!,1,0)</f>
        <v>#REF!</v>
      </c>
      <c r="M8573" s="33" t="str">
        <f t="shared" si="535"/>
        <v>P&amp;L</v>
      </c>
    </row>
    <row r="8574" spans="1:13">
      <c r="A8574" s="33" t="str">
        <f t="shared" si="532"/>
        <v>SCL - Operating Expense</v>
      </c>
      <c r="B8574" s="33" t="str">
        <f t="shared" si="533"/>
        <v>SCL</v>
      </c>
      <c r="C8574" s="33" t="str">
        <f t="shared" si="534"/>
        <v>61002-7489</v>
      </c>
      <c r="D8574" s="64" t="s">
        <v>9823</v>
      </c>
      <c r="E8574" s="64" t="s">
        <v>3067</v>
      </c>
      <c r="F8574" s="64" t="s">
        <v>15</v>
      </c>
      <c r="G8574" s="64" t="s">
        <v>3035</v>
      </c>
      <c r="H8574" s="64" t="s">
        <v>3022</v>
      </c>
      <c r="I8574" s="64" t="s">
        <v>3036</v>
      </c>
      <c r="J8574" s="67">
        <v>0</v>
      </c>
      <c r="K8574" s="62">
        <v>452.97</v>
      </c>
      <c r="L8574" s="33" t="e">
        <f>HLOOKUP(B8574,#REF!,1,0)</f>
        <v>#REF!</v>
      </c>
      <c r="M8574" s="33" t="str">
        <f t="shared" si="535"/>
        <v>P&amp;L</v>
      </c>
    </row>
    <row r="8575" spans="1:13">
      <c r="A8575" s="33" t="str">
        <f t="shared" si="532"/>
        <v>SCL - Operating Expense</v>
      </c>
      <c r="B8575" s="33" t="str">
        <f t="shared" si="533"/>
        <v>SCL</v>
      </c>
      <c r="C8575" s="33" t="str">
        <f t="shared" si="534"/>
        <v>61002-7491</v>
      </c>
      <c r="D8575" s="64" t="s">
        <v>9824</v>
      </c>
      <c r="E8575" s="64" t="s">
        <v>3067</v>
      </c>
      <c r="F8575" s="64" t="s">
        <v>15</v>
      </c>
      <c r="G8575" s="64" t="s">
        <v>3035</v>
      </c>
      <c r="H8575" s="64" t="s">
        <v>3022</v>
      </c>
      <c r="I8575" s="64" t="s">
        <v>3036</v>
      </c>
      <c r="J8575" s="67">
        <v>0</v>
      </c>
      <c r="K8575" s="62">
        <v>1072.34</v>
      </c>
      <c r="L8575" s="33" t="e">
        <f>HLOOKUP(B8575,#REF!,1,0)</f>
        <v>#REF!</v>
      </c>
      <c r="M8575" s="33" t="str">
        <f t="shared" si="535"/>
        <v>P&amp;L</v>
      </c>
    </row>
    <row r="8576" spans="1:13">
      <c r="A8576" s="33" t="str">
        <f t="shared" si="532"/>
        <v>SCL - Operating Expense</v>
      </c>
      <c r="B8576" s="33" t="str">
        <f t="shared" si="533"/>
        <v>SCL</v>
      </c>
      <c r="C8576" s="33" t="str">
        <f t="shared" si="534"/>
        <v>61002-7492</v>
      </c>
      <c r="D8576" s="64" t="s">
        <v>9825</v>
      </c>
      <c r="E8576" s="64" t="s">
        <v>3067</v>
      </c>
      <c r="F8576" s="64" t="s">
        <v>15</v>
      </c>
      <c r="G8576" s="64" t="s">
        <v>3035</v>
      </c>
      <c r="H8576" s="64" t="s">
        <v>3022</v>
      </c>
      <c r="I8576" s="64" t="s">
        <v>3036</v>
      </c>
      <c r="J8576" s="67">
        <v>0</v>
      </c>
      <c r="K8576" s="62">
        <v>1113.31</v>
      </c>
      <c r="L8576" s="33" t="e">
        <f>HLOOKUP(B8576,#REF!,1,0)</f>
        <v>#REF!</v>
      </c>
      <c r="M8576" s="33" t="str">
        <f t="shared" si="535"/>
        <v>P&amp;L</v>
      </c>
    </row>
    <row r="8577" spans="1:13">
      <c r="A8577" s="33" t="str">
        <f t="shared" si="532"/>
        <v>SCL - Operating Expense</v>
      </c>
      <c r="B8577" s="33" t="str">
        <f t="shared" si="533"/>
        <v>SCL</v>
      </c>
      <c r="C8577" s="33" t="str">
        <f t="shared" si="534"/>
        <v>61002-7493</v>
      </c>
      <c r="D8577" s="64" t="s">
        <v>9826</v>
      </c>
      <c r="E8577" s="64" t="s">
        <v>3067</v>
      </c>
      <c r="F8577" s="64" t="s">
        <v>15</v>
      </c>
      <c r="G8577" s="64" t="s">
        <v>3035</v>
      </c>
      <c r="H8577" s="64" t="s">
        <v>3022</v>
      </c>
      <c r="I8577" s="64" t="s">
        <v>3036</v>
      </c>
      <c r="J8577" s="67">
        <v>0</v>
      </c>
      <c r="K8577" s="62">
        <v>4060.23</v>
      </c>
      <c r="L8577" s="33" t="e">
        <f>HLOOKUP(B8577,#REF!,1,0)</f>
        <v>#REF!</v>
      </c>
      <c r="M8577" s="33" t="str">
        <f t="shared" si="535"/>
        <v>P&amp;L</v>
      </c>
    </row>
    <row r="8578" spans="1:13">
      <c r="A8578" s="33" t="str">
        <f t="shared" ref="A8578:A8641" si="536">B8578&amp;" - "&amp;TRIM(H8578)</f>
        <v>SCL - Operating Expense</v>
      </c>
      <c r="B8578" s="33" t="str">
        <f t="shared" ref="B8578:B8641" si="537">LEFT(D8578,3)</f>
        <v>SCL</v>
      </c>
      <c r="C8578" s="33" t="str">
        <f t="shared" ref="C8578:C8641" si="538">RIGHT(D8578,10)</f>
        <v>61002-7494</v>
      </c>
      <c r="D8578" s="64" t="s">
        <v>9827</v>
      </c>
      <c r="E8578" s="64" t="s">
        <v>3067</v>
      </c>
      <c r="F8578" s="64" t="s">
        <v>15</v>
      </c>
      <c r="G8578" s="64" t="s">
        <v>3035</v>
      </c>
      <c r="H8578" s="64" t="s">
        <v>3022</v>
      </c>
      <c r="I8578" s="64" t="s">
        <v>3036</v>
      </c>
      <c r="J8578" s="67">
        <v>0</v>
      </c>
      <c r="K8578" s="62">
        <v>318.64</v>
      </c>
      <c r="L8578" s="33" t="e">
        <f>HLOOKUP(B8578,#REF!,1,0)</f>
        <v>#REF!</v>
      </c>
      <c r="M8578" s="33" t="str">
        <f t="shared" ref="M8578:M8641" si="539">IF(VALUE(LEFT(C8578,5))&gt;40000,"P&amp;L","BS")</f>
        <v>P&amp;L</v>
      </c>
    </row>
    <row r="8579" spans="1:13">
      <c r="A8579" s="33" t="str">
        <f t="shared" si="536"/>
        <v>SCL - Operating Expense</v>
      </c>
      <c r="B8579" s="33" t="str">
        <f t="shared" si="537"/>
        <v>SCL</v>
      </c>
      <c r="C8579" s="33" t="str">
        <f t="shared" si="538"/>
        <v>61002-7625</v>
      </c>
      <c r="D8579" s="64" t="s">
        <v>9828</v>
      </c>
      <c r="E8579" s="64" t="s">
        <v>3067</v>
      </c>
      <c r="F8579" s="64" t="s">
        <v>15</v>
      </c>
      <c r="G8579" s="64" t="s">
        <v>3035</v>
      </c>
      <c r="H8579" s="64" t="s">
        <v>3022</v>
      </c>
      <c r="I8579" s="64" t="s">
        <v>3036</v>
      </c>
      <c r="J8579" s="67">
        <v>0</v>
      </c>
      <c r="K8579" s="62">
        <v>648.81</v>
      </c>
      <c r="L8579" s="33" t="e">
        <f>HLOOKUP(B8579,#REF!,1,0)</f>
        <v>#REF!</v>
      </c>
      <c r="M8579" s="33" t="str">
        <f t="shared" si="539"/>
        <v>P&amp;L</v>
      </c>
    </row>
    <row r="8580" spans="1:13">
      <c r="A8580" s="33" t="str">
        <f t="shared" si="536"/>
        <v>SCL - Operating Expense</v>
      </c>
      <c r="B8580" s="33" t="str">
        <f t="shared" si="537"/>
        <v>SCL</v>
      </c>
      <c r="C8580" s="33" t="str">
        <f t="shared" si="538"/>
        <v>61002-8150</v>
      </c>
      <c r="D8580" s="64" t="s">
        <v>9829</v>
      </c>
      <c r="E8580" s="64" t="s">
        <v>3067</v>
      </c>
      <c r="F8580" s="64" t="s">
        <v>15</v>
      </c>
      <c r="G8580" s="64" t="s">
        <v>3035</v>
      </c>
      <c r="H8580" s="64" t="s">
        <v>3022</v>
      </c>
      <c r="I8580" s="64" t="s">
        <v>3036</v>
      </c>
      <c r="J8580" s="67">
        <v>0</v>
      </c>
      <c r="K8580" s="62">
        <v>1193.4</v>
      </c>
      <c r="L8580" s="33" t="e">
        <f>HLOOKUP(B8580,#REF!,1,0)</f>
        <v>#REF!</v>
      </c>
      <c r="M8580" s="33" t="str">
        <f t="shared" si="539"/>
        <v>P&amp;L</v>
      </c>
    </row>
    <row r="8581" spans="1:13">
      <c r="A8581" s="33" t="str">
        <f t="shared" si="536"/>
        <v>SCL - Operating Expense</v>
      </c>
      <c r="B8581" s="33" t="str">
        <f t="shared" si="537"/>
        <v>SCL</v>
      </c>
      <c r="C8581" s="33" t="str">
        <f t="shared" si="538"/>
        <v>61201-7351</v>
      </c>
      <c r="D8581" s="64" t="s">
        <v>9830</v>
      </c>
      <c r="E8581" s="64" t="s">
        <v>3073</v>
      </c>
      <c r="F8581" s="64" t="s">
        <v>15</v>
      </c>
      <c r="G8581" s="64" t="s">
        <v>3035</v>
      </c>
      <c r="H8581" s="64" t="s">
        <v>3022</v>
      </c>
      <c r="I8581" s="64" t="s">
        <v>3074</v>
      </c>
      <c r="J8581" s="67">
        <v>119.35</v>
      </c>
      <c r="K8581" s="62">
        <v>2667.47</v>
      </c>
      <c r="L8581" s="33" t="e">
        <f>HLOOKUP(B8581,#REF!,1,0)</f>
        <v>#REF!</v>
      </c>
      <c r="M8581" s="33" t="str">
        <f t="shared" si="539"/>
        <v>P&amp;L</v>
      </c>
    </row>
    <row r="8582" spans="1:13">
      <c r="A8582" s="33" t="str">
        <f t="shared" si="536"/>
        <v>SCL - Operating Expense</v>
      </c>
      <c r="B8582" s="33" t="str">
        <f t="shared" si="537"/>
        <v>SCL</v>
      </c>
      <c r="C8582" s="33" t="str">
        <f t="shared" si="538"/>
        <v>61201-7352</v>
      </c>
      <c r="D8582" s="64" t="s">
        <v>9831</v>
      </c>
      <c r="E8582" s="64" t="s">
        <v>3073</v>
      </c>
      <c r="F8582" s="64" t="s">
        <v>15</v>
      </c>
      <c r="G8582" s="64" t="s">
        <v>3035</v>
      </c>
      <c r="H8582" s="64" t="s">
        <v>3022</v>
      </c>
      <c r="I8582" s="64" t="s">
        <v>3074</v>
      </c>
      <c r="J8582" s="67">
        <v>120.17</v>
      </c>
      <c r="K8582" s="62">
        <v>2675.67</v>
      </c>
      <c r="L8582" s="33" t="e">
        <f>HLOOKUP(B8582,#REF!,1,0)</f>
        <v>#REF!</v>
      </c>
      <c r="M8582" s="33" t="str">
        <f t="shared" si="539"/>
        <v>P&amp;L</v>
      </c>
    </row>
    <row r="8583" spans="1:13">
      <c r="A8583" s="33" t="str">
        <f t="shared" si="536"/>
        <v>SCL - Operating Expense</v>
      </c>
      <c r="B8583" s="33" t="str">
        <f t="shared" si="537"/>
        <v>SCL</v>
      </c>
      <c r="C8583" s="33" t="str">
        <f t="shared" si="538"/>
        <v>61201-7355</v>
      </c>
      <c r="D8583" s="64" t="s">
        <v>9832</v>
      </c>
      <c r="E8583" s="64" t="s">
        <v>3073</v>
      </c>
      <c r="F8583" s="64" t="s">
        <v>15</v>
      </c>
      <c r="G8583" s="64" t="s">
        <v>3035</v>
      </c>
      <c r="H8583" s="64" t="s">
        <v>3022</v>
      </c>
      <c r="I8583" s="64" t="s">
        <v>3074</v>
      </c>
      <c r="J8583" s="67">
        <v>119.35</v>
      </c>
      <c r="K8583" s="62">
        <v>2667.45</v>
      </c>
      <c r="L8583" s="33" t="e">
        <f>HLOOKUP(B8583,#REF!,1,0)</f>
        <v>#REF!</v>
      </c>
      <c r="M8583" s="33" t="str">
        <f t="shared" si="539"/>
        <v>P&amp;L</v>
      </c>
    </row>
    <row r="8584" spans="1:13">
      <c r="A8584" s="33" t="str">
        <f t="shared" si="536"/>
        <v>SCL - Operating Expense</v>
      </c>
      <c r="B8584" s="33" t="str">
        <f t="shared" si="537"/>
        <v>SCL</v>
      </c>
      <c r="C8584" s="33" t="str">
        <f t="shared" si="538"/>
        <v>61201-7356</v>
      </c>
      <c r="D8584" s="64" t="s">
        <v>9833</v>
      </c>
      <c r="E8584" s="64" t="s">
        <v>3073</v>
      </c>
      <c r="F8584" s="64" t="s">
        <v>15</v>
      </c>
      <c r="G8584" s="64" t="s">
        <v>3035</v>
      </c>
      <c r="H8584" s="64" t="s">
        <v>3022</v>
      </c>
      <c r="I8584" s="64" t="s">
        <v>3074</v>
      </c>
      <c r="J8584" s="67">
        <v>0</v>
      </c>
      <c r="K8584" s="62">
        <v>242.56</v>
      </c>
      <c r="L8584" s="33" t="e">
        <f>HLOOKUP(B8584,#REF!,1,0)</f>
        <v>#REF!</v>
      </c>
      <c r="M8584" s="33" t="str">
        <f t="shared" si="539"/>
        <v>P&amp;L</v>
      </c>
    </row>
    <row r="8585" spans="1:13">
      <c r="A8585" s="33" t="str">
        <f t="shared" si="536"/>
        <v>SCL - Operating Expense</v>
      </c>
      <c r="B8585" s="33" t="str">
        <f t="shared" si="537"/>
        <v>SCL</v>
      </c>
      <c r="C8585" s="33" t="str">
        <f t="shared" si="538"/>
        <v>61201-7359</v>
      </c>
      <c r="D8585" s="64" t="s">
        <v>9834</v>
      </c>
      <c r="E8585" s="64" t="s">
        <v>3073</v>
      </c>
      <c r="F8585" s="64" t="s">
        <v>15</v>
      </c>
      <c r="G8585" s="64" t="s">
        <v>3035</v>
      </c>
      <c r="H8585" s="64" t="s">
        <v>3022</v>
      </c>
      <c r="I8585" s="64" t="s">
        <v>3074</v>
      </c>
      <c r="J8585" s="67">
        <v>119.35</v>
      </c>
      <c r="K8585" s="62">
        <v>2667.45</v>
      </c>
      <c r="L8585" s="33" t="e">
        <f>HLOOKUP(B8585,#REF!,1,0)</f>
        <v>#REF!</v>
      </c>
      <c r="M8585" s="33" t="str">
        <f t="shared" si="539"/>
        <v>P&amp;L</v>
      </c>
    </row>
    <row r="8586" spans="1:13">
      <c r="A8586" s="33" t="str">
        <f t="shared" si="536"/>
        <v>SCL - Operating Expense</v>
      </c>
      <c r="B8586" s="33" t="str">
        <f t="shared" si="537"/>
        <v>SCL</v>
      </c>
      <c r="C8586" s="33" t="str">
        <f t="shared" si="538"/>
        <v>61201-7360</v>
      </c>
      <c r="D8586" s="64" t="s">
        <v>9835</v>
      </c>
      <c r="E8586" s="64" t="s">
        <v>3073</v>
      </c>
      <c r="F8586" s="64" t="s">
        <v>15</v>
      </c>
      <c r="G8586" s="64" t="s">
        <v>3035</v>
      </c>
      <c r="H8586" s="64" t="s">
        <v>3022</v>
      </c>
      <c r="I8586" s="64" t="s">
        <v>3074</v>
      </c>
      <c r="J8586" s="67">
        <v>120.17</v>
      </c>
      <c r="K8586" s="62">
        <v>2800.65</v>
      </c>
      <c r="L8586" s="33" t="e">
        <f>HLOOKUP(B8586,#REF!,1,0)</f>
        <v>#REF!</v>
      </c>
      <c r="M8586" s="33" t="str">
        <f t="shared" si="539"/>
        <v>P&amp;L</v>
      </c>
    </row>
    <row r="8587" spans="1:13">
      <c r="A8587" s="33" t="str">
        <f t="shared" si="536"/>
        <v>SCL - Operating Expense</v>
      </c>
      <c r="B8587" s="33" t="str">
        <f t="shared" si="537"/>
        <v>SCL</v>
      </c>
      <c r="C8587" s="33" t="str">
        <f t="shared" si="538"/>
        <v>61201-7361</v>
      </c>
      <c r="D8587" s="64" t="s">
        <v>9836</v>
      </c>
      <c r="E8587" s="64" t="s">
        <v>3073</v>
      </c>
      <c r="F8587" s="64" t="s">
        <v>15</v>
      </c>
      <c r="G8587" s="64" t="s">
        <v>3035</v>
      </c>
      <c r="H8587" s="64" t="s">
        <v>3022</v>
      </c>
      <c r="I8587" s="64" t="s">
        <v>3074</v>
      </c>
      <c r="J8587" s="67">
        <v>119.35</v>
      </c>
      <c r="K8587" s="62">
        <v>2667.45</v>
      </c>
      <c r="L8587" s="33" t="e">
        <f>HLOOKUP(B8587,#REF!,1,0)</f>
        <v>#REF!</v>
      </c>
      <c r="M8587" s="33" t="str">
        <f t="shared" si="539"/>
        <v>P&amp;L</v>
      </c>
    </row>
    <row r="8588" spans="1:13">
      <c r="A8588" s="33" t="str">
        <f t="shared" si="536"/>
        <v>SCL - Operating Expense</v>
      </c>
      <c r="B8588" s="33" t="str">
        <f t="shared" si="537"/>
        <v>SCL</v>
      </c>
      <c r="C8588" s="33" t="str">
        <f t="shared" si="538"/>
        <v>61201-7362</v>
      </c>
      <c r="D8588" s="64" t="s">
        <v>9837</v>
      </c>
      <c r="E8588" s="64" t="s">
        <v>3073</v>
      </c>
      <c r="F8588" s="64" t="s">
        <v>15</v>
      </c>
      <c r="G8588" s="64" t="s">
        <v>3035</v>
      </c>
      <c r="H8588" s="64" t="s">
        <v>3022</v>
      </c>
      <c r="I8588" s="64" t="s">
        <v>3074</v>
      </c>
      <c r="J8588" s="67">
        <v>120.17</v>
      </c>
      <c r="K8588" s="62">
        <v>2675.65</v>
      </c>
      <c r="L8588" s="33" t="e">
        <f>HLOOKUP(B8588,#REF!,1,0)</f>
        <v>#REF!</v>
      </c>
      <c r="M8588" s="33" t="str">
        <f t="shared" si="539"/>
        <v>P&amp;L</v>
      </c>
    </row>
    <row r="8589" spans="1:13">
      <c r="A8589" s="33" t="str">
        <f t="shared" si="536"/>
        <v>SCL - Operating Expense</v>
      </c>
      <c r="B8589" s="33" t="str">
        <f t="shared" si="537"/>
        <v>SCL</v>
      </c>
      <c r="C8589" s="33" t="str">
        <f t="shared" si="538"/>
        <v>61201-7363</v>
      </c>
      <c r="D8589" s="64" t="s">
        <v>9838</v>
      </c>
      <c r="E8589" s="64" t="s">
        <v>3073</v>
      </c>
      <c r="F8589" s="64" t="s">
        <v>15</v>
      </c>
      <c r="G8589" s="64" t="s">
        <v>3035</v>
      </c>
      <c r="H8589" s="64" t="s">
        <v>3022</v>
      </c>
      <c r="I8589" s="64" t="s">
        <v>3074</v>
      </c>
      <c r="J8589" s="67">
        <v>119.35</v>
      </c>
      <c r="K8589" s="62">
        <v>2786.8</v>
      </c>
      <c r="L8589" s="33" t="e">
        <f>HLOOKUP(B8589,#REF!,1,0)</f>
        <v>#REF!</v>
      </c>
      <c r="M8589" s="33" t="str">
        <f t="shared" si="539"/>
        <v>P&amp;L</v>
      </c>
    </row>
    <row r="8590" spans="1:13">
      <c r="A8590" s="33" t="str">
        <f t="shared" si="536"/>
        <v>SCL - Operating Expense</v>
      </c>
      <c r="B8590" s="33" t="str">
        <f t="shared" si="537"/>
        <v>SCL</v>
      </c>
      <c r="C8590" s="33" t="str">
        <f t="shared" si="538"/>
        <v>61201-7364</v>
      </c>
      <c r="D8590" s="64" t="s">
        <v>9839</v>
      </c>
      <c r="E8590" s="64" t="s">
        <v>3073</v>
      </c>
      <c r="F8590" s="64" t="s">
        <v>15</v>
      </c>
      <c r="G8590" s="64" t="s">
        <v>3035</v>
      </c>
      <c r="H8590" s="64" t="s">
        <v>3022</v>
      </c>
      <c r="I8590" s="64" t="s">
        <v>3074</v>
      </c>
      <c r="J8590" s="67">
        <v>119.35</v>
      </c>
      <c r="K8590" s="62">
        <v>2667.45</v>
      </c>
      <c r="L8590" s="33" t="e">
        <f>HLOOKUP(B8590,#REF!,1,0)</f>
        <v>#REF!</v>
      </c>
      <c r="M8590" s="33" t="str">
        <f t="shared" si="539"/>
        <v>P&amp;L</v>
      </c>
    </row>
    <row r="8591" spans="1:13">
      <c r="A8591" s="33" t="str">
        <f t="shared" si="536"/>
        <v>SCL - Operating Expense</v>
      </c>
      <c r="B8591" s="33" t="str">
        <f t="shared" si="537"/>
        <v>SCL</v>
      </c>
      <c r="C8591" s="33" t="str">
        <f t="shared" si="538"/>
        <v>61201-7365</v>
      </c>
      <c r="D8591" s="64" t="s">
        <v>9840</v>
      </c>
      <c r="E8591" s="64" t="s">
        <v>3073</v>
      </c>
      <c r="F8591" s="64" t="s">
        <v>15</v>
      </c>
      <c r="G8591" s="64" t="s">
        <v>3035</v>
      </c>
      <c r="H8591" s="64" t="s">
        <v>3022</v>
      </c>
      <c r="I8591" s="64" t="s">
        <v>3074</v>
      </c>
      <c r="J8591" s="67">
        <v>120.17</v>
      </c>
      <c r="K8591" s="62">
        <v>2675.65</v>
      </c>
      <c r="L8591" s="33" t="e">
        <f>HLOOKUP(B8591,#REF!,1,0)</f>
        <v>#REF!</v>
      </c>
      <c r="M8591" s="33" t="str">
        <f t="shared" si="539"/>
        <v>P&amp;L</v>
      </c>
    </row>
    <row r="8592" spans="1:13">
      <c r="A8592" s="33" t="str">
        <f t="shared" si="536"/>
        <v>SCL - Operating Expense</v>
      </c>
      <c r="B8592" s="33" t="str">
        <f t="shared" si="537"/>
        <v>SCL</v>
      </c>
      <c r="C8592" s="33" t="str">
        <f t="shared" si="538"/>
        <v>61201-7366</v>
      </c>
      <c r="D8592" s="64" t="s">
        <v>9841</v>
      </c>
      <c r="E8592" s="64" t="s">
        <v>3073</v>
      </c>
      <c r="F8592" s="64" t="s">
        <v>15</v>
      </c>
      <c r="G8592" s="64" t="s">
        <v>3035</v>
      </c>
      <c r="H8592" s="64" t="s">
        <v>3022</v>
      </c>
      <c r="I8592" s="64" t="s">
        <v>3074</v>
      </c>
      <c r="J8592" s="67">
        <v>119.35</v>
      </c>
      <c r="K8592" s="62">
        <v>2854.95</v>
      </c>
      <c r="L8592" s="33" t="e">
        <f>HLOOKUP(B8592,#REF!,1,0)</f>
        <v>#REF!</v>
      </c>
      <c r="M8592" s="33" t="str">
        <f t="shared" si="539"/>
        <v>P&amp;L</v>
      </c>
    </row>
    <row r="8593" spans="1:13">
      <c r="A8593" s="33" t="str">
        <f t="shared" si="536"/>
        <v>SCL - Operating Expense</v>
      </c>
      <c r="B8593" s="33" t="str">
        <f t="shared" si="537"/>
        <v>SCL</v>
      </c>
      <c r="C8593" s="33" t="str">
        <f t="shared" si="538"/>
        <v>61201-7368</v>
      </c>
      <c r="D8593" s="64" t="s">
        <v>9842</v>
      </c>
      <c r="E8593" s="64" t="s">
        <v>3073</v>
      </c>
      <c r="F8593" s="64" t="s">
        <v>15</v>
      </c>
      <c r="G8593" s="64" t="s">
        <v>3035</v>
      </c>
      <c r="H8593" s="64" t="s">
        <v>3022</v>
      </c>
      <c r="I8593" s="64" t="s">
        <v>3074</v>
      </c>
      <c r="J8593" s="67">
        <v>119.35</v>
      </c>
      <c r="K8593" s="62">
        <v>4021.27</v>
      </c>
      <c r="L8593" s="33" t="e">
        <f>HLOOKUP(B8593,#REF!,1,0)</f>
        <v>#REF!</v>
      </c>
      <c r="M8593" s="33" t="str">
        <f t="shared" si="539"/>
        <v>P&amp;L</v>
      </c>
    </row>
    <row r="8594" spans="1:13">
      <c r="A8594" s="33" t="str">
        <f t="shared" si="536"/>
        <v>SCL - Operating Expense</v>
      </c>
      <c r="B8594" s="33" t="str">
        <f t="shared" si="537"/>
        <v>SCL</v>
      </c>
      <c r="C8594" s="33" t="str">
        <f t="shared" si="538"/>
        <v>61201-7369</v>
      </c>
      <c r="D8594" s="64" t="s">
        <v>9843</v>
      </c>
      <c r="E8594" s="64" t="s">
        <v>3073</v>
      </c>
      <c r="F8594" s="64" t="s">
        <v>15</v>
      </c>
      <c r="G8594" s="64" t="s">
        <v>3035</v>
      </c>
      <c r="H8594" s="64" t="s">
        <v>3022</v>
      </c>
      <c r="I8594" s="64" t="s">
        <v>3074</v>
      </c>
      <c r="J8594" s="67">
        <v>119.35</v>
      </c>
      <c r="K8594" s="62">
        <v>2667.45</v>
      </c>
      <c r="L8594" s="33" t="e">
        <f>HLOOKUP(B8594,#REF!,1,0)</f>
        <v>#REF!</v>
      </c>
      <c r="M8594" s="33" t="str">
        <f t="shared" si="539"/>
        <v>P&amp;L</v>
      </c>
    </row>
    <row r="8595" spans="1:13">
      <c r="A8595" s="33" t="str">
        <f t="shared" si="536"/>
        <v>SCL - Operating Expense</v>
      </c>
      <c r="B8595" s="33" t="str">
        <f t="shared" si="537"/>
        <v>SCL</v>
      </c>
      <c r="C8595" s="33" t="str">
        <f t="shared" si="538"/>
        <v>61201-7371</v>
      </c>
      <c r="D8595" s="64" t="s">
        <v>9844</v>
      </c>
      <c r="E8595" s="64" t="s">
        <v>3073</v>
      </c>
      <c r="F8595" s="64" t="s">
        <v>15</v>
      </c>
      <c r="G8595" s="64" t="s">
        <v>3035</v>
      </c>
      <c r="H8595" s="64" t="s">
        <v>3022</v>
      </c>
      <c r="I8595" s="64" t="s">
        <v>3074</v>
      </c>
      <c r="J8595" s="67">
        <v>119.35</v>
      </c>
      <c r="K8595" s="62">
        <v>2667.45</v>
      </c>
      <c r="L8595" s="33" t="e">
        <f>HLOOKUP(B8595,#REF!,1,0)</f>
        <v>#REF!</v>
      </c>
      <c r="M8595" s="33" t="str">
        <f t="shared" si="539"/>
        <v>P&amp;L</v>
      </c>
    </row>
    <row r="8596" spans="1:13">
      <c r="A8596" s="33" t="str">
        <f t="shared" si="536"/>
        <v>SCL - Operating Expense</v>
      </c>
      <c r="B8596" s="33" t="str">
        <f t="shared" si="537"/>
        <v>SCL</v>
      </c>
      <c r="C8596" s="33" t="str">
        <f t="shared" si="538"/>
        <v>61201-7374</v>
      </c>
      <c r="D8596" s="64" t="s">
        <v>9845</v>
      </c>
      <c r="E8596" s="64" t="s">
        <v>3073</v>
      </c>
      <c r="F8596" s="64" t="s">
        <v>15</v>
      </c>
      <c r="G8596" s="64" t="s">
        <v>3035</v>
      </c>
      <c r="H8596" s="64" t="s">
        <v>3022</v>
      </c>
      <c r="I8596" s="64" t="s">
        <v>3074</v>
      </c>
      <c r="J8596" s="67">
        <v>120.17</v>
      </c>
      <c r="K8596" s="62">
        <v>2675.65</v>
      </c>
      <c r="L8596" s="33" t="e">
        <f>HLOOKUP(B8596,#REF!,1,0)</f>
        <v>#REF!</v>
      </c>
      <c r="M8596" s="33" t="str">
        <f t="shared" si="539"/>
        <v>P&amp;L</v>
      </c>
    </row>
    <row r="8597" spans="1:13">
      <c r="A8597" s="33" t="str">
        <f t="shared" si="536"/>
        <v>SCL - Operating Expense</v>
      </c>
      <c r="B8597" s="33" t="str">
        <f t="shared" si="537"/>
        <v>SCL</v>
      </c>
      <c r="C8597" s="33" t="str">
        <f t="shared" si="538"/>
        <v>61201-7375</v>
      </c>
      <c r="D8597" s="64" t="s">
        <v>9846</v>
      </c>
      <c r="E8597" s="64" t="s">
        <v>3073</v>
      </c>
      <c r="F8597" s="64" t="s">
        <v>15</v>
      </c>
      <c r="G8597" s="64" t="s">
        <v>3035</v>
      </c>
      <c r="H8597" s="64" t="s">
        <v>3022</v>
      </c>
      <c r="I8597" s="64" t="s">
        <v>3074</v>
      </c>
      <c r="J8597" s="67">
        <v>120.17</v>
      </c>
      <c r="K8597" s="62">
        <v>2675.65</v>
      </c>
      <c r="L8597" s="33" t="e">
        <f>HLOOKUP(B8597,#REF!,1,0)</f>
        <v>#REF!</v>
      </c>
      <c r="M8597" s="33" t="str">
        <f t="shared" si="539"/>
        <v>P&amp;L</v>
      </c>
    </row>
    <row r="8598" spans="1:13">
      <c r="A8598" s="33" t="str">
        <f t="shared" si="536"/>
        <v>SCL - Operating Expense</v>
      </c>
      <c r="B8598" s="33" t="str">
        <f t="shared" si="537"/>
        <v>SCL</v>
      </c>
      <c r="C8598" s="33" t="str">
        <f t="shared" si="538"/>
        <v>61201-7376</v>
      </c>
      <c r="D8598" s="64" t="s">
        <v>9847</v>
      </c>
      <c r="E8598" s="64" t="s">
        <v>3073</v>
      </c>
      <c r="F8598" s="64" t="s">
        <v>15</v>
      </c>
      <c r="G8598" s="64" t="s">
        <v>3035</v>
      </c>
      <c r="H8598" s="64" t="s">
        <v>3022</v>
      </c>
      <c r="I8598" s="64" t="s">
        <v>3074</v>
      </c>
      <c r="J8598" s="67">
        <v>119.35</v>
      </c>
      <c r="K8598" s="62">
        <v>2667.45</v>
      </c>
      <c r="L8598" s="33" t="e">
        <f>HLOOKUP(B8598,#REF!,1,0)</f>
        <v>#REF!</v>
      </c>
      <c r="M8598" s="33" t="str">
        <f t="shared" si="539"/>
        <v>P&amp;L</v>
      </c>
    </row>
    <row r="8599" spans="1:13">
      <c r="A8599" s="33" t="str">
        <f t="shared" si="536"/>
        <v>SCL - Operating Expense</v>
      </c>
      <c r="B8599" s="33" t="str">
        <f t="shared" si="537"/>
        <v>SCL</v>
      </c>
      <c r="C8599" s="33" t="str">
        <f t="shared" si="538"/>
        <v>61201-7377</v>
      </c>
      <c r="D8599" s="64" t="s">
        <v>9848</v>
      </c>
      <c r="E8599" s="64" t="s">
        <v>3073</v>
      </c>
      <c r="F8599" s="64" t="s">
        <v>15</v>
      </c>
      <c r="G8599" s="64" t="s">
        <v>3035</v>
      </c>
      <c r="H8599" s="64" t="s">
        <v>3022</v>
      </c>
      <c r="I8599" s="64" t="s">
        <v>3074</v>
      </c>
      <c r="J8599" s="67">
        <v>119.35</v>
      </c>
      <c r="K8599" s="62">
        <v>2667.45</v>
      </c>
      <c r="L8599" s="33" t="e">
        <f>HLOOKUP(B8599,#REF!,1,0)</f>
        <v>#REF!</v>
      </c>
      <c r="M8599" s="33" t="str">
        <f t="shared" si="539"/>
        <v>P&amp;L</v>
      </c>
    </row>
    <row r="8600" spans="1:13">
      <c r="A8600" s="33" t="str">
        <f t="shared" si="536"/>
        <v>SCL - Operating Expense</v>
      </c>
      <c r="B8600" s="33" t="str">
        <f t="shared" si="537"/>
        <v>SCL</v>
      </c>
      <c r="C8600" s="33" t="str">
        <f t="shared" si="538"/>
        <v>61201-7378</v>
      </c>
      <c r="D8600" s="64" t="s">
        <v>9849</v>
      </c>
      <c r="E8600" s="64" t="s">
        <v>3073</v>
      </c>
      <c r="F8600" s="64" t="s">
        <v>15</v>
      </c>
      <c r="G8600" s="64" t="s">
        <v>3035</v>
      </c>
      <c r="H8600" s="64" t="s">
        <v>3022</v>
      </c>
      <c r="I8600" s="64" t="s">
        <v>3074</v>
      </c>
      <c r="J8600" s="67">
        <v>119.35</v>
      </c>
      <c r="K8600" s="62">
        <v>2667.45</v>
      </c>
      <c r="L8600" s="33" t="e">
        <f>HLOOKUP(B8600,#REF!,1,0)</f>
        <v>#REF!</v>
      </c>
      <c r="M8600" s="33" t="str">
        <f t="shared" si="539"/>
        <v>P&amp;L</v>
      </c>
    </row>
    <row r="8601" spans="1:13">
      <c r="A8601" s="33" t="str">
        <f t="shared" si="536"/>
        <v>SCL - Operating Expense</v>
      </c>
      <c r="B8601" s="33" t="str">
        <f t="shared" si="537"/>
        <v>SCL</v>
      </c>
      <c r="C8601" s="33" t="str">
        <f t="shared" si="538"/>
        <v>61201-7379</v>
      </c>
      <c r="D8601" s="64" t="s">
        <v>9850</v>
      </c>
      <c r="E8601" s="64" t="s">
        <v>3073</v>
      </c>
      <c r="F8601" s="64" t="s">
        <v>15</v>
      </c>
      <c r="G8601" s="64" t="s">
        <v>3035</v>
      </c>
      <c r="H8601" s="64" t="s">
        <v>3022</v>
      </c>
      <c r="I8601" s="64" t="s">
        <v>3074</v>
      </c>
      <c r="J8601" s="67">
        <v>119.35</v>
      </c>
      <c r="K8601" s="62">
        <v>2792.45</v>
      </c>
      <c r="L8601" s="33" t="e">
        <f>HLOOKUP(B8601,#REF!,1,0)</f>
        <v>#REF!</v>
      </c>
      <c r="M8601" s="33" t="str">
        <f t="shared" si="539"/>
        <v>P&amp;L</v>
      </c>
    </row>
    <row r="8602" spans="1:13">
      <c r="A8602" s="33" t="str">
        <f t="shared" si="536"/>
        <v>SCL - Operating Expense</v>
      </c>
      <c r="B8602" s="33" t="str">
        <f t="shared" si="537"/>
        <v>SCL</v>
      </c>
      <c r="C8602" s="33" t="str">
        <f t="shared" si="538"/>
        <v>61201-7380</v>
      </c>
      <c r="D8602" s="64" t="s">
        <v>9851</v>
      </c>
      <c r="E8602" s="64" t="s">
        <v>3073</v>
      </c>
      <c r="F8602" s="64" t="s">
        <v>15</v>
      </c>
      <c r="G8602" s="64" t="s">
        <v>3035</v>
      </c>
      <c r="H8602" s="64" t="s">
        <v>3022</v>
      </c>
      <c r="I8602" s="64" t="s">
        <v>3074</v>
      </c>
      <c r="J8602" s="67">
        <v>120.17</v>
      </c>
      <c r="K8602" s="62">
        <v>2675.65</v>
      </c>
      <c r="L8602" s="33" t="e">
        <f>HLOOKUP(B8602,#REF!,1,0)</f>
        <v>#REF!</v>
      </c>
      <c r="M8602" s="33" t="str">
        <f t="shared" si="539"/>
        <v>P&amp;L</v>
      </c>
    </row>
    <row r="8603" spans="1:13">
      <c r="A8603" s="33" t="str">
        <f t="shared" si="536"/>
        <v>SCL - Operating Expense</v>
      </c>
      <c r="B8603" s="33" t="str">
        <f t="shared" si="537"/>
        <v>SCL</v>
      </c>
      <c r="C8603" s="33" t="str">
        <f t="shared" si="538"/>
        <v>61201-7381</v>
      </c>
      <c r="D8603" s="64" t="s">
        <v>9852</v>
      </c>
      <c r="E8603" s="64" t="s">
        <v>3073</v>
      </c>
      <c r="F8603" s="64" t="s">
        <v>15</v>
      </c>
      <c r="G8603" s="64" t="s">
        <v>3035</v>
      </c>
      <c r="H8603" s="64" t="s">
        <v>3022</v>
      </c>
      <c r="I8603" s="64" t="s">
        <v>3074</v>
      </c>
      <c r="J8603" s="67">
        <v>119.35</v>
      </c>
      <c r="K8603" s="62">
        <v>2667.45</v>
      </c>
      <c r="L8603" s="33" t="e">
        <f>HLOOKUP(B8603,#REF!,1,0)</f>
        <v>#REF!</v>
      </c>
      <c r="M8603" s="33" t="str">
        <f t="shared" si="539"/>
        <v>P&amp;L</v>
      </c>
    </row>
    <row r="8604" spans="1:13">
      <c r="A8604" s="33" t="str">
        <f t="shared" si="536"/>
        <v>SCL - Operating Expense</v>
      </c>
      <c r="B8604" s="33" t="str">
        <f t="shared" si="537"/>
        <v>SCL</v>
      </c>
      <c r="C8604" s="33" t="str">
        <f t="shared" si="538"/>
        <v>61201-7383</v>
      </c>
      <c r="D8604" s="64" t="s">
        <v>9853</v>
      </c>
      <c r="E8604" s="64" t="s">
        <v>3073</v>
      </c>
      <c r="F8604" s="64" t="s">
        <v>15</v>
      </c>
      <c r="G8604" s="64" t="s">
        <v>3035</v>
      </c>
      <c r="H8604" s="64" t="s">
        <v>3022</v>
      </c>
      <c r="I8604" s="64" t="s">
        <v>3074</v>
      </c>
      <c r="J8604" s="67">
        <v>119.35</v>
      </c>
      <c r="K8604" s="62">
        <v>2792.45</v>
      </c>
      <c r="L8604" s="33" t="e">
        <f>HLOOKUP(B8604,#REF!,1,0)</f>
        <v>#REF!</v>
      </c>
      <c r="M8604" s="33" t="str">
        <f t="shared" si="539"/>
        <v>P&amp;L</v>
      </c>
    </row>
    <row r="8605" spans="1:13">
      <c r="A8605" s="33" t="str">
        <f t="shared" si="536"/>
        <v>SCL - Operating Expense</v>
      </c>
      <c r="B8605" s="33" t="str">
        <f t="shared" si="537"/>
        <v>SCL</v>
      </c>
      <c r="C8605" s="33" t="str">
        <f t="shared" si="538"/>
        <v>61201-7385</v>
      </c>
      <c r="D8605" s="64" t="s">
        <v>9854</v>
      </c>
      <c r="E8605" s="64" t="s">
        <v>3073</v>
      </c>
      <c r="F8605" s="64" t="s">
        <v>15</v>
      </c>
      <c r="G8605" s="64" t="s">
        <v>3035</v>
      </c>
      <c r="H8605" s="64" t="s">
        <v>3022</v>
      </c>
      <c r="I8605" s="64" t="s">
        <v>3074</v>
      </c>
      <c r="J8605" s="67">
        <v>120.17</v>
      </c>
      <c r="K8605" s="62">
        <v>2675.65</v>
      </c>
      <c r="L8605" s="33" t="e">
        <f>HLOOKUP(B8605,#REF!,1,0)</f>
        <v>#REF!</v>
      </c>
      <c r="M8605" s="33" t="str">
        <f t="shared" si="539"/>
        <v>P&amp;L</v>
      </c>
    </row>
    <row r="8606" spans="1:13">
      <c r="A8606" s="33" t="str">
        <f t="shared" si="536"/>
        <v>SCL - Operating Expense</v>
      </c>
      <c r="B8606" s="33" t="str">
        <f t="shared" si="537"/>
        <v>SCL</v>
      </c>
      <c r="C8606" s="33" t="str">
        <f t="shared" si="538"/>
        <v>61201-7386</v>
      </c>
      <c r="D8606" s="64" t="s">
        <v>9855</v>
      </c>
      <c r="E8606" s="64" t="s">
        <v>3073</v>
      </c>
      <c r="F8606" s="64" t="s">
        <v>15</v>
      </c>
      <c r="G8606" s="64" t="s">
        <v>3035</v>
      </c>
      <c r="H8606" s="64" t="s">
        <v>3022</v>
      </c>
      <c r="I8606" s="64" t="s">
        <v>3074</v>
      </c>
      <c r="J8606" s="67">
        <v>119.9</v>
      </c>
      <c r="K8606" s="62">
        <v>2672.95</v>
      </c>
      <c r="L8606" s="33" t="e">
        <f>HLOOKUP(B8606,#REF!,1,0)</f>
        <v>#REF!</v>
      </c>
      <c r="M8606" s="33" t="str">
        <f t="shared" si="539"/>
        <v>P&amp;L</v>
      </c>
    </row>
    <row r="8607" spans="1:13">
      <c r="A8607" s="33" t="str">
        <f t="shared" si="536"/>
        <v>SCL - Operating Expense</v>
      </c>
      <c r="B8607" s="33" t="str">
        <f t="shared" si="537"/>
        <v>SCL</v>
      </c>
      <c r="C8607" s="33" t="str">
        <f t="shared" si="538"/>
        <v>61201-7387</v>
      </c>
      <c r="D8607" s="64" t="s">
        <v>9856</v>
      </c>
      <c r="E8607" s="64" t="s">
        <v>3073</v>
      </c>
      <c r="F8607" s="64" t="s">
        <v>15</v>
      </c>
      <c r="G8607" s="64" t="s">
        <v>3035</v>
      </c>
      <c r="H8607" s="64" t="s">
        <v>3022</v>
      </c>
      <c r="I8607" s="64" t="s">
        <v>3074</v>
      </c>
      <c r="J8607" s="67">
        <v>119.35</v>
      </c>
      <c r="K8607" s="62">
        <v>2667.45</v>
      </c>
      <c r="L8607" s="33" t="e">
        <f>HLOOKUP(B8607,#REF!,1,0)</f>
        <v>#REF!</v>
      </c>
      <c r="M8607" s="33" t="str">
        <f t="shared" si="539"/>
        <v>P&amp;L</v>
      </c>
    </row>
    <row r="8608" spans="1:13">
      <c r="A8608" s="33" t="str">
        <f t="shared" si="536"/>
        <v>SCL - Operating Expense</v>
      </c>
      <c r="B8608" s="33" t="str">
        <f t="shared" si="537"/>
        <v>SCL</v>
      </c>
      <c r="C8608" s="33" t="str">
        <f t="shared" si="538"/>
        <v>61201-7389</v>
      </c>
      <c r="D8608" s="64" t="s">
        <v>9857</v>
      </c>
      <c r="E8608" s="64" t="s">
        <v>3073</v>
      </c>
      <c r="F8608" s="64" t="s">
        <v>15</v>
      </c>
      <c r="G8608" s="64" t="s">
        <v>3035</v>
      </c>
      <c r="H8608" s="64" t="s">
        <v>3022</v>
      </c>
      <c r="I8608" s="64" t="s">
        <v>3074</v>
      </c>
      <c r="J8608" s="67">
        <v>119.35</v>
      </c>
      <c r="K8608" s="62">
        <v>2667.45</v>
      </c>
      <c r="L8608" s="33" t="e">
        <f>HLOOKUP(B8608,#REF!,1,0)</f>
        <v>#REF!</v>
      </c>
      <c r="M8608" s="33" t="str">
        <f t="shared" si="539"/>
        <v>P&amp;L</v>
      </c>
    </row>
    <row r="8609" spans="1:13">
      <c r="A8609" s="33" t="str">
        <f t="shared" si="536"/>
        <v>SCL - Operating Expense</v>
      </c>
      <c r="B8609" s="33" t="str">
        <f t="shared" si="537"/>
        <v>SCL</v>
      </c>
      <c r="C8609" s="33" t="str">
        <f t="shared" si="538"/>
        <v>61201-7391</v>
      </c>
      <c r="D8609" s="64" t="s">
        <v>9858</v>
      </c>
      <c r="E8609" s="64" t="s">
        <v>3073</v>
      </c>
      <c r="F8609" s="64" t="s">
        <v>15</v>
      </c>
      <c r="G8609" s="64" t="s">
        <v>3035</v>
      </c>
      <c r="H8609" s="64" t="s">
        <v>3022</v>
      </c>
      <c r="I8609" s="64" t="s">
        <v>3074</v>
      </c>
      <c r="J8609" s="67">
        <v>119.35</v>
      </c>
      <c r="K8609" s="62">
        <v>2667.45</v>
      </c>
      <c r="L8609" s="33" t="e">
        <f>HLOOKUP(B8609,#REF!,1,0)</f>
        <v>#REF!</v>
      </c>
      <c r="M8609" s="33" t="str">
        <f t="shared" si="539"/>
        <v>P&amp;L</v>
      </c>
    </row>
    <row r="8610" spans="1:13">
      <c r="A8610" s="33" t="str">
        <f t="shared" si="536"/>
        <v>SCL - Operating Expense</v>
      </c>
      <c r="B8610" s="33" t="str">
        <f t="shared" si="537"/>
        <v>SCL</v>
      </c>
      <c r="C8610" s="33" t="str">
        <f t="shared" si="538"/>
        <v>61201-7393</v>
      </c>
      <c r="D8610" s="64" t="s">
        <v>9859</v>
      </c>
      <c r="E8610" s="64" t="s">
        <v>3073</v>
      </c>
      <c r="F8610" s="64" t="s">
        <v>15</v>
      </c>
      <c r="G8610" s="64" t="s">
        <v>3035</v>
      </c>
      <c r="H8610" s="64" t="s">
        <v>3022</v>
      </c>
      <c r="I8610" s="64" t="s">
        <v>3074</v>
      </c>
      <c r="J8610" s="67">
        <v>120.17</v>
      </c>
      <c r="K8610" s="62">
        <v>2675.65</v>
      </c>
      <c r="L8610" s="33" t="e">
        <f>HLOOKUP(B8610,#REF!,1,0)</f>
        <v>#REF!</v>
      </c>
      <c r="M8610" s="33" t="str">
        <f t="shared" si="539"/>
        <v>P&amp;L</v>
      </c>
    </row>
    <row r="8611" spans="1:13">
      <c r="A8611" s="33" t="str">
        <f t="shared" si="536"/>
        <v>SCL - Operating Expense</v>
      </c>
      <c r="B8611" s="33" t="str">
        <f t="shared" si="537"/>
        <v>SCL</v>
      </c>
      <c r="C8611" s="33" t="str">
        <f t="shared" si="538"/>
        <v>61201-7394</v>
      </c>
      <c r="D8611" s="64" t="s">
        <v>9860</v>
      </c>
      <c r="E8611" s="64" t="s">
        <v>3073</v>
      </c>
      <c r="F8611" s="64" t="s">
        <v>15</v>
      </c>
      <c r="G8611" s="64" t="s">
        <v>3035</v>
      </c>
      <c r="H8611" s="64" t="s">
        <v>3022</v>
      </c>
      <c r="I8611" s="64" t="s">
        <v>3074</v>
      </c>
      <c r="J8611" s="67">
        <v>270.17</v>
      </c>
      <c r="K8611" s="62">
        <v>2825.65</v>
      </c>
      <c r="L8611" s="33" t="e">
        <f>HLOOKUP(B8611,#REF!,1,0)</f>
        <v>#REF!</v>
      </c>
      <c r="M8611" s="33" t="str">
        <f t="shared" si="539"/>
        <v>P&amp;L</v>
      </c>
    </row>
    <row r="8612" spans="1:13">
      <c r="A8612" s="33" t="str">
        <f t="shared" si="536"/>
        <v>SCL - Operating Expense</v>
      </c>
      <c r="B8612" s="33" t="str">
        <f t="shared" si="537"/>
        <v>SCL</v>
      </c>
      <c r="C8612" s="33" t="str">
        <f t="shared" si="538"/>
        <v>61201-7396</v>
      </c>
      <c r="D8612" s="64" t="s">
        <v>9861</v>
      </c>
      <c r="E8612" s="64" t="s">
        <v>3073</v>
      </c>
      <c r="F8612" s="64" t="s">
        <v>15</v>
      </c>
      <c r="G8612" s="64" t="s">
        <v>3035</v>
      </c>
      <c r="H8612" s="64" t="s">
        <v>3022</v>
      </c>
      <c r="I8612" s="64" t="s">
        <v>3074</v>
      </c>
      <c r="J8612" s="67">
        <v>120.17</v>
      </c>
      <c r="K8612" s="62">
        <v>2675.65</v>
      </c>
      <c r="L8612" s="33" t="e">
        <f>HLOOKUP(B8612,#REF!,1,0)</f>
        <v>#REF!</v>
      </c>
      <c r="M8612" s="33" t="str">
        <f t="shared" si="539"/>
        <v>P&amp;L</v>
      </c>
    </row>
    <row r="8613" spans="1:13">
      <c r="A8613" s="33" t="str">
        <f t="shared" si="536"/>
        <v>SCL - Operating Expense</v>
      </c>
      <c r="B8613" s="33" t="str">
        <f t="shared" si="537"/>
        <v>SCL</v>
      </c>
      <c r="C8613" s="33" t="str">
        <f t="shared" si="538"/>
        <v>61201-7397</v>
      </c>
      <c r="D8613" s="64" t="s">
        <v>9862</v>
      </c>
      <c r="E8613" s="64" t="s">
        <v>3073</v>
      </c>
      <c r="F8613" s="64" t="s">
        <v>15</v>
      </c>
      <c r="G8613" s="64" t="s">
        <v>3035</v>
      </c>
      <c r="H8613" s="64" t="s">
        <v>3022</v>
      </c>
      <c r="I8613" s="64" t="s">
        <v>3074</v>
      </c>
      <c r="J8613" s="67">
        <v>120.17</v>
      </c>
      <c r="K8613" s="62">
        <v>2675.65</v>
      </c>
      <c r="L8613" s="33" t="e">
        <f>HLOOKUP(B8613,#REF!,1,0)</f>
        <v>#REF!</v>
      </c>
      <c r="M8613" s="33" t="str">
        <f t="shared" si="539"/>
        <v>P&amp;L</v>
      </c>
    </row>
    <row r="8614" spans="1:13">
      <c r="A8614" s="33" t="str">
        <f t="shared" si="536"/>
        <v>SCL - Operating Expense</v>
      </c>
      <c r="B8614" s="33" t="str">
        <f t="shared" si="537"/>
        <v>SCL</v>
      </c>
      <c r="C8614" s="33" t="str">
        <f t="shared" si="538"/>
        <v>61201-7398</v>
      </c>
      <c r="D8614" s="64" t="s">
        <v>9863</v>
      </c>
      <c r="E8614" s="64" t="s">
        <v>3073</v>
      </c>
      <c r="F8614" s="64" t="s">
        <v>15</v>
      </c>
      <c r="G8614" s="64" t="s">
        <v>3035</v>
      </c>
      <c r="H8614" s="64" t="s">
        <v>3022</v>
      </c>
      <c r="I8614" s="64" t="s">
        <v>3074</v>
      </c>
      <c r="J8614" s="67">
        <v>119.35</v>
      </c>
      <c r="K8614" s="62">
        <v>2667.45</v>
      </c>
      <c r="L8614" s="33" t="e">
        <f>HLOOKUP(B8614,#REF!,1,0)</f>
        <v>#REF!</v>
      </c>
      <c r="M8614" s="33" t="str">
        <f t="shared" si="539"/>
        <v>P&amp;L</v>
      </c>
    </row>
    <row r="8615" spans="1:13">
      <c r="A8615" s="33" t="str">
        <f t="shared" si="536"/>
        <v>SCL - Operating Expense</v>
      </c>
      <c r="B8615" s="33" t="str">
        <f t="shared" si="537"/>
        <v>SCL</v>
      </c>
      <c r="C8615" s="33" t="str">
        <f t="shared" si="538"/>
        <v>61201-7400</v>
      </c>
      <c r="D8615" s="64" t="s">
        <v>9864</v>
      </c>
      <c r="E8615" s="64" t="s">
        <v>3073</v>
      </c>
      <c r="F8615" s="64" t="s">
        <v>15</v>
      </c>
      <c r="G8615" s="64" t="s">
        <v>3035</v>
      </c>
      <c r="H8615" s="64" t="s">
        <v>3022</v>
      </c>
      <c r="I8615" s="64" t="s">
        <v>3074</v>
      </c>
      <c r="J8615" s="67">
        <v>119.35</v>
      </c>
      <c r="K8615" s="62">
        <v>2667.45</v>
      </c>
      <c r="L8615" s="33" t="e">
        <f>HLOOKUP(B8615,#REF!,1,0)</f>
        <v>#REF!</v>
      </c>
      <c r="M8615" s="33" t="str">
        <f t="shared" si="539"/>
        <v>P&amp;L</v>
      </c>
    </row>
    <row r="8616" spans="1:13">
      <c r="A8616" s="33" t="str">
        <f t="shared" si="536"/>
        <v>SCL - Operating Expense</v>
      </c>
      <c r="B8616" s="33" t="str">
        <f t="shared" si="537"/>
        <v>SCL</v>
      </c>
      <c r="C8616" s="33" t="str">
        <f t="shared" si="538"/>
        <v>61201-7401</v>
      </c>
      <c r="D8616" s="64" t="s">
        <v>9865</v>
      </c>
      <c r="E8616" s="64" t="s">
        <v>3073</v>
      </c>
      <c r="F8616" s="64" t="s">
        <v>15</v>
      </c>
      <c r="G8616" s="64" t="s">
        <v>3035</v>
      </c>
      <c r="H8616" s="64" t="s">
        <v>3022</v>
      </c>
      <c r="I8616" s="64" t="s">
        <v>3074</v>
      </c>
      <c r="J8616" s="67">
        <v>119.35</v>
      </c>
      <c r="K8616" s="62">
        <v>2667.45</v>
      </c>
      <c r="L8616" s="33" t="e">
        <f>HLOOKUP(B8616,#REF!,1,0)</f>
        <v>#REF!</v>
      </c>
      <c r="M8616" s="33" t="str">
        <f t="shared" si="539"/>
        <v>P&amp;L</v>
      </c>
    </row>
    <row r="8617" spans="1:13">
      <c r="A8617" s="33" t="str">
        <f t="shared" si="536"/>
        <v>SCL - Operating Expense</v>
      </c>
      <c r="B8617" s="33" t="str">
        <f t="shared" si="537"/>
        <v>SCL</v>
      </c>
      <c r="C8617" s="33" t="str">
        <f t="shared" si="538"/>
        <v>61201-7402</v>
      </c>
      <c r="D8617" s="64" t="s">
        <v>9866</v>
      </c>
      <c r="E8617" s="64" t="s">
        <v>3073</v>
      </c>
      <c r="F8617" s="64" t="s">
        <v>15</v>
      </c>
      <c r="G8617" s="64" t="s">
        <v>3035</v>
      </c>
      <c r="H8617" s="64" t="s">
        <v>3022</v>
      </c>
      <c r="I8617" s="64" t="s">
        <v>3074</v>
      </c>
      <c r="J8617" s="67">
        <v>119.35</v>
      </c>
      <c r="K8617" s="62">
        <v>2667.45</v>
      </c>
      <c r="L8617" s="33" t="e">
        <f>HLOOKUP(B8617,#REF!,1,0)</f>
        <v>#REF!</v>
      </c>
      <c r="M8617" s="33" t="str">
        <f t="shared" si="539"/>
        <v>P&amp;L</v>
      </c>
    </row>
    <row r="8618" spans="1:13">
      <c r="A8618" s="33" t="str">
        <f t="shared" si="536"/>
        <v>SCL - Operating Expense</v>
      </c>
      <c r="B8618" s="33" t="str">
        <f t="shared" si="537"/>
        <v>SCL</v>
      </c>
      <c r="C8618" s="33" t="str">
        <f t="shared" si="538"/>
        <v>61201-7403</v>
      </c>
      <c r="D8618" s="64" t="s">
        <v>9867</v>
      </c>
      <c r="E8618" s="64" t="s">
        <v>3073</v>
      </c>
      <c r="F8618" s="64" t="s">
        <v>15</v>
      </c>
      <c r="G8618" s="64" t="s">
        <v>3035</v>
      </c>
      <c r="H8618" s="64" t="s">
        <v>3022</v>
      </c>
      <c r="I8618" s="64" t="s">
        <v>3074</v>
      </c>
      <c r="J8618" s="67">
        <v>119.35</v>
      </c>
      <c r="K8618" s="62">
        <v>2792.45</v>
      </c>
      <c r="L8618" s="33" t="e">
        <f>HLOOKUP(B8618,#REF!,1,0)</f>
        <v>#REF!</v>
      </c>
      <c r="M8618" s="33" t="str">
        <f t="shared" si="539"/>
        <v>P&amp;L</v>
      </c>
    </row>
    <row r="8619" spans="1:13">
      <c r="A8619" s="33" t="str">
        <f t="shared" si="536"/>
        <v>SCL - Operating Expense</v>
      </c>
      <c r="B8619" s="33" t="str">
        <f t="shared" si="537"/>
        <v>SCL</v>
      </c>
      <c r="C8619" s="33" t="str">
        <f t="shared" si="538"/>
        <v>61201-7489</v>
      </c>
      <c r="D8619" s="64" t="s">
        <v>9868</v>
      </c>
      <c r="E8619" s="64" t="s">
        <v>3073</v>
      </c>
      <c r="F8619" s="64" t="s">
        <v>15</v>
      </c>
      <c r="G8619" s="64" t="s">
        <v>3035</v>
      </c>
      <c r="H8619" s="64" t="s">
        <v>3022</v>
      </c>
      <c r="I8619" s="64" t="s">
        <v>3074</v>
      </c>
      <c r="J8619" s="67">
        <v>119.35</v>
      </c>
      <c r="K8619" s="62">
        <v>2667.45</v>
      </c>
      <c r="L8619" s="33" t="e">
        <f>HLOOKUP(B8619,#REF!,1,0)</f>
        <v>#REF!</v>
      </c>
      <c r="M8619" s="33" t="str">
        <f t="shared" si="539"/>
        <v>P&amp;L</v>
      </c>
    </row>
    <row r="8620" spans="1:13">
      <c r="A8620" s="33" t="str">
        <f t="shared" si="536"/>
        <v>SCL - Operating Expense</v>
      </c>
      <c r="B8620" s="33" t="str">
        <f t="shared" si="537"/>
        <v>SCL</v>
      </c>
      <c r="C8620" s="33" t="str">
        <f t="shared" si="538"/>
        <v>61201-7491</v>
      </c>
      <c r="D8620" s="64" t="s">
        <v>9869</v>
      </c>
      <c r="E8620" s="64" t="s">
        <v>3073</v>
      </c>
      <c r="F8620" s="64" t="s">
        <v>15</v>
      </c>
      <c r="G8620" s="64" t="s">
        <v>3035</v>
      </c>
      <c r="H8620" s="64" t="s">
        <v>3022</v>
      </c>
      <c r="I8620" s="64" t="s">
        <v>3074</v>
      </c>
      <c r="J8620" s="67">
        <v>120.17</v>
      </c>
      <c r="K8620" s="62">
        <v>2675.65</v>
      </c>
      <c r="L8620" s="33" t="e">
        <f>HLOOKUP(B8620,#REF!,1,0)</f>
        <v>#REF!</v>
      </c>
      <c r="M8620" s="33" t="str">
        <f t="shared" si="539"/>
        <v>P&amp;L</v>
      </c>
    </row>
    <row r="8621" spans="1:13">
      <c r="A8621" s="33" t="str">
        <f t="shared" si="536"/>
        <v>SCL - Operating Expense</v>
      </c>
      <c r="B8621" s="33" t="str">
        <f t="shared" si="537"/>
        <v>SCL</v>
      </c>
      <c r="C8621" s="33" t="str">
        <f t="shared" si="538"/>
        <v>61201-7492</v>
      </c>
      <c r="D8621" s="64" t="s">
        <v>9870</v>
      </c>
      <c r="E8621" s="64" t="s">
        <v>3073</v>
      </c>
      <c r="F8621" s="64" t="s">
        <v>15</v>
      </c>
      <c r="G8621" s="64" t="s">
        <v>3035</v>
      </c>
      <c r="H8621" s="64" t="s">
        <v>3022</v>
      </c>
      <c r="I8621" s="64" t="s">
        <v>3074</v>
      </c>
      <c r="J8621" s="67">
        <v>120.17</v>
      </c>
      <c r="K8621" s="62">
        <v>2675.65</v>
      </c>
      <c r="L8621" s="33" t="e">
        <f>HLOOKUP(B8621,#REF!,1,0)</f>
        <v>#REF!</v>
      </c>
      <c r="M8621" s="33" t="str">
        <f t="shared" si="539"/>
        <v>P&amp;L</v>
      </c>
    </row>
    <row r="8622" spans="1:13">
      <c r="A8622" s="33" t="str">
        <f t="shared" si="536"/>
        <v>SCL - Operating Expense</v>
      </c>
      <c r="B8622" s="33" t="str">
        <f t="shared" si="537"/>
        <v>SCL</v>
      </c>
      <c r="C8622" s="33" t="str">
        <f t="shared" si="538"/>
        <v>61201-7493</v>
      </c>
      <c r="D8622" s="64" t="s">
        <v>9871</v>
      </c>
      <c r="E8622" s="64" t="s">
        <v>3073</v>
      </c>
      <c r="F8622" s="64" t="s">
        <v>15</v>
      </c>
      <c r="G8622" s="64" t="s">
        <v>3035</v>
      </c>
      <c r="H8622" s="64" t="s">
        <v>3022</v>
      </c>
      <c r="I8622" s="64" t="s">
        <v>3074</v>
      </c>
      <c r="J8622" s="67">
        <v>119.35</v>
      </c>
      <c r="K8622" s="62">
        <v>2667.4</v>
      </c>
      <c r="L8622" s="33" t="e">
        <f>HLOOKUP(B8622,#REF!,1,0)</f>
        <v>#REF!</v>
      </c>
      <c r="M8622" s="33" t="str">
        <f t="shared" si="539"/>
        <v>P&amp;L</v>
      </c>
    </row>
    <row r="8623" spans="1:13">
      <c r="A8623" s="33" t="str">
        <f t="shared" si="536"/>
        <v>SCL - Operating Expense</v>
      </c>
      <c r="B8623" s="33" t="str">
        <f t="shared" si="537"/>
        <v>SCL</v>
      </c>
      <c r="C8623" s="33" t="str">
        <f t="shared" si="538"/>
        <v>61201-7494</v>
      </c>
      <c r="D8623" s="64" t="s">
        <v>9872</v>
      </c>
      <c r="E8623" s="64" t="s">
        <v>3073</v>
      </c>
      <c r="F8623" s="64" t="s">
        <v>15</v>
      </c>
      <c r="G8623" s="64" t="s">
        <v>3035</v>
      </c>
      <c r="H8623" s="64" t="s">
        <v>3022</v>
      </c>
      <c r="I8623" s="64" t="s">
        <v>3074</v>
      </c>
      <c r="J8623" s="67">
        <v>120.17</v>
      </c>
      <c r="K8623" s="62">
        <v>2675.6</v>
      </c>
      <c r="L8623" s="33" t="e">
        <f>HLOOKUP(B8623,#REF!,1,0)</f>
        <v>#REF!</v>
      </c>
      <c r="M8623" s="33" t="str">
        <f t="shared" si="539"/>
        <v>P&amp;L</v>
      </c>
    </row>
    <row r="8624" spans="1:13">
      <c r="A8624" s="33" t="str">
        <f t="shared" si="536"/>
        <v>SCL - Operating Expense</v>
      </c>
      <c r="B8624" s="33" t="str">
        <f t="shared" si="537"/>
        <v>SCL</v>
      </c>
      <c r="C8624" s="33" t="str">
        <f t="shared" si="538"/>
        <v>61201-7625</v>
      </c>
      <c r="D8624" s="64" t="s">
        <v>9873</v>
      </c>
      <c r="E8624" s="64" t="s">
        <v>3073</v>
      </c>
      <c r="F8624" s="64" t="s">
        <v>15</v>
      </c>
      <c r="G8624" s="64" t="s">
        <v>3035</v>
      </c>
      <c r="H8624" s="64" t="s">
        <v>3022</v>
      </c>
      <c r="I8624" s="64" t="s">
        <v>3074</v>
      </c>
      <c r="J8624" s="67">
        <v>119.35</v>
      </c>
      <c r="K8624" s="62">
        <v>2667.4</v>
      </c>
      <c r="L8624" s="33" t="e">
        <f>HLOOKUP(B8624,#REF!,1,0)</f>
        <v>#REF!</v>
      </c>
      <c r="M8624" s="33" t="str">
        <f t="shared" si="539"/>
        <v>P&amp;L</v>
      </c>
    </row>
    <row r="8625" spans="1:13">
      <c r="A8625" s="33" t="str">
        <f t="shared" si="536"/>
        <v>SCL - Operating Expense</v>
      </c>
      <c r="B8625" s="33" t="str">
        <f t="shared" si="537"/>
        <v>SCL</v>
      </c>
      <c r="C8625" s="33" t="str">
        <f t="shared" si="538"/>
        <v>61201-8150</v>
      </c>
      <c r="D8625" s="64" t="s">
        <v>9874</v>
      </c>
      <c r="E8625" s="64" t="s">
        <v>3073</v>
      </c>
      <c r="F8625" s="64" t="s">
        <v>15</v>
      </c>
      <c r="G8625" s="64" t="s">
        <v>3035</v>
      </c>
      <c r="H8625" s="64" t="s">
        <v>3022</v>
      </c>
      <c r="I8625" s="64" t="s">
        <v>3074</v>
      </c>
      <c r="J8625" s="67">
        <v>119.35</v>
      </c>
      <c r="K8625" s="62">
        <v>2667.4</v>
      </c>
      <c r="L8625" s="33" t="e">
        <f>HLOOKUP(B8625,#REF!,1,0)</f>
        <v>#REF!</v>
      </c>
      <c r="M8625" s="33" t="str">
        <f t="shared" si="539"/>
        <v>P&amp;L</v>
      </c>
    </row>
    <row r="8626" spans="1:13">
      <c r="A8626" s="33" t="str">
        <f t="shared" si="536"/>
        <v>SCL - Operating Expense</v>
      </c>
      <c r="B8626" s="33" t="str">
        <f t="shared" si="537"/>
        <v>SCL</v>
      </c>
      <c r="C8626" s="33" t="str">
        <f t="shared" si="538"/>
        <v>61501-0000</v>
      </c>
      <c r="D8626" s="64" t="s">
        <v>9875</v>
      </c>
      <c r="E8626" s="64" t="s">
        <v>3079</v>
      </c>
      <c r="F8626" s="64" t="s">
        <v>15</v>
      </c>
      <c r="G8626" s="64" t="s">
        <v>3035</v>
      </c>
      <c r="H8626" s="64" t="s">
        <v>3022</v>
      </c>
      <c r="I8626" s="64" t="s">
        <v>3036</v>
      </c>
      <c r="J8626" s="67">
        <v>0</v>
      </c>
      <c r="K8626" s="62">
        <v>-30.65</v>
      </c>
      <c r="L8626" s="33" t="e">
        <f>HLOOKUP(B8626,#REF!,1,0)</f>
        <v>#REF!</v>
      </c>
      <c r="M8626" s="33" t="str">
        <f t="shared" si="539"/>
        <v>P&amp;L</v>
      </c>
    </row>
    <row r="8627" spans="1:13">
      <c r="A8627" s="33" t="str">
        <f t="shared" si="536"/>
        <v>SCL - Operating Expense</v>
      </c>
      <c r="B8627" s="33" t="str">
        <f t="shared" si="537"/>
        <v>SCL</v>
      </c>
      <c r="C8627" s="33" t="str">
        <f t="shared" si="538"/>
        <v>61501-7352</v>
      </c>
      <c r="D8627" s="64" t="s">
        <v>9876</v>
      </c>
      <c r="E8627" s="64" t="s">
        <v>3079</v>
      </c>
      <c r="F8627" s="64" t="s">
        <v>15</v>
      </c>
      <c r="G8627" s="64" t="s">
        <v>3035</v>
      </c>
      <c r="H8627" s="64" t="s">
        <v>3022</v>
      </c>
      <c r="I8627" s="64" t="s">
        <v>3036</v>
      </c>
      <c r="J8627" s="67">
        <v>0</v>
      </c>
      <c r="K8627" s="62">
        <v>94.78</v>
      </c>
      <c r="L8627" s="33" t="e">
        <f>HLOOKUP(B8627,#REF!,1,0)</f>
        <v>#REF!</v>
      </c>
      <c r="M8627" s="33" t="str">
        <f t="shared" si="539"/>
        <v>P&amp;L</v>
      </c>
    </row>
    <row r="8628" spans="1:13">
      <c r="A8628" s="33" t="str">
        <f t="shared" si="536"/>
        <v>SCL - Operating Expense</v>
      </c>
      <c r="B8628" s="33" t="str">
        <f t="shared" si="537"/>
        <v>SCL</v>
      </c>
      <c r="C8628" s="33" t="str">
        <f t="shared" si="538"/>
        <v>61501-7356</v>
      </c>
      <c r="D8628" s="64" t="s">
        <v>9877</v>
      </c>
      <c r="E8628" s="64" t="s">
        <v>3079</v>
      </c>
      <c r="F8628" s="64" t="s">
        <v>15</v>
      </c>
      <c r="G8628" s="64" t="s">
        <v>3035</v>
      </c>
      <c r="H8628" s="64" t="s">
        <v>3022</v>
      </c>
      <c r="I8628" s="64" t="s">
        <v>3036</v>
      </c>
      <c r="J8628" s="67">
        <v>0</v>
      </c>
      <c r="K8628" s="62">
        <v>11</v>
      </c>
      <c r="L8628" s="33" t="e">
        <f>HLOOKUP(B8628,#REF!,1,0)</f>
        <v>#REF!</v>
      </c>
      <c r="M8628" s="33" t="str">
        <f t="shared" si="539"/>
        <v>P&amp;L</v>
      </c>
    </row>
    <row r="8629" spans="1:13">
      <c r="A8629" s="33" t="str">
        <f t="shared" si="536"/>
        <v>SCL - Operating Expense</v>
      </c>
      <c r="B8629" s="33" t="str">
        <f t="shared" si="537"/>
        <v>SCL</v>
      </c>
      <c r="C8629" s="33" t="str">
        <f t="shared" si="538"/>
        <v>61501-7359</v>
      </c>
      <c r="D8629" s="64" t="s">
        <v>9878</v>
      </c>
      <c r="E8629" s="64" t="s">
        <v>3079</v>
      </c>
      <c r="F8629" s="64" t="s">
        <v>15</v>
      </c>
      <c r="G8629" s="64" t="s">
        <v>3035</v>
      </c>
      <c r="H8629" s="64" t="s">
        <v>3022</v>
      </c>
      <c r="I8629" s="64" t="s">
        <v>3036</v>
      </c>
      <c r="J8629" s="67">
        <v>0</v>
      </c>
      <c r="K8629" s="62">
        <v>336.67</v>
      </c>
      <c r="L8629" s="33" t="e">
        <f>HLOOKUP(B8629,#REF!,1,0)</f>
        <v>#REF!</v>
      </c>
      <c r="M8629" s="33" t="str">
        <f t="shared" si="539"/>
        <v>P&amp;L</v>
      </c>
    </row>
    <row r="8630" spans="1:13">
      <c r="A8630" s="33" t="str">
        <f t="shared" si="536"/>
        <v>SCL - Operating Expense</v>
      </c>
      <c r="B8630" s="33" t="str">
        <f t="shared" si="537"/>
        <v>SCL</v>
      </c>
      <c r="C8630" s="33" t="str">
        <f t="shared" si="538"/>
        <v>61501-7360</v>
      </c>
      <c r="D8630" s="64" t="s">
        <v>9879</v>
      </c>
      <c r="E8630" s="64" t="s">
        <v>3079</v>
      </c>
      <c r="F8630" s="64" t="s">
        <v>15</v>
      </c>
      <c r="G8630" s="64" t="s">
        <v>3035</v>
      </c>
      <c r="H8630" s="64" t="s">
        <v>3022</v>
      </c>
      <c r="I8630" s="64" t="s">
        <v>3036</v>
      </c>
      <c r="J8630" s="67">
        <v>0</v>
      </c>
      <c r="K8630" s="62">
        <v>261.22</v>
      </c>
      <c r="L8630" s="33" t="e">
        <f>HLOOKUP(B8630,#REF!,1,0)</f>
        <v>#REF!</v>
      </c>
      <c r="M8630" s="33" t="str">
        <f t="shared" si="539"/>
        <v>P&amp;L</v>
      </c>
    </row>
    <row r="8631" spans="1:13">
      <c r="A8631" s="33" t="str">
        <f t="shared" si="536"/>
        <v>SCL - Operating Expense</v>
      </c>
      <c r="B8631" s="33" t="str">
        <f t="shared" si="537"/>
        <v>SCL</v>
      </c>
      <c r="C8631" s="33" t="str">
        <f t="shared" si="538"/>
        <v>61501-7362</v>
      </c>
      <c r="D8631" s="64" t="s">
        <v>9880</v>
      </c>
      <c r="E8631" s="64" t="s">
        <v>3079</v>
      </c>
      <c r="F8631" s="64" t="s">
        <v>15</v>
      </c>
      <c r="G8631" s="64" t="s">
        <v>3035</v>
      </c>
      <c r="H8631" s="64" t="s">
        <v>3022</v>
      </c>
      <c r="I8631" s="64" t="s">
        <v>3036</v>
      </c>
      <c r="J8631" s="67">
        <v>0</v>
      </c>
      <c r="K8631" s="62">
        <v>41.1</v>
      </c>
      <c r="L8631" s="33" t="e">
        <f>HLOOKUP(B8631,#REF!,1,0)</f>
        <v>#REF!</v>
      </c>
      <c r="M8631" s="33" t="str">
        <f t="shared" si="539"/>
        <v>P&amp;L</v>
      </c>
    </row>
    <row r="8632" spans="1:13">
      <c r="A8632" s="33" t="str">
        <f t="shared" si="536"/>
        <v>SCL - Operating Expense</v>
      </c>
      <c r="B8632" s="33" t="str">
        <f t="shared" si="537"/>
        <v>SCL</v>
      </c>
      <c r="C8632" s="33" t="str">
        <f t="shared" si="538"/>
        <v>61501-7365</v>
      </c>
      <c r="D8632" s="64" t="s">
        <v>9881</v>
      </c>
      <c r="E8632" s="64" t="s">
        <v>3079</v>
      </c>
      <c r="F8632" s="64" t="s">
        <v>15</v>
      </c>
      <c r="G8632" s="64" t="s">
        <v>3035</v>
      </c>
      <c r="H8632" s="64" t="s">
        <v>3022</v>
      </c>
      <c r="I8632" s="64" t="s">
        <v>3036</v>
      </c>
      <c r="J8632" s="67">
        <v>0</v>
      </c>
      <c r="K8632" s="62">
        <v>78.58</v>
      </c>
      <c r="L8632" s="33" t="e">
        <f>HLOOKUP(B8632,#REF!,1,0)</f>
        <v>#REF!</v>
      </c>
      <c r="M8632" s="33" t="str">
        <f t="shared" si="539"/>
        <v>P&amp;L</v>
      </c>
    </row>
    <row r="8633" spans="1:13">
      <c r="A8633" s="33" t="str">
        <f t="shared" si="536"/>
        <v>SCL - Operating Expense</v>
      </c>
      <c r="B8633" s="33" t="str">
        <f t="shared" si="537"/>
        <v>SCL</v>
      </c>
      <c r="C8633" s="33" t="str">
        <f t="shared" si="538"/>
        <v>61501-7368</v>
      </c>
      <c r="D8633" s="64" t="s">
        <v>9882</v>
      </c>
      <c r="E8633" s="64" t="s">
        <v>3079</v>
      </c>
      <c r="F8633" s="64" t="s">
        <v>15</v>
      </c>
      <c r="G8633" s="64" t="s">
        <v>3035</v>
      </c>
      <c r="H8633" s="64" t="s">
        <v>3022</v>
      </c>
      <c r="I8633" s="64" t="s">
        <v>3036</v>
      </c>
      <c r="J8633" s="67">
        <v>0</v>
      </c>
      <c r="K8633" s="62">
        <v>180.56</v>
      </c>
      <c r="L8633" s="33" t="e">
        <f>HLOOKUP(B8633,#REF!,1,0)</f>
        <v>#REF!</v>
      </c>
      <c r="M8633" s="33" t="str">
        <f t="shared" si="539"/>
        <v>P&amp;L</v>
      </c>
    </row>
    <row r="8634" spans="1:13">
      <c r="A8634" s="33" t="str">
        <f t="shared" si="536"/>
        <v>SCL - Operating Expense</v>
      </c>
      <c r="B8634" s="33" t="str">
        <f t="shared" si="537"/>
        <v>SCL</v>
      </c>
      <c r="C8634" s="33" t="str">
        <f t="shared" si="538"/>
        <v>61501-7369</v>
      </c>
      <c r="D8634" s="64" t="s">
        <v>9883</v>
      </c>
      <c r="E8634" s="64" t="s">
        <v>3079</v>
      </c>
      <c r="F8634" s="64" t="s">
        <v>15</v>
      </c>
      <c r="G8634" s="64" t="s">
        <v>3035</v>
      </c>
      <c r="H8634" s="64" t="s">
        <v>3022</v>
      </c>
      <c r="I8634" s="64" t="s">
        <v>3036</v>
      </c>
      <c r="J8634" s="67">
        <v>0</v>
      </c>
      <c r="K8634" s="62">
        <v>129.18</v>
      </c>
      <c r="L8634" s="33" t="e">
        <f>HLOOKUP(B8634,#REF!,1,0)</f>
        <v>#REF!</v>
      </c>
      <c r="M8634" s="33" t="str">
        <f t="shared" si="539"/>
        <v>P&amp;L</v>
      </c>
    </row>
    <row r="8635" spans="1:13">
      <c r="A8635" s="33" t="str">
        <f t="shared" si="536"/>
        <v>SCL - Operating Expense</v>
      </c>
      <c r="B8635" s="33" t="str">
        <f t="shared" si="537"/>
        <v>SCL</v>
      </c>
      <c r="C8635" s="33" t="str">
        <f t="shared" si="538"/>
        <v>61501-7371</v>
      </c>
      <c r="D8635" s="64" t="s">
        <v>9884</v>
      </c>
      <c r="E8635" s="64" t="s">
        <v>3079</v>
      </c>
      <c r="F8635" s="64" t="s">
        <v>15</v>
      </c>
      <c r="G8635" s="64" t="s">
        <v>3035</v>
      </c>
      <c r="H8635" s="64" t="s">
        <v>3022</v>
      </c>
      <c r="I8635" s="64" t="s">
        <v>3036</v>
      </c>
      <c r="J8635" s="67">
        <v>0</v>
      </c>
      <c r="K8635" s="62">
        <v>246.04</v>
      </c>
      <c r="L8635" s="33" t="e">
        <f>HLOOKUP(B8635,#REF!,1,0)</f>
        <v>#REF!</v>
      </c>
      <c r="M8635" s="33" t="str">
        <f t="shared" si="539"/>
        <v>P&amp;L</v>
      </c>
    </row>
    <row r="8636" spans="1:13">
      <c r="A8636" s="33" t="str">
        <f t="shared" si="536"/>
        <v>SCL - Operating Expense</v>
      </c>
      <c r="B8636" s="33" t="str">
        <f t="shared" si="537"/>
        <v>SCL</v>
      </c>
      <c r="C8636" s="33" t="str">
        <f t="shared" si="538"/>
        <v>61501-7375</v>
      </c>
      <c r="D8636" s="64" t="s">
        <v>9885</v>
      </c>
      <c r="E8636" s="64" t="s">
        <v>3079</v>
      </c>
      <c r="F8636" s="64" t="s">
        <v>15</v>
      </c>
      <c r="G8636" s="64" t="s">
        <v>3035</v>
      </c>
      <c r="H8636" s="64" t="s">
        <v>3022</v>
      </c>
      <c r="I8636" s="64" t="s">
        <v>3036</v>
      </c>
      <c r="J8636" s="67">
        <v>0</v>
      </c>
      <c r="K8636" s="62">
        <v>94.77</v>
      </c>
      <c r="L8636" s="33" t="e">
        <f>HLOOKUP(B8636,#REF!,1,0)</f>
        <v>#REF!</v>
      </c>
      <c r="M8636" s="33" t="str">
        <f t="shared" si="539"/>
        <v>P&amp;L</v>
      </c>
    </row>
    <row r="8637" spans="1:13">
      <c r="A8637" s="33" t="str">
        <f t="shared" si="536"/>
        <v>SCL - Operating Expense</v>
      </c>
      <c r="B8637" s="33" t="str">
        <f t="shared" si="537"/>
        <v>SCL</v>
      </c>
      <c r="C8637" s="33" t="str">
        <f t="shared" si="538"/>
        <v>61501-7376</v>
      </c>
      <c r="D8637" s="64" t="s">
        <v>9886</v>
      </c>
      <c r="E8637" s="64" t="s">
        <v>3079</v>
      </c>
      <c r="F8637" s="64" t="s">
        <v>15</v>
      </c>
      <c r="G8637" s="64" t="s">
        <v>3035</v>
      </c>
      <c r="H8637" s="64" t="s">
        <v>3022</v>
      </c>
      <c r="I8637" s="64" t="s">
        <v>3036</v>
      </c>
      <c r="J8637" s="67">
        <v>0</v>
      </c>
      <c r="K8637" s="62">
        <v>13.72</v>
      </c>
      <c r="L8637" s="33" t="e">
        <f>HLOOKUP(B8637,#REF!,1,0)</f>
        <v>#REF!</v>
      </c>
      <c r="M8637" s="33" t="str">
        <f t="shared" si="539"/>
        <v>P&amp;L</v>
      </c>
    </row>
    <row r="8638" spans="1:13">
      <c r="A8638" s="33" t="str">
        <f t="shared" si="536"/>
        <v>SCL - Operating Expense</v>
      </c>
      <c r="B8638" s="33" t="str">
        <f t="shared" si="537"/>
        <v>SCL</v>
      </c>
      <c r="C8638" s="33" t="str">
        <f t="shared" si="538"/>
        <v>61501-7378</v>
      </c>
      <c r="D8638" s="64" t="s">
        <v>9887</v>
      </c>
      <c r="E8638" s="64" t="s">
        <v>3079</v>
      </c>
      <c r="F8638" s="64" t="s">
        <v>15</v>
      </c>
      <c r="G8638" s="64" t="s">
        <v>3035</v>
      </c>
      <c r="H8638" s="64" t="s">
        <v>3022</v>
      </c>
      <c r="I8638" s="64" t="s">
        <v>3036</v>
      </c>
      <c r="J8638" s="67">
        <v>0</v>
      </c>
      <c r="K8638" s="62">
        <v>78.56</v>
      </c>
      <c r="L8638" s="33" t="e">
        <f>HLOOKUP(B8638,#REF!,1,0)</f>
        <v>#REF!</v>
      </c>
      <c r="M8638" s="33" t="str">
        <f t="shared" si="539"/>
        <v>P&amp;L</v>
      </c>
    </row>
    <row r="8639" spans="1:13">
      <c r="A8639" s="33" t="str">
        <f t="shared" si="536"/>
        <v>SCL - Operating Expense</v>
      </c>
      <c r="B8639" s="33" t="str">
        <f t="shared" si="537"/>
        <v>SCL</v>
      </c>
      <c r="C8639" s="33" t="str">
        <f t="shared" si="538"/>
        <v>61501-7385</v>
      </c>
      <c r="D8639" s="64" t="s">
        <v>9888</v>
      </c>
      <c r="E8639" s="64" t="s">
        <v>3079</v>
      </c>
      <c r="F8639" s="64" t="s">
        <v>15</v>
      </c>
      <c r="G8639" s="64" t="s">
        <v>3035</v>
      </c>
      <c r="H8639" s="64" t="s">
        <v>3022</v>
      </c>
      <c r="I8639" s="64" t="s">
        <v>3036</v>
      </c>
      <c r="J8639" s="67">
        <v>0</v>
      </c>
      <c r="K8639" s="62">
        <v>78.56</v>
      </c>
      <c r="L8639" s="33" t="e">
        <f>HLOOKUP(B8639,#REF!,1,0)</f>
        <v>#REF!</v>
      </c>
      <c r="M8639" s="33" t="str">
        <f t="shared" si="539"/>
        <v>P&amp;L</v>
      </c>
    </row>
    <row r="8640" spans="1:13">
      <c r="A8640" s="33" t="str">
        <f t="shared" si="536"/>
        <v>SCL - Operating Expense</v>
      </c>
      <c r="B8640" s="33" t="str">
        <f t="shared" si="537"/>
        <v>SCL</v>
      </c>
      <c r="C8640" s="33" t="str">
        <f t="shared" si="538"/>
        <v>61501-7387</v>
      </c>
      <c r="D8640" s="64" t="s">
        <v>9889</v>
      </c>
      <c r="E8640" s="64" t="s">
        <v>3079</v>
      </c>
      <c r="F8640" s="64" t="s">
        <v>15</v>
      </c>
      <c r="G8640" s="64" t="s">
        <v>3035</v>
      </c>
      <c r="H8640" s="64" t="s">
        <v>3022</v>
      </c>
      <c r="I8640" s="64" t="s">
        <v>3036</v>
      </c>
      <c r="J8640" s="67">
        <v>0</v>
      </c>
      <c r="K8640" s="62">
        <v>269.89</v>
      </c>
      <c r="L8640" s="33" t="e">
        <f>HLOOKUP(B8640,#REF!,1,0)</f>
        <v>#REF!</v>
      </c>
      <c r="M8640" s="33" t="str">
        <f t="shared" si="539"/>
        <v>P&amp;L</v>
      </c>
    </row>
    <row r="8641" spans="1:13">
      <c r="A8641" s="33" t="str">
        <f t="shared" si="536"/>
        <v>SCL - Operating Expense</v>
      </c>
      <c r="B8641" s="33" t="str">
        <f t="shared" si="537"/>
        <v>SCL</v>
      </c>
      <c r="C8641" s="33" t="str">
        <f t="shared" si="538"/>
        <v>61501-7391</v>
      </c>
      <c r="D8641" s="64" t="s">
        <v>9890</v>
      </c>
      <c r="E8641" s="64" t="s">
        <v>3079</v>
      </c>
      <c r="F8641" s="64" t="s">
        <v>15</v>
      </c>
      <c r="G8641" s="64" t="s">
        <v>3035</v>
      </c>
      <c r="H8641" s="64" t="s">
        <v>3022</v>
      </c>
      <c r="I8641" s="64" t="s">
        <v>3036</v>
      </c>
      <c r="J8641" s="67">
        <v>0</v>
      </c>
      <c r="K8641" s="62">
        <v>78.56</v>
      </c>
      <c r="L8641" s="33" t="e">
        <f>HLOOKUP(B8641,#REF!,1,0)</f>
        <v>#REF!</v>
      </c>
      <c r="M8641" s="33" t="str">
        <f t="shared" si="539"/>
        <v>P&amp;L</v>
      </c>
    </row>
    <row r="8642" spans="1:13">
      <c r="A8642" s="33" t="str">
        <f t="shared" ref="A8642:A8705" si="540">B8642&amp;" - "&amp;TRIM(H8642)</f>
        <v>SCL - Operating Expense</v>
      </c>
      <c r="B8642" s="33" t="str">
        <f t="shared" ref="B8642:B8705" si="541">LEFT(D8642,3)</f>
        <v>SCL</v>
      </c>
      <c r="C8642" s="33" t="str">
        <f t="shared" ref="C8642:C8705" si="542">RIGHT(D8642,10)</f>
        <v>61501-7394</v>
      </c>
      <c r="D8642" s="64" t="s">
        <v>9891</v>
      </c>
      <c r="E8642" s="64" t="s">
        <v>3079</v>
      </c>
      <c r="F8642" s="64" t="s">
        <v>15</v>
      </c>
      <c r="G8642" s="64" t="s">
        <v>3035</v>
      </c>
      <c r="H8642" s="64" t="s">
        <v>3022</v>
      </c>
      <c r="I8642" s="64" t="s">
        <v>3036</v>
      </c>
      <c r="J8642" s="67">
        <v>0</v>
      </c>
      <c r="K8642" s="62">
        <v>111.6</v>
      </c>
      <c r="L8642" s="33" t="e">
        <f>HLOOKUP(B8642,#REF!,1,0)</f>
        <v>#REF!</v>
      </c>
      <c r="M8642" s="33" t="str">
        <f t="shared" ref="M8642:M8705" si="543">IF(VALUE(LEFT(C8642,5))&gt;40000,"P&amp;L","BS")</f>
        <v>P&amp;L</v>
      </c>
    </row>
    <row r="8643" spans="1:13">
      <c r="A8643" s="33" t="str">
        <f t="shared" si="540"/>
        <v>SCL - Operating Expense</v>
      </c>
      <c r="B8643" s="33" t="str">
        <f t="shared" si="541"/>
        <v>SCL</v>
      </c>
      <c r="C8643" s="33" t="str">
        <f t="shared" si="542"/>
        <v>61501-7396</v>
      </c>
      <c r="D8643" s="64" t="s">
        <v>9892</v>
      </c>
      <c r="E8643" s="64" t="s">
        <v>3079</v>
      </c>
      <c r="F8643" s="64" t="s">
        <v>15</v>
      </c>
      <c r="G8643" s="64" t="s">
        <v>3035</v>
      </c>
      <c r="H8643" s="64" t="s">
        <v>3022</v>
      </c>
      <c r="I8643" s="64" t="s">
        <v>3036</v>
      </c>
      <c r="J8643" s="67">
        <v>0</v>
      </c>
      <c r="K8643" s="62">
        <v>187.13</v>
      </c>
      <c r="L8643" s="33" t="e">
        <f>HLOOKUP(B8643,#REF!,1,0)</f>
        <v>#REF!</v>
      </c>
      <c r="M8643" s="33" t="str">
        <f t="shared" si="543"/>
        <v>P&amp;L</v>
      </c>
    </row>
    <row r="8644" spans="1:13">
      <c r="A8644" s="33" t="str">
        <f t="shared" si="540"/>
        <v>SCL - Operating Expense</v>
      </c>
      <c r="B8644" s="33" t="str">
        <f t="shared" si="541"/>
        <v>SCL</v>
      </c>
      <c r="C8644" s="33" t="str">
        <f t="shared" si="542"/>
        <v>61501-7397</v>
      </c>
      <c r="D8644" s="64" t="s">
        <v>9893</v>
      </c>
      <c r="E8644" s="64" t="s">
        <v>3079</v>
      </c>
      <c r="F8644" s="64" t="s">
        <v>15</v>
      </c>
      <c r="G8644" s="64" t="s">
        <v>3035</v>
      </c>
      <c r="H8644" s="64" t="s">
        <v>3022</v>
      </c>
      <c r="I8644" s="64" t="s">
        <v>3036</v>
      </c>
      <c r="J8644" s="67">
        <v>0</v>
      </c>
      <c r="K8644" s="62">
        <v>48.32</v>
      </c>
      <c r="L8644" s="33" t="e">
        <f>HLOOKUP(B8644,#REF!,1,0)</f>
        <v>#REF!</v>
      </c>
      <c r="M8644" s="33" t="str">
        <f t="shared" si="543"/>
        <v>P&amp;L</v>
      </c>
    </row>
    <row r="8645" spans="1:13">
      <c r="A8645" s="33" t="str">
        <f t="shared" si="540"/>
        <v>SCL - Operating Expense</v>
      </c>
      <c r="B8645" s="33" t="str">
        <f t="shared" si="541"/>
        <v>SCL</v>
      </c>
      <c r="C8645" s="33" t="str">
        <f t="shared" si="542"/>
        <v>61501-7398</v>
      </c>
      <c r="D8645" s="64" t="s">
        <v>9894</v>
      </c>
      <c r="E8645" s="64" t="s">
        <v>3079</v>
      </c>
      <c r="F8645" s="64" t="s">
        <v>15</v>
      </c>
      <c r="G8645" s="64" t="s">
        <v>3035</v>
      </c>
      <c r="H8645" s="64" t="s">
        <v>3022</v>
      </c>
      <c r="I8645" s="64" t="s">
        <v>3036</v>
      </c>
      <c r="J8645" s="67">
        <v>0</v>
      </c>
      <c r="K8645" s="62">
        <v>78.54</v>
      </c>
      <c r="L8645" s="33" t="e">
        <f>HLOOKUP(B8645,#REF!,1,0)</f>
        <v>#REF!</v>
      </c>
      <c r="M8645" s="33" t="str">
        <f t="shared" si="543"/>
        <v>P&amp;L</v>
      </c>
    </row>
    <row r="8646" spans="1:13">
      <c r="A8646" s="33" t="str">
        <f t="shared" si="540"/>
        <v>SCL - Operating Expense</v>
      </c>
      <c r="B8646" s="33" t="str">
        <f t="shared" si="541"/>
        <v>SCL</v>
      </c>
      <c r="C8646" s="33" t="str">
        <f t="shared" si="542"/>
        <v>61501-7402</v>
      </c>
      <c r="D8646" s="64" t="s">
        <v>9895</v>
      </c>
      <c r="E8646" s="64" t="s">
        <v>3079</v>
      </c>
      <c r="F8646" s="64" t="s">
        <v>15</v>
      </c>
      <c r="G8646" s="64" t="s">
        <v>3035</v>
      </c>
      <c r="H8646" s="64" t="s">
        <v>3022</v>
      </c>
      <c r="I8646" s="64" t="s">
        <v>3036</v>
      </c>
      <c r="J8646" s="67">
        <v>133.56</v>
      </c>
      <c r="K8646" s="62">
        <v>277.77</v>
      </c>
      <c r="L8646" s="33" t="e">
        <f>HLOOKUP(B8646,#REF!,1,0)</f>
        <v>#REF!</v>
      </c>
      <c r="M8646" s="33" t="str">
        <f t="shared" si="543"/>
        <v>P&amp;L</v>
      </c>
    </row>
    <row r="8647" spans="1:13">
      <c r="A8647" s="33" t="str">
        <f t="shared" si="540"/>
        <v>SCL - Operating Expense</v>
      </c>
      <c r="B8647" s="33" t="str">
        <f t="shared" si="541"/>
        <v>SCL</v>
      </c>
      <c r="C8647" s="33" t="str">
        <f t="shared" si="542"/>
        <v>61501-7403</v>
      </c>
      <c r="D8647" s="64" t="s">
        <v>9896</v>
      </c>
      <c r="E8647" s="64" t="s">
        <v>3079</v>
      </c>
      <c r="F8647" s="64" t="s">
        <v>15</v>
      </c>
      <c r="G8647" s="64" t="s">
        <v>3035</v>
      </c>
      <c r="H8647" s="64" t="s">
        <v>3022</v>
      </c>
      <c r="I8647" s="64" t="s">
        <v>3036</v>
      </c>
      <c r="J8647" s="67">
        <v>0</v>
      </c>
      <c r="K8647" s="62">
        <v>172.62</v>
      </c>
      <c r="L8647" s="33" t="e">
        <f>HLOOKUP(B8647,#REF!,1,0)</f>
        <v>#REF!</v>
      </c>
      <c r="M8647" s="33" t="str">
        <f t="shared" si="543"/>
        <v>P&amp;L</v>
      </c>
    </row>
    <row r="8648" spans="1:13">
      <c r="A8648" s="33" t="str">
        <f t="shared" si="540"/>
        <v>SCL - Operating Expense</v>
      </c>
      <c r="B8648" s="33" t="str">
        <f t="shared" si="541"/>
        <v>SCL</v>
      </c>
      <c r="C8648" s="33" t="str">
        <f t="shared" si="542"/>
        <v>61501-7489</v>
      </c>
      <c r="D8648" s="64" t="s">
        <v>9897</v>
      </c>
      <c r="E8648" s="64" t="s">
        <v>3079</v>
      </c>
      <c r="F8648" s="64" t="s">
        <v>15</v>
      </c>
      <c r="G8648" s="64" t="s">
        <v>3035</v>
      </c>
      <c r="H8648" s="64" t="s">
        <v>3022</v>
      </c>
      <c r="I8648" s="64" t="s">
        <v>3036</v>
      </c>
      <c r="J8648" s="67">
        <v>0</v>
      </c>
      <c r="K8648" s="62">
        <v>111.3</v>
      </c>
      <c r="L8648" s="33" t="e">
        <f>HLOOKUP(B8648,#REF!,1,0)</f>
        <v>#REF!</v>
      </c>
      <c r="M8648" s="33" t="str">
        <f t="shared" si="543"/>
        <v>P&amp;L</v>
      </c>
    </row>
    <row r="8649" spans="1:13">
      <c r="A8649" s="33" t="str">
        <f t="shared" si="540"/>
        <v>SCL - Operating Expense</v>
      </c>
      <c r="B8649" s="33" t="str">
        <f t="shared" si="541"/>
        <v>SCL</v>
      </c>
      <c r="C8649" s="33" t="str">
        <f t="shared" si="542"/>
        <v>61501-7491</v>
      </c>
      <c r="D8649" s="64" t="s">
        <v>9898</v>
      </c>
      <c r="E8649" s="64" t="s">
        <v>3079</v>
      </c>
      <c r="F8649" s="64" t="s">
        <v>15</v>
      </c>
      <c r="G8649" s="64" t="s">
        <v>3035</v>
      </c>
      <c r="H8649" s="64" t="s">
        <v>3022</v>
      </c>
      <c r="I8649" s="64" t="s">
        <v>3036</v>
      </c>
      <c r="J8649" s="67">
        <v>0</v>
      </c>
      <c r="K8649" s="62">
        <v>106.52</v>
      </c>
      <c r="L8649" s="33" t="e">
        <f>HLOOKUP(B8649,#REF!,1,0)</f>
        <v>#REF!</v>
      </c>
      <c r="M8649" s="33" t="str">
        <f t="shared" si="543"/>
        <v>P&amp;L</v>
      </c>
    </row>
    <row r="8650" spans="1:13">
      <c r="A8650" s="33" t="str">
        <f t="shared" si="540"/>
        <v>SCL - Operating Expense</v>
      </c>
      <c r="B8650" s="33" t="str">
        <f t="shared" si="541"/>
        <v>SCL</v>
      </c>
      <c r="C8650" s="33" t="str">
        <f t="shared" si="542"/>
        <v>61501-7492</v>
      </c>
      <c r="D8650" s="64" t="s">
        <v>9899</v>
      </c>
      <c r="E8650" s="64" t="s">
        <v>3079</v>
      </c>
      <c r="F8650" s="64" t="s">
        <v>15</v>
      </c>
      <c r="G8650" s="64" t="s">
        <v>3035</v>
      </c>
      <c r="H8650" s="64" t="s">
        <v>3022</v>
      </c>
      <c r="I8650" s="64" t="s">
        <v>3036</v>
      </c>
      <c r="J8650" s="67">
        <v>0</v>
      </c>
      <c r="K8650" s="62">
        <v>94.76</v>
      </c>
      <c r="L8650" s="33" t="e">
        <f>HLOOKUP(B8650,#REF!,1,0)</f>
        <v>#REF!</v>
      </c>
      <c r="M8650" s="33" t="str">
        <f t="shared" si="543"/>
        <v>P&amp;L</v>
      </c>
    </row>
    <row r="8651" spans="1:13">
      <c r="A8651" s="33" t="str">
        <f t="shared" si="540"/>
        <v>SCL - Operating Expense</v>
      </c>
      <c r="B8651" s="33" t="str">
        <f t="shared" si="541"/>
        <v>SCL</v>
      </c>
      <c r="C8651" s="33" t="str">
        <f t="shared" si="542"/>
        <v>61501-7625</v>
      </c>
      <c r="D8651" s="64" t="s">
        <v>9900</v>
      </c>
      <c r="E8651" s="64" t="s">
        <v>3079</v>
      </c>
      <c r="F8651" s="64" t="s">
        <v>15</v>
      </c>
      <c r="G8651" s="64" t="s">
        <v>3035</v>
      </c>
      <c r="H8651" s="64" t="s">
        <v>3022</v>
      </c>
      <c r="I8651" s="64" t="s">
        <v>3036</v>
      </c>
      <c r="J8651" s="67">
        <v>0</v>
      </c>
      <c r="K8651" s="62">
        <v>293.76</v>
      </c>
      <c r="L8651" s="33" t="e">
        <f>HLOOKUP(B8651,#REF!,1,0)</f>
        <v>#REF!</v>
      </c>
      <c r="M8651" s="33" t="str">
        <f t="shared" si="543"/>
        <v>P&amp;L</v>
      </c>
    </row>
    <row r="8652" spans="1:13">
      <c r="A8652" s="33" t="str">
        <f t="shared" si="540"/>
        <v>SCL - Operating Expense</v>
      </c>
      <c r="B8652" s="33" t="str">
        <f t="shared" si="541"/>
        <v>SCL</v>
      </c>
      <c r="C8652" s="33" t="str">
        <f t="shared" si="542"/>
        <v>61502-7359</v>
      </c>
      <c r="D8652" s="64" t="s">
        <v>9901</v>
      </c>
      <c r="E8652" s="64" t="s">
        <v>3084</v>
      </c>
      <c r="F8652" s="64" t="s">
        <v>15</v>
      </c>
      <c r="G8652" s="64" t="s">
        <v>3035</v>
      </c>
      <c r="H8652" s="64" t="s">
        <v>3022</v>
      </c>
      <c r="I8652" s="64" t="s">
        <v>3036</v>
      </c>
      <c r="J8652" s="67">
        <v>0</v>
      </c>
      <c r="K8652" s="62">
        <v>1673.5</v>
      </c>
      <c r="L8652" s="33" t="e">
        <f>HLOOKUP(B8652,#REF!,1,0)</f>
        <v>#REF!</v>
      </c>
      <c r="M8652" s="33" t="str">
        <f t="shared" si="543"/>
        <v>P&amp;L</v>
      </c>
    </row>
    <row r="8653" spans="1:13">
      <c r="A8653" s="33" t="str">
        <f t="shared" si="540"/>
        <v>SCL - Operating Expense</v>
      </c>
      <c r="B8653" s="33" t="str">
        <f t="shared" si="541"/>
        <v>SCL</v>
      </c>
      <c r="C8653" s="33" t="str">
        <f t="shared" si="542"/>
        <v>61502-7385</v>
      </c>
      <c r="D8653" s="64" t="s">
        <v>9902</v>
      </c>
      <c r="E8653" s="64" t="s">
        <v>3084</v>
      </c>
      <c r="F8653" s="64" t="s">
        <v>15</v>
      </c>
      <c r="G8653" s="64" t="s">
        <v>3035</v>
      </c>
      <c r="H8653" s="64" t="s">
        <v>3022</v>
      </c>
      <c r="I8653" s="64" t="s">
        <v>3036</v>
      </c>
      <c r="J8653" s="67">
        <v>0</v>
      </c>
      <c r="K8653" s="62">
        <v>2542.2</v>
      </c>
      <c r="L8653" s="33" t="e">
        <f>HLOOKUP(B8653,#REF!,1,0)</f>
        <v>#REF!</v>
      </c>
      <c r="M8653" s="33" t="str">
        <f t="shared" si="543"/>
        <v>P&amp;L</v>
      </c>
    </row>
    <row r="8654" spans="1:13">
      <c r="A8654" s="33" t="str">
        <f t="shared" si="540"/>
        <v>SCL - Operating Expense</v>
      </c>
      <c r="B8654" s="33" t="str">
        <f t="shared" si="541"/>
        <v>SCL</v>
      </c>
      <c r="C8654" s="33" t="str">
        <f t="shared" si="542"/>
        <v>61502-7491</v>
      </c>
      <c r="D8654" s="64" t="s">
        <v>9903</v>
      </c>
      <c r="E8654" s="64" t="s">
        <v>3084</v>
      </c>
      <c r="F8654" s="64" t="s">
        <v>15</v>
      </c>
      <c r="G8654" s="64" t="s">
        <v>3035</v>
      </c>
      <c r="H8654" s="64" t="s">
        <v>3022</v>
      </c>
      <c r="I8654" s="64" t="s">
        <v>3036</v>
      </c>
      <c r="J8654" s="67">
        <v>0</v>
      </c>
      <c r="K8654" s="62">
        <v>3155.58</v>
      </c>
      <c r="L8654" s="33" t="e">
        <f>HLOOKUP(B8654,#REF!,1,0)</f>
        <v>#REF!</v>
      </c>
      <c r="M8654" s="33" t="str">
        <f t="shared" si="543"/>
        <v>P&amp;L</v>
      </c>
    </row>
    <row r="8655" spans="1:13">
      <c r="A8655" s="33" t="str">
        <f t="shared" si="540"/>
        <v>SCL - Operating Expense</v>
      </c>
      <c r="B8655" s="33" t="str">
        <f t="shared" si="541"/>
        <v>SCL</v>
      </c>
      <c r="C8655" s="33" t="str">
        <f t="shared" si="542"/>
        <v>61505-7351</v>
      </c>
      <c r="D8655" s="64" t="s">
        <v>9904</v>
      </c>
      <c r="E8655" s="64" t="s">
        <v>4934</v>
      </c>
      <c r="F8655" s="64" t="s">
        <v>15</v>
      </c>
      <c r="G8655" s="64" t="s">
        <v>3044</v>
      </c>
      <c r="H8655" s="64" t="s">
        <v>3022</v>
      </c>
      <c r="I8655" s="64" t="s">
        <v>3045</v>
      </c>
      <c r="J8655" s="67">
        <v>0</v>
      </c>
      <c r="K8655" s="62">
        <v>35.72</v>
      </c>
      <c r="L8655" s="33" t="e">
        <f>HLOOKUP(B8655,#REF!,1,0)</f>
        <v>#REF!</v>
      </c>
      <c r="M8655" s="33" t="str">
        <f t="shared" si="543"/>
        <v>P&amp;L</v>
      </c>
    </row>
    <row r="8656" spans="1:13">
      <c r="A8656" s="33" t="str">
        <f t="shared" si="540"/>
        <v>SCL - Operating Expense</v>
      </c>
      <c r="B8656" s="33" t="str">
        <f t="shared" si="541"/>
        <v>SCL</v>
      </c>
      <c r="C8656" s="33" t="str">
        <f t="shared" si="542"/>
        <v>61505-7352</v>
      </c>
      <c r="D8656" s="64" t="s">
        <v>9905</v>
      </c>
      <c r="E8656" s="64" t="s">
        <v>4934</v>
      </c>
      <c r="F8656" s="64" t="s">
        <v>15</v>
      </c>
      <c r="G8656" s="64" t="s">
        <v>3044</v>
      </c>
      <c r="H8656" s="64" t="s">
        <v>3022</v>
      </c>
      <c r="I8656" s="64" t="s">
        <v>3045</v>
      </c>
      <c r="J8656" s="67">
        <v>0</v>
      </c>
      <c r="K8656" s="62">
        <v>35.71</v>
      </c>
      <c r="L8656" s="33" t="e">
        <f>HLOOKUP(B8656,#REF!,1,0)</f>
        <v>#REF!</v>
      </c>
      <c r="M8656" s="33" t="str">
        <f t="shared" si="543"/>
        <v>P&amp;L</v>
      </c>
    </row>
    <row r="8657" spans="1:13">
      <c r="A8657" s="33" t="str">
        <f t="shared" si="540"/>
        <v>SCL - Operating Expense</v>
      </c>
      <c r="B8657" s="33" t="str">
        <f t="shared" si="541"/>
        <v>SCL</v>
      </c>
      <c r="C8657" s="33" t="str">
        <f t="shared" si="542"/>
        <v>61505-7355</v>
      </c>
      <c r="D8657" s="64" t="s">
        <v>9906</v>
      </c>
      <c r="E8657" s="64" t="s">
        <v>4934</v>
      </c>
      <c r="F8657" s="64" t="s">
        <v>15</v>
      </c>
      <c r="G8657" s="64" t="s">
        <v>3044</v>
      </c>
      <c r="H8657" s="64" t="s">
        <v>3022</v>
      </c>
      <c r="I8657" s="64" t="s">
        <v>3045</v>
      </c>
      <c r="J8657" s="67">
        <v>0</v>
      </c>
      <c r="K8657" s="62">
        <v>35.72</v>
      </c>
      <c r="L8657" s="33" t="e">
        <f>HLOOKUP(B8657,#REF!,1,0)</f>
        <v>#REF!</v>
      </c>
      <c r="M8657" s="33" t="str">
        <f t="shared" si="543"/>
        <v>P&amp;L</v>
      </c>
    </row>
    <row r="8658" spans="1:13">
      <c r="A8658" s="33" t="str">
        <f t="shared" si="540"/>
        <v>SCL - Operating Expense</v>
      </c>
      <c r="B8658" s="33" t="str">
        <f t="shared" si="541"/>
        <v>SCL</v>
      </c>
      <c r="C8658" s="33" t="str">
        <f t="shared" si="542"/>
        <v>61505-7356</v>
      </c>
      <c r="D8658" s="64" t="s">
        <v>9907</v>
      </c>
      <c r="E8658" s="64" t="s">
        <v>4934</v>
      </c>
      <c r="F8658" s="64" t="s">
        <v>15</v>
      </c>
      <c r="G8658" s="64" t="s">
        <v>3044</v>
      </c>
      <c r="H8658" s="64" t="s">
        <v>3022</v>
      </c>
      <c r="I8658" s="64" t="s">
        <v>3045</v>
      </c>
      <c r="J8658" s="67">
        <v>0</v>
      </c>
      <c r="K8658" s="62">
        <v>35.71</v>
      </c>
      <c r="L8658" s="33" t="e">
        <f>HLOOKUP(B8658,#REF!,1,0)</f>
        <v>#REF!</v>
      </c>
      <c r="M8658" s="33" t="str">
        <f t="shared" si="543"/>
        <v>P&amp;L</v>
      </c>
    </row>
    <row r="8659" spans="1:13">
      <c r="A8659" s="33" t="str">
        <f t="shared" si="540"/>
        <v>SCL - Operating Expense</v>
      </c>
      <c r="B8659" s="33" t="str">
        <f t="shared" si="541"/>
        <v>SCL</v>
      </c>
      <c r="C8659" s="33" t="str">
        <f t="shared" si="542"/>
        <v>61505-7359</v>
      </c>
      <c r="D8659" s="64" t="s">
        <v>9908</v>
      </c>
      <c r="E8659" s="64" t="s">
        <v>4934</v>
      </c>
      <c r="F8659" s="64" t="s">
        <v>15</v>
      </c>
      <c r="G8659" s="64" t="s">
        <v>3044</v>
      </c>
      <c r="H8659" s="64" t="s">
        <v>3022</v>
      </c>
      <c r="I8659" s="64" t="s">
        <v>3045</v>
      </c>
      <c r="J8659" s="67">
        <v>0</v>
      </c>
      <c r="K8659" s="62">
        <v>35.72</v>
      </c>
      <c r="L8659" s="33" t="e">
        <f>HLOOKUP(B8659,#REF!,1,0)</f>
        <v>#REF!</v>
      </c>
      <c r="M8659" s="33" t="str">
        <f t="shared" si="543"/>
        <v>P&amp;L</v>
      </c>
    </row>
    <row r="8660" spans="1:13">
      <c r="A8660" s="33" t="str">
        <f t="shared" si="540"/>
        <v>SCL - Operating Expense</v>
      </c>
      <c r="B8660" s="33" t="str">
        <f t="shared" si="541"/>
        <v>SCL</v>
      </c>
      <c r="C8660" s="33" t="str">
        <f t="shared" si="542"/>
        <v>61505-7360</v>
      </c>
      <c r="D8660" s="64" t="s">
        <v>9909</v>
      </c>
      <c r="E8660" s="64" t="s">
        <v>4934</v>
      </c>
      <c r="F8660" s="64" t="s">
        <v>15</v>
      </c>
      <c r="G8660" s="64" t="s">
        <v>3044</v>
      </c>
      <c r="H8660" s="64" t="s">
        <v>3022</v>
      </c>
      <c r="I8660" s="64" t="s">
        <v>3045</v>
      </c>
      <c r="J8660" s="67">
        <v>0</v>
      </c>
      <c r="K8660" s="62">
        <v>35.72</v>
      </c>
      <c r="L8660" s="33" t="e">
        <f>HLOOKUP(B8660,#REF!,1,0)</f>
        <v>#REF!</v>
      </c>
      <c r="M8660" s="33" t="str">
        <f t="shared" si="543"/>
        <v>P&amp;L</v>
      </c>
    </row>
    <row r="8661" spans="1:13">
      <c r="A8661" s="33" t="str">
        <f t="shared" si="540"/>
        <v>SCL - Operating Expense</v>
      </c>
      <c r="B8661" s="33" t="str">
        <f t="shared" si="541"/>
        <v>SCL</v>
      </c>
      <c r="C8661" s="33" t="str">
        <f t="shared" si="542"/>
        <v>61505-7361</v>
      </c>
      <c r="D8661" s="64" t="s">
        <v>9910</v>
      </c>
      <c r="E8661" s="64" t="s">
        <v>4934</v>
      </c>
      <c r="F8661" s="64" t="s">
        <v>15</v>
      </c>
      <c r="G8661" s="64" t="s">
        <v>3044</v>
      </c>
      <c r="H8661" s="64" t="s">
        <v>3022</v>
      </c>
      <c r="I8661" s="64" t="s">
        <v>3045</v>
      </c>
      <c r="J8661" s="67">
        <v>0</v>
      </c>
      <c r="K8661" s="62">
        <v>35.71</v>
      </c>
      <c r="L8661" s="33" t="e">
        <f>HLOOKUP(B8661,#REF!,1,0)</f>
        <v>#REF!</v>
      </c>
      <c r="M8661" s="33" t="str">
        <f t="shared" si="543"/>
        <v>P&amp;L</v>
      </c>
    </row>
    <row r="8662" spans="1:13">
      <c r="A8662" s="33" t="str">
        <f t="shared" si="540"/>
        <v>SCL - Operating Expense</v>
      </c>
      <c r="B8662" s="33" t="str">
        <f t="shared" si="541"/>
        <v>SCL</v>
      </c>
      <c r="C8662" s="33" t="str">
        <f t="shared" si="542"/>
        <v>61505-7362</v>
      </c>
      <c r="D8662" s="64" t="s">
        <v>9911</v>
      </c>
      <c r="E8662" s="64" t="s">
        <v>4934</v>
      </c>
      <c r="F8662" s="64" t="s">
        <v>15</v>
      </c>
      <c r="G8662" s="64" t="s">
        <v>3044</v>
      </c>
      <c r="H8662" s="64" t="s">
        <v>3022</v>
      </c>
      <c r="I8662" s="64" t="s">
        <v>3045</v>
      </c>
      <c r="J8662" s="67">
        <v>0</v>
      </c>
      <c r="K8662" s="62">
        <v>35.71</v>
      </c>
      <c r="L8662" s="33" t="e">
        <f>HLOOKUP(B8662,#REF!,1,0)</f>
        <v>#REF!</v>
      </c>
      <c r="M8662" s="33" t="str">
        <f t="shared" si="543"/>
        <v>P&amp;L</v>
      </c>
    </row>
    <row r="8663" spans="1:13">
      <c r="A8663" s="33" t="str">
        <f t="shared" si="540"/>
        <v>SCL - Operating Expense</v>
      </c>
      <c r="B8663" s="33" t="str">
        <f t="shared" si="541"/>
        <v>SCL</v>
      </c>
      <c r="C8663" s="33" t="str">
        <f t="shared" si="542"/>
        <v>61505-7363</v>
      </c>
      <c r="D8663" s="64" t="s">
        <v>9912</v>
      </c>
      <c r="E8663" s="64" t="s">
        <v>4934</v>
      </c>
      <c r="F8663" s="64" t="s">
        <v>15</v>
      </c>
      <c r="G8663" s="64" t="s">
        <v>3044</v>
      </c>
      <c r="H8663" s="64" t="s">
        <v>3022</v>
      </c>
      <c r="I8663" s="64" t="s">
        <v>3045</v>
      </c>
      <c r="J8663" s="67">
        <v>0</v>
      </c>
      <c r="K8663" s="62">
        <v>35.71</v>
      </c>
      <c r="L8663" s="33" t="e">
        <f>HLOOKUP(B8663,#REF!,1,0)</f>
        <v>#REF!</v>
      </c>
      <c r="M8663" s="33" t="str">
        <f t="shared" si="543"/>
        <v>P&amp;L</v>
      </c>
    </row>
    <row r="8664" spans="1:13">
      <c r="A8664" s="33" t="str">
        <f t="shared" si="540"/>
        <v>SCL - Operating Expense</v>
      </c>
      <c r="B8664" s="33" t="str">
        <f t="shared" si="541"/>
        <v>SCL</v>
      </c>
      <c r="C8664" s="33" t="str">
        <f t="shared" si="542"/>
        <v>61505-7364</v>
      </c>
      <c r="D8664" s="64" t="s">
        <v>9913</v>
      </c>
      <c r="E8664" s="64" t="s">
        <v>4934</v>
      </c>
      <c r="F8664" s="64" t="s">
        <v>15</v>
      </c>
      <c r="G8664" s="64" t="s">
        <v>3044</v>
      </c>
      <c r="H8664" s="64" t="s">
        <v>3022</v>
      </c>
      <c r="I8664" s="64" t="s">
        <v>3045</v>
      </c>
      <c r="J8664" s="67">
        <v>0</v>
      </c>
      <c r="K8664" s="62">
        <v>35.72</v>
      </c>
      <c r="L8664" s="33" t="e">
        <f>HLOOKUP(B8664,#REF!,1,0)</f>
        <v>#REF!</v>
      </c>
      <c r="M8664" s="33" t="str">
        <f t="shared" si="543"/>
        <v>P&amp;L</v>
      </c>
    </row>
    <row r="8665" spans="1:13">
      <c r="A8665" s="33" t="str">
        <f t="shared" si="540"/>
        <v>SCL - Operating Expense</v>
      </c>
      <c r="B8665" s="33" t="str">
        <f t="shared" si="541"/>
        <v>SCL</v>
      </c>
      <c r="C8665" s="33" t="str">
        <f t="shared" si="542"/>
        <v>61505-7365</v>
      </c>
      <c r="D8665" s="64" t="s">
        <v>9914</v>
      </c>
      <c r="E8665" s="64" t="s">
        <v>4934</v>
      </c>
      <c r="F8665" s="64" t="s">
        <v>15</v>
      </c>
      <c r="G8665" s="64" t="s">
        <v>3044</v>
      </c>
      <c r="H8665" s="64" t="s">
        <v>3022</v>
      </c>
      <c r="I8665" s="64" t="s">
        <v>3045</v>
      </c>
      <c r="J8665" s="67">
        <v>0</v>
      </c>
      <c r="K8665" s="62">
        <v>35.71</v>
      </c>
      <c r="L8665" s="33" t="e">
        <f>HLOOKUP(B8665,#REF!,1,0)</f>
        <v>#REF!</v>
      </c>
      <c r="M8665" s="33" t="str">
        <f t="shared" si="543"/>
        <v>P&amp;L</v>
      </c>
    </row>
    <row r="8666" spans="1:13">
      <c r="A8666" s="33" t="str">
        <f t="shared" si="540"/>
        <v>SCL - Operating Expense</v>
      </c>
      <c r="B8666" s="33" t="str">
        <f t="shared" si="541"/>
        <v>SCL</v>
      </c>
      <c r="C8666" s="33" t="str">
        <f t="shared" si="542"/>
        <v>61505-7366</v>
      </c>
      <c r="D8666" s="64" t="s">
        <v>9915</v>
      </c>
      <c r="E8666" s="64" t="s">
        <v>4934</v>
      </c>
      <c r="F8666" s="64" t="s">
        <v>15</v>
      </c>
      <c r="G8666" s="64" t="s">
        <v>3044</v>
      </c>
      <c r="H8666" s="64" t="s">
        <v>3022</v>
      </c>
      <c r="I8666" s="64" t="s">
        <v>3045</v>
      </c>
      <c r="J8666" s="67">
        <v>0</v>
      </c>
      <c r="K8666" s="62">
        <v>35.72</v>
      </c>
      <c r="L8666" s="33" t="e">
        <f>HLOOKUP(B8666,#REF!,1,0)</f>
        <v>#REF!</v>
      </c>
      <c r="M8666" s="33" t="str">
        <f t="shared" si="543"/>
        <v>P&amp;L</v>
      </c>
    </row>
    <row r="8667" spans="1:13">
      <c r="A8667" s="33" t="str">
        <f t="shared" si="540"/>
        <v>SCL - Operating Expense</v>
      </c>
      <c r="B8667" s="33" t="str">
        <f t="shared" si="541"/>
        <v>SCL</v>
      </c>
      <c r="C8667" s="33" t="str">
        <f t="shared" si="542"/>
        <v>61505-7368</v>
      </c>
      <c r="D8667" s="64" t="s">
        <v>9916</v>
      </c>
      <c r="E8667" s="64" t="s">
        <v>4934</v>
      </c>
      <c r="F8667" s="64" t="s">
        <v>15</v>
      </c>
      <c r="G8667" s="64" t="s">
        <v>3044</v>
      </c>
      <c r="H8667" s="64" t="s">
        <v>3022</v>
      </c>
      <c r="I8667" s="64" t="s">
        <v>3045</v>
      </c>
      <c r="J8667" s="67">
        <v>0</v>
      </c>
      <c r="K8667" s="62">
        <v>35.72</v>
      </c>
      <c r="L8667" s="33" t="e">
        <f>HLOOKUP(B8667,#REF!,1,0)</f>
        <v>#REF!</v>
      </c>
      <c r="M8667" s="33" t="str">
        <f t="shared" si="543"/>
        <v>P&amp;L</v>
      </c>
    </row>
    <row r="8668" spans="1:13">
      <c r="A8668" s="33" t="str">
        <f t="shared" si="540"/>
        <v>SCL - Operating Expense</v>
      </c>
      <c r="B8668" s="33" t="str">
        <f t="shared" si="541"/>
        <v>SCL</v>
      </c>
      <c r="C8668" s="33" t="str">
        <f t="shared" si="542"/>
        <v>61505-7369</v>
      </c>
      <c r="D8668" s="64" t="s">
        <v>9917</v>
      </c>
      <c r="E8668" s="64" t="s">
        <v>4934</v>
      </c>
      <c r="F8668" s="64" t="s">
        <v>15</v>
      </c>
      <c r="G8668" s="64" t="s">
        <v>3044</v>
      </c>
      <c r="H8668" s="64" t="s">
        <v>3022</v>
      </c>
      <c r="I8668" s="64" t="s">
        <v>3045</v>
      </c>
      <c r="J8668" s="67">
        <v>0</v>
      </c>
      <c r="K8668" s="62">
        <v>35.71</v>
      </c>
      <c r="L8668" s="33" t="e">
        <f>HLOOKUP(B8668,#REF!,1,0)</f>
        <v>#REF!</v>
      </c>
      <c r="M8668" s="33" t="str">
        <f t="shared" si="543"/>
        <v>P&amp;L</v>
      </c>
    </row>
    <row r="8669" spans="1:13">
      <c r="A8669" s="33" t="str">
        <f t="shared" si="540"/>
        <v>SCL - Operating Expense</v>
      </c>
      <c r="B8669" s="33" t="str">
        <f t="shared" si="541"/>
        <v>SCL</v>
      </c>
      <c r="C8669" s="33" t="str">
        <f t="shared" si="542"/>
        <v>61505-7371</v>
      </c>
      <c r="D8669" s="64" t="s">
        <v>9918</v>
      </c>
      <c r="E8669" s="64" t="s">
        <v>4934</v>
      </c>
      <c r="F8669" s="64" t="s">
        <v>15</v>
      </c>
      <c r="G8669" s="64" t="s">
        <v>3044</v>
      </c>
      <c r="H8669" s="64" t="s">
        <v>3022</v>
      </c>
      <c r="I8669" s="64" t="s">
        <v>3045</v>
      </c>
      <c r="J8669" s="67">
        <v>0</v>
      </c>
      <c r="K8669" s="62">
        <v>35.72</v>
      </c>
      <c r="L8669" s="33" t="e">
        <f>HLOOKUP(B8669,#REF!,1,0)</f>
        <v>#REF!</v>
      </c>
      <c r="M8669" s="33" t="str">
        <f t="shared" si="543"/>
        <v>P&amp;L</v>
      </c>
    </row>
    <row r="8670" spans="1:13">
      <c r="A8670" s="33" t="str">
        <f t="shared" si="540"/>
        <v>SCL - Operating Expense</v>
      </c>
      <c r="B8670" s="33" t="str">
        <f t="shared" si="541"/>
        <v>SCL</v>
      </c>
      <c r="C8670" s="33" t="str">
        <f t="shared" si="542"/>
        <v>61505-7374</v>
      </c>
      <c r="D8670" s="64" t="s">
        <v>9919</v>
      </c>
      <c r="E8670" s="64" t="s">
        <v>4934</v>
      </c>
      <c r="F8670" s="64" t="s">
        <v>15</v>
      </c>
      <c r="G8670" s="64" t="s">
        <v>3044</v>
      </c>
      <c r="H8670" s="64" t="s">
        <v>3022</v>
      </c>
      <c r="I8670" s="64" t="s">
        <v>3045</v>
      </c>
      <c r="J8670" s="67">
        <v>0</v>
      </c>
      <c r="K8670" s="62">
        <v>35.71</v>
      </c>
      <c r="L8670" s="33" t="e">
        <f>HLOOKUP(B8670,#REF!,1,0)</f>
        <v>#REF!</v>
      </c>
      <c r="M8670" s="33" t="str">
        <f t="shared" si="543"/>
        <v>P&amp;L</v>
      </c>
    </row>
    <row r="8671" spans="1:13">
      <c r="A8671" s="33" t="str">
        <f t="shared" si="540"/>
        <v>SCL - Operating Expense</v>
      </c>
      <c r="B8671" s="33" t="str">
        <f t="shared" si="541"/>
        <v>SCL</v>
      </c>
      <c r="C8671" s="33" t="str">
        <f t="shared" si="542"/>
        <v>61505-7375</v>
      </c>
      <c r="D8671" s="64" t="s">
        <v>9920</v>
      </c>
      <c r="E8671" s="64" t="s">
        <v>4934</v>
      </c>
      <c r="F8671" s="64" t="s">
        <v>15</v>
      </c>
      <c r="G8671" s="64" t="s">
        <v>3044</v>
      </c>
      <c r="H8671" s="64" t="s">
        <v>3022</v>
      </c>
      <c r="I8671" s="64" t="s">
        <v>3045</v>
      </c>
      <c r="J8671" s="67">
        <v>0</v>
      </c>
      <c r="K8671" s="62">
        <v>35.71</v>
      </c>
      <c r="L8671" s="33" t="e">
        <f>HLOOKUP(B8671,#REF!,1,0)</f>
        <v>#REF!</v>
      </c>
      <c r="M8671" s="33" t="str">
        <f t="shared" si="543"/>
        <v>P&amp;L</v>
      </c>
    </row>
    <row r="8672" spans="1:13">
      <c r="A8672" s="33" t="str">
        <f t="shared" si="540"/>
        <v>SCL - Operating Expense</v>
      </c>
      <c r="B8672" s="33" t="str">
        <f t="shared" si="541"/>
        <v>SCL</v>
      </c>
      <c r="C8672" s="33" t="str">
        <f t="shared" si="542"/>
        <v>61505-7376</v>
      </c>
      <c r="D8672" s="64" t="s">
        <v>9921</v>
      </c>
      <c r="E8672" s="64" t="s">
        <v>4934</v>
      </c>
      <c r="F8672" s="64" t="s">
        <v>15</v>
      </c>
      <c r="G8672" s="64" t="s">
        <v>3044</v>
      </c>
      <c r="H8672" s="64" t="s">
        <v>3022</v>
      </c>
      <c r="I8672" s="64" t="s">
        <v>3045</v>
      </c>
      <c r="J8672" s="67">
        <v>0</v>
      </c>
      <c r="K8672" s="62">
        <v>35.72</v>
      </c>
      <c r="L8672" s="33" t="e">
        <f>HLOOKUP(B8672,#REF!,1,0)</f>
        <v>#REF!</v>
      </c>
      <c r="M8672" s="33" t="str">
        <f t="shared" si="543"/>
        <v>P&amp;L</v>
      </c>
    </row>
    <row r="8673" spans="1:13">
      <c r="A8673" s="33" t="str">
        <f t="shared" si="540"/>
        <v>SCL - Operating Expense</v>
      </c>
      <c r="B8673" s="33" t="str">
        <f t="shared" si="541"/>
        <v>SCL</v>
      </c>
      <c r="C8673" s="33" t="str">
        <f t="shared" si="542"/>
        <v>61505-7377</v>
      </c>
      <c r="D8673" s="64" t="s">
        <v>9922</v>
      </c>
      <c r="E8673" s="64" t="s">
        <v>4934</v>
      </c>
      <c r="F8673" s="64" t="s">
        <v>15</v>
      </c>
      <c r="G8673" s="64" t="s">
        <v>3044</v>
      </c>
      <c r="H8673" s="64" t="s">
        <v>3022</v>
      </c>
      <c r="I8673" s="64" t="s">
        <v>3045</v>
      </c>
      <c r="J8673" s="67">
        <v>0</v>
      </c>
      <c r="K8673" s="62">
        <v>35.71</v>
      </c>
      <c r="L8673" s="33" t="e">
        <f>HLOOKUP(B8673,#REF!,1,0)</f>
        <v>#REF!</v>
      </c>
      <c r="M8673" s="33" t="str">
        <f t="shared" si="543"/>
        <v>P&amp;L</v>
      </c>
    </row>
    <row r="8674" spans="1:13">
      <c r="A8674" s="33" t="str">
        <f t="shared" si="540"/>
        <v>SCL - Operating Expense</v>
      </c>
      <c r="B8674" s="33" t="str">
        <f t="shared" si="541"/>
        <v>SCL</v>
      </c>
      <c r="C8674" s="33" t="str">
        <f t="shared" si="542"/>
        <v>61505-7378</v>
      </c>
      <c r="D8674" s="64" t="s">
        <v>9923</v>
      </c>
      <c r="E8674" s="64" t="s">
        <v>4934</v>
      </c>
      <c r="F8674" s="64" t="s">
        <v>15</v>
      </c>
      <c r="G8674" s="64" t="s">
        <v>3044</v>
      </c>
      <c r="H8674" s="64" t="s">
        <v>3022</v>
      </c>
      <c r="I8674" s="64" t="s">
        <v>3045</v>
      </c>
      <c r="J8674" s="67">
        <v>0</v>
      </c>
      <c r="K8674" s="62">
        <v>35.72</v>
      </c>
      <c r="L8674" s="33" t="e">
        <f>HLOOKUP(B8674,#REF!,1,0)</f>
        <v>#REF!</v>
      </c>
      <c r="M8674" s="33" t="str">
        <f t="shared" si="543"/>
        <v>P&amp;L</v>
      </c>
    </row>
    <row r="8675" spans="1:13">
      <c r="A8675" s="33" t="str">
        <f t="shared" si="540"/>
        <v>SCL - Operating Expense</v>
      </c>
      <c r="B8675" s="33" t="str">
        <f t="shared" si="541"/>
        <v>SCL</v>
      </c>
      <c r="C8675" s="33" t="str">
        <f t="shared" si="542"/>
        <v>61505-7379</v>
      </c>
      <c r="D8675" s="64" t="s">
        <v>9924</v>
      </c>
      <c r="E8675" s="64" t="s">
        <v>4934</v>
      </c>
      <c r="F8675" s="64" t="s">
        <v>15</v>
      </c>
      <c r="G8675" s="64" t="s">
        <v>3044</v>
      </c>
      <c r="H8675" s="64" t="s">
        <v>3022</v>
      </c>
      <c r="I8675" s="64" t="s">
        <v>3045</v>
      </c>
      <c r="J8675" s="67">
        <v>0</v>
      </c>
      <c r="K8675" s="62">
        <v>35.72</v>
      </c>
      <c r="L8675" s="33" t="e">
        <f>HLOOKUP(B8675,#REF!,1,0)</f>
        <v>#REF!</v>
      </c>
      <c r="M8675" s="33" t="str">
        <f t="shared" si="543"/>
        <v>P&amp;L</v>
      </c>
    </row>
    <row r="8676" spans="1:13">
      <c r="A8676" s="33" t="str">
        <f t="shared" si="540"/>
        <v>SCL - Operating Expense</v>
      </c>
      <c r="B8676" s="33" t="str">
        <f t="shared" si="541"/>
        <v>SCL</v>
      </c>
      <c r="C8676" s="33" t="str">
        <f t="shared" si="542"/>
        <v>61505-7380</v>
      </c>
      <c r="D8676" s="64" t="s">
        <v>9925</v>
      </c>
      <c r="E8676" s="64" t="s">
        <v>4934</v>
      </c>
      <c r="F8676" s="64" t="s">
        <v>15</v>
      </c>
      <c r="G8676" s="64" t="s">
        <v>3044</v>
      </c>
      <c r="H8676" s="64" t="s">
        <v>3022</v>
      </c>
      <c r="I8676" s="64" t="s">
        <v>3045</v>
      </c>
      <c r="J8676" s="67">
        <v>0</v>
      </c>
      <c r="K8676" s="62">
        <v>35.71</v>
      </c>
      <c r="L8676" s="33" t="e">
        <f>HLOOKUP(B8676,#REF!,1,0)</f>
        <v>#REF!</v>
      </c>
      <c r="M8676" s="33" t="str">
        <f t="shared" si="543"/>
        <v>P&amp;L</v>
      </c>
    </row>
    <row r="8677" spans="1:13">
      <c r="A8677" s="33" t="str">
        <f t="shared" si="540"/>
        <v>SCL - Operating Expense</v>
      </c>
      <c r="B8677" s="33" t="str">
        <f t="shared" si="541"/>
        <v>SCL</v>
      </c>
      <c r="C8677" s="33" t="str">
        <f t="shared" si="542"/>
        <v>61505-7381</v>
      </c>
      <c r="D8677" s="64" t="s">
        <v>9926</v>
      </c>
      <c r="E8677" s="64" t="s">
        <v>4934</v>
      </c>
      <c r="F8677" s="64" t="s">
        <v>15</v>
      </c>
      <c r="G8677" s="64" t="s">
        <v>3044</v>
      </c>
      <c r="H8677" s="64" t="s">
        <v>3022</v>
      </c>
      <c r="I8677" s="64" t="s">
        <v>3045</v>
      </c>
      <c r="J8677" s="67">
        <v>0</v>
      </c>
      <c r="K8677" s="62">
        <v>35.71</v>
      </c>
      <c r="L8677" s="33" t="e">
        <f>HLOOKUP(B8677,#REF!,1,0)</f>
        <v>#REF!</v>
      </c>
      <c r="M8677" s="33" t="str">
        <f t="shared" si="543"/>
        <v>P&amp;L</v>
      </c>
    </row>
    <row r="8678" spans="1:13">
      <c r="A8678" s="33" t="str">
        <f t="shared" si="540"/>
        <v>SCL - Operating Expense</v>
      </c>
      <c r="B8678" s="33" t="str">
        <f t="shared" si="541"/>
        <v>SCL</v>
      </c>
      <c r="C8678" s="33" t="str">
        <f t="shared" si="542"/>
        <v>61505-7383</v>
      </c>
      <c r="D8678" s="64" t="s">
        <v>9927</v>
      </c>
      <c r="E8678" s="64" t="s">
        <v>4934</v>
      </c>
      <c r="F8678" s="64" t="s">
        <v>15</v>
      </c>
      <c r="G8678" s="64" t="s">
        <v>3044</v>
      </c>
      <c r="H8678" s="64" t="s">
        <v>3022</v>
      </c>
      <c r="I8678" s="64" t="s">
        <v>3045</v>
      </c>
      <c r="J8678" s="67">
        <v>0</v>
      </c>
      <c r="K8678" s="62">
        <v>35.72</v>
      </c>
      <c r="L8678" s="33" t="e">
        <f>HLOOKUP(B8678,#REF!,1,0)</f>
        <v>#REF!</v>
      </c>
      <c r="M8678" s="33" t="str">
        <f t="shared" si="543"/>
        <v>P&amp;L</v>
      </c>
    </row>
    <row r="8679" spans="1:13">
      <c r="A8679" s="33" t="str">
        <f t="shared" si="540"/>
        <v>SCL - Operating Expense</v>
      </c>
      <c r="B8679" s="33" t="str">
        <f t="shared" si="541"/>
        <v>SCL</v>
      </c>
      <c r="C8679" s="33" t="str">
        <f t="shared" si="542"/>
        <v>61505-7385</v>
      </c>
      <c r="D8679" s="64" t="s">
        <v>9928</v>
      </c>
      <c r="E8679" s="64" t="s">
        <v>4934</v>
      </c>
      <c r="F8679" s="64" t="s">
        <v>15</v>
      </c>
      <c r="G8679" s="64" t="s">
        <v>3044</v>
      </c>
      <c r="H8679" s="64" t="s">
        <v>3022</v>
      </c>
      <c r="I8679" s="64" t="s">
        <v>3045</v>
      </c>
      <c r="J8679" s="67">
        <v>0</v>
      </c>
      <c r="K8679" s="62">
        <v>35.71</v>
      </c>
      <c r="L8679" s="33" t="e">
        <f>HLOOKUP(B8679,#REF!,1,0)</f>
        <v>#REF!</v>
      </c>
      <c r="M8679" s="33" t="str">
        <f t="shared" si="543"/>
        <v>P&amp;L</v>
      </c>
    </row>
    <row r="8680" spans="1:13">
      <c r="A8680" s="33" t="str">
        <f t="shared" si="540"/>
        <v>SCL - Operating Expense</v>
      </c>
      <c r="B8680" s="33" t="str">
        <f t="shared" si="541"/>
        <v>SCL</v>
      </c>
      <c r="C8680" s="33" t="str">
        <f t="shared" si="542"/>
        <v>61505-7386</v>
      </c>
      <c r="D8680" s="64" t="s">
        <v>9929</v>
      </c>
      <c r="E8680" s="64" t="s">
        <v>4934</v>
      </c>
      <c r="F8680" s="64" t="s">
        <v>15</v>
      </c>
      <c r="G8680" s="64" t="s">
        <v>3044</v>
      </c>
      <c r="H8680" s="64" t="s">
        <v>3022</v>
      </c>
      <c r="I8680" s="64" t="s">
        <v>3045</v>
      </c>
      <c r="J8680" s="67">
        <v>0</v>
      </c>
      <c r="K8680" s="62">
        <v>35.71</v>
      </c>
      <c r="L8680" s="33" t="e">
        <f>HLOOKUP(B8680,#REF!,1,0)</f>
        <v>#REF!</v>
      </c>
      <c r="M8680" s="33" t="str">
        <f t="shared" si="543"/>
        <v>P&amp;L</v>
      </c>
    </row>
    <row r="8681" spans="1:13">
      <c r="A8681" s="33" t="str">
        <f t="shared" si="540"/>
        <v>SCL - Operating Expense</v>
      </c>
      <c r="B8681" s="33" t="str">
        <f t="shared" si="541"/>
        <v>SCL</v>
      </c>
      <c r="C8681" s="33" t="str">
        <f t="shared" si="542"/>
        <v>61505-7387</v>
      </c>
      <c r="D8681" s="64" t="s">
        <v>9930</v>
      </c>
      <c r="E8681" s="64" t="s">
        <v>4934</v>
      </c>
      <c r="F8681" s="64" t="s">
        <v>15</v>
      </c>
      <c r="G8681" s="64" t="s">
        <v>3044</v>
      </c>
      <c r="H8681" s="64" t="s">
        <v>3022</v>
      </c>
      <c r="I8681" s="64" t="s">
        <v>3045</v>
      </c>
      <c r="J8681" s="67">
        <v>0</v>
      </c>
      <c r="K8681" s="62">
        <v>35.72</v>
      </c>
      <c r="L8681" s="33" t="e">
        <f>HLOOKUP(B8681,#REF!,1,0)</f>
        <v>#REF!</v>
      </c>
      <c r="M8681" s="33" t="str">
        <f t="shared" si="543"/>
        <v>P&amp;L</v>
      </c>
    </row>
    <row r="8682" spans="1:13">
      <c r="A8682" s="33" t="str">
        <f t="shared" si="540"/>
        <v>SCL - Operating Expense</v>
      </c>
      <c r="B8682" s="33" t="str">
        <f t="shared" si="541"/>
        <v>SCL</v>
      </c>
      <c r="C8682" s="33" t="str">
        <f t="shared" si="542"/>
        <v>61505-7389</v>
      </c>
      <c r="D8682" s="64" t="s">
        <v>9931</v>
      </c>
      <c r="E8682" s="64" t="s">
        <v>4934</v>
      </c>
      <c r="F8682" s="64" t="s">
        <v>15</v>
      </c>
      <c r="G8682" s="64" t="s">
        <v>3044</v>
      </c>
      <c r="H8682" s="64" t="s">
        <v>3022</v>
      </c>
      <c r="I8682" s="64" t="s">
        <v>3045</v>
      </c>
      <c r="J8682" s="67">
        <v>0</v>
      </c>
      <c r="K8682" s="62">
        <v>35.72</v>
      </c>
      <c r="L8682" s="33" t="e">
        <f>HLOOKUP(B8682,#REF!,1,0)</f>
        <v>#REF!</v>
      </c>
      <c r="M8682" s="33" t="str">
        <f t="shared" si="543"/>
        <v>P&amp;L</v>
      </c>
    </row>
    <row r="8683" spans="1:13">
      <c r="A8683" s="33" t="str">
        <f t="shared" si="540"/>
        <v>SCL - Operating Expense</v>
      </c>
      <c r="B8683" s="33" t="str">
        <f t="shared" si="541"/>
        <v>SCL</v>
      </c>
      <c r="C8683" s="33" t="str">
        <f t="shared" si="542"/>
        <v>61505-7391</v>
      </c>
      <c r="D8683" s="64" t="s">
        <v>9932</v>
      </c>
      <c r="E8683" s="64" t="s">
        <v>4934</v>
      </c>
      <c r="F8683" s="64" t="s">
        <v>15</v>
      </c>
      <c r="G8683" s="64" t="s">
        <v>3044</v>
      </c>
      <c r="H8683" s="64" t="s">
        <v>3022</v>
      </c>
      <c r="I8683" s="64" t="s">
        <v>3045</v>
      </c>
      <c r="J8683" s="67">
        <v>0</v>
      </c>
      <c r="K8683" s="62">
        <v>35.71</v>
      </c>
      <c r="L8683" s="33" t="e">
        <f>HLOOKUP(B8683,#REF!,1,0)</f>
        <v>#REF!</v>
      </c>
      <c r="M8683" s="33" t="str">
        <f t="shared" si="543"/>
        <v>P&amp;L</v>
      </c>
    </row>
    <row r="8684" spans="1:13">
      <c r="A8684" s="33" t="str">
        <f t="shared" si="540"/>
        <v>SCL - Operating Expense</v>
      </c>
      <c r="B8684" s="33" t="str">
        <f t="shared" si="541"/>
        <v>SCL</v>
      </c>
      <c r="C8684" s="33" t="str">
        <f t="shared" si="542"/>
        <v>61505-7393</v>
      </c>
      <c r="D8684" s="64" t="s">
        <v>9933</v>
      </c>
      <c r="E8684" s="64" t="s">
        <v>4934</v>
      </c>
      <c r="F8684" s="64" t="s">
        <v>15</v>
      </c>
      <c r="G8684" s="64" t="s">
        <v>3044</v>
      </c>
      <c r="H8684" s="64" t="s">
        <v>3022</v>
      </c>
      <c r="I8684" s="64" t="s">
        <v>3045</v>
      </c>
      <c r="J8684" s="67">
        <v>0</v>
      </c>
      <c r="K8684" s="62">
        <v>35.71</v>
      </c>
      <c r="L8684" s="33" t="e">
        <f>HLOOKUP(B8684,#REF!,1,0)</f>
        <v>#REF!</v>
      </c>
      <c r="M8684" s="33" t="str">
        <f t="shared" si="543"/>
        <v>P&amp;L</v>
      </c>
    </row>
    <row r="8685" spans="1:13">
      <c r="A8685" s="33" t="str">
        <f t="shared" si="540"/>
        <v>SCL - Operating Expense</v>
      </c>
      <c r="B8685" s="33" t="str">
        <f t="shared" si="541"/>
        <v>SCL</v>
      </c>
      <c r="C8685" s="33" t="str">
        <f t="shared" si="542"/>
        <v>61505-7394</v>
      </c>
      <c r="D8685" s="64" t="s">
        <v>9934</v>
      </c>
      <c r="E8685" s="64" t="s">
        <v>4934</v>
      </c>
      <c r="F8685" s="64" t="s">
        <v>15</v>
      </c>
      <c r="G8685" s="64" t="s">
        <v>3044</v>
      </c>
      <c r="H8685" s="64" t="s">
        <v>3022</v>
      </c>
      <c r="I8685" s="64" t="s">
        <v>3045</v>
      </c>
      <c r="J8685" s="67">
        <v>0</v>
      </c>
      <c r="K8685" s="62">
        <v>35.71</v>
      </c>
      <c r="L8685" s="33" t="e">
        <f>HLOOKUP(B8685,#REF!,1,0)</f>
        <v>#REF!</v>
      </c>
      <c r="M8685" s="33" t="str">
        <f t="shared" si="543"/>
        <v>P&amp;L</v>
      </c>
    </row>
    <row r="8686" spans="1:13">
      <c r="A8686" s="33" t="str">
        <f t="shared" si="540"/>
        <v>SCL - Operating Expense</v>
      </c>
      <c r="B8686" s="33" t="str">
        <f t="shared" si="541"/>
        <v>SCL</v>
      </c>
      <c r="C8686" s="33" t="str">
        <f t="shared" si="542"/>
        <v>61505-7396</v>
      </c>
      <c r="D8686" s="64" t="s">
        <v>9935</v>
      </c>
      <c r="E8686" s="64" t="s">
        <v>4934</v>
      </c>
      <c r="F8686" s="64" t="s">
        <v>15</v>
      </c>
      <c r="G8686" s="64" t="s">
        <v>3044</v>
      </c>
      <c r="H8686" s="64" t="s">
        <v>3022</v>
      </c>
      <c r="I8686" s="64" t="s">
        <v>3045</v>
      </c>
      <c r="J8686" s="67">
        <v>0</v>
      </c>
      <c r="K8686" s="62">
        <v>35.71</v>
      </c>
      <c r="L8686" s="33" t="e">
        <f>HLOOKUP(B8686,#REF!,1,0)</f>
        <v>#REF!</v>
      </c>
      <c r="M8686" s="33" t="str">
        <f t="shared" si="543"/>
        <v>P&amp;L</v>
      </c>
    </row>
    <row r="8687" spans="1:13">
      <c r="A8687" s="33" t="str">
        <f t="shared" si="540"/>
        <v>SCL - Operating Expense</v>
      </c>
      <c r="B8687" s="33" t="str">
        <f t="shared" si="541"/>
        <v>SCL</v>
      </c>
      <c r="C8687" s="33" t="str">
        <f t="shared" si="542"/>
        <v>61505-7397</v>
      </c>
      <c r="D8687" s="64" t="s">
        <v>9936</v>
      </c>
      <c r="E8687" s="64" t="s">
        <v>4934</v>
      </c>
      <c r="F8687" s="64" t="s">
        <v>15</v>
      </c>
      <c r="G8687" s="64" t="s">
        <v>3044</v>
      </c>
      <c r="H8687" s="64" t="s">
        <v>3022</v>
      </c>
      <c r="I8687" s="64" t="s">
        <v>3045</v>
      </c>
      <c r="J8687" s="67">
        <v>0</v>
      </c>
      <c r="K8687" s="62">
        <v>35.72</v>
      </c>
      <c r="L8687" s="33" t="e">
        <f>HLOOKUP(B8687,#REF!,1,0)</f>
        <v>#REF!</v>
      </c>
      <c r="M8687" s="33" t="str">
        <f t="shared" si="543"/>
        <v>P&amp;L</v>
      </c>
    </row>
    <row r="8688" spans="1:13">
      <c r="A8688" s="33" t="str">
        <f t="shared" si="540"/>
        <v>SCL - Operating Expense</v>
      </c>
      <c r="B8688" s="33" t="str">
        <f t="shared" si="541"/>
        <v>SCL</v>
      </c>
      <c r="C8688" s="33" t="str">
        <f t="shared" si="542"/>
        <v>61505-7398</v>
      </c>
      <c r="D8688" s="64" t="s">
        <v>9937</v>
      </c>
      <c r="E8688" s="64" t="s">
        <v>4934</v>
      </c>
      <c r="F8688" s="64" t="s">
        <v>15</v>
      </c>
      <c r="G8688" s="64" t="s">
        <v>3044</v>
      </c>
      <c r="H8688" s="64" t="s">
        <v>3022</v>
      </c>
      <c r="I8688" s="64" t="s">
        <v>3045</v>
      </c>
      <c r="J8688" s="67">
        <v>0</v>
      </c>
      <c r="K8688" s="62">
        <v>35.71</v>
      </c>
      <c r="L8688" s="33" t="e">
        <f>HLOOKUP(B8688,#REF!,1,0)</f>
        <v>#REF!</v>
      </c>
      <c r="M8688" s="33" t="str">
        <f t="shared" si="543"/>
        <v>P&amp;L</v>
      </c>
    </row>
    <row r="8689" spans="1:13">
      <c r="A8689" s="33" t="str">
        <f t="shared" si="540"/>
        <v>SCL - Operating Expense</v>
      </c>
      <c r="B8689" s="33" t="str">
        <f t="shared" si="541"/>
        <v>SCL</v>
      </c>
      <c r="C8689" s="33" t="str">
        <f t="shared" si="542"/>
        <v>61505-7400</v>
      </c>
      <c r="D8689" s="64" t="s">
        <v>9938</v>
      </c>
      <c r="E8689" s="64" t="s">
        <v>4934</v>
      </c>
      <c r="F8689" s="64" t="s">
        <v>15</v>
      </c>
      <c r="G8689" s="64" t="s">
        <v>3044</v>
      </c>
      <c r="H8689" s="64" t="s">
        <v>3022</v>
      </c>
      <c r="I8689" s="64" t="s">
        <v>3045</v>
      </c>
      <c r="J8689" s="67">
        <v>0</v>
      </c>
      <c r="K8689" s="62">
        <v>35.72</v>
      </c>
      <c r="L8689" s="33" t="e">
        <f>HLOOKUP(B8689,#REF!,1,0)</f>
        <v>#REF!</v>
      </c>
      <c r="M8689" s="33" t="str">
        <f t="shared" si="543"/>
        <v>P&amp;L</v>
      </c>
    </row>
    <row r="8690" spans="1:13">
      <c r="A8690" s="33" t="str">
        <f t="shared" si="540"/>
        <v>SCL - Operating Expense</v>
      </c>
      <c r="B8690" s="33" t="str">
        <f t="shared" si="541"/>
        <v>SCL</v>
      </c>
      <c r="C8690" s="33" t="str">
        <f t="shared" si="542"/>
        <v>61505-7401</v>
      </c>
      <c r="D8690" s="64" t="s">
        <v>9939</v>
      </c>
      <c r="E8690" s="64" t="s">
        <v>4934</v>
      </c>
      <c r="F8690" s="64" t="s">
        <v>15</v>
      </c>
      <c r="G8690" s="64" t="s">
        <v>3044</v>
      </c>
      <c r="H8690" s="64" t="s">
        <v>3022</v>
      </c>
      <c r="I8690" s="64" t="s">
        <v>3045</v>
      </c>
      <c r="J8690" s="67">
        <v>0</v>
      </c>
      <c r="K8690" s="62">
        <v>35.72</v>
      </c>
      <c r="L8690" s="33" t="e">
        <f>HLOOKUP(B8690,#REF!,1,0)</f>
        <v>#REF!</v>
      </c>
      <c r="M8690" s="33" t="str">
        <f t="shared" si="543"/>
        <v>P&amp;L</v>
      </c>
    </row>
    <row r="8691" spans="1:13">
      <c r="A8691" s="33" t="str">
        <f t="shared" si="540"/>
        <v>SCL - Operating Expense</v>
      </c>
      <c r="B8691" s="33" t="str">
        <f t="shared" si="541"/>
        <v>SCL</v>
      </c>
      <c r="C8691" s="33" t="str">
        <f t="shared" si="542"/>
        <v>61505-7402</v>
      </c>
      <c r="D8691" s="64" t="s">
        <v>9940</v>
      </c>
      <c r="E8691" s="64" t="s">
        <v>4934</v>
      </c>
      <c r="F8691" s="64" t="s">
        <v>15</v>
      </c>
      <c r="G8691" s="64" t="s">
        <v>3044</v>
      </c>
      <c r="H8691" s="64" t="s">
        <v>3022</v>
      </c>
      <c r="I8691" s="64" t="s">
        <v>3045</v>
      </c>
      <c r="J8691" s="67">
        <v>0</v>
      </c>
      <c r="K8691" s="62">
        <v>35.71</v>
      </c>
      <c r="L8691" s="33" t="e">
        <f>HLOOKUP(B8691,#REF!,1,0)</f>
        <v>#REF!</v>
      </c>
      <c r="M8691" s="33" t="str">
        <f t="shared" si="543"/>
        <v>P&amp;L</v>
      </c>
    </row>
    <row r="8692" spans="1:13">
      <c r="A8692" s="33" t="str">
        <f t="shared" si="540"/>
        <v>SCL - Operating Expense</v>
      </c>
      <c r="B8692" s="33" t="str">
        <f t="shared" si="541"/>
        <v>SCL</v>
      </c>
      <c r="C8692" s="33" t="str">
        <f t="shared" si="542"/>
        <v>61505-7403</v>
      </c>
      <c r="D8692" s="64" t="s">
        <v>9941</v>
      </c>
      <c r="E8692" s="64" t="s">
        <v>4934</v>
      </c>
      <c r="F8692" s="64" t="s">
        <v>15</v>
      </c>
      <c r="G8692" s="64" t="s">
        <v>3044</v>
      </c>
      <c r="H8692" s="64" t="s">
        <v>3022</v>
      </c>
      <c r="I8692" s="64" t="s">
        <v>3045</v>
      </c>
      <c r="J8692" s="67">
        <v>0</v>
      </c>
      <c r="K8692" s="62">
        <v>35.71</v>
      </c>
      <c r="L8692" s="33" t="e">
        <f>HLOOKUP(B8692,#REF!,1,0)</f>
        <v>#REF!</v>
      </c>
      <c r="M8692" s="33" t="str">
        <f t="shared" si="543"/>
        <v>P&amp;L</v>
      </c>
    </row>
    <row r="8693" spans="1:13">
      <c r="A8693" s="33" t="str">
        <f t="shared" si="540"/>
        <v>SCL - Operating Expense</v>
      </c>
      <c r="B8693" s="33" t="str">
        <f t="shared" si="541"/>
        <v>SCL</v>
      </c>
      <c r="C8693" s="33" t="str">
        <f t="shared" si="542"/>
        <v>61505-7489</v>
      </c>
      <c r="D8693" s="64" t="s">
        <v>9942</v>
      </c>
      <c r="E8693" s="64" t="s">
        <v>4934</v>
      </c>
      <c r="F8693" s="64" t="s">
        <v>15</v>
      </c>
      <c r="G8693" s="64" t="s">
        <v>3044</v>
      </c>
      <c r="H8693" s="64" t="s">
        <v>3022</v>
      </c>
      <c r="I8693" s="64" t="s">
        <v>3045</v>
      </c>
      <c r="J8693" s="67">
        <v>0</v>
      </c>
      <c r="K8693" s="62">
        <v>35.71</v>
      </c>
      <c r="L8693" s="33" t="e">
        <f>HLOOKUP(B8693,#REF!,1,0)</f>
        <v>#REF!</v>
      </c>
      <c r="M8693" s="33" t="str">
        <f t="shared" si="543"/>
        <v>P&amp;L</v>
      </c>
    </row>
    <row r="8694" spans="1:13">
      <c r="A8694" s="33" t="str">
        <f t="shared" si="540"/>
        <v>SCL - Operating Expense</v>
      </c>
      <c r="B8694" s="33" t="str">
        <f t="shared" si="541"/>
        <v>SCL</v>
      </c>
      <c r="C8694" s="33" t="str">
        <f t="shared" si="542"/>
        <v>61505-7491</v>
      </c>
      <c r="D8694" s="64" t="s">
        <v>9943</v>
      </c>
      <c r="E8694" s="64" t="s">
        <v>4934</v>
      </c>
      <c r="F8694" s="64" t="s">
        <v>15</v>
      </c>
      <c r="G8694" s="64" t="s">
        <v>3044</v>
      </c>
      <c r="H8694" s="64" t="s">
        <v>3022</v>
      </c>
      <c r="I8694" s="64" t="s">
        <v>3045</v>
      </c>
      <c r="J8694" s="67">
        <v>0</v>
      </c>
      <c r="K8694" s="62">
        <v>35.71</v>
      </c>
      <c r="L8694" s="33" t="e">
        <f>HLOOKUP(B8694,#REF!,1,0)</f>
        <v>#REF!</v>
      </c>
      <c r="M8694" s="33" t="str">
        <f t="shared" si="543"/>
        <v>P&amp;L</v>
      </c>
    </row>
    <row r="8695" spans="1:13">
      <c r="A8695" s="33" t="str">
        <f t="shared" si="540"/>
        <v>SCL - Operating Expense</v>
      </c>
      <c r="B8695" s="33" t="str">
        <f t="shared" si="541"/>
        <v>SCL</v>
      </c>
      <c r="C8695" s="33" t="str">
        <f t="shared" si="542"/>
        <v>61505-7492</v>
      </c>
      <c r="D8695" s="64" t="s">
        <v>9944</v>
      </c>
      <c r="E8695" s="64" t="s">
        <v>4934</v>
      </c>
      <c r="F8695" s="64" t="s">
        <v>15</v>
      </c>
      <c r="G8695" s="64" t="s">
        <v>3044</v>
      </c>
      <c r="H8695" s="64" t="s">
        <v>3022</v>
      </c>
      <c r="I8695" s="64" t="s">
        <v>3045</v>
      </c>
      <c r="J8695" s="67">
        <v>0</v>
      </c>
      <c r="K8695" s="62">
        <v>35.71</v>
      </c>
      <c r="L8695" s="33" t="e">
        <f>HLOOKUP(B8695,#REF!,1,0)</f>
        <v>#REF!</v>
      </c>
      <c r="M8695" s="33" t="str">
        <f t="shared" si="543"/>
        <v>P&amp;L</v>
      </c>
    </row>
    <row r="8696" spans="1:13">
      <c r="A8696" s="33" t="str">
        <f t="shared" si="540"/>
        <v>SCL - Operating Expense</v>
      </c>
      <c r="B8696" s="33" t="str">
        <f t="shared" si="541"/>
        <v>SCL</v>
      </c>
      <c r="C8696" s="33" t="str">
        <f t="shared" si="542"/>
        <v>61505-7493</v>
      </c>
      <c r="D8696" s="64" t="s">
        <v>9945</v>
      </c>
      <c r="E8696" s="64" t="s">
        <v>4934</v>
      </c>
      <c r="F8696" s="64" t="s">
        <v>15</v>
      </c>
      <c r="G8696" s="64" t="s">
        <v>3044</v>
      </c>
      <c r="H8696" s="64" t="s">
        <v>3022</v>
      </c>
      <c r="I8696" s="64" t="s">
        <v>3045</v>
      </c>
      <c r="J8696" s="67">
        <v>0</v>
      </c>
      <c r="K8696" s="62">
        <v>35.72</v>
      </c>
      <c r="L8696" s="33" t="e">
        <f>HLOOKUP(B8696,#REF!,1,0)</f>
        <v>#REF!</v>
      </c>
      <c r="M8696" s="33" t="str">
        <f t="shared" si="543"/>
        <v>P&amp;L</v>
      </c>
    </row>
    <row r="8697" spans="1:13">
      <c r="A8697" s="33" t="str">
        <f t="shared" si="540"/>
        <v>SCL - Operating Expense</v>
      </c>
      <c r="B8697" s="33" t="str">
        <f t="shared" si="541"/>
        <v>SCL</v>
      </c>
      <c r="C8697" s="33" t="str">
        <f t="shared" si="542"/>
        <v>61505-7494</v>
      </c>
      <c r="D8697" s="64" t="s">
        <v>9946</v>
      </c>
      <c r="E8697" s="64" t="s">
        <v>4934</v>
      </c>
      <c r="F8697" s="64" t="s">
        <v>15</v>
      </c>
      <c r="G8697" s="64" t="s">
        <v>3044</v>
      </c>
      <c r="H8697" s="64" t="s">
        <v>3022</v>
      </c>
      <c r="I8697" s="64" t="s">
        <v>3045</v>
      </c>
      <c r="J8697" s="67">
        <v>0</v>
      </c>
      <c r="K8697" s="62">
        <v>35.71</v>
      </c>
      <c r="L8697" s="33" t="e">
        <f>HLOOKUP(B8697,#REF!,1,0)</f>
        <v>#REF!</v>
      </c>
      <c r="M8697" s="33" t="str">
        <f t="shared" si="543"/>
        <v>P&amp;L</v>
      </c>
    </row>
    <row r="8698" spans="1:13">
      <c r="A8698" s="33" t="str">
        <f t="shared" si="540"/>
        <v>SCL - Operating Expense</v>
      </c>
      <c r="B8698" s="33" t="str">
        <f t="shared" si="541"/>
        <v>SCL</v>
      </c>
      <c r="C8698" s="33" t="str">
        <f t="shared" si="542"/>
        <v>61505-7625</v>
      </c>
      <c r="D8698" s="64" t="s">
        <v>9947</v>
      </c>
      <c r="E8698" s="64" t="s">
        <v>4934</v>
      </c>
      <c r="F8698" s="64" t="s">
        <v>15</v>
      </c>
      <c r="G8698" s="64" t="s">
        <v>3044</v>
      </c>
      <c r="H8698" s="64" t="s">
        <v>3022</v>
      </c>
      <c r="I8698" s="64" t="s">
        <v>3045</v>
      </c>
      <c r="J8698" s="67">
        <v>0</v>
      </c>
      <c r="K8698" s="62">
        <v>35.71</v>
      </c>
      <c r="L8698" s="33" t="e">
        <f>HLOOKUP(B8698,#REF!,1,0)</f>
        <v>#REF!</v>
      </c>
      <c r="M8698" s="33" t="str">
        <f t="shared" si="543"/>
        <v>P&amp;L</v>
      </c>
    </row>
    <row r="8699" spans="1:13">
      <c r="A8699" s="33" t="str">
        <f t="shared" si="540"/>
        <v>SCL - Operating Expense</v>
      </c>
      <c r="B8699" s="33" t="str">
        <f t="shared" si="541"/>
        <v>SCL</v>
      </c>
      <c r="C8699" s="33" t="str">
        <f t="shared" si="542"/>
        <v>61505-8150</v>
      </c>
      <c r="D8699" s="64" t="s">
        <v>9948</v>
      </c>
      <c r="E8699" s="64" t="s">
        <v>4934</v>
      </c>
      <c r="F8699" s="64" t="s">
        <v>15</v>
      </c>
      <c r="G8699" s="64" t="s">
        <v>3044</v>
      </c>
      <c r="H8699" s="64" t="s">
        <v>3022</v>
      </c>
      <c r="I8699" s="64" t="s">
        <v>3045</v>
      </c>
      <c r="J8699" s="67">
        <v>0</v>
      </c>
      <c r="K8699" s="62">
        <v>35.72</v>
      </c>
      <c r="L8699" s="33" t="e">
        <f>HLOOKUP(B8699,#REF!,1,0)</f>
        <v>#REF!</v>
      </c>
      <c r="M8699" s="33" t="str">
        <f t="shared" si="543"/>
        <v>P&amp;L</v>
      </c>
    </row>
    <row r="8700" spans="1:13">
      <c r="A8700" s="33" t="str">
        <f t="shared" si="540"/>
        <v>SCL - Operating Expense</v>
      </c>
      <c r="B8700" s="33" t="str">
        <f t="shared" si="541"/>
        <v>SCL</v>
      </c>
      <c r="C8700" s="33" t="str">
        <f t="shared" si="542"/>
        <v>62001-0000</v>
      </c>
      <c r="D8700" s="64" t="s">
        <v>9949</v>
      </c>
      <c r="E8700" s="64" t="s">
        <v>3087</v>
      </c>
      <c r="F8700" s="64" t="s">
        <v>15</v>
      </c>
      <c r="G8700" s="64" t="s">
        <v>3035</v>
      </c>
      <c r="H8700" s="64" t="s">
        <v>3022</v>
      </c>
      <c r="I8700" s="64" t="s">
        <v>3074</v>
      </c>
      <c r="J8700" s="67">
        <v>594.11</v>
      </c>
      <c r="K8700" s="62">
        <v>6766.63</v>
      </c>
      <c r="L8700" s="33" t="e">
        <f>HLOOKUP(B8700,#REF!,1,0)</f>
        <v>#REF!</v>
      </c>
      <c r="M8700" s="33" t="str">
        <f t="shared" si="543"/>
        <v>P&amp;L</v>
      </c>
    </row>
    <row r="8701" spans="1:13">
      <c r="A8701" s="33" t="str">
        <f t="shared" si="540"/>
        <v>SCL - Operating Expense</v>
      </c>
      <c r="B8701" s="33" t="str">
        <f t="shared" si="541"/>
        <v>SCL</v>
      </c>
      <c r="C8701" s="33" t="str">
        <f t="shared" si="542"/>
        <v>62001-7362</v>
      </c>
      <c r="D8701" s="64" t="s">
        <v>9950</v>
      </c>
      <c r="E8701" s="64" t="s">
        <v>3087</v>
      </c>
      <c r="F8701" s="64" t="s">
        <v>15</v>
      </c>
      <c r="G8701" s="64" t="s">
        <v>3035</v>
      </c>
      <c r="H8701" s="64" t="s">
        <v>3022</v>
      </c>
      <c r="I8701" s="64" t="s">
        <v>3074</v>
      </c>
      <c r="J8701" s="67">
        <v>0</v>
      </c>
      <c r="K8701" s="62">
        <v>172</v>
      </c>
      <c r="L8701" s="33" t="e">
        <f>HLOOKUP(B8701,#REF!,1,0)</f>
        <v>#REF!</v>
      </c>
      <c r="M8701" s="33" t="str">
        <f t="shared" si="543"/>
        <v>P&amp;L</v>
      </c>
    </row>
    <row r="8702" spans="1:13">
      <c r="A8702" s="33" t="str">
        <f t="shared" si="540"/>
        <v>SCL - Operating Expense</v>
      </c>
      <c r="B8702" s="33" t="str">
        <f t="shared" si="541"/>
        <v>SCL</v>
      </c>
      <c r="C8702" s="33" t="str">
        <f t="shared" si="542"/>
        <v>62001-7374</v>
      </c>
      <c r="D8702" s="64" t="s">
        <v>9951</v>
      </c>
      <c r="E8702" s="64" t="s">
        <v>3087</v>
      </c>
      <c r="F8702" s="64" t="s">
        <v>15</v>
      </c>
      <c r="G8702" s="64" t="s">
        <v>3035</v>
      </c>
      <c r="H8702" s="64" t="s">
        <v>3022</v>
      </c>
      <c r="I8702" s="64" t="s">
        <v>3074</v>
      </c>
      <c r="J8702" s="67">
        <v>0</v>
      </c>
      <c r="K8702" s="62">
        <v>122.79</v>
      </c>
      <c r="L8702" s="33" t="e">
        <f>HLOOKUP(B8702,#REF!,1,0)</f>
        <v>#REF!</v>
      </c>
      <c r="M8702" s="33" t="str">
        <f t="shared" si="543"/>
        <v>P&amp;L</v>
      </c>
    </row>
    <row r="8703" spans="1:13">
      <c r="A8703" s="33" t="str">
        <f t="shared" si="540"/>
        <v>SCL - Operating Expense</v>
      </c>
      <c r="B8703" s="33" t="str">
        <f t="shared" si="541"/>
        <v>SCL</v>
      </c>
      <c r="C8703" s="33" t="str">
        <f t="shared" si="542"/>
        <v>62001-7376</v>
      </c>
      <c r="D8703" s="64" t="s">
        <v>9952</v>
      </c>
      <c r="E8703" s="64" t="s">
        <v>3087</v>
      </c>
      <c r="F8703" s="64" t="s">
        <v>15</v>
      </c>
      <c r="G8703" s="64" t="s">
        <v>3035</v>
      </c>
      <c r="H8703" s="64" t="s">
        <v>3022</v>
      </c>
      <c r="I8703" s="64" t="s">
        <v>3074</v>
      </c>
      <c r="J8703" s="67">
        <v>0</v>
      </c>
      <c r="K8703" s="62">
        <v>92.94</v>
      </c>
      <c r="L8703" s="33" t="e">
        <f>HLOOKUP(B8703,#REF!,1,0)</f>
        <v>#REF!</v>
      </c>
      <c r="M8703" s="33" t="str">
        <f t="shared" si="543"/>
        <v>P&amp;L</v>
      </c>
    </row>
    <row r="8704" spans="1:13">
      <c r="A8704" s="33" t="str">
        <f t="shared" si="540"/>
        <v>SCL - Operating Expense</v>
      </c>
      <c r="B8704" s="33" t="str">
        <f t="shared" si="541"/>
        <v>SCL</v>
      </c>
      <c r="C8704" s="33" t="str">
        <f t="shared" si="542"/>
        <v>62001-7380</v>
      </c>
      <c r="D8704" s="64" t="s">
        <v>9953</v>
      </c>
      <c r="E8704" s="64" t="s">
        <v>3087</v>
      </c>
      <c r="F8704" s="64" t="s">
        <v>15</v>
      </c>
      <c r="G8704" s="64" t="s">
        <v>3035</v>
      </c>
      <c r="H8704" s="64" t="s">
        <v>3022</v>
      </c>
      <c r="I8704" s="64" t="s">
        <v>3074</v>
      </c>
      <c r="J8704" s="67">
        <v>0</v>
      </c>
      <c r="K8704" s="62">
        <v>150.67</v>
      </c>
      <c r="L8704" s="33" t="e">
        <f>HLOOKUP(B8704,#REF!,1,0)</f>
        <v>#REF!</v>
      </c>
      <c r="M8704" s="33" t="str">
        <f t="shared" si="543"/>
        <v>P&amp;L</v>
      </c>
    </row>
    <row r="8705" spans="1:13">
      <c r="A8705" s="33" t="str">
        <f t="shared" si="540"/>
        <v>SCL - Operating Expense</v>
      </c>
      <c r="B8705" s="33" t="str">
        <f t="shared" si="541"/>
        <v>SCL</v>
      </c>
      <c r="C8705" s="33" t="str">
        <f t="shared" si="542"/>
        <v>62001-7386</v>
      </c>
      <c r="D8705" s="64" t="s">
        <v>9954</v>
      </c>
      <c r="E8705" s="64" t="s">
        <v>3087</v>
      </c>
      <c r="F8705" s="64" t="s">
        <v>15</v>
      </c>
      <c r="G8705" s="64" t="s">
        <v>3035</v>
      </c>
      <c r="H8705" s="64" t="s">
        <v>3022</v>
      </c>
      <c r="I8705" s="64" t="s">
        <v>3074</v>
      </c>
      <c r="J8705" s="67">
        <v>0</v>
      </c>
      <c r="K8705" s="62">
        <v>172.01</v>
      </c>
      <c r="L8705" s="33" t="e">
        <f>HLOOKUP(B8705,#REF!,1,0)</f>
        <v>#REF!</v>
      </c>
      <c r="M8705" s="33" t="str">
        <f t="shared" si="543"/>
        <v>P&amp;L</v>
      </c>
    </row>
    <row r="8706" spans="1:13">
      <c r="A8706" s="33" t="str">
        <f t="shared" ref="A8706:A8769" si="544">B8706&amp;" - "&amp;TRIM(H8706)</f>
        <v>SCL - Operating Expense</v>
      </c>
      <c r="B8706" s="33" t="str">
        <f t="shared" ref="B8706:B8769" si="545">LEFT(D8706,3)</f>
        <v>SCL</v>
      </c>
      <c r="C8706" s="33" t="str">
        <f t="shared" ref="C8706:C8769" si="546">RIGHT(D8706,10)</f>
        <v>62001-7394</v>
      </c>
      <c r="D8706" s="64" t="s">
        <v>9955</v>
      </c>
      <c r="E8706" s="64" t="s">
        <v>3087</v>
      </c>
      <c r="F8706" s="64" t="s">
        <v>15</v>
      </c>
      <c r="G8706" s="64" t="s">
        <v>3035</v>
      </c>
      <c r="H8706" s="64" t="s">
        <v>3022</v>
      </c>
      <c r="I8706" s="64" t="s">
        <v>3074</v>
      </c>
      <c r="J8706" s="67">
        <v>0</v>
      </c>
      <c r="K8706" s="62">
        <v>122.64</v>
      </c>
      <c r="L8706" s="33" t="e">
        <f>HLOOKUP(B8706,#REF!,1,0)</f>
        <v>#REF!</v>
      </c>
      <c r="M8706" s="33" t="str">
        <f t="shared" ref="M8706:M8769" si="547">IF(VALUE(LEFT(C8706,5))&gt;40000,"P&amp;L","BS")</f>
        <v>P&amp;L</v>
      </c>
    </row>
    <row r="8707" spans="1:13">
      <c r="A8707" s="33" t="str">
        <f t="shared" si="544"/>
        <v>SCL - Operating Expense</v>
      </c>
      <c r="B8707" s="33" t="str">
        <f t="shared" si="545"/>
        <v>SCL</v>
      </c>
      <c r="C8707" s="33" t="str">
        <f t="shared" si="546"/>
        <v>62001-7396</v>
      </c>
      <c r="D8707" s="64" t="s">
        <v>9956</v>
      </c>
      <c r="E8707" s="64" t="s">
        <v>3087</v>
      </c>
      <c r="F8707" s="64" t="s">
        <v>15</v>
      </c>
      <c r="G8707" s="64" t="s">
        <v>3035</v>
      </c>
      <c r="H8707" s="64" t="s">
        <v>3022</v>
      </c>
      <c r="I8707" s="64" t="s">
        <v>3074</v>
      </c>
      <c r="J8707" s="67">
        <v>0</v>
      </c>
      <c r="K8707" s="62">
        <v>150.67</v>
      </c>
      <c r="L8707" s="33" t="e">
        <f>HLOOKUP(B8707,#REF!,1,0)</f>
        <v>#REF!</v>
      </c>
      <c r="M8707" s="33" t="str">
        <f t="shared" si="547"/>
        <v>P&amp;L</v>
      </c>
    </row>
    <row r="8708" spans="1:13">
      <c r="A8708" s="33" t="str">
        <f t="shared" si="544"/>
        <v>SCL - Operating Expense</v>
      </c>
      <c r="B8708" s="33" t="str">
        <f t="shared" si="545"/>
        <v>SCL</v>
      </c>
      <c r="C8708" s="33" t="str">
        <f t="shared" si="546"/>
        <v>62001-7397</v>
      </c>
      <c r="D8708" s="64" t="s">
        <v>9957</v>
      </c>
      <c r="E8708" s="64" t="s">
        <v>3087</v>
      </c>
      <c r="F8708" s="64" t="s">
        <v>15</v>
      </c>
      <c r="G8708" s="64" t="s">
        <v>3035</v>
      </c>
      <c r="H8708" s="64" t="s">
        <v>3022</v>
      </c>
      <c r="I8708" s="64" t="s">
        <v>3074</v>
      </c>
      <c r="J8708" s="67">
        <v>0</v>
      </c>
      <c r="K8708" s="62">
        <v>79.72</v>
      </c>
      <c r="L8708" s="33" t="e">
        <f>HLOOKUP(B8708,#REF!,1,0)</f>
        <v>#REF!</v>
      </c>
      <c r="M8708" s="33" t="str">
        <f t="shared" si="547"/>
        <v>P&amp;L</v>
      </c>
    </row>
    <row r="8709" spans="1:13">
      <c r="A8709" s="33" t="str">
        <f t="shared" si="544"/>
        <v>SCL - Operating Expense</v>
      </c>
      <c r="B8709" s="33" t="str">
        <f t="shared" si="545"/>
        <v>SCL</v>
      </c>
      <c r="C8709" s="33" t="str">
        <f t="shared" si="546"/>
        <v>62001-7402</v>
      </c>
      <c r="D8709" s="64" t="s">
        <v>9958</v>
      </c>
      <c r="E8709" s="64" t="s">
        <v>3087</v>
      </c>
      <c r="F8709" s="64" t="s">
        <v>15</v>
      </c>
      <c r="G8709" s="64" t="s">
        <v>3035</v>
      </c>
      <c r="H8709" s="64" t="s">
        <v>3022</v>
      </c>
      <c r="I8709" s="64" t="s">
        <v>3074</v>
      </c>
      <c r="J8709" s="67">
        <v>0</v>
      </c>
      <c r="K8709" s="62">
        <v>121.97</v>
      </c>
      <c r="L8709" s="33" t="e">
        <f>HLOOKUP(B8709,#REF!,1,0)</f>
        <v>#REF!</v>
      </c>
      <c r="M8709" s="33" t="str">
        <f t="shared" si="547"/>
        <v>P&amp;L</v>
      </c>
    </row>
    <row r="8710" spans="1:13">
      <c r="A8710" s="33" t="str">
        <f t="shared" si="544"/>
        <v>SCL - Operating Expense</v>
      </c>
      <c r="B8710" s="33" t="str">
        <f t="shared" si="545"/>
        <v>SCL</v>
      </c>
      <c r="C8710" s="33" t="str">
        <f t="shared" si="546"/>
        <v>62001-7491</v>
      </c>
      <c r="D8710" s="64" t="s">
        <v>9959</v>
      </c>
      <c r="E8710" s="64" t="s">
        <v>3087</v>
      </c>
      <c r="F8710" s="64" t="s">
        <v>15</v>
      </c>
      <c r="G8710" s="64" t="s">
        <v>3035</v>
      </c>
      <c r="H8710" s="64" t="s">
        <v>3022</v>
      </c>
      <c r="I8710" s="64" t="s">
        <v>3074</v>
      </c>
      <c r="J8710" s="67">
        <v>0</v>
      </c>
      <c r="K8710" s="62">
        <v>90.33</v>
      </c>
      <c r="L8710" s="33" t="e">
        <f>HLOOKUP(B8710,#REF!,1,0)</f>
        <v>#REF!</v>
      </c>
      <c r="M8710" s="33" t="str">
        <f t="shared" si="547"/>
        <v>P&amp;L</v>
      </c>
    </row>
    <row r="8711" spans="1:13">
      <c r="A8711" s="33" t="str">
        <f t="shared" si="544"/>
        <v>SCL - Operating Expense</v>
      </c>
      <c r="B8711" s="33" t="str">
        <f t="shared" si="545"/>
        <v>SCL</v>
      </c>
      <c r="C8711" s="33" t="str">
        <f t="shared" si="546"/>
        <v>62002-0000</v>
      </c>
      <c r="D8711" s="64" t="s">
        <v>9960</v>
      </c>
      <c r="E8711" s="64" t="s">
        <v>3090</v>
      </c>
      <c r="F8711" s="64" t="s">
        <v>15</v>
      </c>
      <c r="G8711" s="64" t="s">
        <v>3035</v>
      </c>
      <c r="H8711" s="64" t="s">
        <v>3022</v>
      </c>
      <c r="I8711" s="64" t="s">
        <v>3074</v>
      </c>
      <c r="J8711" s="67">
        <v>-672.49</v>
      </c>
      <c r="K8711" s="62">
        <v>20991.08</v>
      </c>
      <c r="L8711" s="33" t="e">
        <f>HLOOKUP(B8711,#REF!,1,0)</f>
        <v>#REF!</v>
      </c>
      <c r="M8711" s="33" t="str">
        <f t="shared" si="547"/>
        <v>P&amp;L</v>
      </c>
    </row>
    <row r="8712" spans="1:13">
      <c r="A8712" s="33" t="str">
        <f t="shared" si="544"/>
        <v>SCL - Operating Expense</v>
      </c>
      <c r="B8712" s="33" t="str">
        <f t="shared" si="545"/>
        <v>SCL</v>
      </c>
      <c r="C8712" s="33" t="str">
        <f t="shared" si="546"/>
        <v>62002-7351</v>
      </c>
      <c r="D8712" s="64" t="s">
        <v>9961</v>
      </c>
      <c r="E8712" s="64" t="s">
        <v>3090</v>
      </c>
      <c r="F8712" s="64" t="s">
        <v>15</v>
      </c>
      <c r="G8712" s="64" t="s">
        <v>3035</v>
      </c>
      <c r="H8712" s="64" t="s">
        <v>3022</v>
      </c>
      <c r="I8712" s="64" t="s">
        <v>3074</v>
      </c>
      <c r="J8712" s="67">
        <v>0</v>
      </c>
      <c r="K8712" s="62">
        <v>614.58</v>
      </c>
      <c r="L8712" s="33" t="e">
        <f>HLOOKUP(B8712,#REF!,1,0)</f>
        <v>#REF!</v>
      </c>
      <c r="M8712" s="33" t="str">
        <f t="shared" si="547"/>
        <v>P&amp;L</v>
      </c>
    </row>
    <row r="8713" spans="1:13">
      <c r="A8713" s="33" t="str">
        <f t="shared" si="544"/>
        <v>SCL - Operating Expense</v>
      </c>
      <c r="B8713" s="33" t="str">
        <f t="shared" si="545"/>
        <v>SCL</v>
      </c>
      <c r="C8713" s="33" t="str">
        <f t="shared" si="546"/>
        <v>62002-7352</v>
      </c>
      <c r="D8713" s="64" t="s">
        <v>9962</v>
      </c>
      <c r="E8713" s="64" t="s">
        <v>3090</v>
      </c>
      <c r="F8713" s="64" t="s">
        <v>15</v>
      </c>
      <c r="G8713" s="64" t="s">
        <v>3035</v>
      </c>
      <c r="H8713" s="64" t="s">
        <v>3022</v>
      </c>
      <c r="I8713" s="64" t="s">
        <v>3074</v>
      </c>
      <c r="J8713" s="67">
        <v>0</v>
      </c>
      <c r="K8713" s="62">
        <v>5952.58</v>
      </c>
      <c r="L8713" s="33" t="e">
        <f>HLOOKUP(B8713,#REF!,1,0)</f>
        <v>#REF!</v>
      </c>
      <c r="M8713" s="33" t="str">
        <f t="shared" si="547"/>
        <v>P&amp;L</v>
      </c>
    </row>
    <row r="8714" spans="1:13">
      <c r="A8714" s="33" t="str">
        <f t="shared" si="544"/>
        <v>SCL - Operating Expense</v>
      </c>
      <c r="B8714" s="33" t="str">
        <f t="shared" si="545"/>
        <v>SCL</v>
      </c>
      <c r="C8714" s="33" t="str">
        <f t="shared" si="546"/>
        <v>62002-7355</v>
      </c>
      <c r="D8714" s="64" t="s">
        <v>9963</v>
      </c>
      <c r="E8714" s="64" t="s">
        <v>3090</v>
      </c>
      <c r="F8714" s="64" t="s">
        <v>15</v>
      </c>
      <c r="G8714" s="64" t="s">
        <v>3035</v>
      </c>
      <c r="H8714" s="64" t="s">
        <v>3022</v>
      </c>
      <c r="I8714" s="64" t="s">
        <v>3074</v>
      </c>
      <c r="J8714" s="67">
        <v>0</v>
      </c>
      <c r="K8714" s="62">
        <v>5608.66</v>
      </c>
      <c r="L8714" s="33" t="e">
        <f>HLOOKUP(B8714,#REF!,1,0)</f>
        <v>#REF!</v>
      </c>
      <c r="M8714" s="33" t="str">
        <f t="shared" si="547"/>
        <v>P&amp;L</v>
      </c>
    </row>
    <row r="8715" spans="1:13">
      <c r="A8715" s="33" t="str">
        <f t="shared" si="544"/>
        <v>SCL - Operating Expense</v>
      </c>
      <c r="B8715" s="33" t="str">
        <f t="shared" si="545"/>
        <v>SCL</v>
      </c>
      <c r="C8715" s="33" t="str">
        <f t="shared" si="546"/>
        <v>62002-7359</v>
      </c>
      <c r="D8715" s="64" t="s">
        <v>9964</v>
      </c>
      <c r="E8715" s="64" t="s">
        <v>3090</v>
      </c>
      <c r="F8715" s="64" t="s">
        <v>15</v>
      </c>
      <c r="G8715" s="64" t="s">
        <v>3035</v>
      </c>
      <c r="H8715" s="64" t="s">
        <v>3022</v>
      </c>
      <c r="I8715" s="64" t="s">
        <v>3074</v>
      </c>
      <c r="J8715" s="67">
        <v>0</v>
      </c>
      <c r="K8715" s="62">
        <v>3923.24</v>
      </c>
      <c r="L8715" s="33" t="e">
        <f>HLOOKUP(B8715,#REF!,1,0)</f>
        <v>#REF!</v>
      </c>
      <c r="M8715" s="33" t="str">
        <f t="shared" si="547"/>
        <v>P&amp;L</v>
      </c>
    </row>
    <row r="8716" spans="1:13">
      <c r="A8716" s="33" t="str">
        <f t="shared" si="544"/>
        <v>SCL - Operating Expense</v>
      </c>
      <c r="B8716" s="33" t="str">
        <f t="shared" si="545"/>
        <v>SCL</v>
      </c>
      <c r="C8716" s="33" t="str">
        <f t="shared" si="546"/>
        <v>62002-7360</v>
      </c>
      <c r="D8716" s="64" t="s">
        <v>9965</v>
      </c>
      <c r="E8716" s="64" t="s">
        <v>3090</v>
      </c>
      <c r="F8716" s="64" t="s">
        <v>15</v>
      </c>
      <c r="G8716" s="64" t="s">
        <v>3035</v>
      </c>
      <c r="H8716" s="64" t="s">
        <v>3022</v>
      </c>
      <c r="I8716" s="64" t="s">
        <v>3074</v>
      </c>
      <c r="J8716" s="67">
        <v>0</v>
      </c>
      <c r="K8716" s="62">
        <v>3579.21</v>
      </c>
      <c r="L8716" s="33" t="e">
        <f>HLOOKUP(B8716,#REF!,1,0)</f>
        <v>#REF!</v>
      </c>
      <c r="M8716" s="33" t="str">
        <f t="shared" si="547"/>
        <v>P&amp;L</v>
      </c>
    </row>
    <row r="8717" spans="1:13">
      <c r="A8717" s="33" t="str">
        <f t="shared" si="544"/>
        <v>SCL - Operating Expense</v>
      </c>
      <c r="B8717" s="33" t="str">
        <f t="shared" si="545"/>
        <v>SCL</v>
      </c>
      <c r="C8717" s="33" t="str">
        <f t="shared" si="546"/>
        <v>62002-7361</v>
      </c>
      <c r="D8717" s="64" t="s">
        <v>9966</v>
      </c>
      <c r="E8717" s="64" t="s">
        <v>3090</v>
      </c>
      <c r="F8717" s="64" t="s">
        <v>15</v>
      </c>
      <c r="G8717" s="64" t="s">
        <v>3035</v>
      </c>
      <c r="H8717" s="64" t="s">
        <v>3022</v>
      </c>
      <c r="I8717" s="64" t="s">
        <v>3074</v>
      </c>
      <c r="J8717" s="67">
        <v>0</v>
      </c>
      <c r="K8717" s="62">
        <v>839.58</v>
      </c>
      <c r="L8717" s="33" t="e">
        <f>HLOOKUP(B8717,#REF!,1,0)</f>
        <v>#REF!</v>
      </c>
      <c r="M8717" s="33" t="str">
        <f t="shared" si="547"/>
        <v>P&amp;L</v>
      </c>
    </row>
    <row r="8718" spans="1:13">
      <c r="A8718" s="33" t="str">
        <f t="shared" si="544"/>
        <v>SCL - Operating Expense</v>
      </c>
      <c r="B8718" s="33" t="str">
        <f t="shared" si="545"/>
        <v>SCL</v>
      </c>
      <c r="C8718" s="33" t="str">
        <f t="shared" si="546"/>
        <v>62002-7362</v>
      </c>
      <c r="D8718" s="64" t="s">
        <v>9967</v>
      </c>
      <c r="E8718" s="64" t="s">
        <v>3090</v>
      </c>
      <c r="F8718" s="64" t="s">
        <v>15</v>
      </c>
      <c r="G8718" s="64" t="s">
        <v>3035</v>
      </c>
      <c r="H8718" s="64" t="s">
        <v>3022</v>
      </c>
      <c r="I8718" s="64" t="s">
        <v>3074</v>
      </c>
      <c r="J8718" s="67">
        <v>0</v>
      </c>
      <c r="K8718" s="62">
        <v>600</v>
      </c>
      <c r="L8718" s="33" t="e">
        <f>HLOOKUP(B8718,#REF!,1,0)</f>
        <v>#REF!</v>
      </c>
      <c r="M8718" s="33" t="str">
        <f t="shared" si="547"/>
        <v>P&amp;L</v>
      </c>
    </row>
    <row r="8719" spans="1:13">
      <c r="A8719" s="33" t="str">
        <f t="shared" si="544"/>
        <v>SCL - Operating Expense</v>
      </c>
      <c r="B8719" s="33" t="str">
        <f t="shared" si="545"/>
        <v>SCL</v>
      </c>
      <c r="C8719" s="33" t="str">
        <f t="shared" si="546"/>
        <v>62002-7363</v>
      </c>
      <c r="D8719" s="64" t="s">
        <v>9968</v>
      </c>
      <c r="E8719" s="64" t="s">
        <v>3090</v>
      </c>
      <c r="F8719" s="64" t="s">
        <v>15</v>
      </c>
      <c r="G8719" s="64" t="s">
        <v>3035</v>
      </c>
      <c r="H8719" s="64" t="s">
        <v>3022</v>
      </c>
      <c r="I8719" s="64" t="s">
        <v>3074</v>
      </c>
      <c r="J8719" s="67">
        <v>0</v>
      </c>
      <c r="K8719" s="62">
        <v>614.58</v>
      </c>
      <c r="L8719" s="33" t="e">
        <f>HLOOKUP(B8719,#REF!,1,0)</f>
        <v>#REF!</v>
      </c>
      <c r="M8719" s="33" t="str">
        <f t="shared" si="547"/>
        <v>P&amp;L</v>
      </c>
    </row>
    <row r="8720" spans="1:13">
      <c r="A8720" s="33" t="str">
        <f t="shared" si="544"/>
        <v>SCL - Operating Expense</v>
      </c>
      <c r="B8720" s="33" t="str">
        <f t="shared" si="545"/>
        <v>SCL</v>
      </c>
      <c r="C8720" s="33" t="str">
        <f t="shared" si="546"/>
        <v>62002-7364</v>
      </c>
      <c r="D8720" s="64" t="s">
        <v>9969</v>
      </c>
      <c r="E8720" s="64" t="s">
        <v>3090</v>
      </c>
      <c r="F8720" s="64" t="s">
        <v>15</v>
      </c>
      <c r="G8720" s="64" t="s">
        <v>3035</v>
      </c>
      <c r="H8720" s="64" t="s">
        <v>3022</v>
      </c>
      <c r="I8720" s="64" t="s">
        <v>3074</v>
      </c>
      <c r="J8720" s="67">
        <v>0</v>
      </c>
      <c r="K8720" s="62">
        <v>600</v>
      </c>
      <c r="L8720" s="33" t="e">
        <f>HLOOKUP(B8720,#REF!,1,0)</f>
        <v>#REF!</v>
      </c>
      <c r="M8720" s="33" t="str">
        <f t="shared" si="547"/>
        <v>P&amp;L</v>
      </c>
    </row>
    <row r="8721" spans="1:13">
      <c r="A8721" s="33" t="str">
        <f t="shared" si="544"/>
        <v>SCL - Operating Expense</v>
      </c>
      <c r="B8721" s="33" t="str">
        <f t="shared" si="545"/>
        <v>SCL</v>
      </c>
      <c r="C8721" s="33" t="str">
        <f t="shared" si="546"/>
        <v>62002-7365</v>
      </c>
      <c r="D8721" s="64" t="s">
        <v>9970</v>
      </c>
      <c r="E8721" s="64" t="s">
        <v>3090</v>
      </c>
      <c r="F8721" s="64" t="s">
        <v>15</v>
      </c>
      <c r="G8721" s="64" t="s">
        <v>3035</v>
      </c>
      <c r="H8721" s="64" t="s">
        <v>3022</v>
      </c>
      <c r="I8721" s="64" t="s">
        <v>3074</v>
      </c>
      <c r="J8721" s="67">
        <v>0</v>
      </c>
      <c r="K8721" s="62">
        <v>1221.66</v>
      </c>
      <c r="L8721" s="33" t="e">
        <f>HLOOKUP(B8721,#REF!,1,0)</f>
        <v>#REF!</v>
      </c>
      <c r="M8721" s="33" t="str">
        <f t="shared" si="547"/>
        <v>P&amp;L</v>
      </c>
    </row>
    <row r="8722" spans="1:13">
      <c r="A8722" s="33" t="str">
        <f t="shared" si="544"/>
        <v>SCL - Operating Expense</v>
      </c>
      <c r="B8722" s="33" t="str">
        <f t="shared" si="545"/>
        <v>SCL</v>
      </c>
      <c r="C8722" s="33" t="str">
        <f t="shared" si="546"/>
        <v>62002-7366</v>
      </c>
      <c r="D8722" s="64" t="s">
        <v>9971</v>
      </c>
      <c r="E8722" s="64" t="s">
        <v>3090</v>
      </c>
      <c r="F8722" s="64" t="s">
        <v>15</v>
      </c>
      <c r="G8722" s="64" t="s">
        <v>3035</v>
      </c>
      <c r="H8722" s="64" t="s">
        <v>3022</v>
      </c>
      <c r="I8722" s="64" t="s">
        <v>3074</v>
      </c>
      <c r="J8722" s="67">
        <v>225</v>
      </c>
      <c r="K8722" s="62">
        <v>1248</v>
      </c>
      <c r="L8722" s="33" t="e">
        <f>HLOOKUP(B8722,#REF!,1,0)</f>
        <v>#REF!</v>
      </c>
      <c r="M8722" s="33" t="str">
        <f t="shared" si="547"/>
        <v>P&amp;L</v>
      </c>
    </row>
    <row r="8723" spans="1:13">
      <c r="A8723" s="33" t="str">
        <f t="shared" si="544"/>
        <v>SCL - Operating Expense</v>
      </c>
      <c r="B8723" s="33" t="str">
        <f t="shared" si="545"/>
        <v>SCL</v>
      </c>
      <c r="C8723" s="33" t="str">
        <f t="shared" si="546"/>
        <v>62002-7368</v>
      </c>
      <c r="D8723" s="64" t="s">
        <v>9972</v>
      </c>
      <c r="E8723" s="64" t="s">
        <v>3090</v>
      </c>
      <c r="F8723" s="64" t="s">
        <v>15</v>
      </c>
      <c r="G8723" s="64" t="s">
        <v>3035</v>
      </c>
      <c r="H8723" s="64" t="s">
        <v>3022</v>
      </c>
      <c r="I8723" s="64" t="s">
        <v>3074</v>
      </c>
      <c r="J8723" s="67">
        <v>0</v>
      </c>
      <c r="K8723" s="62">
        <v>600</v>
      </c>
      <c r="L8723" s="33" t="e">
        <f>HLOOKUP(B8723,#REF!,1,0)</f>
        <v>#REF!</v>
      </c>
      <c r="M8723" s="33" t="str">
        <f t="shared" si="547"/>
        <v>P&amp;L</v>
      </c>
    </row>
    <row r="8724" spans="1:13">
      <c r="A8724" s="33" t="str">
        <f t="shared" si="544"/>
        <v>SCL - Operating Expense</v>
      </c>
      <c r="B8724" s="33" t="str">
        <f t="shared" si="545"/>
        <v>SCL</v>
      </c>
      <c r="C8724" s="33" t="str">
        <f t="shared" si="546"/>
        <v>62002-7369</v>
      </c>
      <c r="D8724" s="64" t="s">
        <v>9973</v>
      </c>
      <c r="E8724" s="64" t="s">
        <v>3090</v>
      </c>
      <c r="F8724" s="64" t="s">
        <v>15</v>
      </c>
      <c r="G8724" s="64" t="s">
        <v>3035</v>
      </c>
      <c r="H8724" s="64" t="s">
        <v>3022</v>
      </c>
      <c r="I8724" s="64" t="s">
        <v>3074</v>
      </c>
      <c r="J8724" s="67">
        <v>0</v>
      </c>
      <c r="K8724" s="62">
        <v>600</v>
      </c>
      <c r="L8724" s="33" t="e">
        <f>HLOOKUP(B8724,#REF!,1,0)</f>
        <v>#REF!</v>
      </c>
      <c r="M8724" s="33" t="str">
        <f t="shared" si="547"/>
        <v>P&amp;L</v>
      </c>
    </row>
    <row r="8725" spans="1:13">
      <c r="A8725" s="33" t="str">
        <f t="shared" si="544"/>
        <v>SCL - Operating Expense</v>
      </c>
      <c r="B8725" s="33" t="str">
        <f t="shared" si="545"/>
        <v>SCL</v>
      </c>
      <c r="C8725" s="33" t="str">
        <f t="shared" si="546"/>
        <v>62002-7371</v>
      </c>
      <c r="D8725" s="64" t="s">
        <v>9974</v>
      </c>
      <c r="E8725" s="64" t="s">
        <v>3090</v>
      </c>
      <c r="F8725" s="64" t="s">
        <v>15</v>
      </c>
      <c r="G8725" s="64" t="s">
        <v>3035</v>
      </c>
      <c r="H8725" s="64" t="s">
        <v>3022</v>
      </c>
      <c r="I8725" s="64" t="s">
        <v>3074</v>
      </c>
      <c r="J8725" s="67">
        <v>0</v>
      </c>
      <c r="K8725" s="62">
        <v>1514.58</v>
      </c>
      <c r="L8725" s="33" t="e">
        <f>HLOOKUP(B8725,#REF!,1,0)</f>
        <v>#REF!</v>
      </c>
      <c r="M8725" s="33" t="str">
        <f t="shared" si="547"/>
        <v>P&amp;L</v>
      </c>
    </row>
    <row r="8726" spans="1:13">
      <c r="A8726" s="33" t="str">
        <f t="shared" si="544"/>
        <v>SCL - Operating Expense</v>
      </c>
      <c r="B8726" s="33" t="str">
        <f t="shared" si="545"/>
        <v>SCL</v>
      </c>
      <c r="C8726" s="33" t="str">
        <f t="shared" si="546"/>
        <v>62002-7374</v>
      </c>
      <c r="D8726" s="64" t="s">
        <v>9975</v>
      </c>
      <c r="E8726" s="64" t="s">
        <v>3090</v>
      </c>
      <c r="F8726" s="64" t="s">
        <v>15</v>
      </c>
      <c r="G8726" s="64" t="s">
        <v>3035</v>
      </c>
      <c r="H8726" s="64" t="s">
        <v>3022</v>
      </c>
      <c r="I8726" s="64" t="s">
        <v>3074</v>
      </c>
      <c r="J8726" s="67">
        <v>225</v>
      </c>
      <c r="K8726" s="62">
        <v>1600</v>
      </c>
      <c r="L8726" s="33" t="e">
        <f>HLOOKUP(B8726,#REF!,1,0)</f>
        <v>#REF!</v>
      </c>
      <c r="M8726" s="33" t="str">
        <f t="shared" si="547"/>
        <v>P&amp;L</v>
      </c>
    </row>
    <row r="8727" spans="1:13">
      <c r="A8727" s="33" t="str">
        <f t="shared" si="544"/>
        <v>SCL - Operating Expense</v>
      </c>
      <c r="B8727" s="33" t="str">
        <f t="shared" si="545"/>
        <v>SCL</v>
      </c>
      <c r="C8727" s="33" t="str">
        <f t="shared" si="546"/>
        <v>62002-7375</v>
      </c>
      <c r="D8727" s="64" t="s">
        <v>9976</v>
      </c>
      <c r="E8727" s="64" t="s">
        <v>3090</v>
      </c>
      <c r="F8727" s="64" t="s">
        <v>15</v>
      </c>
      <c r="G8727" s="64" t="s">
        <v>3035</v>
      </c>
      <c r="H8727" s="64" t="s">
        <v>3022</v>
      </c>
      <c r="I8727" s="64" t="s">
        <v>3074</v>
      </c>
      <c r="J8727" s="67">
        <v>0</v>
      </c>
      <c r="K8727" s="62">
        <v>1263.58</v>
      </c>
      <c r="L8727" s="33" t="e">
        <f>HLOOKUP(B8727,#REF!,1,0)</f>
        <v>#REF!</v>
      </c>
      <c r="M8727" s="33" t="str">
        <f t="shared" si="547"/>
        <v>P&amp;L</v>
      </c>
    </row>
    <row r="8728" spans="1:13">
      <c r="A8728" s="33" t="str">
        <f t="shared" si="544"/>
        <v>SCL - Operating Expense</v>
      </c>
      <c r="B8728" s="33" t="str">
        <f t="shared" si="545"/>
        <v>SCL</v>
      </c>
      <c r="C8728" s="33" t="str">
        <f t="shared" si="546"/>
        <v>62002-7376</v>
      </c>
      <c r="D8728" s="64" t="s">
        <v>9977</v>
      </c>
      <c r="E8728" s="64" t="s">
        <v>3090</v>
      </c>
      <c r="F8728" s="64" t="s">
        <v>15</v>
      </c>
      <c r="G8728" s="64" t="s">
        <v>3035</v>
      </c>
      <c r="H8728" s="64" t="s">
        <v>3022</v>
      </c>
      <c r="I8728" s="64" t="s">
        <v>3074</v>
      </c>
      <c r="J8728" s="67">
        <v>0</v>
      </c>
      <c r="K8728" s="62">
        <v>1650</v>
      </c>
      <c r="L8728" s="33" t="e">
        <f>HLOOKUP(B8728,#REF!,1,0)</f>
        <v>#REF!</v>
      </c>
      <c r="M8728" s="33" t="str">
        <f t="shared" si="547"/>
        <v>P&amp;L</v>
      </c>
    </row>
    <row r="8729" spans="1:13">
      <c r="A8729" s="33" t="str">
        <f t="shared" si="544"/>
        <v>SCL - Operating Expense</v>
      </c>
      <c r="B8729" s="33" t="str">
        <f t="shared" si="545"/>
        <v>SCL</v>
      </c>
      <c r="C8729" s="33" t="str">
        <f t="shared" si="546"/>
        <v>62002-7377</v>
      </c>
      <c r="D8729" s="64" t="s">
        <v>9978</v>
      </c>
      <c r="E8729" s="64" t="s">
        <v>3090</v>
      </c>
      <c r="F8729" s="64" t="s">
        <v>15</v>
      </c>
      <c r="G8729" s="64" t="s">
        <v>3035</v>
      </c>
      <c r="H8729" s="64" t="s">
        <v>3022</v>
      </c>
      <c r="I8729" s="64" t="s">
        <v>3074</v>
      </c>
      <c r="J8729" s="67">
        <v>0</v>
      </c>
      <c r="K8729" s="62">
        <v>614.58</v>
      </c>
      <c r="L8729" s="33" t="e">
        <f>HLOOKUP(B8729,#REF!,1,0)</f>
        <v>#REF!</v>
      </c>
      <c r="M8729" s="33" t="str">
        <f t="shared" si="547"/>
        <v>P&amp;L</v>
      </c>
    </row>
    <row r="8730" spans="1:13">
      <c r="A8730" s="33" t="str">
        <f t="shared" si="544"/>
        <v>SCL - Operating Expense</v>
      </c>
      <c r="B8730" s="33" t="str">
        <f t="shared" si="545"/>
        <v>SCL</v>
      </c>
      <c r="C8730" s="33" t="str">
        <f t="shared" si="546"/>
        <v>62002-7378</v>
      </c>
      <c r="D8730" s="64" t="s">
        <v>9979</v>
      </c>
      <c r="E8730" s="64" t="s">
        <v>3090</v>
      </c>
      <c r="F8730" s="64" t="s">
        <v>15</v>
      </c>
      <c r="G8730" s="64" t="s">
        <v>3035</v>
      </c>
      <c r="H8730" s="64" t="s">
        <v>3022</v>
      </c>
      <c r="I8730" s="64" t="s">
        <v>3074</v>
      </c>
      <c r="J8730" s="67">
        <v>423.62</v>
      </c>
      <c r="K8730" s="62">
        <v>1023.62</v>
      </c>
      <c r="L8730" s="33" t="e">
        <f>HLOOKUP(B8730,#REF!,1,0)</f>
        <v>#REF!</v>
      </c>
      <c r="M8730" s="33" t="str">
        <f t="shared" si="547"/>
        <v>P&amp;L</v>
      </c>
    </row>
    <row r="8731" spans="1:13">
      <c r="A8731" s="33" t="str">
        <f t="shared" si="544"/>
        <v>SCL - Operating Expense</v>
      </c>
      <c r="B8731" s="33" t="str">
        <f t="shared" si="545"/>
        <v>SCL</v>
      </c>
      <c r="C8731" s="33" t="str">
        <f t="shared" si="546"/>
        <v>62002-7379</v>
      </c>
      <c r="D8731" s="64" t="s">
        <v>9980</v>
      </c>
      <c r="E8731" s="64" t="s">
        <v>3090</v>
      </c>
      <c r="F8731" s="64" t="s">
        <v>15</v>
      </c>
      <c r="G8731" s="64" t="s">
        <v>3035</v>
      </c>
      <c r="H8731" s="64" t="s">
        <v>3022</v>
      </c>
      <c r="I8731" s="64" t="s">
        <v>3074</v>
      </c>
      <c r="J8731" s="67">
        <v>0</v>
      </c>
      <c r="K8731" s="62">
        <v>1134.58</v>
      </c>
      <c r="L8731" s="33" t="e">
        <f>HLOOKUP(B8731,#REF!,1,0)</f>
        <v>#REF!</v>
      </c>
      <c r="M8731" s="33" t="str">
        <f t="shared" si="547"/>
        <v>P&amp;L</v>
      </c>
    </row>
    <row r="8732" spans="1:13">
      <c r="A8732" s="33" t="str">
        <f t="shared" si="544"/>
        <v>SCL - Operating Expense</v>
      </c>
      <c r="B8732" s="33" t="str">
        <f t="shared" si="545"/>
        <v>SCL</v>
      </c>
      <c r="C8732" s="33" t="str">
        <f t="shared" si="546"/>
        <v>62002-7380</v>
      </c>
      <c r="D8732" s="64" t="s">
        <v>9981</v>
      </c>
      <c r="E8732" s="64" t="s">
        <v>3090</v>
      </c>
      <c r="F8732" s="64" t="s">
        <v>15</v>
      </c>
      <c r="G8732" s="64" t="s">
        <v>3035</v>
      </c>
      <c r="H8732" s="64" t="s">
        <v>3022</v>
      </c>
      <c r="I8732" s="64" t="s">
        <v>3074</v>
      </c>
      <c r="J8732" s="67">
        <v>0</v>
      </c>
      <c r="K8732" s="62">
        <v>1290</v>
      </c>
      <c r="L8732" s="33" t="e">
        <f>HLOOKUP(B8732,#REF!,1,0)</f>
        <v>#REF!</v>
      </c>
      <c r="M8732" s="33" t="str">
        <f t="shared" si="547"/>
        <v>P&amp;L</v>
      </c>
    </row>
    <row r="8733" spans="1:13">
      <c r="A8733" s="33" t="str">
        <f t="shared" si="544"/>
        <v>SCL - Operating Expense</v>
      </c>
      <c r="B8733" s="33" t="str">
        <f t="shared" si="545"/>
        <v>SCL</v>
      </c>
      <c r="C8733" s="33" t="str">
        <f t="shared" si="546"/>
        <v>62002-7381</v>
      </c>
      <c r="D8733" s="64" t="s">
        <v>9982</v>
      </c>
      <c r="E8733" s="64" t="s">
        <v>3090</v>
      </c>
      <c r="F8733" s="64" t="s">
        <v>15</v>
      </c>
      <c r="G8733" s="64" t="s">
        <v>3035</v>
      </c>
      <c r="H8733" s="64" t="s">
        <v>3022</v>
      </c>
      <c r="I8733" s="64" t="s">
        <v>3074</v>
      </c>
      <c r="J8733" s="67">
        <v>0</v>
      </c>
      <c r="K8733" s="62">
        <v>600</v>
      </c>
      <c r="L8733" s="33" t="e">
        <f>HLOOKUP(B8733,#REF!,1,0)</f>
        <v>#REF!</v>
      </c>
      <c r="M8733" s="33" t="str">
        <f t="shared" si="547"/>
        <v>P&amp;L</v>
      </c>
    </row>
    <row r="8734" spans="1:13">
      <c r="A8734" s="33" t="str">
        <f t="shared" si="544"/>
        <v>SCL - Operating Expense</v>
      </c>
      <c r="B8734" s="33" t="str">
        <f t="shared" si="545"/>
        <v>SCL</v>
      </c>
      <c r="C8734" s="33" t="str">
        <f t="shared" si="546"/>
        <v>62002-7383</v>
      </c>
      <c r="D8734" s="64" t="s">
        <v>9983</v>
      </c>
      <c r="E8734" s="64" t="s">
        <v>3090</v>
      </c>
      <c r="F8734" s="64" t="s">
        <v>15</v>
      </c>
      <c r="G8734" s="64" t="s">
        <v>3035</v>
      </c>
      <c r="H8734" s="64" t="s">
        <v>3022</v>
      </c>
      <c r="I8734" s="64" t="s">
        <v>3074</v>
      </c>
      <c r="J8734" s="67">
        <v>0</v>
      </c>
      <c r="K8734" s="62">
        <v>1064.58</v>
      </c>
      <c r="L8734" s="33" t="e">
        <f>HLOOKUP(B8734,#REF!,1,0)</f>
        <v>#REF!</v>
      </c>
      <c r="M8734" s="33" t="str">
        <f t="shared" si="547"/>
        <v>P&amp;L</v>
      </c>
    </row>
    <row r="8735" spans="1:13">
      <c r="A8735" s="33" t="str">
        <f t="shared" si="544"/>
        <v>SCL - Operating Expense</v>
      </c>
      <c r="B8735" s="33" t="str">
        <f t="shared" si="545"/>
        <v>SCL</v>
      </c>
      <c r="C8735" s="33" t="str">
        <f t="shared" si="546"/>
        <v>62002-7385</v>
      </c>
      <c r="D8735" s="64" t="s">
        <v>9984</v>
      </c>
      <c r="E8735" s="64" t="s">
        <v>3090</v>
      </c>
      <c r="F8735" s="64" t="s">
        <v>15</v>
      </c>
      <c r="G8735" s="64" t="s">
        <v>3035</v>
      </c>
      <c r="H8735" s="64" t="s">
        <v>3022</v>
      </c>
      <c r="I8735" s="64" t="s">
        <v>3074</v>
      </c>
      <c r="J8735" s="67">
        <v>0</v>
      </c>
      <c r="K8735" s="62">
        <v>1149</v>
      </c>
      <c r="L8735" s="33" t="e">
        <f>HLOOKUP(B8735,#REF!,1,0)</f>
        <v>#REF!</v>
      </c>
      <c r="M8735" s="33" t="str">
        <f t="shared" si="547"/>
        <v>P&amp;L</v>
      </c>
    </row>
    <row r="8736" spans="1:13">
      <c r="A8736" s="33" t="str">
        <f t="shared" si="544"/>
        <v>SCL - Operating Expense</v>
      </c>
      <c r="B8736" s="33" t="str">
        <f t="shared" si="545"/>
        <v>SCL</v>
      </c>
      <c r="C8736" s="33" t="str">
        <f t="shared" si="546"/>
        <v>62002-7386</v>
      </c>
      <c r="D8736" s="64" t="s">
        <v>9985</v>
      </c>
      <c r="E8736" s="64" t="s">
        <v>3090</v>
      </c>
      <c r="F8736" s="64" t="s">
        <v>15</v>
      </c>
      <c r="G8736" s="64" t="s">
        <v>3035</v>
      </c>
      <c r="H8736" s="64" t="s">
        <v>3022</v>
      </c>
      <c r="I8736" s="64" t="s">
        <v>3074</v>
      </c>
      <c r="J8736" s="67">
        <v>0</v>
      </c>
      <c r="K8736" s="62">
        <v>1289.58</v>
      </c>
      <c r="L8736" s="33" t="e">
        <f>HLOOKUP(B8736,#REF!,1,0)</f>
        <v>#REF!</v>
      </c>
      <c r="M8736" s="33" t="str">
        <f t="shared" si="547"/>
        <v>P&amp;L</v>
      </c>
    </row>
    <row r="8737" spans="1:13">
      <c r="A8737" s="33" t="str">
        <f t="shared" si="544"/>
        <v>SCL - Operating Expense</v>
      </c>
      <c r="B8737" s="33" t="str">
        <f t="shared" si="545"/>
        <v>SCL</v>
      </c>
      <c r="C8737" s="33" t="str">
        <f t="shared" si="546"/>
        <v>62002-7387</v>
      </c>
      <c r="D8737" s="64" t="s">
        <v>9986</v>
      </c>
      <c r="E8737" s="64" t="s">
        <v>3090</v>
      </c>
      <c r="F8737" s="64" t="s">
        <v>15</v>
      </c>
      <c r="G8737" s="64" t="s">
        <v>3035</v>
      </c>
      <c r="H8737" s="64" t="s">
        <v>3022</v>
      </c>
      <c r="I8737" s="64" t="s">
        <v>3074</v>
      </c>
      <c r="J8737" s="67">
        <v>0</v>
      </c>
      <c r="K8737" s="62">
        <v>3115.33</v>
      </c>
      <c r="L8737" s="33" t="e">
        <f>HLOOKUP(B8737,#REF!,1,0)</f>
        <v>#REF!</v>
      </c>
      <c r="M8737" s="33" t="str">
        <f t="shared" si="547"/>
        <v>P&amp;L</v>
      </c>
    </row>
    <row r="8738" spans="1:13">
      <c r="A8738" s="33" t="str">
        <f t="shared" si="544"/>
        <v>SCL - Operating Expense</v>
      </c>
      <c r="B8738" s="33" t="str">
        <f t="shared" si="545"/>
        <v>SCL</v>
      </c>
      <c r="C8738" s="33" t="str">
        <f t="shared" si="546"/>
        <v>62002-7389</v>
      </c>
      <c r="D8738" s="64" t="s">
        <v>9987</v>
      </c>
      <c r="E8738" s="64" t="s">
        <v>3090</v>
      </c>
      <c r="F8738" s="64" t="s">
        <v>15</v>
      </c>
      <c r="G8738" s="64" t="s">
        <v>3035</v>
      </c>
      <c r="H8738" s="64" t="s">
        <v>3022</v>
      </c>
      <c r="I8738" s="64" t="s">
        <v>3074</v>
      </c>
      <c r="J8738" s="67">
        <v>0</v>
      </c>
      <c r="K8738" s="62">
        <v>600</v>
      </c>
      <c r="L8738" s="33" t="e">
        <f>HLOOKUP(B8738,#REF!,1,0)</f>
        <v>#REF!</v>
      </c>
      <c r="M8738" s="33" t="str">
        <f t="shared" si="547"/>
        <v>P&amp;L</v>
      </c>
    </row>
    <row r="8739" spans="1:13">
      <c r="A8739" s="33" t="str">
        <f t="shared" si="544"/>
        <v>SCL - Operating Expense</v>
      </c>
      <c r="B8739" s="33" t="str">
        <f t="shared" si="545"/>
        <v>SCL</v>
      </c>
      <c r="C8739" s="33" t="str">
        <f t="shared" si="546"/>
        <v>62002-7391</v>
      </c>
      <c r="D8739" s="64" t="s">
        <v>9988</v>
      </c>
      <c r="E8739" s="64" t="s">
        <v>3090</v>
      </c>
      <c r="F8739" s="64" t="s">
        <v>15</v>
      </c>
      <c r="G8739" s="64" t="s">
        <v>3035</v>
      </c>
      <c r="H8739" s="64" t="s">
        <v>3022</v>
      </c>
      <c r="I8739" s="64" t="s">
        <v>3074</v>
      </c>
      <c r="J8739" s="67">
        <v>0</v>
      </c>
      <c r="K8739" s="62">
        <v>1337.26</v>
      </c>
      <c r="L8739" s="33" t="e">
        <f>HLOOKUP(B8739,#REF!,1,0)</f>
        <v>#REF!</v>
      </c>
      <c r="M8739" s="33" t="str">
        <f t="shared" si="547"/>
        <v>P&amp;L</v>
      </c>
    </row>
    <row r="8740" spans="1:13">
      <c r="A8740" s="33" t="str">
        <f t="shared" si="544"/>
        <v>SCL - Operating Expense</v>
      </c>
      <c r="B8740" s="33" t="str">
        <f t="shared" si="545"/>
        <v>SCL</v>
      </c>
      <c r="C8740" s="33" t="str">
        <f t="shared" si="546"/>
        <v>62002-7393</v>
      </c>
      <c r="D8740" s="64" t="s">
        <v>9989</v>
      </c>
      <c r="E8740" s="64" t="s">
        <v>3090</v>
      </c>
      <c r="F8740" s="64" t="s">
        <v>15</v>
      </c>
      <c r="G8740" s="64" t="s">
        <v>3035</v>
      </c>
      <c r="H8740" s="64" t="s">
        <v>3022</v>
      </c>
      <c r="I8740" s="64" t="s">
        <v>3074</v>
      </c>
      <c r="J8740" s="67">
        <v>0</v>
      </c>
      <c r="K8740" s="62">
        <v>839.58</v>
      </c>
      <c r="L8740" s="33" t="e">
        <f>HLOOKUP(B8740,#REF!,1,0)</f>
        <v>#REF!</v>
      </c>
      <c r="M8740" s="33" t="str">
        <f t="shared" si="547"/>
        <v>P&amp;L</v>
      </c>
    </row>
    <row r="8741" spans="1:13">
      <c r="A8741" s="33" t="str">
        <f t="shared" si="544"/>
        <v>SCL - Operating Expense</v>
      </c>
      <c r="B8741" s="33" t="str">
        <f t="shared" si="545"/>
        <v>SCL</v>
      </c>
      <c r="C8741" s="33" t="str">
        <f t="shared" si="546"/>
        <v>62002-7394</v>
      </c>
      <c r="D8741" s="64" t="s">
        <v>9990</v>
      </c>
      <c r="E8741" s="64" t="s">
        <v>3090</v>
      </c>
      <c r="F8741" s="64" t="s">
        <v>15</v>
      </c>
      <c r="G8741" s="64" t="s">
        <v>3035</v>
      </c>
      <c r="H8741" s="64" t="s">
        <v>3022</v>
      </c>
      <c r="I8741" s="64" t="s">
        <v>3074</v>
      </c>
      <c r="J8741" s="67">
        <v>0</v>
      </c>
      <c r="K8741" s="62">
        <v>839.58</v>
      </c>
      <c r="L8741" s="33" t="e">
        <f>HLOOKUP(B8741,#REF!,1,0)</f>
        <v>#REF!</v>
      </c>
      <c r="M8741" s="33" t="str">
        <f t="shared" si="547"/>
        <v>P&amp;L</v>
      </c>
    </row>
    <row r="8742" spans="1:13">
      <c r="A8742" s="33" t="str">
        <f t="shared" si="544"/>
        <v>SCL - Operating Expense</v>
      </c>
      <c r="B8742" s="33" t="str">
        <f t="shared" si="545"/>
        <v>SCL</v>
      </c>
      <c r="C8742" s="33" t="str">
        <f t="shared" si="546"/>
        <v>62002-7396</v>
      </c>
      <c r="D8742" s="64" t="s">
        <v>9991</v>
      </c>
      <c r="E8742" s="64" t="s">
        <v>3090</v>
      </c>
      <c r="F8742" s="64" t="s">
        <v>15</v>
      </c>
      <c r="G8742" s="64" t="s">
        <v>3035</v>
      </c>
      <c r="H8742" s="64" t="s">
        <v>3022</v>
      </c>
      <c r="I8742" s="64" t="s">
        <v>3074</v>
      </c>
      <c r="J8742" s="67">
        <v>0</v>
      </c>
      <c r="K8742" s="62">
        <v>2211.38</v>
      </c>
      <c r="L8742" s="33" t="e">
        <f>HLOOKUP(B8742,#REF!,1,0)</f>
        <v>#REF!</v>
      </c>
      <c r="M8742" s="33" t="str">
        <f t="shared" si="547"/>
        <v>P&amp;L</v>
      </c>
    </row>
    <row r="8743" spans="1:13">
      <c r="A8743" s="33" t="str">
        <f t="shared" si="544"/>
        <v>SCL - Operating Expense</v>
      </c>
      <c r="B8743" s="33" t="str">
        <f t="shared" si="545"/>
        <v>SCL</v>
      </c>
      <c r="C8743" s="33" t="str">
        <f t="shared" si="546"/>
        <v>62002-7397</v>
      </c>
      <c r="D8743" s="64" t="s">
        <v>9992</v>
      </c>
      <c r="E8743" s="64" t="s">
        <v>3090</v>
      </c>
      <c r="F8743" s="64" t="s">
        <v>15</v>
      </c>
      <c r="G8743" s="64" t="s">
        <v>3035</v>
      </c>
      <c r="H8743" s="64" t="s">
        <v>3022</v>
      </c>
      <c r="I8743" s="64" t="s">
        <v>3074</v>
      </c>
      <c r="J8743" s="67">
        <v>0</v>
      </c>
      <c r="K8743" s="62">
        <v>1550.37</v>
      </c>
      <c r="L8743" s="33" t="e">
        <f>HLOOKUP(B8743,#REF!,1,0)</f>
        <v>#REF!</v>
      </c>
      <c r="M8743" s="33" t="str">
        <f t="shared" si="547"/>
        <v>P&amp;L</v>
      </c>
    </row>
    <row r="8744" spans="1:13">
      <c r="A8744" s="33" t="str">
        <f t="shared" si="544"/>
        <v>SCL - Operating Expense</v>
      </c>
      <c r="B8744" s="33" t="str">
        <f t="shared" si="545"/>
        <v>SCL</v>
      </c>
      <c r="C8744" s="33" t="str">
        <f t="shared" si="546"/>
        <v>62002-7398</v>
      </c>
      <c r="D8744" s="64" t="s">
        <v>9993</v>
      </c>
      <c r="E8744" s="64" t="s">
        <v>3090</v>
      </c>
      <c r="F8744" s="64" t="s">
        <v>15</v>
      </c>
      <c r="G8744" s="64" t="s">
        <v>3035</v>
      </c>
      <c r="H8744" s="64" t="s">
        <v>3022</v>
      </c>
      <c r="I8744" s="64" t="s">
        <v>3074</v>
      </c>
      <c r="J8744" s="67">
        <v>0</v>
      </c>
      <c r="K8744" s="62">
        <v>875</v>
      </c>
      <c r="L8744" s="33" t="e">
        <f>HLOOKUP(B8744,#REF!,1,0)</f>
        <v>#REF!</v>
      </c>
      <c r="M8744" s="33" t="str">
        <f t="shared" si="547"/>
        <v>P&amp;L</v>
      </c>
    </row>
    <row r="8745" spans="1:13">
      <c r="A8745" s="33" t="str">
        <f t="shared" si="544"/>
        <v>SCL - Operating Expense</v>
      </c>
      <c r="B8745" s="33" t="str">
        <f t="shared" si="545"/>
        <v>SCL</v>
      </c>
      <c r="C8745" s="33" t="str">
        <f t="shared" si="546"/>
        <v>62002-7400</v>
      </c>
      <c r="D8745" s="64" t="s">
        <v>9994</v>
      </c>
      <c r="E8745" s="64" t="s">
        <v>3090</v>
      </c>
      <c r="F8745" s="64" t="s">
        <v>15</v>
      </c>
      <c r="G8745" s="64" t="s">
        <v>3035</v>
      </c>
      <c r="H8745" s="64" t="s">
        <v>3022</v>
      </c>
      <c r="I8745" s="64" t="s">
        <v>3074</v>
      </c>
      <c r="J8745" s="67">
        <v>275</v>
      </c>
      <c r="K8745" s="62">
        <v>5762</v>
      </c>
      <c r="L8745" s="33" t="e">
        <f>HLOOKUP(B8745,#REF!,1,0)</f>
        <v>#REF!</v>
      </c>
      <c r="M8745" s="33" t="str">
        <f t="shared" si="547"/>
        <v>P&amp;L</v>
      </c>
    </row>
    <row r="8746" spans="1:13">
      <c r="A8746" s="33" t="str">
        <f t="shared" si="544"/>
        <v>SCL - Operating Expense</v>
      </c>
      <c r="B8746" s="33" t="str">
        <f t="shared" si="545"/>
        <v>SCL</v>
      </c>
      <c r="C8746" s="33" t="str">
        <f t="shared" si="546"/>
        <v>62002-7401</v>
      </c>
      <c r="D8746" s="64" t="s">
        <v>9995</v>
      </c>
      <c r="E8746" s="64" t="s">
        <v>3090</v>
      </c>
      <c r="F8746" s="64" t="s">
        <v>15</v>
      </c>
      <c r="G8746" s="64" t="s">
        <v>3035</v>
      </c>
      <c r="H8746" s="64" t="s">
        <v>3022</v>
      </c>
      <c r="I8746" s="64" t="s">
        <v>3074</v>
      </c>
      <c r="J8746" s="67">
        <v>0</v>
      </c>
      <c r="K8746" s="62">
        <v>6045.75</v>
      </c>
      <c r="L8746" s="33" t="e">
        <f>HLOOKUP(B8746,#REF!,1,0)</f>
        <v>#REF!</v>
      </c>
      <c r="M8746" s="33" t="str">
        <f t="shared" si="547"/>
        <v>P&amp;L</v>
      </c>
    </row>
    <row r="8747" spans="1:13">
      <c r="A8747" s="33" t="str">
        <f t="shared" si="544"/>
        <v>SCL - Operating Expense</v>
      </c>
      <c r="B8747" s="33" t="str">
        <f t="shared" si="545"/>
        <v>SCL</v>
      </c>
      <c r="C8747" s="33" t="str">
        <f t="shared" si="546"/>
        <v>62002-7402</v>
      </c>
      <c r="D8747" s="64" t="s">
        <v>9996</v>
      </c>
      <c r="E8747" s="64" t="s">
        <v>3090</v>
      </c>
      <c r="F8747" s="64" t="s">
        <v>15</v>
      </c>
      <c r="G8747" s="64" t="s">
        <v>3035</v>
      </c>
      <c r="H8747" s="64" t="s">
        <v>3022</v>
      </c>
      <c r="I8747" s="64" t="s">
        <v>3074</v>
      </c>
      <c r="J8747" s="67">
        <v>198</v>
      </c>
      <c r="K8747" s="62">
        <v>5006.02</v>
      </c>
      <c r="L8747" s="33" t="e">
        <f>HLOOKUP(B8747,#REF!,1,0)</f>
        <v>#REF!</v>
      </c>
      <c r="M8747" s="33" t="str">
        <f t="shared" si="547"/>
        <v>P&amp;L</v>
      </c>
    </row>
    <row r="8748" spans="1:13">
      <c r="A8748" s="33" t="str">
        <f t="shared" si="544"/>
        <v>SCL - Operating Expense</v>
      </c>
      <c r="B8748" s="33" t="str">
        <f t="shared" si="545"/>
        <v>SCL</v>
      </c>
      <c r="C8748" s="33" t="str">
        <f t="shared" si="546"/>
        <v>62002-7403</v>
      </c>
      <c r="D8748" s="64" t="s">
        <v>9997</v>
      </c>
      <c r="E8748" s="64" t="s">
        <v>3090</v>
      </c>
      <c r="F8748" s="64" t="s">
        <v>15</v>
      </c>
      <c r="G8748" s="64" t="s">
        <v>3035</v>
      </c>
      <c r="H8748" s="64" t="s">
        <v>3022</v>
      </c>
      <c r="I8748" s="64" t="s">
        <v>3074</v>
      </c>
      <c r="J8748" s="67">
        <v>0</v>
      </c>
      <c r="K8748" s="62">
        <v>5501.58</v>
      </c>
      <c r="L8748" s="33" t="e">
        <f>HLOOKUP(B8748,#REF!,1,0)</f>
        <v>#REF!</v>
      </c>
      <c r="M8748" s="33" t="str">
        <f t="shared" si="547"/>
        <v>P&amp;L</v>
      </c>
    </row>
    <row r="8749" spans="1:13">
      <c r="A8749" s="33" t="str">
        <f t="shared" si="544"/>
        <v>SCL - Operating Expense</v>
      </c>
      <c r="B8749" s="33" t="str">
        <f t="shared" si="545"/>
        <v>SCL</v>
      </c>
      <c r="C8749" s="33" t="str">
        <f t="shared" si="546"/>
        <v>62002-7489</v>
      </c>
      <c r="D8749" s="64" t="s">
        <v>9998</v>
      </c>
      <c r="E8749" s="64" t="s">
        <v>3090</v>
      </c>
      <c r="F8749" s="64" t="s">
        <v>15</v>
      </c>
      <c r="G8749" s="64" t="s">
        <v>3035</v>
      </c>
      <c r="H8749" s="64" t="s">
        <v>3022</v>
      </c>
      <c r="I8749" s="64" t="s">
        <v>3074</v>
      </c>
      <c r="J8749" s="67">
        <v>0</v>
      </c>
      <c r="K8749" s="62">
        <v>922.58</v>
      </c>
      <c r="L8749" s="33" t="e">
        <f>HLOOKUP(B8749,#REF!,1,0)</f>
        <v>#REF!</v>
      </c>
      <c r="M8749" s="33" t="str">
        <f t="shared" si="547"/>
        <v>P&amp;L</v>
      </c>
    </row>
    <row r="8750" spans="1:13">
      <c r="A8750" s="33" t="str">
        <f t="shared" si="544"/>
        <v>SCL - Operating Expense</v>
      </c>
      <c r="B8750" s="33" t="str">
        <f t="shared" si="545"/>
        <v>SCL</v>
      </c>
      <c r="C8750" s="33" t="str">
        <f t="shared" si="546"/>
        <v>62002-7491</v>
      </c>
      <c r="D8750" s="64" t="s">
        <v>9999</v>
      </c>
      <c r="E8750" s="64" t="s">
        <v>3090</v>
      </c>
      <c r="F8750" s="64" t="s">
        <v>15</v>
      </c>
      <c r="G8750" s="64" t="s">
        <v>3035</v>
      </c>
      <c r="H8750" s="64" t="s">
        <v>3022</v>
      </c>
      <c r="I8750" s="64" t="s">
        <v>3074</v>
      </c>
      <c r="J8750" s="67">
        <v>0</v>
      </c>
      <c r="K8750" s="62">
        <v>600</v>
      </c>
      <c r="L8750" s="33" t="e">
        <f>HLOOKUP(B8750,#REF!,1,0)</f>
        <v>#REF!</v>
      </c>
      <c r="M8750" s="33" t="str">
        <f t="shared" si="547"/>
        <v>P&amp;L</v>
      </c>
    </row>
    <row r="8751" spans="1:13">
      <c r="A8751" s="33" t="str">
        <f t="shared" si="544"/>
        <v>SCL - Operating Expense</v>
      </c>
      <c r="B8751" s="33" t="str">
        <f t="shared" si="545"/>
        <v>SCL</v>
      </c>
      <c r="C8751" s="33" t="str">
        <f t="shared" si="546"/>
        <v>62002-7492</v>
      </c>
      <c r="D8751" s="64" t="s">
        <v>10000</v>
      </c>
      <c r="E8751" s="64" t="s">
        <v>3090</v>
      </c>
      <c r="F8751" s="64" t="s">
        <v>15</v>
      </c>
      <c r="G8751" s="64" t="s">
        <v>3035</v>
      </c>
      <c r="H8751" s="64" t="s">
        <v>3022</v>
      </c>
      <c r="I8751" s="64" t="s">
        <v>3074</v>
      </c>
      <c r="J8751" s="67">
        <v>4464</v>
      </c>
      <c r="K8751" s="62">
        <v>5514</v>
      </c>
      <c r="L8751" s="33" t="e">
        <f>HLOOKUP(B8751,#REF!,1,0)</f>
        <v>#REF!</v>
      </c>
      <c r="M8751" s="33" t="str">
        <f t="shared" si="547"/>
        <v>P&amp;L</v>
      </c>
    </row>
    <row r="8752" spans="1:13">
      <c r="A8752" s="33" t="str">
        <f t="shared" si="544"/>
        <v>SCL - Operating Expense</v>
      </c>
      <c r="B8752" s="33" t="str">
        <f t="shared" si="545"/>
        <v>SCL</v>
      </c>
      <c r="C8752" s="33" t="str">
        <f t="shared" si="546"/>
        <v>62002-7493</v>
      </c>
      <c r="D8752" s="64" t="s">
        <v>10001</v>
      </c>
      <c r="E8752" s="64" t="s">
        <v>3090</v>
      </c>
      <c r="F8752" s="64" t="s">
        <v>15</v>
      </c>
      <c r="G8752" s="64" t="s">
        <v>3035</v>
      </c>
      <c r="H8752" s="64" t="s">
        <v>3022</v>
      </c>
      <c r="I8752" s="64" t="s">
        <v>3074</v>
      </c>
      <c r="J8752" s="67">
        <v>0</v>
      </c>
      <c r="K8752" s="62">
        <v>1064.58</v>
      </c>
      <c r="L8752" s="33" t="e">
        <f>HLOOKUP(B8752,#REF!,1,0)</f>
        <v>#REF!</v>
      </c>
      <c r="M8752" s="33" t="str">
        <f t="shared" si="547"/>
        <v>P&amp;L</v>
      </c>
    </row>
    <row r="8753" spans="1:13">
      <c r="A8753" s="33" t="str">
        <f t="shared" si="544"/>
        <v>SCL - Operating Expense</v>
      </c>
      <c r="B8753" s="33" t="str">
        <f t="shared" si="545"/>
        <v>SCL</v>
      </c>
      <c r="C8753" s="33" t="str">
        <f t="shared" si="546"/>
        <v>62002-7494</v>
      </c>
      <c r="D8753" s="64" t="s">
        <v>10002</v>
      </c>
      <c r="E8753" s="64" t="s">
        <v>3090</v>
      </c>
      <c r="F8753" s="64" t="s">
        <v>15</v>
      </c>
      <c r="G8753" s="64" t="s">
        <v>3035</v>
      </c>
      <c r="H8753" s="64" t="s">
        <v>3022</v>
      </c>
      <c r="I8753" s="64" t="s">
        <v>3074</v>
      </c>
      <c r="J8753" s="67">
        <v>0</v>
      </c>
      <c r="K8753" s="62">
        <v>600</v>
      </c>
      <c r="L8753" s="33" t="e">
        <f>HLOOKUP(B8753,#REF!,1,0)</f>
        <v>#REF!</v>
      </c>
      <c r="M8753" s="33" t="str">
        <f t="shared" si="547"/>
        <v>P&amp;L</v>
      </c>
    </row>
    <row r="8754" spans="1:13">
      <c r="A8754" s="33" t="str">
        <f t="shared" si="544"/>
        <v>SCL - Operating Expense</v>
      </c>
      <c r="B8754" s="33" t="str">
        <f t="shared" si="545"/>
        <v>SCL</v>
      </c>
      <c r="C8754" s="33" t="str">
        <f t="shared" si="546"/>
        <v>62002-7625</v>
      </c>
      <c r="D8754" s="64" t="s">
        <v>10003</v>
      </c>
      <c r="E8754" s="64" t="s">
        <v>3090</v>
      </c>
      <c r="F8754" s="64" t="s">
        <v>15</v>
      </c>
      <c r="G8754" s="64" t="s">
        <v>3035</v>
      </c>
      <c r="H8754" s="64" t="s">
        <v>3022</v>
      </c>
      <c r="I8754" s="64" t="s">
        <v>3074</v>
      </c>
      <c r="J8754" s="67">
        <v>225</v>
      </c>
      <c r="K8754" s="62">
        <v>1586.96</v>
      </c>
      <c r="L8754" s="33" t="e">
        <f>HLOOKUP(B8754,#REF!,1,0)</f>
        <v>#REF!</v>
      </c>
      <c r="M8754" s="33" t="str">
        <f t="shared" si="547"/>
        <v>P&amp;L</v>
      </c>
    </row>
    <row r="8755" spans="1:13">
      <c r="A8755" s="33" t="str">
        <f t="shared" si="544"/>
        <v>SCL - Operating Expense</v>
      </c>
      <c r="B8755" s="33" t="str">
        <f t="shared" si="545"/>
        <v>SCL</v>
      </c>
      <c r="C8755" s="33" t="str">
        <f t="shared" si="546"/>
        <v>62002-8150</v>
      </c>
      <c r="D8755" s="64" t="s">
        <v>10004</v>
      </c>
      <c r="E8755" s="64" t="s">
        <v>3090</v>
      </c>
      <c r="F8755" s="64" t="s">
        <v>15</v>
      </c>
      <c r="G8755" s="64" t="s">
        <v>3035</v>
      </c>
      <c r="H8755" s="64" t="s">
        <v>3022</v>
      </c>
      <c r="I8755" s="64" t="s">
        <v>3074</v>
      </c>
      <c r="J8755" s="67">
        <v>0</v>
      </c>
      <c r="K8755" s="62">
        <v>991.35</v>
      </c>
      <c r="L8755" s="33" t="e">
        <f>HLOOKUP(B8755,#REF!,1,0)</f>
        <v>#REF!</v>
      </c>
      <c r="M8755" s="33" t="str">
        <f t="shared" si="547"/>
        <v>P&amp;L</v>
      </c>
    </row>
    <row r="8756" spans="1:13">
      <c r="A8756" s="33" t="str">
        <f t="shared" si="544"/>
        <v>SCL - Operating Expense</v>
      </c>
      <c r="B8756" s="33" t="str">
        <f t="shared" si="545"/>
        <v>SCL</v>
      </c>
      <c r="C8756" s="33" t="str">
        <f t="shared" si="546"/>
        <v>62097-7351</v>
      </c>
      <c r="D8756" s="64" t="s">
        <v>10005</v>
      </c>
      <c r="E8756" s="64" t="s">
        <v>3095</v>
      </c>
      <c r="F8756" s="64" t="s">
        <v>15</v>
      </c>
      <c r="G8756" s="64" t="s">
        <v>3035</v>
      </c>
      <c r="H8756" s="64" t="s">
        <v>3022</v>
      </c>
      <c r="I8756" s="64" t="s">
        <v>3096</v>
      </c>
      <c r="J8756" s="67">
        <v>0</v>
      </c>
      <c r="K8756" s="62">
        <v>150</v>
      </c>
      <c r="L8756" s="33" t="e">
        <f>HLOOKUP(B8756,#REF!,1,0)</f>
        <v>#REF!</v>
      </c>
      <c r="M8756" s="33" t="str">
        <f t="shared" si="547"/>
        <v>P&amp;L</v>
      </c>
    </row>
    <row r="8757" spans="1:13">
      <c r="A8757" s="33" t="str">
        <f t="shared" si="544"/>
        <v>SCL - Operating Expense</v>
      </c>
      <c r="B8757" s="33" t="str">
        <f t="shared" si="545"/>
        <v>SCL</v>
      </c>
      <c r="C8757" s="33" t="str">
        <f t="shared" si="546"/>
        <v>62097-7352</v>
      </c>
      <c r="D8757" s="64" t="s">
        <v>10006</v>
      </c>
      <c r="E8757" s="64" t="s">
        <v>3095</v>
      </c>
      <c r="F8757" s="64" t="s">
        <v>15</v>
      </c>
      <c r="G8757" s="64" t="s">
        <v>3035</v>
      </c>
      <c r="H8757" s="64" t="s">
        <v>3022</v>
      </c>
      <c r="I8757" s="64" t="s">
        <v>3096</v>
      </c>
      <c r="J8757" s="67">
        <v>0</v>
      </c>
      <c r="K8757" s="62">
        <v>150</v>
      </c>
      <c r="L8757" s="33" t="e">
        <f>HLOOKUP(B8757,#REF!,1,0)</f>
        <v>#REF!</v>
      </c>
      <c r="M8757" s="33" t="str">
        <f t="shared" si="547"/>
        <v>P&amp;L</v>
      </c>
    </row>
    <row r="8758" spans="1:13">
      <c r="A8758" s="33" t="str">
        <f t="shared" si="544"/>
        <v>SCL - Operating Expense</v>
      </c>
      <c r="B8758" s="33" t="str">
        <f t="shared" si="545"/>
        <v>SCL</v>
      </c>
      <c r="C8758" s="33" t="str">
        <f t="shared" si="546"/>
        <v>62097-7355</v>
      </c>
      <c r="D8758" s="64" t="s">
        <v>10007</v>
      </c>
      <c r="E8758" s="64" t="s">
        <v>3095</v>
      </c>
      <c r="F8758" s="64" t="s">
        <v>15</v>
      </c>
      <c r="G8758" s="64" t="s">
        <v>3035</v>
      </c>
      <c r="H8758" s="64" t="s">
        <v>3022</v>
      </c>
      <c r="I8758" s="64" t="s">
        <v>3096</v>
      </c>
      <c r="J8758" s="67">
        <v>0</v>
      </c>
      <c r="K8758" s="62">
        <v>150</v>
      </c>
      <c r="L8758" s="33" t="e">
        <f>HLOOKUP(B8758,#REF!,1,0)</f>
        <v>#REF!</v>
      </c>
      <c r="M8758" s="33" t="str">
        <f t="shared" si="547"/>
        <v>P&amp;L</v>
      </c>
    </row>
    <row r="8759" spans="1:13">
      <c r="A8759" s="33" t="str">
        <f t="shared" si="544"/>
        <v>SCL - Operating Expense</v>
      </c>
      <c r="B8759" s="33" t="str">
        <f t="shared" si="545"/>
        <v>SCL</v>
      </c>
      <c r="C8759" s="33" t="str">
        <f t="shared" si="546"/>
        <v>62097-7356</v>
      </c>
      <c r="D8759" s="64" t="s">
        <v>10008</v>
      </c>
      <c r="E8759" s="64" t="s">
        <v>3095</v>
      </c>
      <c r="F8759" s="64" t="s">
        <v>15</v>
      </c>
      <c r="G8759" s="64" t="s">
        <v>3035</v>
      </c>
      <c r="H8759" s="64" t="s">
        <v>3022</v>
      </c>
      <c r="I8759" s="64" t="s">
        <v>3096</v>
      </c>
      <c r="J8759" s="67">
        <v>0</v>
      </c>
      <c r="K8759" s="62">
        <v>150</v>
      </c>
      <c r="L8759" s="33" t="e">
        <f>HLOOKUP(B8759,#REF!,1,0)</f>
        <v>#REF!</v>
      </c>
      <c r="M8759" s="33" t="str">
        <f t="shared" si="547"/>
        <v>P&amp;L</v>
      </c>
    </row>
    <row r="8760" spans="1:13">
      <c r="A8760" s="33" t="str">
        <f t="shared" si="544"/>
        <v>SCL - Operating Expense</v>
      </c>
      <c r="B8760" s="33" t="str">
        <f t="shared" si="545"/>
        <v>SCL</v>
      </c>
      <c r="C8760" s="33" t="str">
        <f t="shared" si="546"/>
        <v>62097-7359</v>
      </c>
      <c r="D8760" s="64" t="s">
        <v>10009</v>
      </c>
      <c r="E8760" s="64" t="s">
        <v>3095</v>
      </c>
      <c r="F8760" s="64" t="s">
        <v>15</v>
      </c>
      <c r="G8760" s="64" t="s">
        <v>3035</v>
      </c>
      <c r="H8760" s="64" t="s">
        <v>3022</v>
      </c>
      <c r="I8760" s="64" t="s">
        <v>3096</v>
      </c>
      <c r="J8760" s="67">
        <v>0</v>
      </c>
      <c r="K8760" s="62">
        <v>150</v>
      </c>
      <c r="L8760" s="33" t="e">
        <f>HLOOKUP(B8760,#REF!,1,0)</f>
        <v>#REF!</v>
      </c>
      <c r="M8760" s="33" t="str">
        <f t="shared" si="547"/>
        <v>P&amp;L</v>
      </c>
    </row>
    <row r="8761" spans="1:13">
      <c r="A8761" s="33" t="str">
        <f t="shared" si="544"/>
        <v>SCL - Operating Expense</v>
      </c>
      <c r="B8761" s="33" t="str">
        <f t="shared" si="545"/>
        <v>SCL</v>
      </c>
      <c r="C8761" s="33" t="str">
        <f t="shared" si="546"/>
        <v>62097-7360</v>
      </c>
      <c r="D8761" s="64" t="s">
        <v>10010</v>
      </c>
      <c r="E8761" s="64" t="s">
        <v>3095</v>
      </c>
      <c r="F8761" s="64" t="s">
        <v>15</v>
      </c>
      <c r="G8761" s="64" t="s">
        <v>3035</v>
      </c>
      <c r="H8761" s="64" t="s">
        <v>3022</v>
      </c>
      <c r="I8761" s="64" t="s">
        <v>3096</v>
      </c>
      <c r="J8761" s="67">
        <v>0</v>
      </c>
      <c r="K8761" s="62">
        <v>150</v>
      </c>
      <c r="L8761" s="33" t="e">
        <f>HLOOKUP(B8761,#REF!,1,0)</f>
        <v>#REF!</v>
      </c>
      <c r="M8761" s="33" t="str">
        <f t="shared" si="547"/>
        <v>P&amp;L</v>
      </c>
    </row>
    <row r="8762" spans="1:13">
      <c r="A8762" s="33" t="str">
        <f t="shared" si="544"/>
        <v>SCL - Operating Expense</v>
      </c>
      <c r="B8762" s="33" t="str">
        <f t="shared" si="545"/>
        <v>SCL</v>
      </c>
      <c r="C8762" s="33" t="str">
        <f t="shared" si="546"/>
        <v>62097-7361</v>
      </c>
      <c r="D8762" s="64" t="s">
        <v>10011</v>
      </c>
      <c r="E8762" s="64" t="s">
        <v>3095</v>
      </c>
      <c r="F8762" s="64" t="s">
        <v>15</v>
      </c>
      <c r="G8762" s="64" t="s">
        <v>3035</v>
      </c>
      <c r="H8762" s="64" t="s">
        <v>3022</v>
      </c>
      <c r="I8762" s="64" t="s">
        <v>3096</v>
      </c>
      <c r="J8762" s="67">
        <v>0</v>
      </c>
      <c r="K8762" s="62">
        <v>150</v>
      </c>
      <c r="L8762" s="33" t="e">
        <f>HLOOKUP(B8762,#REF!,1,0)</f>
        <v>#REF!</v>
      </c>
      <c r="M8762" s="33" t="str">
        <f t="shared" si="547"/>
        <v>P&amp;L</v>
      </c>
    </row>
    <row r="8763" spans="1:13">
      <c r="A8763" s="33" t="str">
        <f t="shared" si="544"/>
        <v>SCL - Operating Expense</v>
      </c>
      <c r="B8763" s="33" t="str">
        <f t="shared" si="545"/>
        <v>SCL</v>
      </c>
      <c r="C8763" s="33" t="str">
        <f t="shared" si="546"/>
        <v>62097-7362</v>
      </c>
      <c r="D8763" s="64" t="s">
        <v>10012</v>
      </c>
      <c r="E8763" s="64" t="s">
        <v>3095</v>
      </c>
      <c r="F8763" s="64" t="s">
        <v>15</v>
      </c>
      <c r="G8763" s="64" t="s">
        <v>3035</v>
      </c>
      <c r="H8763" s="64" t="s">
        <v>3022</v>
      </c>
      <c r="I8763" s="64" t="s">
        <v>3096</v>
      </c>
      <c r="J8763" s="67">
        <v>0</v>
      </c>
      <c r="K8763" s="62">
        <v>150</v>
      </c>
      <c r="L8763" s="33" t="e">
        <f>HLOOKUP(B8763,#REF!,1,0)</f>
        <v>#REF!</v>
      </c>
      <c r="M8763" s="33" t="str">
        <f t="shared" si="547"/>
        <v>P&amp;L</v>
      </c>
    </row>
    <row r="8764" spans="1:13">
      <c r="A8764" s="33" t="str">
        <f t="shared" si="544"/>
        <v>SCL - Operating Expense</v>
      </c>
      <c r="B8764" s="33" t="str">
        <f t="shared" si="545"/>
        <v>SCL</v>
      </c>
      <c r="C8764" s="33" t="str">
        <f t="shared" si="546"/>
        <v>62097-7363</v>
      </c>
      <c r="D8764" s="64" t="s">
        <v>10013</v>
      </c>
      <c r="E8764" s="64" t="s">
        <v>3095</v>
      </c>
      <c r="F8764" s="64" t="s">
        <v>15</v>
      </c>
      <c r="G8764" s="64" t="s">
        <v>3035</v>
      </c>
      <c r="H8764" s="64" t="s">
        <v>3022</v>
      </c>
      <c r="I8764" s="64" t="s">
        <v>3096</v>
      </c>
      <c r="J8764" s="67">
        <v>0</v>
      </c>
      <c r="K8764" s="62">
        <v>150</v>
      </c>
      <c r="L8764" s="33" t="e">
        <f>HLOOKUP(B8764,#REF!,1,0)</f>
        <v>#REF!</v>
      </c>
      <c r="M8764" s="33" t="str">
        <f t="shared" si="547"/>
        <v>P&amp;L</v>
      </c>
    </row>
    <row r="8765" spans="1:13">
      <c r="A8765" s="33" t="str">
        <f t="shared" si="544"/>
        <v>SCL - Operating Expense</v>
      </c>
      <c r="B8765" s="33" t="str">
        <f t="shared" si="545"/>
        <v>SCL</v>
      </c>
      <c r="C8765" s="33" t="str">
        <f t="shared" si="546"/>
        <v>62097-7364</v>
      </c>
      <c r="D8765" s="64" t="s">
        <v>10014</v>
      </c>
      <c r="E8765" s="64" t="s">
        <v>3095</v>
      </c>
      <c r="F8765" s="64" t="s">
        <v>15</v>
      </c>
      <c r="G8765" s="64" t="s">
        <v>3035</v>
      </c>
      <c r="H8765" s="64" t="s">
        <v>3022</v>
      </c>
      <c r="I8765" s="64" t="s">
        <v>3096</v>
      </c>
      <c r="J8765" s="67">
        <v>0</v>
      </c>
      <c r="K8765" s="62">
        <v>150</v>
      </c>
      <c r="L8765" s="33" t="e">
        <f>HLOOKUP(B8765,#REF!,1,0)</f>
        <v>#REF!</v>
      </c>
      <c r="M8765" s="33" t="str">
        <f t="shared" si="547"/>
        <v>P&amp;L</v>
      </c>
    </row>
    <row r="8766" spans="1:13">
      <c r="A8766" s="33" t="str">
        <f t="shared" si="544"/>
        <v>SCL - Operating Expense</v>
      </c>
      <c r="B8766" s="33" t="str">
        <f t="shared" si="545"/>
        <v>SCL</v>
      </c>
      <c r="C8766" s="33" t="str">
        <f t="shared" si="546"/>
        <v>62097-7365</v>
      </c>
      <c r="D8766" s="64" t="s">
        <v>10015</v>
      </c>
      <c r="E8766" s="64" t="s">
        <v>3095</v>
      </c>
      <c r="F8766" s="64" t="s">
        <v>15</v>
      </c>
      <c r="G8766" s="64" t="s">
        <v>3035</v>
      </c>
      <c r="H8766" s="64" t="s">
        <v>3022</v>
      </c>
      <c r="I8766" s="64" t="s">
        <v>3096</v>
      </c>
      <c r="J8766" s="67">
        <v>0</v>
      </c>
      <c r="K8766" s="62">
        <v>150</v>
      </c>
      <c r="L8766" s="33" t="e">
        <f>HLOOKUP(B8766,#REF!,1,0)</f>
        <v>#REF!</v>
      </c>
      <c r="M8766" s="33" t="str">
        <f t="shared" si="547"/>
        <v>P&amp;L</v>
      </c>
    </row>
    <row r="8767" spans="1:13">
      <c r="A8767" s="33" t="str">
        <f t="shared" si="544"/>
        <v>SCL - Operating Expense</v>
      </c>
      <c r="B8767" s="33" t="str">
        <f t="shared" si="545"/>
        <v>SCL</v>
      </c>
      <c r="C8767" s="33" t="str">
        <f t="shared" si="546"/>
        <v>62097-7366</v>
      </c>
      <c r="D8767" s="64" t="s">
        <v>10016</v>
      </c>
      <c r="E8767" s="64" t="s">
        <v>3095</v>
      </c>
      <c r="F8767" s="64" t="s">
        <v>15</v>
      </c>
      <c r="G8767" s="64" t="s">
        <v>3035</v>
      </c>
      <c r="H8767" s="64" t="s">
        <v>3022</v>
      </c>
      <c r="I8767" s="64" t="s">
        <v>3096</v>
      </c>
      <c r="J8767" s="67">
        <v>0</v>
      </c>
      <c r="K8767" s="62">
        <v>150</v>
      </c>
      <c r="L8767" s="33" t="e">
        <f>HLOOKUP(B8767,#REF!,1,0)</f>
        <v>#REF!</v>
      </c>
      <c r="M8767" s="33" t="str">
        <f t="shared" si="547"/>
        <v>P&amp;L</v>
      </c>
    </row>
    <row r="8768" spans="1:13">
      <c r="A8768" s="33" t="str">
        <f t="shared" si="544"/>
        <v>SCL - Operating Expense</v>
      </c>
      <c r="B8768" s="33" t="str">
        <f t="shared" si="545"/>
        <v>SCL</v>
      </c>
      <c r="C8768" s="33" t="str">
        <f t="shared" si="546"/>
        <v>62097-7368</v>
      </c>
      <c r="D8768" s="64" t="s">
        <v>10017</v>
      </c>
      <c r="E8768" s="64" t="s">
        <v>3095</v>
      </c>
      <c r="F8768" s="64" t="s">
        <v>15</v>
      </c>
      <c r="G8768" s="64" t="s">
        <v>3035</v>
      </c>
      <c r="H8768" s="64" t="s">
        <v>3022</v>
      </c>
      <c r="I8768" s="64" t="s">
        <v>3096</v>
      </c>
      <c r="J8768" s="67">
        <v>0</v>
      </c>
      <c r="K8768" s="62">
        <v>150</v>
      </c>
      <c r="L8768" s="33" t="e">
        <f>HLOOKUP(B8768,#REF!,1,0)</f>
        <v>#REF!</v>
      </c>
      <c r="M8768" s="33" t="str">
        <f t="shared" si="547"/>
        <v>P&amp;L</v>
      </c>
    </row>
    <row r="8769" spans="1:13">
      <c r="A8769" s="33" t="str">
        <f t="shared" si="544"/>
        <v>SCL - Operating Expense</v>
      </c>
      <c r="B8769" s="33" t="str">
        <f t="shared" si="545"/>
        <v>SCL</v>
      </c>
      <c r="C8769" s="33" t="str">
        <f t="shared" si="546"/>
        <v>62097-7369</v>
      </c>
      <c r="D8769" s="64" t="s">
        <v>10018</v>
      </c>
      <c r="E8769" s="64" t="s">
        <v>3095</v>
      </c>
      <c r="F8769" s="64" t="s">
        <v>15</v>
      </c>
      <c r="G8769" s="64" t="s">
        <v>3035</v>
      </c>
      <c r="H8769" s="64" t="s">
        <v>3022</v>
      </c>
      <c r="I8769" s="64" t="s">
        <v>3096</v>
      </c>
      <c r="J8769" s="67">
        <v>0</v>
      </c>
      <c r="K8769" s="62">
        <v>150</v>
      </c>
      <c r="L8769" s="33" t="e">
        <f>HLOOKUP(B8769,#REF!,1,0)</f>
        <v>#REF!</v>
      </c>
      <c r="M8769" s="33" t="str">
        <f t="shared" si="547"/>
        <v>P&amp;L</v>
      </c>
    </row>
    <row r="8770" spans="1:13">
      <c r="A8770" s="33" t="str">
        <f t="shared" ref="A8770:A8833" si="548">B8770&amp;" - "&amp;TRIM(H8770)</f>
        <v>SCL - Operating Expense</v>
      </c>
      <c r="B8770" s="33" t="str">
        <f t="shared" ref="B8770:B8833" si="549">LEFT(D8770,3)</f>
        <v>SCL</v>
      </c>
      <c r="C8770" s="33" t="str">
        <f t="shared" ref="C8770:C8833" si="550">RIGHT(D8770,10)</f>
        <v>62097-7371</v>
      </c>
      <c r="D8770" s="64" t="s">
        <v>10019</v>
      </c>
      <c r="E8770" s="64" t="s">
        <v>3095</v>
      </c>
      <c r="F8770" s="64" t="s">
        <v>15</v>
      </c>
      <c r="G8770" s="64" t="s">
        <v>3035</v>
      </c>
      <c r="H8770" s="64" t="s">
        <v>3022</v>
      </c>
      <c r="I8770" s="64" t="s">
        <v>3096</v>
      </c>
      <c r="J8770" s="67">
        <v>0</v>
      </c>
      <c r="K8770" s="62">
        <v>150</v>
      </c>
      <c r="L8770" s="33" t="e">
        <f>HLOOKUP(B8770,#REF!,1,0)</f>
        <v>#REF!</v>
      </c>
      <c r="M8770" s="33" t="str">
        <f t="shared" ref="M8770:M8833" si="551">IF(VALUE(LEFT(C8770,5))&gt;40000,"P&amp;L","BS")</f>
        <v>P&amp;L</v>
      </c>
    </row>
    <row r="8771" spans="1:13">
      <c r="A8771" s="33" t="str">
        <f t="shared" si="548"/>
        <v>SCL - Operating Expense</v>
      </c>
      <c r="B8771" s="33" t="str">
        <f t="shared" si="549"/>
        <v>SCL</v>
      </c>
      <c r="C8771" s="33" t="str">
        <f t="shared" si="550"/>
        <v>62097-7374</v>
      </c>
      <c r="D8771" s="64" t="s">
        <v>10020</v>
      </c>
      <c r="E8771" s="64" t="s">
        <v>3095</v>
      </c>
      <c r="F8771" s="64" t="s">
        <v>15</v>
      </c>
      <c r="G8771" s="64" t="s">
        <v>3035</v>
      </c>
      <c r="H8771" s="64" t="s">
        <v>3022</v>
      </c>
      <c r="I8771" s="64" t="s">
        <v>3096</v>
      </c>
      <c r="J8771" s="67">
        <v>0</v>
      </c>
      <c r="K8771" s="62">
        <v>150</v>
      </c>
      <c r="L8771" s="33" t="e">
        <f>HLOOKUP(B8771,#REF!,1,0)</f>
        <v>#REF!</v>
      </c>
      <c r="M8771" s="33" t="str">
        <f t="shared" si="551"/>
        <v>P&amp;L</v>
      </c>
    </row>
    <row r="8772" spans="1:13">
      <c r="A8772" s="33" t="str">
        <f t="shared" si="548"/>
        <v>SCL - Operating Expense</v>
      </c>
      <c r="B8772" s="33" t="str">
        <f t="shared" si="549"/>
        <v>SCL</v>
      </c>
      <c r="C8772" s="33" t="str">
        <f t="shared" si="550"/>
        <v>62097-7375</v>
      </c>
      <c r="D8772" s="64" t="s">
        <v>10021</v>
      </c>
      <c r="E8772" s="64" t="s">
        <v>3095</v>
      </c>
      <c r="F8772" s="64" t="s">
        <v>15</v>
      </c>
      <c r="G8772" s="64" t="s">
        <v>3035</v>
      </c>
      <c r="H8772" s="64" t="s">
        <v>3022</v>
      </c>
      <c r="I8772" s="64" t="s">
        <v>3096</v>
      </c>
      <c r="J8772" s="67">
        <v>0</v>
      </c>
      <c r="K8772" s="62">
        <v>150</v>
      </c>
      <c r="L8772" s="33" t="e">
        <f>HLOOKUP(B8772,#REF!,1,0)</f>
        <v>#REF!</v>
      </c>
      <c r="M8772" s="33" t="str">
        <f t="shared" si="551"/>
        <v>P&amp;L</v>
      </c>
    </row>
    <row r="8773" spans="1:13">
      <c r="A8773" s="33" t="str">
        <f t="shared" si="548"/>
        <v>SCL - Operating Expense</v>
      </c>
      <c r="B8773" s="33" t="str">
        <f t="shared" si="549"/>
        <v>SCL</v>
      </c>
      <c r="C8773" s="33" t="str">
        <f t="shared" si="550"/>
        <v>62097-7376</v>
      </c>
      <c r="D8773" s="64" t="s">
        <v>10022</v>
      </c>
      <c r="E8773" s="64" t="s">
        <v>3095</v>
      </c>
      <c r="F8773" s="64" t="s">
        <v>15</v>
      </c>
      <c r="G8773" s="64" t="s">
        <v>3035</v>
      </c>
      <c r="H8773" s="64" t="s">
        <v>3022</v>
      </c>
      <c r="I8773" s="64" t="s">
        <v>3096</v>
      </c>
      <c r="J8773" s="67">
        <v>0</v>
      </c>
      <c r="K8773" s="62">
        <v>150</v>
      </c>
      <c r="L8773" s="33" t="e">
        <f>HLOOKUP(B8773,#REF!,1,0)</f>
        <v>#REF!</v>
      </c>
      <c r="M8773" s="33" t="str">
        <f t="shared" si="551"/>
        <v>P&amp;L</v>
      </c>
    </row>
    <row r="8774" spans="1:13">
      <c r="A8774" s="33" t="str">
        <f t="shared" si="548"/>
        <v>SCL - Operating Expense</v>
      </c>
      <c r="B8774" s="33" t="str">
        <f t="shared" si="549"/>
        <v>SCL</v>
      </c>
      <c r="C8774" s="33" t="str">
        <f t="shared" si="550"/>
        <v>62097-7377</v>
      </c>
      <c r="D8774" s="64" t="s">
        <v>10023</v>
      </c>
      <c r="E8774" s="64" t="s">
        <v>3095</v>
      </c>
      <c r="F8774" s="64" t="s">
        <v>15</v>
      </c>
      <c r="G8774" s="64" t="s">
        <v>3035</v>
      </c>
      <c r="H8774" s="64" t="s">
        <v>3022</v>
      </c>
      <c r="I8774" s="64" t="s">
        <v>3096</v>
      </c>
      <c r="J8774" s="67">
        <v>0</v>
      </c>
      <c r="K8774" s="62">
        <v>150</v>
      </c>
      <c r="L8774" s="33" t="e">
        <f>HLOOKUP(B8774,#REF!,1,0)</f>
        <v>#REF!</v>
      </c>
      <c r="M8774" s="33" t="str">
        <f t="shared" si="551"/>
        <v>P&amp;L</v>
      </c>
    </row>
    <row r="8775" spans="1:13">
      <c r="A8775" s="33" t="str">
        <f t="shared" si="548"/>
        <v>SCL - Operating Expense</v>
      </c>
      <c r="B8775" s="33" t="str">
        <f t="shared" si="549"/>
        <v>SCL</v>
      </c>
      <c r="C8775" s="33" t="str">
        <f t="shared" si="550"/>
        <v>62097-7378</v>
      </c>
      <c r="D8775" s="64" t="s">
        <v>10024</v>
      </c>
      <c r="E8775" s="64" t="s">
        <v>3095</v>
      </c>
      <c r="F8775" s="64" t="s">
        <v>15</v>
      </c>
      <c r="G8775" s="64" t="s">
        <v>3035</v>
      </c>
      <c r="H8775" s="64" t="s">
        <v>3022</v>
      </c>
      <c r="I8775" s="64" t="s">
        <v>3096</v>
      </c>
      <c r="J8775" s="67">
        <v>0</v>
      </c>
      <c r="K8775" s="62">
        <v>150</v>
      </c>
      <c r="L8775" s="33" t="e">
        <f>HLOOKUP(B8775,#REF!,1,0)</f>
        <v>#REF!</v>
      </c>
      <c r="M8775" s="33" t="str">
        <f t="shared" si="551"/>
        <v>P&amp;L</v>
      </c>
    </row>
    <row r="8776" spans="1:13">
      <c r="A8776" s="33" t="str">
        <f t="shared" si="548"/>
        <v>SCL - Operating Expense</v>
      </c>
      <c r="B8776" s="33" t="str">
        <f t="shared" si="549"/>
        <v>SCL</v>
      </c>
      <c r="C8776" s="33" t="str">
        <f t="shared" si="550"/>
        <v>62097-7379</v>
      </c>
      <c r="D8776" s="64" t="s">
        <v>10025</v>
      </c>
      <c r="E8776" s="64" t="s">
        <v>3095</v>
      </c>
      <c r="F8776" s="64" t="s">
        <v>15</v>
      </c>
      <c r="G8776" s="64" t="s">
        <v>3035</v>
      </c>
      <c r="H8776" s="64" t="s">
        <v>3022</v>
      </c>
      <c r="I8776" s="64" t="s">
        <v>3096</v>
      </c>
      <c r="J8776" s="67">
        <v>0</v>
      </c>
      <c r="K8776" s="62">
        <v>150</v>
      </c>
      <c r="L8776" s="33" t="e">
        <f>HLOOKUP(B8776,#REF!,1,0)</f>
        <v>#REF!</v>
      </c>
      <c r="M8776" s="33" t="str">
        <f t="shared" si="551"/>
        <v>P&amp;L</v>
      </c>
    </row>
    <row r="8777" spans="1:13">
      <c r="A8777" s="33" t="str">
        <f t="shared" si="548"/>
        <v>SCL - Operating Expense</v>
      </c>
      <c r="B8777" s="33" t="str">
        <f t="shared" si="549"/>
        <v>SCL</v>
      </c>
      <c r="C8777" s="33" t="str">
        <f t="shared" si="550"/>
        <v>62097-7380</v>
      </c>
      <c r="D8777" s="64" t="s">
        <v>10026</v>
      </c>
      <c r="E8777" s="64" t="s">
        <v>3095</v>
      </c>
      <c r="F8777" s="64" t="s">
        <v>15</v>
      </c>
      <c r="G8777" s="64" t="s">
        <v>3035</v>
      </c>
      <c r="H8777" s="64" t="s">
        <v>3022</v>
      </c>
      <c r="I8777" s="64" t="s">
        <v>3096</v>
      </c>
      <c r="J8777" s="67">
        <v>0</v>
      </c>
      <c r="K8777" s="62">
        <v>150</v>
      </c>
      <c r="L8777" s="33" t="e">
        <f>HLOOKUP(B8777,#REF!,1,0)</f>
        <v>#REF!</v>
      </c>
      <c r="M8777" s="33" t="str">
        <f t="shared" si="551"/>
        <v>P&amp;L</v>
      </c>
    </row>
    <row r="8778" spans="1:13">
      <c r="A8778" s="33" t="str">
        <f t="shared" si="548"/>
        <v>SCL - Operating Expense</v>
      </c>
      <c r="B8778" s="33" t="str">
        <f t="shared" si="549"/>
        <v>SCL</v>
      </c>
      <c r="C8778" s="33" t="str">
        <f t="shared" si="550"/>
        <v>62097-7381</v>
      </c>
      <c r="D8778" s="64" t="s">
        <v>10027</v>
      </c>
      <c r="E8778" s="64" t="s">
        <v>3095</v>
      </c>
      <c r="F8778" s="64" t="s">
        <v>15</v>
      </c>
      <c r="G8778" s="64" t="s">
        <v>3035</v>
      </c>
      <c r="H8778" s="64" t="s">
        <v>3022</v>
      </c>
      <c r="I8778" s="64" t="s">
        <v>3096</v>
      </c>
      <c r="J8778" s="67">
        <v>0</v>
      </c>
      <c r="K8778" s="62">
        <v>150</v>
      </c>
      <c r="L8778" s="33" t="e">
        <f>HLOOKUP(B8778,#REF!,1,0)</f>
        <v>#REF!</v>
      </c>
      <c r="M8778" s="33" t="str">
        <f t="shared" si="551"/>
        <v>P&amp;L</v>
      </c>
    </row>
    <row r="8779" spans="1:13">
      <c r="A8779" s="33" t="str">
        <f t="shared" si="548"/>
        <v>SCL - Operating Expense</v>
      </c>
      <c r="B8779" s="33" t="str">
        <f t="shared" si="549"/>
        <v>SCL</v>
      </c>
      <c r="C8779" s="33" t="str">
        <f t="shared" si="550"/>
        <v>62097-7383</v>
      </c>
      <c r="D8779" s="64" t="s">
        <v>10028</v>
      </c>
      <c r="E8779" s="64" t="s">
        <v>3095</v>
      </c>
      <c r="F8779" s="64" t="s">
        <v>15</v>
      </c>
      <c r="G8779" s="64" t="s">
        <v>3035</v>
      </c>
      <c r="H8779" s="64" t="s">
        <v>3022</v>
      </c>
      <c r="I8779" s="64" t="s">
        <v>3096</v>
      </c>
      <c r="J8779" s="67">
        <v>0</v>
      </c>
      <c r="K8779" s="62">
        <v>150</v>
      </c>
      <c r="L8779" s="33" t="e">
        <f>HLOOKUP(B8779,#REF!,1,0)</f>
        <v>#REF!</v>
      </c>
      <c r="M8779" s="33" t="str">
        <f t="shared" si="551"/>
        <v>P&amp;L</v>
      </c>
    </row>
    <row r="8780" spans="1:13">
      <c r="A8780" s="33" t="str">
        <f t="shared" si="548"/>
        <v>SCL - Operating Expense</v>
      </c>
      <c r="B8780" s="33" t="str">
        <f t="shared" si="549"/>
        <v>SCL</v>
      </c>
      <c r="C8780" s="33" t="str">
        <f t="shared" si="550"/>
        <v>62097-7385</v>
      </c>
      <c r="D8780" s="64" t="s">
        <v>10029</v>
      </c>
      <c r="E8780" s="64" t="s">
        <v>3095</v>
      </c>
      <c r="F8780" s="64" t="s">
        <v>15</v>
      </c>
      <c r="G8780" s="64" t="s">
        <v>3035</v>
      </c>
      <c r="H8780" s="64" t="s">
        <v>3022</v>
      </c>
      <c r="I8780" s="64" t="s">
        <v>3096</v>
      </c>
      <c r="J8780" s="67">
        <v>0</v>
      </c>
      <c r="K8780" s="62">
        <v>150</v>
      </c>
      <c r="L8780" s="33" t="e">
        <f>HLOOKUP(B8780,#REF!,1,0)</f>
        <v>#REF!</v>
      </c>
      <c r="M8780" s="33" t="str">
        <f t="shared" si="551"/>
        <v>P&amp;L</v>
      </c>
    </row>
    <row r="8781" spans="1:13">
      <c r="A8781" s="33" t="str">
        <f t="shared" si="548"/>
        <v>SCL - Operating Expense</v>
      </c>
      <c r="B8781" s="33" t="str">
        <f t="shared" si="549"/>
        <v>SCL</v>
      </c>
      <c r="C8781" s="33" t="str">
        <f t="shared" si="550"/>
        <v>62097-7386</v>
      </c>
      <c r="D8781" s="64" t="s">
        <v>10030</v>
      </c>
      <c r="E8781" s="64" t="s">
        <v>3095</v>
      </c>
      <c r="F8781" s="64" t="s">
        <v>15</v>
      </c>
      <c r="G8781" s="64" t="s">
        <v>3035</v>
      </c>
      <c r="H8781" s="64" t="s">
        <v>3022</v>
      </c>
      <c r="I8781" s="64" t="s">
        <v>3096</v>
      </c>
      <c r="J8781" s="67">
        <v>0</v>
      </c>
      <c r="K8781" s="62">
        <v>150</v>
      </c>
      <c r="L8781" s="33" t="e">
        <f>HLOOKUP(B8781,#REF!,1,0)</f>
        <v>#REF!</v>
      </c>
      <c r="M8781" s="33" t="str">
        <f t="shared" si="551"/>
        <v>P&amp;L</v>
      </c>
    </row>
    <row r="8782" spans="1:13">
      <c r="A8782" s="33" t="str">
        <f t="shared" si="548"/>
        <v>SCL - Operating Expense</v>
      </c>
      <c r="B8782" s="33" t="str">
        <f t="shared" si="549"/>
        <v>SCL</v>
      </c>
      <c r="C8782" s="33" t="str">
        <f t="shared" si="550"/>
        <v>62097-7387</v>
      </c>
      <c r="D8782" s="64" t="s">
        <v>10031</v>
      </c>
      <c r="E8782" s="64" t="s">
        <v>3095</v>
      </c>
      <c r="F8782" s="64" t="s">
        <v>15</v>
      </c>
      <c r="G8782" s="64" t="s">
        <v>3035</v>
      </c>
      <c r="H8782" s="64" t="s">
        <v>3022</v>
      </c>
      <c r="I8782" s="64" t="s">
        <v>3096</v>
      </c>
      <c r="J8782" s="67">
        <v>0</v>
      </c>
      <c r="K8782" s="62">
        <v>150</v>
      </c>
      <c r="L8782" s="33" t="e">
        <f>HLOOKUP(B8782,#REF!,1,0)</f>
        <v>#REF!</v>
      </c>
      <c r="M8782" s="33" t="str">
        <f t="shared" si="551"/>
        <v>P&amp;L</v>
      </c>
    </row>
    <row r="8783" spans="1:13">
      <c r="A8783" s="33" t="str">
        <f t="shared" si="548"/>
        <v>SCL - Operating Expense</v>
      </c>
      <c r="B8783" s="33" t="str">
        <f t="shared" si="549"/>
        <v>SCL</v>
      </c>
      <c r="C8783" s="33" t="str">
        <f t="shared" si="550"/>
        <v>62097-7389</v>
      </c>
      <c r="D8783" s="64" t="s">
        <v>10032</v>
      </c>
      <c r="E8783" s="64" t="s">
        <v>3095</v>
      </c>
      <c r="F8783" s="64" t="s">
        <v>15</v>
      </c>
      <c r="G8783" s="64" t="s">
        <v>3035</v>
      </c>
      <c r="H8783" s="64" t="s">
        <v>3022</v>
      </c>
      <c r="I8783" s="64" t="s">
        <v>3096</v>
      </c>
      <c r="J8783" s="67">
        <v>0</v>
      </c>
      <c r="K8783" s="62">
        <v>150</v>
      </c>
      <c r="L8783" s="33" t="e">
        <f>HLOOKUP(B8783,#REF!,1,0)</f>
        <v>#REF!</v>
      </c>
      <c r="M8783" s="33" t="str">
        <f t="shared" si="551"/>
        <v>P&amp;L</v>
      </c>
    </row>
    <row r="8784" spans="1:13">
      <c r="A8784" s="33" t="str">
        <f t="shared" si="548"/>
        <v>SCL - Operating Expense</v>
      </c>
      <c r="B8784" s="33" t="str">
        <f t="shared" si="549"/>
        <v>SCL</v>
      </c>
      <c r="C8784" s="33" t="str">
        <f t="shared" si="550"/>
        <v>62097-7391</v>
      </c>
      <c r="D8784" s="64" t="s">
        <v>10033</v>
      </c>
      <c r="E8784" s="64" t="s">
        <v>3095</v>
      </c>
      <c r="F8784" s="64" t="s">
        <v>15</v>
      </c>
      <c r="G8784" s="64" t="s">
        <v>3035</v>
      </c>
      <c r="H8784" s="64" t="s">
        <v>3022</v>
      </c>
      <c r="I8784" s="64" t="s">
        <v>3096</v>
      </c>
      <c r="J8784" s="67">
        <v>0</v>
      </c>
      <c r="K8784" s="62">
        <v>150</v>
      </c>
      <c r="L8784" s="33" t="e">
        <f>HLOOKUP(B8784,#REF!,1,0)</f>
        <v>#REF!</v>
      </c>
      <c r="M8784" s="33" t="str">
        <f t="shared" si="551"/>
        <v>P&amp;L</v>
      </c>
    </row>
    <row r="8785" spans="1:13">
      <c r="A8785" s="33" t="str">
        <f t="shared" si="548"/>
        <v>SCL - Operating Expense</v>
      </c>
      <c r="B8785" s="33" t="str">
        <f t="shared" si="549"/>
        <v>SCL</v>
      </c>
      <c r="C8785" s="33" t="str">
        <f t="shared" si="550"/>
        <v>62097-7393</v>
      </c>
      <c r="D8785" s="64" t="s">
        <v>10034</v>
      </c>
      <c r="E8785" s="64" t="s">
        <v>3095</v>
      </c>
      <c r="F8785" s="64" t="s">
        <v>15</v>
      </c>
      <c r="G8785" s="64" t="s">
        <v>3035</v>
      </c>
      <c r="H8785" s="64" t="s">
        <v>3022</v>
      </c>
      <c r="I8785" s="64" t="s">
        <v>3096</v>
      </c>
      <c r="J8785" s="67">
        <v>0</v>
      </c>
      <c r="K8785" s="62">
        <v>150</v>
      </c>
      <c r="L8785" s="33" t="e">
        <f>HLOOKUP(B8785,#REF!,1,0)</f>
        <v>#REF!</v>
      </c>
      <c r="M8785" s="33" t="str">
        <f t="shared" si="551"/>
        <v>P&amp;L</v>
      </c>
    </row>
    <row r="8786" spans="1:13">
      <c r="A8786" s="33" t="str">
        <f t="shared" si="548"/>
        <v>SCL - Operating Expense</v>
      </c>
      <c r="B8786" s="33" t="str">
        <f t="shared" si="549"/>
        <v>SCL</v>
      </c>
      <c r="C8786" s="33" t="str">
        <f t="shared" si="550"/>
        <v>62097-7394</v>
      </c>
      <c r="D8786" s="64" t="s">
        <v>10035</v>
      </c>
      <c r="E8786" s="64" t="s">
        <v>3095</v>
      </c>
      <c r="F8786" s="64" t="s">
        <v>15</v>
      </c>
      <c r="G8786" s="64" t="s">
        <v>3035</v>
      </c>
      <c r="H8786" s="64" t="s">
        <v>3022</v>
      </c>
      <c r="I8786" s="64" t="s">
        <v>3096</v>
      </c>
      <c r="J8786" s="67">
        <v>0</v>
      </c>
      <c r="K8786" s="62">
        <v>150</v>
      </c>
      <c r="L8786" s="33" t="e">
        <f>HLOOKUP(B8786,#REF!,1,0)</f>
        <v>#REF!</v>
      </c>
      <c r="M8786" s="33" t="str">
        <f t="shared" si="551"/>
        <v>P&amp;L</v>
      </c>
    </row>
    <row r="8787" spans="1:13">
      <c r="A8787" s="33" t="str">
        <f t="shared" si="548"/>
        <v>SCL - Operating Expense</v>
      </c>
      <c r="B8787" s="33" t="str">
        <f t="shared" si="549"/>
        <v>SCL</v>
      </c>
      <c r="C8787" s="33" t="str">
        <f t="shared" si="550"/>
        <v>62097-7396</v>
      </c>
      <c r="D8787" s="64" t="s">
        <v>10036</v>
      </c>
      <c r="E8787" s="64" t="s">
        <v>3095</v>
      </c>
      <c r="F8787" s="64" t="s">
        <v>15</v>
      </c>
      <c r="G8787" s="64" t="s">
        <v>3035</v>
      </c>
      <c r="H8787" s="64" t="s">
        <v>3022</v>
      </c>
      <c r="I8787" s="64" t="s">
        <v>3096</v>
      </c>
      <c r="J8787" s="67">
        <v>0</v>
      </c>
      <c r="K8787" s="62">
        <v>150</v>
      </c>
      <c r="L8787" s="33" t="e">
        <f>HLOOKUP(B8787,#REF!,1,0)</f>
        <v>#REF!</v>
      </c>
      <c r="M8787" s="33" t="str">
        <f t="shared" si="551"/>
        <v>P&amp;L</v>
      </c>
    </row>
    <row r="8788" spans="1:13">
      <c r="A8788" s="33" t="str">
        <f t="shared" si="548"/>
        <v>SCL - Operating Expense</v>
      </c>
      <c r="B8788" s="33" t="str">
        <f t="shared" si="549"/>
        <v>SCL</v>
      </c>
      <c r="C8788" s="33" t="str">
        <f t="shared" si="550"/>
        <v>62097-7397</v>
      </c>
      <c r="D8788" s="64" t="s">
        <v>10037</v>
      </c>
      <c r="E8788" s="64" t="s">
        <v>3095</v>
      </c>
      <c r="F8788" s="64" t="s">
        <v>15</v>
      </c>
      <c r="G8788" s="64" t="s">
        <v>3035</v>
      </c>
      <c r="H8788" s="64" t="s">
        <v>3022</v>
      </c>
      <c r="I8788" s="64" t="s">
        <v>3096</v>
      </c>
      <c r="J8788" s="67">
        <v>0</v>
      </c>
      <c r="K8788" s="62">
        <v>150</v>
      </c>
      <c r="L8788" s="33" t="e">
        <f>HLOOKUP(B8788,#REF!,1,0)</f>
        <v>#REF!</v>
      </c>
      <c r="M8788" s="33" t="str">
        <f t="shared" si="551"/>
        <v>P&amp;L</v>
      </c>
    </row>
    <row r="8789" spans="1:13">
      <c r="A8789" s="33" t="str">
        <f t="shared" si="548"/>
        <v>SCL - Operating Expense</v>
      </c>
      <c r="B8789" s="33" t="str">
        <f t="shared" si="549"/>
        <v>SCL</v>
      </c>
      <c r="C8789" s="33" t="str">
        <f t="shared" si="550"/>
        <v>62097-7398</v>
      </c>
      <c r="D8789" s="64" t="s">
        <v>10038</v>
      </c>
      <c r="E8789" s="64" t="s">
        <v>3095</v>
      </c>
      <c r="F8789" s="64" t="s">
        <v>15</v>
      </c>
      <c r="G8789" s="64" t="s">
        <v>3035</v>
      </c>
      <c r="H8789" s="64" t="s">
        <v>3022</v>
      </c>
      <c r="I8789" s="64" t="s">
        <v>3096</v>
      </c>
      <c r="J8789" s="67">
        <v>0</v>
      </c>
      <c r="K8789" s="62">
        <v>150</v>
      </c>
      <c r="L8789" s="33" t="e">
        <f>HLOOKUP(B8789,#REF!,1,0)</f>
        <v>#REF!</v>
      </c>
      <c r="M8789" s="33" t="str">
        <f t="shared" si="551"/>
        <v>P&amp;L</v>
      </c>
    </row>
    <row r="8790" spans="1:13">
      <c r="A8790" s="33" t="str">
        <f t="shared" si="548"/>
        <v>SCL - Operating Expense</v>
      </c>
      <c r="B8790" s="33" t="str">
        <f t="shared" si="549"/>
        <v>SCL</v>
      </c>
      <c r="C8790" s="33" t="str">
        <f t="shared" si="550"/>
        <v>62097-7400</v>
      </c>
      <c r="D8790" s="64" t="s">
        <v>10039</v>
      </c>
      <c r="E8790" s="64" t="s">
        <v>3095</v>
      </c>
      <c r="F8790" s="64" t="s">
        <v>15</v>
      </c>
      <c r="G8790" s="64" t="s">
        <v>3035</v>
      </c>
      <c r="H8790" s="64" t="s">
        <v>3022</v>
      </c>
      <c r="I8790" s="64" t="s">
        <v>3096</v>
      </c>
      <c r="J8790" s="67">
        <v>0</v>
      </c>
      <c r="K8790" s="62">
        <v>150</v>
      </c>
      <c r="L8790" s="33" t="e">
        <f>HLOOKUP(B8790,#REF!,1,0)</f>
        <v>#REF!</v>
      </c>
      <c r="M8790" s="33" t="str">
        <f t="shared" si="551"/>
        <v>P&amp;L</v>
      </c>
    </row>
    <row r="8791" spans="1:13">
      <c r="A8791" s="33" t="str">
        <f t="shared" si="548"/>
        <v>SCL - Operating Expense</v>
      </c>
      <c r="B8791" s="33" t="str">
        <f t="shared" si="549"/>
        <v>SCL</v>
      </c>
      <c r="C8791" s="33" t="str">
        <f t="shared" si="550"/>
        <v>62097-7401</v>
      </c>
      <c r="D8791" s="64" t="s">
        <v>10040</v>
      </c>
      <c r="E8791" s="64" t="s">
        <v>3095</v>
      </c>
      <c r="F8791" s="64" t="s">
        <v>15</v>
      </c>
      <c r="G8791" s="64" t="s">
        <v>3035</v>
      </c>
      <c r="H8791" s="64" t="s">
        <v>3022</v>
      </c>
      <c r="I8791" s="64" t="s">
        <v>3096</v>
      </c>
      <c r="J8791" s="67">
        <v>0</v>
      </c>
      <c r="K8791" s="62">
        <v>150</v>
      </c>
      <c r="L8791" s="33" t="e">
        <f>HLOOKUP(B8791,#REF!,1,0)</f>
        <v>#REF!</v>
      </c>
      <c r="M8791" s="33" t="str">
        <f t="shared" si="551"/>
        <v>P&amp;L</v>
      </c>
    </row>
    <row r="8792" spans="1:13">
      <c r="A8792" s="33" t="str">
        <f t="shared" si="548"/>
        <v>SCL - Operating Expense</v>
      </c>
      <c r="B8792" s="33" t="str">
        <f t="shared" si="549"/>
        <v>SCL</v>
      </c>
      <c r="C8792" s="33" t="str">
        <f t="shared" si="550"/>
        <v>62097-7402</v>
      </c>
      <c r="D8792" s="64" t="s">
        <v>10041</v>
      </c>
      <c r="E8792" s="64" t="s">
        <v>3095</v>
      </c>
      <c r="F8792" s="64" t="s">
        <v>15</v>
      </c>
      <c r="G8792" s="64" t="s">
        <v>3035</v>
      </c>
      <c r="H8792" s="64" t="s">
        <v>3022</v>
      </c>
      <c r="I8792" s="64" t="s">
        <v>3096</v>
      </c>
      <c r="J8792" s="67">
        <v>0</v>
      </c>
      <c r="K8792" s="62">
        <v>150</v>
      </c>
      <c r="L8792" s="33" t="e">
        <f>HLOOKUP(B8792,#REF!,1,0)</f>
        <v>#REF!</v>
      </c>
      <c r="M8792" s="33" t="str">
        <f t="shared" si="551"/>
        <v>P&amp;L</v>
      </c>
    </row>
    <row r="8793" spans="1:13">
      <c r="A8793" s="33" t="str">
        <f t="shared" si="548"/>
        <v>SCL - Operating Expense</v>
      </c>
      <c r="B8793" s="33" t="str">
        <f t="shared" si="549"/>
        <v>SCL</v>
      </c>
      <c r="C8793" s="33" t="str">
        <f t="shared" si="550"/>
        <v>62097-7403</v>
      </c>
      <c r="D8793" s="64" t="s">
        <v>10042</v>
      </c>
      <c r="E8793" s="64" t="s">
        <v>3095</v>
      </c>
      <c r="F8793" s="64" t="s">
        <v>15</v>
      </c>
      <c r="G8793" s="64" t="s">
        <v>3035</v>
      </c>
      <c r="H8793" s="64" t="s">
        <v>3022</v>
      </c>
      <c r="I8793" s="64" t="s">
        <v>3096</v>
      </c>
      <c r="J8793" s="67">
        <v>0</v>
      </c>
      <c r="K8793" s="62">
        <v>150</v>
      </c>
      <c r="L8793" s="33" t="e">
        <f>HLOOKUP(B8793,#REF!,1,0)</f>
        <v>#REF!</v>
      </c>
      <c r="M8793" s="33" t="str">
        <f t="shared" si="551"/>
        <v>P&amp;L</v>
      </c>
    </row>
    <row r="8794" spans="1:13">
      <c r="A8794" s="33" t="str">
        <f t="shared" si="548"/>
        <v>SCL - Operating Expense</v>
      </c>
      <c r="B8794" s="33" t="str">
        <f t="shared" si="549"/>
        <v>SCL</v>
      </c>
      <c r="C8794" s="33" t="str">
        <f t="shared" si="550"/>
        <v>62097-7489</v>
      </c>
      <c r="D8794" s="64" t="s">
        <v>10043</v>
      </c>
      <c r="E8794" s="64" t="s">
        <v>3095</v>
      </c>
      <c r="F8794" s="64" t="s">
        <v>15</v>
      </c>
      <c r="G8794" s="64" t="s">
        <v>3035</v>
      </c>
      <c r="H8794" s="64" t="s">
        <v>3022</v>
      </c>
      <c r="I8794" s="64" t="s">
        <v>3096</v>
      </c>
      <c r="J8794" s="67">
        <v>0</v>
      </c>
      <c r="K8794" s="62">
        <v>150</v>
      </c>
      <c r="L8794" s="33" t="e">
        <f>HLOOKUP(B8794,#REF!,1,0)</f>
        <v>#REF!</v>
      </c>
      <c r="M8794" s="33" t="str">
        <f t="shared" si="551"/>
        <v>P&amp;L</v>
      </c>
    </row>
    <row r="8795" spans="1:13">
      <c r="A8795" s="33" t="str">
        <f t="shared" si="548"/>
        <v>SCL - Operating Expense</v>
      </c>
      <c r="B8795" s="33" t="str">
        <f t="shared" si="549"/>
        <v>SCL</v>
      </c>
      <c r="C8795" s="33" t="str">
        <f t="shared" si="550"/>
        <v>62097-7491</v>
      </c>
      <c r="D8795" s="64" t="s">
        <v>10044</v>
      </c>
      <c r="E8795" s="64" t="s">
        <v>3095</v>
      </c>
      <c r="F8795" s="64" t="s">
        <v>15</v>
      </c>
      <c r="G8795" s="64" t="s">
        <v>3035</v>
      </c>
      <c r="H8795" s="64" t="s">
        <v>3022</v>
      </c>
      <c r="I8795" s="64" t="s">
        <v>3096</v>
      </c>
      <c r="J8795" s="67">
        <v>0</v>
      </c>
      <c r="K8795" s="62">
        <v>150</v>
      </c>
      <c r="L8795" s="33" t="e">
        <f>HLOOKUP(B8795,#REF!,1,0)</f>
        <v>#REF!</v>
      </c>
      <c r="M8795" s="33" t="str">
        <f t="shared" si="551"/>
        <v>P&amp;L</v>
      </c>
    </row>
    <row r="8796" spans="1:13">
      <c r="A8796" s="33" t="str">
        <f t="shared" si="548"/>
        <v>SCL - Operating Expense</v>
      </c>
      <c r="B8796" s="33" t="str">
        <f t="shared" si="549"/>
        <v>SCL</v>
      </c>
      <c r="C8796" s="33" t="str">
        <f t="shared" si="550"/>
        <v>62097-7492</v>
      </c>
      <c r="D8796" s="64" t="s">
        <v>10045</v>
      </c>
      <c r="E8796" s="64" t="s">
        <v>3095</v>
      </c>
      <c r="F8796" s="64" t="s">
        <v>15</v>
      </c>
      <c r="G8796" s="64" t="s">
        <v>3035</v>
      </c>
      <c r="H8796" s="64" t="s">
        <v>3022</v>
      </c>
      <c r="I8796" s="64" t="s">
        <v>3096</v>
      </c>
      <c r="J8796" s="67">
        <v>0</v>
      </c>
      <c r="K8796" s="62">
        <v>150</v>
      </c>
      <c r="L8796" s="33" t="e">
        <f>HLOOKUP(B8796,#REF!,1,0)</f>
        <v>#REF!</v>
      </c>
      <c r="M8796" s="33" t="str">
        <f t="shared" si="551"/>
        <v>P&amp;L</v>
      </c>
    </row>
    <row r="8797" spans="1:13">
      <c r="A8797" s="33" t="str">
        <f t="shared" si="548"/>
        <v>SCL - Operating Expense</v>
      </c>
      <c r="B8797" s="33" t="str">
        <f t="shared" si="549"/>
        <v>SCL</v>
      </c>
      <c r="C8797" s="33" t="str">
        <f t="shared" si="550"/>
        <v>62097-7493</v>
      </c>
      <c r="D8797" s="64" t="s">
        <v>10046</v>
      </c>
      <c r="E8797" s="64" t="s">
        <v>3095</v>
      </c>
      <c r="F8797" s="64" t="s">
        <v>15</v>
      </c>
      <c r="G8797" s="64" t="s">
        <v>3035</v>
      </c>
      <c r="H8797" s="64" t="s">
        <v>3022</v>
      </c>
      <c r="I8797" s="64" t="s">
        <v>3096</v>
      </c>
      <c r="J8797" s="67">
        <v>0</v>
      </c>
      <c r="K8797" s="62">
        <v>150</v>
      </c>
      <c r="L8797" s="33" t="e">
        <f>HLOOKUP(B8797,#REF!,1,0)</f>
        <v>#REF!</v>
      </c>
      <c r="M8797" s="33" t="str">
        <f t="shared" si="551"/>
        <v>P&amp;L</v>
      </c>
    </row>
    <row r="8798" spans="1:13">
      <c r="A8798" s="33" t="str">
        <f t="shared" si="548"/>
        <v>SCL - Operating Expense</v>
      </c>
      <c r="B8798" s="33" t="str">
        <f t="shared" si="549"/>
        <v>SCL</v>
      </c>
      <c r="C8798" s="33" t="str">
        <f t="shared" si="550"/>
        <v>62097-7494</v>
      </c>
      <c r="D8798" s="64" t="s">
        <v>10047</v>
      </c>
      <c r="E8798" s="64" t="s">
        <v>3095</v>
      </c>
      <c r="F8798" s="64" t="s">
        <v>15</v>
      </c>
      <c r="G8798" s="64" t="s">
        <v>3035</v>
      </c>
      <c r="H8798" s="64" t="s">
        <v>3022</v>
      </c>
      <c r="I8798" s="64" t="s">
        <v>3096</v>
      </c>
      <c r="J8798" s="67">
        <v>0</v>
      </c>
      <c r="K8798" s="62">
        <v>150</v>
      </c>
      <c r="L8798" s="33" t="e">
        <f>HLOOKUP(B8798,#REF!,1,0)</f>
        <v>#REF!</v>
      </c>
      <c r="M8798" s="33" t="str">
        <f t="shared" si="551"/>
        <v>P&amp;L</v>
      </c>
    </row>
    <row r="8799" spans="1:13">
      <c r="A8799" s="33" t="str">
        <f t="shared" si="548"/>
        <v>SCL - Operating Expense</v>
      </c>
      <c r="B8799" s="33" t="str">
        <f t="shared" si="549"/>
        <v>SCL</v>
      </c>
      <c r="C8799" s="33" t="str">
        <f t="shared" si="550"/>
        <v>62097-7625</v>
      </c>
      <c r="D8799" s="64" t="s">
        <v>10048</v>
      </c>
      <c r="E8799" s="64" t="s">
        <v>3095</v>
      </c>
      <c r="F8799" s="64" t="s">
        <v>15</v>
      </c>
      <c r="G8799" s="64" t="s">
        <v>3035</v>
      </c>
      <c r="H8799" s="64" t="s">
        <v>3022</v>
      </c>
      <c r="I8799" s="64" t="s">
        <v>3096</v>
      </c>
      <c r="J8799" s="67">
        <v>0</v>
      </c>
      <c r="K8799" s="62">
        <v>150</v>
      </c>
      <c r="L8799" s="33" t="e">
        <f>HLOOKUP(B8799,#REF!,1,0)</f>
        <v>#REF!</v>
      </c>
      <c r="M8799" s="33" t="str">
        <f t="shared" si="551"/>
        <v>P&amp;L</v>
      </c>
    </row>
    <row r="8800" spans="1:13">
      <c r="A8800" s="33" t="str">
        <f t="shared" si="548"/>
        <v>SCL - Operating Expense</v>
      </c>
      <c r="B8800" s="33" t="str">
        <f t="shared" si="549"/>
        <v>SCL</v>
      </c>
      <c r="C8800" s="33" t="str">
        <f t="shared" si="550"/>
        <v>62097-8150</v>
      </c>
      <c r="D8800" s="64" t="s">
        <v>10049</v>
      </c>
      <c r="E8800" s="64" t="s">
        <v>3095</v>
      </c>
      <c r="F8800" s="64" t="s">
        <v>15</v>
      </c>
      <c r="G8800" s="64" t="s">
        <v>3035</v>
      </c>
      <c r="H8800" s="64" t="s">
        <v>3022</v>
      </c>
      <c r="I8800" s="64" t="s">
        <v>3096</v>
      </c>
      <c r="J8800" s="67">
        <v>0</v>
      </c>
      <c r="K8800" s="62">
        <v>150</v>
      </c>
      <c r="L8800" s="33" t="e">
        <f>HLOOKUP(B8800,#REF!,1,0)</f>
        <v>#REF!</v>
      </c>
      <c r="M8800" s="33" t="str">
        <f t="shared" si="551"/>
        <v>P&amp;L</v>
      </c>
    </row>
    <row r="8801" spans="1:13">
      <c r="A8801" s="33" t="str">
        <f t="shared" si="548"/>
        <v>SCL - Operating Expense</v>
      </c>
      <c r="B8801" s="33" t="str">
        <f t="shared" si="549"/>
        <v>SCL</v>
      </c>
      <c r="C8801" s="33" t="str">
        <f t="shared" si="550"/>
        <v>62501-0000</v>
      </c>
      <c r="D8801" s="64" t="s">
        <v>10050</v>
      </c>
      <c r="E8801" s="64" t="s">
        <v>3101</v>
      </c>
      <c r="F8801" s="64" t="s">
        <v>15</v>
      </c>
      <c r="G8801" s="64" t="s">
        <v>3035</v>
      </c>
      <c r="H8801" s="64" t="s">
        <v>3022</v>
      </c>
      <c r="I8801" s="64" t="s">
        <v>3102</v>
      </c>
      <c r="J8801" s="67">
        <v>0</v>
      </c>
      <c r="K8801" s="62">
        <v>0</v>
      </c>
      <c r="L8801" s="33" t="e">
        <f>HLOOKUP(B8801,#REF!,1,0)</f>
        <v>#REF!</v>
      </c>
      <c r="M8801" s="33" t="str">
        <f t="shared" si="551"/>
        <v>P&amp;L</v>
      </c>
    </row>
    <row r="8802" spans="1:13">
      <c r="A8802" s="33" t="str">
        <f t="shared" si="548"/>
        <v>SCL - Operating Expense</v>
      </c>
      <c r="B8802" s="33" t="str">
        <f t="shared" si="549"/>
        <v>SCL</v>
      </c>
      <c r="C8802" s="33" t="str">
        <f t="shared" si="550"/>
        <v>62501-7351</v>
      </c>
      <c r="D8802" s="64" t="s">
        <v>10051</v>
      </c>
      <c r="E8802" s="64" t="s">
        <v>3101</v>
      </c>
      <c r="F8802" s="64" t="s">
        <v>15</v>
      </c>
      <c r="G8802" s="64" t="s">
        <v>3035</v>
      </c>
      <c r="H8802" s="64" t="s">
        <v>3022</v>
      </c>
      <c r="I8802" s="64" t="s">
        <v>3102</v>
      </c>
      <c r="J8802" s="67">
        <v>0</v>
      </c>
      <c r="K8802" s="62">
        <v>4065</v>
      </c>
      <c r="L8802" s="33" t="e">
        <f>HLOOKUP(B8802,#REF!,1,0)</f>
        <v>#REF!</v>
      </c>
      <c r="M8802" s="33" t="str">
        <f t="shared" si="551"/>
        <v>P&amp;L</v>
      </c>
    </row>
    <row r="8803" spans="1:13">
      <c r="A8803" s="33" t="str">
        <f t="shared" si="548"/>
        <v>SCL - Operating Expense</v>
      </c>
      <c r="B8803" s="33" t="str">
        <f t="shared" si="549"/>
        <v>SCL</v>
      </c>
      <c r="C8803" s="33" t="str">
        <f t="shared" si="550"/>
        <v>62501-7352</v>
      </c>
      <c r="D8803" s="64" t="s">
        <v>10052</v>
      </c>
      <c r="E8803" s="64" t="s">
        <v>3101</v>
      </c>
      <c r="F8803" s="64" t="s">
        <v>15</v>
      </c>
      <c r="G8803" s="64" t="s">
        <v>3035</v>
      </c>
      <c r="H8803" s="64" t="s">
        <v>3022</v>
      </c>
      <c r="I8803" s="64" t="s">
        <v>3102</v>
      </c>
      <c r="J8803" s="67">
        <v>0</v>
      </c>
      <c r="K8803" s="62">
        <v>1274.95</v>
      </c>
      <c r="L8803" s="33" t="e">
        <f>HLOOKUP(B8803,#REF!,1,0)</f>
        <v>#REF!</v>
      </c>
      <c r="M8803" s="33" t="str">
        <f t="shared" si="551"/>
        <v>P&amp;L</v>
      </c>
    </row>
    <row r="8804" spans="1:13">
      <c r="A8804" s="33" t="str">
        <f t="shared" si="548"/>
        <v>SCL - Operating Expense</v>
      </c>
      <c r="B8804" s="33" t="str">
        <f t="shared" si="549"/>
        <v>SCL</v>
      </c>
      <c r="C8804" s="33" t="str">
        <f t="shared" si="550"/>
        <v>62501-7355</v>
      </c>
      <c r="D8804" s="64" t="s">
        <v>10053</v>
      </c>
      <c r="E8804" s="64" t="s">
        <v>3101</v>
      </c>
      <c r="F8804" s="64" t="s">
        <v>15</v>
      </c>
      <c r="G8804" s="64" t="s">
        <v>3035</v>
      </c>
      <c r="H8804" s="64" t="s">
        <v>3022</v>
      </c>
      <c r="I8804" s="64" t="s">
        <v>3102</v>
      </c>
      <c r="J8804" s="67">
        <v>350</v>
      </c>
      <c r="K8804" s="62">
        <v>7255</v>
      </c>
      <c r="L8804" s="33" t="e">
        <f>HLOOKUP(B8804,#REF!,1,0)</f>
        <v>#REF!</v>
      </c>
      <c r="M8804" s="33" t="str">
        <f t="shared" si="551"/>
        <v>P&amp;L</v>
      </c>
    </row>
    <row r="8805" spans="1:13">
      <c r="A8805" s="33" t="str">
        <f t="shared" si="548"/>
        <v>SCL - Operating Expense</v>
      </c>
      <c r="B8805" s="33" t="str">
        <f t="shared" si="549"/>
        <v>SCL</v>
      </c>
      <c r="C8805" s="33" t="str">
        <f t="shared" si="550"/>
        <v>62501-7359</v>
      </c>
      <c r="D8805" s="64" t="s">
        <v>10054</v>
      </c>
      <c r="E8805" s="64" t="s">
        <v>3101</v>
      </c>
      <c r="F8805" s="64" t="s">
        <v>15</v>
      </c>
      <c r="G8805" s="64" t="s">
        <v>3035</v>
      </c>
      <c r="H8805" s="64" t="s">
        <v>3022</v>
      </c>
      <c r="I8805" s="64" t="s">
        <v>3102</v>
      </c>
      <c r="J8805" s="67">
        <v>545</v>
      </c>
      <c r="K8805" s="62">
        <v>740</v>
      </c>
      <c r="L8805" s="33" t="e">
        <f>HLOOKUP(B8805,#REF!,1,0)</f>
        <v>#REF!</v>
      </c>
      <c r="M8805" s="33" t="str">
        <f t="shared" si="551"/>
        <v>P&amp;L</v>
      </c>
    </row>
    <row r="8806" spans="1:13">
      <c r="A8806" s="33" t="str">
        <f t="shared" si="548"/>
        <v>SCL - Operating Expense</v>
      </c>
      <c r="B8806" s="33" t="str">
        <f t="shared" si="549"/>
        <v>SCL</v>
      </c>
      <c r="C8806" s="33" t="str">
        <f t="shared" si="550"/>
        <v>62501-7360</v>
      </c>
      <c r="D8806" s="64" t="s">
        <v>10055</v>
      </c>
      <c r="E8806" s="64" t="s">
        <v>3101</v>
      </c>
      <c r="F8806" s="64" t="s">
        <v>15</v>
      </c>
      <c r="G8806" s="64" t="s">
        <v>3035</v>
      </c>
      <c r="H8806" s="64" t="s">
        <v>3022</v>
      </c>
      <c r="I8806" s="64" t="s">
        <v>3102</v>
      </c>
      <c r="J8806" s="67">
        <v>1570</v>
      </c>
      <c r="K8806" s="62">
        <v>3872</v>
      </c>
      <c r="L8806" s="33" t="e">
        <f>HLOOKUP(B8806,#REF!,1,0)</f>
        <v>#REF!</v>
      </c>
      <c r="M8806" s="33" t="str">
        <f t="shared" si="551"/>
        <v>P&amp;L</v>
      </c>
    </row>
    <row r="8807" spans="1:13">
      <c r="A8807" s="33" t="str">
        <f t="shared" si="548"/>
        <v>SCL - Operating Expense</v>
      </c>
      <c r="B8807" s="33" t="str">
        <f t="shared" si="549"/>
        <v>SCL</v>
      </c>
      <c r="C8807" s="33" t="str">
        <f t="shared" si="550"/>
        <v>62501-7361</v>
      </c>
      <c r="D8807" s="64" t="s">
        <v>10056</v>
      </c>
      <c r="E8807" s="64" t="s">
        <v>3101</v>
      </c>
      <c r="F8807" s="64" t="s">
        <v>15</v>
      </c>
      <c r="G8807" s="64" t="s">
        <v>3035</v>
      </c>
      <c r="H8807" s="64" t="s">
        <v>3022</v>
      </c>
      <c r="I8807" s="64" t="s">
        <v>3102</v>
      </c>
      <c r="J8807" s="67">
        <v>0</v>
      </c>
      <c r="K8807" s="62">
        <v>350</v>
      </c>
      <c r="L8807" s="33" t="e">
        <f>HLOOKUP(B8807,#REF!,1,0)</f>
        <v>#REF!</v>
      </c>
      <c r="M8807" s="33" t="str">
        <f t="shared" si="551"/>
        <v>P&amp;L</v>
      </c>
    </row>
    <row r="8808" spans="1:13">
      <c r="A8808" s="33" t="str">
        <f t="shared" si="548"/>
        <v>SCL - Operating Expense</v>
      </c>
      <c r="B8808" s="33" t="str">
        <f t="shared" si="549"/>
        <v>SCL</v>
      </c>
      <c r="C8808" s="33" t="str">
        <f t="shared" si="550"/>
        <v>62501-7362</v>
      </c>
      <c r="D8808" s="64" t="s">
        <v>10057</v>
      </c>
      <c r="E8808" s="64" t="s">
        <v>3101</v>
      </c>
      <c r="F8808" s="64" t="s">
        <v>15</v>
      </c>
      <c r="G8808" s="64" t="s">
        <v>3035</v>
      </c>
      <c r="H8808" s="64" t="s">
        <v>3022</v>
      </c>
      <c r="I8808" s="64" t="s">
        <v>3102</v>
      </c>
      <c r="J8808" s="67">
        <v>1895</v>
      </c>
      <c r="K8808" s="62">
        <v>2666</v>
      </c>
      <c r="L8808" s="33" t="e">
        <f>HLOOKUP(B8808,#REF!,1,0)</f>
        <v>#REF!</v>
      </c>
      <c r="M8808" s="33" t="str">
        <f t="shared" si="551"/>
        <v>P&amp;L</v>
      </c>
    </row>
    <row r="8809" spans="1:13">
      <c r="A8809" s="33" t="str">
        <f t="shared" si="548"/>
        <v>SCL - Operating Expense</v>
      </c>
      <c r="B8809" s="33" t="str">
        <f t="shared" si="549"/>
        <v>SCL</v>
      </c>
      <c r="C8809" s="33" t="str">
        <f t="shared" si="550"/>
        <v>62501-7363</v>
      </c>
      <c r="D8809" s="64" t="s">
        <v>10058</v>
      </c>
      <c r="E8809" s="64" t="s">
        <v>3101</v>
      </c>
      <c r="F8809" s="64" t="s">
        <v>15</v>
      </c>
      <c r="G8809" s="64" t="s">
        <v>3035</v>
      </c>
      <c r="H8809" s="64" t="s">
        <v>3022</v>
      </c>
      <c r="I8809" s="64" t="s">
        <v>3102</v>
      </c>
      <c r="J8809" s="67">
        <v>575</v>
      </c>
      <c r="K8809" s="62">
        <v>1954</v>
      </c>
      <c r="L8809" s="33" t="e">
        <f>HLOOKUP(B8809,#REF!,1,0)</f>
        <v>#REF!</v>
      </c>
      <c r="M8809" s="33" t="str">
        <f t="shared" si="551"/>
        <v>P&amp;L</v>
      </c>
    </row>
    <row r="8810" spans="1:13">
      <c r="A8810" s="33" t="str">
        <f t="shared" si="548"/>
        <v>SCL - Operating Expense</v>
      </c>
      <c r="B8810" s="33" t="str">
        <f t="shared" si="549"/>
        <v>SCL</v>
      </c>
      <c r="C8810" s="33" t="str">
        <f t="shared" si="550"/>
        <v>62501-7364</v>
      </c>
      <c r="D8810" s="64" t="s">
        <v>10059</v>
      </c>
      <c r="E8810" s="64" t="s">
        <v>3101</v>
      </c>
      <c r="F8810" s="64" t="s">
        <v>15</v>
      </c>
      <c r="G8810" s="64" t="s">
        <v>3035</v>
      </c>
      <c r="H8810" s="64" t="s">
        <v>3022</v>
      </c>
      <c r="I8810" s="64" t="s">
        <v>3102</v>
      </c>
      <c r="J8810" s="67">
        <v>1400</v>
      </c>
      <c r="K8810" s="62">
        <v>2945</v>
      </c>
      <c r="L8810" s="33" t="e">
        <f>HLOOKUP(B8810,#REF!,1,0)</f>
        <v>#REF!</v>
      </c>
      <c r="M8810" s="33" t="str">
        <f t="shared" si="551"/>
        <v>P&amp;L</v>
      </c>
    </row>
    <row r="8811" spans="1:13">
      <c r="A8811" s="33" t="str">
        <f t="shared" si="548"/>
        <v>SCL - Operating Expense</v>
      </c>
      <c r="B8811" s="33" t="str">
        <f t="shared" si="549"/>
        <v>SCL</v>
      </c>
      <c r="C8811" s="33" t="str">
        <f t="shared" si="550"/>
        <v>62501-7365</v>
      </c>
      <c r="D8811" s="64" t="s">
        <v>10060</v>
      </c>
      <c r="E8811" s="64" t="s">
        <v>3101</v>
      </c>
      <c r="F8811" s="64" t="s">
        <v>15</v>
      </c>
      <c r="G8811" s="64" t="s">
        <v>3035</v>
      </c>
      <c r="H8811" s="64" t="s">
        <v>3022</v>
      </c>
      <c r="I8811" s="64" t="s">
        <v>3102</v>
      </c>
      <c r="J8811" s="67">
        <v>0</v>
      </c>
      <c r="K8811" s="62">
        <v>5900</v>
      </c>
      <c r="L8811" s="33" t="e">
        <f>HLOOKUP(B8811,#REF!,1,0)</f>
        <v>#REF!</v>
      </c>
      <c r="M8811" s="33" t="str">
        <f t="shared" si="551"/>
        <v>P&amp;L</v>
      </c>
    </row>
    <row r="8812" spans="1:13">
      <c r="A8812" s="33" t="str">
        <f t="shared" si="548"/>
        <v>SCL - Operating Expense</v>
      </c>
      <c r="B8812" s="33" t="str">
        <f t="shared" si="549"/>
        <v>SCL</v>
      </c>
      <c r="C8812" s="33" t="str">
        <f t="shared" si="550"/>
        <v>62501-7368</v>
      </c>
      <c r="D8812" s="64" t="s">
        <v>10061</v>
      </c>
      <c r="E8812" s="64" t="s">
        <v>3101</v>
      </c>
      <c r="F8812" s="64" t="s">
        <v>15</v>
      </c>
      <c r="G8812" s="64" t="s">
        <v>3035</v>
      </c>
      <c r="H8812" s="64" t="s">
        <v>3022</v>
      </c>
      <c r="I8812" s="64" t="s">
        <v>3102</v>
      </c>
      <c r="J8812" s="67">
        <v>450</v>
      </c>
      <c r="K8812" s="62">
        <v>800</v>
      </c>
      <c r="L8812" s="33" t="e">
        <f>HLOOKUP(B8812,#REF!,1,0)</f>
        <v>#REF!</v>
      </c>
      <c r="M8812" s="33" t="str">
        <f t="shared" si="551"/>
        <v>P&amp;L</v>
      </c>
    </row>
    <row r="8813" spans="1:13">
      <c r="A8813" s="33" t="str">
        <f t="shared" si="548"/>
        <v>SCL - Operating Expense</v>
      </c>
      <c r="B8813" s="33" t="str">
        <f t="shared" si="549"/>
        <v>SCL</v>
      </c>
      <c r="C8813" s="33" t="str">
        <f t="shared" si="550"/>
        <v>62501-7369</v>
      </c>
      <c r="D8813" s="64" t="s">
        <v>10062</v>
      </c>
      <c r="E8813" s="64" t="s">
        <v>3101</v>
      </c>
      <c r="F8813" s="64" t="s">
        <v>15</v>
      </c>
      <c r="G8813" s="64" t="s">
        <v>3035</v>
      </c>
      <c r="H8813" s="64" t="s">
        <v>3022</v>
      </c>
      <c r="I8813" s="64" t="s">
        <v>3102</v>
      </c>
      <c r="J8813" s="67">
        <v>0</v>
      </c>
      <c r="K8813" s="62">
        <v>3352.5</v>
      </c>
      <c r="L8813" s="33" t="e">
        <f>HLOOKUP(B8813,#REF!,1,0)</f>
        <v>#REF!</v>
      </c>
      <c r="M8813" s="33" t="str">
        <f t="shared" si="551"/>
        <v>P&amp;L</v>
      </c>
    </row>
    <row r="8814" spans="1:13">
      <c r="A8814" s="33" t="str">
        <f t="shared" si="548"/>
        <v>SCL - Operating Expense</v>
      </c>
      <c r="B8814" s="33" t="str">
        <f t="shared" si="549"/>
        <v>SCL</v>
      </c>
      <c r="C8814" s="33" t="str">
        <f t="shared" si="550"/>
        <v>62501-7371</v>
      </c>
      <c r="D8814" s="64" t="s">
        <v>10063</v>
      </c>
      <c r="E8814" s="64" t="s">
        <v>3101</v>
      </c>
      <c r="F8814" s="64" t="s">
        <v>15</v>
      </c>
      <c r="G8814" s="64" t="s">
        <v>3035</v>
      </c>
      <c r="H8814" s="64" t="s">
        <v>3022</v>
      </c>
      <c r="I8814" s="64" t="s">
        <v>3102</v>
      </c>
      <c r="J8814" s="67">
        <v>700</v>
      </c>
      <c r="K8814" s="62">
        <v>7170</v>
      </c>
      <c r="L8814" s="33" t="e">
        <f>HLOOKUP(B8814,#REF!,1,0)</f>
        <v>#REF!</v>
      </c>
      <c r="M8814" s="33" t="str">
        <f t="shared" si="551"/>
        <v>P&amp;L</v>
      </c>
    </row>
    <row r="8815" spans="1:13">
      <c r="A8815" s="33" t="str">
        <f t="shared" si="548"/>
        <v>SCL - Operating Expense</v>
      </c>
      <c r="B8815" s="33" t="str">
        <f t="shared" si="549"/>
        <v>SCL</v>
      </c>
      <c r="C8815" s="33" t="str">
        <f t="shared" si="550"/>
        <v>62501-7374</v>
      </c>
      <c r="D8815" s="64" t="s">
        <v>10064</v>
      </c>
      <c r="E8815" s="64" t="s">
        <v>3101</v>
      </c>
      <c r="F8815" s="64" t="s">
        <v>15</v>
      </c>
      <c r="G8815" s="64" t="s">
        <v>3035</v>
      </c>
      <c r="H8815" s="64" t="s">
        <v>3022</v>
      </c>
      <c r="I8815" s="64" t="s">
        <v>3102</v>
      </c>
      <c r="J8815" s="67">
        <v>0</v>
      </c>
      <c r="K8815" s="62">
        <v>859</v>
      </c>
      <c r="L8815" s="33" t="e">
        <f>HLOOKUP(B8815,#REF!,1,0)</f>
        <v>#REF!</v>
      </c>
      <c r="M8815" s="33" t="str">
        <f t="shared" si="551"/>
        <v>P&amp;L</v>
      </c>
    </row>
    <row r="8816" spans="1:13">
      <c r="A8816" s="33" t="str">
        <f t="shared" si="548"/>
        <v>SCL - Operating Expense</v>
      </c>
      <c r="B8816" s="33" t="str">
        <f t="shared" si="549"/>
        <v>SCL</v>
      </c>
      <c r="C8816" s="33" t="str">
        <f t="shared" si="550"/>
        <v>62501-7375</v>
      </c>
      <c r="D8816" s="64" t="s">
        <v>10065</v>
      </c>
      <c r="E8816" s="64" t="s">
        <v>3101</v>
      </c>
      <c r="F8816" s="64" t="s">
        <v>15</v>
      </c>
      <c r="G8816" s="64" t="s">
        <v>3035</v>
      </c>
      <c r="H8816" s="64" t="s">
        <v>3022</v>
      </c>
      <c r="I8816" s="64" t="s">
        <v>3102</v>
      </c>
      <c r="J8816" s="67">
        <v>0</v>
      </c>
      <c r="K8816" s="62">
        <v>1876.5</v>
      </c>
      <c r="L8816" s="33" t="e">
        <f>HLOOKUP(B8816,#REF!,1,0)</f>
        <v>#REF!</v>
      </c>
      <c r="M8816" s="33" t="str">
        <f t="shared" si="551"/>
        <v>P&amp;L</v>
      </c>
    </row>
    <row r="8817" spans="1:13">
      <c r="A8817" s="33" t="str">
        <f t="shared" si="548"/>
        <v>SCL - Operating Expense</v>
      </c>
      <c r="B8817" s="33" t="str">
        <f t="shared" si="549"/>
        <v>SCL</v>
      </c>
      <c r="C8817" s="33" t="str">
        <f t="shared" si="550"/>
        <v>62501-7376</v>
      </c>
      <c r="D8817" s="64" t="s">
        <v>10066</v>
      </c>
      <c r="E8817" s="64" t="s">
        <v>3101</v>
      </c>
      <c r="F8817" s="64" t="s">
        <v>15</v>
      </c>
      <c r="G8817" s="64" t="s">
        <v>3035</v>
      </c>
      <c r="H8817" s="64" t="s">
        <v>3022</v>
      </c>
      <c r="I8817" s="64" t="s">
        <v>3102</v>
      </c>
      <c r="J8817" s="67">
        <v>1175</v>
      </c>
      <c r="K8817" s="62">
        <v>2845</v>
      </c>
      <c r="L8817" s="33" t="e">
        <f>HLOOKUP(B8817,#REF!,1,0)</f>
        <v>#REF!</v>
      </c>
      <c r="M8817" s="33" t="str">
        <f t="shared" si="551"/>
        <v>P&amp;L</v>
      </c>
    </row>
    <row r="8818" spans="1:13">
      <c r="A8818" s="33" t="str">
        <f t="shared" si="548"/>
        <v>SCL - Operating Expense</v>
      </c>
      <c r="B8818" s="33" t="str">
        <f t="shared" si="549"/>
        <v>SCL</v>
      </c>
      <c r="C8818" s="33" t="str">
        <f t="shared" si="550"/>
        <v>62501-7377</v>
      </c>
      <c r="D8818" s="64" t="s">
        <v>10067</v>
      </c>
      <c r="E8818" s="64" t="s">
        <v>3101</v>
      </c>
      <c r="F8818" s="64" t="s">
        <v>15</v>
      </c>
      <c r="G8818" s="64" t="s">
        <v>3035</v>
      </c>
      <c r="H8818" s="64" t="s">
        <v>3022</v>
      </c>
      <c r="I8818" s="64" t="s">
        <v>3102</v>
      </c>
      <c r="J8818" s="67">
        <v>1400</v>
      </c>
      <c r="K8818" s="62">
        <v>19195</v>
      </c>
      <c r="L8818" s="33" t="e">
        <f>HLOOKUP(B8818,#REF!,1,0)</f>
        <v>#REF!</v>
      </c>
      <c r="M8818" s="33" t="str">
        <f t="shared" si="551"/>
        <v>P&amp;L</v>
      </c>
    </row>
    <row r="8819" spans="1:13">
      <c r="A8819" s="33" t="str">
        <f t="shared" si="548"/>
        <v>SCL - Operating Expense</v>
      </c>
      <c r="B8819" s="33" t="str">
        <f t="shared" si="549"/>
        <v>SCL</v>
      </c>
      <c r="C8819" s="33" t="str">
        <f t="shared" si="550"/>
        <v>62501-7378</v>
      </c>
      <c r="D8819" s="64" t="s">
        <v>10068</v>
      </c>
      <c r="E8819" s="64" t="s">
        <v>3101</v>
      </c>
      <c r="F8819" s="64" t="s">
        <v>15</v>
      </c>
      <c r="G8819" s="64" t="s">
        <v>3035</v>
      </c>
      <c r="H8819" s="64" t="s">
        <v>3022</v>
      </c>
      <c r="I8819" s="64" t="s">
        <v>3102</v>
      </c>
      <c r="J8819" s="67">
        <v>700</v>
      </c>
      <c r="K8819" s="62">
        <v>4272.5</v>
      </c>
      <c r="L8819" s="33" t="e">
        <f>HLOOKUP(B8819,#REF!,1,0)</f>
        <v>#REF!</v>
      </c>
      <c r="M8819" s="33" t="str">
        <f t="shared" si="551"/>
        <v>P&amp;L</v>
      </c>
    </row>
    <row r="8820" spans="1:13">
      <c r="A8820" s="33" t="str">
        <f t="shared" si="548"/>
        <v>SCL - Operating Expense</v>
      </c>
      <c r="B8820" s="33" t="str">
        <f t="shared" si="549"/>
        <v>SCL</v>
      </c>
      <c r="C8820" s="33" t="str">
        <f t="shared" si="550"/>
        <v>62501-7379</v>
      </c>
      <c r="D8820" s="64" t="s">
        <v>10069</v>
      </c>
      <c r="E8820" s="64" t="s">
        <v>3101</v>
      </c>
      <c r="F8820" s="64" t="s">
        <v>15</v>
      </c>
      <c r="G8820" s="64" t="s">
        <v>3035</v>
      </c>
      <c r="H8820" s="64" t="s">
        <v>3022</v>
      </c>
      <c r="I8820" s="64" t="s">
        <v>3102</v>
      </c>
      <c r="J8820" s="67">
        <v>0</v>
      </c>
      <c r="K8820" s="62">
        <v>1050</v>
      </c>
      <c r="L8820" s="33" t="e">
        <f>HLOOKUP(B8820,#REF!,1,0)</f>
        <v>#REF!</v>
      </c>
      <c r="M8820" s="33" t="str">
        <f t="shared" si="551"/>
        <v>P&amp;L</v>
      </c>
    </row>
    <row r="8821" spans="1:13">
      <c r="A8821" s="33" t="str">
        <f t="shared" si="548"/>
        <v>SCL - Operating Expense</v>
      </c>
      <c r="B8821" s="33" t="str">
        <f t="shared" si="549"/>
        <v>SCL</v>
      </c>
      <c r="C8821" s="33" t="str">
        <f t="shared" si="550"/>
        <v>62501-7380</v>
      </c>
      <c r="D8821" s="64" t="s">
        <v>10070</v>
      </c>
      <c r="E8821" s="64" t="s">
        <v>3101</v>
      </c>
      <c r="F8821" s="64" t="s">
        <v>15</v>
      </c>
      <c r="G8821" s="64" t="s">
        <v>3035</v>
      </c>
      <c r="H8821" s="64" t="s">
        <v>3022</v>
      </c>
      <c r="I8821" s="64" t="s">
        <v>3102</v>
      </c>
      <c r="J8821" s="67">
        <v>350</v>
      </c>
      <c r="K8821" s="62">
        <v>509</v>
      </c>
      <c r="L8821" s="33" t="e">
        <f>HLOOKUP(B8821,#REF!,1,0)</f>
        <v>#REF!</v>
      </c>
      <c r="M8821" s="33" t="str">
        <f t="shared" si="551"/>
        <v>P&amp;L</v>
      </c>
    </row>
    <row r="8822" spans="1:13">
      <c r="A8822" s="33" t="str">
        <f t="shared" si="548"/>
        <v>SCL - Operating Expense</v>
      </c>
      <c r="B8822" s="33" t="str">
        <f t="shared" si="549"/>
        <v>SCL</v>
      </c>
      <c r="C8822" s="33" t="str">
        <f t="shared" si="550"/>
        <v>62501-7381</v>
      </c>
      <c r="D8822" s="64" t="s">
        <v>10071</v>
      </c>
      <c r="E8822" s="64" t="s">
        <v>3101</v>
      </c>
      <c r="F8822" s="64" t="s">
        <v>15</v>
      </c>
      <c r="G8822" s="64" t="s">
        <v>3035</v>
      </c>
      <c r="H8822" s="64" t="s">
        <v>3022</v>
      </c>
      <c r="I8822" s="64" t="s">
        <v>3102</v>
      </c>
      <c r="J8822" s="67">
        <v>1245</v>
      </c>
      <c r="K8822" s="62">
        <v>1995</v>
      </c>
      <c r="L8822" s="33" t="e">
        <f>HLOOKUP(B8822,#REF!,1,0)</f>
        <v>#REF!</v>
      </c>
      <c r="M8822" s="33" t="str">
        <f t="shared" si="551"/>
        <v>P&amp;L</v>
      </c>
    </row>
    <row r="8823" spans="1:13">
      <c r="A8823" s="33" t="str">
        <f t="shared" si="548"/>
        <v>SCL - Operating Expense</v>
      </c>
      <c r="B8823" s="33" t="str">
        <f t="shared" si="549"/>
        <v>SCL</v>
      </c>
      <c r="C8823" s="33" t="str">
        <f t="shared" si="550"/>
        <v>62501-7383</v>
      </c>
      <c r="D8823" s="64" t="s">
        <v>10072</v>
      </c>
      <c r="E8823" s="64" t="s">
        <v>3101</v>
      </c>
      <c r="F8823" s="64" t="s">
        <v>15</v>
      </c>
      <c r="G8823" s="64" t="s">
        <v>3035</v>
      </c>
      <c r="H8823" s="64" t="s">
        <v>3022</v>
      </c>
      <c r="I8823" s="64" t="s">
        <v>3102</v>
      </c>
      <c r="J8823" s="67">
        <v>0</v>
      </c>
      <c r="K8823" s="62">
        <v>1585</v>
      </c>
      <c r="L8823" s="33" t="e">
        <f>HLOOKUP(B8823,#REF!,1,0)</f>
        <v>#REF!</v>
      </c>
      <c r="M8823" s="33" t="str">
        <f t="shared" si="551"/>
        <v>P&amp;L</v>
      </c>
    </row>
    <row r="8824" spans="1:13">
      <c r="A8824" s="33" t="str">
        <f t="shared" si="548"/>
        <v>SCL - Operating Expense</v>
      </c>
      <c r="B8824" s="33" t="str">
        <f t="shared" si="549"/>
        <v>SCL</v>
      </c>
      <c r="C8824" s="33" t="str">
        <f t="shared" si="550"/>
        <v>62501-7385</v>
      </c>
      <c r="D8824" s="64" t="s">
        <v>10073</v>
      </c>
      <c r="E8824" s="64" t="s">
        <v>3101</v>
      </c>
      <c r="F8824" s="64" t="s">
        <v>15</v>
      </c>
      <c r="G8824" s="64" t="s">
        <v>3035</v>
      </c>
      <c r="H8824" s="64" t="s">
        <v>3022</v>
      </c>
      <c r="I8824" s="64" t="s">
        <v>3102</v>
      </c>
      <c r="J8824" s="67">
        <v>0</v>
      </c>
      <c r="K8824" s="62">
        <v>1553</v>
      </c>
      <c r="L8824" s="33" t="e">
        <f>HLOOKUP(B8824,#REF!,1,0)</f>
        <v>#REF!</v>
      </c>
      <c r="M8824" s="33" t="str">
        <f t="shared" si="551"/>
        <v>P&amp;L</v>
      </c>
    </row>
    <row r="8825" spans="1:13">
      <c r="A8825" s="33" t="str">
        <f t="shared" si="548"/>
        <v>SCL - Operating Expense</v>
      </c>
      <c r="B8825" s="33" t="str">
        <f t="shared" si="549"/>
        <v>SCL</v>
      </c>
      <c r="C8825" s="33" t="str">
        <f t="shared" si="550"/>
        <v>62501-7386</v>
      </c>
      <c r="D8825" s="64" t="s">
        <v>10074</v>
      </c>
      <c r="E8825" s="64" t="s">
        <v>3101</v>
      </c>
      <c r="F8825" s="64" t="s">
        <v>15</v>
      </c>
      <c r="G8825" s="64" t="s">
        <v>3035</v>
      </c>
      <c r="H8825" s="64" t="s">
        <v>3022</v>
      </c>
      <c r="I8825" s="64" t="s">
        <v>3102</v>
      </c>
      <c r="J8825" s="67">
        <v>0</v>
      </c>
      <c r="K8825" s="62">
        <v>1531</v>
      </c>
      <c r="L8825" s="33" t="e">
        <f>HLOOKUP(B8825,#REF!,1,0)</f>
        <v>#REF!</v>
      </c>
      <c r="M8825" s="33" t="str">
        <f t="shared" si="551"/>
        <v>P&amp;L</v>
      </c>
    </row>
    <row r="8826" spans="1:13">
      <c r="A8826" s="33" t="str">
        <f t="shared" si="548"/>
        <v>SCL - Operating Expense</v>
      </c>
      <c r="B8826" s="33" t="str">
        <f t="shared" si="549"/>
        <v>SCL</v>
      </c>
      <c r="C8826" s="33" t="str">
        <f t="shared" si="550"/>
        <v>62501-7387</v>
      </c>
      <c r="D8826" s="64" t="s">
        <v>10075</v>
      </c>
      <c r="E8826" s="64" t="s">
        <v>3101</v>
      </c>
      <c r="F8826" s="64" t="s">
        <v>15</v>
      </c>
      <c r="G8826" s="64" t="s">
        <v>3035</v>
      </c>
      <c r="H8826" s="64" t="s">
        <v>3022</v>
      </c>
      <c r="I8826" s="64" t="s">
        <v>3102</v>
      </c>
      <c r="J8826" s="67">
        <v>0</v>
      </c>
      <c r="K8826" s="62">
        <v>895</v>
      </c>
      <c r="L8826" s="33" t="e">
        <f>HLOOKUP(B8826,#REF!,1,0)</f>
        <v>#REF!</v>
      </c>
      <c r="M8826" s="33" t="str">
        <f t="shared" si="551"/>
        <v>P&amp;L</v>
      </c>
    </row>
    <row r="8827" spans="1:13">
      <c r="A8827" s="33" t="str">
        <f t="shared" si="548"/>
        <v>SCL - Operating Expense</v>
      </c>
      <c r="B8827" s="33" t="str">
        <f t="shared" si="549"/>
        <v>SCL</v>
      </c>
      <c r="C8827" s="33" t="str">
        <f t="shared" si="550"/>
        <v>62501-7389</v>
      </c>
      <c r="D8827" s="64" t="s">
        <v>10076</v>
      </c>
      <c r="E8827" s="64" t="s">
        <v>3101</v>
      </c>
      <c r="F8827" s="64" t="s">
        <v>15</v>
      </c>
      <c r="G8827" s="64" t="s">
        <v>3035</v>
      </c>
      <c r="H8827" s="64" t="s">
        <v>3022</v>
      </c>
      <c r="I8827" s="64" t="s">
        <v>3102</v>
      </c>
      <c r="J8827" s="67">
        <v>1550</v>
      </c>
      <c r="K8827" s="62">
        <v>9410</v>
      </c>
      <c r="L8827" s="33" t="e">
        <f>HLOOKUP(B8827,#REF!,1,0)</f>
        <v>#REF!</v>
      </c>
      <c r="M8827" s="33" t="str">
        <f t="shared" si="551"/>
        <v>P&amp;L</v>
      </c>
    </row>
    <row r="8828" spans="1:13">
      <c r="A8828" s="33" t="str">
        <f t="shared" si="548"/>
        <v>SCL - Operating Expense</v>
      </c>
      <c r="B8828" s="33" t="str">
        <f t="shared" si="549"/>
        <v>SCL</v>
      </c>
      <c r="C8828" s="33" t="str">
        <f t="shared" si="550"/>
        <v>62501-7391</v>
      </c>
      <c r="D8828" s="64" t="s">
        <v>10077</v>
      </c>
      <c r="E8828" s="64" t="s">
        <v>3101</v>
      </c>
      <c r="F8828" s="64" t="s">
        <v>15</v>
      </c>
      <c r="G8828" s="64" t="s">
        <v>3035</v>
      </c>
      <c r="H8828" s="64" t="s">
        <v>3022</v>
      </c>
      <c r="I8828" s="64" t="s">
        <v>3102</v>
      </c>
      <c r="J8828" s="67">
        <v>0</v>
      </c>
      <c r="K8828" s="62">
        <v>548</v>
      </c>
      <c r="L8828" s="33" t="e">
        <f>HLOOKUP(B8828,#REF!,1,0)</f>
        <v>#REF!</v>
      </c>
      <c r="M8828" s="33" t="str">
        <f t="shared" si="551"/>
        <v>P&amp;L</v>
      </c>
    </row>
    <row r="8829" spans="1:13">
      <c r="A8829" s="33" t="str">
        <f t="shared" si="548"/>
        <v>SCL - Operating Expense</v>
      </c>
      <c r="B8829" s="33" t="str">
        <f t="shared" si="549"/>
        <v>SCL</v>
      </c>
      <c r="C8829" s="33" t="str">
        <f t="shared" si="550"/>
        <v>62501-7393</v>
      </c>
      <c r="D8829" s="64" t="s">
        <v>10078</v>
      </c>
      <c r="E8829" s="64" t="s">
        <v>3101</v>
      </c>
      <c r="F8829" s="64" t="s">
        <v>15</v>
      </c>
      <c r="G8829" s="64" t="s">
        <v>3035</v>
      </c>
      <c r="H8829" s="64" t="s">
        <v>3022</v>
      </c>
      <c r="I8829" s="64" t="s">
        <v>3102</v>
      </c>
      <c r="J8829" s="67">
        <v>0</v>
      </c>
      <c r="K8829" s="62">
        <v>1433</v>
      </c>
      <c r="L8829" s="33" t="e">
        <f>HLOOKUP(B8829,#REF!,1,0)</f>
        <v>#REF!</v>
      </c>
      <c r="M8829" s="33" t="str">
        <f t="shared" si="551"/>
        <v>P&amp;L</v>
      </c>
    </row>
    <row r="8830" spans="1:13">
      <c r="A8830" s="33" t="str">
        <f t="shared" si="548"/>
        <v>SCL - Operating Expense</v>
      </c>
      <c r="B8830" s="33" t="str">
        <f t="shared" si="549"/>
        <v>SCL</v>
      </c>
      <c r="C8830" s="33" t="str">
        <f t="shared" si="550"/>
        <v>62501-7394</v>
      </c>
      <c r="D8830" s="64" t="s">
        <v>10079</v>
      </c>
      <c r="E8830" s="64" t="s">
        <v>3101</v>
      </c>
      <c r="F8830" s="64" t="s">
        <v>15</v>
      </c>
      <c r="G8830" s="64" t="s">
        <v>3035</v>
      </c>
      <c r="H8830" s="64" t="s">
        <v>3022</v>
      </c>
      <c r="I8830" s="64" t="s">
        <v>3102</v>
      </c>
      <c r="J8830" s="67">
        <v>0</v>
      </c>
      <c r="K8830" s="62">
        <v>1845</v>
      </c>
      <c r="L8830" s="33" t="e">
        <f>HLOOKUP(B8830,#REF!,1,0)</f>
        <v>#REF!</v>
      </c>
      <c r="M8830" s="33" t="str">
        <f t="shared" si="551"/>
        <v>P&amp;L</v>
      </c>
    </row>
    <row r="8831" spans="1:13">
      <c r="A8831" s="33" t="str">
        <f t="shared" si="548"/>
        <v>SCL - Operating Expense</v>
      </c>
      <c r="B8831" s="33" t="str">
        <f t="shared" si="549"/>
        <v>SCL</v>
      </c>
      <c r="C8831" s="33" t="str">
        <f t="shared" si="550"/>
        <v>62501-7396</v>
      </c>
      <c r="D8831" s="64" t="s">
        <v>10080</v>
      </c>
      <c r="E8831" s="64" t="s">
        <v>3101</v>
      </c>
      <c r="F8831" s="64" t="s">
        <v>15</v>
      </c>
      <c r="G8831" s="64" t="s">
        <v>3035</v>
      </c>
      <c r="H8831" s="64" t="s">
        <v>3022</v>
      </c>
      <c r="I8831" s="64" t="s">
        <v>3102</v>
      </c>
      <c r="J8831" s="67">
        <v>0</v>
      </c>
      <c r="K8831" s="62">
        <v>3380</v>
      </c>
      <c r="L8831" s="33" t="e">
        <f>HLOOKUP(B8831,#REF!,1,0)</f>
        <v>#REF!</v>
      </c>
      <c r="M8831" s="33" t="str">
        <f t="shared" si="551"/>
        <v>P&amp;L</v>
      </c>
    </row>
    <row r="8832" spans="1:13">
      <c r="A8832" s="33" t="str">
        <f t="shared" si="548"/>
        <v>SCL - Operating Expense</v>
      </c>
      <c r="B8832" s="33" t="str">
        <f t="shared" si="549"/>
        <v>SCL</v>
      </c>
      <c r="C8832" s="33" t="str">
        <f t="shared" si="550"/>
        <v>62501-7397</v>
      </c>
      <c r="D8832" s="64" t="s">
        <v>10081</v>
      </c>
      <c r="E8832" s="64" t="s">
        <v>3101</v>
      </c>
      <c r="F8832" s="64" t="s">
        <v>15</v>
      </c>
      <c r="G8832" s="64" t="s">
        <v>3035</v>
      </c>
      <c r="H8832" s="64" t="s">
        <v>3022</v>
      </c>
      <c r="I8832" s="64" t="s">
        <v>3102</v>
      </c>
      <c r="J8832" s="67">
        <v>6090</v>
      </c>
      <c r="K8832" s="62">
        <v>7299</v>
      </c>
      <c r="L8832" s="33" t="e">
        <f>HLOOKUP(B8832,#REF!,1,0)</f>
        <v>#REF!</v>
      </c>
      <c r="M8832" s="33" t="str">
        <f t="shared" si="551"/>
        <v>P&amp;L</v>
      </c>
    </row>
    <row r="8833" spans="1:13">
      <c r="A8833" s="33" t="str">
        <f t="shared" si="548"/>
        <v>SCL - Operating Expense</v>
      </c>
      <c r="B8833" s="33" t="str">
        <f t="shared" si="549"/>
        <v>SCL</v>
      </c>
      <c r="C8833" s="33" t="str">
        <f t="shared" si="550"/>
        <v>62501-7398</v>
      </c>
      <c r="D8833" s="64" t="s">
        <v>10082</v>
      </c>
      <c r="E8833" s="64" t="s">
        <v>3101</v>
      </c>
      <c r="F8833" s="64" t="s">
        <v>15</v>
      </c>
      <c r="G8833" s="64" t="s">
        <v>3035</v>
      </c>
      <c r="H8833" s="64" t="s">
        <v>3022</v>
      </c>
      <c r="I8833" s="64" t="s">
        <v>3102</v>
      </c>
      <c r="J8833" s="67">
        <v>0</v>
      </c>
      <c r="K8833" s="62">
        <v>2661</v>
      </c>
      <c r="L8833" s="33" t="e">
        <f>HLOOKUP(B8833,#REF!,1,0)</f>
        <v>#REF!</v>
      </c>
      <c r="M8833" s="33" t="str">
        <f t="shared" si="551"/>
        <v>P&amp;L</v>
      </c>
    </row>
    <row r="8834" spans="1:13">
      <c r="A8834" s="33" t="str">
        <f t="shared" ref="A8834:A8897" si="552">B8834&amp;" - "&amp;TRIM(H8834)</f>
        <v>SCL - Operating Expense</v>
      </c>
      <c r="B8834" s="33" t="str">
        <f t="shared" ref="B8834:B8897" si="553">LEFT(D8834,3)</f>
        <v>SCL</v>
      </c>
      <c r="C8834" s="33" t="str">
        <f t="shared" ref="C8834:C8897" si="554">RIGHT(D8834,10)</f>
        <v>62501-7400</v>
      </c>
      <c r="D8834" s="64" t="s">
        <v>10083</v>
      </c>
      <c r="E8834" s="64" t="s">
        <v>3101</v>
      </c>
      <c r="F8834" s="64" t="s">
        <v>15</v>
      </c>
      <c r="G8834" s="64" t="s">
        <v>3035</v>
      </c>
      <c r="H8834" s="64" t="s">
        <v>3022</v>
      </c>
      <c r="I8834" s="64" t="s">
        <v>3102</v>
      </c>
      <c r="J8834" s="67">
        <v>0</v>
      </c>
      <c r="K8834" s="62">
        <v>4860</v>
      </c>
      <c r="L8834" s="33" t="e">
        <f>HLOOKUP(B8834,#REF!,1,0)</f>
        <v>#REF!</v>
      </c>
      <c r="M8834" s="33" t="str">
        <f t="shared" ref="M8834:M8897" si="555">IF(VALUE(LEFT(C8834,5))&gt;40000,"P&amp;L","BS")</f>
        <v>P&amp;L</v>
      </c>
    </row>
    <row r="8835" spans="1:13">
      <c r="A8835" s="33" t="str">
        <f t="shared" si="552"/>
        <v>SCL - Operating Expense</v>
      </c>
      <c r="B8835" s="33" t="str">
        <f t="shared" si="553"/>
        <v>SCL</v>
      </c>
      <c r="C8835" s="33" t="str">
        <f t="shared" si="554"/>
        <v>62501-7401</v>
      </c>
      <c r="D8835" s="64" t="s">
        <v>10084</v>
      </c>
      <c r="E8835" s="64" t="s">
        <v>3101</v>
      </c>
      <c r="F8835" s="64" t="s">
        <v>15</v>
      </c>
      <c r="G8835" s="64" t="s">
        <v>3035</v>
      </c>
      <c r="H8835" s="64" t="s">
        <v>3022</v>
      </c>
      <c r="I8835" s="64" t="s">
        <v>3102</v>
      </c>
      <c r="J8835" s="67">
        <v>0</v>
      </c>
      <c r="K8835" s="62">
        <v>754.49</v>
      </c>
      <c r="L8835" s="33" t="e">
        <f>HLOOKUP(B8835,#REF!,1,0)</f>
        <v>#REF!</v>
      </c>
      <c r="M8835" s="33" t="str">
        <f t="shared" si="555"/>
        <v>P&amp;L</v>
      </c>
    </row>
    <row r="8836" spans="1:13">
      <c r="A8836" s="33" t="str">
        <f t="shared" si="552"/>
        <v>SCL - Operating Expense</v>
      </c>
      <c r="B8836" s="33" t="str">
        <f t="shared" si="553"/>
        <v>SCL</v>
      </c>
      <c r="C8836" s="33" t="str">
        <f t="shared" si="554"/>
        <v>62501-7402</v>
      </c>
      <c r="D8836" s="64" t="s">
        <v>10085</v>
      </c>
      <c r="E8836" s="64" t="s">
        <v>3101</v>
      </c>
      <c r="F8836" s="64" t="s">
        <v>15</v>
      </c>
      <c r="G8836" s="64" t="s">
        <v>3035</v>
      </c>
      <c r="H8836" s="64" t="s">
        <v>3022</v>
      </c>
      <c r="I8836" s="64" t="s">
        <v>3102</v>
      </c>
      <c r="J8836" s="67">
        <v>0</v>
      </c>
      <c r="K8836" s="62">
        <v>4005</v>
      </c>
      <c r="L8836" s="33" t="e">
        <f>HLOOKUP(B8836,#REF!,1,0)</f>
        <v>#REF!</v>
      </c>
      <c r="M8836" s="33" t="str">
        <f t="shared" si="555"/>
        <v>P&amp;L</v>
      </c>
    </row>
    <row r="8837" spans="1:13">
      <c r="A8837" s="33" t="str">
        <f t="shared" si="552"/>
        <v>SCL - Operating Expense</v>
      </c>
      <c r="B8837" s="33" t="str">
        <f t="shared" si="553"/>
        <v>SCL</v>
      </c>
      <c r="C8837" s="33" t="str">
        <f t="shared" si="554"/>
        <v>62501-7489</v>
      </c>
      <c r="D8837" s="64" t="s">
        <v>10086</v>
      </c>
      <c r="E8837" s="64" t="s">
        <v>3101</v>
      </c>
      <c r="F8837" s="64" t="s">
        <v>15</v>
      </c>
      <c r="G8837" s="64" t="s">
        <v>3035</v>
      </c>
      <c r="H8837" s="64" t="s">
        <v>3022</v>
      </c>
      <c r="I8837" s="64" t="s">
        <v>3102</v>
      </c>
      <c r="J8837" s="67">
        <v>0</v>
      </c>
      <c r="K8837" s="62">
        <v>2361</v>
      </c>
      <c r="L8837" s="33" t="e">
        <f>HLOOKUP(B8837,#REF!,1,0)</f>
        <v>#REF!</v>
      </c>
      <c r="M8837" s="33" t="str">
        <f t="shared" si="555"/>
        <v>P&amp;L</v>
      </c>
    </row>
    <row r="8838" spans="1:13">
      <c r="A8838" s="33" t="str">
        <f t="shared" si="552"/>
        <v>SCL - Operating Expense</v>
      </c>
      <c r="B8838" s="33" t="str">
        <f t="shared" si="553"/>
        <v>SCL</v>
      </c>
      <c r="C8838" s="33" t="str">
        <f t="shared" si="554"/>
        <v>62501-7491</v>
      </c>
      <c r="D8838" s="64" t="s">
        <v>10087</v>
      </c>
      <c r="E8838" s="64" t="s">
        <v>3101</v>
      </c>
      <c r="F8838" s="64" t="s">
        <v>15</v>
      </c>
      <c r="G8838" s="64" t="s">
        <v>3035</v>
      </c>
      <c r="H8838" s="64" t="s">
        <v>3022</v>
      </c>
      <c r="I8838" s="64" t="s">
        <v>3102</v>
      </c>
      <c r="J8838" s="67">
        <v>0</v>
      </c>
      <c r="K8838" s="62">
        <v>318</v>
      </c>
      <c r="L8838" s="33" t="e">
        <f>HLOOKUP(B8838,#REF!,1,0)</f>
        <v>#REF!</v>
      </c>
      <c r="M8838" s="33" t="str">
        <f t="shared" si="555"/>
        <v>P&amp;L</v>
      </c>
    </row>
    <row r="8839" spans="1:13">
      <c r="A8839" s="33" t="str">
        <f t="shared" si="552"/>
        <v>SCL - Operating Expense</v>
      </c>
      <c r="B8839" s="33" t="str">
        <f t="shared" si="553"/>
        <v>SCL</v>
      </c>
      <c r="C8839" s="33" t="str">
        <f t="shared" si="554"/>
        <v>62501-7492</v>
      </c>
      <c r="D8839" s="64" t="s">
        <v>10088</v>
      </c>
      <c r="E8839" s="64" t="s">
        <v>3101</v>
      </c>
      <c r="F8839" s="64" t="s">
        <v>15</v>
      </c>
      <c r="G8839" s="64" t="s">
        <v>3035</v>
      </c>
      <c r="H8839" s="64" t="s">
        <v>3022</v>
      </c>
      <c r="I8839" s="64" t="s">
        <v>3102</v>
      </c>
      <c r="J8839" s="67">
        <v>0</v>
      </c>
      <c r="K8839" s="62">
        <v>359</v>
      </c>
      <c r="L8839" s="33" t="e">
        <f>HLOOKUP(B8839,#REF!,1,0)</f>
        <v>#REF!</v>
      </c>
      <c r="M8839" s="33" t="str">
        <f t="shared" si="555"/>
        <v>P&amp;L</v>
      </c>
    </row>
    <row r="8840" spans="1:13">
      <c r="A8840" s="33" t="str">
        <f t="shared" si="552"/>
        <v>SCL - Operating Expense</v>
      </c>
      <c r="B8840" s="33" t="str">
        <f t="shared" si="553"/>
        <v>SCL</v>
      </c>
      <c r="C8840" s="33" t="str">
        <f t="shared" si="554"/>
        <v>62501-7493</v>
      </c>
      <c r="D8840" s="64" t="s">
        <v>10089</v>
      </c>
      <c r="E8840" s="64" t="s">
        <v>3101</v>
      </c>
      <c r="F8840" s="64" t="s">
        <v>15</v>
      </c>
      <c r="G8840" s="64" t="s">
        <v>3035</v>
      </c>
      <c r="H8840" s="64" t="s">
        <v>3022</v>
      </c>
      <c r="I8840" s="64" t="s">
        <v>3102</v>
      </c>
      <c r="J8840" s="67">
        <v>0</v>
      </c>
      <c r="K8840" s="62">
        <v>2295</v>
      </c>
      <c r="L8840" s="33" t="e">
        <f>HLOOKUP(B8840,#REF!,1,0)</f>
        <v>#REF!</v>
      </c>
      <c r="M8840" s="33" t="str">
        <f t="shared" si="555"/>
        <v>P&amp;L</v>
      </c>
    </row>
    <row r="8841" spans="1:13">
      <c r="A8841" s="33" t="str">
        <f t="shared" si="552"/>
        <v>SCL - Operating Expense</v>
      </c>
      <c r="B8841" s="33" t="str">
        <f t="shared" si="553"/>
        <v>SCL</v>
      </c>
      <c r="C8841" s="33" t="str">
        <f t="shared" si="554"/>
        <v>62501-7494</v>
      </c>
      <c r="D8841" s="64" t="s">
        <v>10090</v>
      </c>
      <c r="E8841" s="64" t="s">
        <v>3101</v>
      </c>
      <c r="F8841" s="64" t="s">
        <v>15</v>
      </c>
      <c r="G8841" s="64" t="s">
        <v>3035</v>
      </c>
      <c r="H8841" s="64" t="s">
        <v>3022</v>
      </c>
      <c r="I8841" s="64" t="s">
        <v>3102</v>
      </c>
      <c r="J8841" s="67">
        <v>0</v>
      </c>
      <c r="K8841" s="62">
        <v>350</v>
      </c>
      <c r="L8841" s="33" t="e">
        <f>HLOOKUP(B8841,#REF!,1,0)</f>
        <v>#REF!</v>
      </c>
      <c r="M8841" s="33" t="str">
        <f t="shared" si="555"/>
        <v>P&amp;L</v>
      </c>
    </row>
    <row r="8842" spans="1:13">
      <c r="A8842" s="33" t="str">
        <f t="shared" si="552"/>
        <v>SCL - Operating Expense</v>
      </c>
      <c r="B8842" s="33" t="str">
        <f t="shared" si="553"/>
        <v>SCL</v>
      </c>
      <c r="C8842" s="33" t="str">
        <f t="shared" si="554"/>
        <v>62501-7625</v>
      </c>
      <c r="D8842" s="64" t="s">
        <v>10091</v>
      </c>
      <c r="E8842" s="64" t="s">
        <v>3101</v>
      </c>
      <c r="F8842" s="64" t="s">
        <v>15</v>
      </c>
      <c r="G8842" s="64" t="s">
        <v>3035</v>
      </c>
      <c r="H8842" s="64" t="s">
        <v>3022</v>
      </c>
      <c r="I8842" s="64" t="s">
        <v>3102</v>
      </c>
      <c r="J8842" s="67">
        <v>0</v>
      </c>
      <c r="K8842" s="62">
        <v>3255</v>
      </c>
      <c r="L8842" s="33" t="e">
        <f>HLOOKUP(B8842,#REF!,1,0)</f>
        <v>#REF!</v>
      </c>
      <c r="M8842" s="33" t="str">
        <f t="shared" si="555"/>
        <v>P&amp;L</v>
      </c>
    </row>
    <row r="8843" spans="1:13">
      <c r="A8843" s="33" t="str">
        <f t="shared" si="552"/>
        <v>SCL - Operating Expense</v>
      </c>
      <c r="B8843" s="33" t="str">
        <f t="shared" si="553"/>
        <v>SCL</v>
      </c>
      <c r="C8843" s="33" t="str">
        <f t="shared" si="554"/>
        <v>62501-8150</v>
      </c>
      <c r="D8843" s="64" t="s">
        <v>10092</v>
      </c>
      <c r="E8843" s="64" t="s">
        <v>3101</v>
      </c>
      <c r="F8843" s="64" t="s">
        <v>15</v>
      </c>
      <c r="G8843" s="64" t="s">
        <v>3035</v>
      </c>
      <c r="H8843" s="64" t="s">
        <v>3022</v>
      </c>
      <c r="I8843" s="64" t="s">
        <v>3102</v>
      </c>
      <c r="J8843" s="67">
        <v>1645</v>
      </c>
      <c r="K8843" s="62">
        <v>3090</v>
      </c>
      <c r="L8843" s="33" t="e">
        <f>HLOOKUP(B8843,#REF!,1,0)</f>
        <v>#REF!</v>
      </c>
      <c r="M8843" s="33" t="str">
        <f t="shared" si="555"/>
        <v>P&amp;L</v>
      </c>
    </row>
    <row r="8844" spans="1:13">
      <c r="A8844" s="33" t="str">
        <f t="shared" si="552"/>
        <v>SCL - Operating Expense</v>
      </c>
      <c r="B8844" s="33" t="str">
        <f t="shared" si="553"/>
        <v>SCL</v>
      </c>
      <c r="C8844" s="33" t="str">
        <f t="shared" si="554"/>
        <v>62502-7351</v>
      </c>
      <c r="D8844" s="64" t="s">
        <v>10093</v>
      </c>
      <c r="E8844" s="64" t="s">
        <v>3106</v>
      </c>
      <c r="F8844" s="64" t="s">
        <v>15</v>
      </c>
      <c r="G8844" s="64" t="s">
        <v>3035</v>
      </c>
      <c r="H8844" s="64" t="s">
        <v>3022</v>
      </c>
      <c r="I8844" s="64" t="s">
        <v>3036</v>
      </c>
      <c r="J8844" s="67">
        <v>0</v>
      </c>
      <c r="K8844" s="62">
        <v>791.63</v>
      </c>
      <c r="L8844" s="33" t="e">
        <f>HLOOKUP(B8844,#REF!,1,0)</f>
        <v>#REF!</v>
      </c>
      <c r="M8844" s="33" t="str">
        <f t="shared" si="555"/>
        <v>P&amp;L</v>
      </c>
    </row>
    <row r="8845" spans="1:13">
      <c r="A8845" s="33" t="str">
        <f t="shared" si="552"/>
        <v>SCL - Operating Expense</v>
      </c>
      <c r="B8845" s="33" t="str">
        <f t="shared" si="553"/>
        <v>SCL</v>
      </c>
      <c r="C8845" s="33" t="str">
        <f t="shared" si="554"/>
        <v>62502-7355</v>
      </c>
      <c r="D8845" s="64" t="s">
        <v>10094</v>
      </c>
      <c r="E8845" s="64" t="s">
        <v>3106</v>
      </c>
      <c r="F8845" s="64" t="s">
        <v>15</v>
      </c>
      <c r="G8845" s="64" t="s">
        <v>3035</v>
      </c>
      <c r="H8845" s="64" t="s">
        <v>3022</v>
      </c>
      <c r="I8845" s="64" t="s">
        <v>3036</v>
      </c>
      <c r="J8845" s="67">
        <v>0</v>
      </c>
      <c r="K8845" s="62">
        <v>704.1</v>
      </c>
      <c r="L8845" s="33" t="e">
        <f>HLOOKUP(B8845,#REF!,1,0)</f>
        <v>#REF!</v>
      </c>
      <c r="M8845" s="33" t="str">
        <f t="shared" si="555"/>
        <v>P&amp;L</v>
      </c>
    </row>
    <row r="8846" spans="1:13">
      <c r="A8846" s="33" t="str">
        <f t="shared" si="552"/>
        <v>SCL - Operating Expense</v>
      </c>
      <c r="B8846" s="33" t="str">
        <f t="shared" si="553"/>
        <v>SCL</v>
      </c>
      <c r="C8846" s="33" t="str">
        <f t="shared" si="554"/>
        <v>62502-7359</v>
      </c>
      <c r="D8846" s="64" t="s">
        <v>10095</v>
      </c>
      <c r="E8846" s="64" t="s">
        <v>3106</v>
      </c>
      <c r="F8846" s="64" t="s">
        <v>15</v>
      </c>
      <c r="G8846" s="64" t="s">
        <v>3035</v>
      </c>
      <c r="H8846" s="64" t="s">
        <v>3022</v>
      </c>
      <c r="I8846" s="64" t="s">
        <v>3036</v>
      </c>
      <c r="J8846" s="67">
        <v>0</v>
      </c>
      <c r="K8846" s="62">
        <v>7318.86</v>
      </c>
      <c r="L8846" s="33" t="e">
        <f>HLOOKUP(B8846,#REF!,1,0)</f>
        <v>#REF!</v>
      </c>
      <c r="M8846" s="33" t="str">
        <f t="shared" si="555"/>
        <v>P&amp;L</v>
      </c>
    </row>
    <row r="8847" spans="1:13">
      <c r="A8847" s="33" t="str">
        <f t="shared" si="552"/>
        <v>SCL - Operating Expense</v>
      </c>
      <c r="B8847" s="33" t="str">
        <f t="shared" si="553"/>
        <v>SCL</v>
      </c>
      <c r="C8847" s="33" t="str">
        <f t="shared" si="554"/>
        <v>62502-7366</v>
      </c>
      <c r="D8847" s="64" t="s">
        <v>10096</v>
      </c>
      <c r="E8847" s="64" t="s">
        <v>3106</v>
      </c>
      <c r="F8847" s="64" t="s">
        <v>15</v>
      </c>
      <c r="G8847" s="64" t="s">
        <v>3035</v>
      </c>
      <c r="H8847" s="64" t="s">
        <v>3022</v>
      </c>
      <c r="I8847" s="64" t="s">
        <v>3036</v>
      </c>
      <c r="J8847" s="67">
        <v>0</v>
      </c>
      <c r="K8847" s="62">
        <v>370.85</v>
      </c>
      <c r="L8847" s="33" t="e">
        <f>HLOOKUP(B8847,#REF!,1,0)</f>
        <v>#REF!</v>
      </c>
      <c r="M8847" s="33" t="str">
        <f t="shared" si="555"/>
        <v>P&amp;L</v>
      </c>
    </row>
    <row r="8848" spans="1:13">
      <c r="A8848" s="33" t="str">
        <f t="shared" si="552"/>
        <v>SCL - Operating Expense</v>
      </c>
      <c r="B8848" s="33" t="str">
        <f t="shared" si="553"/>
        <v>SCL</v>
      </c>
      <c r="C8848" s="33" t="str">
        <f t="shared" si="554"/>
        <v>62502-7368</v>
      </c>
      <c r="D8848" s="64" t="s">
        <v>10097</v>
      </c>
      <c r="E8848" s="64" t="s">
        <v>3106</v>
      </c>
      <c r="F8848" s="64" t="s">
        <v>15</v>
      </c>
      <c r="G8848" s="64" t="s">
        <v>3035</v>
      </c>
      <c r="H8848" s="64" t="s">
        <v>3022</v>
      </c>
      <c r="I8848" s="64" t="s">
        <v>3036</v>
      </c>
      <c r="J8848" s="67">
        <v>0</v>
      </c>
      <c r="K8848" s="62">
        <v>375</v>
      </c>
      <c r="L8848" s="33" t="e">
        <f>HLOOKUP(B8848,#REF!,1,0)</f>
        <v>#REF!</v>
      </c>
      <c r="M8848" s="33" t="str">
        <f t="shared" si="555"/>
        <v>P&amp;L</v>
      </c>
    </row>
    <row r="8849" spans="1:13">
      <c r="A8849" s="33" t="str">
        <f t="shared" si="552"/>
        <v>SCL - Operating Expense</v>
      </c>
      <c r="B8849" s="33" t="str">
        <f t="shared" si="553"/>
        <v>SCL</v>
      </c>
      <c r="C8849" s="33" t="str">
        <f t="shared" si="554"/>
        <v>62502-7376</v>
      </c>
      <c r="D8849" s="64" t="s">
        <v>10098</v>
      </c>
      <c r="E8849" s="64" t="s">
        <v>3106</v>
      </c>
      <c r="F8849" s="64" t="s">
        <v>15</v>
      </c>
      <c r="G8849" s="64" t="s">
        <v>3035</v>
      </c>
      <c r="H8849" s="64" t="s">
        <v>3022</v>
      </c>
      <c r="I8849" s="64" t="s">
        <v>3036</v>
      </c>
      <c r="J8849" s="67">
        <v>0</v>
      </c>
      <c r="K8849" s="62">
        <v>195</v>
      </c>
      <c r="L8849" s="33" t="e">
        <f>HLOOKUP(B8849,#REF!,1,0)</f>
        <v>#REF!</v>
      </c>
      <c r="M8849" s="33" t="str">
        <f t="shared" si="555"/>
        <v>P&amp;L</v>
      </c>
    </row>
    <row r="8850" spans="1:13">
      <c r="A8850" s="33" t="str">
        <f t="shared" si="552"/>
        <v>SCL - Operating Expense</v>
      </c>
      <c r="B8850" s="33" t="str">
        <f t="shared" si="553"/>
        <v>SCL</v>
      </c>
      <c r="C8850" s="33" t="str">
        <f t="shared" si="554"/>
        <v>62502-7378</v>
      </c>
      <c r="D8850" s="64" t="s">
        <v>10099</v>
      </c>
      <c r="E8850" s="64" t="s">
        <v>3106</v>
      </c>
      <c r="F8850" s="64" t="s">
        <v>15</v>
      </c>
      <c r="G8850" s="64" t="s">
        <v>3035</v>
      </c>
      <c r="H8850" s="64" t="s">
        <v>3022</v>
      </c>
      <c r="I8850" s="64" t="s">
        <v>3036</v>
      </c>
      <c r="J8850" s="67">
        <v>0</v>
      </c>
      <c r="K8850" s="62">
        <v>2359.18</v>
      </c>
      <c r="L8850" s="33" t="e">
        <f>HLOOKUP(B8850,#REF!,1,0)</f>
        <v>#REF!</v>
      </c>
      <c r="M8850" s="33" t="str">
        <f t="shared" si="555"/>
        <v>P&amp;L</v>
      </c>
    </row>
    <row r="8851" spans="1:13">
      <c r="A8851" s="33" t="str">
        <f t="shared" si="552"/>
        <v>SCL - Operating Expense</v>
      </c>
      <c r="B8851" s="33" t="str">
        <f t="shared" si="553"/>
        <v>SCL</v>
      </c>
      <c r="C8851" s="33" t="str">
        <f t="shared" si="554"/>
        <v>62502-7383</v>
      </c>
      <c r="D8851" s="64" t="s">
        <v>10100</v>
      </c>
      <c r="E8851" s="64" t="s">
        <v>3106</v>
      </c>
      <c r="F8851" s="64" t="s">
        <v>15</v>
      </c>
      <c r="G8851" s="64" t="s">
        <v>3035</v>
      </c>
      <c r="H8851" s="64" t="s">
        <v>3022</v>
      </c>
      <c r="I8851" s="64" t="s">
        <v>3036</v>
      </c>
      <c r="J8851" s="67">
        <v>0</v>
      </c>
      <c r="K8851" s="62">
        <v>0</v>
      </c>
      <c r="L8851" s="33" t="e">
        <f>HLOOKUP(B8851,#REF!,1,0)</f>
        <v>#REF!</v>
      </c>
      <c r="M8851" s="33" t="str">
        <f t="shared" si="555"/>
        <v>P&amp;L</v>
      </c>
    </row>
    <row r="8852" spans="1:13">
      <c r="A8852" s="33" t="str">
        <f t="shared" si="552"/>
        <v>SCL - Operating Expense</v>
      </c>
      <c r="B8852" s="33" t="str">
        <f t="shared" si="553"/>
        <v>SCL</v>
      </c>
      <c r="C8852" s="33" t="str">
        <f t="shared" si="554"/>
        <v>62502-7387</v>
      </c>
      <c r="D8852" s="64" t="s">
        <v>10101</v>
      </c>
      <c r="E8852" s="64" t="s">
        <v>3106</v>
      </c>
      <c r="F8852" s="64" t="s">
        <v>15</v>
      </c>
      <c r="G8852" s="64" t="s">
        <v>3035</v>
      </c>
      <c r="H8852" s="64" t="s">
        <v>3022</v>
      </c>
      <c r="I8852" s="64" t="s">
        <v>3036</v>
      </c>
      <c r="J8852" s="67">
        <v>0</v>
      </c>
      <c r="K8852" s="62">
        <v>1349.54</v>
      </c>
      <c r="L8852" s="33" t="e">
        <f>HLOOKUP(B8852,#REF!,1,0)</f>
        <v>#REF!</v>
      </c>
      <c r="M8852" s="33" t="str">
        <f t="shared" si="555"/>
        <v>P&amp;L</v>
      </c>
    </row>
    <row r="8853" spans="1:13">
      <c r="A8853" s="33" t="str">
        <f t="shared" si="552"/>
        <v>SCL - Operating Expense</v>
      </c>
      <c r="B8853" s="33" t="str">
        <f t="shared" si="553"/>
        <v>SCL</v>
      </c>
      <c r="C8853" s="33" t="str">
        <f t="shared" si="554"/>
        <v>62502-7389</v>
      </c>
      <c r="D8853" s="64" t="s">
        <v>10102</v>
      </c>
      <c r="E8853" s="64" t="s">
        <v>3106</v>
      </c>
      <c r="F8853" s="64" t="s">
        <v>15</v>
      </c>
      <c r="G8853" s="64" t="s">
        <v>3035</v>
      </c>
      <c r="H8853" s="64" t="s">
        <v>3022</v>
      </c>
      <c r="I8853" s="64" t="s">
        <v>3036</v>
      </c>
      <c r="J8853" s="67">
        <v>0</v>
      </c>
      <c r="K8853" s="62">
        <v>924.56</v>
      </c>
      <c r="L8853" s="33" t="e">
        <f>HLOOKUP(B8853,#REF!,1,0)</f>
        <v>#REF!</v>
      </c>
      <c r="M8853" s="33" t="str">
        <f t="shared" si="555"/>
        <v>P&amp;L</v>
      </c>
    </row>
    <row r="8854" spans="1:13">
      <c r="A8854" s="33" t="str">
        <f t="shared" si="552"/>
        <v>SCL - Operating Expense</v>
      </c>
      <c r="B8854" s="33" t="str">
        <f t="shared" si="553"/>
        <v>SCL</v>
      </c>
      <c r="C8854" s="33" t="str">
        <f t="shared" si="554"/>
        <v>62502-7393</v>
      </c>
      <c r="D8854" s="64" t="s">
        <v>10103</v>
      </c>
      <c r="E8854" s="64" t="s">
        <v>3106</v>
      </c>
      <c r="F8854" s="64" t="s">
        <v>15</v>
      </c>
      <c r="G8854" s="64" t="s">
        <v>3035</v>
      </c>
      <c r="H8854" s="64" t="s">
        <v>3022</v>
      </c>
      <c r="I8854" s="64" t="s">
        <v>3036</v>
      </c>
      <c r="J8854" s="67">
        <v>0</v>
      </c>
      <c r="K8854" s="62">
        <v>0</v>
      </c>
      <c r="L8854" s="33" t="e">
        <f>HLOOKUP(B8854,#REF!,1,0)</f>
        <v>#REF!</v>
      </c>
      <c r="M8854" s="33" t="str">
        <f t="shared" si="555"/>
        <v>P&amp;L</v>
      </c>
    </row>
    <row r="8855" spans="1:13">
      <c r="A8855" s="33" t="str">
        <f t="shared" si="552"/>
        <v>SCL - Operating Expense</v>
      </c>
      <c r="B8855" s="33" t="str">
        <f t="shared" si="553"/>
        <v>SCL</v>
      </c>
      <c r="C8855" s="33" t="str">
        <f t="shared" si="554"/>
        <v>62502-7400</v>
      </c>
      <c r="D8855" s="64" t="s">
        <v>10104</v>
      </c>
      <c r="E8855" s="64" t="s">
        <v>3106</v>
      </c>
      <c r="F8855" s="64" t="s">
        <v>15</v>
      </c>
      <c r="G8855" s="64" t="s">
        <v>3035</v>
      </c>
      <c r="H8855" s="64" t="s">
        <v>3022</v>
      </c>
      <c r="I8855" s="64" t="s">
        <v>3036</v>
      </c>
      <c r="J8855" s="67">
        <v>0</v>
      </c>
      <c r="K8855" s="62">
        <v>569.09</v>
      </c>
      <c r="L8855" s="33" t="e">
        <f>HLOOKUP(B8855,#REF!,1,0)</f>
        <v>#REF!</v>
      </c>
      <c r="M8855" s="33" t="str">
        <f t="shared" si="555"/>
        <v>P&amp;L</v>
      </c>
    </row>
    <row r="8856" spans="1:13">
      <c r="A8856" s="33" t="str">
        <f t="shared" si="552"/>
        <v>SCL - Operating Expense</v>
      </c>
      <c r="B8856" s="33" t="str">
        <f t="shared" si="553"/>
        <v>SCL</v>
      </c>
      <c r="C8856" s="33" t="str">
        <f t="shared" si="554"/>
        <v>62502-7402</v>
      </c>
      <c r="D8856" s="64" t="s">
        <v>10105</v>
      </c>
      <c r="E8856" s="64" t="s">
        <v>3106</v>
      </c>
      <c r="F8856" s="64" t="s">
        <v>15</v>
      </c>
      <c r="G8856" s="64" t="s">
        <v>3035</v>
      </c>
      <c r="H8856" s="64" t="s">
        <v>3022</v>
      </c>
      <c r="I8856" s="64" t="s">
        <v>3036</v>
      </c>
      <c r="J8856" s="67">
        <v>0</v>
      </c>
      <c r="K8856" s="62">
        <v>949.79</v>
      </c>
      <c r="L8856" s="33" t="e">
        <f>HLOOKUP(B8856,#REF!,1,0)</f>
        <v>#REF!</v>
      </c>
      <c r="M8856" s="33" t="str">
        <f t="shared" si="555"/>
        <v>P&amp;L</v>
      </c>
    </row>
    <row r="8857" spans="1:13">
      <c r="A8857" s="33" t="str">
        <f t="shared" si="552"/>
        <v>SCL - Operating Expense</v>
      </c>
      <c r="B8857" s="33" t="str">
        <f t="shared" si="553"/>
        <v>SCL</v>
      </c>
      <c r="C8857" s="33" t="str">
        <f t="shared" si="554"/>
        <v>62502-7491</v>
      </c>
      <c r="D8857" s="64" t="s">
        <v>10106</v>
      </c>
      <c r="E8857" s="64" t="s">
        <v>3106</v>
      </c>
      <c r="F8857" s="64" t="s">
        <v>15</v>
      </c>
      <c r="G8857" s="64" t="s">
        <v>3035</v>
      </c>
      <c r="H8857" s="64" t="s">
        <v>3022</v>
      </c>
      <c r="I8857" s="64" t="s">
        <v>3036</v>
      </c>
      <c r="J8857" s="67">
        <v>0</v>
      </c>
      <c r="K8857" s="62">
        <v>0</v>
      </c>
      <c r="L8857" s="33" t="e">
        <f>HLOOKUP(B8857,#REF!,1,0)</f>
        <v>#REF!</v>
      </c>
      <c r="M8857" s="33" t="str">
        <f t="shared" si="555"/>
        <v>P&amp;L</v>
      </c>
    </row>
    <row r="8858" spans="1:13">
      <c r="A8858" s="33" t="str">
        <f t="shared" si="552"/>
        <v>SCL - Operating Expense</v>
      </c>
      <c r="B8858" s="33" t="str">
        <f t="shared" si="553"/>
        <v>SCL</v>
      </c>
      <c r="C8858" s="33" t="str">
        <f t="shared" si="554"/>
        <v>62502-8150</v>
      </c>
      <c r="D8858" s="64" t="s">
        <v>10107</v>
      </c>
      <c r="E8858" s="64" t="s">
        <v>3106</v>
      </c>
      <c r="F8858" s="64" t="s">
        <v>15</v>
      </c>
      <c r="G8858" s="64" t="s">
        <v>3035</v>
      </c>
      <c r="H8858" s="64" t="s">
        <v>3022</v>
      </c>
      <c r="I8858" s="64" t="s">
        <v>3036</v>
      </c>
      <c r="J8858" s="67">
        <v>0</v>
      </c>
      <c r="K8858" s="62">
        <v>375</v>
      </c>
      <c r="L8858" s="33" t="e">
        <f>HLOOKUP(B8858,#REF!,1,0)</f>
        <v>#REF!</v>
      </c>
      <c r="M8858" s="33" t="str">
        <f t="shared" si="555"/>
        <v>P&amp;L</v>
      </c>
    </row>
    <row r="8859" spans="1:13">
      <c r="A8859" s="33" t="str">
        <f t="shared" si="552"/>
        <v>SCL - Operating Expense</v>
      </c>
      <c r="B8859" s="33" t="str">
        <f t="shared" si="553"/>
        <v>SCL</v>
      </c>
      <c r="C8859" s="33" t="str">
        <f t="shared" si="554"/>
        <v>62504-7351</v>
      </c>
      <c r="D8859" s="64" t="s">
        <v>10108</v>
      </c>
      <c r="E8859" s="64" t="s">
        <v>10109</v>
      </c>
      <c r="F8859" s="64" t="s">
        <v>15</v>
      </c>
      <c r="G8859" s="64" t="s">
        <v>3035</v>
      </c>
      <c r="H8859" s="64" t="s">
        <v>3022</v>
      </c>
      <c r="I8859" s="64" t="s">
        <v>3102</v>
      </c>
      <c r="J8859" s="67">
        <v>145</v>
      </c>
      <c r="K8859" s="62">
        <v>725</v>
      </c>
      <c r="L8859" s="33" t="e">
        <f>HLOOKUP(B8859,#REF!,1,0)</f>
        <v>#REF!</v>
      </c>
      <c r="M8859" s="33" t="str">
        <f t="shared" si="555"/>
        <v>P&amp;L</v>
      </c>
    </row>
    <row r="8860" spans="1:13">
      <c r="A8860" s="33" t="str">
        <f t="shared" si="552"/>
        <v>SCL - Operating Expense</v>
      </c>
      <c r="B8860" s="33" t="str">
        <f t="shared" si="553"/>
        <v>SCL</v>
      </c>
      <c r="C8860" s="33" t="str">
        <f t="shared" si="554"/>
        <v>62504-7356</v>
      </c>
      <c r="D8860" s="64" t="s">
        <v>10110</v>
      </c>
      <c r="E8860" s="64" t="s">
        <v>10109</v>
      </c>
      <c r="F8860" s="64" t="s">
        <v>15</v>
      </c>
      <c r="G8860" s="64" t="s">
        <v>3035</v>
      </c>
      <c r="H8860" s="64" t="s">
        <v>3022</v>
      </c>
      <c r="I8860" s="64" t="s">
        <v>3102</v>
      </c>
      <c r="J8860" s="67">
        <v>0</v>
      </c>
      <c r="K8860" s="62">
        <v>145</v>
      </c>
      <c r="L8860" s="33" t="e">
        <f>HLOOKUP(B8860,#REF!,1,0)</f>
        <v>#REF!</v>
      </c>
      <c r="M8860" s="33" t="str">
        <f t="shared" si="555"/>
        <v>P&amp;L</v>
      </c>
    </row>
    <row r="8861" spans="1:13">
      <c r="A8861" s="33" t="str">
        <f t="shared" si="552"/>
        <v>SCL - Operating Expense</v>
      </c>
      <c r="B8861" s="33" t="str">
        <f t="shared" si="553"/>
        <v>SCL</v>
      </c>
      <c r="C8861" s="33" t="str">
        <f t="shared" si="554"/>
        <v>62504-7363</v>
      </c>
      <c r="D8861" s="64" t="s">
        <v>10111</v>
      </c>
      <c r="E8861" s="64" t="s">
        <v>10109</v>
      </c>
      <c r="F8861" s="64" t="s">
        <v>15</v>
      </c>
      <c r="G8861" s="64" t="s">
        <v>3035</v>
      </c>
      <c r="H8861" s="64" t="s">
        <v>3022</v>
      </c>
      <c r="I8861" s="64" t="s">
        <v>3102</v>
      </c>
      <c r="J8861" s="67">
        <v>0</v>
      </c>
      <c r="K8861" s="62">
        <v>725</v>
      </c>
      <c r="L8861" s="33" t="e">
        <f>HLOOKUP(B8861,#REF!,1,0)</f>
        <v>#REF!</v>
      </c>
      <c r="M8861" s="33" t="str">
        <f t="shared" si="555"/>
        <v>P&amp;L</v>
      </c>
    </row>
    <row r="8862" spans="1:13">
      <c r="A8862" s="33" t="str">
        <f t="shared" si="552"/>
        <v>SCL - Operating Expense</v>
      </c>
      <c r="B8862" s="33" t="str">
        <f t="shared" si="553"/>
        <v>SCL</v>
      </c>
      <c r="C8862" s="33" t="str">
        <f t="shared" si="554"/>
        <v>62504-7364</v>
      </c>
      <c r="D8862" s="64" t="s">
        <v>10112</v>
      </c>
      <c r="E8862" s="64" t="s">
        <v>10109</v>
      </c>
      <c r="F8862" s="64" t="s">
        <v>15</v>
      </c>
      <c r="G8862" s="64" t="s">
        <v>3035</v>
      </c>
      <c r="H8862" s="64" t="s">
        <v>3022</v>
      </c>
      <c r="I8862" s="64" t="s">
        <v>3102</v>
      </c>
      <c r="J8862" s="67">
        <v>145</v>
      </c>
      <c r="K8862" s="62">
        <v>725</v>
      </c>
      <c r="L8862" s="33" t="e">
        <f>HLOOKUP(B8862,#REF!,1,0)</f>
        <v>#REF!</v>
      </c>
      <c r="M8862" s="33" t="str">
        <f t="shared" si="555"/>
        <v>P&amp;L</v>
      </c>
    </row>
    <row r="8863" spans="1:13">
      <c r="A8863" s="33" t="str">
        <f t="shared" si="552"/>
        <v>SCL - Operating Expense</v>
      </c>
      <c r="B8863" s="33" t="str">
        <f t="shared" si="553"/>
        <v>SCL</v>
      </c>
      <c r="C8863" s="33" t="str">
        <f t="shared" si="554"/>
        <v>62504-7369</v>
      </c>
      <c r="D8863" s="64" t="s">
        <v>10113</v>
      </c>
      <c r="E8863" s="64" t="s">
        <v>10109</v>
      </c>
      <c r="F8863" s="64" t="s">
        <v>15</v>
      </c>
      <c r="G8863" s="64" t="s">
        <v>3035</v>
      </c>
      <c r="H8863" s="64" t="s">
        <v>3022</v>
      </c>
      <c r="I8863" s="64" t="s">
        <v>3102</v>
      </c>
      <c r="J8863" s="67">
        <v>0</v>
      </c>
      <c r="K8863" s="62">
        <v>580</v>
      </c>
      <c r="L8863" s="33" t="e">
        <f>HLOOKUP(B8863,#REF!,1,0)</f>
        <v>#REF!</v>
      </c>
      <c r="M8863" s="33" t="str">
        <f t="shared" si="555"/>
        <v>P&amp;L</v>
      </c>
    </row>
    <row r="8864" spans="1:13">
      <c r="A8864" s="33" t="str">
        <f t="shared" si="552"/>
        <v>SCL - Operating Expense</v>
      </c>
      <c r="B8864" s="33" t="str">
        <f t="shared" si="553"/>
        <v>SCL</v>
      </c>
      <c r="C8864" s="33" t="str">
        <f t="shared" si="554"/>
        <v>62504-7371</v>
      </c>
      <c r="D8864" s="64" t="s">
        <v>10114</v>
      </c>
      <c r="E8864" s="64" t="s">
        <v>10109</v>
      </c>
      <c r="F8864" s="64" t="s">
        <v>15</v>
      </c>
      <c r="G8864" s="64" t="s">
        <v>3035</v>
      </c>
      <c r="H8864" s="64" t="s">
        <v>3022</v>
      </c>
      <c r="I8864" s="64" t="s">
        <v>3102</v>
      </c>
      <c r="J8864" s="67">
        <v>0</v>
      </c>
      <c r="K8864" s="62">
        <v>725</v>
      </c>
      <c r="L8864" s="33" t="e">
        <f>HLOOKUP(B8864,#REF!,1,0)</f>
        <v>#REF!</v>
      </c>
      <c r="M8864" s="33" t="str">
        <f t="shared" si="555"/>
        <v>P&amp;L</v>
      </c>
    </row>
    <row r="8865" spans="1:13">
      <c r="A8865" s="33" t="str">
        <f t="shared" si="552"/>
        <v>SCL - Operating Expense</v>
      </c>
      <c r="B8865" s="33" t="str">
        <f t="shared" si="553"/>
        <v>SCL</v>
      </c>
      <c r="C8865" s="33" t="str">
        <f t="shared" si="554"/>
        <v>62504-7377</v>
      </c>
      <c r="D8865" s="64" t="s">
        <v>10115</v>
      </c>
      <c r="E8865" s="64" t="s">
        <v>10109</v>
      </c>
      <c r="F8865" s="64" t="s">
        <v>15</v>
      </c>
      <c r="G8865" s="64" t="s">
        <v>3035</v>
      </c>
      <c r="H8865" s="64" t="s">
        <v>3022</v>
      </c>
      <c r="I8865" s="64" t="s">
        <v>3102</v>
      </c>
      <c r="J8865" s="67">
        <v>0</v>
      </c>
      <c r="K8865" s="62">
        <v>725</v>
      </c>
      <c r="L8865" s="33" t="e">
        <f>HLOOKUP(B8865,#REF!,1,0)</f>
        <v>#REF!</v>
      </c>
      <c r="M8865" s="33" t="str">
        <f t="shared" si="555"/>
        <v>P&amp;L</v>
      </c>
    </row>
    <row r="8866" spans="1:13">
      <c r="A8866" s="33" t="str">
        <f t="shared" si="552"/>
        <v>SCL - Operating Expense</v>
      </c>
      <c r="B8866" s="33" t="str">
        <f t="shared" si="553"/>
        <v>SCL</v>
      </c>
      <c r="C8866" s="33" t="str">
        <f t="shared" si="554"/>
        <v>62504-7379</v>
      </c>
      <c r="D8866" s="64" t="s">
        <v>10116</v>
      </c>
      <c r="E8866" s="64" t="s">
        <v>10109</v>
      </c>
      <c r="F8866" s="64" t="s">
        <v>15</v>
      </c>
      <c r="G8866" s="64" t="s">
        <v>3035</v>
      </c>
      <c r="H8866" s="64" t="s">
        <v>3022</v>
      </c>
      <c r="I8866" s="64" t="s">
        <v>3102</v>
      </c>
      <c r="J8866" s="67">
        <v>145</v>
      </c>
      <c r="K8866" s="62">
        <v>725</v>
      </c>
      <c r="L8866" s="33" t="e">
        <f>HLOOKUP(B8866,#REF!,1,0)</f>
        <v>#REF!</v>
      </c>
      <c r="M8866" s="33" t="str">
        <f t="shared" si="555"/>
        <v>P&amp;L</v>
      </c>
    </row>
    <row r="8867" spans="1:13">
      <c r="A8867" s="33" t="str">
        <f t="shared" si="552"/>
        <v>SCL - Operating Expense</v>
      </c>
      <c r="B8867" s="33" t="str">
        <f t="shared" si="553"/>
        <v>SCL</v>
      </c>
      <c r="C8867" s="33" t="str">
        <f t="shared" si="554"/>
        <v>62504-7383</v>
      </c>
      <c r="D8867" s="64" t="s">
        <v>10117</v>
      </c>
      <c r="E8867" s="64" t="s">
        <v>10109</v>
      </c>
      <c r="F8867" s="64" t="s">
        <v>15</v>
      </c>
      <c r="G8867" s="64" t="s">
        <v>3035</v>
      </c>
      <c r="H8867" s="64" t="s">
        <v>3022</v>
      </c>
      <c r="I8867" s="64" t="s">
        <v>3102</v>
      </c>
      <c r="J8867" s="67">
        <v>145</v>
      </c>
      <c r="K8867" s="62">
        <v>725</v>
      </c>
      <c r="L8867" s="33" t="e">
        <f>HLOOKUP(B8867,#REF!,1,0)</f>
        <v>#REF!</v>
      </c>
      <c r="M8867" s="33" t="str">
        <f t="shared" si="555"/>
        <v>P&amp;L</v>
      </c>
    </row>
    <row r="8868" spans="1:13">
      <c r="A8868" s="33" t="str">
        <f t="shared" si="552"/>
        <v>SCL - Operating Expense</v>
      </c>
      <c r="B8868" s="33" t="str">
        <f t="shared" si="553"/>
        <v>SCL</v>
      </c>
      <c r="C8868" s="33" t="str">
        <f t="shared" si="554"/>
        <v>62504-7389</v>
      </c>
      <c r="D8868" s="64" t="s">
        <v>10118</v>
      </c>
      <c r="E8868" s="64" t="s">
        <v>10109</v>
      </c>
      <c r="F8868" s="64" t="s">
        <v>15</v>
      </c>
      <c r="G8868" s="64" t="s">
        <v>3035</v>
      </c>
      <c r="H8868" s="64" t="s">
        <v>3022</v>
      </c>
      <c r="I8868" s="64" t="s">
        <v>3102</v>
      </c>
      <c r="J8868" s="67">
        <v>145</v>
      </c>
      <c r="K8868" s="62">
        <v>725</v>
      </c>
      <c r="L8868" s="33" t="e">
        <f>HLOOKUP(B8868,#REF!,1,0)</f>
        <v>#REF!</v>
      </c>
      <c r="M8868" s="33" t="str">
        <f t="shared" si="555"/>
        <v>P&amp;L</v>
      </c>
    </row>
    <row r="8869" spans="1:13">
      <c r="A8869" s="33" t="str">
        <f t="shared" si="552"/>
        <v>SCL - Operating Expense</v>
      </c>
      <c r="B8869" s="33" t="str">
        <f t="shared" si="553"/>
        <v>SCL</v>
      </c>
      <c r="C8869" s="33" t="str">
        <f t="shared" si="554"/>
        <v>62504-7396</v>
      </c>
      <c r="D8869" s="64" t="s">
        <v>10119</v>
      </c>
      <c r="E8869" s="64" t="s">
        <v>10109</v>
      </c>
      <c r="F8869" s="64" t="s">
        <v>15</v>
      </c>
      <c r="G8869" s="64" t="s">
        <v>3035</v>
      </c>
      <c r="H8869" s="64" t="s">
        <v>3022</v>
      </c>
      <c r="I8869" s="64" t="s">
        <v>3102</v>
      </c>
      <c r="J8869" s="67">
        <v>0</v>
      </c>
      <c r="K8869" s="62">
        <v>725</v>
      </c>
      <c r="L8869" s="33" t="e">
        <f>HLOOKUP(B8869,#REF!,1,0)</f>
        <v>#REF!</v>
      </c>
      <c r="M8869" s="33" t="str">
        <f t="shared" si="555"/>
        <v>P&amp;L</v>
      </c>
    </row>
    <row r="8870" spans="1:13">
      <c r="A8870" s="33" t="str">
        <f t="shared" si="552"/>
        <v>SCL - Operating Expense</v>
      </c>
      <c r="B8870" s="33" t="str">
        <f t="shared" si="553"/>
        <v>SCL</v>
      </c>
      <c r="C8870" s="33" t="str">
        <f t="shared" si="554"/>
        <v>62504-7400</v>
      </c>
      <c r="D8870" s="64" t="s">
        <v>10120</v>
      </c>
      <c r="E8870" s="64" t="s">
        <v>10109</v>
      </c>
      <c r="F8870" s="64" t="s">
        <v>15</v>
      </c>
      <c r="G8870" s="64" t="s">
        <v>3035</v>
      </c>
      <c r="H8870" s="64" t="s">
        <v>3022</v>
      </c>
      <c r="I8870" s="64" t="s">
        <v>3102</v>
      </c>
      <c r="J8870" s="67">
        <v>145</v>
      </c>
      <c r="K8870" s="62">
        <v>725</v>
      </c>
      <c r="L8870" s="33" t="e">
        <f>HLOOKUP(B8870,#REF!,1,0)</f>
        <v>#REF!</v>
      </c>
      <c r="M8870" s="33" t="str">
        <f t="shared" si="555"/>
        <v>P&amp;L</v>
      </c>
    </row>
    <row r="8871" spans="1:13">
      <c r="A8871" s="33" t="str">
        <f t="shared" si="552"/>
        <v>SCL - Operating Expense</v>
      </c>
      <c r="B8871" s="33" t="str">
        <f t="shared" si="553"/>
        <v>SCL</v>
      </c>
      <c r="C8871" s="33" t="str">
        <f t="shared" si="554"/>
        <v>62504-7401</v>
      </c>
      <c r="D8871" s="64" t="s">
        <v>10121</v>
      </c>
      <c r="E8871" s="64" t="s">
        <v>10109</v>
      </c>
      <c r="F8871" s="64" t="s">
        <v>15</v>
      </c>
      <c r="G8871" s="64" t="s">
        <v>3035</v>
      </c>
      <c r="H8871" s="64" t="s">
        <v>3022</v>
      </c>
      <c r="I8871" s="64" t="s">
        <v>3102</v>
      </c>
      <c r="J8871" s="67">
        <v>145</v>
      </c>
      <c r="K8871" s="62">
        <v>725</v>
      </c>
      <c r="L8871" s="33" t="e">
        <f>HLOOKUP(B8871,#REF!,1,0)</f>
        <v>#REF!</v>
      </c>
      <c r="M8871" s="33" t="str">
        <f t="shared" si="555"/>
        <v>P&amp;L</v>
      </c>
    </row>
    <row r="8872" spans="1:13">
      <c r="A8872" s="33" t="str">
        <f t="shared" si="552"/>
        <v>SCL - Operating Expense</v>
      </c>
      <c r="B8872" s="33" t="str">
        <f t="shared" si="553"/>
        <v>SCL</v>
      </c>
      <c r="C8872" s="33" t="str">
        <f t="shared" si="554"/>
        <v>62504-7491</v>
      </c>
      <c r="D8872" s="64" t="s">
        <v>10122</v>
      </c>
      <c r="E8872" s="64" t="s">
        <v>10109</v>
      </c>
      <c r="F8872" s="64" t="s">
        <v>15</v>
      </c>
      <c r="G8872" s="64" t="s">
        <v>3035</v>
      </c>
      <c r="H8872" s="64" t="s">
        <v>3022</v>
      </c>
      <c r="I8872" s="64" t="s">
        <v>3102</v>
      </c>
      <c r="J8872" s="67">
        <v>0</v>
      </c>
      <c r="K8872" s="62">
        <v>725</v>
      </c>
      <c r="L8872" s="33" t="e">
        <f>HLOOKUP(B8872,#REF!,1,0)</f>
        <v>#REF!</v>
      </c>
      <c r="M8872" s="33" t="str">
        <f t="shared" si="555"/>
        <v>P&amp;L</v>
      </c>
    </row>
    <row r="8873" spans="1:13">
      <c r="A8873" s="33" t="str">
        <f t="shared" si="552"/>
        <v>SCL - Operating Expense</v>
      </c>
      <c r="B8873" s="33" t="str">
        <f t="shared" si="553"/>
        <v>SCL</v>
      </c>
      <c r="C8873" s="33" t="str">
        <f t="shared" si="554"/>
        <v>62504-7492</v>
      </c>
      <c r="D8873" s="64" t="s">
        <v>10123</v>
      </c>
      <c r="E8873" s="64" t="s">
        <v>10109</v>
      </c>
      <c r="F8873" s="64" t="s">
        <v>15</v>
      </c>
      <c r="G8873" s="64" t="s">
        <v>3035</v>
      </c>
      <c r="H8873" s="64" t="s">
        <v>3022</v>
      </c>
      <c r="I8873" s="64" t="s">
        <v>3102</v>
      </c>
      <c r="J8873" s="67">
        <v>0</v>
      </c>
      <c r="K8873" s="62">
        <v>725</v>
      </c>
      <c r="L8873" s="33" t="e">
        <f>HLOOKUP(B8873,#REF!,1,0)</f>
        <v>#REF!</v>
      </c>
      <c r="M8873" s="33" t="str">
        <f t="shared" si="555"/>
        <v>P&amp;L</v>
      </c>
    </row>
    <row r="8874" spans="1:13">
      <c r="A8874" s="33" t="str">
        <f t="shared" si="552"/>
        <v>SCL - Operating Expense</v>
      </c>
      <c r="B8874" s="33" t="str">
        <f t="shared" si="553"/>
        <v>SCL</v>
      </c>
      <c r="C8874" s="33" t="str">
        <f t="shared" si="554"/>
        <v>62510-7351</v>
      </c>
      <c r="D8874" s="64" t="s">
        <v>10124</v>
      </c>
      <c r="E8874" s="64" t="s">
        <v>3111</v>
      </c>
      <c r="F8874" s="64" t="s">
        <v>15</v>
      </c>
      <c r="G8874" s="64" t="s">
        <v>3035</v>
      </c>
      <c r="H8874" s="64" t="s">
        <v>3022</v>
      </c>
      <c r="I8874" s="64" t="s">
        <v>3102</v>
      </c>
      <c r="J8874" s="67">
        <v>85.03</v>
      </c>
      <c r="K8874" s="62">
        <v>802.86</v>
      </c>
      <c r="L8874" s="33" t="e">
        <f>HLOOKUP(B8874,#REF!,1,0)</f>
        <v>#REF!</v>
      </c>
      <c r="M8874" s="33" t="str">
        <f t="shared" si="555"/>
        <v>P&amp;L</v>
      </c>
    </row>
    <row r="8875" spans="1:13">
      <c r="A8875" s="33" t="str">
        <f t="shared" si="552"/>
        <v>SCL - Operating Expense</v>
      </c>
      <c r="B8875" s="33" t="str">
        <f t="shared" si="553"/>
        <v>SCL</v>
      </c>
      <c r="C8875" s="33" t="str">
        <f t="shared" si="554"/>
        <v>62510-7352</v>
      </c>
      <c r="D8875" s="64" t="s">
        <v>10125</v>
      </c>
      <c r="E8875" s="64" t="s">
        <v>3111</v>
      </c>
      <c r="F8875" s="64" t="s">
        <v>15</v>
      </c>
      <c r="G8875" s="64" t="s">
        <v>3035</v>
      </c>
      <c r="H8875" s="64" t="s">
        <v>3022</v>
      </c>
      <c r="I8875" s="64" t="s">
        <v>3102</v>
      </c>
      <c r="J8875" s="67">
        <v>75</v>
      </c>
      <c r="K8875" s="62">
        <v>708</v>
      </c>
      <c r="L8875" s="33" t="e">
        <f>HLOOKUP(B8875,#REF!,1,0)</f>
        <v>#REF!</v>
      </c>
      <c r="M8875" s="33" t="str">
        <f t="shared" si="555"/>
        <v>P&amp;L</v>
      </c>
    </row>
    <row r="8876" spans="1:13">
      <c r="A8876" s="33" t="str">
        <f t="shared" si="552"/>
        <v>SCL - Operating Expense</v>
      </c>
      <c r="B8876" s="33" t="str">
        <f t="shared" si="553"/>
        <v>SCL</v>
      </c>
      <c r="C8876" s="33" t="str">
        <f t="shared" si="554"/>
        <v>62510-7355</v>
      </c>
      <c r="D8876" s="64" t="s">
        <v>10126</v>
      </c>
      <c r="E8876" s="64" t="s">
        <v>3111</v>
      </c>
      <c r="F8876" s="64" t="s">
        <v>15</v>
      </c>
      <c r="G8876" s="64" t="s">
        <v>3035</v>
      </c>
      <c r="H8876" s="64" t="s">
        <v>3022</v>
      </c>
      <c r="I8876" s="64" t="s">
        <v>3102</v>
      </c>
      <c r="J8876" s="67">
        <v>85.03</v>
      </c>
      <c r="K8876" s="62">
        <v>1307.89</v>
      </c>
      <c r="L8876" s="33" t="e">
        <f>HLOOKUP(B8876,#REF!,1,0)</f>
        <v>#REF!</v>
      </c>
      <c r="M8876" s="33" t="str">
        <f t="shared" si="555"/>
        <v>P&amp;L</v>
      </c>
    </row>
    <row r="8877" spans="1:13">
      <c r="A8877" s="33" t="str">
        <f t="shared" si="552"/>
        <v>SCL - Operating Expense</v>
      </c>
      <c r="B8877" s="33" t="str">
        <f t="shared" si="553"/>
        <v>SCL</v>
      </c>
      <c r="C8877" s="33" t="str">
        <f t="shared" si="554"/>
        <v>62510-7356</v>
      </c>
      <c r="D8877" s="64" t="s">
        <v>10127</v>
      </c>
      <c r="E8877" s="64" t="s">
        <v>3111</v>
      </c>
      <c r="F8877" s="64" t="s">
        <v>15</v>
      </c>
      <c r="G8877" s="64" t="s">
        <v>3035</v>
      </c>
      <c r="H8877" s="64" t="s">
        <v>3022</v>
      </c>
      <c r="I8877" s="64" t="s">
        <v>3102</v>
      </c>
      <c r="J8877" s="67">
        <v>0</v>
      </c>
      <c r="K8877" s="62">
        <v>483</v>
      </c>
      <c r="L8877" s="33" t="e">
        <f>HLOOKUP(B8877,#REF!,1,0)</f>
        <v>#REF!</v>
      </c>
      <c r="M8877" s="33" t="str">
        <f t="shared" si="555"/>
        <v>P&amp;L</v>
      </c>
    </row>
    <row r="8878" spans="1:13">
      <c r="A8878" s="33" t="str">
        <f t="shared" si="552"/>
        <v>SCL - Operating Expense</v>
      </c>
      <c r="B8878" s="33" t="str">
        <f t="shared" si="553"/>
        <v>SCL</v>
      </c>
      <c r="C8878" s="33" t="str">
        <f t="shared" si="554"/>
        <v>62510-7359</v>
      </c>
      <c r="D8878" s="64" t="s">
        <v>10128</v>
      </c>
      <c r="E8878" s="64" t="s">
        <v>3111</v>
      </c>
      <c r="F8878" s="64" t="s">
        <v>15</v>
      </c>
      <c r="G8878" s="64" t="s">
        <v>3035</v>
      </c>
      <c r="H8878" s="64" t="s">
        <v>3022</v>
      </c>
      <c r="I8878" s="64" t="s">
        <v>3102</v>
      </c>
      <c r="J8878" s="67">
        <v>85.03</v>
      </c>
      <c r="K8878" s="62">
        <v>802.86</v>
      </c>
      <c r="L8878" s="33" t="e">
        <f>HLOOKUP(B8878,#REF!,1,0)</f>
        <v>#REF!</v>
      </c>
      <c r="M8878" s="33" t="str">
        <f t="shared" si="555"/>
        <v>P&amp;L</v>
      </c>
    </row>
    <row r="8879" spans="1:13">
      <c r="A8879" s="33" t="str">
        <f t="shared" si="552"/>
        <v>SCL - Operating Expense</v>
      </c>
      <c r="B8879" s="33" t="str">
        <f t="shared" si="553"/>
        <v>SCL</v>
      </c>
      <c r="C8879" s="33" t="str">
        <f t="shared" si="554"/>
        <v>62510-7360</v>
      </c>
      <c r="D8879" s="64" t="s">
        <v>10129</v>
      </c>
      <c r="E8879" s="64" t="s">
        <v>3111</v>
      </c>
      <c r="F8879" s="64" t="s">
        <v>15</v>
      </c>
      <c r="G8879" s="64" t="s">
        <v>3035</v>
      </c>
      <c r="H8879" s="64" t="s">
        <v>3022</v>
      </c>
      <c r="I8879" s="64" t="s">
        <v>3102</v>
      </c>
      <c r="J8879" s="67">
        <v>85.03</v>
      </c>
      <c r="K8879" s="62">
        <v>802.86</v>
      </c>
      <c r="L8879" s="33" t="e">
        <f>HLOOKUP(B8879,#REF!,1,0)</f>
        <v>#REF!</v>
      </c>
      <c r="M8879" s="33" t="str">
        <f t="shared" si="555"/>
        <v>P&amp;L</v>
      </c>
    </row>
    <row r="8880" spans="1:13">
      <c r="A8880" s="33" t="str">
        <f t="shared" si="552"/>
        <v>SCL - Operating Expense</v>
      </c>
      <c r="B8880" s="33" t="str">
        <f t="shared" si="553"/>
        <v>SCL</v>
      </c>
      <c r="C8880" s="33" t="str">
        <f t="shared" si="554"/>
        <v>62510-7361</v>
      </c>
      <c r="D8880" s="64" t="s">
        <v>10130</v>
      </c>
      <c r="E8880" s="64" t="s">
        <v>3111</v>
      </c>
      <c r="F8880" s="64" t="s">
        <v>15</v>
      </c>
      <c r="G8880" s="64" t="s">
        <v>3035</v>
      </c>
      <c r="H8880" s="64" t="s">
        <v>3022</v>
      </c>
      <c r="I8880" s="64" t="s">
        <v>3102</v>
      </c>
      <c r="J8880" s="67">
        <v>75</v>
      </c>
      <c r="K8880" s="62">
        <v>708</v>
      </c>
      <c r="L8880" s="33" t="e">
        <f>HLOOKUP(B8880,#REF!,1,0)</f>
        <v>#REF!</v>
      </c>
      <c r="M8880" s="33" t="str">
        <f t="shared" si="555"/>
        <v>P&amp;L</v>
      </c>
    </row>
    <row r="8881" spans="1:13">
      <c r="A8881" s="33" t="str">
        <f t="shared" si="552"/>
        <v>SCL - Operating Expense</v>
      </c>
      <c r="B8881" s="33" t="str">
        <f t="shared" si="553"/>
        <v>SCL</v>
      </c>
      <c r="C8881" s="33" t="str">
        <f t="shared" si="554"/>
        <v>62510-7362</v>
      </c>
      <c r="D8881" s="64" t="s">
        <v>10131</v>
      </c>
      <c r="E8881" s="64" t="s">
        <v>3111</v>
      </c>
      <c r="F8881" s="64" t="s">
        <v>15</v>
      </c>
      <c r="G8881" s="64" t="s">
        <v>3035</v>
      </c>
      <c r="H8881" s="64" t="s">
        <v>3022</v>
      </c>
      <c r="I8881" s="64" t="s">
        <v>3102</v>
      </c>
      <c r="J8881" s="67">
        <v>85.03</v>
      </c>
      <c r="K8881" s="62">
        <v>802.86</v>
      </c>
      <c r="L8881" s="33" t="e">
        <f>HLOOKUP(B8881,#REF!,1,0)</f>
        <v>#REF!</v>
      </c>
      <c r="M8881" s="33" t="str">
        <f t="shared" si="555"/>
        <v>P&amp;L</v>
      </c>
    </row>
    <row r="8882" spans="1:13">
      <c r="A8882" s="33" t="str">
        <f t="shared" si="552"/>
        <v>SCL - Operating Expense</v>
      </c>
      <c r="B8882" s="33" t="str">
        <f t="shared" si="553"/>
        <v>SCL</v>
      </c>
      <c r="C8882" s="33" t="str">
        <f t="shared" si="554"/>
        <v>62510-7363</v>
      </c>
      <c r="D8882" s="64" t="s">
        <v>10132</v>
      </c>
      <c r="E8882" s="64" t="s">
        <v>3111</v>
      </c>
      <c r="F8882" s="64" t="s">
        <v>15</v>
      </c>
      <c r="G8882" s="64" t="s">
        <v>3035</v>
      </c>
      <c r="H8882" s="64" t="s">
        <v>3022</v>
      </c>
      <c r="I8882" s="64" t="s">
        <v>3102</v>
      </c>
      <c r="J8882" s="67">
        <v>75</v>
      </c>
      <c r="K8882" s="62">
        <v>708</v>
      </c>
      <c r="L8882" s="33" t="e">
        <f>HLOOKUP(B8882,#REF!,1,0)</f>
        <v>#REF!</v>
      </c>
      <c r="M8882" s="33" t="str">
        <f t="shared" si="555"/>
        <v>P&amp;L</v>
      </c>
    </row>
    <row r="8883" spans="1:13">
      <c r="A8883" s="33" t="str">
        <f t="shared" si="552"/>
        <v>SCL - Operating Expense</v>
      </c>
      <c r="B8883" s="33" t="str">
        <f t="shared" si="553"/>
        <v>SCL</v>
      </c>
      <c r="C8883" s="33" t="str">
        <f t="shared" si="554"/>
        <v>62510-7364</v>
      </c>
      <c r="D8883" s="64" t="s">
        <v>10133</v>
      </c>
      <c r="E8883" s="64" t="s">
        <v>3111</v>
      </c>
      <c r="F8883" s="64" t="s">
        <v>15</v>
      </c>
      <c r="G8883" s="64" t="s">
        <v>3035</v>
      </c>
      <c r="H8883" s="64" t="s">
        <v>3022</v>
      </c>
      <c r="I8883" s="64" t="s">
        <v>3102</v>
      </c>
      <c r="J8883" s="67">
        <v>85.03</v>
      </c>
      <c r="K8883" s="62">
        <v>802.86</v>
      </c>
      <c r="L8883" s="33" t="e">
        <f>HLOOKUP(B8883,#REF!,1,0)</f>
        <v>#REF!</v>
      </c>
      <c r="M8883" s="33" t="str">
        <f t="shared" si="555"/>
        <v>P&amp;L</v>
      </c>
    </row>
    <row r="8884" spans="1:13">
      <c r="A8884" s="33" t="str">
        <f t="shared" si="552"/>
        <v>SCL - Operating Expense</v>
      </c>
      <c r="B8884" s="33" t="str">
        <f t="shared" si="553"/>
        <v>SCL</v>
      </c>
      <c r="C8884" s="33" t="str">
        <f t="shared" si="554"/>
        <v>62510-7365</v>
      </c>
      <c r="D8884" s="64" t="s">
        <v>10134</v>
      </c>
      <c r="E8884" s="64" t="s">
        <v>3111</v>
      </c>
      <c r="F8884" s="64" t="s">
        <v>15</v>
      </c>
      <c r="G8884" s="64" t="s">
        <v>3035</v>
      </c>
      <c r="H8884" s="64" t="s">
        <v>3022</v>
      </c>
      <c r="I8884" s="64" t="s">
        <v>3102</v>
      </c>
      <c r="J8884" s="67">
        <v>75</v>
      </c>
      <c r="K8884" s="62">
        <v>708</v>
      </c>
      <c r="L8884" s="33" t="e">
        <f>HLOOKUP(B8884,#REF!,1,0)</f>
        <v>#REF!</v>
      </c>
      <c r="M8884" s="33" t="str">
        <f t="shared" si="555"/>
        <v>P&amp;L</v>
      </c>
    </row>
    <row r="8885" spans="1:13">
      <c r="A8885" s="33" t="str">
        <f t="shared" si="552"/>
        <v>SCL - Operating Expense</v>
      </c>
      <c r="B8885" s="33" t="str">
        <f t="shared" si="553"/>
        <v>SCL</v>
      </c>
      <c r="C8885" s="33" t="str">
        <f t="shared" si="554"/>
        <v>62510-7366</v>
      </c>
      <c r="D8885" s="64" t="s">
        <v>10135</v>
      </c>
      <c r="E8885" s="64" t="s">
        <v>3111</v>
      </c>
      <c r="F8885" s="64" t="s">
        <v>15</v>
      </c>
      <c r="G8885" s="64" t="s">
        <v>3035</v>
      </c>
      <c r="H8885" s="64" t="s">
        <v>3022</v>
      </c>
      <c r="I8885" s="64" t="s">
        <v>3102</v>
      </c>
      <c r="J8885" s="67">
        <v>85.03</v>
      </c>
      <c r="K8885" s="62">
        <v>802.86</v>
      </c>
      <c r="L8885" s="33" t="e">
        <f>HLOOKUP(B8885,#REF!,1,0)</f>
        <v>#REF!</v>
      </c>
      <c r="M8885" s="33" t="str">
        <f t="shared" si="555"/>
        <v>P&amp;L</v>
      </c>
    </row>
    <row r="8886" spans="1:13">
      <c r="A8886" s="33" t="str">
        <f t="shared" si="552"/>
        <v>SCL - Operating Expense</v>
      </c>
      <c r="B8886" s="33" t="str">
        <f t="shared" si="553"/>
        <v>SCL</v>
      </c>
      <c r="C8886" s="33" t="str">
        <f t="shared" si="554"/>
        <v>62510-7368</v>
      </c>
      <c r="D8886" s="64" t="s">
        <v>10136</v>
      </c>
      <c r="E8886" s="64" t="s">
        <v>3111</v>
      </c>
      <c r="F8886" s="64" t="s">
        <v>15</v>
      </c>
      <c r="G8886" s="64" t="s">
        <v>3035</v>
      </c>
      <c r="H8886" s="64" t="s">
        <v>3022</v>
      </c>
      <c r="I8886" s="64" t="s">
        <v>3102</v>
      </c>
      <c r="J8886" s="67">
        <v>85.03</v>
      </c>
      <c r="K8886" s="62">
        <v>952.86</v>
      </c>
      <c r="L8886" s="33" t="e">
        <f>HLOOKUP(B8886,#REF!,1,0)</f>
        <v>#REF!</v>
      </c>
      <c r="M8886" s="33" t="str">
        <f t="shared" si="555"/>
        <v>P&amp;L</v>
      </c>
    </row>
    <row r="8887" spans="1:13">
      <c r="A8887" s="33" t="str">
        <f t="shared" si="552"/>
        <v>SCL - Operating Expense</v>
      </c>
      <c r="B8887" s="33" t="str">
        <f t="shared" si="553"/>
        <v>SCL</v>
      </c>
      <c r="C8887" s="33" t="str">
        <f t="shared" si="554"/>
        <v>62510-7369</v>
      </c>
      <c r="D8887" s="64" t="s">
        <v>10137</v>
      </c>
      <c r="E8887" s="64" t="s">
        <v>3111</v>
      </c>
      <c r="F8887" s="64" t="s">
        <v>15</v>
      </c>
      <c r="G8887" s="64" t="s">
        <v>3035</v>
      </c>
      <c r="H8887" s="64" t="s">
        <v>3022</v>
      </c>
      <c r="I8887" s="64" t="s">
        <v>3102</v>
      </c>
      <c r="J8887" s="67">
        <v>85.03</v>
      </c>
      <c r="K8887" s="62">
        <v>1202.86</v>
      </c>
      <c r="L8887" s="33" t="e">
        <f>HLOOKUP(B8887,#REF!,1,0)</f>
        <v>#REF!</v>
      </c>
      <c r="M8887" s="33" t="str">
        <f t="shared" si="555"/>
        <v>P&amp;L</v>
      </c>
    </row>
    <row r="8888" spans="1:13">
      <c r="A8888" s="33" t="str">
        <f t="shared" si="552"/>
        <v>SCL - Operating Expense</v>
      </c>
      <c r="B8888" s="33" t="str">
        <f t="shared" si="553"/>
        <v>SCL</v>
      </c>
      <c r="C8888" s="33" t="str">
        <f t="shared" si="554"/>
        <v>62510-7371</v>
      </c>
      <c r="D8888" s="64" t="s">
        <v>10138</v>
      </c>
      <c r="E8888" s="64" t="s">
        <v>3111</v>
      </c>
      <c r="F8888" s="64" t="s">
        <v>15</v>
      </c>
      <c r="G8888" s="64" t="s">
        <v>3035</v>
      </c>
      <c r="H8888" s="64" t="s">
        <v>3022</v>
      </c>
      <c r="I8888" s="64" t="s">
        <v>3102</v>
      </c>
      <c r="J8888" s="67">
        <v>85.03</v>
      </c>
      <c r="K8888" s="62">
        <v>802.86</v>
      </c>
      <c r="L8888" s="33" t="e">
        <f>HLOOKUP(B8888,#REF!,1,0)</f>
        <v>#REF!</v>
      </c>
      <c r="M8888" s="33" t="str">
        <f t="shared" si="555"/>
        <v>P&amp;L</v>
      </c>
    </row>
    <row r="8889" spans="1:13">
      <c r="A8889" s="33" t="str">
        <f t="shared" si="552"/>
        <v>SCL - Operating Expense</v>
      </c>
      <c r="B8889" s="33" t="str">
        <f t="shared" si="553"/>
        <v>SCL</v>
      </c>
      <c r="C8889" s="33" t="str">
        <f t="shared" si="554"/>
        <v>62510-7374</v>
      </c>
      <c r="D8889" s="64" t="s">
        <v>10139</v>
      </c>
      <c r="E8889" s="64" t="s">
        <v>3111</v>
      </c>
      <c r="F8889" s="64" t="s">
        <v>15</v>
      </c>
      <c r="G8889" s="64" t="s">
        <v>3035</v>
      </c>
      <c r="H8889" s="64" t="s">
        <v>3022</v>
      </c>
      <c r="I8889" s="64" t="s">
        <v>3102</v>
      </c>
      <c r="J8889" s="67">
        <v>75</v>
      </c>
      <c r="K8889" s="62">
        <v>708</v>
      </c>
      <c r="L8889" s="33" t="e">
        <f>HLOOKUP(B8889,#REF!,1,0)</f>
        <v>#REF!</v>
      </c>
      <c r="M8889" s="33" t="str">
        <f t="shared" si="555"/>
        <v>P&amp;L</v>
      </c>
    </row>
    <row r="8890" spans="1:13">
      <c r="A8890" s="33" t="str">
        <f t="shared" si="552"/>
        <v>SCL - Operating Expense</v>
      </c>
      <c r="B8890" s="33" t="str">
        <f t="shared" si="553"/>
        <v>SCL</v>
      </c>
      <c r="C8890" s="33" t="str">
        <f t="shared" si="554"/>
        <v>62510-7375</v>
      </c>
      <c r="D8890" s="64" t="s">
        <v>10140</v>
      </c>
      <c r="E8890" s="64" t="s">
        <v>3111</v>
      </c>
      <c r="F8890" s="64" t="s">
        <v>15</v>
      </c>
      <c r="G8890" s="64" t="s">
        <v>3035</v>
      </c>
      <c r="H8890" s="64" t="s">
        <v>3022</v>
      </c>
      <c r="I8890" s="64" t="s">
        <v>3102</v>
      </c>
      <c r="J8890" s="67">
        <v>85.03</v>
      </c>
      <c r="K8890" s="62">
        <v>802.86</v>
      </c>
      <c r="L8890" s="33" t="e">
        <f>HLOOKUP(B8890,#REF!,1,0)</f>
        <v>#REF!</v>
      </c>
      <c r="M8890" s="33" t="str">
        <f t="shared" si="555"/>
        <v>P&amp;L</v>
      </c>
    </row>
    <row r="8891" spans="1:13">
      <c r="A8891" s="33" t="str">
        <f t="shared" si="552"/>
        <v>SCL - Operating Expense</v>
      </c>
      <c r="B8891" s="33" t="str">
        <f t="shared" si="553"/>
        <v>SCL</v>
      </c>
      <c r="C8891" s="33" t="str">
        <f t="shared" si="554"/>
        <v>62510-7376</v>
      </c>
      <c r="D8891" s="64" t="s">
        <v>10141</v>
      </c>
      <c r="E8891" s="64" t="s">
        <v>3111</v>
      </c>
      <c r="F8891" s="64" t="s">
        <v>15</v>
      </c>
      <c r="G8891" s="64" t="s">
        <v>3035</v>
      </c>
      <c r="H8891" s="64" t="s">
        <v>3022</v>
      </c>
      <c r="I8891" s="64" t="s">
        <v>3102</v>
      </c>
      <c r="J8891" s="67">
        <v>85.03</v>
      </c>
      <c r="K8891" s="62">
        <v>817.89</v>
      </c>
      <c r="L8891" s="33" t="e">
        <f>HLOOKUP(B8891,#REF!,1,0)</f>
        <v>#REF!</v>
      </c>
      <c r="M8891" s="33" t="str">
        <f t="shared" si="555"/>
        <v>P&amp;L</v>
      </c>
    </row>
    <row r="8892" spans="1:13">
      <c r="A8892" s="33" t="str">
        <f t="shared" si="552"/>
        <v>SCL - Operating Expense</v>
      </c>
      <c r="B8892" s="33" t="str">
        <f t="shared" si="553"/>
        <v>SCL</v>
      </c>
      <c r="C8892" s="33" t="str">
        <f t="shared" si="554"/>
        <v>62510-7377</v>
      </c>
      <c r="D8892" s="64" t="s">
        <v>10142</v>
      </c>
      <c r="E8892" s="64" t="s">
        <v>3111</v>
      </c>
      <c r="F8892" s="64" t="s">
        <v>15</v>
      </c>
      <c r="G8892" s="64" t="s">
        <v>3035</v>
      </c>
      <c r="H8892" s="64" t="s">
        <v>3022</v>
      </c>
      <c r="I8892" s="64" t="s">
        <v>3102</v>
      </c>
      <c r="J8892" s="67">
        <v>75</v>
      </c>
      <c r="K8892" s="62">
        <v>708</v>
      </c>
      <c r="L8892" s="33" t="e">
        <f>HLOOKUP(B8892,#REF!,1,0)</f>
        <v>#REF!</v>
      </c>
      <c r="M8892" s="33" t="str">
        <f t="shared" si="555"/>
        <v>P&amp;L</v>
      </c>
    </row>
    <row r="8893" spans="1:13">
      <c r="A8893" s="33" t="str">
        <f t="shared" si="552"/>
        <v>SCL - Operating Expense</v>
      </c>
      <c r="B8893" s="33" t="str">
        <f t="shared" si="553"/>
        <v>SCL</v>
      </c>
      <c r="C8893" s="33" t="str">
        <f t="shared" si="554"/>
        <v>62510-7378</v>
      </c>
      <c r="D8893" s="64" t="s">
        <v>10143</v>
      </c>
      <c r="E8893" s="64" t="s">
        <v>3111</v>
      </c>
      <c r="F8893" s="64" t="s">
        <v>15</v>
      </c>
      <c r="G8893" s="64" t="s">
        <v>3035</v>
      </c>
      <c r="H8893" s="64" t="s">
        <v>3022</v>
      </c>
      <c r="I8893" s="64" t="s">
        <v>3102</v>
      </c>
      <c r="J8893" s="67">
        <v>85.03</v>
      </c>
      <c r="K8893" s="62">
        <v>847.86</v>
      </c>
      <c r="L8893" s="33" t="e">
        <f>HLOOKUP(B8893,#REF!,1,0)</f>
        <v>#REF!</v>
      </c>
      <c r="M8893" s="33" t="str">
        <f t="shared" si="555"/>
        <v>P&amp;L</v>
      </c>
    </row>
    <row r="8894" spans="1:13">
      <c r="A8894" s="33" t="str">
        <f t="shared" si="552"/>
        <v>SCL - Operating Expense</v>
      </c>
      <c r="B8894" s="33" t="str">
        <f t="shared" si="553"/>
        <v>SCL</v>
      </c>
      <c r="C8894" s="33" t="str">
        <f t="shared" si="554"/>
        <v>62510-7379</v>
      </c>
      <c r="D8894" s="64" t="s">
        <v>10144</v>
      </c>
      <c r="E8894" s="64" t="s">
        <v>3111</v>
      </c>
      <c r="F8894" s="64" t="s">
        <v>15</v>
      </c>
      <c r="G8894" s="64" t="s">
        <v>3035</v>
      </c>
      <c r="H8894" s="64" t="s">
        <v>3022</v>
      </c>
      <c r="I8894" s="64" t="s">
        <v>3102</v>
      </c>
      <c r="J8894" s="67">
        <v>85.03</v>
      </c>
      <c r="K8894" s="62">
        <v>802.86</v>
      </c>
      <c r="L8894" s="33" t="e">
        <f>HLOOKUP(B8894,#REF!,1,0)</f>
        <v>#REF!</v>
      </c>
      <c r="M8894" s="33" t="str">
        <f t="shared" si="555"/>
        <v>P&amp;L</v>
      </c>
    </row>
    <row r="8895" spans="1:13">
      <c r="A8895" s="33" t="str">
        <f t="shared" si="552"/>
        <v>SCL - Operating Expense</v>
      </c>
      <c r="B8895" s="33" t="str">
        <f t="shared" si="553"/>
        <v>SCL</v>
      </c>
      <c r="C8895" s="33" t="str">
        <f t="shared" si="554"/>
        <v>62510-7380</v>
      </c>
      <c r="D8895" s="64" t="s">
        <v>10145</v>
      </c>
      <c r="E8895" s="64" t="s">
        <v>3111</v>
      </c>
      <c r="F8895" s="64" t="s">
        <v>15</v>
      </c>
      <c r="G8895" s="64" t="s">
        <v>3035</v>
      </c>
      <c r="H8895" s="64" t="s">
        <v>3022</v>
      </c>
      <c r="I8895" s="64" t="s">
        <v>3102</v>
      </c>
      <c r="J8895" s="67">
        <v>85.03</v>
      </c>
      <c r="K8895" s="62">
        <v>802.86</v>
      </c>
      <c r="L8895" s="33" t="e">
        <f>HLOOKUP(B8895,#REF!,1,0)</f>
        <v>#REF!</v>
      </c>
      <c r="M8895" s="33" t="str">
        <f t="shared" si="555"/>
        <v>P&amp;L</v>
      </c>
    </row>
    <row r="8896" spans="1:13">
      <c r="A8896" s="33" t="str">
        <f t="shared" si="552"/>
        <v>SCL - Operating Expense</v>
      </c>
      <c r="B8896" s="33" t="str">
        <f t="shared" si="553"/>
        <v>SCL</v>
      </c>
      <c r="C8896" s="33" t="str">
        <f t="shared" si="554"/>
        <v>62510-7381</v>
      </c>
      <c r="D8896" s="64" t="s">
        <v>10146</v>
      </c>
      <c r="E8896" s="64" t="s">
        <v>3111</v>
      </c>
      <c r="F8896" s="64" t="s">
        <v>15</v>
      </c>
      <c r="G8896" s="64" t="s">
        <v>3035</v>
      </c>
      <c r="H8896" s="64" t="s">
        <v>3022</v>
      </c>
      <c r="I8896" s="64" t="s">
        <v>3102</v>
      </c>
      <c r="J8896" s="67">
        <v>75</v>
      </c>
      <c r="K8896" s="62">
        <v>708</v>
      </c>
      <c r="L8896" s="33" t="e">
        <f>HLOOKUP(B8896,#REF!,1,0)</f>
        <v>#REF!</v>
      </c>
      <c r="M8896" s="33" t="str">
        <f t="shared" si="555"/>
        <v>P&amp;L</v>
      </c>
    </row>
    <row r="8897" spans="1:13">
      <c r="A8897" s="33" t="str">
        <f t="shared" si="552"/>
        <v>SCL - Operating Expense</v>
      </c>
      <c r="B8897" s="33" t="str">
        <f t="shared" si="553"/>
        <v>SCL</v>
      </c>
      <c r="C8897" s="33" t="str">
        <f t="shared" si="554"/>
        <v>62510-7383</v>
      </c>
      <c r="D8897" s="64" t="s">
        <v>10147</v>
      </c>
      <c r="E8897" s="64" t="s">
        <v>3111</v>
      </c>
      <c r="F8897" s="64" t="s">
        <v>15</v>
      </c>
      <c r="G8897" s="64" t="s">
        <v>3035</v>
      </c>
      <c r="H8897" s="64" t="s">
        <v>3022</v>
      </c>
      <c r="I8897" s="64" t="s">
        <v>3102</v>
      </c>
      <c r="J8897" s="67">
        <v>85.03</v>
      </c>
      <c r="K8897" s="62">
        <v>802.86</v>
      </c>
      <c r="L8897" s="33" t="e">
        <f>HLOOKUP(B8897,#REF!,1,0)</f>
        <v>#REF!</v>
      </c>
      <c r="M8897" s="33" t="str">
        <f t="shared" si="555"/>
        <v>P&amp;L</v>
      </c>
    </row>
    <row r="8898" spans="1:13">
      <c r="A8898" s="33" t="str">
        <f t="shared" ref="A8898:A8961" si="556">B8898&amp;" - "&amp;TRIM(H8898)</f>
        <v>SCL - Operating Expense</v>
      </c>
      <c r="B8898" s="33" t="str">
        <f t="shared" ref="B8898:B8961" si="557">LEFT(D8898,3)</f>
        <v>SCL</v>
      </c>
      <c r="C8898" s="33" t="str">
        <f t="shared" ref="C8898:C8961" si="558">RIGHT(D8898,10)</f>
        <v>62510-7385</v>
      </c>
      <c r="D8898" s="64" t="s">
        <v>10148</v>
      </c>
      <c r="E8898" s="64" t="s">
        <v>3111</v>
      </c>
      <c r="F8898" s="64" t="s">
        <v>15</v>
      </c>
      <c r="G8898" s="64" t="s">
        <v>3035</v>
      </c>
      <c r="H8898" s="64" t="s">
        <v>3022</v>
      </c>
      <c r="I8898" s="64" t="s">
        <v>3102</v>
      </c>
      <c r="J8898" s="67">
        <v>75</v>
      </c>
      <c r="K8898" s="62">
        <v>708</v>
      </c>
      <c r="L8898" s="33" t="e">
        <f>HLOOKUP(B8898,#REF!,1,0)</f>
        <v>#REF!</v>
      </c>
      <c r="M8898" s="33" t="str">
        <f t="shared" ref="M8898:M8961" si="559">IF(VALUE(LEFT(C8898,5))&gt;40000,"P&amp;L","BS")</f>
        <v>P&amp;L</v>
      </c>
    </row>
    <row r="8899" spans="1:13">
      <c r="A8899" s="33" t="str">
        <f t="shared" si="556"/>
        <v>SCL - Operating Expense</v>
      </c>
      <c r="B8899" s="33" t="str">
        <f t="shared" si="557"/>
        <v>SCL</v>
      </c>
      <c r="C8899" s="33" t="str">
        <f t="shared" si="558"/>
        <v>62510-7386</v>
      </c>
      <c r="D8899" s="64" t="s">
        <v>10149</v>
      </c>
      <c r="E8899" s="64" t="s">
        <v>3111</v>
      </c>
      <c r="F8899" s="64" t="s">
        <v>15</v>
      </c>
      <c r="G8899" s="64" t="s">
        <v>3035</v>
      </c>
      <c r="H8899" s="64" t="s">
        <v>3022</v>
      </c>
      <c r="I8899" s="64" t="s">
        <v>3102</v>
      </c>
      <c r="J8899" s="67">
        <v>85.03</v>
      </c>
      <c r="K8899" s="62">
        <v>802.86</v>
      </c>
      <c r="L8899" s="33" t="e">
        <f>HLOOKUP(B8899,#REF!,1,0)</f>
        <v>#REF!</v>
      </c>
      <c r="M8899" s="33" t="str">
        <f t="shared" si="559"/>
        <v>P&amp;L</v>
      </c>
    </row>
    <row r="8900" spans="1:13">
      <c r="A8900" s="33" t="str">
        <f t="shared" si="556"/>
        <v>SCL - Operating Expense</v>
      </c>
      <c r="B8900" s="33" t="str">
        <f t="shared" si="557"/>
        <v>SCL</v>
      </c>
      <c r="C8900" s="33" t="str">
        <f t="shared" si="558"/>
        <v>62510-7387</v>
      </c>
      <c r="D8900" s="64" t="s">
        <v>10150</v>
      </c>
      <c r="E8900" s="64" t="s">
        <v>3111</v>
      </c>
      <c r="F8900" s="64" t="s">
        <v>15</v>
      </c>
      <c r="G8900" s="64" t="s">
        <v>3035</v>
      </c>
      <c r="H8900" s="64" t="s">
        <v>3022</v>
      </c>
      <c r="I8900" s="64" t="s">
        <v>3102</v>
      </c>
      <c r="J8900" s="67">
        <v>85.03</v>
      </c>
      <c r="K8900" s="62">
        <v>802.86</v>
      </c>
      <c r="L8900" s="33" t="e">
        <f>HLOOKUP(B8900,#REF!,1,0)</f>
        <v>#REF!</v>
      </c>
      <c r="M8900" s="33" t="str">
        <f t="shared" si="559"/>
        <v>P&amp;L</v>
      </c>
    </row>
    <row r="8901" spans="1:13">
      <c r="A8901" s="33" t="str">
        <f t="shared" si="556"/>
        <v>SCL - Operating Expense</v>
      </c>
      <c r="B8901" s="33" t="str">
        <f t="shared" si="557"/>
        <v>SCL</v>
      </c>
      <c r="C8901" s="33" t="str">
        <f t="shared" si="558"/>
        <v>62510-7389</v>
      </c>
      <c r="D8901" s="64" t="s">
        <v>10151</v>
      </c>
      <c r="E8901" s="64" t="s">
        <v>3111</v>
      </c>
      <c r="F8901" s="64" t="s">
        <v>15</v>
      </c>
      <c r="G8901" s="64" t="s">
        <v>3035</v>
      </c>
      <c r="H8901" s="64" t="s">
        <v>3022</v>
      </c>
      <c r="I8901" s="64" t="s">
        <v>3102</v>
      </c>
      <c r="J8901" s="67">
        <v>85.03</v>
      </c>
      <c r="K8901" s="62">
        <v>802.86</v>
      </c>
      <c r="L8901" s="33" t="e">
        <f>HLOOKUP(B8901,#REF!,1,0)</f>
        <v>#REF!</v>
      </c>
      <c r="M8901" s="33" t="str">
        <f t="shared" si="559"/>
        <v>P&amp;L</v>
      </c>
    </row>
    <row r="8902" spans="1:13">
      <c r="A8902" s="33" t="str">
        <f t="shared" si="556"/>
        <v>SCL - Operating Expense</v>
      </c>
      <c r="B8902" s="33" t="str">
        <f t="shared" si="557"/>
        <v>SCL</v>
      </c>
      <c r="C8902" s="33" t="str">
        <f t="shared" si="558"/>
        <v>62510-7391</v>
      </c>
      <c r="D8902" s="64" t="s">
        <v>10152</v>
      </c>
      <c r="E8902" s="64" t="s">
        <v>3111</v>
      </c>
      <c r="F8902" s="64" t="s">
        <v>15</v>
      </c>
      <c r="G8902" s="64" t="s">
        <v>3035</v>
      </c>
      <c r="H8902" s="64" t="s">
        <v>3022</v>
      </c>
      <c r="I8902" s="64" t="s">
        <v>3102</v>
      </c>
      <c r="J8902" s="67">
        <v>207.39</v>
      </c>
      <c r="K8902" s="62">
        <v>2164.49</v>
      </c>
      <c r="L8902" s="33" t="e">
        <f>HLOOKUP(B8902,#REF!,1,0)</f>
        <v>#REF!</v>
      </c>
      <c r="M8902" s="33" t="str">
        <f t="shared" si="559"/>
        <v>P&amp;L</v>
      </c>
    </row>
    <row r="8903" spans="1:13">
      <c r="A8903" s="33" t="str">
        <f t="shared" si="556"/>
        <v>SCL - Operating Expense</v>
      </c>
      <c r="B8903" s="33" t="str">
        <f t="shared" si="557"/>
        <v>SCL</v>
      </c>
      <c r="C8903" s="33" t="str">
        <f t="shared" si="558"/>
        <v>62510-7393</v>
      </c>
      <c r="D8903" s="64" t="s">
        <v>10153</v>
      </c>
      <c r="E8903" s="64" t="s">
        <v>3111</v>
      </c>
      <c r="F8903" s="64" t="s">
        <v>15</v>
      </c>
      <c r="G8903" s="64" t="s">
        <v>3035</v>
      </c>
      <c r="H8903" s="64" t="s">
        <v>3022</v>
      </c>
      <c r="I8903" s="64" t="s">
        <v>3102</v>
      </c>
      <c r="J8903" s="67">
        <v>75</v>
      </c>
      <c r="K8903" s="62">
        <v>708</v>
      </c>
      <c r="L8903" s="33" t="e">
        <f>HLOOKUP(B8903,#REF!,1,0)</f>
        <v>#REF!</v>
      </c>
      <c r="M8903" s="33" t="str">
        <f t="shared" si="559"/>
        <v>P&amp;L</v>
      </c>
    </row>
    <row r="8904" spans="1:13">
      <c r="A8904" s="33" t="str">
        <f t="shared" si="556"/>
        <v>SCL - Operating Expense</v>
      </c>
      <c r="B8904" s="33" t="str">
        <f t="shared" si="557"/>
        <v>SCL</v>
      </c>
      <c r="C8904" s="33" t="str">
        <f t="shared" si="558"/>
        <v>62510-7394</v>
      </c>
      <c r="D8904" s="64" t="s">
        <v>10154</v>
      </c>
      <c r="E8904" s="64" t="s">
        <v>3111</v>
      </c>
      <c r="F8904" s="64" t="s">
        <v>15</v>
      </c>
      <c r="G8904" s="64" t="s">
        <v>3035</v>
      </c>
      <c r="H8904" s="64" t="s">
        <v>3022</v>
      </c>
      <c r="I8904" s="64" t="s">
        <v>3102</v>
      </c>
      <c r="J8904" s="67">
        <v>75</v>
      </c>
      <c r="K8904" s="62">
        <v>708</v>
      </c>
      <c r="L8904" s="33" t="e">
        <f>HLOOKUP(B8904,#REF!,1,0)</f>
        <v>#REF!</v>
      </c>
      <c r="M8904" s="33" t="str">
        <f t="shared" si="559"/>
        <v>P&amp;L</v>
      </c>
    </row>
    <row r="8905" spans="1:13">
      <c r="A8905" s="33" t="str">
        <f t="shared" si="556"/>
        <v>SCL - Operating Expense</v>
      </c>
      <c r="B8905" s="33" t="str">
        <f t="shared" si="557"/>
        <v>SCL</v>
      </c>
      <c r="C8905" s="33" t="str">
        <f t="shared" si="558"/>
        <v>62510-7396</v>
      </c>
      <c r="D8905" s="64" t="s">
        <v>10155</v>
      </c>
      <c r="E8905" s="64" t="s">
        <v>3111</v>
      </c>
      <c r="F8905" s="64" t="s">
        <v>15</v>
      </c>
      <c r="G8905" s="64" t="s">
        <v>3035</v>
      </c>
      <c r="H8905" s="64" t="s">
        <v>3022</v>
      </c>
      <c r="I8905" s="64" t="s">
        <v>3102</v>
      </c>
      <c r="J8905" s="67">
        <v>85.03</v>
      </c>
      <c r="K8905" s="62">
        <v>987.86</v>
      </c>
      <c r="L8905" s="33" t="e">
        <f>HLOOKUP(B8905,#REF!,1,0)</f>
        <v>#REF!</v>
      </c>
      <c r="M8905" s="33" t="str">
        <f t="shared" si="559"/>
        <v>P&amp;L</v>
      </c>
    </row>
    <row r="8906" spans="1:13">
      <c r="A8906" s="33" t="str">
        <f t="shared" si="556"/>
        <v>SCL - Operating Expense</v>
      </c>
      <c r="B8906" s="33" t="str">
        <f t="shared" si="557"/>
        <v>SCL</v>
      </c>
      <c r="C8906" s="33" t="str">
        <f t="shared" si="558"/>
        <v>62510-7397</v>
      </c>
      <c r="D8906" s="64" t="s">
        <v>10156</v>
      </c>
      <c r="E8906" s="64" t="s">
        <v>3111</v>
      </c>
      <c r="F8906" s="64" t="s">
        <v>15</v>
      </c>
      <c r="G8906" s="64" t="s">
        <v>3035</v>
      </c>
      <c r="H8906" s="64" t="s">
        <v>3022</v>
      </c>
      <c r="I8906" s="64" t="s">
        <v>3102</v>
      </c>
      <c r="J8906" s="67">
        <v>85.03</v>
      </c>
      <c r="K8906" s="62">
        <v>817.89</v>
      </c>
      <c r="L8906" s="33" t="e">
        <f>HLOOKUP(B8906,#REF!,1,0)</f>
        <v>#REF!</v>
      </c>
      <c r="M8906" s="33" t="str">
        <f t="shared" si="559"/>
        <v>P&amp;L</v>
      </c>
    </row>
    <row r="8907" spans="1:13">
      <c r="A8907" s="33" t="str">
        <f t="shared" si="556"/>
        <v>SCL - Operating Expense</v>
      </c>
      <c r="B8907" s="33" t="str">
        <f t="shared" si="557"/>
        <v>SCL</v>
      </c>
      <c r="C8907" s="33" t="str">
        <f t="shared" si="558"/>
        <v>62510-7398</v>
      </c>
      <c r="D8907" s="64" t="s">
        <v>10157</v>
      </c>
      <c r="E8907" s="64" t="s">
        <v>3111</v>
      </c>
      <c r="F8907" s="64" t="s">
        <v>15</v>
      </c>
      <c r="G8907" s="64" t="s">
        <v>3035</v>
      </c>
      <c r="H8907" s="64" t="s">
        <v>3022</v>
      </c>
      <c r="I8907" s="64" t="s">
        <v>3102</v>
      </c>
      <c r="J8907" s="67">
        <v>75</v>
      </c>
      <c r="K8907" s="62">
        <v>708</v>
      </c>
      <c r="L8907" s="33" t="e">
        <f>HLOOKUP(B8907,#REF!,1,0)</f>
        <v>#REF!</v>
      </c>
      <c r="M8907" s="33" t="str">
        <f t="shared" si="559"/>
        <v>P&amp;L</v>
      </c>
    </row>
    <row r="8908" spans="1:13">
      <c r="A8908" s="33" t="str">
        <f t="shared" si="556"/>
        <v>SCL - Operating Expense</v>
      </c>
      <c r="B8908" s="33" t="str">
        <f t="shared" si="557"/>
        <v>SCL</v>
      </c>
      <c r="C8908" s="33" t="str">
        <f t="shared" si="558"/>
        <v>62510-7400</v>
      </c>
      <c r="D8908" s="64" t="s">
        <v>10158</v>
      </c>
      <c r="E8908" s="64" t="s">
        <v>3111</v>
      </c>
      <c r="F8908" s="64" t="s">
        <v>15</v>
      </c>
      <c r="G8908" s="64" t="s">
        <v>3035</v>
      </c>
      <c r="H8908" s="64" t="s">
        <v>3022</v>
      </c>
      <c r="I8908" s="64" t="s">
        <v>3102</v>
      </c>
      <c r="J8908" s="67">
        <v>110.71</v>
      </c>
      <c r="K8908" s="62">
        <v>1058.88</v>
      </c>
      <c r="L8908" s="33" t="e">
        <f>HLOOKUP(B8908,#REF!,1,0)</f>
        <v>#REF!</v>
      </c>
      <c r="M8908" s="33" t="str">
        <f t="shared" si="559"/>
        <v>P&amp;L</v>
      </c>
    </row>
    <row r="8909" spans="1:13">
      <c r="A8909" s="33" t="str">
        <f t="shared" si="556"/>
        <v>SCL - Operating Expense</v>
      </c>
      <c r="B8909" s="33" t="str">
        <f t="shared" si="557"/>
        <v>SCL</v>
      </c>
      <c r="C8909" s="33" t="str">
        <f t="shared" si="558"/>
        <v>62510-7401</v>
      </c>
      <c r="D8909" s="64" t="s">
        <v>10159</v>
      </c>
      <c r="E8909" s="64" t="s">
        <v>3111</v>
      </c>
      <c r="F8909" s="64" t="s">
        <v>15</v>
      </c>
      <c r="G8909" s="64" t="s">
        <v>3035</v>
      </c>
      <c r="H8909" s="64" t="s">
        <v>3022</v>
      </c>
      <c r="I8909" s="64" t="s">
        <v>3102</v>
      </c>
      <c r="J8909" s="67">
        <v>85.03</v>
      </c>
      <c r="K8909" s="62">
        <v>802.86</v>
      </c>
      <c r="L8909" s="33" t="e">
        <f>HLOOKUP(B8909,#REF!,1,0)</f>
        <v>#REF!</v>
      </c>
      <c r="M8909" s="33" t="str">
        <f t="shared" si="559"/>
        <v>P&amp;L</v>
      </c>
    </row>
    <row r="8910" spans="1:13">
      <c r="A8910" s="33" t="str">
        <f t="shared" si="556"/>
        <v>SCL - Operating Expense</v>
      </c>
      <c r="B8910" s="33" t="str">
        <f t="shared" si="557"/>
        <v>SCL</v>
      </c>
      <c r="C8910" s="33" t="str">
        <f t="shared" si="558"/>
        <v>62510-7402</v>
      </c>
      <c r="D8910" s="64" t="s">
        <v>10160</v>
      </c>
      <c r="E8910" s="64" t="s">
        <v>3111</v>
      </c>
      <c r="F8910" s="64" t="s">
        <v>15</v>
      </c>
      <c r="G8910" s="64" t="s">
        <v>3035</v>
      </c>
      <c r="H8910" s="64" t="s">
        <v>3022</v>
      </c>
      <c r="I8910" s="64" t="s">
        <v>3102</v>
      </c>
      <c r="J8910" s="67">
        <v>85.03</v>
      </c>
      <c r="K8910" s="62">
        <v>829.58</v>
      </c>
      <c r="L8910" s="33" t="e">
        <f>HLOOKUP(B8910,#REF!,1,0)</f>
        <v>#REF!</v>
      </c>
      <c r="M8910" s="33" t="str">
        <f t="shared" si="559"/>
        <v>P&amp;L</v>
      </c>
    </row>
    <row r="8911" spans="1:13">
      <c r="A8911" s="33" t="str">
        <f t="shared" si="556"/>
        <v>SCL - Operating Expense</v>
      </c>
      <c r="B8911" s="33" t="str">
        <f t="shared" si="557"/>
        <v>SCL</v>
      </c>
      <c r="C8911" s="33" t="str">
        <f t="shared" si="558"/>
        <v>62510-7403</v>
      </c>
      <c r="D8911" s="64" t="s">
        <v>10161</v>
      </c>
      <c r="E8911" s="64" t="s">
        <v>3111</v>
      </c>
      <c r="F8911" s="64" t="s">
        <v>15</v>
      </c>
      <c r="G8911" s="64" t="s">
        <v>3035</v>
      </c>
      <c r="H8911" s="64" t="s">
        <v>3022</v>
      </c>
      <c r="I8911" s="64" t="s">
        <v>3102</v>
      </c>
      <c r="J8911" s="67">
        <v>85.03</v>
      </c>
      <c r="K8911" s="62">
        <v>817.07</v>
      </c>
      <c r="L8911" s="33" t="e">
        <f>HLOOKUP(B8911,#REF!,1,0)</f>
        <v>#REF!</v>
      </c>
      <c r="M8911" s="33" t="str">
        <f t="shared" si="559"/>
        <v>P&amp;L</v>
      </c>
    </row>
    <row r="8912" spans="1:13">
      <c r="A8912" s="33" t="str">
        <f t="shared" si="556"/>
        <v>SCL - Operating Expense</v>
      </c>
      <c r="B8912" s="33" t="str">
        <f t="shared" si="557"/>
        <v>SCL</v>
      </c>
      <c r="C8912" s="33" t="str">
        <f t="shared" si="558"/>
        <v>62510-7489</v>
      </c>
      <c r="D8912" s="64" t="s">
        <v>10162</v>
      </c>
      <c r="E8912" s="64" t="s">
        <v>3111</v>
      </c>
      <c r="F8912" s="64" t="s">
        <v>15</v>
      </c>
      <c r="G8912" s="64" t="s">
        <v>3035</v>
      </c>
      <c r="H8912" s="64" t="s">
        <v>3022</v>
      </c>
      <c r="I8912" s="64" t="s">
        <v>3102</v>
      </c>
      <c r="J8912" s="67">
        <v>75</v>
      </c>
      <c r="K8912" s="62">
        <v>777</v>
      </c>
      <c r="L8912" s="33" t="e">
        <f>HLOOKUP(B8912,#REF!,1,0)</f>
        <v>#REF!</v>
      </c>
      <c r="M8912" s="33" t="str">
        <f t="shared" si="559"/>
        <v>P&amp;L</v>
      </c>
    </row>
    <row r="8913" spans="1:13">
      <c r="A8913" s="33" t="str">
        <f t="shared" si="556"/>
        <v>SCL - Operating Expense</v>
      </c>
      <c r="B8913" s="33" t="str">
        <f t="shared" si="557"/>
        <v>SCL</v>
      </c>
      <c r="C8913" s="33" t="str">
        <f t="shared" si="558"/>
        <v>62510-7491</v>
      </c>
      <c r="D8913" s="64" t="s">
        <v>10163</v>
      </c>
      <c r="E8913" s="64" t="s">
        <v>3111</v>
      </c>
      <c r="F8913" s="64" t="s">
        <v>15</v>
      </c>
      <c r="G8913" s="64" t="s">
        <v>3035</v>
      </c>
      <c r="H8913" s="64" t="s">
        <v>3022</v>
      </c>
      <c r="I8913" s="64" t="s">
        <v>3102</v>
      </c>
      <c r="J8913" s="67">
        <v>85.03</v>
      </c>
      <c r="K8913" s="62">
        <v>802.86</v>
      </c>
      <c r="L8913" s="33" t="e">
        <f>HLOOKUP(B8913,#REF!,1,0)</f>
        <v>#REF!</v>
      </c>
      <c r="M8913" s="33" t="str">
        <f t="shared" si="559"/>
        <v>P&amp;L</v>
      </c>
    </row>
    <row r="8914" spans="1:13">
      <c r="A8914" s="33" t="str">
        <f t="shared" si="556"/>
        <v>SCL - Operating Expense</v>
      </c>
      <c r="B8914" s="33" t="str">
        <f t="shared" si="557"/>
        <v>SCL</v>
      </c>
      <c r="C8914" s="33" t="str">
        <f t="shared" si="558"/>
        <v>62510-7492</v>
      </c>
      <c r="D8914" s="64" t="s">
        <v>10164</v>
      </c>
      <c r="E8914" s="64" t="s">
        <v>3111</v>
      </c>
      <c r="F8914" s="64" t="s">
        <v>15</v>
      </c>
      <c r="G8914" s="64" t="s">
        <v>3035</v>
      </c>
      <c r="H8914" s="64" t="s">
        <v>3022</v>
      </c>
      <c r="I8914" s="64" t="s">
        <v>3102</v>
      </c>
      <c r="J8914" s="67">
        <v>75</v>
      </c>
      <c r="K8914" s="62">
        <v>708</v>
      </c>
      <c r="L8914" s="33" t="e">
        <f>HLOOKUP(B8914,#REF!,1,0)</f>
        <v>#REF!</v>
      </c>
      <c r="M8914" s="33" t="str">
        <f t="shared" si="559"/>
        <v>P&amp;L</v>
      </c>
    </row>
    <row r="8915" spans="1:13">
      <c r="A8915" s="33" t="str">
        <f t="shared" si="556"/>
        <v>SCL - Operating Expense</v>
      </c>
      <c r="B8915" s="33" t="str">
        <f t="shared" si="557"/>
        <v>SCL</v>
      </c>
      <c r="C8915" s="33" t="str">
        <f t="shared" si="558"/>
        <v>62510-7493</v>
      </c>
      <c r="D8915" s="64" t="s">
        <v>10165</v>
      </c>
      <c r="E8915" s="64" t="s">
        <v>3111</v>
      </c>
      <c r="F8915" s="64" t="s">
        <v>15</v>
      </c>
      <c r="G8915" s="64" t="s">
        <v>3035</v>
      </c>
      <c r="H8915" s="64" t="s">
        <v>3022</v>
      </c>
      <c r="I8915" s="64" t="s">
        <v>3102</v>
      </c>
      <c r="J8915" s="67">
        <v>85.03</v>
      </c>
      <c r="K8915" s="62">
        <v>817.07</v>
      </c>
      <c r="L8915" s="33" t="e">
        <f>HLOOKUP(B8915,#REF!,1,0)</f>
        <v>#REF!</v>
      </c>
      <c r="M8915" s="33" t="str">
        <f t="shared" si="559"/>
        <v>P&amp;L</v>
      </c>
    </row>
    <row r="8916" spans="1:13">
      <c r="A8916" s="33" t="str">
        <f t="shared" si="556"/>
        <v>SCL - Operating Expense</v>
      </c>
      <c r="B8916" s="33" t="str">
        <f t="shared" si="557"/>
        <v>SCL</v>
      </c>
      <c r="C8916" s="33" t="str">
        <f t="shared" si="558"/>
        <v>62510-7494</v>
      </c>
      <c r="D8916" s="64" t="s">
        <v>10166</v>
      </c>
      <c r="E8916" s="64" t="s">
        <v>3111</v>
      </c>
      <c r="F8916" s="64" t="s">
        <v>15</v>
      </c>
      <c r="G8916" s="64" t="s">
        <v>3035</v>
      </c>
      <c r="H8916" s="64" t="s">
        <v>3022</v>
      </c>
      <c r="I8916" s="64" t="s">
        <v>3102</v>
      </c>
      <c r="J8916" s="67">
        <v>75</v>
      </c>
      <c r="K8916" s="62">
        <v>708</v>
      </c>
      <c r="L8916" s="33" t="e">
        <f>HLOOKUP(B8916,#REF!,1,0)</f>
        <v>#REF!</v>
      </c>
      <c r="M8916" s="33" t="str">
        <f t="shared" si="559"/>
        <v>P&amp;L</v>
      </c>
    </row>
    <row r="8917" spans="1:13">
      <c r="A8917" s="33" t="str">
        <f t="shared" si="556"/>
        <v>SCL - Operating Expense</v>
      </c>
      <c r="B8917" s="33" t="str">
        <f t="shared" si="557"/>
        <v>SCL</v>
      </c>
      <c r="C8917" s="33" t="str">
        <f t="shared" si="558"/>
        <v>62510-7625</v>
      </c>
      <c r="D8917" s="64" t="s">
        <v>10167</v>
      </c>
      <c r="E8917" s="64" t="s">
        <v>3111</v>
      </c>
      <c r="F8917" s="64" t="s">
        <v>15</v>
      </c>
      <c r="G8917" s="64" t="s">
        <v>3035</v>
      </c>
      <c r="H8917" s="64" t="s">
        <v>3022</v>
      </c>
      <c r="I8917" s="64" t="s">
        <v>3102</v>
      </c>
      <c r="J8917" s="67">
        <v>85.03</v>
      </c>
      <c r="K8917" s="62">
        <v>802.86</v>
      </c>
      <c r="L8917" s="33" t="e">
        <f>HLOOKUP(B8917,#REF!,1,0)</f>
        <v>#REF!</v>
      </c>
      <c r="M8917" s="33" t="str">
        <f t="shared" si="559"/>
        <v>P&amp;L</v>
      </c>
    </row>
    <row r="8918" spans="1:13">
      <c r="A8918" s="33" t="str">
        <f t="shared" si="556"/>
        <v>SCL - Operating Expense</v>
      </c>
      <c r="B8918" s="33" t="str">
        <f t="shared" si="557"/>
        <v>SCL</v>
      </c>
      <c r="C8918" s="33" t="str">
        <f t="shared" si="558"/>
        <v>62510-8150</v>
      </c>
      <c r="D8918" s="64" t="s">
        <v>10168</v>
      </c>
      <c r="E8918" s="64" t="s">
        <v>3111</v>
      </c>
      <c r="F8918" s="64" t="s">
        <v>15</v>
      </c>
      <c r="G8918" s="64" t="s">
        <v>3035</v>
      </c>
      <c r="H8918" s="64" t="s">
        <v>3022</v>
      </c>
      <c r="I8918" s="64" t="s">
        <v>3102</v>
      </c>
      <c r="J8918" s="67">
        <v>85.03</v>
      </c>
      <c r="K8918" s="62">
        <v>802.86</v>
      </c>
      <c r="L8918" s="33" t="e">
        <f>HLOOKUP(B8918,#REF!,1,0)</f>
        <v>#REF!</v>
      </c>
      <c r="M8918" s="33" t="str">
        <f t="shared" si="559"/>
        <v>P&amp;L</v>
      </c>
    </row>
    <row r="8919" spans="1:13">
      <c r="A8919" s="33" t="str">
        <f t="shared" si="556"/>
        <v>SCL - Operating Expense</v>
      </c>
      <c r="B8919" s="33" t="str">
        <f t="shared" si="557"/>
        <v>SCL</v>
      </c>
      <c r="C8919" s="33" t="str">
        <f t="shared" si="558"/>
        <v>62511-7351</v>
      </c>
      <c r="D8919" s="64" t="s">
        <v>10169</v>
      </c>
      <c r="E8919" s="64" t="s">
        <v>3116</v>
      </c>
      <c r="F8919" s="64" t="s">
        <v>15</v>
      </c>
      <c r="G8919" s="64" t="s">
        <v>3035</v>
      </c>
      <c r="H8919" s="64" t="s">
        <v>3022</v>
      </c>
      <c r="I8919" s="64" t="s">
        <v>3036</v>
      </c>
      <c r="J8919" s="67">
        <v>0</v>
      </c>
      <c r="K8919" s="62">
        <v>837.95</v>
      </c>
      <c r="L8919" s="33" t="e">
        <f>HLOOKUP(B8919,#REF!,1,0)</f>
        <v>#REF!</v>
      </c>
      <c r="M8919" s="33" t="str">
        <f t="shared" si="559"/>
        <v>P&amp;L</v>
      </c>
    </row>
    <row r="8920" spans="1:13">
      <c r="A8920" s="33" t="str">
        <f t="shared" si="556"/>
        <v>SCL - Operating Expense</v>
      </c>
      <c r="B8920" s="33" t="str">
        <f t="shared" si="557"/>
        <v>SCL</v>
      </c>
      <c r="C8920" s="33" t="str">
        <f t="shared" si="558"/>
        <v>62511-7355</v>
      </c>
      <c r="D8920" s="64" t="s">
        <v>10170</v>
      </c>
      <c r="E8920" s="64" t="s">
        <v>3116</v>
      </c>
      <c r="F8920" s="64" t="s">
        <v>15</v>
      </c>
      <c r="G8920" s="64" t="s">
        <v>3035</v>
      </c>
      <c r="H8920" s="64" t="s">
        <v>3022</v>
      </c>
      <c r="I8920" s="64" t="s">
        <v>3036</v>
      </c>
      <c r="J8920" s="67">
        <v>376.76</v>
      </c>
      <c r="K8920" s="62">
        <v>1560.29</v>
      </c>
      <c r="L8920" s="33" t="e">
        <f>HLOOKUP(B8920,#REF!,1,0)</f>
        <v>#REF!</v>
      </c>
      <c r="M8920" s="33" t="str">
        <f t="shared" si="559"/>
        <v>P&amp;L</v>
      </c>
    </row>
    <row r="8921" spans="1:13">
      <c r="A8921" s="33" t="str">
        <f t="shared" si="556"/>
        <v>SCL - Operating Expense</v>
      </c>
      <c r="B8921" s="33" t="str">
        <f t="shared" si="557"/>
        <v>SCL</v>
      </c>
      <c r="C8921" s="33" t="str">
        <f t="shared" si="558"/>
        <v>62511-7356</v>
      </c>
      <c r="D8921" s="64" t="s">
        <v>10171</v>
      </c>
      <c r="E8921" s="64" t="s">
        <v>3116</v>
      </c>
      <c r="F8921" s="64" t="s">
        <v>15</v>
      </c>
      <c r="G8921" s="64" t="s">
        <v>3035</v>
      </c>
      <c r="H8921" s="64" t="s">
        <v>3022</v>
      </c>
      <c r="I8921" s="64" t="s">
        <v>3036</v>
      </c>
      <c r="J8921" s="67">
        <v>0</v>
      </c>
      <c r="K8921" s="62">
        <v>476.12</v>
      </c>
      <c r="L8921" s="33" t="e">
        <f>HLOOKUP(B8921,#REF!,1,0)</f>
        <v>#REF!</v>
      </c>
      <c r="M8921" s="33" t="str">
        <f t="shared" si="559"/>
        <v>P&amp;L</v>
      </c>
    </row>
    <row r="8922" spans="1:13">
      <c r="A8922" s="33" t="str">
        <f t="shared" si="556"/>
        <v>SCL - Operating Expense</v>
      </c>
      <c r="B8922" s="33" t="str">
        <f t="shared" si="557"/>
        <v>SCL</v>
      </c>
      <c r="C8922" s="33" t="str">
        <f t="shared" si="558"/>
        <v>62511-7359</v>
      </c>
      <c r="D8922" s="64" t="s">
        <v>10172</v>
      </c>
      <c r="E8922" s="64" t="s">
        <v>3116</v>
      </c>
      <c r="F8922" s="64" t="s">
        <v>15</v>
      </c>
      <c r="G8922" s="64" t="s">
        <v>3035</v>
      </c>
      <c r="H8922" s="64" t="s">
        <v>3022</v>
      </c>
      <c r="I8922" s="64" t="s">
        <v>3036</v>
      </c>
      <c r="J8922" s="67">
        <v>0</v>
      </c>
      <c r="K8922" s="62">
        <v>700.47</v>
      </c>
      <c r="L8922" s="33" t="e">
        <f>HLOOKUP(B8922,#REF!,1,0)</f>
        <v>#REF!</v>
      </c>
      <c r="M8922" s="33" t="str">
        <f t="shared" si="559"/>
        <v>P&amp;L</v>
      </c>
    </row>
    <row r="8923" spans="1:13">
      <c r="A8923" s="33" t="str">
        <f t="shared" si="556"/>
        <v>SCL - Operating Expense</v>
      </c>
      <c r="B8923" s="33" t="str">
        <f t="shared" si="557"/>
        <v>SCL</v>
      </c>
      <c r="C8923" s="33" t="str">
        <f t="shared" si="558"/>
        <v>62511-7360</v>
      </c>
      <c r="D8923" s="64" t="s">
        <v>10173</v>
      </c>
      <c r="E8923" s="64" t="s">
        <v>3116</v>
      </c>
      <c r="F8923" s="64" t="s">
        <v>15</v>
      </c>
      <c r="G8923" s="64" t="s">
        <v>3035</v>
      </c>
      <c r="H8923" s="64" t="s">
        <v>3022</v>
      </c>
      <c r="I8923" s="64" t="s">
        <v>3036</v>
      </c>
      <c r="J8923" s="67">
        <v>0</v>
      </c>
      <c r="K8923" s="62">
        <v>872.4</v>
      </c>
      <c r="L8923" s="33" t="e">
        <f>HLOOKUP(B8923,#REF!,1,0)</f>
        <v>#REF!</v>
      </c>
      <c r="M8923" s="33" t="str">
        <f t="shared" si="559"/>
        <v>P&amp;L</v>
      </c>
    </row>
    <row r="8924" spans="1:13">
      <c r="A8924" s="33" t="str">
        <f t="shared" si="556"/>
        <v>SCL - Operating Expense</v>
      </c>
      <c r="B8924" s="33" t="str">
        <f t="shared" si="557"/>
        <v>SCL</v>
      </c>
      <c r="C8924" s="33" t="str">
        <f t="shared" si="558"/>
        <v>62511-7361</v>
      </c>
      <c r="D8924" s="64" t="s">
        <v>10174</v>
      </c>
      <c r="E8924" s="64" t="s">
        <v>3116</v>
      </c>
      <c r="F8924" s="64" t="s">
        <v>15</v>
      </c>
      <c r="G8924" s="64" t="s">
        <v>3035</v>
      </c>
      <c r="H8924" s="64" t="s">
        <v>3022</v>
      </c>
      <c r="I8924" s="64" t="s">
        <v>3036</v>
      </c>
      <c r="J8924" s="67">
        <v>0</v>
      </c>
      <c r="K8924" s="62">
        <v>329.68</v>
      </c>
      <c r="L8924" s="33" t="e">
        <f>HLOOKUP(B8924,#REF!,1,0)</f>
        <v>#REF!</v>
      </c>
      <c r="M8924" s="33" t="str">
        <f t="shared" si="559"/>
        <v>P&amp;L</v>
      </c>
    </row>
    <row r="8925" spans="1:13">
      <c r="A8925" s="33" t="str">
        <f t="shared" si="556"/>
        <v>SCL - Operating Expense</v>
      </c>
      <c r="B8925" s="33" t="str">
        <f t="shared" si="557"/>
        <v>SCL</v>
      </c>
      <c r="C8925" s="33" t="str">
        <f t="shared" si="558"/>
        <v>62511-7362</v>
      </c>
      <c r="D8925" s="64" t="s">
        <v>10175</v>
      </c>
      <c r="E8925" s="64" t="s">
        <v>3116</v>
      </c>
      <c r="F8925" s="64" t="s">
        <v>15</v>
      </c>
      <c r="G8925" s="64" t="s">
        <v>3035</v>
      </c>
      <c r="H8925" s="64" t="s">
        <v>3022</v>
      </c>
      <c r="I8925" s="64" t="s">
        <v>3036</v>
      </c>
      <c r="J8925" s="67">
        <v>0</v>
      </c>
      <c r="K8925" s="62">
        <v>482.19</v>
      </c>
      <c r="L8925" s="33" t="e">
        <f>HLOOKUP(B8925,#REF!,1,0)</f>
        <v>#REF!</v>
      </c>
      <c r="M8925" s="33" t="str">
        <f t="shared" si="559"/>
        <v>P&amp;L</v>
      </c>
    </row>
    <row r="8926" spans="1:13">
      <c r="A8926" s="33" t="str">
        <f t="shared" si="556"/>
        <v>SCL - Operating Expense</v>
      </c>
      <c r="B8926" s="33" t="str">
        <f t="shared" si="557"/>
        <v>SCL</v>
      </c>
      <c r="C8926" s="33" t="str">
        <f t="shared" si="558"/>
        <v>62511-7363</v>
      </c>
      <c r="D8926" s="64" t="s">
        <v>10176</v>
      </c>
      <c r="E8926" s="64" t="s">
        <v>3116</v>
      </c>
      <c r="F8926" s="64" t="s">
        <v>15</v>
      </c>
      <c r="G8926" s="64" t="s">
        <v>3035</v>
      </c>
      <c r="H8926" s="64" t="s">
        <v>3022</v>
      </c>
      <c r="I8926" s="64" t="s">
        <v>3036</v>
      </c>
      <c r="J8926" s="67">
        <v>0</v>
      </c>
      <c r="K8926" s="62">
        <v>650.87</v>
      </c>
      <c r="L8926" s="33" t="e">
        <f>HLOOKUP(B8926,#REF!,1,0)</f>
        <v>#REF!</v>
      </c>
      <c r="M8926" s="33" t="str">
        <f t="shared" si="559"/>
        <v>P&amp;L</v>
      </c>
    </row>
    <row r="8927" spans="1:13">
      <c r="A8927" s="33" t="str">
        <f t="shared" si="556"/>
        <v>SCL - Operating Expense</v>
      </c>
      <c r="B8927" s="33" t="str">
        <f t="shared" si="557"/>
        <v>SCL</v>
      </c>
      <c r="C8927" s="33" t="str">
        <f t="shared" si="558"/>
        <v>62511-7364</v>
      </c>
      <c r="D8927" s="64" t="s">
        <v>10177</v>
      </c>
      <c r="E8927" s="64" t="s">
        <v>3116</v>
      </c>
      <c r="F8927" s="64" t="s">
        <v>15</v>
      </c>
      <c r="G8927" s="64" t="s">
        <v>3035</v>
      </c>
      <c r="H8927" s="64" t="s">
        <v>3022</v>
      </c>
      <c r="I8927" s="64" t="s">
        <v>3036</v>
      </c>
      <c r="J8927" s="67">
        <v>0</v>
      </c>
      <c r="K8927" s="62">
        <v>357.6</v>
      </c>
      <c r="L8927" s="33" t="e">
        <f>HLOOKUP(B8927,#REF!,1,0)</f>
        <v>#REF!</v>
      </c>
      <c r="M8927" s="33" t="str">
        <f t="shared" si="559"/>
        <v>P&amp;L</v>
      </c>
    </row>
    <row r="8928" spans="1:13">
      <c r="A8928" s="33" t="str">
        <f t="shared" si="556"/>
        <v>SCL - Operating Expense</v>
      </c>
      <c r="B8928" s="33" t="str">
        <f t="shared" si="557"/>
        <v>SCL</v>
      </c>
      <c r="C8928" s="33" t="str">
        <f t="shared" si="558"/>
        <v>62511-7365</v>
      </c>
      <c r="D8928" s="64" t="s">
        <v>10178</v>
      </c>
      <c r="E8928" s="64" t="s">
        <v>3116</v>
      </c>
      <c r="F8928" s="64" t="s">
        <v>15</v>
      </c>
      <c r="G8928" s="64" t="s">
        <v>3035</v>
      </c>
      <c r="H8928" s="64" t="s">
        <v>3022</v>
      </c>
      <c r="I8928" s="64" t="s">
        <v>3036</v>
      </c>
      <c r="J8928" s="67">
        <v>0</v>
      </c>
      <c r="K8928" s="62">
        <v>349.93</v>
      </c>
      <c r="L8928" s="33" t="e">
        <f>HLOOKUP(B8928,#REF!,1,0)</f>
        <v>#REF!</v>
      </c>
      <c r="M8928" s="33" t="str">
        <f t="shared" si="559"/>
        <v>P&amp;L</v>
      </c>
    </row>
    <row r="8929" spans="1:13">
      <c r="A8929" s="33" t="str">
        <f t="shared" si="556"/>
        <v>SCL - Operating Expense</v>
      </c>
      <c r="B8929" s="33" t="str">
        <f t="shared" si="557"/>
        <v>SCL</v>
      </c>
      <c r="C8929" s="33" t="str">
        <f t="shared" si="558"/>
        <v>62511-7366</v>
      </c>
      <c r="D8929" s="64" t="s">
        <v>10179</v>
      </c>
      <c r="E8929" s="64" t="s">
        <v>3116</v>
      </c>
      <c r="F8929" s="64" t="s">
        <v>15</v>
      </c>
      <c r="G8929" s="64" t="s">
        <v>3035</v>
      </c>
      <c r="H8929" s="64" t="s">
        <v>3022</v>
      </c>
      <c r="I8929" s="64" t="s">
        <v>3036</v>
      </c>
      <c r="J8929" s="67">
        <v>0</v>
      </c>
      <c r="K8929" s="62">
        <v>973.79</v>
      </c>
      <c r="L8929" s="33" t="e">
        <f>HLOOKUP(B8929,#REF!,1,0)</f>
        <v>#REF!</v>
      </c>
      <c r="M8929" s="33" t="str">
        <f t="shared" si="559"/>
        <v>P&amp;L</v>
      </c>
    </row>
    <row r="8930" spans="1:13">
      <c r="A8930" s="33" t="str">
        <f t="shared" si="556"/>
        <v>SCL - Operating Expense</v>
      </c>
      <c r="B8930" s="33" t="str">
        <f t="shared" si="557"/>
        <v>SCL</v>
      </c>
      <c r="C8930" s="33" t="str">
        <f t="shared" si="558"/>
        <v>62511-7368</v>
      </c>
      <c r="D8930" s="64" t="s">
        <v>10180</v>
      </c>
      <c r="E8930" s="64" t="s">
        <v>3116</v>
      </c>
      <c r="F8930" s="64" t="s">
        <v>15</v>
      </c>
      <c r="G8930" s="64" t="s">
        <v>3035</v>
      </c>
      <c r="H8930" s="64" t="s">
        <v>3022</v>
      </c>
      <c r="I8930" s="64" t="s">
        <v>3036</v>
      </c>
      <c r="J8930" s="67">
        <v>392.25</v>
      </c>
      <c r="K8930" s="62">
        <v>966.79</v>
      </c>
      <c r="L8930" s="33" t="e">
        <f>HLOOKUP(B8930,#REF!,1,0)</f>
        <v>#REF!</v>
      </c>
      <c r="M8930" s="33" t="str">
        <f t="shared" si="559"/>
        <v>P&amp;L</v>
      </c>
    </row>
    <row r="8931" spans="1:13">
      <c r="A8931" s="33" t="str">
        <f t="shared" si="556"/>
        <v>SCL - Operating Expense</v>
      </c>
      <c r="B8931" s="33" t="str">
        <f t="shared" si="557"/>
        <v>SCL</v>
      </c>
      <c r="C8931" s="33" t="str">
        <f t="shared" si="558"/>
        <v>62511-7369</v>
      </c>
      <c r="D8931" s="64" t="s">
        <v>10181</v>
      </c>
      <c r="E8931" s="64" t="s">
        <v>3116</v>
      </c>
      <c r="F8931" s="64" t="s">
        <v>15</v>
      </c>
      <c r="G8931" s="64" t="s">
        <v>3035</v>
      </c>
      <c r="H8931" s="64" t="s">
        <v>3022</v>
      </c>
      <c r="I8931" s="64" t="s">
        <v>3036</v>
      </c>
      <c r="J8931" s="67">
        <v>0</v>
      </c>
      <c r="K8931" s="62">
        <v>297.38</v>
      </c>
      <c r="L8931" s="33" t="e">
        <f>HLOOKUP(B8931,#REF!,1,0)</f>
        <v>#REF!</v>
      </c>
      <c r="M8931" s="33" t="str">
        <f t="shared" si="559"/>
        <v>P&amp;L</v>
      </c>
    </row>
    <row r="8932" spans="1:13">
      <c r="A8932" s="33" t="str">
        <f t="shared" si="556"/>
        <v>SCL - Operating Expense</v>
      </c>
      <c r="B8932" s="33" t="str">
        <f t="shared" si="557"/>
        <v>SCL</v>
      </c>
      <c r="C8932" s="33" t="str">
        <f t="shared" si="558"/>
        <v>62511-7371</v>
      </c>
      <c r="D8932" s="64" t="s">
        <v>10182</v>
      </c>
      <c r="E8932" s="64" t="s">
        <v>3116</v>
      </c>
      <c r="F8932" s="64" t="s">
        <v>15</v>
      </c>
      <c r="G8932" s="64" t="s">
        <v>3035</v>
      </c>
      <c r="H8932" s="64" t="s">
        <v>3022</v>
      </c>
      <c r="I8932" s="64" t="s">
        <v>3036</v>
      </c>
      <c r="J8932" s="67">
        <v>0</v>
      </c>
      <c r="K8932" s="62">
        <v>678.07</v>
      </c>
      <c r="L8932" s="33" t="e">
        <f>HLOOKUP(B8932,#REF!,1,0)</f>
        <v>#REF!</v>
      </c>
      <c r="M8932" s="33" t="str">
        <f t="shared" si="559"/>
        <v>P&amp;L</v>
      </c>
    </row>
    <row r="8933" spans="1:13">
      <c r="A8933" s="33" t="str">
        <f t="shared" si="556"/>
        <v>SCL - Operating Expense</v>
      </c>
      <c r="B8933" s="33" t="str">
        <f t="shared" si="557"/>
        <v>SCL</v>
      </c>
      <c r="C8933" s="33" t="str">
        <f t="shared" si="558"/>
        <v>62511-7374</v>
      </c>
      <c r="D8933" s="64" t="s">
        <v>10183</v>
      </c>
      <c r="E8933" s="64" t="s">
        <v>3116</v>
      </c>
      <c r="F8933" s="64" t="s">
        <v>15</v>
      </c>
      <c r="G8933" s="64" t="s">
        <v>3035</v>
      </c>
      <c r="H8933" s="64" t="s">
        <v>3022</v>
      </c>
      <c r="I8933" s="64" t="s">
        <v>3036</v>
      </c>
      <c r="J8933" s="67">
        <v>420.35</v>
      </c>
      <c r="K8933" s="62">
        <v>750.58</v>
      </c>
      <c r="L8933" s="33" t="e">
        <f>HLOOKUP(B8933,#REF!,1,0)</f>
        <v>#REF!</v>
      </c>
      <c r="M8933" s="33" t="str">
        <f t="shared" si="559"/>
        <v>P&amp;L</v>
      </c>
    </row>
    <row r="8934" spans="1:13">
      <c r="A8934" s="33" t="str">
        <f t="shared" si="556"/>
        <v>SCL - Operating Expense</v>
      </c>
      <c r="B8934" s="33" t="str">
        <f t="shared" si="557"/>
        <v>SCL</v>
      </c>
      <c r="C8934" s="33" t="str">
        <f t="shared" si="558"/>
        <v>62511-7375</v>
      </c>
      <c r="D8934" s="64" t="s">
        <v>10184</v>
      </c>
      <c r="E8934" s="64" t="s">
        <v>3116</v>
      </c>
      <c r="F8934" s="64" t="s">
        <v>15</v>
      </c>
      <c r="G8934" s="64" t="s">
        <v>3035</v>
      </c>
      <c r="H8934" s="64" t="s">
        <v>3022</v>
      </c>
      <c r="I8934" s="64" t="s">
        <v>3036</v>
      </c>
      <c r="J8934" s="67">
        <v>0</v>
      </c>
      <c r="K8934" s="62">
        <v>657.62</v>
      </c>
      <c r="L8934" s="33" t="e">
        <f>HLOOKUP(B8934,#REF!,1,0)</f>
        <v>#REF!</v>
      </c>
      <c r="M8934" s="33" t="str">
        <f t="shared" si="559"/>
        <v>P&amp;L</v>
      </c>
    </row>
    <row r="8935" spans="1:13">
      <c r="A8935" s="33" t="str">
        <f t="shared" si="556"/>
        <v>SCL - Operating Expense</v>
      </c>
      <c r="B8935" s="33" t="str">
        <f t="shared" si="557"/>
        <v>SCL</v>
      </c>
      <c r="C8935" s="33" t="str">
        <f t="shared" si="558"/>
        <v>62511-7376</v>
      </c>
      <c r="D8935" s="64" t="s">
        <v>10185</v>
      </c>
      <c r="E8935" s="64" t="s">
        <v>3116</v>
      </c>
      <c r="F8935" s="64" t="s">
        <v>15</v>
      </c>
      <c r="G8935" s="64" t="s">
        <v>3035</v>
      </c>
      <c r="H8935" s="64" t="s">
        <v>3022</v>
      </c>
      <c r="I8935" s="64" t="s">
        <v>3036</v>
      </c>
      <c r="J8935" s="67">
        <v>0</v>
      </c>
      <c r="K8935" s="62">
        <v>923.08</v>
      </c>
      <c r="L8935" s="33" t="e">
        <f>HLOOKUP(B8935,#REF!,1,0)</f>
        <v>#REF!</v>
      </c>
      <c r="M8935" s="33" t="str">
        <f t="shared" si="559"/>
        <v>P&amp;L</v>
      </c>
    </row>
    <row r="8936" spans="1:13">
      <c r="A8936" s="33" t="str">
        <f t="shared" si="556"/>
        <v>SCL - Operating Expense</v>
      </c>
      <c r="B8936" s="33" t="str">
        <f t="shared" si="557"/>
        <v>SCL</v>
      </c>
      <c r="C8936" s="33" t="str">
        <f t="shared" si="558"/>
        <v>62511-7377</v>
      </c>
      <c r="D8936" s="64" t="s">
        <v>10186</v>
      </c>
      <c r="E8936" s="64" t="s">
        <v>3116</v>
      </c>
      <c r="F8936" s="64" t="s">
        <v>15</v>
      </c>
      <c r="G8936" s="64" t="s">
        <v>3035</v>
      </c>
      <c r="H8936" s="64" t="s">
        <v>3022</v>
      </c>
      <c r="I8936" s="64" t="s">
        <v>3036</v>
      </c>
      <c r="J8936" s="67">
        <v>0</v>
      </c>
      <c r="K8936" s="62">
        <v>618.99</v>
      </c>
      <c r="L8936" s="33" t="e">
        <f>HLOOKUP(B8936,#REF!,1,0)</f>
        <v>#REF!</v>
      </c>
      <c r="M8936" s="33" t="str">
        <f t="shared" si="559"/>
        <v>P&amp;L</v>
      </c>
    </row>
    <row r="8937" spans="1:13">
      <c r="A8937" s="33" t="str">
        <f t="shared" si="556"/>
        <v>SCL - Operating Expense</v>
      </c>
      <c r="B8937" s="33" t="str">
        <f t="shared" si="557"/>
        <v>SCL</v>
      </c>
      <c r="C8937" s="33" t="str">
        <f t="shared" si="558"/>
        <v>62511-7378</v>
      </c>
      <c r="D8937" s="64" t="s">
        <v>10187</v>
      </c>
      <c r="E8937" s="64" t="s">
        <v>3116</v>
      </c>
      <c r="F8937" s="64" t="s">
        <v>15</v>
      </c>
      <c r="G8937" s="64" t="s">
        <v>3035</v>
      </c>
      <c r="H8937" s="64" t="s">
        <v>3022</v>
      </c>
      <c r="I8937" s="64" t="s">
        <v>3036</v>
      </c>
      <c r="J8937" s="67">
        <v>0</v>
      </c>
      <c r="K8937" s="62">
        <v>330.23</v>
      </c>
      <c r="L8937" s="33" t="e">
        <f>HLOOKUP(B8937,#REF!,1,0)</f>
        <v>#REF!</v>
      </c>
      <c r="M8937" s="33" t="str">
        <f t="shared" si="559"/>
        <v>P&amp;L</v>
      </c>
    </row>
    <row r="8938" spans="1:13">
      <c r="A8938" s="33" t="str">
        <f t="shared" si="556"/>
        <v>SCL - Operating Expense</v>
      </c>
      <c r="B8938" s="33" t="str">
        <f t="shared" si="557"/>
        <v>SCL</v>
      </c>
      <c r="C8938" s="33" t="str">
        <f t="shared" si="558"/>
        <v>62511-7379</v>
      </c>
      <c r="D8938" s="64" t="s">
        <v>10188</v>
      </c>
      <c r="E8938" s="64" t="s">
        <v>3116</v>
      </c>
      <c r="F8938" s="64" t="s">
        <v>15</v>
      </c>
      <c r="G8938" s="64" t="s">
        <v>3035</v>
      </c>
      <c r="H8938" s="64" t="s">
        <v>3022</v>
      </c>
      <c r="I8938" s="64" t="s">
        <v>3036</v>
      </c>
      <c r="J8938" s="67">
        <v>0</v>
      </c>
      <c r="K8938" s="62">
        <v>369.65</v>
      </c>
      <c r="L8938" s="33" t="e">
        <f>HLOOKUP(B8938,#REF!,1,0)</f>
        <v>#REF!</v>
      </c>
      <c r="M8938" s="33" t="str">
        <f t="shared" si="559"/>
        <v>P&amp;L</v>
      </c>
    </row>
    <row r="8939" spans="1:13">
      <c r="A8939" s="33" t="str">
        <f t="shared" si="556"/>
        <v>SCL - Operating Expense</v>
      </c>
      <c r="B8939" s="33" t="str">
        <f t="shared" si="557"/>
        <v>SCL</v>
      </c>
      <c r="C8939" s="33" t="str">
        <f t="shared" si="558"/>
        <v>62511-7380</v>
      </c>
      <c r="D8939" s="64" t="s">
        <v>10189</v>
      </c>
      <c r="E8939" s="64" t="s">
        <v>3116</v>
      </c>
      <c r="F8939" s="64" t="s">
        <v>15</v>
      </c>
      <c r="G8939" s="64" t="s">
        <v>3035</v>
      </c>
      <c r="H8939" s="64" t="s">
        <v>3022</v>
      </c>
      <c r="I8939" s="64" t="s">
        <v>3036</v>
      </c>
      <c r="J8939" s="67">
        <v>0</v>
      </c>
      <c r="K8939" s="62">
        <v>336.8</v>
      </c>
      <c r="L8939" s="33" t="e">
        <f>HLOOKUP(B8939,#REF!,1,0)</f>
        <v>#REF!</v>
      </c>
      <c r="M8939" s="33" t="str">
        <f t="shared" si="559"/>
        <v>P&amp;L</v>
      </c>
    </row>
    <row r="8940" spans="1:13">
      <c r="A8940" s="33" t="str">
        <f t="shared" si="556"/>
        <v>SCL - Operating Expense</v>
      </c>
      <c r="B8940" s="33" t="str">
        <f t="shared" si="557"/>
        <v>SCL</v>
      </c>
      <c r="C8940" s="33" t="str">
        <f t="shared" si="558"/>
        <v>62511-7381</v>
      </c>
      <c r="D8940" s="64" t="s">
        <v>10190</v>
      </c>
      <c r="E8940" s="64" t="s">
        <v>3116</v>
      </c>
      <c r="F8940" s="64" t="s">
        <v>15</v>
      </c>
      <c r="G8940" s="64" t="s">
        <v>3035</v>
      </c>
      <c r="H8940" s="64" t="s">
        <v>3022</v>
      </c>
      <c r="I8940" s="64" t="s">
        <v>3036</v>
      </c>
      <c r="J8940" s="67">
        <v>0</v>
      </c>
      <c r="K8940" s="62">
        <v>377.73</v>
      </c>
      <c r="L8940" s="33" t="e">
        <f>HLOOKUP(B8940,#REF!,1,0)</f>
        <v>#REF!</v>
      </c>
      <c r="M8940" s="33" t="str">
        <f t="shared" si="559"/>
        <v>P&amp;L</v>
      </c>
    </row>
    <row r="8941" spans="1:13">
      <c r="A8941" s="33" t="str">
        <f t="shared" si="556"/>
        <v>SCL - Operating Expense</v>
      </c>
      <c r="B8941" s="33" t="str">
        <f t="shared" si="557"/>
        <v>SCL</v>
      </c>
      <c r="C8941" s="33" t="str">
        <f t="shared" si="558"/>
        <v>62511-7383</v>
      </c>
      <c r="D8941" s="64" t="s">
        <v>10191</v>
      </c>
      <c r="E8941" s="64" t="s">
        <v>3116</v>
      </c>
      <c r="F8941" s="64" t="s">
        <v>15</v>
      </c>
      <c r="G8941" s="64" t="s">
        <v>3035</v>
      </c>
      <c r="H8941" s="64" t="s">
        <v>3022</v>
      </c>
      <c r="I8941" s="64" t="s">
        <v>3036</v>
      </c>
      <c r="J8941" s="67">
        <v>0</v>
      </c>
      <c r="K8941" s="62">
        <v>437.31</v>
      </c>
      <c r="L8941" s="33" t="e">
        <f>HLOOKUP(B8941,#REF!,1,0)</f>
        <v>#REF!</v>
      </c>
      <c r="M8941" s="33" t="str">
        <f t="shared" si="559"/>
        <v>P&amp;L</v>
      </c>
    </row>
    <row r="8942" spans="1:13">
      <c r="A8942" s="33" t="str">
        <f t="shared" si="556"/>
        <v>SCL - Operating Expense</v>
      </c>
      <c r="B8942" s="33" t="str">
        <f t="shared" si="557"/>
        <v>SCL</v>
      </c>
      <c r="C8942" s="33" t="str">
        <f t="shared" si="558"/>
        <v>62511-7385</v>
      </c>
      <c r="D8942" s="64" t="s">
        <v>10192</v>
      </c>
      <c r="E8942" s="64" t="s">
        <v>3116</v>
      </c>
      <c r="F8942" s="64" t="s">
        <v>15</v>
      </c>
      <c r="G8942" s="64" t="s">
        <v>3035</v>
      </c>
      <c r="H8942" s="64" t="s">
        <v>3022</v>
      </c>
      <c r="I8942" s="64" t="s">
        <v>3036</v>
      </c>
      <c r="J8942" s="67">
        <v>0</v>
      </c>
      <c r="K8942" s="62">
        <v>1087.8</v>
      </c>
      <c r="L8942" s="33" t="e">
        <f>HLOOKUP(B8942,#REF!,1,0)</f>
        <v>#REF!</v>
      </c>
      <c r="M8942" s="33" t="str">
        <f t="shared" si="559"/>
        <v>P&amp;L</v>
      </c>
    </row>
    <row r="8943" spans="1:13">
      <c r="A8943" s="33" t="str">
        <f t="shared" si="556"/>
        <v>SCL - Operating Expense</v>
      </c>
      <c r="B8943" s="33" t="str">
        <f t="shared" si="557"/>
        <v>SCL</v>
      </c>
      <c r="C8943" s="33" t="str">
        <f t="shared" si="558"/>
        <v>62511-7386</v>
      </c>
      <c r="D8943" s="64" t="s">
        <v>10193</v>
      </c>
      <c r="E8943" s="64" t="s">
        <v>3116</v>
      </c>
      <c r="F8943" s="64" t="s">
        <v>15</v>
      </c>
      <c r="G8943" s="64" t="s">
        <v>3035</v>
      </c>
      <c r="H8943" s="64" t="s">
        <v>3022</v>
      </c>
      <c r="I8943" s="64" t="s">
        <v>3036</v>
      </c>
      <c r="J8943" s="67">
        <v>0</v>
      </c>
      <c r="K8943" s="62">
        <v>437.8</v>
      </c>
      <c r="L8943" s="33" t="e">
        <f>HLOOKUP(B8943,#REF!,1,0)</f>
        <v>#REF!</v>
      </c>
      <c r="M8943" s="33" t="str">
        <f t="shared" si="559"/>
        <v>P&amp;L</v>
      </c>
    </row>
    <row r="8944" spans="1:13">
      <c r="A8944" s="33" t="str">
        <f t="shared" si="556"/>
        <v>SCL - Operating Expense</v>
      </c>
      <c r="B8944" s="33" t="str">
        <f t="shared" si="557"/>
        <v>SCL</v>
      </c>
      <c r="C8944" s="33" t="str">
        <f t="shared" si="558"/>
        <v>62511-7387</v>
      </c>
      <c r="D8944" s="64" t="s">
        <v>10194</v>
      </c>
      <c r="E8944" s="64" t="s">
        <v>3116</v>
      </c>
      <c r="F8944" s="64" t="s">
        <v>15</v>
      </c>
      <c r="G8944" s="64" t="s">
        <v>3035</v>
      </c>
      <c r="H8944" s="64" t="s">
        <v>3022</v>
      </c>
      <c r="I8944" s="64" t="s">
        <v>3036</v>
      </c>
      <c r="J8944" s="67">
        <v>0</v>
      </c>
      <c r="K8944" s="62">
        <v>487.73</v>
      </c>
      <c r="L8944" s="33" t="e">
        <f>HLOOKUP(B8944,#REF!,1,0)</f>
        <v>#REF!</v>
      </c>
      <c r="M8944" s="33" t="str">
        <f t="shared" si="559"/>
        <v>P&amp;L</v>
      </c>
    </row>
    <row r="8945" spans="1:13">
      <c r="A8945" s="33" t="str">
        <f t="shared" si="556"/>
        <v>SCL - Operating Expense</v>
      </c>
      <c r="B8945" s="33" t="str">
        <f t="shared" si="557"/>
        <v>SCL</v>
      </c>
      <c r="C8945" s="33" t="str">
        <f t="shared" si="558"/>
        <v>62511-7389</v>
      </c>
      <c r="D8945" s="64" t="s">
        <v>10195</v>
      </c>
      <c r="E8945" s="64" t="s">
        <v>3116</v>
      </c>
      <c r="F8945" s="64" t="s">
        <v>15</v>
      </c>
      <c r="G8945" s="64" t="s">
        <v>3035</v>
      </c>
      <c r="H8945" s="64" t="s">
        <v>3022</v>
      </c>
      <c r="I8945" s="64" t="s">
        <v>3036</v>
      </c>
      <c r="J8945" s="67">
        <v>330.22</v>
      </c>
      <c r="K8945" s="62">
        <v>855.44</v>
      </c>
      <c r="L8945" s="33" t="e">
        <f>HLOOKUP(B8945,#REF!,1,0)</f>
        <v>#REF!</v>
      </c>
      <c r="M8945" s="33" t="str">
        <f t="shared" si="559"/>
        <v>P&amp;L</v>
      </c>
    </row>
    <row r="8946" spans="1:13">
      <c r="A8946" s="33" t="str">
        <f t="shared" si="556"/>
        <v>SCL - Operating Expense</v>
      </c>
      <c r="B8946" s="33" t="str">
        <f t="shared" si="557"/>
        <v>SCL</v>
      </c>
      <c r="C8946" s="33" t="str">
        <f t="shared" si="558"/>
        <v>62511-7391</v>
      </c>
      <c r="D8946" s="64" t="s">
        <v>10196</v>
      </c>
      <c r="E8946" s="64" t="s">
        <v>3116</v>
      </c>
      <c r="F8946" s="64" t="s">
        <v>15</v>
      </c>
      <c r="G8946" s="64" t="s">
        <v>3035</v>
      </c>
      <c r="H8946" s="64" t="s">
        <v>3022</v>
      </c>
      <c r="I8946" s="64" t="s">
        <v>3036</v>
      </c>
      <c r="J8946" s="67">
        <v>442.72</v>
      </c>
      <c r="K8946" s="62">
        <v>817.94</v>
      </c>
      <c r="L8946" s="33" t="e">
        <f>HLOOKUP(B8946,#REF!,1,0)</f>
        <v>#REF!</v>
      </c>
      <c r="M8946" s="33" t="str">
        <f t="shared" si="559"/>
        <v>P&amp;L</v>
      </c>
    </row>
    <row r="8947" spans="1:13">
      <c r="A8947" s="33" t="str">
        <f t="shared" si="556"/>
        <v>SCL - Operating Expense</v>
      </c>
      <c r="B8947" s="33" t="str">
        <f t="shared" si="557"/>
        <v>SCL</v>
      </c>
      <c r="C8947" s="33" t="str">
        <f t="shared" si="558"/>
        <v>62511-7393</v>
      </c>
      <c r="D8947" s="64" t="s">
        <v>10197</v>
      </c>
      <c r="E8947" s="64" t="s">
        <v>3116</v>
      </c>
      <c r="F8947" s="64" t="s">
        <v>15</v>
      </c>
      <c r="G8947" s="64" t="s">
        <v>3035</v>
      </c>
      <c r="H8947" s="64" t="s">
        <v>3022</v>
      </c>
      <c r="I8947" s="64" t="s">
        <v>3036</v>
      </c>
      <c r="J8947" s="67">
        <v>0</v>
      </c>
      <c r="K8947" s="62">
        <v>338.35</v>
      </c>
      <c r="L8947" s="33" t="e">
        <f>HLOOKUP(B8947,#REF!,1,0)</f>
        <v>#REF!</v>
      </c>
      <c r="M8947" s="33" t="str">
        <f t="shared" si="559"/>
        <v>P&amp;L</v>
      </c>
    </row>
    <row r="8948" spans="1:13">
      <c r="A8948" s="33" t="str">
        <f t="shared" si="556"/>
        <v>SCL - Operating Expense</v>
      </c>
      <c r="B8948" s="33" t="str">
        <f t="shared" si="557"/>
        <v>SCL</v>
      </c>
      <c r="C8948" s="33" t="str">
        <f t="shared" si="558"/>
        <v>62511-7394</v>
      </c>
      <c r="D8948" s="64" t="s">
        <v>10198</v>
      </c>
      <c r="E8948" s="64" t="s">
        <v>3116</v>
      </c>
      <c r="F8948" s="64" t="s">
        <v>15</v>
      </c>
      <c r="G8948" s="64" t="s">
        <v>3035</v>
      </c>
      <c r="H8948" s="64" t="s">
        <v>3022</v>
      </c>
      <c r="I8948" s="64" t="s">
        <v>3036</v>
      </c>
      <c r="J8948" s="67">
        <v>0</v>
      </c>
      <c r="K8948" s="62">
        <v>343.87</v>
      </c>
      <c r="L8948" s="33" t="e">
        <f>HLOOKUP(B8948,#REF!,1,0)</f>
        <v>#REF!</v>
      </c>
      <c r="M8948" s="33" t="str">
        <f t="shared" si="559"/>
        <v>P&amp;L</v>
      </c>
    </row>
    <row r="8949" spans="1:13">
      <c r="A8949" s="33" t="str">
        <f t="shared" si="556"/>
        <v>SCL - Operating Expense</v>
      </c>
      <c r="B8949" s="33" t="str">
        <f t="shared" si="557"/>
        <v>SCL</v>
      </c>
      <c r="C8949" s="33" t="str">
        <f t="shared" si="558"/>
        <v>62511-7396</v>
      </c>
      <c r="D8949" s="64" t="s">
        <v>10199</v>
      </c>
      <c r="E8949" s="64" t="s">
        <v>3116</v>
      </c>
      <c r="F8949" s="64" t="s">
        <v>15</v>
      </c>
      <c r="G8949" s="64" t="s">
        <v>3035</v>
      </c>
      <c r="H8949" s="64" t="s">
        <v>3022</v>
      </c>
      <c r="I8949" s="64" t="s">
        <v>3036</v>
      </c>
      <c r="J8949" s="67">
        <v>0</v>
      </c>
      <c r="K8949" s="62">
        <v>358.15</v>
      </c>
      <c r="L8949" s="33" t="e">
        <f>HLOOKUP(B8949,#REF!,1,0)</f>
        <v>#REF!</v>
      </c>
      <c r="M8949" s="33" t="str">
        <f t="shared" si="559"/>
        <v>P&amp;L</v>
      </c>
    </row>
    <row r="8950" spans="1:13">
      <c r="A8950" s="33" t="str">
        <f t="shared" si="556"/>
        <v>SCL - Operating Expense</v>
      </c>
      <c r="B8950" s="33" t="str">
        <f t="shared" si="557"/>
        <v>SCL</v>
      </c>
      <c r="C8950" s="33" t="str">
        <f t="shared" si="558"/>
        <v>62511-7397</v>
      </c>
      <c r="D8950" s="64" t="s">
        <v>10200</v>
      </c>
      <c r="E8950" s="64" t="s">
        <v>3116</v>
      </c>
      <c r="F8950" s="64" t="s">
        <v>15</v>
      </c>
      <c r="G8950" s="64" t="s">
        <v>3035</v>
      </c>
      <c r="H8950" s="64" t="s">
        <v>3022</v>
      </c>
      <c r="I8950" s="64" t="s">
        <v>3036</v>
      </c>
      <c r="J8950" s="67">
        <v>389.42</v>
      </c>
      <c r="K8950" s="62">
        <v>880.54</v>
      </c>
      <c r="L8950" s="33" t="e">
        <f>HLOOKUP(B8950,#REF!,1,0)</f>
        <v>#REF!</v>
      </c>
      <c r="M8950" s="33" t="str">
        <f t="shared" si="559"/>
        <v>P&amp;L</v>
      </c>
    </row>
    <row r="8951" spans="1:13">
      <c r="A8951" s="33" t="str">
        <f t="shared" si="556"/>
        <v>SCL - Operating Expense</v>
      </c>
      <c r="B8951" s="33" t="str">
        <f t="shared" si="557"/>
        <v>SCL</v>
      </c>
      <c r="C8951" s="33" t="str">
        <f t="shared" si="558"/>
        <v>62511-7398</v>
      </c>
      <c r="D8951" s="64" t="s">
        <v>10201</v>
      </c>
      <c r="E8951" s="64" t="s">
        <v>3116</v>
      </c>
      <c r="F8951" s="64" t="s">
        <v>15</v>
      </c>
      <c r="G8951" s="64" t="s">
        <v>3035</v>
      </c>
      <c r="H8951" s="64" t="s">
        <v>3022</v>
      </c>
      <c r="I8951" s="64" t="s">
        <v>3036</v>
      </c>
      <c r="J8951" s="67">
        <v>0</v>
      </c>
      <c r="K8951" s="62">
        <v>357.6</v>
      </c>
      <c r="L8951" s="33" t="e">
        <f>HLOOKUP(B8951,#REF!,1,0)</f>
        <v>#REF!</v>
      </c>
      <c r="M8951" s="33" t="str">
        <f t="shared" si="559"/>
        <v>P&amp;L</v>
      </c>
    </row>
    <row r="8952" spans="1:13">
      <c r="A8952" s="33" t="str">
        <f t="shared" si="556"/>
        <v>SCL - Operating Expense</v>
      </c>
      <c r="B8952" s="33" t="str">
        <f t="shared" si="557"/>
        <v>SCL</v>
      </c>
      <c r="C8952" s="33" t="str">
        <f t="shared" si="558"/>
        <v>62511-7400</v>
      </c>
      <c r="D8952" s="64" t="s">
        <v>10202</v>
      </c>
      <c r="E8952" s="64" t="s">
        <v>3116</v>
      </c>
      <c r="F8952" s="64" t="s">
        <v>15</v>
      </c>
      <c r="G8952" s="64" t="s">
        <v>3035</v>
      </c>
      <c r="H8952" s="64" t="s">
        <v>3022</v>
      </c>
      <c r="I8952" s="64" t="s">
        <v>3036</v>
      </c>
      <c r="J8952" s="67">
        <v>0</v>
      </c>
      <c r="K8952" s="62">
        <v>969.26</v>
      </c>
      <c r="L8952" s="33" t="e">
        <f>HLOOKUP(B8952,#REF!,1,0)</f>
        <v>#REF!</v>
      </c>
      <c r="M8952" s="33" t="str">
        <f t="shared" si="559"/>
        <v>P&amp;L</v>
      </c>
    </row>
    <row r="8953" spans="1:13">
      <c r="A8953" s="33" t="str">
        <f t="shared" si="556"/>
        <v>SCL - Operating Expense</v>
      </c>
      <c r="B8953" s="33" t="str">
        <f t="shared" si="557"/>
        <v>SCL</v>
      </c>
      <c r="C8953" s="33" t="str">
        <f t="shared" si="558"/>
        <v>62511-7401</v>
      </c>
      <c r="D8953" s="64" t="s">
        <v>10203</v>
      </c>
      <c r="E8953" s="64" t="s">
        <v>3116</v>
      </c>
      <c r="F8953" s="64" t="s">
        <v>15</v>
      </c>
      <c r="G8953" s="64" t="s">
        <v>3035</v>
      </c>
      <c r="H8953" s="64" t="s">
        <v>3022</v>
      </c>
      <c r="I8953" s="64" t="s">
        <v>3036</v>
      </c>
      <c r="J8953" s="67">
        <v>202.5</v>
      </c>
      <c r="K8953" s="62">
        <v>546.41</v>
      </c>
      <c r="L8953" s="33" t="e">
        <f>HLOOKUP(B8953,#REF!,1,0)</f>
        <v>#REF!</v>
      </c>
      <c r="M8953" s="33" t="str">
        <f t="shared" si="559"/>
        <v>P&amp;L</v>
      </c>
    </row>
    <row r="8954" spans="1:13">
      <c r="A8954" s="33" t="str">
        <f t="shared" si="556"/>
        <v>SCL - Operating Expense</v>
      </c>
      <c r="B8954" s="33" t="str">
        <f t="shared" si="557"/>
        <v>SCL</v>
      </c>
      <c r="C8954" s="33" t="str">
        <f t="shared" si="558"/>
        <v>62511-7402</v>
      </c>
      <c r="D8954" s="64" t="s">
        <v>10204</v>
      </c>
      <c r="E8954" s="64" t="s">
        <v>3116</v>
      </c>
      <c r="F8954" s="64" t="s">
        <v>15</v>
      </c>
      <c r="G8954" s="64" t="s">
        <v>3035</v>
      </c>
      <c r="H8954" s="64" t="s">
        <v>3022</v>
      </c>
      <c r="I8954" s="64" t="s">
        <v>3036</v>
      </c>
      <c r="J8954" s="67">
        <v>0</v>
      </c>
      <c r="K8954" s="62">
        <v>822.82</v>
      </c>
      <c r="L8954" s="33" t="e">
        <f>HLOOKUP(B8954,#REF!,1,0)</f>
        <v>#REF!</v>
      </c>
      <c r="M8954" s="33" t="str">
        <f t="shared" si="559"/>
        <v>P&amp;L</v>
      </c>
    </row>
    <row r="8955" spans="1:13">
      <c r="A8955" s="33" t="str">
        <f t="shared" si="556"/>
        <v>SCL - Operating Expense</v>
      </c>
      <c r="B8955" s="33" t="str">
        <f t="shared" si="557"/>
        <v>SCL</v>
      </c>
      <c r="C8955" s="33" t="str">
        <f t="shared" si="558"/>
        <v>62511-7403</v>
      </c>
      <c r="D8955" s="64" t="s">
        <v>10205</v>
      </c>
      <c r="E8955" s="64" t="s">
        <v>3116</v>
      </c>
      <c r="F8955" s="64" t="s">
        <v>15</v>
      </c>
      <c r="G8955" s="64" t="s">
        <v>3035</v>
      </c>
      <c r="H8955" s="64" t="s">
        <v>3022</v>
      </c>
      <c r="I8955" s="64" t="s">
        <v>3036</v>
      </c>
      <c r="J8955" s="67">
        <v>0</v>
      </c>
      <c r="K8955" s="62">
        <v>524.25</v>
      </c>
      <c r="L8955" s="33" t="e">
        <f>HLOOKUP(B8955,#REF!,1,0)</f>
        <v>#REF!</v>
      </c>
      <c r="M8955" s="33" t="str">
        <f t="shared" si="559"/>
        <v>P&amp;L</v>
      </c>
    </row>
    <row r="8956" spans="1:13">
      <c r="A8956" s="33" t="str">
        <f t="shared" si="556"/>
        <v>SCL - Operating Expense</v>
      </c>
      <c r="B8956" s="33" t="str">
        <f t="shared" si="557"/>
        <v>SCL</v>
      </c>
      <c r="C8956" s="33" t="str">
        <f t="shared" si="558"/>
        <v>62511-7489</v>
      </c>
      <c r="D8956" s="64" t="s">
        <v>10206</v>
      </c>
      <c r="E8956" s="64" t="s">
        <v>3116</v>
      </c>
      <c r="F8956" s="64" t="s">
        <v>15</v>
      </c>
      <c r="G8956" s="64" t="s">
        <v>3035</v>
      </c>
      <c r="H8956" s="64" t="s">
        <v>3022</v>
      </c>
      <c r="I8956" s="64" t="s">
        <v>3036</v>
      </c>
      <c r="J8956" s="67">
        <v>0</v>
      </c>
      <c r="K8956" s="62">
        <v>487.98</v>
      </c>
      <c r="L8956" s="33" t="e">
        <f>HLOOKUP(B8956,#REF!,1,0)</f>
        <v>#REF!</v>
      </c>
      <c r="M8956" s="33" t="str">
        <f t="shared" si="559"/>
        <v>P&amp;L</v>
      </c>
    </row>
    <row r="8957" spans="1:13">
      <c r="A8957" s="33" t="str">
        <f t="shared" si="556"/>
        <v>SCL - Operating Expense</v>
      </c>
      <c r="B8957" s="33" t="str">
        <f t="shared" si="557"/>
        <v>SCL</v>
      </c>
      <c r="C8957" s="33" t="str">
        <f t="shared" si="558"/>
        <v>62511-7491</v>
      </c>
      <c r="D8957" s="64" t="s">
        <v>10207</v>
      </c>
      <c r="E8957" s="64" t="s">
        <v>3116</v>
      </c>
      <c r="F8957" s="64" t="s">
        <v>15</v>
      </c>
      <c r="G8957" s="64" t="s">
        <v>3035</v>
      </c>
      <c r="H8957" s="64" t="s">
        <v>3022</v>
      </c>
      <c r="I8957" s="64" t="s">
        <v>3036</v>
      </c>
      <c r="J8957" s="67">
        <v>0</v>
      </c>
      <c r="K8957" s="62">
        <v>666.79</v>
      </c>
      <c r="L8957" s="33" t="e">
        <f>HLOOKUP(B8957,#REF!,1,0)</f>
        <v>#REF!</v>
      </c>
      <c r="M8957" s="33" t="str">
        <f t="shared" si="559"/>
        <v>P&amp;L</v>
      </c>
    </row>
    <row r="8958" spans="1:13">
      <c r="A8958" s="33" t="str">
        <f t="shared" si="556"/>
        <v>SCL - Operating Expense</v>
      </c>
      <c r="B8958" s="33" t="str">
        <f t="shared" si="557"/>
        <v>SCL</v>
      </c>
      <c r="C8958" s="33" t="str">
        <f t="shared" si="558"/>
        <v>62511-7492</v>
      </c>
      <c r="D8958" s="64" t="s">
        <v>10208</v>
      </c>
      <c r="E8958" s="64" t="s">
        <v>3116</v>
      </c>
      <c r="F8958" s="64" t="s">
        <v>15</v>
      </c>
      <c r="G8958" s="64" t="s">
        <v>3035</v>
      </c>
      <c r="H8958" s="64" t="s">
        <v>3022</v>
      </c>
      <c r="I8958" s="64" t="s">
        <v>3036</v>
      </c>
      <c r="J8958" s="67">
        <v>0</v>
      </c>
      <c r="K8958" s="62">
        <v>417.44</v>
      </c>
      <c r="L8958" s="33" t="e">
        <f>HLOOKUP(B8958,#REF!,1,0)</f>
        <v>#REF!</v>
      </c>
      <c r="M8958" s="33" t="str">
        <f t="shared" si="559"/>
        <v>P&amp;L</v>
      </c>
    </row>
    <row r="8959" spans="1:13">
      <c r="A8959" s="33" t="str">
        <f t="shared" si="556"/>
        <v>SCL - Operating Expense</v>
      </c>
      <c r="B8959" s="33" t="str">
        <f t="shared" si="557"/>
        <v>SCL</v>
      </c>
      <c r="C8959" s="33" t="str">
        <f t="shared" si="558"/>
        <v>62511-7493</v>
      </c>
      <c r="D8959" s="64" t="s">
        <v>10209</v>
      </c>
      <c r="E8959" s="64" t="s">
        <v>3116</v>
      </c>
      <c r="F8959" s="64" t="s">
        <v>15</v>
      </c>
      <c r="G8959" s="64" t="s">
        <v>3035</v>
      </c>
      <c r="H8959" s="64" t="s">
        <v>3022</v>
      </c>
      <c r="I8959" s="64" t="s">
        <v>3036</v>
      </c>
      <c r="J8959" s="67">
        <v>0</v>
      </c>
      <c r="K8959" s="62">
        <v>756.91</v>
      </c>
      <c r="L8959" s="33" t="e">
        <f>HLOOKUP(B8959,#REF!,1,0)</f>
        <v>#REF!</v>
      </c>
      <c r="M8959" s="33" t="str">
        <f t="shared" si="559"/>
        <v>P&amp;L</v>
      </c>
    </row>
    <row r="8960" spans="1:13">
      <c r="A8960" s="33" t="str">
        <f t="shared" si="556"/>
        <v>SCL - Operating Expense</v>
      </c>
      <c r="B8960" s="33" t="str">
        <f t="shared" si="557"/>
        <v>SCL</v>
      </c>
      <c r="C8960" s="33" t="str">
        <f t="shared" si="558"/>
        <v>62511-7494</v>
      </c>
      <c r="D8960" s="64" t="s">
        <v>10210</v>
      </c>
      <c r="E8960" s="64" t="s">
        <v>3116</v>
      </c>
      <c r="F8960" s="64" t="s">
        <v>15</v>
      </c>
      <c r="G8960" s="64" t="s">
        <v>3035</v>
      </c>
      <c r="H8960" s="64" t="s">
        <v>3022</v>
      </c>
      <c r="I8960" s="64" t="s">
        <v>3036</v>
      </c>
      <c r="J8960" s="67">
        <v>343</v>
      </c>
      <c r="K8960" s="62">
        <v>797.93</v>
      </c>
      <c r="L8960" s="33" t="e">
        <f>HLOOKUP(B8960,#REF!,1,0)</f>
        <v>#REF!</v>
      </c>
      <c r="M8960" s="33" t="str">
        <f t="shared" si="559"/>
        <v>P&amp;L</v>
      </c>
    </row>
    <row r="8961" spans="1:13">
      <c r="A8961" s="33" t="str">
        <f t="shared" si="556"/>
        <v>SCL - Operating Expense</v>
      </c>
      <c r="B8961" s="33" t="str">
        <f t="shared" si="557"/>
        <v>SCL</v>
      </c>
      <c r="C8961" s="33" t="str">
        <f t="shared" si="558"/>
        <v>62511-7625</v>
      </c>
      <c r="D8961" s="64" t="s">
        <v>10211</v>
      </c>
      <c r="E8961" s="64" t="s">
        <v>3116</v>
      </c>
      <c r="F8961" s="64" t="s">
        <v>15</v>
      </c>
      <c r="G8961" s="64" t="s">
        <v>3035</v>
      </c>
      <c r="H8961" s="64" t="s">
        <v>3022</v>
      </c>
      <c r="I8961" s="64" t="s">
        <v>3036</v>
      </c>
      <c r="J8961" s="67">
        <v>0</v>
      </c>
      <c r="K8961" s="62">
        <v>501.41</v>
      </c>
      <c r="L8961" s="33" t="e">
        <f>HLOOKUP(B8961,#REF!,1,0)</f>
        <v>#REF!</v>
      </c>
      <c r="M8961" s="33" t="str">
        <f t="shared" si="559"/>
        <v>P&amp;L</v>
      </c>
    </row>
    <row r="8962" spans="1:13">
      <c r="A8962" s="33" t="str">
        <f t="shared" ref="A8962:A9025" si="560">B8962&amp;" - "&amp;TRIM(H8962)</f>
        <v>SCL - Operating Expense</v>
      </c>
      <c r="B8962" s="33" t="str">
        <f t="shared" ref="B8962:B9025" si="561">LEFT(D8962,3)</f>
        <v>SCL</v>
      </c>
      <c r="C8962" s="33" t="str">
        <f t="shared" ref="C8962:C9025" si="562">RIGHT(D8962,10)</f>
        <v>62511-8150</v>
      </c>
      <c r="D8962" s="64" t="s">
        <v>10212</v>
      </c>
      <c r="E8962" s="64" t="s">
        <v>3116</v>
      </c>
      <c r="F8962" s="64" t="s">
        <v>15</v>
      </c>
      <c r="G8962" s="64" t="s">
        <v>3035</v>
      </c>
      <c r="H8962" s="64" t="s">
        <v>3022</v>
      </c>
      <c r="I8962" s="64" t="s">
        <v>3036</v>
      </c>
      <c r="J8962" s="67">
        <v>0</v>
      </c>
      <c r="K8962" s="62">
        <v>338.44</v>
      </c>
      <c r="L8962" s="33" t="e">
        <f>HLOOKUP(B8962,#REF!,1,0)</f>
        <v>#REF!</v>
      </c>
      <c r="M8962" s="33" t="str">
        <f t="shared" ref="M8962:M9025" si="563">IF(VALUE(LEFT(C8962,5))&gt;40000,"P&amp;L","BS")</f>
        <v>P&amp;L</v>
      </c>
    </row>
    <row r="8963" spans="1:13">
      <c r="A8963" s="33" t="str">
        <f t="shared" si="560"/>
        <v>SCL - Operating Expense</v>
      </c>
      <c r="B8963" s="33" t="str">
        <f t="shared" si="561"/>
        <v>SCL</v>
      </c>
      <c r="C8963" s="33" t="str">
        <f t="shared" si="562"/>
        <v>62512-7369</v>
      </c>
      <c r="D8963" s="64" t="s">
        <v>10213</v>
      </c>
      <c r="E8963" s="64" t="s">
        <v>3121</v>
      </c>
      <c r="F8963" s="64" t="s">
        <v>15</v>
      </c>
      <c r="G8963" s="64" t="s">
        <v>3035</v>
      </c>
      <c r="H8963" s="64" t="s">
        <v>3022</v>
      </c>
      <c r="I8963" s="64" t="s">
        <v>3102</v>
      </c>
      <c r="J8963" s="67">
        <v>0</v>
      </c>
      <c r="K8963" s="62">
        <v>95</v>
      </c>
      <c r="L8963" s="33" t="e">
        <f>HLOOKUP(B8963,#REF!,1,0)</f>
        <v>#REF!</v>
      </c>
      <c r="M8963" s="33" t="str">
        <f t="shared" si="563"/>
        <v>P&amp;L</v>
      </c>
    </row>
    <row r="8964" spans="1:13">
      <c r="A8964" s="33" t="str">
        <f t="shared" si="560"/>
        <v>SCL - Operating Expense</v>
      </c>
      <c r="B8964" s="33" t="str">
        <f t="shared" si="561"/>
        <v>SCL</v>
      </c>
      <c r="C8964" s="33" t="str">
        <f t="shared" si="562"/>
        <v>62512-7374</v>
      </c>
      <c r="D8964" s="64" t="s">
        <v>10214</v>
      </c>
      <c r="E8964" s="64" t="s">
        <v>3121</v>
      </c>
      <c r="F8964" s="64" t="s">
        <v>15</v>
      </c>
      <c r="G8964" s="64" t="s">
        <v>3035</v>
      </c>
      <c r="H8964" s="64" t="s">
        <v>3022</v>
      </c>
      <c r="I8964" s="64" t="s">
        <v>3102</v>
      </c>
      <c r="J8964" s="67">
        <v>0</v>
      </c>
      <c r="K8964" s="62">
        <v>210</v>
      </c>
      <c r="L8964" s="33" t="e">
        <f>HLOOKUP(B8964,#REF!,1,0)</f>
        <v>#REF!</v>
      </c>
      <c r="M8964" s="33" t="str">
        <f t="shared" si="563"/>
        <v>P&amp;L</v>
      </c>
    </row>
    <row r="8965" spans="1:13">
      <c r="A8965" s="33" t="str">
        <f t="shared" si="560"/>
        <v>SCL - Operating Expense</v>
      </c>
      <c r="B8965" s="33" t="str">
        <f t="shared" si="561"/>
        <v>SCL</v>
      </c>
      <c r="C8965" s="33" t="str">
        <f t="shared" si="562"/>
        <v>62512-7375</v>
      </c>
      <c r="D8965" s="64" t="s">
        <v>10215</v>
      </c>
      <c r="E8965" s="64" t="s">
        <v>3121</v>
      </c>
      <c r="F8965" s="64" t="s">
        <v>15</v>
      </c>
      <c r="G8965" s="64" t="s">
        <v>3035</v>
      </c>
      <c r="H8965" s="64" t="s">
        <v>3022</v>
      </c>
      <c r="I8965" s="64" t="s">
        <v>3102</v>
      </c>
      <c r="J8965" s="67">
        <v>0</v>
      </c>
      <c r="K8965" s="62">
        <v>75</v>
      </c>
      <c r="L8965" s="33" t="e">
        <f>HLOOKUP(B8965,#REF!,1,0)</f>
        <v>#REF!</v>
      </c>
      <c r="M8965" s="33" t="str">
        <f t="shared" si="563"/>
        <v>P&amp;L</v>
      </c>
    </row>
    <row r="8966" spans="1:13">
      <c r="A8966" s="33" t="str">
        <f t="shared" si="560"/>
        <v>SCL - Operating Expense</v>
      </c>
      <c r="B8966" s="33" t="str">
        <f t="shared" si="561"/>
        <v>SCL</v>
      </c>
      <c r="C8966" s="33" t="str">
        <f t="shared" si="562"/>
        <v>62512-7381</v>
      </c>
      <c r="D8966" s="64" t="s">
        <v>10216</v>
      </c>
      <c r="E8966" s="64" t="s">
        <v>3121</v>
      </c>
      <c r="F8966" s="64" t="s">
        <v>15</v>
      </c>
      <c r="G8966" s="64" t="s">
        <v>3035</v>
      </c>
      <c r="H8966" s="64" t="s">
        <v>3022</v>
      </c>
      <c r="I8966" s="64" t="s">
        <v>3102</v>
      </c>
      <c r="J8966" s="67">
        <v>0</v>
      </c>
      <c r="K8966" s="62">
        <v>70</v>
      </c>
      <c r="L8966" s="33" t="e">
        <f>HLOOKUP(B8966,#REF!,1,0)</f>
        <v>#REF!</v>
      </c>
      <c r="M8966" s="33" t="str">
        <f t="shared" si="563"/>
        <v>P&amp;L</v>
      </c>
    </row>
    <row r="8967" spans="1:13">
      <c r="A8967" s="33" t="str">
        <f t="shared" si="560"/>
        <v>SCL - Operating Expense</v>
      </c>
      <c r="B8967" s="33" t="str">
        <f t="shared" si="561"/>
        <v>SCL</v>
      </c>
      <c r="C8967" s="33" t="str">
        <f t="shared" si="562"/>
        <v>62512-7396</v>
      </c>
      <c r="D8967" s="64" t="s">
        <v>10217</v>
      </c>
      <c r="E8967" s="64" t="s">
        <v>3121</v>
      </c>
      <c r="F8967" s="64" t="s">
        <v>15</v>
      </c>
      <c r="G8967" s="64" t="s">
        <v>3035</v>
      </c>
      <c r="H8967" s="64" t="s">
        <v>3022</v>
      </c>
      <c r="I8967" s="64" t="s">
        <v>3102</v>
      </c>
      <c r="J8967" s="67">
        <v>0</v>
      </c>
      <c r="K8967" s="62">
        <v>70</v>
      </c>
      <c r="L8967" s="33" t="e">
        <f>HLOOKUP(B8967,#REF!,1,0)</f>
        <v>#REF!</v>
      </c>
      <c r="M8967" s="33" t="str">
        <f t="shared" si="563"/>
        <v>P&amp;L</v>
      </c>
    </row>
    <row r="8968" spans="1:13">
      <c r="A8968" s="33" t="str">
        <f t="shared" si="560"/>
        <v>SCL - Operating Expense</v>
      </c>
      <c r="B8968" s="33" t="str">
        <f t="shared" si="561"/>
        <v>SCL</v>
      </c>
      <c r="C8968" s="33" t="str">
        <f t="shared" si="562"/>
        <v>62512-7398</v>
      </c>
      <c r="D8968" s="64" t="s">
        <v>10218</v>
      </c>
      <c r="E8968" s="64" t="s">
        <v>3121</v>
      </c>
      <c r="F8968" s="64" t="s">
        <v>15</v>
      </c>
      <c r="G8968" s="64" t="s">
        <v>3035</v>
      </c>
      <c r="H8968" s="64" t="s">
        <v>3022</v>
      </c>
      <c r="I8968" s="64" t="s">
        <v>3102</v>
      </c>
      <c r="J8968" s="67">
        <v>0</v>
      </c>
      <c r="K8968" s="62">
        <v>95</v>
      </c>
      <c r="L8968" s="33" t="e">
        <f>HLOOKUP(B8968,#REF!,1,0)</f>
        <v>#REF!</v>
      </c>
      <c r="M8968" s="33" t="str">
        <f t="shared" si="563"/>
        <v>P&amp;L</v>
      </c>
    </row>
    <row r="8969" spans="1:13">
      <c r="A8969" s="33" t="str">
        <f t="shared" si="560"/>
        <v>SCL - Operating Expense</v>
      </c>
      <c r="B8969" s="33" t="str">
        <f t="shared" si="561"/>
        <v>SCL</v>
      </c>
      <c r="C8969" s="33" t="str">
        <f t="shared" si="562"/>
        <v>62512-7489</v>
      </c>
      <c r="D8969" s="64" t="s">
        <v>10219</v>
      </c>
      <c r="E8969" s="64" t="s">
        <v>3121</v>
      </c>
      <c r="F8969" s="64" t="s">
        <v>15</v>
      </c>
      <c r="G8969" s="64" t="s">
        <v>3035</v>
      </c>
      <c r="H8969" s="64" t="s">
        <v>3022</v>
      </c>
      <c r="I8969" s="64" t="s">
        <v>3102</v>
      </c>
      <c r="J8969" s="67">
        <v>0</v>
      </c>
      <c r="K8969" s="62">
        <v>140</v>
      </c>
      <c r="L8969" s="33" t="e">
        <f>HLOOKUP(B8969,#REF!,1,0)</f>
        <v>#REF!</v>
      </c>
      <c r="M8969" s="33" t="str">
        <f t="shared" si="563"/>
        <v>P&amp;L</v>
      </c>
    </row>
    <row r="8970" spans="1:13">
      <c r="A8970" s="33" t="str">
        <f t="shared" si="560"/>
        <v>SCL - Operating Expense</v>
      </c>
      <c r="B8970" s="33" t="str">
        <f t="shared" si="561"/>
        <v>SCL</v>
      </c>
      <c r="C8970" s="33" t="str">
        <f t="shared" si="562"/>
        <v>62512-7491</v>
      </c>
      <c r="D8970" s="64" t="s">
        <v>10220</v>
      </c>
      <c r="E8970" s="64" t="s">
        <v>3121</v>
      </c>
      <c r="F8970" s="64" t="s">
        <v>15</v>
      </c>
      <c r="G8970" s="64" t="s">
        <v>3035</v>
      </c>
      <c r="H8970" s="64" t="s">
        <v>3022</v>
      </c>
      <c r="I8970" s="64" t="s">
        <v>3102</v>
      </c>
      <c r="J8970" s="67">
        <v>0</v>
      </c>
      <c r="K8970" s="62">
        <v>70</v>
      </c>
      <c r="L8970" s="33" t="e">
        <f>HLOOKUP(B8970,#REF!,1,0)</f>
        <v>#REF!</v>
      </c>
      <c r="M8970" s="33" t="str">
        <f t="shared" si="563"/>
        <v>P&amp;L</v>
      </c>
    </row>
    <row r="8971" spans="1:13">
      <c r="A8971" s="33" t="str">
        <f t="shared" si="560"/>
        <v>SCL - Operating Expense</v>
      </c>
      <c r="B8971" s="33" t="str">
        <f t="shared" si="561"/>
        <v>SCL</v>
      </c>
      <c r="C8971" s="33" t="str">
        <f t="shared" si="562"/>
        <v>62512-7494</v>
      </c>
      <c r="D8971" s="64" t="s">
        <v>10221</v>
      </c>
      <c r="E8971" s="64" t="s">
        <v>3121</v>
      </c>
      <c r="F8971" s="64" t="s">
        <v>15</v>
      </c>
      <c r="G8971" s="64" t="s">
        <v>3035</v>
      </c>
      <c r="H8971" s="64" t="s">
        <v>3022</v>
      </c>
      <c r="I8971" s="64" t="s">
        <v>3102</v>
      </c>
      <c r="J8971" s="67">
        <v>0</v>
      </c>
      <c r="K8971" s="62">
        <v>140</v>
      </c>
      <c r="L8971" s="33" t="e">
        <f>HLOOKUP(B8971,#REF!,1,0)</f>
        <v>#REF!</v>
      </c>
      <c r="M8971" s="33" t="str">
        <f t="shared" si="563"/>
        <v>P&amp;L</v>
      </c>
    </row>
    <row r="8972" spans="1:13">
      <c r="A8972" s="33" t="str">
        <f t="shared" si="560"/>
        <v>SCL - Operating Expense</v>
      </c>
      <c r="B8972" s="33" t="str">
        <f t="shared" si="561"/>
        <v>SCL</v>
      </c>
      <c r="C8972" s="33" t="str">
        <f t="shared" si="562"/>
        <v>62512-7625</v>
      </c>
      <c r="D8972" s="64" t="s">
        <v>10222</v>
      </c>
      <c r="E8972" s="64" t="s">
        <v>3121</v>
      </c>
      <c r="F8972" s="64" t="s">
        <v>15</v>
      </c>
      <c r="G8972" s="64" t="s">
        <v>3035</v>
      </c>
      <c r="H8972" s="64" t="s">
        <v>3022</v>
      </c>
      <c r="I8972" s="64" t="s">
        <v>3102</v>
      </c>
      <c r="J8972" s="67">
        <v>0</v>
      </c>
      <c r="K8972" s="62">
        <v>150</v>
      </c>
      <c r="L8972" s="33" t="e">
        <f>HLOOKUP(B8972,#REF!,1,0)</f>
        <v>#REF!</v>
      </c>
      <c r="M8972" s="33" t="str">
        <f t="shared" si="563"/>
        <v>P&amp;L</v>
      </c>
    </row>
    <row r="8973" spans="1:13">
      <c r="A8973" s="33" t="str">
        <f t="shared" si="560"/>
        <v>SCL - Operating Expense</v>
      </c>
      <c r="B8973" s="33" t="str">
        <f t="shared" si="561"/>
        <v>SCL</v>
      </c>
      <c r="C8973" s="33" t="str">
        <f t="shared" si="562"/>
        <v>62513-0000</v>
      </c>
      <c r="D8973" s="64" t="s">
        <v>10223</v>
      </c>
      <c r="E8973" s="64" t="s">
        <v>3124</v>
      </c>
      <c r="F8973" s="64" t="s">
        <v>15</v>
      </c>
      <c r="G8973" s="64" t="s">
        <v>3035</v>
      </c>
      <c r="H8973" s="64" t="s">
        <v>3022</v>
      </c>
      <c r="I8973" s="64" t="s">
        <v>3102</v>
      </c>
      <c r="J8973" s="67">
        <v>0</v>
      </c>
      <c r="K8973" s="62">
        <v>453.54</v>
      </c>
      <c r="L8973" s="33" t="e">
        <f>HLOOKUP(B8973,#REF!,1,0)</f>
        <v>#REF!</v>
      </c>
      <c r="M8973" s="33" t="str">
        <f t="shared" si="563"/>
        <v>P&amp;L</v>
      </c>
    </row>
    <row r="8974" spans="1:13">
      <c r="A8974" s="33" t="str">
        <f t="shared" si="560"/>
        <v>SCL - Operating Expense</v>
      </c>
      <c r="B8974" s="33" t="str">
        <f t="shared" si="561"/>
        <v>SCL</v>
      </c>
      <c r="C8974" s="33" t="str">
        <f t="shared" si="562"/>
        <v>62513-7351</v>
      </c>
      <c r="D8974" s="64" t="s">
        <v>10224</v>
      </c>
      <c r="E8974" s="64" t="s">
        <v>3124</v>
      </c>
      <c r="F8974" s="64" t="s">
        <v>15</v>
      </c>
      <c r="G8974" s="64" t="s">
        <v>3035</v>
      </c>
      <c r="H8974" s="64" t="s">
        <v>3022</v>
      </c>
      <c r="I8974" s="64" t="s">
        <v>3102</v>
      </c>
      <c r="J8974" s="67">
        <v>0</v>
      </c>
      <c r="K8974" s="62">
        <v>196.84</v>
      </c>
      <c r="L8974" s="33" t="e">
        <f>HLOOKUP(B8974,#REF!,1,0)</f>
        <v>#REF!</v>
      </c>
      <c r="M8974" s="33" t="str">
        <f t="shared" si="563"/>
        <v>P&amp;L</v>
      </c>
    </row>
    <row r="8975" spans="1:13">
      <c r="A8975" s="33" t="str">
        <f t="shared" si="560"/>
        <v>SCL - Operating Expense</v>
      </c>
      <c r="B8975" s="33" t="str">
        <f t="shared" si="561"/>
        <v>SCL</v>
      </c>
      <c r="C8975" s="33" t="str">
        <f t="shared" si="562"/>
        <v>62513-7352</v>
      </c>
      <c r="D8975" s="64" t="s">
        <v>10225</v>
      </c>
      <c r="E8975" s="64" t="s">
        <v>3124</v>
      </c>
      <c r="F8975" s="64" t="s">
        <v>15</v>
      </c>
      <c r="G8975" s="64" t="s">
        <v>3035</v>
      </c>
      <c r="H8975" s="64" t="s">
        <v>3022</v>
      </c>
      <c r="I8975" s="64" t="s">
        <v>3102</v>
      </c>
      <c r="J8975" s="67">
        <v>46.35</v>
      </c>
      <c r="K8975" s="62">
        <v>359.84</v>
      </c>
      <c r="L8975" s="33" t="e">
        <f>HLOOKUP(B8975,#REF!,1,0)</f>
        <v>#REF!</v>
      </c>
      <c r="M8975" s="33" t="str">
        <f t="shared" si="563"/>
        <v>P&amp;L</v>
      </c>
    </row>
    <row r="8976" spans="1:13">
      <c r="A8976" s="33" t="str">
        <f t="shared" si="560"/>
        <v>SCL - Operating Expense</v>
      </c>
      <c r="B8976" s="33" t="str">
        <f t="shared" si="561"/>
        <v>SCL</v>
      </c>
      <c r="C8976" s="33" t="str">
        <f t="shared" si="562"/>
        <v>62513-7355</v>
      </c>
      <c r="D8976" s="64" t="s">
        <v>10226</v>
      </c>
      <c r="E8976" s="64" t="s">
        <v>3124</v>
      </c>
      <c r="F8976" s="64" t="s">
        <v>15</v>
      </c>
      <c r="G8976" s="64" t="s">
        <v>3035</v>
      </c>
      <c r="H8976" s="64" t="s">
        <v>3022</v>
      </c>
      <c r="I8976" s="64" t="s">
        <v>3102</v>
      </c>
      <c r="J8976" s="67">
        <v>0</v>
      </c>
      <c r="K8976" s="62">
        <v>1230.94</v>
      </c>
      <c r="L8976" s="33" t="e">
        <f>HLOOKUP(B8976,#REF!,1,0)</f>
        <v>#REF!</v>
      </c>
      <c r="M8976" s="33" t="str">
        <f t="shared" si="563"/>
        <v>P&amp;L</v>
      </c>
    </row>
    <row r="8977" spans="1:13">
      <c r="A8977" s="33" t="str">
        <f t="shared" si="560"/>
        <v>SCL - Operating Expense</v>
      </c>
      <c r="B8977" s="33" t="str">
        <f t="shared" si="561"/>
        <v>SCL</v>
      </c>
      <c r="C8977" s="33" t="str">
        <f t="shared" si="562"/>
        <v>62513-7359</v>
      </c>
      <c r="D8977" s="64" t="s">
        <v>10227</v>
      </c>
      <c r="E8977" s="64" t="s">
        <v>3124</v>
      </c>
      <c r="F8977" s="64" t="s">
        <v>15</v>
      </c>
      <c r="G8977" s="64" t="s">
        <v>3035</v>
      </c>
      <c r="H8977" s="64" t="s">
        <v>3022</v>
      </c>
      <c r="I8977" s="64" t="s">
        <v>3102</v>
      </c>
      <c r="J8977" s="67">
        <v>0</v>
      </c>
      <c r="K8977" s="62">
        <v>181.11</v>
      </c>
      <c r="L8977" s="33" t="e">
        <f>HLOOKUP(B8977,#REF!,1,0)</f>
        <v>#REF!</v>
      </c>
      <c r="M8977" s="33" t="str">
        <f t="shared" si="563"/>
        <v>P&amp;L</v>
      </c>
    </row>
    <row r="8978" spans="1:13">
      <c r="A8978" s="33" t="str">
        <f t="shared" si="560"/>
        <v>SCL - Operating Expense</v>
      </c>
      <c r="B8978" s="33" t="str">
        <f t="shared" si="561"/>
        <v>SCL</v>
      </c>
      <c r="C8978" s="33" t="str">
        <f t="shared" si="562"/>
        <v>62513-7360</v>
      </c>
      <c r="D8978" s="64" t="s">
        <v>10228</v>
      </c>
      <c r="E8978" s="64" t="s">
        <v>3124</v>
      </c>
      <c r="F8978" s="64" t="s">
        <v>15</v>
      </c>
      <c r="G8978" s="64" t="s">
        <v>3035</v>
      </c>
      <c r="H8978" s="64" t="s">
        <v>3022</v>
      </c>
      <c r="I8978" s="64" t="s">
        <v>3102</v>
      </c>
      <c r="J8978" s="67">
        <v>15.33</v>
      </c>
      <c r="K8978" s="62">
        <v>1032.11</v>
      </c>
      <c r="L8978" s="33" t="e">
        <f>HLOOKUP(B8978,#REF!,1,0)</f>
        <v>#REF!</v>
      </c>
      <c r="M8978" s="33" t="str">
        <f t="shared" si="563"/>
        <v>P&amp;L</v>
      </c>
    </row>
    <row r="8979" spans="1:13">
      <c r="A8979" s="33" t="str">
        <f t="shared" si="560"/>
        <v>SCL - Operating Expense</v>
      </c>
      <c r="B8979" s="33" t="str">
        <f t="shared" si="561"/>
        <v>SCL</v>
      </c>
      <c r="C8979" s="33" t="str">
        <f t="shared" si="562"/>
        <v>62513-7361</v>
      </c>
      <c r="D8979" s="64" t="s">
        <v>10229</v>
      </c>
      <c r="E8979" s="64" t="s">
        <v>3124</v>
      </c>
      <c r="F8979" s="64" t="s">
        <v>15</v>
      </c>
      <c r="G8979" s="64" t="s">
        <v>3035</v>
      </c>
      <c r="H8979" s="64" t="s">
        <v>3022</v>
      </c>
      <c r="I8979" s="64" t="s">
        <v>3102</v>
      </c>
      <c r="J8979" s="67">
        <v>0</v>
      </c>
      <c r="K8979" s="62">
        <v>424.37</v>
      </c>
      <c r="L8979" s="33" t="e">
        <f>HLOOKUP(B8979,#REF!,1,0)</f>
        <v>#REF!</v>
      </c>
      <c r="M8979" s="33" t="str">
        <f t="shared" si="563"/>
        <v>P&amp;L</v>
      </c>
    </row>
    <row r="8980" spans="1:13">
      <c r="A8980" s="33" t="str">
        <f t="shared" si="560"/>
        <v>SCL - Operating Expense</v>
      </c>
      <c r="B8980" s="33" t="str">
        <f t="shared" si="561"/>
        <v>SCL</v>
      </c>
      <c r="C8980" s="33" t="str">
        <f t="shared" si="562"/>
        <v>62513-7362</v>
      </c>
      <c r="D8980" s="64" t="s">
        <v>10230</v>
      </c>
      <c r="E8980" s="64" t="s">
        <v>3124</v>
      </c>
      <c r="F8980" s="64" t="s">
        <v>15</v>
      </c>
      <c r="G8980" s="64" t="s">
        <v>3035</v>
      </c>
      <c r="H8980" s="64" t="s">
        <v>3022</v>
      </c>
      <c r="I8980" s="64" t="s">
        <v>3102</v>
      </c>
      <c r="J8980" s="67">
        <v>23.62</v>
      </c>
      <c r="K8980" s="62">
        <v>110.85</v>
      </c>
      <c r="L8980" s="33" t="e">
        <f>HLOOKUP(B8980,#REF!,1,0)</f>
        <v>#REF!</v>
      </c>
      <c r="M8980" s="33" t="str">
        <f t="shared" si="563"/>
        <v>P&amp;L</v>
      </c>
    </row>
    <row r="8981" spans="1:13">
      <c r="A8981" s="33" t="str">
        <f t="shared" si="560"/>
        <v>SCL - Operating Expense</v>
      </c>
      <c r="B8981" s="33" t="str">
        <f t="shared" si="561"/>
        <v>SCL</v>
      </c>
      <c r="C8981" s="33" t="str">
        <f t="shared" si="562"/>
        <v>62513-7364</v>
      </c>
      <c r="D8981" s="64" t="s">
        <v>10231</v>
      </c>
      <c r="E8981" s="64" t="s">
        <v>3124</v>
      </c>
      <c r="F8981" s="64" t="s">
        <v>15</v>
      </c>
      <c r="G8981" s="64" t="s">
        <v>3035</v>
      </c>
      <c r="H8981" s="64" t="s">
        <v>3022</v>
      </c>
      <c r="I8981" s="64" t="s">
        <v>3102</v>
      </c>
      <c r="J8981" s="67">
        <v>85.57</v>
      </c>
      <c r="K8981" s="62">
        <v>1626.45</v>
      </c>
      <c r="L8981" s="33" t="e">
        <f>HLOOKUP(B8981,#REF!,1,0)</f>
        <v>#REF!</v>
      </c>
      <c r="M8981" s="33" t="str">
        <f t="shared" si="563"/>
        <v>P&amp;L</v>
      </c>
    </row>
    <row r="8982" spans="1:13">
      <c r="A8982" s="33" t="str">
        <f t="shared" si="560"/>
        <v>SCL - Operating Expense</v>
      </c>
      <c r="B8982" s="33" t="str">
        <f t="shared" si="561"/>
        <v>SCL</v>
      </c>
      <c r="C8982" s="33" t="str">
        <f t="shared" si="562"/>
        <v>62513-7365</v>
      </c>
      <c r="D8982" s="64" t="s">
        <v>10232</v>
      </c>
      <c r="E8982" s="64" t="s">
        <v>3124</v>
      </c>
      <c r="F8982" s="64" t="s">
        <v>15</v>
      </c>
      <c r="G8982" s="64" t="s">
        <v>3035</v>
      </c>
      <c r="H8982" s="64" t="s">
        <v>3022</v>
      </c>
      <c r="I8982" s="64" t="s">
        <v>3102</v>
      </c>
      <c r="J8982" s="67">
        <v>7.68</v>
      </c>
      <c r="K8982" s="62">
        <v>115.36</v>
      </c>
      <c r="L8982" s="33" t="e">
        <f>HLOOKUP(B8982,#REF!,1,0)</f>
        <v>#REF!</v>
      </c>
      <c r="M8982" s="33" t="str">
        <f t="shared" si="563"/>
        <v>P&amp;L</v>
      </c>
    </row>
    <row r="8983" spans="1:13">
      <c r="A8983" s="33" t="str">
        <f t="shared" si="560"/>
        <v>SCL - Operating Expense</v>
      </c>
      <c r="B8983" s="33" t="str">
        <f t="shared" si="561"/>
        <v>SCL</v>
      </c>
      <c r="C8983" s="33" t="str">
        <f t="shared" si="562"/>
        <v>62513-7366</v>
      </c>
      <c r="D8983" s="64" t="s">
        <v>10233</v>
      </c>
      <c r="E8983" s="64" t="s">
        <v>3124</v>
      </c>
      <c r="F8983" s="64" t="s">
        <v>15</v>
      </c>
      <c r="G8983" s="64" t="s">
        <v>3035</v>
      </c>
      <c r="H8983" s="64" t="s">
        <v>3022</v>
      </c>
      <c r="I8983" s="64" t="s">
        <v>3102</v>
      </c>
      <c r="J8983" s="67">
        <v>0</v>
      </c>
      <c r="K8983" s="62">
        <v>113.77</v>
      </c>
      <c r="L8983" s="33" t="e">
        <f>HLOOKUP(B8983,#REF!,1,0)</f>
        <v>#REF!</v>
      </c>
      <c r="M8983" s="33" t="str">
        <f t="shared" si="563"/>
        <v>P&amp;L</v>
      </c>
    </row>
    <row r="8984" spans="1:13">
      <c r="A8984" s="33" t="str">
        <f t="shared" si="560"/>
        <v>SCL - Operating Expense</v>
      </c>
      <c r="B8984" s="33" t="str">
        <f t="shared" si="561"/>
        <v>SCL</v>
      </c>
      <c r="C8984" s="33" t="str">
        <f t="shared" si="562"/>
        <v>62513-7368</v>
      </c>
      <c r="D8984" s="64" t="s">
        <v>10234</v>
      </c>
      <c r="E8984" s="64" t="s">
        <v>3124</v>
      </c>
      <c r="F8984" s="64" t="s">
        <v>15</v>
      </c>
      <c r="G8984" s="64" t="s">
        <v>3035</v>
      </c>
      <c r="H8984" s="64" t="s">
        <v>3022</v>
      </c>
      <c r="I8984" s="64" t="s">
        <v>3102</v>
      </c>
      <c r="J8984" s="67">
        <v>0</v>
      </c>
      <c r="K8984" s="62">
        <v>100.44</v>
      </c>
      <c r="L8984" s="33" t="e">
        <f>HLOOKUP(B8984,#REF!,1,0)</f>
        <v>#REF!</v>
      </c>
      <c r="M8984" s="33" t="str">
        <f t="shared" si="563"/>
        <v>P&amp;L</v>
      </c>
    </row>
    <row r="8985" spans="1:13">
      <c r="A8985" s="33" t="str">
        <f t="shared" si="560"/>
        <v>SCL - Operating Expense</v>
      </c>
      <c r="B8985" s="33" t="str">
        <f t="shared" si="561"/>
        <v>SCL</v>
      </c>
      <c r="C8985" s="33" t="str">
        <f t="shared" si="562"/>
        <v>62513-7369</v>
      </c>
      <c r="D8985" s="64" t="s">
        <v>10235</v>
      </c>
      <c r="E8985" s="64" t="s">
        <v>3124</v>
      </c>
      <c r="F8985" s="64" t="s">
        <v>15</v>
      </c>
      <c r="G8985" s="64" t="s">
        <v>3035</v>
      </c>
      <c r="H8985" s="64" t="s">
        <v>3022</v>
      </c>
      <c r="I8985" s="64" t="s">
        <v>3102</v>
      </c>
      <c r="J8985" s="67">
        <v>0</v>
      </c>
      <c r="K8985" s="62">
        <v>84.59</v>
      </c>
      <c r="L8985" s="33" t="e">
        <f>HLOOKUP(B8985,#REF!,1,0)</f>
        <v>#REF!</v>
      </c>
      <c r="M8985" s="33" t="str">
        <f t="shared" si="563"/>
        <v>P&amp;L</v>
      </c>
    </row>
    <row r="8986" spans="1:13">
      <c r="A8986" s="33" t="str">
        <f t="shared" si="560"/>
        <v>SCL - Operating Expense</v>
      </c>
      <c r="B8986" s="33" t="str">
        <f t="shared" si="561"/>
        <v>SCL</v>
      </c>
      <c r="C8986" s="33" t="str">
        <f t="shared" si="562"/>
        <v>62513-7371</v>
      </c>
      <c r="D8986" s="64" t="s">
        <v>10236</v>
      </c>
      <c r="E8986" s="64" t="s">
        <v>3124</v>
      </c>
      <c r="F8986" s="64" t="s">
        <v>15</v>
      </c>
      <c r="G8986" s="64" t="s">
        <v>3035</v>
      </c>
      <c r="H8986" s="64" t="s">
        <v>3022</v>
      </c>
      <c r="I8986" s="64" t="s">
        <v>3102</v>
      </c>
      <c r="J8986" s="67">
        <v>1145</v>
      </c>
      <c r="K8986" s="62">
        <v>1236.72</v>
      </c>
      <c r="L8986" s="33" t="e">
        <f>HLOOKUP(B8986,#REF!,1,0)</f>
        <v>#REF!</v>
      </c>
      <c r="M8986" s="33" t="str">
        <f t="shared" si="563"/>
        <v>P&amp;L</v>
      </c>
    </row>
    <row r="8987" spans="1:13">
      <c r="A8987" s="33" t="str">
        <f t="shared" si="560"/>
        <v>SCL - Operating Expense</v>
      </c>
      <c r="B8987" s="33" t="str">
        <f t="shared" si="561"/>
        <v>SCL</v>
      </c>
      <c r="C8987" s="33" t="str">
        <f t="shared" si="562"/>
        <v>62513-7374</v>
      </c>
      <c r="D8987" s="64" t="s">
        <v>10237</v>
      </c>
      <c r="E8987" s="64" t="s">
        <v>3124</v>
      </c>
      <c r="F8987" s="64" t="s">
        <v>15</v>
      </c>
      <c r="G8987" s="64" t="s">
        <v>3035</v>
      </c>
      <c r="H8987" s="64" t="s">
        <v>3022</v>
      </c>
      <c r="I8987" s="64" t="s">
        <v>3102</v>
      </c>
      <c r="J8987" s="67">
        <v>31.32</v>
      </c>
      <c r="K8987" s="62">
        <v>539.88</v>
      </c>
      <c r="L8987" s="33" t="e">
        <f>HLOOKUP(B8987,#REF!,1,0)</f>
        <v>#REF!</v>
      </c>
      <c r="M8987" s="33" t="str">
        <f t="shared" si="563"/>
        <v>P&amp;L</v>
      </c>
    </row>
    <row r="8988" spans="1:13">
      <c r="A8988" s="33" t="str">
        <f t="shared" si="560"/>
        <v>SCL - Operating Expense</v>
      </c>
      <c r="B8988" s="33" t="str">
        <f t="shared" si="561"/>
        <v>SCL</v>
      </c>
      <c r="C8988" s="33" t="str">
        <f t="shared" si="562"/>
        <v>62513-7375</v>
      </c>
      <c r="D8988" s="64" t="s">
        <v>10238</v>
      </c>
      <c r="E8988" s="64" t="s">
        <v>3124</v>
      </c>
      <c r="F8988" s="64" t="s">
        <v>15</v>
      </c>
      <c r="G8988" s="64" t="s">
        <v>3035</v>
      </c>
      <c r="H8988" s="64" t="s">
        <v>3022</v>
      </c>
      <c r="I8988" s="64" t="s">
        <v>3102</v>
      </c>
      <c r="J8988" s="67">
        <v>46.35</v>
      </c>
      <c r="K8988" s="62">
        <v>165.77</v>
      </c>
      <c r="L8988" s="33" t="e">
        <f>HLOOKUP(B8988,#REF!,1,0)</f>
        <v>#REF!</v>
      </c>
      <c r="M8988" s="33" t="str">
        <f t="shared" si="563"/>
        <v>P&amp;L</v>
      </c>
    </row>
    <row r="8989" spans="1:13">
      <c r="A8989" s="33" t="str">
        <f t="shared" si="560"/>
        <v>SCL - Operating Expense</v>
      </c>
      <c r="B8989" s="33" t="str">
        <f t="shared" si="561"/>
        <v>SCL</v>
      </c>
      <c r="C8989" s="33" t="str">
        <f t="shared" si="562"/>
        <v>62513-7376</v>
      </c>
      <c r="D8989" s="64" t="s">
        <v>10239</v>
      </c>
      <c r="E8989" s="64" t="s">
        <v>3124</v>
      </c>
      <c r="F8989" s="64" t="s">
        <v>15</v>
      </c>
      <c r="G8989" s="64" t="s">
        <v>3035</v>
      </c>
      <c r="H8989" s="64" t="s">
        <v>3022</v>
      </c>
      <c r="I8989" s="64" t="s">
        <v>3102</v>
      </c>
      <c r="J8989" s="67">
        <v>0</v>
      </c>
      <c r="K8989" s="62">
        <v>148.13</v>
      </c>
      <c r="L8989" s="33" t="e">
        <f>HLOOKUP(B8989,#REF!,1,0)</f>
        <v>#REF!</v>
      </c>
      <c r="M8989" s="33" t="str">
        <f t="shared" si="563"/>
        <v>P&amp;L</v>
      </c>
    </row>
    <row r="8990" spans="1:13">
      <c r="A8990" s="33" t="str">
        <f t="shared" si="560"/>
        <v>SCL - Operating Expense</v>
      </c>
      <c r="B8990" s="33" t="str">
        <f t="shared" si="561"/>
        <v>SCL</v>
      </c>
      <c r="C8990" s="33" t="str">
        <f t="shared" si="562"/>
        <v>62513-7377</v>
      </c>
      <c r="D8990" s="64" t="s">
        <v>10240</v>
      </c>
      <c r="E8990" s="64" t="s">
        <v>3124</v>
      </c>
      <c r="F8990" s="64" t="s">
        <v>15</v>
      </c>
      <c r="G8990" s="64" t="s">
        <v>3035</v>
      </c>
      <c r="H8990" s="64" t="s">
        <v>3022</v>
      </c>
      <c r="I8990" s="64" t="s">
        <v>3102</v>
      </c>
      <c r="J8990" s="67">
        <v>0</v>
      </c>
      <c r="K8990" s="62">
        <v>97.32</v>
      </c>
      <c r="L8990" s="33" t="e">
        <f>HLOOKUP(B8990,#REF!,1,0)</f>
        <v>#REF!</v>
      </c>
      <c r="M8990" s="33" t="str">
        <f t="shared" si="563"/>
        <v>P&amp;L</v>
      </c>
    </row>
    <row r="8991" spans="1:13">
      <c r="A8991" s="33" t="str">
        <f t="shared" si="560"/>
        <v>SCL - Operating Expense</v>
      </c>
      <c r="B8991" s="33" t="str">
        <f t="shared" si="561"/>
        <v>SCL</v>
      </c>
      <c r="C8991" s="33" t="str">
        <f t="shared" si="562"/>
        <v>62513-7378</v>
      </c>
      <c r="D8991" s="64" t="s">
        <v>10241</v>
      </c>
      <c r="E8991" s="64" t="s">
        <v>3124</v>
      </c>
      <c r="F8991" s="64" t="s">
        <v>15</v>
      </c>
      <c r="G8991" s="64" t="s">
        <v>3035</v>
      </c>
      <c r="H8991" s="64" t="s">
        <v>3022</v>
      </c>
      <c r="I8991" s="64" t="s">
        <v>3102</v>
      </c>
      <c r="J8991" s="67">
        <v>0</v>
      </c>
      <c r="K8991" s="62">
        <v>192.33</v>
      </c>
      <c r="L8991" s="33" t="e">
        <f>HLOOKUP(B8991,#REF!,1,0)</f>
        <v>#REF!</v>
      </c>
      <c r="M8991" s="33" t="str">
        <f t="shared" si="563"/>
        <v>P&amp;L</v>
      </c>
    </row>
    <row r="8992" spans="1:13">
      <c r="A8992" s="33" t="str">
        <f t="shared" si="560"/>
        <v>SCL - Operating Expense</v>
      </c>
      <c r="B8992" s="33" t="str">
        <f t="shared" si="561"/>
        <v>SCL</v>
      </c>
      <c r="C8992" s="33" t="str">
        <f t="shared" si="562"/>
        <v>62513-7379</v>
      </c>
      <c r="D8992" s="64" t="s">
        <v>10242</v>
      </c>
      <c r="E8992" s="64" t="s">
        <v>3124</v>
      </c>
      <c r="F8992" s="64" t="s">
        <v>15</v>
      </c>
      <c r="G8992" s="64" t="s">
        <v>3035</v>
      </c>
      <c r="H8992" s="64" t="s">
        <v>3022</v>
      </c>
      <c r="I8992" s="64" t="s">
        <v>3102</v>
      </c>
      <c r="J8992" s="67">
        <v>0</v>
      </c>
      <c r="K8992" s="62">
        <v>124.45</v>
      </c>
      <c r="L8992" s="33" t="e">
        <f>HLOOKUP(B8992,#REF!,1,0)</f>
        <v>#REF!</v>
      </c>
      <c r="M8992" s="33" t="str">
        <f t="shared" si="563"/>
        <v>P&amp;L</v>
      </c>
    </row>
    <row r="8993" spans="1:13">
      <c r="A8993" s="33" t="str">
        <f t="shared" si="560"/>
        <v>SCL - Operating Expense</v>
      </c>
      <c r="B8993" s="33" t="str">
        <f t="shared" si="561"/>
        <v>SCL</v>
      </c>
      <c r="C8993" s="33" t="str">
        <f t="shared" si="562"/>
        <v>62513-7380</v>
      </c>
      <c r="D8993" s="64" t="s">
        <v>10243</v>
      </c>
      <c r="E8993" s="64" t="s">
        <v>3124</v>
      </c>
      <c r="F8993" s="64" t="s">
        <v>15</v>
      </c>
      <c r="G8993" s="64" t="s">
        <v>3035</v>
      </c>
      <c r="H8993" s="64" t="s">
        <v>3022</v>
      </c>
      <c r="I8993" s="64" t="s">
        <v>3102</v>
      </c>
      <c r="J8993" s="67">
        <v>23.62</v>
      </c>
      <c r="K8993" s="62">
        <v>138.28</v>
      </c>
      <c r="L8993" s="33" t="e">
        <f>HLOOKUP(B8993,#REF!,1,0)</f>
        <v>#REF!</v>
      </c>
      <c r="M8993" s="33" t="str">
        <f t="shared" si="563"/>
        <v>P&amp;L</v>
      </c>
    </row>
    <row r="8994" spans="1:13">
      <c r="A8994" s="33" t="str">
        <f t="shared" si="560"/>
        <v>SCL - Operating Expense</v>
      </c>
      <c r="B8994" s="33" t="str">
        <f t="shared" si="561"/>
        <v>SCL</v>
      </c>
      <c r="C8994" s="33" t="str">
        <f t="shared" si="562"/>
        <v>62513-7381</v>
      </c>
      <c r="D8994" s="64" t="s">
        <v>10244</v>
      </c>
      <c r="E8994" s="64" t="s">
        <v>3124</v>
      </c>
      <c r="F8994" s="64" t="s">
        <v>15</v>
      </c>
      <c r="G8994" s="64" t="s">
        <v>3035</v>
      </c>
      <c r="H8994" s="64" t="s">
        <v>3022</v>
      </c>
      <c r="I8994" s="64" t="s">
        <v>3102</v>
      </c>
      <c r="J8994" s="67">
        <v>0</v>
      </c>
      <c r="K8994" s="62">
        <v>886.72</v>
      </c>
      <c r="L8994" s="33" t="e">
        <f>HLOOKUP(B8994,#REF!,1,0)</f>
        <v>#REF!</v>
      </c>
      <c r="M8994" s="33" t="str">
        <f t="shared" si="563"/>
        <v>P&amp;L</v>
      </c>
    </row>
    <row r="8995" spans="1:13">
      <c r="A8995" s="33" t="str">
        <f t="shared" si="560"/>
        <v>SCL - Operating Expense</v>
      </c>
      <c r="B8995" s="33" t="str">
        <f t="shared" si="561"/>
        <v>SCL</v>
      </c>
      <c r="C8995" s="33" t="str">
        <f t="shared" si="562"/>
        <v>62513-7383</v>
      </c>
      <c r="D8995" s="64" t="s">
        <v>10245</v>
      </c>
      <c r="E8995" s="64" t="s">
        <v>3124</v>
      </c>
      <c r="F8995" s="64" t="s">
        <v>15</v>
      </c>
      <c r="G8995" s="64" t="s">
        <v>3035</v>
      </c>
      <c r="H8995" s="64" t="s">
        <v>3022</v>
      </c>
      <c r="I8995" s="64" t="s">
        <v>3102</v>
      </c>
      <c r="J8995" s="67">
        <v>0</v>
      </c>
      <c r="K8995" s="62">
        <v>113.78</v>
      </c>
      <c r="L8995" s="33" t="e">
        <f>HLOOKUP(B8995,#REF!,1,0)</f>
        <v>#REF!</v>
      </c>
      <c r="M8995" s="33" t="str">
        <f t="shared" si="563"/>
        <v>P&amp;L</v>
      </c>
    </row>
    <row r="8996" spans="1:13">
      <c r="A8996" s="33" t="str">
        <f t="shared" si="560"/>
        <v>SCL - Operating Expense</v>
      </c>
      <c r="B8996" s="33" t="str">
        <f t="shared" si="561"/>
        <v>SCL</v>
      </c>
      <c r="C8996" s="33" t="str">
        <f t="shared" si="562"/>
        <v>62513-7385</v>
      </c>
      <c r="D8996" s="64" t="s">
        <v>10246</v>
      </c>
      <c r="E8996" s="64" t="s">
        <v>3124</v>
      </c>
      <c r="F8996" s="64" t="s">
        <v>15</v>
      </c>
      <c r="G8996" s="64" t="s">
        <v>3035</v>
      </c>
      <c r="H8996" s="64" t="s">
        <v>3022</v>
      </c>
      <c r="I8996" s="64" t="s">
        <v>3102</v>
      </c>
      <c r="J8996" s="67">
        <v>0</v>
      </c>
      <c r="K8996" s="62">
        <v>982.49</v>
      </c>
      <c r="L8996" s="33" t="e">
        <f>HLOOKUP(B8996,#REF!,1,0)</f>
        <v>#REF!</v>
      </c>
      <c r="M8996" s="33" t="str">
        <f t="shared" si="563"/>
        <v>P&amp;L</v>
      </c>
    </row>
    <row r="8997" spans="1:13">
      <c r="A8997" s="33" t="str">
        <f t="shared" si="560"/>
        <v>SCL - Operating Expense</v>
      </c>
      <c r="B8997" s="33" t="str">
        <f t="shared" si="561"/>
        <v>SCL</v>
      </c>
      <c r="C8997" s="33" t="str">
        <f t="shared" si="562"/>
        <v>62513-7386</v>
      </c>
      <c r="D8997" s="64" t="s">
        <v>10247</v>
      </c>
      <c r="E8997" s="64" t="s">
        <v>3124</v>
      </c>
      <c r="F8997" s="64" t="s">
        <v>15</v>
      </c>
      <c r="G8997" s="64" t="s">
        <v>3035</v>
      </c>
      <c r="H8997" s="64" t="s">
        <v>3022</v>
      </c>
      <c r="I8997" s="64" t="s">
        <v>3102</v>
      </c>
      <c r="J8997" s="67">
        <v>23.62</v>
      </c>
      <c r="K8997" s="62">
        <v>138.27</v>
      </c>
      <c r="L8997" s="33" t="e">
        <f>HLOOKUP(B8997,#REF!,1,0)</f>
        <v>#REF!</v>
      </c>
      <c r="M8997" s="33" t="str">
        <f t="shared" si="563"/>
        <v>P&amp;L</v>
      </c>
    </row>
    <row r="8998" spans="1:13">
      <c r="A8998" s="33" t="str">
        <f t="shared" si="560"/>
        <v>SCL - Operating Expense</v>
      </c>
      <c r="B8998" s="33" t="str">
        <f t="shared" si="561"/>
        <v>SCL</v>
      </c>
      <c r="C8998" s="33" t="str">
        <f t="shared" si="562"/>
        <v>62513-7387</v>
      </c>
      <c r="D8998" s="64" t="s">
        <v>10248</v>
      </c>
      <c r="E8998" s="64" t="s">
        <v>3124</v>
      </c>
      <c r="F8998" s="64" t="s">
        <v>15</v>
      </c>
      <c r="G8998" s="64" t="s">
        <v>3035</v>
      </c>
      <c r="H8998" s="64" t="s">
        <v>3022</v>
      </c>
      <c r="I8998" s="64" t="s">
        <v>3102</v>
      </c>
      <c r="J8998" s="67">
        <v>0</v>
      </c>
      <c r="K8998" s="62">
        <v>113.78</v>
      </c>
      <c r="L8998" s="33" t="e">
        <f>HLOOKUP(B8998,#REF!,1,0)</f>
        <v>#REF!</v>
      </c>
      <c r="M8998" s="33" t="str">
        <f t="shared" si="563"/>
        <v>P&amp;L</v>
      </c>
    </row>
    <row r="8999" spans="1:13">
      <c r="A8999" s="33" t="str">
        <f t="shared" si="560"/>
        <v>SCL - Operating Expense</v>
      </c>
      <c r="B8999" s="33" t="str">
        <f t="shared" si="561"/>
        <v>SCL</v>
      </c>
      <c r="C8999" s="33" t="str">
        <f t="shared" si="562"/>
        <v>62513-7389</v>
      </c>
      <c r="D8999" s="64" t="s">
        <v>10249</v>
      </c>
      <c r="E8999" s="64" t="s">
        <v>3124</v>
      </c>
      <c r="F8999" s="64" t="s">
        <v>15</v>
      </c>
      <c r="G8999" s="64" t="s">
        <v>3035</v>
      </c>
      <c r="H8999" s="64" t="s">
        <v>3022</v>
      </c>
      <c r="I8999" s="64" t="s">
        <v>3102</v>
      </c>
      <c r="J8999" s="67">
        <v>41.97</v>
      </c>
      <c r="K8999" s="62">
        <v>327.52</v>
      </c>
      <c r="L8999" s="33" t="e">
        <f>HLOOKUP(B8999,#REF!,1,0)</f>
        <v>#REF!</v>
      </c>
      <c r="M8999" s="33" t="str">
        <f t="shared" si="563"/>
        <v>P&amp;L</v>
      </c>
    </row>
    <row r="9000" spans="1:13">
      <c r="A9000" s="33" t="str">
        <f t="shared" si="560"/>
        <v>SCL - Operating Expense</v>
      </c>
      <c r="B9000" s="33" t="str">
        <f t="shared" si="561"/>
        <v>SCL</v>
      </c>
      <c r="C9000" s="33" t="str">
        <f t="shared" si="562"/>
        <v>62513-7391</v>
      </c>
      <c r="D9000" s="64" t="s">
        <v>10250</v>
      </c>
      <c r="E9000" s="64" t="s">
        <v>3124</v>
      </c>
      <c r="F9000" s="64" t="s">
        <v>15</v>
      </c>
      <c r="G9000" s="64" t="s">
        <v>3035</v>
      </c>
      <c r="H9000" s="64" t="s">
        <v>3022</v>
      </c>
      <c r="I9000" s="64" t="s">
        <v>3102</v>
      </c>
      <c r="J9000" s="67">
        <v>0</v>
      </c>
      <c r="K9000" s="62">
        <v>867.52</v>
      </c>
      <c r="L9000" s="33" t="e">
        <f>HLOOKUP(B9000,#REF!,1,0)</f>
        <v>#REF!</v>
      </c>
      <c r="M9000" s="33" t="str">
        <f t="shared" si="563"/>
        <v>P&amp;L</v>
      </c>
    </row>
    <row r="9001" spans="1:13">
      <c r="A9001" s="33" t="str">
        <f t="shared" si="560"/>
        <v>SCL - Operating Expense</v>
      </c>
      <c r="B9001" s="33" t="str">
        <f t="shared" si="561"/>
        <v>SCL</v>
      </c>
      <c r="C9001" s="33" t="str">
        <f t="shared" si="562"/>
        <v>62513-7393</v>
      </c>
      <c r="D9001" s="64" t="s">
        <v>10251</v>
      </c>
      <c r="E9001" s="64" t="s">
        <v>3124</v>
      </c>
      <c r="F9001" s="64" t="s">
        <v>15</v>
      </c>
      <c r="G9001" s="64" t="s">
        <v>3035</v>
      </c>
      <c r="H9001" s="64" t="s">
        <v>3022</v>
      </c>
      <c r="I9001" s="64" t="s">
        <v>3102</v>
      </c>
      <c r="J9001" s="67">
        <v>0</v>
      </c>
      <c r="K9001" s="62">
        <v>125.79</v>
      </c>
      <c r="L9001" s="33" t="e">
        <f>HLOOKUP(B9001,#REF!,1,0)</f>
        <v>#REF!</v>
      </c>
      <c r="M9001" s="33" t="str">
        <f t="shared" si="563"/>
        <v>P&amp;L</v>
      </c>
    </row>
    <row r="9002" spans="1:13">
      <c r="A9002" s="33" t="str">
        <f t="shared" si="560"/>
        <v>SCL - Operating Expense</v>
      </c>
      <c r="B9002" s="33" t="str">
        <f t="shared" si="561"/>
        <v>SCL</v>
      </c>
      <c r="C9002" s="33" t="str">
        <f t="shared" si="562"/>
        <v>62513-7394</v>
      </c>
      <c r="D9002" s="64" t="s">
        <v>10252</v>
      </c>
      <c r="E9002" s="64" t="s">
        <v>3124</v>
      </c>
      <c r="F9002" s="64" t="s">
        <v>15</v>
      </c>
      <c r="G9002" s="64" t="s">
        <v>3035</v>
      </c>
      <c r="H9002" s="64" t="s">
        <v>3022</v>
      </c>
      <c r="I9002" s="64" t="s">
        <v>3102</v>
      </c>
      <c r="J9002" s="67">
        <v>0</v>
      </c>
      <c r="K9002" s="62">
        <v>154.93</v>
      </c>
      <c r="L9002" s="33" t="e">
        <f>HLOOKUP(B9002,#REF!,1,0)</f>
        <v>#REF!</v>
      </c>
      <c r="M9002" s="33" t="str">
        <f t="shared" si="563"/>
        <v>P&amp;L</v>
      </c>
    </row>
    <row r="9003" spans="1:13">
      <c r="A9003" s="33" t="str">
        <f t="shared" si="560"/>
        <v>SCL - Operating Expense</v>
      </c>
      <c r="B9003" s="33" t="str">
        <f t="shared" si="561"/>
        <v>SCL</v>
      </c>
      <c r="C9003" s="33" t="str">
        <f t="shared" si="562"/>
        <v>62513-7396</v>
      </c>
      <c r="D9003" s="64" t="s">
        <v>10253</v>
      </c>
      <c r="E9003" s="64" t="s">
        <v>3124</v>
      </c>
      <c r="F9003" s="64" t="s">
        <v>15</v>
      </c>
      <c r="G9003" s="64" t="s">
        <v>3035</v>
      </c>
      <c r="H9003" s="64" t="s">
        <v>3022</v>
      </c>
      <c r="I9003" s="64" t="s">
        <v>3102</v>
      </c>
      <c r="J9003" s="67">
        <v>0</v>
      </c>
      <c r="K9003" s="62">
        <v>136.78</v>
      </c>
      <c r="L9003" s="33" t="e">
        <f>HLOOKUP(B9003,#REF!,1,0)</f>
        <v>#REF!</v>
      </c>
      <c r="M9003" s="33" t="str">
        <f t="shared" si="563"/>
        <v>P&amp;L</v>
      </c>
    </row>
    <row r="9004" spans="1:13">
      <c r="A9004" s="33" t="str">
        <f t="shared" si="560"/>
        <v>SCL - Operating Expense</v>
      </c>
      <c r="B9004" s="33" t="str">
        <f t="shared" si="561"/>
        <v>SCL</v>
      </c>
      <c r="C9004" s="33" t="str">
        <f t="shared" si="562"/>
        <v>62513-7397</v>
      </c>
      <c r="D9004" s="64" t="s">
        <v>10254</v>
      </c>
      <c r="E9004" s="64" t="s">
        <v>3124</v>
      </c>
      <c r="F9004" s="64" t="s">
        <v>15</v>
      </c>
      <c r="G9004" s="64" t="s">
        <v>3035</v>
      </c>
      <c r="H9004" s="64" t="s">
        <v>3022</v>
      </c>
      <c r="I9004" s="64" t="s">
        <v>3102</v>
      </c>
      <c r="J9004" s="67">
        <v>15.33</v>
      </c>
      <c r="K9004" s="62">
        <v>171.57</v>
      </c>
      <c r="L9004" s="33" t="e">
        <f>HLOOKUP(B9004,#REF!,1,0)</f>
        <v>#REF!</v>
      </c>
      <c r="M9004" s="33" t="str">
        <f t="shared" si="563"/>
        <v>P&amp;L</v>
      </c>
    </row>
    <row r="9005" spans="1:13">
      <c r="A9005" s="33" t="str">
        <f t="shared" si="560"/>
        <v>SCL - Operating Expense</v>
      </c>
      <c r="B9005" s="33" t="str">
        <f t="shared" si="561"/>
        <v>SCL</v>
      </c>
      <c r="C9005" s="33" t="str">
        <f t="shared" si="562"/>
        <v>62513-7398</v>
      </c>
      <c r="D9005" s="64" t="s">
        <v>10255</v>
      </c>
      <c r="E9005" s="64" t="s">
        <v>3124</v>
      </c>
      <c r="F9005" s="64" t="s">
        <v>15</v>
      </c>
      <c r="G9005" s="64" t="s">
        <v>3035</v>
      </c>
      <c r="H9005" s="64" t="s">
        <v>3022</v>
      </c>
      <c r="I9005" s="64" t="s">
        <v>3102</v>
      </c>
      <c r="J9005" s="67">
        <v>20.78</v>
      </c>
      <c r="K9005" s="62">
        <v>215.01</v>
      </c>
      <c r="L9005" s="33" t="e">
        <f>HLOOKUP(B9005,#REF!,1,0)</f>
        <v>#REF!</v>
      </c>
      <c r="M9005" s="33" t="str">
        <f t="shared" si="563"/>
        <v>P&amp;L</v>
      </c>
    </row>
    <row r="9006" spans="1:13">
      <c r="A9006" s="33" t="str">
        <f t="shared" si="560"/>
        <v>SCL - Operating Expense</v>
      </c>
      <c r="B9006" s="33" t="str">
        <f t="shared" si="561"/>
        <v>SCL</v>
      </c>
      <c r="C9006" s="33" t="str">
        <f t="shared" si="562"/>
        <v>62513-7400</v>
      </c>
      <c r="D9006" s="64" t="s">
        <v>10256</v>
      </c>
      <c r="E9006" s="64" t="s">
        <v>3124</v>
      </c>
      <c r="F9006" s="64" t="s">
        <v>15</v>
      </c>
      <c r="G9006" s="64" t="s">
        <v>3035</v>
      </c>
      <c r="H9006" s="64" t="s">
        <v>3022</v>
      </c>
      <c r="I9006" s="64" t="s">
        <v>3102</v>
      </c>
      <c r="J9006" s="67">
        <v>64.31</v>
      </c>
      <c r="K9006" s="62">
        <v>2303.09</v>
      </c>
      <c r="L9006" s="33" t="e">
        <f>HLOOKUP(B9006,#REF!,1,0)</f>
        <v>#REF!</v>
      </c>
      <c r="M9006" s="33" t="str">
        <f t="shared" si="563"/>
        <v>P&amp;L</v>
      </c>
    </row>
    <row r="9007" spans="1:13">
      <c r="A9007" s="33" t="str">
        <f t="shared" si="560"/>
        <v>SCL - Operating Expense</v>
      </c>
      <c r="B9007" s="33" t="str">
        <f t="shared" si="561"/>
        <v>SCL</v>
      </c>
      <c r="C9007" s="33" t="str">
        <f t="shared" si="562"/>
        <v>62513-7401</v>
      </c>
      <c r="D9007" s="64" t="s">
        <v>10257</v>
      </c>
      <c r="E9007" s="64" t="s">
        <v>3124</v>
      </c>
      <c r="F9007" s="64" t="s">
        <v>15</v>
      </c>
      <c r="G9007" s="64" t="s">
        <v>3035</v>
      </c>
      <c r="H9007" s="64" t="s">
        <v>3022</v>
      </c>
      <c r="I9007" s="64" t="s">
        <v>3102</v>
      </c>
      <c r="J9007" s="67">
        <v>0</v>
      </c>
      <c r="K9007" s="62">
        <v>113.76</v>
      </c>
      <c r="L9007" s="33" t="e">
        <f>HLOOKUP(B9007,#REF!,1,0)</f>
        <v>#REF!</v>
      </c>
      <c r="M9007" s="33" t="str">
        <f t="shared" si="563"/>
        <v>P&amp;L</v>
      </c>
    </row>
    <row r="9008" spans="1:13">
      <c r="A9008" s="33" t="str">
        <f t="shared" si="560"/>
        <v>SCL - Operating Expense</v>
      </c>
      <c r="B9008" s="33" t="str">
        <f t="shared" si="561"/>
        <v>SCL</v>
      </c>
      <c r="C9008" s="33" t="str">
        <f t="shared" si="562"/>
        <v>62513-7402</v>
      </c>
      <c r="D9008" s="64" t="s">
        <v>10258</v>
      </c>
      <c r="E9008" s="64" t="s">
        <v>3124</v>
      </c>
      <c r="F9008" s="64" t="s">
        <v>15</v>
      </c>
      <c r="G9008" s="64" t="s">
        <v>3035</v>
      </c>
      <c r="H9008" s="64" t="s">
        <v>3022</v>
      </c>
      <c r="I9008" s="64" t="s">
        <v>3102</v>
      </c>
      <c r="J9008" s="67">
        <v>0</v>
      </c>
      <c r="K9008" s="62">
        <v>1620.91</v>
      </c>
      <c r="L9008" s="33" t="e">
        <f>HLOOKUP(B9008,#REF!,1,0)</f>
        <v>#REF!</v>
      </c>
      <c r="M9008" s="33" t="str">
        <f t="shared" si="563"/>
        <v>P&amp;L</v>
      </c>
    </row>
    <row r="9009" spans="1:13">
      <c r="A9009" s="33" t="str">
        <f t="shared" si="560"/>
        <v>SCL - Operating Expense</v>
      </c>
      <c r="B9009" s="33" t="str">
        <f t="shared" si="561"/>
        <v>SCL</v>
      </c>
      <c r="C9009" s="33" t="str">
        <f t="shared" si="562"/>
        <v>62513-7403</v>
      </c>
      <c r="D9009" s="64" t="s">
        <v>10259</v>
      </c>
      <c r="E9009" s="64" t="s">
        <v>3124</v>
      </c>
      <c r="F9009" s="64" t="s">
        <v>15</v>
      </c>
      <c r="G9009" s="64" t="s">
        <v>3035</v>
      </c>
      <c r="H9009" s="64" t="s">
        <v>3022</v>
      </c>
      <c r="I9009" s="64" t="s">
        <v>3102</v>
      </c>
      <c r="J9009" s="67">
        <v>48.73</v>
      </c>
      <c r="K9009" s="62">
        <v>248.58</v>
      </c>
      <c r="L9009" s="33" t="e">
        <f>HLOOKUP(B9009,#REF!,1,0)</f>
        <v>#REF!</v>
      </c>
      <c r="M9009" s="33" t="str">
        <f t="shared" si="563"/>
        <v>P&amp;L</v>
      </c>
    </row>
    <row r="9010" spans="1:13">
      <c r="A9010" s="33" t="str">
        <f t="shared" si="560"/>
        <v>SCL - Operating Expense</v>
      </c>
      <c r="B9010" s="33" t="str">
        <f t="shared" si="561"/>
        <v>SCL</v>
      </c>
      <c r="C9010" s="33" t="str">
        <f t="shared" si="562"/>
        <v>62513-7489</v>
      </c>
      <c r="D9010" s="64" t="s">
        <v>10260</v>
      </c>
      <c r="E9010" s="64" t="s">
        <v>3124</v>
      </c>
      <c r="F9010" s="64" t="s">
        <v>15</v>
      </c>
      <c r="G9010" s="64" t="s">
        <v>3035</v>
      </c>
      <c r="H9010" s="64" t="s">
        <v>3022</v>
      </c>
      <c r="I9010" s="64" t="s">
        <v>3102</v>
      </c>
      <c r="J9010" s="67">
        <v>46.36</v>
      </c>
      <c r="K9010" s="62">
        <v>359.33</v>
      </c>
      <c r="L9010" s="33" t="e">
        <f>HLOOKUP(B9010,#REF!,1,0)</f>
        <v>#REF!</v>
      </c>
      <c r="M9010" s="33" t="str">
        <f t="shared" si="563"/>
        <v>P&amp;L</v>
      </c>
    </row>
    <row r="9011" spans="1:13">
      <c r="A9011" s="33" t="str">
        <f t="shared" si="560"/>
        <v>SCL - Operating Expense</v>
      </c>
      <c r="B9011" s="33" t="str">
        <f t="shared" si="561"/>
        <v>SCL</v>
      </c>
      <c r="C9011" s="33" t="str">
        <f t="shared" si="562"/>
        <v>62513-7491</v>
      </c>
      <c r="D9011" s="64" t="s">
        <v>10261</v>
      </c>
      <c r="E9011" s="64" t="s">
        <v>3124</v>
      </c>
      <c r="F9011" s="64" t="s">
        <v>15</v>
      </c>
      <c r="G9011" s="64" t="s">
        <v>3035</v>
      </c>
      <c r="H9011" s="64" t="s">
        <v>3022</v>
      </c>
      <c r="I9011" s="64" t="s">
        <v>3102</v>
      </c>
      <c r="J9011" s="67">
        <v>0</v>
      </c>
      <c r="K9011" s="62">
        <v>84.66</v>
      </c>
      <c r="L9011" s="33" t="e">
        <f>HLOOKUP(B9011,#REF!,1,0)</f>
        <v>#REF!</v>
      </c>
      <c r="M9011" s="33" t="str">
        <f t="shared" si="563"/>
        <v>P&amp;L</v>
      </c>
    </row>
    <row r="9012" spans="1:13">
      <c r="A9012" s="33" t="str">
        <f t="shared" si="560"/>
        <v>SCL - Operating Expense</v>
      </c>
      <c r="B9012" s="33" t="str">
        <f t="shared" si="561"/>
        <v>SCL</v>
      </c>
      <c r="C9012" s="33" t="str">
        <f t="shared" si="562"/>
        <v>62513-7492</v>
      </c>
      <c r="D9012" s="64" t="s">
        <v>10262</v>
      </c>
      <c r="E9012" s="64" t="s">
        <v>3124</v>
      </c>
      <c r="F9012" s="64" t="s">
        <v>15</v>
      </c>
      <c r="G9012" s="64" t="s">
        <v>3035</v>
      </c>
      <c r="H9012" s="64" t="s">
        <v>3022</v>
      </c>
      <c r="I9012" s="64" t="s">
        <v>3102</v>
      </c>
      <c r="J9012" s="67">
        <v>46.36</v>
      </c>
      <c r="K9012" s="62">
        <v>165.78</v>
      </c>
      <c r="L9012" s="33" t="e">
        <f>HLOOKUP(B9012,#REF!,1,0)</f>
        <v>#REF!</v>
      </c>
      <c r="M9012" s="33" t="str">
        <f t="shared" si="563"/>
        <v>P&amp;L</v>
      </c>
    </row>
    <row r="9013" spans="1:13">
      <c r="A9013" s="33" t="str">
        <f t="shared" si="560"/>
        <v>SCL - Operating Expense</v>
      </c>
      <c r="B9013" s="33" t="str">
        <f t="shared" si="561"/>
        <v>SCL</v>
      </c>
      <c r="C9013" s="33" t="str">
        <f t="shared" si="562"/>
        <v>62513-7493</v>
      </c>
      <c r="D9013" s="64" t="s">
        <v>10263</v>
      </c>
      <c r="E9013" s="64" t="s">
        <v>3124</v>
      </c>
      <c r="F9013" s="64" t="s">
        <v>15</v>
      </c>
      <c r="G9013" s="64" t="s">
        <v>3035</v>
      </c>
      <c r="H9013" s="64" t="s">
        <v>3022</v>
      </c>
      <c r="I9013" s="64" t="s">
        <v>3102</v>
      </c>
      <c r="J9013" s="67">
        <v>0</v>
      </c>
      <c r="K9013" s="62">
        <v>608.39</v>
      </c>
      <c r="L9013" s="33" t="e">
        <f>HLOOKUP(B9013,#REF!,1,0)</f>
        <v>#REF!</v>
      </c>
      <c r="M9013" s="33" t="str">
        <f t="shared" si="563"/>
        <v>P&amp;L</v>
      </c>
    </row>
    <row r="9014" spans="1:13">
      <c r="A9014" s="33" t="str">
        <f t="shared" si="560"/>
        <v>SCL - Operating Expense</v>
      </c>
      <c r="B9014" s="33" t="str">
        <f t="shared" si="561"/>
        <v>SCL</v>
      </c>
      <c r="C9014" s="33" t="str">
        <f t="shared" si="562"/>
        <v>62513-7494</v>
      </c>
      <c r="D9014" s="64" t="s">
        <v>10264</v>
      </c>
      <c r="E9014" s="64" t="s">
        <v>3124</v>
      </c>
      <c r="F9014" s="64" t="s">
        <v>15</v>
      </c>
      <c r="G9014" s="64" t="s">
        <v>3035</v>
      </c>
      <c r="H9014" s="64" t="s">
        <v>3022</v>
      </c>
      <c r="I9014" s="64" t="s">
        <v>3102</v>
      </c>
      <c r="J9014" s="67">
        <v>0</v>
      </c>
      <c r="K9014" s="62">
        <v>750.12</v>
      </c>
      <c r="L9014" s="33" t="e">
        <f>HLOOKUP(B9014,#REF!,1,0)</f>
        <v>#REF!</v>
      </c>
      <c r="M9014" s="33" t="str">
        <f t="shared" si="563"/>
        <v>P&amp;L</v>
      </c>
    </row>
    <row r="9015" spans="1:13">
      <c r="A9015" s="33" t="str">
        <f t="shared" si="560"/>
        <v>SCL - Operating Expense</v>
      </c>
      <c r="B9015" s="33" t="str">
        <f t="shared" si="561"/>
        <v>SCL</v>
      </c>
      <c r="C9015" s="33" t="str">
        <f t="shared" si="562"/>
        <v>62513-7625</v>
      </c>
      <c r="D9015" s="64" t="s">
        <v>10265</v>
      </c>
      <c r="E9015" s="64" t="s">
        <v>3124</v>
      </c>
      <c r="F9015" s="64" t="s">
        <v>15</v>
      </c>
      <c r="G9015" s="64" t="s">
        <v>3035</v>
      </c>
      <c r="H9015" s="64" t="s">
        <v>3022</v>
      </c>
      <c r="I9015" s="64" t="s">
        <v>3102</v>
      </c>
      <c r="J9015" s="67">
        <v>46.36</v>
      </c>
      <c r="K9015" s="62">
        <v>215.58</v>
      </c>
      <c r="L9015" s="33" t="e">
        <f>HLOOKUP(B9015,#REF!,1,0)</f>
        <v>#REF!</v>
      </c>
      <c r="M9015" s="33" t="str">
        <f t="shared" si="563"/>
        <v>P&amp;L</v>
      </c>
    </row>
    <row r="9016" spans="1:13">
      <c r="A9016" s="33" t="str">
        <f t="shared" si="560"/>
        <v>SCL - Operating Expense</v>
      </c>
      <c r="B9016" s="33" t="str">
        <f t="shared" si="561"/>
        <v>SCL</v>
      </c>
      <c r="C9016" s="33" t="str">
        <f t="shared" si="562"/>
        <v>62513-8150</v>
      </c>
      <c r="D9016" s="64" t="s">
        <v>10266</v>
      </c>
      <c r="E9016" s="64" t="s">
        <v>3124</v>
      </c>
      <c r="F9016" s="64" t="s">
        <v>15</v>
      </c>
      <c r="G9016" s="64" t="s">
        <v>3035</v>
      </c>
      <c r="H9016" s="64" t="s">
        <v>3022</v>
      </c>
      <c r="I9016" s="64" t="s">
        <v>3102</v>
      </c>
      <c r="J9016" s="67">
        <v>0</v>
      </c>
      <c r="K9016" s="62">
        <v>65.65</v>
      </c>
      <c r="L9016" s="33" t="e">
        <f>HLOOKUP(B9016,#REF!,1,0)</f>
        <v>#REF!</v>
      </c>
      <c r="M9016" s="33" t="str">
        <f t="shared" si="563"/>
        <v>P&amp;L</v>
      </c>
    </row>
    <row r="9017" spans="1:13">
      <c r="A9017" s="33" t="str">
        <f t="shared" si="560"/>
        <v>SCL - Operating Expense</v>
      </c>
      <c r="B9017" s="33" t="str">
        <f t="shared" si="561"/>
        <v>SCL</v>
      </c>
      <c r="C9017" s="33" t="str">
        <f t="shared" si="562"/>
        <v>62550-0000</v>
      </c>
      <c r="D9017" s="64" t="s">
        <v>10267</v>
      </c>
      <c r="E9017" s="64" t="s">
        <v>3129</v>
      </c>
      <c r="F9017" s="64" t="s">
        <v>15</v>
      </c>
      <c r="G9017" s="64" t="s">
        <v>3035</v>
      </c>
      <c r="H9017" s="64" t="s">
        <v>3022</v>
      </c>
      <c r="I9017" s="64" t="s">
        <v>3130</v>
      </c>
      <c r="J9017" s="67">
        <v>0</v>
      </c>
      <c r="K9017" s="62">
        <v>0</v>
      </c>
      <c r="L9017" s="33" t="e">
        <f>HLOOKUP(B9017,#REF!,1,0)</f>
        <v>#REF!</v>
      </c>
      <c r="M9017" s="33" t="str">
        <f t="shared" si="563"/>
        <v>P&amp;L</v>
      </c>
    </row>
    <row r="9018" spans="1:13">
      <c r="A9018" s="33" t="str">
        <f t="shared" si="560"/>
        <v>SCL - Operating Expense</v>
      </c>
      <c r="B9018" s="33" t="str">
        <f t="shared" si="561"/>
        <v>SCL</v>
      </c>
      <c r="C9018" s="33" t="str">
        <f t="shared" si="562"/>
        <v>62550-7351</v>
      </c>
      <c r="D9018" s="64" t="s">
        <v>10268</v>
      </c>
      <c r="E9018" s="64" t="s">
        <v>3129</v>
      </c>
      <c r="F9018" s="64" t="s">
        <v>15</v>
      </c>
      <c r="G9018" s="64" t="s">
        <v>3035</v>
      </c>
      <c r="H9018" s="64" t="s">
        <v>3022</v>
      </c>
      <c r="I9018" s="64" t="s">
        <v>3130</v>
      </c>
      <c r="J9018" s="67">
        <v>1449.49</v>
      </c>
      <c r="K9018" s="62">
        <v>6397.65</v>
      </c>
      <c r="L9018" s="33" t="e">
        <f>HLOOKUP(B9018,#REF!,1,0)</f>
        <v>#REF!</v>
      </c>
      <c r="M9018" s="33" t="str">
        <f t="shared" si="563"/>
        <v>P&amp;L</v>
      </c>
    </row>
    <row r="9019" spans="1:13">
      <c r="A9019" s="33" t="str">
        <f t="shared" si="560"/>
        <v>SCL - Operating Expense</v>
      </c>
      <c r="B9019" s="33" t="str">
        <f t="shared" si="561"/>
        <v>SCL</v>
      </c>
      <c r="C9019" s="33" t="str">
        <f t="shared" si="562"/>
        <v>62550-7352</v>
      </c>
      <c r="D9019" s="64" t="s">
        <v>10269</v>
      </c>
      <c r="E9019" s="64" t="s">
        <v>3129</v>
      </c>
      <c r="F9019" s="64" t="s">
        <v>15</v>
      </c>
      <c r="G9019" s="64" t="s">
        <v>3035</v>
      </c>
      <c r="H9019" s="64" t="s">
        <v>3022</v>
      </c>
      <c r="I9019" s="64" t="s">
        <v>3130</v>
      </c>
      <c r="J9019" s="67">
        <v>1243.04</v>
      </c>
      <c r="K9019" s="62">
        <v>12896.7</v>
      </c>
      <c r="L9019" s="33" t="e">
        <f>HLOOKUP(B9019,#REF!,1,0)</f>
        <v>#REF!</v>
      </c>
      <c r="M9019" s="33" t="str">
        <f t="shared" si="563"/>
        <v>P&amp;L</v>
      </c>
    </row>
    <row r="9020" spans="1:13">
      <c r="A9020" s="33" t="str">
        <f t="shared" si="560"/>
        <v>SCL - Operating Expense</v>
      </c>
      <c r="B9020" s="33" t="str">
        <f t="shared" si="561"/>
        <v>SCL</v>
      </c>
      <c r="C9020" s="33" t="str">
        <f t="shared" si="562"/>
        <v>62550-7355</v>
      </c>
      <c r="D9020" s="64" t="s">
        <v>10270</v>
      </c>
      <c r="E9020" s="64" t="s">
        <v>3129</v>
      </c>
      <c r="F9020" s="64" t="s">
        <v>15</v>
      </c>
      <c r="G9020" s="64" t="s">
        <v>3035</v>
      </c>
      <c r="H9020" s="64" t="s">
        <v>3022</v>
      </c>
      <c r="I9020" s="64" t="s">
        <v>3130</v>
      </c>
      <c r="J9020" s="67">
        <v>740.17</v>
      </c>
      <c r="K9020" s="62">
        <v>18693.97</v>
      </c>
      <c r="L9020" s="33" t="e">
        <f>HLOOKUP(B9020,#REF!,1,0)</f>
        <v>#REF!</v>
      </c>
      <c r="M9020" s="33" t="str">
        <f t="shared" si="563"/>
        <v>P&amp;L</v>
      </c>
    </row>
    <row r="9021" spans="1:13">
      <c r="A9021" s="33" t="str">
        <f t="shared" si="560"/>
        <v>SCL - Operating Expense</v>
      </c>
      <c r="B9021" s="33" t="str">
        <f t="shared" si="561"/>
        <v>SCL</v>
      </c>
      <c r="C9021" s="33" t="str">
        <f t="shared" si="562"/>
        <v>62550-7356</v>
      </c>
      <c r="D9021" s="64" t="s">
        <v>10271</v>
      </c>
      <c r="E9021" s="64" t="s">
        <v>3129</v>
      </c>
      <c r="F9021" s="64" t="s">
        <v>15</v>
      </c>
      <c r="G9021" s="64" t="s">
        <v>3035</v>
      </c>
      <c r="H9021" s="64" t="s">
        <v>3022</v>
      </c>
      <c r="I9021" s="64" t="s">
        <v>3130</v>
      </c>
      <c r="J9021" s="67">
        <v>0</v>
      </c>
      <c r="K9021" s="62">
        <v>8385.86</v>
      </c>
      <c r="L9021" s="33" t="e">
        <f>HLOOKUP(B9021,#REF!,1,0)</f>
        <v>#REF!</v>
      </c>
      <c r="M9021" s="33" t="str">
        <f t="shared" si="563"/>
        <v>P&amp;L</v>
      </c>
    </row>
    <row r="9022" spans="1:13">
      <c r="A9022" s="33" t="str">
        <f t="shared" si="560"/>
        <v>SCL - Operating Expense</v>
      </c>
      <c r="B9022" s="33" t="str">
        <f t="shared" si="561"/>
        <v>SCL</v>
      </c>
      <c r="C9022" s="33" t="str">
        <f t="shared" si="562"/>
        <v>62550-7359</v>
      </c>
      <c r="D9022" s="64" t="s">
        <v>10272</v>
      </c>
      <c r="E9022" s="64" t="s">
        <v>3129</v>
      </c>
      <c r="F9022" s="64" t="s">
        <v>15</v>
      </c>
      <c r="G9022" s="64" t="s">
        <v>3035</v>
      </c>
      <c r="H9022" s="64" t="s">
        <v>3022</v>
      </c>
      <c r="I9022" s="64" t="s">
        <v>3130</v>
      </c>
      <c r="J9022" s="67">
        <v>4687.68</v>
      </c>
      <c r="K9022" s="62">
        <v>11476.09</v>
      </c>
      <c r="L9022" s="33" t="e">
        <f>HLOOKUP(B9022,#REF!,1,0)</f>
        <v>#REF!</v>
      </c>
      <c r="M9022" s="33" t="str">
        <f t="shared" si="563"/>
        <v>P&amp;L</v>
      </c>
    </row>
    <row r="9023" spans="1:13">
      <c r="A9023" s="33" t="str">
        <f t="shared" si="560"/>
        <v>SCL - Operating Expense</v>
      </c>
      <c r="B9023" s="33" t="str">
        <f t="shared" si="561"/>
        <v>SCL</v>
      </c>
      <c r="C9023" s="33" t="str">
        <f t="shared" si="562"/>
        <v>62550-7360</v>
      </c>
      <c r="D9023" s="64" t="s">
        <v>10273</v>
      </c>
      <c r="E9023" s="64" t="s">
        <v>3129</v>
      </c>
      <c r="F9023" s="64" t="s">
        <v>15</v>
      </c>
      <c r="G9023" s="64" t="s">
        <v>3035</v>
      </c>
      <c r="H9023" s="64" t="s">
        <v>3022</v>
      </c>
      <c r="I9023" s="64" t="s">
        <v>3130</v>
      </c>
      <c r="J9023" s="67">
        <v>1518.01</v>
      </c>
      <c r="K9023" s="62">
        <v>16589.24</v>
      </c>
      <c r="L9023" s="33" t="e">
        <f>HLOOKUP(B9023,#REF!,1,0)</f>
        <v>#REF!</v>
      </c>
      <c r="M9023" s="33" t="str">
        <f t="shared" si="563"/>
        <v>P&amp;L</v>
      </c>
    </row>
    <row r="9024" spans="1:13">
      <c r="A9024" s="33" t="str">
        <f t="shared" si="560"/>
        <v>SCL - Operating Expense</v>
      </c>
      <c r="B9024" s="33" t="str">
        <f t="shared" si="561"/>
        <v>SCL</v>
      </c>
      <c r="C9024" s="33" t="str">
        <f t="shared" si="562"/>
        <v>62550-7361</v>
      </c>
      <c r="D9024" s="64" t="s">
        <v>10274</v>
      </c>
      <c r="E9024" s="64" t="s">
        <v>3129</v>
      </c>
      <c r="F9024" s="64" t="s">
        <v>15</v>
      </c>
      <c r="G9024" s="64" t="s">
        <v>3035</v>
      </c>
      <c r="H9024" s="64" t="s">
        <v>3022</v>
      </c>
      <c r="I9024" s="64" t="s">
        <v>3130</v>
      </c>
      <c r="J9024" s="67">
        <v>952.47</v>
      </c>
      <c r="K9024" s="62">
        <v>8050.26</v>
      </c>
      <c r="L9024" s="33" t="e">
        <f>HLOOKUP(B9024,#REF!,1,0)</f>
        <v>#REF!</v>
      </c>
      <c r="M9024" s="33" t="str">
        <f t="shared" si="563"/>
        <v>P&amp;L</v>
      </c>
    </row>
    <row r="9025" spans="1:13">
      <c r="A9025" s="33" t="str">
        <f t="shared" si="560"/>
        <v>SCL - Operating Expense</v>
      </c>
      <c r="B9025" s="33" t="str">
        <f t="shared" si="561"/>
        <v>SCL</v>
      </c>
      <c r="C9025" s="33" t="str">
        <f t="shared" si="562"/>
        <v>62550-7362</v>
      </c>
      <c r="D9025" s="64" t="s">
        <v>10275</v>
      </c>
      <c r="E9025" s="64" t="s">
        <v>3129</v>
      </c>
      <c r="F9025" s="64" t="s">
        <v>15</v>
      </c>
      <c r="G9025" s="64" t="s">
        <v>3035</v>
      </c>
      <c r="H9025" s="64" t="s">
        <v>3022</v>
      </c>
      <c r="I9025" s="64" t="s">
        <v>3130</v>
      </c>
      <c r="J9025" s="67">
        <v>589.23</v>
      </c>
      <c r="K9025" s="62">
        <v>7091.43</v>
      </c>
      <c r="L9025" s="33" t="e">
        <f>HLOOKUP(B9025,#REF!,1,0)</f>
        <v>#REF!</v>
      </c>
      <c r="M9025" s="33" t="str">
        <f t="shared" si="563"/>
        <v>P&amp;L</v>
      </c>
    </row>
    <row r="9026" spans="1:13">
      <c r="A9026" s="33" t="str">
        <f t="shared" ref="A9026:A9089" si="564">B9026&amp;" - "&amp;TRIM(H9026)</f>
        <v>SCL - Operating Expense</v>
      </c>
      <c r="B9026" s="33" t="str">
        <f t="shared" ref="B9026:B9089" si="565">LEFT(D9026,3)</f>
        <v>SCL</v>
      </c>
      <c r="C9026" s="33" t="str">
        <f t="shared" ref="C9026:C9089" si="566">RIGHT(D9026,10)</f>
        <v>62550-7363</v>
      </c>
      <c r="D9026" s="64" t="s">
        <v>10276</v>
      </c>
      <c r="E9026" s="64" t="s">
        <v>3129</v>
      </c>
      <c r="F9026" s="64" t="s">
        <v>15</v>
      </c>
      <c r="G9026" s="64" t="s">
        <v>3035</v>
      </c>
      <c r="H9026" s="64" t="s">
        <v>3022</v>
      </c>
      <c r="I9026" s="64" t="s">
        <v>3130</v>
      </c>
      <c r="J9026" s="67">
        <v>596.66</v>
      </c>
      <c r="K9026" s="62">
        <v>7249.82</v>
      </c>
      <c r="L9026" s="33" t="e">
        <f>HLOOKUP(B9026,#REF!,1,0)</f>
        <v>#REF!</v>
      </c>
      <c r="M9026" s="33" t="str">
        <f t="shared" ref="M9026:M9089" si="567">IF(VALUE(LEFT(C9026,5))&gt;40000,"P&amp;L","BS")</f>
        <v>P&amp;L</v>
      </c>
    </row>
    <row r="9027" spans="1:13">
      <c r="A9027" s="33" t="str">
        <f t="shared" si="564"/>
        <v>SCL - Operating Expense</v>
      </c>
      <c r="B9027" s="33" t="str">
        <f t="shared" si="565"/>
        <v>SCL</v>
      </c>
      <c r="C9027" s="33" t="str">
        <f t="shared" si="566"/>
        <v>62550-7364</v>
      </c>
      <c r="D9027" s="64" t="s">
        <v>10277</v>
      </c>
      <c r="E9027" s="64" t="s">
        <v>3129</v>
      </c>
      <c r="F9027" s="64" t="s">
        <v>15</v>
      </c>
      <c r="G9027" s="64" t="s">
        <v>3035</v>
      </c>
      <c r="H9027" s="64" t="s">
        <v>3022</v>
      </c>
      <c r="I9027" s="64" t="s">
        <v>3130</v>
      </c>
      <c r="J9027" s="67">
        <v>271.34</v>
      </c>
      <c r="K9027" s="62">
        <v>4820.55</v>
      </c>
      <c r="L9027" s="33" t="e">
        <f>HLOOKUP(B9027,#REF!,1,0)</f>
        <v>#REF!</v>
      </c>
      <c r="M9027" s="33" t="str">
        <f t="shared" si="567"/>
        <v>P&amp;L</v>
      </c>
    </row>
    <row r="9028" spans="1:13">
      <c r="A9028" s="33" t="str">
        <f t="shared" si="564"/>
        <v>SCL - Operating Expense</v>
      </c>
      <c r="B9028" s="33" t="str">
        <f t="shared" si="565"/>
        <v>SCL</v>
      </c>
      <c r="C9028" s="33" t="str">
        <f t="shared" si="566"/>
        <v>62550-7365</v>
      </c>
      <c r="D9028" s="64" t="s">
        <v>10278</v>
      </c>
      <c r="E9028" s="64" t="s">
        <v>3129</v>
      </c>
      <c r="F9028" s="64" t="s">
        <v>15</v>
      </c>
      <c r="G9028" s="64" t="s">
        <v>3035</v>
      </c>
      <c r="H9028" s="64" t="s">
        <v>3022</v>
      </c>
      <c r="I9028" s="64" t="s">
        <v>3130</v>
      </c>
      <c r="J9028" s="67">
        <v>237.5</v>
      </c>
      <c r="K9028" s="62">
        <v>5318.81</v>
      </c>
      <c r="L9028" s="33" t="e">
        <f>HLOOKUP(B9028,#REF!,1,0)</f>
        <v>#REF!</v>
      </c>
      <c r="M9028" s="33" t="str">
        <f t="shared" si="567"/>
        <v>P&amp;L</v>
      </c>
    </row>
    <row r="9029" spans="1:13">
      <c r="A9029" s="33" t="str">
        <f t="shared" si="564"/>
        <v>SCL - Operating Expense</v>
      </c>
      <c r="B9029" s="33" t="str">
        <f t="shared" si="565"/>
        <v>SCL</v>
      </c>
      <c r="C9029" s="33" t="str">
        <f t="shared" si="566"/>
        <v>62550-7366</v>
      </c>
      <c r="D9029" s="64" t="s">
        <v>10279</v>
      </c>
      <c r="E9029" s="64" t="s">
        <v>3129</v>
      </c>
      <c r="F9029" s="64" t="s">
        <v>15</v>
      </c>
      <c r="G9029" s="64" t="s">
        <v>3035</v>
      </c>
      <c r="H9029" s="64" t="s">
        <v>3022</v>
      </c>
      <c r="I9029" s="64" t="s">
        <v>3130</v>
      </c>
      <c r="J9029" s="67">
        <v>1168.15</v>
      </c>
      <c r="K9029" s="62">
        <v>8162.67</v>
      </c>
      <c r="L9029" s="33" t="e">
        <f>HLOOKUP(B9029,#REF!,1,0)</f>
        <v>#REF!</v>
      </c>
      <c r="M9029" s="33" t="str">
        <f t="shared" si="567"/>
        <v>P&amp;L</v>
      </c>
    </row>
    <row r="9030" spans="1:13">
      <c r="A9030" s="33" t="str">
        <f t="shared" si="564"/>
        <v>SCL - Operating Expense</v>
      </c>
      <c r="B9030" s="33" t="str">
        <f t="shared" si="565"/>
        <v>SCL</v>
      </c>
      <c r="C9030" s="33" t="str">
        <f t="shared" si="566"/>
        <v>62550-7368</v>
      </c>
      <c r="D9030" s="64" t="s">
        <v>10280</v>
      </c>
      <c r="E9030" s="64" t="s">
        <v>3129</v>
      </c>
      <c r="F9030" s="64" t="s">
        <v>15</v>
      </c>
      <c r="G9030" s="64" t="s">
        <v>3035</v>
      </c>
      <c r="H9030" s="64" t="s">
        <v>3022</v>
      </c>
      <c r="I9030" s="64" t="s">
        <v>3130</v>
      </c>
      <c r="J9030" s="67">
        <v>250</v>
      </c>
      <c r="K9030" s="62">
        <v>10178.41</v>
      </c>
      <c r="L9030" s="33" t="e">
        <f>HLOOKUP(B9030,#REF!,1,0)</f>
        <v>#REF!</v>
      </c>
      <c r="M9030" s="33" t="str">
        <f t="shared" si="567"/>
        <v>P&amp;L</v>
      </c>
    </row>
    <row r="9031" spans="1:13">
      <c r="A9031" s="33" t="str">
        <f t="shared" si="564"/>
        <v>SCL - Operating Expense</v>
      </c>
      <c r="B9031" s="33" t="str">
        <f t="shared" si="565"/>
        <v>SCL</v>
      </c>
      <c r="C9031" s="33" t="str">
        <f t="shared" si="566"/>
        <v>62550-7369</v>
      </c>
      <c r="D9031" s="64" t="s">
        <v>10281</v>
      </c>
      <c r="E9031" s="64" t="s">
        <v>3129</v>
      </c>
      <c r="F9031" s="64" t="s">
        <v>15</v>
      </c>
      <c r="G9031" s="64" t="s">
        <v>3035</v>
      </c>
      <c r="H9031" s="64" t="s">
        <v>3022</v>
      </c>
      <c r="I9031" s="64" t="s">
        <v>3130</v>
      </c>
      <c r="J9031" s="67">
        <v>1303.79</v>
      </c>
      <c r="K9031" s="62">
        <v>8772.55</v>
      </c>
      <c r="L9031" s="33" t="e">
        <f>HLOOKUP(B9031,#REF!,1,0)</f>
        <v>#REF!</v>
      </c>
      <c r="M9031" s="33" t="str">
        <f t="shared" si="567"/>
        <v>P&amp;L</v>
      </c>
    </row>
    <row r="9032" spans="1:13">
      <c r="A9032" s="33" t="str">
        <f t="shared" si="564"/>
        <v>SCL - Operating Expense</v>
      </c>
      <c r="B9032" s="33" t="str">
        <f t="shared" si="565"/>
        <v>SCL</v>
      </c>
      <c r="C9032" s="33" t="str">
        <f t="shared" si="566"/>
        <v>62550-7371</v>
      </c>
      <c r="D9032" s="64" t="s">
        <v>10282</v>
      </c>
      <c r="E9032" s="64" t="s">
        <v>3129</v>
      </c>
      <c r="F9032" s="64" t="s">
        <v>15</v>
      </c>
      <c r="G9032" s="64" t="s">
        <v>3035</v>
      </c>
      <c r="H9032" s="64" t="s">
        <v>3022</v>
      </c>
      <c r="I9032" s="64" t="s">
        <v>3130</v>
      </c>
      <c r="J9032" s="67">
        <v>442.5</v>
      </c>
      <c r="K9032" s="62">
        <v>6913.18</v>
      </c>
      <c r="L9032" s="33" t="e">
        <f>HLOOKUP(B9032,#REF!,1,0)</f>
        <v>#REF!</v>
      </c>
      <c r="M9032" s="33" t="str">
        <f t="shared" si="567"/>
        <v>P&amp;L</v>
      </c>
    </row>
    <row r="9033" spans="1:13">
      <c r="A9033" s="33" t="str">
        <f t="shared" si="564"/>
        <v>SCL - Operating Expense</v>
      </c>
      <c r="B9033" s="33" t="str">
        <f t="shared" si="565"/>
        <v>SCL</v>
      </c>
      <c r="C9033" s="33" t="str">
        <f t="shared" si="566"/>
        <v>62550-7374</v>
      </c>
      <c r="D9033" s="64" t="s">
        <v>10283</v>
      </c>
      <c r="E9033" s="64" t="s">
        <v>3129</v>
      </c>
      <c r="F9033" s="64" t="s">
        <v>15</v>
      </c>
      <c r="G9033" s="64" t="s">
        <v>3035</v>
      </c>
      <c r="H9033" s="64" t="s">
        <v>3022</v>
      </c>
      <c r="I9033" s="64" t="s">
        <v>3130</v>
      </c>
      <c r="J9033" s="67">
        <v>7624.12</v>
      </c>
      <c r="K9033" s="62">
        <v>17114.58</v>
      </c>
      <c r="L9033" s="33" t="e">
        <f>HLOOKUP(B9033,#REF!,1,0)</f>
        <v>#REF!</v>
      </c>
      <c r="M9033" s="33" t="str">
        <f t="shared" si="567"/>
        <v>P&amp;L</v>
      </c>
    </row>
    <row r="9034" spans="1:13">
      <c r="A9034" s="33" t="str">
        <f t="shared" si="564"/>
        <v>SCL - Operating Expense</v>
      </c>
      <c r="B9034" s="33" t="str">
        <f t="shared" si="565"/>
        <v>SCL</v>
      </c>
      <c r="C9034" s="33" t="str">
        <f t="shared" si="566"/>
        <v>62550-7375</v>
      </c>
      <c r="D9034" s="64" t="s">
        <v>10284</v>
      </c>
      <c r="E9034" s="64" t="s">
        <v>3129</v>
      </c>
      <c r="F9034" s="64" t="s">
        <v>15</v>
      </c>
      <c r="G9034" s="64" t="s">
        <v>3035</v>
      </c>
      <c r="H9034" s="64" t="s">
        <v>3022</v>
      </c>
      <c r="I9034" s="64" t="s">
        <v>3130</v>
      </c>
      <c r="J9034" s="67">
        <v>1255.36</v>
      </c>
      <c r="K9034" s="62">
        <v>3294.38</v>
      </c>
      <c r="L9034" s="33" t="e">
        <f>HLOOKUP(B9034,#REF!,1,0)</f>
        <v>#REF!</v>
      </c>
      <c r="M9034" s="33" t="str">
        <f t="shared" si="567"/>
        <v>P&amp;L</v>
      </c>
    </row>
    <row r="9035" spans="1:13">
      <c r="A9035" s="33" t="str">
        <f t="shared" si="564"/>
        <v>SCL - Operating Expense</v>
      </c>
      <c r="B9035" s="33" t="str">
        <f t="shared" si="565"/>
        <v>SCL</v>
      </c>
      <c r="C9035" s="33" t="str">
        <f t="shared" si="566"/>
        <v>62550-7376</v>
      </c>
      <c r="D9035" s="64" t="s">
        <v>10285</v>
      </c>
      <c r="E9035" s="64" t="s">
        <v>3129</v>
      </c>
      <c r="F9035" s="64" t="s">
        <v>15</v>
      </c>
      <c r="G9035" s="64" t="s">
        <v>3035</v>
      </c>
      <c r="H9035" s="64" t="s">
        <v>3022</v>
      </c>
      <c r="I9035" s="64" t="s">
        <v>3130</v>
      </c>
      <c r="J9035" s="67">
        <v>1537.5</v>
      </c>
      <c r="K9035" s="62">
        <v>14645.37</v>
      </c>
      <c r="L9035" s="33" t="e">
        <f>HLOOKUP(B9035,#REF!,1,0)</f>
        <v>#REF!</v>
      </c>
      <c r="M9035" s="33" t="str">
        <f t="shared" si="567"/>
        <v>P&amp;L</v>
      </c>
    </row>
    <row r="9036" spans="1:13">
      <c r="A9036" s="33" t="str">
        <f t="shared" si="564"/>
        <v>SCL - Operating Expense</v>
      </c>
      <c r="B9036" s="33" t="str">
        <f t="shared" si="565"/>
        <v>SCL</v>
      </c>
      <c r="C9036" s="33" t="str">
        <f t="shared" si="566"/>
        <v>62550-7377</v>
      </c>
      <c r="D9036" s="64" t="s">
        <v>10286</v>
      </c>
      <c r="E9036" s="64" t="s">
        <v>3129</v>
      </c>
      <c r="F9036" s="64" t="s">
        <v>15</v>
      </c>
      <c r="G9036" s="64" t="s">
        <v>3035</v>
      </c>
      <c r="H9036" s="64" t="s">
        <v>3022</v>
      </c>
      <c r="I9036" s="64" t="s">
        <v>3130</v>
      </c>
      <c r="J9036" s="67">
        <v>455.4</v>
      </c>
      <c r="K9036" s="62">
        <v>7282.02</v>
      </c>
      <c r="L9036" s="33" t="e">
        <f>HLOOKUP(B9036,#REF!,1,0)</f>
        <v>#REF!</v>
      </c>
      <c r="M9036" s="33" t="str">
        <f t="shared" si="567"/>
        <v>P&amp;L</v>
      </c>
    </row>
    <row r="9037" spans="1:13">
      <c r="A9037" s="33" t="str">
        <f t="shared" si="564"/>
        <v>SCL - Operating Expense</v>
      </c>
      <c r="B9037" s="33" t="str">
        <f t="shared" si="565"/>
        <v>SCL</v>
      </c>
      <c r="C9037" s="33" t="str">
        <f t="shared" si="566"/>
        <v>62550-7378</v>
      </c>
      <c r="D9037" s="64" t="s">
        <v>10287</v>
      </c>
      <c r="E9037" s="64" t="s">
        <v>3129</v>
      </c>
      <c r="F9037" s="64" t="s">
        <v>15</v>
      </c>
      <c r="G9037" s="64" t="s">
        <v>3035</v>
      </c>
      <c r="H9037" s="64" t="s">
        <v>3022</v>
      </c>
      <c r="I9037" s="64" t="s">
        <v>3130</v>
      </c>
      <c r="J9037" s="67">
        <v>392.5</v>
      </c>
      <c r="K9037" s="62">
        <v>10816.35</v>
      </c>
      <c r="L9037" s="33" t="e">
        <f>HLOOKUP(B9037,#REF!,1,0)</f>
        <v>#REF!</v>
      </c>
      <c r="M9037" s="33" t="str">
        <f t="shared" si="567"/>
        <v>P&amp;L</v>
      </c>
    </row>
    <row r="9038" spans="1:13">
      <c r="A9038" s="33" t="str">
        <f t="shared" si="564"/>
        <v>SCL - Operating Expense</v>
      </c>
      <c r="B9038" s="33" t="str">
        <f t="shared" si="565"/>
        <v>SCL</v>
      </c>
      <c r="C9038" s="33" t="str">
        <f t="shared" si="566"/>
        <v>62550-7379</v>
      </c>
      <c r="D9038" s="64" t="s">
        <v>10288</v>
      </c>
      <c r="E9038" s="64" t="s">
        <v>3129</v>
      </c>
      <c r="F9038" s="64" t="s">
        <v>15</v>
      </c>
      <c r="G9038" s="64" t="s">
        <v>3035</v>
      </c>
      <c r="H9038" s="64" t="s">
        <v>3022</v>
      </c>
      <c r="I9038" s="64" t="s">
        <v>3130</v>
      </c>
      <c r="J9038" s="67">
        <v>237.5</v>
      </c>
      <c r="K9038" s="62">
        <v>10656.21</v>
      </c>
      <c r="L9038" s="33" t="e">
        <f>HLOOKUP(B9038,#REF!,1,0)</f>
        <v>#REF!</v>
      </c>
      <c r="M9038" s="33" t="str">
        <f t="shared" si="567"/>
        <v>P&amp;L</v>
      </c>
    </row>
    <row r="9039" spans="1:13">
      <c r="A9039" s="33" t="str">
        <f t="shared" si="564"/>
        <v>SCL - Operating Expense</v>
      </c>
      <c r="B9039" s="33" t="str">
        <f t="shared" si="565"/>
        <v>SCL</v>
      </c>
      <c r="C9039" s="33" t="str">
        <f t="shared" si="566"/>
        <v>62550-7380</v>
      </c>
      <c r="D9039" s="64" t="s">
        <v>10289</v>
      </c>
      <c r="E9039" s="64" t="s">
        <v>3129</v>
      </c>
      <c r="F9039" s="64" t="s">
        <v>15</v>
      </c>
      <c r="G9039" s="64" t="s">
        <v>3035</v>
      </c>
      <c r="H9039" s="64" t="s">
        <v>3022</v>
      </c>
      <c r="I9039" s="64" t="s">
        <v>3130</v>
      </c>
      <c r="J9039" s="67">
        <v>436.25</v>
      </c>
      <c r="K9039" s="62">
        <v>3301.48</v>
      </c>
      <c r="L9039" s="33" t="e">
        <f>HLOOKUP(B9039,#REF!,1,0)</f>
        <v>#REF!</v>
      </c>
      <c r="M9039" s="33" t="str">
        <f t="shared" si="567"/>
        <v>P&amp;L</v>
      </c>
    </row>
    <row r="9040" spans="1:13">
      <c r="A9040" s="33" t="str">
        <f t="shared" si="564"/>
        <v>SCL - Operating Expense</v>
      </c>
      <c r="B9040" s="33" t="str">
        <f t="shared" si="565"/>
        <v>SCL</v>
      </c>
      <c r="C9040" s="33" t="str">
        <f t="shared" si="566"/>
        <v>62550-7381</v>
      </c>
      <c r="D9040" s="64" t="s">
        <v>10290</v>
      </c>
      <c r="E9040" s="64" t="s">
        <v>3129</v>
      </c>
      <c r="F9040" s="64" t="s">
        <v>15</v>
      </c>
      <c r="G9040" s="64" t="s">
        <v>3035</v>
      </c>
      <c r="H9040" s="64" t="s">
        <v>3022</v>
      </c>
      <c r="I9040" s="64" t="s">
        <v>3130</v>
      </c>
      <c r="J9040" s="67">
        <v>1636.96</v>
      </c>
      <c r="K9040" s="62">
        <v>9770.21</v>
      </c>
      <c r="L9040" s="33" t="e">
        <f>HLOOKUP(B9040,#REF!,1,0)</f>
        <v>#REF!</v>
      </c>
      <c r="M9040" s="33" t="str">
        <f t="shared" si="567"/>
        <v>P&amp;L</v>
      </c>
    </row>
    <row r="9041" spans="1:13">
      <c r="A9041" s="33" t="str">
        <f t="shared" si="564"/>
        <v>SCL - Operating Expense</v>
      </c>
      <c r="B9041" s="33" t="str">
        <f t="shared" si="565"/>
        <v>SCL</v>
      </c>
      <c r="C9041" s="33" t="str">
        <f t="shared" si="566"/>
        <v>62550-7383</v>
      </c>
      <c r="D9041" s="64" t="s">
        <v>10291</v>
      </c>
      <c r="E9041" s="64" t="s">
        <v>3129</v>
      </c>
      <c r="F9041" s="64" t="s">
        <v>15</v>
      </c>
      <c r="G9041" s="64" t="s">
        <v>3035</v>
      </c>
      <c r="H9041" s="64" t="s">
        <v>3022</v>
      </c>
      <c r="I9041" s="64" t="s">
        <v>3130</v>
      </c>
      <c r="J9041" s="67">
        <v>2434.86</v>
      </c>
      <c r="K9041" s="62">
        <v>12582.81</v>
      </c>
      <c r="L9041" s="33" t="e">
        <f>HLOOKUP(B9041,#REF!,1,0)</f>
        <v>#REF!</v>
      </c>
      <c r="M9041" s="33" t="str">
        <f t="shared" si="567"/>
        <v>P&amp;L</v>
      </c>
    </row>
    <row r="9042" spans="1:13">
      <c r="A9042" s="33" t="str">
        <f t="shared" si="564"/>
        <v>SCL - Operating Expense</v>
      </c>
      <c r="B9042" s="33" t="str">
        <f t="shared" si="565"/>
        <v>SCL</v>
      </c>
      <c r="C9042" s="33" t="str">
        <f t="shared" si="566"/>
        <v>62550-7385</v>
      </c>
      <c r="D9042" s="64" t="s">
        <v>10292</v>
      </c>
      <c r="E9042" s="64" t="s">
        <v>3129</v>
      </c>
      <c r="F9042" s="64" t="s">
        <v>15</v>
      </c>
      <c r="G9042" s="64" t="s">
        <v>3035</v>
      </c>
      <c r="H9042" s="64" t="s">
        <v>3022</v>
      </c>
      <c r="I9042" s="64" t="s">
        <v>3130</v>
      </c>
      <c r="J9042" s="67">
        <v>2188.8</v>
      </c>
      <c r="K9042" s="62">
        <v>7909.9</v>
      </c>
      <c r="L9042" s="33" t="e">
        <f>HLOOKUP(B9042,#REF!,1,0)</f>
        <v>#REF!</v>
      </c>
      <c r="M9042" s="33" t="str">
        <f t="shared" si="567"/>
        <v>P&amp;L</v>
      </c>
    </row>
    <row r="9043" spans="1:13">
      <c r="A9043" s="33" t="str">
        <f t="shared" si="564"/>
        <v>SCL - Operating Expense</v>
      </c>
      <c r="B9043" s="33" t="str">
        <f t="shared" si="565"/>
        <v>SCL</v>
      </c>
      <c r="C9043" s="33" t="str">
        <f t="shared" si="566"/>
        <v>62550-7386</v>
      </c>
      <c r="D9043" s="64" t="s">
        <v>10293</v>
      </c>
      <c r="E9043" s="64" t="s">
        <v>3129</v>
      </c>
      <c r="F9043" s="64" t="s">
        <v>15</v>
      </c>
      <c r="G9043" s="64" t="s">
        <v>3035</v>
      </c>
      <c r="H9043" s="64" t="s">
        <v>3022</v>
      </c>
      <c r="I9043" s="64" t="s">
        <v>3130</v>
      </c>
      <c r="J9043" s="67">
        <v>447.5</v>
      </c>
      <c r="K9043" s="62">
        <v>7595.22</v>
      </c>
      <c r="L9043" s="33" t="e">
        <f>HLOOKUP(B9043,#REF!,1,0)</f>
        <v>#REF!</v>
      </c>
      <c r="M9043" s="33" t="str">
        <f t="shared" si="567"/>
        <v>P&amp;L</v>
      </c>
    </row>
    <row r="9044" spans="1:13">
      <c r="A9044" s="33" t="str">
        <f t="shared" si="564"/>
        <v>SCL - Operating Expense</v>
      </c>
      <c r="B9044" s="33" t="str">
        <f t="shared" si="565"/>
        <v>SCL</v>
      </c>
      <c r="C9044" s="33" t="str">
        <f t="shared" si="566"/>
        <v>62550-7387</v>
      </c>
      <c r="D9044" s="64" t="s">
        <v>10294</v>
      </c>
      <c r="E9044" s="64" t="s">
        <v>3129</v>
      </c>
      <c r="F9044" s="64" t="s">
        <v>15</v>
      </c>
      <c r="G9044" s="64" t="s">
        <v>3035</v>
      </c>
      <c r="H9044" s="64" t="s">
        <v>3022</v>
      </c>
      <c r="I9044" s="64" t="s">
        <v>3130</v>
      </c>
      <c r="J9044" s="67">
        <v>1739.74</v>
      </c>
      <c r="K9044" s="62">
        <v>23553.54</v>
      </c>
      <c r="L9044" s="33" t="e">
        <f>HLOOKUP(B9044,#REF!,1,0)</f>
        <v>#REF!</v>
      </c>
      <c r="M9044" s="33" t="str">
        <f t="shared" si="567"/>
        <v>P&amp;L</v>
      </c>
    </row>
    <row r="9045" spans="1:13">
      <c r="A9045" s="33" t="str">
        <f t="shared" si="564"/>
        <v>SCL - Operating Expense</v>
      </c>
      <c r="B9045" s="33" t="str">
        <f t="shared" si="565"/>
        <v>SCL</v>
      </c>
      <c r="C9045" s="33" t="str">
        <f t="shared" si="566"/>
        <v>62550-7389</v>
      </c>
      <c r="D9045" s="64" t="s">
        <v>10295</v>
      </c>
      <c r="E9045" s="64" t="s">
        <v>3129</v>
      </c>
      <c r="F9045" s="64" t="s">
        <v>15</v>
      </c>
      <c r="G9045" s="64" t="s">
        <v>3035</v>
      </c>
      <c r="H9045" s="64" t="s">
        <v>3022</v>
      </c>
      <c r="I9045" s="64" t="s">
        <v>3130</v>
      </c>
      <c r="J9045" s="67">
        <v>90</v>
      </c>
      <c r="K9045" s="62">
        <v>14888.04</v>
      </c>
      <c r="L9045" s="33" t="e">
        <f>HLOOKUP(B9045,#REF!,1,0)</f>
        <v>#REF!</v>
      </c>
      <c r="M9045" s="33" t="str">
        <f t="shared" si="567"/>
        <v>P&amp;L</v>
      </c>
    </row>
    <row r="9046" spans="1:13">
      <c r="A9046" s="33" t="str">
        <f t="shared" si="564"/>
        <v>SCL - Operating Expense</v>
      </c>
      <c r="B9046" s="33" t="str">
        <f t="shared" si="565"/>
        <v>SCL</v>
      </c>
      <c r="C9046" s="33" t="str">
        <f t="shared" si="566"/>
        <v>62550-7391</v>
      </c>
      <c r="D9046" s="64" t="s">
        <v>10296</v>
      </c>
      <c r="E9046" s="64" t="s">
        <v>3129</v>
      </c>
      <c r="F9046" s="64" t="s">
        <v>15</v>
      </c>
      <c r="G9046" s="64" t="s">
        <v>3035</v>
      </c>
      <c r="H9046" s="64" t="s">
        <v>3022</v>
      </c>
      <c r="I9046" s="64" t="s">
        <v>3130</v>
      </c>
      <c r="J9046" s="67">
        <v>237.5</v>
      </c>
      <c r="K9046" s="62">
        <v>10164.56</v>
      </c>
      <c r="L9046" s="33" t="e">
        <f>HLOOKUP(B9046,#REF!,1,0)</f>
        <v>#REF!</v>
      </c>
      <c r="M9046" s="33" t="str">
        <f t="shared" si="567"/>
        <v>P&amp;L</v>
      </c>
    </row>
    <row r="9047" spans="1:13">
      <c r="A9047" s="33" t="str">
        <f t="shared" si="564"/>
        <v>SCL - Operating Expense</v>
      </c>
      <c r="B9047" s="33" t="str">
        <f t="shared" si="565"/>
        <v>SCL</v>
      </c>
      <c r="C9047" s="33" t="str">
        <f t="shared" si="566"/>
        <v>62550-7393</v>
      </c>
      <c r="D9047" s="64" t="s">
        <v>10297</v>
      </c>
      <c r="E9047" s="64" t="s">
        <v>3129</v>
      </c>
      <c r="F9047" s="64" t="s">
        <v>15</v>
      </c>
      <c r="G9047" s="64" t="s">
        <v>3035</v>
      </c>
      <c r="H9047" s="64" t="s">
        <v>3022</v>
      </c>
      <c r="I9047" s="64" t="s">
        <v>3130</v>
      </c>
      <c r="J9047" s="67">
        <v>2382.1</v>
      </c>
      <c r="K9047" s="62">
        <v>15879.12</v>
      </c>
      <c r="L9047" s="33" t="e">
        <f>HLOOKUP(B9047,#REF!,1,0)</f>
        <v>#REF!</v>
      </c>
      <c r="M9047" s="33" t="str">
        <f t="shared" si="567"/>
        <v>P&amp;L</v>
      </c>
    </row>
    <row r="9048" spans="1:13">
      <c r="A9048" s="33" t="str">
        <f t="shared" si="564"/>
        <v>SCL - Operating Expense</v>
      </c>
      <c r="B9048" s="33" t="str">
        <f t="shared" si="565"/>
        <v>SCL</v>
      </c>
      <c r="C9048" s="33" t="str">
        <f t="shared" si="566"/>
        <v>62550-7394</v>
      </c>
      <c r="D9048" s="64" t="s">
        <v>10298</v>
      </c>
      <c r="E9048" s="64" t="s">
        <v>3129</v>
      </c>
      <c r="F9048" s="64" t="s">
        <v>15</v>
      </c>
      <c r="G9048" s="64" t="s">
        <v>3035</v>
      </c>
      <c r="H9048" s="64" t="s">
        <v>3022</v>
      </c>
      <c r="I9048" s="64" t="s">
        <v>3130</v>
      </c>
      <c r="J9048" s="67">
        <v>1585.7</v>
      </c>
      <c r="K9048" s="62">
        <v>7886.55</v>
      </c>
      <c r="L9048" s="33" t="e">
        <f>HLOOKUP(B9048,#REF!,1,0)</f>
        <v>#REF!</v>
      </c>
      <c r="M9048" s="33" t="str">
        <f t="shared" si="567"/>
        <v>P&amp;L</v>
      </c>
    </row>
    <row r="9049" spans="1:13">
      <c r="A9049" s="33" t="str">
        <f t="shared" si="564"/>
        <v>SCL - Operating Expense</v>
      </c>
      <c r="B9049" s="33" t="str">
        <f t="shared" si="565"/>
        <v>SCL</v>
      </c>
      <c r="C9049" s="33" t="str">
        <f t="shared" si="566"/>
        <v>62550-7396</v>
      </c>
      <c r="D9049" s="64" t="s">
        <v>10299</v>
      </c>
      <c r="E9049" s="64" t="s">
        <v>3129</v>
      </c>
      <c r="F9049" s="64" t="s">
        <v>15</v>
      </c>
      <c r="G9049" s="64" t="s">
        <v>3035</v>
      </c>
      <c r="H9049" s="64" t="s">
        <v>3022</v>
      </c>
      <c r="I9049" s="64" t="s">
        <v>3130</v>
      </c>
      <c r="J9049" s="67">
        <v>902.95</v>
      </c>
      <c r="K9049" s="62">
        <v>11008.46</v>
      </c>
      <c r="L9049" s="33" t="e">
        <f>HLOOKUP(B9049,#REF!,1,0)</f>
        <v>#REF!</v>
      </c>
      <c r="M9049" s="33" t="str">
        <f t="shared" si="567"/>
        <v>P&amp;L</v>
      </c>
    </row>
    <row r="9050" spans="1:13">
      <c r="A9050" s="33" t="str">
        <f t="shared" si="564"/>
        <v>SCL - Operating Expense</v>
      </c>
      <c r="B9050" s="33" t="str">
        <f t="shared" si="565"/>
        <v>SCL</v>
      </c>
      <c r="C9050" s="33" t="str">
        <f t="shared" si="566"/>
        <v>62550-7397</v>
      </c>
      <c r="D9050" s="64" t="s">
        <v>10300</v>
      </c>
      <c r="E9050" s="64" t="s">
        <v>3129</v>
      </c>
      <c r="F9050" s="64" t="s">
        <v>15</v>
      </c>
      <c r="G9050" s="64" t="s">
        <v>3035</v>
      </c>
      <c r="H9050" s="64" t="s">
        <v>3022</v>
      </c>
      <c r="I9050" s="64" t="s">
        <v>3130</v>
      </c>
      <c r="J9050" s="67">
        <v>515</v>
      </c>
      <c r="K9050" s="62">
        <v>4952.35</v>
      </c>
      <c r="L9050" s="33" t="e">
        <f>HLOOKUP(B9050,#REF!,1,0)</f>
        <v>#REF!</v>
      </c>
      <c r="M9050" s="33" t="str">
        <f t="shared" si="567"/>
        <v>P&amp;L</v>
      </c>
    </row>
    <row r="9051" spans="1:13">
      <c r="A9051" s="33" t="str">
        <f t="shared" si="564"/>
        <v>SCL - Operating Expense</v>
      </c>
      <c r="B9051" s="33" t="str">
        <f t="shared" si="565"/>
        <v>SCL</v>
      </c>
      <c r="C9051" s="33" t="str">
        <f t="shared" si="566"/>
        <v>62550-7398</v>
      </c>
      <c r="D9051" s="64" t="s">
        <v>10301</v>
      </c>
      <c r="E9051" s="64" t="s">
        <v>3129</v>
      </c>
      <c r="F9051" s="64" t="s">
        <v>15</v>
      </c>
      <c r="G9051" s="64" t="s">
        <v>3035</v>
      </c>
      <c r="H9051" s="64" t="s">
        <v>3022</v>
      </c>
      <c r="I9051" s="64" t="s">
        <v>3130</v>
      </c>
      <c r="J9051" s="67">
        <v>190</v>
      </c>
      <c r="K9051" s="62">
        <v>2754.32</v>
      </c>
      <c r="L9051" s="33" t="e">
        <f>HLOOKUP(B9051,#REF!,1,0)</f>
        <v>#REF!</v>
      </c>
      <c r="M9051" s="33" t="str">
        <f t="shared" si="567"/>
        <v>P&amp;L</v>
      </c>
    </row>
    <row r="9052" spans="1:13">
      <c r="A9052" s="33" t="str">
        <f t="shared" si="564"/>
        <v>SCL - Operating Expense</v>
      </c>
      <c r="B9052" s="33" t="str">
        <f t="shared" si="565"/>
        <v>SCL</v>
      </c>
      <c r="C9052" s="33" t="str">
        <f t="shared" si="566"/>
        <v>62550-7400</v>
      </c>
      <c r="D9052" s="64" t="s">
        <v>10302</v>
      </c>
      <c r="E9052" s="64" t="s">
        <v>3129</v>
      </c>
      <c r="F9052" s="64" t="s">
        <v>15</v>
      </c>
      <c r="G9052" s="64" t="s">
        <v>3035</v>
      </c>
      <c r="H9052" s="64" t="s">
        <v>3022</v>
      </c>
      <c r="I9052" s="64" t="s">
        <v>3130</v>
      </c>
      <c r="J9052" s="67">
        <v>321.5</v>
      </c>
      <c r="K9052" s="62">
        <v>12133.34</v>
      </c>
      <c r="L9052" s="33" t="e">
        <f>HLOOKUP(B9052,#REF!,1,0)</f>
        <v>#REF!</v>
      </c>
      <c r="M9052" s="33" t="str">
        <f t="shared" si="567"/>
        <v>P&amp;L</v>
      </c>
    </row>
    <row r="9053" spans="1:13">
      <c r="A9053" s="33" t="str">
        <f t="shared" si="564"/>
        <v>SCL - Operating Expense</v>
      </c>
      <c r="B9053" s="33" t="str">
        <f t="shared" si="565"/>
        <v>SCL</v>
      </c>
      <c r="C9053" s="33" t="str">
        <f t="shared" si="566"/>
        <v>62550-7401</v>
      </c>
      <c r="D9053" s="64" t="s">
        <v>10303</v>
      </c>
      <c r="E9053" s="64" t="s">
        <v>3129</v>
      </c>
      <c r="F9053" s="64" t="s">
        <v>15</v>
      </c>
      <c r="G9053" s="64" t="s">
        <v>3035</v>
      </c>
      <c r="H9053" s="64" t="s">
        <v>3022</v>
      </c>
      <c r="I9053" s="64" t="s">
        <v>3130</v>
      </c>
      <c r="J9053" s="67">
        <v>1399.49</v>
      </c>
      <c r="K9053" s="62">
        <v>9318.08</v>
      </c>
      <c r="L9053" s="33" t="e">
        <f>HLOOKUP(B9053,#REF!,1,0)</f>
        <v>#REF!</v>
      </c>
      <c r="M9053" s="33" t="str">
        <f t="shared" si="567"/>
        <v>P&amp;L</v>
      </c>
    </row>
    <row r="9054" spans="1:13">
      <c r="A9054" s="33" t="str">
        <f t="shared" si="564"/>
        <v>SCL - Operating Expense</v>
      </c>
      <c r="B9054" s="33" t="str">
        <f t="shared" si="565"/>
        <v>SCL</v>
      </c>
      <c r="C9054" s="33" t="str">
        <f t="shared" si="566"/>
        <v>62550-7402</v>
      </c>
      <c r="D9054" s="64" t="s">
        <v>10304</v>
      </c>
      <c r="E9054" s="64" t="s">
        <v>3129</v>
      </c>
      <c r="F9054" s="64" t="s">
        <v>15</v>
      </c>
      <c r="G9054" s="64" t="s">
        <v>3035</v>
      </c>
      <c r="H9054" s="64" t="s">
        <v>3022</v>
      </c>
      <c r="I9054" s="64" t="s">
        <v>3130</v>
      </c>
      <c r="J9054" s="67">
        <v>1295</v>
      </c>
      <c r="K9054" s="62">
        <v>13226.19</v>
      </c>
      <c r="L9054" s="33" t="e">
        <f>HLOOKUP(B9054,#REF!,1,0)</f>
        <v>#REF!</v>
      </c>
      <c r="M9054" s="33" t="str">
        <f t="shared" si="567"/>
        <v>P&amp;L</v>
      </c>
    </row>
    <row r="9055" spans="1:13">
      <c r="A9055" s="33" t="str">
        <f t="shared" si="564"/>
        <v>SCL - Operating Expense</v>
      </c>
      <c r="B9055" s="33" t="str">
        <f t="shared" si="565"/>
        <v>SCL</v>
      </c>
      <c r="C9055" s="33" t="str">
        <f t="shared" si="566"/>
        <v>62550-7403</v>
      </c>
      <c r="D9055" s="64" t="s">
        <v>10305</v>
      </c>
      <c r="E9055" s="64" t="s">
        <v>3129</v>
      </c>
      <c r="F9055" s="64" t="s">
        <v>15</v>
      </c>
      <c r="G9055" s="64" t="s">
        <v>3035</v>
      </c>
      <c r="H9055" s="64" t="s">
        <v>3022</v>
      </c>
      <c r="I9055" s="64" t="s">
        <v>3130</v>
      </c>
      <c r="J9055" s="67">
        <v>168.45</v>
      </c>
      <c r="K9055" s="62">
        <v>7568.7</v>
      </c>
      <c r="L9055" s="33" t="e">
        <f>HLOOKUP(B9055,#REF!,1,0)</f>
        <v>#REF!</v>
      </c>
      <c r="M9055" s="33" t="str">
        <f t="shared" si="567"/>
        <v>P&amp;L</v>
      </c>
    </row>
    <row r="9056" spans="1:13">
      <c r="A9056" s="33" t="str">
        <f t="shared" si="564"/>
        <v>SCL - Operating Expense</v>
      </c>
      <c r="B9056" s="33" t="str">
        <f t="shared" si="565"/>
        <v>SCL</v>
      </c>
      <c r="C9056" s="33" t="str">
        <f t="shared" si="566"/>
        <v>62550-7489</v>
      </c>
      <c r="D9056" s="64" t="s">
        <v>10306</v>
      </c>
      <c r="E9056" s="64" t="s">
        <v>3129</v>
      </c>
      <c r="F9056" s="64" t="s">
        <v>15</v>
      </c>
      <c r="G9056" s="64" t="s">
        <v>3035</v>
      </c>
      <c r="H9056" s="64" t="s">
        <v>3022</v>
      </c>
      <c r="I9056" s="64" t="s">
        <v>3130</v>
      </c>
      <c r="J9056" s="67">
        <v>697.57</v>
      </c>
      <c r="K9056" s="62">
        <v>12347.95</v>
      </c>
      <c r="L9056" s="33" t="e">
        <f>HLOOKUP(B9056,#REF!,1,0)</f>
        <v>#REF!</v>
      </c>
      <c r="M9056" s="33" t="str">
        <f t="shared" si="567"/>
        <v>P&amp;L</v>
      </c>
    </row>
    <row r="9057" spans="1:13">
      <c r="A9057" s="33" t="str">
        <f t="shared" si="564"/>
        <v>SCL - Operating Expense</v>
      </c>
      <c r="B9057" s="33" t="str">
        <f t="shared" si="565"/>
        <v>SCL</v>
      </c>
      <c r="C9057" s="33" t="str">
        <f t="shared" si="566"/>
        <v>62550-7491</v>
      </c>
      <c r="D9057" s="64" t="s">
        <v>10307</v>
      </c>
      <c r="E9057" s="64" t="s">
        <v>3129</v>
      </c>
      <c r="F9057" s="64" t="s">
        <v>15</v>
      </c>
      <c r="G9057" s="64" t="s">
        <v>3035</v>
      </c>
      <c r="H9057" s="64" t="s">
        <v>3022</v>
      </c>
      <c r="I9057" s="64" t="s">
        <v>3130</v>
      </c>
      <c r="J9057" s="67">
        <v>909.29</v>
      </c>
      <c r="K9057" s="62">
        <v>14846.6</v>
      </c>
      <c r="L9057" s="33" t="e">
        <f>HLOOKUP(B9057,#REF!,1,0)</f>
        <v>#REF!</v>
      </c>
      <c r="M9057" s="33" t="str">
        <f t="shared" si="567"/>
        <v>P&amp;L</v>
      </c>
    </row>
    <row r="9058" spans="1:13">
      <c r="A9058" s="33" t="str">
        <f t="shared" si="564"/>
        <v>SCL - Operating Expense</v>
      </c>
      <c r="B9058" s="33" t="str">
        <f t="shared" si="565"/>
        <v>SCL</v>
      </c>
      <c r="C9058" s="33" t="str">
        <f t="shared" si="566"/>
        <v>62550-7492</v>
      </c>
      <c r="D9058" s="64" t="s">
        <v>10308</v>
      </c>
      <c r="E9058" s="64" t="s">
        <v>3129</v>
      </c>
      <c r="F9058" s="64" t="s">
        <v>15</v>
      </c>
      <c r="G9058" s="64" t="s">
        <v>3035</v>
      </c>
      <c r="H9058" s="64" t="s">
        <v>3022</v>
      </c>
      <c r="I9058" s="64" t="s">
        <v>3130</v>
      </c>
      <c r="J9058" s="67">
        <v>6210.03</v>
      </c>
      <c r="K9058" s="62">
        <v>13787.7</v>
      </c>
      <c r="L9058" s="33" t="e">
        <f>HLOOKUP(B9058,#REF!,1,0)</f>
        <v>#REF!</v>
      </c>
      <c r="M9058" s="33" t="str">
        <f t="shared" si="567"/>
        <v>P&amp;L</v>
      </c>
    </row>
    <row r="9059" spans="1:13">
      <c r="A9059" s="33" t="str">
        <f t="shared" si="564"/>
        <v>SCL - Operating Expense</v>
      </c>
      <c r="B9059" s="33" t="str">
        <f t="shared" si="565"/>
        <v>SCL</v>
      </c>
      <c r="C9059" s="33" t="str">
        <f t="shared" si="566"/>
        <v>62550-7493</v>
      </c>
      <c r="D9059" s="64" t="s">
        <v>10309</v>
      </c>
      <c r="E9059" s="64" t="s">
        <v>3129</v>
      </c>
      <c r="F9059" s="64" t="s">
        <v>15</v>
      </c>
      <c r="G9059" s="64" t="s">
        <v>3035</v>
      </c>
      <c r="H9059" s="64" t="s">
        <v>3022</v>
      </c>
      <c r="I9059" s="64" t="s">
        <v>3130</v>
      </c>
      <c r="J9059" s="67">
        <v>0</v>
      </c>
      <c r="K9059" s="62">
        <v>5495</v>
      </c>
      <c r="L9059" s="33" t="e">
        <f>HLOOKUP(B9059,#REF!,1,0)</f>
        <v>#REF!</v>
      </c>
      <c r="M9059" s="33" t="str">
        <f t="shared" si="567"/>
        <v>P&amp;L</v>
      </c>
    </row>
    <row r="9060" spans="1:13">
      <c r="A9060" s="33" t="str">
        <f t="shared" si="564"/>
        <v>SCL - Operating Expense</v>
      </c>
      <c r="B9060" s="33" t="str">
        <f t="shared" si="565"/>
        <v>SCL</v>
      </c>
      <c r="C9060" s="33" t="str">
        <f t="shared" si="566"/>
        <v>62550-7494</v>
      </c>
      <c r="D9060" s="64" t="s">
        <v>10310</v>
      </c>
      <c r="E9060" s="64" t="s">
        <v>3129</v>
      </c>
      <c r="F9060" s="64" t="s">
        <v>15</v>
      </c>
      <c r="G9060" s="64" t="s">
        <v>3035</v>
      </c>
      <c r="H9060" s="64" t="s">
        <v>3022</v>
      </c>
      <c r="I9060" s="64" t="s">
        <v>3130</v>
      </c>
      <c r="J9060" s="67">
        <v>90</v>
      </c>
      <c r="K9060" s="62">
        <v>6000.99</v>
      </c>
      <c r="L9060" s="33" t="e">
        <f>HLOOKUP(B9060,#REF!,1,0)</f>
        <v>#REF!</v>
      </c>
      <c r="M9060" s="33" t="str">
        <f t="shared" si="567"/>
        <v>P&amp;L</v>
      </c>
    </row>
    <row r="9061" spans="1:13">
      <c r="A9061" s="33" t="str">
        <f t="shared" si="564"/>
        <v>SCL - Operating Expense</v>
      </c>
      <c r="B9061" s="33" t="str">
        <f t="shared" si="565"/>
        <v>SCL</v>
      </c>
      <c r="C9061" s="33" t="str">
        <f t="shared" si="566"/>
        <v>62550-7625</v>
      </c>
      <c r="D9061" s="64" t="s">
        <v>10311</v>
      </c>
      <c r="E9061" s="64" t="s">
        <v>3129</v>
      </c>
      <c r="F9061" s="64" t="s">
        <v>15</v>
      </c>
      <c r="G9061" s="64" t="s">
        <v>3035</v>
      </c>
      <c r="H9061" s="64" t="s">
        <v>3022</v>
      </c>
      <c r="I9061" s="64" t="s">
        <v>3130</v>
      </c>
      <c r="J9061" s="67">
        <v>487.89</v>
      </c>
      <c r="K9061" s="62">
        <v>7758.18</v>
      </c>
      <c r="L9061" s="33" t="e">
        <f>HLOOKUP(B9061,#REF!,1,0)</f>
        <v>#REF!</v>
      </c>
      <c r="M9061" s="33" t="str">
        <f t="shared" si="567"/>
        <v>P&amp;L</v>
      </c>
    </row>
    <row r="9062" spans="1:13">
      <c r="A9062" s="33" t="str">
        <f t="shared" si="564"/>
        <v>SCL - Operating Expense</v>
      </c>
      <c r="B9062" s="33" t="str">
        <f t="shared" si="565"/>
        <v>SCL</v>
      </c>
      <c r="C9062" s="33" t="str">
        <f t="shared" si="566"/>
        <v>62550-8150</v>
      </c>
      <c r="D9062" s="64" t="s">
        <v>10312</v>
      </c>
      <c r="E9062" s="64" t="s">
        <v>3129</v>
      </c>
      <c r="F9062" s="64" t="s">
        <v>15</v>
      </c>
      <c r="G9062" s="64" t="s">
        <v>3035</v>
      </c>
      <c r="H9062" s="64" t="s">
        <v>3022</v>
      </c>
      <c r="I9062" s="64" t="s">
        <v>3130</v>
      </c>
      <c r="J9062" s="67">
        <v>105</v>
      </c>
      <c r="K9062" s="62">
        <v>6555.08</v>
      </c>
      <c r="L9062" s="33" t="e">
        <f>HLOOKUP(B9062,#REF!,1,0)</f>
        <v>#REF!</v>
      </c>
      <c r="M9062" s="33" t="str">
        <f t="shared" si="567"/>
        <v>P&amp;L</v>
      </c>
    </row>
    <row r="9063" spans="1:13">
      <c r="A9063" s="33" t="str">
        <f t="shared" si="564"/>
        <v>SCL - Operating Expense</v>
      </c>
      <c r="B9063" s="33" t="str">
        <f t="shared" si="565"/>
        <v>SCL</v>
      </c>
      <c r="C9063" s="33" t="str">
        <f t="shared" si="566"/>
        <v>62551-7351</v>
      </c>
      <c r="D9063" s="64" t="s">
        <v>10313</v>
      </c>
      <c r="E9063" s="64" t="s">
        <v>3132</v>
      </c>
      <c r="F9063" s="64" t="s">
        <v>15</v>
      </c>
      <c r="G9063" s="64" t="s">
        <v>3035</v>
      </c>
      <c r="H9063" s="64" t="s">
        <v>3022</v>
      </c>
      <c r="I9063" s="64" t="s">
        <v>3130</v>
      </c>
      <c r="J9063" s="67">
        <v>383.97</v>
      </c>
      <c r="K9063" s="62">
        <v>3381.32</v>
      </c>
      <c r="L9063" s="33" t="e">
        <f>HLOOKUP(B9063,#REF!,1,0)</f>
        <v>#REF!</v>
      </c>
      <c r="M9063" s="33" t="str">
        <f t="shared" si="567"/>
        <v>P&amp;L</v>
      </c>
    </row>
    <row r="9064" spans="1:13">
      <c r="A9064" s="33" t="str">
        <f t="shared" si="564"/>
        <v>SCL - Operating Expense</v>
      </c>
      <c r="B9064" s="33" t="str">
        <f t="shared" si="565"/>
        <v>SCL</v>
      </c>
      <c r="C9064" s="33" t="str">
        <f t="shared" si="566"/>
        <v>62551-7352</v>
      </c>
      <c r="D9064" s="64" t="s">
        <v>10314</v>
      </c>
      <c r="E9064" s="64" t="s">
        <v>3132</v>
      </c>
      <c r="F9064" s="64" t="s">
        <v>15</v>
      </c>
      <c r="G9064" s="64" t="s">
        <v>3035</v>
      </c>
      <c r="H9064" s="64" t="s">
        <v>3022</v>
      </c>
      <c r="I9064" s="64" t="s">
        <v>3130</v>
      </c>
      <c r="J9064" s="67">
        <v>576.06</v>
      </c>
      <c r="K9064" s="62">
        <v>11677.05</v>
      </c>
      <c r="L9064" s="33" t="e">
        <f>HLOOKUP(B9064,#REF!,1,0)</f>
        <v>#REF!</v>
      </c>
      <c r="M9064" s="33" t="str">
        <f t="shared" si="567"/>
        <v>P&amp;L</v>
      </c>
    </row>
    <row r="9065" spans="1:13">
      <c r="A9065" s="33" t="str">
        <f t="shared" si="564"/>
        <v>SCL - Operating Expense</v>
      </c>
      <c r="B9065" s="33" t="str">
        <f t="shared" si="565"/>
        <v>SCL</v>
      </c>
      <c r="C9065" s="33" t="str">
        <f t="shared" si="566"/>
        <v>62551-7355</v>
      </c>
      <c r="D9065" s="64" t="s">
        <v>10315</v>
      </c>
      <c r="E9065" s="64" t="s">
        <v>3132</v>
      </c>
      <c r="F9065" s="64" t="s">
        <v>15</v>
      </c>
      <c r="G9065" s="64" t="s">
        <v>3035</v>
      </c>
      <c r="H9065" s="64" t="s">
        <v>3022</v>
      </c>
      <c r="I9065" s="64" t="s">
        <v>3130</v>
      </c>
      <c r="J9065" s="67">
        <v>435.33</v>
      </c>
      <c r="K9065" s="62">
        <v>16106</v>
      </c>
      <c r="L9065" s="33" t="e">
        <f>HLOOKUP(B9065,#REF!,1,0)</f>
        <v>#REF!</v>
      </c>
      <c r="M9065" s="33" t="str">
        <f t="shared" si="567"/>
        <v>P&amp;L</v>
      </c>
    </row>
    <row r="9066" spans="1:13">
      <c r="A9066" s="33" t="str">
        <f t="shared" si="564"/>
        <v>SCL - Operating Expense</v>
      </c>
      <c r="B9066" s="33" t="str">
        <f t="shared" si="565"/>
        <v>SCL</v>
      </c>
      <c r="C9066" s="33" t="str">
        <f t="shared" si="566"/>
        <v>62551-7356</v>
      </c>
      <c r="D9066" s="64" t="s">
        <v>10316</v>
      </c>
      <c r="E9066" s="64" t="s">
        <v>3132</v>
      </c>
      <c r="F9066" s="64" t="s">
        <v>15</v>
      </c>
      <c r="G9066" s="64" t="s">
        <v>3035</v>
      </c>
      <c r="H9066" s="64" t="s">
        <v>3022</v>
      </c>
      <c r="I9066" s="64" t="s">
        <v>3130</v>
      </c>
      <c r="J9066" s="67">
        <v>0</v>
      </c>
      <c r="K9066" s="62">
        <v>3261.29</v>
      </c>
      <c r="L9066" s="33" t="e">
        <f>HLOOKUP(B9066,#REF!,1,0)</f>
        <v>#REF!</v>
      </c>
      <c r="M9066" s="33" t="str">
        <f t="shared" si="567"/>
        <v>P&amp;L</v>
      </c>
    </row>
    <row r="9067" spans="1:13">
      <c r="A9067" s="33" t="str">
        <f t="shared" si="564"/>
        <v>SCL - Operating Expense</v>
      </c>
      <c r="B9067" s="33" t="str">
        <f t="shared" si="565"/>
        <v>SCL</v>
      </c>
      <c r="C9067" s="33" t="str">
        <f t="shared" si="566"/>
        <v>62551-7359</v>
      </c>
      <c r="D9067" s="64" t="s">
        <v>10317</v>
      </c>
      <c r="E9067" s="64" t="s">
        <v>3132</v>
      </c>
      <c r="F9067" s="64" t="s">
        <v>15</v>
      </c>
      <c r="G9067" s="64" t="s">
        <v>3035</v>
      </c>
      <c r="H9067" s="64" t="s">
        <v>3022</v>
      </c>
      <c r="I9067" s="64" t="s">
        <v>3130</v>
      </c>
      <c r="J9067" s="67">
        <v>3459.63</v>
      </c>
      <c r="K9067" s="62">
        <v>10444.31</v>
      </c>
      <c r="L9067" s="33" t="e">
        <f>HLOOKUP(B9067,#REF!,1,0)</f>
        <v>#REF!</v>
      </c>
      <c r="M9067" s="33" t="str">
        <f t="shared" si="567"/>
        <v>P&amp;L</v>
      </c>
    </row>
    <row r="9068" spans="1:13">
      <c r="A9068" s="33" t="str">
        <f t="shared" si="564"/>
        <v>SCL - Operating Expense</v>
      </c>
      <c r="B9068" s="33" t="str">
        <f t="shared" si="565"/>
        <v>SCL</v>
      </c>
      <c r="C9068" s="33" t="str">
        <f t="shared" si="566"/>
        <v>62551-7360</v>
      </c>
      <c r="D9068" s="64" t="s">
        <v>10318</v>
      </c>
      <c r="E9068" s="64" t="s">
        <v>3132</v>
      </c>
      <c r="F9068" s="64" t="s">
        <v>15</v>
      </c>
      <c r="G9068" s="64" t="s">
        <v>3035</v>
      </c>
      <c r="H9068" s="64" t="s">
        <v>3022</v>
      </c>
      <c r="I9068" s="64" t="s">
        <v>3130</v>
      </c>
      <c r="J9068" s="67">
        <v>551</v>
      </c>
      <c r="K9068" s="62">
        <v>13240.53</v>
      </c>
      <c r="L9068" s="33" t="e">
        <f>HLOOKUP(B9068,#REF!,1,0)</f>
        <v>#REF!</v>
      </c>
      <c r="M9068" s="33" t="str">
        <f t="shared" si="567"/>
        <v>P&amp;L</v>
      </c>
    </row>
    <row r="9069" spans="1:13">
      <c r="A9069" s="33" t="str">
        <f t="shared" si="564"/>
        <v>SCL - Operating Expense</v>
      </c>
      <c r="B9069" s="33" t="str">
        <f t="shared" si="565"/>
        <v>SCL</v>
      </c>
      <c r="C9069" s="33" t="str">
        <f t="shared" si="566"/>
        <v>62551-7361</v>
      </c>
      <c r="D9069" s="64" t="s">
        <v>10319</v>
      </c>
      <c r="E9069" s="64" t="s">
        <v>3132</v>
      </c>
      <c r="F9069" s="64" t="s">
        <v>15</v>
      </c>
      <c r="G9069" s="64" t="s">
        <v>3035</v>
      </c>
      <c r="H9069" s="64" t="s">
        <v>3022</v>
      </c>
      <c r="I9069" s="64" t="s">
        <v>3130</v>
      </c>
      <c r="J9069" s="67">
        <v>319.92</v>
      </c>
      <c r="K9069" s="62">
        <v>6154.91</v>
      </c>
      <c r="L9069" s="33" t="e">
        <f>HLOOKUP(B9069,#REF!,1,0)</f>
        <v>#REF!</v>
      </c>
      <c r="M9069" s="33" t="str">
        <f t="shared" si="567"/>
        <v>P&amp;L</v>
      </c>
    </row>
    <row r="9070" spans="1:13">
      <c r="A9070" s="33" t="str">
        <f t="shared" si="564"/>
        <v>SCL - Operating Expense</v>
      </c>
      <c r="B9070" s="33" t="str">
        <f t="shared" si="565"/>
        <v>SCL</v>
      </c>
      <c r="C9070" s="33" t="str">
        <f t="shared" si="566"/>
        <v>62551-7362</v>
      </c>
      <c r="D9070" s="64" t="s">
        <v>10320</v>
      </c>
      <c r="E9070" s="64" t="s">
        <v>3132</v>
      </c>
      <c r="F9070" s="64" t="s">
        <v>15</v>
      </c>
      <c r="G9070" s="64" t="s">
        <v>3035</v>
      </c>
      <c r="H9070" s="64" t="s">
        <v>3022</v>
      </c>
      <c r="I9070" s="64" t="s">
        <v>3130</v>
      </c>
      <c r="J9070" s="67">
        <v>163.45</v>
      </c>
      <c r="K9070" s="62">
        <v>5465.75</v>
      </c>
      <c r="L9070" s="33" t="e">
        <f>HLOOKUP(B9070,#REF!,1,0)</f>
        <v>#REF!</v>
      </c>
      <c r="M9070" s="33" t="str">
        <f t="shared" si="567"/>
        <v>P&amp;L</v>
      </c>
    </row>
    <row r="9071" spans="1:13">
      <c r="A9071" s="33" t="str">
        <f t="shared" si="564"/>
        <v>SCL - Operating Expense</v>
      </c>
      <c r="B9071" s="33" t="str">
        <f t="shared" si="565"/>
        <v>SCL</v>
      </c>
      <c r="C9071" s="33" t="str">
        <f t="shared" si="566"/>
        <v>62551-7363</v>
      </c>
      <c r="D9071" s="64" t="s">
        <v>10321</v>
      </c>
      <c r="E9071" s="64" t="s">
        <v>3132</v>
      </c>
      <c r="F9071" s="64" t="s">
        <v>15</v>
      </c>
      <c r="G9071" s="64" t="s">
        <v>3035</v>
      </c>
      <c r="H9071" s="64" t="s">
        <v>3022</v>
      </c>
      <c r="I9071" s="64" t="s">
        <v>3130</v>
      </c>
      <c r="J9071" s="67">
        <v>428.31</v>
      </c>
      <c r="K9071" s="62">
        <v>3965.57</v>
      </c>
      <c r="L9071" s="33" t="e">
        <f>HLOOKUP(B9071,#REF!,1,0)</f>
        <v>#REF!</v>
      </c>
      <c r="M9071" s="33" t="str">
        <f t="shared" si="567"/>
        <v>P&amp;L</v>
      </c>
    </row>
    <row r="9072" spans="1:13">
      <c r="A9072" s="33" t="str">
        <f t="shared" si="564"/>
        <v>SCL - Operating Expense</v>
      </c>
      <c r="B9072" s="33" t="str">
        <f t="shared" si="565"/>
        <v>SCL</v>
      </c>
      <c r="C9072" s="33" t="str">
        <f t="shared" si="566"/>
        <v>62551-7364</v>
      </c>
      <c r="D9072" s="64" t="s">
        <v>10322</v>
      </c>
      <c r="E9072" s="64" t="s">
        <v>3132</v>
      </c>
      <c r="F9072" s="64" t="s">
        <v>15</v>
      </c>
      <c r="G9072" s="64" t="s">
        <v>3035</v>
      </c>
      <c r="H9072" s="64" t="s">
        <v>3022</v>
      </c>
      <c r="I9072" s="64" t="s">
        <v>3130</v>
      </c>
      <c r="J9072" s="67">
        <v>92.66</v>
      </c>
      <c r="K9072" s="62">
        <v>2596.09</v>
      </c>
      <c r="L9072" s="33" t="e">
        <f>HLOOKUP(B9072,#REF!,1,0)</f>
        <v>#REF!</v>
      </c>
      <c r="M9072" s="33" t="str">
        <f t="shared" si="567"/>
        <v>P&amp;L</v>
      </c>
    </row>
    <row r="9073" spans="1:13">
      <c r="A9073" s="33" t="str">
        <f t="shared" si="564"/>
        <v>SCL - Operating Expense</v>
      </c>
      <c r="B9073" s="33" t="str">
        <f t="shared" si="565"/>
        <v>SCL</v>
      </c>
      <c r="C9073" s="33" t="str">
        <f t="shared" si="566"/>
        <v>62551-7365</v>
      </c>
      <c r="D9073" s="64" t="s">
        <v>10323</v>
      </c>
      <c r="E9073" s="64" t="s">
        <v>3132</v>
      </c>
      <c r="F9073" s="64" t="s">
        <v>15</v>
      </c>
      <c r="G9073" s="64" t="s">
        <v>3035</v>
      </c>
      <c r="H9073" s="64" t="s">
        <v>3022</v>
      </c>
      <c r="I9073" s="64" t="s">
        <v>3130</v>
      </c>
      <c r="J9073" s="67">
        <v>0</v>
      </c>
      <c r="K9073" s="62">
        <v>2360.76</v>
      </c>
      <c r="L9073" s="33" t="e">
        <f>HLOOKUP(B9073,#REF!,1,0)</f>
        <v>#REF!</v>
      </c>
      <c r="M9073" s="33" t="str">
        <f t="shared" si="567"/>
        <v>P&amp;L</v>
      </c>
    </row>
    <row r="9074" spans="1:13">
      <c r="A9074" s="33" t="str">
        <f t="shared" si="564"/>
        <v>SCL - Operating Expense</v>
      </c>
      <c r="B9074" s="33" t="str">
        <f t="shared" si="565"/>
        <v>SCL</v>
      </c>
      <c r="C9074" s="33" t="str">
        <f t="shared" si="566"/>
        <v>62551-7366</v>
      </c>
      <c r="D9074" s="64" t="s">
        <v>10324</v>
      </c>
      <c r="E9074" s="64" t="s">
        <v>3132</v>
      </c>
      <c r="F9074" s="64" t="s">
        <v>15</v>
      </c>
      <c r="G9074" s="64" t="s">
        <v>3035</v>
      </c>
      <c r="H9074" s="64" t="s">
        <v>3022</v>
      </c>
      <c r="I9074" s="64" t="s">
        <v>3130</v>
      </c>
      <c r="J9074" s="67">
        <v>566.3</v>
      </c>
      <c r="K9074" s="62">
        <v>2581.31</v>
      </c>
      <c r="L9074" s="33" t="e">
        <f>HLOOKUP(B9074,#REF!,1,0)</f>
        <v>#REF!</v>
      </c>
      <c r="M9074" s="33" t="str">
        <f t="shared" si="567"/>
        <v>P&amp;L</v>
      </c>
    </row>
    <row r="9075" spans="1:13">
      <c r="A9075" s="33" t="str">
        <f t="shared" si="564"/>
        <v>SCL - Operating Expense</v>
      </c>
      <c r="B9075" s="33" t="str">
        <f t="shared" si="565"/>
        <v>SCL</v>
      </c>
      <c r="C9075" s="33" t="str">
        <f t="shared" si="566"/>
        <v>62551-7368</v>
      </c>
      <c r="D9075" s="64" t="s">
        <v>10325</v>
      </c>
      <c r="E9075" s="64" t="s">
        <v>3132</v>
      </c>
      <c r="F9075" s="64" t="s">
        <v>15</v>
      </c>
      <c r="G9075" s="64" t="s">
        <v>3035</v>
      </c>
      <c r="H9075" s="64" t="s">
        <v>3022</v>
      </c>
      <c r="I9075" s="64" t="s">
        <v>3130</v>
      </c>
      <c r="J9075" s="67">
        <v>2948.98</v>
      </c>
      <c r="K9075" s="62">
        <v>10522.09</v>
      </c>
      <c r="L9075" s="33" t="e">
        <f>HLOOKUP(B9075,#REF!,1,0)</f>
        <v>#REF!</v>
      </c>
      <c r="M9075" s="33" t="str">
        <f t="shared" si="567"/>
        <v>P&amp;L</v>
      </c>
    </row>
    <row r="9076" spans="1:13">
      <c r="A9076" s="33" t="str">
        <f t="shared" si="564"/>
        <v>SCL - Operating Expense</v>
      </c>
      <c r="B9076" s="33" t="str">
        <f t="shared" si="565"/>
        <v>SCL</v>
      </c>
      <c r="C9076" s="33" t="str">
        <f t="shared" si="566"/>
        <v>62551-7369</v>
      </c>
      <c r="D9076" s="64" t="s">
        <v>10326</v>
      </c>
      <c r="E9076" s="64" t="s">
        <v>3132</v>
      </c>
      <c r="F9076" s="64" t="s">
        <v>15</v>
      </c>
      <c r="G9076" s="64" t="s">
        <v>3035</v>
      </c>
      <c r="H9076" s="64" t="s">
        <v>3022</v>
      </c>
      <c r="I9076" s="64" t="s">
        <v>3130</v>
      </c>
      <c r="J9076" s="67">
        <v>467.57</v>
      </c>
      <c r="K9076" s="62">
        <v>7124.11</v>
      </c>
      <c r="L9076" s="33" t="e">
        <f>HLOOKUP(B9076,#REF!,1,0)</f>
        <v>#REF!</v>
      </c>
      <c r="M9076" s="33" t="str">
        <f t="shared" si="567"/>
        <v>P&amp;L</v>
      </c>
    </row>
    <row r="9077" spans="1:13">
      <c r="A9077" s="33" t="str">
        <f t="shared" si="564"/>
        <v>SCL - Operating Expense</v>
      </c>
      <c r="B9077" s="33" t="str">
        <f t="shared" si="565"/>
        <v>SCL</v>
      </c>
      <c r="C9077" s="33" t="str">
        <f t="shared" si="566"/>
        <v>62551-7371</v>
      </c>
      <c r="D9077" s="64" t="s">
        <v>10327</v>
      </c>
      <c r="E9077" s="64" t="s">
        <v>3132</v>
      </c>
      <c r="F9077" s="64" t="s">
        <v>15</v>
      </c>
      <c r="G9077" s="64" t="s">
        <v>3035</v>
      </c>
      <c r="H9077" s="64" t="s">
        <v>3022</v>
      </c>
      <c r="I9077" s="64" t="s">
        <v>3130</v>
      </c>
      <c r="J9077" s="67">
        <v>0</v>
      </c>
      <c r="K9077" s="62">
        <v>5515.1</v>
      </c>
      <c r="L9077" s="33" t="e">
        <f>HLOOKUP(B9077,#REF!,1,0)</f>
        <v>#REF!</v>
      </c>
      <c r="M9077" s="33" t="str">
        <f t="shared" si="567"/>
        <v>P&amp;L</v>
      </c>
    </row>
    <row r="9078" spans="1:13">
      <c r="A9078" s="33" t="str">
        <f t="shared" si="564"/>
        <v>SCL - Operating Expense</v>
      </c>
      <c r="B9078" s="33" t="str">
        <f t="shared" si="565"/>
        <v>SCL</v>
      </c>
      <c r="C9078" s="33" t="str">
        <f t="shared" si="566"/>
        <v>62551-7374</v>
      </c>
      <c r="D9078" s="64" t="s">
        <v>10328</v>
      </c>
      <c r="E9078" s="64" t="s">
        <v>3132</v>
      </c>
      <c r="F9078" s="64" t="s">
        <v>15</v>
      </c>
      <c r="G9078" s="64" t="s">
        <v>3035</v>
      </c>
      <c r="H9078" s="64" t="s">
        <v>3022</v>
      </c>
      <c r="I9078" s="64" t="s">
        <v>3130</v>
      </c>
      <c r="J9078" s="67">
        <v>12249</v>
      </c>
      <c r="K9078" s="62">
        <v>18890</v>
      </c>
      <c r="L9078" s="33" t="e">
        <f>HLOOKUP(B9078,#REF!,1,0)</f>
        <v>#REF!</v>
      </c>
      <c r="M9078" s="33" t="str">
        <f t="shared" si="567"/>
        <v>P&amp;L</v>
      </c>
    </row>
    <row r="9079" spans="1:13">
      <c r="A9079" s="33" t="str">
        <f t="shared" si="564"/>
        <v>SCL - Operating Expense</v>
      </c>
      <c r="B9079" s="33" t="str">
        <f t="shared" si="565"/>
        <v>SCL</v>
      </c>
      <c r="C9079" s="33" t="str">
        <f t="shared" si="566"/>
        <v>62551-7375</v>
      </c>
      <c r="D9079" s="64" t="s">
        <v>10329</v>
      </c>
      <c r="E9079" s="64" t="s">
        <v>3132</v>
      </c>
      <c r="F9079" s="64" t="s">
        <v>15</v>
      </c>
      <c r="G9079" s="64" t="s">
        <v>3035</v>
      </c>
      <c r="H9079" s="64" t="s">
        <v>3022</v>
      </c>
      <c r="I9079" s="64" t="s">
        <v>3130</v>
      </c>
      <c r="J9079" s="67">
        <v>1529.86</v>
      </c>
      <c r="K9079" s="62">
        <v>2622.89</v>
      </c>
      <c r="L9079" s="33" t="e">
        <f>HLOOKUP(B9079,#REF!,1,0)</f>
        <v>#REF!</v>
      </c>
      <c r="M9079" s="33" t="str">
        <f t="shared" si="567"/>
        <v>P&amp;L</v>
      </c>
    </row>
    <row r="9080" spans="1:13">
      <c r="A9080" s="33" t="str">
        <f t="shared" si="564"/>
        <v>SCL - Operating Expense</v>
      </c>
      <c r="B9080" s="33" t="str">
        <f t="shared" si="565"/>
        <v>SCL</v>
      </c>
      <c r="C9080" s="33" t="str">
        <f t="shared" si="566"/>
        <v>62551-7376</v>
      </c>
      <c r="D9080" s="64" t="s">
        <v>10330</v>
      </c>
      <c r="E9080" s="64" t="s">
        <v>3132</v>
      </c>
      <c r="F9080" s="64" t="s">
        <v>15</v>
      </c>
      <c r="G9080" s="64" t="s">
        <v>3035</v>
      </c>
      <c r="H9080" s="64" t="s">
        <v>3022</v>
      </c>
      <c r="I9080" s="64" t="s">
        <v>3130</v>
      </c>
      <c r="J9080" s="67">
        <v>1706.46</v>
      </c>
      <c r="K9080" s="62">
        <v>10719.76</v>
      </c>
      <c r="L9080" s="33" t="e">
        <f>HLOOKUP(B9080,#REF!,1,0)</f>
        <v>#REF!</v>
      </c>
      <c r="M9080" s="33" t="str">
        <f t="shared" si="567"/>
        <v>P&amp;L</v>
      </c>
    </row>
    <row r="9081" spans="1:13">
      <c r="A9081" s="33" t="str">
        <f t="shared" si="564"/>
        <v>SCL - Operating Expense</v>
      </c>
      <c r="B9081" s="33" t="str">
        <f t="shared" si="565"/>
        <v>SCL</v>
      </c>
      <c r="C9081" s="33" t="str">
        <f t="shared" si="566"/>
        <v>62551-7377</v>
      </c>
      <c r="D9081" s="64" t="s">
        <v>10331</v>
      </c>
      <c r="E9081" s="64" t="s">
        <v>3132</v>
      </c>
      <c r="F9081" s="64" t="s">
        <v>15</v>
      </c>
      <c r="G9081" s="64" t="s">
        <v>3035</v>
      </c>
      <c r="H9081" s="64" t="s">
        <v>3022</v>
      </c>
      <c r="I9081" s="64" t="s">
        <v>3130</v>
      </c>
      <c r="J9081" s="67">
        <v>370.79</v>
      </c>
      <c r="K9081" s="62">
        <v>4430.24</v>
      </c>
      <c r="L9081" s="33" t="e">
        <f>HLOOKUP(B9081,#REF!,1,0)</f>
        <v>#REF!</v>
      </c>
      <c r="M9081" s="33" t="str">
        <f t="shared" si="567"/>
        <v>P&amp;L</v>
      </c>
    </row>
    <row r="9082" spans="1:13">
      <c r="A9082" s="33" t="str">
        <f t="shared" si="564"/>
        <v>SCL - Operating Expense</v>
      </c>
      <c r="B9082" s="33" t="str">
        <f t="shared" si="565"/>
        <v>SCL</v>
      </c>
      <c r="C9082" s="33" t="str">
        <f t="shared" si="566"/>
        <v>62551-7378</v>
      </c>
      <c r="D9082" s="64" t="s">
        <v>10332</v>
      </c>
      <c r="E9082" s="64" t="s">
        <v>3132</v>
      </c>
      <c r="F9082" s="64" t="s">
        <v>15</v>
      </c>
      <c r="G9082" s="64" t="s">
        <v>3035</v>
      </c>
      <c r="H9082" s="64" t="s">
        <v>3022</v>
      </c>
      <c r="I9082" s="64" t="s">
        <v>3130</v>
      </c>
      <c r="J9082" s="67">
        <v>2948.98</v>
      </c>
      <c r="K9082" s="62">
        <v>15286.25</v>
      </c>
      <c r="L9082" s="33" t="e">
        <f>HLOOKUP(B9082,#REF!,1,0)</f>
        <v>#REF!</v>
      </c>
      <c r="M9082" s="33" t="str">
        <f t="shared" si="567"/>
        <v>P&amp;L</v>
      </c>
    </row>
    <row r="9083" spans="1:13">
      <c r="A9083" s="33" t="str">
        <f t="shared" si="564"/>
        <v>SCL - Operating Expense</v>
      </c>
      <c r="B9083" s="33" t="str">
        <f t="shared" si="565"/>
        <v>SCL</v>
      </c>
      <c r="C9083" s="33" t="str">
        <f t="shared" si="566"/>
        <v>62551-7379</v>
      </c>
      <c r="D9083" s="64" t="s">
        <v>10333</v>
      </c>
      <c r="E9083" s="64" t="s">
        <v>3132</v>
      </c>
      <c r="F9083" s="64" t="s">
        <v>15</v>
      </c>
      <c r="G9083" s="64" t="s">
        <v>3035</v>
      </c>
      <c r="H9083" s="64" t="s">
        <v>3022</v>
      </c>
      <c r="I9083" s="64" t="s">
        <v>3130</v>
      </c>
      <c r="J9083" s="67">
        <v>0</v>
      </c>
      <c r="K9083" s="62">
        <v>6991.38</v>
      </c>
      <c r="L9083" s="33" t="e">
        <f>HLOOKUP(B9083,#REF!,1,0)</f>
        <v>#REF!</v>
      </c>
      <c r="M9083" s="33" t="str">
        <f t="shared" si="567"/>
        <v>P&amp;L</v>
      </c>
    </row>
    <row r="9084" spans="1:13">
      <c r="A9084" s="33" t="str">
        <f t="shared" si="564"/>
        <v>SCL - Operating Expense</v>
      </c>
      <c r="B9084" s="33" t="str">
        <f t="shared" si="565"/>
        <v>SCL</v>
      </c>
      <c r="C9084" s="33" t="str">
        <f t="shared" si="566"/>
        <v>62551-7380</v>
      </c>
      <c r="D9084" s="64" t="s">
        <v>10334</v>
      </c>
      <c r="E9084" s="64" t="s">
        <v>3132</v>
      </c>
      <c r="F9084" s="64" t="s">
        <v>15</v>
      </c>
      <c r="G9084" s="64" t="s">
        <v>3035</v>
      </c>
      <c r="H9084" s="64" t="s">
        <v>3022</v>
      </c>
      <c r="I9084" s="64" t="s">
        <v>3130</v>
      </c>
      <c r="J9084" s="67">
        <v>62.5</v>
      </c>
      <c r="K9084" s="62">
        <v>2033.93</v>
      </c>
      <c r="L9084" s="33" t="e">
        <f>HLOOKUP(B9084,#REF!,1,0)</f>
        <v>#REF!</v>
      </c>
      <c r="M9084" s="33" t="str">
        <f t="shared" si="567"/>
        <v>P&amp;L</v>
      </c>
    </row>
    <row r="9085" spans="1:13">
      <c r="A9085" s="33" t="str">
        <f t="shared" si="564"/>
        <v>SCL - Operating Expense</v>
      </c>
      <c r="B9085" s="33" t="str">
        <f t="shared" si="565"/>
        <v>SCL</v>
      </c>
      <c r="C9085" s="33" t="str">
        <f t="shared" si="566"/>
        <v>62551-7381</v>
      </c>
      <c r="D9085" s="64" t="s">
        <v>10335</v>
      </c>
      <c r="E9085" s="64" t="s">
        <v>3132</v>
      </c>
      <c r="F9085" s="64" t="s">
        <v>15</v>
      </c>
      <c r="G9085" s="64" t="s">
        <v>3035</v>
      </c>
      <c r="H9085" s="64" t="s">
        <v>3022</v>
      </c>
      <c r="I9085" s="64" t="s">
        <v>3130</v>
      </c>
      <c r="J9085" s="67">
        <v>1589.92</v>
      </c>
      <c r="K9085" s="62">
        <v>7926.25</v>
      </c>
      <c r="L9085" s="33" t="e">
        <f>HLOOKUP(B9085,#REF!,1,0)</f>
        <v>#REF!</v>
      </c>
      <c r="M9085" s="33" t="str">
        <f t="shared" si="567"/>
        <v>P&amp;L</v>
      </c>
    </row>
    <row r="9086" spans="1:13">
      <c r="A9086" s="33" t="str">
        <f t="shared" si="564"/>
        <v>SCL - Operating Expense</v>
      </c>
      <c r="B9086" s="33" t="str">
        <f t="shared" si="565"/>
        <v>SCL</v>
      </c>
      <c r="C9086" s="33" t="str">
        <f t="shared" si="566"/>
        <v>62551-7383</v>
      </c>
      <c r="D9086" s="64" t="s">
        <v>10336</v>
      </c>
      <c r="E9086" s="64" t="s">
        <v>3132</v>
      </c>
      <c r="F9086" s="64" t="s">
        <v>15</v>
      </c>
      <c r="G9086" s="64" t="s">
        <v>3035</v>
      </c>
      <c r="H9086" s="64" t="s">
        <v>3022</v>
      </c>
      <c r="I9086" s="64" t="s">
        <v>3130</v>
      </c>
      <c r="J9086" s="67">
        <v>334.71</v>
      </c>
      <c r="K9086" s="62">
        <v>5422.74</v>
      </c>
      <c r="L9086" s="33" t="e">
        <f>HLOOKUP(B9086,#REF!,1,0)</f>
        <v>#REF!</v>
      </c>
      <c r="M9086" s="33" t="str">
        <f t="shared" si="567"/>
        <v>P&amp;L</v>
      </c>
    </row>
    <row r="9087" spans="1:13">
      <c r="A9087" s="33" t="str">
        <f t="shared" si="564"/>
        <v>SCL - Operating Expense</v>
      </c>
      <c r="B9087" s="33" t="str">
        <f t="shared" si="565"/>
        <v>SCL</v>
      </c>
      <c r="C9087" s="33" t="str">
        <f t="shared" si="566"/>
        <v>62551-7385</v>
      </c>
      <c r="D9087" s="64" t="s">
        <v>10337</v>
      </c>
      <c r="E9087" s="64" t="s">
        <v>3132</v>
      </c>
      <c r="F9087" s="64" t="s">
        <v>15</v>
      </c>
      <c r="G9087" s="64" t="s">
        <v>3035</v>
      </c>
      <c r="H9087" s="64" t="s">
        <v>3022</v>
      </c>
      <c r="I9087" s="64" t="s">
        <v>3130</v>
      </c>
      <c r="J9087" s="67">
        <v>532.59</v>
      </c>
      <c r="K9087" s="62">
        <v>8606.88</v>
      </c>
      <c r="L9087" s="33" t="e">
        <f>HLOOKUP(B9087,#REF!,1,0)</f>
        <v>#REF!</v>
      </c>
      <c r="M9087" s="33" t="str">
        <f t="shared" si="567"/>
        <v>P&amp;L</v>
      </c>
    </row>
    <row r="9088" spans="1:13">
      <c r="A9088" s="33" t="str">
        <f t="shared" si="564"/>
        <v>SCL - Operating Expense</v>
      </c>
      <c r="B9088" s="33" t="str">
        <f t="shared" si="565"/>
        <v>SCL</v>
      </c>
      <c r="C9088" s="33" t="str">
        <f t="shared" si="566"/>
        <v>62551-7386</v>
      </c>
      <c r="D9088" s="64" t="s">
        <v>10338</v>
      </c>
      <c r="E9088" s="64" t="s">
        <v>3132</v>
      </c>
      <c r="F9088" s="64" t="s">
        <v>15</v>
      </c>
      <c r="G9088" s="64" t="s">
        <v>3035</v>
      </c>
      <c r="H9088" s="64" t="s">
        <v>3022</v>
      </c>
      <c r="I9088" s="64" t="s">
        <v>3130</v>
      </c>
      <c r="J9088" s="67">
        <v>0</v>
      </c>
      <c r="K9088" s="62">
        <v>6611.94</v>
      </c>
      <c r="L9088" s="33" t="e">
        <f>HLOOKUP(B9088,#REF!,1,0)</f>
        <v>#REF!</v>
      </c>
      <c r="M9088" s="33" t="str">
        <f t="shared" si="567"/>
        <v>P&amp;L</v>
      </c>
    </row>
    <row r="9089" spans="1:13">
      <c r="A9089" s="33" t="str">
        <f t="shared" si="564"/>
        <v>SCL - Operating Expense</v>
      </c>
      <c r="B9089" s="33" t="str">
        <f t="shared" si="565"/>
        <v>SCL</v>
      </c>
      <c r="C9089" s="33" t="str">
        <f t="shared" si="566"/>
        <v>62551-7387</v>
      </c>
      <c r="D9089" s="64" t="s">
        <v>10339</v>
      </c>
      <c r="E9089" s="64" t="s">
        <v>3132</v>
      </c>
      <c r="F9089" s="64" t="s">
        <v>15</v>
      </c>
      <c r="G9089" s="64" t="s">
        <v>3035</v>
      </c>
      <c r="H9089" s="64" t="s">
        <v>3022</v>
      </c>
      <c r="I9089" s="64" t="s">
        <v>3130</v>
      </c>
      <c r="J9089" s="67">
        <v>1907.47</v>
      </c>
      <c r="K9089" s="62">
        <v>45702.13</v>
      </c>
      <c r="L9089" s="33" t="e">
        <f>HLOOKUP(B9089,#REF!,1,0)</f>
        <v>#REF!</v>
      </c>
      <c r="M9089" s="33" t="str">
        <f t="shared" si="567"/>
        <v>P&amp;L</v>
      </c>
    </row>
    <row r="9090" spans="1:13">
      <c r="A9090" s="33" t="str">
        <f t="shared" ref="A9090:A9153" si="568">B9090&amp;" - "&amp;TRIM(H9090)</f>
        <v>SCL - Operating Expense</v>
      </c>
      <c r="B9090" s="33" t="str">
        <f t="shared" ref="B9090:B9153" si="569">LEFT(D9090,3)</f>
        <v>SCL</v>
      </c>
      <c r="C9090" s="33" t="str">
        <f t="shared" ref="C9090:C9153" si="570">RIGHT(D9090,10)</f>
        <v>62551-7389</v>
      </c>
      <c r="D9090" s="64" t="s">
        <v>10340</v>
      </c>
      <c r="E9090" s="64" t="s">
        <v>3132</v>
      </c>
      <c r="F9090" s="64" t="s">
        <v>15</v>
      </c>
      <c r="G9090" s="64" t="s">
        <v>3035</v>
      </c>
      <c r="H9090" s="64" t="s">
        <v>3022</v>
      </c>
      <c r="I9090" s="64" t="s">
        <v>3130</v>
      </c>
      <c r="J9090" s="67">
        <v>0</v>
      </c>
      <c r="K9090" s="62">
        <v>23423.03</v>
      </c>
      <c r="L9090" s="33" t="e">
        <f>HLOOKUP(B9090,#REF!,1,0)</f>
        <v>#REF!</v>
      </c>
      <c r="M9090" s="33" t="str">
        <f t="shared" ref="M9090:M9153" si="571">IF(VALUE(LEFT(C9090,5))&gt;40000,"P&amp;L","BS")</f>
        <v>P&amp;L</v>
      </c>
    </row>
    <row r="9091" spans="1:13">
      <c r="A9091" s="33" t="str">
        <f t="shared" si="568"/>
        <v>SCL - Operating Expense</v>
      </c>
      <c r="B9091" s="33" t="str">
        <f t="shared" si="569"/>
        <v>SCL</v>
      </c>
      <c r="C9091" s="33" t="str">
        <f t="shared" si="570"/>
        <v>62551-7391</v>
      </c>
      <c r="D9091" s="64" t="s">
        <v>10341</v>
      </c>
      <c r="E9091" s="64" t="s">
        <v>3132</v>
      </c>
      <c r="F9091" s="64" t="s">
        <v>15</v>
      </c>
      <c r="G9091" s="64" t="s">
        <v>3035</v>
      </c>
      <c r="H9091" s="64" t="s">
        <v>3022</v>
      </c>
      <c r="I9091" s="64" t="s">
        <v>3130</v>
      </c>
      <c r="J9091" s="67">
        <v>95</v>
      </c>
      <c r="K9091" s="62">
        <v>14767.87</v>
      </c>
      <c r="L9091" s="33" t="e">
        <f>HLOOKUP(B9091,#REF!,1,0)</f>
        <v>#REF!</v>
      </c>
      <c r="M9091" s="33" t="str">
        <f t="shared" si="571"/>
        <v>P&amp;L</v>
      </c>
    </row>
    <row r="9092" spans="1:13">
      <c r="A9092" s="33" t="str">
        <f t="shared" si="568"/>
        <v>SCL - Operating Expense</v>
      </c>
      <c r="B9092" s="33" t="str">
        <f t="shared" si="569"/>
        <v>SCL</v>
      </c>
      <c r="C9092" s="33" t="str">
        <f t="shared" si="570"/>
        <v>62551-7393</v>
      </c>
      <c r="D9092" s="64" t="s">
        <v>10342</v>
      </c>
      <c r="E9092" s="64" t="s">
        <v>3132</v>
      </c>
      <c r="F9092" s="64" t="s">
        <v>15</v>
      </c>
      <c r="G9092" s="64" t="s">
        <v>3035</v>
      </c>
      <c r="H9092" s="64" t="s">
        <v>3022</v>
      </c>
      <c r="I9092" s="64" t="s">
        <v>3130</v>
      </c>
      <c r="J9092" s="67">
        <v>903.96</v>
      </c>
      <c r="K9092" s="62">
        <v>26829.54</v>
      </c>
      <c r="L9092" s="33" t="e">
        <f>HLOOKUP(B9092,#REF!,1,0)</f>
        <v>#REF!</v>
      </c>
      <c r="M9092" s="33" t="str">
        <f t="shared" si="571"/>
        <v>P&amp;L</v>
      </c>
    </row>
    <row r="9093" spans="1:13">
      <c r="A9093" s="33" t="str">
        <f t="shared" si="568"/>
        <v>SCL - Operating Expense</v>
      </c>
      <c r="B9093" s="33" t="str">
        <f t="shared" si="569"/>
        <v>SCL</v>
      </c>
      <c r="C9093" s="33" t="str">
        <f t="shared" si="570"/>
        <v>62551-7394</v>
      </c>
      <c r="D9093" s="64" t="s">
        <v>10343</v>
      </c>
      <c r="E9093" s="64" t="s">
        <v>3132</v>
      </c>
      <c r="F9093" s="64" t="s">
        <v>15</v>
      </c>
      <c r="G9093" s="64" t="s">
        <v>3035</v>
      </c>
      <c r="H9093" s="64" t="s">
        <v>3022</v>
      </c>
      <c r="I9093" s="64" t="s">
        <v>3130</v>
      </c>
      <c r="J9093" s="67">
        <v>1081.39</v>
      </c>
      <c r="K9093" s="62">
        <v>5231.98</v>
      </c>
      <c r="L9093" s="33" t="e">
        <f>HLOOKUP(B9093,#REF!,1,0)</f>
        <v>#REF!</v>
      </c>
      <c r="M9093" s="33" t="str">
        <f t="shared" si="571"/>
        <v>P&amp;L</v>
      </c>
    </row>
    <row r="9094" spans="1:13">
      <c r="A9094" s="33" t="str">
        <f t="shared" si="568"/>
        <v>SCL - Operating Expense</v>
      </c>
      <c r="B9094" s="33" t="str">
        <f t="shared" si="569"/>
        <v>SCL</v>
      </c>
      <c r="C9094" s="33" t="str">
        <f t="shared" si="570"/>
        <v>62551-7396</v>
      </c>
      <c r="D9094" s="64" t="s">
        <v>10344</v>
      </c>
      <c r="E9094" s="64" t="s">
        <v>3132</v>
      </c>
      <c r="F9094" s="64" t="s">
        <v>15</v>
      </c>
      <c r="G9094" s="64" t="s">
        <v>3035</v>
      </c>
      <c r="H9094" s="64" t="s">
        <v>3022</v>
      </c>
      <c r="I9094" s="64" t="s">
        <v>3130</v>
      </c>
      <c r="J9094" s="67">
        <v>395.8</v>
      </c>
      <c r="K9094" s="62">
        <v>10511.14</v>
      </c>
      <c r="L9094" s="33" t="e">
        <f>HLOOKUP(B9094,#REF!,1,0)</f>
        <v>#REF!</v>
      </c>
      <c r="M9094" s="33" t="str">
        <f t="shared" si="571"/>
        <v>P&amp;L</v>
      </c>
    </row>
    <row r="9095" spans="1:13">
      <c r="A9095" s="33" t="str">
        <f t="shared" si="568"/>
        <v>SCL - Operating Expense</v>
      </c>
      <c r="B9095" s="33" t="str">
        <f t="shared" si="569"/>
        <v>SCL</v>
      </c>
      <c r="C9095" s="33" t="str">
        <f t="shared" si="570"/>
        <v>62551-7397</v>
      </c>
      <c r="D9095" s="64" t="s">
        <v>10345</v>
      </c>
      <c r="E9095" s="64" t="s">
        <v>3132</v>
      </c>
      <c r="F9095" s="64" t="s">
        <v>15</v>
      </c>
      <c r="G9095" s="64" t="s">
        <v>3035</v>
      </c>
      <c r="H9095" s="64" t="s">
        <v>3022</v>
      </c>
      <c r="I9095" s="64" t="s">
        <v>3130</v>
      </c>
      <c r="J9095" s="67">
        <v>0</v>
      </c>
      <c r="K9095" s="62">
        <v>2581.26</v>
      </c>
      <c r="L9095" s="33" t="e">
        <f>HLOOKUP(B9095,#REF!,1,0)</f>
        <v>#REF!</v>
      </c>
      <c r="M9095" s="33" t="str">
        <f t="shared" si="571"/>
        <v>P&amp;L</v>
      </c>
    </row>
    <row r="9096" spans="1:13">
      <c r="A9096" s="33" t="str">
        <f t="shared" si="568"/>
        <v>SCL - Operating Expense</v>
      </c>
      <c r="B9096" s="33" t="str">
        <f t="shared" si="569"/>
        <v>SCL</v>
      </c>
      <c r="C9096" s="33" t="str">
        <f t="shared" si="570"/>
        <v>62551-7398</v>
      </c>
      <c r="D9096" s="64" t="s">
        <v>10346</v>
      </c>
      <c r="E9096" s="64" t="s">
        <v>3132</v>
      </c>
      <c r="F9096" s="64" t="s">
        <v>15</v>
      </c>
      <c r="G9096" s="64" t="s">
        <v>3035</v>
      </c>
      <c r="H9096" s="64" t="s">
        <v>3022</v>
      </c>
      <c r="I9096" s="64" t="s">
        <v>3130</v>
      </c>
      <c r="J9096" s="67">
        <v>0</v>
      </c>
      <c r="K9096" s="62">
        <v>1863.63</v>
      </c>
      <c r="L9096" s="33" t="e">
        <f>HLOOKUP(B9096,#REF!,1,0)</f>
        <v>#REF!</v>
      </c>
      <c r="M9096" s="33" t="str">
        <f t="shared" si="571"/>
        <v>P&amp;L</v>
      </c>
    </row>
    <row r="9097" spans="1:13">
      <c r="A9097" s="33" t="str">
        <f t="shared" si="568"/>
        <v>SCL - Operating Expense</v>
      </c>
      <c r="B9097" s="33" t="str">
        <f t="shared" si="569"/>
        <v>SCL</v>
      </c>
      <c r="C9097" s="33" t="str">
        <f t="shared" si="570"/>
        <v>62551-7400</v>
      </c>
      <c r="D9097" s="64" t="s">
        <v>10347</v>
      </c>
      <c r="E9097" s="64" t="s">
        <v>3132</v>
      </c>
      <c r="F9097" s="64" t="s">
        <v>15</v>
      </c>
      <c r="G9097" s="64" t="s">
        <v>3035</v>
      </c>
      <c r="H9097" s="64" t="s">
        <v>3022</v>
      </c>
      <c r="I9097" s="64" t="s">
        <v>3130</v>
      </c>
      <c r="J9097" s="67">
        <v>58</v>
      </c>
      <c r="K9097" s="62">
        <v>8515.64</v>
      </c>
      <c r="L9097" s="33" t="e">
        <f>HLOOKUP(B9097,#REF!,1,0)</f>
        <v>#REF!</v>
      </c>
      <c r="M9097" s="33" t="str">
        <f t="shared" si="571"/>
        <v>P&amp;L</v>
      </c>
    </row>
    <row r="9098" spans="1:13">
      <c r="A9098" s="33" t="str">
        <f t="shared" si="568"/>
        <v>SCL - Operating Expense</v>
      </c>
      <c r="B9098" s="33" t="str">
        <f t="shared" si="569"/>
        <v>SCL</v>
      </c>
      <c r="C9098" s="33" t="str">
        <f t="shared" si="570"/>
        <v>62551-7401</v>
      </c>
      <c r="D9098" s="64" t="s">
        <v>10348</v>
      </c>
      <c r="E9098" s="64" t="s">
        <v>3132</v>
      </c>
      <c r="F9098" s="64" t="s">
        <v>15</v>
      </c>
      <c r="G9098" s="64" t="s">
        <v>3035</v>
      </c>
      <c r="H9098" s="64" t="s">
        <v>3022</v>
      </c>
      <c r="I9098" s="64" t="s">
        <v>3130</v>
      </c>
      <c r="J9098" s="67">
        <v>1571.85</v>
      </c>
      <c r="K9098" s="62">
        <v>4331.22</v>
      </c>
      <c r="L9098" s="33" t="e">
        <f>HLOOKUP(B9098,#REF!,1,0)</f>
        <v>#REF!</v>
      </c>
      <c r="M9098" s="33" t="str">
        <f t="shared" si="571"/>
        <v>P&amp;L</v>
      </c>
    </row>
    <row r="9099" spans="1:13">
      <c r="A9099" s="33" t="str">
        <f t="shared" si="568"/>
        <v>SCL - Operating Expense</v>
      </c>
      <c r="B9099" s="33" t="str">
        <f t="shared" si="569"/>
        <v>SCL</v>
      </c>
      <c r="C9099" s="33" t="str">
        <f t="shared" si="570"/>
        <v>62551-7402</v>
      </c>
      <c r="D9099" s="64" t="s">
        <v>10349</v>
      </c>
      <c r="E9099" s="64" t="s">
        <v>3132</v>
      </c>
      <c r="F9099" s="64" t="s">
        <v>15</v>
      </c>
      <c r="G9099" s="64" t="s">
        <v>3035</v>
      </c>
      <c r="H9099" s="64" t="s">
        <v>3022</v>
      </c>
      <c r="I9099" s="64" t="s">
        <v>3130</v>
      </c>
      <c r="J9099" s="67">
        <v>2080.33</v>
      </c>
      <c r="K9099" s="62">
        <v>9513.32</v>
      </c>
      <c r="L9099" s="33" t="e">
        <f>HLOOKUP(B9099,#REF!,1,0)</f>
        <v>#REF!</v>
      </c>
      <c r="M9099" s="33" t="str">
        <f t="shared" si="571"/>
        <v>P&amp;L</v>
      </c>
    </row>
    <row r="9100" spans="1:13">
      <c r="A9100" s="33" t="str">
        <f t="shared" si="568"/>
        <v>SCL - Operating Expense</v>
      </c>
      <c r="B9100" s="33" t="str">
        <f t="shared" si="569"/>
        <v>SCL</v>
      </c>
      <c r="C9100" s="33" t="str">
        <f t="shared" si="570"/>
        <v>62551-7403</v>
      </c>
      <c r="D9100" s="64" t="s">
        <v>10350</v>
      </c>
      <c r="E9100" s="64" t="s">
        <v>3132</v>
      </c>
      <c r="F9100" s="64" t="s">
        <v>15</v>
      </c>
      <c r="G9100" s="64" t="s">
        <v>3035</v>
      </c>
      <c r="H9100" s="64" t="s">
        <v>3022</v>
      </c>
      <c r="I9100" s="64" t="s">
        <v>3130</v>
      </c>
      <c r="J9100" s="67">
        <v>21.89</v>
      </c>
      <c r="K9100" s="62">
        <v>3938.35</v>
      </c>
      <c r="L9100" s="33" t="e">
        <f>HLOOKUP(B9100,#REF!,1,0)</f>
        <v>#REF!</v>
      </c>
      <c r="M9100" s="33" t="str">
        <f t="shared" si="571"/>
        <v>P&amp;L</v>
      </c>
    </row>
    <row r="9101" spans="1:13">
      <c r="A9101" s="33" t="str">
        <f t="shared" si="568"/>
        <v>SCL - Operating Expense</v>
      </c>
      <c r="B9101" s="33" t="str">
        <f t="shared" si="569"/>
        <v>SCL</v>
      </c>
      <c r="C9101" s="33" t="str">
        <f t="shared" si="570"/>
        <v>62551-7489</v>
      </c>
      <c r="D9101" s="64" t="s">
        <v>10351</v>
      </c>
      <c r="E9101" s="64" t="s">
        <v>3132</v>
      </c>
      <c r="F9101" s="64" t="s">
        <v>15</v>
      </c>
      <c r="G9101" s="64" t="s">
        <v>3035</v>
      </c>
      <c r="H9101" s="64" t="s">
        <v>3022</v>
      </c>
      <c r="I9101" s="64" t="s">
        <v>3130</v>
      </c>
      <c r="J9101" s="67">
        <v>185.13</v>
      </c>
      <c r="K9101" s="62">
        <v>18853.85</v>
      </c>
      <c r="L9101" s="33" t="e">
        <f>HLOOKUP(B9101,#REF!,1,0)</f>
        <v>#REF!</v>
      </c>
      <c r="M9101" s="33" t="str">
        <f t="shared" si="571"/>
        <v>P&amp;L</v>
      </c>
    </row>
    <row r="9102" spans="1:13">
      <c r="A9102" s="33" t="str">
        <f t="shared" si="568"/>
        <v>SCL - Operating Expense</v>
      </c>
      <c r="B9102" s="33" t="str">
        <f t="shared" si="569"/>
        <v>SCL</v>
      </c>
      <c r="C9102" s="33" t="str">
        <f t="shared" si="570"/>
        <v>62551-7491</v>
      </c>
      <c r="D9102" s="64" t="s">
        <v>10352</v>
      </c>
      <c r="E9102" s="64" t="s">
        <v>3132</v>
      </c>
      <c r="F9102" s="64" t="s">
        <v>15</v>
      </c>
      <c r="G9102" s="64" t="s">
        <v>3035</v>
      </c>
      <c r="H9102" s="64" t="s">
        <v>3022</v>
      </c>
      <c r="I9102" s="64" t="s">
        <v>3130</v>
      </c>
      <c r="J9102" s="67">
        <v>293.58</v>
      </c>
      <c r="K9102" s="62">
        <v>18993.32</v>
      </c>
      <c r="L9102" s="33" t="e">
        <f>HLOOKUP(B9102,#REF!,1,0)</f>
        <v>#REF!</v>
      </c>
      <c r="M9102" s="33" t="str">
        <f t="shared" si="571"/>
        <v>P&amp;L</v>
      </c>
    </row>
    <row r="9103" spans="1:13">
      <c r="A9103" s="33" t="str">
        <f t="shared" si="568"/>
        <v>SCL - Operating Expense</v>
      </c>
      <c r="B9103" s="33" t="str">
        <f t="shared" si="569"/>
        <v>SCL</v>
      </c>
      <c r="C9103" s="33" t="str">
        <f t="shared" si="570"/>
        <v>62551-7492</v>
      </c>
      <c r="D9103" s="64" t="s">
        <v>10353</v>
      </c>
      <c r="E9103" s="64" t="s">
        <v>3132</v>
      </c>
      <c r="F9103" s="64" t="s">
        <v>15</v>
      </c>
      <c r="G9103" s="64" t="s">
        <v>3035</v>
      </c>
      <c r="H9103" s="64" t="s">
        <v>3022</v>
      </c>
      <c r="I9103" s="64" t="s">
        <v>3130</v>
      </c>
      <c r="J9103" s="67">
        <v>10386.45</v>
      </c>
      <c r="K9103" s="62">
        <v>15300.73</v>
      </c>
      <c r="L9103" s="33" t="e">
        <f>HLOOKUP(B9103,#REF!,1,0)</f>
        <v>#REF!</v>
      </c>
      <c r="M9103" s="33" t="str">
        <f t="shared" si="571"/>
        <v>P&amp;L</v>
      </c>
    </row>
    <row r="9104" spans="1:13">
      <c r="A9104" s="33" t="str">
        <f t="shared" si="568"/>
        <v>SCL - Operating Expense</v>
      </c>
      <c r="B9104" s="33" t="str">
        <f t="shared" si="569"/>
        <v>SCL</v>
      </c>
      <c r="C9104" s="33" t="str">
        <f t="shared" si="570"/>
        <v>62551-7493</v>
      </c>
      <c r="D9104" s="64" t="s">
        <v>10354</v>
      </c>
      <c r="E9104" s="64" t="s">
        <v>3132</v>
      </c>
      <c r="F9104" s="64" t="s">
        <v>15</v>
      </c>
      <c r="G9104" s="64" t="s">
        <v>3035</v>
      </c>
      <c r="H9104" s="64" t="s">
        <v>3022</v>
      </c>
      <c r="I9104" s="64" t="s">
        <v>3130</v>
      </c>
      <c r="J9104" s="67">
        <v>0</v>
      </c>
      <c r="K9104" s="62">
        <v>1891.13</v>
      </c>
      <c r="L9104" s="33" t="e">
        <f>HLOOKUP(B9104,#REF!,1,0)</f>
        <v>#REF!</v>
      </c>
      <c r="M9104" s="33" t="str">
        <f t="shared" si="571"/>
        <v>P&amp;L</v>
      </c>
    </row>
    <row r="9105" spans="1:13">
      <c r="A9105" s="33" t="str">
        <f t="shared" si="568"/>
        <v>SCL - Operating Expense</v>
      </c>
      <c r="B9105" s="33" t="str">
        <f t="shared" si="569"/>
        <v>SCL</v>
      </c>
      <c r="C9105" s="33" t="str">
        <f t="shared" si="570"/>
        <v>62551-7494</v>
      </c>
      <c r="D9105" s="64" t="s">
        <v>10355</v>
      </c>
      <c r="E9105" s="64" t="s">
        <v>3132</v>
      </c>
      <c r="F9105" s="64" t="s">
        <v>15</v>
      </c>
      <c r="G9105" s="64" t="s">
        <v>3035</v>
      </c>
      <c r="H9105" s="64" t="s">
        <v>3022</v>
      </c>
      <c r="I9105" s="64" t="s">
        <v>3130</v>
      </c>
      <c r="J9105" s="67">
        <v>0</v>
      </c>
      <c r="K9105" s="62">
        <v>2289.14</v>
      </c>
      <c r="L9105" s="33" t="e">
        <f>HLOOKUP(B9105,#REF!,1,0)</f>
        <v>#REF!</v>
      </c>
      <c r="M9105" s="33" t="str">
        <f t="shared" si="571"/>
        <v>P&amp;L</v>
      </c>
    </row>
    <row r="9106" spans="1:13">
      <c r="A9106" s="33" t="str">
        <f t="shared" si="568"/>
        <v>SCL - Operating Expense</v>
      </c>
      <c r="B9106" s="33" t="str">
        <f t="shared" si="569"/>
        <v>SCL</v>
      </c>
      <c r="C9106" s="33" t="str">
        <f t="shared" si="570"/>
        <v>62551-7625</v>
      </c>
      <c r="D9106" s="64" t="s">
        <v>10356</v>
      </c>
      <c r="E9106" s="64" t="s">
        <v>3132</v>
      </c>
      <c r="F9106" s="64" t="s">
        <v>15</v>
      </c>
      <c r="G9106" s="64" t="s">
        <v>3035</v>
      </c>
      <c r="H9106" s="64" t="s">
        <v>3022</v>
      </c>
      <c r="I9106" s="64" t="s">
        <v>3130</v>
      </c>
      <c r="J9106" s="67">
        <v>300.77</v>
      </c>
      <c r="K9106" s="62">
        <v>3777.31</v>
      </c>
      <c r="L9106" s="33" t="e">
        <f>HLOOKUP(B9106,#REF!,1,0)</f>
        <v>#REF!</v>
      </c>
      <c r="M9106" s="33" t="str">
        <f t="shared" si="571"/>
        <v>P&amp;L</v>
      </c>
    </row>
    <row r="9107" spans="1:13">
      <c r="A9107" s="33" t="str">
        <f t="shared" si="568"/>
        <v>SCL - Operating Expense</v>
      </c>
      <c r="B9107" s="33" t="str">
        <f t="shared" si="569"/>
        <v>SCL</v>
      </c>
      <c r="C9107" s="33" t="str">
        <f t="shared" si="570"/>
        <v>62551-8150</v>
      </c>
      <c r="D9107" s="64" t="s">
        <v>10357</v>
      </c>
      <c r="E9107" s="64" t="s">
        <v>3132</v>
      </c>
      <c r="F9107" s="64" t="s">
        <v>15</v>
      </c>
      <c r="G9107" s="64" t="s">
        <v>3035</v>
      </c>
      <c r="H9107" s="64" t="s">
        <v>3022</v>
      </c>
      <c r="I9107" s="64" t="s">
        <v>3130</v>
      </c>
      <c r="J9107" s="67">
        <v>30</v>
      </c>
      <c r="K9107" s="62">
        <v>3713.67</v>
      </c>
      <c r="L9107" s="33" t="e">
        <f>HLOOKUP(B9107,#REF!,1,0)</f>
        <v>#REF!</v>
      </c>
      <c r="M9107" s="33" t="str">
        <f t="shared" si="571"/>
        <v>P&amp;L</v>
      </c>
    </row>
    <row r="9108" spans="1:13">
      <c r="A9108" s="33" t="str">
        <f t="shared" si="568"/>
        <v>SCL - Operating Expense</v>
      </c>
      <c r="B9108" s="33" t="str">
        <f t="shared" si="569"/>
        <v>SCL</v>
      </c>
      <c r="C9108" s="33" t="str">
        <f t="shared" si="570"/>
        <v>63001-7351</v>
      </c>
      <c r="D9108" s="64" t="s">
        <v>10358</v>
      </c>
      <c r="E9108" s="64" t="s">
        <v>3134</v>
      </c>
      <c r="F9108" s="64" t="s">
        <v>15</v>
      </c>
      <c r="G9108" s="64" t="s">
        <v>3035</v>
      </c>
      <c r="H9108" s="64" t="s">
        <v>3022</v>
      </c>
      <c r="I9108" s="64" t="s">
        <v>3036</v>
      </c>
      <c r="J9108" s="67">
        <v>329.5</v>
      </c>
      <c r="K9108" s="62">
        <v>834.5</v>
      </c>
      <c r="L9108" s="33" t="e">
        <f>HLOOKUP(B9108,#REF!,1,0)</f>
        <v>#REF!</v>
      </c>
      <c r="M9108" s="33" t="str">
        <f t="shared" si="571"/>
        <v>P&amp;L</v>
      </c>
    </row>
    <row r="9109" spans="1:13">
      <c r="A9109" s="33" t="str">
        <f t="shared" si="568"/>
        <v>SCL - Operating Expense</v>
      </c>
      <c r="B9109" s="33" t="str">
        <f t="shared" si="569"/>
        <v>SCL</v>
      </c>
      <c r="C9109" s="33" t="str">
        <f t="shared" si="570"/>
        <v>63001-7352</v>
      </c>
      <c r="D9109" s="64" t="s">
        <v>10359</v>
      </c>
      <c r="E9109" s="64" t="s">
        <v>3134</v>
      </c>
      <c r="F9109" s="64" t="s">
        <v>15</v>
      </c>
      <c r="G9109" s="64" t="s">
        <v>3035</v>
      </c>
      <c r="H9109" s="64" t="s">
        <v>3022</v>
      </c>
      <c r="I9109" s="64" t="s">
        <v>3036</v>
      </c>
      <c r="J9109" s="67">
        <v>0</v>
      </c>
      <c r="K9109" s="62">
        <v>834.5</v>
      </c>
      <c r="L9109" s="33" t="e">
        <f>HLOOKUP(B9109,#REF!,1,0)</f>
        <v>#REF!</v>
      </c>
      <c r="M9109" s="33" t="str">
        <f t="shared" si="571"/>
        <v>P&amp;L</v>
      </c>
    </row>
    <row r="9110" spans="1:13">
      <c r="A9110" s="33" t="str">
        <f t="shared" si="568"/>
        <v>SCL - Operating Expense</v>
      </c>
      <c r="B9110" s="33" t="str">
        <f t="shared" si="569"/>
        <v>SCL</v>
      </c>
      <c r="C9110" s="33" t="str">
        <f t="shared" si="570"/>
        <v>63001-7355</v>
      </c>
      <c r="D9110" s="64" t="s">
        <v>10360</v>
      </c>
      <c r="E9110" s="64" t="s">
        <v>3134</v>
      </c>
      <c r="F9110" s="64" t="s">
        <v>15</v>
      </c>
      <c r="G9110" s="64" t="s">
        <v>3035</v>
      </c>
      <c r="H9110" s="64" t="s">
        <v>3022</v>
      </c>
      <c r="I9110" s="64" t="s">
        <v>3036</v>
      </c>
      <c r="J9110" s="67">
        <v>329.5</v>
      </c>
      <c r="K9110" s="62">
        <v>584.5</v>
      </c>
      <c r="L9110" s="33" t="e">
        <f>HLOOKUP(B9110,#REF!,1,0)</f>
        <v>#REF!</v>
      </c>
      <c r="M9110" s="33" t="str">
        <f t="shared" si="571"/>
        <v>P&amp;L</v>
      </c>
    </row>
    <row r="9111" spans="1:13">
      <c r="A9111" s="33" t="str">
        <f t="shared" si="568"/>
        <v>SCL - Operating Expense</v>
      </c>
      <c r="B9111" s="33" t="str">
        <f t="shared" si="569"/>
        <v>SCL</v>
      </c>
      <c r="C9111" s="33" t="str">
        <f t="shared" si="570"/>
        <v>63001-7359</v>
      </c>
      <c r="D9111" s="64" t="s">
        <v>10361</v>
      </c>
      <c r="E9111" s="64" t="s">
        <v>3134</v>
      </c>
      <c r="F9111" s="64" t="s">
        <v>15</v>
      </c>
      <c r="G9111" s="64" t="s">
        <v>3035</v>
      </c>
      <c r="H9111" s="64" t="s">
        <v>3022</v>
      </c>
      <c r="I9111" s="64" t="s">
        <v>3036</v>
      </c>
      <c r="J9111" s="67">
        <v>329.5</v>
      </c>
      <c r="K9111" s="62">
        <v>829.5</v>
      </c>
      <c r="L9111" s="33" t="e">
        <f>HLOOKUP(B9111,#REF!,1,0)</f>
        <v>#REF!</v>
      </c>
      <c r="M9111" s="33" t="str">
        <f t="shared" si="571"/>
        <v>P&amp;L</v>
      </c>
    </row>
    <row r="9112" spans="1:13">
      <c r="A9112" s="33" t="str">
        <f t="shared" si="568"/>
        <v>SCL - Operating Expense</v>
      </c>
      <c r="B9112" s="33" t="str">
        <f t="shared" si="569"/>
        <v>SCL</v>
      </c>
      <c r="C9112" s="33" t="str">
        <f t="shared" si="570"/>
        <v>63001-7360</v>
      </c>
      <c r="D9112" s="64" t="s">
        <v>10362</v>
      </c>
      <c r="E9112" s="64" t="s">
        <v>3134</v>
      </c>
      <c r="F9112" s="64" t="s">
        <v>15</v>
      </c>
      <c r="G9112" s="64" t="s">
        <v>3035</v>
      </c>
      <c r="H9112" s="64" t="s">
        <v>3022</v>
      </c>
      <c r="I9112" s="64" t="s">
        <v>3036</v>
      </c>
      <c r="J9112" s="67">
        <v>0</v>
      </c>
      <c r="K9112" s="62">
        <v>640.5</v>
      </c>
      <c r="L9112" s="33" t="e">
        <f>HLOOKUP(B9112,#REF!,1,0)</f>
        <v>#REF!</v>
      </c>
      <c r="M9112" s="33" t="str">
        <f t="shared" si="571"/>
        <v>P&amp;L</v>
      </c>
    </row>
    <row r="9113" spans="1:13">
      <c r="A9113" s="33" t="str">
        <f t="shared" si="568"/>
        <v>SCL - Operating Expense</v>
      </c>
      <c r="B9113" s="33" t="str">
        <f t="shared" si="569"/>
        <v>SCL</v>
      </c>
      <c r="C9113" s="33" t="str">
        <f t="shared" si="570"/>
        <v>63001-7361</v>
      </c>
      <c r="D9113" s="64" t="s">
        <v>10363</v>
      </c>
      <c r="E9113" s="64" t="s">
        <v>3134</v>
      </c>
      <c r="F9113" s="64" t="s">
        <v>15</v>
      </c>
      <c r="G9113" s="64" t="s">
        <v>3035</v>
      </c>
      <c r="H9113" s="64" t="s">
        <v>3022</v>
      </c>
      <c r="I9113" s="64" t="s">
        <v>3036</v>
      </c>
      <c r="J9113" s="67">
        <v>329.5</v>
      </c>
      <c r="K9113" s="62">
        <v>1089.5</v>
      </c>
      <c r="L9113" s="33" t="e">
        <f>HLOOKUP(B9113,#REF!,1,0)</f>
        <v>#REF!</v>
      </c>
      <c r="M9113" s="33" t="str">
        <f t="shared" si="571"/>
        <v>P&amp;L</v>
      </c>
    </row>
    <row r="9114" spans="1:13">
      <c r="A9114" s="33" t="str">
        <f t="shared" si="568"/>
        <v>SCL - Operating Expense</v>
      </c>
      <c r="B9114" s="33" t="str">
        <f t="shared" si="569"/>
        <v>SCL</v>
      </c>
      <c r="C9114" s="33" t="str">
        <f t="shared" si="570"/>
        <v>63001-7362</v>
      </c>
      <c r="D9114" s="64" t="s">
        <v>10364</v>
      </c>
      <c r="E9114" s="64" t="s">
        <v>3134</v>
      </c>
      <c r="F9114" s="64" t="s">
        <v>15</v>
      </c>
      <c r="G9114" s="64" t="s">
        <v>3035</v>
      </c>
      <c r="H9114" s="64" t="s">
        <v>3022</v>
      </c>
      <c r="I9114" s="64" t="s">
        <v>3036</v>
      </c>
      <c r="J9114" s="67">
        <v>0</v>
      </c>
      <c r="K9114" s="62">
        <v>1084.5</v>
      </c>
      <c r="L9114" s="33" t="e">
        <f>HLOOKUP(B9114,#REF!,1,0)</f>
        <v>#REF!</v>
      </c>
      <c r="M9114" s="33" t="str">
        <f t="shared" si="571"/>
        <v>P&amp;L</v>
      </c>
    </row>
    <row r="9115" spans="1:13">
      <c r="A9115" s="33" t="str">
        <f t="shared" si="568"/>
        <v>SCL - Operating Expense</v>
      </c>
      <c r="B9115" s="33" t="str">
        <f t="shared" si="569"/>
        <v>SCL</v>
      </c>
      <c r="C9115" s="33" t="str">
        <f t="shared" si="570"/>
        <v>63001-7363</v>
      </c>
      <c r="D9115" s="64" t="s">
        <v>10365</v>
      </c>
      <c r="E9115" s="64" t="s">
        <v>3134</v>
      </c>
      <c r="F9115" s="64" t="s">
        <v>15</v>
      </c>
      <c r="G9115" s="64" t="s">
        <v>3035</v>
      </c>
      <c r="H9115" s="64" t="s">
        <v>3022</v>
      </c>
      <c r="I9115" s="64" t="s">
        <v>3036</v>
      </c>
      <c r="J9115" s="67">
        <v>0</v>
      </c>
      <c r="K9115" s="62">
        <v>834.5</v>
      </c>
      <c r="L9115" s="33" t="e">
        <f>HLOOKUP(B9115,#REF!,1,0)</f>
        <v>#REF!</v>
      </c>
      <c r="M9115" s="33" t="str">
        <f t="shared" si="571"/>
        <v>P&amp;L</v>
      </c>
    </row>
    <row r="9116" spans="1:13">
      <c r="A9116" s="33" t="str">
        <f t="shared" si="568"/>
        <v>SCL - Operating Expense</v>
      </c>
      <c r="B9116" s="33" t="str">
        <f t="shared" si="569"/>
        <v>SCL</v>
      </c>
      <c r="C9116" s="33" t="str">
        <f t="shared" si="570"/>
        <v>63001-7364</v>
      </c>
      <c r="D9116" s="64" t="s">
        <v>10366</v>
      </c>
      <c r="E9116" s="64" t="s">
        <v>3134</v>
      </c>
      <c r="F9116" s="64" t="s">
        <v>15</v>
      </c>
      <c r="G9116" s="64" t="s">
        <v>3035</v>
      </c>
      <c r="H9116" s="64" t="s">
        <v>3022</v>
      </c>
      <c r="I9116" s="64" t="s">
        <v>3036</v>
      </c>
      <c r="J9116" s="67">
        <v>0</v>
      </c>
      <c r="K9116" s="62">
        <v>505</v>
      </c>
      <c r="L9116" s="33" t="e">
        <f>HLOOKUP(B9116,#REF!,1,0)</f>
        <v>#REF!</v>
      </c>
      <c r="M9116" s="33" t="str">
        <f t="shared" si="571"/>
        <v>P&amp;L</v>
      </c>
    </row>
    <row r="9117" spans="1:13">
      <c r="A9117" s="33" t="str">
        <f t="shared" si="568"/>
        <v>SCL - Operating Expense</v>
      </c>
      <c r="B9117" s="33" t="str">
        <f t="shared" si="569"/>
        <v>SCL</v>
      </c>
      <c r="C9117" s="33" t="str">
        <f t="shared" si="570"/>
        <v>63001-7365</v>
      </c>
      <c r="D9117" s="64" t="s">
        <v>10367</v>
      </c>
      <c r="E9117" s="64" t="s">
        <v>3134</v>
      </c>
      <c r="F9117" s="64" t="s">
        <v>15</v>
      </c>
      <c r="G9117" s="64" t="s">
        <v>3035</v>
      </c>
      <c r="H9117" s="64" t="s">
        <v>3022</v>
      </c>
      <c r="I9117" s="64" t="s">
        <v>3036</v>
      </c>
      <c r="J9117" s="67">
        <v>0</v>
      </c>
      <c r="K9117" s="62">
        <v>505</v>
      </c>
      <c r="L9117" s="33" t="e">
        <f>HLOOKUP(B9117,#REF!,1,0)</f>
        <v>#REF!</v>
      </c>
      <c r="M9117" s="33" t="str">
        <f t="shared" si="571"/>
        <v>P&amp;L</v>
      </c>
    </row>
    <row r="9118" spans="1:13">
      <c r="A9118" s="33" t="str">
        <f t="shared" si="568"/>
        <v>SCL - Operating Expense</v>
      </c>
      <c r="B9118" s="33" t="str">
        <f t="shared" si="569"/>
        <v>SCL</v>
      </c>
      <c r="C9118" s="33" t="str">
        <f t="shared" si="570"/>
        <v>63001-7366</v>
      </c>
      <c r="D9118" s="64" t="s">
        <v>10368</v>
      </c>
      <c r="E9118" s="64" t="s">
        <v>3134</v>
      </c>
      <c r="F9118" s="64" t="s">
        <v>15</v>
      </c>
      <c r="G9118" s="64" t="s">
        <v>3035</v>
      </c>
      <c r="H9118" s="64" t="s">
        <v>3022</v>
      </c>
      <c r="I9118" s="64" t="s">
        <v>3036</v>
      </c>
      <c r="J9118" s="67">
        <v>0</v>
      </c>
      <c r="K9118" s="62">
        <v>829.5</v>
      </c>
      <c r="L9118" s="33" t="e">
        <f>HLOOKUP(B9118,#REF!,1,0)</f>
        <v>#REF!</v>
      </c>
      <c r="M9118" s="33" t="str">
        <f t="shared" si="571"/>
        <v>P&amp;L</v>
      </c>
    </row>
    <row r="9119" spans="1:13">
      <c r="A9119" s="33" t="str">
        <f t="shared" si="568"/>
        <v>SCL - Operating Expense</v>
      </c>
      <c r="B9119" s="33" t="str">
        <f t="shared" si="569"/>
        <v>SCL</v>
      </c>
      <c r="C9119" s="33" t="str">
        <f t="shared" si="570"/>
        <v>63001-7368</v>
      </c>
      <c r="D9119" s="64" t="s">
        <v>10369</v>
      </c>
      <c r="E9119" s="64" t="s">
        <v>3134</v>
      </c>
      <c r="F9119" s="64" t="s">
        <v>15</v>
      </c>
      <c r="G9119" s="64" t="s">
        <v>3035</v>
      </c>
      <c r="H9119" s="64" t="s">
        <v>3022</v>
      </c>
      <c r="I9119" s="64" t="s">
        <v>3036</v>
      </c>
      <c r="J9119" s="67">
        <v>324.5</v>
      </c>
      <c r="K9119" s="62">
        <v>2424</v>
      </c>
      <c r="L9119" s="33" t="e">
        <f>HLOOKUP(B9119,#REF!,1,0)</f>
        <v>#REF!</v>
      </c>
      <c r="M9119" s="33" t="str">
        <f t="shared" si="571"/>
        <v>P&amp;L</v>
      </c>
    </row>
    <row r="9120" spans="1:13">
      <c r="A9120" s="33" t="str">
        <f t="shared" si="568"/>
        <v>SCL - Operating Expense</v>
      </c>
      <c r="B9120" s="33" t="str">
        <f t="shared" si="569"/>
        <v>SCL</v>
      </c>
      <c r="C9120" s="33" t="str">
        <f t="shared" si="570"/>
        <v>63001-7369</v>
      </c>
      <c r="D9120" s="64" t="s">
        <v>10370</v>
      </c>
      <c r="E9120" s="64" t="s">
        <v>3134</v>
      </c>
      <c r="F9120" s="64" t="s">
        <v>15</v>
      </c>
      <c r="G9120" s="64" t="s">
        <v>3035</v>
      </c>
      <c r="H9120" s="64" t="s">
        <v>3022</v>
      </c>
      <c r="I9120" s="64" t="s">
        <v>3036</v>
      </c>
      <c r="J9120" s="67">
        <v>329.5</v>
      </c>
      <c r="K9120" s="62">
        <v>1339.5</v>
      </c>
      <c r="L9120" s="33" t="e">
        <f>HLOOKUP(B9120,#REF!,1,0)</f>
        <v>#REF!</v>
      </c>
      <c r="M9120" s="33" t="str">
        <f t="shared" si="571"/>
        <v>P&amp;L</v>
      </c>
    </row>
    <row r="9121" spans="1:13">
      <c r="A9121" s="33" t="str">
        <f t="shared" si="568"/>
        <v>SCL - Operating Expense</v>
      </c>
      <c r="B9121" s="33" t="str">
        <f t="shared" si="569"/>
        <v>SCL</v>
      </c>
      <c r="C9121" s="33" t="str">
        <f t="shared" si="570"/>
        <v>63001-7371</v>
      </c>
      <c r="D9121" s="64" t="s">
        <v>10371</v>
      </c>
      <c r="E9121" s="64" t="s">
        <v>3134</v>
      </c>
      <c r="F9121" s="64" t="s">
        <v>15</v>
      </c>
      <c r="G9121" s="64" t="s">
        <v>3035</v>
      </c>
      <c r="H9121" s="64" t="s">
        <v>3022</v>
      </c>
      <c r="I9121" s="64" t="s">
        <v>3036</v>
      </c>
      <c r="J9121" s="67">
        <v>0</v>
      </c>
      <c r="K9121" s="62">
        <v>834.5</v>
      </c>
      <c r="L9121" s="33" t="e">
        <f>HLOOKUP(B9121,#REF!,1,0)</f>
        <v>#REF!</v>
      </c>
      <c r="M9121" s="33" t="str">
        <f t="shared" si="571"/>
        <v>P&amp;L</v>
      </c>
    </row>
    <row r="9122" spans="1:13">
      <c r="A9122" s="33" t="str">
        <f t="shared" si="568"/>
        <v>SCL - Operating Expense</v>
      </c>
      <c r="B9122" s="33" t="str">
        <f t="shared" si="569"/>
        <v>SCL</v>
      </c>
      <c r="C9122" s="33" t="str">
        <f t="shared" si="570"/>
        <v>63001-7374</v>
      </c>
      <c r="D9122" s="64" t="s">
        <v>10372</v>
      </c>
      <c r="E9122" s="64" t="s">
        <v>3134</v>
      </c>
      <c r="F9122" s="64" t="s">
        <v>15</v>
      </c>
      <c r="G9122" s="64" t="s">
        <v>3035</v>
      </c>
      <c r="H9122" s="64" t="s">
        <v>3022</v>
      </c>
      <c r="I9122" s="64" t="s">
        <v>3036</v>
      </c>
      <c r="J9122" s="67">
        <v>0</v>
      </c>
      <c r="K9122" s="62">
        <v>510</v>
      </c>
      <c r="L9122" s="33" t="e">
        <f>HLOOKUP(B9122,#REF!,1,0)</f>
        <v>#REF!</v>
      </c>
      <c r="M9122" s="33" t="str">
        <f t="shared" si="571"/>
        <v>P&amp;L</v>
      </c>
    </row>
    <row r="9123" spans="1:13">
      <c r="A9123" s="33" t="str">
        <f t="shared" si="568"/>
        <v>SCL - Operating Expense</v>
      </c>
      <c r="B9123" s="33" t="str">
        <f t="shared" si="569"/>
        <v>SCL</v>
      </c>
      <c r="C9123" s="33" t="str">
        <f t="shared" si="570"/>
        <v>63001-7375</v>
      </c>
      <c r="D9123" s="64" t="s">
        <v>10373</v>
      </c>
      <c r="E9123" s="64" t="s">
        <v>3134</v>
      </c>
      <c r="F9123" s="64" t="s">
        <v>15</v>
      </c>
      <c r="G9123" s="64" t="s">
        <v>3035</v>
      </c>
      <c r="H9123" s="64" t="s">
        <v>3022</v>
      </c>
      <c r="I9123" s="64" t="s">
        <v>3036</v>
      </c>
      <c r="J9123" s="67">
        <v>0</v>
      </c>
      <c r="K9123" s="62">
        <v>505</v>
      </c>
      <c r="L9123" s="33" t="e">
        <f>HLOOKUP(B9123,#REF!,1,0)</f>
        <v>#REF!</v>
      </c>
      <c r="M9123" s="33" t="str">
        <f t="shared" si="571"/>
        <v>P&amp;L</v>
      </c>
    </row>
    <row r="9124" spans="1:13">
      <c r="A9124" s="33" t="str">
        <f t="shared" si="568"/>
        <v>SCL - Operating Expense</v>
      </c>
      <c r="B9124" s="33" t="str">
        <f t="shared" si="569"/>
        <v>SCL</v>
      </c>
      <c r="C9124" s="33" t="str">
        <f t="shared" si="570"/>
        <v>63001-7376</v>
      </c>
      <c r="D9124" s="64" t="s">
        <v>10374</v>
      </c>
      <c r="E9124" s="64" t="s">
        <v>3134</v>
      </c>
      <c r="F9124" s="64" t="s">
        <v>15</v>
      </c>
      <c r="G9124" s="64" t="s">
        <v>3035</v>
      </c>
      <c r="H9124" s="64" t="s">
        <v>3022</v>
      </c>
      <c r="I9124" s="64" t="s">
        <v>3036</v>
      </c>
      <c r="J9124" s="67">
        <v>329.5</v>
      </c>
      <c r="K9124" s="62">
        <v>1669</v>
      </c>
      <c r="L9124" s="33" t="e">
        <f>HLOOKUP(B9124,#REF!,1,0)</f>
        <v>#REF!</v>
      </c>
      <c r="M9124" s="33" t="str">
        <f t="shared" si="571"/>
        <v>P&amp;L</v>
      </c>
    </row>
    <row r="9125" spans="1:13">
      <c r="A9125" s="33" t="str">
        <f t="shared" si="568"/>
        <v>SCL - Operating Expense</v>
      </c>
      <c r="B9125" s="33" t="str">
        <f t="shared" si="569"/>
        <v>SCL</v>
      </c>
      <c r="C9125" s="33" t="str">
        <f t="shared" si="570"/>
        <v>63001-7377</v>
      </c>
      <c r="D9125" s="64" t="s">
        <v>10375</v>
      </c>
      <c r="E9125" s="64" t="s">
        <v>3134</v>
      </c>
      <c r="F9125" s="64" t="s">
        <v>15</v>
      </c>
      <c r="G9125" s="64" t="s">
        <v>3035</v>
      </c>
      <c r="H9125" s="64" t="s">
        <v>3022</v>
      </c>
      <c r="I9125" s="64" t="s">
        <v>3036</v>
      </c>
      <c r="J9125" s="67">
        <v>0</v>
      </c>
      <c r="K9125" s="62">
        <v>834.5</v>
      </c>
      <c r="L9125" s="33" t="e">
        <f>HLOOKUP(B9125,#REF!,1,0)</f>
        <v>#REF!</v>
      </c>
      <c r="M9125" s="33" t="str">
        <f t="shared" si="571"/>
        <v>P&amp;L</v>
      </c>
    </row>
    <row r="9126" spans="1:13">
      <c r="A9126" s="33" t="str">
        <f t="shared" si="568"/>
        <v>SCL - Operating Expense</v>
      </c>
      <c r="B9126" s="33" t="str">
        <f t="shared" si="569"/>
        <v>SCL</v>
      </c>
      <c r="C9126" s="33" t="str">
        <f t="shared" si="570"/>
        <v>63001-7378</v>
      </c>
      <c r="D9126" s="64" t="s">
        <v>10376</v>
      </c>
      <c r="E9126" s="64" t="s">
        <v>3134</v>
      </c>
      <c r="F9126" s="64" t="s">
        <v>15</v>
      </c>
      <c r="G9126" s="64" t="s">
        <v>3035</v>
      </c>
      <c r="H9126" s="64" t="s">
        <v>3022</v>
      </c>
      <c r="I9126" s="64" t="s">
        <v>3036</v>
      </c>
      <c r="J9126" s="67">
        <v>329.5</v>
      </c>
      <c r="K9126" s="62">
        <v>584.5</v>
      </c>
      <c r="L9126" s="33" t="e">
        <f>HLOOKUP(B9126,#REF!,1,0)</f>
        <v>#REF!</v>
      </c>
      <c r="M9126" s="33" t="str">
        <f t="shared" si="571"/>
        <v>P&amp;L</v>
      </c>
    </row>
    <row r="9127" spans="1:13">
      <c r="A9127" s="33" t="str">
        <f t="shared" si="568"/>
        <v>SCL - Operating Expense</v>
      </c>
      <c r="B9127" s="33" t="str">
        <f t="shared" si="569"/>
        <v>SCL</v>
      </c>
      <c r="C9127" s="33" t="str">
        <f t="shared" si="570"/>
        <v>63001-7379</v>
      </c>
      <c r="D9127" s="64" t="s">
        <v>10377</v>
      </c>
      <c r="E9127" s="64" t="s">
        <v>3134</v>
      </c>
      <c r="F9127" s="64" t="s">
        <v>15</v>
      </c>
      <c r="G9127" s="64" t="s">
        <v>3035</v>
      </c>
      <c r="H9127" s="64" t="s">
        <v>3022</v>
      </c>
      <c r="I9127" s="64" t="s">
        <v>3036</v>
      </c>
      <c r="J9127" s="67">
        <v>0</v>
      </c>
      <c r="K9127" s="62">
        <v>834.5</v>
      </c>
      <c r="L9127" s="33" t="e">
        <f>HLOOKUP(B9127,#REF!,1,0)</f>
        <v>#REF!</v>
      </c>
      <c r="M9127" s="33" t="str">
        <f t="shared" si="571"/>
        <v>P&amp;L</v>
      </c>
    </row>
    <row r="9128" spans="1:13">
      <c r="A9128" s="33" t="str">
        <f t="shared" si="568"/>
        <v>SCL - Operating Expense</v>
      </c>
      <c r="B9128" s="33" t="str">
        <f t="shared" si="569"/>
        <v>SCL</v>
      </c>
      <c r="C9128" s="33" t="str">
        <f t="shared" si="570"/>
        <v>63001-7380</v>
      </c>
      <c r="D9128" s="64" t="s">
        <v>10378</v>
      </c>
      <c r="E9128" s="64" t="s">
        <v>3134</v>
      </c>
      <c r="F9128" s="64" t="s">
        <v>15</v>
      </c>
      <c r="G9128" s="64" t="s">
        <v>3035</v>
      </c>
      <c r="H9128" s="64" t="s">
        <v>3022</v>
      </c>
      <c r="I9128" s="64" t="s">
        <v>3036</v>
      </c>
      <c r="J9128" s="67">
        <v>0</v>
      </c>
      <c r="K9128" s="62">
        <v>579.5</v>
      </c>
      <c r="L9128" s="33" t="e">
        <f>HLOOKUP(B9128,#REF!,1,0)</f>
        <v>#REF!</v>
      </c>
      <c r="M9128" s="33" t="str">
        <f t="shared" si="571"/>
        <v>P&amp;L</v>
      </c>
    </row>
    <row r="9129" spans="1:13">
      <c r="A9129" s="33" t="str">
        <f t="shared" si="568"/>
        <v>SCL - Operating Expense</v>
      </c>
      <c r="B9129" s="33" t="str">
        <f t="shared" si="569"/>
        <v>SCL</v>
      </c>
      <c r="C9129" s="33" t="str">
        <f t="shared" si="570"/>
        <v>63001-7381</v>
      </c>
      <c r="D9129" s="64" t="s">
        <v>10379</v>
      </c>
      <c r="E9129" s="64" t="s">
        <v>3134</v>
      </c>
      <c r="F9129" s="64" t="s">
        <v>15</v>
      </c>
      <c r="G9129" s="64" t="s">
        <v>3035</v>
      </c>
      <c r="H9129" s="64" t="s">
        <v>3022</v>
      </c>
      <c r="I9129" s="64" t="s">
        <v>3036</v>
      </c>
      <c r="J9129" s="67">
        <v>0</v>
      </c>
      <c r="K9129" s="62">
        <v>255</v>
      </c>
      <c r="L9129" s="33" t="e">
        <f>HLOOKUP(B9129,#REF!,1,0)</f>
        <v>#REF!</v>
      </c>
      <c r="M9129" s="33" t="str">
        <f t="shared" si="571"/>
        <v>P&amp;L</v>
      </c>
    </row>
    <row r="9130" spans="1:13">
      <c r="A9130" s="33" t="str">
        <f t="shared" si="568"/>
        <v>SCL - Operating Expense</v>
      </c>
      <c r="B9130" s="33" t="str">
        <f t="shared" si="569"/>
        <v>SCL</v>
      </c>
      <c r="C9130" s="33" t="str">
        <f t="shared" si="570"/>
        <v>63001-7383</v>
      </c>
      <c r="D9130" s="64" t="s">
        <v>10380</v>
      </c>
      <c r="E9130" s="64" t="s">
        <v>3134</v>
      </c>
      <c r="F9130" s="64" t="s">
        <v>15</v>
      </c>
      <c r="G9130" s="64" t="s">
        <v>3035</v>
      </c>
      <c r="H9130" s="64" t="s">
        <v>3022</v>
      </c>
      <c r="I9130" s="64" t="s">
        <v>3036</v>
      </c>
      <c r="J9130" s="67">
        <v>0</v>
      </c>
      <c r="K9130" s="62">
        <v>834.5</v>
      </c>
      <c r="L9130" s="33" t="e">
        <f>HLOOKUP(B9130,#REF!,1,0)</f>
        <v>#REF!</v>
      </c>
      <c r="M9130" s="33" t="str">
        <f t="shared" si="571"/>
        <v>P&amp;L</v>
      </c>
    </row>
    <row r="9131" spans="1:13">
      <c r="A9131" s="33" t="str">
        <f t="shared" si="568"/>
        <v>SCL - Operating Expense</v>
      </c>
      <c r="B9131" s="33" t="str">
        <f t="shared" si="569"/>
        <v>SCL</v>
      </c>
      <c r="C9131" s="33" t="str">
        <f t="shared" si="570"/>
        <v>63001-7385</v>
      </c>
      <c r="D9131" s="64" t="s">
        <v>10381</v>
      </c>
      <c r="E9131" s="64" t="s">
        <v>3134</v>
      </c>
      <c r="F9131" s="64" t="s">
        <v>15</v>
      </c>
      <c r="G9131" s="64" t="s">
        <v>3035</v>
      </c>
      <c r="H9131" s="64" t="s">
        <v>3022</v>
      </c>
      <c r="I9131" s="64" t="s">
        <v>3036</v>
      </c>
      <c r="J9131" s="67">
        <v>329.5</v>
      </c>
      <c r="K9131" s="62">
        <v>584.5</v>
      </c>
      <c r="L9131" s="33" t="e">
        <f>HLOOKUP(B9131,#REF!,1,0)</f>
        <v>#REF!</v>
      </c>
      <c r="M9131" s="33" t="str">
        <f t="shared" si="571"/>
        <v>P&amp;L</v>
      </c>
    </row>
    <row r="9132" spans="1:13">
      <c r="A9132" s="33" t="str">
        <f t="shared" si="568"/>
        <v>SCL - Operating Expense</v>
      </c>
      <c r="B9132" s="33" t="str">
        <f t="shared" si="569"/>
        <v>SCL</v>
      </c>
      <c r="C9132" s="33" t="str">
        <f t="shared" si="570"/>
        <v>63001-7386</v>
      </c>
      <c r="D9132" s="64" t="s">
        <v>10382</v>
      </c>
      <c r="E9132" s="64" t="s">
        <v>3134</v>
      </c>
      <c r="F9132" s="64" t="s">
        <v>15</v>
      </c>
      <c r="G9132" s="64" t="s">
        <v>3035</v>
      </c>
      <c r="H9132" s="64" t="s">
        <v>3022</v>
      </c>
      <c r="I9132" s="64" t="s">
        <v>3036</v>
      </c>
      <c r="J9132" s="67">
        <v>329.5</v>
      </c>
      <c r="K9132" s="62">
        <v>1090</v>
      </c>
      <c r="L9132" s="33" t="e">
        <f>HLOOKUP(B9132,#REF!,1,0)</f>
        <v>#REF!</v>
      </c>
      <c r="M9132" s="33" t="str">
        <f t="shared" si="571"/>
        <v>P&amp;L</v>
      </c>
    </row>
    <row r="9133" spans="1:13">
      <c r="A9133" s="33" t="str">
        <f t="shared" si="568"/>
        <v>SCL - Operating Expense</v>
      </c>
      <c r="B9133" s="33" t="str">
        <f t="shared" si="569"/>
        <v>SCL</v>
      </c>
      <c r="C9133" s="33" t="str">
        <f t="shared" si="570"/>
        <v>63001-7387</v>
      </c>
      <c r="D9133" s="64" t="s">
        <v>10383</v>
      </c>
      <c r="E9133" s="64" t="s">
        <v>3134</v>
      </c>
      <c r="F9133" s="64" t="s">
        <v>15</v>
      </c>
      <c r="G9133" s="64" t="s">
        <v>3035</v>
      </c>
      <c r="H9133" s="64" t="s">
        <v>3022</v>
      </c>
      <c r="I9133" s="64" t="s">
        <v>3036</v>
      </c>
      <c r="J9133" s="67">
        <v>329.5</v>
      </c>
      <c r="K9133" s="62">
        <v>834.5</v>
      </c>
      <c r="L9133" s="33" t="e">
        <f>HLOOKUP(B9133,#REF!,1,0)</f>
        <v>#REF!</v>
      </c>
      <c r="M9133" s="33" t="str">
        <f t="shared" si="571"/>
        <v>P&amp;L</v>
      </c>
    </row>
    <row r="9134" spans="1:13">
      <c r="A9134" s="33" t="str">
        <f t="shared" si="568"/>
        <v>SCL - Operating Expense</v>
      </c>
      <c r="B9134" s="33" t="str">
        <f t="shared" si="569"/>
        <v>SCL</v>
      </c>
      <c r="C9134" s="33" t="str">
        <f t="shared" si="570"/>
        <v>63001-7389</v>
      </c>
      <c r="D9134" s="64" t="s">
        <v>10384</v>
      </c>
      <c r="E9134" s="64" t="s">
        <v>3134</v>
      </c>
      <c r="F9134" s="64" t="s">
        <v>15</v>
      </c>
      <c r="G9134" s="64" t="s">
        <v>3035</v>
      </c>
      <c r="H9134" s="64" t="s">
        <v>3022</v>
      </c>
      <c r="I9134" s="64" t="s">
        <v>3036</v>
      </c>
      <c r="J9134" s="67">
        <v>329.5</v>
      </c>
      <c r="K9134" s="62">
        <v>1084.5</v>
      </c>
      <c r="L9134" s="33" t="e">
        <f>HLOOKUP(B9134,#REF!,1,0)</f>
        <v>#REF!</v>
      </c>
      <c r="M9134" s="33" t="str">
        <f t="shared" si="571"/>
        <v>P&amp;L</v>
      </c>
    </row>
    <row r="9135" spans="1:13">
      <c r="A9135" s="33" t="str">
        <f t="shared" si="568"/>
        <v>SCL - Operating Expense</v>
      </c>
      <c r="B9135" s="33" t="str">
        <f t="shared" si="569"/>
        <v>SCL</v>
      </c>
      <c r="C9135" s="33" t="str">
        <f t="shared" si="570"/>
        <v>63001-7391</v>
      </c>
      <c r="D9135" s="64" t="s">
        <v>10385</v>
      </c>
      <c r="E9135" s="64" t="s">
        <v>3134</v>
      </c>
      <c r="F9135" s="64" t="s">
        <v>15</v>
      </c>
      <c r="G9135" s="64" t="s">
        <v>3035</v>
      </c>
      <c r="H9135" s="64" t="s">
        <v>3022</v>
      </c>
      <c r="I9135" s="64" t="s">
        <v>3036</v>
      </c>
      <c r="J9135" s="67">
        <v>0</v>
      </c>
      <c r="K9135" s="62">
        <v>584.5</v>
      </c>
      <c r="L9135" s="33" t="e">
        <f>HLOOKUP(B9135,#REF!,1,0)</f>
        <v>#REF!</v>
      </c>
      <c r="M9135" s="33" t="str">
        <f t="shared" si="571"/>
        <v>P&amp;L</v>
      </c>
    </row>
    <row r="9136" spans="1:13">
      <c r="A9136" s="33" t="str">
        <f t="shared" si="568"/>
        <v>SCL - Operating Expense</v>
      </c>
      <c r="B9136" s="33" t="str">
        <f t="shared" si="569"/>
        <v>SCL</v>
      </c>
      <c r="C9136" s="33" t="str">
        <f t="shared" si="570"/>
        <v>63001-7393</v>
      </c>
      <c r="D9136" s="64" t="s">
        <v>10386</v>
      </c>
      <c r="E9136" s="64" t="s">
        <v>3134</v>
      </c>
      <c r="F9136" s="64" t="s">
        <v>15</v>
      </c>
      <c r="G9136" s="64" t="s">
        <v>3035</v>
      </c>
      <c r="H9136" s="64" t="s">
        <v>3022</v>
      </c>
      <c r="I9136" s="64" t="s">
        <v>3036</v>
      </c>
      <c r="J9136" s="67">
        <v>0</v>
      </c>
      <c r="K9136" s="62">
        <v>505</v>
      </c>
      <c r="L9136" s="33" t="e">
        <f>HLOOKUP(B9136,#REF!,1,0)</f>
        <v>#REF!</v>
      </c>
      <c r="M9136" s="33" t="str">
        <f t="shared" si="571"/>
        <v>P&amp;L</v>
      </c>
    </row>
    <row r="9137" spans="1:13">
      <c r="A9137" s="33" t="str">
        <f t="shared" si="568"/>
        <v>SCL - Operating Expense</v>
      </c>
      <c r="B9137" s="33" t="str">
        <f t="shared" si="569"/>
        <v>SCL</v>
      </c>
      <c r="C9137" s="33" t="str">
        <f t="shared" si="570"/>
        <v>63001-7394</v>
      </c>
      <c r="D9137" s="64" t="s">
        <v>10387</v>
      </c>
      <c r="E9137" s="64" t="s">
        <v>3134</v>
      </c>
      <c r="F9137" s="64" t="s">
        <v>15</v>
      </c>
      <c r="G9137" s="64" t="s">
        <v>3035</v>
      </c>
      <c r="H9137" s="64" t="s">
        <v>3022</v>
      </c>
      <c r="I9137" s="64" t="s">
        <v>3036</v>
      </c>
      <c r="J9137" s="67">
        <v>0</v>
      </c>
      <c r="K9137" s="62">
        <v>834.5</v>
      </c>
      <c r="L9137" s="33" t="e">
        <f>HLOOKUP(B9137,#REF!,1,0)</f>
        <v>#REF!</v>
      </c>
      <c r="M9137" s="33" t="str">
        <f t="shared" si="571"/>
        <v>P&amp;L</v>
      </c>
    </row>
    <row r="9138" spans="1:13">
      <c r="A9138" s="33" t="str">
        <f t="shared" si="568"/>
        <v>SCL - Operating Expense</v>
      </c>
      <c r="B9138" s="33" t="str">
        <f t="shared" si="569"/>
        <v>SCL</v>
      </c>
      <c r="C9138" s="33" t="str">
        <f t="shared" si="570"/>
        <v>63001-7396</v>
      </c>
      <c r="D9138" s="64" t="s">
        <v>10388</v>
      </c>
      <c r="E9138" s="64" t="s">
        <v>3134</v>
      </c>
      <c r="F9138" s="64" t="s">
        <v>15</v>
      </c>
      <c r="G9138" s="64" t="s">
        <v>3035</v>
      </c>
      <c r="H9138" s="64" t="s">
        <v>3022</v>
      </c>
      <c r="I9138" s="64" t="s">
        <v>3036</v>
      </c>
      <c r="J9138" s="67">
        <v>329.5</v>
      </c>
      <c r="K9138" s="62">
        <v>834.5</v>
      </c>
      <c r="L9138" s="33" t="e">
        <f>HLOOKUP(B9138,#REF!,1,0)</f>
        <v>#REF!</v>
      </c>
      <c r="M9138" s="33" t="str">
        <f t="shared" si="571"/>
        <v>P&amp;L</v>
      </c>
    </row>
    <row r="9139" spans="1:13">
      <c r="A9139" s="33" t="str">
        <f t="shared" si="568"/>
        <v>SCL - Operating Expense</v>
      </c>
      <c r="B9139" s="33" t="str">
        <f t="shared" si="569"/>
        <v>SCL</v>
      </c>
      <c r="C9139" s="33" t="str">
        <f t="shared" si="570"/>
        <v>63001-7397</v>
      </c>
      <c r="D9139" s="64" t="s">
        <v>10389</v>
      </c>
      <c r="E9139" s="64" t="s">
        <v>3134</v>
      </c>
      <c r="F9139" s="64" t="s">
        <v>15</v>
      </c>
      <c r="G9139" s="64" t="s">
        <v>3035</v>
      </c>
      <c r="H9139" s="64" t="s">
        <v>3022</v>
      </c>
      <c r="I9139" s="64" t="s">
        <v>3036</v>
      </c>
      <c r="J9139" s="67">
        <v>0</v>
      </c>
      <c r="K9139" s="62">
        <v>829.5</v>
      </c>
      <c r="L9139" s="33" t="e">
        <f>HLOOKUP(B9139,#REF!,1,0)</f>
        <v>#REF!</v>
      </c>
      <c r="M9139" s="33" t="str">
        <f t="shared" si="571"/>
        <v>P&amp;L</v>
      </c>
    </row>
    <row r="9140" spans="1:13">
      <c r="A9140" s="33" t="str">
        <f t="shared" si="568"/>
        <v>SCL - Operating Expense</v>
      </c>
      <c r="B9140" s="33" t="str">
        <f t="shared" si="569"/>
        <v>SCL</v>
      </c>
      <c r="C9140" s="33" t="str">
        <f t="shared" si="570"/>
        <v>63001-7398</v>
      </c>
      <c r="D9140" s="64" t="s">
        <v>10390</v>
      </c>
      <c r="E9140" s="64" t="s">
        <v>3134</v>
      </c>
      <c r="F9140" s="64" t="s">
        <v>15</v>
      </c>
      <c r="G9140" s="64" t="s">
        <v>3035</v>
      </c>
      <c r="H9140" s="64" t="s">
        <v>3022</v>
      </c>
      <c r="I9140" s="64" t="s">
        <v>3036</v>
      </c>
      <c r="J9140" s="67">
        <v>0</v>
      </c>
      <c r="K9140" s="62">
        <v>834.5</v>
      </c>
      <c r="L9140" s="33" t="e">
        <f>HLOOKUP(B9140,#REF!,1,0)</f>
        <v>#REF!</v>
      </c>
      <c r="M9140" s="33" t="str">
        <f t="shared" si="571"/>
        <v>P&amp;L</v>
      </c>
    </row>
    <row r="9141" spans="1:13">
      <c r="A9141" s="33" t="str">
        <f t="shared" si="568"/>
        <v>SCL - Operating Expense</v>
      </c>
      <c r="B9141" s="33" t="str">
        <f t="shared" si="569"/>
        <v>SCL</v>
      </c>
      <c r="C9141" s="33" t="str">
        <f t="shared" si="570"/>
        <v>63001-7400</v>
      </c>
      <c r="D9141" s="64" t="s">
        <v>10391</v>
      </c>
      <c r="E9141" s="64" t="s">
        <v>3134</v>
      </c>
      <c r="F9141" s="64" t="s">
        <v>15</v>
      </c>
      <c r="G9141" s="64" t="s">
        <v>3035</v>
      </c>
      <c r="H9141" s="64" t="s">
        <v>3022</v>
      </c>
      <c r="I9141" s="64" t="s">
        <v>3036</v>
      </c>
      <c r="J9141" s="67">
        <v>0</v>
      </c>
      <c r="K9141" s="62">
        <v>834.5</v>
      </c>
      <c r="L9141" s="33" t="e">
        <f>HLOOKUP(B9141,#REF!,1,0)</f>
        <v>#REF!</v>
      </c>
      <c r="M9141" s="33" t="str">
        <f t="shared" si="571"/>
        <v>P&amp;L</v>
      </c>
    </row>
    <row r="9142" spans="1:13">
      <c r="A9142" s="33" t="str">
        <f t="shared" si="568"/>
        <v>SCL - Operating Expense</v>
      </c>
      <c r="B9142" s="33" t="str">
        <f t="shared" si="569"/>
        <v>SCL</v>
      </c>
      <c r="C9142" s="33" t="str">
        <f t="shared" si="570"/>
        <v>63001-7401</v>
      </c>
      <c r="D9142" s="64" t="s">
        <v>10392</v>
      </c>
      <c r="E9142" s="64" t="s">
        <v>3134</v>
      </c>
      <c r="F9142" s="64" t="s">
        <v>15</v>
      </c>
      <c r="G9142" s="64" t="s">
        <v>3035</v>
      </c>
      <c r="H9142" s="64" t="s">
        <v>3022</v>
      </c>
      <c r="I9142" s="64" t="s">
        <v>3036</v>
      </c>
      <c r="J9142" s="67">
        <v>0</v>
      </c>
      <c r="K9142" s="62">
        <v>255</v>
      </c>
      <c r="L9142" s="33" t="e">
        <f>HLOOKUP(B9142,#REF!,1,0)</f>
        <v>#REF!</v>
      </c>
      <c r="M9142" s="33" t="str">
        <f t="shared" si="571"/>
        <v>P&amp;L</v>
      </c>
    </row>
    <row r="9143" spans="1:13">
      <c r="A9143" s="33" t="str">
        <f t="shared" si="568"/>
        <v>SCL - Operating Expense</v>
      </c>
      <c r="B9143" s="33" t="str">
        <f t="shared" si="569"/>
        <v>SCL</v>
      </c>
      <c r="C9143" s="33" t="str">
        <f t="shared" si="570"/>
        <v>63001-7402</v>
      </c>
      <c r="D9143" s="64" t="s">
        <v>10393</v>
      </c>
      <c r="E9143" s="64" t="s">
        <v>3134</v>
      </c>
      <c r="F9143" s="64" t="s">
        <v>15</v>
      </c>
      <c r="G9143" s="64" t="s">
        <v>3035</v>
      </c>
      <c r="H9143" s="64" t="s">
        <v>3022</v>
      </c>
      <c r="I9143" s="64" t="s">
        <v>3036</v>
      </c>
      <c r="J9143" s="67">
        <v>0</v>
      </c>
      <c r="K9143" s="62">
        <v>505</v>
      </c>
      <c r="L9143" s="33" t="e">
        <f>HLOOKUP(B9143,#REF!,1,0)</f>
        <v>#REF!</v>
      </c>
      <c r="M9143" s="33" t="str">
        <f t="shared" si="571"/>
        <v>P&amp;L</v>
      </c>
    </row>
    <row r="9144" spans="1:13">
      <c r="A9144" s="33" t="str">
        <f t="shared" si="568"/>
        <v>SCL - Operating Expense</v>
      </c>
      <c r="B9144" s="33" t="str">
        <f t="shared" si="569"/>
        <v>SCL</v>
      </c>
      <c r="C9144" s="33" t="str">
        <f t="shared" si="570"/>
        <v>63001-7403</v>
      </c>
      <c r="D9144" s="64" t="s">
        <v>10394</v>
      </c>
      <c r="E9144" s="64" t="s">
        <v>3134</v>
      </c>
      <c r="F9144" s="64" t="s">
        <v>15</v>
      </c>
      <c r="G9144" s="64" t="s">
        <v>3035</v>
      </c>
      <c r="H9144" s="64" t="s">
        <v>3022</v>
      </c>
      <c r="I9144" s="64" t="s">
        <v>3036</v>
      </c>
      <c r="J9144" s="67">
        <v>324.5</v>
      </c>
      <c r="K9144" s="62">
        <v>1334.5</v>
      </c>
      <c r="L9144" s="33" t="e">
        <f>HLOOKUP(B9144,#REF!,1,0)</f>
        <v>#REF!</v>
      </c>
      <c r="M9144" s="33" t="str">
        <f t="shared" si="571"/>
        <v>P&amp;L</v>
      </c>
    </row>
    <row r="9145" spans="1:13">
      <c r="A9145" s="33" t="str">
        <f t="shared" si="568"/>
        <v>SCL - Operating Expense</v>
      </c>
      <c r="B9145" s="33" t="str">
        <f t="shared" si="569"/>
        <v>SCL</v>
      </c>
      <c r="C9145" s="33" t="str">
        <f t="shared" si="570"/>
        <v>63001-7489</v>
      </c>
      <c r="D9145" s="64" t="s">
        <v>10395</v>
      </c>
      <c r="E9145" s="64" t="s">
        <v>3134</v>
      </c>
      <c r="F9145" s="64" t="s">
        <v>15</v>
      </c>
      <c r="G9145" s="64" t="s">
        <v>3035</v>
      </c>
      <c r="H9145" s="64" t="s">
        <v>3022</v>
      </c>
      <c r="I9145" s="64" t="s">
        <v>3036</v>
      </c>
      <c r="J9145" s="67">
        <v>0</v>
      </c>
      <c r="K9145" s="62">
        <v>1084.5</v>
      </c>
      <c r="L9145" s="33" t="e">
        <f>HLOOKUP(B9145,#REF!,1,0)</f>
        <v>#REF!</v>
      </c>
      <c r="M9145" s="33" t="str">
        <f t="shared" si="571"/>
        <v>P&amp;L</v>
      </c>
    </row>
    <row r="9146" spans="1:13">
      <c r="A9146" s="33" t="str">
        <f t="shared" si="568"/>
        <v>SCL - Operating Expense</v>
      </c>
      <c r="B9146" s="33" t="str">
        <f t="shared" si="569"/>
        <v>SCL</v>
      </c>
      <c r="C9146" s="33" t="str">
        <f t="shared" si="570"/>
        <v>63001-7491</v>
      </c>
      <c r="D9146" s="64" t="s">
        <v>10396</v>
      </c>
      <c r="E9146" s="64" t="s">
        <v>3134</v>
      </c>
      <c r="F9146" s="64" t="s">
        <v>15</v>
      </c>
      <c r="G9146" s="64" t="s">
        <v>3035</v>
      </c>
      <c r="H9146" s="64" t="s">
        <v>3022</v>
      </c>
      <c r="I9146" s="64" t="s">
        <v>3036</v>
      </c>
      <c r="J9146" s="67">
        <v>0</v>
      </c>
      <c r="K9146" s="62">
        <v>255</v>
      </c>
      <c r="L9146" s="33" t="e">
        <f>HLOOKUP(B9146,#REF!,1,0)</f>
        <v>#REF!</v>
      </c>
      <c r="M9146" s="33" t="str">
        <f t="shared" si="571"/>
        <v>P&amp;L</v>
      </c>
    </row>
    <row r="9147" spans="1:13">
      <c r="A9147" s="33" t="str">
        <f t="shared" si="568"/>
        <v>SCL - Operating Expense</v>
      </c>
      <c r="B9147" s="33" t="str">
        <f t="shared" si="569"/>
        <v>SCL</v>
      </c>
      <c r="C9147" s="33" t="str">
        <f t="shared" si="570"/>
        <v>63001-7492</v>
      </c>
      <c r="D9147" s="64" t="s">
        <v>10397</v>
      </c>
      <c r="E9147" s="64" t="s">
        <v>3134</v>
      </c>
      <c r="F9147" s="64" t="s">
        <v>15</v>
      </c>
      <c r="G9147" s="64" t="s">
        <v>3035</v>
      </c>
      <c r="H9147" s="64" t="s">
        <v>3022</v>
      </c>
      <c r="I9147" s="64" t="s">
        <v>3036</v>
      </c>
      <c r="J9147" s="67">
        <v>329.5</v>
      </c>
      <c r="K9147" s="62">
        <v>579.5</v>
      </c>
      <c r="L9147" s="33" t="e">
        <f>HLOOKUP(B9147,#REF!,1,0)</f>
        <v>#REF!</v>
      </c>
      <c r="M9147" s="33" t="str">
        <f t="shared" si="571"/>
        <v>P&amp;L</v>
      </c>
    </row>
    <row r="9148" spans="1:13">
      <c r="A9148" s="33" t="str">
        <f t="shared" si="568"/>
        <v>SCL - Operating Expense</v>
      </c>
      <c r="B9148" s="33" t="str">
        <f t="shared" si="569"/>
        <v>SCL</v>
      </c>
      <c r="C9148" s="33" t="str">
        <f t="shared" si="570"/>
        <v>63001-7493</v>
      </c>
      <c r="D9148" s="64" t="s">
        <v>10398</v>
      </c>
      <c r="E9148" s="64" t="s">
        <v>3134</v>
      </c>
      <c r="F9148" s="64" t="s">
        <v>15</v>
      </c>
      <c r="G9148" s="64" t="s">
        <v>3035</v>
      </c>
      <c r="H9148" s="64" t="s">
        <v>3022</v>
      </c>
      <c r="I9148" s="64" t="s">
        <v>3036</v>
      </c>
      <c r="J9148" s="67">
        <v>0</v>
      </c>
      <c r="K9148" s="62">
        <v>829.5</v>
      </c>
      <c r="L9148" s="33" t="e">
        <f>HLOOKUP(B9148,#REF!,1,0)</f>
        <v>#REF!</v>
      </c>
      <c r="M9148" s="33" t="str">
        <f t="shared" si="571"/>
        <v>P&amp;L</v>
      </c>
    </row>
    <row r="9149" spans="1:13">
      <c r="A9149" s="33" t="str">
        <f t="shared" si="568"/>
        <v>SCL - Operating Expense</v>
      </c>
      <c r="B9149" s="33" t="str">
        <f t="shared" si="569"/>
        <v>SCL</v>
      </c>
      <c r="C9149" s="33" t="str">
        <f t="shared" si="570"/>
        <v>63001-7494</v>
      </c>
      <c r="D9149" s="64" t="s">
        <v>10399</v>
      </c>
      <c r="E9149" s="64" t="s">
        <v>3134</v>
      </c>
      <c r="F9149" s="64" t="s">
        <v>15</v>
      </c>
      <c r="G9149" s="64" t="s">
        <v>3035</v>
      </c>
      <c r="H9149" s="64" t="s">
        <v>3022</v>
      </c>
      <c r="I9149" s="64" t="s">
        <v>3036</v>
      </c>
      <c r="J9149" s="67">
        <v>329.5</v>
      </c>
      <c r="K9149" s="62">
        <v>839.5</v>
      </c>
      <c r="L9149" s="33" t="e">
        <f>HLOOKUP(B9149,#REF!,1,0)</f>
        <v>#REF!</v>
      </c>
      <c r="M9149" s="33" t="str">
        <f t="shared" si="571"/>
        <v>P&amp;L</v>
      </c>
    </row>
    <row r="9150" spans="1:13">
      <c r="A9150" s="33" t="str">
        <f t="shared" si="568"/>
        <v>SCL - Operating Expense</v>
      </c>
      <c r="B9150" s="33" t="str">
        <f t="shared" si="569"/>
        <v>SCL</v>
      </c>
      <c r="C9150" s="33" t="str">
        <f t="shared" si="570"/>
        <v>63001-7625</v>
      </c>
      <c r="D9150" s="64" t="s">
        <v>10400</v>
      </c>
      <c r="E9150" s="64" t="s">
        <v>3134</v>
      </c>
      <c r="F9150" s="64" t="s">
        <v>15</v>
      </c>
      <c r="G9150" s="64" t="s">
        <v>3035</v>
      </c>
      <c r="H9150" s="64" t="s">
        <v>3022</v>
      </c>
      <c r="I9150" s="64" t="s">
        <v>3036</v>
      </c>
      <c r="J9150" s="67">
        <v>0</v>
      </c>
      <c r="K9150" s="62">
        <v>510</v>
      </c>
      <c r="L9150" s="33" t="e">
        <f>HLOOKUP(B9150,#REF!,1,0)</f>
        <v>#REF!</v>
      </c>
      <c r="M9150" s="33" t="str">
        <f t="shared" si="571"/>
        <v>P&amp;L</v>
      </c>
    </row>
    <row r="9151" spans="1:13">
      <c r="A9151" s="33" t="str">
        <f t="shared" si="568"/>
        <v>SCL - Operating Expense</v>
      </c>
      <c r="B9151" s="33" t="str">
        <f t="shared" si="569"/>
        <v>SCL</v>
      </c>
      <c r="C9151" s="33" t="str">
        <f t="shared" si="570"/>
        <v>63001-8150</v>
      </c>
      <c r="D9151" s="64" t="s">
        <v>10401</v>
      </c>
      <c r="E9151" s="64" t="s">
        <v>3134</v>
      </c>
      <c r="F9151" s="64" t="s">
        <v>15</v>
      </c>
      <c r="G9151" s="64" t="s">
        <v>3035</v>
      </c>
      <c r="H9151" s="64" t="s">
        <v>3022</v>
      </c>
      <c r="I9151" s="64" t="s">
        <v>3036</v>
      </c>
      <c r="J9151" s="67">
        <v>0</v>
      </c>
      <c r="K9151" s="62">
        <v>1005</v>
      </c>
      <c r="L9151" s="33" t="e">
        <f>HLOOKUP(B9151,#REF!,1,0)</f>
        <v>#REF!</v>
      </c>
      <c r="M9151" s="33" t="str">
        <f t="shared" si="571"/>
        <v>P&amp;L</v>
      </c>
    </row>
    <row r="9152" spans="1:13">
      <c r="A9152" s="33" t="str">
        <f t="shared" si="568"/>
        <v>SCL - Operating Expense</v>
      </c>
      <c r="B9152" s="33" t="str">
        <f t="shared" si="569"/>
        <v>SCL</v>
      </c>
      <c r="C9152" s="33" t="str">
        <f t="shared" si="570"/>
        <v>63003-7351</v>
      </c>
      <c r="D9152" s="64" t="s">
        <v>10402</v>
      </c>
      <c r="E9152" s="64" t="s">
        <v>4988</v>
      </c>
      <c r="F9152" s="64" t="s">
        <v>15</v>
      </c>
      <c r="G9152" s="64" t="s">
        <v>3035</v>
      </c>
      <c r="H9152" s="64" t="s">
        <v>3022</v>
      </c>
      <c r="I9152" s="64" t="s">
        <v>3140</v>
      </c>
      <c r="J9152" s="67">
        <v>0</v>
      </c>
      <c r="K9152" s="62">
        <v>280</v>
      </c>
      <c r="L9152" s="33" t="e">
        <f>HLOOKUP(B9152,#REF!,1,0)</f>
        <v>#REF!</v>
      </c>
      <c r="M9152" s="33" t="str">
        <f t="shared" si="571"/>
        <v>P&amp;L</v>
      </c>
    </row>
    <row r="9153" spans="1:13">
      <c r="A9153" s="33" t="str">
        <f t="shared" si="568"/>
        <v>SCL - Operating Expense</v>
      </c>
      <c r="B9153" s="33" t="str">
        <f t="shared" si="569"/>
        <v>SCL</v>
      </c>
      <c r="C9153" s="33" t="str">
        <f t="shared" si="570"/>
        <v>63003-7355</v>
      </c>
      <c r="D9153" s="64" t="s">
        <v>10403</v>
      </c>
      <c r="E9153" s="64" t="s">
        <v>4988</v>
      </c>
      <c r="F9153" s="64" t="s">
        <v>15</v>
      </c>
      <c r="G9153" s="64" t="s">
        <v>3035</v>
      </c>
      <c r="H9153" s="64" t="s">
        <v>3022</v>
      </c>
      <c r="I9153" s="64" t="s">
        <v>3140</v>
      </c>
      <c r="J9153" s="67">
        <v>0</v>
      </c>
      <c r="K9153" s="62">
        <v>2309.67</v>
      </c>
      <c r="L9153" s="33" t="e">
        <f>HLOOKUP(B9153,#REF!,1,0)</f>
        <v>#REF!</v>
      </c>
      <c r="M9153" s="33" t="str">
        <f t="shared" si="571"/>
        <v>P&amp;L</v>
      </c>
    </row>
    <row r="9154" spans="1:13">
      <c r="A9154" s="33" t="str">
        <f t="shared" ref="A9154:A9217" si="572">B9154&amp;" - "&amp;TRIM(H9154)</f>
        <v>SCL - Operating Expense</v>
      </c>
      <c r="B9154" s="33" t="str">
        <f t="shared" ref="B9154:B9217" si="573">LEFT(D9154,3)</f>
        <v>SCL</v>
      </c>
      <c r="C9154" s="33" t="str">
        <f t="shared" ref="C9154:C9217" si="574">RIGHT(D9154,10)</f>
        <v>63003-7356</v>
      </c>
      <c r="D9154" s="64" t="s">
        <v>10404</v>
      </c>
      <c r="E9154" s="64" t="s">
        <v>4988</v>
      </c>
      <c r="F9154" s="64" t="s">
        <v>15</v>
      </c>
      <c r="G9154" s="64" t="s">
        <v>3035</v>
      </c>
      <c r="H9154" s="64" t="s">
        <v>3022</v>
      </c>
      <c r="I9154" s="64" t="s">
        <v>3140</v>
      </c>
      <c r="J9154" s="67">
        <v>0</v>
      </c>
      <c r="K9154" s="62">
        <v>632.5</v>
      </c>
      <c r="L9154" s="33" t="e">
        <f>HLOOKUP(B9154,#REF!,1,0)</f>
        <v>#REF!</v>
      </c>
      <c r="M9154" s="33" t="str">
        <f t="shared" ref="M9154:M9217" si="575">IF(VALUE(LEFT(C9154,5))&gt;40000,"P&amp;L","BS")</f>
        <v>P&amp;L</v>
      </c>
    </row>
    <row r="9155" spans="1:13">
      <c r="A9155" s="33" t="str">
        <f t="shared" si="572"/>
        <v>SCL - Operating Expense</v>
      </c>
      <c r="B9155" s="33" t="str">
        <f t="shared" si="573"/>
        <v>SCL</v>
      </c>
      <c r="C9155" s="33" t="str">
        <f t="shared" si="574"/>
        <v>63003-7359</v>
      </c>
      <c r="D9155" s="64" t="s">
        <v>10405</v>
      </c>
      <c r="E9155" s="64" t="s">
        <v>4988</v>
      </c>
      <c r="F9155" s="64" t="s">
        <v>15</v>
      </c>
      <c r="G9155" s="64" t="s">
        <v>3035</v>
      </c>
      <c r="H9155" s="64" t="s">
        <v>3022</v>
      </c>
      <c r="I9155" s="64" t="s">
        <v>3140</v>
      </c>
      <c r="J9155" s="67">
        <v>0</v>
      </c>
      <c r="K9155" s="62">
        <v>860</v>
      </c>
      <c r="L9155" s="33" t="e">
        <f>HLOOKUP(B9155,#REF!,1,0)</f>
        <v>#REF!</v>
      </c>
      <c r="M9155" s="33" t="str">
        <f t="shared" si="575"/>
        <v>P&amp;L</v>
      </c>
    </row>
    <row r="9156" spans="1:13">
      <c r="A9156" s="33" t="str">
        <f t="shared" si="572"/>
        <v>SCL - Operating Expense</v>
      </c>
      <c r="B9156" s="33" t="str">
        <f t="shared" si="573"/>
        <v>SCL</v>
      </c>
      <c r="C9156" s="33" t="str">
        <f t="shared" si="574"/>
        <v>63003-7360</v>
      </c>
      <c r="D9156" s="64" t="s">
        <v>10406</v>
      </c>
      <c r="E9156" s="64" t="s">
        <v>4988</v>
      </c>
      <c r="F9156" s="64" t="s">
        <v>15</v>
      </c>
      <c r="G9156" s="64" t="s">
        <v>3035</v>
      </c>
      <c r="H9156" s="64" t="s">
        <v>3022</v>
      </c>
      <c r="I9156" s="64" t="s">
        <v>3140</v>
      </c>
      <c r="J9156" s="67">
        <v>0</v>
      </c>
      <c r="K9156" s="62">
        <v>1926.51</v>
      </c>
      <c r="L9156" s="33" t="e">
        <f>HLOOKUP(B9156,#REF!,1,0)</f>
        <v>#REF!</v>
      </c>
      <c r="M9156" s="33" t="str">
        <f t="shared" si="575"/>
        <v>P&amp;L</v>
      </c>
    </row>
    <row r="9157" spans="1:13">
      <c r="A9157" s="33" t="str">
        <f t="shared" si="572"/>
        <v>SCL - Operating Expense</v>
      </c>
      <c r="B9157" s="33" t="str">
        <f t="shared" si="573"/>
        <v>SCL</v>
      </c>
      <c r="C9157" s="33" t="str">
        <f t="shared" si="574"/>
        <v>63003-7361</v>
      </c>
      <c r="D9157" s="64" t="s">
        <v>10407</v>
      </c>
      <c r="E9157" s="64" t="s">
        <v>4988</v>
      </c>
      <c r="F9157" s="64" t="s">
        <v>15</v>
      </c>
      <c r="G9157" s="64" t="s">
        <v>3035</v>
      </c>
      <c r="H9157" s="64" t="s">
        <v>3022</v>
      </c>
      <c r="I9157" s="64" t="s">
        <v>3140</v>
      </c>
      <c r="J9157" s="67">
        <v>1935.85</v>
      </c>
      <c r="K9157" s="62">
        <v>3767.45</v>
      </c>
      <c r="L9157" s="33" t="e">
        <f>HLOOKUP(B9157,#REF!,1,0)</f>
        <v>#REF!</v>
      </c>
      <c r="M9157" s="33" t="str">
        <f t="shared" si="575"/>
        <v>P&amp;L</v>
      </c>
    </row>
    <row r="9158" spans="1:13">
      <c r="A9158" s="33" t="str">
        <f t="shared" si="572"/>
        <v>SCL - Operating Expense</v>
      </c>
      <c r="B9158" s="33" t="str">
        <f t="shared" si="573"/>
        <v>SCL</v>
      </c>
      <c r="C9158" s="33" t="str">
        <f t="shared" si="574"/>
        <v>63003-7362</v>
      </c>
      <c r="D9158" s="64" t="s">
        <v>10408</v>
      </c>
      <c r="E9158" s="64" t="s">
        <v>4988</v>
      </c>
      <c r="F9158" s="64" t="s">
        <v>15</v>
      </c>
      <c r="G9158" s="64" t="s">
        <v>3035</v>
      </c>
      <c r="H9158" s="64" t="s">
        <v>3022</v>
      </c>
      <c r="I9158" s="64" t="s">
        <v>3140</v>
      </c>
      <c r="J9158" s="67">
        <v>1903.75</v>
      </c>
      <c r="K9158" s="62">
        <v>2454.76</v>
      </c>
      <c r="L9158" s="33" t="e">
        <f>HLOOKUP(B9158,#REF!,1,0)</f>
        <v>#REF!</v>
      </c>
      <c r="M9158" s="33" t="str">
        <f t="shared" si="575"/>
        <v>P&amp;L</v>
      </c>
    </row>
    <row r="9159" spans="1:13">
      <c r="A9159" s="33" t="str">
        <f t="shared" si="572"/>
        <v>SCL - Operating Expense</v>
      </c>
      <c r="B9159" s="33" t="str">
        <f t="shared" si="573"/>
        <v>SCL</v>
      </c>
      <c r="C9159" s="33" t="str">
        <f t="shared" si="574"/>
        <v>63003-7363</v>
      </c>
      <c r="D9159" s="64" t="s">
        <v>10409</v>
      </c>
      <c r="E9159" s="64" t="s">
        <v>4988</v>
      </c>
      <c r="F9159" s="64" t="s">
        <v>15</v>
      </c>
      <c r="G9159" s="64" t="s">
        <v>3035</v>
      </c>
      <c r="H9159" s="64" t="s">
        <v>3022</v>
      </c>
      <c r="I9159" s="64" t="s">
        <v>3140</v>
      </c>
      <c r="J9159" s="67">
        <v>0</v>
      </c>
      <c r="K9159" s="62">
        <v>1766.5</v>
      </c>
      <c r="L9159" s="33" t="e">
        <f>HLOOKUP(B9159,#REF!,1,0)</f>
        <v>#REF!</v>
      </c>
      <c r="M9159" s="33" t="str">
        <f t="shared" si="575"/>
        <v>P&amp;L</v>
      </c>
    </row>
    <row r="9160" spans="1:13">
      <c r="A9160" s="33" t="str">
        <f t="shared" si="572"/>
        <v>SCL - Operating Expense</v>
      </c>
      <c r="B9160" s="33" t="str">
        <f t="shared" si="573"/>
        <v>SCL</v>
      </c>
      <c r="C9160" s="33" t="str">
        <f t="shared" si="574"/>
        <v>63003-7369</v>
      </c>
      <c r="D9160" s="64" t="s">
        <v>10410</v>
      </c>
      <c r="E9160" s="64" t="s">
        <v>4988</v>
      </c>
      <c r="F9160" s="64" t="s">
        <v>15</v>
      </c>
      <c r="G9160" s="64" t="s">
        <v>3035</v>
      </c>
      <c r="H9160" s="64" t="s">
        <v>3022</v>
      </c>
      <c r="I9160" s="64" t="s">
        <v>3140</v>
      </c>
      <c r="J9160" s="67">
        <v>0</v>
      </c>
      <c r="K9160" s="62">
        <v>984.76</v>
      </c>
      <c r="L9160" s="33" t="e">
        <f>HLOOKUP(B9160,#REF!,1,0)</f>
        <v>#REF!</v>
      </c>
      <c r="M9160" s="33" t="str">
        <f t="shared" si="575"/>
        <v>P&amp;L</v>
      </c>
    </row>
    <row r="9161" spans="1:13">
      <c r="A9161" s="33" t="str">
        <f t="shared" si="572"/>
        <v>SCL - Operating Expense</v>
      </c>
      <c r="B9161" s="33" t="str">
        <f t="shared" si="573"/>
        <v>SCL</v>
      </c>
      <c r="C9161" s="33" t="str">
        <f t="shared" si="574"/>
        <v>63003-7376</v>
      </c>
      <c r="D9161" s="64" t="s">
        <v>10411</v>
      </c>
      <c r="E9161" s="64" t="s">
        <v>4988</v>
      </c>
      <c r="F9161" s="64" t="s">
        <v>15</v>
      </c>
      <c r="G9161" s="64" t="s">
        <v>3035</v>
      </c>
      <c r="H9161" s="64" t="s">
        <v>3022</v>
      </c>
      <c r="I9161" s="64" t="s">
        <v>3140</v>
      </c>
      <c r="J9161" s="67">
        <v>0</v>
      </c>
      <c r="K9161" s="62">
        <v>3795.35</v>
      </c>
      <c r="L9161" s="33" t="e">
        <f>HLOOKUP(B9161,#REF!,1,0)</f>
        <v>#REF!</v>
      </c>
      <c r="M9161" s="33" t="str">
        <f t="shared" si="575"/>
        <v>P&amp;L</v>
      </c>
    </row>
    <row r="9162" spans="1:13">
      <c r="A9162" s="33" t="str">
        <f t="shared" si="572"/>
        <v>SCL - Operating Expense</v>
      </c>
      <c r="B9162" s="33" t="str">
        <f t="shared" si="573"/>
        <v>SCL</v>
      </c>
      <c r="C9162" s="33" t="str">
        <f t="shared" si="574"/>
        <v>63003-7377</v>
      </c>
      <c r="D9162" s="64" t="s">
        <v>10412</v>
      </c>
      <c r="E9162" s="64" t="s">
        <v>4988</v>
      </c>
      <c r="F9162" s="64" t="s">
        <v>15</v>
      </c>
      <c r="G9162" s="64" t="s">
        <v>3035</v>
      </c>
      <c r="H9162" s="64" t="s">
        <v>3022</v>
      </c>
      <c r="I9162" s="64" t="s">
        <v>3140</v>
      </c>
      <c r="J9162" s="67">
        <v>0</v>
      </c>
      <c r="K9162" s="62">
        <v>2703.91</v>
      </c>
      <c r="L9162" s="33" t="e">
        <f>HLOOKUP(B9162,#REF!,1,0)</f>
        <v>#REF!</v>
      </c>
      <c r="M9162" s="33" t="str">
        <f t="shared" si="575"/>
        <v>P&amp;L</v>
      </c>
    </row>
    <row r="9163" spans="1:13">
      <c r="A9163" s="33" t="str">
        <f t="shared" si="572"/>
        <v>SCL - Operating Expense</v>
      </c>
      <c r="B9163" s="33" t="str">
        <f t="shared" si="573"/>
        <v>SCL</v>
      </c>
      <c r="C9163" s="33" t="str">
        <f t="shared" si="574"/>
        <v>63003-7381</v>
      </c>
      <c r="D9163" s="64" t="s">
        <v>10413</v>
      </c>
      <c r="E9163" s="64" t="s">
        <v>4988</v>
      </c>
      <c r="F9163" s="64" t="s">
        <v>15</v>
      </c>
      <c r="G9163" s="64" t="s">
        <v>3035</v>
      </c>
      <c r="H9163" s="64" t="s">
        <v>3022</v>
      </c>
      <c r="I9163" s="64" t="s">
        <v>3140</v>
      </c>
      <c r="J9163" s="67">
        <v>0</v>
      </c>
      <c r="K9163" s="62">
        <v>733.11</v>
      </c>
      <c r="L9163" s="33" t="e">
        <f>HLOOKUP(B9163,#REF!,1,0)</f>
        <v>#REF!</v>
      </c>
      <c r="M9163" s="33" t="str">
        <f t="shared" si="575"/>
        <v>P&amp;L</v>
      </c>
    </row>
    <row r="9164" spans="1:13">
      <c r="A9164" s="33" t="str">
        <f t="shared" si="572"/>
        <v>SCL - Operating Expense</v>
      </c>
      <c r="B9164" s="33" t="str">
        <f t="shared" si="573"/>
        <v>SCL</v>
      </c>
      <c r="C9164" s="33" t="str">
        <f t="shared" si="574"/>
        <v>63003-7396</v>
      </c>
      <c r="D9164" s="64" t="s">
        <v>10414</v>
      </c>
      <c r="E9164" s="64" t="s">
        <v>4988</v>
      </c>
      <c r="F9164" s="64" t="s">
        <v>15</v>
      </c>
      <c r="G9164" s="64" t="s">
        <v>3035</v>
      </c>
      <c r="H9164" s="64" t="s">
        <v>3022</v>
      </c>
      <c r="I9164" s="64" t="s">
        <v>3140</v>
      </c>
      <c r="J9164" s="67">
        <v>0</v>
      </c>
      <c r="K9164" s="62">
        <v>617.7</v>
      </c>
      <c r="L9164" s="33" t="e">
        <f>HLOOKUP(B9164,#REF!,1,0)</f>
        <v>#REF!</v>
      </c>
      <c r="M9164" s="33" t="str">
        <f t="shared" si="575"/>
        <v>P&amp;L</v>
      </c>
    </row>
    <row r="9165" spans="1:13">
      <c r="A9165" s="33" t="str">
        <f t="shared" si="572"/>
        <v>SCL - Operating Expense</v>
      </c>
      <c r="B9165" s="33" t="str">
        <f t="shared" si="573"/>
        <v>SCL</v>
      </c>
      <c r="C9165" s="33" t="str">
        <f t="shared" si="574"/>
        <v>63003-7397</v>
      </c>
      <c r="D9165" s="64" t="s">
        <v>10415</v>
      </c>
      <c r="E9165" s="64" t="s">
        <v>4988</v>
      </c>
      <c r="F9165" s="64" t="s">
        <v>15</v>
      </c>
      <c r="G9165" s="64" t="s">
        <v>3035</v>
      </c>
      <c r="H9165" s="64" t="s">
        <v>3022</v>
      </c>
      <c r="I9165" s="64" t="s">
        <v>3140</v>
      </c>
      <c r="J9165" s="67">
        <v>0</v>
      </c>
      <c r="K9165" s="62">
        <v>692.55</v>
      </c>
      <c r="L9165" s="33" t="e">
        <f>HLOOKUP(B9165,#REF!,1,0)</f>
        <v>#REF!</v>
      </c>
      <c r="M9165" s="33" t="str">
        <f t="shared" si="575"/>
        <v>P&amp;L</v>
      </c>
    </row>
    <row r="9166" spans="1:13">
      <c r="A9166" s="33" t="str">
        <f t="shared" si="572"/>
        <v>SCL - Operating Expense</v>
      </c>
      <c r="B9166" s="33" t="str">
        <f t="shared" si="573"/>
        <v>SCL</v>
      </c>
      <c r="C9166" s="33" t="str">
        <f t="shared" si="574"/>
        <v>63003-7398</v>
      </c>
      <c r="D9166" s="64" t="s">
        <v>10416</v>
      </c>
      <c r="E9166" s="64" t="s">
        <v>4988</v>
      </c>
      <c r="F9166" s="64" t="s">
        <v>15</v>
      </c>
      <c r="G9166" s="64" t="s">
        <v>3035</v>
      </c>
      <c r="H9166" s="64" t="s">
        <v>3022</v>
      </c>
      <c r="I9166" s="64" t="s">
        <v>3140</v>
      </c>
      <c r="J9166" s="67">
        <v>0</v>
      </c>
      <c r="K9166" s="62">
        <v>230</v>
      </c>
      <c r="L9166" s="33" t="e">
        <f>HLOOKUP(B9166,#REF!,1,0)</f>
        <v>#REF!</v>
      </c>
      <c r="M9166" s="33" t="str">
        <f t="shared" si="575"/>
        <v>P&amp;L</v>
      </c>
    </row>
    <row r="9167" spans="1:13">
      <c r="A9167" s="33" t="str">
        <f t="shared" si="572"/>
        <v>SCL - Operating Expense</v>
      </c>
      <c r="B9167" s="33" t="str">
        <f t="shared" si="573"/>
        <v>SCL</v>
      </c>
      <c r="C9167" s="33" t="str">
        <f t="shared" si="574"/>
        <v>63003-7402</v>
      </c>
      <c r="D9167" s="64" t="s">
        <v>10417</v>
      </c>
      <c r="E9167" s="64" t="s">
        <v>4988</v>
      </c>
      <c r="F9167" s="64" t="s">
        <v>15</v>
      </c>
      <c r="G9167" s="64" t="s">
        <v>3035</v>
      </c>
      <c r="H9167" s="64" t="s">
        <v>3022</v>
      </c>
      <c r="I9167" s="64" t="s">
        <v>3140</v>
      </c>
      <c r="J9167" s="67">
        <v>0</v>
      </c>
      <c r="K9167" s="62">
        <v>1432.94</v>
      </c>
      <c r="L9167" s="33" t="e">
        <f>HLOOKUP(B9167,#REF!,1,0)</f>
        <v>#REF!</v>
      </c>
      <c r="M9167" s="33" t="str">
        <f t="shared" si="575"/>
        <v>P&amp;L</v>
      </c>
    </row>
    <row r="9168" spans="1:13">
      <c r="A9168" s="33" t="str">
        <f t="shared" si="572"/>
        <v>SCL - Operating Expense</v>
      </c>
      <c r="B9168" s="33" t="str">
        <f t="shared" si="573"/>
        <v>SCL</v>
      </c>
      <c r="C9168" s="33" t="str">
        <f t="shared" si="574"/>
        <v>63003-7489</v>
      </c>
      <c r="D9168" s="64" t="s">
        <v>10418</v>
      </c>
      <c r="E9168" s="64" t="s">
        <v>4988</v>
      </c>
      <c r="F9168" s="64" t="s">
        <v>15</v>
      </c>
      <c r="G9168" s="64" t="s">
        <v>3035</v>
      </c>
      <c r="H9168" s="64" t="s">
        <v>3022</v>
      </c>
      <c r="I9168" s="64" t="s">
        <v>3140</v>
      </c>
      <c r="J9168" s="67">
        <v>663.25</v>
      </c>
      <c r="K9168" s="62">
        <v>1382.37</v>
      </c>
      <c r="L9168" s="33" t="e">
        <f>HLOOKUP(B9168,#REF!,1,0)</f>
        <v>#REF!</v>
      </c>
      <c r="M9168" s="33" t="str">
        <f t="shared" si="575"/>
        <v>P&amp;L</v>
      </c>
    </row>
    <row r="9169" spans="1:13">
      <c r="A9169" s="33" t="str">
        <f t="shared" si="572"/>
        <v>SCL - Operating Expense</v>
      </c>
      <c r="B9169" s="33" t="str">
        <f t="shared" si="573"/>
        <v>SCL</v>
      </c>
      <c r="C9169" s="33" t="str">
        <f t="shared" si="574"/>
        <v>63004-0000</v>
      </c>
      <c r="D9169" s="64" t="s">
        <v>10419</v>
      </c>
      <c r="E9169" s="64" t="s">
        <v>3139</v>
      </c>
      <c r="F9169" s="64" t="s">
        <v>15</v>
      </c>
      <c r="G9169" s="64" t="s">
        <v>3035</v>
      </c>
      <c r="H9169" s="64" t="s">
        <v>3022</v>
      </c>
      <c r="I9169" s="64" t="s">
        <v>3140</v>
      </c>
      <c r="J9169" s="67">
        <v>0</v>
      </c>
      <c r="K9169" s="62">
        <v>0</v>
      </c>
      <c r="L9169" s="33" t="e">
        <f>HLOOKUP(B9169,#REF!,1,0)</f>
        <v>#REF!</v>
      </c>
      <c r="M9169" s="33" t="str">
        <f t="shared" si="575"/>
        <v>P&amp;L</v>
      </c>
    </row>
    <row r="9170" spans="1:13">
      <c r="A9170" s="33" t="str">
        <f t="shared" si="572"/>
        <v>SCL - Operating Expense</v>
      </c>
      <c r="B9170" s="33" t="str">
        <f t="shared" si="573"/>
        <v>SCL</v>
      </c>
      <c r="C9170" s="33" t="str">
        <f t="shared" si="574"/>
        <v>63004-7351</v>
      </c>
      <c r="D9170" s="64" t="s">
        <v>10420</v>
      </c>
      <c r="E9170" s="64" t="s">
        <v>3139</v>
      </c>
      <c r="F9170" s="64" t="s">
        <v>15</v>
      </c>
      <c r="G9170" s="64" t="s">
        <v>3035</v>
      </c>
      <c r="H9170" s="64" t="s">
        <v>3022</v>
      </c>
      <c r="I9170" s="64" t="s">
        <v>3140</v>
      </c>
      <c r="J9170" s="67">
        <v>235</v>
      </c>
      <c r="K9170" s="62">
        <v>2350</v>
      </c>
      <c r="L9170" s="33" t="e">
        <f>HLOOKUP(B9170,#REF!,1,0)</f>
        <v>#REF!</v>
      </c>
      <c r="M9170" s="33" t="str">
        <f t="shared" si="575"/>
        <v>P&amp;L</v>
      </c>
    </row>
    <row r="9171" spans="1:13">
      <c r="A9171" s="33" t="str">
        <f t="shared" si="572"/>
        <v>SCL - Operating Expense</v>
      </c>
      <c r="B9171" s="33" t="str">
        <f t="shared" si="573"/>
        <v>SCL</v>
      </c>
      <c r="C9171" s="33" t="str">
        <f t="shared" si="574"/>
        <v>63004-7352</v>
      </c>
      <c r="D9171" s="64" t="s">
        <v>10421</v>
      </c>
      <c r="E9171" s="64" t="s">
        <v>3139</v>
      </c>
      <c r="F9171" s="64" t="s">
        <v>15</v>
      </c>
      <c r="G9171" s="64" t="s">
        <v>3035</v>
      </c>
      <c r="H9171" s="64" t="s">
        <v>3022</v>
      </c>
      <c r="I9171" s="64" t="s">
        <v>3140</v>
      </c>
      <c r="J9171" s="67">
        <v>190</v>
      </c>
      <c r="K9171" s="62">
        <v>1820</v>
      </c>
      <c r="L9171" s="33" t="e">
        <f>HLOOKUP(B9171,#REF!,1,0)</f>
        <v>#REF!</v>
      </c>
      <c r="M9171" s="33" t="str">
        <f t="shared" si="575"/>
        <v>P&amp;L</v>
      </c>
    </row>
    <row r="9172" spans="1:13">
      <c r="A9172" s="33" t="str">
        <f t="shared" si="572"/>
        <v>SCL - Operating Expense</v>
      </c>
      <c r="B9172" s="33" t="str">
        <f t="shared" si="573"/>
        <v>SCL</v>
      </c>
      <c r="C9172" s="33" t="str">
        <f t="shared" si="574"/>
        <v>63004-7356</v>
      </c>
      <c r="D9172" s="64" t="s">
        <v>10422</v>
      </c>
      <c r="E9172" s="64" t="s">
        <v>3139</v>
      </c>
      <c r="F9172" s="64" t="s">
        <v>15</v>
      </c>
      <c r="G9172" s="64" t="s">
        <v>3035</v>
      </c>
      <c r="H9172" s="64" t="s">
        <v>3022</v>
      </c>
      <c r="I9172" s="64" t="s">
        <v>3140</v>
      </c>
      <c r="J9172" s="67">
        <v>0</v>
      </c>
      <c r="K9172" s="62">
        <v>190</v>
      </c>
      <c r="L9172" s="33" t="e">
        <f>HLOOKUP(B9172,#REF!,1,0)</f>
        <v>#REF!</v>
      </c>
      <c r="M9172" s="33" t="str">
        <f t="shared" si="575"/>
        <v>P&amp;L</v>
      </c>
    </row>
    <row r="9173" spans="1:13">
      <c r="A9173" s="33" t="str">
        <f t="shared" si="572"/>
        <v>SCL - Operating Expense</v>
      </c>
      <c r="B9173" s="33" t="str">
        <f t="shared" si="573"/>
        <v>SCL</v>
      </c>
      <c r="C9173" s="33" t="str">
        <f t="shared" si="574"/>
        <v>63004-7359</v>
      </c>
      <c r="D9173" s="64" t="s">
        <v>10423</v>
      </c>
      <c r="E9173" s="64" t="s">
        <v>3139</v>
      </c>
      <c r="F9173" s="64" t="s">
        <v>15</v>
      </c>
      <c r="G9173" s="64" t="s">
        <v>3035</v>
      </c>
      <c r="H9173" s="64" t="s">
        <v>3022</v>
      </c>
      <c r="I9173" s="64" t="s">
        <v>3140</v>
      </c>
      <c r="J9173" s="67">
        <v>235</v>
      </c>
      <c r="K9173" s="62">
        <v>2600</v>
      </c>
      <c r="L9173" s="33" t="e">
        <f>HLOOKUP(B9173,#REF!,1,0)</f>
        <v>#REF!</v>
      </c>
      <c r="M9173" s="33" t="str">
        <f t="shared" si="575"/>
        <v>P&amp;L</v>
      </c>
    </row>
    <row r="9174" spans="1:13">
      <c r="A9174" s="33" t="str">
        <f t="shared" si="572"/>
        <v>SCL - Operating Expense</v>
      </c>
      <c r="B9174" s="33" t="str">
        <f t="shared" si="573"/>
        <v>SCL</v>
      </c>
      <c r="C9174" s="33" t="str">
        <f t="shared" si="574"/>
        <v>63004-7360</v>
      </c>
      <c r="D9174" s="64" t="s">
        <v>10424</v>
      </c>
      <c r="E9174" s="64" t="s">
        <v>3139</v>
      </c>
      <c r="F9174" s="64" t="s">
        <v>15</v>
      </c>
      <c r="G9174" s="64" t="s">
        <v>3035</v>
      </c>
      <c r="H9174" s="64" t="s">
        <v>3022</v>
      </c>
      <c r="I9174" s="64" t="s">
        <v>3140</v>
      </c>
      <c r="J9174" s="67">
        <v>190</v>
      </c>
      <c r="K9174" s="62">
        <v>1860</v>
      </c>
      <c r="L9174" s="33" t="e">
        <f>HLOOKUP(B9174,#REF!,1,0)</f>
        <v>#REF!</v>
      </c>
      <c r="M9174" s="33" t="str">
        <f t="shared" si="575"/>
        <v>P&amp;L</v>
      </c>
    </row>
    <row r="9175" spans="1:13">
      <c r="A9175" s="33" t="str">
        <f t="shared" si="572"/>
        <v>SCL - Operating Expense</v>
      </c>
      <c r="B9175" s="33" t="str">
        <f t="shared" si="573"/>
        <v>SCL</v>
      </c>
      <c r="C9175" s="33" t="str">
        <f t="shared" si="574"/>
        <v>63004-7361</v>
      </c>
      <c r="D9175" s="64" t="s">
        <v>10425</v>
      </c>
      <c r="E9175" s="64" t="s">
        <v>3139</v>
      </c>
      <c r="F9175" s="64" t="s">
        <v>15</v>
      </c>
      <c r="G9175" s="64" t="s">
        <v>3035</v>
      </c>
      <c r="H9175" s="64" t="s">
        <v>3022</v>
      </c>
      <c r="I9175" s="64" t="s">
        <v>3140</v>
      </c>
      <c r="J9175" s="67">
        <v>190</v>
      </c>
      <c r="K9175" s="62">
        <v>1705</v>
      </c>
      <c r="L9175" s="33" t="e">
        <f>HLOOKUP(B9175,#REF!,1,0)</f>
        <v>#REF!</v>
      </c>
      <c r="M9175" s="33" t="str">
        <f t="shared" si="575"/>
        <v>P&amp;L</v>
      </c>
    </row>
    <row r="9176" spans="1:13">
      <c r="A9176" s="33" t="str">
        <f t="shared" si="572"/>
        <v>SCL - Operating Expense</v>
      </c>
      <c r="B9176" s="33" t="str">
        <f t="shared" si="573"/>
        <v>SCL</v>
      </c>
      <c r="C9176" s="33" t="str">
        <f t="shared" si="574"/>
        <v>63004-7362</v>
      </c>
      <c r="D9176" s="64" t="s">
        <v>10426</v>
      </c>
      <c r="E9176" s="64" t="s">
        <v>3139</v>
      </c>
      <c r="F9176" s="64" t="s">
        <v>15</v>
      </c>
      <c r="G9176" s="64" t="s">
        <v>3035</v>
      </c>
      <c r="H9176" s="64" t="s">
        <v>3022</v>
      </c>
      <c r="I9176" s="64" t="s">
        <v>3140</v>
      </c>
      <c r="J9176" s="67">
        <v>190</v>
      </c>
      <c r="K9176" s="62">
        <v>2203</v>
      </c>
      <c r="L9176" s="33" t="e">
        <f>HLOOKUP(B9176,#REF!,1,0)</f>
        <v>#REF!</v>
      </c>
      <c r="M9176" s="33" t="str">
        <f t="shared" si="575"/>
        <v>P&amp;L</v>
      </c>
    </row>
    <row r="9177" spans="1:13">
      <c r="A9177" s="33" t="str">
        <f t="shared" si="572"/>
        <v>SCL - Operating Expense</v>
      </c>
      <c r="B9177" s="33" t="str">
        <f t="shared" si="573"/>
        <v>SCL</v>
      </c>
      <c r="C9177" s="33" t="str">
        <f t="shared" si="574"/>
        <v>63004-7363</v>
      </c>
      <c r="D9177" s="64" t="s">
        <v>10427</v>
      </c>
      <c r="E9177" s="64" t="s">
        <v>3139</v>
      </c>
      <c r="F9177" s="64" t="s">
        <v>15</v>
      </c>
      <c r="G9177" s="64" t="s">
        <v>3035</v>
      </c>
      <c r="H9177" s="64" t="s">
        <v>3022</v>
      </c>
      <c r="I9177" s="64" t="s">
        <v>3140</v>
      </c>
      <c r="J9177" s="67">
        <v>150</v>
      </c>
      <c r="K9177" s="62">
        <v>1660</v>
      </c>
      <c r="L9177" s="33" t="e">
        <f>HLOOKUP(B9177,#REF!,1,0)</f>
        <v>#REF!</v>
      </c>
      <c r="M9177" s="33" t="str">
        <f t="shared" si="575"/>
        <v>P&amp;L</v>
      </c>
    </row>
    <row r="9178" spans="1:13">
      <c r="A9178" s="33" t="str">
        <f t="shared" si="572"/>
        <v>SCL - Operating Expense</v>
      </c>
      <c r="B9178" s="33" t="str">
        <f t="shared" si="573"/>
        <v>SCL</v>
      </c>
      <c r="C9178" s="33" t="str">
        <f t="shared" si="574"/>
        <v>63004-7365</v>
      </c>
      <c r="D9178" s="64" t="s">
        <v>10428</v>
      </c>
      <c r="E9178" s="64" t="s">
        <v>3139</v>
      </c>
      <c r="F9178" s="64" t="s">
        <v>15</v>
      </c>
      <c r="G9178" s="64" t="s">
        <v>3035</v>
      </c>
      <c r="H9178" s="64" t="s">
        <v>3022</v>
      </c>
      <c r="I9178" s="64" t="s">
        <v>3140</v>
      </c>
      <c r="J9178" s="67">
        <v>235</v>
      </c>
      <c r="K9178" s="62">
        <v>2170</v>
      </c>
      <c r="L9178" s="33" t="e">
        <f>HLOOKUP(B9178,#REF!,1,0)</f>
        <v>#REF!</v>
      </c>
      <c r="M9178" s="33" t="str">
        <f t="shared" si="575"/>
        <v>P&amp;L</v>
      </c>
    </row>
    <row r="9179" spans="1:13">
      <c r="A9179" s="33" t="str">
        <f t="shared" si="572"/>
        <v>SCL - Operating Expense</v>
      </c>
      <c r="B9179" s="33" t="str">
        <f t="shared" si="573"/>
        <v>SCL</v>
      </c>
      <c r="C9179" s="33" t="str">
        <f t="shared" si="574"/>
        <v>63004-7369</v>
      </c>
      <c r="D9179" s="64" t="s">
        <v>10429</v>
      </c>
      <c r="E9179" s="64" t="s">
        <v>3139</v>
      </c>
      <c r="F9179" s="64" t="s">
        <v>15</v>
      </c>
      <c r="G9179" s="64" t="s">
        <v>3035</v>
      </c>
      <c r="H9179" s="64" t="s">
        <v>3022</v>
      </c>
      <c r="I9179" s="64" t="s">
        <v>3140</v>
      </c>
      <c r="J9179" s="67">
        <v>235</v>
      </c>
      <c r="K9179" s="62">
        <v>2170</v>
      </c>
      <c r="L9179" s="33" t="e">
        <f>HLOOKUP(B9179,#REF!,1,0)</f>
        <v>#REF!</v>
      </c>
      <c r="M9179" s="33" t="str">
        <f t="shared" si="575"/>
        <v>P&amp;L</v>
      </c>
    </row>
    <row r="9180" spans="1:13">
      <c r="A9180" s="33" t="str">
        <f t="shared" si="572"/>
        <v>SCL - Operating Expense</v>
      </c>
      <c r="B9180" s="33" t="str">
        <f t="shared" si="573"/>
        <v>SCL</v>
      </c>
      <c r="C9180" s="33" t="str">
        <f t="shared" si="574"/>
        <v>63004-7371</v>
      </c>
      <c r="D9180" s="64" t="s">
        <v>10430</v>
      </c>
      <c r="E9180" s="64" t="s">
        <v>3139</v>
      </c>
      <c r="F9180" s="64" t="s">
        <v>15</v>
      </c>
      <c r="G9180" s="64" t="s">
        <v>3035</v>
      </c>
      <c r="H9180" s="64" t="s">
        <v>3022</v>
      </c>
      <c r="I9180" s="64" t="s">
        <v>3140</v>
      </c>
      <c r="J9180" s="67">
        <v>235</v>
      </c>
      <c r="K9180" s="62">
        <v>2350</v>
      </c>
      <c r="L9180" s="33" t="e">
        <f>HLOOKUP(B9180,#REF!,1,0)</f>
        <v>#REF!</v>
      </c>
      <c r="M9180" s="33" t="str">
        <f t="shared" si="575"/>
        <v>P&amp;L</v>
      </c>
    </row>
    <row r="9181" spans="1:13">
      <c r="A9181" s="33" t="str">
        <f t="shared" si="572"/>
        <v>SCL - Operating Expense</v>
      </c>
      <c r="B9181" s="33" t="str">
        <f t="shared" si="573"/>
        <v>SCL</v>
      </c>
      <c r="C9181" s="33" t="str">
        <f t="shared" si="574"/>
        <v>63004-7374</v>
      </c>
      <c r="D9181" s="64" t="s">
        <v>10431</v>
      </c>
      <c r="E9181" s="64" t="s">
        <v>3139</v>
      </c>
      <c r="F9181" s="64" t="s">
        <v>15</v>
      </c>
      <c r="G9181" s="64" t="s">
        <v>3035</v>
      </c>
      <c r="H9181" s="64" t="s">
        <v>3022</v>
      </c>
      <c r="I9181" s="64" t="s">
        <v>3140</v>
      </c>
      <c r="J9181" s="67">
        <v>0</v>
      </c>
      <c r="K9181" s="62">
        <v>190</v>
      </c>
      <c r="L9181" s="33" t="e">
        <f>HLOOKUP(B9181,#REF!,1,0)</f>
        <v>#REF!</v>
      </c>
      <c r="M9181" s="33" t="str">
        <f t="shared" si="575"/>
        <v>P&amp;L</v>
      </c>
    </row>
    <row r="9182" spans="1:13">
      <c r="A9182" s="33" t="str">
        <f t="shared" si="572"/>
        <v>SCL - Operating Expense</v>
      </c>
      <c r="B9182" s="33" t="str">
        <f t="shared" si="573"/>
        <v>SCL</v>
      </c>
      <c r="C9182" s="33" t="str">
        <f t="shared" si="574"/>
        <v>63004-7375</v>
      </c>
      <c r="D9182" s="64" t="s">
        <v>10432</v>
      </c>
      <c r="E9182" s="64" t="s">
        <v>3139</v>
      </c>
      <c r="F9182" s="64" t="s">
        <v>15</v>
      </c>
      <c r="G9182" s="64" t="s">
        <v>3035</v>
      </c>
      <c r="H9182" s="64" t="s">
        <v>3022</v>
      </c>
      <c r="I9182" s="64" t="s">
        <v>3140</v>
      </c>
      <c r="J9182" s="67">
        <v>190</v>
      </c>
      <c r="K9182" s="62">
        <v>2414</v>
      </c>
      <c r="L9182" s="33" t="e">
        <f>HLOOKUP(B9182,#REF!,1,0)</f>
        <v>#REF!</v>
      </c>
      <c r="M9182" s="33" t="str">
        <f t="shared" si="575"/>
        <v>P&amp;L</v>
      </c>
    </row>
    <row r="9183" spans="1:13">
      <c r="A9183" s="33" t="str">
        <f t="shared" si="572"/>
        <v>SCL - Operating Expense</v>
      </c>
      <c r="B9183" s="33" t="str">
        <f t="shared" si="573"/>
        <v>SCL</v>
      </c>
      <c r="C9183" s="33" t="str">
        <f t="shared" si="574"/>
        <v>63004-7376</v>
      </c>
      <c r="D9183" s="64" t="s">
        <v>10433</v>
      </c>
      <c r="E9183" s="64" t="s">
        <v>3139</v>
      </c>
      <c r="F9183" s="64" t="s">
        <v>15</v>
      </c>
      <c r="G9183" s="64" t="s">
        <v>3035</v>
      </c>
      <c r="H9183" s="64" t="s">
        <v>3022</v>
      </c>
      <c r="I9183" s="64" t="s">
        <v>3140</v>
      </c>
      <c r="J9183" s="67">
        <v>235</v>
      </c>
      <c r="K9183" s="62">
        <v>2350</v>
      </c>
      <c r="L9183" s="33" t="e">
        <f>HLOOKUP(B9183,#REF!,1,0)</f>
        <v>#REF!</v>
      </c>
      <c r="M9183" s="33" t="str">
        <f t="shared" si="575"/>
        <v>P&amp;L</v>
      </c>
    </row>
    <row r="9184" spans="1:13">
      <c r="A9184" s="33" t="str">
        <f t="shared" si="572"/>
        <v>SCL - Operating Expense</v>
      </c>
      <c r="B9184" s="33" t="str">
        <f t="shared" si="573"/>
        <v>SCL</v>
      </c>
      <c r="C9184" s="33" t="str">
        <f t="shared" si="574"/>
        <v>63004-7377</v>
      </c>
      <c r="D9184" s="64" t="s">
        <v>10434</v>
      </c>
      <c r="E9184" s="64" t="s">
        <v>3139</v>
      </c>
      <c r="F9184" s="64" t="s">
        <v>15</v>
      </c>
      <c r="G9184" s="64" t="s">
        <v>3035</v>
      </c>
      <c r="H9184" s="64" t="s">
        <v>3022</v>
      </c>
      <c r="I9184" s="64" t="s">
        <v>3140</v>
      </c>
      <c r="J9184" s="67">
        <v>190</v>
      </c>
      <c r="K9184" s="62">
        <v>2659</v>
      </c>
      <c r="L9184" s="33" t="e">
        <f>HLOOKUP(B9184,#REF!,1,0)</f>
        <v>#REF!</v>
      </c>
      <c r="M9184" s="33" t="str">
        <f t="shared" si="575"/>
        <v>P&amp;L</v>
      </c>
    </row>
    <row r="9185" spans="1:13">
      <c r="A9185" s="33" t="str">
        <f t="shared" si="572"/>
        <v>SCL - Operating Expense</v>
      </c>
      <c r="B9185" s="33" t="str">
        <f t="shared" si="573"/>
        <v>SCL</v>
      </c>
      <c r="C9185" s="33" t="str">
        <f t="shared" si="574"/>
        <v>63004-7378</v>
      </c>
      <c r="D9185" s="64" t="s">
        <v>10435</v>
      </c>
      <c r="E9185" s="64" t="s">
        <v>3139</v>
      </c>
      <c r="F9185" s="64" t="s">
        <v>15</v>
      </c>
      <c r="G9185" s="64" t="s">
        <v>3035</v>
      </c>
      <c r="H9185" s="64" t="s">
        <v>3022</v>
      </c>
      <c r="I9185" s="64" t="s">
        <v>3140</v>
      </c>
      <c r="J9185" s="67">
        <v>235</v>
      </c>
      <c r="K9185" s="62">
        <v>2700</v>
      </c>
      <c r="L9185" s="33" t="e">
        <f>HLOOKUP(B9185,#REF!,1,0)</f>
        <v>#REF!</v>
      </c>
      <c r="M9185" s="33" t="str">
        <f t="shared" si="575"/>
        <v>P&amp;L</v>
      </c>
    </row>
    <row r="9186" spans="1:13">
      <c r="A9186" s="33" t="str">
        <f t="shared" si="572"/>
        <v>SCL - Operating Expense</v>
      </c>
      <c r="B9186" s="33" t="str">
        <f t="shared" si="573"/>
        <v>SCL</v>
      </c>
      <c r="C9186" s="33" t="str">
        <f t="shared" si="574"/>
        <v>63004-7379</v>
      </c>
      <c r="D9186" s="64" t="s">
        <v>10436</v>
      </c>
      <c r="E9186" s="64" t="s">
        <v>3139</v>
      </c>
      <c r="F9186" s="64" t="s">
        <v>15</v>
      </c>
      <c r="G9186" s="64" t="s">
        <v>3035</v>
      </c>
      <c r="H9186" s="64" t="s">
        <v>3022</v>
      </c>
      <c r="I9186" s="64" t="s">
        <v>3140</v>
      </c>
      <c r="J9186" s="67">
        <v>235</v>
      </c>
      <c r="K9186" s="62">
        <v>2350</v>
      </c>
      <c r="L9186" s="33" t="e">
        <f>HLOOKUP(B9186,#REF!,1,0)</f>
        <v>#REF!</v>
      </c>
      <c r="M9186" s="33" t="str">
        <f t="shared" si="575"/>
        <v>P&amp;L</v>
      </c>
    </row>
    <row r="9187" spans="1:13">
      <c r="A9187" s="33" t="str">
        <f t="shared" si="572"/>
        <v>SCL - Operating Expense</v>
      </c>
      <c r="B9187" s="33" t="str">
        <f t="shared" si="573"/>
        <v>SCL</v>
      </c>
      <c r="C9187" s="33" t="str">
        <f t="shared" si="574"/>
        <v>63004-7380</v>
      </c>
      <c r="D9187" s="64" t="s">
        <v>10437</v>
      </c>
      <c r="E9187" s="64" t="s">
        <v>3139</v>
      </c>
      <c r="F9187" s="64" t="s">
        <v>15</v>
      </c>
      <c r="G9187" s="64" t="s">
        <v>3035</v>
      </c>
      <c r="H9187" s="64" t="s">
        <v>3022</v>
      </c>
      <c r="I9187" s="64" t="s">
        <v>3140</v>
      </c>
      <c r="J9187" s="67">
        <v>190</v>
      </c>
      <c r="K9187" s="62">
        <v>1820</v>
      </c>
      <c r="L9187" s="33" t="e">
        <f>HLOOKUP(B9187,#REF!,1,0)</f>
        <v>#REF!</v>
      </c>
      <c r="M9187" s="33" t="str">
        <f t="shared" si="575"/>
        <v>P&amp;L</v>
      </c>
    </row>
    <row r="9188" spans="1:13">
      <c r="A9188" s="33" t="str">
        <f t="shared" si="572"/>
        <v>SCL - Operating Expense</v>
      </c>
      <c r="B9188" s="33" t="str">
        <f t="shared" si="573"/>
        <v>SCL</v>
      </c>
      <c r="C9188" s="33" t="str">
        <f t="shared" si="574"/>
        <v>63004-7381</v>
      </c>
      <c r="D9188" s="64" t="s">
        <v>10438</v>
      </c>
      <c r="E9188" s="64" t="s">
        <v>3139</v>
      </c>
      <c r="F9188" s="64" t="s">
        <v>15</v>
      </c>
      <c r="G9188" s="64" t="s">
        <v>3035</v>
      </c>
      <c r="H9188" s="64" t="s">
        <v>3022</v>
      </c>
      <c r="I9188" s="64" t="s">
        <v>3140</v>
      </c>
      <c r="J9188" s="67">
        <v>190</v>
      </c>
      <c r="K9188" s="62">
        <v>1900</v>
      </c>
      <c r="L9188" s="33" t="e">
        <f>HLOOKUP(B9188,#REF!,1,0)</f>
        <v>#REF!</v>
      </c>
      <c r="M9188" s="33" t="str">
        <f t="shared" si="575"/>
        <v>P&amp;L</v>
      </c>
    </row>
    <row r="9189" spans="1:13">
      <c r="A9189" s="33" t="str">
        <f t="shared" si="572"/>
        <v>SCL - Operating Expense</v>
      </c>
      <c r="B9189" s="33" t="str">
        <f t="shared" si="573"/>
        <v>SCL</v>
      </c>
      <c r="C9189" s="33" t="str">
        <f t="shared" si="574"/>
        <v>63004-7383</v>
      </c>
      <c r="D9189" s="64" t="s">
        <v>10439</v>
      </c>
      <c r="E9189" s="64" t="s">
        <v>3139</v>
      </c>
      <c r="F9189" s="64" t="s">
        <v>15</v>
      </c>
      <c r="G9189" s="64" t="s">
        <v>3035</v>
      </c>
      <c r="H9189" s="64" t="s">
        <v>3022</v>
      </c>
      <c r="I9189" s="64" t="s">
        <v>3140</v>
      </c>
      <c r="J9189" s="67">
        <v>235</v>
      </c>
      <c r="K9189" s="62">
        <v>2350</v>
      </c>
      <c r="L9189" s="33" t="e">
        <f>HLOOKUP(B9189,#REF!,1,0)</f>
        <v>#REF!</v>
      </c>
      <c r="M9189" s="33" t="str">
        <f t="shared" si="575"/>
        <v>P&amp;L</v>
      </c>
    </row>
    <row r="9190" spans="1:13">
      <c r="A9190" s="33" t="str">
        <f t="shared" si="572"/>
        <v>SCL - Operating Expense</v>
      </c>
      <c r="B9190" s="33" t="str">
        <f t="shared" si="573"/>
        <v>SCL</v>
      </c>
      <c r="C9190" s="33" t="str">
        <f t="shared" si="574"/>
        <v>63004-7386</v>
      </c>
      <c r="D9190" s="64" t="s">
        <v>10440</v>
      </c>
      <c r="E9190" s="64" t="s">
        <v>3139</v>
      </c>
      <c r="F9190" s="64" t="s">
        <v>15</v>
      </c>
      <c r="G9190" s="64" t="s">
        <v>3035</v>
      </c>
      <c r="H9190" s="64" t="s">
        <v>3022</v>
      </c>
      <c r="I9190" s="64" t="s">
        <v>3140</v>
      </c>
      <c r="J9190" s="67">
        <v>0</v>
      </c>
      <c r="K9190" s="62">
        <v>1395</v>
      </c>
      <c r="L9190" s="33" t="e">
        <f>HLOOKUP(B9190,#REF!,1,0)</f>
        <v>#REF!</v>
      </c>
      <c r="M9190" s="33" t="str">
        <f t="shared" si="575"/>
        <v>P&amp;L</v>
      </c>
    </row>
    <row r="9191" spans="1:13">
      <c r="A9191" s="33" t="str">
        <f t="shared" si="572"/>
        <v>SCL - Operating Expense</v>
      </c>
      <c r="B9191" s="33" t="str">
        <f t="shared" si="573"/>
        <v>SCL</v>
      </c>
      <c r="C9191" s="33" t="str">
        <f t="shared" si="574"/>
        <v>63004-7387</v>
      </c>
      <c r="D9191" s="64" t="s">
        <v>10441</v>
      </c>
      <c r="E9191" s="64" t="s">
        <v>3139</v>
      </c>
      <c r="F9191" s="64" t="s">
        <v>15</v>
      </c>
      <c r="G9191" s="64" t="s">
        <v>3035</v>
      </c>
      <c r="H9191" s="64" t="s">
        <v>3022</v>
      </c>
      <c r="I9191" s="64" t="s">
        <v>3140</v>
      </c>
      <c r="J9191" s="67">
        <v>235</v>
      </c>
      <c r="K9191" s="62">
        <v>2350</v>
      </c>
      <c r="L9191" s="33" t="e">
        <f>HLOOKUP(B9191,#REF!,1,0)</f>
        <v>#REF!</v>
      </c>
      <c r="M9191" s="33" t="str">
        <f t="shared" si="575"/>
        <v>P&amp;L</v>
      </c>
    </row>
    <row r="9192" spans="1:13">
      <c r="A9192" s="33" t="str">
        <f t="shared" si="572"/>
        <v>SCL - Operating Expense</v>
      </c>
      <c r="B9192" s="33" t="str">
        <f t="shared" si="573"/>
        <v>SCL</v>
      </c>
      <c r="C9192" s="33" t="str">
        <f t="shared" si="574"/>
        <v>63004-7389</v>
      </c>
      <c r="D9192" s="64" t="s">
        <v>10442</v>
      </c>
      <c r="E9192" s="64" t="s">
        <v>3139</v>
      </c>
      <c r="F9192" s="64" t="s">
        <v>15</v>
      </c>
      <c r="G9192" s="64" t="s">
        <v>3035</v>
      </c>
      <c r="H9192" s="64" t="s">
        <v>3022</v>
      </c>
      <c r="I9192" s="64" t="s">
        <v>3140</v>
      </c>
      <c r="J9192" s="67">
        <v>235</v>
      </c>
      <c r="K9192" s="62">
        <v>2700</v>
      </c>
      <c r="L9192" s="33" t="e">
        <f>HLOOKUP(B9192,#REF!,1,0)</f>
        <v>#REF!</v>
      </c>
      <c r="M9192" s="33" t="str">
        <f t="shared" si="575"/>
        <v>P&amp;L</v>
      </c>
    </row>
    <row r="9193" spans="1:13">
      <c r="A9193" s="33" t="str">
        <f t="shared" si="572"/>
        <v>SCL - Operating Expense</v>
      </c>
      <c r="B9193" s="33" t="str">
        <f t="shared" si="573"/>
        <v>SCL</v>
      </c>
      <c r="C9193" s="33" t="str">
        <f t="shared" si="574"/>
        <v>63004-7391</v>
      </c>
      <c r="D9193" s="64" t="s">
        <v>10443</v>
      </c>
      <c r="E9193" s="64" t="s">
        <v>3139</v>
      </c>
      <c r="F9193" s="64" t="s">
        <v>15</v>
      </c>
      <c r="G9193" s="64" t="s">
        <v>3035</v>
      </c>
      <c r="H9193" s="64" t="s">
        <v>3022</v>
      </c>
      <c r="I9193" s="64" t="s">
        <v>3140</v>
      </c>
      <c r="J9193" s="67">
        <v>175</v>
      </c>
      <c r="K9193" s="62">
        <v>2050</v>
      </c>
      <c r="L9193" s="33" t="e">
        <f>HLOOKUP(B9193,#REF!,1,0)</f>
        <v>#REF!</v>
      </c>
      <c r="M9193" s="33" t="str">
        <f t="shared" si="575"/>
        <v>P&amp;L</v>
      </c>
    </row>
    <row r="9194" spans="1:13">
      <c r="A9194" s="33" t="str">
        <f t="shared" si="572"/>
        <v>SCL - Operating Expense</v>
      </c>
      <c r="B9194" s="33" t="str">
        <f t="shared" si="573"/>
        <v>SCL</v>
      </c>
      <c r="C9194" s="33" t="str">
        <f t="shared" si="574"/>
        <v>63004-7394</v>
      </c>
      <c r="D9194" s="64" t="s">
        <v>10444</v>
      </c>
      <c r="E9194" s="64" t="s">
        <v>3139</v>
      </c>
      <c r="F9194" s="64" t="s">
        <v>15</v>
      </c>
      <c r="G9194" s="64" t="s">
        <v>3035</v>
      </c>
      <c r="H9194" s="64" t="s">
        <v>3022</v>
      </c>
      <c r="I9194" s="64" t="s">
        <v>3140</v>
      </c>
      <c r="J9194" s="67">
        <v>175</v>
      </c>
      <c r="K9194" s="62">
        <v>1990</v>
      </c>
      <c r="L9194" s="33" t="e">
        <f>HLOOKUP(B9194,#REF!,1,0)</f>
        <v>#REF!</v>
      </c>
      <c r="M9194" s="33" t="str">
        <f t="shared" si="575"/>
        <v>P&amp;L</v>
      </c>
    </row>
    <row r="9195" spans="1:13">
      <c r="A9195" s="33" t="str">
        <f t="shared" si="572"/>
        <v>SCL - Operating Expense</v>
      </c>
      <c r="B9195" s="33" t="str">
        <f t="shared" si="573"/>
        <v>SCL</v>
      </c>
      <c r="C9195" s="33" t="str">
        <f t="shared" si="574"/>
        <v>63004-7396</v>
      </c>
      <c r="D9195" s="64" t="s">
        <v>10445</v>
      </c>
      <c r="E9195" s="64" t="s">
        <v>3139</v>
      </c>
      <c r="F9195" s="64" t="s">
        <v>15</v>
      </c>
      <c r="G9195" s="64" t="s">
        <v>3035</v>
      </c>
      <c r="H9195" s="64" t="s">
        <v>3022</v>
      </c>
      <c r="I9195" s="64" t="s">
        <v>3140</v>
      </c>
      <c r="J9195" s="67">
        <v>190</v>
      </c>
      <c r="K9195" s="62">
        <v>1800</v>
      </c>
      <c r="L9195" s="33" t="e">
        <f>HLOOKUP(B9195,#REF!,1,0)</f>
        <v>#REF!</v>
      </c>
      <c r="M9195" s="33" t="str">
        <f t="shared" si="575"/>
        <v>P&amp;L</v>
      </c>
    </row>
    <row r="9196" spans="1:13">
      <c r="A9196" s="33" t="str">
        <f t="shared" si="572"/>
        <v>SCL - Operating Expense</v>
      </c>
      <c r="B9196" s="33" t="str">
        <f t="shared" si="573"/>
        <v>SCL</v>
      </c>
      <c r="C9196" s="33" t="str">
        <f t="shared" si="574"/>
        <v>63004-7397</v>
      </c>
      <c r="D9196" s="64" t="s">
        <v>10446</v>
      </c>
      <c r="E9196" s="64" t="s">
        <v>3139</v>
      </c>
      <c r="F9196" s="64" t="s">
        <v>15</v>
      </c>
      <c r="G9196" s="64" t="s">
        <v>3035</v>
      </c>
      <c r="H9196" s="64" t="s">
        <v>3022</v>
      </c>
      <c r="I9196" s="64" t="s">
        <v>3140</v>
      </c>
      <c r="J9196" s="67">
        <v>235</v>
      </c>
      <c r="K9196" s="62">
        <v>2750.8</v>
      </c>
      <c r="L9196" s="33" t="e">
        <f>HLOOKUP(B9196,#REF!,1,0)</f>
        <v>#REF!</v>
      </c>
      <c r="M9196" s="33" t="str">
        <f t="shared" si="575"/>
        <v>P&amp;L</v>
      </c>
    </row>
    <row r="9197" spans="1:13">
      <c r="A9197" s="33" t="str">
        <f t="shared" si="572"/>
        <v>SCL - Operating Expense</v>
      </c>
      <c r="B9197" s="33" t="str">
        <f t="shared" si="573"/>
        <v>SCL</v>
      </c>
      <c r="C9197" s="33" t="str">
        <f t="shared" si="574"/>
        <v>63004-7398</v>
      </c>
      <c r="D9197" s="64" t="s">
        <v>10447</v>
      </c>
      <c r="E9197" s="64" t="s">
        <v>3139</v>
      </c>
      <c r="F9197" s="64" t="s">
        <v>15</v>
      </c>
      <c r="G9197" s="64" t="s">
        <v>3035</v>
      </c>
      <c r="H9197" s="64" t="s">
        <v>3022</v>
      </c>
      <c r="I9197" s="64" t="s">
        <v>3140</v>
      </c>
      <c r="J9197" s="67">
        <v>190</v>
      </c>
      <c r="K9197" s="62">
        <v>2390</v>
      </c>
      <c r="L9197" s="33" t="e">
        <f>HLOOKUP(B9197,#REF!,1,0)</f>
        <v>#REF!</v>
      </c>
      <c r="M9197" s="33" t="str">
        <f t="shared" si="575"/>
        <v>P&amp;L</v>
      </c>
    </row>
    <row r="9198" spans="1:13">
      <c r="A9198" s="33" t="str">
        <f t="shared" si="572"/>
        <v>SCL - Operating Expense</v>
      </c>
      <c r="B9198" s="33" t="str">
        <f t="shared" si="573"/>
        <v>SCL</v>
      </c>
      <c r="C9198" s="33" t="str">
        <f t="shared" si="574"/>
        <v>63004-7400</v>
      </c>
      <c r="D9198" s="64" t="s">
        <v>10448</v>
      </c>
      <c r="E9198" s="64" t="s">
        <v>3139</v>
      </c>
      <c r="F9198" s="64" t="s">
        <v>15</v>
      </c>
      <c r="G9198" s="64" t="s">
        <v>3035</v>
      </c>
      <c r="H9198" s="64" t="s">
        <v>3022</v>
      </c>
      <c r="I9198" s="64" t="s">
        <v>3140</v>
      </c>
      <c r="J9198" s="67">
        <v>235</v>
      </c>
      <c r="K9198" s="62">
        <v>2600</v>
      </c>
      <c r="L9198" s="33" t="e">
        <f>HLOOKUP(B9198,#REF!,1,0)</f>
        <v>#REF!</v>
      </c>
      <c r="M9198" s="33" t="str">
        <f t="shared" si="575"/>
        <v>P&amp;L</v>
      </c>
    </row>
    <row r="9199" spans="1:13">
      <c r="A9199" s="33" t="str">
        <f t="shared" si="572"/>
        <v>SCL - Operating Expense</v>
      </c>
      <c r="B9199" s="33" t="str">
        <f t="shared" si="573"/>
        <v>SCL</v>
      </c>
      <c r="C9199" s="33" t="str">
        <f t="shared" si="574"/>
        <v>63004-7401</v>
      </c>
      <c r="D9199" s="64" t="s">
        <v>10449</v>
      </c>
      <c r="E9199" s="64" t="s">
        <v>3139</v>
      </c>
      <c r="F9199" s="64" t="s">
        <v>15</v>
      </c>
      <c r="G9199" s="64" t="s">
        <v>3035</v>
      </c>
      <c r="H9199" s="64" t="s">
        <v>3022</v>
      </c>
      <c r="I9199" s="64" t="s">
        <v>3140</v>
      </c>
      <c r="J9199" s="67">
        <v>0</v>
      </c>
      <c r="K9199" s="62">
        <v>2265</v>
      </c>
      <c r="L9199" s="33" t="e">
        <f>HLOOKUP(B9199,#REF!,1,0)</f>
        <v>#REF!</v>
      </c>
      <c r="M9199" s="33" t="str">
        <f t="shared" si="575"/>
        <v>P&amp;L</v>
      </c>
    </row>
    <row r="9200" spans="1:13">
      <c r="A9200" s="33" t="str">
        <f t="shared" si="572"/>
        <v>SCL - Operating Expense</v>
      </c>
      <c r="B9200" s="33" t="str">
        <f t="shared" si="573"/>
        <v>SCL</v>
      </c>
      <c r="C9200" s="33" t="str">
        <f t="shared" si="574"/>
        <v>63004-7402</v>
      </c>
      <c r="D9200" s="64" t="s">
        <v>10450</v>
      </c>
      <c r="E9200" s="64" t="s">
        <v>3139</v>
      </c>
      <c r="F9200" s="64" t="s">
        <v>15</v>
      </c>
      <c r="G9200" s="64" t="s">
        <v>3035</v>
      </c>
      <c r="H9200" s="64" t="s">
        <v>3022</v>
      </c>
      <c r="I9200" s="64" t="s">
        <v>3140</v>
      </c>
      <c r="J9200" s="67">
        <v>235</v>
      </c>
      <c r="K9200" s="62">
        <v>2350</v>
      </c>
      <c r="L9200" s="33" t="e">
        <f>HLOOKUP(B9200,#REF!,1,0)</f>
        <v>#REF!</v>
      </c>
      <c r="M9200" s="33" t="str">
        <f t="shared" si="575"/>
        <v>P&amp;L</v>
      </c>
    </row>
    <row r="9201" spans="1:13">
      <c r="A9201" s="33" t="str">
        <f t="shared" si="572"/>
        <v>SCL - Operating Expense</v>
      </c>
      <c r="B9201" s="33" t="str">
        <f t="shared" si="573"/>
        <v>SCL</v>
      </c>
      <c r="C9201" s="33" t="str">
        <f t="shared" si="574"/>
        <v>63004-7403</v>
      </c>
      <c r="D9201" s="64" t="s">
        <v>10451</v>
      </c>
      <c r="E9201" s="64" t="s">
        <v>3139</v>
      </c>
      <c r="F9201" s="64" t="s">
        <v>15</v>
      </c>
      <c r="G9201" s="64" t="s">
        <v>3035</v>
      </c>
      <c r="H9201" s="64" t="s">
        <v>3022</v>
      </c>
      <c r="I9201" s="64" t="s">
        <v>3140</v>
      </c>
      <c r="J9201" s="67">
        <v>235</v>
      </c>
      <c r="K9201" s="62">
        <v>2588.8</v>
      </c>
      <c r="L9201" s="33" t="e">
        <f>HLOOKUP(B9201,#REF!,1,0)</f>
        <v>#REF!</v>
      </c>
      <c r="M9201" s="33" t="str">
        <f t="shared" si="575"/>
        <v>P&amp;L</v>
      </c>
    </row>
    <row r="9202" spans="1:13">
      <c r="A9202" s="33" t="str">
        <f t="shared" si="572"/>
        <v>SCL - Operating Expense</v>
      </c>
      <c r="B9202" s="33" t="str">
        <f t="shared" si="573"/>
        <v>SCL</v>
      </c>
      <c r="C9202" s="33" t="str">
        <f t="shared" si="574"/>
        <v>63004-7489</v>
      </c>
      <c r="D9202" s="64" t="s">
        <v>10452</v>
      </c>
      <c r="E9202" s="64" t="s">
        <v>3139</v>
      </c>
      <c r="F9202" s="64" t="s">
        <v>15</v>
      </c>
      <c r="G9202" s="64" t="s">
        <v>3035</v>
      </c>
      <c r="H9202" s="64" t="s">
        <v>3022</v>
      </c>
      <c r="I9202" s="64" t="s">
        <v>3140</v>
      </c>
      <c r="J9202" s="67">
        <v>190</v>
      </c>
      <c r="K9202" s="62">
        <v>2550</v>
      </c>
      <c r="L9202" s="33" t="e">
        <f>HLOOKUP(B9202,#REF!,1,0)</f>
        <v>#REF!</v>
      </c>
      <c r="M9202" s="33" t="str">
        <f t="shared" si="575"/>
        <v>P&amp;L</v>
      </c>
    </row>
    <row r="9203" spans="1:13">
      <c r="A9203" s="33" t="str">
        <f t="shared" si="572"/>
        <v>SCL - Operating Expense</v>
      </c>
      <c r="B9203" s="33" t="str">
        <f t="shared" si="573"/>
        <v>SCL</v>
      </c>
      <c r="C9203" s="33" t="str">
        <f t="shared" si="574"/>
        <v>63004-7491</v>
      </c>
      <c r="D9203" s="64" t="s">
        <v>10453</v>
      </c>
      <c r="E9203" s="64" t="s">
        <v>3139</v>
      </c>
      <c r="F9203" s="64" t="s">
        <v>15</v>
      </c>
      <c r="G9203" s="64" t="s">
        <v>3035</v>
      </c>
      <c r="H9203" s="64" t="s">
        <v>3022</v>
      </c>
      <c r="I9203" s="64" t="s">
        <v>3140</v>
      </c>
      <c r="J9203" s="67">
        <v>175</v>
      </c>
      <c r="K9203" s="62">
        <v>2110</v>
      </c>
      <c r="L9203" s="33" t="e">
        <f>HLOOKUP(B9203,#REF!,1,0)</f>
        <v>#REF!</v>
      </c>
      <c r="M9203" s="33" t="str">
        <f t="shared" si="575"/>
        <v>P&amp;L</v>
      </c>
    </row>
    <row r="9204" spans="1:13">
      <c r="A9204" s="33" t="str">
        <f t="shared" si="572"/>
        <v>SCL - Operating Expense</v>
      </c>
      <c r="B9204" s="33" t="str">
        <f t="shared" si="573"/>
        <v>SCL</v>
      </c>
      <c r="C9204" s="33" t="str">
        <f t="shared" si="574"/>
        <v>63004-7492</v>
      </c>
      <c r="D9204" s="64" t="s">
        <v>10454</v>
      </c>
      <c r="E9204" s="64" t="s">
        <v>3139</v>
      </c>
      <c r="F9204" s="64" t="s">
        <v>15</v>
      </c>
      <c r="G9204" s="64" t="s">
        <v>3035</v>
      </c>
      <c r="H9204" s="64" t="s">
        <v>3022</v>
      </c>
      <c r="I9204" s="64" t="s">
        <v>3140</v>
      </c>
      <c r="J9204" s="67">
        <v>190</v>
      </c>
      <c r="K9204" s="62">
        <v>2045</v>
      </c>
      <c r="L9204" s="33" t="e">
        <f>HLOOKUP(B9204,#REF!,1,0)</f>
        <v>#REF!</v>
      </c>
      <c r="M9204" s="33" t="str">
        <f t="shared" si="575"/>
        <v>P&amp;L</v>
      </c>
    </row>
    <row r="9205" spans="1:13">
      <c r="A9205" s="33" t="str">
        <f t="shared" si="572"/>
        <v>SCL - Operating Expense</v>
      </c>
      <c r="B9205" s="33" t="str">
        <f t="shared" si="573"/>
        <v>SCL</v>
      </c>
      <c r="C9205" s="33" t="str">
        <f t="shared" si="574"/>
        <v>63004-7494</v>
      </c>
      <c r="D9205" s="64" t="s">
        <v>10455</v>
      </c>
      <c r="E9205" s="64" t="s">
        <v>3139</v>
      </c>
      <c r="F9205" s="64" t="s">
        <v>15</v>
      </c>
      <c r="G9205" s="64" t="s">
        <v>3035</v>
      </c>
      <c r="H9205" s="64" t="s">
        <v>3022</v>
      </c>
      <c r="I9205" s="64" t="s">
        <v>3140</v>
      </c>
      <c r="J9205" s="67">
        <v>190</v>
      </c>
      <c r="K9205" s="62">
        <v>2185</v>
      </c>
      <c r="L9205" s="33" t="e">
        <f>HLOOKUP(B9205,#REF!,1,0)</f>
        <v>#REF!</v>
      </c>
      <c r="M9205" s="33" t="str">
        <f t="shared" si="575"/>
        <v>P&amp;L</v>
      </c>
    </row>
    <row r="9206" spans="1:13">
      <c r="A9206" s="33" t="str">
        <f t="shared" si="572"/>
        <v>SCL - Operating Expense</v>
      </c>
      <c r="B9206" s="33" t="str">
        <f t="shared" si="573"/>
        <v>SCL</v>
      </c>
      <c r="C9206" s="33" t="str">
        <f t="shared" si="574"/>
        <v>63004-7625</v>
      </c>
      <c r="D9206" s="64" t="s">
        <v>10456</v>
      </c>
      <c r="E9206" s="64" t="s">
        <v>3139</v>
      </c>
      <c r="F9206" s="64" t="s">
        <v>15</v>
      </c>
      <c r="G9206" s="64" t="s">
        <v>3035</v>
      </c>
      <c r="H9206" s="64" t="s">
        <v>3022</v>
      </c>
      <c r="I9206" s="64" t="s">
        <v>3140</v>
      </c>
      <c r="J9206" s="67">
        <v>190</v>
      </c>
      <c r="K9206" s="62">
        <v>2377</v>
      </c>
      <c r="L9206" s="33" t="e">
        <f>HLOOKUP(B9206,#REF!,1,0)</f>
        <v>#REF!</v>
      </c>
      <c r="M9206" s="33" t="str">
        <f t="shared" si="575"/>
        <v>P&amp;L</v>
      </c>
    </row>
    <row r="9207" spans="1:13">
      <c r="A9207" s="33" t="str">
        <f t="shared" si="572"/>
        <v>SCL - Operating Expense</v>
      </c>
      <c r="B9207" s="33" t="str">
        <f t="shared" si="573"/>
        <v>SCL</v>
      </c>
      <c r="C9207" s="33" t="str">
        <f t="shared" si="574"/>
        <v>63004-8150</v>
      </c>
      <c r="D9207" s="64" t="s">
        <v>10457</v>
      </c>
      <c r="E9207" s="64" t="s">
        <v>3139</v>
      </c>
      <c r="F9207" s="64" t="s">
        <v>15</v>
      </c>
      <c r="G9207" s="64" t="s">
        <v>3035</v>
      </c>
      <c r="H9207" s="64" t="s">
        <v>3022</v>
      </c>
      <c r="I9207" s="64" t="s">
        <v>3140</v>
      </c>
      <c r="J9207" s="67">
        <v>235</v>
      </c>
      <c r="K9207" s="62">
        <v>2350</v>
      </c>
      <c r="L9207" s="33" t="e">
        <f>HLOOKUP(B9207,#REF!,1,0)</f>
        <v>#REF!</v>
      </c>
      <c r="M9207" s="33" t="str">
        <f t="shared" si="575"/>
        <v>P&amp;L</v>
      </c>
    </row>
    <row r="9208" spans="1:13">
      <c r="A9208" s="33" t="str">
        <f t="shared" si="572"/>
        <v>SCL - Operating Expense</v>
      </c>
      <c r="B9208" s="33" t="str">
        <f t="shared" si="573"/>
        <v>SCL</v>
      </c>
      <c r="C9208" s="33" t="str">
        <f t="shared" si="574"/>
        <v>63005-7351</v>
      </c>
      <c r="D9208" s="64" t="s">
        <v>10458</v>
      </c>
      <c r="E9208" s="64" t="s">
        <v>4996</v>
      </c>
      <c r="F9208" s="64" t="s">
        <v>15</v>
      </c>
      <c r="G9208" s="64" t="s">
        <v>3035</v>
      </c>
      <c r="H9208" s="64" t="s">
        <v>3022</v>
      </c>
      <c r="I9208" s="64" t="s">
        <v>3036</v>
      </c>
      <c r="J9208" s="67">
        <v>0</v>
      </c>
      <c r="K9208" s="62">
        <v>241</v>
      </c>
      <c r="L9208" s="33" t="e">
        <f>HLOOKUP(B9208,#REF!,1,0)</f>
        <v>#REF!</v>
      </c>
      <c r="M9208" s="33" t="str">
        <f t="shared" si="575"/>
        <v>P&amp;L</v>
      </c>
    </row>
    <row r="9209" spans="1:13">
      <c r="A9209" s="33" t="str">
        <f t="shared" si="572"/>
        <v>SCL - Operating Expense</v>
      </c>
      <c r="B9209" s="33" t="str">
        <f t="shared" si="573"/>
        <v>SCL</v>
      </c>
      <c r="C9209" s="33" t="str">
        <f t="shared" si="574"/>
        <v>63005-7352</v>
      </c>
      <c r="D9209" s="64" t="s">
        <v>10459</v>
      </c>
      <c r="E9209" s="64" t="s">
        <v>4996</v>
      </c>
      <c r="F9209" s="64" t="s">
        <v>15</v>
      </c>
      <c r="G9209" s="64" t="s">
        <v>3035</v>
      </c>
      <c r="H9209" s="64" t="s">
        <v>3022</v>
      </c>
      <c r="I9209" s="64" t="s">
        <v>3036</v>
      </c>
      <c r="J9209" s="67">
        <v>0</v>
      </c>
      <c r="K9209" s="62">
        <v>246</v>
      </c>
      <c r="L9209" s="33" t="e">
        <f>HLOOKUP(B9209,#REF!,1,0)</f>
        <v>#REF!</v>
      </c>
      <c r="M9209" s="33" t="str">
        <f t="shared" si="575"/>
        <v>P&amp;L</v>
      </c>
    </row>
    <row r="9210" spans="1:13">
      <c r="A9210" s="33" t="str">
        <f t="shared" si="572"/>
        <v>SCL - Operating Expense</v>
      </c>
      <c r="B9210" s="33" t="str">
        <f t="shared" si="573"/>
        <v>SCL</v>
      </c>
      <c r="C9210" s="33" t="str">
        <f t="shared" si="574"/>
        <v>63005-7355</v>
      </c>
      <c r="D9210" s="64" t="s">
        <v>10460</v>
      </c>
      <c r="E9210" s="64" t="s">
        <v>4996</v>
      </c>
      <c r="F9210" s="64" t="s">
        <v>15</v>
      </c>
      <c r="G9210" s="64" t="s">
        <v>3035</v>
      </c>
      <c r="H9210" s="64" t="s">
        <v>3022</v>
      </c>
      <c r="I9210" s="64" t="s">
        <v>3036</v>
      </c>
      <c r="J9210" s="67">
        <v>0</v>
      </c>
      <c r="K9210" s="62">
        <v>246</v>
      </c>
      <c r="L9210" s="33" t="e">
        <f>HLOOKUP(B9210,#REF!,1,0)</f>
        <v>#REF!</v>
      </c>
      <c r="M9210" s="33" t="str">
        <f t="shared" si="575"/>
        <v>P&amp;L</v>
      </c>
    </row>
    <row r="9211" spans="1:13">
      <c r="A9211" s="33" t="str">
        <f t="shared" si="572"/>
        <v>SCL - Operating Expense</v>
      </c>
      <c r="B9211" s="33" t="str">
        <f t="shared" si="573"/>
        <v>SCL</v>
      </c>
      <c r="C9211" s="33" t="str">
        <f t="shared" si="574"/>
        <v>63005-7359</v>
      </c>
      <c r="D9211" s="64" t="s">
        <v>10461</v>
      </c>
      <c r="E9211" s="64" t="s">
        <v>4996</v>
      </c>
      <c r="F9211" s="64" t="s">
        <v>15</v>
      </c>
      <c r="G9211" s="64" t="s">
        <v>3035</v>
      </c>
      <c r="H9211" s="64" t="s">
        <v>3022</v>
      </c>
      <c r="I9211" s="64" t="s">
        <v>3036</v>
      </c>
      <c r="J9211" s="67">
        <v>0</v>
      </c>
      <c r="K9211" s="62">
        <v>125.5</v>
      </c>
      <c r="L9211" s="33" t="e">
        <f>HLOOKUP(B9211,#REF!,1,0)</f>
        <v>#REF!</v>
      </c>
      <c r="M9211" s="33" t="str">
        <f t="shared" si="575"/>
        <v>P&amp;L</v>
      </c>
    </row>
    <row r="9212" spans="1:13">
      <c r="A9212" s="33" t="str">
        <f t="shared" si="572"/>
        <v>SCL - Operating Expense</v>
      </c>
      <c r="B9212" s="33" t="str">
        <f t="shared" si="573"/>
        <v>SCL</v>
      </c>
      <c r="C9212" s="33" t="str">
        <f t="shared" si="574"/>
        <v>63005-7360</v>
      </c>
      <c r="D9212" s="64" t="s">
        <v>10462</v>
      </c>
      <c r="E9212" s="64" t="s">
        <v>4996</v>
      </c>
      <c r="F9212" s="64" t="s">
        <v>15</v>
      </c>
      <c r="G9212" s="64" t="s">
        <v>3035</v>
      </c>
      <c r="H9212" s="64" t="s">
        <v>3022</v>
      </c>
      <c r="I9212" s="64" t="s">
        <v>3036</v>
      </c>
      <c r="J9212" s="67">
        <v>0</v>
      </c>
      <c r="K9212" s="62">
        <v>358</v>
      </c>
      <c r="L9212" s="33" t="e">
        <f>HLOOKUP(B9212,#REF!,1,0)</f>
        <v>#REF!</v>
      </c>
      <c r="M9212" s="33" t="str">
        <f t="shared" si="575"/>
        <v>P&amp;L</v>
      </c>
    </row>
    <row r="9213" spans="1:13">
      <c r="A9213" s="33" t="str">
        <f t="shared" si="572"/>
        <v>SCL - Operating Expense</v>
      </c>
      <c r="B9213" s="33" t="str">
        <f t="shared" si="573"/>
        <v>SCL</v>
      </c>
      <c r="C9213" s="33" t="str">
        <f t="shared" si="574"/>
        <v>63005-7361</v>
      </c>
      <c r="D9213" s="64" t="s">
        <v>10463</v>
      </c>
      <c r="E9213" s="64" t="s">
        <v>4996</v>
      </c>
      <c r="F9213" s="64" t="s">
        <v>15</v>
      </c>
      <c r="G9213" s="64" t="s">
        <v>3035</v>
      </c>
      <c r="H9213" s="64" t="s">
        <v>3022</v>
      </c>
      <c r="I9213" s="64" t="s">
        <v>3036</v>
      </c>
      <c r="J9213" s="67">
        <v>0</v>
      </c>
      <c r="K9213" s="62">
        <v>246</v>
      </c>
      <c r="L9213" s="33" t="e">
        <f>HLOOKUP(B9213,#REF!,1,0)</f>
        <v>#REF!</v>
      </c>
      <c r="M9213" s="33" t="str">
        <f t="shared" si="575"/>
        <v>P&amp;L</v>
      </c>
    </row>
    <row r="9214" spans="1:13">
      <c r="A9214" s="33" t="str">
        <f t="shared" si="572"/>
        <v>SCL - Operating Expense</v>
      </c>
      <c r="B9214" s="33" t="str">
        <f t="shared" si="573"/>
        <v>SCL</v>
      </c>
      <c r="C9214" s="33" t="str">
        <f t="shared" si="574"/>
        <v>63005-7362</v>
      </c>
      <c r="D9214" s="64" t="s">
        <v>10464</v>
      </c>
      <c r="E9214" s="64" t="s">
        <v>4996</v>
      </c>
      <c r="F9214" s="64" t="s">
        <v>15</v>
      </c>
      <c r="G9214" s="64" t="s">
        <v>3035</v>
      </c>
      <c r="H9214" s="64" t="s">
        <v>3022</v>
      </c>
      <c r="I9214" s="64" t="s">
        <v>3036</v>
      </c>
      <c r="J9214" s="67">
        <v>0</v>
      </c>
      <c r="K9214" s="62">
        <v>246</v>
      </c>
      <c r="L9214" s="33" t="e">
        <f>HLOOKUP(B9214,#REF!,1,0)</f>
        <v>#REF!</v>
      </c>
      <c r="M9214" s="33" t="str">
        <f t="shared" si="575"/>
        <v>P&amp;L</v>
      </c>
    </row>
    <row r="9215" spans="1:13">
      <c r="A9215" s="33" t="str">
        <f t="shared" si="572"/>
        <v>SCL - Operating Expense</v>
      </c>
      <c r="B9215" s="33" t="str">
        <f t="shared" si="573"/>
        <v>SCL</v>
      </c>
      <c r="C9215" s="33" t="str">
        <f t="shared" si="574"/>
        <v>63005-7363</v>
      </c>
      <c r="D9215" s="64" t="s">
        <v>10465</v>
      </c>
      <c r="E9215" s="64" t="s">
        <v>4996</v>
      </c>
      <c r="F9215" s="64" t="s">
        <v>15</v>
      </c>
      <c r="G9215" s="64" t="s">
        <v>3035</v>
      </c>
      <c r="H9215" s="64" t="s">
        <v>3022</v>
      </c>
      <c r="I9215" s="64" t="s">
        <v>3036</v>
      </c>
      <c r="J9215" s="67">
        <v>0</v>
      </c>
      <c r="K9215" s="62">
        <v>120.5</v>
      </c>
      <c r="L9215" s="33" t="e">
        <f>HLOOKUP(B9215,#REF!,1,0)</f>
        <v>#REF!</v>
      </c>
      <c r="M9215" s="33" t="str">
        <f t="shared" si="575"/>
        <v>P&amp;L</v>
      </c>
    </row>
    <row r="9216" spans="1:13">
      <c r="A9216" s="33" t="str">
        <f t="shared" si="572"/>
        <v>SCL - Operating Expense</v>
      </c>
      <c r="B9216" s="33" t="str">
        <f t="shared" si="573"/>
        <v>SCL</v>
      </c>
      <c r="C9216" s="33" t="str">
        <f t="shared" si="574"/>
        <v>63005-7364</v>
      </c>
      <c r="D9216" s="64" t="s">
        <v>10466</v>
      </c>
      <c r="E9216" s="64" t="s">
        <v>4996</v>
      </c>
      <c r="F9216" s="64" t="s">
        <v>15</v>
      </c>
      <c r="G9216" s="64" t="s">
        <v>3035</v>
      </c>
      <c r="H9216" s="64" t="s">
        <v>3022</v>
      </c>
      <c r="I9216" s="64" t="s">
        <v>3036</v>
      </c>
      <c r="J9216" s="67">
        <v>0</v>
      </c>
      <c r="K9216" s="62">
        <v>120.5</v>
      </c>
      <c r="L9216" s="33" t="e">
        <f>HLOOKUP(B9216,#REF!,1,0)</f>
        <v>#REF!</v>
      </c>
      <c r="M9216" s="33" t="str">
        <f t="shared" si="575"/>
        <v>P&amp;L</v>
      </c>
    </row>
    <row r="9217" spans="1:13">
      <c r="A9217" s="33" t="str">
        <f t="shared" si="572"/>
        <v>SCL - Operating Expense</v>
      </c>
      <c r="B9217" s="33" t="str">
        <f t="shared" si="573"/>
        <v>SCL</v>
      </c>
      <c r="C9217" s="33" t="str">
        <f t="shared" si="574"/>
        <v>63005-7365</v>
      </c>
      <c r="D9217" s="64" t="s">
        <v>10467</v>
      </c>
      <c r="E9217" s="64" t="s">
        <v>4996</v>
      </c>
      <c r="F9217" s="64" t="s">
        <v>15</v>
      </c>
      <c r="G9217" s="64" t="s">
        <v>3035</v>
      </c>
      <c r="H9217" s="64" t="s">
        <v>3022</v>
      </c>
      <c r="I9217" s="64" t="s">
        <v>3036</v>
      </c>
      <c r="J9217" s="67">
        <v>0</v>
      </c>
      <c r="K9217" s="62">
        <v>120.5</v>
      </c>
      <c r="L9217" s="33" t="e">
        <f>HLOOKUP(B9217,#REF!,1,0)</f>
        <v>#REF!</v>
      </c>
      <c r="M9217" s="33" t="str">
        <f t="shared" si="575"/>
        <v>P&amp;L</v>
      </c>
    </row>
    <row r="9218" spans="1:13">
      <c r="A9218" s="33" t="str">
        <f t="shared" ref="A9218:A9281" si="576">B9218&amp;" - "&amp;TRIM(H9218)</f>
        <v>SCL - Operating Expense</v>
      </c>
      <c r="B9218" s="33" t="str">
        <f t="shared" ref="B9218:B9281" si="577">LEFT(D9218,3)</f>
        <v>SCL</v>
      </c>
      <c r="C9218" s="33" t="str">
        <f t="shared" ref="C9218:C9281" si="578">RIGHT(D9218,10)</f>
        <v>63005-7366</v>
      </c>
      <c r="D9218" s="64" t="s">
        <v>10468</v>
      </c>
      <c r="E9218" s="64" t="s">
        <v>4996</v>
      </c>
      <c r="F9218" s="64" t="s">
        <v>15</v>
      </c>
      <c r="G9218" s="64" t="s">
        <v>3035</v>
      </c>
      <c r="H9218" s="64" t="s">
        <v>3022</v>
      </c>
      <c r="I9218" s="64" t="s">
        <v>3036</v>
      </c>
      <c r="J9218" s="67">
        <v>0</v>
      </c>
      <c r="K9218" s="62">
        <v>246</v>
      </c>
      <c r="L9218" s="33" t="e">
        <f>HLOOKUP(B9218,#REF!,1,0)</f>
        <v>#REF!</v>
      </c>
      <c r="M9218" s="33" t="str">
        <f t="shared" ref="M9218:M9281" si="579">IF(VALUE(LEFT(C9218,5))&gt;40000,"P&amp;L","BS")</f>
        <v>P&amp;L</v>
      </c>
    </row>
    <row r="9219" spans="1:13">
      <c r="A9219" s="33" t="str">
        <f t="shared" si="576"/>
        <v>SCL - Operating Expense</v>
      </c>
      <c r="B9219" s="33" t="str">
        <f t="shared" si="577"/>
        <v>SCL</v>
      </c>
      <c r="C9219" s="33" t="str">
        <f t="shared" si="578"/>
        <v>63005-7368</v>
      </c>
      <c r="D9219" s="64" t="s">
        <v>10469</v>
      </c>
      <c r="E9219" s="64" t="s">
        <v>4996</v>
      </c>
      <c r="F9219" s="64" t="s">
        <v>15</v>
      </c>
      <c r="G9219" s="64" t="s">
        <v>3035</v>
      </c>
      <c r="H9219" s="64" t="s">
        <v>3022</v>
      </c>
      <c r="I9219" s="64" t="s">
        <v>3036</v>
      </c>
      <c r="J9219" s="67">
        <v>0</v>
      </c>
      <c r="K9219" s="62">
        <v>858.5</v>
      </c>
      <c r="L9219" s="33" t="e">
        <f>HLOOKUP(B9219,#REF!,1,0)</f>
        <v>#REF!</v>
      </c>
      <c r="M9219" s="33" t="str">
        <f t="shared" si="579"/>
        <v>P&amp;L</v>
      </c>
    </row>
    <row r="9220" spans="1:13">
      <c r="A9220" s="33" t="str">
        <f t="shared" si="576"/>
        <v>SCL - Operating Expense</v>
      </c>
      <c r="B9220" s="33" t="str">
        <f t="shared" si="577"/>
        <v>SCL</v>
      </c>
      <c r="C9220" s="33" t="str">
        <f t="shared" si="578"/>
        <v>63005-7369</v>
      </c>
      <c r="D9220" s="64" t="s">
        <v>10470</v>
      </c>
      <c r="E9220" s="64" t="s">
        <v>4996</v>
      </c>
      <c r="F9220" s="64" t="s">
        <v>15</v>
      </c>
      <c r="G9220" s="64" t="s">
        <v>3035</v>
      </c>
      <c r="H9220" s="64" t="s">
        <v>3022</v>
      </c>
      <c r="I9220" s="64" t="s">
        <v>3036</v>
      </c>
      <c r="J9220" s="67">
        <v>0</v>
      </c>
      <c r="K9220" s="62">
        <v>246</v>
      </c>
      <c r="L9220" s="33" t="e">
        <f>HLOOKUP(B9220,#REF!,1,0)</f>
        <v>#REF!</v>
      </c>
      <c r="M9220" s="33" t="str">
        <f t="shared" si="579"/>
        <v>P&amp;L</v>
      </c>
    </row>
    <row r="9221" spans="1:13">
      <c r="A9221" s="33" t="str">
        <f t="shared" si="576"/>
        <v>SCL - Operating Expense</v>
      </c>
      <c r="B9221" s="33" t="str">
        <f t="shared" si="577"/>
        <v>SCL</v>
      </c>
      <c r="C9221" s="33" t="str">
        <f t="shared" si="578"/>
        <v>63005-7371</v>
      </c>
      <c r="D9221" s="64" t="s">
        <v>10471</v>
      </c>
      <c r="E9221" s="64" t="s">
        <v>4996</v>
      </c>
      <c r="F9221" s="64" t="s">
        <v>15</v>
      </c>
      <c r="G9221" s="64" t="s">
        <v>3035</v>
      </c>
      <c r="H9221" s="64" t="s">
        <v>3022</v>
      </c>
      <c r="I9221" s="64" t="s">
        <v>3036</v>
      </c>
      <c r="J9221" s="67">
        <v>0</v>
      </c>
      <c r="K9221" s="62">
        <v>120.5</v>
      </c>
      <c r="L9221" s="33" t="e">
        <f>HLOOKUP(B9221,#REF!,1,0)</f>
        <v>#REF!</v>
      </c>
      <c r="M9221" s="33" t="str">
        <f t="shared" si="579"/>
        <v>P&amp;L</v>
      </c>
    </row>
    <row r="9222" spans="1:13">
      <c r="A9222" s="33" t="str">
        <f t="shared" si="576"/>
        <v>SCL - Operating Expense</v>
      </c>
      <c r="B9222" s="33" t="str">
        <f t="shared" si="577"/>
        <v>SCL</v>
      </c>
      <c r="C9222" s="33" t="str">
        <f t="shared" si="578"/>
        <v>63005-7374</v>
      </c>
      <c r="D9222" s="64" t="s">
        <v>10472</v>
      </c>
      <c r="E9222" s="64" t="s">
        <v>4996</v>
      </c>
      <c r="F9222" s="64" t="s">
        <v>15</v>
      </c>
      <c r="G9222" s="64" t="s">
        <v>3035</v>
      </c>
      <c r="H9222" s="64" t="s">
        <v>3022</v>
      </c>
      <c r="I9222" s="64" t="s">
        <v>3036</v>
      </c>
      <c r="J9222" s="67">
        <v>0</v>
      </c>
      <c r="K9222" s="62">
        <v>246</v>
      </c>
      <c r="L9222" s="33" t="e">
        <f>HLOOKUP(B9222,#REF!,1,0)</f>
        <v>#REF!</v>
      </c>
      <c r="M9222" s="33" t="str">
        <f t="shared" si="579"/>
        <v>P&amp;L</v>
      </c>
    </row>
    <row r="9223" spans="1:13">
      <c r="A9223" s="33" t="str">
        <f t="shared" si="576"/>
        <v>SCL - Operating Expense</v>
      </c>
      <c r="B9223" s="33" t="str">
        <f t="shared" si="577"/>
        <v>SCL</v>
      </c>
      <c r="C9223" s="33" t="str">
        <f t="shared" si="578"/>
        <v>63005-7375</v>
      </c>
      <c r="D9223" s="64" t="s">
        <v>10473</v>
      </c>
      <c r="E9223" s="64" t="s">
        <v>4996</v>
      </c>
      <c r="F9223" s="64" t="s">
        <v>15</v>
      </c>
      <c r="G9223" s="64" t="s">
        <v>3035</v>
      </c>
      <c r="H9223" s="64" t="s">
        <v>3022</v>
      </c>
      <c r="I9223" s="64" t="s">
        <v>3036</v>
      </c>
      <c r="J9223" s="67">
        <v>0</v>
      </c>
      <c r="K9223" s="62">
        <v>246</v>
      </c>
      <c r="L9223" s="33" t="e">
        <f>HLOOKUP(B9223,#REF!,1,0)</f>
        <v>#REF!</v>
      </c>
      <c r="M9223" s="33" t="str">
        <f t="shared" si="579"/>
        <v>P&amp;L</v>
      </c>
    </row>
    <row r="9224" spans="1:13">
      <c r="A9224" s="33" t="str">
        <f t="shared" si="576"/>
        <v>SCL - Operating Expense</v>
      </c>
      <c r="B9224" s="33" t="str">
        <f t="shared" si="577"/>
        <v>SCL</v>
      </c>
      <c r="C9224" s="33" t="str">
        <f t="shared" si="578"/>
        <v>63005-7377</v>
      </c>
      <c r="D9224" s="64" t="s">
        <v>10474</v>
      </c>
      <c r="E9224" s="64" t="s">
        <v>4996</v>
      </c>
      <c r="F9224" s="64" t="s">
        <v>15</v>
      </c>
      <c r="G9224" s="64" t="s">
        <v>3035</v>
      </c>
      <c r="H9224" s="64" t="s">
        <v>3022</v>
      </c>
      <c r="I9224" s="64" t="s">
        <v>3036</v>
      </c>
      <c r="J9224" s="67">
        <v>0</v>
      </c>
      <c r="K9224" s="62">
        <v>246</v>
      </c>
      <c r="L9224" s="33" t="e">
        <f>HLOOKUP(B9224,#REF!,1,0)</f>
        <v>#REF!</v>
      </c>
      <c r="M9224" s="33" t="str">
        <f t="shared" si="579"/>
        <v>P&amp;L</v>
      </c>
    </row>
    <row r="9225" spans="1:13">
      <c r="A9225" s="33" t="str">
        <f t="shared" si="576"/>
        <v>SCL - Operating Expense</v>
      </c>
      <c r="B9225" s="33" t="str">
        <f t="shared" si="577"/>
        <v>SCL</v>
      </c>
      <c r="C9225" s="33" t="str">
        <f t="shared" si="578"/>
        <v>63005-7378</v>
      </c>
      <c r="D9225" s="64" t="s">
        <v>10475</v>
      </c>
      <c r="E9225" s="64" t="s">
        <v>4996</v>
      </c>
      <c r="F9225" s="64" t="s">
        <v>15</v>
      </c>
      <c r="G9225" s="64" t="s">
        <v>3035</v>
      </c>
      <c r="H9225" s="64" t="s">
        <v>3022</v>
      </c>
      <c r="I9225" s="64" t="s">
        <v>3036</v>
      </c>
      <c r="J9225" s="67">
        <v>0</v>
      </c>
      <c r="K9225" s="62">
        <v>246</v>
      </c>
      <c r="L9225" s="33" t="e">
        <f>HLOOKUP(B9225,#REF!,1,0)</f>
        <v>#REF!</v>
      </c>
      <c r="M9225" s="33" t="str">
        <f t="shared" si="579"/>
        <v>P&amp;L</v>
      </c>
    </row>
    <row r="9226" spans="1:13">
      <c r="A9226" s="33" t="str">
        <f t="shared" si="576"/>
        <v>SCL - Operating Expense</v>
      </c>
      <c r="B9226" s="33" t="str">
        <f t="shared" si="577"/>
        <v>SCL</v>
      </c>
      <c r="C9226" s="33" t="str">
        <f t="shared" si="578"/>
        <v>63005-7379</v>
      </c>
      <c r="D9226" s="64" t="s">
        <v>10476</v>
      </c>
      <c r="E9226" s="64" t="s">
        <v>4996</v>
      </c>
      <c r="F9226" s="64" t="s">
        <v>15</v>
      </c>
      <c r="G9226" s="64" t="s">
        <v>3035</v>
      </c>
      <c r="H9226" s="64" t="s">
        <v>3022</v>
      </c>
      <c r="I9226" s="64" t="s">
        <v>3036</v>
      </c>
      <c r="J9226" s="67">
        <v>0</v>
      </c>
      <c r="K9226" s="62">
        <v>120.5</v>
      </c>
      <c r="L9226" s="33" t="e">
        <f>HLOOKUP(B9226,#REF!,1,0)</f>
        <v>#REF!</v>
      </c>
      <c r="M9226" s="33" t="str">
        <f t="shared" si="579"/>
        <v>P&amp;L</v>
      </c>
    </row>
    <row r="9227" spans="1:13">
      <c r="A9227" s="33" t="str">
        <f t="shared" si="576"/>
        <v>SCL - Operating Expense</v>
      </c>
      <c r="B9227" s="33" t="str">
        <f t="shared" si="577"/>
        <v>SCL</v>
      </c>
      <c r="C9227" s="33" t="str">
        <f t="shared" si="578"/>
        <v>63005-7380</v>
      </c>
      <c r="D9227" s="64" t="s">
        <v>10477</v>
      </c>
      <c r="E9227" s="64" t="s">
        <v>4996</v>
      </c>
      <c r="F9227" s="64" t="s">
        <v>15</v>
      </c>
      <c r="G9227" s="64" t="s">
        <v>3035</v>
      </c>
      <c r="H9227" s="64" t="s">
        <v>3022</v>
      </c>
      <c r="I9227" s="64" t="s">
        <v>3036</v>
      </c>
      <c r="J9227" s="67">
        <v>0</v>
      </c>
      <c r="K9227" s="62">
        <v>241</v>
      </c>
      <c r="L9227" s="33" t="e">
        <f>HLOOKUP(B9227,#REF!,1,0)</f>
        <v>#REF!</v>
      </c>
      <c r="M9227" s="33" t="str">
        <f t="shared" si="579"/>
        <v>P&amp;L</v>
      </c>
    </row>
    <row r="9228" spans="1:13">
      <c r="A9228" s="33" t="str">
        <f t="shared" si="576"/>
        <v>SCL - Operating Expense</v>
      </c>
      <c r="B9228" s="33" t="str">
        <f t="shared" si="577"/>
        <v>SCL</v>
      </c>
      <c r="C9228" s="33" t="str">
        <f t="shared" si="578"/>
        <v>63005-7381</v>
      </c>
      <c r="D9228" s="64" t="s">
        <v>10478</v>
      </c>
      <c r="E9228" s="64" t="s">
        <v>4996</v>
      </c>
      <c r="F9228" s="64" t="s">
        <v>15</v>
      </c>
      <c r="G9228" s="64" t="s">
        <v>3035</v>
      </c>
      <c r="H9228" s="64" t="s">
        <v>3022</v>
      </c>
      <c r="I9228" s="64" t="s">
        <v>3036</v>
      </c>
      <c r="J9228" s="67">
        <v>0</v>
      </c>
      <c r="K9228" s="62">
        <v>501</v>
      </c>
      <c r="L9228" s="33" t="e">
        <f>HLOOKUP(B9228,#REF!,1,0)</f>
        <v>#REF!</v>
      </c>
      <c r="M9228" s="33" t="str">
        <f t="shared" si="579"/>
        <v>P&amp;L</v>
      </c>
    </row>
    <row r="9229" spans="1:13">
      <c r="A9229" s="33" t="str">
        <f t="shared" si="576"/>
        <v>SCL - Operating Expense</v>
      </c>
      <c r="B9229" s="33" t="str">
        <f t="shared" si="577"/>
        <v>SCL</v>
      </c>
      <c r="C9229" s="33" t="str">
        <f t="shared" si="578"/>
        <v>63005-7383</v>
      </c>
      <c r="D9229" s="64" t="s">
        <v>10479</v>
      </c>
      <c r="E9229" s="64" t="s">
        <v>4996</v>
      </c>
      <c r="F9229" s="64" t="s">
        <v>15</v>
      </c>
      <c r="G9229" s="64" t="s">
        <v>3035</v>
      </c>
      <c r="H9229" s="64" t="s">
        <v>3022</v>
      </c>
      <c r="I9229" s="64" t="s">
        <v>3036</v>
      </c>
      <c r="J9229" s="67">
        <v>0</v>
      </c>
      <c r="K9229" s="62">
        <v>246</v>
      </c>
      <c r="L9229" s="33" t="e">
        <f>HLOOKUP(B9229,#REF!,1,0)</f>
        <v>#REF!</v>
      </c>
      <c r="M9229" s="33" t="str">
        <f t="shared" si="579"/>
        <v>P&amp;L</v>
      </c>
    </row>
    <row r="9230" spans="1:13">
      <c r="A9230" s="33" t="str">
        <f t="shared" si="576"/>
        <v>SCL - Operating Expense</v>
      </c>
      <c r="B9230" s="33" t="str">
        <f t="shared" si="577"/>
        <v>SCL</v>
      </c>
      <c r="C9230" s="33" t="str">
        <f t="shared" si="578"/>
        <v>63005-7385</v>
      </c>
      <c r="D9230" s="64" t="s">
        <v>10480</v>
      </c>
      <c r="E9230" s="64" t="s">
        <v>4996</v>
      </c>
      <c r="F9230" s="64" t="s">
        <v>15</v>
      </c>
      <c r="G9230" s="64" t="s">
        <v>3035</v>
      </c>
      <c r="H9230" s="64" t="s">
        <v>3022</v>
      </c>
      <c r="I9230" s="64" t="s">
        <v>3036</v>
      </c>
      <c r="J9230" s="67">
        <v>0</v>
      </c>
      <c r="K9230" s="62">
        <v>366.5</v>
      </c>
      <c r="L9230" s="33" t="e">
        <f>HLOOKUP(B9230,#REF!,1,0)</f>
        <v>#REF!</v>
      </c>
      <c r="M9230" s="33" t="str">
        <f t="shared" si="579"/>
        <v>P&amp;L</v>
      </c>
    </row>
    <row r="9231" spans="1:13">
      <c r="A9231" s="33" t="str">
        <f t="shared" si="576"/>
        <v>SCL - Operating Expense</v>
      </c>
      <c r="B9231" s="33" t="str">
        <f t="shared" si="577"/>
        <v>SCL</v>
      </c>
      <c r="C9231" s="33" t="str">
        <f t="shared" si="578"/>
        <v>63005-7386</v>
      </c>
      <c r="D9231" s="64" t="s">
        <v>10481</v>
      </c>
      <c r="E9231" s="64" t="s">
        <v>4996</v>
      </c>
      <c r="F9231" s="64" t="s">
        <v>15</v>
      </c>
      <c r="G9231" s="64" t="s">
        <v>3035</v>
      </c>
      <c r="H9231" s="64" t="s">
        <v>3022</v>
      </c>
      <c r="I9231" s="64" t="s">
        <v>3036</v>
      </c>
      <c r="J9231" s="67">
        <v>0</v>
      </c>
      <c r="K9231" s="62">
        <v>246</v>
      </c>
      <c r="L9231" s="33" t="e">
        <f>HLOOKUP(B9231,#REF!,1,0)</f>
        <v>#REF!</v>
      </c>
      <c r="M9231" s="33" t="str">
        <f t="shared" si="579"/>
        <v>P&amp;L</v>
      </c>
    </row>
    <row r="9232" spans="1:13">
      <c r="A9232" s="33" t="str">
        <f t="shared" si="576"/>
        <v>SCL - Operating Expense</v>
      </c>
      <c r="B9232" s="33" t="str">
        <f t="shared" si="577"/>
        <v>SCL</v>
      </c>
      <c r="C9232" s="33" t="str">
        <f t="shared" si="578"/>
        <v>63005-7387</v>
      </c>
      <c r="D9232" s="64" t="s">
        <v>10482</v>
      </c>
      <c r="E9232" s="64" t="s">
        <v>4996</v>
      </c>
      <c r="F9232" s="64" t="s">
        <v>15</v>
      </c>
      <c r="G9232" s="64" t="s">
        <v>3035</v>
      </c>
      <c r="H9232" s="64" t="s">
        <v>3022</v>
      </c>
      <c r="I9232" s="64" t="s">
        <v>3036</v>
      </c>
      <c r="J9232" s="67">
        <v>0</v>
      </c>
      <c r="K9232" s="62">
        <v>246</v>
      </c>
      <c r="L9232" s="33" t="e">
        <f>HLOOKUP(B9232,#REF!,1,0)</f>
        <v>#REF!</v>
      </c>
      <c r="M9232" s="33" t="str">
        <f t="shared" si="579"/>
        <v>P&amp;L</v>
      </c>
    </row>
    <row r="9233" spans="1:13">
      <c r="A9233" s="33" t="str">
        <f t="shared" si="576"/>
        <v>SCL - Operating Expense</v>
      </c>
      <c r="B9233" s="33" t="str">
        <f t="shared" si="577"/>
        <v>SCL</v>
      </c>
      <c r="C9233" s="33" t="str">
        <f t="shared" si="578"/>
        <v>63005-7389</v>
      </c>
      <c r="D9233" s="64" t="s">
        <v>10483</v>
      </c>
      <c r="E9233" s="64" t="s">
        <v>4996</v>
      </c>
      <c r="F9233" s="64" t="s">
        <v>15</v>
      </c>
      <c r="G9233" s="64" t="s">
        <v>3035</v>
      </c>
      <c r="H9233" s="64" t="s">
        <v>3022</v>
      </c>
      <c r="I9233" s="64" t="s">
        <v>3036</v>
      </c>
      <c r="J9233" s="67">
        <v>0</v>
      </c>
      <c r="K9233" s="62">
        <v>246</v>
      </c>
      <c r="L9233" s="33" t="e">
        <f>HLOOKUP(B9233,#REF!,1,0)</f>
        <v>#REF!</v>
      </c>
      <c r="M9233" s="33" t="str">
        <f t="shared" si="579"/>
        <v>P&amp;L</v>
      </c>
    </row>
    <row r="9234" spans="1:13">
      <c r="A9234" s="33" t="str">
        <f t="shared" si="576"/>
        <v>SCL - Operating Expense</v>
      </c>
      <c r="B9234" s="33" t="str">
        <f t="shared" si="577"/>
        <v>SCL</v>
      </c>
      <c r="C9234" s="33" t="str">
        <f t="shared" si="578"/>
        <v>63005-7391</v>
      </c>
      <c r="D9234" s="64" t="s">
        <v>10484</v>
      </c>
      <c r="E9234" s="64" t="s">
        <v>4996</v>
      </c>
      <c r="F9234" s="64" t="s">
        <v>15</v>
      </c>
      <c r="G9234" s="64" t="s">
        <v>3035</v>
      </c>
      <c r="H9234" s="64" t="s">
        <v>3022</v>
      </c>
      <c r="I9234" s="64" t="s">
        <v>3036</v>
      </c>
      <c r="J9234" s="67">
        <v>0</v>
      </c>
      <c r="K9234" s="62">
        <v>246</v>
      </c>
      <c r="L9234" s="33" t="e">
        <f>HLOOKUP(B9234,#REF!,1,0)</f>
        <v>#REF!</v>
      </c>
      <c r="M9234" s="33" t="str">
        <f t="shared" si="579"/>
        <v>P&amp;L</v>
      </c>
    </row>
    <row r="9235" spans="1:13">
      <c r="A9235" s="33" t="str">
        <f t="shared" si="576"/>
        <v>SCL - Operating Expense</v>
      </c>
      <c r="B9235" s="33" t="str">
        <f t="shared" si="577"/>
        <v>SCL</v>
      </c>
      <c r="C9235" s="33" t="str">
        <f t="shared" si="578"/>
        <v>63005-7393</v>
      </c>
      <c r="D9235" s="64" t="s">
        <v>10485</v>
      </c>
      <c r="E9235" s="64" t="s">
        <v>4996</v>
      </c>
      <c r="F9235" s="64" t="s">
        <v>15</v>
      </c>
      <c r="G9235" s="64" t="s">
        <v>3035</v>
      </c>
      <c r="H9235" s="64" t="s">
        <v>3022</v>
      </c>
      <c r="I9235" s="64" t="s">
        <v>3036</v>
      </c>
      <c r="J9235" s="67">
        <v>0</v>
      </c>
      <c r="K9235" s="62">
        <v>246</v>
      </c>
      <c r="L9235" s="33" t="e">
        <f>HLOOKUP(B9235,#REF!,1,0)</f>
        <v>#REF!</v>
      </c>
      <c r="M9235" s="33" t="str">
        <f t="shared" si="579"/>
        <v>P&amp;L</v>
      </c>
    </row>
    <row r="9236" spans="1:13">
      <c r="A9236" s="33" t="str">
        <f t="shared" si="576"/>
        <v>SCL - Operating Expense</v>
      </c>
      <c r="B9236" s="33" t="str">
        <f t="shared" si="577"/>
        <v>SCL</v>
      </c>
      <c r="C9236" s="33" t="str">
        <f t="shared" si="578"/>
        <v>63005-7394</v>
      </c>
      <c r="D9236" s="64" t="s">
        <v>10486</v>
      </c>
      <c r="E9236" s="64" t="s">
        <v>4996</v>
      </c>
      <c r="F9236" s="64" t="s">
        <v>15</v>
      </c>
      <c r="G9236" s="64" t="s">
        <v>3035</v>
      </c>
      <c r="H9236" s="64" t="s">
        <v>3022</v>
      </c>
      <c r="I9236" s="64" t="s">
        <v>3036</v>
      </c>
      <c r="J9236" s="67">
        <v>0</v>
      </c>
      <c r="K9236" s="62">
        <v>246</v>
      </c>
      <c r="L9236" s="33" t="e">
        <f>HLOOKUP(B9236,#REF!,1,0)</f>
        <v>#REF!</v>
      </c>
      <c r="M9236" s="33" t="str">
        <f t="shared" si="579"/>
        <v>P&amp;L</v>
      </c>
    </row>
    <row r="9237" spans="1:13">
      <c r="A9237" s="33" t="str">
        <f t="shared" si="576"/>
        <v>SCL - Operating Expense</v>
      </c>
      <c r="B9237" s="33" t="str">
        <f t="shared" si="577"/>
        <v>SCL</v>
      </c>
      <c r="C9237" s="33" t="str">
        <f t="shared" si="578"/>
        <v>63005-7396</v>
      </c>
      <c r="D9237" s="64" t="s">
        <v>10487</v>
      </c>
      <c r="E9237" s="64" t="s">
        <v>4996</v>
      </c>
      <c r="F9237" s="64" t="s">
        <v>15</v>
      </c>
      <c r="G9237" s="64" t="s">
        <v>3035</v>
      </c>
      <c r="H9237" s="64" t="s">
        <v>3022</v>
      </c>
      <c r="I9237" s="64" t="s">
        <v>3036</v>
      </c>
      <c r="J9237" s="67">
        <v>0</v>
      </c>
      <c r="K9237" s="62">
        <v>251</v>
      </c>
      <c r="L9237" s="33" t="e">
        <f>HLOOKUP(B9237,#REF!,1,0)</f>
        <v>#REF!</v>
      </c>
      <c r="M9237" s="33" t="str">
        <f t="shared" si="579"/>
        <v>P&amp;L</v>
      </c>
    </row>
    <row r="9238" spans="1:13">
      <c r="A9238" s="33" t="str">
        <f t="shared" si="576"/>
        <v>SCL - Operating Expense</v>
      </c>
      <c r="B9238" s="33" t="str">
        <f t="shared" si="577"/>
        <v>SCL</v>
      </c>
      <c r="C9238" s="33" t="str">
        <f t="shared" si="578"/>
        <v>63005-7397</v>
      </c>
      <c r="D9238" s="64" t="s">
        <v>10488</v>
      </c>
      <c r="E9238" s="64" t="s">
        <v>4996</v>
      </c>
      <c r="F9238" s="64" t="s">
        <v>15</v>
      </c>
      <c r="G9238" s="64" t="s">
        <v>3035</v>
      </c>
      <c r="H9238" s="64" t="s">
        <v>3022</v>
      </c>
      <c r="I9238" s="64" t="s">
        <v>3036</v>
      </c>
      <c r="J9238" s="67">
        <v>0</v>
      </c>
      <c r="K9238" s="62">
        <v>170.5</v>
      </c>
      <c r="L9238" s="33" t="e">
        <f>HLOOKUP(B9238,#REF!,1,0)</f>
        <v>#REF!</v>
      </c>
      <c r="M9238" s="33" t="str">
        <f t="shared" si="579"/>
        <v>P&amp;L</v>
      </c>
    </row>
    <row r="9239" spans="1:13">
      <c r="A9239" s="33" t="str">
        <f t="shared" si="576"/>
        <v>SCL - Operating Expense</v>
      </c>
      <c r="B9239" s="33" t="str">
        <f t="shared" si="577"/>
        <v>SCL</v>
      </c>
      <c r="C9239" s="33" t="str">
        <f t="shared" si="578"/>
        <v>63005-7398</v>
      </c>
      <c r="D9239" s="64" t="s">
        <v>10489</v>
      </c>
      <c r="E9239" s="64" t="s">
        <v>4996</v>
      </c>
      <c r="F9239" s="64" t="s">
        <v>15</v>
      </c>
      <c r="G9239" s="64" t="s">
        <v>3035</v>
      </c>
      <c r="H9239" s="64" t="s">
        <v>3022</v>
      </c>
      <c r="I9239" s="64" t="s">
        <v>3036</v>
      </c>
      <c r="J9239" s="67">
        <v>0</v>
      </c>
      <c r="K9239" s="62">
        <v>246</v>
      </c>
      <c r="L9239" s="33" t="e">
        <f>HLOOKUP(B9239,#REF!,1,0)</f>
        <v>#REF!</v>
      </c>
      <c r="M9239" s="33" t="str">
        <f t="shared" si="579"/>
        <v>P&amp;L</v>
      </c>
    </row>
    <row r="9240" spans="1:13">
      <c r="A9240" s="33" t="str">
        <f t="shared" si="576"/>
        <v>SCL - Operating Expense</v>
      </c>
      <c r="B9240" s="33" t="str">
        <f t="shared" si="577"/>
        <v>SCL</v>
      </c>
      <c r="C9240" s="33" t="str">
        <f t="shared" si="578"/>
        <v>63005-7400</v>
      </c>
      <c r="D9240" s="64" t="s">
        <v>10490</v>
      </c>
      <c r="E9240" s="64" t="s">
        <v>4996</v>
      </c>
      <c r="F9240" s="64" t="s">
        <v>15</v>
      </c>
      <c r="G9240" s="64" t="s">
        <v>3035</v>
      </c>
      <c r="H9240" s="64" t="s">
        <v>3022</v>
      </c>
      <c r="I9240" s="64" t="s">
        <v>3036</v>
      </c>
      <c r="J9240" s="67">
        <v>0</v>
      </c>
      <c r="K9240" s="62">
        <v>125.5</v>
      </c>
      <c r="L9240" s="33" t="e">
        <f>HLOOKUP(B9240,#REF!,1,0)</f>
        <v>#REF!</v>
      </c>
      <c r="M9240" s="33" t="str">
        <f t="shared" si="579"/>
        <v>P&amp;L</v>
      </c>
    </row>
    <row r="9241" spans="1:13">
      <c r="A9241" s="33" t="str">
        <f t="shared" si="576"/>
        <v>SCL - Operating Expense</v>
      </c>
      <c r="B9241" s="33" t="str">
        <f t="shared" si="577"/>
        <v>SCL</v>
      </c>
      <c r="C9241" s="33" t="str">
        <f t="shared" si="578"/>
        <v>63005-7401</v>
      </c>
      <c r="D9241" s="64" t="s">
        <v>10491</v>
      </c>
      <c r="E9241" s="64" t="s">
        <v>4996</v>
      </c>
      <c r="F9241" s="64" t="s">
        <v>15</v>
      </c>
      <c r="G9241" s="64" t="s">
        <v>3035</v>
      </c>
      <c r="H9241" s="64" t="s">
        <v>3022</v>
      </c>
      <c r="I9241" s="64" t="s">
        <v>3036</v>
      </c>
      <c r="J9241" s="67">
        <v>0</v>
      </c>
      <c r="K9241" s="62">
        <v>246</v>
      </c>
      <c r="L9241" s="33" t="e">
        <f>HLOOKUP(B9241,#REF!,1,0)</f>
        <v>#REF!</v>
      </c>
      <c r="M9241" s="33" t="str">
        <f t="shared" si="579"/>
        <v>P&amp;L</v>
      </c>
    </row>
    <row r="9242" spans="1:13">
      <c r="A9242" s="33" t="str">
        <f t="shared" si="576"/>
        <v>SCL - Operating Expense</v>
      </c>
      <c r="B9242" s="33" t="str">
        <f t="shared" si="577"/>
        <v>SCL</v>
      </c>
      <c r="C9242" s="33" t="str">
        <f t="shared" si="578"/>
        <v>63005-7402</v>
      </c>
      <c r="D9242" s="64" t="s">
        <v>10492</v>
      </c>
      <c r="E9242" s="64" t="s">
        <v>4996</v>
      </c>
      <c r="F9242" s="64" t="s">
        <v>15</v>
      </c>
      <c r="G9242" s="64" t="s">
        <v>3035</v>
      </c>
      <c r="H9242" s="64" t="s">
        <v>3022</v>
      </c>
      <c r="I9242" s="64" t="s">
        <v>3036</v>
      </c>
      <c r="J9242" s="67">
        <v>0</v>
      </c>
      <c r="K9242" s="62">
        <v>246</v>
      </c>
      <c r="L9242" s="33" t="e">
        <f>HLOOKUP(B9242,#REF!,1,0)</f>
        <v>#REF!</v>
      </c>
      <c r="M9242" s="33" t="str">
        <f t="shared" si="579"/>
        <v>P&amp;L</v>
      </c>
    </row>
    <row r="9243" spans="1:13">
      <c r="A9243" s="33" t="str">
        <f t="shared" si="576"/>
        <v>SCL - Operating Expense</v>
      </c>
      <c r="B9243" s="33" t="str">
        <f t="shared" si="577"/>
        <v>SCL</v>
      </c>
      <c r="C9243" s="33" t="str">
        <f t="shared" si="578"/>
        <v>63005-7403</v>
      </c>
      <c r="D9243" s="64" t="s">
        <v>10493</v>
      </c>
      <c r="E9243" s="64" t="s">
        <v>4996</v>
      </c>
      <c r="F9243" s="64" t="s">
        <v>15</v>
      </c>
      <c r="G9243" s="64" t="s">
        <v>3035</v>
      </c>
      <c r="H9243" s="64" t="s">
        <v>3022</v>
      </c>
      <c r="I9243" s="64" t="s">
        <v>3036</v>
      </c>
      <c r="J9243" s="67">
        <v>0</v>
      </c>
      <c r="K9243" s="62">
        <v>125.5</v>
      </c>
      <c r="L9243" s="33" t="e">
        <f>HLOOKUP(B9243,#REF!,1,0)</f>
        <v>#REF!</v>
      </c>
      <c r="M9243" s="33" t="str">
        <f t="shared" si="579"/>
        <v>P&amp;L</v>
      </c>
    </row>
    <row r="9244" spans="1:13">
      <c r="A9244" s="33" t="str">
        <f t="shared" si="576"/>
        <v>SCL - Operating Expense</v>
      </c>
      <c r="B9244" s="33" t="str">
        <f t="shared" si="577"/>
        <v>SCL</v>
      </c>
      <c r="C9244" s="33" t="str">
        <f t="shared" si="578"/>
        <v>63005-7489</v>
      </c>
      <c r="D9244" s="64" t="s">
        <v>10494</v>
      </c>
      <c r="E9244" s="64" t="s">
        <v>4996</v>
      </c>
      <c r="F9244" s="64" t="s">
        <v>15</v>
      </c>
      <c r="G9244" s="64" t="s">
        <v>3035</v>
      </c>
      <c r="H9244" s="64" t="s">
        <v>3022</v>
      </c>
      <c r="I9244" s="64" t="s">
        <v>3036</v>
      </c>
      <c r="J9244" s="67">
        <v>0</v>
      </c>
      <c r="K9244" s="62">
        <v>251</v>
      </c>
      <c r="L9244" s="33" t="e">
        <f>HLOOKUP(B9244,#REF!,1,0)</f>
        <v>#REF!</v>
      </c>
      <c r="M9244" s="33" t="str">
        <f t="shared" si="579"/>
        <v>P&amp;L</v>
      </c>
    </row>
    <row r="9245" spans="1:13">
      <c r="A9245" s="33" t="str">
        <f t="shared" si="576"/>
        <v>SCL - Operating Expense</v>
      </c>
      <c r="B9245" s="33" t="str">
        <f t="shared" si="577"/>
        <v>SCL</v>
      </c>
      <c r="C9245" s="33" t="str">
        <f t="shared" si="578"/>
        <v>63005-7491</v>
      </c>
      <c r="D9245" s="64" t="s">
        <v>10495</v>
      </c>
      <c r="E9245" s="64" t="s">
        <v>4996</v>
      </c>
      <c r="F9245" s="64" t="s">
        <v>15</v>
      </c>
      <c r="G9245" s="64" t="s">
        <v>3035</v>
      </c>
      <c r="H9245" s="64" t="s">
        <v>3022</v>
      </c>
      <c r="I9245" s="64" t="s">
        <v>3036</v>
      </c>
      <c r="J9245" s="67">
        <v>0</v>
      </c>
      <c r="K9245" s="62">
        <v>245.5</v>
      </c>
      <c r="L9245" s="33" t="e">
        <f>HLOOKUP(B9245,#REF!,1,0)</f>
        <v>#REF!</v>
      </c>
      <c r="M9245" s="33" t="str">
        <f t="shared" si="579"/>
        <v>P&amp;L</v>
      </c>
    </row>
    <row r="9246" spans="1:13">
      <c r="A9246" s="33" t="str">
        <f t="shared" si="576"/>
        <v>SCL - Operating Expense</v>
      </c>
      <c r="B9246" s="33" t="str">
        <f t="shared" si="577"/>
        <v>SCL</v>
      </c>
      <c r="C9246" s="33" t="str">
        <f t="shared" si="578"/>
        <v>63005-7492</v>
      </c>
      <c r="D9246" s="64" t="s">
        <v>10496</v>
      </c>
      <c r="E9246" s="64" t="s">
        <v>4996</v>
      </c>
      <c r="F9246" s="64" t="s">
        <v>15</v>
      </c>
      <c r="G9246" s="64" t="s">
        <v>3035</v>
      </c>
      <c r="H9246" s="64" t="s">
        <v>3022</v>
      </c>
      <c r="I9246" s="64" t="s">
        <v>3036</v>
      </c>
      <c r="J9246" s="67">
        <v>0</v>
      </c>
      <c r="K9246" s="62">
        <v>497</v>
      </c>
      <c r="L9246" s="33" t="e">
        <f>HLOOKUP(B9246,#REF!,1,0)</f>
        <v>#REF!</v>
      </c>
      <c r="M9246" s="33" t="str">
        <f t="shared" si="579"/>
        <v>P&amp;L</v>
      </c>
    </row>
    <row r="9247" spans="1:13">
      <c r="A9247" s="33" t="str">
        <f t="shared" si="576"/>
        <v>SCL - Operating Expense</v>
      </c>
      <c r="B9247" s="33" t="str">
        <f t="shared" si="577"/>
        <v>SCL</v>
      </c>
      <c r="C9247" s="33" t="str">
        <f t="shared" si="578"/>
        <v>63005-7493</v>
      </c>
      <c r="D9247" s="64" t="s">
        <v>10497</v>
      </c>
      <c r="E9247" s="64" t="s">
        <v>4996</v>
      </c>
      <c r="F9247" s="64" t="s">
        <v>15</v>
      </c>
      <c r="G9247" s="64" t="s">
        <v>3035</v>
      </c>
      <c r="H9247" s="64" t="s">
        <v>3022</v>
      </c>
      <c r="I9247" s="64" t="s">
        <v>3036</v>
      </c>
      <c r="J9247" s="67">
        <v>0</v>
      </c>
      <c r="K9247" s="62">
        <v>120.5</v>
      </c>
      <c r="L9247" s="33" t="e">
        <f>HLOOKUP(B9247,#REF!,1,0)</f>
        <v>#REF!</v>
      </c>
      <c r="M9247" s="33" t="str">
        <f t="shared" si="579"/>
        <v>P&amp;L</v>
      </c>
    </row>
    <row r="9248" spans="1:13">
      <c r="A9248" s="33" t="str">
        <f t="shared" si="576"/>
        <v>SCL - Operating Expense</v>
      </c>
      <c r="B9248" s="33" t="str">
        <f t="shared" si="577"/>
        <v>SCL</v>
      </c>
      <c r="C9248" s="33" t="str">
        <f t="shared" si="578"/>
        <v>63005-7494</v>
      </c>
      <c r="D9248" s="64" t="s">
        <v>10498</v>
      </c>
      <c r="E9248" s="64" t="s">
        <v>4996</v>
      </c>
      <c r="F9248" s="64" t="s">
        <v>15</v>
      </c>
      <c r="G9248" s="64" t="s">
        <v>3035</v>
      </c>
      <c r="H9248" s="64" t="s">
        <v>3022</v>
      </c>
      <c r="I9248" s="64" t="s">
        <v>3036</v>
      </c>
      <c r="J9248" s="67">
        <v>0</v>
      </c>
      <c r="K9248" s="62">
        <v>246</v>
      </c>
      <c r="L9248" s="33" t="e">
        <f>HLOOKUP(B9248,#REF!,1,0)</f>
        <v>#REF!</v>
      </c>
      <c r="M9248" s="33" t="str">
        <f t="shared" si="579"/>
        <v>P&amp;L</v>
      </c>
    </row>
    <row r="9249" spans="1:13">
      <c r="A9249" s="33" t="str">
        <f t="shared" si="576"/>
        <v>SCL - Operating Expense</v>
      </c>
      <c r="B9249" s="33" t="str">
        <f t="shared" si="577"/>
        <v>SCL</v>
      </c>
      <c r="C9249" s="33" t="str">
        <f t="shared" si="578"/>
        <v>63005-7625</v>
      </c>
      <c r="D9249" s="64" t="s">
        <v>10499</v>
      </c>
      <c r="E9249" s="64" t="s">
        <v>4996</v>
      </c>
      <c r="F9249" s="64" t="s">
        <v>15</v>
      </c>
      <c r="G9249" s="64" t="s">
        <v>3035</v>
      </c>
      <c r="H9249" s="64" t="s">
        <v>3022</v>
      </c>
      <c r="I9249" s="64" t="s">
        <v>3036</v>
      </c>
      <c r="J9249" s="67">
        <v>0</v>
      </c>
      <c r="K9249" s="62">
        <v>246</v>
      </c>
      <c r="L9249" s="33" t="e">
        <f>HLOOKUP(B9249,#REF!,1,0)</f>
        <v>#REF!</v>
      </c>
      <c r="M9249" s="33" t="str">
        <f t="shared" si="579"/>
        <v>P&amp;L</v>
      </c>
    </row>
    <row r="9250" spans="1:13">
      <c r="A9250" s="33" t="str">
        <f t="shared" si="576"/>
        <v>SCL - Operating Expense</v>
      </c>
      <c r="B9250" s="33" t="str">
        <f t="shared" si="577"/>
        <v>SCL</v>
      </c>
      <c r="C9250" s="33" t="str">
        <f t="shared" si="578"/>
        <v>63006-7352</v>
      </c>
      <c r="D9250" s="64" t="s">
        <v>10500</v>
      </c>
      <c r="E9250" s="64" t="s">
        <v>3146</v>
      </c>
      <c r="F9250" s="64" t="s">
        <v>15</v>
      </c>
      <c r="G9250" s="64" t="s">
        <v>3035</v>
      </c>
      <c r="H9250" s="64" t="s">
        <v>3022</v>
      </c>
      <c r="I9250" s="64" t="s">
        <v>3036</v>
      </c>
      <c r="J9250" s="67">
        <v>258</v>
      </c>
      <c r="K9250" s="62">
        <v>1032</v>
      </c>
      <c r="L9250" s="33" t="e">
        <f>HLOOKUP(B9250,#REF!,1,0)</f>
        <v>#REF!</v>
      </c>
      <c r="M9250" s="33" t="str">
        <f t="shared" si="579"/>
        <v>P&amp;L</v>
      </c>
    </row>
    <row r="9251" spans="1:13">
      <c r="A9251" s="33" t="str">
        <f t="shared" si="576"/>
        <v>SCL - Operating Expense</v>
      </c>
      <c r="B9251" s="33" t="str">
        <f t="shared" si="577"/>
        <v>SCL</v>
      </c>
      <c r="C9251" s="33" t="str">
        <f t="shared" si="578"/>
        <v>63006-7355</v>
      </c>
      <c r="D9251" s="64" t="s">
        <v>10501</v>
      </c>
      <c r="E9251" s="64" t="s">
        <v>3146</v>
      </c>
      <c r="F9251" s="64" t="s">
        <v>15</v>
      </c>
      <c r="G9251" s="64" t="s">
        <v>3035</v>
      </c>
      <c r="H9251" s="64" t="s">
        <v>3022</v>
      </c>
      <c r="I9251" s="64" t="s">
        <v>3036</v>
      </c>
      <c r="J9251" s="67">
        <v>0</v>
      </c>
      <c r="K9251" s="62">
        <v>75</v>
      </c>
      <c r="L9251" s="33" t="e">
        <f>HLOOKUP(B9251,#REF!,1,0)</f>
        <v>#REF!</v>
      </c>
      <c r="M9251" s="33" t="str">
        <f t="shared" si="579"/>
        <v>P&amp;L</v>
      </c>
    </row>
    <row r="9252" spans="1:13">
      <c r="A9252" s="33" t="str">
        <f t="shared" si="576"/>
        <v>SCL - Operating Expense</v>
      </c>
      <c r="B9252" s="33" t="str">
        <f t="shared" si="577"/>
        <v>SCL</v>
      </c>
      <c r="C9252" s="33" t="str">
        <f t="shared" si="578"/>
        <v>63006-7359</v>
      </c>
      <c r="D9252" s="64" t="s">
        <v>10502</v>
      </c>
      <c r="E9252" s="64" t="s">
        <v>3146</v>
      </c>
      <c r="F9252" s="64" t="s">
        <v>15</v>
      </c>
      <c r="G9252" s="64" t="s">
        <v>3035</v>
      </c>
      <c r="H9252" s="64" t="s">
        <v>3022</v>
      </c>
      <c r="I9252" s="64" t="s">
        <v>3036</v>
      </c>
      <c r="J9252" s="67">
        <v>0</v>
      </c>
      <c r="K9252" s="62">
        <v>75</v>
      </c>
      <c r="L9252" s="33" t="e">
        <f>HLOOKUP(B9252,#REF!,1,0)</f>
        <v>#REF!</v>
      </c>
      <c r="M9252" s="33" t="str">
        <f t="shared" si="579"/>
        <v>P&amp;L</v>
      </c>
    </row>
    <row r="9253" spans="1:13">
      <c r="A9253" s="33" t="str">
        <f t="shared" si="576"/>
        <v>SCL - Operating Expense</v>
      </c>
      <c r="B9253" s="33" t="str">
        <f t="shared" si="577"/>
        <v>SCL</v>
      </c>
      <c r="C9253" s="33" t="str">
        <f t="shared" si="578"/>
        <v>63006-7361</v>
      </c>
      <c r="D9253" s="64" t="s">
        <v>10503</v>
      </c>
      <c r="E9253" s="64" t="s">
        <v>3146</v>
      </c>
      <c r="F9253" s="64" t="s">
        <v>15</v>
      </c>
      <c r="G9253" s="64" t="s">
        <v>3035</v>
      </c>
      <c r="H9253" s="64" t="s">
        <v>3022</v>
      </c>
      <c r="I9253" s="64" t="s">
        <v>3036</v>
      </c>
      <c r="J9253" s="67">
        <v>0</v>
      </c>
      <c r="K9253" s="62">
        <v>430</v>
      </c>
      <c r="L9253" s="33" t="e">
        <f>HLOOKUP(B9253,#REF!,1,0)</f>
        <v>#REF!</v>
      </c>
      <c r="M9253" s="33" t="str">
        <f t="shared" si="579"/>
        <v>P&amp;L</v>
      </c>
    </row>
    <row r="9254" spans="1:13">
      <c r="A9254" s="33" t="str">
        <f t="shared" si="576"/>
        <v>SCL - Operating Expense</v>
      </c>
      <c r="B9254" s="33" t="str">
        <f t="shared" si="577"/>
        <v>SCL</v>
      </c>
      <c r="C9254" s="33" t="str">
        <f t="shared" si="578"/>
        <v>63006-7363</v>
      </c>
      <c r="D9254" s="64" t="s">
        <v>10504</v>
      </c>
      <c r="E9254" s="64" t="s">
        <v>3146</v>
      </c>
      <c r="F9254" s="64" t="s">
        <v>15</v>
      </c>
      <c r="G9254" s="64" t="s">
        <v>3035</v>
      </c>
      <c r="H9254" s="64" t="s">
        <v>3022</v>
      </c>
      <c r="I9254" s="64" t="s">
        <v>3036</v>
      </c>
      <c r="J9254" s="67">
        <v>75</v>
      </c>
      <c r="K9254" s="62">
        <v>225</v>
      </c>
      <c r="L9254" s="33" t="e">
        <f>HLOOKUP(B9254,#REF!,1,0)</f>
        <v>#REF!</v>
      </c>
      <c r="M9254" s="33" t="str">
        <f t="shared" si="579"/>
        <v>P&amp;L</v>
      </c>
    </row>
    <row r="9255" spans="1:13">
      <c r="A9255" s="33" t="str">
        <f t="shared" si="576"/>
        <v>SCL - Operating Expense</v>
      </c>
      <c r="B9255" s="33" t="str">
        <f t="shared" si="577"/>
        <v>SCL</v>
      </c>
      <c r="C9255" s="33" t="str">
        <f t="shared" si="578"/>
        <v>63006-7374</v>
      </c>
      <c r="D9255" s="64" t="s">
        <v>10505</v>
      </c>
      <c r="E9255" s="64" t="s">
        <v>3146</v>
      </c>
      <c r="F9255" s="64" t="s">
        <v>15</v>
      </c>
      <c r="G9255" s="64" t="s">
        <v>3035</v>
      </c>
      <c r="H9255" s="64" t="s">
        <v>3022</v>
      </c>
      <c r="I9255" s="64" t="s">
        <v>3036</v>
      </c>
      <c r="J9255" s="67">
        <v>0</v>
      </c>
      <c r="K9255" s="62">
        <v>774</v>
      </c>
      <c r="L9255" s="33" t="e">
        <f>HLOOKUP(B9255,#REF!,1,0)</f>
        <v>#REF!</v>
      </c>
      <c r="M9255" s="33" t="str">
        <f t="shared" si="579"/>
        <v>P&amp;L</v>
      </c>
    </row>
    <row r="9256" spans="1:13">
      <c r="A9256" s="33" t="str">
        <f t="shared" si="576"/>
        <v>SCL - Operating Expense</v>
      </c>
      <c r="B9256" s="33" t="str">
        <f t="shared" si="577"/>
        <v>SCL</v>
      </c>
      <c r="C9256" s="33" t="str">
        <f t="shared" si="578"/>
        <v>63006-7375</v>
      </c>
      <c r="D9256" s="64" t="s">
        <v>10506</v>
      </c>
      <c r="E9256" s="64" t="s">
        <v>3146</v>
      </c>
      <c r="F9256" s="64" t="s">
        <v>15</v>
      </c>
      <c r="G9256" s="64" t="s">
        <v>3035</v>
      </c>
      <c r="H9256" s="64" t="s">
        <v>3022</v>
      </c>
      <c r="I9256" s="64" t="s">
        <v>3036</v>
      </c>
      <c r="J9256" s="67">
        <v>0</v>
      </c>
      <c r="K9256" s="62">
        <v>75</v>
      </c>
      <c r="L9256" s="33" t="e">
        <f>HLOOKUP(B9256,#REF!,1,0)</f>
        <v>#REF!</v>
      </c>
      <c r="M9256" s="33" t="str">
        <f t="shared" si="579"/>
        <v>P&amp;L</v>
      </c>
    </row>
    <row r="9257" spans="1:13">
      <c r="A9257" s="33" t="str">
        <f t="shared" si="576"/>
        <v>SCL - Operating Expense</v>
      </c>
      <c r="B9257" s="33" t="str">
        <f t="shared" si="577"/>
        <v>SCL</v>
      </c>
      <c r="C9257" s="33" t="str">
        <f t="shared" si="578"/>
        <v>63006-7376</v>
      </c>
      <c r="D9257" s="64" t="s">
        <v>10507</v>
      </c>
      <c r="E9257" s="64" t="s">
        <v>3146</v>
      </c>
      <c r="F9257" s="64" t="s">
        <v>15</v>
      </c>
      <c r="G9257" s="64" t="s">
        <v>3035</v>
      </c>
      <c r="H9257" s="64" t="s">
        <v>3022</v>
      </c>
      <c r="I9257" s="64" t="s">
        <v>3036</v>
      </c>
      <c r="J9257" s="67">
        <v>0</v>
      </c>
      <c r="K9257" s="62">
        <v>150</v>
      </c>
      <c r="L9257" s="33" t="e">
        <f>HLOOKUP(B9257,#REF!,1,0)</f>
        <v>#REF!</v>
      </c>
      <c r="M9257" s="33" t="str">
        <f t="shared" si="579"/>
        <v>P&amp;L</v>
      </c>
    </row>
    <row r="9258" spans="1:13">
      <c r="A9258" s="33" t="str">
        <f t="shared" si="576"/>
        <v>SCL - Operating Expense</v>
      </c>
      <c r="B9258" s="33" t="str">
        <f t="shared" si="577"/>
        <v>SCL</v>
      </c>
      <c r="C9258" s="33" t="str">
        <f t="shared" si="578"/>
        <v>63006-7380</v>
      </c>
      <c r="D9258" s="64" t="s">
        <v>10508</v>
      </c>
      <c r="E9258" s="64" t="s">
        <v>3146</v>
      </c>
      <c r="F9258" s="64" t="s">
        <v>15</v>
      </c>
      <c r="G9258" s="64" t="s">
        <v>3035</v>
      </c>
      <c r="H9258" s="64" t="s">
        <v>3022</v>
      </c>
      <c r="I9258" s="64" t="s">
        <v>3036</v>
      </c>
      <c r="J9258" s="67">
        <v>75</v>
      </c>
      <c r="K9258" s="62">
        <v>300</v>
      </c>
      <c r="L9258" s="33" t="e">
        <f>HLOOKUP(B9258,#REF!,1,0)</f>
        <v>#REF!</v>
      </c>
      <c r="M9258" s="33" t="str">
        <f t="shared" si="579"/>
        <v>P&amp;L</v>
      </c>
    </row>
    <row r="9259" spans="1:13">
      <c r="A9259" s="33" t="str">
        <f t="shared" si="576"/>
        <v>SCL - Operating Expense</v>
      </c>
      <c r="B9259" s="33" t="str">
        <f t="shared" si="577"/>
        <v>SCL</v>
      </c>
      <c r="C9259" s="33" t="str">
        <f t="shared" si="578"/>
        <v>63006-7381</v>
      </c>
      <c r="D9259" s="64" t="s">
        <v>10509</v>
      </c>
      <c r="E9259" s="64" t="s">
        <v>3146</v>
      </c>
      <c r="F9259" s="64" t="s">
        <v>15</v>
      </c>
      <c r="G9259" s="64" t="s">
        <v>3035</v>
      </c>
      <c r="H9259" s="64" t="s">
        <v>3022</v>
      </c>
      <c r="I9259" s="64" t="s">
        <v>3036</v>
      </c>
      <c r="J9259" s="67">
        <v>0</v>
      </c>
      <c r="K9259" s="62">
        <v>215</v>
      </c>
      <c r="L9259" s="33" t="e">
        <f>HLOOKUP(B9259,#REF!,1,0)</f>
        <v>#REF!</v>
      </c>
      <c r="M9259" s="33" t="str">
        <f t="shared" si="579"/>
        <v>P&amp;L</v>
      </c>
    </row>
    <row r="9260" spans="1:13">
      <c r="A9260" s="33" t="str">
        <f t="shared" si="576"/>
        <v>SCL - Operating Expense</v>
      </c>
      <c r="B9260" s="33" t="str">
        <f t="shared" si="577"/>
        <v>SCL</v>
      </c>
      <c r="C9260" s="33" t="str">
        <f t="shared" si="578"/>
        <v>63006-7383</v>
      </c>
      <c r="D9260" s="64" t="s">
        <v>10510</v>
      </c>
      <c r="E9260" s="64" t="s">
        <v>3146</v>
      </c>
      <c r="F9260" s="64" t="s">
        <v>15</v>
      </c>
      <c r="G9260" s="64" t="s">
        <v>3035</v>
      </c>
      <c r="H9260" s="64" t="s">
        <v>3022</v>
      </c>
      <c r="I9260" s="64" t="s">
        <v>3036</v>
      </c>
      <c r="J9260" s="67">
        <v>0</v>
      </c>
      <c r="K9260" s="62">
        <v>75</v>
      </c>
      <c r="L9260" s="33" t="e">
        <f>HLOOKUP(B9260,#REF!,1,0)</f>
        <v>#REF!</v>
      </c>
      <c r="M9260" s="33" t="str">
        <f t="shared" si="579"/>
        <v>P&amp;L</v>
      </c>
    </row>
    <row r="9261" spans="1:13">
      <c r="A9261" s="33" t="str">
        <f t="shared" si="576"/>
        <v>SCL - Operating Expense</v>
      </c>
      <c r="B9261" s="33" t="str">
        <f t="shared" si="577"/>
        <v>SCL</v>
      </c>
      <c r="C9261" s="33" t="str">
        <f t="shared" si="578"/>
        <v>63006-7385</v>
      </c>
      <c r="D9261" s="64" t="s">
        <v>10511</v>
      </c>
      <c r="E9261" s="64" t="s">
        <v>3146</v>
      </c>
      <c r="F9261" s="64" t="s">
        <v>15</v>
      </c>
      <c r="G9261" s="64" t="s">
        <v>3035</v>
      </c>
      <c r="H9261" s="64" t="s">
        <v>3022</v>
      </c>
      <c r="I9261" s="64" t="s">
        <v>3036</v>
      </c>
      <c r="J9261" s="67">
        <v>0</v>
      </c>
      <c r="K9261" s="62">
        <v>430</v>
      </c>
      <c r="L9261" s="33" t="e">
        <f>HLOOKUP(B9261,#REF!,1,0)</f>
        <v>#REF!</v>
      </c>
      <c r="M9261" s="33" t="str">
        <f t="shared" si="579"/>
        <v>P&amp;L</v>
      </c>
    </row>
    <row r="9262" spans="1:13">
      <c r="A9262" s="33" t="str">
        <f t="shared" si="576"/>
        <v>SCL - Operating Expense</v>
      </c>
      <c r="B9262" s="33" t="str">
        <f t="shared" si="577"/>
        <v>SCL</v>
      </c>
      <c r="C9262" s="33" t="str">
        <f t="shared" si="578"/>
        <v>63006-7386</v>
      </c>
      <c r="D9262" s="64" t="s">
        <v>10512</v>
      </c>
      <c r="E9262" s="64" t="s">
        <v>3146</v>
      </c>
      <c r="F9262" s="64" t="s">
        <v>15</v>
      </c>
      <c r="G9262" s="64" t="s">
        <v>3035</v>
      </c>
      <c r="H9262" s="64" t="s">
        <v>3022</v>
      </c>
      <c r="I9262" s="64" t="s">
        <v>3036</v>
      </c>
      <c r="J9262" s="67">
        <v>0</v>
      </c>
      <c r="K9262" s="62">
        <v>75</v>
      </c>
      <c r="L9262" s="33" t="e">
        <f>HLOOKUP(B9262,#REF!,1,0)</f>
        <v>#REF!</v>
      </c>
      <c r="M9262" s="33" t="str">
        <f t="shared" si="579"/>
        <v>P&amp;L</v>
      </c>
    </row>
    <row r="9263" spans="1:13">
      <c r="A9263" s="33" t="str">
        <f t="shared" si="576"/>
        <v>SCL - Operating Expense</v>
      </c>
      <c r="B9263" s="33" t="str">
        <f t="shared" si="577"/>
        <v>SCL</v>
      </c>
      <c r="C9263" s="33" t="str">
        <f t="shared" si="578"/>
        <v>63006-7387</v>
      </c>
      <c r="D9263" s="64" t="s">
        <v>10513</v>
      </c>
      <c r="E9263" s="64" t="s">
        <v>3146</v>
      </c>
      <c r="F9263" s="64" t="s">
        <v>15</v>
      </c>
      <c r="G9263" s="64" t="s">
        <v>3035</v>
      </c>
      <c r="H9263" s="64" t="s">
        <v>3022</v>
      </c>
      <c r="I9263" s="64" t="s">
        <v>3036</v>
      </c>
      <c r="J9263" s="67">
        <v>0</v>
      </c>
      <c r="K9263" s="62">
        <v>516</v>
      </c>
      <c r="L9263" s="33" t="e">
        <f>HLOOKUP(B9263,#REF!,1,0)</f>
        <v>#REF!</v>
      </c>
      <c r="M9263" s="33" t="str">
        <f t="shared" si="579"/>
        <v>P&amp;L</v>
      </c>
    </row>
    <row r="9264" spans="1:13">
      <c r="A9264" s="33" t="str">
        <f t="shared" si="576"/>
        <v>SCL - Operating Expense</v>
      </c>
      <c r="B9264" s="33" t="str">
        <f t="shared" si="577"/>
        <v>SCL</v>
      </c>
      <c r="C9264" s="33" t="str">
        <f t="shared" si="578"/>
        <v>63006-7393</v>
      </c>
      <c r="D9264" s="64" t="s">
        <v>10514</v>
      </c>
      <c r="E9264" s="64" t="s">
        <v>3146</v>
      </c>
      <c r="F9264" s="64" t="s">
        <v>15</v>
      </c>
      <c r="G9264" s="64" t="s">
        <v>3035</v>
      </c>
      <c r="H9264" s="64" t="s">
        <v>3022</v>
      </c>
      <c r="I9264" s="64" t="s">
        <v>3036</v>
      </c>
      <c r="J9264" s="67">
        <v>0</v>
      </c>
      <c r="K9264" s="62">
        <v>430</v>
      </c>
      <c r="L9264" s="33" t="e">
        <f>HLOOKUP(B9264,#REF!,1,0)</f>
        <v>#REF!</v>
      </c>
      <c r="M9264" s="33" t="str">
        <f t="shared" si="579"/>
        <v>P&amp;L</v>
      </c>
    </row>
    <row r="9265" spans="1:13">
      <c r="A9265" s="33" t="str">
        <f t="shared" si="576"/>
        <v>SCL - Operating Expense</v>
      </c>
      <c r="B9265" s="33" t="str">
        <f t="shared" si="577"/>
        <v>SCL</v>
      </c>
      <c r="C9265" s="33" t="str">
        <f t="shared" si="578"/>
        <v>63006-7394</v>
      </c>
      <c r="D9265" s="64" t="s">
        <v>10515</v>
      </c>
      <c r="E9265" s="64" t="s">
        <v>3146</v>
      </c>
      <c r="F9265" s="64" t="s">
        <v>15</v>
      </c>
      <c r="G9265" s="64" t="s">
        <v>3035</v>
      </c>
      <c r="H9265" s="64" t="s">
        <v>3022</v>
      </c>
      <c r="I9265" s="64" t="s">
        <v>3036</v>
      </c>
      <c r="J9265" s="67">
        <v>0</v>
      </c>
      <c r="K9265" s="62">
        <v>451.5</v>
      </c>
      <c r="L9265" s="33" t="e">
        <f>HLOOKUP(B9265,#REF!,1,0)</f>
        <v>#REF!</v>
      </c>
      <c r="M9265" s="33" t="str">
        <f t="shared" si="579"/>
        <v>P&amp;L</v>
      </c>
    </row>
    <row r="9266" spans="1:13">
      <c r="A9266" s="33" t="str">
        <f t="shared" si="576"/>
        <v>SCL - Operating Expense</v>
      </c>
      <c r="B9266" s="33" t="str">
        <f t="shared" si="577"/>
        <v>SCL</v>
      </c>
      <c r="C9266" s="33" t="str">
        <f t="shared" si="578"/>
        <v>63006-7397</v>
      </c>
      <c r="D9266" s="64" t="s">
        <v>10516</v>
      </c>
      <c r="E9266" s="64" t="s">
        <v>3146</v>
      </c>
      <c r="F9266" s="64" t="s">
        <v>15</v>
      </c>
      <c r="G9266" s="64" t="s">
        <v>3035</v>
      </c>
      <c r="H9266" s="64" t="s">
        <v>3022</v>
      </c>
      <c r="I9266" s="64" t="s">
        <v>3036</v>
      </c>
      <c r="J9266" s="67">
        <v>258</v>
      </c>
      <c r="K9266" s="62">
        <v>774</v>
      </c>
      <c r="L9266" s="33" t="e">
        <f>HLOOKUP(B9266,#REF!,1,0)</f>
        <v>#REF!</v>
      </c>
      <c r="M9266" s="33" t="str">
        <f t="shared" si="579"/>
        <v>P&amp;L</v>
      </c>
    </row>
    <row r="9267" spans="1:13">
      <c r="A9267" s="33" t="str">
        <f t="shared" si="576"/>
        <v>SCL - Operating Expense</v>
      </c>
      <c r="B9267" s="33" t="str">
        <f t="shared" si="577"/>
        <v>SCL</v>
      </c>
      <c r="C9267" s="33" t="str">
        <f t="shared" si="578"/>
        <v>63006-7489</v>
      </c>
      <c r="D9267" s="64" t="s">
        <v>10517</v>
      </c>
      <c r="E9267" s="64" t="s">
        <v>3146</v>
      </c>
      <c r="F9267" s="64" t="s">
        <v>15</v>
      </c>
      <c r="G9267" s="64" t="s">
        <v>3035</v>
      </c>
      <c r="H9267" s="64" t="s">
        <v>3022</v>
      </c>
      <c r="I9267" s="64" t="s">
        <v>3036</v>
      </c>
      <c r="J9267" s="67">
        <v>0</v>
      </c>
      <c r="K9267" s="62">
        <v>720</v>
      </c>
      <c r="L9267" s="33" t="e">
        <f>HLOOKUP(B9267,#REF!,1,0)</f>
        <v>#REF!</v>
      </c>
      <c r="M9267" s="33" t="str">
        <f t="shared" si="579"/>
        <v>P&amp;L</v>
      </c>
    </row>
    <row r="9268" spans="1:13">
      <c r="A9268" s="33" t="str">
        <f t="shared" si="576"/>
        <v>SCL - Operating Expense</v>
      </c>
      <c r="B9268" s="33" t="str">
        <f t="shared" si="577"/>
        <v>SCL</v>
      </c>
      <c r="C9268" s="33" t="str">
        <f t="shared" si="578"/>
        <v>63006-7491</v>
      </c>
      <c r="D9268" s="64" t="s">
        <v>10518</v>
      </c>
      <c r="E9268" s="64" t="s">
        <v>3146</v>
      </c>
      <c r="F9268" s="64" t="s">
        <v>15</v>
      </c>
      <c r="G9268" s="64" t="s">
        <v>3035</v>
      </c>
      <c r="H9268" s="64" t="s">
        <v>3022</v>
      </c>
      <c r="I9268" s="64" t="s">
        <v>3036</v>
      </c>
      <c r="J9268" s="67">
        <v>0</v>
      </c>
      <c r="K9268" s="62">
        <v>516</v>
      </c>
      <c r="L9268" s="33" t="e">
        <f>HLOOKUP(B9268,#REF!,1,0)</f>
        <v>#REF!</v>
      </c>
      <c r="M9268" s="33" t="str">
        <f t="shared" si="579"/>
        <v>P&amp;L</v>
      </c>
    </row>
    <row r="9269" spans="1:13">
      <c r="A9269" s="33" t="str">
        <f t="shared" si="576"/>
        <v>SCL - Operating Expense</v>
      </c>
      <c r="B9269" s="33" t="str">
        <f t="shared" si="577"/>
        <v>SCL</v>
      </c>
      <c r="C9269" s="33" t="str">
        <f t="shared" si="578"/>
        <v>63006-7493</v>
      </c>
      <c r="D9269" s="64" t="s">
        <v>10519</v>
      </c>
      <c r="E9269" s="64" t="s">
        <v>3146</v>
      </c>
      <c r="F9269" s="64" t="s">
        <v>15</v>
      </c>
      <c r="G9269" s="64" t="s">
        <v>3035</v>
      </c>
      <c r="H9269" s="64" t="s">
        <v>3022</v>
      </c>
      <c r="I9269" s="64" t="s">
        <v>3036</v>
      </c>
      <c r="J9269" s="67">
        <v>0</v>
      </c>
      <c r="K9269" s="62">
        <v>516</v>
      </c>
      <c r="L9269" s="33" t="e">
        <f>HLOOKUP(B9269,#REF!,1,0)</f>
        <v>#REF!</v>
      </c>
      <c r="M9269" s="33" t="str">
        <f t="shared" si="579"/>
        <v>P&amp;L</v>
      </c>
    </row>
    <row r="9270" spans="1:13">
      <c r="A9270" s="33" t="str">
        <f t="shared" si="576"/>
        <v>SCL - Operating Expense</v>
      </c>
      <c r="B9270" s="33" t="str">
        <f t="shared" si="577"/>
        <v>SCL</v>
      </c>
      <c r="C9270" s="33" t="str">
        <f t="shared" si="578"/>
        <v>63006-7494</v>
      </c>
      <c r="D9270" s="64" t="s">
        <v>10520</v>
      </c>
      <c r="E9270" s="64" t="s">
        <v>3146</v>
      </c>
      <c r="F9270" s="64" t="s">
        <v>15</v>
      </c>
      <c r="G9270" s="64" t="s">
        <v>3035</v>
      </c>
      <c r="H9270" s="64" t="s">
        <v>3022</v>
      </c>
      <c r="I9270" s="64" t="s">
        <v>3036</v>
      </c>
      <c r="J9270" s="67">
        <v>258</v>
      </c>
      <c r="K9270" s="62">
        <v>774</v>
      </c>
      <c r="L9270" s="33" t="e">
        <f>HLOOKUP(B9270,#REF!,1,0)</f>
        <v>#REF!</v>
      </c>
      <c r="M9270" s="33" t="str">
        <f t="shared" si="579"/>
        <v>P&amp;L</v>
      </c>
    </row>
    <row r="9271" spans="1:13">
      <c r="A9271" s="33" t="str">
        <f t="shared" si="576"/>
        <v>SCL - Operating Expense</v>
      </c>
      <c r="B9271" s="33" t="str">
        <f t="shared" si="577"/>
        <v>SCL</v>
      </c>
      <c r="C9271" s="33" t="str">
        <f t="shared" si="578"/>
        <v>63006-7625</v>
      </c>
      <c r="D9271" s="64" t="s">
        <v>10521</v>
      </c>
      <c r="E9271" s="64" t="s">
        <v>3146</v>
      </c>
      <c r="F9271" s="64" t="s">
        <v>15</v>
      </c>
      <c r="G9271" s="64" t="s">
        <v>3035</v>
      </c>
      <c r="H9271" s="64" t="s">
        <v>3022</v>
      </c>
      <c r="I9271" s="64" t="s">
        <v>3036</v>
      </c>
      <c r="J9271" s="67">
        <v>0</v>
      </c>
      <c r="K9271" s="62">
        <v>516</v>
      </c>
      <c r="L9271" s="33" t="e">
        <f>HLOOKUP(B9271,#REF!,1,0)</f>
        <v>#REF!</v>
      </c>
      <c r="M9271" s="33" t="str">
        <f t="shared" si="579"/>
        <v>P&amp;L</v>
      </c>
    </row>
    <row r="9272" spans="1:13">
      <c r="A9272" s="33" t="str">
        <f t="shared" si="576"/>
        <v>SCL - Operating Expense</v>
      </c>
      <c r="B9272" s="33" t="str">
        <f t="shared" si="577"/>
        <v>SCL</v>
      </c>
      <c r="C9272" s="33" t="str">
        <f t="shared" si="578"/>
        <v>63006-8150</v>
      </c>
      <c r="D9272" s="64" t="s">
        <v>10522</v>
      </c>
      <c r="E9272" s="64" t="s">
        <v>3146</v>
      </c>
      <c r="F9272" s="64" t="s">
        <v>15</v>
      </c>
      <c r="G9272" s="64" t="s">
        <v>3035</v>
      </c>
      <c r="H9272" s="64" t="s">
        <v>3022</v>
      </c>
      <c r="I9272" s="64" t="s">
        <v>3036</v>
      </c>
      <c r="J9272" s="67">
        <v>0</v>
      </c>
      <c r="K9272" s="62">
        <v>430</v>
      </c>
      <c r="L9272" s="33" t="e">
        <f>HLOOKUP(B9272,#REF!,1,0)</f>
        <v>#REF!</v>
      </c>
      <c r="M9272" s="33" t="str">
        <f t="shared" si="579"/>
        <v>P&amp;L</v>
      </c>
    </row>
    <row r="9273" spans="1:13">
      <c r="A9273" s="33" t="str">
        <f t="shared" si="576"/>
        <v>SCL - Operating Expense</v>
      </c>
      <c r="B9273" s="33" t="str">
        <f t="shared" si="577"/>
        <v>SCL</v>
      </c>
      <c r="C9273" s="33" t="str">
        <f t="shared" si="578"/>
        <v>63007-7352</v>
      </c>
      <c r="D9273" s="64" t="s">
        <v>10523</v>
      </c>
      <c r="E9273" s="64" t="s">
        <v>3151</v>
      </c>
      <c r="F9273" s="64" t="s">
        <v>15</v>
      </c>
      <c r="G9273" s="64" t="s">
        <v>3035</v>
      </c>
      <c r="H9273" s="64" t="s">
        <v>3022</v>
      </c>
      <c r="I9273" s="64" t="s">
        <v>3140</v>
      </c>
      <c r="J9273" s="67">
        <v>0</v>
      </c>
      <c r="K9273" s="62">
        <v>43.65</v>
      </c>
      <c r="L9273" s="33" t="e">
        <f>HLOOKUP(B9273,#REF!,1,0)</f>
        <v>#REF!</v>
      </c>
      <c r="M9273" s="33" t="str">
        <f t="shared" si="579"/>
        <v>P&amp;L</v>
      </c>
    </row>
    <row r="9274" spans="1:13">
      <c r="A9274" s="33" t="str">
        <f t="shared" si="576"/>
        <v>SCL - Operating Expense</v>
      </c>
      <c r="B9274" s="33" t="str">
        <f t="shared" si="577"/>
        <v>SCL</v>
      </c>
      <c r="C9274" s="33" t="str">
        <f t="shared" si="578"/>
        <v>63007-7360</v>
      </c>
      <c r="D9274" s="64" t="s">
        <v>10524</v>
      </c>
      <c r="E9274" s="64" t="s">
        <v>3151</v>
      </c>
      <c r="F9274" s="64" t="s">
        <v>15</v>
      </c>
      <c r="G9274" s="64" t="s">
        <v>3035</v>
      </c>
      <c r="H9274" s="64" t="s">
        <v>3022</v>
      </c>
      <c r="I9274" s="64" t="s">
        <v>3140</v>
      </c>
      <c r="J9274" s="67">
        <v>0</v>
      </c>
      <c r="K9274" s="62">
        <v>23.46</v>
      </c>
      <c r="L9274" s="33" t="e">
        <f>HLOOKUP(B9274,#REF!,1,0)</f>
        <v>#REF!</v>
      </c>
      <c r="M9274" s="33" t="str">
        <f t="shared" si="579"/>
        <v>P&amp;L</v>
      </c>
    </row>
    <row r="9275" spans="1:13">
      <c r="A9275" s="33" t="str">
        <f t="shared" si="576"/>
        <v>SCL - Operating Expense</v>
      </c>
      <c r="B9275" s="33" t="str">
        <f t="shared" si="577"/>
        <v>SCL</v>
      </c>
      <c r="C9275" s="33" t="str">
        <f t="shared" si="578"/>
        <v>63007-7375</v>
      </c>
      <c r="D9275" s="64" t="s">
        <v>10525</v>
      </c>
      <c r="E9275" s="64" t="s">
        <v>3151</v>
      </c>
      <c r="F9275" s="64" t="s">
        <v>15</v>
      </c>
      <c r="G9275" s="64" t="s">
        <v>3035</v>
      </c>
      <c r="H9275" s="64" t="s">
        <v>3022</v>
      </c>
      <c r="I9275" s="64" t="s">
        <v>3140</v>
      </c>
      <c r="J9275" s="67">
        <v>0</v>
      </c>
      <c r="K9275" s="62">
        <v>43.65</v>
      </c>
      <c r="L9275" s="33" t="e">
        <f>HLOOKUP(B9275,#REF!,1,0)</f>
        <v>#REF!</v>
      </c>
      <c r="M9275" s="33" t="str">
        <f t="shared" si="579"/>
        <v>P&amp;L</v>
      </c>
    </row>
    <row r="9276" spans="1:13">
      <c r="A9276" s="33" t="str">
        <f t="shared" si="576"/>
        <v>SCL - Operating Expense</v>
      </c>
      <c r="B9276" s="33" t="str">
        <f t="shared" si="577"/>
        <v>SCL</v>
      </c>
      <c r="C9276" s="33" t="str">
        <f t="shared" si="578"/>
        <v>63007-7397</v>
      </c>
      <c r="D9276" s="64" t="s">
        <v>10526</v>
      </c>
      <c r="E9276" s="64" t="s">
        <v>3151</v>
      </c>
      <c r="F9276" s="64" t="s">
        <v>15</v>
      </c>
      <c r="G9276" s="64" t="s">
        <v>3035</v>
      </c>
      <c r="H9276" s="64" t="s">
        <v>3022</v>
      </c>
      <c r="I9276" s="64" t="s">
        <v>3140</v>
      </c>
      <c r="J9276" s="67">
        <v>0</v>
      </c>
      <c r="K9276" s="62">
        <v>23.46</v>
      </c>
      <c r="L9276" s="33" t="e">
        <f>HLOOKUP(B9276,#REF!,1,0)</f>
        <v>#REF!</v>
      </c>
      <c r="M9276" s="33" t="str">
        <f t="shared" si="579"/>
        <v>P&amp;L</v>
      </c>
    </row>
    <row r="9277" spans="1:13">
      <c r="A9277" s="33" t="str">
        <f t="shared" si="576"/>
        <v>SCL - Operating Expense</v>
      </c>
      <c r="B9277" s="33" t="str">
        <f t="shared" si="577"/>
        <v>SCL</v>
      </c>
      <c r="C9277" s="33" t="str">
        <f t="shared" si="578"/>
        <v>63007-7489</v>
      </c>
      <c r="D9277" s="64" t="s">
        <v>10527</v>
      </c>
      <c r="E9277" s="64" t="s">
        <v>3151</v>
      </c>
      <c r="F9277" s="64" t="s">
        <v>15</v>
      </c>
      <c r="G9277" s="64" t="s">
        <v>3035</v>
      </c>
      <c r="H9277" s="64" t="s">
        <v>3022</v>
      </c>
      <c r="I9277" s="64" t="s">
        <v>3140</v>
      </c>
      <c r="J9277" s="67">
        <v>0</v>
      </c>
      <c r="K9277" s="62">
        <v>43.65</v>
      </c>
      <c r="L9277" s="33" t="e">
        <f>HLOOKUP(B9277,#REF!,1,0)</f>
        <v>#REF!</v>
      </c>
      <c r="M9277" s="33" t="str">
        <f t="shared" si="579"/>
        <v>P&amp;L</v>
      </c>
    </row>
    <row r="9278" spans="1:13">
      <c r="A9278" s="33" t="str">
        <f t="shared" si="576"/>
        <v>SCL - Operating Expense</v>
      </c>
      <c r="B9278" s="33" t="str">
        <f t="shared" si="577"/>
        <v>SCL</v>
      </c>
      <c r="C9278" s="33" t="str">
        <f t="shared" si="578"/>
        <v>63007-7492</v>
      </c>
      <c r="D9278" s="64" t="s">
        <v>10528</v>
      </c>
      <c r="E9278" s="64" t="s">
        <v>3151</v>
      </c>
      <c r="F9278" s="64" t="s">
        <v>15</v>
      </c>
      <c r="G9278" s="64" t="s">
        <v>3035</v>
      </c>
      <c r="H9278" s="64" t="s">
        <v>3022</v>
      </c>
      <c r="I9278" s="64" t="s">
        <v>3140</v>
      </c>
      <c r="J9278" s="67">
        <v>0</v>
      </c>
      <c r="K9278" s="62">
        <v>43.65</v>
      </c>
      <c r="L9278" s="33" t="e">
        <f>HLOOKUP(B9278,#REF!,1,0)</f>
        <v>#REF!</v>
      </c>
      <c r="M9278" s="33" t="str">
        <f t="shared" si="579"/>
        <v>P&amp;L</v>
      </c>
    </row>
    <row r="9279" spans="1:13">
      <c r="A9279" s="33" t="str">
        <f t="shared" si="576"/>
        <v>SCL - Operating Expense</v>
      </c>
      <c r="B9279" s="33" t="str">
        <f t="shared" si="577"/>
        <v>SCL</v>
      </c>
      <c r="C9279" s="33" t="str">
        <f t="shared" si="578"/>
        <v>63007-7625</v>
      </c>
      <c r="D9279" s="64" t="s">
        <v>10529</v>
      </c>
      <c r="E9279" s="64" t="s">
        <v>3151</v>
      </c>
      <c r="F9279" s="64" t="s">
        <v>15</v>
      </c>
      <c r="G9279" s="64" t="s">
        <v>3035</v>
      </c>
      <c r="H9279" s="64" t="s">
        <v>3022</v>
      </c>
      <c r="I9279" s="64" t="s">
        <v>3140</v>
      </c>
      <c r="J9279" s="67">
        <v>0</v>
      </c>
      <c r="K9279" s="62">
        <v>43.65</v>
      </c>
      <c r="L9279" s="33" t="e">
        <f>HLOOKUP(B9279,#REF!,1,0)</f>
        <v>#REF!</v>
      </c>
      <c r="M9279" s="33" t="str">
        <f t="shared" si="579"/>
        <v>P&amp;L</v>
      </c>
    </row>
    <row r="9280" spans="1:13">
      <c r="A9280" s="33" t="str">
        <f t="shared" si="576"/>
        <v>SCL - Operating Expense</v>
      </c>
      <c r="B9280" s="33" t="str">
        <f t="shared" si="577"/>
        <v>SCL</v>
      </c>
      <c r="C9280" s="33" t="str">
        <f t="shared" si="578"/>
        <v>63009-7351</v>
      </c>
      <c r="D9280" s="64" t="s">
        <v>10530</v>
      </c>
      <c r="E9280" s="64" t="s">
        <v>3155</v>
      </c>
      <c r="F9280" s="64" t="s">
        <v>15</v>
      </c>
      <c r="G9280" s="64" t="s">
        <v>3035</v>
      </c>
      <c r="H9280" s="64" t="s">
        <v>3022</v>
      </c>
      <c r="I9280" s="64" t="s">
        <v>3140</v>
      </c>
      <c r="J9280" s="67">
        <v>0</v>
      </c>
      <c r="K9280" s="62">
        <v>2404.45</v>
      </c>
      <c r="L9280" s="33" t="e">
        <f>HLOOKUP(B9280,#REF!,1,0)</f>
        <v>#REF!</v>
      </c>
      <c r="M9280" s="33" t="str">
        <f t="shared" si="579"/>
        <v>P&amp;L</v>
      </c>
    </row>
    <row r="9281" spans="1:13">
      <c r="A9281" s="33" t="str">
        <f t="shared" si="576"/>
        <v>SCL - Operating Expense</v>
      </c>
      <c r="B9281" s="33" t="str">
        <f t="shared" si="577"/>
        <v>SCL</v>
      </c>
      <c r="C9281" s="33" t="str">
        <f t="shared" si="578"/>
        <v>63009-7359</v>
      </c>
      <c r="D9281" s="64" t="s">
        <v>10531</v>
      </c>
      <c r="E9281" s="64" t="s">
        <v>3155</v>
      </c>
      <c r="F9281" s="64" t="s">
        <v>15</v>
      </c>
      <c r="G9281" s="64" t="s">
        <v>3035</v>
      </c>
      <c r="H9281" s="64" t="s">
        <v>3022</v>
      </c>
      <c r="I9281" s="64" t="s">
        <v>3140</v>
      </c>
      <c r="J9281" s="67">
        <v>0</v>
      </c>
      <c r="K9281" s="62">
        <v>2403.37</v>
      </c>
      <c r="L9281" s="33" t="e">
        <f>HLOOKUP(B9281,#REF!,1,0)</f>
        <v>#REF!</v>
      </c>
      <c r="M9281" s="33" t="str">
        <f t="shared" si="579"/>
        <v>P&amp;L</v>
      </c>
    </row>
    <row r="9282" spans="1:13">
      <c r="A9282" s="33" t="str">
        <f t="shared" ref="A9282:A9345" si="580">B9282&amp;" - "&amp;TRIM(H9282)</f>
        <v>SCL - Operating Expense</v>
      </c>
      <c r="B9282" s="33" t="str">
        <f t="shared" ref="B9282:B9345" si="581">LEFT(D9282,3)</f>
        <v>SCL</v>
      </c>
      <c r="C9282" s="33" t="str">
        <f t="shared" ref="C9282:C9345" si="582">RIGHT(D9282,10)</f>
        <v>63009-7360</v>
      </c>
      <c r="D9282" s="64" t="s">
        <v>10532</v>
      </c>
      <c r="E9282" s="64" t="s">
        <v>3155</v>
      </c>
      <c r="F9282" s="64" t="s">
        <v>15</v>
      </c>
      <c r="G9282" s="64" t="s">
        <v>3035</v>
      </c>
      <c r="H9282" s="64" t="s">
        <v>3022</v>
      </c>
      <c r="I9282" s="64" t="s">
        <v>3140</v>
      </c>
      <c r="J9282" s="67">
        <v>0</v>
      </c>
      <c r="K9282" s="62">
        <v>0</v>
      </c>
      <c r="L9282" s="33" t="e">
        <f>HLOOKUP(B9282,#REF!,1,0)</f>
        <v>#REF!</v>
      </c>
      <c r="M9282" s="33" t="str">
        <f t="shared" ref="M9282:M9345" si="583">IF(VALUE(LEFT(C9282,5))&gt;40000,"P&amp;L","BS")</f>
        <v>P&amp;L</v>
      </c>
    </row>
    <row r="9283" spans="1:13">
      <c r="A9283" s="33" t="str">
        <f t="shared" si="580"/>
        <v>SCL - Operating Expense</v>
      </c>
      <c r="B9283" s="33" t="str">
        <f t="shared" si="581"/>
        <v>SCL</v>
      </c>
      <c r="C9283" s="33" t="str">
        <f t="shared" si="582"/>
        <v>63009-7361</v>
      </c>
      <c r="D9283" s="64" t="s">
        <v>10533</v>
      </c>
      <c r="E9283" s="64" t="s">
        <v>3155</v>
      </c>
      <c r="F9283" s="64" t="s">
        <v>15</v>
      </c>
      <c r="G9283" s="64" t="s">
        <v>3035</v>
      </c>
      <c r="H9283" s="64" t="s">
        <v>3022</v>
      </c>
      <c r="I9283" s="64" t="s">
        <v>3140</v>
      </c>
      <c r="J9283" s="67">
        <v>0</v>
      </c>
      <c r="K9283" s="62">
        <v>353.06</v>
      </c>
      <c r="L9283" s="33" t="e">
        <f>HLOOKUP(B9283,#REF!,1,0)</f>
        <v>#REF!</v>
      </c>
      <c r="M9283" s="33" t="str">
        <f t="shared" si="583"/>
        <v>P&amp;L</v>
      </c>
    </row>
    <row r="9284" spans="1:13">
      <c r="A9284" s="33" t="str">
        <f t="shared" si="580"/>
        <v>SCL - Operating Expense</v>
      </c>
      <c r="B9284" s="33" t="str">
        <f t="shared" si="581"/>
        <v>SCL</v>
      </c>
      <c r="C9284" s="33" t="str">
        <f t="shared" si="582"/>
        <v>63009-7363</v>
      </c>
      <c r="D9284" s="64" t="s">
        <v>10534</v>
      </c>
      <c r="E9284" s="64" t="s">
        <v>3155</v>
      </c>
      <c r="F9284" s="64" t="s">
        <v>15</v>
      </c>
      <c r="G9284" s="64" t="s">
        <v>3035</v>
      </c>
      <c r="H9284" s="64" t="s">
        <v>3022</v>
      </c>
      <c r="I9284" s="64" t="s">
        <v>3140</v>
      </c>
      <c r="J9284" s="67">
        <v>0</v>
      </c>
      <c r="K9284" s="62">
        <v>748.16</v>
      </c>
      <c r="L9284" s="33" t="e">
        <f>HLOOKUP(B9284,#REF!,1,0)</f>
        <v>#REF!</v>
      </c>
      <c r="M9284" s="33" t="str">
        <f t="shared" si="583"/>
        <v>P&amp;L</v>
      </c>
    </row>
    <row r="9285" spans="1:13">
      <c r="A9285" s="33" t="str">
        <f t="shared" si="580"/>
        <v>SCL - Operating Expense</v>
      </c>
      <c r="B9285" s="33" t="str">
        <f t="shared" si="581"/>
        <v>SCL</v>
      </c>
      <c r="C9285" s="33" t="str">
        <f t="shared" si="582"/>
        <v>63009-7364</v>
      </c>
      <c r="D9285" s="64" t="s">
        <v>10535</v>
      </c>
      <c r="E9285" s="64" t="s">
        <v>3155</v>
      </c>
      <c r="F9285" s="64" t="s">
        <v>15</v>
      </c>
      <c r="G9285" s="64" t="s">
        <v>3035</v>
      </c>
      <c r="H9285" s="64" t="s">
        <v>3022</v>
      </c>
      <c r="I9285" s="64" t="s">
        <v>3140</v>
      </c>
      <c r="J9285" s="67">
        <v>372.3</v>
      </c>
      <c r="K9285" s="62">
        <v>3241.05</v>
      </c>
      <c r="L9285" s="33" t="e">
        <f>HLOOKUP(B9285,#REF!,1,0)</f>
        <v>#REF!</v>
      </c>
      <c r="M9285" s="33" t="str">
        <f t="shared" si="583"/>
        <v>P&amp;L</v>
      </c>
    </row>
    <row r="9286" spans="1:13">
      <c r="A9286" s="33" t="str">
        <f t="shared" si="580"/>
        <v>SCL - Operating Expense</v>
      </c>
      <c r="B9286" s="33" t="str">
        <f t="shared" si="581"/>
        <v>SCL</v>
      </c>
      <c r="C9286" s="33" t="str">
        <f t="shared" si="582"/>
        <v>63009-7366</v>
      </c>
      <c r="D9286" s="64" t="s">
        <v>10536</v>
      </c>
      <c r="E9286" s="64" t="s">
        <v>3155</v>
      </c>
      <c r="F9286" s="64" t="s">
        <v>15</v>
      </c>
      <c r="G9286" s="64" t="s">
        <v>3035</v>
      </c>
      <c r="H9286" s="64" t="s">
        <v>3022</v>
      </c>
      <c r="I9286" s="64" t="s">
        <v>3140</v>
      </c>
      <c r="J9286" s="67">
        <v>0</v>
      </c>
      <c r="K9286" s="62">
        <v>394.25</v>
      </c>
      <c r="L9286" s="33" t="e">
        <f>HLOOKUP(B9286,#REF!,1,0)</f>
        <v>#REF!</v>
      </c>
      <c r="M9286" s="33" t="str">
        <f t="shared" si="583"/>
        <v>P&amp;L</v>
      </c>
    </row>
    <row r="9287" spans="1:13">
      <c r="A9287" s="33" t="str">
        <f t="shared" si="580"/>
        <v>SCL - Operating Expense</v>
      </c>
      <c r="B9287" s="33" t="str">
        <f t="shared" si="581"/>
        <v>SCL</v>
      </c>
      <c r="C9287" s="33" t="str">
        <f t="shared" si="582"/>
        <v>63009-7368</v>
      </c>
      <c r="D9287" s="64" t="s">
        <v>10537</v>
      </c>
      <c r="E9287" s="64" t="s">
        <v>3155</v>
      </c>
      <c r="F9287" s="64" t="s">
        <v>15</v>
      </c>
      <c r="G9287" s="64" t="s">
        <v>3035</v>
      </c>
      <c r="H9287" s="64" t="s">
        <v>3022</v>
      </c>
      <c r="I9287" s="64" t="s">
        <v>3140</v>
      </c>
      <c r="J9287" s="67">
        <v>0</v>
      </c>
      <c r="K9287" s="62">
        <v>302.95</v>
      </c>
      <c r="L9287" s="33" t="e">
        <f>HLOOKUP(B9287,#REF!,1,0)</f>
        <v>#REF!</v>
      </c>
      <c r="M9287" s="33" t="str">
        <f t="shared" si="583"/>
        <v>P&amp;L</v>
      </c>
    </row>
    <row r="9288" spans="1:13">
      <c r="A9288" s="33" t="str">
        <f t="shared" si="580"/>
        <v>SCL - Operating Expense</v>
      </c>
      <c r="B9288" s="33" t="str">
        <f t="shared" si="581"/>
        <v>SCL</v>
      </c>
      <c r="C9288" s="33" t="str">
        <f t="shared" si="582"/>
        <v>63009-7371</v>
      </c>
      <c r="D9288" s="64" t="s">
        <v>10538</v>
      </c>
      <c r="E9288" s="64" t="s">
        <v>3155</v>
      </c>
      <c r="F9288" s="64" t="s">
        <v>15</v>
      </c>
      <c r="G9288" s="64" t="s">
        <v>3035</v>
      </c>
      <c r="H9288" s="64" t="s">
        <v>3022</v>
      </c>
      <c r="I9288" s="64" t="s">
        <v>3140</v>
      </c>
      <c r="J9288" s="67">
        <v>0</v>
      </c>
      <c r="K9288" s="62">
        <v>1082.25</v>
      </c>
      <c r="L9288" s="33" t="e">
        <f>HLOOKUP(B9288,#REF!,1,0)</f>
        <v>#REF!</v>
      </c>
      <c r="M9288" s="33" t="str">
        <f t="shared" si="583"/>
        <v>P&amp;L</v>
      </c>
    </row>
    <row r="9289" spans="1:13">
      <c r="A9289" s="33" t="str">
        <f t="shared" si="580"/>
        <v>SCL - Operating Expense</v>
      </c>
      <c r="B9289" s="33" t="str">
        <f t="shared" si="581"/>
        <v>SCL</v>
      </c>
      <c r="C9289" s="33" t="str">
        <f t="shared" si="582"/>
        <v>63009-7374</v>
      </c>
      <c r="D9289" s="64" t="s">
        <v>10539</v>
      </c>
      <c r="E9289" s="64" t="s">
        <v>3155</v>
      </c>
      <c r="F9289" s="64" t="s">
        <v>15</v>
      </c>
      <c r="G9289" s="64" t="s">
        <v>3035</v>
      </c>
      <c r="H9289" s="64" t="s">
        <v>3022</v>
      </c>
      <c r="I9289" s="64" t="s">
        <v>3140</v>
      </c>
      <c r="J9289" s="67">
        <v>416.1</v>
      </c>
      <c r="K9289" s="62">
        <v>416.1</v>
      </c>
      <c r="L9289" s="33" t="e">
        <f>HLOOKUP(B9289,#REF!,1,0)</f>
        <v>#REF!</v>
      </c>
      <c r="M9289" s="33" t="str">
        <f t="shared" si="583"/>
        <v>P&amp;L</v>
      </c>
    </row>
    <row r="9290" spans="1:13">
      <c r="A9290" s="33" t="str">
        <f t="shared" si="580"/>
        <v>SCL - Operating Expense</v>
      </c>
      <c r="B9290" s="33" t="str">
        <f t="shared" si="581"/>
        <v>SCL</v>
      </c>
      <c r="C9290" s="33" t="str">
        <f t="shared" si="582"/>
        <v>63009-7376</v>
      </c>
      <c r="D9290" s="64" t="s">
        <v>10540</v>
      </c>
      <c r="E9290" s="64" t="s">
        <v>3155</v>
      </c>
      <c r="F9290" s="64" t="s">
        <v>15</v>
      </c>
      <c r="G9290" s="64" t="s">
        <v>3035</v>
      </c>
      <c r="H9290" s="64" t="s">
        <v>3022</v>
      </c>
      <c r="I9290" s="64" t="s">
        <v>3140</v>
      </c>
      <c r="J9290" s="67">
        <v>0</v>
      </c>
      <c r="K9290" s="62">
        <v>956.3</v>
      </c>
      <c r="L9290" s="33" t="e">
        <f>HLOOKUP(B9290,#REF!,1,0)</f>
        <v>#REF!</v>
      </c>
      <c r="M9290" s="33" t="str">
        <f t="shared" si="583"/>
        <v>P&amp;L</v>
      </c>
    </row>
    <row r="9291" spans="1:13">
      <c r="A9291" s="33" t="str">
        <f t="shared" si="580"/>
        <v>SCL - Operating Expense</v>
      </c>
      <c r="B9291" s="33" t="str">
        <f t="shared" si="581"/>
        <v>SCL</v>
      </c>
      <c r="C9291" s="33" t="str">
        <f t="shared" si="582"/>
        <v>63009-7378</v>
      </c>
      <c r="D9291" s="64" t="s">
        <v>10541</v>
      </c>
      <c r="E9291" s="64" t="s">
        <v>3155</v>
      </c>
      <c r="F9291" s="64" t="s">
        <v>15</v>
      </c>
      <c r="G9291" s="64" t="s">
        <v>3035</v>
      </c>
      <c r="H9291" s="64" t="s">
        <v>3022</v>
      </c>
      <c r="I9291" s="64" t="s">
        <v>3140</v>
      </c>
      <c r="J9291" s="67">
        <v>1101.25</v>
      </c>
      <c r="K9291" s="62">
        <v>1992.55</v>
      </c>
      <c r="L9291" s="33" t="e">
        <f>HLOOKUP(B9291,#REF!,1,0)</f>
        <v>#REF!</v>
      </c>
      <c r="M9291" s="33" t="str">
        <f t="shared" si="583"/>
        <v>P&amp;L</v>
      </c>
    </row>
    <row r="9292" spans="1:13">
      <c r="A9292" s="33" t="str">
        <f t="shared" si="580"/>
        <v>SCL - Operating Expense</v>
      </c>
      <c r="B9292" s="33" t="str">
        <f t="shared" si="581"/>
        <v>SCL</v>
      </c>
      <c r="C9292" s="33" t="str">
        <f t="shared" si="582"/>
        <v>63009-7383</v>
      </c>
      <c r="D9292" s="64" t="s">
        <v>10542</v>
      </c>
      <c r="E9292" s="64" t="s">
        <v>3155</v>
      </c>
      <c r="F9292" s="64" t="s">
        <v>15</v>
      </c>
      <c r="G9292" s="64" t="s">
        <v>3035</v>
      </c>
      <c r="H9292" s="64" t="s">
        <v>3022</v>
      </c>
      <c r="I9292" s="64" t="s">
        <v>3140</v>
      </c>
      <c r="J9292" s="67">
        <v>0</v>
      </c>
      <c r="K9292" s="62">
        <v>610</v>
      </c>
      <c r="L9292" s="33" t="e">
        <f>HLOOKUP(B9292,#REF!,1,0)</f>
        <v>#REF!</v>
      </c>
      <c r="M9292" s="33" t="str">
        <f t="shared" si="583"/>
        <v>P&amp;L</v>
      </c>
    </row>
    <row r="9293" spans="1:13">
      <c r="A9293" s="33" t="str">
        <f t="shared" si="580"/>
        <v>SCL - Operating Expense</v>
      </c>
      <c r="B9293" s="33" t="str">
        <f t="shared" si="581"/>
        <v>SCL</v>
      </c>
      <c r="C9293" s="33" t="str">
        <f t="shared" si="582"/>
        <v>63009-7389</v>
      </c>
      <c r="D9293" s="64" t="s">
        <v>10543</v>
      </c>
      <c r="E9293" s="64" t="s">
        <v>3155</v>
      </c>
      <c r="F9293" s="64" t="s">
        <v>15</v>
      </c>
      <c r="G9293" s="64" t="s">
        <v>3035</v>
      </c>
      <c r="H9293" s="64" t="s">
        <v>3022</v>
      </c>
      <c r="I9293" s="64" t="s">
        <v>3140</v>
      </c>
      <c r="J9293" s="67">
        <v>926.05</v>
      </c>
      <c r="K9293" s="62">
        <v>926.05</v>
      </c>
      <c r="L9293" s="33" t="e">
        <f>HLOOKUP(B9293,#REF!,1,0)</f>
        <v>#REF!</v>
      </c>
      <c r="M9293" s="33" t="str">
        <f t="shared" si="583"/>
        <v>P&amp;L</v>
      </c>
    </row>
    <row r="9294" spans="1:13">
      <c r="A9294" s="33" t="str">
        <f t="shared" si="580"/>
        <v>SCL - Operating Expense</v>
      </c>
      <c r="B9294" s="33" t="str">
        <f t="shared" si="581"/>
        <v>SCL</v>
      </c>
      <c r="C9294" s="33" t="str">
        <f t="shared" si="582"/>
        <v>63009-7391</v>
      </c>
      <c r="D9294" s="64" t="s">
        <v>10544</v>
      </c>
      <c r="E9294" s="64" t="s">
        <v>3155</v>
      </c>
      <c r="F9294" s="64" t="s">
        <v>15</v>
      </c>
      <c r="G9294" s="64" t="s">
        <v>3035</v>
      </c>
      <c r="H9294" s="64" t="s">
        <v>3022</v>
      </c>
      <c r="I9294" s="64" t="s">
        <v>3140</v>
      </c>
      <c r="J9294" s="67">
        <v>0</v>
      </c>
      <c r="K9294" s="62">
        <v>0</v>
      </c>
      <c r="L9294" s="33" t="e">
        <f>HLOOKUP(B9294,#REF!,1,0)</f>
        <v>#REF!</v>
      </c>
      <c r="M9294" s="33" t="str">
        <f t="shared" si="583"/>
        <v>P&amp;L</v>
      </c>
    </row>
    <row r="9295" spans="1:13">
      <c r="A9295" s="33" t="str">
        <f t="shared" si="580"/>
        <v>SCL - Operating Expense</v>
      </c>
      <c r="B9295" s="33" t="str">
        <f t="shared" si="581"/>
        <v>SCL</v>
      </c>
      <c r="C9295" s="33" t="str">
        <f t="shared" si="582"/>
        <v>63009-7396</v>
      </c>
      <c r="D9295" s="64" t="s">
        <v>10545</v>
      </c>
      <c r="E9295" s="64" t="s">
        <v>3155</v>
      </c>
      <c r="F9295" s="64" t="s">
        <v>15</v>
      </c>
      <c r="G9295" s="64" t="s">
        <v>3035</v>
      </c>
      <c r="H9295" s="64" t="s">
        <v>3022</v>
      </c>
      <c r="I9295" s="64" t="s">
        <v>3140</v>
      </c>
      <c r="J9295" s="67">
        <v>438</v>
      </c>
      <c r="K9295" s="62">
        <v>860.95</v>
      </c>
      <c r="L9295" s="33" t="e">
        <f>HLOOKUP(B9295,#REF!,1,0)</f>
        <v>#REF!</v>
      </c>
      <c r="M9295" s="33" t="str">
        <f t="shared" si="583"/>
        <v>P&amp;L</v>
      </c>
    </row>
    <row r="9296" spans="1:13">
      <c r="A9296" s="33" t="str">
        <f t="shared" si="580"/>
        <v>SCL - Operating Expense</v>
      </c>
      <c r="B9296" s="33" t="str">
        <f t="shared" si="581"/>
        <v>SCL</v>
      </c>
      <c r="C9296" s="33" t="str">
        <f t="shared" si="582"/>
        <v>63009-7398</v>
      </c>
      <c r="D9296" s="64" t="s">
        <v>10546</v>
      </c>
      <c r="E9296" s="64" t="s">
        <v>3155</v>
      </c>
      <c r="F9296" s="64" t="s">
        <v>15</v>
      </c>
      <c r="G9296" s="64" t="s">
        <v>3035</v>
      </c>
      <c r="H9296" s="64" t="s">
        <v>3022</v>
      </c>
      <c r="I9296" s="64" t="s">
        <v>3140</v>
      </c>
      <c r="J9296" s="67">
        <v>0</v>
      </c>
      <c r="K9296" s="62">
        <v>44.85</v>
      </c>
      <c r="L9296" s="33" t="e">
        <f>HLOOKUP(B9296,#REF!,1,0)</f>
        <v>#REF!</v>
      </c>
      <c r="M9296" s="33" t="str">
        <f t="shared" si="583"/>
        <v>P&amp;L</v>
      </c>
    </row>
    <row r="9297" spans="1:13">
      <c r="A9297" s="33" t="str">
        <f t="shared" si="580"/>
        <v>SCL - Operating Expense</v>
      </c>
      <c r="B9297" s="33" t="str">
        <f t="shared" si="581"/>
        <v>SCL</v>
      </c>
      <c r="C9297" s="33" t="str">
        <f t="shared" si="582"/>
        <v>63009-7400</v>
      </c>
      <c r="D9297" s="64" t="s">
        <v>10547</v>
      </c>
      <c r="E9297" s="64" t="s">
        <v>3155</v>
      </c>
      <c r="F9297" s="64" t="s">
        <v>15</v>
      </c>
      <c r="G9297" s="64" t="s">
        <v>3035</v>
      </c>
      <c r="H9297" s="64" t="s">
        <v>3022</v>
      </c>
      <c r="I9297" s="64" t="s">
        <v>3140</v>
      </c>
      <c r="J9297" s="67">
        <v>0</v>
      </c>
      <c r="K9297" s="62">
        <v>2642.5</v>
      </c>
      <c r="L9297" s="33" t="e">
        <f>HLOOKUP(B9297,#REF!,1,0)</f>
        <v>#REF!</v>
      </c>
      <c r="M9297" s="33" t="str">
        <f t="shared" si="583"/>
        <v>P&amp;L</v>
      </c>
    </row>
    <row r="9298" spans="1:13">
      <c r="A9298" s="33" t="str">
        <f t="shared" si="580"/>
        <v>SCL - Operating Expense</v>
      </c>
      <c r="B9298" s="33" t="str">
        <f t="shared" si="581"/>
        <v>SCL</v>
      </c>
      <c r="C9298" s="33" t="str">
        <f t="shared" si="582"/>
        <v>63009-7401</v>
      </c>
      <c r="D9298" s="64" t="s">
        <v>10548</v>
      </c>
      <c r="E9298" s="64" t="s">
        <v>3155</v>
      </c>
      <c r="F9298" s="64" t="s">
        <v>15</v>
      </c>
      <c r="G9298" s="64" t="s">
        <v>3035</v>
      </c>
      <c r="H9298" s="64" t="s">
        <v>3022</v>
      </c>
      <c r="I9298" s="64" t="s">
        <v>3140</v>
      </c>
      <c r="J9298" s="67">
        <v>0</v>
      </c>
      <c r="K9298" s="62">
        <v>235.2</v>
      </c>
      <c r="L9298" s="33" t="e">
        <f>HLOOKUP(B9298,#REF!,1,0)</f>
        <v>#REF!</v>
      </c>
      <c r="M9298" s="33" t="str">
        <f t="shared" si="583"/>
        <v>P&amp;L</v>
      </c>
    </row>
    <row r="9299" spans="1:13">
      <c r="A9299" s="33" t="str">
        <f t="shared" si="580"/>
        <v>SCL - Operating Expense</v>
      </c>
      <c r="B9299" s="33" t="str">
        <f t="shared" si="581"/>
        <v>SCL</v>
      </c>
      <c r="C9299" s="33" t="str">
        <f t="shared" si="582"/>
        <v>63009-7403</v>
      </c>
      <c r="D9299" s="64" t="s">
        <v>10549</v>
      </c>
      <c r="E9299" s="64" t="s">
        <v>3155</v>
      </c>
      <c r="F9299" s="64" t="s">
        <v>15</v>
      </c>
      <c r="G9299" s="64" t="s">
        <v>3035</v>
      </c>
      <c r="H9299" s="64" t="s">
        <v>3022</v>
      </c>
      <c r="I9299" s="64" t="s">
        <v>3140</v>
      </c>
      <c r="J9299" s="67">
        <v>0</v>
      </c>
      <c r="K9299" s="62">
        <v>927.05</v>
      </c>
      <c r="L9299" s="33" t="e">
        <f>HLOOKUP(B9299,#REF!,1,0)</f>
        <v>#REF!</v>
      </c>
      <c r="M9299" s="33" t="str">
        <f t="shared" si="583"/>
        <v>P&amp;L</v>
      </c>
    </row>
    <row r="9300" spans="1:13">
      <c r="A9300" s="33" t="str">
        <f t="shared" si="580"/>
        <v>SCL - Operating Expense</v>
      </c>
      <c r="B9300" s="33" t="str">
        <f t="shared" si="581"/>
        <v>SCL</v>
      </c>
      <c r="C9300" s="33" t="str">
        <f t="shared" si="582"/>
        <v>63009-7491</v>
      </c>
      <c r="D9300" s="64" t="s">
        <v>10550</v>
      </c>
      <c r="E9300" s="64" t="s">
        <v>3155</v>
      </c>
      <c r="F9300" s="64" t="s">
        <v>15</v>
      </c>
      <c r="G9300" s="64" t="s">
        <v>3035</v>
      </c>
      <c r="H9300" s="64" t="s">
        <v>3022</v>
      </c>
      <c r="I9300" s="64" t="s">
        <v>3140</v>
      </c>
      <c r="J9300" s="67">
        <v>0</v>
      </c>
      <c r="K9300" s="62">
        <v>374.3</v>
      </c>
      <c r="L9300" s="33" t="e">
        <f>HLOOKUP(B9300,#REF!,1,0)</f>
        <v>#REF!</v>
      </c>
      <c r="M9300" s="33" t="str">
        <f t="shared" si="583"/>
        <v>P&amp;L</v>
      </c>
    </row>
    <row r="9301" spans="1:13">
      <c r="A9301" s="33" t="str">
        <f t="shared" si="580"/>
        <v>SCL - Operating Expense</v>
      </c>
      <c r="B9301" s="33" t="str">
        <f t="shared" si="581"/>
        <v>SCL</v>
      </c>
      <c r="C9301" s="33" t="str">
        <f t="shared" si="582"/>
        <v>63501-0000</v>
      </c>
      <c r="D9301" s="64" t="s">
        <v>10551</v>
      </c>
      <c r="E9301" s="64" t="s">
        <v>3159</v>
      </c>
      <c r="F9301" s="64" t="s">
        <v>15</v>
      </c>
      <c r="G9301" s="64" t="s">
        <v>3160</v>
      </c>
      <c r="H9301" s="64" t="s">
        <v>3022</v>
      </c>
      <c r="I9301" s="64" t="s">
        <v>3161</v>
      </c>
      <c r="J9301" s="67">
        <v>1178.89</v>
      </c>
      <c r="K9301" s="62">
        <v>12635.14</v>
      </c>
      <c r="L9301" s="33" t="e">
        <f>HLOOKUP(B9301,#REF!,1,0)</f>
        <v>#REF!</v>
      </c>
      <c r="M9301" s="33" t="str">
        <f t="shared" si="583"/>
        <v>P&amp;L</v>
      </c>
    </row>
    <row r="9302" spans="1:13">
      <c r="A9302" s="33" t="str">
        <f t="shared" si="580"/>
        <v>SCL - Operating Expense</v>
      </c>
      <c r="B9302" s="33" t="str">
        <f t="shared" si="581"/>
        <v>SCL</v>
      </c>
      <c r="C9302" s="33" t="str">
        <f t="shared" si="582"/>
        <v>63501-7351</v>
      </c>
      <c r="D9302" s="64" t="s">
        <v>10552</v>
      </c>
      <c r="E9302" s="64" t="s">
        <v>3159</v>
      </c>
      <c r="F9302" s="64" t="s">
        <v>15</v>
      </c>
      <c r="G9302" s="64" t="s">
        <v>3160</v>
      </c>
      <c r="H9302" s="64" t="s">
        <v>3022</v>
      </c>
      <c r="I9302" s="64" t="s">
        <v>3161</v>
      </c>
      <c r="J9302" s="67">
        <v>63.03</v>
      </c>
      <c r="K9302" s="62">
        <v>1100.99</v>
      </c>
      <c r="L9302" s="33" t="e">
        <f>HLOOKUP(B9302,#REF!,1,0)</f>
        <v>#REF!</v>
      </c>
      <c r="M9302" s="33" t="str">
        <f t="shared" si="583"/>
        <v>P&amp;L</v>
      </c>
    </row>
    <row r="9303" spans="1:13">
      <c r="A9303" s="33" t="str">
        <f t="shared" si="580"/>
        <v>SCL - Operating Expense</v>
      </c>
      <c r="B9303" s="33" t="str">
        <f t="shared" si="581"/>
        <v>SCL</v>
      </c>
      <c r="C9303" s="33" t="str">
        <f t="shared" si="582"/>
        <v>63501-7352</v>
      </c>
      <c r="D9303" s="64" t="s">
        <v>10553</v>
      </c>
      <c r="E9303" s="64" t="s">
        <v>3159</v>
      </c>
      <c r="F9303" s="64" t="s">
        <v>15</v>
      </c>
      <c r="G9303" s="64" t="s">
        <v>3160</v>
      </c>
      <c r="H9303" s="64" t="s">
        <v>3022</v>
      </c>
      <c r="I9303" s="64" t="s">
        <v>3161</v>
      </c>
      <c r="J9303" s="67">
        <v>53.53</v>
      </c>
      <c r="K9303" s="62">
        <v>718.04</v>
      </c>
      <c r="L9303" s="33" t="e">
        <f>HLOOKUP(B9303,#REF!,1,0)</f>
        <v>#REF!</v>
      </c>
      <c r="M9303" s="33" t="str">
        <f t="shared" si="583"/>
        <v>P&amp;L</v>
      </c>
    </row>
    <row r="9304" spans="1:13">
      <c r="A9304" s="33" t="str">
        <f t="shared" si="580"/>
        <v>SCL - Operating Expense</v>
      </c>
      <c r="B9304" s="33" t="str">
        <f t="shared" si="581"/>
        <v>SCL</v>
      </c>
      <c r="C9304" s="33" t="str">
        <f t="shared" si="582"/>
        <v>63501-7355</v>
      </c>
      <c r="D9304" s="64" t="s">
        <v>10554</v>
      </c>
      <c r="E9304" s="64" t="s">
        <v>3159</v>
      </c>
      <c r="F9304" s="64" t="s">
        <v>15</v>
      </c>
      <c r="G9304" s="64" t="s">
        <v>3160</v>
      </c>
      <c r="H9304" s="64" t="s">
        <v>3022</v>
      </c>
      <c r="I9304" s="64" t="s">
        <v>3161</v>
      </c>
      <c r="J9304" s="67">
        <v>73.53</v>
      </c>
      <c r="K9304" s="62">
        <v>1328.26</v>
      </c>
      <c r="L9304" s="33" t="e">
        <f>HLOOKUP(B9304,#REF!,1,0)</f>
        <v>#REF!</v>
      </c>
      <c r="M9304" s="33" t="str">
        <f t="shared" si="583"/>
        <v>P&amp;L</v>
      </c>
    </row>
    <row r="9305" spans="1:13">
      <c r="A9305" s="33" t="str">
        <f t="shared" si="580"/>
        <v>SCL - Operating Expense</v>
      </c>
      <c r="B9305" s="33" t="str">
        <f t="shared" si="581"/>
        <v>SCL</v>
      </c>
      <c r="C9305" s="33" t="str">
        <f t="shared" si="582"/>
        <v>63501-7356</v>
      </c>
      <c r="D9305" s="64" t="s">
        <v>10555</v>
      </c>
      <c r="E9305" s="64" t="s">
        <v>3159</v>
      </c>
      <c r="F9305" s="64" t="s">
        <v>15</v>
      </c>
      <c r="G9305" s="64" t="s">
        <v>3160</v>
      </c>
      <c r="H9305" s="64" t="s">
        <v>3022</v>
      </c>
      <c r="I9305" s="64" t="s">
        <v>3161</v>
      </c>
      <c r="J9305" s="67">
        <v>0</v>
      </c>
      <c r="K9305" s="62">
        <v>207.11</v>
      </c>
      <c r="L9305" s="33" t="e">
        <f>HLOOKUP(B9305,#REF!,1,0)</f>
        <v>#REF!</v>
      </c>
      <c r="M9305" s="33" t="str">
        <f t="shared" si="583"/>
        <v>P&amp;L</v>
      </c>
    </row>
    <row r="9306" spans="1:13">
      <c r="A9306" s="33" t="str">
        <f t="shared" si="580"/>
        <v>SCL - Operating Expense</v>
      </c>
      <c r="B9306" s="33" t="str">
        <f t="shared" si="581"/>
        <v>SCL</v>
      </c>
      <c r="C9306" s="33" t="str">
        <f t="shared" si="582"/>
        <v>63501-7359</v>
      </c>
      <c r="D9306" s="64" t="s">
        <v>10556</v>
      </c>
      <c r="E9306" s="64" t="s">
        <v>3159</v>
      </c>
      <c r="F9306" s="64" t="s">
        <v>15</v>
      </c>
      <c r="G9306" s="64" t="s">
        <v>3160</v>
      </c>
      <c r="H9306" s="64" t="s">
        <v>3022</v>
      </c>
      <c r="I9306" s="64" t="s">
        <v>3161</v>
      </c>
      <c r="J9306" s="67">
        <v>213.51</v>
      </c>
      <c r="K9306" s="62">
        <v>2160.11</v>
      </c>
      <c r="L9306" s="33" t="e">
        <f>HLOOKUP(B9306,#REF!,1,0)</f>
        <v>#REF!</v>
      </c>
      <c r="M9306" s="33" t="str">
        <f t="shared" si="583"/>
        <v>P&amp;L</v>
      </c>
    </row>
    <row r="9307" spans="1:13">
      <c r="A9307" s="33" t="str">
        <f t="shared" si="580"/>
        <v>SCL - Operating Expense</v>
      </c>
      <c r="B9307" s="33" t="str">
        <f t="shared" si="581"/>
        <v>SCL</v>
      </c>
      <c r="C9307" s="33" t="str">
        <f t="shared" si="582"/>
        <v>63501-7360</v>
      </c>
      <c r="D9307" s="64" t="s">
        <v>10557</v>
      </c>
      <c r="E9307" s="64" t="s">
        <v>3159</v>
      </c>
      <c r="F9307" s="64" t="s">
        <v>15</v>
      </c>
      <c r="G9307" s="64" t="s">
        <v>3160</v>
      </c>
      <c r="H9307" s="64" t="s">
        <v>3022</v>
      </c>
      <c r="I9307" s="64" t="s">
        <v>3161</v>
      </c>
      <c r="J9307" s="67">
        <v>163.69</v>
      </c>
      <c r="K9307" s="62">
        <v>1795.98</v>
      </c>
      <c r="L9307" s="33" t="e">
        <f>HLOOKUP(B9307,#REF!,1,0)</f>
        <v>#REF!</v>
      </c>
      <c r="M9307" s="33" t="str">
        <f t="shared" si="583"/>
        <v>P&amp;L</v>
      </c>
    </row>
    <row r="9308" spans="1:13">
      <c r="A9308" s="33" t="str">
        <f t="shared" si="580"/>
        <v>SCL - Operating Expense</v>
      </c>
      <c r="B9308" s="33" t="str">
        <f t="shared" si="581"/>
        <v>SCL</v>
      </c>
      <c r="C9308" s="33" t="str">
        <f t="shared" si="582"/>
        <v>63501-7361</v>
      </c>
      <c r="D9308" s="64" t="s">
        <v>10558</v>
      </c>
      <c r="E9308" s="64" t="s">
        <v>3159</v>
      </c>
      <c r="F9308" s="64" t="s">
        <v>15</v>
      </c>
      <c r="G9308" s="64" t="s">
        <v>3160</v>
      </c>
      <c r="H9308" s="64" t="s">
        <v>3022</v>
      </c>
      <c r="I9308" s="64" t="s">
        <v>3161</v>
      </c>
      <c r="J9308" s="67">
        <v>188.47</v>
      </c>
      <c r="K9308" s="62">
        <v>1924.76</v>
      </c>
      <c r="L9308" s="33" t="e">
        <f>HLOOKUP(B9308,#REF!,1,0)</f>
        <v>#REF!</v>
      </c>
      <c r="M9308" s="33" t="str">
        <f t="shared" si="583"/>
        <v>P&amp;L</v>
      </c>
    </row>
    <row r="9309" spans="1:13">
      <c r="A9309" s="33" t="str">
        <f t="shared" si="580"/>
        <v>SCL - Operating Expense</v>
      </c>
      <c r="B9309" s="33" t="str">
        <f t="shared" si="581"/>
        <v>SCL</v>
      </c>
      <c r="C9309" s="33" t="str">
        <f t="shared" si="582"/>
        <v>63501-7362</v>
      </c>
      <c r="D9309" s="64" t="s">
        <v>10559</v>
      </c>
      <c r="E9309" s="64" t="s">
        <v>3159</v>
      </c>
      <c r="F9309" s="64" t="s">
        <v>15</v>
      </c>
      <c r="G9309" s="64" t="s">
        <v>3160</v>
      </c>
      <c r="H9309" s="64" t="s">
        <v>3022</v>
      </c>
      <c r="I9309" s="64" t="s">
        <v>3161</v>
      </c>
      <c r="J9309" s="67">
        <v>133.51</v>
      </c>
      <c r="K9309" s="62">
        <v>1469.2</v>
      </c>
      <c r="L9309" s="33" t="e">
        <f>HLOOKUP(B9309,#REF!,1,0)</f>
        <v>#REF!</v>
      </c>
      <c r="M9309" s="33" t="str">
        <f t="shared" si="583"/>
        <v>P&amp;L</v>
      </c>
    </row>
    <row r="9310" spans="1:13">
      <c r="A9310" s="33" t="str">
        <f t="shared" si="580"/>
        <v>SCL - Operating Expense</v>
      </c>
      <c r="B9310" s="33" t="str">
        <f t="shared" si="581"/>
        <v>SCL</v>
      </c>
      <c r="C9310" s="33" t="str">
        <f t="shared" si="582"/>
        <v>63501-7363</v>
      </c>
      <c r="D9310" s="64" t="s">
        <v>10560</v>
      </c>
      <c r="E9310" s="64" t="s">
        <v>3159</v>
      </c>
      <c r="F9310" s="64" t="s">
        <v>15</v>
      </c>
      <c r="G9310" s="64" t="s">
        <v>3160</v>
      </c>
      <c r="H9310" s="64" t="s">
        <v>3022</v>
      </c>
      <c r="I9310" s="64" t="s">
        <v>3161</v>
      </c>
      <c r="J9310" s="67">
        <v>98.61</v>
      </c>
      <c r="K9310" s="62">
        <v>1091.48</v>
      </c>
      <c r="L9310" s="33" t="e">
        <f>HLOOKUP(B9310,#REF!,1,0)</f>
        <v>#REF!</v>
      </c>
      <c r="M9310" s="33" t="str">
        <f t="shared" si="583"/>
        <v>P&amp;L</v>
      </c>
    </row>
    <row r="9311" spans="1:13">
      <c r="A9311" s="33" t="str">
        <f t="shared" si="580"/>
        <v>SCL - Operating Expense</v>
      </c>
      <c r="B9311" s="33" t="str">
        <f t="shared" si="581"/>
        <v>SCL</v>
      </c>
      <c r="C9311" s="33" t="str">
        <f t="shared" si="582"/>
        <v>63501-7364</v>
      </c>
      <c r="D9311" s="64" t="s">
        <v>10561</v>
      </c>
      <c r="E9311" s="64" t="s">
        <v>3159</v>
      </c>
      <c r="F9311" s="64" t="s">
        <v>15</v>
      </c>
      <c r="G9311" s="64" t="s">
        <v>3160</v>
      </c>
      <c r="H9311" s="64" t="s">
        <v>3022</v>
      </c>
      <c r="I9311" s="64" t="s">
        <v>3161</v>
      </c>
      <c r="J9311" s="67">
        <v>182.61</v>
      </c>
      <c r="K9311" s="62">
        <v>1835.4</v>
      </c>
      <c r="L9311" s="33" t="e">
        <f>HLOOKUP(B9311,#REF!,1,0)</f>
        <v>#REF!</v>
      </c>
      <c r="M9311" s="33" t="str">
        <f t="shared" si="583"/>
        <v>P&amp;L</v>
      </c>
    </row>
    <row r="9312" spans="1:13">
      <c r="A9312" s="33" t="str">
        <f t="shared" si="580"/>
        <v>SCL - Operating Expense</v>
      </c>
      <c r="B9312" s="33" t="str">
        <f t="shared" si="581"/>
        <v>SCL</v>
      </c>
      <c r="C9312" s="33" t="str">
        <f t="shared" si="582"/>
        <v>63501-7365</v>
      </c>
      <c r="D9312" s="64" t="s">
        <v>10562</v>
      </c>
      <c r="E9312" s="64" t="s">
        <v>3159</v>
      </c>
      <c r="F9312" s="64" t="s">
        <v>15</v>
      </c>
      <c r="G9312" s="64" t="s">
        <v>3160</v>
      </c>
      <c r="H9312" s="64" t="s">
        <v>3022</v>
      </c>
      <c r="I9312" s="64" t="s">
        <v>3161</v>
      </c>
      <c r="J9312" s="67">
        <v>57.03</v>
      </c>
      <c r="K9312" s="62">
        <v>1174.9</v>
      </c>
      <c r="L9312" s="33" t="e">
        <f>HLOOKUP(B9312,#REF!,1,0)</f>
        <v>#REF!</v>
      </c>
      <c r="M9312" s="33" t="str">
        <f t="shared" si="583"/>
        <v>P&amp;L</v>
      </c>
    </row>
    <row r="9313" spans="1:13">
      <c r="A9313" s="33" t="str">
        <f t="shared" si="580"/>
        <v>SCL - Operating Expense</v>
      </c>
      <c r="B9313" s="33" t="str">
        <f t="shared" si="581"/>
        <v>SCL</v>
      </c>
      <c r="C9313" s="33" t="str">
        <f t="shared" si="582"/>
        <v>63501-7366</v>
      </c>
      <c r="D9313" s="64" t="s">
        <v>10563</v>
      </c>
      <c r="E9313" s="64" t="s">
        <v>3159</v>
      </c>
      <c r="F9313" s="64" t="s">
        <v>15</v>
      </c>
      <c r="G9313" s="64" t="s">
        <v>3160</v>
      </c>
      <c r="H9313" s="64" t="s">
        <v>3022</v>
      </c>
      <c r="I9313" s="64" t="s">
        <v>3161</v>
      </c>
      <c r="J9313" s="67">
        <v>63.03</v>
      </c>
      <c r="K9313" s="62">
        <v>1200.91</v>
      </c>
      <c r="L9313" s="33" t="e">
        <f>HLOOKUP(B9313,#REF!,1,0)</f>
        <v>#REF!</v>
      </c>
      <c r="M9313" s="33" t="str">
        <f t="shared" si="583"/>
        <v>P&amp;L</v>
      </c>
    </row>
    <row r="9314" spans="1:13">
      <c r="A9314" s="33" t="str">
        <f t="shared" si="580"/>
        <v>SCL - Operating Expense</v>
      </c>
      <c r="B9314" s="33" t="str">
        <f t="shared" si="581"/>
        <v>SCL</v>
      </c>
      <c r="C9314" s="33" t="str">
        <f t="shared" si="582"/>
        <v>63501-7368</v>
      </c>
      <c r="D9314" s="64" t="s">
        <v>10564</v>
      </c>
      <c r="E9314" s="64" t="s">
        <v>3159</v>
      </c>
      <c r="F9314" s="64" t="s">
        <v>15</v>
      </c>
      <c r="G9314" s="64" t="s">
        <v>3160</v>
      </c>
      <c r="H9314" s="64" t="s">
        <v>3022</v>
      </c>
      <c r="I9314" s="64" t="s">
        <v>3161</v>
      </c>
      <c r="J9314" s="67">
        <v>193.52</v>
      </c>
      <c r="K9314" s="62">
        <v>1828.1</v>
      </c>
      <c r="L9314" s="33" t="e">
        <f>HLOOKUP(B9314,#REF!,1,0)</f>
        <v>#REF!</v>
      </c>
      <c r="M9314" s="33" t="str">
        <f t="shared" si="583"/>
        <v>P&amp;L</v>
      </c>
    </row>
    <row r="9315" spans="1:13">
      <c r="A9315" s="33" t="str">
        <f t="shared" si="580"/>
        <v>SCL - Operating Expense</v>
      </c>
      <c r="B9315" s="33" t="str">
        <f t="shared" si="581"/>
        <v>SCL</v>
      </c>
      <c r="C9315" s="33" t="str">
        <f t="shared" si="582"/>
        <v>63501-7369</v>
      </c>
      <c r="D9315" s="64" t="s">
        <v>10565</v>
      </c>
      <c r="E9315" s="64" t="s">
        <v>3159</v>
      </c>
      <c r="F9315" s="64" t="s">
        <v>15</v>
      </c>
      <c r="G9315" s="64" t="s">
        <v>3160</v>
      </c>
      <c r="H9315" s="64" t="s">
        <v>3022</v>
      </c>
      <c r="I9315" s="64" t="s">
        <v>3161</v>
      </c>
      <c r="J9315" s="67">
        <v>57.03</v>
      </c>
      <c r="K9315" s="62">
        <v>1034.9</v>
      </c>
      <c r="L9315" s="33" t="e">
        <f>HLOOKUP(B9315,#REF!,1,0)</f>
        <v>#REF!</v>
      </c>
      <c r="M9315" s="33" t="str">
        <f t="shared" si="583"/>
        <v>P&amp;L</v>
      </c>
    </row>
    <row r="9316" spans="1:13">
      <c r="A9316" s="33" t="str">
        <f t="shared" si="580"/>
        <v>SCL - Operating Expense</v>
      </c>
      <c r="B9316" s="33" t="str">
        <f t="shared" si="581"/>
        <v>SCL</v>
      </c>
      <c r="C9316" s="33" t="str">
        <f t="shared" si="582"/>
        <v>63501-7371</v>
      </c>
      <c r="D9316" s="64" t="s">
        <v>10566</v>
      </c>
      <c r="E9316" s="64" t="s">
        <v>3159</v>
      </c>
      <c r="F9316" s="64" t="s">
        <v>15</v>
      </c>
      <c r="G9316" s="64" t="s">
        <v>3160</v>
      </c>
      <c r="H9316" s="64" t="s">
        <v>3022</v>
      </c>
      <c r="I9316" s="64" t="s">
        <v>3161</v>
      </c>
      <c r="J9316" s="67">
        <v>73.53</v>
      </c>
      <c r="K9316" s="62">
        <v>1382.66</v>
      </c>
      <c r="L9316" s="33" t="e">
        <f>HLOOKUP(B9316,#REF!,1,0)</f>
        <v>#REF!</v>
      </c>
      <c r="M9316" s="33" t="str">
        <f t="shared" si="583"/>
        <v>P&amp;L</v>
      </c>
    </row>
    <row r="9317" spans="1:13">
      <c r="A9317" s="33" t="str">
        <f t="shared" si="580"/>
        <v>SCL - Operating Expense</v>
      </c>
      <c r="B9317" s="33" t="str">
        <f t="shared" si="581"/>
        <v>SCL</v>
      </c>
      <c r="C9317" s="33" t="str">
        <f t="shared" si="582"/>
        <v>63501-7374</v>
      </c>
      <c r="D9317" s="64" t="s">
        <v>10567</v>
      </c>
      <c r="E9317" s="64" t="s">
        <v>3159</v>
      </c>
      <c r="F9317" s="64" t="s">
        <v>15</v>
      </c>
      <c r="G9317" s="64" t="s">
        <v>3160</v>
      </c>
      <c r="H9317" s="64" t="s">
        <v>3022</v>
      </c>
      <c r="I9317" s="64" t="s">
        <v>3161</v>
      </c>
      <c r="J9317" s="67">
        <v>193.52</v>
      </c>
      <c r="K9317" s="62">
        <v>1928.11</v>
      </c>
      <c r="L9317" s="33" t="e">
        <f>HLOOKUP(B9317,#REF!,1,0)</f>
        <v>#REF!</v>
      </c>
      <c r="M9317" s="33" t="str">
        <f t="shared" si="583"/>
        <v>P&amp;L</v>
      </c>
    </row>
    <row r="9318" spans="1:13">
      <c r="A9318" s="33" t="str">
        <f t="shared" si="580"/>
        <v>SCL - Operating Expense</v>
      </c>
      <c r="B9318" s="33" t="str">
        <f t="shared" si="581"/>
        <v>SCL</v>
      </c>
      <c r="C9318" s="33" t="str">
        <f t="shared" si="582"/>
        <v>63501-7375</v>
      </c>
      <c r="D9318" s="64" t="s">
        <v>10568</v>
      </c>
      <c r="E9318" s="64" t="s">
        <v>3159</v>
      </c>
      <c r="F9318" s="64" t="s">
        <v>15</v>
      </c>
      <c r="G9318" s="64" t="s">
        <v>3160</v>
      </c>
      <c r="H9318" s="64" t="s">
        <v>3022</v>
      </c>
      <c r="I9318" s="64" t="s">
        <v>3161</v>
      </c>
      <c r="J9318" s="67">
        <v>57.03</v>
      </c>
      <c r="K9318" s="62">
        <v>1194.9</v>
      </c>
      <c r="L9318" s="33" t="e">
        <f>HLOOKUP(B9318,#REF!,1,0)</f>
        <v>#REF!</v>
      </c>
      <c r="M9318" s="33" t="str">
        <f t="shared" si="583"/>
        <v>P&amp;L</v>
      </c>
    </row>
    <row r="9319" spans="1:13">
      <c r="A9319" s="33" t="str">
        <f t="shared" si="580"/>
        <v>SCL - Operating Expense</v>
      </c>
      <c r="B9319" s="33" t="str">
        <f t="shared" si="581"/>
        <v>SCL</v>
      </c>
      <c r="C9319" s="33" t="str">
        <f t="shared" si="582"/>
        <v>63501-7376</v>
      </c>
      <c r="D9319" s="64" t="s">
        <v>10569</v>
      </c>
      <c r="E9319" s="64" t="s">
        <v>3159</v>
      </c>
      <c r="F9319" s="64" t="s">
        <v>15</v>
      </c>
      <c r="G9319" s="64" t="s">
        <v>3160</v>
      </c>
      <c r="H9319" s="64" t="s">
        <v>3022</v>
      </c>
      <c r="I9319" s="64" t="s">
        <v>3161</v>
      </c>
      <c r="J9319" s="67">
        <v>173.51</v>
      </c>
      <c r="K9319" s="62">
        <v>1709.22</v>
      </c>
      <c r="L9319" s="33" t="e">
        <f>HLOOKUP(B9319,#REF!,1,0)</f>
        <v>#REF!</v>
      </c>
      <c r="M9319" s="33" t="str">
        <f t="shared" si="583"/>
        <v>P&amp;L</v>
      </c>
    </row>
    <row r="9320" spans="1:13">
      <c r="A9320" s="33" t="str">
        <f t="shared" si="580"/>
        <v>SCL - Operating Expense</v>
      </c>
      <c r="B9320" s="33" t="str">
        <f t="shared" si="581"/>
        <v>SCL</v>
      </c>
      <c r="C9320" s="33" t="str">
        <f t="shared" si="582"/>
        <v>63501-7377</v>
      </c>
      <c r="D9320" s="64" t="s">
        <v>10570</v>
      </c>
      <c r="E9320" s="64" t="s">
        <v>3159</v>
      </c>
      <c r="F9320" s="64" t="s">
        <v>15</v>
      </c>
      <c r="G9320" s="64" t="s">
        <v>3160</v>
      </c>
      <c r="H9320" s="64" t="s">
        <v>3022</v>
      </c>
      <c r="I9320" s="64" t="s">
        <v>3161</v>
      </c>
      <c r="J9320" s="67">
        <v>57.03</v>
      </c>
      <c r="K9320" s="62">
        <v>1194.9</v>
      </c>
      <c r="L9320" s="33" t="e">
        <f>HLOOKUP(B9320,#REF!,1,0)</f>
        <v>#REF!</v>
      </c>
      <c r="M9320" s="33" t="str">
        <f t="shared" si="583"/>
        <v>P&amp;L</v>
      </c>
    </row>
    <row r="9321" spans="1:13">
      <c r="A9321" s="33" t="str">
        <f t="shared" si="580"/>
        <v>SCL - Operating Expense</v>
      </c>
      <c r="B9321" s="33" t="str">
        <f t="shared" si="581"/>
        <v>SCL</v>
      </c>
      <c r="C9321" s="33" t="str">
        <f t="shared" si="582"/>
        <v>63501-7378</v>
      </c>
      <c r="D9321" s="64" t="s">
        <v>10571</v>
      </c>
      <c r="E9321" s="64" t="s">
        <v>3159</v>
      </c>
      <c r="F9321" s="64" t="s">
        <v>15</v>
      </c>
      <c r="G9321" s="64" t="s">
        <v>3160</v>
      </c>
      <c r="H9321" s="64" t="s">
        <v>3022</v>
      </c>
      <c r="I9321" s="64" t="s">
        <v>3161</v>
      </c>
      <c r="J9321" s="67">
        <v>188.51</v>
      </c>
      <c r="K9321" s="62">
        <v>1859.7</v>
      </c>
      <c r="L9321" s="33" t="e">
        <f>HLOOKUP(B9321,#REF!,1,0)</f>
        <v>#REF!</v>
      </c>
      <c r="M9321" s="33" t="str">
        <f t="shared" si="583"/>
        <v>P&amp;L</v>
      </c>
    </row>
    <row r="9322" spans="1:13">
      <c r="A9322" s="33" t="str">
        <f t="shared" si="580"/>
        <v>SCL - Operating Expense</v>
      </c>
      <c r="B9322" s="33" t="str">
        <f t="shared" si="581"/>
        <v>SCL</v>
      </c>
      <c r="C9322" s="33" t="str">
        <f t="shared" si="582"/>
        <v>63501-7379</v>
      </c>
      <c r="D9322" s="64" t="s">
        <v>10572</v>
      </c>
      <c r="E9322" s="64" t="s">
        <v>3159</v>
      </c>
      <c r="F9322" s="64" t="s">
        <v>15</v>
      </c>
      <c r="G9322" s="64" t="s">
        <v>3160</v>
      </c>
      <c r="H9322" s="64" t="s">
        <v>3022</v>
      </c>
      <c r="I9322" s="64" t="s">
        <v>3161</v>
      </c>
      <c r="J9322" s="67">
        <v>118.61</v>
      </c>
      <c r="K9322" s="62">
        <v>1296.49</v>
      </c>
      <c r="L9322" s="33" t="e">
        <f>HLOOKUP(B9322,#REF!,1,0)</f>
        <v>#REF!</v>
      </c>
      <c r="M9322" s="33" t="str">
        <f t="shared" si="583"/>
        <v>P&amp;L</v>
      </c>
    </row>
    <row r="9323" spans="1:13">
      <c r="A9323" s="33" t="str">
        <f t="shared" si="580"/>
        <v>SCL - Operating Expense</v>
      </c>
      <c r="B9323" s="33" t="str">
        <f t="shared" si="581"/>
        <v>SCL</v>
      </c>
      <c r="C9323" s="33" t="str">
        <f t="shared" si="582"/>
        <v>63501-7380</v>
      </c>
      <c r="D9323" s="64" t="s">
        <v>10573</v>
      </c>
      <c r="E9323" s="64" t="s">
        <v>3159</v>
      </c>
      <c r="F9323" s="64" t="s">
        <v>15</v>
      </c>
      <c r="G9323" s="64" t="s">
        <v>3160</v>
      </c>
      <c r="H9323" s="64" t="s">
        <v>3022</v>
      </c>
      <c r="I9323" s="64" t="s">
        <v>3161</v>
      </c>
      <c r="J9323" s="67">
        <v>120.81</v>
      </c>
      <c r="K9323" s="62">
        <v>1364.36</v>
      </c>
      <c r="L9323" s="33" t="e">
        <f>HLOOKUP(B9323,#REF!,1,0)</f>
        <v>#REF!</v>
      </c>
      <c r="M9323" s="33" t="str">
        <f t="shared" si="583"/>
        <v>P&amp;L</v>
      </c>
    </row>
    <row r="9324" spans="1:13">
      <c r="A9324" s="33" t="str">
        <f t="shared" si="580"/>
        <v>SCL - Operating Expense</v>
      </c>
      <c r="B9324" s="33" t="str">
        <f t="shared" si="581"/>
        <v>SCL</v>
      </c>
      <c r="C9324" s="33" t="str">
        <f t="shared" si="582"/>
        <v>63501-7381</v>
      </c>
      <c r="D9324" s="64" t="s">
        <v>10574</v>
      </c>
      <c r="E9324" s="64" t="s">
        <v>3159</v>
      </c>
      <c r="F9324" s="64" t="s">
        <v>15</v>
      </c>
      <c r="G9324" s="64" t="s">
        <v>3160</v>
      </c>
      <c r="H9324" s="64" t="s">
        <v>3022</v>
      </c>
      <c r="I9324" s="64" t="s">
        <v>3161</v>
      </c>
      <c r="J9324" s="67">
        <v>73.53</v>
      </c>
      <c r="K9324" s="62">
        <v>1396.33</v>
      </c>
      <c r="L9324" s="33" t="e">
        <f>HLOOKUP(B9324,#REF!,1,0)</f>
        <v>#REF!</v>
      </c>
      <c r="M9324" s="33" t="str">
        <f t="shared" si="583"/>
        <v>P&amp;L</v>
      </c>
    </row>
    <row r="9325" spans="1:13">
      <c r="A9325" s="33" t="str">
        <f t="shared" si="580"/>
        <v>SCL - Operating Expense</v>
      </c>
      <c r="B9325" s="33" t="str">
        <f t="shared" si="581"/>
        <v>SCL</v>
      </c>
      <c r="C9325" s="33" t="str">
        <f t="shared" si="582"/>
        <v>63501-7383</v>
      </c>
      <c r="D9325" s="64" t="s">
        <v>10575</v>
      </c>
      <c r="E9325" s="64" t="s">
        <v>3159</v>
      </c>
      <c r="F9325" s="64" t="s">
        <v>15</v>
      </c>
      <c r="G9325" s="64" t="s">
        <v>3160</v>
      </c>
      <c r="H9325" s="64" t="s">
        <v>3022</v>
      </c>
      <c r="I9325" s="64" t="s">
        <v>3161</v>
      </c>
      <c r="J9325" s="67">
        <v>213.51</v>
      </c>
      <c r="K9325" s="62">
        <v>1949.81</v>
      </c>
      <c r="L9325" s="33" t="e">
        <f>HLOOKUP(B9325,#REF!,1,0)</f>
        <v>#REF!</v>
      </c>
      <c r="M9325" s="33" t="str">
        <f t="shared" si="583"/>
        <v>P&amp;L</v>
      </c>
    </row>
    <row r="9326" spans="1:13">
      <c r="A9326" s="33" t="str">
        <f t="shared" si="580"/>
        <v>SCL - Operating Expense</v>
      </c>
      <c r="B9326" s="33" t="str">
        <f t="shared" si="581"/>
        <v>SCL</v>
      </c>
      <c r="C9326" s="33" t="str">
        <f t="shared" si="582"/>
        <v>63501-7385</v>
      </c>
      <c r="D9326" s="64" t="s">
        <v>10576</v>
      </c>
      <c r="E9326" s="64" t="s">
        <v>3159</v>
      </c>
      <c r="F9326" s="64" t="s">
        <v>15</v>
      </c>
      <c r="G9326" s="64" t="s">
        <v>3160</v>
      </c>
      <c r="H9326" s="64" t="s">
        <v>3022</v>
      </c>
      <c r="I9326" s="64" t="s">
        <v>3161</v>
      </c>
      <c r="J9326" s="67">
        <v>118.61</v>
      </c>
      <c r="K9326" s="62">
        <v>1224.84</v>
      </c>
      <c r="L9326" s="33" t="e">
        <f>HLOOKUP(B9326,#REF!,1,0)</f>
        <v>#REF!</v>
      </c>
      <c r="M9326" s="33" t="str">
        <f t="shared" si="583"/>
        <v>P&amp;L</v>
      </c>
    </row>
    <row r="9327" spans="1:13">
      <c r="A9327" s="33" t="str">
        <f t="shared" si="580"/>
        <v>SCL - Operating Expense</v>
      </c>
      <c r="B9327" s="33" t="str">
        <f t="shared" si="581"/>
        <v>SCL</v>
      </c>
      <c r="C9327" s="33" t="str">
        <f t="shared" si="582"/>
        <v>63501-7386</v>
      </c>
      <c r="D9327" s="64" t="s">
        <v>10577</v>
      </c>
      <c r="E9327" s="64" t="s">
        <v>3159</v>
      </c>
      <c r="F9327" s="64" t="s">
        <v>15</v>
      </c>
      <c r="G9327" s="64" t="s">
        <v>3160</v>
      </c>
      <c r="H9327" s="64" t="s">
        <v>3022</v>
      </c>
      <c r="I9327" s="64" t="s">
        <v>3161</v>
      </c>
      <c r="J9327" s="67">
        <v>173.52</v>
      </c>
      <c r="K9327" s="62">
        <v>1801.3</v>
      </c>
      <c r="L9327" s="33" t="e">
        <f>HLOOKUP(B9327,#REF!,1,0)</f>
        <v>#REF!</v>
      </c>
      <c r="M9327" s="33" t="str">
        <f t="shared" si="583"/>
        <v>P&amp;L</v>
      </c>
    </row>
    <row r="9328" spans="1:13">
      <c r="A9328" s="33" t="str">
        <f t="shared" si="580"/>
        <v>SCL - Operating Expense</v>
      </c>
      <c r="B9328" s="33" t="str">
        <f t="shared" si="581"/>
        <v>SCL</v>
      </c>
      <c r="C9328" s="33" t="str">
        <f t="shared" si="582"/>
        <v>63501-7387</v>
      </c>
      <c r="D9328" s="64" t="s">
        <v>10578</v>
      </c>
      <c r="E9328" s="64" t="s">
        <v>3159</v>
      </c>
      <c r="F9328" s="64" t="s">
        <v>15</v>
      </c>
      <c r="G9328" s="64" t="s">
        <v>3160</v>
      </c>
      <c r="H9328" s="64" t="s">
        <v>3022</v>
      </c>
      <c r="I9328" s="64" t="s">
        <v>3161</v>
      </c>
      <c r="J9328" s="67">
        <v>57.03</v>
      </c>
      <c r="K9328" s="62">
        <v>1194.91</v>
      </c>
      <c r="L9328" s="33" t="e">
        <f>HLOOKUP(B9328,#REF!,1,0)</f>
        <v>#REF!</v>
      </c>
      <c r="M9328" s="33" t="str">
        <f t="shared" si="583"/>
        <v>P&amp;L</v>
      </c>
    </row>
    <row r="9329" spans="1:13">
      <c r="A9329" s="33" t="str">
        <f t="shared" si="580"/>
        <v>SCL - Operating Expense</v>
      </c>
      <c r="B9329" s="33" t="str">
        <f t="shared" si="581"/>
        <v>SCL</v>
      </c>
      <c r="C9329" s="33" t="str">
        <f t="shared" si="582"/>
        <v>63501-7389</v>
      </c>
      <c r="D9329" s="64" t="s">
        <v>10579</v>
      </c>
      <c r="E9329" s="64" t="s">
        <v>3159</v>
      </c>
      <c r="F9329" s="64" t="s">
        <v>15</v>
      </c>
      <c r="G9329" s="64" t="s">
        <v>3160</v>
      </c>
      <c r="H9329" s="64" t="s">
        <v>3022</v>
      </c>
      <c r="I9329" s="64" t="s">
        <v>3161</v>
      </c>
      <c r="J9329" s="67">
        <v>173.52</v>
      </c>
      <c r="K9329" s="62">
        <v>1776.29</v>
      </c>
      <c r="L9329" s="33" t="e">
        <f>HLOOKUP(B9329,#REF!,1,0)</f>
        <v>#REF!</v>
      </c>
      <c r="M9329" s="33" t="str">
        <f t="shared" si="583"/>
        <v>P&amp;L</v>
      </c>
    </row>
    <row r="9330" spans="1:13">
      <c r="A9330" s="33" t="str">
        <f t="shared" si="580"/>
        <v>SCL - Operating Expense</v>
      </c>
      <c r="B9330" s="33" t="str">
        <f t="shared" si="581"/>
        <v>SCL</v>
      </c>
      <c r="C9330" s="33" t="str">
        <f t="shared" si="582"/>
        <v>63501-7391</v>
      </c>
      <c r="D9330" s="64" t="s">
        <v>10580</v>
      </c>
      <c r="E9330" s="64" t="s">
        <v>3159</v>
      </c>
      <c r="F9330" s="64" t="s">
        <v>15</v>
      </c>
      <c r="G9330" s="64" t="s">
        <v>3160</v>
      </c>
      <c r="H9330" s="64" t="s">
        <v>3022</v>
      </c>
      <c r="I9330" s="64" t="s">
        <v>3161</v>
      </c>
      <c r="J9330" s="67">
        <v>133.52</v>
      </c>
      <c r="K9330" s="62">
        <v>1401.75</v>
      </c>
      <c r="L9330" s="33" t="e">
        <f>HLOOKUP(B9330,#REF!,1,0)</f>
        <v>#REF!</v>
      </c>
      <c r="M9330" s="33" t="str">
        <f t="shared" si="583"/>
        <v>P&amp;L</v>
      </c>
    </row>
    <row r="9331" spans="1:13">
      <c r="A9331" s="33" t="str">
        <f t="shared" si="580"/>
        <v>SCL - Operating Expense</v>
      </c>
      <c r="B9331" s="33" t="str">
        <f t="shared" si="581"/>
        <v>SCL</v>
      </c>
      <c r="C9331" s="33" t="str">
        <f t="shared" si="582"/>
        <v>63501-7393</v>
      </c>
      <c r="D9331" s="64" t="s">
        <v>10581</v>
      </c>
      <c r="E9331" s="64" t="s">
        <v>3159</v>
      </c>
      <c r="F9331" s="64" t="s">
        <v>15</v>
      </c>
      <c r="G9331" s="64" t="s">
        <v>3160</v>
      </c>
      <c r="H9331" s="64" t="s">
        <v>3022</v>
      </c>
      <c r="I9331" s="64" t="s">
        <v>3161</v>
      </c>
      <c r="J9331" s="67">
        <v>183.51</v>
      </c>
      <c r="K9331" s="62">
        <v>1809.5</v>
      </c>
      <c r="L9331" s="33" t="e">
        <f>HLOOKUP(B9331,#REF!,1,0)</f>
        <v>#REF!</v>
      </c>
      <c r="M9331" s="33" t="str">
        <f t="shared" si="583"/>
        <v>P&amp;L</v>
      </c>
    </row>
    <row r="9332" spans="1:13">
      <c r="A9332" s="33" t="str">
        <f t="shared" si="580"/>
        <v>SCL - Operating Expense</v>
      </c>
      <c r="B9332" s="33" t="str">
        <f t="shared" si="581"/>
        <v>SCL</v>
      </c>
      <c r="C9332" s="33" t="str">
        <f t="shared" si="582"/>
        <v>63501-7394</v>
      </c>
      <c r="D9332" s="64" t="s">
        <v>10582</v>
      </c>
      <c r="E9332" s="64" t="s">
        <v>3159</v>
      </c>
      <c r="F9332" s="64" t="s">
        <v>15</v>
      </c>
      <c r="G9332" s="64" t="s">
        <v>3160</v>
      </c>
      <c r="H9332" s="64" t="s">
        <v>3022</v>
      </c>
      <c r="I9332" s="64" t="s">
        <v>3161</v>
      </c>
      <c r="J9332" s="67">
        <v>34.53</v>
      </c>
      <c r="K9332" s="62">
        <v>1012.4</v>
      </c>
      <c r="L9332" s="33" t="e">
        <f>HLOOKUP(B9332,#REF!,1,0)</f>
        <v>#REF!</v>
      </c>
      <c r="M9332" s="33" t="str">
        <f t="shared" si="583"/>
        <v>P&amp;L</v>
      </c>
    </row>
    <row r="9333" spans="1:13">
      <c r="A9333" s="33" t="str">
        <f t="shared" si="580"/>
        <v>SCL - Operating Expense</v>
      </c>
      <c r="B9333" s="33" t="str">
        <f t="shared" si="581"/>
        <v>SCL</v>
      </c>
      <c r="C9333" s="33" t="str">
        <f t="shared" si="582"/>
        <v>63501-7396</v>
      </c>
      <c r="D9333" s="64" t="s">
        <v>10583</v>
      </c>
      <c r="E9333" s="64" t="s">
        <v>3159</v>
      </c>
      <c r="F9333" s="64" t="s">
        <v>15</v>
      </c>
      <c r="G9333" s="64" t="s">
        <v>3160</v>
      </c>
      <c r="H9333" s="64" t="s">
        <v>3022</v>
      </c>
      <c r="I9333" s="64" t="s">
        <v>3161</v>
      </c>
      <c r="J9333" s="67">
        <v>183.59</v>
      </c>
      <c r="K9333" s="62">
        <v>1899.28</v>
      </c>
      <c r="L9333" s="33" t="e">
        <f>HLOOKUP(B9333,#REF!,1,0)</f>
        <v>#REF!</v>
      </c>
      <c r="M9333" s="33" t="str">
        <f t="shared" si="583"/>
        <v>P&amp;L</v>
      </c>
    </row>
    <row r="9334" spans="1:13">
      <c r="A9334" s="33" t="str">
        <f t="shared" si="580"/>
        <v>SCL - Operating Expense</v>
      </c>
      <c r="B9334" s="33" t="str">
        <f t="shared" si="581"/>
        <v>SCL</v>
      </c>
      <c r="C9334" s="33" t="str">
        <f t="shared" si="582"/>
        <v>63501-7397</v>
      </c>
      <c r="D9334" s="64" t="s">
        <v>10584</v>
      </c>
      <c r="E9334" s="64" t="s">
        <v>3159</v>
      </c>
      <c r="F9334" s="64" t="s">
        <v>15</v>
      </c>
      <c r="G9334" s="64" t="s">
        <v>3160</v>
      </c>
      <c r="H9334" s="64" t="s">
        <v>3022</v>
      </c>
      <c r="I9334" s="64" t="s">
        <v>3161</v>
      </c>
      <c r="J9334" s="67">
        <v>73.53</v>
      </c>
      <c r="K9334" s="62">
        <v>1609.19</v>
      </c>
      <c r="L9334" s="33" t="e">
        <f>HLOOKUP(B9334,#REF!,1,0)</f>
        <v>#REF!</v>
      </c>
      <c r="M9334" s="33" t="str">
        <f t="shared" si="583"/>
        <v>P&amp;L</v>
      </c>
    </row>
    <row r="9335" spans="1:13">
      <c r="A9335" s="33" t="str">
        <f t="shared" si="580"/>
        <v>SCL - Operating Expense</v>
      </c>
      <c r="B9335" s="33" t="str">
        <f t="shared" si="581"/>
        <v>SCL</v>
      </c>
      <c r="C9335" s="33" t="str">
        <f t="shared" si="582"/>
        <v>63501-7398</v>
      </c>
      <c r="D9335" s="64" t="s">
        <v>10585</v>
      </c>
      <c r="E9335" s="64" t="s">
        <v>3159</v>
      </c>
      <c r="F9335" s="64" t="s">
        <v>15</v>
      </c>
      <c r="G9335" s="64" t="s">
        <v>3160</v>
      </c>
      <c r="H9335" s="64" t="s">
        <v>3022</v>
      </c>
      <c r="I9335" s="64" t="s">
        <v>3161</v>
      </c>
      <c r="J9335" s="67">
        <v>57.03</v>
      </c>
      <c r="K9335" s="62">
        <v>1214.9</v>
      </c>
      <c r="L9335" s="33" t="e">
        <f>HLOOKUP(B9335,#REF!,1,0)</f>
        <v>#REF!</v>
      </c>
      <c r="M9335" s="33" t="str">
        <f t="shared" si="583"/>
        <v>P&amp;L</v>
      </c>
    </row>
    <row r="9336" spans="1:13">
      <c r="A9336" s="33" t="str">
        <f t="shared" si="580"/>
        <v>SCL - Operating Expense</v>
      </c>
      <c r="B9336" s="33" t="str">
        <f t="shared" si="581"/>
        <v>SCL</v>
      </c>
      <c r="C9336" s="33" t="str">
        <f t="shared" si="582"/>
        <v>63501-7400</v>
      </c>
      <c r="D9336" s="64" t="s">
        <v>10586</v>
      </c>
      <c r="E9336" s="64" t="s">
        <v>3159</v>
      </c>
      <c r="F9336" s="64" t="s">
        <v>15</v>
      </c>
      <c r="G9336" s="64" t="s">
        <v>3160</v>
      </c>
      <c r="H9336" s="64" t="s">
        <v>3022</v>
      </c>
      <c r="I9336" s="64" t="s">
        <v>3161</v>
      </c>
      <c r="J9336" s="67">
        <v>170.03</v>
      </c>
      <c r="K9336" s="62">
        <v>1698.64</v>
      </c>
      <c r="L9336" s="33" t="e">
        <f>HLOOKUP(B9336,#REF!,1,0)</f>
        <v>#REF!</v>
      </c>
      <c r="M9336" s="33" t="str">
        <f t="shared" si="583"/>
        <v>P&amp;L</v>
      </c>
    </row>
    <row r="9337" spans="1:13">
      <c r="A9337" s="33" t="str">
        <f t="shared" si="580"/>
        <v>SCL - Operating Expense</v>
      </c>
      <c r="B9337" s="33" t="str">
        <f t="shared" si="581"/>
        <v>SCL</v>
      </c>
      <c r="C9337" s="33" t="str">
        <f t="shared" si="582"/>
        <v>63501-7401</v>
      </c>
      <c r="D9337" s="64" t="s">
        <v>10587</v>
      </c>
      <c r="E9337" s="64" t="s">
        <v>3159</v>
      </c>
      <c r="F9337" s="64" t="s">
        <v>15</v>
      </c>
      <c r="G9337" s="64" t="s">
        <v>3160</v>
      </c>
      <c r="H9337" s="64" t="s">
        <v>3022</v>
      </c>
      <c r="I9337" s="64" t="s">
        <v>3161</v>
      </c>
      <c r="J9337" s="67">
        <v>147.03</v>
      </c>
      <c r="K9337" s="62">
        <v>1301.42</v>
      </c>
      <c r="L9337" s="33" t="e">
        <f>HLOOKUP(B9337,#REF!,1,0)</f>
        <v>#REF!</v>
      </c>
      <c r="M9337" s="33" t="str">
        <f t="shared" si="583"/>
        <v>P&amp;L</v>
      </c>
    </row>
    <row r="9338" spans="1:13">
      <c r="A9338" s="33" t="str">
        <f t="shared" si="580"/>
        <v>SCL - Operating Expense</v>
      </c>
      <c r="B9338" s="33" t="str">
        <f t="shared" si="581"/>
        <v>SCL</v>
      </c>
      <c r="C9338" s="33" t="str">
        <f t="shared" si="582"/>
        <v>63501-7402</v>
      </c>
      <c r="D9338" s="64" t="s">
        <v>10588</v>
      </c>
      <c r="E9338" s="64" t="s">
        <v>3159</v>
      </c>
      <c r="F9338" s="64" t="s">
        <v>15</v>
      </c>
      <c r="G9338" s="64" t="s">
        <v>3160</v>
      </c>
      <c r="H9338" s="64" t="s">
        <v>3022</v>
      </c>
      <c r="I9338" s="64" t="s">
        <v>3161</v>
      </c>
      <c r="J9338" s="67">
        <v>127.03</v>
      </c>
      <c r="K9338" s="62">
        <v>1081.42</v>
      </c>
      <c r="L9338" s="33" t="e">
        <f>HLOOKUP(B9338,#REF!,1,0)</f>
        <v>#REF!</v>
      </c>
      <c r="M9338" s="33" t="str">
        <f t="shared" si="583"/>
        <v>P&amp;L</v>
      </c>
    </row>
    <row r="9339" spans="1:13">
      <c r="A9339" s="33" t="str">
        <f t="shared" si="580"/>
        <v>SCL - Operating Expense</v>
      </c>
      <c r="B9339" s="33" t="str">
        <f t="shared" si="581"/>
        <v>SCL</v>
      </c>
      <c r="C9339" s="33" t="str">
        <f t="shared" si="582"/>
        <v>63501-7403</v>
      </c>
      <c r="D9339" s="64" t="s">
        <v>10589</v>
      </c>
      <c r="E9339" s="64" t="s">
        <v>3159</v>
      </c>
      <c r="F9339" s="64" t="s">
        <v>15</v>
      </c>
      <c r="G9339" s="64" t="s">
        <v>3160</v>
      </c>
      <c r="H9339" s="64" t="s">
        <v>3022</v>
      </c>
      <c r="I9339" s="64" t="s">
        <v>3161</v>
      </c>
      <c r="J9339" s="67">
        <v>-17.45</v>
      </c>
      <c r="K9339" s="62">
        <v>1425.24</v>
      </c>
      <c r="L9339" s="33" t="e">
        <f>HLOOKUP(B9339,#REF!,1,0)</f>
        <v>#REF!</v>
      </c>
      <c r="M9339" s="33" t="str">
        <f t="shared" si="583"/>
        <v>P&amp;L</v>
      </c>
    </row>
    <row r="9340" spans="1:13">
      <c r="A9340" s="33" t="str">
        <f t="shared" si="580"/>
        <v>SCL - Operating Expense</v>
      </c>
      <c r="B9340" s="33" t="str">
        <f t="shared" si="581"/>
        <v>SCL</v>
      </c>
      <c r="C9340" s="33" t="str">
        <f t="shared" si="582"/>
        <v>63501-7489</v>
      </c>
      <c r="D9340" s="64" t="s">
        <v>10590</v>
      </c>
      <c r="E9340" s="64" t="s">
        <v>3159</v>
      </c>
      <c r="F9340" s="64" t="s">
        <v>15</v>
      </c>
      <c r="G9340" s="64" t="s">
        <v>3160</v>
      </c>
      <c r="H9340" s="64" t="s">
        <v>3022</v>
      </c>
      <c r="I9340" s="64" t="s">
        <v>3161</v>
      </c>
      <c r="J9340" s="67">
        <v>118.61</v>
      </c>
      <c r="K9340" s="62">
        <v>1296.47</v>
      </c>
      <c r="L9340" s="33" t="e">
        <f>HLOOKUP(B9340,#REF!,1,0)</f>
        <v>#REF!</v>
      </c>
      <c r="M9340" s="33" t="str">
        <f t="shared" si="583"/>
        <v>P&amp;L</v>
      </c>
    </row>
    <row r="9341" spans="1:13">
      <c r="A9341" s="33" t="str">
        <f t="shared" si="580"/>
        <v>SCL - Operating Expense</v>
      </c>
      <c r="B9341" s="33" t="str">
        <f t="shared" si="581"/>
        <v>SCL</v>
      </c>
      <c r="C9341" s="33" t="str">
        <f t="shared" si="582"/>
        <v>63501-7491</v>
      </c>
      <c r="D9341" s="64" t="s">
        <v>10591</v>
      </c>
      <c r="E9341" s="64" t="s">
        <v>3159</v>
      </c>
      <c r="F9341" s="64" t="s">
        <v>15</v>
      </c>
      <c r="G9341" s="64" t="s">
        <v>3160</v>
      </c>
      <c r="H9341" s="64" t="s">
        <v>3022</v>
      </c>
      <c r="I9341" s="64" t="s">
        <v>3161</v>
      </c>
      <c r="J9341" s="67">
        <v>57.03</v>
      </c>
      <c r="K9341" s="62">
        <v>1194.89</v>
      </c>
      <c r="L9341" s="33" t="e">
        <f>HLOOKUP(B9341,#REF!,1,0)</f>
        <v>#REF!</v>
      </c>
      <c r="M9341" s="33" t="str">
        <f t="shared" si="583"/>
        <v>P&amp;L</v>
      </c>
    </row>
    <row r="9342" spans="1:13">
      <c r="A9342" s="33" t="str">
        <f t="shared" si="580"/>
        <v>SCL - Operating Expense</v>
      </c>
      <c r="B9342" s="33" t="str">
        <f t="shared" si="581"/>
        <v>SCL</v>
      </c>
      <c r="C9342" s="33" t="str">
        <f t="shared" si="582"/>
        <v>63501-7492</v>
      </c>
      <c r="D9342" s="64" t="s">
        <v>10592</v>
      </c>
      <c r="E9342" s="64" t="s">
        <v>3159</v>
      </c>
      <c r="F9342" s="64" t="s">
        <v>15</v>
      </c>
      <c r="G9342" s="64" t="s">
        <v>3160</v>
      </c>
      <c r="H9342" s="64" t="s">
        <v>3022</v>
      </c>
      <c r="I9342" s="64" t="s">
        <v>3161</v>
      </c>
      <c r="J9342" s="67">
        <v>37.03</v>
      </c>
      <c r="K9342" s="62">
        <v>1134.89</v>
      </c>
      <c r="L9342" s="33" t="e">
        <f>HLOOKUP(B9342,#REF!,1,0)</f>
        <v>#REF!</v>
      </c>
      <c r="M9342" s="33" t="str">
        <f t="shared" si="583"/>
        <v>P&amp;L</v>
      </c>
    </row>
    <row r="9343" spans="1:13">
      <c r="A9343" s="33" t="str">
        <f t="shared" si="580"/>
        <v>SCL - Operating Expense</v>
      </c>
      <c r="B9343" s="33" t="str">
        <f t="shared" si="581"/>
        <v>SCL</v>
      </c>
      <c r="C9343" s="33" t="str">
        <f t="shared" si="582"/>
        <v>63501-7493</v>
      </c>
      <c r="D9343" s="64" t="s">
        <v>10593</v>
      </c>
      <c r="E9343" s="64" t="s">
        <v>3159</v>
      </c>
      <c r="F9343" s="64" t="s">
        <v>15</v>
      </c>
      <c r="G9343" s="64" t="s">
        <v>3160</v>
      </c>
      <c r="H9343" s="64" t="s">
        <v>3022</v>
      </c>
      <c r="I9343" s="64" t="s">
        <v>3161</v>
      </c>
      <c r="J9343" s="67">
        <v>137.73</v>
      </c>
      <c r="K9343" s="62">
        <v>1368.42</v>
      </c>
      <c r="L9343" s="33" t="e">
        <f>HLOOKUP(B9343,#REF!,1,0)</f>
        <v>#REF!</v>
      </c>
      <c r="M9343" s="33" t="str">
        <f t="shared" si="583"/>
        <v>P&amp;L</v>
      </c>
    </row>
    <row r="9344" spans="1:13">
      <c r="A9344" s="33" t="str">
        <f t="shared" si="580"/>
        <v>SCL - Operating Expense</v>
      </c>
      <c r="B9344" s="33" t="str">
        <f t="shared" si="581"/>
        <v>SCL</v>
      </c>
      <c r="C9344" s="33" t="str">
        <f t="shared" si="582"/>
        <v>63501-7494</v>
      </c>
      <c r="D9344" s="64" t="s">
        <v>10594</v>
      </c>
      <c r="E9344" s="64" t="s">
        <v>3159</v>
      </c>
      <c r="F9344" s="64" t="s">
        <v>15</v>
      </c>
      <c r="G9344" s="64" t="s">
        <v>3160</v>
      </c>
      <c r="H9344" s="64" t="s">
        <v>3022</v>
      </c>
      <c r="I9344" s="64" t="s">
        <v>3161</v>
      </c>
      <c r="J9344" s="67">
        <v>57.03</v>
      </c>
      <c r="K9344" s="62">
        <v>1126.53</v>
      </c>
      <c r="L9344" s="33" t="e">
        <f>HLOOKUP(B9344,#REF!,1,0)</f>
        <v>#REF!</v>
      </c>
      <c r="M9344" s="33" t="str">
        <f t="shared" si="583"/>
        <v>P&amp;L</v>
      </c>
    </row>
    <row r="9345" spans="1:13">
      <c r="A9345" s="33" t="str">
        <f t="shared" si="580"/>
        <v>SCL - Operating Expense</v>
      </c>
      <c r="B9345" s="33" t="str">
        <f t="shared" si="581"/>
        <v>SCL</v>
      </c>
      <c r="C9345" s="33" t="str">
        <f t="shared" si="582"/>
        <v>63501-7625</v>
      </c>
      <c r="D9345" s="64" t="s">
        <v>10595</v>
      </c>
      <c r="E9345" s="64" t="s">
        <v>3159</v>
      </c>
      <c r="F9345" s="64" t="s">
        <v>15</v>
      </c>
      <c r="G9345" s="64" t="s">
        <v>3160</v>
      </c>
      <c r="H9345" s="64" t="s">
        <v>3022</v>
      </c>
      <c r="I9345" s="64" t="s">
        <v>3161</v>
      </c>
      <c r="J9345" s="67">
        <v>173.52</v>
      </c>
      <c r="K9345" s="62">
        <v>1727.81</v>
      </c>
      <c r="L9345" s="33" t="e">
        <f>HLOOKUP(B9345,#REF!,1,0)</f>
        <v>#REF!</v>
      </c>
      <c r="M9345" s="33" t="str">
        <f t="shared" si="583"/>
        <v>P&amp;L</v>
      </c>
    </row>
    <row r="9346" spans="1:13">
      <c r="A9346" s="33" t="str">
        <f t="shared" ref="A9346:A9409" si="584">B9346&amp;" - "&amp;TRIM(H9346)</f>
        <v>SCL - Operating Expense</v>
      </c>
      <c r="B9346" s="33" t="str">
        <f t="shared" ref="B9346:B9409" si="585">LEFT(D9346,3)</f>
        <v>SCL</v>
      </c>
      <c r="C9346" s="33" t="str">
        <f t="shared" ref="C9346:C9409" si="586">RIGHT(D9346,10)</f>
        <v>63501-8150</v>
      </c>
      <c r="D9346" s="64" t="s">
        <v>10596</v>
      </c>
      <c r="E9346" s="64" t="s">
        <v>3159</v>
      </c>
      <c r="F9346" s="64" t="s">
        <v>15</v>
      </c>
      <c r="G9346" s="64" t="s">
        <v>3160</v>
      </c>
      <c r="H9346" s="64" t="s">
        <v>3022</v>
      </c>
      <c r="I9346" s="64" t="s">
        <v>3161</v>
      </c>
      <c r="J9346" s="67">
        <v>198.51</v>
      </c>
      <c r="K9346" s="62">
        <v>1937.91</v>
      </c>
      <c r="L9346" s="33" t="e">
        <f>HLOOKUP(B9346,#REF!,1,0)</f>
        <v>#REF!</v>
      </c>
      <c r="M9346" s="33" t="str">
        <f t="shared" ref="M9346:M9409" si="587">IF(VALUE(LEFT(C9346,5))&gt;40000,"P&amp;L","BS")</f>
        <v>P&amp;L</v>
      </c>
    </row>
    <row r="9347" spans="1:13">
      <c r="A9347" s="33" t="str">
        <f t="shared" si="584"/>
        <v>SCL - Operating Expense</v>
      </c>
      <c r="B9347" s="33" t="str">
        <f t="shared" si="585"/>
        <v>SCL</v>
      </c>
      <c r="C9347" s="33" t="str">
        <f t="shared" si="586"/>
        <v>63502-0000</v>
      </c>
      <c r="D9347" s="64" t="s">
        <v>10597</v>
      </c>
      <c r="E9347" s="64" t="s">
        <v>3167</v>
      </c>
      <c r="F9347" s="64" t="s">
        <v>15</v>
      </c>
      <c r="G9347" s="64" t="s">
        <v>3160</v>
      </c>
      <c r="H9347" s="64" t="s">
        <v>3022</v>
      </c>
      <c r="I9347" s="64" t="s">
        <v>3168</v>
      </c>
      <c r="J9347" s="67">
        <v>0</v>
      </c>
      <c r="K9347" s="62">
        <v>0</v>
      </c>
      <c r="L9347" s="33" t="e">
        <f>HLOOKUP(B9347,#REF!,1,0)</f>
        <v>#REF!</v>
      </c>
      <c r="M9347" s="33" t="str">
        <f t="shared" si="587"/>
        <v>P&amp;L</v>
      </c>
    </row>
    <row r="9348" spans="1:13">
      <c r="A9348" s="33" t="str">
        <f t="shared" si="584"/>
        <v>SCL - Operating Expense</v>
      </c>
      <c r="B9348" s="33" t="str">
        <f t="shared" si="585"/>
        <v>SCL</v>
      </c>
      <c r="C9348" s="33" t="str">
        <f t="shared" si="586"/>
        <v>63502-7351</v>
      </c>
      <c r="D9348" s="64" t="s">
        <v>10598</v>
      </c>
      <c r="E9348" s="64" t="s">
        <v>3167</v>
      </c>
      <c r="F9348" s="64" t="s">
        <v>15</v>
      </c>
      <c r="G9348" s="64" t="s">
        <v>3160</v>
      </c>
      <c r="H9348" s="64" t="s">
        <v>3022</v>
      </c>
      <c r="I9348" s="64" t="s">
        <v>3168</v>
      </c>
      <c r="J9348" s="67">
        <v>5406.57</v>
      </c>
      <c r="K9348" s="62">
        <v>42510.73</v>
      </c>
      <c r="L9348" s="33" t="e">
        <f>HLOOKUP(B9348,#REF!,1,0)</f>
        <v>#REF!</v>
      </c>
      <c r="M9348" s="33" t="str">
        <f t="shared" si="587"/>
        <v>P&amp;L</v>
      </c>
    </row>
    <row r="9349" spans="1:13">
      <c r="A9349" s="33" t="str">
        <f t="shared" si="584"/>
        <v>SCL - Operating Expense</v>
      </c>
      <c r="B9349" s="33" t="str">
        <f t="shared" si="585"/>
        <v>SCL</v>
      </c>
      <c r="C9349" s="33" t="str">
        <f t="shared" si="586"/>
        <v>63502-7352</v>
      </c>
      <c r="D9349" s="64" t="s">
        <v>10599</v>
      </c>
      <c r="E9349" s="64" t="s">
        <v>3167</v>
      </c>
      <c r="F9349" s="64" t="s">
        <v>15</v>
      </c>
      <c r="G9349" s="64" t="s">
        <v>3160</v>
      </c>
      <c r="H9349" s="64" t="s">
        <v>3022</v>
      </c>
      <c r="I9349" s="64" t="s">
        <v>3168</v>
      </c>
      <c r="J9349" s="67">
        <v>3213.6</v>
      </c>
      <c r="K9349" s="62">
        <v>35842.79</v>
      </c>
      <c r="L9349" s="33" t="e">
        <f>HLOOKUP(B9349,#REF!,1,0)</f>
        <v>#REF!</v>
      </c>
      <c r="M9349" s="33" t="str">
        <f t="shared" si="587"/>
        <v>P&amp;L</v>
      </c>
    </row>
    <row r="9350" spans="1:13">
      <c r="A9350" s="33" t="str">
        <f t="shared" si="584"/>
        <v>SCL - Operating Expense</v>
      </c>
      <c r="B9350" s="33" t="str">
        <f t="shared" si="585"/>
        <v>SCL</v>
      </c>
      <c r="C9350" s="33" t="str">
        <f t="shared" si="586"/>
        <v>63502-7355</v>
      </c>
      <c r="D9350" s="64" t="s">
        <v>10600</v>
      </c>
      <c r="E9350" s="64" t="s">
        <v>3167</v>
      </c>
      <c r="F9350" s="64" t="s">
        <v>15</v>
      </c>
      <c r="G9350" s="64" t="s">
        <v>3160</v>
      </c>
      <c r="H9350" s="64" t="s">
        <v>3022</v>
      </c>
      <c r="I9350" s="64" t="s">
        <v>3168</v>
      </c>
      <c r="J9350" s="67">
        <v>3180.61</v>
      </c>
      <c r="K9350" s="62">
        <v>27558.44</v>
      </c>
      <c r="L9350" s="33" t="e">
        <f>HLOOKUP(B9350,#REF!,1,0)</f>
        <v>#REF!</v>
      </c>
      <c r="M9350" s="33" t="str">
        <f t="shared" si="587"/>
        <v>P&amp;L</v>
      </c>
    </row>
    <row r="9351" spans="1:13">
      <c r="A9351" s="33" t="str">
        <f t="shared" si="584"/>
        <v>SCL - Operating Expense</v>
      </c>
      <c r="B9351" s="33" t="str">
        <f t="shared" si="585"/>
        <v>SCL</v>
      </c>
      <c r="C9351" s="33" t="str">
        <f t="shared" si="586"/>
        <v>63502-7356</v>
      </c>
      <c r="D9351" s="64" t="s">
        <v>10601</v>
      </c>
      <c r="E9351" s="64" t="s">
        <v>3167</v>
      </c>
      <c r="F9351" s="64" t="s">
        <v>15</v>
      </c>
      <c r="G9351" s="64" t="s">
        <v>3160</v>
      </c>
      <c r="H9351" s="64" t="s">
        <v>3022</v>
      </c>
      <c r="I9351" s="64" t="s">
        <v>3168</v>
      </c>
      <c r="J9351" s="67">
        <v>0</v>
      </c>
      <c r="K9351" s="62">
        <v>2866.84</v>
      </c>
      <c r="L9351" s="33" t="e">
        <f>HLOOKUP(B9351,#REF!,1,0)</f>
        <v>#REF!</v>
      </c>
      <c r="M9351" s="33" t="str">
        <f t="shared" si="587"/>
        <v>P&amp;L</v>
      </c>
    </row>
    <row r="9352" spans="1:13">
      <c r="A9352" s="33" t="str">
        <f t="shared" si="584"/>
        <v>SCL - Operating Expense</v>
      </c>
      <c r="B9352" s="33" t="str">
        <f t="shared" si="585"/>
        <v>SCL</v>
      </c>
      <c r="C9352" s="33" t="str">
        <f t="shared" si="586"/>
        <v>63502-7359</v>
      </c>
      <c r="D9352" s="64" t="s">
        <v>10602</v>
      </c>
      <c r="E9352" s="64" t="s">
        <v>3167</v>
      </c>
      <c r="F9352" s="64" t="s">
        <v>15</v>
      </c>
      <c r="G9352" s="64" t="s">
        <v>3160</v>
      </c>
      <c r="H9352" s="64" t="s">
        <v>3022</v>
      </c>
      <c r="I9352" s="64" t="s">
        <v>3168</v>
      </c>
      <c r="J9352" s="67">
        <v>2707.71</v>
      </c>
      <c r="K9352" s="62">
        <v>31280.06</v>
      </c>
      <c r="L9352" s="33" t="e">
        <f>HLOOKUP(B9352,#REF!,1,0)</f>
        <v>#REF!</v>
      </c>
      <c r="M9352" s="33" t="str">
        <f t="shared" si="587"/>
        <v>P&amp;L</v>
      </c>
    </row>
    <row r="9353" spans="1:13">
      <c r="A9353" s="33" t="str">
        <f t="shared" si="584"/>
        <v>SCL - Operating Expense</v>
      </c>
      <c r="B9353" s="33" t="str">
        <f t="shared" si="585"/>
        <v>SCL</v>
      </c>
      <c r="C9353" s="33" t="str">
        <f t="shared" si="586"/>
        <v>63502-7360</v>
      </c>
      <c r="D9353" s="64" t="s">
        <v>10603</v>
      </c>
      <c r="E9353" s="64" t="s">
        <v>3167</v>
      </c>
      <c r="F9353" s="64" t="s">
        <v>15</v>
      </c>
      <c r="G9353" s="64" t="s">
        <v>3160</v>
      </c>
      <c r="H9353" s="64" t="s">
        <v>3022</v>
      </c>
      <c r="I9353" s="64" t="s">
        <v>3168</v>
      </c>
      <c r="J9353" s="67">
        <v>4165.28</v>
      </c>
      <c r="K9353" s="62">
        <v>33982.47</v>
      </c>
      <c r="L9353" s="33" t="e">
        <f>HLOOKUP(B9353,#REF!,1,0)</f>
        <v>#REF!</v>
      </c>
      <c r="M9353" s="33" t="str">
        <f t="shared" si="587"/>
        <v>P&amp;L</v>
      </c>
    </row>
    <row r="9354" spans="1:13">
      <c r="A9354" s="33" t="str">
        <f t="shared" si="584"/>
        <v>SCL - Operating Expense</v>
      </c>
      <c r="B9354" s="33" t="str">
        <f t="shared" si="585"/>
        <v>SCL</v>
      </c>
      <c r="C9354" s="33" t="str">
        <f t="shared" si="586"/>
        <v>63502-7361</v>
      </c>
      <c r="D9354" s="64" t="s">
        <v>10604</v>
      </c>
      <c r="E9354" s="64" t="s">
        <v>3167</v>
      </c>
      <c r="F9354" s="64" t="s">
        <v>15</v>
      </c>
      <c r="G9354" s="64" t="s">
        <v>3160</v>
      </c>
      <c r="H9354" s="64" t="s">
        <v>3022</v>
      </c>
      <c r="I9354" s="64" t="s">
        <v>3168</v>
      </c>
      <c r="J9354" s="67">
        <v>4563.13</v>
      </c>
      <c r="K9354" s="62">
        <v>46890.65</v>
      </c>
      <c r="L9354" s="33" t="e">
        <f>HLOOKUP(B9354,#REF!,1,0)</f>
        <v>#REF!</v>
      </c>
      <c r="M9354" s="33" t="str">
        <f t="shared" si="587"/>
        <v>P&amp;L</v>
      </c>
    </row>
    <row r="9355" spans="1:13">
      <c r="A9355" s="33" t="str">
        <f t="shared" si="584"/>
        <v>SCL - Operating Expense</v>
      </c>
      <c r="B9355" s="33" t="str">
        <f t="shared" si="585"/>
        <v>SCL</v>
      </c>
      <c r="C9355" s="33" t="str">
        <f t="shared" si="586"/>
        <v>63502-7362</v>
      </c>
      <c r="D9355" s="64" t="s">
        <v>10605</v>
      </c>
      <c r="E9355" s="64" t="s">
        <v>3167</v>
      </c>
      <c r="F9355" s="64" t="s">
        <v>15</v>
      </c>
      <c r="G9355" s="64" t="s">
        <v>3160</v>
      </c>
      <c r="H9355" s="64" t="s">
        <v>3022</v>
      </c>
      <c r="I9355" s="64" t="s">
        <v>3168</v>
      </c>
      <c r="J9355" s="67">
        <v>4328.84</v>
      </c>
      <c r="K9355" s="62">
        <v>32033.87</v>
      </c>
      <c r="L9355" s="33" t="e">
        <f>HLOOKUP(B9355,#REF!,1,0)</f>
        <v>#REF!</v>
      </c>
      <c r="M9355" s="33" t="str">
        <f t="shared" si="587"/>
        <v>P&amp;L</v>
      </c>
    </row>
    <row r="9356" spans="1:13">
      <c r="A9356" s="33" t="str">
        <f t="shared" si="584"/>
        <v>SCL - Operating Expense</v>
      </c>
      <c r="B9356" s="33" t="str">
        <f t="shared" si="585"/>
        <v>SCL</v>
      </c>
      <c r="C9356" s="33" t="str">
        <f t="shared" si="586"/>
        <v>63502-7363</v>
      </c>
      <c r="D9356" s="64" t="s">
        <v>10606</v>
      </c>
      <c r="E9356" s="64" t="s">
        <v>3167</v>
      </c>
      <c r="F9356" s="64" t="s">
        <v>15</v>
      </c>
      <c r="G9356" s="64" t="s">
        <v>3160</v>
      </c>
      <c r="H9356" s="64" t="s">
        <v>3022</v>
      </c>
      <c r="I9356" s="64" t="s">
        <v>3168</v>
      </c>
      <c r="J9356" s="67">
        <v>4390.55</v>
      </c>
      <c r="K9356" s="62">
        <v>36673.43</v>
      </c>
      <c r="L9356" s="33" t="e">
        <f>HLOOKUP(B9356,#REF!,1,0)</f>
        <v>#REF!</v>
      </c>
      <c r="M9356" s="33" t="str">
        <f t="shared" si="587"/>
        <v>P&amp;L</v>
      </c>
    </row>
    <row r="9357" spans="1:13">
      <c r="A9357" s="33" t="str">
        <f t="shared" si="584"/>
        <v>SCL - Operating Expense</v>
      </c>
      <c r="B9357" s="33" t="str">
        <f t="shared" si="585"/>
        <v>SCL</v>
      </c>
      <c r="C9357" s="33" t="str">
        <f t="shared" si="586"/>
        <v>63502-7364</v>
      </c>
      <c r="D9357" s="64" t="s">
        <v>10607</v>
      </c>
      <c r="E9357" s="64" t="s">
        <v>3167</v>
      </c>
      <c r="F9357" s="64" t="s">
        <v>15</v>
      </c>
      <c r="G9357" s="64" t="s">
        <v>3160</v>
      </c>
      <c r="H9357" s="64" t="s">
        <v>3022</v>
      </c>
      <c r="I9357" s="64" t="s">
        <v>3168</v>
      </c>
      <c r="J9357" s="67">
        <v>3126.55</v>
      </c>
      <c r="K9357" s="62">
        <v>27266.13</v>
      </c>
      <c r="L9357" s="33" t="e">
        <f>HLOOKUP(B9357,#REF!,1,0)</f>
        <v>#REF!</v>
      </c>
      <c r="M9357" s="33" t="str">
        <f t="shared" si="587"/>
        <v>P&amp;L</v>
      </c>
    </row>
    <row r="9358" spans="1:13">
      <c r="A9358" s="33" t="str">
        <f t="shared" si="584"/>
        <v>SCL - Operating Expense</v>
      </c>
      <c r="B9358" s="33" t="str">
        <f t="shared" si="585"/>
        <v>SCL</v>
      </c>
      <c r="C9358" s="33" t="str">
        <f t="shared" si="586"/>
        <v>63502-7365</v>
      </c>
      <c r="D9358" s="64" t="s">
        <v>10608</v>
      </c>
      <c r="E9358" s="64" t="s">
        <v>3167</v>
      </c>
      <c r="F9358" s="64" t="s">
        <v>15</v>
      </c>
      <c r="G9358" s="64" t="s">
        <v>3160</v>
      </c>
      <c r="H9358" s="64" t="s">
        <v>3022</v>
      </c>
      <c r="I9358" s="64" t="s">
        <v>3168</v>
      </c>
      <c r="J9358" s="67">
        <v>3030.64</v>
      </c>
      <c r="K9358" s="62">
        <v>31628.47</v>
      </c>
      <c r="L9358" s="33" t="e">
        <f>HLOOKUP(B9358,#REF!,1,0)</f>
        <v>#REF!</v>
      </c>
      <c r="M9358" s="33" t="str">
        <f t="shared" si="587"/>
        <v>P&amp;L</v>
      </c>
    </row>
    <row r="9359" spans="1:13">
      <c r="A9359" s="33" t="str">
        <f t="shared" si="584"/>
        <v>SCL - Operating Expense</v>
      </c>
      <c r="B9359" s="33" t="str">
        <f t="shared" si="585"/>
        <v>SCL</v>
      </c>
      <c r="C9359" s="33" t="str">
        <f t="shared" si="586"/>
        <v>63502-7366</v>
      </c>
      <c r="D9359" s="64" t="s">
        <v>10609</v>
      </c>
      <c r="E9359" s="64" t="s">
        <v>3167</v>
      </c>
      <c r="F9359" s="64" t="s">
        <v>15</v>
      </c>
      <c r="G9359" s="64" t="s">
        <v>3160</v>
      </c>
      <c r="H9359" s="64" t="s">
        <v>3022</v>
      </c>
      <c r="I9359" s="64" t="s">
        <v>3168</v>
      </c>
      <c r="J9359" s="67">
        <v>4081.48</v>
      </c>
      <c r="K9359" s="62">
        <v>40757.17</v>
      </c>
      <c r="L9359" s="33" t="e">
        <f>HLOOKUP(B9359,#REF!,1,0)</f>
        <v>#REF!</v>
      </c>
      <c r="M9359" s="33" t="str">
        <f t="shared" si="587"/>
        <v>P&amp;L</v>
      </c>
    </row>
    <row r="9360" spans="1:13">
      <c r="A9360" s="33" t="str">
        <f t="shared" si="584"/>
        <v>SCL - Operating Expense</v>
      </c>
      <c r="B9360" s="33" t="str">
        <f t="shared" si="585"/>
        <v>SCL</v>
      </c>
      <c r="C9360" s="33" t="str">
        <f t="shared" si="586"/>
        <v>63502-7368</v>
      </c>
      <c r="D9360" s="64" t="s">
        <v>10610</v>
      </c>
      <c r="E9360" s="64" t="s">
        <v>3167</v>
      </c>
      <c r="F9360" s="64" t="s">
        <v>15</v>
      </c>
      <c r="G9360" s="64" t="s">
        <v>3160</v>
      </c>
      <c r="H9360" s="64" t="s">
        <v>3022</v>
      </c>
      <c r="I9360" s="64" t="s">
        <v>3168</v>
      </c>
      <c r="J9360" s="67">
        <v>3493.7</v>
      </c>
      <c r="K9360" s="62">
        <v>34697.01</v>
      </c>
      <c r="L9360" s="33" t="e">
        <f>HLOOKUP(B9360,#REF!,1,0)</f>
        <v>#REF!</v>
      </c>
      <c r="M9360" s="33" t="str">
        <f t="shared" si="587"/>
        <v>P&amp;L</v>
      </c>
    </row>
    <row r="9361" spans="1:13">
      <c r="A9361" s="33" t="str">
        <f t="shared" si="584"/>
        <v>SCL - Operating Expense</v>
      </c>
      <c r="B9361" s="33" t="str">
        <f t="shared" si="585"/>
        <v>SCL</v>
      </c>
      <c r="C9361" s="33" t="str">
        <f t="shared" si="586"/>
        <v>63502-7369</v>
      </c>
      <c r="D9361" s="64" t="s">
        <v>10611</v>
      </c>
      <c r="E9361" s="64" t="s">
        <v>3167</v>
      </c>
      <c r="F9361" s="64" t="s">
        <v>15</v>
      </c>
      <c r="G9361" s="64" t="s">
        <v>3160</v>
      </c>
      <c r="H9361" s="64" t="s">
        <v>3022</v>
      </c>
      <c r="I9361" s="64" t="s">
        <v>3168</v>
      </c>
      <c r="J9361" s="67">
        <v>3726.95</v>
      </c>
      <c r="K9361" s="62">
        <v>42470.2</v>
      </c>
      <c r="L9361" s="33" t="e">
        <f>HLOOKUP(B9361,#REF!,1,0)</f>
        <v>#REF!</v>
      </c>
      <c r="M9361" s="33" t="str">
        <f t="shared" si="587"/>
        <v>P&amp;L</v>
      </c>
    </row>
    <row r="9362" spans="1:13">
      <c r="A9362" s="33" t="str">
        <f t="shared" si="584"/>
        <v>SCL - Operating Expense</v>
      </c>
      <c r="B9362" s="33" t="str">
        <f t="shared" si="585"/>
        <v>SCL</v>
      </c>
      <c r="C9362" s="33" t="str">
        <f t="shared" si="586"/>
        <v>63502-7371</v>
      </c>
      <c r="D9362" s="64" t="s">
        <v>10612</v>
      </c>
      <c r="E9362" s="64" t="s">
        <v>3167</v>
      </c>
      <c r="F9362" s="64" t="s">
        <v>15</v>
      </c>
      <c r="G9362" s="64" t="s">
        <v>3160</v>
      </c>
      <c r="H9362" s="64" t="s">
        <v>3022</v>
      </c>
      <c r="I9362" s="64" t="s">
        <v>3168</v>
      </c>
      <c r="J9362" s="67">
        <v>4975.22</v>
      </c>
      <c r="K9362" s="62">
        <v>38367.67</v>
      </c>
      <c r="L9362" s="33" t="e">
        <f>HLOOKUP(B9362,#REF!,1,0)</f>
        <v>#REF!</v>
      </c>
      <c r="M9362" s="33" t="str">
        <f t="shared" si="587"/>
        <v>P&amp;L</v>
      </c>
    </row>
    <row r="9363" spans="1:13">
      <c r="A9363" s="33" t="str">
        <f t="shared" si="584"/>
        <v>SCL - Operating Expense</v>
      </c>
      <c r="B9363" s="33" t="str">
        <f t="shared" si="585"/>
        <v>SCL</v>
      </c>
      <c r="C9363" s="33" t="str">
        <f t="shared" si="586"/>
        <v>63502-7374</v>
      </c>
      <c r="D9363" s="64" t="s">
        <v>10613</v>
      </c>
      <c r="E9363" s="64" t="s">
        <v>3167</v>
      </c>
      <c r="F9363" s="64" t="s">
        <v>15</v>
      </c>
      <c r="G9363" s="64" t="s">
        <v>3160</v>
      </c>
      <c r="H9363" s="64" t="s">
        <v>3022</v>
      </c>
      <c r="I9363" s="64" t="s">
        <v>3168</v>
      </c>
      <c r="J9363" s="67">
        <v>4975.52</v>
      </c>
      <c r="K9363" s="62">
        <v>39409.72</v>
      </c>
      <c r="L9363" s="33" t="e">
        <f>HLOOKUP(B9363,#REF!,1,0)</f>
        <v>#REF!</v>
      </c>
      <c r="M9363" s="33" t="str">
        <f t="shared" si="587"/>
        <v>P&amp;L</v>
      </c>
    </row>
    <row r="9364" spans="1:13">
      <c r="A9364" s="33" t="str">
        <f t="shared" si="584"/>
        <v>SCL - Operating Expense</v>
      </c>
      <c r="B9364" s="33" t="str">
        <f t="shared" si="585"/>
        <v>SCL</v>
      </c>
      <c r="C9364" s="33" t="str">
        <f t="shared" si="586"/>
        <v>63502-7375</v>
      </c>
      <c r="D9364" s="64" t="s">
        <v>10614</v>
      </c>
      <c r="E9364" s="64" t="s">
        <v>3167</v>
      </c>
      <c r="F9364" s="64" t="s">
        <v>15</v>
      </c>
      <c r="G9364" s="64" t="s">
        <v>3160</v>
      </c>
      <c r="H9364" s="64" t="s">
        <v>3022</v>
      </c>
      <c r="I9364" s="64" t="s">
        <v>3168</v>
      </c>
      <c r="J9364" s="67">
        <v>3972.01</v>
      </c>
      <c r="K9364" s="62">
        <v>39776.27</v>
      </c>
      <c r="L9364" s="33" t="e">
        <f>HLOOKUP(B9364,#REF!,1,0)</f>
        <v>#REF!</v>
      </c>
      <c r="M9364" s="33" t="str">
        <f t="shared" si="587"/>
        <v>P&amp;L</v>
      </c>
    </row>
    <row r="9365" spans="1:13">
      <c r="A9365" s="33" t="str">
        <f t="shared" si="584"/>
        <v>SCL - Operating Expense</v>
      </c>
      <c r="B9365" s="33" t="str">
        <f t="shared" si="585"/>
        <v>SCL</v>
      </c>
      <c r="C9365" s="33" t="str">
        <f t="shared" si="586"/>
        <v>63502-7376</v>
      </c>
      <c r="D9365" s="64" t="s">
        <v>10615</v>
      </c>
      <c r="E9365" s="64" t="s">
        <v>3167</v>
      </c>
      <c r="F9365" s="64" t="s">
        <v>15</v>
      </c>
      <c r="G9365" s="64" t="s">
        <v>3160</v>
      </c>
      <c r="H9365" s="64" t="s">
        <v>3022</v>
      </c>
      <c r="I9365" s="64" t="s">
        <v>3168</v>
      </c>
      <c r="J9365" s="67">
        <v>5046.79</v>
      </c>
      <c r="K9365" s="62">
        <v>47920.84</v>
      </c>
      <c r="L9365" s="33" t="e">
        <f>HLOOKUP(B9365,#REF!,1,0)</f>
        <v>#REF!</v>
      </c>
      <c r="M9365" s="33" t="str">
        <f t="shared" si="587"/>
        <v>P&amp;L</v>
      </c>
    </row>
    <row r="9366" spans="1:13">
      <c r="A9366" s="33" t="str">
        <f t="shared" si="584"/>
        <v>SCL - Operating Expense</v>
      </c>
      <c r="B9366" s="33" t="str">
        <f t="shared" si="585"/>
        <v>SCL</v>
      </c>
      <c r="C9366" s="33" t="str">
        <f t="shared" si="586"/>
        <v>63502-7377</v>
      </c>
      <c r="D9366" s="64" t="s">
        <v>10616</v>
      </c>
      <c r="E9366" s="64" t="s">
        <v>3167</v>
      </c>
      <c r="F9366" s="64" t="s">
        <v>15</v>
      </c>
      <c r="G9366" s="64" t="s">
        <v>3160</v>
      </c>
      <c r="H9366" s="64" t="s">
        <v>3022</v>
      </c>
      <c r="I9366" s="64" t="s">
        <v>3168</v>
      </c>
      <c r="J9366" s="67">
        <v>4536.89</v>
      </c>
      <c r="K9366" s="62">
        <v>44300.19</v>
      </c>
      <c r="L9366" s="33" t="e">
        <f>HLOOKUP(B9366,#REF!,1,0)</f>
        <v>#REF!</v>
      </c>
      <c r="M9366" s="33" t="str">
        <f t="shared" si="587"/>
        <v>P&amp;L</v>
      </c>
    </row>
    <row r="9367" spans="1:13">
      <c r="A9367" s="33" t="str">
        <f t="shared" si="584"/>
        <v>SCL - Operating Expense</v>
      </c>
      <c r="B9367" s="33" t="str">
        <f t="shared" si="585"/>
        <v>SCL</v>
      </c>
      <c r="C9367" s="33" t="str">
        <f t="shared" si="586"/>
        <v>63502-7378</v>
      </c>
      <c r="D9367" s="64" t="s">
        <v>10617</v>
      </c>
      <c r="E9367" s="64" t="s">
        <v>3167</v>
      </c>
      <c r="F9367" s="64" t="s">
        <v>15</v>
      </c>
      <c r="G9367" s="64" t="s">
        <v>3160</v>
      </c>
      <c r="H9367" s="64" t="s">
        <v>3022</v>
      </c>
      <c r="I9367" s="64" t="s">
        <v>3168</v>
      </c>
      <c r="J9367" s="67">
        <v>3306</v>
      </c>
      <c r="K9367" s="62">
        <v>33990.06</v>
      </c>
      <c r="L9367" s="33" t="e">
        <f>HLOOKUP(B9367,#REF!,1,0)</f>
        <v>#REF!</v>
      </c>
      <c r="M9367" s="33" t="str">
        <f t="shared" si="587"/>
        <v>P&amp;L</v>
      </c>
    </row>
    <row r="9368" spans="1:13">
      <c r="A9368" s="33" t="str">
        <f t="shared" si="584"/>
        <v>SCL - Operating Expense</v>
      </c>
      <c r="B9368" s="33" t="str">
        <f t="shared" si="585"/>
        <v>SCL</v>
      </c>
      <c r="C9368" s="33" t="str">
        <f t="shared" si="586"/>
        <v>63502-7379</v>
      </c>
      <c r="D9368" s="64" t="s">
        <v>10618</v>
      </c>
      <c r="E9368" s="64" t="s">
        <v>3167</v>
      </c>
      <c r="F9368" s="64" t="s">
        <v>15</v>
      </c>
      <c r="G9368" s="64" t="s">
        <v>3160</v>
      </c>
      <c r="H9368" s="64" t="s">
        <v>3022</v>
      </c>
      <c r="I9368" s="64" t="s">
        <v>3168</v>
      </c>
      <c r="J9368" s="67">
        <v>0</v>
      </c>
      <c r="K9368" s="62">
        <v>41632.12</v>
      </c>
      <c r="L9368" s="33" t="e">
        <f>HLOOKUP(B9368,#REF!,1,0)</f>
        <v>#REF!</v>
      </c>
      <c r="M9368" s="33" t="str">
        <f t="shared" si="587"/>
        <v>P&amp;L</v>
      </c>
    </row>
    <row r="9369" spans="1:13">
      <c r="A9369" s="33" t="str">
        <f t="shared" si="584"/>
        <v>SCL - Operating Expense</v>
      </c>
      <c r="B9369" s="33" t="str">
        <f t="shared" si="585"/>
        <v>SCL</v>
      </c>
      <c r="C9369" s="33" t="str">
        <f t="shared" si="586"/>
        <v>63502-7380</v>
      </c>
      <c r="D9369" s="64" t="s">
        <v>10619</v>
      </c>
      <c r="E9369" s="64" t="s">
        <v>3167</v>
      </c>
      <c r="F9369" s="64" t="s">
        <v>15</v>
      </c>
      <c r="G9369" s="64" t="s">
        <v>3160</v>
      </c>
      <c r="H9369" s="64" t="s">
        <v>3022</v>
      </c>
      <c r="I9369" s="64" t="s">
        <v>3168</v>
      </c>
      <c r="J9369" s="67">
        <v>3356.12</v>
      </c>
      <c r="K9369" s="62">
        <v>34059.69</v>
      </c>
      <c r="L9369" s="33" t="e">
        <f>HLOOKUP(B9369,#REF!,1,0)</f>
        <v>#REF!</v>
      </c>
      <c r="M9369" s="33" t="str">
        <f t="shared" si="587"/>
        <v>P&amp;L</v>
      </c>
    </row>
    <row r="9370" spans="1:13">
      <c r="A9370" s="33" t="str">
        <f t="shared" si="584"/>
        <v>SCL - Operating Expense</v>
      </c>
      <c r="B9370" s="33" t="str">
        <f t="shared" si="585"/>
        <v>SCL</v>
      </c>
      <c r="C9370" s="33" t="str">
        <f t="shared" si="586"/>
        <v>63502-7381</v>
      </c>
      <c r="D9370" s="64" t="s">
        <v>10620</v>
      </c>
      <c r="E9370" s="64" t="s">
        <v>3167</v>
      </c>
      <c r="F9370" s="64" t="s">
        <v>15</v>
      </c>
      <c r="G9370" s="64" t="s">
        <v>3160</v>
      </c>
      <c r="H9370" s="64" t="s">
        <v>3022</v>
      </c>
      <c r="I9370" s="64" t="s">
        <v>3168</v>
      </c>
      <c r="J9370" s="67">
        <v>4998.66</v>
      </c>
      <c r="K9370" s="62">
        <v>39166.35</v>
      </c>
      <c r="L9370" s="33" t="e">
        <f>HLOOKUP(B9370,#REF!,1,0)</f>
        <v>#REF!</v>
      </c>
      <c r="M9370" s="33" t="str">
        <f t="shared" si="587"/>
        <v>P&amp;L</v>
      </c>
    </row>
    <row r="9371" spans="1:13">
      <c r="A9371" s="33" t="str">
        <f t="shared" si="584"/>
        <v>SCL - Operating Expense</v>
      </c>
      <c r="B9371" s="33" t="str">
        <f t="shared" si="585"/>
        <v>SCL</v>
      </c>
      <c r="C9371" s="33" t="str">
        <f t="shared" si="586"/>
        <v>63502-7383</v>
      </c>
      <c r="D9371" s="64" t="s">
        <v>10621</v>
      </c>
      <c r="E9371" s="64" t="s">
        <v>3167</v>
      </c>
      <c r="F9371" s="64" t="s">
        <v>15</v>
      </c>
      <c r="G9371" s="64" t="s">
        <v>3160</v>
      </c>
      <c r="H9371" s="64" t="s">
        <v>3022</v>
      </c>
      <c r="I9371" s="64" t="s">
        <v>3168</v>
      </c>
      <c r="J9371" s="67">
        <v>4834.83</v>
      </c>
      <c r="K9371" s="62">
        <v>43290.74</v>
      </c>
      <c r="L9371" s="33" t="e">
        <f>HLOOKUP(B9371,#REF!,1,0)</f>
        <v>#REF!</v>
      </c>
      <c r="M9371" s="33" t="str">
        <f t="shared" si="587"/>
        <v>P&amp;L</v>
      </c>
    </row>
    <row r="9372" spans="1:13">
      <c r="A9372" s="33" t="str">
        <f t="shared" si="584"/>
        <v>SCL - Operating Expense</v>
      </c>
      <c r="B9372" s="33" t="str">
        <f t="shared" si="585"/>
        <v>SCL</v>
      </c>
      <c r="C9372" s="33" t="str">
        <f t="shared" si="586"/>
        <v>63502-7385</v>
      </c>
      <c r="D9372" s="64" t="s">
        <v>10622</v>
      </c>
      <c r="E9372" s="64" t="s">
        <v>3167</v>
      </c>
      <c r="F9372" s="64" t="s">
        <v>15</v>
      </c>
      <c r="G9372" s="64" t="s">
        <v>3160</v>
      </c>
      <c r="H9372" s="64" t="s">
        <v>3022</v>
      </c>
      <c r="I9372" s="64" t="s">
        <v>3168</v>
      </c>
      <c r="J9372" s="67">
        <v>3206.33</v>
      </c>
      <c r="K9372" s="62">
        <v>37126.78</v>
      </c>
      <c r="L9372" s="33" t="e">
        <f>HLOOKUP(B9372,#REF!,1,0)</f>
        <v>#REF!</v>
      </c>
      <c r="M9372" s="33" t="str">
        <f t="shared" si="587"/>
        <v>P&amp;L</v>
      </c>
    </row>
    <row r="9373" spans="1:13">
      <c r="A9373" s="33" t="str">
        <f t="shared" si="584"/>
        <v>SCL - Operating Expense</v>
      </c>
      <c r="B9373" s="33" t="str">
        <f t="shared" si="585"/>
        <v>SCL</v>
      </c>
      <c r="C9373" s="33" t="str">
        <f t="shared" si="586"/>
        <v>63502-7386</v>
      </c>
      <c r="D9373" s="64" t="s">
        <v>10623</v>
      </c>
      <c r="E9373" s="64" t="s">
        <v>3167</v>
      </c>
      <c r="F9373" s="64" t="s">
        <v>15</v>
      </c>
      <c r="G9373" s="64" t="s">
        <v>3160</v>
      </c>
      <c r="H9373" s="64" t="s">
        <v>3022</v>
      </c>
      <c r="I9373" s="64" t="s">
        <v>3168</v>
      </c>
      <c r="J9373" s="67">
        <v>3879.06</v>
      </c>
      <c r="K9373" s="62">
        <v>40101.62</v>
      </c>
      <c r="L9373" s="33" t="e">
        <f>HLOOKUP(B9373,#REF!,1,0)</f>
        <v>#REF!</v>
      </c>
      <c r="M9373" s="33" t="str">
        <f t="shared" si="587"/>
        <v>P&amp;L</v>
      </c>
    </row>
    <row r="9374" spans="1:13">
      <c r="A9374" s="33" t="str">
        <f t="shared" si="584"/>
        <v>SCL - Operating Expense</v>
      </c>
      <c r="B9374" s="33" t="str">
        <f t="shared" si="585"/>
        <v>SCL</v>
      </c>
      <c r="C9374" s="33" t="str">
        <f t="shared" si="586"/>
        <v>63502-7387</v>
      </c>
      <c r="D9374" s="64" t="s">
        <v>10624</v>
      </c>
      <c r="E9374" s="64" t="s">
        <v>3167</v>
      </c>
      <c r="F9374" s="64" t="s">
        <v>15</v>
      </c>
      <c r="G9374" s="64" t="s">
        <v>3160</v>
      </c>
      <c r="H9374" s="64" t="s">
        <v>3022</v>
      </c>
      <c r="I9374" s="64" t="s">
        <v>3168</v>
      </c>
      <c r="J9374" s="67">
        <v>5008.5</v>
      </c>
      <c r="K9374" s="62">
        <v>39510.58</v>
      </c>
      <c r="L9374" s="33" t="e">
        <f>HLOOKUP(B9374,#REF!,1,0)</f>
        <v>#REF!</v>
      </c>
      <c r="M9374" s="33" t="str">
        <f t="shared" si="587"/>
        <v>P&amp;L</v>
      </c>
    </row>
    <row r="9375" spans="1:13">
      <c r="A9375" s="33" t="str">
        <f t="shared" si="584"/>
        <v>SCL - Operating Expense</v>
      </c>
      <c r="B9375" s="33" t="str">
        <f t="shared" si="585"/>
        <v>SCL</v>
      </c>
      <c r="C9375" s="33" t="str">
        <f t="shared" si="586"/>
        <v>63502-7389</v>
      </c>
      <c r="D9375" s="64" t="s">
        <v>10625</v>
      </c>
      <c r="E9375" s="64" t="s">
        <v>3167</v>
      </c>
      <c r="F9375" s="64" t="s">
        <v>15</v>
      </c>
      <c r="G9375" s="64" t="s">
        <v>3160</v>
      </c>
      <c r="H9375" s="64" t="s">
        <v>3022</v>
      </c>
      <c r="I9375" s="64" t="s">
        <v>3168</v>
      </c>
      <c r="J9375" s="67">
        <v>5495.1</v>
      </c>
      <c r="K9375" s="62">
        <v>43611.69</v>
      </c>
      <c r="L9375" s="33" t="e">
        <f>HLOOKUP(B9375,#REF!,1,0)</f>
        <v>#REF!</v>
      </c>
      <c r="M9375" s="33" t="str">
        <f t="shared" si="587"/>
        <v>P&amp;L</v>
      </c>
    </row>
    <row r="9376" spans="1:13">
      <c r="A9376" s="33" t="str">
        <f t="shared" si="584"/>
        <v>SCL - Operating Expense</v>
      </c>
      <c r="B9376" s="33" t="str">
        <f t="shared" si="585"/>
        <v>SCL</v>
      </c>
      <c r="C9376" s="33" t="str">
        <f t="shared" si="586"/>
        <v>63502-7391</v>
      </c>
      <c r="D9376" s="64" t="s">
        <v>10626</v>
      </c>
      <c r="E9376" s="64" t="s">
        <v>3167</v>
      </c>
      <c r="F9376" s="64" t="s">
        <v>15</v>
      </c>
      <c r="G9376" s="64" t="s">
        <v>3160</v>
      </c>
      <c r="H9376" s="64" t="s">
        <v>3022</v>
      </c>
      <c r="I9376" s="64" t="s">
        <v>3168</v>
      </c>
      <c r="J9376" s="67">
        <v>4089.8</v>
      </c>
      <c r="K9376" s="62">
        <v>43934.14</v>
      </c>
      <c r="L9376" s="33" t="e">
        <f>HLOOKUP(B9376,#REF!,1,0)</f>
        <v>#REF!</v>
      </c>
      <c r="M9376" s="33" t="str">
        <f t="shared" si="587"/>
        <v>P&amp;L</v>
      </c>
    </row>
    <row r="9377" spans="1:13">
      <c r="A9377" s="33" t="str">
        <f t="shared" si="584"/>
        <v>SCL - Operating Expense</v>
      </c>
      <c r="B9377" s="33" t="str">
        <f t="shared" si="585"/>
        <v>SCL</v>
      </c>
      <c r="C9377" s="33" t="str">
        <f t="shared" si="586"/>
        <v>63502-7393</v>
      </c>
      <c r="D9377" s="64" t="s">
        <v>10627</v>
      </c>
      <c r="E9377" s="64" t="s">
        <v>3167</v>
      </c>
      <c r="F9377" s="64" t="s">
        <v>15</v>
      </c>
      <c r="G9377" s="64" t="s">
        <v>3160</v>
      </c>
      <c r="H9377" s="64" t="s">
        <v>3022</v>
      </c>
      <c r="I9377" s="64" t="s">
        <v>3168</v>
      </c>
      <c r="J9377" s="67">
        <v>4134.31</v>
      </c>
      <c r="K9377" s="62">
        <v>39817.12</v>
      </c>
      <c r="L9377" s="33" t="e">
        <f>HLOOKUP(B9377,#REF!,1,0)</f>
        <v>#REF!</v>
      </c>
      <c r="M9377" s="33" t="str">
        <f t="shared" si="587"/>
        <v>P&amp;L</v>
      </c>
    </row>
    <row r="9378" spans="1:13">
      <c r="A9378" s="33" t="str">
        <f t="shared" si="584"/>
        <v>SCL - Operating Expense</v>
      </c>
      <c r="B9378" s="33" t="str">
        <f t="shared" si="585"/>
        <v>SCL</v>
      </c>
      <c r="C9378" s="33" t="str">
        <f t="shared" si="586"/>
        <v>63502-7394</v>
      </c>
      <c r="D9378" s="64" t="s">
        <v>10628</v>
      </c>
      <c r="E9378" s="64" t="s">
        <v>3167</v>
      </c>
      <c r="F9378" s="64" t="s">
        <v>15</v>
      </c>
      <c r="G9378" s="64" t="s">
        <v>3160</v>
      </c>
      <c r="H9378" s="64" t="s">
        <v>3022</v>
      </c>
      <c r="I9378" s="64" t="s">
        <v>3168</v>
      </c>
      <c r="J9378" s="67">
        <v>4828.19</v>
      </c>
      <c r="K9378" s="62">
        <v>41845.12</v>
      </c>
      <c r="L9378" s="33" t="e">
        <f>HLOOKUP(B9378,#REF!,1,0)</f>
        <v>#REF!</v>
      </c>
      <c r="M9378" s="33" t="str">
        <f t="shared" si="587"/>
        <v>P&amp;L</v>
      </c>
    </row>
    <row r="9379" spans="1:13">
      <c r="A9379" s="33" t="str">
        <f t="shared" si="584"/>
        <v>SCL - Operating Expense</v>
      </c>
      <c r="B9379" s="33" t="str">
        <f t="shared" si="585"/>
        <v>SCL</v>
      </c>
      <c r="C9379" s="33" t="str">
        <f t="shared" si="586"/>
        <v>63502-7396</v>
      </c>
      <c r="D9379" s="64" t="s">
        <v>10629</v>
      </c>
      <c r="E9379" s="64" t="s">
        <v>3167</v>
      </c>
      <c r="F9379" s="64" t="s">
        <v>15</v>
      </c>
      <c r="G9379" s="64" t="s">
        <v>3160</v>
      </c>
      <c r="H9379" s="64" t="s">
        <v>3022</v>
      </c>
      <c r="I9379" s="64" t="s">
        <v>3168</v>
      </c>
      <c r="J9379" s="67">
        <v>3425.88</v>
      </c>
      <c r="K9379" s="62">
        <v>44244.9</v>
      </c>
      <c r="L9379" s="33" t="e">
        <f>HLOOKUP(B9379,#REF!,1,0)</f>
        <v>#REF!</v>
      </c>
      <c r="M9379" s="33" t="str">
        <f t="shared" si="587"/>
        <v>P&amp;L</v>
      </c>
    </row>
    <row r="9380" spans="1:13">
      <c r="A9380" s="33" t="str">
        <f t="shared" si="584"/>
        <v>SCL - Operating Expense</v>
      </c>
      <c r="B9380" s="33" t="str">
        <f t="shared" si="585"/>
        <v>SCL</v>
      </c>
      <c r="C9380" s="33" t="str">
        <f t="shared" si="586"/>
        <v>63502-7397</v>
      </c>
      <c r="D9380" s="64" t="s">
        <v>10630</v>
      </c>
      <c r="E9380" s="64" t="s">
        <v>3167</v>
      </c>
      <c r="F9380" s="64" t="s">
        <v>15</v>
      </c>
      <c r="G9380" s="64" t="s">
        <v>3160</v>
      </c>
      <c r="H9380" s="64" t="s">
        <v>3022</v>
      </c>
      <c r="I9380" s="64" t="s">
        <v>3168</v>
      </c>
      <c r="J9380" s="67">
        <v>5480.73</v>
      </c>
      <c r="K9380" s="62">
        <v>42038</v>
      </c>
      <c r="L9380" s="33" t="e">
        <f>HLOOKUP(B9380,#REF!,1,0)</f>
        <v>#REF!</v>
      </c>
      <c r="M9380" s="33" t="str">
        <f t="shared" si="587"/>
        <v>P&amp;L</v>
      </c>
    </row>
    <row r="9381" spans="1:13">
      <c r="A9381" s="33" t="str">
        <f t="shared" si="584"/>
        <v>SCL - Operating Expense</v>
      </c>
      <c r="B9381" s="33" t="str">
        <f t="shared" si="585"/>
        <v>SCL</v>
      </c>
      <c r="C9381" s="33" t="str">
        <f t="shared" si="586"/>
        <v>63502-7398</v>
      </c>
      <c r="D9381" s="64" t="s">
        <v>10631</v>
      </c>
      <c r="E9381" s="64" t="s">
        <v>3167</v>
      </c>
      <c r="F9381" s="64" t="s">
        <v>15</v>
      </c>
      <c r="G9381" s="64" t="s">
        <v>3160</v>
      </c>
      <c r="H9381" s="64" t="s">
        <v>3022</v>
      </c>
      <c r="I9381" s="64" t="s">
        <v>3168</v>
      </c>
      <c r="J9381" s="67">
        <v>3954.29</v>
      </c>
      <c r="K9381" s="62">
        <v>41768.39</v>
      </c>
      <c r="L9381" s="33" t="e">
        <f>HLOOKUP(B9381,#REF!,1,0)</f>
        <v>#REF!</v>
      </c>
      <c r="M9381" s="33" t="str">
        <f t="shared" si="587"/>
        <v>P&amp;L</v>
      </c>
    </row>
    <row r="9382" spans="1:13">
      <c r="A9382" s="33" t="str">
        <f t="shared" si="584"/>
        <v>SCL - Operating Expense</v>
      </c>
      <c r="B9382" s="33" t="str">
        <f t="shared" si="585"/>
        <v>SCL</v>
      </c>
      <c r="C9382" s="33" t="str">
        <f t="shared" si="586"/>
        <v>63502-7400</v>
      </c>
      <c r="D9382" s="64" t="s">
        <v>10632</v>
      </c>
      <c r="E9382" s="64" t="s">
        <v>3167</v>
      </c>
      <c r="F9382" s="64" t="s">
        <v>15</v>
      </c>
      <c r="G9382" s="64" t="s">
        <v>3160</v>
      </c>
      <c r="H9382" s="64" t="s">
        <v>3022</v>
      </c>
      <c r="I9382" s="64" t="s">
        <v>3168</v>
      </c>
      <c r="J9382" s="67">
        <v>0</v>
      </c>
      <c r="K9382" s="62">
        <v>30061.16</v>
      </c>
      <c r="L9382" s="33" t="e">
        <f>HLOOKUP(B9382,#REF!,1,0)</f>
        <v>#REF!</v>
      </c>
      <c r="M9382" s="33" t="str">
        <f t="shared" si="587"/>
        <v>P&amp;L</v>
      </c>
    </row>
    <row r="9383" spans="1:13">
      <c r="A9383" s="33" t="str">
        <f t="shared" si="584"/>
        <v>SCL - Operating Expense</v>
      </c>
      <c r="B9383" s="33" t="str">
        <f t="shared" si="585"/>
        <v>SCL</v>
      </c>
      <c r="C9383" s="33" t="str">
        <f t="shared" si="586"/>
        <v>63502-7401</v>
      </c>
      <c r="D9383" s="64" t="s">
        <v>10633</v>
      </c>
      <c r="E9383" s="64" t="s">
        <v>3167</v>
      </c>
      <c r="F9383" s="64" t="s">
        <v>15</v>
      </c>
      <c r="G9383" s="64" t="s">
        <v>3160</v>
      </c>
      <c r="H9383" s="64" t="s">
        <v>3022</v>
      </c>
      <c r="I9383" s="64" t="s">
        <v>3168</v>
      </c>
      <c r="J9383" s="67">
        <v>3854.18</v>
      </c>
      <c r="K9383" s="62">
        <v>37775.58</v>
      </c>
      <c r="L9383" s="33" t="e">
        <f>HLOOKUP(B9383,#REF!,1,0)</f>
        <v>#REF!</v>
      </c>
      <c r="M9383" s="33" t="str">
        <f t="shared" si="587"/>
        <v>P&amp;L</v>
      </c>
    </row>
    <row r="9384" spans="1:13">
      <c r="A9384" s="33" t="str">
        <f t="shared" si="584"/>
        <v>SCL - Operating Expense</v>
      </c>
      <c r="B9384" s="33" t="str">
        <f t="shared" si="585"/>
        <v>SCL</v>
      </c>
      <c r="C9384" s="33" t="str">
        <f t="shared" si="586"/>
        <v>63502-7402</v>
      </c>
      <c r="D9384" s="64" t="s">
        <v>10634</v>
      </c>
      <c r="E9384" s="64" t="s">
        <v>3167</v>
      </c>
      <c r="F9384" s="64" t="s">
        <v>15</v>
      </c>
      <c r="G9384" s="64" t="s">
        <v>3160</v>
      </c>
      <c r="H9384" s="64" t="s">
        <v>3022</v>
      </c>
      <c r="I9384" s="64" t="s">
        <v>3168</v>
      </c>
      <c r="J9384" s="67">
        <v>3799.88</v>
      </c>
      <c r="K9384" s="62">
        <v>36254.82</v>
      </c>
      <c r="L9384" s="33" t="e">
        <f>HLOOKUP(B9384,#REF!,1,0)</f>
        <v>#REF!</v>
      </c>
      <c r="M9384" s="33" t="str">
        <f t="shared" si="587"/>
        <v>P&amp;L</v>
      </c>
    </row>
    <row r="9385" spans="1:13">
      <c r="A9385" s="33" t="str">
        <f t="shared" si="584"/>
        <v>SCL - Operating Expense</v>
      </c>
      <c r="B9385" s="33" t="str">
        <f t="shared" si="585"/>
        <v>SCL</v>
      </c>
      <c r="C9385" s="33" t="str">
        <f t="shared" si="586"/>
        <v>63502-7403</v>
      </c>
      <c r="D9385" s="64" t="s">
        <v>10635</v>
      </c>
      <c r="E9385" s="64" t="s">
        <v>3167</v>
      </c>
      <c r="F9385" s="64" t="s">
        <v>15</v>
      </c>
      <c r="G9385" s="64" t="s">
        <v>3160</v>
      </c>
      <c r="H9385" s="64" t="s">
        <v>3022</v>
      </c>
      <c r="I9385" s="64" t="s">
        <v>3168</v>
      </c>
      <c r="J9385" s="67">
        <v>4376.78</v>
      </c>
      <c r="K9385" s="62">
        <v>40012.62</v>
      </c>
      <c r="L9385" s="33" t="e">
        <f>HLOOKUP(B9385,#REF!,1,0)</f>
        <v>#REF!</v>
      </c>
      <c r="M9385" s="33" t="str">
        <f t="shared" si="587"/>
        <v>P&amp;L</v>
      </c>
    </row>
    <row r="9386" spans="1:13">
      <c r="A9386" s="33" t="str">
        <f t="shared" si="584"/>
        <v>SCL - Operating Expense</v>
      </c>
      <c r="B9386" s="33" t="str">
        <f t="shared" si="585"/>
        <v>SCL</v>
      </c>
      <c r="C9386" s="33" t="str">
        <f t="shared" si="586"/>
        <v>63502-7489</v>
      </c>
      <c r="D9386" s="64" t="s">
        <v>10636</v>
      </c>
      <c r="E9386" s="64" t="s">
        <v>3167</v>
      </c>
      <c r="F9386" s="64" t="s">
        <v>15</v>
      </c>
      <c r="G9386" s="64" t="s">
        <v>3160</v>
      </c>
      <c r="H9386" s="64" t="s">
        <v>3022</v>
      </c>
      <c r="I9386" s="64" t="s">
        <v>3168</v>
      </c>
      <c r="J9386" s="67">
        <v>4712.05</v>
      </c>
      <c r="K9386" s="62">
        <v>45813.53</v>
      </c>
      <c r="L9386" s="33" t="e">
        <f>HLOOKUP(B9386,#REF!,1,0)</f>
        <v>#REF!</v>
      </c>
      <c r="M9386" s="33" t="str">
        <f t="shared" si="587"/>
        <v>P&amp;L</v>
      </c>
    </row>
    <row r="9387" spans="1:13">
      <c r="A9387" s="33" t="str">
        <f t="shared" si="584"/>
        <v>SCL - Operating Expense</v>
      </c>
      <c r="B9387" s="33" t="str">
        <f t="shared" si="585"/>
        <v>SCL</v>
      </c>
      <c r="C9387" s="33" t="str">
        <f t="shared" si="586"/>
        <v>63502-7491</v>
      </c>
      <c r="D9387" s="64" t="s">
        <v>10637</v>
      </c>
      <c r="E9387" s="64" t="s">
        <v>3167</v>
      </c>
      <c r="F9387" s="64" t="s">
        <v>15</v>
      </c>
      <c r="G9387" s="64" t="s">
        <v>3160</v>
      </c>
      <c r="H9387" s="64" t="s">
        <v>3022</v>
      </c>
      <c r="I9387" s="64" t="s">
        <v>3168</v>
      </c>
      <c r="J9387" s="67">
        <v>3367.04</v>
      </c>
      <c r="K9387" s="62">
        <v>30743.56</v>
      </c>
      <c r="L9387" s="33" t="e">
        <f>HLOOKUP(B9387,#REF!,1,0)</f>
        <v>#REF!</v>
      </c>
      <c r="M9387" s="33" t="str">
        <f t="shared" si="587"/>
        <v>P&amp;L</v>
      </c>
    </row>
    <row r="9388" spans="1:13">
      <c r="A9388" s="33" t="str">
        <f t="shared" si="584"/>
        <v>SCL - Operating Expense</v>
      </c>
      <c r="B9388" s="33" t="str">
        <f t="shared" si="585"/>
        <v>SCL</v>
      </c>
      <c r="C9388" s="33" t="str">
        <f t="shared" si="586"/>
        <v>63502-7492</v>
      </c>
      <c r="D9388" s="64" t="s">
        <v>10638</v>
      </c>
      <c r="E9388" s="64" t="s">
        <v>3167</v>
      </c>
      <c r="F9388" s="64" t="s">
        <v>15</v>
      </c>
      <c r="G9388" s="64" t="s">
        <v>3160</v>
      </c>
      <c r="H9388" s="64" t="s">
        <v>3022</v>
      </c>
      <c r="I9388" s="64" t="s">
        <v>3168</v>
      </c>
      <c r="J9388" s="67">
        <v>3301.92</v>
      </c>
      <c r="K9388" s="62">
        <v>37156.73</v>
      </c>
      <c r="L9388" s="33" t="e">
        <f>HLOOKUP(B9388,#REF!,1,0)</f>
        <v>#REF!</v>
      </c>
      <c r="M9388" s="33" t="str">
        <f t="shared" si="587"/>
        <v>P&amp;L</v>
      </c>
    </row>
    <row r="9389" spans="1:13">
      <c r="A9389" s="33" t="str">
        <f t="shared" si="584"/>
        <v>SCL - Operating Expense</v>
      </c>
      <c r="B9389" s="33" t="str">
        <f t="shared" si="585"/>
        <v>SCL</v>
      </c>
      <c r="C9389" s="33" t="str">
        <f t="shared" si="586"/>
        <v>63502-7493</v>
      </c>
      <c r="D9389" s="64" t="s">
        <v>10639</v>
      </c>
      <c r="E9389" s="64" t="s">
        <v>3167</v>
      </c>
      <c r="F9389" s="64" t="s">
        <v>15</v>
      </c>
      <c r="G9389" s="64" t="s">
        <v>3160</v>
      </c>
      <c r="H9389" s="64" t="s">
        <v>3022</v>
      </c>
      <c r="I9389" s="64" t="s">
        <v>3168</v>
      </c>
      <c r="J9389" s="67">
        <v>4084.09</v>
      </c>
      <c r="K9389" s="62">
        <v>38126.55</v>
      </c>
      <c r="L9389" s="33" t="e">
        <f>HLOOKUP(B9389,#REF!,1,0)</f>
        <v>#REF!</v>
      </c>
      <c r="M9389" s="33" t="str">
        <f t="shared" si="587"/>
        <v>P&amp;L</v>
      </c>
    </row>
    <row r="9390" spans="1:13">
      <c r="A9390" s="33" t="str">
        <f t="shared" si="584"/>
        <v>SCL - Operating Expense</v>
      </c>
      <c r="B9390" s="33" t="str">
        <f t="shared" si="585"/>
        <v>SCL</v>
      </c>
      <c r="C9390" s="33" t="str">
        <f t="shared" si="586"/>
        <v>63502-7494</v>
      </c>
      <c r="D9390" s="64" t="s">
        <v>10640</v>
      </c>
      <c r="E9390" s="64" t="s">
        <v>3167</v>
      </c>
      <c r="F9390" s="64" t="s">
        <v>15</v>
      </c>
      <c r="G9390" s="64" t="s">
        <v>3160</v>
      </c>
      <c r="H9390" s="64" t="s">
        <v>3022</v>
      </c>
      <c r="I9390" s="64" t="s">
        <v>3168</v>
      </c>
      <c r="J9390" s="67">
        <v>4438.88</v>
      </c>
      <c r="K9390" s="62">
        <v>37075.88</v>
      </c>
      <c r="L9390" s="33" t="e">
        <f>HLOOKUP(B9390,#REF!,1,0)</f>
        <v>#REF!</v>
      </c>
      <c r="M9390" s="33" t="str">
        <f t="shared" si="587"/>
        <v>P&amp;L</v>
      </c>
    </row>
    <row r="9391" spans="1:13">
      <c r="A9391" s="33" t="str">
        <f t="shared" si="584"/>
        <v>SCL - Operating Expense</v>
      </c>
      <c r="B9391" s="33" t="str">
        <f t="shared" si="585"/>
        <v>SCL</v>
      </c>
      <c r="C9391" s="33" t="str">
        <f t="shared" si="586"/>
        <v>63502-7625</v>
      </c>
      <c r="D9391" s="64" t="s">
        <v>10641</v>
      </c>
      <c r="E9391" s="64" t="s">
        <v>3167</v>
      </c>
      <c r="F9391" s="64" t="s">
        <v>15</v>
      </c>
      <c r="G9391" s="64" t="s">
        <v>3160</v>
      </c>
      <c r="H9391" s="64" t="s">
        <v>3022</v>
      </c>
      <c r="I9391" s="64" t="s">
        <v>3168</v>
      </c>
      <c r="J9391" s="67">
        <v>5272.43</v>
      </c>
      <c r="K9391" s="62">
        <v>44863.71</v>
      </c>
      <c r="L9391" s="33" t="e">
        <f>HLOOKUP(B9391,#REF!,1,0)</f>
        <v>#REF!</v>
      </c>
      <c r="M9391" s="33" t="str">
        <f t="shared" si="587"/>
        <v>P&amp;L</v>
      </c>
    </row>
    <row r="9392" spans="1:13">
      <c r="A9392" s="33" t="str">
        <f t="shared" si="584"/>
        <v>SCL - Operating Expense</v>
      </c>
      <c r="B9392" s="33" t="str">
        <f t="shared" si="585"/>
        <v>SCL</v>
      </c>
      <c r="C9392" s="33" t="str">
        <f t="shared" si="586"/>
        <v>63502-8150</v>
      </c>
      <c r="D9392" s="64" t="s">
        <v>10642</v>
      </c>
      <c r="E9392" s="64" t="s">
        <v>3167</v>
      </c>
      <c r="F9392" s="64" t="s">
        <v>15</v>
      </c>
      <c r="G9392" s="64" t="s">
        <v>3160</v>
      </c>
      <c r="H9392" s="64" t="s">
        <v>3022</v>
      </c>
      <c r="I9392" s="64" t="s">
        <v>3168</v>
      </c>
      <c r="J9392" s="67">
        <v>4282.49</v>
      </c>
      <c r="K9392" s="62">
        <v>42077.49</v>
      </c>
      <c r="L9392" s="33" t="e">
        <f>HLOOKUP(B9392,#REF!,1,0)</f>
        <v>#REF!</v>
      </c>
      <c r="M9392" s="33" t="str">
        <f t="shared" si="587"/>
        <v>P&amp;L</v>
      </c>
    </row>
    <row r="9393" spans="1:13">
      <c r="A9393" s="33" t="str">
        <f t="shared" si="584"/>
        <v>SCL - Operating Expense</v>
      </c>
      <c r="B9393" s="33" t="str">
        <f t="shared" si="585"/>
        <v>SCL</v>
      </c>
      <c r="C9393" s="33" t="str">
        <f t="shared" si="586"/>
        <v>63503-7351</v>
      </c>
      <c r="D9393" s="64" t="s">
        <v>10643</v>
      </c>
      <c r="E9393" s="64" t="s">
        <v>3174</v>
      </c>
      <c r="F9393" s="64" t="s">
        <v>15</v>
      </c>
      <c r="G9393" s="64" t="s">
        <v>3160</v>
      </c>
      <c r="H9393" s="64" t="s">
        <v>3022</v>
      </c>
      <c r="I9393" s="64" t="s">
        <v>3175</v>
      </c>
      <c r="J9393" s="67">
        <v>947.07</v>
      </c>
      <c r="K9393" s="62">
        <v>11920.98</v>
      </c>
      <c r="L9393" s="33" t="e">
        <f>HLOOKUP(B9393,#REF!,1,0)</f>
        <v>#REF!</v>
      </c>
      <c r="M9393" s="33" t="str">
        <f t="shared" si="587"/>
        <v>P&amp;L</v>
      </c>
    </row>
    <row r="9394" spans="1:13">
      <c r="A9394" s="33" t="str">
        <f t="shared" si="584"/>
        <v>SCL - Operating Expense</v>
      </c>
      <c r="B9394" s="33" t="str">
        <f t="shared" si="585"/>
        <v>SCL</v>
      </c>
      <c r="C9394" s="33" t="str">
        <f t="shared" si="586"/>
        <v>63503-7352</v>
      </c>
      <c r="D9394" s="64" t="s">
        <v>10644</v>
      </c>
      <c r="E9394" s="64" t="s">
        <v>3174</v>
      </c>
      <c r="F9394" s="64" t="s">
        <v>15</v>
      </c>
      <c r="G9394" s="64" t="s">
        <v>3160</v>
      </c>
      <c r="H9394" s="64" t="s">
        <v>3022</v>
      </c>
      <c r="I9394" s="64" t="s">
        <v>3175</v>
      </c>
      <c r="J9394" s="67">
        <v>1248.5</v>
      </c>
      <c r="K9394" s="62">
        <v>12097.65</v>
      </c>
      <c r="L9394" s="33" t="e">
        <f>HLOOKUP(B9394,#REF!,1,0)</f>
        <v>#REF!</v>
      </c>
      <c r="M9394" s="33" t="str">
        <f t="shared" si="587"/>
        <v>P&amp;L</v>
      </c>
    </row>
    <row r="9395" spans="1:13">
      <c r="A9395" s="33" t="str">
        <f t="shared" si="584"/>
        <v>SCL - Operating Expense</v>
      </c>
      <c r="B9395" s="33" t="str">
        <f t="shared" si="585"/>
        <v>SCL</v>
      </c>
      <c r="C9395" s="33" t="str">
        <f t="shared" si="586"/>
        <v>63503-7355</v>
      </c>
      <c r="D9395" s="64" t="s">
        <v>10645</v>
      </c>
      <c r="E9395" s="64" t="s">
        <v>3174</v>
      </c>
      <c r="F9395" s="64" t="s">
        <v>15</v>
      </c>
      <c r="G9395" s="64" t="s">
        <v>3160</v>
      </c>
      <c r="H9395" s="64" t="s">
        <v>3022</v>
      </c>
      <c r="I9395" s="64" t="s">
        <v>3175</v>
      </c>
      <c r="J9395" s="67">
        <v>1417.18</v>
      </c>
      <c r="K9395" s="62">
        <v>15738.53</v>
      </c>
      <c r="L9395" s="33" t="e">
        <f>HLOOKUP(B9395,#REF!,1,0)</f>
        <v>#REF!</v>
      </c>
      <c r="M9395" s="33" t="str">
        <f t="shared" si="587"/>
        <v>P&amp;L</v>
      </c>
    </row>
    <row r="9396" spans="1:13">
      <c r="A9396" s="33" t="str">
        <f t="shared" si="584"/>
        <v>SCL - Operating Expense</v>
      </c>
      <c r="B9396" s="33" t="str">
        <f t="shared" si="585"/>
        <v>SCL</v>
      </c>
      <c r="C9396" s="33" t="str">
        <f t="shared" si="586"/>
        <v>63503-7356</v>
      </c>
      <c r="D9396" s="64" t="s">
        <v>10646</v>
      </c>
      <c r="E9396" s="64" t="s">
        <v>3174</v>
      </c>
      <c r="F9396" s="64" t="s">
        <v>15</v>
      </c>
      <c r="G9396" s="64" t="s">
        <v>3160</v>
      </c>
      <c r="H9396" s="64" t="s">
        <v>3022</v>
      </c>
      <c r="I9396" s="64" t="s">
        <v>3175</v>
      </c>
      <c r="J9396" s="67">
        <v>0</v>
      </c>
      <c r="K9396" s="62">
        <v>2664.41</v>
      </c>
      <c r="L9396" s="33" t="e">
        <f>HLOOKUP(B9396,#REF!,1,0)</f>
        <v>#REF!</v>
      </c>
      <c r="M9396" s="33" t="str">
        <f t="shared" si="587"/>
        <v>P&amp;L</v>
      </c>
    </row>
    <row r="9397" spans="1:13">
      <c r="A9397" s="33" t="str">
        <f t="shared" si="584"/>
        <v>SCL - Operating Expense</v>
      </c>
      <c r="B9397" s="33" t="str">
        <f t="shared" si="585"/>
        <v>SCL</v>
      </c>
      <c r="C9397" s="33" t="str">
        <f t="shared" si="586"/>
        <v>63503-7359</v>
      </c>
      <c r="D9397" s="64" t="s">
        <v>10647</v>
      </c>
      <c r="E9397" s="64" t="s">
        <v>3174</v>
      </c>
      <c r="F9397" s="64" t="s">
        <v>15</v>
      </c>
      <c r="G9397" s="64" t="s">
        <v>3160</v>
      </c>
      <c r="H9397" s="64" t="s">
        <v>3022</v>
      </c>
      <c r="I9397" s="64" t="s">
        <v>3175</v>
      </c>
      <c r="J9397" s="67">
        <v>1407.71</v>
      </c>
      <c r="K9397" s="62">
        <v>12539.28</v>
      </c>
      <c r="L9397" s="33" t="e">
        <f>HLOOKUP(B9397,#REF!,1,0)</f>
        <v>#REF!</v>
      </c>
      <c r="M9397" s="33" t="str">
        <f t="shared" si="587"/>
        <v>P&amp;L</v>
      </c>
    </row>
    <row r="9398" spans="1:13">
      <c r="A9398" s="33" t="str">
        <f t="shared" si="584"/>
        <v>SCL - Operating Expense</v>
      </c>
      <c r="B9398" s="33" t="str">
        <f t="shared" si="585"/>
        <v>SCL</v>
      </c>
      <c r="C9398" s="33" t="str">
        <f t="shared" si="586"/>
        <v>63503-7360</v>
      </c>
      <c r="D9398" s="64" t="s">
        <v>10648</v>
      </c>
      <c r="E9398" s="64" t="s">
        <v>3174</v>
      </c>
      <c r="F9398" s="64" t="s">
        <v>15</v>
      </c>
      <c r="G9398" s="64" t="s">
        <v>3160</v>
      </c>
      <c r="H9398" s="64" t="s">
        <v>3022</v>
      </c>
      <c r="I9398" s="64" t="s">
        <v>3175</v>
      </c>
      <c r="J9398" s="67">
        <v>1486.11</v>
      </c>
      <c r="K9398" s="62">
        <v>13799.74</v>
      </c>
      <c r="L9398" s="33" t="e">
        <f>HLOOKUP(B9398,#REF!,1,0)</f>
        <v>#REF!</v>
      </c>
      <c r="M9398" s="33" t="str">
        <f t="shared" si="587"/>
        <v>P&amp;L</v>
      </c>
    </row>
    <row r="9399" spans="1:13">
      <c r="A9399" s="33" t="str">
        <f t="shared" si="584"/>
        <v>SCL - Operating Expense</v>
      </c>
      <c r="B9399" s="33" t="str">
        <f t="shared" si="585"/>
        <v>SCL</v>
      </c>
      <c r="C9399" s="33" t="str">
        <f t="shared" si="586"/>
        <v>63503-7361</v>
      </c>
      <c r="D9399" s="64" t="s">
        <v>10649</v>
      </c>
      <c r="E9399" s="64" t="s">
        <v>3174</v>
      </c>
      <c r="F9399" s="64" t="s">
        <v>15</v>
      </c>
      <c r="G9399" s="64" t="s">
        <v>3160</v>
      </c>
      <c r="H9399" s="64" t="s">
        <v>3022</v>
      </c>
      <c r="I9399" s="64" t="s">
        <v>3175</v>
      </c>
      <c r="J9399" s="67">
        <v>1516.38</v>
      </c>
      <c r="K9399" s="62">
        <v>13141.21</v>
      </c>
      <c r="L9399" s="33" t="e">
        <f>HLOOKUP(B9399,#REF!,1,0)</f>
        <v>#REF!</v>
      </c>
      <c r="M9399" s="33" t="str">
        <f t="shared" si="587"/>
        <v>P&amp;L</v>
      </c>
    </row>
    <row r="9400" spans="1:13">
      <c r="A9400" s="33" t="str">
        <f t="shared" si="584"/>
        <v>SCL - Operating Expense</v>
      </c>
      <c r="B9400" s="33" t="str">
        <f t="shared" si="585"/>
        <v>SCL</v>
      </c>
      <c r="C9400" s="33" t="str">
        <f t="shared" si="586"/>
        <v>63503-7362</v>
      </c>
      <c r="D9400" s="64" t="s">
        <v>10650</v>
      </c>
      <c r="E9400" s="64" t="s">
        <v>3174</v>
      </c>
      <c r="F9400" s="64" t="s">
        <v>15</v>
      </c>
      <c r="G9400" s="64" t="s">
        <v>3160</v>
      </c>
      <c r="H9400" s="64" t="s">
        <v>3022</v>
      </c>
      <c r="I9400" s="64" t="s">
        <v>3175</v>
      </c>
      <c r="J9400" s="67">
        <v>1160.01</v>
      </c>
      <c r="K9400" s="62">
        <v>11548.66</v>
      </c>
      <c r="L9400" s="33" t="e">
        <f>HLOOKUP(B9400,#REF!,1,0)</f>
        <v>#REF!</v>
      </c>
      <c r="M9400" s="33" t="str">
        <f t="shared" si="587"/>
        <v>P&amp;L</v>
      </c>
    </row>
    <row r="9401" spans="1:13">
      <c r="A9401" s="33" t="str">
        <f t="shared" si="584"/>
        <v>SCL - Operating Expense</v>
      </c>
      <c r="B9401" s="33" t="str">
        <f t="shared" si="585"/>
        <v>SCL</v>
      </c>
      <c r="C9401" s="33" t="str">
        <f t="shared" si="586"/>
        <v>63503-7363</v>
      </c>
      <c r="D9401" s="64" t="s">
        <v>10651</v>
      </c>
      <c r="E9401" s="64" t="s">
        <v>3174</v>
      </c>
      <c r="F9401" s="64" t="s">
        <v>15</v>
      </c>
      <c r="G9401" s="64" t="s">
        <v>3160</v>
      </c>
      <c r="H9401" s="64" t="s">
        <v>3022</v>
      </c>
      <c r="I9401" s="64" t="s">
        <v>3175</v>
      </c>
      <c r="J9401" s="67">
        <v>1338.33</v>
      </c>
      <c r="K9401" s="62">
        <v>12735.11</v>
      </c>
      <c r="L9401" s="33" t="e">
        <f>HLOOKUP(B9401,#REF!,1,0)</f>
        <v>#REF!</v>
      </c>
      <c r="M9401" s="33" t="str">
        <f t="shared" si="587"/>
        <v>P&amp;L</v>
      </c>
    </row>
    <row r="9402" spans="1:13">
      <c r="A9402" s="33" t="str">
        <f t="shared" si="584"/>
        <v>SCL - Operating Expense</v>
      </c>
      <c r="B9402" s="33" t="str">
        <f t="shared" si="585"/>
        <v>SCL</v>
      </c>
      <c r="C9402" s="33" t="str">
        <f t="shared" si="586"/>
        <v>63503-7364</v>
      </c>
      <c r="D9402" s="64" t="s">
        <v>10652</v>
      </c>
      <c r="E9402" s="64" t="s">
        <v>3174</v>
      </c>
      <c r="F9402" s="64" t="s">
        <v>15</v>
      </c>
      <c r="G9402" s="64" t="s">
        <v>3160</v>
      </c>
      <c r="H9402" s="64" t="s">
        <v>3022</v>
      </c>
      <c r="I9402" s="64" t="s">
        <v>3175</v>
      </c>
      <c r="J9402" s="67">
        <v>46.65</v>
      </c>
      <c r="K9402" s="62">
        <v>505.02</v>
      </c>
      <c r="L9402" s="33" t="e">
        <f>HLOOKUP(B9402,#REF!,1,0)</f>
        <v>#REF!</v>
      </c>
      <c r="M9402" s="33" t="str">
        <f t="shared" si="587"/>
        <v>P&amp;L</v>
      </c>
    </row>
    <row r="9403" spans="1:13">
      <c r="A9403" s="33" t="str">
        <f t="shared" si="584"/>
        <v>SCL - Operating Expense</v>
      </c>
      <c r="B9403" s="33" t="str">
        <f t="shared" si="585"/>
        <v>SCL</v>
      </c>
      <c r="C9403" s="33" t="str">
        <f t="shared" si="586"/>
        <v>63503-7365</v>
      </c>
      <c r="D9403" s="64" t="s">
        <v>10653</v>
      </c>
      <c r="E9403" s="64" t="s">
        <v>3174</v>
      </c>
      <c r="F9403" s="64" t="s">
        <v>15</v>
      </c>
      <c r="G9403" s="64" t="s">
        <v>3160</v>
      </c>
      <c r="H9403" s="64" t="s">
        <v>3022</v>
      </c>
      <c r="I9403" s="64" t="s">
        <v>3175</v>
      </c>
      <c r="J9403" s="67">
        <v>1295.97</v>
      </c>
      <c r="K9403" s="62">
        <v>12974.25</v>
      </c>
      <c r="L9403" s="33" t="e">
        <f>HLOOKUP(B9403,#REF!,1,0)</f>
        <v>#REF!</v>
      </c>
      <c r="M9403" s="33" t="str">
        <f t="shared" si="587"/>
        <v>P&amp;L</v>
      </c>
    </row>
    <row r="9404" spans="1:13">
      <c r="A9404" s="33" t="str">
        <f t="shared" si="584"/>
        <v>SCL - Operating Expense</v>
      </c>
      <c r="B9404" s="33" t="str">
        <f t="shared" si="585"/>
        <v>SCL</v>
      </c>
      <c r="C9404" s="33" t="str">
        <f t="shared" si="586"/>
        <v>63503-7366</v>
      </c>
      <c r="D9404" s="64" t="s">
        <v>10654</v>
      </c>
      <c r="E9404" s="64" t="s">
        <v>3174</v>
      </c>
      <c r="F9404" s="64" t="s">
        <v>15</v>
      </c>
      <c r="G9404" s="64" t="s">
        <v>3160</v>
      </c>
      <c r="H9404" s="64" t="s">
        <v>3022</v>
      </c>
      <c r="I9404" s="64" t="s">
        <v>3175</v>
      </c>
      <c r="J9404" s="67">
        <v>1309.14</v>
      </c>
      <c r="K9404" s="62">
        <v>13571.97</v>
      </c>
      <c r="L9404" s="33" t="e">
        <f>HLOOKUP(B9404,#REF!,1,0)</f>
        <v>#REF!</v>
      </c>
      <c r="M9404" s="33" t="str">
        <f t="shared" si="587"/>
        <v>P&amp;L</v>
      </c>
    </row>
    <row r="9405" spans="1:13">
      <c r="A9405" s="33" t="str">
        <f t="shared" si="584"/>
        <v>SCL - Operating Expense</v>
      </c>
      <c r="B9405" s="33" t="str">
        <f t="shared" si="585"/>
        <v>SCL</v>
      </c>
      <c r="C9405" s="33" t="str">
        <f t="shared" si="586"/>
        <v>63503-7368</v>
      </c>
      <c r="D9405" s="64" t="s">
        <v>10655</v>
      </c>
      <c r="E9405" s="64" t="s">
        <v>3174</v>
      </c>
      <c r="F9405" s="64" t="s">
        <v>15</v>
      </c>
      <c r="G9405" s="64" t="s">
        <v>3160</v>
      </c>
      <c r="H9405" s="64" t="s">
        <v>3022</v>
      </c>
      <c r="I9405" s="64" t="s">
        <v>3175</v>
      </c>
      <c r="J9405" s="67">
        <v>1485.43</v>
      </c>
      <c r="K9405" s="62">
        <v>14489.02</v>
      </c>
      <c r="L9405" s="33" t="e">
        <f>HLOOKUP(B9405,#REF!,1,0)</f>
        <v>#REF!</v>
      </c>
      <c r="M9405" s="33" t="str">
        <f t="shared" si="587"/>
        <v>P&amp;L</v>
      </c>
    </row>
    <row r="9406" spans="1:13">
      <c r="A9406" s="33" t="str">
        <f t="shared" si="584"/>
        <v>SCL - Operating Expense</v>
      </c>
      <c r="B9406" s="33" t="str">
        <f t="shared" si="585"/>
        <v>SCL</v>
      </c>
      <c r="C9406" s="33" t="str">
        <f t="shared" si="586"/>
        <v>63503-7369</v>
      </c>
      <c r="D9406" s="64" t="s">
        <v>10656</v>
      </c>
      <c r="E9406" s="64" t="s">
        <v>3174</v>
      </c>
      <c r="F9406" s="64" t="s">
        <v>15</v>
      </c>
      <c r="G9406" s="64" t="s">
        <v>3160</v>
      </c>
      <c r="H9406" s="64" t="s">
        <v>3022</v>
      </c>
      <c r="I9406" s="64" t="s">
        <v>3175</v>
      </c>
      <c r="J9406" s="67">
        <v>1255.29</v>
      </c>
      <c r="K9406" s="62">
        <v>12983.64</v>
      </c>
      <c r="L9406" s="33" t="e">
        <f>HLOOKUP(B9406,#REF!,1,0)</f>
        <v>#REF!</v>
      </c>
      <c r="M9406" s="33" t="str">
        <f t="shared" si="587"/>
        <v>P&amp;L</v>
      </c>
    </row>
    <row r="9407" spans="1:13">
      <c r="A9407" s="33" t="str">
        <f t="shared" si="584"/>
        <v>SCL - Operating Expense</v>
      </c>
      <c r="B9407" s="33" t="str">
        <f t="shared" si="585"/>
        <v>SCL</v>
      </c>
      <c r="C9407" s="33" t="str">
        <f t="shared" si="586"/>
        <v>63503-7371</v>
      </c>
      <c r="D9407" s="64" t="s">
        <v>10657</v>
      </c>
      <c r="E9407" s="64" t="s">
        <v>3174</v>
      </c>
      <c r="F9407" s="64" t="s">
        <v>15</v>
      </c>
      <c r="G9407" s="64" t="s">
        <v>3160</v>
      </c>
      <c r="H9407" s="64" t="s">
        <v>3022</v>
      </c>
      <c r="I9407" s="64" t="s">
        <v>3175</v>
      </c>
      <c r="J9407" s="67">
        <v>1434.24</v>
      </c>
      <c r="K9407" s="62">
        <v>12783.31</v>
      </c>
      <c r="L9407" s="33" t="e">
        <f>HLOOKUP(B9407,#REF!,1,0)</f>
        <v>#REF!</v>
      </c>
      <c r="M9407" s="33" t="str">
        <f t="shared" si="587"/>
        <v>P&amp;L</v>
      </c>
    </row>
    <row r="9408" spans="1:13">
      <c r="A9408" s="33" t="str">
        <f t="shared" si="584"/>
        <v>SCL - Operating Expense</v>
      </c>
      <c r="B9408" s="33" t="str">
        <f t="shared" si="585"/>
        <v>SCL</v>
      </c>
      <c r="C9408" s="33" t="str">
        <f t="shared" si="586"/>
        <v>63503-7374</v>
      </c>
      <c r="D9408" s="64" t="s">
        <v>10658</v>
      </c>
      <c r="E9408" s="64" t="s">
        <v>3174</v>
      </c>
      <c r="F9408" s="64" t="s">
        <v>15</v>
      </c>
      <c r="G9408" s="64" t="s">
        <v>3160</v>
      </c>
      <c r="H9408" s="64" t="s">
        <v>3022</v>
      </c>
      <c r="I9408" s="64" t="s">
        <v>3175</v>
      </c>
      <c r="J9408" s="67">
        <v>1366.09</v>
      </c>
      <c r="K9408" s="62">
        <v>12181.79</v>
      </c>
      <c r="L9408" s="33" t="e">
        <f>HLOOKUP(B9408,#REF!,1,0)</f>
        <v>#REF!</v>
      </c>
      <c r="M9408" s="33" t="str">
        <f t="shared" si="587"/>
        <v>P&amp;L</v>
      </c>
    </row>
    <row r="9409" spans="1:13">
      <c r="A9409" s="33" t="str">
        <f t="shared" si="584"/>
        <v>SCL - Operating Expense</v>
      </c>
      <c r="B9409" s="33" t="str">
        <f t="shared" si="585"/>
        <v>SCL</v>
      </c>
      <c r="C9409" s="33" t="str">
        <f t="shared" si="586"/>
        <v>63503-7375</v>
      </c>
      <c r="D9409" s="64" t="s">
        <v>10659</v>
      </c>
      <c r="E9409" s="64" t="s">
        <v>3174</v>
      </c>
      <c r="F9409" s="64" t="s">
        <v>15</v>
      </c>
      <c r="G9409" s="64" t="s">
        <v>3160</v>
      </c>
      <c r="H9409" s="64" t="s">
        <v>3022</v>
      </c>
      <c r="I9409" s="64" t="s">
        <v>3175</v>
      </c>
      <c r="J9409" s="67">
        <v>1500.3</v>
      </c>
      <c r="K9409" s="62">
        <v>14287.89</v>
      </c>
      <c r="L9409" s="33" t="e">
        <f>HLOOKUP(B9409,#REF!,1,0)</f>
        <v>#REF!</v>
      </c>
      <c r="M9409" s="33" t="str">
        <f t="shared" si="587"/>
        <v>P&amp;L</v>
      </c>
    </row>
    <row r="9410" spans="1:13">
      <c r="A9410" s="33" t="str">
        <f t="shared" ref="A9410:A9473" si="588">B9410&amp;" - "&amp;TRIM(H9410)</f>
        <v>SCL - Operating Expense</v>
      </c>
      <c r="B9410" s="33" t="str">
        <f t="shared" ref="B9410:B9473" si="589">LEFT(D9410,3)</f>
        <v>SCL</v>
      </c>
      <c r="C9410" s="33" t="str">
        <f t="shared" ref="C9410:C9473" si="590">RIGHT(D9410,10)</f>
        <v>63503-7376</v>
      </c>
      <c r="D9410" s="64" t="s">
        <v>10660</v>
      </c>
      <c r="E9410" s="64" t="s">
        <v>3174</v>
      </c>
      <c r="F9410" s="64" t="s">
        <v>15</v>
      </c>
      <c r="G9410" s="64" t="s">
        <v>3160</v>
      </c>
      <c r="H9410" s="64" t="s">
        <v>3022</v>
      </c>
      <c r="I9410" s="64" t="s">
        <v>3175</v>
      </c>
      <c r="J9410" s="67">
        <v>1764.07</v>
      </c>
      <c r="K9410" s="62">
        <v>13050.43</v>
      </c>
      <c r="L9410" s="33" t="e">
        <f>HLOOKUP(B9410,#REF!,1,0)</f>
        <v>#REF!</v>
      </c>
      <c r="M9410" s="33" t="str">
        <f t="shared" ref="M9410:M9473" si="591">IF(VALUE(LEFT(C9410,5))&gt;40000,"P&amp;L","BS")</f>
        <v>P&amp;L</v>
      </c>
    </row>
    <row r="9411" spans="1:13">
      <c r="A9411" s="33" t="str">
        <f t="shared" si="588"/>
        <v>SCL - Operating Expense</v>
      </c>
      <c r="B9411" s="33" t="str">
        <f t="shared" si="589"/>
        <v>SCL</v>
      </c>
      <c r="C9411" s="33" t="str">
        <f t="shared" si="590"/>
        <v>63503-7377</v>
      </c>
      <c r="D9411" s="64" t="s">
        <v>10661</v>
      </c>
      <c r="E9411" s="64" t="s">
        <v>3174</v>
      </c>
      <c r="F9411" s="64" t="s">
        <v>15</v>
      </c>
      <c r="G9411" s="64" t="s">
        <v>3160</v>
      </c>
      <c r="H9411" s="64" t="s">
        <v>3022</v>
      </c>
      <c r="I9411" s="64" t="s">
        <v>3175</v>
      </c>
      <c r="J9411" s="67">
        <v>1250.2</v>
      </c>
      <c r="K9411" s="62">
        <v>11387.53</v>
      </c>
      <c r="L9411" s="33" t="e">
        <f>HLOOKUP(B9411,#REF!,1,0)</f>
        <v>#REF!</v>
      </c>
      <c r="M9411" s="33" t="str">
        <f t="shared" si="591"/>
        <v>P&amp;L</v>
      </c>
    </row>
    <row r="9412" spans="1:13">
      <c r="A9412" s="33" t="str">
        <f t="shared" si="588"/>
        <v>SCL - Operating Expense</v>
      </c>
      <c r="B9412" s="33" t="str">
        <f t="shared" si="589"/>
        <v>SCL</v>
      </c>
      <c r="C9412" s="33" t="str">
        <f t="shared" si="590"/>
        <v>63503-7378</v>
      </c>
      <c r="D9412" s="64" t="s">
        <v>10662</v>
      </c>
      <c r="E9412" s="64" t="s">
        <v>3174</v>
      </c>
      <c r="F9412" s="64" t="s">
        <v>15</v>
      </c>
      <c r="G9412" s="64" t="s">
        <v>3160</v>
      </c>
      <c r="H9412" s="64" t="s">
        <v>3022</v>
      </c>
      <c r="I9412" s="64" t="s">
        <v>3175</v>
      </c>
      <c r="J9412" s="67">
        <v>1439.94</v>
      </c>
      <c r="K9412" s="62">
        <v>13738.41</v>
      </c>
      <c r="L9412" s="33" t="e">
        <f>HLOOKUP(B9412,#REF!,1,0)</f>
        <v>#REF!</v>
      </c>
      <c r="M9412" s="33" t="str">
        <f t="shared" si="591"/>
        <v>P&amp;L</v>
      </c>
    </row>
    <row r="9413" spans="1:13">
      <c r="A9413" s="33" t="str">
        <f t="shared" si="588"/>
        <v>SCL - Operating Expense</v>
      </c>
      <c r="B9413" s="33" t="str">
        <f t="shared" si="589"/>
        <v>SCL</v>
      </c>
      <c r="C9413" s="33" t="str">
        <f t="shared" si="590"/>
        <v>63503-7379</v>
      </c>
      <c r="D9413" s="64" t="s">
        <v>10663</v>
      </c>
      <c r="E9413" s="64" t="s">
        <v>3174</v>
      </c>
      <c r="F9413" s="64" t="s">
        <v>15</v>
      </c>
      <c r="G9413" s="64" t="s">
        <v>3160</v>
      </c>
      <c r="H9413" s="64" t="s">
        <v>3022</v>
      </c>
      <c r="I9413" s="64" t="s">
        <v>3175</v>
      </c>
      <c r="J9413" s="67">
        <v>1348.94</v>
      </c>
      <c r="K9413" s="62">
        <v>12604.16</v>
      </c>
      <c r="L9413" s="33" t="e">
        <f>HLOOKUP(B9413,#REF!,1,0)</f>
        <v>#REF!</v>
      </c>
      <c r="M9413" s="33" t="str">
        <f t="shared" si="591"/>
        <v>P&amp;L</v>
      </c>
    </row>
    <row r="9414" spans="1:13">
      <c r="A9414" s="33" t="str">
        <f t="shared" si="588"/>
        <v>SCL - Operating Expense</v>
      </c>
      <c r="B9414" s="33" t="str">
        <f t="shared" si="589"/>
        <v>SCL</v>
      </c>
      <c r="C9414" s="33" t="str">
        <f t="shared" si="590"/>
        <v>63503-7380</v>
      </c>
      <c r="D9414" s="64" t="s">
        <v>10664</v>
      </c>
      <c r="E9414" s="64" t="s">
        <v>3174</v>
      </c>
      <c r="F9414" s="64" t="s">
        <v>15</v>
      </c>
      <c r="G9414" s="64" t="s">
        <v>3160</v>
      </c>
      <c r="H9414" s="64" t="s">
        <v>3022</v>
      </c>
      <c r="I9414" s="64" t="s">
        <v>3175</v>
      </c>
      <c r="J9414" s="67">
        <v>1366.69</v>
      </c>
      <c r="K9414" s="62">
        <v>12702.1</v>
      </c>
      <c r="L9414" s="33" t="e">
        <f>HLOOKUP(B9414,#REF!,1,0)</f>
        <v>#REF!</v>
      </c>
      <c r="M9414" s="33" t="str">
        <f t="shared" si="591"/>
        <v>P&amp;L</v>
      </c>
    </row>
    <row r="9415" spans="1:13">
      <c r="A9415" s="33" t="str">
        <f t="shared" si="588"/>
        <v>SCL - Operating Expense</v>
      </c>
      <c r="B9415" s="33" t="str">
        <f t="shared" si="589"/>
        <v>SCL</v>
      </c>
      <c r="C9415" s="33" t="str">
        <f t="shared" si="590"/>
        <v>63503-7381</v>
      </c>
      <c r="D9415" s="64" t="s">
        <v>10665</v>
      </c>
      <c r="E9415" s="64" t="s">
        <v>3174</v>
      </c>
      <c r="F9415" s="64" t="s">
        <v>15</v>
      </c>
      <c r="G9415" s="64" t="s">
        <v>3160</v>
      </c>
      <c r="H9415" s="64" t="s">
        <v>3022</v>
      </c>
      <c r="I9415" s="64" t="s">
        <v>3175</v>
      </c>
      <c r="J9415" s="67">
        <v>1430.43</v>
      </c>
      <c r="K9415" s="62">
        <v>13574.81</v>
      </c>
      <c r="L9415" s="33" t="e">
        <f>HLOOKUP(B9415,#REF!,1,0)</f>
        <v>#REF!</v>
      </c>
      <c r="M9415" s="33" t="str">
        <f t="shared" si="591"/>
        <v>P&amp;L</v>
      </c>
    </row>
    <row r="9416" spans="1:13">
      <c r="A9416" s="33" t="str">
        <f t="shared" si="588"/>
        <v>SCL - Operating Expense</v>
      </c>
      <c r="B9416" s="33" t="str">
        <f t="shared" si="589"/>
        <v>SCL</v>
      </c>
      <c r="C9416" s="33" t="str">
        <f t="shared" si="590"/>
        <v>63503-7383</v>
      </c>
      <c r="D9416" s="64" t="s">
        <v>10666</v>
      </c>
      <c r="E9416" s="64" t="s">
        <v>3174</v>
      </c>
      <c r="F9416" s="64" t="s">
        <v>15</v>
      </c>
      <c r="G9416" s="64" t="s">
        <v>3160</v>
      </c>
      <c r="H9416" s="64" t="s">
        <v>3022</v>
      </c>
      <c r="I9416" s="64" t="s">
        <v>3175</v>
      </c>
      <c r="J9416" s="67">
        <v>1390.65</v>
      </c>
      <c r="K9416" s="62">
        <v>12890.73</v>
      </c>
      <c r="L9416" s="33" t="e">
        <f>HLOOKUP(B9416,#REF!,1,0)</f>
        <v>#REF!</v>
      </c>
      <c r="M9416" s="33" t="str">
        <f t="shared" si="591"/>
        <v>P&amp;L</v>
      </c>
    </row>
    <row r="9417" spans="1:13">
      <c r="A9417" s="33" t="str">
        <f t="shared" si="588"/>
        <v>SCL - Operating Expense</v>
      </c>
      <c r="B9417" s="33" t="str">
        <f t="shared" si="589"/>
        <v>SCL</v>
      </c>
      <c r="C9417" s="33" t="str">
        <f t="shared" si="590"/>
        <v>63503-7385</v>
      </c>
      <c r="D9417" s="64" t="s">
        <v>10667</v>
      </c>
      <c r="E9417" s="64" t="s">
        <v>3174</v>
      </c>
      <c r="F9417" s="64" t="s">
        <v>15</v>
      </c>
      <c r="G9417" s="64" t="s">
        <v>3160</v>
      </c>
      <c r="H9417" s="64" t="s">
        <v>3022</v>
      </c>
      <c r="I9417" s="64" t="s">
        <v>3175</v>
      </c>
      <c r="J9417" s="67">
        <v>1133</v>
      </c>
      <c r="K9417" s="62">
        <v>11165.14</v>
      </c>
      <c r="L9417" s="33" t="e">
        <f>HLOOKUP(B9417,#REF!,1,0)</f>
        <v>#REF!</v>
      </c>
      <c r="M9417" s="33" t="str">
        <f t="shared" si="591"/>
        <v>P&amp;L</v>
      </c>
    </row>
    <row r="9418" spans="1:13">
      <c r="A9418" s="33" t="str">
        <f t="shared" si="588"/>
        <v>SCL - Operating Expense</v>
      </c>
      <c r="B9418" s="33" t="str">
        <f t="shared" si="589"/>
        <v>SCL</v>
      </c>
      <c r="C9418" s="33" t="str">
        <f t="shared" si="590"/>
        <v>63503-7386</v>
      </c>
      <c r="D9418" s="64" t="s">
        <v>10668</v>
      </c>
      <c r="E9418" s="64" t="s">
        <v>3174</v>
      </c>
      <c r="F9418" s="64" t="s">
        <v>15</v>
      </c>
      <c r="G9418" s="64" t="s">
        <v>3160</v>
      </c>
      <c r="H9418" s="64" t="s">
        <v>3022</v>
      </c>
      <c r="I9418" s="64" t="s">
        <v>3175</v>
      </c>
      <c r="J9418" s="67">
        <v>1413.87</v>
      </c>
      <c r="K9418" s="62">
        <v>13047.03</v>
      </c>
      <c r="L9418" s="33" t="e">
        <f>HLOOKUP(B9418,#REF!,1,0)</f>
        <v>#REF!</v>
      </c>
      <c r="M9418" s="33" t="str">
        <f t="shared" si="591"/>
        <v>P&amp;L</v>
      </c>
    </row>
    <row r="9419" spans="1:13">
      <c r="A9419" s="33" t="str">
        <f t="shared" si="588"/>
        <v>SCL - Operating Expense</v>
      </c>
      <c r="B9419" s="33" t="str">
        <f t="shared" si="589"/>
        <v>SCL</v>
      </c>
      <c r="C9419" s="33" t="str">
        <f t="shared" si="590"/>
        <v>63503-7387</v>
      </c>
      <c r="D9419" s="64" t="s">
        <v>10669</v>
      </c>
      <c r="E9419" s="64" t="s">
        <v>3174</v>
      </c>
      <c r="F9419" s="64" t="s">
        <v>15</v>
      </c>
      <c r="G9419" s="64" t="s">
        <v>3160</v>
      </c>
      <c r="H9419" s="64" t="s">
        <v>3022</v>
      </c>
      <c r="I9419" s="64" t="s">
        <v>3175</v>
      </c>
      <c r="J9419" s="67">
        <v>1438.03</v>
      </c>
      <c r="K9419" s="62">
        <v>13918.84</v>
      </c>
      <c r="L9419" s="33" t="e">
        <f>HLOOKUP(B9419,#REF!,1,0)</f>
        <v>#REF!</v>
      </c>
      <c r="M9419" s="33" t="str">
        <f t="shared" si="591"/>
        <v>P&amp;L</v>
      </c>
    </row>
    <row r="9420" spans="1:13">
      <c r="A9420" s="33" t="str">
        <f t="shared" si="588"/>
        <v>SCL - Operating Expense</v>
      </c>
      <c r="B9420" s="33" t="str">
        <f t="shared" si="589"/>
        <v>SCL</v>
      </c>
      <c r="C9420" s="33" t="str">
        <f t="shared" si="590"/>
        <v>63503-7389</v>
      </c>
      <c r="D9420" s="64" t="s">
        <v>10670</v>
      </c>
      <c r="E9420" s="64" t="s">
        <v>3174</v>
      </c>
      <c r="F9420" s="64" t="s">
        <v>15</v>
      </c>
      <c r="G9420" s="64" t="s">
        <v>3160</v>
      </c>
      <c r="H9420" s="64" t="s">
        <v>3022</v>
      </c>
      <c r="I9420" s="64" t="s">
        <v>3175</v>
      </c>
      <c r="J9420" s="67">
        <v>1506.27</v>
      </c>
      <c r="K9420" s="62">
        <v>14821.21</v>
      </c>
      <c r="L9420" s="33" t="e">
        <f>HLOOKUP(B9420,#REF!,1,0)</f>
        <v>#REF!</v>
      </c>
      <c r="M9420" s="33" t="str">
        <f t="shared" si="591"/>
        <v>P&amp;L</v>
      </c>
    </row>
    <row r="9421" spans="1:13">
      <c r="A9421" s="33" t="str">
        <f t="shared" si="588"/>
        <v>SCL - Operating Expense</v>
      </c>
      <c r="B9421" s="33" t="str">
        <f t="shared" si="589"/>
        <v>SCL</v>
      </c>
      <c r="C9421" s="33" t="str">
        <f t="shared" si="590"/>
        <v>63503-7391</v>
      </c>
      <c r="D9421" s="64" t="s">
        <v>10671</v>
      </c>
      <c r="E9421" s="64" t="s">
        <v>3174</v>
      </c>
      <c r="F9421" s="64" t="s">
        <v>15</v>
      </c>
      <c r="G9421" s="64" t="s">
        <v>3160</v>
      </c>
      <c r="H9421" s="64" t="s">
        <v>3022</v>
      </c>
      <c r="I9421" s="64" t="s">
        <v>3175</v>
      </c>
      <c r="J9421" s="67">
        <v>1387.48</v>
      </c>
      <c r="K9421" s="62">
        <v>12852</v>
      </c>
      <c r="L9421" s="33" t="e">
        <f>HLOOKUP(B9421,#REF!,1,0)</f>
        <v>#REF!</v>
      </c>
      <c r="M9421" s="33" t="str">
        <f t="shared" si="591"/>
        <v>P&amp;L</v>
      </c>
    </row>
    <row r="9422" spans="1:13">
      <c r="A9422" s="33" t="str">
        <f t="shared" si="588"/>
        <v>SCL - Operating Expense</v>
      </c>
      <c r="B9422" s="33" t="str">
        <f t="shared" si="589"/>
        <v>SCL</v>
      </c>
      <c r="C9422" s="33" t="str">
        <f t="shared" si="590"/>
        <v>63503-7393</v>
      </c>
      <c r="D9422" s="64" t="s">
        <v>10672</v>
      </c>
      <c r="E9422" s="64" t="s">
        <v>3174</v>
      </c>
      <c r="F9422" s="64" t="s">
        <v>15</v>
      </c>
      <c r="G9422" s="64" t="s">
        <v>3160</v>
      </c>
      <c r="H9422" s="64" t="s">
        <v>3022</v>
      </c>
      <c r="I9422" s="64" t="s">
        <v>3175</v>
      </c>
      <c r="J9422" s="67">
        <v>1241.61</v>
      </c>
      <c r="K9422" s="62">
        <v>12361.21</v>
      </c>
      <c r="L9422" s="33" t="e">
        <f>HLOOKUP(B9422,#REF!,1,0)</f>
        <v>#REF!</v>
      </c>
      <c r="M9422" s="33" t="str">
        <f t="shared" si="591"/>
        <v>P&amp;L</v>
      </c>
    </row>
    <row r="9423" spans="1:13">
      <c r="A9423" s="33" t="str">
        <f t="shared" si="588"/>
        <v>SCL - Operating Expense</v>
      </c>
      <c r="B9423" s="33" t="str">
        <f t="shared" si="589"/>
        <v>SCL</v>
      </c>
      <c r="C9423" s="33" t="str">
        <f t="shared" si="590"/>
        <v>63503-7394</v>
      </c>
      <c r="D9423" s="64" t="s">
        <v>10673</v>
      </c>
      <c r="E9423" s="64" t="s">
        <v>3174</v>
      </c>
      <c r="F9423" s="64" t="s">
        <v>15</v>
      </c>
      <c r="G9423" s="64" t="s">
        <v>3160</v>
      </c>
      <c r="H9423" s="64" t="s">
        <v>3022</v>
      </c>
      <c r="I9423" s="64" t="s">
        <v>3175</v>
      </c>
      <c r="J9423" s="67">
        <v>1286.98</v>
      </c>
      <c r="K9423" s="62">
        <v>13015.86</v>
      </c>
      <c r="L9423" s="33" t="e">
        <f>HLOOKUP(B9423,#REF!,1,0)</f>
        <v>#REF!</v>
      </c>
      <c r="M9423" s="33" t="str">
        <f t="shared" si="591"/>
        <v>P&amp;L</v>
      </c>
    </row>
    <row r="9424" spans="1:13">
      <c r="A9424" s="33" t="str">
        <f t="shared" si="588"/>
        <v>SCL - Operating Expense</v>
      </c>
      <c r="B9424" s="33" t="str">
        <f t="shared" si="589"/>
        <v>SCL</v>
      </c>
      <c r="C9424" s="33" t="str">
        <f t="shared" si="590"/>
        <v>63503-7396</v>
      </c>
      <c r="D9424" s="64" t="s">
        <v>10674</v>
      </c>
      <c r="E9424" s="64" t="s">
        <v>3174</v>
      </c>
      <c r="F9424" s="64" t="s">
        <v>15</v>
      </c>
      <c r="G9424" s="64" t="s">
        <v>3160</v>
      </c>
      <c r="H9424" s="64" t="s">
        <v>3022</v>
      </c>
      <c r="I9424" s="64" t="s">
        <v>3175</v>
      </c>
      <c r="J9424" s="67">
        <v>1173.94</v>
      </c>
      <c r="K9424" s="62">
        <v>11245.16</v>
      </c>
      <c r="L9424" s="33" t="e">
        <f>HLOOKUP(B9424,#REF!,1,0)</f>
        <v>#REF!</v>
      </c>
      <c r="M9424" s="33" t="str">
        <f t="shared" si="591"/>
        <v>P&amp;L</v>
      </c>
    </row>
    <row r="9425" spans="1:13">
      <c r="A9425" s="33" t="str">
        <f t="shared" si="588"/>
        <v>SCL - Operating Expense</v>
      </c>
      <c r="B9425" s="33" t="str">
        <f t="shared" si="589"/>
        <v>SCL</v>
      </c>
      <c r="C9425" s="33" t="str">
        <f t="shared" si="590"/>
        <v>63503-7397</v>
      </c>
      <c r="D9425" s="64" t="s">
        <v>10675</v>
      </c>
      <c r="E9425" s="64" t="s">
        <v>3174</v>
      </c>
      <c r="F9425" s="64" t="s">
        <v>15</v>
      </c>
      <c r="G9425" s="64" t="s">
        <v>3160</v>
      </c>
      <c r="H9425" s="64" t="s">
        <v>3022</v>
      </c>
      <c r="I9425" s="64" t="s">
        <v>3175</v>
      </c>
      <c r="J9425" s="67">
        <v>1391.47</v>
      </c>
      <c r="K9425" s="62">
        <v>12372.53</v>
      </c>
      <c r="L9425" s="33" t="e">
        <f>HLOOKUP(B9425,#REF!,1,0)</f>
        <v>#REF!</v>
      </c>
      <c r="M9425" s="33" t="str">
        <f t="shared" si="591"/>
        <v>P&amp;L</v>
      </c>
    </row>
    <row r="9426" spans="1:13">
      <c r="A9426" s="33" t="str">
        <f t="shared" si="588"/>
        <v>SCL - Operating Expense</v>
      </c>
      <c r="B9426" s="33" t="str">
        <f t="shared" si="589"/>
        <v>SCL</v>
      </c>
      <c r="C9426" s="33" t="str">
        <f t="shared" si="590"/>
        <v>63503-7398</v>
      </c>
      <c r="D9426" s="64" t="s">
        <v>10676</v>
      </c>
      <c r="E9426" s="64" t="s">
        <v>3174</v>
      </c>
      <c r="F9426" s="64" t="s">
        <v>15</v>
      </c>
      <c r="G9426" s="64" t="s">
        <v>3160</v>
      </c>
      <c r="H9426" s="64" t="s">
        <v>3022</v>
      </c>
      <c r="I9426" s="64" t="s">
        <v>3175</v>
      </c>
      <c r="J9426" s="67">
        <v>1301.48</v>
      </c>
      <c r="K9426" s="62">
        <v>13096.47</v>
      </c>
      <c r="L9426" s="33" t="e">
        <f>HLOOKUP(B9426,#REF!,1,0)</f>
        <v>#REF!</v>
      </c>
      <c r="M9426" s="33" t="str">
        <f t="shared" si="591"/>
        <v>P&amp;L</v>
      </c>
    </row>
    <row r="9427" spans="1:13">
      <c r="A9427" s="33" t="str">
        <f t="shared" si="588"/>
        <v>SCL - Operating Expense</v>
      </c>
      <c r="B9427" s="33" t="str">
        <f t="shared" si="589"/>
        <v>SCL</v>
      </c>
      <c r="C9427" s="33" t="str">
        <f t="shared" si="590"/>
        <v>63503-7400</v>
      </c>
      <c r="D9427" s="64" t="s">
        <v>10677</v>
      </c>
      <c r="E9427" s="64" t="s">
        <v>3174</v>
      </c>
      <c r="F9427" s="64" t="s">
        <v>15</v>
      </c>
      <c r="G9427" s="64" t="s">
        <v>3160</v>
      </c>
      <c r="H9427" s="64" t="s">
        <v>3022</v>
      </c>
      <c r="I9427" s="64" t="s">
        <v>3175</v>
      </c>
      <c r="J9427" s="67">
        <v>1276.9</v>
      </c>
      <c r="K9427" s="62">
        <v>11463.02</v>
      </c>
      <c r="L9427" s="33" t="e">
        <f>HLOOKUP(B9427,#REF!,1,0)</f>
        <v>#REF!</v>
      </c>
      <c r="M9427" s="33" t="str">
        <f t="shared" si="591"/>
        <v>P&amp;L</v>
      </c>
    </row>
    <row r="9428" spans="1:13">
      <c r="A9428" s="33" t="str">
        <f t="shared" si="588"/>
        <v>SCL - Operating Expense</v>
      </c>
      <c r="B9428" s="33" t="str">
        <f t="shared" si="589"/>
        <v>SCL</v>
      </c>
      <c r="C9428" s="33" t="str">
        <f t="shared" si="590"/>
        <v>63503-7401</v>
      </c>
      <c r="D9428" s="64" t="s">
        <v>10678</v>
      </c>
      <c r="E9428" s="64" t="s">
        <v>3174</v>
      </c>
      <c r="F9428" s="64" t="s">
        <v>15</v>
      </c>
      <c r="G9428" s="64" t="s">
        <v>3160</v>
      </c>
      <c r="H9428" s="64" t="s">
        <v>3022</v>
      </c>
      <c r="I9428" s="64" t="s">
        <v>3175</v>
      </c>
      <c r="J9428" s="67">
        <v>1390.65</v>
      </c>
      <c r="K9428" s="62">
        <v>12984.68</v>
      </c>
      <c r="L9428" s="33" t="e">
        <f>HLOOKUP(B9428,#REF!,1,0)</f>
        <v>#REF!</v>
      </c>
      <c r="M9428" s="33" t="str">
        <f t="shared" si="591"/>
        <v>P&amp;L</v>
      </c>
    </row>
    <row r="9429" spans="1:13">
      <c r="A9429" s="33" t="str">
        <f t="shared" si="588"/>
        <v>SCL - Operating Expense</v>
      </c>
      <c r="B9429" s="33" t="str">
        <f t="shared" si="589"/>
        <v>SCL</v>
      </c>
      <c r="C9429" s="33" t="str">
        <f t="shared" si="590"/>
        <v>63503-7402</v>
      </c>
      <c r="D9429" s="64" t="s">
        <v>10679</v>
      </c>
      <c r="E9429" s="64" t="s">
        <v>3174</v>
      </c>
      <c r="F9429" s="64" t="s">
        <v>15</v>
      </c>
      <c r="G9429" s="64" t="s">
        <v>3160</v>
      </c>
      <c r="H9429" s="64" t="s">
        <v>3022</v>
      </c>
      <c r="I9429" s="64" t="s">
        <v>3175</v>
      </c>
      <c r="J9429" s="67">
        <v>1417.18</v>
      </c>
      <c r="K9429" s="62">
        <v>13430.43</v>
      </c>
      <c r="L9429" s="33" t="e">
        <f>HLOOKUP(B9429,#REF!,1,0)</f>
        <v>#REF!</v>
      </c>
      <c r="M9429" s="33" t="str">
        <f t="shared" si="591"/>
        <v>P&amp;L</v>
      </c>
    </row>
    <row r="9430" spans="1:13">
      <c r="A9430" s="33" t="str">
        <f t="shared" si="588"/>
        <v>SCL - Operating Expense</v>
      </c>
      <c r="B9430" s="33" t="str">
        <f t="shared" si="589"/>
        <v>SCL</v>
      </c>
      <c r="C9430" s="33" t="str">
        <f t="shared" si="590"/>
        <v>63503-7403</v>
      </c>
      <c r="D9430" s="64" t="s">
        <v>10680</v>
      </c>
      <c r="E9430" s="64" t="s">
        <v>3174</v>
      </c>
      <c r="F9430" s="64" t="s">
        <v>15</v>
      </c>
      <c r="G9430" s="64" t="s">
        <v>3160</v>
      </c>
      <c r="H9430" s="64" t="s">
        <v>3022</v>
      </c>
      <c r="I9430" s="64" t="s">
        <v>3175</v>
      </c>
      <c r="J9430" s="67">
        <v>1394.44</v>
      </c>
      <c r="K9430" s="62">
        <v>12549.42</v>
      </c>
      <c r="L9430" s="33" t="e">
        <f>HLOOKUP(B9430,#REF!,1,0)</f>
        <v>#REF!</v>
      </c>
      <c r="M9430" s="33" t="str">
        <f t="shared" si="591"/>
        <v>P&amp;L</v>
      </c>
    </row>
    <row r="9431" spans="1:13">
      <c r="A9431" s="33" t="str">
        <f t="shared" si="588"/>
        <v>SCL - Operating Expense</v>
      </c>
      <c r="B9431" s="33" t="str">
        <f t="shared" si="589"/>
        <v>SCL</v>
      </c>
      <c r="C9431" s="33" t="str">
        <f t="shared" si="590"/>
        <v>63503-7489</v>
      </c>
      <c r="D9431" s="64" t="s">
        <v>10681</v>
      </c>
      <c r="E9431" s="64" t="s">
        <v>3174</v>
      </c>
      <c r="F9431" s="64" t="s">
        <v>15</v>
      </c>
      <c r="G9431" s="64" t="s">
        <v>3160</v>
      </c>
      <c r="H9431" s="64" t="s">
        <v>3022</v>
      </c>
      <c r="I9431" s="64" t="s">
        <v>3175</v>
      </c>
      <c r="J9431" s="67">
        <v>1394.05</v>
      </c>
      <c r="K9431" s="62">
        <v>12638.05</v>
      </c>
      <c r="L9431" s="33" t="e">
        <f>HLOOKUP(B9431,#REF!,1,0)</f>
        <v>#REF!</v>
      </c>
      <c r="M9431" s="33" t="str">
        <f t="shared" si="591"/>
        <v>P&amp;L</v>
      </c>
    </row>
    <row r="9432" spans="1:13">
      <c r="A9432" s="33" t="str">
        <f t="shared" si="588"/>
        <v>SCL - Operating Expense</v>
      </c>
      <c r="B9432" s="33" t="str">
        <f t="shared" si="589"/>
        <v>SCL</v>
      </c>
      <c r="C9432" s="33" t="str">
        <f t="shared" si="590"/>
        <v>63503-7491</v>
      </c>
      <c r="D9432" s="64" t="s">
        <v>10682</v>
      </c>
      <c r="E9432" s="64" t="s">
        <v>3174</v>
      </c>
      <c r="F9432" s="64" t="s">
        <v>15</v>
      </c>
      <c r="G9432" s="64" t="s">
        <v>3160</v>
      </c>
      <c r="H9432" s="64" t="s">
        <v>3022</v>
      </c>
      <c r="I9432" s="64" t="s">
        <v>3175</v>
      </c>
      <c r="J9432" s="67">
        <v>1471.02</v>
      </c>
      <c r="K9432" s="62">
        <v>14012.98</v>
      </c>
      <c r="L9432" s="33" t="e">
        <f>HLOOKUP(B9432,#REF!,1,0)</f>
        <v>#REF!</v>
      </c>
      <c r="M9432" s="33" t="str">
        <f t="shared" si="591"/>
        <v>P&amp;L</v>
      </c>
    </row>
    <row r="9433" spans="1:13">
      <c r="A9433" s="33" t="str">
        <f t="shared" si="588"/>
        <v>SCL - Operating Expense</v>
      </c>
      <c r="B9433" s="33" t="str">
        <f t="shared" si="589"/>
        <v>SCL</v>
      </c>
      <c r="C9433" s="33" t="str">
        <f t="shared" si="590"/>
        <v>63503-7492</v>
      </c>
      <c r="D9433" s="64" t="s">
        <v>10683</v>
      </c>
      <c r="E9433" s="64" t="s">
        <v>3174</v>
      </c>
      <c r="F9433" s="64" t="s">
        <v>15</v>
      </c>
      <c r="G9433" s="64" t="s">
        <v>3160</v>
      </c>
      <c r="H9433" s="64" t="s">
        <v>3022</v>
      </c>
      <c r="I9433" s="64" t="s">
        <v>3175</v>
      </c>
      <c r="J9433" s="67">
        <v>113.64</v>
      </c>
      <c r="K9433" s="62">
        <v>1856.14</v>
      </c>
      <c r="L9433" s="33" t="e">
        <f>HLOOKUP(B9433,#REF!,1,0)</f>
        <v>#REF!</v>
      </c>
      <c r="M9433" s="33" t="str">
        <f t="shared" si="591"/>
        <v>P&amp;L</v>
      </c>
    </row>
    <row r="9434" spans="1:13">
      <c r="A9434" s="33" t="str">
        <f t="shared" si="588"/>
        <v>SCL - Operating Expense</v>
      </c>
      <c r="B9434" s="33" t="str">
        <f t="shared" si="589"/>
        <v>SCL</v>
      </c>
      <c r="C9434" s="33" t="str">
        <f t="shared" si="590"/>
        <v>63503-7493</v>
      </c>
      <c r="D9434" s="64" t="s">
        <v>10684</v>
      </c>
      <c r="E9434" s="64" t="s">
        <v>3174</v>
      </c>
      <c r="F9434" s="64" t="s">
        <v>15</v>
      </c>
      <c r="G9434" s="64" t="s">
        <v>3160</v>
      </c>
      <c r="H9434" s="64" t="s">
        <v>3022</v>
      </c>
      <c r="I9434" s="64" t="s">
        <v>3175</v>
      </c>
      <c r="J9434" s="67">
        <v>1464.58</v>
      </c>
      <c r="K9434" s="62">
        <v>12747.44</v>
      </c>
      <c r="L9434" s="33" t="e">
        <f>HLOOKUP(B9434,#REF!,1,0)</f>
        <v>#REF!</v>
      </c>
      <c r="M9434" s="33" t="str">
        <f t="shared" si="591"/>
        <v>P&amp;L</v>
      </c>
    </row>
    <row r="9435" spans="1:13">
      <c r="A9435" s="33" t="str">
        <f t="shared" si="588"/>
        <v>SCL - Operating Expense</v>
      </c>
      <c r="B9435" s="33" t="str">
        <f t="shared" si="589"/>
        <v>SCL</v>
      </c>
      <c r="C9435" s="33" t="str">
        <f t="shared" si="590"/>
        <v>63503-7494</v>
      </c>
      <c r="D9435" s="64" t="s">
        <v>10685</v>
      </c>
      <c r="E9435" s="64" t="s">
        <v>3174</v>
      </c>
      <c r="F9435" s="64" t="s">
        <v>15</v>
      </c>
      <c r="G9435" s="64" t="s">
        <v>3160</v>
      </c>
      <c r="H9435" s="64" t="s">
        <v>3022</v>
      </c>
      <c r="I9435" s="64" t="s">
        <v>3175</v>
      </c>
      <c r="J9435" s="67">
        <v>1321.61</v>
      </c>
      <c r="K9435" s="62">
        <v>12276.89</v>
      </c>
      <c r="L9435" s="33" t="e">
        <f>HLOOKUP(B9435,#REF!,1,0)</f>
        <v>#REF!</v>
      </c>
      <c r="M9435" s="33" t="str">
        <f t="shared" si="591"/>
        <v>P&amp;L</v>
      </c>
    </row>
    <row r="9436" spans="1:13">
      <c r="A9436" s="33" t="str">
        <f t="shared" si="588"/>
        <v>SCL - Operating Expense</v>
      </c>
      <c r="B9436" s="33" t="str">
        <f t="shared" si="589"/>
        <v>SCL</v>
      </c>
      <c r="C9436" s="33" t="str">
        <f t="shared" si="590"/>
        <v>63503-7625</v>
      </c>
      <c r="D9436" s="64" t="s">
        <v>10686</v>
      </c>
      <c r="E9436" s="64" t="s">
        <v>3174</v>
      </c>
      <c r="F9436" s="64" t="s">
        <v>15</v>
      </c>
      <c r="G9436" s="64" t="s">
        <v>3160</v>
      </c>
      <c r="H9436" s="64" t="s">
        <v>3022</v>
      </c>
      <c r="I9436" s="64" t="s">
        <v>3175</v>
      </c>
      <c r="J9436" s="67">
        <v>1430.45</v>
      </c>
      <c r="K9436" s="62">
        <v>12771.18</v>
      </c>
      <c r="L9436" s="33" t="e">
        <f>HLOOKUP(B9436,#REF!,1,0)</f>
        <v>#REF!</v>
      </c>
      <c r="M9436" s="33" t="str">
        <f t="shared" si="591"/>
        <v>P&amp;L</v>
      </c>
    </row>
    <row r="9437" spans="1:13">
      <c r="A9437" s="33" t="str">
        <f t="shared" si="588"/>
        <v>SCL - Operating Expense</v>
      </c>
      <c r="B9437" s="33" t="str">
        <f t="shared" si="589"/>
        <v>SCL</v>
      </c>
      <c r="C9437" s="33" t="str">
        <f t="shared" si="590"/>
        <v>63503-8150</v>
      </c>
      <c r="D9437" s="64" t="s">
        <v>10687</v>
      </c>
      <c r="E9437" s="64" t="s">
        <v>3174</v>
      </c>
      <c r="F9437" s="64" t="s">
        <v>15</v>
      </c>
      <c r="G9437" s="64" t="s">
        <v>3160</v>
      </c>
      <c r="H9437" s="64" t="s">
        <v>3022</v>
      </c>
      <c r="I9437" s="64" t="s">
        <v>3175</v>
      </c>
      <c r="J9437" s="67">
        <v>1348.96</v>
      </c>
      <c r="K9437" s="62">
        <v>14109.35</v>
      </c>
      <c r="L9437" s="33" t="e">
        <f>HLOOKUP(B9437,#REF!,1,0)</f>
        <v>#REF!</v>
      </c>
      <c r="M9437" s="33" t="str">
        <f t="shared" si="591"/>
        <v>P&amp;L</v>
      </c>
    </row>
    <row r="9438" spans="1:13">
      <c r="A9438" s="33" t="str">
        <f t="shared" si="588"/>
        <v>SCL - Operating Expense</v>
      </c>
      <c r="B9438" s="33" t="str">
        <f t="shared" si="589"/>
        <v>SCL</v>
      </c>
      <c r="C9438" s="33" t="str">
        <f t="shared" si="590"/>
        <v>63504-0000</v>
      </c>
      <c r="D9438" s="64" t="s">
        <v>10688</v>
      </c>
      <c r="E9438" s="64" t="s">
        <v>3181</v>
      </c>
      <c r="F9438" s="64" t="s">
        <v>15</v>
      </c>
      <c r="G9438" s="64" t="s">
        <v>3160</v>
      </c>
      <c r="H9438" s="64" t="s">
        <v>3022</v>
      </c>
      <c r="I9438" s="64" t="s">
        <v>3182</v>
      </c>
      <c r="J9438" s="67">
        <v>0</v>
      </c>
      <c r="K9438" s="62">
        <v>0</v>
      </c>
      <c r="L9438" s="33" t="e">
        <f>HLOOKUP(B9438,#REF!,1,0)</f>
        <v>#REF!</v>
      </c>
      <c r="M9438" s="33" t="str">
        <f t="shared" si="591"/>
        <v>P&amp;L</v>
      </c>
    </row>
    <row r="9439" spans="1:13">
      <c r="A9439" s="33" t="str">
        <f t="shared" si="588"/>
        <v>SCL - Operating Expense</v>
      </c>
      <c r="B9439" s="33" t="str">
        <f t="shared" si="589"/>
        <v>SCL</v>
      </c>
      <c r="C9439" s="33" t="str">
        <f t="shared" si="590"/>
        <v>63504-7351</v>
      </c>
      <c r="D9439" s="64" t="s">
        <v>10689</v>
      </c>
      <c r="E9439" s="64" t="s">
        <v>3181</v>
      </c>
      <c r="F9439" s="64" t="s">
        <v>15</v>
      </c>
      <c r="G9439" s="64" t="s">
        <v>3160</v>
      </c>
      <c r="H9439" s="64" t="s">
        <v>3022</v>
      </c>
      <c r="I9439" s="64" t="s">
        <v>3182</v>
      </c>
      <c r="J9439" s="67">
        <v>1178.19</v>
      </c>
      <c r="K9439" s="62">
        <v>11364.55</v>
      </c>
      <c r="L9439" s="33" t="e">
        <f>HLOOKUP(B9439,#REF!,1,0)</f>
        <v>#REF!</v>
      </c>
      <c r="M9439" s="33" t="str">
        <f t="shared" si="591"/>
        <v>P&amp;L</v>
      </c>
    </row>
    <row r="9440" spans="1:13">
      <c r="A9440" s="33" t="str">
        <f t="shared" si="588"/>
        <v>SCL - Operating Expense</v>
      </c>
      <c r="B9440" s="33" t="str">
        <f t="shared" si="589"/>
        <v>SCL</v>
      </c>
      <c r="C9440" s="33" t="str">
        <f t="shared" si="590"/>
        <v>63504-7352</v>
      </c>
      <c r="D9440" s="64" t="s">
        <v>10690</v>
      </c>
      <c r="E9440" s="64" t="s">
        <v>3181</v>
      </c>
      <c r="F9440" s="64" t="s">
        <v>15</v>
      </c>
      <c r="G9440" s="64" t="s">
        <v>3160</v>
      </c>
      <c r="H9440" s="64" t="s">
        <v>3022</v>
      </c>
      <c r="I9440" s="64" t="s">
        <v>3182</v>
      </c>
      <c r="J9440" s="67">
        <v>1672.14</v>
      </c>
      <c r="K9440" s="62">
        <v>8706.56</v>
      </c>
      <c r="L9440" s="33" t="e">
        <f>HLOOKUP(B9440,#REF!,1,0)</f>
        <v>#REF!</v>
      </c>
      <c r="M9440" s="33" t="str">
        <f t="shared" si="591"/>
        <v>P&amp;L</v>
      </c>
    </row>
    <row r="9441" spans="1:13">
      <c r="A9441" s="33" t="str">
        <f t="shared" si="588"/>
        <v>SCL - Operating Expense</v>
      </c>
      <c r="B9441" s="33" t="str">
        <f t="shared" si="589"/>
        <v>SCL</v>
      </c>
      <c r="C9441" s="33" t="str">
        <f t="shared" si="590"/>
        <v>63504-7355</v>
      </c>
      <c r="D9441" s="64" t="s">
        <v>10691</v>
      </c>
      <c r="E9441" s="64" t="s">
        <v>3181</v>
      </c>
      <c r="F9441" s="64" t="s">
        <v>15</v>
      </c>
      <c r="G9441" s="64" t="s">
        <v>3160</v>
      </c>
      <c r="H9441" s="64" t="s">
        <v>3022</v>
      </c>
      <c r="I9441" s="64" t="s">
        <v>3182</v>
      </c>
      <c r="J9441" s="67">
        <v>340.35</v>
      </c>
      <c r="K9441" s="62">
        <v>10034.9</v>
      </c>
      <c r="L9441" s="33" t="e">
        <f>HLOOKUP(B9441,#REF!,1,0)</f>
        <v>#REF!</v>
      </c>
      <c r="M9441" s="33" t="str">
        <f t="shared" si="591"/>
        <v>P&amp;L</v>
      </c>
    </row>
    <row r="9442" spans="1:13">
      <c r="A9442" s="33" t="str">
        <f t="shared" si="588"/>
        <v>SCL - Operating Expense</v>
      </c>
      <c r="B9442" s="33" t="str">
        <f t="shared" si="589"/>
        <v>SCL</v>
      </c>
      <c r="C9442" s="33" t="str">
        <f t="shared" si="590"/>
        <v>63504-7356</v>
      </c>
      <c r="D9442" s="64" t="s">
        <v>10692</v>
      </c>
      <c r="E9442" s="64" t="s">
        <v>3181</v>
      </c>
      <c r="F9442" s="64" t="s">
        <v>15</v>
      </c>
      <c r="G9442" s="64" t="s">
        <v>3160</v>
      </c>
      <c r="H9442" s="64" t="s">
        <v>3022</v>
      </c>
      <c r="I9442" s="64" t="s">
        <v>3182</v>
      </c>
      <c r="J9442" s="67">
        <v>0</v>
      </c>
      <c r="K9442" s="62">
        <v>312.67</v>
      </c>
      <c r="L9442" s="33" t="e">
        <f>HLOOKUP(B9442,#REF!,1,0)</f>
        <v>#REF!</v>
      </c>
      <c r="M9442" s="33" t="str">
        <f t="shared" si="591"/>
        <v>P&amp;L</v>
      </c>
    </row>
    <row r="9443" spans="1:13">
      <c r="A9443" s="33" t="str">
        <f t="shared" si="588"/>
        <v>SCL - Operating Expense</v>
      </c>
      <c r="B9443" s="33" t="str">
        <f t="shared" si="589"/>
        <v>SCL</v>
      </c>
      <c r="C9443" s="33" t="str">
        <f t="shared" si="590"/>
        <v>63504-7359</v>
      </c>
      <c r="D9443" s="64" t="s">
        <v>10693</v>
      </c>
      <c r="E9443" s="64" t="s">
        <v>3181</v>
      </c>
      <c r="F9443" s="64" t="s">
        <v>15</v>
      </c>
      <c r="G9443" s="64" t="s">
        <v>3160</v>
      </c>
      <c r="H9443" s="64" t="s">
        <v>3022</v>
      </c>
      <c r="I9443" s="64" t="s">
        <v>3182</v>
      </c>
      <c r="J9443" s="67">
        <v>2117.43</v>
      </c>
      <c r="K9443" s="62">
        <v>22609.38</v>
      </c>
      <c r="L9443" s="33" t="e">
        <f>HLOOKUP(B9443,#REF!,1,0)</f>
        <v>#REF!</v>
      </c>
      <c r="M9443" s="33" t="str">
        <f t="shared" si="591"/>
        <v>P&amp;L</v>
      </c>
    </row>
    <row r="9444" spans="1:13">
      <c r="A9444" s="33" t="str">
        <f t="shared" si="588"/>
        <v>SCL - Operating Expense</v>
      </c>
      <c r="B9444" s="33" t="str">
        <f t="shared" si="589"/>
        <v>SCL</v>
      </c>
      <c r="C9444" s="33" t="str">
        <f t="shared" si="590"/>
        <v>63504-7360</v>
      </c>
      <c r="D9444" s="64" t="s">
        <v>10694</v>
      </c>
      <c r="E9444" s="64" t="s">
        <v>3181</v>
      </c>
      <c r="F9444" s="64" t="s">
        <v>15</v>
      </c>
      <c r="G9444" s="64" t="s">
        <v>3160</v>
      </c>
      <c r="H9444" s="64" t="s">
        <v>3022</v>
      </c>
      <c r="I9444" s="64" t="s">
        <v>3182</v>
      </c>
      <c r="J9444" s="67">
        <v>480</v>
      </c>
      <c r="K9444" s="62">
        <v>4472.65</v>
      </c>
      <c r="L9444" s="33" t="e">
        <f>HLOOKUP(B9444,#REF!,1,0)</f>
        <v>#REF!</v>
      </c>
      <c r="M9444" s="33" t="str">
        <f t="shared" si="591"/>
        <v>P&amp;L</v>
      </c>
    </row>
    <row r="9445" spans="1:13">
      <c r="A9445" s="33" t="str">
        <f t="shared" si="588"/>
        <v>SCL - Operating Expense</v>
      </c>
      <c r="B9445" s="33" t="str">
        <f t="shared" si="589"/>
        <v>SCL</v>
      </c>
      <c r="C9445" s="33" t="str">
        <f t="shared" si="590"/>
        <v>63504-7361</v>
      </c>
      <c r="D9445" s="64" t="s">
        <v>10695</v>
      </c>
      <c r="E9445" s="64" t="s">
        <v>3181</v>
      </c>
      <c r="F9445" s="64" t="s">
        <v>15</v>
      </c>
      <c r="G9445" s="64" t="s">
        <v>3160</v>
      </c>
      <c r="H9445" s="64" t="s">
        <v>3022</v>
      </c>
      <c r="I9445" s="64" t="s">
        <v>3182</v>
      </c>
      <c r="J9445" s="67">
        <v>594.42</v>
      </c>
      <c r="K9445" s="62">
        <v>6126.27</v>
      </c>
      <c r="L9445" s="33" t="e">
        <f>HLOOKUP(B9445,#REF!,1,0)</f>
        <v>#REF!</v>
      </c>
      <c r="M9445" s="33" t="str">
        <f t="shared" si="591"/>
        <v>P&amp;L</v>
      </c>
    </row>
    <row r="9446" spans="1:13">
      <c r="A9446" s="33" t="str">
        <f t="shared" si="588"/>
        <v>SCL - Operating Expense</v>
      </c>
      <c r="B9446" s="33" t="str">
        <f t="shared" si="589"/>
        <v>SCL</v>
      </c>
      <c r="C9446" s="33" t="str">
        <f t="shared" si="590"/>
        <v>63504-7362</v>
      </c>
      <c r="D9446" s="64" t="s">
        <v>10696</v>
      </c>
      <c r="E9446" s="64" t="s">
        <v>3181</v>
      </c>
      <c r="F9446" s="64" t="s">
        <v>15</v>
      </c>
      <c r="G9446" s="64" t="s">
        <v>3160</v>
      </c>
      <c r="H9446" s="64" t="s">
        <v>3022</v>
      </c>
      <c r="I9446" s="64" t="s">
        <v>3182</v>
      </c>
      <c r="J9446" s="67">
        <v>0</v>
      </c>
      <c r="K9446" s="62">
        <v>1688.39</v>
      </c>
      <c r="L9446" s="33" t="e">
        <f>HLOOKUP(B9446,#REF!,1,0)</f>
        <v>#REF!</v>
      </c>
      <c r="M9446" s="33" t="str">
        <f t="shared" si="591"/>
        <v>P&amp;L</v>
      </c>
    </row>
    <row r="9447" spans="1:13">
      <c r="A9447" s="33" t="str">
        <f t="shared" si="588"/>
        <v>SCL - Operating Expense</v>
      </c>
      <c r="B9447" s="33" t="str">
        <f t="shared" si="589"/>
        <v>SCL</v>
      </c>
      <c r="C9447" s="33" t="str">
        <f t="shared" si="590"/>
        <v>63504-7363</v>
      </c>
      <c r="D9447" s="64" t="s">
        <v>10697</v>
      </c>
      <c r="E9447" s="64" t="s">
        <v>3181</v>
      </c>
      <c r="F9447" s="64" t="s">
        <v>15</v>
      </c>
      <c r="G9447" s="64" t="s">
        <v>3160</v>
      </c>
      <c r="H9447" s="64" t="s">
        <v>3022</v>
      </c>
      <c r="I9447" s="64" t="s">
        <v>3182</v>
      </c>
      <c r="J9447" s="67">
        <v>203.34</v>
      </c>
      <c r="K9447" s="62">
        <v>1250.45</v>
      </c>
      <c r="L9447" s="33" t="e">
        <f>HLOOKUP(B9447,#REF!,1,0)</f>
        <v>#REF!</v>
      </c>
      <c r="M9447" s="33" t="str">
        <f t="shared" si="591"/>
        <v>P&amp;L</v>
      </c>
    </row>
    <row r="9448" spans="1:13">
      <c r="A9448" s="33" t="str">
        <f t="shared" si="588"/>
        <v>SCL - Operating Expense</v>
      </c>
      <c r="B9448" s="33" t="str">
        <f t="shared" si="589"/>
        <v>SCL</v>
      </c>
      <c r="C9448" s="33" t="str">
        <f t="shared" si="590"/>
        <v>63504-7364</v>
      </c>
      <c r="D9448" s="64" t="s">
        <v>10698</v>
      </c>
      <c r="E9448" s="64" t="s">
        <v>3181</v>
      </c>
      <c r="F9448" s="64" t="s">
        <v>15</v>
      </c>
      <c r="G9448" s="64" t="s">
        <v>3160</v>
      </c>
      <c r="H9448" s="64" t="s">
        <v>3022</v>
      </c>
      <c r="I9448" s="64" t="s">
        <v>3182</v>
      </c>
      <c r="J9448" s="67">
        <v>405.82</v>
      </c>
      <c r="K9448" s="62">
        <v>4959.36</v>
      </c>
      <c r="L9448" s="33" t="e">
        <f>HLOOKUP(B9448,#REF!,1,0)</f>
        <v>#REF!</v>
      </c>
      <c r="M9448" s="33" t="str">
        <f t="shared" si="591"/>
        <v>P&amp;L</v>
      </c>
    </row>
    <row r="9449" spans="1:13">
      <c r="A9449" s="33" t="str">
        <f t="shared" si="588"/>
        <v>SCL - Operating Expense</v>
      </c>
      <c r="B9449" s="33" t="str">
        <f t="shared" si="589"/>
        <v>SCL</v>
      </c>
      <c r="C9449" s="33" t="str">
        <f t="shared" si="590"/>
        <v>63504-7365</v>
      </c>
      <c r="D9449" s="64" t="s">
        <v>10699</v>
      </c>
      <c r="E9449" s="64" t="s">
        <v>3181</v>
      </c>
      <c r="F9449" s="64" t="s">
        <v>15</v>
      </c>
      <c r="G9449" s="64" t="s">
        <v>3160</v>
      </c>
      <c r="H9449" s="64" t="s">
        <v>3022</v>
      </c>
      <c r="I9449" s="64" t="s">
        <v>3182</v>
      </c>
      <c r="J9449" s="67">
        <v>0</v>
      </c>
      <c r="K9449" s="62">
        <v>4255.24</v>
      </c>
      <c r="L9449" s="33" t="e">
        <f>HLOOKUP(B9449,#REF!,1,0)</f>
        <v>#REF!</v>
      </c>
      <c r="M9449" s="33" t="str">
        <f t="shared" si="591"/>
        <v>P&amp;L</v>
      </c>
    </row>
    <row r="9450" spans="1:13">
      <c r="A9450" s="33" t="str">
        <f t="shared" si="588"/>
        <v>SCL - Operating Expense</v>
      </c>
      <c r="B9450" s="33" t="str">
        <f t="shared" si="589"/>
        <v>SCL</v>
      </c>
      <c r="C9450" s="33" t="str">
        <f t="shared" si="590"/>
        <v>63504-7366</v>
      </c>
      <c r="D9450" s="64" t="s">
        <v>10700</v>
      </c>
      <c r="E9450" s="64" t="s">
        <v>3181</v>
      </c>
      <c r="F9450" s="64" t="s">
        <v>15</v>
      </c>
      <c r="G9450" s="64" t="s">
        <v>3160</v>
      </c>
      <c r="H9450" s="64" t="s">
        <v>3022</v>
      </c>
      <c r="I9450" s="64" t="s">
        <v>3182</v>
      </c>
      <c r="J9450" s="67">
        <v>576.02</v>
      </c>
      <c r="K9450" s="62">
        <v>5457.94</v>
      </c>
      <c r="L9450" s="33" t="e">
        <f>HLOOKUP(B9450,#REF!,1,0)</f>
        <v>#REF!</v>
      </c>
      <c r="M9450" s="33" t="str">
        <f t="shared" si="591"/>
        <v>P&amp;L</v>
      </c>
    </row>
    <row r="9451" spans="1:13">
      <c r="A9451" s="33" t="str">
        <f t="shared" si="588"/>
        <v>SCL - Operating Expense</v>
      </c>
      <c r="B9451" s="33" t="str">
        <f t="shared" si="589"/>
        <v>SCL</v>
      </c>
      <c r="C9451" s="33" t="str">
        <f t="shared" si="590"/>
        <v>63504-7368</v>
      </c>
      <c r="D9451" s="64" t="s">
        <v>10701</v>
      </c>
      <c r="E9451" s="64" t="s">
        <v>3181</v>
      </c>
      <c r="F9451" s="64" t="s">
        <v>15</v>
      </c>
      <c r="G9451" s="64" t="s">
        <v>3160</v>
      </c>
      <c r="H9451" s="64" t="s">
        <v>3022</v>
      </c>
      <c r="I9451" s="64" t="s">
        <v>3182</v>
      </c>
      <c r="J9451" s="67">
        <v>379.65</v>
      </c>
      <c r="K9451" s="62">
        <v>3713.38</v>
      </c>
      <c r="L9451" s="33" t="e">
        <f>HLOOKUP(B9451,#REF!,1,0)</f>
        <v>#REF!</v>
      </c>
      <c r="M9451" s="33" t="str">
        <f t="shared" si="591"/>
        <v>P&amp;L</v>
      </c>
    </row>
    <row r="9452" spans="1:13">
      <c r="A9452" s="33" t="str">
        <f t="shared" si="588"/>
        <v>SCL - Operating Expense</v>
      </c>
      <c r="B9452" s="33" t="str">
        <f t="shared" si="589"/>
        <v>SCL</v>
      </c>
      <c r="C9452" s="33" t="str">
        <f t="shared" si="590"/>
        <v>63504-7369</v>
      </c>
      <c r="D9452" s="64" t="s">
        <v>10702</v>
      </c>
      <c r="E9452" s="64" t="s">
        <v>3181</v>
      </c>
      <c r="F9452" s="64" t="s">
        <v>15</v>
      </c>
      <c r="G9452" s="64" t="s">
        <v>3160</v>
      </c>
      <c r="H9452" s="64" t="s">
        <v>3022</v>
      </c>
      <c r="I9452" s="64" t="s">
        <v>3182</v>
      </c>
      <c r="J9452" s="67">
        <v>387.96</v>
      </c>
      <c r="K9452" s="62">
        <v>3155.89</v>
      </c>
      <c r="L9452" s="33" t="e">
        <f>HLOOKUP(B9452,#REF!,1,0)</f>
        <v>#REF!</v>
      </c>
      <c r="M9452" s="33" t="str">
        <f t="shared" si="591"/>
        <v>P&amp;L</v>
      </c>
    </row>
    <row r="9453" spans="1:13">
      <c r="A9453" s="33" t="str">
        <f t="shared" si="588"/>
        <v>SCL - Operating Expense</v>
      </c>
      <c r="B9453" s="33" t="str">
        <f t="shared" si="589"/>
        <v>SCL</v>
      </c>
      <c r="C9453" s="33" t="str">
        <f t="shared" si="590"/>
        <v>63504-7371</v>
      </c>
      <c r="D9453" s="64" t="s">
        <v>10703</v>
      </c>
      <c r="E9453" s="64" t="s">
        <v>3181</v>
      </c>
      <c r="F9453" s="64" t="s">
        <v>15</v>
      </c>
      <c r="G9453" s="64" t="s">
        <v>3160</v>
      </c>
      <c r="H9453" s="64" t="s">
        <v>3022</v>
      </c>
      <c r="I9453" s="64" t="s">
        <v>3182</v>
      </c>
      <c r="J9453" s="67">
        <v>549.82</v>
      </c>
      <c r="K9453" s="62">
        <v>5451.58</v>
      </c>
      <c r="L9453" s="33" t="e">
        <f>HLOOKUP(B9453,#REF!,1,0)</f>
        <v>#REF!</v>
      </c>
      <c r="M9453" s="33" t="str">
        <f t="shared" si="591"/>
        <v>P&amp;L</v>
      </c>
    </row>
    <row r="9454" spans="1:13">
      <c r="A9454" s="33" t="str">
        <f t="shared" si="588"/>
        <v>SCL - Operating Expense</v>
      </c>
      <c r="B9454" s="33" t="str">
        <f t="shared" si="589"/>
        <v>SCL</v>
      </c>
      <c r="C9454" s="33" t="str">
        <f t="shared" si="590"/>
        <v>63504-7374</v>
      </c>
      <c r="D9454" s="64" t="s">
        <v>10704</v>
      </c>
      <c r="E9454" s="64" t="s">
        <v>3181</v>
      </c>
      <c r="F9454" s="64" t="s">
        <v>15</v>
      </c>
      <c r="G9454" s="64" t="s">
        <v>3160</v>
      </c>
      <c r="H9454" s="64" t="s">
        <v>3022</v>
      </c>
      <c r="I9454" s="64" t="s">
        <v>3182</v>
      </c>
      <c r="J9454" s="67">
        <v>601.62</v>
      </c>
      <c r="K9454" s="62">
        <v>6361.19</v>
      </c>
      <c r="L9454" s="33" t="e">
        <f>HLOOKUP(B9454,#REF!,1,0)</f>
        <v>#REF!</v>
      </c>
      <c r="M9454" s="33" t="str">
        <f t="shared" si="591"/>
        <v>P&amp;L</v>
      </c>
    </row>
    <row r="9455" spans="1:13">
      <c r="A9455" s="33" t="str">
        <f t="shared" si="588"/>
        <v>SCL - Operating Expense</v>
      </c>
      <c r="B9455" s="33" t="str">
        <f t="shared" si="589"/>
        <v>SCL</v>
      </c>
      <c r="C9455" s="33" t="str">
        <f t="shared" si="590"/>
        <v>63504-7375</v>
      </c>
      <c r="D9455" s="64" t="s">
        <v>10705</v>
      </c>
      <c r="E9455" s="64" t="s">
        <v>3181</v>
      </c>
      <c r="F9455" s="64" t="s">
        <v>15</v>
      </c>
      <c r="G9455" s="64" t="s">
        <v>3160</v>
      </c>
      <c r="H9455" s="64" t="s">
        <v>3022</v>
      </c>
      <c r="I9455" s="64" t="s">
        <v>3182</v>
      </c>
      <c r="J9455" s="67">
        <v>555.11</v>
      </c>
      <c r="K9455" s="62">
        <v>5204.3</v>
      </c>
      <c r="L9455" s="33" t="e">
        <f>HLOOKUP(B9455,#REF!,1,0)</f>
        <v>#REF!</v>
      </c>
      <c r="M9455" s="33" t="str">
        <f t="shared" si="591"/>
        <v>P&amp;L</v>
      </c>
    </row>
    <row r="9456" spans="1:13">
      <c r="A9456" s="33" t="str">
        <f t="shared" si="588"/>
        <v>SCL - Operating Expense</v>
      </c>
      <c r="B9456" s="33" t="str">
        <f t="shared" si="589"/>
        <v>SCL</v>
      </c>
      <c r="C9456" s="33" t="str">
        <f t="shared" si="590"/>
        <v>63504-7376</v>
      </c>
      <c r="D9456" s="64" t="s">
        <v>10706</v>
      </c>
      <c r="E9456" s="64" t="s">
        <v>3181</v>
      </c>
      <c r="F9456" s="64" t="s">
        <v>15</v>
      </c>
      <c r="G9456" s="64" t="s">
        <v>3160</v>
      </c>
      <c r="H9456" s="64" t="s">
        <v>3022</v>
      </c>
      <c r="I9456" s="64" t="s">
        <v>3182</v>
      </c>
      <c r="J9456" s="67">
        <v>693.81</v>
      </c>
      <c r="K9456" s="62">
        <v>5368.03</v>
      </c>
      <c r="L9456" s="33" t="e">
        <f>HLOOKUP(B9456,#REF!,1,0)</f>
        <v>#REF!</v>
      </c>
      <c r="M9456" s="33" t="str">
        <f t="shared" si="591"/>
        <v>P&amp;L</v>
      </c>
    </row>
    <row r="9457" spans="1:13">
      <c r="A9457" s="33" t="str">
        <f t="shared" si="588"/>
        <v>SCL - Operating Expense</v>
      </c>
      <c r="B9457" s="33" t="str">
        <f t="shared" si="589"/>
        <v>SCL</v>
      </c>
      <c r="C9457" s="33" t="str">
        <f t="shared" si="590"/>
        <v>63504-7377</v>
      </c>
      <c r="D9457" s="64" t="s">
        <v>10707</v>
      </c>
      <c r="E9457" s="64" t="s">
        <v>3181</v>
      </c>
      <c r="F9457" s="64" t="s">
        <v>15</v>
      </c>
      <c r="G9457" s="64" t="s">
        <v>3160</v>
      </c>
      <c r="H9457" s="64" t="s">
        <v>3022</v>
      </c>
      <c r="I9457" s="64" t="s">
        <v>3182</v>
      </c>
      <c r="J9457" s="67">
        <v>0</v>
      </c>
      <c r="K9457" s="62">
        <v>3057.22</v>
      </c>
      <c r="L9457" s="33" t="e">
        <f>HLOOKUP(B9457,#REF!,1,0)</f>
        <v>#REF!</v>
      </c>
      <c r="M9457" s="33" t="str">
        <f t="shared" si="591"/>
        <v>P&amp;L</v>
      </c>
    </row>
    <row r="9458" spans="1:13">
      <c r="A9458" s="33" t="str">
        <f t="shared" si="588"/>
        <v>SCL - Operating Expense</v>
      </c>
      <c r="B9458" s="33" t="str">
        <f t="shared" si="589"/>
        <v>SCL</v>
      </c>
      <c r="C9458" s="33" t="str">
        <f t="shared" si="590"/>
        <v>63504-7378</v>
      </c>
      <c r="D9458" s="64" t="s">
        <v>10708</v>
      </c>
      <c r="E9458" s="64" t="s">
        <v>3181</v>
      </c>
      <c r="F9458" s="64" t="s">
        <v>15</v>
      </c>
      <c r="G9458" s="64" t="s">
        <v>3160</v>
      </c>
      <c r="H9458" s="64" t="s">
        <v>3022</v>
      </c>
      <c r="I9458" s="64" t="s">
        <v>3182</v>
      </c>
      <c r="J9458" s="67">
        <v>458.2</v>
      </c>
      <c r="K9458" s="62">
        <v>8112.82</v>
      </c>
      <c r="L9458" s="33" t="e">
        <f>HLOOKUP(B9458,#REF!,1,0)</f>
        <v>#REF!</v>
      </c>
      <c r="M9458" s="33" t="str">
        <f t="shared" si="591"/>
        <v>P&amp;L</v>
      </c>
    </row>
    <row r="9459" spans="1:13">
      <c r="A9459" s="33" t="str">
        <f t="shared" si="588"/>
        <v>SCL - Operating Expense</v>
      </c>
      <c r="B9459" s="33" t="str">
        <f t="shared" si="589"/>
        <v>SCL</v>
      </c>
      <c r="C9459" s="33" t="str">
        <f t="shared" si="590"/>
        <v>63504-7379</v>
      </c>
      <c r="D9459" s="64" t="s">
        <v>10709</v>
      </c>
      <c r="E9459" s="64" t="s">
        <v>3181</v>
      </c>
      <c r="F9459" s="64" t="s">
        <v>15</v>
      </c>
      <c r="G9459" s="64" t="s">
        <v>3160</v>
      </c>
      <c r="H9459" s="64" t="s">
        <v>3022</v>
      </c>
      <c r="I9459" s="64" t="s">
        <v>3182</v>
      </c>
      <c r="J9459" s="67">
        <v>0</v>
      </c>
      <c r="K9459" s="62">
        <v>7607.07</v>
      </c>
      <c r="L9459" s="33" t="e">
        <f>HLOOKUP(B9459,#REF!,1,0)</f>
        <v>#REF!</v>
      </c>
      <c r="M9459" s="33" t="str">
        <f t="shared" si="591"/>
        <v>P&amp;L</v>
      </c>
    </row>
    <row r="9460" spans="1:13">
      <c r="A9460" s="33" t="str">
        <f t="shared" si="588"/>
        <v>SCL - Operating Expense</v>
      </c>
      <c r="B9460" s="33" t="str">
        <f t="shared" si="589"/>
        <v>SCL</v>
      </c>
      <c r="C9460" s="33" t="str">
        <f t="shared" si="590"/>
        <v>63504-7380</v>
      </c>
      <c r="D9460" s="64" t="s">
        <v>10710</v>
      </c>
      <c r="E9460" s="64" t="s">
        <v>3181</v>
      </c>
      <c r="F9460" s="64" t="s">
        <v>15</v>
      </c>
      <c r="G9460" s="64" t="s">
        <v>3160</v>
      </c>
      <c r="H9460" s="64" t="s">
        <v>3022</v>
      </c>
      <c r="I9460" s="64" t="s">
        <v>3182</v>
      </c>
      <c r="J9460" s="67">
        <v>616.38</v>
      </c>
      <c r="K9460" s="62">
        <v>2935.61</v>
      </c>
      <c r="L9460" s="33" t="e">
        <f>HLOOKUP(B9460,#REF!,1,0)</f>
        <v>#REF!</v>
      </c>
      <c r="M9460" s="33" t="str">
        <f t="shared" si="591"/>
        <v>P&amp;L</v>
      </c>
    </row>
    <row r="9461" spans="1:13">
      <c r="A9461" s="33" t="str">
        <f t="shared" si="588"/>
        <v>SCL - Operating Expense</v>
      </c>
      <c r="B9461" s="33" t="str">
        <f t="shared" si="589"/>
        <v>SCL</v>
      </c>
      <c r="C9461" s="33" t="str">
        <f t="shared" si="590"/>
        <v>63504-7381</v>
      </c>
      <c r="D9461" s="64" t="s">
        <v>10711</v>
      </c>
      <c r="E9461" s="64" t="s">
        <v>3181</v>
      </c>
      <c r="F9461" s="64" t="s">
        <v>15</v>
      </c>
      <c r="G9461" s="64" t="s">
        <v>3160</v>
      </c>
      <c r="H9461" s="64" t="s">
        <v>3022</v>
      </c>
      <c r="I9461" s="64" t="s">
        <v>3182</v>
      </c>
      <c r="J9461" s="67">
        <v>474.15</v>
      </c>
      <c r="K9461" s="62">
        <v>3914.7</v>
      </c>
      <c r="L9461" s="33" t="e">
        <f>HLOOKUP(B9461,#REF!,1,0)</f>
        <v>#REF!</v>
      </c>
      <c r="M9461" s="33" t="str">
        <f t="shared" si="591"/>
        <v>P&amp;L</v>
      </c>
    </row>
    <row r="9462" spans="1:13">
      <c r="A9462" s="33" t="str">
        <f t="shared" si="588"/>
        <v>SCL - Operating Expense</v>
      </c>
      <c r="B9462" s="33" t="str">
        <f t="shared" si="589"/>
        <v>SCL</v>
      </c>
      <c r="C9462" s="33" t="str">
        <f t="shared" si="590"/>
        <v>63504-7383</v>
      </c>
      <c r="D9462" s="64" t="s">
        <v>10712</v>
      </c>
      <c r="E9462" s="64" t="s">
        <v>3181</v>
      </c>
      <c r="F9462" s="64" t="s">
        <v>15</v>
      </c>
      <c r="G9462" s="64" t="s">
        <v>3160</v>
      </c>
      <c r="H9462" s="64" t="s">
        <v>3022</v>
      </c>
      <c r="I9462" s="64" t="s">
        <v>3182</v>
      </c>
      <c r="J9462" s="67">
        <v>720.01</v>
      </c>
      <c r="K9462" s="62">
        <v>6150.07</v>
      </c>
      <c r="L9462" s="33" t="e">
        <f>HLOOKUP(B9462,#REF!,1,0)</f>
        <v>#REF!</v>
      </c>
      <c r="M9462" s="33" t="str">
        <f t="shared" si="591"/>
        <v>P&amp;L</v>
      </c>
    </row>
    <row r="9463" spans="1:13">
      <c r="A9463" s="33" t="str">
        <f t="shared" si="588"/>
        <v>SCL - Operating Expense</v>
      </c>
      <c r="B9463" s="33" t="str">
        <f t="shared" si="589"/>
        <v>SCL</v>
      </c>
      <c r="C9463" s="33" t="str">
        <f t="shared" si="590"/>
        <v>63504-7385</v>
      </c>
      <c r="D9463" s="64" t="s">
        <v>10713</v>
      </c>
      <c r="E9463" s="64" t="s">
        <v>3181</v>
      </c>
      <c r="F9463" s="64" t="s">
        <v>15</v>
      </c>
      <c r="G9463" s="64" t="s">
        <v>3160</v>
      </c>
      <c r="H9463" s="64" t="s">
        <v>3022</v>
      </c>
      <c r="I9463" s="64" t="s">
        <v>3182</v>
      </c>
      <c r="J9463" s="67">
        <v>473.71</v>
      </c>
      <c r="K9463" s="62">
        <v>2312.29</v>
      </c>
      <c r="L9463" s="33" t="e">
        <f>HLOOKUP(B9463,#REF!,1,0)</f>
        <v>#REF!</v>
      </c>
      <c r="M9463" s="33" t="str">
        <f t="shared" si="591"/>
        <v>P&amp;L</v>
      </c>
    </row>
    <row r="9464" spans="1:13">
      <c r="A9464" s="33" t="str">
        <f t="shared" si="588"/>
        <v>SCL - Operating Expense</v>
      </c>
      <c r="B9464" s="33" t="str">
        <f t="shared" si="589"/>
        <v>SCL</v>
      </c>
      <c r="C9464" s="33" t="str">
        <f t="shared" si="590"/>
        <v>63504-7386</v>
      </c>
      <c r="D9464" s="64" t="s">
        <v>10714</v>
      </c>
      <c r="E9464" s="64" t="s">
        <v>3181</v>
      </c>
      <c r="F9464" s="64" t="s">
        <v>15</v>
      </c>
      <c r="G9464" s="64" t="s">
        <v>3160</v>
      </c>
      <c r="H9464" s="64" t="s">
        <v>3022</v>
      </c>
      <c r="I9464" s="64" t="s">
        <v>3182</v>
      </c>
      <c r="J9464" s="67">
        <v>281.21</v>
      </c>
      <c r="K9464" s="62">
        <v>2882.1</v>
      </c>
      <c r="L9464" s="33" t="e">
        <f>HLOOKUP(B9464,#REF!,1,0)</f>
        <v>#REF!</v>
      </c>
      <c r="M9464" s="33" t="str">
        <f t="shared" si="591"/>
        <v>P&amp;L</v>
      </c>
    </row>
    <row r="9465" spans="1:13">
      <c r="A9465" s="33" t="str">
        <f t="shared" si="588"/>
        <v>SCL - Operating Expense</v>
      </c>
      <c r="B9465" s="33" t="str">
        <f t="shared" si="589"/>
        <v>SCL</v>
      </c>
      <c r="C9465" s="33" t="str">
        <f t="shared" si="590"/>
        <v>63504-7387</v>
      </c>
      <c r="D9465" s="64" t="s">
        <v>10715</v>
      </c>
      <c r="E9465" s="64" t="s">
        <v>3181</v>
      </c>
      <c r="F9465" s="64" t="s">
        <v>15</v>
      </c>
      <c r="G9465" s="64" t="s">
        <v>3160</v>
      </c>
      <c r="H9465" s="64" t="s">
        <v>3022</v>
      </c>
      <c r="I9465" s="64" t="s">
        <v>3182</v>
      </c>
      <c r="J9465" s="67">
        <v>353.46</v>
      </c>
      <c r="K9465" s="62">
        <v>3600.23</v>
      </c>
      <c r="L9465" s="33" t="e">
        <f>HLOOKUP(B9465,#REF!,1,0)</f>
        <v>#REF!</v>
      </c>
      <c r="M9465" s="33" t="str">
        <f t="shared" si="591"/>
        <v>P&amp;L</v>
      </c>
    </row>
    <row r="9466" spans="1:13">
      <c r="A9466" s="33" t="str">
        <f t="shared" si="588"/>
        <v>SCL - Operating Expense</v>
      </c>
      <c r="B9466" s="33" t="str">
        <f t="shared" si="589"/>
        <v>SCL</v>
      </c>
      <c r="C9466" s="33" t="str">
        <f t="shared" si="590"/>
        <v>63504-7389</v>
      </c>
      <c r="D9466" s="64" t="s">
        <v>10716</v>
      </c>
      <c r="E9466" s="64" t="s">
        <v>3181</v>
      </c>
      <c r="F9466" s="64" t="s">
        <v>15</v>
      </c>
      <c r="G9466" s="64" t="s">
        <v>3160</v>
      </c>
      <c r="H9466" s="64" t="s">
        <v>3022</v>
      </c>
      <c r="I9466" s="64" t="s">
        <v>3182</v>
      </c>
      <c r="J9466" s="67">
        <v>1230.57</v>
      </c>
      <c r="K9466" s="62">
        <v>6831.44</v>
      </c>
      <c r="L9466" s="33" t="e">
        <f>HLOOKUP(B9466,#REF!,1,0)</f>
        <v>#REF!</v>
      </c>
      <c r="M9466" s="33" t="str">
        <f t="shared" si="591"/>
        <v>P&amp;L</v>
      </c>
    </row>
    <row r="9467" spans="1:13">
      <c r="A9467" s="33" t="str">
        <f t="shared" si="588"/>
        <v>SCL - Operating Expense</v>
      </c>
      <c r="B9467" s="33" t="str">
        <f t="shared" si="589"/>
        <v>SCL</v>
      </c>
      <c r="C9467" s="33" t="str">
        <f t="shared" si="590"/>
        <v>63504-7391</v>
      </c>
      <c r="D9467" s="64" t="s">
        <v>10717</v>
      </c>
      <c r="E9467" s="64" t="s">
        <v>3181</v>
      </c>
      <c r="F9467" s="64" t="s">
        <v>15</v>
      </c>
      <c r="G9467" s="64" t="s">
        <v>3160</v>
      </c>
      <c r="H9467" s="64" t="s">
        <v>3022</v>
      </c>
      <c r="I9467" s="64" t="s">
        <v>3182</v>
      </c>
      <c r="J9467" s="67">
        <v>362.2</v>
      </c>
      <c r="K9467" s="62">
        <v>6271.02</v>
      </c>
      <c r="L9467" s="33" t="e">
        <f>HLOOKUP(B9467,#REF!,1,0)</f>
        <v>#REF!</v>
      </c>
      <c r="M9467" s="33" t="str">
        <f t="shared" si="591"/>
        <v>P&amp;L</v>
      </c>
    </row>
    <row r="9468" spans="1:13">
      <c r="A9468" s="33" t="str">
        <f t="shared" si="588"/>
        <v>SCL - Operating Expense</v>
      </c>
      <c r="B9468" s="33" t="str">
        <f t="shared" si="589"/>
        <v>SCL</v>
      </c>
      <c r="C9468" s="33" t="str">
        <f t="shared" si="590"/>
        <v>63504-7393</v>
      </c>
      <c r="D9468" s="64" t="s">
        <v>10718</v>
      </c>
      <c r="E9468" s="64" t="s">
        <v>3181</v>
      </c>
      <c r="F9468" s="64" t="s">
        <v>15</v>
      </c>
      <c r="G9468" s="64" t="s">
        <v>3160</v>
      </c>
      <c r="H9468" s="64" t="s">
        <v>3022</v>
      </c>
      <c r="I9468" s="64" t="s">
        <v>3182</v>
      </c>
      <c r="J9468" s="67">
        <v>182.98</v>
      </c>
      <c r="K9468" s="62">
        <v>1701.17</v>
      </c>
      <c r="L9468" s="33" t="e">
        <f>HLOOKUP(B9468,#REF!,1,0)</f>
        <v>#REF!</v>
      </c>
      <c r="M9468" s="33" t="str">
        <f t="shared" si="591"/>
        <v>P&amp;L</v>
      </c>
    </row>
    <row r="9469" spans="1:13">
      <c r="A9469" s="33" t="str">
        <f t="shared" si="588"/>
        <v>SCL - Operating Expense</v>
      </c>
      <c r="B9469" s="33" t="str">
        <f t="shared" si="589"/>
        <v>SCL</v>
      </c>
      <c r="C9469" s="33" t="str">
        <f t="shared" si="590"/>
        <v>63504-7394</v>
      </c>
      <c r="D9469" s="64" t="s">
        <v>10719</v>
      </c>
      <c r="E9469" s="64" t="s">
        <v>3181</v>
      </c>
      <c r="F9469" s="64" t="s">
        <v>15</v>
      </c>
      <c r="G9469" s="64" t="s">
        <v>3160</v>
      </c>
      <c r="H9469" s="64" t="s">
        <v>3022</v>
      </c>
      <c r="I9469" s="64" t="s">
        <v>3182</v>
      </c>
      <c r="J9469" s="67">
        <v>0</v>
      </c>
      <c r="K9469" s="62">
        <v>3427.07</v>
      </c>
      <c r="L9469" s="33" t="e">
        <f>HLOOKUP(B9469,#REF!,1,0)</f>
        <v>#REF!</v>
      </c>
      <c r="M9469" s="33" t="str">
        <f t="shared" si="591"/>
        <v>P&amp;L</v>
      </c>
    </row>
    <row r="9470" spans="1:13">
      <c r="A9470" s="33" t="str">
        <f t="shared" si="588"/>
        <v>SCL - Operating Expense</v>
      </c>
      <c r="B9470" s="33" t="str">
        <f t="shared" si="589"/>
        <v>SCL</v>
      </c>
      <c r="C9470" s="33" t="str">
        <f t="shared" si="590"/>
        <v>63504-7396</v>
      </c>
      <c r="D9470" s="64" t="s">
        <v>10720</v>
      </c>
      <c r="E9470" s="64" t="s">
        <v>3181</v>
      </c>
      <c r="F9470" s="64" t="s">
        <v>15</v>
      </c>
      <c r="G9470" s="64" t="s">
        <v>3160</v>
      </c>
      <c r="H9470" s="64" t="s">
        <v>3022</v>
      </c>
      <c r="I9470" s="64" t="s">
        <v>3182</v>
      </c>
      <c r="J9470" s="67">
        <v>591.2</v>
      </c>
      <c r="K9470" s="62">
        <v>5510.95</v>
      </c>
      <c r="L9470" s="33" t="e">
        <f>HLOOKUP(B9470,#REF!,1,0)</f>
        <v>#REF!</v>
      </c>
      <c r="M9470" s="33" t="str">
        <f t="shared" si="591"/>
        <v>P&amp;L</v>
      </c>
    </row>
    <row r="9471" spans="1:13">
      <c r="A9471" s="33" t="str">
        <f t="shared" si="588"/>
        <v>SCL - Operating Expense</v>
      </c>
      <c r="B9471" s="33" t="str">
        <f t="shared" si="589"/>
        <v>SCL</v>
      </c>
      <c r="C9471" s="33" t="str">
        <f t="shared" si="590"/>
        <v>63504-7397</v>
      </c>
      <c r="D9471" s="64" t="s">
        <v>10721</v>
      </c>
      <c r="E9471" s="64" t="s">
        <v>3181</v>
      </c>
      <c r="F9471" s="64" t="s">
        <v>15</v>
      </c>
      <c r="G9471" s="64" t="s">
        <v>3160</v>
      </c>
      <c r="H9471" s="64" t="s">
        <v>3022</v>
      </c>
      <c r="I9471" s="64" t="s">
        <v>3182</v>
      </c>
      <c r="J9471" s="67">
        <v>0</v>
      </c>
      <c r="K9471" s="62">
        <v>8086.14</v>
      </c>
      <c r="L9471" s="33" t="e">
        <f>HLOOKUP(B9471,#REF!,1,0)</f>
        <v>#REF!</v>
      </c>
      <c r="M9471" s="33" t="str">
        <f t="shared" si="591"/>
        <v>P&amp;L</v>
      </c>
    </row>
    <row r="9472" spans="1:13">
      <c r="A9472" s="33" t="str">
        <f t="shared" si="588"/>
        <v>SCL - Operating Expense</v>
      </c>
      <c r="B9472" s="33" t="str">
        <f t="shared" si="589"/>
        <v>SCL</v>
      </c>
      <c r="C9472" s="33" t="str">
        <f t="shared" si="590"/>
        <v>63504-7398</v>
      </c>
      <c r="D9472" s="64" t="s">
        <v>10722</v>
      </c>
      <c r="E9472" s="64" t="s">
        <v>3181</v>
      </c>
      <c r="F9472" s="64" t="s">
        <v>15</v>
      </c>
      <c r="G9472" s="64" t="s">
        <v>3160</v>
      </c>
      <c r="H9472" s="64" t="s">
        <v>3022</v>
      </c>
      <c r="I9472" s="64" t="s">
        <v>3182</v>
      </c>
      <c r="J9472" s="67">
        <v>161.76</v>
      </c>
      <c r="K9472" s="62">
        <v>1574.85</v>
      </c>
      <c r="L9472" s="33" t="e">
        <f>HLOOKUP(B9472,#REF!,1,0)</f>
        <v>#REF!</v>
      </c>
      <c r="M9472" s="33" t="str">
        <f t="shared" si="591"/>
        <v>P&amp;L</v>
      </c>
    </row>
    <row r="9473" spans="1:13">
      <c r="A9473" s="33" t="str">
        <f t="shared" si="588"/>
        <v>SCL - Operating Expense</v>
      </c>
      <c r="B9473" s="33" t="str">
        <f t="shared" si="589"/>
        <v>SCL</v>
      </c>
      <c r="C9473" s="33" t="str">
        <f t="shared" si="590"/>
        <v>63504-7400</v>
      </c>
      <c r="D9473" s="64" t="s">
        <v>10723</v>
      </c>
      <c r="E9473" s="64" t="s">
        <v>3181</v>
      </c>
      <c r="F9473" s="64" t="s">
        <v>15</v>
      </c>
      <c r="G9473" s="64" t="s">
        <v>3160</v>
      </c>
      <c r="H9473" s="64" t="s">
        <v>3022</v>
      </c>
      <c r="I9473" s="64" t="s">
        <v>3182</v>
      </c>
      <c r="J9473" s="67">
        <v>0</v>
      </c>
      <c r="K9473" s="62">
        <v>14795.48</v>
      </c>
      <c r="L9473" s="33" t="e">
        <f>HLOOKUP(B9473,#REF!,1,0)</f>
        <v>#REF!</v>
      </c>
      <c r="M9473" s="33" t="str">
        <f t="shared" si="591"/>
        <v>P&amp;L</v>
      </c>
    </row>
    <row r="9474" spans="1:13">
      <c r="A9474" s="33" t="str">
        <f t="shared" ref="A9474:A9537" si="592">B9474&amp;" - "&amp;TRIM(H9474)</f>
        <v>SCL - Operating Expense</v>
      </c>
      <c r="B9474" s="33" t="str">
        <f t="shared" ref="B9474:B9537" si="593">LEFT(D9474,3)</f>
        <v>SCL</v>
      </c>
      <c r="C9474" s="33" t="str">
        <f t="shared" ref="C9474:C9537" si="594">RIGHT(D9474,10)</f>
        <v>63504-7401</v>
      </c>
      <c r="D9474" s="64" t="s">
        <v>10724</v>
      </c>
      <c r="E9474" s="64" t="s">
        <v>3181</v>
      </c>
      <c r="F9474" s="64" t="s">
        <v>15</v>
      </c>
      <c r="G9474" s="64" t="s">
        <v>3160</v>
      </c>
      <c r="H9474" s="64" t="s">
        <v>3022</v>
      </c>
      <c r="I9474" s="64" t="s">
        <v>3182</v>
      </c>
      <c r="J9474" s="67">
        <v>1008.02</v>
      </c>
      <c r="K9474" s="62">
        <v>9437.98</v>
      </c>
      <c r="L9474" s="33" t="e">
        <f>HLOOKUP(B9474,#REF!,1,0)</f>
        <v>#REF!</v>
      </c>
      <c r="M9474" s="33" t="str">
        <f t="shared" ref="M9474:M9537" si="595">IF(VALUE(LEFT(C9474,5))&gt;40000,"P&amp;L","BS")</f>
        <v>P&amp;L</v>
      </c>
    </row>
    <row r="9475" spans="1:13">
      <c r="A9475" s="33" t="str">
        <f t="shared" si="592"/>
        <v>SCL - Operating Expense</v>
      </c>
      <c r="B9475" s="33" t="str">
        <f t="shared" si="593"/>
        <v>SCL</v>
      </c>
      <c r="C9475" s="33" t="str">
        <f t="shared" si="594"/>
        <v>63504-7402</v>
      </c>
      <c r="D9475" s="64" t="s">
        <v>10725</v>
      </c>
      <c r="E9475" s="64" t="s">
        <v>3181</v>
      </c>
      <c r="F9475" s="64" t="s">
        <v>15</v>
      </c>
      <c r="G9475" s="64" t="s">
        <v>3160</v>
      </c>
      <c r="H9475" s="64" t="s">
        <v>3022</v>
      </c>
      <c r="I9475" s="64" t="s">
        <v>3182</v>
      </c>
      <c r="J9475" s="67">
        <v>824.72</v>
      </c>
      <c r="K9475" s="62">
        <v>7814.99</v>
      </c>
      <c r="L9475" s="33" t="e">
        <f>HLOOKUP(B9475,#REF!,1,0)</f>
        <v>#REF!</v>
      </c>
      <c r="M9475" s="33" t="str">
        <f t="shared" si="595"/>
        <v>P&amp;L</v>
      </c>
    </row>
    <row r="9476" spans="1:13">
      <c r="A9476" s="33" t="str">
        <f t="shared" si="592"/>
        <v>SCL - Operating Expense</v>
      </c>
      <c r="B9476" s="33" t="str">
        <f t="shared" si="593"/>
        <v>SCL</v>
      </c>
      <c r="C9476" s="33" t="str">
        <f t="shared" si="594"/>
        <v>63504-7403</v>
      </c>
      <c r="D9476" s="64" t="s">
        <v>10726</v>
      </c>
      <c r="E9476" s="64" t="s">
        <v>3181</v>
      </c>
      <c r="F9476" s="64" t="s">
        <v>15</v>
      </c>
      <c r="G9476" s="64" t="s">
        <v>3160</v>
      </c>
      <c r="H9476" s="64" t="s">
        <v>3022</v>
      </c>
      <c r="I9476" s="64" t="s">
        <v>3182</v>
      </c>
      <c r="J9476" s="67">
        <v>274.9</v>
      </c>
      <c r="K9476" s="62">
        <v>2807.94</v>
      </c>
      <c r="L9476" s="33" t="e">
        <f>HLOOKUP(B9476,#REF!,1,0)</f>
        <v>#REF!</v>
      </c>
      <c r="M9476" s="33" t="str">
        <f t="shared" si="595"/>
        <v>P&amp;L</v>
      </c>
    </row>
    <row r="9477" spans="1:13">
      <c r="A9477" s="33" t="str">
        <f t="shared" si="592"/>
        <v>SCL - Operating Expense</v>
      </c>
      <c r="B9477" s="33" t="str">
        <f t="shared" si="593"/>
        <v>SCL</v>
      </c>
      <c r="C9477" s="33" t="str">
        <f t="shared" si="594"/>
        <v>63504-7489</v>
      </c>
      <c r="D9477" s="64" t="s">
        <v>10727</v>
      </c>
      <c r="E9477" s="64" t="s">
        <v>3181</v>
      </c>
      <c r="F9477" s="64" t="s">
        <v>15</v>
      </c>
      <c r="G9477" s="64" t="s">
        <v>3160</v>
      </c>
      <c r="H9477" s="64" t="s">
        <v>3022</v>
      </c>
      <c r="I9477" s="64" t="s">
        <v>3182</v>
      </c>
      <c r="J9477" s="67">
        <v>811.01</v>
      </c>
      <c r="K9477" s="62">
        <v>7835.54</v>
      </c>
      <c r="L9477" s="33" t="e">
        <f>HLOOKUP(B9477,#REF!,1,0)</f>
        <v>#REF!</v>
      </c>
      <c r="M9477" s="33" t="str">
        <f t="shared" si="595"/>
        <v>P&amp;L</v>
      </c>
    </row>
    <row r="9478" spans="1:13">
      <c r="A9478" s="33" t="str">
        <f t="shared" si="592"/>
        <v>SCL - Operating Expense</v>
      </c>
      <c r="B9478" s="33" t="str">
        <f t="shared" si="593"/>
        <v>SCL</v>
      </c>
      <c r="C9478" s="33" t="str">
        <f t="shared" si="594"/>
        <v>63504-7491</v>
      </c>
      <c r="D9478" s="64" t="s">
        <v>10728</v>
      </c>
      <c r="E9478" s="64" t="s">
        <v>3181</v>
      </c>
      <c r="F9478" s="64" t="s">
        <v>15</v>
      </c>
      <c r="G9478" s="64" t="s">
        <v>3160</v>
      </c>
      <c r="H9478" s="64" t="s">
        <v>3022</v>
      </c>
      <c r="I9478" s="64" t="s">
        <v>3182</v>
      </c>
      <c r="J9478" s="67">
        <v>335.8</v>
      </c>
      <c r="K9478" s="62">
        <v>3777.33</v>
      </c>
      <c r="L9478" s="33" t="e">
        <f>HLOOKUP(B9478,#REF!,1,0)</f>
        <v>#REF!</v>
      </c>
      <c r="M9478" s="33" t="str">
        <f t="shared" si="595"/>
        <v>P&amp;L</v>
      </c>
    </row>
    <row r="9479" spans="1:13">
      <c r="A9479" s="33" t="str">
        <f t="shared" si="592"/>
        <v>SCL - Operating Expense</v>
      </c>
      <c r="B9479" s="33" t="str">
        <f t="shared" si="593"/>
        <v>SCL</v>
      </c>
      <c r="C9479" s="33" t="str">
        <f t="shared" si="594"/>
        <v>63504-7492</v>
      </c>
      <c r="D9479" s="64" t="s">
        <v>10729</v>
      </c>
      <c r="E9479" s="64" t="s">
        <v>3181</v>
      </c>
      <c r="F9479" s="64" t="s">
        <v>15</v>
      </c>
      <c r="G9479" s="64" t="s">
        <v>3160</v>
      </c>
      <c r="H9479" s="64" t="s">
        <v>3022</v>
      </c>
      <c r="I9479" s="64" t="s">
        <v>3182</v>
      </c>
      <c r="J9479" s="67">
        <v>893.75</v>
      </c>
      <c r="K9479" s="62">
        <v>3874.45</v>
      </c>
      <c r="L9479" s="33" t="e">
        <f>HLOOKUP(B9479,#REF!,1,0)</f>
        <v>#REF!</v>
      </c>
      <c r="M9479" s="33" t="str">
        <f t="shared" si="595"/>
        <v>P&amp;L</v>
      </c>
    </row>
    <row r="9480" spans="1:13">
      <c r="A9480" s="33" t="str">
        <f t="shared" si="592"/>
        <v>SCL - Operating Expense</v>
      </c>
      <c r="B9480" s="33" t="str">
        <f t="shared" si="593"/>
        <v>SCL</v>
      </c>
      <c r="C9480" s="33" t="str">
        <f t="shared" si="594"/>
        <v>63504-7493</v>
      </c>
      <c r="D9480" s="64" t="s">
        <v>10730</v>
      </c>
      <c r="E9480" s="64" t="s">
        <v>3181</v>
      </c>
      <c r="F9480" s="64" t="s">
        <v>15</v>
      </c>
      <c r="G9480" s="64" t="s">
        <v>3160</v>
      </c>
      <c r="H9480" s="64" t="s">
        <v>3022</v>
      </c>
      <c r="I9480" s="64" t="s">
        <v>3182</v>
      </c>
      <c r="J9480" s="67">
        <v>340.35</v>
      </c>
      <c r="K9480" s="62">
        <v>3672.79</v>
      </c>
      <c r="L9480" s="33" t="e">
        <f>HLOOKUP(B9480,#REF!,1,0)</f>
        <v>#REF!</v>
      </c>
      <c r="M9480" s="33" t="str">
        <f t="shared" si="595"/>
        <v>P&amp;L</v>
      </c>
    </row>
    <row r="9481" spans="1:13">
      <c r="A9481" s="33" t="str">
        <f t="shared" si="592"/>
        <v>SCL - Operating Expense</v>
      </c>
      <c r="B9481" s="33" t="str">
        <f t="shared" si="593"/>
        <v>SCL</v>
      </c>
      <c r="C9481" s="33" t="str">
        <f t="shared" si="594"/>
        <v>63504-7494</v>
      </c>
      <c r="D9481" s="64" t="s">
        <v>10731</v>
      </c>
      <c r="E9481" s="64" t="s">
        <v>3181</v>
      </c>
      <c r="F9481" s="64" t="s">
        <v>15</v>
      </c>
      <c r="G9481" s="64" t="s">
        <v>3160</v>
      </c>
      <c r="H9481" s="64" t="s">
        <v>3022</v>
      </c>
      <c r="I9481" s="64" t="s">
        <v>3182</v>
      </c>
      <c r="J9481" s="67">
        <v>731.52</v>
      </c>
      <c r="K9481" s="62">
        <v>7024.07</v>
      </c>
      <c r="L9481" s="33" t="e">
        <f>HLOOKUP(B9481,#REF!,1,0)</f>
        <v>#REF!</v>
      </c>
      <c r="M9481" s="33" t="str">
        <f t="shared" si="595"/>
        <v>P&amp;L</v>
      </c>
    </row>
    <row r="9482" spans="1:13">
      <c r="A9482" s="33" t="str">
        <f t="shared" si="592"/>
        <v>SCL - Operating Expense</v>
      </c>
      <c r="B9482" s="33" t="str">
        <f t="shared" si="593"/>
        <v>SCL</v>
      </c>
      <c r="C9482" s="33" t="str">
        <f t="shared" si="594"/>
        <v>63504-7625</v>
      </c>
      <c r="D9482" s="64" t="s">
        <v>10732</v>
      </c>
      <c r="E9482" s="64" t="s">
        <v>3181</v>
      </c>
      <c r="F9482" s="64" t="s">
        <v>15</v>
      </c>
      <c r="G9482" s="64" t="s">
        <v>3160</v>
      </c>
      <c r="H9482" s="64" t="s">
        <v>3022</v>
      </c>
      <c r="I9482" s="64" t="s">
        <v>3182</v>
      </c>
      <c r="J9482" s="67">
        <v>1060.35</v>
      </c>
      <c r="K9482" s="62">
        <v>10159.93</v>
      </c>
      <c r="L9482" s="33" t="e">
        <f>HLOOKUP(B9482,#REF!,1,0)</f>
        <v>#REF!</v>
      </c>
      <c r="M9482" s="33" t="str">
        <f t="shared" si="595"/>
        <v>P&amp;L</v>
      </c>
    </row>
    <row r="9483" spans="1:13">
      <c r="A9483" s="33" t="str">
        <f t="shared" si="592"/>
        <v>SCL - Operating Expense</v>
      </c>
      <c r="B9483" s="33" t="str">
        <f t="shared" si="593"/>
        <v>SCL</v>
      </c>
      <c r="C9483" s="33" t="str">
        <f t="shared" si="594"/>
        <v>63504-8150</v>
      </c>
      <c r="D9483" s="64" t="s">
        <v>10733</v>
      </c>
      <c r="E9483" s="64" t="s">
        <v>3181</v>
      </c>
      <c r="F9483" s="64" t="s">
        <v>15</v>
      </c>
      <c r="G9483" s="64" t="s">
        <v>3160</v>
      </c>
      <c r="H9483" s="64" t="s">
        <v>3022</v>
      </c>
      <c r="I9483" s="64" t="s">
        <v>3182</v>
      </c>
      <c r="J9483" s="67">
        <v>770.07</v>
      </c>
      <c r="K9483" s="62">
        <v>8558.27</v>
      </c>
      <c r="L9483" s="33" t="e">
        <f>HLOOKUP(B9483,#REF!,1,0)</f>
        <v>#REF!</v>
      </c>
      <c r="M9483" s="33" t="str">
        <f t="shared" si="595"/>
        <v>P&amp;L</v>
      </c>
    </row>
    <row r="9484" spans="1:13">
      <c r="A9484" s="33" t="str">
        <f t="shared" si="592"/>
        <v>SCL - Operating Expense</v>
      </c>
      <c r="B9484" s="33" t="str">
        <f t="shared" si="593"/>
        <v>SCL</v>
      </c>
      <c r="C9484" s="33" t="str">
        <f t="shared" si="594"/>
        <v>64001-7351</v>
      </c>
      <c r="D9484" s="64" t="s">
        <v>10734</v>
      </c>
      <c r="E9484" s="64" t="s">
        <v>5031</v>
      </c>
      <c r="F9484" s="64" t="s">
        <v>15</v>
      </c>
      <c r="G9484" s="64" t="s">
        <v>3044</v>
      </c>
      <c r="H9484" s="64" t="s">
        <v>3022</v>
      </c>
      <c r="I9484" s="64" t="s">
        <v>5032</v>
      </c>
      <c r="J9484" s="67">
        <v>473.32</v>
      </c>
      <c r="K9484" s="62">
        <v>4620.54</v>
      </c>
      <c r="L9484" s="33" t="e">
        <f>HLOOKUP(B9484,#REF!,1,0)</f>
        <v>#REF!</v>
      </c>
      <c r="M9484" s="33" t="str">
        <f t="shared" si="595"/>
        <v>P&amp;L</v>
      </c>
    </row>
    <row r="9485" spans="1:13">
      <c r="A9485" s="33" t="str">
        <f t="shared" si="592"/>
        <v>SCL - Operating Expense</v>
      </c>
      <c r="B9485" s="33" t="str">
        <f t="shared" si="593"/>
        <v>SCL</v>
      </c>
      <c r="C9485" s="33" t="str">
        <f t="shared" si="594"/>
        <v>64001-7352</v>
      </c>
      <c r="D9485" s="64" t="s">
        <v>10735</v>
      </c>
      <c r="E9485" s="64" t="s">
        <v>5031</v>
      </c>
      <c r="F9485" s="64" t="s">
        <v>15</v>
      </c>
      <c r="G9485" s="64" t="s">
        <v>3044</v>
      </c>
      <c r="H9485" s="64" t="s">
        <v>3022</v>
      </c>
      <c r="I9485" s="64" t="s">
        <v>5032</v>
      </c>
      <c r="J9485" s="67">
        <v>473.32</v>
      </c>
      <c r="K9485" s="62">
        <v>4620.54</v>
      </c>
      <c r="L9485" s="33" t="e">
        <f>HLOOKUP(B9485,#REF!,1,0)</f>
        <v>#REF!</v>
      </c>
      <c r="M9485" s="33" t="str">
        <f t="shared" si="595"/>
        <v>P&amp;L</v>
      </c>
    </row>
    <row r="9486" spans="1:13">
      <c r="A9486" s="33" t="str">
        <f t="shared" si="592"/>
        <v>SCL - Operating Expense</v>
      </c>
      <c r="B9486" s="33" t="str">
        <f t="shared" si="593"/>
        <v>SCL</v>
      </c>
      <c r="C9486" s="33" t="str">
        <f t="shared" si="594"/>
        <v>64001-7355</v>
      </c>
      <c r="D9486" s="64" t="s">
        <v>10736</v>
      </c>
      <c r="E9486" s="64" t="s">
        <v>5031</v>
      </c>
      <c r="F9486" s="64" t="s">
        <v>15</v>
      </c>
      <c r="G9486" s="64" t="s">
        <v>3044</v>
      </c>
      <c r="H9486" s="64" t="s">
        <v>3022</v>
      </c>
      <c r="I9486" s="64" t="s">
        <v>5032</v>
      </c>
      <c r="J9486" s="67">
        <v>473.32</v>
      </c>
      <c r="K9486" s="62">
        <v>4620.54</v>
      </c>
      <c r="L9486" s="33" t="e">
        <f>HLOOKUP(B9486,#REF!,1,0)</f>
        <v>#REF!</v>
      </c>
      <c r="M9486" s="33" t="str">
        <f t="shared" si="595"/>
        <v>P&amp;L</v>
      </c>
    </row>
    <row r="9487" spans="1:13">
      <c r="A9487" s="33" t="str">
        <f t="shared" si="592"/>
        <v>SCL - Operating Expense</v>
      </c>
      <c r="B9487" s="33" t="str">
        <f t="shared" si="593"/>
        <v>SCL</v>
      </c>
      <c r="C9487" s="33" t="str">
        <f t="shared" si="594"/>
        <v>64001-7356</v>
      </c>
      <c r="D9487" s="64" t="s">
        <v>10737</v>
      </c>
      <c r="E9487" s="64" t="s">
        <v>5031</v>
      </c>
      <c r="F9487" s="64" t="s">
        <v>15</v>
      </c>
      <c r="G9487" s="64" t="s">
        <v>3044</v>
      </c>
      <c r="H9487" s="64" t="s">
        <v>3022</v>
      </c>
      <c r="I9487" s="64" t="s">
        <v>5032</v>
      </c>
      <c r="J9487" s="67">
        <v>0</v>
      </c>
      <c r="K9487" s="62">
        <v>696.08</v>
      </c>
      <c r="L9487" s="33" t="e">
        <f>HLOOKUP(B9487,#REF!,1,0)</f>
        <v>#REF!</v>
      </c>
      <c r="M9487" s="33" t="str">
        <f t="shared" si="595"/>
        <v>P&amp;L</v>
      </c>
    </row>
    <row r="9488" spans="1:13">
      <c r="A9488" s="33" t="str">
        <f t="shared" si="592"/>
        <v>SCL - Operating Expense</v>
      </c>
      <c r="B9488" s="33" t="str">
        <f t="shared" si="593"/>
        <v>SCL</v>
      </c>
      <c r="C9488" s="33" t="str">
        <f t="shared" si="594"/>
        <v>64001-7359</v>
      </c>
      <c r="D9488" s="64" t="s">
        <v>10738</v>
      </c>
      <c r="E9488" s="64" t="s">
        <v>5031</v>
      </c>
      <c r="F9488" s="64" t="s">
        <v>15</v>
      </c>
      <c r="G9488" s="64" t="s">
        <v>3044</v>
      </c>
      <c r="H9488" s="64" t="s">
        <v>3022</v>
      </c>
      <c r="I9488" s="64" t="s">
        <v>5032</v>
      </c>
      <c r="J9488" s="67">
        <v>473.32</v>
      </c>
      <c r="K9488" s="62">
        <v>4620.54</v>
      </c>
      <c r="L9488" s="33" t="e">
        <f>HLOOKUP(B9488,#REF!,1,0)</f>
        <v>#REF!</v>
      </c>
      <c r="M9488" s="33" t="str">
        <f t="shared" si="595"/>
        <v>P&amp;L</v>
      </c>
    </row>
    <row r="9489" spans="1:13">
      <c r="A9489" s="33" t="str">
        <f t="shared" si="592"/>
        <v>SCL - Operating Expense</v>
      </c>
      <c r="B9489" s="33" t="str">
        <f t="shared" si="593"/>
        <v>SCL</v>
      </c>
      <c r="C9489" s="33" t="str">
        <f t="shared" si="594"/>
        <v>64001-7360</v>
      </c>
      <c r="D9489" s="64" t="s">
        <v>10739</v>
      </c>
      <c r="E9489" s="64" t="s">
        <v>5031</v>
      </c>
      <c r="F9489" s="64" t="s">
        <v>15</v>
      </c>
      <c r="G9489" s="64" t="s">
        <v>3044</v>
      </c>
      <c r="H9489" s="64" t="s">
        <v>3022</v>
      </c>
      <c r="I9489" s="64" t="s">
        <v>5032</v>
      </c>
      <c r="J9489" s="67">
        <v>473.32</v>
      </c>
      <c r="K9489" s="62">
        <v>4620.54</v>
      </c>
      <c r="L9489" s="33" t="e">
        <f>HLOOKUP(B9489,#REF!,1,0)</f>
        <v>#REF!</v>
      </c>
      <c r="M9489" s="33" t="str">
        <f t="shared" si="595"/>
        <v>P&amp;L</v>
      </c>
    </row>
    <row r="9490" spans="1:13">
      <c r="A9490" s="33" t="str">
        <f t="shared" si="592"/>
        <v>SCL - Operating Expense</v>
      </c>
      <c r="B9490" s="33" t="str">
        <f t="shared" si="593"/>
        <v>SCL</v>
      </c>
      <c r="C9490" s="33" t="str">
        <f t="shared" si="594"/>
        <v>64001-7361</v>
      </c>
      <c r="D9490" s="64" t="s">
        <v>10740</v>
      </c>
      <c r="E9490" s="64" t="s">
        <v>5031</v>
      </c>
      <c r="F9490" s="64" t="s">
        <v>15</v>
      </c>
      <c r="G9490" s="64" t="s">
        <v>3044</v>
      </c>
      <c r="H9490" s="64" t="s">
        <v>3022</v>
      </c>
      <c r="I9490" s="64" t="s">
        <v>5032</v>
      </c>
      <c r="J9490" s="67">
        <v>473.32</v>
      </c>
      <c r="K9490" s="62">
        <v>4620.54</v>
      </c>
      <c r="L9490" s="33" t="e">
        <f>HLOOKUP(B9490,#REF!,1,0)</f>
        <v>#REF!</v>
      </c>
      <c r="M9490" s="33" t="str">
        <f t="shared" si="595"/>
        <v>P&amp;L</v>
      </c>
    </row>
    <row r="9491" spans="1:13">
      <c r="A9491" s="33" t="str">
        <f t="shared" si="592"/>
        <v>SCL - Operating Expense</v>
      </c>
      <c r="B9491" s="33" t="str">
        <f t="shared" si="593"/>
        <v>SCL</v>
      </c>
      <c r="C9491" s="33" t="str">
        <f t="shared" si="594"/>
        <v>64001-7362</v>
      </c>
      <c r="D9491" s="64" t="s">
        <v>10741</v>
      </c>
      <c r="E9491" s="64" t="s">
        <v>5031</v>
      </c>
      <c r="F9491" s="64" t="s">
        <v>15</v>
      </c>
      <c r="G9491" s="64" t="s">
        <v>3044</v>
      </c>
      <c r="H9491" s="64" t="s">
        <v>3022</v>
      </c>
      <c r="I9491" s="64" t="s">
        <v>5032</v>
      </c>
      <c r="J9491" s="67">
        <v>473.32</v>
      </c>
      <c r="K9491" s="62">
        <v>4620.54</v>
      </c>
      <c r="L9491" s="33" t="e">
        <f>HLOOKUP(B9491,#REF!,1,0)</f>
        <v>#REF!</v>
      </c>
      <c r="M9491" s="33" t="str">
        <f t="shared" si="595"/>
        <v>P&amp;L</v>
      </c>
    </row>
    <row r="9492" spans="1:13">
      <c r="A9492" s="33" t="str">
        <f t="shared" si="592"/>
        <v>SCL - Operating Expense</v>
      </c>
      <c r="B9492" s="33" t="str">
        <f t="shared" si="593"/>
        <v>SCL</v>
      </c>
      <c r="C9492" s="33" t="str">
        <f t="shared" si="594"/>
        <v>64001-7363</v>
      </c>
      <c r="D9492" s="64" t="s">
        <v>10742</v>
      </c>
      <c r="E9492" s="64" t="s">
        <v>5031</v>
      </c>
      <c r="F9492" s="64" t="s">
        <v>15</v>
      </c>
      <c r="G9492" s="64" t="s">
        <v>3044</v>
      </c>
      <c r="H9492" s="64" t="s">
        <v>3022</v>
      </c>
      <c r="I9492" s="64" t="s">
        <v>5032</v>
      </c>
      <c r="J9492" s="67">
        <v>473.32</v>
      </c>
      <c r="K9492" s="62">
        <v>4620.54</v>
      </c>
      <c r="L9492" s="33" t="e">
        <f>HLOOKUP(B9492,#REF!,1,0)</f>
        <v>#REF!</v>
      </c>
      <c r="M9492" s="33" t="str">
        <f t="shared" si="595"/>
        <v>P&amp;L</v>
      </c>
    </row>
    <row r="9493" spans="1:13">
      <c r="A9493" s="33" t="str">
        <f t="shared" si="592"/>
        <v>SCL - Operating Expense</v>
      </c>
      <c r="B9493" s="33" t="str">
        <f t="shared" si="593"/>
        <v>SCL</v>
      </c>
      <c r="C9493" s="33" t="str">
        <f t="shared" si="594"/>
        <v>64001-7364</v>
      </c>
      <c r="D9493" s="64" t="s">
        <v>10743</v>
      </c>
      <c r="E9493" s="64" t="s">
        <v>5031</v>
      </c>
      <c r="F9493" s="64" t="s">
        <v>15</v>
      </c>
      <c r="G9493" s="64" t="s">
        <v>3044</v>
      </c>
      <c r="H9493" s="64" t="s">
        <v>3022</v>
      </c>
      <c r="I9493" s="64" t="s">
        <v>5032</v>
      </c>
      <c r="J9493" s="67">
        <v>473.32</v>
      </c>
      <c r="K9493" s="62">
        <v>4620.54</v>
      </c>
      <c r="L9493" s="33" t="e">
        <f>HLOOKUP(B9493,#REF!,1,0)</f>
        <v>#REF!</v>
      </c>
      <c r="M9493" s="33" t="str">
        <f t="shared" si="595"/>
        <v>P&amp;L</v>
      </c>
    </row>
    <row r="9494" spans="1:13">
      <c r="A9494" s="33" t="str">
        <f t="shared" si="592"/>
        <v>SCL - Operating Expense</v>
      </c>
      <c r="B9494" s="33" t="str">
        <f t="shared" si="593"/>
        <v>SCL</v>
      </c>
      <c r="C9494" s="33" t="str">
        <f t="shared" si="594"/>
        <v>64001-7365</v>
      </c>
      <c r="D9494" s="64" t="s">
        <v>10744</v>
      </c>
      <c r="E9494" s="64" t="s">
        <v>5031</v>
      </c>
      <c r="F9494" s="64" t="s">
        <v>15</v>
      </c>
      <c r="G9494" s="64" t="s">
        <v>3044</v>
      </c>
      <c r="H9494" s="64" t="s">
        <v>3022</v>
      </c>
      <c r="I9494" s="64" t="s">
        <v>5032</v>
      </c>
      <c r="J9494" s="67">
        <v>473.32</v>
      </c>
      <c r="K9494" s="62">
        <v>4620.54</v>
      </c>
      <c r="L9494" s="33" t="e">
        <f>HLOOKUP(B9494,#REF!,1,0)</f>
        <v>#REF!</v>
      </c>
      <c r="M9494" s="33" t="str">
        <f t="shared" si="595"/>
        <v>P&amp;L</v>
      </c>
    </row>
    <row r="9495" spans="1:13">
      <c r="A9495" s="33" t="str">
        <f t="shared" si="592"/>
        <v>SCL - Operating Expense</v>
      </c>
      <c r="B9495" s="33" t="str">
        <f t="shared" si="593"/>
        <v>SCL</v>
      </c>
      <c r="C9495" s="33" t="str">
        <f t="shared" si="594"/>
        <v>64001-7366</v>
      </c>
      <c r="D9495" s="64" t="s">
        <v>10745</v>
      </c>
      <c r="E9495" s="64" t="s">
        <v>5031</v>
      </c>
      <c r="F9495" s="64" t="s">
        <v>15</v>
      </c>
      <c r="G9495" s="64" t="s">
        <v>3044</v>
      </c>
      <c r="H9495" s="64" t="s">
        <v>3022</v>
      </c>
      <c r="I9495" s="64" t="s">
        <v>5032</v>
      </c>
      <c r="J9495" s="67">
        <v>473.32</v>
      </c>
      <c r="K9495" s="62">
        <v>4620.54</v>
      </c>
      <c r="L9495" s="33" t="e">
        <f>HLOOKUP(B9495,#REF!,1,0)</f>
        <v>#REF!</v>
      </c>
      <c r="M9495" s="33" t="str">
        <f t="shared" si="595"/>
        <v>P&amp;L</v>
      </c>
    </row>
    <row r="9496" spans="1:13">
      <c r="A9496" s="33" t="str">
        <f t="shared" si="592"/>
        <v>SCL - Operating Expense</v>
      </c>
      <c r="B9496" s="33" t="str">
        <f t="shared" si="593"/>
        <v>SCL</v>
      </c>
      <c r="C9496" s="33" t="str">
        <f t="shared" si="594"/>
        <v>64001-7368</v>
      </c>
      <c r="D9496" s="64" t="s">
        <v>10746</v>
      </c>
      <c r="E9496" s="64" t="s">
        <v>5031</v>
      </c>
      <c r="F9496" s="64" t="s">
        <v>15</v>
      </c>
      <c r="G9496" s="64" t="s">
        <v>3044</v>
      </c>
      <c r="H9496" s="64" t="s">
        <v>3022</v>
      </c>
      <c r="I9496" s="64" t="s">
        <v>5032</v>
      </c>
      <c r="J9496" s="67">
        <v>473.32</v>
      </c>
      <c r="K9496" s="62">
        <v>4620.54</v>
      </c>
      <c r="L9496" s="33" t="e">
        <f>HLOOKUP(B9496,#REF!,1,0)</f>
        <v>#REF!</v>
      </c>
      <c r="M9496" s="33" t="str">
        <f t="shared" si="595"/>
        <v>P&amp;L</v>
      </c>
    </row>
    <row r="9497" spans="1:13">
      <c r="A9497" s="33" t="str">
        <f t="shared" si="592"/>
        <v>SCL - Operating Expense</v>
      </c>
      <c r="B9497" s="33" t="str">
        <f t="shared" si="593"/>
        <v>SCL</v>
      </c>
      <c r="C9497" s="33" t="str">
        <f t="shared" si="594"/>
        <v>64001-7369</v>
      </c>
      <c r="D9497" s="64" t="s">
        <v>10747</v>
      </c>
      <c r="E9497" s="64" t="s">
        <v>5031</v>
      </c>
      <c r="F9497" s="64" t="s">
        <v>15</v>
      </c>
      <c r="G9497" s="64" t="s">
        <v>3044</v>
      </c>
      <c r="H9497" s="64" t="s">
        <v>3022</v>
      </c>
      <c r="I9497" s="64" t="s">
        <v>5032</v>
      </c>
      <c r="J9497" s="67">
        <v>473.32</v>
      </c>
      <c r="K9497" s="62">
        <v>4620.54</v>
      </c>
      <c r="L9497" s="33" t="e">
        <f>HLOOKUP(B9497,#REF!,1,0)</f>
        <v>#REF!</v>
      </c>
      <c r="M9497" s="33" t="str">
        <f t="shared" si="595"/>
        <v>P&amp;L</v>
      </c>
    </row>
    <row r="9498" spans="1:13">
      <c r="A9498" s="33" t="str">
        <f t="shared" si="592"/>
        <v>SCL - Operating Expense</v>
      </c>
      <c r="B9498" s="33" t="str">
        <f t="shared" si="593"/>
        <v>SCL</v>
      </c>
      <c r="C9498" s="33" t="str">
        <f t="shared" si="594"/>
        <v>64001-7371</v>
      </c>
      <c r="D9498" s="64" t="s">
        <v>10748</v>
      </c>
      <c r="E9498" s="64" t="s">
        <v>5031</v>
      </c>
      <c r="F9498" s="64" t="s">
        <v>15</v>
      </c>
      <c r="G9498" s="64" t="s">
        <v>3044</v>
      </c>
      <c r="H9498" s="64" t="s">
        <v>3022</v>
      </c>
      <c r="I9498" s="64" t="s">
        <v>5032</v>
      </c>
      <c r="J9498" s="67">
        <v>473.32</v>
      </c>
      <c r="K9498" s="62">
        <v>4620.54</v>
      </c>
      <c r="L9498" s="33" t="e">
        <f>HLOOKUP(B9498,#REF!,1,0)</f>
        <v>#REF!</v>
      </c>
      <c r="M9498" s="33" t="str">
        <f t="shared" si="595"/>
        <v>P&amp;L</v>
      </c>
    </row>
    <row r="9499" spans="1:13">
      <c r="A9499" s="33" t="str">
        <f t="shared" si="592"/>
        <v>SCL - Operating Expense</v>
      </c>
      <c r="B9499" s="33" t="str">
        <f t="shared" si="593"/>
        <v>SCL</v>
      </c>
      <c r="C9499" s="33" t="str">
        <f t="shared" si="594"/>
        <v>64001-7374</v>
      </c>
      <c r="D9499" s="64" t="s">
        <v>10749</v>
      </c>
      <c r="E9499" s="64" t="s">
        <v>5031</v>
      </c>
      <c r="F9499" s="64" t="s">
        <v>15</v>
      </c>
      <c r="G9499" s="64" t="s">
        <v>3044</v>
      </c>
      <c r="H9499" s="64" t="s">
        <v>3022</v>
      </c>
      <c r="I9499" s="64" t="s">
        <v>5032</v>
      </c>
      <c r="J9499" s="67">
        <v>473.32</v>
      </c>
      <c r="K9499" s="62">
        <v>4620.54</v>
      </c>
      <c r="L9499" s="33" t="e">
        <f>HLOOKUP(B9499,#REF!,1,0)</f>
        <v>#REF!</v>
      </c>
      <c r="M9499" s="33" t="str">
        <f t="shared" si="595"/>
        <v>P&amp;L</v>
      </c>
    </row>
    <row r="9500" spans="1:13">
      <c r="A9500" s="33" t="str">
        <f t="shared" si="592"/>
        <v>SCL - Operating Expense</v>
      </c>
      <c r="B9500" s="33" t="str">
        <f t="shared" si="593"/>
        <v>SCL</v>
      </c>
      <c r="C9500" s="33" t="str">
        <f t="shared" si="594"/>
        <v>64001-7375</v>
      </c>
      <c r="D9500" s="64" t="s">
        <v>10750</v>
      </c>
      <c r="E9500" s="64" t="s">
        <v>5031</v>
      </c>
      <c r="F9500" s="64" t="s">
        <v>15</v>
      </c>
      <c r="G9500" s="64" t="s">
        <v>3044</v>
      </c>
      <c r="H9500" s="64" t="s">
        <v>3022</v>
      </c>
      <c r="I9500" s="64" t="s">
        <v>5032</v>
      </c>
      <c r="J9500" s="67">
        <v>473.32</v>
      </c>
      <c r="K9500" s="62">
        <v>4620.54</v>
      </c>
      <c r="L9500" s="33" t="e">
        <f>HLOOKUP(B9500,#REF!,1,0)</f>
        <v>#REF!</v>
      </c>
      <c r="M9500" s="33" t="str">
        <f t="shared" si="595"/>
        <v>P&amp;L</v>
      </c>
    </row>
    <row r="9501" spans="1:13">
      <c r="A9501" s="33" t="str">
        <f t="shared" si="592"/>
        <v>SCL - Operating Expense</v>
      </c>
      <c r="B9501" s="33" t="str">
        <f t="shared" si="593"/>
        <v>SCL</v>
      </c>
      <c r="C9501" s="33" t="str">
        <f t="shared" si="594"/>
        <v>64001-7376</v>
      </c>
      <c r="D9501" s="64" t="s">
        <v>10751</v>
      </c>
      <c r="E9501" s="64" t="s">
        <v>5031</v>
      </c>
      <c r="F9501" s="64" t="s">
        <v>15</v>
      </c>
      <c r="G9501" s="64" t="s">
        <v>3044</v>
      </c>
      <c r="H9501" s="64" t="s">
        <v>3022</v>
      </c>
      <c r="I9501" s="64" t="s">
        <v>5032</v>
      </c>
      <c r="J9501" s="67">
        <v>473.32</v>
      </c>
      <c r="K9501" s="62">
        <v>4620.53</v>
      </c>
      <c r="L9501" s="33" t="e">
        <f>HLOOKUP(B9501,#REF!,1,0)</f>
        <v>#REF!</v>
      </c>
      <c r="M9501" s="33" t="str">
        <f t="shared" si="595"/>
        <v>P&amp;L</v>
      </c>
    </row>
    <row r="9502" spans="1:13">
      <c r="A9502" s="33" t="str">
        <f t="shared" si="592"/>
        <v>SCL - Operating Expense</v>
      </c>
      <c r="B9502" s="33" t="str">
        <f t="shared" si="593"/>
        <v>SCL</v>
      </c>
      <c r="C9502" s="33" t="str">
        <f t="shared" si="594"/>
        <v>64001-7377</v>
      </c>
      <c r="D9502" s="64" t="s">
        <v>10752</v>
      </c>
      <c r="E9502" s="64" t="s">
        <v>5031</v>
      </c>
      <c r="F9502" s="64" t="s">
        <v>15</v>
      </c>
      <c r="G9502" s="64" t="s">
        <v>3044</v>
      </c>
      <c r="H9502" s="64" t="s">
        <v>3022</v>
      </c>
      <c r="I9502" s="64" t="s">
        <v>5032</v>
      </c>
      <c r="J9502" s="67">
        <v>473.32</v>
      </c>
      <c r="K9502" s="62">
        <v>4620.52</v>
      </c>
      <c r="L9502" s="33" t="e">
        <f>HLOOKUP(B9502,#REF!,1,0)</f>
        <v>#REF!</v>
      </c>
      <c r="M9502" s="33" t="str">
        <f t="shared" si="595"/>
        <v>P&amp;L</v>
      </c>
    </row>
    <row r="9503" spans="1:13">
      <c r="A9503" s="33" t="str">
        <f t="shared" si="592"/>
        <v>SCL - Operating Expense</v>
      </c>
      <c r="B9503" s="33" t="str">
        <f t="shared" si="593"/>
        <v>SCL</v>
      </c>
      <c r="C9503" s="33" t="str">
        <f t="shared" si="594"/>
        <v>64001-7378</v>
      </c>
      <c r="D9503" s="64" t="s">
        <v>10753</v>
      </c>
      <c r="E9503" s="64" t="s">
        <v>5031</v>
      </c>
      <c r="F9503" s="64" t="s">
        <v>15</v>
      </c>
      <c r="G9503" s="64" t="s">
        <v>3044</v>
      </c>
      <c r="H9503" s="64" t="s">
        <v>3022</v>
      </c>
      <c r="I9503" s="64" t="s">
        <v>5032</v>
      </c>
      <c r="J9503" s="67">
        <v>473.32</v>
      </c>
      <c r="K9503" s="62">
        <v>4620.52</v>
      </c>
      <c r="L9503" s="33" t="e">
        <f>HLOOKUP(B9503,#REF!,1,0)</f>
        <v>#REF!</v>
      </c>
      <c r="M9503" s="33" t="str">
        <f t="shared" si="595"/>
        <v>P&amp;L</v>
      </c>
    </row>
    <row r="9504" spans="1:13">
      <c r="A9504" s="33" t="str">
        <f t="shared" si="592"/>
        <v>SCL - Operating Expense</v>
      </c>
      <c r="B9504" s="33" t="str">
        <f t="shared" si="593"/>
        <v>SCL</v>
      </c>
      <c r="C9504" s="33" t="str">
        <f t="shared" si="594"/>
        <v>64001-7379</v>
      </c>
      <c r="D9504" s="64" t="s">
        <v>10754</v>
      </c>
      <c r="E9504" s="64" t="s">
        <v>5031</v>
      </c>
      <c r="F9504" s="64" t="s">
        <v>15</v>
      </c>
      <c r="G9504" s="64" t="s">
        <v>3044</v>
      </c>
      <c r="H9504" s="64" t="s">
        <v>3022</v>
      </c>
      <c r="I9504" s="64" t="s">
        <v>5032</v>
      </c>
      <c r="J9504" s="67">
        <v>473.32</v>
      </c>
      <c r="K9504" s="62">
        <v>4620.52</v>
      </c>
      <c r="L9504" s="33" t="e">
        <f>HLOOKUP(B9504,#REF!,1,0)</f>
        <v>#REF!</v>
      </c>
      <c r="M9504" s="33" t="str">
        <f t="shared" si="595"/>
        <v>P&amp;L</v>
      </c>
    </row>
    <row r="9505" spans="1:13">
      <c r="A9505" s="33" t="str">
        <f t="shared" si="592"/>
        <v>SCL - Operating Expense</v>
      </c>
      <c r="B9505" s="33" t="str">
        <f t="shared" si="593"/>
        <v>SCL</v>
      </c>
      <c r="C9505" s="33" t="str">
        <f t="shared" si="594"/>
        <v>64001-7380</v>
      </c>
      <c r="D9505" s="64" t="s">
        <v>10755</v>
      </c>
      <c r="E9505" s="64" t="s">
        <v>5031</v>
      </c>
      <c r="F9505" s="64" t="s">
        <v>15</v>
      </c>
      <c r="G9505" s="64" t="s">
        <v>3044</v>
      </c>
      <c r="H9505" s="64" t="s">
        <v>3022</v>
      </c>
      <c r="I9505" s="64" t="s">
        <v>5032</v>
      </c>
      <c r="J9505" s="67">
        <v>473.32</v>
      </c>
      <c r="K9505" s="62">
        <v>4620.52</v>
      </c>
      <c r="L9505" s="33" t="e">
        <f>HLOOKUP(B9505,#REF!,1,0)</f>
        <v>#REF!</v>
      </c>
      <c r="M9505" s="33" t="str">
        <f t="shared" si="595"/>
        <v>P&amp;L</v>
      </c>
    </row>
    <row r="9506" spans="1:13">
      <c r="A9506" s="33" t="str">
        <f t="shared" si="592"/>
        <v>SCL - Operating Expense</v>
      </c>
      <c r="B9506" s="33" t="str">
        <f t="shared" si="593"/>
        <v>SCL</v>
      </c>
      <c r="C9506" s="33" t="str">
        <f t="shared" si="594"/>
        <v>64001-7381</v>
      </c>
      <c r="D9506" s="64" t="s">
        <v>10756</v>
      </c>
      <c r="E9506" s="64" t="s">
        <v>5031</v>
      </c>
      <c r="F9506" s="64" t="s">
        <v>15</v>
      </c>
      <c r="G9506" s="64" t="s">
        <v>3044</v>
      </c>
      <c r="H9506" s="64" t="s">
        <v>3022</v>
      </c>
      <c r="I9506" s="64" t="s">
        <v>5032</v>
      </c>
      <c r="J9506" s="67">
        <v>473.32</v>
      </c>
      <c r="K9506" s="62">
        <v>4620.52</v>
      </c>
      <c r="L9506" s="33" t="e">
        <f>HLOOKUP(B9506,#REF!,1,0)</f>
        <v>#REF!</v>
      </c>
      <c r="M9506" s="33" t="str">
        <f t="shared" si="595"/>
        <v>P&amp;L</v>
      </c>
    </row>
    <row r="9507" spans="1:13">
      <c r="A9507" s="33" t="str">
        <f t="shared" si="592"/>
        <v>SCL - Operating Expense</v>
      </c>
      <c r="B9507" s="33" t="str">
        <f t="shared" si="593"/>
        <v>SCL</v>
      </c>
      <c r="C9507" s="33" t="str">
        <f t="shared" si="594"/>
        <v>64001-7383</v>
      </c>
      <c r="D9507" s="64" t="s">
        <v>10757</v>
      </c>
      <c r="E9507" s="64" t="s">
        <v>5031</v>
      </c>
      <c r="F9507" s="64" t="s">
        <v>15</v>
      </c>
      <c r="G9507" s="64" t="s">
        <v>3044</v>
      </c>
      <c r="H9507" s="64" t="s">
        <v>3022</v>
      </c>
      <c r="I9507" s="64" t="s">
        <v>5032</v>
      </c>
      <c r="J9507" s="67">
        <v>473.32</v>
      </c>
      <c r="K9507" s="62">
        <v>4620.52</v>
      </c>
      <c r="L9507" s="33" t="e">
        <f>HLOOKUP(B9507,#REF!,1,0)</f>
        <v>#REF!</v>
      </c>
      <c r="M9507" s="33" t="str">
        <f t="shared" si="595"/>
        <v>P&amp;L</v>
      </c>
    </row>
    <row r="9508" spans="1:13">
      <c r="A9508" s="33" t="str">
        <f t="shared" si="592"/>
        <v>SCL - Operating Expense</v>
      </c>
      <c r="B9508" s="33" t="str">
        <f t="shared" si="593"/>
        <v>SCL</v>
      </c>
      <c r="C9508" s="33" t="str">
        <f t="shared" si="594"/>
        <v>64001-7385</v>
      </c>
      <c r="D9508" s="64" t="s">
        <v>10758</v>
      </c>
      <c r="E9508" s="64" t="s">
        <v>5031</v>
      </c>
      <c r="F9508" s="64" t="s">
        <v>15</v>
      </c>
      <c r="G9508" s="64" t="s">
        <v>3044</v>
      </c>
      <c r="H9508" s="64" t="s">
        <v>3022</v>
      </c>
      <c r="I9508" s="64" t="s">
        <v>5032</v>
      </c>
      <c r="J9508" s="67">
        <v>473.32</v>
      </c>
      <c r="K9508" s="62">
        <v>4620.52</v>
      </c>
      <c r="L9508" s="33" t="e">
        <f>HLOOKUP(B9508,#REF!,1,0)</f>
        <v>#REF!</v>
      </c>
      <c r="M9508" s="33" t="str">
        <f t="shared" si="595"/>
        <v>P&amp;L</v>
      </c>
    </row>
    <row r="9509" spans="1:13">
      <c r="A9509" s="33" t="str">
        <f t="shared" si="592"/>
        <v>SCL - Operating Expense</v>
      </c>
      <c r="B9509" s="33" t="str">
        <f t="shared" si="593"/>
        <v>SCL</v>
      </c>
      <c r="C9509" s="33" t="str">
        <f t="shared" si="594"/>
        <v>64001-7386</v>
      </c>
      <c r="D9509" s="64" t="s">
        <v>10759</v>
      </c>
      <c r="E9509" s="64" t="s">
        <v>5031</v>
      </c>
      <c r="F9509" s="64" t="s">
        <v>15</v>
      </c>
      <c r="G9509" s="64" t="s">
        <v>3044</v>
      </c>
      <c r="H9509" s="64" t="s">
        <v>3022</v>
      </c>
      <c r="I9509" s="64" t="s">
        <v>5032</v>
      </c>
      <c r="J9509" s="67">
        <v>473.32</v>
      </c>
      <c r="K9509" s="62">
        <v>4620.52</v>
      </c>
      <c r="L9509" s="33" t="e">
        <f>HLOOKUP(B9509,#REF!,1,0)</f>
        <v>#REF!</v>
      </c>
      <c r="M9509" s="33" t="str">
        <f t="shared" si="595"/>
        <v>P&amp;L</v>
      </c>
    </row>
    <row r="9510" spans="1:13">
      <c r="A9510" s="33" t="str">
        <f t="shared" si="592"/>
        <v>SCL - Operating Expense</v>
      </c>
      <c r="B9510" s="33" t="str">
        <f t="shared" si="593"/>
        <v>SCL</v>
      </c>
      <c r="C9510" s="33" t="str">
        <f t="shared" si="594"/>
        <v>64001-7387</v>
      </c>
      <c r="D9510" s="64" t="s">
        <v>10760</v>
      </c>
      <c r="E9510" s="64" t="s">
        <v>5031</v>
      </c>
      <c r="F9510" s="64" t="s">
        <v>15</v>
      </c>
      <c r="G9510" s="64" t="s">
        <v>3044</v>
      </c>
      <c r="H9510" s="64" t="s">
        <v>3022</v>
      </c>
      <c r="I9510" s="64" t="s">
        <v>5032</v>
      </c>
      <c r="J9510" s="67">
        <v>473.32</v>
      </c>
      <c r="K9510" s="62">
        <v>4620.52</v>
      </c>
      <c r="L9510" s="33" t="e">
        <f>HLOOKUP(B9510,#REF!,1,0)</f>
        <v>#REF!</v>
      </c>
      <c r="M9510" s="33" t="str">
        <f t="shared" si="595"/>
        <v>P&amp;L</v>
      </c>
    </row>
    <row r="9511" spans="1:13">
      <c r="A9511" s="33" t="str">
        <f t="shared" si="592"/>
        <v>SCL - Operating Expense</v>
      </c>
      <c r="B9511" s="33" t="str">
        <f t="shared" si="593"/>
        <v>SCL</v>
      </c>
      <c r="C9511" s="33" t="str">
        <f t="shared" si="594"/>
        <v>64001-7389</v>
      </c>
      <c r="D9511" s="64" t="s">
        <v>10761</v>
      </c>
      <c r="E9511" s="64" t="s">
        <v>5031</v>
      </c>
      <c r="F9511" s="64" t="s">
        <v>15</v>
      </c>
      <c r="G9511" s="64" t="s">
        <v>3044</v>
      </c>
      <c r="H9511" s="64" t="s">
        <v>3022</v>
      </c>
      <c r="I9511" s="64" t="s">
        <v>5032</v>
      </c>
      <c r="J9511" s="67">
        <v>473.32</v>
      </c>
      <c r="K9511" s="62">
        <v>4620.52</v>
      </c>
      <c r="L9511" s="33" t="e">
        <f>HLOOKUP(B9511,#REF!,1,0)</f>
        <v>#REF!</v>
      </c>
      <c r="M9511" s="33" t="str">
        <f t="shared" si="595"/>
        <v>P&amp;L</v>
      </c>
    </row>
    <row r="9512" spans="1:13">
      <c r="A9512" s="33" t="str">
        <f t="shared" si="592"/>
        <v>SCL - Operating Expense</v>
      </c>
      <c r="B9512" s="33" t="str">
        <f t="shared" si="593"/>
        <v>SCL</v>
      </c>
      <c r="C9512" s="33" t="str">
        <f t="shared" si="594"/>
        <v>64001-7391</v>
      </c>
      <c r="D9512" s="64" t="s">
        <v>10762</v>
      </c>
      <c r="E9512" s="64" t="s">
        <v>5031</v>
      </c>
      <c r="F9512" s="64" t="s">
        <v>15</v>
      </c>
      <c r="G9512" s="64" t="s">
        <v>3044</v>
      </c>
      <c r="H9512" s="64" t="s">
        <v>3022</v>
      </c>
      <c r="I9512" s="64" t="s">
        <v>5032</v>
      </c>
      <c r="J9512" s="67">
        <v>473.32</v>
      </c>
      <c r="K9512" s="62">
        <v>4620.52</v>
      </c>
      <c r="L9512" s="33" t="e">
        <f>HLOOKUP(B9512,#REF!,1,0)</f>
        <v>#REF!</v>
      </c>
      <c r="M9512" s="33" t="str">
        <f t="shared" si="595"/>
        <v>P&amp;L</v>
      </c>
    </row>
    <row r="9513" spans="1:13">
      <c r="A9513" s="33" t="str">
        <f t="shared" si="592"/>
        <v>SCL - Operating Expense</v>
      </c>
      <c r="B9513" s="33" t="str">
        <f t="shared" si="593"/>
        <v>SCL</v>
      </c>
      <c r="C9513" s="33" t="str">
        <f t="shared" si="594"/>
        <v>64001-7393</v>
      </c>
      <c r="D9513" s="64" t="s">
        <v>10763</v>
      </c>
      <c r="E9513" s="64" t="s">
        <v>5031</v>
      </c>
      <c r="F9513" s="64" t="s">
        <v>15</v>
      </c>
      <c r="G9513" s="64" t="s">
        <v>3044</v>
      </c>
      <c r="H9513" s="64" t="s">
        <v>3022</v>
      </c>
      <c r="I9513" s="64" t="s">
        <v>5032</v>
      </c>
      <c r="J9513" s="67">
        <v>473.32</v>
      </c>
      <c r="K9513" s="62">
        <v>4620.52</v>
      </c>
      <c r="L9513" s="33" t="e">
        <f>HLOOKUP(B9513,#REF!,1,0)</f>
        <v>#REF!</v>
      </c>
      <c r="M9513" s="33" t="str">
        <f t="shared" si="595"/>
        <v>P&amp;L</v>
      </c>
    </row>
    <row r="9514" spans="1:13">
      <c r="A9514" s="33" t="str">
        <f t="shared" si="592"/>
        <v>SCL - Operating Expense</v>
      </c>
      <c r="B9514" s="33" t="str">
        <f t="shared" si="593"/>
        <v>SCL</v>
      </c>
      <c r="C9514" s="33" t="str">
        <f t="shared" si="594"/>
        <v>64001-7394</v>
      </c>
      <c r="D9514" s="64" t="s">
        <v>10764</v>
      </c>
      <c r="E9514" s="64" t="s">
        <v>5031</v>
      </c>
      <c r="F9514" s="64" t="s">
        <v>15</v>
      </c>
      <c r="G9514" s="64" t="s">
        <v>3044</v>
      </c>
      <c r="H9514" s="64" t="s">
        <v>3022</v>
      </c>
      <c r="I9514" s="64" t="s">
        <v>5032</v>
      </c>
      <c r="J9514" s="67">
        <v>473.32</v>
      </c>
      <c r="K9514" s="62">
        <v>4620.53</v>
      </c>
      <c r="L9514" s="33" t="e">
        <f>HLOOKUP(B9514,#REF!,1,0)</f>
        <v>#REF!</v>
      </c>
      <c r="M9514" s="33" t="str">
        <f t="shared" si="595"/>
        <v>P&amp;L</v>
      </c>
    </row>
    <row r="9515" spans="1:13">
      <c r="A9515" s="33" t="str">
        <f t="shared" si="592"/>
        <v>SCL - Operating Expense</v>
      </c>
      <c r="B9515" s="33" t="str">
        <f t="shared" si="593"/>
        <v>SCL</v>
      </c>
      <c r="C9515" s="33" t="str">
        <f t="shared" si="594"/>
        <v>64001-7396</v>
      </c>
      <c r="D9515" s="64" t="s">
        <v>10765</v>
      </c>
      <c r="E9515" s="64" t="s">
        <v>5031</v>
      </c>
      <c r="F9515" s="64" t="s">
        <v>15</v>
      </c>
      <c r="G9515" s="64" t="s">
        <v>3044</v>
      </c>
      <c r="H9515" s="64" t="s">
        <v>3022</v>
      </c>
      <c r="I9515" s="64" t="s">
        <v>5032</v>
      </c>
      <c r="J9515" s="67">
        <v>473.32</v>
      </c>
      <c r="K9515" s="62">
        <v>4620.53</v>
      </c>
      <c r="L9515" s="33" t="e">
        <f>HLOOKUP(B9515,#REF!,1,0)</f>
        <v>#REF!</v>
      </c>
      <c r="M9515" s="33" t="str">
        <f t="shared" si="595"/>
        <v>P&amp;L</v>
      </c>
    </row>
    <row r="9516" spans="1:13">
      <c r="A9516" s="33" t="str">
        <f t="shared" si="592"/>
        <v>SCL - Operating Expense</v>
      </c>
      <c r="B9516" s="33" t="str">
        <f t="shared" si="593"/>
        <v>SCL</v>
      </c>
      <c r="C9516" s="33" t="str">
        <f t="shared" si="594"/>
        <v>64001-7397</v>
      </c>
      <c r="D9516" s="64" t="s">
        <v>10766</v>
      </c>
      <c r="E9516" s="64" t="s">
        <v>5031</v>
      </c>
      <c r="F9516" s="64" t="s">
        <v>15</v>
      </c>
      <c r="G9516" s="64" t="s">
        <v>3044</v>
      </c>
      <c r="H9516" s="64" t="s">
        <v>3022</v>
      </c>
      <c r="I9516" s="64" t="s">
        <v>5032</v>
      </c>
      <c r="J9516" s="67">
        <v>473.32</v>
      </c>
      <c r="K9516" s="62">
        <v>4620.53</v>
      </c>
      <c r="L9516" s="33" t="e">
        <f>HLOOKUP(B9516,#REF!,1,0)</f>
        <v>#REF!</v>
      </c>
      <c r="M9516" s="33" t="str">
        <f t="shared" si="595"/>
        <v>P&amp;L</v>
      </c>
    </row>
    <row r="9517" spans="1:13">
      <c r="A9517" s="33" t="str">
        <f t="shared" si="592"/>
        <v>SCL - Operating Expense</v>
      </c>
      <c r="B9517" s="33" t="str">
        <f t="shared" si="593"/>
        <v>SCL</v>
      </c>
      <c r="C9517" s="33" t="str">
        <f t="shared" si="594"/>
        <v>64001-7398</v>
      </c>
      <c r="D9517" s="64" t="s">
        <v>10767</v>
      </c>
      <c r="E9517" s="64" t="s">
        <v>5031</v>
      </c>
      <c r="F9517" s="64" t="s">
        <v>15</v>
      </c>
      <c r="G9517" s="64" t="s">
        <v>3044</v>
      </c>
      <c r="H9517" s="64" t="s">
        <v>3022</v>
      </c>
      <c r="I9517" s="64" t="s">
        <v>5032</v>
      </c>
      <c r="J9517" s="67">
        <v>473.32</v>
      </c>
      <c r="K9517" s="62">
        <v>4620.53</v>
      </c>
      <c r="L9517" s="33" t="e">
        <f>HLOOKUP(B9517,#REF!,1,0)</f>
        <v>#REF!</v>
      </c>
      <c r="M9517" s="33" t="str">
        <f t="shared" si="595"/>
        <v>P&amp;L</v>
      </c>
    </row>
    <row r="9518" spans="1:13">
      <c r="A9518" s="33" t="str">
        <f t="shared" si="592"/>
        <v>SCL - Operating Expense</v>
      </c>
      <c r="B9518" s="33" t="str">
        <f t="shared" si="593"/>
        <v>SCL</v>
      </c>
      <c r="C9518" s="33" t="str">
        <f t="shared" si="594"/>
        <v>64001-7400</v>
      </c>
      <c r="D9518" s="64" t="s">
        <v>10768</v>
      </c>
      <c r="E9518" s="64" t="s">
        <v>5031</v>
      </c>
      <c r="F9518" s="64" t="s">
        <v>15</v>
      </c>
      <c r="G9518" s="64" t="s">
        <v>3044</v>
      </c>
      <c r="H9518" s="64" t="s">
        <v>3022</v>
      </c>
      <c r="I9518" s="64" t="s">
        <v>5032</v>
      </c>
      <c r="J9518" s="67">
        <v>473.32</v>
      </c>
      <c r="K9518" s="62">
        <v>4620.53</v>
      </c>
      <c r="L9518" s="33" t="e">
        <f>HLOOKUP(B9518,#REF!,1,0)</f>
        <v>#REF!</v>
      </c>
      <c r="M9518" s="33" t="str">
        <f t="shared" si="595"/>
        <v>P&amp;L</v>
      </c>
    </row>
    <row r="9519" spans="1:13">
      <c r="A9519" s="33" t="str">
        <f t="shared" si="592"/>
        <v>SCL - Operating Expense</v>
      </c>
      <c r="B9519" s="33" t="str">
        <f t="shared" si="593"/>
        <v>SCL</v>
      </c>
      <c r="C9519" s="33" t="str">
        <f t="shared" si="594"/>
        <v>64001-7401</v>
      </c>
      <c r="D9519" s="64" t="s">
        <v>10769</v>
      </c>
      <c r="E9519" s="64" t="s">
        <v>5031</v>
      </c>
      <c r="F9519" s="64" t="s">
        <v>15</v>
      </c>
      <c r="G9519" s="64" t="s">
        <v>3044</v>
      </c>
      <c r="H9519" s="64" t="s">
        <v>3022</v>
      </c>
      <c r="I9519" s="64" t="s">
        <v>5032</v>
      </c>
      <c r="J9519" s="67">
        <v>473.32</v>
      </c>
      <c r="K9519" s="62">
        <v>4620.53</v>
      </c>
      <c r="L9519" s="33" t="e">
        <f>HLOOKUP(B9519,#REF!,1,0)</f>
        <v>#REF!</v>
      </c>
      <c r="M9519" s="33" t="str">
        <f t="shared" si="595"/>
        <v>P&amp;L</v>
      </c>
    </row>
    <row r="9520" spans="1:13">
      <c r="A9520" s="33" t="str">
        <f t="shared" si="592"/>
        <v>SCL - Operating Expense</v>
      </c>
      <c r="B9520" s="33" t="str">
        <f t="shared" si="593"/>
        <v>SCL</v>
      </c>
      <c r="C9520" s="33" t="str">
        <f t="shared" si="594"/>
        <v>64001-7402</v>
      </c>
      <c r="D9520" s="64" t="s">
        <v>10770</v>
      </c>
      <c r="E9520" s="64" t="s">
        <v>5031</v>
      </c>
      <c r="F9520" s="64" t="s">
        <v>15</v>
      </c>
      <c r="G9520" s="64" t="s">
        <v>3044</v>
      </c>
      <c r="H9520" s="64" t="s">
        <v>3022</v>
      </c>
      <c r="I9520" s="64" t="s">
        <v>5032</v>
      </c>
      <c r="J9520" s="67">
        <v>473.32</v>
      </c>
      <c r="K9520" s="62">
        <v>4620.53</v>
      </c>
      <c r="L9520" s="33" t="e">
        <f>HLOOKUP(B9520,#REF!,1,0)</f>
        <v>#REF!</v>
      </c>
      <c r="M9520" s="33" t="str">
        <f t="shared" si="595"/>
        <v>P&amp;L</v>
      </c>
    </row>
    <row r="9521" spans="1:13">
      <c r="A9521" s="33" t="str">
        <f t="shared" si="592"/>
        <v>SCL - Operating Expense</v>
      </c>
      <c r="B9521" s="33" t="str">
        <f t="shared" si="593"/>
        <v>SCL</v>
      </c>
      <c r="C9521" s="33" t="str">
        <f t="shared" si="594"/>
        <v>64001-7403</v>
      </c>
      <c r="D9521" s="64" t="s">
        <v>10771</v>
      </c>
      <c r="E9521" s="64" t="s">
        <v>5031</v>
      </c>
      <c r="F9521" s="64" t="s">
        <v>15</v>
      </c>
      <c r="G9521" s="64" t="s">
        <v>3044</v>
      </c>
      <c r="H9521" s="64" t="s">
        <v>3022</v>
      </c>
      <c r="I9521" s="64" t="s">
        <v>5032</v>
      </c>
      <c r="J9521" s="67">
        <v>473.32</v>
      </c>
      <c r="K9521" s="62">
        <v>4620.53</v>
      </c>
      <c r="L9521" s="33" t="e">
        <f>HLOOKUP(B9521,#REF!,1,0)</f>
        <v>#REF!</v>
      </c>
      <c r="M9521" s="33" t="str">
        <f t="shared" si="595"/>
        <v>P&amp;L</v>
      </c>
    </row>
    <row r="9522" spans="1:13">
      <c r="A9522" s="33" t="str">
        <f t="shared" si="592"/>
        <v>SCL - Operating Expense</v>
      </c>
      <c r="B9522" s="33" t="str">
        <f t="shared" si="593"/>
        <v>SCL</v>
      </c>
      <c r="C9522" s="33" t="str">
        <f t="shared" si="594"/>
        <v>64001-7489</v>
      </c>
      <c r="D9522" s="64" t="s">
        <v>10772</v>
      </c>
      <c r="E9522" s="64" t="s">
        <v>5031</v>
      </c>
      <c r="F9522" s="64" t="s">
        <v>15</v>
      </c>
      <c r="G9522" s="64" t="s">
        <v>3044</v>
      </c>
      <c r="H9522" s="64" t="s">
        <v>3022</v>
      </c>
      <c r="I9522" s="64" t="s">
        <v>5032</v>
      </c>
      <c r="J9522" s="67">
        <v>473.32</v>
      </c>
      <c r="K9522" s="62">
        <v>4620.53</v>
      </c>
      <c r="L9522" s="33" t="e">
        <f>HLOOKUP(B9522,#REF!,1,0)</f>
        <v>#REF!</v>
      </c>
      <c r="M9522" s="33" t="str">
        <f t="shared" si="595"/>
        <v>P&amp;L</v>
      </c>
    </row>
    <row r="9523" spans="1:13">
      <c r="A9523" s="33" t="str">
        <f t="shared" si="592"/>
        <v>SCL - Operating Expense</v>
      </c>
      <c r="B9523" s="33" t="str">
        <f t="shared" si="593"/>
        <v>SCL</v>
      </c>
      <c r="C9523" s="33" t="str">
        <f t="shared" si="594"/>
        <v>64001-7491</v>
      </c>
      <c r="D9523" s="64" t="s">
        <v>10773</v>
      </c>
      <c r="E9523" s="64" t="s">
        <v>5031</v>
      </c>
      <c r="F9523" s="64" t="s">
        <v>15</v>
      </c>
      <c r="G9523" s="64" t="s">
        <v>3044</v>
      </c>
      <c r="H9523" s="64" t="s">
        <v>3022</v>
      </c>
      <c r="I9523" s="64" t="s">
        <v>5032</v>
      </c>
      <c r="J9523" s="67">
        <v>473.32</v>
      </c>
      <c r="K9523" s="62">
        <v>4620.53</v>
      </c>
      <c r="L9523" s="33" t="e">
        <f>HLOOKUP(B9523,#REF!,1,0)</f>
        <v>#REF!</v>
      </c>
      <c r="M9523" s="33" t="str">
        <f t="shared" si="595"/>
        <v>P&amp;L</v>
      </c>
    </row>
    <row r="9524" spans="1:13">
      <c r="A9524" s="33" t="str">
        <f t="shared" si="592"/>
        <v>SCL - Operating Expense</v>
      </c>
      <c r="B9524" s="33" t="str">
        <f t="shared" si="593"/>
        <v>SCL</v>
      </c>
      <c r="C9524" s="33" t="str">
        <f t="shared" si="594"/>
        <v>64001-7492</v>
      </c>
      <c r="D9524" s="64" t="s">
        <v>10774</v>
      </c>
      <c r="E9524" s="64" t="s">
        <v>5031</v>
      </c>
      <c r="F9524" s="64" t="s">
        <v>15</v>
      </c>
      <c r="G9524" s="64" t="s">
        <v>3044</v>
      </c>
      <c r="H9524" s="64" t="s">
        <v>3022</v>
      </c>
      <c r="I9524" s="64" t="s">
        <v>5032</v>
      </c>
      <c r="J9524" s="67">
        <v>473.32</v>
      </c>
      <c r="K9524" s="62">
        <v>4620.53</v>
      </c>
      <c r="L9524" s="33" t="e">
        <f>HLOOKUP(B9524,#REF!,1,0)</f>
        <v>#REF!</v>
      </c>
      <c r="M9524" s="33" t="str">
        <f t="shared" si="595"/>
        <v>P&amp;L</v>
      </c>
    </row>
    <row r="9525" spans="1:13">
      <c r="A9525" s="33" t="str">
        <f t="shared" si="592"/>
        <v>SCL - Operating Expense</v>
      </c>
      <c r="B9525" s="33" t="str">
        <f t="shared" si="593"/>
        <v>SCL</v>
      </c>
      <c r="C9525" s="33" t="str">
        <f t="shared" si="594"/>
        <v>64001-7493</v>
      </c>
      <c r="D9525" s="64" t="s">
        <v>10775</v>
      </c>
      <c r="E9525" s="64" t="s">
        <v>5031</v>
      </c>
      <c r="F9525" s="64" t="s">
        <v>15</v>
      </c>
      <c r="G9525" s="64" t="s">
        <v>3044</v>
      </c>
      <c r="H9525" s="64" t="s">
        <v>3022</v>
      </c>
      <c r="I9525" s="64" t="s">
        <v>5032</v>
      </c>
      <c r="J9525" s="67">
        <v>473.32</v>
      </c>
      <c r="K9525" s="62">
        <v>4620.53</v>
      </c>
      <c r="L9525" s="33" t="e">
        <f>HLOOKUP(B9525,#REF!,1,0)</f>
        <v>#REF!</v>
      </c>
      <c r="M9525" s="33" t="str">
        <f t="shared" si="595"/>
        <v>P&amp;L</v>
      </c>
    </row>
    <row r="9526" spans="1:13">
      <c r="A9526" s="33" t="str">
        <f t="shared" si="592"/>
        <v>SCL - Operating Expense</v>
      </c>
      <c r="B9526" s="33" t="str">
        <f t="shared" si="593"/>
        <v>SCL</v>
      </c>
      <c r="C9526" s="33" t="str">
        <f t="shared" si="594"/>
        <v>64001-7494</v>
      </c>
      <c r="D9526" s="64" t="s">
        <v>10776</v>
      </c>
      <c r="E9526" s="64" t="s">
        <v>5031</v>
      </c>
      <c r="F9526" s="64" t="s">
        <v>15</v>
      </c>
      <c r="G9526" s="64" t="s">
        <v>3044</v>
      </c>
      <c r="H9526" s="64" t="s">
        <v>3022</v>
      </c>
      <c r="I9526" s="64" t="s">
        <v>5032</v>
      </c>
      <c r="J9526" s="67">
        <v>473.32</v>
      </c>
      <c r="K9526" s="62">
        <v>4620.53</v>
      </c>
      <c r="L9526" s="33" t="e">
        <f>HLOOKUP(B9526,#REF!,1,0)</f>
        <v>#REF!</v>
      </c>
      <c r="M9526" s="33" t="str">
        <f t="shared" si="595"/>
        <v>P&amp;L</v>
      </c>
    </row>
    <row r="9527" spans="1:13">
      <c r="A9527" s="33" t="str">
        <f t="shared" si="592"/>
        <v>SCL - Operating Expense</v>
      </c>
      <c r="B9527" s="33" t="str">
        <f t="shared" si="593"/>
        <v>SCL</v>
      </c>
      <c r="C9527" s="33" t="str">
        <f t="shared" si="594"/>
        <v>64001-7625</v>
      </c>
      <c r="D9527" s="64" t="s">
        <v>10777</v>
      </c>
      <c r="E9527" s="64" t="s">
        <v>5031</v>
      </c>
      <c r="F9527" s="64" t="s">
        <v>15</v>
      </c>
      <c r="G9527" s="64" t="s">
        <v>3044</v>
      </c>
      <c r="H9527" s="64" t="s">
        <v>3022</v>
      </c>
      <c r="I9527" s="64" t="s">
        <v>5032</v>
      </c>
      <c r="J9527" s="67">
        <v>473.32</v>
      </c>
      <c r="K9527" s="62">
        <v>4620.53</v>
      </c>
      <c r="L9527" s="33" t="e">
        <f>HLOOKUP(B9527,#REF!,1,0)</f>
        <v>#REF!</v>
      </c>
      <c r="M9527" s="33" t="str">
        <f t="shared" si="595"/>
        <v>P&amp;L</v>
      </c>
    </row>
    <row r="9528" spans="1:13">
      <c r="A9528" s="33" t="str">
        <f t="shared" si="592"/>
        <v>SCL - Operating Expense</v>
      </c>
      <c r="B9528" s="33" t="str">
        <f t="shared" si="593"/>
        <v>SCL</v>
      </c>
      <c r="C9528" s="33" t="str">
        <f t="shared" si="594"/>
        <v>64001-8150</v>
      </c>
      <c r="D9528" s="64" t="s">
        <v>10778</v>
      </c>
      <c r="E9528" s="64" t="s">
        <v>5031</v>
      </c>
      <c r="F9528" s="64" t="s">
        <v>15</v>
      </c>
      <c r="G9528" s="64" t="s">
        <v>3044</v>
      </c>
      <c r="H9528" s="64" t="s">
        <v>3022</v>
      </c>
      <c r="I9528" s="64" t="s">
        <v>5032</v>
      </c>
      <c r="J9528" s="67">
        <v>473.32</v>
      </c>
      <c r="K9528" s="62">
        <v>4621.11</v>
      </c>
      <c r="L9528" s="33" t="e">
        <f>HLOOKUP(B9528,#REF!,1,0)</f>
        <v>#REF!</v>
      </c>
      <c r="M9528" s="33" t="str">
        <f t="shared" si="595"/>
        <v>P&amp;L</v>
      </c>
    </row>
    <row r="9529" spans="1:13">
      <c r="A9529" s="33" t="str">
        <f t="shared" si="592"/>
        <v>SCL - Operating Expense</v>
      </c>
      <c r="B9529" s="33" t="str">
        <f t="shared" si="593"/>
        <v>SCL</v>
      </c>
      <c r="C9529" s="33" t="str">
        <f t="shared" si="594"/>
        <v>64003-7362</v>
      </c>
      <c r="D9529" s="64" t="s">
        <v>10779</v>
      </c>
      <c r="E9529" s="64" t="s">
        <v>10780</v>
      </c>
      <c r="F9529" s="64" t="s">
        <v>15</v>
      </c>
      <c r="G9529" s="64" t="s">
        <v>3044</v>
      </c>
      <c r="H9529" s="64" t="s">
        <v>3022</v>
      </c>
      <c r="I9529" s="64" t="s">
        <v>5032</v>
      </c>
      <c r="J9529" s="67">
        <v>0</v>
      </c>
      <c r="K9529" s="62">
        <v>1297.55</v>
      </c>
      <c r="L9529" s="33" t="e">
        <f>HLOOKUP(B9529,#REF!,1,0)</f>
        <v>#REF!</v>
      </c>
      <c r="M9529" s="33" t="str">
        <f t="shared" si="595"/>
        <v>P&amp;L</v>
      </c>
    </row>
    <row r="9530" spans="1:13">
      <c r="A9530" s="33" t="str">
        <f t="shared" si="592"/>
        <v>SCL - Operating Expense</v>
      </c>
      <c r="B9530" s="33" t="str">
        <f t="shared" si="593"/>
        <v>SCL</v>
      </c>
      <c r="C9530" s="33" t="str">
        <f t="shared" si="594"/>
        <v>64501-0000</v>
      </c>
      <c r="D9530" s="64" t="s">
        <v>10781</v>
      </c>
      <c r="E9530" s="64" t="s">
        <v>3188</v>
      </c>
      <c r="F9530" s="64" t="s">
        <v>15</v>
      </c>
      <c r="G9530" s="64" t="s">
        <v>3044</v>
      </c>
      <c r="H9530" s="64" t="s">
        <v>3022</v>
      </c>
      <c r="I9530" s="64" t="s">
        <v>3189</v>
      </c>
      <c r="J9530" s="67">
        <v>0</v>
      </c>
      <c r="K9530" s="62">
        <v>-439.98</v>
      </c>
      <c r="L9530" s="33" t="e">
        <f>HLOOKUP(B9530,#REF!,1,0)</f>
        <v>#REF!</v>
      </c>
      <c r="M9530" s="33" t="str">
        <f t="shared" si="595"/>
        <v>P&amp;L</v>
      </c>
    </row>
    <row r="9531" spans="1:13">
      <c r="A9531" s="33" t="str">
        <f t="shared" si="592"/>
        <v>SCL - Operating Expense</v>
      </c>
      <c r="B9531" s="33" t="str">
        <f t="shared" si="593"/>
        <v>SCL</v>
      </c>
      <c r="C9531" s="33" t="str">
        <f t="shared" si="594"/>
        <v>64501-7351</v>
      </c>
      <c r="D9531" s="64" t="s">
        <v>10782</v>
      </c>
      <c r="E9531" s="64" t="s">
        <v>3188</v>
      </c>
      <c r="F9531" s="64" t="s">
        <v>15</v>
      </c>
      <c r="G9531" s="64" t="s">
        <v>3044</v>
      </c>
      <c r="H9531" s="64" t="s">
        <v>3022</v>
      </c>
      <c r="I9531" s="64" t="s">
        <v>3189</v>
      </c>
      <c r="J9531" s="67">
        <v>1878.35</v>
      </c>
      <c r="K9531" s="62">
        <v>17267.29</v>
      </c>
      <c r="L9531" s="33" t="e">
        <f>HLOOKUP(B9531,#REF!,1,0)</f>
        <v>#REF!</v>
      </c>
      <c r="M9531" s="33" t="str">
        <f t="shared" si="595"/>
        <v>P&amp;L</v>
      </c>
    </row>
    <row r="9532" spans="1:13">
      <c r="A9532" s="33" t="str">
        <f t="shared" si="592"/>
        <v>SCL - Operating Expense</v>
      </c>
      <c r="B9532" s="33" t="str">
        <f t="shared" si="593"/>
        <v>SCL</v>
      </c>
      <c r="C9532" s="33" t="str">
        <f t="shared" si="594"/>
        <v>64501-7352</v>
      </c>
      <c r="D9532" s="64" t="s">
        <v>10783</v>
      </c>
      <c r="E9532" s="64" t="s">
        <v>3188</v>
      </c>
      <c r="F9532" s="64" t="s">
        <v>15</v>
      </c>
      <c r="G9532" s="64" t="s">
        <v>3044</v>
      </c>
      <c r="H9532" s="64" t="s">
        <v>3022</v>
      </c>
      <c r="I9532" s="64" t="s">
        <v>3189</v>
      </c>
      <c r="J9532" s="67">
        <v>1590.45</v>
      </c>
      <c r="K9532" s="62">
        <v>12849.37</v>
      </c>
      <c r="L9532" s="33" t="e">
        <f>HLOOKUP(B9532,#REF!,1,0)</f>
        <v>#REF!</v>
      </c>
      <c r="M9532" s="33" t="str">
        <f t="shared" si="595"/>
        <v>P&amp;L</v>
      </c>
    </row>
    <row r="9533" spans="1:13">
      <c r="A9533" s="33" t="str">
        <f t="shared" si="592"/>
        <v>SCL - Operating Expense</v>
      </c>
      <c r="B9533" s="33" t="str">
        <f t="shared" si="593"/>
        <v>SCL</v>
      </c>
      <c r="C9533" s="33" t="str">
        <f t="shared" si="594"/>
        <v>64501-7355</v>
      </c>
      <c r="D9533" s="64" t="s">
        <v>10784</v>
      </c>
      <c r="E9533" s="64" t="s">
        <v>3188</v>
      </c>
      <c r="F9533" s="64" t="s">
        <v>15</v>
      </c>
      <c r="G9533" s="64" t="s">
        <v>3044</v>
      </c>
      <c r="H9533" s="64" t="s">
        <v>3022</v>
      </c>
      <c r="I9533" s="64" t="s">
        <v>3189</v>
      </c>
      <c r="J9533" s="67">
        <v>1362.82</v>
      </c>
      <c r="K9533" s="62">
        <v>12574.9</v>
      </c>
      <c r="L9533" s="33" t="e">
        <f>HLOOKUP(B9533,#REF!,1,0)</f>
        <v>#REF!</v>
      </c>
      <c r="M9533" s="33" t="str">
        <f t="shared" si="595"/>
        <v>P&amp;L</v>
      </c>
    </row>
    <row r="9534" spans="1:13">
      <c r="A9534" s="33" t="str">
        <f t="shared" si="592"/>
        <v>SCL - Operating Expense</v>
      </c>
      <c r="B9534" s="33" t="str">
        <f t="shared" si="593"/>
        <v>SCL</v>
      </c>
      <c r="C9534" s="33" t="str">
        <f t="shared" si="594"/>
        <v>64501-7356</v>
      </c>
      <c r="D9534" s="64" t="s">
        <v>10785</v>
      </c>
      <c r="E9534" s="64" t="s">
        <v>3188</v>
      </c>
      <c r="F9534" s="64" t="s">
        <v>15</v>
      </c>
      <c r="G9534" s="64" t="s">
        <v>3044</v>
      </c>
      <c r="H9534" s="64" t="s">
        <v>3022</v>
      </c>
      <c r="I9534" s="64" t="s">
        <v>3189</v>
      </c>
      <c r="J9534" s="67">
        <v>0.01</v>
      </c>
      <c r="K9534" s="62">
        <v>1077.47</v>
      </c>
      <c r="L9534" s="33" t="e">
        <f>HLOOKUP(B9534,#REF!,1,0)</f>
        <v>#REF!</v>
      </c>
      <c r="M9534" s="33" t="str">
        <f t="shared" si="595"/>
        <v>P&amp;L</v>
      </c>
    </row>
    <row r="9535" spans="1:13">
      <c r="A9535" s="33" t="str">
        <f t="shared" si="592"/>
        <v>SCL - Operating Expense</v>
      </c>
      <c r="B9535" s="33" t="str">
        <f t="shared" si="593"/>
        <v>SCL</v>
      </c>
      <c r="C9535" s="33" t="str">
        <f t="shared" si="594"/>
        <v>64501-7359</v>
      </c>
      <c r="D9535" s="64" t="s">
        <v>10786</v>
      </c>
      <c r="E9535" s="64" t="s">
        <v>3188</v>
      </c>
      <c r="F9535" s="64" t="s">
        <v>15</v>
      </c>
      <c r="G9535" s="64" t="s">
        <v>3044</v>
      </c>
      <c r="H9535" s="64" t="s">
        <v>3022</v>
      </c>
      <c r="I9535" s="64" t="s">
        <v>3189</v>
      </c>
      <c r="J9535" s="67">
        <v>1237.68</v>
      </c>
      <c r="K9535" s="62">
        <v>10383.12</v>
      </c>
      <c r="L9535" s="33" t="e">
        <f>HLOOKUP(B9535,#REF!,1,0)</f>
        <v>#REF!</v>
      </c>
      <c r="M9535" s="33" t="str">
        <f t="shared" si="595"/>
        <v>P&amp;L</v>
      </c>
    </row>
    <row r="9536" spans="1:13">
      <c r="A9536" s="33" t="str">
        <f t="shared" si="592"/>
        <v>SCL - Operating Expense</v>
      </c>
      <c r="B9536" s="33" t="str">
        <f t="shared" si="593"/>
        <v>SCL</v>
      </c>
      <c r="C9536" s="33" t="str">
        <f t="shared" si="594"/>
        <v>64501-7360</v>
      </c>
      <c r="D9536" s="64" t="s">
        <v>10787</v>
      </c>
      <c r="E9536" s="64" t="s">
        <v>3188</v>
      </c>
      <c r="F9536" s="64" t="s">
        <v>15</v>
      </c>
      <c r="G9536" s="64" t="s">
        <v>3044</v>
      </c>
      <c r="H9536" s="64" t="s">
        <v>3022</v>
      </c>
      <c r="I9536" s="64" t="s">
        <v>3189</v>
      </c>
      <c r="J9536" s="67">
        <v>2204.85</v>
      </c>
      <c r="K9536" s="62">
        <v>18441.4</v>
      </c>
      <c r="L9536" s="33" t="e">
        <f>HLOOKUP(B9536,#REF!,1,0)</f>
        <v>#REF!</v>
      </c>
      <c r="M9536" s="33" t="str">
        <f t="shared" si="595"/>
        <v>P&amp;L</v>
      </c>
    </row>
    <row r="9537" spans="1:13">
      <c r="A9537" s="33" t="str">
        <f t="shared" si="592"/>
        <v>SCL - Operating Expense</v>
      </c>
      <c r="B9537" s="33" t="str">
        <f t="shared" si="593"/>
        <v>SCL</v>
      </c>
      <c r="C9537" s="33" t="str">
        <f t="shared" si="594"/>
        <v>64501-7361</v>
      </c>
      <c r="D9537" s="64" t="s">
        <v>10788</v>
      </c>
      <c r="E9537" s="64" t="s">
        <v>3188</v>
      </c>
      <c r="F9537" s="64" t="s">
        <v>15</v>
      </c>
      <c r="G9537" s="64" t="s">
        <v>3044</v>
      </c>
      <c r="H9537" s="64" t="s">
        <v>3022</v>
      </c>
      <c r="I9537" s="64" t="s">
        <v>3189</v>
      </c>
      <c r="J9537" s="67">
        <v>1661.66</v>
      </c>
      <c r="K9537" s="62">
        <v>14739.95</v>
      </c>
      <c r="L9537" s="33" t="e">
        <f>HLOOKUP(B9537,#REF!,1,0)</f>
        <v>#REF!</v>
      </c>
      <c r="M9537" s="33" t="str">
        <f t="shared" si="595"/>
        <v>P&amp;L</v>
      </c>
    </row>
    <row r="9538" spans="1:13">
      <c r="A9538" s="33" t="str">
        <f t="shared" ref="A9538:A9601" si="596">B9538&amp;" - "&amp;TRIM(H9538)</f>
        <v>SCL - Operating Expense</v>
      </c>
      <c r="B9538" s="33" t="str">
        <f t="shared" ref="B9538:B9601" si="597">LEFT(D9538,3)</f>
        <v>SCL</v>
      </c>
      <c r="C9538" s="33" t="str">
        <f t="shared" ref="C9538:C9601" si="598">RIGHT(D9538,10)</f>
        <v>64501-7362</v>
      </c>
      <c r="D9538" s="64" t="s">
        <v>10789</v>
      </c>
      <c r="E9538" s="64" t="s">
        <v>3188</v>
      </c>
      <c r="F9538" s="64" t="s">
        <v>15</v>
      </c>
      <c r="G9538" s="64" t="s">
        <v>3044</v>
      </c>
      <c r="H9538" s="64" t="s">
        <v>3022</v>
      </c>
      <c r="I9538" s="64" t="s">
        <v>3189</v>
      </c>
      <c r="J9538" s="67">
        <v>1303.05</v>
      </c>
      <c r="K9538" s="62">
        <v>13114.86</v>
      </c>
      <c r="L9538" s="33" t="e">
        <f>HLOOKUP(B9538,#REF!,1,0)</f>
        <v>#REF!</v>
      </c>
      <c r="M9538" s="33" t="str">
        <f t="shared" ref="M9538:M9601" si="599">IF(VALUE(LEFT(C9538,5))&gt;40000,"P&amp;L","BS")</f>
        <v>P&amp;L</v>
      </c>
    </row>
    <row r="9539" spans="1:13">
      <c r="A9539" s="33" t="str">
        <f t="shared" si="596"/>
        <v>SCL - Operating Expense</v>
      </c>
      <c r="B9539" s="33" t="str">
        <f t="shared" si="597"/>
        <v>SCL</v>
      </c>
      <c r="C9539" s="33" t="str">
        <f t="shared" si="598"/>
        <v>64501-7363</v>
      </c>
      <c r="D9539" s="64" t="s">
        <v>10790</v>
      </c>
      <c r="E9539" s="64" t="s">
        <v>3188</v>
      </c>
      <c r="F9539" s="64" t="s">
        <v>15</v>
      </c>
      <c r="G9539" s="64" t="s">
        <v>3044</v>
      </c>
      <c r="H9539" s="64" t="s">
        <v>3022</v>
      </c>
      <c r="I9539" s="64" t="s">
        <v>3189</v>
      </c>
      <c r="J9539" s="67">
        <v>1379.31</v>
      </c>
      <c r="K9539" s="62">
        <v>12777.98</v>
      </c>
      <c r="L9539" s="33" t="e">
        <f>HLOOKUP(B9539,#REF!,1,0)</f>
        <v>#REF!</v>
      </c>
      <c r="M9539" s="33" t="str">
        <f t="shared" si="599"/>
        <v>P&amp;L</v>
      </c>
    </row>
    <row r="9540" spans="1:13">
      <c r="A9540" s="33" t="str">
        <f t="shared" si="596"/>
        <v>SCL - Operating Expense</v>
      </c>
      <c r="B9540" s="33" t="str">
        <f t="shared" si="597"/>
        <v>SCL</v>
      </c>
      <c r="C9540" s="33" t="str">
        <f t="shared" si="598"/>
        <v>64501-7364</v>
      </c>
      <c r="D9540" s="64" t="s">
        <v>10791</v>
      </c>
      <c r="E9540" s="64" t="s">
        <v>3188</v>
      </c>
      <c r="F9540" s="64" t="s">
        <v>15</v>
      </c>
      <c r="G9540" s="64" t="s">
        <v>3044</v>
      </c>
      <c r="H9540" s="64" t="s">
        <v>3022</v>
      </c>
      <c r="I9540" s="64" t="s">
        <v>3189</v>
      </c>
      <c r="J9540" s="67">
        <v>540.28</v>
      </c>
      <c r="K9540" s="62">
        <v>5038.61</v>
      </c>
      <c r="L9540" s="33" t="e">
        <f>HLOOKUP(B9540,#REF!,1,0)</f>
        <v>#REF!</v>
      </c>
      <c r="M9540" s="33" t="str">
        <f t="shared" si="599"/>
        <v>P&amp;L</v>
      </c>
    </row>
    <row r="9541" spans="1:13">
      <c r="A9541" s="33" t="str">
        <f t="shared" si="596"/>
        <v>SCL - Operating Expense</v>
      </c>
      <c r="B9541" s="33" t="str">
        <f t="shared" si="597"/>
        <v>SCL</v>
      </c>
      <c r="C9541" s="33" t="str">
        <f t="shared" si="598"/>
        <v>64501-7365</v>
      </c>
      <c r="D9541" s="64" t="s">
        <v>10792</v>
      </c>
      <c r="E9541" s="64" t="s">
        <v>3188</v>
      </c>
      <c r="F9541" s="64" t="s">
        <v>15</v>
      </c>
      <c r="G9541" s="64" t="s">
        <v>3044</v>
      </c>
      <c r="H9541" s="64" t="s">
        <v>3022</v>
      </c>
      <c r="I9541" s="64" t="s">
        <v>3189</v>
      </c>
      <c r="J9541" s="67">
        <v>1285.01</v>
      </c>
      <c r="K9541" s="62">
        <v>11955.06</v>
      </c>
      <c r="L9541" s="33" t="e">
        <f>HLOOKUP(B9541,#REF!,1,0)</f>
        <v>#REF!</v>
      </c>
      <c r="M9541" s="33" t="str">
        <f t="shared" si="599"/>
        <v>P&amp;L</v>
      </c>
    </row>
    <row r="9542" spans="1:13">
      <c r="A9542" s="33" t="str">
        <f t="shared" si="596"/>
        <v>SCL - Operating Expense</v>
      </c>
      <c r="B9542" s="33" t="str">
        <f t="shared" si="597"/>
        <v>SCL</v>
      </c>
      <c r="C9542" s="33" t="str">
        <f t="shared" si="598"/>
        <v>64501-7366</v>
      </c>
      <c r="D9542" s="64" t="s">
        <v>10793</v>
      </c>
      <c r="E9542" s="64" t="s">
        <v>3188</v>
      </c>
      <c r="F9542" s="64" t="s">
        <v>15</v>
      </c>
      <c r="G9542" s="64" t="s">
        <v>3044</v>
      </c>
      <c r="H9542" s="64" t="s">
        <v>3022</v>
      </c>
      <c r="I9542" s="64" t="s">
        <v>3189</v>
      </c>
      <c r="J9542" s="67">
        <v>2326.08</v>
      </c>
      <c r="K9542" s="62">
        <v>21650.98</v>
      </c>
      <c r="L9542" s="33" t="e">
        <f>HLOOKUP(B9542,#REF!,1,0)</f>
        <v>#REF!</v>
      </c>
      <c r="M9542" s="33" t="str">
        <f t="shared" si="599"/>
        <v>P&amp;L</v>
      </c>
    </row>
    <row r="9543" spans="1:13">
      <c r="A9543" s="33" t="str">
        <f t="shared" si="596"/>
        <v>SCL - Operating Expense</v>
      </c>
      <c r="B9543" s="33" t="str">
        <f t="shared" si="597"/>
        <v>SCL</v>
      </c>
      <c r="C9543" s="33" t="str">
        <f t="shared" si="598"/>
        <v>64501-7368</v>
      </c>
      <c r="D9543" s="64" t="s">
        <v>10794</v>
      </c>
      <c r="E9543" s="64" t="s">
        <v>3188</v>
      </c>
      <c r="F9543" s="64" t="s">
        <v>15</v>
      </c>
      <c r="G9543" s="64" t="s">
        <v>3044</v>
      </c>
      <c r="H9543" s="64" t="s">
        <v>3022</v>
      </c>
      <c r="I9543" s="64" t="s">
        <v>3189</v>
      </c>
      <c r="J9543" s="67">
        <v>2814.34</v>
      </c>
      <c r="K9543" s="62">
        <v>25846.37</v>
      </c>
      <c r="L9543" s="33" t="e">
        <f>HLOOKUP(B9543,#REF!,1,0)</f>
        <v>#REF!</v>
      </c>
      <c r="M9543" s="33" t="str">
        <f t="shared" si="599"/>
        <v>P&amp;L</v>
      </c>
    </row>
    <row r="9544" spans="1:13">
      <c r="A9544" s="33" t="str">
        <f t="shared" si="596"/>
        <v>SCL - Operating Expense</v>
      </c>
      <c r="B9544" s="33" t="str">
        <f t="shared" si="597"/>
        <v>SCL</v>
      </c>
      <c r="C9544" s="33" t="str">
        <f t="shared" si="598"/>
        <v>64501-7369</v>
      </c>
      <c r="D9544" s="64" t="s">
        <v>10795</v>
      </c>
      <c r="E9544" s="64" t="s">
        <v>3188</v>
      </c>
      <c r="F9544" s="64" t="s">
        <v>15</v>
      </c>
      <c r="G9544" s="64" t="s">
        <v>3044</v>
      </c>
      <c r="H9544" s="64" t="s">
        <v>3022</v>
      </c>
      <c r="I9544" s="64" t="s">
        <v>3189</v>
      </c>
      <c r="J9544" s="67">
        <v>1694.78</v>
      </c>
      <c r="K9544" s="62">
        <v>15237.01</v>
      </c>
      <c r="L9544" s="33" t="e">
        <f>HLOOKUP(B9544,#REF!,1,0)</f>
        <v>#REF!</v>
      </c>
      <c r="M9544" s="33" t="str">
        <f t="shared" si="599"/>
        <v>P&amp;L</v>
      </c>
    </row>
    <row r="9545" spans="1:13">
      <c r="A9545" s="33" t="str">
        <f t="shared" si="596"/>
        <v>SCL - Operating Expense</v>
      </c>
      <c r="B9545" s="33" t="str">
        <f t="shared" si="597"/>
        <v>SCL</v>
      </c>
      <c r="C9545" s="33" t="str">
        <f t="shared" si="598"/>
        <v>64501-7370</v>
      </c>
      <c r="D9545" s="64" t="s">
        <v>10796</v>
      </c>
      <c r="E9545" s="64" t="s">
        <v>3188</v>
      </c>
      <c r="F9545" s="64" t="s">
        <v>15</v>
      </c>
      <c r="G9545" s="64" t="s">
        <v>3044</v>
      </c>
      <c r="H9545" s="64" t="s">
        <v>3022</v>
      </c>
      <c r="I9545" s="64" t="s">
        <v>3189</v>
      </c>
      <c r="J9545" s="67">
        <v>0</v>
      </c>
      <c r="K9545" s="62">
        <v>0</v>
      </c>
      <c r="L9545" s="33" t="e">
        <f>HLOOKUP(B9545,#REF!,1,0)</f>
        <v>#REF!</v>
      </c>
      <c r="M9545" s="33" t="str">
        <f t="shared" si="599"/>
        <v>P&amp;L</v>
      </c>
    </row>
    <row r="9546" spans="1:13">
      <c r="A9546" s="33" t="str">
        <f t="shared" si="596"/>
        <v>SCL - Operating Expense</v>
      </c>
      <c r="B9546" s="33" t="str">
        <f t="shared" si="597"/>
        <v>SCL</v>
      </c>
      <c r="C9546" s="33" t="str">
        <f t="shared" si="598"/>
        <v>64501-7371</v>
      </c>
      <c r="D9546" s="64" t="s">
        <v>10797</v>
      </c>
      <c r="E9546" s="64" t="s">
        <v>3188</v>
      </c>
      <c r="F9546" s="64" t="s">
        <v>15</v>
      </c>
      <c r="G9546" s="64" t="s">
        <v>3044</v>
      </c>
      <c r="H9546" s="64" t="s">
        <v>3022</v>
      </c>
      <c r="I9546" s="64" t="s">
        <v>3189</v>
      </c>
      <c r="J9546" s="67">
        <v>1610.64</v>
      </c>
      <c r="K9546" s="62">
        <v>14403.23</v>
      </c>
      <c r="L9546" s="33" t="e">
        <f>HLOOKUP(B9546,#REF!,1,0)</f>
        <v>#REF!</v>
      </c>
      <c r="M9546" s="33" t="str">
        <f t="shared" si="599"/>
        <v>P&amp;L</v>
      </c>
    </row>
    <row r="9547" spans="1:13">
      <c r="A9547" s="33" t="str">
        <f t="shared" si="596"/>
        <v>SCL - Operating Expense</v>
      </c>
      <c r="B9547" s="33" t="str">
        <f t="shared" si="597"/>
        <v>SCL</v>
      </c>
      <c r="C9547" s="33" t="str">
        <f t="shared" si="598"/>
        <v>64501-7374</v>
      </c>
      <c r="D9547" s="64" t="s">
        <v>10798</v>
      </c>
      <c r="E9547" s="64" t="s">
        <v>3188</v>
      </c>
      <c r="F9547" s="64" t="s">
        <v>15</v>
      </c>
      <c r="G9547" s="64" t="s">
        <v>3044</v>
      </c>
      <c r="H9547" s="64" t="s">
        <v>3022</v>
      </c>
      <c r="I9547" s="64" t="s">
        <v>3189</v>
      </c>
      <c r="J9547" s="67">
        <v>2207.62</v>
      </c>
      <c r="K9547" s="62">
        <v>17537.51</v>
      </c>
      <c r="L9547" s="33" t="e">
        <f>HLOOKUP(B9547,#REF!,1,0)</f>
        <v>#REF!</v>
      </c>
      <c r="M9547" s="33" t="str">
        <f t="shared" si="599"/>
        <v>P&amp;L</v>
      </c>
    </row>
    <row r="9548" spans="1:13">
      <c r="A9548" s="33" t="str">
        <f t="shared" si="596"/>
        <v>SCL - Operating Expense</v>
      </c>
      <c r="B9548" s="33" t="str">
        <f t="shared" si="597"/>
        <v>SCL</v>
      </c>
      <c r="C9548" s="33" t="str">
        <f t="shared" si="598"/>
        <v>64501-7375</v>
      </c>
      <c r="D9548" s="64" t="s">
        <v>10799</v>
      </c>
      <c r="E9548" s="64" t="s">
        <v>3188</v>
      </c>
      <c r="F9548" s="64" t="s">
        <v>15</v>
      </c>
      <c r="G9548" s="64" t="s">
        <v>3044</v>
      </c>
      <c r="H9548" s="64" t="s">
        <v>3022</v>
      </c>
      <c r="I9548" s="64" t="s">
        <v>3189</v>
      </c>
      <c r="J9548" s="67">
        <v>1549.57</v>
      </c>
      <c r="K9548" s="62">
        <v>14158.84</v>
      </c>
      <c r="L9548" s="33" t="e">
        <f>HLOOKUP(B9548,#REF!,1,0)</f>
        <v>#REF!</v>
      </c>
      <c r="M9548" s="33" t="str">
        <f t="shared" si="599"/>
        <v>P&amp;L</v>
      </c>
    </row>
    <row r="9549" spans="1:13">
      <c r="A9549" s="33" t="str">
        <f t="shared" si="596"/>
        <v>SCL - Operating Expense</v>
      </c>
      <c r="B9549" s="33" t="str">
        <f t="shared" si="597"/>
        <v>SCL</v>
      </c>
      <c r="C9549" s="33" t="str">
        <f t="shared" si="598"/>
        <v>64501-7376</v>
      </c>
      <c r="D9549" s="64" t="s">
        <v>10800</v>
      </c>
      <c r="E9549" s="64" t="s">
        <v>3188</v>
      </c>
      <c r="F9549" s="64" t="s">
        <v>15</v>
      </c>
      <c r="G9549" s="64" t="s">
        <v>3044</v>
      </c>
      <c r="H9549" s="64" t="s">
        <v>3022</v>
      </c>
      <c r="I9549" s="64" t="s">
        <v>3189</v>
      </c>
      <c r="J9549" s="67">
        <v>3715.96</v>
      </c>
      <c r="K9549" s="62">
        <v>31953.84</v>
      </c>
      <c r="L9549" s="33" t="e">
        <f>HLOOKUP(B9549,#REF!,1,0)</f>
        <v>#REF!</v>
      </c>
      <c r="M9549" s="33" t="str">
        <f t="shared" si="599"/>
        <v>P&amp;L</v>
      </c>
    </row>
    <row r="9550" spans="1:13">
      <c r="A9550" s="33" t="str">
        <f t="shared" si="596"/>
        <v>SCL - Operating Expense</v>
      </c>
      <c r="B9550" s="33" t="str">
        <f t="shared" si="597"/>
        <v>SCL</v>
      </c>
      <c r="C9550" s="33" t="str">
        <f t="shared" si="598"/>
        <v>64501-7377</v>
      </c>
      <c r="D9550" s="64" t="s">
        <v>10801</v>
      </c>
      <c r="E9550" s="64" t="s">
        <v>3188</v>
      </c>
      <c r="F9550" s="64" t="s">
        <v>15</v>
      </c>
      <c r="G9550" s="64" t="s">
        <v>3044</v>
      </c>
      <c r="H9550" s="64" t="s">
        <v>3022</v>
      </c>
      <c r="I9550" s="64" t="s">
        <v>3189</v>
      </c>
      <c r="J9550" s="67">
        <v>1785.33</v>
      </c>
      <c r="K9550" s="62">
        <v>16393.25</v>
      </c>
      <c r="L9550" s="33" t="e">
        <f>HLOOKUP(B9550,#REF!,1,0)</f>
        <v>#REF!</v>
      </c>
      <c r="M9550" s="33" t="str">
        <f t="shared" si="599"/>
        <v>P&amp;L</v>
      </c>
    </row>
    <row r="9551" spans="1:13">
      <c r="A9551" s="33" t="str">
        <f t="shared" si="596"/>
        <v>SCL - Operating Expense</v>
      </c>
      <c r="B9551" s="33" t="str">
        <f t="shared" si="597"/>
        <v>SCL</v>
      </c>
      <c r="C9551" s="33" t="str">
        <f t="shared" si="598"/>
        <v>64501-7378</v>
      </c>
      <c r="D9551" s="64" t="s">
        <v>10802</v>
      </c>
      <c r="E9551" s="64" t="s">
        <v>3188</v>
      </c>
      <c r="F9551" s="64" t="s">
        <v>15</v>
      </c>
      <c r="G9551" s="64" t="s">
        <v>3044</v>
      </c>
      <c r="H9551" s="64" t="s">
        <v>3022</v>
      </c>
      <c r="I9551" s="64" t="s">
        <v>3189</v>
      </c>
      <c r="J9551" s="67">
        <v>2415.24</v>
      </c>
      <c r="K9551" s="62">
        <v>21660.55</v>
      </c>
      <c r="L9551" s="33" t="e">
        <f>HLOOKUP(B9551,#REF!,1,0)</f>
        <v>#REF!</v>
      </c>
      <c r="M9551" s="33" t="str">
        <f t="shared" si="599"/>
        <v>P&amp;L</v>
      </c>
    </row>
    <row r="9552" spans="1:13">
      <c r="A9552" s="33" t="str">
        <f t="shared" si="596"/>
        <v>SCL - Operating Expense</v>
      </c>
      <c r="B9552" s="33" t="str">
        <f t="shared" si="597"/>
        <v>SCL</v>
      </c>
      <c r="C9552" s="33" t="str">
        <f t="shared" si="598"/>
        <v>64501-7379</v>
      </c>
      <c r="D9552" s="64" t="s">
        <v>10803</v>
      </c>
      <c r="E9552" s="64" t="s">
        <v>3188</v>
      </c>
      <c r="F9552" s="64" t="s">
        <v>15</v>
      </c>
      <c r="G9552" s="64" t="s">
        <v>3044</v>
      </c>
      <c r="H9552" s="64" t="s">
        <v>3022</v>
      </c>
      <c r="I9552" s="64" t="s">
        <v>3189</v>
      </c>
      <c r="J9552" s="67">
        <v>2272.23</v>
      </c>
      <c r="K9552" s="62">
        <v>21000.12</v>
      </c>
      <c r="L9552" s="33" t="e">
        <f>HLOOKUP(B9552,#REF!,1,0)</f>
        <v>#REF!</v>
      </c>
      <c r="M9552" s="33" t="str">
        <f t="shared" si="599"/>
        <v>P&amp;L</v>
      </c>
    </row>
    <row r="9553" spans="1:13">
      <c r="A9553" s="33" t="str">
        <f t="shared" si="596"/>
        <v>SCL - Operating Expense</v>
      </c>
      <c r="B9553" s="33" t="str">
        <f t="shared" si="597"/>
        <v>SCL</v>
      </c>
      <c r="C9553" s="33" t="str">
        <f t="shared" si="598"/>
        <v>64501-7380</v>
      </c>
      <c r="D9553" s="64" t="s">
        <v>10804</v>
      </c>
      <c r="E9553" s="64" t="s">
        <v>3188</v>
      </c>
      <c r="F9553" s="64" t="s">
        <v>15</v>
      </c>
      <c r="G9553" s="64" t="s">
        <v>3044</v>
      </c>
      <c r="H9553" s="64" t="s">
        <v>3022</v>
      </c>
      <c r="I9553" s="64" t="s">
        <v>3189</v>
      </c>
      <c r="J9553" s="67">
        <v>1490.82</v>
      </c>
      <c r="K9553" s="62">
        <v>13966.1</v>
      </c>
      <c r="L9553" s="33" t="e">
        <f>HLOOKUP(B9553,#REF!,1,0)</f>
        <v>#REF!</v>
      </c>
      <c r="M9553" s="33" t="str">
        <f t="shared" si="599"/>
        <v>P&amp;L</v>
      </c>
    </row>
    <row r="9554" spans="1:13">
      <c r="A9554" s="33" t="str">
        <f t="shared" si="596"/>
        <v>SCL - Operating Expense</v>
      </c>
      <c r="B9554" s="33" t="str">
        <f t="shared" si="597"/>
        <v>SCL</v>
      </c>
      <c r="C9554" s="33" t="str">
        <f t="shared" si="598"/>
        <v>64501-7381</v>
      </c>
      <c r="D9554" s="64" t="s">
        <v>10805</v>
      </c>
      <c r="E9554" s="64" t="s">
        <v>3188</v>
      </c>
      <c r="F9554" s="64" t="s">
        <v>15</v>
      </c>
      <c r="G9554" s="64" t="s">
        <v>3044</v>
      </c>
      <c r="H9554" s="64" t="s">
        <v>3022</v>
      </c>
      <c r="I9554" s="64" t="s">
        <v>3189</v>
      </c>
      <c r="J9554" s="67">
        <v>2280.23</v>
      </c>
      <c r="K9554" s="62">
        <v>20494.53</v>
      </c>
      <c r="L9554" s="33" t="e">
        <f>HLOOKUP(B9554,#REF!,1,0)</f>
        <v>#REF!</v>
      </c>
      <c r="M9554" s="33" t="str">
        <f t="shared" si="599"/>
        <v>P&amp;L</v>
      </c>
    </row>
    <row r="9555" spans="1:13">
      <c r="A9555" s="33" t="str">
        <f t="shared" si="596"/>
        <v>SCL - Operating Expense</v>
      </c>
      <c r="B9555" s="33" t="str">
        <f t="shared" si="597"/>
        <v>SCL</v>
      </c>
      <c r="C9555" s="33" t="str">
        <f t="shared" si="598"/>
        <v>64501-7383</v>
      </c>
      <c r="D9555" s="64" t="s">
        <v>10806</v>
      </c>
      <c r="E9555" s="64" t="s">
        <v>3188</v>
      </c>
      <c r="F9555" s="64" t="s">
        <v>15</v>
      </c>
      <c r="G9555" s="64" t="s">
        <v>3044</v>
      </c>
      <c r="H9555" s="64" t="s">
        <v>3022</v>
      </c>
      <c r="I9555" s="64" t="s">
        <v>3189</v>
      </c>
      <c r="J9555" s="67">
        <v>986.05</v>
      </c>
      <c r="K9555" s="62">
        <v>14684.68</v>
      </c>
      <c r="L9555" s="33" t="e">
        <f>HLOOKUP(B9555,#REF!,1,0)</f>
        <v>#REF!</v>
      </c>
      <c r="M9555" s="33" t="str">
        <f t="shared" si="599"/>
        <v>P&amp;L</v>
      </c>
    </row>
    <row r="9556" spans="1:13">
      <c r="A9556" s="33" t="str">
        <f t="shared" si="596"/>
        <v>SCL - Operating Expense</v>
      </c>
      <c r="B9556" s="33" t="str">
        <f t="shared" si="597"/>
        <v>SCL</v>
      </c>
      <c r="C9556" s="33" t="str">
        <f t="shared" si="598"/>
        <v>64501-7385</v>
      </c>
      <c r="D9556" s="64" t="s">
        <v>10807</v>
      </c>
      <c r="E9556" s="64" t="s">
        <v>3188</v>
      </c>
      <c r="F9556" s="64" t="s">
        <v>15</v>
      </c>
      <c r="G9556" s="64" t="s">
        <v>3044</v>
      </c>
      <c r="H9556" s="64" t="s">
        <v>3022</v>
      </c>
      <c r="I9556" s="64" t="s">
        <v>3189</v>
      </c>
      <c r="J9556" s="67">
        <v>1422.57</v>
      </c>
      <c r="K9556" s="62">
        <v>12756.97</v>
      </c>
      <c r="L9556" s="33" t="e">
        <f>HLOOKUP(B9556,#REF!,1,0)</f>
        <v>#REF!</v>
      </c>
      <c r="M9556" s="33" t="str">
        <f t="shared" si="599"/>
        <v>P&amp;L</v>
      </c>
    </row>
    <row r="9557" spans="1:13">
      <c r="A9557" s="33" t="str">
        <f t="shared" si="596"/>
        <v>SCL - Operating Expense</v>
      </c>
      <c r="B9557" s="33" t="str">
        <f t="shared" si="597"/>
        <v>SCL</v>
      </c>
      <c r="C9557" s="33" t="str">
        <f t="shared" si="598"/>
        <v>64501-7386</v>
      </c>
      <c r="D9557" s="64" t="s">
        <v>10808</v>
      </c>
      <c r="E9557" s="64" t="s">
        <v>3188</v>
      </c>
      <c r="F9557" s="64" t="s">
        <v>15</v>
      </c>
      <c r="G9557" s="64" t="s">
        <v>3044</v>
      </c>
      <c r="H9557" s="64" t="s">
        <v>3022</v>
      </c>
      <c r="I9557" s="64" t="s">
        <v>3189</v>
      </c>
      <c r="J9557" s="67">
        <v>1375.05</v>
      </c>
      <c r="K9557" s="62">
        <v>12372.32</v>
      </c>
      <c r="L9557" s="33" t="e">
        <f>HLOOKUP(B9557,#REF!,1,0)</f>
        <v>#REF!</v>
      </c>
      <c r="M9557" s="33" t="str">
        <f t="shared" si="599"/>
        <v>P&amp;L</v>
      </c>
    </row>
    <row r="9558" spans="1:13">
      <c r="A9558" s="33" t="str">
        <f t="shared" si="596"/>
        <v>SCL - Operating Expense</v>
      </c>
      <c r="B9558" s="33" t="str">
        <f t="shared" si="597"/>
        <v>SCL</v>
      </c>
      <c r="C9558" s="33" t="str">
        <f t="shared" si="598"/>
        <v>64501-7387</v>
      </c>
      <c r="D9558" s="64" t="s">
        <v>10809</v>
      </c>
      <c r="E9558" s="64" t="s">
        <v>3188</v>
      </c>
      <c r="F9558" s="64" t="s">
        <v>15</v>
      </c>
      <c r="G9558" s="64" t="s">
        <v>3044</v>
      </c>
      <c r="H9558" s="64" t="s">
        <v>3022</v>
      </c>
      <c r="I9558" s="64" t="s">
        <v>3189</v>
      </c>
      <c r="J9558" s="67">
        <v>2570.04</v>
      </c>
      <c r="K9558" s="62">
        <v>22578.71</v>
      </c>
      <c r="L9558" s="33" t="e">
        <f>HLOOKUP(B9558,#REF!,1,0)</f>
        <v>#REF!</v>
      </c>
      <c r="M9558" s="33" t="str">
        <f t="shared" si="599"/>
        <v>P&amp;L</v>
      </c>
    </row>
    <row r="9559" spans="1:13">
      <c r="A9559" s="33" t="str">
        <f t="shared" si="596"/>
        <v>SCL - Operating Expense</v>
      </c>
      <c r="B9559" s="33" t="str">
        <f t="shared" si="597"/>
        <v>SCL</v>
      </c>
      <c r="C9559" s="33" t="str">
        <f t="shared" si="598"/>
        <v>64501-7389</v>
      </c>
      <c r="D9559" s="64" t="s">
        <v>10810</v>
      </c>
      <c r="E9559" s="64" t="s">
        <v>3188</v>
      </c>
      <c r="F9559" s="64" t="s">
        <v>15</v>
      </c>
      <c r="G9559" s="64" t="s">
        <v>3044</v>
      </c>
      <c r="H9559" s="64" t="s">
        <v>3022</v>
      </c>
      <c r="I9559" s="64" t="s">
        <v>3189</v>
      </c>
      <c r="J9559" s="67">
        <v>2470.67</v>
      </c>
      <c r="K9559" s="62">
        <v>21376.21</v>
      </c>
      <c r="L9559" s="33" t="e">
        <f>HLOOKUP(B9559,#REF!,1,0)</f>
        <v>#REF!</v>
      </c>
      <c r="M9559" s="33" t="str">
        <f t="shared" si="599"/>
        <v>P&amp;L</v>
      </c>
    </row>
    <row r="9560" spans="1:13">
      <c r="A9560" s="33" t="str">
        <f t="shared" si="596"/>
        <v>SCL - Operating Expense</v>
      </c>
      <c r="B9560" s="33" t="str">
        <f t="shared" si="597"/>
        <v>SCL</v>
      </c>
      <c r="C9560" s="33" t="str">
        <f t="shared" si="598"/>
        <v>64501-7391</v>
      </c>
      <c r="D9560" s="64" t="s">
        <v>10811</v>
      </c>
      <c r="E9560" s="64" t="s">
        <v>3188</v>
      </c>
      <c r="F9560" s="64" t="s">
        <v>15</v>
      </c>
      <c r="G9560" s="64" t="s">
        <v>3044</v>
      </c>
      <c r="H9560" s="64" t="s">
        <v>3022</v>
      </c>
      <c r="I9560" s="64" t="s">
        <v>3189</v>
      </c>
      <c r="J9560" s="67">
        <v>2217.76</v>
      </c>
      <c r="K9560" s="62">
        <v>19527.22</v>
      </c>
      <c r="L9560" s="33" t="e">
        <f>HLOOKUP(B9560,#REF!,1,0)</f>
        <v>#REF!</v>
      </c>
      <c r="M9560" s="33" t="str">
        <f t="shared" si="599"/>
        <v>P&amp;L</v>
      </c>
    </row>
    <row r="9561" spans="1:13">
      <c r="A9561" s="33" t="str">
        <f t="shared" si="596"/>
        <v>SCL - Operating Expense</v>
      </c>
      <c r="B9561" s="33" t="str">
        <f t="shared" si="597"/>
        <v>SCL</v>
      </c>
      <c r="C9561" s="33" t="str">
        <f t="shared" si="598"/>
        <v>64501-7393</v>
      </c>
      <c r="D9561" s="64" t="s">
        <v>10812</v>
      </c>
      <c r="E9561" s="64" t="s">
        <v>3188</v>
      </c>
      <c r="F9561" s="64" t="s">
        <v>15</v>
      </c>
      <c r="G9561" s="64" t="s">
        <v>3044</v>
      </c>
      <c r="H9561" s="64" t="s">
        <v>3022</v>
      </c>
      <c r="I9561" s="64" t="s">
        <v>3189</v>
      </c>
      <c r="J9561" s="67">
        <v>1437.04</v>
      </c>
      <c r="K9561" s="62">
        <v>13064.92</v>
      </c>
      <c r="L9561" s="33" t="e">
        <f>HLOOKUP(B9561,#REF!,1,0)</f>
        <v>#REF!</v>
      </c>
      <c r="M9561" s="33" t="str">
        <f t="shared" si="599"/>
        <v>P&amp;L</v>
      </c>
    </row>
    <row r="9562" spans="1:13">
      <c r="A9562" s="33" t="str">
        <f t="shared" si="596"/>
        <v>SCL - Operating Expense</v>
      </c>
      <c r="B9562" s="33" t="str">
        <f t="shared" si="597"/>
        <v>SCL</v>
      </c>
      <c r="C9562" s="33" t="str">
        <f t="shared" si="598"/>
        <v>64501-7394</v>
      </c>
      <c r="D9562" s="64" t="s">
        <v>10813</v>
      </c>
      <c r="E9562" s="64" t="s">
        <v>3188</v>
      </c>
      <c r="F9562" s="64" t="s">
        <v>15</v>
      </c>
      <c r="G9562" s="64" t="s">
        <v>3044</v>
      </c>
      <c r="H9562" s="64" t="s">
        <v>3022</v>
      </c>
      <c r="I9562" s="64" t="s">
        <v>3189</v>
      </c>
      <c r="J9562" s="67">
        <v>1197.91</v>
      </c>
      <c r="K9562" s="62">
        <v>11889.73</v>
      </c>
      <c r="L9562" s="33" t="e">
        <f>HLOOKUP(B9562,#REF!,1,0)</f>
        <v>#REF!</v>
      </c>
      <c r="M9562" s="33" t="str">
        <f t="shared" si="599"/>
        <v>P&amp;L</v>
      </c>
    </row>
    <row r="9563" spans="1:13">
      <c r="A9563" s="33" t="str">
        <f t="shared" si="596"/>
        <v>SCL - Operating Expense</v>
      </c>
      <c r="B9563" s="33" t="str">
        <f t="shared" si="597"/>
        <v>SCL</v>
      </c>
      <c r="C9563" s="33" t="str">
        <f t="shared" si="598"/>
        <v>64501-7396</v>
      </c>
      <c r="D9563" s="64" t="s">
        <v>10814</v>
      </c>
      <c r="E9563" s="64" t="s">
        <v>3188</v>
      </c>
      <c r="F9563" s="64" t="s">
        <v>15</v>
      </c>
      <c r="G9563" s="64" t="s">
        <v>3044</v>
      </c>
      <c r="H9563" s="64" t="s">
        <v>3022</v>
      </c>
      <c r="I9563" s="64" t="s">
        <v>3189</v>
      </c>
      <c r="J9563" s="67">
        <v>1853.21</v>
      </c>
      <c r="K9563" s="62">
        <v>16948.26</v>
      </c>
      <c r="L9563" s="33" t="e">
        <f>HLOOKUP(B9563,#REF!,1,0)</f>
        <v>#REF!</v>
      </c>
      <c r="M9563" s="33" t="str">
        <f t="shared" si="599"/>
        <v>P&amp;L</v>
      </c>
    </row>
    <row r="9564" spans="1:13">
      <c r="A9564" s="33" t="str">
        <f t="shared" si="596"/>
        <v>SCL - Operating Expense</v>
      </c>
      <c r="B9564" s="33" t="str">
        <f t="shared" si="597"/>
        <v>SCL</v>
      </c>
      <c r="C9564" s="33" t="str">
        <f t="shared" si="598"/>
        <v>64501-7397</v>
      </c>
      <c r="D9564" s="64" t="s">
        <v>10815</v>
      </c>
      <c r="E9564" s="64" t="s">
        <v>3188</v>
      </c>
      <c r="F9564" s="64" t="s">
        <v>15</v>
      </c>
      <c r="G9564" s="64" t="s">
        <v>3044</v>
      </c>
      <c r="H9564" s="64" t="s">
        <v>3022</v>
      </c>
      <c r="I9564" s="64" t="s">
        <v>3189</v>
      </c>
      <c r="J9564" s="67">
        <v>2002.26</v>
      </c>
      <c r="K9564" s="62">
        <v>18389.14</v>
      </c>
      <c r="L9564" s="33" t="e">
        <f>HLOOKUP(B9564,#REF!,1,0)</f>
        <v>#REF!</v>
      </c>
      <c r="M9564" s="33" t="str">
        <f t="shared" si="599"/>
        <v>P&amp;L</v>
      </c>
    </row>
    <row r="9565" spans="1:13">
      <c r="A9565" s="33" t="str">
        <f t="shared" si="596"/>
        <v>SCL - Operating Expense</v>
      </c>
      <c r="B9565" s="33" t="str">
        <f t="shared" si="597"/>
        <v>SCL</v>
      </c>
      <c r="C9565" s="33" t="str">
        <f t="shared" si="598"/>
        <v>64501-7398</v>
      </c>
      <c r="D9565" s="64" t="s">
        <v>10816</v>
      </c>
      <c r="E9565" s="64" t="s">
        <v>3188</v>
      </c>
      <c r="F9565" s="64" t="s">
        <v>15</v>
      </c>
      <c r="G9565" s="64" t="s">
        <v>3044</v>
      </c>
      <c r="H9565" s="64" t="s">
        <v>3022</v>
      </c>
      <c r="I9565" s="64" t="s">
        <v>3189</v>
      </c>
      <c r="J9565" s="67">
        <v>2036</v>
      </c>
      <c r="K9565" s="62">
        <v>18089.15</v>
      </c>
      <c r="L9565" s="33" t="e">
        <f>HLOOKUP(B9565,#REF!,1,0)</f>
        <v>#REF!</v>
      </c>
      <c r="M9565" s="33" t="str">
        <f t="shared" si="599"/>
        <v>P&amp;L</v>
      </c>
    </row>
    <row r="9566" spans="1:13">
      <c r="A9566" s="33" t="str">
        <f t="shared" si="596"/>
        <v>SCL - Operating Expense</v>
      </c>
      <c r="B9566" s="33" t="str">
        <f t="shared" si="597"/>
        <v>SCL</v>
      </c>
      <c r="C9566" s="33" t="str">
        <f t="shared" si="598"/>
        <v>64501-7400</v>
      </c>
      <c r="D9566" s="64" t="s">
        <v>10817</v>
      </c>
      <c r="E9566" s="64" t="s">
        <v>3188</v>
      </c>
      <c r="F9566" s="64" t="s">
        <v>15</v>
      </c>
      <c r="G9566" s="64" t="s">
        <v>3044</v>
      </c>
      <c r="H9566" s="64" t="s">
        <v>3022</v>
      </c>
      <c r="I9566" s="64" t="s">
        <v>3189</v>
      </c>
      <c r="J9566" s="67">
        <v>1023.38</v>
      </c>
      <c r="K9566" s="62">
        <v>9398.08</v>
      </c>
      <c r="L9566" s="33" t="e">
        <f>HLOOKUP(B9566,#REF!,1,0)</f>
        <v>#REF!</v>
      </c>
      <c r="M9566" s="33" t="str">
        <f t="shared" si="599"/>
        <v>P&amp;L</v>
      </c>
    </row>
    <row r="9567" spans="1:13">
      <c r="A9567" s="33" t="str">
        <f t="shared" si="596"/>
        <v>SCL - Operating Expense</v>
      </c>
      <c r="B9567" s="33" t="str">
        <f t="shared" si="597"/>
        <v>SCL</v>
      </c>
      <c r="C9567" s="33" t="str">
        <f t="shared" si="598"/>
        <v>64501-7401</v>
      </c>
      <c r="D9567" s="64" t="s">
        <v>10818</v>
      </c>
      <c r="E9567" s="64" t="s">
        <v>3188</v>
      </c>
      <c r="F9567" s="64" t="s">
        <v>15</v>
      </c>
      <c r="G9567" s="64" t="s">
        <v>3044</v>
      </c>
      <c r="H9567" s="64" t="s">
        <v>3022</v>
      </c>
      <c r="I9567" s="64" t="s">
        <v>3189</v>
      </c>
      <c r="J9567" s="67">
        <v>1517.24</v>
      </c>
      <c r="K9567" s="62">
        <v>13843.58</v>
      </c>
      <c r="L9567" s="33" t="e">
        <f>HLOOKUP(B9567,#REF!,1,0)</f>
        <v>#REF!</v>
      </c>
      <c r="M9567" s="33" t="str">
        <f t="shared" si="599"/>
        <v>P&amp;L</v>
      </c>
    </row>
    <row r="9568" spans="1:13">
      <c r="A9568" s="33" t="str">
        <f t="shared" si="596"/>
        <v>SCL - Operating Expense</v>
      </c>
      <c r="B9568" s="33" t="str">
        <f t="shared" si="597"/>
        <v>SCL</v>
      </c>
      <c r="C9568" s="33" t="str">
        <f t="shared" si="598"/>
        <v>64501-7402</v>
      </c>
      <c r="D9568" s="64" t="s">
        <v>10819</v>
      </c>
      <c r="E9568" s="64" t="s">
        <v>3188</v>
      </c>
      <c r="F9568" s="64" t="s">
        <v>15</v>
      </c>
      <c r="G9568" s="64" t="s">
        <v>3044</v>
      </c>
      <c r="H9568" s="64" t="s">
        <v>3022</v>
      </c>
      <c r="I9568" s="64" t="s">
        <v>3189</v>
      </c>
      <c r="J9568" s="67">
        <v>1614.54</v>
      </c>
      <c r="K9568" s="62">
        <v>14561.14</v>
      </c>
      <c r="L9568" s="33" t="e">
        <f>HLOOKUP(B9568,#REF!,1,0)</f>
        <v>#REF!</v>
      </c>
      <c r="M9568" s="33" t="str">
        <f t="shared" si="599"/>
        <v>P&amp;L</v>
      </c>
    </row>
    <row r="9569" spans="1:13">
      <c r="A9569" s="33" t="str">
        <f t="shared" si="596"/>
        <v>SCL - Operating Expense</v>
      </c>
      <c r="B9569" s="33" t="str">
        <f t="shared" si="597"/>
        <v>SCL</v>
      </c>
      <c r="C9569" s="33" t="str">
        <f t="shared" si="598"/>
        <v>64501-7403</v>
      </c>
      <c r="D9569" s="64" t="s">
        <v>10820</v>
      </c>
      <c r="E9569" s="64" t="s">
        <v>3188</v>
      </c>
      <c r="F9569" s="64" t="s">
        <v>15</v>
      </c>
      <c r="G9569" s="64" t="s">
        <v>3044</v>
      </c>
      <c r="H9569" s="64" t="s">
        <v>3022</v>
      </c>
      <c r="I9569" s="64" t="s">
        <v>3189</v>
      </c>
      <c r="J9569" s="67">
        <v>1565.06</v>
      </c>
      <c r="K9569" s="62">
        <v>15157.2</v>
      </c>
      <c r="L9569" s="33" t="e">
        <f>HLOOKUP(B9569,#REF!,1,0)</f>
        <v>#REF!</v>
      </c>
      <c r="M9569" s="33" t="str">
        <f t="shared" si="599"/>
        <v>P&amp;L</v>
      </c>
    </row>
    <row r="9570" spans="1:13">
      <c r="A9570" s="33" t="str">
        <f t="shared" si="596"/>
        <v>SCL - Operating Expense</v>
      </c>
      <c r="B9570" s="33" t="str">
        <f t="shared" si="597"/>
        <v>SCL</v>
      </c>
      <c r="C9570" s="33" t="str">
        <f t="shared" si="598"/>
        <v>64501-7404</v>
      </c>
      <c r="D9570" s="64" t="s">
        <v>10821</v>
      </c>
      <c r="E9570" s="64" t="s">
        <v>3188</v>
      </c>
      <c r="F9570" s="64" t="s">
        <v>15</v>
      </c>
      <c r="G9570" s="64" t="s">
        <v>3044</v>
      </c>
      <c r="H9570" s="64" t="s">
        <v>3022</v>
      </c>
      <c r="I9570" s="64" t="s">
        <v>3189</v>
      </c>
      <c r="J9570" s="67">
        <v>0</v>
      </c>
      <c r="K9570" s="62">
        <v>0</v>
      </c>
      <c r="L9570" s="33" t="e">
        <f>HLOOKUP(B9570,#REF!,1,0)</f>
        <v>#REF!</v>
      </c>
      <c r="M9570" s="33" t="str">
        <f t="shared" si="599"/>
        <v>P&amp;L</v>
      </c>
    </row>
    <row r="9571" spans="1:13">
      <c r="A9571" s="33" t="str">
        <f t="shared" si="596"/>
        <v>SCL - Operating Expense</v>
      </c>
      <c r="B9571" s="33" t="str">
        <f t="shared" si="597"/>
        <v>SCL</v>
      </c>
      <c r="C9571" s="33" t="str">
        <f t="shared" si="598"/>
        <v>64501-7405</v>
      </c>
      <c r="D9571" s="64" t="s">
        <v>10822</v>
      </c>
      <c r="E9571" s="64" t="s">
        <v>3188</v>
      </c>
      <c r="F9571" s="64" t="s">
        <v>15</v>
      </c>
      <c r="G9571" s="64" t="s">
        <v>3044</v>
      </c>
      <c r="H9571" s="64" t="s">
        <v>3022</v>
      </c>
      <c r="I9571" s="64" t="s">
        <v>3189</v>
      </c>
      <c r="J9571" s="67">
        <v>0</v>
      </c>
      <c r="K9571" s="62">
        <v>0</v>
      </c>
      <c r="L9571" s="33" t="e">
        <f>HLOOKUP(B9571,#REF!,1,0)</f>
        <v>#REF!</v>
      </c>
      <c r="M9571" s="33" t="str">
        <f t="shared" si="599"/>
        <v>P&amp;L</v>
      </c>
    </row>
    <row r="9572" spans="1:13">
      <c r="A9572" s="33" t="str">
        <f t="shared" si="596"/>
        <v>SCL - Operating Expense</v>
      </c>
      <c r="B9572" s="33" t="str">
        <f t="shared" si="597"/>
        <v>SCL</v>
      </c>
      <c r="C9572" s="33" t="str">
        <f t="shared" si="598"/>
        <v>64501-7406</v>
      </c>
      <c r="D9572" s="64" t="s">
        <v>10823</v>
      </c>
      <c r="E9572" s="64" t="s">
        <v>3188</v>
      </c>
      <c r="F9572" s="64" t="s">
        <v>15</v>
      </c>
      <c r="G9572" s="64" t="s">
        <v>3044</v>
      </c>
      <c r="H9572" s="64" t="s">
        <v>3022</v>
      </c>
      <c r="I9572" s="64" t="s">
        <v>3189</v>
      </c>
      <c r="J9572" s="67">
        <v>0.01</v>
      </c>
      <c r="K9572" s="62">
        <v>3.17</v>
      </c>
      <c r="L9572" s="33" t="e">
        <f>HLOOKUP(B9572,#REF!,1,0)</f>
        <v>#REF!</v>
      </c>
      <c r="M9572" s="33" t="str">
        <f t="shared" si="599"/>
        <v>P&amp;L</v>
      </c>
    </row>
    <row r="9573" spans="1:13">
      <c r="A9573" s="33" t="str">
        <f t="shared" si="596"/>
        <v>SCL - Operating Expense</v>
      </c>
      <c r="B9573" s="33" t="str">
        <f t="shared" si="597"/>
        <v>SCL</v>
      </c>
      <c r="C9573" s="33" t="str">
        <f t="shared" si="598"/>
        <v>64501-7489</v>
      </c>
      <c r="D9573" s="64" t="s">
        <v>10824</v>
      </c>
      <c r="E9573" s="64" t="s">
        <v>3188</v>
      </c>
      <c r="F9573" s="64" t="s">
        <v>15</v>
      </c>
      <c r="G9573" s="64" t="s">
        <v>3044</v>
      </c>
      <c r="H9573" s="64" t="s">
        <v>3022</v>
      </c>
      <c r="I9573" s="64" t="s">
        <v>3189</v>
      </c>
      <c r="J9573" s="67">
        <v>2760.87</v>
      </c>
      <c r="K9573" s="62">
        <v>23923.4</v>
      </c>
      <c r="L9573" s="33" t="e">
        <f>HLOOKUP(B9573,#REF!,1,0)</f>
        <v>#REF!</v>
      </c>
      <c r="M9573" s="33" t="str">
        <f t="shared" si="599"/>
        <v>P&amp;L</v>
      </c>
    </row>
    <row r="9574" spans="1:13">
      <c r="A9574" s="33" t="str">
        <f t="shared" si="596"/>
        <v>SCL - Operating Expense</v>
      </c>
      <c r="B9574" s="33" t="str">
        <f t="shared" si="597"/>
        <v>SCL</v>
      </c>
      <c r="C9574" s="33" t="str">
        <f t="shared" si="598"/>
        <v>64501-7490</v>
      </c>
      <c r="D9574" s="64" t="s">
        <v>10825</v>
      </c>
      <c r="E9574" s="64" t="s">
        <v>3188</v>
      </c>
      <c r="F9574" s="64" t="s">
        <v>15</v>
      </c>
      <c r="G9574" s="64" t="s">
        <v>3044</v>
      </c>
      <c r="H9574" s="64" t="s">
        <v>3022</v>
      </c>
      <c r="I9574" s="64" t="s">
        <v>3189</v>
      </c>
      <c r="J9574" s="67">
        <v>0</v>
      </c>
      <c r="K9574" s="62">
        <v>0</v>
      </c>
      <c r="L9574" s="33" t="e">
        <f>HLOOKUP(B9574,#REF!,1,0)</f>
        <v>#REF!</v>
      </c>
      <c r="M9574" s="33" t="str">
        <f t="shared" si="599"/>
        <v>P&amp;L</v>
      </c>
    </row>
    <row r="9575" spans="1:13">
      <c r="A9575" s="33" t="str">
        <f t="shared" si="596"/>
        <v>SCL - Operating Expense</v>
      </c>
      <c r="B9575" s="33" t="str">
        <f t="shared" si="597"/>
        <v>SCL</v>
      </c>
      <c r="C9575" s="33" t="str">
        <f t="shared" si="598"/>
        <v>64501-7491</v>
      </c>
      <c r="D9575" s="64" t="s">
        <v>10826</v>
      </c>
      <c r="E9575" s="64" t="s">
        <v>3188</v>
      </c>
      <c r="F9575" s="64" t="s">
        <v>15</v>
      </c>
      <c r="G9575" s="64" t="s">
        <v>3044</v>
      </c>
      <c r="H9575" s="64" t="s">
        <v>3022</v>
      </c>
      <c r="I9575" s="64" t="s">
        <v>3189</v>
      </c>
      <c r="J9575" s="67">
        <v>1636.8</v>
      </c>
      <c r="K9575" s="62">
        <v>14263.96</v>
      </c>
      <c r="L9575" s="33" t="e">
        <f>HLOOKUP(B9575,#REF!,1,0)</f>
        <v>#REF!</v>
      </c>
      <c r="M9575" s="33" t="str">
        <f t="shared" si="599"/>
        <v>P&amp;L</v>
      </c>
    </row>
    <row r="9576" spans="1:13">
      <c r="A9576" s="33" t="str">
        <f t="shared" si="596"/>
        <v>SCL - Operating Expense</v>
      </c>
      <c r="B9576" s="33" t="str">
        <f t="shared" si="597"/>
        <v>SCL</v>
      </c>
      <c r="C9576" s="33" t="str">
        <f t="shared" si="598"/>
        <v>64501-7492</v>
      </c>
      <c r="D9576" s="64" t="s">
        <v>10827</v>
      </c>
      <c r="E9576" s="64" t="s">
        <v>3188</v>
      </c>
      <c r="F9576" s="64" t="s">
        <v>15</v>
      </c>
      <c r="G9576" s="64" t="s">
        <v>3044</v>
      </c>
      <c r="H9576" s="64" t="s">
        <v>3022</v>
      </c>
      <c r="I9576" s="64" t="s">
        <v>3189</v>
      </c>
      <c r="J9576" s="67">
        <v>1789.95</v>
      </c>
      <c r="K9576" s="62">
        <v>15701.35</v>
      </c>
      <c r="L9576" s="33" t="e">
        <f>HLOOKUP(B9576,#REF!,1,0)</f>
        <v>#REF!</v>
      </c>
      <c r="M9576" s="33" t="str">
        <f t="shared" si="599"/>
        <v>P&amp;L</v>
      </c>
    </row>
    <row r="9577" spans="1:13">
      <c r="A9577" s="33" t="str">
        <f t="shared" si="596"/>
        <v>SCL - Operating Expense</v>
      </c>
      <c r="B9577" s="33" t="str">
        <f t="shared" si="597"/>
        <v>SCL</v>
      </c>
      <c r="C9577" s="33" t="str">
        <f t="shared" si="598"/>
        <v>64501-7493</v>
      </c>
      <c r="D9577" s="64" t="s">
        <v>10828</v>
      </c>
      <c r="E9577" s="64" t="s">
        <v>3188</v>
      </c>
      <c r="F9577" s="64" t="s">
        <v>15</v>
      </c>
      <c r="G9577" s="64" t="s">
        <v>3044</v>
      </c>
      <c r="H9577" s="64" t="s">
        <v>3022</v>
      </c>
      <c r="I9577" s="64" t="s">
        <v>3189</v>
      </c>
      <c r="J9577" s="67">
        <v>2358.78</v>
      </c>
      <c r="K9577" s="62">
        <v>22278.79</v>
      </c>
      <c r="L9577" s="33" t="e">
        <f>HLOOKUP(B9577,#REF!,1,0)</f>
        <v>#REF!</v>
      </c>
      <c r="M9577" s="33" t="str">
        <f t="shared" si="599"/>
        <v>P&amp;L</v>
      </c>
    </row>
    <row r="9578" spans="1:13">
      <c r="A9578" s="33" t="str">
        <f t="shared" si="596"/>
        <v>SCL - Operating Expense</v>
      </c>
      <c r="B9578" s="33" t="str">
        <f t="shared" si="597"/>
        <v>SCL</v>
      </c>
      <c r="C9578" s="33" t="str">
        <f t="shared" si="598"/>
        <v>64501-7494</v>
      </c>
      <c r="D9578" s="64" t="s">
        <v>10829</v>
      </c>
      <c r="E9578" s="64" t="s">
        <v>3188</v>
      </c>
      <c r="F9578" s="64" t="s">
        <v>15</v>
      </c>
      <c r="G9578" s="64" t="s">
        <v>3044</v>
      </c>
      <c r="H9578" s="64" t="s">
        <v>3022</v>
      </c>
      <c r="I9578" s="64" t="s">
        <v>3189</v>
      </c>
      <c r="J9578" s="67">
        <v>1784.01</v>
      </c>
      <c r="K9578" s="62">
        <v>16590.86</v>
      </c>
      <c r="L9578" s="33" t="e">
        <f>HLOOKUP(B9578,#REF!,1,0)</f>
        <v>#REF!</v>
      </c>
      <c r="M9578" s="33" t="str">
        <f t="shared" si="599"/>
        <v>P&amp;L</v>
      </c>
    </row>
    <row r="9579" spans="1:13">
      <c r="A9579" s="33" t="str">
        <f t="shared" si="596"/>
        <v>SCL - Operating Expense</v>
      </c>
      <c r="B9579" s="33" t="str">
        <f t="shared" si="597"/>
        <v>SCL</v>
      </c>
      <c r="C9579" s="33" t="str">
        <f t="shared" si="598"/>
        <v>64501-7625</v>
      </c>
      <c r="D9579" s="64" t="s">
        <v>10830</v>
      </c>
      <c r="E9579" s="64" t="s">
        <v>3188</v>
      </c>
      <c r="F9579" s="64" t="s">
        <v>15</v>
      </c>
      <c r="G9579" s="64" t="s">
        <v>3044</v>
      </c>
      <c r="H9579" s="64" t="s">
        <v>3022</v>
      </c>
      <c r="I9579" s="64" t="s">
        <v>3189</v>
      </c>
      <c r="J9579" s="67">
        <v>1775.84</v>
      </c>
      <c r="K9579" s="62">
        <v>16383.17</v>
      </c>
      <c r="L9579" s="33" t="e">
        <f>HLOOKUP(B9579,#REF!,1,0)</f>
        <v>#REF!</v>
      </c>
      <c r="M9579" s="33" t="str">
        <f t="shared" si="599"/>
        <v>P&amp;L</v>
      </c>
    </row>
    <row r="9580" spans="1:13">
      <c r="A9580" s="33" t="str">
        <f t="shared" si="596"/>
        <v>SCL - Operating Expense</v>
      </c>
      <c r="B9580" s="33" t="str">
        <f t="shared" si="597"/>
        <v>SCL</v>
      </c>
      <c r="C9580" s="33" t="str">
        <f t="shared" si="598"/>
        <v>64501-8150</v>
      </c>
      <c r="D9580" s="64" t="s">
        <v>10831</v>
      </c>
      <c r="E9580" s="64" t="s">
        <v>3188</v>
      </c>
      <c r="F9580" s="64" t="s">
        <v>15</v>
      </c>
      <c r="G9580" s="64" t="s">
        <v>3044</v>
      </c>
      <c r="H9580" s="64" t="s">
        <v>3022</v>
      </c>
      <c r="I9580" s="64" t="s">
        <v>3189</v>
      </c>
      <c r="J9580" s="67">
        <v>1822.94</v>
      </c>
      <c r="K9580" s="62">
        <v>17121.73</v>
      </c>
      <c r="L9580" s="33" t="e">
        <f>HLOOKUP(B9580,#REF!,1,0)</f>
        <v>#REF!</v>
      </c>
      <c r="M9580" s="33" t="str">
        <f t="shared" si="599"/>
        <v>P&amp;L</v>
      </c>
    </row>
    <row r="9581" spans="1:13">
      <c r="A9581" s="33" t="str">
        <f t="shared" si="596"/>
        <v>SCL - Operating Expense</v>
      </c>
      <c r="B9581" s="33" t="str">
        <f t="shared" si="597"/>
        <v>SCL</v>
      </c>
      <c r="C9581" s="33" t="str">
        <f t="shared" si="598"/>
        <v>64502-0000</v>
      </c>
      <c r="D9581" s="64" t="s">
        <v>10832</v>
      </c>
      <c r="E9581" s="64" t="s">
        <v>3195</v>
      </c>
      <c r="F9581" s="64" t="s">
        <v>15</v>
      </c>
      <c r="G9581" s="64" t="s">
        <v>3044</v>
      </c>
      <c r="H9581" s="64" t="s">
        <v>3022</v>
      </c>
      <c r="I9581" s="64" t="s">
        <v>3196</v>
      </c>
      <c r="J9581" s="67">
        <v>592.89</v>
      </c>
      <c r="K9581" s="62">
        <v>19243.37</v>
      </c>
      <c r="L9581" s="33" t="e">
        <f>HLOOKUP(B9581,#REF!,1,0)</f>
        <v>#REF!</v>
      </c>
      <c r="M9581" s="33" t="str">
        <f t="shared" si="599"/>
        <v>P&amp;L</v>
      </c>
    </row>
    <row r="9582" spans="1:13">
      <c r="A9582" s="33" t="str">
        <f t="shared" si="596"/>
        <v>SCL - Operating Expense</v>
      </c>
      <c r="B9582" s="33" t="str">
        <f t="shared" si="597"/>
        <v>SCL</v>
      </c>
      <c r="C9582" s="33" t="str">
        <f t="shared" si="598"/>
        <v>64502-7351</v>
      </c>
      <c r="D9582" s="64" t="s">
        <v>10833</v>
      </c>
      <c r="E9582" s="64" t="s">
        <v>3195</v>
      </c>
      <c r="F9582" s="64" t="s">
        <v>15</v>
      </c>
      <c r="G9582" s="64" t="s">
        <v>3044</v>
      </c>
      <c r="H9582" s="64" t="s">
        <v>3022</v>
      </c>
      <c r="I9582" s="64" t="s">
        <v>3196</v>
      </c>
      <c r="J9582" s="67">
        <v>197.08</v>
      </c>
      <c r="K9582" s="62">
        <v>1846.94</v>
      </c>
      <c r="L9582" s="33" t="e">
        <f>HLOOKUP(B9582,#REF!,1,0)</f>
        <v>#REF!</v>
      </c>
      <c r="M9582" s="33" t="str">
        <f t="shared" si="599"/>
        <v>P&amp;L</v>
      </c>
    </row>
    <row r="9583" spans="1:13">
      <c r="A9583" s="33" t="str">
        <f t="shared" si="596"/>
        <v>SCL - Operating Expense</v>
      </c>
      <c r="B9583" s="33" t="str">
        <f t="shared" si="597"/>
        <v>SCL</v>
      </c>
      <c r="C9583" s="33" t="str">
        <f t="shared" si="598"/>
        <v>64502-7352</v>
      </c>
      <c r="D9583" s="64" t="s">
        <v>10834</v>
      </c>
      <c r="E9583" s="64" t="s">
        <v>3195</v>
      </c>
      <c r="F9583" s="64" t="s">
        <v>15</v>
      </c>
      <c r="G9583" s="64" t="s">
        <v>3044</v>
      </c>
      <c r="H9583" s="64" t="s">
        <v>3022</v>
      </c>
      <c r="I9583" s="64" t="s">
        <v>3196</v>
      </c>
      <c r="J9583" s="67">
        <v>198.78</v>
      </c>
      <c r="K9583" s="62">
        <v>1825.85</v>
      </c>
      <c r="L9583" s="33" t="e">
        <f>HLOOKUP(B9583,#REF!,1,0)</f>
        <v>#REF!</v>
      </c>
      <c r="M9583" s="33" t="str">
        <f t="shared" si="599"/>
        <v>P&amp;L</v>
      </c>
    </row>
    <row r="9584" spans="1:13">
      <c r="A9584" s="33" t="str">
        <f t="shared" si="596"/>
        <v>SCL - Operating Expense</v>
      </c>
      <c r="B9584" s="33" t="str">
        <f t="shared" si="597"/>
        <v>SCL</v>
      </c>
      <c r="C9584" s="33" t="str">
        <f t="shared" si="598"/>
        <v>64502-7355</v>
      </c>
      <c r="D9584" s="64" t="s">
        <v>10835</v>
      </c>
      <c r="E9584" s="64" t="s">
        <v>3195</v>
      </c>
      <c r="F9584" s="64" t="s">
        <v>15</v>
      </c>
      <c r="G9584" s="64" t="s">
        <v>3044</v>
      </c>
      <c r="H9584" s="64" t="s">
        <v>3022</v>
      </c>
      <c r="I9584" s="64" t="s">
        <v>3196</v>
      </c>
      <c r="J9584" s="67">
        <v>174.18</v>
      </c>
      <c r="K9584" s="62">
        <v>1563.68</v>
      </c>
      <c r="L9584" s="33" t="e">
        <f>HLOOKUP(B9584,#REF!,1,0)</f>
        <v>#REF!</v>
      </c>
      <c r="M9584" s="33" t="str">
        <f t="shared" si="599"/>
        <v>P&amp;L</v>
      </c>
    </row>
    <row r="9585" spans="1:13">
      <c r="A9585" s="33" t="str">
        <f t="shared" si="596"/>
        <v>SCL - Operating Expense</v>
      </c>
      <c r="B9585" s="33" t="str">
        <f t="shared" si="597"/>
        <v>SCL</v>
      </c>
      <c r="C9585" s="33" t="str">
        <f t="shared" si="598"/>
        <v>64502-7356</v>
      </c>
      <c r="D9585" s="64" t="s">
        <v>10836</v>
      </c>
      <c r="E9585" s="64" t="s">
        <v>3195</v>
      </c>
      <c r="F9585" s="64" t="s">
        <v>15</v>
      </c>
      <c r="G9585" s="64" t="s">
        <v>3044</v>
      </c>
      <c r="H9585" s="64" t="s">
        <v>3022</v>
      </c>
      <c r="I9585" s="64" t="s">
        <v>3196</v>
      </c>
      <c r="J9585" s="67">
        <v>24.39</v>
      </c>
      <c r="K9585" s="62">
        <v>623.02</v>
      </c>
      <c r="L9585" s="33" t="e">
        <f>HLOOKUP(B9585,#REF!,1,0)</f>
        <v>#REF!</v>
      </c>
      <c r="M9585" s="33" t="str">
        <f t="shared" si="599"/>
        <v>P&amp;L</v>
      </c>
    </row>
    <row r="9586" spans="1:13">
      <c r="A9586" s="33" t="str">
        <f t="shared" si="596"/>
        <v>SCL - Operating Expense</v>
      </c>
      <c r="B9586" s="33" t="str">
        <f t="shared" si="597"/>
        <v>SCL</v>
      </c>
      <c r="C9586" s="33" t="str">
        <f t="shared" si="598"/>
        <v>64502-7359</v>
      </c>
      <c r="D9586" s="64" t="s">
        <v>10837</v>
      </c>
      <c r="E9586" s="64" t="s">
        <v>3195</v>
      </c>
      <c r="F9586" s="64" t="s">
        <v>15</v>
      </c>
      <c r="G9586" s="64" t="s">
        <v>3044</v>
      </c>
      <c r="H9586" s="64" t="s">
        <v>3022</v>
      </c>
      <c r="I9586" s="64" t="s">
        <v>3196</v>
      </c>
      <c r="J9586" s="67">
        <v>217.84</v>
      </c>
      <c r="K9586" s="62">
        <v>2027.94</v>
      </c>
      <c r="L9586" s="33" t="e">
        <f>HLOOKUP(B9586,#REF!,1,0)</f>
        <v>#REF!</v>
      </c>
      <c r="M9586" s="33" t="str">
        <f t="shared" si="599"/>
        <v>P&amp;L</v>
      </c>
    </row>
    <row r="9587" spans="1:13">
      <c r="A9587" s="33" t="str">
        <f t="shared" si="596"/>
        <v>SCL - Operating Expense</v>
      </c>
      <c r="B9587" s="33" t="str">
        <f t="shared" si="597"/>
        <v>SCL</v>
      </c>
      <c r="C9587" s="33" t="str">
        <f t="shared" si="598"/>
        <v>64502-7360</v>
      </c>
      <c r="D9587" s="64" t="s">
        <v>10838</v>
      </c>
      <c r="E9587" s="64" t="s">
        <v>3195</v>
      </c>
      <c r="F9587" s="64" t="s">
        <v>15</v>
      </c>
      <c r="G9587" s="64" t="s">
        <v>3044</v>
      </c>
      <c r="H9587" s="64" t="s">
        <v>3022</v>
      </c>
      <c r="I9587" s="64" t="s">
        <v>3196</v>
      </c>
      <c r="J9587" s="67">
        <v>203.01</v>
      </c>
      <c r="K9587" s="62">
        <v>1753.99</v>
      </c>
      <c r="L9587" s="33" t="e">
        <f>HLOOKUP(B9587,#REF!,1,0)</f>
        <v>#REF!</v>
      </c>
      <c r="M9587" s="33" t="str">
        <f t="shared" si="599"/>
        <v>P&amp;L</v>
      </c>
    </row>
    <row r="9588" spans="1:13">
      <c r="A9588" s="33" t="str">
        <f t="shared" si="596"/>
        <v>SCL - Operating Expense</v>
      </c>
      <c r="B9588" s="33" t="str">
        <f t="shared" si="597"/>
        <v>SCL</v>
      </c>
      <c r="C9588" s="33" t="str">
        <f t="shared" si="598"/>
        <v>64502-7361</v>
      </c>
      <c r="D9588" s="64" t="s">
        <v>10839</v>
      </c>
      <c r="E9588" s="64" t="s">
        <v>3195</v>
      </c>
      <c r="F9588" s="64" t="s">
        <v>15</v>
      </c>
      <c r="G9588" s="64" t="s">
        <v>3044</v>
      </c>
      <c r="H9588" s="64" t="s">
        <v>3022</v>
      </c>
      <c r="I9588" s="64" t="s">
        <v>3196</v>
      </c>
      <c r="J9588" s="67">
        <v>219.28</v>
      </c>
      <c r="K9588" s="62">
        <v>2044.34</v>
      </c>
      <c r="L9588" s="33" t="e">
        <f>HLOOKUP(B9588,#REF!,1,0)</f>
        <v>#REF!</v>
      </c>
      <c r="M9588" s="33" t="str">
        <f t="shared" si="599"/>
        <v>P&amp;L</v>
      </c>
    </row>
    <row r="9589" spans="1:13">
      <c r="A9589" s="33" t="str">
        <f t="shared" si="596"/>
        <v>SCL - Operating Expense</v>
      </c>
      <c r="B9589" s="33" t="str">
        <f t="shared" si="597"/>
        <v>SCL</v>
      </c>
      <c r="C9589" s="33" t="str">
        <f t="shared" si="598"/>
        <v>64502-7362</v>
      </c>
      <c r="D9589" s="64" t="s">
        <v>10840</v>
      </c>
      <c r="E9589" s="64" t="s">
        <v>3195</v>
      </c>
      <c r="F9589" s="64" t="s">
        <v>15</v>
      </c>
      <c r="G9589" s="64" t="s">
        <v>3044</v>
      </c>
      <c r="H9589" s="64" t="s">
        <v>3022</v>
      </c>
      <c r="I9589" s="64" t="s">
        <v>3196</v>
      </c>
      <c r="J9589" s="67">
        <v>205.28</v>
      </c>
      <c r="K9589" s="62">
        <v>1936.19</v>
      </c>
      <c r="L9589" s="33" t="e">
        <f>HLOOKUP(B9589,#REF!,1,0)</f>
        <v>#REF!</v>
      </c>
      <c r="M9589" s="33" t="str">
        <f t="shared" si="599"/>
        <v>P&amp;L</v>
      </c>
    </row>
    <row r="9590" spans="1:13">
      <c r="A9590" s="33" t="str">
        <f t="shared" si="596"/>
        <v>SCL - Operating Expense</v>
      </c>
      <c r="B9590" s="33" t="str">
        <f t="shared" si="597"/>
        <v>SCL</v>
      </c>
      <c r="C9590" s="33" t="str">
        <f t="shared" si="598"/>
        <v>64502-7363</v>
      </c>
      <c r="D9590" s="64" t="s">
        <v>10841</v>
      </c>
      <c r="E9590" s="64" t="s">
        <v>3195</v>
      </c>
      <c r="F9590" s="64" t="s">
        <v>15</v>
      </c>
      <c r="G9590" s="64" t="s">
        <v>3044</v>
      </c>
      <c r="H9590" s="64" t="s">
        <v>3022</v>
      </c>
      <c r="I9590" s="64" t="s">
        <v>3196</v>
      </c>
      <c r="J9590" s="67">
        <v>177.49</v>
      </c>
      <c r="K9590" s="62">
        <v>1049.17</v>
      </c>
      <c r="L9590" s="33" t="e">
        <f>HLOOKUP(B9590,#REF!,1,0)</f>
        <v>#REF!</v>
      </c>
      <c r="M9590" s="33" t="str">
        <f t="shared" si="599"/>
        <v>P&amp;L</v>
      </c>
    </row>
    <row r="9591" spans="1:13">
      <c r="A9591" s="33" t="str">
        <f t="shared" si="596"/>
        <v>SCL - Operating Expense</v>
      </c>
      <c r="B9591" s="33" t="str">
        <f t="shared" si="597"/>
        <v>SCL</v>
      </c>
      <c r="C9591" s="33" t="str">
        <f t="shared" si="598"/>
        <v>64502-7364</v>
      </c>
      <c r="D9591" s="64" t="s">
        <v>10842</v>
      </c>
      <c r="E9591" s="64" t="s">
        <v>3195</v>
      </c>
      <c r="F9591" s="64" t="s">
        <v>15</v>
      </c>
      <c r="G9591" s="64" t="s">
        <v>3044</v>
      </c>
      <c r="H9591" s="64" t="s">
        <v>3022</v>
      </c>
      <c r="I9591" s="64" t="s">
        <v>3196</v>
      </c>
      <c r="J9591" s="67">
        <v>188.88</v>
      </c>
      <c r="K9591" s="62">
        <v>1757.69</v>
      </c>
      <c r="L9591" s="33" t="e">
        <f>HLOOKUP(B9591,#REF!,1,0)</f>
        <v>#REF!</v>
      </c>
      <c r="M9591" s="33" t="str">
        <f t="shared" si="599"/>
        <v>P&amp;L</v>
      </c>
    </row>
    <row r="9592" spans="1:13">
      <c r="A9592" s="33" t="str">
        <f t="shared" si="596"/>
        <v>SCL - Operating Expense</v>
      </c>
      <c r="B9592" s="33" t="str">
        <f t="shared" si="597"/>
        <v>SCL</v>
      </c>
      <c r="C9592" s="33" t="str">
        <f t="shared" si="598"/>
        <v>64502-7365</v>
      </c>
      <c r="D9592" s="64" t="s">
        <v>10843</v>
      </c>
      <c r="E9592" s="64" t="s">
        <v>3195</v>
      </c>
      <c r="F9592" s="64" t="s">
        <v>15</v>
      </c>
      <c r="G9592" s="64" t="s">
        <v>3044</v>
      </c>
      <c r="H9592" s="64" t="s">
        <v>3022</v>
      </c>
      <c r="I9592" s="64" t="s">
        <v>3196</v>
      </c>
      <c r="J9592" s="67">
        <v>211.9</v>
      </c>
      <c r="K9592" s="62">
        <v>1952.18</v>
      </c>
      <c r="L9592" s="33" t="e">
        <f>HLOOKUP(B9592,#REF!,1,0)</f>
        <v>#REF!</v>
      </c>
      <c r="M9592" s="33" t="str">
        <f t="shared" si="599"/>
        <v>P&amp;L</v>
      </c>
    </row>
    <row r="9593" spans="1:13">
      <c r="A9593" s="33" t="str">
        <f t="shared" si="596"/>
        <v>SCL - Operating Expense</v>
      </c>
      <c r="B9593" s="33" t="str">
        <f t="shared" si="597"/>
        <v>SCL</v>
      </c>
      <c r="C9593" s="33" t="str">
        <f t="shared" si="598"/>
        <v>64502-7366</v>
      </c>
      <c r="D9593" s="64" t="s">
        <v>10844</v>
      </c>
      <c r="E9593" s="64" t="s">
        <v>3195</v>
      </c>
      <c r="F9593" s="64" t="s">
        <v>15</v>
      </c>
      <c r="G9593" s="64" t="s">
        <v>3044</v>
      </c>
      <c r="H9593" s="64" t="s">
        <v>3022</v>
      </c>
      <c r="I9593" s="64" t="s">
        <v>3196</v>
      </c>
      <c r="J9593" s="67">
        <v>250.9</v>
      </c>
      <c r="K9593" s="62">
        <v>2215.94</v>
      </c>
      <c r="L9593" s="33" t="e">
        <f>HLOOKUP(B9593,#REF!,1,0)</f>
        <v>#REF!</v>
      </c>
      <c r="M9593" s="33" t="str">
        <f t="shared" si="599"/>
        <v>P&amp;L</v>
      </c>
    </row>
    <row r="9594" spans="1:13">
      <c r="A9594" s="33" t="str">
        <f t="shared" si="596"/>
        <v>SCL - Operating Expense</v>
      </c>
      <c r="B9594" s="33" t="str">
        <f t="shared" si="597"/>
        <v>SCL</v>
      </c>
      <c r="C9594" s="33" t="str">
        <f t="shared" si="598"/>
        <v>64502-7368</v>
      </c>
      <c r="D9594" s="64" t="s">
        <v>10845</v>
      </c>
      <c r="E9594" s="64" t="s">
        <v>3195</v>
      </c>
      <c r="F9594" s="64" t="s">
        <v>15</v>
      </c>
      <c r="G9594" s="64" t="s">
        <v>3044</v>
      </c>
      <c r="H9594" s="64" t="s">
        <v>3022</v>
      </c>
      <c r="I9594" s="64" t="s">
        <v>3196</v>
      </c>
      <c r="J9594" s="67">
        <v>206.64</v>
      </c>
      <c r="K9594" s="62">
        <v>1839.06</v>
      </c>
      <c r="L9594" s="33" t="e">
        <f>HLOOKUP(B9594,#REF!,1,0)</f>
        <v>#REF!</v>
      </c>
      <c r="M9594" s="33" t="str">
        <f t="shared" si="599"/>
        <v>P&amp;L</v>
      </c>
    </row>
    <row r="9595" spans="1:13">
      <c r="A9595" s="33" t="str">
        <f t="shared" si="596"/>
        <v>SCL - Operating Expense</v>
      </c>
      <c r="B9595" s="33" t="str">
        <f t="shared" si="597"/>
        <v>SCL</v>
      </c>
      <c r="C9595" s="33" t="str">
        <f t="shared" si="598"/>
        <v>64502-7369</v>
      </c>
      <c r="D9595" s="64" t="s">
        <v>10846</v>
      </c>
      <c r="E9595" s="64" t="s">
        <v>3195</v>
      </c>
      <c r="F9595" s="64" t="s">
        <v>15</v>
      </c>
      <c r="G9595" s="64" t="s">
        <v>3044</v>
      </c>
      <c r="H9595" s="64" t="s">
        <v>3022</v>
      </c>
      <c r="I9595" s="64" t="s">
        <v>3196</v>
      </c>
      <c r="J9595" s="67">
        <v>244.01</v>
      </c>
      <c r="K9595" s="62">
        <v>2027.13</v>
      </c>
      <c r="L9595" s="33" t="e">
        <f>HLOOKUP(B9595,#REF!,1,0)</f>
        <v>#REF!</v>
      </c>
      <c r="M9595" s="33" t="str">
        <f t="shared" si="599"/>
        <v>P&amp;L</v>
      </c>
    </row>
    <row r="9596" spans="1:13">
      <c r="A9596" s="33" t="str">
        <f t="shared" si="596"/>
        <v>SCL - Operating Expense</v>
      </c>
      <c r="B9596" s="33" t="str">
        <f t="shared" si="597"/>
        <v>SCL</v>
      </c>
      <c r="C9596" s="33" t="str">
        <f t="shared" si="598"/>
        <v>64502-7371</v>
      </c>
      <c r="D9596" s="64" t="s">
        <v>10847</v>
      </c>
      <c r="E9596" s="64" t="s">
        <v>3195</v>
      </c>
      <c r="F9596" s="64" t="s">
        <v>15</v>
      </c>
      <c r="G9596" s="64" t="s">
        <v>3044</v>
      </c>
      <c r="H9596" s="64" t="s">
        <v>3022</v>
      </c>
      <c r="I9596" s="64" t="s">
        <v>3196</v>
      </c>
      <c r="J9596" s="67">
        <v>99.86</v>
      </c>
      <c r="K9596" s="62">
        <v>773.61</v>
      </c>
      <c r="L9596" s="33" t="e">
        <f>HLOOKUP(B9596,#REF!,1,0)</f>
        <v>#REF!</v>
      </c>
      <c r="M9596" s="33" t="str">
        <f t="shared" si="599"/>
        <v>P&amp;L</v>
      </c>
    </row>
    <row r="9597" spans="1:13">
      <c r="A9597" s="33" t="str">
        <f t="shared" si="596"/>
        <v>SCL - Operating Expense</v>
      </c>
      <c r="B9597" s="33" t="str">
        <f t="shared" si="597"/>
        <v>SCL</v>
      </c>
      <c r="C9597" s="33" t="str">
        <f t="shared" si="598"/>
        <v>64502-7374</v>
      </c>
      <c r="D9597" s="64" t="s">
        <v>10848</v>
      </c>
      <c r="E9597" s="64" t="s">
        <v>3195</v>
      </c>
      <c r="F9597" s="64" t="s">
        <v>15</v>
      </c>
      <c r="G9597" s="64" t="s">
        <v>3044</v>
      </c>
      <c r="H9597" s="64" t="s">
        <v>3022</v>
      </c>
      <c r="I9597" s="64" t="s">
        <v>3196</v>
      </c>
      <c r="J9597" s="67">
        <v>215.18</v>
      </c>
      <c r="K9597" s="62">
        <v>2000.62</v>
      </c>
      <c r="L9597" s="33" t="e">
        <f>HLOOKUP(B9597,#REF!,1,0)</f>
        <v>#REF!</v>
      </c>
      <c r="M9597" s="33" t="str">
        <f t="shared" si="599"/>
        <v>P&amp;L</v>
      </c>
    </row>
    <row r="9598" spans="1:13">
      <c r="A9598" s="33" t="str">
        <f t="shared" si="596"/>
        <v>SCL - Operating Expense</v>
      </c>
      <c r="B9598" s="33" t="str">
        <f t="shared" si="597"/>
        <v>SCL</v>
      </c>
      <c r="C9598" s="33" t="str">
        <f t="shared" si="598"/>
        <v>64502-7375</v>
      </c>
      <c r="D9598" s="64" t="s">
        <v>10849</v>
      </c>
      <c r="E9598" s="64" t="s">
        <v>3195</v>
      </c>
      <c r="F9598" s="64" t="s">
        <v>15</v>
      </c>
      <c r="G9598" s="64" t="s">
        <v>3044</v>
      </c>
      <c r="H9598" s="64" t="s">
        <v>3022</v>
      </c>
      <c r="I9598" s="64" t="s">
        <v>3196</v>
      </c>
      <c r="J9598" s="67">
        <v>99.86</v>
      </c>
      <c r="K9598" s="62">
        <v>1188.94</v>
      </c>
      <c r="L9598" s="33" t="e">
        <f>HLOOKUP(B9598,#REF!,1,0)</f>
        <v>#REF!</v>
      </c>
      <c r="M9598" s="33" t="str">
        <f t="shared" si="599"/>
        <v>P&amp;L</v>
      </c>
    </row>
    <row r="9599" spans="1:13">
      <c r="A9599" s="33" t="str">
        <f t="shared" si="596"/>
        <v>SCL - Operating Expense</v>
      </c>
      <c r="B9599" s="33" t="str">
        <f t="shared" si="597"/>
        <v>SCL</v>
      </c>
      <c r="C9599" s="33" t="str">
        <f t="shared" si="598"/>
        <v>64502-7376</v>
      </c>
      <c r="D9599" s="64" t="s">
        <v>10850</v>
      </c>
      <c r="E9599" s="64" t="s">
        <v>3195</v>
      </c>
      <c r="F9599" s="64" t="s">
        <v>15</v>
      </c>
      <c r="G9599" s="64" t="s">
        <v>3044</v>
      </c>
      <c r="H9599" s="64" t="s">
        <v>3022</v>
      </c>
      <c r="I9599" s="64" t="s">
        <v>3196</v>
      </c>
      <c r="J9599" s="67">
        <v>213.44</v>
      </c>
      <c r="K9599" s="62">
        <v>2117.63</v>
      </c>
      <c r="L9599" s="33" t="e">
        <f>HLOOKUP(B9599,#REF!,1,0)</f>
        <v>#REF!</v>
      </c>
      <c r="M9599" s="33" t="str">
        <f t="shared" si="599"/>
        <v>P&amp;L</v>
      </c>
    </row>
    <row r="9600" spans="1:13">
      <c r="A9600" s="33" t="str">
        <f t="shared" si="596"/>
        <v>SCL - Operating Expense</v>
      </c>
      <c r="B9600" s="33" t="str">
        <f t="shared" si="597"/>
        <v>SCL</v>
      </c>
      <c r="C9600" s="33" t="str">
        <f t="shared" si="598"/>
        <v>64502-7377</v>
      </c>
      <c r="D9600" s="64" t="s">
        <v>10851</v>
      </c>
      <c r="E9600" s="64" t="s">
        <v>3195</v>
      </c>
      <c r="F9600" s="64" t="s">
        <v>15</v>
      </c>
      <c r="G9600" s="64" t="s">
        <v>3044</v>
      </c>
      <c r="H9600" s="64" t="s">
        <v>3022</v>
      </c>
      <c r="I9600" s="64" t="s">
        <v>3196</v>
      </c>
      <c r="J9600" s="67">
        <v>213.48</v>
      </c>
      <c r="K9600" s="62">
        <v>2025.43</v>
      </c>
      <c r="L9600" s="33" t="e">
        <f>HLOOKUP(B9600,#REF!,1,0)</f>
        <v>#REF!</v>
      </c>
      <c r="M9600" s="33" t="str">
        <f t="shared" si="599"/>
        <v>P&amp;L</v>
      </c>
    </row>
    <row r="9601" spans="1:13">
      <c r="A9601" s="33" t="str">
        <f t="shared" si="596"/>
        <v>SCL - Operating Expense</v>
      </c>
      <c r="B9601" s="33" t="str">
        <f t="shared" si="597"/>
        <v>SCL</v>
      </c>
      <c r="C9601" s="33" t="str">
        <f t="shared" si="598"/>
        <v>64502-7378</v>
      </c>
      <c r="D9601" s="64" t="s">
        <v>10852</v>
      </c>
      <c r="E9601" s="64" t="s">
        <v>3195</v>
      </c>
      <c r="F9601" s="64" t="s">
        <v>15</v>
      </c>
      <c r="G9601" s="64" t="s">
        <v>3044</v>
      </c>
      <c r="H9601" s="64" t="s">
        <v>3022</v>
      </c>
      <c r="I9601" s="64" t="s">
        <v>3196</v>
      </c>
      <c r="J9601" s="67">
        <v>258.34</v>
      </c>
      <c r="K9601" s="62">
        <v>2303</v>
      </c>
      <c r="L9601" s="33" t="e">
        <f>HLOOKUP(B9601,#REF!,1,0)</f>
        <v>#REF!</v>
      </c>
      <c r="M9601" s="33" t="str">
        <f t="shared" si="599"/>
        <v>P&amp;L</v>
      </c>
    </row>
    <row r="9602" spans="1:13">
      <c r="A9602" s="33" t="str">
        <f t="shared" ref="A9602:A9665" si="600">B9602&amp;" - "&amp;TRIM(H9602)</f>
        <v>SCL - Operating Expense</v>
      </c>
      <c r="B9602" s="33" t="str">
        <f t="shared" ref="B9602:B9665" si="601">LEFT(D9602,3)</f>
        <v>SCL</v>
      </c>
      <c r="C9602" s="33" t="str">
        <f t="shared" ref="C9602:C9665" si="602">RIGHT(D9602,10)</f>
        <v>64502-7379</v>
      </c>
      <c r="D9602" s="64" t="s">
        <v>10853</v>
      </c>
      <c r="E9602" s="64" t="s">
        <v>3195</v>
      </c>
      <c r="F9602" s="64" t="s">
        <v>15</v>
      </c>
      <c r="G9602" s="64" t="s">
        <v>3044</v>
      </c>
      <c r="H9602" s="64" t="s">
        <v>3022</v>
      </c>
      <c r="I9602" s="64" t="s">
        <v>3196</v>
      </c>
      <c r="J9602" s="67">
        <v>286.11</v>
      </c>
      <c r="K9602" s="62">
        <v>2219.06</v>
      </c>
      <c r="L9602" s="33" t="e">
        <f>HLOOKUP(B9602,#REF!,1,0)</f>
        <v>#REF!</v>
      </c>
      <c r="M9602" s="33" t="str">
        <f t="shared" ref="M9602:M9665" si="603">IF(VALUE(LEFT(C9602,5))&gt;40000,"P&amp;L","BS")</f>
        <v>P&amp;L</v>
      </c>
    </row>
    <row r="9603" spans="1:13">
      <c r="A9603" s="33" t="str">
        <f t="shared" si="600"/>
        <v>SCL - Operating Expense</v>
      </c>
      <c r="B9603" s="33" t="str">
        <f t="shared" si="601"/>
        <v>SCL</v>
      </c>
      <c r="C9603" s="33" t="str">
        <f t="shared" si="602"/>
        <v>64502-7380</v>
      </c>
      <c r="D9603" s="64" t="s">
        <v>10854</v>
      </c>
      <c r="E9603" s="64" t="s">
        <v>3195</v>
      </c>
      <c r="F9603" s="64" t="s">
        <v>15</v>
      </c>
      <c r="G9603" s="64" t="s">
        <v>3044</v>
      </c>
      <c r="H9603" s="64" t="s">
        <v>3022</v>
      </c>
      <c r="I9603" s="64" t="s">
        <v>3196</v>
      </c>
      <c r="J9603" s="67">
        <v>215.18</v>
      </c>
      <c r="K9603" s="62">
        <v>1963.72</v>
      </c>
      <c r="L9603" s="33" t="e">
        <f>HLOOKUP(B9603,#REF!,1,0)</f>
        <v>#REF!</v>
      </c>
      <c r="M9603" s="33" t="str">
        <f t="shared" si="603"/>
        <v>P&amp;L</v>
      </c>
    </row>
    <row r="9604" spans="1:13">
      <c r="A9604" s="33" t="str">
        <f t="shared" si="600"/>
        <v>SCL - Operating Expense</v>
      </c>
      <c r="B9604" s="33" t="str">
        <f t="shared" si="601"/>
        <v>SCL</v>
      </c>
      <c r="C9604" s="33" t="str">
        <f t="shared" si="602"/>
        <v>64502-7381</v>
      </c>
      <c r="D9604" s="64" t="s">
        <v>10855</v>
      </c>
      <c r="E9604" s="64" t="s">
        <v>3195</v>
      </c>
      <c r="F9604" s="64" t="s">
        <v>15</v>
      </c>
      <c r="G9604" s="64" t="s">
        <v>3044</v>
      </c>
      <c r="H9604" s="64" t="s">
        <v>3022</v>
      </c>
      <c r="I9604" s="64" t="s">
        <v>3196</v>
      </c>
      <c r="J9604" s="67">
        <v>215.18</v>
      </c>
      <c r="K9604" s="62">
        <v>2000.62</v>
      </c>
      <c r="L9604" s="33" t="e">
        <f>HLOOKUP(B9604,#REF!,1,0)</f>
        <v>#REF!</v>
      </c>
      <c r="M9604" s="33" t="str">
        <f t="shared" si="603"/>
        <v>P&amp;L</v>
      </c>
    </row>
    <row r="9605" spans="1:13">
      <c r="A9605" s="33" t="str">
        <f t="shared" si="600"/>
        <v>SCL - Operating Expense</v>
      </c>
      <c r="B9605" s="33" t="str">
        <f t="shared" si="601"/>
        <v>SCL</v>
      </c>
      <c r="C9605" s="33" t="str">
        <f t="shared" si="602"/>
        <v>64502-7383</v>
      </c>
      <c r="D9605" s="64" t="s">
        <v>10856</v>
      </c>
      <c r="E9605" s="64" t="s">
        <v>3195</v>
      </c>
      <c r="F9605" s="64" t="s">
        <v>15</v>
      </c>
      <c r="G9605" s="64" t="s">
        <v>3044</v>
      </c>
      <c r="H9605" s="64" t="s">
        <v>3022</v>
      </c>
      <c r="I9605" s="64" t="s">
        <v>3196</v>
      </c>
      <c r="J9605" s="67">
        <v>278.91</v>
      </c>
      <c r="K9605" s="62">
        <v>2136.7</v>
      </c>
      <c r="L9605" s="33" t="e">
        <f>HLOOKUP(B9605,#REF!,1,0)</f>
        <v>#REF!</v>
      </c>
      <c r="M9605" s="33" t="str">
        <f t="shared" si="603"/>
        <v>P&amp;L</v>
      </c>
    </row>
    <row r="9606" spans="1:13">
      <c r="A9606" s="33" t="str">
        <f t="shared" si="600"/>
        <v>SCL - Operating Expense</v>
      </c>
      <c r="B9606" s="33" t="str">
        <f t="shared" si="601"/>
        <v>SCL</v>
      </c>
      <c r="C9606" s="33" t="str">
        <f t="shared" si="602"/>
        <v>64502-7385</v>
      </c>
      <c r="D9606" s="64" t="s">
        <v>10857</v>
      </c>
      <c r="E9606" s="64" t="s">
        <v>3195</v>
      </c>
      <c r="F9606" s="64" t="s">
        <v>15</v>
      </c>
      <c r="G9606" s="64" t="s">
        <v>3044</v>
      </c>
      <c r="H9606" s="64" t="s">
        <v>3022</v>
      </c>
      <c r="I9606" s="64" t="s">
        <v>3196</v>
      </c>
      <c r="J9606" s="67">
        <v>237.3</v>
      </c>
      <c r="K9606" s="62">
        <v>2095.53</v>
      </c>
      <c r="L9606" s="33" t="e">
        <f>HLOOKUP(B9606,#REF!,1,0)</f>
        <v>#REF!</v>
      </c>
      <c r="M9606" s="33" t="str">
        <f t="shared" si="603"/>
        <v>P&amp;L</v>
      </c>
    </row>
    <row r="9607" spans="1:13">
      <c r="A9607" s="33" t="str">
        <f t="shared" si="600"/>
        <v>SCL - Operating Expense</v>
      </c>
      <c r="B9607" s="33" t="str">
        <f t="shared" si="601"/>
        <v>SCL</v>
      </c>
      <c r="C9607" s="33" t="str">
        <f t="shared" si="602"/>
        <v>64502-7386</v>
      </c>
      <c r="D9607" s="64" t="s">
        <v>10858</v>
      </c>
      <c r="E9607" s="64" t="s">
        <v>3195</v>
      </c>
      <c r="F9607" s="64" t="s">
        <v>15</v>
      </c>
      <c r="G9607" s="64" t="s">
        <v>3044</v>
      </c>
      <c r="H9607" s="64" t="s">
        <v>3022</v>
      </c>
      <c r="I9607" s="64" t="s">
        <v>3196</v>
      </c>
      <c r="J9607" s="67">
        <v>223.38</v>
      </c>
      <c r="K9607" s="62">
        <v>2088</v>
      </c>
      <c r="L9607" s="33" t="e">
        <f>HLOOKUP(B9607,#REF!,1,0)</f>
        <v>#REF!</v>
      </c>
      <c r="M9607" s="33" t="str">
        <f t="shared" si="603"/>
        <v>P&amp;L</v>
      </c>
    </row>
    <row r="9608" spans="1:13">
      <c r="A9608" s="33" t="str">
        <f t="shared" si="600"/>
        <v>SCL - Operating Expense</v>
      </c>
      <c r="B9608" s="33" t="str">
        <f t="shared" si="601"/>
        <v>SCL</v>
      </c>
      <c r="C9608" s="33" t="str">
        <f t="shared" si="602"/>
        <v>64502-7387</v>
      </c>
      <c r="D9608" s="64" t="s">
        <v>10859</v>
      </c>
      <c r="E9608" s="64" t="s">
        <v>3195</v>
      </c>
      <c r="F9608" s="64" t="s">
        <v>15</v>
      </c>
      <c r="G9608" s="64" t="s">
        <v>3044</v>
      </c>
      <c r="H9608" s="64" t="s">
        <v>3022</v>
      </c>
      <c r="I9608" s="64" t="s">
        <v>3196</v>
      </c>
      <c r="J9608" s="67">
        <v>213.48</v>
      </c>
      <c r="K9608" s="62">
        <v>2025.43</v>
      </c>
      <c r="L9608" s="33" t="e">
        <f>HLOOKUP(B9608,#REF!,1,0)</f>
        <v>#REF!</v>
      </c>
      <c r="M9608" s="33" t="str">
        <f t="shared" si="603"/>
        <v>P&amp;L</v>
      </c>
    </row>
    <row r="9609" spans="1:13">
      <c r="A9609" s="33" t="str">
        <f t="shared" si="600"/>
        <v>SCL - Operating Expense</v>
      </c>
      <c r="B9609" s="33" t="str">
        <f t="shared" si="601"/>
        <v>SCL</v>
      </c>
      <c r="C9609" s="33" t="str">
        <f t="shared" si="602"/>
        <v>64502-7389</v>
      </c>
      <c r="D9609" s="64" t="s">
        <v>10860</v>
      </c>
      <c r="E9609" s="64" t="s">
        <v>3195</v>
      </c>
      <c r="F9609" s="64" t="s">
        <v>15</v>
      </c>
      <c r="G9609" s="64" t="s">
        <v>3044</v>
      </c>
      <c r="H9609" s="64" t="s">
        <v>3022</v>
      </c>
      <c r="I9609" s="64" t="s">
        <v>3196</v>
      </c>
      <c r="J9609" s="67">
        <v>228.4</v>
      </c>
      <c r="K9609" s="62">
        <v>2056.86</v>
      </c>
      <c r="L9609" s="33" t="e">
        <f>HLOOKUP(B9609,#REF!,1,0)</f>
        <v>#REF!</v>
      </c>
      <c r="M9609" s="33" t="str">
        <f t="shared" si="603"/>
        <v>P&amp;L</v>
      </c>
    </row>
    <row r="9610" spans="1:13">
      <c r="A9610" s="33" t="str">
        <f t="shared" si="600"/>
        <v>SCL - Operating Expense</v>
      </c>
      <c r="B9610" s="33" t="str">
        <f t="shared" si="601"/>
        <v>SCL</v>
      </c>
      <c r="C9610" s="33" t="str">
        <f t="shared" si="602"/>
        <v>64502-7391</v>
      </c>
      <c r="D9610" s="64" t="s">
        <v>10861</v>
      </c>
      <c r="E9610" s="64" t="s">
        <v>3195</v>
      </c>
      <c r="F9610" s="64" t="s">
        <v>15</v>
      </c>
      <c r="G9610" s="64" t="s">
        <v>3044</v>
      </c>
      <c r="H9610" s="64" t="s">
        <v>3022</v>
      </c>
      <c r="I9610" s="64" t="s">
        <v>3196</v>
      </c>
      <c r="J9610" s="67">
        <v>233.76</v>
      </c>
      <c r="K9610" s="62">
        <v>1937.88</v>
      </c>
      <c r="L9610" s="33" t="e">
        <f>HLOOKUP(B9610,#REF!,1,0)</f>
        <v>#REF!</v>
      </c>
      <c r="M9610" s="33" t="str">
        <f t="shared" si="603"/>
        <v>P&amp;L</v>
      </c>
    </row>
    <row r="9611" spans="1:13">
      <c r="A9611" s="33" t="str">
        <f t="shared" si="600"/>
        <v>SCL - Operating Expense</v>
      </c>
      <c r="B9611" s="33" t="str">
        <f t="shared" si="601"/>
        <v>SCL</v>
      </c>
      <c r="C9611" s="33" t="str">
        <f t="shared" si="602"/>
        <v>64502-7393</v>
      </c>
      <c r="D9611" s="64" t="s">
        <v>10862</v>
      </c>
      <c r="E9611" s="64" t="s">
        <v>3195</v>
      </c>
      <c r="F9611" s="64" t="s">
        <v>15</v>
      </c>
      <c r="G9611" s="64" t="s">
        <v>3044</v>
      </c>
      <c r="H9611" s="64" t="s">
        <v>3022</v>
      </c>
      <c r="I9611" s="64" t="s">
        <v>3196</v>
      </c>
      <c r="J9611" s="67">
        <v>215.18</v>
      </c>
      <c r="K9611" s="62">
        <v>2000.63</v>
      </c>
      <c r="L9611" s="33" t="e">
        <f>HLOOKUP(B9611,#REF!,1,0)</f>
        <v>#REF!</v>
      </c>
      <c r="M9611" s="33" t="str">
        <f t="shared" si="603"/>
        <v>P&amp;L</v>
      </c>
    </row>
    <row r="9612" spans="1:13">
      <c r="A9612" s="33" t="str">
        <f t="shared" si="600"/>
        <v>SCL - Operating Expense</v>
      </c>
      <c r="B9612" s="33" t="str">
        <f t="shared" si="601"/>
        <v>SCL</v>
      </c>
      <c r="C9612" s="33" t="str">
        <f t="shared" si="602"/>
        <v>64502-7394</v>
      </c>
      <c r="D9612" s="64" t="s">
        <v>10863</v>
      </c>
      <c r="E9612" s="64" t="s">
        <v>3195</v>
      </c>
      <c r="F9612" s="64" t="s">
        <v>15</v>
      </c>
      <c r="G9612" s="64" t="s">
        <v>3044</v>
      </c>
      <c r="H9612" s="64" t="s">
        <v>3022</v>
      </c>
      <c r="I9612" s="64" t="s">
        <v>3196</v>
      </c>
      <c r="J9612" s="67">
        <v>208.62</v>
      </c>
      <c r="K9612" s="62">
        <v>1821.96</v>
      </c>
      <c r="L9612" s="33" t="e">
        <f>HLOOKUP(B9612,#REF!,1,0)</f>
        <v>#REF!</v>
      </c>
      <c r="M9612" s="33" t="str">
        <f t="shared" si="603"/>
        <v>P&amp;L</v>
      </c>
    </row>
    <row r="9613" spans="1:13">
      <c r="A9613" s="33" t="str">
        <f t="shared" si="600"/>
        <v>SCL - Operating Expense</v>
      </c>
      <c r="B9613" s="33" t="str">
        <f t="shared" si="601"/>
        <v>SCL</v>
      </c>
      <c r="C9613" s="33" t="str">
        <f t="shared" si="602"/>
        <v>64502-7396</v>
      </c>
      <c r="D9613" s="64" t="s">
        <v>10864</v>
      </c>
      <c r="E9613" s="64" t="s">
        <v>3195</v>
      </c>
      <c r="F9613" s="64" t="s">
        <v>15</v>
      </c>
      <c r="G9613" s="64" t="s">
        <v>3044</v>
      </c>
      <c r="H9613" s="64" t="s">
        <v>3022</v>
      </c>
      <c r="I9613" s="64" t="s">
        <v>3196</v>
      </c>
      <c r="J9613" s="67">
        <v>190.57</v>
      </c>
      <c r="K9613" s="62">
        <v>1738.44</v>
      </c>
      <c r="L9613" s="33" t="e">
        <f>HLOOKUP(B9613,#REF!,1,0)</f>
        <v>#REF!</v>
      </c>
      <c r="M9613" s="33" t="str">
        <f t="shared" si="603"/>
        <v>P&amp;L</v>
      </c>
    </row>
    <row r="9614" spans="1:13">
      <c r="A9614" s="33" t="str">
        <f t="shared" si="600"/>
        <v>SCL - Operating Expense</v>
      </c>
      <c r="B9614" s="33" t="str">
        <f t="shared" si="601"/>
        <v>SCL</v>
      </c>
      <c r="C9614" s="33" t="str">
        <f t="shared" si="602"/>
        <v>64502-7397</v>
      </c>
      <c r="D9614" s="64" t="s">
        <v>10865</v>
      </c>
      <c r="E9614" s="64" t="s">
        <v>3195</v>
      </c>
      <c r="F9614" s="64" t="s">
        <v>15</v>
      </c>
      <c r="G9614" s="64" t="s">
        <v>3044</v>
      </c>
      <c r="H9614" s="64" t="s">
        <v>3022</v>
      </c>
      <c r="I9614" s="64" t="s">
        <v>3196</v>
      </c>
      <c r="J9614" s="67">
        <v>223.51</v>
      </c>
      <c r="K9614" s="62">
        <v>1848.64</v>
      </c>
      <c r="L9614" s="33" t="e">
        <f>HLOOKUP(B9614,#REF!,1,0)</f>
        <v>#REF!</v>
      </c>
      <c r="M9614" s="33" t="str">
        <f t="shared" si="603"/>
        <v>P&amp;L</v>
      </c>
    </row>
    <row r="9615" spans="1:13">
      <c r="A9615" s="33" t="str">
        <f t="shared" si="600"/>
        <v>SCL - Operating Expense</v>
      </c>
      <c r="B9615" s="33" t="str">
        <f t="shared" si="601"/>
        <v>SCL</v>
      </c>
      <c r="C9615" s="33" t="str">
        <f t="shared" si="602"/>
        <v>64502-7398</v>
      </c>
      <c r="D9615" s="64" t="s">
        <v>10866</v>
      </c>
      <c r="E9615" s="64" t="s">
        <v>3195</v>
      </c>
      <c r="F9615" s="64" t="s">
        <v>15</v>
      </c>
      <c r="G9615" s="64" t="s">
        <v>3044</v>
      </c>
      <c r="H9615" s="64" t="s">
        <v>3022</v>
      </c>
      <c r="I9615" s="64" t="s">
        <v>3196</v>
      </c>
      <c r="J9615" s="67">
        <v>215.18</v>
      </c>
      <c r="K9615" s="62">
        <v>1954.51</v>
      </c>
      <c r="L9615" s="33" t="e">
        <f>HLOOKUP(B9615,#REF!,1,0)</f>
        <v>#REF!</v>
      </c>
      <c r="M9615" s="33" t="str">
        <f t="shared" si="603"/>
        <v>P&amp;L</v>
      </c>
    </row>
    <row r="9616" spans="1:13">
      <c r="A9616" s="33" t="str">
        <f t="shared" si="600"/>
        <v>SCL - Operating Expense</v>
      </c>
      <c r="B9616" s="33" t="str">
        <f t="shared" si="601"/>
        <v>SCL</v>
      </c>
      <c r="C9616" s="33" t="str">
        <f t="shared" si="602"/>
        <v>64502-7400</v>
      </c>
      <c r="D9616" s="64" t="s">
        <v>10867</v>
      </c>
      <c r="E9616" s="64" t="s">
        <v>3195</v>
      </c>
      <c r="F9616" s="64" t="s">
        <v>15</v>
      </c>
      <c r="G9616" s="64" t="s">
        <v>3044</v>
      </c>
      <c r="H9616" s="64" t="s">
        <v>3022</v>
      </c>
      <c r="I9616" s="64" t="s">
        <v>3196</v>
      </c>
      <c r="J9616" s="67">
        <v>260.99</v>
      </c>
      <c r="K9616" s="62">
        <v>1941.56</v>
      </c>
      <c r="L9616" s="33" t="e">
        <f>HLOOKUP(B9616,#REF!,1,0)</f>
        <v>#REF!</v>
      </c>
      <c r="M9616" s="33" t="str">
        <f t="shared" si="603"/>
        <v>P&amp;L</v>
      </c>
    </row>
    <row r="9617" spans="1:13">
      <c r="A9617" s="33" t="str">
        <f t="shared" si="600"/>
        <v>SCL - Operating Expense</v>
      </c>
      <c r="B9617" s="33" t="str">
        <f t="shared" si="601"/>
        <v>SCL</v>
      </c>
      <c r="C9617" s="33" t="str">
        <f t="shared" si="602"/>
        <v>64502-7401</v>
      </c>
      <c r="D9617" s="64" t="s">
        <v>10868</v>
      </c>
      <c r="E9617" s="64" t="s">
        <v>3195</v>
      </c>
      <c r="F9617" s="64" t="s">
        <v>15</v>
      </c>
      <c r="G9617" s="64" t="s">
        <v>3044</v>
      </c>
      <c r="H9617" s="64" t="s">
        <v>3022</v>
      </c>
      <c r="I9617" s="64" t="s">
        <v>3196</v>
      </c>
      <c r="J9617" s="67">
        <v>216.5</v>
      </c>
      <c r="K9617" s="62">
        <v>1950.12</v>
      </c>
      <c r="L9617" s="33" t="e">
        <f>HLOOKUP(B9617,#REF!,1,0)</f>
        <v>#REF!</v>
      </c>
      <c r="M9617" s="33" t="str">
        <f t="shared" si="603"/>
        <v>P&amp;L</v>
      </c>
    </row>
    <row r="9618" spans="1:13">
      <c r="A9618" s="33" t="str">
        <f t="shared" si="600"/>
        <v>SCL - Operating Expense</v>
      </c>
      <c r="B9618" s="33" t="str">
        <f t="shared" si="601"/>
        <v>SCL</v>
      </c>
      <c r="C9618" s="33" t="str">
        <f t="shared" si="602"/>
        <v>64502-7402</v>
      </c>
      <c r="D9618" s="64" t="s">
        <v>10869</v>
      </c>
      <c r="E9618" s="64" t="s">
        <v>3195</v>
      </c>
      <c r="F9618" s="64" t="s">
        <v>15</v>
      </c>
      <c r="G9618" s="64" t="s">
        <v>3044</v>
      </c>
      <c r="H9618" s="64" t="s">
        <v>3022</v>
      </c>
      <c r="I9618" s="64" t="s">
        <v>3196</v>
      </c>
      <c r="J9618" s="67">
        <v>269.94</v>
      </c>
      <c r="K9618" s="62">
        <v>2532.87</v>
      </c>
      <c r="L9618" s="33" t="e">
        <f>HLOOKUP(B9618,#REF!,1,0)</f>
        <v>#REF!</v>
      </c>
      <c r="M9618" s="33" t="str">
        <f t="shared" si="603"/>
        <v>P&amp;L</v>
      </c>
    </row>
    <row r="9619" spans="1:13">
      <c r="A9619" s="33" t="str">
        <f t="shared" si="600"/>
        <v>SCL - Operating Expense</v>
      </c>
      <c r="B9619" s="33" t="str">
        <f t="shared" si="601"/>
        <v>SCL</v>
      </c>
      <c r="C9619" s="33" t="str">
        <f t="shared" si="602"/>
        <v>64502-7403</v>
      </c>
      <c r="D9619" s="64" t="s">
        <v>10870</v>
      </c>
      <c r="E9619" s="64" t="s">
        <v>3195</v>
      </c>
      <c r="F9619" s="64" t="s">
        <v>15</v>
      </c>
      <c r="G9619" s="64" t="s">
        <v>3044</v>
      </c>
      <c r="H9619" s="64" t="s">
        <v>3022</v>
      </c>
      <c r="I9619" s="64" t="s">
        <v>3196</v>
      </c>
      <c r="J9619" s="67">
        <v>174.18</v>
      </c>
      <c r="K9619" s="62">
        <v>1563.69</v>
      </c>
      <c r="L9619" s="33" t="e">
        <f>HLOOKUP(B9619,#REF!,1,0)</f>
        <v>#REF!</v>
      </c>
      <c r="M9619" s="33" t="str">
        <f t="shared" si="603"/>
        <v>P&amp;L</v>
      </c>
    </row>
    <row r="9620" spans="1:13">
      <c r="A9620" s="33" t="str">
        <f t="shared" si="600"/>
        <v>SCL - Operating Expense</v>
      </c>
      <c r="B9620" s="33" t="str">
        <f t="shared" si="601"/>
        <v>SCL</v>
      </c>
      <c r="C9620" s="33" t="str">
        <f t="shared" si="602"/>
        <v>64502-7405</v>
      </c>
      <c r="D9620" s="64" t="s">
        <v>10871</v>
      </c>
      <c r="E9620" s="64" t="s">
        <v>3195</v>
      </c>
      <c r="F9620" s="64" t="s">
        <v>15</v>
      </c>
      <c r="G9620" s="64" t="s">
        <v>3044</v>
      </c>
      <c r="H9620" s="64" t="s">
        <v>3022</v>
      </c>
      <c r="I9620" s="64" t="s">
        <v>3196</v>
      </c>
      <c r="J9620" s="67">
        <v>24.39</v>
      </c>
      <c r="K9620" s="62">
        <v>227.97</v>
      </c>
      <c r="L9620" s="33" t="e">
        <f>HLOOKUP(B9620,#REF!,1,0)</f>
        <v>#REF!</v>
      </c>
      <c r="M9620" s="33" t="str">
        <f t="shared" si="603"/>
        <v>P&amp;L</v>
      </c>
    </row>
    <row r="9621" spans="1:13">
      <c r="A9621" s="33" t="str">
        <f t="shared" si="600"/>
        <v>SCL - Operating Expense</v>
      </c>
      <c r="B9621" s="33" t="str">
        <f t="shared" si="601"/>
        <v>SCL</v>
      </c>
      <c r="C9621" s="33" t="str">
        <f t="shared" si="602"/>
        <v>64502-7489</v>
      </c>
      <c r="D9621" s="64" t="s">
        <v>10872</v>
      </c>
      <c r="E9621" s="64" t="s">
        <v>3195</v>
      </c>
      <c r="F9621" s="64" t="s">
        <v>15</v>
      </c>
      <c r="G9621" s="64" t="s">
        <v>3044</v>
      </c>
      <c r="H9621" s="64" t="s">
        <v>3022</v>
      </c>
      <c r="I9621" s="64" t="s">
        <v>3196</v>
      </c>
      <c r="J9621" s="67">
        <v>264.86</v>
      </c>
      <c r="K9621" s="62">
        <v>2527.7</v>
      </c>
      <c r="L9621" s="33" t="e">
        <f>HLOOKUP(B9621,#REF!,1,0)</f>
        <v>#REF!</v>
      </c>
      <c r="M9621" s="33" t="str">
        <f t="shared" si="603"/>
        <v>P&amp;L</v>
      </c>
    </row>
    <row r="9622" spans="1:13">
      <c r="A9622" s="33" t="str">
        <f t="shared" si="600"/>
        <v>SCL - Operating Expense</v>
      </c>
      <c r="B9622" s="33" t="str">
        <f t="shared" si="601"/>
        <v>SCL</v>
      </c>
      <c r="C9622" s="33" t="str">
        <f t="shared" si="602"/>
        <v>64502-7490</v>
      </c>
      <c r="D9622" s="64" t="s">
        <v>10873</v>
      </c>
      <c r="E9622" s="64" t="s">
        <v>3195</v>
      </c>
      <c r="F9622" s="64" t="s">
        <v>15</v>
      </c>
      <c r="G9622" s="64" t="s">
        <v>3044</v>
      </c>
      <c r="H9622" s="64" t="s">
        <v>3022</v>
      </c>
      <c r="I9622" s="64" t="s">
        <v>3196</v>
      </c>
      <c r="J9622" s="67">
        <v>24.39</v>
      </c>
      <c r="K9622" s="62">
        <v>227.97</v>
      </c>
      <c r="L9622" s="33" t="e">
        <f>HLOOKUP(B9622,#REF!,1,0)</f>
        <v>#REF!</v>
      </c>
      <c r="M9622" s="33" t="str">
        <f t="shared" si="603"/>
        <v>P&amp;L</v>
      </c>
    </row>
    <row r="9623" spans="1:13">
      <c r="A9623" s="33" t="str">
        <f t="shared" si="600"/>
        <v>SCL - Operating Expense</v>
      </c>
      <c r="B9623" s="33" t="str">
        <f t="shared" si="601"/>
        <v>SCL</v>
      </c>
      <c r="C9623" s="33" t="str">
        <f t="shared" si="602"/>
        <v>64502-7491</v>
      </c>
      <c r="D9623" s="64" t="s">
        <v>10874</v>
      </c>
      <c r="E9623" s="64" t="s">
        <v>3195</v>
      </c>
      <c r="F9623" s="64" t="s">
        <v>15</v>
      </c>
      <c r="G9623" s="64" t="s">
        <v>3044</v>
      </c>
      <c r="H9623" s="64" t="s">
        <v>3022</v>
      </c>
      <c r="I9623" s="64" t="s">
        <v>3196</v>
      </c>
      <c r="J9623" s="67">
        <v>215.18</v>
      </c>
      <c r="K9623" s="62">
        <v>2000.63</v>
      </c>
      <c r="L9623" s="33" t="e">
        <f>HLOOKUP(B9623,#REF!,1,0)</f>
        <v>#REF!</v>
      </c>
      <c r="M9623" s="33" t="str">
        <f t="shared" si="603"/>
        <v>P&amp;L</v>
      </c>
    </row>
    <row r="9624" spans="1:13">
      <c r="A9624" s="33" t="str">
        <f t="shared" si="600"/>
        <v>SCL - Operating Expense</v>
      </c>
      <c r="B9624" s="33" t="str">
        <f t="shared" si="601"/>
        <v>SCL</v>
      </c>
      <c r="C9624" s="33" t="str">
        <f t="shared" si="602"/>
        <v>64502-7492</v>
      </c>
      <c r="D9624" s="64" t="s">
        <v>10875</v>
      </c>
      <c r="E9624" s="64" t="s">
        <v>3195</v>
      </c>
      <c r="F9624" s="64" t="s">
        <v>15</v>
      </c>
      <c r="G9624" s="64" t="s">
        <v>3044</v>
      </c>
      <c r="H9624" s="64" t="s">
        <v>3022</v>
      </c>
      <c r="I9624" s="64" t="s">
        <v>3196</v>
      </c>
      <c r="J9624" s="67">
        <v>206.98</v>
      </c>
      <c r="K9624" s="62">
        <v>1913.24</v>
      </c>
      <c r="L9624" s="33" t="e">
        <f>HLOOKUP(B9624,#REF!,1,0)</f>
        <v>#REF!</v>
      </c>
      <c r="M9624" s="33" t="str">
        <f t="shared" si="603"/>
        <v>P&amp;L</v>
      </c>
    </row>
    <row r="9625" spans="1:13">
      <c r="A9625" s="33" t="str">
        <f t="shared" si="600"/>
        <v>SCL - Operating Expense</v>
      </c>
      <c r="B9625" s="33" t="str">
        <f t="shared" si="601"/>
        <v>SCL</v>
      </c>
      <c r="C9625" s="33" t="str">
        <f t="shared" si="602"/>
        <v>64502-7493</v>
      </c>
      <c r="D9625" s="64" t="s">
        <v>10876</v>
      </c>
      <c r="E9625" s="64" t="s">
        <v>3195</v>
      </c>
      <c r="F9625" s="64" t="s">
        <v>15</v>
      </c>
      <c r="G9625" s="64" t="s">
        <v>3044</v>
      </c>
      <c r="H9625" s="64" t="s">
        <v>3022</v>
      </c>
      <c r="I9625" s="64" t="s">
        <v>3196</v>
      </c>
      <c r="J9625" s="67">
        <v>200.36</v>
      </c>
      <c r="K9625" s="62">
        <v>1780.44</v>
      </c>
      <c r="L9625" s="33" t="e">
        <f>HLOOKUP(B9625,#REF!,1,0)</f>
        <v>#REF!</v>
      </c>
      <c r="M9625" s="33" t="str">
        <f t="shared" si="603"/>
        <v>P&amp;L</v>
      </c>
    </row>
    <row r="9626" spans="1:13">
      <c r="A9626" s="33" t="str">
        <f t="shared" si="600"/>
        <v>SCL - Operating Expense</v>
      </c>
      <c r="B9626" s="33" t="str">
        <f t="shared" si="601"/>
        <v>SCL</v>
      </c>
      <c r="C9626" s="33" t="str">
        <f t="shared" si="602"/>
        <v>64502-7494</v>
      </c>
      <c r="D9626" s="64" t="s">
        <v>10877</v>
      </c>
      <c r="E9626" s="64" t="s">
        <v>3195</v>
      </c>
      <c r="F9626" s="64" t="s">
        <v>15</v>
      </c>
      <c r="G9626" s="64" t="s">
        <v>3044</v>
      </c>
      <c r="H9626" s="64" t="s">
        <v>3022</v>
      </c>
      <c r="I9626" s="64" t="s">
        <v>3196</v>
      </c>
      <c r="J9626" s="67">
        <v>215.18</v>
      </c>
      <c r="K9626" s="62">
        <v>2000.63</v>
      </c>
      <c r="L9626" s="33" t="e">
        <f>HLOOKUP(B9626,#REF!,1,0)</f>
        <v>#REF!</v>
      </c>
      <c r="M9626" s="33" t="str">
        <f t="shared" si="603"/>
        <v>P&amp;L</v>
      </c>
    </row>
    <row r="9627" spans="1:13">
      <c r="A9627" s="33" t="str">
        <f t="shared" si="600"/>
        <v>SCL - Operating Expense</v>
      </c>
      <c r="B9627" s="33" t="str">
        <f t="shared" si="601"/>
        <v>SCL</v>
      </c>
      <c r="C9627" s="33" t="str">
        <f t="shared" si="602"/>
        <v>64502-7625</v>
      </c>
      <c r="D9627" s="64" t="s">
        <v>10878</v>
      </c>
      <c r="E9627" s="64" t="s">
        <v>3195</v>
      </c>
      <c r="F9627" s="64" t="s">
        <v>15</v>
      </c>
      <c r="G9627" s="64" t="s">
        <v>3044</v>
      </c>
      <c r="H9627" s="64" t="s">
        <v>3022</v>
      </c>
      <c r="I9627" s="64" t="s">
        <v>3196</v>
      </c>
      <c r="J9627" s="67">
        <v>201.18</v>
      </c>
      <c r="K9627" s="62">
        <v>1788.52</v>
      </c>
      <c r="L9627" s="33" t="e">
        <f>HLOOKUP(B9627,#REF!,1,0)</f>
        <v>#REF!</v>
      </c>
      <c r="M9627" s="33" t="str">
        <f t="shared" si="603"/>
        <v>P&amp;L</v>
      </c>
    </row>
    <row r="9628" spans="1:13">
      <c r="A9628" s="33" t="str">
        <f t="shared" si="600"/>
        <v>SCL - Operating Expense</v>
      </c>
      <c r="B9628" s="33" t="str">
        <f t="shared" si="601"/>
        <v>SCL</v>
      </c>
      <c r="C9628" s="33" t="str">
        <f t="shared" si="602"/>
        <v>64502-8150</v>
      </c>
      <c r="D9628" s="64" t="s">
        <v>10879</v>
      </c>
      <c r="E9628" s="64" t="s">
        <v>3195</v>
      </c>
      <c r="F9628" s="64" t="s">
        <v>15</v>
      </c>
      <c r="G9628" s="64" t="s">
        <v>3044</v>
      </c>
      <c r="H9628" s="64" t="s">
        <v>3022</v>
      </c>
      <c r="I9628" s="64" t="s">
        <v>3196</v>
      </c>
      <c r="J9628" s="67">
        <v>244.2</v>
      </c>
      <c r="K9628" s="62">
        <v>2028.33</v>
      </c>
      <c r="L9628" s="33" t="e">
        <f>HLOOKUP(B9628,#REF!,1,0)</f>
        <v>#REF!</v>
      </c>
      <c r="M9628" s="33" t="str">
        <f t="shared" si="603"/>
        <v>P&amp;L</v>
      </c>
    </row>
    <row r="9629" spans="1:13">
      <c r="A9629" s="33" t="str">
        <f t="shared" si="600"/>
        <v>SCL - Operating Expense</v>
      </c>
      <c r="B9629" s="33" t="str">
        <f t="shared" si="601"/>
        <v>SCL</v>
      </c>
      <c r="C9629" s="33" t="str">
        <f t="shared" si="602"/>
        <v>64503-7351</v>
      </c>
      <c r="D9629" s="64" t="s">
        <v>10880</v>
      </c>
      <c r="E9629" s="64" t="s">
        <v>3202</v>
      </c>
      <c r="F9629" s="64" t="s">
        <v>15</v>
      </c>
      <c r="G9629" s="64" t="s">
        <v>3044</v>
      </c>
      <c r="H9629" s="64" t="s">
        <v>3022</v>
      </c>
      <c r="I9629" s="64" t="s">
        <v>3189</v>
      </c>
      <c r="J9629" s="67">
        <v>2059.65</v>
      </c>
      <c r="K9629" s="62">
        <v>12981.78</v>
      </c>
      <c r="L9629" s="33" t="e">
        <f>HLOOKUP(B9629,#REF!,1,0)</f>
        <v>#REF!</v>
      </c>
      <c r="M9629" s="33" t="str">
        <f t="shared" si="603"/>
        <v>P&amp;L</v>
      </c>
    </row>
    <row r="9630" spans="1:13">
      <c r="A9630" s="33" t="str">
        <f t="shared" si="600"/>
        <v>SCL - Operating Expense</v>
      </c>
      <c r="B9630" s="33" t="str">
        <f t="shared" si="601"/>
        <v>SCL</v>
      </c>
      <c r="C9630" s="33" t="str">
        <f t="shared" si="602"/>
        <v>64503-7352</v>
      </c>
      <c r="D9630" s="64" t="s">
        <v>10881</v>
      </c>
      <c r="E9630" s="64" t="s">
        <v>3202</v>
      </c>
      <c r="F9630" s="64" t="s">
        <v>15</v>
      </c>
      <c r="G9630" s="64" t="s">
        <v>3044</v>
      </c>
      <c r="H9630" s="64" t="s">
        <v>3022</v>
      </c>
      <c r="I9630" s="64" t="s">
        <v>3189</v>
      </c>
      <c r="J9630" s="67">
        <v>786.67</v>
      </c>
      <c r="K9630" s="62">
        <v>5785.84</v>
      </c>
      <c r="L9630" s="33" t="e">
        <f>HLOOKUP(B9630,#REF!,1,0)</f>
        <v>#REF!</v>
      </c>
      <c r="M9630" s="33" t="str">
        <f t="shared" si="603"/>
        <v>P&amp;L</v>
      </c>
    </row>
    <row r="9631" spans="1:13">
      <c r="A9631" s="33" t="str">
        <f t="shared" si="600"/>
        <v>SCL - Operating Expense</v>
      </c>
      <c r="B9631" s="33" t="str">
        <f t="shared" si="601"/>
        <v>SCL</v>
      </c>
      <c r="C9631" s="33" t="str">
        <f t="shared" si="602"/>
        <v>64503-7353</v>
      </c>
      <c r="D9631" s="64" t="s">
        <v>10882</v>
      </c>
      <c r="E9631" s="64" t="s">
        <v>3202</v>
      </c>
      <c r="F9631" s="64" t="s">
        <v>15</v>
      </c>
      <c r="G9631" s="64" t="s">
        <v>3044</v>
      </c>
      <c r="H9631" s="64" t="s">
        <v>3022</v>
      </c>
      <c r="I9631" s="64" t="s">
        <v>3189</v>
      </c>
      <c r="J9631" s="67">
        <v>0</v>
      </c>
      <c r="K9631" s="62">
        <v>14.75</v>
      </c>
      <c r="L9631" s="33" t="e">
        <f>HLOOKUP(B9631,#REF!,1,0)</f>
        <v>#REF!</v>
      </c>
      <c r="M9631" s="33" t="str">
        <f t="shared" si="603"/>
        <v>P&amp;L</v>
      </c>
    </row>
    <row r="9632" spans="1:13">
      <c r="A9632" s="33" t="str">
        <f t="shared" si="600"/>
        <v>SCL - Operating Expense</v>
      </c>
      <c r="B9632" s="33" t="str">
        <f t="shared" si="601"/>
        <v>SCL</v>
      </c>
      <c r="C9632" s="33" t="str">
        <f t="shared" si="602"/>
        <v>64503-7354</v>
      </c>
      <c r="D9632" s="64" t="s">
        <v>10883</v>
      </c>
      <c r="E9632" s="64" t="s">
        <v>3202</v>
      </c>
      <c r="F9632" s="64" t="s">
        <v>15</v>
      </c>
      <c r="G9632" s="64" t="s">
        <v>3044</v>
      </c>
      <c r="H9632" s="64" t="s">
        <v>3022</v>
      </c>
      <c r="I9632" s="64" t="s">
        <v>3189</v>
      </c>
      <c r="J9632" s="67">
        <v>0</v>
      </c>
      <c r="K9632" s="62">
        <v>16.66</v>
      </c>
      <c r="L9632" s="33" t="e">
        <f>HLOOKUP(B9632,#REF!,1,0)</f>
        <v>#REF!</v>
      </c>
      <c r="M9632" s="33" t="str">
        <f t="shared" si="603"/>
        <v>P&amp;L</v>
      </c>
    </row>
    <row r="9633" spans="1:13">
      <c r="A9633" s="33" t="str">
        <f t="shared" si="600"/>
        <v>SCL - Operating Expense</v>
      </c>
      <c r="B9633" s="33" t="str">
        <f t="shared" si="601"/>
        <v>SCL</v>
      </c>
      <c r="C9633" s="33" t="str">
        <f t="shared" si="602"/>
        <v>64503-7355</v>
      </c>
      <c r="D9633" s="64" t="s">
        <v>10884</v>
      </c>
      <c r="E9633" s="64" t="s">
        <v>3202</v>
      </c>
      <c r="F9633" s="64" t="s">
        <v>15</v>
      </c>
      <c r="G9633" s="64" t="s">
        <v>3044</v>
      </c>
      <c r="H9633" s="64" t="s">
        <v>3022</v>
      </c>
      <c r="I9633" s="64" t="s">
        <v>3189</v>
      </c>
      <c r="J9633" s="67">
        <v>1514.42</v>
      </c>
      <c r="K9633" s="62">
        <v>12563.98</v>
      </c>
      <c r="L9633" s="33" t="e">
        <f>HLOOKUP(B9633,#REF!,1,0)</f>
        <v>#REF!</v>
      </c>
      <c r="M9633" s="33" t="str">
        <f t="shared" si="603"/>
        <v>P&amp;L</v>
      </c>
    </row>
    <row r="9634" spans="1:13">
      <c r="A9634" s="33" t="str">
        <f t="shared" si="600"/>
        <v>SCL - Operating Expense</v>
      </c>
      <c r="B9634" s="33" t="str">
        <f t="shared" si="601"/>
        <v>SCL</v>
      </c>
      <c r="C9634" s="33" t="str">
        <f t="shared" si="602"/>
        <v>64503-7356</v>
      </c>
      <c r="D9634" s="64" t="s">
        <v>10885</v>
      </c>
      <c r="E9634" s="64" t="s">
        <v>3202</v>
      </c>
      <c r="F9634" s="64" t="s">
        <v>15</v>
      </c>
      <c r="G9634" s="64" t="s">
        <v>3044</v>
      </c>
      <c r="H9634" s="64" t="s">
        <v>3022</v>
      </c>
      <c r="I9634" s="64" t="s">
        <v>3189</v>
      </c>
      <c r="J9634" s="67">
        <v>0</v>
      </c>
      <c r="K9634" s="62">
        <v>62.01</v>
      </c>
      <c r="L9634" s="33" t="e">
        <f>HLOOKUP(B9634,#REF!,1,0)</f>
        <v>#REF!</v>
      </c>
      <c r="M9634" s="33" t="str">
        <f t="shared" si="603"/>
        <v>P&amp;L</v>
      </c>
    </row>
    <row r="9635" spans="1:13">
      <c r="A9635" s="33" t="str">
        <f t="shared" si="600"/>
        <v>SCL - Operating Expense</v>
      </c>
      <c r="B9635" s="33" t="str">
        <f t="shared" si="601"/>
        <v>SCL</v>
      </c>
      <c r="C9635" s="33" t="str">
        <f t="shared" si="602"/>
        <v>64503-7359</v>
      </c>
      <c r="D9635" s="64" t="s">
        <v>10886</v>
      </c>
      <c r="E9635" s="64" t="s">
        <v>3202</v>
      </c>
      <c r="F9635" s="64" t="s">
        <v>15</v>
      </c>
      <c r="G9635" s="64" t="s">
        <v>3044</v>
      </c>
      <c r="H9635" s="64" t="s">
        <v>3022</v>
      </c>
      <c r="I9635" s="64" t="s">
        <v>3189</v>
      </c>
      <c r="J9635" s="67">
        <v>947.07</v>
      </c>
      <c r="K9635" s="62">
        <v>10100.35</v>
      </c>
      <c r="L9635" s="33" t="e">
        <f>HLOOKUP(B9635,#REF!,1,0)</f>
        <v>#REF!</v>
      </c>
      <c r="M9635" s="33" t="str">
        <f t="shared" si="603"/>
        <v>P&amp;L</v>
      </c>
    </row>
    <row r="9636" spans="1:13">
      <c r="A9636" s="33" t="str">
        <f t="shared" si="600"/>
        <v>SCL - Operating Expense</v>
      </c>
      <c r="B9636" s="33" t="str">
        <f t="shared" si="601"/>
        <v>SCL</v>
      </c>
      <c r="C9636" s="33" t="str">
        <f t="shared" si="602"/>
        <v>64503-7360</v>
      </c>
      <c r="D9636" s="64" t="s">
        <v>10887</v>
      </c>
      <c r="E9636" s="64" t="s">
        <v>3202</v>
      </c>
      <c r="F9636" s="64" t="s">
        <v>15</v>
      </c>
      <c r="G9636" s="64" t="s">
        <v>3044</v>
      </c>
      <c r="H9636" s="64" t="s">
        <v>3022</v>
      </c>
      <c r="I9636" s="64" t="s">
        <v>3189</v>
      </c>
      <c r="J9636" s="67">
        <v>3364.39</v>
      </c>
      <c r="K9636" s="62">
        <v>25739.47</v>
      </c>
      <c r="L9636" s="33" t="e">
        <f>HLOOKUP(B9636,#REF!,1,0)</f>
        <v>#REF!</v>
      </c>
      <c r="M9636" s="33" t="str">
        <f t="shared" si="603"/>
        <v>P&amp;L</v>
      </c>
    </row>
    <row r="9637" spans="1:13">
      <c r="A9637" s="33" t="str">
        <f t="shared" si="600"/>
        <v>SCL - Operating Expense</v>
      </c>
      <c r="B9637" s="33" t="str">
        <f t="shared" si="601"/>
        <v>SCL</v>
      </c>
      <c r="C9637" s="33" t="str">
        <f t="shared" si="602"/>
        <v>64503-7361</v>
      </c>
      <c r="D9637" s="64" t="s">
        <v>10888</v>
      </c>
      <c r="E9637" s="64" t="s">
        <v>3202</v>
      </c>
      <c r="F9637" s="64" t="s">
        <v>15</v>
      </c>
      <c r="G9637" s="64" t="s">
        <v>3044</v>
      </c>
      <c r="H9637" s="64" t="s">
        <v>3022</v>
      </c>
      <c r="I9637" s="64" t="s">
        <v>3189</v>
      </c>
      <c r="J9637" s="67">
        <v>1411.39</v>
      </c>
      <c r="K9637" s="62">
        <v>11698.2</v>
      </c>
      <c r="L9637" s="33" t="e">
        <f>HLOOKUP(B9637,#REF!,1,0)</f>
        <v>#REF!</v>
      </c>
      <c r="M9637" s="33" t="str">
        <f t="shared" si="603"/>
        <v>P&amp;L</v>
      </c>
    </row>
    <row r="9638" spans="1:13">
      <c r="A9638" s="33" t="str">
        <f t="shared" si="600"/>
        <v>SCL - Operating Expense</v>
      </c>
      <c r="B9638" s="33" t="str">
        <f t="shared" si="601"/>
        <v>SCL</v>
      </c>
      <c r="C9638" s="33" t="str">
        <f t="shared" si="602"/>
        <v>64503-7362</v>
      </c>
      <c r="D9638" s="64" t="s">
        <v>10889</v>
      </c>
      <c r="E9638" s="64" t="s">
        <v>3202</v>
      </c>
      <c r="F9638" s="64" t="s">
        <v>15</v>
      </c>
      <c r="G9638" s="64" t="s">
        <v>3044</v>
      </c>
      <c r="H9638" s="64" t="s">
        <v>3022</v>
      </c>
      <c r="I9638" s="64" t="s">
        <v>3189</v>
      </c>
      <c r="J9638" s="67">
        <v>1347.23</v>
      </c>
      <c r="K9638" s="62">
        <v>9671.89</v>
      </c>
      <c r="L9638" s="33" t="e">
        <f>HLOOKUP(B9638,#REF!,1,0)</f>
        <v>#REF!</v>
      </c>
      <c r="M9638" s="33" t="str">
        <f t="shared" si="603"/>
        <v>P&amp;L</v>
      </c>
    </row>
    <row r="9639" spans="1:13">
      <c r="A9639" s="33" t="str">
        <f t="shared" si="600"/>
        <v>SCL - Operating Expense</v>
      </c>
      <c r="B9639" s="33" t="str">
        <f t="shared" si="601"/>
        <v>SCL</v>
      </c>
      <c r="C9639" s="33" t="str">
        <f t="shared" si="602"/>
        <v>64503-7363</v>
      </c>
      <c r="D9639" s="64" t="s">
        <v>10890</v>
      </c>
      <c r="E9639" s="64" t="s">
        <v>3202</v>
      </c>
      <c r="F9639" s="64" t="s">
        <v>15</v>
      </c>
      <c r="G9639" s="64" t="s">
        <v>3044</v>
      </c>
      <c r="H9639" s="64" t="s">
        <v>3022</v>
      </c>
      <c r="I9639" s="64" t="s">
        <v>3189</v>
      </c>
      <c r="J9639" s="67">
        <v>1046.62</v>
      </c>
      <c r="K9639" s="62">
        <v>8106.19</v>
      </c>
      <c r="L9639" s="33" t="e">
        <f>HLOOKUP(B9639,#REF!,1,0)</f>
        <v>#REF!</v>
      </c>
      <c r="M9639" s="33" t="str">
        <f t="shared" si="603"/>
        <v>P&amp;L</v>
      </c>
    </row>
    <row r="9640" spans="1:13">
      <c r="A9640" s="33" t="str">
        <f t="shared" si="600"/>
        <v>SCL - Operating Expense</v>
      </c>
      <c r="B9640" s="33" t="str">
        <f t="shared" si="601"/>
        <v>SCL</v>
      </c>
      <c r="C9640" s="33" t="str">
        <f t="shared" si="602"/>
        <v>64503-7364</v>
      </c>
      <c r="D9640" s="64" t="s">
        <v>10891</v>
      </c>
      <c r="E9640" s="64" t="s">
        <v>3202</v>
      </c>
      <c r="F9640" s="64" t="s">
        <v>15</v>
      </c>
      <c r="G9640" s="64" t="s">
        <v>3044</v>
      </c>
      <c r="H9640" s="64" t="s">
        <v>3022</v>
      </c>
      <c r="I9640" s="64" t="s">
        <v>3189</v>
      </c>
      <c r="J9640" s="67">
        <v>693.96</v>
      </c>
      <c r="K9640" s="62">
        <v>4841.7</v>
      </c>
      <c r="L9640" s="33" t="e">
        <f>HLOOKUP(B9640,#REF!,1,0)</f>
        <v>#REF!</v>
      </c>
      <c r="M9640" s="33" t="str">
        <f t="shared" si="603"/>
        <v>P&amp;L</v>
      </c>
    </row>
    <row r="9641" spans="1:13">
      <c r="A9641" s="33" t="str">
        <f t="shared" si="600"/>
        <v>SCL - Operating Expense</v>
      </c>
      <c r="B9641" s="33" t="str">
        <f t="shared" si="601"/>
        <v>SCL</v>
      </c>
      <c r="C9641" s="33" t="str">
        <f t="shared" si="602"/>
        <v>64503-7365</v>
      </c>
      <c r="D9641" s="64" t="s">
        <v>10892</v>
      </c>
      <c r="E9641" s="64" t="s">
        <v>3202</v>
      </c>
      <c r="F9641" s="64" t="s">
        <v>15</v>
      </c>
      <c r="G9641" s="64" t="s">
        <v>3044</v>
      </c>
      <c r="H9641" s="64" t="s">
        <v>3022</v>
      </c>
      <c r="I9641" s="64" t="s">
        <v>3189</v>
      </c>
      <c r="J9641" s="67">
        <v>1270.07</v>
      </c>
      <c r="K9641" s="62">
        <v>10396.85</v>
      </c>
      <c r="L9641" s="33" t="e">
        <f>HLOOKUP(B9641,#REF!,1,0)</f>
        <v>#REF!</v>
      </c>
      <c r="M9641" s="33" t="str">
        <f t="shared" si="603"/>
        <v>P&amp;L</v>
      </c>
    </row>
    <row r="9642" spans="1:13">
      <c r="A9642" s="33" t="str">
        <f t="shared" si="600"/>
        <v>SCL - Operating Expense</v>
      </c>
      <c r="B9642" s="33" t="str">
        <f t="shared" si="601"/>
        <v>SCL</v>
      </c>
      <c r="C9642" s="33" t="str">
        <f t="shared" si="602"/>
        <v>64503-7366</v>
      </c>
      <c r="D9642" s="64" t="s">
        <v>10893</v>
      </c>
      <c r="E9642" s="64" t="s">
        <v>3202</v>
      </c>
      <c r="F9642" s="64" t="s">
        <v>15</v>
      </c>
      <c r="G9642" s="64" t="s">
        <v>3044</v>
      </c>
      <c r="H9642" s="64" t="s">
        <v>3022</v>
      </c>
      <c r="I9642" s="64" t="s">
        <v>3189</v>
      </c>
      <c r="J9642" s="67">
        <v>1423.78</v>
      </c>
      <c r="K9642" s="62">
        <v>7938.78</v>
      </c>
      <c r="L9642" s="33" t="e">
        <f>HLOOKUP(B9642,#REF!,1,0)</f>
        <v>#REF!</v>
      </c>
      <c r="M9642" s="33" t="str">
        <f t="shared" si="603"/>
        <v>P&amp;L</v>
      </c>
    </row>
    <row r="9643" spans="1:13">
      <c r="A9643" s="33" t="str">
        <f t="shared" si="600"/>
        <v>SCL - Operating Expense</v>
      </c>
      <c r="B9643" s="33" t="str">
        <f t="shared" si="601"/>
        <v>SCL</v>
      </c>
      <c r="C9643" s="33" t="str">
        <f t="shared" si="602"/>
        <v>64503-7368</v>
      </c>
      <c r="D9643" s="64" t="s">
        <v>10894</v>
      </c>
      <c r="E9643" s="64" t="s">
        <v>3202</v>
      </c>
      <c r="F9643" s="64" t="s">
        <v>15</v>
      </c>
      <c r="G9643" s="64" t="s">
        <v>3044</v>
      </c>
      <c r="H9643" s="64" t="s">
        <v>3022</v>
      </c>
      <c r="I9643" s="64" t="s">
        <v>3189</v>
      </c>
      <c r="J9643" s="67">
        <v>3336.75</v>
      </c>
      <c r="K9643" s="62">
        <v>25454.85</v>
      </c>
      <c r="L9643" s="33" t="e">
        <f>HLOOKUP(B9643,#REF!,1,0)</f>
        <v>#REF!</v>
      </c>
      <c r="M9643" s="33" t="str">
        <f t="shared" si="603"/>
        <v>P&amp;L</v>
      </c>
    </row>
    <row r="9644" spans="1:13">
      <c r="A9644" s="33" t="str">
        <f t="shared" si="600"/>
        <v>SCL - Operating Expense</v>
      </c>
      <c r="B9644" s="33" t="str">
        <f t="shared" si="601"/>
        <v>SCL</v>
      </c>
      <c r="C9644" s="33" t="str">
        <f t="shared" si="602"/>
        <v>64503-7369</v>
      </c>
      <c r="D9644" s="64" t="s">
        <v>10895</v>
      </c>
      <c r="E9644" s="64" t="s">
        <v>3202</v>
      </c>
      <c r="F9644" s="64" t="s">
        <v>15</v>
      </c>
      <c r="G9644" s="64" t="s">
        <v>3044</v>
      </c>
      <c r="H9644" s="64" t="s">
        <v>3022</v>
      </c>
      <c r="I9644" s="64" t="s">
        <v>3189</v>
      </c>
      <c r="J9644" s="67">
        <v>859.41</v>
      </c>
      <c r="K9644" s="62">
        <v>7343.33</v>
      </c>
      <c r="L9644" s="33" t="e">
        <f>HLOOKUP(B9644,#REF!,1,0)</f>
        <v>#REF!</v>
      </c>
      <c r="M9644" s="33" t="str">
        <f t="shared" si="603"/>
        <v>P&amp;L</v>
      </c>
    </row>
    <row r="9645" spans="1:13">
      <c r="A9645" s="33" t="str">
        <f t="shared" si="600"/>
        <v>SCL - Operating Expense</v>
      </c>
      <c r="B9645" s="33" t="str">
        <f t="shared" si="601"/>
        <v>SCL</v>
      </c>
      <c r="C9645" s="33" t="str">
        <f t="shared" si="602"/>
        <v>64503-7371</v>
      </c>
      <c r="D9645" s="64" t="s">
        <v>10896</v>
      </c>
      <c r="E9645" s="64" t="s">
        <v>3202</v>
      </c>
      <c r="F9645" s="64" t="s">
        <v>15</v>
      </c>
      <c r="G9645" s="64" t="s">
        <v>3044</v>
      </c>
      <c r="H9645" s="64" t="s">
        <v>3022</v>
      </c>
      <c r="I9645" s="64" t="s">
        <v>3189</v>
      </c>
      <c r="J9645" s="67">
        <v>1225.86</v>
      </c>
      <c r="K9645" s="62">
        <v>10545.5</v>
      </c>
      <c r="L9645" s="33" t="e">
        <f>HLOOKUP(B9645,#REF!,1,0)</f>
        <v>#REF!</v>
      </c>
      <c r="M9645" s="33" t="str">
        <f t="shared" si="603"/>
        <v>P&amp;L</v>
      </c>
    </row>
    <row r="9646" spans="1:13">
      <c r="A9646" s="33" t="str">
        <f t="shared" si="600"/>
        <v>SCL - Operating Expense</v>
      </c>
      <c r="B9646" s="33" t="str">
        <f t="shared" si="601"/>
        <v>SCL</v>
      </c>
      <c r="C9646" s="33" t="str">
        <f t="shared" si="602"/>
        <v>64503-7374</v>
      </c>
      <c r="D9646" s="64" t="s">
        <v>10897</v>
      </c>
      <c r="E9646" s="64" t="s">
        <v>3202</v>
      </c>
      <c r="F9646" s="64" t="s">
        <v>15</v>
      </c>
      <c r="G9646" s="64" t="s">
        <v>3044</v>
      </c>
      <c r="H9646" s="64" t="s">
        <v>3022</v>
      </c>
      <c r="I9646" s="64" t="s">
        <v>3189</v>
      </c>
      <c r="J9646" s="67">
        <v>1500.32</v>
      </c>
      <c r="K9646" s="62">
        <v>11631.69</v>
      </c>
      <c r="L9646" s="33" t="e">
        <f>HLOOKUP(B9646,#REF!,1,0)</f>
        <v>#REF!</v>
      </c>
      <c r="M9646" s="33" t="str">
        <f t="shared" si="603"/>
        <v>P&amp;L</v>
      </c>
    </row>
    <row r="9647" spans="1:13">
      <c r="A9647" s="33" t="str">
        <f t="shared" si="600"/>
        <v>SCL - Operating Expense</v>
      </c>
      <c r="B9647" s="33" t="str">
        <f t="shared" si="601"/>
        <v>SCL</v>
      </c>
      <c r="C9647" s="33" t="str">
        <f t="shared" si="602"/>
        <v>64503-7375</v>
      </c>
      <c r="D9647" s="64" t="s">
        <v>10898</v>
      </c>
      <c r="E9647" s="64" t="s">
        <v>3202</v>
      </c>
      <c r="F9647" s="64" t="s">
        <v>15</v>
      </c>
      <c r="G9647" s="64" t="s">
        <v>3044</v>
      </c>
      <c r="H9647" s="64" t="s">
        <v>3022</v>
      </c>
      <c r="I9647" s="64" t="s">
        <v>3189</v>
      </c>
      <c r="J9647" s="67">
        <v>1189.3</v>
      </c>
      <c r="K9647" s="62">
        <v>9471.03</v>
      </c>
      <c r="L9647" s="33" t="e">
        <f>HLOOKUP(B9647,#REF!,1,0)</f>
        <v>#REF!</v>
      </c>
      <c r="M9647" s="33" t="str">
        <f t="shared" si="603"/>
        <v>P&amp;L</v>
      </c>
    </row>
    <row r="9648" spans="1:13">
      <c r="A9648" s="33" t="str">
        <f t="shared" si="600"/>
        <v>SCL - Operating Expense</v>
      </c>
      <c r="B9648" s="33" t="str">
        <f t="shared" si="601"/>
        <v>SCL</v>
      </c>
      <c r="C9648" s="33" t="str">
        <f t="shared" si="602"/>
        <v>64503-7376</v>
      </c>
      <c r="D9648" s="64" t="s">
        <v>10899</v>
      </c>
      <c r="E9648" s="64" t="s">
        <v>3202</v>
      </c>
      <c r="F9648" s="64" t="s">
        <v>15</v>
      </c>
      <c r="G9648" s="64" t="s">
        <v>3044</v>
      </c>
      <c r="H9648" s="64" t="s">
        <v>3022</v>
      </c>
      <c r="I9648" s="64" t="s">
        <v>3189</v>
      </c>
      <c r="J9648" s="67">
        <v>4284.92</v>
      </c>
      <c r="K9648" s="62">
        <v>37555.58</v>
      </c>
      <c r="L9648" s="33" t="e">
        <f>HLOOKUP(B9648,#REF!,1,0)</f>
        <v>#REF!</v>
      </c>
      <c r="M9648" s="33" t="str">
        <f t="shared" si="603"/>
        <v>P&amp;L</v>
      </c>
    </row>
    <row r="9649" spans="1:13">
      <c r="A9649" s="33" t="str">
        <f t="shared" si="600"/>
        <v>SCL - Operating Expense</v>
      </c>
      <c r="B9649" s="33" t="str">
        <f t="shared" si="601"/>
        <v>SCL</v>
      </c>
      <c r="C9649" s="33" t="str">
        <f t="shared" si="602"/>
        <v>64503-7377</v>
      </c>
      <c r="D9649" s="64" t="s">
        <v>10900</v>
      </c>
      <c r="E9649" s="64" t="s">
        <v>3202</v>
      </c>
      <c r="F9649" s="64" t="s">
        <v>15</v>
      </c>
      <c r="G9649" s="64" t="s">
        <v>3044</v>
      </c>
      <c r="H9649" s="64" t="s">
        <v>3022</v>
      </c>
      <c r="I9649" s="64" t="s">
        <v>3189</v>
      </c>
      <c r="J9649" s="67">
        <v>1183.92</v>
      </c>
      <c r="K9649" s="62">
        <v>9030.69</v>
      </c>
      <c r="L9649" s="33" t="e">
        <f>HLOOKUP(B9649,#REF!,1,0)</f>
        <v>#REF!</v>
      </c>
      <c r="M9649" s="33" t="str">
        <f t="shared" si="603"/>
        <v>P&amp;L</v>
      </c>
    </row>
    <row r="9650" spans="1:13">
      <c r="A9650" s="33" t="str">
        <f t="shared" si="600"/>
        <v>SCL - Operating Expense</v>
      </c>
      <c r="B9650" s="33" t="str">
        <f t="shared" si="601"/>
        <v>SCL</v>
      </c>
      <c r="C9650" s="33" t="str">
        <f t="shared" si="602"/>
        <v>64503-7378</v>
      </c>
      <c r="D9650" s="64" t="s">
        <v>10901</v>
      </c>
      <c r="E9650" s="64" t="s">
        <v>3202</v>
      </c>
      <c r="F9650" s="64" t="s">
        <v>15</v>
      </c>
      <c r="G9650" s="64" t="s">
        <v>3044</v>
      </c>
      <c r="H9650" s="64" t="s">
        <v>3022</v>
      </c>
      <c r="I9650" s="64" t="s">
        <v>3189</v>
      </c>
      <c r="J9650" s="67">
        <v>2689.58</v>
      </c>
      <c r="K9650" s="62">
        <v>17751.15</v>
      </c>
      <c r="L9650" s="33" t="e">
        <f>HLOOKUP(B9650,#REF!,1,0)</f>
        <v>#REF!</v>
      </c>
      <c r="M9650" s="33" t="str">
        <f t="shared" si="603"/>
        <v>P&amp;L</v>
      </c>
    </row>
    <row r="9651" spans="1:13">
      <c r="A9651" s="33" t="str">
        <f t="shared" si="600"/>
        <v>SCL - Operating Expense</v>
      </c>
      <c r="B9651" s="33" t="str">
        <f t="shared" si="601"/>
        <v>SCL</v>
      </c>
      <c r="C9651" s="33" t="str">
        <f t="shared" si="602"/>
        <v>64503-7379</v>
      </c>
      <c r="D9651" s="64" t="s">
        <v>10902</v>
      </c>
      <c r="E9651" s="64" t="s">
        <v>3202</v>
      </c>
      <c r="F9651" s="64" t="s">
        <v>15</v>
      </c>
      <c r="G9651" s="64" t="s">
        <v>3044</v>
      </c>
      <c r="H9651" s="64" t="s">
        <v>3022</v>
      </c>
      <c r="I9651" s="64" t="s">
        <v>3189</v>
      </c>
      <c r="J9651" s="67">
        <v>1285.94</v>
      </c>
      <c r="K9651" s="62">
        <v>9673.37</v>
      </c>
      <c r="L9651" s="33" t="e">
        <f>HLOOKUP(B9651,#REF!,1,0)</f>
        <v>#REF!</v>
      </c>
      <c r="M9651" s="33" t="str">
        <f t="shared" si="603"/>
        <v>P&amp;L</v>
      </c>
    </row>
    <row r="9652" spans="1:13">
      <c r="A9652" s="33" t="str">
        <f t="shared" si="600"/>
        <v>SCL - Operating Expense</v>
      </c>
      <c r="B9652" s="33" t="str">
        <f t="shared" si="601"/>
        <v>SCL</v>
      </c>
      <c r="C9652" s="33" t="str">
        <f t="shared" si="602"/>
        <v>64503-7380</v>
      </c>
      <c r="D9652" s="64" t="s">
        <v>10903</v>
      </c>
      <c r="E9652" s="64" t="s">
        <v>3202</v>
      </c>
      <c r="F9652" s="64" t="s">
        <v>15</v>
      </c>
      <c r="G9652" s="64" t="s">
        <v>3044</v>
      </c>
      <c r="H9652" s="64" t="s">
        <v>3022</v>
      </c>
      <c r="I9652" s="64" t="s">
        <v>3189</v>
      </c>
      <c r="J9652" s="67">
        <v>1053.87</v>
      </c>
      <c r="K9652" s="62">
        <v>8240.54</v>
      </c>
      <c r="L9652" s="33" t="e">
        <f>HLOOKUP(B9652,#REF!,1,0)</f>
        <v>#REF!</v>
      </c>
      <c r="M9652" s="33" t="str">
        <f t="shared" si="603"/>
        <v>P&amp;L</v>
      </c>
    </row>
    <row r="9653" spans="1:13">
      <c r="A9653" s="33" t="str">
        <f t="shared" si="600"/>
        <v>SCL - Operating Expense</v>
      </c>
      <c r="B9653" s="33" t="str">
        <f t="shared" si="601"/>
        <v>SCL</v>
      </c>
      <c r="C9653" s="33" t="str">
        <f t="shared" si="602"/>
        <v>64503-7381</v>
      </c>
      <c r="D9653" s="64" t="s">
        <v>10904</v>
      </c>
      <c r="E9653" s="64" t="s">
        <v>3202</v>
      </c>
      <c r="F9653" s="64" t="s">
        <v>15</v>
      </c>
      <c r="G9653" s="64" t="s">
        <v>3044</v>
      </c>
      <c r="H9653" s="64" t="s">
        <v>3022</v>
      </c>
      <c r="I9653" s="64" t="s">
        <v>3189</v>
      </c>
      <c r="J9653" s="67">
        <v>2324.94</v>
      </c>
      <c r="K9653" s="62">
        <v>16932.95</v>
      </c>
      <c r="L9653" s="33" t="e">
        <f>HLOOKUP(B9653,#REF!,1,0)</f>
        <v>#REF!</v>
      </c>
      <c r="M9653" s="33" t="str">
        <f t="shared" si="603"/>
        <v>P&amp;L</v>
      </c>
    </row>
    <row r="9654" spans="1:13">
      <c r="A9654" s="33" t="str">
        <f t="shared" si="600"/>
        <v>SCL - Operating Expense</v>
      </c>
      <c r="B9654" s="33" t="str">
        <f t="shared" si="601"/>
        <v>SCL</v>
      </c>
      <c r="C9654" s="33" t="str">
        <f t="shared" si="602"/>
        <v>64503-7383</v>
      </c>
      <c r="D9654" s="64" t="s">
        <v>10905</v>
      </c>
      <c r="E9654" s="64" t="s">
        <v>3202</v>
      </c>
      <c r="F9654" s="64" t="s">
        <v>15</v>
      </c>
      <c r="G9654" s="64" t="s">
        <v>3044</v>
      </c>
      <c r="H9654" s="64" t="s">
        <v>3022</v>
      </c>
      <c r="I9654" s="64" t="s">
        <v>3189</v>
      </c>
      <c r="J9654" s="67">
        <v>1247.81</v>
      </c>
      <c r="K9654" s="62">
        <v>7950.57</v>
      </c>
      <c r="L9654" s="33" t="e">
        <f>HLOOKUP(B9654,#REF!,1,0)</f>
        <v>#REF!</v>
      </c>
      <c r="M9654" s="33" t="str">
        <f t="shared" si="603"/>
        <v>P&amp;L</v>
      </c>
    </row>
    <row r="9655" spans="1:13">
      <c r="A9655" s="33" t="str">
        <f t="shared" si="600"/>
        <v>SCL - Operating Expense</v>
      </c>
      <c r="B9655" s="33" t="str">
        <f t="shared" si="601"/>
        <v>SCL</v>
      </c>
      <c r="C9655" s="33" t="str">
        <f t="shared" si="602"/>
        <v>64503-7385</v>
      </c>
      <c r="D9655" s="64" t="s">
        <v>10906</v>
      </c>
      <c r="E9655" s="64" t="s">
        <v>3202</v>
      </c>
      <c r="F9655" s="64" t="s">
        <v>15</v>
      </c>
      <c r="G9655" s="64" t="s">
        <v>3044</v>
      </c>
      <c r="H9655" s="64" t="s">
        <v>3022</v>
      </c>
      <c r="I9655" s="64" t="s">
        <v>3189</v>
      </c>
      <c r="J9655" s="67">
        <v>805.15</v>
      </c>
      <c r="K9655" s="62">
        <v>6298.68</v>
      </c>
      <c r="L9655" s="33" t="e">
        <f>HLOOKUP(B9655,#REF!,1,0)</f>
        <v>#REF!</v>
      </c>
      <c r="M9655" s="33" t="str">
        <f t="shared" si="603"/>
        <v>P&amp;L</v>
      </c>
    </row>
    <row r="9656" spans="1:13">
      <c r="A9656" s="33" t="str">
        <f t="shared" si="600"/>
        <v>SCL - Operating Expense</v>
      </c>
      <c r="B9656" s="33" t="str">
        <f t="shared" si="601"/>
        <v>SCL</v>
      </c>
      <c r="C9656" s="33" t="str">
        <f t="shared" si="602"/>
        <v>64503-7386</v>
      </c>
      <c r="D9656" s="64" t="s">
        <v>10907</v>
      </c>
      <c r="E9656" s="64" t="s">
        <v>3202</v>
      </c>
      <c r="F9656" s="64" t="s">
        <v>15</v>
      </c>
      <c r="G9656" s="64" t="s">
        <v>3044</v>
      </c>
      <c r="H9656" s="64" t="s">
        <v>3022</v>
      </c>
      <c r="I9656" s="64" t="s">
        <v>3189</v>
      </c>
      <c r="J9656" s="67">
        <v>1164.6</v>
      </c>
      <c r="K9656" s="62">
        <v>8296.71</v>
      </c>
      <c r="L9656" s="33" t="e">
        <f>HLOOKUP(B9656,#REF!,1,0)</f>
        <v>#REF!</v>
      </c>
      <c r="M9656" s="33" t="str">
        <f t="shared" si="603"/>
        <v>P&amp;L</v>
      </c>
    </row>
    <row r="9657" spans="1:13">
      <c r="A9657" s="33" t="str">
        <f t="shared" si="600"/>
        <v>SCL - Operating Expense</v>
      </c>
      <c r="B9657" s="33" t="str">
        <f t="shared" si="601"/>
        <v>SCL</v>
      </c>
      <c r="C9657" s="33" t="str">
        <f t="shared" si="602"/>
        <v>64503-7387</v>
      </c>
      <c r="D9657" s="64" t="s">
        <v>10908</v>
      </c>
      <c r="E9657" s="64" t="s">
        <v>3202</v>
      </c>
      <c r="F9657" s="64" t="s">
        <v>15</v>
      </c>
      <c r="G9657" s="64" t="s">
        <v>3044</v>
      </c>
      <c r="H9657" s="64" t="s">
        <v>3022</v>
      </c>
      <c r="I9657" s="64" t="s">
        <v>3189</v>
      </c>
      <c r="J9657" s="67">
        <v>1388.52</v>
      </c>
      <c r="K9657" s="62">
        <v>12013.52</v>
      </c>
      <c r="L9657" s="33" t="e">
        <f>HLOOKUP(B9657,#REF!,1,0)</f>
        <v>#REF!</v>
      </c>
      <c r="M9657" s="33" t="str">
        <f t="shared" si="603"/>
        <v>P&amp;L</v>
      </c>
    </row>
    <row r="9658" spans="1:13">
      <c r="A9658" s="33" t="str">
        <f t="shared" si="600"/>
        <v>SCL - Operating Expense</v>
      </c>
      <c r="B9658" s="33" t="str">
        <f t="shared" si="601"/>
        <v>SCL</v>
      </c>
      <c r="C9658" s="33" t="str">
        <f t="shared" si="602"/>
        <v>64503-7389</v>
      </c>
      <c r="D9658" s="64" t="s">
        <v>10909</v>
      </c>
      <c r="E9658" s="64" t="s">
        <v>3202</v>
      </c>
      <c r="F9658" s="64" t="s">
        <v>15</v>
      </c>
      <c r="G9658" s="64" t="s">
        <v>3044</v>
      </c>
      <c r="H9658" s="64" t="s">
        <v>3022</v>
      </c>
      <c r="I9658" s="64" t="s">
        <v>3189</v>
      </c>
      <c r="J9658" s="67">
        <v>1920.14</v>
      </c>
      <c r="K9658" s="62">
        <v>15067.99</v>
      </c>
      <c r="L9658" s="33" t="e">
        <f>HLOOKUP(B9658,#REF!,1,0)</f>
        <v>#REF!</v>
      </c>
      <c r="M9658" s="33" t="str">
        <f t="shared" si="603"/>
        <v>P&amp;L</v>
      </c>
    </row>
    <row r="9659" spans="1:13">
      <c r="A9659" s="33" t="str">
        <f t="shared" si="600"/>
        <v>SCL - Operating Expense</v>
      </c>
      <c r="B9659" s="33" t="str">
        <f t="shared" si="601"/>
        <v>SCL</v>
      </c>
      <c r="C9659" s="33" t="str">
        <f t="shared" si="602"/>
        <v>64503-7391</v>
      </c>
      <c r="D9659" s="64" t="s">
        <v>10910</v>
      </c>
      <c r="E9659" s="64" t="s">
        <v>3202</v>
      </c>
      <c r="F9659" s="64" t="s">
        <v>15</v>
      </c>
      <c r="G9659" s="64" t="s">
        <v>3044</v>
      </c>
      <c r="H9659" s="64" t="s">
        <v>3022</v>
      </c>
      <c r="I9659" s="64" t="s">
        <v>3189</v>
      </c>
      <c r="J9659" s="67">
        <v>948.72</v>
      </c>
      <c r="K9659" s="62">
        <v>7256.35</v>
      </c>
      <c r="L9659" s="33" t="e">
        <f>HLOOKUP(B9659,#REF!,1,0)</f>
        <v>#REF!</v>
      </c>
      <c r="M9659" s="33" t="str">
        <f t="shared" si="603"/>
        <v>P&amp;L</v>
      </c>
    </row>
    <row r="9660" spans="1:13">
      <c r="A9660" s="33" t="str">
        <f t="shared" si="600"/>
        <v>SCL - Operating Expense</v>
      </c>
      <c r="B9660" s="33" t="str">
        <f t="shared" si="601"/>
        <v>SCL</v>
      </c>
      <c r="C9660" s="33" t="str">
        <f t="shared" si="602"/>
        <v>64503-7393</v>
      </c>
      <c r="D9660" s="64" t="s">
        <v>10911</v>
      </c>
      <c r="E9660" s="64" t="s">
        <v>3202</v>
      </c>
      <c r="F9660" s="64" t="s">
        <v>15</v>
      </c>
      <c r="G9660" s="64" t="s">
        <v>3044</v>
      </c>
      <c r="H9660" s="64" t="s">
        <v>3022</v>
      </c>
      <c r="I9660" s="64" t="s">
        <v>3189</v>
      </c>
      <c r="J9660" s="67">
        <v>1401.84</v>
      </c>
      <c r="K9660" s="62">
        <v>12132.26</v>
      </c>
      <c r="L9660" s="33" t="e">
        <f>HLOOKUP(B9660,#REF!,1,0)</f>
        <v>#REF!</v>
      </c>
      <c r="M9660" s="33" t="str">
        <f t="shared" si="603"/>
        <v>P&amp;L</v>
      </c>
    </row>
    <row r="9661" spans="1:13">
      <c r="A9661" s="33" t="str">
        <f t="shared" si="600"/>
        <v>SCL - Operating Expense</v>
      </c>
      <c r="B9661" s="33" t="str">
        <f t="shared" si="601"/>
        <v>SCL</v>
      </c>
      <c r="C9661" s="33" t="str">
        <f t="shared" si="602"/>
        <v>64503-7394</v>
      </c>
      <c r="D9661" s="64" t="s">
        <v>10912</v>
      </c>
      <c r="E9661" s="64" t="s">
        <v>3202</v>
      </c>
      <c r="F9661" s="64" t="s">
        <v>15</v>
      </c>
      <c r="G9661" s="64" t="s">
        <v>3044</v>
      </c>
      <c r="H9661" s="64" t="s">
        <v>3022</v>
      </c>
      <c r="I9661" s="64" t="s">
        <v>3189</v>
      </c>
      <c r="J9661" s="67">
        <v>1128.76</v>
      </c>
      <c r="K9661" s="62">
        <v>8518.41</v>
      </c>
      <c r="L9661" s="33" t="e">
        <f>HLOOKUP(B9661,#REF!,1,0)</f>
        <v>#REF!</v>
      </c>
      <c r="M9661" s="33" t="str">
        <f t="shared" si="603"/>
        <v>P&amp;L</v>
      </c>
    </row>
    <row r="9662" spans="1:13">
      <c r="A9662" s="33" t="str">
        <f t="shared" si="600"/>
        <v>SCL - Operating Expense</v>
      </c>
      <c r="B9662" s="33" t="str">
        <f t="shared" si="601"/>
        <v>SCL</v>
      </c>
      <c r="C9662" s="33" t="str">
        <f t="shared" si="602"/>
        <v>64503-7396</v>
      </c>
      <c r="D9662" s="64" t="s">
        <v>10913</v>
      </c>
      <c r="E9662" s="64" t="s">
        <v>3202</v>
      </c>
      <c r="F9662" s="64" t="s">
        <v>15</v>
      </c>
      <c r="G9662" s="64" t="s">
        <v>3044</v>
      </c>
      <c r="H9662" s="64" t="s">
        <v>3022</v>
      </c>
      <c r="I9662" s="64" t="s">
        <v>3189</v>
      </c>
      <c r="J9662" s="67">
        <v>908.58</v>
      </c>
      <c r="K9662" s="62">
        <v>5231.99</v>
      </c>
      <c r="L9662" s="33" t="e">
        <f>HLOOKUP(B9662,#REF!,1,0)</f>
        <v>#REF!</v>
      </c>
      <c r="M9662" s="33" t="str">
        <f t="shared" si="603"/>
        <v>P&amp;L</v>
      </c>
    </row>
    <row r="9663" spans="1:13">
      <c r="A9663" s="33" t="str">
        <f t="shared" si="600"/>
        <v>SCL - Operating Expense</v>
      </c>
      <c r="B9663" s="33" t="str">
        <f t="shared" si="601"/>
        <v>SCL</v>
      </c>
      <c r="C9663" s="33" t="str">
        <f t="shared" si="602"/>
        <v>64503-7397</v>
      </c>
      <c r="D9663" s="64" t="s">
        <v>10914</v>
      </c>
      <c r="E9663" s="64" t="s">
        <v>3202</v>
      </c>
      <c r="F9663" s="64" t="s">
        <v>15</v>
      </c>
      <c r="G9663" s="64" t="s">
        <v>3044</v>
      </c>
      <c r="H9663" s="64" t="s">
        <v>3022</v>
      </c>
      <c r="I9663" s="64" t="s">
        <v>3189</v>
      </c>
      <c r="J9663" s="67">
        <v>1383.23</v>
      </c>
      <c r="K9663" s="62">
        <v>11456.18</v>
      </c>
      <c r="L9663" s="33" t="e">
        <f>HLOOKUP(B9663,#REF!,1,0)</f>
        <v>#REF!</v>
      </c>
      <c r="M9663" s="33" t="str">
        <f t="shared" si="603"/>
        <v>P&amp;L</v>
      </c>
    </row>
    <row r="9664" spans="1:13">
      <c r="A9664" s="33" t="str">
        <f t="shared" si="600"/>
        <v>SCL - Operating Expense</v>
      </c>
      <c r="B9664" s="33" t="str">
        <f t="shared" si="601"/>
        <v>SCL</v>
      </c>
      <c r="C9664" s="33" t="str">
        <f t="shared" si="602"/>
        <v>64503-7398</v>
      </c>
      <c r="D9664" s="64" t="s">
        <v>10915</v>
      </c>
      <c r="E9664" s="64" t="s">
        <v>3202</v>
      </c>
      <c r="F9664" s="64" t="s">
        <v>15</v>
      </c>
      <c r="G9664" s="64" t="s">
        <v>3044</v>
      </c>
      <c r="H9664" s="64" t="s">
        <v>3022</v>
      </c>
      <c r="I9664" s="64" t="s">
        <v>3189</v>
      </c>
      <c r="J9664" s="67">
        <v>1238.18</v>
      </c>
      <c r="K9664" s="62">
        <v>10329.75</v>
      </c>
      <c r="L9664" s="33" t="e">
        <f>HLOOKUP(B9664,#REF!,1,0)</f>
        <v>#REF!</v>
      </c>
      <c r="M9664" s="33" t="str">
        <f t="shared" si="603"/>
        <v>P&amp;L</v>
      </c>
    </row>
    <row r="9665" spans="1:13">
      <c r="A9665" s="33" t="str">
        <f t="shared" si="600"/>
        <v>SCL - Operating Expense</v>
      </c>
      <c r="B9665" s="33" t="str">
        <f t="shared" si="601"/>
        <v>SCL</v>
      </c>
      <c r="C9665" s="33" t="str">
        <f t="shared" si="602"/>
        <v>64503-7400</v>
      </c>
      <c r="D9665" s="64" t="s">
        <v>10916</v>
      </c>
      <c r="E9665" s="64" t="s">
        <v>3202</v>
      </c>
      <c r="F9665" s="64" t="s">
        <v>15</v>
      </c>
      <c r="G9665" s="64" t="s">
        <v>3044</v>
      </c>
      <c r="H9665" s="64" t="s">
        <v>3022</v>
      </c>
      <c r="I9665" s="64" t="s">
        <v>3189</v>
      </c>
      <c r="J9665" s="67">
        <v>1992.29</v>
      </c>
      <c r="K9665" s="62">
        <v>15964.33</v>
      </c>
      <c r="L9665" s="33" t="e">
        <f>HLOOKUP(B9665,#REF!,1,0)</f>
        <v>#REF!</v>
      </c>
      <c r="M9665" s="33" t="str">
        <f t="shared" si="603"/>
        <v>P&amp;L</v>
      </c>
    </row>
    <row r="9666" spans="1:13">
      <c r="A9666" s="33" t="str">
        <f t="shared" ref="A9666:A9729" si="604">B9666&amp;" - "&amp;TRIM(H9666)</f>
        <v>SCL - Operating Expense</v>
      </c>
      <c r="B9666" s="33" t="str">
        <f t="shared" ref="B9666:B9729" si="605">LEFT(D9666,3)</f>
        <v>SCL</v>
      </c>
      <c r="C9666" s="33" t="str">
        <f t="shared" ref="C9666:C9729" si="606">RIGHT(D9666,10)</f>
        <v>64503-7401</v>
      </c>
      <c r="D9666" s="64" t="s">
        <v>10917</v>
      </c>
      <c r="E9666" s="64" t="s">
        <v>3202</v>
      </c>
      <c r="F9666" s="64" t="s">
        <v>15</v>
      </c>
      <c r="G9666" s="64" t="s">
        <v>3044</v>
      </c>
      <c r="H9666" s="64" t="s">
        <v>3022</v>
      </c>
      <c r="I9666" s="64" t="s">
        <v>3189</v>
      </c>
      <c r="J9666" s="67">
        <v>1099.38</v>
      </c>
      <c r="K9666" s="62">
        <v>7626.93</v>
      </c>
      <c r="L9666" s="33" t="e">
        <f>HLOOKUP(B9666,#REF!,1,0)</f>
        <v>#REF!</v>
      </c>
      <c r="M9666" s="33" t="str">
        <f t="shared" ref="M9666:M9729" si="607">IF(VALUE(LEFT(C9666,5))&gt;40000,"P&amp;L","BS")</f>
        <v>P&amp;L</v>
      </c>
    </row>
    <row r="9667" spans="1:13">
      <c r="A9667" s="33" t="str">
        <f t="shared" si="604"/>
        <v>SCL - Operating Expense</v>
      </c>
      <c r="B9667" s="33" t="str">
        <f t="shared" si="605"/>
        <v>SCL</v>
      </c>
      <c r="C9667" s="33" t="str">
        <f t="shared" si="606"/>
        <v>64503-7402</v>
      </c>
      <c r="D9667" s="64" t="s">
        <v>10918</v>
      </c>
      <c r="E9667" s="64" t="s">
        <v>3202</v>
      </c>
      <c r="F9667" s="64" t="s">
        <v>15</v>
      </c>
      <c r="G9667" s="64" t="s">
        <v>3044</v>
      </c>
      <c r="H9667" s="64" t="s">
        <v>3022</v>
      </c>
      <c r="I9667" s="64" t="s">
        <v>3189</v>
      </c>
      <c r="J9667" s="67">
        <v>1692.44</v>
      </c>
      <c r="K9667" s="62">
        <v>11770.36</v>
      </c>
      <c r="L9667" s="33" t="e">
        <f>HLOOKUP(B9667,#REF!,1,0)</f>
        <v>#REF!</v>
      </c>
      <c r="M9667" s="33" t="str">
        <f t="shared" si="607"/>
        <v>P&amp;L</v>
      </c>
    </row>
    <row r="9668" spans="1:13">
      <c r="A9668" s="33" t="str">
        <f t="shared" si="604"/>
        <v>SCL - Operating Expense</v>
      </c>
      <c r="B9668" s="33" t="str">
        <f t="shared" si="605"/>
        <v>SCL</v>
      </c>
      <c r="C9668" s="33" t="str">
        <f t="shared" si="606"/>
        <v>64503-7403</v>
      </c>
      <c r="D9668" s="64" t="s">
        <v>10919</v>
      </c>
      <c r="E9668" s="64" t="s">
        <v>3202</v>
      </c>
      <c r="F9668" s="64" t="s">
        <v>15</v>
      </c>
      <c r="G9668" s="64" t="s">
        <v>3044</v>
      </c>
      <c r="H9668" s="64" t="s">
        <v>3022</v>
      </c>
      <c r="I9668" s="64" t="s">
        <v>3189</v>
      </c>
      <c r="J9668" s="67">
        <v>1228.71</v>
      </c>
      <c r="K9668" s="62">
        <v>9089.51</v>
      </c>
      <c r="L9668" s="33" t="e">
        <f>HLOOKUP(B9668,#REF!,1,0)</f>
        <v>#REF!</v>
      </c>
      <c r="M9668" s="33" t="str">
        <f t="shared" si="607"/>
        <v>P&amp;L</v>
      </c>
    </row>
    <row r="9669" spans="1:13">
      <c r="A9669" s="33" t="str">
        <f t="shared" si="604"/>
        <v>SCL - Operating Expense</v>
      </c>
      <c r="B9669" s="33" t="str">
        <f t="shared" si="605"/>
        <v>SCL</v>
      </c>
      <c r="C9669" s="33" t="str">
        <f t="shared" si="606"/>
        <v>64503-7406</v>
      </c>
      <c r="D9669" s="64" t="s">
        <v>10920</v>
      </c>
      <c r="E9669" s="64" t="s">
        <v>3202</v>
      </c>
      <c r="F9669" s="64" t="s">
        <v>15</v>
      </c>
      <c r="G9669" s="64" t="s">
        <v>3044</v>
      </c>
      <c r="H9669" s="64" t="s">
        <v>3022</v>
      </c>
      <c r="I9669" s="64" t="s">
        <v>3189</v>
      </c>
      <c r="J9669" s="67">
        <v>0</v>
      </c>
      <c r="K9669" s="62">
        <v>0</v>
      </c>
      <c r="L9669" s="33" t="e">
        <f>HLOOKUP(B9669,#REF!,1,0)</f>
        <v>#REF!</v>
      </c>
      <c r="M9669" s="33" t="str">
        <f t="shared" si="607"/>
        <v>P&amp;L</v>
      </c>
    </row>
    <row r="9670" spans="1:13">
      <c r="A9670" s="33" t="str">
        <f t="shared" si="604"/>
        <v>SCL - Operating Expense</v>
      </c>
      <c r="B9670" s="33" t="str">
        <f t="shared" si="605"/>
        <v>SCL</v>
      </c>
      <c r="C9670" s="33" t="str">
        <f t="shared" si="606"/>
        <v>64503-7489</v>
      </c>
      <c r="D9670" s="64" t="s">
        <v>10921</v>
      </c>
      <c r="E9670" s="64" t="s">
        <v>3202</v>
      </c>
      <c r="F9670" s="64" t="s">
        <v>15</v>
      </c>
      <c r="G9670" s="64" t="s">
        <v>3044</v>
      </c>
      <c r="H9670" s="64" t="s">
        <v>3022</v>
      </c>
      <c r="I9670" s="64" t="s">
        <v>3189</v>
      </c>
      <c r="J9670" s="67">
        <v>1178.86</v>
      </c>
      <c r="K9670" s="62">
        <v>9722.66</v>
      </c>
      <c r="L9670" s="33" t="e">
        <f>HLOOKUP(B9670,#REF!,1,0)</f>
        <v>#REF!</v>
      </c>
      <c r="M9670" s="33" t="str">
        <f t="shared" si="607"/>
        <v>P&amp;L</v>
      </c>
    </row>
    <row r="9671" spans="1:13">
      <c r="A9671" s="33" t="str">
        <f t="shared" si="604"/>
        <v>SCL - Operating Expense</v>
      </c>
      <c r="B9671" s="33" t="str">
        <f t="shared" si="605"/>
        <v>SCL</v>
      </c>
      <c r="C9671" s="33" t="str">
        <f t="shared" si="606"/>
        <v>64503-7491</v>
      </c>
      <c r="D9671" s="64" t="s">
        <v>10922</v>
      </c>
      <c r="E9671" s="64" t="s">
        <v>3202</v>
      </c>
      <c r="F9671" s="64" t="s">
        <v>15</v>
      </c>
      <c r="G9671" s="64" t="s">
        <v>3044</v>
      </c>
      <c r="H9671" s="64" t="s">
        <v>3022</v>
      </c>
      <c r="I9671" s="64" t="s">
        <v>3189</v>
      </c>
      <c r="J9671" s="67">
        <v>821.21</v>
      </c>
      <c r="K9671" s="62">
        <v>6391.77</v>
      </c>
      <c r="L9671" s="33" t="e">
        <f>HLOOKUP(B9671,#REF!,1,0)</f>
        <v>#REF!</v>
      </c>
      <c r="M9671" s="33" t="str">
        <f t="shared" si="607"/>
        <v>P&amp;L</v>
      </c>
    </row>
    <row r="9672" spans="1:13">
      <c r="A9672" s="33" t="str">
        <f t="shared" si="604"/>
        <v>SCL - Operating Expense</v>
      </c>
      <c r="B9672" s="33" t="str">
        <f t="shared" si="605"/>
        <v>SCL</v>
      </c>
      <c r="C9672" s="33" t="str">
        <f t="shared" si="606"/>
        <v>64503-7492</v>
      </c>
      <c r="D9672" s="64" t="s">
        <v>10923</v>
      </c>
      <c r="E9672" s="64" t="s">
        <v>3202</v>
      </c>
      <c r="F9672" s="64" t="s">
        <v>15</v>
      </c>
      <c r="G9672" s="64" t="s">
        <v>3044</v>
      </c>
      <c r="H9672" s="64" t="s">
        <v>3022</v>
      </c>
      <c r="I9672" s="64" t="s">
        <v>3189</v>
      </c>
      <c r="J9672" s="67">
        <v>1057.24</v>
      </c>
      <c r="K9672" s="62">
        <v>8626.5</v>
      </c>
      <c r="L9672" s="33" t="e">
        <f>HLOOKUP(B9672,#REF!,1,0)</f>
        <v>#REF!</v>
      </c>
      <c r="M9672" s="33" t="str">
        <f t="shared" si="607"/>
        <v>P&amp;L</v>
      </c>
    </row>
    <row r="9673" spans="1:13">
      <c r="A9673" s="33" t="str">
        <f t="shared" si="604"/>
        <v>SCL - Operating Expense</v>
      </c>
      <c r="B9673" s="33" t="str">
        <f t="shared" si="605"/>
        <v>SCL</v>
      </c>
      <c r="C9673" s="33" t="str">
        <f t="shared" si="606"/>
        <v>64503-7493</v>
      </c>
      <c r="D9673" s="64" t="s">
        <v>10924</v>
      </c>
      <c r="E9673" s="64" t="s">
        <v>3202</v>
      </c>
      <c r="F9673" s="64" t="s">
        <v>15</v>
      </c>
      <c r="G9673" s="64" t="s">
        <v>3044</v>
      </c>
      <c r="H9673" s="64" t="s">
        <v>3022</v>
      </c>
      <c r="I9673" s="64" t="s">
        <v>3189</v>
      </c>
      <c r="J9673" s="67">
        <v>2963.77</v>
      </c>
      <c r="K9673" s="62">
        <v>21818</v>
      </c>
      <c r="L9673" s="33" t="e">
        <f>HLOOKUP(B9673,#REF!,1,0)</f>
        <v>#REF!</v>
      </c>
      <c r="M9673" s="33" t="str">
        <f t="shared" si="607"/>
        <v>P&amp;L</v>
      </c>
    </row>
    <row r="9674" spans="1:13">
      <c r="A9674" s="33" t="str">
        <f t="shared" si="604"/>
        <v>SCL - Operating Expense</v>
      </c>
      <c r="B9674" s="33" t="str">
        <f t="shared" si="605"/>
        <v>SCL</v>
      </c>
      <c r="C9674" s="33" t="str">
        <f t="shared" si="606"/>
        <v>64503-7494</v>
      </c>
      <c r="D9674" s="64" t="s">
        <v>10925</v>
      </c>
      <c r="E9674" s="64" t="s">
        <v>3202</v>
      </c>
      <c r="F9674" s="64" t="s">
        <v>15</v>
      </c>
      <c r="G9674" s="64" t="s">
        <v>3044</v>
      </c>
      <c r="H9674" s="64" t="s">
        <v>3022</v>
      </c>
      <c r="I9674" s="64" t="s">
        <v>3189</v>
      </c>
      <c r="J9674" s="67">
        <v>1525.86</v>
      </c>
      <c r="K9674" s="62">
        <v>11829.18</v>
      </c>
      <c r="L9674" s="33" t="e">
        <f>HLOOKUP(B9674,#REF!,1,0)</f>
        <v>#REF!</v>
      </c>
      <c r="M9674" s="33" t="str">
        <f t="shared" si="607"/>
        <v>P&amp;L</v>
      </c>
    </row>
    <row r="9675" spans="1:13">
      <c r="A9675" s="33" t="str">
        <f t="shared" si="604"/>
        <v>SCL - Operating Expense</v>
      </c>
      <c r="B9675" s="33" t="str">
        <f t="shared" si="605"/>
        <v>SCL</v>
      </c>
      <c r="C9675" s="33" t="str">
        <f t="shared" si="606"/>
        <v>64503-7625</v>
      </c>
      <c r="D9675" s="64" t="s">
        <v>10926</v>
      </c>
      <c r="E9675" s="64" t="s">
        <v>3202</v>
      </c>
      <c r="F9675" s="64" t="s">
        <v>15</v>
      </c>
      <c r="G9675" s="64" t="s">
        <v>3044</v>
      </c>
      <c r="H9675" s="64" t="s">
        <v>3022</v>
      </c>
      <c r="I9675" s="64" t="s">
        <v>3189</v>
      </c>
      <c r="J9675" s="67">
        <v>3706.68</v>
      </c>
      <c r="K9675" s="62">
        <v>32060.43</v>
      </c>
      <c r="L9675" s="33" t="e">
        <f>HLOOKUP(B9675,#REF!,1,0)</f>
        <v>#REF!</v>
      </c>
      <c r="M9675" s="33" t="str">
        <f t="shared" si="607"/>
        <v>P&amp;L</v>
      </c>
    </row>
    <row r="9676" spans="1:13">
      <c r="A9676" s="33" t="str">
        <f t="shared" si="604"/>
        <v>SCL - Operating Expense</v>
      </c>
      <c r="B9676" s="33" t="str">
        <f t="shared" si="605"/>
        <v>SCL</v>
      </c>
      <c r="C9676" s="33" t="str">
        <f t="shared" si="606"/>
        <v>64503-8150</v>
      </c>
      <c r="D9676" s="64" t="s">
        <v>10927</v>
      </c>
      <c r="E9676" s="64" t="s">
        <v>3202</v>
      </c>
      <c r="F9676" s="64" t="s">
        <v>15</v>
      </c>
      <c r="G9676" s="64" t="s">
        <v>3044</v>
      </c>
      <c r="H9676" s="64" t="s">
        <v>3022</v>
      </c>
      <c r="I9676" s="64" t="s">
        <v>3189</v>
      </c>
      <c r="J9676" s="67">
        <v>1569.42</v>
      </c>
      <c r="K9676" s="62">
        <v>14484.8</v>
      </c>
      <c r="L9676" s="33" t="e">
        <f>HLOOKUP(B9676,#REF!,1,0)</f>
        <v>#REF!</v>
      </c>
      <c r="M9676" s="33" t="str">
        <f t="shared" si="607"/>
        <v>P&amp;L</v>
      </c>
    </row>
    <row r="9677" spans="1:13">
      <c r="A9677" s="33" t="str">
        <f t="shared" si="604"/>
        <v>SCL - Operating Expense</v>
      </c>
      <c r="B9677" s="33" t="str">
        <f t="shared" si="605"/>
        <v>SCL</v>
      </c>
      <c r="C9677" s="33" t="str">
        <f t="shared" si="606"/>
        <v>65001-0000</v>
      </c>
      <c r="D9677" s="64" t="s">
        <v>10928</v>
      </c>
      <c r="E9677" s="64" t="s">
        <v>3207</v>
      </c>
      <c r="F9677" s="64" t="s">
        <v>15</v>
      </c>
      <c r="G9677" s="64" t="s">
        <v>3044</v>
      </c>
      <c r="H9677" s="64" t="s">
        <v>3022</v>
      </c>
      <c r="I9677" s="64" t="s">
        <v>3045</v>
      </c>
      <c r="J9677" s="67">
        <v>0</v>
      </c>
      <c r="K9677" s="62">
        <v>136.76</v>
      </c>
      <c r="L9677" s="33" t="e">
        <f>HLOOKUP(B9677,#REF!,1,0)</f>
        <v>#REF!</v>
      </c>
      <c r="M9677" s="33" t="str">
        <f t="shared" si="607"/>
        <v>P&amp;L</v>
      </c>
    </row>
    <row r="9678" spans="1:13">
      <c r="A9678" s="33" t="str">
        <f t="shared" si="604"/>
        <v>SCL - Operating Expense</v>
      </c>
      <c r="B9678" s="33" t="str">
        <f t="shared" si="605"/>
        <v>SCL</v>
      </c>
      <c r="C9678" s="33" t="str">
        <f t="shared" si="606"/>
        <v>65001-7360</v>
      </c>
      <c r="D9678" s="64" t="s">
        <v>10929</v>
      </c>
      <c r="E9678" s="64" t="s">
        <v>3207</v>
      </c>
      <c r="F9678" s="64" t="s">
        <v>15</v>
      </c>
      <c r="G9678" s="64" t="s">
        <v>3044</v>
      </c>
      <c r="H9678" s="64" t="s">
        <v>3022</v>
      </c>
      <c r="I9678" s="64" t="s">
        <v>3045</v>
      </c>
      <c r="J9678" s="67">
        <v>0</v>
      </c>
      <c r="K9678" s="62">
        <v>-10.3</v>
      </c>
      <c r="L9678" s="33" t="e">
        <f>HLOOKUP(B9678,#REF!,1,0)</f>
        <v>#REF!</v>
      </c>
      <c r="M9678" s="33" t="str">
        <f t="shared" si="607"/>
        <v>P&amp;L</v>
      </c>
    </row>
    <row r="9679" spans="1:13">
      <c r="A9679" s="33" t="str">
        <f t="shared" si="604"/>
        <v>SCL - Operating Expense</v>
      </c>
      <c r="B9679" s="33" t="str">
        <f t="shared" si="605"/>
        <v>SCL</v>
      </c>
      <c r="C9679" s="33" t="str">
        <f t="shared" si="606"/>
        <v>65001-7365</v>
      </c>
      <c r="D9679" s="64" t="s">
        <v>10930</v>
      </c>
      <c r="E9679" s="64" t="s">
        <v>3207</v>
      </c>
      <c r="F9679" s="64" t="s">
        <v>15</v>
      </c>
      <c r="G9679" s="64" t="s">
        <v>3044</v>
      </c>
      <c r="H9679" s="64" t="s">
        <v>3022</v>
      </c>
      <c r="I9679" s="64" t="s">
        <v>3045</v>
      </c>
      <c r="J9679" s="67">
        <v>0</v>
      </c>
      <c r="K9679" s="62">
        <v>21.9</v>
      </c>
      <c r="L9679" s="33" t="e">
        <f>HLOOKUP(B9679,#REF!,1,0)</f>
        <v>#REF!</v>
      </c>
      <c r="M9679" s="33" t="str">
        <f t="shared" si="607"/>
        <v>P&amp;L</v>
      </c>
    </row>
    <row r="9680" spans="1:13">
      <c r="A9680" s="33" t="str">
        <f t="shared" si="604"/>
        <v>SCL - Operating Expense</v>
      </c>
      <c r="B9680" s="33" t="str">
        <f t="shared" si="605"/>
        <v>SCL</v>
      </c>
      <c r="C9680" s="33" t="str">
        <f t="shared" si="606"/>
        <v>65001-7369</v>
      </c>
      <c r="D9680" s="64" t="s">
        <v>10931</v>
      </c>
      <c r="E9680" s="64" t="s">
        <v>3207</v>
      </c>
      <c r="F9680" s="64" t="s">
        <v>15</v>
      </c>
      <c r="G9680" s="64" t="s">
        <v>3044</v>
      </c>
      <c r="H9680" s="64" t="s">
        <v>3022</v>
      </c>
      <c r="I9680" s="64" t="s">
        <v>3045</v>
      </c>
      <c r="J9680" s="67">
        <v>0</v>
      </c>
      <c r="K9680" s="62">
        <v>198.15</v>
      </c>
      <c r="L9680" s="33" t="e">
        <f>HLOOKUP(B9680,#REF!,1,0)</f>
        <v>#REF!</v>
      </c>
      <c r="M9680" s="33" t="str">
        <f t="shared" si="607"/>
        <v>P&amp;L</v>
      </c>
    </row>
    <row r="9681" spans="1:13">
      <c r="A9681" s="33" t="str">
        <f t="shared" si="604"/>
        <v>SCL - Operating Expense</v>
      </c>
      <c r="B9681" s="33" t="str">
        <f t="shared" si="605"/>
        <v>SCL</v>
      </c>
      <c r="C9681" s="33" t="str">
        <f t="shared" si="606"/>
        <v>65001-7385</v>
      </c>
      <c r="D9681" s="64" t="s">
        <v>10932</v>
      </c>
      <c r="E9681" s="64" t="s">
        <v>3207</v>
      </c>
      <c r="F9681" s="64" t="s">
        <v>15</v>
      </c>
      <c r="G9681" s="64" t="s">
        <v>3044</v>
      </c>
      <c r="H9681" s="64" t="s">
        <v>3022</v>
      </c>
      <c r="I9681" s="64" t="s">
        <v>3045</v>
      </c>
      <c r="J9681" s="67">
        <v>0</v>
      </c>
      <c r="K9681" s="62">
        <v>21.9</v>
      </c>
      <c r="L9681" s="33" t="e">
        <f>HLOOKUP(B9681,#REF!,1,0)</f>
        <v>#REF!</v>
      </c>
      <c r="M9681" s="33" t="str">
        <f t="shared" si="607"/>
        <v>P&amp;L</v>
      </c>
    </row>
    <row r="9682" spans="1:13">
      <c r="A9682" s="33" t="str">
        <f t="shared" si="604"/>
        <v>SCL - Operating Expense</v>
      </c>
      <c r="B9682" s="33" t="str">
        <f t="shared" si="605"/>
        <v>SCL</v>
      </c>
      <c r="C9682" s="33" t="str">
        <f t="shared" si="606"/>
        <v>65001-7391</v>
      </c>
      <c r="D9682" s="64" t="s">
        <v>10933</v>
      </c>
      <c r="E9682" s="64" t="s">
        <v>3207</v>
      </c>
      <c r="F9682" s="64" t="s">
        <v>15</v>
      </c>
      <c r="G9682" s="64" t="s">
        <v>3044</v>
      </c>
      <c r="H9682" s="64" t="s">
        <v>3022</v>
      </c>
      <c r="I9682" s="64" t="s">
        <v>3045</v>
      </c>
      <c r="J9682" s="67">
        <v>0</v>
      </c>
      <c r="K9682" s="62">
        <v>21.89</v>
      </c>
      <c r="L9682" s="33" t="e">
        <f>HLOOKUP(B9682,#REF!,1,0)</f>
        <v>#REF!</v>
      </c>
      <c r="M9682" s="33" t="str">
        <f t="shared" si="607"/>
        <v>P&amp;L</v>
      </c>
    </row>
    <row r="9683" spans="1:13">
      <c r="A9683" s="33" t="str">
        <f t="shared" si="604"/>
        <v>SCL - Operating Expense</v>
      </c>
      <c r="B9683" s="33" t="str">
        <f t="shared" si="605"/>
        <v>SCL</v>
      </c>
      <c r="C9683" s="33" t="str">
        <f t="shared" si="606"/>
        <v>65001-7394</v>
      </c>
      <c r="D9683" s="64" t="s">
        <v>10934</v>
      </c>
      <c r="E9683" s="64" t="s">
        <v>3207</v>
      </c>
      <c r="F9683" s="64" t="s">
        <v>15</v>
      </c>
      <c r="G9683" s="64" t="s">
        <v>3044</v>
      </c>
      <c r="H9683" s="64" t="s">
        <v>3022</v>
      </c>
      <c r="I9683" s="64" t="s">
        <v>3045</v>
      </c>
      <c r="J9683" s="67">
        <v>0</v>
      </c>
      <c r="K9683" s="62">
        <v>21.89</v>
      </c>
      <c r="L9683" s="33" t="e">
        <f>HLOOKUP(B9683,#REF!,1,0)</f>
        <v>#REF!</v>
      </c>
      <c r="M9683" s="33" t="str">
        <f t="shared" si="607"/>
        <v>P&amp;L</v>
      </c>
    </row>
    <row r="9684" spans="1:13">
      <c r="A9684" s="33" t="str">
        <f t="shared" si="604"/>
        <v>SCL - Operating Expense</v>
      </c>
      <c r="B9684" s="33" t="str">
        <f t="shared" si="605"/>
        <v>SCL</v>
      </c>
      <c r="C9684" s="33" t="str">
        <f t="shared" si="606"/>
        <v>65001-7398</v>
      </c>
      <c r="D9684" s="64" t="s">
        <v>10935</v>
      </c>
      <c r="E9684" s="64" t="s">
        <v>3207</v>
      </c>
      <c r="F9684" s="64" t="s">
        <v>15</v>
      </c>
      <c r="G9684" s="64" t="s">
        <v>3044</v>
      </c>
      <c r="H9684" s="64" t="s">
        <v>3022</v>
      </c>
      <c r="I9684" s="64" t="s">
        <v>3045</v>
      </c>
      <c r="J9684" s="67">
        <v>0</v>
      </c>
      <c r="K9684" s="62">
        <v>133.71</v>
      </c>
      <c r="L9684" s="33" t="e">
        <f>HLOOKUP(B9684,#REF!,1,0)</f>
        <v>#REF!</v>
      </c>
      <c r="M9684" s="33" t="str">
        <f t="shared" si="607"/>
        <v>P&amp;L</v>
      </c>
    </row>
    <row r="9685" spans="1:13">
      <c r="A9685" s="33" t="str">
        <f t="shared" si="604"/>
        <v>SCL - Operating Expense</v>
      </c>
      <c r="B9685" s="33" t="str">
        <f t="shared" si="605"/>
        <v>SCL</v>
      </c>
      <c r="C9685" s="33" t="str">
        <f t="shared" si="606"/>
        <v>65001-7491</v>
      </c>
      <c r="D9685" s="64" t="s">
        <v>10936</v>
      </c>
      <c r="E9685" s="64" t="s">
        <v>3207</v>
      </c>
      <c r="F9685" s="64" t="s">
        <v>15</v>
      </c>
      <c r="G9685" s="64" t="s">
        <v>3044</v>
      </c>
      <c r="H9685" s="64" t="s">
        <v>3022</v>
      </c>
      <c r="I9685" s="64" t="s">
        <v>3045</v>
      </c>
      <c r="J9685" s="67">
        <v>0</v>
      </c>
      <c r="K9685" s="62">
        <v>21.88</v>
      </c>
      <c r="L9685" s="33" t="e">
        <f>HLOOKUP(B9685,#REF!,1,0)</f>
        <v>#REF!</v>
      </c>
      <c r="M9685" s="33" t="str">
        <f t="shared" si="607"/>
        <v>P&amp;L</v>
      </c>
    </row>
    <row r="9686" spans="1:13">
      <c r="A9686" s="33" t="str">
        <f t="shared" si="604"/>
        <v>SCL - Operating Expense</v>
      </c>
      <c r="B9686" s="33" t="str">
        <f t="shared" si="605"/>
        <v>SCL</v>
      </c>
      <c r="C9686" s="33" t="str">
        <f t="shared" si="606"/>
        <v>65001-7493</v>
      </c>
      <c r="D9686" s="64" t="s">
        <v>10937</v>
      </c>
      <c r="E9686" s="64" t="s">
        <v>3207</v>
      </c>
      <c r="F9686" s="64" t="s">
        <v>15</v>
      </c>
      <c r="G9686" s="64" t="s">
        <v>3044</v>
      </c>
      <c r="H9686" s="64" t="s">
        <v>3022</v>
      </c>
      <c r="I9686" s="64" t="s">
        <v>3045</v>
      </c>
      <c r="J9686" s="67">
        <v>153.29</v>
      </c>
      <c r="K9686" s="62">
        <v>245.24</v>
      </c>
      <c r="L9686" s="33" t="e">
        <f>HLOOKUP(B9686,#REF!,1,0)</f>
        <v>#REF!</v>
      </c>
      <c r="M9686" s="33" t="str">
        <f t="shared" si="607"/>
        <v>P&amp;L</v>
      </c>
    </row>
    <row r="9687" spans="1:13">
      <c r="A9687" s="33" t="str">
        <f t="shared" si="604"/>
        <v>SCL - Operating Expense</v>
      </c>
      <c r="B9687" s="33" t="str">
        <f t="shared" si="605"/>
        <v>SCL</v>
      </c>
      <c r="C9687" s="33" t="str">
        <f t="shared" si="606"/>
        <v>65002-7351</v>
      </c>
      <c r="D9687" s="64" t="s">
        <v>10938</v>
      </c>
      <c r="E9687" s="64" t="s">
        <v>3209</v>
      </c>
      <c r="F9687" s="64" t="s">
        <v>15</v>
      </c>
      <c r="G9687" s="64" t="s">
        <v>3044</v>
      </c>
      <c r="H9687" s="64" t="s">
        <v>3022</v>
      </c>
      <c r="I9687" s="64" t="s">
        <v>3045</v>
      </c>
      <c r="J9687" s="67">
        <v>196.69</v>
      </c>
      <c r="K9687" s="62">
        <v>1662.41</v>
      </c>
      <c r="L9687" s="33" t="e">
        <f>HLOOKUP(B9687,#REF!,1,0)</f>
        <v>#REF!</v>
      </c>
      <c r="M9687" s="33" t="str">
        <f t="shared" si="607"/>
        <v>P&amp;L</v>
      </c>
    </row>
    <row r="9688" spans="1:13">
      <c r="A9688" s="33" t="str">
        <f t="shared" si="604"/>
        <v>SCL - Operating Expense</v>
      </c>
      <c r="B9688" s="33" t="str">
        <f t="shared" si="605"/>
        <v>SCL</v>
      </c>
      <c r="C9688" s="33" t="str">
        <f t="shared" si="606"/>
        <v>65002-7352</v>
      </c>
      <c r="D9688" s="64" t="s">
        <v>10939</v>
      </c>
      <c r="E9688" s="64" t="s">
        <v>3209</v>
      </c>
      <c r="F9688" s="64" t="s">
        <v>15</v>
      </c>
      <c r="G9688" s="64" t="s">
        <v>3044</v>
      </c>
      <c r="H9688" s="64" t="s">
        <v>3022</v>
      </c>
      <c r="I9688" s="64" t="s">
        <v>3045</v>
      </c>
      <c r="J9688" s="67">
        <v>196.69</v>
      </c>
      <c r="K9688" s="62">
        <v>1662.41</v>
      </c>
      <c r="L9688" s="33" t="e">
        <f>HLOOKUP(B9688,#REF!,1,0)</f>
        <v>#REF!</v>
      </c>
      <c r="M9688" s="33" t="str">
        <f t="shared" si="607"/>
        <v>P&amp;L</v>
      </c>
    </row>
    <row r="9689" spans="1:13">
      <c r="A9689" s="33" t="str">
        <f t="shared" si="604"/>
        <v>SCL - Operating Expense</v>
      </c>
      <c r="B9689" s="33" t="str">
        <f t="shared" si="605"/>
        <v>SCL</v>
      </c>
      <c r="C9689" s="33" t="str">
        <f t="shared" si="606"/>
        <v>65002-7355</v>
      </c>
      <c r="D9689" s="64" t="s">
        <v>10940</v>
      </c>
      <c r="E9689" s="64" t="s">
        <v>3209</v>
      </c>
      <c r="F9689" s="64" t="s">
        <v>15</v>
      </c>
      <c r="G9689" s="64" t="s">
        <v>3044</v>
      </c>
      <c r="H9689" s="64" t="s">
        <v>3022</v>
      </c>
      <c r="I9689" s="64" t="s">
        <v>3045</v>
      </c>
      <c r="J9689" s="67">
        <v>196.69</v>
      </c>
      <c r="K9689" s="62">
        <v>1662.41</v>
      </c>
      <c r="L9689" s="33" t="e">
        <f>HLOOKUP(B9689,#REF!,1,0)</f>
        <v>#REF!</v>
      </c>
      <c r="M9689" s="33" t="str">
        <f t="shared" si="607"/>
        <v>P&amp;L</v>
      </c>
    </row>
    <row r="9690" spans="1:13">
      <c r="A9690" s="33" t="str">
        <f t="shared" si="604"/>
        <v>SCL - Operating Expense</v>
      </c>
      <c r="B9690" s="33" t="str">
        <f t="shared" si="605"/>
        <v>SCL</v>
      </c>
      <c r="C9690" s="33" t="str">
        <f t="shared" si="606"/>
        <v>65002-7356</v>
      </c>
      <c r="D9690" s="64" t="s">
        <v>10941</v>
      </c>
      <c r="E9690" s="64" t="s">
        <v>3209</v>
      </c>
      <c r="F9690" s="64" t="s">
        <v>15</v>
      </c>
      <c r="G9690" s="64" t="s">
        <v>3044</v>
      </c>
      <c r="H9690" s="64" t="s">
        <v>3022</v>
      </c>
      <c r="I9690" s="64" t="s">
        <v>3045</v>
      </c>
      <c r="J9690" s="67">
        <v>0</v>
      </c>
      <c r="K9690" s="62">
        <v>85.36</v>
      </c>
      <c r="L9690" s="33" t="e">
        <f>HLOOKUP(B9690,#REF!,1,0)</f>
        <v>#REF!</v>
      </c>
      <c r="M9690" s="33" t="str">
        <f t="shared" si="607"/>
        <v>P&amp;L</v>
      </c>
    </row>
    <row r="9691" spans="1:13">
      <c r="A9691" s="33" t="str">
        <f t="shared" si="604"/>
        <v>SCL - Operating Expense</v>
      </c>
      <c r="B9691" s="33" t="str">
        <f t="shared" si="605"/>
        <v>SCL</v>
      </c>
      <c r="C9691" s="33" t="str">
        <f t="shared" si="606"/>
        <v>65002-7359</v>
      </c>
      <c r="D9691" s="64" t="s">
        <v>10942</v>
      </c>
      <c r="E9691" s="64" t="s">
        <v>3209</v>
      </c>
      <c r="F9691" s="64" t="s">
        <v>15</v>
      </c>
      <c r="G9691" s="64" t="s">
        <v>3044</v>
      </c>
      <c r="H9691" s="64" t="s">
        <v>3022</v>
      </c>
      <c r="I9691" s="64" t="s">
        <v>3045</v>
      </c>
      <c r="J9691" s="67">
        <v>196.69</v>
      </c>
      <c r="K9691" s="62">
        <v>1662.41</v>
      </c>
      <c r="L9691" s="33" t="e">
        <f>HLOOKUP(B9691,#REF!,1,0)</f>
        <v>#REF!</v>
      </c>
      <c r="M9691" s="33" t="str">
        <f t="shared" si="607"/>
        <v>P&amp;L</v>
      </c>
    </row>
    <row r="9692" spans="1:13">
      <c r="A9692" s="33" t="str">
        <f t="shared" si="604"/>
        <v>SCL - Operating Expense</v>
      </c>
      <c r="B9692" s="33" t="str">
        <f t="shared" si="605"/>
        <v>SCL</v>
      </c>
      <c r="C9692" s="33" t="str">
        <f t="shared" si="606"/>
        <v>65002-7360</v>
      </c>
      <c r="D9692" s="64" t="s">
        <v>10943</v>
      </c>
      <c r="E9692" s="64" t="s">
        <v>3209</v>
      </c>
      <c r="F9692" s="64" t="s">
        <v>15</v>
      </c>
      <c r="G9692" s="64" t="s">
        <v>3044</v>
      </c>
      <c r="H9692" s="64" t="s">
        <v>3022</v>
      </c>
      <c r="I9692" s="64" t="s">
        <v>3045</v>
      </c>
      <c r="J9692" s="67">
        <v>196.69</v>
      </c>
      <c r="K9692" s="62">
        <v>1662.41</v>
      </c>
      <c r="L9692" s="33" t="e">
        <f>HLOOKUP(B9692,#REF!,1,0)</f>
        <v>#REF!</v>
      </c>
      <c r="M9692" s="33" t="str">
        <f t="shared" si="607"/>
        <v>P&amp;L</v>
      </c>
    </row>
    <row r="9693" spans="1:13">
      <c r="A9693" s="33" t="str">
        <f t="shared" si="604"/>
        <v>SCL - Operating Expense</v>
      </c>
      <c r="B9693" s="33" t="str">
        <f t="shared" si="605"/>
        <v>SCL</v>
      </c>
      <c r="C9693" s="33" t="str">
        <f t="shared" si="606"/>
        <v>65002-7361</v>
      </c>
      <c r="D9693" s="64" t="s">
        <v>10944</v>
      </c>
      <c r="E9693" s="64" t="s">
        <v>3209</v>
      </c>
      <c r="F9693" s="64" t="s">
        <v>15</v>
      </c>
      <c r="G9693" s="64" t="s">
        <v>3044</v>
      </c>
      <c r="H9693" s="64" t="s">
        <v>3022</v>
      </c>
      <c r="I9693" s="64" t="s">
        <v>3045</v>
      </c>
      <c r="J9693" s="67">
        <v>196.68</v>
      </c>
      <c r="K9693" s="62">
        <v>1662.33</v>
      </c>
      <c r="L9693" s="33" t="e">
        <f>HLOOKUP(B9693,#REF!,1,0)</f>
        <v>#REF!</v>
      </c>
      <c r="M9693" s="33" t="str">
        <f t="shared" si="607"/>
        <v>P&amp;L</v>
      </c>
    </row>
    <row r="9694" spans="1:13">
      <c r="A9694" s="33" t="str">
        <f t="shared" si="604"/>
        <v>SCL - Operating Expense</v>
      </c>
      <c r="B9694" s="33" t="str">
        <f t="shared" si="605"/>
        <v>SCL</v>
      </c>
      <c r="C9694" s="33" t="str">
        <f t="shared" si="606"/>
        <v>65002-7362</v>
      </c>
      <c r="D9694" s="64" t="s">
        <v>10945</v>
      </c>
      <c r="E9694" s="64" t="s">
        <v>3209</v>
      </c>
      <c r="F9694" s="64" t="s">
        <v>15</v>
      </c>
      <c r="G9694" s="64" t="s">
        <v>3044</v>
      </c>
      <c r="H9694" s="64" t="s">
        <v>3022</v>
      </c>
      <c r="I9694" s="64" t="s">
        <v>3045</v>
      </c>
      <c r="J9694" s="67">
        <v>196.68</v>
      </c>
      <c r="K9694" s="62">
        <v>1662.33</v>
      </c>
      <c r="L9694" s="33" t="e">
        <f>HLOOKUP(B9694,#REF!,1,0)</f>
        <v>#REF!</v>
      </c>
      <c r="M9694" s="33" t="str">
        <f t="shared" si="607"/>
        <v>P&amp;L</v>
      </c>
    </row>
    <row r="9695" spans="1:13">
      <c r="A9695" s="33" t="str">
        <f t="shared" si="604"/>
        <v>SCL - Operating Expense</v>
      </c>
      <c r="B9695" s="33" t="str">
        <f t="shared" si="605"/>
        <v>SCL</v>
      </c>
      <c r="C9695" s="33" t="str">
        <f t="shared" si="606"/>
        <v>65002-7363</v>
      </c>
      <c r="D9695" s="64" t="s">
        <v>10946</v>
      </c>
      <c r="E9695" s="64" t="s">
        <v>3209</v>
      </c>
      <c r="F9695" s="64" t="s">
        <v>15</v>
      </c>
      <c r="G9695" s="64" t="s">
        <v>3044</v>
      </c>
      <c r="H9695" s="64" t="s">
        <v>3022</v>
      </c>
      <c r="I9695" s="64" t="s">
        <v>3045</v>
      </c>
      <c r="J9695" s="67">
        <v>196.67</v>
      </c>
      <c r="K9695" s="62">
        <v>1662.25</v>
      </c>
      <c r="L9695" s="33" t="e">
        <f>HLOOKUP(B9695,#REF!,1,0)</f>
        <v>#REF!</v>
      </c>
      <c r="M9695" s="33" t="str">
        <f t="shared" si="607"/>
        <v>P&amp;L</v>
      </c>
    </row>
    <row r="9696" spans="1:13">
      <c r="A9696" s="33" t="str">
        <f t="shared" si="604"/>
        <v>SCL - Operating Expense</v>
      </c>
      <c r="B9696" s="33" t="str">
        <f t="shared" si="605"/>
        <v>SCL</v>
      </c>
      <c r="C9696" s="33" t="str">
        <f t="shared" si="606"/>
        <v>65002-7364</v>
      </c>
      <c r="D9696" s="64" t="s">
        <v>10947</v>
      </c>
      <c r="E9696" s="64" t="s">
        <v>3209</v>
      </c>
      <c r="F9696" s="64" t="s">
        <v>15</v>
      </c>
      <c r="G9696" s="64" t="s">
        <v>3044</v>
      </c>
      <c r="H9696" s="64" t="s">
        <v>3022</v>
      </c>
      <c r="I9696" s="64" t="s">
        <v>3045</v>
      </c>
      <c r="J9696" s="67">
        <v>196.68</v>
      </c>
      <c r="K9696" s="62">
        <v>1662.33</v>
      </c>
      <c r="L9696" s="33" t="e">
        <f>HLOOKUP(B9696,#REF!,1,0)</f>
        <v>#REF!</v>
      </c>
      <c r="M9696" s="33" t="str">
        <f t="shared" si="607"/>
        <v>P&amp;L</v>
      </c>
    </row>
    <row r="9697" spans="1:13">
      <c r="A9697" s="33" t="str">
        <f t="shared" si="604"/>
        <v>SCL - Operating Expense</v>
      </c>
      <c r="B9697" s="33" t="str">
        <f t="shared" si="605"/>
        <v>SCL</v>
      </c>
      <c r="C9697" s="33" t="str">
        <f t="shared" si="606"/>
        <v>65002-7365</v>
      </c>
      <c r="D9697" s="64" t="s">
        <v>10948</v>
      </c>
      <c r="E9697" s="64" t="s">
        <v>3209</v>
      </c>
      <c r="F9697" s="64" t="s">
        <v>15</v>
      </c>
      <c r="G9697" s="64" t="s">
        <v>3044</v>
      </c>
      <c r="H9697" s="64" t="s">
        <v>3022</v>
      </c>
      <c r="I9697" s="64" t="s">
        <v>3045</v>
      </c>
      <c r="J9697" s="67">
        <v>196.68</v>
      </c>
      <c r="K9697" s="62">
        <v>1662.33</v>
      </c>
      <c r="L9697" s="33" t="e">
        <f>HLOOKUP(B9697,#REF!,1,0)</f>
        <v>#REF!</v>
      </c>
      <c r="M9697" s="33" t="str">
        <f t="shared" si="607"/>
        <v>P&amp;L</v>
      </c>
    </row>
    <row r="9698" spans="1:13">
      <c r="A9698" s="33" t="str">
        <f t="shared" si="604"/>
        <v>SCL - Operating Expense</v>
      </c>
      <c r="B9698" s="33" t="str">
        <f t="shared" si="605"/>
        <v>SCL</v>
      </c>
      <c r="C9698" s="33" t="str">
        <f t="shared" si="606"/>
        <v>65002-7366</v>
      </c>
      <c r="D9698" s="64" t="s">
        <v>10949</v>
      </c>
      <c r="E9698" s="64" t="s">
        <v>3209</v>
      </c>
      <c r="F9698" s="64" t="s">
        <v>15</v>
      </c>
      <c r="G9698" s="64" t="s">
        <v>3044</v>
      </c>
      <c r="H9698" s="64" t="s">
        <v>3022</v>
      </c>
      <c r="I9698" s="64" t="s">
        <v>3045</v>
      </c>
      <c r="J9698" s="67">
        <v>196.68</v>
      </c>
      <c r="K9698" s="62">
        <v>1662.33</v>
      </c>
      <c r="L9698" s="33" t="e">
        <f>HLOOKUP(B9698,#REF!,1,0)</f>
        <v>#REF!</v>
      </c>
      <c r="M9698" s="33" t="str">
        <f t="shared" si="607"/>
        <v>P&amp;L</v>
      </c>
    </row>
    <row r="9699" spans="1:13">
      <c r="A9699" s="33" t="str">
        <f t="shared" si="604"/>
        <v>SCL - Operating Expense</v>
      </c>
      <c r="B9699" s="33" t="str">
        <f t="shared" si="605"/>
        <v>SCL</v>
      </c>
      <c r="C9699" s="33" t="str">
        <f t="shared" si="606"/>
        <v>65002-7368</v>
      </c>
      <c r="D9699" s="64" t="s">
        <v>10950</v>
      </c>
      <c r="E9699" s="64" t="s">
        <v>3209</v>
      </c>
      <c r="F9699" s="64" t="s">
        <v>15</v>
      </c>
      <c r="G9699" s="64" t="s">
        <v>3044</v>
      </c>
      <c r="H9699" s="64" t="s">
        <v>3022</v>
      </c>
      <c r="I9699" s="64" t="s">
        <v>3045</v>
      </c>
      <c r="J9699" s="67">
        <v>196.68</v>
      </c>
      <c r="K9699" s="62">
        <v>1662.33</v>
      </c>
      <c r="L9699" s="33" t="e">
        <f>HLOOKUP(B9699,#REF!,1,0)</f>
        <v>#REF!</v>
      </c>
      <c r="M9699" s="33" t="str">
        <f t="shared" si="607"/>
        <v>P&amp;L</v>
      </c>
    </row>
    <row r="9700" spans="1:13">
      <c r="A9700" s="33" t="str">
        <f t="shared" si="604"/>
        <v>SCL - Operating Expense</v>
      </c>
      <c r="B9700" s="33" t="str">
        <f t="shared" si="605"/>
        <v>SCL</v>
      </c>
      <c r="C9700" s="33" t="str">
        <f t="shared" si="606"/>
        <v>65002-7369</v>
      </c>
      <c r="D9700" s="64" t="s">
        <v>10951</v>
      </c>
      <c r="E9700" s="64" t="s">
        <v>3209</v>
      </c>
      <c r="F9700" s="64" t="s">
        <v>15</v>
      </c>
      <c r="G9700" s="64" t="s">
        <v>3044</v>
      </c>
      <c r="H9700" s="64" t="s">
        <v>3022</v>
      </c>
      <c r="I9700" s="64" t="s">
        <v>3045</v>
      </c>
      <c r="J9700" s="67">
        <v>196.68</v>
      </c>
      <c r="K9700" s="62">
        <v>1662.33</v>
      </c>
      <c r="L9700" s="33" t="e">
        <f>HLOOKUP(B9700,#REF!,1,0)</f>
        <v>#REF!</v>
      </c>
      <c r="M9700" s="33" t="str">
        <f t="shared" si="607"/>
        <v>P&amp;L</v>
      </c>
    </row>
    <row r="9701" spans="1:13">
      <c r="A9701" s="33" t="str">
        <f t="shared" si="604"/>
        <v>SCL - Operating Expense</v>
      </c>
      <c r="B9701" s="33" t="str">
        <f t="shared" si="605"/>
        <v>SCL</v>
      </c>
      <c r="C9701" s="33" t="str">
        <f t="shared" si="606"/>
        <v>65002-7371</v>
      </c>
      <c r="D9701" s="64" t="s">
        <v>10952</v>
      </c>
      <c r="E9701" s="64" t="s">
        <v>3209</v>
      </c>
      <c r="F9701" s="64" t="s">
        <v>15</v>
      </c>
      <c r="G9701" s="64" t="s">
        <v>3044</v>
      </c>
      <c r="H9701" s="64" t="s">
        <v>3022</v>
      </c>
      <c r="I9701" s="64" t="s">
        <v>3045</v>
      </c>
      <c r="J9701" s="67">
        <v>196.68</v>
      </c>
      <c r="K9701" s="62">
        <v>1662.33</v>
      </c>
      <c r="L9701" s="33" t="e">
        <f>HLOOKUP(B9701,#REF!,1,0)</f>
        <v>#REF!</v>
      </c>
      <c r="M9701" s="33" t="str">
        <f t="shared" si="607"/>
        <v>P&amp;L</v>
      </c>
    </row>
    <row r="9702" spans="1:13">
      <c r="A9702" s="33" t="str">
        <f t="shared" si="604"/>
        <v>SCL - Operating Expense</v>
      </c>
      <c r="B9702" s="33" t="str">
        <f t="shared" si="605"/>
        <v>SCL</v>
      </c>
      <c r="C9702" s="33" t="str">
        <f t="shared" si="606"/>
        <v>65002-7374</v>
      </c>
      <c r="D9702" s="64" t="s">
        <v>10953</v>
      </c>
      <c r="E9702" s="64" t="s">
        <v>3209</v>
      </c>
      <c r="F9702" s="64" t="s">
        <v>15</v>
      </c>
      <c r="G9702" s="64" t="s">
        <v>3044</v>
      </c>
      <c r="H9702" s="64" t="s">
        <v>3022</v>
      </c>
      <c r="I9702" s="64" t="s">
        <v>3045</v>
      </c>
      <c r="J9702" s="67">
        <v>196.67</v>
      </c>
      <c r="K9702" s="62">
        <v>1662.25</v>
      </c>
      <c r="L9702" s="33" t="e">
        <f>HLOOKUP(B9702,#REF!,1,0)</f>
        <v>#REF!</v>
      </c>
      <c r="M9702" s="33" t="str">
        <f t="shared" si="607"/>
        <v>P&amp;L</v>
      </c>
    </row>
    <row r="9703" spans="1:13">
      <c r="A9703" s="33" t="str">
        <f t="shared" si="604"/>
        <v>SCL - Operating Expense</v>
      </c>
      <c r="B9703" s="33" t="str">
        <f t="shared" si="605"/>
        <v>SCL</v>
      </c>
      <c r="C9703" s="33" t="str">
        <f t="shared" si="606"/>
        <v>65002-7375</v>
      </c>
      <c r="D9703" s="64" t="s">
        <v>10954</v>
      </c>
      <c r="E9703" s="64" t="s">
        <v>3209</v>
      </c>
      <c r="F9703" s="64" t="s">
        <v>15</v>
      </c>
      <c r="G9703" s="64" t="s">
        <v>3044</v>
      </c>
      <c r="H9703" s="64" t="s">
        <v>3022</v>
      </c>
      <c r="I9703" s="64" t="s">
        <v>3045</v>
      </c>
      <c r="J9703" s="67">
        <v>196.68</v>
      </c>
      <c r="K9703" s="62">
        <v>1662.33</v>
      </c>
      <c r="L9703" s="33" t="e">
        <f>HLOOKUP(B9703,#REF!,1,0)</f>
        <v>#REF!</v>
      </c>
      <c r="M9703" s="33" t="str">
        <f t="shared" si="607"/>
        <v>P&amp;L</v>
      </c>
    </row>
    <row r="9704" spans="1:13">
      <c r="A9704" s="33" t="str">
        <f t="shared" si="604"/>
        <v>SCL - Operating Expense</v>
      </c>
      <c r="B9704" s="33" t="str">
        <f t="shared" si="605"/>
        <v>SCL</v>
      </c>
      <c r="C9704" s="33" t="str">
        <f t="shared" si="606"/>
        <v>65002-7376</v>
      </c>
      <c r="D9704" s="64" t="s">
        <v>10955</v>
      </c>
      <c r="E9704" s="64" t="s">
        <v>3209</v>
      </c>
      <c r="F9704" s="64" t="s">
        <v>15</v>
      </c>
      <c r="G9704" s="64" t="s">
        <v>3044</v>
      </c>
      <c r="H9704" s="64" t="s">
        <v>3022</v>
      </c>
      <c r="I9704" s="64" t="s">
        <v>3045</v>
      </c>
      <c r="J9704" s="67">
        <v>196.68</v>
      </c>
      <c r="K9704" s="62">
        <v>1662.33</v>
      </c>
      <c r="L9704" s="33" t="e">
        <f>HLOOKUP(B9704,#REF!,1,0)</f>
        <v>#REF!</v>
      </c>
      <c r="M9704" s="33" t="str">
        <f t="shared" si="607"/>
        <v>P&amp;L</v>
      </c>
    </row>
    <row r="9705" spans="1:13">
      <c r="A9705" s="33" t="str">
        <f t="shared" si="604"/>
        <v>SCL - Operating Expense</v>
      </c>
      <c r="B9705" s="33" t="str">
        <f t="shared" si="605"/>
        <v>SCL</v>
      </c>
      <c r="C9705" s="33" t="str">
        <f t="shared" si="606"/>
        <v>65002-7377</v>
      </c>
      <c r="D9705" s="64" t="s">
        <v>10956</v>
      </c>
      <c r="E9705" s="64" t="s">
        <v>3209</v>
      </c>
      <c r="F9705" s="64" t="s">
        <v>15</v>
      </c>
      <c r="G9705" s="64" t="s">
        <v>3044</v>
      </c>
      <c r="H9705" s="64" t="s">
        <v>3022</v>
      </c>
      <c r="I9705" s="64" t="s">
        <v>3045</v>
      </c>
      <c r="J9705" s="67">
        <v>196.67</v>
      </c>
      <c r="K9705" s="62">
        <v>1662.25</v>
      </c>
      <c r="L9705" s="33" t="e">
        <f>HLOOKUP(B9705,#REF!,1,0)</f>
        <v>#REF!</v>
      </c>
      <c r="M9705" s="33" t="str">
        <f t="shared" si="607"/>
        <v>P&amp;L</v>
      </c>
    </row>
    <row r="9706" spans="1:13">
      <c r="A9706" s="33" t="str">
        <f t="shared" si="604"/>
        <v>SCL - Operating Expense</v>
      </c>
      <c r="B9706" s="33" t="str">
        <f t="shared" si="605"/>
        <v>SCL</v>
      </c>
      <c r="C9706" s="33" t="str">
        <f t="shared" si="606"/>
        <v>65002-7378</v>
      </c>
      <c r="D9706" s="64" t="s">
        <v>10957</v>
      </c>
      <c r="E9706" s="64" t="s">
        <v>3209</v>
      </c>
      <c r="F9706" s="64" t="s">
        <v>15</v>
      </c>
      <c r="G9706" s="64" t="s">
        <v>3044</v>
      </c>
      <c r="H9706" s="64" t="s">
        <v>3022</v>
      </c>
      <c r="I9706" s="64" t="s">
        <v>3045</v>
      </c>
      <c r="J9706" s="67">
        <v>196.68</v>
      </c>
      <c r="K9706" s="62">
        <v>1662.33</v>
      </c>
      <c r="L9706" s="33" t="e">
        <f>HLOOKUP(B9706,#REF!,1,0)</f>
        <v>#REF!</v>
      </c>
      <c r="M9706" s="33" t="str">
        <f t="shared" si="607"/>
        <v>P&amp;L</v>
      </c>
    </row>
    <row r="9707" spans="1:13">
      <c r="A9707" s="33" t="str">
        <f t="shared" si="604"/>
        <v>SCL - Operating Expense</v>
      </c>
      <c r="B9707" s="33" t="str">
        <f t="shared" si="605"/>
        <v>SCL</v>
      </c>
      <c r="C9707" s="33" t="str">
        <f t="shared" si="606"/>
        <v>65002-7379</v>
      </c>
      <c r="D9707" s="64" t="s">
        <v>10958</v>
      </c>
      <c r="E9707" s="64" t="s">
        <v>3209</v>
      </c>
      <c r="F9707" s="64" t="s">
        <v>15</v>
      </c>
      <c r="G9707" s="64" t="s">
        <v>3044</v>
      </c>
      <c r="H9707" s="64" t="s">
        <v>3022</v>
      </c>
      <c r="I9707" s="64" t="s">
        <v>3045</v>
      </c>
      <c r="J9707" s="67">
        <v>196.68</v>
      </c>
      <c r="K9707" s="62">
        <v>1662.33</v>
      </c>
      <c r="L9707" s="33" t="e">
        <f>HLOOKUP(B9707,#REF!,1,0)</f>
        <v>#REF!</v>
      </c>
      <c r="M9707" s="33" t="str">
        <f t="shared" si="607"/>
        <v>P&amp;L</v>
      </c>
    </row>
    <row r="9708" spans="1:13">
      <c r="A9708" s="33" t="str">
        <f t="shared" si="604"/>
        <v>SCL - Operating Expense</v>
      </c>
      <c r="B9708" s="33" t="str">
        <f t="shared" si="605"/>
        <v>SCL</v>
      </c>
      <c r="C9708" s="33" t="str">
        <f t="shared" si="606"/>
        <v>65002-7380</v>
      </c>
      <c r="D9708" s="64" t="s">
        <v>10959</v>
      </c>
      <c r="E9708" s="64" t="s">
        <v>3209</v>
      </c>
      <c r="F9708" s="64" t="s">
        <v>15</v>
      </c>
      <c r="G9708" s="64" t="s">
        <v>3044</v>
      </c>
      <c r="H9708" s="64" t="s">
        <v>3022</v>
      </c>
      <c r="I9708" s="64" t="s">
        <v>3045</v>
      </c>
      <c r="J9708" s="67">
        <v>196.67</v>
      </c>
      <c r="K9708" s="62">
        <v>1662.25</v>
      </c>
      <c r="L9708" s="33" t="e">
        <f>HLOOKUP(B9708,#REF!,1,0)</f>
        <v>#REF!</v>
      </c>
      <c r="M9708" s="33" t="str">
        <f t="shared" si="607"/>
        <v>P&amp;L</v>
      </c>
    </row>
    <row r="9709" spans="1:13">
      <c r="A9709" s="33" t="str">
        <f t="shared" si="604"/>
        <v>SCL - Operating Expense</v>
      </c>
      <c r="B9709" s="33" t="str">
        <f t="shared" si="605"/>
        <v>SCL</v>
      </c>
      <c r="C9709" s="33" t="str">
        <f t="shared" si="606"/>
        <v>65002-7381</v>
      </c>
      <c r="D9709" s="64" t="s">
        <v>10960</v>
      </c>
      <c r="E9709" s="64" t="s">
        <v>3209</v>
      </c>
      <c r="F9709" s="64" t="s">
        <v>15</v>
      </c>
      <c r="G9709" s="64" t="s">
        <v>3044</v>
      </c>
      <c r="H9709" s="64" t="s">
        <v>3022</v>
      </c>
      <c r="I9709" s="64" t="s">
        <v>3045</v>
      </c>
      <c r="J9709" s="67">
        <v>196.67</v>
      </c>
      <c r="K9709" s="62">
        <v>1662.25</v>
      </c>
      <c r="L9709" s="33" t="e">
        <f>HLOOKUP(B9709,#REF!,1,0)</f>
        <v>#REF!</v>
      </c>
      <c r="M9709" s="33" t="str">
        <f t="shared" si="607"/>
        <v>P&amp;L</v>
      </c>
    </row>
    <row r="9710" spans="1:13">
      <c r="A9710" s="33" t="str">
        <f t="shared" si="604"/>
        <v>SCL - Operating Expense</v>
      </c>
      <c r="B9710" s="33" t="str">
        <f t="shared" si="605"/>
        <v>SCL</v>
      </c>
      <c r="C9710" s="33" t="str">
        <f t="shared" si="606"/>
        <v>65002-7383</v>
      </c>
      <c r="D9710" s="64" t="s">
        <v>10961</v>
      </c>
      <c r="E9710" s="64" t="s">
        <v>3209</v>
      </c>
      <c r="F9710" s="64" t="s">
        <v>15</v>
      </c>
      <c r="G9710" s="64" t="s">
        <v>3044</v>
      </c>
      <c r="H9710" s="64" t="s">
        <v>3022</v>
      </c>
      <c r="I9710" s="64" t="s">
        <v>3045</v>
      </c>
      <c r="J9710" s="67">
        <v>196.68</v>
      </c>
      <c r="K9710" s="62">
        <v>1662.33</v>
      </c>
      <c r="L9710" s="33" t="e">
        <f>HLOOKUP(B9710,#REF!,1,0)</f>
        <v>#REF!</v>
      </c>
      <c r="M9710" s="33" t="str">
        <f t="shared" si="607"/>
        <v>P&amp;L</v>
      </c>
    </row>
    <row r="9711" spans="1:13">
      <c r="A9711" s="33" t="str">
        <f t="shared" si="604"/>
        <v>SCL - Operating Expense</v>
      </c>
      <c r="B9711" s="33" t="str">
        <f t="shared" si="605"/>
        <v>SCL</v>
      </c>
      <c r="C9711" s="33" t="str">
        <f t="shared" si="606"/>
        <v>65002-7385</v>
      </c>
      <c r="D9711" s="64" t="s">
        <v>10962</v>
      </c>
      <c r="E9711" s="64" t="s">
        <v>3209</v>
      </c>
      <c r="F9711" s="64" t="s">
        <v>15</v>
      </c>
      <c r="G9711" s="64" t="s">
        <v>3044</v>
      </c>
      <c r="H9711" s="64" t="s">
        <v>3022</v>
      </c>
      <c r="I9711" s="64" t="s">
        <v>3045</v>
      </c>
      <c r="J9711" s="67">
        <v>196.68</v>
      </c>
      <c r="K9711" s="62">
        <v>1662.33</v>
      </c>
      <c r="L9711" s="33" t="e">
        <f>HLOOKUP(B9711,#REF!,1,0)</f>
        <v>#REF!</v>
      </c>
      <c r="M9711" s="33" t="str">
        <f t="shared" si="607"/>
        <v>P&amp;L</v>
      </c>
    </row>
    <row r="9712" spans="1:13">
      <c r="A9712" s="33" t="str">
        <f t="shared" si="604"/>
        <v>SCL - Operating Expense</v>
      </c>
      <c r="B9712" s="33" t="str">
        <f t="shared" si="605"/>
        <v>SCL</v>
      </c>
      <c r="C9712" s="33" t="str">
        <f t="shared" si="606"/>
        <v>65002-7386</v>
      </c>
      <c r="D9712" s="64" t="s">
        <v>10963</v>
      </c>
      <c r="E9712" s="64" t="s">
        <v>3209</v>
      </c>
      <c r="F9712" s="64" t="s">
        <v>15</v>
      </c>
      <c r="G9712" s="64" t="s">
        <v>3044</v>
      </c>
      <c r="H9712" s="64" t="s">
        <v>3022</v>
      </c>
      <c r="I9712" s="64" t="s">
        <v>3045</v>
      </c>
      <c r="J9712" s="67">
        <v>196.67</v>
      </c>
      <c r="K9712" s="62">
        <v>1662.25</v>
      </c>
      <c r="L9712" s="33" t="e">
        <f>HLOOKUP(B9712,#REF!,1,0)</f>
        <v>#REF!</v>
      </c>
      <c r="M9712" s="33" t="str">
        <f t="shared" si="607"/>
        <v>P&amp;L</v>
      </c>
    </row>
    <row r="9713" spans="1:13">
      <c r="A9713" s="33" t="str">
        <f t="shared" si="604"/>
        <v>SCL - Operating Expense</v>
      </c>
      <c r="B9713" s="33" t="str">
        <f t="shared" si="605"/>
        <v>SCL</v>
      </c>
      <c r="C9713" s="33" t="str">
        <f t="shared" si="606"/>
        <v>65002-7387</v>
      </c>
      <c r="D9713" s="64" t="s">
        <v>10964</v>
      </c>
      <c r="E9713" s="64" t="s">
        <v>3209</v>
      </c>
      <c r="F9713" s="64" t="s">
        <v>15</v>
      </c>
      <c r="G9713" s="64" t="s">
        <v>3044</v>
      </c>
      <c r="H9713" s="64" t="s">
        <v>3022</v>
      </c>
      <c r="I9713" s="64" t="s">
        <v>3045</v>
      </c>
      <c r="J9713" s="67">
        <v>196.68</v>
      </c>
      <c r="K9713" s="62">
        <v>1662.33</v>
      </c>
      <c r="L9713" s="33" t="e">
        <f>HLOOKUP(B9713,#REF!,1,0)</f>
        <v>#REF!</v>
      </c>
      <c r="M9713" s="33" t="str">
        <f t="shared" si="607"/>
        <v>P&amp;L</v>
      </c>
    </row>
    <row r="9714" spans="1:13">
      <c r="A9714" s="33" t="str">
        <f t="shared" si="604"/>
        <v>SCL - Operating Expense</v>
      </c>
      <c r="B9714" s="33" t="str">
        <f t="shared" si="605"/>
        <v>SCL</v>
      </c>
      <c r="C9714" s="33" t="str">
        <f t="shared" si="606"/>
        <v>65002-7389</v>
      </c>
      <c r="D9714" s="64" t="s">
        <v>10965</v>
      </c>
      <c r="E9714" s="64" t="s">
        <v>3209</v>
      </c>
      <c r="F9714" s="64" t="s">
        <v>15</v>
      </c>
      <c r="G9714" s="64" t="s">
        <v>3044</v>
      </c>
      <c r="H9714" s="64" t="s">
        <v>3022</v>
      </c>
      <c r="I9714" s="64" t="s">
        <v>3045</v>
      </c>
      <c r="J9714" s="67">
        <v>196.68</v>
      </c>
      <c r="K9714" s="62">
        <v>1662.33</v>
      </c>
      <c r="L9714" s="33" t="e">
        <f>HLOOKUP(B9714,#REF!,1,0)</f>
        <v>#REF!</v>
      </c>
      <c r="M9714" s="33" t="str">
        <f t="shared" si="607"/>
        <v>P&amp;L</v>
      </c>
    </row>
    <row r="9715" spans="1:13">
      <c r="A9715" s="33" t="str">
        <f t="shared" si="604"/>
        <v>SCL - Operating Expense</v>
      </c>
      <c r="B9715" s="33" t="str">
        <f t="shared" si="605"/>
        <v>SCL</v>
      </c>
      <c r="C9715" s="33" t="str">
        <f t="shared" si="606"/>
        <v>65002-7391</v>
      </c>
      <c r="D9715" s="64" t="s">
        <v>10966</v>
      </c>
      <c r="E9715" s="64" t="s">
        <v>3209</v>
      </c>
      <c r="F9715" s="64" t="s">
        <v>15</v>
      </c>
      <c r="G9715" s="64" t="s">
        <v>3044</v>
      </c>
      <c r="H9715" s="64" t="s">
        <v>3022</v>
      </c>
      <c r="I9715" s="64" t="s">
        <v>3045</v>
      </c>
      <c r="J9715" s="67">
        <v>196.68</v>
      </c>
      <c r="K9715" s="62">
        <v>1662.33</v>
      </c>
      <c r="L9715" s="33" t="e">
        <f>HLOOKUP(B9715,#REF!,1,0)</f>
        <v>#REF!</v>
      </c>
      <c r="M9715" s="33" t="str">
        <f t="shared" si="607"/>
        <v>P&amp;L</v>
      </c>
    </row>
    <row r="9716" spans="1:13">
      <c r="A9716" s="33" t="str">
        <f t="shared" si="604"/>
        <v>SCL - Operating Expense</v>
      </c>
      <c r="B9716" s="33" t="str">
        <f t="shared" si="605"/>
        <v>SCL</v>
      </c>
      <c r="C9716" s="33" t="str">
        <f t="shared" si="606"/>
        <v>65002-7393</v>
      </c>
      <c r="D9716" s="64" t="s">
        <v>10967</v>
      </c>
      <c r="E9716" s="64" t="s">
        <v>3209</v>
      </c>
      <c r="F9716" s="64" t="s">
        <v>15</v>
      </c>
      <c r="G9716" s="64" t="s">
        <v>3044</v>
      </c>
      <c r="H9716" s="64" t="s">
        <v>3022</v>
      </c>
      <c r="I9716" s="64" t="s">
        <v>3045</v>
      </c>
      <c r="J9716" s="67">
        <v>196.67</v>
      </c>
      <c r="K9716" s="62">
        <v>1662.25</v>
      </c>
      <c r="L9716" s="33" t="e">
        <f>HLOOKUP(B9716,#REF!,1,0)</f>
        <v>#REF!</v>
      </c>
      <c r="M9716" s="33" t="str">
        <f t="shared" si="607"/>
        <v>P&amp;L</v>
      </c>
    </row>
    <row r="9717" spans="1:13">
      <c r="A9717" s="33" t="str">
        <f t="shared" si="604"/>
        <v>SCL - Operating Expense</v>
      </c>
      <c r="B9717" s="33" t="str">
        <f t="shared" si="605"/>
        <v>SCL</v>
      </c>
      <c r="C9717" s="33" t="str">
        <f t="shared" si="606"/>
        <v>65002-7394</v>
      </c>
      <c r="D9717" s="64" t="s">
        <v>10968</v>
      </c>
      <c r="E9717" s="64" t="s">
        <v>3209</v>
      </c>
      <c r="F9717" s="64" t="s">
        <v>15</v>
      </c>
      <c r="G9717" s="64" t="s">
        <v>3044</v>
      </c>
      <c r="H9717" s="64" t="s">
        <v>3022</v>
      </c>
      <c r="I9717" s="64" t="s">
        <v>3045</v>
      </c>
      <c r="J9717" s="67">
        <v>196.68</v>
      </c>
      <c r="K9717" s="62">
        <v>1662.33</v>
      </c>
      <c r="L9717" s="33" t="e">
        <f>HLOOKUP(B9717,#REF!,1,0)</f>
        <v>#REF!</v>
      </c>
      <c r="M9717" s="33" t="str">
        <f t="shared" si="607"/>
        <v>P&amp;L</v>
      </c>
    </row>
    <row r="9718" spans="1:13">
      <c r="A9718" s="33" t="str">
        <f t="shared" si="604"/>
        <v>SCL - Operating Expense</v>
      </c>
      <c r="B9718" s="33" t="str">
        <f t="shared" si="605"/>
        <v>SCL</v>
      </c>
      <c r="C9718" s="33" t="str">
        <f t="shared" si="606"/>
        <v>65002-7396</v>
      </c>
      <c r="D9718" s="64" t="s">
        <v>10969</v>
      </c>
      <c r="E9718" s="64" t="s">
        <v>3209</v>
      </c>
      <c r="F9718" s="64" t="s">
        <v>15</v>
      </c>
      <c r="G9718" s="64" t="s">
        <v>3044</v>
      </c>
      <c r="H9718" s="64" t="s">
        <v>3022</v>
      </c>
      <c r="I9718" s="64" t="s">
        <v>3045</v>
      </c>
      <c r="J9718" s="67">
        <v>196.67</v>
      </c>
      <c r="K9718" s="62">
        <v>1662.25</v>
      </c>
      <c r="L9718" s="33" t="e">
        <f>HLOOKUP(B9718,#REF!,1,0)</f>
        <v>#REF!</v>
      </c>
      <c r="M9718" s="33" t="str">
        <f t="shared" si="607"/>
        <v>P&amp;L</v>
      </c>
    </row>
    <row r="9719" spans="1:13">
      <c r="A9719" s="33" t="str">
        <f t="shared" si="604"/>
        <v>SCL - Operating Expense</v>
      </c>
      <c r="B9719" s="33" t="str">
        <f t="shared" si="605"/>
        <v>SCL</v>
      </c>
      <c r="C9719" s="33" t="str">
        <f t="shared" si="606"/>
        <v>65002-7397</v>
      </c>
      <c r="D9719" s="64" t="s">
        <v>10970</v>
      </c>
      <c r="E9719" s="64" t="s">
        <v>3209</v>
      </c>
      <c r="F9719" s="64" t="s">
        <v>15</v>
      </c>
      <c r="G9719" s="64" t="s">
        <v>3044</v>
      </c>
      <c r="H9719" s="64" t="s">
        <v>3022</v>
      </c>
      <c r="I9719" s="64" t="s">
        <v>3045</v>
      </c>
      <c r="J9719" s="67">
        <v>196.68</v>
      </c>
      <c r="K9719" s="62">
        <v>1662.33</v>
      </c>
      <c r="L9719" s="33" t="e">
        <f>HLOOKUP(B9719,#REF!,1,0)</f>
        <v>#REF!</v>
      </c>
      <c r="M9719" s="33" t="str">
        <f t="shared" si="607"/>
        <v>P&amp;L</v>
      </c>
    </row>
    <row r="9720" spans="1:13">
      <c r="A9720" s="33" t="str">
        <f t="shared" si="604"/>
        <v>SCL - Operating Expense</v>
      </c>
      <c r="B9720" s="33" t="str">
        <f t="shared" si="605"/>
        <v>SCL</v>
      </c>
      <c r="C9720" s="33" t="str">
        <f t="shared" si="606"/>
        <v>65002-7398</v>
      </c>
      <c r="D9720" s="64" t="s">
        <v>10971</v>
      </c>
      <c r="E9720" s="64" t="s">
        <v>3209</v>
      </c>
      <c r="F9720" s="64" t="s">
        <v>15</v>
      </c>
      <c r="G9720" s="64" t="s">
        <v>3044</v>
      </c>
      <c r="H9720" s="64" t="s">
        <v>3022</v>
      </c>
      <c r="I9720" s="64" t="s">
        <v>3045</v>
      </c>
      <c r="J9720" s="67">
        <v>196.68</v>
      </c>
      <c r="K9720" s="62">
        <v>1662.33</v>
      </c>
      <c r="L9720" s="33" t="e">
        <f>HLOOKUP(B9720,#REF!,1,0)</f>
        <v>#REF!</v>
      </c>
      <c r="M9720" s="33" t="str">
        <f t="shared" si="607"/>
        <v>P&amp;L</v>
      </c>
    </row>
    <row r="9721" spans="1:13">
      <c r="A9721" s="33" t="str">
        <f t="shared" si="604"/>
        <v>SCL - Operating Expense</v>
      </c>
      <c r="B9721" s="33" t="str">
        <f t="shared" si="605"/>
        <v>SCL</v>
      </c>
      <c r="C9721" s="33" t="str">
        <f t="shared" si="606"/>
        <v>65002-7400</v>
      </c>
      <c r="D9721" s="64" t="s">
        <v>10972</v>
      </c>
      <c r="E9721" s="64" t="s">
        <v>3209</v>
      </c>
      <c r="F9721" s="64" t="s">
        <v>15</v>
      </c>
      <c r="G9721" s="64" t="s">
        <v>3044</v>
      </c>
      <c r="H9721" s="64" t="s">
        <v>3022</v>
      </c>
      <c r="I9721" s="64" t="s">
        <v>3045</v>
      </c>
      <c r="J9721" s="67">
        <v>196.68</v>
      </c>
      <c r="K9721" s="62">
        <v>1662.33</v>
      </c>
      <c r="L9721" s="33" t="e">
        <f>HLOOKUP(B9721,#REF!,1,0)</f>
        <v>#REF!</v>
      </c>
      <c r="M9721" s="33" t="str">
        <f t="shared" si="607"/>
        <v>P&amp;L</v>
      </c>
    </row>
    <row r="9722" spans="1:13">
      <c r="A9722" s="33" t="str">
        <f t="shared" si="604"/>
        <v>SCL - Operating Expense</v>
      </c>
      <c r="B9722" s="33" t="str">
        <f t="shared" si="605"/>
        <v>SCL</v>
      </c>
      <c r="C9722" s="33" t="str">
        <f t="shared" si="606"/>
        <v>65002-7401</v>
      </c>
      <c r="D9722" s="64" t="s">
        <v>10973</v>
      </c>
      <c r="E9722" s="64" t="s">
        <v>3209</v>
      </c>
      <c r="F9722" s="64" t="s">
        <v>15</v>
      </c>
      <c r="G9722" s="64" t="s">
        <v>3044</v>
      </c>
      <c r="H9722" s="64" t="s">
        <v>3022</v>
      </c>
      <c r="I9722" s="64" t="s">
        <v>3045</v>
      </c>
      <c r="J9722" s="67">
        <v>196.68</v>
      </c>
      <c r="K9722" s="62">
        <v>1662.33</v>
      </c>
      <c r="L9722" s="33" t="e">
        <f>HLOOKUP(B9722,#REF!,1,0)</f>
        <v>#REF!</v>
      </c>
      <c r="M9722" s="33" t="str">
        <f t="shared" si="607"/>
        <v>P&amp;L</v>
      </c>
    </row>
    <row r="9723" spans="1:13">
      <c r="A9723" s="33" t="str">
        <f t="shared" si="604"/>
        <v>SCL - Operating Expense</v>
      </c>
      <c r="B9723" s="33" t="str">
        <f t="shared" si="605"/>
        <v>SCL</v>
      </c>
      <c r="C9723" s="33" t="str">
        <f t="shared" si="606"/>
        <v>65002-7402</v>
      </c>
      <c r="D9723" s="64" t="s">
        <v>10974</v>
      </c>
      <c r="E9723" s="64" t="s">
        <v>3209</v>
      </c>
      <c r="F9723" s="64" t="s">
        <v>15</v>
      </c>
      <c r="G9723" s="64" t="s">
        <v>3044</v>
      </c>
      <c r="H9723" s="64" t="s">
        <v>3022</v>
      </c>
      <c r="I9723" s="64" t="s">
        <v>3045</v>
      </c>
      <c r="J9723" s="67">
        <v>196.68</v>
      </c>
      <c r="K9723" s="62">
        <v>1662.33</v>
      </c>
      <c r="L9723" s="33" t="e">
        <f>HLOOKUP(B9723,#REF!,1,0)</f>
        <v>#REF!</v>
      </c>
      <c r="M9723" s="33" t="str">
        <f t="shared" si="607"/>
        <v>P&amp;L</v>
      </c>
    </row>
    <row r="9724" spans="1:13">
      <c r="A9724" s="33" t="str">
        <f t="shared" si="604"/>
        <v>SCL - Operating Expense</v>
      </c>
      <c r="B9724" s="33" t="str">
        <f t="shared" si="605"/>
        <v>SCL</v>
      </c>
      <c r="C9724" s="33" t="str">
        <f t="shared" si="606"/>
        <v>65002-7403</v>
      </c>
      <c r="D9724" s="64" t="s">
        <v>10975</v>
      </c>
      <c r="E9724" s="64" t="s">
        <v>3209</v>
      </c>
      <c r="F9724" s="64" t="s">
        <v>15</v>
      </c>
      <c r="G9724" s="64" t="s">
        <v>3044</v>
      </c>
      <c r="H9724" s="64" t="s">
        <v>3022</v>
      </c>
      <c r="I9724" s="64" t="s">
        <v>3045</v>
      </c>
      <c r="J9724" s="67">
        <v>196.68</v>
      </c>
      <c r="K9724" s="62">
        <v>1662.33</v>
      </c>
      <c r="L9724" s="33" t="e">
        <f>HLOOKUP(B9724,#REF!,1,0)</f>
        <v>#REF!</v>
      </c>
      <c r="M9724" s="33" t="str">
        <f t="shared" si="607"/>
        <v>P&amp;L</v>
      </c>
    </row>
    <row r="9725" spans="1:13">
      <c r="A9725" s="33" t="str">
        <f t="shared" si="604"/>
        <v>SCL - Operating Expense</v>
      </c>
      <c r="B9725" s="33" t="str">
        <f t="shared" si="605"/>
        <v>SCL</v>
      </c>
      <c r="C9725" s="33" t="str">
        <f t="shared" si="606"/>
        <v>65002-7489</v>
      </c>
      <c r="D9725" s="64" t="s">
        <v>10976</v>
      </c>
      <c r="E9725" s="64" t="s">
        <v>3209</v>
      </c>
      <c r="F9725" s="64" t="s">
        <v>15</v>
      </c>
      <c r="G9725" s="64" t="s">
        <v>3044</v>
      </c>
      <c r="H9725" s="64" t="s">
        <v>3022</v>
      </c>
      <c r="I9725" s="64" t="s">
        <v>3045</v>
      </c>
      <c r="J9725" s="67">
        <v>196.68</v>
      </c>
      <c r="K9725" s="62">
        <v>1662.35</v>
      </c>
      <c r="L9725" s="33" t="e">
        <f>HLOOKUP(B9725,#REF!,1,0)</f>
        <v>#REF!</v>
      </c>
      <c r="M9725" s="33" t="str">
        <f t="shared" si="607"/>
        <v>P&amp;L</v>
      </c>
    </row>
    <row r="9726" spans="1:13">
      <c r="A9726" s="33" t="str">
        <f t="shared" si="604"/>
        <v>SCL - Operating Expense</v>
      </c>
      <c r="B9726" s="33" t="str">
        <f t="shared" si="605"/>
        <v>SCL</v>
      </c>
      <c r="C9726" s="33" t="str">
        <f t="shared" si="606"/>
        <v>65002-7491</v>
      </c>
      <c r="D9726" s="64" t="s">
        <v>10977</v>
      </c>
      <c r="E9726" s="64" t="s">
        <v>3209</v>
      </c>
      <c r="F9726" s="64" t="s">
        <v>15</v>
      </c>
      <c r="G9726" s="64" t="s">
        <v>3044</v>
      </c>
      <c r="H9726" s="64" t="s">
        <v>3022</v>
      </c>
      <c r="I9726" s="64" t="s">
        <v>3045</v>
      </c>
      <c r="J9726" s="67">
        <v>196.68</v>
      </c>
      <c r="K9726" s="62">
        <v>1662.35</v>
      </c>
      <c r="L9726" s="33" t="e">
        <f>HLOOKUP(B9726,#REF!,1,0)</f>
        <v>#REF!</v>
      </c>
      <c r="M9726" s="33" t="str">
        <f t="shared" si="607"/>
        <v>P&amp;L</v>
      </c>
    </row>
    <row r="9727" spans="1:13">
      <c r="A9727" s="33" t="str">
        <f t="shared" si="604"/>
        <v>SCL - Operating Expense</v>
      </c>
      <c r="B9727" s="33" t="str">
        <f t="shared" si="605"/>
        <v>SCL</v>
      </c>
      <c r="C9727" s="33" t="str">
        <f t="shared" si="606"/>
        <v>65002-7492</v>
      </c>
      <c r="D9727" s="64" t="s">
        <v>10978</v>
      </c>
      <c r="E9727" s="64" t="s">
        <v>3209</v>
      </c>
      <c r="F9727" s="64" t="s">
        <v>15</v>
      </c>
      <c r="G9727" s="64" t="s">
        <v>3044</v>
      </c>
      <c r="H9727" s="64" t="s">
        <v>3022</v>
      </c>
      <c r="I9727" s="64" t="s">
        <v>3045</v>
      </c>
      <c r="J9727" s="67">
        <v>196.68</v>
      </c>
      <c r="K9727" s="62">
        <v>1662.35</v>
      </c>
      <c r="L9727" s="33" t="e">
        <f>HLOOKUP(B9727,#REF!,1,0)</f>
        <v>#REF!</v>
      </c>
      <c r="M9727" s="33" t="str">
        <f t="shared" si="607"/>
        <v>P&amp;L</v>
      </c>
    </row>
    <row r="9728" spans="1:13">
      <c r="A9728" s="33" t="str">
        <f t="shared" si="604"/>
        <v>SCL - Operating Expense</v>
      </c>
      <c r="B9728" s="33" t="str">
        <f t="shared" si="605"/>
        <v>SCL</v>
      </c>
      <c r="C9728" s="33" t="str">
        <f t="shared" si="606"/>
        <v>65002-7493</v>
      </c>
      <c r="D9728" s="64" t="s">
        <v>10979</v>
      </c>
      <c r="E9728" s="64" t="s">
        <v>3209</v>
      </c>
      <c r="F9728" s="64" t="s">
        <v>15</v>
      </c>
      <c r="G9728" s="64" t="s">
        <v>3044</v>
      </c>
      <c r="H9728" s="64" t="s">
        <v>3022</v>
      </c>
      <c r="I9728" s="64" t="s">
        <v>3045</v>
      </c>
      <c r="J9728" s="67">
        <v>196.68</v>
      </c>
      <c r="K9728" s="62">
        <v>1662.35</v>
      </c>
      <c r="L9728" s="33" t="e">
        <f>HLOOKUP(B9728,#REF!,1,0)</f>
        <v>#REF!</v>
      </c>
      <c r="M9728" s="33" t="str">
        <f t="shared" si="607"/>
        <v>P&amp;L</v>
      </c>
    </row>
    <row r="9729" spans="1:13">
      <c r="A9729" s="33" t="str">
        <f t="shared" si="604"/>
        <v>SCL - Operating Expense</v>
      </c>
      <c r="B9729" s="33" t="str">
        <f t="shared" si="605"/>
        <v>SCL</v>
      </c>
      <c r="C9729" s="33" t="str">
        <f t="shared" si="606"/>
        <v>65002-7494</v>
      </c>
      <c r="D9729" s="64" t="s">
        <v>10980</v>
      </c>
      <c r="E9729" s="64" t="s">
        <v>3209</v>
      </c>
      <c r="F9729" s="64" t="s">
        <v>15</v>
      </c>
      <c r="G9729" s="64" t="s">
        <v>3044</v>
      </c>
      <c r="H9729" s="64" t="s">
        <v>3022</v>
      </c>
      <c r="I9729" s="64" t="s">
        <v>3045</v>
      </c>
      <c r="J9729" s="67">
        <v>196.67</v>
      </c>
      <c r="K9729" s="62">
        <v>1662.27</v>
      </c>
      <c r="L9729" s="33" t="e">
        <f>HLOOKUP(B9729,#REF!,1,0)</f>
        <v>#REF!</v>
      </c>
      <c r="M9729" s="33" t="str">
        <f t="shared" si="607"/>
        <v>P&amp;L</v>
      </c>
    </row>
    <row r="9730" spans="1:13">
      <c r="A9730" s="33" t="str">
        <f t="shared" ref="A9730:A9793" si="608">B9730&amp;" - "&amp;TRIM(H9730)</f>
        <v>SCL - Operating Expense</v>
      </c>
      <c r="B9730" s="33" t="str">
        <f t="shared" ref="B9730:B9793" si="609">LEFT(D9730,3)</f>
        <v>SCL</v>
      </c>
      <c r="C9730" s="33" t="str">
        <f t="shared" ref="C9730:C9793" si="610">RIGHT(D9730,10)</f>
        <v>65002-7625</v>
      </c>
      <c r="D9730" s="64" t="s">
        <v>10981</v>
      </c>
      <c r="E9730" s="64" t="s">
        <v>3209</v>
      </c>
      <c r="F9730" s="64" t="s">
        <v>15</v>
      </c>
      <c r="G9730" s="64" t="s">
        <v>3044</v>
      </c>
      <c r="H9730" s="64" t="s">
        <v>3022</v>
      </c>
      <c r="I9730" s="64" t="s">
        <v>3045</v>
      </c>
      <c r="J9730" s="67">
        <v>196.68</v>
      </c>
      <c r="K9730" s="62">
        <v>1662.35</v>
      </c>
      <c r="L9730" s="33" t="e">
        <f>HLOOKUP(B9730,#REF!,1,0)</f>
        <v>#REF!</v>
      </c>
      <c r="M9730" s="33" t="str">
        <f t="shared" ref="M9730:M9793" si="611">IF(VALUE(LEFT(C9730,5))&gt;40000,"P&amp;L","BS")</f>
        <v>P&amp;L</v>
      </c>
    </row>
    <row r="9731" spans="1:13">
      <c r="A9731" s="33" t="str">
        <f t="shared" si="608"/>
        <v>SCL - Operating Expense</v>
      </c>
      <c r="B9731" s="33" t="str">
        <f t="shared" si="609"/>
        <v>SCL</v>
      </c>
      <c r="C9731" s="33" t="str">
        <f t="shared" si="610"/>
        <v>65002-8150</v>
      </c>
      <c r="D9731" s="64" t="s">
        <v>10982</v>
      </c>
      <c r="E9731" s="64" t="s">
        <v>3209</v>
      </c>
      <c r="F9731" s="64" t="s">
        <v>15</v>
      </c>
      <c r="G9731" s="64" t="s">
        <v>3044</v>
      </c>
      <c r="H9731" s="64" t="s">
        <v>3022</v>
      </c>
      <c r="I9731" s="64" t="s">
        <v>3045</v>
      </c>
      <c r="J9731" s="67">
        <v>196.68</v>
      </c>
      <c r="K9731" s="62">
        <v>1662.41</v>
      </c>
      <c r="L9731" s="33" t="e">
        <f>HLOOKUP(B9731,#REF!,1,0)</f>
        <v>#REF!</v>
      </c>
      <c r="M9731" s="33" t="str">
        <f t="shared" si="611"/>
        <v>P&amp;L</v>
      </c>
    </row>
    <row r="9732" spans="1:13">
      <c r="A9732" s="33" t="str">
        <f t="shared" si="608"/>
        <v>SCL - Operating Expense</v>
      </c>
      <c r="B9732" s="33" t="str">
        <f t="shared" si="609"/>
        <v>SCL</v>
      </c>
      <c r="C9732" s="33" t="str">
        <f t="shared" si="610"/>
        <v>65501-0000</v>
      </c>
      <c r="D9732" s="64" t="s">
        <v>10983</v>
      </c>
      <c r="E9732" s="64" t="s">
        <v>3214</v>
      </c>
      <c r="F9732" s="64" t="s">
        <v>15</v>
      </c>
      <c r="G9732" s="64" t="s">
        <v>3044</v>
      </c>
      <c r="H9732" s="64" t="s">
        <v>3022</v>
      </c>
      <c r="I9732" s="64" t="s">
        <v>3215</v>
      </c>
      <c r="J9732" s="67">
        <v>0</v>
      </c>
      <c r="K9732" s="62">
        <v>0</v>
      </c>
      <c r="L9732" s="33" t="e">
        <f>HLOOKUP(B9732,#REF!,1,0)</f>
        <v>#REF!</v>
      </c>
      <c r="M9732" s="33" t="str">
        <f t="shared" si="611"/>
        <v>P&amp;L</v>
      </c>
    </row>
    <row r="9733" spans="1:13">
      <c r="A9733" s="33" t="str">
        <f t="shared" si="608"/>
        <v>SCL - Operating Expense</v>
      </c>
      <c r="B9733" s="33" t="str">
        <f t="shared" si="609"/>
        <v>SCL</v>
      </c>
      <c r="C9733" s="33" t="str">
        <f t="shared" si="610"/>
        <v>65501-7351</v>
      </c>
      <c r="D9733" s="64" t="s">
        <v>10984</v>
      </c>
      <c r="E9733" s="64" t="s">
        <v>3214</v>
      </c>
      <c r="F9733" s="64" t="s">
        <v>15</v>
      </c>
      <c r="G9733" s="64" t="s">
        <v>3044</v>
      </c>
      <c r="H9733" s="64" t="s">
        <v>3022</v>
      </c>
      <c r="I9733" s="64" t="s">
        <v>3215</v>
      </c>
      <c r="J9733" s="67">
        <v>569.19</v>
      </c>
      <c r="K9733" s="62">
        <v>5691.9</v>
      </c>
      <c r="L9733" s="33" t="e">
        <f>HLOOKUP(B9733,#REF!,1,0)</f>
        <v>#REF!</v>
      </c>
      <c r="M9733" s="33" t="str">
        <f t="shared" si="611"/>
        <v>P&amp;L</v>
      </c>
    </row>
    <row r="9734" spans="1:13">
      <c r="A9734" s="33" t="str">
        <f t="shared" si="608"/>
        <v>SCL - Operating Expense</v>
      </c>
      <c r="B9734" s="33" t="str">
        <f t="shared" si="609"/>
        <v>SCL</v>
      </c>
      <c r="C9734" s="33" t="str">
        <f t="shared" si="610"/>
        <v>65501-7352</v>
      </c>
      <c r="D9734" s="64" t="s">
        <v>10985</v>
      </c>
      <c r="E9734" s="64" t="s">
        <v>3214</v>
      </c>
      <c r="F9734" s="64" t="s">
        <v>15</v>
      </c>
      <c r="G9734" s="64" t="s">
        <v>3044</v>
      </c>
      <c r="H9734" s="64" t="s">
        <v>3022</v>
      </c>
      <c r="I9734" s="64" t="s">
        <v>3215</v>
      </c>
      <c r="J9734" s="67">
        <v>755.59</v>
      </c>
      <c r="K9734" s="62">
        <v>7384.94</v>
      </c>
      <c r="L9734" s="33" t="e">
        <f>HLOOKUP(B9734,#REF!,1,0)</f>
        <v>#REF!</v>
      </c>
      <c r="M9734" s="33" t="str">
        <f t="shared" si="611"/>
        <v>P&amp;L</v>
      </c>
    </row>
    <row r="9735" spans="1:13">
      <c r="A9735" s="33" t="str">
        <f t="shared" si="608"/>
        <v>SCL - Operating Expense</v>
      </c>
      <c r="B9735" s="33" t="str">
        <f t="shared" si="609"/>
        <v>SCL</v>
      </c>
      <c r="C9735" s="33" t="str">
        <f t="shared" si="610"/>
        <v>65501-7355</v>
      </c>
      <c r="D9735" s="64" t="s">
        <v>10986</v>
      </c>
      <c r="E9735" s="64" t="s">
        <v>3214</v>
      </c>
      <c r="F9735" s="64" t="s">
        <v>15</v>
      </c>
      <c r="G9735" s="64" t="s">
        <v>3044</v>
      </c>
      <c r="H9735" s="64" t="s">
        <v>3022</v>
      </c>
      <c r="I9735" s="64" t="s">
        <v>3215</v>
      </c>
      <c r="J9735" s="67">
        <v>528.18</v>
      </c>
      <c r="K9735" s="62">
        <v>4916.08</v>
      </c>
      <c r="L9735" s="33" t="e">
        <f>HLOOKUP(B9735,#REF!,1,0)</f>
        <v>#REF!</v>
      </c>
      <c r="M9735" s="33" t="str">
        <f t="shared" si="611"/>
        <v>P&amp;L</v>
      </c>
    </row>
    <row r="9736" spans="1:13">
      <c r="A9736" s="33" t="str">
        <f t="shared" si="608"/>
        <v>SCL - Operating Expense</v>
      </c>
      <c r="B9736" s="33" t="str">
        <f t="shared" si="609"/>
        <v>SCL</v>
      </c>
      <c r="C9736" s="33" t="str">
        <f t="shared" si="610"/>
        <v>65501-7356</v>
      </c>
      <c r="D9736" s="64" t="s">
        <v>10987</v>
      </c>
      <c r="E9736" s="64" t="s">
        <v>3214</v>
      </c>
      <c r="F9736" s="64" t="s">
        <v>15</v>
      </c>
      <c r="G9736" s="64" t="s">
        <v>3044</v>
      </c>
      <c r="H9736" s="64" t="s">
        <v>3022</v>
      </c>
      <c r="I9736" s="64" t="s">
        <v>3215</v>
      </c>
      <c r="J9736" s="67">
        <v>0</v>
      </c>
      <c r="K9736" s="62">
        <v>2081.47</v>
      </c>
      <c r="L9736" s="33" t="e">
        <f>HLOOKUP(B9736,#REF!,1,0)</f>
        <v>#REF!</v>
      </c>
      <c r="M9736" s="33" t="str">
        <f t="shared" si="611"/>
        <v>P&amp;L</v>
      </c>
    </row>
    <row r="9737" spans="1:13">
      <c r="A9737" s="33" t="str">
        <f t="shared" si="608"/>
        <v>SCL - Operating Expense</v>
      </c>
      <c r="B9737" s="33" t="str">
        <f t="shared" si="609"/>
        <v>SCL</v>
      </c>
      <c r="C9737" s="33" t="str">
        <f t="shared" si="610"/>
        <v>65501-7359</v>
      </c>
      <c r="D9737" s="64" t="s">
        <v>10988</v>
      </c>
      <c r="E9737" s="64" t="s">
        <v>3214</v>
      </c>
      <c r="F9737" s="64" t="s">
        <v>15</v>
      </c>
      <c r="G9737" s="64" t="s">
        <v>3044</v>
      </c>
      <c r="H9737" s="64" t="s">
        <v>3022</v>
      </c>
      <c r="I9737" s="64" t="s">
        <v>3215</v>
      </c>
      <c r="J9737" s="67">
        <v>302.17</v>
      </c>
      <c r="K9737" s="62">
        <v>3021.7</v>
      </c>
      <c r="L9737" s="33" t="e">
        <f>HLOOKUP(B9737,#REF!,1,0)</f>
        <v>#REF!</v>
      </c>
      <c r="M9737" s="33" t="str">
        <f t="shared" si="611"/>
        <v>P&amp;L</v>
      </c>
    </row>
    <row r="9738" spans="1:13">
      <c r="A9738" s="33" t="str">
        <f t="shared" si="608"/>
        <v>SCL - Operating Expense</v>
      </c>
      <c r="B9738" s="33" t="str">
        <f t="shared" si="609"/>
        <v>SCL</v>
      </c>
      <c r="C9738" s="33" t="str">
        <f t="shared" si="610"/>
        <v>65501-7360</v>
      </c>
      <c r="D9738" s="64" t="s">
        <v>10989</v>
      </c>
      <c r="E9738" s="64" t="s">
        <v>3214</v>
      </c>
      <c r="F9738" s="64" t="s">
        <v>15</v>
      </c>
      <c r="G9738" s="64" t="s">
        <v>3044</v>
      </c>
      <c r="H9738" s="64" t="s">
        <v>3022</v>
      </c>
      <c r="I9738" s="64" t="s">
        <v>3215</v>
      </c>
      <c r="J9738" s="67">
        <v>1077.42</v>
      </c>
      <c r="K9738" s="62">
        <v>9558.98</v>
      </c>
      <c r="L9738" s="33" t="e">
        <f>HLOOKUP(B9738,#REF!,1,0)</f>
        <v>#REF!</v>
      </c>
      <c r="M9738" s="33" t="str">
        <f t="shared" si="611"/>
        <v>P&amp;L</v>
      </c>
    </row>
    <row r="9739" spans="1:13">
      <c r="A9739" s="33" t="str">
        <f t="shared" si="608"/>
        <v>SCL - Operating Expense</v>
      </c>
      <c r="B9739" s="33" t="str">
        <f t="shared" si="609"/>
        <v>SCL</v>
      </c>
      <c r="C9739" s="33" t="str">
        <f t="shared" si="610"/>
        <v>65501-7361</v>
      </c>
      <c r="D9739" s="64" t="s">
        <v>10990</v>
      </c>
      <c r="E9739" s="64" t="s">
        <v>3214</v>
      </c>
      <c r="F9739" s="64" t="s">
        <v>15</v>
      </c>
      <c r="G9739" s="64" t="s">
        <v>3044</v>
      </c>
      <c r="H9739" s="64" t="s">
        <v>3022</v>
      </c>
      <c r="I9739" s="64" t="s">
        <v>3215</v>
      </c>
      <c r="J9739" s="67">
        <v>503.14</v>
      </c>
      <c r="K9739" s="62">
        <v>5146.46</v>
      </c>
      <c r="L9739" s="33" t="e">
        <f>HLOOKUP(B9739,#REF!,1,0)</f>
        <v>#REF!</v>
      </c>
      <c r="M9739" s="33" t="str">
        <f t="shared" si="611"/>
        <v>P&amp;L</v>
      </c>
    </row>
    <row r="9740" spans="1:13">
      <c r="A9740" s="33" t="str">
        <f t="shared" si="608"/>
        <v>SCL - Operating Expense</v>
      </c>
      <c r="B9740" s="33" t="str">
        <f t="shared" si="609"/>
        <v>SCL</v>
      </c>
      <c r="C9740" s="33" t="str">
        <f t="shared" si="610"/>
        <v>65501-7362</v>
      </c>
      <c r="D9740" s="64" t="s">
        <v>10991</v>
      </c>
      <c r="E9740" s="64" t="s">
        <v>3214</v>
      </c>
      <c r="F9740" s="64" t="s">
        <v>15</v>
      </c>
      <c r="G9740" s="64" t="s">
        <v>3044</v>
      </c>
      <c r="H9740" s="64" t="s">
        <v>3022</v>
      </c>
      <c r="I9740" s="64" t="s">
        <v>3215</v>
      </c>
      <c r="J9740" s="67">
        <v>1017.12</v>
      </c>
      <c r="K9740" s="62">
        <v>9020.54</v>
      </c>
      <c r="L9740" s="33" t="e">
        <f>HLOOKUP(B9740,#REF!,1,0)</f>
        <v>#REF!</v>
      </c>
      <c r="M9740" s="33" t="str">
        <f t="shared" si="611"/>
        <v>P&amp;L</v>
      </c>
    </row>
    <row r="9741" spans="1:13">
      <c r="A9741" s="33" t="str">
        <f t="shared" si="608"/>
        <v>SCL - Operating Expense</v>
      </c>
      <c r="B9741" s="33" t="str">
        <f t="shared" si="609"/>
        <v>SCL</v>
      </c>
      <c r="C9741" s="33" t="str">
        <f t="shared" si="610"/>
        <v>65501-7363</v>
      </c>
      <c r="D9741" s="64" t="s">
        <v>10992</v>
      </c>
      <c r="E9741" s="64" t="s">
        <v>3214</v>
      </c>
      <c r="F9741" s="64" t="s">
        <v>15</v>
      </c>
      <c r="G9741" s="64" t="s">
        <v>3044</v>
      </c>
      <c r="H9741" s="64" t="s">
        <v>3022</v>
      </c>
      <c r="I9741" s="64" t="s">
        <v>3215</v>
      </c>
      <c r="J9741" s="67">
        <v>496.18</v>
      </c>
      <c r="K9741" s="62">
        <v>9448.16</v>
      </c>
      <c r="L9741" s="33" t="e">
        <f>HLOOKUP(B9741,#REF!,1,0)</f>
        <v>#REF!</v>
      </c>
      <c r="M9741" s="33" t="str">
        <f t="shared" si="611"/>
        <v>P&amp;L</v>
      </c>
    </row>
    <row r="9742" spans="1:13">
      <c r="A9742" s="33" t="str">
        <f t="shared" si="608"/>
        <v>SCL - Operating Expense</v>
      </c>
      <c r="B9742" s="33" t="str">
        <f t="shared" si="609"/>
        <v>SCL</v>
      </c>
      <c r="C9742" s="33" t="str">
        <f t="shared" si="610"/>
        <v>65501-7364</v>
      </c>
      <c r="D9742" s="64" t="s">
        <v>10993</v>
      </c>
      <c r="E9742" s="64" t="s">
        <v>3214</v>
      </c>
      <c r="F9742" s="64" t="s">
        <v>15</v>
      </c>
      <c r="G9742" s="64" t="s">
        <v>3044</v>
      </c>
      <c r="H9742" s="64" t="s">
        <v>3022</v>
      </c>
      <c r="I9742" s="64" t="s">
        <v>3215</v>
      </c>
      <c r="J9742" s="67">
        <v>658.54</v>
      </c>
      <c r="K9742" s="62">
        <v>6026.24</v>
      </c>
      <c r="L9742" s="33" t="e">
        <f>HLOOKUP(B9742,#REF!,1,0)</f>
        <v>#REF!</v>
      </c>
      <c r="M9742" s="33" t="str">
        <f t="shared" si="611"/>
        <v>P&amp;L</v>
      </c>
    </row>
    <row r="9743" spans="1:13">
      <c r="A9743" s="33" t="str">
        <f t="shared" si="608"/>
        <v>SCL - Operating Expense</v>
      </c>
      <c r="B9743" s="33" t="str">
        <f t="shared" si="609"/>
        <v>SCL</v>
      </c>
      <c r="C9743" s="33" t="str">
        <f t="shared" si="610"/>
        <v>65501-7365</v>
      </c>
      <c r="D9743" s="64" t="s">
        <v>10994</v>
      </c>
      <c r="E9743" s="64" t="s">
        <v>3214</v>
      </c>
      <c r="F9743" s="64" t="s">
        <v>15</v>
      </c>
      <c r="G9743" s="64" t="s">
        <v>3044</v>
      </c>
      <c r="H9743" s="64" t="s">
        <v>3022</v>
      </c>
      <c r="I9743" s="64" t="s">
        <v>3215</v>
      </c>
      <c r="J9743" s="67">
        <v>506.87</v>
      </c>
      <c r="K9743" s="62">
        <v>5220.46</v>
      </c>
      <c r="L9743" s="33" t="e">
        <f>HLOOKUP(B9743,#REF!,1,0)</f>
        <v>#REF!</v>
      </c>
      <c r="M9743" s="33" t="str">
        <f t="shared" si="611"/>
        <v>P&amp;L</v>
      </c>
    </row>
    <row r="9744" spans="1:13">
      <c r="A9744" s="33" t="str">
        <f t="shared" si="608"/>
        <v>SCL - Operating Expense</v>
      </c>
      <c r="B9744" s="33" t="str">
        <f t="shared" si="609"/>
        <v>SCL</v>
      </c>
      <c r="C9744" s="33" t="str">
        <f t="shared" si="610"/>
        <v>65501-7366</v>
      </c>
      <c r="D9744" s="64" t="s">
        <v>10995</v>
      </c>
      <c r="E9744" s="64" t="s">
        <v>3214</v>
      </c>
      <c r="F9744" s="64" t="s">
        <v>15</v>
      </c>
      <c r="G9744" s="64" t="s">
        <v>3044</v>
      </c>
      <c r="H9744" s="64" t="s">
        <v>3022</v>
      </c>
      <c r="I9744" s="64" t="s">
        <v>3215</v>
      </c>
      <c r="J9744" s="67">
        <v>836.24</v>
      </c>
      <c r="K9744" s="62">
        <v>8362.4</v>
      </c>
      <c r="L9744" s="33" t="e">
        <f>HLOOKUP(B9744,#REF!,1,0)</f>
        <v>#REF!</v>
      </c>
      <c r="M9744" s="33" t="str">
        <f t="shared" si="611"/>
        <v>P&amp;L</v>
      </c>
    </row>
    <row r="9745" spans="1:13">
      <c r="A9745" s="33" t="str">
        <f t="shared" si="608"/>
        <v>SCL - Operating Expense</v>
      </c>
      <c r="B9745" s="33" t="str">
        <f t="shared" si="609"/>
        <v>SCL</v>
      </c>
      <c r="C9745" s="33" t="str">
        <f t="shared" si="610"/>
        <v>65501-7368</v>
      </c>
      <c r="D9745" s="64" t="s">
        <v>10996</v>
      </c>
      <c r="E9745" s="64" t="s">
        <v>3214</v>
      </c>
      <c r="F9745" s="64" t="s">
        <v>15</v>
      </c>
      <c r="G9745" s="64" t="s">
        <v>3044</v>
      </c>
      <c r="H9745" s="64" t="s">
        <v>3022</v>
      </c>
      <c r="I9745" s="64" t="s">
        <v>3215</v>
      </c>
      <c r="J9745" s="67">
        <v>658.54</v>
      </c>
      <c r="K9745" s="62">
        <v>5997.42</v>
      </c>
      <c r="L9745" s="33" t="e">
        <f>HLOOKUP(B9745,#REF!,1,0)</f>
        <v>#REF!</v>
      </c>
      <c r="M9745" s="33" t="str">
        <f t="shared" si="611"/>
        <v>P&amp;L</v>
      </c>
    </row>
    <row r="9746" spans="1:13">
      <c r="A9746" s="33" t="str">
        <f t="shared" si="608"/>
        <v>SCL - Operating Expense</v>
      </c>
      <c r="B9746" s="33" t="str">
        <f t="shared" si="609"/>
        <v>SCL</v>
      </c>
      <c r="C9746" s="33" t="str">
        <f t="shared" si="610"/>
        <v>65501-7369</v>
      </c>
      <c r="D9746" s="64" t="s">
        <v>10997</v>
      </c>
      <c r="E9746" s="64" t="s">
        <v>3214</v>
      </c>
      <c r="F9746" s="64" t="s">
        <v>15</v>
      </c>
      <c r="G9746" s="64" t="s">
        <v>3044</v>
      </c>
      <c r="H9746" s="64" t="s">
        <v>3022</v>
      </c>
      <c r="I9746" s="64" t="s">
        <v>3215</v>
      </c>
      <c r="J9746" s="67">
        <v>363.86</v>
      </c>
      <c r="K9746" s="62">
        <v>3552.5</v>
      </c>
      <c r="L9746" s="33" t="e">
        <f>HLOOKUP(B9746,#REF!,1,0)</f>
        <v>#REF!</v>
      </c>
      <c r="M9746" s="33" t="str">
        <f t="shared" si="611"/>
        <v>P&amp;L</v>
      </c>
    </row>
    <row r="9747" spans="1:13">
      <c r="A9747" s="33" t="str">
        <f t="shared" si="608"/>
        <v>SCL - Operating Expense</v>
      </c>
      <c r="B9747" s="33" t="str">
        <f t="shared" si="609"/>
        <v>SCL</v>
      </c>
      <c r="C9747" s="33" t="str">
        <f t="shared" si="610"/>
        <v>65501-7371</v>
      </c>
      <c r="D9747" s="64" t="s">
        <v>10998</v>
      </c>
      <c r="E9747" s="64" t="s">
        <v>3214</v>
      </c>
      <c r="F9747" s="64" t="s">
        <v>15</v>
      </c>
      <c r="G9747" s="64" t="s">
        <v>3044</v>
      </c>
      <c r="H9747" s="64" t="s">
        <v>3022</v>
      </c>
      <c r="I9747" s="64" t="s">
        <v>3215</v>
      </c>
      <c r="J9747" s="67">
        <v>569.19</v>
      </c>
      <c r="K9747" s="62">
        <v>5691.9</v>
      </c>
      <c r="L9747" s="33" t="e">
        <f>HLOOKUP(B9747,#REF!,1,0)</f>
        <v>#REF!</v>
      </c>
      <c r="M9747" s="33" t="str">
        <f t="shared" si="611"/>
        <v>P&amp;L</v>
      </c>
    </row>
    <row r="9748" spans="1:13">
      <c r="A9748" s="33" t="str">
        <f t="shared" si="608"/>
        <v>SCL - Operating Expense</v>
      </c>
      <c r="B9748" s="33" t="str">
        <f t="shared" si="609"/>
        <v>SCL</v>
      </c>
      <c r="C9748" s="33" t="str">
        <f t="shared" si="610"/>
        <v>65501-7374</v>
      </c>
      <c r="D9748" s="64" t="s">
        <v>10999</v>
      </c>
      <c r="E9748" s="64" t="s">
        <v>3214</v>
      </c>
      <c r="F9748" s="64" t="s">
        <v>15</v>
      </c>
      <c r="G9748" s="64" t="s">
        <v>3044</v>
      </c>
      <c r="H9748" s="64" t="s">
        <v>3022</v>
      </c>
      <c r="I9748" s="64" t="s">
        <v>3215</v>
      </c>
      <c r="J9748" s="67">
        <v>674.32</v>
      </c>
      <c r="K9748" s="62">
        <v>6629.74</v>
      </c>
      <c r="L9748" s="33" t="e">
        <f>HLOOKUP(B9748,#REF!,1,0)</f>
        <v>#REF!</v>
      </c>
      <c r="M9748" s="33" t="str">
        <f t="shared" si="611"/>
        <v>P&amp;L</v>
      </c>
    </row>
    <row r="9749" spans="1:13">
      <c r="A9749" s="33" t="str">
        <f t="shared" si="608"/>
        <v>SCL - Operating Expense</v>
      </c>
      <c r="B9749" s="33" t="str">
        <f t="shared" si="609"/>
        <v>SCL</v>
      </c>
      <c r="C9749" s="33" t="str">
        <f t="shared" si="610"/>
        <v>65501-7375</v>
      </c>
      <c r="D9749" s="64" t="s">
        <v>11000</v>
      </c>
      <c r="E9749" s="64" t="s">
        <v>3214</v>
      </c>
      <c r="F9749" s="64" t="s">
        <v>15</v>
      </c>
      <c r="G9749" s="64" t="s">
        <v>3044</v>
      </c>
      <c r="H9749" s="64" t="s">
        <v>3022</v>
      </c>
      <c r="I9749" s="64" t="s">
        <v>3215</v>
      </c>
      <c r="J9749" s="67">
        <v>616.84</v>
      </c>
      <c r="K9749" s="62">
        <v>5989.4</v>
      </c>
      <c r="L9749" s="33" t="e">
        <f>HLOOKUP(B9749,#REF!,1,0)</f>
        <v>#REF!</v>
      </c>
      <c r="M9749" s="33" t="str">
        <f t="shared" si="611"/>
        <v>P&amp;L</v>
      </c>
    </row>
    <row r="9750" spans="1:13">
      <c r="A9750" s="33" t="str">
        <f t="shared" si="608"/>
        <v>SCL - Operating Expense</v>
      </c>
      <c r="B9750" s="33" t="str">
        <f t="shared" si="609"/>
        <v>SCL</v>
      </c>
      <c r="C9750" s="33" t="str">
        <f t="shared" si="610"/>
        <v>65501-7376</v>
      </c>
      <c r="D9750" s="64" t="s">
        <v>11001</v>
      </c>
      <c r="E9750" s="64" t="s">
        <v>3214</v>
      </c>
      <c r="F9750" s="64" t="s">
        <v>15</v>
      </c>
      <c r="G9750" s="64" t="s">
        <v>3044</v>
      </c>
      <c r="H9750" s="64" t="s">
        <v>3022</v>
      </c>
      <c r="I9750" s="64" t="s">
        <v>3215</v>
      </c>
      <c r="J9750" s="67">
        <v>836.24</v>
      </c>
      <c r="K9750" s="62">
        <v>7526.16</v>
      </c>
      <c r="L9750" s="33" t="e">
        <f>HLOOKUP(B9750,#REF!,1,0)</f>
        <v>#REF!</v>
      </c>
      <c r="M9750" s="33" t="str">
        <f t="shared" si="611"/>
        <v>P&amp;L</v>
      </c>
    </row>
    <row r="9751" spans="1:13">
      <c r="A9751" s="33" t="str">
        <f t="shared" si="608"/>
        <v>SCL - Operating Expense</v>
      </c>
      <c r="B9751" s="33" t="str">
        <f t="shared" si="609"/>
        <v>SCL</v>
      </c>
      <c r="C9751" s="33" t="str">
        <f t="shared" si="610"/>
        <v>65501-7377</v>
      </c>
      <c r="D9751" s="64" t="s">
        <v>11002</v>
      </c>
      <c r="E9751" s="64" t="s">
        <v>3214</v>
      </c>
      <c r="F9751" s="64" t="s">
        <v>15</v>
      </c>
      <c r="G9751" s="64" t="s">
        <v>3044</v>
      </c>
      <c r="H9751" s="64" t="s">
        <v>3022</v>
      </c>
      <c r="I9751" s="64" t="s">
        <v>3215</v>
      </c>
      <c r="J9751" s="67">
        <v>547.05</v>
      </c>
      <c r="K9751" s="62">
        <v>3717.54</v>
      </c>
      <c r="L9751" s="33" t="e">
        <f>HLOOKUP(B9751,#REF!,1,0)</f>
        <v>#REF!</v>
      </c>
      <c r="M9751" s="33" t="str">
        <f t="shared" si="611"/>
        <v>P&amp;L</v>
      </c>
    </row>
    <row r="9752" spans="1:13">
      <c r="A9752" s="33" t="str">
        <f t="shared" si="608"/>
        <v>SCL - Operating Expense</v>
      </c>
      <c r="B9752" s="33" t="str">
        <f t="shared" si="609"/>
        <v>SCL</v>
      </c>
      <c r="C9752" s="33" t="str">
        <f t="shared" si="610"/>
        <v>65501-7378</v>
      </c>
      <c r="D9752" s="64" t="s">
        <v>11003</v>
      </c>
      <c r="E9752" s="64" t="s">
        <v>3214</v>
      </c>
      <c r="F9752" s="64" t="s">
        <v>15</v>
      </c>
      <c r="G9752" s="64" t="s">
        <v>3044</v>
      </c>
      <c r="H9752" s="64" t="s">
        <v>3022</v>
      </c>
      <c r="I9752" s="64" t="s">
        <v>3215</v>
      </c>
      <c r="J9752" s="67">
        <v>925.59</v>
      </c>
      <c r="K9752" s="62">
        <v>9255.9</v>
      </c>
      <c r="L9752" s="33" t="e">
        <f>HLOOKUP(B9752,#REF!,1,0)</f>
        <v>#REF!</v>
      </c>
      <c r="M9752" s="33" t="str">
        <f t="shared" si="611"/>
        <v>P&amp;L</v>
      </c>
    </row>
    <row r="9753" spans="1:13">
      <c r="A9753" s="33" t="str">
        <f t="shared" si="608"/>
        <v>SCL - Operating Expense</v>
      </c>
      <c r="B9753" s="33" t="str">
        <f t="shared" si="609"/>
        <v>SCL</v>
      </c>
      <c r="C9753" s="33" t="str">
        <f t="shared" si="610"/>
        <v>65501-7379</v>
      </c>
      <c r="D9753" s="64" t="s">
        <v>11004</v>
      </c>
      <c r="E9753" s="64" t="s">
        <v>3214</v>
      </c>
      <c r="F9753" s="64" t="s">
        <v>15</v>
      </c>
      <c r="G9753" s="64" t="s">
        <v>3044</v>
      </c>
      <c r="H9753" s="64" t="s">
        <v>3022</v>
      </c>
      <c r="I9753" s="64" t="s">
        <v>3215</v>
      </c>
      <c r="J9753" s="67">
        <v>836.24</v>
      </c>
      <c r="K9753" s="62">
        <v>8362.4</v>
      </c>
      <c r="L9753" s="33" t="e">
        <f>HLOOKUP(B9753,#REF!,1,0)</f>
        <v>#REF!</v>
      </c>
      <c r="M9753" s="33" t="str">
        <f t="shared" si="611"/>
        <v>P&amp;L</v>
      </c>
    </row>
    <row r="9754" spans="1:13">
      <c r="A9754" s="33" t="str">
        <f t="shared" si="608"/>
        <v>SCL - Operating Expense</v>
      </c>
      <c r="B9754" s="33" t="str">
        <f t="shared" si="609"/>
        <v>SCL</v>
      </c>
      <c r="C9754" s="33" t="str">
        <f t="shared" si="610"/>
        <v>65501-7380</v>
      </c>
      <c r="D9754" s="64" t="s">
        <v>11005</v>
      </c>
      <c r="E9754" s="64" t="s">
        <v>3214</v>
      </c>
      <c r="F9754" s="64" t="s">
        <v>15</v>
      </c>
      <c r="G9754" s="64" t="s">
        <v>3044</v>
      </c>
      <c r="H9754" s="64" t="s">
        <v>3022</v>
      </c>
      <c r="I9754" s="64" t="s">
        <v>3215</v>
      </c>
      <c r="J9754" s="67">
        <v>600.78</v>
      </c>
      <c r="K9754" s="62">
        <v>5761.62</v>
      </c>
      <c r="L9754" s="33" t="e">
        <f>HLOOKUP(B9754,#REF!,1,0)</f>
        <v>#REF!</v>
      </c>
      <c r="M9754" s="33" t="str">
        <f t="shared" si="611"/>
        <v>P&amp;L</v>
      </c>
    </row>
    <row r="9755" spans="1:13">
      <c r="A9755" s="33" t="str">
        <f t="shared" si="608"/>
        <v>SCL - Operating Expense</v>
      </c>
      <c r="B9755" s="33" t="str">
        <f t="shared" si="609"/>
        <v>SCL</v>
      </c>
      <c r="C9755" s="33" t="str">
        <f t="shared" si="610"/>
        <v>65501-7381</v>
      </c>
      <c r="D9755" s="64" t="s">
        <v>11006</v>
      </c>
      <c r="E9755" s="64" t="s">
        <v>3214</v>
      </c>
      <c r="F9755" s="64" t="s">
        <v>15</v>
      </c>
      <c r="G9755" s="64" t="s">
        <v>3044</v>
      </c>
      <c r="H9755" s="64" t="s">
        <v>3022</v>
      </c>
      <c r="I9755" s="64" t="s">
        <v>3215</v>
      </c>
      <c r="J9755" s="67">
        <v>436.8</v>
      </c>
      <c r="K9755" s="62">
        <v>7905.79</v>
      </c>
      <c r="L9755" s="33" t="e">
        <f>HLOOKUP(B9755,#REF!,1,0)</f>
        <v>#REF!</v>
      </c>
      <c r="M9755" s="33" t="str">
        <f t="shared" si="611"/>
        <v>P&amp;L</v>
      </c>
    </row>
    <row r="9756" spans="1:13">
      <c r="A9756" s="33" t="str">
        <f t="shared" si="608"/>
        <v>SCL - Operating Expense</v>
      </c>
      <c r="B9756" s="33" t="str">
        <f t="shared" si="609"/>
        <v>SCL</v>
      </c>
      <c r="C9756" s="33" t="str">
        <f t="shared" si="610"/>
        <v>65501-7383</v>
      </c>
      <c r="D9756" s="64" t="s">
        <v>11007</v>
      </c>
      <c r="E9756" s="64" t="s">
        <v>3214</v>
      </c>
      <c r="F9756" s="64" t="s">
        <v>15</v>
      </c>
      <c r="G9756" s="64" t="s">
        <v>3044</v>
      </c>
      <c r="H9756" s="64" t="s">
        <v>3022</v>
      </c>
      <c r="I9756" s="64" t="s">
        <v>3215</v>
      </c>
      <c r="J9756" s="67">
        <v>569.19</v>
      </c>
      <c r="K9756" s="62">
        <v>5691.9</v>
      </c>
      <c r="L9756" s="33" t="e">
        <f>HLOOKUP(B9756,#REF!,1,0)</f>
        <v>#REF!</v>
      </c>
      <c r="M9756" s="33" t="str">
        <f t="shared" si="611"/>
        <v>P&amp;L</v>
      </c>
    </row>
    <row r="9757" spans="1:13">
      <c r="A9757" s="33" t="str">
        <f t="shared" si="608"/>
        <v>SCL - Operating Expense</v>
      </c>
      <c r="B9757" s="33" t="str">
        <f t="shared" si="609"/>
        <v>SCL</v>
      </c>
      <c r="C9757" s="33" t="str">
        <f t="shared" si="610"/>
        <v>65501-7385</v>
      </c>
      <c r="D9757" s="64" t="s">
        <v>11008</v>
      </c>
      <c r="E9757" s="64" t="s">
        <v>3214</v>
      </c>
      <c r="F9757" s="64" t="s">
        <v>15</v>
      </c>
      <c r="G9757" s="64" t="s">
        <v>3044</v>
      </c>
      <c r="H9757" s="64" t="s">
        <v>3022</v>
      </c>
      <c r="I9757" s="64" t="s">
        <v>3215</v>
      </c>
      <c r="J9757" s="67">
        <v>679.97</v>
      </c>
      <c r="K9757" s="62">
        <v>6623.34</v>
      </c>
      <c r="L9757" s="33" t="e">
        <f>HLOOKUP(B9757,#REF!,1,0)</f>
        <v>#REF!</v>
      </c>
      <c r="M9757" s="33" t="str">
        <f t="shared" si="611"/>
        <v>P&amp;L</v>
      </c>
    </row>
    <row r="9758" spans="1:13">
      <c r="A9758" s="33" t="str">
        <f t="shared" si="608"/>
        <v>SCL - Operating Expense</v>
      </c>
      <c r="B9758" s="33" t="str">
        <f t="shared" si="609"/>
        <v>SCL</v>
      </c>
      <c r="C9758" s="33" t="str">
        <f t="shared" si="610"/>
        <v>65501-7386</v>
      </c>
      <c r="D9758" s="64" t="s">
        <v>11009</v>
      </c>
      <c r="E9758" s="64" t="s">
        <v>3214</v>
      </c>
      <c r="F9758" s="64" t="s">
        <v>15</v>
      </c>
      <c r="G9758" s="64" t="s">
        <v>3044</v>
      </c>
      <c r="H9758" s="64" t="s">
        <v>3022</v>
      </c>
      <c r="I9758" s="64" t="s">
        <v>3215</v>
      </c>
      <c r="J9758" s="67">
        <v>1207.98</v>
      </c>
      <c r="K9758" s="62">
        <v>11490.96</v>
      </c>
      <c r="L9758" s="33" t="e">
        <f>HLOOKUP(B9758,#REF!,1,0)</f>
        <v>#REF!</v>
      </c>
      <c r="M9758" s="33" t="str">
        <f t="shared" si="611"/>
        <v>P&amp;L</v>
      </c>
    </row>
    <row r="9759" spans="1:13">
      <c r="A9759" s="33" t="str">
        <f t="shared" si="608"/>
        <v>SCL - Operating Expense</v>
      </c>
      <c r="B9759" s="33" t="str">
        <f t="shared" si="609"/>
        <v>SCL</v>
      </c>
      <c r="C9759" s="33" t="str">
        <f t="shared" si="610"/>
        <v>65501-7387</v>
      </c>
      <c r="D9759" s="64" t="s">
        <v>11010</v>
      </c>
      <c r="E9759" s="64" t="s">
        <v>3214</v>
      </c>
      <c r="F9759" s="64" t="s">
        <v>15</v>
      </c>
      <c r="G9759" s="64" t="s">
        <v>3044</v>
      </c>
      <c r="H9759" s="64" t="s">
        <v>3022</v>
      </c>
      <c r="I9759" s="64" t="s">
        <v>3215</v>
      </c>
      <c r="J9759" s="67">
        <v>1075.63</v>
      </c>
      <c r="K9759" s="62">
        <v>10756.3</v>
      </c>
      <c r="L9759" s="33" t="e">
        <f>HLOOKUP(B9759,#REF!,1,0)</f>
        <v>#REF!</v>
      </c>
      <c r="M9759" s="33" t="str">
        <f t="shared" si="611"/>
        <v>P&amp;L</v>
      </c>
    </row>
    <row r="9760" spans="1:13">
      <c r="A9760" s="33" t="str">
        <f t="shared" si="608"/>
        <v>SCL - Operating Expense</v>
      </c>
      <c r="B9760" s="33" t="str">
        <f t="shared" si="609"/>
        <v>SCL</v>
      </c>
      <c r="C9760" s="33" t="str">
        <f t="shared" si="610"/>
        <v>65501-7389</v>
      </c>
      <c r="D9760" s="64" t="s">
        <v>11011</v>
      </c>
      <c r="E9760" s="64" t="s">
        <v>3214</v>
      </c>
      <c r="F9760" s="64" t="s">
        <v>15</v>
      </c>
      <c r="G9760" s="64" t="s">
        <v>3044</v>
      </c>
      <c r="H9760" s="64" t="s">
        <v>3022</v>
      </c>
      <c r="I9760" s="64" t="s">
        <v>3215</v>
      </c>
      <c r="J9760" s="67">
        <v>499.1</v>
      </c>
      <c r="K9760" s="62">
        <v>4524.39</v>
      </c>
      <c r="L9760" s="33" t="e">
        <f>HLOOKUP(B9760,#REF!,1,0)</f>
        <v>#REF!</v>
      </c>
      <c r="M9760" s="33" t="str">
        <f t="shared" si="611"/>
        <v>P&amp;L</v>
      </c>
    </row>
    <row r="9761" spans="1:13">
      <c r="A9761" s="33" t="str">
        <f t="shared" si="608"/>
        <v>SCL - Operating Expense</v>
      </c>
      <c r="B9761" s="33" t="str">
        <f t="shared" si="609"/>
        <v>SCL</v>
      </c>
      <c r="C9761" s="33" t="str">
        <f t="shared" si="610"/>
        <v>65501-7391</v>
      </c>
      <c r="D9761" s="64" t="s">
        <v>11012</v>
      </c>
      <c r="E9761" s="64" t="s">
        <v>3214</v>
      </c>
      <c r="F9761" s="64" t="s">
        <v>15</v>
      </c>
      <c r="G9761" s="64" t="s">
        <v>3044</v>
      </c>
      <c r="H9761" s="64" t="s">
        <v>3022</v>
      </c>
      <c r="I9761" s="64" t="s">
        <v>3215</v>
      </c>
      <c r="J9761" s="67">
        <v>1261.24</v>
      </c>
      <c r="K9761" s="62">
        <v>12092.06</v>
      </c>
      <c r="L9761" s="33" t="e">
        <f>HLOOKUP(B9761,#REF!,1,0)</f>
        <v>#REF!</v>
      </c>
      <c r="M9761" s="33" t="str">
        <f t="shared" si="611"/>
        <v>P&amp;L</v>
      </c>
    </row>
    <row r="9762" spans="1:13">
      <c r="A9762" s="33" t="str">
        <f t="shared" si="608"/>
        <v>SCL - Operating Expense</v>
      </c>
      <c r="B9762" s="33" t="str">
        <f t="shared" si="609"/>
        <v>SCL</v>
      </c>
      <c r="C9762" s="33" t="str">
        <f t="shared" si="610"/>
        <v>65501-7393</v>
      </c>
      <c r="D9762" s="64" t="s">
        <v>11013</v>
      </c>
      <c r="E9762" s="64" t="s">
        <v>3214</v>
      </c>
      <c r="F9762" s="64" t="s">
        <v>15</v>
      </c>
      <c r="G9762" s="64" t="s">
        <v>3044</v>
      </c>
      <c r="H9762" s="64" t="s">
        <v>3022</v>
      </c>
      <c r="I9762" s="64" t="s">
        <v>3215</v>
      </c>
      <c r="J9762" s="67">
        <v>745.02</v>
      </c>
      <c r="K9762" s="62">
        <v>7241.88</v>
      </c>
      <c r="L9762" s="33" t="e">
        <f>HLOOKUP(B9762,#REF!,1,0)</f>
        <v>#REF!</v>
      </c>
      <c r="M9762" s="33" t="str">
        <f t="shared" si="611"/>
        <v>P&amp;L</v>
      </c>
    </row>
    <row r="9763" spans="1:13">
      <c r="A9763" s="33" t="str">
        <f t="shared" si="608"/>
        <v>SCL - Operating Expense</v>
      </c>
      <c r="B9763" s="33" t="str">
        <f t="shared" si="609"/>
        <v>SCL</v>
      </c>
      <c r="C9763" s="33" t="str">
        <f t="shared" si="610"/>
        <v>65501-7394</v>
      </c>
      <c r="D9763" s="64" t="s">
        <v>11014</v>
      </c>
      <c r="E9763" s="64" t="s">
        <v>3214</v>
      </c>
      <c r="F9763" s="64" t="s">
        <v>15</v>
      </c>
      <c r="G9763" s="64" t="s">
        <v>3044</v>
      </c>
      <c r="H9763" s="64" t="s">
        <v>3022</v>
      </c>
      <c r="I9763" s="64" t="s">
        <v>3215</v>
      </c>
      <c r="J9763" s="67">
        <v>1310.41</v>
      </c>
      <c r="K9763" s="62">
        <v>13104.1</v>
      </c>
      <c r="L9763" s="33" t="e">
        <f>HLOOKUP(B9763,#REF!,1,0)</f>
        <v>#REF!</v>
      </c>
      <c r="M9763" s="33" t="str">
        <f t="shared" si="611"/>
        <v>P&amp;L</v>
      </c>
    </row>
    <row r="9764" spans="1:13">
      <c r="A9764" s="33" t="str">
        <f t="shared" si="608"/>
        <v>SCL - Operating Expense</v>
      </c>
      <c r="B9764" s="33" t="str">
        <f t="shared" si="609"/>
        <v>SCL</v>
      </c>
      <c r="C9764" s="33" t="str">
        <f t="shared" si="610"/>
        <v>65501-7396</v>
      </c>
      <c r="D9764" s="64" t="s">
        <v>11015</v>
      </c>
      <c r="E9764" s="64" t="s">
        <v>3214</v>
      </c>
      <c r="F9764" s="64" t="s">
        <v>15</v>
      </c>
      <c r="G9764" s="64" t="s">
        <v>3044</v>
      </c>
      <c r="H9764" s="64" t="s">
        <v>3022</v>
      </c>
      <c r="I9764" s="64" t="s">
        <v>3215</v>
      </c>
      <c r="J9764" s="67">
        <v>918.75</v>
      </c>
      <c r="K9764" s="62">
        <v>9077.51</v>
      </c>
      <c r="L9764" s="33" t="e">
        <f>HLOOKUP(B9764,#REF!,1,0)</f>
        <v>#REF!</v>
      </c>
      <c r="M9764" s="33" t="str">
        <f t="shared" si="611"/>
        <v>P&amp;L</v>
      </c>
    </row>
    <row r="9765" spans="1:13">
      <c r="A9765" s="33" t="str">
        <f t="shared" si="608"/>
        <v>SCL - Operating Expense</v>
      </c>
      <c r="B9765" s="33" t="str">
        <f t="shared" si="609"/>
        <v>SCL</v>
      </c>
      <c r="C9765" s="33" t="str">
        <f t="shared" si="610"/>
        <v>65501-7397</v>
      </c>
      <c r="D9765" s="64" t="s">
        <v>11016</v>
      </c>
      <c r="E9765" s="64" t="s">
        <v>3214</v>
      </c>
      <c r="F9765" s="64" t="s">
        <v>15</v>
      </c>
      <c r="G9765" s="64" t="s">
        <v>3044</v>
      </c>
      <c r="H9765" s="64" t="s">
        <v>3022</v>
      </c>
      <c r="I9765" s="64" t="s">
        <v>3215</v>
      </c>
      <c r="J9765" s="67">
        <v>0</v>
      </c>
      <c r="K9765" s="62">
        <v>6328.16</v>
      </c>
      <c r="L9765" s="33" t="e">
        <f>HLOOKUP(B9765,#REF!,1,0)</f>
        <v>#REF!</v>
      </c>
      <c r="M9765" s="33" t="str">
        <f t="shared" si="611"/>
        <v>P&amp;L</v>
      </c>
    </row>
    <row r="9766" spans="1:13">
      <c r="A9766" s="33" t="str">
        <f t="shared" si="608"/>
        <v>SCL - Operating Expense</v>
      </c>
      <c r="B9766" s="33" t="str">
        <f t="shared" si="609"/>
        <v>SCL</v>
      </c>
      <c r="C9766" s="33" t="str">
        <f t="shared" si="610"/>
        <v>65501-7398</v>
      </c>
      <c r="D9766" s="64" t="s">
        <v>11017</v>
      </c>
      <c r="E9766" s="64" t="s">
        <v>3214</v>
      </c>
      <c r="F9766" s="64" t="s">
        <v>15</v>
      </c>
      <c r="G9766" s="64" t="s">
        <v>3044</v>
      </c>
      <c r="H9766" s="64" t="s">
        <v>3022</v>
      </c>
      <c r="I9766" s="64" t="s">
        <v>3215</v>
      </c>
      <c r="J9766" s="67">
        <v>811.28</v>
      </c>
      <c r="K9766" s="62">
        <v>6284.36</v>
      </c>
      <c r="L9766" s="33" t="e">
        <f>HLOOKUP(B9766,#REF!,1,0)</f>
        <v>#REF!</v>
      </c>
      <c r="M9766" s="33" t="str">
        <f t="shared" si="611"/>
        <v>P&amp;L</v>
      </c>
    </row>
    <row r="9767" spans="1:13">
      <c r="A9767" s="33" t="str">
        <f t="shared" si="608"/>
        <v>SCL - Operating Expense</v>
      </c>
      <c r="B9767" s="33" t="str">
        <f t="shared" si="609"/>
        <v>SCL</v>
      </c>
      <c r="C9767" s="33" t="str">
        <f t="shared" si="610"/>
        <v>65501-7400</v>
      </c>
      <c r="D9767" s="64" t="s">
        <v>11018</v>
      </c>
      <c r="E9767" s="64" t="s">
        <v>3214</v>
      </c>
      <c r="F9767" s="64" t="s">
        <v>15</v>
      </c>
      <c r="G9767" s="64" t="s">
        <v>3044</v>
      </c>
      <c r="H9767" s="64" t="s">
        <v>3022</v>
      </c>
      <c r="I9767" s="64" t="s">
        <v>3215</v>
      </c>
      <c r="J9767" s="67">
        <v>569.19</v>
      </c>
      <c r="K9767" s="62">
        <v>5699.82</v>
      </c>
      <c r="L9767" s="33" t="e">
        <f>HLOOKUP(B9767,#REF!,1,0)</f>
        <v>#REF!</v>
      </c>
      <c r="M9767" s="33" t="str">
        <f t="shared" si="611"/>
        <v>P&amp;L</v>
      </c>
    </row>
    <row r="9768" spans="1:13">
      <c r="A9768" s="33" t="str">
        <f t="shared" si="608"/>
        <v>SCL - Operating Expense</v>
      </c>
      <c r="B9768" s="33" t="str">
        <f t="shared" si="609"/>
        <v>SCL</v>
      </c>
      <c r="C9768" s="33" t="str">
        <f t="shared" si="610"/>
        <v>65501-7401</v>
      </c>
      <c r="D9768" s="64" t="s">
        <v>11019</v>
      </c>
      <c r="E9768" s="64" t="s">
        <v>3214</v>
      </c>
      <c r="F9768" s="64" t="s">
        <v>15</v>
      </c>
      <c r="G9768" s="64" t="s">
        <v>3044</v>
      </c>
      <c r="H9768" s="64" t="s">
        <v>3022</v>
      </c>
      <c r="I9768" s="64" t="s">
        <v>3215</v>
      </c>
      <c r="J9768" s="67">
        <v>569.19</v>
      </c>
      <c r="K9768" s="62">
        <v>5691.9</v>
      </c>
      <c r="L9768" s="33" t="e">
        <f>HLOOKUP(B9768,#REF!,1,0)</f>
        <v>#REF!</v>
      </c>
      <c r="M9768" s="33" t="str">
        <f t="shared" si="611"/>
        <v>P&amp;L</v>
      </c>
    </row>
    <row r="9769" spans="1:13">
      <c r="A9769" s="33" t="str">
        <f t="shared" si="608"/>
        <v>SCL - Operating Expense</v>
      </c>
      <c r="B9769" s="33" t="str">
        <f t="shared" si="609"/>
        <v>SCL</v>
      </c>
      <c r="C9769" s="33" t="str">
        <f t="shared" si="610"/>
        <v>65501-7402</v>
      </c>
      <c r="D9769" s="64" t="s">
        <v>11020</v>
      </c>
      <c r="E9769" s="64" t="s">
        <v>3214</v>
      </c>
      <c r="F9769" s="64" t="s">
        <v>15</v>
      </c>
      <c r="G9769" s="64" t="s">
        <v>3044</v>
      </c>
      <c r="H9769" s="64" t="s">
        <v>3022</v>
      </c>
      <c r="I9769" s="64" t="s">
        <v>3215</v>
      </c>
      <c r="J9769" s="67">
        <v>1103.28</v>
      </c>
      <c r="K9769" s="62">
        <v>9962.01</v>
      </c>
      <c r="L9769" s="33" t="e">
        <f>HLOOKUP(B9769,#REF!,1,0)</f>
        <v>#REF!</v>
      </c>
      <c r="M9769" s="33" t="str">
        <f t="shared" si="611"/>
        <v>P&amp;L</v>
      </c>
    </row>
    <row r="9770" spans="1:13">
      <c r="A9770" s="33" t="str">
        <f t="shared" si="608"/>
        <v>SCL - Operating Expense</v>
      </c>
      <c r="B9770" s="33" t="str">
        <f t="shared" si="609"/>
        <v>SCL</v>
      </c>
      <c r="C9770" s="33" t="str">
        <f t="shared" si="610"/>
        <v>65501-7403</v>
      </c>
      <c r="D9770" s="64" t="s">
        <v>11021</v>
      </c>
      <c r="E9770" s="64" t="s">
        <v>3214</v>
      </c>
      <c r="F9770" s="64" t="s">
        <v>15</v>
      </c>
      <c r="G9770" s="64" t="s">
        <v>3044</v>
      </c>
      <c r="H9770" s="64" t="s">
        <v>3022</v>
      </c>
      <c r="I9770" s="64" t="s">
        <v>3215</v>
      </c>
      <c r="J9770" s="67">
        <v>1021.24</v>
      </c>
      <c r="K9770" s="62">
        <v>9223.65</v>
      </c>
      <c r="L9770" s="33" t="e">
        <f>HLOOKUP(B9770,#REF!,1,0)</f>
        <v>#REF!</v>
      </c>
      <c r="M9770" s="33" t="str">
        <f t="shared" si="611"/>
        <v>P&amp;L</v>
      </c>
    </row>
    <row r="9771" spans="1:13">
      <c r="A9771" s="33" t="str">
        <f t="shared" si="608"/>
        <v>SCL - Operating Expense</v>
      </c>
      <c r="B9771" s="33" t="str">
        <f t="shared" si="609"/>
        <v>SCL</v>
      </c>
      <c r="C9771" s="33" t="str">
        <f t="shared" si="610"/>
        <v>65501-7489</v>
      </c>
      <c r="D9771" s="64" t="s">
        <v>11022</v>
      </c>
      <c r="E9771" s="64" t="s">
        <v>3214</v>
      </c>
      <c r="F9771" s="64" t="s">
        <v>15</v>
      </c>
      <c r="G9771" s="64" t="s">
        <v>3044</v>
      </c>
      <c r="H9771" s="64" t="s">
        <v>3022</v>
      </c>
      <c r="I9771" s="64" t="s">
        <v>3215</v>
      </c>
      <c r="J9771" s="67">
        <v>815.7</v>
      </c>
      <c r="K9771" s="62">
        <v>7664.01</v>
      </c>
      <c r="L9771" s="33" t="e">
        <f>HLOOKUP(B9771,#REF!,1,0)</f>
        <v>#REF!</v>
      </c>
      <c r="M9771" s="33" t="str">
        <f t="shared" si="611"/>
        <v>P&amp;L</v>
      </c>
    </row>
    <row r="9772" spans="1:13">
      <c r="A9772" s="33" t="str">
        <f t="shared" si="608"/>
        <v>SCL - Operating Expense</v>
      </c>
      <c r="B9772" s="33" t="str">
        <f t="shared" si="609"/>
        <v>SCL</v>
      </c>
      <c r="C9772" s="33" t="str">
        <f t="shared" si="610"/>
        <v>65501-7491</v>
      </c>
      <c r="D9772" s="64" t="s">
        <v>11023</v>
      </c>
      <c r="E9772" s="64" t="s">
        <v>3214</v>
      </c>
      <c r="F9772" s="64" t="s">
        <v>15</v>
      </c>
      <c r="G9772" s="64" t="s">
        <v>3044</v>
      </c>
      <c r="H9772" s="64" t="s">
        <v>3022</v>
      </c>
      <c r="I9772" s="64" t="s">
        <v>3215</v>
      </c>
      <c r="J9772" s="67">
        <v>444.49</v>
      </c>
      <c r="K9772" s="62">
        <v>3753.85</v>
      </c>
      <c r="L9772" s="33" t="e">
        <f>HLOOKUP(B9772,#REF!,1,0)</f>
        <v>#REF!</v>
      </c>
      <c r="M9772" s="33" t="str">
        <f t="shared" si="611"/>
        <v>P&amp;L</v>
      </c>
    </row>
    <row r="9773" spans="1:13">
      <c r="A9773" s="33" t="str">
        <f t="shared" si="608"/>
        <v>SCL - Operating Expense</v>
      </c>
      <c r="B9773" s="33" t="str">
        <f t="shared" si="609"/>
        <v>SCL</v>
      </c>
      <c r="C9773" s="33" t="str">
        <f t="shared" si="610"/>
        <v>65501-7492</v>
      </c>
      <c r="D9773" s="64" t="s">
        <v>11024</v>
      </c>
      <c r="E9773" s="64" t="s">
        <v>3214</v>
      </c>
      <c r="F9773" s="64" t="s">
        <v>15</v>
      </c>
      <c r="G9773" s="64" t="s">
        <v>3044</v>
      </c>
      <c r="H9773" s="64" t="s">
        <v>3022</v>
      </c>
      <c r="I9773" s="64" t="s">
        <v>3215</v>
      </c>
      <c r="J9773" s="67">
        <v>1156.08</v>
      </c>
      <c r="K9773" s="62">
        <v>10229.76</v>
      </c>
      <c r="L9773" s="33" t="e">
        <f>HLOOKUP(B9773,#REF!,1,0)</f>
        <v>#REF!</v>
      </c>
      <c r="M9773" s="33" t="str">
        <f t="shared" si="611"/>
        <v>P&amp;L</v>
      </c>
    </row>
    <row r="9774" spans="1:13">
      <c r="A9774" s="33" t="str">
        <f t="shared" si="608"/>
        <v>SCL - Operating Expense</v>
      </c>
      <c r="B9774" s="33" t="str">
        <f t="shared" si="609"/>
        <v>SCL</v>
      </c>
      <c r="C9774" s="33" t="str">
        <f t="shared" si="610"/>
        <v>65501-7493</v>
      </c>
      <c r="D9774" s="64" t="s">
        <v>11025</v>
      </c>
      <c r="E9774" s="64" t="s">
        <v>3214</v>
      </c>
      <c r="F9774" s="64" t="s">
        <v>15</v>
      </c>
      <c r="G9774" s="64" t="s">
        <v>3044</v>
      </c>
      <c r="H9774" s="64" t="s">
        <v>3022</v>
      </c>
      <c r="I9774" s="64" t="s">
        <v>3215</v>
      </c>
      <c r="J9774" s="67">
        <v>1061.64</v>
      </c>
      <c r="K9774" s="62">
        <v>10616.4</v>
      </c>
      <c r="L9774" s="33" t="e">
        <f>HLOOKUP(B9774,#REF!,1,0)</f>
        <v>#REF!</v>
      </c>
      <c r="M9774" s="33" t="str">
        <f t="shared" si="611"/>
        <v>P&amp;L</v>
      </c>
    </row>
    <row r="9775" spans="1:13">
      <c r="A9775" s="33" t="str">
        <f t="shared" si="608"/>
        <v>SCL - Operating Expense</v>
      </c>
      <c r="B9775" s="33" t="str">
        <f t="shared" si="609"/>
        <v>SCL</v>
      </c>
      <c r="C9775" s="33" t="str">
        <f t="shared" si="610"/>
        <v>65501-7494</v>
      </c>
      <c r="D9775" s="64" t="s">
        <v>11026</v>
      </c>
      <c r="E9775" s="64" t="s">
        <v>3214</v>
      </c>
      <c r="F9775" s="64" t="s">
        <v>15</v>
      </c>
      <c r="G9775" s="64" t="s">
        <v>3044</v>
      </c>
      <c r="H9775" s="64" t="s">
        <v>3022</v>
      </c>
      <c r="I9775" s="64" t="s">
        <v>3215</v>
      </c>
      <c r="J9775" s="67">
        <v>881.1</v>
      </c>
      <c r="K9775" s="62">
        <v>7783.01</v>
      </c>
      <c r="L9775" s="33" t="e">
        <f>HLOOKUP(B9775,#REF!,1,0)</f>
        <v>#REF!</v>
      </c>
      <c r="M9775" s="33" t="str">
        <f t="shared" si="611"/>
        <v>P&amp;L</v>
      </c>
    </row>
    <row r="9776" spans="1:13">
      <c r="A9776" s="33" t="str">
        <f t="shared" si="608"/>
        <v>SCL - Operating Expense</v>
      </c>
      <c r="B9776" s="33" t="str">
        <f t="shared" si="609"/>
        <v>SCL</v>
      </c>
      <c r="C9776" s="33" t="str">
        <f t="shared" si="610"/>
        <v>65501-7625</v>
      </c>
      <c r="D9776" s="64" t="s">
        <v>11027</v>
      </c>
      <c r="E9776" s="64" t="s">
        <v>3214</v>
      </c>
      <c r="F9776" s="64" t="s">
        <v>15</v>
      </c>
      <c r="G9776" s="64" t="s">
        <v>3044</v>
      </c>
      <c r="H9776" s="64" t="s">
        <v>3022</v>
      </c>
      <c r="I9776" s="64" t="s">
        <v>3215</v>
      </c>
      <c r="J9776" s="67">
        <v>774.71</v>
      </c>
      <c r="K9776" s="62">
        <v>7835.69</v>
      </c>
      <c r="L9776" s="33" t="e">
        <f>HLOOKUP(B9776,#REF!,1,0)</f>
        <v>#REF!</v>
      </c>
      <c r="M9776" s="33" t="str">
        <f t="shared" si="611"/>
        <v>P&amp;L</v>
      </c>
    </row>
    <row r="9777" spans="1:13">
      <c r="A9777" s="33" t="str">
        <f t="shared" si="608"/>
        <v>SCL - Operating Expense</v>
      </c>
      <c r="B9777" s="33" t="str">
        <f t="shared" si="609"/>
        <v>SCL</v>
      </c>
      <c r="C9777" s="33" t="str">
        <f t="shared" si="610"/>
        <v>65501-8150</v>
      </c>
      <c r="D9777" s="64" t="s">
        <v>11028</v>
      </c>
      <c r="E9777" s="64" t="s">
        <v>3214</v>
      </c>
      <c r="F9777" s="64" t="s">
        <v>15</v>
      </c>
      <c r="G9777" s="64" t="s">
        <v>3044</v>
      </c>
      <c r="H9777" s="64" t="s">
        <v>3022</v>
      </c>
      <c r="I9777" s="64" t="s">
        <v>3215</v>
      </c>
      <c r="J9777" s="67">
        <v>771.04</v>
      </c>
      <c r="K9777" s="62">
        <v>7108.01</v>
      </c>
      <c r="L9777" s="33" t="e">
        <f>HLOOKUP(B9777,#REF!,1,0)</f>
        <v>#REF!</v>
      </c>
      <c r="M9777" s="33" t="str">
        <f t="shared" si="611"/>
        <v>P&amp;L</v>
      </c>
    </row>
    <row r="9778" spans="1:13">
      <c r="A9778" s="33" t="str">
        <f t="shared" si="608"/>
        <v>SCL - Operating Expense</v>
      </c>
      <c r="B9778" s="33" t="str">
        <f t="shared" si="609"/>
        <v>SCL</v>
      </c>
      <c r="C9778" s="33" t="str">
        <f t="shared" si="610"/>
        <v>66001-7351</v>
      </c>
      <c r="D9778" s="64" t="s">
        <v>11029</v>
      </c>
      <c r="E9778" s="64" t="s">
        <v>3220</v>
      </c>
      <c r="F9778" s="64" t="s">
        <v>15</v>
      </c>
      <c r="G9778" s="64" t="s">
        <v>3044</v>
      </c>
      <c r="H9778" s="64" t="s">
        <v>3022</v>
      </c>
      <c r="I9778" s="64" t="s">
        <v>3221</v>
      </c>
      <c r="J9778" s="67">
        <v>0</v>
      </c>
      <c r="K9778" s="62">
        <v>80</v>
      </c>
      <c r="L9778" s="33" t="e">
        <f>HLOOKUP(B9778,#REF!,1,0)</f>
        <v>#REF!</v>
      </c>
      <c r="M9778" s="33" t="str">
        <f t="shared" si="611"/>
        <v>P&amp;L</v>
      </c>
    </row>
    <row r="9779" spans="1:13">
      <c r="A9779" s="33" t="str">
        <f t="shared" si="608"/>
        <v>SCL - Operating Expense</v>
      </c>
      <c r="B9779" s="33" t="str">
        <f t="shared" si="609"/>
        <v>SCL</v>
      </c>
      <c r="C9779" s="33" t="str">
        <f t="shared" si="610"/>
        <v>66001-7355</v>
      </c>
      <c r="D9779" s="64" t="s">
        <v>11030</v>
      </c>
      <c r="E9779" s="64" t="s">
        <v>3220</v>
      </c>
      <c r="F9779" s="64" t="s">
        <v>15</v>
      </c>
      <c r="G9779" s="64" t="s">
        <v>3044</v>
      </c>
      <c r="H9779" s="64" t="s">
        <v>3022</v>
      </c>
      <c r="I9779" s="64" t="s">
        <v>3221</v>
      </c>
      <c r="J9779" s="67">
        <v>0</v>
      </c>
      <c r="K9779" s="62">
        <v>166</v>
      </c>
      <c r="L9779" s="33" t="e">
        <f>HLOOKUP(B9779,#REF!,1,0)</f>
        <v>#REF!</v>
      </c>
      <c r="M9779" s="33" t="str">
        <f t="shared" si="611"/>
        <v>P&amp;L</v>
      </c>
    </row>
    <row r="9780" spans="1:13">
      <c r="A9780" s="33" t="str">
        <f t="shared" si="608"/>
        <v>SCL - Operating Expense</v>
      </c>
      <c r="B9780" s="33" t="str">
        <f t="shared" si="609"/>
        <v>SCL</v>
      </c>
      <c r="C9780" s="33" t="str">
        <f t="shared" si="610"/>
        <v>66001-7356</v>
      </c>
      <c r="D9780" s="64" t="s">
        <v>11031</v>
      </c>
      <c r="E9780" s="64" t="s">
        <v>3220</v>
      </c>
      <c r="F9780" s="64" t="s">
        <v>15</v>
      </c>
      <c r="G9780" s="64" t="s">
        <v>3044</v>
      </c>
      <c r="H9780" s="64" t="s">
        <v>3022</v>
      </c>
      <c r="I9780" s="64" t="s">
        <v>3221</v>
      </c>
      <c r="J9780" s="67">
        <v>0</v>
      </c>
      <c r="K9780" s="62">
        <v>40</v>
      </c>
      <c r="L9780" s="33" t="e">
        <f>HLOOKUP(B9780,#REF!,1,0)</f>
        <v>#REF!</v>
      </c>
      <c r="M9780" s="33" t="str">
        <f t="shared" si="611"/>
        <v>P&amp;L</v>
      </c>
    </row>
    <row r="9781" spans="1:13">
      <c r="A9781" s="33" t="str">
        <f t="shared" si="608"/>
        <v>SCL - Operating Expense</v>
      </c>
      <c r="B9781" s="33" t="str">
        <f t="shared" si="609"/>
        <v>SCL</v>
      </c>
      <c r="C9781" s="33" t="str">
        <f t="shared" si="610"/>
        <v>66001-7359</v>
      </c>
      <c r="D9781" s="64" t="s">
        <v>11032</v>
      </c>
      <c r="E9781" s="64" t="s">
        <v>3220</v>
      </c>
      <c r="F9781" s="64" t="s">
        <v>15</v>
      </c>
      <c r="G9781" s="64" t="s">
        <v>3044</v>
      </c>
      <c r="H9781" s="64" t="s">
        <v>3022</v>
      </c>
      <c r="I9781" s="64" t="s">
        <v>3221</v>
      </c>
      <c r="J9781" s="67">
        <v>0</v>
      </c>
      <c r="K9781" s="62">
        <v>306</v>
      </c>
      <c r="L9781" s="33" t="e">
        <f>HLOOKUP(B9781,#REF!,1,0)</f>
        <v>#REF!</v>
      </c>
      <c r="M9781" s="33" t="str">
        <f t="shared" si="611"/>
        <v>P&amp;L</v>
      </c>
    </row>
    <row r="9782" spans="1:13">
      <c r="A9782" s="33" t="str">
        <f t="shared" si="608"/>
        <v>SCL - Operating Expense</v>
      </c>
      <c r="B9782" s="33" t="str">
        <f t="shared" si="609"/>
        <v>SCL</v>
      </c>
      <c r="C9782" s="33" t="str">
        <f t="shared" si="610"/>
        <v>66001-7360</v>
      </c>
      <c r="D9782" s="64" t="s">
        <v>11033</v>
      </c>
      <c r="E9782" s="64" t="s">
        <v>3220</v>
      </c>
      <c r="F9782" s="64" t="s">
        <v>15</v>
      </c>
      <c r="G9782" s="64" t="s">
        <v>3044</v>
      </c>
      <c r="H9782" s="64" t="s">
        <v>3022</v>
      </c>
      <c r="I9782" s="64" t="s">
        <v>3221</v>
      </c>
      <c r="J9782" s="67">
        <v>0</v>
      </c>
      <c r="K9782" s="62">
        <v>2873.13</v>
      </c>
      <c r="L9782" s="33" t="e">
        <f>HLOOKUP(B9782,#REF!,1,0)</f>
        <v>#REF!</v>
      </c>
      <c r="M9782" s="33" t="str">
        <f t="shared" si="611"/>
        <v>P&amp;L</v>
      </c>
    </row>
    <row r="9783" spans="1:13">
      <c r="A9783" s="33" t="str">
        <f t="shared" si="608"/>
        <v>SCL - Operating Expense</v>
      </c>
      <c r="B9783" s="33" t="str">
        <f t="shared" si="609"/>
        <v>SCL</v>
      </c>
      <c r="C9783" s="33" t="str">
        <f t="shared" si="610"/>
        <v>66001-7361</v>
      </c>
      <c r="D9783" s="64" t="s">
        <v>11034</v>
      </c>
      <c r="E9783" s="64" t="s">
        <v>3220</v>
      </c>
      <c r="F9783" s="64" t="s">
        <v>15</v>
      </c>
      <c r="G9783" s="64" t="s">
        <v>3044</v>
      </c>
      <c r="H9783" s="64" t="s">
        <v>3022</v>
      </c>
      <c r="I9783" s="64" t="s">
        <v>3221</v>
      </c>
      <c r="J9783" s="67">
        <v>0</v>
      </c>
      <c r="K9783" s="62">
        <v>166</v>
      </c>
      <c r="L9783" s="33" t="e">
        <f>HLOOKUP(B9783,#REF!,1,0)</f>
        <v>#REF!</v>
      </c>
      <c r="M9783" s="33" t="str">
        <f t="shared" si="611"/>
        <v>P&amp;L</v>
      </c>
    </row>
    <row r="9784" spans="1:13">
      <c r="A9784" s="33" t="str">
        <f t="shared" si="608"/>
        <v>SCL - Operating Expense</v>
      </c>
      <c r="B9784" s="33" t="str">
        <f t="shared" si="609"/>
        <v>SCL</v>
      </c>
      <c r="C9784" s="33" t="str">
        <f t="shared" si="610"/>
        <v>66001-7362</v>
      </c>
      <c r="D9784" s="64" t="s">
        <v>11035</v>
      </c>
      <c r="E9784" s="64" t="s">
        <v>3220</v>
      </c>
      <c r="F9784" s="64" t="s">
        <v>15</v>
      </c>
      <c r="G9784" s="64" t="s">
        <v>3044</v>
      </c>
      <c r="H9784" s="64" t="s">
        <v>3022</v>
      </c>
      <c r="I9784" s="64" t="s">
        <v>3221</v>
      </c>
      <c r="J9784" s="67">
        <v>0</v>
      </c>
      <c r="K9784" s="62">
        <v>245.5</v>
      </c>
      <c r="L9784" s="33" t="e">
        <f>HLOOKUP(B9784,#REF!,1,0)</f>
        <v>#REF!</v>
      </c>
      <c r="M9784" s="33" t="str">
        <f t="shared" si="611"/>
        <v>P&amp;L</v>
      </c>
    </row>
    <row r="9785" spans="1:13">
      <c r="A9785" s="33" t="str">
        <f t="shared" si="608"/>
        <v>SCL - Operating Expense</v>
      </c>
      <c r="B9785" s="33" t="str">
        <f t="shared" si="609"/>
        <v>SCL</v>
      </c>
      <c r="C9785" s="33" t="str">
        <f t="shared" si="610"/>
        <v>66001-7363</v>
      </c>
      <c r="D9785" s="64" t="s">
        <v>11036</v>
      </c>
      <c r="E9785" s="64" t="s">
        <v>3220</v>
      </c>
      <c r="F9785" s="64" t="s">
        <v>15</v>
      </c>
      <c r="G9785" s="64" t="s">
        <v>3044</v>
      </c>
      <c r="H9785" s="64" t="s">
        <v>3022</v>
      </c>
      <c r="I9785" s="64" t="s">
        <v>3221</v>
      </c>
      <c r="J9785" s="67">
        <v>0</v>
      </c>
      <c r="K9785" s="62">
        <v>0</v>
      </c>
      <c r="L9785" s="33" t="e">
        <f>HLOOKUP(B9785,#REF!,1,0)</f>
        <v>#REF!</v>
      </c>
      <c r="M9785" s="33" t="str">
        <f t="shared" si="611"/>
        <v>P&amp;L</v>
      </c>
    </row>
    <row r="9786" spans="1:13">
      <c r="A9786" s="33" t="str">
        <f t="shared" si="608"/>
        <v>SCL - Operating Expense</v>
      </c>
      <c r="B9786" s="33" t="str">
        <f t="shared" si="609"/>
        <v>SCL</v>
      </c>
      <c r="C9786" s="33" t="str">
        <f t="shared" si="610"/>
        <v>66001-7364</v>
      </c>
      <c r="D9786" s="64" t="s">
        <v>11037</v>
      </c>
      <c r="E9786" s="64" t="s">
        <v>3220</v>
      </c>
      <c r="F9786" s="64" t="s">
        <v>15</v>
      </c>
      <c r="G9786" s="64" t="s">
        <v>3044</v>
      </c>
      <c r="H9786" s="64" t="s">
        <v>3022</v>
      </c>
      <c r="I9786" s="64" t="s">
        <v>3221</v>
      </c>
      <c r="J9786" s="67">
        <v>0</v>
      </c>
      <c r="K9786" s="62">
        <v>60</v>
      </c>
      <c r="L9786" s="33" t="e">
        <f>HLOOKUP(B9786,#REF!,1,0)</f>
        <v>#REF!</v>
      </c>
      <c r="M9786" s="33" t="str">
        <f t="shared" si="611"/>
        <v>P&amp;L</v>
      </c>
    </row>
    <row r="9787" spans="1:13">
      <c r="A9787" s="33" t="str">
        <f t="shared" si="608"/>
        <v>SCL - Operating Expense</v>
      </c>
      <c r="B9787" s="33" t="str">
        <f t="shared" si="609"/>
        <v>SCL</v>
      </c>
      <c r="C9787" s="33" t="str">
        <f t="shared" si="610"/>
        <v>66001-7365</v>
      </c>
      <c r="D9787" s="64" t="s">
        <v>11038</v>
      </c>
      <c r="E9787" s="64" t="s">
        <v>3220</v>
      </c>
      <c r="F9787" s="64" t="s">
        <v>15</v>
      </c>
      <c r="G9787" s="64" t="s">
        <v>3044</v>
      </c>
      <c r="H9787" s="64" t="s">
        <v>3022</v>
      </c>
      <c r="I9787" s="64" t="s">
        <v>3221</v>
      </c>
      <c r="J9787" s="67">
        <v>40</v>
      </c>
      <c r="K9787" s="62">
        <v>400</v>
      </c>
      <c r="L9787" s="33" t="e">
        <f>HLOOKUP(B9787,#REF!,1,0)</f>
        <v>#REF!</v>
      </c>
      <c r="M9787" s="33" t="str">
        <f t="shared" si="611"/>
        <v>P&amp;L</v>
      </c>
    </row>
    <row r="9788" spans="1:13">
      <c r="A9788" s="33" t="str">
        <f t="shared" si="608"/>
        <v>SCL - Operating Expense</v>
      </c>
      <c r="B9788" s="33" t="str">
        <f t="shared" si="609"/>
        <v>SCL</v>
      </c>
      <c r="C9788" s="33" t="str">
        <f t="shared" si="610"/>
        <v>66001-7366</v>
      </c>
      <c r="D9788" s="64" t="s">
        <v>11039</v>
      </c>
      <c r="E9788" s="64" t="s">
        <v>3220</v>
      </c>
      <c r="F9788" s="64" t="s">
        <v>15</v>
      </c>
      <c r="G9788" s="64" t="s">
        <v>3044</v>
      </c>
      <c r="H9788" s="64" t="s">
        <v>3022</v>
      </c>
      <c r="I9788" s="64" t="s">
        <v>3221</v>
      </c>
      <c r="J9788" s="67">
        <v>0</v>
      </c>
      <c r="K9788" s="62">
        <v>180</v>
      </c>
      <c r="L9788" s="33" t="e">
        <f>HLOOKUP(B9788,#REF!,1,0)</f>
        <v>#REF!</v>
      </c>
      <c r="M9788" s="33" t="str">
        <f t="shared" si="611"/>
        <v>P&amp;L</v>
      </c>
    </row>
    <row r="9789" spans="1:13">
      <c r="A9789" s="33" t="str">
        <f t="shared" si="608"/>
        <v>SCL - Operating Expense</v>
      </c>
      <c r="B9789" s="33" t="str">
        <f t="shared" si="609"/>
        <v>SCL</v>
      </c>
      <c r="C9789" s="33" t="str">
        <f t="shared" si="610"/>
        <v>66001-7368</v>
      </c>
      <c r="D9789" s="64" t="s">
        <v>11040</v>
      </c>
      <c r="E9789" s="64" t="s">
        <v>3220</v>
      </c>
      <c r="F9789" s="64" t="s">
        <v>15</v>
      </c>
      <c r="G9789" s="64" t="s">
        <v>3044</v>
      </c>
      <c r="H9789" s="64" t="s">
        <v>3022</v>
      </c>
      <c r="I9789" s="64" t="s">
        <v>3221</v>
      </c>
      <c r="J9789" s="67">
        <v>0</v>
      </c>
      <c r="K9789" s="62">
        <v>166</v>
      </c>
      <c r="L9789" s="33" t="e">
        <f>HLOOKUP(B9789,#REF!,1,0)</f>
        <v>#REF!</v>
      </c>
      <c r="M9789" s="33" t="str">
        <f t="shared" si="611"/>
        <v>P&amp;L</v>
      </c>
    </row>
    <row r="9790" spans="1:13">
      <c r="A9790" s="33" t="str">
        <f t="shared" si="608"/>
        <v>SCL - Operating Expense</v>
      </c>
      <c r="B9790" s="33" t="str">
        <f t="shared" si="609"/>
        <v>SCL</v>
      </c>
      <c r="C9790" s="33" t="str">
        <f t="shared" si="610"/>
        <v>66001-7369</v>
      </c>
      <c r="D9790" s="64" t="s">
        <v>11041</v>
      </c>
      <c r="E9790" s="64" t="s">
        <v>3220</v>
      </c>
      <c r="F9790" s="64" t="s">
        <v>15</v>
      </c>
      <c r="G9790" s="64" t="s">
        <v>3044</v>
      </c>
      <c r="H9790" s="64" t="s">
        <v>3022</v>
      </c>
      <c r="I9790" s="64" t="s">
        <v>3221</v>
      </c>
      <c r="J9790" s="67">
        <v>40</v>
      </c>
      <c r="K9790" s="62">
        <v>260</v>
      </c>
      <c r="L9790" s="33" t="e">
        <f>HLOOKUP(B9790,#REF!,1,0)</f>
        <v>#REF!</v>
      </c>
      <c r="M9790" s="33" t="str">
        <f t="shared" si="611"/>
        <v>P&amp;L</v>
      </c>
    </row>
    <row r="9791" spans="1:13">
      <c r="A9791" s="33" t="str">
        <f t="shared" si="608"/>
        <v>SCL - Operating Expense</v>
      </c>
      <c r="B9791" s="33" t="str">
        <f t="shared" si="609"/>
        <v>SCL</v>
      </c>
      <c r="C9791" s="33" t="str">
        <f t="shared" si="610"/>
        <v>66001-7371</v>
      </c>
      <c r="D9791" s="64" t="s">
        <v>11042</v>
      </c>
      <c r="E9791" s="64" t="s">
        <v>3220</v>
      </c>
      <c r="F9791" s="64" t="s">
        <v>15</v>
      </c>
      <c r="G9791" s="64" t="s">
        <v>3044</v>
      </c>
      <c r="H9791" s="64" t="s">
        <v>3022</v>
      </c>
      <c r="I9791" s="64" t="s">
        <v>3221</v>
      </c>
      <c r="J9791" s="67">
        <v>0</v>
      </c>
      <c r="K9791" s="62">
        <v>166</v>
      </c>
      <c r="L9791" s="33" t="e">
        <f>HLOOKUP(B9791,#REF!,1,0)</f>
        <v>#REF!</v>
      </c>
      <c r="M9791" s="33" t="str">
        <f t="shared" si="611"/>
        <v>P&amp;L</v>
      </c>
    </row>
    <row r="9792" spans="1:13">
      <c r="A9792" s="33" t="str">
        <f t="shared" si="608"/>
        <v>SCL - Operating Expense</v>
      </c>
      <c r="B9792" s="33" t="str">
        <f t="shared" si="609"/>
        <v>SCL</v>
      </c>
      <c r="C9792" s="33" t="str">
        <f t="shared" si="610"/>
        <v>66001-7374</v>
      </c>
      <c r="D9792" s="64" t="s">
        <v>11043</v>
      </c>
      <c r="E9792" s="64" t="s">
        <v>3220</v>
      </c>
      <c r="F9792" s="64" t="s">
        <v>15</v>
      </c>
      <c r="G9792" s="64" t="s">
        <v>3044</v>
      </c>
      <c r="H9792" s="64" t="s">
        <v>3022</v>
      </c>
      <c r="I9792" s="64" t="s">
        <v>3221</v>
      </c>
      <c r="J9792" s="67">
        <v>0</v>
      </c>
      <c r="K9792" s="62">
        <v>166</v>
      </c>
      <c r="L9792" s="33" t="e">
        <f>HLOOKUP(B9792,#REF!,1,0)</f>
        <v>#REF!</v>
      </c>
      <c r="M9792" s="33" t="str">
        <f t="shared" si="611"/>
        <v>P&amp;L</v>
      </c>
    </row>
    <row r="9793" spans="1:13">
      <c r="A9793" s="33" t="str">
        <f t="shared" si="608"/>
        <v>SCL - Operating Expense</v>
      </c>
      <c r="B9793" s="33" t="str">
        <f t="shared" si="609"/>
        <v>SCL</v>
      </c>
      <c r="C9793" s="33" t="str">
        <f t="shared" si="610"/>
        <v>66001-7375</v>
      </c>
      <c r="D9793" s="64" t="s">
        <v>11044</v>
      </c>
      <c r="E9793" s="64" t="s">
        <v>3220</v>
      </c>
      <c r="F9793" s="64" t="s">
        <v>15</v>
      </c>
      <c r="G9793" s="64" t="s">
        <v>3044</v>
      </c>
      <c r="H9793" s="64" t="s">
        <v>3022</v>
      </c>
      <c r="I9793" s="64" t="s">
        <v>3221</v>
      </c>
      <c r="J9793" s="67">
        <v>0</v>
      </c>
      <c r="K9793" s="62">
        <v>166</v>
      </c>
      <c r="L9793" s="33" t="e">
        <f>HLOOKUP(B9793,#REF!,1,0)</f>
        <v>#REF!</v>
      </c>
      <c r="M9793" s="33" t="str">
        <f t="shared" si="611"/>
        <v>P&amp;L</v>
      </c>
    </row>
    <row r="9794" spans="1:13">
      <c r="A9794" s="33" t="str">
        <f t="shared" ref="A9794:A9857" si="612">B9794&amp;" - "&amp;TRIM(H9794)</f>
        <v>SCL - Operating Expense</v>
      </c>
      <c r="B9794" s="33" t="str">
        <f t="shared" ref="B9794:B9857" si="613">LEFT(D9794,3)</f>
        <v>SCL</v>
      </c>
      <c r="C9794" s="33" t="str">
        <f t="shared" ref="C9794:C9857" si="614">RIGHT(D9794,10)</f>
        <v>66001-7376</v>
      </c>
      <c r="D9794" s="64" t="s">
        <v>11045</v>
      </c>
      <c r="E9794" s="64" t="s">
        <v>3220</v>
      </c>
      <c r="F9794" s="64" t="s">
        <v>15</v>
      </c>
      <c r="G9794" s="64" t="s">
        <v>3044</v>
      </c>
      <c r="H9794" s="64" t="s">
        <v>3022</v>
      </c>
      <c r="I9794" s="64" t="s">
        <v>3221</v>
      </c>
      <c r="J9794" s="67">
        <v>0</v>
      </c>
      <c r="K9794" s="62">
        <v>126</v>
      </c>
      <c r="L9794" s="33" t="e">
        <f>HLOOKUP(B9794,#REF!,1,0)</f>
        <v>#REF!</v>
      </c>
      <c r="M9794" s="33" t="str">
        <f t="shared" ref="M9794:M9857" si="615">IF(VALUE(LEFT(C9794,5))&gt;40000,"P&amp;L","BS")</f>
        <v>P&amp;L</v>
      </c>
    </row>
    <row r="9795" spans="1:13">
      <c r="A9795" s="33" t="str">
        <f t="shared" si="612"/>
        <v>SCL - Operating Expense</v>
      </c>
      <c r="B9795" s="33" t="str">
        <f t="shared" si="613"/>
        <v>SCL</v>
      </c>
      <c r="C9795" s="33" t="str">
        <f t="shared" si="614"/>
        <v>66001-7377</v>
      </c>
      <c r="D9795" s="64" t="s">
        <v>11046</v>
      </c>
      <c r="E9795" s="64" t="s">
        <v>3220</v>
      </c>
      <c r="F9795" s="64" t="s">
        <v>15</v>
      </c>
      <c r="G9795" s="64" t="s">
        <v>3044</v>
      </c>
      <c r="H9795" s="64" t="s">
        <v>3022</v>
      </c>
      <c r="I9795" s="64" t="s">
        <v>3221</v>
      </c>
      <c r="J9795" s="67">
        <v>0</v>
      </c>
      <c r="K9795" s="62">
        <v>166</v>
      </c>
      <c r="L9795" s="33" t="e">
        <f>HLOOKUP(B9795,#REF!,1,0)</f>
        <v>#REF!</v>
      </c>
      <c r="M9795" s="33" t="str">
        <f t="shared" si="615"/>
        <v>P&amp;L</v>
      </c>
    </row>
    <row r="9796" spans="1:13">
      <c r="A9796" s="33" t="str">
        <f t="shared" si="612"/>
        <v>SCL - Operating Expense</v>
      </c>
      <c r="B9796" s="33" t="str">
        <f t="shared" si="613"/>
        <v>SCL</v>
      </c>
      <c r="C9796" s="33" t="str">
        <f t="shared" si="614"/>
        <v>66001-7378</v>
      </c>
      <c r="D9796" s="64" t="s">
        <v>11047</v>
      </c>
      <c r="E9796" s="64" t="s">
        <v>3220</v>
      </c>
      <c r="F9796" s="64" t="s">
        <v>15</v>
      </c>
      <c r="G9796" s="64" t="s">
        <v>3044</v>
      </c>
      <c r="H9796" s="64" t="s">
        <v>3022</v>
      </c>
      <c r="I9796" s="64" t="s">
        <v>3221</v>
      </c>
      <c r="J9796" s="67">
        <v>0</v>
      </c>
      <c r="K9796" s="62">
        <v>160</v>
      </c>
      <c r="L9796" s="33" t="e">
        <f>HLOOKUP(B9796,#REF!,1,0)</f>
        <v>#REF!</v>
      </c>
      <c r="M9796" s="33" t="str">
        <f t="shared" si="615"/>
        <v>P&amp;L</v>
      </c>
    </row>
    <row r="9797" spans="1:13">
      <c r="A9797" s="33" t="str">
        <f t="shared" si="612"/>
        <v>SCL - Operating Expense</v>
      </c>
      <c r="B9797" s="33" t="str">
        <f t="shared" si="613"/>
        <v>SCL</v>
      </c>
      <c r="C9797" s="33" t="str">
        <f t="shared" si="614"/>
        <v>66001-7379</v>
      </c>
      <c r="D9797" s="64" t="s">
        <v>11048</v>
      </c>
      <c r="E9797" s="64" t="s">
        <v>3220</v>
      </c>
      <c r="F9797" s="64" t="s">
        <v>15</v>
      </c>
      <c r="G9797" s="64" t="s">
        <v>3044</v>
      </c>
      <c r="H9797" s="64" t="s">
        <v>3022</v>
      </c>
      <c r="I9797" s="64" t="s">
        <v>3221</v>
      </c>
      <c r="J9797" s="67">
        <v>0</v>
      </c>
      <c r="K9797" s="62">
        <v>166</v>
      </c>
      <c r="L9797" s="33" t="e">
        <f>HLOOKUP(B9797,#REF!,1,0)</f>
        <v>#REF!</v>
      </c>
      <c r="M9797" s="33" t="str">
        <f t="shared" si="615"/>
        <v>P&amp;L</v>
      </c>
    </row>
    <row r="9798" spans="1:13">
      <c r="A9798" s="33" t="str">
        <f t="shared" si="612"/>
        <v>SCL - Operating Expense</v>
      </c>
      <c r="B9798" s="33" t="str">
        <f t="shared" si="613"/>
        <v>SCL</v>
      </c>
      <c r="C9798" s="33" t="str">
        <f t="shared" si="614"/>
        <v>66001-7380</v>
      </c>
      <c r="D9798" s="64" t="s">
        <v>11049</v>
      </c>
      <c r="E9798" s="64" t="s">
        <v>3220</v>
      </c>
      <c r="F9798" s="64" t="s">
        <v>15</v>
      </c>
      <c r="G9798" s="64" t="s">
        <v>3044</v>
      </c>
      <c r="H9798" s="64" t="s">
        <v>3022</v>
      </c>
      <c r="I9798" s="64" t="s">
        <v>3221</v>
      </c>
      <c r="J9798" s="67">
        <v>0</v>
      </c>
      <c r="K9798" s="62">
        <v>166</v>
      </c>
      <c r="L9798" s="33" t="e">
        <f>HLOOKUP(B9798,#REF!,1,0)</f>
        <v>#REF!</v>
      </c>
      <c r="M9798" s="33" t="str">
        <f t="shared" si="615"/>
        <v>P&amp;L</v>
      </c>
    </row>
    <row r="9799" spans="1:13">
      <c r="A9799" s="33" t="str">
        <f t="shared" si="612"/>
        <v>SCL - Operating Expense</v>
      </c>
      <c r="B9799" s="33" t="str">
        <f t="shared" si="613"/>
        <v>SCL</v>
      </c>
      <c r="C9799" s="33" t="str">
        <f t="shared" si="614"/>
        <v>66001-7381</v>
      </c>
      <c r="D9799" s="64" t="s">
        <v>11050</v>
      </c>
      <c r="E9799" s="64" t="s">
        <v>3220</v>
      </c>
      <c r="F9799" s="64" t="s">
        <v>15</v>
      </c>
      <c r="G9799" s="64" t="s">
        <v>3044</v>
      </c>
      <c r="H9799" s="64" t="s">
        <v>3022</v>
      </c>
      <c r="I9799" s="64" t="s">
        <v>3221</v>
      </c>
      <c r="J9799" s="67">
        <v>0</v>
      </c>
      <c r="K9799" s="62">
        <v>166</v>
      </c>
      <c r="L9799" s="33" t="e">
        <f>HLOOKUP(B9799,#REF!,1,0)</f>
        <v>#REF!</v>
      </c>
      <c r="M9799" s="33" t="str">
        <f t="shared" si="615"/>
        <v>P&amp;L</v>
      </c>
    </row>
    <row r="9800" spans="1:13">
      <c r="A9800" s="33" t="str">
        <f t="shared" si="612"/>
        <v>SCL - Operating Expense</v>
      </c>
      <c r="B9800" s="33" t="str">
        <f t="shared" si="613"/>
        <v>SCL</v>
      </c>
      <c r="C9800" s="33" t="str">
        <f t="shared" si="614"/>
        <v>66001-7383</v>
      </c>
      <c r="D9800" s="64" t="s">
        <v>11051</v>
      </c>
      <c r="E9800" s="64" t="s">
        <v>3220</v>
      </c>
      <c r="F9800" s="64" t="s">
        <v>15</v>
      </c>
      <c r="G9800" s="64" t="s">
        <v>3044</v>
      </c>
      <c r="H9800" s="64" t="s">
        <v>3022</v>
      </c>
      <c r="I9800" s="64" t="s">
        <v>3221</v>
      </c>
      <c r="J9800" s="67">
        <v>0</v>
      </c>
      <c r="K9800" s="62">
        <v>166</v>
      </c>
      <c r="L9800" s="33" t="e">
        <f>HLOOKUP(B9800,#REF!,1,0)</f>
        <v>#REF!</v>
      </c>
      <c r="M9800" s="33" t="str">
        <f t="shared" si="615"/>
        <v>P&amp;L</v>
      </c>
    </row>
    <row r="9801" spans="1:13">
      <c r="A9801" s="33" t="str">
        <f t="shared" si="612"/>
        <v>SCL - Operating Expense</v>
      </c>
      <c r="B9801" s="33" t="str">
        <f t="shared" si="613"/>
        <v>SCL</v>
      </c>
      <c r="C9801" s="33" t="str">
        <f t="shared" si="614"/>
        <v>66001-7385</v>
      </c>
      <c r="D9801" s="64" t="s">
        <v>11052</v>
      </c>
      <c r="E9801" s="64" t="s">
        <v>3220</v>
      </c>
      <c r="F9801" s="64" t="s">
        <v>15</v>
      </c>
      <c r="G9801" s="64" t="s">
        <v>3044</v>
      </c>
      <c r="H9801" s="64" t="s">
        <v>3022</v>
      </c>
      <c r="I9801" s="64" t="s">
        <v>3221</v>
      </c>
      <c r="J9801" s="67">
        <v>0</v>
      </c>
      <c r="K9801" s="62">
        <v>146</v>
      </c>
      <c r="L9801" s="33" t="e">
        <f>HLOOKUP(B9801,#REF!,1,0)</f>
        <v>#REF!</v>
      </c>
      <c r="M9801" s="33" t="str">
        <f t="shared" si="615"/>
        <v>P&amp;L</v>
      </c>
    </row>
    <row r="9802" spans="1:13">
      <c r="A9802" s="33" t="str">
        <f t="shared" si="612"/>
        <v>SCL - Operating Expense</v>
      </c>
      <c r="B9802" s="33" t="str">
        <f t="shared" si="613"/>
        <v>SCL</v>
      </c>
      <c r="C9802" s="33" t="str">
        <f t="shared" si="614"/>
        <v>66001-7386</v>
      </c>
      <c r="D9802" s="64" t="s">
        <v>11053</v>
      </c>
      <c r="E9802" s="64" t="s">
        <v>3220</v>
      </c>
      <c r="F9802" s="64" t="s">
        <v>15</v>
      </c>
      <c r="G9802" s="64" t="s">
        <v>3044</v>
      </c>
      <c r="H9802" s="64" t="s">
        <v>3022</v>
      </c>
      <c r="I9802" s="64" t="s">
        <v>3221</v>
      </c>
      <c r="J9802" s="67">
        <v>0</v>
      </c>
      <c r="K9802" s="62">
        <v>499.77</v>
      </c>
      <c r="L9802" s="33" t="e">
        <f>HLOOKUP(B9802,#REF!,1,0)</f>
        <v>#REF!</v>
      </c>
      <c r="M9802" s="33" t="str">
        <f t="shared" si="615"/>
        <v>P&amp;L</v>
      </c>
    </row>
    <row r="9803" spans="1:13">
      <c r="A9803" s="33" t="str">
        <f t="shared" si="612"/>
        <v>SCL - Operating Expense</v>
      </c>
      <c r="B9803" s="33" t="str">
        <f t="shared" si="613"/>
        <v>SCL</v>
      </c>
      <c r="C9803" s="33" t="str">
        <f t="shared" si="614"/>
        <v>66001-7387</v>
      </c>
      <c r="D9803" s="64" t="s">
        <v>11054</v>
      </c>
      <c r="E9803" s="64" t="s">
        <v>3220</v>
      </c>
      <c r="F9803" s="64" t="s">
        <v>15</v>
      </c>
      <c r="G9803" s="64" t="s">
        <v>3044</v>
      </c>
      <c r="H9803" s="64" t="s">
        <v>3022</v>
      </c>
      <c r="I9803" s="64" t="s">
        <v>3221</v>
      </c>
      <c r="J9803" s="67">
        <v>0</v>
      </c>
      <c r="K9803" s="62">
        <v>166</v>
      </c>
      <c r="L9803" s="33" t="e">
        <f>HLOOKUP(B9803,#REF!,1,0)</f>
        <v>#REF!</v>
      </c>
      <c r="M9803" s="33" t="str">
        <f t="shared" si="615"/>
        <v>P&amp;L</v>
      </c>
    </row>
    <row r="9804" spans="1:13">
      <c r="A9804" s="33" t="str">
        <f t="shared" si="612"/>
        <v>SCL - Operating Expense</v>
      </c>
      <c r="B9804" s="33" t="str">
        <f t="shared" si="613"/>
        <v>SCL</v>
      </c>
      <c r="C9804" s="33" t="str">
        <f t="shared" si="614"/>
        <v>66001-7389</v>
      </c>
      <c r="D9804" s="64" t="s">
        <v>11055</v>
      </c>
      <c r="E9804" s="64" t="s">
        <v>3220</v>
      </c>
      <c r="F9804" s="64" t="s">
        <v>15</v>
      </c>
      <c r="G9804" s="64" t="s">
        <v>3044</v>
      </c>
      <c r="H9804" s="64" t="s">
        <v>3022</v>
      </c>
      <c r="I9804" s="64" t="s">
        <v>3221</v>
      </c>
      <c r="J9804" s="67">
        <v>0</v>
      </c>
      <c r="K9804" s="62">
        <v>166</v>
      </c>
      <c r="L9804" s="33" t="e">
        <f>HLOOKUP(B9804,#REF!,1,0)</f>
        <v>#REF!</v>
      </c>
      <c r="M9804" s="33" t="str">
        <f t="shared" si="615"/>
        <v>P&amp;L</v>
      </c>
    </row>
    <row r="9805" spans="1:13">
      <c r="A9805" s="33" t="str">
        <f t="shared" si="612"/>
        <v>SCL - Operating Expense</v>
      </c>
      <c r="B9805" s="33" t="str">
        <f t="shared" si="613"/>
        <v>SCL</v>
      </c>
      <c r="C9805" s="33" t="str">
        <f t="shared" si="614"/>
        <v>66001-7391</v>
      </c>
      <c r="D9805" s="64" t="s">
        <v>11056</v>
      </c>
      <c r="E9805" s="64" t="s">
        <v>3220</v>
      </c>
      <c r="F9805" s="64" t="s">
        <v>15</v>
      </c>
      <c r="G9805" s="64" t="s">
        <v>3044</v>
      </c>
      <c r="H9805" s="64" t="s">
        <v>3022</v>
      </c>
      <c r="I9805" s="64" t="s">
        <v>3221</v>
      </c>
      <c r="J9805" s="67">
        <v>0</v>
      </c>
      <c r="K9805" s="62">
        <v>166</v>
      </c>
      <c r="L9805" s="33" t="e">
        <f>HLOOKUP(B9805,#REF!,1,0)</f>
        <v>#REF!</v>
      </c>
      <c r="M9805" s="33" t="str">
        <f t="shared" si="615"/>
        <v>P&amp;L</v>
      </c>
    </row>
    <row r="9806" spans="1:13">
      <c r="A9806" s="33" t="str">
        <f t="shared" si="612"/>
        <v>SCL - Operating Expense</v>
      </c>
      <c r="B9806" s="33" t="str">
        <f t="shared" si="613"/>
        <v>SCL</v>
      </c>
      <c r="C9806" s="33" t="str">
        <f t="shared" si="614"/>
        <v>66001-7393</v>
      </c>
      <c r="D9806" s="64" t="s">
        <v>11057</v>
      </c>
      <c r="E9806" s="64" t="s">
        <v>3220</v>
      </c>
      <c r="F9806" s="64" t="s">
        <v>15</v>
      </c>
      <c r="G9806" s="64" t="s">
        <v>3044</v>
      </c>
      <c r="H9806" s="64" t="s">
        <v>3022</v>
      </c>
      <c r="I9806" s="64" t="s">
        <v>3221</v>
      </c>
      <c r="J9806" s="67">
        <v>113.13</v>
      </c>
      <c r="K9806" s="62">
        <v>532.51</v>
      </c>
      <c r="L9806" s="33" t="e">
        <f>HLOOKUP(B9806,#REF!,1,0)</f>
        <v>#REF!</v>
      </c>
      <c r="M9806" s="33" t="str">
        <f t="shared" si="615"/>
        <v>P&amp;L</v>
      </c>
    </row>
    <row r="9807" spans="1:13">
      <c r="A9807" s="33" t="str">
        <f t="shared" si="612"/>
        <v>SCL - Operating Expense</v>
      </c>
      <c r="B9807" s="33" t="str">
        <f t="shared" si="613"/>
        <v>SCL</v>
      </c>
      <c r="C9807" s="33" t="str">
        <f t="shared" si="614"/>
        <v>66001-7394</v>
      </c>
      <c r="D9807" s="64" t="s">
        <v>11058</v>
      </c>
      <c r="E9807" s="64" t="s">
        <v>3220</v>
      </c>
      <c r="F9807" s="64" t="s">
        <v>15</v>
      </c>
      <c r="G9807" s="64" t="s">
        <v>3044</v>
      </c>
      <c r="H9807" s="64" t="s">
        <v>3022</v>
      </c>
      <c r="I9807" s="64" t="s">
        <v>3221</v>
      </c>
      <c r="J9807" s="67">
        <v>0</v>
      </c>
      <c r="K9807" s="62">
        <v>166</v>
      </c>
      <c r="L9807" s="33" t="e">
        <f>HLOOKUP(B9807,#REF!,1,0)</f>
        <v>#REF!</v>
      </c>
      <c r="M9807" s="33" t="str">
        <f t="shared" si="615"/>
        <v>P&amp;L</v>
      </c>
    </row>
    <row r="9808" spans="1:13">
      <c r="A9808" s="33" t="str">
        <f t="shared" si="612"/>
        <v>SCL - Operating Expense</v>
      </c>
      <c r="B9808" s="33" t="str">
        <f t="shared" si="613"/>
        <v>SCL</v>
      </c>
      <c r="C9808" s="33" t="str">
        <f t="shared" si="614"/>
        <v>66001-7396</v>
      </c>
      <c r="D9808" s="64" t="s">
        <v>11059</v>
      </c>
      <c r="E9808" s="64" t="s">
        <v>3220</v>
      </c>
      <c r="F9808" s="64" t="s">
        <v>15</v>
      </c>
      <c r="G9808" s="64" t="s">
        <v>3044</v>
      </c>
      <c r="H9808" s="64" t="s">
        <v>3022</v>
      </c>
      <c r="I9808" s="64" t="s">
        <v>3221</v>
      </c>
      <c r="J9808" s="67">
        <v>0</v>
      </c>
      <c r="K9808" s="62">
        <v>318.01</v>
      </c>
      <c r="L9808" s="33" t="e">
        <f>HLOOKUP(B9808,#REF!,1,0)</f>
        <v>#REF!</v>
      </c>
      <c r="M9808" s="33" t="str">
        <f t="shared" si="615"/>
        <v>P&amp;L</v>
      </c>
    </row>
    <row r="9809" spans="1:13">
      <c r="A9809" s="33" t="str">
        <f t="shared" si="612"/>
        <v>SCL - Operating Expense</v>
      </c>
      <c r="B9809" s="33" t="str">
        <f t="shared" si="613"/>
        <v>SCL</v>
      </c>
      <c r="C9809" s="33" t="str">
        <f t="shared" si="614"/>
        <v>66001-7397</v>
      </c>
      <c r="D9809" s="64" t="s">
        <v>11060</v>
      </c>
      <c r="E9809" s="64" t="s">
        <v>3220</v>
      </c>
      <c r="F9809" s="64" t="s">
        <v>15</v>
      </c>
      <c r="G9809" s="64" t="s">
        <v>3044</v>
      </c>
      <c r="H9809" s="64" t="s">
        <v>3022</v>
      </c>
      <c r="I9809" s="64" t="s">
        <v>3221</v>
      </c>
      <c r="J9809" s="67">
        <v>0</v>
      </c>
      <c r="K9809" s="62">
        <v>160</v>
      </c>
      <c r="L9809" s="33" t="e">
        <f>HLOOKUP(B9809,#REF!,1,0)</f>
        <v>#REF!</v>
      </c>
      <c r="M9809" s="33" t="str">
        <f t="shared" si="615"/>
        <v>P&amp;L</v>
      </c>
    </row>
    <row r="9810" spans="1:13">
      <c r="A9810" s="33" t="str">
        <f t="shared" si="612"/>
        <v>SCL - Operating Expense</v>
      </c>
      <c r="B9810" s="33" t="str">
        <f t="shared" si="613"/>
        <v>SCL</v>
      </c>
      <c r="C9810" s="33" t="str">
        <f t="shared" si="614"/>
        <v>66001-7398</v>
      </c>
      <c r="D9810" s="64" t="s">
        <v>11061</v>
      </c>
      <c r="E9810" s="64" t="s">
        <v>3220</v>
      </c>
      <c r="F9810" s="64" t="s">
        <v>15</v>
      </c>
      <c r="G9810" s="64" t="s">
        <v>3044</v>
      </c>
      <c r="H9810" s="64" t="s">
        <v>3022</v>
      </c>
      <c r="I9810" s="64" t="s">
        <v>3221</v>
      </c>
      <c r="J9810" s="67">
        <v>0</v>
      </c>
      <c r="K9810" s="62">
        <v>186</v>
      </c>
      <c r="L9810" s="33" t="e">
        <f>HLOOKUP(B9810,#REF!,1,0)</f>
        <v>#REF!</v>
      </c>
      <c r="M9810" s="33" t="str">
        <f t="shared" si="615"/>
        <v>P&amp;L</v>
      </c>
    </row>
    <row r="9811" spans="1:13">
      <c r="A9811" s="33" t="str">
        <f t="shared" si="612"/>
        <v>SCL - Operating Expense</v>
      </c>
      <c r="B9811" s="33" t="str">
        <f t="shared" si="613"/>
        <v>SCL</v>
      </c>
      <c r="C9811" s="33" t="str">
        <f t="shared" si="614"/>
        <v>66001-7400</v>
      </c>
      <c r="D9811" s="64" t="s">
        <v>11062</v>
      </c>
      <c r="E9811" s="64" t="s">
        <v>3220</v>
      </c>
      <c r="F9811" s="64" t="s">
        <v>15</v>
      </c>
      <c r="G9811" s="64" t="s">
        <v>3044</v>
      </c>
      <c r="H9811" s="64" t="s">
        <v>3022</v>
      </c>
      <c r="I9811" s="64" t="s">
        <v>3221</v>
      </c>
      <c r="J9811" s="67">
        <v>0</v>
      </c>
      <c r="K9811" s="62">
        <v>186</v>
      </c>
      <c r="L9811" s="33" t="e">
        <f>HLOOKUP(B9811,#REF!,1,0)</f>
        <v>#REF!</v>
      </c>
      <c r="M9811" s="33" t="str">
        <f t="shared" si="615"/>
        <v>P&amp;L</v>
      </c>
    </row>
    <row r="9812" spans="1:13">
      <c r="A9812" s="33" t="str">
        <f t="shared" si="612"/>
        <v>SCL - Operating Expense</v>
      </c>
      <c r="B9812" s="33" t="str">
        <f t="shared" si="613"/>
        <v>SCL</v>
      </c>
      <c r="C9812" s="33" t="str">
        <f t="shared" si="614"/>
        <v>66001-7401</v>
      </c>
      <c r="D9812" s="64" t="s">
        <v>11063</v>
      </c>
      <c r="E9812" s="64" t="s">
        <v>3220</v>
      </c>
      <c r="F9812" s="64" t="s">
        <v>15</v>
      </c>
      <c r="G9812" s="64" t="s">
        <v>3044</v>
      </c>
      <c r="H9812" s="64" t="s">
        <v>3022</v>
      </c>
      <c r="I9812" s="64" t="s">
        <v>3221</v>
      </c>
      <c r="J9812" s="67">
        <v>0</v>
      </c>
      <c r="K9812" s="62">
        <v>166</v>
      </c>
      <c r="L9812" s="33" t="e">
        <f>HLOOKUP(B9812,#REF!,1,0)</f>
        <v>#REF!</v>
      </c>
      <c r="M9812" s="33" t="str">
        <f t="shared" si="615"/>
        <v>P&amp;L</v>
      </c>
    </row>
    <row r="9813" spans="1:13">
      <c r="A9813" s="33" t="str">
        <f t="shared" si="612"/>
        <v>SCL - Operating Expense</v>
      </c>
      <c r="B9813" s="33" t="str">
        <f t="shared" si="613"/>
        <v>SCL</v>
      </c>
      <c r="C9813" s="33" t="str">
        <f t="shared" si="614"/>
        <v>66001-7403</v>
      </c>
      <c r="D9813" s="64" t="s">
        <v>11064</v>
      </c>
      <c r="E9813" s="64" t="s">
        <v>3220</v>
      </c>
      <c r="F9813" s="64" t="s">
        <v>15</v>
      </c>
      <c r="G9813" s="64" t="s">
        <v>3044</v>
      </c>
      <c r="H9813" s="64" t="s">
        <v>3022</v>
      </c>
      <c r="I9813" s="64" t="s">
        <v>3221</v>
      </c>
      <c r="J9813" s="67">
        <v>0</v>
      </c>
      <c r="K9813" s="62">
        <v>166</v>
      </c>
      <c r="L9813" s="33" t="e">
        <f>HLOOKUP(B9813,#REF!,1,0)</f>
        <v>#REF!</v>
      </c>
      <c r="M9813" s="33" t="str">
        <f t="shared" si="615"/>
        <v>P&amp;L</v>
      </c>
    </row>
    <row r="9814" spans="1:13">
      <c r="A9814" s="33" t="str">
        <f t="shared" si="612"/>
        <v>SCL - Operating Expense</v>
      </c>
      <c r="B9814" s="33" t="str">
        <f t="shared" si="613"/>
        <v>SCL</v>
      </c>
      <c r="C9814" s="33" t="str">
        <f t="shared" si="614"/>
        <v>66001-7489</v>
      </c>
      <c r="D9814" s="64" t="s">
        <v>11065</v>
      </c>
      <c r="E9814" s="64" t="s">
        <v>3220</v>
      </c>
      <c r="F9814" s="64" t="s">
        <v>15</v>
      </c>
      <c r="G9814" s="64" t="s">
        <v>3044</v>
      </c>
      <c r="H9814" s="64" t="s">
        <v>3022</v>
      </c>
      <c r="I9814" s="64" t="s">
        <v>3221</v>
      </c>
      <c r="J9814" s="67">
        <v>0</v>
      </c>
      <c r="K9814" s="62">
        <v>310.5</v>
      </c>
      <c r="L9814" s="33" t="e">
        <f>HLOOKUP(B9814,#REF!,1,0)</f>
        <v>#REF!</v>
      </c>
      <c r="M9814" s="33" t="str">
        <f t="shared" si="615"/>
        <v>P&amp;L</v>
      </c>
    </row>
    <row r="9815" spans="1:13">
      <c r="A9815" s="33" t="str">
        <f t="shared" si="612"/>
        <v>SCL - Operating Expense</v>
      </c>
      <c r="B9815" s="33" t="str">
        <f t="shared" si="613"/>
        <v>SCL</v>
      </c>
      <c r="C9815" s="33" t="str">
        <f t="shared" si="614"/>
        <v>66001-7491</v>
      </c>
      <c r="D9815" s="64" t="s">
        <v>11066</v>
      </c>
      <c r="E9815" s="64" t="s">
        <v>3220</v>
      </c>
      <c r="F9815" s="64" t="s">
        <v>15</v>
      </c>
      <c r="G9815" s="64" t="s">
        <v>3044</v>
      </c>
      <c r="H9815" s="64" t="s">
        <v>3022</v>
      </c>
      <c r="I9815" s="64" t="s">
        <v>3221</v>
      </c>
      <c r="J9815" s="67">
        <v>40</v>
      </c>
      <c r="K9815" s="62">
        <v>420</v>
      </c>
      <c r="L9815" s="33" t="e">
        <f>HLOOKUP(B9815,#REF!,1,0)</f>
        <v>#REF!</v>
      </c>
      <c r="M9815" s="33" t="str">
        <f t="shared" si="615"/>
        <v>P&amp;L</v>
      </c>
    </row>
    <row r="9816" spans="1:13">
      <c r="A9816" s="33" t="str">
        <f t="shared" si="612"/>
        <v>SCL - Operating Expense</v>
      </c>
      <c r="B9816" s="33" t="str">
        <f t="shared" si="613"/>
        <v>SCL</v>
      </c>
      <c r="C9816" s="33" t="str">
        <f t="shared" si="614"/>
        <v>66001-7492</v>
      </c>
      <c r="D9816" s="64" t="s">
        <v>11067</v>
      </c>
      <c r="E9816" s="64" t="s">
        <v>3220</v>
      </c>
      <c r="F9816" s="64" t="s">
        <v>15</v>
      </c>
      <c r="G9816" s="64" t="s">
        <v>3044</v>
      </c>
      <c r="H9816" s="64" t="s">
        <v>3022</v>
      </c>
      <c r="I9816" s="64" t="s">
        <v>3221</v>
      </c>
      <c r="J9816" s="67">
        <v>0</v>
      </c>
      <c r="K9816" s="62">
        <v>166</v>
      </c>
      <c r="L9816" s="33" t="e">
        <f>HLOOKUP(B9816,#REF!,1,0)</f>
        <v>#REF!</v>
      </c>
      <c r="M9816" s="33" t="str">
        <f t="shared" si="615"/>
        <v>P&amp;L</v>
      </c>
    </row>
    <row r="9817" spans="1:13">
      <c r="A9817" s="33" t="str">
        <f t="shared" si="612"/>
        <v>SCL - Operating Expense</v>
      </c>
      <c r="B9817" s="33" t="str">
        <f t="shared" si="613"/>
        <v>SCL</v>
      </c>
      <c r="C9817" s="33" t="str">
        <f t="shared" si="614"/>
        <v>66001-7493</v>
      </c>
      <c r="D9817" s="64" t="s">
        <v>11068</v>
      </c>
      <c r="E9817" s="64" t="s">
        <v>3220</v>
      </c>
      <c r="F9817" s="64" t="s">
        <v>15</v>
      </c>
      <c r="G9817" s="64" t="s">
        <v>3044</v>
      </c>
      <c r="H9817" s="64" t="s">
        <v>3022</v>
      </c>
      <c r="I9817" s="64" t="s">
        <v>3221</v>
      </c>
      <c r="J9817" s="67">
        <v>0</v>
      </c>
      <c r="K9817" s="62">
        <v>166</v>
      </c>
      <c r="L9817" s="33" t="e">
        <f>HLOOKUP(B9817,#REF!,1,0)</f>
        <v>#REF!</v>
      </c>
      <c r="M9817" s="33" t="str">
        <f t="shared" si="615"/>
        <v>P&amp;L</v>
      </c>
    </row>
    <row r="9818" spans="1:13">
      <c r="A9818" s="33" t="str">
        <f t="shared" si="612"/>
        <v>SCL - Operating Expense</v>
      </c>
      <c r="B9818" s="33" t="str">
        <f t="shared" si="613"/>
        <v>SCL</v>
      </c>
      <c r="C9818" s="33" t="str">
        <f t="shared" si="614"/>
        <v>66001-7494</v>
      </c>
      <c r="D9818" s="64" t="s">
        <v>11069</v>
      </c>
      <c r="E9818" s="64" t="s">
        <v>3220</v>
      </c>
      <c r="F9818" s="64" t="s">
        <v>15</v>
      </c>
      <c r="G9818" s="64" t="s">
        <v>3044</v>
      </c>
      <c r="H9818" s="64" t="s">
        <v>3022</v>
      </c>
      <c r="I9818" s="64" t="s">
        <v>3221</v>
      </c>
      <c r="J9818" s="67">
        <v>0</v>
      </c>
      <c r="K9818" s="62">
        <v>166</v>
      </c>
      <c r="L9818" s="33" t="e">
        <f>HLOOKUP(B9818,#REF!,1,0)</f>
        <v>#REF!</v>
      </c>
      <c r="M9818" s="33" t="str">
        <f t="shared" si="615"/>
        <v>P&amp;L</v>
      </c>
    </row>
    <row r="9819" spans="1:13">
      <c r="A9819" s="33" t="str">
        <f t="shared" si="612"/>
        <v>SCL - Operating Expense</v>
      </c>
      <c r="B9819" s="33" t="str">
        <f t="shared" si="613"/>
        <v>SCL</v>
      </c>
      <c r="C9819" s="33" t="str">
        <f t="shared" si="614"/>
        <v>66001-7625</v>
      </c>
      <c r="D9819" s="64" t="s">
        <v>11070</v>
      </c>
      <c r="E9819" s="64" t="s">
        <v>3220</v>
      </c>
      <c r="F9819" s="64" t="s">
        <v>15</v>
      </c>
      <c r="G9819" s="64" t="s">
        <v>3044</v>
      </c>
      <c r="H9819" s="64" t="s">
        <v>3022</v>
      </c>
      <c r="I9819" s="64" t="s">
        <v>3221</v>
      </c>
      <c r="J9819" s="67">
        <v>0</v>
      </c>
      <c r="K9819" s="62">
        <v>166</v>
      </c>
      <c r="L9819" s="33" t="e">
        <f>HLOOKUP(B9819,#REF!,1,0)</f>
        <v>#REF!</v>
      </c>
      <c r="M9819" s="33" t="str">
        <f t="shared" si="615"/>
        <v>P&amp;L</v>
      </c>
    </row>
    <row r="9820" spans="1:13">
      <c r="A9820" s="33" t="str">
        <f t="shared" si="612"/>
        <v>SCL - Operating Expense</v>
      </c>
      <c r="B9820" s="33" t="str">
        <f t="shared" si="613"/>
        <v>SCL</v>
      </c>
      <c r="C9820" s="33" t="str">
        <f t="shared" si="614"/>
        <v>66001-8150</v>
      </c>
      <c r="D9820" s="64" t="s">
        <v>11071</v>
      </c>
      <c r="E9820" s="64" t="s">
        <v>3220</v>
      </c>
      <c r="F9820" s="64" t="s">
        <v>15</v>
      </c>
      <c r="G9820" s="64" t="s">
        <v>3044</v>
      </c>
      <c r="H9820" s="64" t="s">
        <v>3022</v>
      </c>
      <c r="I9820" s="64" t="s">
        <v>3221</v>
      </c>
      <c r="J9820" s="67">
        <v>0</v>
      </c>
      <c r="K9820" s="62">
        <v>696.65</v>
      </c>
      <c r="L9820" s="33" t="e">
        <f>HLOOKUP(B9820,#REF!,1,0)</f>
        <v>#REF!</v>
      </c>
      <c r="M9820" s="33" t="str">
        <f t="shared" si="615"/>
        <v>P&amp;L</v>
      </c>
    </row>
    <row r="9821" spans="1:13">
      <c r="A9821" s="33" t="str">
        <f t="shared" si="612"/>
        <v>SCL - Operating Expense</v>
      </c>
      <c r="B9821" s="33" t="str">
        <f t="shared" si="613"/>
        <v>SCL</v>
      </c>
      <c r="C9821" s="33" t="str">
        <f t="shared" si="614"/>
        <v>66002-7389</v>
      </c>
      <c r="D9821" s="64" t="s">
        <v>11072</v>
      </c>
      <c r="E9821" s="64" t="s">
        <v>3226</v>
      </c>
      <c r="F9821" s="64" t="s">
        <v>15</v>
      </c>
      <c r="G9821" s="64" t="s">
        <v>3044</v>
      </c>
      <c r="H9821" s="64" t="s">
        <v>3022</v>
      </c>
      <c r="I9821" s="64" t="s">
        <v>3221</v>
      </c>
      <c r="J9821" s="67">
        <v>3.82</v>
      </c>
      <c r="K9821" s="62">
        <v>3.82</v>
      </c>
      <c r="L9821" s="33" t="e">
        <f>HLOOKUP(B9821,#REF!,1,0)</f>
        <v>#REF!</v>
      </c>
      <c r="M9821" s="33" t="str">
        <f t="shared" si="615"/>
        <v>P&amp;L</v>
      </c>
    </row>
    <row r="9822" spans="1:13">
      <c r="A9822" s="33" t="str">
        <f t="shared" si="612"/>
        <v>SCL - Operating Expense</v>
      </c>
      <c r="B9822" s="33" t="str">
        <f t="shared" si="613"/>
        <v>SCL</v>
      </c>
      <c r="C9822" s="33" t="str">
        <f t="shared" si="614"/>
        <v>66002-7397</v>
      </c>
      <c r="D9822" s="64" t="s">
        <v>11073</v>
      </c>
      <c r="E9822" s="64" t="s">
        <v>3226</v>
      </c>
      <c r="F9822" s="64" t="s">
        <v>15</v>
      </c>
      <c r="G9822" s="64" t="s">
        <v>3044</v>
      </c>
      <c r="H9822" s="64" t="s">
        <v>3022</v>
      </c>
      <c r="I9822" s="64" t="s">
        <v>3221</v>
      </c>
      <c r="J9822" s="67">
        <v>0</v>
      </c>
      <c r="K9822" s="62">
        <v>60.1</v>
      </c>
      <c r="L9822" s="33" t="e">
        <f>HLOOKUP(B9822,#REF!,1,0)</f>
        <v>#REF!</v>
      </c>
      <c r="M9822" s="33" t="str">
        <f t="shared" si="615"/>
        <v>P&amp;L</v>
      </c>
    </row>
    <row r="9823" spans="1:13">
      <c r="A9823" s="33" t="str">
        <f t="shared" si="612"/>
        <v>SCL - Operating Expense</v>
      </c>
      <c r="B9823" s="33" t="str">
        <f t="shared" si="613"/>
        <v>SCL</v>
      </c>
      <c r="C9823" s="33" t="str">
        <f t="shared" si="614"/>
        <v>66501-7351</v>
      </c>
      <c r="D9823" s="64" t="s">
        <v>11074</v>
      </c>
      <c r="E9823" s="64" t="s">
        <v>3231</v>
      </c>
      <c r="F9823" s="64" t="s">
        <v>15</v>
      </c>
      <c r="G9823" s="64" t="s">
        <v>2889</v>
      </c>
      <c r="H9823" s="64" t="s">
        <v>3022</v>
      </c>
      <c r="I9823" s="64" t="s">
        <v>2915</v>
      </c>
      <c r="J9823" s="67">
        <v>189.19</v>
      </c>
      <c r="K9823" s="62">
        <v>2020.37</v>
      </c>
      <c r="L9823" s="33" t="e">
        <f>HLOOKUP(B9823,#REF!,1,0)</f>
        <v>#REF!</v>
      </c>
      <c r="M9823" s="33" t="str">
        <f t="shared" si="615"/>
        <v>P&amp;L</v>
      </c>
    </row>
    <row r="9824" spans="1:13">
      <c r="A9824" s="33" t="str">
        <f t="shared" si="612"/>
        <v>SCL - Operating Expense</v>
      </c>
      <c r="B9824" s="33" t="str">
        <f t="shared" si="613"/>
        <v>SCL</v>
      </c>
      <c r="C9824" s="33" t="str">
        <f t="shared" si="614"/>
        <v>66501-7352</v>
      </c>
      <c r="D9824" s="64" t="s">
        <v>11075</v>
      </c>
      <c r="E9824" s="64" t="s">
        <v>3231</v>
      </c>
      <c r="F9824" s="64" t="s">
        <v>15</v>
      </c>
      <c r="G9824" s="64" t="s">
        <v>2889</v>
      </c>
      <c r="H9824" s="64" t="s">
        <v>3022</v>
      </c>
      <c r="I9824" s="64" t="s">
        <v>2915</v>
      </c>
      <c r="J9824" s="67">
        <v>367.12</v>
      </c>
      <c r="K9824" s="62">
        <v>1867.71</v>
      </c>
      <c r="L9824" s="33" t="e">
        <f>HLOOKUP(B9824,#REF!,1,0)</f>
        <v>#REF!</v>
      </c>
      <c r="M9824" s="33" t="str">
        <f t="shared" si="615"/>
        <v>P&amp;L</v>
      </c>
    </row>
    <row r="9825" spans="1:13">
      <c r="A9825" s="33" t="str">
        <f t="shared" si="612"/>
        <v>SCL - Operating Expense</v>
      </c>
      <c r="B9825" s="33" t="str">
        <f t="shared" si="613"/>
        <v>SCL</v>
      </c>
      <c r="C9825" s="33" t="str">
        <f t="shared" si="614"/>
        <v>66501-7355</v>
      </c>
      <c r="D9825" s="64" t="s">
        <v>11076</v>
      </c>
      <c r="E9825" s="64" t="s">
        <v>3231</v>
      </c>
      <c r="F9825" s="64" t="s">
        <v>15</v>
      </c>
      <c r="G9825" s="64" t="s">
        <v>2889</v>
      </c>
      <c r="H9825" s="64" t="s">
        <v>3022</v>
      </c>
      <c r="I9825" s="64" t="s">
        <v>2915</v>
      </c>
      <c r="J9825" s="67">
        <v>356.44</v>
      </c>
      <c r="K9825" s="62">
        <v>3731.08</v>
      </c>
      <c r="L9825" s="33" t="e">
        <f>HLOOKUP(B9825,#REF!,1,0)</f>
        <v>#REF!</v>
      </c>
      <c r="M9825" s="33" t="str">
        <f t="shared" si="615"/>
        <v>P&amp;L</v>
      </c>
    </row>
    <row r="9826" spans="1:13">
      <c r="A9826" s="33" t="str">
        <f t="shared" si="612"/>
        <v>SCL - Operating Expense</v>
      </c>
      <c r="B9826" s="33" t="str">
        <f t="shared" si="613"/>
        <v>SCL</v>
      </c>
      <c r="C9826" s="33" t="str">
        <f t="shared" si="614"/>
        <v>66501-7356</v>
      </c>
      <c r="D9826" s="64" t="s">
        <v>11077</v>
      </c>
      <c r="E9826" s="64" t="s">
        <v>3231</v>
      </c>
      <c r="F9826" s="64" t="s">
        <v>15</v>
      </c>
      <c r="G9826" s="64" t="s">
        <v>2889</v>
      </c>
      <c r="H9826" s="64" t="s">
        <v>3022</v>
      </c>
      <c r="I9826" s="64" t="s">
        <v>2915</v>
      </c>
      <c r="J9826" s="67">
        <v>0</v>
      </c>
      <c r="K9826" s="62">
        <v>225.48</v>
      </c>
      <c r="L9826" s="33" t="e">
        <f>HLOOKUP(B9826,#REF!,1,0)</f>
        <v>#REF!</v>
      </c>
      <c r="M9826" s="33" t="str">
        <f t="shared" si="615"/>
        <v>P&amp;L</v>
      </c>
    </row>
    <row r="9827" spans="1:13">
      <c r="A9827" s="33" t="str">
        <f t="shared" si="612"/>
        <v>SCL - Operating Expense</v>
      </c>
      <c r="B9827" s="33" t="str">
        <f t="shared" si="613"/>
        <v>SCL</v>
      </c>
      <c r="C9827" s="33" t="str">
        <f t="shared" si="614"/>
        <v>66501-7359</v>
      </c>
      <c r="D9827" s="64" t="s">
        <v>11078</v>
      </c>
      <c r="E9827" s="64" t="s">
        <v>3231</v>
      </c>
      <c r="F9827" s="64" t="s">
        <v>15</v>
      </c>
      <c r="G9827" s="64" t="s">
        <v>2889</v>
      </c>
      <c r="H9827" s="64" t="s">
        <v>3022</v>
      </c>
      <c r="I9827" s="64" t="s">
        <v>2915</v>
      </c>
      <c r="J9827" s="67">
        <v>161.54</v>
      </c>
      <c r="K9827" s="62">
        <v>2492.68</v>
      </c>
      <c r="L9827" s="33" t="e">
        <f>HLOOKUP(B9827,#REF!,1,0)</f>
        <v>#REF!</v>
      </c>
      <c r="M9827" s="33" t="str">
        <f t="shared" si="615"/>
        <v>P&amp;L</v>
      </c>
    </row>
    <row r="9828" spans="1:13">
      <c r="A9828" s="33" t="str">
        <f t="shared" si="612"/>
        <v>SCL - Operating Expense</v>
      </c>
      <c r="B9828" s="33" t="str">
        <f t="shared" si="613"/>
        <v>SCL</v>
      </c>
      <c r="C9828" s="33" t="str">
        <f t="shared" si="614"/>
        <v>66501-7360</v>
      </c>
      <c r="D9828" s="64" t="s">
        <v>11079</v>
      </c>
      <c r="E9828" s="64" t="s">
        <v>3231</v>
      </c>
      <c r="F9828" s="64" t="s">
        <v>15</v>
      </c>
      <c r="G9828" s="64" t="s">
        <v>2889</v>
      </c>
      <c r="H9828" s="64" t="s">
        <v>3022</v>
      </c>
      <c r="I9828" s="64" t="s">
        <v>2915</v>
      </c>
      <c r="J9828" s="67">
        <v>529.74</v>
      </c>
      <c r="K9828" s="62">
        <v>2728.17</v>
      </c>
      <c r="L9828" s="33" t="e">
        <f>HLOOKUP(B9828,#REF!,1,0)</f>
        <v>#REF!</v>
      </c>
      <c r="M9828" s="33" t="str">
        <f t="shared" si="615"/>
        <v>P&amp;L</v>
      </c>
    </row>
    <row r="9829" spans="1:13">
      <c r="A9829" s="33" t="str">
        <f t="shared" si="612"/>
        <v>SCL - Operating Expense</v>
      </c>
      <c r="B9829" s="33" t="str">
        <f t="shared" si="613"/>
        <v>SCL</v>
      </c>
      <c r="C9829" s="33" t="str">
        <f t="shared" si="614"/>
        <v>66501-7361</v>
      </c>
      <c r="D9829" s="64" t="s">
        <v>11080</v>
      </c>
      <c r="E9829" s="64" t="s">
        <v>3231</v>
      </c>
      <c r="F9829" s="64" t="s">
        <v>15</v>
      </c>
      <c r="G9829" s="64" t="s">
        <v>2889</v>
      </c>
      <c r="H9829" s="64" t="s">
        <v>3022</v>
      </c>
      <c r="I9829" s="64" t="s">
        <v>2915</v>
      </c>
      <c r="J9829" s="67">
        <v>322.46</v>
      </c>
      <c r="K9829" s="62">
        <v>3931.6</v>
      </c>
      <c r="L9829" s="33" t="e">
        <f>HLOOKUP(B9829,#REF!,1,0)</f>
        <v>#REF!</v>
      </c>
      <c r="M9829" s="33" t="str">
        <f t="shared" si="615"/>
        <v>P&amp;L</v>
      </c>
    </row>
    <row r="9830" spans="1:13">
      <c r="A9830" s="33" t="str">
        <f t="shared" si="612"/>
        <v>SCL - Operating Expense</v>
      </c>
      <c r="B9830" s="33" t="str">
        <f t="shared" si="613"/>
        <v>SCL</v>
      </c>
      <c r="C9830" s="33" t="str">
        <f t="shared" si="614"/>
        <v>66501-7362</v>
      </c>
      <c r="D9830" s="64" t="s">
        <v>11081</v>
      </c>
      <c r="E9830" s="64" t="s">
        <v>3231</v>
      </c>
      <c r="F9830" s="64" t="s">
        <v>15</v>
      </c>
      <c r="G9830" s="64" t="s">
        <v>2889</v>
      </c>
      <c r="H9830" s="64" t="s">
        <v>3022</v>
      </c>
      <c r="I9830" s="64" t="s">
        <v>2915</v>
      </c>
      <c r="J9830" s="67">
        <v>344.91</v>
      </c>
      <c r="K9830" s="62">
        <v>1574.97</v>
      </c>
      <c r="L9830" s="33" t="e">
        <f>HLOOKUP(B9830,#REF!,1,0)</f>
        <v>#REF!</v>
      </c>
      <c r="M9830" s="33" t="str">
        <f t="shared" si="615"/>
        <v>P&amp;L</v>
      </c>
    </row>
    <row r="9831" spans="1:13">
      <c r="A9831" s="33" t="str">
        <f t="shared" si="612"/>
        <v>SCL - Operating Expense</v>
      </c>
      <c r="B9831" s="33" t="str">
        <f t="shared" si="613"/>
        <v>SCL</v>
      </c>
      <c r="C9831" s="33" t="str">
        <f t="shared" si="614"/>
        <v>66501-7363</v>
      </c>
      <c r="D9831" s="64" t="s">
        <v>11082</v>
      </c>
      <c r="E9831" s="64" t="s">
        <v>3231</v>
      </c>
      <c r="F9831" s="64" t="s">
        <v>15</v>
      </c>
      <c r="G9831" s="64" t="s">
        <v>2889</v>
      </c>
      <c r="H9831" s="64" t="s">
        <v>3022</v>
      </c>
      <c r="I9831" s="64" t="s">
        <v>2915</v>
      </c>
      <c r="J9831" s="67">
        <v>316.17</v>
      </c>
      <c r="K9831" s="62">
        <v>2691.16</v>
      </c>
      <c r="L9831" s="33" t="e">
        <f>HLOOKUP(B9831,#REF!,1,0)</f>
        <v>#REF!</v>
      </c>
      <c r="M9831" s="33" t="str">
        <f t="shared" si="615"/>
        <v>P&amp;L</v>
      </c>
    </row>
    <row r="9832" spans="1:13">
      <c r="A9832" s="33" t="str">
        <f t="shared" si="612"/>
        <v>SCL - Operating Expense</v>
      </c>
      <c r="B9832" s="33" t="str">
        <f t="shared" si="613"/>
        <v>SCL</v>
      </c>
      <c r="C9832" s="33" t="str">
        <f t="shared" si="614"/>
        <v>66501-7364</v>
      </c>
      <c r="D9832" s="64" t="s">
        <v>11083</v>
      </c>
      <c r="E9832" s="64" t="s">
        <v>3231</v>
      </c>
      <c r="F9832" s="64" t="s">
        <v>15</v>
      </c>
      <c r="G9832" s="64" t="s">
        <v>2889</v>
      </c>
      <c r="H9832" s="64" t="s">
        <v>3022</v>
      </c>
      <c r="I9832" s="64" t="s">
        <v>2915</v>
      </c>
      <c r="J9832" s="67">
        <v>91.45</v>
      </c>
      <c r="K9832" s="62">
        <v>885.6</v>
      </c>
      <c r="L9832" s="33" t="e">
        <f>HLOOKUP(B9832,#REF!,1,0)</f>
        <v>#REF!</v>
      </c>
      <c r="M9832" s="33" t="str">
        <f t="shared" si="615"/>
        <v>P&amp;L</v>
      </c>
    </row>
    <row r="9833" spans="1:13">
      <c r="A9833" s="33" t="str">
        <f t="shared" si="612"/>
        <v>SCL - Operating Expense</v>
      </c>
      <c r="B9833" s="33" t="str">
        <f t="shared" si="613"/>
        <v>SCL</v>
      </c>
      <c r="C9833" s="33" t="str">
        <f t="shared" si="614"/>
        <v>66501-7365</v>
      </c>
      <c r="D9833" s="64" t="s">
        <v>11084</v>
      </c>
      <c r="E9833" s="64" t="s">
        <v>3231</v>
      </c>
      <c r="F9833" s="64" t="s">
        <v>15</v>
      </c>
      <c r="G9833" s="64" t="s">
        <v>2889</v>
      </c>
      <c r="H9833" s="64" t="s">
        <v>3022</v>
      </c>
      <c r="I9833" s="64" t="s">
        <v>2915</v>
      </c>
      <c r="J9833" s="67">
        <v>173.31</v>
      </c>
      <c r="K9833" s="62">
        <v>1167.99</v>
      </c>
      <c r="L9833" s="33" t="e">
        <f>HLOOKUP(B9833,#REF!,1,0)</f>
        <v>#REF!</v>
      </c>
      <c r="M9833" s="33" t="str">
        <f t="shared" si="615"/>
        <v>P&amp;L</v>
      </c>
    </row>
    <row r="9834" spans="1:13">
      <c r="A9834" s="33" t="str">
        <f t="shared" si="612"/>
        <v>SCL - Operating Expense</v>
      </c>
      <c r="B9834" s="33" t="str">
        <f t="shared" si="613"/>
        <v>SCL</v>
      </c>
      <c r="C9834" s="33" t="str">
        <f t="shared" si="614"/>
        <v>66501-7366</v>
      </c>
      <c r="D9834" s="64" t="s">
        <v>11085</v>
      </c>
      <c r="E9834" s="64" t="s">
        <v>3231</v>
      </c>
      <c r="F9834" s="64" t="s">
        <v>15</v>
      </c>
      <c r="G9834" s="64" t="s">
        <v>2889</v>
      </c>
      <c r="H9834" s="64" t="s">
        <v>3022</v>
      </c>
      <c r="I9834" s="64" t="s">
        <v>2915</v>
      </c>
      <c r="J9834" s="67">
        <v>282.54</v>
      </c>
      <c r="K9834" s="62">
        <v>3835.44</v>
      </c>
      <c r="L9834" s="33" t="e">
        <f>HLOOKUP(B9834,#REF!,1,0)</f>
        <v>#REF!</v>
      </c>
      <c r="M9834" s="33" t="str">
        <f t="shared" si="615"/>
        <v>P&amp;L</v>
      </c>
    </row>
    <row r="9835" spans="1:13">
      <c r="A9835" s="33" t="str">
        <f t="shared" si="612"/>
        <v>SCL - Operating Expense</v>
      </c>
      <c r="B9835" s="33" t="str">
        <f t="shared" si="613"/>
        <v>SCL</v>
      </c>
      <c r="C9835" s="33" t="str">
        <f t="shared" si="614"/>
        <v>66501-7368</v>
      </c>
      <c r="D9835" s="64" t="s">
        <v>11086</v>
      </c>
      <c r="E9835" s="64" t="s">
        <v>3231</v>
      </c>
      <c r="F9835" s="64" t="s">
        <v>15</v>
      </c>
      <c r="G9835" s="64" t="s">
        <v>2889</v>
      </c>
      <c r="H9835" s="64" t="s">
        <v>3022</v>
      </c>
      <c r="I9835" s="64" t="s">
        <v>2915</v>
      </c>
      <c r="J9835" s="67">
        <v>407.11</v>
      </c>
      <c r="K9835" s="62">
        <v>2630.21</v>
      </c>
      <c r="L9835" s="33" t="e">
        <f>HLOOKUP(B9835,#REF!,1,0)</f>
        <v>#REF!</v>
      </c>
      <c r="M9835" s="33" t="str">
        <f t="shared" si="615"/>
        <v>P&amp;L</v>
      </c>
    </row>
    <row r="9836" spans="1:13">
      <c r="A9836" s="33" t="str">
        <f t="shared" si="612"/>
        <v>SCL - Operating Expense</v>
      </c>
      <c r="B9836" s="33" t="str">
        <f t="shared" si="613"/>
        <v>SCL</v>
      </c>
      <c r="C9836" s="33" t="str">
        <f t="shared" si="614"/>
        <v>66501-7369</v>
      </c>
      <c r="D9836" s="64" t="s">
        <v>11087</v>
      </c>
      <c r="E9836" s="64" t="s">
        <v>3231</v>
      </c>
      <c r="F9836" s="64" t="s">
        <v>15</v>
      </c>
      <c r="G9836" s="64" t="s">
        <v>2889</v>
      </c>
      <c r="H9836" s="64" t="s">
        <v>3022</v>
      </c>
      <c r="I9836" s="64" t="s">
        <v>2915</v>
      </c>
      <c r="J9836" s="67">
        <v>199.87</v>
      </c>
      <c r="K9836" s="62">
        <v>2112.64</v>
      </c>
      <c r="L9836" s="33" t="e">
        <f>HLOOKUP(B9836,#REF!,1,0)</f>
        <v>#REF!</v>
      </c>
      <c r="M9836" s="33" t="str">
        <f t="shared" si="615"/>
        <v>P&amp;L</v>
      </c>
    </row>
    <row r="9837" spans="1:13">
      <c r="A9837" s="33" t="str">
        <f t="shared" si="612"/>
        <v>SCL - Operating Expense</v>
      </c>
      <c r="B9837" s="33" t="str">
        <f t="shared" si="613"/>
        <v>SCL</v>
      </c>
      <c r="C9837" s="33" t="str">
        <f t="shared" si="614"/>
        <v>66501-7371</v>
      </c>
      <c r="D9837" s="64" t="s">
        <v>11088</v>
      </c>
      <c r="E9837" s="64" t="s">
        <v>3231</v>
      </c>
      <c r="F9837" s="64" t="s">
        <v>15</v>
      </c>
      <c r="G9837" s="64" t="s">
        <v>2889</v>
      </c>
      <c r="H9837" s="64" t="s">
        <v>3022</v>
      </c>
      <c r="I9837" s="64" t="s">
        <v>2915</v>
      </c>
      <c r="J9837" s="67">
        <v>311.78</v>
      </c>
      <c r="K9837" s="62">
        <v>3026.32</v>
      </c>
      <c r="L9837" s="33" t="e">
        <f>HLOOKUP(B9837,#REF!,1,0)</f>
        <v>#REF!</v>
      </c>
      <c r="M9837" s="33" t="str">
        <f t="shared" si="615"/>
        <v>P&amp;L</v>
      </c>
    </row>
    <row r="9838" spans="1:13">
      <c r="A9838" s="33" t="str">
        <f t="shared" si="612"/>
        <v>SCL - Operating Expense</v>
      </c>
      <c r="B9838" s="33" t="str">
        <f t="shared" si="613"/>
        <v>SCL</v>
      </c>
      <c r="C9838" s="33" t="str">
        <f t="shared" si="614"/>
        <v>66501-7374</v>
      </c>
      <c r="D9838" s="64" t="s">
        <v>11089</v>
      </c>
      <c r="E9838" s="64" t="s">
        <v>3231</v>
      </c>
      <c r="F9838" s="64" t="s">
        <v>15</v>
      </c>
      <c r="G9838" s="64" t="s">
        <v>2889</v>
      </c>
      <c r="H9838" s="64" t="s">
        <v>3022</v>
      </c>
      <c r="I9838" s="64" t="s">
        <v>2915</v>
      </c>
      <c r="J9838" s="67">
        <v>445.48</v>
      </c>
      <c r="K9838" s="62">
        <v>3373.54</v>
      </c>
      <c r="L9838" s="33" t="e">
        <f>HLOOKUP(B9838,#REF!,1,0)</f>
        <v>#REF!</v>
      </c>
      <c r="M9838" s="33" t="str">
        <f t="shared" si="615"/>
        <v>P&amp;L</v>
      </c>
    </row>
    <row r="9839" spans="1:13">
      <c r="A9839" s="33" t="str">
        <f t="shared" si="612"/>
        <v>SCL - Operating Expense</v>
      </c>
      <c r="B9839" s="33" t="str">
        <f t="shared" si="613"/>
        <v>SCL</v>
      </c>
      <c r="C9839" s="33" t="str">
        <f t="shared" si="614"/>
        <v>66501-7375</v>
      </c>
      <c r="D9839" s="64" t="s">
        <v>11090</v>
      </c>
      <c r="E9839" s="64" t="s">
        <v>3231</v>
      </c>
      <c r="F9839" s="64" t="s">
        <v>15</v>
      </c>
      <c r="G9839" s="64" t="s">
        <v>2889</v>
      </c>
      <c r="H9839" s="64" t="s">
        <v>3022</v>
      </c>
      <c r="I9839" s="64" t="s">
        <v>2915</v>
      </c>
      <c r="J9839" s="67">
        <v>225.34</v>
      </c>
      <c r="K9839" s="62">
        <v>1519.77</v>
      </c>
      <c r="L9839" s="33" t="e">
        <f>HLOOKUP(B9839,#REF!,1,0)</f>
        <v>#REF!</v>
      </c>
      <c r="M9839" s="33" t="str">
        <f t="shared" si="615"/>
        <v>P&amp;L</v>
      </c>
    </row>
    <row r="9840" spans="1:13">
      <c r="A9840" s="33" t="str">
        <f t="shared" si="612"/>
        <v>SCL - Operating Expense</v>
      </c>
      <c r="B9840" s="33" t="str">
        <f t="shared" si="613"/>
        <v>SCL</v>
      </c>
      <c r="C9840" s="33" t="str">
        <f t="shared" si="614"/>
        <v>66501-7376</v>
      </c>
      <c r="D9840" s="64" t="s">
        <v>11091</v>
      </c>
      <c r="E9840" s="64" t="s">
        <v>3231</v>
      </c>
      <c r="F9840" s="64" t="s">
        <v>15</v>
      </c>
      <c r="G9840" s="64" t="s">
        <v>2889</v>
      </c>
      <c r="H9840" s="64" t="s">
        <v>3022</v>
      </c>
      <c r="I9840" s="64" t="s">
        <v>2915</v>
      </c>
      <c r="J9840" s="67">
        <v>990.15</v>
      </c>
      <c r="K9840" s="62">
        <v>9870.95</v>
      </c>
      <c r="L9840" s="33" t="e">
        <f>HLOOKUP(B9840,#REF!,1,0)</f>
        <v>#REF!</v>
      </c>
      <c r="M9840" s="33" t="str">
        <f t="shared" si="615"/>
        <v>P&amp;L</v>
      </c>
    </row>
    <row r="9841" spans="1:13">
      <c r="A9841" s="33" t="str">
        <f t="shared" si="612"/>
        <v>SCL - Operating Expense</v>
      </c>
      <c r="B9841" s="33" t="str">
        <f t="shared" si="613"/>
        <v>SCL</v>
      </c>
      <c r="C9841" s="33" t="str">
        <f t="shared" si="614"/>
        <v>66501-7377</v>
      </c>
      <c r="D9841" s="64" t="s">
        <v>11092</v>
      </c>
      <c r="E9841" s="64" t="s">
        <v>3231</v>
      </c>
      <c r="F9841" s="64" t="s">
        <v>15</v>
      </c>
      <c r="G9841" s="64" t="s">
        <v>2889</v>
      </c>
      <c r="H9841" s="64" t="s">
        <v>3022</v>
      </c>
      <c r="I9841" s="64" t="s">
        <v>2915</v>
      </c>
      <c r="J9841" s="67">
        <v>329.06</v>
      </c>
      <c r="K9841" s="62">
        <v>3251.55</v>
      </c>
      <c r="L9841" s="33" t="e">
        <f>HLOOKUP(B9841,#REF!,1,0)</f>
        <v>#REF!</v>
      </c>
      <c r="M9841" s="33" t="str">
        <f t="shared" si="615"/>
        <v>P&amp;L</v>
      </c>
    </row>
    <row r="9842" spans="1:13">
      <c r="A9842" s="33" t="str">
        <f t="shared" si="612"/>
        <v>SCL - Operating Expense</v>
      </c>
      <c r="B9842" s="33" t="str">
        <f t="shared" si="613"/>
        <v>SCL</v>
      </c>
      <c r="C9842" s="33" t="str">
        <f t="shared" si="614"/>
        <v>66501-7378</v>
      </c>
      <c r="D9842" s="64" t="s">
        <v>11093</v>
      </c>
      <c r="E9842" s="64" t="s">
        <v>3231</v>
      </c>
      <c r="F9842" s="64" t="s">
        <v>15</v>
      </c>
      <c r="G9842" s="64" t="s">
        <v>2889</v>
      </c>
      <c r="H9842" s="64" t="s">
        <v>3022</v>
      </c>
      <c r="I9842" s="64" t="s">
        <v>2915</v>
      </c>
      <c r="J9842" s="67">
        <v>441.65</v>
      </c>
      <c r="K9842" s="62">
        <v>3644.83</v>
      </c>
      <c r="L9842" s="33" t="e">
        <f>HLOOKUP(B9842,#REF!,1,0)</f>
        <v>#REF!</v>
      </c>
      <c r="M9842" s="33" t="str">
        <f t="shared" si="615"/>
        <v>P&amp;L</v>
      </c>
    </row>
    <row r="9843" spans="1:13">
      <c r="A9843" s="33" t="str">
        <f t="shared" si="612"/>
        <v>SCL - Operating Expense</v>
      </c>
      <c r="B9843" s="33" t="str">
        <f t="shared" si="613"/>
        <v>SCL</v>
      </c>
      <c r="C9843" s="33" t="str">
        <f t="shared" si="614"/>
        <v>66501-7379</v>
      </c>
      <c r="D9843" s="64" t="s">
        <v>11094</v>
      </c>
      <c r="E9843" s="64" t="s">
        <v>3231</v>
      </c>
      <c r="F9843" s="64" t="s">
        <v>15</v>
      </c>
      <c r="G9843" s="64" t="s">
        <v>2889</v>
      </c>
      <c r="H9843" s="64" t="s">
        <v>3022</v>
      </c>
      <c r="I9843" s="64" t="s">
        <v>2915</v>
      </c>
      <c r="J9843" s="67">
        <v>403.27</v>
      </c>
      <c r="K9843" s="62">
        <v>2756.39</v>
      </c>
      <c r="L9843" s="33" t="e">
        <f>HLOOKUP(B9843,#REF!,1,0)</f>
        <v>#REF!</v>
      </c>
      <c r="M9843" s="33" t="str">
        <f t="shared" si="615"/>
        <v>P&amp;L</v>
      </c>
    </row>
    <row r="9844" spans="1:13">
      <c r="A9844" s="33" t="str">
        <f t="shared" si="612"/>
        <v>SCL - Operating Expense</v>
      </c>
      <c r="B9844" s="33" t="str">
        <f t="shared" si="613"/>
        <v>SCL</v>
      </c>
      <c r="C9844" s="33" t="str">
        <f t="shared" si="614"/>
        <v>66501-7380</v>
      </c>
      <c r="D9844" s="64" t="s">
        <v>11095</v>
      </c>
      <c r="E9844" s="64" t="s">
        <v>3231</v>
      </c>
      <c r="F9844" s="64" t="s">
        <v>15</v>
      </c>
      <c r="G9844" s="64" t="s">
        <v>2889</v>
      </c>
      <c r="H9844" s="64" t="s">
        <v>3022</v>
      </c>
      <c r="I9844" s="64" t="s">
        <v>2915</v>
      </c>
      <c r="J9844" s="67">
        <v>161.54</v>
      </c>
      <c r="K9844" s="62">
        <v>1876.93</v>
      </c>
      <c r="L9844" s="33" t="e">
        <f>HLOOKUP(B9844,#REF!,1,0)</f>
        <v>#REF!</v>
      </c>
      <c r="M9844" s="33" t="str">
        <f t="shared" si="615"/>
        <v>P&amp;L</v>
      </c>
    </row>
    <row r="9845" spans="1:13">
      <c r="A9845" s="33" t="str">
        <f t="shared" si="612"/>
        <v>SCL - Operating Expense</v>
      </c>
      <c r="B9845" s="33" t="str">
        <f t="shared" si="613"/>
        <v>SCL</v>
      </c>
      <c r="C9845" s="33" t="str">
        <f t="shared" si="614"/>
        <v>66501-7381</v>
      </c>
      <c r="D9845" s="64" t="s">
        <v>11096</v>
      </c>
      <c r="E9845" s="64" t="s">
        <v>3231</v>
      </c>
      <c r="F9845" s="64" t="s">
        <v>15</v>
      </c>
      <c r="G9845" s="64" t="s">
        <v>2889</v>
      </c>
      <c r="H9845" s="64" t="s">
        <v>3022</v>
      </c>
      <c r="I9845" s="64" t="s">
        <v>2915</v>
      </c>
      <c r="J9845" s="67">
        <v>884.31</v>
      </c>
      <c r="K9845" s="62">
        <v>6295.75</v>
      </c>
      <c r="L9845" s="33" t="e">
        <f>HLOOKUP(B9845,#REF!,1,0)</f>
        <v>#REF!</v>
      </c>
      <c r="M9845" s="33" t="str">
        <f t="shared" si="615"/>
        <v>P&amp;L</v>
      </c>
    </row>
    <row r="9846" spans="1:13">
      <c r="A9846" s="33" t="str">
        <f t="shared" si="612"/>
        <v>SCL - Operating Expense</v>
      </c>
      <c r="B9846" s="33" t="str">
        <f t="shared" si="613"/>
        <v>SCL</v>
      </c>
      <c r="C9846" s="33" t="str">
        <f t="shared" si="614"/>
        <v>66501-7383</v>
      </c>
      <c r="D9846" s="64" t="s">
        <v>11097</v>
      </c>
      <c r="E9846" s="64" t="s">
        <v>3231</v>
      </c>
      <c r="F9846" s="64" t="s">
        <v>15</v>
      </c>
      <c r="G9846" s="64" t="s">
        <v>2889</v>
      </c>
      <c r="H9846" s="64" t="s">
        <v>3022</v>
      </c>
      <c r="I9846" s="64" t="s">
        <v>2915</v>
      </c>
      <c r="J9846" s="67">
        <v>316.17</v>
      </c>
      <c r="K9846" s="62">
        <v>4218.76</v>
      </c>
      <c r="L9846" s="33" t="e">
        <f>HLOOKUP(B9846,#REF!,1,0)</f>
        <v>#REF!</v>
      </c>
      <c r="M9846" s="33" t="str">
        <f t="shared" si="615"/>
        <v>P&amp;L</v>
      </c>
    </row>
    <row r="9847" spans="1:13">
      <c r="A9847" s="33" t="str">
        <f t="shared" si="612"/>
        <v>SCL - Operating Expense</v>
      </c>
      <c r="B9847" s="33" t="str">
        <f t="shared" si="613"/>
        <v>SCL</v>
      </c>
      <c r="C9847" s="33" t="str">
        <f t="shared" si="614"/>
        <v>66501-7385</v>
      </c>
      <c r="D9847" s="64" t="s">
        <v>11098</v>
      </c>
      <c r="E9847" s="64" t="s">
        <v>3231</v>
      </c>
      <c r="F9847" s="64" t="s">
        <v>15</v>
      </c>
      <c r="G9847" s="64" t="s">
        <v>2889</v>
      </c>
      <c r="H9847" s="64" t="s">
        <v>3022</v>
      </c>
      <c r="I9847" s="64" t="s">
        <v>2915</v>
      </c>
      <c r="J9847" s="67">
        <v>141.27</v>
      </c>
      <c r="K9847" s="62">
        <v>2430.53</v>
      </c>
      <c r="L9847" s="33" t="e">
        <f>HLOOKUP(B9847,#REF!,1,0)</f>
        <v>#REF!</v>
      </c>
      <c r="M9847" s="33" t="str">
        <f t="shared" si="615"/>
        <v>P&amp;L</v>
      </c>
    </row>
    <row r="9848" spans="1:13">
      <c r="A9848" s="33" t="str">
        <f t="shared" si="612"/>
        <v>SCL - Operating Expense</v>
      </c>
      <c r="B9848" s="33" t="str">
        <f t="shared" si="613"/>
        <v>SCL</v>
      </c>
      <c r="C9848" s="33" t="str">
        <f t="shared" si="614"/>
        <v>66501-7386</v>
      </c>
      <c r="D9848" s="64" t="s">
        <v>11099</v>
      </c>
      <c r="E9848" s="64" t="s">
        <v>3231</v>
      </c>
      <c r="F9848" s="64" t="s">
        <v>15</v>
      </c>
      <c r="G9848" s="64" t="s">
        <v>2889</v>
      </c>
      <c r="H9848" s="64" t="s">
        <v>3022</v>
      </c>
      <c r="I9848" s="64" t="s">
        <v>2915</v>
      </c>
      <c r="J9848" s="67">
        <v>198.78</v>
      </c>
      <c r="K9848" s="62">
        <v>2886.71</v>
      </c>
      <c r="L9848" s="33" t="e">
        <f>HLOOKUP(B9848,#REF!,1,0)</f>
        <v>#REF!</v>
      </c>
      <c r="M9848" s="33" t="str">
        <f t="shared" si="615"/>
        <v>P&amp;L</v>
      </c>
    </row>
    <row r="9849" spans="1:13">
      <c r="A9849" s="33" t="str">
        <f t="shared" si="612"/>
        <v>SCL - Operating Expense</v>
      </c>
      <c r="B9849" s="33" t="str">
        <f t="shared" si="613"/>
        <v>SCL</v>
      </c>
      <c r="C9849" s="33" t="str">
        <f t="shared" si="614"/>
        <v>66501-7387</v>
      </c>
      <c r="D9849" s="64" t="s">
        <v>11100</v>
      </c>
      <c r="E9849" s="64" t="s">
        <v>3231</v>
      </c>
      <c r="F9849" s="64" t="s">
        <v>15</v>
      </c>
      <c r="G9849" s="64" t="s">
        <v>2889</v>
      </c>
      <c r="H9849" s="64" t="s">
        <v>3022</v>
      </c>
      <c r="I9849" s="64" t="s">
        <v>2915</v>
      </c>
      <c r="J9849" s="67">
        <v>473.82</v>
      </c>
      <c r="K9849" s="62">
        <v>4142.98</v>
      </c>
      <c r="L9849" s="33" t="e">
        <f>HLOOKUP(B9849,#REF!,1,0)</f>
        <v>#REF!</v>
      </c>
      <c r="M9849" s="33" t="str">
        <f t="shared" si="615"/>
        <v>P&amp;L</v>
      </c>
    </row>
    <row r="9850" spans="1:13">
      <c r="A9850" s="33" t="str">
        <f t="shared" si="612"/>
        <v>SCL - Operating Expense</v>
      </c>
      <c r="B9850" s="33" t="str">
        <f t="shared" si="613"/>
        <v>SCL</v>
      </c>
      <c r="C9850" s="33" t="str">
        <f t="shared" si="614"/>
        <v>66501-7389</v>
      </c>
      <c r="D9850" s="64" t="s">
        <v>11101</v>
      </c>
      <c r="E9850" s="64" t="s">
        <v>3231</v>
      </c>
      <c r="F9850" s="64" t="s">
        <v>15</v>
      </c>
      <c r="G9850" s="64" t="s">
        <v>2889</v>
      </c>
      <c r="H9850" s="64" t="s">
        <v>3022</v>
      </c>
      <c r="I9850" s="64" t="s">
        <v>2915</v>
      </c>
      <c r="J9850" s="67">
        <v>588.3</v>
      </c>
      <c r="K9850" s="62">
        <v>5028.09</v>
      </c>
      <c r="L9850" s="33" t="e">
        <f>HLOOKUP(B9850,#REF!,1,0)</f>
        <v>#REF!</v>
      </c>
      <c r="M9850" s="33" t="str">
        <f t="shared" si="615"/>
        <v>P&amp;L</v>
      </c>
    </row>
    <row r="9851" spans="1:13">
      <c r="A9851" s="33" t="str">
        <f t="shared" si="612"/>
        <v>SCL - Operating Expense</v>
      </c>
      <c r="B9851" s="33" t="str">
        <f t="shared" si="613"/>
        <v>SCL</v>
      </c>
      <c r="C9851" s="33" t="str">
        <f t="shared" si="614"/>
        <v>66501-7391</v>
      </c>
      <c r="D9851" s="64" t="s">
        <v>11102</v>
      </c>
      <c r="E9851" s="64" t="s">
        <v>3231</v>
      </c>
      <c r="F9851" s="64" t="s">
        <v>15</v>
      </c>
      <c r="G9851" s="64" t="s">
        <v>2889</v>
      </c>
      <c r="H9851" s="64" t="s">
        <v>3022</v>
      </c>
      <c r="I9851" s="64" t="s">
        <v>2915</v>
      </c>
      <c r="J9851" s="67">
        <v>643.21</v>
      </c>
      <c r="K9851" s="62">
        <v>5419.87</v>
      </c>
      <c r="L9851" s="33" t="e">
        <f>HLOOKUP(B9851,#REF!,1,0)</f>
        <v>#REF!</v>
      </c>
      <c r="M9851" s="33" t="str">
        <f t="shared" si="615"/>
        <v>P&amp;L</v>
      </c>
    </row>
    <row r="9852" spans="1:13">
      <c r="A9852" s="33" t="str">
        <f t="shared" si="612"/>
        <v>SCL - Operating Expense</v>
      </c>
      <c r="B9852" s="33" t="str">
        <f t="shared" si="613"/>
        <v>SCL</v>
      </c>
      <c r="C9852" s="33" t="str">
        <f t="shared" si="614"/>
        <v>66501-7393</v>
      </c>
      <c r="D9852" s="64" t="s">
        <v>11103</v>
      </c>
      <c r="E9852" s="64" t="s">
        <v>3231</v>
      </c>
      <c r="F9852" s="64" t="s">
        <v>15</v>
      </c>
      <c r="G9852" s="64" t="s">
        <v>2889</v>
      </c>
      <c r="H9852" s="64" t="s">
        <v>3022</v>
      </c>
      <c r="I9852" s="64" t="s">
        <v>2915</v>
      </c>
      <c r="J9852" s="67">
        <v>299.2</v>
      </c>
      <c r="K9852" s="62">
        <v>3587.16</v>
      </c>
      <c r="L9852" s="33" t="e">
        <f>HLOOKUP(B9852,#REF!,1,0)</f>
        <v>#REF!</v>
      </c>
      <c r="M9852" s="33" t="str">
        <f t="shared" si="615"/>
        <v>P&amp;L</v>
      </c>
    </row>
    <row r="9853" spans="1:13">
      <c r="A9853" s="33" t="str">
        <f t="shared" si="612"/>
        <v>SCL - Operating Expense</v>
      </c>
      <c r="B9853" s="33" t="str">
        <f t="shared" si="613"/>
        <v>SCL</v>
      </c>
      <c r="C9853" s="33" t="str">
        <f t="shared" si="614"/>
        <v>66501-7394</v>
      </c>
      <c r="D9853" s="64" t="s">
        <v>11104</v>
      </c>
      <c r="E9853" s="64" t="s">
        <v>3231</v>
      </c>
      <c r="F9853" s="64" t="s">
        <v>15</v>
      </c>
      <c r="G9853" s="64" t="s">
        <v>2889</v>
      </c>
      <c r="H9853" s="64" t="s">
        <v>3022</v>
      </c>
      <c r="I9853" s="64" t="s">
        <v>2915</v>
      </c>
      <c r="J9853" s="67">
        <v>189.19</v>
      </c>
      <c r="K9853" s="62">
        <v>2701.34</v>
      </c>
      <c r="L9853" s="33" t="e">
        <f>HLOOKUP(B9853,#REF!,1,0)</f>
        <v>#REF!</v>
      </c>
      <c r="M9853" s="33" t="str">
        <f t="shared" si="615"/>
        <v>P&amp;L</v>
      </c>
    </row>
    <row r="9854" spans="1:13">
      <c r="A9854" s="33" t="str">
        <f t="shared" si="612"/>
        <v>SCL - Operating Expense</v>
      </c>
      <c r="B9854" s="33" t="str">
        <f t="shared" si="613"/>
        <v>SCL</v>
      </c>
      <c r="C9854" s="33" t="str">
        <f t="shared" si="614"/>
        <v>66501-7396</v>
      </c>
      <c r="D9854" s="64" t="s">
        <v>11105</v>
      </c>
      <c r="E9854" s="64" t="s">
        <v>3231</v>
      </c>
      <c r="F9854" s="64" t="s">
        <v>15</v>
      </c>
      <c r="G9854" s="64" t="s">
        <v>2889</v>
      </c>
      <c r="H9854" s="64" t="s">
        <v>3022</v>
      </c>
      <c r="I9854" s="64" t="s">
        <v>2915</v>
      </c>
      <c r="J9854" s="67">
        <v>178.51</v>
      </c>
      <c r="K9854" s="62">
        <v>2536.01</v>
      </c>
      <c r="L9854" s="33" t="e">
        <f>HLOOKUP(B9854,#REF!,1,0)</f>
        <v>#REF!</v>
      </c>
      <c r="M9854" s="33" t="str">
        <f t="shared" si="615"/>
        <v>P&amp;L</v>
      </c>
    </row>
    <row r="9855" spans="1:13">
      <c r="A9855" s="33" t="str">
        <f t="shared" si="612"/>
        <v>SCL - Operating Expense</v>
      </c>
      <c r="B9855" s="33" t="str">
        <f t="shared" si="613"/>
        <v>SCL</v>
      </c>
      <c r="C9855" s="33" t="str">
        <f t="shared" si="614"/>
        <v>66501-7397</v>
      </c>
      <c r="D9855" s="64" t="s">
        <v>11106</v>
      </c>
      <c r="E9855" s="64" t="s">
        <v>3231</v>
      </c>
      <c r="F9855" s="64" t="s">
        <v>15</v>
      </c>
      <c r="G9855" s="64" t="s">
        <v>2889</v>
      </c>
      <c r="H9855" s="64" t="s">
        <v>3022</v>
      </c>
      <c r="I9855" s="64" t="s">
        <v>2915</v>
      </c>
      <c r="J9855" s="67">
        <v>339.43</v>
      </c>
      <c r="K9855" s="62">
        <v>2815.08</v>
      </c>
      <c r="L9855" s="33" t="e">
        <f>HLOOKUP(B9855,#REF!,1,0)</f>
        <v>#REF!</v>
      </c>
      <c r="M9855" s="33" t="str">
        <f t="shared" si="615"/>
        <v>P&amp;L</v>
      </c>
    </row>
    <row r="9856" spans="1:13">
      <c r="A9856" s="33" t="str">
        <f t="shared" si="612"/>
        <v>SCL - Operating Expense</v>
      </c>
      <c r="B9856" s="33" t="str">
        <f t="shared" si="613"/>
        <v>SCL</v>
      </c>
      <c r="C9856" s="33" t="str">
        <f t="shared" si="614"/>
        <v>66501-7398</v>
      </c>
      <c r="D9856" s="64" t="s">
        <v>11107</v>
      </c>
      <c r="E9856" s="64" t="s">
        <v>3231</v>
      </c>
      <c r="F9856" s="64" t="s">
        <v>15</v>
      </c>
      <c r="G9856" s="64" t="s">
        <v>2889</v>
      </c>
      <c r="H9856" s="64" t="s">
        <v>3022</v>
      </c>
      <c r="I9856" s="64" t="s">
        <v>2915</v>
      </c>
      <c r="J9856" s="67">
        <v>199.87</v>
      </c>
      <c r="K9856" s="62">
        <v>2155.65</v>
      </c>
      <c r="L9856" s="33" t="e">
        <f>HLOOKUP(B9856,#REF!,1,0)</f>
        <v>#REF!</v>
      </c>
      <c r="M9856" s="33" t="str">
        <f t="shared" si="615"/>
        <v>P&amp;L</v>
      </c>
    </row>
    <row r="9857" spans="1:13">
      <c r="A9857" s="33" t="str">
        <f t="shared" si="612"/>
        <v>SCL - Operating Expense</v>
      </c>
      <c r="B9857" s="33" t="str">
        <f t="shared" si="613"/>
        <v>SCL</v>
      </c>
      <c r="C9857" s="33" t="str">
        <f t="shared" si="614"/>
        <v>66501-7400</v>
      </c>
      <c r="D9857" s="64" t="s">
        <v>11108</v>
      </c>
      <c r="E9857" s="64" t="s">
        <v>3231</v>
      </c>
      <c r="F9857" s="64" t="s">
        <v>15</v>
      </c>
      <c r="G9857" s="64" t="s">
        <v>2889</v>
      </c>
      <c r="H9857" s="64" t="s">
        <v>3022</v>
      </c>
      <c r="I9857" s="64" t="s">
        <v>2915</v>
      </c>
      <c r="J9857" s="67">
        <v>216.84</v>
      </c>
      <c r="K9857" s="62">
        <v>1974.82</v>
      </c>
      <c r="L9857" s="33" t="e">
        <f>HLOOKUP(B9857,#REF!,1,0)</f>
        <v>#REF!</v>
      </c>
      <c r="M9857" s="33" t="str">
        <f t="shared" si="615"/>
        <v>P&amp;L</v>
      </c>
    </row>
    <row r="9858" spans="1:13">
      <c r="A9858" s="33" t="str">
        <f t="shared" ref="A9858:A9921" si="616">B9858&amp;" - "&amp;TRIM(H9858)</f>
        <v>SCL - Operating Expense</v>
      </c>
      <c r="B9858" s="33" t="str">
        <f t="shared" ref="B9858:B9921" si="617">LEFT(D9858,3)</f>
        <v>SCL</v>
      </c>
      <c r="C9858" s="33" t="str">
        <f t="shared" ref="C9858:C9921" si="618">RIGHT(D9858,10)</f>
        <v>66501-7401</v>
      </c>
      <c r="D9858" s="64" t="s">
        <v>11109</v>
      </c>
      <c r="E9858" s="64" t="s">
        <v>3231</v>
      </c>
      <c r="F9858" s="64" t="s">
        <v>15</v>
      </c>
      <c r="G9858" s="64" t="s">
        <v>2889</v>
      </c>
      <c r="H9858" s="64" t="s">
        <v>3022</v>
      </c>
      <c r="I9858" s="64" t="s">
        <v>2915</v>
      </c>
      <c r="J9858" s="67">
        <v>162.63</v>
      </c>
      <c r="K9858" s="62">
        <v>2341.67</v>
      </c>
      <c r="L9858" s="33" t="e">
        <f>HLOOKUP(B9858,#REF!,1,0)</f>
        <v>#REF!</v>
      </c>
      <c r="M9858" s="33" t="str">
        <f t="shared" ref="M9858:M9921" si="619">IF(VALUE(LEFT(C9858,5))&gt;40000,"P&amp;L","BS")</f>
        <v>P&amp;L</v>
      </c>
    </row>
    <row r="9859" spans="1:13">
      <c r="A9859" s="33" t="str">
        <f t="shared" si="616"/>
        <v>SCL - Operating Expense</v>
      </c>
      <c r="B9859" s="33" t="str">
        <f t="shared" si="617"/>
        <v>SCL</v>
      </c>
      <c r="C9859" s="33" t="str">
        <f t="shared" si="618"/>
        <v>66501-7402</v>
      </c>
      <c r="D9859" s="64" t="s">
        <v>11110</v>
      </c>
      <c r="E9859" s="64" t="s">
        <v>3231</v>
      </c>
      <c r="F9859" s="64" t="s">
        <v>15</v>
      </c>
      <c r="G9859" s="64" t="s">
        <v>2889</v>
      </c>
      <c r="H9859" s="64" t="s">
        <v>3022</v>
      </c>
      <c r="I9859" s="64" t="s">
        <v>2915</v>
      </c>
      <c r="J9859" s="67">
        <v>315.08</v>
      </c>
      <c r="K9859" s="62">
        <v>2386.41</v>
      </c>
      <c r="L9859" s="33" t="e">
        <f>HLOOKUP(B9859,#REF!,1,0)</f>
        <v>#REF!</v>
      </c>
      <c r="M9859" s="33" t="str">
        <f t="shared" si="619"/>
        <v>P&amp;L</v>
      </c>
    </row>
    <row r="9860" spans="1:13">
      <c r="A9860" s="33" t="str">
        <f t="shared" si="616"/>
        <v>SCL - Operating Expense</v>
      </c>
      <c r="B9860" s="33" t="str">
        <f t="shared" si="617"/>
        <v>SCL</v>
      </c>
      <c r="C9860" s="33" t="str">
        <f t="shared" si="618"/>
        <v>66501-7403</v>
      </c>
      <c r="D9860" s="64" t="s">
        <v>11111</v>
      </c>
      <c r="E9860" s="64" t="s">
        <v>3231</v>
      </c>
      <c r="F9860" s="64" t="s">
        <v>15</v>
      </c>
      <c r="G9860" s="64" t="s">
        <v>2889</v>
      </c>
      <c r="H9860" s="64" t="s">
        <v>3022</v>
      </c>
      <c r="I9860" s="64" t="s">
        <v>2915</v>
      </c>
      <c r="J9860" s="67">
        <v>261.96</v>
      </c>
      <c r="K9860" s="62">
        <v>1540.56</v>
      </c>
      <c r="L9860" s="33" t="e">
        <f>HLOOKUP(B9860,#REF!,1,0)</f>
        <v>#REF!</v>
      </c>
      <c r="M9860" s="33" t="str">
        <f t="shared" si="619"/>
        <v>P&amp;L</v>
      </c>
    </row>
    <row r="9861" spans="1:13">
      <c r="A9861" s="33" t="str">
        <f t="shared" si="616"/>
        <v>SCL - Operating Expense</v>
      </c>
      <c r="B9861" s="33" t="str">
        <f t="shared" si="617"/>
        <v>SCL</v>
      </c>
      <c r="C9861" s="33" t="str">
        <f t="shared" si="618"/>
        <v>66501-7489</v>
      </c>
      <c r="D9861" s="64" t="s">
        <v>11112</v>
      </c>
      <c r="E9861" s="64" t="s">
        <v>3231</v>
      </c>
      <c r="F9861" s="64" t="s">
        <v>15</v>
      </c>
      <c r="G9861" s="64" t="s">
        <v>2889</v>
      </c>
      <c r="H9861" s="64" t="s">
        <v>3022</v>
      </c>
      <c r="I9861" s="64" t="s">
        <v>2915</v>
      </c>
      <c r="J9861" s="67">
        <v>792.17</v>
      </c>
      <c r="K9861" s="62">
        <v>3911.32</v>
      </c>
      <c r="L9861" s="33" t="e">
        <f>HLOOKUP(B9861,#REF!,1,0)</f>
        <v>#REF!</v>
      </c>
      <c r="M9861" s="33" t="str">
        <f t="shared" si="619"/>
        <v>P&amp;L</v>
      </c>
    </row>
    <row r="9862" spans="1:13">
      <c r="A9862" s="33" t="str">
        <f t="shared" si="616"/>
        <v>SCL - Operating Expense</v>
      </c>
      <c r="B9862" s="33" t="str">
        <f t="shared" si="617"/>
        <v>SCL</v>
      </c>
      <c r="C9862" s="33" t="str">
        <f t="shared" si="618"/>
        <v>66501-7491</v>
      </c>
      <c r="D9862" s="64" t="s">
        <v>11113</v>
      </c>
      <c r="E9862" s="64" t="s">
        <v>3231</v>
      </c>
      <c r="F9862" s="64" t="s">
        <v>15</v>
      </c>
      <c r="G9862" s="64" t="s">
        <v>2889</v>
      </c>
      <c r="H9862" s="64" t="s">
        <v>3022</v>
      </c>
      <c r="I9862" s="64" t="s">
        <v>2915</v>
      </c>
      <c r="J9862" s="67">
        <v>325.76</v>
      </c>
      <c r="K9862" s="62">
        <v>2322.34</v>
      </c>
      <c r="L9862" s="33" t="e">
        <f>HLOOKUP(B9862,#REF!,1,0)</f>
        <v>#REF!</v>
      </c>
      <c r="M9862" s="33" t="str">
        <f t="shared" si="619"/>
        <v>P&amp;L</v>
      </c>
    </row>
    <row r="9863" spans="1:13">
      <c r="A9863" s="33" t="str">
        <f t="shared" si="616"/>
        <v>SCL - Operating Expense</v>
      </c>
      <c r="B9863" s="33" t="str">
        <f t="shared" si="617"/>
        <v>SCL</v>
      </c>
      <c r="C9863" s="33" t="str">
        <f t="shared" si="618"/>
        <v>66501-7492</v>
      </c>
      <c r="D9863" s="64" t="s">
        <v>11114</v>
      </c>
      <c r="E9863" s="64" t="s">
        <v>3231</v>
      </c>
      <c r="F9863" s="64" t="s">
        <v>15</v>
      </c>
      <c r="G9863" s="64" t="s">
        <v>2889</v>
      </c>
      <c r="H9863" s="64" t="s">
        <v>3022</v>
      </c>
      <c r="I9863" s="64" t="s">
        <v>2915</v>
      </c>
      <c r="J9863" s="67">
        <v>209.46</v>
      </c>
      <c r="K9863" s="62">
        <v>1421.48</v>
      </c>
      <c r="L9863" s="33" t="e">
        <f>HLOOKUP(B9863,#REF!,1,0)</f>
        <v>#REF!</v>
      </c>
      <c r="M9863" s="33" t="str">
        <f t="shared" si="619"/>
        <v>P&amp;L</v>
      </c>
    </row>
    <row r="9864" spans="1:13">
      <c r="A9864" s="33" t="str">
        <f t="shared" si="616"/>
        <v>SCL - Operating Expense</v>
      </c>
      <c r="B9864" s="33" t="str">
        <f t="shared" si="617"/>
        <v>SCL</v>
      </c>
      <c r="C9864" s="33" t="str">
        <f t="shared" si="618"/>
        <v>66501-7493</v>
      </c>
      <c r="D9864" s="64" t="s">
        <v>11115</v>
      </c>
      <c r="E9864" s="64" t="s">
        <v>3231</v>
      </c>
      <c r="F9864" s="64" t="s">
        <v>15</v>
      </c>
      <c r="G9864" s="64" t="s">
        <v>2889</v>
      </c>
      <c r="H9864" s="64" t="s">
        <v>3022</v>
      </c>
      <c r="I9864" s="64" t="s">
        <v>2915</v>
      </c>
      <c r="J9864" s="67">
        <v>421.29</v>
      </c>
      <c r="K9864" s="62">
        <v>2707.97</v>
      </c>
      <c r="L9864" s="33" t="e">
        <f>HLOOKUP(B9864,#REF!,1,0)</f>
        <v>#REF!</v>
      </c>
      <c r="M9864" s="33" t="str">
        <f t="shared" si="619"/>
        <v>P&amp;L</v>
      </c>
    </row>
    <row r="9865" spans="1:13">
      <c r="A9865" s="33" t="str">
        <f t="shared" si="616"/>
        <v>SCL - Operating Expense</v>
      </c>
      <c r="B9865" s="33" t="str">
        <f t="shared" si="617"/>
        <v>SCL</v>
      </c>
      <c r="C9865" s="33" t="str">
        <f t="shared" si="618"/>
        <v>66501-7494</v>
      </c>
      <c r="D9865" s="64" t="s">
        <v>11116</v>
      </c>
      <c r="E9865" s="64" t="s">
        <v>3231</v>
      </c>
      <c r="F9865" s="64" t="s">
        <v>15</v>
      </c>
      <c r="G9865" s="64" t="s">
        <v>2889</v>
      </c>
      <c r="H9865" s="64" t="s">
        <v>3022</v>
      </c>
      <c r="I9865" s="64" t="s">
        <v>2915</v>
      </c>
      <c r="J9865" s="67">
        <v>271.04</v>
      </c>
      <c r="K9865" s="62">
        <v>3961.75</v>
      </c>
      <c r="L9865" s="33" t="e">
        <f>HLOOKUP(B9865,#REF!,1,0)</f>
        <v>#REF!</v>
      </c>
      <c r="M9865" s="33" t="str">
        <f t="shared" si="619"/>
        <v>P&amp;L</v>
      </c>
    </row>
    <row r="9866" spans="1:13">
      <c r="A9866" s="33" t="str">
        <f t="shared" si="616"/>
        <v>SCL - Operating Expense</v>
      </c>
      <c r="B9866" s="33" t="str">
        <f t="shared" si="617"/>
        <v>SCL</v>
      </c>
      <c r="C9866" s="33" t="str">
        <f t="shared" si="618"/>
        <v>66501-7625</v>
      </c>
      <c r="D9866" s="64" t="s">
        <v>11117</v>
      </c>
      <c r="E9866" s="64" t="s">
        <v>3231</v>
      </c>
      <c r="F9866" s="64" t="s">
        <v>15</v>
      </c>
      <c r="G9866" s="64" t="s">
        <v>2889</v>
      </c>
      <c r="H9866" s="64" t="s">
        <v>3022</v>
      </c>
      <c r="I9866" s="64" t="s">
        <v>2915</v>
      </c>
      <c r="J9866" s="67">
        <v>443.54</v>
      </c>
      <c r="K9866" s="62">
        <v>3757.69</v>
      </c>
      <c r="L9866" s="33" t="e">
        <f>HLOOKUP(B9866,#REF!,1,0)</f>
        <v>#REF!</v>
      </c>
      <c r="M9866" s="33" t="str">
        <f t="shared" si="619"/>
        <v>P&amp;L</v>
      </c>
    </row>
    <row r="9867" spans="1:13">
      <c r="A9867" s="33" t="str">
        <f t="shared" si="616"/>
        <v>SCL - Operating Expense</v>
      </c>
      <c r="B9867" s="33" t="str">
        <f t="shared" si="617"/>
        <v>SCL</v>
      </c>
      <c r="C9867" s="33" t="str">
        <f t="shared" si="618"/>
        <v>66501-8150</v>
      </c>
      <c r="D9867" s="64" t="s">
        <v>11118</v>
      </c>
      <c r="E9867" s="64" t="s">
        <v>3231</v>
      </c>
      <c r="F9867" s="64" t="s">
        <v>15</v>
      </c>
      <c r="G9867" s="64" t="s">
        <v>2889</v>
      </c>
      <c r="H9867" s="64" t="s">
        <v>3022</v>
      </c>
      <c r="I9867" s="64" t="s">
        <v>2915</v>
      </c>
      <c r="J9867" s="67">
        <v>193.58</v>
      </c>
      <c r="K9867" s="62">
        <v>2780.6</v>
      </c>
      <c r="L9867" s="33" t="e">
        <f>HLOOKUP(B9867,#REF!,1,0)</f>
        <v>#REF!</v>
      </c>
      <c r="M9867" s="33" t="str">
        <f t="shared" si="619"/>
        <v>P&amp;L</v>
      </c>
    </row>
    <row r="9868" spans="1:13">
      <c r="A9868" s="33" t="str">
        <f t="shared" si="616"/>
        <v>SCL - Operating Expense</v>
      </c>
      <c r="B9868" s="33" t="str">
        <f t="shared" si="617"/>
        <v>SCL</v>
      </c>
      <c r="C9868" s="33" t="str">
        <f t="shared" si="618"/>
        <v>66502-0000</v>
      </c>
      <c r="D9868" s="64" t="s">
        <v>11119</v>
      </c>
      <c r="E9868" s="64" t="s">
        <v>11120</v>
      </c>
      <c r="F9868" s="64" t="s">
        <v>15</v>
      </c>
      <c r="G9868" s="64" t="s">
        <v>3044</v>
      </c>
      <c r="H9868" s="64" t="s">
        <v>3022</v>
      </c>
      <c r="I9868" s="64" t="s">
        <v>11121</v>
      </c>
      <c r="J9868" s="67">
        <v>0</v>
      </c>
      <c r="K9868" s="62">
        <v>76.67</v>
      </c>
      <c r="L9868" s="33" t="e">
        <f>HLOOKUP(B9868,#REF!,1,0)</f>
        <v>#REF!</v>
      </c>
      <c r="M9868" s="33" t="str">
        <f t="shared" si="619"/>
        <v>P&amp;L</v>
      </c>
    </row>
    <row r="9869" spans="1:13">
      <c r="A9869" s="33" t="str">
        <f t="shared" si="616"/>
        <v>SCL - Operating Expense</v>
      </c>
      <c r="B9869" s="33" t="str">
        <f t="shared" si="617"/>
        <v>SCL</v>
      </c>
      <c r="C9869" s="33" t="str">
        <f t="shared" si="618"/>
        <v>66502-7352</v>
      </c>
      <c r="D9869" s="64" t="s">
        <v>11122</v>
      </c>
      <c r="E9869" s="64" t="s">
        <v>11120</v>
      </c>
      <c r="F9869" s="64" t="s">
        <v>15</v>
      </c>
      <c r="G9869" s="64" t="s">
        <v>3044</v>
      </c>
      <c r="H9869" s="64" t="s">
        <v>3022</v>
      </c>
      <c r="I9869" s="64" t="s">
        <v>11121</v>
      </c>
      <c r="J9869" s="67">
        <v>0</v>
      </c>
      <c r="K9869" s="62">
        <v>557.94</v>
      </c>
      <c r="L9869" s="33" t="e">
        <f>HLOOKUP(B9869,#REF!,1,0)</f>
        <v>#REF!</v>
      </c>
      <c r="M9869" s="33" t="str">
        <f t="shared" si="619"/>
        <v>P&amp;L</v>
      </c>
    </row>
    <row r="9870" spans="1:13">
      <c r="A9870" s="33" t="str">
        <f t="shared" si="616"/>
        <v>SCL - Operating Expense</v>
      </c>
      <c r="B9870" s="33" t="str">
        <f t="shared" si="617"/>
        <v>SCL</v>
      </c>
      <c r="C9870" s="33" t="str">
        <f t="shared" si="618"/>
        <v>66502-7396</v>
      </c>
      <c r="D9870" s="64" t="s">
        <v>11123</v>
      </c>
      <c r="E9870" s="64" t="s">
        <v>11120</v>
      </c>
      <c r="F9870" s="64" t="s">
        <v>15</v>
      </c>
      <c r="G9870" s="64" t="s">
        <v>3044</v>
      </c>
      <c r="H9870" s="64" t="s">
        <v>3022</v>
      </c>
      <c r="I9870" s="64" t="s">
        <v>11121</v>
      </c>
      <c r="J9870" s="67">
        <v>0</v>
      </c>
      <c r="K9870" s="62">
        <v>613.67</v>
      </c>
      <c r="L9870" s="33" t="e">
        <f>HLOOKUP(B9870,#REF!,1,0)</f>
        <v>#REF!</v>
      </c>
      <c r="M9870" s="33" t="str">
        <f t="shared" si="619"/>
        <v>P&amp;L</v>
      </c>
    </row>
    <row r="9871" spans="1:13">
      <c r="A9871" s="33" t="str">
        <f t="shared" si="616"/>
        <v>SCL - Operating Expense</v>
      </c>
      <c r="B9871" s="33" t="str">
        <f t="shared" si="617"/>
        <v>SCL</v>
      </c>
      <c r="C9871" s="33" t="str">
        <f t="shared" si="618"/>
        <v>66701-7351</v>
      </c>
      <c r="D9871" s="64" t="s">
        <v>11124</v>
      </c>
      <c r="E9871" s="64" t="s">
        <v>3236</v>
      </c>
      <c r="F9871" s="64" t="s">
        <v>15</v>
      </c>
      <c r="G9871" s="64" t="s">
        <v>3017</v>
      </c>
      <c r="H9871" s="64" t="s">
        <v>3022</v>
      </c>
      <c r="I9871" s="64" t="s">
        <v>3237</v>
      </c>
      <c r="J9871" s="67">
        <v>14</v>
      </c>
      <c r="K9871" s="62">
        <v>140</v>
      </c>
      <c r="L9871" s="33" t="e">
        <f>HLOOKUP(B9871,#REF!,1,0)</f>
        <v>#REF!</v>
      </c>
      <c r="M9871" s="33" t="str">
        <f t="shared" si="619"/>
        <v>P&amp;L</v>
      </c>
    </row>
    <row r="9872" spans="1:13">
      <c r="A9872" s="33" t="str">
        <f t="shared" si="616"/>
        <v>SCL - Operating Expense</v>
      </c>
      <c r="B9872" s="33" t="str">
        <f t="shared" si="617"/>
        <v>SCL</v>
      </c>
      <c r="C9872" s="33" t="str">
        <f t="shared" si="618"/>
        <v>66701-7352</v>
      </c>
      <c r="D9872" s="64" t="s">
        <v>11125</v>
      </c>
      <c r="E9872" s="64" t="s">
        <v>3236</v>
      </c>
      <c r="F9872" s="64" t="s">
        <v>15</v>
      </c>
      <c r="G9872" s="64" t="s">
        <v>3017</v>
      </c>
      <c r="H9872" s="64" t="s">
        <v>3022</v>
      </c>
      <c r="I9872" s="64" t="s">
        <v>3237</v>
      </c>
      <c r="J9872" s="67">
        <v>14</v>
      </c>
      <c r="K9872" s="62">
        <v>164.48</v>
      </c>
      <c r="L9872" s="33" t="e">
        <f>HLOOKUP(B9872,#REF!,1,0)</f>
        <v>#REF!</v>
      </c>
      <c r="M9872" s="33" t="str">
        <f t="shared" si="619"/>
        <v>P&amp;L</v>
      </c>
    </row>
    <row r="9873" spans="1:13">
      <c r="A9873" s="33" t="str">
        <f t="shared" si="616"/>
        <v>SCL - Operating Expense</v>
      </c>
      <c r="B9873" s="33" t="str">
        <f t="shared" si="617"/>
        <v>SCL</v>
      </c>
      <c r="C9873" s="33" t="str">
        <f t="shared" si="618"/>
        <v>66701-7355</v>
      </c>
      <c r="D9873" s="64" t="s">
        <v>11126</v>
      </c>
      <c r="E9873" s="64" t="s">
        <v>3236</v>
      </c>
      <c r="F9873" s="64" t="s">
        <v>15</v>
      </c>
      <c r="G9873" s="64" t="s">
        <v>3017</v>
      </c>
      <c r="H9873" s="64" t="s">
        <v>3022</v>
      </c>
      <c r="I9873" s="64" t="s">
        <v>3237</v>
      </c>
      <c r="J9873" s="67">
        <v>14</v>
      </c>
      <c r="K9873" s="62">
        <v>140</v>
      </c>
      <c r="L9873" s="33" t="e">
        <f>HLOOKUP(B9873,#REF!,1,0)</f>
        <v>#REF!</v>
      </c>
      <c r="M9873" s="33" t="str">
        <f t="shared" si="619"/>
        <v>P&amp;L</v>
      </c>
    </row>
    <row r="9874" spans="1:13">
      <c r="A9874" s="33" t="str">
        <f t="shared" si="616"/>
        <v>SCL - Operating Expense</v>
      </c>
      <c r="B9874" s="33" t="str">
        <f t="shared" si="617"/>
        <v>SCL</v>
      </c>
      <c r="C9874" s="33" t="str">
        <f t="shared" si="618"/>
        <v>66701-7356</v>
      </c>
      <c r="D9874" s="64" t="s">
        <v>11127</v>
      </c>
      <c r="E9874" s="64" t="s">
        <v>3236</v>
      </c>
      <c r="F9874" s="64" t="s">
        <v>15</v>
      </c>
      <c r="G9874" s="64" t="s">
        <v>3017</v>
      </c>
      <c r="H9874" s="64" t="s">
        <v>3022</v>
      </c>
      <c r="I9874" s="64" t="s">
        <v>3237</v>
      </c>
      <c r="J9874" s="67">
        <v>0</v>
      </c>
      <c r="K9874" s="62">
        <v>14</v>
      </c>
      <c r="L9874" s="33" t="e">
        <f>HLOOKUP(B9874,#REF!,1,0)</f>
        <v>#REF!</v>
      </c>
      <c r="M9874" s="33" t="str">
        <f t="shared" si="619"/>
        <v>P&amp;L</v>
      </c>
    </row>
    <row r="9875" spans="1:13">
      <c r="A9875" s="33" t="str">
        <f t="shared" si="616"/>
        <v>SCL - Operating Expense</v>
      </c>
      <c r="B9875" s="33" t="str">
        <f t="shared" si="617"/>
        <v>SCL</v>
      </c>
      <c r="C9875" s="33" t="str">
        <f t="shared" si="618"/>
        <v>66701-7359</v>
      </c>
      <c r="D9875" s="64" t="s">
        <v>11128</v>
      </c>
      <c r="E9875" s="64" t="s">
        <v>3236</v>
      </c>
      <c r="F9875" s="64" t="s">
        <v>15</v>
      </c>
      <c r="G9875" s="64" t="s">
        <v>3017</v>
      </c>
      <c r="H9875" s="64" t="s">
        <v>3022</v>
      </c>
      <c r="I9875" s="64" t="s">
        <v>3237</v>
      </c>
      <c r="J9875" s="67">
        <v>14</v>
      </c>
      <c r="K9875" s="62">
        <v>140</v>
      </c>
      <c r="L9875" s="33" t="e">
        <f>HLOOKUP(B9875,#REF!,1,0)</f>
        <v>#REF!</v>
      </c>
      <c r="M9875" s="33" t="str">
        <f t="shared" si="619"/>
        <v>P&amp;L</v>
      </c>
    </row>
    <row r="9876" spans="1:13">
      <c r="A9876" s="33" t="str">
        <f t="shared" si="616"/>
        <v>SCL - Operating Expense</v>
      </c>
      <c r="B9876" s="33" t="str">
        <f t="shared" si="617"/>
        <v>SCL</v>
      </c>
      <c r="C9876" s="33" t="str">
        <f t="shared" si="618"/>
        <v>66701-7360</v>
      </c>
      <c r="D9876" s="64" t="s">
        <v>11129</v>
      </c>
      <c r="E9876" s="64" t="s">
        <v>3236</v>
      </c>
      <c r="F9876" s="64" t="s">
        <v>15</v>
      </c>
      <c r="G9876" s="64" t="s">
        <v>3017</v>
      </c>
      <c r="H9876" s="64" t="s">
        <v>3022</v>
      </c>
      <c r="I9876" s="64" t="s">
        <v>3237</v>
      </c>
      <c r="J9876" s="67">
        <v>14</v>
      </c>
      <c r="K9876" s="62">
        <v>140</v>
      </c>
      <c r="L9876" s="33" t="e">
        <f>HLOOKUP(B9876,#REF!,1,0)</f>
        <v>#REF!</v>
      </c>
      <c r="M9876" s="33" t="str">
        <f t="shared" si="619"/>
        <v>P&amp;L</v>
      </c>
    </row>
    <row r="9877" spans="1:13">
      <c r="A9877" s="33" t="str">
        <f t="shared" si="616"/>
        <v>SCL - Operating Expense</v>
      </c>
      <c r="B9877" s="33" t="str">
        <f t="shared" si="617"/>
        <v>SCL</v>
      </c>
      <c r="C9877" s="33" t="str">
        <f t="shared" si="618"/>
        <v>66701-7361</v>
      </c>
      <c r="D9877" s="64" t="s">
        <v>11130</v>
      </c>
      <c r="E9877" s="64" t="s">
        <v>3236</v>
      </c>
      <c r="F9877" s="64" t="s">
        <v>15</v>
      </c>
      <c r="G9877" s="64" t="s">
        <v>3017</v>
      </c>
      <c r="H9877" s="64" t="s">
        <v>3022</v>
      </c>
      <c r="I9877" s="64" t="s">
        <v>3237</v>
      </c>
      <c r="J9877" s="67">
        <v>14</v>
      </c>
      <c r="K9877" s="62">
        <v>140</v>
      </c>
      <c r="L9877" s="33" t="e">
        <f>HLOOKUP(B9877,#REF!,1,0)</f>
        <v>#REF!</v>
      </c>
      <c r="M9877" s="33" t="str">
        <f t="shared" si="619"/>
        <v>P&amp;L</v>
      </c>
    </row>
    <row r="9878" spans="1:13">
      <c r="A9878" s="33" t="str">
        <f t="shared" si="616"/>
        <v>SCL - Operating Expense</v>
      </c>
      <c r="B9878" s="33" t="str">
        <f t="shared" si="617"/>
        <v>SCL</v>
      </c>
      <c r="C9878" s="33" t="str">
        <f t="shared" si="618"/>
        <v>66701-7362</v>
      </c>
      <c r="D9878" s="64" t="s">
        <v>11131</v>
      </c>
      <c r="E9878" s="64" t="s">
        <v>3236</v>
      </c>
      <c r="F9878" s="64" t="s">
        <v>15</v>
      </c>
      <c r="G9878" s="64" t="s">
        <v>3017</v>
      </c>
      <c r="H9878" s="64" t="s">
        <v>3022</v>
      </c>
      <c r="I9878" s="64" t="s">
        <v>3237</v>
      </c>
      <c r="J9878" s="67">
        <v>14</v>
      </c>
      <c r="K9878" s="62">
        <v>164.48</v>
      </c>
      <c r="L9878" s="33" t="e">
        <f>HLOOKUP(B9878,#REF!,1,0)</f>
        <v>#REF!</v>
      </c>
      <c r="M9878" s="33" t="str">
        <f t="shared" si="619"/>
        <v>P&amp;L</v>
      </c>
    </row>
    <row r="9879" spans="1:13">
      <c r="A9879" s="33" t="str">
        <f t="shared" si="616"/>
        <v>SCL - Operating Expense</v>
      </c>
      <c r="B9879" s="33" t="str">
        <f t="shared" si="617"/>
        <v>SCL</v>
      </c>
      <c r="C9879" s="33" t="str">
        <f t="shared" si="618"/>
        <v>66701-7363</v>
      </c>
      <c r="D9879" s="64" t="s">
        <v>11132</v>
      </c>
      <c r="E9879" s="64" t="s">
        <v>3236</v>
      </c>
      <c r="F9879" s="64" t="s">
        <v>15</v>
      </c>
      <c r="G9879" s="64" t="s">
        <v>3017</v>
      </c>
      <c r="H9879" s="64" t="s">
        <v>3022</v>
      </c>
      <c r="I9879" s="64" t="s">
        <v>3237</v>
      </c>
      <c r="J9879" s="67">
        <v>14</v>
      </c>
      <c r="K9879" s="62">
        <v>140</v>
      </c>
      <c r="L9879" s="33" t="e">
        <f>HLOOKUP(B9879,#REF!,1,0)</f>
        <v>#REF!</v>
      </c>
      <c r="M9879" s="33" t="str">
        <f t="shared" si="619"/>
        <v>P&amp;L</v>
      </c>
    </row>
    <row r="9880" spans="1:13">
      <c r="A9880" s="33" t="str">
        <f t="shared" si="616"/>
        <v>SCL - Operating Expense</v>
      </c>
      <c r="B9880" s="33" t="str">
        <f t="shared" si="617"/>
        <v>SCL</v>
      </c>
      <c r="C9880" s="33" t="str">
        <f t="shared" si="618"/>
        <v>66701-7364</v>
      </c>
      <c r="D9880" s="64" t="s">
        <v>11133</v>
      </c>
      <c r="E9880" s="64" t="s">
        <v>3236</v>
      </c>
      <c r="F9880" s="64" t="s">
        <v>15</v>
      </c>
      <c r="G9880" s="64" t="s">
        <v>3017</v>
      </c>
      <c r="H9880" s="64" t="s">
        <v>3022</v>
      </c>
      <c r="I9880" s="64" t="s">
        <v>3237</v>
      </c>
      <c r="J9880" s="67">
        <v>14</v>
      </c>
      <c r="K9880" s="62">
        <v>164.48</v>
      </c>
      <c r="L9880" s="33" t="e">
        <f>HLOOKUP(B9880,#REF!,1,0)</f>
        <v>#REF!</v>
      </c>
      <c r="M9880" s="33" t="str">
        <f t="shared" si="619"/>
        <v>P&amp;L</v>
      </c>
    </row>
    <row r="9881" spans="1:13">
      <c r="A9881" s="33" t="str">
        <f t="shared" si="616"/>
        <v>SCL - Operating Expense</v>
      </c>
      <c r="B9881" s="33" t="str">
        <f t="shared" si="617"/>
        <v>SCL</v>
      </c>
      <c r="C9881" s="33" t="str">
        <f t="shared" si="618"/>
        <v>66701-7365</v>
      </c>
      <c r="D9881" s="64" t="s">
        <v>11134</v>
      </c>
      <c r="E9881" s="64" t="s">
        <v>3236</v>
      </c>
      <c r="F9881" s="64" t="s">
        <v>15</v>
      </c>
      <c r="G9881" s="64" t="s">
        <v>3017</v>
      </c>
      <c r="H9881" s="64" t="s">
        <v>3022</v>
      </c>
      <c r="I9881" s="64" t="s">
        <v>3237</v>
      </c>
      <c r="J9881" s="67">
        <v>14</v>
      </c>
      <c r="K9881" s="62">
        <v>158</v>
      </c>
      <c r="L9881" s="33" t="e">
        <f>HLOOKUP(B9881,#REF!,1,0)</f>
        <v>#REF!</v>
      </c>
      <c r="M9881" s="33" t="str">
        <f t="shared" si="619"/>
        <v>P&amp;L</v>
      </c>
    </row>
    <row r="9882" spans="1:13">
      <c r="A9882" s="33" t="str">
        <f t="shared" si="616"/>
        <v>SCL - Operating Expense</v>
      </c>
      <c r="B9882" s="33" t="str">
        <f t="shared" si="617"/>
        <v>SCL</v>
      </c>
      <c r="C9882" s="33" t="str">
        <f t="shared" si="618"/>
        <v>66701-7366</v>
      </c>
      <c r="D9882" s="64" t="s">
        <v>11135</v>
      </c>
      <c r="E9882" s="64" t="s">
        <v>3236</v>
      </c>
      <c r="F9882" s="64" t="s">
        <v>15</v>
      </c>
      <c r="G9882" s="64" t="s">
        <v>3017</v>
      </c>
      <c r="H9882" s="64" t="s">
        <v>3022</v>
      </c>
      <c r="I9882" s="64" t="s">
        <v>3237</v>
      </c>
      <c r="J9882" s="67">
        <v>14</v>
      </c>
      <c r="K9882" s="62">
        <v>140</v>
      </c>
      <c r="L9882" s="33" t="e">
        <f>HLOOKUP(B9882,#REF!,1,0)</f>
        <v>#REF!</v>
      </c>
      <c r="M9882" s="33" t="str">
        <f t="shared" si="619"/>
        <v>P&amp;L</v>
      </c>
    </row>
    <row r="9883" spans="1:13">
      <c r="A9883" s="33" t="str">
        <f t="shared" si="616"/>
        <v>SCL - Operating Expense</v>
      </c>
      <c r="B9883" s="33" t="str">
        <f t="shared" si="617"/>
        <v>SCL</v>
      </c>
      <c r="C9883" s="33" t="str">
        <f t="shared" si="618"/>
        <v>66701-7368</v>
      </c>
      <c r="D9883" s="64" t="s">
        <v>11136</v>
      </c>
      <c r="E9883" s="64" t="s">
        <v>3236</v>
      </c>
      <c r="F9883" s="64" t="s">
        <v>15</v>
      </c>
      <c r="G9883" s="64" t="s">
        <v>3017</v>
      </c>
      <c r="H9883" s="64" t="s">
        <v>3022</v>
      </c>
      <c r="I9883" s="64" t="s">
        <v>3237</v>
      </c>
      <c r="J9883" s="67">
        <v>14</v>
      </c>
      <c r="K9883" s="62">
        <v>140</v>
      </c>
      <c r="L9883" s="33" t="e">
        <f>HLOOKUP(B9883,#REF!,1,0)</f>
        <v>#REF!</v>
      </c>
      <c r="M9883" s="33" t="str">
        <f t="shared" si="619"/>
        <v>P&amp;L</v>
      </c>
    </row>
    <row r="9884" spans="1:13">
      <c r="A9884" s="33" t="str">
        <f t="shared" si="616"/>
        <v>SCL - Operating Expense</v>
      </c>
      <c r="B9884" s="33" t="str">
        <f t="shared" si="617"/>
        <v>SCL</v>
      </c>
      <c r="C9884" s="33" t="str">
        <f t="shared" si="618"/>
        <v>66701-7369</v>
      </c>
      <c r="D9884" s="64" t="s">
        <v>11137</v>
      </c>
      <c r="E9884" s="64" t="s">
        <v>3236</v>
      </c>
      <c r="F9884" s="64" t="s">
        <v>15</v>
      </c>
      <c r="G9884" s="64" t="s">
        <v>3017</v>
      </c>
      <c r="H9884" s="64" t="s">
        <v>3022</v>
      </c>
      <c r="I9884" s="64" t="s">
        <v>3237</v>
      </c>
      <c r="J9884" s="67">
        <v>14</v>
      </c>
      <c r="K9884" s="62">
        <v>158</v>
      </c>
      <c r="L9884" s="33" t="e">
        <f>HLOOKUP(B9884,#REF!,1,0)</f>
        <v>#REF!</v>
      </c>
      <c r="M9884" s="33" t="str">
        <f t="shared" si="619"/>
        <v>P&amp;L</v>
      </c>
    </row>
    <row r="9885" spans="1:13">
      <c r="A9885" s="33" t="str">
        <f t="shared" si="616"/>
        <v>SCL - Operating Expense</v>
      </c>
      <c r="B9885" s="33" t="str">
        <f t="shared" si="617"/>
        <v>SCL</v>
      </c>
      <c r="C9885" s="33" t="str">
        <f t="shared" si="618"/>
        <v>66701-7371</v>
      </c>
      <c r="D9885" s="64" t="s">
        <v>11138</v>
      </c>
      <c r="E9885" s="64" t="s">
        <v>3236</v>
      </c>
      <c r="F9885" s="64" t="s">
        <v>15</v>
      </c>
      <c r="G9885" s="64" t="s">
        <v>3017</v>
      </c>
      <c r="H9885" s="64" t="s">
        <v>3022</v>
      </c>
      <c r="I9885" s="64" t="s">
        <v>3237</v>
      </c>
      <c r="J9885" s="67">
        <v>14</v>
      </c>
      <c r="K9885" s="62">
        <v>140</v>
      </c>
      <c r="L9885" s="33" t="e">
        <f>HLOOKUP(B9885,#REF!,1,0)</f>
        <v>#REF!</v>
      </c>
      <c r="M9885" s="33" t="str">
        <f t="shared" si="619"/>
        <v>P&amp;L</v>
      </c>
    </row>
    <row r="9886" spans="1:13">
      <c r="A9886" s="33" t="str">
        <f t="shared" si="616"/>
        <v>SCL - Operating Expense</v>
      </c>
      <c r="B9886" s="33" t="str">
        <f t="shared" si="617"/>
        <v>SCL</v>
      </c>
      <c r="C9886" s="33" t="str">
        <f t="shared" si="618"/>
        <v>66701-7374</v>
      </c>
      <c r="D9886" s="64" t="s">
        <v>11139</v>
      </c>
      <c r="E9886" s="64" t="s">
        <v>3236</v>
      </c>
      <c r="F9886" s="64" t="s">
        <v>15</v>
      </c>
      <c r="G9886" s="64" t="s">
        <v>3017</v>
      </c>
      <c r="H9886" s="64" t="s">
        <v>3022</v>
      </c>
      <c r="I9886" s="64" t="s">
        <v>3237</v>
      </c>
      <c r="J9886" s="67">
        <v>14</v>
      </c>
      <c r="K9886" s="62">
        <v>140</v>
      </c>
      <c r="L9886" s="33" t="e">
        <f>HLOOKUP(B9886,#REF!,1,0)</f>
        <v>#REF!</v>
      </c>
      <c r="M9886" s="33" t="str">
        <f t="shared" si="619"/>
        <v>P&amp;L</v>
      </c>
    </row>
    <row r="9887" spans="1:13">
      <c r="A9887" s="33" t="str">
        <f t="shared" si="616"/>
        <v>SCL - Operating Expense</v>
      </c>
      <c r="B9887" s="33" t="str">
        <f t="shared" si="617"/>
        <v>SCL</v>
      </c>
      <c r="C9887" s="33" t="str">
        <f t="shared" si="618"/>
        <v>66701-7375</v>
      </c>
      <c r="D9887" s="64" t="s">
        <v>11140</v>
      </c>
      <c r="E9887" s="64" t="s">
        <v>3236</v>
      </c>
      <c r="F9887" s="64" t="s">
        <v>15</v>
      </c>
      <c r="G9887" s="64" t="s">
        <v>3017</v>
      </c>
      <c r="H9887" s="64" t="s">
        <v>3022</v>
      </c>
      <c r="I9887" s="64" t="s">
        <v>3237</v>
      </c>
      <c r="J9887" s="67">
        <v>14</v>
      </c>
      <c r="K9887" s="62">
        <v>140</v>
      </c>
      <c r="L9887" s="33" t="e">
        <f>HLOOKUP(B9887,#REF!,1,0)</f>
        <v>#REF!</v>
      </c>
      <c r="M9887" s="33" t="str">
        <f t="shared" si="619"/>
        <v>P&amp;L</v>
      </c>
    </row>
    <row r="9888" spans="1:13">
      <c r="A9888" s="33" t="str">
        <f t="shared" si="616"/>
        <v>SCL - Operating Expense</v>
      </c>
      <c r="B9888" s="33" t="str">
        <f t="shared" si="617"/>
        <v>SCL</v>
      </c>
      <c r="C9888" s="33" t="str">
        <f t="shared" si="618"/>
        <v>66701-7376</v>
      </c>
      <c r="D9888" s="64" t="s">
        <v>11141</v>
      </c>
      <c r="E9888" s="64" t="s">
        <v>3236</v>
      </c>
      <c r="F9888" s="64" t="s">
        <v>15</v>
      </c>
      <c r="G9888" s="64" t="s">
        <v>3017</v>
      </c>
      <c r="H9888" s="64" t="s">
        <v>3022</v>
      </c>
      <c r="I9888" s="64" t="s">
        <v>3237</v>
      </c>
      <c r="J9888" s="67">
        <v>14</v>
      </c>
      <c r="K9888" s="62">
        <v>140</v>
      </c>
      <c r="L9888" s="33" t="e">
        <f>HLOOKUP(B9888,#REF!,1,0)</f>
        <v>#REF!</v>
      </c>
      <c r="M9888" s="33" t="str">
        <f t="shared" si="619"/>
        <v>P&amp;L</v>
      </c>
    </row>
    <row r="9889" spans="1:13">
      <c r="A9889" s="33" t="str">
        <f t="shared" si="616"/>
        <v>SCL - Operating Expense</v>
      </c>
      <c r="B9889" s="33" t="str">
        <f t="shared" si="617"/>
        <v>SCL</v>
      </c>
      <c r="C9889" s="33" t="str">
        <f t="shared" si="618"/>
        <v>66701-7377</v>
      </c>
      <c r="D9889" s="64" t="s">
        <v>11142</v>
      </c>
      <c r="E9889" s="64" t="s">
        <v>3236</v>
      </c>
      <c r="F9889" s="64" t="s">
        <v>15</v>
      </c>
      <c r="G9889" s="64" t="s">
        <v>3017</v>
      </c>
      <c r="H9889" s="64" t="s">
        <v>3022</v>
      </c>
      <c r="I9889" s="64" t="s">
        <v>3237</v>
      </c>
      <c r="J9889" s="67">
        <v>14</v>
      </c>
      <c r="K9889" s="62">
        <v>140</v>
      </c>
      <c r="L9889" s="33" t="e">
        <f>HLOOKUP(B9889,#REF!,1,0)</f>
        <v>#REF!</v>
      </c>
      <c r="M9889" s="33" t="str">
        <f t="shared" si="619"/>
        <v>P&amp;L</v>
      </c>
    </row>
    <row r="9890" spans="1:13">
      <c r="A9890" s="33" t="str">
        <f t="shared" si="616"/>
        <v>SCL - Operating Expense</v>
      </c>
      <c r="B9890" s="33" t="str">
        <f t="shared" si="617"/>
        <v>SCL</v>
      </c>
      <c r="C9890" s="33" t="str">
        <f t="shared" si="618"/>
        <v>66701-7378</v>
      </c>
      <c r="D9890" s="64" t="s">
        <v>11143</v>
      </c>
      <c r="E9890" s="64" t="s">
        <v>3236</v>
      </c>
      <c r="F9890" s="64" t="s">
        <v>15</v>
      </c>
      <c r="G9890" s="64" t="s">
        <v>3017</v>
      </c>
      <c r="H9890" s="64" t="s">
        <v>3022</v>
      </c>
      <c r="I9890" s="64" t="s">
        <v>3237</v>
      </c>
      <c r="J9890" s="67">
        <v>14</v>
      </c>
      <c r="K9890" s="62">
        <v>140</v>
      </c>
      <c r="L9890" s="33" t="e">
        <f>HLOOKUP(B9890,#REF!,1,0)</f>
        <v>#REF!</v>
      </c>
      <c r="M9890" s="33" t="str">
        <f t="shared" si="619"/>
        <v>P&amp;L</v>
      </c>
    </row>
    <row r="9891" spans="1:13">
      <c r="A9891" s="33" t="str">
        <f t="shared" si="616"/>
        <v>SCL - Operating Expense</v>
      </c>
      <c r="B9891" s="33" t="str">
        <f t="shared" si="617"/>
        <v>SCL</v>
      </c>
      <c r="C9891" s="33" t="str">
        <f t="shared" si="618"/>
        <v>66701-7379</v>
      </c>
      <c r="D9891" s="64" t="s">
        <v>11144</v>
      </c>
      <c r="E9891" s="64" t="s">
        <v>3236</v>
      </c>
      <c r="F9891" s="64" t="s">
        <v>15</v>
      </c>
      <c r="G9891" s="64" t="s">
        <v>3017</v>
      </c>
      <c r="H9891" s="64" t="s">
        <v>3022</v>
      </c>
      <c r="I9891" s="64" t="s">
        <v>3237</v>
      </c>
      <c r="J9891" s="67">
        <v>14</v>
      </c>
      <c r="K9891" s="62">
        <v>140</v>
      </c>
      <c r="L9891" s="33" t="e">
        <f>HLOOKUP(B9891,#REF!,1,0)</f>
        <v>#REF!</v>
      </c>
      <c r="M9891" s="33" t="str">
        <f t="shared" si="619"/>
        <v>P&amp;L</v>
      </c>
    </row>
    <row r="9892" spans="1:13">
      <c r="A9892" s="33" t="str">
        <f t="shared" si="616"/>
        <v>SCL - Operating Expense</v>
      </c>
      <c r="B9892" s="33" t="str">
        <f t="shared" si="617"/>
        <v>SCL</v>
      </c>
      <c r="C9892" s="33" t="str">
        <f t="shared" si="618"/>
        <v>66701-7380</v>
      </c>
      <c r="D9892" s="64" t="s">
        <v>11145</v>
      </c>
      <c r="E9892" s="64" t="s">
        <v>3236</v>
      </c>
      <c r="F9892" s="64" t="s">
        <v>15</v>
      </c>
      <c r="G9892" s="64" t="s">
        <v>3017</v>
      </c>
      <c r="H9892" s="64" t="s">
        <v>3022</v>
      </c>
      <c r="I9892" s="64" t="s">
        <v>3237</v>
      </c>
      <c r="J9892" s="67">
        <v>14</v>
      </c>
      <c r="K9892" s="62">
        <v>140</v>
      </c>
      <c r="L9892" s="33" t="e">
        <f>HLOOKUP(B9892,#REF!,1,0)</f>
        <v>#REF!</v>
      </c>
      <c r="M9892" s="33" t="str">
        <f t="shared" si="619"/>
        <v>P&amp;L</v>
      </c>
    </row>
    <row r="9893" spans="1:13">
      <c r="A9893" s="33" t="str">
        <f t="shared" si="616"/>
        <v>SCL - Operating Expense</v>
      </c>
      <c r="B9893" s="33" t="str">
        <f t="shared" si="617"/>
        <v>SCL</v>
      </c>
      <c r="C9893" s="33" t="str">
        <f t="shared" si="618"/>
        <v>66701-7381</v>
      </c>
      <c r="D9893" s="64" t="s">
        <v>11146</v>
      </c>
      <c r="E9893" s="64" t="s">
        <v>3236</v>
      </c>
      <c r="F9893" s="64" t="s">
        <v>15</v>
      </c>
      <c r="G9893" s="64" t="s">
        <v>3017</v>
      </c>
      <c r="H9893" s="64" t="s">
        <v>3022</v>
      </c>
      <c r="I9893" s="64" t="s">
        <v>3237</v>
      </c>
      <c r="J9893" s="67">
        <v>14</v>
      </c>
      <c r="K9893" s="62">
        <v>140</v>
      </c>
      <c r="L9893" s="33" t="e">
        <f>HLOOKUP(B9893,#REF!,1,0)</f>
        <v>#REF!</v>
      </c>
      <c r="M9893" s="33" t="str">
        <f t="shared" si="619"/>
        <v>P&amp;L</v>
      </c>
    </row>
    <row r="9894" spans="1:13">
      <c r="A9894" s="33" t="str">
        <f t="shared" si="616"/>
        <v>SCL - Operating Expense</v>
      </c>
      <c r="B9894" s="33" t="str">
        <f t="shared" si="617"/>
        <v>SCL</v>
      </c>
      <c r="C9894" s="33" t="str">
        <f t="shared" si="618"/>
        <v>66701-7383</v>
      </c>
      <c r="D9894" s="64" t="s">
        <v>11147</v>
      </c>
      <c r="E9894" s="64" t="s">
        <v>3236</v>
      </c>
      <c r="F9894" s="64" t="s">
        <v>15</v>
      </c>
      <c r="G9894" s="64" t="s">
        <v>3017</v>
      </c>
      <c r="H9894" s="64" t="s">
        <v>3022</v>
      </c>
      <c r="I9894" s="64" t="s">
        <v>3237</v>
      </c>
      <c r="J9894" s="67">
        <v>14</v>
      </c>
      <c r="K9894" s="62">
        <v>140</v>
      </c>
      <c r="L9894" s="33" t="e">
        <f>HLOOKUP(B9894,#REF!,1,0)</f>
        <v>#REF!</v>
      </c>
      <c r="M9894" s="33" t="str">
        <f t="shared" si="619"/>
        <v>P&amp;L</v>
      </c>
    </row>
    <row r="9895" spans="1:13">
      <c r="A9895" s="33" t="str">
        <f t="shared" si="616"/>
        <v>SCL - Operating Expense</v>
      </c>
      <c r="B9895" s="33" t="str">
        <f t="shared" si="617"/>
        <v>SCL</v>
      </c>
      <c r="C9895" s="33" t="str">
        <f t="shared" si="618"/>
        <v>66701-7385</v>
      </c>
      <c r="D9895" s="64" t="s">
        <v>11148</v>
      </c>
      <c r="E9895" s="64" t="s">
        <v>3236</v>
      </c>
      <c r="F9895" s="64" t="s">
        <v>15</v>
      </c>
      <c r="G9895" s="64" t="s">
        <v>3017</v>
      </c>
      <c r="H9895" s="64" t="s">
        <v>3022</v>
      </c>
      <c r="I9895" s="64" t="s">
        <v>3237</v>
      </c>
      <c r="J9895" s="67">
        <v>14</v>
      </c>
      <c r="K9895" s="62">
        <v>158</v>
      </c>
      <c r="L9895" s="33" t="e">
        <f>HLOOKUP(B9895,#REF!,1,0)</f>
        <v>#REF!</v>
      </c>
      <c r="M9895" s="33" t="str">
        <f t="shared" si="619"/>
        <v>P&amp;L</v>
      </c>
    </row>
    <row r="9896" spans="1:13">
      <c r="A9896" s="33" t="str">
        <f t="shared" si="616"/>
        <v>SCL - Operating Expense</v>
      </c>
      <c r="B9896" s="33" t="str">
        <f t="shared" si="617"/>
        <v>SCL</v>
      </c>
      <c r="C9896" s="33" t="str">
        <f t="shared" si="618"/>
        <v>66701-7386</v>
      </c>
      <c r="D9896" s="64" t="s">
        <v>11149</v>
      </c>
      <c r="E9896" s="64" t="s">
        <v>3236</v>
      </c>
      <c r="F9896" s="64" t="s">
        <v>15</v>
      </c>
      <c r="G9896" s="64" t="s">
        <v>3017</v>
      </c>
      <c r="H9896" s="64" t="s">
        <v>3022</v>
      </c>
      <c r="I9896" s="64" t="s">
        <v>3237</v>
      </c>
      <c r="J9896" s="67">
        <v>14</v>
      </c>
      <c r="K9896" s="62">
        <v>140</v>
      </c>
      <c r="L9896" s="33" t="e">
        <f>HLOOKUP(B9896,#REF!,1,0)</f>
        <v>#REF!</v>
      </c>
      <c r="M9896" s="33" t="str">
        <f t="shared" si="619"/>
        <v>P&amp;L</v>
      </c>
    </row>
    <row r="9897" spans="1:13">
      <c r="A9897" s="33" t="str">
        <f t="shared" si="616"/>
        <v>SCL - Operating Expense</v>
      </c>
      <c r="B9897" s="33" t="str">
        <f t="shared" si="617"/>
        <v>SCL</v>
      </c>
      <c r="C9897" s="33" t="str">
        <f t="shared" si="618"/>
        <v>66701-7387</v>
      </c>
      <c r="D9897" s="64" t="s">
        <v>11150</v>
      </c>
      <c r="E9897" s="64" t="s">
        <v>3236</v>
      </c>
      <c r="F9897" s="64" t="s">
        <v>15</v>
      </c>
      <c r="G9897" s="64" t="s">
        <v>3017</v>
      </c>
      <c r="H9897" s="64" t="s">
        <v>3022</v>
      </c>
      <c r="I9897" s="64" t="s">
        <v>3237</v>
      </c>
      <c r="J9897" s="67">
        <v>14</v>
      </c>
      <c r="K9897" s="62">
        <v>140</v>
      </c>
      <c r="L9897" s="33" t="e">
        <f>HLOOKUP(B9897,#REF!,1,0)</f>
        <v>#REF!</v>
      </c>
      <c r="M9897" s="33" t="str">
        <f t="shared" si="619"/>
        <v>P&amp;L</v>
      </c>
    </row>
    <row r="9898" spans="1:13">
      <c r="A9898" s="33" t="str">
        <f t="shared" si="616"/>
        <v>SCL - Operating Expense</v>
      </c>
      <c r="B9898" s="33" t="str">
        <f t="shared" si="617"/>
        <v>SCL</v>
      </c>
      <c r="C9898" s="33" t="str">
        <f t="shared" si="618"/>
        <v>66701-7389</v>
      </c>
      <c r="D9898" s="64" t="s">
        <v>11151</v>
      </c>
      <c r="E9898" s="64" t="s">
        <v>3236</v>
      </c>
      <c r="F9898" s="64" t="s">
        <v>15</v>
      </c>
      <c r="G9898" s="64" t="s">
        <v>3017</v>
      </c>
      <c r="H9898" s="64" t="s">
        <v>3022</v>
      </c>
      <c r="I9898" s="64" t="s">
        <v>3237</v>
      </c>
      <c r="J9898" s="67">
        <v>14</v>
      </c>
      <c r="K9898" s="62">
        <v>140</v>
      </c>
      <c r="L9898" s="33" t="e">
        <f>HLOOKUP(B9898,#REF!,1,0)</f>
        <v>#REF!</v>
      </c>
      <c r="M9898" s="33" t="str">
        <f t="shared" si="619"/>
        <v>P&amp;L</v>
      </c>
    </row>
    <row r="9899" spans="1:13">
      <c r="A9899" s="33" t="str">
        <f t="shared" si="616"/>
        <v>SCL - Operating Expense</v>
      </c>
      <c r="B9899" s="33" t="str">
        <f t="shared" si="617"/>
        <v>SCL</v>
      </c>
      <c r="C9899" s="33" t="str">
        <f t="shared" si="618"/>
        <v>66701-7391</v>
      </c>
      <c r="D9899" s="64" t="s">
        <v>11152</v>
      </c>
      <c r="E9899" s="64" t="s">
        <v>3236</v>
      </c>
      <c r="F9899" s="64" t="s">
        <v>15</v>
      </c>
      <c r="G9899" s="64" t="s">
        <v>3017</v>
      </c>
      <c r="H9899" s="64" t="s">
        <v>3022</v>
      </c>
      <c r="I9899" s="64" t="s">
        <v>3237</v>
      </c>
      <c r="J9899" s="67">
        <v>14</v>
      </c>
      <c r="K9899" s="62">
        <v>158</v>
      </c>
      <c r="L9899" s="33" t="e">
        <f>HLOOKUP(B9899,#REF!,1,0)</f>
        <v>#REF!</v>
      </c>
      <c r="M9899" s="33" t="str">
        <f t="shared" si="619"/>
        <v>P&amp;L</v>
      </c>
    </row>
    <row r="9900" spans="1:13">
      <c r="A9900" s="33" t="str">
        <f t="shared" si="616"/>
        <v>SCL - Operating Expense</v>
      </c>
      <c r="B9900" s="33" t="str">
        <f t="shared" si="617"/>
        <v>SCL</v>
      </c>
      <c r="C9900" s="33" t="str">
        <f t="shared" si="618"/>
        <v>66701-7393</v>
      </c>
      <c r="D9900" s="64" t="s">
        <v>11153</v>
      </c>
      <c r="E9900" s="64" t="s">
        <v>3236</v>
      </c>
      <c r="F9900" s="64" t="s">
        <v>15</v>
      </c>
      <c r="G9900" s="64" t="s">
        <v>3017</v>
      </c>
      <c r="H9900" s="64" t="s">
        <v>3022</v>
      </c>
      <c r="I9900" s="64" t="s">
        <v>3237</v>
      </c>
      <c r="J9900" s="67">
        <v>14</v>
      </c>
      <c r="K9900" s="62">
        <v>140</v>
      </c>
      <c r="L9900" s="33" t="e">
        <f>HLOOKUP(B9900,#REF!,1,0)</f>
        <v>#REF!</v>
      </c>
      <c r="M9900" s="33" t="str">
        <f t="shared" si="619"/>
        <v>P&amp;L</v>
      </c>
    </row>
    <row r="9901" spans="1:13">
      <c r="A9901" s="33" t="str">
        <f t="shared" si="616"/>
        <v>SCL - Operating Expense</v>
      </c>
      <c r="B9901" s="33" t="str">
        <f t="shared" si="617"/>
        <v>SCL</v>
      </c>
      <c r="C9901" s="33" t="str">
        <f t="shared" si="618"/>
        <v>66701-7394</v>
      </c>
      <c r="D9901" s="64" t="s">
        <v>11154</v>
      </c>
      <c r="E9901" s="64" t="s">
        <v>3236</v>
      </c>
      <c r="F9901" s="64" t="s">
        <v>15</v>
      </c>
      <c r="G9901" s="64" t="s">
        <v>3017</v>
      </c>
      <c r="H9901" s="64" t="s">
        <v>3022</v>
      </c>
      <c r="I9901" s="64" t="s">
        <v>3237</v>
      </c>
      <c r="J9901" s="67">
        <v>14</v>
      </c>
      <c r="K9901" s="62">
        <v>158</v>
      </c>
      <c r="L9901" s="33" t="e">
        <f>HLOOKUP(B9901,#REF!,1,0)</f>
        <v>#REF!</v>
      </c>
      <c r="M9901" s="33" t="str">
        <f t="shared" si="619"/>
        <v>P&amp;L</v>
      </c>
    </row>
    <row r="9902" spans="1:13">
      <c r="A9902" s="33" t="str">
        <f t="shared" si="616"/>
        <v>SCL - Operating Expense</v>
      </c>
      <c r="B9902" s="33" t="str">
        <f t="shared" si="617"/>
        <v>SCL</v>
      </c>
      <c r="C9902" s="33" t="str">
        <f t="shared" si="618"/>
        <v>66701-7396</v>
      </c>
      <c r="D9902" s="64" t="s">
        <v>11155</v>
      </c>
      <c r="E9902" s="64" t="s">
        <v>3236</v>
      </c>
      <c r="F9902" s="64" t="s">
        <v>15</v>
      </c>
      <c r="G9902" s="64" t="s">
        <v>3017</v>
      </c>
      <c r="H9902" s="64" t="s">
        <v>3022</v>
      </c>
      <c r="I9902" s="64" t="s">
        <v>3237</v>
      </c>
      <c r="J9902" s="67">
        <v>14</v>
      </c>
      <c r="K9902" s="62">
        <v>140</v>
      </c>
      <c r="L9902" s="33" t="e">
        <f>HLOOKUP(B9902,#REF!,1,0)</f>
        <v>#REF!</v>
      </c>
      <c r="M9902" s="33" t="str">
        <f t="shared" si="619"/>
        <v>P&amp;L</v>
      </c>
    </row>
    <row r="9903" spans="1:13">
      <c r="A9903" s="33" t="str">
        <f t="shared" si="616"/>
        <v>SCL - Operating Expense</v>
      </c>
      <c r="B9903" s="33" t="str">
        <f t="shared" si="617"/>
        <v>SCL</v>
      </c>
      <c r="C9903" s="33" t="str">
        <f t="shared" si="618"/>
        <v>66701-7397</v>
      </c>
      <c r="D9903" s="64" t="s">
        <v>11156</v>
      </c>
      <c r="E9903" s="64" t="s">
        <v>3236</v>
      </c>
      <c r="F9903" s="64" t="s">
        <v>15</v>
      </c>
      <c r="G9903" s="64" t="s">
        <v>3017</v>
      </c>
      <c r="H9903" s="64" t="s">
        <v>3022</v>
      </c>
      <c r="I9903" s="64" t="s">
        <v>3237</v>
      </c>
      <c r="J9903" s="67">
        <v>14</v>
      </c>
      <c r="K9903" s="62">
        <v>140</v>
      </c>
      <c r="L9903" s="33" t="e">
        <f>HLOOKUP(B9903,#REF!,1,0)</f>
        <v>#REF!</v>
      </c>
      <c r="M9903" s="33" t="str">
        <f t="shared" si="619"/>
        <v>P&amp;L</v>
      </c>
    </row>
    <row r="9904" spans="1:13">
      <c r="A9904" s="33" t="str">
        <f t="shared" si="616"/>
        <v>SCL - Operating Expense</v>
      </c>
      <c r="B9904" s="33" t="str">
        <f t="shared" si="617"/>
        <v>SCL</v>
      </c>
      <c r="C9904" s="33" t="str">
        <f t="shared" si="618"/>
        <v>66701-7398</v>
      </c>
      <c r="D9904" s="64" t="s">
        <v>11157</v>
      </c>
      <c r="E9904" s="64" t="s">
        <v>3236</v>
      </c>
      <c r="F9904" s="64" t="s">
        <v>15</v>
      </c>
      <c r="G9904" s="64" t="s">
        <v>3017</v>
      </c>
      <c r="H9904" s="64" t="s">
        <v>3022</v>
      </c>
      <c r="I9904" s="64" t="s">
        <v>3237</v>
      </c>
      <c r="J9904" s="67">
        <v>14</v>
      </c>
      <c r="K9904" s="62">
        <v>158</v>
      </c>
      <c r="L9904" s="33" t="e">
        <f>HLOOKUP(B9904,#REF!,1,0)</f>
        <v>#REF!</v>
      </c>
      <c r="M9904" s="33" t="str">
        <f t="shared" si="619"/>
        <v>P&amp;L</v>
      </c>
    </row>
    <row r="9905" spans="1:13">
      <c r="A9905" s="33" t="str">
        <f t="shared" si="616"/>
        <v>SCL - Operating Expense</v>
      </c>
      <c r="B9905" s="33" t="str">
        <f t="shared" si="617"/>
        <v>SCL</v>
      </c>
      <c r="C9905" s="33" t="str">
        <f t="shared" si="618"/>
        <v>66701-7400</v>
      </c>
      <c r="D9905" s="64" t="s">
        <v>11158</v>
      </c>
      <c r="E9905" s="64" t="s">
        <v>3236</v>
      </c>
      <c r="F9905" s="64" t="s">
        <v>15</v>
      </c>
      <c r="G9905" s="64" t="s">
        <v>3017</v>
      </c>
      <c r="H9905" s="64" t="s">
        <v>3022</v>
      </c>
      <c r="I9905" s="64" t="s">
        <v>3237</v>
      </c>
      <c r="J9905" s="67">
        <v>14</v>
      </c>
      <c r="K9905" s="62">
        <v>140</v>
      </c>
      <c r="L9905" s="33" t="e">
        <f>HLOOKUP(B9905,#REF!,1,0)</f>
        <v>#REF!</v>
      </c>
      <c r="M9905" s="33" t="str">
        <f t="shared" si="619"/>
        <v>P&amp;L</v>
      </c>
    </row>
    <row r="9906" spans="1:13">
      <c r="A9906" s="33" t="str">
        <f t="shared" si="616"/>
        <v>SCL - Operating Expense</v>
      </c>
      <c r="B9906" s="33" t="str">
        <f t="shared" si="617"/>
        <v>SCL</v>
      </c>
      <c r="C9906" s="33" t="str">
        <f t="shared" si="618"/>
        <v>66701-7401</v>
      </c>
      <c r="D9906" s="64" t="s">
        <v>11159</v>
      </c>
      <c r="E9906" s="64" t="s">
        <v>3236</v>
      </c>
      <c r="F9906" s="64" t="s">
        <v>15</v>
      </c>
      <c r="G9906" s="64" t="s">
        <v>3017</v>
      </c>
      <c r="H9906" s="64" t="s">
        <v>3022</v>
      </c>
      <c r="I9906" s="64" t="s">
        <v>3237</v>
      </c>
      <c r="J9906" s="67">
        <v>14</v>
      </c>
      <c r="K9906" s="62">
        <v>140</v>
      </c>
      <c r="L9906" s="33" t="e">
        <f>HLOOKUP(B9906,#REF!,1,0)</f>
        <v>#REF!</v>
      </c>
      <c r="M9906" s="33" t="str">
        <f t="shared" si="619"/>
        <v>P&amp;L</v>
      </c>
    </row>
    <row r="9907" spans="1:13">
      <c r="A9907" s="33" t="str">
        <f t="shared" si="616"/>
        <v>SCL - Operating Expense</v>
      </c>
      <c r="B9907" s="33" t="str">
        <f t="shared" si="617"/>
        <v>SCL</v>
      </c>
      <c r="C9907" s="33" t="str">
        <f t="shared" si="618"/>
        <v>66701-7402</v>
      </c>
      <c r="D9907" s="64" t="s">
        <v>11160</v>
      </c>
      <c r="E9907" s="64" t="s">
        <v>3236</v>
      </c>
      <c r="F9907" s="64" t="s">
        <v>15</v>
      </c>
      <c r="G9907" s="64" t="s">
        <v>3017</v>
      </c>
      <c r="H9907" s="64" t="s">
        <v>3022</v>
      </c>
      <c r="I9907" s="64" t="s">
        <v>3237</v>
      </c>
      <c r="J9907" s="67">
        <v>14</v>
      </c>
      <c r="K9907" s="62">
        <v>140</v>
      </c>
      <c r="L9907" s="33" t="e">
        <f>HLOOKUP(B9907,#REF!,1,0)</f>
        <v>#REF!</v>
      </c>
      <c r="M9907" s="33" t="str">
        <f t="shared" si="619"/>
        <v>P&amp;L</v>
      </c>
    </row>
    <row r="9908" spans="1:13">
      <c r="A9908" s="33" t="str">
        <f t="shared" si="616"/>
        <v>SCL - Operating Expense</v>
      </c>
      <c r="B9908" s="33" t="str">
        <f t="shared" si="617"/>
        <v>SCL</v>
      </c>
      <c r="C9908" s="33" t="str">
        <f t="shared" si="618"/>
        <v>66701-7403</v>
      </c>
      <c r="D9908" s="64" t="s">
        <v>11161</v>
      </c>
      <c r="E9908" s="64" t="s">
        <v>3236</v>
      </c>
      <c r="F9908" s="64" t="s">
        <v>15</v>
      </c>
      <c r="G9908" s="64" t="s">
        <v>3017</v>
      </c>
      <c r="H9908" s="64" t="s">
        <v>3022</v>
      </c>
      <c r="I9908" s="64" t="s">
        <v>3237</v>
      </c>
      <c r="J9908" s="67">
        <v>14</v>
      </c>
      <c r="K9908" s="62">
        <v>140</v>
      </c>
      <c r="L9908" s="33" t="e">
        <f>HLOOKUP(B9908,#REF!,1,0)</f>
        <v>#REF!</v>
      </c>
      <c r="M9908" s="33" t="str">
        <f t="shared" si="619"/>
        <v>P&amp;L</v>
      </c>
    </row>
    <row r="9909" spans="1:13">
      <c r="A9909" s="33" t="str">
        <f t="shared" si="616"/>
        <v>SCL - Operating Expense</v>
      </c>
      <c r="B9909" s="33" t="str">
        <f t="shared" si="617"/>
        <v>SCL</v>
      </c>
      <c r="C9909" s="33" t="str">
        <f t="shared" si="618"/>
        <v>66701-7489</v>
      </c>
      <c r="D9909" s="64" t="s">
        <v>11162</v>
      </c>
      <c r="E9909" s="64" t="s">
        <v>3236</v>
      </c>
      <c r="F9909" s="64" t="s">
        <v>15</v>
      </c>
      <c r="G9909" s="64" t="s">
        <v>3017</v>
      </c>
      <c r="H9909" s="64" t="s">
        <v>3022</v>
      </c>
      <c r="I9909" s="64" t="s">
        <v>3237</v>
      </c>
      <c r="J9909" s="67">
        <v>14</v>
      </c>
      <c r="K9909" s="62">
        <v>188.96</v>
      </c>
      <c r="L9909" s="33" t="e">
        <f>HLOOKUP(B9909,#REF!,1,0)</f>
        <v>#REF!</v>
      </c>
      <c r="M9909" s="33" t="str">
        <f t="shared" si="619"/>
        <v>P&amp;L</v>
      </c>
    </row>
    <row r="9910" spans="1:13">
      <c r="A9910" s="33" t="str">
        <f t="shared" si="616"/>
        <v>SCL - Operating Expense</v>
      </c>
      <c r="B9910" s="33" t="str">
        <f t="shared" si="617"/>
        <v>SCL</v>
      </c>
      <c r="C9910" s="33" t="str">
        <f t="shared" si="618"/>
        <v>66701-7491</v>
      </c>
      <c r="D9910" s="64" t="s">
        <v>11163</v>
      </c>
      <c r="E9910" s="64" t="s">
        <v>3236</v>
      </c>
      <c r="F9910" s="64" t="s">
        <v>15</v>
      </c>
      <c r="G9910" s="64" t="s">
        <v>3017</v>
      </c>
      <c r="H9910" s="64" t="s">
        <v>3022</v>
      </c>
      <c r="I9910" s="64" t="s">
        <v>3237</v>
      </c>
      <c r="J9910" s="67">
        <v>14</v>
      </c>
      <c r="K9910" s="62">
        <v>158</v>
      </c>
      <c r="L9910" s="33" t="e">
        <f>HLOOKUP(B9910,#REF!,1,0)</f>
        <v>#REF!</v>
      </c>
      <c r="M9910" s="33" t="str">
        <f t="shared" si="619"/>
        <v>P&amp;L</v>
      </c>
    </row>
    <row r="9911" spans="1:13">
      <c r="A9911" s="33" t="str">
        <f t="shared" si="616"/>
        <v>SCL - Operating Expense</v>
      </c>
      <c r="B9911" s="33" t="str">
        <f t="shared" si="617"/>
        <v>SCL</v>
      </c>
      <c r="C9911" s="33" t="str">
        <f t="shared" si="618"/>
        <v>66701-7492</v>
      </c>
      <c r="D9911" s="64" t="s">
        <v>11164</v>
      </c>
      <c r="E9911" s="64" t="s">
        <v>3236</v>
      </c>
      <c r="F9911" s="64" t="s">
        <v>15</v>
      </c>
      <c r="G9911" s="64" t="s">
        <v>3017</v>
      </c>
      <c r="H9911" s="64" t="s">
        <v>3022</v>
      </c>
      <c r="I9911" s="64" t="s">
        <v>3237</v>
      </c>
      <c r="J9911" s="67">
        <v>14</v>
      </c>
      <c r="K9911" s="62">
        <v>140</v>
      </c>
      <c r="L9911" s="33" t="e">
        <f>HLOOKUP(B9911,#REF!,1,0)</f>
        <v>#REF!</v>
      </c>
      <c r="M9911" s="33" t="str">
        <f t="shared" si="619"/>
        <v>P&amp;L</v>
      </c>
    </row>
    <row r="9912" spans="1:13">
      <c r="A9912" s="33" t="str">
        <f t="shared" si="616"/>
        <v>SCL - Operating Expense</v>
      </c>
      <c r="B9912" s="33" t="str">
        <f t="shared" si="617"/>
        <v>SCL</v>
      </c>
      <c r="C9912" s="33" t="str">
        <f t="shared" si="618"/>
        <v>66701-7493</v>
      </c>
      <c r="D9912" s="64" t="s">
        <v>11165</v>
      </c>
      <c r="E9912" s="64" t="s">
        <v>3236</v>
      </c>
      <c r="F9912" s="64" t="s">
        <v>15</v>
      </c>
      <c r="G9912" s="64" t="s">
        <v>3017</v>
      </c>
      <c r="H9912" s="64" t="s">
        <v>3022</v>
      </c>
      <c r="I9912" s="64" t="s">
        <v>3237</v>
      </c>
      <c r="J9912" s="67">
        <v>14</v>
      </c>
      <c r="K9912" s="62">
        <v>140</v>
      </c>
      <c r="L9912" s="33" t="e">
        <f>HLOOKUP(B9912,#REF!,1,0)</f>
        <v>#REF!</v>
      </c>
      <c r="M9912" s="33" t="str">
        <f t="shared" si="619"/>
        <v>P&amp;L</v>
      </c>
    </row>
    <row r="9913" spans="1:13">
      <c r="A9913" s="33" t="str">
        <f t="shared" si="616"/>
        <v>SCL - Operating Expense</v>
      </c>
      <c r="B9913" s="33" t="str">
        <f t="shared" si="617"/>
        <v>SCL</v>
      </c>
      <c r="C9913" s="33" t="str">
        <f t="shared" si="618"/>
        <v>66701-7494</v>
      </c>
      <c r="D9913" s="64" t="s">
        <v>11166</v>
      </c>
      <c r="E9913" s="64" t="s">
        <v>3236</v>
      </c>
      <c r="F9913" s="64" t="s">
        <v>15</v>
      </c>
      <c r="G9913" s="64" t="s">
        <v>3017</v>
      </c>
      <c r="H9913" s="64" t="s">
        <v>3022</v>
      </c>
      <c r="I9913" s="64" t="s">
        <v>3237</v>
      </c>
      <c r="J9913" s="67">
        <v>14</v>
      </c>
      <c r="K9913" s="62">
        <v>140</v>
      </c>
      <c r="L9913" s="33" t="e">
        <f>HLOOKUP(B9913,#REF!,1,0)</f>
        <v>#REF!</v>
      </c>
      <c r="M9913" s="33" t="str">
        <f t="shared" si="619"/>
        <v>P&amp;L</v>
      </c>
    </row>
    <row r="9914" spans="1:13">
      <c r="A9914" s="33" t="str">
        <f t="shared" si="616"/>
        <v>SCL - Operating Expense</v>
      </c>
      <c r="B9914" s="33" t="str">
        <f t="shared" si="617"/>
        <v>SCL</v>
      </c>
      <c r="C9914" s="33" t="str">
        <f t="shared" si="618"/>
        <v>66701-7625</v>
      </c>
      <c r="D9914" s="64" t="s">
        <v>11167</v>
      </c>
      <c r="E9914" s="64" t="s">
        <v>3236</v>
      </c>
      <c r="F9914" s="64" t="s">
        <v>15</v>
      </c>
      <c r="G9914" s="64" t="s">
        <v>3017</v>
      </c>
      <c r="H9914" s="64" t="s">
        <v>3022</v>
      </c>
      <c r="I9914" s="64" t="s">
        <v>3237</v>
      </c>
      <c r="J9914" s="67">
        <v>14</v>
      </c>
      <c r="K9914" s="62">
        <v>164.48</v>
      </c>
      <c r="L9914" s="33" t="e">
        <f>HLOOKUP(B9914,#REF!,1,0)</f>
        <v>#REF!</v>
      </c>
      <c r="M9914" s="33" t="str">
        <f t="shared" si="619"/>
        <v>P&amp;L</v>
      </c>
    </row>
    <row r="9915" spans="1:13">
      <c r="A9915" s="33" t="str">
        <f t="shared" si="616"/>
        <v>SCL - Operating Expense</v>
      </c>
      <c r="B9915" s="33" t="str">
        <f t="shared" si="617"/>
        <v>SCL</v>
      </c>
      <c r="C9915" s="33" t="str">
        <f t="shared" si="618"/>
        <v>66701-8150</v>
      </c>
      <c r="D9915" s="64" t="s">
        <v>11168</v>
      </c>
      <c r="E9915" s="64" t="s">
        <v>3236</v>
      </c>
      <c r="F9915" s="64" t="s">
        <v>15</v>
      </c>
      <c r="G9915" s="64" t="s">
        <v>3017</v>
      </c>
      <c r="H9915" s="64" t="s">
        <v>3022</v>
      </c>
      <c r="I9915" s="64" t="s">
        <v>3237</v>
      </c>
      <c r="J9915" s="67">
        <v>14</v>
      </c>
      <c r="K9915" s="62">
        <v>140</v>
      </c>
      <c r="L9915" s="33" t="e">
        <f>HLOOKUP(B9915,#REF!,1,0)</f>
        <v>#REF!</v>
      </c>
      <c r="M9915" s="33" t="str">
        <f t="shared" si="619"/>
        <v>P&amp;L</v>
      </c>
    </row>
    <row r="9916" spans="1:13">
      <c r="A9916" s="33" t="str">
        <f t="shared" si="616"/>
        <v>SCL - Operating Expense</v>
      </c>
      <c r="B9916" s="33" t="str">
        <f t="shared" si="617"/>
        <v>SCL</v>
      </c>
      <c r="C9916" s="33" t="str">
        <f t="shared" si="618"/>
        <v>67001-7351</v>
      </c>
      <c r="D9916" s="64" t="s">
        <v>11169</v>
      </c>
      <c r="E9916" s="64" t="s">
        <v>3242</v>
      </c>
      <c r="F9916" s="64" t="s">
        <v>15</v>
      </c>
      <c r="G9916" s="64" t="s">
        <v>3044</v>
      </c>
      <c r="H9916" s="64" t="s">
        <v>3022</v>
      </c>
      <c r="I9916" s="64" t="s">
        <v>3243</v>
      </c>
      <c r="J9916" s="67">
        <v>5432.17</v>
      </c>
      <c r="K9916" s="62">
        <v>44550.11</v>
      </c>
      <c r="L9916" s="33" t="e">
        <f>HLOOKUP(B9916,#REF!,1,0)</f>
        <v>#REF!</v>
      </c>
      <c r="M9916" s="33" t="str">
        <f t="shared" si="619"/>
        <v>P&amp;L</v>
      </c>
    </row>
    <row r="9917" spans="1:13">
      <c r="A9917" s="33" t="str">
        <f t="shared" si="616"/>
        <v>SCL - Operating Expense</v>
      </c>
      <c r="B9917" s="33" t="str">
        <f t="shared" si="617"/>
        <v>SCL</v>
      </c>
      <c r="C9917" s="33" t="str">
        <f t="shared" si="618"/>
        <v>67001-7352</v>
      </c>
      <c r="D9917" s="64" t="s">
        <v>11170</v>
      </c>
      <c r="E9917" s="64" t="s">
        <v>3242</v>
      </c>
      <c r="F9917" s="64" t="s">
        <v>15</v>
      </c>
      <c r="G9917" s="64" t="s">
        <v>3044</v>
      </c>
      <c r="H9917" s="64" t="s">
        <v>3022</v>
      </c>
      <c r="I9917" s="64" t="s">
        <v>3243</v>
      </c>
      <c r="J9917" s="67">
        <v>4927.93</v>
      </c>
      <c r="K9917" s="62">
        <v>39397.68</v>
      </c>
      <c r="L9917" s="33" t="e">
        <f>HLOOKUP(B9917,#REF!,1,0)</f>
        <v>#REF!</v>
      </c>
      <c r="M9917" s="33" t="str">
        <f t="shared" si="619"/>
        <v>P&amp;L</v>
      </c>
    </row>
    <row r="9918" spans="1:13">
      <c r="A9918" s="33" t="str">
        <f t="shared" si="616"/>
        <v>SCL - Operating Expense</v>
      </c>
      <c r="B9918" s="33" t="str">
        <f t="shared" si="617"/>
        <v>SCL</v>
      </c>
      <c r="C9918" s="33" t="str">
        <f t="shared" si="618"/>
        <v>67001-7355</v>
      </c>
      <c r="D9918" s="64" t="s">
        <v>11171</v>
      </c>
      <c r="E9918" s="64" t="s">
        <v>3242</v>
      </c>
      <c r="F9918" s="64" t="s">
        <v>15</v>
      </c>
      <c r="G9918" s="64" t="s">
        <v>3044</v>
      </c>
      <c r="H9918" s="64" t="s">
        <v>3022</v>
      </c>
      <c r="I9918" s="64" t="s">
        <v>3243</v>
      </c>
      <c r="J9918" s="67">
        <v>5289.51</v>
      </c>
      <c r="K9918" s="62">
        <v>44458.9</v>
      </c>
      <c r="L9918" s="33" t="e">
        <f>HLOOKUP(B9918,#REF!,1,0)</f>
        <v>#REF!</v>
      </c>
      <c r="M9918" s="33" t="str">
        <f t="shared" si="619"/>
        <v>P&amp;L</v>
      </c>
    </row>
    <row r="9919" spans="1:13">
      <c r="A9919" s="33" t="str">
        <f t="shared" si="616"/>
        <v>SCL - Operating Expense</v>
      </c>
      <c r="B9919" s="33" t="str">
        <f t="shared" si="617"/>
        <v>SCL</v>
      </c>
      <c r="C9919" s="33" t="str">
        <f t="shared" si="618"/>
        <v>67001-7356</v>
      </c>
      <c r="D9919" s="64" t="s">
        <v>11172</v>
      </c>
      <c r="E9919" s="64" t="s">
        <v>3242</v>
      </c>
      <c r="F9919" s="64" t="s">
        <v>15</v>
      </c>
      <c r="G9919" s="64" t="s">
        <v>3044</v>
      </c>
      <c r="H9919" s="64" t="s">
        <v>3022</v>
      </c>
      <c r="I9919" s="64" t="s">
        <v>3243</v>
      </c>
      <c r="J9919" s="67">
        <v>0</v>
      </c>
      <c r="K9919" s="62">
        <v>3378.84</v>
      </c>
      <c r="L9919" s="33" t="e">
        <f>HLOOKUP(B9919,#REF!,1,0)</f>
        <v>#REF!</v>
      </c>
      <c r="M9919" s="33" t="str">
        <f t="shared" si="619"/>
        <v>P&amp;L</v>
      </c>
    </row>
    <row r="9920" spans="1:13">
      <c r="A9920" s="33" t="str">
        <f t="shared" si="616"/>
        <v>SCL - Operating Expense</v>
      </c>
      <c r="B9920" s="33" t="str">
        <f t="shared" si="617"/>
        <v>SCL</v>
      </c>
      <c r="C9920" s="33" t="str">
        <f t="shared" si="618"/>
        <v>67001-7359</v>
      </c>
      <c r="D9920" s="64" t="s">
        <v>11173</v>
      </c>
      <c r="E9920" s="64" t="s">
        <v>3242</v>
      </c>
      <c r="F9920" s="64" t="s">
        <v>15</v>
      </c>
      <c r="G9920" s="64" t="s">
        <v>3044</v>
      </c>
      <c r="H9920" s="64" t="s">
        <v>3022</v>
      </c>
      <c r="I9920" s="64" t="s">
        <v>3243</v>
      </c>
      <c r="J9920" s="67">
        <v>4421.18</v>
      </c>
      <c r="K9920" s="62">
        <v>35448.87</v>
      </c>
      <c r="L9920" s="33" t="e">
        <f>HLOOKUP(B9920,#REF!,1,0)</f>
        <v>#REF!</v>
      </c>
      <c r="M9920" s="33" t="str">
        <f t="shared" si="619"/>
        <v>P&amp;L</v>
      </c>
    </row>
    <row r="9921" spans="1:13">
      <c r="A9921" s="33" t="str">
        <f t="shared" si="616"/>
        <v>SCL - Operating Expense</v>
      </c>
      <c r="B9921" s="33" t="str">
        <f t="shared" si="617"/>
        <v>SCL</v>
      </c>
      <c r="C9921" s="33" t="str">
        <f t="shared" si="618"/>
        <v>67001-7360</v>
      </c>
      <c r="D9921" s="64" t="s">
        <v>11174</v>
      </c>
      <c r="E9921" s="64" t="s">
        <v>3242</v>
      </c>
      <c r="F9921" s="64" t="s">
        <v>15</v>
      </c>
      <c r="G9921" s="64" t="s">
        <v>3044</v>
      </c>
      <c r="H9921" s="64" t="s">
        <v>3022</v>
      </c>
      <c r="I9921" s="64" t="s">
        <v>3243</v>
      </c>
      <c r="J9921" s="67">
        <v>6617.2</v>
      </c>
      <c r="K9921" s="62">
        <v>49022.13</v>
      </c>
      <c r="L9921" s="33" t="e">
        <f>HLOOKUP(B9921,#REF!,1,0)</f>
        <v>#REF!</v>
      </c>
      <c r="M9921" s="33" t="str">
        <f t="shared" si="619"/>
        <v>P&amp;L</v>
      </c>
    </row>
    <row r="9922" spans="1:13">
      <c r="A9922" s="33" t="str">
        <f t="shared" ref="A9922:A9985" si="620">B9922&amp;" - "&amp;TRIM(H9922)</f>
        <v>SCL - Operating Expense</v>
      </c>
      <c r="B9922" s="33" t="str">
        <f t="shared" ref="B9922:B9985" si="621">LEFT(D9922,3)</f>
        <v>SCL</v>
      </c>
      <c r="C9922" s="33" t="str">
        <f t="shared" ref="C9922:C9985" si="622">RIGHT(D9922,10)</f>
        <v>67001-7361</v>
      </c>
      <c r="D9922" s="64" t="s">
        <v>11175</v>
      </c>
      <c r="E9922" s="64" t="s">
        <v>3242</v>
      </c>
      <c r="F9922" s="64" t="s">
        <v>15</v>
      </c>
      <c r="G9922" s="64" t="s">
        <v>3044</v>
      </c>
      <c r="H9922" s="64" t="s">
        <v>3022</v>
      </c>
      <c r="I9922" s="64" t="s">
        <v>3243</v>
      </c>
      <c r="J9922" s="67">
        <v>5714.64</v>
      </c>
      <c r="K9922" s="62">
        <v>47306.5</v>
      </c>
      <c r="L9922" s="33" t="e">
        <f>HLOOKUP(B9922,#REF!,1,0)</f>
        <v>#REF!</v>
      </c>
      <c r="M9922" s="33" t="str">
        <f t="shared" ref="M9922:M9985" si="623">IF(VALUE(LEFT(C9922,5))&gt;40000,"P&amp;L","BS")</f>
        <v>P&amp;L</v>
      </c>
    </row>
    <row r="9923" spans="1:13">
      <c r="A9923" s="33" t="str">
        <f t="shared" si="620"/>
        <v>SCL - Operating Expense</v>
      </c>
      <c r="B9923" s="33" t="str">
        <f t="shared" si="621"/>
        <v>SCL</v>
      </c>
      <c r="C9923" s="33" t="str">
        <f t="shared" si="622"/>
        <v>67001-7362</v>
      </c>
      <c r="D9923" s="64" t="s">
        <v>11176</v>
      </c>
      <c r="E9923" s="64" t="s">
        <v>3242</v>
      </c>
      <c r="F9923" s="64" t="s">
        <v>15</v>
      </c>
      <c r="G9923" s="64" t="s">
        <v>3044</v>
      </c>
      <c r="H9923" s="64" t="s">
        <v>3022</v>
      </c>
      <c r="I9923" s="64" t="s">
        <v>3243</v>
      </c>
      <c r="J9923" s="67">
        <v>3620.54</v>
      </c>
      <c r="K9923" s="62">
        <v>29684.93</v>
      </c>
      <c r="L9923" s="33" t="e">
        <f>HLOOKUP(B9923,#REF!,1,0)</f>
        <v>#REF!</v>
      </c>
      <c r="M9923" s="33" t="str">
        <f t="shared" si="623"/>
        <v>P&amp;L</v>
      </c>
    </row>
    <row r="9924" spans="1:13">
      <c r="A9924" s="33" t="str">
        <f t="shared" si="620"/>
        <v>SCL - Operating Expense</v>
      </c>
      <c r="B9924" s="33" t="str">
        <f t="shared" si="621"/>
        <v>SCL</v>
      </c>
      <c r="C9924" s="33" t="str">
        <f t="shared" si="622"/>
        <v>67001-7363</v>
      </c>
      <c r="D9924" s="64" t="s">
        <v>11177</v>
      </c>
      <c r="E9924" s="64" t="s">
        <v>3242</v>
      </c>
      <c r="F9924" s="64" t="s">
        <v>15</v>
      </c>
      <c r="G9924" s="64" t="s">
        <v>3044</v>
      </c>
      <c r="H9924" s="64" t="s">
        <v>3022</v>
      </c>
      <c r="I9924" s="64" t="s">
        <v>3243</v>
      </c>
      <c r="J9924" s="67">
        <v>4346.94</v>
      </c>
      <c r="K9924" s="62">
        <v>36113.42</v>
      </c>
      <c r="L9924" s="33" t="e">
        <f>HLOOKUP(B9924,#REF!,1,0)</f>
        <v>#REF!</v>
      </c>
      <c r="M9924" s="33" t="str">
        <f t="shared" si="623"/>
        <v>P&amp;L</v>
      </c>
    </row>
    <row r="9925" spans="1:13">
      <c r="A9925" s="33" t="str">
        <f t="shared" si="620"/>
        <v>SCL - Operating Expense</v>
      </c>
      <c r="B9925" s="33" t="str">
        <f t="shared" si="621"/>
        <v>SCL</v>
      </c>
      <c r="C9925" s="33" t="str">
        <f t="shared" si="622"/>
        <v>67001-7364</v>
      </c>
      <c r="D9925" s="64" t="s">
        <v>11178</v>
      </c>
      <c r="E9925" s="64" t="s">
        <v>3242</v>
      </c>
      <c r="F9925" s="64" t="s">
        <v>15</v>
      </c>
      <c r="G9925" s="64" t="s">
        <v>3044</v>
      </c>
      <c r="H9925" s="64" t="s">
        <v>3022</v>
      </c>
      <c r="I9925" s="64" t="s">
        <v>3243</v>
      </c>
      <c r="J9925" s="67">
        <v>2255.53</v>
      </c>
      <c r="K9925" s="62">
        <v>18109.63</v>
      </c>
      <c r="L9925" s="33" t="e">
        <f>HLOOKUP(B9925,#REF!,1,0)</f>
        <v>#REF!</v>
      </c>
      <c r="M9925" s="33" t="str">
        <f t="shared" si="623"/>
        <v>P&amp;L</v>
      </c>
    </row>
    <row r="9926" spans="1:13">
      <c r="A9926" s="33" t="str">
        <f t="shared" si="620"/>
        <v>SCL - Operating Expense</v>
      </c>
      <c r="B9926" s="33" t="str">
        <f t="shared" si="621"/>
        <v>SCL</v>
      </c>
      <c r="C9926" s="33" t="str">
        <f t="shared" si="622"/>
        <v>67001-7365</v>
      </c>
      <c r="D9926" s="64" t="s">
        <v>11179</v>
      </c>
      <c r="E9926" s="64" t="s">
        <v>3242</v>
      </c>
      <c r="F9926" s="64" t="s">
        <v>15</v>
      </c>
      <c r="G9926" s="64" t="s">
        <v>3044</v>
      </c>
      <c r="H9926" s="64" t="s">
        <v>3022</v>
      </c>
      <c r="I9926" s="64" t="s">
        <v>3243</v>
      </c>
      <c r="J9926" s="67">
        <v>4060.03</v>
      </c>
      <c r="K9926" s="62">
        <v>33808.2</v>
      </c>
      <c r="L9926" s="33" t="e">
        <f>HLOOKUP(B9926,#REF!,1,0)</f>
        <v>#REF!</v>
      </c>
      <c r="M9926" s="33" t="str">
        <f t="shared" si="623"/>
        <v>P&amp;L</v>
      </c>
    </row>
    <row r="9927" spans="1:13">
      <c r="A9927" s="33" t="str">
        <f t="shared" si="620"/>
        <v>SCL - Operating Expense</v>
      </c>
      <c r="B9927" s="33" t="str">
        <f t="shared" si="621"/>
        <v>SCL</v>
      </c>
      <c r="C9927" s="33" t="str">
        <f t="shared" si="622"/>
        <v>67001-7366</v>
      </c>
      <c r="D9927" s="64" t="s">
        <v>11180</v>
      </c>
      <c r="E9927" s="64" t="s">
        <v>3242</v>
      </c>
      <c r="F9927" s="64" t="s">
        <v>15</v>
      </c>
      <c r="G9927" s="64" t="s">
        <v>3044</v>
      </c>
      <c r="H9927" s="64" t="s">
        <v>3022</v>
      </c>
      <c r="I9927" s="64" t="s">
        <v>3243</v>
      </c>
      <c r="J9927" s="67">
        <v>7273.57</v>
      </c>
      <c r="K9927" s="62">
        <v>59029.17</v>
      </c>
      <c r="L9927" s="33" t="e">
        <f>HLOOKUP(B9927,#REF!,1,0)</f>
        <v>#REF!</v>
      </c>
      <c r="M9927" s="33" t="str">
        <f t="shared" si="623"/>
        <v>P&amp;L</v>
      </c>
    </row>
    <row r="9928" spans="1:13">
      <c r="A9928" s="33" t="str">
        <f t="shared" si="620"/>
        <v>SCL - Operating Expense</v>
      </c>
      <c r="B9928" s="33" t="str">
        <f t="shared" si="621"/>
        <v>SCL</v>
      </c>
      <c r="C9928" s="33" t="str">
        <f t="shared" si="622"/>
        <v>67001-7368</v>
      </c>
      <c r="D9928" s="64" t="s">
        <v>11181</v>
      </c>
      <c r="E9928" s="64" t="s">
        <v>3242</v>
      </c>
      <c r="F9928" s="64" t="s">
        <v>15</v>
      </c>
      <c r="G9928" s="64" t="s">
        <v>3044</v>
      </c>
      <c r="H9928" s="64" t="s">
        <v>3022</v>
      </c>
      <c r="I9928" s="64" t="s">
        <v>3243</v>
      </c>
      <c r="J9928" s="67">
        <v>8710.16</v>
      </c>
      <c r="K9928" s="62">
        <v>70755.85</v>
      </c>
      <c r="L9928" s="33" t="e">
        <f>HLOOKUP(B9928,#REF!,1,0)</f>
        <v>#REF!</v>
      </c>
      <c r="M9928" s="33" t="str">
        <f t="shared" si="623"/>
        <v>P&amp;L</v>
      </c>
    </row>
    <row r="9929" spans="1:13">
      <c r="A9929" s="33" t="str">
        <f t="shared" si="620"/>
        <v>SCL - Operating Expense</v>
      </c>
      <c r="B9929" s="33" t="str">
        <f t="shared" si="621"/>
        <v>SCL</v>
      </c>
      <c r="C9929" s="33" t="str">
        <f t="shared" si="622"/>
        <v>67001-7369</v>
      </c>
      <c r="D9929" s="64" t="s">
        <v>11182</v>
      </c>
      <c r="E9929" s="64" t="s">
        <v>3242</v>
      </c>
      <c r="F9929" s="64" t="s">
        <v>15</v>
      </c>
      <c r="G9929" s="64" t="s">
        <v>3044</v>
      </c>
      <c r="H9929" s="64" t="s">
        <v>3022</v>
      </c>
      <c r="I9929" s="64" t="s">
        <v>3243</v>
      </c>
      <c r="J9929" s="67">
        <v>4315.73</v>
      </c>
      <c r="K9929" s="62">
        <v>36729.12</v>
      </c>
      <c r="L9929" s="33" t="e">
        <f>HLOOKUP(B9929,#REF!,1,0)</f>
        <v>#REF!</v>
      </c>
      <c r="M9929" s="33" t="str">
        <f t="shared" si="623"/>
        <v>P&amp;L</v>
      </c>
    </row>
    <row r="9930" spans="1:13">
      <c r="A9930" s="33" t="str">
        <f t="shared" si="620"/>
        <v>SCL - Operating Expense</v>
      </c>
      <c r="B9930" s="33" t="str">
        <f t="shared" si="621"/>
        <v>SCL</v>
      </c>
      <c r="C9930" s="33" t="str">
        <f t="shared" si="622"/>
        <v>67001-7371</v>
      </c>
      <c r="D9930" s="64" t="s">
        <v>11183</v>
      </c>
      <c r="E9930" s="64" t="s">
        <v>3242</v>
      </c>
      <c r="F9930" s="64" t="s">
        <v>15</v>
      </c>
      <c r="G9930" s="64" t="s">
        <v>3044</v>
      </c>
      <c r="H9930" s="64" t="s">
        <v>3022</v>
      </c>
      <c r="I9930" s="64" t="s">
        <v>3243</v>
      </c>
      <c r="J9930" s="67">
        <v>4962.84</v>
      </c>
      <c r="K9930" s="62">
        <v>40447.38</v>
      </c>
      <c r="L9930" s="33" t="e">
        <f>HLOOKUP(B9930,#REF!,1,0)</f>
        <v>#REF!</v>
      </c>
      <c r="M9930" s="33" t="str">
        <f t="shared" si="623"/>
        <v>P&amp;L</v>
      </c>
    </row>
    <row r="9931" spans="1:13">
      <c r="A9931" s="33" t="str">
        <f t="shared" si="620"/>
        <v>SCL - Operating Expense</v>
      </c>
      <c r="B9931" s="33" t="str">
        <f t="shared" si="621"/>
        <v>SCL</v>
      </c>
      <c r="C9931" s="33" t="str">
        <f t="shared" si="622"/>
        <v>67001-7374</v>
      </c>
      <c r="D9931" s="64" t="s">
        <v>11184</v>
      </c>
      <c r="E9931" s="64" t="s">
        <v>3242</v>
      </c>
      <c r="F9931" s="64" t="s">
        <v>15</v>
      </c>
      <c r="G9931" s="64" t="s">
        <v>3044</v>
      </c>
      <c r="H9931" s="64" t="s">
        <v>3022</v>
      </c>
      <c r="I9931" s="64" t="s">
        <v>3243</v>
      </c>
      <c r="J9931" s="67">
        <v>6441.21</v>
      </c>
      <c r="K9931" s="62">
        <v>47794.48</v>
      </c>
      <c r="L9931" s="33" t="e">
        <f>HLOOKUP(B9931,#REF!,1,0)</f>
        <v>#REF!</v>
      </c>
      <c r="M9931" s="33" t="str">
        <f t="shared" si="623"/>
        <v>P&amp;L</v>
      </c>
    </row>
    <row r="9932" spans="1:13">
      <c r="A9932" s="33" t="str">
        <f t="shared" si="620"/>
        <v>SCL - Operating Expense</v>
      </c>
      <c r="B9932" s="33" t="str">
        <f t="shared" si="621"/>
        <v>SCL</v>
      </c>
      <c r="C9932" s="33" t="str">
        <f t="shared" si="622"/>
        <v>67001-7375</v>
      </c>
      <c r="D9932" s="64" t="s">
        <v>11185</v>
      </c>
      <c r="E9932" s="64" t="s">
        <v>3242</v>
      </c>
      <c r="F9932" s="64" t="s">
        <v>15</v>
      </c>
      <c r="G9932" s="64" t="s">
        <v>3044</v>
      </c>
      <c r="H9932" s="64" t="s">
        <v>3022</v>
      </c>
      <c r="I9932" s="64" t="s">
        <v>3243</v>
      </c>
      <c r="J9932" s="67">
        <v>5031.1</v>
      </c>
      <c r="K9932" s="62">
        <v>40002.73</v>
      </c>
      <c r="L9932" s="33" t="e">
        <f>HLOOKUP(B9932,#REF!,1,0)</f>
        <v>#REF!</v>
      </c>
      <c r="M9932" s="33" t="str">
        <f t="shared" si="623"/>
        <v>P&amp;L</v>
      </c>
    </row>
    <row r="9933" spans="1:13">
      <c r="A9933" s="33" t="str">
        <f t="shared" si="620"/>
        <v>SCL - Operating Expense</v>
      </c>
      <c r="B9933" s="33" t="str">
        <f t="shared" si="621"/>
        <v>SCL</v>
      </c>
      <c r="C9933" s="33" t="str">
        <f t="shared" si="622"/>
        <v>67001-7376</v>
      </c>
      <c r="D9933" s="64" t="s">
        <v>11186</v>
      </c>
      <c r="E9933" s="64" t="s">
        <v>3242</v>
      </c>
      <c r="F9933" s="64" t="s">
        <v>15</v>
      </c>
      <c r="G9933" s="64" t="s">
        <v>3044</v>
      </c>
      <c r="H9933" s="64" t="s">
        <v>3022</v>
      </c>
      <c r="I9933" s="64" t="s">
        <v>3243</v>
      </c>
      <c r="J9933" s="67">
        <v>12490.21</v>
      </c>
      <c r="K9933" s="62">
        <v>103853.09</v>
      </c>
      <c r="L9933" s="33" t="e">
        <f>HLOOKUP(B9933,#REF!,1,0)</f>
        <v>#REF!</v>
      </c>
      <c r="M9933" s="33" t="str">
        <f t="shared" si="623"/>
        <v>P&amp;L</v>
      </c>
    </row>
    <row r="9934" spans="1:13">
      <c r="A9934" s="33" t="str">
        <f t="shared" si="620"/>
        <v>SCL - Operating Expense</v>
      </c>
      <c r="B9934" s="33" t="str">
        <f t="shared" si="621"/>
        <v>SCL</v>
      </c>
      <c r="C9934" s="33" t="str">
        <f t="shared" si="622"/>
        <v>67001-7377</v>
      </c>
      <c r="D9934" s="64" t="s">
        <v>11187</v>
      </c>
      <c r="E9934" s="64" t="s">
        <v>3242</v>
      </c>
      <c r="F9934" s="64" t="s">
        <v>15</v>
      </c>
      <c r="G9934" s="64" t="s">
        <v>3044</v>
      </c>
      <c r="H9934" s="64" t="s">
        <v>3022</v>
      </c>
      <c r="I9934" s="64" t="s">
        <v>3243</v>
      </c>
      <c r="J9934" s="67">
        <v>5616.52</v>
      </c>
      <c r="K9934" s="62">
        <v>46662.99</v>
      </c>
      <c r="L9934" s="33" t="e">
        <f>HLOOKUP(B9934,#REF!,1,0)</f>
        <v>#REF!</v>
      </c>
      <c r="M9934" s="33" t="str">
        <f t="shared" si="623"/>
        <v>P&amp;L</v>
      </c>
    </row>
    <row r="9935" spans="1:13">
      <c r="A9935" s="33" t="str">
        <f t="shared" si="620"/>
        <v>SCL - Operating Expense</v>
      </c>
      <c r="B9935" s="33" t="str">
        <f t="shared" si="621"/>
        <v>SCL</v>
      </c>
      <c r="C9935" s="33" t="str">
        <f t="shared" si="622"/>
        <v>67001-7378</v>
      </c>
      <c r="D9935" s="64" t="s">
        <v>11188</v>
      </c>
      <c r="E9935" s="64" t="s">
        <v>3242</v>
      </c>
      <c r="F9935" s="64" t="s">
        <v>15</v>
      </c>
      <c r="G9935" s="64" t="s">
        <v>3044</v>
      </c>
      <c r="H9935" s="64" t="s">
        <v>3022</v>
      </c>
      <c r="I9935" s="64" t="s">
        <v>3243</v>
      </c>
      <c r="J9935" s="67">
        <v>7995.71</v>
      </c>
      <c r="K9935" s="62">
        <v>64680.38</v>
      </c>
      <c r="L9935" s="33" t="e">
        <f>HLOOKUP(B9935,#REF!,1,0)</f>
        <v>#REF!</v>
      </c>
      <c r="M9935" s="33" t="str">
        <f t="shared" si="623"/>
        <v>P&amp;L</v>
      </c>
    </row>
    <row r="9936" spans="1:13">
      <c r="A9936" s="33" t="str">
        <f t="shared" si="620"/>
        <v>SCL - Operating Expense</v>
      </c>
      <c r="B9936" s="33" t="str">
        <f t="shared" si="621"/>
        <v>SCL</v>
      </c>
      <c r="C9936" s="33" t="str">
        <f t="shared" si="622"/>
        <v>67001-7379</v>
      </c>
      <c r="D9936" s="64" t="s">
        <v>11189</v>
      </c>
      <c r="E9936" s="64" t="s">
        <v>3242</v>
      </c>
      <c r="F9936" s="64" t="s">
        <v>15</v>
      </c>
      <c r="G9936" s="64" t="s">
        <v>3044</v>
      </c>
      <c r="H9936" s="64" t="s">
        <v>3022</v>
      </c>
      <c r="I9936" s="64" t="s">
        <v>3243</v>
      </c>
      <c r="J9936" s="67">
        <v>6465.88</v>
      </c>
      <c r="K9936" s="62">
        <v>54094.66</v>
      </c>
      <c r="L9936" s="33" t="e">
        <f>HLOOKUP(B9936,#REF!,1,0)</f>
        <v>#REF!</v>
      </c>
      <c r="M9936" s="33" t="str">
        <f t="shared" si="623"/>
        <v>P&amp;L</v>
      </c>
    </row>
    <row r="9937" spans="1:13">
      <c r="A9937" s="33" t="str">
        <f t="shared" si="620"/>
        <v>SCL - Operating Expense</v>
      </c>
      <c r="B9937" s="33" t="str">
        <f t="shared" si="621"/>
        <v>SCL</v>
      </c>
      <c r="C9937" s="33" t="str">
        <f t="shared" si="622"/>
        <v>67001-7380</v>
      </c>
      <c r="D9937" s="64" t="s">
        <v>11190</v>
      </c>
      <c r="E9937" s="64" t="s">
        <v>3242</v>
      </c>
      <c r="F9937" s="64" t="s">
        <v>15</v>
      </c>
      <c r="G9937" s="64" t="s">
        <v>3044</v>
      </c>
      <c r="H9937" s="64" t="s">
        <v>3022</v>
      </c>
      <c r="I9937" s="64" t="s">
        <v>3243</v>
      </c>
      <c r="J9937" s="67">
        <v>4157.79</v>
      </c>
      <c r="K9937" s="62">
        <v>34547.01</v>
      </c>
      <c r="L9937" s="33" t="e">
        <f>HLOOKUP(B9937,#REF!,1,0)</f>
        <v>#REF!</v>
      </c>
      <c r="M9937" s="33" t="str">
        <f t="shared" si="623"/>
        <v>P&amp;L</v>
      </c>
    </row>
    <row r="9938" spans="1:13">
      <c r="A9938" s="33" t="str">
        <f t="shared" si="620"/>
        <v>SCL - Operating Expense</v>
      </c>
      <c r="B9938" s="33" t="str">
        <f t="shared" si="621"/>
        <v>SCL</v>
      </c>
      <c r="C9938" s="33" t="str">
        <f t="shared" si="622"/>
        <v>67001-7381</v>
      </c>
      <c r="D9938" s="64" t="s">
        <v>11191</v>
      </c>
      <c r="E9938" s="64" t="s">
        <v>3242</v>
      </c>
      <c r="F9938" s="64" t="s">
        <v>15</v>
      </c>
      <c r="G9938" s="64" t="s">
        <v>3044</v>
      </c>
      <c r="H9938" s="64" t="s">
        <v>3022</v>
      </c>
      <c r="I9938" s="64" t="s">
        <v>3243</v>
      </c>
      <c r="J9938" s="67">
        <v>7325.14</v>
      </c>
      <c r="K9938" s="62">
        <v>58949.73</v>
      </c>
      <c r="L9938" s="33" t="e">
        <f>HLOOKUP(B9938,#REF!,1,0)</f>
        <v>#REF!</v>
      </c>
      <c r="M9938" s="33" t="str">
        <f t="shared" si="623"/>
        <v>P&amp;L</v>
      </c>
    </row>
    <row r="9939" spans="1:13">
      <c r="A9939" s="33" t="str">
        <f t="shared" si="620"/>
        <v>SCL - Operating Expense</v>
      </c>
      <c r="B9939" s="33" t="str">
        <f t="shared" si="621"/>
        <v>SCL</v>
      </c>
      <c r="C9939" s="33" t="str">
        <f t="shared" si="622"/>
        <v>67001-7383</v>
      </c>
      <c r="D9939" s="64" t="s">
        <v>11192</v>
      </c>
      <c r="E9939" s="64" t="s">
        <v>3242</v>
      </c>
      <c r="F9939" s="64" t="s">
        <v>15</v>
      </c>
      <c r="G9939" s="64" t="s">
        <v>3044</v>
      </c>
      <c r="H9939" s="64" t="s">
        <v>3022</v>
      </c>
      <c r="I9939" s="64" t="s">
        <v>3243</v>
      </c>
      <c r="J9939" s="67">
        <v>5683.35</v>
      </c>
      <c r="K9939" s="62">
        <v>47170.24</v>
      </c>
      <c r="L9939" s="33" t="e">
        <f>HLOOKUP(B9939,#REF!,1,0)</f>
        <v>#REF!</v>
      </c>
      <c r="M9939" s="33" t="str">
        <f t="shared" si="623"/>
        <v>P&amp;L</v>
      </c>
    </row>
    <row r="9940" spans="1:13">
      <c r="A9940" s="33" t="str">
        <f t="shared" si="620"/>
        <v>SCL - Operating Expense</v>
      </c>
      <c r="B9940" s="33" t="str">
        <f t="shared" si="621"/>
        <v>SCL</v>
      </c>
      <c r="C9940" s="33" t="str">
        <f t="shared" si="622"/>
        <v>67001-7385</v>
      </c>
      <c r="D9940" s="64" t="s">
        <v>11193</v>
      </c>
      <c r="E9940" s="64" t="s">
        <v>3242</v>
      </c>
      <c r="F9940" s="64" t="s">
        <v>15</v>
      </c>
      <c r="G9940" s="64" t="s">
        <v>3044</v>
      </c>
      <c r="H9940" s="64" t="s">
        <v>3022</v>
      </c>
      <c r="I9940" s="64" t="s">
        <v>3243</v>
      </c>
      <c r="J9940" s="67">
        <v>4001.66</v>
      </c>
      <c r="K9940" s="62">
        <v>31677.87</v>
      </c>
      <c r="L9940" s="33" t="e">
        <f>HLOOKUP(B9940,#REF!,1,0)</f>
        <v>#REF!</v>
      </c>
      <c r="M9940" s="33" t="str">
        <f t="shared" si="623"/>
        <v>P&amp;L</v>
      </c>
    </row>
    <row r="9941" spans="1:13">
      <c r="A9941" s="33" t="str">
        <f t="shared" si="620"/>
        <v>SCL - Operating Expense</v>
      </c>
      <c r="B9941" s="33" t="str">
        <f t="shared" si="621"/>
        <v>SCL</v>
      </c>
      <c r="C9941" s="33" t="str">
        <f t="shared" si="622"/>
        <v>67001-7386</v>
      </c>
      <c r="D9941" s="64" t="s">
        <v>11194</v>
      </c>
      <c r="E9941" s="64" t="s">
        <v>3242</v>
      </c>
      <c r="F9941" s="64" t="s">
        <v>15</v>
      </c>
      <c r="G9941" s="64" t="s">
        <v>3044</v>
      </c>
      <c r="H9941" s="64" t="s">
        <v>3022</v>
      </c>
      <c r="I9941" s="64" t="s">
        <v>3243</v>
      </c>
      <c r="J9941" s="67">
        <v>4905.82</v>
      </c>
      <c r="K9941" s="62">
        <v>40841.49</v>
      </c>
      <c r="L9941" s="33" t="e">
        <f>HLOOKUP(B9941,#REF!,1,0)</f>
        <v>#REF!</v>
      </c>
      <c r="M9941" s="33" t="str">
        <f t="shared" si="623"/>
        <v>P&amp;L</v>
      </c>
    </row>
    <row r="9942" spans="1:13">
      <c r="A9942" s="33" t="str">
        <f t="shared" si="620"/>
        <v>SCL - Operating Expense</v>
      </c>
      <c r="B9942" s="33" t="str">
        <f t="shared" si="621"/>
        <v>SCL</v>
      </c>
      <c r="C9942" s="33" t="str">
        <f t="shared" si="622"/>
        <v>67001-7387</v>
      </c>
      <c r="D9942" s="64" t="s">
        <v>11195</v>
      </c>
      <c r="E9942" s="64" t="s">
        <v>3242</v>
      </c>
      <c r="F9942" s="64" t="s">
        <v>15</v>
      </c>
      <c r="G9942" s="64" t="s">
        <v>3044</v>
      </c>
      <c r="H9942" s="64" t="s">
        <v>3022</v>
      </c>
      <c r="I9942" s="64" t="s">
        <v>3243</v>
      </c>
      <c r="J9942" s="67">
        <v>6828.6</v>
      </c>
      <c r="K9942" s="62">
        <v>54066.29</v>
      </c>
      <c r="L9942" s="33" t="e">
        <f>HLOOKUP(B9942,#REF!,1,0)</f>
        <v>#REF!</v>
      </c>
      <c r="M9942" s="33" t="str">
        <f t="shared" si="623"/>
        <v>P&amp;L</v>
      </c>
    </row>
    <row r="9943" spans="1:13">
      <c r="A9943" s="33" t="str">
        <f t="shared" si="620"/>
        <v>SCL - Operating Expense</v>
      </c>
      <c r="B9943" s="33" t="str">
        <f t="shared" si="621"/>
        <v>SCL</v>
      </c>
      <c r="C9943" s="33" t="str">
        <f t="shared" si="622"/>
        <v>67001-7389</v>
      </c>
      <c r="D9943" s="64" t="s">
        <v>11196</v>
      </c>
      <c r="E9943" s="64" t="s">
        <v>3242</v>
      </c>
      <c r="F9943" s="64" t="s">
        <v>15</v>
      </c>
      <c r="G9943" s="64" t="s">
        <v>3044</v>
      </c>
      <c r="H9943" s="64" t="s">
        <v>3022</v>
      </c>
      <c r="I9943" s="64" t="s">
        <v>3243</v>
      </c>
      <c r="J9943" s="67">
        <v>8497.08</v>
      </c>
      <c r="K9943" s="62">
        <v>69600.3</v>
      </c>
      <c r="L9943" s="33" t="e">
        <f>HLOOKUP(B9943,#REF!,1,0)</f>
        <v>#REF!</v>
      </c>
      <c r="M9943" s="33" t="str">
        <f t="shared" si="623"/>
        <v>P&amp;L</v>
      </c>
    </row>
    <row r="9944" spans="1:13">
      <c r="A9944" s="33" t="str">
        <f t="shared" si="620"/>
        <v>SCL - Operating Expense</v>
      </c>
      <c r="B9944" s="33" t="str">
        <f t="shared" si="621"/>
        <v>SCL</v>
      </c>
      <c r="C9944" s="33" t="str">
        <f t="shared" si="622"/>
        <v>67001-7391</v>
      </c>
      <c r="D9944" s="64" t="s">
        <v>11197</v>
      </c>
      <c r="E9944" s="64" t="s">
        <v>3242</v>
      </c>
      <c r="F9944" s="64" t="s">
        <v>15</v>
      </c>
      <c r="G9944" s="64" t="s">
        <v>3044</v>
      </c>
      <c r="H9944" s="64" t="s">
        <v>3022</v>
      </c>
      <c r="I9944" s="64" t="s">
        <v>3243</v>
      </c>
      <c r="J9944" s="67">
        <v>6110.08</v>
      </c>
      <c r="K9944" s="62">
        <v>49050.67</v>
      </c>
      <c r="L9944" s="33" t="e">
        <f>HLOOKUP(B9944,#REF!,1,0)</f>
        <v>#REF!</v>
      </c>
      <c r="M9944" s="33" t="str">
        <f t="shared" si="623"/>
        <v>P&amp;L</v>
      </c>
    </row>
    <row r="9945" spans="1:13">
      <c r="A9945" s="33" t="str">
        <f t="shared" si="620"/>
        <v>SCL - Operating Expense</v>
      </c>
      <c r="B9945" s="33" t="str">
        <f t="shared" si="621"/>
        <v>SCL</v>
      </c>
      <c r="C9945" s="33" t="str">
        <f t="shared" si="622"/>
        <v>67001-7393</v>
      </c>
      <c r="D9945" s="64" t="s">
        <v>11198</v>
      </c>
      <c r="E9945" s="64" t="s">
        <v>3242</v>
      </c>
      <c r="F9945" s="64" t="s">
        <v>15</v>
      </c>
      <c r="G9945" s="64" t="s">
        <v>3044</v>
      </c>
      <c r="H9945" s="64" t="s">
        <v>3022</v>
      </c>
      <c r="I9945" s="64" t="s">
        <v>3243</v>
      </c>
      <c r="J9945" s="67">
        <v>4772.38</v>
      </c>
      <c r="K9945" s="62">
        <v>40794.77</v>
      </c>
      <c r="L9945" s="33" t="e">
        <f>HLOOKUP(B9945,#REF!,1,0)</f>
        <v>#REF!</v>
      </c>
      <c r="M9945" s="33" t="str">
        <f t="shared" si="623"/>
        <v>P&amp;L</v>
      </c>
    </row>
    <row r="9946" spans="1:13">
      <c r="A9946" s="33" t="str">
        <f t="shared" si="620"/>
        <v>SCL - Operating Expense</v>
      </c>
      <c r="B9946" s="33" t="str">
        <f t="shared" si="621"/>
        <v>SCL</v>
      </c>
      <c r="C9946" s="33" t="str">
        <f t="shared" si="622"/>
        <v>67001-7394</v>
      </c>
      <c r="D9946" s="64" t="s">
        <v>11199</v>
      </c>
      <c r="E9946" s="64" t="s">
        <v>3242</v>
      </c>
      <c r="F9946" s="64" t="s">
        <v>15</v>
      </c>
      <c r="G9946" s="64" t="s">
        <v>3044</v>
      </c>
      <c r="H9946" s="64" t="s">
        <v>3022</v>
      </c>
      <c r="I9946" s="64" t="s">
        <v>3243</v>
      </c>
      <c r="J9946" s="67">
        <v>4104.22</v>
      </c>
      <c r="K9946" s="62">
        <v>36435.14</v>
      </c>
      <c r="L9946" s="33" t="e">
        <f>HLOOKUP(B9946,#REF!,1,0)</f>
        <v>#REF!</v>
      </c>
      <c r="M9946" s="33" t="str">
        <f t="shared" si="623"/>
        <v>P&amp;L</v>
      </c>
    </row>
    <row r="9947" spans="1:13">
      <c r="A9947" s="33" t="str">
        <f t="shared" si="620"/>
        <v>SCL - Operating Expense</v>
      </c>
      <c r="B9947" s="33" t="str">
        <f t="shared" si="621"/>
        <v>SCL</v>
      </c>
      <c r="C9947" s="33" t="str">
        <f t="shared" si="622"/>
        <v>67001-7396</v>
      </c>
      <c r="D9947" s="64" t="s">
        <v>11200</v>
      </c>
      <c r="E9947" s="64" t="s">
        <v>3242</v>
      </c>
      <c r="F9947" s="64" t="s">
        <v>15</v>
      </c>
      <c r="G9947" s="64" t="s">
        <v>3044</v>
      </c>
      <c r="H9947" s="64" t="s">
        <v>3022</v>
      </c>
      <c r="I9947" s="64" t="s">
        <v>3243</v>
      </c>
      <c r="J9947" s="67">
        <v>5286.69</v>
      </c>
      <c r="K9947" s="62">
        <v>42257.54</v>
      </c>
      <c r="L9947" s="33" t="e">
        <f>HLOOKUP(B9947,#REF!,1,0)</f>
        <v>#REF!</v>
      </c>
      <c r="M9947" s="33" t="str">
        <f t="shared" si="623"/>
        <v>P&amp;L</v>
      </c>
    </row>
    <row r="9948" spans="1:13">
      <c r="A9948" s="33" t="str">
        <f t="shared" si="620"/>
        <v>SCL - Operating Expense</v>
      </c>
      <c r="B9948" s="33" t="str">
        <f t="shared" si="621"/>
        <v>SCL</v>
      </c>
      <c r="C9948" s="33" t="str">
        <f t="shared" si="622"/>
        <v>67001-7397</v>
      </c>
      <c r="D9948" s="64" t="s">
        <v>11201</v>
      </c>
      <c r="E9948" s="64" t="s">
        <v>3242</v>
      </c>
      <c r="F9948" s="64" t="s">
        <v>15</v>
      </c>
      <c r="G9948" s="64" t="s">
        <v>3044</v>
      </c>
      <c r="H9948" s="64" t="s">
        <v>3022</v>
      </c>
      <c r="I9948" s="64" t="s">
        <v>3243</v>
      </c>
      <c r="J9948" s="67">
        <v>5510.76</v>
      </c>
      <c r="K9948" s="62">
        <v>45389.62</v>
      </c>
      <c r="L9948" s="33" t="e">
        <f>HLOOKUP(B9948,#REF!,1,0)</f>
        <v>#REF!</v>
      </c>
      <c r="M9948" s="33" t="str">
        <f t="shared" si="623"/>
        <v>P&amp;L</v>
      </c>
    </row>
    <row r="9949" spans="1:13">
      <c r="A9949" s="33" t="str">
        <f t="shared" si="620"/>
        <v>SCL - Operating Expense</v>
      </c>
      <c r="B9949" s="33" t="str">
        <f t="shared" si="621"/>
        <v>SCL</v>
      </c>
      <c r="C9949" s="33" t="str">
        <f t="shared" si="622"/>
        <v>67001-7398</v>
      </c>
      <c r="D9949" s="64" t="s">
        <v>11202</v>
      </c>
      <c r="E9949" s="64" t="s">
        <v>3242</v>
      </c>
      <c r="F9949" s="64" t="s">
        <v>15</v>
      </c>
      <c r="G9949" s="64" t="s">
        <v>3044</v>
      </c>
      <c r="H9949" s="64" t="s">
        <v>3022</v>
      </c>
      <c r="I9949" s="64" t="s">
        <v>3243</v>
      </c>
      <c r="J9949" s="67">
        <v>5864.46</v>
      </c>
      <c r="K9949" s="62">
        <v>45386.06</v>
      </c>
      <c r="L9949" s="33" t="e">
        <f>HLOOKUP(B9949,#REF!,1,0)</f>
        <v>#REF!</v>
      </c>
      <c r="M9949" s="33" t="str">
        <f t="shared" si="623"/>
        <v>P&amp;L</v>
      </c>
    </row>
    <row r="9950" spans="1:13">
      <c r="A9950" s="33" t="str">
        <f t="shared" si="620"/>
        <v>SCL - Operating Expense</v>
      </c>
      <c r="B9950" s="33" t="str">
        <f t="shared" si="621"/>
        <v>SCL</v>
      </c>
      <c r="C9950" s="33" t="str">
        <f t="shared" si="622"/>
        <v>67001-7400</v>
      </c>
      <c r="D9950" s="64" t="s">
        <v>11203</v>
      </c>
      <c r="E9950" s="64" t="s">
        <v>3242</v>
      </c>
      <c r="F9950" s="64" t="s">
        <v>15</v>
      </c>
      <c r="G9950" s="64" t="s">
        <v>3044</v>
      </c>
      <c r="H9950" s="64" t="s">
        <v>3022</v>
      </c>
      <c r="I9950" s="64" t="s">
        <v>3243</v>
      </c>
      <c r="J9950" s="67">
        <v>4292.26</v>
      </c>
      <c r="K9950" s="62">
        <v>36607.79</v>
      </c>
      <c r="L9950" s="33" t="e">
        <f>HLOOKUP(B9950,#REF!,1,0)</f>
        <v>#REF!</v>
      </c>
      <c r="M9950" s="33" t="str">
        <f t="shared" si="623"/>
        <v>P&amp;L</v>
      </c>
    </row>
    <row r="9951" spans="1:13">
      <c r="A9951" s="33" t="str">
        <f t="shared" si="620"/>
        <v>SCL - Operating Expense</v>
      </c>
      <c r="B9951" s="33" t="str">
        <f t="shared" si="621"/>
        <v>SCL</v>
      </c>
      <c r="C9951" s="33" t="str">
        <f t="shared" si="622"/>
        <v>67001-7401</v>
      </c>
      <c r="D9951" s="64" t="s">
        <v>11204</v>
      </c>
      <c r="E9951" s="64" t="s">
        <v>3242</v>
      </c>
      <c r="F9951" s="64" t="s">
        <v>15</v>
      </c>
      <c r="G9951" s="64" t="s">
        <v>3044</v>
      </c>
      <c r="H9951" s="64" t="s">
        <v>3022</v>
      </c>
      <c r="I9951" s="64" t="s">
        <v>3243</v>
      </c>
      <c r="J9951" s="67">
        <v>5156.52</v>
      </c>
      <c r="K9951" s="62">
        <v>40926.77</v>
      </c>
      <c r="L9951" s="33" t="e">
        <f>HLOOKUP(B9951,#REF!,1,0)</f>
        <v>#REF!</v>
      </c>
      <c r="M9951" s="33" t="str">
        <f t="shared" si="623"/>
        <v>P&amp;L</v>
      </c>
    </row>
    <row r="9952" spans="1:13">
      <c r="A9952" s="33" t="str">
        <f t="shared" si="620"/>
        <v>SCL - Operating Expense</v>
      </c>
      <c r="B9952" s="33" t="str">
        <f t="shared" si="621"/>
        <v>SCL</v>
      </c>
      <c r="C9952" s="33" t="str">
        <f t="shared" si="622"/>
        <v>67001-7402</v>
      </c>
      <c r="D9952" s="64" t="s">
        <v>11205</v>
      </c>
      <c r="E9952" s="64" t="s">
        <v>3242</v>
      </c>
      <c r="F9952" s="64" t="s">
        <v>15</v>
      </c>
      <c r="G9952" s="64" t="s">
        <v>3044</v>
      </c>
      <c r="H9952" s="64" t="s">
        <v>3022</v>
      </c>
      <c r="I9952" s="64" t="s">
        <v>3243</v>
      </c>
      <c r="J9952" s="67">
        <v>5580.67</v>
      </c>
      <c r="K9952" s="62">
        <v>47400.03</v>
      </c>
      <c r="L9952" s="33" t="e">
        <f>HLOOKUP(B9952,#REF!,1,0)</f>
        <v>#REF!</v>
      </c>
      <c r="M9952" s="33" t="str">
        <f t="shared" si="623"/>
        <v>P&amp;L</v>
      </c>
    </row>
    <row r="9953" spans="1:13">
      <c r="A9953" s="33" t="str">
        <f t="shared" si="620"/>
        <v>SCL - Operating Expense</v>
      </c>
      <c r="B9953" s="33" t="str">
        <f t="shared" si="621"/>
        <v>SCL</v>
      </c>
      <c r="C9953" s="33" t="str">
        <f t="shared" si="622"/>
        <v>67001-7403</v>
      </c>
      <c r="D9953" s="64" t="s">
        <v>11206</v>
      </c>
      <c r="E9953" s="64" t="s">
        <v>3242</v>
      </c>
      <c r="F9953" s="64" t="s">
        <v>15</v>
      </c>
      <c r="G9953" s="64" t="s">
        <v>3044</v>
      </c>
      <c r="H9953" s="64" t="s">
        <v>3022</v>
      </c>
      <c r="I9953" s="64" t="s">
        <v>3243</v>
      </c>
      <c r="J9953" s="67">
        <v>5579.11</v>
      </c>
      <c r="K9953" s="62">
        <v>47226.91</v>
      </c>
      <c r="L9953" s="33" t="e">
        <f>HLOOKUP(B9953,#REF!,1,0)</f>
        <v>#REF!</v>
      </c>
      <c r="M9953" s="33" t="str">
        <f t="shared" si="623"/>
        <v>P&amp;L</v>
      </c>
    </row>
    <row r="9954" spans="1:13">
      <c r="A9954" s="33" t="str">
        <f t="shared" si="620"/>
        <v>SCL - Operating Expense</v>
      </c>
      <c r="B9954" s="33" t="str">
        <f t="shared" si="621"/>
        <v>SCL</v>
      </c>
      <c r="C9954" s="33" t="str">
        <f t="shared" si="622"/>
        <v>67001-7489</v>
      </c>
      <c r="D9954" s="64" t="s">
        <v>11207</v>
      </c>
      <c r="E9954" s="64" t="s">
        <v>3242</v>
      </c>
      <c r="F9954" s="64" t="s">
        <v>15</v>
      </c>
      <c r="G9954" s="64" t="s">
        <v>3044</v>
      </c>
      <c r="H9954" s="64" t="s">
        <v>3022</v>
      </c>
      <c r="I9954" s="64" t="s">
        <v>3243</v>
      </c>
      <c r="J9954" s="67">
        <v>8332.9</v>
      </c>
      <c r="K9954" s="62">
        <v>67202.34</v>
      </c>
      <c r="L9954" s="33" t="e">
        <f>HLOOKUP(B9954,#REF!,1,0)</f>
        <v>#REF!</v>
      </c>
      <c r="M9954" s="33" t="str">
        <f t="shared" si="623"/>
        <v>P&amp;L</v>
      </c>
    </row>
    <row r="9955" spans="1:13">
      <c r="A9955" s="33" t="str">
        <f t="shared" si="620"/>
        <v>SCL - Operating Expense</v>
      </c>
      <c r="B9955" s="33" t="str">
        <f t="shared" si="621"/>
        <v>SCL</v>
      </c>
      <c r="C9955" s="33" t="str">
        <f t="shared" si="622"/>
        <v>67001-7491</v>
      </c>
      <c r="D9955" s="64" t="s">
        <v>11208</v>
      </c>
      <c r="E9955" s="64" t="s">
        <v>3242</v>
      </c>
      <c r="F9955" s="64" t="s">
        <v>15</v>
      </c>
      <c r="G9955" s="64" t="s">
        <v>3044</v>
      </c>
      <c r="H9955" s="64" t="s">
        <v>3022</v>
      </c>
      <c r="I9955" s="64" t="s">
        <v>3243</v>
      </c>
      <c r="J9955" s="67">
        <v>4914.25</v>
      </c>
      <c r="K9955" s="62">
        <v>37441.18</v>
      </c>
      <c r="L9955" s="33" t="e">
        <f>HLOOKUP(B9955,#REF!,1,0)</f>
        <v>#REF!</v>
      </c>
      <c r="M9955" s="33" t="str">
        <f t="shared" si="623"/>
        <v>P&amp;L</v>
      </c>
    </row>
    <row r="9956" spans="1:13">
      <c r="A9956" s="33" t="str">
        <f t="shared" si="620"/>
        <v>SCL - Operating Expense</v>
      </c>
      <c r="B9956" s="33" t="str">
        <f t="shared" si="621"/>
        <v>SCL</v>
      </c>
      <c r="C9956" s="33" t="str">
        <f t="shared" si="622"/>
        <v>67001-7492</v>
      </c>
      <c r="D9956" s="64" t="s">
        <v>11209</v>
      </c>
      <c r="E9956" s="64" t="s">
        <v>3242</v>
      </c>
      <c r="F9956" s="64" t="s">
        <v>15</v>
      </c>
      <c r="G9956" s="64" t="s">
        <v>3044</v>
      </c>
      <c r="H9956" s="64" t="s">
        <v>3022</v>
      </c>
      <c r="I9956" s="64" t="s">
        <v>3243</v>
      </c>
      <c r="J9956" s="67">
        <v>5046.33</v>
      </c>
      <c r="K9956" s="62">
        <v>42304.04</v>
      </c>
      <c r="L9956" s="33" t="e">
        <f>HLOOKUP(B9956,#REF!,1,0)</f>
        <v>#REF!</v>
      </c>
      <c r="M9956" s="33" t="str">
        <f t="shared" si="623"/>
        <v>P&amp;L</v>
      </c>
    </row>
    <row r="9957" spans="1:13">
      <c r="A9957" s="33" t="str">
        <f t="shared" si="620"/>
        <v>SCL - Operating Expense</v>
      </c>
      <c r="B9957" s="33" t="str">
        <f t="shared" si="621"/>
        <v>SCL</v>
      </c>
      <c r="C9957" s="33" t="str">
        <f t="shared" si="622"/>
        <v>67001-7493</v>
      </c>
      <c r="D9957" s="64" t="s">
        <v>11210</v>
      </c>
      <c r="E9957" s="64" t="s">
        <v>3242</v>
      </c>
      <c r="F9957" s="64" t="s">
        <v>15</v>
      </c>
      <c r="G9957" s="64" t="s">
        <v>3044</v>
      </c>
      <c r="H9957" s="64" t="s">
        <v>3022</v>
      </c>
      <c r="I9957" s="64" t="s">
        <v>3243</v>
      </c>
      <c r="J9957" s="67">
        <v>7146.84</v>
      </c>
      <c r="K9957" s="62">
        <v>59572.35</v>
      </c>
      <c r="L9957" s="33" t="e">
        <f>HLOOKUP(B9957,#REF!,1,0)</f>
        <v>#REF!</v>
      </c>
      <c r="M9957" s="33" t="str">
        <f t="shared" si="623"/>
        <v>P&amp;L</v>
      </c>
    </row>
    <row r="9958" spans="1:13">
      <c r="A9958" s="33" t="str">
        <f t="shared" si="620"/>
        <v>SCL - Operating Expense</v>
      </c>
      <c r="B9958" s="33" t="str">
        <f t="shared" si="621"/>
        <v>SCL</v>
      </c>
      <c r="C9958" s="33" t="str">
        <f t="shared" si="622"/>
        <v>67001-7494</v>
      </c>
      <c r="D9958" s="64" t="s">
        <v>11211</v>
      </c>
      <c r="E9958" s="64" t="s">
        <v>3242</v>
      </c>
      <c r="F9958" s="64" t="s">
        <v>15</v>
      </c>
      <c r="G9958" s="64" t="s">
        <v>3044</v>
      </c>
      <c r="H9958" s="64" t="s">
        <v>3022</v>
      </c>
      <c r="I9958" s="64" t="s">
        <v>3243</v>
      </c>
      <c r="J9958" s="67">
        <v>5222.73</v>
      </c>
      <c r="K9958" s="62">
        <v>56488.92</v>
      </c>
      <c r="L9958" s="33" t="e">
        <f>HLOOKUP(B9958,#REF!,1,0)</f>
        <v>#REF!</v>
      </c>
      <c r="M9958" s="33" t="str">
        <f t="shared" si="623"/>
        <v>P&amp;L</v>
      </c>
    </row>
    <row r="9959" spans="1:13">
      <c r="A9959" s="33" t="str">
        <f t="shared" si="620"/>
        <v>SCL - Operating Expense</v>
      </c>
      <c r="B9959" s="33" t="str">
        <f t="shared" si="621"/>
        <v>SCL</v>
      </c>
      <c r="C9959" s="33" t="str">
        <f t="shared" si="622"/>
        <v>67001-7625</v>
      </c>
      <c r="D9959" s="64" t="s">
        <v>11212</v>
      </c>
      <c r="E9959" s="64" t="s">
        <v>3242</v>
      </c>
      <c r="F9959" s="64" t="s">
        <v>15</v>
      </c>
      <c r="G9959" s="64" t="s">
        <v>3044</v>
      </c>
      <c r="H9959" s="64" t="s">
        <v>3022</v>
      </c>
      <c r="I9959" s="64" t="s">
        <v>3243</v>
      </c>
      <c r="J9959" s="67">
        <v>6897.55</v>
      </c>
      <c r="K9959" s="62">
        <v>57957.11</v>
      </c>
      <c r="L9959" s="33" t="e">
        <f>HLOOKUP(B9959,#REF!,1,0)</f>
        <v>#REF!</v>
      </c>
      <c r="M9959" s="33" t="str">
        <f t="shared" si="623"/>
        <v>P&amp;L</v>
      </c>
    </row>
    <row r="9960" spans="1:13">
      <c r="A9960" s="33" t="str">
        <f t="shared" si="620"/>
        <v>SCL - Operating Expense</v>
      </c>
      <c r="B9960" s="33" t="str">
        <f t="shared" si="621"/>
        <v>SCL</v>
      </c>
      <c r="C9960" s="33" t="str">
        <f t="shared" si="622"/>
        <v>67001-8150</v>
      </c>
      <c r="D9960" s="64" t="s">
        <v>11213</v>
      </c>
      <c r="E9960" s="64" t="s">
        <v>3242</v>
      </c>
      <c r="F9960" s="64" t="s">
        <v>15</v>
      </c>
      <c r="G9960" s="64" t="s">
        <v>3044</v>
      </c>
      <c r="H9960" s="64" t="s">
        <v>3022</v>
      </c>
      <c r="I9960" s="64" t="s">
        <v>3243</v>
      </c>
      <c r="J9960" s="67">
        <v>5982.33</v>
      </c>
      <c r="K9960" s="62">
        <v>50186.42</v>
      </c>
      <c r="L9960" s="33" t="e">
        <f>HLOOKUP(B9960,#REF!,1,0)</f>
        <v>#REF!</v>
      </c>
      <c r="M9960" s="33" t="str">
        <f t="shared" si="623"/>
        <v>P&amp;L</v>
      </c>
    </row>
    <row r="9961" spans="1:13">
      <c r="A9961" s="33" t="str">
        <f t="shared" si="620"/>
        <v>SCL - Operating Expense</v>
      </c>
      <c r="B9961" s="33" t="str">
        <f t="shared" si="621"/>
        <v>SCL</v>
      </c>
      <c r="C9961" s="33" t="str">
        <f t="shared" si="622"/>
        <v>67501-7351</v>
      </c>
      <c r="D9961" s="64" t="s">
        <v>11214</v>
      </c>
      <c r="E9961" s="64" t="s">
        <v>3248</v>
      </c>
      <c r="F9961" s="64" t="s">
        <v>15</v>
      </c>
      <c r="G9961" s="64" t="s">
        <v>3044</v>
      </c>
      <c r="H9961" s="64" t="s">
        <v>3022</v>
      </c>
      <c r="I9961" s="64" t="s">
        <v>3249</v>
      </c>
      <c r="J9961" s="67">
        <v>8148.26</v>
      </c>
      <c r="K9961" s="62">
        <v>66825.18</v>
      </c>
      <c r="L9961" s="33" t="e">
        <f>HLOOKUP(B9961,#REF!,1,0)</f>
        <v>#REF!</v>
      </c>
      <c r="M9961" s="33" t="str">
        <f t="shared" si="623"/>
        <v>P&amp;L</v>
      </c>
    </row>
    <row r="9962" spans="1:13">
      <c r="A9962" s="33" t="str">
        <f t="shared" si="620"/>
        <v>SCL - Operating Expense</v>
      </c>
      <c r="B9962" s="33" t="str">
        <f t="shared" si="621"/>
        <v>SCL</v>
      </c>
      <c r="C9962" s="33" t="str">
        <f t="shared" si="622"/>
        <v>67501-7352</v>
      </c>
      <c r="D9962" s="64" t="s">
        <v>11215</v>
      </c>
      <c r="E9962" s="64" t="s">
        <v>3248</v>
      </c>
      <c r="F9962" s="64" t="s">
        <v>15</v>
      </c>
      <c r="G9962" s="64" t="s">
        <v>3044</v>
      </c>
      <c r="H9962" s="64" t="s">
        <v>3022</v>
      </c>
      <c r="I9962" s="64" t="s">
        <v>3249</v>
      </c>
      <c r="J9962" s="67">
        <v>7391.87</v>
      </c>
      <c r="K9962" s="62">
        <v>59096.56</v>
      </c>
      <c r="L9962" s="33" t="e">
        <f>HLOOKUP(B9962,#REF!,1,0)</f>
        <v>#REF!</v>
      </c>
      <c r="M9962" s="33" t="str">
        <f t="shared" si="623"/>
        <v>P&amp;L</v>
      </c>
    </row>
    <row r="9963" spans="1:13">
      <c r="A9963" s="33" t="str">
        <f t="shared" si="620"/>
        <v>SCL - Operating Expense</v>
      </c>
      <c r="B9963" s="33" t="str">
        <f t="shared" si="621"/>
        <v>SCL</v>
      </c>
      <c r="C9963" s="33" t="str">
        <f t="shared" si="622"/>
        <v>67501-7355</v>
      </c>
      <c r="D9963" s="64" t="s">
        <v>11216</v>
      </c>
      <c r="E9963" s="64" t="s">
        <v>3248</v>
      </c>
      <c r="F9963" s="64" t="s">
        <v>15</v>
      </c>
      <c r="G9963" s="64" t="s">
        <v>3044</v>
      </c>
      <c r="H9963" s="64" t="s">
        <v>3022</v>
      </c>
      <c r="I9963" s="64" t="s">
        <v>3249</v>
      </c>
      <c r="J9963" s="67">
        <v>7934.25</v>
      </c>
      <c r="K9963" s="62">
        <v>66688.34</v>
      </c>
      <c r="L9963" s="33" t="e">
        <f>HLOOKUP(B9963,#REF!,1,0)</f>
        <v>#REF!</v>
      </c>
      <c r="M9963" s="33" t="str">
        <f t="shared" si="623"/>
        <v>P&amp;L</v>
      </c>
    </row>
    <row r="9964" spans="1:13">
      <c r="A9964" s="33" t="str">
        <f t="shared" si="620"/>
        <v>SCL - Operating Expense</v>
      </c>
      <c r="B9964" s="33" t="str">
        <f t="shared" si="621"/>
        <v>SCL</v>
      </c>
      <c r="C9964" s="33" t="str">
        <f t="shared" si="622"/>
        <v>67501-7356</v>
      </c>
      <c r="D9964" s="64" t="s">
        <v>11217</v>
      </c>
      <c r="E9964" s="64" t="s">
        <v>3248</v>
      </c>
      <c r="F9964" s="64" t="s">
        <v>15</v>
      </c>
      <c r="G9964" s="64" t="s">
        <v>3044</v>
      </c>
      <c r="H9964" s="64" t="s">
        <v>3022</v>
      </c>
      <c r="I9964" s="64" t="s">
        <v>3249</v>
      </c>
      <c r="J9964" s="67">
        <v>0</v>
      </c>
      <c r="K9964" s="62">
        <v>5068.26</v>
      </c>
      <c r="L9964" s="33" t="e">
        <f>HLOOKUP(B9964,#REF!,1,0)</f>
        <v>#REF!</v>
      </c>
      <c r="M9964" s="33" t="str">
        <f t="shared" si="623"/>
        <v>P&amp;L</v>
      </c>
    </row>
    <row r="9965" spans="1:13">
      <c r="A9965" s="33" t="str">
        <f t="shared" si="620"/>
        <v>SCL - Operating Expense</v>
      </c>
      <c r="B9965" s="33" t="str">
        <f t="shared" si="621"/>
        <v>SCL</v>
      </c>
      <c r="C9965" s="33" t="str">
        <f t="shared" si="622"/>
        <v>67501-7359</v>
      </c>
      <c r="D9965" s="64" t="s">
        <v>11218</v>
      </c>
      <c r="E9965" s="64" t="s">
        <v>3248</v>
      </c>
      <c r="F9965" s="64" t="s">
        <v>15</v>
      </c>
      <c r="G9965" s="64" t="s">
        <v>3044</v>
      </c>
      <c r="H9965" s="64" t="s">
        <v>3022</v>
      </c>
      <c r="I9965" s="64" t="s">
        <v>3249</v>
      </c>
      <c r="J9965" s="67">
        <v>6631.75</v>
      </c>
      <c r="K9965" s="62">
        <v>53173.28</v>
      </c>
      <c r="L9965" s="33" t="e">
        <f>HLOOKUP(B9965,#REF!,1,0)</f>
        <v>#REF!</v>
      </c>
      <c r="M9965" s="33" t="str">
        <f t="shared" si="623"/>
        <v>P&amp;L</v>
      </c>
    </row>
    <row r="9966" spans="1:13">
      <c r="A9966" s="33" t="str">
        <f t="shared" si="620"/>
        <v>SCL - Operating Expense</v>
      </c>
      <c r="B9966" s="33" t="str">
        <f t="shared" si="621"/>
        <v>SCL</v>
      </c>
      <c r="C9966" s="33" t="str">
        <f t="shared" si="622"/>
        <v>67501-7360</v>
      </c>
      <c r="D9966" s="64" t="s">
        <v>11219</v>
      </c>
      <c r="E9966" s="64" t="s">
        <v>3248</v>
      </c>
      <c r="F9966" s="64" t="s">
        <v>15</v>
      </c>
      <c r="G9966" s="64" t="s">
        <v>3044</v>
      </c>
      <c r="H9966" s="64" t="s">
        <v>3022</v>
      </c>
      <c r="I9966" s="64" t="s">
        <v>3249</v>
      </c>
      <c r="J9966" s="67">
        <v>9925.8</v>
      </c>
      <c r="K9966" s="62">
        <v>73533.2</v>
      </c>
      <c r="L9966" s="33" t="e">
        <f>HLOOKUP(B9966,#REF!,1,0)</f>
        <v>#REF!</v>
      </c>
      <c r="M9966" s="33" t="str">
        <f t="shared" si="623"/>
        <v>P&amp;L</v>
      </c>
    </row>
    <row r="9967" spans="1:13">
      <c r="A9967" s="33" t="str">
        <f t="shared" si="620"/>
        <v>SCL - Operating Expense</v>
      </c>
      <c r="B9967" s="33" t="str">
        <f t="shared" si="621"/>
        <v>SCL</v>
      </c>
      <c r="C9967" s="33" t="str">
        <f t="shared" si="622"/>
        <v>67501-7361</v>
      </c>
      <c r="D9967" s="64" t="s">
        <v>11220</v>
      </c>
      <c r="E9967" s="64" t="s">
        <v>3248</v>
      </c>
      <c r="F9967" s="64" t="s">
        <v>15</v>
      </c>
      <c r="G9967" s="64" t="s">
        <v>3044</v>
      </c>
      <c r="H9967" s="64" t="s">
        <v>3022</v>
      </c>
      <c r="I9967" s="64" t="s">
        <v>3249</v>
      </c>
      <c r="J9967" s="67">
        <v>8571.95</v>
      </c>
      <c r="K9967" s="62">
        <v>70959.78</v>
      </c>
      <c r="L9967" s="33" t="e">
        <f>HLOOKUP(B9967,#REF!,1,0)</f>
        <v>#REF!</v>
      </c>
      <c r="M9967" s="33" t="str">
        <f t="shared" si="623"/>
        <v>P&amp;L</v>
      </c>
    </row>
    <row r="9968" spans="1:13">
      <c r="A9968" s="33" t="str">
        <f t="shared" si="620"/>
        <v>SCL - Operating Expense</v>
      </c>
      <c r="B9968" s="33" t="str">
        <f t="shared" si="621"/>
        <v>SCL</v>
      </c>
      <c r="C9968" s="33" t="str">
        <f t="shared" si="622"/>
        <v>67501-7362</v>
      </c>
      <c r="D9968" s="64" t="s">
        <v>11221</v>
      </c>
      <c r="E9968" s="64" t="s">
        <v>3248</v>
      </c>
      <c r="F9968" s="64" t="s">
        <v>15</v>
      </c>
      <c r="G9968" s="64" t="s">
        <v>3044</v>
      </c>
      <c r="H9968" s="64" t="s">
        <v>3022</v>
      </c>
      <c r="I9968" s="64" t="s">
        <v>3249</v>
      </c>
      <c r="J9968" s="67">
        <v>5430.79</v>
      </c>
      <c r="K9968" s="62">
        <v>44527.32</v>
      </c>
      <c r="L9968" s="33" t="e">
        <f>HLOOKUP(B9968,#REF!,1,0)</f>
        <v>#REF!</v>
      </c>
      <c r="M9968" s="33" t="str">
        <f t="shared" si="623"/>
        <v>P&amp;L</v>
      </c>
    </row>
    <row r="9969" spans="1:13">
      <c r="A9969" s="33" t="str">
        <f t="shared" si="620"/>
        <v>SCL - Operating Expense</v>
      </c>
      <c r="B9969" s="33" t="str">
        <f t="shared" si="621"/>
        <v>SCL</v>
      </c>
      <c r="C9969" s="33" t="str">
        <f t="shared" si="622"/>
        <v>67501-7363</v>
      </c>
      <c r="D9969" s="64" t="s">
        <v>11222</v>
      </c>
      <c r="E9969" s="64" t="s">
        <v>3248</v>
      </c>
      <c r="F9969" s="64" t="s">
        <v>15</v>
      </c>
      <c r="G9969" s="64" t="s">
        <v>3044</v>
      </c>
      <c r="H9969" s="64" t="s">
        <v>3022</v>
      </c>
      <c r="I9969" s="64" t="s">
        <v>3249</v>
      </c>
      <c r="J9969" s="67">
        <v>6520.44</v>
      </c>
      <c r="K9969" s="62">
        <v>54170.21</v>
      </c>
      <c r="L9969" s="33" t="e">
        <f>HLOOKUP(B9969,#REF!,1,0)</f>
        <v>#REF!</v>
      </c>
      <c r="M9969" s="33" t="str">
        <f t="shared" si="623"/>
        <v>P&amp;L</v>
      </c>
    </row>
    <row r="9970" spans="1:13">
      <c r="A9970" s="33" t="str">
        <f t="shared" si="620"/>
        <v>SCL - Operating Expense</v>
      </c>
      <c r="B9970" s="33" t="str">
        <f t="shared" si="621"/>
        <v>SCL</v>
      </c>
      <c r="C9970" s="33" t="str">
        <f t="shared" si="622"/>
        <v>67501-7364</v>
      </c>
      <c r="D9970" s="64" t="s">
        <v>11223</v>
      </c>
      <c r="E9970" s="64" t="s">
        <v>3248</v>
      </c>
      <c r="F9970" s="64" t="s">
        <v>15</v>
      </c>
      <c r="G9970" s="64" t="s">
        <v>3044</v>
      </c>
      <c r="H9970" s="64" t="s">
        <v>3022</v>
      </c>
      <c r="I9970" s="64" t="s">
        <v>3249</v>
      </c>
      <c r="J9970" s="67">
        <v>3383.28</v>
      </c>
      <c r="K9970" s="62">
        <v>27164.42</v>
      </c>
      <c r="L9970" s="33" t="e">
        <f>HLOOKUP(B9970,#REF!,1,0)</f>
        <v>#REF!</v>
      </c>
      <c r="M9970" s="33" t="str">
        <f t="shared" si="623"/>
        <v>P&amp;L</v>
      </c>
    </row>
    <row r="9971" spans="1:13">
      <c r="A9971" s="33" t="str">
        <f t="shared" si="620"/>
        <v>SCL - Operating Expense</v>
      </c>
      <c r="B9971" s="33" t="str">
        <f t="shared" si="621"/>
        <v>SCL</v>
      </c>
      <c r="C9971" s="33" t="str">
        <f t="shared" si="622"/>
        <v>67501-7365</v>
      </c>
      <c r="D9971" s="64" t="s">
        <v>11224</v>
      </c>
      <c r="E9971" s="64" t="s">
        <v>3248</v>
      </c>
      <c r="F9971" s="64" t="s">
        <v>15</v>
      </c>
      <c r="G9971" s="64" t="s">
        <v>3044</v>
      </c>
      <c r="H9971" s="64" t="s">
        <v>3022</v>
      </c>
      <c r="I9971" s="64" t="s">
        <v>3249</v>
      </c>
      <c r="J9971" s="67">
        <v>6090.04</v>
      </c>
      <c r="K9971" s="62">
        <v>50712.26</v>
      </c>
      <c r="L9971" s="33" t="e">
        <f>HLOOKUP(B9971,#REF!,1,0)</f>
        <v>#REF!</v>
      </c>
      <c r="M9971" s="33" t="str">
        <f t="shared" si="623"/>
        <v>P&amp;L</v>
      </c>
    </row>
    <row r="9972" spans="1:13">
      <c r="A9972" s="33" t="str">
        <f t="shared" si="620"/>
        <v>SCL - Operating Expense</v>
      </c>
      <c r="B9972" s="33" t="str">
        <f t="shared" si="621"/>
        <v>SCL</v>
      </c>
      <c r="C9972" s="33" t="str">
        <f t="shared" si="622"/>
        <v>67501-7366</v>
      </c>
      <c r="D9972" s="64" t="s">
        <v>11225</v>
      </c>
      <c r="E9972" s="64" t="s">
        <v>3248</v>
      </c>
      <c r="F9972" s="64" t="s">
        <v>15</v>
      </c>
      <c r="G9972" s="64" t="s">
        <v>3044</v>
      </c>
      <c r="H9972" s="64" t="s">
        <v>3022</v>
      </c>
      <c r="I9972" s="64" t="s">
        <v>3249</v>
      </c>
      <c r="J9972" s="67">
        <v>10910.33</v>
      </c>
      <c r="K9972" s="62">
        <v>88543.75</v>
      </c>
      <c r="L9972" s="33" t="e">
        <f>HLOOKUP(B9972,#REF!,1,0)</f>
        <v>#REF!</v>
      </c>
      <c r="M9972" s="33" t="str">
        <f t="shared" si="623"/>
        <v>P&amp;L</v>
      </c>
    </row>
    <row r="9973" spans="1:13">
      <c r="A9973" s="33" t="str">
        <f t="shared" si="620"/>
        <v>SCL - Operating Expense</v>
      </c>
      <c r="B9973" s="33" t="str">
        <f t="shared" si="621"/>
        <v>SCL</v>
      </c>
      <c r="C9973" s="33" t="str">
        <f t="shared" si="622"/>
        <v>67501-7368</v>
      </c>
      <c r="D9973" s="64" t="s">
        <v>11226</v>
      </c>
      <c r="E9973" s="64" t="s">
        <v>3248</v>
      </c>
      <c r="F9973" s="64" t="s">
        <v>15</v>
      </c>
      <c r="G9973" s="64" t="s">
        <v>3044</v>
      </c>
      <c r="H9973" s="64" t="s">
        <v>3022</v>
      </c>
      <c r="I9973" s="64" t="s">
        <v>3249</v>
      </c>
      <c r="J9973" s="67">
        <v>13065.26</v>
      </c>
      <c r="K9973" s="62">
        <v>106133.79</v>
      </c>
      <c r="L9973" s="33" t="e">
        <f>HLOOKUP(B9973,#REF!,1,0)</f>
        <v>#REF!</v>
      </c>
      <c r="M9973" s="33" t="str">
        <f t="shared" si="623"/>
        <v>P&amp;L</v>
      </c>
    </row>
    <row r="9974" spans="1:13">
      <c r="A9974" s="33" t="str">
        <f t="shared" si="620"/>
        <v>SCL - Operating Expense</v>
      </c>
      <c r="B9974" s="33" t="str">
        <f t="shared" si="621"/>
        <v>SCL</v>
      </c>
      <c r="C9974" s="33" t="str">
        <f t="shared" si="622"/>
        <v>67501-7369</v>
      </c>
      <c r="D9974" s="64" t="s">
        <v>11227</v>
      </c>
      <c r="E9974" s="64" t="s">
        <v>3248</v>
      </c>
      <c r="F9974" s="64" t="s">
        <v>15</v>
      </c>
      <c r="G9974" s="64" t="s">
        <v>3044</v>
      </c>
      <c r="H9974" s="64" t="s">
        <v>3022</v>
      </c>
      <c r="I9974" s="64" t="s">
        <v>3249</v>
      </c>
      <c r="J9974" s="67">
        <v>6473.61</v>
      </c>
      <c r="K9974" s="62">
        <v>55093.69</v>
      </c>
      <c r="L9974" s="33" t="e">
        <f>HLOOKUP(B9974,#REF!,1,0)</f>
        <v>#REF!</v>
      </c>
      <c r="M9974" s="33" t="str">
        <f t="shared" si="623"/>
        <v>P&amp;L</v>
      </c>
    </row>
    <row r="9975" spans="1:13">
      <c r="A9975" s="33" t="str">
        <f t="shared" si="620"/>
        <v>SCL - Operating Expense</v>
      </c>
      <c r="B9975" s="33" t="str">
        <f t="shared" si="621"/>
        <v>SCL</v>
      </c>
      <c r="C9975" s="33" t="str">
        <f t="shared" si="622"/>
        <v>67501-7371</v>
      </c>
      <c r="D9975" s="64" t="s">
        <v>11228</v>
      </c>
      <c r="E9975" s="64" t="s">
        <v>3248</v>
      </c>
      <c r="F9975" s="64" t="s">
        <v>15</v>
      </c>
      <c r="G9975" s="64" t="s">
        <v>3044</v>
      </c>
      <c r="H9975" s="64" t="s">
        <v>3022</v>
      </c>
      <c r="I9975" s="64" t="s">
        <v>3249</v>
      </c>
      <c r="J9975" s="67">
        <v>7444.25</v>
      </c>
      <c r="K9975" s="62">
        <v>60671.1</v>
      </c>
      <c r="L9975" s="33" t="e">
        <f>HLOOKUP(B9975,#REF!,1,0)</f>
        <v>#REF!</v>
      </c>
      <c r="M9975" s="33" t="str">
        <f t="shared" si="623"/>
        <v>P&amp;L</v>
      </c>
    </row>
    <row r="9976" spans="1:13">
      <c r="A9976" s="33" t="str">
        <f t="shared" si="620"/>
        <v>SCL - Operating Expense</v>
      </c>
      <c r="B9976" s="33" t="str">
        <f t="shared" si="621"/>
        <v>SCL</v>
      </c>
      <c r="C9976" s="33" t="str">
        <f t="shared" si="622"/>
        <v>67501-7374</v>
      </c>
      <c r="D9976" s="64" t="s">
        <v>11229</v>
      </c>
      <c r="E9976" s="64" t="s">
        <v>3248</v>
      </c>
      <c r="F9976" s="64" t="s">
        <v>15</v>
      </c>
      <c r="G9976" s="64" t="s">
        <v>3044</v>
      </c>
      <c r="H9976" s="64" t="s">
        <v>3022</v>
      </c>
      <c r="I9976" s="64" t="s">
        <v>3249</v>
      </c>
      <c r="J9976" s="67">
        <v>9661.78</v>
      </c>
      <c r="K9976" s="62">
        <v>71691.66</v>
      </c>
      <c r="L9976" s="33" t="e">
        <f>HLOOKUP(B9976,#REF!,1,0)</f>
        <v>#REF!</v>
      </c>
      <c r="M9976" s="33" t="str">
        <f t="shared" si="623"/>
        <v>P&amp;L</v>
      </c>
    </row>
    <row r="9977" spans="1:13">
      <c r="A9977" s="33" t="str">
        <f t="shared" si="620"/>
        <v>SCL - Operating Expense</v>
      </c>
      <c r="B9977" s="33" t="str">
        <f t="shared" si="621"/>
        <v>SCL</v>
      </c>
      <c r="C9977" s="33" t="str">
        <f t="shared" si="622"/>
        <v>67501-7375</v>
      </c>
      <c r="D9977" s="64" t="s">
        <v>11230</v>
      </c>
      <c r="E9977" s="64" t="s">
        <v>3248</v>
      </c>
      <c r="F9977" s="64" t="s">
        <v>15</v>
      </c>
      <c r="G9977" s="64" t="s">
        <v>3044</v>
      </c>
      <c r="H9977" s="64" t="s">
        <v>3022</v>
      </c>
      <c r="I9977" s="64" t="s">
        <v>3249</v>
      </c>
      <c r="J9977" s="67">
        <v>7546.66</v>
      </c>
      <c r="K9977" s="62">
        <v>60004.11</v>
      </c>
      <c r="L9977" s="33" t="e">
        <f>HLOOKUP(B9977,#REF!,1,0)</f>
        <v>#REF!</v>
      </c>
      <c r="M9977" s="33" t="str">
        <f t="shared" si="623"/>
        <v>P&amp;L</v>
      </c>
    </row>
    <row r="9978" spans="1:13">
      <c r="A9978" s="33" t="str">
        <f t="shared" si="620"/>
        <v>SCL - Operating Expense</v>
      </c>
      <c r="B9978" s="33" t="str">
        <f t="shared" si="621"/>
        <v>SCL</v>
      </c>
      <c r="C9978" s="33" t="str">
        <f t="shared" si="622"/>
        <v>67501-7376</v>
      </c>
      <c r="D9978" s="64" t="s">
        <v>11231</v>
      </c>
      <c r="E9978" s="64" t="s">
        <v>3248</v>
      </c>
      <c r="F9978" s="64" t="s">
        <v>15</v>
      </c>
      <c r="G9978" s="64" t="s">
        <v>3044</v>
      </c>
      <c r="H9978" s="64" t="s">
        <v>3022</v>
      </c>
      <c r="I9978" s="64" t="s">
        <v>3249</v>
      </c>
      <c r="J9978" s="67">
        <v>18735.3</v>
      </c>
      <c r="K9978" s="62">
        <v>155779.65</v>
      </c>
      <c r="L9978" s="33" t="e">
        <f>HLOOKUP(B9978,#REF!,1,0)</f>
        <v>#REF!</v>
      </c>
      <c r="M9978" s="33" t="str">
        <f t="shared" si="623"/>
        <v>P&amp;L</v>
      </c>
    </row>
    <row r="9979" spans="1:13">
      <c r="A9979" s="33" t="str">
        <f t="shared" si="620"/>
        <v>SCL - Operating Expense</v>
      </c>
      <c r="B9979" s="33" t="str">
        <f t="shared" si="621"/>
        <v>SCL</v>
      </c>
      <c r="C9979" s="33" t="str">
        <f t="shared" si="622"/>
        <v>67501-7377</v>
      </c>
      <c r="D9979" s="64" t="s">
        <v>11232</v>
      </c>
      <c r="E9979" s="64" t="s">
        <v>3248</v>
      </c>
      <c r="F9979" s="64" t="s">
        <v>15</v>
      </c>
      <c r="G9979" s="64" t="s">
        <v>3044</v>
      </c>
      <c r="H9979" s="64" t="s">
        <v>3022</v>
      </c>
      <c r="I9979" s="64" t="s">
        <v>3249</v>
      </c>
      <c r="J9979" s="67">
        <v>8424.79</v>
      </c>
      <c r="K9979" s="62">
        <v>69994.53</v>
      </c>
      <c r="L9979" s="33" t="e">
        <f>HLOOKUP(B9979,#REF!,1,0)</f>
        <v>#REF!</v>
      </c>
      <c r="M9979" s="33" t="str">
        <f t="shared" si="623"/>
        <v>P&amp;L</v>
      </c>
    </row>
    <row r="9980" spans="1:13">
      <c r="A9980" s="33" t="str">
        <f t="shared" si="620"/>
        <v>SCL - Operating Expense</v>
      </c>
      <c r="B9980" s="33" t="str">
        <f t="shared" si="621"/>
        <v>SCL</v>
      </c>
      <c r="C9980" s="33" t="str">
        <f t="shared" si="622"/>
        <v>67501-7378</v>
      </c>
      <c r="D9980" s="64" t="s">
        <v>11233</v>
      </c>
      <c r="E9980" s="64" t="s">
        <v>3248</v>
      </c>
      <c r="F9980" s="64" t="s">
        <v>15</v>
      </c>
      <c r="G9980" s="64" t="s">
        <v>3044</v>
      </c>
      <c r="H9980" s="64" t="s">
        <v>3022</v>
      </c>
      <c r="I9980" s="64" t="s">
        <v>3249</v>
      </c>
      <c r="J9980" s="67">
        <v>11993.56</v>
      </c>
      <c r="K9980" s="62">
        <v>97020.63</v>
      </c>
      <c r="L9980" s="33" t="e">
        <f>HLOOKUP(B9980,#REF!,1,0)</f>
        <v>#REF!</v>
      </c>
      <c r="M9980" s="33" t="str">
        <f t="shared" si="623"/>
        <v>P&amp;L</v>
      </c>
    </row>
    <row r="9981" spans="1:13">
      <c r="A9981" s="33" t="str">
        <f t="shared" si="620"/>
        <v>SCL - Operating Expense</v>
      </c>
      <c r="B9981" s="33" t="str">
        <f t="shared" si="621"/>
        <v>SCL</v>
      </c>
      <c r="C9981" s="33" t="str">
        <f t="shared" si="622"/>
        <v>67501-7379</v>
      </c>
      <c r="D9981" s="64" t="s">
        <v>11234</v>
      </c>
      <c r="E9981" s="64" t="s">
        <v>3248</v>
      </c>
      <c r="F9981" s="64" t="s">
        <v>15</v>
      </c>
      <c r="G9981" s="64" t="s">
        <v>3044</v>
      </c>
      <c r="H9981" s="64" t="s">
        <v>3022</v>
      </c>
      <c r="I9981" s="64" t="s">
        <v>3249</v>
      </c>
      <c r="J9981" s="67">
        <v>9698.81</v>
      </c>
      <c r="K9981" s="62">
        <v>81141.95</v>
      </c>
      <c r="L9981" s="33" t="e">
        <f>HLOOKUP(B9981,#REF!,1,0)</f>
        <v>#REF!</v>
      </c>
      <c r="M9981" s="33" t="str">
        <f t="shared" si="623"/>
        <v>P&amp;L</v>
      </c>
    </row>
    <row r="9982" spans="1:13">
      <c r="A9982" s="33" t="str">
        <f t="shared" si="620"/>
        <v>SCL - Operating Expense</v>
      </c>
      <c r="B9982" s="33" t="str">
        <f t="shared" si="621"/>
        <v>SCL</v>
      </c>
      <c r="C9982" s="33" t="str">
        <f t="shared" si="622"/>
        <v>67501-7380</v>
      </c>
      <c r="D9982" s="64" t="s">
        <v>11235</v>
      </c>
      <c r="E9982" s="64" t="s">
        <v>3248</v>
      </c>
      <c r="F9982" s="64" t="s">
        <v>15</v>
      </c>
      <c r="G9982" s="64" t="s">
        <v>3044</v>
      </c>
      <c r="H9982" s="64" t="s">
        <v>3022</v>
      </c>
      <c r="I9982" s="64" t="s">
        <v>3249</v>
      </c>
      <c r="J9982" s="67">
        <v>6236.67</v>
      </c>
      <c r="K9982" s="62">
        <v>51820.49</v>
      </c>
      <c r="L9982" s="33" t="e">
        <f>HLOOKUP(B9982,#REF!,1,0)</f>
        <v>#REF!</v>
      </c>
      <c r="M9982" s="33" t="str">
        <f t="shared" si="623"/>
        <v>P&amp;L</v>
      </c>
    </row>
    <row r="9983" spans="1:13">
      <c r="A9983" s="33" t="str">
        <f t="shared" si="620"/>
        <v>SCL - Operating Expense</v>
      </c>
      <c r="B9983" s="33" t="str">
        <f t="shared" si="621"/>
        <v>SCL</v>
      </c>
      <c r="C9983" s="33" t="str">
        <f t="shared" si="622"/>
        <v>67501-7381</v>
      </c>
      <c r="D9983" s="64" t="s">
        <v>11236</v>
      </c>
      <c r="E9983" s="64" t="s">
        <v>3248</v>
      </c>
      <c r="F9983" s="64" t="s">
        <v>15</v>
      </c>
      <c r="G9983" s="64" t="s">
        <v>3044</v>
      </c>
      <c r="H9983" s="64" t="s">
        <v>3022</v>
      </c>
      <c r="I9983" s="64" t="s">
        <v>3249</v>
      </c>
      <c r="J9983" s="67">
        <v>10987.74</v>
      </c>
      <c r="K9983" s="62">
        <v>88424.6</v>
      </c>
      <c r="L9983" s="33" t="e">
        <f>HLOOKUP(B9983,#REF!,1,0)</f>
        <v>#REF!</v>
      </c>
      <c r="M9983" s="33" t="str">
        <f t="shared" si="623"/>
        <v>P&amp;L</v>
      </c>
    </row>
    <row r="9984" spans="1:13">
      <c r="A9984" s="33" t="str">
        <f t="shared" si="620"/>
        <v>SCL - Operating Expense</v>
      </c>
      <c r="B9984" s="33" t="str">
        <f t="shared" si="621"/>
        <v>SCL</v>
      </c>
      <c r="C9984" s="33" t="str">
        <f t="shared" si="622"/>
        <v>67501-7383</v>
      </c>
      <c r="D9984" s="64" t="s">
        <v>11237</v>
      </c>
      <c r="E9984" s="64" t="s">
        <v>3248</v>
      </c>
      <c r="F9984" s="64" t="s">
        <v>15</v>
      </c>
      <c r="G9984" s="64" t="s">
        <v>3044</v>
      </c>
      <c r="H9984" s="64" t="s">
        <v>3022</v>
      </c>
      <c r="I9984" s="64" t="s">
        <v>3249</v>
      </c>
      <c r="J9984" s="67">
        <v>8525.03</v>
      </c>
      <c r="K9984" s="62">
        <v>70755.35</v>
      </c>
      <c r="L9984" s="33" t="e">
        <f>HLOOKUP(B9984,#REF!,1,0)</f>
        <v>#REF!</v>
      </c>
      <c r="M9984" s="33" t="str">
        <f t="shared" si="623"/>
        <v>P&amp;L</v>
      </c>
    </row>
    <row r="9985" spans="1:13">
      <c r="A9985" s="33" t="str">
        <f t="shared" si="620"/>
        <v>SCL - Operating Expense</v>
      </c>
      <c r="B9985" s="33" t="str">
        <f t="shared" si="621"/>
        <v>SCL</v>
      </c>
      <c r="C9985" s="33" t="str">
        <f t="shared" si="622"/>
        <v>67501-7385</v>
      </c>
      <c r="D9985" s="64" t="s">
        <v>11238</v>
      </c>
      <c r="E9985" s="64" t="s">
        <v>3248</v>
      </c>
      <c r="F9985" s="64" t="s">
        <v>15</v>
      </c>
      <c r="G9985" s="64" t="s">
        <v>3044</v>
      </c>
      <c r="H9985" s="64" t="s">
        <v>3022</v>
      </c>
      <c r="I9985" s="64" t="s">
        <v>3249</v>
      </c>
      <c r="J9985" s="67">
        <v>6002.49</v>
      </c>
      <c r="K9985" s="62">
        <v>47516.82</v>
      </c>
      <c r="L9985" s="33" t="e">
        <f>HLOOKUP(B9985,#REF!,1,0)</f>
        <v>#REF!</v>
      </c>
      <c r="M9985" s="33" t="str">
        <f t="shared" si="623"/>
        <v>P&amp;L</v>
      </c>
    </row>
    <row r="9986" spans="1:13">
      <c r="A9986" s="33" t="str">
        <f t="shared" ref="A9986:A10049" si="624">B9986&amp;" - "&amp;TRIM(H9986)</f>
        <v>SCL - Operating Expense</v>
      </c>
      <c r="B9986" s="33" t="str">
        <f t="shared" ref="B9986:B10049" si="625">LEFT(D9986,3)</f>
        <v>SCL</v>
      </c>
      <c r="C9986" s="33" t="str">
        <f t="shared" ref="C9986:C10049" si="626">RIGHT(D9986,10)</f>
        <v>67501-7386</v>
      </c>
      <c r="D9986" s="64" t="s">
        <v>11239</v>
      </c>
      <c r="E9986" s="64" t="s">
        <v>3248</v>
      </c>
      <c r="F9986" s="64" t="s">
        <v>15</v>
      </c>
      <c r="G9986" s="64" t="s">
        <v>3044</v>
      </c>
      <c r="H9986" s="64" t="s">
        <v>3022</v>
      </c>
      <c r="I9986" s="64" t="s">
        <v>3249</v>
      </c>
      <c r="J9986" s="67">
        <v>7358.73</v>
      </c>
      <c r="K9986" s="62">
        <v>61262.17</v>
      </c>
      <c r="L9986" s="33" t="e">
        <f>HLOOKUP(B9986,#REF!,1,0)</f>
        <v>#REF!</v>
      </c>
      <c r="M9986" s="33" t="str">
        <f t="shared" ref="M9986:M10049" si="627">IF(VALUE(LEFT(C9986,5))&gt;40000,"P&amp;L","BS")</f>
        <v>P&amp;L</v>
      </c>
    </row>
    <row r="9987" spans="1:13">
      <c r="A9987" s="33" t="str">
        <f t="shared" si="624"/>
        <v>SCL - Operating Expense</v>
      </c>
      <c r="B9987" s="33" t="str">
        <f t="shared" si="625"/>
        <v>SCL</v>
      </c>
      <c r="C9987" s="33" t="str">
        <f t="shared" si="626"/>
        <v>67501-7387</v>
      </c>
      <c r="D9987" s="64" t="s">
        <v>11240</v>
      </c>
      <c r="E9987" s="64" t="s">
        <v>3248</v>
      </c>
      <c r="F9987" s="64" t="s">
        <v>15</v>
      </c>
      <c r="G9987" s="64" t="s">
        <v>3044</v>
      </c>
      <c r="H9987" s="64" t="s">
        <v>3022</v>
      </c>
      <c r="I9987" s="64" t="s">
        <v>3249</v>
      </c>
      <c r="J9987" s="67">
        <v>10242.87</v>
      </c>
      <c r="K9987" s="62">
        <v>81099.37</v>
      </c>
      <c r="L9987" s="33" t="e">
        <f>HLOOKUP(B9987,#REF!,1,0)</f>
        <v>#REF!</v>
      </c>
      <c r="M9987" s="33" t="str">
        <f t="shared" si="627"/>
        <v>P&amp;L</v>
      </c>
    </row>
    <row r="9988" spans="1:13">
      <c r="A9988" s="33" t="str">
        <f t="shared" si="624"/>
        <v>SCL - Operating Expense</v>
      </c>
      <c r="B9988" s="33" t="str">
        <f t="shared" si="625"/>
        <v>SCL</v>
      </c>
      <c r="C9988" s="33" t="str">
        <f t="shared" si="626"/>
        <v>67501-7389</v>
      </c>
      <c r="D9988" s="64" t="s">
        <v>11241</v>
      </c>
      <c r="E9988" s="64" t="s">
        <v>3248</v>
      </c>
      <c r="F9988" s="64" t="s">
        <v>15</v>
      </c>
      <c r="G9988" s="64" t="s">
        <v>3044</v>
      </c>
      <c r="H9988" s="64" t="s">
        <v>3022</v>
      </c>
      <c r="I9988" s="64" t="s">
        <v>3249</v>
      </c>
      <c r="J9988" s="67">
        <v>12745.62</v>
      </c>
      <c r="K9988" s="62">
        <v>104400.44</v>
      </c>
      <c r="L9988" s="33" t="e">
        <f>HLOOKUP(B9988,#REF!,1,0)</f>
        <v>#REF!</v>
      </c>
      <c r="M9988" s="33" t="str">
        <f t="shared" si="627"/>
        <v>P&amp;L</v>
      </c>
    </row>
    <row r="9989" spans="1:13">
      <c r="A9989" s="33" t="str">
        <f t="shared" si="624"/>
        <v>SCL - Operating Expense</v>
      </c>
      <c r="B9989" s="33" t="str">
        <f t="shared" si="625"/>
        <v>SCL</v>
      </c>
      <c r="C9989" s="33" t="str">
        <f t="shared" si="626"/>
        <v>67501-7391</v>
      </c>
      <c r="D9989" s="64" t="s">
        <v>11242</v>
      </c>
      <c r="E9989" s="64" t="s">
        <v>3248</v>
      </c>
      <c r="F9989" s="64" t="s">
        <v>15</v>
      </c>
      <c r="G9989" s="64" t="s">
        <v>3044</v>
      </c>
      <c r="H9989" s="64" t="s">
        <v>3022</v>
      </c>
      <c r="I9989" s="64" t="s">
        <v>3249</v>
      </c>
      <c r="J9989" s="67">
        <v>9165.12</v>
      </c>
      <c r="K9989" s="62">
        <v>73576.02</v>
      </c>
      <c r="L9989" s="33" t="e">
        <f>HLOOKUP(B9989,#REF!,1,0)</f>
        <v>#REF!</v>
      </c>
      <c r="M9989" s="33" t="str">
        <f t="shared" si="627"/>
        <v>P&amp;L</v>
      </c>
    </row>
    <row r="9990" spans="1:13">
      <c r="A9990" s="33" t="str">
        <f t="shared" si="624"/>
        <v>SCL - Operating Expense</v>
      </c>
      <c r="B9990" s="33" t="str">
        <f t="shared" si="625"/>
        <v>SCL</v>
      </c>
      <c r="C9990" s="33" t="str">
        <f t="shared" si="626"/>
        <v>67501-7393</v>
      </c>
      <c r="D9990" s="64" t="s">
        <v>11243</v>
      </c>
      <c r="E9990" s="64" t="s">
        <v>3248</v>
      </c>
      <c r="F9990" s="64" t="s">
        <v>15</v>
      </c>
      <c r="G9990" s="64" t="s">
        <v>3044</v>
      </c>
      <c r="H9990" s="64" t="s">
        <v>3022</v>
      </c>
      <c r="I9990" s="64" t="s">
        <v>3249</v>
      </c>
      <c r="J9990" s="67">
        <v>7158.58</v>
      </c>
      <c r="K9990" s="62">
        <v>61192.23</v>
      </c>
      <c r="L9990" s="33" t="e">
        <f>HLOOKUP(B9990,#REF!,1,0)</f>
        <v>#REF!</v>
      </c>
      <c r="M9990" s="33" t="str">
        <f t="shared" si="627"/>
        <v>P&amp;L</v>
      </c>
    </row>
    <row r="9991" spans="1:13">
      <c r="A9991" s="33" t="str">
        <f t="shared" si="624"/>
        <v>SCL - Operating Expense</v>
      </c>
      <c r="B9991" s="33" t="str">
        <f t="shared" si="625"/>
        <v>SCL</v>
      </c>
      <c r="C9991" s="33" t="str">
        <f t="shared" si="626"/>
        <v>67501-7394</v>
      </c>
      <c r="D9991" s="64" t="s">
        <v>11244</v>
      </c>
      <c r="E9991" s="64" t="s">
        <v>3248</v>
      </c>
      <c r="F9991" s="64" t="s">
        <v>15</v>
      </c>
      <c r="G9991" s="64" t="s">
        <v>3044</v>
      </c>
      <c r="H9991" s="64" t="s">
        <v>3022</v>
      </c>
      <c r="I9991" s="64" t="s">
        <v>3249</v>
      </c>
      <c r="J9991" s="67">
        <v>6156.37</v>
      </c>
      <c r="K9991" s="62">
        <v>54652.75</v>
      </c>
      <c r="L9991" s="33" t="e">
        <f>HLOOKUP(B9991,#REF!,1,0)</f>
        <v>#REF!</v>
      </c>
      <c r="M9991" s="33" t="str">
        <f t="shared" si="627"/>
        <v>P&amp;L</v>
      </c>
    </row>
    <row r="9992" spans="1:13">
      <c r="A9992" s="33" t="str">
        <f t="shared" si="624"/>
        <v>SCL - Operating Expense</v>
      </c>
      <c r="B9992" s="33" t="str">
        <f t="shared" si="625"/>
        <v>SCL</v>
      </c>
      <c r="C9992" s="33" t="str">
        <f t="shared" si="626"/>
        <v>67501-7396</v>
      </c>
      <c r="D9992" s="64" t="s">
        <v>11245</v>
      </c>
      <c r="E9992" s="64" t="s">
        <v>3248</v>
      </c>
      <c r="F9992" s="64" t="s">
        <v>15</v>
      </c>
      <c r="G9992" s="64" t="s">
        <v>3044</v>
      </c>
      <c r="H9992" s="64" t="s">
        <v>3022</v>
      </c>
      <c r="I9992" s="64" t="s">
        <v>3249</v>
      </c>
      <c r="J9992" s="67">
        <v>7930.03</v>
      </c>
      <c r="K9992" s="62">
        <v>63386.35</v>
      </c>
      <c r="L9992" s="33" t="e">
        <f>HLOOKUP(B9992,#REF!,1,0)</f>
        <v>#REF!</v>
      </c>
      <c r="M9992" s="33" t="str">
        <f t="shared" si="627"/>
        <v>P&amp;L</v>
      </c>
    </row>
    <row r="9993" spans="1:13">
      <c r="A9993" s="33" t="str">
        <f t="shared" si="624"/>
        <v>SCL - Operating Expense</v>
      </c>
      <c r="B9993" s="33" t="str">
        <f t="shared" si="625"/>
        <v>SCL</v>
      </c>
      <c r="C9993" s="33" t="str">
        <f t="shared" si="626"/>
        <v>67501-7397</v>
      </c>
      <c r="D9993" s="64" t="s">
        <v>11246</v>
      </c>
      <c r="E9993" s="64" t="s">
        <v>3248</v>
      </c>
      <c r="F9993" s="64" t="s">
        <v>15</v>
      </c>
      <c r="G9993" s="64" t="s">
        <v>3044</v>
      </c>
      <c r="H9993" s="64" t="s">
        <v>3022</v>
      </c>
      <c r="I9993" s="64" t="s">
        <v>3249</v>
      </c>
      <c r="J9993" s="67">
        <v>8266.15</v>
      </c>
      <c r="K9993" s="62">
        <v>68084.5</v>
      </c>
      <c r="L9993" s="33" t="e">
        <f>HLOOKUP(B9993,#REF!,1,0)</f>
        <v>#REF!</v>
      </c>
      <c r="M9993" s="33" t="str">
        <f t="shared" si="627"/>
        <v>P&amp;L</v>
      </c>
    </row>
    <row r="9994" spans="1:13">
      <c r="A9994" s="33" t="str">
        <f t="shared" si="624"/>
        <v>SCL - Operating Expense</v>
      </c>
      <c r="B9994" s="33" t="str">
        <f t="shared" si="625"/>
        <v>SCL</v>
      </c>
      <c r="C9994" s="33" t="str">
        <f t="shared" si="626"/>
        <v>67501-7398</v>
      </c>
      <c r="D9994" s="64" t="s">
        <v>11247</v>
      </c>
      <c r="E9994" s="64" t="s">
        <v>3248</v>
      </c>
      <c r="F9994" s="64" t="s">
        <v>15</v>
      </c>
      <c r="G9994" s="64" t="s">
        <v>3044</v>
      </c>
      <c r="H9994" s="64" t="s">
        <v>3022</v>
      </c>
      <c r="I9994" s="64" t="s">
        <v>3249</v>
      </c>
      <c r="J9994" s="67">
        <v>8796.7</v>
      </c>
      <c r="K9994" s="62">
        <v>68079.09</v>
      </c>
      <c r="L9994" s="33" t="e">
        <f>HLOOKUP(B9994,#REF!,1,0)</f>
        <v>#REF!</v>
      </c>
      <c r="M9994" s="33" t="str">
        <f t="shared" si="627"/>
        <v>P&amp;L</v>
      </c>
    </row>
    <row r="9995" spans="1:13">
      <c r="A9995" s="33" t="str">
        <f t="shared" si="624"/>
        <v>SCL - Operating Expense</v>
      </c>
      <c r="B9995" s="33" t="str">
        <f t="shared" si="625"/>
        <v>SCL</v>
      </c>
      <c r="C9995" s="33" t="str">
        <f t="shared" si="626"/>
        <v>67501-7400</v>
      </c>
      <c r="D9995" s="64" t="s">
        <v>11248</v>
      </c>
      <c r="E9995" s="64" t="s">
        <v>3248</v>
      </c>
      <c r="F9995" s="64" t="s">
        <v>15</v>
      </c>
      <c r="G9995" s="64" t="s">
        <v>3044</v>
      </c>
      <c r="H9995" s="64" t="s">
        <v>3022</v>
      </c>
      <c r="I9995" s="64" t="s">
        <v>3249</v>
      </c>
      <c r="J9995" s="67">
        <v>6438.4</v>
      </c>
      <c r="K9995" s="62">
        <v>54911.7</v>
      </c>
      <c r="L9995" s="33" t="e">
        <f>HLOOKUP(B9995,#REF!,1,0)</f>
        <v>#REF!</v>
      </c>
      <c r="M9995" s="33" t="str">
        <f t="shared" si="627"/>
        <v>P&amp;L</v>
      </c>
    </row>
    <row r="9996" spans="1:13">
      <c r="A9996" s="33" t="str">
        <f t="shared" si="624"/>
        <v>SCL - Operating Expense</v>
      </c>
      <c r="B9996" s="33" t="str">
        <f t="shared" si="625"/>
        <v>SCL</v>
      </c>
      <c r="C9996" s="33" t="str">
        <f t="shared" si="626"/>
        <v>67501-7401</v>
      </c>
      <c r="D9996" s="64" t="s">
        <v>11249</v>
      </c>
      <c r="E9996" s="64" t="s">
        <v>3248</v>
      </c>
      <c r="F9996" s="64" t="s">
        <v>15</v>
      </c>
      <c r="G9996" s="64" t="s">
        <v>3044</v>
      </c>
      <c r="H9996" s="64" t="s">
        <v>3022</v>
      </c>
      <c r="I9996" s="64" t="s">
        <v>3249</v>
      </c>
      <c r="J9996" s="67">
        <v>7734.78</v>
      </c>
      <c r="K9996" s="62">
        <v>61390.17</v>
      </c>
      <c r="L9996" s="33" t="e">
        <f>HLOOKUP(B9996,#REF!,1,0)</f>
        <v>#REF!</v>
      </c>
      <c r="M9996" s="33" t="str">
        <f t="shared" si="627"/>
        <v>P&amp;L</v>
      </c>
    </row>
    <row r="9997" spans="1:13">
      <c r="A9997" s="33" t="str">
        <f t="shared" si="624"/>
        <v>SCL - Operating Expense</v>
      </c>
      <c r="B9997" s="33" t="str">
        <f t="shared" si="625"/>
        <v>SCL</v>
      </c>
      <c r="C9997" s="33" t="str">
        <f t="shared" si="626"/>
        <v>67501-7402</v>
      </c>
      <c r="D9997" s="64" t="s">
        <v>11250</v>
      </c>
      <c r="E9997" s="64" t="s">
        <v>3248</v>
      </c>
      <c r="F9997" s="64" t="s">
        <v>15</v>
      </c>
      <c r="G9997" s="64" t="s">
        <v>3044</v>
      </c>
      <c r="H9997" s="64" t="s">
        <v>3022</v>
      </c>
      <c r="I9997" s="64" t="s">
        <v>3249</v>
      </c>
      <c r="J9997" s="67">
        <v>8371</v>
      </c>
      <c r="K9997" s="62">
        <v>71100.09</v>
      </c>
      <c r="L9997" s="33" t="e">
        <f>HLOOKUP(B9997,#REF!,1,0)</f>
        <v>#REF!</v>
      </c>
      <c r="M9997" s="33" t="str">
        <f t="shared" si="627"/>
        <v>P&amp;L</v>
      </c>
    </row>
    <row r="9998" spans="1:13">
      <c r="A9998" s="33" t="str">
        <f t="shared" si="624"/>
        <v>SCL - Operating Expense</v>
      </c>
      <c r="B9998" s="33" t="str">
        <f t="shared" si="625"/>
        <v>SCL</v>
      </c>
      <c r="C9998" s="33" t="str">
        <f t="shared" si="626"/>
        <v>67501-7403</v>
      </c>
      <c r="D9998" s="64" t="s">
        <v>11251</v>
      </c>
      <c r="E9998" s="64" t="s">
        <v>3248</v>
      </c>
      <c r="F9998" s="64" t="s">
        <v>15</v>
      </c>
      <c r="G9998" s="64" t="s">
        <v>3044</v>
      </c>
      <c r="H9998" s="64" t="s">
        <v>3022</v>
      </c>
      <c r="I9998" s="64" t="s">
        <v>3249</v>
      </c>
      <c r="J9998" s="67">
        <v>8368.65</v>
      </c>
      <c r="K9998" s="62">
        <v>70840.41</v>
      </c>
      <c r="L9998" s="33" t="e">
        <f>HLOOKUP(B9998,#REF!,1,0)</f>
        <v>#REF!</v>
      </c>
      <c r="M9998" s="33" t="str">
        <f t="shared" si="627"/>
        <v>P&amp;L</v>
      </c>
    </row>
    <row r="9999" spans="1:13">
      <c r="A9999" s="33" t="str">
        <f t="shared" si="624"/>
        <v>SCL - Operating Expense</v>
      </c>
      <c r="B9999" s="33" t="str">
        <f t="shared" si="625"/>
        <v>SCL</v>
      </c>
      <c r="C9999" s="33" t="str">
        <f t="shared" si="626"/>
        <v>67501-7489</v>
      </c>
      <c r="D9999" s="64" t="s">
        <v>11252</v>
      </c>
      <c r="E9999" s="64" t="s">
        <v>3248</v>
      </c>
      <c r="F9999" s="64" t="s">
        <v>15</v>
      </c>
      <c r="G9999" s="64" t="s">
        <v>3044</v>
      </c>
      <c r="H9999" s="64" t="s">
        <v>3022</v>
      </c>
      <c r="I9999" s="64" t="s">
        <v>3249</v>
      </c>
      <c r="J9999" s="67">
        <v>12499.36</v>
      </c>
      <c r="K9999" s="62">
        <v>100803.56</v>
      </c>
      <c r="L9999" s="33" t="e">
        <f>HLOOKUP(B9999,#REF!,1,0)</f>
        <v>#REF!</v>
      </c>
      <c r="M9999" s="33" t="str">
        <f t="shared" si="627"/>
        <v>P&amp;L</v>
      </c>
    </row>
    <row r="10000" spans="1:13">
      <c r="A10000" s="33" t="str">
        <f t="shared" si="624"/>
        <v>SCL - Operating Expense</v>
      </c>
      <c r="B10000" s="33" t="str">
        <f t="shared" si="625"/>
        <v>SCL</v>
      </c>
      <c r="C10000" s="33" t="str">
        <f t="shared" si="626"/>
        <v>67501-7491</v>
      </c>
      <c r="D10000" s="64" t="s">
        <v>11253</v>
      </c>
      <c r="E10000" s="64" t="s">
        <v>3248</v>
      </c>
      <c r="F10000" s="64" t="s">
        <v>15</v>
      </c>
      <c r="G10000" s="64" t="s">
        <v>3044</v>
      </c>
      <c r="H10000" s="64" t="s">
        <v>3022</v>
      </c>
      <c r="I10000" s="64" t="s">
        <v>3249</v>
      </c>
      <c r="J10000" s="67">
        <v>7371.39</v>
      </c>
      <c r="K10000" s="62">
        <v>56161.75</v>
      </c>
      <c r="L10000" s="33" t="e">
        <f>HLOOKUP(B10000,#REF!,1,0)</f>
        <v>#REF!</v>
      </c>
      <c r="M10000" s="33" t="str">
        <f t="shared" si="627"/>
        <v>P&amp;L</v>
      </c>
    </row>
    <row r="10001" spans="1:13">
      <c r="A10001" s="33" t="str">
        <f t="shared" si="624"/>
        <v>SCL - Operating Expense</v>
      </c>
      <c r="B10001" s="33" t="str">
        <f t="shared" si="625"/>
        <v>SCL</v>
      </c>
      <c r="C10001" s="33" t="str">
        <f t="shared" si="626"/>
        <v>67501-7492</v>
      </c>
      <c r="D10001" s="64" t="s">
        <v>11254</v>
      </c>
      <c r="E10001" s="64" t="s">
        <v>3248</v>
      </c>
      <c r="F10001" s="64" t="s">
        <v>15</v>
      </c>
      <c r="G10001" s="64" t="s">
        <v>3044</v>
      </c>
      <c r="H10001" s="64" t="s">
        <v>3022</v>
      </c>
      <c r="I10001" s="64" t="s">
        <v>3249</v>
      </c>
      <c r="J10001" s="67">
        <v>7569.52</v>
      </c>
      <c r="K10001" s="62">
        <v>63456.07</v>
      </c>
      <c r="L10001" s="33" t="e">
        <f>HLOOKUP(B10001,#REF!,1,0)</f>
        <v>#REF!</v>
      </c>
      <c r="M10001" s="33" t="str">
        <f t="shared" si="627"/>
        <v>P&amp;L</v>
      </c>
    </row>
    <row r="10002" spans="1:13">
      <c r="A10002" s="33" t="str">
        <f t="shared" si="624"/>
        <v>SCL - Operating Expense</v>
      </c>
      <c r="B10002" s="33" t="str">
        <f t="shared" si="625"/>
        <v>SCL</v>
      </c>
      <c r="C10002" s="33" t="str">
        <f t="shared" si="626"/>
        <v>67501-7493</v>
      </c>
      <c r="D10002" s="64" t="s">
        <v>11255</v>
      </c>
      <c r="E10002" s="64" t="s">
        <v>3248</v>
      </c>
      <c r="F10002" s="64" t="s">
        <v>15</v>
      </c>
      <c r="G10002" s="64" t="s">
        <v>3044</v>
      </c>
      <c r="H10002" s="64" t="s">
        <v>3022</v>
      </c>
      <c r="I10002" s="64" t="s">
        <v>3249</v>
      </c>
      <c r="J10002" s="67">
        <v>10720.26</v>
      </c>
      <c r="K10002" s="62">
        <v>89358.53</v>
      </c>
      <c r="L10002" s="33" t="e">
        <f>HLOOKUP(B10002,#REF!,1,0)</f>
        <v>#REF!</v>
      </c>
      <c r="M10002" s="33" t="str">
        <f t="shared" si="627"/>
        <v>P&amp;L</v>
      </c>
    </row>
    <row r="10003" spans="1:13">
      <c r="A10003" s="33" t="str">
        <f t="shared" si="624"/>
        <v>SCL - Operating Expense</v>
      </c>
      <c r="B10003" s="33" t="str">
        <f t="shared" si="625"/>
        <v>SCL</v>
      </c>
      <c r="C10003" s="33" t="str">
        <f t="shared" si="626"/>
        <v>67501-7494</v>
      </c>
      <c r="D10003" s="64" t="s">
        <v>11256</v>
      </c>
      <c r="E10003" s="64" t="s">
        <v>3248</v>
      </c>
      <c r="F10003" s="64" t="s">
        <v>15</v>
      </c>
      <c r="G10003" s="64" t="s">
        <v>3044</v>
      </c>
      <c r="H10003" s="64" t="s">
        <v>3022</v>
      </c>
      <c r="I10003" s="64" t="s">
        <v>3249</v>
      </c>
      <c r="J10003" s="67">
        <v>7834.1</v>
      </c>
      <c r="K10003" s="62">
        <v>84733.45</v>
      </c>
      <c r="L10003" s="33" t="e">
        <f>HLOOKUP(B10003,#REF!,1,0)</f>
        <v>#REF!</v>
      </c>
      <c r="M10003" s="33" t="str">
        <f t="shared" si="627"/>
        <v>P&amp;L</v>
      </c>
    </row>
    <row r="10004" spans="1:13">
      <c r="A10004" s="33" t="str">
        <f t="shared" si="624"/>
        <v>SCL - Operating Expense</v>
      </c>
      <c r="B10004" s="33" t="str">
        <f t="shared" si="625"/>
        <v>SCL</v>
      </c>
      <c r="C10004" s="33" t="str">
        <f t="shared" si="626"/>
        <v>67501-7625</v>
      </c>
      <c r="D10004" s="64" t="s">
        <v>11257</v>
      </c>
      <c r="E10004" s="64" t="s">
        <v>3248</v>
      </c>
      <c r="F10004" s="64" t="s">
        <v>15</v>
      </c>
      <c r="G10004" s="64" t="s">
        <v>3044</v>
      </c>
      <c r="H10004" s="64" t="s">
        <v>3022</v>
      </c>
      <c r="I10004" s="64" t="s">
        <v>3249</v>
      </c>
      <c r="J10004" s="67">
        <v>10346.32</v>
      </c>
      <c r="K10004" s="62">
        <v>86935.73</v>
      </c>
      <c r="L10004" s="33" t="e">
        <f>HLOOKUP(B10004,#REF!,1,0)</f>
        <v>#REF!</v>
      </c>
      <c r="M10004" s="33" t="str">
        <f t="shared" si="627"/>
        <v>P&amp;L</v>
      </c>
    </row>
    <row r="10005" spans="1:13">
      <c r="A10005" s="33" t="str">
        <f t="shared" si="624"/>
        <v>SCL - Operating Expense</v>
      </c>
      <c r="B10005" s="33" t="str">
        <f t="shared" si="625"/>
        <v>SCL</v>
      </c>
      <c r="C10005" s="33" t="str">
        <f t="shared" si="626"/>
        <v>67501-8150</v>
      </c>
      <c r="D10005" s="64" t="s">
        <v>11258</v>
      </c>
      <c r="E10005" s="64" t="s">
        <v>3248</v>
      </c>
      <c r="F10005" s="64" t="s">
        <v>15</v>
      </c>
      <c r="G10005" s="64" t="s">
        <v>3044</v>
      </c>
      <c r="H10005" s="64" t="s">
        <v>3022</v>
      </c>
      <c r="I10005" s="64" t="s">
        <v>3249</v>
      </c>
      <c r="J10005" s="67">
        <v>8973.5</v>
      </c>
      <c r="K10005" s="62">
        <v>75279.63</v>
      </c>
      <c r="L10005" s="33" t="e">
        <f>HLOOKUP(B10005,#REF!,1,0)</f>
        <v>#REF!</v>
      </c>
      <c r="M10005" s="33" t="str">
        <f t="shared" si="627"/>
        <v>P&amp;L</v>
      </c>
    </row>
    <row r="10006" spans="1:13">
      <c r="A10006" s="33" t="str">
        <f t="shared" si="624"/>
        <v>SCL - Operating Expense</v>
      </c>
      <c r="B10006" s="33" t="str">
        <f t="shared" si="625"/>
        <v>SCL</v>
      </c>
      <c r="C10006" s="33" t="str">
        <f t="shared" si="626"/>
        <v>68000-7351</v>
      </c>
      <c r="D10006" s="64" t="s">
        <v>11259</v>
      </c>
      <c r="E10006" s="64" t="s">
        <v>3254</v>
      </c>
      <c r="F10006" s="64" t="s">
        <v>15</v>
      </c>
      <c r="G10006" s="64" t="s">
        <v>3044</v>
      </c>
      <c r="H10006" s="64" t="s">
        <v>3022</v>
      </c>
      <c r="I10006" s="64" t="s">
        <v>3255</v>
      </c>
      <c r="J10006" s="67">
        <v>298.61</v>
      </c>
      <c r="K10006" s="62">
        <v>1328.9</v>
      </c>
      <c r="L10006" s="33" t="e">
        <f>HLOOKUP(B10006,#REF!,1,0)</f>
        <v>#REF!</v>
      </c>
      <c r="M10006" s="33" t="str">
        <f t="shared" si="627"/>
        <v>P&amp;L</v>
      </c>
    </row>
    <row r="10007" spans="1:13">
      <c r="A10007" s="33" t="str">
        <f t="shared" si="624"/>
        <v>SCL - Operating Expense</v>
      </c>
      <c r="B10007" s="33" t="str">
        <f t="shared" si="625"/>
        <v>SCL</v>
      </c>
      <c r="C10007" s="33" t="str">
        <f t="shared" si="626"/>
        <v>68000-7352</v>
      </c>
      <c r="D10007" s="64" t="s">
        <v>11260</v>
      </c>
      <c r="E10007" s="64" t="s">
        <v>3254</v>
      </c>
      <c r="F10007" s="64" t="s">
        <v>15</v>
      </c>
      <c r="G10007" s="64" t="s">
        <v>3044</v>
      </c>
      <c r="H10007" s="64" t="s">
        <v>3022</v>
      </c>
      <c r="I10007" s="64" t="s">
        <v>3255</v>
      </c>
      <c r="J10007" s="67">
        <v>298.6</v>
      </c>
      <c r="K10007" s="62">
        <v>1333.35</v>
      </c>
      <c r="L10007" s="33" t="e">
        <f>HLOOKUP(B10007,#REF!,1,0)</f>
        <v>#REF!</v>
      </c>
      <c r="M10007" s="33" t="str">
        <f t="shared" si="627"/>
        <v>P&amp;L</v>
      </c>
    </row>
    <row r="10008" spans="1:13">
      <c r="A10008" s="33" t="str">
        <f t="shared" si="624"/>
        <v>SCL - Operating Expense</v>
      </c>
      <c r="B10008" s="33" t="str">
        <f t="shared" si="625"/>
        <v>SCL</v>
      </c>
      <c r="C10008" s="33" t="str">
        <f t="shared" si="626"/>
        <v>68000-7355</v>
      </c>
      <c r="D10008" s="64" t="s">
        <v>11261</v>
      </c>
      <c r="E10008" s="64" t="s">
        <v>3254</v>
      </c>
      <c r="F10008" s="64" t="s">
        <v>15</v>
      </c>
      <c r="G10008" s="64" t="s">
        <v>3044</v>
      </c>
      <c r="H10008" s="64" t="s">
        <v>3022</v>
      </c>
      <c r="I10008" s="64" t="s">
        <v>3255</v>
      </c>
      <c r="J10008" s="67">
        <v>298.61</v>
      </c>
      <c r="K10008" s="62">
        <v>1337.82</v>
      </c>
      <c r="L10008" s="33" t="e">
        <f>HLOOKUP(B10008,#REF!,1,0)</f>
        <v>#REF!</v>
      </c>
      <c r="M10008" s="33" t="str">
        <f t="shared" si="627"/>
        <v>P&amp;L</v>
      </c>
    </row>
    <row r="10009" spans="1:13">
      <c r="A10009" s="33" t="str">
        <f t="shared" si="624"/>
        <v>SCL - Operating Expense</v>
      </c>
      <c r="B10009" s="33" t="str">
        <f t="shared" si="625"/>
        <v>SCL</v>
      </c>
      <c r="C10009" s="33" t="str">
        <f t="shared" si="626"/>
        <v>68000-7359</v>
      </c>
      <c r="D10009" s="64" t="s">
        <v>11262</v>
      </c>
      <c r="E10009" s="64" t="s">
        <v>3254</v>
      </c>
      <c r="F10009" s="64" t="s">
        <v>15</v>
      </c>
      <c r="G10009" s="64" t="s">
        <v>3044</v>
      </c>
      <c r="H10009" s="64" t="s">
        <v>3022</v>
      </c>
      <c r="I10009" s="64" t="s">
        <v>3255</v>
      </c>
      <c r="J10009" s="67">
        <v>298.61</v>
      </c>
      <c r="K10009" s="62">
        <v>1328.9</v>
      </c>
      <c r="L10009" s="33" t="e">
        <f>HLOOKUP(B10009,#REF!,1,0)</f>
        <v>#REF!</v>
      </c>
      <c r="M10009" s="33" t="str">
        <f t="shared" si="627"/>
        <v>P&amp;L</v>
      </c>
    </row>
    <row r="10010" spans="1:13">
      <c r="A10010" s="33" t="str">
        <f t="shared" si="624"/>
        <v>SCL - Operating Expense</v>
      </c>
      <c r="B10010" s="33" t="str">
        <f t="shared" si="625"/>
        <v>SCL</v>
      </c>
      <c r="C10010" s="33" t="str">
        <f t="shared" si="626"/>
        <v>68000-7360</v>
      </c>
      <c r="D10010" s="64" t="s">
        <v>11263</v>
      </c>
      <c r="E10010" s="64" t="s">
        <v>3254</v>
      </c>
      <c r="F10010" s="64" t="s">
        <v>15</v>
      </c>
      <c r="G10010" s="64" t="s">
        <v>3044</v>
      </c>
      <c r="H10010" s="64" t="s">
        <v>3022</v>
      </c>
      <c r="I10010" s="64" t="s">
        <v>3255</v>
      </c>
      <c r="J10010" s="67">
        <v>298.61</v>
      </c>
      <c r="K10010" s="62">
        <v>1333.36</v>
      </c>
      <c r="L10010" s="33" t="e">
        <f>HLOOKUP(B10010,#REF!,1,0)</f>
        <v>#REF!</v>
      </c>
      <c r="M10010" s="33" t="str">
        <f t="shared" si="627"/>
        <v>P&amp;L</v>
      </c>
    </row>
    <row r="10011" spans="1:13">
      <c r="A10011" s="33" t="str">
        <f t="shared" si="624"/>
        <v>SCL - Operating Expense</v>
      </c>
      <c r="B10011" s="33" t="str">
        <f t="shared" si="625"/>
        <v>SCL</v>
      </c>
      <c r="C10011" s="33" t="str">
        <f t="shared" si="626"/>
        <v>68000-7361</v>
      </c>
      <c r="D10011" s="64" t="s">
        <v>11264</v>
      </c>
      <c r="E10011" s="64" t="s">
        <v>3254</v>
      </c>
      <c r="F10011" s="64" t="s">
        <v>15</v>
      </c>
      <c r="G10011" s="64" t="s">
        <v>3044</v>
      </c>
      <c r="H10011" s="64" t="s">
        <v>3022</v>
      </c>
      <c r="I10011" s="64" t="s">
        <v>3255</v>
      </c>
      <c r="J10011" s="67">
        <v>298.6</v>
      </c>
      <c r="K10011" s="62">
        <v>1333.35</v>
      </c>
      <c r="L10011" s="33" t="e">
        <f>HLOOKUP(B10011,#REF!,1,0)</f>
        <v>#REF!</v>
      </c>
      <c r="M10011" s="33" t="str">
        <f t="shared" si="627"/>
        <v>P&amp;L</v>
      </c>
    </row>
    <row r="10012" spans="1:13">
      <c r="A10012" s="33" t="str">
        <f t="shared" si="624"/>
        <v>SCL - Operating Expense</v>
      </c>
      <c r="B10012" s="33" t="str">
        <f t="shared" si="625"/>
        <v>SCL</v>
      </c>
      <c r="C10012" s="33" t="str">
        <f t="shared" si="626"/>
        <v>68000-7362</v>
      </c>
      <c r="D10012" s="64" t="s">
        <v>11265</v>
      </c>
      <c r="E10012" s="64" t="s">
        <v>3254</v>
      </c>
      <c r="F10012" s="64" t="s">
        <v>15</v>
      </c>
      <c r="G10012" s="64" t="s">
        <v>3044</v>
      </c>
      <c r="H10012" s="64" t="s">
        <v>3022</v>
      </c>
      <c r="I10012" s="64" t="s">
        <v>3255</v>
      </c>
      <c r="J10012" s="67">
        <v>298.6</v>
      </c>
      <c r="K10012" s="62">
        <v>1333.35</v>
      </c>
      <c r="L10012" s="33" t="e">
        <f>HLOOKUP(B10012,#REF!,1,0)</f>
        <v>#REF!</v>
      </c>
      <c r="M10012" s="33" t="str">
        <f t="shared" si="627"/>
        <v>P&amp;L</v>
      </c>
    </row>
    <row r="10013" spans="1:13">
      <c r="A10013" s="33" t="str">
        <f t="shared" si="624"/>
        <v>SCL - Operating Expense</v>
      </c>
      <c r="B10013" s="33" t="str">
        <f t="shared" si="625"/>
        <v>SCL</v>
      </c>
      <c r="C10013" s="33" t="str">
        <f t="shared" si="626"/>
        <v>68000-7363</v>
      </c>
      <c r="D10013" s="64" t="s">
        <v>11266</v>
      </c>
      <c r="E10013" s="64" t="s">
        <v>3254</v>
      </c>
      <c r="F10013" s="64" t="s">
        <v>15</v>
      </c>
      <c r="G10013" s="64" t="s">
        <v>3044</v>
      </c>
      <c r="H10013" s="64" t="s">
        <v>3022</v>
      </c>
      <c r="I10013" s="64" t="s">
        <v>3255</v>
      </c>
      <c r="J10013" s="67">
        <v>298.6</v>
      </c>
      <c r="K10013" s="62">
        <v>1333.35</v>
      </c>
      <c r="L10013" s="33" t="e">
        <f>HLOOKUP(B10013,#REF!,1,0)</f>
        <v>#REF!</v>
      </c>
      <c r="M10013" s="33" t="str">
        <f t="shared" si="627"/>
        <v>P&amp;L</v>
      </c>
    </row>
    <row r="10014" spans="1:13">
      <c r="A10014" s="33" t="str">
        <f t="shared" si="624"/>
        <v>SCL - Operating Expense</v>
      </c>
      <c r="B10014" s="33" t="str">
        <f t="shared" si="625"/>
        <v>SCL</v>
      </c>
      <c r="C10014" s="33" t="str">
        <f t="shared" si="626"/>
        <v>68000-7364</v>
      </c>
      <c r="D10014" s="64" t="s">
        <v>11267</v>
      </c>
      <c r="E10014" s="64" t="s">
        <v>3254</v>
      </c>
      <c r="F10014" s="64" t="s">
        <v>15</v>
      </c>
      <c r="G10014" s="64" t="s">
        <v>3044</v>
      </c>
      <c r="H10014" s="64" t="s">
        <v>3022</v>
      </c>
      <c r="I10014" s="64" t="s">
        <v>3255</v>
      </c>
      <c r="J10014" s="67">
        <v>298.61</v>
      </c>
      <c r="K10014" s="62">
        <v>1337.82</v>
      </c>
      <c r="L10014" s="33" t="e">
        <f>HLOOKUP(B10014,#REF!,1,0)</f>
        <v>#REF!</v>
      </c>
      <c r="M10014" s="33" t="str">
        <f t="shared" si="627"/>
        <v>P&amp;L</v>
      </c>
    </row>
    <row r="10015" spans="1:13">
      <c r="A10015" s="33" t="str">
        <f t="shared" si="624"/>
        <v>SCL - Operating Expense</v>
      </c>
      <c r="B10015" s="33" t="str">
        <f t="shared" si="625"/>
        <v>SCL</v>
      </c>
      <c r="C10015" s="33" t="str">
        <f t="shared" si="626"/>
        <v>68000-7365</v>
      </c>
      <c r="D10015" s="64" t="s">
        <v>11268</v>
      </c>
      <c r="E10015" s="64" t="s">
        <v>3254</v>
      </c>
      <c r="F10015" s="64" t="s">
        <v>15</v>
      </c>
      <c r="G10015" s="64" t="s">
        <v>3044</v>
      </c>
      <c r="H10015" s="64" t="s">
        <v>3022</v>
      </c>
      <c r="I10015" s="64" t="s">
        <v>3255</v>
      </c>
      <c r="J10015" s="67">
        <v>298.6</v>
      </c>
      <c r="K10015" s="62">
        <v>1337.81</v>
      </c>
      <c r="L10015" s="33" t="e">
        <f>HLOOKUP(B10015,#REF!,1,0)</f>
        <v>#REF!</v>
      </c>
      <c r="M10015" s="33" t="str">
        <f t="shared" si="627"/>
        <v>P&amp;L</v>
      </c>
    </row>
    <row r="10016" spans="1:13">
      <c r="A10016" s="33" t="str">
        <f t="shared" si="624"/>
        <v>SCL - Operating Expense</v>
      </c>
      <c r="B10016" s="33" t="str">
        <f t="shared" si="625"/>
        <v>SCL</v>
      </c>
      <c r="C10016" s="33" t="str">
        <f t="shared" si="626"/>
        <v>68000-7366</v>
      </c>
      <c r="D10016" s="64" t="s">
        <v>11269</v>
      </c>
      <c r="E10016" s="64" t="s">
        <v>3254</v>
      </c>
      <c r="F10016" s="64" t="s">
        <v>15</v>
      </c>
      <c r="G10016" s="64" t="s">
        <v>3044</v>
      </c>
      <c r="H10016" s="64" t="s">
        <v>3022</v>
      </c>
      <c r="I10016" s="64" t="s">
        <v>3255</v>
      </c>
      <c r="J10016" s="67">
        <v>298.61</v>
      </c>
      <c r="K10016" s="62">
        <v>1328.9</v>
      </c>
      <c r="L10016" s="33" t="e">
        <f>HLOOKUP(B10016,#REF!,1,0)</f>
        <v>#REF!</v>
      </c>
      <c r="M10016" s="33" t="str">
        <f t="shared" si="627"/>
        <v>P&amp;L</v>
      </c>
    </row>
    <row r="10017" spans="1:13">
      <c r="A10017" s="33" t="str">
        <f t="shared" si="624"/>
        <v>SCL - Operating Expense</v>
      </c>
      <c r="B10017" s="33" t="str">
        <f t="shared" si="625"/>
        <v>SCL</v>
      </c>
      <c r="C10017" s="33" t="str">
        <f t="shared" si="626"/>
        <v>68000-7368</v>
      </c>
      <c r="D10017" s="64" t="s">
        <v>11270</v>
      </c>
      <c r="E10017" s="64" t="s">
        <v>3254</v>
      </c>
      <c r="F10017" s="64" t="s">
        <v>15</v>
      </c>
      <c r="G10017" s="64" t="s">
        <v>3044</v>
      </c>
      <c r="H10017" s="64" t="s">
        <v>3022</v>
      </c>
      <c r="I10017" s="64" t="s">
        <v>3255</v>
      </c>
      <c r="J10017" s="67">
        <v>298.61</v>
      </c>
      <c r="K10017" s="62">
        <v>1333.36</v>
      </c>
      <c r="L10017" s="33" t="e">
        <f>HLOOKUP(B10017,#REF!,1,0)</f>
        <v>#REF!</v>
      </c>
      <c r="M10017" s="33" t="str">
        <f t="shared" si="627"/>
        <v>P&amp;L</v>
      </c>
    </row>
    <row r="10018" spans="1:13">
      <c r="A10018" s="33" t="str">
        <f t="shared" si="624"/>
        <v>SCL - Operating Expense</v>
      </c>
      <c r="B10018" s="33" t="str">
        <f t="shared" si="625"/>
        <v>SCL</v>
      </c>
      <c r="C10018" s="33" t="str">
        <f t="shared" si="626"/>
        <v>68000-7369</v>
      </c>
      <c r="D10018" s="64" t="s">
        <v>11271</v>
      </c>
      <c r="E10018" s="64" t="s">
        <v>3254</v>
      </c>
      <c r="F10018" s="64" t="s">
        <v>15</v>
      </c>
      <c r="G10018" s="64" t="s">
        <v>3044</v>
      </c>
      <c r="H10018" s="64" t="s">
        <v>3022</v>
      </c>
      <c r="I10018" s="64" t="s">
        <v>3255</v>
      </c>
      <c r="J10018" s="67">
        <v>298.6</v>
      </c>
      <c r="K10018" s="62">
        <v>1337.81</v>
      </c>
      <c r="L10018" s="33" t="e">
        <f>HLOOKUP(B10018,#REF!,1,0)</f>
        <v>#REF!</v>
      </c>
      <c r="M10018" s="33" t="str">
        <f t="shared" si="627"/>
        <v>P&amp;L</v>
      </c>
    </row>
    <row r="10019" spans="1:13">
      <c r="A10019" s="33" t="str">
        <f t="shared" si="624"/>
        <v>SCL - Operating Expense</v>
      </c>
      <c r="B10019" s="33" t="str">
        <f t="shared" si="625"/>
        <v>SCL</v>
      </c>
      <c r="C10019" s="33" t="str">
        <f t="shared" si="626"/>
        <v>68000-7371</v>
      </c>
      <c r="D10019" s="64" t="s">
        <v>11272</v>
      </c>
      <c r="E10019" s="64" t="s">
        <v>3254</v>
      </c>
      <c r="F10019" s="64" t="s">
        <v>15</v>
      </c>
      <c r="G10019" s="64" t="s">
        <v>3044</v>
      </c>
      <c r="H10019" s="64" t="s">
        <v>3022</v>
      </c>
      <c r="I10019" s="64" t="s">
        <v>3255</v>
      </c>
      <c r="J10019" s="67">
        <v>298.61</v>
      </c>
      <c r="K10019" s="62">
        <v>1328.9</v>
      </c>
      <c r="L10019" s="33" t="e">
        <f>HLOOKUP(B10019,#REF!,1,0)</f>
        <v>#REF!</v>
      </c>
      <c r="M10019" s="33" t="str">
        <f t="shared" si="627"/>
        <v>P&amp;L</v>
      </c>
    </row>
    <row r="10020" spans="1:13">
      <c r="A10020" s="33" t="str">
        <f t="shared" si="624"/>
        <v>SCL - Operating Expense</v>
      </c>
      <c r="B10020" s="33" t="str">
        <f t="shared" si="625"/>
        <v>SCL</v>
      </c>
      <c r="C10020" s="33" t="str">
        <f t="shared" si="626"/>
        <v>68000-7374</v>
      </c>
      <c r="D10020" s="64" t="s">
        <v>11273</v>
      </c>
      <c r="E10020" s="64" t="s">
        <v>3254</v>
      </c>
      <c r="F10020" s="64" t="s">
        <v>15</v>
      </c>
      <c r="G10020" s="64" t="s">
        <v>3044</v>
      </c>
      <c r="H10020" s="64" t="s">
        <v>3022</v>
      </c>
      <c r="I10020" s="64" t="s">
        <v>3255</v>
      </c>
      <c r="J10020" s="67">
        <v>298.6</v>
      </c>
      <c r="K10020" s="62">
        <v>1333.35</v>
      </c>
      <c r="L10020" s="33" t="e">
        <f>HLOOKUP(B10020,#REF!,1,0)</f>
        <v>#REF!</v>
      </c>
      <c r="M10020" s="33" t="str">
        <f t="shared" si="627"/>
        <v>P&amp;L</v>
      </c>
    </row>
    <row r="10021" spans="1:13">
      <c r="A10021" s="33" t="str">
        <f t="shared" si="624"/>
        <v>SCL - Operating Expense</v>
      </c>
      <c r="B10021" s="33" t="str">
        <f t="shared" si="625"/>
        <v>SCL</v>
      </c>
      <c r="C10021" s="33" t="str">
        <f t="shared" si="626"/>
        <v>68000-7375</v>
      </c>
      <c r="D10021" s="64" t="s">
        <v>11274</v>
      </c>
      <c r="E10021" s="64" t="s">
        <v>3254</v>
      </c>
      <c r="F10021" s="64" t="s">
        <v>15</v>
      </c>
      <c r="G10021" s="64" t="s">
        <v>3044</v>
      </c>
      <c r="H10021" s="64" t="s">
        <v>3022</v>
      </c>
      <c r="I10021" s="64" t="s">
        <v>3255</v>
      </c>
      <c r="J10021" s="67">
        <v>298.6</v>
      </c>
      <c r="K10021" s="62">
        <v>1333.35</v>
      </c>
      <c r="L10021" s="33" t="e">
        <f>HLOOKUP(B10021,#REF!,1,0)</f>
        <v>#REF!</v>
      </c>
      <c r="M10021" s="33" t="str">
        <f t="shared" si="627"/>
        <v>P&amp;L</v>
      </c>
    </row>
    <row r="10022" spans="1:13">
      <c r="A10022" s="33" t="str">
        <f t="shared" si="624"/>
        <v>SCL - Operating Expense</v>
      </c>
      <c r="B10022" s="33" t="str">
        <f t="shared" si="625"/>
        <v>SCL</v>
      </c>
      <c r="C10022" s="33" t="str">
        <f t="shared" si="626"/>
        <v>68000-7376</v>
      </c>
      <c r="D10022" s="64" t="s">
        <v>11275</v>
      </c>
      <c r="E10022" s="64" t="s">
        <v>3254</v>
      </c>
      <c r="F10022" s="64" t="s">
        <v>15</v>
      </c>
      <c r="G10022" s="64" t="s">
        <v>3044</v>
      </c>
      <c r="H10022" s="64" t="s">
        <v>3022</v>
      </c>
      <c r="I10022" s="64" t="s">
        <v>3255</v>
      </c>
      <c r="J10022" s="67">
        <v>298.61</v>
      </c>
      <c r="K10022" s="62">
        <v>1333.36</v>
      </c>
      <c r="L10022" s="33" t="e">
        <f>HLOOKUP(B10022,#REF!,1,0)</f>
        <v>#REF!</v>
      </c>
      <c r="M10022" s="33" t="str">
        <f t="shared" si="627"/>
        <v>P&amp;L</v>
      </c>
    </row>
    <row r="10023" spans="1:13">
      <c r="A10023" s="33" t="str">
        <f t="shared" si="624"/>
        <v>SCL - Operating Expense</v>
      </c>
      <c r="B10023" s="33" t="str">
        <f t="shared" si="625"/>
        <v>SCL</v>
      </c>
      <c r="C10023" s="33" t="str">
        <f t="shared" si="626"/>
        <v>68000-7377</v>
      </c>
      <c r="D10023" s="64" t="s">
        <v>11276</v>
      </c>
      <c r="E10023" s="64" t="s">
        <v>3254</v>
      </c>
      <c r="F10023" s="64" t="s">
        <v>15</v>
      </c>
      <c r="G10023" s="64" t="s">
        <v>3044</v>
      </c>
      <c r="H10023" s="64" t="s">
        <v>3022</v>
      </c>
      <c r="I10023" s="64" t="s">
        <v>3255</v>
      </c>
      <c r="J10023" s="67">
        <v>0</v>
      </c>
      <c r="K10023" s="62">
        <v>669.79</v>
      </c>
      <c r="L10023" s="33" t="e">
        <f>HLOOKUP(B10023,#REF!,1,0)</f>
        <v>#REF!</v>
      </c>
      <c r="M10023" s="33" t="str">
        <f t="shared" si="627"/>
        <v>P&amp;L</v>
      </c>
    </row>
    <row r="10024" spans="1:13">
      <c r="A10024" s="33" t="str">
        <f t="shared" si="624"/>
        <v>SCL - Operating Expense</v>
      </c>
      <c r="B10024" s="33" t="str">
        <f t="shared" si="625"/>
        <v>SCL</v>
      </c>
      <c r="C10024" s="33" t="str">
        <f t="shared" si="626"/>
        <v>68000-7378</v>
      </c>
      <c r="D10024" s="64" t="s">
        <v>11277</v>
      </c>
      <c r="E10024" s="64" t="s">
        <v>3254</v>
      </c>
      <c r="F10024" s="64" t="s">
        <v>15</v>
      </c>
      <c r="G10024" s="64" t="s">
        <v>3044</v>
      </c>
      <c r="H10024" s="64" t="s">
        <v>3022</v>
      </c>
      <c r="I10024" s="64" t="s">
        <v>3255</v>
      </c>
      <c r="J10024" s="67">
        <v>298.61</v>
      </c>
      <c r="K10024" s="62">
        <v>1333.36</v>
      </c>
      <c r="L10024" s="33" t="e">
        <f>HLOOKUP(B10024,#REF!,1,0)</f>
        <v>#REF!</v>
      </c>
      <c r="M10024" s="33" t="str">
        <f t="shared" si="627"/>
        <v>P&amp;L</v>
      </c>
    </row>
    <row r="10025" spans="1:13">
      <c r="A10025" s="33" t="str">
        <f t="shared" si="624"/>
        <v>SCL - Operating Expense</v>
      </c>
      <c r="B10025" s="33" t="str">
        <f t="shared" si="625"/>
        <v>SCL</v>
      </c>
      <c r="C10025" s="33" t="str">
        <f t="shared" si="626"/>
        <v>68000-7379</v>
      </c>
      <c r="D10025" s="64" t="s">
        <v>11278</v>
      </c>
      <c r="E10025" s="64" t="s">
        <v>3254</v>
      </c>
      <c r="F10025" s="64" t="s">
        <v>15</v>
      </c>
      <c r="G10025" s="64" t="s">
        <v>3044</v>
      </c>
      <c r="H10025" s="64" t="s">
        <v>3022</v>
      </c>
      <c r="I10025" s="64" t="s">
        <v>3255</v>
      </c>
      <c r="J10025" s="67">
        <v>298.61</v>
      </c>
      <c r="K10025" s="62">
        <v>1333.36</v>
      </c>
      <c r="L10025" s="33" t="e">
        <f>HLOOKUP(B10025,#REF!,1,0)</f>
        <v>#REF!</v>
      </c>
      <c r="M10025" s="33" t="str">
        <f t="shared" si="627"/>
        <v>P&amp;L</v>
      </c>
    </row>
    <row r="10026" spans="1:13">
      <c r="A10026" s="33" t="str">
        <f t="shared" si="624"/>
        <v>SCL - Operating Expense</v>
      </c>
      <c r="B10026" s="33" t="str">
        <f t="shared" si="625"/>
        <v>SCL</v>
      </c>
      <c r="C10026" s="33" t="str">
        <f t="shared" si="626"/>
        <v>68000-7380</v>
      </c>
      <c r="D10026" s="64" t="s">
        <v>11279</v>
      </c>
      <c r="E10026" s="64" t="s">
        <v>3254</v>
      </c>
      <c r="F10026" s="64" t="s">
        <v>15</v>
      </c>
      <c r="G10026" s="64" t="s">
        <v>3044</v>
      </c>
      <c r="H10026" s="64" t="s">
        <v>3022</v>
      </c>
      <c r="I10026" s="64" t="s">
        <v>3255</v>
      </c>
      <c r="J10026" s="67">
        <v>298.6</v>
      </c>
      <c r="K10026" s="62">
        <v>1333.35</v>
      </c>
      <c r="L10026" s="33" t="e">
        <f>HLOOKUP(B10026,#REF!,1,0)</f>
        <v>#REF!</v>
      </c>
      <c r="M10026" s="33" t="str">
        <f t="shared" si="627"/>
        <v>P&amp;L</v>
      </c>
    </row>
    <row r="10027" spans="1:13">
      <c r="A10027" s="33" t="str">
        <f t="shared" si="624"/>
        <v>SCL - Operating Expense</v>
      </c>
      <c r="B10027" s="33" t="str">
        <f t="shared" si="625"/>
        <v>SCL</v>
      </c>
      <c r="C10027" s="33" t="str">
        <f t="shared" si="626"/>
        <v>68000-7381</v>
      </c>
      <c r="D10027" s="64" t="s">
        <v>11280</v>
      </c>
      <c r="E10027" s="64" t="s">
        <v>3254</v>
      </c>
      <c r="F10027" s="64" t="s">
        <v>15</v>
      </c>
      <c r="G10027" s="64" t="s">
        <v>3044</v>
      </c>
      <c r="H10027" s="64" t="s">
        <v>3022</v>
      </c>
      <c r="I10027" s="64" t="s">
        <v>3255</v>
      </c>
      <c r="J10027" s="67">
        <v>298.6</v>
      </c>
      <c r="K10027" s="62">
        <v>1353.08</v>
      </c>
      <c r="L10027" s="33" t="e">
        <f>HLOOKUP(B10027,#REF!,1,0)</f>
        <v>#REF!</v>
      </c>
      <c r="M10027" s="33" t="str">
        <f t="shared" si="627"/>
        <v>P&amp;L</v>
      </c>
    </row>
    <row r="10028" spans="1:13">
      <c r="A10028" s="33" t="str">
        <f t="shared" si="624"/>
        <v>SCL - Operating Expense</v>
      </c>
      <c r="B10028" s="33" t="str">
        <f t="shared" si="625"/>
        <v>SCL</v>
      </c>
      <c r="C10028" s="33" t="str">
        <f t="shared" si="626"/>
        <v>68000-7383</v>
      </c>
      <c r="D10028" s="64" t="s">
        <v>11281</v>
      </c>
      <c r="E10028" s="64" t="s">
        <v>3254</v>
      </c>
      <c r="F10028" s="64" t="s">
        <v>15</v>
      </c>
      <c r="G10028" s="64" t="s">
        <v>3044</v>
      </c>
      <c r="H10028" s="64" t="s">
        <v>3022</v>
      </c>
      <c r="I10028" s="64" t="s">
        <v>3255</v>
      </c>
      <c r="J10028" s="67">
        <v>298.61</v>
      </c>
      <c r="K10028" s="62">
        <v>1333.36</v>
      </c>
      <c r="L10028" s="33" t="e">
        <f>HLOOKUP(B10028,#REF!,1,0)</f>
        <v>#REF!</v>
      </c>
      <c r="M10028" s="33" t="str">
        <f t="shared" si="627"/>
        <v>P&amp;L</v>
      </c>
    </row>
    <row r="10029" spans="1:13">
      <c r="A10029" s="33" t="str">
        <f t="shared" si="624"/>
        <v>SCL - Operating Expense</v>
      </c>
      <c r="B10029" s="33" t="str">
        <f t="shared" si="625"/>
        <v>SCL</v>
      </c>
      <c r="C10029" s="33" t="str">
        <f t="shared" si="626"/>
        <v>68000-7385</v>
      </c>
      <c r="D10029" s="64" t="s">
        <v>11282</v>
      </c>
      <c r="E10029" s="64" t="s">
        <v>3254</v>
      </c>
      <c r="F10029" s="64" t="s">
        <v>15</v>
      </c>
      <c r="G10029" s="64" t="s">
        <v>3044</v>
      </c>
      <c r="H10029" s="64" t="s">
        <v>3022</v>
      </c>
      <c r="I10029" s="64" t="s">
        <v>3255</v>
      </c>
      <c r="J10029" s="67">
        <v>298.6</v>
      </c>
      <c r="K10029" s="62">
        <v>1333.35</v>
      </c>
      <c r="L10029" s="33" t="e">
        <f>HLOOKUP(B10029,#REF!,1,0)</f>
        <v>#REF!</v>
      </c>
      <c r="M10029" s="33" t="str">
        <f t="shared" si="627"/>
        <v>P&amp;L</v>
      </c>
    </row>
    <row r="10030" spans="1:13">
      <c r="A10030" s="33" t="str">
        <f t="shared" si="624"/>
        <v>SCL - Operating Expense</v>
      </c>
      <c r="B10030" s="33" t="str">
        <f t="shared" si="625"/>
        <v>SCL</v>
      </c>
      <c r="C10030" s="33" t="str">
        <f t="shared" si="626"/>
        <v>68000-7386</v>
      </c>
      <c r="D10030" s="64" t="s">
        <v>11283</v>
      </c>
      <c r="E10030" s="64" t="s">
        <v>3254</v>
      </c>
      <c r="F10030" s="64" t="s">
        <v>15</v>
      </c>
      <c r="G10030" s="64" t="s">
        <v>3044</v>
      </c>
      <c r="H10030" s="64" t="s">
        <v>3022</v>
      </c>
      <c r="I10030" s="64" t="s">
        <v>3255</v>
      </c>
      <c r="J10030" s="67">
        <v>298.6</v>
      </c>
      <c r="K10030" s="62">
        <v>1333.35</v>
      </c>
      <c r="L10030" s="33" t="e">
        <f>HLOOKUP(B10030,#REF!,1,0)</f>
        <v>#REF!</v>
      </c>
      <c r="M10030" s="33" t="str">
        <f t="shared" si="627"/>
        <v>P&amp;L</v>
      </c>
    </row>
    <row r="10031" spans="1:13">
      <c r="A10031" s="33" t="str">
        <f t="shared" si="624"/>
        <v>SCL - Operating Expense</v>
      </c>
      <c r="B10031" s="33" t="str">
        <f t="shared" si="625"/>
        <v>SCL</v>
      </c>
      <c r="C10031" s="33" t="str">
        <f t="shared" si="626"/>
        <v>68000-7387</v>
      </c>
      <c r="D10031" s="64" t="s">
        <v>11284</v>
      </c>
      <c r="E10031" s="64" t="s">
        <v>3254</v>
      </c>
      <c r="F10031" s="64" t="s">
        <v>15</v>
      </c>
      <c r="G10031" s="64" t="s">
        <v>3044</v>
      </c>
      <c r="H10031" s="64" t="s">
        <v>3022</v>
      </c>
      <c r="I10031" s="64" t="s">
        <v>3255</v>
      </c>
      <c r="J10031" s="67">
        <v>298.61</v>
      </c>
      <c r="K10031" s="62">
        <v>1333.36</v>
      </c>
      <c r="L10031" s="33" t="e">
        <f>HLOOKUP(B10031,#REF!,1,0)</f>
        <v>#REF!</v>
      </c>
      <c r="M10031" s="33" t="str">
        <f t="shared" si="627"/>
        <v>P&amp;L</v>
      </c>
    </row>
    <row r="10032" spans="1:13">
      <c r="A10032" s="33" t="str">
        <f t="shared" si="624"/>
        <v>SCL - Operating Expense</v>
      </c>
      <c r="B10032" s="33" t="str">
        <f t="shared" si="625"/>
        <v>SCL</v>
      </c>
      <c r="C10032" s="33" t="str">
        <f t="shared" si="626"/>
        <v>68000-7389</v>
      </c>
      <c r="D10032" s="64" t="s">
        <v>11285</v>
      </c>
      <c r="E10032" s="64" t="s">
        <v>3254</v>
      </c>
      <c r="F10032" s="64" t="s">
        <v>15</v>
      </c>
      <c r="G10032" s="64" t="s">
        <v>3044</v>
      </c>
      <c r="H10032" s="64" t="s">
        <v>3022</v>
      </c>
      <c r="I10032" s="64" t="s">
        <v>3255</v>
      </c>
      <c r="J10032" s="67">
        <v>298.61</v>
      </c>
      <c r="K10032" s="62">
        <v>1337.82</v>
      </c>
      <c r="L10032" s="33" t="e">
        <f>HLOOKUP(B10032,#REF!,1,0)</f>
        <v>#REF!</v>
      </c>
      <c r="M10032" s="33" t="str">
        <f t="shared" si="627"/>
        <v>P&amp;L</v>
      </c>
    </row>
    <row r="10033" spans="1:13">
      <c r="A10033" s="33" t="str">
        <f t="shared" si="624"/>
        <v>SCL - Operating Expense</v>
      </c>
      <c r="B10033" s="33" t="str">
        <f t="shared" si="625"/>
        <v>SCL</v>
      </c>
      <c r="C10033" s="33" t="str">
        <f t="shared" si="626"/>
        <v>68000-7391</v>
      </c>
      <c r="D10033" s="64" t="s">
        <v>11286</v>
      </c>
      <c r="E10033" s="64" t="s">
        <v>3254</v>
      </c>
      <c r="F10033" s="64" t="s">
        <v>15</v>
      </c>
      <c r="G10033" s="64" t="s">
        <v>3044</v>
      </c>
      <c r="H10033" s="64" t="s">
        <v>3022</v>
      </c>
      <c r="I10033" s="64" t="s">
        <v>3255</v>
      </c>
      <c r="J10033" s="67">
        <v>298.6</v>
      </c>
      <c r="K10033" s="62">
        <v>1333.35</v>
      </c>
      <c r="L10033" s="33" t="e">
        <f>HLOOKUP(B10033,#REF!,1,0)</f>
        <v>#REF!</v>
      </c>
      <c r="M10033" s="33" t="str">
        <f t="shared" si="627"/>
        <v>P&amp;L</v>
      </c>
    </row>
    <row r="10034" spans="1:13">
      <c r="A10034" s="33" t="str">
        <f t="shared" si="624"/>
        <v>SCL - Operating Expense</v>
      </c>
      <c r="B10034" s="33" t="str">
        <f t="shared" si="625"/>
        <v>SCL</v>
      </c>
      <c r="C10034" s="33" t="str">
        <f t="shared" si="626"/>
        <v>68000-7393</v>
      </c>
      <c r="D10034" s="64" t="s">
        <v>11287</v>
      </c>
      <c r="E10034" s="64" t="s">
        <v>3254</v>
      </c>
      <c r="F10034" s="64" t="s">
        <v>15</v>
      </c>
      <c r="G10034" s="64" t="s">
        <v>3044</v>
      </c>
      <c r="H10034" s="64" t="s">
        <v>3022</v>
      </c>
      <c r="I10034" s="64" t="s">
        <v>3255</v>
      </c>
      <c r="J10034" s="67">
        <v>298.6</v>
      </c>
      <c r="K10034" s="62">
        <v>1333.35</v>
      </c>
      <c r="L10034" s="33" t="e">
        <f>HLOOKUP(B10034,#REF!,1,0)</f>
        <v>#REF!</v>
      </c>
      <c r="M10034" s="33" t="str">
        <f t="shared" si="627"/>
        <v>P&amp;L</v>
      </c>
    </row>
    <row r="10035" spans="1:13">
      <c r="A10035" s="33" t="str">
        <f t="shared" si="624"/>
        <v>SCL - Operating Expense</v>
      </c>
      <c r="B10035" s="33" t="str">
        <f t="shared" si="625"/>
        <v>SCL</v>
      </c>
      <c r="C10035" s="33" t="str">
        <f t="shared" si="626"/>
        <v>68000-7394</v>
      </c>
      <c r="D10035" s="64" t="s">
        <v>11288</v>
      </c>
      <c r="E10035" s="64" t="s">
        <v>3254</v>
      </c>
      <c r="F10035" s="64" t="s">
        <v>15</v>
      </c>
      <c r="G10035" s="64" t="s">
        <v>3044</v>
      </c>
      <c r="H10035" s="64" t="s">
        <v>3022</v>
      </c>
      <c r="I10035" s="64" t="s">
        <v>3255</v>
      </c>
      <c r="J10035" s="67">
        <v>298.6</v>
      </c>
      <c r="K10035" s="62">
        <v>1337.81</v>
      </c>
      <c r="L10035" s="33" t="e">
        <f>HLOOKUP(B10035,#REF!,1,0)</f>
        <v>#REF!</v>
      </c>
      <c r="M10035" s="33" t="str">
        <f t="shared" si="627"/>
        <v>P&amp;L</v>
      </c>
    </row>
    <row r="10036" spans="1:13">
      <c r="A10036" s="33" t="str">
        <f t="shared" si="624"/>
        <v>SCL - Operating Expense</v>
      </c>
      <c r="B10036" s="33" t="str">
        <f t="shared" si="625"/>
        <v>SCL</v>
      </c>
      <c r="C10036" s="33" t="str">
        <f t="shared" si="626"/>
        <v>68000-7396</v>
      </c>
      <c r="D10036" s="64" t="s">
        <v>11289</v>
      </c>
      <c r="E10036" s="64" t="s">
        <v>3254</v>
      </c>
      <c r="F10036" s="64" t="s">
        <v>15</v>
      </c>
      <c r="G10036" s="64" t="s">
        <v>3044</v>
      </c>
      <c r="H10036" s="64" t="s">
        <v>3022</v>
      </c>
      <c r="I10036" s="64" t="s">
        <v>3255</v>
      </c>
      <c r="J10036" s="67">
        <v>298.6</v>
      </c>
      <c r="K10036" s="62">
        <v>1333.36</v>
      </c>
      <c r="L10036" s="33" t="e">
        <f>HLOOKUP(B10036,#REF!,1,0)</f>
        <v>#REF!</v>
      </c>
      <c r="M10036" s="33" t="str">
        <f t="shared" si="627"/>
        <v>P&amp;L</v>
      </c>
    </row>
    <row r="10037" spans="1:13">
      <c r="A10037" s="33" t="str">
        <f t="shared" si="624"/>
        <v>SCL - Operating Expense</v>
      </c>
      <c r="B10037" s="33" t="str">
        <f t="shared" si="625"/>
        <v>SCL</v>
      </c>
      <c r="C10037" s="33" t="str">
        <f t="shared" si="626"/>
        <v>68000-7397</v>
      </c>
      <c r="D10037" s="64" t="s">
        <v>11290</v>
      </c>
      <c r="E10037" s="64" t="s">
        <v>3254</v>
      </c>
      <c r="F10037" s="64" t="s">
        <v>15</v>
      </c>
      <c r="G10037" s="64" t="s">
        <v>3044</v>
      </c>
      <c r="H10037" s="64" t="s">
        <v>3022</v>
      </c>
      <c r="I10037" s="64" t="s">
        <v>3255</v>
      </c>
      <c r="J10037" s="67">
        <v>298.61</v>
      </c>
      <c r="K10037" s="62">
        <v>1333.36</v>
      </c>
      <c r="L10037" s="33" t="e">
        <f>HLOOKUP(B10037,#REF!,1,0)</f>
        <v>#REF!</v>
      </c>
      <c r="M10037" s="33" t="str">
        <f t="shared" si="627"/>
        <v>P&amp;L</v>
      </c>
    </row>
    <row r="10038" spans="1:13">
      <c r="A10038" s="33" t="str">
        <f t="shared" si="624"/>
        <v>SCL - Operating Expense</v>
      </c>
      <c r="B10038" s="33" t="str">
        <f t="shared" si="625"/>
        <v>SCL</v>
      </c>
      <c r="C10038" s="33" t="str">
        <f t="shared" si="626"/>
        <v>68000-7398</v>
      </c>
      <c r="D10038" s="64" t="s">
        <v>11291</v>
      </c>
      <c r="E10038" s="64" t="s">
        <v>3254</v>
      </c>
      <c r="F10038" s="64" t="s">
        <v>15</v>
      </c>
      <c r="G10038" s="64" t="s">
        <v>3044</v>
      </c>
      <c r="H10038" s="64" t="s">
        <v>3022</v>
      </c>
      <c r="I10038" s="64" t="s">
        <v>3255</v>
      </c>
      <c r="J10038" s="67">
        <v>298.6</v>
      </c>
      <c r="K10038" s="62">
        <v>1333.35</v>
      </c>
      <c r="L10038" s="33" t="e">
        <f>HLOOKUP(B10038,#REF!,1,0)</f>
        <v>#REF!</v>
      </c>
      <c r="M10038" s="33" t="str">
        <f t="shared" si="627"/>
        <v>P&amp;L</v>
      </c>
    </row>
    <row r="10039" spans="1:13">
      <c r="A10039" s="33" t="str">
        <f t="shared" si="624"/>
        <v>SCL - Operating Expense</v>
      </c>
      <c r="B10039" s="33" t="str">
        <f t="shared" si="625"/>
        <v>SCL</v>
      </c>
      <c r="C10039" s="33" t="str">
        <f t="shared" si="626"/>
        <v>68000-7400</v>
      </c>
      <c r="D10039" s="64" t="s">
        <v>11292</v>
      </c>
      <c r="E10039" s="64" t="s">
        <v>3254</v>
      </c>
      <c r="F10039" s="64" t="s">
        <v>15</v>
      </c>
      <c r="G10039" s="64" t="s">
        <v>3044</v>
      </c>
      <c r="H10039" s="64" t="s">
        <v>3022</v>
      </c>
      <c r="I10039" s="64" t="s">
        <v>3255</v>
      </c>
      <c r="J10039" s="67">
        <v>298.61</v>
      </c>
      <c r="K10039" s="62">
        <v>1328.9</v>
      </c>
      <c r="L10039" s="33" t="e">
        <f>HLOOKUP(B10039,#REF!,1,0)</f>
        <v>#REF!</v>
      </c>
      <c r="M10039" s="33" t="str">
        <f t="shared" si="627"/>
        <v>P&amp;L</v>
      </c>
    </row>
    <row r="10040" spans="1:13">
      <c r="A10040" s="33" t="str">
        <f t="shared" si="624"/>
        <v>SCL - Operating Expense</v>
      </c>
      <c r="B10040" s="33" t="str">
        <f t="shared" si="625"/>
        <v>SCL</v>
      </c>
      <c r="C10040" s="33" t="str">
        <f t="shared" si="626"/>
        <v>68000-7401</v>
      </c>
      <c r="D10040" s="64" t="s">
        <v>11293</v>
      </c>
      <c r="E10040" s="64" t="s">
        <v>3254</v>
      </c>
      <c r="F10040" s="64" t="s">
        <v>15</v>
      </c>
      <c r="G10040" s="64" t="s">
        <v>3044</v>
      </c>
      <c r="H10040" s="64" t="s">
        <v>3022</v>
      </c>
      <c r="I10040" s="64" t="s">
        <v>3255</v>
      </c>
      <c r="J10040" s="67">
        <v>298.61</v>
      </c>
      <c r="K10040" s="62">
        <v>1328.9</v>
      </c>
      <c r="L10040" s="33" t="e">
        <f>HLOOKUP(B10040,#REF!,1,0)</f>
        <v>#REF!</v>
      </c>
      <c r="M10040" s="33" t="str">
        <f t="shared" si="627"/>
        <v>P&amp;L</v>
      </c>
    </row>
    <row r="10041" spans="1:13">
      <c r="A10041" s="33" t="str">
        <f t="shared" si="624"/>
        <v>SCL - Operating Expense</v>
      </c>
      <c r="B10041" s="33" t="str">
        <f t="shared" si="625"/>
        <v>SCL</v>
      </c>
      <c r="C10041" s="33" t="str">
        <f t="shared" si="626"/>
        <v>68000-7402</v>
      </c>
      <c r="D10041" s="64" t="s">
        <v>11294</v>
      </c>
      <c r="E10041" s="64" t="s">
        <v>3254</v>
      </c>
      <c r="F10041" s="64" t="s">
        <v>15</v>
      </c>
      <c r="G10041" s="64" t="s">
        <v>3044</v>
      </c>
      <c r="H10041" s="64" t="s">
        <v>3022</v>
      </c>
      <c r="I10041" s="64" t="s">
        <v>3255</v>
      </c>
      <c r="J10041" s="67">
        <v>298.61</v>
      </c>
      <c r="K10041" s="62">
        <v>1328.9</v>
      </c>
      <c r="L10041" s="33" t="e">
        <f>HLOOKUP(B10041,#REF!,1,0)</f>
        <v>#REF!</v>
      </c>
      <c r="M10041" s="33" t="str">
        <f t="shared" si="627"/>
        <v>P&amp;L</v>
      </c>
    </row>
    <row r="10042" spans="1:13">
      <c r="A10042" s="33" t="str">
        <f t="shared" si="624"/>
        <v>SCL - Operating Expense</v>
      </c>
      <c r="B10042" s="33" t="str">
        <f t="shared" si="625"/>
        <v>SCL</v>
      </c>
      <c r="C10042" s="33" t="str">
        <f t="shared" si="626"/>
        <v>68000-7403</v>
      </c>
      <c r="D10042" s="64" t="s">
        <v>11295</v>
      </c>
      <c r="E10042" s="64" t="s">
        <v>3254</v>
      </c>
      <c r="F10042" s="64" t="s">
        <v>15</v>
      </c>
      <c r="G10042" s="64" t="s">
        <v>3044</v>
      </c>
      <c r="H10042" s="64" t="s">
        <v>3022</v>
      </c>
      <c r="I10042" s="64" t="s">
        <v>3255</v>
      </c>
      <c r="J10042" s="67">
        <v>298.6</v>
      </c>
      <c r="K10042" s="62">
        <v>1328.89</v>
      </c>
      <c r="L10042" s="33" t="e">
        <f>HLOOKUP(B10042,#REF!,1,0)</f>
        <v>#REF!</v>
      </c>
      <c r="M10042" s="33" t="str">
        <f t="shared" si="627"/>
        <v>P&amp;L</v>
      </c>
    </row>
    <row r="10043" spans="1:13">
      <c r="A10043" s="33" t="str">
        <f t="shared" si="624"/>
        <v>SCL - Operating Expense</v>
      </c>
      <c r="B10043" s="33" t="str">
        <f t="shared" si="625"/>
        <v>SCL</v>
      </c>
      <c r="C10043" s="33" t="str">
        <f t="shared" si="626"/>
        <v>68000-7489</v>
      </c>
      <c r="D10043" s="64" t="s">
        <v>11296</v>
      </c>
      <c r="E10043" s="64" t="s">
        <v>3254</v>
      </c>
      <c r="F10043" s="64" t="s">
        <v>15</v>
      </c>
      <c r="G10043" s="64" t="s">
        <v>3044</v>
      </c>
      <c r="H10043" s="64" t="s">
        <v>3022</v>
      </c>
      <c r="I10043" s="64" t="s">
        <v>3255</v>
      </c>
      <c r="J10043" s="67">
        <v>294.14</v>
      </c>
      <c r="K10043" s="62">
        <v>1333.35</v>
      </c>
      <c r="L10043" s="33" t="e">
        <f>HLOOKUP(B10043,#REF!,1,0)</f>
        <v>#REF!</v>
      </c>
      <c r="M10043" s="33" t="str">
        <f t="shared" si="627"/>
        <v>P&amp;L</v>
      </c>
    </row>
    <row r="10044" spans="1:13">
      <c r="A10044" s="33" t="str">
        <f t="shared" si="624"/>
        <v>SCL - Operating Expense</v>
      </c>
      <c r="B10044" s="33" t="str">
        <f t="shared" si="625"/>
        <v>SCL</v>
      </c>
      <c r="C10044" s="33" t="str">
        <f t="shared" si="626"/>
        <v>68000-7491</v>
      </c>
      <c r="D10044" s="64" t="s">
        <v>11297</v>
      </c>
      <c r="E10044" s="64" t="s">
        <v>3254</v>
      </c>
      <c r="F10044" s="64" t="s">
        <v>15</v>
      </c>
      <c r="G10044" s="64" t="s">
        <v>3044</v>
      </c>
      <c r="H10044" s="64" t="s">
        <v>3022</v>
      </c>
      <c r="I10044" s="64" t="s">
        <v>3255</v>
      </c>
      <c r="J10044" s="67">
        <v>298.6</v>
      </c>
      <c r="K10044" s="62">
        <v>1333.35</v>
      </c>
      <c r="L10044" s="33" t="e">
        <f>HLOOKUP(B10044,#REF!,1,0)</f>
        <v>#REF!</v>
      </c>
      <c r="M10044" s="33" t="str">
        <f t="shared" si="627"/>
        <v>P&amp;L</v>
      </c>
    </row>
    <row r="10045" spans="1:13">
      <c r="A10045" s="33" t="str">
        <f t="shared" si="624"/>
        <v>SCL - Operating Expense</v>
      </c>
      <c r="B10045" s="33" t="str">
        <f t="shared" si="625"/>
        <v>SCL</v>
      </c>
      <c r="C10045" s="33" t="str">
        <f t="shared" si="626"/>
        <v>68000-7492</v>
      </c>
      <c r="D10045" s="64" t="s">
        <v>11298</v>
      </c>
      <c r="E10045" s="64" t="s">
        <v>3254</v>
      </c>
      <c r="F10045" s="64" t="s">
        <v>15</v>
      </c>
      <c r="G10045" s="64" t="s">
        <v>3044</v>
      </c>
      <c r="H10045" s="64" t="s">
        <v>3022</v>
      </c>
      <c r="I10045" s="64" t="s">
        <v>3255</v>
      </c>
      <c r="J10045" s="67">
        <v>298.6</v>
      </c>
      <c r="K10045" s="62">
        <v>1333.35</v>
      </c>
      <c r="L10045" s="33" t="e">
        <f>HLOOKUP(B10045,#REF!,1,0)</f>
        <v>#REF!</v>
      </c>
      <c r="M10045" s="33" t="str">
        <f t="shared" si="627"/>
        <v>P&amp;L</v>
      </c>
    </row>
    <row r="10046" spans="1:13">
      <c r="A10046" s="33" t="str">
        <f t="shared" si="624"/>
        <v>SCL - Operating Expense</v>
      </c>
      <c r="B10046" s="33" t="str">
        <f t="shared" si="625"/>
        <v>SCL</v>
      </c>
      <c r="C10046" s="33" t="str">
        <f t="shared" si="626"/>
        <v>68000-7493</v>
      </c>
      <c r="D10046" s="64" t="s">
        <v>11299</v>
      </c>
      <c r="E10046" s="64" t="s">
        <v>3254</v>
      </c>
      <c r="F10046" s="64" t="s">
        <v>15</v>
      </c>
      <c r="G10046" s="64" t="s">
        <v>3044</v>
      </c>
      <c r="H10046" s="64" t="s">
        <v>3022</v>
      </c>
      <c r="I10046" s="64" t="s">
        <v>3255</v>
      </c>
      <c r="J10046" s="67">
        <v>298.61</v>
      </c>
      <c r="K10046" s="62">
        <v>1328.9</v>
      </c>
      <c r="L10046" s="33" t="e">
        <f>HLOOKUP(B10046,#REF!,1,0)</f>
        <v>#REF!</v>
      </c>
      <c r="M10046" s="33" t="str">
        <f t="shared" si="627"/>
        <v>P&amp;L</v>
      </c>
    </row>
    <row r="10047" spans="1:13">
      <c r="A10047" s="33" t="str">
        <f t="shared" si="624"/>
        <v>SCL - Operating Expense</v>
      </c>
      <c r="B10047" s="33" t="str">
        <f t="shared" si="625"/>
        <v>SCL</v>
      </c>
      <c r="C10047" s="33" t="str">
        <f t="shared" si="626"/>
        <v>68000-7494</v>
      </c>
      <c r="D10047" s="64" t="s">
        <v>11300</v>
      </c>
      <c r="E10047" s="64" t="s">
        <v>3254</v>
      </c>
      <c r="F10047" s="64" t="s">
        <v>15</v>
      </c>
      <c r="G10047" s="64" t="s">
        <v>3044</v>
      </c>
      <c r="H10047" s="64" t="s">
        <v>3022</v>
      </c>
      <c r="I10047" s="64" t="s">
        <v>3255</v>
      </c>
      <c r="J10047" s="67">
        <v>298.6</v>
      </c>
      <c r="K10047" s="62">
        <v>1337.81</v>
      </c>
      <c r="L10047" s="33" t="e">
        <f>HLOOKUP(B10047,#REF!,1,0)</f>
        <v>#REF!</v>
      </c>
      <c r="M10047" s="33" t="str">
        <f t="shared" si="627"/>
        <v>P&amp;L</v>
      </c>
    </row>
    <row r="10048" spans="1:13">
      <c r="A10048" s="33" t="str">
        <f t="shared" si="624"/>
        <v>SCL - Operating Expense</v>
      </c>
      <c r="B10048" s="33" t="str">
        <f t="shared" si="625"/>
        <v>SCL</v>
      </c>
      <c r="C10048" s="33" t="str">
        <f t="shared" si="626"/>
        <v>68000-7625</v>
      </c>
      <c r="D10048" s="64" t="s">
        <v>11301</v>
      </c>
      <c r="E10048" s="64" t="s">
        <v>3254</v>
      </c>
      <c r="F10048" s="64" t="s">
        <v>15</v>
      </c>
      <c r="G10048" s="64" t="s">
        <v>3044</v>
      </c>
      <c r="H10048" s="64" t="s">
        <v>3022</v>
      </c>
      <c r="I10048" s="64" t="s">
        <v>3255</v>
      </c>
      <c r="J10048" s="67">
        <v>298.6</v>
      </c>
      <c r="K10048" s="62">
        <v>1333.35</v>
      </c>
      <c r="L10048" s="33" t="e">
        <f>HLOOKUP(B10048,#REF!,1,0)</f>
        <v>#REF!</v>
      </c>
      <c r="M10048" s="33" t="str">
        <f t="shared" si="627"/>
        <v>P&amp;L</v>
      </c>
    </row>
    <row r="10049" spans="1:13">
      <c r="A10049" s="33" t="str">
        <f t="shared" si="624"/>
        <v>SCL - Operating Expense</v>
      </c>
      <c r="B10049" s="33" t="str">
        <f t="shared" si="625"/>
        <v>SCL</v>
      </c>
      <c r="C10049" s="33" t="str">
        <f t="shared" si="626"/>
        <v>68000-8150</v>
      </c>
      <c r="D10049" s="64" t="s">
        <v>11302</v>
      </c>
      <c r="E10049" s="64" t="s">
        <v>3254</v>
      </c>
      <c r="F10049" s="64" t="s">
        <v>15</v>
      </c>
      <c r="G10049" s="64" t="s">
        <v>3044</v>
      </c>
      <c r="H10049" s="64" t="s">
        <v>3022</v>
      </c>
      <c r="I10049" s="64" t="s">
        <v>3255</v>
      </c>
      <c r="J10049" s="67">
        <v>298.61</v>
      </c>
      <c r="K10049" s="62">
        <v>1328.9</v>
      </c>
      <c r="L10049" s="33" t="e">
        <f>HLOOKUP(B10049,#REF!,1,0)</f>
        <v>#REF!</v>
      </c>
      <c r="M10049" s="33" t="str">
        <f t="shared" si="627"/>
        <v>P&amp;L</v>
      </c>
    </row>
    <row r="10050" spans="1:13">
      <c r="A10050" s="33" t="str">
        <f t="shared" ref="A10050:A10113" si="628">B10050&amp;" - "&amp;TRIM(H10050)</f>
        <v>SCL - Operating Expense</v>
      </c>
      <c r="B10050" s="33" t="str">
        <f t="shared" ref="B10050:B10113" si="629">LEFT(D10050,3)</f>
        <v>SCL</v>
      </c>
      <c r="C10050" s="33" t="str">
        <f t="shared" ref="C10050:C10113" si="630">RIGHT(D10050,10)</f>
        <v>68001-7351</v>
      </c>
      <c r="D10050" s="64" t="s">
        <v>11303</v>
      </c>
      <c r="E10050" s="64" t="s">
        <v>3260</v>
      </c>
      <c r="F10050" s="64" t="s">
        <v>15</v>
      </c>
      <c r="G10050" s="64" t="s">
        <v>3044</v>
      </c>
      <c r="H10050" s="64" t="s">
        <v>3022</v>
      </c>
      <c r="I10050" s="64" t="s">
        <v>3255</v>
      </c>
      <c r="J10050" s="67">
        <v>144.7</v>
      </c>
      <c r="K10050" s="62">
        <v>1021.93</v>
      </c>
      <c r="L10050" s="33" t="e">
        <f>HLOOKUP(B10050,#REF!,1,0)</f>
        <v>#REF!</v>
      </c>
      <c r="M10050" s="33" t="str">
        <f t="shared" ref="M10050:M10113" si="631">IF(VALUE(LEFT(C10050,5))&gt;40000,"P&amp;L","BS")</f>
        <v>P&amp;L</v>
      </c>
    </row>
    <row r="10051" spans="1:13">
      <c r="A10051" s="33" t="str">
        <f t="shared" si="628"/>
        <v>SCL - Operating Expense</v>
      </c>
      <c r="B10051" s="33" t="str">
        <f t="shared" si="629"/>
        <v>SCL</v>
      </c>
      <c r="C10051" s="33" t="str">
        <f t="shared" si="630"/>
        <v>68001-7352</v>
      </c>
      <c r="D10051" s="64" t="s">
        <v>11304</v>
      </c>
      <c r="E10051" s="64" t="s">
        <v>3260</v>
      </c>
      <c r="F10051" s="64" t="s">
        <v>15</v>
      </c>
      <c r="G10051" s="64" t="s">
        <v>3044</v>
      </c>
      <c r="H10051" s="64" t="s">
        <v>3022</v>
      </c>
      <c r="I10051" s="64" t="s">
        <v>3255</v>
      </c>
      <c r="J10051" s="67">
        <v>145.55</v>
      </c>
      <c r="K10051" s="62">
        <v>1659.26</v>
      </c>
      <c r="L10051" s="33" t="e">
        <f>HLOOKUP(B10051,#REF!,1,0)</f>
        <v>#REF!</v>
      </c>
      <c r="M10051" s="33" t="str">
        <f t="shared" si="631"/>
        <v>P&amp;L</v>
      </c>
    </row>
    <row r="10052" spans="1:13">
      <c r="A10052" s="33" t="str">
        <f t="shared" si="628"/>
        <v>SCL - Operating Expense</v>
      </c>
      <c r="B10052" s="33" t="str">
        <f t="shared" si="629"/>
        <v>SCL</v>
      </c>
      <c r="C10052" s="33" t="str">
        <f t="shared" si="630"/>
        <v>68001-7355</v>
      </c>
      <c r="D10052" s="64" t="s">
        <v>11305</v>
      </c>
      <c r="E10052" s="64" t="s">
        <v>3260</v>
      </c>
      <c r="F10052" s="64" t="s">
        <v>15</v>
      </c>
      <c r="G10052" s="64" t="s">
        <v>3044</v>
      </c>
      <c r="H10052" s="64" t="s">
        <v>3022</v>
      </c>
      <c r="I10052" s="64" t="s">
        <v>3255</v>
      </c>
      <c r="J10052" s="67">
        <v>144.7</v>
      </c>
      <c r="K10052" s="62">
        <v>1104.79</v>
      </c>
      <c r="L10052" s="33" t="e">
        <f>HLOOKUP(B10052,#REF!,1,0)</f>
        <v>#REF!</v>
      </c>
      <c r="M10052" s="33" t="str">
        <f t="shared" si="631"/>
        <v>P&amp;L</v>
      </c>
    </row>
    <row r="10053" spans="1:13">
      <c r="A10053" s="33" t="str">
        <f t="shared" si="628"/>
        <v>SCL - Operating Expense</v>
      </c>
      <c r="B10053" s="33" t="str">
        <f t="shared" si="629"/>
        <v>SCL</v>
      </c>
      <c r="C10053" s="33" t="str">
        <f t="shared" si="630"/>
        <v>68001-7356</v>
      </c>
      <c r="D10053" s="64" t="s">
        <v>11306</v>
      </c>
      <c r="E10053" s="64" t="s">
        <v>3260</v>
      </c>
      <c r="F10053" s="64" t="s">
        <v>15</v>
      </c>
      <c r="G10053" s="64" t="s">
        <v>3044</v>
      </c>
      <c r="H10053" s="64" t="s">
        <v>3022</v>
      </c>
      <c r="I10053" s="64" t="s">
        <v>3255</v>
      </c>
      <c r="J10053" s="67">
        <v>0</v>
      </c>
      <c r="K10053" s="62">
        <v>100.07</v>
      </c>
      <c r="L10053" s="33" t="e">
        <f>HLOOKUP(B10053,#REF!,1,0)</f>
        <v>#REF!</v>
      </c>
      <c r="M10053" s="33" t="str">
        <f t="shared" si="631"/>
        <v>P&amp;L</v>
      </c>
    </row>
    <row r="10054" spans="1:13">
      <c r="A10054" s="33" t="str">
        <f t="shared" si="628"/>
        <v>SCL - Operating Expense</v>
      </c>
      <c r="B10054" s="33" t="str">
        <f t="shared" si="629"/>
        <v>SCL</v>
      </c>
      <c r="C10054" s="33" t="str">
        <f t="shared" si="630"/>
        <v>68001-7359</v>
      </c>
      <c r="D10054" s="64" t="s">
        <v>11307</v>
      </c>
      <c r="E10054" s="64" t="s">
        <v>3260</v>
      </c>
      <c r="F10054" s="64" t="s">
        <v>15</v>
      </c>
      <c r="G10054" s="64" t="s">
        <v>3044</v>
      </c>
      <c r="H10054" s="64" t="s">
        <v>3022</v>
      </c>
      <c r="I10054" s="64" t="s">
        <v>3255</v>
      </c>
      <c r="J10054" s="67">
        <v>144.7</v>
      </c>
      <c r="K10054" s="62">
        <v>1395.59</v>
      </c>
      <c r="L10054" s="33" t="e">
        <f>HLOOKUP(B10054,#REF!,1,0)</f>
        <v>#REF!</v>
      </c>
      <c r="M10054" s="33" t="str">
        <f t="shared" si="631"/>
        <v>P&amp;L</v>
      </c>
    </row>
    <row r="10055" spans="1:13">
      <c r="A10055" s="33" t="str">
        <f t="shared" si="628"/>
        <v>SCL - Operating Expense</v>
      </c>
      <c r="B10055" s="33" t="str">
        <f t="shared" si="629"/>
        <v>SCL</v>
      </c>
      <c r="C10055" s="33" t="str">
        <f t="shared" si="630"/>
        <v>68001-7360</v>
      </c>
      <c r="D10055" s="64" t="s">
        <v>11308</v>
      </c>
      <c r="E10055" s="64" t="s">
        <v>3260</v>
      </c>
      <c r="F10055" s="64" t="s">
        <v>15</v>
      </c>
      <c r="G10055" s="64" t="s">
        <v>3044</v>
      </c>
      <c r="H10055" s="64" t="s">
        <v>3022</v>
      </c>
      <c r="I10055" s="64" t="s">
        <v>3255</v>
      </c>
      <c r="J10055" s="67">
        <v>146.43</v>
      </c>
      <c r="K10055" s="62">
        <v>1021.89</v>
      </c>
      <c r="L10055" s="33" t="e">
        <f>HLOOKUP(B10055,#REF!,1,0)</f>
        <v>#REF!</v>
      </c>
      <c r="M10055" s="33" t="str">
        <f t="shared" si="631"/>
        <v>P&amp;L</v>
      </c>
    </row>
    <row r="10056" spans="1:13">
      <c r="A10056" s="33" t="str">
        <f t="shared" si="628"/>
        <v>SCL - Operating Expense</v>
      </c>
      <c r="B10056" s="33" t="str">
        <f t="shared" si="629"/>
        <v>SCL</v>
      </c>
      <c r="C10056" s="33" t="str">
        <f t="shared" si="630"/>
        <v>68001-7361</v>
      </c>
      <c r="D10056" s="64" t="s">
        <v>11309</v>
      </c>
      <c r="E10056" s="64" t="s">
        <v>3260</v>
      </c>
      <c r="F10056" s="64" t="s">
        <v>15</v>
      </c>
      <c r="G10056" s="64" t="s">
        <v>3044</v>
      </c>
      <c r="H10056" s="64" t="s">
        <v>3022</v>
      </c>
      <c r="I10056" s="64" t="s">
        <v>3255</v>
      </c>
      <c r="J10056" s="67">
        <v>140.73</v>
      </c>
      <c r="K10056" s="62">
        <v>1042.49</v>
      </c>
      <c r="L10056" s="33" t="e">
        <f>HLOOKUP(B10056,#REF!,1,0)</f>
        <v>#REF!</v>
      </c>
      <c r="M10056" s="33" t="str">
        <f t="shared" si="631"/>
        <v>P&amp;L</v>
      </c>
    </row>
    <row r="10057" spans="1:13">
      <c r="A10057" s="33" t="str">
        <f t="shared" si="628"/>
        <v>SCL - Operating Expense</v>
      </c>
      <c r="B10057" s="33" t="str">
        <f t="shared" si="629"/>
        <v>SCL</v>
      </c>
      <c r="C10057" s="33" t="str">
        <f t="shared" si="630"/>
        <v>68001-7362</v>
      </c>
      <c r="D10057" s="64" t="s">
        <v>11310</v>
      </c>
      <c r="E10057" s="64" t="s">
        <v>3260</v>
      </c>
      <c r="F10057" s="64" t="s">
        <v>15</v>
      </c>
      <c r="G10057" s="64" t="s">
        <v>3044</v>
      </c>
      <c r="H10057" s="64" t="s">
        <v>3022</v>
      </c>
      <c r="I10057" s="64" t="s">
        <v>3255</v>
      </c>
      <c r="J10057" s="67">
        <v>146.43</v>
      </c>
      <c r="K10057" s="62">
        <v>1096.59</v>
      </c>
      <c r="L10057" s="33" t="e">
        <f>HLOOKUP(B10057,#REF!,1,0)</f>
        <v>#REF!</v>
      </c>
      <c r="M10057" s="33" t="str">
        <f t="shared" si="631"/>
        <v>P&amp;L</v>
      </c>
    </row>
    <row r="10058" spans="1:13">
      <c r="A10058" s="33" t="str">
        <f t="shared" si="628"/>
        <v>SCL - Operating Expense</v>
      </c>
      <c r="B10058" s="33" t="str">
        <f t="shared" si="629"/>
        <v>SCL</v>
      </c>
      <c r="C10058" s="33" t="str">
        <f t="shared" si="630"/>
        <v>68001-7363</v>
      </c>
      <c r="D10058" s="64" t="s">
        <v>11311</v>
      </c>
      <c r="E10058" s="64" t="s">
        <v>3260</v>
      </c>
      <c r="F10058" s="64" t="s">
        <v>15</v>
      </c>
      <c r="G10058" s="64" t="s">
        <v>3044</v>
      </c>
      <c r="H10058" s="64" t="s">
        <v>3022</v>
      </c>
      <c r="I10058" s="64" t="s">
        <v>3255</v>
      </c>
      <c r="J10058" s="67">
        <v>145.58</v>
      </c>
      <c r="K10058" s="62">
        <v>1017.23</v>
      </c>
      <c r="L10058" s="33" t="e">
        <f>HLOOKUP(B10058,#REF!,1,0)</f>
        <v>#REF!</v>
      </c>
      <c r="M10058" s="33" t="str">
        <f t="shared" si="631"/>
        <v>P&amp;L</v>
      </c>
    </row>
    <row r="10059" spans="1:13">
      <c r="A10059" s="33" t="str">
        <f t="shared" si="628"/>
        <v>SCL - Operating Expense</v>
      </c>
      <c r="B10059" s="33" t="str">
        <f t="shared" si="629"/>
        <v>SCL</v>
      </c>
      <c r="C10059" s="33" t="str">
        <f t="shared" si="630"/>
        <v>68001-7364</v>
      </c>
      <c r="D10059" s="64" t="s">
        <v>11312</v>
      </c>
      <c r="E10059" s="64" t="s">
        <v>3260</v>
      </c>
      <c r="F10059" s="64" t="s">
        <v>15</v>
      </c>
      <c r="G10059" s="64" t="s">
        <v>3044</v>
      </c>
      <c r="H10059" s="64" t="s">
        <v>3022</v>
      </c>
      <c r="I10059" s="64" t="s">
        <v>3255</v>
      </c>
      <c r="J10059" s="67">
        <v>91.97</v>
      </c>
      <c r="K10059" s="62">
        <v>844.78</v>
      </c>
      <c r="L10059" s="33" t="e">
        <f>HLOOKUP(B10059,#REF!,1,0)</f>
        <v>#REF!</v>
      </c>
      <c r="M10059" s="33" t="str">
        <f t="shared" si="631"/>
        <v>P&amp;L</v>
      </c>
    </row>
    <row r="10060" spans="1:13">
      <c r="A10060" s="33" t="str">
        <f t="shared" si="628"/>
        <v>SCL - Operating Expense</v>
      </c>
      <c r="B10060" s="33" t="str">
        <f t="shared" si="629"/>
        <v>SCL</v>
      </c>
      <c r="C10060" s="33" t="str">
        <f t="shared" si="630"/>
        <v>68001-7365</v>
      </c>
      <c r="D10060" s="64" t="s">
        <v>11313</v>
      </c>
      <c r="E10060" s="64" t="s">
        <v>3260</v>
      </c>
      <c r="F10060" s="64" t="s">
        <v>15</v>
      </c>
      <c r="G10060" s="64" t="s">
        <v>3044</v>
      </c>
      <c r="H10060" s="64" t="s">
        <v>3022</v>
      </c>
      <c r="I10060" s="64" t="s">
        <v>3255</v>
      </c>
      <c r="J10060" s="67">
        <v>146.43</v>
      </c>
      <c r="K10060" s="62">
        <v>1021.89</v>
      </c>
      <c r="L10060" s="33" t="e">
        <f>HLOOKUP(B10060,#REF!,1,0)</f>
        <v>#REF!</v>
      </c>
      <c r="M10060" s="33" t="str">
        <f t="shared" si="631"/>
        <v>P&amp;L</v>
      </c>
    </row>
    <row r="10061" spans="1:13">
      <c r="A10061" s="33" t="str">
        <f t="shared" si="628"/>
        <v>SCL - Operating Expense</v>
      </c>
      <c r="B10061" s="33" t="str">
        <f t="shared" si="629"/>
        <v>SCL</v>
      </c>
      <c r="C10061" s="33" t="str">
        <f t="shared" si="630"/>
        <v>68001-7366</v>
      </c>
      <c r="D10061" s="64" t="s">
        <v>11314</v>
      </c>
      <c r="E10061" s="64" t="s">
        <v>3260</v>
      </c>
      <c r="F10061" s="64" t="s">
        <v>15</v>
      </c>
      <c r="G10061" s="64" t="s">
        <v>3044</v>
      </c>
      <c r="H10061" s="64" t="s">
        <v>3022</v>
      </c>
      <c r="I10061" s="64" t="s">
        <v>3255</v>
      </c>
      <c r="J10061" s="67">
        <v>145.58</v>
      </c>
      <c r="K10061" s="62">
        <v>1183.58</v>
      </c>
      <c r="L10061" s="33" t="e">
        <f>HLOOKUP(B10061,#REF!,1,0)</f>
        <v>#REF!</v>
      </c>
      <c r="M10061" s="33" t="str">
        <f t="shared" si="631"/>
        <v>P&amp;L</v>
      </c>
    </row>
    <row r="10062" spans="1:13">
      <c r="A10062" s="33" t="str">
        <f t="shared" si="628"/>
        <v>SCL - Operating Expense</v>
      </c>
      <c r="B10062" s="33" t="str">
        <f t="shared" si="629"/>
        <v>SCL</v>
      </c>
      <c r="C10062" s="33" t="str">
        <f t="shared" si="630"/>
        <v>68001-7368</v>
      </c>
      <c r="D10062" s="64" t="s">
        <v>11315</v>
      </c>
      <c r="E10062" s="64" t="s">
        <v>3260</v>
      </c>
      <c r="F10062" s="64" t="s">
        <v>15</v>
      </c>
      <c r="G10062" s="64" t="s">
        <v>3044</v>
      </c>
      <c r="H10062" s="64" t="s">
        <v>3022</v>
      </c>
      <c r="I10062" s="64" t="s">
        <v>3255</v>
      </c>
      <c r="J10062" s="67">
        <v>145.58</v>
      </c>
      <c r="K10062" s="62">
        <v>1097.66</v>
      </c>
      <c r="L10062" s="33" t="e">
        <f>HLOOKUP(B10062,#REF!,1,0)</f>
        <v>#REF!</v>
      </c>
      <c r="M10062" s="33" t="str">
        <f t="shared" si="631"/>
        <v>P&amp;L</v>
      </c>
    </row>
    <row r="10063" spans="1:13">
      <c r="A10063" s="33" t="str">
        <f t="shared" si="628"/>
        <v>SCL - Operating Expense</v>
      </c>
      <c r="B10063" s="33" t="str">
        <f t="shared" si="629"/>
        <v>SCL</v>
      </c>
      <c r="C10063" s="33" t="str">
        <f t="shared" si="630"/>
        <v>68001-7369</v>
      </c>
      <c r="D10063" s="64" t="s">
        <v>11316</v>
      </c>
      <c r="E10063" s="64" t="s">
        <v>3260</v>
      </c>
      <c r="F10063" s="64" t="s">
        <v>15</v>
      </c>
      <c r="G10063" s="64" t="s">
        <v>3044</v>
      </c>
      <c r="H10063" s="64" t="s">
        <v>3022</v>
      </c>
      <c r="I10063" s="64" t="s">
        <v>3255</v>
      </c>
      <c r="J10063" s="67">
        <v>150.15</v>
      </c>
      <c r="K10063" s="62">
        <v>1020.8</v>
      </c>
      <c r="L10063" s="33" t="e">
        <f>HLOOKUP(B10063,#REF!,1,0)</f>
        <v>#REF!</v>
      </c>
      <c r="M10063" s="33" t="str">
        <f t="shared" si="631"/>
        <v>P&amp;L</v>
      </c>
    </row>
    <row r="10064" spans="1:13">
      <c r="A10064" s="33" t="str">
        <f t="shared" si="628"/>
        <v>SCL - Operating Expense</v>
      </c>
      <c r="B10064" s="33" t="str">
        <f t="shared" si="629"/>
        <v>SCL</v>
      </c>
      <c r="C10064" s="33" t="str">
        <f t="shared" si="630"/>
        <v>68001-7371</v>
      </c>
      <c r="D10064" s="64" t="s">
        <v>11317</v>
      </c>
      <c r="E10064" s="64" t="s">
        <v>3260</v>
      </c>
      <c r="F10064" s="64" t="s">
        <v>15</v>
      </c>
      <c r="G10064" s="64" t="s">
        <v>3044</v>
      </c>
      <c r="H10064" s="64" t="s">
        <v>3022</v>
      </c>
      <c r="I10064" s="64" t="s">
        <v>3255</v>
      </c>
      <c r="J10064" s="67">
        <v>145.14</v>
      </c>
      <c r="K10064" s="62">
        <v>1092.03</v>
      </c>
      <c r="L10064" s="33" t="e">
        <f>HLOOKUP(B10064,#REF!,1,0)</f>
        <v>#REF!</v>
      </c>
      <c r="M10064" s="33" t="str">
        <f t="shared" si="631"/>
        <v>P&amp;L</v>
      </c>
    </row>
    <row r="10065" spans="1:13">
      <c r="A10065" s="33" t="str">
        <f t="shared" si="628"/>
        <v>SCL - Operating Expense</v>
      </c>
      <c r="B10065" s="33" t="str">
        <f t="shared" si="629"/>
        <v>SCL</v>
      </c>
      <c r="C10065" s="33" t="str">
        <f t="shared" si="630"/>
        <v>68001-7374</v>
      </c>
      <c r="D10065" s="64" t="s">
        <v>11318</v>
      </c>
      <c r="E10065" s="64" t="s">
        <v>3260</v>
      </c>
      <c r="F10065" s="64" t="s">
        <v>15</v>
      </c>
      <c r="G10065" s="64" t="s">
        <v>3044</v>
      </c>
      <c r="H10065" s="64" t="s">
        <v>3022</v>
      </c>
      <c r="I10065" s="64" t="s">
        <v>3255</v>
      </c>
      <c r="J10065" s="67">
        <v>151</v>
      </c>
      <c r="K10065" s="62">
        <v>1091.22</v>
      </c>
      <c r="L10065" s="33" t="e">
        <f>HLOOKUP(B10065,#REF!,1,0)</f>
        <v>#REF!</v>
      </c>
      <c r="M10065" s="33" t="str">
        <f t="shared" si="631"/>
        <v>P&amp;L</v>
      </c>
    </row>
    <row r="10066" spans="1:13">
      <c r="A10066" s="33" t="str">
        <f t="shared" si="628"/>
        <v>SCL - Operating Expense</v>
      </c>
      <c r="B10066" s="33" t="str">
        <f t="shared" si="629"/>
        <v>SCL</v>
      </c>
      <c r="C10066" s="33" t="str">
        <f t="shared" si="630"/>
        <v>68001-7375</v>
      </c>
      <c r="D10066" s="64" t="s">
        <v>11319</v>
      </c>
      <c r="E10066" s="64" t="s">
        <v>3260</v>
      </c>
      <c r="F10066" s="64" t="s">
        <v>15</v>
      </c>
      <c r="G10066" s="64" t="s">
        <v>3044</v>
      </c>
      <c r="H10066" s="64" t="s">
        <v>3022</v>
      </c>
      <c r="I10066" s="64" t="s">
        <v>3255</v>
      </c>
      <c r="J10066" s="67">
        <v>151</v>
      </c>
      <c r="K10066" s="62">
        <v>1095.36</v>
      </c>
      <c r="L10066" s="33" t="e">
        <f>HLOOKUP(B10066,#REF!,1,0)</f>
        <v>#REF!</v>
      </c>
      <c r="M10066" s="33" t="str">
        <f t="shared" si="631"/>
        <v>P&amp;L</v>
      </c>
    </row>
    <row r="10067" spans="1:13">
      <c r="A10067" s="33" t="str">
        <f t="shared" si="628"/>
        <v>SCL - Operating Expense</v>
      </c>
      <c r="B10067" s="33" t="str">
        <f t="shared" si="629"/>
        <v>SCL</v>
      </c>
      <c r="C10067" s="33" t="str">
        <f t="shared" si="630"/>
        <v>68001-7376</v>
      </c>
      <c r="D10067" s="64" t="s">
        <v>11320</v>
      </c>
      <c r="E10067" s="64" t="s">
        <v>3260</v>
      </c>
      <c r="F10067" s="64" t="s">
        <v>15</v>
      </c>
      <c r="G10067" s="64" t="s">
        <v>3044</v>
      </c>
      <c r="H10067" s="64" t="s">
        <v>3022</v>
      </c>
      <c r="I10067" s="64" t="s">
        <v>3255</v>
      </c>
      <c r="J10067" s="67">
        <v>150.15</v>
      </c>
      <c r="K10067" s="62">
        <v>1020.8</v>
      </c>
      <c r="L10067" s="33" t="e">
        <f>HLOOKUP(B10067,#REF!,1,0)</f>
        <v>#REF!</v>
      </c>
      <c r="M10067" s="33" t="str">
        <f t="shared" si="631"/>
        <v>P&amp;L</v>
      </c>
    </row>
    <row r="10068" spans="1:13">
      <c r="A10068" s="33" t="str">
        <f t="shared" si="628"/>
        <v>SCL - Operating Expense</v>
      </c>
      <c r="B10068" s="33" t="str">
        <f t="shared" si="629"/>
        <v>SCL</v>
      </c>
      <c r="C10068" s="33" t="str">
        <f t="shared" si="630"/>
        <v>68001-7377</v>
      </c>
      <c r="D10068" s="64" t="s">
        <v>11321</v>
      </c>
      <c r="E10068" s="64" t="s">
        <v>3260</v>
      </c>
      <c r="F10068" s="64" t="s">
        <v>15</v>
      </c>
      <c r="G10068" s="64" t="s">
        <v>3044</v>
      </c>
      <c r="H10068" s="64" t="s">
        <v>3022</v>
      </c>
      <c r="I10068" s="64" t="s">
        <v>3255</v>
      </c>
      <c r="J10068" s="67">
        <v>150.15</v>
      </c>
      <c r="K10068" s="62">
        <v>1020.8</v>
      </c>
      <c r="L10068" s="33" t="e">
        <f>HLOOKUP(B10068,#REF!,1,0)</f>
        <v>#REF!</v>
      </c>
      <c r="M10068" s="33" t="str">
        <f t="shared" si="631"/>
        <v>P&amp;L</v>
      </c>
    </row>
    <row r="10069" spans="1:13">
      <c r="A10069" s="33" t="str">
        <f t="shared" si="628"/>
        <v>SCL - Operating Expense</v>
      </c>
      <c r="B10069" s="33" t="str">
        <f t="shared" si="629"/>
        <v>SCL</v>
      </c>
      <c r="C10069" s="33" t="str">
        <f t="shared" si="630"/>
        <v>68001-7378</v>
      </c>
      <c r="D10069" s="64" t="s">
        <v>11322</v>
      </c>
      <c r="E10069" s="64" t="s">
        <v>3260</v>
      </c>
      <c r="F10069" s="64" t="s">
        <v>15</v>
      </c>
      <c r="G10069" s="64" t="s">
        <v>3044</v>
      </c>
      <c r="H10069" s="64" t="s">
        <v>3022</v>
      </c>
      <c r="I10069" s="64" t="s">
        <v>3255</v>
      </c>
      <c r="J10069" s="67">
        <v>150.15</v>
      </c>
      <c r="K10069" s="62">
        <v>1089.02</v>
      </c>
      <c r="L10069" s="33" t="e">
        <f>HLOOKUP(B10069,#REF!,1,0)</f>
        <v>#REF!</v>
      </c>
      <c r="M10069" s="33" t="str">
        <f t="shared" si="631"/>
        <v>P&amp;L</v>
      </c>
    </row>
    <row r="10070" spans="1:13">
      <c r="A10070" s="33" t="str">
        <f t="shared" si="628"/>
        <v>SCL - Operating Expense</v>
      </c>
      <c r="B10070" s="33" t="str">
        <f t="shared" si="629"/>
        <v>SCL</v>
      </c>
      <c r="C10070" s="33" t="str">
        <f t="shared" si="630"/>
        <v>68001-7379</v>
      </c>
      <c r="D10070" s="64" t="s">
        <v>11323</v>
      </c>
      <c r="E10070" s="64" t="s">
        <v>3260</v>
      </c>
      <c r="F10070" s="64" t="s">
        <v>15</v>
      </c>
      <c r="G10070" s="64" t="s">
        <v>3044</v>
      </c>
      <c r="H10070" s="64" t="s">
        <v>3022</v>
      </c>
      <c r="I10070" s="64" t="s">
        <v>3255</v>
      </c>
      <c r="J10070" s="67">
        <v>150.15</v>
      </c>
      <c r="K10070" s="62">
        <v>1106.43</v>
      </c>
      <c r="L10070" s="33" t="e">
        <f>HLOOKUP(B10070,#REF!,1,0)</f>
        <v>#REF!</v>
      </c>
      <c r="M10070" s="33" t="str">
        <f t="shared" si="631"/>
        <v>P&amp;L</v>
      </c>
    </row>
    <row r="10071" spans="1:13">
      <c r="A10071" s="33" t="str">
        <f t="shared" si="628"/>
        <v>SCL - Operating Expense</v>
      </c>
      <c r="B10071" s="33" t="str">
        <f t="shared" si="629"/>
        <v>SCL</v>
      </c>
      <c r="C10071" s="33" t="str">
        <f t="shared" si="630"/>
        <v>68001-7380</v>
      </c>
      <c r="D10071" s="64" t="s">
        <v>11324</v>
      </c>
      <c r="E10071" s="64" t="s">
        <v>3260</v>
      </c>
      <c r="F10071" s="64" t="s">
        <v>15</v>
      </c>
      <c r="G10071" s="64" t="s">
        <v>3044</v>
      </c>
      <c r="H10071" s="64" t="s">
        <v>3022</v>
      </c>
      <c r="I10071" s="64" t="s">
        <v>3255</v>
      </c>
      <c r="J10071" s="67">
        <v>151</v>
      </c>
      <c r="K10071" s="62">
        <v>1052.27</v>
      </c>
      <c r="L10071" s="33" t="e">
        <f>HLOOKUP(B10071,#REF!,1,0)</f>
        <v>#REF!</v>
      </c>
      <c r="M10071" s="33" t="str">
        <f t="shared" si="631"/>
        <v>P&amp;L</v>
      </c>
    </row>
    <row r="10072" spans="1:13">
      <c r="A10072" s="33" t="str">
        <f t="shared" si="628"/>
        <v>SCL - Operating Expense</v>
      </c>
      <c r="B10072" s="33" t="str">
        <f t="shared" si="629"/>
        <v>SCL</v>
      </c>
      <c r="C10072" s="33" t="str">
        <f t="shared" si="630"/>
        <v>68001-7381</v>
      </c>
      <c r="D10072" s="64" t="s">
        <v>11325</v>
      </c>
      <c r="E10072" s="64" t="s">
        <v>3260</v>
      </c>
      <c r="F10072" s="64" t="s">
        <v>15</v>
      </c>
      <c r="G10072" s="64" t="s">
        <v>3044</v>
      </c>
      <c r="H10072" s="64" t="s">
        <v>3022</v>
      </c>
      <c r="I10072" s="64" t="s">
        <v>3255</v>
      </c>
      <c r="J10072" s="67">
        <v>150.15</v>
      </c>
      <c r="K10072" s="62">
        <v>1121.29</v>
      </c>
      <c r="L10072" s="33" t="e">
        <f>HLOOKUP(B10072,#REF!,1,0)</f>
        <v>#REF!</v>
      </c>
      <c r="M10072" s="33" t="str">
        <f t="shared" si="631"/>
        <v>P&amp;L</v>
      </c>
    </row>
    <row r="10073" spans="1:13">
      <c r="A10073" s="33" t="str">
        <f t="shared" si="628"/>
        <v>SCL - Operating Expense</v>
      </c>
      <c r="B10073" s="33" t="str">
        <f t="shared" si="629"/>
        <v>SCL</v>
      </c>
      <c r="C10073" s="33" t="str">
        <f t="shared" si="630"/>
        <v>68001-7383</v>
      </c>
      <c r="D10073" s="64" t="s">
        <v>11326</v>
      </c>
      <c r="E10073" s="64" t="s">
        <v>3260</v>
      </c>
      <c r="F10073" s="64" t="s">
        <v>15</v>
      </c>
      <c r="G10073" s="64" t="s">
        <v>3044</v>
      </c>
      <c r="H10073" s="64" t="s">
        <v>3022</v>
      </c>
      <c r="I10073" s="64" t="s">
        <v>3255</v>
      </c>
      <c r="J10073" s="67">
        <v>150.15</v>
      </c>
      <c r="K10073" s="62">
        <v>1026.9</v>
      </c>
      <c r="L10073" s="33" t="e">
        <f>HLOOKUP(B10073,#REF!,1,0)</f>
        <v>#REF!</v>
      </c>
      <c r="M10073" s="33" t="str">
        <f t="shared" si="631"/>
        <v>P&amp;L</v>
      </c>
    </row>
    <row r="10074" spans="1:13">
      <c r="A10074" s="33" t="str">
        <f t="shared" si="628"/>
        <v>SCL - Operating Expense</v>
      </c>
      <c r="B10074" s="33" t="str">
        <f t="shared" si="629"/>
        <v>SCL</v>
      </c>
      <c r="C10074" s="33" t="str">
        <f t="shared" si="630"/>
        <v>68001-7385</v>
      </c>
      <c r="D10074" s="64" t="s">
        <v>11327</v>
      </c>
      <c r="E10074" s="64" t="s">
        <v>3260</v>
      </c>
      <c r="F10074" s="64" t="s">
        <v>15</v>
      </c>
      <c r="G10074" s="64" t="s">
        <v>3044</v>
      </c>
      <c r="H10074" s="64" t="s">
        <v>3022</v>
      </c>
      <c r="I10074" s="64" t="s">
        <v>3255</v>
      </c>
      <c r="J10074" s="67">
        <v>151</v>
      </c>
      <c r="K10074" s="62">
        <v>1241.89</v>
      </c>
      <c r="L10074" s="33" t="e">
        <f>HLOOKUP(B10074,#REF!,1,0)</f>
        <v>#REF!</v>
      </c>
      <c r="M10074" s="33" t="str">
        <f t="shared" si="631"/>
        <v>P&amp;L</v>
      </c>
    </row>
    <row r="10075" spans="1:13">
      <c r="A10075" s="33" t="str">
        <f t="shared" si="628"/>
        <v>SCL - Operating Expense</v>
      </c>
      <c r="B10075" s="33" t="str">
        <f t="shared" si="629"/>
        <v>SCL</v>
      </c>
      <c r="C10075" s="33" t="str">
        <f t="shared" si="630"/>
        <v>68001-7386</v>
      </c>
      <c r="D10075" s="64" t="s">
        <v>11328</v>
      </c>
      <c r="E10075" s="64" t="s">
        <v>3260</v>
      </c>
      <c r="F10075" s="64" t="s">
        <v>15</v>
      </c>
      <c r="G10075" s="64" t="s">
        <v>3044</v>
      </c>
      <c r="H10075" s="64" t="s">
        <v>3022</v>
      </c>
      <c r="I10075" s="64" t="s">
        <v>3255</v>
      </c>
      <c r="J10075" s="67">
        <v>372.37</v>
      </c>
      <c r="K10075" s="62">
        <v>1959.19</v>
      </c>
      <c r="L10075" s="33" t="e">
        <f>HLOOKUP(B10075,#REF!,1,0)</f>
        <v>#REF!</v>
      </c>
      <c r="M10075" s="33" t="str">
        <f t="shared" si="631"/>
        <v>P&amp;L</v>
      </c>
    </row>
    <row r="10076" spans="1:13">
      <c r="A10076" s="33" t="str">
        <f t="shared" si="628"/>
        <v>SCL - Operating Expense</v>
      </c>
      <c r="B10076" s="33" t="str">
        <f t="shared" si="629"/>
        <v>SCL</v>
      </c>
      <c r="C10076" s="33" t="str">
        <f t="shared" si="630"/>
        <v>68001-7387</v>
      </c>
      <c r="D10076" s="64" t="s">
        <v>11329</v>
      </c>
      <c r="E10076" s="64" t="s">
        <v>3260</v>
      </c>
      <c r="F10076" s="64" t="s">
        <v>15</v>
      </c>
      <c r="G10076" s="64" t="s">
        <v>3044</v>
      </c>
      <c r="H10076" s="64" t="s">
        <v>3022</v>
      </c>
      <c r="I10076" s="64" t="s">
        <v>3255</v>
      </c>
      <c r="J10076" s="67">
        <v>150.15</v>
      </c>
      <c r="K10076" s="62">
        <v>1025.89</v>
      </c>
      <c r="L10076" s="33" t="e">
        <f>HLOOKUP(B10076,#REF!,1,0)</f>
        <v>#REF!</v>
      </c>
      <c r="M10076" s="33" t="str">
        <f t="shared" si="631"/>
        <v>P&amp;L</v>
      </c>
    </row>
    <row r="10077" spans="1:13">
      <c r="A10077" s="33" t="str">
        <f t="shared" si="628"/>
        <v>SCL - Operating Expense</v>
      </c>
      <c r="B10077" s="33" t="str">
        <f t="shared" si="629"/>
        <v>SCL</v>
      </c>
      <c r="C10077" s="33" t="str">
        <f t="shared" si="630"/>
        <v>68001-7389</v>
      </c>
      <c r="D10077" s="64" t="s">
        <v>11330</v>
      </c>
      <c r="E10077" s="64" t="s">
        <v>3260</v>
      </c>
      <c r="F10077" s="64" t="s">
        <v>15</v>
      </c>
      <c r="G10077" s="64" t="s">
        <v>3044</v>
      </c>
      <c r="H10077" s="64" t="s">
        <v>3022</v>
      </c>
      <c r="I10077" s="64" t="s">
        <v>3255</v>
      </c>
      <c r="J10077" s="67">
        <v>145.14</v>
      </c>
      <c r="K10077" s="62">
        <v>990.36</v>
      </c>
      <c r="L10077" s="33" t="e">
        <f>HLOOKUP(B10077,#REF!,1,0)</f>
        <v>#REF!</v>
      </c>
      <c r="M10077" s="33" t="str">
        <f t="shared" si="631"/>
        <v>P&amp;L</v>
      </c>
    </row>
    <row r="10078" spans="1:13">
      <c r="A10078" s="33" t="str">
        <f t="shared" si="628"/>
        <v>SCL - Operating Expense</v>
      </c>
      <c r="B10078" s="33" t="str">
        <f t="shared" si="629"/>
        <v>SCL</v>
      </c>
      <c r="C10078" s="33" t="str">
        <f t="shared" si="630"/>
        <v>68001-7391</v>
      </c>
      <c r="D10078" s="64" t="s">
        <v>11331</v>
      </c>
      <c r="E10078" s="64" t="s">
        <v>3260</v>
      </c>
      <c r="F10078" s="64" t="s">
        <v>15</v>
      </c>
      <c r="G10078" s="64" t="s">
        <v>3044</v>
      </c>
      <c r="H10078" s="64" t="s">
        <v>3022</v>
      </c>
      <c r="I10078" s="64" t="s">
        <v>3255</v>
      </c>
      <c r="J10078" s="67">
        <v>150.15</v>
      </c>
      <c r="K10078" s="62">
        <v>1020.8</v>
      </c>
      <c r="L10078" s="33" t="e">
        <f>HLOOKUP(B10078,#REF!,1,0)</f>
        <v>#REF!</v>
      </c>
      <c r="M10078" s="33" t="str">
        <f t="shared" si="631"/>
        <v>P&amp;L</v>
      </c>
    </row>
    <row r="10079" spans="1:13">
      <c r="A10079" s="33" t="str">
        <f t="shared" si="628"/>
        <v>SCL - Operating Expense</v>
      </c>
      <c r="B10079" s="33" t="str">
        <f t="shared" si="629"/>
        <v>SCL</v>
      </c>
      <c r="C10079" s="33" t="str">
        <f t="shared" si="630"/>
        <v>68001-7393</v>
      </c>
      <c r="D10079" s="64" t="s">
        <v>11332</v>
      </c>
      <c r="E10079" s="64" t="s">
        <v>3260</v>
      </c>
      <c r="F10079" s="64" t="s">
        <v>15</v>
      </c>
      <c r="G10079" s="64" t="s">
        <v>3044</v>
      </c>
      <c r="H10079" s="64" t="s">
        <v>3022</v>
      </c>
      <c r="I10079" s="64" t="s">
        <v>3255</v>
      </c>
      <c r="J10079" s="67">
        <v>151</v>
      </c>
      <c r="K10079" s="62">
        <v>3238.2</v>
      </c>
      <c r="L10079" s="33" t="e">
        <f>HLOOKUP(B10079,#REF!,1,0)</f>
        <v>#REF!</v>
      </c>
      <c r="M10079" s="33" t="str">
        <f t="shared" si="631"/>
        <v>P&amp;L</v>
      </c>
    </row>
    <row r="10080" spans="1:13">
      <c r="A10080" s="33" t="str">
        <f t="shared" si="628"/>
        <v>SCL - Operating Expense</v>
      </c>
      <c r="B10080" s="33" t="str">
        <f t="shared" si="629"/>
        <v>SCL</v>
      </c>
      <c r="C10080" s="33" t="str">
        <f t="shared" si="630"/>
        <v>68001-7394</v>
      </c>
      <c r="D10080" s="64" t="s">
        <v>11333</v>
      </c>
      <c r="E10080" s="64" t="s">
        <v>3260</v>
      </c>
      <c r="F10080" s="64" t="s">
        <v>15</v>
      </c>
      <c r="G10080" s="64" t="s">
        <v>3044</v>
      </c>
      <c r="H10080" s="64" t="s">
        <v>3022</v>
      </c>
      <c r="I10080" s="64" t="s">
        <v>3255</v>
      </c>
      <c r="J10080" s="67">
        <v>151</v>
      </c>
      <c r="K10080" s="62">
        <v>1095.74</v>
      </c>
      <c r="L10080" s="33" t="e">
        <f>HLOOKUP(B10080,#REF!,1,0)</f>
        <v>#REF!</v>
      </c>
      <c r="M10080" s="33" t="str">
        <f t="shared" si="631"/>
        <v>P&amp;L</v>
      </c>
    </row>
    <row r="10081" spans="1:13">
      <c r="A10081" s="33" t="str">
        <f t="shared" si="628"/>
        <v>SCL - Operating Expense</v>
      </c>
      <c r="B10081" s="33" t="str">
        <f t="shared" si="629"/>
        <v>SCL</v>
      </c>
      <c r="C10081" s="33" t="str">
        <f t="shared" si="630"/>
        <v>68001-7396</v>
      </c>
      <c r="D10081" s="64" t="s">
        <v>11334</v>
      </c>
      <c r="E10081" s="64" t="s">
        <v>3260</v>
      </c>
      <c r="F10081" s="64" t="s">
        <v>15</v>
      </c>
      <c r="G10081" s="64" t="s">
        <v>3044</v>
      </c>
      <c r="H10081" s="64" t="s">
        <v>3022</v>
      </c>
      <c r="I10081" s="64" t="s">
        <v>3255</v>
      </c>
      <c r="J10081" s="67">
        <v>151</v>
      </c>
      <c r="K10081" s="62">
        <v>1150.09</v>
      </c>
      <c r="L10081" s="33" t="e">
        <f>HLOOKUP(B10081,#REF!,1,0)</f>
        <v>#REF!</v>
      </c>
      <c r="M10081" s="33" t="str">
        <f t="shared" si="631"/>
        <v>P&amp;L</v>
      </c>
    </row>
    <row r="10082" spans="1:13">
      <c r="A10082" s="33" t="str">
        <f t="shared" si="628"/>
        <v>SCL - Operating Expense</v>
      </c>
      <c r="B10082" s="33" t="str">
        <f t="shared" si="629"/>
        <v>SCL</v>
      </c>
      <c r="C10082" s="33" t="str">
        <f t="shared" si="630"/>
        <v>68001-7397</v>
      </c>
      <c r="D10082" s="64" t="s">
        <v>11335</v>
      </c>
      <c r="E10082" s="64" t="s">
        <v>3260</v>
      </c>
      <c r="F10082" s="64" t="s">
        <v>15</v>
      </c>
      <c r="G10082" s="64" t="s">
        <v>3044</v>
      </c>
      <c r="H10082" s="64" t="s">
        <v>3022</v>
      </c>
      <c r="I10082" s="64" t="s">
        <v>3255</v>
      </c>
      <c r="J10082" s="67">
        <v>151</v>
      </c>
      <c r="K10082" s="62">
        <v>1139.71</v>
      </c>
      <c r="L10082" s="33" t="e">
        <f>HLOOKUP(B10082,#REF!,1,0)</f>
        <v>#REF!</v>
      </c>
      <c r="M10082" s="33" t="str">
        <f t="shared" si="631"/>
        <v>P&amp;L</v>
      </c>
    </row>
    <row r="10083" spans="1:13">
      <c r="A10083" s="33" t="str">
        <f t="shared" si="628"/>
        <v>SCL - Operating Expense</v>
      </c>
      <c r="B10083" s="33" t="str">
        <f t="shared" si="629"/>
        <v>SCL</v>
      </c>
      <c r="C10083" s="33" t="str">
        <f t="shared" si="630"/>
        <v>68001-7398</v>
      </c>
      <c r="D10083" s="64" t="s">
        <v>11336</v>
      </c>
      <c r="E10083" s="64" t="s">
        <v>3260</v>
      </c>
      <c r="F10083" s="64" t="s">
        <v>15</v>
      </c>
      <c r="G10083" s="64" t="s">
        <v>3044</v>
      </c>
      <c r="H10083" s="64" t="s">
        <v>3022</v>
      </c>
      <c r="I10083" s="64" t="s">
        <v>3255</v>
      </c>
      <c r="J10083" s="67">
        <v>110.87</v>
      </c>
      <c r="K10083" s="62">
        <v>829.92</v>
      </c>
      <c r="L10083" s="33" t="e">
        <f>HLOOKUP(B10083,#REF!,1,0)</f>
        <v>#REF!</v>
      </c>
      <c r="M10083" s="33" t="str">
        <f t="shared" si="631"/>
        <v>P&amp;L</v>
      </c>
    </row>
    <row r="10084" spans="1:13">
      <c r="A10084" s="33" t="str">
        <f t="shared" si="628"/>
        <v>SCL - Operating Expense</v>
      </c>
      <c r="B10084" s="33" t="str">
        <f t="shared" si="629"/>
        <v>SCL</v>
      </c>
      <c r="C10084" s="33" t="str">
        <f t="shared" si="630"/>
        <v>68001-7400</v>
      </c>
      <c r="D10084" s="64" t="s">
        <v>11337</v>
      </c>
      <c r="E10084" s="64" t="s">
        <v>3260</v>
      </c>
      <c r="F10084" s="64" t="s">
        <v>15</v>
      </c>
      <c r="G10084" s="64" t="s">
        <v>3044</v>
      </c>
      <c r="H10084" s="64" t="s">
        <v>3022</v>
      </c>
      <c r="I10084" s="64" t="s">
        <v>3255</v>
      </c>
      <c r="J10084" s="67">
        <v>150.15</v>
      </c>
      <c r="K10084" s="62">
        <v>1138.57</v>
      </c>
      <c r="L10084" s="33" t="e">
        <f>HLOOKUP(B10084,#REF!,1,0)</f>
        <v>#REF!</v>
      </c>
      <c r="M10084" s="33" t="str">
        <f t="shared" si="631"/>
        <v>P&amp;L</v>
      </c>
    </row>
    <row r="10085" spans="1:13">
      <c r="A10085" s="33" t="str">
        <f t="shared" si="628"/>
        <v>SCL - Operating Expense</v>
      </c>
      <c r="B10085" s="33" t="str">
        <f t="shared" si="629"/>
        <v>SCL</v>
      </c>
      <c r="C10085" s="33" t="str">
        <f t="shared" si="630"/>
        <v>68001-7401</v>
      </c>
      <c r="D10085" s="64" t="s">
        <v>11338</v>
      </c>
      <c r="E10085" s="64" t="s">
        <v>3260</v>
      </c>
      <c r="F10085" s="64" t="s">
        <v>15</v>
      </c>
      <c r="G10085" s="64" t="s">
        <v>3044</v>
      </c>
      <c r="H10085" s="64" t="s">
        <v>3022</v>
      </c>
      <c r="I10085" s="64" t="s">
        <v>3255</v>
      </c>
      <c r="J10085" s="67">
        <v>150.15</v>
      </c>
      <c r="K10085" s="62">
        <v>1025.89</v>
      </c>
      <c r="L10085" s="33" t="e">
        <f>HLOOKUP(B10085,#REF!,1,0)</f>
        <v>#REF!</v>
      </c>
      <c r="M10085" s="33" t="str">
        <f t="shared" si="631"/>
        <v>P&amp;L</v>
      </c>
    </row>
    <row r="10086" spans="1:13">
      <c r="A10086" s="33" t="str">
        <f t="shared" si="628"/>
        <v>SCL - Operating Expense</v>
      </c>
      <c r="B10086" s="33" t="str">
        <f t="shared" si="629"/>
        <v>SCL</v>
      </c>
      <c r="C10086" s="33" t="str">
        <f t="shared" si="630"/>
        <v>68001-7402</v>
      </c>
      <c r="D10086" s="64" t="s">
        <v>11339</v>
      </c>
      <c r="E10086" s="64" t="s">
        <v>3260</v>
      </c>
      <c r="F10086" s="64" t="s">
        <v>15</v>
      </c>
      <c r="G10086" s="64" t="s">
        <v>3044</v>
      </c>
      <c r="H10086" s="64" t="s">
        <v>3022</v>
      </c>
      <c r="I10086" s="64" t="s">
        <v>3255</v>
      </c>
      <c r="J10086" s="67">
        <v>150.15</v>
      </c>
      <c r="K10086" s="62">
        <v>1122.46</v>
      </c>
      <c r="L10086" s="33" t="e">
        <f>HLOOKUP(B10086,#REF!,1,0)</f>
        <v>#REF!</v>
      </c>
      <c r="M10086" s="33" t="str">
        <f t="shared" si="631"/>
        <v>P&amp;L</v>
      </c>
    </row>
    <row r="10087" spans="1:13">
      <c r="A10087" s="33" t="str">
        <f t="shared" si="628"/>
        <v>SCL - Operating Expense</v>
      </c>
      <c r="B10087" s="33" t="str">
        <f t="shared" si="629"/>
        <v>SCL</v>
      </c>
      <c r="C10087" s="33" t="str">
        <f t="shared" si="630"/>
        <v>68001-7403</v>
      </c>
      <c r="D10087" s="64" t="s">
        <v>11340</v>
      </c>
      <c r="E10087" s="64" t="s">
        <v>3260</v>
      </c>
      <c r="F10087" s="64" t="s">
        <v>15</v>
      </c>
      <c r="G10087" s="64" t="s">
        <v>3044</v>
      </c>
      <c r="H10087" s="64" t="s">
        <v>3022</v>
      </c>
      <c r="I10087" s="64" t="s">
        <v>3255</v>
      </c>
      <c r="J10087" s="67">
        <v>150.15</v>
      </c>
      <c r="K10087" s="62">
        <v>1320.42</v>
      </c>
      <c r="L10087" s="33" t="e">
        <f>HLOOKUP(B10087,#REF!,1,0)</f>
        <v>#REF!</v>
      </c>
      <c r="M10087" s="33" t="str">
        <f t="shared" si="631"/>
        <v>P&amp;L</v>
      </c>
    </row>
    <row r="10088" spans="1:13">
      <c r="A10088" s="33" t="str">
        <f t="shared" si="628"/>
        <v>SCL - Operating Expense</v>
      </c>
      <c r="B10088" s="33" t="str">
        <f t="shared" si="629"/>
        <v>SCL</v>
      </c>
      <c r="C10088" s="33" t="str">
        <f t="shared" si="630"/>
        <v>68001-7489</v>
      </c>
      <c r="D10088" s="64" t="s">
        <v>11341</v>
      </c>
      <c r="E10088" s="64" t="s">
        <v>3260</v>
      </c>
      <c r="F10088" s="64" t="s">
        <v>15</v>
      </c>
      <c r="G10088" s="64" t="s">
        <v>3044</v>
      </c>
      <c r="H10088" s="64" t="s">
        <v>3022</v>
      </c>
      <c r="I10088" s="64" t="s">
        <v>3255</v>
      </c>
      <c r="J10088" s="67">
        <v>150.15</v>
      </c>
      <c r="K10088" s="62">
        <v>1089.7</v>
      </c>
      <c r="L10088" s="33" t="e">
        <f>HLOOKUP(B10088,#REF!,1,0)</f>
        <v>#REF!</v>
      </c>
      <c r="M10088" s="33" t="str">
        <f t="shared" si="631"/>
        <v>P&amp;L</v>
      </c>
    </row>
    <row r="10089" spans="1:13">
      <c r="A10089" s="33" t="str">
        <f t="shared" si="628"/>
        <v>SCL - Operating Expense</v>
      </c>
      <c r="B10089" s="33" t="str">
        <f t="shared" si="629"/>
        <v>SCL</v>
      </c>
      <c r="C10089" s="33" t="str">
        <f t="shared" si="630"/>
        <v>68001-7491</v>
      </c>
      <c r="D10089" s="64" t="s">
        <v>11342</v>
      </c>
      <c r="E10089" s="64" t="s">
        <v>3260</v>
      </c>
      <c r="F10089" s="64" t="s">
        <v>15</v>
      </c>
      <c r="G10089" s="64" t="s">
        <v>3044</v>
      </c>
      <c r="H10089" s="64" t="s">
        <v>3022</v>
      </c>
      <c r="I10089" s="64" t="s">
        <v>3255</v>
      </c>
      <c r="J10089" s="67">
        <v>151</v>
      </c>
      <c r="K10089" s="62">
        <v>1912.62</v>
      </c>
      <c r="L10089" s="33" t="e">
        <f>HLOOKUP(B10089,#REF!,1,0)</f>
        <v>#REF!</v>
      </c>
      <c r="M10089" s="33" t="str">
        <f t="shared" si="631"/>
        <v>P&amp;L</v>
      </c>
    </row>
    <row r="10090" spans="1:13">
      <c r="A10090" s="33" t="str">
        <f t="shared" si="628"/>
        <v>SCL - Operating Expense</v>
      </c>
      <c r="B10090" s="33" t="str">
        <f t="shared" si="629"/>
        <v>SCL</v>
      </c>
      <c r="C10090" s="33" t="str">
        <f t="shared" si="630"/>
        <v>68001-7492</v>
      </c>
      <c r="D10090" s="64" t="s">
        <v>11343</v>
      </c>
      <c r="E10090" s="64" t="s">
        <v>3260</v>
      </c>
      <c r="F10090" s="64" t="s">
        <v>15</v>
      </c>
      <c r="G10090" s="64" t="s">
        <v>3044</v>
      </c>
      <c r="H10090" s="64" t="s">
        <v>3022</v>
      </c>
      <c r="I10090" s="64" t="s">
        <v>3255</v>
      </c>
      <c r="J10090" s="67">
        <v>151</v>
      </c>
      <c r="K10090" s="62">
        <v>1095.04</v>
      </c>
      <c r="L10090" s="33" t="e">
        <f>HLOOKUP(B10090,#REF!,1,0)</f>
        <v>#REF!</v>
      </c>
      <c r="M10090" s="33" t="str">
        <f t="shared" si="631"/>
        <v>P&amp;L</v>
      </c>
    </row>
    <row r="10091" spans="1:13">
      <c r="A10091" s="33" t="str">
        <f t="shared" si="628"/>
        <v>SCL - Operating Expense</v>
      </c>
      <c r="B10091" s="33" t="str">
        <f t="shared" si="629"/>
        <v>SCL</v>
      </c>
      <c r="C10091" s="33" t="str">
        <f t="shared" si="630"/>
        <v>68001-7493</v>
      </c>
      <c r="D10091" s="64" t="s">
        <v>11344</v>
      </c>
      <c r="E10091" s="64" t="s">
        <v>3260</v>
      </c>
      <c r="F10091" s="64" t="s">
        <v>15</v>
      </c>
      <c r="G10091" s="64" t="s">
        <v>3044</v>
      </c>
      <c r="H10091" s="64" t="s">
        <v>3022</v>
      </c>
      <c r="I10091" s="64" t="s">
        <v>3255</v>
      </c>
      <c r="J10091" s="67">
        <v>150.15</v>
      </c>
      <c r="K10091" s="62">
        <v>1020.5</v>
      </c>
      <c r="L10091" s="33" t="e">
        <f>HLOOKUP(B10091,#REF!,1,0)</f>
        <v>#REF!</v>
      </c>
      <c r="M10091" s="33" t="str">
        <f t="shared" si="631"/>
        <v>P&amp;L</v>
      </c>
    </row>
    <row r="10092" spans="1:13">
      <c r="A10092" s="33" t="str">
        <f t="shared" si="628"/>
        <v>SCL - Operating Expense</v>
      </c>
      <c r="B10092" s="33" t="str">
        <f t="shared" si="629"/>
        <v>SCL</v>
      </c>
      <c r="C10092" s="33" t="str">
        <f t="shared" si="630"/>
        <v>68001-7494</v>
      </c>
      <c r="D10092" s="64" t="s">
        <v>11345</v>
      </c>
      <c r="E10092" s="64" t="s">
        <v>3260</v>
      </c>
      <c r="F10092" s="64" t="s">
        <v>15</v>
      </c>
      <c r="G10092" s="64" t="s">
        <v>3044</v>
      </c>
      <c r="H10092" s="64" t="s">
        <v>3022</v>
      </c>
      <c r="I10092" s="64" t="s">
        <v>3255</v>
      </c>
      <c r="J10092" s="67">
        <v>151</v>
      </c>
      <c r="K10092" s="62">
        <v>1068.82</v>
      </c>
      <c r="L10092" s="33" t="e">
        <f>HLOOKUP(B10092,#REF!,1,0)</f>
        <v>#REF!</v>
      </c>
      <c r="M10092" s="33" t="str">
        <f t="shared" si="631"/>
        <v>P&amp;L</v>
      </c>
    </row>
    <row r="10093" spans="1:13">
      <c r="A10093" s="33" t="str">
        <f t="shared" si="628"/>
        <v>SCL - Operating Expense</v>
      </c>
      <c r="B10093" s="33" t="str">
        <f t="shared" si="629"/>
        <v>SCL</v>
      </c>
      <c r="C10093" s="33" t="str">
        <f t="shared" si="630"/>
        <v>68001-7625</v>
      </c>
      <c r="D10093" s="64" t="s">
        <v>11346</v>
      </c>
      <c r="E10093" s="64" t="s">
        <v>3260</v>
      </c>
      <c r="F10093" s="64" t="s">
        <v>15</v>
      </c>
      <c r="G10093" s="64" t="s">
        <v>3044</v>
      </c>
      <c r="H10093" s="64" t="s">
        <v>3022</v>
      </c>
      <c r="I10093" s="64" t="s">
        <v>3255</v>
      </c>
      <c r="J10093" s="67">
        <v>150.15</v>
      </c>
      <c r="K10093" s="62">
        <v>1089.38</v>
      </c>
      <c r="L10093" s="33" t="e">
        <f>HLOOKUP(B10093,#REF!,1,0)</f>
        <v>#REF!</v>
      </c>
      <c r="M10093" s="33" t="str">
        <f t="shared" si="631"/>
        <v>P&amp;L</v>
      </c>
    </row>
    <row r="10094" spans="1:13">
      <c r="A10094" s="33" t="str">
        <f t="shared" si="628"/>
        <v>SCL - Operating Expense</v>
      </c>
      <c r="B10094" s="33" t="str">
        <f t="shared" si="629"/>
        <v>SCL</v>
      </c>
      <c r="C10094" s="33" t="str">
        <f t="shared" si="630"/>
        <v>68001-8150</v>
      </c>
      <c r="D10094" s="64" t="s">
        <v>11347</v>
      </c>
      <c r="E10094" s="64" t="s">
        <v>3260</v>
      </c>
      <c r="F10094" s="64" t="s">
        <v>15</v>
      </c>
      <c r="G10094" s="64" t="s">
        <v>3044</v>
      </c>
      <c r="H10094" s="64" t="s">
        <v>3022</v>
      </c>
      <c r="I10094" s="64" t="s">
        <v>3255</v>
      </c>
      <c r="J10094" s="67">
        <v>150.15</v>
      </c>
      <c r="K10094" s="62">
        <v>1020.5</v>
      </c>
      <c r="L10094" s="33" t="e">
        <f>HLOOKUP(B10094,#REF!,1,0)</f>
        <v>#REF!</v>
      </c>
      <c r="M10094" s="33" t="str">
        <f t="shared" si="631"/>
        <v>P&amp;L</v>
      </c>
    </row>
    <row r="10095" spans="1:13">
      <c r="A10095" s="33" t="str">
        <f t="shared" si="628"/>
        <v>SCL - Facility</v>
      </c>
      <c r="B10095" s="33" t="str">
        <f t="shared" si="629"/>
        <v>SCL</v>
      </c>
      <c r="C10095" s="33" t="str">
        <f t="shared" si="630"/>
        <v>70001-7351</v>
      </c>
      <c r="D10095" s="64" t="s">
        <v>11348</v>
      </c>
      <c r="E10095" s="64" t="s">
        <v>3265</v>
      </c>
      <c r="F10095" s="64" t="s">
        <v>15</v>
      </c>
      <c r="G10095" s="64" t="s">
        <v>3266</v>
      </c>
      <c r="H10095" s="64" t="s">
        <v>3267</v>
      </c>
      <c r="I10095" s="64" t="s">
        <v>3268</v>
      </c>
      <c r="J10095" s="67">
        <v>7083.33</v>
      </c>
      <c r="K10095" s="62">
        <v>70833.3</v>
      </c>
      <c r="L10095" s="33" t="e">
        <f>HLOOKUP(B10095,#REF!,1,0)</f>
        <v>#REF!</v>
      </c>
      <c r="M10095" s="33" t="str">
        <f t="shared" si="631"/>
        <v>P&amp;L</v>
      </c>
    </row>
    <row r="10096" spans="1:13">
      <c r="A10096" s="33" t="str">
        <f t="shared" si="628"/>
        <v>SCL - Facility</v>
      </c>
      <c r="B10096" s="33" t="str">
        <f t="shared" si="629"/>
        <v>SCL</v>
      </c>
      <c r="C10096" s="33" t="str">
        <f t="shared" si="630"/>
        <v>70001-7356</v>
      </c>
      <c r="D10096" s="64" t="s">
        <v>11349</v>
      </c>
      <c r="E10096" s="64" t="s">
        <v>3265</v>
      </c>
      <c r="F10096" s="64" t="s">
        <v>15</v>
      </c>
      <c r="G10096" s="64" t="s">
        <v>3266</v>
      </c>
      <c r="H10096" s="64" t="s">
        <v>3267</v>
      </c>
      <c r="I10096" s="64" t="s">
        <v>3268</v>
      </c>
      <c r="J10096" s="67">
        <v>0</v>
      </c>
      <c r="K10096" s="62">
        <v>10218.31</v>
      </c>
      <c r="L10096" s="33" t="e">
        <f>HLOOKUP(B10096,#REF!,1,0)</f>
        <v>#REF!</v>
      </c>
      <c r="M10096" s="33" t="str">
        <f t="shared" si="631"/>
        <v>P&amp;L</v>
      </c>
    </row>
    <row r="10097" spans="1:13">
      <c r="A10097" s="33" t="str">
        <f t="shared" si="628"/>
        <v>SCL - Facility</v>
      </c>
      <c r="B10097" s="33" t="str">
        <f t="shared" si="629"/>
        <v>SCL</v>
      </c>
      <c r="C10097" s="33" t="str">
        <f t="shared" si="630"/>
        <v>70001-7359</v>
      </c>
      <c r="D10097" s="64" t="s">
        <v>11350</v>
      </c>
      <c r="E10097" s="64" t="s">
        <v>3265</v>
      </c>
      <c r="F10097" s="64" t="s">
        <v>15</v>
      </c>
      <c r="G10097" s="64" t="s">
        <v>3266</v>
      </c>
      <c r="H10097" s="64" t="s">
        <v>3267</v>
      </c>
      <c r="I10097" s="64" t="s">
        <v>3268</v>
      </c>
      <c r="J10097" s="67">
        <v>3712.12</v>
      </c>
      <c r="K10097" s="62">
        <v>37121.2</v>
      </c>
      <c r="L10097" s="33" t="e">
        <f>HLOOKUP(B10097,#REF!,1,0)</f>
        <v>#REF!</v>
      </c>
      <c r="M10097" s="33" t="str">
        <f t="shared" si="631"/>
        <v>P&amp;L</v>
      </c>
    </row>
    <row r="10098" spans="1:13">
      <c r="A10098" s="33" t="str">
        <f t="shared" si="628"/>
        <v>SCL - Facility</v>
      </c>
      <c r="B10098" s="33" t="str">
        <f t="shared" si="629"/>
        <v>SCL</v>
      </c>
      <c r="C10098" s="33" t="str">
        <f t="shared" si="630"/>
        <v>70001-7360</v>
      </c>
      <c r="D10098" s="64" t="s">
        <v>11351</v>
      </c>
      <c r="E10098" s="64" t="s">
        <v>3265</v>
      </c>
      <c r="F10098" s="64" t="s">
        <v>15</v>
      </c>
      <c r="G10098" s="64" t="s">
        <v>3266</v>
      </c>
      <c r="H10098" s="64" t="s">
        <v>3267</v>
      </c>
      <c r="I10098" s="64" t="s">
        <v>3268</v>
      </c>
      <c r="J10098" s="67">
        <v>19987.74</v>
      </c>
      <c r="K10098" s="62">
        <v>199877.4</v>
      </c>
      <c r="L10098" s="33" t="e">
        <f>HLOOKUP(B10098,#REF!,1,0)</f>
        <v>#REF!</v>
      </c>
      <c r="M10098" s="33" t="str">
        <f t="shared" si="631"/>
        <v>P&amp;L</v>
      </c>
    </row>
    <row r="10099" spans="1:13">
      <c r="A10099" s="33" t="str">
        <f t="shared" si="628"/>
        <v>SCL - Facility</v>
      </c>
      <c r="B10099" s="33" t="str">
        <f t="shared" si="629"/>
        <v>SCL</v>
      </c>
      <c r="C10099" s="33" t="str">
        <f t="shared" si="630"/>
        <v>70001-7362</v>
      </c>
      <c r="D10099" s="64" t="s">
        <v>11352</v>
      </c>
      <c r="E10099" s="64" t="s">
        <v>3265</v>
      </c>
      <c r="F10099" s="64" t="s">
        <v>15</v>
      </c>
      <c r="G10099" s="64" t="s">
        <v>3266</v>
      </c>
      <c r="H10099" s="64" t="s">
        <v>3267</v>
      </c>
      <c r="I10099" s="64" t="s">
        <v>3268</v>
      </c>
      <c r="J10099" s="67">
        <v>9166.67</v>
      </c>
      <c r="K10099" s="62">
        <v>88333.34</v>
      </c>
      <c r="L10099" s="33" t="e">
        <f>HLOOKUP(B10099,#REF!,1,0)</f>
        <v>#REF!</v>
      </c>
      <c r="M10099" s="33" t="str">
        <f t="shared" si="631"/>
        <v>P&amp;L</v>
      </c>
    </row>
    <row r="10100" spans="1:13">
      <c r="A10100" s="33" t="str">
        <f t="shared" si="628"/>
        <v>SCL - Facility</v>
      </c>
      <c r="B10100" s="33" t="str">
        <f t="shared" si="629"/>
        <v>SCL</v>
      </c>
      <c r="C10100" s="33" t="str">
        <f t="shared" si="630"/>
        <v>70001-7363</v>
      </c>
      <c r="D10100" s="64" t="s">
        <v>11353</v>
      </c>
      <c r="E10100" s="64" t="s">
        <v>3265</v>
      </c>
      <c r="F10100" s="64" t="s">
        <v>15</v>
      </c>
      <c r="G10100" s="64" t="s">
        <v>3266</v>
      </c>
      <c r="H10100" s="64" t="s">
        <v>3267</v>
      </c>
      <c r="I10100" s="64" t="s">
        <v>3268</v>
      </c>
      <c r="J10100" s="67">
        <v>9010.21</v>
      </c>
      <c r="K10100" s="62">
        <v>83549.22</v>
      </c>
      <c r="L10100" s="33" t="e">
        <f>HLOOKUP(B10100,#REF!,1,0)</f>
        <v>#REF!</v>
      </c>
      <c r="M10100" s="33" t="str">
        <f t="shared" si="631"/>
        <v>P&amp;L</v>
      </c>
    </row>
    <row r="10101" spans="1:13">
      <c r="A10101" s="33" t="str">
        <f t="shared" si="628"/>
        <v>SCL - Facility</v>
      </c>
      <c r="B10101" s="33" t="str">
        <f t="shared" si="629"/>
        <v>SCL</v>
      </c>
      <c r="C10101" s="33" t="str">
        <f t="shared" si="630"/>
        <v>70001-7364</v>
      </c>
      <c r="D10101" s="64" t="s">
        <v>11354</v>
      </c>
      <c r="E10101" s="64" t="s">
        <v>3265</v>
      </c>
      <c r="F10101" s="64" t="s">
        <v>15</v>
      </c>
      <c r="G10101" s="64" t="s">
        <v>3266</v>
      </c>
      <c r="H10101" s="64" t="s">
        <v>3267</v>
      </c>
      <c r="I10101" s="64" t="s">
        <v>3268</v>
      </c>
      <c r="J10101" s="67">
        <v>20000</v>
      </c>
      <c r="K10101" s="62">
        <v>106000</v>
      </c>
      <c r="L10101" s="33" t="e">
        <f>HLOOKUP(B10101,#REF!,1,0)</f>
        <v>#REF!</v>
      </c>
      <c r="M10101" s="33" t="str">
        <f t="shared" si="631"/>
        <v>P&amp;L</v>
      </c>
    </row>
    <row r="10102" spans="1:13">
      <c r="A10102" s="33" t="str">
        <f t="shared" si="628"/>
        <v>SCL - Facility</v>
      </c>
      <c r="B10102" s="33" t="str">
        <f t="shared" si="629"/>
        <v>SCL</v>
      </c>
      <c r="C10102" s="33" t="str">
        <f t="shared" si="630"/>
        <v>70001-7366</v>
      </c>
      <c r="D10102" s="64" t="s">
        <v>11355</v>
      </c>
      <c r="E10102" s="64" t="s">
        <v>3265</v>
      </c>
      <c r="F10102" s="64" t="s">
        <v>15</v>
      </c>
      <c r="G10102" s="64" t="s">
        <v>3266</v>
      </c>
      <c r="H10102" s="64" t="s">
        <v>3267</v>
      </c>
      <c r="I10102" s="64" t="s">
        <v>3268</v>
      </c>
      <c r="J10102" s="67">
        <v>16032.55</v>
      </c>
      <c r="K10102" s="62">
        <v>160325.5</v>
      </c>
      <c r="L10102" s="33" t="e">
        <f>HLOOKUP(B10102,#REF!,1,0)</f>
        <v>#REF!</v>
      </c>
      <c r="M10102" s="33" t="str">
        <f t="shared" si="631"/>
        <v>P&amp;L</v>
      </c>
    </row>
    <row r="10103" spans="1:13">
      <c r="A10103" s="33" t="str">
        <f t="shared" si="628"/>
        <v>SCL - Facility</v>
      </c>
      <c r="B10103" s="33" t="str">
        <f t="shared" si="629"/>
        <v>SCL</v>
      </c>
      <c r="C10103" s="33" t="str">
        <f t="shared" si="630"/>
        <v>70001-7369</v>
      </c>
      <c r="D10103" s="64" t="s">
        <v>11356</v>
      </c>
      <c r="E10103" s="64" t="s">
        <v>3265</v>
      </c>
      <c r="F10103" s="64" t="s">
        <v>15</v>
      </c>
      <c r="G10103" s="64" t="s">
        <v>3266</v>
      </c>
      <c r="H10103" s="64" t="s">
        <v>3267</v>
      </c>
      <c r="I10103" s="64" t="s">
        <v>3268</v>
      </c>
      <c r="J10103" s="67">
        <v>10541.66</v>
      </c>
      <c r="K10103" s="62">
        <v>102541.61</v>
      </c>
      <c r="L10103" s="33" t="e">
        <f>HLOOKUP(B10103,#REF!,1,0)</f>
        <v>#REF!</v>
      </c>
      <c r="M10103" s="33" t="str">
        <f t="shared" si="631"/>
        <v>P&amp;L</v>
      </c>
    </row>
    <row r="10104" spans="1:13">
      <c r="A10104" s="33" t="str">
        <f t="shared" si="628"/>
        <v>SCL - Facility</v>
      </c>
      <c r="B10104" s="33" t="str">
        <f t="shared" si="629"/>
        <v>SCL</v>
      </c>
      <c r="C10104" s="33" t="str">
        <f t="shared" si="630"/>
        <v>70001-7371</v>
      </c>
      <c r="D10104" s="64" t="s">
        <v>11357</v>
      </c>
      <c r="E10104" s="64" t="s">
        <v>3265</v>
      </c>
      <c r="F10104" s="64" t="s">
        <v>15</v>
      </c>
      <c r="G10104" s="64" t="s">
        <v>3266</v>
      </c>
      <c r="H10104" s="64" t="s">
        <v>3267</v>
      </c>
      <c r="I10104" s="64" t="s">
        <v>3268</v>
      </c>
      <c r="J10104" s="67">
        <v>13801.53</v>
      </c>
      <c r="K10104" s="62">
        <v>138015.3</v>
      </c>
      <c r="L10104" s="33" t="e">
        <f>HLOOKUP(B10104,#REF!,1,0)</f>
        <v>#REF!</v>
      </c>
      <c r="M10104" s="33" t="str">
        <f t="shared" si="631"/>
        <v>P&amp;L</v>
      </c>
    </row>
    <row r="10105" spans="1:13">
      <c r="A10105" s="33" t="str">
        <f t="shared" si="628"/>
        <v>SCL - Facility</v>
      </c>
      <c r="B10105" s="33" t="str">
        <f t="shared" si="629"/>
        <v>SCL</v>
      </c>
      <c r="C10105" s="33" t="str">
        <f t="shared" si="630"/>
        <v>70001-7374</v>
      </c>
      <c r="D10105" s="64" t="s">
        <v>11358</v>
      </c>
      <c r="E10105" s="64" t="s">
        <v>3265</v>
      </c>
      <c r="F10105" s="64" t="s">
        <v>15</v>
      </c>
      <c r="G10105" s="64" t="s">
        <v>3266</v>
      </c>
      <c r="H10105" s="64" t="s">
        <v>3267</v>
      </c>
      <c r="I10105" s="64" t="s">
        <v>3268</v>
      </c>
      <c r="J10105" s="67">
        <v>7033.13</v>
      </c>
      <c r="K10105" s="62">
        <v>70331.3</v>
      </c>
      <c r="L10105" s="33" t="e">
        <f>HLOOKUP(B10105,#REF!,1,0)</f>
        <v>#REF!</v>
      </c>
      <c r="M10105" s="33" t="str">
        <f t="shared" si="631"/>
        <v>P&amp;L</v>
      </c>
    </row>
    <row r="10106" spans="1:13">
      <c r="A10106" s="33" t="str">
        <f t="shared" si="628"/>
        <v>SCL - Facility</v>
      </c>
      <c r="B10106" s="33" t="str">
        <f t="shared" si="629"/>
        <v>SCL</v>
      </c>
      <c r="C10106" s="33" t="str">
        <f t="shared" si="630"/>
        <v>70001-7375</v>
      </c>
      <c r="D10106" s="64" t="s">
        <v>11359</v>
      </c>
      <c r="E10106" s="64" t="s">
        <v>3265</v>
      </c>
      <c r="F10106" s="64" t="s">
        <v>15</v>
      </c>
      <c r="G10106" s="64" t="s">
        <v>3266</v>
      </c>
      <c r="H10106" s="64" t="s">
        <v>3267</v>
      </c>
      <c r="I10106" s="64" t="s">
        <v>3268</v>
      </c>
      <c r="J10106" s="67">
        <v>7994.95</v>
      </c>
      <c r="K10106" s="62">
        <v>79949.5</v>
      </c>
      <c r="L10106" s="33" t="e">
        <f>HLOOKUP(B10106,#REF!,1,0)</f>
        <v>#REF!</v>
      </c>
      <c r="M10106" s="33" t="str">
        <f t="shared" si="631"/>
        <v>P&amp;L</v>
      </c>
    </row>
    <row r="10107" spans="1:13">
      <c r="A10107" s="33" t="str">
        <f t="shared" si="628"/>
        <v>SCL - Facility</v>
      </c>
      <c r="B10107" s="33" t="str">
        <f t="shared" si="629"/>
        <v>SCL</v>
      </c>
      <c r="C10107" s="33" t="str">
        <f t="shared" si="630"/>
        <v>70001-7376</v>
      </c>
      <c r="D10107" s="64" t="s">
        <v>11360</v>
      </c>
      <c r="E10107" s="64" t="s">
        <v>3265</v>
      </c>
      <c r="F10107" s="64" t="s">
        <v>15</v>
      </c>
      <c r="G10107" s="64" t="s">
        <v>3266</v>
      </c>
      <c r="H10107" s="64" t="s">
        <v>3267</v>
      </c>
      <c r="I10107" s="64" t="s">
        <v>3268</v>
      </c>
      <c r="J10107" s="67">
        <v>13750</v>
      </c>
      <c r="K10107" s="62">
        <v>130000</v>
      </c>
      <c r="L10107" s="33" t="e">
        <f>HLOOKUP(B10107,#REF!,1,0)</f>
        <v>#REF!</v>
      </c>
      <c r="M10107" s="33" t="str">
        <f t="shared" si="631"/>
        <v>P&amp;L</v>
      </c>
    </row>
    <row r="10108" spans="1:13">
      <c r="A10108" s="33" t="str">
        <f t="shared" si="628"/>
        <v>SCL - Facility</v>
      </c>
      <c r="B10108" s="33" t="str">
        <f t="shared" si="629"/>
        <v>SCL</v>
      </c>
      <c r="C10108" s="33" t="str">
        <f t="shared" si="630"/>
        <v>70001-7377</v>
      </c>
      <c r="D10108" s="64" t="s">
        <v>11361</v>
      </c>
      <c r="E10108" s="64" t="s">
        <v>3265</v>
      </c>
      <c r="F10108" s="64" t="s">
        <v>15</v>
      </c>
      <c r="G10108" s="64" t="s">
        <v>3266</v>
      </c>
      <c r="H10108" s="64" t="s">
        <v>3267</v>
      </c>
      <c r="I10108" s="64" t="s">
        <v>3268</v>
      </c>
      <c r="J10108" s="67">
        <v>7083.33</v>
      </c>
      <c r="K10108" s="62">
        <v>70833.3</v>
      </c>
      <c r="L10108" s="33" t="e">
        <f>HLOOKUP(B10108,#REF!,1,0)</f>
        <v>#REF!</v>
      </c>
      <c r="M10108" s="33" t="str">
        <f t="shared" si="631"/>
        <v>P&amp;L</v>
      </c>
    </row>
    <row r="10109" spans="1:13">
      <c r="A10109" s="33" t="str">
        <f t="shared" si="628"/>
        <v>SCL - Facility</v>
      </c>
      <c r="B10109" s="33" t="str">
        <f t="shared" si="629"/>
        <v>SCL</v>
      </c>
      <c r="C10109" s="33" t="str">
        <f t="shared" si="630"/>
        <v>70001-7378</v>
      </c>
      <c r="D10109" s="64" t="s">
        <v>11362</v>
      </c>
      <c r="E10109" s="64" t="s">
        <v>3265</v>
      </c>
      <c r="F10109" s="64" t="s">
        <v>15</v>
      </c>
      <c r="G10109" s="64" t="s">
        <v>3266</v>
      </c>
      <c r="H10109" s="64" t="s">
        <v>3267</v>
      </c>
      <c r="I10109" s="64" t="s">
        <v>3268</v>
      </c>
      <c r="J10109" s="67">
        <v>17645.83</v>
      </c>
      <c r="K10109" s="62">
        <v>176458.3</v>
      </c>
      <c r="L10109" s="33" t="e">
        <f>HLOOKUP(B10109,#REF!,1,0)</f>
        <v>#REF!</v>
      </c>
      <c r="M10109" s="33" t="str">
        <f t="shared" si="631"/>
        <v>P&amp;L</v>
      </c>
    </row>
    <row r="10110" spans="1:13">
      <c r="A10110" s="33" t="str">
        <f t="shared" si="628"/>
        <v>SCL - Facility</v>
      </c>
      <c r="B10110" s="33" t="str">
        <f t="shared" si="629"/>
        <v>SCL</v>
      </c>
      <c r="C10110" s="33" t="str">
        <f t="shared" si="630"/>
        <v>70001-7379</v>
      </c>
      <c r="D10110" s="64" t="s">
        <v>11363</v>
      </c>
      <c r="E10110" s="64" t="s">
        <v>3265</v>
      </c>
      <c r="F10110" s="64" t="s">
        <v>15</v>
      </c>
      <c r="G10110" s="64" t="s">
        <v>3266</v>
      </c>
      <c r="H10110" s="64" t="s">
        <v>3267</v>
      </c>
      <c r="I10110" s="64" t="s">
        <v>3268</v>
      </c>
      <c r="J10110" s="67">
        <v>11000</v>
      </c>
      <c r="K10110" s="62">
        <v>110000</v>
      </c>
      <c r="L10110" s="33" t="e">
        <f>HLOOKUP(B10110,#REF!,1,0)</f>
        <v>#REF!</v>
      </c>
      <c r="M10110" s="33" t="str">
        <f t="shared" si="631"/>
        <v>P&amp;L</v>
      </c>
    </row>
    <row r="10111" spans="1:13">
      <c r="A10111" s="33" t="str">
        <f t="shared" si="628"/>
        <v>SCL - Facility</v>
      </c>
      <c r="B10111" s="33" t="str">
        <f t="shared" si="629"/>
        <v>SCL</v>
      </c>
      <c r="C10111" s="33" t="str">
        <f t="shared" si="630"/>
        <v>70001-7380</v>
      </c>
      <c r="D10111" s="64" t="s">
        <v>11364</v>
      </c>
      <c r="E10111" s="64" t="s">
        <v>3265</v>
      </c>
      <c r="F10111" s="64" t="s">
        <v>15</v>
      </c>
      <c r="G10111" s="64" t="s">
        <v>3266</v>
      </c>
      <c r="H10111" s="64" t="s">
        <v>3267</v>
      </c>
      <c r="I10111" s="64" t="s">
        <v>3268</v>
      </c>
      <c r="J10111" s="67">
        <v>5974.53</v>
      </c>
      <c r="K10111" s="62">
        <v>59745.3</v>
      </c>
      <c r="L10111" s="33" t="e">
        <f>HLOOKUP(B10111,#REF!,1,0)</f>
        <v>#REF!</v>
      </c>
      <c r="M10111" s="33" t="str">
        <f t="shared" si="631"/>
        <v>P&amp;L</v>
      </c>
    </row>
    <row r="10112" spans="1:13">
      <c r="A10112" s="33" t="str">
        <f t="shared" si="628"/>
        <v>SCL - Facility</v>
      </c>
      <c r="B10112" s="33" t="str">
        <f t="shared" si="629"/>
        <v>SCL</v>
      </c>
      <c r="C10112" s="33" t="str">
        <f t="shared" si="630"/>
        <v>70001-7381</v>
      </c>
      <c r="D10112" s="64" t="s">
        <v>11365</v>
      </c>
      <c r="E10112" s="64" t="s">
        <v>3265</v>
      </c>
      <c r="F10112" s="64" t="s">
        <v>15</v>
      </c>
      <c r="G10112" s="64" t="s">
        <v>3266</v>
      </c>
      <c r="H10112" s="64" t="s">
        <v>3267</v>
      </c>
      <c r="I10112" s="64" t="s">
        <v>3268</v>
      </c>
      <c r="J10112" s="67">
        <v>12000</v>
      </c>
      <c r="K10112" s="62">
        <v>105499.98</v>
      </c>
      <c r="L10112" s="33" t="e">
        <f>HLOOKUP(B10112,#REF!,1,0)</f>
        <v>#REF!</v>
      </c>
      <c r="M10112" s="33" t="str">
        <f t="shared" si="631"/>
        <v>P&amp;L</v>
      </c>
    </row>
    <row r="10113" spans="1:13">
      <c r="A10113" s="33" t="str">
        <f t="shared" si="628"/>
        <v>SCL - Facility</v>
      </c>
      <c r="B10113" s="33" t="str">
        <f t="shared" si="629"/>
        <v>SCL</v>
      </c>
      <c r="C10113" s="33" t="str">
        <f t="shared" si="630"/>
        <v>70001-7383</v>
      </c>
      <c r="D10113" s="64" t="s">
        <v>11366</v>
      </c>
      <c r="E10113" s="64" t="s">
        <v>3265</v>
      </c>
      <c r="F10113" s="64" t="s">
        <v>15</v>
      </c>
      <c r="G10113" s="64" t="s">
        <v>3266</v>
      </c>
      <c r="H10113" s="64" t="s">
        <v>3267</v>
      </c>
      <c r="I10113" s="64" t="s">
        <v>3268</v>
      </c>
      <c r="J10113" s="67">
        <v>18952.53</v>
      </c>
      <c r="K10113" s="62">
        <v>189525.3</v>
      </c>
      <c r="L10113" s="33" t="e">
        <f>HLOOKUP(B10113,#REF!,1,0)</f>
        <v>#REF!</v>
      </c>
      <c r="M10113" s="33" t="str">
        <f t="shared" si="631"/>
        <v>P&amp;L</v>
      </c>
    </row>
    <row r="10114" spans="1:13">
      <c r="A10114" s="33" t="str">
        <f t="shared" ref="A10114:A10177" si="632">B10114&amp;" - "&amp;TRIM(H10114)</f>
        <v>SCL - Facility</v>
      </c>
      <c r="B10114" s="33" t="str">
        <f t="shared" ref="B10114:B10177" si="633">LEFT(D10114,3)</f>
        <v>SCL</v>
      </c>
      <c r="C10114" s="33" t="str">
        <f t="shared" ref="C10114:C10177" si="634">RIGHT(D10114,10)</f>
        <v>70001-7385</v>
      </c>
      <c r="D10114" s="64" t="s">
        <v>11367</v>
      </c>
      <c r="E10114" s="64" t="s">
        <v>3265</v>
      </c>
      <c r="F10114" s="64" t="s">
        <v>15</v>
      </c>
      <c r="G10114" s="64" t="s">
        <v>3266</v>
      </c>
      <c r="H10114" s="64" t="s">
        <v>3267</v>
      </c>
      <c r="I10114" s="64" t="s">
        <v>3268</v>
      </c>
      <c r="J10114" s="67">
        <v>4950</v>
      </c>
      <c r="K10114" s="62">
        <v>49500</v>
      </c>
      <c r="L10114" s="33" t="e">
        <f>HLOOKUP(B10114,#REF!,1,0)</f>
        <v>#REF!</v>
      </c>
      <c r="M10114" s="33" t="str">
        <f t="shared" ref="M10114:M10177" si="635">IF(VALUE(LEFT(C10114,5))&gt;40000,"P&amp;L","BS")</f>
        <v>P&amp;L</v>
      </c>
    </row>
    <row r="10115" spans="1:13">
      <c r="A10115" s="33" t="str">
        <f t="shared" si="632"/>
        <v>SCL - Facility</v>
      </c>
      <c r="B10115" s="33" t="str">
        <f t="shared" si="633"/>
        <v>SCL</v>
      </c>
      <c r="C10115" s="33" t="str">
        <f t="shared" si="634"/>
        <v>70001-7386</v>
      </c>
      <c r="D10115" s="64" t="s">
        <v>11368</v>
      </c>
      <c r="E10115" s="64" t="s">
        <v>3265</v>
      </c>
      <c r="F10115" s="64" t="s">
        <v>15</v>
      </c>
      <c r="G10115" s="64" t="s">
        <v>3266</v>
      </c>
      <c r="H10115" s="64" t="s">
        <v>3267</v>
      </c>
      <c r="I10115" s="64" t="s">
        <v>3268</v>
      </c>
      <c r="J10115" s="67">
        <v>8488.33</v>
      </c>
      <c r="K10115" s="62">
        <v>84883.3</v>
      </c>
      <c r="L10115" s="33" t="e">
        <f>HLOOKUP(B10115,#REF!,1,0)</f>
        <v>#REF!</v>
      </c>
      <c r="M10115" s="33" t="str">
        <f t="shared" si="635"/>
        <v>P&amp;L</v>
      </c>
    </row>
    <row r="10116" spans="1:13">
      <c r="A10116" s="33" t="str">
        <f t="shared" si="632"/>
        <v>SCL - Facility</v>
      </c>
      <c r="B10116" s="33" t="str">
        <f t="shared" si="633"/>
        <v>SCL</v>
      </c>
      <c r="C10116" s="33" t="str">
        <f t="shared" si="634"/>
        <v>70001-7387</v>
      </c>
      <c r="D10116" s="64" t="s">
        <v>11369</v>
      </c>
      <c r="E10116" s="64" t="s">
        <v>3265</v>
      </c>
      <c r="F10116" s="64" t="s">
        <v>15</v>
      </c>
      <c r="G10116" s="64" t="s">
        <v>3266</v>
      </c>
      <c r="H10116" s="64" t="s">
        <v>3267</v>
      </c>
      <c r="I10116" s="64" t="s">
        <v>3268</v>
      </c>
      <c r="J10116" s="67">
        <v>10370.7</v>
      </c>
      <c r="K10116" s="62">
        <v>103707</v>
      </c>
      <c r="L10116" s="33" t="e">
        <f>HLOOKUP(B10116,#REF!,1,0)</f>
        <v>#REF!</v>
      </c>
      <c r="M10116" s="33" t="str">
        <f t="shared" si="635"/>
        <v>P&amp;L</v>
      </c>
    </row>
    <row r="10117" spans="1:13">
      <c r="A10117" s="33" t="str">
        <f t="shared" si="632"/>
        <v>SCL - Facility</v>
      </c>
      <c r="B10117" s="33" t="str">
        <f t="shared" si="633"/>
        <v>SCL</v>
      </c>
      <c r="C10117" s="33" t="str">
        <f t="shared" si="634"/>
        <v>70001-7389</v>
      </c>
      <c r="D10117" s="64" t="s">
        <v>11370</v>
      </c>
      <c r="E10117" s="64" t="s">
        <v>3265</v>
      </c>
      <c r="F10117" s="64" t="s">
        <v>15</v>
      </c>
      <c r="G10117" s="64" t="s">
        <v>3266</v>
      </c>
      <c r="H10117" s="64" t="s">
        <v>3267</v>
      </c>
      <c r="I10117" s="64" t="s">
        <v>3268</v>
      </c>
      <c r="J10117" s="67">
        <v>11005.32</v>
      </c>
      <c r="K10117" s="62">
        <v>110053.2</v>
      </c>
      <c r="L10117" s="33" t="e">
        <f>HLOOKUP(B10117,#REF!,1,0)</f>
        <v>#REF!</v>
      </c>
      <c r="M10117" s="33" t="str">
        <f t="shared" si="635"/>
        <v>P&amp;L</v>
      </c>
    </row>
    <row r="10118" spans="1:13">
      <c r="A10118" s="33" t="str">
        <f t="shared" si="632"/>
        <v>SCL - Facility</v>
      </c>
      <c r="B10118" s="33" t="str">
        <f t="shared" si="633"/>
        <v>SCL</v>
      </c>
      <c r="C10118" s="33" t="str">
        <f t="shared" si="634"/>
        <v>70001-7391</v>
      </c>
      <c r="D10118" s="64" t="s">
        <v>11371</v>
      </c>
      <c r="E10118" s="64" t="s">
        <v>3265</v>
      </c>
      <c r="F10118" s="64" t="s">
        <v>15</v>
      </c>
      <c r="G10118" s="64" t="s">
        <v>3266</v>
      </c>
      <c r="H10118" s="64" t="s">
        <v>3267</v>
      </c>
      <c r="I10118" s="64" t="s">
        <v>3268</v>
      </c>
      <c r="J10118" s="67">
        <v>8811.71</v>
      </c>
      <c r="K10118" s="62">
        <v>79620.11</v>
      </c>
      <c r="L10118" s="33" t="e">
        <f>HLOOKUP(B10118,#REF!,1,0)</f>
        <v>#REF!</v>
      </c>
      <c r="M10118" s="33" t="str">
        <f t="shared" si="635"/>
        <v>P&amp;L</v>
      </c>
    </row>
    <row r="10119" spans="1:13">
      <c r="A10119" s="33" t="str">
        <f t="shared" si="632"/>
        <v>SCL - Facility</v>
      </c>
      <c r="B10119" s="33" t="str">
        <f t="shared" si="633"/>
        <v>SCL</v>
      </c>
      <c r="C10119" s="33" t="str">
        <f t="shared" si="634"/>
        <v>70001-7393</v>
      </c>
      <c r="D10119" s="64" t="s">
        <v>11372</v>
      </c>
      <c r="E10119" s="64" t="s">
        <v>3265</v>
      </c>
      <c r="F10119" s="64" t="s">
        <v>15</v>
      </c>
      <c r="G10119" s="64" t="s">
        <v>3266</v>
      </c>
      <c r="H10119" s="64" t="s">
        <v>3267</v>
      </c>
      <c r="I10119" s="64" t="s">
        <v>3268</v>
      </c>
      <c r="J10119" s="67">
        <v>10646.12</v>
      </c>
      <c r="K10119" s="62">
        <v>106461.2</v>
      </c>
      <c r="L10119" s="33" t="e">
        <f>HLOOKUP(B10119,#REF!,1,0)</f>
        <v>#REF!</v>
      </c>
      <c r="M10119" s="33" t="str">
        <f t="shared" si="635"/>
        <v>P&amp;L</v>
      </c>
    </row>
    <row r="10120" spans="1:13">
      <c r="A10120" s="33" t="str">
        <f t="shared" si="632"/>
        <v>SCL - Facility</v>
      </c>
      <c r="B10120" s="33" t="str">
        <f t="shared" si="633"/>
        <v>SCL</v>
      </c>
      <c r="C10120" s="33" t="str">
        <f t="shared" si="634"/>
        <v>70001-7394</v>
      </c>
      <c r="D10120" s="64" t="s">
        <v>11373</v>
      </c>
      <c r="E10120" s="64" t="s">
        <v>3265</v>
      </c>
      <c r="F10120" s="64" t="s">
        <v>15</v>
      </c>
      <c r="G10120" s="64" t="s">
        <v>3266</v>
      </c>
      <c r="H10120" s="64" t="s">
        <v>3267</v>
      </c>
      <c r="I10120" s="64" t="s">
        <v>3268</v>
      </c>
      <c r="J10120" s="67">
        <v>8523.24</v>
      </c>
      <c r="K10120" s="62">
        <v>85232.4</v>
      </c>
      <c r="L10120" s="33" t="e">
        <f>HLOOKUP(B10120,#REF!,1,0)</f>
        <v>#REF!</v>
      </c>
      <c r="M10120" s="33" t="str">
        <f t="shared" si="635"/>
        <v>P&amp;L</v>
      </c>
    </row>
    <row r="10121" spans="1:13">
      <c r="A10121" s="33" t="str">
        <f t="shared" si="632"/>
        <v>SCL - Facility</v>
      </c>
      <c r="B10121" s="33" t="str">
        <f t="shared" si="633"/>
        <v>SCL</v>
      </c>
      <c r="C10121" s="33" t="str">
        <f t="shared" si="634"/>
        <v>70001-7396</v>
      </c>
      <c r="D10121" s="64" t="s">
        <v>11374</v>
      </c>
      <c r="E10121" s="64" t="s">
        <v>3265</v>
      </c>
      <c r="F10121" s="64" t="s">
        <v>15</v>
      </c>
      <c r="G10121" s="64" t="s">
        <v>3266</v>
      </c>
      <c r="H10121" s="64" t="s">
        <v>3267</v>
      </c>
      <c r="I10121" s="64" t="s">
        <v>3268</v>
      </c>
      <c r="J10121" s="67">
        <v>7427.08</v>
      </c>
      <c r="K10121" s="62">
        <v>74270.8</v>
      </c>
      <c r="L10121" s="33" t="e">
        <f>HLOOKUP(B10121,#REF!,1,0)</f>
        <v>#REF!</v>
      </c>
      <c r="M10121" s="33" t="str">
        <f t="shared" si="635"/>
        <v>P&amp;L</v>
      </c>
    </row>
    <row r="10122" spans="1:13">
      <c r="A10122" s="33" t="str">
        <f t="shared" si="632"/>
        <v>SCL - Facility</v>
      </c>
      <c r="B10122" s="33" t="str">
        <f t="shared" si="633"/>
        <v>SCL</v>
      </c>
      <c r="C10122" s="33" t="str">
        <f t="shared" si="634"/>
        <v>70001-7397</v>
      </c>
      <c r="D10122" s="64" t="s">
        <v>11375</v>
      </c>
      <c r="E10122" s="64" t="s">
        <v>3265</v>
      </c>
      <c r="F10122" s="64" t="s">
        <v>15</v>
      </c>
      <c r="G10122" s="64" t="s">
        <v>3266</v>
      </c>
      <c r="H10122" s="64" t="s">
        <v>3267</v>
      </c>
      <c r="I10122" s="64" t="s">
        <v>3268</v>
      </c>
      <c r="J10122" s="67">
        <v>12595.95</v>
      </c>
      <c r="K10122" s="62">
        <v>125959.5</v>
      </c>
      <c r="L10122" s="33" t="e">
        <f>HLOOKUP(B10122,#REF!,1,0)</f>
        <v>#REF!</v>
      </c>
      <c r="M10122" s="33" t="str">
        <f t="shared" si="635"/>
        <v>P&amp;L</v>
      </c>
    </row>
    <row r="10123" spans="1:13">
      <c r="A10123" s="33" t="str">
        <f t="shared" si="632"/>
        <v>SCL - Facility</v>
      </c>
      <c r="B10123" s="33" t="str">
        <f t="shared" si="633"/>
        <v>SCL</v>
      </c>
      <c r="C10123" s="33" t="str">
        <f t="shared" si="634"/>
        <v>70001-7398</v>
      </c>
      <c r="D10123" s="64" t="s">
        <v>11376</v>
      </c>
      <c r="E10123" s="64" t="s">
        <v>3265</v>
      </c>
      <c r="F10123" s="64" t="s">
        <v>15</v>
      </c>
      <c r="G10123" s="64" t="s">
        <v>3266</v>
      </c>
      <c r="H10123" s="64" t="s">
        <v>3267</v>
      </c>
      <c r="I10123" s="64" t="s">
        <v>3268</v>
      </c>
      <c r="J10123" s="67">
        <v>16958.33</v>
      </c>
      <c r="K10123" s="62">
        <v>169999.96</v>
      </c>
      <c r="L10123" s="33" t="e">
        <f>HLOOKUP(B10123,#REF!,1,0)</f>
        <v>#REF!</v>
      </c>
      <c r="M10123" s="33" t="str">
        <f t="shared" si="635"/>
        <v>P&amp;L</v>
      </c>
    </row>
    <row r="10124" spans="1:13">
      <c r="A10124" s="33" t="str">
        <f t="shared" si="632"/>
        <v>SCL - Facility</v>
      </c>
      <c r="B10124" s="33" t="str">
        <f t="shared" si="633"/>
        <v>SCL</v>
      </c>
      <c r="C10124" s="33" t="str">
        <f t="shared" si="634"/>
        <v>70001-7401</v>
      </c>
      <c r="D10124" s="64" t="s">
        <v>11377</v>
      </c>
      <c r="E10124" s="64" t="s">
        <v>3265</v>
      </c>
      <c r="F10124" s="64" t="s">
        <v>15</v>
      </c>
      <c r="G10124" s="64" t="s">
        <v>3266</v>
      </c>
      <c r="H10124" s="64" t="s">
        <v>3267</v>
      </c>
      <c r="I10124" s="64" t="s">
        <v>3268</v>
      </c>
      <c r="J10124" s="67">
        <v>13291.67</v>
      </c>
      <c r="K10124" s="62">
        <v>132916.7</v>
      </c>
      <c r="L10124" s="33" t="e">
        <f>HLOOKUP(B10124,#REF!,1,0)</f>
        <v>#REF!</v>
      </c>
      <c r="M10124" s="33" t="str">
        <f t="shared" si="635"/>
        <v>P&amp;L</v>
      </c>
    </row>
    <row r="10125" spans="1:13">
      <c r="A10125" s="33" t="str">
        <f t="shared" si="632"/>
        <v>SCL - Facility</v>
      </c>
      <c r="B10125" s="33" t="str">
        <f t="shared" si="633"/>
        <v>SCL</v>
      </c>
      <c r="C10125" s="33" t="str">
        <f t="shared" si="634"/>
        <v>70001-7402</v>
      </c>
      <c r="D10125" s="64" t="s">
        <v>11378</v>
      </c>
      <c r="E10125" s="64" t="s">
        <v>3265</v>
      </c>
      <c r="F10125" s="64" t="s">
        <v>15</v>
      </c>
      <c r="G10125" s="64" t="s">
        <v>3266</v>
      </c>
      <c r="H10125" s="64" t="s">
        <v>3267</v>
      </c>
      <c r="I10125" s="64" t="s">
        <v>3268</v>
      </c>
      <c r="J10125" s="67">
        <v>6303.9</v>
      </c>
      <c r="K10125" s="62">
        <v>63039</v>
      </c>
      <c r="L10125" s="33" t="e">
        <f>HLOOKUP(B10125,#REF!,1,0)</f>
        <v>#REF!</v>
      </c>
      <c r="M10125" s="33" t="str">
        <f t="shared" si="635"/>
        <v>P&amp;L</v>
      </c>
    </row>
    <row r="10126" spans="1:13">
      <c r="A10126" s="33" t="str">
        <f t="shared" si="632"/>
        <v>SCL - Facility</v>
      </c>
      <c r="B10126" s="33" t="str">
        <f t="shared" si="633"/>
        <v>SCL</v>
      </c>
      <c r="C10126" s="33" t="str">
        <f t="shared" si="634"/>
        <v>70001-7403</v>
      </c>
      <c r="D10126" s="64" t="s">
        <v>11379</v>
      </c>
      <c r="E10126" s="64" t="s">
        <v>3265</v>
      </c>
      <c r="F10126" s="64" t="s">
        <v>15</v>
      </c>
      <c r="G10126" s="64" t="s">
        <v>3266</v>
      </c>
      <c r="H10126" s="64" t="s">
        <v>3267</v>
      </c>
      <c r="I10126" s="64" t="s">
        <v>3268</v>
      </c>
      <c r="J10126" s="67">
        <v>15755.58</v>
      </c>
      <c r="K10126" s="62">
        <v>153184.09</v>
      </c>
      <c r="L10126" s="33" t="e">
        <f>HLOOKUP(B10126,#REF!,1,0)</f>
        <v>#REF!</v>
      </c>
      <c r="M10126" s="33" t="str">
        <f t="shared" si="635"/>
        <v>P&amp;L</v>
      </c>
    </row>
    <row r="10127" spans="1:13">
      <c r="A10127" s="33" t="str">
        <f t="shared" si="632"/>
        <v>SCL - Facility</v>
      </c>
      <c r="B10127" s="33" t="str">
        <f t="shared" si="633"/>
        <v>SCL</v>
      </c>
      <c r="C10127" s="33" t="str">
        <f t="shared" si="634"/>
        <v>70001-7491</v>
      </c>
      <c r="D10127" s="64" t="s">
        <v>11380</v>
      </c>
      <c r="E10127" s="64" t="s">
        <v>3265</v>
      </c>
      <c r="F10127" s="64" t="s">
        <v>15</v>
      </c>
      <c r="G10127" s="64" t="s">
        <v>3266</v>
      </c>
      <c r="H10127" s="64" t="s">
        <v>3267</v>
      </c>
      <c r="I10127" s="64" t="s">
        <v>3268</v>
      </c>
      <c r="J10127" s="67">
        <v>12100</v>
      </c>
      <c r="K10127" s="62">
        <v>121000</v>
      </c>
      <c r="L10127" s="33" t="e">
        <f>HLOOKUP(B10127,#REF!,1,0)</f>
        <v>#REF!</v>
      </c>
      <c r="M10127" s="33" t="str">
        <f t="shared" si="635"/>
        <v>P&amp;L</v>
      </c>
    </row>
    <row r="10128" spans="1:13">
      <c r="A10128" s="33" t="str">
        <f t="shared" si="632"/>
        <v>SCL - Facility</v>
      </c>
      <c r="B10128" s="33" t="str">
        <f t="shared" si="633"/>
        <v>SCL</v>
      </c>
      <c r="C10128" s="33" t="str">
        <f t="shared" si="634"/>
        <v>70001-7492</v>
      </c>
      <c r="D10128" s="64" t="s">
        <v>11381</v>
      </c>
      <c r="E10128" s="64" t="s">
        <v>3265</v>
      </c>
      <c r="F10128" s="64" t="s">
        <v>15</v>
      </c>
      <c r="G10128" s="64" t="s">
        <v>3266</v>
      </c>
      <c r="H10128" s="64" t="s">
        <v>3267</v>
      </c>
      <c r="I10128" s="64" t="s">
        <v>3268</v>
      </c>
      <c r="J10128" s="67">
        <v>11451.64</v>
      </c>
      <c r="K10128" s="62">
        <v>110352.16</v>
      </c>
      <c r="L10128" s="33" t="e">
        <f>HLOOKUP(B10128,#REF!,1,0)</f>
        <v>#REF!</v>
      </c>
      <c r="M10128" s="33" t="str">
        <f t="shared" si="635"/>
        <v>P&amp;L</v>
      </c>
    </row>
    <row r="10129" spans="1:13">
      <c r="A10129" s="33" t="str">
        <f t="shared" si="632"/>
        <v>SCL - Facility</v>
      </c>
      <c r="B10129" s="33" t="str">
        <f t="shared" si="633"/>
        <v>SCL</v>
      </c>
      <c r="C10129" s="33" t="str">
        <f t="shared" si="634"/>
        <v>70002-7352</v>
      </c>
      <c r="D10129" s="64" t="s">
        <v>11382</v>
      </c>
      <c r="E10129" s="64" t="s">
        <v>3272</v>
      </c>
      <c r="F10129" s="64" t="s">
        <v>15</v>
      </c>
      <c r="G10129" s="64" t="s">
        <v>3266</v>
      </c>
      <c r="H10129" s="64" t="s">
        <v>3267</v>
      </c>
      <c r="I10129" s="64" t="s">
        <v>3268</v>
      </c>
      <c r="J10129" s="67">
        <v>9000</v>
      </c>
      <c r="K10129" s="62">
        <v>90000</v>
      </c>
      <c r="L10129" s="33" t="e">
        <f>HLOOKUP(B10129,#REF!,1,0)</f>
        <v>#REF!</v>
      </c>
      <c r="M10129" s="33" t="str">
        <f t="shared" si="635"/>
        <v>P&amp;L</v>
      </c>
    </row>
    <row r="10130" spans="1:13">
      <c r="A10130" s="33" t="str">
        <f t="shared" si="632"/>
        <v>SCL - Facility</v>
      </c>
      <c r="B10130" s="33" t="str">
        <f t="shared" si="633"/>
        <v>SCL</v>
      </c>
      <c r="C10130" s="33" t="str">
        <f t="shared" si="634"/>
        <v>70002-7355</v>
      </c>
      <c r="D10130" s="64" t="s">
        <v>11383</v>
      </c>
      <c r="E10130" s="64" t="s">
        <v>3272</v>
      </c>
      <c r="F10130" s="64" t="s">
        <v>15</v>
      </c>
      <c r="G10130" s="64" t="s">
        <v>3266</v>
      </c>
      <c r="H10130" s="64" t="s">
        <v>3267</v>
      </c>
      <c r="I10130" s="64" t="s">
        <v>3268</v>
      </c>
      <c r="J10130" s="67">
        <v>8500</v>
      </c>
      <c r="K10130" s="62">
        <v>85000</v>
      </c>
      <c r="L10130" s="33" t="e">
        <f>HLOOKUP(B10130,#REF!,1,0)</f>
        <v>#REF!</v>
      </c>
      <c r="M10130" s="33" t="str">
        <f t="shared" si="635"/>
        <v>P&amp;L</v>
      </c>
    </row>
    <row r="10131" spans="1:13">
      <c r="A10131" s="33" t="str">
        <f t="shared" si="632"/>
        <v>SCL - Facility</v>
      </c>
      <c r="B10131" s="33" t="str">
        <f t="shared" si="633"/>
        <v>SCL</v>
      </c>
      <c r="C10131" s="33" t="str">
        <f t="shared" si="634"/>
        <v>70002-7361</v>
      </c>
      <c r="D10131" s="64" t="s">
        <v>11384</v>
      </c>
      <c r="E10131" s="64" t="s">
        <v>3272</v>
      </c>
      <c r="F10131" s="64" t="s">
        <v>15</v>
      </c>
      <c r="G10131" s="64" t="s">
        <v>3266</v>
      </c>
      <c r="H10131" s="64" t="s">
        <v>3267</v>
      </c>
      <c r="I10131" s="64" t="s">
        <v>3268</v>
      </c>
      <c r="J10131" s="67">
        <v>10750</v>
      </c>
      <c r="K10131" s="62">
        <v>107500</v>
      </c>
      <c r="L10131" s="33" t="e">
        <f>HLOOKUP(B10131,#REF!,1,0)</f>
        <v>#REF!</v>
      </c>
      <c r="M10131" s="33" t="str">
        <f t="shared" si="635"/>
        <v>P&amp;L</v>
      </c>
    </row>
    <row r="10132" spans="1:13">
      <c r="A10132" s="33" t="str">
        <f t="shared" si="632"/>
        <v>SCL - Facility</v>
      </c>
      <c r="B10132" s="33" t="str">
        <f t="shared" si="633"/>
        <v>SCL</v>
      </c>
      <c r="C10132" s="33" t="str">
        <f t="shared" si="634"/>
        <v>70002-7364</v>
      </c>
      <c r="D10132" s="64" t="s">
        <v>11385</v>
      </c>
      <c r="E10132" s="64" t="s">
        <v>3272</v>
      </c>
      <c r="F10132" s="64" t="s">
        <v>15</v>
      </c>
      <c r="G10132" s="64" t="s">
        <v>3266</v>
      </c>
      <c r="H10132" s="64" t="s">
        <v>3267</v>
      </c>
      <c r="I10132" s="64" t="s">
        <v>3268</v>
      </c>
      <c r="J10132" s="67">
        <v>0</v>
      </c>
      <c r="K10132" s="62">
        <v>20000</v>
      </c>
      <c r="L10132" s="33" t="e">
        <f>HLOOKUP(B10132,#REF!,1,0)</f>
        <v>#REF!</v>
      </c>
      <c r="M10132" s="33" t="str">
        <f t="shared" si="635"/>
        <v>P&amp;L</v>
      </c>
    </row>
    <row r="10133" spans="1:13">
      <c r="A10133" s="33" t="str">
        <f t="shared" si="632"/>
        <v>SCL - Facility</v>
      </c>
      <c r="B10133" s="33" t="str">
        <f t="shared" si="633"/>
        <v>SCL</v>
      </c>
      <c r="C10133" s="33" t="str">
        <f t="shared" si="634"/>
        <v>70002-7365</v>
      </c>
      <c r="D10133" s="64" t="s">
        <v>11386</v>
      </c>
      <c r="E10133" s="64" t="s">
        <v>3272</v>
      </c>
      <c r="F10133" s="64" t="s">
        <v>15</v>
      </c>
      <c r="G10133" s="64" t="s">
        <v>3266</v>
      </c>
      <c r="H10133" s="64" t="s">
        <v>3267</v>
      </c>
      <c r="I10133" s="64" t="s">
        <v>3268</v>
      </c>
      <c r="J10133" s="67">
        <v>9000</v>
      </c>
      <c r="K10133" s="62">
        <v>90000</v>
      </c>
      <c r="L10133" s="33" t="e">
        <f>HLOOKUP(B10133,#REF!,1,0)</f>
        <v>#REF!</v>
      </c>
      <c r="M10133" s="33" t="str">
        <f t="shared" si="635"/>
        <v>P&amp;L</v>
      </c>
    </row>
    <row r="10134" spans="1:13">
      <c r="A10134" s="33" t="str">
        <f t="shared" si="632"/>
        <v>SCL - Facility</v>
      </c>
      <c r="B10134" s="33" t="str">
        <f t="shared" si="633"/>
        <v>SCL</v>
      </c>
      <c r="C10134" s="33" t="str">
        <f t="shared" si="634"/>
        <v>70002-7368</v>
      </c>
      <c r="D10134" s="64" t="s">
        <v>11387</v>
      </c>
      <c r="E10134" s="64" t="s">
        <v>3272</v>
      </c>
      <c r="F10134" s="64" t="s">
        <v>15</v>
      </c>
      <c r="G10134" s="64" t="s">
        <v>3266</v>
      </c>
      <c r="H10134" s="64" t="s">
        <v>3267</v>
      </c>
      <c r="I10134" s="64" t="s">
        <v>3268</v>
      </c>
      <c r="J10134" s="67">
        <v>10000</v>
      </c>
      <c r="K10134" s="62">
        <v>100000</v>
      </c>
      <c r="L10134" s="33" t="e">
        <f>HLOOKUP(B10134,#REF!,1,0)</f>
        <v>#REF!</v>
      </c>
      <c r="M10134" s="33" t="str">
        <f t="shared" si="635"/>
        <v>P&amp;L</v>
      </c>
    </row>
    <row r="10135" spans="1:13">
      <c r="A10135" s="33" t="str">
        <f t="shared" si="632"/>
        <v>SCL - Facility</v>
      </c>
      <c r="B10135" s="33" t="str">
        <f t="shared" si="633"/>
        <v>SCL</v>
      </c>
      <c r="C10135" s="33" t="str">
        <f t="shared" si="634"/>
        <v>70002-7400</v>
      </c>
      <c r="D10135" s="64" t="s">
        <v>11388</v>
      </c>
      <c r="E10135" s="64" t="s">
        <v>3272</v>
      </c>
      <c r="F10135" s="64" t="s">
        <v>15</v>
      </c>
      <c r="G10135" s="64" t="s">
        <v>3266</v>
      </c>
      <c r="H10135" s="64" t="s">
        <v>3267</v>
      </c>
      <c r="I10135" s="64" t="s">
        <v>3268</v>
      </c>
      <c r="J10135" s="67">
        <v>7250</v>
      </c>
      <c r="K10135" s="62">
        <v>72500</v>
      </c>
      <c r="L10135" s="33" t="e">
        <f>HLOOKUP(B10135,#REF!,1,0)</f>
        <v>#REF!</v>
      </c>
      <c r="M10135" s="33" t="str">
        <f t="shared" si="635"/>
        <v>P&amp;L</v>
      </c>
    </row>
    <row r="10136" spans="1:13">
      <c r="A10136" s="33" t="str">
        <f t="shared" si="632"/>
        <v>SCL - Facility</v>
      </c>
      <c r="B10136" s="33" t="str">
        <f t="shared" si="633"/>
        <v>SCL</v>
      </c>
      <c r="C10136" s="33" t="str">
        <f t="shared" si="634"/>
        <v>70002-7489</v>
      </c>
      <c r="D10136" s="64" t="s">
        <v>11389</v>
      </c>
      <c r="E10136" s="64" t="s">
        <v>3272</v>
      </c>
      <c r="F10136" s="64" t="s">
        <v>15</v>
      </c>
      <c r="G10136" s="64" t="s">
        <v>3266</v>
      </c>
      <c r="H10136" s="64" t="s">
        <v>3267</v>
      </c>
      <c r="I10136" s="64" t="s">
        <v>3268</v>
      </c>
      <c r="J10136" s="67">
        <v>21000</v>
      </c>
      <c r="K10136" s="62">
        <v>210000</v>
      </c>
      <c r="L10136" s="33" t="e">
        <f>HLOOKUP(B10136,#REF!,1,0)</f>
        <v>#REF!</v>
      </c>
      <c r="M10136" s="33" t="str">
        <f t="shared" si="635"/>
        <v>P&amp;L</v>
      </c>
    </row>
    <row r="10137" spans="1:13">
      <c r="A10137" s="33" t="str">
        <f t="shared" si="632"/>
        <v>SCL - Facility</v>
      </c>
      <c r="B10137" s="33" t="str">
        <f t="shared" si="633"/>
        <v>SCL</v>
      </c>
      <c r="C10137" s="33" t="str">
        <f t="shared" si="634"/>
        <v>70002-7493</v>
      </c>
      <c r="D10137" s="64" t="s">
        <v>11390</v>
      </c>
      <c r="E10137" s="64" t="s">
        <v>3272</v>
      </c>
      <c r="F10137" s="64" t="s">
        <v>15</v>
      </c>
      <c r="G10137" s="64" t="s">
        <v>3266</v>
      </c>
      <c r="H10137" s="64" t="s">
        <v>3267</v>
      </c>
      <c r="I10137" s="64" t="s">
        <v>3268</v>
      </c>
      <c r="J10137" s="67">
        <v>13000</v>
      </c>
      <c r="K10137" s="62">
        <v>130000</v>
      </c>
      <c r="L10137" s="33" t="e">
        <f>HLOOKUP(B10137,#REF!,1,0)</f>
        <v>#REF!</v>
      </c>
      <c r="M10137" s="33" t="str">
        <f t="shared" si="635"/>
        <v>P&amp;L</v>
      </c>
    </row>
    <row r="10138" spans="1:13">
      <c r="A10138" s="33" t="str">
        <f t="shared" si="632"/>
        <v>SCL - Facility</v>
      </c>
      <c r="B10138" s="33" t="str">
        <f t="shared" si="633"/>
        <v>SCL</v>
      </c>
      <c r="C10138" s="33" t="str">
        <f t="shared" si="634"/>
        <v>70002-7494</v>
      </c>
      <c r="D10138" s="64" t="s">
        <v>11391</v>
      </c>
      <c r="E10138" s="64" t="s">
        <v>3272</v>
      </c>
      <c r="F10138" s="64" t="s">
        <v>15</v>
      </c>
      <c r="G10138" s="64" t="s">
        <v>3266</v>
      </c>
      <c r="H10138" s="64" t="s">
        <v>3267</v>
      </c>
      <c r="I10138" s="64" t="s">
        <v>3268</v>
      </c>
      <c r="J10138" s="67">
        <v>12000</v>
      </c>
      <c r="K10138" s="62">
        <v>120000</v>
      </c>
      <c r="L10138" s="33" t="e">
        <f>HLOOKUP(B10138,#REF!,1,0)</f>
        <v>#REF!</v>
      </c>
      <c r="M10138" s="33" t="str">
        <f t="shared" si="635"/>
        <v>P&amp;L</v>
      </c>
    </row>
    <row r="10139" spans="1:13">
      <c r="A10139" s="33" t="str">
        <f t="shared" si="632"/>
        <v>SCL - Facility</v>
      </c>
      <c r="B10139" s="33" t="str">
        <f t="shared" si="633"/>
        <v>SCL</v>
      </c>
      <c r="C10139" s="33" t="str">
        <f t="shared" si="634"/>
        <v>70002-7625</v>
      </c>
      <c r="D10139" s="64" t="s">
        <v>11392</v>
      </c>
      <c r="E10139" s="64" t="s">
        <v>3272</v>
      </c>
      <c r="F10139" s="64" t="s">
        <v>15</v>
      </c>
      <c r="G10139" s="64" t="s">
        <v>3266</v>
      </c>
      <c r="H10139" s="64" t="s">
        <v>3267</v>
      </c>
      <c r="I10139" s="64" t="s">
        <v>3268</v>
      </c>
      <c r="J10139" s="67">
        <v>10500</v>
      </c>
      <c r="K10139" s="62">
        <v>105000</v>
      </c>
      <c r="L10139" s="33" t="e">
        <f>HLOOKUP(B10139,#REF!,1,0)</f>
        <v>#REF!</v>
      </c>
      <c r="M10139" s="33" t="str">
        <f t="shared" si="635"/>
        <v>P&amp;L</v>
      </c>
    </row>
    <row r="10140" spans="1:13">
      <c r="A10140" s="33" t="str">
        <f t="shared" si="632"/>
        <v>SCL - Facility</v>
      </c>
      <c r="B10140" s="33" t="str">
        <f t="shared" si="633"/>
        <v>SCL</v>
      </c>
      <c r="C10140" s="33" t="str">
        <f t="shared" si="634"/>
        <v>70002-8150</v>
      </c>
      <c r="D10140" s="64" t="s">
        <v>11393</v>
      </c>
      <c r="E10140" s="64" t="s">
        <v>3272</v>
      </c>
      <c r="F10140" s="64" t="s">
        <v>15</v>
      </c>
      <c r="G10140" s="64" t="s">
        <v>3266</v>
      </c>
      <c r="H10140" s="64" t="s">
        <v>3267</v>
      </c>
      <c r="I10140" s="64" t="s">
        <v>3268</v>
      </c>
      <c r="J10140" s="67">
        <v>10500</v>
      </c>
      <c r="K10140" s="62">
        <v>105000</v>
      </c>
      <c r="L10140" s="33" t="e">
        <f>HLOOKUP(B10140,#REF!,1,0)</f>
        <v>#REF!</v>
      </c>
      <c r="M10140" s="33" t="str">
        <f t="shared" si="635"/>
        <v>P&amp;L</v>
      </c>
    </row>
    <row r="10141" spans="1:13">
      <c r="A10141" s="33" t="str">
        <f t="shared" si="632"/>
        <v>SCL - Facility</v>
      </c>
      <c r="B10141" s="33" t="str">
        <f t="shared" si="633"/>
        <v>SCL</v>
      </c>
      <c r="C10141" s="33" t="str">
        <f t="shared" si="634"/>
        <v>70010-7359</v>
      </c>
      <c r="D10141" s="64" t="s">
        <v>11394</v>
      </c>
      <c r="E10141" s="64" t="s">
        <v>6800</v>
      </c>
      <c r="F10141" s="64" t="s">
        <v>15</v>
      </c>
      <c r="G10141" s="64" t="s">
        <v>3266</v>
      </c>
      <c r="H10141" s="64" t="s">
        <v>3267</v>
      </c>
      <c r="I10141" s="64" t="s">
        <v>6801</v>
      </c>
      <c r="J10141" s="67">
        <v>0</v>
      </c>
      <c r="K10141" s="62">
        <v>9001.97</v>
      </c>
      <c r="L10141" s="33" t="e">
        <f>HLOOKUP(B10141,#REF!,1,0)</f>
        <v>#REF!</v>
      </c>
      <c r="M10141" s="33" t="str">
        <f t="shared" si="635"/>
        <v>P&amp;L</v>
      </c>
    </row>
    <row r="10142" spans="1:13">
      <c r="A10142" s="33" t="str">
        <f t="shared" si="632"/>
        <v>SCL - Facility</v>
      </c>
      <c r="B10142" s="33" t="str">
        <f t="shared" si="633"/>
        <v>SCL</v>
      </c>
      <c r="C10142" s="33" t="str">
        <f t="shared" si="634"/>
        <v>70010-7376</v>
      </c>
      <c r="D10142" s="64" t="s">
        <v>11395</v>
      </c>
      <c r="E10142" s="64" t="s">
        <v>6800</v>
      </c>
      <c r="F10142" s="64" t="s">
        <v>15</v>
      </c>
      <c r="G10142" s="64" t="s">
        <v>3266</v>
      </c>
      <c r="H10142" s="64" t="s">
        <v>3267</v>
      </c>
      <c r="I10142" s="64" t="s">
        <v>6801</v>
      </c>
      <c r="J10142" s="67">
        <v>0</v>
      </c>
      <c r="K10142" s="62">
        <v>20695.31</v>
      </c>
      <c r="L10142" s="33" t="e">
        <f>HLOOKUP(B10142,#REF!,1,0)</f>
        <v>#REF!</v>
      </c>
      <c r="M10142" s="33" t="str">
        <f t="shared" si="635"/>
        <v>P&amp;L</v>
      </c>
    </row>
    <row r="10143" spans="1:13">
      <c r="A10143" s="33" t="str">
        <f t="shared" si="632"/>
        <v>SCL - Facility</v>
      </c>
      <c r="B10143" s="33" t="str">
        <f t="shared" si="633"/>
        <v>SCL</v>
      </c>
      <c r="C10143" s="33" t="str">
        <f t="shared" si="634"/>
        <v>70010-7402</v>
      </c>
      <c r="D10143" s="64" t="s">
        <v>11396</v>
      </c>
      <c r="E10143" s="64" t="s">
        <v>6800</v>
      </c>
      <c r="F10143" s="64" t="s">
        <v>15</v>
      </c>
      <c r="G10143" s="64" t="s">
        <v>3266</v>
      </c>
      <c r="H10143" s="64" t="s">
        <v>3267</v>
      </c>
      <c r="I10143" s="64" t="s">
        <v>6801</v>
      </c>
      <c r="J10143" s="67">
        <v>0</v>
      </c>
      <c r="K10143" s="62">
        <v>18171.87</v>
      </c>
      <c r="L10143" s="33" t="e">
        <f>HLOOKUP(B10143,#REF!,1,0)</f>
        <v>#REF!</v>
      </c>
      <c r="M10143" s="33" t="str">
        <f t="shared" si="635"/>
        <v>P&amp;L</v>
      </c>
    </row>
    <row r="10144" spans="1:13">
      <c r="A10144" s="33" t="str">
        <f t="shared" si="632"/>
        <v>SCL - Facility</v>
      </c>
      <c r="B10144" s="33" t="str">
        <f t="shared" si="633"/>
        <v>SCL</v>
      </c>
      <c r="C10144" s="33" t="str">
        <f t="shared" si="634"/>
        <v>71001-7351</v>
      </c>
      <c r="D10144" s="64" t="s">
        <v>11397</v>
      </c>
      <c r="E10144" s="64" t="s">
        <v>3274</v>
      </c>
      <c r="F10144" s="64" t="s">
        <v>15</v>
      </c>
      <c r="G10144" s="64" t="s">
        <v>3266</v>
      </c>
      <c r="H10144" s="64" t="s">
        <v>3267</v>
      </c>
      <c r="I10144" s="64" t="s">
        <v>3275</v>
      </c>
      <c r="J10144" s="67">
        <v>208.33</v>
      </c>
      <c r="K10144" s="62">
        <v>2083.3</v>
      </c>
      <c r="L10144" s="33" t="e">
        <f>HLOOKUP(B10144,#REF!,1,0)</f>
        <v>#REF!</v>
      </c>
      <c r="M10144" s="33" t="str">
        <f t="shared" si="635"/>
        <v>P&amp;L</v>
      </c>
    </row>
    <row r="10145" spans="1:13">
      <c r="A10145" s="33" t="str">
        <f t="shared" si="632"/>
        <v>SCL - Facility</v>
      </c>
      <c r="B10145" s="33" t="str">
        <f t="shared" si="633"/>
        <v>SCL</v>
      </c>
      <c r="C10145" s="33" t="str">
        <f t="shared" si="634"/>
        <v>71001-7360</v>
      </c>
      <c r="D10145" s="64" t="s">
        <v>11398</v>
      </c>
      <c r="E10145" s="64" t="s">
        <v>3274</v>
      </c>
      <c r="F10145" s="64" t="s">
        <v>15</v>
      </c>
      <c r="G10145" s="64" t="s">
        <v>3266</v>
      </c>
      <c r="H10145" s="64" t="s">
        <v>3267</v>
      </c>
      <c r="I10145" s="64" t="s">
        <v>3275</v>
      </c>
      <c r="J10145" s="67">
        <v>208.33</v>
      </c>
      <c r="K10145" s="62">
        <v>2083.3</v>
      </c>
      <c r="L10145" s="33" t="e">
        <f>HLOOKUP(B10145,#REF!,1,0)</f>
        <v>#REF!</v>
      </c>
      <c r="M10145" s="33" t="str">
        <f t="shared" si="635"/>
        <v>P&amp;L</v>
      </c>
    </row>
    <row r="10146" spans="1:13">
      <c r="A10146" s="33" t="str">
        <f t="shared" si="632"/>
        <v>SCL - Facility</v>
      </c>
      <c r="B10146" s="33" t="str">
        <f t="shared" si="633"/>
        <v>SCL</v>
      </c>
      <c r="C10146" s="33" t="str">
        <f t="shared" si="634"/>
        <v>71001-7362</v>
      </c>
      <c r="D10146" s="64" t="s">
        <v>11399</v>
      </c>
      <c r="E10146" s="64" t="s">
        <v>3274</v>
      </c>
      <c r="F10146" s="64" t="s">
        <v>15</v>
      </c>
      <c r="G10146" s="64" t="s">
        <v>3266</v>
      </c>
      <c r="H10146" s="64" t="s">
        <v>3267</v>
      </c>
      <c r="I10146" s="64" t="s">
        <v>3275</v>
      </c>
      <c r="J10146" s="67">
        <v>208.33</v>
      </c>
      <c r="K10146" s="62">
        <v>2083.3</v>
      </c>
      <c r="L10146" s="33" t="e">
        <f>HLOOKUP(B10146,#REF!,1,0)</f>
        <v>#REF!</v>
      </c>
      <c r="M10146" s="33" t="str">
        <f t="shared" si="635"/>
        <v>P&amp;L</v>
      </c>
    </row>
    <row r="10147" spans="1:13">
      <c r="A10147" s="33" t="str">
        <f t="shared" si="632"/>
        <v>SCL - Facility</v>
      </c>
      <c r="B10147" s="33" t="str">
        <f t="shared" si="633"/>
        <v>SCL</v>
      </c>
      <c r="C10147" s="33" t="str">
        <f t="shared" si="634"/>
        <v>71001-7363</v>
      </c>
      <c r="D10147" s="64" t="s">
        <v>11400</v>
      </c>
      <c r="E10147" s="64" t="s">
        <v>3274</v>
      </c>
      <c r="F10147" s="64" t="s">
        <v>15</v>
      </c>
      <c r="G10147" s="64" t="s">
        <v>3266</v>
      </c>
      <c r="H10147" s="64" t="s">
        <v>3267</v>
      </c>
      <c r="I10147" s="64" t="s">
        <v>3275</v>
      </c>
      <c r="J10147" s="67">
        <v>208.33</v>
      </c>
      <c r="K10147" s="62">
        <v>2083.3</v>
      </c>
      <c r="L10147" s="33" t="e">
        <f>HLOOKUP(B10147,#REF!,1,0)</f>
        <v>#REF!</v>
      </c>
      <c r="M10147" s="33" t="str">
        <f t="shared" si="635"/>
        <v>P&amp;L</v>
      </c>
    </row>
    <row r="10148" spans="1:13">
      <c r="A10148" s="33" t="str">
        <f t="shared" si="632"/>
        <v>SCL - Facility</v>
      </c>
      <c r="B10148" s="33" t="str">
        <f t="shared" si="633"/>
        <v>SCL</v>
      </c>
      <c r="C10148" s="33" t="str">
        <f t="shared" si="634"/>
        <v>71001-7366</v>
      </c>
      <c r="D10148" s="64" t="s">
        <v>11401</v>
      </c>
      <c r="E10148" s="64" t="s">
        <v>3274</v>
      </c>
      <c r="F10148" s="64" t="s">
        <v>15</v>
      </c>
      <c r="G10148" s="64" t="s">
        <v>3266</v>
      </c>
      <c r="H10148" s="64" t="s">
        <v>3267</v>
      </c>
      <c r="I10148" s="64" t="s">
        <v>3275</v>
      </c>
      <c r="J10148" s="67">
        <v>1430.79</v>
      </c>
      <c r="K10148" s="62">
        <v>11839.38</v>
      </c>
      <c r="L10148" s="33" t="e">
        <f>HLOOKUP(B10148,#REF!,1,0)</f>
        <v>#REF!</v>
      </c>
      <c r="M10148" s="33" t="str">
        <f t="shared" si="635"/>
        <v>P&amp;L</v>
      </c>
    </row>
    <row r="10149" spans="1:13">
      <c r="A10149" s="33" t="str">
        <f t="shared" si="632"/>
        <v>SCL - Facility</v>
      </c>
      <c r="B10149" s="33" t="str">
        <f t="shared" si="633"/>
        <v>SCL</v>
      </c>
      <c r="C10149" s="33" t="str">
        <f t="shared" si="634"/>
        <v>71001-7369</v>
      </c>
      <c r="D10149" s="64" t="s">
        <v>11402</v>
      </c>
      <c r="E10149" s="64" t="s">
        <v>3274</v>
      </c>
      <c r="F10149" s="64" t="s">
        <v>15</v>
      </c>
      <c r="G10149" s="64" t="s">
        <v>3266</v>
      </c>
      <c r="H10149" s="64" t="s">
        <v>3267</v>
      </c>
      <c r="I10149" s="64" t="s">
        <v>3275</v>
      </c>
      <c r="J10149" s="67">
        <v>208.33</v>
      </c>
      <c r="K10149" s="62">
        <v>2083.3</v>
      </c>
      <c r="L10149" s="33" t="e">
        <f>HLOOKUP(B10149,#REF!,1,0)</f>
        <v>#REF!</v>
      </c>
      <c r="M10149" s="33" t="str">
        <f t="shared" si="635"/>
        <v>P&amp;L</v>
      </c>
    </row>
    <row r="10150" spans="1:13">
      <c r="A10150" s="33" t="str">
        <f t="shared" si="632"/>
        <v>SCL - Facility</v>
      </c>
      <c r="B10150" s="33" t="str">
        <f t="shared" si="633"/>
        <v>SCL</v>
      </c>
      <c r="C10150" s="33" t="str">
        <f t="shared" si="634"/>
        <v>71001-7371</v>
      </c>
      <c r="D10150" s="64" t="s">
        <v>11403</v>
      </c>
      <c r="E10150" s="64" t="s">
        <v>3274</v>
      </c>
      <c r="F10150" s="64" t="s">
        <v>15</v>
      </c>
      <c r="G10150" s="64" t="s">
        <v>3266</v>
      </c>
      <c r="H10150" s="64" t="s">
        <v>3267</v>
      </c>
      <c r="I10150" s="64" t="s">
        <v>3275</v>
      </c>
      <c r="J10150" s="67">
        <v>208.33</v>
      </c>
      <c r="K10150" s="62">
        <v>2083.3</v>
      </c>
      <c r="L10150" s="33" t="e">
        <f>HLOOKUP(B10150,#REF!,1,0)</f>
        <v>#REF!</v>
      </c>
      <c r="M10150" s="33" t="str">
        <f t="shared" si="635"/>
        <v>P&amp;L</v>
      </c>
    </row>
    <row r="10151" spans="1:13">
      <c r="A10151" s="33" t="str">
        <f t="shared" si="632"/>
        <v>SCL - Facility</v>
      </c>
      <c r="B10151" s="33" t="str">
        <f t="shared" si="633"/>
        <v>SCL</v>
      </c>
      <c r="C10151" s="33" t="str">
        <f t="shared" si="634"/>
        <v>71001-7374</v>
      </c>
      <c r="D10151" s="64" t="s">
        <v>11404</v>
      </c>
      <c r="E10151" s="64" t="s">
        <v>3274</v>
      </c>
      <c r="F10151" s="64" t="s">
        <v>15</v>
      </c>
      <c r="G10151" s="64" t="s">
        <v>3266</v>
      </c>
      <c r="H10151" s="64" t="s">
        <v>3267</v>
      </c>
      <c r="I10151" s="64" t="s">
        <v>3275</v>
      </c>
      <c r="J10151" s="67">
        <v>2598.14</v>
      </c>
      <c r="K10151" s="62">
        <v>26593.97</v>
      </c>
      <c r="L10151" s="33" t="e">
        <f>HLOOKUP(B10151,#REF!,1,0)</f>
        <v>#REF!</v>
      </c>
      <c r="M10151" s="33" t="str">
        <f t="shared" si="635"/>
        <v>P&amp;L</v>
      </c>
    </row>
    <row r="10152" spans="1:13">
      <c r="A10152" s="33" t="str">
        <f t="shared" si="632"/>
        <v>SCL - Facility</v>
      </c>
      <c r="B10152" s="33" t="str">
        <f t="shared" si="633"/>
        <v>SCL</v>
      </c>
      <c r="C10152" s="33" t="str">
        <f t="shared" si="634"/>
        <v>71001-7375</v>
      </c>
      <c r="D10152" s="64" t="s">
        <v>11405</v>
      </c>
      <c r="E10152" s="64" t="s">
        <v>3274</v>
      </c>
      <c r="F10152" s="64" t="s">
        <v>15</v>
      </c>
      <c r="G10152" s="64" t="s">
        <v>3266</v>
      </c>
      <c r="H10152" s="64" t="s">
        <v>3267</v>
      </c>
      <c r="I10152" s="64" t="s">
        <v>3275</v>
      </c>
      <c r="J10152" s="67">
        <v>208.33</v>
      </c>
      <c r="K10152" s="62">
        <v>2083.3</v>
      </c>
      <c r="L10152" s="33" t="e">
        <f>HLOOKUP(B10152,#REF!,1,0)</f>
        <v>#REF!</v>
      </c>
      <c r="M10152" s="33" t="str">
        <f t="shared" si="635"/>
        <v>P&amp;L</v>
      </c>
    </row>
    <row r="10153" spans="1:13">
      <c r="A10153" s="33" t="str">
        <f t="shared" si="632"/>
        <v>SCL - Facility</v>
      </c>
      <c r="B10153" s="33" t="str">
        <f t="shared" si="633"/>
        <v>SCL</v>
      </c>
      <c r="C10153" s="33" t="str">
        <f t="shared" si="634"/>
        <v>71001-7376</v>
      </c>
      <c r="D10153" s="64" t="s">
        <v>11406</v>
      </c>
      <c r="E10153" s="64" t="s">
        <v>3274</v>
      </c>
      <c r="F10153" s="64" t="s">
        <v>15</v>
      </c>
      <c r="G10153" s="64" t="s">
        <v>3266</v>
      </c>
      <c r="H10153" s="64" t="s">
        <v>3267</v>
      </c>
      <c r="I10153" s="64" t="s">
        <v>3275</v>
      </c>
      <c r="J10153" s="67">
        <v>208.33</v>
      </c>
      <c r="K10153" s="62">
        <v>2083.3</v>
      </c>
      <c r="L10153" s="33" t="e">
        <f>HLOOKUP(B10153,#REF!,1,0)</f>
        <v>#REF!</v>
      </c>
      <c r="M10153" s="33" t="str">
        <f t="shared" si="635"/>
        <v>P&amp;L</v>
      </c>
    </row>
    <row r="10154" spans="1:13">
      <c r="A10154" s="33" t="str">
        <f t="shared" si="632"/>
        <v>SCL - Facility</v>
      </c>
      <c r="B10154" s="33" t="str">
        <f t="shared" si="633"/>
        <v>SCL</v>
      </c>
      <c r="C10154" s="33" t="str">
        <f t="shared" si="634"/>
        <v>71001-7377</v>
      </c>
      <c r="D10154" s="64" t="s">
        <v>11407</v>
      </c>
      <c r="E10154" s="64" t="s">
        <v>3274</v>
      </c>
      <c r="F10154" s="64" t="s">
        <v>15</v>
      </c>
      <c r="G10154" s="64" t="s">
        <v>3266</v>
      </c>
      <c r="H10154" s="64" t="s">
        <v>3267</v>
      </c>
      <c r="I10154" s="64" t="s">
        <v>3275</v>
      </c>
      <c r="J10154" s="67">
        <v>208.33</v>
      </c>
      <c r="K10154" s="62">
        <v>2083.3</v>
      </c>
      <c r="L10154" s="33" t="e">
        <f>HLOOKUP(B10154,#REF!,1,0)</f>
        <v>#REF!</v>
      </c>
      <c r="M10154" s="33" t="str">
        <f t="shared" si="635"/>
        <v>P&amp;L</v>
      </c>
    </row>
    <row r="10155" spans="1:13">
      <c r="A10155" s="33" t="str">
        <f t="shared" si="632"/>
        <v>SCL - Facility</v>
      </c>
      <c r="B10155" s="33" t="str">
        <f t="shared" si="633"/>
        <v>SCL</v>
      </c>
      <c r="C10155" s="33" t="str">
        <f t="shared" si="634"/>
        <v>71001-7378</v>
      </c>
      <c r="D10155" s="64" t="s">
        <v>11408</v>
      </c>
      <c r="E10155" s="64" t="s">
        <v>3274</v>
      </c>
      <c r="F10155" s="64" t="s">
        <v>15</v>
      </c>
      <c r="G10155" s="64" t="s">
        <v>3266</v>
      </c>
      <c r="H10155" s="64" t="s">
        <v>3267</v>
      </c>
      <c r="I10155" s="64" t="s">
        <v>3275</v>
      </c>
      <c r="J10155" s="67">
        <v>208.33</v>
      </c>
      <c r="K10155" s="62">
        <v>2083.3</v>
      </c>
      <c r="L10155" s="33" t="e">
        <f>HLOOKUP(B10155,#REF!,1,0)</f>
        <v>#REF!</v>
      </c>
      <c r="M10155" s="33" t="str">
        <f t="shared" si="635"/>
        <v>P&amp;L</v>
      </c>
    </row>
    <row r="10156" spans="1:13">
      <c r="A10156" s="33" t="str">
        <f t="shared" si="632"/>
        <v>SCL - Facility</v>
      </c>
      <c r="B10156" s="33" t="str">
        <f t="shared" si="633"/>
        <v>SCL</v>
      </c>
      <c r="C10156" s="33" t="str">
        <f t="shared" si="634"/>
        <v>71001-7379</v>
      </c>
      <c r="D10156" s="64" t="s">
        <v>11409</v>
      </c>
      <c r="E10156" s="64" t="s">
        <v>3274</v>
      </c>
      <c r="F10156" s="64" t="s">
        <v>15</v>
      </c>
      <c r="G10156" s="64" t="s">
        <v>3266</v>
      </c>
      <c r="H10156" s="64" t="s">
        <v>3267</v>
      </c>
      <c r="I10156" s="64" t="s">
        <v>3275</v>
      </c>
      <c r="J10156" s="67">
        <v>208.33</v>
      </c>
      <c r="K10156" s="62">
        <v>2083.3</v>
      </c>
      <c r="L10156" s="33" t="e">
        <f>HLOOKUP(B10156,#REF!,1,0)</f>
        <v>#REF!</v>
      </c>
      <c r="M10156" s="33" t="str">
        <f t="shared" si="635"/>
        <v>P&amp;L</v>
      </c>
    </row>
    <row r="10157" spans="1:13">
      <c r="A10157" s="33" t="str">
        <f t="shared" si="632"/>
        <v>SCL - Facility</v>
      </c>
      <c r="B10157" s="33" t="str">
        <f t="shared" si="633"/>
        <v>SCL</v>
      </c>
      <c r="C10157" s="33" t="str">
        <f t="shared" si="634"/>
        <v>71001-7381</v>
      </c>
      <c r="D10157" s="64" t="s">
        <v>11410</v>
      </c>
      <c r="E10157" s="64" t="s">
        <v>3274</v>
      </c>
      <c r="F10157" s="64" t="s">
        <v>15</v>
      </c>
      <c r="G10157" s="64" t="s">
        <v>3266</v>
      </c>
      <c r="H10157" s="64" t="s">
        <v>3267</v>
      </c>
      <c r="I10157" s="64" t="s">
        <v>3275</v>
      </c>
      <c r="J10157" s="67">
        <v>2365</v>
      </c>
      <c r="K10157" s="62">
        <v>23650</v>
      </c>
      <c r="L10157" s="33" t="e">
        <f>HLOOKUP(B10157,#REF!,1,0)</f>
        <v>#REF!</v>
      </c>
      <c r="M10157" s="33" t="str">
        <f t="shared" si="635"/>
        <v>P&amp;L</v>
      </c>
    </row>
    <row r="10158" spans="1:13">
      <c r="A10158" s="33" t="str">
        <f t="shared" si="632"/>
        <v>SCL - Facility</v>
      </c>
      <c r="B10158" s="33" t="str">
        <f t="shared" si="633"/>
        <v>SCL</v>
      </c>
      <c r="C10158" s="33" t="str">
        <f t="shared" si="634"/>
        <v>71001-7383</v>
      </c>
      <c r="D10158" s="64" t="s">
        <v>11411</v>
      </c>
      <c r="E10158" s="64" t="s">
        <v>3274</v>
      </c>
      <c r="F10158" s="64" t="s">
        <v>15</v>
      </c>
      <c r="G10158" s="64" t="s">
        <v>3266</v>
      </c>
      <c r="H10158" s="64" t="s">
        <v>3267</v>
      </c>
      <c r="I10158" s="64" t="s">
        <v>3275</v>
      </c>
      <c r="J10158" s="67">
        <v>5175.66</v>
      </c>
      <c r="K10158" s="62">
        <v>12727.65</v>
      </c>
      <c r="L10158" s="33" t="e">
        <f>HLOOKUP(B10158,#REF!,1,0)</f>
        <v>#REF!</v>
      </c>
      <c r="M10158" s="33" t="str">
        <f t="shared" si="635"/>
        <v>P&amp;L</v>
      </c>
    </row>
    <row r="10159" spans="1:13">
      <c r="A10159" s="33" t="str">
        <f t="shared" si="632"/>
        <v>SCL - Facility</v>
      </c>
      <c r="B10159" s="33" t="str">
        <f t="shared" si="633"/>
        <v>SCL</v>
      </c>
      <c r="C10159" s="33" t="str">
        <f t="shared" si="634"/>
        <v>71001-7385</v>
      </c>
      <c r="D10159" s="64" t="s">
        <v>11412</v>
      </c>
      <c r="E10159" s="64" t="s">
        <v>3274</v>
      </c>
      <c r="F10159" s="64" t="s">
        <v>15</v>
      </c>
      <c r="G10159" s="64" t="s">
        <v>3266</v>
      </c>
      <c r="H10159" s="64" t="s">
        <v>3267</v>
      </c>
      <c r="I10159" s="64" t="s">
        <v>3275</v>
      </c>
      <c r="J10159" s="67">
        <v>1176</v>
      </c>
      <c r="K10159" s="62">
        <v>11760</v>
      </c>
      <c r="L10159" s="33" t="e">
        <f>HLOOKUP(B10159,#REF!,1,0)</f>
        <v>#REF!</v>
      </c>
      <c r="M10159" s="33" t="str">
        <f t="shared" si="635"/>
        <v>P&amp;L</v>
      </c>
    </row>
    <row r="10160" spans="1:13">
      <c r="A10160" s="33" t="str">
        <f t="shared" si="632"/>
        <v>SCL - Facility</v>
      </c>
      <c r="B10160" s="33" t="str">
        <f t="shared" si="633"/>
        <v>SCL</v>
      </c>
      <c r="C10160" s="33" t="str">
        <f t="shared" si="634"/>
        <v>71001-7386</v>
      </c>
      <c r="D10160" s="64" t="s">
        <v>11413</v>
      </c>
      <c r="E10160" s="64" t="s">
        <v>3274</v>
      </c>
      <c r="F10160" s="64" t="s">
        <v>15</v>
      </c>
      <c r="G10160" s="64" t="s">
        <v>3266</v>
      </c>
      <c r="H10160" s="64" t="s">
        <v>3267</v>
      </c>
      <c r="I10160" s="64" t="s">
        <v>3275</v>
      </c>
      <c r="J10160" s="67">
        <v>0</v>
      </c>
      <c r="K10160" s="62">
        <v>16350</v>
      </c>
      <c r="L10160" s="33" t="e">
        <f>HLOOKUP(B10160,#REF!,1,0)</f>
        <v>#REF!</v>
      </c>
      <c r="M10160" s="33" t="str">
        <f t="shared" si="635"/>
        <v>P&amp;L</v>
      </c>
    </row>
    <row r="10161" spans="1:13">
      <c r="A10161" s="33" t="str">
        <f t="shared" si="632"/>
        <v>SCL - Facility</v>
      </c>
      <c r="B10161" s="33" t="str">
        <f t="shared" si="633"/>
        <v>SCL</v>
      </c>
      <c r="C10161" s="33" t="str">
        <f t="shared" si="634"/>
        <v>71001-7387</v>
      </c>
      <c r="D10161" s="64" t="s">
        <v>11414</v>
      </c>
      <c r="E10161" s="64" t="s">
        <v>3274</v>
      </c>
      <c r="F10161" s="64" t="s">
        <v>15</v>
      </c>
      <c r="G10161" s="64" t="s">
        <v>3266</v>
      </c>
      <c r="H10161" s="64" t="s">
        <v>3267</v>
      </c>
      <c r="I10161" s="64" t="s">
        <v>3275</v>
      </c>
      <c r="J10161" s="67">
        <v>1043.9</v>
      </c>
      <c r="K10161" s="62">
        <v>11794.74</v>
      </c>
      <c r="L10161" s="33" t="e">
        <f>HLOOKUP(B10161,#REF!,1,0)</f>
        <v>#REF!</v>
      </c>
      <c r="M10161" s="33" t="str">
        <f t="shared" si="635"/>
        <v>P&amp;L</v>
      </c>
    </row>
    <row r="10162" spans="1:13">
      <c r="A10162" s="33" t="str">
        <f t="shared" si="632"/>
        <v>SCL - Facility</v>
      </c>
      <c r="B10162" s="33" t="str">
        <f t="shared" si="633"/>
        <v>SCL</v>
      </c>
      <c r="C10162" s="33" t="str">
        <f t="shared" si="634"/>
        <v>71001-7389</v>
      </c>
      <c r="D10162" s="64" t="s">
        <v>11415</v>
      </c>
      <c r="E10162" s="64" t="s">
        <v>3274</v>
      </c>
      <c r="F10162" s="64" t="s">
        <v>15</v>
      </c>
      <c r="G10162" s="64" t="s">
        <v>3266</v>
      </c>
      <c r="H10162" s="64" t="s">
        <v>3267</v>
      </c>
      <c r="I10162" s="64" t="s">
        <v>3275</v>
      </c>
      <c r="J10162" s="67">
        <v>208.33</v>
      </c>
      <c r="K10162" s="62">
        <v>2083.3</v>
      </c>
      <c r="L10162" s="33" t="e">
        <f>HLOOKUP(B10162,#REF!,1,0)</f>
        <v>#REF!</v>
      </c>
      <c r="M10162" s="33" t="str">
        <f t="shared" si="635"/>
        <v>P&amp;L</v>
      </c>
    </row>
    <row r="10163" spans="1:13">
      <c r="A10163" s="33" t="str">
        <f t="shared" si="632"/>
        <v>SCL - Facility</v>
      </c>
      <c r="B10163" s="33" t="str">
        <f t="shared" si="633"/>
        <v>SCL</v>
      </c>
      <c r="C10163" s="33" t="str">
        <f t="shared" si="634"/>
        <v>71001-7391</v>
      </c>
      <c r="D10163" s="64" t="s">
        <v>11416</v>
      </c>
      <c r="E10163" s="64" t="s">
        <v>3274</v>
      </c>
      <c r="F10163" s="64" t="s">
        <v>15</v>
      </c>
      <c r="G10163" s="64" t="s">
        <v>3266</v>
      </c>
      <c r="H10163" s="64" t="s">
        <v>3267</v>
      </c>
      <c r="I10163" s="64" t="s">
        <v>3275</v>
      </c>
      <c r="J10163" s="67">
        <v>450.36</v>
      </c>
      <c r="K10163" s="62">
        <v>4913.91</v>
      </c>
      <c r="L10163" s="33" t="e">
        <f>HLOOKUP(B10163,#REF!,1,0)</f>
        <v>#REF!</v>
      </c>
      <c r="M10163" s="33" t="str">
        <f t="shared" si="635"/>
        <v>P&amp;L</v>
      </c>
    </row>
    <row r="10164" spans="1:13">
      <c r="A10164" s="33" t="str">
        <f t="shared" si="632"/>
        <v>SCL - Facility</v>
      </c>
      <c r="B10164" s="33" t="str">
        <f t="shared" si="633"/>
        <v>SCL</v>
      </c>
      <c r="C10164" s="33" t="str">
        <f t="shared" si="634"/>
        <v>71001-7393</v>
      </c>
      <c r="D10164" s="64" t="s">
        <v>11417</v>
      </c>
      <c r="E10164" s="64" t="s">
        <v>3274</v>
      </c>
      <c r="F10164" s="64" t="s">
        <v>15</v>
      </c>
      <c r="G10164" s="64" t="s">
        <v>3266</v>
      </c>
      <c r="H10164" s="64" t="s">
        <v>3267</v>
      </c>
      <c r="I10164" s="64" t="s">
        <v>3275</v>
      </c>
      <c r="J10164" s="67">
        <v>0</v>
      </c>
      <c r="K10164" s="62">
        <v>7262.2</v>
      </c>
      <c r="L10164" s="33" t="e">
        <f>HLOOKUP(B10164,#REF!,1,0)</f>
        <v>#REF!</v>
      </c>
      <c r="M10164" s="33" t="str">
        <f t="shared" si="635"/>
        <v>P&amp;L</v>
      </c>
    </row>
    <row r="10165" spans="1:13">
      <c r="A10165" s="33" t="str">
        <f t="shared" si="632"/>
        <v>SCL - Facility</v>
      </c>
      <c r="B10165" s="33" t="str">
        <f t="shared" si="633"/>
        <v>SCL</v>
      </c>
      <c r="C10165" s="33" t="str">
        <f t="shared" si="634"/>
        <v>71001-7394</v>
      </c>
      <c r="D10165" s="64" t="s">
        <v>11418</v>
      </c>
      <c r="E10165" s="64" t="s">
        <v>3274</v>
      </c>
      <c r="F10165" s="64" t="s">
        <v>15</v>
      </c>
      <c r="G10165" s="64" t="s">
        <v>3266</v>
      </c>
      <c r="H10165" s="64" t="s">
        <v>3267</v>
      </c>
      <c r="I10165" s="64" t="s">
        <v>3275</v>
      </c>
      <c r="J10165" s="67">
        <v>5677.85</v>
      </c>
      <c r="K10165" s="62">
        <v>82226.97</v>
      </c>
      <c r="L10165" s="33" t="e">
        <f>HLOOKUP(B10165,#REF!,1,0)</f>
        <v>#REF!</v>
      </c>
      <c r="M10165" s="33" t="str">
        <f t="shared" si="635"/>
        <v>P&amp;L</v>
      </c>
    </row>
    <row r="10166" spans="1:13">
      <c r="A10166" s="33" t="str">
        <f t="shared" si="632"/>
        <v>SCL - Facility</v>
      </c>
      <c r="B10166" s="33" t="str">
        <f t="shared" si="633"/>
        <v>SCL</v>
      </c>
      <c r="C10166" s="33" t="str">
        <f t="shared" si="634"/>
        <v>71001-7396</v>
      </c>
      <c r="D10166" s="64" t="s">
        <v>11419</v>
      </c>
      <c r="E10166" s="64" t="s">
        <v>3274</v>
      </c>
      <c r="F10166" s="64" t="s">
        <v>15</v>
      </c>
      <c r="G10166" s="64" t="s">
        <v>3266</v>
      </c>
      <c r="H10166" s="64" t="s">
        <v>3267</v>
      </c>
      <c r="I10166" s="64" t="s">
        <v>3275</v>
      </c>
      <c r="J10166" s="67">
        <v>208.33</v>
      </c>
      <c r="K10166" s="62">
        <v>2083.3</v>
      </c>
      <c r="L10166" s="33" t="e">
        <f>HLOOKUP(B10166,#REF!,1,0)</f>
        <v>#REF!</v>
      </c>
      <c r="M10166" s="33" t="str">
        <f t="shared" si="635"/>
        <v>P&amp;L</v>
      </c>
    </row>
    <row r="10167" spans="1:13">
      <c r="A10167" s="33" t="str">
        <f t="shared" si="632"/>
        <v>SCL - Facility</v>
      </c>
      <c r="B10167" s="33" t="str">
        <f t="shared" si="633"/>
        <v>SCL</v>
      </c>
      <c r="C10167" s="33" t="str">
        <f t="shared" si="634"/>
        <v>71001-7398</v>
      </c>
      <c r="D10167" s="64" t="s">
        <v>11420</v>
      </c>
      <c r="E10167" s="64" t="s">
        <v>3274</v>
      </c>
      <c r="F10167" s="64" t="s">
        <v>15</v>
      </c>
      <c r="G10167" s="64" t="s">
        <v>3266</v>
      </c>
      <c r="H10167" s="64" t="s">
        <v>3267</v>
      </c>
      <c r="I10167" s="64" t="s">
        <v>3275</v>
      </c>
      <c r="J10167" s="67">
        <v>208.33</v>
      </c>
      <c r="K10167" s="62">
        <v>1666.64</v>
      </c>
      <c r="L10167" s="33" t="e">
        <f>HLOOKUP(B10167,#REF!,1,0)</f>
        <v>#REF!</v>
      </c>
      <c r="M10167" s="33" t="str">
        <f t="shared" si="635"/>
        <v>P&amp;L</v>
      </c>
    </row>
    <row r="10168" spans="1:13">
      <c r="A10168" s="33" t="str">
        <f t="shared" si="632"/>
        <v>SCL - Facility</v>
      </c>
      <c r="B10168" s="33" t="str">
        <f t="shared" si="633"/>
        <v>SCL</v>
      </c>
      <c r="C10168" s="33" t="str">
        <f t="shared" si="634"/>
        <v>71001-7401</v>
      </c>
      <c r="D10168" s="64" t="s">
        <v>11421</v>
      </c>
      <c r="E10168" s="64" t="s">
        <v>3274</v>
      </c>
      <c r="F10168" s="64" t="s">
        <v>15</v>
      </c>
      <c r="G10168" s="64" t="s">
        <v>3266</v>
      </c>
      <c r="H10168" s="64" t="s">
        <v>3267</v>
      </c>
      <c r="I10168" s="64" t="s">
        <v>3275</v>
      </c>
      <c r="J10168" s="67">
        <v>208.33</v>
      </c>
      <c r="K10168" s="62">
        <v>9500.49</v>
      </c>
      <c r="L10168" s="33" t="e">
        <f>HLOOKUP(B10168,#REF!,1,0)</f>
        <v>#REF!</v>
      </c>
      <c r="M10168" s="33" t="str">
        <f t="shared" si="635"/>
        <v>P&amp;L</v>
      </c>
    </row>
    <row r="10169" spans="1:13">
      <c r="A10169" s="33" t="str">
        <f t="shared" si="632"/>
        <v>SCL - Facility</v>
      </c>
      <c r="B10169" s="33" t="str">
        <f t="shared" si="633"/>
        <v>SCL</v>
      </c>
      <c r="C10169" s="33" t="str">
        <f t="shared" si="634"/>
        <v>71001-7402</v>
      </c>
      <c r="D10169" s="64" t="s">
        <v>11422</v>
      </c>
      <c r="E10169" s="64" t="s">
        <v>3274</v>
      </c>
      <c r="F10169" s="64" t="s">
        <v>15</v>
      </c>
      <c r="G10169" s="64" t="s">
        <v>3266</v>
      </c>
      <c r="H10169" s="64" t="s">
        <v>3267</v>
      </c>
      <c r="I10169" s="64" t="s">
        <v>3275</v>
      </c>
      <c r="J10169" s="67">
        <v>208.33</v>
      </c>
      <c r="K10169" s="62">
        <v>1249.98</v>
      </c>
      <c r="L10169" s="33" t="e">
        <f>HLOOKUP(B10169,#REF!,1,0)</f>
        <v>#REF!</v>
      </c>
      <c r="M10169" s="33" t="str">
        <f t="shared" si="635"/>
        <v>P&amp;L</v>
      </c>
    </row>
    <row r="10170" spans="1:13">
      <c r="A10170" s="33" t="str">
        <f t="shared" si="632"/>
        <v>SCL - Facility</v>
      </c>
      <c r="B10170" s="33" t="str">
        <f t="shared" si="633"/>
        <v>SCL</v>
      </c>
      <c r="C10170" s="33" t="str">
        <f t="shared" si="634"/>
        <v>71001-7403</v>
      </c>
      <c r="D10170" s="64" t="s">
        <v>11423</v>
      </c>
      <c r="E10170" s="64" t="s">
        <v>3274</v>
      </c>
      <c r="F10170" s="64" t="s">
        <v>15</v>
      </c>
      <c r="G10170" s="64" t="s">
        <v>3266</v>
      </c>
      <c r="H10170" s="64" t="s">
        <v>3267</v>
      </c>
      <c r="I10170" s="64" t="s">
        <v>3275</v>
      </c>
      <c r="J10170" s="67">
        <v>1519.62</v>
      </c>
      <c r="K10170" s="62">
        <v>50323.5</v>
      </c>
      <c r="L10170" s="33" t="e">
        <f>HLOOKUP(B10170,#REF!,1,0)</f>
        <v>#REF!</v>
      </c>
      <c r="M10170" s="33" t="str">
        <f t="shared" si="635"/>
        <v>P&amp;L</v>
      </c>
    </row>
    <row r="10171" spans="1:13">
      <c r="A10171" s="33" t="str">
        <f t="shared" si="632"/>
        <v>SCL - Facility</v>
      </c>
      <c r="B10171" s="33" t="str">
        <f t="shared" si="633"/>
        <v>SCL</v>
      </c>
      <c r="C10171" s="33" t="str">
        <f t="shared" si="634"/>
        <v>71001-7491</v>
      </c>
      <c r="D10171" s="64" t="s">
        <v>11424</v>
      </c>
      <c r="E10171" s="64" t="s">
        <v>3274</v>
      </c>
      <c r="F10171" s="64" t="s">
        <v>15</v>
      </c>
      <c r="G10171" s="64" t="s">
        <v>3266</v>
      </c>
      <c r="H10171" s="64" t="s">
        <v>3267</v>
      </c>
      <c r="I10171" s="64" t="s">
        <v>3275</v>
      </c>
      <c r="J10171" s="67">
        <v>608.33</v>
      </c>
      <c r="K10171" s="62">
        <v>5666.64</v>
      </c>
      <c r="L10171" s="33" t="e">
        <f>HLOOKUP(B10171,#REF!,1,0)</f>
        <v>#REF!</v>
      </c>
      <c r="M10171" s="33" t="str">
        <f t="shared" si="635"/>
        <v>P&amp;L</v>
      </c>
    </row>
    <row r="10172" spans="1:13">
      <c r="A10172" s="33" t="str">
        <f t="shared" si="632"/>
        <v>SCL - Facility</v>
      </c>
      <c r="B10172" s="33" t="str">
        <f t="shared" si="633"/>
        <v>SCL</v>
      </c>
      <c r="C10172" s="33" t="str">
        <f t="shared" si="634"/>
        <v>71001-7492</v>
      </c>
      <c r="D10172" s="64" t="s">
        <v>11425</v>
      </c>
      <c r="E10172" s="64" t="s">
        <v>3274</v>
      </c>
      <c r="F10172" s="64" t="s">
        <v>15</v>
      </c>
      <c r="G10172" s="64" t="s">
        <v>3266</v>
      </c>
      <c r="H10172" s="64" t="s">
        <v>3267</v>
      </c>
      <c r="I10172" s="64" t="s">
        <v>3275</v>
      </c>
      <c r="J10172" s="67">
        <v>778.33</v>
      </c>
      <c r="K10172" s="62">
        <v>17945.57</v>
      </c>
      <c r="L10172" s="33" t="e">
        <f>HLOOKUP(B10172,#REF!,1,0)</f>
        <v>#REF!</v>
      </c>
      <c r="M10172" s="33" t="str">
        <f t="shared" si="635"/>
        <v>P&amp;L</v>
      </c>
    </row>
    <row r="10173" spans="1:13">
      <c r="A10173" s="33" t="str">
        <f t="shared" si="632"/>
        <v>SCL - Facility</v>
      </c>
      <c r="B10173" s="33" t="str">
        <f t="shared" si="633"/>
        <v>SCL</v>
      </c>
      <c r="C10173" s="33" t="str">
        <f t="shared" si="634"/>
        <v>71001-7493</v>
      </c>
      <c r="D10173" s="64" t="s">
        <v>11426</v>
      </c>
      <c r="E10173" s="64" t="s">
        <v>3274</v>
      </c>
      <c r="F10173" s="64" t="s">
        <v>15</v>
      </c>
      <c r="G10173" s="64" t="s">
        <v>3266</v>
      </c>
      <c r="H10173" s="64" t="s">
        <v>3267</v>
      </c>
      <c r="I10173" s="64" t="s">
        <v>3275</v>
      </c>
      <c r="J10173" s="67">
        <v>1114</v>
      </c>
      <c r="K10173" s="62">
        <v>10734.91</v>
      </c>
      <c r="L10173" s="33" t="e">
        <f>HLOOKUP(B10173,#REF!,1,0)</f>
        <v>#REF!</v>
      </c>
      <c r="M10173" s="33" t="str">
        <f t="shared" si="635"/>
        <v>P&amp;L</v>
      </c>
    </row>
    <row r="10174" spans="1:13">
      <c r="A10174" s="33" t="str">
        <f t="shared" si="632"/>
        <v>SCL - Facility</v>
      </c>
      <c r="B10174" s="33" t="str">
        <f t="shared" si="633"/>
        <v>SCL</v>
      </c>
      <c r="C10174" s="33" t="str">
        <f t="shared" si="634"/>
        <v>71001-7494</v>
      </c>
      <c r="D10174" s="64" t="s">
        <v>11427</v>
      </c>
      <c r="E10174" s="64" t="s">
        <v>3274</v>
      </c>
      <c r="F10174" s="64" t="s">
        <v>15</v>
      </c>
      <c r="G10174" s="64" t="s">
        <v>3266</v>
      </c>
      <c r="H10174" s="64" t="s">
        <v>3267</v>
      </c>
      <c r="I10174" s="64" t="s">
        <v>3275</v>
      </c>
      <c r="J10174" s="67">
        <v>1321</v>
      </c>
      <c r="K10174" s="62">
        <v>40800.99</v>
      </c>
      <c r="L10174" s="33" t="e">
        <f>HLOOKUP(B10174,#REF!,1,0)</f>
        <v>#REF!</v>
      </c>
      <c r="M10174" s="33" t="str">
        <f t="shared" si="635"/>
        <v>P&amp;L</v>
      </c>
    </row>
    <row r="10175" spans="1:13">
      <c r="A10175" s="33" t="str">
        <f t="shared" si="632"/>
        <v>SCL - Facility</v>
      </c>
      <c r="B10175" s="33" t="str">
        <f t="shared" si="633"/>
        <v>SCL</v>
      </c>
      <c r="C10175" s="33" t="str">
        <f t="shared" si="634"/>
        <v>72001-7351</v>
      </c>
      <c r="D10175" s="64" t="s">
        <v>11428</v>
      </c>
      <c r="E10175" s="64" t="s">
        <v>3279</v>
      </c>
      <c r="F10175" s="64" t="s">
        <v>15</v>
      </c>
      <c r="G10175" s="64" t="s">
        <v>3266</v>
      </c>
      <c r="H10175" s="64" t="s">
        <v>3267</v>
      </c>
      <c r="I10175" s="64" t="s">
        <v>3280</v>
      </c>
      <c r="J10175" s="67">
        <v>1099</v>
      </c>
      <c r="K10175" s="62">
        <v>11589.58</v>
      </c>
      <c r="L10175" s="33" t="e">
        <f>HLOOKUP(B10175,#REF!,1,0)</f>
        <v>#REF!</v>
      </c>
      <c r="M10175" s="33" t="str">
        <f t="shared" si="635"/>
        <v>P&amp;L</v>
      </c>
    </row>
    <row r="10176" spans="1:13">
      <c r="A10176" s="33" t="str">
        <f t="shared" si="632"/>
        <v>SCL - Facility</v>
      </c>
      <c r="B10176" s="33" t="str">
        <f t="shared" si="633"/>
        <v>SCL</v>
      </c>
      <c r="C10176" s="33" t="str">
        <f t="shared" si="634"/>
        <v>72001-7352</v>
      </c>
      <c r="D10176" s="64" t="s">
        <v>11429</v>
      </c>
      <c r="E10176" s="64" t="s">
        <v>3279</v>
      </c>
      <c r="F10176" s="64" t="s">
        <v>15</v>
      </c>
      <c r="G10176" s="64" t="s">
        <v>3266</v>
      </c>
      <c r="H10176" s="64" t="s">
        <v>3267</v>
      </c>
      <c r="I10176" s="64" t="s">
        <v>3280</v>
      </c>
      <c r="J10176" s="67">
        <v>0</v>
      </c>
      <c r="K10176" s="62">
        <v>8840.41</v>
      </c>
      <c r="L10176" s="33" t="e">
        <f>HLOOKUP(B10176,#REF!,1,0)</f>
        <v>#REF!</v>
      </c>
      <c r="M10176" s="33" t="str">
        <f t="shared" si="635"/>
        <v>P&amp;L</v>
      </c>
    </row>
    <row r="10177" spans="1:13">
      <c r="A10177" s="33" t="str">
        <f t="shared" si="632"/>
        <v>SCL - Facility</v>
      </c>
      <c r="B10177" s="33" t="str">
        <f t="shared" si="633"/>
        <v>SCL</v>
      </c>
      <c r="C10177" s="33" t="str">
        <f t="shared" si="634"/>
        <v>72001-7355</v>
      </c>
      <c r="D10177" s="64" t="s">
        <v>11430</v>
      </c>
      <c r="E10177" s="64" t="s">
        <v>3279</v>
      </c>
      <c r="F10177" s="64" t="s">
        <v>15</v>
      </c>
      <c r="G10177" s="64" t="s">
        <v>3266</v>
      </c>
      <c r="H10177" s="64" t="s">
        <v>3267</v>
      </c>
      <c r="I10177" s="64" t="s">
        <v>3280</v>
      </c>
      <c r="J10177" s="67">
        <v>12146.47</v>
      </c>
      <c r="K10177" s="62">
        <v>25029.87</v>
      </c>
      <c r="L10177" s="33" t="e">
        <f>HLOOKUP(B10177,#REF!,1,0)</f>
        <v>#REF!</v>
      </c>
      <c r="M10177" s="33" t="str">
        <f t="shared" si="635"/>
        <v>P&amp;L</v>
      </c>
    </row>
    <row r="10178" spans="1:13">
      <c r="A10178" s="33" t="str">
        <f t="shared" ref="A10178:A10241" si="636">B10178&amp;" - "&amp;TRIM(H10178)</f>
        <v>SCL - Facility</v>
      </c>
      <c r="B10178" s="33" t="str">
        <f t="shared" ref="B10178:B10241" si="637">LEFT(D10178,3)</f>
        <v>SCL</v>
      </c>
      <c r="C10178" s="33" t="str">
        <f t="shared" ref="C10178:C10241" si="638">RIGHT(D10178,10)</f>
        <v>72001-7356</v>
      </c>
      <c r="D10178" s="64" t="s">
        <v>11431</v>
      </c>
      <c r="E10178" s="64" t="s">
        <v>3279</v>
      </c>
      <c r="F10178" s="64" t="s">
        <v>15</v>
      </c>
      <c r="G10178" s="64" t="s">
        <v>3266</v>
      </c>
      <c r="H10178" s="64" t="s">
        <v>3267</v>
      </c>
      <c r="I10178" s="64" t="s">
        <v>3280</v>
      </c>
      <c r="J10178" s="67">
        <v>0</v>
      </c>
      <c r="K10178" s="62">
        <v>1893.64</v>
      </c>
      <c r="L10178" s="33" t="e">
        <f>HLOOKUP(B10178,#REF!,1,0)</f>
        <v>#REF!</v>
      </c>
      <c r="M10178" s="33" t="str">
        <f t="shared" ref="M10178:M10241" si="639">IF(VALUE(LEFT(C10178,5))&gt;40000,"P&amp;L","BS")</f>
        <v>P&amp;L</v>
      </c>
    </row>
    <row r="10179" spans="1:13">
      <c r="A10179" s="33" t="str">
        <f t="shared" si="636"/>
        <v>SCL - Facility</v>
      </c>
      <c r="B10179" s="33" t="str">
        <f t="shared" si="637"/>
        <v>SCL</v>
      </c>
      <c r="C10179" s="33" t="str">
        <f t="shared" si="638"/>
        <v>72001-7359</v>
      </c>
      <c r="D10179" s="64" t="s">
        <v>11432</v>
      </c>
      <c r="E10179" s="64" t="s">
        <v>3279</v>
      </c>
      <c r="F10179" s="64" t="s">
        <v>15</v>
      </c>
      <c r="G10179" s="64" t="s">
        <v>3266</v>
      </c>
      <c r="H10179" s="64" t="s">
        <v>3267</v>
      </c>
      <c r="I10179" s="64" t="s">
        <v>3280</v>
      </c>
      <c r="J10179" s="67">
        <v>1050</v>
      </c>
      <c r="K10179" s="62">
        <v>11063.2</v>
      </c>
      <c r="L10179" s="33" t="e">
        <f>HLOOKUP(B10179,#REF!,1,0)</f>
        <v>#REF!</v>
      </c>
      <c r="M10179" s="33" t="str">
        <f t="shared" si="639"/>
        <v>P&amp;L</v>
      </c>
    </row>
    <row r="10180" spans="1:13">
      <c r="A10180" s="33" t="str">
        <f t="shared" si="636"/>
        <v>SCL - Facility</v>
      </c>
      <c r="B10180" s="33" t="str">
        <f t="shared" si="637"/>
        <v>SCL</v>
      </c>
      <c r="C10180" s="33" t="str">
        <f t="shared" si="638"/>
        <v>72001-7360</v>
      </c>
      <c r="D10180" s="64" t="s">
        <v>11433</v>
      </c>
      <c r="E10180" s="64" t="s">
        <v>3279</v>
      </c>
      <c r="F10180" s="64" t="s">
        <v>15</v>
      </c>
      <c r="G10180" s="64" t="s">
        <v>3266</v>
      </c>
      <c r="H10180" s="64" t="s">
        <v>3267</v>
      </c>
      <c r="I10180" s="64" t="s">
        <v>3280</v>
      </c>
      <c r="J10180" s="67">
        <v>1719</v>
      </c>
      <c r="K10180" s="62">
        <v>18234.51</v>
      </c>
      <c r="L10180" s="33" t="e">
        <f>HLOOKUP(B10180,#REF!,1,0)</f>
        <v>#REF!</v>
      </c>
      <c r="M10180" s="33" t="str">
        <f t="shared" si="639"/>
        <v>P&amp;L</v>
      </c>
    </row>
    <row r="10181" spans="1:13">
      <c r="A10181" s="33" t="str">
        <f t="shared" si="636"/>
        <v>SCL - Facility</v>
      </c>
      <c r="B10181" s="33" t="str">
        <f t="shared" si="637"/>
        <v>SCL</v>
      </c>
      <c r="C10181" s="33" t="str">
        <f t="shared" si="638"/>
        <v>72001-7361</v>
      </c>
      <c r="D10181" s="64" t="s">
        <v>11434</v>
      </c>
      <c r="E10181" s="64" t="s">
        <v>3279</v>
      </c>
      <c r="F10181" s="64" t="s">
        <v>15</v>
      </c>
      <c r="G10181" s="64" t="s">
        <v>3266</v>
      </c>
      <c r="H10181" s="64" t="s">
        <v>3267</v>
      </c>
      <c r="I10181" s="64" t="s">
        <v>3280</v>
      </c>
      <c r="J10181" s="67">
        <v>0</v>
      </c>
      <c r="K10181" s="62">
        <v>10901.59</v>
      </c>
      <c r="L10181" s="33" t="e">
        <f>HLOOKUP(B10181,#REF!,1,0)</f>
        <v>#REF!</v>
      </c>
      <c r="M10181" s="33" t="str">
        <f t="shared" si="639"/>
        <v>P&amp;L</v>
      </c>
    </row>
    <row r="10182" spans="1:13">
      <c r="A10182" s="33" t="str">
        <f t="shared" si="636"/>
        <v>SCL - Facility</v>
      </c>
      <c r="B10182" s="33" t="str">
        <f t="shared" si="637"/>
        <v>SCL</v>
      </c>
      <c r="C10182" s="33" t="str">
        <f t="shared" si="638"/>
        <v>72001-7362</v>
      </c>
      <c r="D10182" s="64" t="s">
        <v>11435</v>
      </c>
      <c r="E10182" s="64" t="s">
        <v>3279</v>
      </c>
      <c r="F10182" s="64" t="s">
        <v>15</v>
      </c>
      <c r="G10182" s="64" t="s">
        <v>3266</v>
      </c>
      <c r="H10182" s="64" t="s">
        <v>3267</v>
      </c>
      <c r="I10182" s="64" t="s">
        <v>3280</v>
      </c>
      <c r="J10182" s="67">
        <v>811</v>
      </c>
      <c r="K10182" s="62">
        <v>8529.39</v>
      </c>
      <c r="L10182" s="33" t="e">
        <f>HLOOKUP(B10182,#REF!,1,0)</f>
        <v>#REF!</v>
      </c>
      <c r="M10182" s="33" t="str">
        <f t="shared" si="639"/>
        <v>P&amp;L</v>
      </c>
    </row>
    <row r="10183" spans="1:13">
      <c r="A10183" s="33" t="str">
        <f t="shared" si="636"/>
        <v>SCL - Facility</v>
      </c>
      <c r="B10183" s="33" t="str">
        <f t="shared" si="637"/>
        <v>SCL</v>
      </c>
      <c r="C10183" s="33" t="str">
        <f t="shared" si="638"/>
        <v>72001-7363</v>
      </c>
      <c r="D10183" s="64" t="s">
        <v>11436</v>
      </c>
      <c r="E10183" s="64" t="s">
        <v>3279</v>
      </c>
      <c r="F10183" s="64" t="s">
        <v>15</v>
      </c>
      <c r="G10183" s="64" t="s">
        <v>3266</v>
      </c>
      <c r="H10183" s="64" t="s">
        <v>3267</v>
      </c>
      <c r="I10183" s="64" t="s">
        <v>3280</v>
      </c>
      <c r="J10183" s="67">
        <v>1040</v>
      </c>
      <c r="K10183" s="62">
        <v>11599.15</v>
      </c>
      <c r="L10183" s="33" t="e">
        <f>HLOOKUP(B10183,#REF!,1,0)</f>
        <v>#REF!</v>
      </c>
      <c r="M10183" s="33" t="str">
        <f t="shared" si="639"/>
        <v>P&amp;L</v>
      </c>
    </row>
    <row r="10184" spans="1:13">
      <c r="A10184" s="33" t="str">
        <f t="shared" si="636"/>
        <v>SCL - Facility</v>
      </c>
      <c r="B10184" s="33" t="str">
        <f t="shared" si="637"/>
        <v>SCL</v>
      </c>
      <c r="C10184" s="33" t="str">
        <f t="shared" si="638"/>
        <v>72001-7364</v>
      </c>
      <c r="D10184" s="64" t="s">
        <v>11437</v>
      </c>
      <c r="E10184" s="64" t="s">
        <v>3279</v>
      </c>
      <c r="F10184" s="64" t="s">
        <v>15</v>
      </c>
      <c r="G10184" s="64" t="s">
        <v>3266</v>
      </c>
      <c r="H10184" s="64" t="s">
        <v>3267</v>
      </c>
      <c r="I10184" s="64" t="s">
        <v>3280</v>
      </c>
      <c r="J10184" s="67">
        <v>0</v>
      </c>
      <c r="K10184" s="62">
        <v>9264.46</v>
      </c>
      <c r="L10184" s="33" t="e">
        <f>HLOOKUP(B10184,#REF!,1,0)</f>
        <v>#REF!</v>
      </c>
      <c r="M10184" s="33" t="str">
        <f t="shared" si="639"/>
        <v>P&amp;L</v>
      </c>
    </row>
    <row r="10185" spans="1:13">
      <c r="A10185" s="33" t="str">
        <f t="shared" si="636"/>
        <v>SCL - Facility</v>
      </c>
      <c r="B10185" s="33" t="str">
        <f t="shared" si="637"/>
        <v>SCL</v>
      </c>
      <c r="C10185" s="33" t="str">
        <f t="shared" si="638"/>
        <v>72001-7365</v>
      </c>
      <c r="D10185" s="64" t="s">
        <v>11438</v>
      </c>
      <c r="E10185" s="64" t="s">
        <v>3279</v>
      </c>
      <c r="F10185" s="64" t="s">
        <v>15</v>
      </c>
      <c r="G10185" s="64" t="s">
        <v>3266</v>
      </c>
      <c r="H10185" s="64" t="s">
        <v>3267</v>
      </c>
      <c r="I10185" s="64" t="s">
        <v>3280</v>
      </c>
      <c r="J10185" s="67">
        <v>0</v>
      </c>
      <c r="K10185" s="62">
        <v>15309.27</v>
      </c>
      <c r="L10185" s="33" t="e">
        <f>HLOOKUP(B10185,#REF!,1,0)</f>
        <v>#REF!</v>
      </c>
      <c r="M10185" s="33" t="str">
        <f t="shared" si="639"/>
        <v>P&amp;L</v>
      </c>
    </row>
    <row r="10186" spans="1:13">
      <c r="A10186" s="33" t="str">
        <f t="shared" si="636"/>
        <v>SCL - Facility</v>
      </c>
      <c r="B10186" s="33" t="str">
        <f t="shared" si="637"/>
        <v>SCL</v>
      </c>
      <c r="C10186" s="33" t="str">
        <f t="shared" si="638"/>
        <v>72001-7366</v>
      </c>
      <c r="D10186" s="64" t="s">
        <v>11439</v>
      </c>
      <c r="E10186" s="64" t="s">
        <v>3279</v>
      </c>
      <c r="F10186" s="64" t="s">
        <v>15</v>
      </c>
      <c r="G10186" s="64" t="s">
        <v>3266</v>
      </c>
      <c r="H10186" s="64" t="s">
        <v>3267</v>
      </c>
      <c r="I10186" s="64" t="s">
        <v>3280</v>
      </c>
      <c r="J10186" s="67">
        <v>827</v>
      </c>
      <c r="K10186" s="62">
        <v>8218.77</v>
      </c>
      <c r="L10186" s="33" t="e">
        <f>HLOOKUP(B10186,#REF!,1,0)</f>
        <v>#REF!</v>
      </c>
      <c r="M10186" s="33" t="str">
        <f t="shared" si="639"/>
        <v>P&amp;L</v>
      </c>
    </row>
    <row r="10187" spans="1:13">
      <c r="A10187" s="33" t="str">
        <f t="shared" si="636"/>
        <v>SCL - Facility</v>
      </c>
      <c r="B10187" s="33" t="str">
        <f t="shared" si="637"/>
        <v>SCL</v>
      </c>
      <c r="C10187" s="33" t="str">
        <f t="shared" si="638"/>
        <v>72001-7368</v>
      </c>
      <c r="D10187" s="64" t="s">
        <v>11440</v>
      </c>
      <c r="E10187" s="64" t="s">
        <v>3279</v>
      </c>
      <c r="F10187" s="64" t="s">
        <v>15</v>
      </c>
      <c r="G10187" s="64" t="s">
        <v>3266</v>
      </c>
      <c r="H10187" s="64" t="s">
        <v>3267</v>
      </c>
      <c r="I10187" s="64" t="s">
        <v>3280</v>
      </c>
      <c r="J10187" s="67">
        <v>0</v>
      </c>
      <c r="K10187" s="62">
        <v>16923.77</v>
      </c>
      <c r="L10187" s="33" t="e">
        <f>HLOOKUP(B10187,#REF!,1,0)</f>
        <v>#REF!</v>
      </c>
      <c r="M10187" s="33" t="str">
        <f t="shared" si="639"/>
        <v>P&amp;L</v>
      </c>
    </row>
    <row r="10188" spans="1:13">
      <c r="A10188" s="33" t="str">
        <f t="shared" si="636"/>
        <v>SCL - Facility</v>
      </c>
      <c r="B10188" s="33" t="str">
        <f t="shared" si="637"/>
        <v>SCL</v>
      </c>
      <c r="C10188" s="33" t="str">
        <f t="shared" si="638"/>
        <v>72001-7369</v>
      </c>
      <c r="D10188" s="64" t="s">
        <v>11441</v>
      </c>
      <c r="E10188" s="64" t="s">
        <v>3279</v>
      </c>
      <c r="F10188" s="64" t="s">
        <v>15</v>
      </c>
      <c r="G10188" s="64" t="s">
        <v>3266</v>
      </c>
      <c r="H10188" s="64" t="s">
        <v>3267</v>
      </c>
      <c r="I10188" s="64" t="s">
        <v>3280</v>
      </c>
      <c r="J10188" s="67">
        <v>1308</v>
      </c>
      <c r="K10188" s="62">
        <v>11286.37</v>
      </c>
      <c r="L10188" s="33" t="e">
        <f>HLOOKUP(B10188,#REF!,1,0)</f>
        <v>#REF!</v>
      </c>
      <c r="M10188" s="33" t="str">
        <f t="shared" si="639"/>
        <v>P&amp;L</v>
      </c>
    </row>
    <row r="10189" spans="1:13">
      <c r="A10189" s="33" t="str">
        <f t="shared" si="636"/>
        <v>SCL - Facility</v>
      </c>
      <c r="B10189" s="33" t="str">
        <f t="shared" si="637"/>
        <v>SCL</v>
      </c>
      <c r="C10189" s="33" t="str">
        <f t="shared" si="638"/>
        <v>72001-7371</v>
      </c>
      <c r="D10189" s="64" t="s">
        <v>11442</v>
      </c>
      <c r="E10189" s="64" t="s">
        <v>3279</v>
      </c>
      <c r="F10189" s="64" t="s">
        <v>15</v>
      </c>
      <c r="G10189" s="64" t="s">
        <v>3266</v>
      </c>
      <c r="H10189" s="64" t="s">
        <v>3267</v>
      </c>
      <c r="I10189" s="64" t="s">
        <v>3280</v>
      </c>
      <c r="J10189" s="67">
        <v>923</v>
      </c>
      <c r="K10189" s="62">
        <v>10105.26</v>
      </c>
      <c r="L10189" s="33" t="e">
        <f>HLOOKUP(B10189,#REF!,1,0)</f>
        <v>#REF!</v>
      </c>
      <c r="M10189" s="33" t="str">
        <f t="shared" si="639"/>
        <v>P&amp;L</v>
      </c>
    </row>
    <row r="10190" spans="1:13">
      <c r="A10190" s="33" t="str">
        <f t="shared" si="636"/>
        <v>SCL - Facility</v>
      </c>
      <c r="B10190" s="33" t="str">
        <f t="shared" si="637"/>
        <v>SCL</v>
      </c>
      <c r="C10190" s="33" t="str">
        <f t="shared" si="638"/>
        <v>72001-7374</v>
      </c>
      <c r="D10190" s="64" t="s">
        <v>11443</v>
      </c>
      <c r="E10190" s="64" t="s">
        <v>3279</v>
      </c>
      <c r="F10190" s="64" t="s">
        <v>15</v>
      </c>
      <c r="G10190" s="64" t="s">
        <v>3266</v>
      </c>
      <c r="H10190" s="64" t="s">
        <v>3267</v>
      </c>
      <c r="I10190" s="64" t="s">
        <v>3280</v>
      </c>
      <c r="J10190" s="67">
        <v>6400</v>
      </c>
      <c r="K10190" s="62">
        <v>17185.04</v>
      </c>
      <c r="L10190" s="33" t="e">
        <f>HLOOKUP(B10190,#REF!,1,0)</f>
        <v>#REF!</v>
      </c>
      <c r="M10190" s="33" t="str">
        <f t="shared" si="639"/>
        <v>P&amp;L</v>
      </c>
    </row>
    <row r="10191" spans="1:13">
      <c r="A10191" s="33" t="str">
        <f t="shared" si="636"/>
        <v>SCL - Facility</v>
      </c>
      <c r="B10191" s="33" t="str">
        <f t="shared" si="637"/>
        <v>SCL</v>
      </c>
      <c r="C10191" s="33" t="str">
        <f t="shared" si="638"/>
        <v>72001-7375</v>
      </c>
      <c r="D10191" s="64" t="s">
        <v>11444</v>
      </c>
      <c r="E10191" s="64" t="s">
        <v>3279</v>
      </c>
      <c r="F10191" s="64" t="s">
        <v>15</v>
      </c>
      <c r="G10191" s="64" t="s">
        <v>3266</v>
      </c>
      <c r="H10191" s="64" t="s">
        <v>3267</v>
      </c>
      <c r="I10191" s="64" t="s">
        <v>3280</v>
      </c>
      <c r="J10191" s="67">
        <v>1899</v>
      </c>
      <c r="K10191" s="62">
        <v>20066.58</v>
      </c>
      <c r="L10191" s="33" t="e">
        <f>HLOOKUP(B10191,#REF!,1,0)</f>
        <v>#REF!</v>
      </c>
      <c r="M10191" s="33" t="str">
        <f t="shared" si="639"/>
        <v>P&amp;L</v>
      </c>
    </row>
    <row r="10192" spans="1:13">
      <c r="A10192" s="33" t="str">
        <f t="shared" si="636"/>
        <v>SCL - Facility</v>
      </c>
      <c r="B10192" s="33" t="str">
        <f t="shared" si="637"/>
        <v>SCL</v>
      </c>
      <c r="C10192" s="33" t="str">
        <f t="shared" si="638"/>
        <v>72001-7376</v>
      </c>
      <c r="D10192" s="64" t="s">
        <v>11445</v>
      </c>
      <c r="E10192" s="64" t="s">
        <v>3279</v>
      </c>
      <c r="F10192" s="64" t="s">
        <v>15</v>
      </c>
      <c r="G10192" s="64" t="s">
        <v>3266</v>
      </c>
      <c r="H10192" s="64" t="s">
        <v>3267</v>
      </c>
      <c r="I10192" s="64" t="s">
        <v>3280</v>
      </c>
      <c r="J10192" s="67">
        <v>1149</v>
      </c>
      <c r="K10192" s="62">
        <v>12203.09</v>
      </c>
      <c r="L10192" s="33" t="e">
        <f>HLOOKUP(B10192,#REF!,1,0)</f>
        <v>#REF!</v>
      </c>
      <c r="M10192" s="33" t="str">
        <f t="shared" si="639"/>
        <v>P&amp;L</v>
      </c>
    </row>
    <row r="10193" spans="1:13">
      <c r="A10193" s="33" t="str">
        <f t="shared" si="636"/>
        <v>SCL - Facility</v>
      </c>
      <c r="B10193" s="33" t="str">
        <f t="shared" si="637"/>
        <v>SCL</v>
      </c>
      <c r="C10193" s="33" t="str">
        <f t="shared" si="638"/>
        <v>72001-7377</v>
      </c>
      <c r="D10193" s="64" t="s">
        <v>11446</v>
      </c>
      <c r="E10193" s="64" t="s">
        <v>3279</v>
      </c>
      <c r="F10193" s="64" t="s">
        <v>15</v>
      </c>
      <c r="G10193" s="64" t="s">
        <v>3266</v>
      </c>
      <c r="H10193" s="64" t="s">
        <v>3267</v>
      </c>
      <c r="I10193" s="64" t="s">
        <v>3280</v>
      </c>
      <c r="J10193" s="67">
        <v>2191</v>
      </c>
      <c r="K10193" s="62">
        <v>21861.51</v>
      </c>
      <c r="L10193" s="33" t="e">
        <f>HLOOKUP(B10193,#REF!,1,0)</f>
        <v>#REF!</v>
      </c>
      <c r="M10193" s="33" t="str">
        <f t="shared" si="639"/>
        <v>P&amp;L</v>
      </c>
    </row>
    <row r="10194" spans="1:13">
      <c r="A10194" s="33" t="str">
        <f t="shared" si="636"/>
        <v>SCL - Facility</v>
      </c>
      <c r="B10194" s="33" t="str">
        <f t="shared" si="637"/>
        <v>SCL</v>
      </c>
      <c r="C10194" s="33" t="str">
        <f t="shared" si="638"/>
        <v>72001-7378</v>
      </c>
      <c r="D10194" s="64" t="s">
        <v>11447</v>
      </c>
      <c r="E10194" s="64" t="s">
        <v>3279</v>
      </c>
      <c r="F10194" s="64" t="s">
        <v>15</v>
      </c>
      <c r="G10194" s="64" t="s">
        <v>3266</v>
      </c>
      <c r="H10194" s="64" t="s">
        <v>3267</v>
      </c>
      <c r="I10194" s="64" t="s">
        <v>3280</v>
      </c>
      <c r="J10194" s="67">
        <v>1348</v>
      </c>
      <c r="K10194" s="62">
        <v>13906.62</v>
      </c>
      <c r="L10194" s="33" t="e">
        <f>HLOOKUP(B10194,#REF!,1,0)</f>
        <v>#REF!</v>
      </c>
      <c r="M10194" s="33" t="str">
        <f t="shared" si="639"/>
        <v>P&amp;L</v>
      </c>
    </row>
    <row r="10195" spans="1:13">
      <c r="A10195" s="33" t="str">
        <f t="shared" si="636"/>
        <v>SCL - Facility</v>
      </c>
      <c r="B10195" s="33" t="str">
        <f t="shared" si="637"/>
        <v>SCL</v>
      </c>
      <c r="C10195" s="33" t="str">
        <f t="shared" si="638"/>
        <v>72001-7379</v>
      </c>
      <c r="D10195" s="64" t="s">
        <v>11448</v>
      </c>
      <c r="E10195" s="64" t="s">
        <v>3279</v>
      </c>
      <c r="F10195" s="64" t="s">
        <v>15</v>
      </c>
      <c r="G10195" s="64" t="s">
        <v>3266</v>
      </c>
      <c r="H10195" s="64" t="s">
        <v>3267</v>
      </c>
      <c r="I10195" s="64" t="s">
        <v>3280</v>
      </c>
      <c r="J10195" s="67">
        <v>1870</v>
      </c>
      <c r="K10195" s="62">
        <v>19588</v>
      </c>
      <c r="L10195" s="33" t="e">
        <f>HLOOKUP(B10195,#REF!,1,0)</f>
        <v>#REF!</v>
      </c>
      <c r="M10195" s="33" t="str">
        <f t="shared" si="639"/>
        <v>P&amp;L</v>
      </c>
    </row>
    <row r="10196" spans="1:13">
      <c r="A10196" s="33" t="str">
        <f t="shared" si="636"/>
        <v>SCL - Facility</v>
      </c>
      <c r="B10196" s="33" t="str">
        <f t="shared" si="637"/>
        <v>SCL</v>
      </c>
      <c r="C10196" s="33" t="str">
        <f t="shared" si="638"/>
        <v>72001-7380</v>
      </c>
      <c r="D10196" s="64" t="s">
        <v>11449</v>
      </c>
      <c r="E10196" s="64" t="s">
        <v>3279</v>
      </c>
      <c r="F10196" s="64" t="s">
        <v>15</v>
      </c>
      <c r="G10196" s="64" t="s">
        <v>3266</v>
      </c>
      <c r="H10196" s="64" t="s">
        <v>3267</v>
      </c>
      <c r="I10196" s="64" t="s">
        <v>3280</v>
      </c>
      <c r="J10196" s="67">
        <v>1797</v>
      </c>
      <c r="K10196" s="62">
        <v>18968.83</v>
      </c>
      <c r="L10196" s="33" t="e">
        <f>HLOOKUP(B10196,#REF!,1,0)</f>
        <v>#REF!</v>
      </c>
      <c r="M10196" s="33" t="str">
        <f t="shared" si="639"/>
        <v>P&amp;L</v>
      </c>
    </row>
    <row r="10197" spans="1:13">
      <c r="A10197" s="33" t="str">
        <f t="shared" si="636"/>
        <v>SCL - Facility</v>
      </c>
      <c r="B10197" s="33" t="str">
        <f t="shared" si="637"/>
        <v>SCL</v>
      </c>
      <c r="C10197" s="33" t="str">
        <f t="shared" si="638"/>
        <v>72001-7381</v>
      </c>
      <c r="D10197" s="64" t="s">
        <v>11450</v>
      </c>
      <c r="E10197" s="64" t="s">
        <v>3279</v>
      </c>
      <c r="F10197" s="64" t="s">
        <v>15</v>
      </c>
      <c r="G10197" s="64" t="s">
        <v>3266</v>
      </c>
      <c r="H10197" s="64" t="s">
        <v>3267</v>
      </c>
      <c r="I10197" s="64" t="s">
        <v>3280</v>
      </c>
      <c r="J10197" s="67">
        <v>1244</v>
      </c>
      <c r="K10197" s="62">
        <v>13532.67</v>
      </c>
      <c r="L10197" s="33" t="e">
        <f>HLOOKUP(B10197,#REF!,1,0)</f>
        <v>#REF!</v>
      </c>
      <c r="M10197" s="33" t="str">
        <f t="shared" si="639"/>
        <v>P&amp;L</v>
      </c>
    </row>
    <row r="10198" spans="1:13">
      <c r="A10198" s="33" t="str">
        <f t="shared" si="636"/>
        <v>SCL - Facility</v>
      </c>
      <c r="B10198" s="33" t="str">
        <f t="shared" si="637"/>
        <v>SCL</v>
      </c>
      <c r="C10198" s="33" t="str">
        <f t="shared" si="638"/>
        <v>72001-7383</v>
      </c>
      <c r="D10198" s="64" t="s">
        <v>11451</v>
      </c>
      <c r="E10198" s="64" t="s">
        <v>3279</v>
      </c>
      <c r="F10198" s="64" t="s">
        <v>15</v>
      </c>
      <c r="G10198" s="64" t="s">
        <v>3266</v>
      </c>
      <c r="H10198" s="64" t="s">
        <v>3267</v>
      </c>
      <c r="I10198" s="64" t="s">
        <v>3280</v>
      </c>
      <c r="J10198" s="67">
        <v>697</v>
      </c>
      <c r="K10198" s="62">
        <v>7610.43</v>
      </c>
      <c r="L10198" s="33" t="e">
        <f>HLOOKUP(B10198,#REF!,1,0)</f>
        <v>#REF!</v>
      </c>
      <c r="M10198" s="33" t="str">
        <f t="shared" si="639"/>
        <v>P&amp;L</v>
      </c>
    </row>
    <row r="10199" spans="1:13">
      <c r="A10199" s="33" t="str">
        <f t="shared" si="636"/>
        <v>SCL - Facility</v>
      </c>
      <c r="B10199" s="33" t="str">
        <f t="shared" si="637"/>
        <v>SCL</v>
      </c>
      <c r="C10199" s="33" t="str">
        <f t="shared" si="638"/>
        <v>72001-7385</v>
      </c>
      <c r="D10199" s="64" t="s">
        <v>11452</v>
      </c>
      <c r="E10199" s="64" t="s">
        <v>3279</v>
      </c>
      <c r="F10199" s="64" t="s">
        <v>15</v>
      </c>
      <c r="G10199" s="64" t="s">
        <v>3266</v>
      </c>
      <c r="H10199" s="64" t="s">
        <v>3267</v>
      </c>
      <c r="I10199" s="64" t="s">
        <v>3280</v>
      </c>
      <c r="J10199" s="67">
        <v>0</v>
      </c>
      <c r="K10199" s="62">
        <v>535.62</v>
      </c>
      <c r="L10199" s="33" t="e">
        <f>HLOOKUP(B10199,#REF!,1,0)</f>
        <v>#REF!</v>
      </c>
      <c r="M10199" s="33" t="str">
        <f t="shared" si="639"/>
        <v>P&amp;L</v>
      </c>
    </row>
    <row r="10200" spans="1:13">
      <c r="A10200" s="33" t="str">
        <f t="shared" si="636"/>
        <v>SCL - Facility</v>
      </c>
      <c r="B10200" s="33" t="str">
        <f t="shared" si="637"/>
        <v>SCL</v>
      </c>
      <c r="C10200" s="33" t="str">
        <f t="shared" si="638"/>
        <v>72001-7386</v>
      </c>
      <c r="D10200" s="64" t="s">
        <v>11453</v>
      </c>
      <c r="E10200" s="64" t="s">
        <v>3279</v>
      </c>
      <c r="F10200" s="64" t="s">
        <v>15</v>
      </c>
      <c r="G10200" s="64" t="s">
        <v>3266</v>
      </c>
      <c r="H10200" s="64" t="s">
        <v>3267</v>
      </c>
      <c r="I10200" s="64" t="s">
        <v>3280</v>
      </c>
      <c r="J10200" s="67">
        <v>931</v>
      </c>
      <c r="K10200" s="62">
        <v>9752.76</v>
      </c>
      <c r="L10200" s="33" t="e">
        <f>HLOOKUP(B10200,#REF!,1,0)</f>
        <v>#REF!</v>
      </c>
      <c r="M10200" s="33" t="str">
        <f t="shared" si="639"/>
        <v>P&amp;L</v>
      </c>
    </row>
    <row r="10201" spans="1:13">
      <c r="A10201" s="33" t="str">
        <f t="shared" si="636"/>
        <v>SCL - Facility</v>
      </c>
      <c r="B10201" s="33" t="str">
        <f t="shared" si="637"/>
        <v>SCL</v>
      </c>
      <c r="C10201" s="33" t="str">
        <f t="shared" si="638"/>
        <v>72001-7387</v>
      </c>
      <c r="D10201" s="64" t="s">
        <v>11454</v>
      </c>
      <c r="E10201" s="64" t="s">
        <v>3279</v>
      </c>
      <c r="F10201" s="64" t="s">
        <v>15</v>
      </c>
      <c r="G10201" s="64" t="s">
        <v>3266</v>
      </c>
      <c r="H10201" s="64" t="s">
        <v>3267</v>
      </c>
      <c r="I10201" s="64" t="s">
        <v>3280</v>
      </c>
      <c r="J10201" s="67">
        <v>930</v>
      </c>
      <c r="K10201" s="62">
        <v>10260.38</v>
      </c>
      <c r="L10201" s="33" t="e">
        <f>HLOOKUP(B10201,#REF!,1,0)</f>
        <v>#REF!</v>
      </c>
      <c r="M10201" s="33" t="str">
        <f t="shared" si="639"/>
        <v>P&amp;L</v>
      </c>
    </row>
    <row r="10202" spans="1:13">
      <c r="A10202" s="33" t="str">
        <f t="shared" si="636"/>
        <v>SCL - Facility</v>
      </c>
      <c r="B10202" s="33" t="str">
        <f t="shared" si="637"/>
        <v>SCL</v>
      </c>
      <c r="C10202" s="33" t="str">
        <f t="shared" si="638"/>
        <v>72001-7389</v>
      </c>
      <c r="D10202" s="64" t="s">
        <v>11455</v>
      </c>
      <c r="E10202" s="64" t="s">
        <v>3279</v>
      </c>
      <c r="F10202" s="64" t="s">
        <v>15</v>
      </c>
      <c r="G10202" s="64" t="s">
        <v>3266</v>
      </c>
      <c r="H10202" s="64" t="s">
        <v>3267</v>
      </c>
      <c r="I10202" s="64" t="s">
        <v>3280</v>
      </c>
      <c r="J10202" s="67">
        <v>2780</v>
      </c>
      <c r="K10202" s="62">
        <v>26237.27</v>
      </c>
      <c r="L10202" s="33" t="e">
        <f>HLOOKUP(B10202,#REF!,1,0)</f>
        <v>#REF!</v>
      </c>
      <c r="M10202" s="33" t="str">
        <f t="shared" si="639"/>
        <v>P&amp;L</v>
      </c>
    </row>
    <row r="10203" spans="1:13">
      <c r="A10203" s="33" t="str">
        <f t="shared" si="636"/>
        <v>SCL - Facility</v>
      </c>
      <c r="B10203" s="33" t="str">
        <f t="shared" si="637"/>
        <v>SCL</v>
      </c>
      <c r="C10203" s="33" t="str">
        <f t="shared" si="638"/>
        <v>72001-7391</v>
      </c>
      <c r="D10203" s="64" t="s">
        <v>11456</v>
      </c>
      <c r="E10203" s="64" t="s">
        <v>3279</v>
      </c>
      <c r="F10203" s="64" t="s">
        <v>15</v>
      </c>
      <c r="G10203" s="64" t="s">
        <v>3266</v>
      </c>
      <c r="H10203" s="64" t="s">
        <v>3267</v>
      </c>
      <c r="I10203" s="64" t="s">
        <v>3280</v>
      </c>
      <c r="J10203" s="67">
        <v>2127.62</v>
      </c>
      <c r="K10203" s="62">
        <v>21947.6</v>
      </c>
      <c r="L10203" s="33" t="e">
        <f>HLOOKUP(B10203,#REF!,1,0)</f>
        <v>#REF!</v>
      </c>
      <c r="M10203" s="33" t="str">
        <f t="shared" si="639"/>
        <v>P&amp;L</v>
      </c>
    </row>
    <row r="10204" spans="1:13">
      <c r="A10204" s="33" t="str">
        <f t="shared" si="636"/>
        <v>SCL - Facility</v>
      </c>
      <c r="B10204" s="33" t="str">
        <f t="shared" si="637"/>
        <v>SCL</v>
      </c>
      <c r="C10204" s="33" t="str">
        <f t="shared" si="638"/>
        <v>72001-7393</v>
      </c>
      <c r="D10204" s="64" t="s">
        <v>11457</v>
      </c>
      <c r="E10204" s="64" t="s">
        <v>3279</v>
      </c>
      <c r="F10204" s="64" t="s">
        <v>15</v>
      </c>
      <c r="G10204" s="64" t="s">
        <v>3266</v>
      </c>
      <c r="H10204" s="64" t="s">
        <v>3267</v>
      </c>
      <c r="I10204" s="64" t="s">
        <v>3280</v>
      </c>
      <c r="J10204" s="67">
        <v>1353.1</v>
      </c>
      <c r="K10204" s="62">
        <v>14100.67</v>
      </c>
      <c r="L10204" s="33" t="e">
        <f>HLOOKUP(B10204,#REF!,1,0)</f>
        <v>#REF!</v>
      </c>
      <c r="M10204" s="33" t="str">
        <f t="shared" si="639"/>
        <v>P&amp;L</v>
      </c>
    </row>
    <row r="10205" spans="1:13">
      <c r="A10205" s="33" t="str">
        <f t="shared" si="636"/>
        <v>SCL - Facility</v>
      </c>
      <c r="B10205" s="33" t="str">
        <f t="shared" si="637"/>
        <v>SCL</v>
      </c>
      <c r="C10205" s="33" t="str">
        <f t="shared" si="638"/>
        <v>72001-7394</v>
      </c>
      <c r="D10205" s="64" t="s">
        <v>11458</v>
      </c>
      <c r="E10205" s="64" t="s">
        <v>3279</v>
      </c>
      <c r="F10205" s="64" t="s">
        <v>15</v>
      </c>
      <c r="G10205" s="64" t="s">
        <v>3266</v>
      </c>
      <c r="H10205" s="64" t="s">
        <v>3267</v>
      </c>
      <c r="I10205" s="64" t="s">
        <v>3280</v>
      </c>
      <c r="J10205" s="67">
        <v>3568</v>
      </c>
      <c r="K10205" s="62">
        <v>34355.8</v>
      </c>
      <c r="L10205" s="33" t="e">
        <f>HLOOKUP(B10205,#REF!,1,0)</f>
        <v>#REF!</v>
      </c>
      <c r="M10205" s="33" t="str">
        <f t="shared" si="639"/>
        <v>P&amp;L</v>
      </c>
    </row>
    <row r="10206" spans="1:13">
      <c r="A10206" s="33" t="str">
        <f t="shared" si="636"/>
        <v>SCL - Facility</v>
      </c>
      <c r="B10206" s="33" t="str">
        <f t="shared" si="637"/>
        <v>SCL</v>
      </c>
      <c r="C10206" s="33" t="str">
        <f t="shared" si="638"/>
        <v>72001-7396</v>
      </c>
      <c r="D10206" s="64" t="s">
        <v>11459</v>
      </c>
      <c r="E10206" s="64" t="s">
        <v>3279</v>
      </c>
      <c r="F10206" s="64" t="s">
        <v>15</v>
      </c>
      <c r="G10206" s="64" t="s">
        <v>3266</v>
      </c>
      <c r="H10206" s="64" t="s">
        <v>3267</v>
      </c>
      <c r="I10206" s="64" t="s">
        <v>3280</v>
      </c>
      <c r="J10206" s="67">
        <v>2235</v>
      </c>
      <c r="K10206" s="62">
        <v>23299.54</v>
      </c>
      <c r="L10206" s="33" t="e">
        <f>HLOOKUP(B10206,#REF!,1,0)</f>
        <v>#REF!</v>
      </c>
      <c r="M10206" s="33" t="str">
        <f t="shared" si="639"/>
        <v>P&amp;L</v>
      </c>
    </row>
    <row r="10207" spans="1:13">
      <c r="A10207" s="33" t="str">
        <f t="shared" si="636"/>
        <v>SCL - Facility</v>
      </c>
      <c r="B10207" s="33" t="str">
        <f t="shared" si="637"/>
        <v>SCL</v>
      </c>
      <c r="C10207" s="33" t="str">
        <f t="shared" si="638"/>
        <v>72001-7397</v>
      </c>
      <c r="D10207" s="64" t="s">
        <v>11460</v>
      </c>
      <c r="E10207" s="64" t="s">
        <v>3279</v>
      </c>
      <c r="F10207" s="64" t="s">
        <v>15</v>
      </c>
      <c r="G10207" s="64" t="s">
        <v>3266</v>
      </c>
      <c r="H10207" s="64" t="s">
        <v>3267</v>
      </c>
      <c r="I10207" s="64" t="s">
        <v>3280</v>
      </c>
      <c r="J10207" s="67">
        <v>1609</v>
      </c>
      <c r="K10207" s="62">
        <v>17010.58</v>
      </c>
      <c r="L10207" s="33" t="e">
        <f>HLOOKUP(B10207,#REF!,1,0)</f>
        <v>#REF!</v>
      </c>
      <c r="M10207" s="33" t="str">
        <f t="shared" si="639"/>
        <v>P&amp;L</v>
      </c>
    </row>
    <row r="10208" spans="1:13">
      <c r="A10208" s="33" t="str">
        <f t="shared" si="636"/>
        <v>SCL - Facility</v>
      </c>
      <c r="B10208" s="33" t="str">
        <f t="shared" si="637"/>
        <v>SCL</v>
      </c>
      <c r="C10208" s="33" t="str">
        <f t="shared" si="638"/>
        <v>72001-7398</v>
      </c>
      <c r="D10208" s="64" t="s">
        <v>11461</v>
      </c>
      <c r="E10208" s="64" t="s">
        <v>3279</v>
      </c>
      <c r="F10208" s="64" t="s">
        <v>15</v>
      </c>
      <c r="G10208" s="64" t="s">
        <v>3266</v>
      </c>
      <c r="H10208" s="64" t="s">
        <v>3267</v>
      </c>
      <c r="I10208" s="64" t="s">
        <v>3280</v>
      </c>
      <c r="J10208" s="67">
        <v>3778</v>
      </c>
      <c r="K10208" s="62">
        <v>37186.66</v>
      </c>
      <c r="L10208" s="33" t="e">
        <f>HLOOKUP(B10208,#REF!,1,0)</f>
        <v>#REF!</v>
      </c>
      <c r="M10208" s="33" t="str">
        <f t="shared" si="639"/>
        <v>P&amp;L</v>
      </c>
    </row>
    <row r="10209" spans="1:13">
      <c r="A10209" s="33" t="str">
        <f t="shared" si="636"/>
        <v>SCL - Facility</v>
      </c>
      <c r="B10209" s="33" t="str">
        <f t="shared" si="637"/>
        <v>SCL</v>
      </c>
      <c r="C10209" s="33" t="str">
        <f t="shared" si="638"/>
        <v>72001-7400</v>
      </c>
      <c r="D10209" s="64" t="s">
        <v>11462</v>
      </c>
      <c r="E10209" s="64" t="s">
        <v>3279</v>
      </c>
      <c r="F10209" s="64" t="s">
        <v>15</v>
      </c>
      <c r="G10209" s="64" t="s">
        <v>3266</v>
      </c>
      <c r="H10209" s="64" t="s">
        <v>3267</v>
      </c>
      <c r="I10209" s="64" t="s">
        <v>3280</v>
      </c>
      <c r="J10209" s="67">
        <v>0</v>
      </c>
      <c r="K10209" s="62">
        <v>10513.94</v>
      </c>
      <c r="L10209" s="33" t="e">
        <f>HLOOKUP(B10209,#REF!,1,0)</f>
        <v>#REF!</v>
      </c>
      <c r="M10209" s="33" t="str">
        <f t="shared" si="639"/>
        <v>P&amp;L</v>
      </c>
    </row>
    <row r="10210" spans="1:13">
      <c r="A10210" s="33" t="str">
        <f t="shared" si="636"/>
        <v>SCL - Facility</v>
      </c>
      <c r="B10210" s="33" t="str">
        <f t="shared" si="637"/>
        <v>SCL</v>
      </c>
      <c r="C10210" s="33" t="str">
        <f t="shared" si="638"/>
        <v>72001-7401</v>
      </c>
      <c r="D10210" s="64" t="s">
        <v>11463</v>
      </c>
      <c r="E10210" s="64" t="s">
        <v>3279</v>
      </c>
      <c r="F10210" s="64" t="s">
        <v>15</v>
      </c>
      <c r="G10210" s="64" t="s">
        <v>3266</v>
      </c>
      <c r="H10210" s="64" t="s">
        <v>3267</v>
      </c>
      <c r="I10210" s="64" t="s">
        <v>3280</v>
      </c>
      <c r="J10210" s="67">
        <v>335</v>
      </c>
      <c r="K10210" s="62">
        <v>4573.66</v>
      </c>
      <c r="L10210" s="33" t="e">
        <f>HLOOKUP(B10210,#REF!,1,0)</f>
        <v>#REF!</v>
      </c>
      <c r="M10210" s="33" t="str">
        <f t="shared" si="639"/>
        <v>P&amp;L</v>
      </c>
    </row>
    <row r="10211" spans="1:13">
      <c r="A10211" s="33" t="str">
        <f t="shared" si="636"/>
        <v>SCL - Facility</v>
      </c>
      <c r="B10211" s="33" t="str">
        <f t="shared" si="637"/>
        <v>SCL</v>
      </c>
      <c r="C10211" s="33" t="str">
        <f t="shared" si="638"/>
        <v>72001-7402</v>
      </c>
      <c r="D10211" s="64" t="s">
        <v>11464</v>
      </c>
      <c r="E10211" s="64" t="s">
        <v>3279</v>
      </c>
      <c r="F10211" s="64" t="s">
        <v>15</v>
      </c>
      <c r="G10211" s="64" t="s">
        <v>3266</v>
      </c>
      <c r="H10211" s="64" t="s">
        <v>3267</v>
      </c>
      <c r="I10211" s="64" t="s">
        <v>3280</v>
      </c>
      <c r="J10211" s="67">
        <v>920</v>
      </c>
      <c r="K10211" s="62">
        <v>10842.36</v>
      </c>
      <c r="L10211" s="33" t="e">
        <f>HLOOKUP(B10211,#REF!,1,0)</f>
        <v>#REF!</v>
      </c>
      <c r="M10211" s="33" t="str">
        <f t="shared" si="639"/>
        <v>P&amp;L</v>
      </c>
    </row>
    <row r="10212" spans="1:13">
      <c r="A10212" s="33" t="str">
        <f t="shared" si="636"/>
        <v>SCL - Facility</v>
      </c>
      <c r="B10212" s="33" t="str">
        <f t="shared" si="637"/>
        <v>SCL</v>
      </c>
      <c r="C10212" s="33" t="str">
        <f t="shared" si="638"/>
        <v>72001-7403</v>
      </c>
      <c r="D10212" s="64" t="s">
        <v>11465</v>
      </c>
      <c r="E10212" s="64" t="s">
        <v>3279</v>
      </c>
      <c r="F10212" s="64" t="s">
        <v>15</v>
      </c>
      <c r="G10212" s="64" t="s">
        <v>3266</v>
      </c>
      <c r="H10212" s="64" t="s">
        <v>3267</v>
      </c>
      <c r="I10212" s="64" t="s">
        <v>3280</v>
      </c>
      <c r="J10212" s="67">
        <v>735.15</v>
      </c>
      <c r="K10212" s="62">
        <v>7745</v>
      </c>
      <c r="L10212" s="33" t="e">
        <f>HLOOKUP(B10212,#REF!,1,0)</f>
        <v>#REF!</v>
      </c>
      <c r="M10212" s="33" t="str">
        <f t="shared" si="639"/>
        <v>P&amp;L</v>
      </c>
    </row>
    <row r="10213" spans="1:13">
      <c r="A10213" s="33" t="str">
        <f t="shared" si="636"/>
        <v>SCL - Facility</v>
      </c>
      <c r="B10213" s="33" t="str">
        <f t="shared" si="637"/>
        <v>SCL</v>
      </c>
      <c r="C10213" s="33" t="str">
        <f t="shared" si="638"/>
        <v>72001-7489</v>
      </c>
      <c r="D10213" s="64" t="s">
        <v>11466</v>
      </c>
      <c r="E10213" s="64" t="s">
        <v>3279</v>
      </c>
      <c r="F10213" s="64" t="s">
        <v>15</v>
      </c>
      <c r="G10213" s="64" t="s">
        <v>3266</v>
      </c>
      <c r="H10213" s="64" t="s">
        <v>3267</v>
      </c>
      <c r="I10213" s="64" t="s">
        <v>3280</v>
      </c>
      <c r="J10213" s="67">
        <v>0</v>
      </c>
      <c r="K10213" s="62">
        <v>17172.17</v>
      </c>
      <c r="L10213" s="33" t="e">
        <f>HLOOKUP(B10213,#REF!,1,0)</f>
        <v>#REF!</v>
      </c>
      <c r="M10213" s="33" t="str">
        <f t="shared" si="639"/>
        <v>P&amp;L</v>
      </c>
    </row>
    <row r="10214" spans="1:13">
      <c r="A10214" s="33" t="str">
        <f t="shared" si="636"/>
        <v>SCL - Facility</v>
      </c>
      <c r="B10214" s="33" t="str">
        <f t="shared" si="637"/>
        <v>SCL</v>
      </c>
      <c r="C10214" s="33" t="str">
        <f t="shared" si="638"/>
        <v>72001-7491</v>
      </c>
      <c r="D10214" s="64" t="s">
        <v>11467</v>
      </c>
      <c r="E10214" s="64" t="s">
        <v>3279</v>
      </c>
      <c r="F10214" s="64" t="s">
        <v>15</v>
      </c>
      <c r="G10214" s="64" t="s">
        <v>3266</v>
      </c>
      <c r="H10214" s="64" t="s">
        <v>3267</v>
      </c>
      <c r="I10214" s="64" t="s">
        <v>3280</v>
      </c>
      <c r="J10214" s="67">
        <v>1441</v>
      </c>
      <c r="K10214" s="62">
        <v>15491.11</v>
      </c>
      <c r="L10214" s="33" t="e">
        <f>HLOOKUP(B10214,#REF!,1,0)</f>
        <v>#REF!</v>
      </c>
      <c r="M10214" s="33" t="str">
        <f t="shared" si="639"/>
        <v>P&amp;L</v>
      </c>
    </row>
    <row r="10215" spans="1:13">
      <c r="A10215" s="33" t="str">
        <f t="shared" si="636"/>
        <v>SCL - Facility</v>
      </c>
      <c r="B10215" s="33" t="str">
        <f t="shared" si="637"/>
        <v>SCL</v>
      </c>
      <c r="C10215" s="33" t="str">
        <f t="shared" si="638"/>
        <v>72001-7492</v>
      </c>
      <c r="D10215" s="64" t="s">
        <v>11468</v>
      </c>
      <c r="E10215" s="64" t="s">
        <v>3279</v>
      </c>
      <c r="F10215" s="64" t="s">
        <v>15</v>
      </c>
      <c r="G10215" s="64" t="s">
        <v>3266</v>
      </c>
      <c r="H10215" s="64" t="s">
        <v>3267</v>
      </c>
      <c r="I10215" s="64" t="s">
        <v>3280</v>
      </c>
      <c r="J10215" s="67">
        <v>2567</v>
      </c>
      <c r="K10215" s="62">
        <v>26297.16</v>
      </c>
      <c r="L10215" s="33" t="e">
        <f>HLOOKUP(B10215,#REF!,1,0)</f>
        <v>#REF!</v>
      </c>
      <c r="M10215" s="33" t="str">
        <f t="shared" si="639"/>
        <v>P&amp;L</v>
      </c>
    </row>
    <row r="10216" spans="1:13">
      <c r="A10216" s="33" t="str">
        <f t="shared" si="636"/>
        <v>SCL - Facility</v>
      </c>
      <c r="B10216" s="33" t="str">
        <f t="shared" si="637"/>
        <v>SCL</v>
      </c>
      <c r="C10216" s="33" t="str">
        <f t="shared" si="638"/>
        <v>72001-7493</v>
      </c>
      <c r="D10216" s="64" t="s">
        <v>11469</v>
      </c>
      <c r="E10216" s="64" t="s">
        <v>3279</v>
      </c>
      <c r="F10216" s="64" t="s">
        <v>15</v>
      </c>
      <c r="G10216" s="64" t="s">
        <v>3266</v>
      </c>
      <c r="H10216" s="64" t="s">
        <v>3267</v>
      </c>
      <c r="I10216" s="64" t="s">
        <v>3280</v>
      </c>
      <c r="J10216" s="67">
        <v>0</v>
      </c>
      <c r="K10216" s="62">
        <v>11211.38</v>
      </c>
      <c r="L10216" s="33" t="e">
        <f>HLOOKUP(B10216,#REF!,1,0)</f>
        <v>#REF!</v>
      </c>
      <c r="M10216" s="33" t="str">
        <f t="shared" si="639"/>
        <v>P&amp;L</v>
      </c>
    </row>
    <row r="10217" spans="1:13">
      <c r="A10217" s="33" t="str">
        <f t="shared" si="636"/>
        <v>SCL - Facility</v>
      </c>
      <c r="B10217" s="33" t="str">
        <f t="shared" si="637"/>
        <v>SCL</v>
      </c>
      <c r="C10217" s="33" t="str">
        <f t="shared" si="638"/>
        <v>72001-7494</v>
      </c>
      <c r="D10217" s="64" t="s">
        <v>11470</v>
      </c>
      <c r="E10217" s="64" t="s">
        <v>3279</v>
      </c>
      <c r="F10217" s="64" t="s">
        <v>15</v>
      </c>
      <c r="G10217" s="64" t="s">
        <v>3266</v>
      </c>
      <c r="H10217" s="64" t="s">
        <v>3267</v>
      </c>
      <c r="I10217" s="64" t="s">
        <v>3280</v>
      </c>
      <c r="J10217" s="67">
        <v>0</v>
      </c>
      <c r="K10217" s="62">
        <v>14272.89</v>
      </c>
      <c r="L10217" s="33" t="e">
        <f>HLOOKUP(B10217,#REF!,1,0)</f>
        <v>#REF!</v>
      </c>
      <c r="M10217" s="33" t="str">
        <f t="shared" si="639"/>
        <v>P&amp;L</v>
      </c>
    </row>
    <row r="10218" spans="1:13">
      <c r="A10218" s="33" t="str">
        <f t="shared" si="636"/>
        <v>SCL - Facility</v>
      </c>
      <c r="B10218" s="33" t="str">
        <f t="shared" si="637"/>
        <v>SCL</v>
      </c>
      <c r="C10218" s="33" t="str">
        <f t="shared" si="638"/>
        <v>72001-7625</v>
      </c>
      <c r="D10218" s="64" t="s">
        <v>11471</v>
      </c>
      <c r="E10218" s="64" t="s">
        <v>3279</v>
      </c>
      <c r="F10218" s="64" t="s">
        <v>15</v>
      </c>
      <c r="G10218" s="64" t="s">
        <v>3266</v>
      </c>
      <c r="H10218" s="64" t="s">
        <v>3267</v>
      </c>
      <c r="I10218" s="64" t="s">
        <v>3280</v>
      </c>
      <c r="J10218" s="67">
        <v>0</v>
      </c>
      <c r="K10218" s="62">
        <v>10096.01</v>
      </c>
      <c r="L10218" s="33" t="e">
        <f>HLOOKUP(B10218,#REF!,1,0)</f>
        <v>#REF!</v>
      </c>
      <c r="M10218" s="33" t="str">
        <f t="shared" si="639"/>
        <v>P&amp;L</v>
      </c>
    </row>
    <row r="10219" spans="1:13">
      <c r="A10219" s="33" t="str">
        <f t="shared" si="636"/>
        <v>SCL - Facility</v>
      </c>
      <c r="B10219" s="33" t="str">
        <f t="shared" si="637"/>
        <v>SCL</v>
      </c>
      <c r="C10219" s="33" t="str">
        <f t="shared" si="638"/>
        <v>72001-8150</v>
      </c>
      <c r="D10219" s="64" t="s">
        <v>11472</v>
      </c>
      <c r="E10219" s="64" t="s">
        <v>3279</v>
      </c>
      <c r="F10219" s="64" t="s">
        <v>15</v>
      </c>
      <c r="G10219" s="64" t="s">
        <v>3266</v>
      </c>
      <c r="H10219" s="64" t="s">
        <v>3267</v>
      </c>
      <c r="I10219" s="64" t="s">
        <v>3280</v>
      </c>
      <c r="J10219" s="67">
        <v>0</v>
      </c>
      <c r="K10219" s="62">
        <v>23023.69</v>
      </c>
      <c r="L10219" s="33" t="e">
        <f>HLOOKUP(B10219,#REF!,1,0)</f>
        <v>#REF!</v>
      </c>
      <c r="M10219" s="33" t="str">
        <f t="shared" si="639"/>
        <v>P&amp;L</v>
      </c>
    </row>
    <row r="10220" spans="1:13">
      <c r="A10220" s="33" t="str">
        <f t="shared" si="636"/>
        <v>SCL - Facility</v>
      </c>
      <c r="B10220" s="33" t="str">
        <f t="shared" si="637"/>
        <v>SCL</v>
      </c>
      <c r="C10220" s="33" t="str">
        <f t="shared" si="638"/>
        <v>73001-7374</v>
      </c>
      <c r="D10220" s="64" t="s">
        <v>11473</v>
      </c>
      <c r="E10220" s="64" t="s">
        <v>3285</v>
      </c>
      <c r="F10220" s="64" t="s">
        <v>15</v>
      </c>
      <c r="G10220" s="64" t="s">
        <v>3266</v>
      </c>
      <c r="H10220" s="64" t="s">
        <v>3267</v>
      </c>
      <c r="I10220" s="64" t="s">
        <v>3286</v>
      </c>
      <c r="J10220" s="67">
        <v>296.93</v>
      </c>
      <c r="K10220" s="62">
        <v>1187.72</v>
      </c>
      <c r="L10220" s="33" t="e">
        <f>HLOOKUP(B10220,#REF!,1,0)</f>
        <v>#REF!</v>
      </c>
      <c r="M10220" s="33" t="str">
        <f t="shared" si="639"/>
        <v>P&amp;L</v>
      </c>
    </row>
    <row r="10221" spans="1:13">
      <c r="A10221" s="33" t="str">
        <f t="shared" si="636"/>
        <v>SCL - Facility</v>
      </c>
      <c r="B10221" s="33" t="str">
        <f t="shared" si="637"/>
        <v>SCL</v>
      </c>
      <c r="C10221" s="33" t="str">
        <f t="shared" si="638"/>
        <v>73001-7386</v>
      </c>
      <c r="D10221" s="64" t="s">
        <v>11474</v>
      </c>
      <c r="E10221" s="64" t="s">
        <v>3285</v>
      </c>
      <c r="F10221" s="64" t="s">
        <v>15</v>
      </c>
      <c r="G10221" s="64" t="s">
        <v>3266</v>
      </c>
      <c r="H10221" s="64" t="s">
        <v>3267</v>
      </c>
      <c r="I10221" s="64" t="s">
        <v>3286</v>
      </c>
      <c r="J10221" s="67">
        <v>49.11</v>
      </c>
      <c r="K10221" s="62">
        <v>196.44</v>
      </c>
      <c r="L10221" s="33" t="e">
        <f>HLOOKUP(B10221,#REF!,1,0)</f>
        <v>#REF!</v>
      </c>
      <c r="M10221" s="33" t="str">
        <f t="shared" si="639"/>
        <v>P&amp;L</v>
      </c>
    </row>
    <row r="10222" spans="1:13">
      <c r="A10222" s="33" t="str">
        <f t="shared" si="636"/>
        <v>SCL - Facility</v>
      </c>
      <c r="B10222" s="33" t="str">
        <f t="shared" si="637"/>
        <v>SCL</v>
      </c>
      <c r="C10222" s="33" t="str">
        <f t="shared" si="638"/>
        <v>73001-7387</v>
      </c>
      <c r="D10222" s="64" t="s">
        <v>11475</v>
      </c>
      <c r="E10222" s="64" t="s">
        <v>3285</v>
      </c>
      <c r="F10222" s="64" t="s">
        <v>15</v>
      </c>
      <c r="G10222" s="64" t="s">
        <v>3266</v>
      </c>
      <c r="H10222" s="64" t="s">
        <v>3267</v>
      </c>
      <c r="I10222" s="64" t="s">
        <v>3286</v>
      </c>
      <c r="J10222" s="67">
        <v>15.31</v>
      </c>
      <c r="K10222" s="62">
        <v>61.24</v>
      </c>
      <c r="L10222" s="33" t="e">
        <f>HLOOKUP(B10222,#REF!,1,0)</f>
        <v>#REF!</v>
      </c>
      <c r="M10222" s="33" t="str">
        <f t="shared" si="639"/>
        <v>P&amp;L</v>
      </c>
    </row>
    <row r="10223" spans="1:13">
      <c r="A10223" s="33" t="str">
        <f t="shared" si="636"/>
        <v>SCL - Facility</v>
      </c>
      <c r="B10223" s="33" t="str">
        <f t="shared" si="637"/>
        <v>SCL</v>
      </c>
      <c r="C10223" s="33" t="str">
        <f t="shared" si="638"/>
        <v>73001-7403</v>
      </c>
      <c r="D10223" s="64" t="s">
        <v>11476</v>
      </c>
      <c r="E10223" s="64" t="s">
        <v>3285</v>
      </c>
      <c r="F10223" s="64" t="s">
        <v>15</v>
      </c>
      <c r="G10223" s="64" t="s">
        <v>3266</v>
      </c>
      <c r="H10223" s="64" t="s">
        <v>3267</v>
      </c>
      <c r="I10223" s="64" t="s">
        <v>3286</v>
      </c>
      <c r="J10223" s="67">
        <v>145.23</v>
      </c>
      <c r="K10223" s="62">
        <v>1152.87</v>
      </c>
      <c r="L10223" s="33" t="e">
        <f>HLOOKUP(B10223,#REF!,1,0)</f>
        <v>#REF!</v>
      </c>
      <c r="M10223" s="33" t="str">
        <f t="shared" si="639"/>
        <v>P&amp;L</v>
      </c>
    </row>
    <row r="10224" spans="1:13">
      <c r="A10224" s="33" t="str">
        <f t="shared" si="636"/>
        <v>SCL - Facility</v>
      </c>
      <c r="B10224" s="33" t="str">
        <f t="shared" si="637"/>
        <v>SCL</v>
      </c>
      <c r="C10224" s="33" t="str">
        <f t="shared" si="638"/>
        <v>74001-0000</v>
      </c>
      <c r="D10224" s="64" t="s">
        <v>11477</v>
      </c>
      <c r="E10224" s="64" t="s">
        <v>3288</v>
      </c>
      <c r="F10224" s="64" t="s">
        <v>15</v>
      </c>
      <c r="G10224" s="64" t="s">
        <v>3266</v>
      </c>
      <c r="H10224" s="64" t="s">
        <v>3267</v>
      </c>
      <c r="I10224" s="64" t="s">
        <v>3286</v>
      </c>
      <c r="J10224" s="67">
        <v>9066.79</v>
      </c>
      <c r="K10224" s="62">
        <v>10518.79</v>
      </c>
      <c r="L10224" s="33" t="e">
        <f>HLOOKUP(B10224,#REF!,1,0)</f>
        <v>#REF!</v>
      </c>
      <c r="M10224" s="33" t="str">
        <f t="shared" si="639"/>
        <v>P&amp;L</v>
      </c>
    </row>
    <row r="10225" spans="1:13">
      <c r="A10225" s="33" t="str">
        <f t="shared" si="636"/>
        <v>SCL - Facility</v>
      </c>
      <c r="B10225" s="33" t="str">
        <f t="shared" si="637"/>
        <v>SCL</v>
      </c>
      <c r="C10225" s="33" t="str">
        <f t="shared" si="638"/>
        <v>74001-7351</v>
      </c>
      <c r="D10225" s="64" t="s">
        <v>11478</v>
      </c>
      <c r="E10225" s="64" t="s">
        <v>3288</v>
      </c>
      <c r="F10225" s="64" t="s">
        <v>15</v>
      </c>
      <c r="G10225" s="64" t="s">
        <v>3266</v>
      </c>
      <c r="H10225" s="64" t="s">
        <v>3267</v>
      </c>
      <c r="I10225" s="64" t="s">
        <v>3286</v>
      </c>
      <c r="J10225" s="67">
        <v>439.62</v>
      </c>
      <c r="K10225" s="62">
        <v>4243.08</v>
      </c>
      <c r="L10225" s="33" t="e">
        <f>HLOOKUP(B10225,#REF!,1,0)</f>
        <v>#REF!</v>
      </c>
      <c r="M10225" s="33" t="str">
        <f t="shared" si="639"/>
        <v>P&amp;L</v>
      </c>
    </row>
    <row r="10226" spans="1:13">
      <c r="A10226" s="33" t="str">
        <f t="shared" si="636"/>
        <v>SCL - Facility</v>
      </c>
      <c r="B10226" s="33" t="str">
        <f t="shared" si="637"/>
        <v>SCL</v>
      </c>
      <c r="C10226" s="33" t="str">
        <f t="shared" si="638"/>
        <v>74001-7352</v>
      </c>
      <c r="D10226" s="64" t="s">
        <v>11479</v>
      </c>
      <c r="E10226" s="64" t="s">
        <v>3288</v>
      </c>
      <c r="F10226" s="64" t="s">
        <v>15</v>
      </c>
      <c r="G10226" s="64" t="s">
        <v>3266</v>
      </c>
      <c r="H10226" s="64" t="s">
        <v>3267</v>
      </c>
      <c r="I10226" s="64" t="s">
        <v>3286</v>
      </c>
      <c r="J10226" s="67">
        <v>439.62</v>
      </c>
      <c r="K10226" s="62">
        <v>4243.07</v>
      </c>
      <c r="L10226" s="33" t="e">
        <f>HLOOKUP(B10226,#REF!,1,0)</f>
        <v>#REF!</v>
      </c>
      <c r="M10226" s="33" t="str">
        <f t="shared" si="639"/>
        <v>P&amp;L</v>
      </c>
    </row>
    <row r="10227" spans="1:13">
      <c r="A10227" s="33" t="str">
        <f t="shared" si="636"/>
        <v>SCL - Facility</v>
      </c>
      <c r="B10227" s="33" t="str">
        <f t="shared" si="637"/>
        <v>SCL</v>
      </c>
      <c r="C10227" s="33" t="str">
        <f t="shared" si="638"/>
        <v>74001-7355</v>
      </c>
      <c r="D10227" s="64" t="s">
        <v>11480</v>
      </c>
      <c r="E10227" s="64" t="s">
        <v>3288</v>
      </c>
      <c r="F10227" s="64" t="s">
        <v>15</v>
      </c>
      <c r="G10227" s="64" t="s">
        <v>3266</v>
      </c>
      <c r="H10227" s="64" t="s">
        <v>3267</v>
      </c>
      <c r="I10227" s="64" t="s">
        <v>3286</v>
      </c>
      <c r="J10227" s="67">
        <v>439.62</v>
      </c>
      <c r="K10227" s="62">
        <v>4243.08</v>
      </c>
      <c r="L10227" s="33" t="e">
        <f>HLOOKUP(B10227,#REF!,1,0)</f>
        <v>#REF!</v>
      </c>
      <c r="M10227" s="33" t="str">
        <f t="shared" si="639"/>
        <v>P&amp;L</v>
      </c>
    </row>
    <row r="10228" spans="1:13">
      <c r="A10228" s="33" t="str">
        <f t="shared" si="636"/>
        <v>SCL - Facility</v>
      </c>
      <c r="B10228" s="33" t="str">
        <f t="shared" si="637"/>
        <v>SCL</v>
      </c>
      <c r="C10228" s="33" t="str">
        <f t="shared" si="638"/>
        <v>74001-7356</v>
      </c>
      <c r="D10228" s="64" t="s">
        <v>11481</v>
      </c>
      <c r="E10228" s="64" t="s">
        <v>3288</v>
      </c>
      <c r="F10228" s="64" t="s">
        <v>15</v>
      </c>
      <c r="G10228" s="64" t="s">
        <v>3266</v>
      </c>
      <c r="H10228" s="64" t="s">
        <v>3267</v>
      </c>
      <c r="I10228" s="64" t="s">
        <v>3286</v>
      </c>
      <c r="J10228" s="67">
        <v>0</v>
      </c>
      <c r="K10228" s="62">
        <v>390.99</v>
      </c>
      <c r="L10228" s="33" t="e">
        <f>HLOOKUP(B10228,#REF!,1,0)</f>
        <v>#REF!</v>
      </c>
      <c r="M10228" s="33" t="str">
        <f t="shared" si="639"/>
        <v>P&amp;L</v>
      </c>
    </row>
    <row r="10229" spans="1:13">
      <c r="A10229" s="33" t="str">
        <f t="shared" si="636"/>
        <v>SCL - Facility</v>
      </c>
      <c r="B10229" s="33" t="str">
        <f t="shared" si="637"/>
        <v>SCL</v>
      </c>
      <c r="C10229" s="33" t="str">
        <f t="shared" si="638"/>
        <v>74001-7359</v>
      </c>
      <c r="D10229" s="64" t="s">
        <v>11482</v>
      </c>
      <c r="E10229" s="64" t="s">
        <v>3288</v>
      </c>
      <c r="F10229" s="64" t="s">
        <v>15</v>
      </c>
      <c r="G10229" s="64" t="s">
        <v>3266</v>
      </c>
      <c r="H10229" s="64" t="s">
        <v>3267</v>
      </c>
      <c r="I10229" s="64" t="s">
        <v>3286</v>
      </c>
      <c r="J10229" s="67">
        <v>439.62</v>
      </c>
      <c r="K10229" s="62">
        <v>4243.08</v>
      </c>
      <c r="L10229" s="33" t="e">
        <f>HLOOKUP(B10229,#REF!,1,0)</f>
        <v>#REF!</v>
      </c>
      <c r="M10229" s="33" t="str">
        <f t="shared" si="639"/>
        <v>P&amp;L</v>
      </c>
    </row>
    <row r="10230" spans="1:13">
      <c r="A10230" s="33" t="str">
        <f t="shared" si="636"/>
        <v>SCL - Facility</v>
      </c>
      <c r="B10230" s="33" t="str">
        <f t="shared" si="637"/>
        <v>SCL</v>
      </c>
      <c r="C10230" s="33" t="str">
        <f t="shared" si="638"/>
        <v>74001-7360</v>
      </c>
      <c r="D10230" s="64" t="s">
        <v>11483</v>
      </c>
      <c r="E10230" s="64" t="s">
        <v>3288</v>
      </c>
      <c r="F10230" s="64" t="s">
        <v>15</v>
      </c>
      <c r="G10230" s="64" t="s">
        <v>3266</v>
      </c>
      <c r="H10230" s="64" t="s">
        <v>3267</v>
      </c>
      <c r="I10230" s="64" t="s">
        <v>3286</v>
      </c>
      <c r="J10230" s="67">
        <v>439.62</v>
      </c>
      <c r="K10230" s="62">
        <v>4243.09</v>
      </c>
      <c r="L10230" s="33" t="e">
        <f>HLOOKUP(B10230,#REF!,1,0)</f>
        <v>#REF!</v>
      </c>
      <c r="M10230" s="33" t="str">
        <f t="shared" si="639"/>
        <v>P&amp;L</v>
      </c>
    </row>
    <row r="10231" spans="1:13">
      <c r="A10231" s="33" t="str">
        <f t="shared" si="636"/>
        <v>SCL - Facility</v>
      </c>
      <c r="B10231" s="33" t="str">
        <f t="shared" si="637"/>
        <v>SCL</v>
      </c>
      <c r="C10231" s="33" t="str">
        <f t="shared" si="638"/>
        <v>74001-7361</v>
      </c>
      <c r="D10231" s="64" t="s">
        <v>11484</v>
      </c>
      <c r="E10231" s="64" t="s">
        <v>3288</v>
      </c>
      <c r="F10231" s="64" t="s">
        <v>15</v>
      </c>
      <c r="G10231" s="64" t="s">
        <v>3266</v>
      </c>
      <c r="H10231" s="64" t="s">
        <v>3267</v>
      </c>
      <c r="I10231" s="64" t="s">
        <v>3286</v>
      </c>
      <c r="J10231" s="67">
        <v>439.62</v>
      </c>
      <c r="K10231" s="62">
        <v>4243.06</v>
      </c>
      <c r="L10231" s="33" t="e">
        <f>HLOOKUP(B10231,#REF!,1,0)</f>
        <v>#REF!</v>
      </c>
      <c r="M10231" s="33" t="str">
        <f t="shared" si="639"/>
        <v>P&amp;L</v>
      </c>
    </row>
    <row r="10232" spans="1:13">
      <c r="A10232" s="33" t="str">
        <f t="shared" si="636"/>
        <v>SCL - Facility</v>
      </c>
      <c r="B10232" s="33" t="str">
        <f t="shared" si="637"/>
        <v>SCL</v>
      </c>
      <c r="C10232" s="33" t="str">
        <f t="shared" si="638"/>
        <v>74001-7362</v>
      </c>
      <c r="D10232" s="64" t="s">
        <v>11485</v>
      </c>
      <c r="E10232" s="64" t="s">
        <v>3288</v>
      </c>
      <c r="F10232" s="64" t="s">
        <v>15</v>
      </c>
      <c r="G10232" s="64" t="s">
        <v>3266</v>
      </c>
      <c r="H10232" s="64" t="s">
        <v>3267</v>
      </c>
      <c r="I10232" s="64" t="s">
        <v>3286</v>
      </c>
      <c r="J10232" s="67">
        <v>439.62</v>
      </c>
      <c r="K10232" s="62">
        <v>4243.04</v>
      </c>
      <c r="L10232" s="33" t="e">
        <f>HLOOKUP(B10232,#REF!,1,0)</f>
        <v>#REF!</v>
      </c>
      <c r="M10232" s="33" t="str">
        <f t="shared" si="639"/>
        <v>P&amp;L</v>
      </c>
    </row>
    <row r="10233" spans="1:13">
      <c r="A10233" s="33" t="str">
        <f t="shared" si="636"/>
        <v>SCL - Facility</v>
      </c>
      <c r="B10233" s="33" t="str">
        <f t="shared" si="637"/>
        <v>SCL</v>
      </c>
      <c r="C10233" s="33" t="str">
        <f t="shared" si="638"/>
        <v>74001-7363</v>
      </c>
      <c r="D10233" s="64" t="s">
        <v>11486</v>
      </c>
      <c r="E10233" s="64" t="s">
        <v>3288</v>
      </c>
      <c r="F10233" s="64" t="s">
        <v>15</v>
      </c>
      <c r="G10233" s="64" t="s">
        <v>3266</v>
      </c>
      <c r="H10233" s="64" t="s">
        <v>3267</v>
      </c>
      <c r="I10233" s="64" t="s">
        <v>3286</v>
      </c>
      <c r="J10233" s="67">
        <v>439.62</v>
      </c>
      <c r="K10233" s="62">
        <v>4243.05</v>
      </c>
      <c r="L10233" s="33" t="e">
        <f>HLOOKUP(B10233,#REF!,1,0)</f>
        <v>#REF!</v>
      </c>
      <c r="M10233" s="33" t="str">
        <f t="shared" si="639"/>
        <v>P&amp;L</v>
      </c>
    </row>
    <row r="10234" spans="1:13">
      <c r="A10234" s="33" t="str">
        <f t="shared" si="636"/>
        <v>SCL - Facility</v>
      </c>
      <c r="B10234" s="33" t="str">
        <f t="shared" si="637"/>
        <v>SCL</v>
      </c>
      <c r="C10234" s="33" t="str">
        <f t="shared" si="638"/>
        <v>74001-7364</v>
      </c>
      <c r="D10234" s="64" t="s">
        <v>11487</v>
      </c>
      <c r="E10234" s="64" t="s">
        <v>3288</v>
      </c>
      <c r="F10234" s="64" t="s">
        <v>15</v>
      </c>
      <c r="G10234" s="64" t="s">
        <v>3266</v>
      </c>
      <c r="H10234" s="64" t="s">
        <v>3267</v>
      </c>
      <c r="I10234" s="64" t="s">
        <v>3286</v>
      </c>
      <c r="J10234" s="67">
        <v>439.62</v>
      </c>
      <c r="K10234" s="62">
        <v>4243.08</v>
      </c>
      <c r="L10234" s="33" t="e">
        <f>HLOOKUP(B10234,#REF!,1,0)</f>
        <v>#REF!</v>
      </c>
      <c r="M10234" s="33" t="str">
        <f t="shared" si="639"/>
        <v>P&amp;L</v>
      </c>
    </row>
    <row r="10235" spans="1:13">
      <c r="A10235" s="33" t="str">
        <f t="shared" si="636"/>
        <v>SCL - Facility</v>
      </c>
      <c r="B10235" s="33" t="str">
        <f t="shared" si="637"/>
        <v>SCL</v>
      </c>
      <c r="C10235" s="33" t="str">
        <f t="shared" si="638"/>
        <v>74001-7365</v>
      </c>
      <c r="D10235" s="64" t="s">
        <v>11488</v>
      </c>
      <c r="E10235" s="64" t="s">
        <v>3288</v>
      </c>
      <c r="F10235" s="64" t="s">
        <v>15</v>
      </c>
      <c r="G10235" s="64" t="s">
        <v>3266</v>
      </c>
      <c r="H10235" s="64" t="s">
        <v>3267</v>
      </c>
      <c r="I10235" s="64" t="s">
        <v>3286</v>
      </c>
      <c r="J10235" s="67">
        <v>439.62</v>
      </c>
      <c r="K10235" s="62">
        <v>4243.06</v>
      </c>
      <c r="L10235" s="33" t="e">
        <f>HLOOKUP(B10235,#REF!,1,0)</f>
        <v>#REF!</v>
      </c>
      <c r="M10235" s="33" t="str">
        <f t="shared" si="639"/>
        <v>P&amp;L</v>
      </c>
    </row>
    <row r="10236" spans="1:13">
      <c r="A10236" s="33" t="str">
        <f t="shared" si="636"/>
        <v>SCL - Facility</v>
      </c>
      <c r="B10236" s="33" t="str">
        <f t="shared" si="637"/>
        <v>SCL</v>
      </c>
      <c r="C10236" s="33" t="str">
        <f t="shared" si="638"/>
        <v>74001-7366</v>
      </c>
      <c r="D10236" s="64" t="s">
        <v>11489</v>
      </c>
      <c r="E10236" s="64" t="s">
        <v>3288</v>
      </c>
      <c r="F10236" s="64" t="s">
        <v>15</v>
      </c>
      <c r="G10236" s="64" t="s">
        <v>3266</v>
      </c>
      <c r="H10236" s="64" t="s">
        <v>3267</v>
      </c>
      <c r="I10236" s="64" t="s">
        <v>3286</v>
      </c>
      <c r="J10236" s="67">
        <v>439.62</v>
      </c>
      <c r="K10236" s="62">
        <v>4243.08</v>
      </c>
      <c r="L10236" s="33" t="e">
        <f>HLOOKUP(B10236,#REF!,1,0)</f>
        <v>#REF!</v>
      </c>
      <c r="M10236" s="33" t="str">
        <f t="shared" si="639"/>
        <v>P&amp;L</v>
      </c>
    </row>
    <row r="10237" spans="1:13">
      <c r="A10237" s="33" t="str">
        <f t="shared" si="636"/>
        <v>SCL - Facility</v>
      </c>
      <c r="B10237" s="33" t="str">
        <f t="shared" si="637"/>
        <v>SCL</v>
      </c>
      <c r="C10237" s="33" t="str">
        <f t="shared" si="638"/>
        <v>74001-7368</v>
      </c>
      <c r="D10237" s="64" t="s">
        <v>11490</v>
      </c>
      <c r="E10237" s="64" t="s">
        <v>3288</v>
      </c>
      <c r="F10237" s="64" t="s">
        <v>15</v>
      </c>
      <c r="G10237" s="64" t="s">
        <v>3266</v>
      </c>
      <c r="H10237" s="64" t="s">
        <v>3267</v>
      </c>
      <c r="I10237" s="64" t="s">
        <v>3286</v>
      </c>
      <c r="J10237" s="67">
        <v>439.62</v>
      </c>
      <c r="K10237" s="62">
        <v>4243.08</v>
      </c>
      <c r="L10237" s="33" t="e">
        <f>HLOOKUP(B10237,#REF!,1,0)</f>
        <v>#REF!</v>
      </c>
      <c r="M10237" s="33" t="str">
        <f t="shared" si="639"/>
        <v>P&amp;L</v>
      </c>
    </row>
    <row r="10238" spans="1:13">
      <c r="A10238" s="33" t="str">
        <f t="shared" si="636"/>
        <v>SCL - Facility</v>
      </c>
      <c r="B10238" s="33" t="str">
        <f t="shared" si="637"/>
        <v>SCL</v>
      </c>
      <c r="C10238" s="33" t="str">
        <f t="shared" si="638"/>
        <v>74001-7369</v>
      </c>
      <c r="D10238" s="64" t="s">
        <v>11491</v>
      </c>
      <c r="E10238" s="64" t="s">
        <v>3288</v>
      </c>
      <c r="F10238" s="64" t="s">
        <v>15</v>
      </c>
      <c r="G10238" s="64" t="s">
        <v>3266</v>
      </c>
      <c r="H10238" s="64" t="s">
        <v>3267</v>
      </c>
      <c r="I10238" s="64" t="s">
        <v>3286</v>
      </c>
      <c r="J10238" s="67">
        <v>439.62</v>
      </c>
      <c r="K10238" s="62">
        <v>4243.06</v>
      </c>
      <c r="L10238" s="33" t="e">
        <f>HLOOKUP(B10238,#REF!,1,0)</f>
        <v>#REF!</v>
      </c>
      <c r="M10238" s="33" t="str">
        <f t="shared" si="639"/>
        <v>P&amp;L</v>
      </c>
    </row>
    <row r="10239" spans="1:13">
      <c r="A10239" s="33" t="str">
        <f t="shared" si="636"/>
        <v>SCL - Facility</v>
      </c>
      <c r="B10239" s="33" t="str">
        <f t="shared" si="637"/>
        <v>SCL</v>
      </c>
      <c r="C10239" s="33" t="str">
        <f t="shared" si="638"/>
        <v>74001-7371</v>
      </c>
      <c r="D10239" s="64" t="s">
        <v>11492</v>
      </c>
      <c r="E10239" s="64" t="s">
        <v>3288</v>
      </c>
      <c r="F10239" s="64" t="s">
        <v>15</v>
      </c>
      <c r="G10239" s="64" t="s">
        <v>3266</v>
      </c>
      <c r="H10239" s="64" t="s">
        <v>3267</v>
      </c>
      <c r="I10239" s="64" t="s">
        <v>3286</v>
      </c>
      <c r="J10239" s="67">
        <v>439.62</v>
      </c>
      <c r="K10239" s="62">
        <v>4243.08</v>
      </c>
      <c r="L10239" s="33" t="e">
        <f>HLOOKUP(B10239,#REF!,1,0)</f>
        <v>#REF!</v>
      </c>
      <c r="M10239" s="33" t="str">
        <f t="shared" si="639"/>
        <v>P&amp;L</v>
      </c>
    </row>
    <row r="10240" spans="1:13">
      <c r="A10240" s="33" t="str">
        <f t="shared" si="636"/>
        <v>SCL - Facility</v>
      </c>
      <c r="B10240" s="33" t="str">
        <f t="shared" si="637"/>
        <v>SCL</v>
      </c>
      <c r="C10240" s="33" t="str">
        <f t="shared" si="638"/>
        <v>74001-7374</v>
      </c>
      <c r="D10240" s="64" t="s">
        <v>11493</v>
      </c>
      <c r="E10240" s="64" t="s">
        <v>3288</v>
      </c>
      <c r="F10240" s="64" t="s">
        <v>15</v>
      </c>
      <c r="G10240" s="64" t="s">
        <v>3266</v>
      </c>
      <c r="H10240" s="64" t="s">
        <v>3267</v>
      </c>
      <c r="I10240" s="64" t="s">
        <v>3286</v>
      </c>
      <c r="J10240" s="67">
        <v>439.62</v>
      </c>
      <c r="K10240" s="62">
        <v>4243.05</v>
      </c>
      <c r="L10240" s="33" t="e">
        <f>HLOOKUP(B10240,#REF!,1,0)</f>
        <v>#REF!</v>
      </c>
      <c r="M10240" s="33" t="str">
        <f t="shared" si="639"/>
        <v>P&amp;L</v>
      </c>
    </row>
    <row r="10241" spans="1:13">
      <c r="A10241" s="33" t="str">
        <f t="shared" si="636"/>
        <v>SCL - Facility</v>
      </c>
      <c r="B10241" s="33" t="str">
        <f t="shared" si="637"/>
        <v>SCL</v>
      </c>
      <c r="C10241" s="33" t="str">
        <f t="shared" si="638"/>
        <v>74001-7375</v>
      </c>
      <c r="D10241" s="64" t="s">
        <v>11494</v>
      </c>
      <c r="E10241" s="64" t="s">
        <v>3288</v>
      </c>
      <c r="F10241" s="64" t="s">
        <v>15</v>
      </c>
      <c r="G10241" s="64" t="s">
        <v>3266</v>
      </c>
      <c r="H10241" s="64" t="s">
        <v>3267</v>
      </c>
      <c r="I10241" s="64" t="s">
        <v>3286</v>
      </c>
      <c r="J10241" s="67">
        <v>439.62</v>
      </c>
      <c r="K10241" s="62">
        <v>4243.07</v>
      </c>
      <c r="L10241" s="33" t="e">
        <f>HLOOKUP(B10241,#REF!,1,0)</f>
        <v>#REF!</v>
      </c>
      <c r="M10241" s="33" t="str">
        <f t="shared" si="639"/>
        <v>P&amp;L</v>
      </c>
    </row>
    <row r="10242" spans="1:13">
      <c r="A10242" s="33" t="str">
        <f t="shared" ref="A10242:A10305" si="640">B10242&amp;" - "&amp;TRIM(H10242)</f>
        <v>SCL - Facility</v>
      </c>
      <c r="B10242" s="33" t="str">
        <f t="shared" ref="B10242:B10305" si="641">LEFT(D10242,3)</f>
        <v>SCL</v>
      </c>
      <c r="C10242" s="33" t="str">
        <f t="shared" ref="C10242:C10305" si="642">RIGHT(D10242,10)</f>
        <v>74001-7376</v>
      </c>
      <c r="D10242" s="64" t="s">
        <v>11495</v>
      </c>
      <c r="E10242" s="64" t="s">
        <v>3288</v>
      </c>
      <c r="F10242" s="64" t="s">
        <v>15</v>
      </c>
      <c r="G10242" s="64" t="s">
        <v>3266</v>
      </c>
      <c r="H10242" s="64" t="s">
        <v>3267</v>
      </c>
      <c r="I10242" s="64" t="s">
        <v>3286</v>
      </c>
      <c r="J10242" s="67">
        <v>439.62</v>
      </c>
      <c r="K10242" s="62">
        <v>4243.08</v>
      </c>
      <c r="L10242" s="33" t="e">
        <f>HLOOKUP(B10242,#REF!,1,0)</f>
        <v>#REF!</v>
      </c>
      <c r="M10242" s="33" t="str">
        <f t="shared" ref="M10242:M10305" si="643">IF(VALUE(LEFT(C10242,5))&gt;40000,"P&amp;L","BS")</f>
        <v>P&amp;L</v>
      </c>
    </row>
    <row r="10243" spans="1:13">
      <c r="A10243" s="33" t="str">
        <f t="shared" si="640"/>
        <v>SCL - Facility</v>
      </c>
      <c r="B10243" s="33" t="str">
        <f t="shared" si="641"/>
        <v>SCL</v>
      </c>
      <c r="C10243" s="33" t="str">
        <f t="shared" si="642"/>
        <v>74001-7377</v>
      </c>
      <c r="D10243" s="64" t="s">
        <v>11496</v>
      </c>
      <c r="E10243" s="64" t="s">
        <v>3288</v>
      </c>
      <c r="F10243" s="64" t="s">
        <v>15</v>
      </c>
      <c r="G10243" s="64" t="s">
        <v>3266</v>
      </c>
      <c r="H10243" s="64" t="s">
        <v>3267</v>
      </c>
      <c r="I10243" s="64" t="s">
        <v>3286</v>
      </c>
      <c r="J10243" s="67">
        <v>439.62</v>
      </c>
      <c r="K10243" s="62">
        <v>4243.05</v>
      </c>
      <c r="L10243" s="33" t="e">
        <f>HLOOKUP(B10243,#REF!,1,0)</f>
        <v>#REF!</v>
      </c>
      <c r="M10243" s="33" t="str">
        <f t="shared" si="643"/>
        <v>P&amp;L</v>
      </c>
    </row>
    <row r="10244" spans="1:13">
      <c r="A10244" s="33" t="str">
        <f t="shared" si="640"/>
        <v>SCL - Facility</v>
      </c>
      <c r="B10244" s="33" t="str">
        <f t="shared" si="641"/>
        <v>SCL</v>
      </c>
      <c r="C10244" s="33" t="str">
        <f t="shared" si="642"/>
        <v>74001-7378</v>
      </c>
      <c r="D10244" s="64" t="s">
        <v>11497</v>
      </c>
      <c r="E10244" s="64" t="s">
        <v>3288</v>
      </c>
      <c r="F10244" s="64" t="s">
        <v>15</v>
      </c>
      <c r="G10244" s="64" t="s">
        <v>3266</v>
      </c>
      <c r="H10244" s="64" t="s">
        <v>3267</v>
      </c>
      <c r="I10244" s="64" t="s">
        <v>3286</v>
      </c>
      <c r="J10244" s="67">
        <v>439.62</v>
      </c>
      <c r="K10244" s="62">
        <v>4243.07</v>
      </c>
      <c r="L10244" s="33" t="e">
        <f>HLOOKUP(B10244,#REF!,1,0)</f>
        <v>#REF!</v>
      </c>
      <c r="M10244" s="33" t="str">
        <f t="shared" si="643"/>
        <v>P&amp;L</v>
      </c>
    </row>
    <row r="10245" spans="1:13">
      <c r="A10245" s="33" t="str">
        <f t="shared" si="640"/>
        <v>SCL - Facility</v>
      </c>
      <c r="B10245" s="33" t="str">
        <f t="shared" si="641"/>
        <v>SCL</v>
      </c>
      <c r="C10245" s="33" t="str">
        <f t="shared" si="642"/>
        <v>74001-7379</v>
      </c>
      <c r="D10245" s="64" t="s">
        <v>11498</v>
      </c>
      <c r="E10245" s="64" t="s">
        <v>3288</v>
      </c>
      <c r="F10245" s="64" t="s">
        <v>15</v>
      </c>
      <c r="G10245" s="64" t="s">
        <v>3266</v>
      </c>
      <c r="H10245" s="64" t="s">
        <v>3267</v>
      </c>
      <c r="I10245" s="64" t="s">
        <v>3286</v>
      </c>
      <c r="J10245" s="67">
        <v>439.62</v>
      </c>
      <c r="K10245" s="62">
        <v>4243.08</v>
      </c>
      <c r="L10245" s="33" t="e">
        <f>HLOOKUP(B10245,#REF!,1,0)</f>
        <v>#REF!</v>
      </c>
      <c r="M10245" s="33" t="str">
        <f t="shared" si="643"/>
        <v>P&amp;L</v>
      </c>
    </row>
    <row r="10246" spans="1:13">
      <c r="A10246" s="33" t="str">
        <f t="shared" si="640"/>
        <v>SCL - Facility</v>
      </c>
      <c r="B10246" s="33" t="str">
        <f t="shared" si="641"/>
        <v>SCL</v>
      </c>
      <c r="C10246" s="33" t="str">
        <f t="shared" si="642"/>
        <v>74001-7380</v>
      </c>
      <c r="D10246" s="64" t="s">
        <v>11499</v>
      </c>
      <c r="E10246" s="64" t="s">
        <v>3288</v>
      </c>
      <c r="F10246" s="64" t="s">
        <v>15</v>
      </c>
      <c r="G10246" s="64" t="s">
        <v>3266</v>
      </c>
      <c r="H10246" s="64" t="s">
        <v>3267</v>
      </c>
      <c r="I10246" s="64" t="s">
        <v>3286</v>
      </c>
      <c r="J10246" s="67">
        <v>439.62</v>
      </c>
      <c r="K10246" s="62">
        <v>4243.04</v>
      </c>
      <c r="L10246" s="33" t="e">
        <f>HLOOKUP(B10246,#REF!,1,0)</f>
        <v>#REF!</v>
      </c>
      <c r="M10246" s="33" t="str">
        <f t="shared" si="643"/>
        <v>P&amp;L</v>
      </c>
    </row>
    <row r="10247" spans="1:13">
      <c r="A10247" s="33" t="str">
        <f t="shared" si="640"/>
        <v>SCL - Facility</v>
      </c>
      <c r="B10247" s="33" t="str">
        <f t="shared" si="641"/>
        <v>SCL</v>
      </c>
      <c r="C10247" s="33" t="str">
        <f t="shared" si="642"/>
        <v>74001-7381</v>
      </c>
      <c r="D10247" s="64" t="s">
        <v>11500</v>
      </c>
      <c r="E10247" s="64" t="s">
        <v>3288</v>
      </c>
      <c r="F10247" s="64" t="s">
        <v>15</v>
      </c>
      <c r="G10247" s="64" t="s">
        <v>3266</v>
      </c>
      <c r="H10247" s="64" t="s">
        <v>3267</v>
      </c>
      <c r="I10247" s="64" t="s">
        <v>3286</v>
      </c>
      <c r="J10247" s="67">
        <v>439.62</v>
      </c>
      <c r="K10247" s="62">
        <v>4243.05</v>
      </c>
      <c r="L10247" s="33" t="e">
        <f>HLOOKUP(B10247,#REF!,1,0)</f>
        <v>#REF!</v>
      </c>
      <c r="M10247" s="33" t="str">
        <f t="shared" si="643"/>
        <v>P&amp;L</v>
      </c>
    </row>
    <row r="10248" spans="1:13">
      <c r="A10248" s="33" t="str">
        <f t="shared" si="640"/>
        <v>SCL - Facility</v>
      </c>
      <c r="B10248" s="33" t="str">
        <f t="shared" si="641"/>
        <v>SCL</v>
      </c>
      <c r="C10248" s="33" t="str">
        <f t="shared" si="642"/>
        <v>74001-7383</v>
      </c>
      <c r="D10248" s="64" t="s">
        <v>11501</v>
      </c>
      <c r="E10248" s="64" t="s">
        <v>3288</v>
      </c>
      <c r="F10248" s="64" t="s">
        <v>15</v>
      </c>
      <c r="G10248" s="64" t="s">
        <v>3266</v>
      </c>
      <c r="H10248" s="64" t="s">
        <v>3267</v>
      </c>
      <c r="I10248" s="64" t="s">
        <v>3286</v>
      </c>
      <c r="J10248" s="67">
        <v>439.62</v>
      </c>
      <c r="K10248" s="62">
        <v>4243.08</v>
      </c>
      <c r="L10248" s="33" t="e">
        <f>HLOOKUP(B10248,#REF!,1,0)</f>
        <v>#REF!</v>
      </c>
      <c r="M10248" s="33" t="str">
        <f t="shared" si="643"/>
        <v>P&amp;L</v>
      </c>
    </row>
    <row r="10249" spans="1:13">
      <c r="A10249" s="33" t="str">
        <f t="shared" si="640"/>
        <v>SCL - Facility</v>
      </c>
      <c r="B10249" s="33" t="str">
        <f t="shared" si="641"/>
        <v>SCL</v>
      </c>
      <c r="C10249" s="33" t="str">
        <f t="shared" si="642"/>
        <v>74001-7385</v>
      </c>
      <c r="D10249" s="64" t="s">
        <v>11502</v>
      </c>
      <c r="E10249" s="64" t="s">
        <v>3288</v>
      </c>
      <c r="F10249" s="64" t="s">
        <v>15</v>
      </c>
      <c r="G10249" s="64" t="s">
        <v>3266</v>
      </c>
      <c r="H10249" s="64" t="s">
        <v>3267</v>
      </c>
      <c r="I10249" s="64" t="s">
        <v>3286</v>
      </c>
      <c r="J10249" s="67">
        <v>439.62</v>
      </c>
      <c r="K10249" s="62">
        <v>4243.06</v>
      </c>
      <c r="L10249" s="33" t="e">
        <f>HLOOKUP(B10249,#REF!,1,0)</f>
        <v>#REF!</v>
      </c>
      <c r="M10249" s="33" t="str">
        <f t="shared" si="643"/>
        <v>P&amp;L</v>
      </c>
    </row>
    <row r="10250" spans="1:13">
      <c r="A10250" s="33" t="str">
        <f t="shared" si="640"/>
        <v>SCL - Facility</v>
      </c>
      <c r="B10250" s="33" t="str">
        <f t="shared" si="641"/>
        <v>SCL</v>
      </c>
      <c r="C10250" s="33" t="str">
        <f t="shared" si="642"/>
        <v>74001-7386</v>
      </c>
      <c r="D10250" s="64" t="s">
        <v>11503</v>
      </c>
      <c r="E10250" s="64" t="s">
        <v>3288</v>
      </c>
      <c r="F10250" s="64" t="s">
        <v>15</v>
      </c>
      <c r="G10250" s="64" t="s">
        <v>3266</v>
      </c>
      <c r="H10250" s="64" t="s">
        <v>3267</v>
      </c>
      <c r="I10250" s="64" t="s">
        <v>3286</v>
      </c>
      <c r="J10250" s="67">
        <v>439.62</v>
      </c>
      <c r="K10250" s="62">
        <v>4243.04</v>
      </c>
      <c r="L10250" s="33" t="e">
        <f>HLOOKUP(B10250,#REF!,1,0)</f>
        <v>#REF!</v>
      </c>
      <c r="M10250" s="33" t="str">
        <f t="shared" si="643"/>
        <v>P&amp;L</v>
      </c>
    </row>
    <row r="10251" spans="1:13">
      <c r="A10251" s="33" t="str">
        <f t="shared" si="640"/>
        <v>SCL - Facility</v>
      </c>
      <c r="B10251" s="33" t="str">
        <f t="shared" si="641"/>
        <v>SCL</v>
      </c>
      <c r="C10251" s="33" t="str">
        <f t="shared" si="642"/>
        <v>74001-7387</v>
      </c>
      <c r="D10251" s="64" t="s">
        <v>11504</v>
      </c>
      <c r="E10251" s="64" t="s">
        <v>3288</v>
      </c>
      <c r="F10251" s="64" t="s">
        <v>15</v>
      </c>
      <c r="G10251" s="64" t="s">
        <v>3266</v>
      </c>
      <c r="H10251" s="64" t="s">
        <v>3267</v>
      </c>
      <c r="I10251" s="64" t="s">
        <v>3286</v>
      </c>
      <c r="J10251" s="67">
        <v>439.62</v>
      </c>
      <c r="K10251" s="62">
        <v>4243.08</v>
      </c>
      <c r="L10251" s="33" t="e">
        <f>HLOOKUP(B10251,#REF!,1,0)</f>
        <v>#REF!</v>
      </c>
      <c r="M10251" s="33" t="str">
        <f t="shared" si="643"/>
        <v>P&amp;L</v>
      </c>
    </row>
    <row r="10252" spans="1:13">
      <c r="A10252" s="33" t="str">
        <f t="shared" si="640"/>
        <v>SCL - Facility</v>
      </c>
      <c r="B10252" s="33" t="str">
        <f t="shared" si="641"/>
        <v>SCL</v>
      </c>
      <c r="C10252" s="33" t="str">
        <f t="shared" si="642"/>
        <v>74001-7389</v>
      </c>
      <c r="D10252" s="64" t="s">
        <v>11505</v>
      </c>
      <c r="E10252" s="64" t="s">
        <v>3288</v>
      </c>
      <c r="F10252" s="64" t="s">
        <v>15</v>
      </c>
      <c r="G10252" s="64" t="s">
        <v>3266</v>
      </c>
      <c r="H10252" s="64" t="s">
        <v>3267</v>
      </c>
      <c r="I10252" s="64" t="s">
        <v>3286</v>
      </c>
      <c r="J10252" s="67">
        <v>439.62</v>
      </c>
      <c r="K10252" s="62">
        <v>4243.08</v>
      </c>
      <c r="L10252" s="33" t="e">
        <f>HLOOKUP(B10252,#REF!,1,0)</f>
        <v>#REF!</v>
      </c>
      <c r="M10252" s="33" t="str">
        <f t="shared" si="643"/>
        <v>P&amp;L</v>
      </c>
    </row>
    <row r="10253" spans="1:13">
      <c r="A10253" s="33" t="str">
        <f t="shared" si="640"/>
        <v>SCL - Facility</v>
      </c>
      <c r="B10253" s="33" t="str">
        <f t="shared" si="641"/>
        <v>SCL</v>
      </c>
      <c r="C10253" s="33" t="str">
        <f t="shared" si="642"/>
        <v>74001-7391</v>
      </c>
      <c r="D10253" s="64" t="s">
        <v>11506</v>
      </c>
      <c r="E10253" s="64" t="s">
        <v>3288</v>
      </c>
      <c r="F10253" s="64" t="s">
        <v>15</v>
      </c>
      <c r="G10253" s="64" t="s">
        <v>3266</v>
      </c>
      <c r="H10253" s="64" t="s">
        <v>3267</v>
      </c>
      <c r="I10253" s="64" t="s">
        <v>3286</v>
      </c>
      <c r="J10253" s="67">
        <v>439.62</v>
      </c>
      <c r="K10253" s="62">
        <v>4243.06</v>
      </c>
      <c r="L10253" s="33" t="e">
        <f>HLOOKUP(B10253,#REF!,1,0)</f>
        <v>#REF!</v>
      </c>
      <c r="M10253" s="33" t="str">
        <f t="shared" si="643"/>
        <v>P&amp;L</v>
      </c>
    </row>
    <row r="10254" spans="1:13">
      <c r="A10254" s="33" t="str">
        <f t="shared" si="640"/>
        <v>SCL - Facility</v>
      </c>
      <c r="B10254" s="33" t="str">
        <f t="shared" si="641"/>
        <v>SCL</v>
      </c>
      <c r="C10254" s="33" t="str">
        <f t="shared" si="642"/>
        <v>74001-7393</v>
      </c>
      <c r="D10254" s="64" t="s">
        <v>11507</v>
      </c>
      <c r="E10254" s="64" t="s">
        <v>3288</v>
      </c>
      <c r="F10254" s="64" t="s">
        <v>15</v>
      </c>
      <c r="G10254" s="64" t="s">
        <v>3266</v>
      </c>
      <c r="H10254" s="64" t="s">
        <v>3267</v>
      </c>
      <c r="I10254" s="64" t="s">
        <v>3286</v>
      </c>
      <c r="J10254" s="67">
        <v>439.62</v>
      </c>
      <c r="K10254" s="62">
        <v>4243.04</v>
      </c>
      <c r="L10254" s="33" t="e">
        <f>HLOOKUP(B10254,#REF!,1,0)</f>
        <v>#REF!</v>
      </c>
      <c r="M10254" s="33" t="str">
        <f t="shared" si="643"/>
        <v>P&amp;L</v>
      </c>
    </row>
    <row r="10255" spans="1:13">
      <c r="A10255" s="33" t="str">
        <f t="shared" si="640"/>
        <v>SCL - Facility</v>
      </c>
      <c r="B10255" s="33" t="str">
        <f t="shared" si="641"/>
        <v>SCL</v>
      </c>
      <c r="C10255" s="33" t="str">
        <f t="shared" si="642"/>
        <v>74001-7394</v>
      </c>
      <c r="D10255" s="64" t="s">
        <v>11508</v>
      </c>
      <c r="E10255" s="64" t="s">
        <v>3288</v>
      </c>
      <c r="F10255" s="64" t="s">
        <v>15</v>
      </c>
      <c r="G10255" s="64" t="s">
        <v>3266</v>
      </c>
      <c r="H10255" s="64" t="s">
        <v>3267</v>
      </c>
      <c r="I10255" s="64" t="s">
        <v>3286</v>
      </c>
      <c r="J10255" s="67">
        <v>439.62</v>
      </c>
      <c r="K10255" s="62">
        <v>4243.06</v>
      </c>
      <c r="L10255" s="33" t="e">
        <f>HLOOKUP(B10255,#REF!,1,0)</f>
        <v>#REF!</v>
      </c>
      <c r="M10255" s="33" t="str">
        <f t="shared" si="643"/>
        <v>P&amp;L</v>
      </c>
    </row>
    <row r="10256" spans="1:13">
      <c r="A10256" s="33" t="str">
        <f t="shared" si="640"/>
        <v>SCL - Facility</v>
      </c>
      <c r="B10256" s="33" t="str">
        <f t="shared" si="641"/>
        <v>SCL</v>
      </c>
      <c r="C10256" s="33" t="str">
        <f t="shared" si="642"/>
        <v>74001-7396</v>
      </c>
      <c r="D10256" s="64" t="s">
        <v>11509</v>
      </c>
      <c r="E10256" s="64" t="s">
        <v>3288</v>
      </c>
      <c r="F10256" s="64" t="s">
        <v>15</v>
      </c>
      <c r="G10256" s="64" t="s">
        <v>3266</v>
      </c>
      <c r="H10256" s="64" t="s">
        <v>3267</v>
      </c>
      <c r="I10256" s="64" t="s">
        <v>3286</v>
      </c>
      <c r="J10256" s="67">
        <v>439.62</v>
      </c>
      <c r="K10256" s="62">
        <v>4243.04</v>
      </c>
      <c r="L10256" s="33" t="e">
        <f>HLOOKUP(B10256,#REF!,1,0)</f>
        <v>#REF!</v>
      </c>
      <c r="M10256" s="33" t="str">
        <f t="shared" si="643"/>
        <v>P&amp;L</v>
      </c>
    </row>
    <row r="10257" spans="1:13">
      <c r="A10257" s="33" t="str">
        <f t="shared" si="640"/>
        <v>SCL - Facility</v>
      </c>
      <c r="B10257" s="33" t="str">
        <f t="shared" si="641"/>
        <v>SCL</v>
      </c>
      <c r="C10257" s="33" t="str">
        <f t="shared" si="642"/>
        <v>74001-7397</v>
      </c>
      <c r="D10257" s="64" t="s">
        <v>11510</v>
      </c>
      <c r="E10257" s="64" t="s">
        <v>3288</v>
      </c>
      <c r="F10257" s="64" t="s">
        <v>15</v>
      </c>
      <c r="G10257" s="64" t="s">
        <v>3266</v>
      </c>
      <c r="H10257" s="64" t="s">
        <v>3267</v>
      </c>
      <c r="I10257" s="64" t="s">
        <v>3286</v>
      </c>
      <c r="J10257" s="67">
        <v>439.62</v>
      </c>
      <c r="K10257" s="62">
        <v>4243.09</v>
      </c>
      <c r="L10257" s="33" t="e">
        <f>HLOOKUP(B10257,#REF!,1,0)</f>
        <v>#REF!</v>
      </c>
      <c r="M10257" s="33" t="str">
        <f t="shared" si="643"/>
        <v>P&amp;L</v>
      </c>
    </row>
    <row r="10258" spans="1:13">
      <c r="A10258" s="33" t="str">
        <f t="shared" si="640"/>
        <v>SCL - Facility</v>
      </c>
      <c r="B10258" s="33" t="str">
        <f t="shared" si="641"/>
        <v>SCL</v>
      </c>
      <c r="C10258" s="33" t="str">
        <f t="shared" si="642"/>
        <v>74001-7398</v>
      </c>
      <c r="D10258" s="64" t="s">
        <v>11511</v>
      </c>
      <c r="E10258" s="64" t="s">
        <v>3288</v>
      </c>
      <c r="F10258" s="64" t="s">
        <v>15</v>
      </c>
      <c r="G10258" s="64" t="s">
        <v>3266</v>
      </c>
      <c r="H10258" s="64" t="s">
        <v>3267</v>
      </c>
      <c r="I10258" s="64" t="s">
        <v>3286</v>
      </c>
      <c r="J10258" s="67">
        <v>439.62</v>
      </c>
      <c r="K10258" s="62">
        <v>4243.06</v>
      </c>
      <c r="L10258" s="33" t="e">
        <f>HLOOKUP(B10258,#REF!,1,0)</f>
        <v>#REF!</v>
      </c>
      <c r="M10258" s="33" t="str">
        <f t="shared" si="643"/>
        <v>P&amp;L</v>
      </c>
    </row>
    <row r="10259" spans="1:13">
      <c r="A10259" s="33" t="str">
        <f t="shared" si="640"/>
        <v>SCL - Facility</v>
      </c>
      <c r="B10259" s="33" t="str">
        <f t="shared" si="641"/>
        <v>SCL</v>
      </c>
      <c r="C10259" s="33" t="str">
        <f t="shared" si="642"/>
        <v>74001-7400</v>
      </c>
      <c r="D10259" s="64" t="s">
        <v>11512</v>
      </c>
      <c r="E10259" s="64" t="s">
        <v>3288</v>
      </c>
      <c r="F10259" s="64" t="s">
        <v>15</v>
      </c>
      <c r="G10259" s="64" t="s">
        <v>3266</v>
      </c>
      <c r="H10259" s="64" t="s">
        <v>3267</v>
      </c>
      <c r="I10259" s="64" t="s">
        <v>3286</v>
      </c>
      <c r="J10259" s="67">
        <v>439.62</v>
      </c>
      <c r="K10259" s="62">
        <v>4243.08</v>
      </c>
      <c r="L10259" s="33" t="e">
        <f>HLOOKUP(B10259,#REF!,1,0)</f>
        <v>#REF!</v>
      </c>
      <c r="M10259" s="33" t="str">
        <f t="shared" si="643"/>
        <v>P&amp;L</v>
      </c>
    </row>
    <row r="10260" spans="1:13">
      <c r="A10260" s="33" t="str">
        <f t="shared" si="640"/>
        <v>SCL - Facility</v>
      </c>
      <c r="B10260" s="33" t="str">
        <f t="shared" si="641"/>
        <v>SCL</v>
      </c>
      <c r="C10260" s="33" t="str">
        <f t="shared" si="642"/>
        <v>74001-7401</v>
      </c>
      <c r="D10260" s="64" t="s">
        <v>11513</v>
      </c>
      <c r="E10260" s="64" t="s">
        <v>3288</v>
      </c>
      <c r="F10260" s="64" t="s">
        <v>15</v>
      </c>
      <c r="G10260" s="64" t="s">
        <v>3266</v>
      </c>
      <c r="H10260" s="64" t="s">
        <v>3267</v>
      </c>
      <c r="I10260" s="64" t="s">
        <v>3286</v>
      </c>
      <c r="J10260" s="67">
        <v>439.62</v>
      </c>
      <c r="K10260" s="62">
        <v>4243.08</v>
      </c>
      <c r="L10260" s="33" t="e">
        <f>HLOOKUP(B10260,#REF!,1,0)</f>
        <v>#REF!</v>
      </c>
      <c r="M10260" s="33" t="str">
        <f t="shared" si="643"/>
        <v>P&amp;L</v>
      </c>
    </row>
    <row r="10261" spans="1:13">
      <c r="A10261" s="33" t="str">
        <f t="shared" si="640"/>
        <v>SCL - Facility</v>
      </c>
      <c r="B10261" s="33" t="str">
        <f t="shared" si="641"/>
        <v>SCL</v>
      </c>
      <c r="C10261" s="33" t="str">
        <f t="shared" si="642"/>
        <v>74001-7402</v>
      </c>
      <c r="D10261" s="64" t="s">
        <v>11514</v>
      </c>
      <c r="E10261" s="64" t="s">
        <v>3288</v>
      </c>
      <c r="F10261" s="64" t="s">
        <v>15</v>
      </c>
      <c r="G10261" s="64" t="s">
        <v>3266</v>
      </c>
      <c r="H10261" s="64" t="s">
        <v>3267</v>
      </c>
      <c r="I10261" s="64" t="s">
        <v>3286</v>
      </c>
      <c r="J10261" s="67">
        <v>439.62</v>
      </c>
      <c r="K10261" s="62">
        <v>4243.07</v>
      </c>
      <c r="L10261" s="33" t="e">
        <f>HLOOKUP(B10261,#REF!,1,0)</f>
        <v>#REF!</v>
      </c>
      <c r="M10261" s="33" t="str">
        <f t="shared" si="643"/>
        <v>P&amp;L</v>
      </c>
    </row>
    <row r="10262" spans="1:13">
      <c r="A10262" s="33" t="str">
        <f t="shared" si="640"/>
        <v>SCL - Facility</v>
      </c>
      <c r="B10262" s="33" t="str">
        <f t="shared" si="641"/>
        <v>SCL</v>
      </c>
      <c r="C10262" s="33" t="str">
        <f t="shared" si="642"/>
        <v>74001-7403</v>
      </c>
      <c r="D10262" s="64" t="s">
        <v>11515</v>
      </c>
      <c r="E10262" s="64" t="s">
        <v>3288</v>
      </c>
      <c r="F10262" s="64" t="s">
        <v>15</v>
      </c>
      <c r="G10262" s="64" t="s">
        <v>3266</v>
      </c>
      <c r="H10262" s="64" t="s">
        <v>3267</v>
      </c>
      <c r="I10262" s="64" t="s">
        <v>3286</v>
      </c>
      <c r="J10262" s="67">
        <v>439.62</v>
      </c>
      <c r="K10262" s="62">
        <v>4243.07</v>
      </c>
      <c r="L10262" s="33" t="e">
        <f>HLOOKUP(B10262,#REF!,1,0)</f>
        <v>#REF!</v>
      </c>
      <c r="M10262" s="33" t="str">
        <f t="shared" si="643"/>
        <v>P&amp;L</v>
      </c>
    </row>
    <row r="10263" spans="1:13">
      <c r="A10263" s="33" t="str">
        <f t="shared" si="640"/>
        <v>SCL - Facility</v>
      </c>
      <c r="B10263" s="33" t="str">
        <f t="shared" si="641"/>
        <v>SCL</v>
      </c>
      <c r="C10263" s="33" t="str">
        <f t="shared" si="642"/>
        <v>74001-7489</v>
      </c>
      <c r="D10263" s="64" t="s">
        <v>11516</v>
      </c>
      <c r="E10263" s="64" t="s">
        <v>3288</v>
      </c>
      <c r="F10263" s="64" t="s">
        <v>15</v>
      </c>
      <c r="G10263" s="64" t="s">
        <v>3266</v>
      </c>
      <c r="H10263" s="64" t="s">
        <v>3267</v>
      </c>
      <c r="I10263" s="64" t="s">
        <v>3286</v>
      </c>
      <c r="J10263" s="67">
        <v>439.62</v>
      </c>
      <c r="K10263" s="62">
        <v>4243.07</v>
      </c>
      <c r="L10263" s="33" t="e">
        <f>HLOOKUP(B10263,#REF!,1,0)</f>
        <v>#REF!</v>
      </c>
      <c r="M10263" s="33" t="str">
        <f t="shared" si="643"/>
        <v>P&amp;L</v>
      </c>
    </row>
    <row r="10264" spans="1:13">
      <c r="A10264" s="33" t="str">
        <f t="shared" si="640"/>
        <v>SCL - Facility</v>
      </c>
      <c r="B10264" s="33" t="str">
        <f t="shared" si="641"/>
        <v>SCL</v>
      </c>
      <c r="C10264" s="33" t="str">
        <f t="shared" si="642"/>
        <v>74001-7491</v>
      </c>
      <c r="D10264" s="64" t="s">
        <v>11517</v>
      </c>
      <c r="E10264" s="64" t="s">
        <v>3288</v>
      </c>
      <c r="F10264" s="64" t="s">
        <v>15</v>
      </c>
      <c r="G10264" s="64" t="s">
        <v>3266</v>
      </c>
      <c r="H10264" s="64" t="s">
        <v>3267</v>
      </c>
      <c r="I10264" s="64" t="s">
        <v>3286</v>
      </c>
      <c r="J10264" s="67">
        <v>439.62</v>
      </c>
      <c r="K10264" s="62">
        <v>4243.06</v>
      </c>
      <c r="L10264" s="33" t="e">
        <f>HLOOKUP(B10264,#REF!,1,0)</f>
        <v>#REF!</v>
      </c>
      <c r="M10264" s="33" t="str">
        <f t="shared" si="643"/>
        <v>P&amp;L</v>
      </c>
    </row>
    <row r="10265" spans="1:13">
      <c r="A10265" s="33" t="str">
        <f t="shared" si="640"/>
        <v>SCL - Facility</v>
      </c>
      <c r="B10265" s="33" t="str">
        <f t="shared" si="641"/>
        <v>SCL</v>
      </c>
      <c r="C10265" s="33" t="str">
        <f t="shared" si="642"/>
        <v>74001-7492</v>
      </c>
      <c r="D10265" s="64" t="s">
        <v>11518</v>
      </c>
      <c r="E10265" s="64" t="s">
        <v>3288</v>
      </c>
      <c r="F10265" s="64" t="s">
        <v>15</v>
      </c>
      <c r="G10265" s="64" t="s">
        <v>3266</v>
      </c>
      <c r="H10265" s="64" t="s">
        <v>3267</v>
      </c>
      <c r="I10265" s="64" t="s">
        <v>3286</v>
      </c>
      <c r="J10265" s="67">
        <v>439.62</v>
      </c>
      <c r="K10265" s="62">
        <v>4243.06</v>
      </c>
      <c r="L10265" s="33" t="e">
        <f>HLOOKUP(B10265,#REF!,1,0)</f>
        <v>#REF!</v>
      </c>
      <c r="M10265" s="33" t="str">
        <f t="shared" si="643"/>
        <v>P&amp;L</v>
      </c>
    </row>
    <row r="10266" spans="1:13">
      <c r="A10266" s="33" t="str">
        <f t="shared" si="640"/>
        <v>SCL - Facility</v>
      </c>
      <c r="B10266" s="33" t="str">
        <f t="shared" si="641"/>
        <v>SCL</v>
      </c>
      <c r="C10266" s="33" t="str">
        <f t="shared" si="642"/>
        <v>74001-7493</v>
      </c>
      <c r="D10266" s="64" t="s">
        <v>11519</v>
      </c>
      <c r="E10266" s="64" t="s">
        <v>3288</v>
      </c>
      <c r="F10266" s="64" t="s">
        <v>15</v>
      </c>
      <c r="G10266" s="64" t="s">
        <v>3266</v>
      </c>
      <c r="H10266" s="64" t="s">
        <v>3267</v>
      </c>
      <c r="I10266" s="64" t="s">
        <v>3286</v>
      </c>
      <c r="J10266" s="67">
        <v>439.62</v>
      </c>
      <c r="K10266" s="62">
        <v>4243.08</v>
      </c>
      <c r="L10266" s="33" t="e">
        <f>HLOOKUP(B10266,#REF!,1,0)</f>
        <v>#REF!</v>
      </c>
      <c r="M10266" s="33" t="str">
        <f t="shared" si="643"/>
        <v>P&amp;L</v>
      </c>
    </row>
    <row r="10267" spans="1:13">
      <c r="A10267" s="33" t="str">
        <f t="shared" si="640"/>
        <v>SCL - Facility</v>
      </c>
      <c r="B10267" s="33" t="str">
        <f t="shared" si="641"/>
        <v>SCL</v>
      </c>
      <c r="C10267" s="33" t="str">
        <f t="shared" si="642"/>
        <v>74001-7494</v>
      </c>
      <c r="D10267" s="64" t="s">
        <v>11520</v>
      </c>
      <c r="E10267" s="64" t="s">
        <v>3288</v>
      </c>
      <c r="F10267" s="64" t="s">
        <v>15</v>
      </c>
      <c r="G10267" s="64" t="s">
        <v>3266</v>
      </c>
      <c r="H10267" s="64" t="s">
        <v>3267</v>
      </c>
      <c r="I10267" s="64" t="s">
        <v>3286</v>
      </c>
      <c r="J10267" s="67">
        <v>439.62</v>
      </c>
      <c r="K10267" s="62">
        <v>4243.04</v>
      </c>
      <c r="L10267" s="33" t="e">
        <f>HLOOKUP(B10267,#REF!,1,0)</f>
        <v>#REF!</v>
      </c>
      <c r="M10267" s="33" t="str">
        <f t="shared" si="643"/>
        <v>P&amp;L</v>
      </c>
    </row>
    <row r="10268" spans="1:13">
      <c r="A10268" s="33" t="str">
        <f t="shared" si="640"/>
        <v>SCL - Facility</v>
      </c>
      <c r="B10268" s="33" t="str">
        <f t="shared" si="641"/>
        <v>SCL</v>
      </c>
      <c r="C10268" s="33" t="str">
        <f t="shared" si="642"/>
        <v>74001-7625</v>
      </c>
      <c r="D10268" s="64" t="s">
        <v>11521</v>
      </c>
      <c r="E10268" s="64" t="s">
        <v>3288</v>
      </c>
      <c r="F10268" s="64" t="s">
        <v>15</v>
      </c>
      <c r="G10268" s="64" t="s">
        <v>3266</v>
      </c>
      <c r="H10268" s="64" t="s">
        <v>3267</v>
      </c>
      <c r="I10268" s="64" t="s">
        <v>3286</v>
      </c>
      <c r="J10268" s="67">
        <v>439.62</v>
      </c>
      <c r="K10268" s="62">
        <v>4243.06</v>
      </c>
      <c r="L10268" s="33" t="e">
        <f>HLOOKUP(B10268,#REF!,1,0)</f>
        <v>#REF!</v>
      </c>
      <c r="M10268" s="33" t="str">
        <f t="shared" si="643"/>
        <v>P&amp;L</v>
      </c>
    </row>
    <row r="10269" spans="1:13">
      <c r="A10269" s="33" t="str">
        <f t="shared" si="640"/>
        <v>SCL - Facility</v>
      </c>
      <c r="B10269" s="33" t="str">
        <f t="shared" si="641"/>
        <v>SCL</v>
      </c>
      <c r="C10269" s="33" t="str">
        <f t="shared" si="642"/>
        <v>74001-8150</v>
      </c>
      <c r="D10269" s="64" t="s">
        <v>11522</v>
      </c>
      <c r="E10269" s="64" t="s">
        <v>3288</v>
      </c>
      <c r="F10269" s="64" t="s">
        <v>15</v>
      </c>
      <c r="G10269" s="64" t="s">
        <v>3266</v>
      </c>
      <c r="H10269" s="64" t="s">
        <v>3267</v>
      </c>
      <c r="I10269" s="64" t="s">
        <v>3286</v>
      </c>
      <c r="J10269" s="67">
        <v>439.62</v>
      </c>
      <c r="K10269" s="62">
        <v>4244.25</v>
      </c>
      <c r="L10269" s="33" t="e">
        <f>HLOOKUP(B10269,#REF!,1,0)</f>
        <v>#REF!</v>
      </c>
      <c r="M10269" s="33" t="str">
        <f t="shared" si="643"/>
        <v>P&amp;L</v>
      </c>
    </row>
    <row r="10270" spans="1:13">
      <c r="A10270" s="33" t="str">
        <f t="shared" si="640"/>
        <v>SCL - Facility</v>
      </c>
      <c r="B10270" s="33" t="str">
        <f t="shared" si="641"/>
        <v>SCL</v>
      </c>
      <c r="C10270" s="33" t="str">
        <f t="shared" si="642"/>
        <v>75001-0000</v>
      </c>
      <c r="D10270" s="64" t="s">
        <v>11523</v>
      </c>
      <c r="E10270" s="64" t="s">
        <v>3293</v>
      </c>
      <c r="F10270" s="64" t="s">
        <v>15</v>
      </c>
      <c r="G10270" s="64" t="s">
        <v>3266</v>
      </c>
      <c r="H10270" s="64" t="s">
        <v>3267</v>
      </c>
      <c r="I10270" s="64" t="s">
        <v>3294</v>
      </c>
      <c r="J10270" s="67">
        <v>0</v>
      </c>
      <c r="K10270" s="62">
        <v>5155.16</v>
      </c>
      <c r="L10270" s="33" t="e">
        <f>HLOOKUP(B10270,#REF!,1,0)</f>
        <v>#REF!</v>
      </c>
      <c r="M10270" s="33" t="str">
        <f t="shared" si="643"/>
        <v>P&amp;L</v>
      </c>
    </row>
    <row r="10271" spans="1:13">
      <c r="A10271" s="33" t="str">
        <f t="shared" si="640"/>
        <v>SCL - Facility</v>
      </c>
      <c r="B10271" s="33" t="str">
        <f t="shared" si="641"/>
        <v>SCL</v>
      </c>
      <c r="C10271" s="33" t="str">
        <f t="shared" si="642"/>
        <v>75001-7351</v>
      </c>
      <c r="D10271" s="64" t="s">
        <v>11524</v>
      </c>
      <c r="E10271" s="64" t="s">
        <v>3293</v>
      </c>
      <c r="F10271" s="64" t="s">
        <v>15</v>
      </c>
      <c r="G10271" s="64" t="s">
        <v>3266</v>
      </c>
      <c r="H10271" s="64" t="s">
        <v>3267</v>
      </c>
      <c r="I10271" s="64" t="s">
        <v>3294</v>
      </c>
      <c r="J10271" s="67">
        <v>1021.7</v>
      </c>
      <c r="K10271" s="62">
        <v>4674.23</v>
      </c>
      <c r="L10271" s="33" t="e">
        <f>HLOOKUP(B10271,#REF!,1,0)</f>
        <v>#REF!</v>
      </c>
      <c r="M10271" s="33" t="str">
        <f t="shared" si="643"/>
        <v>P&amp;L</v>
      </c>
    </row>
    <row r="10272" spans="1:13">
      <c r="A10272" s="33" t="str">
        <f t="shared" si="640"/>
        <v>SCL - Facility</v>
      </c>
      <c r="B10272" s="33" t="str">
        <f t="shared" si="641"/>
        <v>SCL</v>
      </c>
      <c r="C10272" s="33" t="str">
        <f t="shared" si="642"/>
        <v>75001-7352</v>
      </c>
      <c r="D10272" s="64" t="s">
        <v>11525</v>
      </c>
      <c r="E10272" s="64" t="s">
        <v>3293</v>
      </c>
      <c r="F10272" s="64" t="s">
        <v>15</v>
      </c>
      <c r="G10272" s="64" t="s">
        <v>3266</v>
      </c>
      <c r="H10272" s="64" t="s">
        <v>3267</v>
      </c>
      <c r="I10272" s="64" t="s">
        <v>3294</v>
      </c>
      <c r="J10272" s="67">
        <v>241.95</v>
      </c>
      <c r="K10272" s="62">
        <v>2153.56</v>
      </c>
      <c r="L10272" s="33" t="e">
        <f>HLOOKUP(B10272,#REF!,1,0)</f>
        <v>#REF!</v>
      </c>
      <c r="M10272" s="33" t="str">
        <f t="shared" si="643"/>
        <v>P&amp;L</v>
      </c>
    </row>
    <row r="10273" spans="1:13">
      <c r="A10273" s="33" t="str">
        <f t="shared" si="640"/>
        <v>SCL - Facility</v>
      </c>
      <c r="B10273" s="33" t="str">
        <f t="shared" si="641"/>
        <v>SCL</v>
      </c>
      <c r="C10273" s="33" t="str">
        <f t="shared" si="642"/>
        <v>75001-7355</v>
      </c>
      <c r="D10273" s="64" t="s">
        <v>11526</v>
      </c>
      <c r="E10273" s="64" t="s">
        <v>3293</v>
      </c>
      <c r="F10273" s="64" t="s">
        <v>15</v>
      </c>
      <c r="G10273" s="64" t="s">
        <v>3266</v>
      </c>
      <c r="H10273" s="64" t="s">
        <v>3267</v>
      </c>
      <c r="I10273" s="64" t="s">
        <v>3294</v>
      </c>
      <c r="J10273" s="67">
        <v>1021.7</v>
      </c>
      <c r="K10273" s="62">
        <v>4740.81</v>
      </c>
      <c r="L10273" s="33" t="e">
        <f>HLOOKUP(B10273,#REF!,1,0)</f>
        <v>#REF!</v>
      </c>
      <c r="M10273" s="33" t="str">
        <f t="shared" si="643"/>
        <v>P&amp;L</v>
      </c>
    </row>
    <row r="10274" spans="1:13">
      <c r="A10274" s="33" t="str">
        <f t="shared" si="640"/>
        <v>SCL - Facility</v>
      </c>
      <c r="B10274" s="33" t="str">
        <f t="shared" si="641"/>
        <v>SCL</v>
      </c>
      <c r="C10274" s="33" t="str">
        <f t="shared" si="642"/>
        <v>75001-7356</v>
      </c>
      <c r="D10274" s="64" t="s">
        <v>11527</v>
      </c>
      <c r="E10274" s="64" t="s">
        <v>3293</v>
      </c>
      <c r="F10274" s="64" t="s">
        <v>15</v>
      </c>
      <c r="G10274" s="64" t="s">
        <v>3266</v>
      </c>
      <c r="H10274" s="64" t="s">
        <v>3267</v>
      </c>
      <c r="I10274" s="64" t="s">
        <v>3294</v>
      </c>
      <c r="J10274" s="67">
        <v>0</v>
      </c>
      <c r="K10274" s="62">
        <v>838</v>
      </c>
      <c r="L10274" s="33" t="e">
        <f>HLOOKUP(B10274,#REF!,1,0)</f>
        <v>#REF!</v>
      </c>
      <c r="M10274" s="33" t="str">
        <f t="shared" si="643"/>
        <v>P&amp;L</v>
      </c>
    </row>
    <row r="10275" spans="1:13">
      <c r="A10275" s="33" t="str">
        <f t="shared" si="640"/>
        <v>SCL - Facility</v>
      </c>
      <c r="B10275" s="33" t="str">
        <f t="shared" si="641"/>
        <v>SCL</v>
      </c>
      <c r="C10275" s="33" t="str">
        <f t="shared" si="642"/>
        <v>75001-7359</v>
      </c>
      <c r="D10275" s="64" t="s">
        <v>11528</v>
      </c>
      <c r="E10275" s="64" t="s">
        <v>3293</v>
      </c>
      <c r="F10275" s="64" t="s">
        <v>15</v>
      </c>
      <c r="G10275" s="64" t="s">
        <v>3266</v>
      </c>
      <c r="H10275" s="64" t="s">
        <v>3267</v>
      </c>
      <c r="I10275" s="64" t="s">
        <v>3294</v>
      </c>
      <c r="J10275" s="67">
        <v>347.7</v>
      </c>
      <c r="K10275" s="62">
        <v>3457.15</v>
      </c>
      <c r="L10275" s="33" t="e">
        <f>HLOOKUP(B10275,#REF!,1,0)</f>
        <v>#REF!</v>
      </c>
      <c r="M10275" s="33" t="str">
        <f t="shared" si="643"/>
        <v>P&amp;L</v>
      </c>
    </row>
    <row r="10276" spans="1:13">
      <c r="A10276" s="33" t="str">
        <f t="shared" si="640"/>
        <v>SCL - Facility</v>
      </c>
      <c r="B10276" s="33" t="str">
        <f t="shared" si="641"/>
        <v>SCL</v>
      </c>
      <c r="C10276" s="33" t="str">
        <f t="shared" si="642"/>
        <v>75001-7360</v>
      </c>
      <c r="D10276" s="64" t="s">
        <v>11529</v>
      </c>
      <c r="E10276" s="64" t="s">
        <v>3293</v>
      </c>
      <c r="F10276" s="64" t="s">
        <v>15</v>
      </c>
      <c r="G10276" s="64" t="s">
        <v>3266</v>
      </c>
      <c r="H10276" s="64" t="s">
        <v>3267</v>
      </c>
      <c r="I10276" s="64" t="s">
        <v>3294</v>
      </c>
      <c r="J10276" s="67">
        <v>241.95</v>
      </c>
      <c r="K10276" s="62">
        <v>3394.04</v>
      </c>
      <c r="L10276" s="33" t="e">
        <f>HLOOKUP(B10276,#REF!,1,0)</f>
        <v>#REF!</v>
      </c>
      <c r="M10276" s="33" t="str">
        <f t="shared" si="643"/>
        <v>P&amp;L</v>
      </c>
    </row>
    <row r="10277" spans="1:13">
      <c r="A10277" s="33" t="str">
        <f t="shared" si="640"/>
        <v>SCL - Facility</v>
      </c>
      <c r="B10277" s="33" t="str">
        <f t="shared" si="641"/>
        <v>SCL</v>
      </c>
      <c r="C10277" s="33" t="str">
        <f t="shared" si="642"/>
        <v>75001-7361</v>
      </c>
      <c r="D10277" s="64" t="s">
        <v>11530</v>
      </c>
      <c r="E10277" s="64" t="s">
        <v>3293</v>
      </c>
      <c r="F10277" s="64" t="s">
        <v>15</v>
      </c>
      <c r="G10277" s="64" t="s">
        <v>3266</v>
      </c>
      <c r="H10277" s="64" t="s">
        <v>3267</v>
      </c>
      <c r="I10277" s="64" t="s">
        <v>3294</v>
      </c>
      <c r="J10277" s="67">
        <v>0</v>
      </c>
      <c r="K10277" s="62">
        <v>1713.3</v>
      </c>
      <c r="L10277" s="33" t="e">
        <f>HLOOKUP(B10277,#REF!,1,0)</f>
        <v>#REF!</v>
      </c>
      <c r="M10277" s="33" t="str">
        <f t="shared" si="643"/>
        <v>P&amp;L</v>
      </c>
    </row>
    <row r="10278" spans="1:13">
      <c r="A10278" s="33" t="str">
        <f t="shared" si="640"/>
        <v>SCL - Facility</v>
      </c>
      <c r="B10278" s="33" t="str">
        <f t="shared" si="641"/>
        <v>SCL</v>
      </c>
      <c r="C10278" s="33" t="str">
        <f t="shared" si="642"/>
        <v>75001-7362</v>
      </c>
      <c r="D10278" s="64" t="s">
        <v>11531</v>
      </c>
      <c r="E10278" s="64" t="s">
        <v>3293</v>
      </c>
      <c r="F10278" s="64" t="s">
        <v>15</v>
      </c>
      <c r="G10278" s="64" t="s">
        <v>3266</v>
      </c>
      <c r="H10278" s="64" t="s">
        <v>3267</v>
      </c>
      <c r="I10278" s="64" t="s">
        <v>3294</v>
      </c>
      <c r="J10278" s="67">
        <v>241.95</v>
      </c>
      <c r="K10278" s="62">
        <v>3021.94</v>
      </c>
      <c r="L10278" s="33" t="e">
        <f>HLOOKUP(B10278,#REF!,1,0)</f>
        <v>#REF!</v>
      </c>
      <c r="M10278" s="33" t="str">
        <f t="shared" si="643"/>
        <v>P&amp;L</v>
      </c>
    </row>
    <row r="10279" spans="1:13">
      <c r="A10279" s="33" t="str">
        <f t="shared" si="640"/>
        <v>SCL - Facility</v>
      </c>
      <c r="B10279" s="33" t="str">
        <f t="shared" si="641"/>
        <v>SCL</v>
      </c>
      <c r="C10279" s="33" t="str">
        <f t="shared" si="642"/>
        <v>75001-7363</v>
      </c>
      <c r="D10279" s="64" t="s">
        <v>11532</v>
      </c>
      <c r="E10279" s="64" t="s">
        <v>3293</v>
      </c>
      <c r="F10279" s="64" t="s">
        <v>15</v>
      </c>
      <c r="G10279" s="64" t="s">
        <v>3266</v>
      </c>
      <c r="H10279" s="64" t="s">
        <v>3267</v>
      </c>
      <c r="I10279" s="64" t="s">
        <v>3294</v>
      </c>
      <c r="J10279" s="67">
        <v>241.95</v>
      </c>
      <c r="K10279" s="62">
        <v>2297.56</v>
      </c>
      <c r="L10279" s="33" t="e">
        <f>HLOOKUP(B10279,#REF!,1,0)</f>
        <v>#REF!</v>
      </c>
      <c r="M10279" s="33" t="str">
        <f t="shared" si="643"/>
        <v>P&amp;L</v>
      </c>
    </row>
    <row r="10280" spans="1:13">
      <c r="A10280" s="33" t="str">
        <f t="shared" si="640"/>
        <v>SCL - Facility</v>
      </c>
      <c r="B10280" s="33" t="str">
        <f t="shared" si="641"/>
        <v>SCL</v>
      </c>
      <c r="C10280" s="33" t="str">
        <f t="shared" si="642"/>
        <v>75001-7364</v>
      </c>
      <c r="D10280" s="64" t="s">
        <v>11533</v>
      </c>
      <c r="E10280" s="64" t="s">
        <v>3293</v>
      </c>
      <c r="F10280" s="64" t="s">
        <v>15</v>
      </c>
      <c r="G10280" s="64" t="s">
        <v>3266</v>
      </c>
      <c r="H10280" s="64" t="s">
        <v>3267</v>
      </c>
      <c r="I10280" s="64" t="s">
        <v>3294</v>
      </c>
      <c r="J10280" s="67">
        <v>1021.7</v>
      </c>
      <c r="K10280" s="62">
        <v>3397.81</v>
      </c>
      <c r="L10280" s="33" t="e">
        <f>HLOOKUP(B10280,#REF!,1,0)</f>
        <v>#REF!</v>
      </c>
      <c r="M10280" s="33" t="str">
        <f t="shared" si="643"/>
        <v>P&amp;L</v>
      </c>
    </row>
    <row r="10281" spans="1:13">
      <c r="A10281" s="33" t="str">
        <f t="shared" si="640"/>
        <v>SCL - Facility</v>
      </c>
      <c r="B10281" s="33" t="str">
        <f t="shared" si="641"/>
        <v>SCL</v>
      </c>
      <c r="C10281" s="33" t="str">
        <f t="shared" si="642"/>
        <v>75001-7365</v>
      </c>
      <c r="D10281" s="64" t="s">
        <v>11534</v>
      </c>
      <c r="E10281" s="64" t="s">
        <v>3293</v>
      </c>
      <c r="F10281" s="64" t="s">
        <v>15</v>
      </c>
      <c r="G10281" s="64" t="s">
        <v>3266</v>
      </c>
      <c r="H10281" s="64" t="s">
        <v>3267</v>
      </c>
      <c r="I10281" s="64" t="s">
        <v>3294</v>
      </c>
      <c r="J10281" s="67">
        <v>241.95</v>
      </c>
      <c r="K10281" s="62">
        <v>1504.75</v>
      </c>
      <c r="L10281" s="33" t="e">
        <f>HLOOKUP(B10281,#REF!,1,0)</f>
        <v>#REF!</v>
      </c>
      <c r="M10281" s="33" t="str">
        <f t="shared" si="643"/>
        <v>P&amp;L</v>
      </c>
    </row>
    <row r="10282" spans="1:13">
      <c r="A10282" s="33" t="str">
        <f t="shared" si="640"/>
        <v>SCL - Facility</v>
      </c>
      <c r="B10282" s="33" t="str">
        <f t="shared" si="641"/>
        <v>SCL</v>
      </c>
      <c r="C10282" s="33" t="str">
        <f t="shared" si="642"/>
        <v>75001-7366</v>
      </c>
      <c r="D10282" s="64" t="s">
        <v>11535</v>
      </c>
      <c r="E10282" s="64" t="s">
        <v>3293</v>
      </c>
      <c r="F10282" s="64" t="s">
        <v>15</v>
      </c>
      <c r="G10282" s="64" t="s">
        <v>3266</v>
      </c>
      <c r="H10282" s="64" t="s">
        <v>3267</v>
      </c>
      <c r="I10282" s="64" t="s">
        <v>3294</v>
      </c>
      <c r="J10282" s="67">
        <v>1358.7</v>
      </c>
      <c r="K10282" s="62">
        <v>5640.14</v>
      </c>
      <c r="L10282" s="33" t="e">
        <f>HLOOKUP(B10282,#REF!,1,0)</f>
        <v>#REF!</v>
      </c>
      <c r="M10282" s="33" t="str">
        <f t="shared" si="643"/>
        <v>P&amp;L</v>
      </c>
    </row>
    <row r="10283" spans="1:13">
      <c r="A10283" s="33" t="str">
        <f t="shared" si="640"/>
        <v>SCL - Facility</v>
      </c>
      <c r="B10283" s="33" t="str">
        <f t="shared" si="641"/>
        <v>SCL</v>
      </c>
      <c r="C10283" s="33" t="str">
        <f t="shared" si="642"/>
        <v>75001-7368</v>
      </c>
      <c r="D10283" s="64" t="s">
        <v>11536</v>
      </c>
      <c r="E10283" s="64" t="s">
        <v>3293</v>
      </c>
      <c r="F10283" s="64" t="s">
        <v>15</v>
      </c>
      <c r="G10283" s="64" t="s">
        <v>3266</v>
      </c>
      <c r="H10283" s="64" t="s">
        <v>3267</v>
      </c>
      <c r="I10283" s="64" t="s">
        <v>3294</v>
      </c>
      <c r="J10283" s="67">
        <v>1600.65</v>
      </c>
      <c r="K10283" s="62">
        <v>6401.53</v>
      </c>
      <c r="L10283" s="33" t="e">
        <f>HLOOKUP(B10283,#REF!,1,0)</f>
        <v>#REF!</v>
      </c>
      <c r="M10283" s="33" t="str">
        <f t="shared" si="643"/>
        <v>P&amp;L</v>
      </c>
    </row>
    <row r="10284" spans="1:13">
      <c r="A10284" s="33" t="str">
        <f t="shared" si="640"/>
        <v>SCL - Facility</v>
      </c>
      <c r="B10284" s="33" t="str">
        <f t="shared" si="641"/>
        <v>SCL</v>
      </c>
      <c r="C10284" s="33" t="str">
        <f t="shared" si="642"/>
        <v>75001-7369</v>
      </c>
      <c r="D10284" s="64" t="s">
        <v>11537</v>
      </c>
      <c r="E10284" s="64" t="s">
        <v>3293</v>
      </c>
      <c r="F10284" s="64" t="s">
        <v>15</v>
      </c>
      <c r="G10284" s="64" t="s">
        <v>3266</v>
      </c>
      <c r="H10284" s="64" t="s">
        <v>3267</v>
      </c>
      <c r="I10284" s="64" t="s">
        <v>3294</v>
      </c>
      <c r="J10284" s="67">
        <v>241.95</v>
      </c>
      <c r="K10284" s="62">
        <v>1578.56</v>
      </c>
      <c r="L10284" s="33" t="e">
        <f>HLOOKUP(B10284,#REF!,1,0)</f>
        <v>#REF!</v>
      </c>
      <c r="M10284" s="33" t="str">
        <f t="shared" si="643"/>
        <v>P&amp;L</v>
      </c>
    </row>
    <row r="10285" spans="1:13">
      <c r="A10285" s="33" t="str">
        <f t="shared" si="640"/>
        <v>SCL - Facility</v>
      </c>
      <c r="B10285" s="33" t="str">
        <f t="shared" si="641"/>
        <v>SCL</v>
      </c>
      <c r="C10285" s="33" t="str">
        <f t="shared" si="642"/>
        <v>75001-7371</v>
      </c>
      <c r="D10285" s="64" t="s">
        <v>11538</v>
      </c>
      <c r="E10285" s="64" t="s">
        <v>3293</v>
      </c>
      <c r="F10285" s="64" t="s">
        <v>15</v>
      </c>
      <c r="G10285" s="64" t="s">
        <v>3266</v>
      </c>
      <c r="H10285" s="64" t="s">
        <v>3267</v>
      </c>
      <c r="I10285" s="64" t="s">
        <v>3294</v>
      </c>
      <c r="J10285" s="67">
        <v>1021.7</v>
      </c>
      <c r="K10285" s="62">
        <v>4388.81</v>
      </c>
      <c r="L10285" s="33" t="e">
        <f>HLOOKUP(B10285,#REF!,1,0)</f>
        <v>#REF!</v>
      </c>
      <c r="M10285" s="33" t="str">
        <f t="shared" si="643"/>
        <v>P&amp;L</v>
      </c>
    </row>
    <row r="10286" spans="1:13">
      <c r="A10286" s="33" t="str">
        <f t="shared" si="640"/>
        <v>SCL - Facility</v>
      </c>
      <c r="B10286" s="33" t="str">
        <f t="shared" si="641"/>
        <v>SCL</v>
      </c>
      <c r="C10286" s="33" t="str">
        <f t="shared" si="642"/>
        <v>75001-7374</v>
      </c>
      <c r="D10286" s="64" t="s">
        <v>11539</v>
      </c>
      <c r="E10286" s="64" t="s">
        <v>3293</v>
      </c>
      <c r="F10286" s="64" t="s">
        <v>15</v>
      </c>
      <c r="G10286" s="64" t="s">
        <v>3266</v>
      </c>
      <c r="H10286" s="64" t="s">
        <v>3267</v>
      </c>
      <c r="I10286" s="64" t="s">
        <v>3294</v>
      </c>
      <c r="J10286" s="67">
        <v>241.95</v>
      </c>
      <c r="K10286" s="62">
        <v>2405.29</v>
      </c>
      <c r="L10286" s="33" t="e">
        <f>HLOOKUP(B10286,#REF!,1,0)</f>
        <v>#REF!</v>
      </c>
      <c r="M10286" s="33" t="str">
        <f t="shared" si="643"/>
        <v>P&amp;L</v>
      </c>
    </row>
    <row r="10287" spans="1:13">
      <c r="A10287" s="33" t="str">
        <f t="shared" si="640"/>
        <v>SCL - Facility</v>
      </c>
      <c r="B10287" s="33" t="str">
        <f t="shared" si="641"/>
        <v>SCL</v>
      </c>
      <c r="C10287" s="33" t="str">
        <f t="shared" si="642"/>
        <v>75001-7375</v>
      </c>
      <c r="D10287" s="64" t="s">
        <v>11540</v>
      </c>
      <c r="E10287" s="64" t="s">
        <v>3293</v>
      </c>
      <c r="F10287" s="64" t="s">
        <v>15</v>
      </c>
      <c r="G10287" s="64" t="s">
        <v>3266</v>
      </c>
      <c r="H10287" s="64" t="s">
        <v>3267</v>
      </c>
      <c r="I10287" s="64" t="s">
        <v>3294</v>
      </c>
      <c r="J10287" s="67">
        <v>241.95</v>
      </c>
      <c r="K10287" s="62">
        <v>1077.56</v>
      </c>
      <c r="L10287" s="33" t="e">
        <f>HLOOKUP(B10287,#REF!,1,0)</f>
        <v>#REF!</v>
      </c>
      <c r="M10287" s="33" t="str">
        <f t="shared" si="643"/>
        <v>P&amp;L</v>
      </c>
    </row>
    <row r="10288" spans="1:13">
      <c r="A10288" s="33" t="str">
        <f t="shared" si="640"/>
        <v>SCL - Facility</v>
      </c>
      <c r="B10288" s="33" t="str">
        <f t="shared" si="641"/>
        <v>SCL</v>
      </c>
      <c r="C10288" s="33" t="str">
        <f t="shared" si="642"/>
        <v>75001-7376</v>
      </c>
      <c r="D10288" s="64" t="s">
        <v>11541</v>
      </c>
      <c r="E10288" s="64" t="s">
        <v>3293</v>
      </c>
      <c r="F10288" s="64" t="s">
        <v>15</v>
      </c>
      <c r="G10288" s="64" t="s">
        <v>3266</v>
      </c>
      <c r="H10288" s="64" t="s">
        <v>3267</v>
      </c>
      <c r="I10288" s="64" t="s">
        <v>3294</v>
      </c>
      <c r="J10288" s="67">
        <v>347.7</v>
      </c>
      <c r="K10288" s="62">
        <v>6651.81</v>
      </c>
      <c r="L10288" s="33" t="e">
        <f>HLOOKUP(B10288,#REF!,1,0)</f>
        <v>#REF!</v>
      </c>
      <c r="M10288" s="33" t="str">
        <f t="shared" si="643"/>
        <v>P&amp;L</v>
      </c>
    </row>
    <row r="10289" spans="1:13">
      <c r="A10289" s="33" t="str">
        <f t="shared" si="640"/>
        <v>SCL - Facility</v>
      </c>
      <c r="B10289" s="33" t="str">
        <f t="shared" si="641"/>
        <v>SCL</v>
      </c>
      <c r="C10289" s="33" t="str">
        <f t="shared" si="642"/>
        <v>75001-7377</v>
      </c>
      <c r="D10289" s="64" t="s">
        <v>11542</v>
      </c>
      <c r="E10289" s="64" t="s">
        <v>3293</v>
      </c>
      <c r="F10289" s="64" t="s">
        <v>15</v>
      </c>
      <c r="G10289" s="64" t="s">
        <v>3266</v>
      </c>
      <c r="H10289" s="64" t="s">
        <v>3267</v>
      </c>
      <c r="I10289" s="64" t="s">
        <v>3294</v>
      </c>
      <c r="J10289" s="67">
        <v>241.95</v>
      </c>
      <c r="K10289" s="62">
        <v>1564.56</v>
      </c>
      <c r="L10289" s="33" t="e">
        <f>HLOOKUP(B10289,#REF!,1,0)</f>
        <v>#REF!</v>
      </c>
      <c r="M10289" s="33" t="str">
        <f t="shared" si="643"/>
        <v>P&amp;L</v>
      </c>
    </row>
    <row r="10290" spans="1:13">
      <c r="A10290" s="33" t="str">
        <f t="shared" si="640"/>
        <v>SCL - Facility</v>
      </c>
      <c r="B10290" s="33" t="str">
        <f t="shared" si="641"/>
        <v>SCL</v>
      </c>
      <c r="C10290" s="33" t="str">
        <f t="shared" si="642"/>
        <v>75001-7378</v>
      </c>
      <c r="D10290" s="64" t="s">
        <v>11543</v>
      </c>
      <c r="E10290" s="64" t="s">
        <v>3293</v>
      </c>
      <c r="F10290" s="64" t="s">
        <v>15</v>
      </c>
      <c r="G10290" s="64" t="s">
        <v>3266</v>
      </c>
      <c r="H10290" s="64" t="s">
        <v>3267</v>
      </c>
      <c r="I10290" s="64" t="s">
        <v>3294</v>
      </c>
      <c r="J10290" s="67">
        <v>1021.7</v>
      </c>
      <c r="K10290" s="62">
        <v>5583.16</v>
      </c>
      <c r="L10290" s="33" t="e">
        <f>HLOOKUP(B10290,#REF!,1,0)</f>
        <v>#REF!</v>
      </c>
      <c r="M10290" s="33" t="str">
        <f t="shared" si="643"/>
        <v>P&amp;L</v>
      </c>
    </row>
    <row r="10291" spans="1:13">
      <c r="A10291" s="33" t="str">
        <f t="shared" si="640"/>
        <v>SCL - Facility</v>
      </c>
      <c r="B10291" s="33" t="str">
        <f t="shared" si="641"/>
        <v>SCL</v>
      </c>
      <c r="C10291" s="33" t="str">
        <f t="shared" si="642"/>
        <v>75001-7379</v>
      </c>
      <c r="D10291" s="64" t="s">
        <v>11544</v>
      </c>
      <c r="E10291" s="64" t="s">
        <v>3293</v>
      </c>
      <c r="F10291" s="64" t="s">
        <v>15</v>
      </c>
      <c r="G10291" s="64" t="s">
        <v>3266</v>
      </c>
      <c r="H10291" s="64" t="s">
        <v>3267</v>
      </c>
      <c r="I10291" s="64" t="s">
        <v>3294</v>
      </c>
      <c r="J10291" s="67">
        <v>347.7</v>
      </c>
      <c r="K10291" s="62">
        <v>4651.29</v>
      </c>
      <c r="L10291" s="33" t="e">
        <f>HLOOKUP(B10291,#REF!,1,0)</f>
        <v>#REF!</v>
      </c>
      <c r="M10291" s="33" t="str">
        <f t="shared" si="643"/>
        <v>P&amp;L</v>
      </c>
    </row>
    <row r="10292" spans="1:13">
      <c r="A10292" s="33" t="str">
        <f t="shared" si="640"/>
        <v>SCL - Facility</v>
      </c>
      <c r="B10292" s="33" t="str">
        <f t="shared" si="641"/>
        <v>SCL</v>
      </c>
      <c r="C10292" s="33" t="str">
        <f t="shared" si="642"/>
        <v>75001-7380</v>
      </c>
      <c r="D10292" s="64" t="s">
        <v>11545</v>
      </c>
      <c r="E10292" s="64" t="s">
        <v>3293</v>
      </c>
      <c r="F10292" s="64" t="s">
        <v>15</v>
      </c>
      <c r="G10292" s="64" t="s">
        <v>3266</v>
      </c>
      <c r="H10292" s="64" t="s">
        <v>3267</v>
      </c>
      <c r="I10292" s="64" t="s">
        <v>3294</v>
      </c>
      <c r="J10292" s="67">
        <v>241.95</v>
      </c>
      <c r="K10292" s="62">
        <v>1247.56</v>
      </c>
      <c r="L10292" s="33" t="e">
        <f>HLOOKUP(B10292,#REF!,1,0)</f>
        <v>#REF!</v>
      </c>
      <c r="M10292" s="33" t="str">
        <f t="shared" si="643"/>
        <v>P&amp;L</v>
      </c>
    </row>
    <row r="10293" spans="1:13">
      <c r="A10293" s="33" t="str">
        <f t="shared" si="640"/>
        <v>SCL - Facility</v>
      </c>
      <c r="B10293" s="33" t="str">
        <f t="shared" si="641"/>
        <v>SCL</v>
      </c>
      <c r="C10293" s="33" t="str">
        <f t="shared" si="642"/>
        <v>75001-7381</v>
      </c>
      <c r="D10293" s="64" t="s">
        <v>11546</v>
      </c>
      <c r="E10293" s="64" t="s">
        <v>3293</v>
      </c>
      <c r="F10293" s="64" t="s">
        <v>15</v>
      </c>
      <c r="G10293" s="64" t="s">
        <v>3266</v>
      </c>
      <c r="H10293" s="64" t="s">
        <v>3267</v>
      </c>
      <c r="I10293" s="64" t="s">
        <v>3294</v>
      </c>
      <c r="J10293" s="67">
        <v>241.95</v>
      </c>
      <c r="K10293" s="62">
        <v>1629.56</v>
      </c>
      <c r="L10293" s="33" t="e">
        <f>HLOOKUP(B10293,#REF!,1,0)</f>
        <v>#REF!</v>
      </c>
      <c r="M10293" s="33" t="str">
        <f t="shared" si="643"/>
        <v>P&amp;L</v>
      </c>
    </row>
    <row r="10294" spans="1:13">
      <c r="A10294" s="33" t="str">
        <f t="shared" si="640"/>
        <v>SCL - Facility</v>
      </c>
      <c r="B10294" s="33" t="str">
        <f t="shared" si="641"/>
        <v>SCL</v>
      </c>
      <c r="C10294" s="33" t="str">
        <f t="shared" si="642"/>
        <v>75001-7383</v>
      </c>
      <c r="D10294" s="64" t="s">
        <v>11547</v>
      </c>
      <c r="E10294" s="64" t="s">
        <v>3293</v>
      </c>
      <c r="F10294" s="64" t="s">
        <v>15</v>
      </c>
      <c r="G10294" s="64" t="s">
        <v>3266</v>
      </c>
      <c r="H10294" s="64" t="s">
        <v>3267</v>
      </c>
      <c r="I10294" s="64" t="s">
        <v>3294</v>
      </c>
      <c r="J10294" s="67">
        <v>347.7</v>
      </c>
      <c r="K10294" s="62">
        <v>4087.81</v>
      </c>
      <c r="L10294" s="33" t="e">
        <f>HLOOKUP(B10294,#REF!,1,0)</f>
        <v>#REF!</v>
      </c>
      <c r="M10294" s="33" t="str">
        <f t="shared" si="643"/>
        <v>P&amp;L</v>
      </c>
    </row>
    <row r="10295" spans="1:13">
      <c r="A10295" s="33" t="str">
        <f t="shared" si="640"/>
        <v>SCL - Facility</v>
      </c>
      <c r="B10295" s="33" t="str">
        <f t="shared" si="641"/>
        <v>SCL</v>
      </c>
      <c r="C10295" s="33" t="str">
        <f t="shared" si="642"/>
        <v>75001-7385</v>
      </c>
      <c r="D10295" s="64" t="s">
        <v>11548</v>
      </c>
      <c r="E10295" s="64" t="s">
        <v>3293</v>
      </c>
      <c r="F10295" s="64" t="s">
        <v>15</v>
      </c>
      <c r="G10295" s="64" t="s">
        <v>3266</v>
      </c>
      <c r="H10295" s="64" t="s">
        <v>3267</v>
      </c>
      <c r="I10295" s="64" t="s">
        <v>3294</v>
      </c>
      <c r="J10295" s="67">
        <v>241.95</v>
      </c>
      <c r="K10295" s="62">
        <v>1533.39</v>
      </c>
      <c r="L10295" s="33" t="e">
        <f>HLOOKUP(B10295,#REF!,1,0)</f>
        <v>#REF!</v>
      </c>
      <c r="M10295" s="33" t="str">
        <f t="shared" si="643"/>
        <v>P&amp;L</v>
      </c>
    </row>
    <row r="10296" spans="1:13">
      <c r="A10296" s="33" t="str">
        <f t="shared" si="640"/>
        <v>SCL - Facility</v>
      </c>
      <c r="B10296" s="33" t="str">
        <f t="shared" si="641"/>
        <v>SCL</v>
      </c>
      <c r="C10296" s="33" t="str">
        <f t="shared" si="642"/>
        <v>75001-7386</v>
      </c>
      <c r="D10296" s="64" t="s">
        <v>11549</v>
      </c>
      <c r="E10296" s="64" t="s">
        <v>3293</v>
      </c>
      <c r="F10296" s="64" t="s">
        <v>15</v>
      </c>
      <c r="G10296" s="64" t="s">
        <v>3266</v>
      </c>
      <c r="H10296" s="64" t="s">
        <v>3267</v>
      </c>
      <c r="I10296" s="64" t="s">
        <v>3294</v>
      </c>
      <c r="J10296" s="67">
        <v>0</v>
      </c>
      <c r="K10296" s="62">
        <v>1628.36</v>
      </c>
      <c r="L10296" s="33" t="e">
        <f>HLOOKUP(B10296,#REF!,1,0)</f>
        <v>#REF!</v>
      </c>
      <c r="M10296" s="33" t="str">
        <f t="shared" si="643"/>
        <v>P&amp;L</v>
      </c>
    </row>
    <row r="10297" spans="1:13">
      <c r="A10297" s="33" t="str">
        <f t="shared" si="640"/>
        <v>SCL - Facility</v>
      </c>
      <c r="B10297" s="33" t="str">
        <f t="shared" si="641"/>
        <v>SCL</v>
      </c>
      <c r="C10297" s="33" t="str">
        <f t="shared" si="642"/>
        <v>75001-7387</v>
      </c>
      <c r="D10297" s="64" t="s">
        <v>11550</v>
      </c>
      <c r="E10297" s="64" t="s">
        <v>3293</v>
      </c>
      <c r="F10297" s="64" t="s">
        <v>15</v>
      </c>
      <c r="G10297" s="64" t="s">
        <v>3266</v>
      </c>
      <c r="H10297" s="64" t="s">
        <v>3267</v>
      </c>
      <c r="I10297" s="64" t="s">
        <v>3294</v>
      </c>
      <c r="J10297" s="67">
        <v>1021.7</v>
      </c>
      <c r="K10297" s="62">
        <v>5094.97</v>
      </c>
      <c r="L10297" s="33" t="e">
        <f>HLOOKUP(B10297,#REF!,1,0)</f>
        <v>#REF!</v>
      </c>
      <c r="M10297" s="33" t="str">
        <f t="shared" si="643"/>
        <v>P&amp;L</v>
      </c>
    </row>
    <row r="10298" spans="1:13">
      <c r="A10298" s="33" t="str">
        <f t="shared" si="640"/>
        <v>SCL - Facility</v>
      </c>
      <c r="B10298" s="33" t="str">
        <f t="shared" si="641"/>
        <v>SCL</v>
      </c>
      <c r="C10298" s="33" t="str">
        <f t="shared" si="642"/>
        <v>75001-7389</v>
      </c>
      <c r="D10298" s="64" t="s">
        <v>11551</v>
      </c>
      <c r="E10298" s="64" t="s">
        <v>3293</v>
      </c>
      <c r="F10298" s="64" t="s">
        <v>15</v>
      </c>
      <c r="G10298" s="64" t="s">
        <v>3266</v>
      </c>
      <c r="H10298" s="64" t="s">
        <v>3267</v>
      </c>
      <c r="I10298" s="64" t="s">
        <v>3294</v>
      </c>
      <c r="J10298" s="67">
        <v>1358.7</v>
      </c>
      <c r="K10298" s="62">
        <v>6114.81</v>
      </c>
      <c r="L10298" s="33" t="e">
        <f>HLOOKUP(B10298,#REF!,1,0)</f>
        <v>#REF!</v>
      </c>
      <c r="M10298" s="33" t="str">
        <f t="shared" si="643"/>
        <v>P&amp;L</v>
      </c>
    </row>
    <row r="10299" spans="1:13">
      <c r="A10299" s="33" t="str">
        <f t="shared" si="640"/>
        <v>SCL - Facility</v>
      </c>
      <c r="B10299" s="33" t="str">
        <f t="shared" si="641"/>
        <v>SCL</v>
      </c>
      <c r="C10299" s="33" t="str">
        <f t="shared" si="642"/>
        <v>75001-7391</v>
      </c>
      <c r="D10299" s="64" t="s">
        <v>11552</v>
      </c>
      <c r="E10299" s="64" t="s">
        <v>3293</v>
      </c>
      <c r="F10299" s="64" t="s">
        <v>15</v>
      </c>
      <c r="G10299" s="64" t="s">
        <v>3266</v>
      </c>
      <c r="H10299" s="64" t="s">
        <v>3267</v>
      </c>
      <c r="I10299" s="64" t="s">
        <v>3294</v>
      </c>
      <c r="J10299" s="67">
        <v>241.95</v>
      </c>
      <c r="K10299" s="62">
        <v>1901.69</v>
      </c>
      <c r="L10299" s="33" t="e">
        <f>HLOOKUP(B10299,#REF!,1,0)</f>
        <v>#REF!</v>
      </c>
      <c r="M10299" s="33" t="str">
        <f t="shared" si="643"/>
        <v>P&amp;L</v>
      </c>
    </row>
    <row r="10300" spans="1:13">
      <c r="A10300" s="33" t="str">
        <f t="shared" si="640"/>
        <v>SCL - Facility</v>
      </c>
      <c r="B10300" s="33" t="str">
        <f t="shared" si="641"/>
        <v>SCL</v>
      </c>
      <c r="C10300" s="33" t="str">
        <f t="shared" si="642"/>
        <v>75001-7393</v>
      </c>
      <c r="D10300" s="64" t="s">
        <v>11553</v>
      </c>
      <c r="E10300" s="64" t="s">
        <v>3293</v>
      </c>
      <c r="F10300" s="64" t="s">
        <v>15</v>
      </c>
      <c r="G10300" s="64" t="s">
        <v>3266</v>
      </c>
      <c r="H10300" s="64" t="s">
        <v>3267</v>
      </c>
      <c r="I10300" s="64" t="s">
        <v>3294</v>
      </c>
      <c r="J10300" s="67">
        <v>241.95</v>
      </c>
      <c r="K10300" s="62">
        <v>1153.56</v>
      </c>
      <c r="L10300" s="33" t="e">
        <f>HLOOKUP(B10300,#REF!,1,0)</f>
        <v>#REF!</v>
      </c>
      <c r="M10300" s="33" t="str">
        <f t="shared" si="643"/>
        <v>P&amp;L</v>
      </c>
    </row>
    <row r="10301" spans="1:13">
      <c r="A10301" s="33" t="str">
        <f t="shared" si="640"/>
        <v>SCL - Facility</v>
      </c>
      <c r="B10301" s="33" t="str">
        <f t="shared" si="641"/>
        <v>SCL</v>
      </c>
      <c r="C10301" s="33" t="str">
        <f t="shared" si="642"/>
        <v>75001-7394</v>
      </c>
      <c r="D10301" s="64" t="s">
        <v>11554</v>
      </c>
      <c r="E10301" s="64" t="s">
        <v>3293</v>
      </c>
      <c r="F10301" s="64" t="s">
        <v>15</v>
      </c>
      <c r="G10301" s="64" t="s">
        <v>3266</v>
      </c>
      <c r="H10301" s="64" t="s">
        <v>3267</v>
      </c>
      <c r="I10301" s="64" t="s">
        <v>3294</v>
      </c>
      <c r="J10301" s="67">
        <v>241.95</v>
      </c>
      <c r="K10301" s="62">
        <v>3273.57</v>
      </c>
      <c r="L10301" s="33" t="e">
        <f>HLOOKUP(B10301,#REF!,1,0)</f>
        <v>#REF!</v>
      </c>
      <c r="M10301" s="33" t="str">
        <f t="shared" si="643"/>
        <v>P&amp;L</v>
      </c>
    </row>
    <row r="10302" spans="1:13">
      <c r="A10302" s="33" t="str">
        <f t="shared" si="640"/>
        <v>SCL - Facility</v>
      </c>
      <c r="B10302" s="33" t="str">
        <f t="shared" si="641"/>
        <v>SCL</v>
      </c>
      <c r="C10302" s="33" t="str">
        <f t="shared" si="642"/>
        <v>75001-7396</v>
      </c>
      <c r="D10302" s="64" t="s">
        <v>11555</v>
      </c>
      <c r="E10302" s="64" t="s">
        <v>3293</v>
      </c>
      <c r="F10302" s="64" t="s">
        <v>15</v>
      </c>
      <c r="G10302" s="64" t="s">
        <v>3266</v>
      </c>
      <c r="H10302" s="64" t="s">
        <v>3267</v>
      </c>
      <c r="I10302" s="64" t="s">
        <v>3294</v>
      </c>
      <c r="J10302" s="67">
        <v>241.95</v>
      </c>
      <c r="K10302" s="62">
        <v>1409.56</v>
      </c>
      <c r="L10302" s="33" t="e">
        <f>HLOOKUP(B10302,#REF!,1,0)</f>
        <v>#REF!</v>
      </c>
      <c r="M10302" s="33" t="str">
        <f t="shared" si="643"/>
        <v>P&amp;L</v>
      </c>
    </row>
    <row r="10303" spans="1:13">
      <c r="A10303" s="33" t="str">
        <f t="shared" si="640"/>
        <v>SCL - Facility</v>
      </c>
      <c r="B10303" s="33" t="str">
        <f t="shared" si="641"/>
        <v>SCL</v>
      </c>
      <c r="C10303" s="33" t="str">
        <f t="shared" si="642"/>
        <v>75001-7397</v>
      </c>
      <c r="D10303" s="64" t="s">
        <v>11556</v>
      </c>
      <c r="E10303" s="64" t="s">
        <v>3293</v>
      </c>
      <c r="F10303" s="64" t="s">
        <v>15</v>
      </c>
      <c r="G10303" s="64" t="s">
        <v>3266</v>
      </c>
      <c r="H10303" s="64" t="s">
        <v>3267</v>
      </c>
      <c r="I10303" s="64" t="s">
        <v>3294</v>
      </c>
      <c r="J10303" s="67">
        <v>241.95</v>
      </c>
      <c r="K10303" s="62">
        <v>1886.56</v>
      </c>
      <c r="L10303" s="33" t="e">
        <f>HLOOKUP(B10303,#REF!,1,0)</f>
        <v>#REF!</v>
      </c>
      <c r="M10303" s="33" t="str">
        <f t="shared" si="643"/>
        <v>P&amp;L</v>
      </c>
    </row>
    <row r="10304" spans="1:13">
      <c r="A10304" s="33" t="str">
        <f t="shared" si="640"/>
        <v>SCL - Facility</v>
      </c>
      <c r="B10304" s="33" t="str">
        <f t="shared" si="641"/>
        <v>SCL</v>
      </c>
      <c r="C10304" s="33" t="str">
        <f t="shared" si="642"/>
        <v>75001-7398</v>
      </c>
      <c r="D10304" s="64" t="s">
        <v>11557</v>
      </c>
      <c r="E10304" s="64" t="s">
        <v>3293</v>
      </c>
      <c r="F10304" s="64" t="s">
        <v>15</v>
      </c>
      <c r="G10304" s="64" t="s">
        <v>3266</v>
      </c>
      <c r="H10304" s="64" t="s">
        <v>3267</v>
      </c>
      <c r="I10304" s="64" t="s">
        <v>3294</v>
      </c>
      <c r="J10304" s="67">
        <v>241.95</v>
      </c>
      <c r="K10304" s="62">
        <v>1564.56</v>
      </c>
      <c r="L10304" s="33" t="e">
        <f>HLOOKUP(B10304,#REF!,1,0)</f>
        <v>#REF!</v>
      </c>
      <c r="M10304" s="33" t="str">
        <f t="shared" si="643"/>
        <v>P&amp;L</v>
      </c>
    </row>
    <row r="10305" spans="1:13">
      <c r="A10305" s="33" t="str">
        <f t="shared" si="640"/>
        <v>SCL - Facility</v>
      </c>
      <c r="B10305" s="33" t="str">
        <f t="shared" si="641"/>
        <v>SCL</v>
      </c>
      <c r="C10305" s="33" t="str">
        <f t="shared" si="642"/>
        <v>75001-7400</v>
      </c>
      <c r="D10305" s="64" t="s">
        <v>11558</v>
      </c>
      <c r="E10305" s="64" t="s">
        <v>3293</v>
      </c>
      <c r="F10305" s="64" t="s">
        <v>15</v>
      </c>
      <c r="G10305" s="64" t="s">
        <v>3266</v>
      </c>
      <c r="H10305" s="64" t="s">
        <v>3267</v>
      </c>
      <c r="I10305" s="64" t="s">
        <v>3294</v>
      </c>
      <c r="J10305" s="67">
        <v>347.7</v>
      </c>
      <c r="K10305" s="62">
        <v>3591.83</v>
      </c>
      <c r="L10305" s="33" t="e">
        <f>HLOOKUP(B10305,#REF!,1,0)</f>
        <v>#REF!</v>
      </c>
      <c r="M10305" s="33" t="str">
        <f t="shared" si="643"/>
        <v>P&amp;L</v>
      </c>
    </row>
    <row r="10306" spans="1:13">
      <c r="A10306" s="33" t="str">
        <f t="shared" ref="A10306:A10369" si="644">B10306&amp;" - "&amp;TRIM(H10306)</f>
        <v>SCL - Facility</v>
      </c>
      <c r="B10306" s="33" t="str">
        <f t="shared" ref="B10306:B10369" si="645">LEFT(D10306,3)</f>
        <v>SCL</v>
      </c>
      <c r="C10306" s="33" t="str">
        <f t="shared" ref="C10306:C10369" si="646">RIGHT(D10306,10)</f>
        <v>75001-7401</v>
      </c>
      <c r="D10306" s="64" t="s">
        <v>11559</v>
      </c>
      <c r="E10306" s="64" t="s">
        <v>3293</v>
      </c>
      <c r="F10306" s="64" t="s">
        <v>15</v>
      </c>
      <c r="G10306" s="64" t="s">
        <v>3266</v>
      </c>
      <c r="H10306" s="64" t="s">
        <v>3267</v>
      </c>
      <c r="I10306" s="64" t="s">
        <v>3294</v>
      </c>
      <c r="J10306" s="67">
        <v>347.7</v>
      </c>
      <c r="K10306" s="62">
        <v>3773.5</v>
      </c>
      <c r="L10306" s="33" t="e">
        <f>HLOOKUP(B10306,#REF!,1,0)</f>
        <v>#REF!</v>
      </c>
      <c r="M10306" s="33" t="str">
        <f t="shared" ref="M10306:M10369" si="647">IF(VALUE(LEFT(C10306,5))&gt;40000,"P&amp;L","BS")</f>
        <v>P&amp;L</v>
      </c>
    </row>
    <row r="10307" spans="1:13">
      <c r="A10307" s="33" t="str">
        <f t="shared" si="644"/>
        <v>SCL - Facility</v>
      </c>
      <c r="B10307" s="33" t="str">
        <f t="shared" si="645"/>
        <v>SCL</v>
      </c>
      <c r="C10307" s="33" t="str">
        <f t="shared" si="646"/>
        <v>75001-7402</v>
      </c>
      <c r="D10307" s="64" t="s">
        <v>11560</v>
      </c>
      <c r="E10307" s="64" t="s">
        <v>3293</v>
      </c>
      <c r="F10307" s="64" t="s">
        <v>15</v>
      </c>
      <c r="G10307" s="64" t="s">
        <v>3266</v>
      </c>
      <c r="H10307" s="64" t="s">
        <v>3267</v>
      </c>
      <c r="I10307" s="64" t="s">
        <v>3294</v>
      </c>
      <c r="J10307" s="67">
        <v>1021.7</v>
      </c>
      <c r="K10307" s="62">
        <v>4770.81</v>
      </c>
      <c r="L10307" s="33" t="e">
        <f>HLOOKUP(B10307,#REF!,1,0)</f>
        <v>#REF!</v>
      </c>
      <c r="M10307" s="33" t="str">
        <f t="shared" si="647"/>
        <v>P&amp;L</v>
      </c>
    </row>
    <row r="10308" spans="1:13">
      <c r="A10308" s="33" t="str">
        <f t="shared" si="644"/>
        <v>SCL - Facility</v>
      </c>
      <c r="B10308" s="33" t="str">
        <f t="shared" si="645"/>
        <v>SCL</v>
      </c>
      <c r="C10308" s="33" t="str">
        <f t="shared" si="646"/>
        <v>75001-7403</v>
      </c>
      <c r="D10308" s="64" t="s">
        <v>11561</v>
      </c>
      <c r="E10308" s="64" t="s">
        <v>3293</v>
      </c>
      <c r="F10308" s="64" t="s">
        <v>15</v>
      </c>
      <c r="G10308" s="64" t="s">
        <v>3266</v>
      </c>
      <c r="H10308" s="64" t="s">
        <v>3267</v>
      </c>
      <c r="I10308" s="64" t="s">
        <v>3294</v>
      </c>
      <c r="J10308" s="67">
        <v>1021.7</v>
      </c>
      <c r="K10308" s="62">
        <v>4741.3</v>
      </c>
      <c r="L10308" s="33" t="e">
        <f>HLOOKUP(B10308,#REF!,1,0)</f>
        <v>#REF!</v>
      </c>
      <c r="M10308" s="33" t="str">
        <f t="shared" si="647"/>
        <v>P&amp;L</v>
      </c>
    </row>
    <row r="10309" spans="1:13">
      <c r="A10309" s="33" t="str">
        <f t="shared" si="644"/>
        <v>SCL - Facility</v>
      </c>
      <c r="B10309" s="33" t="str">
        <f t="shared" si="645"/>
        <v>SCL</v>
      </c>
      <c r="C10309" s="33" t="str">
        <f t="shared" si="646"/>
        <v>75001-7489</v>
      </c>
      <c r="D10309" s="64" t="s">
        <v>11562</v>
      </c>
      <c r="E10309" s="64" t="s">
        <v>3293</v>
      </c>
      <c r="F10309" s="64" t="s">
        <v>15</v>
      </c>
      <c r="G10309" s="64" t="s">
        <v>3266</v>
      </c>
      <c r="H10309" s="64" t="s">
        <v>3267</v>
      </c>
      <c r="I10309" s="64" t="s">
        <v>3294</v>
      </c>
      <c r="J10309" s="67">
        <v>241.95</v>
      </c>
      <c r="K10309" s="62">
        <v>1757.99</v>
      </c>
      <c r="L10309" s="33" t="e">
        <f>HLOOKUP(B10309,#REF!,1,0)</f>
        <v>#REF!</v>
      </c>
      <c r="M10309" s="33" t="str">
        <f t="shared" si="647"/>
        <v>P&amp;L</v>
      </c>
    </row>
    <row r="10310" spans="1:13">
      <c r="A10310" s="33" t="str">
        <f t="shared" si="644"/>
        <v>SCL - Facility</v>
      </c>
      <c r="B10310" s="33" t="str">
        <f t="shared" si="645"/>
        <v>SCL</v>
      </c>
      <c r="C10310" s="33" t="str">
        <f t="shared" si="646"/>
        <v>75001-7491</v>
      </c>
      <c r="D10310" s="64" t="s">
        <v>11563</v>
      </c>
      <c r="E10310" s="64" t="s">
        <v>3293</v>
      </c>
      <c r="F10310" s="64" t="s">
        <v>15</v>
      </c>
      <c r="G10310" s="64" t="s">
        <v>3266</v>
      </c>
      <c r="H10310" s="64" t="s">
        <v>3267</v>
      </c>
      <c r="I10310" s="64" t="s">
        <v>3294</v>
      </c>
      <c r="J10310" s="67">
        <v>241.95</v>
      </c>
      <c r="K10310" s="62">
        <v>2123.96</v>
      </c>
      <c r="L10310" s="33" t="e">
        <f>HLOOKUP(B10310,#REF!,1,0)</f>
        <v>#REF!</v>
      </c>
      <c r="M10310" s="33" t="str">
        <f t="shared" si="647"/>
        <v>P&amp;L</v>
      </c>
    </row>
    <row r="10311" spans="1:13">
      <c r="A10311" s="33" t="str">
        <f t="shared" si="644"/>
        <v>SCL - Facility</v>
      </c>
      <c r="B10311" s="33" t="str">
        <f t="shared" si="645"/>
        <v>SCL</v>
      </c>
      <c r="C10311" s="33" t="str">
        <f t="shared" si="646"/>
        <v>75001-7492</v>
      </c>
      <c r="D10311" s="64" t="s">
        <v>11564</v>
      </c>
      <c r="E10311" s="64" t="s">
        <v>3293</v>
      </c>
      <c r="F10311" s="64" t="s">
        <v>15</v>
      </c>
      <c r="G10311" s="64" t="s">
        <v>3266</v>
      </c>
      <c r="H10311" s="64" t="s">
        <v>3267</v>
      </c>
      <c r="I10311" s="64" t="s">
        <v>3294</v>
      </c>
      <c r="J10311" s="67">
        <v>241.95</v>
      </c>
      <c r="K10311" s="62">
        <v>3119.02</v>
      </c>
      <c r="L10311" s="33" t="e">
        <f>HLOOKUP(B10311,#REF!,1,0)</f>
        <v>#REF!</v>
      </c>
      <c r="M10311" s="33" t="str">
        <f t="shared" si="647"/>
        <v>P&amp;L</v>
      </c>
    </row>
    <row r="10312" spans="1:13">
      <c r="A10312" s="33" t="str">
        <f t="shared" si="644"/>
        <v>SCL - Facility</v>
      </c>
      <c r="B10312" s="33" t="str">
        <f t="shared" si="645"/>
        <v>SCL</v>
      </c>
      <c r="C10312" s="33" t="str">
        <f t="shared" si="646"/>
        <v>75001-7493</v>
      </c>
      <c r="D10312" s="64" t="s">
        <v>11565</v>
      </c>
      <c r="E10312" s="64" t="s">
        <v>3293</v>
      </c>
      <c r="F10312" s="64" t="s">
        <v>15</v>
      </c>
      <c r="G10312" s="64" t="s">
        <v>3266</v>
      </c>
      <c r="H10312" t="s">
        <v>3267</v>
      </c>
      <c r="I10312" s="64" t="s">
        <v>3294</v>
      </c>
      <c r="J10312" s="67">
        <v>1021.7</v>
      </c>
      <c r="K10312" s="62">
        <v>5309.96</v>
      </c>
      <c r="L10312" s="33" t="e">
        <f>HLOOKUP(B10312,#REF!,1,0)</f>
        <v>#REF!</v>
      </c>
      <c r="M10312" s="33" t="str">
        <f t="shared" si="647"/>
        <v>P&amp;L</v>
      </c>
    </row>
    <row r="10313" spans="1:13">
      <c r="A10313" s="33" t="str">
        <f t="shared" si="644"/>
        <v>SCL - Facility</v>
      </c>
      <c r="B10313" s="33" t="str">
        <f t="shared" si="645"/>
        <v>SCL</v>
      </c>
      <c r="C10313" s="33" t="str">
        <f t="shared" si="646"/>
        <v>75001-7494</v>
      </c>
      <c r="D10313" s="64" t="s">
        <v>11566</v>
      </c>
      <c r="E10313" s="64" t="s">
        <v>3293</v>
      </c>
      <c r="F10313" s="64" t="s">
        <v>15</v>
      </c>
      <c r="G10313" s="64" t="s">
        <v>3266</v>
      </c>
      <c r="H10313" s="64" t="s">
        <v>3267</v>
      </c>
      <c r="I10313" s="64" t="s">
        <v>3294</v>
      </c>
      <c r="J10313" s="67">
        <v>241.95</v>
      </c>
      <c r="K10313" s="62">
        <v>2755.87</v>
      </c>
      <c r="L10313" s="33" t="e">
        <f>HLOOKUP(B10313,#REF!,1,0)</f>
        <v>#REF!</v>
      </c>
      <c r="M10313" s="33" t="str">
        <f t="shared" si="647"/>
        <v>P&amp;L</v>
      </c>
    </row>
    <row r="10314" spans="1:13">
      <c r="A10314" s="33" t="str">
        <f t="shared" si="644"/>
        <v>SCL - Facility</v>
      </c>
      <c r="B10314" s="33" t="str">
        <f t="shared" si="645"/>
        <v>SCL</v>
      </c>
      <c r="C10314" s="33" t="str">
        <f t="shared" si="646"/>
        <v>75001-7625</v>
      </c>
      <c r="D10314" s="64" t="s">
        <v>11567</v>
      </c>
      <c r="E10314" s="64" t="s">
        <v>3293</v>
      </c>
      <c r="F10314" s="64" t="s">
        <v>15</v>
      </c>
      <c r="G10314" s="64" t="s">
        <v>3266</v>
      </c>
      <c r="H10314" s="64" t="s">
        <v>3267</v>
      </c>
      <c r="I10314" s="64" t="s">
        <v>3294</v>
      </c>
      <c r="J10314" s="67">
        <v>105.75</v>
      </c>
      <c r="K10314" s="62">
        <v>4286.9</v>
      </c>
      <c r="L10314" s="33" t="e">
        <f>HLOOKUP(B10314,#REF!,1,0)</f>
        <v>#REF!</v>
      </c>
      <c r="M10314" s="33" t="str">
        <f t="shared" si="647"/>
        <v>P&amp;L</v>
      </c>
    </row>
    <row r="10315" spans="1:13">
      <c r="A10315" s="33" t="str">
        <f t="shared" si="644"/>
        <v>SCL - Facility</v>
      </c>
      <c r="B10315" s="33" t="str">
        <f t="shared" si="645"/>
        <v>SCL</v>
      </c>
      <c r="C10315" s="33" t="str">
        <f t="shared" si="646"/>
        <v>75001-8150</v>
      </c>
      <c r="D10315" s="64" t="s">
        <v>11568</v>
      </c>
      <c r="E10315" s="64" t="s">
        <v>3293</v>
      </c>
      <c r="F10315" s="64" t="s">
        <v>15</v>
      </c>
      <c r="G10315" s="64" t="s">
        <v>3266</v>
      </c>
      <c r="H10315" s="64" t="s">
        <v>3267</v>
      </c>
      <c r="I10315" s="64" t="s">
        <v>3294</v>
      </c>
      <c r="J10315" s="67">
        <v>779.75</v>
      </c>
      <c r="K10315" s="62">
        <v>4834.05</v>
      </c>
      <c r="L10315" s="33" t="e">
        <f>HLOOKUP(B10315,#REF!,1,0)</f>
        <v>#REF!</v>
      </c>
      <c r="M10315" s="33" t="str">
        <f t="shared" si="647"/>
        <v>P&amp;L</v>
      </c>
    </row>
    <row r="10316" spans="1:13">
      <c r="A10316" s="33" t="str">
        <f t="shared" si="644"/>
        <v>SCL - Other Income/Expense</v>
      </c>
      <c r="B10316" s="33" t="str">
        <f t="shared" si="645"/>
        <v>SCL</v>
      </c>
      <c r="C10316" s="33" t="str">
        <f t="shared" si="646"/>
        <v>80001-7351</v>
      </c>
      <c r="D10316" s="64" t="s">
        <v>11569</v>
      </c>
      <c r="E10316" s="64" t="s">
        <v>3299</v>
      </c>
      <c r="F10316" s="64" t="s">
        <v>15</v>
      </c>
      <c r="G10316" s="64" t="s">
        <v>3021</v>
      </c>
      <c r="H10316" s="64" t="s">
        <v>3300</v>
      </c>
      <c r="I10316" s="64" t="s">
        <v>3023</v>
      </c>
      <c r="J10316" s="67">
        <v>50.38</v>
      </c>
      <c r="K10316" s="62">
        <v>262.2</v>
      </c>
      <c r="L10316" s="33" t="e">
        <f>HLOOKUP(B10316,#REF!,1,0)</f>
        <v>#REF!</v>
      </c>
      <c r="M10316" s="33" t="str">
        <f t="shared" si="647"/>
        <v>P&amp;L</v>
      </c>
    </row>
    <row r="10317" spans="1:13">
      <c r="A10317" s="33" t="str">
        <f t="shared" si="644"/>
        <v>SCL - Other Income/Expense</v>
      </c>
      <c r="B10317" s="33" t="str">
        <f t="shared" si="645"/>
        <v>SCL</v>
      </c>
      <c r="C10317" s="33" t="str">
        <f t="shared" si="646"/>
        <v>80001-7352</v>
      </c>
      <c r="D10317" s="64" t="s">
        <v>11570</v>
      </c>
      <c r="E10317" s="64" t="s">
        <v>3299</v>
      </c>
      <c r="F10317" s="64" t="s">
        <v>15</v>
      </c>
      <c r="G10317" s="64" t="s">
        <v>3021</v>
      </c>
      <c r="H10317" s="64" t="s">
        <v>3300</v>
      </c>
      <c r="I10317" s="64" t="s">
        <v>3023</v>
      </c>
      <c r="J10317" s="67">
        <v>295.86</v>
      </c>
      <c r="K10317" s="62">
        <v>470.26</v>
      </c>
      <c r="L10317" s="33" t="e">
        <f>HLOOKUP(B10317,#REF!,1,0)</f>
        <v>#REF!</v>
      </c>
      <c r="M10317" s="33" t="str">
        <f t="shared" si="647"/>
        <v>P&amp;L</v>
      </c>
    </row>
    <row r="10318" spans="1:13">
      <c r="A10318" s="33" t="str">
        <f t="shared" si="644"/>
        <v>SCL - Other Income/Expense</v>
      </c>
      <c r="B10318" s="33" t="str">
        <f t="shared" si="645"/>
        <v>SCL</v>
      </c>
      <c r="C10318" s="33" t="str">
        <f t="shared" si="646"/>
        <v>80001-7355</v>
      </c>
      <c r="D10318" s="64" t="s">
        <v>11571</v>
      </c>
      <c r="E10318" s="64" t="s">
        <v>3299</v>
      </c>
      <c r="F10318" s="64" t="s">
        <v>15</v>
      </c>
      <c r="G10318" s="64" t="s">
        <v>3021</v>
      </c>
      <c r="H10318" s="64" t="s">
        <v>3300</v>
      </c>
      <c r="I10318" s="64" t="s">
        <v>3023</v>
      </c>
      <c r="J10318" s="67">
        <v>21.88</v>
      </c>
      <c r="K10318" s="62">
        <v>150.13</v>
      </c>
      <c r="L10318" s="33" t="e">
        <f>HLOOKUP(B10318,#REF!,1,0)</f>
        <v>#REF!</v>
      </c>
      <c r="M10318" s="33" t="str">
        <f t="shared" si="647"/>
        <v>P&amp;L</v>
      </c>
    </row>
    <row r="10319" spans="1:13">
      <c r="A10319" s="33" t="str">
        <f t="shared" si="644"/>
        <v>SCL - Other Income/Expense</v>
      </c>
      <c r="B10319" s="33" t="str">
        <f t="shared" si="645"/>
        <v>SCL</v>
      </c>
      <c r="C10319" s="33" t="str">
        <f t="shared" si="646"/>
        <v>80001-7356</v>
      </c>
      <c r="D10319" s="64" t="s">
        <v>11572</v>
      </c>
      <c r="E10319" s="64" t="s">
        <v>3299</v>
      </c>
      <c r="F10319" s="64" t="s">
        <v>15</v>
      </c>
      <c r="G10319" s="64" t="s">
        <v>3021</v>
      </c>
      <c r="H10319" s="64" t="s">
        <v>3300</v>
      </c>
      <c r="I10319" s="64" t="s">
        <v>3023</v>
      </c>
      <c r="J10319" s="67">
        <v>0</v>
      </c>
      <c r="K10319" s="62">
        <v>38.64</v>
      </c>
      <c r="L10319" s="33" t="e">
        <f>HLOOKUP(B10319,#REF!,1,0)</f>
        <v>#REF!</v>
      </c>
      <c r="M10319" s="33" t="str">
        <f t="shared" si="647"/>
        <v>P&amp;L</v>
      </c>
    </row>
    <row r="10320" spans="1:13">
      <c r="A10320" s="33" t="str">
        <f t="shared" si="644"/>
        <v>SCL - Other Income/Expense</v>
      </c>
      <c r="B10320" s="33" t="str">
        <f t="shared" si="645"/>
        <v>SCL</v>
      </c>
      <c r="C10320" s="33" t="str">
        <f t="shared" si="646"/>
        <v>80001-7359</v>
      </c>
      <c r="D10320" s="64" t="s">
        <v>11573</v>
      </c>
      <c r="E10320" s="64" t="s">
        <v>3299</v>
      </c>
      <c r="F10320" s="64" t="s">
        <v>15</v>
      </c>
      <c r="G10320" s="64" t="s">
        <v>3021</v>
      </c>
      <c r="H10320" s="64" t="s">
        <v>3300</v>
      </c>
      <c r="I10320" s="64" t="s">
        <v>3023</v>
      </c>
      <c r="J10320" s="67">
        <v>7.11</v>
      </c>
      <c r="K10320" s="62">
        <v>312.89</v>
      </c>
      <c r="L10320" s="33" t="e">
        <f>HLOOKUP(B10320,#REF!,1,0)</f>
        <v>#REF!</v>
      </c>
      <c r="M10320" s="33" t="str">
        <f t="shared" si="647"/>
        <v>P&amp;L</v>
      </c>
    </row>
    <row r="10321" spans="1:13">
      <c r="A10321" s="33" t="str">
        <f t="shared" si="644"/>
        <v>SCL - Other Income/Expense</v>
      </c>
      <c r="B10321" s="33" t="str">
        <f t="shared" si="645"/>
        <v>SCL</v>
      </c>
      <c r="C10321" s="33" t="str">
        <f t="shared" si="646"/>
        <v>80001-7360</v>
      </c>
      <c r="D10321" s="64" t="s">
        <v>11574</v>
      </c>
      <c r="E10321" s="64" t="s">
        <v>3299</v>
      </c>
      <c r="F10321" s="64" t="s">
        <v>15</v>
      </c>
      <c r="G10321" s="64" t="s">
        <v>3021</v>
      </c>
      <c r="H10321" s="64" t="s">
        <v>3300</v>
      </c>
      <c r="I10321" s="64" t="s">
        <v>3023</v>
      </c>
      <c r="J10321" s="67">
        <v>18.72</v>
      </c>
      <c r="K10321" s="62">
        <v>220.57</v>
      </c>
      <c r="L10321" s="33" t="e">
        <f>HLOOKUP(B10321,#REF!,1,0)</f>
        <v>#REF!</v>
      </c>
      <c r="M10321" s="33" t="str">
        <f t="shared" si="647"/>
        <v>P&amp;L</v>
      </c>
    </row>
    <row r="10322" spans="1:13">
      <c r="A10322" s="33" t="str">
        <f t="shared" si="644"/>
        <v>SCL - Other Income/Expense</v>
      </c>
      <c r="B10322" s="33" t="str">
        <f t="shared" si="645"/>
        <v>SCL</v>
      </c>
      <c r="C10322" s="33" t="str">
        <f t="shared" si="646"/>
        <v>80001-7361</v>
      </c>
      <c r="D10322" s="64" t="s">
        <v>11575</v>
      </c>
      <c r="E10322" s="64" t="s">
        <v>3299</v>
      </c>
      <c r="F10322" s="64" t="s">
        <v>15</v>
      </c>
      <c r="G10322" s="64" t="s">
        <v>3021</v>
      </c>
      <c r="H10322" s="64" t="s">
        <v>3300</v>
      </c>
      <c r="I10322" s="64" t="s">
        <v>3023</v>
      </c>
      <c r="J10322" s="67">
        <v>98.53</v>
      </c>
      <c r="K10322" s="62">
        <v>405.34</v>
      </c>
      <c r="L10322" s="33" t="e">
        <f>HLOOKUP(B10322,#REF!,1,0)</f>
        <v>#REF!</v>
      </c>
      <c r="M10322" s="33" t="str">
        <f t="shared" si="647"/>
        <v>P&amp;L</v>
      </c>
    </row>
    <row r="10323" spans="1:13">
      <c r="A10323" s="33" t="str">
        <f t="shared" si="644"/>
        <v>SCL - Other Income/Expense</v>
      </c>
      <c r="B10323" s="33" t="str">
        <f t="shared" si="645"/>
        <v>SCL</v>
      </c>
      <c r="C10323" s="33" t="str">
        <f t="shared" si="646"/>
        <v>80001-7362</v>
      </c>
      <c r="D10323" s="64" t="s">
        <v>11576</v>
      </c>
      <c r="E10323" s="64" t="s">
        <v>3299</v>
      </c>
      <c r="F10323" s="64" t="s">
        <v>15</v>
      </c>
      <c r="G10323" s="64" t="s">
        <v>3021</v>
      </c>
      <c r="H10323" s="64" t="s">
        <v>3300</v>
      </c>
      <c r="I10323" s="64" t="s">
        <v>3023</v>
      </c>
      <c r="J10323" s="67">
        <v>0</v>
      </c>
      <c r="K10323" s="62">
        <v>67.38</v>
      </c>
      <c r="L10323" s="33" t="e">
        <f>HLOOKUP(B10323,#REF!,1,0)</f>
        <v>#REF!</v>
      </c>
      <c r="M10323" s="33" t="str">
        <f t="shared" si="647"/>
        <v>P&amp;L</v>
      </c>
    </row>
    <row r="10324" spans="1:13">
      <c r="A10324" s="33" t="str">
        <f t="shared" si="644"/>
        <v>SCL - Other Income/Expense</v>
      </c>
      <c r="B10324" s="33" t="str">
        <f t="shared" si="645"/>
        <v>SCL</v>
      </c>
      <c r="C10324" s="33" t="str">
        <f t="shared" si="646"/>
        <v>80001-7363</v>
      </c>
      <c r="D10324" s="64" t="s">
        <v>11577</v>
      </c>
      <c r="E10324" s="64" t="s">
        <v>3299</v>
      </c>
      <c r="F10324" s="64" t="s">
        <v>15</v>
      </c>
      <c r="G10324" s="64" t="s">
        <v>3021</v>
      </c>
      <c r="H10324" s="64" t="s">
        <v>3300</v>
      </c>
      <c r="I10324" s="64" t="s">
        <v>3023</v>
      </c>
      <c r="J10324" s="67">
        <v>0</v>
      </c>
      <c r="K10324" s="62">
        <v>211.04</v>
      </c>
      <c r="L10324" s="33" t="e">
        <f>HLOOKUP(B10324,#REF!,1,0)</f>
        <v>#REF!</v>
      </c>
      <c r="M10324" s="33" t="str">
        <f t="shared" si="647"/>
        <v>P&amp;L</v>
      </c>
    </row>
    <row r="10325" spans="1:13">
      <c r="A10325" s="33" t="str">
        <f t="shared" si="644"/>
        <v>SCL - Other Income/Expense</v>
      </c>
      <c r="B10325" s="33" t="str">
        <f t="shared" si="645"/>
        <v>SCL</v>
      </c>
      <c r="C10325" s="33" t="str">
        <f t="shared" si="646"/>
        <v>80001-7364</v>
      </c>
      <c r="D10325" s="64" t="s">
        <v>11578</v>
      </c>
      <c r="E10325" s="64" t="s">
        <v>3299</v>
      </c>
      <c r="F10325" s="64" t="s">
        <v>15</v>
      </c>
      <c r="G10325" s="64" t="s">
        <v>3021</v>
      </c>
      <c r="H10325" s="64" t="s">
        <v>3300</v>
      </c>
      <c r="I10325" s="64" t="s">
        <v>3023</v>
      </c>
      <c r="J10325" s="67">
        <v>0</v>
      </c>
      <c r="K10325" s="62">
        <v>73.56</v>
      </c>
      <c r="L10325" s="33" t="e">
        <f>HLOOKUP(B10325,#REF!,1,0)</f>
        <v>#REF!</v>
      </c>
      <c r="M10325" s="33" t="str">
        <f t="shared" si="647"/>
        <v>P&amp;L</v>
      </c>
    </row>
    <row r="10326" spans="1:13">
      <c r="A10326" s="33" t="str">
        <f t="shared" si="644"/>
        <v>SCL - Other Income/Expense</v>
      </c>
      <c r="B10326" s="33" t="str">
        <f t="shared" si="645"/>
        <v>SCL</v>
      </c>
      <c r="C10326" s="33" t="str">
        <f t="shared" si="646"/>
        <v>80001-7365</v>
      </c>
      <c r="D10326" s="64" t="s">
        <v>11579</v>
      </c>
      <c r="E10326" s="64" t="s">
        <v>3299</v>
      </c>
      <c r="F10326" s="64" t="s">
        <v>15</v>
      </c>
      <c r="G10326" s="64" t="s">
        <v>3021</v>
      </c>
      <c r="H10326" s="64" t="s">
        <v>3300</v>
      </c>
      <c r="I10326" s="64" t="s">
        <v>3023</v>
      </c>
      <c r="J10326" s="67">
        <v>0</v>
      </c>
      <c r="K10326" s="62">
        <v>250.38</v>
      </c>
      <c r="L10326" s="33" t="e">
        <f>HLOOKUP(B10326,#REF!,1,0)</f>
        <v>#REF!</v>
      </c>
      <c r="M10326" s="33" t="str">
        <f t="shared" si="647"/>
        <v>P&amp;L</v>
      </c>
    </row>
    <row r="10327" spans="1:13">
      <c r="A10327" s="33" t="str">
        <f t="shared" si="644"/>
        <v>SCL - Other Income/Expense</v>
      </c>
      <c r="B10327" s="33" t="str">
        <f t="shared" si="645"/>
        <v>SCL</v>
      </c>
      <c r="C10327" s="33" t="str">
        <f t="shared" si="646"/>
        <v>80001-7366</v>
      </c>
      <c r="D10327" s="64" t="s">
        <v>11580</v>
      </c>
      <c r="E10327" s="64" t="s">
        <v>3299</v>
      </c>
      <c r="F10327" s="64" t="s">
        <v>15</v>
      </c>
      <c r="G10327" s="64" t="s">
        <v>3021</v>
      </c>
      <c r="H10327" s="64" t="s">
        <v>3300</v>
      </c>
      <c r="I10327" s="64" t="s">
        <v>3023</v>
      </c>
      <c r="J10327" s="67">
        <v>14.44</v>
      </c>
      <c r="K10327" s="62">
        <v>395.09</v>
      </c>
      <c r="L10327" s="33" t="e">
        <f>HLOOKUP(B10327,#REF!,1,0)</f>
        <v>#REF!</v>
      </c>
      <c r="M10327" s="33" t="str">
        <f t="shared" si="647"/>
        <v>P&amp;L</v>
      </c>
    </row>
    <row r="10328" spans="1:13">
      <c r="A10328" s="33" t="str">
        <f t="shared" si="644"/>
        <v>SCL - Other Income/Expense</v>
      </c>
      <c r="B10328" s="33" t="str">
        <f t="shared" si="645"/>
        <v>SCL</v>
      </c>
      <c r="C10328" s="33" t="str">
        <f t="shared" si="646"/>
        <v>80001-7368</v>
      </c>
      <c r="D10328" s="64" t="s">
        <v>11581</v>
      </c>
      <c r="E10328" s="64" t="s">
        <v>3299</v>
      </c>
      <c r="F10328" s="64" t="s">
        <v>15</v>
      </c>
      <c r="G10328" s="64" t="s">
        <v>3021</v>
      </c>
      <c r="H10328" s="64" t="s">
        <v>3300</v>
      </c>
      <c r="I10328" s="64" t="s">
        <v>3023</v>
      </c>
      <c r="J10328" s="67">
        <v>0</v>
      </c>
      <c r="K10328" s="62">
        <v>119.6</v>
      </c>
      <c r="L10328" s="33" t="e">
        <f>HLOOKUP(B10328,#REF!,1,0)</f>
        <v>#REF!</v>
      </c>
      <c r="M10328" s="33" t="str">
        <f t="shared" si="647"/>
        <v>P&amp;L</v>
      </c>
    </row>
    <row r="10329" spans="1:13">
      <c r="A10329" s="33" t="str">
        <f t="shared" si="644"/>
        <v>SCL - Other Income/Expense</v>
      </c>
      <c r="B10329" s="33" t="str">
        <f t="shared" si="645"/>
        <v>SCL</v>
      </c>
      <c r="C10329" s="33" t="str">
        <f t="shared" si="646"/>
        <v>80001-7369</v>
      </c>
      <c r="D10329" s="64" t="s">
        <v>11582</v>
      </c>
      <c r="E10329" s="64" t="s">
        <v>3299</v>
      </c>
      <c r="F10329" s="64" t="s">
        <v>15</v>
      </c>
      <c r="G10329" s="64" t="s">
        <v>3021</v>
      </c>
      <c r="H10329" s="64" t="s">
        <v>3300</v>
      </c>
      <c r="I10329" s="64" t="s">
        <v>3023</v>
      </c>
      <c r="J10329" s="67">
        <v>21.73</v>
      </c>
      <c r="K10329" s="62">
        <v>304.05</v>
      </c>
      <c r="L10329" s="33" t="e">
        <f>HLOOKUP(B10329,#REF!,1,0)</f>
        <v>#REF!</v>
      </c>
      <c r="M10329" s="33" t="str">
        <f t="shared" si="647"/>
        <v>P&amp;L</v>
      </c>
    </row>
    <row r="10330" spans="1:13">
      <c r="A10330" s="33" t="str">
        <f t="shared" si="644"/>
        <v>SCL - Other Income/Expense</v>
      </c>
      <c r="B10330" s="33" t="str">
        <f t="shared" si="645"/>
        <v>SCL</v>
      </c>
      <c r="C10330" s="33" t="str">
        <f t="shared" si="646"/>
        <v>80001-7370</v>
      </c>
      <c r="D10330" s="64" t="s">
        <v>11583</v>
      </c>
      <c r="E10330" s="64" t="s">
        <v>3299</v>
      </c>
      <c r="F10330" s="64" t="s">
        <v>15</v>
      </c>
      <c r="G10330" s="64" t="s">
        <v>3021</v>
      </c>
      <c r="H10330" s="64" t="s">
        <v>3300</v>
      </c>
      <c r="I10330" s="64" t="s">
        <v>3023</v>
      </c>
      <c r="J10330" s="67">
        <v>0</v>
      </c>
      <c r="K10330" s="62">
        <v>0</v>
      </c>
      <c r="L10330" s="33" t="e">
        <f>HLOOKUP(B10330,#REF!,1,0)</f>
        <v>#REF!</v>
      </c>
      <c r="M10330" s="33" t="str">
        <f t="shared" si="647"/>
        <v>P&amp;L</v>
      </c>
    </row>
    <row r="10331" spans="1:13">
      <c r="A10331" s="33" t="str">
        <f t="shared" si="644"/>
        <v>SCL - Other Income/Expense</v>
      </c>
      <c r="B10331" s="33" t="str">
        <f t="shared" si="645"/>
        <v>SCL</v>
      </c>
      <c r="C10331" s="33" t="str">
        <f t="shared" si="646"/>
        <v>80001-7371</v>
      </c>
      <c r="D10331" s="64" t="s">
        <v>11584</v>
      </c>
      <c r="E10331" s="64" t="s">
        <v>3299</v>
      </c>
      <c r="F10331" s="64" t="s">
        <v>15</v>
      </c>
      <c r="G10331" s="64" t="s">
        <v>3021</v>
      </c>
      <c r="H10331" s="64" t="s">
        <v>3300</v>
      </c>
      <c r="I10331" s="64" t="s">
        <v>3023</v>
      </c>
      <c r="J10331" s="67">
        <v>0</v>
      </c>
      <c r="K10331" s="62">
        <v>189.75</v>
      </c>
      <c r="L10331" s="33" t="e">
        <f>HLOOKUP(B10331,#REF!,1,0)</f>
        <v>#REF!</v>
      </c>
      <c r="M10331" s="33" t="str">
        <f t="shared" si="647"/>
        <v>P&amp;L</v>
      </c>
    </row>
    <row r="10332" spans="1:13">
      <c r="A10332" s="33" t="str">
        <f t="shared" si="644"/>
        <v>SCL - Other Income/Expense</v>
      </c>
      <c r="B10332" s="33" t="str">
        <f t="shared" si="645"/>
        <v>SCL</v>
      </c>
      <c r="C10332" s="33" t="str">
        <f t="shared" si="646"/>
        <v>80001-7374</v>
      </c>
      <c r="D10332" s="64" t="s">
        <v>11585</v>
      </c>
      <c r="E10332" s="64" t="s">
        <v>3299</v>
      </c>
      <c r="F10332" s="64" t="s">
        <v>15</v>
      </c>
      <c r="G10332" s="64" t="s">
        <v>3021</v>
      </c>
      <c r="H10332" s="64" t="s">
        <v>3300</v>
      </c>
      <c r="I10332" s="64" t="s">
        <v>3023</v>
      </c>
      <c r="J10332" s="67">
        <v>49.53</v>
      </c>
      <c r="K10332" s="62">
        <v>541.82</v>
      </c>
      <c r="L10332" s="33" t="e">
        <f>HLOOKUP(B10332,#REF!,1,0)</f>
        <v>#REF!</v>
      </c>
      <c r="M10332" s="33" t="str">
        <f t="shared" si="647"/>
        <v>P&amp;L</v>
      </c>
    </row>
    <row r="10333" spans="1:13">
      <c r="A10333" s="33" t="str">
        <f t="shared" si="644"/>
        <v>SCL - Other Income/Expense</v>
      </c>
      <c r="B10333" s="33" t="str">
        <f t="shared" si="645"/>
        <v>SCL</v>
      </c>
      <c r="C10333" s="33" t="str">
        <f t="shared" si="646"/>
        <v>80001-7375</v>
      </c>
      <c r="D10333" s="64" t="s">
        <v>11586</v>
      </c>
      <c r="E10333" s="64" t="s">
        <v>3299</v>
      </c>
      <c r="F10333" s="64" t="s">
        <v>15</v>
      </c>
      <c r="G10333" s="64" t="s">
        <v>3021</v>
      </c>
      <c r="H10333" s="64" t="s">
        <v>3300</v>
      </c>
      <c r="I10333" s="64" t="s">
        <v>3023</v>
      </c>
      <c r="J10333" s="67">
        <v>218.42</v>
      </c>
      <c r="K10333" s="62">
        <v>2742.25</v>
      </c>
      <c r="L10333" s="33" t="e">
        <f>HLOOKUP(B10333,#REF!,1,0)</f>
        <v>#REF!</v>
      </c>
      <c r="M10333" s="33" t="str">
        <f t="shared" si="647"/>
        <v>P&amp;L</v>
      </c>
    </row>
    <row r="10334" spans="1:13">
      <c r="A10334" s="33" t="str">
        <f t="shared" si="644"/>
        <v>SCL - Other Income/Expense</v>
      </c>
      <c r="B10334" s="33" t="str">
        <f t="shared" si="645"/>
        <v>SCL</v>
      </c>
      <c r="C10334" s="33" t="str">
        <f t="shared" si="646"/>
        <v>80001-7376</v>
      </c>
      <c r="D10334" s="64" t="s">
        <v>11587</v>
      </c>
      <c r="E10334" s="64" t="s">
        <v>3299</v>
      </c>
      <c r="F10334" s="64" t="s">
        <v>15</v>
      </c>
      <c r="G10334" s="64" t="s">
        <v>3021</v>
      </c>
      <c r="H10334" s="64" t="s">
        <v>3300</v>
      </c>
      <c r="I10334" s="64" t="s">
        <v>3023</v>
      </c>
      <c r="J10334" s="67">
        <v>13.89</v>
      </c>
      <c r="K10334" s="62">
        <v>310.79</v>
      </c>
      <c r="L10334" s="33" t="e">
        <f>HLOOKUP(B10334,#REF!,1,0)</f>
        <v>#REF!</v>
      </c>
      <c r="M10334" s="33" t="str">
        <f t="shared" si="647"/>
        <v>P&amp;L</v>
      </c>
    </row>
    <row r="10335" spans="1:13">
      <c r="A10335" s="33" t="str">
        <f t="shared" si="644"/>
        <v>SCL - Other Income/Expense</v>
      </c>
      <c r="B10335" s="33" t="str">
        <f t="shared" si="645"/>
        <v>SCL</v>
      </c>
      <c r="C10335" s="33" t="str">
        <f t="shared" si="646"/>
        <v>80001-7377</v>
      </c>
      <c r="D10335" s="64" t="s">
        <v>11588</v>
      </c>
      <c r="E10335" s="64" t="s">
        <v>3299</v>
      </c>
      <c r="F10335" s="64" t="s">
        <v>15</v>
      </c>
      <c r="G10335" s="64" t="s">
        <v>3021</v>
      </c>
      <c r="H10335" s="64" t="s">
        <v>3300</v>
      </c>
      <c r="I10335" s="64" t="s">
        <v>3023</v>
      </c>
      <c r="J10335" s="67">
        <v>0</v>
      </c>
      <c r="K10335" s="62">
        <v>147.1</v>
      </c>
      <c r="L10335" s="33" t="e">
        <f>HLOOKUP(B10335,#REF!,1,0)</f>
        <v>#REF!</v>
      </c>
      <c r="M10335" s="33" t="str">
        <f t="shared" si="647"/>
        <v>P&amp;L</v>
      </c>
    </row>
    <row r="10336" spans="1:13">
      <c r="A10336" s="33" t="str">
        <f t="shared" si="644"/>
        <v>SCL - Other Income/Expense</v>
      </c>
      <c r="B10336" s="33" t="str">
        <f t="shared" si="645"/>
        <v>SCL</v>
      </c>
      <c r="C10336" s="33" t="str">
        <f t="shared" si="646"/>
        <v>80001-7378</v>
      </c>
      <c r="D10336" s="64" t="s">
        <v>11589</v>
      </c>
      <c r="E10336" s="64" t="s">
        <v>3299</v>
      </c>
      <c r="F10336" s="64" t="s">
        <v>15</v>
      </c>
      <c r="G10336" s="64" t="s">
        <v>3021</v>
      </c>
      <c r="H10336" s="64" t="s">
        <v>3300</v>
      </c>
      <c r="I10336" s="64" t="s">
        <v>3023</v>
      </c>
      <c r="J10336" s="67">
        <v>0</v>
      </c>
      <c r="K10336" s="62">
        <v>389.99</v>
      </c>
      <c r="L10336" s="33" t="e">
        <f>HLOOKUP(B10336,#REF!,1,0)</f>
        <v>#REF!</v>
      </c>
      <c r="M10336" s="33" t="str">
        <f t="shared" si="647"/>
        <v>P&amp;L</v>
      </c>
    </row>
    <row r="10337" spans="1:13">
      <c r="A10337" s="33" t="str">
        <f t="shared" si="644"/>
        <v>SCL - Other Income/Expense</v>
      </c>
      <c r="B10337" s="33" t="str">
        <f t="shared" si="645"/>
        <v>SCL</v>
      </c>
      <c r="C10337" s="33" t="str">
        <f t="shared" si="646"/>
        <v>80001-7379</v>
      </c>
      <c r="D10337" s="64" t="s">
        <v>11590</v>
      </c>
      <c r="E10337" s="64" t="s">
        <v>3299</v>
      </c>
      <c r="F10337" s="64" t="s">
        <v>15</v>
      </c>
      <c r="G10337" s="64" t="s">
        <v>3021</v>
      </c>
      <c r="H10337" s="64" t="s">
        <v>3300</v>
      </c>
      <c r="I10337" s="64" t="s">
        <v>3023</v>
      </c>
      <c r="J10337" s="67">
        <v>0</v>
      </c>
      <c r="K10337" s="62">
        <v>6.6</v>
      </c>
      <c r="L10337" s="33" t="e">
        <f>HLOOKUP(B10337,#REF!,1,0)</f>
        <v>#REF!</v>
      </c>
      <c r="M10337" s="33" t="str">
        <f t="shared" si="647"/>
        <v>P&amp;L</v>
      </c>
    </row>
    <row r="10338" spans="1:13">
      <c r="A10338" s="33" t="str">
        <f t="shared" si="644"/>
        <v>SCL - Other Income/Expense</v>
      </c>
      <c r="B10338" s="33" t="str">
        <f t="shared" si="645"/>
        <v>SCL</v>
      </c>
      <c r="C10338" s="33" t="str">
        <f t="shared" si="646"/>
        <v>80001-7380</v>
      </c>
      <c r="D10338" s="64" t="s">
        <v>11591</v>
      </c>
      <c r="E10338" s="64" t="s">
        <v>3299</v>
      </c>
      <c r="F10338" s="64" t="s">
        <v>15</v>
      </c>
      <c r="G10338" s="64" t="s">
        <v>3021</v>
      </c>
      <c r="H10338" s="64" t="s">
        <v>3300</v>
      </c>
      <c r="I10338" s="64" t="s">
        <v>3023</v>
      </c>
      <c r="J10338" s="67">
        <v>15.09</v>
      </c>
      <c r="K10338" s="62">
        <v>209.11</v>
      </c>
      <c r="L10338" s="33" t="e">
        <f>HLOOKUP(B10338,#REF!,1,0)</f>
        <v>#REF!</v>
      </c>
      <c r="M10338" s="33" t="str">
        <f t="shared" si="647"/>
        <v>P&amp;L</v>
      </c>
    </row>
    <row r="10339" spans="1:13">
      <c r="A10339" s="33" t="str">
        <f t="shared" si="644"/>
        <v>SCL - Other Income/Expense</v>
      </c>
      <c r="B10339" s="33" t="str">
        <f t="shared" si="645"/>
        <v>SCL</v>
      </c>
      <c r="C10339" s="33" t="str">
        <f t="shared" si="646"/>
        <v>80001-7381</v>
      </c>
      <c r="D10339" s="64" t="s">
        <v>11592</v>
      </c>
      <c r="E10339" s="64" t="s">
        <v>3299</v>
      </c>
      <c r="F10339" s="64" t="s">
        <v>15</v>
      </c>
      <c r="G10339" s="64" t="s">
        <v>3021</v>
      </c>
      <c r="H10339" s="64" t="s">
        <v>3300</v>
      </c>
      <c r="I10339" s="64" t="s">
        <v>3023</v>
      </c>
      <c r="J10339" s="67">
        <v>0</v>
      </c>
      <c r="K10339" s="62">
        <v>116.21</v>
      </c>
      <c r="L10339" s="33" t="e">
        <f>HLOOKUP(B10339,#REF!,1,0)</f>
        <v>#REF!</v>
      </c>
      <c r="M10339" s="33" t="str">
        <f t="shared" si="647"/>
        <v>P&amp;L</v>
      </c>
    </row>
    <row r="10340" spans="1:13">
      <c r="A10340" s="33" t="str">
        <f t="shared" si="644"/>
        <v>SCL - Other Income/Expense</v>
      </c>
      <c r="B10340" s="33" t="str">
        <f t="shared" si="645"/>
        <v>SCL</v>
      </c>
      <c r="C10340" s="33" t="str">
        <f t="shared" si="646"/>
        <v>80001-7383</v>
      </c>
      <c r="D10340" s="64" t="s">
        <v>11593</v>
      </c>
      <c r="E10340" s="64" t="s">
        <v>3299</v>
      </c>
      <c r="F10340" s="64" t="s">
        <v>15</v>
      </c>
      <c r="G10340" s="64" t="s">
        <v>3021</v>
      </c>
      <c r="H10340" s="64" t="s">
        <v>3300</v>
      </c>
      <c r="I10340" s="64" t="s">
        <v>3023</v>
      </c>
      <c r="J10340" s="67">
        <v>0</v>
      </c>
      <c r="K10340" s="62">
        <v>809.47</v>
      </c>
      <c r="L10340" s="33" t="e">
        <f>HLOOKUP(B10340,#REF!,1,0)</f>
        <v>#REF!</v>
      </c>
      <c r="M10340" s="33" t="str">
        <f t="shared" si="647"/>
        <v>P&amp;L</v>
      </c>
    </row>
    <row r="10341" spans="1:13">
      <c r="A10341" s="33" t="str">
        <f t="shared" si="644"/>
        <v>SCL - Other Income/Expense</v>
      </c>
      <c r="B10341" s="33" t="str">
        <f t="shared" si="645"/>
        <v>SCL</v>
      </c>
      <c r="C10341" s="33" t="str">
        <f t="shared" si="646"/>
        <v>80001-7385</v>
      </c>
      <c r="D10341" s="64" t="s">
        <v>11594</v>
      </c>
      <c r="E10341" s="64" t="s">
        <v>3299</v>
      </c>
      <c r="F10341" s="64" t="s">
        <v>15</v>
      </c>
      <c r="G10341" s="64" t="s">
        <v>3021</v>
      </c>
      <c r="H10341" s="64" t="s">
        <v>3300</v>
      </c>
      <c r="I10341" s="64" t="s">
        <v>3023</v>
      </c>
      <c r="J10341" s="67">
        <v>0</v>
      </c>
      <c r="K10341" s="62">
        <v>335.36</v>
      </c>
      <c r="L10341" s="33" t="e">
        <f>HLOOKUP(B10341,#REF!,1,0)</f>
        <v>#REF!</v>
      </c>
      <c r="M10341" s="33" t="str">
        <f t="shared" si="647"/>
        <v>P&amp;L</v>
      </c>
    </row>
    <row r="10342" spans="1:13">
      <c r="A10342" s="33" t="str">
        <f t="shared" si="644"/>
        <v>SCL - Other Income/Expense</v>
      </c>
      <c r="B10342" s="33" t="str">
        <f t="shared" si="645"/>
        <v>SCL</v>
      </c>
      <c r="C10342" s="33" t="str">
        <f t="shared" si="646"/>
        <v>80001-7386</v>
      </c>
      <c r="D10342" s="64" t="s">
        <v>11595</v>
      </c>
      <c r="E10342" s="64" t="s">
        <v>3299</v>
      </c>
      <c r="F10342" s="64" t="s">
        <v>15</v>
      </c>
      <c r="G10342" s="64" t="s">
        <v>3021</v>
      </c>
      <c r="H10342" s="64" t="s">
        <v>3300</v>
      </c>
      <c r="I10342" s="64" t="s">
        <v>3023</v>
      </c>
      <c r="J10342" s="67">
        <v>0</v>
      </c>
      <c r="K10342" s="62">
        <v>139.05</v>
      </c>
      <c r="L10342" s="33" t="e">
        <f>HLOOKUP(B10342,#REF!,1,0)</f>
        <v>#REF!</v>
      </c>
      <c r="M10342" s="33" t="str">
        <f t="shared" si="647"/>
        <v>P&amp;L</v>
      </c>
    </row>
    <row r="10343" spans="1:13">
      <c r="A10343" s="33" t="str">
        <f t="shared" si="644"/>
        <v>SCL - Other Income/Expense</v>
      </c>
      <c r="B10343" s="33" t="str">
        <f t="shared" si="645"/>
        <v>SCL</v>
      </c>
      <c r="C10343" s="33" t="str">
        <f t="shared" si="646"/>
        <v>80001-7387</v>
      </c>
      <c r="D10343" s="64" t="s">
        <v>11596</v>
      </c>
      <c r="E10343" s="64" t="s">
        <v>3299</v>
      </c>
      <c r="F10343" s="64" t="s">
        <v>15</v>
      </c>
      <c r="G10343" s="64" t="s">
        <v>3021</v>
      </c>
      <c r="H10343" s="64" t="s">
        <v>3300</v>
      </c>
      <c r="I10343" s="64" t="s">
        <v>3023</v>
      </c>
      <c r="J10343" s="67">
        <v>15.31</v>
      </c>
      <c r="K10343" s="62">
        <v>289.24</v>
      </c>
      <c r="L10343" s="33" t="e">
        <f>HLOOKUP(B10343,#REF!,1,0)</f>
        <v>#REF!</v>
      </c>
      <c r="M10343" s="33" t="str">
        <f t="shared" si="647"/>
        <v>P&amp;L</v>
      </c>
    </row>
    <row r="10344" spans="1:13">
      <c r="A10344" s="33" t="str">
        <f t="shared" si="644"/>
        <v>SCL - Other Income/Expense</v>
      </c>
      <c r="B10344" s="33" t="str">
        <f t="shared" si="645"/>
        <v>SCL</v>
      </c>
      <c r="C10344" s="33" t="str">
        <f t="shared" si="646"/>
        <v>80001-7388</v>
      </c>
      <c r="D10344" s="64" t="s">
        <v>11597</v>
      </c>
      <c r="E10344" s="64" t="s">
        <v>3299</v>
      </c>
      <c r="F10344" s="64" t="s">
        <v>15</v>
      </c>
      <c r="G10344" s="64" t="s">
        <v>3021</v>
      </c>
      <c r="H10344" s="64" t="s">
        <v>3300</v>
      </c>
      <c r="I10344" s="64" t="s">
        <v>3023</v>
      </c>
      <c r="J10344" s="67">
        <v>0</v>
      </c>
      <c r="K10344" s="62">
        <v>0</v>
      </c>
      <c r="L10344" s="33" t="e">
        <f>HLOOKUP(B10344,#REF!,1,0)</f>
        <v>#REF!</v>
      </c>
      <c r="M10344" s="33" t="str">
        <f t="shared" si="647"/>
        <v>P&amp;L</v>
      </c>
    </row>
    <row r="10345" spans="1:13">
      <c r="A10345" s="33" t="str">
        <f t="shared" si="644"/>
        <v>SCL - Other Income/Expense</v>
      </c>
      <c r="B10345" s="33" t="str">
        <f t="shared" si="645"/>
        <v>SCL</v>
      </c>
      <c r="C10345" s="33" t="str">
        <f t="shared" si="646"/>
        <v>80001-7389</v>
      </c>
      <c r="D10345" s="64" t="s">
        <v>11598</v>
      </c>
      <c r="E10345" s="64" t="s">
        <v>3299</v>
      </c>
      <c r="F10345" s="64" t="s">
        <v>15</v>
      </c>
      <c r="G10345" s="64" t="s">
        <v>3021</v>
      </c>
      <c r="H10345" s="64" t="s">
        <v>3300</v>
      </c>
      <c r="I10345" s="64" t="s">
        <v>3023</v>
      </c>
      <c r="J10345" s="67">
        <v>0</v>
      </c>
      <c r="K10345" s="62">
        <v>315.6</v>
      </c>
      <c r="L10345" s="33" t="e">
        <f>HLOOKUP(B10345,#REF!,1,0)</f>
        <v>#REF!</v>
      </c>
      <c r="M10345" s="33" t="str">
        <f t="shared" si="647"/>
        <v>P&amp;L</v>
      </c>
    </row>
    <row r="10346" spans="1:13">
      <c r="A10346" s="33" t="str">
        <f t="shared" si="644"/>
        <v>SCL - Other Income/Expense</v>
      </c>
      <c r="B10346" s="33" t="str">
        <f t="shared" si="645"/>
        <v>SCL</v>
      </c>
      <c r="C10346" s="33" t="str">
        <f t="shared" si="646"/>
        <v>80001-7391</v>
      </c>
      <c r="D10346" s="64" t="s">
        <v>11599</v>
      </c>
      <c r="E10346" s="64" t="s">
        <v>3299</v>
      </c>
      <c r="F10346" s="64" t="s">
        <v>15</v>
      </c>
      <c r="G10346" s="64" t="s">
        <v>3021</v>
      </c>
      <c r="H10346" s="64" t="s">
        <v>3300</v>
      </c>
      <c r="I10346" s="64" t="s">
        <v>3023</v>
      </c>
      <c r="J10346" s="67">
        <v>0</v>
      </c>
      <c r="K10346" s="62">
        <v>350.63</v>
      </c>
      <c r="L10346" s="33" t="e">
        <f>HLOOKUP(B10346,#REF!,1,0)</f>
        <v>#REF!</v>
      </c>
      <c r="M10346" s="33" t="str">
        <f t="shared" si="647"/>
        <v>P&amp;L</v>
      </c>
    </row>
    <row r="10347" spans="1:13">
      <c r="A10347" s="33" t="str">
        <f t="shared" si="644"/>
        <v>SCL - Other Income/Expense</v>
      </c>
      <c r="B10347" s="33" t="str">
        <f t="shared" si="645"/>
        <v>SCL</v>
      </c>
      <c r="C10347" s="33" t="str">
        <f t="shared" si="646"/>
        <v>80001-7393</v>
      </c>
      <c r="D10347" s="64" t="s">
        <v>11600</v>
      </c>
      <c r="E10347" s="64" t="s">
        <v>3299</v>
      </c>
      <c r="F10347" s="64" t="s">
        <v>15</v>
      </c>
      <c r="G10347" s="64" t="s">
        <v>3021</v>
      </c>
      <c r="H10347" s="64" t="s">
        <v>3300</v>
      </c>
      <c r="I10347" s="64" t="s">
        <v>3023</v>
      </c>
      <c r="J10347" s="67">
        <v>0</v>
      </c>
      <c r="K10347" s="62">
        <v>158.19</v>
      </c>
      <c r="L10347" s="33" t="e">
        <f>HLOOKUP(B10347,#REF!,1,0)</f>
        <v>#REF!</v>
      </c>
      <c r="M10347" s="33" t="str">
        <f t="shared" si="647"/>
        <v>P&amp;L</v>
      </c>
    </row>
    <row r="10348" spans="1:13">
      <c r="A10348" s="33" t="str">
        <f t="shared" si="644"/>
        <v>SCL - Other Income/Expense</v>
      </c>
      <c r="B10348" s="33" t="str">
        <f t="shared" si="645"/>
        <v>SCL</v>
      </c>
      <c r="C10348" s="33" t="str">
        <f t="shared" si="646"/>
        <v>80001-7394</v>
      </c>
      <c r="D10348" s="64" t="s">
        <v>11601</v>
      </c>
      <c r="E10348" s="64" t="s">
        <v>3299</v>
      </c>
      <c r="F10348" s="64" t="s">
        <v>15</v>
      </c>
      <c r="G10348" s="64" t="s">
        <v>3021</v>
      </c>
      <c r="H10348" s="64" t="s">
        <v>3300</v>
      </c>
      <c r="I10348" s="64" t="s">
        <v>3023</v>
      </c>
      <c r="J10348" s="67">
        <v>0</v>
      </c>
      <c r="K10348" s="62">
        <v>206.28</v>
      </c>
      <c r="L10348" s="33" t="e">
        <f>HLOOKUP(B10348,#REF!,1,0)</f>
        <v>#REF!</v>
      </c>
      <c r="M10348" s="33" t="str">
        <f t="shared" si="647"/>
        <v>P&amp;L</v>
      </c>
    </row>
    <row r="10349" spans="1:13">
      <c r="A10349" s="33" t="str">
        <f t="shared" si="644"/>
        <v>SCL - Other Income/Expense</v>
      </c>
      <c r="B10349" s="33" t="str">
        <f t="shared" si="645"/>
        <v>SCL</v>
      </c>
      <c r="C10349" s="33" t="str">
        <f t="shared" si="646"/>
        <v>80001-7396</v>
      </c>
      <c r="D10349" s="64" t="s">
        <v>11602</v>
      </c>
      <c r="E10349" s="64" t="s">
        <v>3299</v>
      </c>
      <c r="F10349" s="64" t="s">
        <v>15</v>
      </c>
      <c r="G10349" s="64" t="s">
        <v>3021</v>
      </c>
      <c r="H10349" s="64" t="s">
        <v>3300</v>
      </c>
      <c r="I10349" s="64" t="s">
        <v>3023</v>
      </c>
      <c r="J10349" s="67">
        <v>0</v>
      </c>
      <c r="K10349" s="62">
        <v>1113.18</v>
      </c>
      <c r="L10349" s="33" t="e">
        <f>HLOOKUP(B10349,#REF!,1,0)</f>
        <v>#REF!</v>
      </c>
      <c r="M10349" s="33" t="str">
        <f t="shared" si="647"/>
        <v>P&amp;L</v>
      </c>
    </row>
    <row r="10350" spans="1:13">
      <c r="A10350" s="33" t="str">
        <f t="shared" si="644"/>
        <v>SCL - Other Income/Expense</v>
      </c>
      <c r="B10350" s="33" t="str">
        <f t="shared" si="645"/>
        <v>SCL</v>
      </c>
      <c r="C10350" s="33" t="str">
        <f t="shared" si="646"/>
        <v>80001-7397</v>
      </c>
      <c r="D10350" s="64" t="s">
        <v>11603</v>
      </c>
      <c r="E10350" s="64" t="s">
        <v>3299</v>
      </c>
      <c r="F10350" s="64" t="s">
        <v>15</v>
      </c>
      <c r="G10350" s="64" t="s">
        <v>3021</v>
      </c>
      <c r="H10350" s="64" t="s">
        <v>3300</v>
      </c>
      <c r="I10350" s="64" t="s">
        <v>3023</v>
      </c>
      <c r="J10350" s="67">
        <v>0</v>
      </c>
      <c r="K10350" s="62">
        <v>307.16</v>
      </c>
      <c r="L10350" s="33" t="e">
        <f>HLOOKUP(B10350,#REF!,1,0)</f>
        <v>#REF!</v>
      </c>
      <c r="M10350" s="33" t="str">
        <f t="shared" si="647"/>
        <v>P&amp;L</v>
      </c>
    </row>
    <row r="10351" spans="1:13">
      <c r="A10351" s="33" t="str">
        <f t="shared" si="644"/>
        <v>SCL - Other Income/Expense</v>
      </c>
      <c r="B10351" s="33" t="str">
        <f t="shared" si="645"/>
        <v>SCL</v>
      </c>
      <c r="C10351" s="33" t="str">
        <f t="shared" si="646"/>
        <v>80001-7398</v>
      </c>
      <c r="D10351" s="64" t="s">
        <v>11604</v>
      </c>
      <c r="E10351" s="64" t="s">
        <v>3299</v>
      </c>
      <c r="F10351" s="64" t="s">
        <v>15</v>
      </c>
      <c r="G10351" s="64" t="s">
        <v>3021</v>
      </c>
      <c r="H10351" s="64" t="s">
        <v>3300</v>
      </c>
      <c r="I10351" s="64" t="s">
        <v>3023</v>
      </c>
      <c r="J10351" s="67">
        <v>0</v>
      </c>
      <c r="K10351" s="62">
        <v>93.95</v>
      </c>
      <c r="L10351" s="33" t="e">
        <f>HLOOKUP(B10351,#REF!,1,0)</f>
        <v>#REF!</v>
      </c>
      <c r="M10351" s="33" t="str">
        <f t="shared" si="647"/>
        <v>P&amp;L</v>
      </c>
    </row>
    <row r="10352" spans="1:13">
      <c r="A10352" s="33" t="str">
        <f t="shared" si="644"/>
        <v>SCL - Other Income/Expense</v>
      </c>
      <c r="B10352" s="33" t="str">
        <f t="shared" si="645"/>
        <v>SCL</v>
      </c>
      <c r="C10352" s="33" t="str">
        <f t="shared" si="646"/>
        <v>80001-7400</v>
      </c>
      <c r="D10352" s="64" t="s">
        <v>11605</v>
      </c>
      <c r="E10352" s="64" t="s">
        <v>3299</v>
      </c>
      <c r="F10352" s="64" t="s">
        <v>15</v>
      </c>
      <c r="G10352" s="64" t="s">
        <v>3021</v>
      </c>
      <c r="H10352" s="64" t="s">
        <v>3300</v>
      </c>
      <c r="I10352" s="64" t="s">
        <v>3023</v>
      </c>
      <c r="J10352" s="67">
        <v>33.47</v>
      </c>
      <c r="K10352" s="62">
        <v>265.42</v>
      </c>
      <c r="L10352" s="33" t="e">
        <f>HLOOKUP(B10352,#REF!,1,0)</f>
        <v>#REF!</v>
      </c>
      <c r="M10352" s="33" t="str">
        <f t="shared" si="647"/>
        <v>P&amp;L</v>
      </c>
    </row>
    <row r="10353" spans="1:13">
      <c r="A10353" s="33" t="str">
        <f t="shared" si="644"/>
        <v>SCL - Other Income/Expense</v>
      </c>
      <c r="B10353" s="33" t="str">
        <f t="shared" si="645"/>
        <v>SCL</v>
      </c>
      <c r="C10353" s="33" t="str">
        <f t="shared" si="646"/>
        <v>80001-7401</v>
      </c>
      <c r="D10353" s="64" t="s">
        <v>11606</v>
      </c>
      <c r="E10353" s="64" t="s">
        <v>3299</v>
      </c>
      <c r="F10353" s="64" t="s">
        <v>15</v>
      </c>
      <c r="G10353" s="64" t="s">
        <v>3021</v>
      </c>
      <c r="H10353" s="64" t="s">
        <v>3300</v>
      </c>
      <c r="I10353" s="64" t="s">
        <v>3023</v>
      </c>
      <c r="J10353" s="67">
        <v>37.92</v>
      </c>
      <c r="K10353" s="62">
        <v>149.14</v>
      </c>
      <c r="L10353" s="33" t="e">
        <f>HLOOKUP(B10353,#REF!,1,0)</f>
        <v>#REF!</v>
      </c>
      <c r="M10353" s="33" t="str">
        <f t="shared" si="647"/>
        <v>P&amp;L</v>
      </c>
    </row>
    <row r="10354" spans="1:13">
      <c r="A10354" s="33" t="str">
        <f t="shared" si="644"/>
        <v>SCL - Other Income/Expense</v>
      </c>
      <c r="B10354" s="33" t="str">
        <f t="shared" si="645"/>
        <v>SCL</v>
      </c>
      <c r="C10354" s="33" t="str">
        <f t="shared" si="646"/>
        <v>80001-7402</v>
      </c>
      <c r="D10354" s="64" t="s">
        <v>11607</v>
      </c>
      <c r="E10354" s="64" t="s">
        <v>3299</v>
      </c>
      <c r="F10354" s="64" t="s">
        <v>15</v>
      </c>
      <c r="G10354" s="64" t="s">
        <v>3021</v>
      </c>
      <c r="H10354" s="64" t="s">
        <v>3300</v>
      </c>
      <c r="I10354" s="64" t="s">
        <v>3023</v>
      </c>
      <c r="J10354" s="67">
        <v>51.43</v>
      </c>
      <c r="K10354" s="62">
        <v>407.06</v>
      </c>
      <c r="L10354" s="33" t="e">
        <f>HLOOKUP(B10354,#REF!,1,0)</f>
        <v>#REF!</v>
      </c>
      <c r="M10354" s="33" t="str">
        <f t="shared" si="647"/>
        <v>P&amp;L</v>
      </c>
    </row>
    <row r="10355" spans="1:13">
      <c r="A10355" s="33" t="str">
        <f t="shared" si="644"/>
        <v>SCL - Other Income/Expense</v>
      </c>
      <c r="B10355" s="33" t="str">
        <f t="shared" si="645"/>
        <v>SCL</v>
      </c>
      <c r="C10355" s="33" t="str">
        <f t="shared" si="646"/>
        <v>80001-7403</v>
      </c>
      <c r="D10355" s="64" t="s">
        <v>11608</v>
      </c>
      <c r="E10355" s="64" t="s">
        <v>3299</v>
      </c>
      <c r="F10355" s="64" t="s">
        <v>15</v>
      </c>
      <c r="G10355" s="64" t="s">
        <v>3021</v>
      </c>
      <c r="H10355" s="64" t="s">
        <v>3300</v>
      </c>
      <c r="I10355" s="64" t="s">
        <v>3023</v>
      </c>
      <c r="J10355" s="67">
        <v>0</v>
      </c>
      <c r="K10355" s="62">
        <v>263.43</v>
      </c>
      <c r="L10355" s="33" t="e">
        <f>HLOOKUP(B10355,#REF!,1,0)</f>
        <v>#REF!</v>
      </c>
      <c r="M10355" s="33" t="str">
        <f t="shared" si="647"/>
        <v>P&amp;L</v>
      </c>
    </row>
    <row r="10356" spans="1:13">
      <c r="A10356" s="33" t="str">
        <f t="shared" si="644"/>
        <v>SCL - Other Income/Expense</v>
      </c>
      <c r="B10356" s="33" t="str">
        <f t="shared" si="645"/>
        <v>SCL</v>
      </c>
      <c r="C10356" s="33" t="str">
        <f t="shared" si="646"/>
        <v>80001-7404</v>
      </c>
      <c r="D10356" s="64" t="s">
        <v>11609</v>
      </c>
      <c r="E10356" s="64" t="s">
        <v>3299</v>
      </c>
      <c r="F10356" s="64" t="s">
        <v>15</v>
      </c>
      <c r="G10356" s="64" t="s">
        <v>3021</v>
      </c>
      <c r="H10356" s="64" t="s">
        <v>3300</v>
      </c>
      <c r="I10356" s="64" t="s">
        <v>3023</v>
      </c>
      <c r="J10356" s="67">
        <v>0</v>
      </c>
      <c r="K10356" s="62">
        <v>0</v>
      </c>
      <c r="L10356" s="33" t="e">
        <f>HLOOKUP(B10356,#REF!,1,0)</f>
        <v>#REF!</v>
      </c>
      <c r="M10356" s="33" t="str">
        <f t="shared" si="647"/>
        <v>P&amp;L</v>
      </c>
    </row>
    <row r="10357" spans="1:13">
      <c r="A10357" s="33" t="str">
        <f t="shared" si="644"/>
        <v>SCL - Other Income/Expense</v>
      </c>
      <c r="B10357" s="33" t="str">
        <f t="shared" si="645"/>
        <v>SCL</v>
      </c>
      <c r="C10357" s="33" t="str">
        <f t="shared" si="646"/>
        <v>80001-7405</v>
      </c>
      <c r="D10357" s="64" t="s">
        <v>11610</v>
      </c>
      <c r="E10357" s="64" t="s">
        <v>3299</v>
      </c>
      <c r="F10357" s="64" t="s">
        <v>15</v>
      </c>
      <c r="G10357" s="64" t="s">
        <v>3021</v>
      </c>
      <c r="H10357" s="64" t="s">
        <v>3300</v>
      </c>
      <c r="I10357" s="64" t="s">
        <v>3023</v>
      </c>
      <c r="J10357" s="67">
        <v>0</v>
      </c>
      <c r="K10357" s="62">
        <v>0</v>
      </c>
      <c r="L10357" s="33" t="e">
        <f>HLOOKUP(B10357,#REF!,1,0)</f>
        <v>#REF!</v>
      </c>
      <c r="M10357" s="33" t="str">
        <f t="shared" si="647"/>
        <v>P&amp;L</v>
      </c>
    </row>
    <row r="10358" spans="1:13">
      <c r="A10358" s="33" t="str">
        <f t="shared" si="644"/>
        <v>SCL - Other Income/Expense</v>
      </c>
      <c r="B10358" s="33" t="str">
        <f t="shared" si="645"/>
        <v>SCL</v>
      </c>
      <c r="C10358" s="33" t="str">
        <f t="shared" si="646"/>
        <v>80001-7406</v>
      </c>
      <c r="D10358" s="64" t="s">
        <v>11611</v>
      </c>
      <c r="E10358" s="64" t="s">
        <v>3299</v>
      </c>
      <c r="F10358" s="64" t="s">
        <v>15</v>
      </c>
      <c r="G10358" s="64" t="s">
        <v>3021</v>
      </c>
      <c r="H10358" s="64" t="s">
        <v>3300</v>
      </c>
      <c r="I10358" s="64" t="s">
        <v>3023</v>
      </c>
      <c r="J10358" s="67">
        <v>0</v>
      </c>
      <c r="K10358" s="62">
        <v>0</v>
      </c>
      <c r="L10358" s="33" t="e">
        <f>HLOOKUP(B10358,#REF!,1,0)</f>
        <v>#REF!</v>
      </c>
      <c r="M10358" s="33" t="str">
        <f t="shared" si="647"/>
        <v>P&amp;L</v>
      </c>
    </row>
    <row r="10359" spans="1:13">
      <c r="A10359" s="33" t="str">
        <f t="shared" si="644"/>
        <v>SCL - Other Income/Expense</v>
      </c>
      <c r="B10359" s="33" t="str">
        <f t="shared" si="645"/>
        <v>SCL</v>
      </c>
      <c r="C10359" s="33" t="str">
        <f t="shared" si="646"/>
        <v>80001-7489</v>
      </c>
      <c r="D10359" s="64" t="s">
        <v>11612</v>
      </c>
      <c r="E10359" s="64" t="s">
        <v>3299</v>
      </c>
      <c r="F10359" s="64" t="s">
        <v>15</v>
      </c>
      <c r="G10359" s="64" t="s">
        <v>3021</v>
      </c>
      <c r="H10359" s="64" t="s">
        <v>3300</v>
      </c>
      <c r="I10359" s="64" t="s">
        <v>3023</v>
      </c>
      <c r="J10359" s="67">
        <v>79.32</v>
      </c>
      <c r="K10359" s="62">
        <v>768.2</v>
      </c>
      <c r="L10359" s="33" t="e">
        <f>HLOOKUP(B10359,#REF!,1,0)</f>
        <v>#REF!</v>
      </c>
      <c r="M10359" s="33" t="str">
        <f t="shared" si="647"/>
        <v>P&amp;L</v>
      </c>
    </row>
    <row r="10360" spans="1:13">
      <c r="A10360" s="33" t="str">
        <f t="shared" si="644"/>
        <v>SCL - Other Income/Expense</v>
      </c>
      <c r="B10360" s="33" t="str">
        <f t="shared" si="645"/>
        <v>SCL</v>
      </c>
      <c r="C10360" s="33" t="str">
        <f t="shared" si="646"/>
        <v>80001-7490</v>
      </c>
      <c r="D10360" s="64" t="s">
        <v>11613</v>
      </c>
      <c r="E10360" s="64" t="s">
        <v>3299</v>
      </c>
      <c r="F10360" s="64" t="s">
        <v>15</v>
      </c>
      <c r="G10360" s="64" t="s">
        <v>3021</v>
      </c>
      <c r="H10360" s="64" t="s">
        <v>3300</v>
      </c>
      <c r="I10360" s="64" t="s">
        <v>3023</v>
      </c>
      <c r="J10360" s="67">
        <v>0</v>
      </c>
      <c r="K10360" s="62">
        <v>0</v>
      </c>
      <c r="L10360" s="33" t="e">
        <f>HLOOKUP(B10360,#REF!,1,0)</f>
        <v>#REF!</v>
      </c>
      <c r="M10360" s="33" t="str">
        <f t="shared" si="647"/>
        <v>P&amp;L</v>
      </c>
    </row>
    <row r="10361" spans="1:13">
      <c r="A10361" s="33" t="str">
        <f t="shared" si="644"/>
        <v>SCL - Other Income/Expense</v>
      </c>
      <c r="B10361" s="33" t="str">
        <f t="shared" si="645"/>
        <v>SCL</v>
      </c>
      <c r="C10361" s="33" t="str">
        <f t="shared" si="646"/>
        <v>80001-7491</v>
      </c>
      <c r="D10361" s="64" t="s">
        <v>11614</v>
      </c>
      <c r="E10361" s="64" t="s">
        <v>3299</v>
      </c>
      <c r="F10361" s="64" t="s">
        <v>15</v>
      </c>
      <c r="G10361" s="64" t="s">
        <v>3021</v>
      </c>
      <c r="H10361" s="64" t="s">
        <v>3300</v>
      </c>
      <c r="I10361" s="64" t="s">
        <v>3023</v>
      </c>
      <c r="J10361" s="67">
        <v>0</v>
      </c>
      <c r="K10361" s="62">
        <v>125.82</v>
      </c>
      <c r="L10361" s="33" t="e">
        <f>HLOOKUP(B10361,#REF!,1,0)</f>
        <v>#REF!</v>
      </c>
      <c r="M10361" s="33" t="str">
        <f t="shared" si="647"/>
        <v>P&amp;L</v>
      </c>
    </row>
    <row r="10362" spans="1:13">
      <c r="A10362" s="33" t="str">
        <f t="shared" si="644"/>
        <v>SCL - Other Income/Expense</v>
      </c>
      <c r="B10362" s="33" t="str">
        <f t="shared" si="645"/>
        <v>SCL</v>
      </c>
      <c r="C10362" s="33" t="str">
        <f t="shared" si="646"/>
        <v>80001-7492</v>
      </c>
      <c r="D10362" s="64" t="s">
        <v>11615</v>
      </c>
      <c r="E10362" s="64" t="s">
        <v>3299</v>
      </c>
      <c r="F10362" s="64" t="s">
        <v>15</v>
      </c>
      <c r="G10362" s="64" t="s">
        <v>3021</v>
      </c>
      <c r="H10362" s="64" t="s">
        <v>3300</v>
      </c>
      <c r="I10362" s="64" t="s">
        <v>3023</v>
      </c>
      <c r="J10362" s="67">
        <v>34.38</v>
      </c>
      <c r="K10362" s="62">
        <v>172.64</v>
      </c>
      <c r="L10362" s="33" t="e">
        <f>HLOOKUP(B10362,#REF!,1,0)</f>
        <v>#REF!</v>
      </c>
      <c r="M10362" s="33" t="str">
        <f t="shared" si="647"/>
        <v>P&amp;L</v>
      </c>
    </row>
    <row r="10363" spans="1:13">
      <c r="A10363" s="33" t="str">
        <f t="shared" si="644"/>
        <v>SCL - Other Income/Expense</v>
      </c>
      <c r="B10363" s="33" t="str">
        <f t="shared" si="645"/>
        <v>SCL</v>
      </c>
      <c r="C10363" s="33" t="str">
        <f t="shared" si="646"/>
        <v>80001-7493</v>
      </c>
      <c r="D10363" s="64" t="s">
        <v>11616</v>
      </c>
      <c r="E10363" s="64" t="s">
        <v>3299</v>
      </c>
      <c r="F10363" s="64" t="s">
        <v>15</v>
      </c>
      <c r="G10363" s="64" t="s">
        <v>3021</v>
      </c>
      <c r="H10363" s="64" t="s">
        <v>3300</v>
      </c>
      <c r="I10363" s="64" t="s">
        <v>3023</v>
      </c>
      <c r="J10363" s="67">
        <v>36.87</v>
      </c>
      <c r="K10363" s="62">
        <v>140.42</v>
      </c>
      <c r="L10363" s="33" t="e">
        <f>HLOOKUP(B10363,#REF!,1,0)</f>
        <v>#REF!</v>
      </c>
      <c r="M10363" s="33" t="str">
        <f t="shared" si="647"/>
        <v>P&amp;L</v>
      </c>
    </row>
    <row r="10364" spans="1:13">
      <c r="A10364" s="33" t="str">
        <f t="shared" si="644"/>
        <v>SCL - Other Income/Expense</v>
      </c>
      <c r="B10364" s="33" t="str">
        <f t="shared" si="645"/>
        <v>SCL</v>
      </c>
      <c r="C10364" s="33" t="str">
        <f t="shared" si="646"/>
        <v>80001-7494</v>
      </c>
      <c r="D10364" s="64" t="s">
        <v>11617</v>
      </c>
      <c r="E10364" s="64" t="s">
        <v>3299</v>
      </c>
      <c r="F10364" s="64" t="s">
        <v>15</v>
      </c>
      <c r="G10364" s="64" t="s">
        <v>3021</v>
      </c>
      <c r="H10364" s="64" t="s">
        <v>3300</v>
      </c>
      <c r="I10364" s="64" t="s">
        <v>3023</v>
      </c>
      <c r="J10364" s="67">
        <v>0</v>
      </c>
      <c r="K10364" s="62">
        <v>191.61</v>
      </c>
      <c r="L10364" s="33" t="e">
        <f>HLOOKUP(B10364,#REF!,1,0)</f>
        <v>#REF!</v>
      </c>
      <c r="M10364" s="33" t="str">
        <f t="shared" si="647"/>
        <v>P&amp;L</v>
      </c>
    </row>
    <row r="10365" spans="1:13">
      <c r="A10365" s="33" t="str">
        <f t="shared" si="644"/>
        <v>SCL - Other Income/Expense</v>
      </c>
      <c r="B10365" s="33" t="str">
        <f t="shared" si="645"/>
        <v>SCL</v>
      </c>
      <c r="C10365" s="33" t="str">
        <f t="shared" si="646"/>
        <v>80001-7625</v>
      </c>
      <c r="D10365" s="64" t="s">
        <v>11618</v>
      </c>
      <c r="E10365" s="64" t="s">
        <v>3299</v>
      </c>
      <c r="F10365" s="64" t="s">
        <v>15</v>
      </c>
      <c r="G10365" s="64" t="s">
        <v>3021</v>
      </c>
      <c r="H10365" s="64" t="s">
        <v>3300</v>
      </c>
      <c r="I10365" s="64" t="s">
        <v>3023</v>
      </c>
      <c r="J10365" s="67">
        <v>0</v>
      </c>
      <c r="K10365" s="62">
        <v>163.88</v>
      </c>
      <c r="L10365" s="33" t="e">
        <f>HLOOKUP(B10365,#REF!,1,0)</f>
        <v>#REF!</v>
      </c>
      <c r="M10365" s="33" t="str">
        <f t="shared" si="647"/>
        <v>P&amp;L</v>
      </c>
    </row>
    <row r="10366" spans="1:13">
      <c r="A10366" s="33" t="str">
        <f t="shared" si="644"/>
        <v>SCL - Other Income/Expense</v>
      </c>
      <c r="B10366" s="33" t="str">
        <f t="shared" si="645"/>
        <v>SCL</v>
      </c>
      <c r="C10366" s="33" t="str">
        <f t="shared" si="646"/>
        <v>80001-8150</v>
      </c>
      <c r="D10366" s="64" t="s">
        <v>11619</v>
      </c>
      <c r="E10366" s="64" t="s">
        <v>3299</v>
      </c>
      <c r="F10366" s="64" t="s">
        <v>15</v>
      </c>
      <c r="G10366" s="64" t="s">
        <v>3021</v>
      </c>
      <c r="H10366" s="64" t="s">
        <v>3300</v>
      </c>
      <c r="I10366" s="64" t="s">
        <v>3023</v>
      </c>
      <c r="J10366" s="67">
        <v>0</v>
      </c>
      <c r="K10366" s="62">
        <v>160.7</v>
      </c>
      <c r="L10366" s="33" t="e">
        <f>HLOOKUP(B10366,#REF!,1,0)</f>
        <v>#REF!</v>
      </c>
      <c r="M10366" s="33" t="str">
        <f t="shared" si="647"/>
        <v>P&amp;L</v>
      </c>
    </row>
    <row r="10367" spans="1:13">
      <c r="A10367" s="33" t="str">
        <f t="shared" si="644"/>
        <v>SCL - Other Income/Expense</v>
      </c>
      <c r="B10367" s="33" t="str">
        <f t="shared" si="645"/>
        <v>SCL</v>
      </c>
      <c r="C10367" s="33" t="str">
        <f t="shared" si="646"/>
        <v>90002-0000</v>
      </c>
      <c r="D10367" s="64" t="s">
        <v>11620</v>
      </c>
      <c r="E10367" s="64" t="s">
        <v>3306</v>
      </c>
      <c r="F10367" s="64" t="s">
        <v>15</v>
      </c>
      <c r="G10367" s="64" t="s">
        <v>3017</v>
      </c>
      <c r="H10367" s="64" t="s">
        <v>3300</v>
      </c>
      <c r="I10367" s="64" t="s">
        <v>3307</v>
      </c>
      <c r="J10367" s="67">
        <v>0</v>
      </c>
      <c r="K10367" s="62">
        <v>-151.78</v>
      </c>
      <c r="L10367" s="33" t="e">
        <f>HLOOKUP(B10367,#REF!,1,0)</f>
        <v>#REF!</v>
      </c>
      <c r="M10367" s="33" t="str">
        <f t="shared" si="647"/>
        <v>P&amp;L</v>
      </c>
    </row>
    <row r="10368" spans="1:13">
      <c r="A10368" s="33" t="str">
        <f t="shared" si="644"/>
        <v>SCL - Other Income/Expense</v>
      </c>
      <c r="B10368" s="33" t="str">
        <f t="shared" si="645"/>
        <v>SCL</v>
      </c>
      <c r="C10368" s="33" t="str">
        <f t="shared" si="646"/>
        <v>90002-7351</v>
      </c>
      <c r="D10368" s="64" t="s">
        <v>11621</v>
      </c>
      <c r="E10368" s="64" t="s">
        <v>3306</v>
      </c>
      <c r="F10368" s="64" t="s">
        <v>15</v>
      </c>
      <c r="G10368" s="64" t="s">
        <v>3017</v>
      </c>
      <c r="H10368" s="64" t="s">
        <v>3300</v>
      </c>
      <c r="I10368" s="64" t="s">
        <v>3307</v>
      </c>
      <c r="J10368" s="67">
        <v>176.88</v>
      </c>
      <c r="K10368" s="62">
        <v>176.88</v>
      </c>
      <c r="L10368" s="33" t="e">
        <f>HLOOKUP(B10368,#REF!,1,0)</f>
        <v>#REF!</v>
      </c>
      <c r="M10368" s="33" t="str">
        <f t="shared" si="647"/>
        <v>P&amp;L</v>
      </c>
    </row>
    <row r="10369" spans="1:13">
      <c r="A10369" s="33" t="str">
        <f t="shared" si="644"/>
        <v>SCL - Other Income/Expense</v>
      </c>
      <c r="B10369" s="33" t="str">
        <f t="shared" si="645"/>
        <v>SCL</v>
      </c>
      <c r="C10369" s="33" t="str">
        <f t="shared" si="646"/>
        <v>90002-7361</v>
      </c>
      <c r="D10369" s="64" t="s">
        <v>11622</v>
      </c>
      <c r="E10369" s="64" t="s">
        <v>3306</v>
      </c>
      <c r="F10369" s="64" t="s">
        <v>15</v>
      </c>
      <c r="G10369" s="64" t="s">
        <v>3017</v>
      </c>
      <c r="H10369" s="64" t="s">
        <v>3300</v>
      </c>
      <c r="I10369" s="64" t="s">
        <v>3307</v>
      </c>
      <c r="J10369" s="67">
        <v>0</v>
      </c>
      <c r="K10369" s="62">
        <v>4749</v>
      </c>
      <c r="L10369" s="33" t="e">
        <f>HLOOKUP(B10369,#REF!,1,0)</f>
        <v>#REF!</v>
      </c>
      <c r="M10369" s="33" t="str">
        <f t="shared" si="647"/>
        <v>P&amp;L</v>
      </c>
    </row>
    <row r="10370" spans="1:13">
      <c r="A10370" s="33" t="str">
        <f t="shared" ref="A10370:A10433" si="648">B10370&amp;" - "&amp;TRIM(H10370)</f>
        <v>SCL - Other Income/Expense</v>
      </c>
      <c r="B10370" s="33" t="str">
        <f t="shared" ref="B10370:B10433" si="649">LEFT(D10370,3)</f>
        <v>SCL</v>
      </c>
      <c r="C10370" s="33" t="str">
        <f t="shared" ref="C10370:C10433" si="650">RIGHT(D10370,10)</f>
        <v>90002-7374</v>
      </c>
      <c r="D10370" s="64" t="s">
        <v>11623</v>
      </c>
      <c r="E10370" s="64" t="s">
        <v>3306</v>
      </c>
      <c r="F10370" s="64" t="s">
        <v>15</v>
      </c>
      <c r="G10370" s="64" t="s">
        <v>3017</v>
      </c>
      <c r="H10370" s="64" t="s">
        <v>3300</v>
      </c>
      <c r="I10370" s="64" t="s">
        <v>3307</v>
      </c>
      <c r="J10370" s="67">
        <v>2313.78</v>
      </c>
      <c r="K10370" s="62">
        <v>11234.78</v>
      </c>
      <c r="L10370" s="33" t="e">
        <f>HLOOKUP(B10370,#REF!,1,0)</f>
        <v>#REF!</v>
      </c>
      <c r="M10370" s="33" t="str">
        <f t="shared" ref="M10370:M10433" si="651">IF(VALUE(LEFT(C10370,5))&gt;40000,"P&amp;L","BS")</f>
        <v>P&amp;L</v>
      </c>
    </row>
    <row r="10371" spans="1:13">
      <c r="A10371" s="33" t="str">
        <f t="shared" si="648"/>
        <v>SCL - Other Income/Expense</v>
      </c>
      <c r="B10371" s="33" t="str">
        <f t="shared" si="649"/>
        <v>SCL</v>
      </c>
      <c r="C10371" s="33" t="str">
        <f t="shared" si="650"/>
        <v>90002-7376</v>
      </c>
      <c r="D10371" s="64" t="s">
        <v>11624</v>
      </c>
      <c r="E10371" s="64" t="s">
        <v>3306</v>
      </c>
      <c r="F10371" s="64" t="s">
        <v>15</v>
      </c>
      <c r="G10371" s="64" t="s">
        <v>3017</v>
      </c>
      <c r="H10371" s="64" t="s">
        <v>3300</v>
      </c>
      <c r="I10371" s="64" t="s">
        <v>3307</v>
      </c>
      <c r="J10371" s="67">
        <v>2566.4</v>
      </c>
      <c r="K10371" s="62">
        <v>8982.4</v>
      </c>
      <c r="L10371" s="33" t="e">
        <f>HLOOKUP(B10371,#REF!,1,0)</f>
        <v>#REF!</v>
      </c>
      <c r="M10371" s="33" t="str">
        <f t="shared" si="651"/>
        <v>P&amp;L</v>
      </c>
    </row>
    <row r="10372" spans="1:13">
      <c r="A10372" s="33" t="str">
        <f t="shared" si="648"/>
        <v>SCL - Other Income/Expense</v>
      </c>
      <c r="B10372" s="33" t="str">
        <f t="shared" si="649"/>
        <v>SCL</v>
      </c>
      <c r="C10372" s="33" t="str">
        <f t="shared" si="650"/>
        <v>90002-7387</v>
      </c>
      <c r="D10372" s="64" t="s">
        <v>11625</v>
      </c>
      <c r="E10372" s="64" t="s">
        <v>3306</v>
      </c>
      <c r="F10372" s="64" t="s">
        <v>15</v>
      </c>
      <c r="G10372" s="64" t="s">
        <v>3017</v>
      </c>
      <c r="H10372" s="64" t="s">
        <v>3300</v>
      </c>
      <c r="I10372" s="64" t="s">
        <v>3307</v>
      </c>
      <c r="J10372" s="67">
        <v>841.86</v>
      </c>
      <c r="K10372" s="62">
        <v>3939.67</v>
      </c>
      <c r="L10372" s="33" t="e">
        <f>HLOOKUP(B10372,#REF!,1,0)</f>
        <v>#REF!</v>
      </c>
      <c r="M10372" s="33" t="str">
        <f t="shared" si="651"/>
        <v>P&amp;L</v>
      </c>
    </row>
    <row r="10373" spans="1:13">
      <c r="A10373" s="33" t="str">
        <f t="shared" si="648"/>
        <v>SCL - Other Income/Expense</v>
      </c>
      <c r="B10373" s="33" t="str">
        <f t="shared" si="649"/>
        <v>SCL</v>
      </c>
      <c r="C10373" s="33" t="str">
        <f t="shared" si="650"/>
        <v>90002-7389</v>
      </c>
      <c r="D10373" s="64" t="s">
        <v>11626</v>
      </c>
      <c r="E10373" s="64" t="s">
        <v>3306</v>
      </c>
      <c r="F10373" s="64" t="s">
        <v>15</v>
      </c>
      <c r="G10373" s="64" t="s">
        <v>3017</v>
      </c>
      <c r="H10373" s="64" t="s">
        <v>3300</v>
      </c>
      <c r="I10373" s="64" t="s">
        <v>3307</v>
      </c>
      <c r="J10373" s="67">
        <v>2556.19</v>
      </c>
      <c r="K10373" s="62">
        <v>2556.19</v>
      </c>
      <c r="L10373" s="33" t="e">
        <f>HLOOKUP(B10373,#REF!,1,0)</f>
        <v>#REF!</v>
      </c>
      <c r="M10373" s="33" t="str">
        <f t="shared" si="651"/>
        <v>P&amp;L</v>
      </c>
    </row>
    <row r="10374" spans="1:13">
      <c r="A10374" s="33" t="str">
        <f t="shared" si="648"/>
        <v>SCL - Other Income/Expense</v>
      </c>
      <c r="B10374" s="33" t="str">
        <f t="shared" si="649"/>
        <v>SCL</v>
      </c>
      <c r="C10374" s="33" t="str">
        <f t="shared" si="650"/>
        <v>90002-7391</v>
      </c>
      <c r="D10374" s="64" t="s">
        <v>11627</v>
      </c>
      <c r="E10374" s="64" t="s">
        <v>3306</v>
      </c>
      <c r="F10374" s="64" t="s">
        <v>15</v>
      </c>
      <c r="G10374" s="64" t="s">
        <v>3017</v>
      </c>
      <c r="H10374" s="64" t="s">
        <v>3300</v>
      </c>
      <c r="I10374" s="64" t="s">
        <v>3307</v>
      </c>
      <c r="J10374" s="67">
        <v>0</v>
      </c>
      <c r="K10374" s="62">
        <v>3243</v>
      </c>
      <c r="L10374" s="33" t="e">
        <f>HLOOKUP(B10374,#REF!,1,0)</f>
        <v>#REF!</v>
      </c>
      <c r="M10374" s="33" t="str">
        <f t="shared" si="651"/>
        <v>P&amp;L</v>
      </c>
    </row>
    <row r="10375" spans="1:13">
      <c r="A10375" s="33" t="str">
        <f t="shared" si="648"/>
        <v>SCL - Other Income/Expense</v>
      </c>
      <c r="B10375" s="33" t="str">
        <f t="shared" si="649"/>
        <v>SCL</v>
      </c>
      <c r="C10375" s="33" t="str">
        <f t="shared" si="650"/>
        <v>90002-7397</v>
      </c>
      <c r="D10375" s="64" t="s">
        <v>11628</v>
      </c>
      <c r="E10375" s="64" t="s">
        <v>3306</v>
      </c>
      <c r="F10375" s="64" t="s">
        <v>15</v>
      </c>
      <c r="G10375" s="64" t="s">
        <v>11629</v>
      </c>
      <c r="H10375" s="64" t="s">
        <v>3300</v>
      </c>
      <c r="I10375" s="64" t="s">
        <v>3307</v>
      </c>
      <c r="J10375" s="67">
        <v>1065.39</v>
      </c>
      <c r="K10375" s="62">
        <v>1065.39</v>
      </c>
      <c r="L10375" s="33" t="e">
        <f>HLOOKUP(B10375,#REF!,1,0)</f>
        <v>#REF!</v>
      </c>
      <c r="M10375" s="33" t="str">
        <f t="shared" si="651"/>
        <v>P&amp;L</v>
      </c>
    </row>
    <row r="10376" spans="1:13">
      <c r="A10376" s="33" t="str">
        <f t="shared" si="648"/>
        <v>SCL - Other Income/Expense</v>
      </c>
      <c r="B10376" s="33" t="str">
        <f t="shared" si="649"/>
        <v>SCL</v>
      </c>
      <c r="C10376" s="33" t="str">
        <f t="shared" si="650"/>
        <v>90002-7401</v>
      </c>
      <c r="D10376" s="64" t="s">
        <v>11630</v>
      </c>
      <c r="E10376" s="64" t="s">
        <v>3306</v>
      </c>
      <c r="F10376" s="64" t="s">
        <v>15</v>
      </c>
      <c r="G10376" s="64" t="s">
        <v>3017</v>
      </c>
      <c r="H10376" s="64" t="s">
        <v>3300</v>
      </c>
      <c r="I10376" s="64" t="s">
        <v>3307</v>
      </c>
      <c r="J10376" s="67">
        <v>1336.89</v>
      </c>
      <c r="K10376" s="62">
        <v>1336.89</v>
      </c>
      <c r="L10376" s="33" t="e">
        <f>HLOOKUP(B10376,#REF!,1,0)</f>
        <v>#REF!</v>
      </c>
      <c r="M10376" s="33" t="str">
        <f t="shared" si="651"/>
        <v>P&amp;L</v>
      </c>
    </row>
    <row r="10377" spans="1:13">
      <c r="A10377" s="33" t="str">
        <f t="shared" si="648"/>
        <v>SCL - Other Income/Expense</v>
      </c>
      <c r="B10377" s="33" t="str">
        <f t="shared" si="649"/>
        <v>SCL</v>
      </c>
      <c r="C10377" s="33" t="str">
        <f t="shared" si="650"/>
        <v>90002-7494</v>
      </c>
      <c r="D10377" s="64" t="s">
        <v>11631</v>
      </c>
      <c r="E10377" s="64" t="s">
        <v>3306</v>
      </c>
      <c r="F10377" s="64" t="s">
        <v>15</v>
      </c>
      <c r="G10377" s="64" t="s">
        <v>3017</v>
      </c>
      <c r="H10377" s="64" t="s">
        <v>3300</v>
      </c>
      <c r="I10377" s="64" t="s">
        <v>3307</v>
      </c>
      <c r="J10377" s="67">
        <v>1513.74</v>
      </c>
      <c r="K10377" s="62">
        <v>6390.74</v>
      </c>
      <c r="L10377" s="33" t="e">
        <f>HLOOKUP(B10377,#REF!,1,0)</f>
        <v>#REF!</v>
      </c>
      <c r="M10377" s="33" t="str">
        <f t="shared" si="651"/>
        <v>P&amp;L</v>
      </c>
    </row>
    <row r="10378" spans="1:13">
      <c r="A10378" s="33" t="str">
        <f t="shared" si="648"/>
        <v>SCL - Other Income/Expense</v>
      </c>
      <c r="B10378" s="33" t="str">
        <f t="shared" si="649"/>
        <v>SCL</v>
      </c>
      <c r="C10378" s="33" t="str">
        <f t="shared" si="650"/>
        <v>90601-0000</v>
      </c>
      <c r="D10378" s="64" t="s">
        <v>11632</v>
      </c>
      <c r="E10378" s="64" t="s">
        <v>3315</v>
      </c>
      <c r="F10378" s="64" t="s">
        <v>15</v>
      </c>
      <c r="G10378" s="64" t="s">
        <v>3017</v>
      </c>
      <c r="H10378" s="64" t="s">
        <v>3300</v>
      </c>
      <c r="I10378" s="64" t="s">
        <v>3316</v>
      </c>
      <c r="J10378" s="67">
        <v>0</v>
      </c>
      <c r="K10378" s="62">
        <v>8809.08</v>
      </c>
      <c r="L10378" s="33" t="e">
        <f>HLOOKUP(B10378,#REF!,1,0)</f>
        <v>#REF!</v>
      </c>
      <c r="M10378" s="33" t="str">
        <f t="shared" si="651"/>
        <v>P&amp;L</v>
      </c>
    </row>
    <row r="10379" spans="1:13">
      <c r="A10379" s="33" t="str">
        <f t="shared" si="648"/>
        <v>SCL - Other Income/Expense</v>
      </c>
      <c r="B10379" s="33" t="str">
        <f t="shared" si="649"/>
        <v>SCL</v>
      </c>
      <c r="C10379" s="33" t="str">
        <f t="shared" si="650"/>
        <v>91002-7489</v>
      </c>
      <c r="D10379" s="64" t="s">
        <v>11633</v>
      </c>
      <c r="E10379" s="64" t="s">
        <v>6822</v>
      </c>
      <c r="F10379" s="64" t="s">
        <v>15</v>
      </c>
      <c r="G10379" s="64" t="s">
        <v>3017</v>
      </c>
      <c r="H10379" s="64" t="s">
        <v>3300</v>
      </c>
      <c r="I10379" s="64" t="s">
        <v>6823</v>
      </c>
      <c r="J10379" s="67">
        <v>0</v>
      </c>
      <c r="K10379" s="62">
        <v>521.75</v>
      </c>
      <c r="L10379" s="33" t="e">
        <f>HLOOKUP(B10379,#REF!,1,0)</f>
        <v>#REF!</v>
      </c>
      <c r="M10379" s="33" t="str">
        <f t="shared" si="651"/>
        <v>P&amp;L</v>
      </c>
    </row>
    <row r="10380" spans="1:13">
      <c r="A10380" s="33" t="str">
        <f t="shared" si="648"/>
        <v>SCL - Other Income/Expense</v>
      </c>
      <c r="B10380" s="33" t="str">
        <f t="shared" si="649"/>
        <v>SCL</v>
      </c>
      <c r="C10380" s="33" t="str">
        <f t="shared" si="650"/>
        <v>91401-0000</v>
      </c>
      <c r="D10380" s="64" t="s">
        <v>11634</v>
      </c>
      <c r="E10380" s="64" t="s">
        <v>11635</v>
      </c>
      <c r="F10380" s="64" t="s">
        <v>15</v>
      </c>
      <c r="G10380" s="64" t="s">
        <v>3017</v>
      </c>
      <c r="H10380" s="64" t="s">
        <v>3300</v>
      </c>
      <c r="I10380" s="64" t="s">
        <v>11636</v>
      </c>
      <c r="J10380" s="67">
        <v>0</v>
      </c>
      <c r="K10380" s="62">
        <v>97</v>
      </c>
      <c r="L10380" s="33" t="e">
        <f>HLOOKUP(B10380,#REF!,1,0)</f>
        <v>#REF!</v>
      </c>
      <c r="M10380" s="33" t="str">
        <f t="shared" si="651"/>
        <v>P&amp;L</v>
      </c>
    </row>
    <row r="10381" spans="1:13">
      <c r="A10381" s="33" t="str">
        <f t="shared" si="648"/>
        <v>SCL - Other Income/Expense</v>
      </c>
      <c r="B10381" s="33" t="str">
        <f t="shared" si="649"/>
        <v>SCL</v>
      </c>
      <c r="C10381" s="33" t="str">
        <f t="shared" si="650"/>
        <v>91801-0000</v>
      </c>
      <c r="D10381" s="64" t="s">
        <v>11637</v>
      </c>
      <c r="E10381" s="64" t="s">
        <v>3318</v>
      </c>
      <c r="F10381" s="64" t="s">
        <v>15</v>
      </c>
      <c r="G10381" s="64" t="s">
        <v>3017</v>
      </c>
      <c r="H10381" s="64" t="s">
        <v>3300</v>
      </c>
      <c r="I10381" s="64" t="s">
        <v>3319</v>
      </c>
      <c r="J10381" s="67">
        <v>0</v>
      </c>
      <c r="K10381" s="62">
        <v>0</v>
      </c>
      <c r="L10381" s="33" t="e">
        <f>HLOOKUP(B10381,#REF!,1,0)</f>
        <v>#REF!</v>
      </c>
      <c r="M10381" s="33" t="str">
        <f t="shared" si="651"/>
        <v>P&amp;L</v>
      </c>
    </row>
    <row r="10382" spans="1:13">
      <c r="A10382" s="33" t="str">
        <f t="shared" si="648"/>
        <v>SCL - Other Income/Expense</v>
      </c>
      <c r="B10382" s="33" t="str">
        <f t="shared" si="649"/>
        <v>SCL</v>
      </c>
      <c r="C10382" s="33" t="str">
        <f t="shared" si="650"/>
        <v>91801-7351</v>
      </c>
      <c r="D10382" s="64" t="s">
        <v>11638</v>
      </c>
      <c r="E10382" s="64" t="s">
        <v>3318</v>
      </c>
      <c r="F10382" s="64" t="s">
        <v>15</v>
      </c>
      <c r="G10382" s="64" t="s">
        <v>3017</v>
      </c>
      <c r="H10382" s="64" t="s">
        <v>3300</v>
      </c>
      <c r="I10382" s="64" t="s">
        <v>3319</v>
      </c>
      <c r="J10382" s="67">
        <v>0</v>
      </c>
      <c r="K10382" s="62">
        <v>202.06</v>
      </c>
      <c r="L10382" s="33" t="e">
        <f>HLOOKUP(B10382,#REF!,1,0)</f>
        <v>#REF!</v>
      </c>
      <c r="M10382" s="33" t="str">
        <f t="shared" si="651"/>
        <v>P&amp;L</v>
      </c>
    </row>
    <row r="10383" spans="1:13">
      <c r="A10383" s="33" t="str">
        <f t="shared" si="648"/>
        <v>SCL - Other Income/Expense</v>
      </c>
      <c r="B10383" s="33" t="str">
        <f t="shared" si="649"/>
        <v>SCL</v>
      </c>
      <c r="C10383" s="33" t="str">
        <f t="shared" si="650"/>
        <v>91801-7352</v>
      </c>
      <c r="D10383" s="64" t="s">
        <v>11639</v>
      </c>
      <c r="E10383" s="64" t="s">
        <v>3318</v>
      </c>
      <c r="F10383" s="64" t="s">
        <v>15</v>
      </c>
      <c r="G10383" s="64" t="s">
        <v>3017</v>
      </c>
      <c r="H10383" s="64" t="s">
        <v>3300</v>
      </c>
      <c r="I10383" s="64" t="s">
        <v>3319</v>
      </c>
      <c r="J10383" s="67">
        <v>0</v>
      </c>
      <c r="K10383" s="62">
        <v>187.48</v>
      </c>
      <c r="L10383" s="33" t="e">
        <f>HLOOKUP(B10383,#REF!,1,0)</f>
        <v>#REF!</v>
      </c>
      <c r="M10383" s="33" t="str">
        <f t="shared" si="651"/>
        <v>P&amp;L</v>
      </c>
    </row>
    <row r="10384" spans="1:13">
      <c r="A10384" s="33" t="str">
        <f t="shared" si="648"/>
        <v>SCL - Other Income/Expense</v>
      </c>
      <c r="B10384" s="33" t="str">
        <f t="shared" si="649"/>
        <v>SCL</v>
      </c>
      <c r="C10384" s="33" t="str">
        <f t="shared" si="650"/>
        <v>91801-7355</v>
      </c>
      <c r="D10384" s="64" t="s">
        <v>11640</v>
      </c>
      <c r="E10384" s="64" t="s">
        <v>3318</v>
      </c>
      <c r="F10384" s="64" t="s">
        <v>15</v>
      </c>
      <c r="G10384" s="64" t="s">
        <v>3017</v>
      </c>
      <c r="H10384" s="64" t="s">
        <v>3300</v>
      </c>
      <c r="I10384" s="64" t="s">
        <v>3319</v>
      </c>
      <c r="J10384" s="67">
        <v>0</v>
      </c>
      <c r="K10384" s="62">
        <v>187.48</v>
      </c>
      <c r="L10384" s="33" t="e">
        <f>HLOOKUP(B10384,#REF!,1,0)</f>
        <v>#REF!</v>
      </c>
      <c r="M10384" s="33" t="str">
        <f t="shared" si="651"/>
        <v>P&amp;L</v>
      </c>
    </row>
    <row r="10385" spans="1:13">
      <c r="A10385" s="33" t="str">
        <f t="shared" si="648"/>
        <v>SCL - Other Income/Expense</v>
      </c>
      <c r="B10385" s="33" t="str">
        <f t="shared" si="649"/>
        <v>SCL</v>
      </c>
      <c r="C10385" s="33" t="str">
        <f t="shared" si="650"/>
        <v>91801-7356</v>
      </c>
      <c r="D10385" s="64" t="s">
        <v>11641</v>
      </c>
      <c r="E10385" s="64" t="s">
        <v>3318</v>
      </c>
      <c r="F10385" s="64" t="s">
        <v>15</v>
      </c>
      <c r="G10385" s="64" t="s">
        <v>3017</v>
      </c>
      <c r="H10385" s="64" t="s">
        <v>3300</v>
      </c>
      <c r="I10385" s="64" t="s">
        <v>3319</v>
      </c>
      <c r="J10385" s="67">
        <v>0</v>
      </c>
      <c r="K10385" s="62">
        <v>14.58</v>
      </c>
      <c r="L10385" s="33" t="e">
        <f>HLOOKUP(B10385,#REF!,1,0)</f>
        <v>#REF!</v>
      </c>
      <c r="M10385" s="33" t="str">
        <f t="shared" si="651"/>
        <v>P&amp;L</v>
      </c>
    </row>
    <row r="10386" spans="1:13">
      <c r="A10386" s="33" t="str">
        <f t="shared" si="648"/>
        <v>SCL - Other Income/Expense</v>
      </c>
      <c r="B10386" s="33" t="str">
        <f t="shared" si="649"/>
        <v>SCL</v>
      </c>
      <c r="C10386" s="33" t="str">
        <f t="shared" si="650"/>
        <v>91801-7359</v>
      </c>
      <c r="D10386" s="64" t="s">
        <v>11642</v>
      </c>
      <c r="E10386" s="64" t="s">
        <v>3318</v>
      </c>
      <c r="F10386" s="64" t="s">
        <v>15</v>
      </c>
      <c r="G10386" s="64" t="s">
        <v>3017</v>
      </c>
      <c r="H10386" s="64" t="s">
        <v>3300</v>
      </c>
      <c r="I10386" s="64" t="s">
        <v>3319</v>
      </c>
      <c r="J10386" s="67">
        <v>0</v>
      </c>
      <c r="K10386" s="62">
        <v>187.48</v>
      </c>
      <c r="L10386" s="33" t="e">
        <f>HLOOKUP(B10386,#REF!,1,0)</f>
        <v>#REF!</v>
      </c>
      <c r="M10386" s="33" t="str">
        <f t="shared" si="651"/>
        <v>P&amp;L</v>
      </c>
    </row>
    <row r="10387" spans="1:13">
      <c r="A10387" s="33" t="str">
        <f t="shared" si="648"/>
        <v>SCL - Other Income/Expense</v>
      </c>
      <c r="B10387" s="33" t="str">
        <f t="shared" si="649"/>
        <v>SCL</v>
      </c>
      <c r="C10387" s="33" t="str">
        <f t="shared" si="650"/>
        <v>91801-7360</v>
      </c>
      <c r="D10387" s="64" t="s">
        <v>11643</v>
      </c>
      <c r="E10387" s="64" t="s">
        <v>3318</v>
      </c>
      <c r="F10387" s="64" t="s">
        <v>15</v>
      </c>
      <c r="G10387" s="64" t="s">
        <v>3017</v>
      </c>
      <c r="H10387" s="64" t="s">
        <v>3300</v>
      </c>
      <c r="I10387" s="64" t="s">
        <v>3319</v>
      </c>
      <c r="J10387" s="67">
        <v>0</v>
      </c>
      <c r="K10387" s="62">
        <v>187.48</v>
      </c>
      <c r="L10387" s="33" t="e">
        <f>HLOOKUP(B10387,#REF!,1,0)</f>
        <v>#REF!</v>
      </c>
      <c r="M10387" s="33" t="str">
        <f t="shared" si="651"/>
        <v>P&amp;L</v>
      </c>
    </row>
    <row r="10388" spans="1:13">
      <c r="A10388" s="33" t="str">
        <f t="shared" si="648"/>
        <v>SCL - Other Income/Expense</v>
      </c>
      <c r="B10388" s="33" t="str">
        <f t="shared" si="649"/>
        <v>SCL</v>
      </c>
      <c r="C10388" s="33" t="str">
        <f t="shared" si="650"/>
        <v>91801-7361</v>
      </c>
      <c r="D10388" s="64" t="s">
        <v>11644</v>
      </c>
      <c r="E10388" s="64" t="s">
        <v>3318</v>
      </c>
      <c r="F10388" s="64" t="s">
        <v>15</v>
      </c>
      <c r="G10388" s="64" t="s">
        <v>3017</v>
      </c>
      <c r="H10388" s="64" t="s">
        <v>3300</v>
      </c>
      <c r="I10388" s="64" t="s">
        <v>3319</v>
      </c>
      <c r="J10388" s="67">
        <v>0</v>
      </c>
      <c r="K10388" s="62">
        <v>202.06</v>
      </c>
      <c r="L10388" s="33" t="e">
        <f>HLOOKUP(B10388,#REF!,1,0)</f>
        <v>#REF!</v>
      </c>
      <c r="M10388" s="33" t="str">
        <f t="shared" si="651"/>
        <v>P&amp;L</v>
      </c>
    </row>
    <row r="10389" spans="1:13">
      <c r="A10389" s="33" t="str">
        <f t="shared" si="648"/>
        <v>SCL - Other Income/Expense</v>
      </c>
      <c r="B10389" s="33" t="str">
        <f t="shared" si="649"/>
        <v>SCL</v>
      </c>
      <c r="C10389" s="33" t="str">
        <f t="shared" si="650"/>
        <v>91801-7362</v>
      </c>
      <c r="D10389" s="64" t="s">
        <v>11645</v>
      </c>
      <c r="E10389" s="64" t="s">
        <v>3318</v>
      </c>
      <c r="F10389" s="64" t="s">
        <v>15</v>
      </c>
      <c r="G10389" s="64" t="s">
        <v>3017</v>
      </c>
      <c r="H10389" s="64" t="s">
        <v>3300</v>
      </c>
      <c r="I10389" s="64" t="s">
        <v>3319</v>
      </c>
      <c r="J10389" s="67">
        <v>0</v>
      </c>
      <c r="K10389" s="62">
        <v>100</v>
      </c>
      <c r="L10389" s="33" t="e">
        <f>HLOOKUP(B10389,#REF!,1,0)</f>
        <v>#REF!</v>
      </c>
      <c r="M10389" s="33" t="str">
        <f t="shared" si="651"/>
        <v>P&amp;L</v>
      </c>
    </row>
    <row r="10390" spans="1:13">
      <c r="A10390" s="33" t="str">
        <f t="shared" si="648"/>
        <v>SCL - Other Income/Expense</v>
      </c>
      <c r="B10390" s="33" t="str">
        <f t="shared" si="649"/>
        <v>SCL</v>
      </c>
      <c r="C10390" s="33" t="str">
        <f t="shared" si="650"/>
        <v>91801-7363</v>
      </c>
      <c r="D10390" s="64" t="s">
        <v>11646</v>
      </c>
      <c r="E10390" s="64" t="s">
        <v>3318</v>
      </c>
      <c r="F10390" s="64" t="s">
        <v>15</v>
      </c>
      <c r="G10390" s="64" t="s">
        <v>3017</v>
      </c>
      <c r="H10390" s="64" t="s">
        <v>3300</v>
      </c>
      <c r="I10390" s="64" t="s">
        <v>3319</v>
      </c>
      <c r="J10390" s="67">
        <v>0</v>
      </c>
      <c r="K10390" s="62">
        <v>187.48</v>
      </c>
      <c r="L10390" s="33" t="e">
        <f>HLOOKUP(B10390,#REF!,1,0)</f>
        <v>#REF!</v>
      </c>
      <c r="M10390" s="33" t="str">
        <f t="shared" si="651"/>
        <v>P&amp;L</v>
      </c>
    </row>
    <row r="10391" spans="1:13">
      <c r="A10391" s="33" t="str">
        <f t="shared" si="648"/>
        <v>SCL - Other Income/Expense</v>
      </c>
      <c r="B10391" s="33" t="str">
        <f t="shared" si="649"/>
        <v>SCL</v>
      </c>
      <c r="C10391" s="33" t="str">
        <f t="shared" si="650"/>
        <v>91801-7364</v>
      </c>
      <c r="D10391" s="64" t="s">
        <v>11647</v>
      </c>
      <c r="E10391" s="64" t="s">
        <v>3318</v>
      </c>
      <c r="F10391" s="64" t="s">
        <v>15</v>
      </c>
      <c r="G10391" s="64" t="s">
        <v>3017</v>
      </c>
      <c r="H10391" s="64" t="s">
        <v>3300</v>
      </c>
      <c r="I10391" s="64" t="s">
        <v>3319</v>
      </c>
      <c r="J10391" s="67">
        <v>0</v>
      </c>
      <c r="K10391" s="62">
        <v>100</v>
      </c>
      <c r="L10391" s="33" t="e">
        <f>HLOOKUP(B10391,#REF!,1,0)</f>
        <v>#REF!</v>
      </c>
      <c r="M10391" s="33" t="str">
        <f t="shared" si="651"/>
        <v>P&amp;L</v>
      </c>
    </row>
    <row r="10392" spans="1:13">
      <c r="A10392" s="33" t="str">
        <f t="shared" si="648"/>
        <v>SCL - Other Income/Expense</v>
      </c>
      <c r="B10392" s="33" t="str">
        <f t="shared" si="649"/>
        <v>SCL</v>
      </c>
      <c r="C10392" s="33" t="str">
        <f t="shared" si="650"/>
        <v>91801-7365</v>
      </c>
      <c r="D10392" s="64" t="s">
        <v>11648</v>
      </c>
      <c r="E10392" s="64" t="s">
        <v>3318</v>
      </c>
      <c r="F10392" s="64" t="s">
        <v>15</v>
      </c>
      <c r="G10392" s="64" t="s">
        <v>3017</v>
      </c>
      <c r="H10392" s="64" t="s">
        <v>3300</v>
      </c>
      <c r="I10392" s="64" t="s">
        <v>3319</v>
      </c>
      <c r="J10392" s="67">
        <v>0</v>
      </c>
      <c r="K10392" s="62">
        <v>100</v>
      </c>
      <c r="L10392" s="33" t="e">
        <f>HLOOKUP(B10392,#REF!,1,0)</f>
        <v>#REF!</v>
      </c>
      <c r="M10392" s="33" t="str">
        <f t="shared" si="651"/>
        <v>P&amp;L</v>
      </c>
    </row>
    <row r="10393" spans="1:13">
      <c r="A10393" s="33" t="str">
        <f t="shared" si="648"/>
        <v>SCL - Other Income/Expense</v>
      </c>
      <c r="B10393" s="33" t="str">
        <f t="shared" si="649"/>
        <v>SCL</v>
      </c>
      <c r="C10393" s="33" t="str">
        <f t="shared" si="650"/>
        <v>91801-7366</v>
      </c>
      <c r="D10393" s="64" t="s">
        <v>11649</v>
      </c>
      <c r="E10393" s="64" t="s">
        <v>3318</v>
      </c>
      <c r="F10393" s="64" t="s">
        <v>15</v>
      </c>
      <c r="G10393" s="64" t="s">
        <v>3017</v>
      </c>
      <c r="H10393" s="64" t="s">
        <v>3300</v>
      </c>
      <c r="I10393" s="64" t="s">
        <v>3319</v>
      </c>
      <c r="J10393" s="67">
        <v>0</v>
      </c>
      <c r="K10393" s="62">
        <v>100</v>
      </c>
      <c r="L10393" s="33" t="e">
        <f>HLOOKUP(B10393,#REF!,1,0)</f>
        <v>#REF!</v>
      </c>
      <c r="M10393" s="33" t="str">
        <f t="shared" si="651"/>
        <v>P&amp;L</v>
      </c>
    </row>
    <row r="10394" spans="1:13">
      <c r="A10394" s="33" t="str">
        <f t="shared" si="648"/>
        <v>SCL - Other Income/Expense</v>
      </c>
      <c r="B10394" s="33" t="str">
        <f t="shared" si="649"/>
        <v>SCL</v>
      </c>
      <c r="C10394" s="33" t="str">
        <f t="shared" si="650"/>
        <v>91801-7368</v>
      </c>
      <c r="D10394" s="64" t="s">
        <v>11650</v>
      </c>
      <c r="E10394" s="64" t="s">
        <v>3318</v>
      </c>
      <c r="F10394" s="64" t="s">
        <v>15</v>
      </c>
      <c r="G10394" s="64" t="s">
        <v>3017</v>
      </c>
      <c r="H10394" s="64" t="s">
        <v>3300</v>
      </c>
      <c r="I10394" s="64" t="s">
        <v>3319</v>
      </c>
      <c r="J10394" s="67">
        <v>0</v>
      </c>
      <c r="K10394" s="62">
        <v>100</v>
      </c>
      <c r="L10394" s="33" t="e">
        <f>HLOOKUP(B10394,#REF!,1,0)</f>
        <v>#REF!</v>
      </c>
      <c r="M10394" s="33" t="str">
        <f t="shared" si="651"/>
        <v>P&amp;L</v>
      </c>
    </row>
    <row r="10395" spans="1:13">
      <c r="A10395" s="33" t="str">
        <f t="shared" si="648"/>
        <v>SCL - Other Income/Expense</v>
      </c>
      <c r="B10395" s="33" t="str">
        <f t="shared" si="649"/>
        <v>SCL</v>
      </c>
      <c r="C10395" s="33" t="str">
        <f t="shared" si="650"/>
        <v>91801-7369</v>
      </c>
      <c r="D10395" s="64" t="s">
        <v>11651</v>
      </c>
      <c r="E10395" s="64" t="s">
        <v>3318</v>
      </c>
      <c r="F10395" s="64" t="s">
        <v>15</v>
      </c>
      <c r="G10395" s="64" t="s">
        <v>3017</v>
      </c>
      <c r="H10395" s="64" t="s">
        <v>3300</v>
      </c>
      <c r="I10395" s="64" t="s">
        <v>3319</v>
      </c>
      <c r="J10395" s="67">
        <v>0</v>
      </c>
      <c r="K10395" s="62">
        <v>100</v>
      </c>
      <c r="L10395" s="33" t="e">
        <f>HLOOKUP(B10395,#REF!,1,0)</f>
        <v>#REF!</v>
      </c>
      <c r="M10395" s="33" t="str">
        <f t="shared" si="651"/>
        <v>P&amp;L</v>
      </c>
    </row>
    <row r="10396" spans="1:13">
      <c r="A10396" s="33" t="str">
        <f t="shared" si="648"/>
        <v>SCL - Other Income/Expense</v>
      </c>
      <c r="B10396" s="33" t="str">
        <f t="shared" si="649"/>
        <v>SCL</v>
      </c>
      <c r="C10396" s="33" t="str">
        <f t="shared" si="650"/>
        <v>91801-7371</v>
      </c>
      <c r="D10396" s="64" t="s">
        <v>11652</v>
      </c>
      <c r="E10396" s="64" t="s">
        <v>3318</v>
      </c>
      <c r="F10396" s="64" t="s">
        <v>15</v>
      </c>
      <c r="G10396" s="64" t="s">
        <v>3017</v>
      </c>
      <c r="H10396" s="64" t="s">
        <v>3300</v>
      </c>
      <c r="I10396" s="64" t="s">
        <v>3319</v>
      </c>
      <c r="J10396" s="67">
        <v>0</v>
      </c>
      <c r="K10396" s="62">
        <v>202.06</v>
      </c>
      <c r="L10396" s="33" t="e">
        <f>HLOOKUP(B10396,#REF!,1,0)</f>
        <v>#REF!</v>
      </c>
      <c r="M10396" s="33" t="str">
        <f t="shared" si="651"/>
        <v>P&amp;L</v>
      </c>
    </row>
    <row r="10397" spans="1:13">
      <c r="A10397" s="33" t="str">
        <f t="shared" si="648"/>
        <v>SCL - Other Income/Expense</v>
      </c>
      <c r="B10397" s="33" t="str">
        <f t="shared" si="649"/>
        <v>SCL</v>
      </c>
      <c r="C10397" s="33" t="str">
        <f t="shared" si="650"/>
        <v>91801-7374</v>
      </c>
      <c r="D10397" s="64" t="s">
        <v>11653</v>
      </c>
      <c r="E10397" s="64" t="s">
        <v>3318</v>
      </c>
      <c r="F10397" s="64" t="s">
        <v>15</v>
      </c>
      <c r="G10397" s="64" t="s">
        <v>3017</v>
      </c>
      <c r="H10397" s="64" t="s">
        <v>3300</v>
      </c>
      <c r="I10397" s="64" t="s">
        <v>3319</v>
      </c>
      <c r="J10397" s="67">
        <v>0</v>
      </c>
      <c r="K10397" s="62">
        <v>100</v>
      </c>
      <c r="L10397" s="33" t="e">
        <f>HLOOKUP(B10397,#REF!,1,0)</f>
        <v>#REF!</v>
      </c>
      <c r="M10397" s="33" t="str">
        <f t="shared" si="651"/>
        <v>P&amp;L</v>
      </c>
    </row>
    <row r="10398" spans="1:13">
      <c r="A10398" s="33" t="str">
        <f t="shared" si="648"/>
        <v>SCL - Other Income/Expense</v>
      </c>
      <c r="B10398" s="33" t="str">
        <f t="shared" si="649"/>
        <v>SCL</v>
      </c>
      <c r="C10398" s="33" t="str">
        <f t="shared" si="650"/>
        <v>91801-7375</v>
      </c>
      <c r="D10398" s="64" t="s">
        <v>11654</v>
      </c>
      <c r="E10398" s="64" t="s">
        <v>3318</v>
      </c>
      <c r="F10398" s="64" t="s">
        <v>15</v>
      </c>
      <c r="G10398" s="64" t="s">
        <v>3017</v>
      </c>
      <c r="H10398" s="64" t="s">
        <v>3300</v>
      </c>
      <c r="I10398" s="64" t="s">
        <v>3319</v>
      </c>
      <c r="J10398" s="67">
        <v>0</v>
      </c>
      <c r="K10398" s="62">
        <v>202.06</v>
      </c>
      <c r="L10398" s="33" t="e">
        <f>HLOOKUP(B10398,#REF!,1,0)</f>
        <v>#REF!</v>
      </c>
      <c r="M10398" s="33" t="str">
        <f t="shared" si="651"/>
        <v>P&amp;L</v>
      </c>
    </row>
    <row r="10399" spans="1:13">
      <c r="A10399" s="33" t="str">
        <f t="shared" si="648"/>
        <v>SCL - Other Income/Expense</v>
      </c>
      <c r="B10399" s="33" t="str">
        <f t="shared" si="649"/>
        <v>SCL</v>
      </c>
      <c r="C10399" s="33" t="str">
        <f t="shared" si="650"/>
        <v>91801-7376</v>
      </c>
      <c r="D10399" s="64" t="s">
        <v>11655</v>
      </c>
      <c r="E10399" s="64" t="s">
        <v>3318</v>
      </c>
      <c r="F10399" s="64" t="s">
        <v>15</v>
      </c>
      <c r="G10399" s="64" t="s">
        <v>3017</v>
      </c>
      <c r="H10399" s="64" t="s">
        <v>3300</v>
      </c>
      <c r="I10399" s="64" t="s">
        <v>3319</v>
      </c>
      <c r="J10399" s="67">
        <v>0</v>
      </c>
      <c r="K10399" s="62">
        <v>100</v>
      </c>
      <c r="L10399" s="33" t="e">
        <f>HLOOKUP(B10399,#REF!,1,0)</f>
        <v>#REF!</v>
      </c>
      <c r="M10399" s="33" t="str">
        <f t="shared" si="651"/>
        <v>P&amp;L</v>
      </c>
    </row>
    <row r="10400" spans="1:13">
      <c r="A10400" s="33" t="str">
        <f t="shared" si="648"/>
        <v>SCL - Other Income/Expense</v>
      </c>
      <c r="B10400" s="33" t="str">
        <f t="shared" si="649"/>
        <v>SCL</v>
      </c>
      <c r="C10400" s="33" t="str">
        <f t="shared" si="650"/>
        <v>91801-7377</v>
      </c>
      <c r="D10400" s="64" t="s">
        <v>11656</v>
      </c>
      <c r="E10400" s="64" t="s">
        <v>3318</v>
      </c>
      <c r="F10400" s="64" t="s">
        <v>15</v>
      </c>
      <c r="G10400" s="64" t="s">
        <v>3017</v>
      </c>
      <c r="H10400" s="64" t="s">
        <v>3300</v>
      </c>
      <c r="I10400" s="64" t="s">
        <v>3319</v>
      </c>
      <c r="J10400" s="67">
        <v>0</v>
      </c>
      <c r="K10400" s="62">
        <v>187.48</v>
      </c>
      <c r="L10400" s="33" t="e">
        <f>HLOOKUP(B10400,#REF!,1,0)</f>
        <v>#REF!</v>
      </c>
      <c r="M10400" s="33" t="str">
        <f t="shared" si="651"/>
        <v>P&amp;L</v>
      </c>
    </row>
    <row r="10401" spans="1:13">
      <c r="A10401" s="33" t="str">
        <f t="shared" si="648"/>
        <v>SCL - Other Income/Expense</v>
      </c>
      <c r="B10401" s="33" t="str">
        <f t="shared" si="649"/>
        <v>SCL</v>
      </c>
      <c r="C10401" s="33" t="str">
        <f t="shared" si="650"/>
        <v>91801-7378</v>
      </c>
      <c r="D10401" s="64" t="s">
        <v>11657</v>
      </c>
      <c r="E10401" s="64" t="s">
        <v>3318</v>
      </c>
      <c r="F10401" s="64" t="s">
        <v>15</v>
      </c>
      <c r="G10401" s="64" t="s">
        <v>3017</v>
      </c>
      <c r="H10401" s="64" t="s">
        <v>3300</v>
      </c>
      <c r="I10401" s="64" t="s">
        <v>3319</v>
      </c>
      <c r="J10401" s="67">
        <v>0</v>
      </c>
      <c r="K10401" s="62">
        <v>100</v>
      </c>
      <c r="L10401" s="33" t="e">
        <f>HLOOKUP(B10401,#REF!,1,0)</f>
        <v>#REF!</v>
      </c>
      <c r="M10401" s="33" t="str">
        <f t="shared" si="651"/>
        <v>P&amp;L</v>
      </c>
    </row>
    <row r="10402" spans="1:13">
      <c r="A10402" s="33" t="str">
        <f t="shared" si="648"/>
        <v>SCL - Other Income/Expense</v>
      </c>
      <c r="B10402" s="33" t="str">
        <f t="shared" si="649"/>
        <v>SCL</v>
      </c>
      <c r="C10402" s="33" t="str">
        <f t="shared" si="650"/>
        <v>91801-7379</v>
      </c>
      <c r="D10402" s="64" t="s">
        <v>11658</v>
      </c>
      <c r="E10402" s="64" t="s">
        <v>3318</v>
      </c>
      <c r="F10402" s="64" t="s">
        <v>15</v>
      </c>
      <c r="G10402" s="64" t="s">
        <v>3017</v>
      </c>
      <c r="H10402" s="64" t="s">
        <v>3300</v>
      </c>
      <c r="I10402" s="64" t="s">
        <v>3319</v>
      </c>
      <c r="J10402" s="67">
        <v>0</v>
      </c>
      <c r="K10402" s="62">
        <v>202.06</v>
      </c>
      <c r="L10402" s="33" t="e">
        <f>HLOOKUP(B10402,#REF!,1,0)</f>
        <v>#REF!</v>
      </c>
      <c r="M10402" s="33" t="str">
        <f t="shared" si="651"/>
        <v>P&amp;L</v>
      </c>
    </row>
    <row r="10403" spans="1:13">
      <c r="A10403" s="33" t="str">
        <f t="shared" si="648"/>
        <v>SCL - Other Income/Expense</v>
      </c>
      <c r="B10403" s="33" t="str">
        <f t="shared" si="649"/>
        <v>SCL</v>
      </c>
      <c r="C10403" s="33" t="str">
        <f t="shared" si="650"/>
        <v>91801-7380</v>
      </c>
      <c r="D10403" s="64" t="s">
        <v>11659</v>
      </c>
      <c r="E10403" s="64" t="s">
        <v>3318</v>
      </c>
      <c r="F10403" s="64" t="s">
        <v>15</v>
      </c>
      <c r="G10403" s="64" t="s">
        <v>3017</v>
      </c>
      <c r="H10403" s="64" t="s">
        <v>3300</v>
      </c>
      <c r="I10403" s="64" t="s">
        <v>3319</v>
      </c>
      <c r="J10403" s="67">
        <v>0</v>
      </c>
      <c r="K10403" s="62">
        <v>100</v>
      </c>
      <c r="L10403" s="33" t="e">
        <f>HLOOKUP(B10403,#REF!,1,0)</f>
        <v>#REF!</v>
      </c>
      <c r="M10403" s="33" t="str">
        <f t="shared" si="651"/>
        <v>P&amp;L</v>
      </c>
    </row>
    <row r="10404" spans="1:13">
      <c r="A10404" s="33" t="str">
        <f t="shared" si="648"/>
        <v>SCL - Other Income/Expense</v>
      </c>
      <c r="B10404" s="33" t="str">
        <f t="shared" si="649"/>
        <v>SCL</v>
      </c>
      <c r="C10404" s="33" t="str">
        <f t="shared" si="650"/>
        <v>91801-7381</v>
      </c>
      <c r="D10404" s="64" t="s">
        <v>11660</v>
      </c>
      <c r="E10404" s="64" t="s">
        <v>3318</v>
      </c>
      <c r="F10404" s="64" t="s">
        <v>15</v>
      </c>
      <c r="G10404" s="64" t="s">
        <v>3017</v>
      </c>
      <c r="H10404" s="64" t="s">
        <v>3300</v>
      </c>
      <c r="I10404" s="64" t="s">
        <v>3319</v>
      </c>
      <c r="J10404" s="67">
        <v>0</v>
      </c>
      <c r="K10404" s="62">
        <v>889.05</v>
      </c>
      <c r="L10404" s="33" t="e">
        <f>HLOOKUP(B10404,#REF!,1,0)</f>
        <v>#REF!</v>
      </c>
      <c r="M10404" s="33" t="str">
        <f t="shared" si="651"/>
        <v>P&amp;L</v>
      </c>
    </row>
    <row r="10405" spans="1:13">
      <c r="A10405" s="33" t="str">
        <f t="shared" si="648"/>
        <v>SCL - Other Income/Expense</v>
      </c>
      <c r="B10405" s="33" t="str">
        <f t="shared" si="649"/>
        <v>SCL</v>
      </c>
      <c r="C10405" s="33" t="str">
        <f t="shared" si="650"/>
        <v>91801-7383</v>
      </c>
      <c r="D10405" s="64" t="s">
        <v>11661</v>
      </c>
      <c r="E10405" s="64" t="s">
        <v>3318</v>
      </c>
      <c r="F10405" s="64" t="s">
        <v>15</v>
      </c>
      <c r="G10405" s="64" t="s">
        <v>3017</v>
      </c>
      <c r="H10405" s="64" t="s">
        <v>3300</v>
      </c>
      <c r="I10405" s="64" t="s">
        <v>3319</v>
      </c>
      <c r="J10405" s="67">
        <v>0</v>
      </c>
      <c r="K10405" s="62">
        <v>202.06</v>
      </c>
      <c r="L10405" s="33" t="e">
        <f>HLOOKUP(B10405,#REF!,1,0)</f>
        <v>#REF!</v>
      </c>
      <c r="M10405" s="33" t="str">
        <f t="shared" si="651"/>
        <v>P&amp;L</v>
      </c>
    </row>
    <row r="10406" spans="1:13">
      <c r="A10406" s="33" t="str">
        <f t="shared" si="648"/>
        <v>SCL - Other Income/Expense</v>
      </c>
      <c r="B10406" s="33" t="str">
        <f t="shared" si="649"/>
        <v>SCL</v>
      </c>
      <c r="C10406" s="33" t="str">
        <f t="shared" si="650"/>
        <v>91801-7385</v>
      </c>
      <c r="D10406" s="64" t="s">
        <v>11662</v>
      </c>
      <c r="E10406" s="64" t="s">
        <v>3318</v>
      </c>
      <c r="F10406" s="64" t="s">
        <v>15</v>
      </c>
      <c r="G10406" s="64" t="s">
        <v>3017</v>
      </c>
      <c r="H10406" s="64" t="s">
        <v>3300</v>
      </c>
      <c r="I10406" s="64" t="s">
        <v>3319</v>
      </c>
      <c r="J10406" s="67">
        <v>0</v>
      </c>
      <c r="K10406" s="62">
        <v>100</v>
      </c>
      <c r="L10406" s="33" t="e">
        <f>HLOOKUP(B10406,#REF!,1,0)</f>
        <v>#REF!</v>
      </c>
      <c r="M10406" s="33" t="str">
        <f t="shared" si="651"/>
        <v>P&amp;L</v>
      </c>
    </row>
    <row r="10407" spans="1:13">
      <c r="A10407" s="33" t="str">
        <f t="shared" si="648"/>
        <v>SCL - Other Income/Expense</v>
      </c>
      <c r="B10407" s="33" t="str">
        <f t="shared" si="649"/>
        <v>SCL</v>
      </c>
      <c r="C10407" s="33" t="str">
        <f t="shared" si="650"/>
        <v>91801-7386</v>
      </c>
      <c r="D10407" s="64" t="s">
        <v>11663</v>
      </c>
      <c r="E10407" s="64" t="s">
        <v>3318</v>
      </c>
      <c r="F10407" s="64" t="s">
        <v>15</v>
      </c>
      <c r="G10407" s="64" t="s">
        <v>3017</v>
      </c>
      <c r="H10407" s="64" t="s">
        <v>3300</v>
      </c>
      <c r="I10407" s="64" t="s">
        <v>3319</v>
      </c>
      <c r="J10407" s="67">
        <v>0</v>
      </c>
      <c r="K10407" s="62">
        <v>187.48</v>
      </c>
      <c r="L10407" s="33" t="e">
        <f>HLOOKUP(B10407,#REF!,1,0)</f>
        <v>#REF!</v>
      </c>
      <c r="M10407" s="33" t="str">
        <f t="shared" si="651"/>
        <v>P&amp;L</v>
      </c>
    </row>
    <row r="10408" spans="1:13">
      <c r="A10408" s="33" t="str">
        <f t="shared" si="648"/>
        <v>SCL - Other Income/Expense</v>
      </c>
      <c r="B10408" s="33" t="str">
        <f t="shared" si="649"/>
        <v>SCL</v>
      </c>
      <c r="C10408" s="33" t="str">
        <f t="shared" si="650"/>
        <v>91801-7387</v>
      </c>
      <c r="D10408" s="64" t="s">
        <v>11664</v>
      </c>
      <c r="E10408" s="64" t="s">
        <v>3318</v>
      </c>
      <c r="F10408" s="64" t="s">
        <v>15</v>
      </c>
      <c r="G10408" s="64" t="s">
        <v>3017</v>
      </c>
      <c r="H10408" s="64" t="s">
        <v>3300</v>
      </c>
      <c r="I10408" s="64" t="s">
        <v>3319</v>
      </c>
      <c r="J10408" s="67">
        <v>0</v>
      </c>
      <c r="K10408" s="62">
        <v>187.48</v>
      </c>
      <c r="L10408" s="33" t="e">
        <f>HLOOKUP(B10408,#REF!,1,0)</f>
        <v>#REF!</v>
      </c>
      <c r="M10408" s="33" t="str">
        <f t="shared" si="651"/>
        <v>P&amp;L</v>
      </c>
    </row>
    <row r="10409" spans="1:13">
      <c r="A10409" s="33" t="str">
        <f t="shared" si="648"/>
        <v>SCL - Other Income/Expense</v>
      </c>
      <c r="B10409" s="33" t="str">
        <f t="shared" si="649"/>
        <v>SCL</v>
      </c>
      <c r="C10409" s="33" t="str">
        <f t="shared" si="650"/>
        <v>91801-7389</v>
      </c>
      <c r="D10409" s="64" t="s">
        <v>11665</v>
      </c>
      <c r="E10409" s="64" t="s">
        <v>3318</v>
      </c>
      <c r="F10409" s="64" t="s">
        <v>15</v>
      </c>
      <c r="G10409" s="64" t="s">
        <v>3017</v>
      </c>
      <c r="H10409" s="64" t="s">
        <v>3300</v>
      </c>
      <c r="I10409" s="64" t="s">
        <v>3319</v>
      </c>
      <c r="J10409" s="67">
        <v>0</v>
      </c>
      <c r="K10409" s="62">
        <v>100</v>
      </c>
      <c r="L10409" s="33" t="e">
        <f>HLOOKUP(B10409,#REF!,1,0)</f>
        <v>#REF!</v>
      </c>
      <c r="M10409" s="33" t="str">
        <f t="shared" si="651"/>
        <v>P&amp;L</v>
      </c>
    </row>
    <row r="10410" spans="1:13">
      <c r="A10410" s="33" t="str">
        <f t="shared" si="648"/>
        <v>SCL - Other Income/Expense</v>
      </c>
      <c r="B10410" s="33" t="str">
        <f t="shared" si="649"/>
        <v>SCL</v>
      </c>
      <c r="C10410" s="33" t="str">
        <f t="shared" si="650"/>
        <v>91801-7391</v>
      </c>
      <c r="D10410" s="64" t="s">
        <v>11666</v>
      </c>
      <c r="E10410" s="64" t="s">
        <v>3318</v>
      </c>
      <c r="F10410" s="64" t="s">
        <v>15</v>
      </c>
      <c r="G10410" s="64" t="s">
        <v>3017</v>
      </c>
      <c r="H10410" s="64" t="s">
        <v>3300</v>
      </c>
      <c r="I10410" s="64" t="s">
        <v>3319</v>
      </c>
      <c r="J10410" s="67">
        <v>0</v>
      </c>
      <c r="K10410" s="62">
        <v>187.48</v>
      </c>
      <c r="L10410" s="33" t="e">
        <f>HLOOKUP(B10410,#REF!,1,0)</f>
        <v>#REF!</v>
      </c>
      <c r="M10410" s="33" t="str">
        <f t="shared" si="651"/>
        <v>P&amp;L</v>
      </c>
    </row>
    <row r="10411" spans="1:13">
      <c r="A10411" s="33" t="str">
        <f t="shared" si="648"/>
        <v>SCL - Other Income/Expense</v>
      </c>
      <c r="B10411" s="33" t="str">
        <f t="shared" si="649"/>
        <v>SCL</v>
      </c>
      <c r="C10411" s="33" t="str">
        <f t="shared" si="650"/>
        <v>91801-7393</v>
      </c>
      <c r="D10411" s="64" t="s">
        <v>11667</v>
      </c>
      <c r="E10411" s="64" t="s">
        <v>3318</v>
      </c>
      <c r="F10411" s="64" t="s">
        <v>15</v>
      </c>
      <c r="G10411" s="64" t="s">
        <v>3017</v>
      </c>
      <c r="H10411" s="64" t="s">
        <v>3300</v>
      </c>
      <c r="I10411" s="64" t="s">
        <v>3319</v>
      </c>
      <c r="J10411" s="67">
        <v>0</v>
      </c>
      <c r="K10411" s="62">
        <v>202.06</v>
      </c>
      <c r="L10411" s="33" t="e">
        <f>HLOOKUP(B10411,#REF!,1,0)</f>
        <v>#REF!</v>
      </c>
      <c r="M10411" s="33" t="str">
        <f t="shared" si="651"/>
        <v>P&amp;L</v>
      </c>
    </row>
    <row r="10412" spans="1:13">
      <c r="A10412" s="33" t="str">
        <f t="shared" si="648"/>
        <v>SCL - Other Income/Expense</v>
      </c>
      <c r="B10412" s="33" t="str">
        <f t="shared" si="649"/>
        <v>SCL</v>
      </c>
      <c r="C10412" s="33" t="str">
        <f t="shared" si="650"/>
        <v>91801-7394</v>
      </c>
      <c r="D10412" s="64" t="s">
        <v>11668</v>
      </c>
      <c r="E10412" s="64" t="s">
        <v>3318</v>
      </c>
      <c r="F10412" s="64" t="s">
        <v>15</v>
      </c>
      <c r="G10412" s="64" t="s">
        <v>3017</v>
      </c>
      <c r="H10412" s="64" t="s">
        <v>3300</v>
      </c>
      <c r="I10412" s="64" t="s">
        <v>3319</v>
      </c>
      <c r="J10412" s="67">
        <v>0</v>
      </c>
      <c r="K10412" s="62">
        <v>187.48</v>
      </c>
      <c r="L10412" s="33" t="e">
        <f>HLOOKUP(B10412,#REF!,1,0)</f>
        <v>#REF!</v>
      </c>
      <c r="M10412" s="33" t="str">
        <f t="shared" si="651"/>
        <v>P&amp;L</v>
      </c>
    </row>
    <row r="10413" spans="1:13">
      <c r="A10413" s="33" t="str">
        <f t="shared" si="648"/>
        <v>SCL - Other Income/Expense</v>
      </c>
      <c r="B10413" s="33" t="str">
        <f t="shared" si="649"/>
        <v>SCL</v>
      </c>
      <c r="C10413" s="33" t="str">
        <f t="shared" si="650"/>
        <v>91801-7396</v>
      </c>
      <c r="D10413" s="64" t="s">
        <v>11669</v>
      </c>
      <c r="E10413" s="64" t="s">
        <v>3318</v>
      </c>
      <c r="F10413" s="64" t="s">
        <v>15</v>
      </c>
      <c r="G10413" s="64" t="s">
        <v>3017</v>
      </c>
      <c r="H10413" s="64" t="s">
        <v>3300</v>
      </c>
      <c r="I10413" s="64" t="s">
        <v>3319</v>
      </c>
      <c r="J10413" s="67">
        <v>0</v>
      </c>
      <c r="K10413" s="62">
        <v>100</v>
      </c>
      <c r="L10413" s="33" t="e">
        <f>HLOOKUP(B10413,#REF!,1,0)</f>
        <v>#REF!</v>
      </c>
      <c r="M10413" s="33" t="str">
        <f t="shared" si="651"/>
        <v>P&amp;L</v>
      </c>
    </row>
    <row r="10414" spans="1:13">
      <c r="A10414" s="33" t="str">
        <f t="shared" si="648"/>
        <v>SCL - Other Income/Expense</v>
      </c>
      <c r="B10414" s="33" t="str">
        <f t="shared" si="649"/>
        <v>SCL</v>
      </c>
      <c r="C10414" s="33" t="str">
        <f t="shared" si="650"/>
        <v>91801-7397</v>
      </c>
      <c r="D10414" s="64" t="s">
        <v>11670</v>
      </c>
      <c r="E10414" s="64" t="s">
        <v>3318</v>
      </c>
      <c r="F10414" s="64" t="s">
        <v>15</v>
      </c>
      <c r="G10414" s="64" t="s">
        <v>3017</v>
      </c>
      <c r="H10414" s="64" t="s">
        <v>3300</v>
      </c>
      <c r="I10414" s="64" t="s">
        <v>3319</v>
      </c>
      <c r="J10414" s="67">
        <v>0</v>
      </c>
      <c r="K10414" s="62">
        <v>202.06</v>
      </c>
      <c r="L10414" s="33" t="e">
        <f>HLOOKUP(B10414,#REF!,1,0)</f>
        <v>#REF!</v>
      </c>
      <c r="M10414" s="33" t="str">
        <f t="shared" si="651"/>
        <v>P&amp;L</v>
      </c>
    </row>
    <row r="10415" spans="1:13">
      <c r="A10415" s="33" t="str">
        <f t="shared" si="648"/>
        <v>SCL - Other Income/Expense</v>
      </c>
      <c r="B10415" s="33" t="str">
        <f t="shared" si="649"/>
        <v>SCL</v>
      </c>
      <c r="C10415" s="33" t="str">
        <f t="shared" si="650"/>
        <v>91801-7398</v>
      </c>
      <c r="D10415" s="64" t="s">
        <v>11671</v>
      </c>
      <c r="E10415" s="64" t="s">
        <v>3318</v>
      </c>
      <c r="F10415" s="64" t="s">
        <v>15</v>
      </c>
      <c r="G10415" s="64" t="s">
        <v>3017</v>
      </c>
      <c r="H10415" s="64" t="s">
        <v>3300</v>
      </c>
      <c r="I10415" s="64" t="s">
        <v>3319</v>
      </c>
      <c r="J10415" s="67">
        <v>0</v>
      </c>
      <c r="K10415" s="62">
        <v>100</v>
      </c>
      <c r="L10415" s="33" t="e">
        <f>HLOOKUP(B10415,#REF!,1,0)</f>
        <v>#REF!</v>
      </c>
      <c r="M10415" s="33" t="str">
        <f t="shared" si="651"/>
        <v>P&amp;L</v>
      </c>
    </row>
    <row r="10416" spans="1:13">
      <c r="A10416" s="33" t="str">
        <f t="shared" si="648"/>
        <v>SCL - Other Income/Expense</v>
      </c>
      <c r="B10416" s="33" t="str">
        <f t="shared" si="649"/>
        <v>SCL</v>
      </c>
      <c r="C10416" s="33" t="str">
        <f t="shared" si="650"/>
        <v>91801-7400</v>
      </c>
      <c r="D10416" s="64" t="s">
        <v>11672</v>
      </c>
      <c r="E10416" s="64" t="s">
        <v>3318</v>
      </c>
      <c r="F10416" s="64" t="s">
        <v>15</v>
      </c>
      <c r="G10416" s="64" t="s">
        <v>3017</v>
      </c>
      <c r="H10416" s="64" t="s">
        <v>3300</v>
      </c>
      <c r="I10416" s="64" t="s">
        <v>3319</v>
      </c>
      <c r="J10416" s="67">
        <v>0</v>
      </c>
      <c r="K10416" s="62">
        <v>100</v>
      </c>
      <c r="L10416" s="33" t="e">
        <f>HLOOKUP(B10416,#REF!,1,0)</f>
        <v>#REF!</v>
      </c>
      <c r="M10416" s="33" t="str">
        <f t="shared" si="651"/>
        <v>P&amp;L</v>
      </c>
    </row>
    <row r="10417" spans="1:13">
      <c r="A10417" s="33" t="str">
        <f t="shared" si="648"/>
        <v>SCL - Other Income/Expense</v>
      </c>
      <c r="B10417" s="33" t="str">
        <f t="shared" si="649"/>
        <v>SCL</v>
      </c>
      <c r="C10417" s="33" t="str">
        <f t="shared" si="650"/>
        <v>91801-7401</v>
      </c>
      <c r="D10417" s="64" t="s">
        <v>11673</v>
      </c>
      <c r="E10417" s="64" t="s">
        <v>3318</v>
      </c>
      <c r="F10417" s="64" t="s">
        <v>15</v>
      </c>
      <c r="G10417" s="64" t="s">
        <v>3017</v>
      </c>
      <c r="H10417" s="64" t="s">
        <v>3300</v>
      </c>
      <c r="I10417" s="64" t="s">
        <v>3319</v>
      </c>
      <c r="J10417" s="67">
        <v>0</v>
      </c>
      <c r="K10417" s="62">
        <v>100</v>
      </c>
      <c r="L10417" s="33" t="e">
        <f>HLOOKUP(B10417,#REF!,1,0)</f>
        <v>#REF!</v>
      </c>
      <c r="M10417" s="33" t="str">
        <f t="shared" si="651"/>
        <v>P&amp;L</v>
      </c>
    </row>
    <row r="10418" spans="1:13">
      <c r="A10418" s="33" t="str">
        <f t="shared" si="648"/>
        <v>SCL - Other Income/Expense</v>
      </c>
      <c r="B10418" s="33" t="str">
        <f t="shared" si="649"/>
        <v>SCL</v>
      </c>
      <c r="C10418" s="33" t="str">
        <f t="shared" si="650"/>
        <v>91801-7402</v>
      </c>
      <c r="D10418" s="64" t="s">
        <v>11674</v>
      </c>
      <c r="E10418" s="64" t="s">
        <v>3318</v>
      </c>
      <c r="F10418" s="64" t="s">
        <v>15</v>
      </c>
      <c r="G10418" s="64" t="s">
        <v>3017</v>
      </c>
      <c r="H10418" s="64" t="s">
        <v>3300</v>
      </c>
      <c r="I10418" s="64" t="s">
        <v>3319</v>
      </c>
      <c r="J10418" s="67">
        <v>0</v>
      </c>
      <c r="K10418" s="62">
        <v>187.48</v>
      </c>
      <c r="L10418" s="33" t="e">
        <f>HLOOKUP(B10418,#REF!,1,0)</f>
        <v>#REF!</v>
      </c>
      <c r="M10418" s="33" t="str">
        <f t="shared" si="651"/>
        <v>P&amp;L</v>
      </c>
    </row>
    <row r="10419" spans="1:13">
      <c r="A10419" s="33" t="str">
        <f t="shared" si="648"/>
        <v>SCL - Other Income/Expense</v>
      </c>
      <c r="B10419" s="33" t="str">
        <f t="shared" si="649"/>
        <v>SCL</v>
      </c>
      <c r="C10419" s="33" t="str">
        <f t="shared" si="650"/>
        <v>91801-7403</v>
      </c>
      <c r="D10419" s="64" t="s">
        <v>11675</v>
      </c>
      <c r="E10419" s="64" t="s">
        <v>3318</v>
      </c>
      <c r="F10419" s="64" t="s">
        <v>15</v>
      </c>
      <c r="G10419" s="64" t="s">
        <v>3017</v>
      </c>
      <c r="H10419" s="64" t="s">
        <v>3300</v>
      </c>
      <c r="I10419" s="64" t="s">
        <v>3319</v>
      </c>
      <c r="J10419" s="67">
        <v>0</v>
      </c>
      <c r="K10419" s="62">
        <v>187.48</v>
      </c>
      <c r="L10419" s="33" t="e">
        <f>HLOOKUP(B10419,#REF!,1,0)</f>
        <v>#REF!</v>
      </c>
      <c r="M10419" s="33" t="str">
        <f t="shared" si="651"/>
        <v>P&amp;L</v>
      </c>
    </row>
    <row r="10420" spans="1:13">
      <c r="A10420" s="33" t="str">
        <f t="shared" si="648"/>
        <v>SCL - Other Income/Expense</v>
      </c>
      <c r="B10420" s="33" t="str">
        <f t="shared" si="649"/>
        <v>SCL</v>
      </c>
      <c r="C10420" s="33" t="str">
        <f t="shared" si="650"/>
        <v>91801-7489</v>
      </c>
      <c r="D10420" s="64" t="s">
        <v>11676</v>
      </c>
      <c r="E10420" s="64" t="s">
        <v>3318</v>
      </c>
      <c r="F10420" s="64" t="s">
        <v>15</v>
      </c>
      <c r="G10420" s="64" t="s">
        <v>3017</v>
      </c>
      <c r="H10420" s="64" t="s">
        <v>3300</v>
      </c>
      <c r="I10420" s="64" t="s">
        <v>3319</v>
      </c>
      <c r="J10420" s="67">
        <v>0</v>
      </c>
      <c r="K10420" s="62">
        <v>202.06</v>
      </c>
      <c r="L10420" s="33" t="e">
        <f>HLOOKUP(B10420,#REF!,1,0)</f>
        <v>#REF!</v>
      </c>
      <c r="M10420" s="33" t="str">
        <f t="shared" si="651"/>
        <v>P&amp;L</v>
      </c>
    </row>
    <row r="10421" spans="1:13">
      <c r="A10421" s="33" t="str">
        <f t="shared" si="648"/>
        <v>SCL - Other Income/Expense</v>
      </c>
      <c r="B10421" s="33" t="str">
        <f t="shared" si="649"/>
        <v>SCL</v>
      </c>
      <c r="C10421" s="33" t="str">
        <f t="shared" si="650"/>
        <v>91801-7491</v>
      </c>
      <c r="D10421" s="64" t="s">
        <v>11677</v>
      </c>
      <c r="E10421" s="64" t="s">
        <v>3318</v>
      </c>
      <c r="F10421" s="64" t="s">
        <v>15</v>
      </c>
      <c r="G10421" s="64" t="s">
        <v>3017</v>
      </c>
      <c r="H10421" s="64" t="s">
        <v>3300</v>
      </c>
      <c r="I10421" s="64" t="s">
        <v>3319</v>
      </c>
      <c r="J10421" s="67">
        <v>0</v>
      </c>
      <c r="K10421" s="62">
        <v>100</v>
      </c>
      <c r="L10421" s="33" t="e">
        <f>HLOOKUP(B10421,#REF!,1,0)</f>
        <v>#REF!</v>
      </c>
      <c r="M10421" s="33" t="str">
        <f t="shared" si="651"/>
        <v>P&amp;L</v>
      </c>
    </row>
    <row r="10422" spans="1:13">
      <c r="A10422" s="33" t="str">
        <f t="shared" si="648"/>
        <v>SCL - Other Income/Expense</v>
      </c>
      <c r="B10422" s="33" t="str">
        <f t="shared" si="649"/>
        <v>SCL</v>
      </c>
      <c r="C10422" s="33" t="str">
        <f t="shared" si="650"/>
        <v>91801-7492</v>
      </c>
      <c r="D10422" s="64" t="s">
        <v>11678</v>
      </c>
      <c r="E10422" s="64" t="s">
        <v>3318</v>
      </c>
      <c r="F10422" s="64" t="s">
        <v>15</v>
      </c>
      <c r="G10422" s="64" t="s">
        <v>3017</v>
      </c>
      <c r="H10422" s="64" t="s">
        <v>3300</v>
      </c>
      <c r="I10422" s="64" t="s">
        <v>3319</v>
      </c>
      <c r="J10422" s="67">
        <v>0</v>
      </c>
      <c r="K10422" s="62">
        <v>100</v>
      </c>
      <c r="L10422" s="33" t="e">
        <f>HLOOKUP(B10422,#REF!,1,0)</f>
        <v>#REF!</v>
      </c>
      <c r="M10422" s="33" t="str">
        <f t="shared" si="651"/>
        <v>P&amp;L</v>
      </c>
    </row>
    <row r="10423" spans="1:13">
      <c r="A10423" s="33" t="str">
        <f t="shared" si="648"/>
        <v>SCL - Other Income/Expense</v>
      </c>
      <c r="B10423" s="33" t="str">
        <f t="shared" si="649"/>
        <v>SCL</v>
      </c>
      <c r="C10423" s="33" t="str">
        <f t="shared" si="650"/>
        <v>91801-7493</v>
      </c>
      <c r="D10423" s="64" t="s">
        <v>11679</v>
      </c>
      <c r="E10423" s="64" t="s">
        <v>3318</v>
      </c>
      <c r="F10423" s="64" t="s">
        <v>15</v>
      </c>
      <c r="G10423" s="64" t="s">
        <v>3017</v>
      </c>
      <c r="H10423" s="64" t="s">
        <v>3300</v>
      </c>
      <c r="I10423" s="64" t="s">
        <v>3319</v>
      </c>
      <c r="J10423" s="67">
        <v>0</v>
      </c>
      <c r="K10423" s="62">
        <v>202.06</v>
      </c>
      <c r="L10423" s="33" t="e">
        <f>HLOOKUP(B10423,#REF!,1,0)</f>
        <v>#REF!</v>
      </c>
      <c r="M10423" s="33" t="str">
        <f t="shared" si="651"/>
        <v>P&amp;L</v>
      </c>
    </row>
    <row r="10424" spans="1:13">
      <c r="A10424" s="33" t="str">
        <f t="shared" si="648"/>
        <v>SCL - Other Income/Expense</v>
      </c>
      <c r="B10424" s="33" t="str">
        <f t="shared" si="649"/>
        <v>SCL</v>
      </c>
      <c r="C10424" s="33" t="str">
        <f t="shared" si="650"/>
        <v>91801-7494</v>
      </c>
      <c r="D10424" s="64" t="s">
        <v>11680</v>
      </c>
      <c r="E10424" s="64" t="s">
        <v>3318</v>
      </c>
      <c r="F10424" s="64" t="s">
        <v>15</v>
      </c>
      <c r="G10424" s="64" t="s">
        <v>3017</v>
      </c>
      <c r="H10424" s="64" t="s">
        <v>3300</v>
      </c>
      <c r="I10424" s="64" t="s">
        <v>3319</v>
      </c>
      <c r="J10424" s="67">
        <v>0</v>
      </c>
      <c r="K10424" s="62">
        <v>100</v>
      </c>
      <c r="L10424" s="33" t="e">
        <f>HLOOKUP(B10424,#REF!,1,0)</f>
        <v>#REF!</v>
      </c>
      <c r="M10424" s="33" t="str">
        <f t="shared" si="651"/>
        <v>P&amp;L</v>
      </c>
    </row>
    <row r="10425" spans="1:13">
      <c r="A10425" s="33" t="str">
        <f t="shared" si="648"/>
        <v>SCL - Other Income/Expense</v>
      </c>
      <c r="B10425" s="33" t="str">
        <f t="shared" si="649"/>
        <v>SCL</v>
      </c>
      <c r="C10425" s="33" t="str">
        <f t="shared" si="650"/>
        <v>91801-7625</v>
      </c>
      <c r="D10425" s="64" t="s">
        <v>11681</v>
      </c>
      <c r="E10425" s="64" t="s">
        <v>3318</v>
      </c>
      <c r="F10425" s="64" t="s">
        <v>15</v>
      </c>
      <c r="G10425" s="64" t="s">
        <v>3017</v>
      </c>
      <c r="H10425" s="64" t="s">
        <v>3300</v>
      </c>
      <c r="I10425" s="64" t="s">
        <v>3319</v>
      </c>
      <c r="J10425" s="67">
        <v>0</v>
      </c>
      <c r="K10425" s="62">
        <v>202.06</v>
      </c>
      <c r="L10425" s="33" t="e">
        <f>HLOOKUP(B10425,#REF!,1,0)</f>
        <v>#REF!</v>
      </c>
      <c r="M10425" s="33" t="str">
        <f t="shared" si="651"/>
        <v>P&amp;L</v>
      </c>
    </row>
    <row r="10426" spans="1:13">
      <c r="A10426" s="33" t="str">
        <f t="shared" si="648"/>
        <v>SCL - Other Income/Expense</v>
      </c>
      <c r="B10426" s="33" t="str">
        <f t="shared" si="649"/>
        <v>SCL</v>
      </c>
      <c r="C10426" s="33" t="str">
        <f t="shared" si="650"/>
        <v>91801-8150</v>
      </c>
      <c r="D10426" s="64" t="s">
        <v>11682</v>
      </c>
      <c r="E10426" s="64" t="s">
        <v>3318</v>
      </c>
      <c r="F10426" s="64" t="s">
        <v>15</v>
      </c>
      <c r="G10426" s="64" t="s">
        <v>3017</v>
      </c>
      <c r="H10426" s="64" t="s">
        <v>3300</v>
      </c>
      <c r="I10426" s="64" t="s">
        <v>3319</v>
      </c>
      <c r="J10426" s="67">
        <v>0</v>
      </c>
      <c r="K10426" s="62">
        <v>187.48</v>
      </c>
      <c r="L10426" s="33" t="e">
        <f>HLOOKUP(B10426,#REF!,1,0)</f>
        <v>#REF!</v>
      </c>
      <c r="M10426" s="33" t="str">
        <f t="shared" si="651"/>
        <v>P&amp;L</v>
      </c>
    </row>
    <row r="10427" spans="1:13">
      <c r="A10427" s="33" t="str">
        <f t="shared" si="648"/>
        <v>SCL - Interest Expense</v>
      </c>
      <c r="B10427" s="33" t="str">
        <f t="shared" si="649"/>
        <v>SCL</v>
      </c>
      <c r="C10427" s="33" t="str">
        <f t="shared" si="650"/>
        <v>92401-0000</v>
      </c>
      <c r="D10427" s="64" t="s">
        <v>11683</v>
      </c>
      <c r="E10427" s="64" t="s">
        <v>3325</v>
      </c>
      <c r="F10427" s="64" t="s">
        <v>15</v>
      </c>
      <c r="G10427" s="64" t="s">
        <v>3326</v>
      </c>
      <c r="H10427" s="64" t="s">
        <v>3327</v>
      </c>
      <c r="I10427" s="64" t="s">
        <v>3328</v>
      </c>
      <c r="J10427" s="67">
        <v>0</v>
      </c>
      <c r="K10427" s="62">
        <v>-17844.44</v>
      </c>
      <c r="L10427" s="33" t="e">
        <f>HLOOKUP(B10427,#REF!,1,0)</f>
        <v>#REF!</v>
      </c>
      <c r="M10427" s="33" t="str">
        <f t="shared" si="651"/>
        <v>P&amp;L</v>
      </c>
    </row>
    <row r="10428" spans="1:13">
      <c r="A10428" s="33" t="str">
        <f t="shared" si="648"/>
        <v>SCL - Interest Expense</v>
      </c>
      <c r="B10428" s="33" t="str">
        <f t="shared" si="649"/>
        <v>SCL</v>
      </c>
      <c r="C10428" s="33" t="str">
        <f t="shared" si="650"/>
        <v>92401-7351</v>
      </c>
      <c r="D10428" s="64" t="s">
        <v>11684</v>
      </c>
      <c r="E10428" s="64" t="s">
        <v>3325</v>
      </c>
      <c r="F10428" s="64" t="s">
        <v>15</v>
      </c>
      <c r="G10428" s="64" t="s">
        <v>3326</v>
      </c>
      <c r="H10428" s="64" t="s">
        <v>3327</v>
      </c>
      <c r="I10428" s="64" t="s">
        <v>3328</v>
      </c>
      <c r="J10428" s="67">
        <v>1796.47</v>
      </c>
      <c r="K10428" s="62">
        <v>15226.37</v>
      </c>
      <c r="L10428" s="33" t="e">
        <f>HLOOKUP(B10428,#REF!,1,0)</f>
        <v>#REF!</v>
      </c>
      <c r="M10428" s="33" t="str">
        <f t="shared" si="651"/>
        <v>P&amp;L</v>
      </c>
    </row>
    <row r="10429" spans="1:13">
      <c r="A10429" s="33" t="str">
        <f t="shared" si="648"/>
        <v>SCL - Interest Expense</v>
      </c>
      <c r="B10429" s="33" t="str">
        <f t="shared" si="649"/>
        <v>SCL</v>
      </c>
      <c r="C10429" s="33" t="str">
        <f t="shared" si="650"/>
        <v>92401-7352</v>
      </c>
      <c r="D10429" s="64" t="s">
        <v>11685</v>
      </c>
      <c r="E10429" s="64" t="s">
        <v>3325</v>
      </c>
      <c r="F10429" s="64" t="s">
        <v>15</v>
      </c>
      <c r="G10429" s="64" t="s">
        <v>3326</v>
      </c>
      <c r="H10429" s="64" t="s">
        <v>3327</v>
      </c>
      <c r="I10429" s="64" t="s">
        <v>3328</v>
      </c>
      <c r="J10429" s="67">
        <v>1796.47</v>
      </c>
      <c r="K10429" s="62">
        <v>15226.37</v>
      </c>
      <c r="L10429" s="33" t="e">
        <f>HLOOKUP(B10429,#REF!,1,0)</f>
        <v>#REF!</v>
      </c>
      <c r="M10429" s="33" t="str">
        <f t="shared" si="651"/>
        <v>P&amp;L</v>
      </c>
    </row>
    <row r="10430" spans="1:13">
      <c r="A10430" s="33" t="str">
        <f t="shared" si="648"/>
        <v>SCL - Interest Expense</v>
      </c>
      <c r="B10430" s="33" t="str">
        <f t="shared" si="649"/>
        <v>SCL</v>
      </c>
      <c r="C10430" s="33" t="str">
        <f t="shared" si="650"/>
        <v>92401-7355</v>
      </c>
      <c r="D10430" s="64" t="s">
        <v>11686</v>
      </c>
      <c r="E10430" s="64" t="s">
        <v>3325</v>
      </c>
      <c r="F10430" s="64" t="s">
        <v>15</v>
      </c>
      <c r="G10430" s="64" t="s">
        <v>3326</v>
      </c>
      <c r="H10430" s="64" t="s">
        <v>3327</v>
      </c>
      <c r="I10430" s="64" t="s">
        <v>3328</v>
      </c>
      <c r="J10430" s="67">
        <v>1796.47</v>
      </c>
      <c r="K10430" s="62">
        <v>15226.37</v>
      </c>
      <c r="L10430" s="33" t="e">
        <f>HLOOKUP(B10430,#REF!,1,0)</f>
        <v>#REF!</v>
      </c>
      <c r="M10430" s="33" t="str">
        <f t="shared" si="651"/>
        <v>P&amp;L</v>
      </c>
    </row>
    <row r="10431" spans="1:13">
      <c r="A10431" s="33" t="str">
        <f t="shared" si="648"/>
        <v>SCL - Interest Expense</v>
      </c>
      <c r="B10431" s="33" t="str">
        <f t="shared" si="649"/>
        <v>SCL</v>
      </c>
      <c r="C10431" s="33" t="str">
        <f t="shared" si="650"/>
        <v>92401-7356</v>
      </c>
      <c r="D10431" s="64" t="s">
        <v>11687</v>
      </c>
      <c r="E10431" s="64" t="s">
        <v>3325</v>
      </c>
      <c r="F10431" s="64" t="s">
        <v>15</v>
      </c>
      <c r="G10431" s="64" t="s">
        <v>3326</v>
      </c>
      <c r="H10431" s="64" t="s">
        <v>3327</v>
      </c>
      <c r="I10431" s="64" t="s">
        <v>3328</v>
      </c>
      <c r="J10431" s="67">
        <v>0</v>
      </c>
      <c r="K10431" s="62">
        <v>898.69</v>
      </c>
      <c r="L10431" s="33" t="e">
        <f>HLOOKUP(B10431,#REF!,1,0)</f>
        <v>#REF!</v>
      </c>
      <c r="M10431" s="33" t="str">
        <f t="shared" si="651"/>
        <v>P&amp;L</v>
      </c>
    </row>
    <row r="10432" spans="1:13">
      <c r="A10432" s="33" t="str">
        <f t="shared" si="648"/>
        <v>SCL - Interest Expense</v>
      </c>
      <c r="B10432" s="33" t="str">
        <f t="shared" si="649"/>
        <v>SCL</v>
      </c>
      <c r="C10432" s="33" t="str">
        <f t="shared" si="650"/>
        <v>92401-7359</v>
      </c>
      <c r="D10432" s="64" t="s">
        <v>11688</v>
      </c>
      <c r="E10432" s="64" t="s">
        <v>3325</v>
      </c>
      <c r="F10432" s="64" t="s">
        <v>15</v>
      </c>
      <c r="G10432" s="64" t="s">
        <v>3326</v>
      </c>
      <c r="H10432" s="64" t="s">
        <v>3327</v>
      </c>
      <c r="I10432" s="64" t="s">
        <v>3328</v>
      </c>
      <c r="J10432" s="67">
        <v>1796.47</v>
      </c>
      <c r="K10432" s="62">
        <v>15226.37</v>
      </c>
      <c r="L10432" s="33" t="e">
        <f>HLOOKUP(B10432,#REF!,1,0)</f>
        <v>#REF!</v>
      </c>
      <c r="M10432" s="33" t="str">
        <f t="shared" si="651"/>
        <v>P&amp;L</v>
      </c>
    </row>
    <row r="10433" spans="1:13">
      <c r="A10433" s="33" t="str">
        <f t="shared" si="648"/>
        <v>SCL - Interest Expense</v>
      </c>
      <c r="B10433" s="33" t="str">
        <f t="shared" si="649"/>
        <v>SCL</v>
      </c>
      <c r="C10433" s="33" t="str">
        <f t="shared" si="650"/>
        <v>92401-7360</v>
      </c>
      <c r="D10433" s="64" t="s">
        <v>11689</v>
      </c>
      <c r="E10433" s="64" t="s">
        <v>3325</v>
      </c>
      <c r="F10433" s="64" t="s">
        <v>15</v>
      </c>
      <c r="G10433" s="64" t="s">
        <v>3326</v>
      </c>
      <c r="H10433" s="64" t="s">
        <v>3327</v>
      </c>
      <c r="I10433" s="64" t="s">
        <v>3328</v>
      </c>
      <c r="J10433" s="67">
        <v>1796.47</v>
      </c>
      <c r="K10433" s="62">
        <v>15226.37</v>
      </c>
      <c r="L10433" s="33" t="e">
        <f>HLOOKUP(B10433,#REF!,1,0)</f>
        <v>#REF!</v>
      </c>
      <c r="M10433" s="33" t="str">
        <f t="shared" si="651"/>
        <v>P&amp;L</v>
      </c>
    </row>
    <row r="10434" spans="1:13">
      <c r="A10434" s="33" t="str">
        <f t="shared" ref="A10434:A10497" si="652">B10434&amp;" - "&amp;TRIM(H10434)</f>
        <v>SCL - Interest Expense</v>
      </c>
      <c r="B10434" s="33" t="str">
        <f t="shared" ref="B10434:B10497" si="653">LEFT(D10434,3)</f>
        <v>SCL</v>
      </c>
      <c r="C10434" s="33" t="str">
        <f t="shared" ref="C10434:C10497" si="654">RIGHT(D10434,10)</f>
        <v>92401-7361</v>
      </c>
      <c r="D10434" s="64" t="s">
        <v>11690</v>
      </c>
      <c r="E10434" s="64" t="s">
        <v>3325</v>
      </c>
      <c r="F10434" s="64" t="s">
        <v>15</v>
      </c>
      <c r="G10434" s="64" t="s">
        <v>3326</v>
      </c>
      <c r="H10434" s="64" t="s">
        <v>3327</v>
      </c>
      <c r="I10434" s="64" t="s">
        <v>3328</v>
      </c>
      <c r="J10434" s="67">
        <v>1796.47</v>
      </c>
      <c r="K10434" s="62">
        <v>15226.37</v>
      </c>
      <c r="L10434" s="33" t="e">
        <f>HLOOKUP(B10434,#REF!,1,0)</f>
        <v>#REF!</v>
      </c>
      <c r="M10434" s="33" t="str">
        <f t="shared" ref="M10434:M10497" si="655">IF(VALUE(LEFT(C10434,5))&gt;40000,"P&amp;L","BS")</f>
        <v>P&amp;L</v>
      </c>
    </row>
    <row r="10435" spans="1:13">
      <c r="A10435" s="33" t="str">
        <f t="shared" si="652"/>
        <v>SCL - Interest Expense</v>
      </c>
      <c r="B10435" s="33" t="str">
        <f t="shared" si="653"/>
        <v>SCL</v>
      </c>
      <c r="C10435" s="33" t="str">
        <f t="shared" si="654"/>
        <v>92401-7362</v>
      </c>
      <c r="D10435" s="64" t="s">
        <v>11691</v>
      </c>
      <c r="E10435" s="64" t="s">
        <v>3325</v>
      </c>
      <c r="F10435" s="64" t="s">
        <v>15</v>
      </c>
      <c r="G10435" s="64" t="s">
        <v>3326</v>
      </c>
      <c r="H10435" s="64" t="s">
        <v>3327</v>
      </c>
      <c r="I10435" s="64" t="s">
        <v>3328</v>
      </c>
      <c r="J10435" s="67">
        <v>1796.47</v>
      </c>
      <c r="K10435" s="62">
        <v>15226.37</v>
      </c>
      <c r="L10435" s="33" t="e">
        <f>HLOOKUP(B10435,#REF!,1,0)</f>
        <v>#REF!</v>
      </c>
      <c r="M10435" s="33" t="str">
        <f t="shared" si="655"/>
        <v>P&amp;L</v>
      </c>
    </row>
    <row r="10436" spans="1:13">
      <c r="A10436" s="33" t="str">
        <f t="shared" si="652"/>
        <v>SCL - Interest Expense</v>
      </c>
      <c r="B10436" s="33" t="str">
        <f t="shared" si="653"/>
        <v>SCL</v>
      </c>
      <c r="C10436" s="33" t="str">
        <f t="shared" si="654"/>
        <v>92401-7363</v>
      </c>
      <c r="D10436" s="64" t="s">
        <v>11692</v>
      </c>
      <c r="E10436" s="64" t="s">
        <v>3325</v>
      </c>
      <c r="F10436" s="64" t="s">
        <v>15</v>
      </c>
      <c r="G10436" s="64" t="s">
        <v>3326</v>
      </c>
      <c r="H10436" s="64" t="s">
        <v>3327</v>
      </c>
      <c r="I10436" s="64" t="s">
        <v>3328</v>
      </c>
      <c r="J10436" s="67">
        <v>1796.47</v>
      </c>
      <c r="K10436" s="62">
        <v>15226.37</v>
      </c>
      <c r="L10436" s="33" t="e">
        <f>HLOOKUP(B10436,#REF!,1,0)</f>
        <v>#REF!</v>
      </c>
      <c r="M10436" s="33" t="str">
        <f t="shared" si="655"/>
        <v>P&amp;L</v>
      </c>
    </row>
    <row r="10437" spans="1:13">
      <c r="A10437" s="33" t="str">
        <f t="shared" si="652"/>
        <v>SCL - Interest Expense</v>
      </c>
      <c r="B10437" s="33" t="str">
        <f t="shared" si="653"/>
        <v>SCL</v>
      </c>
      <c r="C10437" s="33" t="str">
        <f t="shared" si="654"/>
        <v>92401-7364</v>
      </c>
      <c r="D10437" s="64" t="s">
        <v>11693</v>
      </c>
      <c r="E10437" s="64" t="s">
        <v>3325</v>
      </c>
      <c r="F10437" s="64" t="s">
        <v>15</v>
      </c>
      <c r="G10437" s="64" t="s">
        <v>3326</v>
      </c>
      <c r="H10437" s="64" t="s">
        <v>3327</v>
      </c>
      <c r="I10437" s="64" t="s">
        <v>3328</v>
      </c>
      <c r="J10437" s="67">
        <v>1796.47</v>
      </c>
      <c r="K10437" s="62">
        <v>15226.37</v>
      </c>
      <c r="L10437" s="33" t="e">
        <f>HLOOKUP(B10437,#REF!,1,0)</f>
        <v>#REF!</v>
      </c>
      <c r="M10437" s="33" t="str">
        <f t="shared" si="655"/>
        <v>P&amp;L</v>
      </c>
    </row>
    <row r="10438" spans="1:13">
      <c r="A10438" s="33" t="str">
        <f t="shared" si="652"/>
        <v>SCL - Interest Expense</v>
      </c>
      <c r="B10438" s="33" t="str">
        <f t="shared" si="653"/>
        <v>SCL</v>
      </c>
      <c r="C10438" s="33" t="str">
        <f t="shared" si="654"/>
        <v>92401-7365</v>
      </c>
      <c r="D10438" s="64" t="s">
        <v>11694</v>
      </c>
      <c r="E10438" s="64" t="s">
        <v>3325</v>
      </c>
      <c r="F10438" s="64" t="s">
        <v>15</v>
      </c>
      <c r="G10438" s="64" t="s">
        <v>3326</v>
      </c>
      <c r="H10438" s="64" t="s">
        <v>3327</v>
      </c>
      <c r="I10438" s="64" t="s">
        <v>3328</v>
      </c>
      <c r="J10438" s="67">
        <v>1796.47</v>
      </c>
      <c r="K10438" s="62">
        <v>15226.37</v>
      </c>
      <c r="L10438" s="33" t="e">
        <f>HLOOKUP(B10438,#REF!,1,0)</f>
        <v>#REF!</v>
      </c>
      <c r="M10438" s="33" t="str">
        <f t="shared" si="655"/>
        <v>P&amp;L</v>
      </c>
    </row>
    <row r="10439" spans="1:13">
      <c r="A10439" s="33" t="str">
        <f t="shared" si="652"/>
        <v>SCL - Interest Expense</v>
      </c>
      <c r="B10439" s="33" t="str">
        <f t="shared" si="653"/>
        <v>SCL</v>
      </c>
      <c r="C10439" s="33" t="str">
        <f t="shared" si="654"/>
        <v>92401-7366</v>
      </c>
      <c r="D10439" s="64" t="s">
        <v>11695</v>
      </c>
      <c r="E10439" s="64" t="s">
        <v>3325</v>
      </c>
      <c r="F10439" s="64" t="s">
        <v>15</v>
      </c>
      <c r="G10439" s="64" t="s">
        <v>3326</v>
      </c>
      <c r="H10439" s="64" t="s">
        <v>3327</v>
      </c>
      <c r="I10439" s="64" t="s">
        <v>3328</v>
      </c>
      <c r="J10439" s="67">
        <v>1796.47</v>
      </c>
      <c r="K10439" s="62">
        <v>15226.37</v>
      </c>
      <c r="L10439" s="33" t="e">
        <f>HLOOKUP(B10439,#REF!,1,0)</f>
        <v>#REF!</v>
      </c>
      <c r="M10439" s="33" t="str">
        <f t="shared" si="655"/>
        <v>P&amp;L</v>
      </c>
    </row>
    <row r="10440" spans="1:13">
      <c r="A10440" s="33" t="str">
        <f t="shared" si="652"/>
        <v>SCL - Interest Expense</v>
      </c>
      <c r="B10440" s="33" t="str">
        <f t="shared" si="653"/>
        <v>SCL</v>
      </c>
      <c r="C10440" s="33" t="str">
        <f t="shared" si="654"/>
        <v>92401-7368</v>
      </c>
      <c r="D10440" s="64" t="s">
        <v>11696</v>
      </c>
      <c r="E10440" s="64" t="s">
        <v>3325</v>
      </c>
      <c r="F10440" s="64" t="s">
        <v>15</v>
      </c>
      <c r="G10440" s="64" t="s">
        <v>3326</v>
      </c>
      <c r="H10440" s="64" t="s">
        <v>3327</v>
      </c>
      <c r="I10440" s="64" t="s">
        <v>3328</v>
      </c>
      <c r="J10440" s="67">
        <v>1796.47</v>
      </c>
      <c r="K10440" s="62">
        <v>15226.37</v>
      </c>
      <c r="L10440" s="33" t="e">
        <f>HLOOKUP(B10440,#REF!,1,0)</f>
        <v>#REF!</v>
      </c>
      <c r="M10440" s="33" t="str">
        <f t="shared" si="655"/>
        <v>P&amp;L</v>
      </c>
    </row>
    <row r="10441" spans="1:13">
      <c r="A10441" s="33" t="str">
        <f t="shared" si="652"/>
        <v>SCL - Interest Expense</v>
      </c>
      <c r="B10441" s="33" t="str">
        <f t="shared" si="653"/>
        <v>SCL</v>
      </c>
      <c r="C10441" s="33" t="str">
        <f t="shared" si="654"/>
        <v>92401-7369</v>
      </c>
      <c r="D10441" s="64" t="s">
        <v>11697</v>
      </c>
      <c r="E10441" s="64" t="s">
        <v>3325</v>
      </c>
      <c r="F10441" s="64" t="s">
        <v>15</v>
      </c>
      <c r="G10441" s="64" t="s">
        <v>3326</v>
      </c>
      <c r="H10441" s="64" t="s">
        <v>3327</v>
      </c>
      <c r="I10441" s="64" t="s">
        <v>3328</v>
      </c>
      <c r="J10441" s="67">
        <v>1796.47</v>
      </c>
      <c r="K10441" s="62">
        <v>15226.37</v>
      </c>
      <c r="L10441" s="33" t="e">
        <f>HLOOKUP(B10441,#REF!,1,0)</f>
        <v>#REF!</v>
      </c>
      <c r="M10441" s="33" t="str">
        <f t="shared" si="655"/>
        <v>P&amp;L</v>
      </c>
    </row>
    <row r="10442" spans="1:13">
      <c r="A10442" s="33" t="str">
        <f t="shared" si="652"/>
        <v>SCL - Interest Expense</v>
      </c>
      <c r="B10442" s="33" t="str">
        <f t="shared" si="653"/>
        <v>SCL</v>
      </c>
      <c r="C10442" s="33" t="str">
        <f t="shared" si="654"/>
        <v>92401-7371</v>
      </c>
      <c r="D10442" s="64" t="s">
        <v>11698</v>
      </c>
      <c r="E10442" s="64" t="s">
        <v>3325</v>
      </c>
      <c r="F10442" s="64" t="s">
        <v>15</v>
      </c>
      <c r="G10442" s="64" t="s">
        <v>3326</v>
      </c>
      <c r="H10442" s="64" t="s">
        <v>3327</v>
      </c>
      <c r="I10442" s="64" t="s">
        <v>3328</v>
      </c>
      <c r="J10442" s="67">
        <v>1796.47</v>
      </c>
      <c r="K10442" s="62">
        <v>15226.37</v>
      </c>
      <c r="L10442" s="33" t="e">
        <f>HLOOKUP(B10442,#REF!,1,0)</f>
        <v>#REF!</v>
      </c>
      <c r="M10442" s="33" t="str">
        <f t="shared" si="655"/>
        <v>P&amp;L</v>
      </c>
    </row>
    <row r="10443" spans="1:13">
      <c r="A10443" s="33" t="str">
        <f t="shared" si="652"/>
        <v>SCL - Interest Expense</v>
      </c>
      <c r="B10443" s="33" t="str">
        <f t="shared" si="653"/>
        <v>SCL</v>
      </c>
      <c r="C10443" s="33" t="str">
        <f t="shared" si="654"/>
        <v>92401-7374</v>
      </c>
      <c r="D10443" s="64" t="s">
        <v>11699</v>
      </c>
      <c r="E10443" s="64" t="s">
        <v>3325</v>
      </c>
      <c r="F10443" s="64" t="s">
        <v>15</v>
      </c>
      <c r="G10443" s="64" t="s">
        <v>3326</v>
      </c>
      <c r="H10443" s="64" t="s">
        <v>3327</v>
      </c>
      <c r="I10443" s="64" t="s">
        <v>3328</v>
      </c>
      <c r="J10443" s="67">
        <v>1796.47</v>
      </c>
      <c r="K10443" s="62">
        <v>15226.37</v>
      </c>
      <c r="L10443" s="33" t="e">
        <f>HLOOKUP(B10443,#REF!,1,0)</f>
        <v>#REF!</v>
      </c>
      <c r="M10443" s="33" t="str">
        <f t="shared" si="655"/>
        <v>P&amp;L</v>
      </c>
    </row>
    <row r="10444" spans="1:13">
      <c r="A10444" s="33" t="str">
        <f t="shared" si="652"/>
        <v>SCL - Interest Expense</v>
      </c>
      <c r="B10444" s="33" t="str">
        <f t="shared" si="653"/>
        <v>SCL</v>
      </c>
      <c r="C10444" s="33" t="str">
        <f t="shared" si="654"/>
        <v>92401-7375</v>
      </c>
      <c r="D10444" s="64" t="s">
        <v>11700</v>
      </c>
      <c r="E10444" s="64" t="s">
        <v>3325</v>
      </c>
      <c r="F10444" s="64" t="s">
        <v>15</v>
      </c>
      <c r="G10444" s="64" t="s">
        <v>3326</v>
      </c>
      <c r="H10444" s="64" t="s">
        <v>3327</v>
      </c>
      <c r="I10444" s="64" t="s">
        <v>3328</v>
      </c>
      <c r="J10444" s="67">
        <v>1796.47</v>
      </c>
      <c r="K10444" s="62">
        <v>15226.37</v>
      </c>
      <c r="L10444" s="33" t="e">
        <f>HLOOKUP(B10444,#REF!,1,0)</f>
        <v>#REF!</v>
      </c>
      <c r="M10444" s="33" t="str">
        <f t="shared" si="655"/>
        <v>P&amp;L</v>
      </c>
    </row>
    <row r="10445" spans="1:13">
      <c r="A10445" s="33" t="str">
        <f t="shared" si="652"/>
        <v>SCL - Interest Expense</v>
      </c>
      <c r="B10445" s="33" t="str">
        <f t="shared" si="653"/>
        <v>SCL</v>
      </c>
      <c r="C10445" s="33" t="str">
        <f t="shared" si="654"/>
        <v>92401-7376</v>
      </c>
      <c r="D10445" s="64" t="s">
        <v>11701</v>
      </c>
      <c r="E10445" s="64" t="s">
        <v>3325</v>
      </c>
      <c r="F10445" s="64" t="s">
        <v>15</v>
      </c>
      <c r="G10445" s="64" t="s">
        <v>3326</v>
      </c>
      <c r="H10445" s="64" t="s">
        <v>3327</v>
      </c>
      <c r="I10445" s="64" t="s">
        <v>3328</v>
      </c>
      <c r="J10445" s="67">
        <v>1796.47</v>
      </c>
      <c r="K10445" s="62">
        <v>15226.37</v>
      </c>
      <c r="L10445" s="33" t="e">
        <f>HLOOKUP(B10445,#REF!,1,0)</f>
        <v>#REF!</v>
      </c>
      <c r="M10445" s="33" t="str">
        <f t="shared" si="655"/>
        <v>P&amp;L</v>
      </c>
    </row>
    <row r="10446" spans="1:13">
      <c r="A10446" s="33" t="str">
        <f t="shared" si="652"/>
        <v>SCL - Interest Expense</v>
      </c>
      <c r="B10446" s="33" t="str">
        <f t="shared" si="653"/>
        <v>SCL</v>
      </c>
      <c r="C10446" s="33" t="str">
        <f t="shared" si="654"/>
        <v>92401-7377</v>
      </c>
      <c r="D10446" s="64" t="s">
        <v>11702</v>
      </c>
      <c r="E10446" s="64" t="s">
        <v>3325</v>
      </c>
      <c r="F10446" s="64" t="s">
        <v>15</v>
      </c>
      <c r="G10446" s="64" t="s">
        <v>3326</v>
      </c>
      <c r="H10446" s="64" t="s">
        <v>3327</v>
      </c>
      <c r="I10446" s="64" t="s">
        <v>3328</v>
      </c>
      <c r="J10446" s="67">
        <v>1796.47</v>
      </c>
      <c r="K10446" s="62">
        <v>15226.37</v>
      </c>
      <c r="L10446" s="33" t="e">
        <f>HLOOKUP(B10446,#REF!,1,0)</f>
        <v>#REF!</v>
      </c>
      <c r="M10446" s="33" t="str">
        <f t="shared" si="655"/>
        <v>P&amp;L</v>
      </c>
    </row>
    <row r="10447" spans="1:13">
      <c r="A10447" s="33" t="str">
        <f t="shared" si="652"/>
        <v>SCL - Interest Expense</v>
      </c>
      <c r="B10447" s="33" t="str">
        <f t="shared" si="653"/>
        <v>SCL</v>
      </c>
      <c r="C10447" s="33" t="str">
        <f t="shared" si="654"/>
        <v>92401-7378</v>
      </c>
      <c r="D10447" s="64" t="s">
        <v>11703</v>
      </c>
      <c r="E10447" s="64" t="s">
        <v>3325</v>
      </c>
      <c r="F10447" s="64" t="s">
        <v>15</v>
      </c>
      <c r="G10447" s="64" t="s">
        <v>3326</v>
      </c>
      <c r="H10447" s="64" t="s">
        <v>3327</v>
      </c>
      <c r="I10447" s="64" t="s">
        <v>3328</v>
      </c>
      <c r="J10447" s="67">
        <v>1796.47</v>
      </c>
      <c r="K10447" s="62">
        <v>15226.37</v>
      </c>
      <c r="L10447" s="33" t="e">
        <f>HLOOKUP(B10447,#REF!,1,0)</f>
        <v>#REF!</v>
      </c>
      <c r="M10447" s="33" t="str">
        <f t="shared" si="655"/>
        <v>P&amp;L</v>
      </c>
    </row>
    <row r="10448" spans="1:13">
      <c r="A10448" s="33" t="str">
        <f t="shared" si="652"/>
        <v>SCL - Interest Expense</v>
      </c>
      <c r="B10448" s="33" t="str">
        <f t="shared" si="653"/>
        <v>SCL</v>
      </c>
      <c r="C10448" s="33" t="str">
        <f t="shared" si="654"/>
        <v>92401-7379</v>
      </c>
      <c r="D10448" s="64" t="s">
        <v>11704</v>
      </c>
      <c r="E10448" s="64" t="s">
        <v>3325</v>
      </c>
      <c r="F10448" s="64" t="s">
        <v>15</v>
      </c>
      <c r="G10448" s="64" t="s">
        <v>3326</v>
      </c>
      <c r="H10448" s="64" t="s">
        <v>3327</v>
      </c>
      <c r="I10448" s="64" t="s">
        <v>3328</v>
      </c>
      <c r="J10448" s="67">
        <v>1796.47</v>
      </c>
      <c r="K10448" s="62">
        <v>15226.37</v>
      </c>
      <c r="L10448" s="33" t="e">
        <f>HLOOKUP(B10448,#REF!,1,0)</f>
        <v>#REF!</v>
      </c>
      <c r="M10448" s="33" t="str">
        <f t="shared" si="655"/>
        <v>P&amp;L</v>
      </c>
    </row>
    <row r="10449" spans="1:13">
      <c r="A10449" s="33" t="str">
        <f t="shared" si="652"/>
        <v>SCL - Interest Expense</v>
      </c>
      <c r="B10449" s="33" t="str">
        <f t="shared" si="653"/>
        <v>SCL</v>
      </c>
      <c r="C10449" s="33" t="str">
        <f t="shared" si="654"/>
        <v>92401-7380</v>
      </c>
      <c r="D10449" s="64" t="s">
        <v>11705</v>
      </c>
      <c r="E10449" s="64" t="s">
        <v>3325</v>
      </c>
      <c r="F10449" s="64" t="s">
        <v>15</v>
      </c>
      <c r="G10449" s="64" t="s">
        <v>3326</v>
      </c>
      <c r="H10449" s="64" t="s">
        <v>3327</v>
      </c>
      <c r="I10449" s="64" t="s">
        <v>3328</v>
      </c>
      <c r="J10449" s="67">
        <v>1796.47</v>
      </c>
      <c r="K10449" s="62">
        <v>15226.37</v>
      </c>
      <c r="L10449" s="33" t="e">
        <f>HLOOKUP(B10449,#REF!,1,0)</f>
        <v>#REF!</v>
      </c>
      <c r="M10449" s="33" t="str">
        <f t="shared" si="655"/>
        <v>P&amp;L</v>
      </c>
    </row>
    <row r="10450" spans="1:13">
      <c r="A10450" s="33" t="str">
        <f t="shared" si="652"/>
        <v>SCL - Interest Expense</v>
      </c>
      <c r="B10450" s="33" t="str">
        <f t="shared" si="653"/>
        <v>SCL</v>
      </c>
      <c r="C10450" s="33" t="str">
        <f t="shared" si="654"/>
        <v>92401-7381</v>
      </c>
      <c r="D10450" s="64" t="s">
        <v>11706</v>
      </c>
      <c r="E10450" s="64" t="s">
        <v>3325</v>
      </c>
      <c r="F10450" s="64" t="s">
        <v>15</v>
      </c>
      <c r="G10450" s="64" t="s">
        <v>3326</v>
      </c>
      <c r="H10450" s="64" t="s">
        <v>3327</v>
      </c>
      <c r="I10450" s="64" t="s">
        <v>3328</v>
      </c>
      <c r="J10450" s="67">
        <v>1796.47</v>
      </c>
      <c r="K10450" s="62">
        <v>15226.37</v>
      </c>
      <c r="L10450" s="33" t="e">
        <f>HLOOKUP(B10450,#REF!,1,0)</f>
        <v>#REF!</v>
      </c>
      <c r="M10450" s="33" t="str">
        <f t="shared" si="655"/>
        <v>P&amp;L</v>
      </c>
    </row>
    <row r="10451" spans="1:13">
      <c r="A10451" s="33" t="str">
        <f t="shared" si="652"/>
        <v>SCL - Interest Expense</v>
      </c>
      <c r="B10451" s="33" t="str">
        <f t="shared" si="653"/>
        <v>SCL</v>
      </c>
      <c r="C10451" s="33" t="str">
        <f t="shared" si="654"/>
        <v>92401-7383</v>
      </c>
      <c r="D10451" s="64" t="s">
        <v>11707</v>
      </c>
      <c r="E10451" s="64" t="s">
        <v>3325</v>
      </c>
      <c r="F10451" s="64" t="s">
        <v>15</v>
      </c>
      <c r="G10451" s="64" t="s">
        <v>3326</v>
      </c>
      <c r="H10451" s="64" t="s">
        <v>3327</v>
      </c>
      <c r="I10451" s="64" t="s">
        <v>3328</v>
      </c>
      <c r="J10451" s="67">
        <v>1796.47</v>
      </c>
      <c r="K10451" s="62">
        <v>15226.37</v>
      </c>
      <c r="L10451" s="33" t="e">
        <f>HLOOKUP(B10451,#REF!,1,0)</f>
        <v>#REF!</v>
      </c>
      <c r="M10451" s="33" t="str">
        <f t="shared" si="655"/>
        <v>P&amp;L</v>
      </c>
    </row>
    <row r="10452" spans="1:13">
      <c r="A10452" s="33" t="str">
        <f t="shared" si="652"/>
        <v>SCL - Interest Expense</v>
      </c>
      <c r="B10452" s="33" t="str">
        <f t="shared" si="653"/>
        <v>SCL</v>
      </c>
      <c r="C10452" s="33" t="str">
        <f t="shared" si="654"/>
        <v>92401-7385</v>
      </c>
      <c r="D10452" s="64" t="s">
        <v>11708</v>
      </c>
      <c r="E10452" s="64" t="s">
        <v>3325</v>
      </c>
      <c r="F10452" s="64" t="s">
        <v>15</v>
      </c>
      <c r="G10452" s="64" t="s">
        <v>3326</v>
      </c>
      <c r="H10452" s="64" t="s">
        <v>3327</v>
      </c>
      <c r="I10452" s="64" t="s">
        <v>3328</v>
      </c>
      <c r="J10452" s="67">
        <v>1796.47</v>
      </c>
      <c r="K10452" s="62">
        <v>15226.37</v>
      </c>
      <c r="L10452" s="33" t="e">
        <f>HLOOKUP(B10452,#REF!,1,0)</f>
        <v>#REF!</v>
      </c>
      <c r="M10452" s="33" t="str">
        <f t="shared" si="655"/>
        <v>P&amp;L</v>
      </c>
    </row>
    <row r="10453" spans="1:13">
      <c r="A10453" s="33" t="str">
        <f t="shared" si="652"/>
        <v>SCL - Interest Expense</v>
      </c>
      <c r="B10453" s="33" t="str">
        <f t="shared" si="653"/>
        <v>SCL</v>
      </c>
      <c r="C10453" s="33" t="str">
        <f t="shared" si="654"/>
        <v>92401-7386</v>
      </c>
      <c r="D10453" s="64" t="s">
        <v>11709</v>
      </c>
      <c r="E10453" s="64" t="s">
        <v>3325</v>
      </c>
      <c r="F10453" s="64" t="s">
        <v>15</v>
      </c>
      <c r="G10453" s="64" t="s">
        <v>3326</v>
      </c>
      <c r="H10453" s="64" t="s">
        <v>3327</v>
      </c>
      <c r="I10453" s="64" t="s">
        <v>3328</v>
      </c>
      <c r="J10453" s="67">
        <v>1796.47</v>
      </c>
      <c r="K10453" s="62">
        <v>15226.37</v>
      </c>
      <c r="L10453" s="33" t="e">
        <f>HLOOKUP(B10453,#REF!,1,0)</f>
        <v>#REF!</v>
      </c>
      <c r="M10453" s="33" t="str">
        <f t="shared" si="655"/>
        <v>P&amp;L</v>
      </c>
    </row>
    <row r="10454" spans="1:13">
      <c r="A10454" s="33" t="str">
        <f t="shared" si="652"/>
        <v>SCL - Interest Expense</v>
      </c>
      <c r="B10454" s="33" t="str">
        <f t="shared" si="653"/>
        <v>SCL</v>
      </c>
      <c r="C10454" s="33" t="str">
        <f t="shared" si="654"/>
        <v>92401-7387</v>
      </c>
      <c r="D10454" s="64" t="s">
        <v>11710</v>
      </c>
      <c r="E10454" s="64" t="s">
        <v>3325</v>
      </c>
      <c r="F10454" s="64" t="s">
        <v>15</v>
      </c>
      <c r="G10454" s="64" t="s">
        <v>3326</v>
      </c>
      <c r="H10454" s="64" t="s">
        <v>3327</v>
      </c>
      <c r="I10454" s="64" t="s">
        <v>3328</v>
      </c>
      <c r="J10454" s="67">
        <v>1796.47</v>
      </c>
      <c r="K10454" s="62">
        <v>15226.37</v>
      </c>
      <c r="L10454" s="33" t="e">
        <f>HLOOKUP(B10454,#REF!,1,0)</f>
        <v>#REF!</v>
      </c>
      <c r="M10454" s="33" t="str">
        <f t="shared" si="655"/>
        <v>P&amp;L</v>
      </c>
    </row>
    <row r="10455" spans="1:13">
      <c r="A10455" s="33" t="str">
        <f t="shared" si="652"/>
        <v>SCL - Interest Expense</v>
      </c>
      <c r="B10455" s="33" t="str">
        <f t="shared" si="653"/>
        <v>SCL</v>
      </c>
      <c r="C10455" s="33" t="str">
        <f t="shared" si="654"/>
        <v>92401-7389</v>
      </c>
      <c r="D10455" s="64" t="s">
        <v>11711</v>
      </c>
      <c r="E10455" s="64" t="s">
        <v>3325</v>
      </c>
      <c r="F10455" s="64" t="s">
        <v>15</v>
      </c>
      <c r="G10455" s="64" t="s">
        <v>3326</v>
      </c>
      <c r="H10455" s="64" t="s">
        <v>3327</v>
      </c>
      <c r="I10455" s="64" t="s">
        <v>3328</v>
      </c>
      <c r="J10455" s="67">
        <v>1796.47</v>
      </c>
      <c r="K10455" s="62">
        <v>15226.37</v>
      </c>
      <c r="L10455" s="33" t="e">
        <f>HLOOKUP(B10455,#REF!,1,0)</f>
        <v>#REF!</v>
      </c>
      <c r="M10455" s="33" t="str">
        <f t="shared" si="655"/>
        <v>P&amp;L</v>
      </c>
    </row>
    <row r="10456" spans="1:13">
      <c r="A10456" s="33" t="str">
        <f t="shared" si="652"/>
        <v>SCL - Interest Expense</v>
      </c>
      <c r="B10456" s="33" t="str">
        <f t="shared" si="653"/>
        <v>SCL</v>
      </c>
      <c r="C10456" s="33" t="str">
        <f t="shared" si="654"/>
        <v>92401-7391</v>
      </c>
      <c r="D10456" s="64" t="s">
        <v>11712</v>
      </c>
      <c r="E10456" s="64" t="s">
        <v>3325</v>
      </c>
      <c r="F10456" s="64" t="s">
        <v>15</v>
      </c>
      <c r="G10456" s="64" t="s">
        <v>3326</v>
      </c>
      <c r="H10456" s="64" t="s">
        <v>3327</v>
      </c>
      <c r="I10456" s="64" t="s">
        <v>3328</v>
      </c>
      <c r="J10456" s="67">
        <v>1796.47</v>
      </c>
      <c r="K10456" s="62">
        <v>15226.37</v>
      </c>
      <c r="L10456" s="33" t="e">
        <f>HLOOKUP(B10456,#REF!,1,0)</f>
        <v>#REF!</v>
      </c>
      <c r="M10456" s="33" t="str">
        <f t="shared" si="655"/>
        <v>P&amp;L</v>
      </c>
    </row>
    <row r="10457" spans="1:13">
      <c r="A10457" s="33" t="str">
        <f t="shared" si="652"/>
        <v>SCL - Interest Expense</v>
      </c>
      <c r="B10457" s="33" t="str">
        <f t="shared" si="653"/>
        <v>SCL</v>
      </c>
      <c r="C10457" s="33" t="str">
        <f t="shared" si="654"/>
        <v>92401-7393</v>
      </c>
      <c r="D10457" s="64" t="s">
        <v>11713</v>
      </c>
      <c r="E10457" s="64" t="s">
        <v>3325</v>
      </c>
      <c r="F10457" s="64" t="s">
        <v>15</v>
      </c>
      <c r="G10457" s="64" t="s">
        <v>3326</v>
      </c>
      <c r="H10457" s="64" t="s">
        <v>3327</v>
      </c>
      <c r="I10457" s="64" t="s">
        <v>3328</v>
      </c>
      <c r="J10457" s="67">
        <v>1796.47</v>
      </c>
      <c r="K10457" s="62">
        <v>15226.37</v>
      </c>
      <c r="L10457" s="33" t="e">
        <f>HLOOKUP(B10457,#REF!,1,0)</f>
        <v>#REF!</v>
      </c>
      <c r="M10457" s="33" t="str">
        <f t="shared" si="655"/>
        <v>P&amp;L</v>
      </c>
    </row>
    <row r="10458" spans="1:13">
      <c r="A10458" s="33" t="str">
        <f t="shared" si="652"/>
        <v>SCL - Interest Expense</v>
      </c>
      <c r="B10458" s="33" t="str">
        <f t="shared" si="653"/>
        <v>SCL</v>
      </c>
      <c r="C10458" s="33" t="str">
        <f t="shared" si="654"/>
        <v>92401-7394</v>
      </c>
      <c r="D10458" s="64" t="s">
        <v>11714</v>
      </c>
      <c r="E10458" s="64" t="s">
        <v>3325</v>
      </c>
      <c r="F10458" s="64" t="s">
        <v>15</v>
      </c>
      <c r="G10458" s="64" t="s">
        <v>3326</v>
      </c>
      <c r="H10458" s="64" t="s">
        <v>3327</v>
      </c>
      <c r="I10458" s="64" t="s">
        <v>3328</v>
      </c>
      <c r="J10458" s="67">
        <v>1796.47</v>
      </c>
      <c r="K10458" s="62">
        <v>15226.37</v>
      </c>
      <c r="L10458" s="33" t="e">
        <f>HLOOKUP(B10458,#REF!,1,0)</f>
        <v>#REF!</v>
      </c>
      <c r="M10458" s="33" t="str">
        <f t="shared" si="655"/>
        <v>P&amp;L</v>
      </c>
    </row>
    <row r="10459" spans="1:13">
      <c r="A10459" s="33" t="str">
        <f t="shared" si="652"/>
        <v>SCL - Interest Expense</v>
      </c>
      <c r="B10459" s="33" t="str">
        <f t="shared" si="653"/>
        <v>SCL</v>
      </c>
      <c r="C10459" s="33" t="str">
        <f t="shared" si="654"/>
        <v>92401-7396</v>
      </c>
      <c r="D10459" s="64" t="s">
        <v>11715</v>
      </c>
      <c r="E10459" s="64" t="s">
        <v>3325</v>
      </c>
      <c r="F10459" s="64" t="s">
        <v>15</v>
      </c>
      <c r="G10459" s="64" t="s">
        <v>3326</v>
      </c>
      <c r="H10459" s="64" t="s">
        <v>3327</v>
      </c>
      <c r="I10459" s="64" t="s">
        <v>3328</v>
      </c>
      <c r="J10459" s="67">
        <v>1796.47</v>
      </c>
      <c r="K10459" s="62">
        <v>15226.36</v>
      </c>
      <c r="L10459" s="33" t="e">
        <f>HLOOKUP(B10459,#REF!,1,0)</f>
        <v>#REF!</v>
      </c>
      <c r="M10459" s="33" t="str">
        <f t="shared" si="655"/>
        <v>P&amp;L</v>
      </c>
    </row>
    <row r="10460" spans="1:13">
      <c r="A10460" s="33" t="str">
        <f t="shared" si="652"/>
        <v>SCL - Interest Expense</v>
      </c>
      <c r="B10460" s="33" t="str">
        <f t="shared" si="653"/>
        <v>SCL</v>
      </c>
      <c r="C10460" s="33" t="str">
        <f t="shared" si="654"/>
        <v>92401-7397</v>
      </c>
      <c r="D10460" s="64" t="s">
        <v>11716</v>
      </c>
      <c r="E10460" s="64" t="s">
        <v>3325</v>
      </c>
      <c r="F10460" s="64" t="s">
        <v>15</v>
      </c>
      <c r="G10460" s="64" t="s">
        <v>3326</v>
      </c>
      <c r="H10460" s="64" t="s">
        <v>3327</v>
      </c>
      <c r="I10460" s="64" t="s">
        <v>3328</v>
      </c>
      <c r="J10460" s="67">
        <v>1796.47</v>
      </c>
      <c r="K10460" s="62">
        <v>15226.36</v>
      </c>
      <c r="L10460" s="33" t="e">
        <f>HLOOKUP(B10460,#REF!,1,0)</f>
        <v>#REF!</v>
      </c>
      <c r="M10460" s="33" t="str">
        <f t="shared" si="655"/>
        <v>P&amp;L</v>
      </c>
    </row>
    <row r="10461" spans="1:13">
      <c r="A10461" s="33" t="str">
        <f t="shared" si="652"/>
        <v>SCL - Interest Expense</v>
      </c>
      <c r="B10461" s="33" t="str">
        <f t="shared" si="653"/>
        <v>SCL</v>
      </c>
      <c r="C10461" s="33" t="str">
        <f t="shared" si="654"/>
        <v>92401-7398</v>
      </c>
      <c r="D10461" s="64" t="s">
        <v>11717</v>
      </c>
      <c r="E10461" s="64" t="s">
        <v>3325</v>
      </c>
      <c r="F10461" s="64" t="s">
        <v>15</v>
      </c>
      <c r="G10461" s="64" t="s">
        <v>3326</v>
      </c>
      <c r="H10461" s="64" t="s">
        <v>3327</v>
      </c>
      <c r="I10461" s="64" t="s">
        <v>3328</v>
      </c>
      <c r="J10461" s="67">
        <v>1796.47</v>
      </c>
      <c r="K10461" s="62">
        <v>15226.36</v>
      </c>
      <c r="L10461" s="33" t="e">
        <f>HLOOKUP(B10461,#REF!,1,0)</f>
        <v>#REF!</v>
      </c>
      <c r="M10461" s="33" t="str">
        <f t="shared" si="655"/>
        <v>P&amp;L</v>
      </c>
    </row>
    <row r="10462" spans="1:13">
      <c r="A10462" s="33" t="str">
        <f t="shared" si="652"/>
        <v>SCL - Interest Expense</v>
      </c>
      <c r="B10462" s="33" t="str">
        <f t="shared" si="653"/>
        <v>SCL</v>
      </c>
      <c r="C10462" s="33" t="str">
        <f t="shared" si="654"/>
        <v>92401-7400</v>
      </c>
      <c r="D10462" s="64" t="s">
        <v>11718</v>
      </c>
      <c r="E10462" s="64" t="s">
        <v>3325</v>
      </c>
      <c r="F10462" s="64" t="s">
        <v>15</v>
      </c>
      <c r="G10462" s="64" t="s">
        <v>3326</v>
      </c>
      <c r="H10462" s="64" t="s">
        <v>3327</v>
      </c>
      <c r="I10462" s="64" t="s">
        <v>3328</v>
      </c>
      <c r="J10462" s="67">
        <v>1796.47</v>
      </c>
      <c r="K10462" s="62">
        <v>15226.36</v>
      </c>
      <c r="L10462" s="33" t="e">
        <f>HLOOKUP(B10462,#REF!,1,0)</f>
        <v>#REF!</v>
      </c>
      <c r="M10462" s="33" t="str">
        <f t="shared" si="655"/>
        <v>P&amp;L</v>
      </c>
    </row>
    <row r="10463" spans="1:13">
      <c r="A10463" s="33" t="str">
        <f t="shared" si="652"/>
        <v>SCL - Interest Expense</v>
      </c>
      <c r="B10463" s="33" t="str">
        <f t="shared" si="653"/>
        <v>SCL</v>
      </c>
      <c r="C10463" s="33" t="str">
        <f t="shared" si="654"/>
        <v>92401-7401</v>
      </c>
      <c r="D10463" s="64" t="s">
        <v>11719</v>
      </c>
      <c r="E10463" s="64" t="s">
        <v>3325</v>
      </c>
      <c r="F10463" s="64" t="s">
        <v>15</v>
      </c>
      <c r="G10463" s="64" t="s">
        <v>3326</v>
      </c>
      <c r="H10463" s="64" t="s">
        <v>3327</v>
      </c>
      <c r="I10463" s="64" t="s">
        <v>3328</v>
      </c>
      <c r="J10463" s="67">
        <v>1796.47</v>
      </c>
      <c r="K10463" s="62">
        <v>15226.35</v>
      </c>
      <c r="L10463" s="33" t="e">
        <f>HLOOKUP(B10463,#REF!,1,0)</f>
        <v>#REF!</v>
      </c>
      <c r="M10463" s="33" t="str">
        <f t="shared" si="655"/>
        <v>P&amp;L</v>
      </c>
    </row>
    <row r="10464" spans="1:13">
      <c r="A10464" s="33" t="str">
        <f t="shared" si="652"/>
        <v>SCL - Interest Expense</v>
      </c>
      <c r="B10464" s="33" t="str">
        <f t="shared" si="653"/>
        <v>SCL</v>
      </c>
      <c r="C10464" s="33" t="str">
        <f t="shared" si="654"/>
        <v>92401-7402</v>
      </c>
      <c r="D10464" s="64" t="s">
        <v>11720</v>
      </c>
      <c r="E10464" s="64" t="s">
        <v>3325</v>
      </c>
      <c r="F10464" s="64" t="s">
        <v>15</v>
      </c>
      <c r="G10464" s="64" t="s">
        <v>3326</v>
      </c>
      <c r="H10464" s="64" t="s">
        <v>3327</v>
      </c>
      <c r="I10464" s="64" t="s">
        <v>3328</v>
      </c>
      <c r="J10464" s="67">
        <v>1796.47</v>
      </c>
      <c r="K10464" s="62">
        <v>15226.35</v>
      </c>
      <c r="L10464" s="33" t="e">
        <f>HLOOKUP(B10464,#REF!,1,0)</f>
        <v>#REF!</v>
      </c>
      <c r="M10464" s="33" t="str">
        <f t="shared" si="655"/>
        <v>P&amp;L</v>
      </c>
    </row>
    <row r="10465" spans="1:13">
      <c r="A10465" s="33" t="str">
        <f t="shared" si="652"/>
        <v>SCL - Interest Expense</v>
      </c>
      <c r="B10465" s="33" t="str">
        <f t="shared" si="653"/>
        <v>SCL</v>
      </c>
      <c r="C10465" s="33" t="str">
        <f t="shared" si="654"/>
        <v>92401-7403</v>
      </c>
      <c r="D10465" s="64" t="s">
        <v>11721</v>
      </c>
      <c r="E10465" s="64" t="s">
        <v>3325</v>
      </c>
      <c r="F10465" s="64" t="s">
        <v>15</v>
      </c>
      <c r="G10465" s="64" t="s">
        <v>3326</v>
      </c>
      <c r="H10465" s="64" t="s">
        <v>3327</v>
      </c>
      <c r="I10465" s="64" t="s">
        <v>3328</v>
      </c>
      <c r="J10465" s="67">
        <v>1796.47</v>
      </c>
      <c r="K10465" s="62">
        <v>15226.35</v>
      </c>
      <c r="L10465" s="33" t="e">
        <f>HLOOKUP(B10465,#REF!,1,0)</f>
        <v>#REF!</v>
      </c>
      <c r="M10465" s="33" t="str">
        <f t="shared" si="655"/>
        <v>P&amp;L</v>
      </c>
    </row>
    <row r="10466" spans="1:13">
      <c r="A10466" s="33" t="str">
        <f t="shared" si="652"/>
        <v>SCL - Interest Expense</v>
      </c>
      <c r="B10466" s="33" t="str">
        <f t="shared" si="653"/>
        <v>SCL</v>
      </c>
      <c r="C10466" s="33" t="str">
        <f t="shared" si="654"/>
        <v>92401-7489</v>
      </c>
      <c r="D10466" s="64" t="s">
        <v>11722</v>
      </c>
      <c r="E10466" s="64" t="s">
        <v>3325</v>
      </c>
      <c r="F10466" s="64" t="s">
        <v>15</v>
      </c>
      <c r="G10466" s="64" t="s">
        <v>3326</v>
      </c>
      <c r="H10466" s="64" t="s">
        <v>3327</v>
      </c>
      <c r="I10466" s="64" t="s">
        <v>3328</v>
      </c>
      <c r="J10466" s="67">
        <v>1796.47</v>
      </c>
      <c r="K10466" s="62">
        <v>15226.35</v>
      </c>
      <c r="L10466" s="33" t="e">
        <f>HLOOKUP(B10466,#REF!,1,0)</f>
        <v>#REF!</v>
      </c>
      <c r="M10466" s="33" t="str">
        <f t="shared" si="655"/>
        <v>P&amp;L</v>
      </c>
    </row>
    <row r="10467" spans="1:13">
      <c r="A10467" s="33" t="str">
        <f t="shared" si="652"/>
        <v>SCL - Interest Expense</v>
      </c>
      <c r="B10467" s="33" t="str">
        <f t="shared" si="653"/>
        <v>SCL</v>
      </c>
      <c r="C10467" s="33" t="str">
        <f t="shared" si="654"/>
        <v>92401-7491</v>
      </c>
      <c r="D10467" s="64" t="s">
        <v>11723</v>
      </c>
      <c r="E10467" s="64" t="s">
        <v>3325</v>
      </c>
      <c r="F10467" s="64" t="s">
        <v>15</v>
      </c>
      <c r="G10467" s="64" t="s">
        <v>3326</v>
      </c>
      <c r="H10467" s="64" t="s">
        <v>3327</v>
      </c>
      <c r="I10467" s="64" t="s">
        <v>3328</v>
      </c>
      <c r="J10467" s="67">
        <v>1796.47</v>
      </c>
      <c r="K10467" s="62">
        <v>15226.35</v>
      </c>
      <c r="L10467" s="33" t="e">
        <f>HLOOKUP(B10467,#REF!,1,0)</f>
        <v>#REF!</v>
      </c>
      <c r="M10467" s="33" t="str">
        <f t="shared" si="655"/>
        <v>P&amp;L</v>
      </c>
    </row>
    <row r="10468" spans="1:13">
      <c r="A10468" s="33" t="str">
        <f t="shared" si="652"/>
        <v>SCL - Interest Expense</v>
      </c>
      <c r="B10468" s="33" t="str">
        <f t="shared" si="653"/>
        <v>SCL</v>
      </c>
      <c r="C10468" s="33" t="str">
        <f t="shared" si="654"/>
        <v>92401-7492</v>
      </c>
      <c r="D10468" s="64" t="s">
        <v>11724</v>
      </c>
      <c r="E10468" s="64" t="s">
        <v>3325</v>
      </c>
      <c r="F10468" s="64" t="s">
        <v>15</v>
      </c>
      <c r="G10468" s="64" t="s">
        <v>3326</v>
      </c>
      <c r="H10468" s="64" t="s">
        <v>3327</v>
      </c>
      <c r="I10468" s="64" t="s">
        <v>3328</v>
      </c>
      <c r="J10468" s="67">
        <v>1796.47</v>
      </c>
      <c r="K10468" s="62">
        <v>15226.35</v>
      </c>
      <c r="L10468" s="33" t="e">
        <f>HLOOKUP(B10468,#REF!,1,0)</f>
        <v>#REF!</v>
      </c>
      <c r="M10468" s="33" t="str">
        <f t="shared" si="655"/>
        <v>P&amp;L</v>
      </c>
    </row>
    <row r="10469" spans="1:13">
      <c r="A10469" s="33" t="str">
        <f t="shared" si="652"/>
        <v>SCL - Interest Expense</v>
      </c>
      <c r="B10469" s="33" t="str">
        <f t="shared" si="653"/>
        <v>SCL</v>
      </c>
      <c r="C10469" s="33" t="str">
        <f t="shared" si="654"/>
        <v>92401-7493</v>
      </c>
      <c r="D10469" s="64" t="s">
        <v>11725</v>
      </c>
      <c r="E10469" s="64" t="s">
        <v>3325</v>
      </c>
      <c r="F10469" s="64" t="s">
        <v>15</v>
      </c>
      <c r="G10469" s="64" t="s">
        <v>3326</v>
      </c>
      <c r="H10469" s="64" t="s">
        <v>3327</v>
      </c>
      <c r="I10469" s="64" t="s">
        <v>3328</v>
      </c>
      <c r="J10469" s="67">
        <v>1796.47</v>
      </c>
      <c r="K10469" s="62">
        <v>15226.35</v>
      </c>
      <c r="L10469" s="33" t="e">
        <f>HLOOKUP(B10469,#REF!,1,0)</f>
        <v>#REF!</v>
      </c>
      <c r="M10469" s="33" t="str">
        <f t="shared" si="655"/>
        <v>P&amp;L</v>
      </c>
    </row>
    <row r="10470" spans="1:13">
      <c r="A10470" s="33" t="str">
        <f t="shared" si="652"/>
        <v>SCL - Interest Expense</v>
      </c>
      <c r="B10470" s="33" t="str">
        <f t="shared" si="653"/>
        <v>SCL</v>
      </c>
      <c r="C10470" s="33" t="str">
        <f t="shared" si="654"/>
        <v>92401-7494</v>
      </c>
      <c r="D10470" s="64" t="s">
        <v>11726</v>
      </c>
      <c r="E10470" s="64" t="s">
        <v>3325</v>
      </c>
      <c r="F10470" s="64" t="s">
        <v>15</v>
      </c>
      <c r="G10470" s="64" t="s">
        <v>3326</v>
      </c>
      <c r="H10470" s="64" t="s">
        <v>3327</v>
      </c>
      <c r="I10470" s="64" t="s">
        <v>3328</v>
      </c>
      <c r="J10470" s="67">
        <v>1796.47</v>
      </c>
      <c r="K10470" s="62">
        <v>15226.34</v>
      </c>
      <c r="L10470" s="33" t="e">
        <f>HLOOKUP(B10470,#REF!,1,0)</f>
        <v>#REF!</v>
      </c>
      <c r="M10470" s="33" t="str">
        <f t="shared" si="655"/>
        <v>P&amp;L</v>
      </c>
    </row>
    <row r="10471" spans="1:13">
      <c r="A10471" s="33" t="str">
        <f t="shared" si="652"/>
        <v>SCL - Interest Expense</v>
      </c>
      <c r="B10471" s="33" t="str">
        <f t="shared" si="653"/>
        <v>SCL</v>
      </c>
      <c r="C10471" s="33" t="str">
        <f t="shared" si="654"/>
        <v>92401-7625</v>
      </c>
      <c r="D10471" s="64" t="s">
        <v>11727</v>
      </c>
      <c r="E10471" s="64" t="s">
        <v>3325</v>
      </c>
      <c r="F10471" s="64" t="s">
        <v>15</v>
      </c>
      <c r="G10471" s="64" t="s">
        <v>3326</v>
      </c>
      <c r="H10471" s="64" t="s">
        <v>3327</v>
      </c>
      <c r="I10471" s="64" t="s">
        <v>3328</v>
      </c>
      <c r="J10471" s="67">
        <v>1796.47</v>
      </c>
      <c r="K10471" s="62">
        <v>15226.34</v>
      </c>
      <c r="L10471" s="33" t="e">
        <f>HLOOKUP(B10471,#REF!,1,0)</f>
        <v>#REF!</v>
      </c>
      <c r="M10471" s="33" t="str">
        <f t="shared" si="655"/>
        <v>P&amp;L</v>
      </c>
    </row>
    <row r="10472" spans="1:13">
      <c r="A10472" s="33" t="str">
        <f t="shared" si="652"/>
        <v>SCL - Interest Expense</v>
      </c>
      <c r="B10472" s="33" t="str">
        <f t="shared" si="653"/>
        <v>SCL</v>
      </c>
      <c r="C10472" s="33" t="str">
        <f t="shared" si="654"/>
        <v>92401-8150</v>
      </c>
      <c r="D10472" s="64" t="s">
        <v>11728</v>
      </c>
      <c r="E10472" s="64" t="s">
        <v>3325</v>
      </c>
      <c r="F10472" s="64" t="s">
        <v>15</v>
      </c>
      <c r="G10472" s="64" t="s">
        <v>3326</v>
      </c>
      <c r="H10472" s="64" t="s">
        <v>3327</v>
      </c>
      <c r="I10472" s="64" t="s">
        <v>3328</v>
      </c>
      <c r="J10472" s="67">
        <v>1796.04</v>
      </c>
      <c r="K10472" s="62">
        <v>15225.85</v>
      </c>
      <c r="L10472" s="33" t="e">
        <f>HLOOKUP(B10472,#REF!,1,0)</f>
        <v>#REF!</v>
      </c>
      <c r="M10472" s="33" t="str">
        <f t="shared" si="655"/>
        <v>P&amp;L</v>
      </c>
    </row>
    <row r="10473" spans="1:13">
      <c r="A10473" s="33" t="str">
        <f t="shared" si="652"/>
        <v>SCL - Other Income/Expense</v>
      </c>
      <c r="B10473" s="33" t="str">
        <f t="shared" si="653"/>
        <v>SCL</v>
      </c>
      <c r="C10473" s="33" t="str">
        <f t="shared" si="654"/>
        <v>92801-0000</v>
      </c>
      <c r="D10473" s="64" t="s">
        <v>11729</v>
      </c>
      <c r="E10473" s="64" t="s">
        <v>5155</v>
      </c>
      <c r="F10473" s="64" t="s">
        <v>15</v>
      </c>
      <c r="G10473" s="64" t="s">
        <v>3017</v>
      </c>
      <c r="H10473" s="64" t="s">
        <v>3300</v>
      </c>
      <c r="I10473" s="64" t="s">
        <v>5156</v>
      </c>
      <c r="J10473" s="67">
        <v>8439.02</v>
      </c>
      <c r="K10473" s="62">
        <v>48593.37</v>
      </c>
      <c r="L10473" s="33" t="e">
        <f>HLOOKUP(B10473,#REF!,1,0)</f>
        <v>#REF!</v>
      </c>
      <c r="M10473" s="33" t="str">
        <f t="shared" si="655"/>
        <v>P&amp;L</v>
      </c>
    </row>
    <row r="10474" spans="1:13">
      <c r="A10474" s="33" t="str">
        <f t="shared" si="652"/>
        <v>SCL - Other Income/Expense</v>
      </c>
      <c r="B10474" s="33" t="str">
        <f t="shared" si="653"/>
        <v>SCL</v>
      </c>
      <c r="C10474" s="33" t="str">
        <f t="shared" si="654"/>
        <v>92901-0000</v>
      </c>
      <c r="D10474" s="64" t="s">
        <v>11730</v>
      </c>
      <c r="E10474" s="64" t="s">
        <v>3333</v>
      </c>
      <c r="F10474" s="64" t="s">
        <v>15</v>
      </c>
      <c r="G10474" s="64" t="s">
        <v>3017</v>
      </c>
      <c r="H10474" s="64" t="s">
        <v>3300</v>
      </c>
      <c r="I10474" s="64" t="s">
        <v>3334</v>
      </c>
      <c r="J10474" s="67">
        <v>0</v>
      </c>
      <c r="K10474" s="62">
        <v>-11951</v>
      </c>
      <c r="L10474" s="33" t="e">
        <f>HLOOKUP(B10474,#REF!,1,0)</f>
        <v>#REF!</v>
      </c>
      <c r="M10474" s="33" t="str">
        <f t="shared" si="655"/>
        <v>P&amp;L</v>
      </c>
    </row>
    <row r="10475" spans="1:13">
      <c r="A10475" s="33" t="str">
        <f t="shared" si="652"/>
        <v>SCL - Other Income/Expense</v>
      </c>
      <c r="B10475" s="33" t="str">
        <f t="shared" si="653"/>
        <v>SCL</v>
      </c>
      <c r="C10475" s="33" t="str">
        <f t="shared" si="654"/>
        <v>92901-7351</v>
      </c>
      <c r="D10475" s="64" t="s">
        <v>11731</v>
      </c>
      <c r="E10475" s="64" t="s">
        <v>3333</v>
      </c>
      <c r="F10475" s="64" t="s">
        <v>15</v>
      </c>
      <c r="G10475" s="64" t="s">
        <v>3017</v>
      </c>
      <c r="H10475" s="64" t="s">
        <v>3300</v>
      </c>
      <c r="I10475" s="64" t="s">
        <v>3334</v>
      </c>
      <c r="J10475" s="67">
        <v>3121.66</v>
      </c>
      <c r="K10475" s="62">
        <v>66285.89</v>
      </c>
      <c r="L10475" s="33" t="e">
        <f>HLOOKUP(B10475,#REF!,1,0)</f>
        <v>#REF!</v>
      </c>
      <c r="M10475" s="33" t="str">
        <f t="shared" si="655"/>
        <v>P&amp;L</v>
      </c>
    </row>
    <row r="10476" spans="1:13">
      <c r="A10476" s="33" t="str">
        <f t="shared" si="652"/>
        <v>SCL - Other Income/Expense</v>
      </c>
      <c r="B10476" s="33" t="str">
        <f t="shared" si="653"/>
        <v>SCL</v>
      </c>
      <c r="C10476" s="33" t="str">
        <f t="shared" si="654"/>
        <v>92901-7352</v>
      </c>
      <c r="D10476" s="64" t="s">
        <v>11732</v>
      </c>
      <c r="E10476" s="64" t="s">
        <v>3333</v>
      </c>
      <c r="F10476" s="64" t="s">
        <v>15</v>
      </c>
      <c r="G10476" s="64" t="s">
        <v>3017</v>
      </c>
      <c r="H10476" s="64" t="s">
        <v>3300</v>
      </c>
      <c r="I10476" s="64" t="s">
        <v>3334</v>
      </c>
      <c r="J10476" s="67">
        <v>2790.7</v>
      </c>
      <c r="K10476" s="62">
        <v>58680.53</v>
      </c>
      <c r="L10476" s="33" t="e">
        <f>HLOOKUP(B10476,#REF!,1,0)</f>
        <v>#REF!</v>
      </c>
      <c r="M10476" s="33" t="str">
        <f t="shared" si="655"/>
        <v>P&amp;L</v>
      </c>
    </row>
    <row r="10477" spans="1:13">
      <c r="A10477" s="33" t="str">
        <f t="shared" si="652"/>
        <v>SCL - Other Income/Expense</v>
      </c>
      <c r="B10477" s="33" t="str">
        <f t="shared" si="653"/>
        <v>SCL</v>
      </c>
      <c r="C10477" s="33" t="str">
        <f t="shared" si="654"/>
        <v>92901-7355</v>
      </c>
      <c r="D10477" s="64" t="s">
        <v>11733</v>
      </c>
      <c r="E10477" s="64" t="s">
        <v>3333</v>
      </c>
      <c r="F10477" s="64" t="s">
        <v>15</v>
      </c>
      <c r="G10477" s="64" t="s">
        <v>3017</v>
      </c>
      <c r="H10477" s="64" t="s">
        <v>3300</v>
      </c>
      <c r="I10477" s="64" t="s">
        <v>3334</v>
      </c>
      <c r="J10477" s="67">
        <v>2974.87</v>
      </c>
      <c r="K10477" s="62">
        <v>66429.62</v>
      </c>
      <c r="L10477" s="33" t="e">
        <f>HLOOKUP(B10477,#REF!,1,0)</f>
        <v>#REF!</v>
      </c>
      <c r="M10477" s="33" t="str">
        <f t="shared" si="655"/>
        <v>P&amp;L</v>
      </c>
    </row>
    <row r="10478" spans="1:13">
      <c r="A10478" s="33" t="str">
        <f t="shared" si="652"/>
        <v>SCL - Other Income/Expense</v>
      </c>
      <c r="B10478" s="33" t="str">
        <f t="shared" si="653"/>
        <v>SCL</v>
      </c>
      <c r="C10478" s="33" t="str">
        <f t="shared" si="654"/>
        <v>92901-7356</v>
      </c>
      <c r="D10478" s="64" t="s">
        <v>11734</v>
      </c>
      <c r="E10478" s="64" t="s">
        <v>3333</v>
      </c>
      <c r="F10478" s="64" t="s">
        <v>15</v>
      </c>
      <c r="G10478" s="64" t="s">
        <v>3017</v>
      </c>
      <c r="H10478" s="64" t="s">
        <v>3300</v>
      </c>
      <c r="I10478" s="64" t="s">
        <v>3334</v>
      </c>
      <c r="J10478" s="67">
        <v>0</v>
      </c>
      <c r="K10478" s="62">
        <v>4603.35</v>
      </c>
      <c r="L10478" s="33" t="e">
        <f>HLOOKUP(B10478,#REF!,1,0)</f>
        <v>#REF!</v>
      </c>
      <c r="M10478" s="33" t="str">
        <f t="shared" si="655"/>
        <v>P&amp;L</v>
      </c>
    </row>
    <row r="10479" spans="1:13">
      <c r="A10479" s="33" t="str">
        <f t="shared" si="652"/>
        <v>SCL - Other Income/Expense</v>
      </c>
      <c r="B10479" s="33" t="str">
        <f t="shared" si="653"/>
        <v>SCL</v>
      </c>
      <c r="C10479" s="33" t="str">
        <f t="shared" si="654"/>
        <v>92901-7359</v>
      </c>
      <c r="D10479" s="64" t="s">
        <v>11735</v>
      </c>
      <c r="E10479" s="64" t="s">
        <v>3333</v>
      </c>
      <c r="F10479" s="64" t="s">
        <v>15</v>
      </c>
      <c r="G10479" s="64" t="s">
        <v>3017</v>
      </c>
      <c r="H10479" s="64" t="s">
        <v>3300</v>
      </c>
      <c r="I10479" s="64" t="s">
        <v>3334</v>
      </c>
      <c r="J10479" s="67">
        <v>2517.67</v>
      </c>
      <c r="K10479" s="62">
        <v>52855.03</v>
      </c>
      <c r="L10479" s="33" t="e">
        <f>HLOOKUP(B10479,#REF!,1,0)</f>
        <v>#REF!</v>
      </c>
      <c r="M10479" s="33" t="str">
        <f t="shared" si="655"/>
        <v>P&amp;L</v>
      </c>
    </row>
    <row r="10480" spans="1:13">
      <c r="A10480" s="33" t="str">
        <f t="shared" si="652"/>
        <v>SCL - Other Income/Expense</v>
      </c>
      <c r="B10480" s="33" t="str">
        <f t="shared" si="653"/>
        <v>SCL</v>
      </c>
      <c r="C10480" s="33" t="str">
        <f t="shared" si="654"/>
        <v>92901-7360</v>
      </c>
      <c r="D10480" s="64" t="s">
        <v>11736</v>
      </c>
      <c r="E10480" s="64" t="s">
        <v>3333</v>
      </c>
      <c r="F10480" s="64" t="s">
        <v>15</v>
      </c>
      <c r="G10480" s="64" t="s">
        <v>3017</v>
      </c>
      <c r="H10480" s="64" t="s">
        <v>3300</v>
      </c>
      <c r="I10480" s="64" t="s">
        <v>3334</v>
      </c>
      <c r="J10480" s="67">
        <v>3756.11</v>
      </c>
      <c r="K10480" s="62">
        <v>72673.64</v>
      </c>
      <c r="L10480" s="33" t="e">
        <f>HLOOKUP(B10480,#REF!,1,0)</f>
        <v>#REF!</v>
      </c>
      <c r="M10480" s="33" t="str">
        <f t="shared" si="655"/>
        <v>P&amp;L</v>
      </c>
    </row>
    <row r="10481" spans="1:13">
      <c r="A10481" s="33" t="str">
        <f t="shared" si="652"/>
        <v>SCL - Other Income/Expense</v>
      </c>
      <c r="B10481" s="33" t="str">
        <f t="shared" si="653"/>
        <v>SCL</v>
      </c>
      <c r="C10481" s="33" t="str">
        <f t="shared" si="654"/>
        <v>92901-7361</v>
      </c>
      <c r="D10481" s="64" t="s">
        <v>11737</v>
      </c>
      <c r="E10481" s="64" t="s">
        <v>3333</v>
      </c>
      <c r="F10481" s="64" t="s">
        <v>15</v>
      </c>
      <c r="G10481" s="64" t="s">
        <v>3017</v>
      </c>
      <c r="H10481" s="64" t="s">
        <v>3300</v>
      </c>
      <c r="I10481" s="64" t="s">
        <v>3334</v>
      </c>
      <c r="J10481" s="67">
        <v>3233.79</v>
      </c>
      <c r="K10481" s="62">
        <v>70548.07</v>
      </c>
      <c r="L10481" s="33" t="e">
        <f>HLOOKUP(B10481,#REF!,1,0)</f>
        <v>#REF!</v>
      </c>
      <c r="M10481" s="33" t="str">
        <f t="shared" si="655"/>
        <v>P&amp;L</v>
      </c>
    </row>
    <row r="10482" spans="1:13">
      <c r="A10482" s="33" t="str">
        <f t="shared" si="652"/>
        <v>SCL - Other Income/Expense</v>
      </c>
      <c r="B10482" s="33" t="str">
        <f t="shared" si="653"/>
        <v>SCL</v>
      </c>
      <c r="C10482" s="33" t="str">
        <f t="shared" si="654"/>
        <v>92901-7362</v>
      </c>
      <c r="D10482" s="64" t="s">
        <v>11738</v>
      </c>
      <c r="E10482" s="64" t="s">
        <v>3333</v>
      </c>
      <c r="F10482" s="64" t="s">
        <v>15</v>
      </c>
      <c r="G10482" s="64" t="s">
        <v>3017</v>
      </c>
      <c r="H10482" s="64" t="s">
        <v>3300</v>
      </c>
      <c r="I10482" s="64" t="s">
        <v>3334</v>
      </c>
      <c r="J10482" s="67">
        <v>2079.11</v>
      </c>
      <c r="K10482" s="62">
        <v>44239.02</v>
      </c>
      <c r="L10482" s="33" t="e">
        <f>HLOOKUP(B10482,#REF!,1,0)</f>
        <v>#REF!</v>
      </c>
      <c r="M10482" s="33" t="str">
        <f t="shared" si="655"/>
        <v>P&amp;L</v>
      </c>
    </row>
    <row r="10483" spans="1:13">
      <c r="A10483" s="33" t="str">
        <f t="shared" si="652"/>
        <v>SCL - Other Income/Expense</v>
      </c>
      <c r="B10483" s="33" t="str">
        <f t="shared" si="653"/>
        <v>SCL</v>
      </c>
      <c r="C10483" s="33" t="str">
        <f t="shared" si="654"/>
        <v>92901-7363</v>
      </c>
      <c r="D10483" s="64" t="s">
        <v>11739</v>
      </c>
      <c r="E10483" s="64" t="s">
        <v>3333</v>
      </c>
      <c r="F10483" s="64" t="s">
        <v>15</v>
      </c>
      <c r="G10483" s="64" t="s">
        <v>3017</v>
      </c>
      <c r="H10483" s="64" t="s">
        <v>3300</v>
      </c>
      <c r="I10483" s="64" t="s">
        <v>3334</v>
      </c>
      <c r="J10483" s="67">
        <v>2486.08</v>
      </c>
      <c r="K10483" s="62">
        <v>53837.97</v>
      </c>
      <c r="L10483" s="33" t="e">
        <f>HLOOKUP(B10483,#REF!,1,0)</f>
        <v>#REF!</v>
      </c>
      <c r="M10483" s="33" t="str">
        <f t="shared" si="655"/>
        <v>P&amp;L</v>
      </c>
    </row>
    <row r="10484" spans="1:13">
      <c r="A10484" s="33" t="str">
        <f t="shared" si="652"/>
        <v>SCL - Other Income/Expense</v>
      </c>
      <c r="B10484" s="33" t="str">
        <f t="shared" si="653"/>
        <v>SCL</v>
      </c>
      <c r="C10484" s="33" t="str">
        <f t="shared" si="654"/>
        <v>92901-7364</v>
      </c>
      <c r="D10484" s="64" t="s">
        <v>11740</v>
      </c>
      <c r="E10484" s="64" t="s">
        <v>3333</v>
      </c>
      <c r="F10484" s="64" t="s">
        <v>15</v>
      </c>
      <c r="G10484" s="64" t="s">
        <v>3017</v>
      </c>
      <c r="H10484" s="64" t="s">
        <v>3300</v>
      </c>
      <c r="I10484" s="64" t="s">
        <v>3334</v>
      </c>
      <c r="J10484" s="67">
        <v>1270.49</v>
      </c>
      <c r="K10484" s="62">
        <v>27017.13</v>
      </c>
      <c r="L10484" s="33" t="e">
        <f>HLOOKUP(B10484,#REF!,1,0)</f>
        <v>#REF!</v>
      </c>
      <c r="M10484" s="33" t="str">
        <f t="shared" si="655"/>
        <v>P&amp;L</v>
      </c>
    </row>
    <row r="10485" spans="1:13">
      <c r="A10485" s="33" t="str">
        <f t="shared" si="652"/>
        <v>SCL - Other Income/Expense</v>
      </c>
      <c r="B10485" s="33" t="str">
        <f t="shared" si="653"/>
        <v>SCL</v>
      </c>
      <c r="C10485" s="33" t="str">
        <f t="shared" si="654"/>
        <v>92901-7365</v>
      </c>
      <c r="D10485" s="64" t="s">
        <v>11741</v>
      </c>
      <c r="E10485" s="64" t="s">
        <v>3333</v>
      </c>
      <c r="F10485" s="64" t="s">
        <v>15</v>
      </c>
      <c r="G10485" s="64" t="s">
        <v>3017</v>
      </c>
      <c r="H10485" s="64" t="s">
        <v>3300</v>
      </c>
      <c r="I10485" s="64" t="s">
        <v>3334</v>
      </c>
      <c r="J10485" s="67">
        <v>2280.85</v>
      </c>
      <c r="K10485" s="62">
        <v>50392.02</v>
      </c>
      <c r="L10485" s="33" t="e">
        <f>HLOOKUP(B10485,#REF!,1,0)</f>
        <v>#REF!</v>
      </c>
      <c r="M10485" s="33" t="str">
        <f t="shared" si="655"/>
        <v>P&amp;L</v>
      </c>
    </row>
    <row r="10486" spans="1:13">
      <c r="A10486" s="33" t="str">
        <f t="shared" si="652"/>
        <v>SCL - Other Income/Expense</v>
      </c>
      <c r="B10486" s="33" t="str">
        <f t="shared" si="653"/>
        <v>SCL</v>
      </c>
      <c r="C10486" s="33" t="str">
        <f t="shared" si="654"/>
        <v>92901-7366</v>
      </c>
      <c r="D10486" s="64" t="s">
        <v>11742</v>
      </c>
      <c r="E10486" s="64" t="s">
        <v>3333</v>
      </c>
      <c r="F10486" s="64" t="s">
        <v>15</v>
      </c>
      <c r="G10486" s="64" t="s">
        <v>3017</v>
      </c>
      <c r="H10486" s="64" t="s">
        <v>3300</v>
      </c>
      <c r="I10486" s="64" t="s">
        <v>3334</v>
      </c>
      <c r="J10486" s="67">
        <v>4151.99</v>
      </c>
      <c r="K10486" s="62">
        <v>87912.61</v>
      </c>
      <c r="L10486" s="33" t="e">
        <f>HLOOKUP(B10486,#REF!,1,0)</f>
        <v>#REF!</v>
      </c>
      <c r="M10486" s="33" t="str">
        <f t="shared" si="655"/>
        <v>P&amp;L</v>
      </c>
    </row>
    <row r="10487" spans="1:13">
      <c r="A10487" s="33" t="str">
        <f t="shared" si="652"/>
        <v>SCL - Other Income/Expense</v>
      </c>
      <c r="B10487" s="33" t="str">
        <f t="shared" si="653"/>
        <v>SCL</v>
      </c>
      <c r="C10487" s="33" t="str">
        <f t="shared" si="654"/>
        <v>92901-7368</v>
      </c>
      <c r="D10487" s="64" t="s">
        <v>11743</v>
      </c>
      <c r="E10487" s="64" t="s">
        <v>3333</v>
      </c>
      <c r="F10487" s="64" t="s">
        <v>15</v>
      </c>
      <c r="G10487" s="64" t="s">
        <v>3017</v>
      </c>
      <c r="H10487" s="64" t="s">
        <v>3300</v>
      </c>
      <c r="I10487" s="64" t="s">
        <v>3334</v>
      </c>
      <c r="J10487" s="67">
        <v>4975.96</v>
      </c>
      <c r="K10487" s="62">
        <v>105637.59</v>
      </c>
      <c r="L10487" s="33" t="e">
        <f>HLOOKUP(B10487,#REF!,1,0)</f>
        <v>#REF!</v>
      </c>
      <c r="M10487" s="33" t="str">
        <f t="shared" si="655"/>
        <v>P&amp;L</v>
      </c>
    </row>
    <row r="10488" spans="1:13">
      <c r="A10488" s="33" t="str">
        <f t="shared" si="652"/>
        <v>SCL - Other Income/Expense</v>
      </c>
      <c r="B10488" s="33" t="str">
        <f t="shared" si="653"/>
        <v>SCL</v>
      </c>
      <c r="C10488" s="33" t="str">
        <f t="shared" si="654"/>
        <v>92901-7369</v>
      </c>
      <c r="D10488" s="64" t="s">
        <v>11744</v>
      </c>
      <c r="E10488" s="64" t="s">
        <v>3333</v>
      </c>
      <c r="F10488" s="64" t="s">
        <v>15</v>
      </c>
      <c r="G10488" s="64" t="s">
        <v>3017</v>
      </c>
      <c r="H10488" s="64" t="s">
        <v>3300</v>
      </c>
      <c r="I10488" s="64" t="s">
        <v>3334</v>
      </c>
      <c r="J10488" s="67">
        <v>2594.86</v>
      </c>
      <c r="K10488" s="62">
        <v>55035.26</v>
      </c>
      <c r="L10488" s="33" t="e">
        <f>HLOOKUP(B10488,#REF!,1,0)</f>
        <v>#REF!</v>
      </c>
      <c r="M10488" s="33" t="str">
        <f t="shared" si="655"/>
        <v>P&amp;L</v>
      </c>
    </row>
    <row r="10489" spans="1:13">
      <c r="A10489" s="33" t="str">
        <f t="shared" si="652"/>
        <v>SCL - Other Income/Expense</v>
      </c>
      <c r="B10489" s="33" t="str">
        <f t="shared" si="653"/>
        <v>SCL</v>
      </c>
      <c r="C10489" s="33" t="str">
        <f t="shared" si="654"/>
        <v>92901-7371</v>
      </c>
      <c r="D10489" s="64" t="s">
        <v>11745</v>
      </c>
      <c r="E10489" s="64" t="s">
        <v>3333</v>
      </c>
      <c r="F10489" s="64" t="s">
        <v>15</v>
      </c>
      <c r="G10489" s="64" t="s">
        <v>3017</v>
      </c>
      <c r="H10489" s="64" t="s">
        <v>3300</v>
      </c>
      <c r="I10489" s="64" t="s">
        <v>3334</v>
      </c>
      <c r="J10489" s="67">
        <v>2856.2</v>
      </c>
      <c r="K10489" s="62">
        <v>60397.01</v>
      </c>
      <c r="L10489" s="33" t="e">
        <f>HLOOKUP(B10489,#REF!,1,0)</f>
        <v>#REF!</v>
      </c>
      <c r="M10489" s="33" t="str">
        <f t="shared" si="655"/>
        <v>P&amp;L</v>
      </c>
    </row>
    <row r="10490" spans="1:13">
      <c r="A10490" s="33" t="str">
        <f t="shared" si="652"/>
        <v>SCL - Other Income/Expense</v>
      </c>
      <c r="B10490" s="33" t="str">
        <f t="shared" si="653"/>
        <v>SCL</v>
      </c>
      <c r="C10490" s="33" t="str">
        <f t="shared" si="654"/>
        <v>92901-7374</v>
      </c>
      <c r="D10490" s="64" t="s">
        <v>11746</v>
      </c>
      <c r="E10490" s="64" t="s">
        <v>3333</v>
      </c>
      <c r="F10490" s="64" t="s">
        <v>15</v>
      </c>
      <c r="G10490" s="64" t="s">
        <v>3017</v>
      </c>
      <c r="H10490" s="64" t="s">
        <v>3300</v>
      </c>
      <c r="I10490" s="64" t="s">
        <v>3334</v>
      </c>
      <c r="J10490" s="67">
        <v>3624.19</v>
      </c>
      <c r="K10490" s="62">
        <v>70820.27</v>
      </c>
      <c r="L10490" s="33" t="e">
        <f>HLOOKUP(B10490,#REF!,1,0)</f>
        <v>#REF!</v>
      </c>
      <c r="M10490" s="33" t="str">
        <f t="shared" si="655"/>
        <v>P&amp;L</v>
      </c>
    </row>
    <row r="10491" spans="1:13">
      <c r="A10491" s="33" t="str">
        <f t="shared" si="652"/>
        <v>SCL - Other Income/Expense</v>
      </c>
      <c r="B10491" s="33" t="str">
        <f t="shared" si="653"/>
        <v>SCL</v>
      </c>
      <c r="C10491" s="33" t="str">
        <f t="shared" si="654"/>
        <v>92901-7375</v>
      </c>
      <c r="D10491" s="64" t="s">
        <v>11747</v>
      </c>
      <c r="E10491" s="64" t="s">
        <v>3333</v>
      </c>
      <c r="F10491" s="64" t="s">
        <v>15</v>
      </c>
      <c r="G10491" s="64" t="s">
        <v>3017</v>
      </c>
      <c r="H10491" s="64" t="s">
        <v>3300</v>
      </c>
      <c r="I10491" s="64" t="s">
        <v>3334</v>
      </c>
      <c r="J10491" s="67">
        <v>2844.81</v>
      </c>
      <c r="K10491" s="62">
        <v>59479.5</v>
      </c>
      <c r="L10491" s="33" t="e">
        <f>HLOOKUP(B10491,#REF!,1,0)</f>
        <v>#REF!</v>
      </c>
      <c r="M10491" s="33" t="str">
        <f t="shared" si="655"/>
        <v>P&amp;L</v>
      </c>
    </row>
    <row r="10492" spans="1:13">
      <c r="A10492" s="33" t="str">
        <f t="shared" si="652"/>
        <v>SCL - Other Income/Expense</v>
      </c>
      <c r="B10492" s="33" t="str">
        <f t="shared" si="653"/>
        <v>SCL</v>
      </c>
      <c r="C10492" s="33" t="str">
        <f t="shared" si="654"/>
        <v>92901-7376</v>
      </c>
      <c r="D10492" s="64" t="s">
        <v>11748</v>
      </c>
      <c r="E10492" s="64" t="s">
        <v>3333</v>
      </c>
      <c r="F10492" s="64" t="s">
        <v>15</v>
      </c>
      <c r="G10492" s="64" t="s">
        <v>3017</v>
      </c>
      <c r="H10492" s="64" t="s">
        <v>3300</v>
      </c>
      <c r="I10492" s="64" t="s">
        <v>3334</v>
      </c>
      <c r="J10492" s="67">
        <v>6993.1</v>
      </c>
      <c r="K10492" s="62">
        <v>154692.82</v>
      </c>
      <c r="L10492" s="33" t="e">
        <f>HLOOKUP(B10492,#REF!,1,0)</f>
        <v>#REF!</v>
      </c>
      <c r="M10492" s="33" t="str">
        <f t="shared" si="655"/>
        <v>P&amp;L</v>
      </c>
    </row>
    <row r="10493" spans="1:13">
      <c r="A10493" s="33" t="str">
        <f t="shared" si="652"/>
        <v>SCL - Other Income/Expense</v>
      </c>
      <c r="B10493" s="33" t="str">
        <f t="shared" si="653"/>
        <v>SCL</v>
      </c>
      <c r="C10493" s="33" t="str">
        <f t="shared" si="654"/>
        <v>92901-7377</v>
      </c>
      <c r="D10493" s="64" t="s">
        <v>11749</v>
      </c>
      <c r="E10493" s="64" t="s">
        <v>3333</v>
      </c>
      <c r="F10493" s="64" t="s">
        <v>15</v>
      </c>
      <c r="G10493" s="64" t="s">
        <v>3017</v>
      </c>
      <c r="H10493" s="64" t="s">
        <v>3300</v>
      </c>
      <c r="I10493" s="64" t="s">
        <v>3334</v>
      </c>
      <c r="J10493" s="67">
        <v>3156.45</v>
      </c>
      <c r="K10493" s="62">
        <v>69543.07</v>
      </c>
      <c r="L10493" s="33" t="e">
        <f>HLOOKUP(B10493,#REF!,1,0)</f>
        <v>#REF!</v>
      </c>
      <c r="M10493" s="33" t="str">
        <f t="shared" si="655"/>
        <v>P&amp;L</v>
      </c>
    </row>
    <row r="10494" spans="1:13">
      <c r="A10494" s="33" t="str">
        <f t="shared" si="652"/>
        <v>SCL - Other Income/Expense</v>
      </c>
      <c r="B10494" s="33" t="str">
        <f t="shared" si="653"/>
        <v>SCL</v>
      </c>
      <c r="C10494" s="33" t="str">
        <f t="shared" si="654"/>
        <v>92901-7378</v>
      </c>
      <c r="D10494" s="64" t="s">
        <v>11750</v>
      </c>
      <c r="E10494" s="64" t="s">
        <v>3333</v>
      </c>
      <c r="F10494" s="64" t="s">
        <v>15</v>
      </c>
      <c r="G10494" s="64" t="s">
        <v>3017</v>
      </c>
      <c r="H10494" s="64" t="s">
        <v>3300</v>
      </c>
      <c r="I10494" s="64" t="s">
        <v>3334</v>
      </c>
      <c r="J10494" s="67">
        <v>4652.21</v>
      </c>
      <c r="K10494" s="62">
        <v>96410.91</v>
      </c>
      <c r="L10494" s="33" t="e">
        <f>HLOOKUP(B10494,#REF!,1,0)</f>
        <v>#REF!</v>
      </c>
      <c r="M10494" s="33" t="str">
        <f t="shared" si="655"/>
        <v>P&amp;L</v>
      </c>
    </row>
    <row r="10495" spans="1:13">
      <c r="A10495" s="33" t="str">
        <f t="shared" si="652"/>
        <v>SCL - Other Income/Expense</v>
      </c>
      <c r="B10495" s="33" t="str">
        <f t="shared" si="653"/>
        <v>SCL</v>
      </c>
      <c r="C10495" s="33" t="str">
        <f t="shared" si="654"/>
        <v>92901-7379</v>
      </c>
      <c r="D10495" s="64" t="s">
        <v>11751</v>
      </c>
      <c r="E10495" s="64" t="s">
        <v>3333</v>
      </c>
      <c r="F10495" s="64" t="s">
        <v>15</v>
      </c>
      <c r="G10495" s="64" t="s">
        <v>3017</v>
      </c>
      <c r="H10495" s="64" t="s">
        <v>3300</v>
      </c>
      <c r="I10495" s="64" t="s">
        <v>3334</v>
      </c>
      <c r="J10495" s="67">
        <v>3595.85</v>
      </c>
      <c r="K10495" s="62">
        <v>80728.99</v>
      </c>
      <c r="L10495" s="33" t="e">
        <f>HLOOKUP(B10495,#REF!,1,0)</f>
        <v>#REF!</v>
      </c>
      <c r="M10495" s="33" t="str">
        <f t="shared" si="655"/>
        <v>P&amp;L</v>
      </c>
    </row>
    <row r="10496" spans="1:13">
      <c r="A10496" s="33" t="str">
        <f t="shared" si="652"/>
        <v>SCL - Other Income/Expense</v>
      </c>
      <c r="B10496" s="33" t="str">
        <f t="shared" si="653"/>
        <v>SCL</v>
      </c>
      <c r="C10496" s="33" t="str">
        <f t="shared" si="654"/>
        <v>92901-7380</v>
      </c>
      <c r="D10496" s="64" t="s">
        <v>11752</v>
      </c>
      <c r="E10496" s="64" t="s">
        <v>3333</v>
      </c>
      <c r="F10496" s="64" t="s">
        <v>15</v>
      </c>
      <c r="G10496" s="64" t="s">
        <v>3017</v>
      </c>
      <c r="H10496" s="64" t="s">
        <v>3300</v>
      </c>
      <c r="I10496" s="64" t="s">
        <v>3334</v>
      </c>
      <c r="J10496" s="67">
        <v>2326.17</v>
      </c>
      <c r="K10496" s="62">
        <v>51571.61</v>
      </c>
      <c r="L10496" s="33" t="e">
        <f>HLOOKUP(B10496,#REF!,1,0)</f>
        <v>#REF!</v>
      </c>
      <c r="M10496" s="33" t="str">
        <f t="shared" si="655"/>
        <v>P&amp;L</v>
      </c>
    </row>
    <row r="10497" spans="1:13">
      <c r="A10497" s="33" t="str">
        <f t="shared" si="652"/>
        <v>SCL - Other Income/Expense</v>
      </c>
      <c r="B10497" s="33" t="str">
        <f t="shared" si="653"/>
        <v>SCL</v>
      </c>
      <c r="C10497" s="33" t="str">
        <f t="shared" si="654"/>
        <v>92901-7381</v>
      </c>
      <c r="D10497" s="64" t="s">
        <v>11753</v>
      </c>
      <c r="E10497" s="64" t="s">
        <v>3333</v>
      </c>
      <c r="F10497" s="64" t="s">
        <v>15</v>
      </c>
      <c r="G10497" s="64" t="s">
        <v>3017</v>
      </c>
      <c r="H10497" s="64" t="s">
        <v>3300</v>
      </c>
      <c r="I10497" s="64" t="s">
        <v>3334</v>
      </c>
      <c r="J10497" s="67">
        <v>4316.41</v>
      </c>
      <c r="K10497" s="62">
        <v>87940.81</v>
      </c>
      <c r="L10497" s="33" t="e">
        <f>HLOOKUP(B10497,#REF!,1,0)</f>
        <v>#REF!</v>
      </c>
      <c r="M10497" s="33" t="str">
        <f t="shared" si="655"/>
        <v>P&amp;L</v>
      </c>
    </row>
    <row r="10498" spans="1:13">
      <c r="A10498" s="33" t="str">
        <f t="shared" ref="A10498:A10561" si="656">B10498&amp;" - "&amp;TRIM(H10498)</f>
        <v>SCL - Other Income/Expense</v>
      </c>
      <c r="B10498" s="33" t="str">
        <f t="shared" ref="B10498:B10561" si="657">LEFT(D10498,3)</f>
        <v>SCL</v>
      </c>
      <c r="C10498" s="33" t="str">
        <f t="shared" ref="C10498:C10561" si="658">RIGHT(D10498,10)</f>
        <v>92901-7383</v>
      </c>
      <c r="D10498" s="64" t="s">
        <v>11754</v>
      </c>
      <c r="E10498" s="64" t="s">
        <v>3333</v>
      </c>
      <c r="F10498" s="64" t="s">
        <v>15</v>
      </c>
      <c r="G10498" s="64" t="s">
        <v>3017</v>
      </c>
      <c r="H10498" s="64" t="s">
        <v>3300</v>
      </c>
      <c r="I10498" s="64" t="s">
        <v>3334</v>
      </c>
      <c r="J10498" s="67">
        <v>3185.69</v>
      </c>
      <c r="K10498" s="62">
        <v>70471.31</v>
      </c>
      <c r="L10498" s="33" t="e">
        <f>HLOOKUP(B10498,#REF!,1,0)</f>
        <v>#REF!</v>
      </c>
      <c r="M10498" s="33" t="str">
        <f t="shared" ref="M10498:M10561" si="659">IF(VALUE(LEFT(C10498,5))&gt;40000,"P&amp;L","BS")</f>
        <v>P&amp;L</v>
      </c>
    </row>
    <row r="10499" spans="1:13">
      <c r="A10499" s="33" t="str">
        <f t="shared" si="656"/>
        <v>SCL - Other Income/Expense</v>
      </c>
      <c r="B10499" s="33" t="str">
        <f t="shared" si="657"/>
        <v>SCL</v>
      </c>
      <c r="C10499" s="33" t="str">
        <f t="shared" si="658"/>
        <v>92901-7385</v>
      </c>
      <c r="D10499" s="64" t="s">
        <v>11755</v>
      </c>
      <c r="E10499" s="64" t="s">
        <v>3333</v>
      </c>
      <c r="F10499" s="64" t="s">
        <v>15</v>
      </c>
      <c r="G10499" s="64" t="s">
        <v>3017</v>
      </c>
      <c r="H10499" s="64" t="s">
        <v>3300</v>
      </c>
      <c r="I10499" s="64" t="s">
        <v>3334</v>
      </c>
      <c r="J10499" s="67">
        <v>2239.88</v>
      </c>
      <c r="K10499" s="62">
        <v>47118.59</v>
      </c>
      <c r="L10499" s="33" t="e">
        <f>HLOOKUP(B10499,#REF!,1,0)</f>
        <v>#REF!</v>
      </c>
      <c r="M10499" s="33" t="str">
        <f t="shared" si="659"/>
        <v>P&amp;L</v>
      </c>
    </row>
    <row r="10500" spans="1:13">
      <c r="A10500" s="33" t="str">
        <f t="shared" si="656"/>
        <v>SCL - Other Income/Expense</v>
      </c>
      <c r="B10500" s="33" t="str">
        <f t="shared" si="657"/>
        <v>SCL</v>
      </c>
      <c r="C10500" s="33" t="str">
        <f t="shared" si="658"/>
        <v>92901-7386</v>
      </c>
      <c r="D10500" s="64" t="s">
        <v>11756</v>
      </c>
      <c r="E10500" s="64" t="s">
        <v>3333</v>
      </c>
      <c r="F10500" s="64" t="s">
        <v>15</v>
      </c>
      <c r="G10500" s="64" t="s">
        <v>3017</v>
      </c>
      <c r="H10500" s="64" t="s">
        <v>3300</v>
      </c>
      <c r="I10500" s="64" t="s">
        <v>3334</v>
      </c>
      <c r="J10500" s="67">
        <v>2867.93</v>
      </c>
      <c r="K10500" s="62">
        <v>60878.56</v>
      </c>
      <c r="L10500" s="33" t="e">
        <f>HLOOKUP(B10500,#REF!,1,0)</f>
        <v>#REF!</v>
      </c>
      <c r="M10500" s="33" t="str">
        <f t="shared" si="659"/>
        <v>P&amp;L</v>
      </c>
    </row>
    <row r="10501" spans="1:13">
      <c r="A10501" s="33" t="str">
        <f t="shared" si="656"/>
        <v>SCL - Other Income/Expense</v>
      </c>
      <c r="B10501" s="33" t="str">
        <f t="shared" si="657"/>
        <v>SCL</v>
      </c>
      <c r="C10501" s="33" t="str">
        <f t="shared" si="658"/>
        <v>92901-7387</v>
      </c>
      <c r="D10501" s="64" t="s">
        <v>11757</v>
      </c>
      <c r="E10501" s="64" t="s">
        <v>3333</v>
      </c>
      <c r="F10501" s="64" t="s">
        <v>15</v>
      </c>
      <c r="G10501" s="64" t="s">
        <v>3017</v>
      </c>
      <c r="H10501" s="64" t="s">
        <v>3300</v>
      </c>
      <c r="I10501" s="64" t="s">
        <v>3334</v>
      </c>
      <c r="J10501" s="67">
        <v>3928.58</v>
      </c>
      <c r="K10501" s="62">
        <v>80564.47</v>
      </c>
      <c r="L10501" s="33" t="e">
        <f>HLOOKUP(B10501,#REF!,1,0)</f>
        <v>#REF!</v>
      </c>
      <c r="M10501" s="33" t="str">
        <f t="shared" si="659"/>
        <v>P&amp;L</v>
      </c>
    </row>
    <row r="10502" spans="1:13">
      <c r="A10502" s="33" t="str">
        <f t="shared" si="656"/>
        <v>SCL - Other Income/Expense</v>
      </c>
      <c r="B10502" s="33" t="str">
        <f t="shared" si="657"/>
        <v>SCL</v>
      </c>
      <c r="C10502" s="33" t="str">
        <f t="shared" si="658"/>
        <v>92901-7389</v>
      </c>
      <c r="D10502" s="64" t="s">
        <v>11758</v>
      </c>
      <c r="E10502" s="64" t="s">
        <v>3333</v>
      </c>
      <c r="F10502" s="64" t="s">
        <v>15</v>
      </c>
      <c r="G10502" s="64" t="s">
        <v>3017</v>
      </c>
      <c r="H10502" s="64" t="s">
        <v>3300</v>
      </c>
      <c r="I10502" s="64" t="s">
        <v>3334</v>
      </c>
      <c r="J10502" s="67">
        <v>4839.07</v>
      </c>
      <c r="K10502" s="62">
        <v>103745.93</v>
      </c>
      <c r="L10502" s="33" t="e">
        <f>HLOOKUP(B10502,#REF!,1,0)</f>
        <v>#REF!</v>
      </c>
      <c r="M10502" s="33" t="str">
        <f t="shared" si="659"/>
        <v>P&amp;L</v>
      </c>
    </row>
    <row r="10503" spans="1:13">
      <c r="A10503" s="33" t="str">
        <f t="shared" si="656"/>
        <v>SCL - Other Income/Expense</v>
      </c>
      <c r="B10503" s="33" t="str">
        <f t="shared" si="657"/>
        <v>SCL</v>
      </c>
      <c r="C10503" s="33" t="str">
        <f t="shared" si="658"/>
        <v>92901-7391</v>
      </c>
      <c r="D10503" s="64" t="s">
        <v>11759</v>
      </c>
      <c r="E10503" s="64" t="s">
        <v>3333</v>
      </c>
      <c r="F10503" s="64" t="s">
        <v>15</v>
      </c>
      <c r="G10503" s="64" t="s">
        <v>3017</v>
      </c>
      <c r="H10503" s="64" t="s">
        <v>3300</v>
      </c>
      <c r="I10503" s="64" t="s">
        <v>3334</v>
      </c>
      <c r="J10503" s="67">
        <v>3497.46</v>
      </c>
      <c r="K10503" s="62">
        <v>73177.09</v>
      </c>
      <c r="L10503" s="33" t="e">
        <f>HLOOKUP(B10503,#REF!,1,0)</f>
        <v>#REF!</v>
      </c>
      <c r="M10503" s="33" t="str">
        <f t="shared" si="659"/>
        <v>P&amp;L</v>
      </c>
    </row>
    <row r="10504" spans="1:13">
      <c r="A10504" s="33" t="str">
        <f t="shared" si="656"/>
        <v>SCL - Other Income/Expense</v>
      </c>
      <c r="B10504" s="33" t="str">
        <f t="shared" si="657"/>
        <v>SCL</v>
      </c>
      <c r="C10504" s="33" t="str">
        <f t="shared" si="658"/>
        <v>92901-7393</v>
      </c>
      <c r="D10504" s="64" t="s">
        <v>11760</v>
      </c>
      <c r="E10504" s="64" t="s">
        <v>3333</v>
      </c>
      <c r="F10504" s="64" t="s">
        <v>15</v>
      </c>
      <c r="G10504" s="64" t="s">
        <v>3017</v>
      </c>
      <c r="H10504" s="64" t="s">
        <v>3300</v>
      </c>
      <c r="I10504" s="64" t="s">
        <v>3334</v>
      </c>
      <c r="J10504" s="67">
        <v>2731.3</v>
      </c>
      <c r="K10504" s="62">
        <v>60884.21</v>
      </c>
      <c r="L10504" s="33" t="e">
        <f>HLOOKUP(B10504,#REF!,1,0)</f>
        <v>#REF!</v>
      </c>
      <c r="M10504" s="33" t="str">
        <f t="shared" si="659"/>
        <v>P&amp;L</v>
      </c>
    </row>
    <row r="10505" spans="1:13">
      <c r="A10505" s="33" t="str">
        <f t="shared" si="656"/>
        <v>SCL - Other Income/Expense</v>
      </c>
      <c r="B10505" s="33" t="str">
        <f t="shared" si="657"/>
        <v>SCL</v>
      </c>
      <c r="C10505" s="33" t="str">
        <f t="shared" si="658"/>
        <v>92901-7394</v>
      </c>
      <c r="D10505" s="64" t="s">
        <v>11761</v>
      </c>
      <c r="E10505" s="64" t="s">
        <v>3333</v>
      </c>
      <c r="F10505" s="64" t="s">
        <v>15</v>
      </c>
      <c r="G10505" s="64" t="s">
        <v>3017</v>
      </c>
      <c r="H10505" s="64" t="s">
        <v>3300</v>
      </c>
      <c r="I10505" s="64" t="s">
        <v>3334</v>
      </c>
      <c r="J10505" s="67">
        <v>2285</v>
      </c>
      <c r="K10505" s="62">
        <v>54338.37</v>
      </c>
      <c r="L10505" s="33" t="e">
        <f>HLOOKUP(B10505,#REF!,1,0)</f>
        <v>#REF!</v>
      </c>
      <c r="M10505" s="33" t="str">
        <f t="shared" si="659"/>
        <v>P&amp;L</v>
      </c>
    </row>
    <row r="10506" spans="1:13">
      <c r="A10506" s="33" t="str">
        <f t="shared" si="656"/>
        <v>SCL - Other Income/Expense</v>
      </c>
      <c r="B10506" s="33" t="str">
        <f t="shared" si="657"/>
        <v>SCL</v>
      </c>
      <c r="C10506" s="33" t="str">
        <f t="shared" si="658"/>
        <v>92901-7396</v>
      </c>
      <c r="D10506" s="64" t="s">
        <v>11762</v>
      </c>
      <c r="E10506" s="64" t="s">
        <v>3333</v>
      </c>
      <c r="F10506" s="64" t="s">
        <v>15</v>
      </c>
      <c r="G10506" s="64" t="s">
        <v>3017</v>
      </c>
      <c r="H10506" s="64" t="s">
        <v>3300</v>
      </c>
      <c r="I10506" s="64" t="s">
        <v>3334</v>
      </c>
      <c r="J10506" s="67">
        <v>3040.22</v>
      </c>
      <c r="K10506" s="62">
        <v>63173.83</v>
      </c>
      <c r="L10506" s="33" t="e">
        <f>HLOOKUP(B10506,#REF!,1,0)</f>
        <v>#REF!</v>
      </c>
      <c r="M10506" s="33" t="str">
        <f t="shared" si="659"/>
        <v>P&amp;L</v>
      </c>
    </row>
    <row r="10507" spans="1:13">
      <c r="A10507" s="33" t="str">
        <f t="shared" si="656"/>
        <v>SCL - Other Income/Expense</v>
      </c>
      <c r="B10507" s="33" t="str">
        <f t="shared" si="657"/>
        <v>SCL</v>
      </c>
      <c r="C10507" s="33" t="str">
        <f t="shared" si="658"/>
        <v>92901-7397</v>
      </c>
      <c r="D10507" s="64" t="s">
        <v>11763</v>
      </c>
      <c r="E10507" s="64" t="s">
        <v>3333</v>
      </c>
      <c r="F10507" s="64" t="s">
        <v>15</v>
      </c>
      <c r="G10507" s="64" t="s">
        <v>3017</v>
      </c>
      <c r="H10507" s="64" t="s">
        <v>3300</v>
      </c>
      <c r="I10507" s="64" t="s">
        <v>3334</v>
      </c>
      <c r="J10507" s="67">
        <v>3093.23</v>
      </c>
      <c r="K10507" s="62">
        <v>67722.86</v>
      </c>
      <c r="L10507" s="33" t="e">
        <f>HLOOKUP(B10507,#REF!,1,0)</f>
        <v>#REF!</v>
      </c>
      <c r="M10507" s="33" t="str">
        <f t="shared" si="659"/>
        <v>P&amp;L</v>
      </c>
    </row>
    <row r="10508" spans="1:13">
      <c r="A10508" s="33" t="str">
        <f t="shared" si="656"/>
        <v>SCL - Other Income/Expense</v>
      </c>
      <c r="B10508" s="33" t="str">
        <f t="shared" si="657"/>
        <v>SCL</v>
      </c>
      <c r="C10508" s="33" t="str">
        <f t="shared" si="658"/>
        <v>92901-7398</v>
      </c>
      <c r="D10508" s="64" t="s">
        <v>11764</v>
      </c>
      <c r="E10508" s="64" t="s">
        <v>3333</v>
      </c>
      <c r="F10508" s="64" t="s">
        <v>15</v>
      </c>
      <c r="G10508" s="64" t="s">
        <v>3017</v>
      </c>
      <c r="H10508" s="64" t="s">
        <v>3300</v>
      </c>
      <c r="I10508" s="64" t="s">
        <v>3334</v>
      </c>
      <c r="J10508" s="67">
        <v>3255.03</v>
      </c>
      <c r="K10508" s="62">
        <v>67701.09</v>
      </c>
      <c r="L10508" s="33" t="e">
        <f>HLOOKUP(B10508,#REF!,1,0)</f>
        <v>#REF!</v>
      </c>
      <c r="M10508" s="33" t="str">
        <f t="shared" si="659"/>
        <v>P&amp;L</v>
      </c>
    </row>
    <row r="10509" spans="1:13">
      <c r="A10509" s="33" t="str">
        <f t="shared" si="656"/>
        <v>SCL - Other Income/Expense</v>
      </c>
      <c r="B10509" s="33" t="str">
        <f t="shared" si="657"/>
        <v>SCL</v>
      </c>
      <c r="C10509" s="33" t="str">
        <f t="shared" si="658"/>
        <v>92901-7400</v>
      </c>
      <c r="D10509" s="64" t="s">
        <v>11765</v>
      </c>
      <c r="E10509" s="64" t="s">
        <v>3333</v>
      </c>
      <c r="F10509" s="64" t="s">
        <v>15</v>
      </c>
      <c r="G10509" s="64" t="s">
        <v>3017</v>
      </c>
      <c r="H10509" s="64" t="s">
        <v>3300</v>
      </c>
      <c r="I10509" s="64" t="s">
        <v>3334</v>
      </c>
      <c r="J10509" s="67">
        <v>2441.41</v>
      </c>
      <c r="K10509" s="62">
        <v>54569.42</v>
      </c>
      <c r="L10509" s="33" t="e">
        <f>HLOOKUP(B10509,#REF!,1,0)</f>
        <v>#REF!</v>
      </c>
      <c r="M10509" s="33" t="str">
        <f t="shared" si="659"/>
        <v>P&amp;L</v>
      </c>
    </row>
    <row r="10510" spans="1:13">
      <c r="A10510" s="33" t="str">
        <f t="shared" si="656"/>
        <v>SCL - Other Income/Expense</v>
      </c>
      <c r="B10510" s="33" t="str">
        <f t="shared" si="657"/>
        <v>SCL</v>
      </c>
      <c r="C10510" s="33" t="str">
        <f t="shared" si="658"/>
        <v>92901-7401</v>
      </c>
      <c r="D10510" s="64" t="s">
        <v>11766</v>
      </c>
      <c r="E10510" s="64" t="s">
        <v>3333</v>
      </c>
      <c r="F10510" s="64" t="s">
        <v>15</v>
      </c>
      <c r="G10510" s="64" t="s">
        <v>3017</v>
      </c>
      <c r="H10510" s="64" t="s">
        <v>3300</v>
      </c>
      <c r="I10510" s="64" t="s">
        <v>3334</v>
      </c>
      <c r="J10510" s="67">
        <v>2874.48</v>
      </c>
      <c r="K10510" s="62">
        <v>60745.53</v>
      </c>
      <c r="L10510" s="33" t="e">
        <f>HLOOKUP(B10510,#REF!,1,0)</f>
        <v>#REF!</v>
      </c>
      <c r="M10510" s="33" t="str">
        <f t="shared" si="659"/>
        <v>P&amp;L</v>
      </c>
    </row>
    <row r="10511" spans="1:13">
      <c r="A10511" s="33" t="str">
        <f t="shared" si="656"/>
        <v>SCL - Other Income/Expense</v>
      </c>
      <c r="B10511" s="33" t="str">
        <f t="shared" si="657"/>
        <v>SCL</v>
      </c>
      <c r="C10511" s="33" t="str">
        <f t="shared" si="658"/>
        <v>92901-7402</v>
      </c>
      <c r="D10511" s="64" t="s">
        <v>11767</v>
      </c>
      <c r="E10511" s="64" t="s">
        <v>3333</v>
      </c>
      <c r="F10511" s="64" t="s">
        <v>15</v>
      </c>
      <c r="G10511" s="64" t="s">
        <v>3017</v>
      </c>
      <c r="H10511" s="64" t="s">
        <v>3300</v>
      </c>
      <c r="I10511" s="64" t="s">
        <v>3334</v>
      </c>
      <c r="J10511" s="67">
        <v>3246.02</v>
      </c>
      <c r="K10511" s="62">
        <v>70696.99</v>
      </c>
      <c r="L10511" s="33" t="e">
        <f>HLOOKUP(B10511,#REF!,1,0)</f>
        <v>#REF!</v>
      </c>
      <c r="M10511" s="33" t="str">
        <f t="shared" si="659"/>
        <v>P&amp;L</v>
      </c>
    </row>
    <row r="10512" spans="1:13">
      <c r="A10512" s="33" t="str">
        <f t="shared" si="656"/>
        <v>SCL - Other Income/Expense</v>
      </c>
      <c r="B10512" s="33" t="str">
        <f t="shared" si="657"/>
        <v>SCL</v>
      </c>
      <c r="C10512" s="33" t="str">
        <f t="shared" si="658"/>
        <v>92901-7403</v>
      </c>
      <c r="D10512" s="64" t="s">
        <v>11768</v>
      </c>
      <c r="E10512" s="64" t="s">
        <v>3333</v>
      </c>
      <c r="F10512" s="64" t="s">
        <v>15</v>
      </c>
      <c r="G10512" s="64" t="s">
        <v>3017</v>
      </c>
      <c r="H10512" s="64" t="s">
        <v>3300</v>
      </c>
      <c r="I10512" s="64" t="s">
        <v>3334</v>
      </c>
      <c r="J10512" s="67">
        <v>3103.1</v>
      </c>
      <c r="K10512" s="62">
        <v>70483.36</v>
      </c>
      <c r="L10512" s="33" t="e">
        <f>HLOOKUP(B10512,#REF!,1,0)</f>
        <v>#REF!</v>
      </c>
      <c r="M10512" s="33" t="str">
        <f t="shared" si="659"/>
        <v>P&amp;L</v>
      </c>
    </row>
    <row r="10513" spans="1:13">
      <c r="A10513" s="33" t="str">
        <f t="shared" si="656"/>
        <v>SCL - Other Income/Expense</v>
      </c>
      <c r="B10513" s="33" t="str">
        <f t="shared" si="657"/>
        <v>SCL</v>
      </c>
      <c r="C10513" s="33" t="str">
        <f t="shared" si="658"/>
        <v>92901-7489</v>
      </c>
      <c r="D10513" s="64" t="s">
        <v>11769</v>
      </c>
      <c r="E10513" s="64" t="s">
        <v>3333</v>
      </c>
      <c r="F10513" s="64" t="s">
        <v>15</v>
      </c>
      <c r="G10513" s="64" t="s">
        <v>3017</v>
      </c>
      <c r="H10513" s="64" t="s">
        <v>3300</v>
      </c>
      <c r="I10513" s="64" t="s">
        <v>3334</v>
      </c>
      <c r="J10513" s="67">
        <v>4722.26</v>
      </c>
      <c r="K10513" s="62">
        <v>100132.28</v>
      </c>
      <c r="L10513" s="33" t="e">
        <f>HLOOKUP(B10513,#REF!,1,0)</f>
        <v>#REF!</v>
      </c>
      <c r="M10513" s="33" t="str">
        <f t="shared" si="659"/>
        <v>P&amp;L</v>
      </c>
    </row>
    <row r="10514" spans="1:13">
      <c r="A10514" s="33" t="str">
        <f t="shared" si="656"/>
        <v>SCL - Other Income/Expense</v>
      </c>
      <c r="B10514" s="33" t="str">
        <f t="shared" si="657"/>
        <v>SCL</v>
      </c>
      <c r="C10514" s="33" t="str">
        <f t="shared" si="658"/>
        <v>92901-7491</v>
      </c>
      <c r="D10514" s="64" t="s">
        <v>11770</v>
      </c>
      <c r="E10514" s="64" t="s">
        <v>3333</v>
      </c>
      <c r="F10514" s="64" t="s">
        <v>15</v>
      </c>
      <c r="G10514" s="64" t="s">
        <v>3017</v>
      </c>
      <c r="H10514" s="64" t="s">
        <v>3300</v>
      </c>
      <c r="I10514" s="64" t="s">
        <v>3334</v>
      </c>
      <c r="J10514" s="67">
        <v>2711.88</v>
      </c>
      <c r="K10514" s="62">
        <v>55575.19</v>
      </c>
      <c r="L10514" s="33" t="e">
        <f>HLOOKUP(B10514,#REF!,1,0)</f>
        <v>#REF!</v>
      </c>
      <c r="M10514" s="33" t="str">
        <f t="shared" si="659"/>
        <v>P&amp;L</v>
      </c>
    </row>
    <row r="10515" spans="1:13">
      <c r="A10515" s="33" t="str">
        <f t="shared" si="656"/>
        <v>SCL - Other Income/Expense</v>
      </c>
      <c r="B10515" s="33" t="str">
        <f t="shared" si="657"/>
        <v>SCL</v>
      </c>
      <c r="C10515" s="33" t="str">
        <f t="shared" si="658"/>
        <v>92901-7492</v>
      </c>
      <c r="D10515" s="64" t="s">
        <v>11771</v>
      </c>
      <c r="E10515" s="64" t="s">
        <v>3333</v>
      </c>
      <c r="F10515" s="64" t="s">
        <v>15</v>
      </c>
      <c r="G10515" s="64" t="s">
        <v>3017</v>
      </c>
      <c r="H10515" s="64" t="s">
        <v>3300</v>
      </c>
      <c r="I10515" s="64" t="s">
        <v>3334</v>
      </c>
      <c r="J10515" s="67">
        <v>3050.28</v>
      </c>
      <c r="K10515" s="62">
        <v>63299.43</v>
      </c>
      <c r="L10515" s="33" t="e">
        <f>HLOOKUP(B10515,#REF!,1,0)</f>
        <v>#REF!</v>
      </c>
      <c r="M10515" s="33" t="str">
        <f t="shared" si="659"/>
        <v>P&amp;L</v>
      </c>
    </row>
    <row r="10516" spans="1:13">
      <c r="A10516" s="33" t="str">
        <f t="shared" si="656"/>
        <v>SCL - Other Income/Expense</v>
      </c>
      <c r="B10516" s="33" t="str">
        <f t="shared" si="657"/>
        <v>SCL</v>
      </c>
      <c r="C10516" s="33" t="str">
        <f t="shared" si="658"/>
        <v>92901-7493</v>
      </c>
      <c r="D10516" s="64" t="s">
        <v>11772</v>
      </c>
      <c r="E10516" s="64" t="s">
        <v>3333</v>
      </c>
      <c r="F10516" s="64" t="s">
        <v>15</v>
      </c>
      <c r="G10516" s="64" t="s">
        <v>3017</v>
      </c>
      <c r="H10516" s="64" t="s">
        <v>3300</v>
      </c>
      <c r="I10516" s="64" t="s">
        <v>3334</v>
      </c>
      <c r="J10516" s="67">
        <v>4120.37</v>
      </c>
      <c r="K10516" s="62">
        <v>88625.81</v>
      </c>
      <c r="L10516" s="33" t="e">
        <f>HLOOKUP(B10516,#REF!,1,0)</f>
        <v>#REF!</v>
      </c>
      <c r="M10516" s="33" t="str">
        <f t="shared" si="659"/>
        <v>P&amp;L</v>
      </c>
    </row>
    <row r="10517" spans="1:13">
      <c r="A10517" s="33" t="str">
        <f t="shared" si="656"/>
        <v>SCL - Other Income/Expense</v>
      </c>
      <c r="B10517" s="33" t="str">
        <f t="shared" si="657"/>
        <v>SCL</v>
      </c>
      <c r="C10517" s="33" t="str">
        <f t="shared" si="658"/>
        <v>92901-7494</v>
      </c>
      <c r="D10517" s="64" t="s">
        <v>11773</v>
      </c>
      <c r="E10517" s="64" t="s">
        <v>3333</v>
      </c>
      <c r="F10517" s="64" t="s">
        <v>15</v>
      </c>
      <c r="G10517" s="64" t="s">
        <v>3017</v>
      </c>
      <c r="H10517" s="64" t="s">
        <v>3300</v>
      </c>
      <c r="I10517" s="64" t="s">
        <v>3334</v>
      </c>
      <c r="J10517" s="67">
        <v>3044.88</v>
      </c>
      <c r="K10517" s="62">
        <v>65388.3</v>
      </c>
      <c r="L10517" s="33" t="e">
        <f>HLOOKUP(B10517,#REF!,1,0)</f>
        <v>#REF!</v>
      </c>
      <c r="M10517" s="33" t="str">
        <f t="shared" si="659"/>
        <v>P&amp;L</v>
      </c>
    </row>
    <row r="10518" spans="1:13">
      <c r="A10518" s="33" t="str">
        <f t="shared" si="656"/>
        <v>SCL - Other Income/Expense</v>
      </c>
      <c r="B10518" s="33" t="str">
        <f t="shared" si="657"/>
        <v>SCL</v>
      </c>
      <c r="C10518" s="33" t="str">
        <f t="shared" si="658"/>
        <v>92901-7625</v>
      </c>
      <c r="D10518" s="64" t="s">
        <v>11774</v>
      </c>
      <c r="E10518" s="64" t="s">
        <v>3333</v>
      </c>
      <c r="F10518" s="64" t="s">
        <v>15</v>
      </c>
      <c r="G10518" s="64" t="s">
        <v>3017</v>
      </c>
      <c r="H10518" s="64" t="s">
        <v>3300</v>
      </c>
      <c r="I10518" s="64" t="s">
        <v>3334</v>
      </c>
      <c r="J10518" s="67">
        <v>3911.68</v>
      </c>
      <c r="K10518" s="62">
        <v>86432.17</v>
      </c>
      <c r="L10518" s="33" t="e">
        <f>HLOOKUP(B10518,#REF!,1,0)</f>
        <v>#REF!</v>
      </c>
      <c r="M10518" s="33" t="str">
        <f t="shared" si="659"/>
        <v>P&amp;L</v>
      </c>
    </row>
    <row r="10519" spans="1:13">
      <c r="A10519" s="33" t="str">
        <f t="shared" si="656"/>
        <v>SCL - Other Income/Expense</v>
      </c>
      <c r="B10519" s="33" t="str">
        <f t="shared" si="657"/>
        <v>SCL</v>
      </c>
      <c r="C10519" s="33" t="str">
        <f t="shared" si="658"/>
        <v>92901-8150</v>
      </c>
      <c r="D10519" s="64" t="s">
        <v>11775</v>
      </c>
      <c r="E10519" s="64" t="s">
        <v>3333</v>
      </c>
      <c r="F10519" s="64" t="s">
        <v>15</v>
      </c>
      <c r="G10519" s="64" t="s">
        <v>3017</v>
      </c>
      <c r="H10519" s="64" t="s">
        <v>3300</v>
      </c>
      <c r="I10519" s="64" t="s">
        <v>3334</v>
      </c>
      <c r="J10519" s="67">
        <v>3344.63</v>
      </c>
      <c r="K10519" s="62">
        <v>74904.66</v>
      </c>
      <c r="L10519" s="33" t="e">
        <f>HLOOKUP(B10519,#REF!,1,0)</f>
        <v>#REF!</v>
      </c>
      <c r="M10519" s="33" t="str">
        <f t="shared" si="659"/>
        <v>P&amp;L</v>
      </c>
    </row>
    <row r="10520" spans="1:13">
      <c r="A10520" s="33" t="str">
        <f t="shared" si="656"/>
        <v>SCL - Other Income/Expense</v>
      </c>
      <c r="B10520" s="33" t="str">
        <f t="shared" si="657"/>
        <v>SCL</v>
      </c>
      <c r="C10520" s="33" t="str">
        <f t="shared" si="658"/>
        <v>93001-0000</v>
      </c>
      <c r="D10520" s="64" t="s">
        <v>11776</v>
      </c>
      <c r="E10520" s="64" t="s">
        <v>3339</v>
      </c>
      <c r="F10520" s="64" t="s">
        <v>15</v>
      </c>
      <c r="G10520" s="64" t="s">
        <v>3017</v>
      </c>
      <c r="H10520" s="64" t="s">
        <v>3300</v>
      </c>
      <c r="I10520" s="64" t="s">
        <v>3340</v>
      </c>
      <c r="J10520" s="67">
        <v>58.86</v>
      </c>
      <c r="K10520" s="62">
        <v>41210.13</v>
      </c>
      <c r="L10520" s="33" t="e">
        <f>HLOOKUP(B10520,#REF!,1,0)</f>
        <v>#REF!</v>
      </c>
      <c r="M10520" s="33" t="str">
        <f t="shared" si="659"/>
        <v>P&amp;L</v>
      </c>
    </row>
    <row r="10521" spans="1:13">
      <c r="A10521" s="33" t="str">
        <f t="shared" si="656"/>
        <v>SCL - Other Income/Expense</v>
      </c>
      <c r="B10521" s="33" t="str">
        <f t="shared" si="657"/>
        <v>SCL</v>
      </c>
      <c r="C10521" s="33" t="str">
        <f t="shared" si="658"/>
        <v>93001-7351</v>
      </c>
      <c r="D10521" s="64" t="s">
        <v>11777</v>
      </c>
      <c r="E10521" s="64" t="s">
        <v>3339</v>
      </c>
      <c r="F10521" s="64" t="s">
        <v>15</v>
      </c>
      <c r="G10521" s="64" t="s">
        <v>3017</v>
      </c>
      <c r="H10521" s="64" t="s">
        <v>3300</v>
      </c>
      <c r="I10521" s="64" t="s">
        <v>3340</v>
      </c>
      <c r="J10521" s="67">
        <v>0</v>
      </c>
      <c r="K10521" s="62">
        <v>33.05</v>
      </c>
      <c r="L10521" s="33" t="e">
        <f>HLOOKUP(B10521,#REF!,1,0)</f>
        <v>#REF!</v>
      </c>
      <c r="M10521" s="33" t="str">
        <f t="shared" si="659"/>
        <v>P&amp;L</v>
      </c>
    </row>
    <row r="10522" spans="1:13">
      <c r="A10522" s="33" t="str">
        <f t="shared" si="656"/>
        <v>SCL - Other Income/Expense</v>
      </c>
      <c r="B10522" s="33" t="str">
        <f t="shared" si="657"/>
        <v>SCL</v>
      </c>
      <c r="C10522" s="33" t="str">
        <f t="shared" si="658"/>
        <v>93001-7352</v>
      </c>
      <c r="D10522" s="64" t="s">
        <v>11778</v>
      </c>
      <c r="E10522" s="64" t="s">
        <v>3339</v>
      </c>
      <c r="F10522" s="64" t="s">
        <v>15</v>
      </c>
      <c r="G10522" s="64" t="s">
        <v>3017</v>
      </c>
      <c r="H10522" s="64" t="s">
        <v>3300</v>
      </c>
      <c r="I10522" s="64" t="s">
        <v>3340</v>
      </c>
      <c r="J10522" s="67">
        <v>15.88</v>
      </c>
      <c r="K10522" s="62">
        <v>125.54</v>
      </c>
      <c r="L10522" s="33" t="e">
        <f>HLOOKUP(B10522,#REF!,1,0)</f>
        <v>#REF!</v>
      </c>
      <c r="M10522" s="33" t="str">
        <f t="shared" si="659"/>
        <v>P&amp;L</v>
      </c>
    </row>
    <row r="10523" spans="1:13">
      <c r="A10523" s="33" t="str">
        <f t="shared" si="656"/>
        <v>SCL - Other Income/Expense</v>
      </c>
      <c r="B10523" s="33" t="str">
        <f t="shared" si="657"/>
        <v>SCL</v>
      </c>
      <c r="C10523" s="33" t="str">
        <f t="shared" si="658"/>
        <v>93001-7355</v>
      </c>
      <c r="D10523" s="64" t="s">
        <v>11779</v>
      </c>
      <c r="E10523" s="64" t="s">
        <v>3339</v>
      </c>
      <c r="F10523" s="64" t="s">
        <v>15</v>
      </c>
      <c r="G10523" s="64" t="s">
        <v>3017</v>
      </c>
      <c r="H10523" s="64" t="s">
        <v>3300</v>
      </c>
      <c r="I10523" s="64" t="s">
        <v>3340</v>
      </c>
      <c r="J10523" s="67">
        <v>0</v>
      </c>
      <c r="K10523" s="62">
        <v>49.91</v>
      </c>
      <c r="L10523" s="33" t="e">
        <f>HLOOKUP(B10523,#REF!,1,0)</f>
        <v>#REF!</v>
      </c>
      <c r="M10523" s="33" t="str">
        <f t="shared" si="659"/>
        <v>P&amp;L</v>
      </c>
    </row>
    <row r="10524" spans="1:13">
      <c r="A10524" s="33" t="str">
        <f t="shared" si="656"/>
        <v>SCL - Other Income/Expense</v>
      </c>
      <c r="B10524" s="33" t="str">
        <f t="shared" si="657"/>
        <v>SCL</v>
      </c>
      <c r="C10524" s="33" t="str">
        <f t="shared" si="658"/>
        <v>93001-7359</v>
      </c>
      <c r="D10524" s="64" t="s">
        <v>11780</v>
      </c>
      <c r="E10524" s="64" t="s">
        <v>3339</v>
      </c>
      <c r="F10524" s="64" t="s">
        <v>15</v>
      </c>
      <c r="G10524" s="64" t="s">
        <v>3017</v>
      </c>
      <c r="H10524" s="64" t="s">
        <v>3300</v>
      </c>
      <c r="I10524" s="64" t="s">
        <v>3340</v>
      </c>
      <c r="J10524" s="67">
        <v>0</v>
      </c>
      <c r="K10524" s="62">
        <v>78.81</v>
      </c>
      <c r="L10524" s="33" t="e">
        <f>HLOOKUP(B10524,#REF!,1,0)</f>
        <v>#REF!</v>
      </c>
      <c r="M10524" s="33" t="str">
        <f t="shared" si="659"/>
        <v>P&amp;L</v>
      </c>
    </row>
    <row r="10525" spans="1:13">
      <c r="A10525" s="33" t="str">
        <f t="shared" si="656"/>
        <v>SCL - Other Income/Expense</v>
      </c>
      <c r="B10525" s="33" t="str">
        <f t="shared" si="657"/>
        <v>SCL</v>
      </c>
      <c r="C10525" s="33" t="str">
        <f t="shared" si="658"/>
        <v>93001-7360</v>
      </c>
      <c r="D10525" s="64" t="s">
        <v>11781</v>
      </c>
      <c r="E10525" s="64" t="s">
        <v>3339</v>
      </c>
      <c r="F10525" s="64" t="s">
        <v>15</v>
      </c>
      <c r="G10525" s="64" t="s">
        <v>3017</v>
      </c>
      <c r="H10525" s="64" t="s">
        <v>3300</v>
      </c>
      <c r="I10525" s="64" t="s">
        <v>3340</v>
      </c>
      <c r="J10525" s="67">
        <v>99.99</v>
      </c>
      <c r="K10525" s="62">
        <v>222.17</v>
      </c>
      <c r="L10525" s="33" t="e">
        <f>HLOOKUP(B10525,#REF!,1,0)</f>
        <v>#REF!</v>
      </c>
      <c r="M10525" s="33" t="str">
        <f t="shared" si="659"/>
        <v>P&amp;L</v>
      </c>
    </row>
    <row r="10526" spans="1:13">
      <c r="A10526" s="33" t="str">
        <f t="shared" si="656"/>
        <v>SCL - Other Income/Expense</v>
      </c>
      <c r="B10526" s="33" t="str">
        <f t="shared" si="657"/>
        <v>SCL</v>
      </c>
      <c r="C10526" s="33" t="str">
        <f t="shared" si="658"/>
        <v>93001-7361</v>
      </c>
      <c r="D10526" s="64" t="s">
        <v>11782</v>
      </c>
      <c r="E10526" s="64" t="s">
        <v>3339</v>
      </c>
      <c r="F10526" s="64" t="s">
        <v>15</v>
      </c>
      <c r="G10526" s="64" t="s">
        <v>3017</v>
      </c>
      <c r="H10526" s="64" t="s">
        <v>3300</v>
      </c>
      <c r="I10526" s="64" t="s">
        <v>3340</v>
      </c>
      <c r="J10526" s="67">
        <v>163.29</v>
      </c>
      <c r="K10526" s="62">
        <v>272.48</v>
      </c>
      <c r="L10526" s="33" t="e">
        <f>HLOOKUP(B10526,#REF!,1,0)</f>
        <v>#REF!</v>
      </c>
      <c r="M10526" s="33" t="str">
        <f t="shared" si="659"/>
        <v>P&amp;L</v>
      </c>
    </row>
    <row r="10527" spans="1:13">
      <c r="A10527" s="33" t="str">
        <f t="shared" si="656"/>
        <v>SCL - Other Income/Expense</v>
      </c>
      <c r="B10527" s="33" t="str">
        <f t="shared" si="657"/>
        <v>SCL</v>
      </c>
      <c r="C10527" s="33" t="str">
        <f t="shared" si="658"/>
        <v>93001-7362</v>
      </c>
      <c r="D10527" s="64" t="s">
        <v>11783</v>
      </c>
      <c r="E10527" s="64" t="s">
        <v>3339</v>
      </c>
      <c r="F10527" s="64" t="s">
        <v>15</v>
      </c>
      <c r="G10527" s="64" t="s">
        <v>3017</v>
      </c>
      <c r="H10527" s="64" t="s">
        <v>3300</v>
      </c>
      <c r="I10527" s="64" t="s">
        <v>3340</v>
      </c>
      <c r="J10527" s="67">
        <v>21.59</v>
      </c>
      <c r="K10527" s="62">
        <v>27.17</v>
      </c>
      <c r="L10527" s="33" t="e">
        <f>HLOOKUP(B10527,#REF!,1,0)</f>
        <v>#REF!</v>
      </c>
      <c r="M10527" s="33" t="str">
        <f t="shared" si="659"/>
        <v>P&amp;L</v>
      </c>
    </row>
    <row r="10528" spans="1:13">
      <c r="A10528" s="33" t="str">
        <f t="shared" si="656"/>
        <v>SCL - Other Income/Expense</v>
      </c>
      <c r="B10528" s="33" t="str">
        <f t="shared" si="657"/>
        <v>SCL</v>
      </c>
      <c r="C10528" s="33" t="str">
        <f t="shared" si="658"/>
        <v>93001-7363</v>
      </c>
      <c r="D10528" s="64" t="s">
        <v>11784</v>
      </c>
      <c r="E10528" s="64" t="s">
        <v>3339</v>
      </c>
      <c r="F10528" s="64" t="s">
        <v>15</v>
      </c>
      <c r="G10528" s="64" t="s">
        <v>3017</v>
      </c>
      <c r="H10528" s="64" t="s">
        <v>3300</v>
      </c>
      <c r="I10528" s="64" t="s">
        <v>3340</v>
      </c>
      <c r="J10528" s="67">
        <v>0</v>
      </c>
      <c r="K10528" s="62">
        <v>33.08</v>
      </c>
      <c r="L10528" s="33" t="e">
        <f>HLOOKUP(B10528,#REF!,1,0)</f>
        <v>#REF!</v>
      </c>
      <c r="M10528" s="33" t="str">
        <f t="shared" si="659"/>
        <v>P&amp;L</v>
      </c>
    </row>
    <row r="10529" spans="1:13">
      <c r="A10529" s="33" t="str">
        <f t="shared" si="656"/>
        <v>SCL - Other Income/Expense</v>
      </c>
      <c r="B10529" s="33" t="str">
        <f t="shared" si="657"/>
        <v>SCL</v>
      </c>
      <c r="C10529" s="33" t="str">
        <f t="shared" si="658"/>
        <v>93001-7364</v>
      </c>
      <c r="D10529" s="64" t="s">
        <v>11785</v>
      </c>
      <c r="E10529" s="64" t="s">
        <v>3339</v>
      </c>
      <c r="F10529" s="64" t="s">
        <v>15</v>
      </c>
      <c r="G10529" s="64" t="s">
        <v>3017</v>
      </c>
      <c r="H10529" s="64" t="s">
        <v>3300</v>
      </c>
      <c r="I10529" s="64" t="s">
        <v>3340</v>
      </c>
      <c r="J10529" s="67">
        <v>0</v>
      </c>
      <c r="K10529" s="62">
        <v>5.59</v>
      </c>
      <c r="L10529" s="33" t="e">
        <f>HLOOKUP(B10529,#REF!,1,0)</f>
        <v>#REF!</v>
      </c>
      <c r="M10529" s="33" t="str">
        <f t="shared" si="659"/>
        <v>P&amp;L</v>
      </c>
    </row>
    <row r="10530" spans="1:13">
      <c r="A10530" s="33" t="str">
        <f t="shared" si="656"/>
        <v>SCL - Other Income/Expense</v>
      </c>
      <c r="B10530" s="33" t="str">
        <f t="shared" si="657"/>
        <v>SCL</v>
      </c>
      <c r="C10530" s="33" t="str">
        <f t="shared" si="658"/>
        <v>93001-7365</v>
      </c>
      <c r="D10530" s="64" t="s">
        <v>11786</v>
      </c>
      <c r="E10530" s="64" t="s">
        <v>3339</v>
      </c>
      <c r="F10530" s="64" t="s">
        <v>15</v>
      </c>
      <c r="G10530" s="64" t="s">
        <v>3017</v>
      </c>
      <c r="H10530" s="64" t="s">
        <v>3300</v>
      </c>
      <c r="I10530" s="64" t="s">
        <v>3340</v>
      </c>
      <c r="J10530" s="67">
        <v>145.53</v>
      </c>
      <c r="K10530" s="62">
        <v>155.61</v>
      </c>
      <c r="L10530" s="33" t="e">
        <f>HLOOKUP(B10530,#REF!,1,0)</f>
        <v>#REF!</v>
      </c>
      <c r="M10530" s="33" t="str">
        <f t="shared" si="659"/>
        <v>P&amp;L</v>
      </c>
    </row>
    <row r="10531" spans="1:13">
      <c r="A10531" s="33" t="str">
        <f t="shared" si="656"/>
        <v>SCL - Other Income/Expense</v>
      </c>
      <c r="B10531" s="33" t="str">
        <f t="shared" si="657"/>
        <v>SCL</v>
      </c>
      <c r="C10531" s="33" t="str">
        <f t="shared" si="658"/>
        <v>93001-7366</v>
      </c>
      <c r="D10531" s="64" t="s">
        <v>11787</v>
      </c>
      <c r="E10531" s="64" t="s">
        <v>3339</v>
      </c>
      <c r="F10531" s="64" t="s">
        <v>15</v>
      </c>
      <c r="G10531" s="64" t="s">
        <v>3017</v>
      </c>
      <c r="H10531" s="64" t="s">
        <v>3300</v>
      </c>
      <c r="I10531" s="64" t="s">
        <v>3340</v>
      </c>
      <c r="J10531" s="67">
        <v>0</v>
      </c>
      <c r="K10531" s="62">
        <v>23.96</v>
      </c>
      <c r="L10531" s="33" t="e">
        <f>HLOOKUP(B10531,#REF!,1,0)</f>
        <v>#REF!</v>
      </c>
      <c r="M10531" s="33" t="str">
        <f t="shared" si="659"/>
        <v>P&amp;L</v>
      </c>
    </row>
    <row r="10532" spans="1:13">
      <c r="A10532" s="33" t="str">
        <f t="shared" si="656"/>
        <v>SCL - Other Income/Expense</v>
      </c>
      <c r="B10532" s="33" t="str">
        <f t="shared" si="657"/>
        <v>SCL</v>
      </c>
      <c r="C10532" s="33" t="str">
        <f t="shared" si="658"/>
        <v>93001-7368</v>
      </c>
      <c r="D10532" s="64" t="s">
        <v>11788</v>
      </c>
      <c r="E10532" s="64" t="s">
        <v>3339</v>
      </c>
      <c r="F10532" s="64" t="s">
        <v>15</v>
      </c>
      <c r="G10532" s="64" t="s">
        <v>3017</v>
      </c>
      <c r="H10532" s="64" t="s">
        <v>3300</v>
      </c>
      <c r="I10532" s="64" t="s">
        <v>3340</v>
      </c>
      <c r="J10532" s="67">
        <v>0</v>
      </c>
      <c r="K10532" s="62">
        <v>35.09</v>
      </c>
      <c r="L10532" s="33" t="e">
        <f>HLOOKUP(B10532,#REF!,1,0)</f>
        <v>#REF!</v>
      </c>
      <c r="M10532" s="33" t="str">
        <f t="shared" si="659"/>
        <v>P&amp;L</v>
      </c>
    </row>
    <row r="10533" spans="1:13">
      <c r="A10533" s="33" t="str">
        <f t="shared" si="656"/>
        <v>SCL - Other Income/Expense</v>
      </c>
      <c r="B10533" s="33" t="str">
        <f t="shared" si="657"/>
        <v>SCL</v>
      </c>
      <c r="C10533" s="33" t="str">
        <f t="shared" si="658"/>
        <v>93001-7369</v>
      </c>
      <c r="D10533" s="64" t="s">
        <v>11789</v>
      </c>
      <c r="E10533" s="64" t="s">
        <v>3339</v>
      </c>
      <c r="F10533" s="64" t="s">
        <v>15</v>
      </c>
      <c r="G10533" s="64" t="s">
        <v>3017</v>
      </c>
      <c r="H10533" s="64" t="s">
        <v>3300</v>
      </c>
      <c r="I10533" s="64" t="s">
        <v>3340</v>
      </c>
      <c r="J10533" s="67">
        <v>124.53</v>
      </c>
      <c r="K10533" s="62">
        <v>134.61</v>
      </c>
      <c r="L10533" s="33" t="e">
        <f>HLOOKUP(B10533,#REF!,1,0)</f>
        <v>#REF!</v>
      </c>
      <c r="M10533" s="33" t="str">
        <f t="shared" si="659"/>
        <v>P&amp;L</v>
      </c>
    </row>
    <row r="10534" spans="1:13">
      <c r="A10534" s="33" t="str">
        <f t="shared" si="656"/>
        <v>SCL - Other Income/Expense</v>
      </c>
      <c r="B10534" s="33" t="str">
        <f t="shared" si="657"/>
        <v>SCL</v>
      </c>
      <c r="C10534" s="33" t="str">
        <f t="shared" si="658"/>
        <v>93001-7371</v>
      </c>
      <c r="D10534" s="64" t="s">
        <v>11790</v>
      </c>
      <c r="E10534" s="64" t="s">
        <v>3339</v>
      </c>
      <c r="F10534" s="64" t="s">
        <v>15</v>
      </c>
      <c r="G10534" s="64" t="s">
        <v>3017</v>
      </c>
      <c r="H10534" s="64" t="s">
        <v>3300</v>
      </c>
      <c r="I10534" s="64" t="s">
        <v>3340</v>
      </c>
      <c r="J10534" s="67">
        <v>6.48</v>
      </c>
      <c r="K10534" s="62">
        <v>17.86</v>
      </c>
      <c r="L10534" s="33" t="e">
        <f>HLOOKUP(B10534,#REF!,1,0)</f>
        <v>#REF!</v>
      </c>
      <c r="M10534" s="33" t="str">
        <f t="shared" si="659"/>
        <v>P&amp;L</v>
      </c>
    </row>
    <row r="10535" spans="1:13">
      <c r="A10535" s="33" t="str">
        <f t="shared" si="656"/>
        <v>SCL - Other Income/Expense</v>
      </c>
      <c r="B10535" s="33" t="str">
        <f t="shared" si="657"/>
        <v>SCL</v>
      </c>
      <c r="C10535" s="33" t="str">
        <f t="shared" si="658"/>
        <v>93001-7374</v>
      </c>
      <c r="D10535" s="64" t="s">
        <v>11791</v>
      </c>
      <c r="E10535" s="64" t="s">
        <v>3339</v>
      </c>
      <c r="F10535" s="64" t="s">
        <v>15</v>
      </c>
      <c r="G10535" s="64" t="s">
        <v>3017</v>
      </c>
      <c r="H10535" s="64" t="s">
        <v>3300</v>
      </c>
      <c r="I10535" s="64" t="s">
        <v>3340</v>
      </c>
      <c r="J10535" s="67">
        <v>1.09</v>
      </c>
      <c r="K10535" s="62">
        <v>79.85</v>
      </c>
      <c r="L10535" s="33" t="e">
        <f>HLOOKUP(B10535,#REF!,1,0)</f>
        <v>#REF!</v>
      </c>
      <c r="M10535" s="33" t="str">
        <f t="shared" si="659"/>
        <v>P&amp;L</v>
      </c>
    </row>
    <row r="10536" spans="1:13">
      <c r="A10536" s="33" t="str">
        <f t="shared" si="656"/>
        <v>SCL - Other Income/Expense</v>
      </c>
      <c r="B10536" s="33" t="str">
        <f t="shared" si="657"/>
        <v>SCL</v>
      </c>
      <c r="C10536" s="33" t="str">
        <f t="shared" si="658"/>
        <v>93001-7375</v>
      </c>
      <c r="D10536" s="64" t="s">
        <v>11792</v>
      </c>
      <c r="E10536" s="64" t="s">
        <v>3339</v>
      </c>
      <c r="F10536" s="64" t="s">
        <v>15</v>
      </c>
      <c r="G10536" s="64" t="s">
        <v>3017</v>
      </c>
      <c r="H10536" s="64" t="s">
        <v>3300</v>
      </c>
      <c r="I10536" s="64" t="s">
        <v>3340</v>
      </c>
      <c r="J10536" s="67">
        <v>5.51</v>
      </c>
      <c r="K10536" s="62">
        <v>14.95</v>
      </c>
      <c r="L10536" s="33" t="e">
        <f>HLOOKUP(B10536,#REF!,1,0)</f>
        <v>#REF!</v>
      </c>
      <c r="M10536" s="33" t="str">
        <f t="shared" si="659"/>
        <v>P&amp;L</v>
      </c>
    </row>
    <row r="10537" spans="1:13">
      <c r="A10537" s="33" t="str">
        <f t="shared" si="656"/>
        <v>SCL - Other Income/Expense</v>
      </c>
      <c r="B10537" s="33" t="str">
        <f t="shared" si="657"/>
        <v>SCL</v>
      </c>
      <c r="C10537" s="33" t="str">
        <f t="shared" si="658"/>
        <v>93001-7376</v>
      </c>
      <c r="D10537" s="64" t="s">
        <v>11793</v>
      </c>
      <c r="E10537" s="64" t="s">
        <v>3339</v>
      </c>
      <c r="F10537" s="64" t="s">
        <v>15</v>
      </c>
      <c r="G10537" s="64" t="s">
        <v>3017</v>
      </c>
      <c r="H10537" s="64" t="s">
        <v>3300</v>
      </c>
      <c r="I10537" s="64" t="s">
        <v>3340</v>
      </c>
      <c r="J10537" s="67">
        <v>25.93</v>
      </c>
      <c r="K10537" s="62">
        <v>300.07</v>
      </c>
      <c r="L10537" s="33" t="e">
        <f>HLOOKUP(B10537,#REF!,1,0)</f>
        <v>#REF!</v>
      </c>
      <c r="M10537" s="33" t="str">
        <f t="shared" si="659"/>
        <v>P&amp;L</v>
      </c>
    </row>
    <row r="10538" spans="1:13">
      <c r="A10538" s="33" t="str">
        <f t="shared" si="656"/>
        <v>SCL - Other Income/Expense</v>
      </c>
      <c r="B10538" s="33" t="str">
        <f t="shared" si="657"/>
        <v>SCL</v>
      </c>
      <c r="C10538" s="33" t="str">
        <f t="shared" si="658"/>
        <v>93001-7377</v>
      </c>
      <c r="D10538" s="64" t="s">
        <v>11794</v>
      </c>
      <c r="E10538" s="64" t="s">
        <v>3339</v>
      </c>
      <c r="F10538" s="64" t="s">
        <v>15</v>
      </c>
      <c r="G10538" s="64" t="s">
        <v>3017</v>
      </c>
      <c r="H10538" s="64" t="s">
        <v>3300</v>
      </c>
      <c r="I10538" s="64" t="s">
        <v>3340</v>
      </c>
      <c r="J10538" s="67">
        <v>0</v>
      </c>
      <c r="K10538" s="62">
        <v>54.48</v>
      </c>
      <c r="L10538" s="33" t="e">
        <f>HLOOKUP(B10538,#REF!,1,0)</f>
        <v>#REF!</v>
      </c>
      <c r="M10538" s="33" t="str">
        <f t="shared" si="659"/>
        <v>P&amp;L</v>
      </c>
    </row>
    <row r="10539" spans="1:13">
      <c r="A10539" s="33" t="str">
        <f t="shared" si="656"/>
        <v>SCL - Other Income/Expense</v>
      </c>
      <c r="B10539" s="33" t="str">
        <f t="shared" si="657"/>
        <v>SCL</v>
      </c>
      <c r="C10539" s="33" t="str">
        <f t="shared" si="658"/>
        <v>93001-7378</v>
      </c>
      <c r="D10539" s="64" t="s">
        <v>11795</v>
      </c>
      <c r="E10539" s="64" t="s">
        <v>3339</v>
      </c>
      <c r="F10539" s="64" t="s">
        <v>15</v>
      </c>
      <c r="G10539" s="64" t="s">
        <v>3017</v>
      </c>
      <c r="H10539" s="64" t="s">
        <v>3300</v>
      </c>
      <c r="I10539" s="64" t="s">
        <v>3340</v>
      </c>
      <c r="J10539" s="67">
        <v>87.4</v>
      </c>
      <c r="K10539" s="62">
        <v>110.69</v>
      </c>
      <c r="L10539" s="33" t="e">
        <f>HLOOKUP(B10539,#REF!,1,0)</f>
        <v>#REF!</v>
      </c>
      <c r="M10539" s="33" t="str">
        <f t="shared" si="659"/>
        <v>P&amp;L</v>
      </c>
    </row>
    <row r="10540" spans="1:13">
      <c r="A10540" s="33" t="str">
        <f t="shared" si="656"/>
        <v>SCL - Other Income/Expense</v>
      </c>
      <c r="B10540" s="33" t="str">
        <f t="shared" si="657"/>
        <v>SCL</v>
      </c>
      <c r="C10540" s="33" t="str">
        <f t="shared" si="658"/>
        <v>93001-7379</v>
      </c>
      <c r="D10540" s="64" t="s">
        <v>11796</v>
      </c>
      <c r="E10540" s="64" t="s">
        <v>3339</v>
      </c>
      <c r="F10540" s="64" t="s">
        <v>15</v>
      </c>
      <c r="G10540" s="64" t="s">
        <v>3017</v>
      </c>
      <c r="H10540" s="64" t="s">
        <v>3300</v>
      </c>
      <c r="I10540" s="64" t="s">
        <v>3340</v>
      </c>
      <c r="J10540" s="67">
        <v>0</v>
      </c>
      <c r="K10540" s="62">
        <v>16.75</v>
      </c>
      <c r="L10540" s="33" t="e">
        <f>HLOOKUP(B10540,#REF!,1,0)</f>
        <v>#REF!</v>
      </c>
      <c r="M10540" s="33" t="str">
        <f t="shared" si="659"/>
        <v>P&amp;L</v>
      </c>
    </row>
    <row r="10541" spans="1:13">
      <c r="A10541" s="33" t="str">
        <f t="shared" si="656"/>
        <v>SCL - Other Income/Expense</v>
      </c>
      <c r="B10541" s="33" t="str">
        <f t="shared" si="657"/>
        <v>SCL</v>
      </c>
      <c r="C10541" s="33" t="str">
        <f t="shared" si="658"/>
        <v>93001-7380</v>
      </c>
      <c r="D10541" s="64" t="s">
        <v>11797</v>
      </c>
      <c r="E10541" s="64" t="s">
        <v>3339</v>
      </c>
      <c r="F10541" s="64" t="s">
        <v>15</v>
      </c>
      <c r="G10541" s="64" t="s">
        <v>3017</v>
      </c>
      <c r="H10541" s="64" t="s">
        <v>3300</v>
      </c>
      <c r="I10541" s="64" t="s">
        <v>3340</v>
      </c>
      <c r="J10541" s="67">
        <v>0</v>
      </c>
      <c r="K10541" s="62">
        <v>5.58</v>
      </c>
      <c r="L10541" s="33" t="e">
        <f>HLOOKUP(B10541,#REF!,1,0)</f>
        <v>#REF!</v>
      </c>
      <c r="M10541" s="33" t="str">
        <f t="shared" si="659"/>
        <v>P&amp;L</v>
      </c>
    </row>
    <row r="10542" spans="1:13">
      <c r="A10542" s="33" t="str">
        <f t="shared" si="656"/>
        <v>SCL - Other Income/Expense</v>
      </c>
      <c r="B10542" s="33" t="str">
        <f t="shared" si="657"/>
        <v>SCL</v>
      </c>
      <c r="C10542" s="33" t="str">
        <f t="shared" si="658"/>
        <v>93001-7381</v>
      </c>
      <c r="D10542" s="64" t="s">
        <v>11798</v>
      </c>
      <c r="E10542" s="64" t="s">
        <v>3339</v>
      </c>
      <c r="F10542" s="64" t="s">
        <v>15</v>
      </c>
      <c r="G10542" s="64" t="s">
        <v>3017</v>
      </c>
      <c r="H10542" s="64" t="s">
        <v>3300</v>
      </c>
      <c r="I10542" s="64" t="s">
        <v>3340</v>
      </c>
      <c r="J10542" s="67">
        <v>0</v>
      </c>
      <c r="K10542" s="62">
        <v>108.67</v>
      </c>
      <c r="L10542" s="33" t="e">
        <f>HLOOKUP(B10542,#REF!,1,0)</f>
        <v>#REF!</v>
      </c>
      <c r="M10542" s="33" t="str">
        <f t="shared" si="659"/>
        <v>P&amp;L</v>
      </c>
    </row>
    <row r="10543" spans="1:13">
      <c r="A10543" s="33" t="str">
        <f t="shared" si="656"/>
        <v>SCL - Other Income/Expense</v>
      </c>
      <c r="B10543" s="33" t="str">
        <f t="shared" si="657"/>
        <v>SCL</v>
      </c>
      <c r="C10543" s="33" t="str">
        <f t="shared" si="658"/>
        <v>93001-7383</v>
      </c>
      <c r="D10543" s="64" t="s">
        <v>11799</v>
      </c>
      <c r="E10543" s="64" t="s">
        <v>3339</v>
      </c>
      <c r="F10543" s="64" t="s">
        <v>15</v>
      </c>
      <c r="G10543" s="64" t="s">
        <v>3017</v>
      </c>
      <c r="H10543" s="64" t="s">
        <v>3300</v>
      </c>
      <c r="I10543" s="64" t="s">
        <v>3340</v>
      </c>
      <c r="J10543" s="67">
        <v>0</v>
      </c>
      <c r="K10543" s="62">
        <v>186.44</v>
      </c>
      <c r="L10543" s="33" t="e">
        <f>HLOOKUP(B10543,#REF!,1,0)</f>
        <v>#REF!</v>
      </c>
      <c r="M10543" s="33" t="str">
        <f t="shared" si="659"/>
        <v>P&amp;L</v>
      </c>
    </row>
    <row r="10544" spans="1:13">
      <c r="A10544" s="33" t="str">
        <f t="shared" si="656"/>
        <v>SCL - Other Income/Expense</v>
      </c>
      <c r="B10544" s="33" t="str">
        <f t="shared" si="657"/>
        <v>SCL</v>
      </c>
      <c r="C10544" s="33" t="str">
        <f t="shared" si="658"/>
        <v>93001-7385</v>
      </c>
      <c r="D10544" s="64" t="s">
        <v>11800</v>
      </c>
      <c r="E10544" s="64" t="s">
        <v>3339</v>
      </c>
      <c r="F10544" s="64" t="s">
        <v>15</v>
      </c>
      <c r="G10544" s="64" t="s">
        <v>3017</v>
      </c>
      <c r="H10544" s="64" t="s">
        <v>3300</v>
      </c>
      <c r="I10544" s="64" t="s">
        <v>3340</v>
      </c>
      <c r="J10544" s="67">
        <v>0</v>
      </c>
      <c r="K10544" s="62">
        <v>51.43</v>
      </c>
      <c r="L10544" s="33" t="e">
        <f>HLOOKUP(B10544,#REF!,1,0)</f>
        <v>#REF!</v>
      </c>
      <c r="M10544" s="33" t="str">
        <f t="shared" si="659"/>
        <v>P&amp;L</v>
      </c>
    </row>
    <row r="10545" spans="1:13">
      <c r="A10545" s="33" t="str">
        <f t="shared" si="656"/>
        <v>SCL - Other Income/Expense</v>
      </c>
      <c r="B10545" s="33" t="str">
        <f t="shared" si="657"/>
        <v>SCL</v>
      </c>
      <c r="C10545" s="33" t="str">
        <f t="shared" si="658"/>
        <v>93001-7386</v>
      </c>
      <c r="D10545" s="64" t="s">
        <v>11801</v>
      </c>
      <c r="E10545" s="64" t="s">
        <v>3339</v>
      </c>
      <c r="F10545" s="64" t="s">
        <v>15</v>
      </c>
      <c r="G10545" s="64" t="s">
        <v>3017</v>
      </c>
      <c r="H10545" s="64" t="s">
        <v>3300</v>
      </c>
      <c r="I10545" s="64" t="s">
        <v>3340</v>
      </c>
      <c r="J10545" s="67">
        <v>405.94</v>
      </c>
      <c r="K10545" s="62">
        <v>456.6</v>
      </c>
      <c r="L10545" s="33" t="e">
        <f>HLOOKUP(B10545,#REF!,1,0)</f>
        <v>#REF!</v>
      </c>
      <c r="M10545" s="33" t="str">
        <f t="shared" si="659"/>
        <v>P&amp;L</v>
      </c>
    </row>
    <row r="10546" spans="1:13">
      <c r="A10546" s="33" t="str">
        <f t="shared" si="656"/>
        <v>SCL - Other Income/Expense</v>
      </c>
      <c r="B10546" s="33" t="str">
        <f t="shared" si="657"/>
        <v>SCL</v>
      </c>
      <c r="C10546" s="33" t="str">
        <f t="shared" si="658"/>
        <v>93001-7387</v>
      </c>
      <c r="D10546" s="64" t="s">
        <v>11802</v>
      </c>
      <c r="E10546" s="64" t="s">
        <v>3339</v>
      </c>
      <c r="F10546" s="64" t="s">
        <v>15</v>
      </c>
      <c r="G10546" s="64" t="s">
        <v>3017</v>
      </c>
      <c r="H10546" s="64" t="s">
        <v>3300</v>
      </c>
      <c r="I10546" s="64" t="s">
        <v>3340</v>
      </c>
      <c r="J10546" s="67">
        <v>0</v>
      </c>
      <c r="K10546" s="62">
        <v>111.36</v>
      </c>
      <c r="L10546" s="33" t="e">
        <f>HLOOKUP(B10546,#REF!,1,0)</f>
        <v>#REF!</v>
      </c>
      <c r="M10546" s="33" t="str">
        <f t="shared" si="659"/>
        <v>P&amp;L</v>
      </c>
    </row>
    <row r="10547" spans="1:13">
      <c r="A10547" s="33" t="str">
        <f t="shared" si="656"/>
        <v>SCL - Other Income/Expense</v>
      </c>
      <c r="B10547" s="33" t="str">
        <f t="shared" si="657"/>
        <v>SCL</v>
      </c>
      <c r="C10547" s="33" t="str">
        <f t="shared" si="658"/>
        <v>93001-7389</v>
      </c>
      <c r="D10547" s="64" t="s">
        <v>11803</v>
      </c>
      <c r="E10547" s="64" t="s">
        <v>3339</v>
      </c>
      <c r="F10547" s="64" t="s">
        <v>15</v>
      </c>
      <c r="G10547" s="64" t="s">
        <v>3017</v>
      </c>
      <c r="H10547" s="64" t="s">
        <v>3300</v>
      </c>
      <c r="I10547" s="64" t="s">
        <v>3340</v>
      </c>
      <c r="J10547" s="67">
        <v>0</v>
      </c>
      <c r="K10547" s="62">
        <v>63.13</v>
      </c>
      <c r="L10547" s="33" t="e">
        <f>HLOOKUP(B10547,#REF!,1,0)</f>
        <v>#REF!</v>
      </c>
      <c r="M10547" s="33" t="str">
        <f t="shared" si="659"/>
        <v>P&amp;L</v>
      </c>
    </row>
    <row r="10548" spans="1:13">
      <c r="A10548" s="33" t="str">
        <f t="shared" si="656"/>
        <v>SCL - Other Income/Expense</v>
      </c>
      <c r="B10548" s="33" t="str">
        <f t="shared" si="657"/>
        <v>SCL</v>
      </c>
      <c r="C10548" s="33" t="str">
        <f t="shared" si="658"/>
        <v>93001-7391</v>
      </c>
      <c r="D10548" s="64" t="s">
        <v>11804</v>
      </c>
      <c r="E10548" s="64" t="s">
        <v>3339</v>
      </c>
      <c r="F10548" s="64" t="s">
        <v>15</v>
      </c>
      <c r="G10548" s="64" t="s">
        <v>3017</v>
      </c>
      <c r="H10548" s="64" t="s">
        <v>3300</v>
      </c>
      <c r="I10548" s="64" t="s">
        <v>3340</v>
      </c>
      <c r="J10548" s="67">
        <v>0</v>
      </c>
      <c r="K10548" s="62">
        <v>223.26</v>
      </c>
      <c r="L10548" s="33" t="e">
        <f>HLOOKUP(B10548,#REF!,1,0)</f>
        <v>#REF!</v>
      </c>
      <c r="M10548" s="33" t="str">
        <f t="shared" si="659"/>
        <v>P&amp;L</v>
      </c>
    </row>
    <row r="10549" spans="1:13">
      <c r="A10549" s="33" t="str">
        <f t="shared" si="656"/>
        <v>SCL - Other Income/Expense</v>
      </c>
      <c r="B10549" s="33" t="str">
        <f t="shared" si="657"/>
        <v>SCL</v>
      </c>
      <c r="C10549" s="33" t="str">
        <f t="shared" si="658"/>
        <v>93001-7393</v>
      </c>
      <c r="D10549" s="64" t="s">
        <v>11805</v>
      </c>
      <c r="E10549" s="64" t="s">
        <v>3339</v>
      </c>
      <c r="F10549" s="64" t="s">
        <v>15</v>
      </c>
      <c r="G10549" s="64" t="s">
        <v>3017</v>
      </c>
      <c r="H10549" s="64" t="s">
        <v>3300</v>
      </c>
      <c r="I10549" s="64" t="s">
        <v>3340</v>
      </c>
      <c r="J10549" s="67">
        <v>8.54</v>
      </c>
      <c r="K10549" s="62">
        <v>33.06</v>
      </c>
      <c r="L10549" s="33" t="e">
        <f>HLOOKUP(B10549,#REF!,1,0)</f>
        <v>#REF!</v>
      </c>
      <c r="M10549" s="33" t="str">
        <f t="shared" si="659"/>
        <v>P&amp;L</v>
      </c>
    </row>
    <row r="10550" spans="1:13">
      <c r="A10550" s="33" t="str">
        <f t="shared" si="656"/>
        <v>SCL - Other Income/Expense</v>
      </c>
      <c r="B10550" s="33" t="str">
        <f t="shared" si="657"/>
        <v>SCL</v>
      </c>
      <c r="C10550" s="33" t="str">
        <f t="shared" si="658"/>
        <v>93001-7394</v>
      </c>
      <c r="D10550" s="64" t="s">
        <v>11806</v>
      </c>
      <c r="E10550" s="64" t="s">
        <v>3339</v>
      </c>
      <c r="F10550" s="64" t="s">
        <v>15</v>
      </c>
      <c r="G10550" s="64" t="s">
        <v>3017</v>
      </c>
      <c r="H10550" s="64" t="s">
        <v>3300</v>
      </c>
      <c r="I10550" s="64" t="s">
        <v>3340</v>
      </c>
      <c r="J10550" s="67">
        <v>208.81</v>
      </c>
      <c r="K10550" s="62">
        <v>218.89</v>
      </c>
      <c r="L10550" s="33" t="e">
        <f>HLOOKUP(B10550,#REF!,1,0)</f>
        <v>#REF!</v>
      </c>
      <c r="M10550" s="33" t="str">
        <f t="shared" si="659"/>
        <v>P&amp;L</v>
      </c>
    </row>
    <row r="10551" spans="1:13">
      <c r="A10551" s="33" t="str">
        <f t="shared" si="656"/>
        <v>SCL - Other Income/Expense</v>
      </c>
      <c r="B10551" s="33" t="str">
        <f t="shared" si="657"/>
        <v>SCL</v>
      </c>
      <c r="C10551" s="33" t="str">
        <f t="shared" si="658"/>
        <v>93001-7396</v>
      </c>
      <c r="D10551" s="64" t="s">
        <v>11807</v>
      </c>
      <c r="E10551" s="64" t="s">
        <v>3339</v>
      </c>
      <c r="F10551" s="64" t="s">
        <v>15</v>
      </c>
      <c r="G10551" s="64" t="s">
        <v>3017</v>
      </c>
      <c r="H10551" s="64" t="s">
        <v>3300</v>
      </c>
      <c r="I10551" s="64" t="s">
        <v>3340</v>
      </c>
      <c r="J10551" s="67">
        <v>0</v>
      </c>
      <c r="K10551" s="62">
        <v>240.74</v>
      </c>
      <c r="L10551" s="33" t="e">
        <f>HLOOKUP(B10551,#REF!,1,0)</f>
        <v>#REF!</v>
      </c>
      <c r="M10551" s="33" t="str">
        <f t="shared" si="659"/>
        <v>P&amp;L</v>
      </c>
    </row>
    <row r="10552" spans="1:13">
      <c r="A10552" s="33" t="str">
        <f t="shared" si="656"/>
        <v>SCL - Other Income/Expense</v>
      </c>
      <c r="B10552" s="33" t="str">
        <f t="shared" si="657"/>
        <v>SCL</v>
      </c>
      <c r="C10552" s="33" t="str">
        <f t="shared" si="658"/>
        <v>93001-7397</v>
      </c>
      <c r="D10552" s="64" t="s">
        <v>11808</v>
      </c>
      <c r="E10552" s="64" t="s">
        <v>3339</v>
      </c>
      <c r="F10552" s="64" t="s">
        <v>15</v>
      </c>
      <c r="G10552" s="64" t="s">
        <v>3017</v>
      </c>
      <c r="H10552" s="64" t="s">
        <v>3300</v>
      </c>
      <c r="I10552" s="64" t="s">
        <v>3340</v>
      </c>
      <c r="J10552" s="67">
        <v>17.06</v>
      </c>
      <c r="K10552" s="62">
        <v>235.82</v>
      </c>
      <c r="L10552" s="33" t="e">
        <f>HLOOKUP(B10552,#REF!,1,0)</f>
        <v>#REF!</v>
      </c>
      <c r="M10552" s="33" t="str">
        <f t="shared" si="659"/>
        <v>P&amp;L</v>
      </c>
    </row>
    <row r="10553" spans="1:13">
      <c r="A10553" s="33" t="str">
        <f t="shared" si="656"/>
        <v>SCL - Other Income/Expense</v>
      </c>
      <c r="B10553" s="33" t="str">
        <f t="shared" si="657"/>
        <v>SCL</v>
      </c>
      <c r="C10553" s="33" t="str">
        <f t="shared" si="658"/>
        <v>93001-7398</v>
      </c>
      <c r="D10553" s="64" t="s">
        <v>11809</v>
      </c>
      <c r="E10553" s="64" t="s">
        <v>3339</v>
      </c>
      <c r="F10553" s="64" t="s">
        <v>15</v>
      </c>
      <c r="G10553" s="64" t="s">
        <v>3017</v>
      </c>
      <c r="H10553" s="64" t="s">
        <v>3300</v>
      </c>
      <c r="I10553" s="64" t="s">
        <v>3340</v>
      </c>
      <c r="J10553" s="67">
        <v>6.34</v>
      </c>
      <c r="K10553" s="62">
        <v>26.01</v>
      </c>
      <c r="L10553" s="33" t="e">
        <f>HLOOKUP(B10553,#REF!,1,0)</f>
        <v>#REF!</v>
      </c>
      <c r="M10553" s="33" t="str">
        <f t="shared" si="659"/>
        <v>P&amp;L</v>
      </c>
    </row>
    <row r="10554" spans="1:13">
      <c r="A10554" s="33" t="str">
        <f t="shared" si="656"/>
        <v>SCL - Other Income/Expense</v>
      </c>
      <c r="B10554" s="33" t="str">
        <f t="shared" si="657"/>
        <v>SCL</v>
      </c>
      <c r="C10554" s="33" t="str">
        <f t="shared" si="658"/>
        <v>93001-7400</v>
      </c>
      <c r="D10554" s="64" t="s">
        <v>11810</v>
      </c>
      <c r="E10554" s="64" t="s">
        <v>3339</v>
      </c>
      <c r="F10554" s="64" t="s">
        <v>15</v>
      </c>
      <c r="G10554" s="64" t="s">
        <v>3017</v>
      </c>
      <c r="H10554" s="64" t="s">
        <v>3300</v>
      </c>
      <c r="I10554" s="64" t="s">
        <v>3340</v>
      </c>
      <c r="J10554" s="67">
        <v>0</v>
      </c>
      <c r="K10554" s="62">
        <v>22.54</v>
      </c>
      <c r="L10554" s="33" t="e">
        <f>HLOOKUP(B10554,#REF!,1,0)</f>
        <v>#REF!</v>
      </c>
      <c r="M10554" s="33" t="str">
        <f t="shared" si="659"/>
        <v>P&amp;L</v>
      </c>
    </row>
    <row r="10555" spans="1:13">
      <c r="A10555" s="33" t="str">
        <f t="shared" si="656"/>
        <v>SCL - Other Income/Expense</v>
      </c>
      <c r="B10555" s="33" t="str">
        <f t="shared" si="657"/>
        <v>SCL</v>
      </c>
      <c r="C10555" s="33" t="str">
        <f t="shared" si="658"/>
        <v>93001-7401</v>
      </c>
      <c r="D10555" s="64" t="s">
        <v>11811</v>
      </c>
      <c r="E10555" s="64" t="s">
        <v>3339</v>
      </c>
      <c r="F10555" s="64" t="s">
        <v>15</v>
      </c>
      <c r="G10555" s="64" t="s">
        <v>3017</v>
      </c>
      <c r="H10555" s="64" t="s">
        <v>3300</v>
      </c>
      <c r="I10555" s="64" t="s">
        <v>3340</v>
      </c>
      <c r="J10555" s="67">
        <v>30.72</v>
      </c>
      <c r="K10555" s="62">
        <v>47.25</v>
      </c>
      <c r="L10555" s="33" t="e">
        <f>HLOOKUP(B10555,#REF!,1,0)</f>
        <v>#REF!</v>
      </c>
      <c r="M10555" s="33" t="str">
        <f t="shared" si="659"/>
        <v>P&amp;L</v>
      </c>
    </row>
    <row r="10556" spans="1:13">
      <c r="A10556" s="33" t="str">
        <f t="shared" si="656"/>
        <v>SCL - Other Income/Expense</v>
      </c>
      <c r="B10556" s="33" t="str">
        <f t="shared" si="657"/>
        <v>SCL</v>
      </c>
      <c r="C10556" s="33" t="str">
        <f t="shared" si="658"/>
        <v>93001-7402</v>
      </c>
      <c r="D10556" s="64" t="s">
        <v>11812</v>
      </c>
      <c r="E10556" s="64" t="s">
        <v>3339</v>
      </c>
      <c r="F10556" s="64" t="s">
        <v>15</v>
      </c>
      <c r="G10556" s="64" t="s">
        <v>3017</v>
      </c>
      <c r="H10556" s="64" t="s">
        <v>3300</v>
      </c>
      <c r="I10556" s="64" t="s">
        <v>3340</v>
      </c>
      <c r="J10556" s="67">
        <v>0</v>
      </c>
      <c r="K10556" s="62">
        <v>29.3</v>
      </c>
      <c r="L10556" s="33" t="e">
        <f>HLOOKUP(B10556,#REF!,1,0)</f>
        <v>#REF!</v>
      </c>
      <c r="M10556" s="33" t="str">
        <f t="shared" si="659"/>
        <v>P&amp;L</v>
      </c>
    </row>
    <row r="10557" spans="1:13">
      <c r="A10557" s="33" t="str">
        <f t="shared" si="656"/>
        <v>SCL - Other Income/Expense</v>
      </c>
      <c r="B10557" s="33" t="str">
        <f t="shared" si="657"/>
        <v>SCL</v>
      </c>
      <c r="C10557" s="33" t="str">
        <f t="shared" si="658"/>
        <v>93001-7403</v>
      </c>
      <c r="D10557" s="64" t="s">
        <v>11813</v>
      </c>
      <c r="E10557" s="64" t="s">
        <v>3339</v>
      </c>
      <c r="F10557" s="64" t="s">
        <v>15</v>
      </c>
      <c r="G10557" s="64" t="s">
        <v>3017</v>
      </c>
      <c r="H10557" s="64" t="s">
        <v>3300</v>
      </c>
      <c r="I10557" s="64" t="s">
        <v>3340</v>
      </c>
      <c r="J10557" s="67">
        <v>26.37</v>
      </c>
      <c r="K10557" s="62">
        <v>39.27</v>
      </c>
      <c r="L10557" s="33" t="e">
        <f>HLOOKUP(B10557,#REF!,1,0)</f>
        <v>#REF!</v>
      </c>
      <c r="M10557" s="33" t="str">
        <f t="shared" si="659"/>
        <v>P&amp;L</v>
      </c>
    </row>
    <row r="10558" spans="1:13">
      <c r="A10558" s="33" t="str">
        <f t="shared" si="656"/>
        <v>SCL - Other Income/Expense</v>
      </c>
      <c r="B10558" s="33" t="str">
        <f t="shared" si="657"/>
        <v>SCL</v>
      </c>
      <c r="C10558" s="33" t="str">
        <f t="shared" si="658"/>
        <v>93001-7489</v>
      </c>
      <c r="D10558" s="64" t="s">
        <v>11814</v>
      </c>
      <c r="E10558" s="64" t="s">
        <v>3339</v>
      </c>
      <c r="F10558" s="64" t="s">
        <v>15</v>
      </c>
      <c r="G10558" s="64" t="s">
        <v>3017</v>
      </c>
      <c r="H10558" s="64" t="s">
        <v>3300</v>
      </c>
      <c r="I10558" s="64" t="s">
        <v>3340</v>
      </c>
      <c r="J10558" s="67">
        <v>25.85</v>
      </c>
      <c r="K10558" s="62">
        <v>72.73</v>
      </c>
      <c r="L10558" s="33" t="e">
        <f>HLOOKUP(B10558,#REF!,1,0)</f>
        <v>#REF!</v>
      </c>
      <c r="M10558" s="33" t="str">
        <f t="shared" si="659"/>
        <v>P&amp;L</v>
      </c>
    </row>
    <row r="10559" spans="1:13">
      <c r="A10559" s="33" t="str">
        <f t="shared" si="656"/>
        <v>SCL - Other Income/Expense</v>
      </c>
      <c r="B10559" s="33" t="str">
        <f t="shared" si="657"/>
        <v>SCL</v>
      </c>
      <c r="C10559" s="33" t="str">
        <f t="shared" si="658"/>
        <v>93001-7491</v>
      </c>
      <c r="D10559" s="64" t="s">
        <v>11815</v>
      </c>
      <c r="E10559" s="64" t="s">
        <v>3339</v>
      </c>
      <c r="F10559" s="64" t="s">
        <v>15</v>
      </c>
      <c r="G10559" s="64" t="s">
        <v>3017</v>
      </c>
      <c r="H10559" s="64" t="s">
        <v>3300</v>
      </c>
      <c r="I10559" s="64" t="s">
        <v>3340</v>
      </c>
      <c r="J10559" s="67">
        <v>0</v>
      </c>
      <c r="K10559" s="62">
        <v>140.34</v>
      </c>
      <c r="L10559" s="33" t="e">
        <f>HLOOKUP(B10559,#REF!,1,0)</f>
        <v>#REF!</v>
      </c>
      <c r="M10559" s="33" t="str">
        <f t="shared" si="659"/>
        <v>P&amp;L</v>
      </c>
    </row>
    <row r="10560" spans="1:13">
      <c r="A10560" s="33" t="str">
        <f t="shared" si="656"/>
        <v>SCL - Other Income/Expense</v>
      </c>
      <c r="B10560" s="33" t="str">
        <f t="shared" si="657"/>
        <v>SCL</v>
      </c>
      <c r="C10560" s="33" t="str">
        <f t="shared" si="658"/>
        <v>93001-7492</v>
      </c>
      <c r="D10560" s="64" t="s">
        <v>11816</v>
      </c>
      <c r="E10560" s="64" t="s">
        <v>3339</v>
      </c>
      <c r="F10560" s="64" t="s">
        <v>15</v>
      </c>
      <c r="G10560" s="64" t="s">
        <v>3017</v>
      </c>
      <c r="H10560" s="64" t="s">
        <v>3300</v>
      </c>
      <c r="I10560" s="64" t="s">
        <v>3340</v>
      </c>
      <c r="J10560" s="67">
        <v>5.51</v>
      </c>
      <c r="K10560" s="62">
        <v>155.26</v>
      </c>
      <c r="L10560" s="33" t="e">
        <f>HLOOKUP(B10560,#REF!,1,0)</f>
        <v>#REF!</v>
      </c>
      <c r="M10560" s="33" t="str">
        <f t="shared" si="659"/>
        <v>P&amp;L</v>
      </c>
    </row>
    <row r="10561" spans="1:13">
      <c r="A10561" s="33" t="str">
        <f t="shared" si="656"/>
        <v>SCL - Other Income/Expense</v>
      </c>
      <c r="B10561" s="33" t="str">
        <f t="shared" si="657"/>
        <v>SCL</v>
      </c>
      <c r="C10561" s="33" t="str">
        <f t="shared" si="658"/>
        <v>93001-7493</v>
      </c>
      <c r="D10561" s="64" t="s">
        <v>11817</v>
      </c>
      <c r="E10561" s="64" t="s">
        <v>3339</v>
      </c>
      <c r="F10561" s="64" t="s">
        <v>15</v>
      </c>
      <c r="G10561" s="64" t="s">
        <v>3017</v>
      </c>
      <c r="H10561" s="64" t="s">
        <v>3300</v>
      </c>
      <c r="I10561" s="64" t="s">
        <v>3340</v>
      </c>
      <c r="J10561" s="67">
        <v>0</v>
      </c>
      <c r="K10561" s="62">
        <v>35.35</v>
      </c>
      <c r="L10561" s="33" t="e">
        <f>HLOOKUP(B10561,#REF!,1,0)</f>
        <v>#REF!</v>
      </c>
      <c r="M10561" s="33" t="str">
        <f t="shared" si="659"/>
        <v>P&amp;L</v>
      </c>
    </row>
    <row r="10562" spans="1:13">
      <c r="A10562" s="33" t="str">
        <f t="shared" ref="A10562:A10625" si="660">B10562&amp;" - "&amp;TRIM(H10562)</f>
        <v>SCL - Other Income/Expense</v>
      </c>
      <c r="B10562" s="33" t="str">
        <f t="shared" ref="B10562:B10625" si="661">LEFT(D10562,3)</f>
        <v>SCL</v>
      </c>
      <c r="C10562" s="33" t="str">
        <f t="shared" ref="C10562:C10625" si="662">RIGHT(D10562,10)</f>
        <v>93001-7494</v>
      </c>
      <c r="D10562" s="64" t="s">
        <v>11818</v>
      </c>
      <c r="E10562" s="64" t="s">
        <v>3339</v>
      </c>
      <c r="F10562" s="64" t="s">
        <v>15</v>
      </c>
      <c r="G10562" s="64" t="s">
        <v>3017</v>
      </c>
      <c r="H10562" s="64" t="s">
        <v>3300</v>
      </c>
      <c r="I10562" s="64" t="s">
        <v>3340</v>
      </c>
      <c r="J10562" s="67">
        <v>0</v>
      </c>
      <c r="K10562" s="62">
        <v>15.46</v>
      </c>
      <c r="L10562" s="33" t="e">
        <f>HLOOKUP(B10562,#REF!,1,0)</f>
        <v>#REF!</v>
      </c>
      <c r="M10562" s="33" t="str">
        <f t="shared" ref="M10562:M10625" si="663">IF(VALUE(LEFT(C10562,5))&gt;40000,"P&amp;L","BS")</f>
        <v>P&amp;L</v>
      </c>
    </row>
    <row r="10563" spans="1:13">
      <c r="A10563" s="33" t="str">
        <f t="shared" si="660"/>
        <v>SCL - Other Income/Expense</v>
      </c>
      <c r="B10563" s="33" t="str">
        <f t="shared" si="661"/>
        <v>SCL</v>
      </c>
      <c r="C10563" s="33" t="str">
        <f t="shared" si="662"/>
        <v>93001-7625</v>
      </c>
      <c r="D10563" s="64" t="s">
        <v>11819</v>
      </c>
      <c r="E10563" s="64" t="s">
        <v>3339</v>
      </c>
      <c r="F10563" s="64" t="s">
        <v>15</v>
      </c>
      <c r="G10563" s="64" t="s">
        <v>3017</v>
      </c>
      <c r="H10563" s="64" t="s">
        <v>3300</v>
      </c>
      <c r="I10563" s="64" t="s">
        <v>3340</v>
      </c>
      <c r="J10563" s="67">
        <v>5.51</v>
      </c>
      <c r="K10563" s="62">
        <v>11.1</v>
      </c>
      <c r="L10563" s="33" t="e">
        <f>HLOOKUP(B10563,#REF!,1,0)</f>
        <v>#REF!</v>
      </c>
      <c r="M10563" s="33" t="str">
        <f t="shared" si="663"/>
        <v>P&amp;L</v>
      </c>
    </row>
    <row r="10564" spans="1:13">
      <c r="A10564" s="33" t="str">
        <f t="shared" si="660"/>
        <v>SCL - Other Income/Expense</v>
      </c>
      <c r="B10564" s="33" t="str">
        <f t="shared" si="661"/>
        <v>SCL</v>
      </c>
      <c r="C10564" s="33" t="str">
        <f t="shared" si="662"/>
        <v>93001-8150</v>
      </c>
      <c r="D10564" s="64" t="s">
        <v>11820</v>
      </c>
      <c r="E10564" s="64" t="s">
        <v>3339</v>
      </c>
      <c r="F10564" s="64" t="s">
        <v>15</v>
      </c>
      <c r="G10564" s="64" t="s">
        <v>3017</v>
      </c>
      <c r="H10564" s="64" t="s">
        <v>3300</v>
      </c>
      <c r="I10564" s="64" t="s">
        <v>3340</v>
      </c>
      <c r="J10564" s="67">
        <v>0</v>
      </c>
      <c r="K10564" s="62">
        <v>60.29</v>
      </c>
      <c r="L10564" s="33" t="e">
        <f>HLOOKUP(B10564,#REF!,1,0)</f>
        <v>#REF!</v>
      </c>
      <c r="M10564" s="33" t="str">
        <f t="shared" si="663"/>
        <v>P&amp;L</v>
      </c>
    </row>
    <row r="10565" spans="1:13">
      <c r="A10565" s="33" t="str">
        <f t="shared" si="660"/>
        <v>SCL - Other Income/Expense</v>
      </c>
      <c r="B10565" s="33" t="str">
        <f t="shared" si="661"/>
        <v>SCL</v>
      </c>
      <c r="C10565" s="33" t="str">
        <f t="shared" si="662"/>
        <v>93201-0000</v>
      </c>
      <c r="D10565" s="64" t="s">
        <v>11821</v>
      </c>
      <c r="E10565" s="64" t="s">
        <v>3226</v>
      </c>
      <c r="F10565" s="64" t="s">
        <v>15</v>
      </c>
      <c r="G10565" s="64" t="s">
        <v>3017</v>
      </c>
      <c r="H10565" s="64" t="s">
        <v>3300</v>
      </c>
      <c r="I10565" s="64" t="s">
        <v>3342</v>
      </c>
      <c r="J10565" s="67">
        <v>508.65</v>
      </c>
      <c r="K10565" s="62">
        <v>8511.97</v>
      </c>
      <c r="L10565" s="33" t="e">
        <f>HLOOKUP(B10565,#REF!,1,0)</f>
        <v>#REF!</v>
      </c>
      <c r="M10565" s="33" t="str">
        <f t="shared" si="663"/>
        <v>P&amp;L</v>
      </c>
    </row>
    <row r="10566" spans="1:13">
      <c r="A10566" s="33" t="str">
        <f t="shared" si="660"/>
        <v>SCL - Other Income/Expense</v>
      </c>
      <c r="B10566" s="33" t="str">
        <f t="shared" si="661"/>
        <v>SCL</v>
      </c>
      <c r="C10566" s="33" t="str">
        <f t="shared" si="662"/>
        <v>93201-7351</v>
      </c>
      <c r="D10566" s="64" t="s">
        <v>11822</v>
      </c>
      <c r="E10566" s="64" t="s">
        <v>3226</v>
      </c>
      <c r="F10566" s="64" t="s">
        <v>15</v>
      </c>
      <c r="G10566" s="64" t="s">
        <v>3017</v>
      </c>
      <c r="H10566" s="64" t="s">
        <v>3300</v>
      </c>
      <c r="I10566" s="64" t="s">
        <v>3342</v>
      </c>
      <c r="J10566" s="67">
        <v>57</v>
      </c>
      <c r="K10566" s="62">
        <v>570</v>
      </c>
      <c r="L10566" s="33" t="e">
        <f>HLOOKUP(B10566,#REF!,1,0)</f>
        <v>#REF!</v>
      </c>
      <c r="M10566" s="33" t="str">
        <f t="shared" si="663"/>
        <v>P&amp;L</v>
      </c>
    </row>
    <row r="10567" spans="1:13">
      <c r="A10567" s="33" t="str">
        <f t="shared" si="660"/>
        <v>SCL - Other Income/Expense</v>
      </c>
      <c r="B10567" s="33" t="str">
        <f t="shared" si="661"/>
        <v>SCL</v>
      </c>
      <c r="C10567" s="33" t="str">
        <f t="shared" si="662"/>
        <v>93201-7352</v>
      </c>
      <c r="D10567" s="64" t="s">
        <v>11823</v>
      </c>
      <c r="E10567" s="64" t="s">
        <v>3226</v>
      </c>
      <c r="F10567" s="64" t="s">
        <v>15</v>
      </c>
      <c r="G10567" s="64" t="s">
        <v>3017</v>
      </c>
      <c r="H10567" s="64" t="s">
        <v>3300</v>
      </c>
      <c r="I10567" s="64" t="s">
        <v>3342</v>
      </c>
      <c r="J10567" s="67">
        <v>57</v>
      </c>
      <c r="K10567" s="62">
        <v>570</v>
      </c>
      <c r="L10567" s="33" t="e">
        <f>HLOOKUP(B10567,#REF!,1,0)</f>
        <v>#REF!</v>
      </c>
      <c r="M10567" s="33" t="str">
        <f t="shared" si="663"/>
        <v>P&amp;L</v>
      </c>
    </row>
    <row r="10568" spans="1:13">
      <c r="A10568" s="33" t="str">
        <f t="shared" si="660"/>
        <v>SCL - Other Income/Expense</v>
      </c>
      <c r="B10568" s="33" t="str">
        <f t="shared" si="661"/>
        <v>SCL</v>
      </c>
      <c r="C10568" s="33" t="str">
        <f t="shared" si="662"/>
        <v>93201-7355</v>
      </c>
      <c r="D10568" s="64" t="s">
        <v>11824</v>
      </c>
      <c r="E10568" s="64" t="s">
        <v>3226</v>
      </c>
      <c r="F10568" s="64" t="s">
        <v>15</v>
      </c>
      <c r="G10568" s="64" t="s">
        <v>3017</v>
      </c>
      <c r="H10568" s="64" t="s">
        <v>3300</v>
      </c>
      <c r="I10568" s="64" t="s">
        <v>3342</v>
      </c>
      <c r="J10568" s="67">
        <v>57</v>
      </c>
      <c r="K10568" s="62">
        <v>570</v>
      </c>
      <c r="L10568" s="33" t="e">
        <f>HLOOKUP(B10568,#REF!,1,0)</f>
        <v>#REF!</v>
      </c>
      <c r="M10568" s="33" t="str">
        <f t="shared" si="663"/>
        <v>P&amp;L</v>
      </c>
    </row>
    <row r="10569" spans="1:13">
      <c r="A10569" s="33" t="str">
        <f t="shared" si="660"/>
        <v>SCL - Other Income/Expense</v>
      </c>
      <c r="B10569" s="33" t="str">
        <f t="shared" si="661"/>
        <v>SCL</v>
      </c>
      <c r="C10569" s="33" t="str">
        <f t="shared" si="662"/>
        <v>93201-7356</v>
      </c>
      <c r="D10569" s="64" t="s">
        <v>11825</v>
      </c>
      <c r="E10569" s="64" t="s">
        <v>3226</v>
      </c>
      <c r="F10569" s="64" t="s">
        <v>15</v>
      </c>
      <c r="G10569" s="64" t="s">
        <v>3017</v>
      </c>
      <c r="H10569" s="64" t="s">
        <v>3300</v>
      </c>
      <c r="I10569" s="64" t="s">
        <v>3342</v>
      </c>
      <c r="J10569" s="67">
        <v>0</v>
      </c>
      <c r="K10569" s="62">
        <v>114</v>
      </c>
      <c r="L10569" s="33" t="e">
        <f>HLOOKUP(B10569,#REF!,1,0)</f>
        <v>#REF!</v>
      </c>
      <c r="M10569" s="33" t="str">
        <f t="shared" si="663"/>
        <v>P&amp;L</v>
      </c>
    </row>
    <row r="10570" spans="1:13">
      <c r="A10570" s="33" t="str">
        <f t="shared" si="660"/>
        <v>SCL - Other Income/Expense</v>
      </c>
      <c r="B10570" s="33" t="str">
        <f t="shared" si="661"/>
        <v>SCL</v>
      </c>
      <c r="C10570" s="33" t="str">
        <f t="shared" si="662"/>
        <v>93201-7359</v>
      </c>
      <c r="D10570" s="64" t="s">
        <v>11826</v>
      </c>
      <c r="E10570" s="64" t="s">
        <v>3226</v>
      </c>
      <c r="F10570" s="64" t="s">
        <v>15</v>
      </c>
      <c r="G10570" s="64" t="s">
        <v>3017</v>
      </c>
      <c r="H10570" s="64" t="s">
        <v>3300</v>
      </c>
      <c r="I10570" s="64" t="s">
        <v>3342</v>
      </c>
      <c r="J10570" s="67">
        <v>57</v>
      </c>
      <c r="K10570" s="62">
        <v>570</v>
      </c>
      <c r="L10570" s="33" t="e">
        <f>HLOOKUP(B10570,#REF!,1,0)</f>
        <v>#REF!</v>
      </c>
      <c r="M10570" s="33" t="str">
        <f t="shared" si="663"/>
        <v>P&amp;L</v>
      </c>
    </row>
    <row r="10571" spans="1:13">
      <c r="A10571" s="33" t="str">
        <f t="shared" si="660"/>
        <v>SCL - Other Income/Expense</v>
      </c>
      <c r="B10571" s="33" t="str">
        <f t="shared" si="661"/>
        <v>SCL</v>
      </c>
      <c r="C10571" s="33" t="str">
        <f t="shared" si="662"/>
        <v>93201-7360</v>
      </c>
      <c r="D10571" s="64" t="s">
        <v>11827</v>
      </c>
      <c r="E10571" s="64" t="s">
        <v>3226</v>
      </c>
      <c r="F10571" s="64" t="s">
        <v>15</v>
      </c>
      <c r="G10571" s="64" t="s">
        <v>3017</v>
      </c>
      <c r="H10571" s="64" t="s">
        <v>3300</v>
      </c>
      <c r="I10571" s="64" t="s">
        <v>3342</v>
      </c>
      <c r="J10571" s="67">
        <v>57</v>
      </c>
      <c r="K10571" s="62">
        <v>570</v>
      </c>
      <c r="L10571" s="33" t="e">
        <f>HLOOKUP(B10571,#REF!,1,0)</f>
        <v>#REF!</v>
      </c>
      <c r="M10571" s="33" t="str">
        <f t="shared" si="663"/>
        <v>P&amp;L</v>
      </c>
    </row>
    <row r="10572" spans="1:13">
      <c r="A10572" s="33" t="str">
        <f t="shared" si="660"/>
        <v>SCL - Other Income/Expense</v>
      </c>
      <c r="B10572" s="33" t="str">
        <f t="shared" si="661"/>
        <v>SCL</v>
      </c>
      <c r="C10572" s="33" t="str">
        <f t="shared" si="662"/>
        <v>93201-7361</v>
      </c>
      <c r="D10572" s="64" t="s">
        <v>11828</v>
      </c>
      <c r="E10572" s="64" t="s">
        <v>3226</v>
      </c>
      <c r="F10572" s="64" t="s">
        <v>15</v>
      </c>
      <c r="G10572" s="64" t="s">
        <v>3017</v>
      </c>
      <c r="H10572" s="64" t="s">
        <v>3300</v>
      </c>
      <c r="I10572" s="64" t="s">
        <v>3342</v>
      </c>
      <c r="J10572" s="67">
        <v>57</v>
      </c>
      <c r="K10572" s="62">
        <v>570</v>
      </c>
      <c r="L10572" s="33" t="e">
        <f>HLOOKUP(B10572,#REF!,1,0)</f>
        <v>#REF!</v>
      </c>
      <c r="M10572" s="33" t="str">
        <f t="shared" si="663"/>
        <v>P&amp;L</v>
      </c>
    </row>
    <row r="10573" spans="1:13">
      <c r="A10573" s="33" t="str">
        <f t="shared" si="660"/>
        <v>SCL - Other Income/Expense</v>
      </c>
      <c r="B10573" s="33" t="str">
        <f t="shared" si="661"/>
        <v>SCL</v>
      </c>
      <c r="C10573" s="33" t="str">
        <f t="shared" si="662"/>
        <v>93201-7362</v>
      </c>
      <c r="D10573" s="64" t="s">
        <v>11829</v>
      </c>
      <c r="E10573" s="64" t="s">
        <v>3226</v>
      </c>
      <c r="F10573" s="64" t="s">
        <v>15</v>
      </c>
      <c r="G10573" s="64" t="s">
        <v>3017</v>
      </c>
      <c r="H10573" s="64" t="s">
        <v>3300</v>
      </c>
      <c r="I10573" s="64" t="s">
        <v>3342</v>
      </c>
      <c r="J10573" s="67">
        <v>57</v>
      </c>
      <c r="K10573" s="62">
        <v>570</v>
      </c>
      <c r="L10573" s="33" t="e">
        <f>HLOOKUP(B10573,#REF!,1,0)</f>
        <v>#REF!</v>
      </c>
      <c r="M10573" s="33" t="str">
        <f t="shared" si="663"/>
        <v>P&amp;L</v>
      </c>
    </row>
    <row r="10574" spans="1:13">
      <c r="A10574" s="33" t="str">
        <f t="shared" si="660"/>
        <v>SCL - Other Income/Expense</v>
      </c>
      <c r="B10574" s="33" t="str">
        <f t="shared" si="661"/>
        <v>SCL</v>
      </c>
      <c r="C10574" s="33" t="str">
        <f t="shared" si="662"/>
        <v>93201-7363</v>
      </c>
      <c r="D10574" s="64" t="s">
        <v>11830</v>
      </c>
      <c r="E10574" s="64" t="s">
        <v>3226</v>
      </c>
      <c r="F10574" s="64" t="s">
        <v>15</v>
      </c>
      <c r="G10574" s="64" t="s">
        <v>3017</v>
      </c>
      <c r="H10574" s="64" t="s">
        <v>3300</v>
      </c>
      <c r="I10574" s="64" t="s">
        <v>3342</v>
      </c>
      <c r="J10574" s="67">
        <v>57</v>
      </c>
      <c r="K10574" s="62">
        <v>570</v>
      </c>
      <c r="L10574" s="33" t="e">
        <f>HLOOKUP(B10574,#REF!,1,0)</f>
        <v>#REF!</v>
      </c>
      <c r="M10574" s="33" t="str">
        <f t="shared" si="663"/>
        <v>P&amp;L</v>
      </c>
    </row>
    <row r="10575" spans="1:13">
      <c r="A10575" s="33" t="str">
        <f t="shared" si="660"/>
        <v>SCL - Other Income/Expense</v>
      </c>
      <c r="B10575" s="33" t="str">
        <f t="shared" si="661"/>
        <v>SCL</v>
      </c>
      <c r="C10575" s="33" t="str">
        <f t="shared" si="662"/>
        <v>93201-7364</v>
      </c>
      <c r="D10575" s="64" t="s">
        <v>11831</v>
      </c>
      <c r="E10575" s="64" t="s">
        <v>3226</v>
      </c>
      <c r="F10575" s="64" t="s">
        <v>15</v>
      </c>
      <c r="G10575" s="64" t="s">
        <v>3017</v>
      </c>
      <c r="H10575" s="64" t="s">
        <v>3300</v>
      </c>
      <c r="I10575" s="64" t="s">
        <v>3342</v>
      </c>
      <c r="J10575" s="67">
        <v>57</v>
      </c>
      <c r="K10575" s="62">
        <v>570</v>
      </c>
      <c r="L10575" s="33" t="e">
        <f>HLOOKUP(B10575,#REF!,1,0)</f>
        <v>#REF!</v>
      </c>
      <c r="M10575" s="33" t="str">
        <f t="shared" si="663"/>
        <v>P&amp;L</v>
      </c>
    </row>
    <row r="10576" spans="1:13">
      <c r="A10576" s="33" t="str">
        <f t="shared" si="660"/>
        <v>SCL - Other Income/Expense</v>
      </c>
      <c r="B10576" s="33" t="str">
        <f t="shared" si="661"/>
        <v>SCL</v>
      </c>
      <c r="C10576" s="33" t="str">
        <f t="shared" si="662"/>
        <v>93201-7365</v>
      </c>
      <c r="D10576" s="64" t="s">
        <v>11832</v>
      </c>
      <c r="E10576" s="64" t="s">
        <v>3226</v>
      </c>
      <c r="F10576" s="64" t="s">
        <v>15</v>
      </c>
      <c r="G10576" s="64" t="s">
        <v>3017</v>
      </c>
      <c r="H10576" s="64" t="s">
        <v>3300</v>
      </c>
      <c r="I10576" s="64" t="s">
        <v>3342</v>
      </c>
      <c r="J10576" s="67">
        <v>57</v>
      </c>
      <c r="K10576" s="62">
        <v>572.15</v>
      </c>
      <c r="L10576" s="33" t="e">
        <f>HLOOKUP(B10576,#REF!,1,0)</f>
        <v>#REF!</v>
      </c>
      <c r="M10576" s="33" t="str">
        <f t="shared" si="663"/>
        <v>P&amp;L</v>
      </c>
    </row>
    <row r="10577" spans="1:13">
      <c r="A10577" s="33" t="str">
        <f t="shared" si="660"/>
        <v>SCL - Other Income/Expense</v>
      </c>
      <c r="B10577" s="33" t="str">
        <f t="shared" si="661"/>
        <v>SCL</v>
      </c>
      <c r="C10577" s="33" t="str">
        <f t="shared" si="662"/>
        <v>93201-7366</v>
      </c>
      <c r="D10577" s="64" t="s">
        <v>11833</v>
      </c>
      <c r="E10577" s="64" t="s">
        <v>3226</v>
      </c>
      <c r="F10577" s="64" t="s">
        <v>15</v>
      </c>
      <c r="G10577" s="64" t="s">
        <v>3017</v>
      </c>
      <c r="H10577" s="64" t="s">
        <v>3300</v>
      </c>
      <c r="I10577" s="64" t="s">
        <v>3342</v>
      </c>
      <c r="J10577" s="67">
        <v>57</v>
      </c>
      <c r="K10577" s="62">
        <v>570</v>
      </c>
      <c r="L10577" s="33" t="e">
        <f>HLOOKUP(B10577,#REF!,1,0)</f>
        <v>#REF!</v>
      </c>
      <c r="M10577" s="33" t="str">
        <f t="shared" si="663"/>
        <v>P&amp;L</v>
      </c>
    </row>
    <row r="10578" spans="1:13">
      <c r="A10578" s="33" t="str">
        <f t="shared" si="660"/>
        <v>SCL - Other Income/Expense</v>
      </c>
      <c r="B10578" s="33" t="str">
        <f t="shared" si="661"/>
        <v>SCL</v>
      </c>
      <c r="C10578" s="33" t="str">
        <f t="shared" si="662"/>
        <v>93201-7368</v>
      </c>
      <c r="D10578" s="64" t="s">
        <v>11834</v>
      </c>
      <c r="E10578" s="64" t="s">
        <v>3226</v>
      </c>
      <c r="F10578" s="64" t="s">
        <v>15</v>
      </c>
      <c r="G10578" s="64" t="s">
        <v>3017</v>
      </c>
      <c r="H10578" s="64" t="s">
        <v>3300</v>
      </c>
      <c r="I10578" s="64" t="s">
        <v>3342</v>
      </c>
      <c r="J10578" s="67">
        <v>57</v>
      </c>
      <c r="K10578" s="62">
        <v>570</v>
      </c>
      <c r="L10578" s="33" t="e">
        <f>HLOOKUP(B10578,#REF!,1,0)</f>
        <v>#REF!</v>
      </c>
      <c r="M10578" s="33" t="str">
        <f t="shared" si="663"/>
        <v>P&amp;L</v>
      </c>
    </row>
    <row r="10579" spans="1:13">
      <c r="A10579" s="33" t="str">
        <f t="shared" si="660"/>
        <v>SCL - Other Income/Expense</v>
      </c>
      <c r="B10579" s="33" t="str">
        <f t="shared" si="661"/>
        <v>SCL</v>
      </c>
      <c r="C10579" s="33" t="str">
        <f t="shared" si="662"/>
        <v>93201-7369</v>
      </c>
      <c r="D10579" s="64" t="s">
        <v>11835</v>
      </c>
      <c r="E10579" s="64" t="s">
        <v>3226</v>
      </c>
      <c r="F10579" s="64" t="s">
        <v>15</v>
      </c>
      <c r="G10579" s="64" t="s">
        <v>3017</v>
      </c>
      <c r="H10579" s="64" t="s">
        <v>3300</v>
      </c>
      <c r="I10579" s="64" t="s">
        <v>3342</v>
      </c>
      <c r="J10579" s="67">
        <v>57</v>
      </c>
      <c r="K10579" s="62">
        <v>572.15</v>
      </c>
      <c r="L10579" s="33" t="e">
        <f>HLOOKUP(B10579,#REF!,1,0)</f>
        <v>#REF!</v>
      </c>
      <c r="M10579" s="33" t="str">
        <f t="shared" si="663"/>
        <v>P&amp;L</v>
      </c>
    </row>
    <row r="10580" spans="1:13">
      <c r="A10580" s="33" t="str">
        <f t="shared" si="660"/>
        <v>SCL - Other Income/Expense</v>
      </c>
      <c r="B10580" s="33" t="str">
        <f t="shared" si="661"/>
        <v>SCL</v>
      </c>
      <c r="C10580" s="33" t="str">
        <f t="shared" si="662"/>
        <v>93201-7371</v>
      </c>
      <c r="D10580" s="64" t="s">
        <v>11836</v>
      </c>
      <c r="E10580" s="64" t="s">
        <v>3226</v>
      </c>
      <c r="F10580" s="64" t="s">
        <v>15</v>
      </c>
      <c r="G10580" s="64" t="s">
        <v>3017</v>
      </c>
      <c r="H10580" s="64" t="s">
        <v>3300</v>
      </c>
      <c r="I10580" s="64" t="s">
        <v>3342</v>
      </c>
      <c r="J10580" s="67">
        <v>57</v>
      </c>
      <c r="K10580" s="62">
        <v>570</v>
      </c>
      <c r="L10580" s="33" t="e">
        <f>HLOOKUP(B10580,#REF!,1,0)</f>
        <v>#REF!</v>
      </c>
      <c r="M10580" s="33" t="str">
        <f t="shared" si="663"/>
        <v>P&amp;L</v>
      </c>
    </row>
    <row r="10581" spans="1:13">
      <c r="A10581" s="33" t="str">
        <f t="shared" si="660"/>
        <v>SCL - Other Income/Expense</v>
      </c>
      <c r="B10581" s="33" t="str">
        <f t="shared" si="661"/>
        <v>SCL</v>
      </c>
      <c r="C10581" s="33" t="str">
        <f t="shared" si="662"/>
        <v>93201-7374</v>
      </c>
      <c r="D10581" s="64" t="s">
        <v>11837</v>
      </c>
      <c r="E10581" s="64" t="s">
        <v>3226</v>
      </c>
      <c r="F10581" s="64" t="s">
        <v>15</v>
      </c>
      <c r="G10581" s="64" t="s">
        <v>3017</v>
      </c>
      <c r="H10581" s="64" t="s">
        <v>3300</v>
      </c>
      <c r="I10581" s="64" t="s">
        <v>3342</v>
      </c>
      <c r="J10581" s="67">
        <v>57</v>
      </c>
      <c r="K10581" s="62">
        <v>570</v>
      </c>
      <c r="L10581" s="33" t="e">
        <f>HLOOKUP(B10581,#REF!,1,0)</f>
        <v>#REF!</v>
      </c>
      <c r="M10581" s="33" t="str">
        <f t="shared" si="663"/>
        <v>P&amp;L</v>
      </c>
    </row>
    <row r="10582" spans="1:13">
      <c r="A10582" s="33" t="str">
        <f t="shared" si="660"/>
        <v>SCL - Other Income/Expense</v>
      </c>
      <c r="B10582" s="33" t="str">
        <f t="shared" si="661"/>
        <v>SCL</v>
      </c>
      <c r="C10582" s="33" t="str">
        <f t="shared" si="662"/>
        <v>93201-7375</v>
      </c>
      <c r="D10582" s="64" t="s">
        <v>11838</v>
      </c>
      <c r="E10582" s="64" t="s">
        <v>3226</v>
      </c>
      <c r="F10582" s="64" t="s">
        <v>15</v>
      </c>
      <c r="G10582" s="64" t="s">
        <v>3017</v>
      </c>
      <c r="H10582" s="64" t="s">
        <v>3300</v>
      </c>
      <c r="I10582" s="64" t="s">
        <v>3342</v>
      </c>
      <c r="J10582" s="67">
        <v>57</v>
      </c>
      <c r="K10582" s="62">
        <v>570</v>
      </c>
      <c r="L10582" s="33" t="e">
        <f>HLOOKUP(B10582,#REF!,1,0)</f>
        <v>#REF!</v>
      </c>
      <c r="M10582" s="33" t="str">
        <f t="shared" si="663"/>
        <v>P&amp;L</v>
      </c>
    </row>
    <row r="10583" spans="1:13">
      <c r="A10583" s="33" t="str">
        <f t="shared" si="660"/>
        <v>SCL - Other Income/Expense</v>
      </c>
      <c r="B10583" s="33" t="str">
        <f t="shared" si="661"/>
        <v>SCL</v>
      </c>
      <c r="C10583" s="33" t="str">
        <f t="shared" si="662"/>
        <v>93201-7376</v>
      </c>
      <c r="D10583" s="64" t="s">
        <v>11839</v>
      </c>
      <c r="E10583" s="64" t="s">
        <v>3226</v>
      </c>
      <c r="F10583" s="64" t="s">
        <v>15</v>
      </c>
      <c r="G10583" s="64" t="s">
        <v>3017</v>
      </c>
      <c r="H10583" s="64" t="s">
        <v>3300</v>
      </c>
      <c r="I10583" s="64" t="s">
        <v>3342</v>
      </c>
      <c r="J10583" s="67">
        <v>57</v>
      </c>
      <c r="K10583" s="62">
        <v>570</v>
      </c>
      <c r="L10583" s="33" t="e">
        <f>HLOOKUP(B10583,#REF!,1,0)</f>
        <v>#REF!</v>
      </c>
      <c r="M10583" s="33" t="str">
        <f t="shared" si="663"/>
        <v>P&amp;L</v>
      </c>
    </row>
    <row r="10584" spans="1:13">
      <c r="A10584" s="33" t="str">
        <f t="shared" si="660"/>
        <v>SCL - Other Income/Expense</v>
      </c>
      <c r="B10584" s="33" t="str">
        <f t="shared" si="661"/>
        <v>SCL</v>
      </c>
      <c r="C10584" s="33" t="str">
        <f t="shared" si="662"/>
        <v>93201-7377</v>
      </c>
      <c r="D10584" s="64" t="s">
        <v>11840</v>
      </c>
      <c r="E10584" s="64" t="s">
        <v>3226</v>
      </c>
      <c r="F10584" s="64" t="s">
        <v>15</v>
      </c>
      <c r="G10584" s="64" t="s">
        <v>3017</v>
      </c>
      <c r="H10584" s="64" t="s">
        <v>3300</v>
      </c>
      <c r="I10584" s="64" t="s">
        <v>3342</v>
      </c>
      <c r="J10584" s="67">
        <v>57</v>
      </c>
      <c r="K10584" s="62">
        <v>677.97</v>
      </c>
      <c r="L10584" s="33" t="e">
        <f>HLOOKUP(B10584,#REF!,1,0)</f>
        <v>#REF!</v>
      </c>
      <c r="M10584" s="33" t="str">
        <f t="shared" si="663"/>
        <v>P&amp;L</v>
      </c>
    </row>
    <row r="10585" spans="1:13">
      <c r="A10585" s="33" t="str">
        <f t="shared" si="660"/>
        <v>SCL - Other Income/Expense</v>
      </c>
      <c r="B10585" s="33" t="str">
        <f t="shared" si="661"/>
        <v>SCL</v>
      </c>
      <c r="C10585" s="33" t="str">
        <f t="shared" si="662"/>
        <v>93201-7378</v>
      </c>
      <c r="D10585" s="64" t="s">
        <v>11841</v>
      </c>
      <c r="E10585" s="64" t="s">
        <v>3226</v>
      </c>
      <c r="F10585" s="64" t="s">
        <v>15</v>
      </c>
      <c r="G10585" s="64" t="s">
        <v>3017</v>
      </c>
      <c r="H10585" s="64" t="s">
        <v>3300</v>
      </c>
      <c r="I10585" s="64" t="s">
        <v>3342</v>
      </c>
      <c r="J10585" s="67">
        <v>57</v>
      </c>
      <c r="K10585" s="62">
        <v>570</v>
      </c>
      <c r="L10585" s="33" t="e">
        <f>HLOOKUP(B10585,#REF!,1,0)</f>
        <v>#REF!</v>
      </c>
      <c r="M10585" s="33" t="str">
        <f t="shared" si="663"/>
        <v>P&amp;L</v>
      </c>
    </row>
    <row r="10586" spans="1:13">
      <c r="A10586" s="33" t="str">
        <f t="shared" si="660"/>
        <v>SCL - Other Income/Expense</v>
      </c>
      <c r="B10586" s="33" t="str">
        <f t="shared" si="661"/>
        <v>SCL</v>
      </c>
      <c r="C10586" s="33" t="str">
        <f t="shared" si="662"/>
        <v>93201-7379</v>
      </c>
      <c r="D10586" s="64" t="s">
        <v>11842</v>
      </c>
      <c r="E10586" s="64" t="s">
        <v>3226</v>
      </c>
      <c r="F10586" s="64" t="s">
        <v>15</v>
      </c>
      <c r="G10586" s="64" t="s">
        <v>3017</v>
      </c>
      <c r="H10586" s="64" t="s">
        <v>3300</v>
      </c>
      <c r="I10586" s="64" t="s">
        <v>3342</v>
      </c>
      <c r="J10586" s="67">
        <v>57</v>
      </c>
      <c r="K10586" s="62">
        <v>570</v>
      </c>
      <c r="L10586" s="33" t="e">
        <f>HLOOKUP(B10586,#REF!,1,0)</f>
        <v>#REF!</v>
      </c>
      <c r="M10586" s="33" t="str">
        <f t="shared" si="663"/>
        <v>P&amp;L</v>
      </c>
    </row>
    <row r="10587" spans="1:13">
      <c r="A10587" s="33" t="str">
        <f t="shared" si="660"/>
        <v>SCL - Other Income/Expense</v>
      </c>
      <c r="B10587" s="33" t="str">
        <f t="shared" si="661"/>
        <v>SCL</v>
      </c>
      <c r="C10587" s="33" t="str">
        <f t="shared" si="662"/>
        <v>93201-7380</v>
      </c>
      <c r="D10587" s="64" t="s">
        <v>11843</v>
      </c>
      <c r="E10587" s="64" t="s">
        <v>3226</v>
      </c>
      <c r="F10587" s="64" t="s">
        <v>15</v>
      </c>
      <c r="G10587" s="64" t="s">
        <v>3017</v>
      </c>
      <c r="H10587" s="64" t="s">
        <v>3300</v>
      </c>
      <c r="I10587" s="64" t="s">
        <v>3342</v>
      </c>
      <c r="J10587" s="67">
        <v>57</v>
      </c>
      <c r="K10587" s="62">
        <v>570</v>
      </c>
      <c r="L10587" s="33" t="e">
        <f>HLOOKUP(B10587,#REF!,1,0)</f>
        <v>#REF!</v>
      </c>
      <c r="M10587" s="33" t="str">
        <f t="shared" si="663"/>
        <v>P&amp;L</v>
      </c>
    </row>
    <row r="10588" spans="1:13">
      <c r="A10588" s="33" t="str">
        <f t="shared" si="660"/>
        <v>SCL - Other Income/Expense</v>
      </c>
      <c r="B10588" s="33" t="str">
        <f t="shared" si="661"/>
        <v>SCL</v>
      </c>
      <c r="C10588" s="33" t="str">
        <f t="shared" si="662"/>
        <v>93201-7381</v>
      </c>
      <c r="D10588" s="64" t="s">
        <v>11844</v>
      </c>
      <c r="E10588" s="64" t="s">
        <v>3226</v>
      </c>
      <c r="F10588" s="64" t="s">
        <v>15</v>
      </c>
      <c r="G10588" s="64" t="s">
        <v>3017</v>
      </c>
      <c r="H10588" s="64" t="s">
        <v>3300</v>
      </c>
      <c r="I10588" s="64" t="s">
        <v>3342</v>
      </c>
      <c r="J10588" s="67">
        <v>57</v>
      </c>
      <c r="K10588" s="62">
        <v>570</v>
      </c>
      <c r="L10588" s="33" t="e">
        <f>HLOOKUP(B10588,#REF!,1,0)</f>
        <v>#REF!</v>
      </c>
      <c r="M10588" s="33" t="str">
        <f t="shared" si="663"/>
        <v>P&amp;L</v>
      </c>
    </row>
    <row r="10589" spans="1:13">
      <c r="A10589" s="33" t="str">
        <f t="shared" si="660"/>
        <v>SCL - Other Income/Expense</v>
      </c>
      <c r="B10589" s="33" t="str">
        <f t="shared" si="661"/>
        <v>SCL</v>
      </c>
      <c r="C10589" s="33" t="str">
        <f t="shared" si="662"/>
        <v>93201-7383</v>
      </c>
      <c r="D10589" s="64" t="s">
        <v>11845</v>
      </c>
      <c r="E10589" s="64" t="s">
        <v>3226</v>
      </c>
      <c r="F10589" s="64" t="s">
        <v>15</v>
      </c>
      <c r="G10589" s="64" t="s">
        <v>3017</v>
      </c>
      <c r="H10589" s="64" t="s">
        <v>3300</v>
      </c>
      <c r="I10589" s="64" t="s">
        <v>3342</v>
      </c>
      <c r="J10589" s="67">
        <v>57</v>
      </c>
      <c r="K10589" s="62">
        <v>570</v>
      </c>
      <c r="L10589" s="33" t="e">
        <f>HLOOKUP(B10589,#REF!,1,0)</f>
        <v>#REF!</v>
      </c>
      <c r="M10589" s="33" t="str">
        <f t="shared" si="663"/>
        <v>P&amp;L</v>
      </c>
    </row>
    <row r="10590" spans="1:13">
      <c r="A10590" s="33" t="str">
        <f t="shared" si="660"/>
        <v>SCL - Other Income/Expense</v>
      </c>
      <c r="B10590" s="33" t="str">
        <f t="shared" si="661"/>
        <v>SCL</v>
      </c>
      <c r="C10590" s="33" t="str">
        <f t="shared" si="662"/>
        <v>93201-7385</v>
      </c>
      <c r="D10590" s="64" t="s">
        <v>11846</v>
      </c>
      <c r="E10590" s="64" t="s">
        <v>3226</v>
      </c>
      <c r="F10590" s="64" t="s">
        <v>15</v>
      </c>
      <c r="G10590" s="64" t="s">
        <v>3017</v>
      </c>
      <c r="H10590" s="64" t="s">
        <v>3300</v>
      </c>
      <c r="I10590" s="64" t="s">
        <v>3342</v>
      </c>
      <c r="J10590" s="67">
        <v>57</v>
      </c>
      <c r="K10590" s="62">
        <v>572.15</v>
      </c>
      <c r="L10590" s="33" t="e">
        <f>HLOOKUP(B10590,#REF!,1,0)</f>
        <v>#REF!</v>
      </c>
      <c r="M10590" s="33" t="str">
        <f t="shared" si="663"/>
        <v>P&amp;L</v>
      </c>
    </row>
    <row r="10591" spans="1:13">
      <c r="A10591" s="33" t="str">
        <f t="shared" si="660"/>
        <v>SCL - Other Income/Expense</v>
      </c>
      <c r="B10591" s="33" t="str">
        <f t="shared" si="661"/>
        <v>SCL</v>
      </c>
      <c r="C10591" s="33" t="str">
        <f t="shared" si="662"/>
        <v>93201-7386</v>
      </c>
      <c r="D10591" s="64" t="s">
        <v>11847</v>
      </c>
      <c r="E10591" s="64" t="s">
        <v>3226</v>
      </c>
      <c r="F10591" s="64" t="s">
        <v>15</v>
      </c>
      <c r="G10591" s="64" t="s">
        <v>3017</v>
      </c>
      <c r="H10591" s="64" t="s">
        <v>3300</v>
      </c>
      <c r="I10591" s="64" t="s">
        <v>3342</v>
      </c>
      <c r="J10591" s="67">
        <v>57</v>
      </c>
      <c r="K10591" s="62">
        <v>570</v>
      </c>
      <c r="L10591" s="33" t="e">
        <f>HLOOKUP(B10591,#REF!,1,0)</f>
        <v>#REF!</v>
      </c>
      <c r="M10591" s="33" t="str">
        <f t="shared" si="663"/>
        <v>P&amp;L</v>
      </c>
    </row>
    <row r="10592" spans="1:13">
      <c r="A10592" s="33" t="str">
        <f t="shared" si="660"/>
        <v>SCL - Other Income/Expense</v>
      </c>
      <c r="B10592" s="33" t="str">
        <f t="shared" si="661"/>
        <v>SCL</v>
      </c>
      <c r="C10592" s="33" t="str">
        <f t="shared" si="662"/>
        <v>93201-7387</v>
      </c>
      <c r="D10592" s="64" t="s">
        <v>11848</v>
      </c>
      <c r="E10592" s="64" t="s">
        <v>3226</v>
      </c>
      <c r="F10592" s="64" t="s">
        <v>15</v>
      </c>
      <c r="G10592" s="64" t="s">
        <v>3017</v>
      </c>
      <c r="H10592" s="64" t="s">
        <v>3300</v>
      </c>
      <c r="I10592" s="64" t="s">
        <v>3342</v>
      </c>
      <c r="J10592" s="67">
        <v>57</v>
      </c>
      <c r="K10592" s="62">
        <v>570</v>
      </c>
      <c r="L10592" s="33" t="e">
        <f>HLOOKUP(B10592,#REF!,1,0)</f>
        <v>#REF!</v>
      </c>
      <c r="M10592" s="33" t="str">
        <f t="shared" si="663"/>
        <v>P&amp;L</v>
      </c>
    </row>
    <row r="10593" spans="1:13">
      <c r="A10593" s="33" t="str">
        <f t="shared" si="660"/>
        <v>SCL - Other Income/Expense</v>
      </c>
      <c r="B10593" s="33" t="str">
        <f t="shared" si="661"/>
        <v>SCL</v>
      </c>
      <c r="C10593" s="33" t="str">
        <f t="shared" si="662"/>
        <v>93201-7389</v>
      </c>
      <c r="D10593" s="64" t="s">
        <v>11849</v>
      </c>
      <c r="E10593" s="64" t="s">
        <v>3226</v>
      </c>
      <c r="F10593" s="64" t="s">
        <v>15</v>
      </c>
      <c r="G10593" s="64" t="s">
        <v>3017</v>
      </c>
      <c r="H10593" s="64" t="s">
        <v>3300</v>
      </c>
      <c r="I10593" s="64" t="s">
        <v>3342</v>
      </c>
      <c r="J10593" s="67">
        <v>57</v>
      </c>
      <c r="K10593" s="62">
        <v>570</v>
      </c>
      <c r="L10593" s="33" t="e">
        <f>HLOOKUP(B10593,#REF!,1,0)</f>
        <v>#REF!</v>
      </c>
      <c r="M10593" s="33" t="str">
        <f t="shared" si="663"/>
        <v>P&amp;L</v>
      </c>
    </row>
    <row r="10594" spans="1:13">
      <c r="A10594" s="33" t="str">
        <f t="shared" si="660"/>
        <v>SCL - Other Income/Expense</v>
      </c>
      <c r="B10594" s="33" t="str">
        <f t="shared" si="661"/>
        <v>SCL</v>
      </c>
      <c r="C10594" s="33" t="str">
        <f t="shared" si="662"/>
        <v>93201-7391</v>
      </c>
      <c r="D10594" s="64" t="s">
        <v>11850</v>
      </c>
      <c r="E10594" s="64" t="s">
        <v>3226</v>
      </c>
      <c r="F10594" s="64" t="s">
        <v>15</v>
      </c>
      <c r="G10594" s="64" t="s">
        <v>3017</v>
      </c>
      <c r="H10594" s="64" t="s">
        <v>3300</v>
      </c>
      <c r="I10594" s="64" t="s">
        <v>3342</v>
      </c>
      <c r="J10594" s="67">
        <v>57</v>
      </c>
      <c r="K10594" s="62">
        <v>572.15</v>
      </c>
      <c r="L10594" s="33" t="e">
        <f>HLOOKUP(B10594,#REF!,1,0)</f>
        <v>#REF!</v>
      </c>
      <c r="M10594" s="33" t="str">
        <f t="shared" si="663"/>
        <v>P&amp;L</v>
      </c>
    </row>
    <row r="10595" spans="1:13">
      <c r="A10595" s="33" t="str">
        <f t="shared" si="660"/>
        <v>SCL - Other Income/Expense</v>
      </c>
      <c r="B10595" s="33" t="str">
        <f t="shared" si="661"/>
        <v>SCL</v>
      </c>
      <c r="C10595" s="33" t="str">
        <f t="shared" si="662"/>
        <v>93201-7393</v>
      </c>
      <c r="D10595" s="64" t="s">
        <v>11851</v>
      </c>
      <c r="E10595" s="64" t="s">
        <v>3226</v>
      </c>
      <c r="F10595" s="64" t="s">
        <v>15</v>
      </c>
      <c r="G10595" s="64" t="s">
        <v>3017</v>
      </c>
      <c r="H10595" s="64" t="s">
        <v>3300</v>
      </c>
      <c r="I10595" s="64" t="s">
        <v>3342</v>
      </c>
      <c r="J10595" s="67">
        <v>57</v>
      </c>
      <c r="K10595" s="62">
        <v>570</v>
      </c>
      <c r="L10595" s="33" t="e">
        <f>HLOOKUP(B10595,#REF!,1,0)</f>
        <v>#REF!</v>
      </c>
      <c r="M10595" s="33" t="str">
        <f t="shared" si="663"/>
        <v>P&amp;L</v>
      </c>
    </row>
    <row r="10596" spans="1:13">
      <c r="A10596" s="33" t="str">
        <f t="shared" si="660"/>
        <v>SCL - Other Income/Expense</v>
      </c>
      <c r="B10596" s="33" t="str">
        <f t="shared" si="661"/>
        <v>SCL</v>
      </c>
      <c r="C10596" s="33" t="str">
        <f t="shared" si="662"/>
        <v>93201-7394</v>
      </c>
      <c r="D10596" s="64" t="s">
        <v>11852</v>
      </c>
      <c r="E10596" s="64" t="s">
        <v>3226</v>
      </c>
      <c r="F10596" s="64" t="s">
        <v>15</v>
      </c>
      <c r="G10596" s="64" t="s">
        <v>3017</v>
      </c>
      <c r="H10596" s="64" t="s">
        <v>3300</v>
      </c>
      <c r="I10596" s="64" t="s">
        <v>3342</v>
      </c>
      <c r="J10596" s="67">
        <v>57</v>
      </c>
      <c r="K10596" s="62">
        <v>572.15</v>
      </c>
      <c r="L10596" s="33" t="e">
        <f>HLOOKUP(B10596,#REF!,1,0)</f>
        <v>#REF!</v>
      </c>
      <c r="M10596" s="33" t="str">
        <f t="shared" si="663"/>
        <v>P&amp;L</v>
      </c>
    </row>
    <row r="10597" spans="1:13">
      <c r="A10597" s="33" t="str">
        <f t="shared" si="660"/>
        <v>SCL - Other Income/Expense</v>
      </c>
      <c r="B10597" s="33" t="str">
        <f t="shared" si="661"/>
        <v>SCL</v>
      </c>
      <c r="C10597" s="33" t="str">
        <f t="shared" si="662"/>
        <v>93201-7396</v>
      </c>
      <c r="D10597" s="64" t="s">
        <v>11853</v>
      </c>
      <c r="E10597" s="64" t="s">
        <v>3226</v>
      </c>
      <c r="F10597" s="64" t="s">
        <v>15</v>
      </c>
      <c r="G10597" s="64" t="s">
        <v>3017</v>
      </c>
      <c r="H10597" s="64" t="s">
        <v>3300</v>
      </c>
      <c r="I10597" s="64" t="s">
        <v>3342</v>
      </c>
      <c r="J10597" s="67">
        <v>57</v>
      </c>
      <c r="K10597" s="62">
        <v>570</v>
      </c>
      <c r="L10597" s="33" t="e">
        <f>HLOOKUP(B10597,#REF!,1,0)</f>
        <v>#REF!</v>
      </c>
      <c r="M10597" s="33" t="str">
        <f t="shared" si="663"/>
        <v>P&amp;L</v>
      </c>
    </row>
    <row r="10598" spans="1:13">
      <c r="A10598" s="33" t="str">
        <f t="shared" si="660"/>
        <v>SCL - Other Income/Expense</v>
      </c>
      <c r="B10598" s="33" t="str">
        <f t="shared" si="661"/>
        <v>SCL</v>
      </c>
      <c r="C10598" s="33" t="str">
        <f t="shared" si="662"/>
        <v>93201-7397</v>
      </c>
      <c r="D10598" s="64" t="s">
        <v>11854</v>
      </c>
      <c r="E10598" s="64" t="s">
        <v>3226</v>
      </c>
      <c r="F10598" s="64" t="s">
        <v>15</v>
      </c>
      <c r="G10598" s="64" t="s">
        <v>3017</v>
      </c>
      <c r="H10598" s="64" t="s">
        <v>3300</v>
      </c>
      <c r="I10598" s="64" t="s">
        <v>3342</v>
      </c>
      <c r="J10598" s="67">
        <v>57</v>
      </c>
      <c r="K10598" s="62">
        <v>570</v>
      </c>
      <c r="L10598" s="33" t="e">
        <f>HLOOKUP(B10598,#REF!,1,0)</f>
        <v>#REF!</v>
      </c>
      <c r="M10598" s="33" t="str">
        <f t="shared" si="663"/>
        <v>P&amp;L</v>
      </c>
    </row>
    <row r="10599" spans="1:13">
      <c r="A10599" s="33" t="str">
        <f t="shared" si="660"/>
        <v>SCL - Other Income/Expense</v>
      </c>
      <c r="B10599" s="33" t="str">
        <f t="shared" si="661"/>
        <v>SCL</v>
      </c>
      <c r="C10599" s="33" t="str">
        <f t="shared" si="662"/>
        <v>93201-7398</v>
      </c>
      <c r="D10599" s="64" t="s">
        <v>11855</v>
      </c>
      <c r="E10599" s="64" t="s">
        <v>3226</v>
      </c>
      <c r="F10599" s="64" t="s">
        <v>15</v>
      </c>
      <c r="G10599" s="64" t="s">
        <v>3017</v>
      </c>
      <c r="H10599" s="64" t="s">
        <v>3300</v>
      </c>
      <c r="I10599" s="64" t="s">
        <v>3342</v>
      </c>
      <c r="J10599" s="67">
        <v>57</v>
      </c>
      <c r="K10599" s="62">
        <v>572.16</v>
      </c>
      <c r="L10599" s="33" t="e">
        <f>HLOOKUP(B10599,#REF!,1,0)</f>
        <v>#REF!</v>
      </c>
      <c r="M10599" s="33" t="str">
        <f t="shared" si="663"/>
        <v>P&amp;L</v>
      </c>
    </row>
    <row r="10600" spans="1:13">
      <c r="A10600" s="33" t="str">
        <f t="shared" si="660"/>
        <v>SCL - Other Income/Expense</v>
      </c>
      <c r="B10600" s="33" t="str">
        <f t="shared" si="661"/>
        <v>SCL</v>
      </c>
      <c r="C10600" s="33" t="str">
        <f t="shared" si="662"/>
        <v>93201-7400</v>
      </c>
      <c r="D10600" s="64" t="s">
        <v>11856</v>
      </c>
      <c r="E10600" s="64" t="s">
        <v>3226</v>
      </c>
      <c r="F10600" s="64" t="s">
        <v>15</v>
      </c>
      <c r="G10600" s="64" t="s">
        <v>3017</v>
      </c>
      <c r="H10600" s="64" t="s">
        <v>3300</v>
      </c>
      <c r="I10600" s="64" t="s">
        <v>3342</v>
      </c>
      <c r="J10600" s="67">
        <v>57</v>
      </c>
      <c r="K10600" s="62">
        <v>570</v>
      </c>
      <c r="L10600" s="33" t="e">
        <f>HLOOKUP(B10600,#REF!,1,0)</f>
        <v>#REF!</v>
      </c>
      <c r="M10600" s="33" t="str">
        <f t="shared" si="663"/>
        <v>P&amp;L</v>
      </c>
    </row>
    <row r="10601" spans="1:13">
      <c r="A10601" s="33" t="str">
        <f t="shared" si="660"/>
        <v>SCL - Other Income/Expense</v>
      </c>
      <c r="B10601" s="33" t="str">
        <f t="shared" si="661"/>
        <v>SCL</v>
      </c>
      <c r="C10601" s="33" t="str">
        <f t="shared" si="662"/>
        <v>93201-7401</v>
      </c>
      <c r="D10601" s="64" t="s">
        <v>11857</v>
      </c>
      <c r="E10601" s="64" t="s">
        <v>3226</v>
      </c>
      <c r="F10601" s="64" t="s">
        <v>15</v>
      </c>
      <c r="G10601" s="64" t="s">
        <v>3017</v>
      </c>
      <c r="H10601" s="64" t="s">
        <v>3300</v>
      </c>
      <c r="I10601" s="64" t="s">
        <v>3342</v>
      </c>
      <c r="J10601" s="67">
        <v>57</v>
      </c>
      <c r="K10601" s="62">
        <v>570</v>
      </c>
      <c r="L10601" s="33" t="e">
        <f>HLOOKUP(B10601,#REF!,1,0)</f>
        <v>#REF!</v>
      </c>
      <c r="M10601" s="33" t="str">
        <f t="shared" si="663"/>
        <v>P&amp;L</v>
      </c>
    </row>
    <row r="10602" spans="1:13">
      <c r="A10602" s="33" t="str">
        <f t="shared" si="660"/>
        <v>SCL - Other Income/Expense</v>
      </c>
      <c r="B10602" s="33" t="str">
        <f t="shared" si="661"/>
        <v>SCL</v>
      </c>
      <c r="C10602" s="33" t="str">
        <f t="shared" si="662"/>
        <v>93201-7402</v>
      </c>
      <c r="D10602" s="64" t="s">
        <v>11858</v>
      </c>
      <c r="E10602" s="64" t="s">
        <v>3226</v>
      </c>
      <c r="F10602" s="64" t="s">
        <v>15</v>
      </c>
      <c r="G10602" s="64" t="s">
        <v>3017</v>
      </c>
      <c r="H10602" s="64" t="s">
        <v>3300</v>
      </c>
      <c r="I10602" s="64" t="s">
        <v>3342</v>
      </c>
      <c r="J10602" s="67">
        <v>57</v>
      </c>
      <c r="K10602" s="62">
        <v>570</v>
      </c>
      <c r="L10602" s="33" t="e">
        <f>HLOOKUP(B10602,#REF!,1,0)</f>
        <v>#REF!</v>
      </c>
      <c r="M10602" s="33" t="str">
        <f t="shared" si="663"/>
        <v>P&amp;L</v>
      </c>
    </row>
    <row r="10603" spans="1:13">
      <c r="A10603" s="33" t="str">
        <f t="shared" si="660"/>
        <v>SCL - Other Income/Expense</v>
      </c>
      <c r="B10603" s="33" t="str">
        <f t="shared" si="661"/>
        <v>SCL</v>
      </c>
      <c r="C10603" s="33" t="str">
        <f t="shared" si="662"/>
        <v>93201-7403</v>
      </c>
      <c r="D10603" s="64" t="s">
        <v>11859</v>
      </c>
      <c r="E10603" s="64" t="s">
        <v>3226</v>
      </c>
      <c r="F10603" s="64" t="s">
        <v>15</v>
      </c>
      <c r="G10603" s="64" t="s">
        <v>3017</v>
      </c>
      <c r="H10603" s="64" t="s">
        <v>3300</v>
      </c>
      <c r="I10603" s="64" t="s">
        <v>3342</v>
      </c>
      <c r="J10603" s="67">
        <v>57</v>
      </c>
      <c r="K10603" s="62">
        <v>570</v>
      </c>
      <c r="L10603" s="33" t="e">
        <f>HLOOKUP(B10603,#REF!,1,0)</f>
        <v>#REF!</v>
      </c>
      <c r="M10603" s="33" t="str">
        <f t="shared" si="663"/>
        <v>P&amp;L</v>
      </c>
    </row>
    <row r="10604" spans="1:13">
      <c r="A10604" s="33" t="str">
        <f t="shared" si="660"/>
        <v>SCL - Other Income/Expense</v>
      </c>
      <c r="B10604" s="33" t="str">
        <f t="shared" si="661"/>
        <v>SCL</v>
      </c>
      <c r="C10604" s="33" t="str">
        <f t="shared" si="662"/>
        <v>93201-7489</v>
      </c>
      <c r="D10604" s="64" t="s">
        <v>11860</v>
      </c>
      <c r="E10604" s="64" t="s">
        <v>3226</v>
      </c>
      <c r="F10604" s="64" t="s">
        <v>15</v>
      </c>
      <c r="G10604" s="64" t="s">
        <v>3017</v>
      </c>
      <c r="H10604" s="64" t="s">
        <v>3300</v>
      </c>
      <c r="I10604" s="64" t="s">
        <v>3342</v>
      </c>
      <c r="J10604" s="67">
        <v>57</v>
      </c>
      <c r="K10604" s="62">
        <v>570</v>
      </c>
      <c r="L10604" s="33" t="e">
        <f>HLOOKUP(B10604,#REF!,1,0)</f>
        <v>#REF!</v>
      </c>
      <c r="M10604" s="33" t="str">
        <f t="shared" si="663"/>
        <v>P&amp;L</v>
      </c>
    </row>
    <row r="10605" spans="1:13">
      <c r="A10605" s="33" t="str">
        <f t="shared" si="660"/>
        <v>SCL - Other Income/Expense</v>
      </c>
      <c r="B10605" s="33" t="str">
        <f t="shared" si="661"/>
        <v>SCL</v>
      </c>
      <c r="C10605" s="33" t="str">
        <f t="shared" si="662"/>
        <v>93201-7491</v>
      </c>
      <c r="D10605" s="64" t="s">
        <v>11861</v>
      </c>
      <c r="E10605" s="64" t="s">
        <v>3226</v>
      </c>
      <c r="F10605" s="64" t="s">
        <v>15</v>
      </c>
      <c r="G10605" s="64" t="s">
        <v>3017</v>
      </c>
      <c r="H10605" s="64" t="s">
        <v>3300</v>
      </c>
      <c r="I10605" s="64" t="s">
        <v>3342</v>
      </c>
      <c r="J10605" s="67">
        <v>57</v>
      </c>
      <c r="K10605" s="62">
        <v>572.16</v>
      </c>
      <c r="L10605" s="33" t="e">
        <f>HLOOKUP(B10605,#REF!,1,0)</f>
        <v>#REF!</v>
      </c>
      <c r="M10605" s="33" t="str">
        <f t="shared" si="663"/>
        <v>P&amp;L</v>
      </c>
    </row>
    <row r="10606" spans="1:13">
      <c r="A10606" s="33" t="str">
        <f t="shared" si="660"/>
        <v>SCL - Other Income/Expense</v>
      </c>
      <c r="B10606" s="33" t="str">
        <f t="shared" si="661"/>
        <v>SCL</v>
      </c>
      <c r="C10606" s="33" t="str">
        <f t="shared" si="662"/>
        <v>93201-7492</v>
      </c>
      <c r="D10606" s="64" t="s">
        <v>11862</v>
      </c>
      <c r="E10606" s="64" t="s">
        <v>3226</v>
      </c>
      <c r="F10606" s="64" t="s">
        <v>15</v>
      </c>
      <c r="G10606" s="64" t="s">
        <v>3017</v>
      </c>
      <c r="H10606" s="64" t="s">
        <v>3300</v>
      </c>
      <c r="I10606" s="64" t="s">
        <v>3342</v>
      </c>
      <c r="J10606" s="67">
        <v>57</v>
      </c>
      <c r="K10606" s="62">
        <v>570</v>
      </c>
      <c r="L10606" s="33" t="e">
        <f>HLOOKUP(B10606,#REF!,1,0)</f>
        <v>#REF!</v>
      </c>
      <c r="M10606" s="33" t="str">
        <f t="shared" si="663"/>
        <v>P&amp;L</v>
      </c>
    </row>
    <row r="10607" spans="1:13">
      <c r="A10607" s="33" t="str">
        <f t="shared" si="660"/>
        <v>SCL - Other Income/Expense</v>
      </c>
      <c r="B10607" s="33" t="str">
        <f t="shared" si="661"/>
        <v>SCL</v>
      </c>
      <c r="C10607" s="33" t="str">
        <f t="shared" si="662"/>
        <v>93201-7493</v>
      </c>
      <c r="D10607" s="64" t="s">
        <v>11863</v>
      </c>
      <c r="E10607" s="64" t="s">
        <v>3226</v>
      </c>
      <c r="F10607" s="64" t="s">
        <v>15</v>
      </c>
      <c r="G10607" s="64" t="s">
        <v>3017</v>
      </c>
      <c r="H10607" s="64" t="s">
        <v>3300</v>
      </c>
      <c r="I10607" s="64" t="s">
        <v>3342</v>
      </c>
      <c r="J10607" s="67">
        <v>57</v>
      </c>
      <c r="K10607" s="62">
        <v>570</v>
      </c>
      <c r="L10607" s="33" t="e">
        <f>HLOOKUP(B10607,#REF!,1,0)</f>
        <v>#REF!</v>
      </c>
      <c r="M10607" s="33" t="str">
        <f t="shared" si="663"/>
        <v>P&amp;L</v>
      </c>
    </row>
    <row r="10608" spans="1:13">
      <c r="A10608" s="33" t="str">
        <f t="shared" si="660"/>
        <v>SCL - Other Income/Expense</v>
      </c>
      <c r="B10608" s="33" t="str">
        <f t="shared" si="661"/>
        <v>SCL</v>
      </c>
      <c r="C10608" s="33" t="str">
        <f t="shared" si="662"/>
        <v>93201-7494</v>
      </c>
      <c r="D10608" s="64" t="s">
        <v>11864</v>
      </c>
      <c r="E10608" s="64" t="s">
        <v>3226</v>
      </c>
      <c r="F10608" s="64" t="s">
        <v>15</v>
      </c>
      <c r="G10608" s="64" t="s">
        <v>3017</v>
      </c>
      <c r="H10608" s="64" t="s">
        <v>3300</v>
      </c>
      <c r="I10608" s="64" t="s">
        <v>3342</v>
      </c>
      <c r="J10608" s="67">
        <v>57</v>
      </c>
      <c r="K10608" s="62">
        <v>570</v>
      </c>
      <c r="L10608" s="33" t="e">
        <f>HLOOKUP(B10608,#REF!,1,0)</f>
        <v>#REF!</v>
      </c>
      <c r="M10608" s="33" t="str">
        <f t="shared" si="663"/>
        <v>P&amp;L</v>
      </c>
    </row>
    <row r="10609" spans="1:13">
      <c r="A10609" s="33" t="str">
        <f t="shared" si="660"/>
        <v>SCL - Other Income/Expense</v>
      </c>
      <c r="B10609" s="33" t="str">
        <f t="shared" si="661"/>
        <v>SCL</v>
      </c>
      <c r="C10609" s="33" t="str">
        <f t="shared" si="662"/>
        <v>93201-7625</v>
      </c>
      <c r="D10609" s="64" t="s">
        <v>11865</v>
      </c>
      <c r="E10609" s="64" t="s">
        <v>3226</v>
      </c>
      <c r="F10609" s="64" t="s">
        <v>15</v>
      </c>
      <c r="G10609" s="64" t="s">
        <v>3017</v>
      </c>
      <c r="H10609" s="64" t="s">
        <v>3300</v>
      </c>
      <c r="I10609" s="64" t="s">
        <v>3342</v>
      </c>
      <c r="J10609" s="67">
        <v>57</v>
      </c>
      <c r="K10609" s="62">
        <v>570</v>
      </c>
      <c r="L10609" s="33" t="e">
        <f>HLOOKUP(B10609,#REF!,1,0)</f>
        <v>#REF!</v>
      </c>
      <c r="M10609" s="33" t="str">
        <f t="shared" si="663"/>
        <v>P&amp;L</v>
      </c>
    </row>
    <row r="10610" spans="1:13">
      <c r="A10610" s="33" t="str">
        <f t="shared" si="660"/>
        <v>SCL - Other Income/Expense</v>
      </c>
      <c r="B10610" s="33" t="str">
        <f t="shared" si="661"/>
        <v>SCL</v>
      </c>
      <c r="C10610" s="33" t="str">
        <f t="shared" si="662"/>
        <v>93201-8150</v>
      </c>
      <c r="D10610" s="64" t="s">
        <v>11866</v>
      </c>
      <c r="E10610" s="64" t="s">
        <v>3226</v>
      </c>
      <c r="F10610" s="64" t="s">
        <v>15</v>
      </c>
      <c r="G10610" s="64" t="s">
        <v>3017</v>
      </c>
      <c r="H10610" s="64" t="s">
        <v>3300</v>
      </c>
      <c r="I10610" s="64" t="s">
        <v>3342</v>
      </c>
      <c r="J10610" s="67">
        <v>57</v>
      </c>
      <c r="K10610" s="62">
        <v>570</v>
      </c>
      <c r="L10610" s="33" t="e">
        <f>HLOOKUP(B10610,#REF!,1,0)</f>
        <v>#REF!</v>
      </c>
      <c r="M10610" s="33" t="str">
        <f t="shared" si="663"/>
        <v>P&amp;L</v>
      </c>
    </row>
    <row r="10611" spans="1:13">
      <c r="A10611" s="33" t="str">
        <f t="shared" si="660"/>
        <v>SCL - Other Income/Expense</v>
      </c>
      <c r="B10611" s="33" t="str">
        <f t="shared" si="661"/>
        <v>SCL</v>
      </c>
      <c r="C10611" s="33" t="str">
        <f t="shared" si="662"/>
        <v>93202-8150</v>
      </c>
      <c r="D10611" s="64" t="s">
        <v>11867</v>
      </c>
      <c r="E10611" s="64" t="s">
        <v>11868</v>
      </c>
      <c r="F10611" s="64" t="s">
        <v>15</v>
      </c>
      <c r="G10611" s="64" t="s">
        <v>3017</v>
      </c>
      <c r="H10611" s="64" t="s">
        <v>3300</v>
      </c>
      <c r="I10611" s="64" t="s">
        <v>3342</v>
      </c>
      <c r="J10611" s="67">
        <v>0</v>
      </c>
      <c r="K10611" s="62">
        <v>112.81</v>
      </c>
      <c r="L10611" s="33" t="e">
        <f>HLOOKUP(B10611,#REF!,1,0)</f>
        <v>#REF!</v>
      </c>
      <c r="M10611" s="33" t="str">
        <f t="shared" si="663"/>
        <v>P&amp;L</v>
      </c>
    </row>
    <row r="10612" spans="1:13">
      <c r="A10612" s="33" t="str">
        <f t="shared" si="660"/>
        <v>SCL - Other Income/Expense</v>
      </c>
      <c r="B10612" s="33" t="str">
        <f t="shared" si="661"/>
        <v>SCL</v>
      </c>
      <c r="C10612" s="33" t="str">
        <f t="shared" si="662"/>
        <v>93401-0000</v>
      </c>
      <c r="D10612" s="64" t="s">
        <v>11869</v>
      </c>
      <c r="E10612" s="64" t="s">
        <v>11870</v>
      </c>
      <c r="F10612" s="64" t="s">
        <v>15</v>
      </c>
      <c r="G10612" s="64" t="s">
        <v>3017</v>
      </c>
      <c r="H10612" s="64" t="s">
        <v>3300</v>
      </c>
      <c r="I10612" s="64" t="s">
        <v>11871</v>
      </c>
      <c r="J10612" s="67">
        <v>0</v>
      </c>
      <c r="K10612" s="62">
        <v>82.1</v>
      </c>
      <c r="L10612" s="33" t="e">
        <f>HLOOKUP(B10612,#REF!,1,0)</f>
        <v>#REF!</v>
      </c>
      <c r="M10612" s="33" t="str">
        <f t="shared" si="663"/>
        <v>P&amp;L</v>
      </c>
    </row>
    <row r="10613" spans="1:13">
      <c r="A10613" s="33" t="str">
        <f t="shared" si="660"/>
        <v>SCL - Other Income/Expense</v>
      </c>
      <c r="B10613" s="33" t="str">
        <f t="shared" si="661"/>
        <v>SCL</v>
      </c>
      <c r="C10613" s="33" t="str">
        <f t="shared" si="662"/>
        <v>93601-0000</v>
      </c>
      <c r="D10613" s="64" t="s">
        <v>11872</v>
      </c>
      <c r="E10613" s="64" t="s">
        <v>3344</v>
      </c>
      <c r="F10613" s="64" t="s">
        <v>15</v>
      </c>
      <c r="G10613" s="64" t="s">
        <v>3017</v>
      </c>
      <c r="H10613" s="64" t="s">
        <v>3300</v>
      </c>
      <c r="I10613" s="64" t="s">
        <v>3345</v>
      </c>
      <c r="J10613" s="67">
        <v>703.05</v>
      </c>
      <c r="K10613" s="62">
        <v>6425.98</v>
      </c>
      <c r="L10613" s="33" t="e">
        <f>HLOOKUP(B10613,#REF!,1,0)</f>
        <v>#REF!</v>
      </c>
      <c r="M10613" s="33" t="str">
        <f t="shared" si="663"/>
        <v>P&amp;L</v>
      </c>
    </row>
    <row r="10614" spans="1:13">
      <c r="A10614" s="33" t="str">
        <f t="shared" si="660"/>
        <v>SCL - Other Income/Expense</v>
      </c>
      <c r="B10614" s="33" t="str">
        <f t="shared" si="661"/>
        <v>SCL</v>
      </c>
      <c r="C10614" s="33" t="str">
        <f t="shared" si="662"/>
        <v>93601-7351</v>
      </c>
      <c r="D10614" s="64" t="s">
        <v>11873</v>
      </c>
      <c r="E10614" s="64" t="s">
        <v>3344</v>
      </c>
      <c r="F10614" s="64" t="s">
        <v>15</v>
      </c>
      <c r="G10614" s="64" t="s">
        <v>3017</v>
      </c>
      <c r="H10614" s="64" t="s">
        <v>3300</v>
      </c>
      <c r="I10614" s="64" t="s">
        <v>3345</v>
      </c>
      <c r="J10614" s="67">
        <v>0</v>
      </c>
      <c r="K10614" s="62">
        <v>88.35</v>
      </c>
      <c r="L10614" s="33" t="e">
        <f>HLOOKUP(B10614,#REF!,1,0)</f>
        <v>#REF!</v>
      </c>
      <c r="M10614" s="33" t="str">
        <f t="shared" si="663"/>
        <v>P&amp;L</v>
      </c>
    </row>
    <row r="10615" spans="1:13">
      <c r="A10615" s="33" t="str">
        <f t="shared" si="660"/>
        <v>SCL - Other Income/Expense</v>
      </c>
      <c r="B10615" s="33" t="str">
        <f t="shared" si="661"/>
        <v>SCL</v>
      </c>
      <c r="C10615" s="33" t="str">
        <f t="shared" si="662"/>
        <v>93601-7352</v>
      </c>
      <c r="D10615" s="64" t="s">
        <v>11874</v>
      </c>
      <c r="E10615" s="64" t="s">
        <v>3344</v>
      </c>
      <c r="F10615" s="64" t="s">
        <v>15</v>
      </c>
      <c r="G10615" s="64" t="s">
        <v>3017</v>
      </c>
      <c r="H10615" s="64" t="s">
        <v>3300</v>
      </c>
      <c r="I10615" s="64" t="s">
        <v>3345</v>
      </c>
      <c r="J10615" s="67">
        <v>730.99</v>
      </c>
      <c r="K10615" s="62">
        <v>1612.33</v>
      </c>
      <c r="L10615" s="33" t="e">
        <f>HLOOKUP(B10615,#REF!,1,0)</f>
        <v>#REF!</v>
      </c>
      <c r="M10615" s="33" t="str">
        <f t="shared" si="663"/>
        <v>P&amp;L</v>
      </c>
    </row>
    <row r="10616" spans="1:13">
      <c r="A10616" s="33" t="str">
        <f t="shared" si="660"/>
        <v>SCL - Other Income/Expense</v>
      </c>
      <c r="B10616" s="33" t="str">
        <f t="shared" si="661"/>
        <v>SCL</v>
      </c>
      <c r="C10616" s="33" t="str">
        <f t="shared" si="662"/>
        <v>93601-7355</v>
      </c>
      <c r="D10616" s="64" t="s">
        <v>11875</v>
      </c>
      <c r="E10616" s="64" t="s">
        <v>3344</v>
      </c>
      <c r="F10616" s="64" t="s">
        <v>15</v>
      </c>
      <c r="G10616" s="64" t="s">
        <v>3017</v>
      </c>
      <c r="H10616" s="64" t="s">
        <v>3300</v>
      </c>
      <c r="I10616" s="64" t="s">
        <v>3345</v>
      </c>
      <c r="J10616" s="67">
        <v>0</v>
      </c>
      <c r="K10616" s="62">
        <v>88.71</v>
      </c>
      <c r="L10616" s="33" t="e">
        <f>HLOOKUP(B10616,#REF!,1,0)</f>
        <v>#REF!</v>
      </c>
      <c r="M10616" s="33" t="str">
        <f t="shared" si="663"/>
        <v>P&amp;L</v>
      </c>
    </row>
    <row r="10617" spans="1:13">
      <c r="A10617" s="33" t="str">
        <f t="shared" si="660"/>
        <v>SCL - Other Income/Expense</v>
      </c>
      <c r="B10617" s="33" t="str">
        <f t="shared" si="661"/>
        <v>SCL</v>
      </c>
      <c r="C10617" s="33" t="str">
        <f t="shared" si="662"/>
        <v>93601-7359</v>
      </c>
      <c r="D10617" s="64" t="s">
        <v>11876</v>
      </c>
      <c r="E10617" s="64" t="s">
        <v>3344</v>
      </c>
      <c r="F10617" s="64" t="s">
        <v>15</v>
      </c>
      <c r="G10617" s="64" t="s">
        <v>3017</v>
      </c>
      <c r="H10617" s="64" t="s">
        <v>3300</v>
      </c>
      <c r="I10617" s="64" t="s">
        <v>3345</v>
      </c>
      <c r="J10617" s="67">
        <v>36.23</v>
      </c>
      <c r="K10617" s="62">
        <v>297.62</v>
      </c>
      <c r="L10617" s="33" t="e">
        <f>HLOOKUP(B10617,#REF!,1,0)</f>
        <v>#REF!</v>
      </c>
      <c r="M10617" s="33" t="str">
        <f t="shared" si="663"/>
        <v>P&amp;L</v>
      </c>
    </row>
    <row r="10618" spans="1:13">
      <c r="A10618" s="33" t="str">
        <f t="shared" si="660"/>
        <v>SCL - Other Income/Expense</v>
      </c>
      <c r="B10618" s="33" t="str">
        <f t="shared" si="661"/>
        <v>SCL</v>
      </c>
      <c r="C10618" s="33" t="str">
        <f t="shared" si="662"/>
        <v>93601-7360</v>
      </c>
      <c r="D10618" s="64" t="s">
        <v>11877</v>
      </c>
      <c r="E10618" s="64" t="s">
        <v>3344</v>
      </c>
      <c r="F10618" s="64" t="s">
        <v>15</v>
      </c>
      <c r="G10618" s="64" t="s">
        <v>3017</v>
      </c>
      <c r="H10618" s="64" t="s">
        <v>3300</v>
      </c>
      <c r="I10618" s="64" t="s">
        <v>3345</v>
      </c>
      <c r="J10618" s="67">
        <v>0</v>
      </c>
      <c r="K10618" s="62">
        <v>231.58</v>
      </c>
      <c r="L10618" s="33" t="e">
        <f>HLOOKUP(B10618,#REF!,1,0)</f>
        <v>#REF!</v>
      </c>
      <c r="M10618" s="33" t="str">
        <f t="shared" si="663"/>
        <v>P&amp;L</v>
      </c>
    </row>
    <row r="10619" spans="1:13">
      <c r="A10619" s="33" t="str">
        <f t="shared" si="660"/>
        <v>SCL - Other Income/Expense</v>
      </c>
      <c r="B10619" s="33" t="str">
        <f t="shared" si="661"/>
        <v>SCL</v>
      </c>
      <c r="C10619" s="33" t="str">
        <f t="shared" si="662"/>
        <v>93601-7362</v>
      </c>
      <c r="D10619" s="64" t="s">
        <v>11878</v>
      </c>
      <c r="E10619" s="64" t="s">
        <v>3344</v>
      </c>
      <c r="F10619" s="64" t="s">
        <v>15</v>
      </c>
      <c r="G10619" s="64" t="s">
        <v>3017</v>
      </c>
      <c r="H10619" s="64" t="s">
        <v>3300</v>
      </c>
      <c r="I10619" s="64" t="s">
        <v>3345</v>
      </c>
      <c r="J10619" s="67">
        <v>0</v>
      </c>
      <c r="K10619" s="62">
        <v>78.42</v>
      </c>
      <c r="L10619" s="33" t="e">
        <f>HLOOKUP(B10619,#REF!,1,0)</f>
        <v>#REF!</v>
      </c>
      <c r="M10619" s="33" t="str">
        <f t="shared" si="663"/>
        <v>P&amp;L</v>
      </c>
    </row>
    <row r="10620" spans="1:13">
      <c r="A10620" s="33" t="str">
        <f t="shared" si="660"/>
        <v>SCL - Other Income/Expense</v>
      </c>
      <c r="B10620" s="33" t="str">
        <f t="shared" si="661"/>
        <v>SCL</v>
      </c>
      <c r="C10620" s="33" t="str">
        <f t="shared" si="662"/>
        <v>93601-7364</v>
      </c>
      <c r="D10620" s="64" t="s">
        <v>11879</v>
      </c>
      <c r="E10620" s="64" t="s">
        <v>3344</v>
      </c>
      <c r="F10620" s="64" t="s">
        <v>15</v>
      </c>
      <c r="G10620" s="64" t="s">
        <v>3017</v>
      </c>
      <c r="H10620" s="64" t="s">
        <v>3300</v>
      </c>
      <c r="I10620" s="64" t="s">
        <v>3345</v>
      </c>
      <c r="J10620" s="67">
        <v>0</v>
      </c>
      <c r="K10620" s="62">
        <v>62.26</v>
      </c>
      <c r="L10620" s="33" t="e">
        <f>HLOOKUP(B10620,#REF!,1,0)</f>
        <v>#REF!</v>
      </c>
      <c r="M10620" s="33" t="str">
        <f t="shared" si="663"/>
        <v>P&amp;L</v>
      </c>
    </row>
    <row r="10621" spans="1:13">
      <c r="A10621" s="33" t="str">
        <f t="shared" si="660"/>
        <v>SCL - Other Income/Expense</v>
      </c>
      <c r="B10621" s="33" t="str">
        <f t="shared" si="661"/>
        <v>SCL</v>
      </c>
      <c r="C10621" s="33" t="str">
        <f t="shared" si="662"/>
        <v>93601-7365</v>
      </c>
      <c r="D10621" s="64" t="s">
        <v>11880</v>
      </c>
      <c r="E10621" s="64" t="s">
        <v>3344</v>
      </c>
      <c r="F10621" s="64" t="s">
        <v>15</v>
      </c>
      <c r="G10621" s="64" t="s">
        <v>3017</v>
      </c>
      <c r="H10621" s="64" t="s">
        <v>3300</v>
      </c>
      <c r="I10621" s="64" t="s">
        <v>3345</v>
      </c>
      <c r="J10621" s="67">
        <v>12.39</v>
      </c>
      <c r="K10621" s="62">
        <v>1126.87</v>
      </c>
      <c r="L10621" s="33" t="e">
        <f>HLOOKUP(B10621,#REF!,1,0)</f>
        <v>#REF!</v>
      </c>
      <c r="M10621" s="33" t="str">
        <f t="shared" si="663"/>
        <v>P&amp;L</v>
      </c>
    </row>
    <row r="10622" spans="1:13">
      <c r="A10622" s="33" t="str">
        <f t="shared" si="660"/>
        <v>SCL - Other Income/Expense</v>
      </c>
      <c r="B10622" s="33" t="str">
        <f t="shared" si="661"/>
        <v>SCL</v>
      </c>
      <c r="C10622" s="33" t="str">
        <f t="shared" si="662"/>
        <v>93601-7366</v>
      </c>
      <c r="D10622" s="64" t="s">
        <v>11881</v>
      </c>
      <c r="E10622" s="64" t="s">
        <v>3344</v>
      </c>
      <c r="F10622" s="64" t="s">
        <v>15</v>
      </c>
      <c r="G10622" s="64" t="s">
        <v>3017</v>
      </c>
      <c r="H10622" s="64" t="s">
        <v>3300</v>
      </c>
      <c r="I10622" s="64" t="s">
        <v>3345</v>
      </c>
      <c r="J10622" s="67">
        <v>0</v>
      </c>
      <c r="K10622" s="62">
        <v>88.34</v>
      </c>
      <c r="L10622" s="33" t="e">
        <f>HLOOKUP(B10622,#REF!,1,0)</f>
        <v>#REF!</v>
      </c>
      <c r="M10622" s="33" t="str">
        <f t="shared" si="663"/>
        <v>P&amp;L</v>
      </c>
    </row>
    <row r="10623" spans="1:13">
      <c r="A10623" s="33" t="str">
        <f t="shared" si="660"/>
        <v>SCL - Other Income/Expense</v>
      </c>
      <c r="B10623" s="33" t="str">
        <f t="shared" si="661"/>
        <v>SCL</v>
      </c>
      <c r="C10623" s="33" t="str">
        <f t="shared" si="662"/>
        <v>93601-7368</v>
      </c>
      <c r="D10623" s="64" t="s">
        <v>11882</v>
      </c>
      <c r="E10623" s="64" t="s">
        <v>3344</v>
      </c>
      <c r="F10623" s="64" t="s">
        <v>15</v>
      </c>
      <c r="G10623" s="64" t="s">
        <v>3017</v>
      </c>
      <c r="H10623" s="64" t="s">
        <v>3300</v>
      </c>
      <c r="I10623" s="64" t="s">
        <v>3345</v>
      </c>
      <c r="J10623" s="67">
        <v>45.77</v>
      </c>
      <c r="K10623" s="62">
        <v>234.69</v>
      </c>
      <c r="L10623" s="33" t="e">
        <f>HLOOKUP(B10623,#REF!,1,0)</f>
        <v>#REF!</v>
      </c>
      <c r="M10623" s="33" t="str">
        <f t="shared" si="663"/>
        <v>P&amp;L</v>
      </c>
    </row>
    <row r="10624" spans="1:13">
      <c r="A10624" s="33" t="str">
        <f t="shared" si="660"/>
        <v>SCL - Other Income/Expense</v>
      </c>
      <c r="B10624" s="33" t="str">
        <f t="shared" si="661"/>
        <v>SCL</v>
      </c>
      <c r="C10624" s="33" t="str">
        <f t="shared" si="662"/>
        <v>93601-7369</v>
      </c>
      <c r="D10624" s="64" t="s">
        <v>11883</v>
      </c>
      <c r="E10624" s="64" t="s">
        <v>3344</v>
      </c>
      <c r="F10624" s="64" t="s">
        <v>15</v>
      </c>
      <c r="G10624" s="64" t="s">
        <v>3017</v>
      </c>
      <c r="H10624" s="64" t="s">
        <v>3300</v>
      </c>
      <c r="I10624" s="64" t="s">
        <v>3345</v>
      </c>
      <c r="J10624" s="67">
        <v>12.4</v>
      </c>
      <c r="K10624" s="62">
        <v>166.17</v>
      </c>
      <c r="L10624" s="33" t="e">
        <f>HLOOKUP(B10624,#REF!,1,0)</f>
        <v>#REF!</v>
      </c>
      <c r="M10624" s="33" t="str">
        <f t="shared" si="663"/>
        <v>P&amp;L</v>
      </c>
    </row>
    <row r="10625" spans="1:13">
      <c r="A10625" s="33" t="str">
        <f t="shared" si="660"/>
        <v>SCL - Other Income/Expense</v>
      </c>
      <c r="B10625" s="33" t="str">
        <f t="shared" si="661"/>
        <v>SCL</v>
      </c>
      <c r="C10625" s="33" t="str">
        <f t="shared" si="662"/>
        <v>93601-7371</v>
      </c>
      <c r="D10625" s="64" t="s">
        <v>11884</v>
      </c>
      <c r="E10625" s="64" t="s">
        <v>3344</v>
      </c>
      <c r="F10625" s="64" t="s">
        <v>15</v>
      </c>
      <c r="G10625" s="64" t="s">
        <v>3017</v>
      </c>
      <c r="H10625" s="64" t="s">
        <v>3300</v>
      </c>
      <c r="I10625" s="64" t="s">
        <v>3345</v>
      </c>
      <c r="J10625" s="67">
        <v>0</v>
      </c>
      <c r="K10625" s="62">
        <v>202.02</v>
      </c>
      <c r="L10625" s="33" t="e">
        <f>HLOOKUP(B10625,#REF!,1,0)</f>
        <v>#REF!</v>
      </c>
      <c r="M10625" s="33" t="str">
        <f t="shared" si="663"/>
        <v>P&amp;L</v>
      </c>
    </row>
    <row r="10626" spans="1:13">
      <c r="A10626" s="33" t="str">
        <f t="shared" ref="A10626:A10689" si="664">B10626&amp;" - "&amp;TRIM(H10626)</f>
        <v>SCL - Other Income/Expense</v>
      </c>
      <c r="B10626" s="33" t="str">
        <f t="shared" ref="B10626:B10689" si="665">LEFT(D10626,3)</f>
        <v>SCL</v>
      </c>
      <c r="C10626" s="33" t="str">
        <f t="shared" ref="C10626:C10689" si="666">RIGHT(D10626,10)</f>
        <v>93601-7374</v>
      </c>
      <c r="D10626" s="64" t="s">
        <v>11885</v>
      </c>
      <c r="E10626" s="64" t="s">
        <v>3344</v>
      </c>
      <c r="F10626" s="64" t="s">
        <v>15</v>
      </c>
      <c r="G10626" s="64" t="s">
        <v>3017</v>
      </c>
      <c r="H10626" s="64" t="s">
        <v>3300</v>
      </c>
      <c r="I10626" s="64" t="s">
        <v>3345</v>
      </c>
      <c r="J10626" s="67">
        <v>0</v>
      </c>
      <c r="K10626" s="62">
        <v>56.96</v>
      </c>
      <c r="L10626" s="33" t="e">
        <f>HLOOKUP(B10626,#REF!,1,0)</f>
        <v>#REF!</v>
      </c>
      <c r="M10626" s="33" t="str">
        <f t="shared" ref="M10626:M10689" si="667">IF(VALUE(LEFT(C10626,5))&gt;40000,"P&amp;L","BS")</f>
        <v>P&amp;L</v>
      </c>
    </row>
    <row r="10627" spans="1:13">
      <c r="A10627" s="33" t="str">
        <f t="shared" si="664"/>
        <v>SCL - Other Income/Expense</v>
      </c>
      <c r="B10627" s="33" t="str">
        <f t="shared" si="665"/>
        <v>SCL</v>
      </c>
      <c r="C10627" s="33" t="str">
        <f t="shared" si="666"/>
        <v>93601-7375</v>
      </c>
      <c r="D10627" s="64" t="s">
        <v>11886</v>
      </c>
      <c r="E10627" s="64" t="s">
        <v>3344</v>
      </c>
      <c r="F10627" s="64" t="s">
        <v>15</v>
      </c>
      <c r="G10627" s="64" t="s">
        <v>3017</v>
      </c>
      <c r="H10627" s="64" t="s">
        <v>3300</v>
      </c>
      <c r="I10627" s="64" t="s">
        <v>3345</v>
      </c>
      <c r="J10627" s="67">
        <v>0</v>
      </c>
      <c r="K10627" s="62">
        <v>138</v>
      </c>
      <c r="L10627" s="33" t="e">
        <f>HLOOKUP(B10627,#REF!,1,0)</f>
        <v>#REF!</v>
      </c>
      <c r="M10627" s="33" t="str">
        <f t="shared" si="667"/>
        <v>P&amp;L</v>
      </c>
    </row>
    <row r="10628" spans="1:13">
      <c r="A10628" s="33" t="str">
        <f t="shared" si="664"/>
        <v>SCL - Other Income/Expense</v>
      </c>
      <c r="B10628" s="33" t="str">
        <f t="shared" si="665"/>
        <v>SCL</v>
      </c>
      <c r="C10628" s="33" t="str">
        <f t="shared" si="666"/>
        <v>93601-7376</v>
      </c>
      <c r="D10628" s="64" t="s">
        <v>11887</v>
      </c>
      <c r="E10628" s="64" t="s">
        <v>3344</v>
      </c>
      <c r="F10628" s="64" t="s">
        <v>15</v>
      </c>
      <c r="G10628" s="64" t="s">
        <v>3017</v>
      </c>
      <c r="H10628" s="64" t="s">
        <v>3300</v>
      </c>
      <c r="I10628" s="64" t="s">
        <v>3345</v>
      </c>
      <c r="J10628" s="67">
        <v>0</v>
      </c>
      <c r="K10628" s="62">
        <v>62.26</v>
      </c>
      <c r="L10628" s="33" t="e">
        <f>HLOOKUP(B10628,#REF!,1,0)</f>
        <v>#REF!</v>
      </c>
      <c r="M10628" s="33" t="str">
        <f t="shared" si="667"/>
        <v>P&amp;L</v>
      </c>
    </row>
    <row r="10629" spans="1:13">
      <c r="A10629" s="33" t="str">
        <f t="shared" si="664"/>
        <v>SCL - Other Income/Expense</v>
      </c>
      <c r="B10629" s="33" t="str">
        <f t="shared" si="665"/>
        <v>SCL</v>
      </c>
      <c r="C10629" s="33" t="str">
        <f t="shared" si="666"/>
        <v>93601-7377</v>
      </c>
      <c r="D10629" s="64" t="s">
        <v>11888</v>
      </c>
      <c r="E10629" s="64" t="s">
        <v>3344</v>
      </c>
      <c r="F10629" s="64" t="s">
        <v>15</v>
      </c>
      <c r="G10629" s="64" t="s">
        <v>3017</v>
      </c>
      <c r="H10629" s="64" t="s">
        <v>3300</v>
      </c>
      <c r="I10629" s="64" t="s">
        <v>3345</v>
      </c>
      <c r="J10629" s="67">
        <v>0</v>
      </c>
      <c r="K10629" s="62">
        <v>9.84</v>
      </c>
      <c r="L10629" s="33" t="e">
        <f>HLOOKUP(B10629,#REF!,1,0)</f>
        <v>#REF!</v>
      </c>
      <c r="M10629" s="33" t="str">
        <f t="shared" si="667"/>
        <v>P&amp;L</v>
      </c>
    </row>
    <row r="10630" spans="1:13">
      <c r="A10630" s="33" t="str">
        <f t="shared" si="664"/>
        <v>SCL - Other Income/Expense</v>
      </c>
      <c r="B10630" s="33" t="str">
        <f t="shared" si="665"/>
        <v>SCL</v>
      </c>
      <c r="C10630" s="33" t="str">
        <f t="shared" si="666"/>
        <v>93601-7378</v>
      </c>
      <c r="D10630" s="64" t="s">
        <v>11889</v>
      </c>
      <c r="E10630" s="64" t="s">
        <v>3344</v>
      </c>
      <c r="F10630" s="64" t="s">
        <v>15</v>
      </c>
      <c r="G10630" s="64" t="s">
        <v>3017</v>
      </c>
      <c r="H10630" s="64" t="s">
        <v>3300</v>
      </c>
      <c r="I10630" s="64" t="s">
        <v>3345</v>
      </c>
      <c r="J10630" s="67">
        <v>45.77</v>
      </c>
      <c r="K10630" s="62">
        <v>232.48</v>
      </c>
      <c r="L10630" s="33" t="e">
        <f>HLOOKUP(B10630,#REF!,1,0)</f>
        <v>#REF!</v>
      </c>
      <c r="M10630" s="33" t="str">
        <f t="shared" si="667"/>
        <v>P&amp;L</v>
      </c>
    </row>
    <row r="10631" spans="1:13">
      <c r="A10631" s="33" t="str">
        <f t="shared" si="664"/>
        <v>SCL - Other Income/Expense</v>
      </c>
      <c r="B10631" s="33" t="str">
        <f t="shared" si="665"/>
        <v>SCL</v>
      </c>
      <c r="C10631" s="33" t="str">
        <f t="shared" si="666"/>
        <v>93601-7379</v>
      </c>
      <c r="D10631" s="64" t="s">
        <v>11890</v>
      </c>
      <c r="E10631" s="64" t="s">
        <v>3344</v>
      </c>
      <c r="F10631" s="64" t="s">
        <v>15</v>
      </c>
      <c r="G10631" s="64" t="s">
        <v>3017</v>
      </c>
      <c r="H10631" s="64" t="s">
        <v>3300</v>
      </c>
      <c r="I10631" s="64" t="s">
        <v>3345</v>
      </c>
      <c r="J10631" s="67">
        <v>526.63</v>
      </c>
      <c r="K10631" s="62">
        <v>1148.99</v>
      </c>
      <c r="L10631" s="33" t="e">
        <f>HLOOKUP(B10631,#REF!,1,0)</f>
        <v>#REF!</v>
      </c>
      <c r="M10631" s="33" t="str">
        <f t="shared" si="667"/>
        <v>P&amp;L</v>
      </c>
    </row>
    <row r="10632" spans="1:13">
      <c r="A10632" s="33" t="str">
        <f t="shared" si="664"/>
        <v>SCL - Other Income/Expense</v>
      </c>
      <c r="B10632" s="33" t="str">
        <f t="shared" si="665"/>
        <v>SCL</v>
      </c>
      <c r="C10632" s="33" t="str">
        <f t="shared" si="666"/>
        <v>93601-7380</v>
      </c>
      <c r="D10632" s="64" t="s">
        <v>11891</v>
      </c>
      <c r="E10632" s="64" t="s">
        <v>3344</v>
      </c>
      <c r="F10632" s="64" t="s">
        <v>15</v>
      </c>
      <c r="G10632" s="64" t="s">
        <v>3017</v>
      </c>
      <c r="H10632" s="64" t="s">
        <v>3300</v>
      </c>
      <c r="I10632" s="64" t="s">
        <v>3345</v>
      </c>
      <c r="J10632" s="67">
        <v>0</v>
      </c>
      <c r="K10632" s="62">
        <v>78.41</v>
      </c>
      <c r="L10632" s="33" t="e">
        <f>HLOOKUP(B10632,#REF!,1,0)</f>
        <v>#REF!</v>
      </c>
      <c r="M10632" s="33" t="str">
        <f t="shared" si="667"/>
        <v>P&amp;L</v>
      </c>
    </row>
    <row r="10633" spans="1:13">
      <c r="A10633" s="33" t="str">
        <f t="shared" si="664"/>
        <v>SCL - Other Income/Expense</v>
      </c>
      <c r="B10633" s="33" t="str">
        <f t="shared" si="665"/>
        <v>SCL</v>
      </c>
      <c r="C10633" s="33" t="str">
        <f t="shared" si="666"/>
        <v>93601-7381</v>
      </c>
      <c r="D10633" s="64" t="s">
        <v>11892</v>
      </c>
      <c r="E10633" s="64" t="s">
        <v>3344</v>
      </c>
      <c r="F10633" s="64" t="s">
        <v>15</v>
      </c>
      <c r="G10633" s="64" t="s">
        <v>3017</v>
      </c>
      <c r="H10633" s="64" t="s">
        <v>3300</v>
      </c>
      <c r="I10633" s="64" t="s">
        <v>3345</v>
      </c>
      <c r="J10633" s="67">
        <v>13.11</v>
      </c>
      <c r="K10633" s="62">
        <v>150.04</v>
      </c>
      <c r="L10633" s="33" t="e">
        <f>HLOOKUP(B10633,#REF!,1,0)</f>
        <v>#REF!</v>
      </c>
      <c r="M10633" s="33" t="str">
        <f t="shared" si="667"/>
        <v>P&amp;L</v>
      </c>
    </row>
    <row r="10634" spans="1:13">
      <c r="A10634" s="33" t="str">
        <f t="shared" si="664"/>
        <v>SCL - Other Income/Expense</v>
      </c>
      <c r="B10634" s="33" t="str">
        <f t="shared" si="665"/>
        <v>SCL</v>
      </c>
      <c r="C10634" s="33" t="str">
        <f t="shared" si="666"/>
        <v>93601-7383</v>
      </c>
      <c r="D10634" s="64" t="s">
        <v>11893</v>
      </c>
      <c r="E10634" s="64" t="s">
        <v>3344</v>
      </c>
      <c r="F10634" s="64" t="s">
        <v>15</v>
      </c>
      <c r="G10634" s="64" t="s">
        <v>3017</v>
      </c>
      <c r="H10634" s="64" t="s">
        <v>3300</v>
      </c>
      <c r="I10634" s="64" t="s">
        <v>3345</v>
      </c>
      <c r="J10634" s="67">
        <v>0</v>
      </c>
      <c r="K10634" s="62">
        <v>672.04</v>
      </c>
      <c r="L10634" s="33" t="e">
        <f>HLOOKUP(B10634,#REF!,1,0)</f>
        <v>#REF!</v>
      </c>
      <c r="M10634" s="33" t="str">
        <f t="shared" si="667"/>
        <v>P&amp;L</v>
      </c>
    </row>
    <row r="10635" spans="1:13">
      <c r="A10635" s="33" t="str">
        <f t="shared" si="664"/>
        <v>SCL - Other Income/Expense</v>
      </c>
      <c r="B10635" s="33" t="str">
        <f t="shared" si="665"/>
        <v>SCL</v>
      </c>
      <c r="C10635" s="33" t="str">
        <f t="shared" si="666"/>
        <v>93601-7385</v>
      </c>
      <c r="D10635" s="64" t="s">
        <v>11894</v>
      </c>
      <c r="E10635" s="64" t="s">
        <v>3344</v>
      </c>
      <c r="F10635" s="64" t="s">
        <v>15</v>
      </c>
      <c r="G10635" s="64" t="s">
        <v>3017</v>
      </c>
      <c r="H10635" s="64" t="s">
        <v>3300</v>
      </c>
      <c r="I10635" s="64" t="s">
        <v>3345</v>
      </c>
      <c r="J10635" s="67">
        <v>12.4</v>
      </c>
      <c r="K10635" s="62">
        <v>224.89</v>
      </c>
      <c r="L10635" s="33" t="e">
        <f>HLOOKUP(B10635,#REF!,1,0)</f>
        <v>#REF!</v>
      </c>
      <c r="M10635" s="33" t="str">
        <f t="shared" si="667"/>
        <v>P&amp;L</v>
      </c>
    </row>
    <row r="10636" spans="1:13">
      <c r="A10636" s="33" t="str">
        <f t="shared" si="664"/>
        <v>SCL - Other Income/Expense</v>
      </c>
      <c r="B10636" s="33" t="str">
        <f t="shared" si="665"/>
        <v>SCL</v>
      </c>
      <c r="C10636" s="33" t="str">
        <f t="shared" si="666"/>
        <v>93601-7386</v>
      </c>
      <c r="D10636" s="64" t="s">
        <v>11895</v>
      </c>
      <c r="E10636" s="64" t="s">
        <v>3344</v>
      </c>
      <c r="F10636" s="64" t="s">
        <v>15</v>
      </c>
      <c r="G10636" s="64" t="s">
        <v>3017</v>
      </c>
      <c r="H10636" s="64" t="s">
        <v>3300</v>
      </c>
      <c r="I10636" s="64" t="s">
        <v>3345</v>
      </c>
      <c r="J10636" s="67">
        <v>702.63</v>
      </c>
      <c r="K10636" s="62">
        <v>1784.07</v>
      </c>
      <c r="L10636" s="33" t="e">
        <f>HLOOKUP(B10636,#REF!,1,0)</f>
        <v>#REF!</v>
      </c>
      <c r="M10636" s="33" t="str">
        <f t="shared" si="667"/>
        <v>P&amp;L</v>
      </c>
    </row>
    <row r="10637" spans="1:13">
      <c r="A10637" s="33" t="str">
        <f t="shared" si="664"/>
        <v>SCL - Other Income/Expense</v>
      </c>
      <c r="B10637" s="33" t="str">
        <f t="shared" si="665"/>
        <v>SCL</v>
      </c>
      <c r="C10637" s="33" t="str">
        <f t="shared" si="666"/>
        <v>93601-7387</v>
      </c>
      <c r="D10637" s="64" t="s">
        <v>11896</v>
      </c>
      <c r="E10637" s="64" t="s">
        <v>3344</v>
      </c>
      <c r="F10637" s="64" t="s">
        <v>15</v>
      </c>
      <c r="G10637" s="64" t="s">
        <v>3017</v>
      </c>
      <c r="H10637" s="64" t="s">
        <v>3300</v>
      </c>
      <c r="I10637" s="64" t="s">
        <v>3345</v>
      </c>
      <c r="J10637" s="67">
        <v>0</v>
      </c>
      <c r="K10637" s="62">
        <v>88.34</v>
      </c>
      <c r="L10637" s="33" t="e">
        <f>HLOOKUP(B10637,#REF!,1,0)</f>
        <v>#REF!</v>
      </c>
      <c r="M10637" s="33" t="str">
        <f t="shared" si="667"/>
        <v>P&amp;L</v>
      </c>
    </row>
    <row r="10638" spans="1:13">
      <c r="A10638" s="33" t="str">
        <f t="shared" si="664"/>
        <v>SCL - Other Income/Expense</v>
      </c>
      <c r="B10638" s="33" t="str">
        <f t="shared" si="665"/>
        <v>SCL</v>
      </c>
      <c r="C10638" s="33" t="str">
        <f t="shared" si="666"/>
        <v>93601-7389</v>
      </c>
      <c r="D10638" s="64" t="s">
        <v>11897</v>
      </c>
      <c r="E10638" s="64" t="s">
        <v>3344</v>
      </c>
      <c r="F10638" s="64" t="s">
        <v>15</v>
      </c>
      <c r="G10638" s="64" t="s">
        <v>3017</v>
      </c>
      <c r="H10638" s="64" t="s">
        <v>3300</v>
      </c>
      <c r="I10638" s="64" t="s">
        <v>3345</v>
      </c>
      <c r="J10638" s="67">
        <v>0</v>
      </c>
      <c r="K10638" s="62">
        <v>62.26</v>
      </c>
      <c r="L10638" s="33" t="e">
        <f>HLOOKUP(B10638,#REF!,1,0)</f>
        <v>#REF!</v>
      </c>
      <c r="M10638" s="33" t="str">
        <f t="shared" si="667"/>
        <v>P&amp;L</v>
      </c>
    </row>
    <row r="10639" spans="1:13">
      <c r="A10639" s="33" t="str">
        <f t="shared" si="664"/>
        <v>SCL - Other Income/Expense</v>
      </c>
      <c r="B10639" s="33" t="str">
        <f t="shared" si="665"/>
        <v>SCL</v>
      </c>
      <c r="C10639" s="33" t="str">
        <f t="shared" si="666"/>
        <v>93601-7391</v>
      </c>
      <c r="D10639" s="64" t="s">
        <v>11898</v>
      </c>
      <c r="E10639" s="64" t="s">
        <v>3344</v>
      </c>
      <c r="F10639" s="64" t="s">
        <v>15</v>
      </c>
      <c r="G10639" s="64" t="s">
        <v>3017</v>
      </c>
      <c r="H10639" s="64" t="s">
        <v>3300</v>
      </c>
      <c r="I10639" s="64" t="s">
        <v>3345</v>
      </c>
      <c r="J10639" s="67">
        <v>12.4</v>
      </c>
      <c r="K10639" s="62">
        <v>166.18</v>
      </c>
      <c r="L10639" s="33" t="e">
        <f>HLOOKUP(B10639,#REF!,1,0)</f>
        <v>#REF!</v>
      </c>
      <c r="M10639" s="33" t="str">
        <f t="shared" si="667"/>
        <v>P&amp;L</v>
      </c>
    </row>
    <row r="10640" spans="1:13">
      <c r="A10640" s="33" t="str">
        <f t="shared" si="664"/>
        <v>SCL - Other Income/Expense</v>
      </c>
      <c r="B10640" s="33" t="str">
        <f t="shared" si="665"/>
        <v>SCL</v>
      </c>
      <c r="C10640" s="33" t="str">
        <f t="shared" si="666"/>
        <v>93601-7393</v>
      </c>
      <c r="D10640" s="64" t="s">
        <v>11899</v>
      </c>
      <c r="E10640" s="64" t="s">
        <v>3344</v>
      </c>
      <c r="F10640" s="64" t="s">
        <v>15</v>
      </c>
      <c r="G10640" s="64" t="s">
        <v>3017</v>
      </c>
      <c r="H10640" s="64" t="s">
        <v>3300</v>
      </c>
      <c r="I10640" s="64" t="s">
        <v>3345</v>
      </c>
      <c r="J10640" s="67">
        <v>1105.15</v>
      </c>
      <c r="K10640" s="62">
        <v>1956.01</v>
      </c>
      <c r="L10640" s="33" t="e">
        <f>HLOOKUP(B10640,#REF!,1,0)</f>
        <v>#REF!</v>
      </c>
      <c r="M10640" s="33" t="str">
        <f t="shared" si="667"/>
        <v>P&amp;L</v>
      </c>
    </row>
    <row r="10641" spans="1:13">
      <c r="A10641" s="33" t="str">
        <f t="shared" si="664"/>
        <v>SCL - Other Income/Expense</v>
      </c>
      <c r="B10641" s="33" t="str">
        <f t="shared" si="665"/>
        <v>SCL</v>
      </c>
      <c r="C10641" s="33" t="str">
        <f t="shared" si="666"/>
        <v>93601-7394</v>
      </c>
      <c r="D10641" s="64" t="s">
        <v>11900</v>
      </c>
      <c r="E10641" s="64" t="s">
        <v>3344</v>
      </c>
      <c r="F10641" s="64" t="s">
        <v>15</v>
      </c>
      <c r="G10641" s="64" t="s">
        <v>3017</v>
      </c>
      <c r="H10641" s="64" t="s">
        <v>3300</v>
      </c>
      <c r="I10641" s="64" t="s">
        <v>3345</v>
      </c>
      <c r="J10641" s="67">
        <v>12.4</v>
      </c>
      <c r="K10641" s="62">
        <v>166.19</v>
      </c>
      <c r="L10641" s="33" t="e">
        <f>HLOOKUP(B10641,#REF!,1,0)</f>
        <v>#REF!</v>
      </c>
      <c r="M10641" s="33" t="str">
        <f t="shared" si="667"/>
        <v>P&amp;L</v>
      </c>
    </row>
    <row r="10642" spans="1:13">
      <c r="A10642" s="33" t="str">
        <f t="shared" si="664"/>
        <v>SCL - Other Income/Expense</v>
      </c>
      <c r="B10642" s="33" t="str">
        <f t="shared" si="665"/>
        <v>SCL</v>
      </c>
      <c r="C10642" s="33" t="str">
        <f t="shared" si="666"/>
        <v>93601-7396</v>
      </c>
      <c r="D10642" s="64" t="s">
        <v>11901</v>
      </c>
      <c r="E10642" s="64" t="s">
        <v>3344</v>
      </c>
      <c r="F10642" s="64" t="s">
        <v>15</v>
      </c>
      <c r="G10642" s="64" t="s">
        <v>3017</v>
      </c>
      <c r="H10642" s="64" t="s">
        <v>3300</v>
      </c>
      <c r="I10642" s="64" t="s">
        <v>3345</v>
      </c>
      <c r="J10642" s="67">
        <v>12.4</v>
      </c>
      <c r="K10642" s="62">
        <v>97.55</v>
      </c>
      <c r="L10642" s="33" t="e">
        <f>HLOOKUP(B10642,#REF!,1,0)</f>
        <v>#REF!</v>
      </c>
      <c r="M10642" s="33" t="str">
        <f t="shared" si="667"/>
        <v>P&amp;L</v>
      </c>
    </row>
    <row r="10643" spans="1:13">
      <c r="A10643" s="33" t="str">
        <f t="shared" si="664"/>
        <v>SCL - Other Income/Expense</v>
      </c>
      <c r="B10643" s="33" t="str">
        <f t="shared" si="665"/>
        <v>SCL</v>
      </c>
      <c r="C10643" s="33" t="str">
        <f t="shared" si="666"/>
        <v>93601-7397</v>
      </c>
      <c r="D10643" s="64" t="s">
        <v>11902</v>
      </c>
      <c r="E10643" s="64" t="s">
        <v>3344</v>
      </c>
      <c r="F10643" s="64" t="s">
        <v>15</v>
      </c>
      <c r="G10643" s="64" t="s">
        <v>3017</v>
      </c>
      <c r="H10643" s="64" t="s">
        <v>3300</v>
      </c>
      <c r="I10643" s="64" t="s">
        <v>3345</v>
      </c>
      <c r="J10643" s="67">
        <v>0</v>
      </c>
      <c r="K10643" s="62">
        <v>231.58</v>
      </c>
      <c r="L10643" s="33" t="e">
        <f>HLOOKUP(B10643,#REF!,1,0)</f>
        <v>#REF!</v>
      </c>
      <c r="M10643" s="33" t="str">
        <f t="shared" si="667"/>
        <v>P&amp;L</v>
      </c>
    </row>
    <row r="10644" spans="1:13">
      <c r="A10644" s="33" t="str">
        <f t="shared" si="664"/>
        <v>SCL - Other Income/Expense</v>
      </c>
      <c r="B10644" s="33" t="str">
        <f t="shared" si="665"/>
        <v>SCL</v>
      </c>
      <c r="C10644" s="33" t="str">
        <f t="shared" si="666"/>
        <v>93601-7398</v>
      </c>
      <c r="D10644" s="64" t="s">
        <v>11903</v>
      </c>
      <c r="E10644" s="64" t="s">
        <v>3344</v>
      </c>
      <c r="F10644" s="64" t="s">
        <v>15</v>
      </c>
      <c r="G10644" s="64" t="s">
        <v>3017</v>
      </c>
      <c r="H10644" s="64" t="s">
        <v>3300</v>
      </c>
      <c r="I10644" s="64" t="s">
        <v>3345</v>
      </c>
      <c r="J10644" s="67">
        <v>0</v>
      </c>
      <c r="K10644" s="62">
        <v>227.75</v>
      </c>
      <c r="L10644" s="33" t="e">
        <f>HLOOKUP(B10644,#REF!,1,0)</f>
        <v>#REF!</v>
      </c>
      <c r="M10644" s="33" t="str">
        <f t="shared" si="667"/>
        <v>P&amp;L</v>
      </c>
    </row>
    <row r="10645" spans="1:13">
      <c r="A10645" s="33" t="str">
        <f t="shared" si="664"/>
        <v>SCL - Other Income/Expense</v>
      </c>
      <c r="B10645" s="33" t="str">
        <f t="shared" si="665"/>
        <v>SCL</v>
      </c>
      <c r="C10645" s="33" t="str">
        <f t="shared" si="666"/>
        <v>93601-7400</v>
      </c>
      <c r="D10645" s="64" t="s">
        <v>11904</v>
      </c>
      <c r="E10645" s="64" t="s">
        <v>3344</v>
      </c>
      <c r="F10645" s="64" t="s">
        <v>15</v>
      </c>
      <c r="G10645" s="64" t="s">
        <v>3017</v>
      </c>
      <c r="H10645" t="s">
        <v>3300</v>
      </c>
      <c r="I10645" s="64" t="s">
        <v>3345</v>
      </c>
      <c r="J10645" s="67">
        <v>0</v>
      </c>
      <c r="K10645" s="62">
        <v>88.35</v>
      </c>
      <c r="L10645" s="33" t="e">
        <f>HLOOKUP(B10645,#REF!,1,0)</f>
        <v>#REF!</v>
      </c>
      <c r="M10645" s="33" t="str">
        <f t="shared" si="667"/>
        <v>P&amp;L</v>
      </c>
    </row>
    <row r="10646" spans="1:13">
      <c r="A10646" s="33" t="str">
        <f t="shared" si="664"/>
        <v>SCL - Other Income/Expense</v>
      </c>
      <c r="B10646" s="33" t="str">
        <f t="shared" si="665"/>
        <v>SCL</v>
      </c>
      <c r="C10646" s="33" t="str">
        <f t="shared" si="666"/>
        <v>93601-7401</v>
      </c>
      <c r="D10646" s="64" t="s">
        <v>11905</v>
      </c>
      <c r="E10646" s="64" t="s">
        <v>3344</v>
      </c>
      <c r="F10646" s="64" t="s">
        <v>15</v>
      </c>
      <c r="G10646" s="64" t="s">
        <v>3017</v>
      </c>
      <c r="H10646" s="64" t="s">
        <v>3300</v>
      </c>
      <c r="I10646" s="64" t="s">
        <v>3345</v>
      </c>
      <c r="J10646" s="67">
        <v>0</v>
      </c>
      <c r="K10646" s="62">
        <v>88.37</v>
      </c>
      <c r="L10646" s="33" t="e">
        <f>HLOOKUP(B10646,#REF!,1,0)</f>
        <v>#REF!</v>
      </c>
      <c r="M10646" s="33" t="str">
        <f t="shared" si="667"/>
        <v>P&amp;L</v>
      </c>
    </row>
    <row r="10647" spans="1:13">
      <c r="A10647" s="33" t="str">
        <f t="shared" si="664"/>
        <v>SCL - Other Income/Expense</v>
      </c>
      <c r="B10647" s="33" t="str">
        <f t="shared" si="665"/>
        <v>SCL</v>
      </c>
      <c r="C10647" s="33" t="str">
        <f t="shared" si="666"/>
        <v>93601-7402</v>
      </c>
      <c r="D10647" s="64" t="s">
        <v>11906</v>
      </c>
      <c r="E10647" s="64" t="s">
        <v>3344</v>
      </c>
      <c r="F10647" s="64" t="s">
        <v>15</v>
      </c>
      <c r="G10647" s="64" t="s">
        <v>3017</v>
      </c>
      <c r="H10647" s="64" t="s">
        <v>3300</v>
      </c>
      <c r="I10647" s="64" t="s">
        <v>3345</v>
      </c>
      <c r="J10647" s="67">
        <v>0</v>
      </c>
      <c r="K10647" s="62">
        <v>259.72</v>
      </c>
      <c r="L10647" s="33" t="e">
        <f>HLOOKUP(B10647,#REF!,1,0)</f>
        <v>#REF!</v>
      </c>
      <c r="M10647" s="33" t="str">
        <f t="shared" si="667"/>
        <v>P&amp;L</v>
      </c>
    </row>
    <row r="10648" spans="1:13">
      <c r="A10648" s="33" t="str">
        <f t="shared" si="664"/>
        <v>SCL - Other Income/Expense</v>
      </c>
      <c r="B10648" s="33" t="str">
        <f t="shared" si="665"/>
        <v>SCL</v>
      </c>
      <c r="C10648" s="33" t="str">
        <f t="shared" si="666"/>
        <v>93601-7403</v>
      </c>
      <c r="D10648" s="64" t="s">
        <v>11907</v>
      </c>
      <c r="E10648" s="64" t="s">
        <v>3344</v>
      </c>
      <c r="F10648" s="64" t="s">
        <v>15</v>
      </c>
      <c r="G10648" s="64" t="s">
        <v>3017</v>
      </c>
      <c r="H10648" s="64" t="s">
        <v>3300</v>
      </c>
      <c r="I10648" s="64" t="s">
        <v>3345</v>
      </c>
      <c r="J10648" s="67">
        <v>0</v>
      </c>
      <c r="K10648" s="62">
        <v>128.4</v>
      </c>
      <c r="L10648" s="33" t="e">
        <f>HLOOKUP(B10648,#REF!,1,0)</f>
        <v>#REF!</v>
      </c>
      <c r="M10648" s="33" t="str">
        <f t="shared" si="667"/>
        <v>P&amp;L</v>
      </c>
    </row>
    <row r="10649" spans="1:13">
      <c r="A10649" s="33" t="str">
        <f t="shared" si="664"/>
        <v>SCL - Other Income/Expense</v>
      </c>
      <c r="B10649" s="33" t="str">
        <f t="shared" si="665"/>
        <v>SCL</v>
      </c>
      <c r="C10649" s="33" t="str">
        <f t="shared" si="666"/>
        <v>93601-7489</v>
      </c>
      <c r="D10649" s="64" t="s">
        <v>11908</v>
      </c>
      <c r="E10649" s="64" t="s">
        <v>3344</v>
      </c>
      <c r="F10649" s="64" t="s">
        <v>15</v>
      </c>
      <c r="G10649" s="64" t="s">
        <v>3017</v>
      </c>
      <c r="H10649" s="64" t="s">
        <v>3300</v>
      </c>
      <c r="I10649" s="64" t="s">
        <v>3345</v>
      </c>
      <c r="J10649" s="67">
        <v>267.43</v>
      </c>
      <c r="K10649" s="62">
        <v>438.73</v>
      </c>
      <c r="L10649" s="33" t="e">
        <f>HLOOKUP(B10649,#REF!,1,0)</f>
        <v>#REF!</v>
      </c>
      <c r="M10649" s="33" t="str">
        <f t="shared" si="667"/>
        <v>P&amp;L</v>
      </c>
    </row>
    <row r="10650" spans="1:13">
      <c r="A10650" s="33" t="str">
        <f t="shared" si="664"/>
        <v>SCL - Other Income/Expense</v>
      </c>
      <c r="B10650" s="33" t="str">
        <f t="shared" si="665"/>
        <v>SCL</v>
      </c>
      <c r="C10650" s="33" t="str">
        <f t="shared" si="666"/>
        <v>93601-7491</v>
      </c>
      <c r="D10650" s="64" t="s">
        <v>11909</v>
      </c>
      <c r="E10650" s="64" t="s">
        <v>3344</v>
      </c>
      <c r="F10650" s="64" t="s">
        <v>15</v>
      </c>
      <c r="G10650" s="64" t="s">
        <v>3017</v>
      </c>
      <c r="H10650" s="64" t="s">
        <v>3300</v>
      </c>
      <c r="I10650" s="64" t="s">
        <v>3345</v>
      </c>
      <c r="J10650" s="67">
        <v>12.4</v>
      </c>
      <c r="K10650" s="62">
        <v>249.9</v>
      </c>
      <c r="L10650" s="33" t="e">
        <f>HLOOKUP(B10650,#REF!,1,0)</f>
        <v>#REF!</v>
      </c>
      <c r="M10650" s="33" t="str">
        <f t="shared" si="667"/>
        <v>P&amp;L</v>
      </c>
    </row>
    <row r="10651" spans="1:13">
      <c r="A10651" s="33" t="str">
        <f t="shared" si="664"/>
        <v>SCL - Other Income/Expense</v>
      </c>
      <c r="B10651" s="33" t="str">
        <f t="shared" si="665"/>
        <v>SCL</v>
      </c>
      <c r="C10651" s="33" t="str">
        <f t="shared" si="666"/>
        <v>93601-7492</v>
      </c>
      <c r="D10651" s="64" t="s">
        <v>11910</v>
      </c>
      <c r="E10651" s="64" t="s">
        <v>3344</v>
      </c>
      <c r="F10651" s="64" t="s">
        <v>15</v>
      </c>
      <c r="G10651" s="64" t="s">
        <v>3017</v>
      </c>
      <c r="H10651" s="64" t="s">
        <v>3300</v>
      </c>
      <c r="I10651" s="64" t="s">
        <v>3345</v>
      </c>
      <c r="J10651" s="67">
        <v>0</v>
      </c>
      <c r="K10651" s="62">
        <v>137.99</v>
      </c>
      <c r="L10651" s="33" t="e">
        <f>HLOOKUP(B10651,#REF!,1,0)</f>
        <v>#REF!</v>
      </c>
      <c r="M10651" s="33" t="str">
        <f t="shared" si="667"/>
        <v>P&amp;L</v>
      </c>
    </row>
    <row r="10652" spans="1:13">
      <c r="A10652" s="33" t="str">
        <f t="shared" si="664"/>
        <v>SCL - Other Income/Expense</v>
      </c>
      <c r="B10652" s="33" t="str">
        <f t="shared" si="665"/>
        <v>SCL</v>
      </c>
      <c r="C10652" s="33" t="str">
        <f t="shared" si="666"/>
        <v>93601-7493</v>
      </c>
      <c r="D10652" s="64" t="s">
        <v>11911</v>
      </c>
      <c r="E10652" s="64" t="s">
        <v>3344</v>
      </c>
      <c r="F10652" s="64" t="s">
        <v>15</v>
      </c>
      <c r="G10652" s="64" t="s">
        <v>3017</v>
      </c>
      <c r="H10652" s="64" t="s">
        <v>3300</v>
      </c>
      <c r="I10652" s="64" t="s">
        <v>3345</v>
      </c>
      <c r="J10652" s="67">
        <v>86.95</v>
      </c>
      <c r="K10652" s="62">
        <v>231.38</v>
      </c>
      <c r="L10652" s="33" t="e">
        <f>HLOOKUP(B10652,#REF!,1,0)</f>
        <v>#REF!</v>
      </c>
      <c r="M10652" s="33" t="str">
        <f t="shared" si="667"/>
        <v>P&amp;L</v>
      </c>
    </row>
    <row r="10653" spans="1:13">
      <c r="A10653" s="33" t="str">
        <f t="shared" si="664"/>
        <v>SCL - Other Income/Expense</v>
      </c>
      <c r="B10653" s="33" t="str">
        <f t="shared" si="665"/>
        <v>SCL</v>
      </c>
      <c r="C10653" s="33" t="str">
        <f t="shared" si="666"/>
        <v>93601-7625</v>
      </c>
      <c r="D10653" s="64" t="s">
        <v>11912</v>
      </c>
      <c r="E10653" s="64" t="s">
        <v>3344</v>
      </c>
      <c r="F10653" s="64" t="s">
        <v>15</v>
      </c>
      <c r="G10653" s="64" t="s">
        <v>3017</v>
      </c>
      <c r="H10653" s="64" t="s">
        <v>3300</v>
      </c>
      <c r="I10653" s="64" t="s">
        <v>3345</v>
      </c>
      <c r="J10653" s="67">
        <v>0</v>
      </c>
      <c r="K10653" s="62">
        <v>137.99</v>
      </c>
      <c r="L10653" s="33" t="e">
        <f>HLOOKUP(B10653,#REF!,1,0)</f>
        <v>#REF!</v>
      </c>
      <c r="M10653" s="33" t="str">
        <f t="shared" si="667"/>
        <v>P&amp;L</v>
      </c>
    </row>
    <row r="10654" spans="1:13">
      <c r="A10654" s="33" t="str">
        <f t="shared" si="664"/>
        <v>SCL - Other Income/Expense</v>
      </c>
      <c r="B10654" s="33" t="str">
        <f t="shared" si="665"/>
        <v>SCL</v>
      </c>
      <c r="C10654" s="33" t="str">
        <f t="shared" si="666"/>
        <v>93601-8150</v>
      </c>
      <c r="D10654" s="64" t="s">
        <v>11913</v>
      </c>
      <c r="E10654" s="64" t="s">
        <v>3344</v>
      </c>
      <c r="F10654" s="64" t="s">
        <v>15</v>
      </c>
      <c r="G10654" s="64" t="s">
        <v>3017</v>
      </c>
      <c r="H10654" s="64" t="s">
        <v>3300</v>
      </c>
      <c r="I10654" s="64" t="s">
        <v>3345</v>
      </c>
      <c r="J10654" s="67">
        <v>0</v>
      </c>
      <c r="K10654" s="62">
        <v>62.26</v>
      </c>
      <c r="L10654" s="33" t="e">
        <f>HLOOKUP(B10654,#REF!,1,0)</f>
        <v>#REF!</v>
      </c>
      <c r="M10654" s="33" t="str">
        <f t="shared" si="667"/>
        <v>P&amp;L</v>
      </c>
    </row>
    <row r="10655" spans="1:13">
      <c r="A10655" s="33" t="str">
        <f t="shared" si="664"/>
        <v>SCL - Other Income/Expense</v>
      </c>
      <c r="B10655" s="33" t="str">
        <f t="shared" si="665"/>
        <v>SCL</v>
      </c>
      <c r="C10655" s="33" t="str">
        <f t="shared" si="666"/>
        <v>93801-7351</v>
      </c>
      <c r="D10655" s="64" t="s">
        <v>11914</v>
      </c>
      <c r="E10655" s="64" t="s">
        <v>5183</v>
      </c>
      <c r="F10655" s="64" t="s">
        <v>15</v>
      </c>
      <c r="G10655" s="64" t="s">
        <v>3044</v>
      </c>
      <c r="H10655" s="64" t="s">
        <v>3300</v>
      </c>
      <c r="I10655" s="64" t="s">
        <v>5184</v>
      </c>
      <c r="J10655" s="67">
        <v>165.58</v>
      </c>
      <c r="K10655" s="62">
        <v>1794.56</v>
      </c>
      <c r="L10655" s="33" t="e">
        <f>HLOOKUP(B10655,#REF!,1,0)</f>
        <v>#REF!</v>
      </c>
      <c r="M10655" s="33" t="str">
        <f t="shared" si="667"/>
        <v>P&amp;L</v>
      </c>
    </row>
    <row r="10656" spans="1:13">
      <c r="A10656" s="33" t="str">
        <f t="shared" si="664"/>
        <v>SCL - Other Income/Expense</v>
      </c>
      <c r="B10656" s="33" t="str">
        <f t="shared" si="665"/>
        <v>SCL</v>
      </c>
      <c r="C10656" s="33" t="str">
        <f t="shared" si="666"/>
        <v>93801-7352</v>
      </c>
      <c r="D10656" s="64" t="s">
        <v>11915</v>
      </c>
      <c r="E10656" s="64" t="s">
        <v>5183</v>
      </c>
      <c r="F10656" s="64" t="s">
        <v>15</v>
      </c>
      <c r="G10656" s="64" t="s">
        <v>3044</v>
      </c>
      <c r="H10656" s="64" t="s">
        <v>3300</v>
      </c>
      <c r="I10656" s="64" t="s">
        <v>5184</v>
      </c>
      <c r="J10656" s="67">
        <v>144.97</v>
      </c>
      <c r="K10656" s="62">
        <v>1468.11</v>
      </c>
      <c r="L10656" s="33" t="e">
        <f>HLOOKUP(B10656,#REF!,1,0)</f>
        <v>#REF!</v>
      </c>
      <c r="M10656" s="33" t="str">
        <f t="shared" si="667"/>
        <v>P&amp;L</v>
      </c>
    </row>
    <row r="10657" spans="1:13">
      <c r="A10657" s="33" t="str">
        <f t="shared" si="664"/>
        <v>SCL - Other Income/Expense</v>
      </c>
      <c r="B10657" s="33" t="str">
        <f t="shared" si="665"/>
        <v>SCL</v>
      </c>
      <c r="C10657" s="33" t="str">
        <f t="shared" si="666"/>
        <v>93801-7355</v>
      </c>
      <c r="D10657" s="64" t="s">
        <v>11916</v>
      </c>
      <c r="E10657" s="64" t="s">
        <v>5183</v>
      </c>
      <c r="F10657" s="64" t="s">
        <v>15</v>
      </c>
      <c r="G10657" s="64" t="s">
        <v>3044</v>
      </c>
      <c r="H10657" s="64" t="s">
        <v>3300</v>
      </c>
      <c r="I10657" s="64" t="s">
        <v>5184</v>
      </c>
      <c r="J10657" s="67">
        <v>165.58</v>
      </c>
      <c r="K10657" s="62">
        <v>1930.15</v>
      </c>
      <c r="L10657" s="33" t="e">
        <f>HLOOKUP(B10657,#REF!,1,0)</f>
        <v>#REF!</v>
      </c>
      <c r="M10657" s="33" t="str">
        <f t="shared" si="667"/>
        <v>P&amp;L</v>
      </c>
    </row>
    <row r="10658" spans="1:13">
      <c r="A10658" s="33" t="str">
        <f t="shared" si="664"/>
        <v>SCL - Other Income/Expense</v>
      </c>
      <c r="B10658" s="33" t="str">
        <f t="shared" si="665"/>
        <v>SCL</v>
      </c>
      <c r="C10658" s="33" t="str">
        <f t="shared" si="666"/>
        <v>93801-7356</v>
      </c>
      <c r="D10658" s="64" t="s">
        <v>11917</v>
      </c>
      <c r="E10658" s="64" t="s">
        <v>5183</v>
      </c>
      <c r="F10658" s="64" t="s">
        <v>15</v>
      </c>
      <c r="G10658" s="64" t="s">
        <v>3044</v>
      </c>
      <c r="H10658" s="64" t="s">
        <v>3300</v>
      </c>
      <c r="I10658" s="64" t="s">
        <v>5184</v>
      </c>
      <c r="J10658" s="67">
        <v>0</v>
      </c>
      <c r="K10658" s="62">
        <v>289.43</v>
      </c>
      <c r="L10658" s="33" t="e">
        <f>HLOOKUP(B10658,#REF!,1,0)</f>
        <v>#REF!</v>
      </c>
      <c r="M10658" s="33" t="str">
        <f t="shared" si="667"/>
        <v>P&amp;L</v>
      </c>
    </row>
    <row r="10659" spans="1:13">
      <c r="A10659" s="33" t="str">
        <f t="shared" si="664"/>
        <v>SCL - Other Income/Expense</v>
      </c>
      <c r="B10659" s="33" t="str">
        <f t="shared" si="665"/>
        <v>SCL</v>
      </c>
      <c r="C10659" s="33" t="str">
        <f t="shared" si="666"/>
        <v>93801-7359</v>
      </c>
      <c r="D10659" s="64" t="s">
        <v>11918</v>
      </c>
      <c r="E10659" s="64" t="s">
        <v>5183</v>
      </c>
      <c r="F10659" s="64" t="s">
        <v>15</v>
      </c>
      <c r="G10659" s="64" t="s">
        <v>3044</v>
      </c>
      <c r="H10659" s="64" t="s">
        <v>3300</v>
      </c>
      <c r="I10659" s="64" t="s">
        <v>5184</v>
      </c>
      <c r="J10659" s="67">
        <v>165.58</v>
      </c>
      <c r="K10659" s="62">
        <v>1908.13</v>
      </c>
      <c r="L10659" s="33" t="e">
        <f>HLOOKUP(B10659,#REF!,1,0)</f>
        <v>#REF!</v>
      </c>
      <c r="M10659" s="33" t="str">
        <f t="shared" si="667"/>
        <v>P&amp;L</v>
      </c>
    </row>
    <row r="10660" spans="1:13">
      <c r="A10660" s="33" t="str">
        <f t="shared" si="664"/>
        <v>SCL - Other Income/Expense</v>
      </c>
      <c r="B10660" s="33" t="str">
        <f t="shared" si="665"/>
        <v>SCL</v>
      </c>
      <c r="C10660" s="33" t="str">
        <f t="shared" si="666"/>
        <v>93801-7360</v>
      </c>
      <c r="D10660" s="64" t="s">
        <v>11919</v>
      </c>
      <c r="E10660" s="64" t="s">
        <v>5183</v>
      </c>
      <c r="F10660" s="64" t="s">
        <v>15</v>
      </c>
      <c r="G10660" s="64" t="s">
        <v>3044</v>
      </c>
      <c r="H10660" s="64" t="s">
        <v>3300</v>
      </c>
      <c r="I10660" s="64" t="s">
        <v>5184</v>
      </c>
      <c r="J10660" s="67">
        <v>165.58</v>
      </c>
      <c r="K10660" s="62">
        <v>1906.99</v>
      </c>
      <c r="L10660" s="33" t="e">
        <f>HLOOKUP(B10660,#REF!,1,0)</f>
        <v>#REF!</v>
      </c>
      <c r="M10660" s="33" t="str">
        <f t="shared" si="667"/>
        <v>P&amp;L</v>
      </c>
    </row>
    <row r="10661" spans="1:13">
      <c r="A10661" s="33" t="str">
        <f t="shared" si="664"/>
        <v>SCL - Other Income/Expense</v>
      </c>
      <c r="B10661" s="33" t="str">
        <f t="shared" si="665"/>
        <v>SCL</v>
      </c>
      <c r="C10661" s="33" t="str">
        <f t="shared" si="666"/>
        <v>93801-7361</v>
      </c>
      <c r="D10661" s="64" t="s">
        <v>11920</v>
      </c>
      <c r="E10661" s="64" t="s">
        <v>5183</v>
      </c>
      <c r="F10661" s="64" t="s">
        <v>15</v>
      </c>
      <c r="G10661" s="64" t="s">
        <v>3044</v>
      </c>
      <c r="H10661" s="64" t="s">
        <v>3300</v>
      </c>
      <c r="I10661" s="64" t="s">
        <v>5184</v>
      </c>
      <c r="J10661" s="67">
        <v>165.58</v>
      </c>
      <c r="K10661" s="62">
        <v>2055.68</v>
      </c>
      <c r="L10661" s="33" t="e">
        <f>HLOOKUP(B10661,#REF!,1,0)</f>
        <v>#REF!</v>
      </c>
      <c r="M10661" s="33" t="str">
        <f t="shared" si="667"/>
        <v>P&amp;L</v>
      </c>
    </row>
    <row r="10662" spans="1:13">
      <c r="A10662" s="33" t="str">
        <f t="shared" si="664"/>
        <v>SCL - Other Income/Expense</v>
      </c>
      <c r="B10662" s="33" t="str">
        <f t="shared" si="665"/>
        <v>SCL</v>
      </c>
      <c r="C10662" s="33" t="str">
        <f t="shared" si="666"/>
        <v>93801-7362</v>
      </c>
      <c r="D10662" s="64" t="s">
        <v>11921</v>
      </c>
      <c r="E10662" s="64" t="s">
        <v>5183</v>
      </c>
      <c r="F10662" s="64" t="s">
        <v>15</v>
      </c>
      <c r="G10662" s="64" t="s">
        <v>3044</v>
      </c>
      <c r="H10662" s="64" t="s">
        <v>3300</v>
      </c>
      <c r="I10662" s="64" t="s">
        <v>5184</v>
      </c>
      <c r="J10662" s="67">
        <v>124.99</v>
      </c>
      <c r="K10662" s="62">
        <v>1604.74</v>
      </c>
      <c r="L10662" s="33" t="e">
        <f>HLOOKUP(B10662,#REF!,1,0)</f>
        <v>#REF!</v>
      </c>
      <c r="M10662" s="33" t="str">
        <f t="shared" si="667"/>
        <v>P&amp;L</v>
      </c>
    </row>
    <row r="10663" spans="1:13">
      <c r="A10663" s="33" t="str">
        <f t="shared" si="664"/>
        <v>SCL - Other Income/Expense</v>
      </c>
      <c r="B10663" s="33" t="str">
        <f t="shared" si="665"/>
        <v>SCL</v>
      </c>
      <c r="C10663" s="33" t="str">
        <f t="shared" si="666"/>
        <v>93801-7363</v>
      </c>
      <c r="D10663" s="64" t="s">
        <v>11922</v>
      </c>
      <c r="E10663" s="64" t="s">
        <v>5183</v>
      </c>
      <c r="F10663" s="64" t="s">
        <v>15</v>
      </c>
      <c r="G10663" s="64" t="s">
        <v>3044</v>
      </c>
      <c r="H10663" s="64" t="s">
        <v>3300</v>
      </c>
      <c r="I10663" s="64" t="s">
        <v>5184</v>
      </c>
      <c r="J10663" s="67">
        <v>165.58</v>
      </c>
      <c r="K10663" s="62">
        <v>1755.97</v>
      </c>
      <c r="L10663" s="33" t="e">
        <f>HLOOKUP(B10663,#REF!,1,0)</f>
        <v>#REF!</v>
      </c>
      <c r="M10663" s="33" t="str">
        <f t="shared" si="667"/>
        <v>P&amp;L</v>
      </c>
    </row>
    <row r="10664" spans="1:13">
      <c r="A10664" s="33" t="str">
        <f t="shared" si="664"/>
        <v>SCL - Other Income/Expense</v>
      </c>
      <c r="B10664" s="33" t="str">
        <f t="shared" si="665"/>
        <v>SCL</v>
      </c>
      <c r="C10664" s="33" t="str">
        <f t="shared" si="666"/>
        <v>93801-7364</v>
      </c>
      <c r="D10664" s="64" t="s">
        <v>11923</v>
      </c>
      <c r="E10664" s="64" t="s">
        <v>5183</v>
      </c>
      <c r="F10664" s="64" t="s">
        <v>15</v>
      </c>
      <c r="G10664" s="64" t="s">
        <v>3044</v>
      </c>
      <c r="H10664" s="64" t="s">
        <v>3300</v>
      </c>
      <c r="I10664" s="64" t="s">
        <v>5184</v>
      </c>
      <c r="J10664" s="67">
        <v>165.58</v>
      </c>
      <c r="K10664" s="62">
        <v>1749.85</v>
      </c>
      <c r="L10664" s="33" t="e">
        <f>HLOOKUP(B10664,#REF!,1,0)</f>
        <v>#REF!</v>
      </c>
      <c r="M10664" s="33" t="str">
        <f t="shared" si="667"/>
        <v>P&amp;L</v>
      </c>
    </row>
    <row r="10665" spans="1:13">
      <c r="A10665" s="33" t="str">
        <f t="shared" si="664"/>
        <v>SCL - Other Income/Expense</v>
      </c>
      <c r="B10665" s="33" t="str">
        <f t="shared" si="665"/>
        <v>SCL</v>
      </c>
      <c r="C10665" s="33" t="str">
        <f t="shared" si="666"/>
        <v>93801-7365</v>
      </c>
      <c r="D10665" s="64" t="s">
        <v>11924</v>
      </c>
      <c r="E10665" s="64" t="s">
        <v>5183</v>
      </c>
      <c r="F10665" s="64" t="s">
        <v>15</v>
      </c>
      <c r="G10665" s="64" t="s">
        <v>3044</v>
      </c>
      <c r="H10665" s="64" t="s">
        <v>3300</v>
      </c>
      <c r="I10665" s="64" t="s">
        <v>5184</v>
      </c>
      <c r="J10665" s="67">
        <v>165.58</v>
      </c>
      <c r="K10665" s="62">
        <v>1905.2</v>
      </c>
      <c r="L10665" s="33" t="e">
        <f>HLOOKUP(B10665,#REF!,1,0)</f>
        <v>#REF!</v>
      </c>
      <c r="M10665" s="33" t="str">
        <f t="shared" si="667"/>
        <v>P&amp;L</v>
      </c>
    </row>
    <row r="10666" spans="1:13">
      <c r="A10666" s="33" t="str">
        <f t="shared" si="664"/>
        <v>SCL - Other Income/Expense</v>
      </c>
      <c r="B10666" s="33" t="str">
        <f t="shared" si="665"/>
        <v>SCL</v>
      </c>
      <c r="C10666" s="33" t="str">
        <f t="shared" si="666"/>
        <v>93801-7366</v>
      </c>
      <c r="D10666" s="64" t="s">
        <v>11925</v>
      </c>
      <c r="E10666" s="64" t="s">
        <v>5183</v>
      </c>
      <c r="F10666" s="64" t="s">
        <v>15</v>
      </c>
      <c r="G10666" s="64" t="s">
        <v>3044</v>
      </c>
      <c r="H10666" s="64" t="s">
        <v>3300</v>
      </c>
      <c r="I10666" s="64" t="s">
        <v>5184</v>
      </c>
      <c r="J10666" s="67">
        <v>165.58</v>
      </c>
      <c r="K10666" s="62">
        <v>1930.15</v>
      </c>
      <c r="L10666" s="33" t="e">
        <f>HLOOKUP(B10666,#REF!,1,0)</f>
        <v>#REF!</v>
      </c>
      <c r="M10666" s="33" t="str">
        <f t="shared" si="667"/>
        <v>P&amp;L</v>
      </c>
    </row>
    <row r="10667" spans="1:13">
      <c r="A10667" s="33" t="str">
        <f t="shared" si="664"/>
        <v>SCL - Other Income/Expense</v>
      </c>
      <c r="B10667" s="33" t="str">
        <f t="shared" si="665"/>
        <v>SCL</v>
      </c>
      <c r="C10667" s="33" t="str">
        <f t="shared" si="666"/>
        <v>93801-7368</v>
      </c>
      <c r="D10667" s="64" t="s">
        <v>11926</v>
      </c>
      <c r="E10667" s="64" t="s">
        <v>5183</v>
      </c>
      <c r="F10667" s="64" t="s">
        <v>15</v>
      </c>
      <c r="G10667" s="64" t="s">
        <v>3044</v>
      </c>
      <c r="H10667" s="64" t="s">
        <v>3300</v>
      </c>
      <c r="I10667" s="64" t="s">
        <v>5184</v>
      </c>
      <c r="J10667" s="67">
        <v>165.58</v>
      </c>
      <c r="K10667" s="62">
        <v>1930.15</v>
      </c>
      <c r="L10667" s="33" t="e">
        <f>HLOOKUP(B10667,#REF!,1,0)</f>
        <v>#REF!</v>
      </c>
      <c r="M10667" s="33" t="str">
        <f t="shared" si="667"/>
        <v>P&amp;L</v>
      </c>
    </row>
    <row r="10668" spans="1:13">
      <c r="A10668" s="33" t="str">
        <f t="shared" si="664"/>
        <v>SCL - Other Income/Expense</v>
      </c>
      <c r="B10668" s="33" t="str">
        <f t="shared" si="665"/>
        <v>SCL</v>
      </c>
      <c r="C10668" s="33" t="str">
        <f t="shared" si="666"/>
        <v>93801-7369</v>
      </c>
      <c r="D10668" s="64" t="s">
        <v>11927</v>
      </c>
      <c r="E10668" s="64" t="s">
        <v>5183</v>
      </c>
      <c r="F10668" s="64" t="s">
        <v>15</v>
      </c>
      <c r="G10668" s="64" t="s">
        <v>3044</v>
      </c>
      <c r="H10668" s="64" t="s">
        <v>3300</v>
      </c>
      <c r="I10668" s="64" t="s">
        <v>5184</v>
      </c>
      <c r="J10668" s="67">
        <v>165.58</v>
      </c>
      <c r="K10668" s="62">
        <v>1706.39</v>
      </c>
      <c r="L10668" s="33" t="e">
        <f>HLOOKUP(B10668,#REF!,1,0)</f>
        <v>#REF!</v>
      </c>
      <c r="M10668" s="33" t="str">
        <f t="shared" si="667"/>
        <v>P&amp;L</v>
      </c>
    </row>
    <row r="10669" spans="1:13">
      <c r="A10669" s="33" t="str">
        <f t="shared" si="664"/>
        <v>SCL - Other Income/Expense</v>
      </c>
      <c r="B10669" s="33" t="str">
        <f t="shared" si="665"/>
        <v>SCL</v>
      </c>
      <c r="C10669" s="33" t="str">
        <f t="shared" si="666"/>
        <v>93801-7371</v>
      </c>
      <c r="D10669" s="64" t="s">
        <v>11928</v>
      </c>
      <c r="E10669" s="64" t="s">
        <v>5183</v>
      </c>
      <c r="F10669" s="64" t="s">
        <v>15</v>
      </c>
      <c r="G10669" s="64" t="s">
        <v>3044</v>
      </c>
      <c r="H10669" s="64" t="s">
        <v>3300</v>
      </c>
      <c r="I10669" s="64" t="s">
        <v>5184</v>
      </c>
      <c r="J10669" s="67">
        <v>165.58</v>
      </c>
      <c r="K10669" s="62">
        <v>1930.15</v>
      </c>
      <c r="L10669" s="33" t="e">
        <f>HLOOKUP(B10669,#REF!,1,0)</f>
        <v>#REF!</v>
      </c>
      <c r="M10669" s="33" t="str">
        <f t="shared" si="667"/>
        <v>P&amp;L</v>
      </c>
    </row>
    <row r="10670" spans="1:13">
      <c r="A10670" s="33" t="str">
        <f t="shared" si="664"/>
        <v>SCL - Other Income/Expense</v>
      </c>
      <c r="B10670" s="33" t="str">
        <f t="shared" si="665"/>
        <v>SCL</v>
      </c>
      <c r="C10670" s="33" t="str">
        <f t="shared" si="666"/>
        <v>93801-7374</v>
      </c>
      <c r="D10670" s="64" t="s">
        <v>11929</v>
      </c>
      <c r="E10670" s="64" t="s">
        <v>5183</v>
      </c>
      <c r="F10670" s="64" t="s">
        <v>15</v>
      </c>
      <c r="G10670" s="64" t="s">
        <v>3044</v>
      </c>
      <c r="H10670" s="64" t="s">
        <v>3300</v>
      </c>
      <c r="I10670" s="64" t="s">
        <v>5184</v>
      </c>
      <c r="J10670" s="67">
        <v>165.58</v>
      </c>
      <c r="K10670" s="62">
        <v>1930.15</v>
      </c>
      <c r="L10670" s="33" t="e">
        <f>HLOOKUP(B10670,#REF!,1,0)</f>
        <v>#REF!</v>
      </c>
      <c r="M10670" s="33" t="str">
        <f t="shared" si="667"/>
        <v>P&amp;L</v>
      </c>
    </row>
    <row r="10671" spans="1:13">
      <c r="A10671" s="33" t="str">
        <f t="shared" si="664"/>
        <v>SCL - Other Income/Expense</v>
      </c>
      <c r="B10671" s="33" t="str">
        <f t="shared" si="665"/>
        <v>SCL</v>
      </c>
      <c r="C10671" s="33" t="str">
        <f t="shared" si="666"/>
        <v>93801-7375</v>
      </c>
      <c r="D10671" s="64" t="s">
        <v>11930</v>
      </c>
      <c r="E10671" s="64" t="s">
        <v>5183</v>
      </c>
      <c r="F10671" s="64" t="s">
        <v>15</v>
      </c>
      <c r="G10671" s="64" t="s">
        <v>3044</v>
      </c>
      <c r="H10671" s="64" t="s">
        <v>3300</v>
      </c>
      <c r="I10671" s="64" t="s">
        <v>5184</v>
      </c>
      <c r="J10671" s="67">
        <v>165.58</v>
      </c>
      <c r="K10671" s="62">
        <v>1930.15</v>
      </c>
      <c r="L10671" s="33" t="e">
        <f>HLOOKUP(B10671,#REF!,1,0)</f>
        <v>#REF!</v>
      </c>
      <c r="M10671" s="33" t="str">
        <f t="shared" si="667"/>
        <v>P&amp;L</v>
      </c>
    </row>
    <row r="10672" spans="1:13">
      <c r="A10672" s="33" t="str">
        <f t="shared" si="664"/>
        <v>SCL - Other Income/Expense</v>
      </c>
      <c r="B10672" s="33" t="str">
        <f t="shared" si="665"/>
        <v>SCL</v>
      </c>
      <c r="C10672" s="33" t="str">
        <f t="shared" si="666"/>
        <v>93801-7376</v>
      </c>
      <c r="D10672" s="64" t="s">
        <v>11931</v>
      </c>
      <c r="E10672" s="64" t="s">
        <v>5183</v>
      </c>
      <c r="F10672" s="64" t="s">
        <v>15</v>
      </c>
      <c r="G10672" s="64" t="s">
        <v>3044</v>
      </c>
      <c r="H10672" s="64" t="s">
        <v>3300</v>
      </c>
      <c r="I10672" s="64" t="s">
        <v>5184</v>
      </c>
      <c r="J10672" s="67">
        <v>165.58</v>
      </c>
      <c r="K10672" s="62">
        <v>1930.15</v>
      </c>
      <c r="L10672" s="33" t="e">
        <f>HLOOKUP(B10672,#REF!,1,0)</f>
        <v>#REF!</v>
      </c>
      <c r="M10672" s="33" t="str">
        <f t="shared" si="667"/>
        <v>P&amp;L</v>
      </c>
    </row>
    <row r="10673" spans="1:13">
      <c r="A10673" s="33" t="str">
        <f t="shared" si="664"/>
        <v>SCL - Other Income/Expense</v>
      </c>
      <c r="B10673" s="33" t="str">
        <f t="shared" si="665"/>
        <v>SCL</v>
      </c>
      <c r="C10673" s="33" t="str">
        <f t="shared" si="666"/>
        <v>93801-7377</v>
      </c>
      <c r="D10673" s="64" t="s">
        <v>11932</v>
      </c>
      <c r="E10673" s="64" t="s">
        <v>5183</v>
      </c>
      <c r="F10673" s="64" t="s">
        <v>15</v>
      </c>
      <c r="G10673" s="64" t="s">
        <v>3044</v>
      </c>
      <c r="H10673" s="64" t="s">
        <v>3300</v>
      </c>
      <c r="I10673" s="64" t="s">
        <v>5184</v>
      </c>
      <c r="J10673" s="67">
        <v>165.58</v>
      </c>
      <c r="K10673" s="62">
        <v>1930.15</v>
      </c>
      <c r="L10673" s="33" t="e">
        <f>HLOOKUP(B10673,#REF!,1,0)</f>
        <v>#REF!</v>
      </c>
      <c r="M10673" s="33" t="str">
        <f t="shared" si="667"/>
        <v>P&amp;L</v>
      </c>
    </row>
    <row r="10674" spans="1:13">
      <c r="A10674" s="33" t="str">
        <f t="shared" si="664"/>
        <v>SCL - Other Income/Expense</v>
      </c>
      <c r="B10674" s="33" t="str">
        <f t="shared" si="665"/>
        <v>SCL</v>
      </c>
      <c r="C10674" s="33" t="str">
        <f t="shared" si="666"/>
        <v>93801-7378</v>
      </c>
      <c r="D10674" s="64" t="s">
        <v>11933</v>
      </c>
      <c r="E10674" s="64" t="s">
        <v>5183</v>
      </c>
      <c r="F10674" s="64" t="s">
        <v>15</v>
      </c>
      <c r="G10674" s="64" t="s">
        <v>3044</v>
      </c>
      <c r="H10674" s="64" t="s">
        <v>3300</v>
      </c>
      <c r="I10674" s="64" t="s">
        <v>5184</v>
      </c>
      <c r="J10674" s="67">
        <v>165.58</v>
      </c>
      <c r="K10674" s="62">
        <v>1930.15</v>
      </c>
      <c r="L10674" s="33" t="e">
        <f>HLOOKUP(B10674,#REF!,1,0)</f>
        <v>#REF!</v>
      </c>
      <c r="M10674" s="33" t="str">
        <f t="shared" si="667"/>
        <v>P&amp;L</v>
      </c>
    </row>
    <row r="10675" spans="1:13">
      <c r="A10675" s="33" t="str">
        <f t="shared" si="664"/>
        <v>SCL - Other Income/Expense</v>
      </c>
      <c r="B10675" s="33" t="str">
        <f t="shared" si="665"/>
        <v>SCL</v>
      </c>
      <c r="C10675" s="33" t="str">
        <f t="shared" si="666"/>
        <v>93801-7379</v>
      </c>
      <c r="D10675" s="64" t="s">
        <v>11934</v>
      </c>
      <c r="E10675" s="64" t="s">
        <v>5183</v>
      </c>
      <c r="F10675" s="64" t="s">
        <v>15</v>
      </c>
      <c r="G10675" s="64" t="s">
        <v>3044</v>
      </c>
      <c r="H10675" s="64" t="s">
        <v>3300</v>
      </c>
      <c r="I10675" s="64" t="s">
        <v>5184</v>
      </c>
      <c r="J10675" s="67">
        <v>165.58</v>
      </c>
      <c r="K10675" s="62">
        <v>1930.15</v>
      </c>
      <c r="L10675" s="33" t="e">
        <f>HLOOKUP(B10675,#REF!,1,0)</f>
        <v>#REF!</v>
      </c>
      <c r="M10675" s="33" t="str">
        <f t="shared" si="667"/>
        <v>P&amp;L</v>
      </c>
    </row>
    <row r="10676" spans="1:13">
      <c r="A10676" s="33" t="str">
        <f t="shared" si="664"/>
        <v>SCL - Other Income/Expense</v>
      </c>
      <c r="B10676" s="33" t="str">
        <f t="shared" si="665"/>
        <v>SCL</v>
      </c>
      <c r="C10676" s="33" t="str">
        <f t="shared" si="666"/>
        <v>93801-7380</v>
      </c>
      <c r="D10676" s="64" t="s">
        <v>11935</v>
      </c>
      <c r="E10676" s="64" t="s">
        <v>5183</v>
      </c>
      <c r="F10676" s="64" t="s">
        <v>15</v>
      </c>
      <c r="G10676" s="64" t="s">
        <v>3044</v>
      </c>
      <c r="H10676" s="64" t="s">
        <v>3300</v>
      </c>
      <c r="I10676" s="64" t="s">
        <v>5184</v>
      </c>
      <c r="J10676" s="67">
        <v>165.58</v>
      </c>
      <c r="K10676" s="62">
        <v>1930.15</v>
      </c>
      <c r="L10676" s="33" t="e">
        <f>HLOOKUP(B10676,#REF!,1,0)</f>
        <v>#REF!</v>
      </c>
      <c r="M10676" s="33" t="str">
        <f t="shared" si="667"/>
        <v>P&amp;L</v>
      </c>
    </row>
    <row r="10677" spans="1:13">
      <c r="A10677" s="33" t="str">
        <f t="shared" si="664"/>
        <v>SCL - Other Income/Expense</v>
      </c>
      <c r="B10677" s="33" t="str">
        <f t="shared" si="665"/>
        <v>SCL</v>
      </c>
      <c r="C10677" s="33" t="str">
        <f t="shared" si="666"/>
        <v>93801-7381</v>
      </c>
      <c r="D10677" s="64" t="s">
        <v>11936</v>
      </c>
      <c r="E10677" s="64" t="s">
        <v>5183</v>
      </c>
      <c r="F10677" s="64" t="s">
        <v>15</v>
      </c>
      <c r="G10677" s="64" t="s">
        <v>3044</v>
      </c>
      <c r="H10677" s="64" t="s">
        <v>3300</v>
      </c>
      <c r="I10677" s="64" t="s">
        <v>5184</v>
      </c>
      <c r="J10677" s="67">
        <v>165.58</v>
      </c>
      <c r="K10677" s="62">
        <v>1904.03</v>
      </c>
      <c r="L10677" s="33" t="e">
        <f>HLOOKUP(B10677,#REF!,1,0)</f>
        <v>#REF!</v>
      </c>
      <c r="M10677" s="33" t="str">
        <f t="shared" si="667"/>
        <v>P&amp;L</v>
      </c>
    </row>
    <row r="10678" spans="1:13">
      <c r="A10678" s="33" t="str">
        <f t="shared" si="664"/>
        <v>SCL - Other Income/Expense</v>
      </c>
      <c r="B10678" s="33" t="str">
        <f t="shared" si="665"/>
        <v>SCL</v>
      </c>
      <c r="C10678" s="33" t="str">
        <f t="shared" si="666"/>
        <v>93801-7383</v>
      </c>
      <c r="D10678" s="64" t="s">
        <v>11937</v>
      </c>
      <c r="E10678" s="64" t="s">
        <v>5183</v>
      </c>
      <c r="F10678" s="64" t="s">
        <v>15</v>
      </c>
      <c r="G10678" s="64" t="s">
        <v>3044</v>
      </c>
      <c r="H10678" s="64" t="s">
        <v>3300</v>
      </c>
      <c r="I10678" s="64" t="s">
        <v>5184</v>
      </c>
      <c r="J10678" s="67">
        <v>165.58</v>
      </c>
      <c r="K10678" s="62">
        <v>1930.15</v>
      </c>
      <c r="L10678" s="33" t="e">
        <f>HLOOKUP(B10678,#REF!,1,0)</f>
        <v>#REF!</v>
      </c>
      <c r="M10678" s="33" t="str">
        <f t="shared" si="667"/>
        <v>P&amp;L</v>
      </c>
    </row>
    <row r="10679" spans="1:13">
      <c r="A10679" s="33" t="str">
        <f t="shared" si="664"/>
        <v>SCL - Other Income/Expense</v>
      </c>
      <c r="B10679" s="33" t="str">
        <f t="shared" si="665"/>
        <v>SCL</v>
      </c>
      <c r="C10679" s="33" t="str">
        <f t="shared" si="666"/>
        <v>93801-7385</v>
      </c>
      <c r="D10679" s="64" t="s">
        <v>11938</v>
      </c>
      <c r="E10679" s="64" t="s">
        <v>5183</v>
      </c>
      <c r="F10679" s="64" t="s">
        <v>15</v>
      </c>
      <c r="G10679" s="64" t="s">
        <v>3044</v>
      </c>
      <c r="H10679" s="64" t="s">
        <v>3300</v>
      </c>
      <c r="I10679" s="64" t="s">
        <v>5184</v>
      </c>
      <c r="J10679" s="67">
        <v>165.58</v>
      </c>
      <c r="K10679" s="62">
        <v>1795.31</v>
      </c>
      <c r="L10679" s="33" t="e">
        <f>HLOOKUP(B10679,#REF!,1,0)</f>
        <v>#REF!</v>
      </c>
      <c r="M10679" s="33" t="str">
        <f t="shared" si="667"/>
        <v>P&amp;L</v>
      </c>
    </row>
    <row r="10680" spans="1:13">
      <c r="A10680" s="33" t="str">
        <f t="shared" si="664"/>
        <v>SCL - Other Income/Expense</v>
      </c>
      <c r="B10680" s="33" t="str">
        <f t="shared" si="665"/>
        <v>SCL</v>
      </c>
      <c r="C10680" s="33" t="str">
        <f t="shared" si="666"/>
        <v>93801-7386</v>
      </c>
      <c r="D10680" s="64" t="s">
        <v>11939</v>
      </c>
      <c r="E10680" s="64" t="s">
        <v>5183</v>
      </c>
      <c r="F10680" s="64" t="s">
        <v>15</v>
      </c>
      <c r="G10680" s="64" t="s">
        <v>3044</v>
      </c>
      <c r="H10680" s="64" t="s">
        <v>3300</v>
      </c>
      <c r="I10680" s="64" t="s">
        <v>5184</v>
      </c>
      <c r="J10680" s="67">
        <v>165.58</v>
      </c>
      <c r="K10680" s="62">
        <v>1930.15</v>
      </c>
      <c r="L10680" s="33" t="e">
        <f>HLOOKUP(B10680,#REF!,1,0)</f>
        <v>#REF!</v>
      </c>
      <c r="M10680" s="33" t="str">
        <f t="shared" si="667"/>
        <v>P&amp;L</v>
      </c>
    </row>
    <row r="10681" spans="1:13">
      <c r="A10681" s="33" t="str">
        <f t="shared" si="664"/>
        <v>SCL - Other Income/Expense</v>
      </c>
      <c r="B10681" s="33" t="str">
        <f t="shared" si="665"/>
        <v>SCL</v>
      </c>
      <c r="C10681" s="33" t="str">
        <f t="shared" si="666"/>
        <v>93801-7387</v>
      </c>
      <c r="D10681" s="64" t="s">
        <v>11940</v>
      </c>
      <c r="E10681" s="64" t="s">
        <v>5183</v>
      </c>
      <c r="F10681" s="64" t="s">
        <v>15</v>
      </c>
      <c r="G10681" s="64" t="s">
        <v>3044</v>
      </c>
      <c r="H10681" s="64" t="s">
        <v>3300</v>
      </c>
      <c r="I10681" s="64" t="s">
        <v>5184</v>
      </c>
      <c r="J10681" s="67">
        <v>165.58</v>
      </c>
      <c r="K10681" s="62">
        <v>1930.15</v>
      </c>
      <c r="L10681" s="33" t="e">
        <f>HLOOKUP(B10681,#REF!,1,0)</f>
        <v>#REF!</v>
      </c>
      <c r="M10681" s="33" t="str">
        <f t="shared" si="667"/>
        <v>P&amp;L</v>
      </c>
    </row>
    <row r="10682" spans="1:13">
      <c r="A10682" s="33" t="str">
        <f t="shared" si="664"/>
        <v>SCL - Other Income/Expense</v>
      </c>
      <c r="B10682" s="33" t="str">
        <f t="shared" si="665"/>
        <v>SCL</v>
      </c>
      <c r="C10682" s="33" t="str">
        <f t="shared" si="666"/>
        <v>93801-7389</v>
      </c>
      <c r="D10682" s="64" t="s">
        <v>11941</v>
      </c>
      <c r="E10682" s="64" t="s">
        <v>5183</v>
      </c>
      <c r="F10682" s="64" t="s">
        <v>15</v>
      </c>
      <c r="G10682" s="64" t="s">
        <v>3044</v>
      </c>
      <c r="H10682" s="64" t="s">
        <v>3300</v>
      </c>
      <c r="I10682" s="64" t="s">
        <v>5184</v>
      </c>
      <c r="J10682" s="67">
        <v>165.58</v>
      </c>
      <c r="K10682" s="62">
        <v>1930.15</v>
      </c>
      <c r="L10682" s="33" t="e">
        <f>HLOOKUP(B10682,#REF!,1,0)</f>
        <v>#REF!</v>
      </c>
      <c r="M10682" s="33" t="str">
        <f t="shared" si="667"/>
        <v>P&amp;L</v>
      </c>
    </row>
    <row r="10683" spans="1:13">
      <c r="A10683" s="33" t="str">
        <f t="shared" si="664"/>
        <v>SCL - Other Income/Expense</v>
      </c>
      <c r="B10683" s="33" t="str">
        <f t="shared" si="665"/>
        <v>SCL</v>
      </c>
      <c r="C10683" s="33" t="str">
        <f t="shared" si="666"/>
        <v>93801-7391</v>
      </c>
      <c r="D10683" s="64" t="s">
        <v>11942</v>
      </c>
      <c r="E10683" s="64" t="s">
        <v>5183</v>
      </c>
      <c r="F10683" s="64" t="s">
        <v>15</v>
      </c>
      <c r="G10683" s="64" t="s">
        <v>3044</v>
      </c>
      <c r="H10683" s="64" t="s">
        <v>3300</v>
      </c>
      <c r="I10683" s="64" t="s">
        <v>5184</v>
      </c>
      <c r="J10683" s="67">
        <v>165.58</v>
      </c>
      <c r="K10683" s="62">
        <v>1930.15</v>
      </c>
      <c r="L10683" s="33" t="e">
        <f>HLOOKUP(B10683,#REF!,1,0)</f>
        <v>#REF!</v>
      </c>
      <c r="M10683" s="33" t="str">
        <f t="shared" si="667"/>
        <v>P&amp;L</v>
      </c>
    </row>
    <row r="10684" spans="1:13">
      <c r="A10684" s="33" t="str">
        <f t="shared" si="664"/>
        <v>SCL - Other Income/Expense</v>
      </c>
      <c r="B10684" s="33" t="str">
        <f t="shared" si="665"/>
        <v>SCL</v>
      </c>
      <c r="C10684" s="33" t="str">
        <f t="shared" si="666"/>
        <v>93801-7393</v>
      </c>
      <c r="D10684" s="64" t="s">
        <v>11943</v>
      </c>
      <c r="E10684" s="64" t="s">
        <v>5183</v>
      </c>
      <c r="F10684" s="64" t="s">
        <v>15</v>
      </c>
      <c r="G10684" s="64" t="s">
        <v>3044</v>
      </c>
      <c r="H10684" s="64" t="s">
        <v>3300</v>
      </c>
      <c r="I10684" s="64" t="s">
        <v>5184</v>
      </c>
      <c r="J10684" s="67">
        <v>165.58</v>
      </c>
      <c r="K10684" s="62">
        <v>1930.15</v>
      </c>
      <c r="L10684" s="33" t="e">
        <f>HLOOKUP(B10684,#REF!,1,0)</f>
        <v>#REF!</v>
      </c>
      <c r="M10684" s="33" t="str">
        <f t="shared" si="667"/>
        <v>P&amp;L</v>
      </c>
    </row>
    <row r="10685" spans="1:13">
      <c r="A10685" s="33" t="str">
        <f t="shared" si="664"/>
        <v>SCL - Other Income/Expense</v>
      </c>
      <c r="B10685" s="33" t="str">
        <f t="shared" si="665"/>
        <v>SCL</v>
      </c>
      <c r="C10685" s="33" t="str">
        <f t="shared" si="666"/>
        <v>93801-7394</v>
      </c>
      <c r="D10685" s="64" t="s">
        <v>11944</v>
      </c>
      <c r="E10685" s="64" t="s">
        <v>5183</v>
      </c>
      <c r="F10685" s="64" t="s">
        <v>15</v>
      </c>
      <c r="G10685" s="64" t="s">
        <v>3044</v>
      </c>
      <c r="H10685" s="64" t="s">
        <v>3300</v>
      </c>
      <c r="I10685" s="64" t="s">
        <v>5184</v>
      </c>
      <c r="J10685" s="67">
        <v>165.58</v>
      </c>
      <c r="K10685" s="62">
        <v>1728.94</v>
      </c>
      <c r="L10685" s="33" t="e">
        <f>HLOOKUP(B10685,#REF!,1,0)</f>
        <v>#REF!</v>
      </c>
      <c r="M10685" s="33" t="str">
        <f t="shared" si="667"/>
        <v>P&amp;L</v>
      </c>
    </row>
    <row r="10686" spans="1:13">
      <c r="A10686" s="33" t="str">
        <f t="shared" si="664"/>
        <v>SCL - Other Income/Expense</v>
      </c>
      <c r="B10686" s="33" t="str">
        <f t="shared" si="665"/>
        <v>SCL</v>
      </c>
      <c r="C10686" s="33" t="str">
        <f t="shared" si="666"/>
        <v>93801-7396</v>
      </c>
      <c r="D10686" s="64" t="s">
        <v>11945</v>
      </c>
      <c r="E10686" s="64" t="s">
        <v>5183</v>
      </c>
      <c r="F10686" s="64" t="s">
        <v>15</v>
      </c>
      <c r="G10686" s="64" t="s">
        <v>3044</v>
      </c>
      <c r="H10686" s="64" t="s">
        <v>3300</v>
      </c>
      <c r="I10686" s="64" t="s">
        <v>5184</v>
      </c>
      <c r="J10686" s="67">
        <v>165.58</v>
      </c>
      <c r="K10686" s="62">
        <v>1930.15</v>
      </c>
      <c r="L10686" s="33" t="e">
        <f>HLOOKUP(B10686,#REF!,1,0)</f>
        <v>#REF!</v>
      </c>
      <c r="M10686" s="33" t="str">
        <f t="shared" si="667"/>
        <v>P&amp;L</v>
      </c>
    </row>
    <row r="10687" spans="1:13">
      <c r="A10687" s="33" t="str">
        <f t="shared" si="664"/>
        <v>SCL - Other Income/Expense</v>
      </c>
      <c r="B10687" s="33" t="str">
        <f t="shared" si="665"/>
        <v>SCL</v>
      </c>
      <c r="C10687" s="33" t="str">
        <f t="shared" si="666"/>
        <v>93801-7397</v>
      </c>
      <c r="D10687" s="64" t="s">
        <v>11946</v>
      </c>
      <c r="E10687" s="64" t="s">
        <v>5183</v>
      </c>
      <c r="F10687" s="64" t="s">
        <v>15</v>
      </c>
      <c r="G10687" s="64" t="s">
        <v>3044</v>
      </c>
      <c r="H10687" s="64" t="s">
        <v>3300</v>
      </c>
      <c r="I10687" s="64" t="s">
        <v>5184</v>
      </c>
      <c r="J10687" s="67">
        <v>165.58</v>
      </c>
      <c r="K10687" s="62">
        <v>1797.94</v>
      </c>
      <c r="L10687" s="33" t="e">
        <f>HLOOKUP(B10687,#REF!,1,0)</f>
        <v>#REF!</v>
      </c>
      <c r="M10687" s="33" t="str">
        <f t="shared" si="667"/>
        <v>P&amp;L</v>
      </c>
    </row>
    <row r="10688" spans="1:13">
      <c r="A10688" s="33" t="str">
        <f t="shared" si="664"/>
        <v>SCL - Other Income/Expense</v>
      </c>
      <c r="B10688" s="33" t="str">
        <f t="shared" si="665"/>
        <v>SCL</v>
      </c>
      <c r="C10688" s="33" t="str">
        <f t="shared" si="666"/>
        <v>93801-7398</v>
      </c>
      <c r="D10688" s="64" t="s">
        <v>11947</v>
      </c>
      <c r="E10688" s="64" t="s">
        <v>5183</v>
      </c>
      <c r="F10688" s="64" t="s">
        <v>15</v>
      </c>
      <c r="G10688" s="64" t="s">
        <v>3044</v>
      </c>
      <c r="H10688" s="64" t="s">
        <v>3300</v>
      </c>
      <c r="I10688" s="64" t="s">
        <v>5184</v>
      </c>
      <c r="J10688" s="67">
        <v>165.58</v>
      </c>
      <c r="K10688" s="62">
        <v>1930.15</v>
      </c>
      <c r="L10688" s="33" t="e">
        <f>HLOOKUP(B10688,#REF!,1,0)</f>
        <v>#REF!</v>
      </c>
      <c r="M10688" s="33" t="str">
        <f t="shared" si="667"/>
        <v>P&amp;L</v>
      </c>
    </row>
    <row r="10689" spans="1:13">
      <c r="A10689" s="33" t="str">
        <f t="shared" si="664"/>
        <v>SCL - Other Income/Expense</v>
      </c>
      <c r="B10689" s="33" t="str">
        <f t="shared" si="665"/>
        <v>SCL</v>
      </c>
      <c r="C10689" s="33" t="str">
        <f t="shared" si="666"/>
        <v>93801-7400</v>
      </c>
      <c r="D10689" s="64" t="s">
        <v>11948</v>
      </c>
      <c r="E10689" s="64" t="s">
        <v>5183</v>
      </c>
      <c r="F10689" s="64" t="s">
        <v>15</v>
      </c>
      <c r="G10689" s="64" t="s">
        <v>3044</v>
      </c>
      <c r="H10689" s="64" t="s">
        <v>3300</v>
      </c>
      <c r="I10689" s="64" t="s">
        <v>5184</v>
      </c>
      <c r="J10689" s="67">
        <v>165.58</v>
      </c>
      <c r="K10689" s="62">
        <v>1930.15</v>
      </c>
      <c r="L10689" s="33" t="e">
        <f>HLOOKUP(B10689,#REF!,1,0)</f>
        <v>#REF!</v>
      </c>
      <c r="M10689" s="33" t="str">
        <f t="shared" si="667"/>
        <v>P&amp;L</v>
      </c>
    </row>
    <row r="10690" spans="1:13">
      <c r="A10690" s="33" t="str">
        <f t="shared" ref="A10690:A10753" si="668">B10690&amp;" - "&amp;TRIM(H10690)</f>
        <v>SCL - Other Income/Expense</v>
      </c>
      <c r="B10690" s="33" t="str">
        <f t="shared" ref="B10690:B10753" si="669">LEFT(D10690,3)</f>
        <v>SCL</v>
      </c>
      <c r="C10690" s="33" t="str">
        <f t="shared" ref="C10690:C10753" si="670">RIGHT(D10690,10)</f>
        <v>93801-7401</v>
      </c>
      <c r="D10690" s="64" t="s">
        <v>11949</v>
      </c>
      <c r="E10690" s="64" t="s">
        <v>5183</v>
      </c>
      <c r="F10690" s="64" t="s">
        <v>15</v>
      </c>
      <c r="G10690" s="64" t="s">
        <v>3044</v>
      </c>
      <c r="H10690" s="64" t="s">
        <v>3300</v>
      </c>
      <c r="I10690" s="64" t="s">
        <v>5184</v>
      </c>
      <c r="J10690" s="67">
        <v>165.58</v>
      </c>
      <c r="K10690" s="62">
        <v>1908.48</v>
      </c>
      <c r="L10690" s="33" t="e">
        <f>HLOOKUP(B10690,#REF!,1,0)</f>
        <v>#REF!</v>
      </c>
      <c r="M10690" s="33" t="str">
        <f t="shared" ref="M10690:M10753" si="671">IF(VALUE(LEFT(C10690,5))&gt;40000,"P&amp;L","BS")</f>
        <v>P&amp;L</v>
      </c>
    </row>
    <row r="10691" spans="1:13">
      <c r="A10691" s="33" t="str">
        <f t="shared" si="668"/>
        <v>SCL - Other Income/Expense</v>
      </c>
      <c r="B10691" s="33" t="str">
        <f t="shared" si="669"/>
        <v>SCL</v>
      </c>
      <c r="C10691" s="33" t="str">
        <f t="shared" si="670"/>
        <v>93801-7402</v>
      </c>
      <c r="D10691" s="64" t="s">
        <v>11950</v>
      </c>
      <c r="E10691" s="64" t="s">
        <v>5183</v>
      </c>
      <c r="F10691" s="64" t="s">
        <v>15</v>
      </c>
      <c r="G10691" s="64" t="s">
        <v>3044</v>
      </c>
      <c r="H10691" s="64" t="s">
        <v>3300</v>
      </c>
      <c r="I10691" s="64" t="s">
        <v>5184</v>
      </c>
      <c r="J10691" s="67">
        <v>165.58</v>
      </c>
      <c r="K10691" s="62">
        <v>1733.69</v>
      </c>
      <c r="L10691" s="33" t="e">
        <f>HLOOKUP(B10691,#REF!,1,0)</f>
        <v>#REF!</v>
      </c>
      <c r="M10691" s="33" t="str">
        <f t="shared" si="671"/>
        <v>P&amp;L</v>
      </c>
    </row>
    <row r="10692" spans="1:13">
      <c r="A10692" s="33" t="str">
        <f t="shared" si="668"/>
        <v>SCL - Other Income/Expense</v>
      </c>
      <c r="B10692" s="33" t="str">
        <f t="shared" si="669"/>
        <v>SCL</v>
      </c>
      <c r="C10692" s="33" t="str">
        <f t="shared" si="670"/>
        <v>93801-7403</v>
      </c>
      <c r="D10692" s="64" t="s">
        <v>11951</v>
      </c>
      <c r="E10692" s="64" t="s">
        <v>5183</v>
      </c>
      <c r="F10692" s="64" t="s">
        <v>15</v>
      </c>
      <c r="G10692" s="64" t="s">
        <v>3044</v>
      </c>
      <c r="H10692" s="64" t="s">
        <v>3300</v>
      </c>
      <c r="I10692" s="64" t="s">
        <v>5184</v>
      </c>
      <c r="J10692" s="67">
        <v>145.6</v>
      </c>
      <c r="K10692" s="62">
        <v>1910.17</v>
      </c>
      <c r="L10692" s="33" t="e">
        <f>HLOOKUP(B10692,#REF!,1,0)</f>
        <v>#REF!</v>
      </c>
      <c r="M10692" s="33" t="str">
        <f t="shared" si="671"/>
        <v>P&amp;L</v>
      </c>
    </row>
    <row r="10693" spans="1:13">
      <c r="A10693" s="33" t="str">
        <f t="shared" si="668"/>
        <v>SCL - Other Income/Expense</v>
      </c>
      <c r="B10693" s="33" t="str">
        <f t="shared" si="669"/>
        <v>SCL</v>
      </c>
      <c r="C10693" s="33" t="str">
        <f t="shared" si="670"/>
        <v>93801-7404</v>
      </c>
      <c r="D10693" s="64" t="s">
        <v>11952</v>
      </c>
      <c r="E10693" s="64" t="s">
        <v>5183</v>
      </c>
      <c r="F10693" s="64" t="s">
        <v>15</v>
      </c>
      <c r="G10693" s="64" t="s">
        <v>3044</v>
      </c>
      <c r="H10693" s="64" t="s">
        <v>3300</v>
      </c>
      <c r="I10693" s="64" t="s">
        <v>5184</v>
      </c>
      <c r="J10693" s="67">
        <v>0</v>
      </c>
      <c r="K10693" s="62">
        <v>192.74</v>
      </c>
      <c r="L10693" s="33" t="e">
        <f>HLOOKUP(B10693,#REF!,1,0)</f>
        <v>#REF!</v>
      </c>
      <c r="M10693" s="33" t="str">
        <f t="shared" si="671"/>
        <v>P&amp;L</v>
      </c>
    </row>
    <row r="10694" spans="1:13">
      <c r="A10694" s="33" t="str">
        <f t="shared" si="668"/>
        <v>SCL - Other Income/Expense</v>
      </c>
      <c r="B10694" s="33" t="str">
        <f t="shared" si="669"/>
        <v>SCL</v>
      </c>
      <c r="C10694" s="33" t="str">
        <f t="shared" si="670"/>
        <v>93801-7489</v>
      </c>
      <c r="D10694" s="64" t="s">
        <v>11953</v>
      </c>
      <c r="E10694" s="64" t="s">
        <v>5183</v>
      </c>
      <c r="F10694" s="64" t="s">
        <v>15</v>
      </c>
      <c r="G10694" s="64" t="s">
        <v>3044</v>
      </c>
      <c r="H10694" s="64" t="s">
        <v>3300</v>
      </c>
      <c r="I10694" s="64" t="s">
        <v>5184</v>
      </c>
      <c r="J10694" s="67">
        <v>165.58</v>
      </c>
      <c r="K10694" s="62">
        <v>1908.14</v>
      </c>
      <c r="L10694" s="33" t="e">
        <f>HLOOKUP(B10694,#REF!,1,0)</f>
        <v>#REF!</v>
      </c>
      <c r="M10694" s="33" t="str">
        <f t="shared" si="671"/>
        <v>P&amp;L</v>
      </c>
    </row>
    <row r="10695" spans="1:13">
      <c r="A10695" s="33" t="str">
        <f t="shared" si="668"/>
        <v>SCL - Other Income/Expense</v>
      </c>
      <c r="B10695" s="33" t="str">
        <f t="shared" si="669"/>
        <v>SCL</v>
      </c>
      <c r="C10695" s="33" t="str">
        <f t="shared" si="670"/>
        <v>93801-7491</v>
      </c>
      <c r="D10695" s="64" t="s">
        <v>11954</v>
      </c>
      <c r="E10695" s="64" t="s">
        <v>5183</v>
      </c>
      <c r="F10695" s="64" t="s">
        <v>15</v>
      </c>
      <c r="G10695" s="64" t="s">
        <v>3044</v>
      </c>
      <c r="H10695" s="64" t="s">
        <v>3300</v>
      </c>
      <c r="I10695" s="64" t="s">
        <v>5184</v>
      </c>
      <c r="J10695" s="67">
        <v>165.58</v>
      </c>
      <c r="K10695" s="62">
        <v>1930.15</v>
      </c>
      <c r="L10695" s="33" t="e">
        <f>HLOOKUP(B10695,#REF!,1,0)</f>
        <v>#REF!</v>
      </c>
      <c r="M10695" s="33" t="str">
        <f t="shared" si="671"/>
        <v>P&amp;L</v>
      </c>
    </row>
    <row r="10696" spans="1:13">
      <c r="A10696" s="33" t="str">
        <f t="shared" si="668"/>
        <v>SCL - Other Income/Expense</v>
      </c>
      <c r="B10696" s="33" t="str">
        <f t="shared" si="669"/>
        <v>SCL</v>
      </c>
      <c r="C10696" s="33" t="str">
        <f t="shared" si="670"/>
        <v>93801-7492</v>
      </c>
      <c r="D10696" s="64" t="s">
        <v>11955</v>
      </c>
      <c r="E10696" s="64" t="s">
        <v>5183</v>
      </c>
      <c r="F10696" s="64" t="s">
        <v>15</v>
      </c>
      <c r="G10696" s="64" t="s">
        <v>3044</v>
      </c>
      <c r="H10696" s="64" t="s">
        <v>3300</v>
      </c>
      <c r="I10696" s="64" t="s">
        <v>5184</v>
      </c>
      <c r="J10696" s="67">
        <v>144.97</v>
      </c>
      <c r="K10696" s="62">
        <v>1865.78</v>
      </c>
      <c r="L10696" s="33" t="e">
        <f>HLOOKUP(B10696,#REF!,1,0)</f>
        <v>#REF!</v>
      </c>
      <c r="M10696" s="33" t="str">
        <f t="shared" si="671"/>
        <v>P&amp;L</v>
      </c>
    </row>
    <row r="10697" spans="1:13">
      <c r="A10697" s="33" t="str">
        <f t="shared" si="668"/>
        <v>SCL - Other Income/Expense</v>
      </c>
      <c r="B10697" s="33" t="str">
        <f t="shared" si="669"/>
        <v>SCL</v>
      </c>
      <c r="C10697" s="33" t="str">
        <f t="shared" si="670"/>
        <v>93801-7493</v>
      </c>
      <c r="D10697" s="64" t="s">
        <v>11956</v>
      </c>
      <c r="E10697" s="64" t="s">
        <v>5183</v>
      </c>
      <c r="F10697" s="64" t="s">
        <v>15</v>
      </c>
      <c r="G10697" s="64" t="s">
        <v>3044</v>
      </c>
      <c r="H10697" s="64" t="s">
        <v>3300</v>
      </c>
      <c r="I10697" s="64" t="s">
        <v>5184</v>
      </c>
      <c r="J10697" s="67">
        <v>165.58</v>
      </c>
      <c r="K10697" s="62">
        <v>1908.14</v>
      </c>
      <c r="L10697" s="33" t="e">
        <f>HLOOKUP(B10697,#REF!,1,0)</f>
        <v>#REF!</v>
      </c>
      <c r="M10697" s="33" t="str">
        <f t="shared" si="671"/>
        <v>P&amp;L</v>
      </c>
    </row>
    <row r="10698" spans="1:13">
      <c r="A10698" s="33" t="str">
        <f t="shared" si="668"/>
        <v>SCL - Other Income/Expense</v>
      </c>
      <c r="B10698" s="33" t="str">
        <f t="shared" si="669"/>
        <v>SCL</v>
      </c>
      <c r="C10698" s="33" t="str">
        <f t="shared" si="670"/>
        <v>93801-7494</v>
      </c>
      <c r="D10698" s="64" t="s">
        <v>11957</v>
      </c>
      <c r="E10698" s="64" t="s">
        <v>5183</v>
      </c>
      <c r="F10698" s="64" t="s">
        <v>15</v>
      </c>
      <c r="G10698" s="64" t="s">
        <v>3044</v>
      </c>
      <c r="H10698" s="64" t="s">
        <v>3300</v>
      </c>
      <c r="I10698" s="64" t="s">
        <v>5184</v>
      </c>
      <c r="J10698" s="67">
        <v>165.58</v>
      </c>
      <c r="K10698" s="62">
        <v>1930.15</v>
      </c>
      <c r="L10698" s="33" t="e">
        <f>HLOOKUP(B10698,#REF!,1,0)</f>
        <v>#REF!</v>
      </c>
      <c r="M10698" s="33" t="str">
        <f t="shared" si="671"/>
        <v>P&amp;L</v>
      </c>
    </row>
    <row r="10699" spans="1:13">
      <c r="A10699" s="33" t="str">
        <f t="shared" si="668"/>
        <v>SCL - Other Income/Expense</v>
      </c>
      <c r="B10699" s="33" t="str">
        <f t="shared" si="669"/>
        <v>SCL</v>
      </c>
      <c r="C10699" s="33" t="str">
        <f t="shared" si="670"/>
        <v>93801-7625</v>
      </c>
      <c r="D10699" s="64" t="s">
        <v>11958</v>
      </c>
      <c r="E10699" s="64" t="s">
        <v>5183</v>
      </c>
      <c r="F10699" s="64" t="s">
        <v>15</v>
      </c>
      <c r="G10699" s="64" t="s">
        <v>3044</v>
      </c>
      <c r="H10699" s="64" t="s">
        <v>3300</v>
      </c>
      <c r="I10699" s="64" t="s">
        <v>5184</v>
      </c>
      <c r="J10699" s="67">
        <v>165.58</v>
      </c>
      <c r="K10699" s="62">
        <v>1930.15</v>
      </c>
      <c r="L10699" s="33" t="e">
        <f>HLOOKUP(B10699,#REF!,1,0)</f>
        <v>#REF!</v>
      </c>
      <c r="M10699" s="33" t="str">
        <f t="shared" si="671"/>
        <v>P&amp;L</v>
      </c>
    </row>
    <row r="10700" spans="1:13">
      <c r="A10700" s="33" t="str">
        <f t="shared" si="668"/>
        <v>SCL - Other Income/Expense</v>
      </c>
      <c r="B10700" s="33" t="str">
        <f t="shared" si="669"/>
        <v>SCL</v>
      </c>
      <c r="C10700" s="33" t="str">
        <f t="shared" si="670"/>
        <v>93801-8150</v>
      </c>
      <c r="D10700" s="64" t="s">
        <v>11959</v>
      </c>
      <c r="E10700" s="64" t="s">
        <v>5183</v>
      </c>
      <c r="F10700" s="64" t="s">
        <v>15</v>
      </c>
      <c r="G10700" s="64" t="s">
        <v>3044</v>
      </c>
      <c r="H10700" s="64" t="s">
        <v>3300</v>
      </c>
      <c r="I10700" s="64" t="s">
        <v>5184</v>
      </c>
      <c r="J10700" s="67">
        <v>165.47</v>
      </c>
      <c r="K10700" s="62">
        <v>1862.11</v>
      </c>
      <c r="L10700" s="33" t="e">
        <f>HLOOKUP(B10700,#REF!,1,0)</f>
        <v>#REF!</v>
      </c>
      <c r="M10700" s="33" t="str">
        <f t="shared" si="671"/>
        <v>P&amp;L</v>
      </c>
    </row>
    <row r="10701" spans="1:13">
      <c r="A10701" s="33" t="str">
        <f t="shared" si="668"/>
        <v>SCL - Other Income/Expense</v>
      </c>
      <c r="B10701" s="33" t="str">
        <f t="shared" si="669"/>
        <v>SCL</v>
      </c>
      <c r="C10701" s="33" t="str">
        <f t="shared" si="670"/>
        <v>94001-0000</v>
      </c>
      <c r="D10701" s="64" t="s">
        <v>11960</v>
      </c>
      <c r="E10701" s="64" t="s">
        <v>3350</v>
      </c>
      <c r="F10701" s="64" t="s">
        <v>15</v>
      </c>
      <c r="G10701" s="64" t="s">
        <v>3017</v>
      </c>
      <c r="H10701" s="64" t="s">
        <v>3300</v>
      </c>
      <c r="I10701" s="64" t="s">
        <v>3351</v>
      </c>
      <c r="J10701" s="67">
        <v>0</v>
      </c>
      <c r="K10701" s="62">
        <v>2136.32</v>
      </c>
      <c r="L10701" s="33" t="e">
        <f>HLOOKUP(B10701,#REF!,1,0)</f>
        <v>#REF!</v>
      </c>
      <c r="M10701" s="33" t="str">
        <f t="shared" si="671"/>
        <v>P&amp;L</v>
      </c>
    </row>
    <row r="10702" spans="1:13">
      <c r="A10702" s="33" t="str">
        <f t="shared" si="668"/>
        <v>SCL - Other Income/Expense</v>
      </c>
      <c r="B10702" s="33" t="str">
        <f t="shared" si="669"/>
        <v>SCL</v>
      </c>
      <c r="C10702" s="33" t="str">
        <f t="shared" si="670"/>
        <v>94201-0000</v>
      </c>
      <c r="D10702" s="64" t="s">
        <v>11961</v>
      </c>
      <c r="E10702" s="64" t="s">
        <v>3353</v>
      </c>
      <c r="F10702" s="64" t="s">
        <v>15</v>
      </c>
      <c r="G10702" s="64" t="s">
        <v>3017</v>
      </c>
      <c r="H10702" s="64" t="s">
        <v>3300</v>
      </c>
      <c r="I10702" s="64" t="s">
        <v>3354</v>
      </c>
      <c r="J10702" s="67">
        <v>15564</v>
      </c>
      <c r="K10702" s="62">
        <v>108254.48</v>
      </c>
      <c r="L10702" s="33" t="e">
        <f>HLOOKUP(B10702,#REF!,1,0)</f>
        <v>#REF!</v>
      </c>
      <c r="M10702" s="33" t="str">
        <f t="shared" si="671"/>
        <v>P&amp;L</v>
      </c>
    </row>
    <row r="10703" spans="1:13">
      <c r="A10703" s="33" t="str">
        <f t="shared" si="668"/>
        <v>SCL - Other Income/Expense</v>
      </c>
      <c r="B10703" s="33" t="str">
        <f t="shared" si="669"/>
        <v>SCL</v>
      </c>
      <c r="C10703" s="33" t="str">
        <f t="shared" si="670"/>
        <v>94201-7351</v>
      </c>
      <c r="D10703" s="64" t="s">
        <v>11962</v>
      </c>
      <c r="E10703" s="64" t="s">
        <v>3353</v>
      </c>
      <c r="F10703" s="64" t="s">
        <v>15</v>
      </c>
      <c r="G10703" s="64" t="s">
        <v>3017</v>
      </c>
      <c r="H10703" s="64" t="s">
        <v>3300</v>
      </c>
      <c r="I10703" s="64" t="s">
        <v>3354</v>
      </c>
      <c r="J10703" s="67">
        <v>357.95</v>
      </c>
      <c r="K10703" s="62">
        <v>3935.02</v>
      </c>
      <c r="L10703" s="33" t="e">
        <f>HLOOKUP(B10703,#REF!,1,0)</f>
        <v>#REF!</v>
      </c>
      <c r="M10703" s="33" t="str">
        <f t="shared" si="671"/>
        <v>P&amp;L</v>
      </c>
    </row>
    <row r="10704" spans="1:13">
      <c r="A10704" s="33" t="str">
        <f t="shared" si="668"/>
        <v>SCL - Other Income/Expense</v>
      </c>
      <c r="B10704" s="33" t="str">
        <f t="shared" si="669"/>
        <v>SCL</v>
      </c>
      <c r="C10704" s="33" t="str">
        <f t="shared" si="670"/>
        <v>94201-7352</v>
      </c>
      <c r="D10704" s="64" t="s">
        <v>11963</v>
      </c>
      <c r="E10704" s="64" t="s">
        <v>3353</v>
      </c>
      <c r="F10704" s="64" t="s">
        <v>15</v>
      </c>
      <c r="G10704" s="64" t="s">
        <v>3017</v>
      </c>
      <c r="H10704" s="64" t="s">
        <v>3300</v>
      </c>
      <c r="I10704" s="64" t="s">
        <v>3354</v>
      </c>
      <c r="J10704" s="67">
        <v>357.95</v>
      </c>
      <c r="K10704" s="62">
        <v>3935.01</v>
      </c>
      <c r="L10704" s="33" t="e">
        <f>HLOOKUP(B10704,#REF!,1,0)</f>
        <v>#REF!</v>
      </c>
      <c r="M10704" s="33" t="str">
        <f t="shared" si="671"/>
        <v>P&amp;L</v>
      </c>
    </row>
    <row r="10705" spans="1:13">
      <c r="A10705" s="33" t="str">
        <f t="shared" si="668"/>
        <v>SCL - Other Income/Expense</v>
      </c>
      <c r="B10705" s="33" t="str">
        <f t="shared" si="669"/>
        <v>SCL</v>
      </c>
      <c r="C10705" s="33" t="str">
        <f t="shared" si="670"/>
        <v>94201-7355</v>
      </c>
      <c r="D10705" s="64" t="s">
        <v>11964</v>
      </c>
      <c r="E10705" s="64" t="s">
        <v>3353</v>
      </c>
      <c r="F10705" s="64" t="s">
        <v>15</v>
      </c>
      <c r="G10705" s="64" t="s">
        <v>3017</v>
      </c>
      <c r="H10705" s="64" t="s">
        <v>3300</v>
      </c>
      <c r="I10705" s="64" t="s">
        <v>3354</v>
      </c>
      <c r="J10705" s="67">
        <v>357.95</v>
      </c>
      <c r="K10705" s="62">
        <v>3935.04</v>
      </c>
      <c r="L10705" s="33" t="e">
        <f>HLOOKUP(B10705,#REF!,1,0)</f>
        <v>#REF!</v>
      </c>
      <c r="M10705" s="33" t="str">
        <f t="shared" si="671"/>
        <v>P&amp;L</v>
      </c>
    </row>
    <row r="10706" spans="1:13">
      <c r="A10706" s="33" t="str">
        <f t="shared" si="668"/>
        <v>SCL - Other Income/Expense</v>
      </c>
      <c r="B10706" s="33" t="str">
        <f t="shared" si="669"/>
        <v>SCL</v>
      </c>
      <c r="C10706" s="33" t="str">
        <f t="shared" si="670"/>
        <v>94201-7359</v>
      </c>
      <c r="D10706" s="64" t="s">
        <v>11965</v>
      </c>
      <c r="E10706" s="64" t="s">
        <v>3353</v>
      </c>
      <c r="F10706" s="64" t="s">
        <v>15</v>
      </c>
      <c r="G10706" s="64" t="s">
        <v>3017</v>
      </c>
      <c r="H10706" s="64" t="s">
        <v>3300</v>
      </c>
      <c r="I10706" s="64" t="s">
        <v>3354</v>
      </c>
      <c r="J10706" s="67">
        <v>357.95</v>
      </c>
      <c r="K10706" s="62">
        <v>3935.01</v>
      </c>
      <c r="L10706" s="33" t="e">
        <f>HLOOKUP(B10706,#REF!,1,0)</f>
        <v>#REF!</v>
      </c>
      <c r="M10706" s="33" t="str">
        <f t="shared" si="671"/>
        <v>P&amp;L</v>
      </c>
    </row>
    <row r="10707" spans="1:13">
      <c r="A10707" s="33" t="str">
        <f t="shared" si="668"/>
        <v>SCL - Other Income/Expense</v>
      </c>
      <c r="B10707" s="33" t="str">
        <f t="shared" si="669"/>
        <v>SCL</v>
      </c>
      <c r="C10707" s="33" t="str">
        <f t="shared" si="670"/>
        <v>94201-7360</v>
      </c>
      <c r="D10707" s="64" t="s">
        <v>11966</v>
      </c>
      <c r="E10707" s="64" t="s">
        <v>3353</v>
      </c>
      <c r="F10707" s="64" t="s">
        <v>15</v>
      </c>
      <c r="G10707" s="64" t="s">
        <v>3017</v>
      </c>
      <c r="H10707" s="64" t="s">
        <v>3300</v>
      </c>
      <c r="I10707" s="64" t="s">
        <v>3354</v>
      </c>
      <c r="J10707" s="67">
        <v>357.95</v>
      </c>
      <c r="K10707" s="62">
        <v>3935.04</v>
      </c>
      <c r="L10707" s="33" t="e">
        <f>HLOOKUP(B10707,#REF!,1,0)</f>
        <v>#REF!</v>
      </c>
      <c r="M10707" s="33" t="str">
        <f t="shared" si="671"/>
        <v>P&amp;L</v>
      </c>
    </row>
    <row r="10708" spans="1:13">
      <c r="A10708" s="33" t="str">
        <f t="shared" si="668"/>
        <v>SCL - Other Income/Expense</v>
      </c>
      <c r="B10708" s="33" t="str">
        <f t="shared" si="669"/>
        <v>SCL</v>
      </c>
      <c r="C10708" s="33" t="str">
        <f t="shared" si="670"/>
        <v>94201-7361</v>
      </c>
      <c r="D10708" s="64" t="s">
        <v>11967</v>
      </c>
      <c r="E10708" s="64" t="s">
        <v>3353</v>
      </c>
      <c r="F10708" s="64" t="s">
        <v>15</v>
      </c>
      <c r="G10708" s="64" t="s">
        <v>3017</v>
      </c>
      <c r="H10708" s="64" t="s">
        <v>3300</v>
      </c>
      <c r="I10708" s="64" t="s">
        <v>3354</v>
      </c>
      <c r="J10708" s="67">
        <v>357.96</v>
      </c>
      <c r="K10708" s="62">
        <v>3935.01</v>
      </c>
      <c r="L10708" s="33" t="e">
        <f>HLOOKUP(B10708,#REF!,1,0)</f>
        <v>#REF!</v>
      </c>
      <c r="M10708" s="33" t="str">
        <f t="shared" si="671"/>
        <v>P&amp;L</v>
      </c>
    </row>
    <row r="10709" spans="1:13">
      <c r="A10709" s="33" t="str">
        <f t="shared" si="668"/>
        <v>SCL - Other Income/Expense</v>
      </c>
      <c r="B10709" s="33" t="str">
        <f t="shared" si="669"/>
        <v>SCL</v>
      </c>
      <c r="C10709" s="33" t="str">
        <f t="shared" si="670"/>
        <v>94201-7362</v>
      </c>
      <c r="D10709" s="64" t="s">
        <v>11968</v>
      </c>
      <c r="E10709" s="64" t="s">
        <v>3353</v>
      </c>
      <c r="F10709" s="64" t="s">
        <v>15</v>
      </c>
      <c r="G10709" s="64" t="s">
        <v>3017</v>
      </c>
      <c r="H10709" s="64" t="s">
        <v>3300</v>
      </c>
      <c r="I10709" s="64" t="s">
        <v>3354</v>
      </c>
      <c r="J10709" s="67">
        <v>357.96</v>
      </c>
      <c r="K10709" s="62">
        <v>3935</v>
      </c>
      <c r="L10709" s="33" t="e">
        <f>HLOOKUP(B10709,#REF!,1,0)</f>
        <v>#REF!</v>
      </c>
      <c r="M10709" s="33" t="str">
        <f t="shared" si="671"/>
        <v>P&amp;L</v>
      </c>
    </row>
    <row r="10710" spans="1:13">
      <c r="A10710" s="33" t="str">
        <f t="shared" si="668"/>
        <v>SCL - Other Income/Expense</v>
      </c>
      <c r="B10710" s="33" t="str">
        <f t="shared" si="669"/>
        <v>SCL</v>
      </c>
      <c r="C10710" s="33" t="str">
        <f t="shared" si="670"/>
        <v>94201-7363</v>
      </c>
      <c r="D10710" s="64" t="s">
        <v>11969</v>
      </c>
      <c r="E10710" s="64" t="s">
        <v>3353</v>
      </c>
      <c r="F10710" s="64" t="s">
        <v>15</v>
      </c>
      <c r="G10710" s="64" t="s">
        <v>3017</v>
      </c>
      <c r="H10710" s="64" t="s">
        <v>3300</v>
      </c>
      <c r="I10710" s="64" t="s">
        <v>3354</v>
      </c>
      <c r="J10710" s="67">
        <v>357.96</v>
      </c>
      <c r="K10710" s="62">
        <v>3935.01</v>
      </c>
      <c r="L10710" s="33" t="e">
        <f>HLOOKUP(B10710,#REF!,1,0)</f>
        <v>#REF!</v>
      </c>
      <c r="M10710" s="33" t="str">
        <f t="shared" si="671"/>
        <v>P&amp;L</v>
      </c>
    </row>
    <row r="10711" spans="1:13">
      <c r="A10711" s="33" t="str">
        <f t="shared" si="668"/>
        <v>SCL - Other Income/Expense</v>
      </c>
      <c r="B10711" s="33" t="str">
        <f t="shared" si="669"/>
        <v>SCL</v>
      </c>
      <c r="C10711" s="33" t="str">
        <f t="shared" si="670"/>
        <v>94201-7364</v>
      </c>
      <c r="D10711" s="64" t="s">
        <v>11970</v>
      </c>
      <c r="E10711" s="64" t="s">
        <v>3353</v>
      </c>
      <c r="F10711" s="64" t="s">
        <v>15</v>
      </c>
      <c r="G10711" s="64" t="s">
        <v>3017</v>
      </c>
      <c r="H10711" s="64" t="s">
        <v>3300</v>
      </c>
      <c r="I10711" s="64" t="s">
        <v>3354</v>
      </c>
      <c r="J10711" s="67">
        <v>357.95</v>
      </c>
      <c r="K10711" s="62">
        <v>3935.04</v>
      </c>
      <c r="L10711" s="33" t="e">
        <f>HLOOKUP(B10711,#REF!,1,0)</f>
        <v>#REF!</v>
      </c>
      <c r="M10711" s="33" t="str">
        <f t="shared" si="671"/>
        <v>P&amp;L</v>
      </c>
    </row>
    <row r="10712" spans="1:13">
      <c r="A10712" s="33" t="str">
        <f t="shared" si="668"/>
        <v>SCL - Other Income/Expense</v>
      </c>
      <c r="B10712" s="33" t="str">
        <f t="shared" si="669"/>
        <v>SCL</v>
      </c>
      <c r="C10712" s="33" t="str">
        <f t="shared" si="670"/>
        <v>94201-7365</v>
      </c>
      <c r="D10712" s="64" t="s">
        <v>11971</v>
      </c>
      <c r="E10712" s="64" t="s">
        <v>3353</v>
      </c>
      <c r="F10712" s="64" t="s">
        <v>15</v>
      </c>
      <c r="G10712" s="64" t="s">
        <v>3017</v>
      </c>
      <c r="H10712" s="64" t="s">
        <v>3300</v>
      </c>
      <c r="I10712" s="64" t="s">
        <v>3354</v>
      </c>
      <c r="J10712" s="67">
        <v>357.96</v>
      </c>
      <c r="K10712" s="62">
        <v>3935.01</v>
      </c>
      <c r="L10712" s="33" t="e">
        <f>HLOOKUP(B10712,#REF!,1,0)</f>
        <v>#REF!</v>
      </c>
      <c r="M10712" s="33" t="str">
        <f t="shared" si="671"/>
        <v>P&amp;L</v>
      </c>
    </row>
    <row r="10713" spans="1:13">
      <c r="A10713" s="33" t="str">
        <f t="shared" si="668"/>
        <v>SCL - Other Income/Expense</v>
      </c>
      <c r="B10713" s="33" t="str">
        <f t="shared" si="669"/>
        <v>SCL</v>
      </c>
      <c r="C10713" s="33" t="str">
        <f t="shared" si="670"/>
        <v>94201-7366</v>
      </c>
      <c r="D10713" s="64" t="s">
        <v>11972</v>
      </c>
      <c r="E10713" s="64" t="s">
        <v>3353</v>
      </c>
      <c r="F10713" s="64" t="s">
        <v>15</v>
      </c>
      <c r="G10713" s="64" t="s">
        <v>3017</v>
      </c>
      <c r="H10713" s="64" t="s">
        <v>3300</v>
      </c>
      <c r="I10713" s="64" t="s">
        <v>3354</v>
      </c>
      <c r="J10713" s="67">
        <v>357.95</v>
      </c>
      <c r="K10713" s="62">
        <v>3935.02</v>
      </c>
      <c r="L10713" s="33" t="e">
        <f>HLOOKUP(B10713,#REF!,1,0)</f>
        <v>#REF!</v>
      </c>
      <c r="M10713" s="33" t="str">
        <f t="shared" si="671"/>
        <v>P&amp;L</v>
      </c>
    </row>
    <row r="10714" spans="1:13">
      <c r="A10714" s="33" t="str">
        <f t="shared" si="668"/>
        <v>SCL - Other Income/Expense</v>
      </c>
      <c r="B10714" s="33" t="str">
        <f t="shared" si="669"/>
        <v>SCL</v>
      </c>
      <c r="C10714" s="33" t="str">
        <f t="shared" si="670"/>
        <v>94201-7368</v>
      </c>
      <c r="D10714" s="64" t="s">
        <v>11973</v>
      </c>
      <c r="E10714" s="64" t="s">
        <v>3353</v>
      </c>
      <c r="F10714" s="64" t="s">
        <v>15</v>
      </c>
      <c r="G10714" s="64" t="s">
        <v>3017</v>
      </c>
      <c r="H10714" s="64" t="s">
        <v>3300</v>
      </c>
      <c r="I10714" s="64" t="s">
        <v>3354</v>
      </c>
      <c r="J10714" s="67">
        <v>357.95</v>
      </c>
      <c r="K10714" s="62">
        <v>3935</v>
      </c>
      <c r="L10714" s="33" t="e">
        <f>HLOOKUP(B10714,#REF!,1,0)</f>
        <v>#REF!</v>
      </c>
      <c r="M10714" s="33" t="str">
        <f t="shared" si="671"/>
        <v>P&amp;L</v>
      </c>
    </row>
    <row r="10715" spans="1:13">
      <c r="A10715" s="33" t="str">
        <f t="shared" si="668"/>
        <v>SCL - Other Income/Expense</v>
      </c>
      <c r="B10715" s="33" t="str">
        <f t="shared" si="669"/>
        <v>SCL</v>
      </c>
      <c r="C10715" s="33" t="str">
        <f t="shared" si="670"/>
        <v>94201-7369</v>
      </c>
      <c r="D10715" s="64" t="s">
        <v>11974</v>
      </c>
      <c r="E10715" s="64" t="s">
        <v>3353</v>
      </c>
      <c r="F10715" s="64" t="s">
        <v>15</v>
      </c>
      <c r="G10715" s="64" t="s">
        <v>3017</v>
      </c>
      <c r="H10715" s="64" t="s">
        <v>3300</v>
      </c>
      <c r="I10715" s="64" t="s">
        <v>3354</v>
      </c>
      <c r="J10715" s="67">
        <v>357.96</v>
      </c>
      <c r="K10715" s="62">
        <v>3935.01</v>
      </c>
      <c r="L10715" s="33" t="e">
        <f>HLOOKUP(B10715,#REF!,1,0)</f>
        <v>#REF!</v>
      </c>
      <c r="M10715" s="33" t="str">
        <f t="shared" si="671"/>
        <v>P&amp;L</v>
      </c>
    </row>
    <row r="10716" spans="1:13">
      <c r="A10716" s="33" t="str">
        <f t="shared" si="668"/>
        <v>SCL - Other Income/Expense</v>
      </c>
      <c r="B10716" s="33" t="str">
        <f t="shared" si="669"/>
        <v>SCL</v>
      </c>
      <c r="C10716" s="33" t="str">
        <f t="shared" si="670"/>
        <v>94201-7371</v>
      </c>
      <c r="D10716" s="64" t="s">
        <v>11975</v>
      </c>
      <c r="E10716" s="64" t="s">
        <v>3353</v>
      </c>
      <c r="F10716" s="64" t="s">
        <v>15</v>
      </c>
      <c r="G10716" s="64" t="s">
        <v>3017</v>
      </c>
      <c r="H10716" s="64" t="s">
        <v>3300</v>
      </c>
      <c r="I10716" s="64" t="s">
        <v>3354</v>
      </c>
      <c r="J10716" s="67">
        <v>357.95</v>
      </c>
      <c r="K10716" s="62">
        <v>3935.01</v>
      </c>
      <c r="L10716" s="33" t="e">
        <f>HLOOKUP(B10716,#REF!,1,0)</f>
        <v>#REF!</v>
      </c>
      <c r="M10716" s="33" t="str">
        <f t="shared" si="671"/>
        <v>P&amp;L</v>
      </c>
    </row>
    <row r="10717" spans="1:13">
      <c r="A10717" s="33" t="str">
        <f t="shared" si="668"/>
        <v>SCL - Other Income/Expense</v>
      </c>
      <c r="B10717" s="33" t="str">
        <f t="shared" si="669"/>
        <v>SCL</v>
      </c>
      <c r="C10717" s="33" t="str">
        <f t="shared" si="670"/>
        <v>94201-7374</v>
      </c>
      <c r="D10717" s="64" t="s">
        <v>11976</v>
      </c>
      <c r="E10717" s="64" t="s">
        <v>3353</v>
      </c>
      <c r="F10717" s="64" t="s">
        <v>15</v>
      </c>
      <c r="G10717" s="64" t="s">
        <v>3017</v>
      </c>
      <c r="H10717" s="64" t="s">
        <v>3300</v>
      </c>
      <c r="I10717" s="64" t="s">
        <v>3354</v>
      </c>
      <c r="J10717" s="67">
        <v>357.96</v>
      </c>
      <c r="K10717" s="62">
        <v>3935.01</v>
      </c>
      <c r="L10717" s="33" t="e">
        <f>HLOOKUP(B10717,#REF!,1,0)</f>
        <v>#REF!</v>
      </c>
      <c r="M10717" s="33" t="str">
        <f t="shared" si="671"/>
        <v>P&amp;L</v>
      </c>
    </row>
    <row r="10718" spans="1:13">
      <c r="A10718" s="33" t="str">
        <f t="shared" si="668"/>
        <v>SCL - Other Income/Expense</v>
      </c>
      <c r="B10718" s="33" t="str">
        <f t="shared" si="669"/>
        <v>SCL</v>
      </c>
      <c r="C10718" s="33" t="str">
        <f t="shared" si="670"/>
        <v>94201-7375</v>
      </c>
      <c r="D10718" s="64" t="s">
        <v>11977</v>
      </c>
      <c r="E10718" s="64" t="s">
        <v>3353</v>
      </c>
      <c r="F10718" s="64" t="s">
        <v>15</v>
      </c>
      <c r="G10718" s="64" t="s">
        <v>3017</v>
      </c>
      <c r="H10718" s="64" t="s">
        <v>3300</v>
      </c>
      <c r="I10718" s="64" t="s">
        <v>3354</v>
      </c>
      <c r="J10718" s="67">
        <v>357.95</v>
      </c>
      <c r="K10718" s="62">
        <v>3935.01</v>
      </c>
      <c r="L10718" s="33" t="e">
        <f>HLOOKUP(B10718,#REF!,1,0)</f>
        <v>#REF!</v>
      </c>
      <c r="M10718" s="33" t="str">
        <f t="shared" si="671"/>
        <v>P&amp;L</v>
      </c>
    </row>
    <row r="10719" spans="1:13">
      <c r="A10719" s="33" t="str">
        <f t="shared" si="668"/>
        <v>SCL - Other Income/Expense</v>
      </c>
      <c r="B10719" s="33" t="str">
        <f t="shared" si="669"/>
        <v>SCL</v>
      </c>
      <c r="C10719" s="33" t="str">
        <f t="shared" si="670"/>
        <v>94201-7376</v>
      </c>
      <c r="D10719" s="64" t="s">
        <v>11978</v>
      </c>
      <c r="E10719" s="64" t="s">
        <v>3353</v>
      </c>
      <c r="F10719" s="64" t="s">
        <v>15</v>
      </c>
      <c r="G10719" s="64" t="s">
        <v>3017</v>
      </c>
      <c r="H10719" s="64" t="s">
        <v>3300</v>
      </c>
      <c r="I10719" s="64" t="s">
        <v>3354</v>
      </c>
      <c r="J10719" s="67">
        <v>357.95</v>
      </c>
      <c r="K10719" s="62">
        <v>3935.04</v>
      </c>
      <c r="L10719" s="33" t="e">
        <f>HLOOKUP(B10719,#REF!,1,0)</f>
        <v>#REF!</v>
      </c>
      <c r="M10719" s="33" t="str">
        <f t="shared" si="671"/>
        <v>P&amp;L</v>
      </c>
    </row>
    <row r="10720" spans="1:13">
      <c r="A10720" s="33" t="str">
        <f t="shared" si="668"/>
        <v>SCL - Other Income/Expense</v>
      </c>
      <c r="B10720" s="33" t="str">
        <f t="shared" si="669"/>
        <v>SCL</v>
      </c>
      <c r="C10720" s="33" t="str">
        <f t="shared" si="670"/>
        <v>94201-7377</v>
      </c>
      <c r="D10720" s="64" t="s">
        <v>11979</v>
      </c>
      <c r="E10720" s="64" t="s">
        <v>3353</v>
      </c>
      <c r="F10720" s="64" t="s">
        <v>15</v>
      </c>
      <c r="G10720" s="64" t="s">
        <v>3017</v>
      </c>
      <c r="H10720" s="64" t="s">
        <v>3300</v>
      </c>
      <c r="I10720" s="64" t="s">
        <v>3354</v>
      </c>
      <c r="J10720" s="67">
        <v>357.96</v>
      </c>
      <c r="K10720" s="62">
        <v>3935</v>
      </c>
      <c r="L10720" s="33" t="e">
        <f>HLOOKUP(B10720,#REF!,1,0)</f>
        <v>#REF!</v>
      </c>
      <c r="M10720" s="33" t="str">
        <f t="shared" si="671"/>
        <v>P&amp;L</v>
      </c>
    </row>
    <row r="10721" spans="1:13">
      <c r="A10721" s="33" t="str">
        <f t="shared" si="668"/>
        <v>SCL - Other Income/Expense</v>
      </c>
      <c r="B10721" s="33" t="str">
        <f t="shared" si="669"/>
        <v>SCL</v>
      </c>
      <c r="C10721" s="33" t="str">
        <f t="shared" si="670"/>
        <v>94201-7378</v>
      </c>
      <c r="D10721" s="64" t="s">
        <v>11980</v>
      </c>
      <c r="E10721" s="64" t="s">
        <v>3353</v>
      </c>
      <c r="F10721" s="64" t="s">
        <v>15</v>
      </c>
      <c r="G10721" s="64" t="s">
        <v>3017</v>
      </c>
      <c r="H10721" s="64" t="s">
        <v>3300</v>
      </c>
      <c r="I10721" s="64" t="s">
        <v>3354</v>
      </c>
      <c r="J10721" s="67">
        <v>357.95</v>
      </c>
      <c r="K10721" s="62">
        <v>3935.01</v>
      </c>
      <c r="L10721" s="33" t="e">
        <f>HLOOKUP(B10721,#REF!,1,0)</f>
        <v>#REF!</v>
      </c>
      <c r="M10721" s="33" t="str">
        <f t="shared" si="671"/>
        <v>P&amp;L</v>
      </c>
    </row>
    <row r="10722" spans="1:13">
      <c r="A10722" s="33" t="str">
        <f t="shared" si="668"/>
        <v>SCL - Other Income/Expense</v>
      </c>
      <c r="B10722" s="33" t="str">
        <f t="shared" si="669"/>
        <v>SCL</v>
      </c>
      <c r="C10722" s="33" t="str">
        <f t="shared" si="670"/>
        <v>94201-7379</v>
      </c>
      <c r="D10722" s="64" t="s">
        <v>11981</v>
      </c>
      <c r="E10722" s="64" t="s">
        <v>3353</v>
      </c>
      <c r="F10722" s="64" t="s">
        <v>15</v>
      </c>
      <c r="G10722" s="64" t="s">
        <v>3017</v>
      </c>
      <c r="H10722" s="64" t="s">
        <v>3300</v>
      </c>
      <c r="I10722" s="64" t="s">
        <v>3354</v>
      </c>
      <c r="J10722" s="67">
        <v>357.95</v>
      </c>
      <c r="K10722" s="62">
        <v>3935.02</v>
      </c>
      <c r="L10722" s="33" t="e">
        <f>HLOOKUP(B10722,#REF!,1,0)</f>
        <v>#REF!</v>
      </c>
      <c r="M10722" s="33" t="str">
        <f t="shared" si="671"/>
        <v>P&amp;L</v>
      </c>
    </row>
    <row r="10723" spans="1:13">
      <c r="A10723" s="33" t="str">
        <f t="shared" si="668"/>
        <v>SCL - Other Income/Expense</v>
      </c>
      <c r="B10723" s="33" t="str">
        <f t="shared" si="669"/>
        <v>SCL</v>
      </c>
      <c r="C10723" s="33" t="str">
        <f t="shared" si="670"/>
        <v>94201-7380</v>
      </c>
      <c r="D10723" s="64" t="s">
        <v>11982</v>
      </c>
      <c r="E10723" s="64" t="s">
        <v>3353</v>
      </c>
      <c r="F10723" s="64" t="s">
        <v>15</v>
      </c>
      <c r="G10723" s="64" t="s">
        <v>3017</v>
      </c>
      <c r="H10723" s="64" t="s">
        <v>3300</v>
      </c>
      <c r="I10723" s="64" t="s">
        <v>3354</v>
      </c>
      <c r="J10723" s="67">
        <v>357.96</v>
      </c>
      <c r="K10723" s="62">
        <v>3935</v>
      </c>
      <c r="L10723" s="33" t="e">
        <f>HLOOKUP(B10723,#REF!,1,0)</f>
        <v>#REF!</v>
      </c>
      <c r="M10723" s="33" t="str">
        <f t="shared" si="671"/>
        <v>P&amp;L</v>
      </c>
    </row>
    <row r="10724" spans="1:13">
      <c r="A10724" s="33" t="str">
        <f t="shared" si="668"/>
        <v>SCL - Other Income/Expense</v>
      </c>
      <c r="B10724" s="33" t="str">
        <f t="shared" si="669"/>
        <v>SCL</v>
      </c>
      <c r="C10724" s="33" t="str">
        <f t="shared" si="670"/>
        <v>94201-7381</v>
      </c>
      <c r="D10724" s="64" t="s">
        <v>11983</v>
      </c>
      <c r="E10724" s="64" t="s">
        <v>3353</v>
      </c>
      <c r="F10724" s="64" t="s">
        <v>15</v>
      </c>
      <c r="G10724" s="64" t="s">
        <v>3017</v>
      </c>
      <c r="H10724" s="64" t="s">
        <v>3300</v>
      </c>
      <c r="I10724" s="64" t="s">
        <v>3354</v>
      </c>
      <c r="J10724" s="67">
        <v>357.96</v>
      </c>
      <c r="K10724" s="62">
        <v>3935</v>
      </c>
      <c r="L10724" s="33" t="e">
        <f>HLOOKUP(B10724,#REF!,1,0)</f>
        <v>#REF!</v>
      </c>
      <c r="M10724" s="33" t="str">
        <f t="shared" si="671"/>
        <v>P&amp;L</v>
      </c>
    </row>
    <row r="10725" spans="1:13">
      <c r="A10725" s="33" t="str">
        <f t="shared" si="668"/>
        <v>SCL - Other Income/Expense</v>
      </c>
      <c r="B10725" s="33" t="str">
        <f t="shared" si="669"/>
        <v>SCL</v>
      </c>
      <c r="C10725" s="33" t="str">
        <f t="shared" si="670"/>
        <v>94201-7383</v>
      </c>
      <c r="D10725" s="64" t="s">
        <v>11984</v>
      </c>
      <c r="E10725" s="64" t="s">
        <v>3353</v>
      </c>
      <c r="F10725" s="64" t="s">
        <v>15</v>
      </c>
      <c r="G10725" s="64" t="s">
        <v>3017</v>
      </c>
      <c r="H10725" s="64" t="s">
        <v>3300</v>
      </c>
      <c r="I10725" s="64" t="s">
        <v>3354</v>
      </c>
      <c r="J10725" s="67">
        <v>357.95</v>
      </c>
      <c r="K10725" s="62">
        <v>3935.02</v>
      </c>
      <c r="L10725" s="33" t="e">
        <f>HLOOKUP(B10725,#REF!,1,0)</f>
        <v>#REF!</v>
      </c>
      <c r="M10725" s="33" t="str">
        <f t="shared" si="671"/>
        <v>P&amp;L</v>
      </c>
    </row>
    <row r="10726" spans="1:13">
      <c r="A10726" s="33" t="str">
        <f t="shared" si="668"/>
        <v>SCL - Other Income/Expense</v>
      </c>
      <c r="B10726" s="33" t="str">
        <f t="shared" si="669"/>
        <v>SCL</v>
      </c>
      <c r="C10726" s="33" t="str">
        <f t="shared" si="670"/>
        <v>94201-7385</v>
      </c>
      <c r="D10726" s="64" t="s">
        <v>11985</v>
      </c>
      <c r="E10726" s="64" t="s">
        <v>3353</v>
      </c>
      <c r="F10726" s="64" t="s">
        <v>15</v>
      </c>
      <c r="G10726" s="64" t="s">
        <v>3017</v>
      </c>
      <c r="H10726" s="64" t="s">
        <v>3300</v>
      </c>
      <c r="I10726" s="64" t="s">
        <v>3354</v>
      </c>
      <c r="J10726" s="67">
        <v>357.96</v>
      </c>
      <c r="K10726" s="62">
        <v>3935.01</v>
      </c>
      <c r="L10726" s="33" t="e">
        <f>HLOOKUP(B10726,#REF!,1,0)</f>
        <v>#REF!</v>
      </c>
      <c r="M10726" s="33" t="str">
        <f t="shared" si="671"/>
        <v>P&amp;L</v>
      </c>
    </row>
    <row r="10727" spans="1:13">
      <c r="A10727" s="33" t="str">
        <f t="shared" si="668"/>
        <v>SCL - Other Income/Expense</v>
      </c>
      <c r="B10727" s="33" t="str">
        <f t="shared" si="669"/>
        <v>SCL</v>
      </c>
      <c r="C10727" s="33" t="str">
        <f t="shared" si="670"/>
        <v>94201-7386</v>
      </c>
      <c r="D10727" s="64" t="s">
        <v>11986</v>
      </c>
      <c r="E10727" s="64" t="s">
        <v>3353</v>
      </c>
      <c r="F10727" s="64" t="s">
        <v>15</v>
      </c>
      <c r="G10727" s="64" t="s">
        <v>3017</v>
      </c>
      <c r="H10727" s="64" t="s">
        <v>3300</v>
      </c>
      <c r="I10727" s="64" t="s">
        <v>3354</v>
      </c>
      <c r="J10727" s="67">
        <v>357.96</v>
      </c>
      <c r="K10727" s="62">
        <v>3935</v>
      </c>
      <c r="L10727" s="33" t="e">
        <f>HLOOKUP(B10727,#REF!,1,0)</f>
        <v>#REF!</v>
      </c>
      <c r="M10727" s="33" t="str">
        <f t="shared" si="671"/>
        <v>P&amp;L</v>
      </c>
    </row>
    <row r="10728" spans="1:13">
      <c r="A10728" s="33" t="str">
        <f t="shared" si="668"/>
        <v>SCL - Other Income/Expense</v>
      </c>
      <c r="B10728" s="33" t="str">
        <f t="shared" si="669"/>
        <v>SCL</v>
      </c>
      <c r="C10728" s="33" t="str">
        <f t="shared" si="670"/>
        <v>94201-7387</v>
      </c>
      <c r="D10728" s="64" t="s">
        <v>11987</v>
      </c>
      <c r="E10728" s="64" t="s">
        <v>3353</v>
      </c>
      <c r="F10728" s="64" t="s">
        <v>15</v>
      </c>
      <c r="G10728" s="64" t="s">
        <v>3017</v>
      </c>
      <c r="H10728" s="64" t="s">
        <v>3300</v>
      </c>
      <c r="I10728" s="64" t="s">
        <v>3354</v>
      </c>
      <c r="J10728" s="67">
        <v>357.95</v>
      </c>
      <c r="K10728" s="62">
        <v>3935.02</v>
      </c>
      <c r="L10728" s="33" t="e">
        <f>HLOOKUP(B10728,#REF!,1,0)</f>
        <v>#REF!</v>
      </c>
      <c r="M10728" s="33" t="str">
        <f t="shared" si="671"/>
        <v>P&amp;L</v>
      </c>
    </row>
    <row r="10729" spans="1:13">
      <c r="A10729" s="33" t="str">
        <f t="shared" si="668"/>
        <v>SCL - Other Income/Expense</v>
      </c>
      <c r="B10729" s="33" t="str">
        <f t="shared" si="669"/>
        <v>SCL</v>
      </c>
      <c r="C10729" s="33" t="str">
        <f t="shared" si="670"/>
        <v>94201-7389</v>
      </c>
      <c r="D10729" s="64" t="s">
        <v>11988</v>
      </c>
      <c r="E10729" s="64" t="s">
        <v>3353</v>
      </c>
      <c r="F10729" s="64" t="s">
        <v>15</v>
      </c>
      <c r="G10729" s="64" t="s">
        <v>3017</v>
      </c>
      <c r="H10729" s="64" t="s">
        <v>3300</v>
      </c>
      <c r="I10729" s="64" t="s">
        <v>3354</v>
      </c>
      <c r="J10729" s="67">
        <v>357.95</v>
      </c>
      <c r="K10729" s="62">
        <v>3935.04</v>
      </c>
      <c r="L10729" s="33" t="e">
        <f>HLOOKUP(B10729,#REF!,1,0)</f>
        <v>#REF!</v>
      </c>
      <c r="M10729" s="33" t="str">
        <f t="shared" si="671"/>
        <v>P&amp;L</v>
      </c>
    </row>
    <row r="10730" spans="1:13">
      <c r="A10730" s="33" t="str">
        <f t="shared" si="668"/>
        <v>SCL - Other Income/Expense</v>
      </c>
      <c r="B10730" s="33" t="str">
        <f t="shared" si="669"/>
        <v>SCL</v>
      </c>
      <c r="C10730" s="33" t="str">
        <f t="shared" si="670"/>
        <v>94201-7391</v>
      </c>
      <c r="D10730" s="64" t="s">
        <v>11989</v>
      </c>
      <c r="E10730" s="64" t="s">
        <v>3353</v>
      </c>
      <c r="F10730" s="64" t="s">
        <v>15</v>
      </c>
      <c r="G10730" s="64" t="s">
        <v>3017</v>
      </c>
      <c r="H10730" s="64" t="s">
        <v>3300</v>
      </c>
      <c r="I10730" s="64" t="s">
        <v>3354</v>
      </c>
      <c r="J10730" s="67">
        <v>357.96</v>
      </c>
      <c r="K10730" s="62">
        <v>3935.01</v>
      </c>
      <c r="L10730" s="33" t="e">
        <f>HLOOKUP(B10730,#REF!,1,0)</f>
        <v>#REF!</v>
      </c>
      <c r="M10730" s="33" t="str">
        <f t="shared" si="671"/>
        <v>P&amp;L</v>
      </c>
    </row>
    <row r="10731" spans="1:13">
      <c r="A10731" s="33" t="str">
        <f t="shared" si="668"/>
        <v>SCL - Other Income/Expense</v>
      </c>
      <c r="B10731" s="33" t="str">
        <f t="shared" si="669"/>
        <v>SCL</v>
      </c>
      <c r="C10731" s="33" t="str">
        <f t="shared" si="670"/>
        <v>94201-7393</v>
      </c>
      <c r="D10731" s="64" t="s">
        <v>11990</v>
      </c>
      <c r="E10731" s="64" t="s">
        <v>3353</v>
      </c>
      <c r="F10731" s="64" t="s">
        <v>15</v>
      </c>
      <c r="G10731" s="64" t="s">
        <v>3017</v>
      </c>
      <c r="H10731" s="64" t="s">
        <v>3300</v>
      </c>
      <c r="I10731" s="64" t="s">
        <v>3354</v>
      </c>
      <c r="J10731" s="67">
        <v>357.96</v>
      </c>
      <c r="K10731" s="62">
        <v>3935</v>
      </c>
      <c r="L10731" s="33" t="e">
        <f>HLOOKUP(B10731,#REF!,1,0)</f>
        <v>#REF!</v>
      </c>
      <c r="M10731" s="33" t="str">
        <f t="shared" si="671"/>
        <v>P&amp;L</v>
      </c>
    </row>
    <row r="10732" spans="1:13">
      <c r="A10732" s="33" t="str">
        <f t="shared" si="668"/>
        <v>SCL - Other Income/Expense</v>
      </c>
      <c r="B10732" s="33" t="str">
        <f t="shared" si="669"/>
        <v>SCL</v>
      </c>
      <c r="C10732" s="33" t="str">
        <f t="shared" si="670"/>
        <v>94201-7394</v>
      </c>
      <c r="D10732" s="64" t="s">
        <v>11991</v>
      </c>
      <c r="E10732" s="64" t="s">
        <v>3353</v>
      </c>
      <c r="F10732" s="64" t="s">
        <v>15</v>
      </c>
      <c r="G10732" s="64" t="s">
        <v>3017</v>
      </c>
      <c r="H10732" s="64" t="s">
        <v>3300</v>
      </c>
      <c r="I10732" s="64" t="s">
        <v>3354</v>
      </c>
      <c r="J10732" s="67">
        <v>357.96</v>
      </c>
      <c r="K10732" s="62">
        <v>3935.01</v>
      </c>
      <c r="L10732" s="33" t="e">
        <f>HLOOKUP(B10732,#REF!,1,0)</f>
        <v>#REF!</v>
      </c>
      <c r="M10732" s="33" t="str">
        <f t="shared" si="671"/>
        <v>P&amp;L</v>
      </c>
    </row>
    <row r="10733" spans="1:13">
      <c r="A10733" s="33" t="str">
        <f t="shared" si="668"/>
        <v>SCL - Other Income/Expense</v>
      </c>
      <c r="B10733" s="33" t="str">
        <f t="shared" si="669"/>
        <v>SCL</v>
      </c>
      <c r="C10733" s="33" t="str">
        <f t="shared" si="670"/>
        <v>94201-7396</v>
      </c>
      <c r="D10733" s="64" t="s">
        <v>11992</v>
      </c>
      <c r="E10733" s="64" t="s">
        <v>3353</v>
      </c>
      <c r="F10733" s="64" t="s">
        <v>15</v>
      </c>
      <c r="G10733" s="64" t="s">
        <v>3017</v>
      </c>
      <c r="H10733" s="64" t="s">
        <v>3300</v>
      </c>
      <c r="I10733" s="64" t="s">
        <v>3354</v>
      </c>
      <c r="J10733" s="67">
        <v>357.96</v>
      </c>
      <c r="K10733" s="62">
        <v>3935.08</v>
      </c>
      <c r="L10733" s="33" t="e">
        <f>HLOOKUP(B10733,#REF!,1,0)</f>
        <v>#REF!</v>
      </c>
      <c r="M10733" s="33" t="str">
        <f t="shared" si="671"/>
        <v>P&amp;L</v>
      </c>
    </row>
    <row r="10734" spans="1:13">
      <c r="A10734" s="33" t="str">
        <f t="shared" si="668"/>
        <v>SCL - Other Income/Expense</v>
      </c>
      <c r="B10734" s="33" t="str">
        <f t="shared" si="669"/>
        <v>SCL</v>
      </c>
      <c r="C10734" s="33" t="str">
        <f t="shared" si="670"/>
        <v>94201-7397</v>
      </c>
      <c r="D10734" s="64" t="s">
        <v>11993</v>
      </c>
      <c r="E10734" s="64" t="s">
        <v>3353</v>
      </c>
      <c r="F10734" s="64" t="s">
        <v>15</v>
      </c>
      <c r="G10734" s="64" t="s">
        <v>3017</v>
      </c>
      <c r="H10734" s="64" t="s">
        <v>3300</v>
      </c>
      <c r="I10734" s="64" t="s">
        <v>3354</v>
      </c>
      <c r="J10734" s="67">
        <v>357.95</v>
      </c>
      <c r="K10734" s="62">
        <v>3935.04</v>
      </c>
      <c r="L10734" s="33" t="e">
        <f>HLOOKUP(B10734,#REF!,1,0)</f>
        <v>#REF!</v>
      </c>
      <c r="M10734" s="33" t="str">
        <f t="shared" si="671"/>
        <v>P&amp;L</v>
      </c>
    </row>
    <row r="10735" spans="1:13">
      <c r="A10735" s="33" t="str">
        <f t="shared" si="668"/>
        <v>SCL - Other Income/Expense</v>
      </c>
      <c r="B10735" s="33" t="str">
        <f t="shared" si="669"/>
        <v>SCL</v>
      </c>
      <c r="C10735" s="33" t="str">
        <f t="shared" si="670"/>
        <v>94201-7398</v>
      </c>
      <c r="D10735" s="64" t="s">
        <v>11994</v>
      </c>
      <c r="E10735" s="64" t="s">
        <v>3353</v>
      </c>
      <c r="F10735" s="64" t="s">
        <v>15</v>
      </c>
      <c r="G10735" s="64" t="s">
        <v>3017</v>
      </c>
      <c r="H10735" s="64" t="s">
        <v>3300</v>
      </c>
      <c r="I10735" s="64" t="s">
        <v>3354</v>
      </c>
      <c r="J10735" s="67">
        <v>357.96</v>
      </c>
      <c r="K10735" s="62">
        <v>3935.01</v>
      </c>
      <c r="L10735" s="33" t="e">
        <f>HLOOKUP(B10735,#REF!,1,0)</f>
        <v>#REF!</v>
      </c>
      <c r="M10735" s="33" t="str">
        <f t="shared" si="671"/>
        <v>P&amp;L</v>
      </c>
    </row>
    <row r="10736" spans="1:13">
      <c r="A10736" s="33" t="str">
        <f t="shared" si="668"/>
        <v>SCL - Other Income/Expense</v>
      </c>
      <c r="B10736" s="33" t="str">
        <f t="shared" si="669"/>
        <v>SCL</v>
      </c>
      <c r="C10736" s="33" t="str">
        <f t="shared" si="670"/>
        <v>94201-7400</v>
      </c>
      <c r="D10736" s="64" t="s">
        <v>11995</v>
      </c>
      <c r="E10736" s="64" t="s">
        <v>3353</v>
      </c>
      <c r="F10736" s="64" t="s">
        <v>15</v>
      </c>
      <c r="G10736" s="64" t="s">
        <v>3017</v>
      </c>
      <c r="H10736" s="64" t="s">
        <v>3300</v>
      </c>
      <c r="I10736" s="64" t="s">
        <v>3354</v>
      </c>
      <c r="J10736" s="67">
        <v>357.95</v>
      </c>
      <c r="K10736" s="62">
        <v>3935.02</v>
      </c>
      <c r="L10736" s="33" t="e">
        <f>HLOOKUP(B10736,#REF!,1,0)</f>
        <v>#REF!</v>
      </c>
      <c r="M10736" s="33" t="str">
        <f t="shared" si="671"/>
        <v>P&amp;L</v>
      </c>
    </row>
    <row r="10737" spans="1:13">
      <c r="A10737" s="33" t="str">
        <f t="shared" si="668"/>
        <v>SCL - Other Income/Expense</v>
      </c>
      <c r="B10737" s="33" t="str">
        <f t="shared" si="669"/>
        <v>SCL</v>
      </c>
      <c r="C10737" s="33" t="str">
        <f t="shared" si="670"/>
        <v>94201-7401</v>
      </c>
      <c r="D10737" s="64" t="s">
        <v>11996</v>
      </c>
      <c r="E10737" s="64" t="s">
        <v>3353</v>
      </c>
      <c r="F10737" s="64" t="s">
        <v>15</v>
      </c>
      <c r="G10737" s="64" t="s">
        <v>3017</v>
      </c>
      <c r="H10737" s="64" t="s">
        <v>3300</v>
      </c>
      <c r="I10737" s="64" t="s">
        <v>3354</v>
      </c>
      <c r="J10737" s="67">
        <v>357.95</v>
      </c>
      <c r="K10737" s="62">
        <v>3935.01</v>
      </c>
      <c r="L10737" s="33" t="e">
        <f>HLOOKUP(B10737,#REF!,1,0)</f>
        <v>#REF!</v>
      </c>
      <c r="M10737" s="33" t="str">
        <f t="shared" si="671"/>
        <v>P&amp;L</v>
      </c>
    </row>
    <row r="10738" spans="1:13">
      <c r="A10738" s="33" t="str">
        <f t="shared" si="668"/>
        <v>SCL - Other Income/Expense</v>
      </c>
      <c r="B10738" s="33" t="str">
        <f t="shared" si="669"/>
        <v>SCL</v>
      </c>
      <c r="C10738" s="33" t="str">
        <f t="shared" si="670"/>
        <v>94201-7402</v>
      </c>
      <c r="D10738" s="64" t="s">
        <v>11997</v>
      </c>
      <c r="E10738" s="64" t="s">
        <v>3353</v>
      </c>
      <c r="F10738" s="64" t="s">
        <v>15</v>
      </c>
      <c r="G10738" s="64" t="s">
        <v>3017</v>
      </c>
      <c r="H10738" s="64" t="s">
        <v>3300</v>
      </c>
      <c r="I10738" s="64" t="s">
        <v>3354</v>
      </c>
      <c r="J10738" s="67">
        <v>357.95</v>
      </c>
      <c r="K10738" s="62">
        <v>3935.01</v>
      </c>
      <c r="L10738" s="33" t="e">
        <f>HLOOKUP(B10738,#REF!,1,0)</f>
        <v>#REF!</v>
      </c>
      <c r="M10738" s="33" t="str">
        <f t="shared" si="671"/>
        <v>P&amp;L</v>
      </c>
    </row>
    <row r="10739" spans="1:13">
      <c r="A10739" s="33" t="str">
        <f t="shared" si="668"/>
        <v>SCL - Other Income/Expense</v>
      </c>
      <c r="B10739" s="33" t="str">
        <f t="shared" si="669"/>
        <v>SCL</v>
      </c>
      <c r="C10739" s="33" t="str">
        <f t="shared" si="670"/>
        <v>94201-7403</v>
      </c>
      <c r="D10739" s="64" t="s">
        <v>11998</v>
      </c>
      <c r="E10739" s="64" t="s">
        <v>3353</v>
      </c>
      <c r="F10739" s="64" t="s">
        <v>15</v>
      </c>
      <c r="G10739" s="64" t="s">
        <v>3017</v>
      </c>
      <c r="H10739" s="64" t="s">
        <v>3300</v>
      </c>
      <c r="I10739" s="64" t="s">
        <v>3354</v>
      </c>
      <c r="J10739" s="67">
        <v>357.95</v>
      </c>
      <c r="K10739" s="62">
        <v>3935.01</v>
      </c>
      <c r="L10739" s="33" t="e">
        <f>HLOOKUP(B10739,#REF!,1,0)</f>
        <v>#REF!</v>
      </c>
      <c r="M10739" s="33" t="str">
        <f t="shared" si="671"/>
        <v>P&amp;L</v>
      </c>
    </row>
    <row r="10740" spans="1:13">
      <c r="A10740" s="33" t="str">
        <f t="shared" si="668"/>
        <v>SCL - Other Income/Expense</v>
      </c>
      <c r="B10740" s="33" t="str">
        <f t="shared" si="669"/>
        <v>SCL</v>
      </c>
      <c r="C10740" s="33" t="str">
        <f t="shared" si="670"/>
        <v>94201-7489</v>
      </c>
      <c r="D10740" s="64" t="s">
        <v>11999</v>
      </c>
      <c r="E10740" s="64" t="s">
        <v>3353</v>
      </c>
      <c r="F10740" s="64" t="s">
        <v>15</v>
      </c>
      <c r="G10740" s="64" t="s">
        <v>3017</v>
      </c>
      <c r="H10740" s="64" t="s">
        <v>3300</v>
      </c>
      <c r="I10740" s="64" t="s">
        <v>3354</v>
      </c>
      <c r="J10740" s="67">
        <v>357.95</v>
      </c>
      <c r="K10740" s="62">
        <v>3935.01</v>
      </c>
      <c r="L10740" s="33" t="e">
        <f>HLOOKUP(B10740,#REF!,1,0)</f>
        <v>#REF!</v>
      </c>
      <c r="M10740" s="33" t="str">
        <f t="shared" si="671"/>
        <v>P&amp;L</v>
      </c>
    </row>
    <row r="10741" spans="1:13">
      <c r="A10741" s="33" t="str">
        <f t="shared" si="668"/>
        <v>SCL - Other Income/Expense</v>
      </c>
      <c r="B10741" s="33" t="str">
        <f t="shared" si="669"/>
        <v>SCL</v>
      </c>
      <c r="C10741" s="33" t="str">
        <f t="shared" si="670"/>
        <v>94201-7491</v>
      </c>
      <c r="D10741" s="64" t="s">
        <v>12000</v>
      </c>
      <c r="E10741" s="64" t="s">
        <v>3353</v>
      </c>
      <c r="F10741" s="64" t="s">
        <v>15</v>
      </c>
      <c r="G10741" s="64" t="s">
        <v>3017</v>
      </c>
      <c r="H10741" s="64" t="s">
        <v>3300</v>
      </c>
      <c r="I10741" s="64" t="s">
        <v>3354</v>
      </c>
      <c r="J10741" s="67">
        <v>357.96</v>
      </c>
      <c r="K10741" s="62">
        <v>3935.01</v>
      </c>
      <c r="L10741" s="33" t="e">
        <f>HLOOKUP(B10741,#REF!,1,0)</f>
        <v>#REF!</v>
      </c>
      <c r="M10741" s="33" t="str">
        <f t="shared" si="671"/>
        <v>P&amp;L</v>
      </c>
    </row>
    <row r="10742" spans="1:13">
      <c r="A10742" s="33" t="str">
        <f t="shared" si="668"/>
        <v>SCL - Other Income/Expense</v>
      </c>
      <c r="B10742" s="33" t="str">
        <f t="shared" si="669"/>
        <v>SCL</v>
      </c>
      <c r="C10742" s="33" t="str">
        <f t="shared" si="670"/>
        <v>94201-7492</v>
      </c>
      <c r="D10742" s="64" t="s">
        <v>12001</v>
      </c>
      <c r="E10742" s="64" t="s">
        <v>3353</v>
      </c>
      <c r="F10742" s="64" t="s">
        <v>15</v>
      </c>
      <c r="G10742" s="64" t="s">
        <v>3017</v>
      </c>
      <c r="H10742" s="64" t="s">
        <v>3300</v>
      </c>
      <c r="I10742" s="64" t="s">
        <v>3354</v>
      </c>
      <c r="J10742" s="67">
        <v>357.96</v>
      </c>
      <c r="K10742" s="62">
        <v>3935.02</v>
      </c>
      <c r="L10742" s="33" t="e">
        <f>HLOOKUP(B10742,#REF!,1,0)</f>
        <v>#REF!</v>
      </c>
      <c r="M10742" s="33" t="str">
        <f t="shared" si="671"/>
        <v>P&amp;L</v>
      </c>
    </row>
    <row r="10743" spans="1:13">
      <c r="A10743" s="33" t="str">
        <f t="shared" si="668"/>
        <v>SCL - Other Income/Expense</v>
      </c>
      <c r="B10743" s="33" t="str">
        <f t="shared" si="669"/>
        <v>SCL</v>
      </c>
      <c r="C10743" s="33" t="str">
        <f t="shared" si="670"/>
        <v>94201-7493</v>
      </c>
      <c r="D10743" s="64" t="s">
        <v>12002</v>
      </c>
      <c r="E10743" s="64" t="s">
        <v>3353</v>
      </c>
      <c r="F10743" s="64" t="s">
        <v>15</v>
      </c>
      <c r="G10743" s="64" t="s">
        <v>3017</v>
      </c>
      <c r="H10743" s="64" t="s">
        <v>3300</v>
      </c>
      <c r="I10743" s="64" t="s">
        <v>3354</v>
      </c>
      <c r="J10743" s="67">
        <v>357.95</v>
      </c>
      <c r="K10743" s="62">
        <v>3935.04</v>
      </c>
      <c r="L10743" s="33" t="e">
        <f>HLOOKUP(B10743,#REF!,1,0)</f>
        <v>#REF!</v>
      </c>
      <c r="M10743" s="33" t="str">
        <f t="shared" si="671"/>
        <v>P&amp;L</v>
      </c>
    </row>
    <row r="10744" spans="1:13">
      <c r="A10744" s="33" t="str">
        <f t="shared" si="668"/>
        <v>SCL - Other Income/Expense</v>
      </c>
      <c r="B10744" s="33" t="str">
        <f t="shared" si="669"/>
        <v>SCL</v>
      </c>
      <c r="C10744" s="33" t="str">
        <f t="shared" si="670"/>
        <v>94201-7494</v>
      </c>
      <c r="D10744" s="64" t="s">
        <v>12003</v>
      </c>
      <c r="E10744" s="64" t="s">
        <v>3353</v>
      </c>
      <c r="F10744" s="64" t="s">
        <v>15</v>
      </c>
      <c r="G10744" s="64" t="s">
        <v>3017</v>
      </c>
      <c r="H10744" s="64" t="s">
        <v>3300</v>
      </c>
      <c r="I10744" s="64" t="s">
        <v>3354</v>
      </c>
      <c r="J10744" s="67">
        <v>357.96</v>
      </c>
      <c r="K10744" s="62">
        <v>3935</v>
      </c>
      <c r="L10744" s="33" t="e">
        <f>HLOOKUP(B10744,#REF!,1,0)</f>
        <v>#REF!</v>
      </c>
      <c r="M10744" s="33" t="str">
        <f t="shared" si="671"/>
        <v>P&amp;L</v>
      </c>
    </row>
    <row r="10745" spans="1:13">
      <c r="A10745" s="33" t="str">
        <f t="shared" si="668"/>
        <v>SCL - Other Income/Expense</v>
      </c>
      <c r="B10745" s="33" t="str">
        <f t="shared" si="669"/>
        <v>SCL</v>
      </c>
      <c r="C10745" s="33" t="str">
        <f t="shared" si="670"/>
        <v>94201-7625</v>
      </c>
      <c r="D10745" s="64" t="s">
        <v>12004</v>
      </c>
      <c r="E10745" s="64" t="s">
        <v>3353</v>
      </c>
      <c r="F10745" s="64" t="s">
        <v>15</v>
      </c>
      <c r="G10745" s="64" t="s">
        <v>3017</v>
      </c>
      <c r="H10745" s="64" t="s">
        <v>3300</v>
      </c>
      <c r="I10745" s="64" t="s">
        <v>3354</v>
      </c>
      <c r="J10745" s="67">
        <v>357.96</v>
      </c>
      <c r="K10745" s="62">
        <v>3935.02</v>
      </c>
      <c r="L10745" s="33" t="e">
        <f>HLOOKUP(B10745,#REF!,1,0)</f>
        <v>#REF!</v>
      </c>
      <c r="M10745" s="33" t="str">
        <f t="shared" si="671"/>
        <v>P&amp;L</v>
      </c>
    </row>
    <row r="10746" spans="1:13">
      <c r="A10746" s="33" t="str">
        <f t="shared" si="668"/>
        <v>SCL - Other Income/Expense</v>
      </c>
      <c r="B10746" s="33" t="str">
        <f t="shared" si="669"/>
        <v>SCL</v>
      </c>
      <c r="C10746" s="33" t="str">
        <f t="shared" si="670"/>
        <v>94201-8150</v>
      </c>
      <c r="D10746" s="64" t="s">
        <v>12005</v>
      </c>
      <c r="E10746" s="64" t="s">
        <v>3353</v>
      </c>
      <c r="F10746" s="64" t="s">
        <v>15</v>
      </c>
      <c r="G10746" s="64" t="s">
        <v>3017</v>
      </c>
      <c r="H10746" s="64" t="s">
        <v>3300</v>
      </c>
      <c r="I10746" s="64" t="s">
        <v>3354</v>
      </c>
      <c r="J10746" s="67">
        <v>357.95</v>
      </c>
      <c r="K10746" s="62">
        <v>3935.04</v>
      </c>
      <c r="L10746" s="33" t="e">
        <f>HLOOKUP(B10746,#REF!,1,0)</f>
        <v>#REF!</v>
      </c>
      <c r="M10746" s="33" t="str">
        <f t="shared" si="671"/>
        <v>P&amp;L</v>
      </c>
    </row>
    <row r="10747" spans="1:13">
      <c r="A10747" s="33" t="str">
        <f t="shared" si="668"/>
        <v>SCL - Other Income/Expense</v>
      </c>
      <c r="B10747" s="33" t="str">
        <f t="shared" si="669"/>
        <v>SCL</v>
      </c>
      <c r="C10747" s="33" t="str">
        <f t="shared" si="670"/>
        <v>94401-0000</v>
      </c>
      <c r="D10747" s="64" t="s">
        <v>12006</v>
      </c>
      <c r="E10747" s="64" t="s">
        <v>3360</v>
      </c>
      <c r="F10747" s="64" t="s">
        <v>15</v>
      </c>
      <c r="G10747" s="64" t="s">
        <v>3017</v>
      </c>
      <c r="H10747" s="64" t="s">
        <v>3300</v>
      </c>
      <c r="I10747" s="64" t="s">
        <v>3361</v>
      </c>
      <c r="J10747" s="67">
        <v>0</v>
      </c>
      <c r="K10747" s="62">
        <v>-896.4</v>
      </c>
      <c r="L10747" s="33" t="e">
        <f>HLOOKUP(B10747,#REF!,1,0)</f>
        <v>#REF!</v>
      </c>
      <c r="M10747" s="33" t="str">
        <f t="shared" si="671"/>
        <v>P&amp;L</v>
      </c>
    </row>
    <row r="10748" spans="1:13">
      <c r="A10748" s="33" t="str">
        <f t="shared" si="668"/>
        <v>SCL - Other Income/Expense</v>
      </c>
      <c r="B10748" s="33" t="str">
        <f t="shared" si="669"/>
        <v>SCL</v>
      </c>
      <c r="C10748" s="33" t="str">
        <f t="shared" si="670"/>
        <v>94401-7351</v>
      </c>
      <c r="D10748" s="64" t="s">
        <v>12007</v>
      </c>
      <c r="E10748" s="64" t="s">
        <v>3360</v>
      </c>
      <c r="F10748" s="64" t="s">
        <v>15</v>
      </c>
      <c r="G10748" s="64" t="s">
        <v>3017</v>
      </c>
      <c r="H10748" s="64" t="s">
        <v>3300</v>
      </c>
      <c r="I10748" s="64" t="s">
        <v>3361</v>
      </c>
      <c r="J10748" s="67">
        <v>0</v>
      </c>
      <c r="K10748" s="62">
        <v>-21741.72</v>
      </c>
      <c r="L10748" s="33" t="e">
        <f>HLOOKUP(B10748,#REF!,1,0)</f>
        <v>#REF!</v>
      </c>
      <c r="M10748" s="33" t="str">
        <f t="shared" si="671"/>
        <v>P&amp;L</v>
      </c>
    </row>
    <row r="10749" spans="1:13">
      <c r="A10749" s="33" t="str">
        <f t="shared" si="668"/>
        <v>SCL - Other Income/Expense</v>
      </c>
      <c r="B10749" s="33" t="str">
        <f t="shared" si="669"/>
        <v>SCL</v>
      </c>
      <c r="C10749" s="33" t="str">
        <f t="shared" si="670"/>
        <v>94401-7352</v>
      </c>
      <c r="D10749" s="64" t="s">
        <v>12008</v>
      </c>
      <c r="E10749" s="64" t="s">
        <v>3360</v>
      </c>
      <c r="F10749" s="64" t="s">
        <v>15</v>
      </c>
      <c r="G10749" s="64" t="s">
        <v>3017</v>
      </c>
      <c r="H10749" s="64" t="s">
        <v>3300</v>
      </c>
      <c r="I10749" s="64" t="s">
        <v>3361</v>
      </c>
      <c r="J10749" s="67">
        <v>0</v>
      </c>
      <c r="K10749" s="62">
        <v>-20008.6</v>
      </c>
      <c r="L10749" s="33" t="e">
        <f>HLOOKUP(B10749,#REF!,1,0)</f>
        <v>#REF!</v>
      </c>
      <c r="M10749" s="33" t="str">
        <f t="shared" si="671"/>
        <v>P&amp;L</v>
      </c>
    </row>
    <row r="10750" spans="1:13">
      <c r="A10750" s="33" t="str">
        <f t="shared" si="668"/>
        <v>SCL - Other Income/Expense</v>
      </c>
      <c r="B10750" s="33" t="str">
        <f t="shared" si="669"/>
        <v>SCL</v>
      </c>
      <c r="C10750" s="33" t="str">
        <f t="shared" si="670"/>
        <v>94401-7355</v>
      </c>
      <c r="D10750" s="64" t="s">
        <v>12009</v>
      </c>
      <c r="E10750" s="64" t="s">
        <v>3360</v>
      </c>
      <c r="F10750" s="64" t="s">
        <v>15</v>
      </c>
      <c r="G10750" s="64" t="s">
        <v>3017</v>
      </c>
      <c r="H10750" s="64" t="s">
        <v>3300</v>
      </c>
      <c r="I10750" s="64" t="s">
        <v>3361</v>
      </c>
      <c r="J10750" s="67">
        <v>0</v>
      </c>
      <c r="K10750" s="62">
        <v>-20277.44</v>
      </c>
      <c r="L10750" s="33" t="e">
        <f>HLOOKUP(B10750,#REF!,1,0)</f>
        <v>#REF!</v>
      </c>
      <c r="M10750" s="33" t="str">
        <f t="shared" si="671"/>
        <v>P&amp;L</v>
      </c>
    </row>
    <row r="10751" spans="1:13">
      <c r="A10751" s="33" t="str">
        <f t="shared" si="668"/>
        <v>SCL - Other Income/Expense</v>
      </c>
      <c r="B10751" s="33" t="str">
        <f t="shared" si="669"/>
        <v>SCL</v>
      </c>
      <c r="C10751" s="33" t="str">
        <f t="shared" si="670"/>
        <v>94401-7356</v>
      </c>
      <c r="D10751" s="64" t="s">
        <v>12010</v>
      </c>
      <c r="E10751" s="64" t="s">
        <v>3360</v>
      </c>
      <c r="F10751" s="64" t="s">
        <v>15</v>
      </c>
      <c r="G10751" s="64" t="s">
        <v>3017</v>
      </c>
      <c r="H10751" s="64" t="s">
        <v>3300</v>
      </c>
      <c r="I10751" s="64" t="s">
        <v>3361</v>
      </c>
      <c r="J10751" s="67">
        <v>0</v>
      </c>
      <c r="K10751" s="62">
        <v>-5717.32</v>
      </c>
      <c r="L10751" s="33" t="e">
        <f>HLOOKUP(B10751,#REF!,1,0)</f>
        <v>#REF!</v>
      </c>
      <c r="M10751" s="33" t="str">
        <f t="shared" si="671"/>
        <v>P&amp;L</v>
      </c>
    </row>
    <row r="10752" spans="1:13">
      <c r="A10752" s="33" t="str">
        <f t="shared" si="668"/>
        <v>SCL - Other Income/Expense</v>
      </c>
      <c r="B10752" s="33" t="str">
        <f t="shared" si="669"/>
        <v>SCL</v>
      </c>
      <c r="C10752" s="33" t="str">
        <f t="shared" si="670"/>
        <v>94401-7359</v>
      </c>
      <c r="D10752" s="64" t="s">
        <v>12011</v>
      </c>
      <c r="E10752" s="64" t="s">
        <v>3360</v>
      </c>
      <c r="F10752" s="64" t="s">
        <v>15</v>
      </c>
      <c r="G10752" s="64" t="s">
        <v>3017</v>
      </c>
      <c r="H10752" s="64" t="s">
        <v>3300</v>
      </c>
      <c r="I10752" s="64" t="s">
        <v>3361</v>
      </c>
      <c r="J10752" s="67">
        <v>0</v>
      </c>
      <c r="K10752" s="62">
        <v>-17974.13</v>
      </c>
      <c r="L10752" s="33" t="e">
        <f>HLOOKUP(B10752,#REF!,1,0)</f>
        <v>#REF!</v>
      </c>
      <c r="M10752" s="33" t="str">
        <f t="shared" si="671"/>
        <v>P&amp;L</v>
      </c>
    </row>
    <row r="10753" spans="1:13">
      <c r="A10753" s="33" t="str">
        <f t="shared" si="668"/>
        <v>SCL - Other Income/Expense</v>
      </c>
      <c r="B10753" s="33" t="str">
        <f t="shared" si="669"/>
        <v>SCL</v>
      </c>
      <c r="C10753" s="33" t="str">
        <f t="shared" si="670"/>
        <v>94401-7360</v>
      </c>
      <c r="D10753" s="64" t="s">
        <v>12012</v>
      </c>
      <c r="E10753" s="64" t="s">
        <v>3360</v>
      </c>
      <c r="F10753" s="64" t="s">
        <v>15</v>
      </c>
      <c r="G10753" s="64" t="s">
        <v>3017</v>
      </c>
      <c r="H10753" s="64" t="s">
        <v>3300</v>
      </c>
      <c r="I10753" s="64" t="s">
        <v>3361</v>
      </c>
      <c r="J10753" s="67">
        <v>0</v>
      </c>
      <c r="K10753" s="62">
        <v>-25936.6</v>
      </c>
      <c r="L10753" s="33" t="e">
        <f>HLOOKUP(B10753,#REF!,1,0)</f>
        <v>#REF!</v>
      </c>
      <c r="M10753" s="33" t="str">
        <f t="shared" si="671"/>
        <v>P&amp;L</v>
      </c>
    </row>
    <row r="10754" spans="1:13">
      <c r="A10754" s="33" t="str">
        <f t="shared" ref="A10754:A10817" si="672">B10754&amp;" - "&amp;TRIM(H10754)</f>
        <v>SCL - Other Income/Expense</v>
      </c>
      <c r="B10754" s="33" t="str">
        <f t="shared" ref="B10754:B10817" si="673">LEFT(D10754,3)</f>
        <v>SCL</v>
      </c>
      <c r="C10754" s="33" t="str">
        <f t="shared" ref="C10754:C10817" si="674">RIGHT(D10754,10)</f>
        <v>94401-7361</v>
      </c>
      <c r="D10754" s="64" t="s">
        <v>12013</v>
      </c>
      <c r="E10754" s="64" t="s">
        <v>3360</v>
      </c>
      <c r="F10754" s="64" t="s">
        <v>15</v>
      </c>
      <c r="G10754" s="64" t="s">
        <v>3017</v>
      </c>
      <c r="H10754" s="64" t="s">
        <v>3300</v>
      </c>
      <c r="I10754" s="64" t="s">
        <v>3361</v>
      </c>
      <c r="J10754" s="67">
        <v>0</v>
      </c>
      <c r="K10754" s="62">
        <v>-22844.83</v>
      </c>
      <c r="L10754" s="33" t="e">
        <f>HLOOKUP(B10754,#REF!,1,0)</f>
        <v>#REF!</v>
      </c>
      <c r="M10754" s="33" t="str">
        <f t="shared" ref="M10754:M10817" si="675">IF(VALUE(LEFT(C10754,5))&gt;40000,"P&amp;L","BS")</f>
        <v>P&amp;L</v>
      </c>
    </row>
    <row r="10755" spans="1:13">
      <c r="A10755" s="33" t="str">
        <f t="shared" si="672"/>
        <v>SCL - Other Income/Expense</v>
      </c>
      <c r="B10755" s="33" t="str">
        <f t="shared" si="673"/>
        <v>SCL</v>
      </c>
      <c r="C10755" s="33" t="str">
        <f t="shared" si="674"/>
        <v>94401-7362</v>
      </c>
      <c r="D10755" s="64" t="s">
        <v>12014</v>
      </c>
      <c r="E10755" s="64" t="s">
        <v>3360</v>
      </c>
      <c r="F10755" s="64" t="s">
        <v>15</v>
      </c>
      <c r="G10755" s="64" t="s">
        <v>3017</v>
      </c>
      <c r="H10755" s="64" t="s">
        <v>3300</v>
      </c>
      <c r="I10755" s="64" t="s">
        <v>3361</v>
      </c>
      <c r="J10755" s="67">
        <v>0</v>
      </c>
      <c r="K10755" s="62">
        <v>-14225.45</v>
      </c>
      <c r="L10755" s="33" t="e">
        <f>HLOOKUP(B10755,#REF!,1,0)</f>
        <v>#REF!</v>
      </c>
      <c r="M10755" s="33" t="str">
        <f t="shared" si="675"/>
        <v>P&amp;L</v>
      </c>
    </row>
    <row r="10756" spans="1:13">
      <c r="A10756" s="33" t="str">
        <f t="shared" si="672"/>
        <v>SCL - Other Income/Expense</v>
      </c>
      <c r="B10756" s="33" t="str">
        <f t="shared" si="673"/>
        <v>SCL</v>
      </c>
      <c r="C10756" s="33" t="str">
        <f t="shared" si="674"/>
        <v>94401-7363</v>
      </c>
      <c r="D10756" s="64" t="s">
        <v>12015</v>
      </c>
      <c r="E10756" s="64" t="s">
        <v>3360</v>
      </c>
      <c r="F10756" s="64" t="s">
        <v>15</v>
      </c>
      <c r="G10756" s="64" t="s">
        <v>3017</v>
      </c>
      <c r="H10756" s="64" t="s">
        <v>3300</v>
      </c>
      <c r="I10756" s="64" t="s">
        <v>3361</v>
      </c>
      <c r="J10756" s="67">
        <v>0</v>
      </c>
      <c r="K10756" s="62">
        <v>-17089.03</v>
      </c>
      <c r="L10756" s="33" t="e">
        <f>HLOOKUP(B10756,#REF!,1,0)</f>
        <v>#REF!</v>
      </c>
      <c r="M10756" s="33" t="str">
        <f t="shared" si="675"/>
        <v>P&amp;L</v>
      </c>
    </row>
    <row r="10757" spans="1:13">
      <c r="A10757" s="33" t="str">
        <f t="shared" si="672"/>
        <v>SCL - Other Income/Expense</v>
      </c>
      <c r="B10757" s="33" t="str">
        <f t="shared" si="673"/>
        <v>SCL</v>
      </c>
      <c r="C10757" s="33" t="str">
        <f t="shared" si="674"/>
        <v>94401-7364</v>
      </c>
      <c r="D10757" s="64" t="s">
        <v>12016</v>
      </c>
      <c r="E10757" s="64" t="s">
        <v>3360</v>
      </c>
      <c r="F10757" s="64" t="s">
        <v>15</v>
      </c>
      <c r="G10757" s="64" t="s">
        <v>3017</v>
      </c>
      <c r="H10757" s="64" t="s">
        <v>3300</v>
      </c>
      <c r="I10757" s="64" t="s">
        <v>3361</v>
      </c>
      <c r="J10757" s="67">
        <v>0</v>
      </c>
      <c r="K10757" s="62">
        <v>-12641</v>
      </c>
      <c r="L10757" s="33" t="e">
        <f>HLOOKUP(B10757,#REF!,1,0)</f>
        <v>#REF!</v>
      </c>
      <c r="M10757" s="33" t="str">
        <f t="shared" si="675"/>
        <v>P&amp;L</v>
      </c>
    </row>
    <row r="10758" spans="1:13">
      <c r="A10758" s="33" t="str">
        <f t="shared" si="672"/>
        <v>SCL - Other Income/Expense</v>
      </c>
      <c r="B10758" s="33" t="str">
        <f t="shared" si="673"/>
        <v>SCL</v>
      </c>
      <c r="C10758" s="33" t="str">
        <f t="shared" si="674"/>
        <v>94401-7365</v>
      </c>
      <c r="D10758" s="64" t="s">
        <v>12017</v>
      </c>
      <c r="E10758" s="64" t="s">
        <v>3360</v>
      </c>
      <c r="F10758" s="64" t="s">
        <v>15</v>
      </c>
      <c r="G10758" s="64" t="s">
        <v>3017</v>
      </c>
      <c r="H10758" s="64" t="s">
        <v>3300</v>
      </c>
      <c r="I10758" s="64" t="s">
        <v>3361</v>
      </c>
      <c r="J10758" s="67">
        <v>0</v>
      </c>
      <c r="K10758" s="62">
        <v>-16902.73</v>
      </c>
      <c r="L10758" s="33" t="e">
        <f>HLOOKUP(B10758,#REF!,1,0)</f>
        <v>#REF!</v>
      </c>
      <c r="M10758" s="33" t="str">
        <f t="shared" si="675"/>
        <v>P&amp;L</v>
      </c>
    </row>
    <row r="10759" spans="1:13">
      <c r="A10759" s="33" t="str">
        <f t="shared" si="672"/>
        <v>SCL - Other Income/Expense</v>
      </c>
      <c r="B10759" s="33" t="str">
        <f t="shared" si="673"/>
        <v>SCL</v>
      </c>
      <c r="C10759" s="33" t="str">
        <f t="shared" si="674"/>
        <v>94401-7366</v>
      </c>
      <c r="D10759" s="64" t="s">
        <v>12018</v>
      </c>
      <c r="E10759" s="64" t="s">
        <v>3360</v>
      </c>
      <c r="F10759" s="64" t="s">
        <v>15</v>
      </c>
      <c r="G10759" s="64" t="s">
        <v>3017</v>
      </c>
      <c r="H10759" s="64" t="s">
        <v>3300</v>
      </c>
      <c r="I10759" s="64" t="s">
        <v>3361</v>
      </c>
      <c r="J10759" s="67">
        <v>0</v>
      </c>
      <c r="K10759" s="62">
        <v>-25946.87</v>
      </c>
      <c r="L10759" s="33" t="e">
        <f>HLOOKUP(B10759,#REF!,1,0)</f>
        <v>#REF!</v>
      </c>
      <c r="M10759" s="33" t="str">
        <f t="shared" si="675"/>
        <v>P&amp;L</v>
      </c>
    </row>
    <row r="10760" spans="1:13">
      <c r="A10760" s="33" t="str">
        <f t="shared" si="672"/>
        <v>SCL - Other Income/Expense</v>
      </c>
      <c r="B10760" s="33" t="str">
        <f t="shared" si="673"/>
        <v>SCL</v>
      </c>
      <c r="C10760" s="33" t="str">
        <f t="shared" si="674"/>
        <v>94401-7368</v>
      </c>
      <c r="D10760" s="64" t="s">
        <v>12019</v>
      </c>
      <c r="E10760" s="64" t="s">
        <v>3360</v>
      </c>
      <c r="F10760" s="64" t="s">
        <v>15</v>
      </c>
      <c r="G10760" s="64" t="s">
        <v>3017</v>
      </c>
      <c r="H10760" s="64" t="s">
        <v>3300</v>
      </c>
      <c r="I10760" s="64" t="s">
        <v>3361</v>
      </c>
      <c r="J10760" s="67">
        <v>0</v>
      </c>
      <c r="K10760" s="62">
        <v>-27383.75</v>
      </c>
      <c r="L10760" s="33" t="e">
        <f>HLOOKUP(B10760,#REF!,1,0)</f>
        <v>#REF!</v>
      </c>
      <c r="M10760" s="33" t="str">
        <f t="shared" si="675"/>
        <v>P&amp;L</v>
      </c>
    </row>
    <row r="10761" spans="1:13">
      <c r="A10761" s="33" t="str">
        <f t="shared" si="672"/>
        <v>SCL - Other Income/Expense</v>
      </c>
      <c r="B10761" s="33" t="str">
        <f t="shared" si="673"/>
        <v>SCL</v>
      </c>
      <c r="C10761" s="33" t="str">
        <f t="shared" si="674"/>
        <v>94401-7369</v>
      </c>
      <c r="D10761" s="64" t="s">
        <v>12020</v>
      </c>
      <c r="E10761" s="64" t="s">
        <v>3360</v>
      </c>
      <c r="F10761" s="64" t="s">
        <v>15</v>
      </c>
      <c r="G10761" s="64" t="s">
        <v>3017</v>
      </c>
      <c r="H10761" s="64" t="s">
        <v>3300</v>
      </c>
      <c r="I10761" s="64" t="s">
        <v>3361</v>
      </c>
      <c r="J10761" s="67">
        <v>0</v>
      </c>
      <c r="K10761" s="62">
        <v>-18740.78</v>
      </c>
      <c r="L10761" s="33" t="e">
        <f>HLOOKUP(B10761,#REF!,1,0)</f>
        <v>#REF!</v>
      </c>
      <c r="M10761" s="33" t="str">
        <f t="shared" si="675"/>
        <v>P&amp;L</v>
      </c>
    </row>
    <row r="10762" spans="1:13">
      <c r="A10762" s="33" t="str">
        <f t="shared" si="672"/>
        <v>SCL - Other Income/Expense</v>
      </c>
      <c r="B10762" s="33" t="str">
        <f t="shared" si="673"/>
        <v>SCL</v>
      </c>
      <c r="C10762" s="33" t="str">
        <f t="shared" si="674"/>
        <v>94401-7371</v>
      </c>
      <c r="D10762" s="64" t="s">
        <v>12021</v>
      </c>
      <c r="E10762" s="64" t="s">
        <v>3360</v>
      </c>
      <c r="F10762" s="64" t="s">
        <v>15</v>
      </c>
      <c r="G10762" s="64" t="s">
        <v>3017</v>
      </c>
      <c r="H10762" s="64" t="s">
        <v>3300</v>
      </c>
      <c r="I10762" s="64" t="s">
        <v>3361</v>
      </c>
      <c r="J10762" s="67">
        <v>0</v>
      </c>
      <c r="K10762" s="62">
        <v>-19953.2</v>
      </c>
      <c r="L10762" s="33" t="e">
        <f>HLOOKUP(B10762,#REF!,1,0)</f>
        <v>#REF!</v>
      </c>
      <c r="M10762" s="33" t="str">
        <f t="shared" si="675"/>
        <v>P&amp;L</v>
      </c>
    </row>
    <row r="10763" spans="1:13">
      <c r="A10763" s="33" t="str">
        <f t="shared" si="672"/>
        <v>SCL - Other Income/Expense</v>
      </c>
      <c r="B10763" s="33" t="str">
        <f t="shared" si="673"/>
        <v>SCL</v>
      </c>
      <c r="C10763" s="33" t="str">
        <f t="shared" si="674"/>
        <v>94401-7374</v>
      </c>
      <c r="D10763" s="64" t="s">
        <v>12022</v>
      </c>
      <c r="E10763" s="64" t="s">
        <v>3360</v>
      </c>
      <c r="F10763" s="64" t="s">
        <v>15</v>
      </c>
      <c r="G10763" s="64" t="s">
        <v>3017</v>
      </c>
      <c r="H10763" s="64" t="s">
        <v>3300</v>
      </c>
      <c r="I10763" s="64" t="s">
        <v>3361</v>
      </c>
      <c r="J10763" s="67">
        <v>0</v>
      </c>
      <c r="K10763" s="62">
        <v>-25001.62</v>
      </c>
      <c r="L10763" s="33" t="e">
        <f>HLOOKUP(B10763,#REF!,1,0)</f>
        <v>#REF!</v>
      </c>
      <c r="M10763" s="33" t="str">
        <f t="shared" si="675"/>
        <v>P&amp;L</v>
      </c>
    </row>
    <row r="10764" spans="1:13">
      <c r="A10764" s="33" t="str">
        <f t="shared" si="672"/>
        <v>SCL - Other Income/Expense</v>
      </c>
      <c r="B10764" s="33" t="str">
        <f t="shared" si="673"/>
        <v>SCL</v>
      </c>
      <c r="C10764" s="33" t="str">
        <f t="shared" si="674"/>
        <v>94401-7375</v>
      </c>
      <c r="D10764" s="64" t="s">
        <v>12023</v>
      </c>
      <c r="E10764" s="64" t="s">
        <v>3360</v>
      </c>
      <c r="F10764" s="64" t="s">
        <v>15</v>
      </c>
      <c r="G10764" s="64" t="s">
        <v>3017</v>
      </c>
      <c r="H10764" s="64" t="s">
        <v>3300</v>
      </c>
      <c r="I10764" s="64" t="s">
        <v>3361</v>
      </c>
      <c r="J10764" s="67">
        <v>0</v>
      </c>
      <c r="K10764" s="62">
        <v>-20089.51</v>
      </c>
      <c r="L10764" s="33" t="e">
        <f>HLOOKUP(B10764,#REF!,1,0)</f>
        <v>#REF!</v>
      </c>
      <c r="M10764" s="33" t="str">
        <f t="shared" si="675"/>
        <v>P&amp;L</v>
      </c>
    </row>
    <row r="10765" spans="1:13">
      <c r="A10765" s="33" t="str">
        <f t="shared" si="672"/>
        <v>SCL - Other Income/Expense</v>
      </c>
      <c r="B10765" s="33" t="str">
        <f t="shared" si="673"/>
        <v>SCL</v>
      </c>
      <c r="C10765" s="33" t="str">
        <f t="shared" si="674"/>
        <v>94401-7376</v>
      </c>
      <c r="D10765" s="64" t="s">
        <v>12024</v>
      </c>
      <c r="E10765" s="64" t="s">
        <v>3360</v>
      </c>
      <c r="F10765" s="64" t="s">
        <v>15</v>
      </c>
      <c r="G10765" s="64" t="s">
        <v>3017</v>
      </c>
      <c r="H10765" s="64" t="s">
        <v>3300</v>
      </c>
      <c r="I10765" s="64" t="s">
        <v>3361</v>
      </c>
      <c r="J10765" s="67">
        <v>0</v>
      </c>
      <c r="K10765" s="62">
        <v>-41864.17</v>
      </c>
      <c r="L10765" s="33" t="e">
        <f>HLOOKUP(B10765,#REF!,1,0)</f>
        <v>#REF!</v>
      </c>
      <c r="M10765" s="33" t="str">
        <f t="shared" si="675"/>
        <v>P&amp;L</v>
      </c>
    </row>
    <row r="10766" spans="1:13">
      <c r="A10766" s="33" t="str">
        <f t="shared" si="672"/>
        <v>SCL - Other Income/Expense</v>
      </c>
      <c r="B10766" s="33" t="str">
        <f t="shared" si="673"/>
        <v>SCL</v>
      </c>
      <c r="C10766" s="33" t="str">
        <f t="shared" si="674"/>
        <v>94401-7377</v>
      </c>
      <c r="D10766" s="64" t="s">
        <v>12025</v>
      </c>
      <c r="E10766" s="64" t="s">
        <v>3360</v>
      </c>
      <c r="F10766" s="64" t="s">
        <v>15</v>
      </c>
      <c r="G10766" s="64" t="s">
        <v>3017</v>
      </c>
      <c r="H10766" s="64" t="s">
        <v>3300</v>
      </c>
      <c r="I10766" s="64" t="s">
        <v>3361</v>
      </c>
      <c r="J10766" s="67">
        <v>0</v>
      </c>
      <c r="K10766" s="62">
        <v>-21886.41</v>
      </c>
      <c r="L10766" s="33" t="e">
        <f>HLOOKUP(B10766,#REF!,1,0)</f>
        <v>#REF!</v>
      </c>
      <c r="M10766" s="33" t="str">
        <f t="shared" si="675"/>
        <v>P&amp;L</v>
      </c>
    </row>
    <row r="10767" spans="1:13">
      <c r="A10767" s="33" t="str">
        <f t="shared" si="672"/>
        <v>SCL - Other Income/Expense</v>
      </c>
      <c r="B10767" s="33" t="str">
        <f t="shared" si="673"/>
        <v>SCL</v>
      </c>
      <c r="C10767" s="33" t="str">
        <f t="shared" si="674"/>
        <v>94401-7378</v>
      </c>
      <c r="D10767" s="64" t="s">
        <v>12026</v>
      </c>
      <c r="E10767" s="64" t="s">
        <v>3360</v>
      </c>
      <c r="F10767" s="64" t="s">
        <v>15</v>
      </c>
      <c r="G10767" s="64" t="s">
        <v>3017</v>
      </c>
      <c r="H10767" s="64" t="s">
        <v>3300</v>
      </c>
      <c r="I10767" s="64" t="s">
        <v>3361</v>
      </c>
      <c r="J10767" s="67">
        <v>0</v>
      </c>
      <c r="K10767" s="62">
        <v>-32876.79</v>
      </c>
      <c r="L10767" s="33" t="e">
        <f>HLOOKUP(B10767,#REF!,1,0)</f>
        <v>#REF!</v>
      </c>
      <c r="M10767" s="33" t="str">
        <f t="shared" si="675"/>
        <v>P&amp;L</v>
      </c>
    </row>
    <row r="10768" spans="1:13">
      <c r="A10768" s="33" t="str">
        <f t="shared" si="672"/>
        <v>SCL - Other Income/Expense</v>
      </c>
      <c r="B10768" s="33" t="str">
        <f t="shared" si="673"/>
        <v>SCL</v>
      </c>
      <c r="C10768" s="33" t="str">
        <f t="shared" si="674"/>
        <v>94401-7379</v>
      </c>
      <c r="D10768" s="64" t="s">
        <v>12027</v>
      </c>
      <c r="E10768" s="64" t="s">
        <v>3360</v>
      </c>
      <c r="F10768" s="64" t="s">
        <v>15</v>
      </c>
      <c r="G10768" s="64" t="s">
        <v>3017</v>
      </c>
      <c r="H10768" s="64" t="s">
        <v>3300</v>
      </c>
      <c r="I10768" s="64" t="s">
        <v>3361</v>
      </c>
      <c r="J10768" s="67">
        <v>0</v>
      </c>
      <c r="K10768" s="62">
        <v>-23037.49</v>
      </c>
      <c r="L10768" s="33" t="e">
        <f>HLOOKUP(B10768,#REF!,1,0)</f>
        <v>#REF!</v>
      </c>
      <c r="M10768" s="33" t="str">
        <f t="shared" si="675"/>
        <v>P&amp;L</v>
      </c>
    </row>
    <row r="10769" spans="1:13">
      <c r="A10769" s="33" t="str">
        <f t="shared" si="672"/>
        <v>SCL - Other Income/Expense</v>
      </c>
      <c r="B10769" s="33" t="str">
        <f t="shared" si="673"/>
        <v>SCL</v>
      </c>
      <c r="C10769" s="33" t="str">
        <f t="shared" si="674"/>
        <v>94401-7380</v>
      </c>
      <c r="D10769" s="64" t="s">
        <v>12028</v>
      </c>
      <c r="E10769" s="64" t="s">
        <v>3360</v>
      </c>
      <c r="F10769" s="64" t="s">
        <v>15</v>
      </c>
      <c r="G10769" s="64" t="s">
        <v>3017</v>
      </c>
      <c r="H10769" s="64" t="s">
        <v>3300</v>
      </c>
      <c r="I10769" s="64" t="s">
        <v>3361</v>
      </c>
      <c r="J10769" s="67">
        <v>0</v>
      </c>
      <c r="K10769" s="62">
        <v>-15062.56</v>
      </c>
      <c r="L10769" s="33" t="e">
        <f>HLOOKUP(B10769,#REF!,1,0)</f>
        <v>#REF!</v>
      </c>
      <c r="M10769" s="33" t="str">
        <f t="shared" si="675"/>
        <v>P&amp;L</v>
      </c>
    </row>
    <row r="10770" spans="1:13">
      <c r="A10770" s="33" t="str">
        <f t="shared" si="672"/>
        <v>SCL - Other Income/Expense</v>
      </c>
      <c r="B10770" s="33" t="str">
        <f t="shared" si="673"/>
        <v>SCL</v>
      </c>
      <c r="C10770" s="33" t="str">
        <f t="shared" si="674"/>
        <v>94401-7381</v>
      </c>
      <c r="D10770" s="64" t="s">
        <v>12029</v>
      </c>
      <c r="E10770" s="64" t="s">
        <v>3360</v>
      </c>
      <c r="F10770" s="64" t="s">
        <v>15</v>
      </c>
      <c r="G10770" s="64" t="s">
        <v>3017</v>
      </c>
      <c r="H10770" s="64" t="s">
        <v>3300</v>
      </c>
      <c r="I10770" s="64" t="s">
        <v>3361</v>
      </c>
      <c r="J10770" s="67">
        <v>0</v>
      </c>
      <c r="K10770" s="62">
        <v>-26769.42</v>
      </c>
      <c r="L10770" s="33" t="e">
        <f>HLOOKUP(B10770,#REF!,1,0)</f>
        <v>#REF!</v>
      </c>
      <c r="M10770" s="33" t="str">
        <f t="shared" si="675"/>
        <v>P&amp;L</v>
      </c>
    </row>
    <row r="10771" spans="1:13">
      <c r="A10771" s="33" t="str">
        <f t="shared" si="672"/>
        <v>SCL - Other Income/Expense</v>
      </c>
      <c r="B10771" s="33" t="str">
        <f t="shared" si="673"/>
        <v>SCL</v>
      </c>
      <c r="C10771" s="33" t="str">
        <f t="shared" si="674"/>
        <v>94401-7383</v>
      </c>
      <c r="D10771" s="64" t="s">
        <v>12030</v>
      </c>
      <c r="E10771" s="64" t="s">
        <v>3360</v>
      </c>
      <c r="F10771" s="64" t="s">
        <v>15</v>
      </c>
      <c r="G10771" s="64" t="s">
        <v>3017</v>
      </c>
      <c r="H10771" s="64" t="s">
        <v>3300</v>
      </c>
      <c r="I10771" s="64" t="s">
        <v>3361</v>
      </c>
      <c r="J10771" s="67">
        <v>0</v>
      </c>
      <c r="K10771" s="62">
        <v>-23400.41</v>
      </c>
      <c r="L10771" s="33" t="e">
        <f>HLOOKUP(B10771,#REF!,1,0)</f>
        <v>#REF!</v>
      </c>
      <c r="M10771" s="33" t="str">
        <f t="shared" si="675"/>
        <v>P&amp;L</v>
      </c>
    </row>
    <row r="10772" spans="1:13">
      <c r="A10772" s="33" t="str">
        <f t="shared" si="672"/>
        <v>SCL - Other Income/Expense</v>
      </c>
      <c r="B10772" s="33" t="str">
        <f t="shared" si="673"/>
        <v>SCL</v>
      </c>
      <c r="C10772" s="33" t="str">
        <f t="shared" si="674"/>
        <v>94401-7385</v>
      </c>
      <c r="D10772" s="64" t="s">
        <v>12031</v>
      </c>
      <c r="E10772" s="64" t="s">
        <v>3360</v>
      </c>
      <c r="F10772" s="64" t="s">
        <v>15</v>
      </c>
      <c r="G10772" s="64" t="s">
        <v>3017</v>
      </c>
      <c r="H10772" s="64" t="s">
        <v>3300</v>
      </c>
      <c r="I10772" s="64" t="s">
        <v>3361</v>
      </c>
      <c r="J10772" s="67">
        <v>0</v>
      </c>
      <c r="K10772" s="62">
        <v>-15632.3</v>
      </c>
      <c r="L10772" s="33" t="e">
        <f>HLOOKUP(B10772,#REF!,1,0)</f>
        <v>#REF!</v>
      </c>
      <c r="M10772" s="33" t="str">
        <f t="shared" si="675"/>
        <v>P&amp;L</v>
      </c>
    </row>
    <row r="10773" spans="1:13">
      <c r="A10773" s="33" t="str">
        <f t="shared" si="672"/>
        <v>SCL - Other Income/Expense</v>
      </c>
      <c r="B10773" s="33" t="str">
        <f t="shared" si="673"/>
        <v>SCL</v>
      </c>
      <c r="C10773" s="33" t="str">
        <f t="shared" si="674"/>
        <v>94401-7386</v>
      </c>
      <c r="D10773" s="64" t="s">
        <v>12032</v>
      </c>
      <c r="E10773" s="64" t="s">
        <v>3360</v>
      </c>
      <c r="F10773" s="64" t="s">
        <v>15</v>
      </c>
      <c r="G10773" s="64" t="s">
        <v>3017</v>
      </c>
      <c r="H10773" s="64" t="s">
        <v>3300</v>
      </c>
      <c r="I10773" s="64" t="s">
        <v>3361</v>
      </c>
      <c r="J10773" s="67">
        <v>0</v>
      </c>
      <c r="K10773" s="62">
        <v>-18806.98</v>
      </c>
      <c r="L10773" s="33" t="e">
        <f>HLOOKUP(B10773,#REF!,1,0)</f>
        <v>#REF!</v>
      </c>
      <c r="M10773" s="33" t="str">
        <f t="shared" si="675"/>
        <v>P&amp;L</v>
      </c>
    </row>
    <row r="10774" spans="1:13">
      <c r="A10774" s="33" t="str">
        <f t="shared" si="672"/>
        <v>SCL - Other Income/Expense</v>
      </c>
      <c r="B10774" s="33" t="str">
        <f t="shared" si="673"/>
        <v>SCL</v>
      </c>
      <c r="C10774" s="33" t="str">
        <f t="shared" si="674"/>
        <v>94401-7387</v>
      </c>
      <c r="D10774" s="64" t="s">
        <v>12033</v>
      </c>
      <c r="E10774" s="64" t="s">
        <v>3360</v>
      </c>
      <c r="F10774" s="64" t="s">
        <v>15</v>
      </c>
      <c r="G10774" s="64" t="s">
        <v>3017</v>
      </c>
      <c r="H10774" s="64" t="s">
        <v>3300</v>
      </c>
      <c r="I10774" s="64" t="s">
        <v>3361</v>
      </c>
      <c r="J10774" s="67">
        <v>0</v>
      </c>
      <c r="K10774" s="62">
        <v>-23941.45</v>
      </c>
      <c r="L10774" s="33" t="e">
        <f>HLOOKUP(B10774,#REF!,1,0)</f>
        <v>#REF!</v>
      </c>
      <c r="M10774" s="33" t="str">
        <f t="shared" si="675"/>
        <v>P&amp;L</v>
      </c>
    </row>
    <row r="10775" spans="1:13">
      <c r="A10775" s="33" t="str">
        <f t="shared" si="672"/>
        <v>SCL - Other Income/Expense</v>
      </c>
      <c r="B10775" s="33" t="str">
        <f t="shared" si="673"/>
        <v>SCL</v>
      </c>
      <c r="C10775" s="33" t="str">
        <f t="shared" si="674"/>
        <v>94401-7389</v>
      </c>
      <c r="D10775" s="64" t="s">
        <v>12034</v>
      </c>
      <c r="E10775" s="64" t="s">
        <v>3360</v>
      </c>
      <c r="F10775" s="64" t="s">
        <v>15</v>
      </c>
      <c r="G10775" s="64" t="s">
        <v>3017</v>
      </c>
      <c r="H10775" s="64" t="s">
        <v>3300</v>
      </c>
      <c r="I10775" s="64" t="s">
        <v>3361</v>
      </c>
      <c r="J10775" s="67">
        <v>0</v>
      </c>
      <c r="K10775" s="62">
        <v>-29369.71</v>
      </c>
      <c r="L10775" s="33" t="e">
        <f>HLOOKUP(B10775,#REF!,1,0)</f>
        <v>#REF!</v>
      </c>
      <c r="M10775" s="33" t="str">
        <f t="shared" si="675"/>
        <v>P&amp;L</v>
      </c>
    </row>
    <row r="10776" spans="1:13">
      <c r="A10776" s="33" t="str">
        <f t="shared" si="672"/>
        <v>SCL - Other Income/Expense</v>
      </c>
      <c r="B10776" s="33" t="str">
        <f t="shared" si="673"/>
        <v>SCL</v>
      </c>
      <c r="C10776" s="33" t="str">
        <f t="shared" si="674"/>
        <v>94401-7391</v>
      </c>
      <c r="D10776" s="64" t="s">
        <v>12035</v>
      </c>
      <c r="E10776" s="64" t="s">
        <v>3360</v>
      </c>
      <c r="F10776" s="64" t="s">
        <v>15</v>
      </c>
      <c r="G10776" s="64" t="s">
        <v>3017</v>
      </c>
      <c r="H10776" s="64" t="s">
        <v>3300</v>
      </c>
      <c r="I10776" s="64" t="s">
        <v>3361</v>
      </c>
      <c r="J10776" s="67">
        <v>0</v>
      </c>
      <c r="K10776" s="62">
        <v>-25373.32</v>
      </c>
      <c r="L10776" s="33" t="e">
        <f>HLOOKUP(B10776,#REF!,1,0)</f>
        <v>#REF!</v>
      </c>
      <c r="M10776" s="33" t="str">
        <f t="shared" si="675"/>
        <v>P&amp;L</v>
      </c>
    </row>
    <row r="10777" spans="1:13">
      <c r="A10777" s="33" t="str">
        <f t="shared" si="672"/>
        <v>SCL - Other Income/Expense</v>
      </c>
      <c r="B10777" s="33" t="str">
        <f t="shared" si="673"/>
        <v>SCL</v>
      </c>
      <c r="C10777" s="33" t="str">
        <f t="shared" si="674"/>
        <v>94401-7393</v>
      </c>
      <c r="D10777" s="64" t="s">
        <v>12036</v>
      </c>
      <c r="E10777" s="64" t="s">
        <v>3360</v>
      </c>
      <c r="F10777" s="64" t="s">
        <v>15</v>
      </c>
      <c r="G10777" s="64" t="s">
        <v>3017</v>
      </c>
      <c r="H10777" s="64" t="s">
        <v>3300</v>
      </c>
      <c r="I10777" s="64" t="s">
        <v>3361</v>
      </c>
      <c r="J10777" s="67">
        <v>0</v>
      </c>
      <c r="K10777" s="62">
        <v>-19939.46</v>
      </c>
      <c r="L10777" s="33" t="e">
        <f>HLOOKUP(B10777,#REF!,1,0)</f>
        <v>#REF!</v>
      </c>
      <c r="M10777" s="33" t="str">
        <f t="shared" si="675"/>
        <v>P&amp;L</v>
      </c>
    </row>
    <row r="10778" spans="1:13">
      <c r="A10778" s="33" t="str">
        <f t="shared" si="672"/>
        <v>SCL - Other Income/Expense</v>
      </c>
      <c r="B10778" s="33" t="str">
        <f t="shared" si="673"/>
        <v>SCL</v>
      </c>
      <c r="C10778" s="33" t="str">
        <f t="shared" si="674"/>
        <v>94401-7394</v>
      </c>
      <c r="D10778" s="64" t="s">
        <v>12037</v>
      </c>
      <c r="E10778" s="64" t="s">
        <v>3360</v>
      </c>
      <c r="F10778" s="64" t="s">
        <v>15</v>
      </c>
      <c r="G10778" s="64" t="s">
        <v>3017</v>
      </c>
      <c r="H10778" s="64" t="s">
        <v>3300</v>
      </c>
      <c r="I10778" s="64" t="s">
        <v>3361</v>
      </c>
      <c r="J10778" s="67">
        <v>0</v>
      </c>
      <c r="K10778" s="62">
        <v>-18817.86</v>
      </c>
      <c r="L10778" s="33" t="e">
        <f>HLOOKUP(B10778,#REF!,1,0)</f>
        <v>#REF!</v>
      </c>
      <c r="M10778" s="33" t="str">
        <f t="shared" si="675"/>
        <v>P&amp;L</v>
      </c>
    </row>
    <row r="10779" spans="1:13">
      <c r="A10779" s="33" t="str">
        <f t="shared" si="672"/>
        <v>SCL - Other Income/Expense</v>
      </c>
      <c r="B10779" s="33" t="str">
        <f t="shared" si="673"/>
        <v>SCL</v>
      </c>
      <c r="C10779" s="33" t="str">
        <f t="shared" si="674"/>
        <v>94401-7396</v>
      </c>
      <c r="D10779" s="64" t="s">
        <v>12038</v>
      </c>
      <c r="E10779" s="64" t="s">
        <v>3360</v>
      </c>
      <c r="F10779" s="64" t="s">
        <v>15</v>
      </c>
      <c r="G10779" s="64" t="s">
        <v>3017</v>
      </c>
      <c r="H10779" s="64" t="s">
        <v>3300</v>
      </c>
      <c r="I10779" s="64" t="s">
        <v>3361</v>
      </c>
      <c r="J10779" s="67">
        <v>0</v>
      </c>
      <c r="K10779" s="62">
        <v>-20784.76</v>
      </c>
      <c r="L10779" s="33" t="e">
        <f>HLOOKUP(B10779,#REF!,1,0)</f>
        <v>#REF!</v>
      </c>
      <c r="M10779" s="33" t="str">
        <f t="shared" si="675"/>
        <v>P&amp;L</v>
      </c>
    </row>
    <row r="10780" spans="1:13">
      <c r="A10780" s="33" t="str">
        <f t="shared" si="672"/>
        <v>SCL - Other Income/Expense</v>
      </c>
      <c r="B10780" s="33" t="str">
        <f t="shared" si="673"/>
        <v>SCL</v>
      </c>
      <c r="C10780" s="33" t="str">
        <f t="shared" si="674"/>
        <v>94401-7397</v>
      </c>
      <c r="D10780" s="64" t="s">
        <v>12039</v>
      </c>
      <c r="E10780" s="64" t="s">
        <v>3360</v>
      </c>
      <c r="F10780" s="64" t="s">
        <v>15</v>
      </c>
      <c r="G10780" s="64" t="s">
        <v>3017</v>
      </c>
      <c r="H10780" s="64" t="s">
        <v>3300</v>
      </c>
      <c r="I10780" s="64" t="s">
        <v>3361</v>
      </c>
      <c r="J10780" s="67">
        <v>0</v>
      </c>
      <c r="K10780" s="62">
        <v>-20612.3</v>
      </c>
      <c r="L10780" s="33" t="e">
        <f>HLOOKUP(B10780,#REF!,1,0)</f>
        <v>#REF!</v>
      </c>
      <c r="M10780" s="33" t="str">
        <f t="shared" si="675"/>
        <v>P&amp;L</v>
      </c>
    </row>
    <row r="10781" spans="1:13">
      <c r="A10781" s="33" t="str">
        <f t="shared" si="672"/>
        <v>SCL - Other Income/Expense</v>
      </c>
      <c r="B10781" s="33" t="str">
        <f t="shared" si="673"/>
        <v>SCL</v>
      </c>
      <c r="C10781" s="33" t="str">
        <f t="shared" si="674"/>
        <v>94401-7398</v>
      </c>
      <c r="D10781" s="64" t="s">
        <v>12040</v>
      </c>
      <c r="E10781" s="64" t="s">
        <v>3360</v>
      </c>
      <c r="F10781" s="64" t="s">
        <v>15</v>
      </c>
      <c r="G10781" s="64" t="s">
        <v>3017</v>
      </c>
      <c r="H10781" s="64" t="s">
        <v>3300</v>
      </c>
      <c r="I10781" s="64" t="s">
        <v>3361</v>
      </c>
      <c r="J10781" s="67">
        <v>0</v>
      </c>
      <c r="K10781" s="62">
        <v>-20674.64</v>
      </c>
      <c r="L10781" s="33" t="e">
        <f>HLOOKUP(B10781,#REF!,1,0)</f>
        <v>#REF!</v>
      </c>
      <c r="M10781" s="33" t="str">
        <f t="shared" si="675"/>
        <v>P&amp;L</v>
      </c>
    </row>
    <row r="10782" spans="1:13">
      <c r="A10782" s="33" t="str">
        <f t="shared" si="672"/>
        <v>SCL - Other Income/Expense</v>
      </c>
      <c r="B10782" s="33" t="str">
        <f t="shared" si="673"/>
        <v>SCL</v>
      </c>
      <c r="C10782" s="33" t="str">
        <f t="shared" si="674"/>
        <v>94401-7400</v>
      </c>
      <c r="D10782" s="64" t="s">
        <v>12041</v>
      </c>
      <c r="E10782" s="64" t="s">
        <v>3360</v>
      </c>
      <c r="F10782" s="64" t="s">
        <v>15</v>
      </c>
      <c r="G10782" s="64" t="s">
        <v>3017</v>
      </c>
      <c r="H10782" s="64" t="s">
        <v>3300</v>
      </c>
      <c r="I10782" s="64" t="s">
        <v>3361</v>
      </c>
      <c r="J10782" s="67">
        <v>0</v>
      </c>
      <c r="K10782" s="62">
        <v>-20017.64</v>
      </c>
      <c r="L10782" s="33" t="e">
        <f>HLOOKUP(B10782,#REF!,1,0)</f>
        <v>#REF!</v>
      </c>
      <c r="M10782" s="33" t="str">
        <f t="shared" si="675"/>
        <v>P&amp;L</v>
      </c>
    </row>
    <row r="10783" spans="1:13">
      <c r="A10783" s="33" t="str">
        <f t="shared" si="672"/>
        <v>SCL - Other Income/Expense</v>
      </c>
      <c r="B10783" s="33" t="str">
        <f t="shared" si="673"/>
        <v>SCL</v>
      </c>
      <c r="C10783" s="33" t="str">
        <f t="shared" si="674"/>
        <v>94401-7401</v>
      </c>
      <c r="D10783" s="64" t="s">
        <v>12042</v>
      </c>
      <c r="E10783" s="64" t="s">
        <v>3360</v>
      </c>
      <c r="F10783" s="64" t="s">
        <v>15</v>
      </c>
      <c r="G10783" s="64" t="s">
        <v>3017</v>
      </c>
      <c r="H10783" s="64" t="s">
        <v>3300</v>
      </c>
      <c r="I10783" s="64" t="s">
        <v>3361</v>
      </c>
      <c r="J10783" s="67">
        <v>0</v>
      </c>
      <c r="K10783" s="62">
        <v>-19109.73</v>
      </c>
      <c r="L10783" s="33" t="e">
        <f>HLOOKUP(B10783,#REF!,1,0)</f>
        <v>#REF!</v>
      </c>
      <c r="M10783" s="33" t="str">
        <f t="shared" si="675"/>
        <v>P&amp;L</v>
      </c>
    </row>
    <row r="10784" spans="1:13">
      <c r="A10784" s="33" t="str">
        <f t="shared" si="672"/>
        <v>SCL - Other Income/Expense</v>
      </c>
      <c r="B10784" s="33" t="str">
        <f t="shared" si="673"/>
        <v>SCL</v>
      </c>
      <c r="C10784" s="33" t="str">
        <f t="shared" si="674"/>
        <v>94401-7402</v>
      </c>
      <c r="D10784" s="64" t="s">
        <v>12043</v>
      </c>
      <c r="E10784" s="64" t="s">
        <v>3360</v>
      </c>
      <c r="F10784" s="64" t="s">
        <v>15</v>
      </c>
      <c r="G10784" s="64" t="s">
        <v>3017</v>
      </c>
      <c r="H10784" s="64" t="s">
        <v>3300</v>
      </c>
      <c r="I10784" s="64" t="s">
        <v>3361</v>
      </c>
      <c r="J10784" s="67">
        <v>0</v>
      </c>
      <c r="K10784" s="62">
        <v>-25056.39</v>
      </c>
      <c r="L10784" s="33" t="e">
        <f>HLOOKUP(B10784,#REF!,1,0)</f>
        <v>#REF!</v>
      </c>
      <c r="M10784" s="33" t="str">
        <f t="shared" si="675"/>
        <v>P&amp;L</v>
      </c>
    </row>
    <row r="10785" spans="1:13">
      <c r="A10785" s="33" t="str">
        <f t="shared" si="672"/>
        <v>SCL - Other Income/Expense</v>
      </c>
      <c r="B10785" s="33" t="str">
        <f t="shared" si="673"/>
        <v>SCL</v>
      </c>
      <c r="C10785" s="33" t="str">
        <f t="shared" si="674"/>
        <v>94401-7403</v>
      </c>
      <c r="D10785" s="64" t="s">
        <v>12044</v>
      </c>
      <c r="E10785" s="64" t="s">
        <v>3360</v>
      </c>
      <c r="F10785" s="64" t="s">
        <v>15</v>
      </c>
      <c r="G10785" s="64" t="s">
        <v>3017</v>
      </c>
      <c r="H10785" s="64" t="s">
        <v>3300</v>
      </c>
      <c r="I10785" s="64" t="s">
        <v>3361</v>
      </c>
      <c r="J10785" s="67">
        <v>0</v>
      </c>
      <c r="K10785" s="62">
        <v>-25136.68</v>
      </c>
      <c r="L10785" s="33" t="e">
        <f>HLOOKUP(B10785,#REF!,1,0)</f>
        <v>#REF!</v>
      </c>
      <c r="M10785" s="33" t="str">
        <f t="shared" si="675"/>
        <v>P&amp;L</v>
      </c>
    </row>
    <row r="10786" spans="1:13">
      <c r="A10786" s="33" t="str">
        <f t="shared" si="672"/>
        <v>SCL - Other Income/Expense</v>
      </c>
      <c r="B10786" s="33" t="str">
        <f t="shared" si="673"/>
        <v>SCL</v>
      </c>
      <c r="C10786" s="33" t="str">
        <f t="shared" si="674"/>
        <v>94401-7406</v>
      </c>
      <c r="D10786" s="64" t="s">
        <v>12045</v>
      </c>
      <c r="E10786" s="64" t="s">
        <v>3360</v>
      </c>
      <c r="F10786" s="64" t="s">
        <v>15</v>
      </c>
      <c r="G10786" s="64" t="s">
        <v>3017</v>
      </c>
      <c r="H10786" s="64" t="s">
        <v>3300</v>
      </c>
      <c r="I10786" s="64" t="s">
        <v>3361</v>
      </c>
      <c r="J10786" s="67">
        <v>0</v>
      </c>
      <c r="K10786" s="62">
        <v>2079</v>
      </c>
      <c r="L10786" s="33" t="e">
        <f>HLOOKUP(B10786,#REF!,1,0)</f>
        <v>#REF!</v>
      </c>
      <c r="M10786" s="33" t="str">
        <f t="shared" si="675"/>
        <v>P&amp;L</v>
      </c>
    </row>
    <row r="10787" spans="1:13">
      <c r="A10787" s="33" t="str">
        <f t="shared" si="672"/>
        <v>SCL - Other Income/Expense</v>
      </c>
      <c r="B10787" s="33" t="str">
        <f t="shared" si="673"/>
        <v>SCL</v>
      </c>
      <c r="C10787" s="33" t="str">
        <f t="shared" si="674"/>
        <v>94401-7489</v>
      </c>
      <c r="D10787" s="64" t="s">
        <v>12046</v>
      </c>
      <c r="E10787" s="64" t="s">
        <v>3360</v>
      </c>
      <c r="F10787" s="64" t="s">
        <v>15</v>
      </c>
      <c r="G10787" s="64" t="s">
        <v>3017</v>
      </c>
      <c r="H10787" s="64" t="s">
        <v>3300</v>
      </c>
      <c r="I10787" s="64" t="s">
        <v>3361</v>
      </c>
      <c r="J10787" s="67">
        <v>0</v>
      </c>
      <c r="K10787" s="62">
        <v>-29653.38</v>
      </c>
      <c r="L10787" s="33" t="e">
        <f>HLOOKUP(B10787,#REF!,1,0)</f>
        <v>#REF!</v>
      </c>
      <c r="M10787" s="33" t="str">
        <f t="shared" si="675"/>
        <v>P&amp;L</v>
      </c>
    </row>
    <row r="10788" spans="1:13">
      <c r="A10788" s="33" t="str">
        <f t="shared" si="672"/>
        <v>SCL - Other Income/Expense</v>
      </c>
      <c r="B10788" s="33" t="str">
        <f t="shared" si="673"/>
        <v>SCL</v>
      </c>
      <c r="C10788" s="33" t="str">
        <f t="shared" si="674"/>
        <v>94401-7491</v>
      </c>
      <c r="D10788" s="64" t="s">
        <v>12047</v>
      </c>
      <c r="E10788" s="64" t="s">
        <v>3360</v>
      </c>
      <c r="F10788" s="64" t="s">
        <v>15</v>
      </c>
      <c r="G10788" s="64" t="s">
        <v>3017</v>
      </c>
      <c r="H10788" s="64" t="s">
        <v>3300</v>
      </c>
      <c r="I10788" s="64" t="s">
        <v>3361</v>
      </c>
      <c r="J10788" s="67">
        <v>0</v>
      </c>
      <c r="K10788" s="62">
        <v>-18419.34</v>
      </c>
      <c r="L10788" s="33" t="e">
        <f>HLOOKUP(B10788,#REF!,1,0)</f>
        <v>#REF!</v>
      </c>
      <c r="M10788" s="33" t="str">
        <f t="shared" si="675"/>
        <v>P&amp;L</v>
      </c>
    </row>
    <row r="10789" spans="1:13">
      <c r="A10789" s="33" t="str">
        <f t="shared" si="672"/>
        <v>SCL - Other Income/Expense</v>
      </c>
      <c r="B10789" s="33" t="str">
        <f t="shared" si="673"/>
        <v>SCL</v>
      </c>
      <c r="C10789" s="33" t="str">
        <f t="shared" si="674"/>
        <v>94401-7492</v>
      </c>
      <c r="D10789" s="64" t="s">
        <v>12048</v>
      </c>
      <c r="E10789" s="64" t="s">
        <v>3360</v>
      </c>
      <c r="F10789" s="64" t="s">
        <v>15</v>
      </c>
      <c r="G10789" s="64" t="s">
        <v>3017</v>
      </c>
      <c r="H10789" s="64" t="s">
        <v>3300</v>
      </c>
      <c r="I10789" s="64" t="s">
        <v>3361</v>
      </c>
      <c r="J10789" s="67">
        <v>0</v>
      </c>
      <c r="K10789" s="62">
        <v>-21126.75</v>
      </c>
      <c r="L10789" s="33" t="e">
        <f>HLOOKUP(B10789,#REF!,1,0)</f>
        <v>#REF!</v>
      </c>
      <c r="M10789" s="33" t="str">
        <f t="shared" si="675"/>
        <v>P&amp;L</v>
      </c>
    </row>
    <row r="10790" spans="1:13">
      <c r="A10790" s="33" t="str">
        <f t="shared" si="672"/>
        <v>SCL - Other Income/Expense</v>
      </c>
      <c r="B10790" s="33" t="str">
        <f t="shared" si="673"/>
        <v>SCL</v>
      </c>
      <c r="C10790" s="33" t="str">
        <f t="shared" si="674"/>
        <v>94401-7493</v>
      </c>
      <c r="D10790" s="64" t="s">
        <v>12049</v>
      </c>
      <c r="E10790" s="64" t="s">
        <v>3360</v>
      </c>
      <c r="F10790" s="64" t="s">
        <v>15</v>
      </c>
      <c r="G10790" s="64" t="s">
        <v>3017</v>
      </c>
      <c r="H10790" s="64" t="s">
        <v>3300</v>
      </c>
      <c r="I10790" s="64" t="s">
        <v>3361</v>
      </c>
      <c r="J10790" s="67">
        <v>0</v>
      </c>
      <c r="K10790" s="62">
        <v>-27989.42</v>
      </c>
      <c r="L10790" s="33" t="e">
        <f>HLOOKUP(B10790,#REF!,1,0)</f>
        <v>#REF!</v>
      </c>
      <c r="M10790" s="33" t="str">
        <f t="shared" si="675"/>
        <v>P&amp;L</v>
      </c>
    </row>
    <row r="10791" spans="1:13">
      <c r="A10791" s="33" t="str">
        <f t="shared" si="672"/>
        <v>SCL - Other Income/Expense</v>
      </c>
      <c r="B10791" s="33" t="str">
        <f t="shared" si="673"/>
        <v>SCL</v>
      </c>
      <c r="C10791" s="33" t="str">
        <f t="shared" si="674"/>
        <v>94401-7494</v>
      </c>
      <c r="D10791" s="64" t="s">
        <v>12050</v>
      </c>
      <c r="E10791" s="64" t="s">
        <v>3360</v>
      </c>
      <c r="F10791" s="64" t="s">
        <v>15</v>
      </c>
      <c r="G10791" s="64" t="s">
        <v>3017</v>
      </c>
      <c r="H10791" s="64" t="s">
        <v>3300</v>
      </c>
      <c r="I10791" s="64" t="s">
        <v>3361</v>
      </c>
      <c r="J10791" s="67">
        <v>0</v>
      </c>
      <c r="K10791" s="62">
        <v>-21770.66</v>
      </c>
      <c r="L10791" s="33" t="e">
        <f>HLOOKUP(B10791,#REF!,1,0)</f>
        <v>#REF!</v>
      </c>
      <c r="M10791" s="33" t="str">
        <f t="shared" si="675"/>
        <v>P&amp;L</v>
      </c>
    </row>
    <row r="10792" spans="1:13">
      <c r="A10792" s="33" t="str">
        <f t="shared" si="672"/>
        <v>SCL - Other Income/Expense</v>
      </c>
      <c r="B10792" s="33" t="str">
        <f t="shared" si="673"/>
        <v>SCL</v>
      </c>
      <c r="C10792" s="33" t="str">
        <f t="shared" si="674"/>
        <v>94401-7625</v>
      </c>
      <c r="D10792" s="64" t="s">
        <v>12051</v>
      </c>
      <c r="E10792" s="64" t="s">
        <v>3360</v>
      </c>
      <c r="F10792" s="64" t="s">
        <v>15</v>
      </c>
      <c r="G10792" s="64" t="s">
        <v>3017</v>
      </c>
      <c r="H10792" s="64" t="s">
        <v>3300</v>
      </c>
      <c r="I10792" s="64" t="s">
        <v>3361</v>
      </c>
      <c r="J10792" s="67">
        <v>0</v>
      </c>
      <c r="K10792" s="62">
        <v>-27203.83</v>
      </c>
      <c r="L10792" s="33" t="e">
        <f>HLOOKUP(B10792,#REF!,1,0)</f>
        <v>#REF!</v>
      </c>
      <c r="M10792" s="33" t="str">
        <f t="shared" si="675"/>
        <v>P&amp;L</v>
      </c>
    </row>
    <row r="10793" spans="1:13">
      <c r="A10793" s="33" t="str">
        <f t="shared" si="672"/>
        <v>SCL - Other Income/Expense</v>
      </c>
      <c r="B10793" s="33" t="str">
        <f t="shared" si="673"/>
        <v>SCL</v>
      </c>
      <c r="C10793" s="33" t="str">
        <f t="shared" si="674"/>
        <v>94401-8150</v>
      </c>
      <c r="D10793" s="64" t="s">
        <v>12052</v>
      </c>
      <c r="E10793" s="64" t="s">
        <v>3360</v>
      </c>
      <c r="F10793" s="64" t="s">
        <v>15</v>
      </c>
      <c r="G10793" s="64" t="s">
        <v>3017</v>
      </c>
      <c r="H10793" s="64" t="s">
        <v>3300</v>
      </c>
      <c r="I10793" s="64" t="s">
        <v>3361</v>
      </c>
      <c r="J10793" s="67">
        <v>0</v>
      </c>
      <c r="K10793" s="62">
        <v>-23840.24</v>
      </c>
      <c r="L10793" s="33" t="e">
        <f>HLOOKUP(B10793,#REF!,1,0)</f>
        <v>#REF!</v>
      </c>
      <c r="M10793" s="33" t="str">
        <f t="shared" si="675"/>
        <v>P&amp;L</v>
      </c>
    </row>
    <row r="10794" spans="1:13">
      <c r="A10794" s="33" t="str">
        <f t="shared" si="672"/>
        <v>SCL - Other Income/Expense</v>
      </c>
      <c r="B10794" s="33" t="str">
        <f t="shared" si="673"/>
        <v>SCL</v>
      </c>
      <c r="C10794" s="33" t="str">
        <f t="shared" si="674"/>
        <v>94501-7360</v>
      </c>
      <c r="D10794" s="64" t="s">
        <v>12053</v>
      </c>
      <c r="E10794" s="64" t="s">
        <v>12054</v>
      </c>
      <c r="F10794" s="64" t="s">
        <v>15</v>
      </c>
      <c r="G10794" s="64" t="s">
        <v>3017</v>
      </c>
      <c r="H10794" s="64" t="s">
        <v>3300</v>
      </c>
      <c r="I10794" s="64" t="s">
        <v>12055</v>
      </c>
      <c r="J10794" s="67">
        <v>0</v>
      </c>
      <c r="K10794" s="62">
        <v>2544.06</v>
      </c>
      <c r="L10794" s="33" t="e">
        <f>HLOOKUP(B10794,#REF!,1,0)</f>
        <v>#REF!</v>
      </c>
      <c r="M10794" s="33" t="str">
        <f t="shared" si="675"/>
        <v>P&amp;L</v>
      </c>
    </row>
    <row r="10795" spans="1:13">
      <c r="A10795" s="33" t="str">
        <f t="shared" si="672"/>
        <v>SCL - Other Income/Expense</v>
      </c>
      <c r="B10795" s="33" t="str">
        <f t="shared" si="673"/>
        <v>SCL</v>
      </c>
      <c r="C10795" s="33" t="str">
        <f t="shared" si="674"/>
        <v>94501-7362</v>
      </c>
      <c r="D10795" s="64" t="s">
        <v>12056</v>
      </c>
      <c r="E10795" s="64" t="s">
        <v>12054</v>
      </c>
      <c r="F10795" s="64" t="s">
        <v>15</v>
      </c>
      <c r="G10795" s="64" t="s">
        <v>3017</v>
      </c>
      <c r="H10795" s="64" t="s">
        <v>3300</v>
      </c>
      <c r="I10795" s="64" t="s">
        <v>12055</v>
      </c>
      <c r="J10795" s="67">
        <v>0</v>
      </c>
      <c r="K10795" s="62">
        <v>2417.94</v>
      </c>
      <c r="L10795" s="33" t="e">
        <f>HLOOKUP(B10795,#REF!,1,0)</f>
        <v>#REF!</v>
      </c>
      <c r="M10795" s="33" t="str">
        <f t="shared" si="675"/>
        <v>P&amp;L</v>
      </c>
    </row>
    <row r="10796" spans="1:13">
      <c r="A10796" s="33" t="str">
        <f t="shared" si="672"/>
        <v>SCL - Other Income/Expense</v>
      </c>
      <c r="B10796" s="33" t="str">
        <f t="shared" si="673"/>
        <v>SCL</v>
      </c>
      <c r="C10796" s="33" t="str">
        <f t="shared" si="674"/>
        <v>94501-7492</v>
      </c>
      <c r="D10796" s="64" t="s">
        <v>12057</v>
      </c>
      <c r="E10796" s="64" t="s">
        <v>12054</v>
      </c>
      <c r="F10796" s="64" t="s">
        <v>15</v>
      </c>
      <c r="G10796" s="64" t="s">
        <v>3017</v>
      </c>
      <c r="H10796" s="64" t="s">
        <v>3300</v>
      </c>
      <c r="I10796" s="64" t="s">
        <v>12055</v>
      </c>
      <c r="J10796" s="67">
        <v>0</v>
      </c>
      <c r="K10796" s="62">
        <v>3198.38</v>
      </c>
      <c r="L10796" s="33" t="e">
        <f>HLOOKUP(B10796,#REF!,1,0)</f>
        <v>#REF!</v>
      </c>
      <c r="M10796" s="33" t="str">
        <f t="shared" si="675"/>
        <v>P&amp;L</v>
      </c>
    </row>
    <row r="10797" spans="1:13">
      <c r="A10797" s="33" t="str">
        <f t="shared" si="672"/>
        <v>SCL - Other Income/Expense</v>
      </c>
      <c r="B10797" s="33" t="str">
        <f t="shared" si="673"/>
        <v>SCL</v>
      </c>
      <c r="C10797" s="33" t="str">
        <f t="shared" si="674"/>
        <v>95001-0000</v>
      </c>
      <c r="D10797" s="64" t="s">
        <v>12058</v>
      </c>
      <c r="E10797" s="64" t="s">
        <v>3236</v>
      </c>
      <c r="F10797" s="64" t="s">
        <v>15</v>
      </c>
      <c r="G10797" s="64" t="s">
        <v>3017</v>
      </c>
      <c r="H10797" s="64" t="s">
        <v>3300</v>
      </c>
      <c r="I10797" s="64" t="s">
        <v>3237</v>
      </c>
      <c r="J10797" s="67">
        <v>0</v>
      </c>
      <c r="K10797" s="62">
        <v>268.94</v>
      </c>
      <c r="L10797" s="33" t="e">
        <f>HLOOKUP(B10797,#REF!,1,0)</f>
        <v>#REF!</v>
      </c>
      <c r="M10797" s="33" t="str">
        <f t="shared" si="675"/>
        <v>P&amp;L</v>
      </c>
    </row>
    <row r="10798" spans="1:13">
      <c r="A10798" s="33" t="str">
        <f t="shared" si="672"/>
        <v>SCL - Other Income/Expense</v>
      </c>
      <c r="B10798" s="33" t="str">
        <f t="shared" si="673"/>
        <v>SCL</v>
      </c>
      <c r="C10798" s="33" t="str">
        <f t="shared" si="674"/>
        <v>95201-0000</v>
      </c>
      <c r="D10798" s="64" t="s">
        <v>12059</v>
      </c>
      <c r="E10798" s="64" t="s">
        <v>3367</v>
      </c>
      <c r="F10798" s="64" t="s">
        <v>15</v>
      </c>
      <c r="G10798" s="64" t="s">
        <v>3017</v>
      </c>
      <c r="H10798" s="64" t="s">
        <v>3300</v>
      </c>
      <c r="I10798" s="64" t="s">
        <v>3368</v>
      </c>
      <c r="J10798" s="67">
        <v>369.22</v>
      </c>
      <c r="K10798" s="62">
        <v>39350.85</v>
      </c>
      <c r="L10798" s="33" t="e">
        <f>HLOOKUP(B10798,#REF!,1,0)</f>
        <v>#REF!</v>
      </c>
      <c r="M10798" s="33" t="str">
        <f t="shared" si="675"/>
        <v>P&amp;L</v>
      </c>
    </row>
    <row r="10799" spans="1:13">
      <c r="A10799" s="33" t="str">
        <f t="shared" si="672"/>
        <v>SCL - Other Income/Expense</v>
      </c>
      <c r="B10799" s="33" t="str">
        <f t="shared" si="673"/>
        <v>SCL</v>
      </c>
      <c r="C10799" s="33" t="str">
        <f t="shared" si="674"/>
        <v>95201-7362</v>
      </c>
      <c r="D10799" s="64" t="s">
        <v>12060</v>
      </c>
      <c r="E10799" s="64" t="s">
        <v>3367</v>
      </c>
      <c r="F10799" s="64" t="s">
        <v>15</v>
      </c>
      <c r="G10799" s="64" t="s">
        <v>3017</v>
      </c>
      <c r="H10799" s="64" t="s">
        <v>3300</v>
      </c>
      <c r="I10799" s="64" t="s">
        <v>3368</v>
      </c>
      <c r="J10799" s="67">
        <v>0</v>
      </c>
      <c r="K10799" s="62">
        <v>61.5</v>
      </c>
      <c r="L10799" s="33" t="e">
        <f>HLOOKUP(B10799,#REF!,1,0)</f>
        <v>#REF!</v>
      </c>
      <c r="M10799" s="33" t="str">
        <f t="shared" si="675"/>
        <v>P&amp;L</v>
      </c>
    </row>
    <row r="10800" spans="1:13">
      <c r="A10800" s="33" t="str">
        <f t="shared" si="672"/>
        <v>SCL - Other Income/Expense</v>
      </c>
      <c r="B10800" s="33" t="str">
        <f t="shared" si="673"/>
        <v>SCL</v>
      </c>
      <c r="C10800" s="33" t="str">
        <f t="shared" si="674"/>
        <v>95201-7380</v>
      </c>
      <c r="D10800" s="64" t="s">
        <v>12061</v>
      </c>
      <c r="E10800" s="64" t="s">
        <v>3367</v>
      </c>
      <c r="F10800" s="64" t="s">
        <v>15</v>
      </c>
      <c r="G10800" s="64" t="s">
        <v>3017</v>
      </c>
      <c r="H10800" s="64" t="s">
        <v>3300</v>
      </c>
      <c r="I10800" s="64" t="s">
        <v>3368</v>
      </c>
      <c r="J10800" s="67">
        <v>0</v>
      </c>
      <c r="K10800" s="62">
        <v>24</v>
      </c>
      <c r="L10800" s="33" t="e">
        <f>HLOOKUP(B10800,#REF!,1,0)</f>
        <v>#REF!</v>
      </c>
      <c r="M10800" s="33" t="str">
        <f t="shared" si="675"/>
        <v>P&amp;L</v>
      </c>
    </row>
    <row r="10801" spans="1:13">
      <c r="A10801" s="33" t="str">
        <f t="shared" si="672"/>
        <v>SCL - Other Income/Expense</v>
      </c>
      <c r="B10801" s="33" t="str">
        <f t="shared" si="673"/>
        <v>SCL</v>
      </c>
      <c r="C10801" s="33" t="str">
        <f t="shared" si="674"/>
        <v>95201-7386</v>
      </c>
      <c r="D10801" s="64" t="s">
        <v>12062</v>
      </c>
      <c r="E10801" s="64" t="s">
        <v>3367</v>
      </c>
      <c r="F10801" s="64" t="s">
        <v>15</v>
      </c>
      <c r="G10801" s="64" t="s">
        <v>3017</v>
      </c>
      <c r="H10801" s="64" t="s">
        <v>3300</v>
      </c>
      <c r="I10801" s="64" t="s">
        <v>3368</v>
      </c>
      <c r="J10801" s="67">
        <v>0</v>
      </c>
      <c r="K10801" s="62">
        <v>61.5</v>
      </c>
      <c r="L10801" s="33" t="e">
        <f>HLOOKUP(B10801,#REF!,1,0)</f>
        <v>#REF!</v>
      </c>
      <c r="M10801" s="33" t="str">
        <f t="shared" si="675"/>
        <v>P&amp;L</v>
      </c>
    </row>
    <row r="10802" spans="1:13">
      <c r="A10802" s="33" t="str">
        <f t="shared" si="672"/>
        <v>SCL - Other Income/Expense</v>
      </c>
      <c r="B10802" s="33" t="str">
        <f t="shared" si="673"/>
        <v>SCL</v>
      </c>
      <c r="C10802" s="33" t="str">
        <f t="shared" si="674"/>
        <v>95201-7393</v>
      </c>
      <c r="D10802" s="64" t="s">
        <v>12063</v>
      </c>
      <c r="E10802" s="64" t="s">
        <v>3367</v>
      </c>
      <c r="F10802" s="64" t="s">
        <v>15</v>
      </c>
      <c r="G10802" s="64" t="s">
        <v>3017</v>
      </c>
      <c r="H10802" s="64" t="s">
        <v>3300</v>
      </c>
      <c r="I10802" s="64" t="s">
        <v>3368</v>
      </c>
      <c r="J10802" s="67">
        <v>0</v>
      </c>
      <c r="K10802" s="62">
        <v>10.5</v>
      </c>
      <c r="L10802" s="33" t="e">
        <f>HLOOKUP(B10802,#REF!,1,0)</f>
        <v>#REF!</v>
      </c>
      <c r="M10802" s="33" t="str">
        <f t="shared" si="675"/>
        <v>P&amp;L</v>
      </c>
    </row>
    <row r="10803" spans="1:13">
      <c r="A10803" s="33" t="str">
        <f t="shared" si="672"/>
        <v>SCL - Other Income/Expense</v>
      </c>
      <c r="B10803" s="33" t="str">
        <f t="shared" si="673"/>
        <v>SCL</v>
      </c>
      <c r="C10803" s="33" t="str">
        <f t="shared" si="674"/>
        <v>95201-7396</v>
      </c>
      <c r="D10803" s="64" t="s">
        <v>12064</v>
      </c>
      <c r="E10803" s="64" t="s">
        <v>3367</v>
      </c>
      <c r="F10803" s="64" t="s">
        <v>15</v>
      </c>
      <c r="G10803" s="64" t="s">
        <v>3017</v>
      </c>
      <c r="H10803" s="64" t="s">
        <v>3300</v>
      </c>
      <c r="I10803" s="64" t="s">
        <v>3368</v>
      </c>
      <c r="J10803" s="67">
        <v>0</v>
      </c>
      <c r="K10803" s="62">
        <v>61.5</v>
      </c>
      <c r="L10803" s="33" t="e">
        <f>HLOOKUP(B10803,#REF!,1,0)</f>
        <v>#REF!</v>
      </c>
      <c r="M10803" s="33" t="str">
        <f t="shared" si="675"/>
        <v>P&amp;L</v>
      </c>
    </row>
    <row r="10804" spans="1:13">
      <c r="A10804" s="33" t="str">
        <f t="shared" si="672"/>
        <v>SCL - Other Income/Expense</v>
      </c>
      <c r="B10804" s="33" t="str">
        <f t="shared" si="673"/>
        <v>SCL</v>
      </c>
      <c r="C10804" s="33" t="str">
        <f t="shared" si="674"/>
        <v>99001-0000</v>
      </c>
      <c r="D10804" s="64" t="s">
        <v>12065</v>
      </c>
      <c r="E10804" s="64" t="s">
        <v>3370</v>
      </c>
      <c r="F10804" s="64" t="s">
        <v>15</v>
      </c>
      <c r="G10804" s="64" t="s">
        <v>3017</v>
      </c>
      <c r="H10804" s="64" t="s">
        <v>3300</v>
      </c>
      <c r="I10804" s="64" t="s">
        <v>3371</v>
      </c>
      <c r="J10804" s="67">
        <v>-3186.26</v>
      </c>
      <c r="K10804" s="62">
        <v>-36128.58</v>
      </c>
      <c r="L10804" s="33" t="e">
        <f>HLOOKUP(B10804,#REF!,1,0)</f>
        <v>#REF!</v>
      </c>
      <c r="M10804" s="33" t="str">
        <f t="shared" si="675"/>
        <v>P&amp;L</v>
      </c>
    </row>
    <row r="10805" spans="1:13">
      <c r="A10805" s="33" t="str">
        <f t="shared" si="672"/>
        <v>SCL - Other Income/Expense</v>
      </c>
      <c r="B10805" s="33" t="str">
        <f t="shared" si="673"/>
        <v>SCL</v>
      </c>
      <c r="C10805" s="33" t="str">
        <f t="shared" si="674"/>
        <v>99001-7351</v>
      </c>
      <c r="D10805" s="64" t="s">
        <v>12066</v>
      </c>
      <c r="E10805" s="64" t="s">
        <v>3370</v>
      </c>
      <c r="F10805" s="64" t="s">
        <v>15</v>
      </c>
      <c r="G10805" s="64" t="s">
        <v>3017</v>
      </c>
      <c r="H10805" s="64" t="s">
        <v>3300</v>
      </c>
      <c r="I10805" s="64" t="s">
        <v>3371</v>
      </c>
      <c r="J10805" s="67">
        <v>-189.6</v>
      </c>
      <c r="K10805" s="62">
        <v>-2555.66</v>
      </c>
      <c r="L10805" s="33" t="e">
        <f>HLOOKUP(B10805,#REF!,1,0)</f>
        <v>#REF!</v>
      </c>
      <c r="M10805" s="33" t="str">
        <f t="shared" si="675"/>
        <v>P&amp;L</v>
      </c>
    </row>
    <row r="10806" spans="1:13">
      <c r="A10806" s="33" t="str">
        <f t="shared" si="672"/>
        <v>SCL - Other Income/Expense</v>
      </c>
      <c r="B10806" s="33" t="str">
        <f t="shared" si="673"/>
        <v>SCL</v>
      </c>
      <c r="C10806" s="33" t="str">
        <f t="shared" si="674"/>
        <v>99001-7352</v>
      </c>
      <c r="D10806" s="64" t="s">
        <v>12067</v>
      </c>
      <c r="E10806" s="64" t="s">
        <v>3370</v>
      </c>
      <c r="F10806" s="64" t="s">
        <v>15</v>
      </c>
      <c r="G10806" s="64" t="s">
        <v>3017</v>
      </c>
      <c r="H10806" s="64" t="s">
        <v>3300</v>
      </c>
      <c r="I10806" s="64" t="s">
        <v>3371</v>
      </c>
      <c r="J10806" s="67">
        <v>-126.4</v>
      </c>
      <c r="K10806" s="62">
        <v>-4623.59</v>
      </c>
      <c r="L10806" s="33" t="e">
        <f>HLOOKUP(B10806,#REF!,1,0)</f>
        <v>#REF!</v>
      </c>
      <c r="M10806" s="33" t="str">
        <f t="shared" si="675"/>
        <v>P&amp;L</v>
      </c>
    </row>
    <row r="10807" spans="1:13">
      <c r="A10807" s="33" t="str">
        <f t="shared" si="672"/>
        <v>SCL - Other Income/Expense</v>
      </c>
      <c r="B10807" s="33" t="str">
        <f t="shared" si="673"/>
        <v>SCL</v>
      </c>
      <c r="C10807" s="33" t="str">
        <f t="shared" si="674"/>
        <v>99001-7355</v>
      </c>
      <c r="D10807" s="64" t="s">
        <v>12068</v>
      </c>
      <c r="E10807" s="64" t="s">
        <v>3370</v>
      </c>
      <c r="F10807" s="64" t="s">
        <v>15</v>
      </c>
      <c r="G10807" s="64" t="s">
        <v>3017</v>
      </c>
      <c r="H10807" s="64" t="s">
        <v>3300</v>
      </c>
      <c r="I10807" s="64" t="s">
        <v>3371</v>
      </c>
      <c r="J10807" s="67">
        <v>-126.4</v>
      </c>
      <c r="K10807" s="62">
        <v>-2001.9</v>
      </c>
      <c r="L10807" s="33" t="e">
        <f>HLOOKUP(B10807,#REF!,1,0)</f>
        <v>#REF!</v>
      </c>
      <c r="M10807" s="33" t="str">
        <f t="shared" si="675"/>
        <v>P&amp;L</v>
      </c>
    </row>
    <row r="10808" spans="1:13">
      <c r="A10808" s="33" t="str">
        <f t="shared" si="672"/>
        <v>SCL - Other Income/Expense</v>
      </c>
      <c r="B10808" s="33" t="str">
        <f t="shared" si="673"/>
        <v>SCL</v>
      </c>
      <c r="C10808" s="33" t="str">
        <f t="shared" si="674"/>
        <v>99001-7356</v>
      </c>
      <c r="D10808" s="64" t="s">
        <v>12069</v>
      </c>
      <c r="E10808" s="64" t="s">
        <v>3370</v>
      </c>
      <c r="F10808" s="64" t="s">
        <v>15</v>
      </c>
      <c r="G10808" s="64" t="s">
        <v>3017</v>
      </c>
      <c r="H10808" s="64" t="s">
        <v>3300</v>
      </c>
      <c r="I10808" s="64" t="s">
        <v>3371</v>
      </c>
      <c r="J10808" s="67">
        <v>0</v>
      </c>
      <c r="K10808" s="62">
        <v>-492.65</v>
      </c>
      <c r="L10808" s="33" t="e">
        <f>HLOOKUP(B10808,#REF!,1,0)</f>
        <v>#REF!</v>
      </c>
      <c r="M10808" s="33" t="str">
        <f t="shared" si="675"/>
        <v>P&amp;L</v>
      </c>
    </row>
    <row r="10809" spans="1:13">
      <c r="A10809" s="33" t="str">
        <f t="shared" si="672"/>
        <v>SCL - Other Income/Expense</v>
      </c>
      <c r="B10809" s="33" t="str">
        <f t="shared" si="673"/>
        <v>SCL</v>
      </c>
      <c r="C10809" s="33" t="str">
        <f t="shared" si="674"/>
        <v>99001-7359</v>
      </c>
      <c r="D10809" s="64" t="s">
        <v>12070</v>
      </c>
      <c r="E10809" s="64" t="s">
        <v>3370</v>
      </c>
      <c r="F10809" s="64" t="s">
        <v>15</v>
      </c>
      <c r="G10809" s="64" t="s">
        <v>3017</v>
      </c>
      <c r="H10809" s="64" t="s">
        <v>3300</v>
      </c>
      <c r="I10809" s="64" t="s">
        <v>3371</v>
      </c>
      <c r="J10809" s="67">
        <v>-158</v>
      </c>
      <c r="K10809" s="62">
        <v>-1947.48</v>
      </c>
      <c r="L10809" s="33" t="e">
        <f>HLOOKUP(B10809,#REF!,1,0)</f>
        <v>#REF!</v>
      </c>
      <c r="M10809" s="33" t="str">
        <f t="shared" si="675"/>
        <v>P&amp;L</v>
      </c>
    </row>
    <row r="10810" spans="1:13">
      <c r="A10810" s="33" t="str">
        <f t="shared" si="672"/>
        <v>SCL - Other Income/Expense</v>
      </c>
      <c r="B10810" s="33" t="str">
        <f t="shared" si="673"/>
        <v>SCL</v>
      </c>
      <c r="C10810" s="33" t="str">
        <f t="shared" si="674"/>
        <v>99001-7360</v>
      </c>
      <c r="D10810" s="64" t="s">
        <v>12071</v>
      </c>
      <c r="E10810" s="64" t="s">
        <v>3370</v>
      </c>
      <c r="F10810" s="64" t="s">
        <v>15</v>
      </c>
      <c r="G10810" s="64" t="s">
        <v>3017</v>
      </c>
      <c r="H10810" s="64" t="s">
        <v>3300</v>
      </c>
      <c r="I10810" s="64" t="s">
        <v>3371</v>
      </c>
      <c r="J10810" s="67">
        <v>-268.6</v>
      </c>
      <c r="K10810" s="62">
        <v>-2459.52</v>
      </c>
      <c r="L10810" s="33" t="e">
        <f>HLOOKUP(B10810,#REF!,1,0)</f>
        <v>#REF!</v>
      </c>
      <c r="M10810" s="33" t="str">
        <f t="shared" si="675"/>
        <v>P&amp;L</v>
      </c>
    </row>
    <row r="10811" spans="1:13">
      <c r="A10811" s="33" t="str">
        <f t="shared" si="672"/>
        <v>SCL - Other Income/Expense</v>
      </c>
      <c r="B10811" s="33" t="str">
        <f t="shared" si="673"/>
        <v>SCL</v>
      </c>
      <c r="C10811" s="33" t="str">
        <f t="shared" si="674"/>
        <v>99001-7361</v>
      </c>
      <c r="D10811" s="64" t="s">
        <v>12072</v>
      </c>
      <c r="E10811" s="64" t="s">
        <v>3370</v>
      </c>
      <c r="F10811" s="64" t="s">
        <v>15</v>
      </c>
      <c r="G10811" s="64" t="s">
        <v>3017</v>
      </c>
      <c r="H10811" s="64" t="s">
        <v>3300</v>
      </c>
      <c r="I10811" s="64" t="s">
        <v>3371</v>
      </c>
      <c r="J10811" s="67">
        <v>-316</v>
      </c>
      <c r="K10811" s="62">
        <v>-2060.21</v>
      </c>
      <c r="L10811" s="33" t="e">
        <f>HLOOKUP(B10811,#REF!,1,0)</f>
        <v>#REF!</v>
      </c>
      <c r="M10811" s="33" t="str">
        <f t="shared" si="675"/>
        <v>P&amp;L</v>
      </c>
    </row>
    <row r="10812" spans="1:13">
      <c r="A10812" s="33" t="str">
        <f t="shared" si="672"/>
        <v>SCL - Other Income/Expense</v>
      </c>
      <c r="B10812" s="33" t="str">
        <f t="shared" si="673"/>
        <v>SCL</v>
      </c>
      <c r="C10812" s="33" t="str">
        <f t="shared" si="674"/>
        <v>99001-7362</v>
      </c>
      <c r="D10812" s="64" t="s">
        <v>12073</v>
      </c>
      <c r="E10812" s="64" t="s">
        <v>3370</v>
      </c>
      <c r="F10812" s="64" t="s">
        <v>15</v>
      </c>
      <c r="G10812" s="64" t="s">
        <v>3017</v>
      </c>
      <c r="H10812" s="64" t="s">
        <v>3300</v>
      </c>
      <c r="I10812" s="64" t="s">
        <v>3371</v>
      </c>
      <c r="J10812" s="67">
        <v>-268.6</v>
      </c>
      <c r="K10812" s="62">
        <v>-3221.93</v>
      </c>
      <c r="L10812" s="33" t="e">
        <f>HLOOKUP(B10812,#REF!,1,0)</f>
        <v>#REF!</v>
      </c>
      <c r="M10812" s="33" t="str">
        <f t="shared" si="675"/>
        <v>P&amp;L</v>
      </c>
    </row>
    <row r="10813" spans="1:13">
      <c r="A10813" s="33" t="str">
        <f t="shared" si="672"/>
        <v>SCL - Other Income/Expense</v>
      </c>
      <c r="B10813" s="33" t="str">
        <f t="shared" si="673"/>
        <v>SCL</v>
      </c>
      <c r="C10813" s="33" t="str">
        <f t="shared" si="674"/>
        <v>99001-7363</v>
      </c>
      <c r="D10813" s="64" t="s">
        <v>12074</v>
      </c>
      <c r="E10813" s="64" t="s">
        <v>3370</v>
      </c>
      <c r="F10813" s="64" t="s">
        <v>15</v>
      </c>
      <c r="G10813" s="64" t="s">
        <v>3017</v>
      </c>
      <c r="H10813" s="64" t="s">
        <v>3300</v>
      </c>
      <c r="I10813" s="64" t="s">
        <v>3371</v>
      </c>
      <c r="J10813" s="67">
        <v>-158</v>
      </c>
      <c r="K10813" s="62">
        <v>-1891.46</v>
      </c>
      <c r="L10813" s="33" t="e">
        <f>HLOOKUP(B10813,#REF!,1,0)</f>
        <v>#REF!</v>
      </c>
      <c r="M10813" s="33" t="str">
        <f t="shared" si="675"/>
        <v>P&amp;L</v>
      </c>
    </row>
    <row r="10814" spans="1:13">
      <c r="A10814" s="33" t="str">
        <f t="shared" si="672"/>
        <v>SCL - Other Income/Expense</v>
      </c>
      <c r="B10814" s="33" t="str">
        <f t="shared" si="673"/>
        <v>SCL</v>
      </c>
      <c r="C10814" s="33" t="str">
        <f t="shared" si="674"/>
        <v>99001-7364</v>
      </c>
      <c r="D10814" s="64" t="s">
        <v>12075</v>
      </c>
      <c r="E10814" s="64" t="s">
        <v>3370</v>
      </c>
      <c r="F10814" s="64" t="s">
        <v>15</v>
      </c>
      <c r="G10814" s="64" t="s">
        <v>3017</v>
      </c>
      <c r="H10814" s="64" t="s">
        <v>3300</v>
      </c>
      <c r="I10814" s="64" t="s">
        <v>3371</v>
      </c>
      <c r="J10814" s="67">
        <v>-237</v>
      </c>
      <c r="K10814" s="62">
        <v>-1991.29</v>
      </c>
      <c r="L10814" s="33" t="e">
        <f>HLOOKUP(B10814,#REF!,1,0)</f>
        <v>#REF!</v>
      </c>
      <c r="M10814" s="33" t="str">
        <f t="shared" si="675"/>
        <v>P&amp;L</v>
      </c>
    </row>
    <row r="10815" spans="1:13">
      <c r="A10815" s="33" t="str">
        <f t="shared" si="672"/>
        <v>SCL - Other Income/Expense</v>
      </c>
      <c r="B10815" s="33" t="str">
        <f t="shared" si="673"/>
        <v>SCL</v>
      </c>
      <c r="C10815" s="33" t="str">
        <f t="shared" si="674"/>
        <v>99001-7365</v>
      </c>
      <c r="D10815" s="64" t="s">
        <v>12076</v>
      </c>
      <c r="E10815" s="64" t="s">
        <v>3370</v>
      </c>
      <c r="F10815" s="64" t="s">
        <v>15</v>
      </c>
      <c r="G10815" s="64" t="s">
        <v>3017</v>
      </c>
      <c r="H10815" s="64" t="s">
        <v>3300</v>
      </c>
      <c r="I10815" s="64" t="s">
        <v>3371</v>
      </c>
      <c r="J10815" s="67">
        <v>-347.6</v>
      </c>
      <c r="K10815" s="62">
        <v>-2021.61</v>
      </c>
      <c r="L10815" s="33" t="e">
        <f>HLOOKUP(B10815,#REF!,1,0)</f>
        <v>#REF!</v>
      </c>
      <c r="M10815" s="33" t="str">
        <f t="shared" si="675"/>
        <v>P&amp;L</v>
      </c>
    </row>
    <row r="10816" spans="1:13">
      <c r="A10816" s="33" t="str">
        <f t="shared" si="672"/>
        <v>SCL - Other Income/Expense</v>
      </c>
      <c r="B10816" s="33" t="str">
        <f t="shared" si="673"/>
        <v>SCL</v>
      </c>
      <c r="C10816" s="33" t="str">
        <f t="shared" si="674"/>
        <v>99001-7366</v>
      </c>
      <c r="D10816" s="64" t="s">
        <v>12077</v>
      </c>
      <c r="E10816" s="64" t="s">
        <v>3370</v>
      </c>
      <c r="F10816" s="64" t="s">
        <v>15</v>
      </c>
      <c r="G10816" s="64" t="s">
        <v>3017</v>
      </c>
      <c r="H10816" s="64" t="s">
        <v>3300</v>
      </c>
      <c r="I10816" s="64" t="s">
        <v>3371</v>
      </c>
      <c r="J10816" s="67">
        <v>-252.8</v>
      </c>
      <c r="K10816" s="62">
        <v>-2564.94</v>
      </c>
      <c r="L10816" s="33" t="e">
        <f>HLOOKUP(B10816,#REF!,1,0)</f>
        <v>#REF!</v>
      </c>
      <c r="M10816" s="33" t="str">
        <f t="shared" si="675"/>
        <v>P&amp;L</v>
      </c>
    </row>
    <row r="10817" spans="1:13">
      <c r="A10817" s="33" t="str">
        <f t="shared" si="672"/>
        <v>SCL - Other Income/Expense</v>
      </c>
      <c r="B10817" s="33" t="str">
        <f t="shared" si="673"/>
        <v>SCL</v>
      </c>
      <c r="C10817" s="33" t="str">
        <f t="shared" si="674"/>
        <v>99001-7368</v>
      </c>
      <c r="D10817" s="64" t="s">
        <v>12078</v>
      </c>
      <c r="E10817" s="64" t="s">
        <v>3370</v>
      </c>
      <c r="F10817" s="64" t="s">
        <v>15</v>
      </c>
      <c r="G10817" s="64" t="s">
        <v>3017</v>
      </c>
      <c r="H10817" s="64" t="s">
        <v>3300</v>
      </c>
      <c r="I10817" s="64" t="s">
        <v>3371</v>
      </c>
      <c r="J10817" s="67">
        <v>-252.8</v>
      </c>
      <c r="K10817" s="62">
        <v>-2574.68</v>
      </c>
      <c r="L10817" s="33" t="e">
        <f>HLOOKUP(B10817,#REF!,1,0)</f>
        <v>#REF!</v>
      </c>
      <c r="M10817" s="33" t="str">
        <f t="shared" si="675"/>
        <v>P&amp;L</v>
      </c>
    </row>
    <row r="10818" spans="1:13">
      <c r="A10818" s="33" t="str">
        <f t="shared" ref="A10818:A10881" si="676">B10818&amp;" - "&amp;TRIM(H10818)</f>
        <v>SCL - Other Income/Expense</v>
      </c>
      <c r="B10818" s="33" t="str">
        <f t="shared" ref="B10818:B10881" si="677">LEFT(D10818,3)</f>
        <v>SCL</v>
      </c>
      <c r="C10818" s="33" t="str">
        <f t="shared" ref="C10818:C10881" si="678">RIGHT(D10818,10)</f>
        <v>99001-7369</v>
      </c>
      <c r="D10818" s="64" t="s">
        <v>12079</v>
      </c>
      <c r="E10818" s="64" t="s">
        <v>3370</v>
      </c>
      <c r="F10818" s="64" t="s">
        <v>15</v>
      </c>
      <c r="G10818" s="64" t="s">
        <v>3017</v>
      </c>
      <c r="H10818" s="64" t="s">
        <v>3300</v>
      </c>
      <c r="I10818" s="64" t="s">
        <v>3371</v>
      </c>
      <c r="J10818" s="67">
        <v>-284.4</v>
      </c>
      <c r="K10818" s="62">
        <v>-2668.48</v>
      </c>
      <c r="L10818" s="33" t="e">
        <f>HLOOKUP(B10818,#REF!,1,0)</f>
        <v>#REF!</v>
      </c>
      <c r="M10818" s="33" t="str">
        <f t="shared" ref="M10818:M10881" si="679">IF(VALUE(LEFT(C10818,5))&gt;40000,"P&amp;L","BS")</f>
        <v>P&amp;L</v>
      </c>
    </row>
    <row r="10819" spans="1:13">
      <c r="A10819" s="33" t="str">
        <f t="shared" si="676"/>
        <v>SCL - Other Income/Expense</v>
      </c>
      <c r="B10819" s="33" t="str">
        <f t="shared" si="677"/>
        <v>SCL</v>
      </c>
      <c r="C10819" s="33" t="str">
        <f t="shared" si="678"/>
        <v>99001-7371</v>
      </c>
      <c r="D10819" s="64" t="s">
        <v>12080</v>
      </c>
      <c r="E10819" s="64" t="s">
        <v>3370</v>
      </c>
      <c r="F10819" s="64" t="s">
        <v>15</v>
      </c>
      <c r="G10819" s="64" t="s">
        <v>3017</v>
      </c>
      <c r="H10819" s="64" t="s">
        <v>3300</v>
      </c>
      <c r="I10819" s="64" t="s">
        <v>3371</v>
      </c>
      <c r="J10819" s="67">
        <v>-120.08</v>
      </c>
      <c r="K10819" s="62">
        <v>-2145.27</v>
      </c>
      <c r="L10819" s="33" t="e">
        <f>HLOOKUP(B10819,#REF!,1,0)</f>
        <v>#REF!</v>
      </c>
      <c r="M10819" s="33" t="str">
        <f t="shared" si="679"/>
        <v>P&amp;L</v>
      </c>
    </row>
    <row r="10820" spans="1:13">
      <c r="A10820" s="33" t="str">
        <f t="shared" si="676"/>
        <v>SCL - Other Income/Expense</v>
      </c>
      <c r="B10820" s="33" t="str">
        <f t="shared" si="677"/>
        <v>SCL</v>
      </c>
      <c r="C10820" s="33" t="str">
        <f t="shared" si="678"/>
        <v>99001-7374</v>
      </c>
      <c r="D10820" s="64" t="s">
        <v>12081</v>
      </c>
      <c r="E10820" s="64" t="s">
        <v>3370</v>
      </c>
      <c r="F10820" s="64" t="s">
        <v>15</v>
      </c>
      <c r="G10820" s="64" t="s">
        <v>3017</v>
      </c>
      <c r="H10820" s="64" t="s">
        <v>3300</v>
      </c>
      <c r="I10820" s="64" t="s">
        <v>3371</v>
      </c>
      <c r="J10820" s="67">
        <v>-284.4</v>
      </c>
      <c r="K10820" s="62">
        <v>-2471.97</v>
      </c>
      <c r="L10820" s="33" t="e">
        <f>HLOOKUP(B10820,#REF!,1,0)</f>
        <v>#REF!</v>
      </c>
      <c r="M10820" s="33" t="str">
        <f t="shared" si="679"/>
        <v>P&amp;L</v>
      </c>
    </row>
    <row r="10821" spans="1:13">
      <c r="A10821" s="33" t="str">
        <f t="shared" si="676"/>
        <v>SCL - Other Income/Expense</v>
      </c>
      <c r="B10821" s="33" t="str">
        <f t="shared" si="677"/>
        <v>SCL</v>
      </c>
      <c r="C10821" s="33" t="str">
        <f t="shared" si="678"/>
        <v>99001-7375</v>
      </c>
      <c r="D10821" s="64" t="s">
        <v>12082</v>
      </c>
      <c r="E10821" s="64" t="s">
        <v>3370</v>
      </c>
      <c r="F10821" s="64" t="s">
        <v>15</v>
      </c>
      <c r="G10821" s="64" t="s">
        <v>3017</v>
      </c>
      <c r="H10821" s="64" t="s">
        <v>3300</v>
      </c>
      <c r="I10821" s="64" t="s">
        <v>3371</v>
      </c>
      <c r="J10821" s="67">
        <v>-142.2</v>
      </c>
      <c r="K10821" s="62">
        <v>-1902.92</v>
      </c>
      <c r="L10821" s="33" t="e">
        <f>HLOOKUP(B10821,#REF!,1,0)</f>
        <v>#REF!</v>
      </c>
      <c r="M10821" s="33" t="str">
        <f t="shared" si="679"/>
        <v>P&amp;L</v>
      </c>
    </row>
    <row r="10822" spans="1:13">
      <c r="A10822" s="33" t="str">
        <f t="shared" si="676"/>
        <v>SCL - Other Income/Expense</v>
      </c>
      <c r="B10822" s="33" t="str">
        <f t="shared" si="677"/>
        <v>SCL</v>
      </c>
      <c r="C10822" s="33" t="str">
        <f t="shared" si="678"/>
        <v>99001-7376</v>
      </c>
      <c r="D10822" s="64" t="s">
        <v>12083</v>
      </c>
      <c r="E10822" s="64" t="s">
        <v>3370</v>
      </c>
      <c r="F10822" s="64" t="s">
        <v>15</v>
      </c>
      <c r="G10822" s="64" t="s">
        <v>3017</v>
      </c>
      <c r="H10822" s="64" t="s">
        <v>3300</v>
      </c>
      <c r="I10822" s="64" t="s">
        <v>3371</v>
      </c>
      <c r="J10822" s="67">
        <v>-94.8</v>
      </c>
      <c r="K10822" s="62">
        <v>-3199.93</v>
      </c>
      <c r="L10822" s="33" t="e">
        <f>HLOOKUP(B10822,#REF!,1,0)</f>
        <v>#REF!</v>
      </c>
      <c r="M10822" s="33" t="str">
        <f t="shared" si="679"/>
        <v>P&amp;L</v>
      </c>
    </row>
    <row r="10823" spans="1:13">
      <c r="A10823" s="33" t="str">
        <f t="shared" si="676"/>
        <v>SCL - Other Income/Expense</v>
      </c>
      <c r="B10823" s="33" t="str">
        <f t="shared" si="677"/>
        <v>SCL</v>
      </c>
      <c r="C10823" s="33" t="str">
        <f t="shared" si="678"/>
        <v>99001-7377</v>
      </c>
      <c r="D10823" s="64" t="s">
        <v>12084</v>
      </c>
      <c r="E10823" s="64" t="s">
        <v>3370</v>
      </c>
      <c r="F10823" s="64" t="s">
        <v>15</v>
      </c>
      <c r="G10823" s="64" t="s">
        <v>3017</v>
      </c>
      <c r="H10823" s="64" t="s">
        <v>3300</v>
      </c>
      <c r="I10823" s="64" t="s">
        <v>3371</v>
      </c>
      <c r="J10823" s="67">
        <v>-252.8</v>
      </c>
      <c r="K10823" s="62">
        <v>-1885.25</v>
      </c>
      <c r="L10823" s="33" t="e">
        <f>HLOOKUP(B10823,#REF!,1,0)</f>
        <v>#REF!</v>
      </c>
      <c r="M10823" s="33" t="str">
        <f t="shared" si="679"/>
        <v>P&amp;L</v>
      </c>
    </row>
    <row r="10824" spans="1:13">
      <c r="A10824" s="33" t="str">
        <f t="shared" si="676"/>
        <v>SCL - Other Income/Expense</v>
      </c>
      <c r="B10824" s="33" t="str">
        <f t="shared" si="677"/>
        <v>SCL</v>
      </c>
      <c r="C10824" s="33" t="str">
        <f t="shared" si="678"/>
        <v>99001-7378</v>
      </c>
      <c r="D10824" s="64" t="s">
        <v>12085</v>
      </c>
      <c r="E10824" s="64" t="s">
        <v>3370</v>
      </c>
      <c r="F10824" s="64" t="s">
        <v>15</v>
      </c>
      <c r="G10824" s="64" t="s">
        <v>3017</v>
      </c>
      <c r="H10824" s="64" t="s">
        <v>3300</v>
      </c>
      <c r="I10824" s="64" t="s">
        <v>3371</v>
      </c>
      <c r="J10824" s="67">
        <v>-252.8</v>
      </c>
      <c r="K10824" s="62">
        <v>-2407.76</v>
      </c>
      <c r="L10824" s="33" t="e">
        <f>HLOOKUP(B10824,#REF!,1,0)</f>
        <v>#REF!</v>
      </c>
      <c r="M10824" s="33" t="str">
        <f t="shared" si="679"/>
        <v>P&amp;L</v>
      </c>
    </row>
    <row r="10825" spans="1:13">
      <c r="A10825" s="33" t="str">
        <f t="shared" si="676"/>
        <v>SCL - Other Income/Expense</v>
      </c>
      <c r="B10825" s="33" t="str">
        <f t="shared" si="677"/>
        <v>SCL</v>
      </c>
      <c r="C10825" s="33" t="str">
        <f t="shared" si="678"/>
        <v>99001-7379</v>
      </c>
      <c r="D10825" s="64" t="s">
        <v>12086</v>
      </c>
      <c r="E10825" s="64" t="s">
        <v>3370</v>
      </c>
      <c r="F10825" s="64" t="s">
        <v>15</v>
      </c>
      <c r="G10825" s="64" t="s">
        <v>3017</v>
      </c>
      <c r="H10825" s="64" t="s">
        <v>3300</v>
      </c>
      <c r="I10825" s="64" t="s">
        <v>3371</v>
      </c>
      <c r="J10825" s="67">
        <v>-126.4</v>
      </c>
      <c r="K10825" s="62">
        <v>-2307.66</v>
      </c>
      <c r="L10825" s="33" t="e">
        <f>HLOOKUP(B10825,#REF!,1,0)</f>
        <v>#REF!</v>
      </c>
      <c r="M10825" s="33" t="str">
        <f t="shared" si="679"/>
        <v>P&amp;L</v>
      </c>
    </row>
    <row r="10826" spans="1:13">
      <c r="A10826" s="33" t="str">
        <f t="shared" si="676"/>
        <v>SCL - Other Income/Expense</v>
      </c>
      <c r="B10826" s="33" t="str">
        <f t="shared" si="677"/>
        <v>SCL</v>
      </c>
      <c r="C10826" s="33" t="str">
        <f t="shared" si="678"/>
        <v>99001-7380</v>
      </c>
      <c r="D10826" s="64" t="s">
        <v>12087</v>
      </c>
      <c r="E10826" s="64" t="s">
        <v>3370</v>
      </c>
      <c r="F10826" s="64" t="s">
        <v>15</v>
      </c>
      <c r="G10826" s="64" t="s">
        <v>3017</v>
      </c>
      <c r="H10826" s="64" t="s">
        <v>3300</v>
      </c>
      <c r="I10826" s="64" t="s">
        <v>3371</v>
      </c>
      <c r="J10826" s="67">
        <v>-142.2</v>
      </c>
      <c r="K10826" s="62">
        <v>-1412.57</v>
      </c>
      <c r="L10826" s="33" t="e">
        <f>HLOOKUP(B10826,#REF!,1,0)</f>
        <v>#REF!</v>
      </c>
      <c r="M10826" s="33" t="str">
        <f t="shared" si="679"/>
        <v>P&amp;L</v>
      </c>
    </row>
    <row r="10827" spans="1:13">
      <c r="A10827" s="33" t="str">
        <f t="shared" si="676"/>
        <v>SCL - Other Income/Expense</v>
      </c>
      <c r="B10827" s="33" t="str">
        <f t="shared" si="677"/>
        <v>SCL</v>
      </c>
      <c r="C10827" s="33" t="str">
        <f t="shared" si="678"/>
        <v>99001-7381</v>
      </c>
      <c r="D10827" s="64" t="s">
        <v>12088</v>
      </c>
      <c r="E10827" s="64" t="s">
        <v>3370</v>
      </c>
      <c r="F10827" s="64" t="s">
        <v>15</v>
      </c>
      <c r="G10827" s="64" t="s">
        <v>3017</v>
      </c>
      <c r="H10827" s="64" t="s">
        <v>3300</v>
      </c>
      <c r="I10827" s="64" t="s">
        <v>3371</v>
      </c>
      <c r="J10827" s="67">
        <v>-221.2</v>
      </c>
      <c r="K10827" s="62">
        <v>-2455.7</v>
      </c>
      <c r="L10827" s="33" t="e">
        <f>HLOOKUP(B10827,#REF!,1,0)</f>
        <v>#REF!</v>
      </c>
      <c r="M10827" s="33" t="str">
        <f t="shared" si="679"/>
        <v>P&amp;L</v>
      </c>
    </row>
    <row r="10828" spans="1:13">
      <c r="A10828" s="33" t="str">
        <f t="shared" si="676"/>
        <v>SCL - Other Income/Expense</v>
      </c>
      <c r="B10828" s="33" t="str">
        <f t="shared" si="677"/>
        <v>SCL</v>
      </c>
      <c r="C10828" s="33" t="str">
        <f t="shared" si="678"/>
        <v>99001-7383</v>
      </c>
      <c r="D10828" s="64" t="s">
        <v>12089</v>
      </c>
      <c r="E10828" s="64" t="s">
        <v>3370</v>
      </c>
      <c r="F10828" s="64" t="s">
        <v>15</v>
      </c>
      <c r="G10828" s="64" t="s">
        <v>3017</v>
      </c>
      <c r="H10828" s="64" t="s">
        <v>3300</v>
      </c>
      <c r="I10828" s="64" t="s">
        <v>3371</v>
      </c>
      <c r="J10828" s="67">
        <v>-192.44</v>
      </c>
      <c r="K10828" s="62">
        <v>-1956.46</v>
      </c>
      <c r="L10828" s="33" t="e">
        <f>HLOOKUP(B10828,#REF!,1,0)</f>
        <v>#REF!</v>
      </c>
      <c r="M10828" s="33" t="str">
        <f t="shared" si="679"/>
        <v>P&amp;L</v>
      </c>
    </row>
    <row r="10829" spans="1:13">
      <c r="A10829" s="33" t="str">
        <f t="shared" si="676"/>
        <v>SCL - Other Income/Expense</v>
      </c>
      <c r="B10829" s="33" t="str">
        <f t="shared" si="677"/>
        <v>SCL</v>
      </c>
      <c r="C10829" s="33" t="str">
        <f t="shared" si="678"/>
        <v>99001-7385</v>
      </c>
      <c r="D10829" s="64" t="s">
        <v>12090</v>
      </c>
      <c r="E10829" s="64" t="s">
        <v>3370</v>
      </c>
      <c r="F10829" s="64" t="s">
        <v>15</v>
      </c>
      <c r="G10829" s="64" t="s">
        <v>3017</v>
      </c>
      <c r="H10829" s="64" t="s">
        <v>3300</v>
      </c>
      <c r="I10829" s="64" t="s">
        <v>3371</v>
      </c>
      <c r="J10829" s="67">
        <v>-205.4</v>
      </c>
      <c r="K10829" s="62">
        <v>-2551.92</v>
      </c>
      <c r="L10829" s="33" t="e">
        <f>HLOOKUP(B10829,#REF!,1,0)</f>
        <v>#REF!</v>
      </c>
      <c r="M10829" s="33" t="str">
        <f t="shared" si="679"/>
        <v>P&amp;L</v>
      </c>
    </row>
    <row r="10830" spans="1:13">
      <c r="A10830" s="33" t="str">
        <f t="shared" si="676"/>
        <v>SCL - Other Income/Expense</v>
      </c>
      <c r="B10830" s="33" t="str">
        <f t="shared" si="677"/>
        <v>SCL</v>
      </c>
      <c r="C10830" s="33" t="str">
        <f t="shared" si="678"/>
        <v>99001-7386</v>
      </c>
      <c r="D10830" s="64" t="s">
        <v>12091</v>
      </c>
      <c r="E10830" s="64" t="s">
        <v>3370</v>
      </c>
      <c r="F10830" s="64" t="s">
        <v>15</v>
      </c>
      <c r="G10830" s="64" t="s">
        <v>3017</v>
      </c>
      <c r="H10830" s="64" t="s">
        <v>3300</v>
      </c>
      <c r="I10830" s="64" t="s">
        <v>3371</v>
      </c>
      <c r="J10830" s="67">
        <v>-142.2</v>
      </c>
      <c r="K10830" s="62">
        <v>-1864.51</v>
      </c>
      <c r="L10830" s="33" t="e">
        <f>HLOOKUP(B10830,#REF!,1,0)</f>
        <v>#REF!</v>
      </c>
      <c r="M10830" s="33" t="str">
        <f t="shared" si="679"/>
        <v>P&amp;L</v>
      </c>
    </row>
    <row r="10831" spans="1:13">
      <c r="A10831" s="33" t="str">
        <f t="shared" si="676"/>
        <v>SCL - Other Income/Expense</v>
      </c>
      <c r="B10831" s="33" t="str">
        <f t="shared" si="677"/>
        <v>SCL</v>
      </c>
      <c r="C10831" s="33" t="str">
        <f t="shared" si="678"/>
        <v>99001-7387</v>
      </c>
      <c r="D10831" s="64" t="s">
        <v>12092</v>
      </c>
      <c r="E10831" s="64" t="s">
        <v>3370</v>
      </c>
      <c r="F10831" s="64" t="s">
        <v>15</v>
      </c>
      <c r="G10831" s="64" t="s">
        <v>3017</v>
      </c>
      <c r="H10831" s="64" t="s">
        <v>3300</v>
      </c>
      <c r="I10831" s="64" t="s">
        <v>3371</v>
      </c>
      <c r="J10831" s="67">
        <v>-126.4</v>
      </c>
      <c r="K10831" s="62">
        <v>-2053.15</v>
      </c>
      <c r="L10831" s="33" t="e">
        <f>HLOOKUP(B10831,#REF!,1,0)</f>
        <v>#REF!</v>
      </c>
      <c r="M10831" s="33" t="str">
        <f t="shared" si="679"/>
        <v>P&amp;L</v>
      </c>
    </row>
    <row r="10832" spans="1:13">
      <c r="A10832" s="33" t="str">
        <f t="shared" si="676"/>
        <v>SCL - Other Income/Expense</v>
      </c>
      <c r="B10832" s="33" t="str">
        <f t="shared" si="677"/>
        <v>SCL</v>
      </c>
      <c r="C10832" s="33" t="str">
        <f t="shared" si="678"/>
        <v>99001-7389</v>
      </c>
      <c r="D10832" s="64" t="s">
        <v>12093</v>
      </c>
      <c r="E10832" s="64" t="s">
        <v>3370</v>
      </c>
      <c r="F10832" s="64" t="s">
        <v>15</v>
      </c>
      <c r="G10832" s="64" t="s">
        <v>3017</v>
      </c>
      <c r="H10832" s="64" t="s">
        <v>3300</v>
      </c>
      <c r="I10832" s="64" t="s">
        <v>3371</v>
      </c>
      <c r="J10832" s="67">
        <v>-142.2</v>
      </c>
      <c r="K10832" s="62">
        <v>-2383.5</v>
      </c>
      <c r="L10832" s="33" t="e">
        <f>HLOOKUP(B10832,#REF!,1,0)</f>
        <v>#REF!</v>
      </c>
      <c r="M10832" s="33" t="str">
        <f t="shared" si="679"/>
        <v>P&amp;L</v>
      </c>
    </row>
    <row r="10833" spans="1:13">
      <c r="A10833" s="33" t="str">
        <f t="shared" si="676"/>
        <v>SCL - Other Income/Expense</v>
      </c>
      <c r="B10833" s="33" t="str">
        <f t="shared" si="677"/>
        <v>SCL</v>
      </c>
      <c r="C10833" s="33" t="str">
        <f t="shared" si="678"/>
        <v>99001-7391</v>
      </c>
      <c r="D10833" s="64" t="s">
        <v>12094</v>
      </c>
      <c r="E10833" s="64" t="s">
        <v>3370</v>
      </c>
      <c r="F10833" s="64" t="s">
        <v>15</v>
      </c>
      <c r="G10833" s="64" t="s">
        <v>3017</v>
      </c>
      <c r="H10833" s="64" t="s">
        <v>3300</v>
      </c>
      <c r="I10833" s="64" t="s">
        <v>3371</v>
      </c>
      <c r="J10833" s="67">
        <v>-410.8</v>
      </c>
      <c r="K10833" s="62">
        <v>-2399.81</v>
      </c>
      <c r="L10833" s="33" t="e">
        <f>HLOOKUP(B10833,#REF!,1,0)</f>
        <v>#REF!</v>
      </c>
      <c r="M10833" s="33" t="str">
        <f t="shared" si="679"/>
        <v>P&amp;L</v>
      </c>
    </row>
    <row r="10834" spans="1:13">
      <c r="A10834" s="33" t="str">
        <f t="shared" si="676"/>
        <v>SCL - Other Income/Expense</v>
      </c>
      <c r="B10834" s="33" t="str">
        <f t="shared" si="677"/>
        <v>SCL</v>
      </c>
      <c r="C10834" s="33" t="str">
        <f t="shared" si="678"/>
        <v>99001-7393</v>
      </c>
      <c r="D10834" s="64" t="s">
        <v>12095</v>
      </c>
      <c r="E10834" s="64" t="s">
        <v>3370</v>
      </c>
      <c r="F10834" s="64" t="s">
        <v>15</v>
      </c>
      <c r="G10834" s="64" t="s">
        <v>3017</v>
      </c>
      <c r="H10834" s="64" t="s">
        <v>3300</v>
      </c>
      <c r="I10834" s="64" t="s">
        <v>3371</v>
      </c>
      <c r="J10834" s="67">
        <v>-379.2</v>
      </c>
      <c r="K10834" s="62">
        <v>-2676.62</v>
      </c>
      <c r="L10834" s="33" t="e">
        <f>HLOOKUP(B10834,#REF!,1,0)</f>
        <v>#REF!</v>
      </c>
      <c r="M10834" s="33" t="str">
        <f t="shared" si="679"/>
        <v>P&amp;L</v>
      </c>
    </row>
    <row r="10835" spans="1:13">
      <c r="A10835" s="33" t="str">
        <f t="shared" si="676"/>
        <v>SCL - Other Income/Expense</v>
      </c>
      <c r="B10835" s="33" t="str">
        <f t="shared" si="677"/>
        <v>SCL</v>
      </c>
      <c r="C10835" s="33" t="str">
        <f t="shared" si="678"/>
        <v>99001-7394</v>
      </c>
      <c r="D10835" s="64" t="s">
        <v>12096</v>
      </c>
      <c r="E10835" s="64" t="s">
        <v>3370</v>
      </c>
      <c r="F10835" s="64" t="s">
        <v>15</v>
      </c>
      <c r="G10835" s="64" t="s">
        <v>3017</v>
      </c>
      <c r="H10835" s="64" t="s">
        <v>3300</v>
      </c>
      <c r="I10835" s="64" t="s">
        <v>3371</v>
      </c>
      <c r="J10835" s="67">
        <v>-173.8</v>
      </c>
      <c r="K10835" s="62">
        <v>-1668.42</v>
      </c>
      <c r="L10835" s="33" t="e">
        <f>HLOOKUP(B10835,#REF!,1,0)</f>
        <v>#REF!</v>
      </c>
      <c r="M10835" s="33" t="str">
        <f t="shared" si="679"/>
        <v>P&amp;L</v>
      </c>
    </row>
    <row r="10836" spans="1:13">
      <c r="A10836" s="33" t="str">
        <f t="shared" si="676"/>
        <v>SCL - Other Income/Expense</v>
      </c>
      <c r="B10836" s="33" t="str">
        <f t="shared" si="677"/>
        <v>SCL</v>
      </c>
      <c r="C10836" s="33" t="str">
        <f t="shared" si="678"/>
        <v>99001-7396</v>
      </c>
      <c r="D10836" s="64" t="s">
        <v>12097</v>
      </c>
      <c r="E10836" s="64" t="s">
        <v>3370</v>
      </c>
      <c r="F10836" s="64" t="s">
        <v>15</v>
      </c>
      <c r="G10836" s="64" t="s">
        <v>3017</v>
      </c>
      <c r="H10836" s="64" t="s">
        <v>3300</v>
      </c>
      <c r="I10836" s="64" t="s">
        <v>3371</v>
      </c>
      <c r="J10836" s="67">
        <v>-142.2</v>
      </c>
      <c r="K10836" s="62">
        <v>-1351.25</v>
      </c>
      <c r="L10836" s="33" t="e">
        <f>HLOOKUP(B10836,#REF!,1,0)</f>
        <v>#REF!</v>
      </c>
      <c r="M10836" s="33" t="str">
        <f t="shared" si="679"/>
        <v>P&amp;L</v>
      </c>
    </row>
    <row r="10837" spans="1:13">
      <c r="A10837" s="33" t="str">
        <f t="shared" si="676"/>
        <v>SCL - Other Income/Expense</v>
      </c>
      <c r="B10837" s="33" t="str">
        <f t="shared" si="677"/>
        <v>SCL</v>
      </c>
      <c r="C10837" s="33" t="str">
        <f t="shared" si="678"/>
        <v>99001-7397</v>
      </c>
      <c r="D10837" s="64" t="s">
        <v>12098</v>
      </c>
      <c r="E10837" s="64" t="s">
        <v>3370</v>
      </c>
      <c r="F10837" s="64" t="s">
        <v>15</v>
      </c>
      <c r="G10837" s="64" t="s">
        <v>3017</v>
      </c>
      <c r="H10837" s="64" t="s">
        <v>3300</v>
      </c>
      <c r="I10837" s="64" t="s">
        <v>3371</v>
      </c>
      <c r="J10837" s="67">
        <v>-268.6</v>
      </c>
      <c r="K10837" s="62">
        <v>-2454.82</v>
      </c>
      <c r="L10837" s="33" t="e">
        <f>HLOOKUP(B10837,#REF!,1,0)</f>
        <v>#REF!</v>
      </c>
      <c r="M10837" s="33" t="str">
        <f t="shared" si="679"/>
        <v>P&amp;L</v>
      </c>
    </row>
    <row r="10838" spans="1:13">
      <c r="A10838" s="33" t="str">
        <f t="shared" si="676"/>
        <v>SCL - Other Income/Expense</v>
      </c>
      <c r="B10838" s="33" t="str">
        <f t="shared" si="677"/>
        <v>SCL</v>
      </c>
      <c r="C10838" s="33" t="str">
        <f t="shared" si="678"/>
        <v>99001-7398</v>
      </c>
      <c r="D10838" s="64" t="s">
        <v>12099</v>
      </c>
      <c r="E10838" s="64" t="s">
        <v>3370</v>
      </c>
      <c r="F10838" s="64" t="s">
        <v>15</v>
      </c>
      <c r="G10838" s="64" t="s">
        <v>3017</v>
      </c>
      <c r="H10838" s="64" t="s">
        <v>3300</v>
      </c>
      <c r="I10838" s="64" t="s">
        <v>3371</v>
      </c>
      <c r="J10838" s="67">
        <v>-252.8</v>
      </c>
      <c r="K10838" s="62">
        <v>-6028.97</v>
      </c>
      <c r="L10838" s="33" t="e">
        <f>HLOOKUP(B10838,#REF!,1,0)</f>
        <v>#REF!</v>
      </c>
      <c r="M10838" s="33" t="str">
        <f t="shared" si="679"/>
        <v>P&amp;L</v>
      </c>
    </row>
    <row r="10839" spans="1:13">
      <c r="A10839" s="33" t="str">
        <f t="shared" si="676"/>
        <v>SCL - Other Income/Expense</v>
      </c>
      <c r="B10839" s="33" t="str">
        <f t="shared" si="677"/>
        <v>SCL</v>
      </c>
      <c r="C10839" s="33" t="str">
        <f t="shared" si="678"/>
        <v>99001-7400</v>
      </c>
      <c r="D10839" s="64" t="s">
        <v>12100</v>
      </c>
      <c r="E10839" s="64" t="s">
        <v>3370</v>
      </c>
      <c r="F10839" s="64" t="s">
        <v>15</v>
      </c>
      <c r="G10839" s="64" t="s">
        <v>3017</v>
      </c>
      <c r="H10839" s="64" t="s">
        <v>3300</v>
      </c>
      <c r="I10839" s="64" t="s">
        <v>3371</v>
      </c>
      <c r="J10839" s="67">
        <v>-222.15</v>
      </c>
      <c r="K10839" s="62">
        <v>-2272.01</v>
      </c>
      <c r="L10839" s="33" t="e">
        <f>HLOOKUP(B10839,#REF!,1,0)</f>
        <v>#REF!</v>
      </c>
      <c r="M10839" s="33" t="str">
        <f t="shared" si="679"/>
        <v>P&amp;L</v>
      </c>
    </row>
    <row r="10840" spans="1:13">
      <c r="A10840" s="33" t="str">
        <f t="shared" si="676"/>
        <v>SCL - Other Income/Expense</v>
      </c>
      <c r="B10840" s="33" t="str">
        <f t="shared" si="677"/>
        <v>SCL</v>
      </c>
      <c r="C10840" s="33" t="str">
        <f t="shared" si="678"/>
        <v>99001-7401</v>
      </c>
      <c r="D10840" s="64" t="s">
        <v>12101</v>
      </c>
      <c r="E10840" s="64" t="s">
        <v>3370</v>
      </c>
      <c r="F10840" s="64" t="s">
        <v>15</v>
      </c>
      <c r="G10840" s="64" t="s">
        <v>3017</v>
      </c>
      <c r="H10840" s="64" t="s">
        <v>3300</v>
      </c>
      <c r="I10840" s="64" t="s">
        <v>3371</v>
      </c>
      <c r="J10840" s="67">
        <v>-255.33</v>
      </c>
      <c r="K10840" s="62">
        <v>-2217.18</v>
      </c>
      <c r="L10840" s="33" t="e">
        <f>HLOOKUP(B10840,#REF!,1,0)</f>
        <v>#REF!</v>
      </c>
      <c r="M10840" s="33" t="str">
        <f t="shared" si="679"/>
        <v>P&amp;L</v>
      </c>
    </row>
    <row r="10841" spans="1:13">
      <c r="A10841" s="33" t="str">
        <f t="shared" si="676"/>
        <v>SCL - Other Income/Expense</v>
      </c>
      <c r="B10841" s="33" t="str">
        <f t="shared" si="677"/>
        <v>SCL</v>
      </c>
      <c r="C10841" s="33" t="str">
        <f t="shared" si="678"/>
        <v>99001-7402</v>
      </c>
      <c r="D10841" s="64" t="s">
        <v>12102</v>
      </c>
      <c r="E10841" s="64" t="s">
        <v>3370</v>
      </c>
      <c r="F10841" s="64" t="s">
        <v>15</v>
      </c>
      <c r="G10841" s="64" t="s">
        <v>3017</v>
      </c>
      <c r="H10841" s="64" t="s">
        <v>3300</v>
      </c>
      <c r="I10841" s="64" t="s">
        <v>3371</v>
      </c>
      <c r="J10841" s="67">
        <v>0</v>
      </c>
      <c r="K10841" s="62">
        <v>-1609.31</v>
      </c>
      <c r="L10841" s="33" t="e">
        <f>HLOOKUP(B10841,#REF!,1,0)</f>
        <v>#REF!</v>
      </c>
      <c r="M10841" s="33" t="str">
        <f t="shared" si="679"/>
        <v>P&amp;L</v>
      </c>
    </row>
    <row r="10842" spans="1:13">
      <c r="A10842" s="33" t="str">
        <f t="shared" si="676"/>
        <v>SCL - Other Income/Expense</v>
      </c>
      <c r="B10842" s="33" t="str">
        <f t="shared" si="677"/>
        <v>SCL</v>
      </c>
      <c r="C10842" s="33" t="str">
        <f t="shared" si="678"/>
        <v>99001-7403</v>
      </c>
      <c r="D10842" s="64" t="s">
        <v>12103</v>
      </c>
      <c r="E10842" s="64" t="s">
        <v>3370</v>
      </c>
      <c r="F10842" s="64" t="s">
        <v>15</v>
      </c>
      <c r="G10842" s="64" t="s">
        <v>3017</v>
      </c>
      <c r="H10842" s="64" t="s">
        <v>3300</v>
      </c>
      <c r="I10842" s="64" t="s">
        <v>3371</v>
      </c>
      <c r="J10842" s="67">
        <v>-284.4</v>
      </c>
      <c r="K10842" s="62">
        <v>-2248.53</v>
      </c>
      <c r="L10842" s="33" t="e">
        <f>HLOOKUP(B10842,#REF!,1,0)</f>
        <v>#REF!</v>
      </c>
      <c r="M10842" s="33" t="str">
        <f t="shared" si="679"/>
        <v>P&amp;L</v>
      </c>
    </row>
    <row r="10843" spans="1:13">
      <c r="A10843" s="33" t="str">
        <f t="shared" si="676"/>
        <v>SCL - Other Income/Expense</v>
      </c>
      <c r="B10843" s="33" t="str">
        <f t="shared" si="677"/>
        <v>SCL</v>
      </c>
      <c r="C10843" s="33" t="str">
        <f t="shared" si="678"/>
        <v>99001-7406</v>
      </c>
      <c r="D10843" s="64" t="s">
        <v>12104</v>
      </c>
      <c r="E10843" s="64" t="s">
        <v>3370</v>
      </c>
      <c r="F10843" s="64" t="s">
        <v>15</v>
      </c>
      <c r="G10843" s="64" t="s">
        <v>3017</v>
      </c>
      <c r="H10843" s="64" t="s">
        <v>3300</v>
      </c>
      <c r="I10843" s="64" t="s">
        <v>3371</v>
      </c>
      <c r="J10843" s="67">
        <v>0</v>
      </c>
      <c r="K10843" s="62">
        <v>0</v>
      </c>
      <c r="L10843" s="33" t="e">
        <f>HLOOKUP(B10843,#REF!,1,0)</f>
        <v>#REF!</v>
      </c>
      <c r="M10843" s="33" t="str">
        <f t="shared" si="679"/>
        <v>P&amp;L</v>
      </c>
    </row>
    <row r="10844" spans="1:13">
      <c r="A10844" s="33" t="str">
        <f t="shared" si="676"/>
        <v>SCL - Other Income/Expense</v>
      </c>
      <c r="B10844" s="33" t="str">
        <f t="shared" si="677"/>
        <v>SCL</v>
      </c>
      <c r="C10844" s="33" t="str">
        <f t="shared" si="678"/>
        <v>99001-7489</v>
      </c>
      <c r="D10844" s="64" t="s">
        <v>12105</v>
      </c>
      <c r="E10844" s="64" t="s">
        <v>3370</v>
      </c>
      <c r="F10844" s="64" t="s">
        <v>15</v>
      </c>
      <c r="G10844" s="64" t="s">
        <v>3017</v>
      </c>
      <c r="H10844" s="64" t="s">
        <v>3300</v>
      </c>
      <c r="I10844" s="64" t="s">
        <v>3371</v>
      </c>
      <c r="J10844" s="67">
        <v>-142.2</v>
      </c>
      <c r="K10844" s="62">
        <v>-1927.49</v>
      </c>
      <c r="L10844" s="33" t="e">
        <f>HLOOKUP(B10844,#REF!,1,0)</f>
        <v>#REF!</v>
      </c>
      <c r="M10844" s="33" t="str">
        <f t="shared" si="679"/>
        <v>P&amp;L</v>
      </c>
    </row>
    <row r="10845" spans="1:13">
      <c r="A10845" s="33" t="str">
        <f t="shared" si="676"/>
        <v>SCL - Other Income/Expense</v>
      </c>
      <c r="B10845" s="33" t="str">
        <f t="shared" si="677"/>
        <v>SCL</v>
      </c>
      <c r="C10845" s="33" t="str">
        <f t="shared" si="678"/>
        <v>99001-7491</v>
      </c>
      <c r="D10845" s="64" t="s">
        <v>12106</v>
      </c>
      <c r="E10845" s="64" t="s">
        <v>3370</v>
      </c>
      <c r="F10845" s="64" t="s">
        <v>15</v>
      </c>
      <c r="G10845" s="64" t="s">
        <v>3017</v>
      </c>
      <c r="H10845" s="64" t="s">
        <v>3300</v>
      </c>
      <c r="I10845" s="64" t="s">
        <v>3371</v>
      </c>
      <c r="J10845" s="67">
        <v>-395</v>
      </c>
      <c r="K10845" s="62">
        <v>-2146.65</v>
      </c>
      <c r="L10845" s="33" t="e">
        <f>HLOOKUP(B10845,#REF!,1,0)</f>
        <v>#REF!</v>
      </c>
      <c r="M10845" s="33" t="str">
        <f t="shared" si="679"/>
        <v>P&amp;L</v>
      </c>
    </row>
    <row r="10846" spans="1:13">
      <c r="A10846" s="33" t="str">
        <f t="shared" si="676"/>
        <v>SCL - Other Income/Expense</v>
      </c>
      <c r="B10846" s="33" t="str">
        <f t="shared" si="677"/>
        <v>SCL</v>
      </c>
      <c r="C10846" s="33" t="str">
        <f t="shared" si="678"/>
        <v>99001-7492</v>
      </c>
      <c r="D10846" s="64" t="s">
        <v>12107</v>
      </c>
      <c r="E10846" s="64" t="s">
        <v>3370</v>
      </c>
      <c r="F10846" s="64" t="s">
        <v>15</v>
      </c>
      <c r="G10846" s="64" t="s">
        <v>3017</v>
      </c>
      <c r="H10846" s="64" t="s">
        <v>3300</v>
      </c>
      <c r="I10846" s="64" t="s">
        <v>3371</v>
      </c>
      <c r="J10846" s="67">
        <v>-126.4</v>
      </c>
      <c r="K10846" s="62">
        <v>-1526.89</v>
      </c>
      <c r="L10846" s="33" t="e">
        <f>HLOOKUP(B10846,#REF!,1,0)</f>
        <v>#REF!</v>
      </c>
      <c r="M10846" s="33" t="str">
        <f t="shared" si="679"/>
        <v>P&amp;L</v>
      </c>
    </row>
    <row r="10847" spans="1:13">
      <c r="A10847" s="33" t="str">
        <f t="shared" si="676"/>
        <v>SCL - Other Income/Expense</v>
      </c>
      <c r="B10847" s="33" t="str">
        <f t="shared" si="677"/>
        <v>SCL</v>
      </c>
      <c r="C10847" s="33" t="str">
        <f t="shared" si="678"/>
        <v>99001-7493</v>
      </c>
      <c r="D10847" s="64" t="s">
        <v>12108</v>
      </c>
      <c r="E10847" s="64" t="s">
        <v>3370</v>
      </c>
      <c r="F10847" s="64" t="s">
        <v>15</v>
      </c>
      <c r="G10847" s="64" t="s">
        <v>3017</v>
      </c>
      <c r="H10847" s="64" t="s">
        <v>3300</v>
      </c>
      <c r="I10847" s="64" t="s">
        <v>3371</v>
      </c>
      <c r="J10847" s="67">
        <v>-268.6</v>
      </c>
      <c r="K10847" s="62">
        <v>-2506.09</v>
      </c>
      <c r="L10847" s="33" t="e">
        <f>HLOOKUP(B10847,#REF!,1,0)</f>
        <v>#REF!</v>
      </c>
      <c r="M10847" s="33" t="str">
        <f t="shared" si="679"/>
        <v>P&amp;L</v>
      </c>
    </row>
    <row r="10848" spans="1:13">
      <c r="A10848" s="33" t="str">
        <f t="shared" si="676"/>
        <v>SCL - Other Income/Expense</v>
      </c>
      <c r="B10848" s="33" t="str">
        <f t="shared" si="677"/>
        <v>SCL</v>
      </c>
      <c r="C10848" s="33" t="str">
        <f t="shared" si="678"/>
        <v>99001-7494</v>
      </c>
      <c r="D10848" s="64" t="s">
        <v>12109</v>
      </c>
      <c r="E10848" s="64" t="s">
        <v>3370</v>
      </c>
      <c r="F10848" s="64" t="s">
        <v>15</v>
      </c>
      <c r="G10848" s="64" t="s">
        <v>3017</v>
      </c>
      <c r="H10848" s="64" t="s">
        <v>3300</v>
      </c>
      <c r="I10848" s="64" t="s">
        <v>3371</v>
      </c>
      <c r="J10848" s="67">
        <v>-126.4</v>
      </c>
      <c r="K10848" s="62">
        <v>-2016.56</v>
      </c>
      <c r="L10848" s="33" t="e">
        <f>HLOOKUP(B10848,#REF!,1,0)</f>
        <v>#REF!</v>
      </c>
      <c r="M10848" s="33" t="str">
        <f t="shared" si="679"/>
        <v>P&amp;L</v>
      </c>
    </row>
    <row r="10849" spans="1:13">
      <c r="A10849" s="33" t="str">
        <f t="shared" si="676"/>
        <v>SCL - Other Income/Expense</v>
      </c>
      <c r="B10849" s="33" t="str">
        <f t="shared" si="677"/>
        <v>SCL</v>
      </c>
      <c r="C10849" s="33" t="str">
        <f t="shared" si="678"/>
        <v>99001-7625</v>
      </c>
      <c r="D10849" s="64" t="s">
        <v>12110</v>
      </c>
      <c r="E10849" s="64" t="s">
        <v>3370</v>
      </c>
      <c r="F10849" s="64" t="s">
        <v>15</v>
      </c>
      <c r="G10849" s="64" t="s">
        <v>3017</v>
      </c>
      <c r="H10849" s="64" t="s">
        <v>3300</v>
      </c>
      <c r="I10849" s="64" t="s">
        <v>3371</v>
      </c>
      <c r="J10849" s="67">
        <v>-126.4</v>
      </c>
      <c r="K10849" s="62">
        <v>-2115.28</v>
      </c>
      <c r="L10849" s="33" t="e">
        <f>HLOOKUP(B10849,#REF!,1,0)</f>
        <v>#REF!</v>
      </c>
      <c r="M10849" s="33" t="str">
        <f t="shared" si="679"/>
        <v>P&amp;L</v>
      </c>
    </row>
    <row r="10850" spans="1:13">
      <c r="A10850" s="33" t="str">
        <f t="shared" si="676"/>
        <v>SCL - Other Income/Expense</v>
      </c>
      <c r="B10850" s="33" t="str">
        <f t="shared" si="677"/>
        <v>SCL</v>
      </c>
      <c r="C10850" s="33" t="str">
        <f t="shared" si="678"/>
        <v>99001-8150</v>
      </c>
      <c r="D10850" s="64" t="s">
        <v>12111</v>
      </c>
      <c r="E10850" s="64" t="s">
        <v>3370</v>
      </c>
      <c r="F10850" s="64" t="s">
        <v>15</v>
      </c>
      <c r="G10850" s="64" t="s">
        <v>3017</v>
      </c>
      <c r="H10850" s="64" t="s">
        <v>3300</v>
      </c>
      <c r="I10850" s="64" t="s">
        <v>3371</v>
      </c>
      <c r="J10850" s="67">
        <v>-237</v>
      </c>
      <c r="K10850" s="62">
        <v>-2188.87</v>
      </c>
      <c r="L10850" s="33" t="e">
        <f>HLOOKUP(B10850,#REF!,1,0)</f>
        <v>#REF!</v>
      </c>
      <c r="M10850" s="33" t="str">
        <f t="shared" si="679"/>
        <v>P&amp;L</v>
      </c>
    </row>
    <row r="10851" spans="1:13">
      <c r="A10851" s="33" t="str">
        <f t="shared" si="676"/>
        <v>SCL - Income Tax</v>
      </c>
      <c r="B10851" s="33" t="str">
        <f t="shared" si="677"/>
        <v>SCL</v>
      </c>
      <c r="C10851" s="33" t="str">
        <f t="shared" si="678"/>
        <v>99901-0000</v>
      </c>
      <c r="D10851" s="64" t="s">
        <v>12112</v>
      </c>
      <c r="E10851" s="64" t="s">
        <v>3377</v>
      </c>
      <c r="F10851" s="64" t="s">
        <v>15</v>
      </c>
      <c r="G10851" s="64" t="s">
        <v>3326</v>
      </c>
      <c r="H10851" s="64" t="s">
        <v>3378</v>
      </c>
      <c r="I10851" s="64" t="s">
        <v>3379</v>
      </c>
      <c r="J10851" s="67">
        <v>0</v>
      </c>
      <c r="K10851" s="62">
        <v>11632.22</v>
      </c>
      <c r="L10851" s="33" t="e">
        <f>HLOOKUP(B10851,#REF!,1,0)</f>
        <v>#REF!</v>
      </c>
      <c r="M10851" s="33" t="str">
        <f t="shared" si="679"/>
        <v>P&amp;L</v>
      </c>
    </row>
    <row r="10852" spans="1:13">
      <c r="A10852" s="33" t="str">
        <f t="shared" si="676"/>
        <v>SCR - Cash</v>
      </c>
      <c r="B10852" s="33" t="str">
        <f t="shared" si="677"/>
        <v>SCR</v>
      </c>
      <c r="C10852" s="33" t="str">
        <f t="shared" si="678"/>
        <v>10503-0000</v>
      </c>
      <c r="D10852" s="64" t="s">
        <v>12113</v>
      </c>
      <c r="E10852" s="64" t="s">
        <v>5211</v>
      </c>
      <c r="F10852" s="64" t="s">
        <v>681</v>
      </c>
      <c r="G10852" s="64" t="s">
        <v>16</v>
      </c>
      <c r="H10852" s="64" t="s">
        <v>25</v>
      </c>
      <c r="I10852" s="64" t="s">
        <v>18</v>
      </c>
      <c r="J10852" s="67">
        <v>0</v>
      </c>
      <c r="K10852" s="62">
        <v>1283620.84</v>
      </c>
      <c r="L10852" s="33" t="e">
        <f>HLOOKUP(B10852,#REF!,1,0)</f>
        <v>#REF!</v>
      </c>
      <c r="M10852" s="33" t="str">
        <f t="shared" si="679"/>
        <v>BS</v>
      </c>
    </row>
    <row r="10853" spans="1:13">
      <c r="A10853" s="33" t="str">
        <f t="shared" si="676"/>
        <v>SCR - Cash</v>
      </c>
      <c r="B10853" s="33" t="str">
        <f t="shared" si="677"/>
        <v>SCR</v>
      </c>
      <c r="C10853" s="33" t="str">
        <f t="shared" si="678"/>
        <v>10515-0000</v>
      </c>
      <c r="D10853" s="64" t="s">
        <v>12114</v>
      </c>
      <c r="E10853" s="64" t="s">
        <v>834</v>
      </c>
      <c r="F10853" s="64" t="s">
        <v>679</v>
      </c>
      <c r="G10853" s="64" t="s">
        <v>16</v>
      </c>
      <c r="H10853" s="64" t="s">
        <v>25</v>
      </c>
      <c r="I10853" s="64" t="s">
        <v>18</v>
      </c>
      <c r="J10853" s="67">
        <v>0</v>
      </c>
      <c r="K10853" s="62">
        <v>22053.6</v>
      </c>
      <c r="L10853" s="33" t="e">
        <f>HLOOKUP(B10853,#REF!,1,0)</f>
        <v>#REF!</v>
      </c>
      <c r="M10853" s="33" t="str">
        <f t="shared" si="679"/>
        <v>BS</v>
      </c>
    </row>
    <row r="10854" spans="1:13">
      <c r="A10854" s="33" t="str">
        <f t="shared" si="676"/>
        <v>SCR - Intercompany</v>
      </c>
      <c r="B10854" s="33" t="str">
        <f t="shared" si="677"/>
        <v>SCR</v>
      </c>
      <c r="C10854" s="33" t="str">
        <f t="shared" si="678"/>
        <v>11207-0000</v>
      </c>
      <c r="D10854" s="64" t="s">
        <v>12115</v>
      </c>
      <c r="E10854" s="64" t="s">
        <v>1125</v>
      </c>
      <c r="F10854" s="64" t="s">
        <v>1120</v>
      </c>
      <c r="G10854" s="64" t="s">
        <v>16</v>
      </c>
      <c r="H10854" s="64" t="s">
        <v>39</v>
      </c>
      <c r="I10854" s="64" t="s">
        <v>40</v>
      </c>
      <c r="J10854" s="67">
        <v>0</v>
      </c>
      <c r="K10854" s="62">
        <v>-1305694.44</v>
      </c>
      <c r="L10854" s="33" t="e">
        <f>HLOOKUP(B10854,#REF!,1,0)</f>
        <v>#REF!</v>
      </c>
      <c r="M10854" s="33" t="str">
        <f t="shared" si="679"/>
        <v>BS</v>
      </c>
    </row>
    <row r="10855" spans="1:13">
      <c r="A10855" s="33" t="str">
        <f t="shared" si="676"/>
        <v>SCR - Operating Expense</v>
      </c>
      <c r="B10855" s="33" t="str">
        <f t="shared" si="677"/>
        <v>SCR</v>
      </c>
      <c r="C10855" s="33" t="str">
        <f t="shared" si="678"/>
        <v>50400-0000</v>
      </c>
      <c r="D10855" s="64" t="s">
        <v>12116</v>
      </c>
      <c r="E10855" s="64" t="s">
        <v>3837</v>
      </c>
      <c r="F10855" s="64" t="s">
        <v>679</v>
      </c>
      <c r="G10855" s="64" t="s">
        <v>4426</v>
      </c>
      <c r="H10855" s="64" t="s">
        <v>3022</v>
      </c>
      <c r="I10855" s="64" t="s">
        <v>5233</v>
      </c>
      <c r="J10855" s="67">
        <v>0</v>
      </c>
      <c r="K10855" s="62">
        <v>20</v>
      </c>
      <c r="L10855" s="33" t="e">
        <f>HLOOKUP(B10855,#REF!,1,0)</f>
        <v>#REF!</v>
      </c>
      <c r="M10855" s="33" t="str">
        <f t="shared" si="679"/>
        <v>P&amp;L</v>
      </c>
    </row>
    <row r="10856" spans="1:13">
      <c r="A10856" s="33" t="str">
        <f t="shared" si="676"/>
        <v>SEA - Intercompany</v>
      </c>
      <c r="B10856" s="33" t="str">
        <f t="shared" si="677"/>
        <v>SEA</v>
      </c>
      <c r="C10856" s="33" t="str">
        <f t="shared" si="678"/>
        <v>11216-0000</v>
      </c>
      <c r="D10856" s="64" t="s">
        <v>12117</v>
      </c>
      <c r="E10856" s="64" t="s">
        <v>242</v>
      </c>
      <c r="F10856" s="64" t="s">
        <v>230</v>
      </c>
      <c r="G10856" s="64" t="s">
        <v>16</v>
      </c>
      <c r="H10856" s="64" t="s">
        <v>39</v>
      </c>
      <c r="I10856" s="64" t="s">
        <v>40</v>
      </c>
      <c r="J10856" s="67">
        <v>230.29</v>
      </c>
      <c r="K10856" s="62">
        <v>-673.33</v>
      </c>
      <c r="L10856" s="33" t="e">
        <f>HLOOKUP(B10856,#REF!,1,0)</f>
        <v>#REF!</v>
      </c>
      <c r="M10856" s="33" t="str">
        <f t="shared" si="679"/>
        <v>BS</v>
      </c>
    </row>
    <row r="10857" spans="1:13">
      <c r="A10857" s="33" t="str">
        <f t="shared" si="676"/>
        <v>SEA - Fixed Assets</v>
      </c>
      <c r="B10857" s="33" t="str">
        <f t="shared" si="677"/>
        <v>SEA</v>
      </c>
      <c r="C10857" s="33" t="str">
        <f t="shared" si="678"/>
        <v>15501-0000</v>
      </c>
      <c r="D10857" s="64" t="s">
        <v>12118</v>
      </c>
      <c r="E10857" s="64" t="s">
        <v>2635</v>
      </c>
      <c r="F10857" s="64" t="s">
        <v>230</v>
      </c>
      <c r="G10857" s="64" t="s">
        <v>62</v>
      </c>
      <c r="H10857" s="64" t="s">
        <v>63</v>
      </c>
      <c r="I10857" s="64" t="s">
        <v>64</v>
      </c>
      <c r="J10857" s="67">
        <v>149.6</v>
      </c>
      <c r="K10857" s="62">
        <v>587.14</v>
      </c>
      <c r="L10857" s="33" t="e">
        <f>HLOOKUP(B10857,#REF!,1,0)</f>
        <v>#REF!</v>
      </c>
      <c r="M10857" s="33" t="str">
        <f t="shared" si="679"/>
        <v>BS</v>
      </c>
    </row>
    <row r="10858" spans="1:13">
      <c r="A10858" s="33" t="str">
        <f t="shared" si="676"/>
        <v>SEA - Deposits</v>
      </c>
      <c r="B10858" s="33" t="str">
        <f t="shared" si="677"/>
        <v>SEA</v>
      </c>
      <c r="C10858" s="33" t="str">
        <f t="shared" si="678"/>
        <v>19001-0000</v>
      </c>
      <c r="D10858" s="64" t="s">
        <v>12119</v>
      </c>
      <c r="E10858" s="64" t="s">
        <v>344</v>
      </c>
      <c r="F10858" s="64" t="s">
        <v>230</v>
      </c>
      <c r="G10858" s="64" t="s">
        <v>62</v>
      </c>
      <c r="H10858" s="64" t="s">
        <v>80</v>
      </c>
      <c r="I10858" s="64" t="s">
        <v>81</v>
      </c>
      <c r="J10858" s="67">
        <v>0</v>
      </c>
      <c r="K10858" s="62">
        <v>1156.97</v>
      </c>
      <c r="L10858" s="33" t="e">
        <f>HLOOKUP(B10858,#REF!,1,0)</f>
        <v>#REF!</v>
      </c>
      <c r="M10858" s="33" t="str">
        <f t="shared" si="679"/>
        <v>BS</v>
      </c>
    </row>
    <row r="10859" spans="1:13">
      <c r="A10859" s="33" t="str">
        <f t="shared" si="676"/>
        <v>SEA - AP-Accr Exp</v>
      </c>
      <c r="B10859" s="33" t="str">
        <f t="shared" si="677"/>
        <v>SEA</v>
      </c>
      <c r="C10859" s="33" t="str">
        <f t="shared" si="678"/>
        <v>20001-0000</v>
      </c>
      <c r="D10859" s="64" t="s">
        <v>12120</v>
      </c>
      <c r="E10859" s="64" t="s">
        <v>96</v>
      </c>
      <c r="F10859" s="64" t="s">
        <v>230</v>
      </c>
      <c r="G10859" s="64" t="s">
        <v>97</v>
      </c>
      <c r="H10859" s="64" t="s">
        <v>98</v>
      </c>
      <c r="I10859" s="64" t="s">
        <v>99</v>
      </c>
      <c r="J10859" s="67">
        <v>1253.18</v>
      </c>
      <c r="K10859" s="62">
        <v>0</v>
      </c>
      <c r="L10859" s="33" t="e">
        <f>HLOOKUP(B10859,#REF!,1,0)</f>
        <v>#REF!</v>
      </c>
      <c r="M10859" s="33" t="str">
        <f t="shared" si="679"/>
        <v>BS</v>
      </c>
    </row>
    <row r="10860" spans="1:13">
      <c r="A10860" s="33" t="str">
        <f t="shared" si="676"/>
        <v>SEA - AP-Accr Exp</v>
      </c>
      <c r="B10860" s="33" t="str">
        <f t="shared" si="677"/>
        <v>SEA</v>
      </c>
      <c r="C10860" s="33" t="str">
        <f t="shared" si="678"/>
        <v>23509-0000</v>
      </c>
      <c r="D10860" s="64" t="s">
        <v>12121</v>
      </c>
      <c r="E10860" s="64" t="s">
        <v>111</v>
      </c>
      <c r="F10860" s="64" t="s">
        <v>230</v>
      </c>
      <c r="G10860" s="64" t="s">
        <v>97</v>
      </c>
      <c r="H10860" s="64" t="s">
        <v>98</v>
      </c>
      <c r="I10860" s="64" t="s">
        <v>102</v>
      </c>
      <c r="J10860" s="67">
        <v>-3000</v>
      </c>
      <c r="K10860" s="62">
        <v>0</v>
      </c>
      <c r="L10860" s="33" t="e">
        <f>HLOOKUP(B10860,#REF!,1,0)</f>
        <v>#REF!</v>
      </c>
      <c r="M10860" s="33" t="str">
        <f t="shared" si="679"/>
        <v>BS</v>
      </c>
    </row>
    <row r="10861" spans="1:13">
      <c r="A10861" s="33" t="str">
        <f t="shared" si="676"/>
        <v>SEA - Interco Notes</v>
      </c>
      <c r="B10861" s="33" t="str">
        <f t="shared" si="677"/>
        <v>SEA</v>
      </c>
      <c r="C10861" s="33" t="str">
        <f t="shared" si="678"/>
        <v>25100-0000</v>
      </c>
      <c r="D10861" s="64" t="s">
        <v>12122</v>
      </c>
      <c r="E10861" s="64" t="s">
        <v>12123</v>
      </c>
      <c r="F10861" s="64" t="s">
        <v>230</v>
      </c>
      <c r="G10861" s="64" t="s">
        <v>16</v>
      </c>
      <c r="H10861" s="64" t="s">
        <v>721</v>
      </c>
      <c r="I10861" s="64" t="s">
        <v>40</v>
      </c>
      <c r="J10861" s="67">
        <v>0</v>
      </c>
      <c r="K10861" s="62">
        <v>-20000</v>
      </c>
      <c r="L10861" s="33" t="e">
        <f>HLOOKUP(B10861,#REF!,1,0)</f>
        <v>#REF!</v>
      </c>
      <c r="M10861" s="33" t="str">
        <f t="shared" si="679"/>
        <v>BS</v>
      </c>
    </row>
    <row r="10862" spans="1:13">
      <c r="A10862" s="33" t="str">
        <f t="shared" si="676"/>
        <v>SEA - AR-PPD</v>
      </c>
      <c r="B10862" s="33" t="str">
        <f t="shared" si="677"/>
        <v>SEA</v>
      </c>
      <c r="C10862" s="33" t="str">
        <f t="shared" si="678"/>
        <v>25300-0000</v>
      </c>
      <c r="D10862" s="64" t="s">
        <v>12124</v>
      </c>
      <c r="E10862" s="64" t="s">
        <v>3677</v>
      </c>
      <c r="F10862" s="64" t="s">
        <v>230</v>
      </c>
      <c r="G10862" s="64" t="s">
        <v>3678</v>
      </c>
      <c r="H10862" s="64" t="s">
        <v>35</v>
      </c>
      <c r="I10862" s="64" t="s">
        <v>102</v>
      </c>
      <c r="J10862" s="67">
        <v>-1101</v>
      </c>
      <c r="K10862" s="62">
        <v>-1101</v>
      </c>
      <c r="L10862" s="33" t="e">
        <f>HLOOKUP(B10862,#REF!,1,0)</f>
        <v>#REF!</v>
      </c>
      <c r="M10862" s="33" t="str">
        <f t="shared" si="679"/>
        <v>BS</v>
      </c>
    </row>
    <row r="10863" spans="1:13">
      <c r="A10863" s="33" t="str">
        <f t="shared" si="676"/>
        <v>SEA - Revenue</v>
      </c>
      <c r="B10863" s="33" t="str">
        <f t="shared" si="677"/>
        <v>SEA</v>
      </c>
      <c r="C10863" s="33" t="str">
        <f t="shared" si="678"/>
        <v>40110-0000</v>
      </c>
      <c r="D10863" s="64" t="s">
        <v>12125</v>
      </c>
      <c r="E10863" s="64" t="s">
        <v>3683</v>
      </c>
      <c r="F10863" s="64" t="s">
        <v>230</v>
      </c>
      <c r="G10863" s="64" t="s">
        <v>3684</v>
      </c>
      <c r="H10863" s="64" t="s">
        <v>2871</v>
      </c>
      <c r="I10863" s="64" t="s">
        <v>3685</v>
      </c>
      <c r="J10863" s="67">
        <v>-11113</v>
      </c>
      <c r="K10863" s="62">
        <v>-111130</v>
      </c>
      <c r="L10863" s="33" t="e">
        <f>HLOOKUP(B10863,#REF!,1,0)</f>
        <v>#REF!</v>
      </c>
      <c r="M10863" s="33" t="str">
        <f t="shared" si="679"/>
        <v>P&amp;L</v>
      </c>
    </row>
    <row r="10864" spans="1:13">
      <c r="A10864" s="33" t="str">
        <f t="shared" si="676"/>
        <v>SEA - Revenue</v>
      </c>
      <c r="B10864" s="33" t="str">
        <f t="shared" si="677"/>
        <v>SEA</v>
      </c>
      <c r="C10864" s="33" t="str">
        <f t="shared" si="678"/>
        <v>40120-0000</v>
      </c>
      <c r="D10864" s="64" t="s">
        <v>12126</v>
      </c>
      <c r="E10864" s="64" t="s">
        <v>3687</v>
      </c>
      <c r="F10864" s="64" t="s">
        <v>230</v>
      </c>
      <c r="G10864" s="64" t="s">
        <v>3684</v>
      </c>
      <c r="H10864" s="64" t="s">
        <v>2871</v>
      </c>
      <c r="I10864" s="64" t="s">
        <v>3688</v>
      </c>
      <c r="J10864" s="67">
        <v>-1866</v>
      </c>
      <c r="K10864" s="62">
        <v>-13116</v>
      </c>
      <c r="L10864" s="33" t="e">
        <f>HLOOKUP(B10864,#REF!,1,0)</f>
        <v>#REF!</v>
      </c>
      <c r="M10864" s="33" t="str">
        <f t="shared" si="679"/>
        <v>P&amp;L</v>
      </c>
    </row>
    <row r="10865" spans="1:13">
      <c r="A10865" s="33" t="str">
        <f t="shared" si="676"/>
        <v>SEA - Revenue</v>
      </c>
      <c r="B10865" s="33" t="str">
        <f t="shared" si="677"/>
        <v>SEA</v>
      </c>
      <c r="C10865" s="33" t="str">
        <f t="shared" si="678"/>
        <v>40130-0000</v>
      </c>
      <c r="D10865" s="64" t="s">
        <v>12127</v>
      </c>
      <c r="E10865" s="64" t="s">
        <v>3690</v>
      </c>
      <c r="F10865" s="64" t="s">
        <v>230</v>
      </c>
      <c r="G10865" s="64" t="s">
        <v>3684</v>
      </c>
      <c r="H10865" s="64" t="s">
        <v>2871</v>
      </c>
      <c r="I10865" s="64" t="s">
        <v>3691</v>
      </c>
      <c r="J10865" s="67">
        <v>-810</v>
      </c>
      <c r="K10865" s="62">
        <v>-7590</v>
      </c>
      <c r="L10865" s="33" t="e">
        <f>HLOOKUP(B10865,#REF!,1,0)</f>
        <v>#REF!</v>
      </c>
      <c r="M10865" s="33" t="str">
        <f t="shared" si="679"/>
        <v>P&amp;L</v>
      </c>
    </row>
    <row r="10866" spans="1:13">
      <c r="A10866" s="33" t="str">
        <f t="shared" si="676"/>
        <v>SEA - Revenue</v>
      </c>
      <c r="B10866" s="33" t="str">
        <f t="shared" si="677"/>
        <v>SEA</v>
      </c>
      <c r="C10866" s="33" t="str">
        <f t="shared" si="678"/>
        <v>40140-0000</v>
      </c>
      <c r="D10866" s="64" t="s">
        <v>12128</v>
      </c>
      <c r="E10866" s="64" t="s">
        <v>3948</v>
      </c>
      <c r="F10866" s="64" t="s">
        <v>230</v>
      </c>
      <c r="G10866" s="64" t="s">
        <v>3684</v>
      </c>
      <c r="H10866" s="64" t="s">
        <v>2871</v>
      </c>
      <c r="I10866" s="64" t="s">
        <v>3949</v>
      </c>
      <c r="J10866" s="67">
        <v>0</v>
      </c>
      <c r="K10866" s="62">
        <v>0</v>
      </c>
      <c r="L10866" s="33" t="e">
        <f>HLOOKUP(B10866,#REF!,1,0)</f>
        <v>#REF!</v>
      </c>
      <c r="M10866" s="33" t="str">
        <f t="shared" si="679"/>
        <v>P&amp;L</v>
      </c>
    </row>
    <row r="10867" spans="1:13">
      <c r="A10867" s="33" t="str">
        <f t="shared" si="676"/>
        <v>SEA - Revenue</v>
      </c>
      <c r="B10867" s="33" t="str">
        <f t="shared" si="677"/>
        <v>SEA</v>
      </c>
      <c r="C10867" s="33" t="str">
        <f t="shared" si="678"/>
        <v>41110-0000</v>
      </c>
      <c r="D10867" s="64" t="s">
        <v>12129</v>
      </c>
      <c r="E10867" s="64" t="s">
        <v>3693</v>
      </c>
      <c r="F10867" s="64" t="s">
        <v>230</v>
      </c>
      <c r="G10867" s="64" t="s">
        <v>3694</v>
      </c>
      <c r="H10867" s="64" t="s">
        <v>2871</v>
      </c>
      <c r="I10867" s="64" t="s">
        <v>3695</v>
      </c>
      <c r="J10867" s="67">
        <v>0</v>
      </c>
      <c r="K10867" s="62">
        <v>3725.17</v>
      </c>
      <c r="L10867" s="33" t="e">
        <f>HLOOKUP(B10867,#REF!,1,0)</f>
        <v>#REF!</v>
      </c>
      <c r="M10867" s="33" t="str">
        <f t="shared" si="679"/>
        <v>P&amp;L</v>
      </c>
    </row>
    <row r="10868" spans="1:13">
      <c r="A10868" s="33" t="str">
        <f t="shared" si="676"/>
        <v>SEA - Revenue</v>
      </c>
      <c r="B10868" s="33" t="str">
        <f t="shared" si="677"/>
        <v>SEA</v>
      </c>
      <c r="C10868" s="33" t="str">
        <f t="shared" si="678"/>
        <v>41121-0000</v>
      </c>
      <c r="D10868" s="64" t="s">
        <v>12130</v>
      </c>
      <c r="E10868" s="64" t="s">
        <v>3697</v>
      </c>
      <c r="F10868" s="64" t="s">
        <v>230</v>
      </c>
      <c r="G10868" s="64" t="s">
        <v>3694</v>
      </c>
      <c r="H10868" s="64" t="s">
        <v>2871</v>
      </c>
      <c r="I10868" s="64" t="s">
        <v>3698</v>
      </c>
      <c r="J10868" s="67">
        <v>2806.83</v>
      </c>
      <c r="K10868" s="62">
        <v>8745.83</v>
      </c>
      <c r="L10868" s="33" t="e">
        <f>HLOOKUP(B10868,#REF!,1,0)</f>
        <v>#REF!</v>
      </c>
      <c r="M10868" s="33" t="str">
        <f t="shared" si="679"/>
        <v>P&amp;L</v>
      </c>
    </row>
    <row r="10869" spans="1:13">
      <c r="A10869" s="33" t="str">
        <f t="shared" si="676"/>
        <v>SEA - Revenue</v>
      </c>
      <c r="B10869" s="33" t="str">
        <f t="shared" si="677"/>
        <v>SEA</v>
      </c>
      <c r="C10869" s="33" t="str">
        <f t="shared" si="678"/>
        <v>41122-0000</v>
      </c>
      <c r="D10869" s="64" t="s">
        <v>12131</v>
      </c>
      <c r="E10869" s="64" t="s">
        <v>3700</v>
      </c>
      <c r="F10869" s="64" t="s">
        <v>230</v>
      </c>
      <c r="G10869" s="64" t="s">
        <v>3694</v>
      </c>
      <c r="H10869" s="64" t="s">
        <v>2871</v>
      </c>
      <c r="I10869" s="64" t="s">
        <v>3701</v>
      </c>
      <c r="J10869" s="67">
        <v>0</v>
      </c>
      <c r="K10869" s="62">
        <v>-8200.16</v>
      </c>
      <c r="L10869" s="33" t="e">
        <f>HLOOKUP(B10869,#REF!,1,0)</f>
        <v>#REF!</v>
      </c>
      <c r="M10869" s="33" t="str">
        <f t="shared" si="679"/>
        <v>P&amp;L</v>
      </c>
    </row>
    <row r="10870" spans="1:13">
      <c r="A10870" s="33" t="str">
        <f t="shared" si="676"/>
        <v>SEA - Revenue</v>
      </c>
      <c r="B10870" s="33" t="str">
        <f t="shared" si="677"/>
        <v>SEA</v>
      </c>
      <c r="C10870" s="33" t="str">
        <f t="shared" si="678"/>
        <v>41130-0000</v>
      </c>
      <c r="D10870" s="64" t="s">
        <v>12132</v>
      </c>
      <c r="E10870" s="64" t="s">
        <v>3703</v>
      </c>
      <c r="F10870" s="64" t="s">
        <v>230</v>
      </c>
      <c r="G10870" s="64" t="s">
        <v>3694</v>
      </c>
      <c r="H10870" s="64" t="s">
        <v>2871</v>
      </c>
      <c r="I10870" s="64" t="s">
        <v>3704</v>
      </c>
      <c r="J10870" s="67">
        <v>0</v>
      </c>
      <c r="K10870" s="62">
        <v>0</v>
      </c>
      <c r="L10870" s="33" t="e">
        <f>HLOOKUP(B10870,#REF!,1,0)</f>
        <v>#REF!</v>
      </c>
      <c r="M10870" s="33" t="str">
        <f t="shared" si="679"/>
        <v>P&amp;L</v>
      </c>
    </row>
    <row r="10871" spans="1:13">
      <c r="A10871" s="33" t="str">
        <f t="shared" si="676"/>
        <v>SEA - Revenue</v>
      </c>
      <c r="B10871" s="33" t="str">
        <f t="shared" si="677"/>
        <v>SEA</v>
      </c>
      <c r="C10871" s="33" t="str">
        <f t="shared" si="678"/>
        <v>41140-0000</v>
      </c>
      <c r="D10871" s="64" t="s">
        <v>12133</v>
      </c>
      <c r="E10871" s="64" t="s">
        <v>3706</v>
      </c>
      <c r="F10871" s="64" t="s">
        <v>230</v>
      </c>
      <c r="G10871" s="64" t="s">
        <v>3694</v>
      </c>
      <c r="H10871" s="64" t="s">
        <v>2871</v>
      </c>
      <c r="I10871" s="64" t="s">
        <v>3707</v>
      </c>
      <c r="J10871" s="67">
        <v>0</v>
      </c>
      <c r="K10871" s="62">
        <v>0</v>
      </c>
      <c r="L10871" s="33" t="e">
        <f>HLOOKUP(B10871,#REF!,1,0)</f>
        <v>#REF!</v>
      </c>
      <c r="M10871" s="33" t="str">
        <f t="shared" si="679"/>
        <v>P&amp;L</v>
      </c>
    </row>
    <row r="10872" spans="1:13">
      <c r="A10872" s="33" t="str">
        <f t="shared" si="676"/>
        <v>SEA - Revenue</v>
      </c>
      <c r="B10872" s="33" t="str">
        <f t="shared" si="677"/>
        <v>SEA</v>
      </c>
      <c r="C10872" s="33" t="str">
        <f t="shared" si="678"/>
        <v>41150-0000</v>
      </c>
      <c r="D10872" s="64" t="s">
        <v>12134</v>
      </c>
      <c r="E10872" s="64" t="s">
        <v>3709</v>
      </c>
      <c r="F10872" s="64" t="s">
        <v>230</v>
      </c>
      <c r="G10872" s="64" t="s">
        <v>3694</v>
      </c>
      <c r="H10872" s="64" t="s">
        <v>2871</v>
      </c>
      <c r="I10872" s="64" t="s">
        <v>3710</v>
      </c>
      <c r="J10872" s="67">
        <v>0</v>
      </c>
      <c r="K10872" s="62">
        <v>0</v>
      </c>
      <c r="L10872" s="33" t="e">
        <f>HLOOKUP(B10872,#REF!,1,0)</f>
        <v>#REF!</v>
      </c>
      <c r="M10872" s="33" t="str">
        <f t="shared" si="679"/>
        <v>P&amp;L</v>
      </c>
    </row>
    <row r="10873" spans="1:13">
      <c r="A10873" s="33" t="str">
        <f t="shared" si="676"/>
        <v>SEA - Revenue</v>
      </c>
      <c r="B10873" s="33" t="str">
        <f t="shared" si="677"/>
        <v>SEA</v>
      </c>
      <c r="C10873" s="33" t="str">
        <f t="shared" si="678"/>
        <v>41999-0000</v>
      </c>
      <c r="D10873" s="64" t="s">
        <v>12135</v>
      </c>
      <c r="E10873" s="64" t="s">
        <v>3712</v>
      </c>
      <c r="F10873" s="64" t="s">
        <v>230</v>
      </c>
      <c r="G10873" s="64" t="s">
        <v>3713</v>
      </c>
      <c r="H10873" s="64" t="s">
        <v>2871</v>
      </c>
      <c r="I10873" s="64" t="s">
        <v>3714</v>
      </c>
      <c r="J10873" s="67">
        <v>10982.17</v>
      </c>
      <c r="K10873" s="62">
        <v>127565.16</v>
      </c>
      <c r="L10873" s="33" t="e">
        <f>HLOOKUP(B10873,#REF!,1,0)</f>
        <v>#REF!</v>
      </c>
      <c r="M10873" s="33" t="str">
        <f t="shared" si="679"/>
        <v>P&amp;L</v>
      </c>
    </row>
    <row r="10874" spans="1:13">
      <c r="A10874" s="33" t="str">
        <f t="shared" si="676"/>
        <v>SEA - Revenue</v>
      </c>
      <c r="B10874" s="33" t="str">
        <f t="shared" si="677"/>
        <v>SEA</v>
      </c>
      <c r="C10874" s="33" t="str">
        <f t="shared" si="678"/>
        <v>47400-0000</v>
      </c>
      <c r="D10874" s="64" t="s">
        <v>12136</v>
      </c>
      <c r="E10874" s="64" t="s">
        <v>3716</v>
      </c>
      <c r="F10874" s="64" t="s">
        <v>230</v>
      </c>
      <c r="G10874" s="64" t="s">
        <v>3717</v>
      </c>
      <c r="H10874" s="64" t="s">
        <v>2871</v>
      </c>
      <c r="I10874" s="64" t="s">
        <v>3718</v>
      </c>
      <c r="J10874" s="67">
        <v>-10982.17</v>
      </c>
      <c r="K10874" s="62">
        <v>-127565.16</v>
      </c>
      <c r="L10874" s="33" t="e">
        <f>HLOOKUP(B10874,#REF!,1,0)</f>
        <v>#REF!</v>
      </c>
      <c r="M10874" s="33" t="str">
        <f t="shared" si="679"/>
        <v>P&amp;L</v>
      </c>
    </row>
    <row r="10875" spans="1:13">
      <c r="A10875" s="33" t="str">
        <f t="shared" si="676"/>
        <v>SEA - Revenue</v>
      </c>
      <c r="B10875" s="33" t="str">
        <f t="shared" si="677"/>
        <v>SEA</v>
      </c>
      <c r="C10875" s="33" t="str">
        <f t="shared" si="678"/>
        <v>47440-0000</v>
      </c>
      <c r="D10875" s="64" t="s">
        <v>12137</v>
      </c>
      <c r="E10875" s="64" t="s">
        <v>3720</v>
      </c>
      <c r="F10875" s="64" t="s">
        <v>230</v>
      </c>
      <c r="G10875" s="64" t="s">
        <v>3717</v>
      </c>
      <c r="H10875" s="64" t="s">
        <v>2871</v>
      </c>
      <c r="I10875" s="64" t="s">
        <v>3721</v>
      </c>
      <c r="J10875" s="67">
        <v>0</v>
      </c>
      <c r="K10875" s="62">
        <v>0</v>
      </c>
      <c r="L10875" s="33" t="e">
        <f>HLOOKUP(B10875,#REF!,1,0)</f>
        <v>#REF!</v>
      </c>
      <c r="M10875" s="33" t="str">
        <f t="shared" si="679"/>
        <v>P&amp;L</v>
      </c>
    </row>
    <row r="10876" spans="1:13">
      <c r="A10876" s="33" t="str">
        <f t="shared" si="676"/>
        <v>SEA - Revenue</v>
      </c>
      <c r="B10876" s="33" t="str">
        <f t="shared" si="677"/>
        <v>SEA</v>
      </c>
      <c r="C10876" s="33" t="str">
        <f t="shared" si="678"/>
        <v>47450-0000</v>
      </c>
      <c r="D10876" s="64" t="s">
        <v>12138</v>
      </c>
      <c r="E10876" s="64" t="s">
        <v>3723</v>
      </c>
      <c r="F10876" s="64" t="s">
        <v>230</v>
      </c>
      <c r="G10876" s="64" t="s">
        <v>3717</v>
      </c>
      <c r="H10876" s="64" t="s">
        <v>2871</v>
      </c>
      <c r="I10876" s="64" t="s">
        <v>3724</v>
      </c>
      <c r="J10876" s="67">
        <v>-150</v>
      </c>
      <c r="K10876" s="62">
        <v>-1050</v>
      </c>
      <c r="L10876" s="33" t="e">
        <f>HLOOKUP(B10876,#REF!,1,0)</f>
        <v>#REF!</v>
      </c>
      <c r="M10876" s="33" t="str">
        <f t="shared" si="679"/>
        <v>P&amp;L</v>
      </c>
    </row>
    <row r="10877" spans="1:13">
      <c r="A10877" s="33" t="str">
        <f t="shared" si="676"/>
        <v>SEA - Revenue</v>
      </c>
      <c r="B10877" s="33" t="str">
        <f t="shared" si="677"/>
        <v>SEA</v>
      </c>
      <c r="C10877" s="33" t="str">
        <f t="shared" si="678"/>
        <v>47460-0000</v>
      </c>
      <c r="D10877" s="64" t="s">
        <v>12139</v>
      </c>
      <c r="E10877" s="64" t="s">
        <v>3726</v>
      </c>
      <c r="F10877" s="64" t="s">
        <v>230</v>
      </c>
      <c r="G10877" s="64" t="s">
        <v>3717</v>
      </c>
      <c r="H10877" s="64" t="s">
        <v>2871</v>
      </c>
      <c r="I10877" s="64" t="s">
        <v>3727</v>
      </c>
      <c r="J10877" s="67">
        <v>0</v>
      </c>
      <c r="K10877" s="62">
        <v>0</v>
      </c>
      <c r="L10877" s="33" t="e">
        <f>HLOOKUP(B10877,#REF!,1,0)</f>
        <v>#REF!</v>
      </c>
      <c r="M10877" s="33" t="str">
        <f t="shared" si="679"/>
        <v>P&amp;L</v>
      </c>
    </row>
    <row r="10878" spans="1:13">
      <c r="A10878" s="33" t="str">
        <f t="shared" si="676"/>
        <v>SEA - Revenue</v>
      </c>
      <c r="B10878" s="33" t="str">
        <f t="shared" si="677"/>
        <v>SEA</v>
      </c>
      <c r="C10878" s="33" t="str">
        <f t="shared" si="678"/>
        <v>47480-0000</v>
      </c>
      <c r="D10878" s="64" t="s">
        <v>12140</v>
      </c>
      <c r="E10878" s="64" t="s">
        <v>3729</v>
      </c>
      <c r="F10878" s="64" t="s">
        <v>230</v>
      </c>
      <c r="G10878" s="64" t="s">
        <v>3717</v>
      </c>
      <c r="H10878" s="64" t="s">
        <v>2871</v>
      </c>
      <c r="I10878" s="64" t="s">
        <v>3721</v>
      </c>
      <c r="J10878" s="67">
        <v>0</v>
      </c>
      <c r="K10878" s="62">
        <v>-405</v>
      </c>
      <c r="L10878" s="33" t="e">
        <f>HLOOKUP(B10878,#REF!,1,0)</f>
        <v>#REF!</v>
      </c>
      <c r="M10878" s="33" t="str">
        <f t="shared" si="679"/>
        <v>P&amp;L</v>
      </c>
    </row>
    <row r="10879" spans="1:13">
      <c r="A10879" s="33" t="str">
        <f t="shared" si="676"/>
        <v>SEA - Revenue</v>
      </c>
      <c r="B10879" s="33" t="str">
        <f t="shared" si="677"/>
        <v>SEA</v>
      </c>
      <c r="C10879" s="33" t="str">
        <f t="shared" si="678"/>
        <v>47490-0000</v>
      </c>
      <c r="D10879" s="64" t="s">
        <v>12141</v>
      </c>
      <c r="E10879" s="64" t="s">
        <v>3731</v>
      </c>
      <c r="F10879" s="64" t="s">
        <v>230</v>
      </c>
      <c r="G10879" s="64" t="s">
        <v>3717</v>
      </c>
      <c r="H10879" s="64" t="s">
        <v>2871</v>
      </c>
      <c r="I10879" s="64" t="s">
        <v>3721</v>
      </c>
      <c r="J10879" s="67">
        <v>0</v>
      </c>
      <c r="K10879" s="62">
        <v>0</v>
      </c>
      <c r="L10879" s="33" t="e">
        <f>HLOOKUP(B10879,#REF!,1,0)</f>
        <v>#REF!</v>
      </c>
      <c r="M10879" s="33" t="str">
        <f t="shared" si="679"/>
        <v>P&amp;L</v>
      </c>
    </row>
    <row r="10880" spans="1:13">
      <c r="A10880" s="33" t="str">
        <f t="shared" si="676"/>
        <v>SEA - Revenue</v>
      </c>
      <c r="B10880" s="33" t="str">
        <f t="shared" si="677"/>
        <v>SEA</v>
      </c>
      <c r="C10880" s="33" t="str">
        <f t="shared" si="678"/>
        <v>47492-0000</v>
      </c>
      <c r="D10880" s="64" t="s">
        <v>12142</v>
      </c>
      <c r="E10880" s="64" t="s">
        <v>3736</v>
      </c>
      <c r="F10880" s="64" t="s">
        <v>230</v>
      </c>
      <c r="G10880" s="64" t="s">
        <v>3717</v>
      </c>
      <c r="H10880" s="64" t="s">
        <v>2871</v>
      </c>
      <c r="I10880" s="64" t="s">
        <v>3737</v>
      </c>
      <c r="J10880" s="67">
        <v>-90</v>
      </c>
      <c r="K10880" s="62">
        <v>-705</v>
      </c>
      <c r="L10880" s="33" t="e">
        <f>HLOOKUP(B10880,#REF!,1,0)</f>
        <v>#REF!</v>
      </c>
      <c r="M10880" s="33" t="str">
        <f t="shared" si="679"/>
        <v>P&amp;L</v>
      </c>
    </row>
    <row r="10881" spans="1:13">
      <c r="A10881" s="33" t="str">
        <f t="shared" si="676"/>
        <v>SEA - CGS</v>
      </c>
      <c r="B10881" s="33" t="str">
        <f t="shared" si="677"/>
        <v>SEA</v>
      </c>
      <c r="C10881" s="33" t="str">
        <f t="shared" si="678"/>
        <v>51006-0000</v>
      </c>
      <c r="D10881" s="64" t="s">
        <v>12143</v>
      </c>
      <c r="E10881" s="64" t="s">
        <v>3739</v>
      </c>
      <c r="F10881" s="64" t="s">
        <v>230</v>
      </c>
      <c r="G10881" s="64" t="s">
        <v>12144</v>
      </c>
      <c r="H10881" s="64" t="s">
        <v>1875</v>
      </c>
      <c r="I10881" s="64" t="s">
        <v>3741</v>
      </c>
      <c r="J10881" s="67">
        <v>71.86</v>
      </c>
      <c r="K10881" s="62">
        <v>115.59</v>
      </c>
      <c r="L10881" s="33" t="e">
        <f>HLOOKUP(B10881,#REF!,1,0)</f>
        <v>#REF!</v>
      </c>
      <c r="M10881" s="33" t="str">
        <f t="shared" si="679"/>
        <v>P&amp;L</v>
      </c>
    </row>
    <row r="10882" spans="1:13">
      <c r="A10882" s="33" t="str">
        <f t="shared" ref="A10882:A10945" si="680">B10882&amp;" - "&amp;TRIM(H10882)</f>
        <v>SEA - CGS</v>
      </c>
      <c r="B10882" s="33" t="str">
        <f t="shared" ref="B10882:B10945" si="681">LEFT(D10882,3)</f>
        <v>SEA</v>
      </c>
      <c r="C10882" s="33" t="str">
        <f t="shared" ref="C10882:C10945" si="682">RIGHT(D10882,10)</f>
        <v>51008-0000</v>
      </c>
      <c r="D10882" s="64" t="s">
        <v>12145</v>
      </c>
      <c r="E10882" s="64" t="s">
        <v>3743</v>
      </c>
      <c r="F10882" s="64" t="s">
        <v>230</v>
      </c>
      <c r="G10882" s="64" t="s">
        <v>12144</v>
      </c>
      <c r="H10882" s="64" t="s">
        <v>1875</v>
      </c>
      <c r="I10882" s="64" t="s">
        <v>3744</v>
      </c>
      <c r="J10882" s="67">
        <v>44.04</v>
      </c>
      <c r="K10882" s="62">
        <v>-112.88</v>
      </c>
      <c r="L10882" s="33" t="e">
        <f>HLOOKUP(B10882,#REF!,1,0)</f>
        <v>#REF!</v>
      </c>
      <c r="M10882" s="33" t="str">
        <f t="shared" ref="M10882:M10945" si="683">IF(VALUE(LEFT(C10882,5))&gt;40000,"P&amp;L","BS")</f>
        <v>P&amp;L</v>
      </c>
    </row>
    <row r="10883" spans="1:13">
      <c r="A10883" s="33" t="str">
        <f t="shared" si="680"/>
        <v>SEA - CGS</v>
      </c>
      <c r="B10883" s="33" t="str">
        <f t="shared" si="681"/>
        <v>SEA</v>
      </c>
      <c r="C10883" s="33" t="str">
        <f t="shared" si="682"/>
        <v>51009-0000</v>
      </c>
      <c r="D10883" s="64" t="s">
        <v>12146</v>
      </c>
      <c r="E10883" s="64" t="s">
        <v>3746</v>
      </c>
      <c r="F10883" s="64" t="s">
        <v>230</v>
      </c>
      <c r="G10883" s="64" t="s">
        <v>3740</v>
      </c>
      <c r="H10883" s="64" t="s">
        <v>1875</v>
      </c>
      <c r="I10883" s="64" t="s">
        <v>3747</v>
      </c>
      <c r="J10883" s="67">
        <v>0</v>
      </c>
      <c r="K10883" s="62">
        <v>375</v>
      </c>
      <c r="L10883" s="33" t="e">
        <f>HLOOKUP(B10883,#REF!,1,0)</f>
        <v>#REF!</v>
      </c>
      <c r="M10883" s="33" t="str">
        <f t="shared" si="683"/>
        <v>P&amp;L</v>
      </c>
    </row>
    <row r="10884" spans="1:13">
      <c r="A10884" s="33" t="str">
        <f t="shared" si="680"/>
        <v>SEA - CGS</v>
      </c>
      <c r="B10884" s="33" t="str">
        <f t="shared" si="681"/>
        <v>SEA</v>
      </c>
      <c r="C10884" s="33" t="str">
        <f t="shared" si="682"/>
        <v>51011-0000</v>
      </c>
      <c r="D10884" s="64" t="s">
        <v>12147</v>
      </c>
      <c r="E10884" s="64" t="s">
        <v>3749</v>
      </c>
      <c r="F10884" s="64" t="s">
        <v>230</v>
      </c>
      <c r="G10884" s="64" t="s">
        <v>3740</v>
      </c>
      <c r="H10884" s="64" t="s">
        <v>1875</v>
      </c>
      <c r="I10884" s="64" t="s">
        <v>3750</v>
      </c>
      <c r="J10884" s="67">
        <v>3000</v>
      </c>
      <c r="K10884" s="62">
        <v>6350</v>
      </c>
      <c r="L10884" s="33" t="e">
        <f>HLOOKUP(B10884,#REF!,1,0)</f>
        <v>#REF!</v>
      </c>
      <c r="M10884" s="33" t="str">
        <f t="shared" si="683"/>
        <v>P&amp;L</v>
      </c>
    </row>
    <row r="10885" spans="1:13">
      <c r="A10885" s="33" t="str">
        <f t="shared" si="680"/>
        <v>SEA - CGS</v>
      </c>
      <c r="B10885" s="33" t="str">
        <f t="shared" si="681"/>
        <v>SEA</v>
      </c>
      <c r="C10885" s="33" t="str">
        <f t="shared" si="682"/>
        <v>51013-0000</v>
      </c>
      <c r="D10885" s="64" t="s">
        <v>12148</v>
      </c>
      <c r="E10885" s="64" t="s">
        <v>3979</v>
      </c>
      <c r="F10885" s="64" t="s">
        <v>230</v>
      </c>
      <c r="G10885" s="64" t="s">
        <v>3740</v>
      </c>
      <c r="H10885" s="64" t="s">
        <v>1875</v>
      </c>
      <c r="I10885" s="64" t="s">
        <v>3980</v>
      </c>
      <c r="J10885" s="67">
        <v>0</v>
      </c>
      <c r="K10885" s="62">
        <v>0</v>
      </c>
      <c r="L10885" s="33" t="e">
        <f>HLOOKUP(B10885,#REF!,1,0)</f>
        <v>#REF!</v>
      </c>
      <c r="M10885" s="33" t="str">
        <f t="shared" si="683"/>
        <v>P&amp;L</v>
      </c>
    </row>
    <row r="10886" spans="1:13">
      <c r="A10886" s="33" t="str">
        <f t="shared" si="680"/>
        <v>SEA - CGS</v>
      </c>
      <c r="B10886" s="33" t="str">
        <f t="shared" si="681"/>
        <v>SEA</v>
      </c>
      <c r="C10886" s="33" t="str">
        <f t="shared" si="682"/>
        <v>51019-0000</v>
      </c>
      <c r="D10886" s="64" t="s">
        <v>12149</v>
      </c>
      <c r="E10886" s="64" t="s">
        <v>3761</v>
      </c>
      <c r="F10886" s="64" t="s">
        <v>230</v>
      </c>
      <c r="G10886" s="64" t="s">
        <v>3740</v>
      </c>
      <c r="H10886" s="64" t="s">
        <v>1875</v>
      </c>
      <c r="I10886" s="64" t="s">
        <v>3340</v>
      </c>
      <c r="J10886" s="67">
        <v>0</v>
      </c>
      <c r="K10886" s="62">
        <v>22</v>
      </c>
      <c r="L10886" s="33" t="e">
        <f>HLOOKUP(B10886,#REF!,1,0)</f>
        <v>#REF!</v>
      </c>
      <c r="M10886" s="33" t="str">
        <f t="shared" si="683"/>
        <v>P&amp;L</v>
      </c>
    </row>
    <row r="10887" spans="1:13">
      <c r="A10887" s="33" t="str">
        <f t="shared" si="680"/>
        <v>SEA - CGS</v>
      </c>
      <c r="B10887" s="33" t="str">
        <f t="shared" si="681"/>
        <v>SEA</v>
      </c>
      <c r="C10887" s="33" t="str">
        <f t="shared" si="682"/>
        <v>51020-0000</v>
      </c>
      <c r="D10887" s="64" t="s">
        <v>12150</v>
      </c>
      <c r="E10887" s="64" t="s">
        <v>3763</v>
      </c>
      <c r="F10887" s="64" t="s">
        <v>230</v>
      </c>
      <c r="G10887" s="64" t="s">
        <v>3740</v>
      </c>
      <c r="H10887" s="64" t="s">
        <v>1875</v>
      </c>
      <c r="I10887" s="64" t="s">
        <v>3345</v>
      </c>
      <c r="J10887" s="67">
        <v>0</v>
      </c>
      <c r="K10887" s="62">
        <v>146.84</v>
      </c>
      <c r="L10887" s="33" t="e">
        <f>HLOOKUP(B10887,#REF!,1,0)</f>
        <v>#REF!</v>
      </c>
      <c r="M10887" s="33" t="str">
        <f t="shared" si="683"/>
        <v>P&amp;L</v>
      </c>
    </row>
    <row r="10888" spans="1:13">
      <c r="A10888" s="33" t="str">
        <f t="shared" si="680"/>
        <v>SEA - CGS</v>
      </c>
      <c r="B10888" s="33" t="str">
        <f t="shared" si="681"/>
        <v>SEA</v>
      </c>
      <c r="C10888" s="33" t="str">
        <f t="shared" si="682"/>
        <v>52001-0000</v>
      </c>
      <c r="D10888" s="64" t="s">
        <v>12151</v>
      </c>
      <c r="E10888" s="64" t="s">
        <v>3768</v>
      </c>
      <c r="F10888" s="64" t="s">
        <v>230</v>
      </c>
      <c r="G10888" s="64" t="s">
        <v>3769</v>
      </c>
      <c r="H10888" s="64" t="s">
        <v>1875</v>
      </c>
      <c r="I10888" s="64" t="s">
        <v>3770</v>
      </c>
      <c r="J10888" s="67">
        <v>0</v>
      </c>
      <c r="K10888" s="62">
        <v>130.45</v>
      </c>
      <c r="L10888" s="33" t="e">
        <f>HLOOKUP(B10888,#REF!,1,0)</f>
        <v>#REF!</v>
      </c>
      <c r="M10888" s="33" t="str">
        <f t="shared" si="683"/>
        <v>P&amp;L</v>
      </c>
    </row>
    <row r="10889" spans="1:13">
      <c r="A10889" s="33" t="str">
        <f t="shared" si="680"/>
        <v>SEA - CGS</v>
      </c>
      <c r="B10889" s="33" t="str">
        <f t="shared" si="681"/>
        <v>SEA</v>
      </c>
      <c r="C10889" s="33" t="str">
        <f t="shared" si="682"/>
        <v>52003-0000</v>
      </c>
      <c r="D10889" s="64" t="s">
        <v>12152</v>
      </c>
      <c r="E10889" s="64" t="s">
        <v>3772</v>
      </c>
      <c r="F10889" s="64" t="s">
        <v>230</v>
      </c>
      <c r="G10889" s="64" t="s">
        <v>3769</v>
      </c>
      <c r="H10889" s="64" t="s">
        <v>1875</v>
      </c>
      <c r="I10889" s="64" t="s">
        <v>3773</v>
      </c>
      <c r="J10889" s="67">
        <v>0</v>
      </c>
      <c r="K10889" s="62">
        <v>-100</v>
      </c>
      <c r="L10889" s="33" t="e">
        <f>HLOOKUP(B10889,#REF!,1,0)</f>
        <v>#REF!</v>
      </c>
      <c r="M10889" s="33" t="str">
        <f t="shared" si="683"/>
        <v>P&amp;L</v>
      </c>
    </row>
    <row r="10890" spans="1:13">
      <c r="A10890" s="33" t="str">
        <f t="shared" si="680"/>
        <v>SEA - CGS</v>
      </c>
      <c r="B10890" s="33" t="str">
        <f t="shared" si="681"/>
        <v>SEA</v>
      </c>
      <c r="C10890" s="33" t="str">
        <f t="shared" si="682"/>
        <v>52006-0000</v>
      </c>
      <c r="D10890" s="64" t="s">
        <v>12153</v>
      </c>
      <c r="E10890" s="64" t="s">
        <v>3778</v>
      </c>
      <c r="F10890" s="64" t="s">
        <v>230</v>
      </c>
      <c r="G10890" s="64" t="s">
        <v>3769</v>
      </c>
      <c r="H10890" s="64" t="s">
        <v>1875</v>
      </c>
      <c r="I10890" s="64" t="s">
        <v>3779</v>
      </c>
      <c r="J10890" s="67">
        <v>0</v>
      </c>
      <c r="K10890" s="62">
        <v>100</v>
      </c>
      <c r="L10890" s="33" t="e">
        <f>HLOOKUP(B10890,#REF!,1,0)</f>
        <v>#REF!</v>
      </c>
      <c r="M10890" s="33" t="str">
        <f t="shared" si="683"/>
        <v>P&amp;L</v>
      </c>
    </row>
    <row r="10891" spans="1:13">
      <c r="A10891" s="33" t="str">
        <f t="shared" si="680"/>
        <v>SEA - CGS</v>
      </c>
      <c r="B10891" s="33" t="str">
        <f t="shared" si="681"/>
        <v>SEA</v>
      </c>
      <c r="C10891" s="33" t="str">
        <f t="shared" si="682"/>
        <v>53002-0000</v>
      </c>
      <c r="D10891" s="64" t="s">
        <v>12154</v>
      </c>
      <c r="E10891" s="64" t="s">
        <v>3784</v>
      </c>
      <c r="F10891" s="64" t="s">
        <v>230</v>
      </c>
      <c r="G10891" s="64" t="s">
        <v>3160</v>
      </c>
      <c r="H10891" s="64" t="s">
        <v>1875</v>
      </c>
      <c r="I10891" s="64" t="s">
        <v>3785</v>
      </c>
      <c r="J10891" s="67">
        <v>0</v>
      </c>
      <c r="K10891" s="62">
        <v>1655.6</v>
      </c>
      <c r="L10891" s="33" t="e">
        <f>HLOOKUP(B10891,#REF!,1,0)</f>
        <v>#REF!</v>
      </c>
      <c r="M10891" s="33" t="str">
        <f t="shared" si="683"/>
        <v>P&amp;L</v>
      </c>
    </row>
    <row r="10892" spans="1:13">
      <c r="A10892" s="33" t="str">
        <f t="shared" si="680"/>
        <v>SEA - CGS</v>
      </c>
      <c r="B10892" s="33" t="str">
        <f t="shared" si="681"/>
        <v>SEA</v>
      </c>
      <c r="C10892" s="33" t="str">
        <f t="shared" si="682"/>
        <v>53003-0000</v>
      </c>
      <c r="D10892" s="64" t="s">
        <v>12155</v>
      </c>
      <c r="E10892" s="64" t="s">
        <v>3787</v>
      </c>
      <c r="F10892" s="64" t="s">
        <v>230</v>
      </c>
      <c r="G10892" s="64" t="s">
        <v>3160</v>
      </c>
      <c r="H10892" s="64" t="s">
        <v>1875</v>
      </c>
      <c r="I10892" s="64" t="s">
        <v>3788</v>
      </c>
      <c r="J10892" s="67">
        <v>5.68</v>
      </c>
      <c r="K10892" s="62">
        <v>342.38</v>
      </c>
      <c r="L10892" s="33" t="e">
        <f>HLOOKUP(B10892,#REF!,1,0)</f>
        <v>#REF!</v>
      </c>
      <c r="M10892" s="33" t="str">
        <f t="shared" si="683"/>
        <v>P&amp;L</v>
      </c>
    </row>
    <row r="10893" spans="1:13">
      <c r="A10893" s="33" t="str">
        <f t="shared" si="680"/>
        <v>SEA - CGS</v>
      </c>
      <c r="B10893" s="33" t="str">
        <f t="shared" si="681"/>
        <v>SEA</v>
      </c>
      <c r="C10893" s="33" t="str">
        <f t="shared" si="682"/>
        <v>53004-0000</v>
      </c>
      <c r="D10893" s="64" t="s">
        <v>12156</v>
      </c>
      <c r="E10893" s="64" t="s">
        <v>3790</v>
      </c>
      <c r="F10893" s="64" t="s">
        <v>230</v>
      </c>
      <c r="G10893" s="64" t="s">
        <v>3160</v>
      </c>
      <c r="H10893" s="64" t="s">
        <v>1875</v>
      </c>
      <c r="I10893" s="64" t="s">
        <v>3791</v>
      </c>
      <c r="J10893" s="67">
        <v>52.1</v>
      </c>
      <c r="K10893" s="62">
        <v>1592.69</v>
      </c>
      <c r="L10893" s="33" t="e">
        <f>HLOOKUP(B10893,#REF!,1,0)</f>
        <v>#REF!</v>
      </c>
      <c r="M10893" s="33" t="str">
        <f t="shared" si="683"/>
        <v>P&amp;L</v>
      </c>
    </row>
    <row r="10894" spans="1:13">
      <c r="A10894" s="33" t="str">
        <f t="shared" si="680"/>
        <v>SEA - CGS</v>
      </c>
      <c r="B10894" s="33" t="str">
        <f t="shared" si="681"/>
        <v>SEA</v>
      </c>
      <c r="C10894" s="33" t="str">
        <f t="shared" si="682"/>
        <v>53005-0000</v>
      </c>
      <c r="D10894" s="64" t="s">
        <v>12157</v>
      </c>
      <c r="E10894" s="64" t="s">
        <v>3793</v>
      </c>
      <c r="F10894" s="64" t="s">
        <v>230</v>
      </c>
      <c r="G10894" s="64" t="s">
        <v>3160</v>
      </c>
      <c r="H10894" s="64" t="s">
        <v>1875</v>
      </c>
      <c r="I10894" s="64" t="s">
        <v>3794</v>
      </c>
      <c r="J10894" s="67">
        <v>12.3</v>
      </c>
      <c r="K10894" s="62">
        <v>241.44</v>
      </c>
      <c r="L10894" s="33" t="e">
        <f>HLOOKUP(B10894,#REF!,1,0)</f>
        <v>#REF!</v>
      </c>
      <c r="M10894" s="33" t="str">
        <f t="shared" si="683"/>
        <v>P&amp;L</v>
      </c>
    </row>
    <row r="10895" spans="1:13">
      <c r="A10895" s="33" t="str">
        <f t="shared" si="680"/>
        <v>SEA - CGS</v>
      </c>
      <c r="B10895" s="33" t="str">
        <f t="shared" si="681"/>
        <v>SEA</v>
      </c>
      <c r="C10895" s="33" t="str">
        <f t="shared" si="682"/>
        <v>53006-0000</v>
      </c>
      <c r="D10895" s="64" t="s">
        <v>12158</v>
      </c>
      <c r="E10895" s="64" t="s">
        <v>3796</v>
      </c>
      <c r="F10895" s="64" t="s">
        <v>230</v>
      </c>
      <c r="G10895" s="64" t="s">
        <v>3160</v>
      </c>
      <c r="H10895" s="64" t="s">
        <v>1875</v>
      </c>
      <c r="I10895" s="64" t="s">
        <v>3797</v>
      </c>
      <c r="J10895" s="67">
        <v>-38.8</v>
      </c>
      <c r="K10895" s="62">
        <v>501.44</v>
      </c>
      <c r="L10895" s="33" t="e">
        <f>HLOOKUP(B10895,#REF!,1,0)</f>
        <v>#REF!</v>
      </c>
      <c r="M10895" s="33" t="str">
        <f t="shared" si="683"/>
        <v>P&amp;L</v>
      </c>
    </row>
    <row r="10896" spans="1:13">
      <c r="A10896" s="33" t="str">
        <f t="shared" si="680"/>
        <v>SEA - </v>
      </c>
      <c r="B10896" s="33" t="str">
        <f t="shared" si="681"/>
        <v>SEA</v>
      </c>
      <c r="C10896" s="33" t="str">
        <f t="shared" si="682"/>
        <v>54003-0000</v>
      </c>
      <c r="D10896" s="64" t="s">
        <v>12159</v>
      </c>
      <c r="E10896" s="64" t="s">
        <v>3803</v>
      </c>
      <c r="F10896" s="64" t="s">
        <v>230</v>
      </c>
      <c r="G10896" s="64" t="s">
        <v>580</v>
      </c>
      <c r="H10896" s="64" t="s">
        <v>580</v>
      </c>
      <c r="I10896" s="64" t="s">
        <v>3804</v>
      </c>
      <c r="J10896" s="67">
        <v>0</v>
      </c>
      <c r="K10896" s="62">
        <v>0</v>
      </c>
      <c r="L10896" s="33" t="e">
        <f>HLOOKUP(B10896,#REF!,1,0)</f>
        <v>#REF!</v>
      </c>
      <c r="M10896" s="33" t="str">
        <f t="shared" si="683"/>
        <v>P&amp;L</v>
      </c>
    </row>
    <row r="10897" spans="1:13">
      <c r="A10897" s="33" t="str">
        <f t="shared" si="680"/>
        <v>SEA - </v>
      </c>
      <c r="B10897" s="33" t="str">
        <f t="shared" si="681"/>
        <v>SEA</v>
      </c>
      <c r="C10897" s="33" t="str">
        <f t="shared" si="682"/>
        <v>54004-0000</v>
      </c>
      <c r="D10897" s="64" t="s">
        <v>12160</v>
      </c>
      <c r="E10897" s="64" t="s">
        <v>3806</v>
      </c>
      <c r="F10897" s="64" t="s">
        <v>230</v>
      </c>
      <c r="G10897" s="64" t="s">
        <v>580</v>
      </c>
      <c r="H10897" s="64" t="s">
        <v>580</v>
      </c>
      <c r="I10897" s="64" t="s">
        <v>3807</v>
      </c>
      <c r="J10897" s="67">
        <v>0</v>
      </c>
      <c r="K10897" s="62">
        <v>0</v>
      </c>
      <c r="L10897" s="33" t="e">
        <f>HLOOKUP(B10897,#REF!,1,0)</f>
        <v>#REF!</v>
      </c>
      <c r="M10897" s="33" t="str">
        <f t="shared" si="683"/>
        <v>P&amp;L</v>
      </c>
    </row>
    <row r="10898" spans="1:13">
      <c r="A10898" s="33" t="str">
        <f t="shared" si="680"/>
        <v>SEA - </v>
      </c>
      <c r="B10898" s="33" t="str">
        <f t="shared" si="681"/>
        <v>SEA</v>
      </c>
      <c r="C10898" s="33" t="str">
        <f t="shared" si="682"/>
        <v>54006-0000</v>
      </c>
      <c r="D10898" s="64" t="s">
        <v>12161</v>
      </c>
      <c r="E10898" s="64" t="s">
        <v>3812</v>
      </c>
      <c r="F10898" s="64" t="s">
        <v>230</v>
      </c>
      <c r="G10898" s="64" t="s">
        <v>580</v>
      </c>
      <c r="H10898" s="64" t="s">
        <v>580</v>
      </c>
      <c r="I10898" s="64" t="s">
        <v>3003</v>
      </c>
      <c r="J10898" s="67">
        <v>0</v>
      </c>
      <c r="K10898" s="62">
        <v>0</v>
      </c>
      <c r="L10898" s="33" t="e">
        <f>HLOOKUP(B10898,#REF!,1,0)</f>
        <v>#REF!</v>
      </c>
      <c r="M10898" s="33" t="str">
        <f t="shared" si="683"/>
        <v>P&amp;L</v>
      </c>
    </row>
    <row r="10899" spans="1:13">
      <c r="A10899" s="33" t="str">
        <f t="shared" si="680"/>
        <v>SEA - CGS</v>
      </c>
      <c r="B10899" s="33" t="str">
        <f t="shared" si="681"/>
        <v>SEA</v>
      </c>
      <c r="C10899" s="33" t="str">
        <f t="shared" si="682"/>
        <v>54007-0000</v>
      </c>
      <c r="D10899" s="64" t="s">
        <v>12162</v>
      </c>
      <c r="E10899" s="64" t="s">
        <v>3814</v>
      </c>
      <c r="F10899" s="64" t="s">
        <v>230</v>
      </c>
      <c r="G10899" s="64" t="s">
        <v>3800</v>
      </c>
      <c r="H10899" s="64" t="s">
        <v>1875</v>
      </c>
      <c r="I10899" s="64" t="s">
        <v>3815</v>
      </c>
      <c r="J10899" s="67">
        <v>100</v>
      </c>
      <c r="K10899" s="62">
        <v>500</v>
      </c>
      <c r="L10899" s="33" t="e">
        <f>HLOOKUP(B10899,#REF!,1,0)</f>
        <v>#REF!</v>
      </c>
      <c r="M10899" s="33" t="str">
        <f t="shared" si="683"/>
        <v>P&amp;L</v>
      </c>
    </row>
    <row r="10900" spans="1:13">
      <c r="A10900" s="33" t="str">
        <f t="shared" si="680"/>
        <v>SEA - PM Expenses</v>
      </c>
      <c r="B10900" s="33" t="str">
        <f t="shared" si="681"/>
        <v>SEA</v>
      </c>
      <c r="C10900" s="33" t="str">
        <f t="shared" si="682"/>
        <v>55501-0000</v>
      </c>
      <c r="D10900" s="64" t="s">
        <v>12163</v>
      </c>
      <c r="E10900" s="64" t="s">
        <v>3817</v>
      </c>
      <c r="F10900" s="64" t="s">
        <v>230</v>
      </c>
      <c r="G10900" s="64" t="s">
        <v>3818</v>
      </c>
      <c r="H10900" s="64" t="s">
        <v>3819</v>
      </c>
      <c r="I10900" s="64" t="s">
        <v>3820</v>
      </c>
      <c r="J10900" s="67">
        <v>0</v>
      </c>
      <c r="K10900" s="62">
        <v>2845</v>
      </c>
      <c r="L10900" s="33" t="e">
        <f>HLOOKUP(B10900,#REF!,1,0)</f>
        <v>#REF!</v>
      </c>
      <c r="M10900" s="33" t="str">
        <f t="shared" si="683"/>
        <v>P&amp;L</v>
      </c>
    </row>
    <row r="10901" spans="1:13">
      <c r="A10901" s="33" t="str">
        <f t="shared" si="680"/>
        <v>SEA - PM Expenses</v>
      </c>
      <c r="B10901" s="33" t="str">
        <f t="shared" si="681"/>
        <v>SEA</v>
      </c>
      <c r="C10901" s="33" t="str">
        <f t="shared" si="682"/>
        <v>55502-0000</v>
      </c>
      <c r="D10901" s="64" t="s">
        <v>12164</v>
      </c>
      <c r="E10901" s="64" t="s">
        <v>3822</v>
      </c>
      <c r="F10901" s="64" t="s">
        <v>230</v>
      </c>
      <c r="G10901" s="64" t="s">
        <v>3818</v>
      </c>
      <c r="H10901" s="64" t="s">
        <v>3819</v>
      </c>
      <c r="I10901" s="64" t="s">
        <v>3823</v>
      </c>
      <c r="J10901" s="67">
        <v>0</v>
      </c>
      <c r="K10901" s="62">
        <v>659.01</v>
      </c>
      <c r="L10901" s="33" t="e">
        <f>HLOOKUP(B10901,#REF!,1,0)</f>
        <v>#REF!</v>
      </c>
      <c r="M10901" s="33" t="str">
        <f t="shared" si="683"/>
        <v>P&amp;L</v>
      </c>
    </row>
    <row r="10902" spans="1:13">
      <c r="A10902" s="33" t="str">
        <f t="shared" si="680"/>
        <v>SEA - </v>
      </c>
      <c r="B10902" s="33" t="str">
        <f t="shared" si="681"/>
        <v>SEA</v>
      </c>
      <c r="C10902" s="33" t="str">
        <f t="shared" si="682"/>
        <v>55503-0000</v>
      </c>
      <c r="D10902" s="64" t="s">
        <v>12165</v>
      </c>
      <c r="E10902" s="64" t="s">
        <v>3825</v>
      </c>
      <c r="F10902" s="64" t="s">
        <v>230</v>
      </c>
      <c r="G10902" s="64" t="s">
        <v>580</v>
      </c>
      <c r="H10902" s="64" t="s">
        <v>580</v>
      </c>
      <c r="I10902" s="64" t="s">
        <v>3826</v>
      </c>
      <c r="J10902" s="67">
        <v>0</v>
      </c>
      <c r="K10902" s="62">
        <v>1253.18</v>
      </c>
      <c r="L10902" s="33" t="e">
        <f>HLOOKUP(B10902,#REF!,1,0)</f>
        <v>#REF!</v>
      </c>
      <c r="M10902" s="33" t="str">
        <f t="shared" si="683"/>
        <v>P&amp;L</v>
      </c>
    </row>
    <row r="10903" spans="1:13">
      <c r="A10903" s="33" t="str">
        <f t="shared" si="680"/>
        <v>SEA - PM Expenses</v>
      </c>
      <c r="B10903" s="33" t="str">
        <f t="shared" si="681"/>
        <v>SEA</v>
      </c>
      <c r="C10903" s="33" t="str">
        <f t="shared" si="682"/>
        <v>55505-0000</v>
      </c>
      <c r="D10903" s="64" t="s">
        <v>12166</v>
      </c>
      <c r="E10903" s="64" t="s">
        <v>3828</v>
      </c>
      <c r="F10903" s="64" t="s">
        <v>230</v>
      </c>
      <c r="G10903" s="64" t="s">
        <v>3818</v>
      </c>
      <c r="H10903" s="64" t="s">
        <v>3819</v>
      </c>
      <c r="I10903" s="64" t="s">
        <v>3829</v>
      </c>
      <c r="J10903" s="67">
        <v>0</v>
      </c>
      <c r="K10903" s="62">
        <v>1150.83</v>
      </c>
      <c r="L10903" s="33" t="e">
        <f>HLOOKUP(B10903,#REF!,1,0)</f>
        <v>#REF!</v>
      </c>
      <c r="M10903" s="33" t="str">
        <f t="shared" si="683"/>
        <v>P&amp;L</v>
      </c>
    </row>
    <row r="10904" spans="1:13">
      <c r="A10904" s="33" t="str">
        <f t="shared" si="680"/>
        <v>SEA - PM Expenses</v>
      </c>
      <c r="B10904" s="33" t="str">
        <f t="shared" si="681"/>
        <v>SEA</v>
      </c>
      <c r="C10904" s="33" t="str">
        <f t="shared" si="682"/>
        <v>55506-0000</v>
      </c>
      <c r="D10904" s="64" t="s">
        <v>12167</v>
      </c>
      <c r="E10904" s="64" t="s">
        <v>3831</v>
      </c>
      <c r="F10904" s="64" t="s">
        <v>230</v>
      </c>
      <c r="G10904" s="64" t="s">
        <v>3818</v>
      </c>
      <c r="H10904" s="64" t="s">
        <v>3819</v>
      </c>
      <c r="I10904" s="64" t="s">
        <v>3832</v>
      </c>
      <c r="J10904" s="67">
        <v>0</v>
      </c>
      <c r="K10904" s="62">
        <v>30504.14</v>
      </c>
      <c r="L10904" s="33" t="e">
        <f>HLOOKUP(B10904,#REF!,1,0)</f>
        <v>#REF!</v>
      </c>
      <c r="M10904" s="33" t="str">
        <f t="shared" si="683"/>
        <v>P&amp;L</v>
      </c>
    </row>
    <row r="10905" spans="1:13">
      <c r="A10905" s="33" t="str">
        <f t="shared" si="680"/>
        <v>SEA - PM Expenses</v>
      </c>
      <c r="B10905" s="33" t="str">
        <f t="shared" si="681"/>
        <v>SEA</v>
      </c>
      <c r="C10905" s="33" t="str">
        <f t="shared" si="682"/>
        <v>55507-0000</v>
      </c>
      <c r="D10905" s="64" t="s">
        <v>12168</v>
      </c>
      <c r="E10905" s="64" t="s">
        <v>3834</v>
      </c>
      <c r="F10905" s="64" t="s">
        <v>230</v>
      </c>
      <c r="G10905" s="64" t="s">
        <v>3818</v>
      </c>
      <c r="H10905" s="64" t="s">
        <v>3819</v>
      </c>
      <c r="I10905" s="64" t="s">
        <v>3835</v>
      </c>
      <c r="J10905" s="67">
        <v>0</v>
      </c>
      <c r="K10905" s="62">
        <v>0</v>
      </c>
      <c r="L10905" s="33" t="e">
        <f>HLOOKUP(B10905,#REF!,1,0)</f>
        <v>#REF!</v>
      </c>
      <c r="M10905" s="33" t="str">
        <f t="shared" si="683"/>
        <v>P&amp;L</v>
      </c>
    </row>
    <row r="10906" spans="1:13">
      <c r="A10906" s="33" t="str">
        <f t="shared" si="680"/>
        <v>SEA - CGS</v>
      </c>
      <c r="B10906" s="33" t="str">
        <f t="shared" si="681"/>
        <v>SEA</v>
      </c>
      <c r="C10906" s="33" t="str">
        <f t="shared" si="682"/>
        <v>60005-0000</v>
      </c>
      <c r="D10906" s="64" t="s">
        <v>12169</v>
      </c>
      <c r="E10906" s="64" t="s">
        <v>3841</v>
      </c>
      <c r="F10906" s="64" t="s">
        <v>230</v>
      </c>
      <c r="G10906" s="64" t="s">
        <v>3838</v>
      </c>
      <c r="H10906" s="64" t="s">
        <v>1875</v>
      </c>
      <c r="I10906" s="64" t="s">
        <v>3842</v>
      </c>
      <c r="J10906" s="67">
        <v>0</v>
      </c>
      <c r="K10906" s="62">
        <v>1491.14</v>
      </c>
      <c r="L10906" s="33" t="e">
        <f>HLOOKUP(B10906,#REF!,1,0)</f>
        <v>#REF!</v>
      </c>
      <c r="M10906" s="33" t="str">
        <f t="shared" si="683"/>
        <v>P&amp;L</v>
      </c>
    </row>
    <row r="10907" spans="1:13">
      <c r="A10907" s="33" t="str">
        <f t="shared" si="680"/>
        <v>SEA - Interest Expense</v>
      </c>
      <c r="B10907" s="33" t="str">
        <f t="shared" si="681"/>
        <v>SEA</v>
      </c>
      <c r="C10907" s="33" t="str">
        <f t="shared" si="682"/>
        <v>60006-0000</v>
      </c>
      <c r="D10907" s="64" t="s">
        <v>12170</v>
      </c>
      <c r="E10907" s="64" t="s">
        <v>3325</v>
      </c>
      <c r="F10907" s="64" t="s">
        <v>230</v>
      </c>
      <c r="G10907" s="64" t="s">
        <v>12171</v>
      </c>
      <c r="H10907" s="64" t="s">
        <v>3327</v>
      </c>
      <c r="I10907" s="64" t="s">
        <v>3328</v>
      </c>
      <c r="J10907" s="67">
        <v>13761.56</v>
      </c>
      <c r="K10907" s="62">
        <v>125230.27</v>
      </c>
      <c r="L10907" s="33" t="e">
        <f>HLOOKUP(B10907,#REF!,1,0)</f>
        <v>#REF!</v>
      </c>
      <c r="M10907" s="33" t="str">
        <f t="shared" si="683"/>
        <v>P&amp;L</v>
      </c>
    </row>
    <row r="10908" spans="1:13">
      <c r="A10908" s="33" t="str">
        <f t="shared" si="680"/>
        <v>SEA - CGS</v>
      </c>
      <c r="B10908" s="33" t="str">
        <f t="shared" si="681"/>
        <v>SEA</v>
      </c>
      <c r="C10908" s="33" t="str">
        <f t="shared" si="682"/>
        <v>60007-0000</v>
      </c>
      <c r="D10908" s="64" t="s">
        <v>12172</v>
      </c>
      <c r="E10908" s="64" t="s">
        <v>3846</v>
      </c>
      <c r="F10908" s="64" t="s">
        <v>230</v>
      </c>
      <c r="G10908" s="64" t="s">
        <v>12173</v>
      </c>
      <c r="H10908" s="64" t="s">
        <v>1875</v>
      </c>
      <c r="I10908" s="64" t="s">
        <v>3847</v>
      </c>
      <c r="J10908" s="67">
        <v>0</v>
      </c>
      <c r="K10908" s="62">
        <v>525</v>
      </c>
      <c r="L10908" s="33" t="e">
        <f>HLOOKUP(B10908,#REF!,1,0)</f>
        <v>#REF!</v>
      </c>
      <c r="M10908" s="33" t="str">
        <f t="shared" si="683"/>
        <v>P&amp;L</v>
      </c>
    </row>
    <row r="10909" spans="1:13">
      <c r="A10909" s="33" t="str">
        <f t="shared" si="680"/>
        <v>SEA - CGS</v>
      </c>
      <c r="B10909" s="33" t="str">
        <f t="shared" si="681"/>
        <v>SEA</v>
      </c>
      <c r="C10909" s="33" t="str">
        <f t="shared" si="682"/>
        <v>60011-0000</v>
      </c>
      <c r="D10909" s="64" t="s">
        <v>12174</v>
      </c>
      <c r="E10909" s="64" t="s">
        <v>4199</v>
      </c>
      <c r="F10909" s="64" t="s">
        <v>230</v>
      </c>
      <c r="G10909" s="64" t="s">
        <v>3838</v>
      </c>
      <c r="H10909" s="64" t="s">
        <v>1875</v>
      </c>
      <c r="I10909" s="64" t="s">
        <v>4200</v>
      </c>
      <c r="J10909" s="67">
        <v>0</v>
      </c>
      <c r="K10909" s="62">
        <v>556.18</v>
      </c>
      <c r="L10909" s="33" t="e">
        <f>HLOOKUP(B10909,#REF!,1,0)</f>
        <v>#REF!</v>
      </c>
      <c r="M10909" s="33" t="str">
        <f t="shared" si="683"/>
        <v>P&amp;L</v>
      </c>
    </row>
    <row r="10910" spans="1:13">
      <c r="A10910" s="33" t="str">
        <f t="shared" si="680"/>
        <v>SEA - CGS</v>
      </c>
      <c r="B10910" s="33" t="str">
        <f t="shared" si="681"/>
        <v>SEA</v>
      </c>
      <c r="C10910" s="33" t="str">
        <f t="shared" si="682"/>
        <v>60012-0000</v>
      </c>
      <c r="D10910" s="64" t="s">
        <v>12175</v>
      </c>
      <c r="E10910" s="64" t="s">
        <v>3852</v>
      </c>
      <c r="F10910" s="64" t="s">
        <v>230</v>
      </c>
      <c r="G10910" s="64" t="s">
        <v>3838</v>
      </c>
      <c r="H10910" s="64" t="s">
        <v>1875</v>
      </c>
      <c r="I10910" s="64" t="s">
        <v>3853</v>
      </c>
      <c r="J10910" s="67">
        <v>0</v>
      </c>
      <c r="K10910" s="62">
        <v>11030.68</v>
      </c>
      <c r="L10910" s="33" t="e">
        <f>HLOOKUP(B10910,#REF!,1,0)</f>
        <v>#REF!</v>
      </c>
      <c r="M10910" s="33" t="str">
        <f t="shared" si="683"/>
        <v>P&amp;L</v>
      </c>
    </row>
    <row r="10911" spans="1:13">
      <c r="A10911" s="33" t="str">
        <f t="shared" si="680"/>
        <v>SEA - CGS</v>
      </c>
      <c r="B10911" s="33" t="str">
        <f t="shared" si="681"/>
        <v>SEA</v>
      </c>
      <c r="C10911" s="33" t="str">
        <f t="shared" si="682"/>
        <v>60014-0000</v>
      </c>
      <c r="D10911" s="64" t="s">
        <v>12176</v>
      </c>
      <c r="E10911" s="64" t="s">
        <v>3855</v>
      </c>
      <c r="F10911" s="64" t="s">
        <v>230</v>
      </c>
      <c r="G10911" s="64" t="s">
        <v>3838</v>
      </c>
      <c r="H10911" s="64" t="s">
        <v>1875</v>
      </c>
      <c r="I10911" s="64" t="s">
        <v>3856</v>
      </c>
      <c r="J10911" s="67">
        <v>673.33</v>
      </c>
      <c r="K10911" s="62">
        <v>7347.96</v>
      </c>
      <c r="L10911" s="33" t="e">
        <f>HLOOKUP(B10911,#REF!,1,0)</f>
        <v>#REF!</v>
      </c>
      <c r="M10911" s="33" t="str">
        <f t="shared" si="683"/>
        <v>P&amp;L</v>
      </c>
    </row>
    <row r="10912" spans="1:13">
      <c r="A10912" s="33" t="str">
        <f t="shared" si="680"/>
        <v>SEA - CGS</v>
      </c>
      <c r="B10912" s="33" t="str">
        <f t="shared" si="681"/>
        <v>SEA</v>
      </c>
      <c r="C10912" s="33" t="str">
        <f t="shared" si="682"/>
        <v>60015-0000</v>
      </c>
      <c r="D10912" s="64" t="s">
        <v>12177</v>
      </c>
      <c r="E10912" s="64" t="s">
        <v>3858</v>
      </c>
      <c r="F10912" s="64" t="s">
        <v>230</v>
      </c>
      <c r="G10912" s="64" t="s">
        <v>12178</v>
      </c>
      <c r="H10912" s="64" t="s">
        <v>1875</v>
      </c>
      <c r="I10912" s="64" t="s">
        <v>3859</v>
      </c>
      <c r="J10912" s="67">
        <v>0</v>
      </c>
      <c r="K10912" s="62">
        <v>556</v>
      </c>
      <c r="L10912" s="33" t="e">
        <f>HLOOKUP(B10912,#REF!,1,0)</f>
        <v>#REF!</v>
      </c>
      <c r="M10912" s="33" t="str">
        <f t="shared" si="683"/>
        <v>P&amp;L</v>
      </c>
    </row>
    <row r="10913" spans="1:13">
      <c r="A10913" s="33" t="str">
        <f t="shared" si="680"/>
        <v>SEA - Income Tax</v>
      </c>
      <c r="B10913" s="33" t="str">
        <f t="shared" si="681"/>
        <v>SEA</v>
      </c>
      <c r="C10913" s="33" t="str">
        <f t="shared" si="682"/>
        <v>61019-0000</v>
      </c>
      <c r="D10913" s="64" t="s">
        <v>12179</v>
      </c>
      <c r="E10913" s="64" t="s">
        <v>4041</v>
      </c>
      <c r="F10913" s="64" t="s">
        <v>230</v>
      </c>
      <c r="G10913" s="64" t="s">
        <v>3844</v>
      </c>
      <c r="H10913" s="64" t="s">
        <v>3378</v>
      </c>
      <c r="I10913" s="64" t="s">
        <v>4042</v>
      </c>
      <c r="J10913" s="67">
        <v>0</v>
      </c>
      <c r="K10913" s="62">
        <v>800</v>
      </c>
      <c r="L10913" s="33" t="e">
        <f>HLOOKUP(B10913,#REF!,1,0)</f>
        <v>#REF!</v>
      </c>
      <c r="M10913" s="33" t="str">
        <f t="shared" si="683"/>
        <v>P&amp;L</v>
      </c>
    </row>
    <row r="10914" spans="1:13">
      <c r="A10914" s="33" t="str">
        <f t="shared" si="680"/>
        <v>SEK - Fixed Assets</v>
      </c>
      <c r="B10914" s="33" t="str">
        <f t="shared" si="681"/>
        <v>SEK</v>
      </c>
      <c r="C10914" s="33" t="str">
        <f t="shared" si="682"/>
        <v>15501-0000</v>
      </c>
      <c r="D10914" s="64" t="s">
        <v>12180</v>
      </c>
      <c r="E10914" s="64" t="s">
        <v>2635</v>
      </c>
      <c r="F10914" s="64" t="s">
        <v>230</v>
      </c>
      <c r="G10914" s="64" t="s">
        <v>62</v>
      </c>
      <c r="H10914" s="64" t="s">
        <v>63</v>
      </c>
      <c r="I10914" s="64" t="s">
        <v>64</v>
      </c>
      <c r="J10914" s="67">
        <v>164.56</v>
      </c>
      <c r="K10914" s="62">
        <v>645.85</v>
      </c>
      <c r="L10914" s="33" t="e">
        <f>HLOOKUP(B10914,#REF!,1,0)</f>
        <v>#REF!</v>
      </c>
      <c r="M10914" s="33" t="str">
        <f t="shared" si="683"/>
        <v>BS</v>
      </c>
    </row>
    <row r="10915" spans="1:13">
      <c r="A10915" s="33" t="str">
        <f t="shared" si="680"/>
        <v>SEK - Taax Accr</v>
      </c>
      <c r="B10915" s="33" t="str">
        <f t="shared" si="681"/>
        <v>SEK</v>
      </c>
      <c r="C10915" s="33" t="str">
        <f t="shared" si="682"/>
        <v>22001-0000</v>
      </c>
      <c r="D10915" s="64" t="s">
        <v>12181</v>
      </c>
      <c r="E10915" s="64" t="s">
        <v>1322</v>
      </c>
      <c r="F10915" s="64" t="s">
        <v>230</v>
      </c>
      <c r="G10915" s="64" t="s">
        <v>97</v>
      </c>
      <c r="H10915" s="64" t="s">
        <v>12182</v>
      </c>
      <c r="I10915" s="64" t="s">
        <v>102</v>
      </c>
      <c r="J10915" s="67">
        <v>-154.5</v>
      </c>
      <c r="K10915" s="62">
        <v>-154.5</v>
      </c>
      <c r="L10915" s="33" t="e">
        <f>HLOOKUP(B10915,#REF!,1,0)</f>
        <v>#REF!</v>
      </c>
      <c r="M10915" s="33" t="str">
        <f t="shared" si="683"/>
        <v>BS</v>
      </c>
    </row>
    <row r="10916" spans="1:13">
      <c r="A10916" s="33" t="str">
        <f t="shared" si="680"/>
        <v>SEK - Revenue</v>
      </c>
      <c r="B10916" s="33" t="str">
        <f t="shared" si="681"/>
        <v>SEK</v>
      </c>
      <c r="C10916" s="33" t="str">
        <f t="shared" si="682"/>
        <v>40110-0000</v>
      </c>
      <c r="D10916" s="64" t="s">
        <v>12183</v>
      </c>
      <c r="E10916" s="64" t="s">
        <v>3683</v>
      </c>
      <c r="F10916" s="64" t="s">
        <v>230</v>
      </c>
      <c r="G10916" s="64" t="s">
        <v>3684</v>
      </c>
      <c r="H10916" s="64" t="s">
        <v>2871</v>
      </c>
      <c r="I10916" s="64" t="s">
        <v>3685</v>
      </c>
      <c r="J10916" s="67">
        <v>-32687.25</v>
      </c>
      <c r="K10916" s="62">
        <v>-326872.5</v>
      </c>
      <c r="L10916" s="33" t="e">
        <f>HLOOKUP(B10916,#REF!,1,0)</f>
        <v>#REF!</v>
      </c>
      <c r="M10916" s="33" t="str">
        <f t="shared" si="683"/>
        <v>P&amp;L</v>
      </c>
    </row>
    <row r="10917" spans="1:13">
      <c r="A10917" s="33" t="str">
        <f t="shared" si="680"/>
        <v>SEK - Revenue</v>
      </c>
      <c r="B10917" s="33" t="str">
        <f t="shared" si="681"/>
        <v>SEK</v>
      </c>
      <c r="C10917" s="33" t="str">
        <f t="shared" si="682"/>
        <v>40120-0000</v>
      </c>
      <c r="D10917" s="64" t="s">
        <v>12184</v>
      </c>
      <c r="E10917" s="64" t="s">
        <v>3687</v>
      </c>
      <c r="F10917" s="64" t="s">
        <v>230</v>
      </c>
      <c r="G10917" s="64" t="s">
        <v>3684</v>
      </c>
      <c r="H10917" s="64" t="s">
        <v>2871</v>
      </c>
      <c r="I10917" s="64" t="s">
        <v>3688</v>
      </c>
      <c r="J10917" s="67">
        <v>-176</v>
      </c>
      <c r="K10917" s="62">
        <v>-905</v>
      </c>
      <c r="L10917" s="33" t="e">
        <f>HLOOKUP(B10917,#REF!,1,0)</f>
        <v>#REF!</v>
      </c>
      <c r="M10917" s="33" t="str">
        <f t="shared" si="683"/>
        <v>P&amp;L</v>
      </c>
    </row>
    <row r="10918" spans="1:13">
      <c r="A10918" s="33" t="str">
        <f t="shared" si="680"/>
        <v>SEK - Revenue</v>
      </c>
      <c r="B10918" s="33" t="str">
        <f t="shared" si="681"/>
        <v>SEK</v>
      </c>
      <c r="C10918" s="33" t="str">
        <f t="shared" si="682"/>
        <v>40130-0000</v>
      </c>
      <c r="D10918" s="64" t="s">
        <v>12185</v>
      </c>
      <c r="E10918" s="64" t="s">
        <v>3690</v>
      </c>
      <c r="F10918" s="64" t="s">
        <v>230</v>
      </c>
      <c r="G10918" s="64" t="s">
        <v>3684</v>
      </c>
      <c r="H10918" s="64" t="s">
        <v>2871</v>
      </c>
      <c r="I10918" s="64" t="s">
        <v>3691</v>
      </c>
      <c r="J10918" s="67">
        <v>-811</v>
      </c>
      <c r="K10918" s="62">
        <v>-2187</v>
      </c>
      <c r="L10918" s="33" t="e">
        <f>HLOOKUP(B10918,#REF!,1,0)</f>
        <v>#REF!</v>
      </c>
      <c r="M10918" s="33" t="str">
        <f t="shared" si="683"/>
        <v>P&amp;L</v>
      </c>
    </row>
    <row r="10919" spans="1:13">
      <c r="A10919" s="33" t="str">
        <f t="shared" si="680"/>
        <v>SEK - Revenue</v>
      </c>
      <c r="B10919" s="33" t="str">
        <f t="shared" si="681"/>
        <v>SEK</v>
      </c>
      <c r="C10919" s="33" t="str">
        <f t="shared" si="682"/>
        <v>40140-0000</v>
      </c>
      <c r="D10919" s="64" t="s">
        <v>12186</v>
      </c>
      <c r="E10919" s="64" t="s">
        <v>3948</v>
      </c>
      <c r="F10919" s="64" t="s">
        <v>230</v>
      </c>
      <c r="G10919" s="64" t="s">
        <v>3684</v>
      </c>
      <c r="H10919" s="64" t="s">
        <v>2871</v>
      </c>
      <c r="I10919" s="64" t="s">
        <v>3949</v>
      </c>
      <c r="J10919" s="67">
        <v>0</v>
      </c>
      <c r="K10919" s="62">
        <v>0</v>
      </c>
      <c r="L10919" s="33" t="e">
        <f>HLOOKUP(B10919,#REF!,1,0)</f>
        <v>#REF!</v>
      </c>
      <c r="M10919" s="33" t="str">
        <f t="shared" si="683"/>
        <v>P&amp;L</v>
      </c>
    </row>
    <row r="10920" spans="1:13">
      <c r="A10920" s="33" t="str">
        <f t="shared" si="680"/>
        <v>SEK - Revenue</v>
      </c>
      <c r="B10920" s="33" t="str">
        <f t="shared" si="681"/>
        <v>SEK</v>
      </c>
      <c r="C10920" s="33" t="str">
        <f t="shared" si="682"/>
        <v>41110-0000</v>
      </c>
      <c r="D10920" s="64" t="s">
        <v>12187</v>
      </c>
      <c r="E10920" s="64" t="s">
        <v>3693</v>
      </c>
      <c r="F10920" s="64" t="s">
        <v>230</v>
      </c>
      <c r="G10920" s="64" t="s">
        <v>3694</v>
      </c>
      <c r="H10920" s="64" t="s">
        <v>2871</v>
      </c>
      <c r="I10920" s="64" t="s">
        <v>3695</v>
      </c>
      <c r="J10920" s="67">
        <v>2939</v>
      </c>
      <c r="K10920" s="62">
        <v>7051.3</v>
      </c>
      <c r="L10920" s="33" t="e">
        <f>HLOOKUP(B10920,#REF!,1,0)</f>
        <v>#REF!</v>
      </c>
      <c r="M10920" s="33" t="str">
        <f t="shared" si="683"/>
        <v>P&amp;L</v>
      </c>
    </row>
    <row r="10921" spans="1:13">
      <c r="A10921" s="33" t="str">
        <f t="shared" si="680"/>
        <v>SEK - Revenue</v>
      </c>
      <c r="B10921" s="33" t="str">
        <f t="shared" si="681"/>
        <v>SEK</v>
      </c>
      <c r="C10921" s="33" t="str">
        <f t="shared" si="682"/>
        <v>41121-0000</v>
      </c>
      <c r="D10921" s="64" t="s">
        <v>12188</v>
      </c>
      <c r="E10921" s="64" t="s">
        <v>4146</v>
      </c>
      <c r="F10921" s="64" t="s">
        <v>230</v>
      </c>
      <c r="G10921" s="64" t="s">
        <v>3694</v>
      </c>
      <c r="H10921" s="64" t="s">
        <v>2871</v>
      </c>
      <c r="I10921" s="64" t="s">
        <v>3698</v>
      </c>
      <c r="J10921" s="67">
        <v>9365.63</v>
      </c>
      <c r="K10921" s="62">
        <v>70214.11</v>
      </c>
      <c r="L10921" s="33" t="e">
        <f>HLOOKUP(B10921,#REF!,1,0)</f>
        <v>#REF!</v>
      </c>
      <c r="M10921" s="33" t="str">
        <f t="shared" si="683"/>
        <v>P&amp;L</v>
      </c>
    </row>
    <row r="10922" spans="1:13">
      <c r="A10922" s="33" t="str">
        <f t="shared" si="680"/>
        <v>SEK - Revenue</v>
      </c>
      <c r="B10922" s="33" t="str">
        <f t="shared" si="681"/>
        <v>SEK</v>
      </c>
      <c r="C10922" s="33" t="str">
        <f t="shared" si="682"/>
        <v>41122-0000</v>
      </c>
      <c r="D10922" s="64" t="s">
        <v>12189</v>
      </c>
      <c r="E10922" s="64" t="s">
        <v>3700</v>
      </c>
      <c r="F10922" s="64" t="s">
        <v>230</v>
      </c>
      <c r="G10922" s="64" t="s">
        <v>3694</v>
      </c>
      <c r="H10922" s="64" t="s">
        <v>2871</v>
      </c>
      <c r="I10922" s="64" t="s">
        <v>3701</v>
      </c>
      <c r="J10922" s="67">
        <v>-3550.25</v>
      </c>
      <c r="K10922" s="62">
        <v>-61098.21</v>
      </c>
      <c r="L10922" s="33" t="e">
        <f>HLOOKUP(B10922,#REF!,1,0)</f>
        <v>#REF!</v>
      </c>
      <c r="M10922" s="33" t="str">
        <f t="shared" si="683"/>
        <v>P&amp;L</v>
      </c>
    </row>
    <row r="10923" spans="1:13">
      <c r="A10923" s="33" t="str">
        <f t="shared" si="680"/>
        <v>SEK - Revenue</v>
      </c>
      <c r="B10923" s="33" t="str">
        <f t="shared" si="681"/>
        <v>SEK</v>
      </c>
      <c r="C10923" s="33" t="str">
        <f t="shared" si="682"/>
        <v>41130-0000</v>
      </c>
      <c r="D10923" s="64" t="s">
        <v>12190</v>
      </c>
      <c r="E10923" s="64" t="s">
        <v>3703</v>
      </c>
      <c r="F10923" s="64" t="s">
        <v>230</v>
      </c>
      <c r="G10923" s="64" t="s">
        <v>3694</v>
      </c>
      <c r="H10923" s="64" t="s">
        <v>2871</v>
      </c>
      <c r="I10923" s="64" t="s">
        <v>3704</v>
      </c>
      <c r="J10923" s="67">
        <v>0</v>
      </c>
      <c r="K10923" s="62">
        <v>200</v>
      </c>
      <c r="L10923" s="33" t="e">
        <f>HLOOKUP(B10923,#REF!,1,0)</f>
        <v>#REF!</v>
      </c>
      <c r="M10923" s="33" t="str">
        <f t="shared" si="683"/>
        <v>P&amp;L</v>
      </c>
    </row>
    <row r="10924" spans="1:13">
      <c r="A10924" s="33" t="str">
        <f t="shared" si="680"/>
        <v>SEK - Revenue</v>
      </c>
      <c r="B10924" s="33" t="str">
        <f t="shared" si="681"/>
        <v>SEK</v>
      </c>
      <c r="C10924" s="33" t="str">
        <f t="shared" si="682"/>
        <v>41140-0000</v>
      </c>
      <c r="D10924" s="64" t="s">
        <v>12191</v>
      </c>
      <c r="E10924" s="64" t="s">
        <v>3706</v>
      </c>
      <c r="F10924" s="64" t="s">
        <v>230</v>
      </c>
      <c r="G10924" s="64" t="s">
        <v>3694</v>
      </c>
      <c r="H10924" s="64" t="s">
        <v>2871</v>
      </c>
      <c r="I10924" s="64" t="s">
        <v>3707</v>
      </c>
      <c r="J10924" s="67">
        <v>0</v>
      </c>
      <c r="K10924" s="62">
        <v>0</v>
      </c>
      <c r="L10924" s="33" t="e">
        <f>HLOOKUP(B10924,#REF!,1,0)</f>
        <v>#REF!</v>
      </c>
      <c r="M10924" s="33" t="str">
        <f t="shared" si="683"/>
        <v>P&amp;L</v>
      </c>
    </row>
    <row r="10925" spans="1:13">
      <c r="A10925" s="33" t="str">
        <f t="shared" si="680"/>
        <v>SEK - Revenue</v>
      </c>
      <c r="B10925" s="33" t="str">
        <f t="shared" si="681"/>
        <v>SEK</v>
      </c>
      <c r="C10925" s="33" t="str">
        <f t="shared" si="682"/>
        <v>41150-0000</v>
      </c>
      <c r="D10925" s="64" t="s">
        <v>12192</v>
      </c>
      <c r="E10925" s="64" t="s">
        <v>3709</v>
      </c>
      <c r="F10925" s="64" t="s">
        <v>230</v>
      </c>
      <c r="G10925" s="64" t="s">
        <v>3694</v>
      </c>
      <c r="H10925" s="64" t="s">
        <v>2871</v>
      </c>
      <c r="I10925" s="64" t="s">
        <v>3710</v>
      </c>
      <c r="J10925" s="67">
        <v>0</v>
      </c>
      <c r="K10925" s="62">
        <v>0</v>
      </c>
      <c r="L10925" s="33" t="e">
        <f>HLOOKUP(B10925,#REF!,1,0)</f>
        <v>#REF!</v>
      </c>
      <c r="M10925" s="33" t="str">
        <f t="shared" si="683"/>
        <v>P&amp;L</v>
      </c>
    </row>
    <row r="10926" spans="1:13">
      <c r="A10926" s="33" t="str">
        <f t="shared" si="680"/>
        <v>SEK - Revenue</v>
      </c>
      <c r="B10926" s="33" t="str">
        <f t="shared" si="681"/>
        <v>SEK</v>
      </c>
      <c r="C10926" s="33" t="str">
        <f t="shared" si="682"/>
        <v>41160-0000</v>
      </c>
      <c r="D10926" s="64" t="s">
        <v>12193</v>
      </c>
      <c r="E10926" s="64" t="s">
        <v>3957</v>
      </c>
      <c r="F10926" s="64" t="s">
        <v>230</v>
      </c>
      <c r="G10926" s="64" t="s">
        <v>3694</v>
      </c>
      <c r="H10926" s="64" t="s">
        <v>2871</v>
      </c>
      <c r="I10926" s="64" t="s">
        <v>3701</v>
      </c>
      <c r="J10926" s="67">
        <v>0</v>
      </c>
      <c r="K10926" s="62">
        <v>-3801</v>
      </c>
      <c r="L10926" s="33" t="e">
        <f>HLOOKUP(B10926,#REF!,1,0)</f>
        <v>#REF!</v>
      </c>
      <c r="M10926" s="33" t="str">
        <f t="shared" si="683"/>
        <v>P&amp;L</v>
      </c>
    </row>
    <row r="10927" spans="1:13">
      <c r="A10927" s="33" t="str">
        <f t="shared" si="680"/>
        <v>SEK - Revenue</v>
      </c>
      <c r="B10927" s="33" t="str">
        <f t="shared" si="681"/>
        <v>SEK</v>
      </c>
      <c r="C10927" s="33" t="str">
        <f t="shared" si="682"/>
        <v>41999-0000</v>
      </c>
      <c r="D10927" s="64" t="s">
        <v>12194</v>
      </c>
      <c r="E10927" s="64" t="s">
        <v>3712</v>
      </c>
      <c r="F10927" s="64" t="s">
        <v>230</v>
      </c>
      <c r="G10927" s="64" t="s">
        <v>3713</v>
      </c>
      <c r="H10927" s="64" t="s">
        <v>2871</v>
      </c>
      <c r="I10927" s="64" t="s">
        <v>3714</v>
      </c>
      <c r="J10927" s="67">
        <v>24919.87</v>
      </c>
      <c r="K10927" s="62">
        <v>317398.3</v>
      </c>
      <c r="L10927" s="33" t="e">
        <f>HLOOKUP(B10927,#REF!,1,0)</f>
        <v>#REF!</v>
      </c>
      <c r="M10927" s="33" t="str">
        <f t="shared" si="683"/>
        <v>P&amp;L</v>
      </c>
    </row>
    <row r="10928" spans="1:13">
      <c r="A10928" s="33" t="str">
        <f t="shared" si="680"/>
        <v>SEK - Revenue</v>
      </c>
      <c r="B10928" s="33" t="str">
        <f t="shared" si="681"/>
        <v>SEK</v>
      </c>
      <c r="C10928" s="33" t="str">
        <f t="shared" si="682"/>
        <v>47400-0000</v>
      </c>
      <c r="D10928" s="64" t="s">
        <v>12195</v>
      </c>
      <c r="E10928" s="64" t="s">
        <v>3716</v>
      </c>
      <c r="F10928" s="64" t="s">
        <v>230</v>
      </c>
      <c r="G10928" s="64" t="s">
        <v>3717</v>
      </c>
      <c r="H10928" s="64" t="s">
        <v>2871</v>
      </c>
      <c r="I10928" s="64" t="s">
        <v>3718</v>
      </c>
      <c r="J10928" s="67">
        <v>-24919.87</v>
      </c>
      <c r="K10928" s="62">
        <v>-317398.3</v>
      </c>
      <c r="L10928" s="33" t="e">
        <f>HLOOKUP(B10928,#REF!,1,0)</f>
        <v>#REF!</v>
      </c>
      <c r="M10928" s="33" t="str">
        <f t="shared" si="683"/>
        <v>P&amp;L</v>
      </c>
    </row>
    <row r="10929" spans="1:13">
      <c r="A10929" s="33" t="str">
        <f t="shared" si="680"/>
        <v>SEK - Revenue</v>
      </c>
      <c r="B10929" s="33" t="str">
        <f t="shared" si="681"/>
        <v>SEK</v>
      </c>
      <c r="C10929" s="33" t="str">
        <f t="shared" si="682"/>
        <v>47420-0000</v>
      </c>
      <c r="D10929" s="64" t="s">
        <v>12196</v>
      </c>
      <c r="E10929" s="64" t="s">
        <v>4154</v>
      </c>
      <c r="F10929" s="64" t="s">
        <v>230</v>
      </c>
      <c r="G10929" s="64" t="s">
        <v>3717</v>
      </c>
      <c r="H10929" s="64" t="s">
        <v>2871</v>
      </c>
      <c r="I10929" s="64" t="s">
        <v>4155</v>
      </c>
      <c r="J10929" s="67">
        <v>-24.75</v>
      </c>
      <c r="K10929" s="62">
        <v>-263</v>
      </c>
      <c r="L10929" s="33" t="e">
        <f>HLOOKUP(B10929,#REF!,1,0)</f>
        <v>#REF!</v>
      </c>
      <c r="M10929" s="33" t="str">
        <f t="shared" si="683"/>
        <v>P&amp;L</v>
      </c>
    </row>
    <row r="10930" spans="1:13">
      <c r="A10930" s="33" t="str">
        <f t="shared" si="680"/>
        <v>SEK - Revenue</v>
      </c>
      <c r="B10930" s="33" t="str">
        <f t="shared" si="681"/>
        <v>SEK</v>
      </c>
      <c r="C10930" s="33" t="str">
        <f t="shared" si="682"/>
        <v>47430-0000</v>
      </c>
      <c r="D10930" s="64" t="s">
        <v>12197</v>
      </c>
      <c r="E10930" s="64" t="s">
        <v>4053</v>
      </c>
      <c r="F10930" s="64" t="s">
        <v>230</v>
      </c>
      <c r="G10930" s="64" t="s">
        <v>3717</v>
      </c>
      <c r="H10930" s="64" t="s">
        <v>2871</v>
      </c>
      <c r="I10930" s="64" t="s">
        <v>4054</v>
      </c>
      <c r="J10930" s="67">
        <v>0</v>
      </c>
      <c r="K10930" s="62">
        <v>-743.9</v>
      </c>
      <c r="L10930" s="33" t="e">
        <f>HLOOKUP(B10930,#REF!,1,0)</f>
        <v>#REF!</v>
      </c>
      <c r="M10930" s="33" t="str">
        <f t="shared" si="683"/>
        <v>P&amp;L</v>
      </c>
    </row>
    <row r="10931" spans="1:13">
      <c r="A10931" s="33" t="str">
        <f t="shared" si="680"/>
        <v>SEK - Revenue</v>
      </c>
      <c r="B10931" s="33" t="str">
        <f t="shared" si="681"/>
        <v>SEK</v>
      </c>
      <c r="C10931" s="33" t="str">
        <f t="shared" si="682"/>
        <v>47440-0000</v>
      </c>
      <c r="D10931" s="64" t="s">
        <v>12198</v>
      </c>
      <c r="E10931" s="64" t="s">
        <v>3720</v>
      </c>
      <c r="F10931" s="64" t="s">
        <v>230</v>
      </c>
      <c r="G10931" s="64" t="s">
        <v>3717</v>
      </c>
      <c r="H10931" s="64" t="s">
        <v>2871</v>
      </c>
      <c r="I10931" s="64" t="s">
        <v>3721</v>
      </c>
      <c r="J10931" s="67">
        <v>0</v>
      </c>
      <c r="K10931" s="62">
        <v>0</v>
      </c>
      <c r="L10931" s="33" t="e">
        <f>HLOOKUP(B10931,#REF!,1,0)</f>
        <v>#REF!</v>
      </c>
      <c r="M10931" s="33" t="str">
        <f t="shared" si="683"/>
        <v>P&amp;L</v>
      </c>
    </row>
    <row r="10932" spans="1:13">
      <c r="A10932" s="33" t="str">
        <f t="shared" si="680"/>
        <v>SEK - Revenue</v>
      </c>
      <c r="B10932" s="33" t="str">
        <f t="shared" si="681"/>
        <v>SEK</v>
      </c>
      <c r="C10932" s="33" t="str">
        <f t="shared" si="682"/>
        <v>47460-0000</v>
      </c>
      <c r="D10932" s="64" t="s">
        <v>12199</v>
      </c>
      <c r="E10932" s="64" t="s">
        <v>3726</v>
      </c>
      <c r="F10932" s="64" t="s">
        <v>230</v>
      </c>
      <c r="G10932" s="64" t="s">
        <v>3717</v>
      </c>
      <c r="H10932" s="64" t="s">
        <v>2871</v>
      </c>
      <c r="I10932" s="64" t="s">
        <v>3727</v>
      </c>
      <c r="J10932" s="67">
        <v>0</v>
      </c>
      <c r="K10932" s="62">
        <v>-25</v>
      </c>
      <c r="L10932" s="33" t="e">
        <f>HLOOKUP(B10932,#REF!,1,0)</f>
        <v>#REF!</v>
      </c>
      <c r="M10932" s="33" t="str">
        <f t="shared" si="683"/>
        <v>P&amp;L</v>
      </c>
    </row>
    <row r="10933" spans="1:13">
      <c r="A10933" s="33" t="str">
        <f t="shared" si="680"/>
        <v>SEK - Revenue</v>
      </c>
      <c r="B10933" s="33" t="str">
        <f t="shared" si="681"/>
        <v>SEK</v>
      </c>
      <c r="C10933" s="33" t="str">
        <f t="shared" si="682"/>
        <v>47480-0000</v>
      </c>
      <c r="D10933" s="64" t="s">
        <v>12200</v>
      </c>
      <c r="E10933" s="64" t="s">
        <v>3729</v>
      </c>
      <c r="F10933" s="64" t="s">
        <v>230</v>
      </c>
      <c r="G10933" s="64" t="s">
        <v>3717</v>
      </c>
      <c r="H10933" s="64" t="s">
        <v>2871</v>
      </c>
      <c r="I10933" s="64" t="s">
        <v>3721</v>
      </c>
      <c r="J10933" s="67">
        <v>0</v>
      </c>
      <c r="K10933" s="62">
        <v>-180</v>
      </c>
      <c r="L10933" s="33" t="e">
        <f>HLOOKUP(B10933,#REF!,1,0)</f>
        <v>#REF!</v>
      </c>
      <c r="M10933" s="33" t="str">
        <f t="shared" si="683"/>
        <v>P&amp;L</v>
      </c>
    </row>
    <row r="10934" spans="1:13">
      <c r="A10934" s="33" t="str">
        <f t="shared" si="680"/>
        <v>SEK - Revenue</v>
      </c>
      <c r="B10934" s="33" t="str">
        <f t="shared" si="681"/>
        <v>SEK</v>
      </c>
      <c r="C10934" s="33" t="str">
        <f t="shared" si="682"/>
        <v>47494-0000</v>
      </c>
      <c r="D10934" s="64" t="s">
        <v>12201</v>
      </c>
      <c r="E10934" s="64" t="s">
        <v>8407</v>
      </c>
      <c r="F10934" s="64" t="s">
        <v>230</v>
      </c>
      <c r="G10934" s="64" t="s">
        <v>3717</v>
      </c>
      <c r="H10934" s="64" t="s">
        <v>2871</v>
      </c>
      <c r="I10934" s="64" t="s">
        <v>8408</v>
      </c>
      <c r="J10934" s="67">
        <v>0</v>
      </c>
      <c r="K10934" s="62">
        <v>-1364.38</v>
      </c>
      <c r="L10934" s="33" t="e">
        <f>HLOOKUP(B10934,#REF!,1,0)</f>
        <v>#REF!</v>
      </c>
      <c r="M10934" s="33" t="str">
        <f t="shared" si="683"/>
        <v>P&amp;L</v>
      </c>
    </row>
    <row r="10935" spans="1:13">
      <c r="A10935" s="33" t="str">
        <f t="shared" si="680"/>
        <v>SEK - CGS</v>
      </c>
      <c r="B10935" s="33" t="str">
        <f t="shared" si="681"/>
        <v>SEK</v>
      </c>
      <c r="C10935" s="33" t="str">
        <f t="shared" si="682"/>
        <v>51005-0000</v>
      </c>
      <c r="D10935" s="64" t="s">
        <v>12202</v>
      </c>
      <c r="E10935" s="64" t="s">
        <v>3968</v>
      </c>
      <c r="F10935" s="64" t="s">
        <v>230</v>
      </c>
      <c r="G10935" s="64" t="s">
        <v>3740</v>
      </c>
      <c r="H10935" s="64" t="s">
        <v>1875</v>
      </c>
      <c r="I10935" s="64" t="s">
        <v>3969</v>
      </c>
      <c r="J10935" s="67">
        <v>0</v>
      </c>
      <c r="K10935" s="62">
        <v>73.97</v>
      </c>
      <c r="L10935" s="33" t="e">
        <f>HLOOKUP(B10935,#REF!,1,0)</f>
        <v>#REF!</v>
      </c>
      <c r="M10935" s="33" t="str">
        <f t="shared" si="683"/>
        <v>P&amp;L</v>
      </c>
    </row>
    <row r="10936" spans="1:13">
      <c r="A10936" s="33" t="str">
        <f t="shared" si="680"/>
        <v>SEK - CGS</v>
      </c>
      <c r="B10936" s="33" t="str">
        <f t="shared" si="681"/>
        <v>SEK</v>
      </c>
      <c r="C10936" s="33" t="str">
        <f t="shared" si="682"/>
        <v>51006-0000</v>
      </c>
      <c r="D10936" s="64" t="s">
        <v>12203</v>
      </c>
      <c r="E10936" s="64" t="s">
        <v>3739</v>
      </c>
      <c r="F10936" s="64" t="s">
        <v>230</v>
      </c>
      <c r="G10936" s="64" t="s">
        <v>3740</v>
      </c>
      <c r="H10936" s="64" t="s">
        <v>1875</v>
      </c>
      <c r="I10936" s="64" t="s">
        <v>3741</v>
      </c>
      <c r="J10936" s="67">
        <v>0</v>
      </c>
      <c r="K10936" s="62">
        <v>-616.59</v>
      </c>
      <c r="L10936" s="33" t="e">
        <f>HLOOKUP(B10936,#REF!,1,0)</f>
        <v>#REF!</v>
      </c>
      <c r="M10936" s="33" t="str">
        <f t="shared" si="683"/>
        <v>P&amp;L</v>
      </c>
    </row>
    <row r="10937" spans="1:13">
      <c r="A10937" s="33" t="str">
        <f t="shared" si="680"/>
        <v>SEK - CGS</v>
      </c>
      <c r="B10937" s="33" t="str">
        <f t="shared" si="681"/>
        <v>SEK</v>
      </c>
      <c r="C10937" s="33" t="str">
        <f t="shared" si="682"/>
        <v>51008-0000</v>
      </c>
      <c r="D10937" s="64" t="s">
        <v>12204</v>
      </c>
      <c r="E10937" s="64" t="s">
        <v>3743</v>
      </c>
      <c r="F10937" s="64" t="s">
        <v>230</v>
      </c>
      <c r="G10937" s="64" t="s">
        <v>3740</v>
      </c>
      <c r="H10937" s="64" t="s">
        <v>1875</v>
      </c>
      <c r="I10937" s="64" t="s">
        <v>3744</v>
      </c>
      <c r="J10937" s="67">
        <v>0</v>
      </c>
      <c r="K10937" s="62">
        <v>727.38</v>
      </c>
      <c r="L10937" s="33" t="e">
        <f>HLOOKUP(B10937,#REF!,1,0)</f>
        <v>#REF!</v>
      </c>
      <c r="M10937" s="33" t="str">
        <f t="shared" si="683"/>
        <v>P&amp;L</v>
      </c>
    </row>
    <row r="10938" spans="1:13">
      <c r="A10938" s="33" t="str">
        <f t="shared" si="680"/>
        <v>SEK - CGS</v>
      </c>
      <c r="B10938" s="33" t="str">
        <f t="shared" si="681"/>
        <v>SEK</v>
      </c>
      <c r="C10938" s="33" t="str">
        <f t="shared" si="682"/>
        <v>51009-0000</v>
      </c>
      <c r="D10938" s="64" t="s">
        <v>12205</v>
      </c>
      <c r="E10938" s="64" t="s">
        <v>3746</v>
      </c>
      <c r="F10938" s="64" t="s">
        <v>230</v>
      </c>
      <c r="G10938" s="64" t="s">
        <v>3740</v>
      </c>
      <c r="H10938" s="64" t="s">
        <v>1875</v>
      </c>
      <c r="I10938" s="64" t="s">
        <v>3747</v>
      </c>
      <c r="J10938" s="67">
        <v>306.92</v>
      </c>
      <c r="K10938" s="62">
        <v>1012.11</v>
      </c>
      <c r="L10938" s="33" t="e">
        <f>HLOOKUP(B10938,#REF!,1,0)</f>
        <v>#REF!</v>
      </c>
      <c r="M10938" s="33" t="str">
        <f t="shared" si="683"/>
        <v>P&amp;L</v>
      </c>
    </row>
    <row r="10939" spans="1:13">
      <c r="A10939" s="33" t="str">
        <f t="shared" si="680"/>
        <v>SEK - CGS</v>
      </c>
      <c r="B10939" s="33" t="str">
        <f t="shared" si="681"/>
        <v>SEK</v>
      </c>
      <c r="C10939" s="33" t="str">
        <f t="shared" si="682"/>
        <v>51011-0000</v>
      </c>
      <c r="D10939" s="64" t="s">
        <v>12206</v>
      </c>
      <c r="E10939" s="64" t="s">
        <v>3749</v>
      </c>
      <c r="F10939" s="64" t="s">
        <v>230</v>
      </c>
      <c r="G10939" s="64" t="s">
        <v>3740</v>
      </c>
      <c r="H10939" s="64" t="s">
        <v>1875</v>
      </c>
      <c r="I10939" s="64" t="s">
        <v>3750</v>
      </c>
      <c r="J10939" s="67">
        <v>350</v>
      </c>
      <c r="K10939" s="62">
        <v>3745.17</v>
      </c>
      <c r="L10939" s="33" t="e">
        <f>HLOOKUP(B10939,#REF!,1,0)</f>
        <v>#REF!</v>
      </c>
      <c r="M10939" s="33" t="str">
        <f t="shared" si="683"/>
        <v>P&amp;L</v>
      </c>
    </row>
    <row r="10940" spans="1:13">
      <c r="A10940" s="33" t="str">
        <f t="shared" si="680"/>
        <v>SEK - CGS</v>
      </c>
      <c r="B10940" s="33" t="str">
        <f t="shared" si="681"/>
        <v>SEK</v>
      </c>
      <c r="C10940" s="33" t="str">
        <f t="shared" si="682"/>
        <v>52001-0000</v>
      </c>
      <c r="D10940" s="64" t="s">
        <v>12207</v>
      </c>
      <c r="E10940" s="64" t="s">
        <v>3768</v>
      </c>
      <c r="F10940" s="64" t="s">
        <v>230</v>
      </c>
      <c r="G10940" s="64" t="s">
        <v>3769</v>
      </c>
      <c r="H10940" s="64" t="s">
        <v>1875</v>
      </c>
      <c r="I10940" s="64" t="s">
        <v>3770</v>
      </c>
      <c r="J10940" s="67">
        <v>0</v>
      </c>
      <c r="K10940" s="62">
        <v>719.33</v>
      </c>
      <c r="L10940" s="33" t="e">
        <f>HLOOKUP(B10940,#REF!,1,0)</f>
        <v>#REF!</v>
      </c>
      <c r="M10940" s="33" t="str">
        <f t="shared" si="683"/>
        <v>P&amp;L</v>
      </c>
    </row>
    <row r="10941" spans="1:13">
      <c r="A10941" s="33" t="str">
        <f t="shared" si="680"/>
        <v>SEK - CGS</v>
      </c>
      <c r="B10941" s="33" t="str">
        <f t="shared" si="681"/>
        <v>SEK</v>
      </c>
      <c r="C10941" s="33" t="str">
        <f t="shared" si="682"/>
        <v>53002-0000</v>
      </c>
      <c r="D10941" s="64" t="s">
        <v>12208</v>
      </c>
      <c r="E10941" s="64" t="s">
        <v>3784</v>
      </c>
      <c r="F10941" s="64" t="s">
        <v>230</v>
      </c>
      <c r="G10941" s="64" t="s">
        <v>3160</v>
      </c>
      <c r="H10941" s="64" t="s">
        <v>1875</v>
      </c>
      <c r="I10941" s="64" t="s">
        <v>3785</v>
      </c>
      <c r="J10941" s="67">
        <v>0</v>
      </c>
      <c r="K10941" s="62">
        <v>3282.65</v>
      </c>
      <c r="L10941" s="33" t="e">
        <f>HLOOKUP(B10941,#REF!,1,0)</f>
        <v>#REF!</v>
      </c>
      <c r="M10941" s="33" t="str">
        <f t="shared" si="683"/>
        <v>P&amp;L</v>
      </c>
    </row>
    <row r="10942" spans="1:13">
      <c r="A10942" s="33" t="str">
        <f t="shared" si="680"/>
        <v>SEK - CGS</v>
      </c>
      <c r="B10942" s="33" t="str">
        <f t="shared" si="681"/>
        <v>SEK</v>
      </c>
      <c r="C10942" s="33" t="str">
        <f t="shared" si="682"/>
        <v>53003-0000</v>
      </c>
      <c r="D10942" s="64" t="s">
        <v>12209</v>
      </c>
      <c r="E10942" s="64" t="s">
        <v>3787</v>
      </c>
      <c r="F10942" s="64" t="s">
        <v>230</v>
      </c>
      <c r="G10942" s="64" t="s">
        <v>3160</v>
      </c>
      <c r="H10942" s="64" t="s">
        <v>1875</v>
      </c>
      <c r="I10942" s="64" t="s">
        <v>3788</v>
      </c>
      <c r="J10942" s="67">
        <v>48.85</v>
      </c>
      <c r="K10942" s="62">
        <v>1005.26</v>
      </c>
      <c r="L10942" s="33" t="e">
        <f>HLOOKUP(B10942,#REF!,1,0)</f>
        <v>#REF!</v>
      </c>
      <c r="M10942" s="33" t="str">
        <f t="shared" si="683"/>
        <v>P&amp;L</v>
      </c>
    </row>
    <row r="10943" spans="1:13">
      <c r="A10943" s="33" t="str">
        <f t="shared" si="680"/>
        <v>SEK - CGS</v>
      </c>
      <c r="B10943" s="33" t="str">
        <f t="shared" si="681"/>
        <v>SEK</v>
      </c>
      <c r="C10943" s="33" t="str">
        <f t="shared" si="682"/>
        <v>53004-0000</v>
      </c>
      <c r="D10943" s="64" t="s">
        <v>12210</v>
      </c>
      <c r="E10943" s="64" t="s">
        <v>3790</v>
      </c>
      <c r="F10943" s="64" t="s">
        <v>230</v>
      </c>
      <c r="G10943" s="64" t="s">
        <v>3160</v>
      </c>
      <c r="H10943" s="64" t="s">
        <v>1875</v>
      </c>
      <c r="I10943" s="64" t="s">
        <v>3791</v>
      </c>
      <c r="J10943" s="67">
        <v>152.08</v>
      </c>
      <c r="K10943" s="62">
        <v>2584.9</v>
      </c>
      <c r="L10943" s="33" t="e">
        <f>HLOOKUP(B10943,#REF!,1,0)</f>
        <v>#REF!</v>
      </c>
      <c r="M10943" s="33" t="str">
        <f t="shared" si="683"/>
        <v>P&amp;L</v>
      </c>
    </row>
    <row r="10944" spans="1:13">
      <c r="A10944" s="33" t="str">
        <f t="shared" si="680"/>
        <v>SEK - CGS</v>
      </c>
      <c r="B10944" s="33" t="str">
        <f t="shared" si="681"/>
        <v>SEK</v>
      </c>
      <c r="C10944" s="33" t="str">
        <f t="shared" si="682"/>
        <v>53005-0000</v>
      </c>
      <c r="D10944" s="64" t="s">
        <v>12211</v>
      </c>
      <c r="E10944" s="64" t="s">
        <v>3793</v>
      </c>
      <c r="F10944" s="64" t="s">
        <v>230</v>
      </c>
      <c r="G10944" s="64" t="s">
        <v>3160</v>
      </c>
      <c r="H10944" s="64" t="s">
        <v>1875</v>
      </c>
      <c r="I10944" s="64" t="s">
        <v>3794</v>
      </c>
      <c r="J10944" s="67">
        <v>0</v>
      </c>
      <c r="K10944" s="62">
        <v>1884.79</v>
      </c>
      <c r="L10944" s="33" t="e">
        <f>HLOOKUP(B10944,#REF!,1,0)</f>
        <v>#REF!</v>
      </c>
      <c r="M10944" s="33" t="str">
        <f t="shared" si="683"/>
        <v>P&amp;L</v>
      </c>
    </row>
    <row r="10945" spans="1:13">
      <c r="A10945" s="33" t="str">
        <f t="shared" si="680"/>
        <v>SEK - CGS</v>
      </c>
      <c r="B10945" s="33" t="str">
        <f t="shared" si="681"/>
        <v>SEK</v>
      </c>
      <c r="C10945" s="33" t="str">
        <f t="shared" si="682"/>
        <v>53006-0000</v>
      </c>
      <c r="D10945" s="64" t="s">
        <v>12212</v>
      </c>
      <c r="E10945" s="64" t="s">
        <v>3796</v>
      </c>
      <c r="F10945" s="64" t="s">
        <v>230</v>
      </c>
      <c r="G10945" s="64" t="s">
        <v>3160</v>
      </c>
      <c r="H10945" s="64" t="s">
        <v>1875</v>
      </c>
      <c r="I10945" s="64" t="s">
        <v>3797</v>
      </c>
      <c r="J10945" s="67">
        <v>0</v>
      </c>
      <c r="K10945" s="62">
        <v>2535.74</v>
      </c>
      <c r="L10945" s="33" t="e">
        <f>HLOOKUP(B10945,#REF!,1,0)</f>
        <v>#REF!</v>
      </c>
      <c r="M10945" s="33" t="str">
        <f t="shared" si="683"/>
        <v>P&amp;L</v>
      </c>
    </row>
    <row r="10946" spans="1:13">
      <c r="A10946" s="33" t="str">
        <f t="shared" ref="A10946:A11009" si="684">B10946&amp;" - "&amp;TRIM(H10946)</f>
        <v>SEK - CGS</v>
      </c>
      <c r="B10946" s="33" t="str">
        <f t="shared" ref="B10946:B11009" si="685">LEFT(D10946,3)</f>
        <v>SEK</v>
      </c>
      <c r="C10946" s="33" t="str">
        <f t="shared" ref="C10946:C11009" si="686">RIGHT(D10946,10)</f>
        <v>54002-0000</v>
      </c>
      <c r="D10946" s="64" t="s">
        <v>12213</v>
      </c>
      <c r="E10946" s="64" t="s">
        <v>3799</v>
      </c>
      <c r="F10946" s="64" t="s">
        <v>230</v>
      </c>
      <c r="G10946" s="64" t="s">
        <v>3800</v>
      </c>
      <c r="H10946" s="64" t="s">
        <v>1875</v>
      </c>
      <c r="I10946" s="64" t="s">
        <v>3801</v>
      </c>
      <c r="J10946" s="67">
        <v>0</v>
      </c>
      <c r="K10946" s="62">
        <v>38</v>
      </c>
      <c r="L10946" s="33" t="e">
        <f>HLOOKUP(B10946,#REF!,1,0)</f>
        <v>#REF!</v>
      </c>
      <c r="M10946" s="33" t="str">
        <f t="shared" ref="M10946:M11009" si="687">IF(VALUE(LEFT(C10946,5))&gt;40000,"P&amp;L","BS")</f>
        <v>P&amp;L</v>
      </c>
    </row>
    <row r="10947" spans="1:13">
      <c r="A10947" s="33" t="str">
        <f t="shared" si="684"/>
        <v>SEK - CGS</v>
      </c>
      <c r="B10947" s="33" t="str">
        <f t="shared" si="685"/>
        <v>SEK</v>
      </c>
      <c r="C10947" s="33" t="str">
        <f t="shared" si="686"/>
        <v>54003-0000</v>
      </c>
      <c r="D10947" s="64" t="s">
        <v>12214</v>
      </c>
      <c r="E10947" s="64" t="s">
        <v>3803</v>
      </c>
      <c r="F10947" s="64" t="s">
        <v>230</v>
      </c>
      <c r="G10947" s="64" t="s">
        <v>3800</v>
      </c>
      <c r="H10947" s="64" t="s">
        <v>1875</v>
      </c>
      <c r="I10947" s="64" t="s">
        <v>3804</v>
      </c>
      <c r="J10947" s="67">
        <v>0</v>
      </c>
      <c r="K10947" s="62">
        <v>0</v>
      </c>
      <c r="L10947" s="33" t="e">
        <f>HLOOKUP(B10947,#REF!,1,0)</f>
        <v>#REF!</v>
      </c>
      <c r="M10947" s="33" t="str">
        <f t="shared" si="687"/>
        <v>P&amp;L</v>
      </c>
    </row>
    <row r="10948" spans="1:13">
      <c r="A10948" s="33" t="str">
        <f t="shared" si="684"/>
        <v>SEK - CGS</v>
      </c>
      <c r="B10948" s="33" t="str">
        <f t="shared" si="685"/>
        <v>SEK</v>
      </c>
      <c r="C10948" s="33" t="str">
        <f t="shared" si="686"/>
        <v>54004-0000</v>
      </c>
      <c r="D10948" s="64" t="s">
        <v>12215</v>
      </c>
      <c r="E10948" s="64" t="s">
        <v>3806</v>
      </c>
      <c r="F10948" s="64" t="s">
        <v>230</v>
      </c>
      <c r="G10948" s="64" t="s">
        <v>3800</v>
      </c>
      <c r="H10948" s="64" t="s">
        <v>1875</v>
      </c>
      <c r="I10948" s="64" t="s">
        <v>3807</v>
      </c>
      <c r="J10948" s="67">
        <v>0</v>
      </c>
      <c r="K10948" s="62">
        <v>0</v>
      </c>
      <c r="L10948" s="33" t="e">
        <f>HLOOKUP(B10948,#REF!,1,0)</f>
        <v>#REF!</v>
      </c>
      <c r="M10948" s="33" t="str">
        <f t="shared" si="687"/>
        <v>P&amp;L</v>
      </c>
    </row>
    <row r="10949" spans="1:13">
      <c r="A10949" s="33" t="str">
        <f t="shared" si="684"/>
        <v>SEK - CGS</v>
      </c>
      <c r="B10949" s="33" t="str">
        <f t="shared" si="685"/>
        <v>SEK</v>
      </c>
      <c r="C10949" s="33" t="str">
        <f t="shared" si="686"/>
        <v>54006-0000</v>
      </c>
      <c r="D10949" s="64" t="s">
        <v>12216</v>
      </c>
      <c r="E10949" s="64" t="s">
        <v>3812</v>
      </c>
      <c r="F10949" s="64" t="s">
        <v>230</v>
      </c>
      <c r="G10949" s="64" t="s">
        <v>3800</v>
      </c>
      <c r="H10949" s="64" t="s">
        <v>1875</v>
      </c>
      <c r="I10949" s="64" t="s">
        <v>3003</v>
      </c>
      <c r="J10949" s="67">
        <v>0</v>
      </c>
      <c r="K10949" s="62">
        <v>0</v>
      </c>
      <c r="L10949" s="33" t="e">
        <f>HLOOKUP(B10949,#REF!,1,0)</f>
        <v>#REF!</v>
      </c>
      <c r="M10949" s="33" t="str">
        <f t="shared" si="687"/>
        <v>P&amp;L</v>
      </c>
    </row>
    <row r="10950" spans="1:13">
      <c r="A10950" s="33" t="str">
        <f t="shared" si="684"/>
        <v>SEK - CGS</v>
      </c>
      <c r="B10950" s="33" t="str">
        <f t="shared" si="685"/>
        <v>SEK</v>
      </c>
      <c r="C10950" s="33" t="str">
        <f t="shared" si="686"/>
        <v>54007-0000</v>
      </c>
      <c r="D10950" s="64" t="s">
        <v>12217</v>
      </c>
      <c r="E10950" s="64" t="s">
        <v>4182</v>
      </c>
      <c r="F10950" s="64" t="s">
        <v>230</v>
      </c>
      <c r="G10950" s="64" t="s">
        <v>3800</v>
      </c>
      <c r="H10950" s="64" t="s">
        <v>1875</v>
      </c>
      <c r="I10950" s="64" t="s">
        <v>3815</v>
      </c>
      <c r="J10950" s="67">
        <v>0</v>
      </c>
      <c r="K10950" s="62">
        <v>517.13</v>
      </c>
      <c r="L10950" s="33" t="e">
        <f>HLOOKUP(B10950,#REF!,1,0)</f>
        <v>#REF!</v>
      </c>
      <c r="M10950" s="33" t="str">
        <f t="shared" si="687"/>
        <v>P&amp;L</v>
      </c>
    </row>
    <row r="10951" spans="1:13">
      <c r="A10951" s="33" t="str">
        <f t="shared" si="684"/>
        <v>SEK - PM Expenses</v>
      </c>
      <c r="B10951" s="33" t="str">
        <f t="shared" si="685"/>
        <v>SEK</v>
      </c>
      <c r="C10951" s="33" t="str">
        <f t="shared" si="686"/>
        <v>55502-0000</v>
      </c>
      <c r="D10951" s="64" t="s">
        <v>12218</v>
      </c>
      <c r="E10951" s="64" t="s">
        <v>3822</v>
      </c>
      <c r="F10951" s="64" t="s">
        <v>230</v>
      </c>
      <c r="G10951" s="64" t="s">
        <v>3818</v>
      </c>
      <c r="H10951" s="64" t="s">
        <v>3819</v>
      </c>
      <c r="I10951" s="64" t="s">
        <v>3823</v>
      </c>
      <c r="J10951" s="67">
        <v>0</v>
      </c>
      <c r="K10951" s="62">
        <v>4126.06</v>
      </c>
      <c r="L10951" s="33" t="e">
        <f>HLOOKUP(B10951,#REF!,1,0)</f>
        <v>#REF!</v>
      </c>
      <c r="M10951" s="33" t="str">
        <f t="shared" si="687"/>
        <v>P&amp;L</v>
      </c>
    </row>
    <row r="10952" spans="1:13">
      <c r="A10952" s="33" t="str">
        <f t="shared" si="684"/>
        <v>SEK - PM Expenses</v>
      </c>
      <c r="B10952" s="33" t="str">
        <f t="shared" si="685"/>
        <v>SEK</v>
      </c>
      <c r="C10952" s="33" t="str">
        <f t="shared" si="686"/>
        <v>55503-0000</v>
      </c>
      <c r="D10952" s="64" t="s">
        <v>12219</v>
      </c>
      <c r="E10952" s="64" t="s">
        <v>3825</v>
      </c>
      <c r="F10952" s="64" t="s">
        <v>230</v>
      </c>
      <c r="G10952" s="64" t="s">
        <v>3818</v>
      </c>
      <c r="H10952" s="64" t="s">
        <v>3819</v>
      </c>
      <c r="I10952" s="64" t="s">
        <v>3826</v>
      </c>
      <c r="J10952" s="67">
        <v>116</v>
      </c>
      <c r="K10952" s="62">
        <v>1250</v>
      </c>
      <c r="L10952" s="33" t="e">
        <f>HLOOKUP(B10952,#REF!,1,0)</f>
        <v>#REF!</v>
      </c>
      <c r="M10952" s="33" t="str">
        <f t="shared" si="687"/>
        <v>P&amp;L</v>
      </c>
    </row>
    <row r="10953" spans="1:13">
      <c r="A10953" s="33" t="str">
        <f t="shared" si="684"/>
        <v>SEK - PM Expenses</v>
      </c>
      <c r="B10953" s="33" t="str">
        <f t="shared" si="685"/>
        <v>SEK</v>
      </c>
      <c r="C10953" s="33" t="str">
        <f t="shared" si="686"/>
        <v>55505-0000</v>
      </c>
      <c r="D10953" s="64" t="s">
        <v>12220</v>
      </c>
      <c r="E10953" s="64" t="s">
        <v>3828</v>
      </c>
      <c r="F10953" s="64" t="s">
        <v>230</v>
      </c>
      <c r="G10953" s="64" t="s">
        <v>3818</v>
      </c>
      <c r="H10953" s="64" t="s">
        <v>3819</v>
      </c>
      <c r="I10953" s="64" t="s">
        <v>3829</v>
      </c>
      <c r="J10953" s="67">
        <v>595.5</v>
      </c>
      <c r="K10953" s="62">
        <v>5888.7</v>
      </c>
      <c r="L10953" s="33" t="e">
        <f>HLOOKUP(B10953,#REF!,1,0)</f>
        <v>#REF!</v>
      </c>
      <c r="M10953" s="33" t="str">
        <f t="shared" si="687"/>
        <v>P&amp;L</v>
      </c>
    </row>
    <row r="10954" spans="1:13">
      <c r="A10954" s="33" t="str">
        <f t="shared" si="684"/>
        <v>SEK - PM Expenses</v>
      </c>
      <c r="B10954" s="33" t="str">
        <f t="shared" si="685"/>
        <v>SEK</v>
      </c>
      <c r="C10954" s="33" t="str">
        <f t="shared" si="686"/>
        <v>55506-0000</v>
      </c>
      <c r="D10954" s="64" t="s">
        <v>12221</v>
      </c>
      <c r="E10954" s="64" t="s">
        <v>3831</v>
      </c>
      <c r="F10954" s="64" t="s">
        <v>230</v>
      </c>
      <c r="G10954" s="64" t="s">
        <v>3818</v>
      </c>
      <c r="H10954" s="64" t="s">
        <v>3819</v>
      </c>
      <c r="I10954" s="64" t="s">
        <v>3832</v>
      </c>
      <c r="J10954" s="67">
        <v>-660</v>
      </c>
      <c r="K10954" s="62">
        <v>2877.08</v>
      </c>
      <c r="L10954" s="33" t="e">
        <f>HLOOKUP(B10954,#REF!,1,0)</f>
        <v>#REF!</v>
      </c>
      <c r="M10954" s="33" t="str">
        <f t="shared" si="687"/>
        <v>P&amp;L</v>
      </c>
    </row>
    <row r="10955" spans="1:13">
      <c r="A10955" s="33" t="str">
        <f t="shared" si="684"/>
        <v>SEK - CGS</v>
      </c>
      <c r="B10955" s="33" t="str">
        <f t="shared" si="685"/>
        <v>SEK</v>
      </c>
      <c r="C10955" s="33" t="str">
        <f t="shared" si="686"/>
        <v>60001-0000</v>
      </c>
      <c r="D10955" s="64" t="s">
        <v>12222</v>
      </c>
      <c r="E10955" s="64" t="s">
        <v>4192</v>
      </c>
      <c r="F10955" s="64" t="s">
        <v>230</v>
      </c>
      <c r="G10955" s="64" t="s">
        <v>3838</v>
      </c>
      <c r="H10955" s="64" t="s">
        <v>1875</v>
      </c>
      <c r="I10955" s="64" t="s">
        <v>4193</v>
      </c>
      <c r="J10955" s="67">
        <v>-141.35</v>
      </c>
      <c r="K10955" s="62">
        <v>-141.35</v>
      </c>
      <c r="L10955" s="33" t="e">
        <f>HLOOKUP(B10955,#REF!,1,0)</f>
        <v>#REF!</v>
      </c>
      <c r="M10955" s="33" t="str">
        <f t="shared" si="687"/>
        <v>P&amp;L</v>
      </c>
    </row>
    <row r="10956" spans="1:13">
      <c r="A10956" s="33" t="str">
        <f t="shared" si="684"/>
        <v>SEK - CGS</v>
      </c>
      <c r="B10956" s="33" t="str">
        <f t="shared" si="685"/>
        <v>SEK</v>
      </c>
      <c r="C10956" s="33" t="str">
        <f t="shared" si="686"/>
        <v>60002-0000</v>
      </c>
      <c r="D10956" s="64" t="s">
        <v>12223</v>
      </c>
      <c r="E10956" s="64" t="s">
        <v>3837</v>
      </c>
      <c r="F10956" s="64" t="s">
        <v>230</v>
      </c>
      <c r="G10956" s="64" t="s">
        <v>3838</v>
      </c>
      <c r="H10956" s="64" t="s">
        <v>1875</v>
      </c>
      <c r="I10956" s="64" t="s">
        <v>3839</v>
      </c>
      <c r="J10956" s="67">
        <v>333.74</v>
      </c>
      <c r="K10956" s="62">
        <v>1332.06</v>
      </c>
      <c r="L10956" s="33" t="e">
        <f>HLOOKUP(B10956,#REF!,1,0)</f>
        <v>#REF!</v>
      </c>
      <c r="M10956" s="33" t="str">
        <f t="shared" si="687"/>
        <v>P&amp;L</v>
      </c>
    </row>
    <row r="10957" spans="1:13">
      <c r="A10957" s="33" t="str">
        <f t="shared" si="684"/>
        <v>SEK - CGS</v>
      </c>
      <c r="B10957" s="33" t="str">
        <f t="shared" si="685"/>
        <v>SEK</v>
      </c>
      <c r="C10957" s="33" t="str">
        <f t="shared" si="686"/>
        <v>60005-0000</v>
      </c>
      <c r="D10957" s="64" t="s">
        <v>12224</v>
      </c>
      <c r="E10957" s="64" t="s">
        <v>3841</v>
      </c>
      <c r="F10957" s="64" t="s">
        <v>230</v>
      </c>
      <c r="G10957" s="64" t="s">
        <v>3838</v>
      </c>
      <c r="H10957" s="64" t="s">
        <v>1875</v>
      </c>
      <c r="I10957" s="64" t="s">
        <v>3842</v>
      </c>
      <c r="J10957" s="67">
        <v>455</v>
      </c>
      <c r="K10957" s="62">
        <v>5461.14</v>
      </c>
      <c r="L10957" s="33" t="e">
        <f>HLOOKUP(B10957,#REF!,1,0)</f>
        <v>#REF!</v>
      </c>
      <c r="M10957" s="33" t="str">
        <f t="shared" si="687"/>
        <v>P&amp;L</v>
      </c>
    </row>
    <row r="10958" spans="1:13">
      <c r="A10958" s="33" t="str">
        <f t="shared" si="684"/>
        <v>SEK - Interest Expense</v>
      </c>
      <c r="B10958" s="33" t="str">
        <f t="shared" si="685"/>
        <v>SEK</v>
      </c>
      <c r="C10958" s="33" t="str">
        <f t="shared" si="686"/>
        <v>60006-0000</v>
      </c>
      <c r="D10958" s="64" t="s">
        <v>12225</v>
      </c>
      <c r="E10958" s="64" t="s">
        <v>3325</v>
      </c>
      <c r="F10958" s="64" t="s">
        <v>230</v>
      </c>
      <c r="G10958" s="64" t="s">
        <v>3844</v>
      </c>
      <c r="H10958" s="64" t="s">
        <v>3327</v>
      </c>
      <c r="I10958" s="64" t="s">
        <v>3328</v>
      </c>
      <c r="J10958" s="67">
        <v>10196.45</v>
      </c>
      <c r="K10958" s="62">
        <v>102740.41</v>
      </c>
      <c r="L10958" s="33" t="e">
        <f>HLOOKUP(B10958,#REF!,1,0)</f>
        <v>#REF!</v>
      </c>
      <c r="M10958" s="33" t="str">
        <f t="shared" si="687"/>
        <v>P&amp;L</v>
      </c>
    </row>
    <row r="10959" spans="1:13">
      <c r="A10959" s="33" t="str">
        <f t="shared" si="684"/>
        <v>SEK - CGS</v>
      </c>
      <c r="B10959" s="33" t="str">
        <f t="shared" si="685"/>
        <v>SEK</v>
      </c>
      <c r="C10959" s="33" t="str">
        <f t="shared" si="686"/>
        <v>60007-0000</v>
      </c>
      <c r="D10959" s="64" t="s">
        <v>12226</v>
      </c>
      <c r="E10959" s="64" t="s">
        <v>3846</v>
      </c>
      <c r="F10959" s="64" t="s">
        <v>230</v>
      </c>
      <c r="G10959" s="64" t="s">
        <v>3838</v>
      </c>
      <c r="H10959" s="64" t="s">
        <v>1875</v>
      </c>
      <c r="I10959" s="64" t="s">
        <v>3847</v>
      </c>
      <c r="J10959" s="67">
        <v>0</v>
      </c>
      <c r="K10959" s="62">
        <v>40801</v>
      </c>
      <c r="L10959" s="33" t="e">
        <f>HLOOKUP(B10959,#REF!,1,0)</f>
        <v>#REF!</v>
      </c>
      <c r="M10959" s="33" t="str">
        <f t="shared" si="687"/>
        <v>P&amp;L</v>
      </c>
    </row>
    <row r="10960" spans="1:13">
      <c r="A10960" s="33" t="str">
        <f t="shared" si="684"/>
        <v>SEK - CGS</v>
      </c>
      <c r="B10960" s="33" t="str">
        <f t="shared" si="685"/>
        <v>SEK</v>
      </c>
      <c r="C10960" s="33" t="str">
        <f t="shared" si="686"/>
        <v>60010-0000</v>
      </c>
      <c r="D10960" s="64" t="s">
        <v>12227</v>
      </c>
      <c r="E10960" s="64" t="s">
        <v>12228</v>
      </c>
      <c r="F10960" s="64" t="s">
        <v>230</v>
      </c>
      <c r="G10960" s="64" t="s">
        <v>3838</v>
      </c>
      <c r="H10960" s="64" t="s">
        <v>1875</v>
      </c>
      <c r="I10960" s="64" t="s">
        <v>12229</v>
      </c>
      <c r="J10960" s="67">
        <v>0</v>
      </c>
      <c r="K10960" s="62">
        <v>2508</v>
      </c>
      <c r="L10960" s="33" t="e">
        <f>HLOOKUP(B10960,#REF!,1,0)</f>
        <v>#REF!</v>
      </c>
      <c r="M10960" s="33" t="str">
        <f t="shared" si="687"/>
        <v>P&amp;L</v>
      </c>
    </row>
    <row r="10961" spans="1:13">
      <c r="A10961" s="33" t="str">
        <f t="shared" si="684"/>
        <v>SEK - CGS</v>
      </c>
      <c r="B10961" s="33" t="str">
        <f t="shared" si="685"/>
        <v>SEK</v>
      </c>
      <c r="C10961" s="33" t="str">
        <f t="shared" si="686"/>
        <v>60012-0000</v>
      </c>
      <c r="D10961" s="64" t="s">
        <v>12230</v>
      </c>
      <c r="E10961" s="64" t="s">
        <v>3852</v>
      </c>
      <c r="F10961" s="64" t="s">
        <v>230</v>
      </c>
      <c r="G10961" s="64" t="s">
        <v>3838</v>
      </c>
      <c r="H10961" s="64" t="s">
        <v>1875</v>
      </c>
      <c r="I10961" s="64" t="s">
        <v>3853</v>
      </c>
      <c r="J10961" s="67">
        <v>0</v>
      </c>
      <c r="K10961" s="62">
        <v>33131.17</v>
      </c>
      <c r="L10961" s="33" t="e">
        <f>HLOOKUP(B10961,#REF!,1,0)</f>
        <v>#REF!</v>
      </c>
      <c r="M10961" s="33" t="str">
        <f t="shared" si="687"/>
        <v>P&amp;L</v>
      </c>
    </row>
    <row r="10962" spans="1:13">
      <c r="A10962" s="33" t="str">
        <f t="shared" si="684"/>
        <v>SEK - CGS</v>
      </c>
      <c r="B10962" s="33" t="str">
        <f t="shared" si="685"/>
        <v>SEK</v>
      </c>
      <c r="C10962" s="33" t="str">
        <f t="shared" si="686"/>
        <v>60014-0000</v>
      </c>
      <c r="D10962" s="64" t="s">
        <v>12231</v>
      </c>
      <c r="E10962" s="64" t="s">
        <v>3855</v>
      </c>
      <c r="F10962" s="64" t="s">
        <v>230</v>
      </c>
      <c r="G10962" s="64" t="s">
        <v>3838</v>
      </c>
      <c r="H10962" s="64" t="s">
        <v>1875</v>
      </c>
      <c r="I10962" s="64" t="s">
        <v>3856</v>
      </c>
      <c r="J10962" s="67">
        <v>1283.66</v>
      </c>
      <c r="K10962" s="62">
        <v>17479.87</v>
      </c>
      <c r="L10962" s="33" t="e">
        <f>HLOOKUP(B10962,#REF!,1,0)</f>
        <v>#REF!</v>
      </c>
      <c r="M10962" s="33" t="str">
        <f t="shared" si="687"/>
        <v>P&amp;L</v>
      </c>
    </row>
    <row r="10963" spans="1:13">
      <c r="A10963" s="33" t="str">
        <f t="shared" si="684"/>
        <v>SEK - CGS</v>
      </c>
      <c r="B10963" s="33" t="str">
        <f t="shared" si="685"/>
        <v>SEK</v>
      </c>
      <c r="C10963" s="33" t="str">
        <f t="shared" si="686"/>
        <v>60015-0000</v>
      </c>
      <c r="D10963" s="64" t="s">
        <v>12232</v>
      </c>
      <c r="E10963" s="64" t="s">
        <v>3858</v>
      </c>
      <c r="F10963" s="64" t="s">
        <v>230</v>
      </c>
      <c r="G10963" s="64" t="s">
        <v>3838</v>
      </c>
      <c r="H10963" s="64" t="s">
        <v>1875</v>
      </c>
      <c r="I10963" s="64" t="s">
        <v>3859</v>
      </c>
      <c r="J10963" s="67">
        <v>0</v>
      </c>
      <c r="K10963" s="62">
        <v>557.85</v>
      </c>
      <c r="L10963" s="33" t="e">
        <f>HLOOKUP(B10963,#REF!,1,0)</f>
        <v>#REF!</v>
      </c>
      <c r="M10963" s="33" t="str">
        <f t="shared" si="687"/>
        <v>P&amp;L</v>
      </c>
    </row>
    <row r="10964" spans="1:13">
      <c r="A10964" s="33" t="str">
        <f t="shared" si="684"/>
        <v>SEK - Income Tax</v>
      </c>
      <c r="B10964" s="33" t="str">
        <f t="shared" si="685"/>
        <v>SEK</v>
      </c>
      <c r="C10964" s="33" t="str">
        <f t="shared" si="686"/>
        <v>61019-0000</v>
      </c>
      <c r="D10964" s="64" t="s">
        <v>12233</v>
      </c>
      <c r="E10964" s="64" t="s">
        <v>4041</v>
      </c>
      <c r="F10964" s="64" t="s">
        <v>230</v>
      </c>
      <c r="G10964" s="64" t="s">
        <v>3844</v>
      </c>
      <c r="H10964" s="64" t="s">
        <v>3378</v>
      </c>
      <c r="I10964" s="64" t="s">
        <v>4042</v>
      </c>
      <c r="J10964" s="67">
        <v>137.44</v>
      </c>
      <c r="K10964" s="62">
        <v>5282.11</v>
      </c>
      <c r="L10964" s="33" t="e">
        <f>HLOOKUP(B10964,#REF!,1,0)</f>
        <v>#REF!</v>
      </c>
      <c r="M10964" s="33" t="str">
        <f t="shared" si="687"/>
        <v>P&amp;L</v>
      </c>
    </row>
    <row r="10965" spans="1:13">
      <c r="A10965" s="33" t="str">
        <f t="shared" si="684"/>
        <v>SG2 - Cash</v>
      </c>
      <c r="B10965" s="33" t="str">
        <f t="shared" si="685"/>
        <v>SG2</v>
      </c>
      <c r="C10965" s="33" t="str">
        <f t="shared" si="686"/>
        <v>10022-0000</v>
      </c>
      <c r="D10965" s="64" t="s">
        <v>12234</v>
      </c>
      <c r="E10965" s="64" t="s">
        <v>760</v>
      </c>
      <c r="F10965" s="64" t="s">
        <v>15</v>
      </c>
      <c r="G10965" s="64" t="s">
        <v>16</v>
      </c>
      <c r="H10965" s="64" t="s">
        <v>25</v>
      </c>
      <c r="I10965" s="64" t="s">
        <v>18</v>
      </c>
      <c r="J10965" s="67">
        <v>0</v>
      </c>
      <c r="K10965" s="62">
        <v>0</v>
      </c>
      <c r="L10965" s="33" t="e">
        <f>HLOOKUP(B10965,#REF!,1,0)</f>
        <v>#REF!</v>
      </c>
      <c r="M10965" s="33" t="str">
        <f t="shared" si="687"/>
        <v>BS</v>
      </c>
    </row>
    <row r="10966" spans="1:13">
      <c r="A10966" s="33" t="str">
        <f t="shared" si="684"/>
        <v>SG2 - Intercompany</v>
      </c>
      <c r="B10966" s="33" t="str">
        <f t="shared" si="685"/>
        <v>SG2</v>
      </c>
      <c r="C10966" s="33" t="str">
        <f t="shared" si="686"/>
        <v>11218-0000</v>
      </c>
      <c r="D10966" s="64" t="s">
        <v>12235</v>
      </c>
      <c r="E10966" s="64" t="s">
        <v>42</v>
      </c>
      <c r="F10966" s="64" t="s">
        <v>15</v>
      </c>
      <c r="G10966" s="64" t="s">
        <v>16</v>
      </c>
      <c r="H10966" s="64" t="s">
        <v>39</v>
      </c>
      <c r="I10966" s="64" t="s">
        <v>40</v>
      </c>
      <c r="J10966" s="67">
        <v>0</v>
      </c>
      <c r="K10966" s="62">
        <v>27.71</v>
      </c>
      <c r="L10966" s="33" t="e">
        <f>HLOOKUP(B10966,#REF!,1,0)</f>
        <v>#REF!</v>
      </c>
      <c r="M10966" s="33" t="str">
        <f t="shared" si="687"/>
        <v>BS</v>
      </c>
    </row>
    <row r="10967" spans="1:13">
      <c r="A10967" s="33" t="str">
        <f t="shared" si="684"/>
        <v>SG2 - Revenue</v>
      </c>
      <c r="B10967" s="33" t="str">
        <f t="shared" si="685"/>
        <v>SG2</v>
      </c>
      <c r="C10967" s="33" t="str">
        <f t="shared" si="686"/>
        <v>40001-7373</v>
      </c>
      <c r="D10967" s="64" t="s">
        <v>12236</v>
      </c>
      <c r="E10967" s="64" t="s">
        <v>2869</v>
      </c>
      <c r="F10967" s="64" t="s">
        <v>15</v>
      </c>
      <c r="G10967" s="64" t="s">
        <v>2870</v>
      </c>
      <c r="H10967" s="64" t="s">
        <v>2871</v>
      </c>
      <c r="I10967" s="64" t="s">
        <v>2872</v>
      </c>
      <c r="J10967" s="67">
        <v>-148443.67</v>
      </c>
      <c r="K10967" s="62">
        <v>-1381682.82</v>
      </c>
      <c r="L10967" s="33" t="e">
        <f>HLOOKUP(B10967,#REF!,1,0)</f>
        <v>#REF!</v>
      </c>
      <c r="M10967" s="33" t="str">
        <f t="shared" si="687"/>
        <v>P&amp;L</v>
      </c>
    </row>
    <row r="10968" spans="1:13">
      <c r="A10968" s="33" t="str">
        <f t="shared" si="684"/>
        <v>SG2 - Revenue</v>
      </c>
      <c r="B10968" s="33" t="str">
        <f t="shared" si="685"/>
        <v>SG2</v>
      </c>
      <c r="C10968" s="33" t="str">
        <f t="shared" si="686"/>
        <v>40001-7382</v>
      </c>
      <c r="D10968" s="64" t="s">
        <v>12237</v>
      </c>
      <c r="E10968" s="64" t="s">
        <v>2869</v>
      </c>
      <c r="F10968" s="64" t="s">
        <v>15</v>
      </c>
      <c r="G10968" s="64" t="s">
        <v>2870</v>
      </c>
      <c r="H10968" s="64" t="s">
        <v>2871</v>
      </c>
      <c r="I10968" s="64" t="s">
        <v>2872</v>
      </c>
      <c r="J10968" s="67">
        <v>-152357.37</v>
      </c>
      <c r="K10968" s="62">
        <v>-1440732.93</v>
      </c>
      <c r="L10968" s="33" t="e">
        <f>HLOOKUP(B10968,#REF!,1,0)</f>
        <v>#REF!</v>
      </c>
      <c r="M10968" s="33" t="str">
        <f t="shared" si="687"/>
        <v>P&amp;L</v>
      </c>
    </row>
    <row r="10969" spans="1:13">
      <c r="A10969" s="33" t="str">
        <f t="shared" si="684"/>
        <v>SG2 - Revenue</v>
      </c>
      <c r="B10969" s="33" t="str">
        <f t="shared" si="685"/>
        <v>SG2</v>
      </c>
      <c r="C10969" s="33" t="str">
        <f t="shared" si="686"/>
        <v>40002-7373</v>
      </c>
      <c r="D10969" s="64" t="s">
        <v>12238</v>
      </c>
      <c r="E10969" s="64" t="s">
        <v>2877</v>
      </c>
      <c r="F10969" s="64" t="s">
        <v>15</v>
      </c>
      <c r="G10969" s="64" t="s">
        <v>2870</v>
      </c>
      <c r="H10969" s="64" t="s">
        <v>2871</v>
      </c>
      <c r="I10969" s="64" t="s">
        <v>2872</v>
      </c>
      <c r="J10969" s="67">
        <v>0</v>
      </c>
      <c r="K10969" s="62">
        <v>0</v>
      </c>
      <c r="L10969" s="33" t="e">
        <f>HLOOKUP(B10969,#REF!,1,0)</f>
        <v>#REF!</v>
      </c>
      <c r="M10969" s="33" t="str">
        <f t="shared" si="687"/>
        <v>P&amp;L</v>
      </c>
    </row>
    <row r="10970" spans="1:13">
      <c r="A10970" s="33" t="str">
        <f t="shared" si="684"/>
        <v>SG2 - Revenue</v>
      </c>
      <c r="B10970" s="33" t="str">
        <f t="shared" si="685"/>
        <v>SG2</v>
      </c>
      <c r="C10970" s="33" t="str">
        <f t="shared" si="686"/>
        <v>40002-7382</v>
      </c>
      <c r="D10970" s="64" t="s">
        <v>12239</v>
      </c>
      <c r="E10970" s="64" t="s">
        <v>2877</v>
      </c>
      <c r="F10970" s="64" t="s">
        <v>15</v>
      </c>
      <c r="G10970" s="64" t="s">
        <v>2870</v>
      </c>
      <c r="H10970" s="64" t="s">
        <v>2871</v>
      </c>
      <c r="I10970" s="64" t="s">
        <v>2872</v>
      </c>
      <c r="J10970" s="67">
        <v>0</v>
      </c>
      <c r="K10970" s="62">
        <v>0</v>
      </c>
      <c r="L10970" s="33" t="e">
        <f>HLOOKUP(B10970,#REF!,1,0)</f>
        <v>#REF!</v>
      </c>
      <c r="M10970" s="33" t="str">
        <f t="shared" si="687"/>
        <v>P&amp;L</v>
      </c>
    </row>
    <row r="10971" spans="1:13">
      <c r="A10971" s="33" t="str">
        <f t="shared" si="684"/>
        <v>SG2 - Revenue</v>
      </c>
      <c r="B10971" s="33" t="str">
        <f t="shared" si="685"/>
        <v>SG2</v>
      </c>
      <c r="C10971" s="33" t="str">
        <f t="shared" si="686"/>
        <v>40091-7373</v>
      </c>
      <c r="D10971" s="64" t="s">
        <v>12240</v>
      </c>
      <c r="E10971" s="64" t="s">
        <v>2882</v>
      </c>
      <c r="F10971" s="64" t="s">
        <v>15</v>
      </c>
      <c r="G10971" s="64" t="s">
        <v>2870</v>
      </c>
      <c r="H10971" s="64" t="s">
        <v>2871</v>
      </c>
      <c r="I10971" s="64" t="s">
        <v>2883</v>
      </c>
      <c r="J10971" s="67">
        <v>18173.9</v>
      </c>
      <c r="K10971" s="62">
        <v>113839.67</v>
      </c>
      <c r="L10971" s="33" t="e">
        <f>HLOOKUP(B10971,#REF!,1,0)</f>
        <v>#REF!</v>
      </c>
      <c r="M10971" s="33" t="str">
        <f t="shared" si="687"/>
        <v>P&amp;L</v>
      </c>
    </row>
    <row r="10972" spans="1:13">
      <c r="A10972" s="33" t="str">
        <f t="shared" si="684"/>
        <v>SG2 - Revenue</v>
      </c>
      <c r="B10972" s="33" t="str">
        <f t="shared" si="685"/>
        <v>SG2</v>
      </c>
      <c r="C10972" s="33" t="str">
        <f t="shared" si="686"/>
        <v>40091-7382</v>
      </c>
      <c r="D10972" s="64" t="s">
        <v>12241</v>
      </c>
      <c r="E10972" s="64" t="s">
        <v>2882</v>
      </c>
      <c r="F10972" s="64" t="s">
        <v>15</v>
      </c>
      <c r="G10972" s="64" t="s">
        <v>2870</v>
      </c>
      <c r="H10972" s="64" t="s">
        <v>2871</v>
      </c>
      <c r="I10972" s="64" t="s">
        <v>2883</v>
      </c>
      <c r="J10972" s="67">
        <v>19900.84</v>
      </c>
      <c r="K10972" s="62">
        <v>160761.26</v>
      </c>
      <c r="L10972" s="33" t="e">
        <f>HLOOKUP(B10972,#REF!,1,0)</f>
        <v>#REF!</v>
      </c>
      <c r="M10972" s="33" t="str">
        <f t="shared" si="687"/>
        <v>P&amp;L</v>
      </c>
    </row>
    <row r="10973" spans="1:13">
      <c r="A10973" s="33" t="str">
        <f t="shared" si="684"/>
        <v>SG2 - CGS</v>
      </c>
      <c r="B10973" s="33" t="str">
        <f t="shared" si="685"/>
        <v>SG2</v>
      </c>
      <c r="C10973" s="33" t="str">
        <f t="shared" si="686"/>
        <v>50003-7373</v>
      </c>
      <c r="D10973" s="64" t="s">
        <v>12242</v>
      </c>
      <c r="E10973" s="64" t="s">
        <v>2888</v>
      </c>
      <c r="F10973" s="64" t="s">
        <v>15</v>
      </c>
      <c r="G10973" s="64" t="s">
        <v>2889</v>
      </c>
      <c r="H10973" s="64" t="s">
        <v>1875</v>
      </c>
      <c r="I10973" s="64" t="s">
        <v>2890</v>
      </c>
      <c r="J10973" s="67">
        <v>2065.69</v>
      </c>
      <c r="K10973" s="62">
        <v>17416.01</v>
      </c>
      <c r="L10973" s="33" t="e">
        <f>HLOOKUP(B10973,#REF!,1,0)</f>
        <v>#REF!</v>
      </c>
      <c r="M10973" s="33" t="str">
        <f t="shared" si="687"/>
        <v>P&amp;L</v>
      </c>
    </row>
    <row r="10974" spans="1:13">
      <c r="A10974" s="33" t="str">
        <f t="shared" si="684"/>
        <v>SG2 - CGS</v>
      </c>
      <c r="B10974" s="33" t="str">
        <f t="shared" si="685"/>
        <v>SG2</v>
      </c>
      <c r="C10974" s="33" t="str">
        <f t="shared" si="686"/>
        <v>50003-7382</v>
      </c>
      <c r="D10974" s="64" t="s">
        <v>12243</v>
      </c>
      <c r="E10974" s="64" t="s">
        <v>2888</v>
      </c>
      <c r="F10974" s="64" t="s">
        <v>15</v>
      </c>
      <c r="G10974" s="64" t="s">
        <v>2889</v>
      </c>
      <c r="H10974" s="64" t="s">
        <v>1875</v>
      </c>
      <c r="I10974" s="64" t="s">
        <v>2890</v>
      </c>
      <c r="J10974" s="67">
        <v>2300.83</v>
      </c>
      <c r="K10974" s="62">
        <v>19975.69</v>
      </c>
      <c r="L10974" s="33" t="e">
        <f>HLOOKUP(B10974,#REF!,1,0)</f>
        <v>#REF!</v>
      </c>
      <c r="M10974" s="33" t="str">
        <f t="shared" si="687"/>
        <v>P&amp;L</v>
      </c>
    </row>
    <row r="10975" spans="1:13">
      <c r="A10975" s="33" t="str">
        <f t="shared" si="684"/>
        <v>SG2 - CGS</v>
      </c>
      <c r="B10975" s="33" t="str">
        <f t="shared" si="685"/>
        <v>SG2</v>
      </c>
      <c r="C10975" s="33" t="str">
        <f t="shared" si="686"/>
        <v>50007-7373</v>
      </c>
      <c r="D10975" s="64" t="s">
        <v>12244</v>
      </c>
      <c r="E10975" s="64" t="s">
        <v>2895</v>
      </c>
      <c r="F10975" s="64" t="s">
        <v>15</v>
      </c>
      <c r="G10975" s="64" t="s">
        <v>2889</v>
      </c>
      <c r="H10975" s="64" t="s">
        <v>1875</v>
      </c>
      <c r="I10975" s="64" t="s">
        <v>2890</v>
      </c>
      <c r="J10975" s="67">
        <v>24017.58</v>
      </c>
      <c r="K10975" s="62">
        <v>254312.86</v>
      </c>
      <c r="L10975" s="33" t="e">
        <f>HLOOKUP(B10975,#REF!,1,0)</f>
        <v>#REF!</v>
      </c>
      <c r="M10975" s="33" t="str">
        <f t="shared" si="687"/>
        <v>P&amp;L</v>
      </c>
    </row>
    <row r="10976" spans="1:13">
      <c r="A10976" s="33" t="str">
        <f t="shared" si="684"/>
        <v>SG2 - CGS</v>
      </c>
      <c r="B10976" s="33" t="str">
        <f t="shared" si="685"/>
        <v>SG2</v>
      </c>
      <c r="C10976" s="33" t="str">
        <f t="shared" si="686"/>
        <v>50007-7382</v>
      </c>
      <c r="D10976" s="64" t="s">
        <v>12245</v>
      </c>
      <c r="E10976" s="64" t="s">
        <v>2895</v>
      </c>
      <c r="F10976" s="64" t="s">
        <v>15</v>
      </c>
      <c r="G10976" s="64" t="s">
        <v>2889</v>
      </c>
      <c r="H10976" s="64" t="s">
        <v>1875</v>
      </c>
      <c r="I10976" s="64" t="s">
        <v>2890</v>
      </c>
      <c r="J10976" s="67">
        <v>25553.04</v>
      </c>
      <c r="K10976" s="62">
        <v>273855.49</v>
      </c>
      <c r="L10976" s="33" t="e">
        <f>HLOOKUP(B10976,#REF!,1,0)</f>
        <v>#REF!</v>
      </c>
      <c r="M10976" s="33" t="str">
        <f t="shared" si="687"/>
        <v>P&amp;L</v>
      </c>
    </row>
    <row r="10977" spans="1:13">
      <c r="A10977" s="33" t="str">
        <f t="shared" si="684"/>
        <v>SG2 - CGS</v>
      </c>
      <c r="B10977" s="33" t="str">
        <f t="shared" si="685"/>
        <v>SG2</v>
      </c>
      <c r="C10977" s="33" t="str">
        <f t="shared" si="686"/>
        <v>50099-7373</v>
      </c>
      <c r="D10977" s="64" t="s">
        <v>12246</v>
      </c>
      <c r="E10977" s="64" t="s">
        <v>2900</v>
      </c>
      <c r="F10977" s="64" t="s">
        <v>15</v>
      </c>
      <c r="G10977" s="64" t="s">
        <v>2889</v>
      </c>
      <c r="H10977" s="64" t="s">
        <v>1875</v>
      </c>
      <c r="I10977" s="64" t="s">
        <v>2901</v>
      </c>
      <c r="J10977" s="67">
        <v>-26970.33</v>
      </c>
      <c r="K10977" s="62">
        <v>-257869.16</v>
      </c>
      <c r="L10977" s="33" t="e">
        <f>HLOOKUP(B10977,#REF!,1,0)</f>
        <v>#REF!</v>
      </c>
      <c r="M10977" s="33" t="str">
        <f t="shared" si="687"/>
        <v>P&amp;L</v>
      </c>
    </row>
    <row r="10978" spans="1:13">
      <c r="A10978" s="33" t="str">
        <f t="shared" si="684"/>
        <v>SG2 - CGS</v>
      </c>
      <c r="B10978" s="33" t="str">
        <f t="shared" si="685"/>
        <v>SG2</v>
      </c>
      <c r="C10978" s="33" t="str">
        <f t="shared" si="686"/>
        <v>50099-7382</v>
      </c>
      <c r="D10978" s="64" t="s">
        <v>12247</v>
      </c>
      <c r="E10978" s="64" t="s">
        <v>2900</v>
      </c>
      <c r="F10978" s="64" t="s">
        <v>15</v>
      </c>
      <c r="G10978" s="64" t="s">
        <v>2889</v>
      </c>
      <c r="H10978" s="64" t="s">
        <v>1875</v>
      </c>
      <c r="I10978" s="64" t="s">
        <v>2901</v>
      </c>
      <c r="J10978" s="67">
        <v>-28719.75</v>
      </c>
      <c r="K10978" s="62">
        <v>-272900.21</v>
      </c>
      <c r="L10978" s="33" t="e">
        <f>HLOOKUP(B10978,#REF!,1,0)</f>
        <v>#REF!</v>
      </c>
      <c r="M10978" s="33" t="str">
        <f t="shared" si="687"/>
        <v>P&amp;L</v>
      </c>
    </row>
    <row r="10979" spans="1:13">
      <c r="A10979" s="33" t="str">
        <f t="shared" si="684"/>
        <v>SG2 - CGS</v>
      </c>
      <c r="B10979" s="33" t="str">
        <f t="shared" si="685"/>
        <v>SG2</v>
      </c>
      <c r="C10979" s="33" t="str">
        <f t="shared" si="686"/>
        <v>50100-7373</v>
      </c>
      <c r="D10979" s="64" t="s">
        <v>12248</v>
      </c>
      <c r="E10979" s="64" t="s">
        <v>2907</v>
      </c>
      <c r="F10979" s="64" t="s">
        <v>15</v>
      </c>
      <c r="G10979" s="64" t="s">
        <v>2889</v>
      </c>
      <c r="H10979" s="64" t="s">
        <v>1875</v>
      </c>
      <c r="I10979" s="64" t="s">
        <v>2908</v>
      </c>
      <c r="J10979" s="67">
        <v>26970.33</v>
      </c>
      <c r="K10979" s="62">
        <v>257869.16</v>
      </c>
      <c r="L10979" s="33" t="e">
        <f>HLOOKUP(B10979,#REF!,1,0)</f>
        <v>#REF!</v>
      </c>
      <c r="M10979" s="33" t="str">
        <f t="shared" si="687"/>
        <v>P&amp;L</v>
      </c>
    </row>
    <row r="10980" spans="1:13">
      <c r="A10980" s="33" t="str">
        <f t="shared" si="684"/>
        <v>SG2 - CGS</v>
      </c>
      <c r="B10980" s="33" t="str">
        <f t="shared" si="685"/>
        <v>SG2</v>
      </c>
      <c r="C10980" s="33" t="str">
        <f t="shared" si="686"/>
        <v>50100-7382</v>
      </c>
      <c r="D10980" s="64" t="s">
        <v>12249</v>
      </c>
      <c r="E10980" s="64" t="s">
        <v>2907</v>
      </c>
      <c r="F10980" s="64" t="s">
        <v>15</v>
      </c>
      <c r="G10980" s="64" t="s">
        <v>2889</v>
      </c>
      <c r="H10980" s="64" t="s">
        <v>1875</v>
      </c>
      <c r="I10980" s="64" t="s">
        <v>2908</v>
      </c>
      <c r="J10980" s="67">
        <v>28719.75</v>
      </c>
      <c r="K10980" s="62">
        <v>272900.21</v>
      </c>
      <c r="L10980" s="33" t="e">
        <f>HLOOKUP(B10980,#REF!,1,0)</f>
        <v>#REF!</v>
      </c>
      <c r="M10980" s="33" t="str">
        <f t="shared" si="687"/>
        <v>P&amp;L</v>
      </c>
    </row>
    <row r="10981" spans="1:13">
      <c r="A10981" s="33" t="str">
        <f t="shared" si="684"/>
        <v>SG2 - CGS</v>
      </c>
      <c r="B10981" s="33" t="str">
        <f t="shared" si="685"/>
        <v>SG2</v>
      </c>
      <c r="C10981" s="33" t="str">
        <f t="shared" si="686"/>
        <v>51001-7373</v>
      </c>
      <c r="D10981" s="64" t="s">
        <v>12250</v>
      </c>
      <c r="E10981" s="64" t="s">
        <v>2914</v>
      </c>
      <c r="F10981" s="64" t="s">
        <v>15</v>
      </c>
      <c r="G10981" s="64" t="s">
        <v>2889</v>
      </c>
      <c r="H10981" s="64" t="s">
        <v>1875</v>
      </c>
      <c r="I10981" s="64" t="s">
        <v>2915</v>
      </c>
      <c r="J10981" s="67">
        <v>1779.73</v>
      </c>
      <c r="K10981" s="62">
        <v>20432.19</v>
      </c>
      <c r="L10981" s="33" t="e">
        <f>HLOOKUP(B10981,#REF!,1,0)</f>
        <v>#REF!</v>
      </c>
      <c r="M10981" s="33" t="str">
        <f t="shared" si="687"/>
        <v>P&amp;L</v>
      </c>
    </row>
    <row r="10982" spans="1:13">
      <c r="A10982" s="33" t="str">
        <f t="shared" si="684"/>
        <v>SG2 - CGS</v>
      </c>
      <c r="B10982" s="33" t="str">
        <f t="shared" si="685"/>
        <v>SG2</v>
      </c>
      <c r="C10982" s="33" t="str">
        <f t="shared" si="686"/>
        <v>51001-7382</v>
      </c>
      <c r="D10982" s="64" t="s">
        <v>12251</v>
      </c>
      <c r="E10982" s="64" t="s">
        <v>2914</v>
      </c>
      <c r="F10982" s="64" t="s">
        <v>15</v>
      </c>
      <c r="G10982" s="64" t="s">
        <v>2889</v>
      </c>
      <c r="H10982" s="64" t="s">
        <v>1875</v>
      </c>
      <c r="I10982" s="64" t="s">
        <v>2915</v>
      </c>
      <c r="J10982" s="67">
        <v>1767.53</v>
      </c>
      <c r="K10982" s="62">
        <v>23100.71</v>
      </c>
      <c r="L10982" s="33" t="e">
        <f>HLOOKUP(B10982,#REF!,1,0)</f>
        <v>#REF!</v>
      </c>
      <c r="M10982" s="33" t="str">
        <f t="shared" si="687"/>
        <v>P&amp;L</v>
      </c>
    </row>
    <row r="10983" spans="1:13">
      <c r="A10983" s="33" t="str">
        <f t="shared" si="684"/>
        <v>SG2 - CGS</v>
      </c>
      <c r="B10983" s="33" t="str">
        <f t="shared" si="685"/>
        <v>SG2</v>
      </c>
      <c r="C10983" s="33" t="str">
        <f t="shared" si="686"/>
        <v>52001-0000</v>
      </c>
      <c r="D10983" s="64" t="s">
        <v>12252</v>
      </c>
      <c r="E10983" s="64" t="s">
        <v>2920</v>
      </c>
      <c r="F10983" s="64" t="s">
        <v>15</v>
      </c>
      <c r="G10983" s="64" t="s">
        <v>2921</v>
      </c>
      <c r="H10983" s="64" t="s">
        <v>1875</v>
      </c>
      <c r="I10983" s="64" t="s">
        <v>2922</v>
      </c>
      <c r="J10983" s="67">
        <v>0</v>
      </c>
      <c r="K10983" s="62">
        <v>0</v>
      </c>
      <c r="L10983" s="33" t="e">
        <f>HLOOKUP(B10983,#REF!,1,0)</f>
        <v>#REF!</v>
      </c>
      <c r="M10983" s="33" t="str">
        <f t="shared" si="687"/>
        <v>P&amp;L</v>
      </c>
    </row>
    <row r="10984" spans="1:13">
      <c r="A10984" s="33" t="str">
        <f t="shared" si="684"/>
        <v>SG2 - CGS</v>
      </c>
      <c r="B10984" s="33" t="str">
        <f t="shared" si="685"/>
        <v>SG2</v>
      </c>
      <c r="C10984" s="33" t="str">
        <f t="shared" si="686"/>
        <v>52001-7373</v>
      </c>
      <c r="D10984" s="64" t="s">
        <v>12253</v>
      </c>
      <c r="E10984" s="64" t="s">
        <v>2920</v>
      </c>
      <c r="F10984" s="64" t="s">
        <v>15</v>
      </c>
      <c r="G10984" s="64" t="s">
        <v>2921</v>
      </c>
      <c r="H10984" s="64" t="s">
        <v>1875</v>
      </c>
      <c r="I10984" s="64" t="s">
        <v>2922</v>
      </c>
      <c r="J10984" s="67">
        <v>16922.62</v>
      </c>
      <c r="K10984" s="62">
        <v>183542.65</v>
      </c>
      <c r="L10984" s="33" t="e">
        <f>HLOOKUP(B10984,#REF!,1,0)</f>
        <v>#REF!</v>
      </c>
      <c r="M10984" s="33" t="str">
        <f t="shared" si="687"/>
        <v>P&amp;L</v>
      </c>
    </row>
    <row r="10985" spans="1:13">
      <c r="A10985" s="33" t="str">
        <f t="shared" si="684"/>
        <v>SG2 - CGS</v>
      </c>
      <c r="B10985" s="33" t="str">
        <f t="shared" si="685"/>
        <v>SG2</v>
      </c>
      <c r="C10985" s="33" t="str">
        <f t="shared" si="686"/>
        <v>52001-7382</v>
      </c>
      <c r="D10985" s="64" t="s">
        <v>12254</v>
      </c>
      <c r="E10985" s="64" t="s">
        <v>2920</v>
      </c>
      <c r="F10985" s="64" t="s">
        <v>15</v>
      </c>
      <c r="G10985" s="64" t="s">
        <v>2921</v>
      </c>
      <c r="H10985" s="64" t="s">
        <v>1875</v>
      </c>
      <c r="I10985" s="64" t="s">
        <v>2922</v>
      </c>
      <c r="J10985" s="67">
        <v>19955.58</v>
      </c>
      <c r="K10985" s="62">
        <v>207426.94</v>
      </c>
      <c r="L10985" s="33" t="e">
        <f>HLOOKUP(B10985,#REF!,1,0)</f>
        <v>#REF!</v>
      </c>
      <c r="M10985" s="33" t="str">
        <f t="shared" si="687"/>
        <v>P&amp;L</v>
      </c>
    </row>
    <row r="10986" spans="1:13">
      <c r="A10986" s="33" t="str">
        <f t="shared" si="684"/>
        <v>SG2 - CGS</v>
      </c>
      <c r="B10986" s="33" t="str">
        <f t="shared" si="685"/>
        <v>SG2</v>
      </c>
      <c r="C10986" s="33" t="str">
        <f t="shared" si="686"/>
        <v>52002-7373</v>
      </c>
      <c r="D10986" s="64" t="s">
        <v>12255</v>
      </c>
      <c r="E10986" s="64" t="s">
        <v>2927</v>
      </c>
      <c r="F10986" s="64" t="s">
        <v>15</v>
      </c>
      <c r="G10986" s="64" t="s">
        <v>2921</v>
      </c>
      <c r="H10986" s="64" t="s">
        <v>1875</v>
      </c>
      <c r="I10986" s="64" t="s">
        <v>2928</v>
      </c>
      <c r="J10986" s="67">
        <v>10174.4</v>
      </c>
      <c r="K10986" s="62">
        <v>71250.82</v>
      </c>
      <c r="L10986" s="33" t="e">
        <f>HLOOKUP(B10986,#REF!,1,0)</f>
        <v>#REF!</v>
      </c>
      <c r="M10986" s="33" t="str">
        <f t="shared" si="687"/>
        <v>P&amp;L</v>
      </c>
    </row>
    <row r="10987" spans="1:13">
      <c r="A10987" s="33" t="str">
        <f t="shared" si="684"/>
        <v>SG2 - CGS</v>
      </c>
      <c r="B10987" s="33" t="str">
        <f t="shared" si="685"/>
        <v>SG2</v>
      </c>
      <c r="C10987" s="33" t="str">
        <f t="shared" si="686"/>
        <v>52002-7382</v>
      </c>
      <c r="D10987" s="64" t="s">
        <v>12256</v>
      </c>
      <c r="E10987" s="64" t="s">
        <v>2927</v>
      </c>
      <c r="F10987" s="64" t="s">
        <v>15</v>
      </c>
      <c r="G10987" s="64" t="s">
        <v>2921</v>
      </c>
      <c r="H10987" s="64" t="s">
        <v>1875</v>
      </c>
      <c r="I10987" s="64" t="s">
        <v>2928</v>
      </c>
      <c r="J10987" s="67">
        <v>3243.24</v>
      </c>
      <c r="K10987" s="62">
        <v>35978.7</v>
      </c>
      <c r="L10987" s="33" t="e">
        <f>HLOOKUP(B10987,#REF!,1,0)</f>
        <v>#REF!</v>
      </c>
      <c r="M10987" s="33" t="str">
        <f t="shared" si="687"/>
        <v>P&amp;L</v>
      </c>
    </row>
    <row r="10988" spans="1:13">
      <c r="A10988" s="33" t="str">
        <f t="shared" si="684"/>
        <v>SG2 - CGS</v>
      </c>
      <c r="B10988" s="33" t="str">
        <f t="shared" si="685"/>
        <v>SG2</v>
      </c>
      <c r="C10988" s="33" t="str">
        <f t="shared" si="686"/>
        <v>52003-7373</v>
      </c>
      <c r="D10988" s="64" t="s">
        <v>12257</v>
      </c>
      <c r="E10988" s="64" t="s">
        <v>2933</v>
      </c>
      <c r="F10988" s="64" t="s">
        <v>15</v>
      </c>
      <c r="G10988" s="64" t="s">
        <v>2921</v>
      </c>
      <c r="H10988" s="64" t="s">
        <v>1875</v>
      </c>
      <c r="I10988" s="64" t="s">
        <v>2934</v>
      </c>
      <c r="J10988" s="67">
        <v>534.44</v>
      </c>
      <c r="K10988" s="62">
        <v>7587.78</v>
      </c>
      <c r="L10988" s="33" t="e">
        <f>HLOOKUP(B10988,#REF!,1,0)</f>
        <v>#REF!</v>
      </c>
      <c r="M10988" s="33" t="str">
        <f t="shared" si="687"/>
        <v>P&amp;L</v>
      </c>
    </row>
    <row r="10989" spans="1:13">
      <c r="A10989" s="33" t="str">
        <f t="shared" si="684"/>
        <v>SG2 - CGS</v>
      </c>
      <c r="B10989" s="33" t="str">
        <f t="shared" si="685"/>
        <v>SG2</v>
      </c>
      <c r="C10989" s="33" t="str">
        <f t="shared" si="686"/>
        <v>52003-7382</v>
      </c>
      <c r="D10989" s="64" t="s">
        <v>12258</v>
      </c>
      <c r="E10989" s="64" t="s">
        <v>2933</v>
      </c>
      <c r="F10989" s="64" t="s">
        <v>15</v>
      </c>
      <c r="G10989" s="64" t="s">
        <v>2921</v>
      </c>
      <c r="H10989" s="64" t="s">
        <v>1875</v>
      </c>
      <c r="I10989" s="64" t="s">
        <v>2934</v>
      </c>
      <c r="J10989" s="67">
        <v>543.2</v>
      </c>
      <c r="K10989" s="62">
        <v>6910.15</v>
      </c>
      <c r="L10989" s="33" t="e">
        <f>HLOOKUP(B10989,#REF!,1,0)</f>
        <v>#REF!</v>
      </c>
      <c r="M10989" s="33" t="str">
        <f t="shared" si="687"/>
        <v>P&amp;L</v>
      </c>
    </row>
    <row r="10990" spans="1:13">
      <c r="A10990" s="33" t="str">
        <f t="shared" si="684"/>
        <v>SG2 - CGS</v>
      </c>
      <c r="B10990" s="33" t="str">
        <f t="shared" si="685"/>
        <v>SG2</v>
      </c>
      <c r="C10990" s="33" t="str">
        <f t="shared" si="686"/>
        <v>52004-7373</v>
      </c>
      <c r="D10990" s="64" t="s">
        <v>12259</v>
      </c>
      <c r="E10990" s="64" t="s">
        <v>2939</v>
      </c>
      <c r="F10990" s="64" t="s">
        <v>15</v>
      </c>
      <c r="G10990" s="64" t="s">
        <v>2921</v>
      </c>
      <c r="H10990" s="64" t="s">
        <v>1875</v>
      </c>
      <c r="I10990" s="64" t="s">
        <v>2940</v>
      </c>
      <c r="J10990" s="67">
        <v>1227.52</v>
      </c>
      <c r="K10990" s="62">
        <v>6520.46</v>
      </c>
      <c r="L10990" s="33" t="e">
        <f>HLOOKUP(B10990,#REF!,1,0)</f>
        <v>#REF!</v>
      </c>
      <c r="M10990" s="33" t="str">
        <f t="shared" si="687"/>
        <v>P&amp;L</v>
      </c>
    </row>
    <row r="10991" spans="1:13">
      <c r="A10991" s="33" t="str">
        <f t="shared" si="684"/>
        <v>SG2 - CGS</v>
      </c>
      <c r="B10991" s="33" t="str">
        <f t="shared" si="685"/>
        <v>SG2</v>
      </c>
      <c r="C10991" s="33" t="str">
        <f t="shared" si="686"/>
        <v>52004-7382</v>
      </c>
      <c r="D10991" s="64" t="s">
        <v>12260</v>
      </c>
      <c r="E10991" s="64" t="s">
        <v>2939</v>
      </c>
      <c r="F10991" s="64" t="s">
        <v>15</v>
      </c>
      <c r="G10991" s="64" t="s">
        <v>2921</v>
      </c>
      <c r="H10991" s="64" t="s">
        <v>1875</v>
      </c>
      <c r="I10991" s="64" t="s">
        <v>2940</v>
      </c>
      <c r="J10991" s="67">
        <v>83.08</v>
      </c>
      <c r="K10991" s="62">
        <v>2714.26</v>
      </c>
      <c r="L10991" s="33" t="e">
        <f>HLOOKUP(B10991,#REF!,1,0)</f>
        <v>#REF!</v>
      </c>
      <c r="M10991" s="33" t="str">
        <f t="shared" si="687"/>
        <v>P&amp;L</v>
      </c>
    </row>
    <row r="10992" spans="1:13">
      <c r="A10992" s="33" t="str">
        <f t="shared" si="684"/>
        <v>SG2 - CGS</v>
      </c>
      <c r="B10992" s="33" t="str">
        <f t="shared" si="685"/>
        <v>SG2</v>
      </c>
      <c r="C10992" s="33" t="str">
        <f t="shared" si="686"/>
        <v>52005-7373</v>
      </c>
      <c r="D10992" s="64" t="s">
        <v>12261</v>
      </c>
      <c r="E10992" s="64" t="s">
        <v>2945</v>
      </c>
      <c r="F10992" s="64" t="s">
        <v>15</v>
      </c>
      <c r="G10992" s="64" t="s">
        <v>2921</v>
      </c>
      <c r="H10992" s="64" t="s">
        <v>1875</v>
      </c>
      <c r="I10992" s="64" t="s">
        <v>2946</v>
      </c>
      <c r="J10992" s="67">
        <v>260.32</v>
      </c>
      <c r="K10992" s="62">
        <v>2467.17</v>
      </c>
      <c r="L10992" s="33" t="e">
        <f>HLOOKUP(B10992,#REF!,1,0)</f>
        <v>#REF!</v>
      </c>
      <c r="M10992" s="33" t="str">
        <f t="shared" si="687"/>
        <v>P&amp;L</v>
      </c>
    </row>
    <row r="10993" spans="1:13">
      <c r="A10993" s="33" t="str">
        <f t="shared" si="684"/>
        <v>SG2 - CGS</v>
      </c>
      <c r="B10993" s="33" t="str">
        <f t="shared" si="685"/>
        <v>SG2</v>
      </c>
      <c r="C10993" s="33" t="str">
        <f t="shared" si="686"/>
        <v>52005-7382</v>
      </c>
      <c r="D10993" s="64" t="s">
        <v>12262</v>
      </c>
      <c r="E10993" s="64" t="s">
        <v>2945</v>
      </c>
      <c r="F10993" s="64" t="s">
        <v>15</v>
      </c>
      <c r="G10993" s="64" t="s">
        <v>2921</v>
      </c>
      <c r="H10993" s="64" t="s">
        <v>1875</v>
      </c>
      <c r="I10993" s="64" t="s">
        <v>2946</v>
      </c>
      <c r="J10993" s="67">
        <v>1242.5</v>
      </c>
      <c r="K10993" s="62">
        <v>6096.91</v>
      </c>
      <c r="L10993" s="33" t="e">
        <f>HLOOKUP(B10993,#REF!,1,0)</f>
        <v>#REF!</v>
      </c>
      <c r="M10993" s="33" t="str">
        <f t="shared" si="687"/>
        <v>P&amp;L</v>
      </c>
    </row>
    <row r="10994" spans="1:13">
      <c r="A10994" s="33" t="str">
        <f t="shared" si="684"/>
        <v>SG2 - CGS</v>
      </c>
      <c r="B10994" s="33" t="str">
        <f t="shared" si="685"/>
        <v>SG2</v>
      </c>
      <c r="C10994" s="33" t="str">
        <f t="shared" si="686"/>
        <v>53003-0000</v>
      </c>
      <c r="D10994" s="64" t="s">
        <v>12263</v>
      </c>
      <c r="E10994" s="64" t="s">
        <v>2954</v>
      </c>
      <c r="F10994" s="64" t="s">
        <v>15</v>
      </c>
      <c r="G10994" s="64" t="s">
        <v>2921</v>
      </c>
      <c r="H10994" s="64" t="s">
        <v>1875</v>
      </c>
      <c r="I10994" s="64" t="s">
        <v>2955</v>
      </c>
      <c r="J10994" s="67">
        <v>0</v>
      </c>
      <c r="K10994" s="62">
        <v>0.4</v>
      </c>
      <c r="L10994" s="33" t="e">
        <f>HLOOKUP(B10994,#REF!,1,0)</f>
        <v>#REF!</v>
      </c>
      <c r="M10994" s="33" t="str">
        <f t="shared" si="687"/>
        <v>P&amp;L</v>
      </c>
    </row>
    <row r="10995" spans="1:13">
      <c r="A10995" s="33" t="str">
        <f t="shared" si="684"/>
        <v>SG2 - CGS</v>
      </c>
      <c r="B10995" s="33" t="str">
        <f t="shared" si="685"/>
        <v>SG2</v>
      </c>
      <c r="C10995" s="33" t="str">
        <f t="shared" si="686"/>
        <v>53003-7373</v>
      </c>
      <c r="D10995" s="64" t="s">
        <v>12264</v>
      </c>
      <c r="E10995" s="64" t="s">
        <v>2954</v>
      </c>
      <c r="F10995" s="64" t="s">
        <v>15</v>
      </c>
      <c r="G10995" s="64" t="s">
        <v>2921</v>
      </c>
      <c r="H10995" s="64" t="s">
        <v>1875</v>
      </c>
      <c r="I10995" s="64" t="s">
        <v>2955</v>
      </c>
      <c r="J10995" s="67">
        <v>108</v>
      </c>
      <c r="K10995" s="62">
        <v>13850.84</v>
      </c>
      <c r="L10995" s="33" t="e">
        <f>HLOOKUP(B10995,#REF!,1,0)</f>
        <v>#REF!</v>
      </c>
      <c r="M10995" s="33" t="str">
        <f t="shared" si="687"/>
        <v>P&amp;L</v>
      </c>
    </row>
    <row r="10996" spans="1:13">
      <c r="A10996" s="33" t="str">
        <f t="shared" si="684"/>
        <v>SG2 - CGS</v>
      </c>
      <c r="B10996" s="33" t="str">
        <f t="shared" si="685"/>
        <v>SG2</v>
      </c>
      <c r="C10996" s="33" t="str">
        <f t="shared" si="686"/>
        <v>53003-7382</v>
      </c>
      <c r="D10996" s="64" t="s">
        <v>12265</v>
      </c>
      <c r="E10996" s="64" t="s">
        <v>2954</v>
      </c>
      <c r="F10996" s="64" t="s">
        <v>15</v>
      </c>
      <c r="G10996" s="64" t="s">
        <v>2921</v>
      </c>
      <c r="H10996" s="64" t="s">
        <v>1875</v>
      </c>
      <c r="I10996" s="64" t="s">
        <v>2955</v>
      </c>
      <c r="J10996" s="67">
        <v>3262.73</v>
      </c>
      <c r="K10996" s="62">
        <v>33844.15</v>
      </c>
      <c r="L10996" s="33" t="e">
        <f>HLOOKUP(B10996,#REF!,1,0)</f>
        <v>#REF!</v>
      </c>
      <c r="M10996" s="33" t="str">
        <f t="shared" si="687"/>
        <v>P&amp;L</v>
      </c>
    </row>
    <row r="10997" spans="1:13">
      <c r="A10997" s="33" t="str">
        <f t="shared" si="684"/>
        <v>SG2 - CGS</v>
      </c>
      <c r="B10997" s="33" t="str">
        <f t="shared" si="685"/>
        <v>SG2</v>
      </c>
      <c r="C10997" s="33" t="str">
        <f t="shared" si="686"/>
        <v>53004-7373</v>
      </c>
      <c r="D10997" s="64" t="s">
        <v>12266</v>
      </c>
      <c r="E10997" s="64" t="s">
        <v>2960</v>
      </c>
      <c r="F10997" s="64" t="s">
        <v>15</v>
      </c>
      <c r="G10997" s="64" t="s">
        <v>2921</v>
      </c>
      <c r="H10997" s="64" t="s">
        <v>1875</v>
      </c>
      <c r="I10997" s="64" t="s">
        <v>2961</v>
      </c>
      <c r="J10997" s="67">
        <v>608.85</v>
      </c>
      <c r="K10997" s="62">
        <v>7197.57</v>
      </c>
      <c r="L10997" s="33" t="e">
        <f>HLOOKUP(B10997,#REF!,1,0)</f>
        <v>#REF!</v>
      </c>
      <c r="M10997" s="33" t="str">
        <f t="shared" si="687"/>
        <v>P&amp;L</v>
      </c>
    </row>
    <row r="10998" spans="1:13">
      <c r="A10998" s="33" t="str">
        <f t="shared" si="684"/>
        <v>SG2 - CGS</v>
      </c>
      <c r="B10998" s="33" t="str">
        <f t="shared" si="685"/>
        <v>SG2</v>
      </c>
      <c r="C10998" s="33" t="str">
        <f t="shared" si="686"/>
        <v>53004-7382</v>
      </c>
      <c r="D10998" s="64" t="s">
        <v>12267</v>
      </c>
      <c r="E10998" s="64" t="s">
        <v>2960</v>
      </c>
      <c r="F10998" s="64" t="s">
        <v>15</v>
      </c>
      <c r="G10998" s="64" t="s">
        <v>2921</v>
      </c>
      <c r="H10998" s="64" t="s">
        <v>1875</v>
      </c>
      <c r="I10998" s="64" t="s">
        <v>2961</v>
      </c>
      <c r="J10998" s="67">
        <v>604.76</v>
      </c>
      <c r="K10998" s="62">
        <v>10872.84</v>
      </c>
      <c r="L10998" s="33" t="e">
        <f>HLOOKUP(B10998,#REF!,1,0)</f>
        <v>#REF!</v>
      </c>
      <c r="M10998" s="33" t="str">
        <f t="shared" si="687"/>
        <v>P&amp;L</v>
      </c>
    </row>
    <row r="10999" spans="1:13">
      <c r="A10999" s="33" t="str">
        <f t="shared" si="684"/>
        <v>SG2 - CGS</v>
      </c>
      <c r="B10999" s="33" t="str">
        <f t="shared" si="685"/>
        <v>SG2</v>
      </c>
      <c r="C10999" s="33" t="str">
        <f t="shared" si="686"/>
        <v>53005-7373</v>
      </c>
      <c r="D10999" s="64" t="s">
        <v>12268</v>
      </c>
      <c r="E10999" s="64" t="s">
        <v>2966</v>
      </c>
      <c r="F10999" s="64" t="s">
        <v>15</v>
      </c>
      <c r="G10999" s="64" t="s">
        <v>2921</v>
      </c>
      <c r="H10999" s="64" t="s">
        <v>1875</v>
      </c>
      <c r="I10999" s="64" t="s">
        <v>2946</v>
      </c>
      <c r="J10999" s="67">
        <v>0</v>
      </c>
      <c r="K10999" s="62">
        <v>2040</v>
      </c>
      <c r="L10999" s="33" t="e">
        <f>HLOOKUP(B10999,#REF!,1,0)</f>
        <v>#REF!</v>
      </c>
      <c r="M10999" s="33" t="str">
        <f t="shared" si="687"/>
        <v>P&amp;L</v>
      </c>
    </row>
    <row r="11000" spans="1:13">
      <c r="A11000" s="33" t="str">
        <f t="shared" si="684"/>
        <v>SG2 - CGS</v>
      </c>
      <c r="B11000" s="33" t="str">
        <f t="shared" si="685"/>
        <v>SG2</v>
      </c>
      <c r="C11000" s="33" t="str">
        <f t="shared" si="686"/>
        <v>53005-7382</v>
      </c>
      <c r="D11000" s="64" t="s">
        <v>12269</v>
      </c>
      <c r="E11000" s="64" t="s">
        <v>2966</v>
      </c>
      <c r="F11000" s="64" t="s">
        <v>15</v>
      </c>
      <c r="G11000" s="64" t="s">
        <v>2921</v>
      </c>
      <c r="H11000" s="64" t="s">
        <v>1875</v>
      </c>
      <c r="I11000" s="64" t="s">
        <v>2946</v>
      </c>
      <c r="J11000" s="67">
        <v>0</v>
      </c>
      <c r="K11000" s="62">
        <v>713.5</v>
      </c>
      <c r="L11000" s="33" t="e">
        <f>HLOOKUP(B11000,#REF!,1,0)</f>
        <v>#REF!</v>
      </c>
      <c r="M11000" s="33" t="str">
        <f t="shared" si="687"/>
        <v>P&amp;L</v>
      </c>
    </row>
    <row r="11001" spans="1:13">
      <c r="A11001" s="33" t="str">
        <f t="shared" si="684"/>
        <v>SG2 - CGS</v>
      </c>
      <c r="B11001" s="33" t="str">
        <f t="shared" si="685"/>
        <v>SG2</v>
      </c>
      <c r="C11001" s="33" t="str">
        <f t="shared" si="686"/>
        <v>53006-7373</v>
      </c>
      <c r="D11001" s="64" t="s">
        <v>12270</v>
      </c>
      <c r="E11001" s="64" t="s">
        <v>2970</v>
      </c>
      <c r="F11001" s="64" t="s">
        <v>15</v>
      </c>
      <c r="G11001" s="64" t="s">
        <v>2921</v>
      </c>
      <c r="H11001" s="64" t="s">
        <v>1875</v>
      </c>
      <c r="I11001" s="64" t="s">
        <v>2946</v>
      </c>
      <c r="J11001" s="67">
        <v>0</v>
      </c>
      <c r="K11001" s="62">
        <v>1842.69</v>
      </c>
      <c r="L11001" s="33" t="e">
        <f>HLOOKUP(B11001,#REF!,1,0)</f>
        <v>#REF!</v>
      </c>
      <c r="M11001" s="33" t="str">
        <f t="shared" si="687"/>
        <v>P&amp;L</v>
      </c>
    </row>
    <row r="11002" spans="1:13">
      <c r="A11002" s="33" t="str">
        <f t="shared" si="684"/>
        <v>SG2 - CGS</v>
      </c>
      <c r="B11002" s="33" t="str">
        <f t="shared" si="685"/>
        <v>SG2</v>
      </c>
      <c r="C11002" s="33" t="str">
        <f t="shared" si="686"/>
        <v>53006-7382</v>
      </c>
      <c r="D11002" s="64" t="s">
        <v>12271</v>
      </c>
      <c r="E11002" s="64" t="s">
        <v>2970</v>
      </c>
      <c r="F11002" s="64" t="s">
        <v>15</v>
      </c>
      <c r="G11002" s="64" t="s">
        <v>2921</v>
      </c>
      <c r="H11002" s="64" t="s">
        <v>1875</v>
      </c>
      <c r="I11002" s="64" t="s">
        <v>2946</v>
      </c>
      <c r="J11002" s="67">
        <v>0</v>
      </c>
      <c r="K11002" s="62">
        <v>1711.11</v>
      </c>
      <c r="L11002" s="33" t="e">
        <f>HLOOKUP(B11002,#REF!,1,0)</f>
        <v>#REF!</v>
      </c>
      <c r="M11002" s="33" t="str">
        <f t="shared" si="687"/>
        <v>P&amp;L</v>
      </c>
    </row>
    <row r="11003" spans="1:13">
      <c r="A11003" s="33" t="str">
        <f t="shared" si="684"/>
        <v>SG2 - CGS</v>
      </c>
      <c r="B11003" s="33" t="str">
        <f t="shared" si="685"/>
        <v>SG2</v>
      </c>
      <c r="C11003" s="33" t="str">
        <f t="shared" si="686"/>
        <v>54001-7373</v>
      </c>
      <c r="D11003" s="64" t="s">
        <v>12272</v>
      </c>
      <c r="E11003" s="64" t="s">
        <v>2975</v>
      </c>
      <c r="F11003" s="64" t="s">
        <v>15</v>
      </c>
      <c r="G11003" s="64" t="s">
        <v>2976</v>
      </c>
      <c r="H11003" s="64" t="s">
        <v>1875</v>
      </c>
      <c r="I11003" s="64" t="s">
        <v>2977</v>
      </c>
      <c r="J11003" s="67">
        <v>0</v>
      </c>
      <c r="K11003" s="62">
        <v>844</v>
      </c>
      <c r="L11003" s="33" t="e">
        <f>HLOOKUP(B11003,#REF!,1,0)</f>
        <v>#REF!</v>
      </c>
      <c r="M11003" s="33" t="str">
        <f t="shared" si="687"/>
        <v>P&amp;L</v>
      </c>
    </row>
    <row r="11004" spans="1:13">
      <c r="A11004" s="33" t="str">
        <f t="shared" si="684"/>
        <v>SG2 - CGS</v>
      </c>
      <c r="B11004" s="33" t="str">
        <f t="shared" si="685"/>
        <v>SG2</v>
      </c>
      <c r="C11004" s="33" t="str">
        <f t="shared" si="686"/>
        <v>54001-7382</v>
      </c>
      <c r="D11004" s="64" t="s">
        <v>12273</v>
      </c>
      <c r="E11004" s="64" t="s">
        <v>2975</v>
      </c>
      <c r="F11004" s="64" t="s">
        <v>15</v>
      </c>
      <c r="G11004" s="64" t="s">
        <v>2976</v>
      </c>
      <c r="H11004" s="64" t="s">
        <v>1875</v>
      </c>
      <c r="I11004" s="64" t="s">
        <v>2977</v>
      </c>
      <c r="J11004" s="67">
        <v>2522.69</v>
      </c>
      <c r="K11004" s="62">
        <v>2860.69</v>
      </c>
      <c r="L11004" s="33" t="e">
        <f>HLOOKUP(B11004,#REF!,1,0)</f>
        <v>#REF!</v>
      </c>
      <c r="M11004" s="33" t="str">
        <f t="shared" si="687"/>
        <v>P&amp;L</v>
      </c>
    </row>
    <row r="11005" spans="1:13">
      <c r="A11005" s="33" t="str">
        <f t="shared" si="684"/>
        <v>SG2 - CGS</v>
      </c>
      <c r="B11005" s="33" t="str">
        <f t="shared" si="685"/>
        <v>SG2</v>
      </c>
      <c r="C11005" s="33" t="str">
        <f t="shared" si="686"/>
        <v>54099-7373</v>
      </c>
      <c r="D11005" s="64" t="s">
        <v>12274</v>
      </c>
      <c r="E11005" s="64" t="s">
        <v>2982</v>
      </c>
      <c r="F11005" s="64" t="s">
        <v>15</v>
      </c>
      <c r="G11005" s="64" t="s">
        <v>2921</v>
      </c>
      <c r="H11005" s="64" t="s">
        <v>1875</v>
      </c>
      <c r="I11005" s="64" t="s">
        <v>2983</v>
      </c>
      <c r="J11005" s="67">
        <v>-29657.59</v>
      </c>
      <c r="K11005" s="62">
        <v>-281993.61</v>
      </c>
      <c r="L11005" s="33" t="e">
        <f>HLOOKUP(B11005,#REF!,1,0)</f>
        <v>#REF!</v>
      </c>
      <c r="M11005" s="33" t="str">
        <f t="shared" si="687"/>
        <v>P&amp;L</v>
      </c>
    </row>
    <row r="11006" spans="1:13">
      <c r="A11006" s="33" t="str">
        <f t="shared" si="684"/>
        <v>SG2 - CGS</v>
      </c>
      <c r="B11006" s="33" t="str">
        <f t="shared" si="685"/>
        <v>SG2</v>
      </c>
      <c r="C11006" s="33" t="str">
        <f t="shared" si="686"/>
        <v>54099-7382</v>
      </c>
      <c r="D11006" s="64" t="s">
        <v>12275</v>
      </c>
      <c r="E11006" s="64" t="s">
        <v>2982</v>
      </c>
      <c r="F11006" s="64" t="s">
        <v>15</v>
      </c>
      <c r="G11006" s="64" t="s">
        <v>2921</v>
      </c>
      <c r="H11006" s="64" t="s">
        <v>1875</v>
      </c>
      <c r="I11006" s="64" t="s">
        <v>2983</v>
      </c>
      <c r="J11006" s="67">
        <v>-29886.4</v>
      </c>
      <c r="K11006" s="62">
        <v>-283377.24</v>
      </c>
      <c r="L11006" s="33" t="e">
        <f>HLOOKUP(B11006,#REF!,1,0)</f>
        <v>#REF!</v>
      </c>
      <c r="M11006" s="33" t="str">
        <f t="shared" si="687"/>
        <v>P&amp;L</v>
      </c>
    </row>
    <row r="11007" spans="1:13">
      <c r="A11007" s="33" t="str">
        <f t="shared" si="684"/>
        <v>SG2 - CGS</v>
      </c>
      <c r="B11007" s="33" t="str">
        <f t="shared" si="685"/>
        <v>SG2</v>
      </c>
      <c r="C11007" s="33" t="str">
        <f t="shared" si="686"/>
        <v>54100-7373</v>
      </c>
      <c r="D11007" s="64" t="s">
        <v>12276</v>
      </c>
      <c r="E11007" s="64" t="s">
        <v>2989</v>
      </c>
      <c r="F11007" s="64" t="s">
        <v>15</v>
      </c>
      <c r="G11007" s="64" t="s">
        <v>2921</v>
      </c>
      <c r="H11007" s="64" t="s">
        <v>1875</v>
      </c>
      <c r="I11007" s="64" t="s">
        <v>2990</v>
      </c>
      <c r="J11007" s="67">
        <v>29657.59</v>
      </c>
      <c r="K11007" s="62">
        <v>281993.61</v>
      </c>
      <c r="L11007" s="33" t="e">
        <f>HLOOKUP(B11007,#REF!,1,0)</f>
        <v>#REF!</v>
      </c>
      <c r="M11007" s="33" t="str">
        <f t="shared" si="687"/>
        <v>P&amp;L</v>
      </c>
    </row>
    <row r="11008" spans="1:13">
      <c r="A11008" s="33" t="str">
        <f t="shared" si="684"/>
        <v>SG2 - CGS</v>
      </c>
      <c r="B11008" s="33" t="str">
        <f t="shared" si="685"/>
        <v>SG2</v>
      </c>
      <c r="C11008" s="33" t="str">
        <f t="shared" si="686"/>
        <v>54100-7382</v>
      </c>
      <c r="D11008" s="64" t="s">
        <v>12277</v>
      </c>
      <c r="E11008" s="64" t="s">
        <v>2989</v>
      </c>
      <c r="F11008" s="64" t="s">
        <v>15</v>
      </c>
      <c r="G11008" s="64" t="s">
        <v>2921</v>
      </c>
      <c r="H11008" s="64" t="s">
        <v>1875</v>
      </c>
      <c r="I11008" s="64" t="s">
        <v>2990</v>
      </c>
      <c r="J11008" s="67">
        <v>29886.4</v>
      </c>
      <c r="K11008" s="62">
        <v>283377.24</v>
      </c>
      <c r="L11008" s="33" t="e">
        <f>HLOOKUP(B11008,#REF!,1,0)</f>
        <v>#REF!</v>
      </c>
      <c r="M11008" s="33" t="str">
        <f t="shared" si="687"/>
        <v>P&amp;L</v>
      </c>
    </row>
    <row r="11009" spans="1:13">
      <c r="A11009" s="33" t="str">
        <f t="shared" si="684"/>
        <v>SG2 - CGS</v>
      </c>
      <c r="B11009" s="33" t="str">
        <f t="shared" si="685"/>
        <v>SG2</v>
      </c>
      <c r="C11009" s="33" t="str">
        <f t="shared" si="686"/>
        <v>55001-7373</v>
      </c>
      <c r="D11009" s="64" t="s">
        <v>12278</v>
      </c>
      <c r="E11009" s="64" t="s">
        <v>2996</v>
      </c>
      <c r="F11009" s="64" t="s">
        <v>15</v>
      </c>
      <c r="G11009" s="64" t="s">
        <v>2976</v>
      </c>
      <c r="H11009" s="64" t="s">
        <v>1875</v>
      </c>
      <c r="I11009" s="64" t="s">
        <v>2997</v>
      </c>
      <c r="J11009" s="67">
        <v>2702.14</v>
      </c>
      <c r="K11009" s="62">
        <v>27021.4</v>
      </c>
      <c r="L11009" s="33" t="e">
        <f>HLOOKUP(B11009,#REF!,1,0)</f>
        <v>#REF!</v>
      </c>
      <c r="M11009" s="33" t="str">
        <f t="shared" si="687"/>
        <v>P&amp;L</v>
      </c>
    </row>
    <row r="11010" spans="1:13">
      <c r="A11010" s="33" t="str">
        <f t="shared" ref="A11010:A11073" si="688">B11010&amp;" - "&amp;TRIM(H11010)</f>
        <v>SG2 - CGS</v>
      </c>
      <c r="B11010" s="33" t="str">
        <f t="shared" ref="B11010:B11073" si="689">LEFT(D11010,3)</f>
        <v>SG2</v>
      </c>
      <c r="C11010" s="33" t="str">
        <f t="shared" ref="C11010:C11073" si="690">RIGHT(D11010,10)</f>
        <v>55001-7382</v>
      </c>
      <c r="D11010" s="64" t="s">
        <v>12279</v>
      </c>
      <c r="E11010" s="64" t="s">
        <v>2996</v>
      </c>
      <c r="F11010" s="64" t="s">
        <v>15</v>
      </c>
      <c r="G11010" s="64" t="s">
        <v>2976</v>
      </c>
      <c r="H11010" s="64" t="s">
        <v>1875</v>
      </c>
      <c r="I11010" s="64" t="s">
        <v>2997</v>
      </c>
      <c r="J11010" s="67">
        <v>2702.14</v>
      </c>
      <c r="K11010" s="62">
        <v>27021.4</v>
      </c>
      <c r="L11010" s="33" t="e">
        <f>HLOOKUP(B11010,#REF!,1,0)</f>
        <v>#REF!</v>
      </c>
      <c r="M11010" s="33" t="str">
        <f t="shared" ref="M11010:M11073" si="691">IF(VALUE(LEFT(C11010,5))&gt;40000,"P&amp;L","BS")</f>
        <v>P&amp;L</v>
      </c>
    </row>
    <row r="11011" spans="1:13">
      <c r="A11011" s="33" t="str">
        <f t="shared" si="688"/>
        <v>SG2 - CGS</v>
      </c>
      <c r="B11011" s="33" t="str">
        <f t="shared" si="689"/>
        <v>SG2</v>
      </c>
      <c r="C11011" s="33" t="str">
        <f t="shared" si="690"/>
        <v>56001-0000</v>
      </c>
      <c r="D11011" t="s">
        <v>12280</v>
      </c>
      <c r="E11011" t="s">
        <v>3002</v>
      </c>
      <c r="F11011" t="s">
        <v>15</v>
      </c>
      <c r="G11011" t="s">
        <v>2976</v>
      </c>
      <c r="H11011" t="s">
        <v>1875</v>
      </c>
      <c r="I11011" t="s">
        <v>3003</v>
      </c>
      <c r="J11011" s="70">
        <v>47.11</v>
      </c>
      <c r="K11011" s="71">
        <v>46.71</v>
      </c>
      <c r="L11011" s="33" t="e">
        <f>HLOOKUP(B11011,#REF!,1,0)</f>
        <v>#REF!</v>
      </c>
      <c r="M11011" s="33" t="str">
        <f t="shared" si="691"/>
        <v>P&amp;L</v>
      </c>
    </row>
    <row r="11012" spans="1:13">
      <c r="A11012" s="33" t="str">
        <f t="shared" si="688"/>
        <v>SG2 - CGS</v>
      </c>
      <c r="B11012" s="33" t="str">
        <f t="shared" si="689"/>
        <v>SG2</v>
      </c>
      <c r="C11012" s="33" t="str">
        <f t="shared" si="690"/>
        <v>56001-7373</v>
      </c>
      <c r="D11012" t="s">
        <v>12281</v>
      </c>
      <c r="E11012" t="s">
        <v>3002</v>
      </c>
      <c r="F11012" t="s">
        <v>15</v>
      </c>
      <c r="G11012" t="s">
        <v>2976</v>
      </c>
      <c r="H11012" t="s">
        <v>1875</v>
      </c>
      <c r="I11012" t="s">
        <v>3003</v>
      </c>
      <c r="J11012" s="70">
        <v>1937.77</v>
      </c>
      <c r="K11012" s="71">
        <v>24883.93</v>
      </c>
      <c r="L11012" s="33" t="e">
        <f>HLOOKUP(B11012,#REF!,1,0)</f>
        <v>#REF!</v>
      </c>
      <c r="M11012" s="33" t="str">
        <f t="shared" si="691"/>
        <v>P&amp;L</v>
      </c>
    </row>
    <row r="11013" spans="1:13">
      <c r="A11013" s="33" t="str">
        <f t="shared" si="688"/>
        <v>SG2 - CGS</v>
      </c>
      <c r="B11013" s="33" t="str">
        <f t="shared" si="689"/>
        <v>SG2</v>
      </c>
      <c r="C11013" s="33" t="str">
        <f t="shared" si="690"/>
        <v>56001-7382</v>
      </c>
      <c r="D11013" t="s">
        <v>12282</v>
      </c>
      <c r="E11013" t="s">
        <v>3002</v>
      </c>
      <c r="F11013" t="s">
        <v>15</v>
      </c>
      <c r="G11013" t="s">
        <v>2976</v>
      </c>
      <c r="H11013" t="s">
        <v>1875</v>
      </c>
      <c r="I11013" t="s">
        <v>3003</v>
      </c>
      <c r="J11013" s="70">
        <v>2456.1</v>
      </c>
      <c r="K11013" s="71">
        <v>26588.93</v>
      </c>
      <c r="L11013" s="33" t="e">
        <f>HLOOKUP(B11013,#REF!,1,0)</f>
        <v>#REF!</v>
      </c>
      <c r="M11013" s="33" t="str">
        <f t="shared" si="691"/>
        <v>P&amp;L</v>
      </c>
    </row>
    <row r="11014" spans="1:13">
      <c r="A11014" s="33" t="str">
        <f t="shared" si="688"/>
        <v>SG2 - CGS</v>
      </c>
      <c r="B11014" s="33" t="str">
        <f t="shared" si="689"/>
        <v>SG2</v>
      </c>
      <c r="C11014" s="33" t="str">
        <f t="shared" si="690"/>
        <v>56002-0000</v>
      </c>
      <c r="D11014" t="s">
        <v>12283</v>
      </c>
      <c r="E11014" t="s">
        <v>3009</v>
      </c>
      <c r="F11014" t="s">
        <v>15</v>
      </c>
      <c r="G11014" t="s">
        <v>2976</v>
      </c>
      <c r="H11014" t="s">
        <v>1875</v>
      </c>
      <c r="I11014" t="s">
        <v>3010</v>
      </c>
      <c r="J11014" s="70">
        <v>9107.95</v>
      </c>
      <c r="K11014" s="71">
        <v>65076.27</v>
      </c>
      <c r="L11014" s="33" t="e">
        <f>HLOOKUP(B11014,#REF!,1,0)</f>
        <v>#REF!</v>
      </c>
      <c r="M11014" s="33" t="str">
        <f t="shared" si="691"/>
        <v>P&amp;L</v>
      </c>
    </row>
    <row r="11015" spans="1:13">
      <c r="A11015" s="33" t="str">
        <f t="shared" si="688"/>
        <v>SG2 - CGS</v>
      </c>
      <c r="B11015" s="33" t="str">
        <f t="shared" si="689"/>
        <v>SG2</v>
      </c>
      <c r="C11015" s="33" t="str">
        <f t="shared" si="690"/>
        <v>56002-7373</v>
      </c>
      <c r="D11015" t="s">
        <v>12284</v>
      </c>
      <c r="E11015" t="s">
        <v>3009</v>
      </c>
      <c r="F11015" t="s">
        <v>15</v>
      </c>
      <c r="G11015" t="s">
        <v>2976</v>
      </c>
      <c r="H11015" t="s">
        <v>1875</v>
      </c>
      <c r="I11015" t="s">
        <v>3010</v>
      </c>
      <c r="J11015" s="70">
        <v>0</v>
      </c>
      <c r="K11015" s="71">
        <v>-59.76</v>
      </c>
      <c r="L11015" s="33" t="e">
        <f>HLOOKUP(B11015,#REF!,1,0)</f>
        <v>#REF!</v>
      </c>
      <c r="M11015" s="33" t="str">
        <f t="shared" si="691"/>
        <v>P&amp;L</v>
      </c>
    </row>
    <row r="11016" spans="1:13">
      <c r="A11016" s="33" t="str">
        <f t="shared" si="688"/>
        <v>SG2 - CGS</v>
      </c>
      <c r="B11016" s="33" t="str">
        <f t="shared" si="689"/>
        <v>SG2</v>
      </c>
      <c r="C11016" s="33" t="str">
        <f t="shared" si="690"/>
        <v>56002-7382</v>
      </c>
      <c r="D11016" t="s">
        <v>12285</v>
      </c>
      <c r="E11016" t="s">
        <v>3009</v>
      </c>
      <c r="F11016" t="s">
        <v>15</v>
      </c>
      <c r="G11016" t="s">
        <v>2976</v>
      </c>
      <c r="H11016" t="s">
        <v>1875</v>
      </c>
      <c r="I11016" t="s">
        <v>3010</v>
      </c>
      <c r="J11016" s="70">
        <v>0</v>
      </c>
      <c r="K11016" s="71">
        <v>69.45</v>
      </c>
      <c r="L11016" s="33" t="e">
        <f>HLOOKUP(B11016,#REF!,1,0)</f>
        <v>#REF!</v>
      </c>
      <c r="M11016" s="33" t="str">
        <f t="shared" si="691"/>
        <v>P&amp;L</v>
      </c>
    </row>
    <row r="11017" spans="1:13">
      <c r="A11017" s="33" t="str">
        <f t="shared" si="688"/>
        <v>SG2 - CGS</v>
      </c>
      <c r="B11017" s="33" t="str">
        <f t="shared" si="689"/>
        <v>SG2</v>
      </c>
      <c r="C11017" s="33" t="str">
        <f t="shared" si="690"/>
        <v>56050-0000</v>
      </c>
      <c r="D11017" t="s">
        <v>12286</v>
      </c>
      <c r="E11017" t="s">
        <v>3016</v>
      </c>
      <c r="F11017" t="s">
        <v>15</v>
      </c>
      <c r="G11017" t="s">
        <v>3017</v>
      </c>
      <c r="H11017" t="s">
        <v>1875</v>
      </c>
      <c r="I11017" t="s">
        <v>3018</v>
      </c>
      <c r="J11017" s="70">
        <v>-41.73</v>
      </c>
      <c r="K11017" s="71">
        <v>-706.23</v>
      </c>
      <c r="L11017" s="33" t="e">
        <f>HLOOKUP(B11017,#REF!,1,0)</f>
        <v>#REF!</v>
      </c>
      <c r="M11017" s="33" t="str">
        <f t="shared" si="691"/>
        <v>P&amp;L</v>
      </c>
    </row>
    <row r="11018" spans="1:13">
      <c r="A11018" s="33" t="str">
        <f t="shared" si="688"/>
        <v>SG2 - Operating Expense</v>
      </c>
      <c r="B11018" s="33" t="str">
        <f t="shared" si="689"/>
        <v>SG2</v>
      </c>
      <c r="C11018" s="33" t="str">
        <f t="shared" si="690"/>
        <v>60001-7373</v>
      </c>
      <c r="D11018" t="s">
        <v>12287</v>
      </c>
      <c r="E11018" t="s">
        <v>3020</v>
      </c>
      <c r="F11018" t="s">
        <v>15</v>
      </c>
      <c r="G11018" t="s">
        <v>3021</v>
      </c>
      <c r="H11018" t="s">
        <v>3022</v>
      </c>
      <c r="I11018" t="s">
        <v>3023</v>
      </c>
      <c r="J11018" s="70">
        <v>119.88</v>
      </c>
      <c r="K11018" s="71">
        <v>507.61</v>
      </c>
      <c r="L11018" s="33" t="e">
        <f>HLOOKUP(B11018,#REF!,1,0)</f>
        <v>#REF!</v>
      </c>
      <c r="M11018" s="33" t="str">
        <f t="shared" si="691"/>
        <v>P&amp;L</v>
      </c>
    </row>
    <row r="11019" spans="1:13">
      <c r="A11019" s="33" t="str">
        <f t="shared" si="688"/>
        <v>SG2 - Operating Expense</v>
      </c>
      <c r="B11019" s="33" t="str">
        <f t="shared" si="689"/>
        <v>SG2</v>
      </c>
      <c r="C11019" s="33" t="str">
        <f t="shared" si="690"/>
        <v>60001-7382</v>
      </c>
      <c r="D11019" t="s">
        <v>12288</v>
      </c>
      <c r="E11019" t="s">
        <v>3020</v>
      </c>
      <c r="F11019" t="s">
        <v>15</v>
      </c>
      <c r="G11019" t="s">
        <v>3021</v>
      </c>
      <c r="H11019" t="s">
        <v>3022</v>
      </c>
      <c r="I11019" t="s">
        <v>3023</v>
      </c>
      <c r="J11019" s="70">
        <v>25.67</v>
      </c>
      <c r="K11019" s="71">
        <v>357.83</v>
      </c>
      <c r="L11019" s="33" t="e">
        <f>HLOOKUP(B11019,#REF!,1,0)</f>
        <v>#REF!</v>
      </c>
      <c r="M11019" s="33" t="str">
        <f t="shared" si="691"/>
        <v>P&amp;L</v>
      </c>
    </row>
    <row r="11020" spans="1:13">
      <c r="A11020" s="33" t="str">
        <f t="shared" si="688"/>
        <v>SG2 - Operating Expense</v>
      </c>
      <c r="B11020" s="33" t="str">
        <f t="shared" si="689"/>
        <v>SG2</v>
      </c>
      <c r="C11020" s="33" t="str">
        <f t="shared" si="690"/>
        <v>60503-7373</v>
      </c>
      <c r="D11020" t="s">
        <v>12289</v>
      </c>
      <c r="E11020" t="s">
        <v>3034</v>
      </c>
      <c r="F11020" t="s">
        <v>15</v>
      </c>
      <c r="G11020" t="s">
        <v>3035</v>
      </c>
      <c r="H11020" t="s">
        <v>3022</v>
      </c>
      <c r="I11020" t="s">
        <v>3036</v>
      </c>
      <c r="J11020" s="70">
        <v>0</v>
      </c>
      <c r="K11020" s="71">
        <v>1832.79</v>
      </c>
      <c r="L11020" s="33" t="e">
        <f>HLOOKUP(B11020,#REF!,1,0)</f>
        <v>#REF!</v>
      </c>
      <c r="M11020" s="33" t="str">
        <f t="shared" si="691"/>
        <v>P&amp;L</v>
      </c>
    </row>
    <row r="11021" spans="1:13">
      <c r="A11021" s="33" t="str">
        <f t="shared" si="688"/>
        <v>SG2 - Operating Expense</v>
      </c>
      <c r="B11021" s="33" t="str">
        <f t="shared" si="689"/>
        <v>SG2</v>
      </c>
      <c r="C11021" s="33" t="str">
        <f t="shared" si="690"/>
        <v>60503-7382</v>
      </c>
      <c r="D11021" t="s">
        <v>12290</v>
      </c>
      <c r="E11021" t="s">
        <v>3034</v>
      </c>
      <c r="F11021" t="s">
        <v>15</v>
      </c>
      <c r="G11021" t="s">
        <v>3035</v>
      </c>
      <c r="H11021" t="s">
        <v>3022</v>
      </c>
      <c r="I11021" t="s">
        <v>3036</v>
      </c>
      <c r="J11021" s="70">
        <v>0</v>
      </c>
      <c r="K11021" s="71">
        <v>3253.74</v>
      </c>
      <c r="L11021" s="33" t="e">
        <f>HLOOKUP(B11021,#REF!,1,0)</f>
        <v>#REF!</v>
      </c>
      <c r="M11021" s="33" t="str">
        <f t="shared" si="691"/>
        <v>P&amp;L</v>
      </c>
    </row>
    <row r="11022" spans="1:13">
      <c r="A11022" s="33" t="str">
        <f t="shared" si="688"/>
        <v>SG2 - Operating Expense</v>
      </c>
      <c r="B11022" s="33" t="str">
        <f t="shared" si="689"/>
        <v>SG2</v>
      </c>
      <c r="C11022" s="33" t="str">
        <f t="shared" si="690"/>
        <v>60505-7373</v>
      </c>
      <c r="D11022" t="s">
        <v>12291</v>
      </c>
      <c r="E11022" t="s">
        <v>3043</v>
      </c>
      <c r="F11022" t="s">
        <v>15</v>
      </c>
      <c r="G11022" t="s">
        <v>3044</v>
      </c>
      <c r="H11022" t="s">
        <v>3022</v>
      </c>
      <c r="I11022" t="s">
        <v>3045</v>
      </c>
      <c r="J11022" s="70">
        <v>0</v>
      </c>
      <c r="K11022" s="71">
        <v>530.38</v>
      </c>
      <c r="L11022" s="33" t="e">
        <f>HLOOKUP(B11022,#REF!,1,0)</f>
        <v>#REF!</v>
      </c>
      <c r="M11022" s="33" t="str">
        <f t="shared" si="691"/>
        <v>P&amp;L</v>
      </c>
    </row>
    <row r="11023" spans="1:13">
      <c r="A11023" s="33" t="str">
        <f t="shared" si="688"/>
        <v>SG2 - Operating Expense</v>
      </c>
      <c r="B11023" s="33" t="str">
        <f t="shared" si="689"/>
        <v>SG2</v>
      </c>
      <c r="C11023" s="33" t="str">
        <f t="shared" si="690"/>
        <v>60505-7382</v>
      </c>
      <c r="D11023" t="s">
        <v>12292</v>
      </c>
      <c r="E11023" t="s">
        <v>3043</v>
      </c>
      <c r="F11023" t="s">
        <v>15</v>
      </c>
      <c r="G11023" t="s">
        <v>3044</v>
      </c>
      <c r="H11023" t="s">
        <v>3022</v>
      </c>
      <c r="I11023" t="s">
        <v>3045</v>
      </c>
      <c r="J11023" s="70">
        <v>0</v>
      </c>
      <c r="K11023" s="71">
        <v>520.38</v>
      </c>
      <c r="L11023" s="33" t="e">
        <f>HLOOKUP(B11023,#REF!,1,0)</f>
        <v>#REF!</v>
      </c>
      <c r="M11023" s="33" t="str">
        <f t="shared" si="691"/>
        <v>P&amp;L</v>
      </c>
    </row>
    <row r="11024" spans="1:13">
      <c r="A11024" s="33" t="str">
        <f t="shared" si="688"/>
        <v>SG2 - Operating Expense</v>
      </c>
      <c r="B11024" s="33" t="str">
        <f t="shared" si="689"/>
        <v>SG2</v>
      </c>
      <c r="C11024" s="33" t="str">
        <f t="shared" si="690"/>
        <v>60507-7373</v>
      </c>
      <c r="D11024" t="s">
        <v>12293</v>
      </c>
      <c r="E11024" t="s">
        <v>3050</v>
      </c>
      <c r="F11024" t="s">
        <v>15</v>
      </c>
      <c r="G11024" t="s">
        <v>3021</v>
      </c>
      <c r="H11024" t="s">
        <v>3022</v>
      </c>
      <c r="I11024" t="s">
        <v>3051</v>
      </c>
      <c r="J11024" s="70">
        <v>667.63</v>
      </c>
      <c r="K11024" s="71">
        <v>4866.08</v>
      </c>
      <c r="L11024" s="33" t="e">
        <f>HLOOKUP(B11024,#REF!,1,0)</f>
        <v>#REF!</v>
      </c>
      <c r="M11024" s="33" t="str">
        <f t="shared" si="691"/>
        <v>P&amp;L</v>
      </c>
    </row>
    <row r="11025" spans="1:13">
      <c r="A11025" s="33" t="str">
        <f t="shared" si="688"/>
        <v>SG2 - Operating Expense</v>
      </c>
      <c r="B11025" s="33" t="str">
        <f t="shared" si="689"/>
        <v>SG2</v>
      </c>
      <c r="C11025" s="33" t="str">
        <f t="shared" si="690"/>
        <v>60507-7382</v>
      </c>
      <c r="D11025" t="s">
        <v>12294</v>
      </c>
      <c r="E11025" t="s">
        <v>3050</v>
      </c>
      <c r="F11025" t="s">
        <v>15</v>
      </c>
      <c r="G11025" t="s">
        <v>3021</v>
      </c>
      <c r="H11025" t="s">
        <v>3022</v>
      </c>
      <c r="I11025" t="s">
        <v>3051</v>
      </c>
      <c r="J11025" s="70">
        <v>828.04</v>
      </c>
      <c r="K11025" s="71">
        <v>6364.44</v>
      </c>
      <c r="L11025" s="33" t="e">
        <f>HLOOKUP(B11025,#REF!,1,0)</f>
        <v>#REF!</v>
      </c>
      <c r="M11025" s="33" t="str">
        <f t="shared" si="691"/>
        <v>P&amp;L</v>
      </c>
    </row>
    <row r="11026" spans="1:13">
      <c r="A11026" s="33" t="str">
        <f t="shared" si="688"/>
        <v>SG2 - Operating Expense</v>
      </c>
      <c r="B11026" s="33" t="str">
        <f t="shared" si="689"/>
        <v>SG2</v>
      </c>
      <c r="C11026" s="33" t="str">
        <f t="shared" si="690"/>
        <v>60509-7373</v>
      </c>
      <c r="D11026" t="s">
        <v>12295</v>
      </c>
      <c r="E11026" t="s">
        <v>3056</v>
      </c>
      <c r="F11026" t="s">
        <v>15</v>
      </c>
      <c r="G11026" t="s">
        <v>3021</v>
      </c>
      <c r="H11026" t="s">
        <v>3022</v>
      </c>
      <c r="I11026" t="s">
        <v>3051</v>
      </c>
      <c r="J11026" s="70">
        <v>142.6</v>
      </c>
      <c r="K11026" s="71">
        <v>872.95</v>
      </c>
      <c r="L11026" s="33" t="e">
        <f>HLOOKUP(B11026,#REF!,1,0)</f>
        <v>#REF!</v>
      </c>
      <c r="M11026" s="33" t="str">
        <f t="shared" si="691"/>
        <v>P&amp;L</v>
      </c>
    </row>
    <row r="11027" spans="1:13">
      <c r="A11027" s="33" t="str">
        <f t="shared" si="688"/>
        <v>SG2 - Operating Expense</v>
      </c>
      <c r="B11027" s="33" t="str">
        <f t="shared" si="689"/>
        <v>SG2</v>
      </c>
      <c r="C11027" s="33" t="str">
        <f t="shared" si="690"/>
        <v>60509-7382</v>
      </c>
      <c r="D11027" t="s">
        <v>12296</v>
      </c>
      <c r="E11027" t="s">
        <v>3056</v>
      </c>
      <c r="F11027" t="s">
        <v>15</v>
      </c>
      <c r="G11027" t="s">
        <v>3021</v>
      </c>
      <c r="H11027" t="s">
        <v>3022</v>
      </c>
      <c r="I11027" t="s">
        <v>3051</v>
      </c>
      <c r="J11027" s="70">
        <v>174.24</v>
      </c>
      <c r="K11027" s="71">
        <v>1018.53</v>
      </c>
      <c r="L11027" s="33" t="e">
        <f>HLOOKUP(B11027,#REF!,1,0)</f>
        <v>#REF!</v>
      </c>
      <c r="M11027" s="33" t="str">
        <f t="shared" si="691"/>
        <v>P&amp;L</v>
      </c>
    </row>
    <row r="11028" spans="1:13">
      <c r="A11028" s="33" t="str">
        <f t="shared" si="688"/>
        <v>SG2 - Operating Expense</v>
      </c>
      <c r="B11028" s="33" t="str">
        <f t="shared" si="689"/>
        <v>SG2</v>
      </c>
      <c r="C11028" s="33" t="str">
        <f t="shared" si="690"/>
        <v>61001-7382</v>
      </c>
      <c r="D11028" t="s">
        <v>12297</v>
      </c>
      <c r="E11028" t="s">
        <v>3062</v>
      </c>
      <c r="F11028" t="s">
        <v>15</v>
      </c>
      <c r="G11028" t="s">
        <v>3021</v>
      </c>
      <c r="H11028" t="s">
        <v>3022</v>
      </c>
      <c r="I11028" t="s">
        <v>3063</v>
      </c>
      <c r="J11028" s="70">
        <v>0</v>
      </c>
      <c r="K11028" s="71">
        <v>1339.63</v>
      </c>
      <c r="L11028" s="33" t="e">
        <f>HLOOKUP(B11028,#REF!,1,0)</f>
        <v>#REF!</v>
      </c>
      <c r="M11028" s="33" t="str">
        <f t="shared" si="691"/>
        <v>P&amp;L</v>
      </c>
    </row>
    <row r="11029" spans="1:13">
      <c r="A11029" s="33" t="str">
        <f t="shared" si="688"/>
        <v>SG2 - Operating Expense</v>
      </c>
      <c r="B11029" s="33" t="str">
        <f t="shared" si="689"/>
        <v>SG2</v>
      </c>
      <c r="C11029" s="33" t="str">
        <f t="shared" si="690"/>
        <v>61002-0000</v>
      </c>
      <c r="D11029" t="s">
        <v>12298</v>
      </c>
      <c r="E11029" t="s">
        <v>3067</v>
      </c>
      <c r="F11029" t="s">
        <v>15</v>
      </c>
      <c r="G11029" t="s">
        <v>3035</v>
      </c>
      <c r="H11029" t="s">
        <v>3022</v>
      </c>
      <c r="I11029" t="s">
        <v>3036</v>
      </c>
      <c r="J11029" s="70">
        <v>0</v>
      </c>
      <c r="K11029" s="71">
        <v>1437.51</v>
      </c>
      <c r="L11029" s="33" t="e">
        <f>HLOOKUP(B11029,#REF!,1,0)</f>
        <v>#REF!</v>
      </c>
      <c r="M11029" s="33" t="str">
        <f t="shared" si="691"/>
        <v>P&amp;L</v>
      </c>
    </row>
    <row r="11030" spans="1:13">
      <c r="A11030" s="33" t="str">
        <f t="shared" si="688"/>
        <v>SG2 - Operating Expense</v>
      </c>
      <c r="B11030" s="33" t="str">
        <f t="shared" si="689"/>
        <v>SG2</v>
      </c>
      <c r="C11030" s="33" t="str">
        <f t="shared" si="690"/>
        <v>61201-7373</v>
      </c>
      <c r="D11030" t="s">
        <v>12299</v>
      </c>
      <c r="E11030" t="s">
        <v>3073</v>
      </c>
      <c r="F11030" t="s">
        <v>15</v>
      </c>
      <c r="G11030" t="s">
        <v>3035</v>
      </c>
      <c r="H11030" t="s">
        <v>3022</v>
      </c>
      <c r="I11030" t="s">
        <v>3074</v>
      </c>
      <c r="J11030" s="70">
        <v>120.17</v>
      </c>
      <c r="K11030" s="71">
        <v>2675.65</v>
      </c>
      <c r="L11030" s="33" t="e">
        <f>HLOOKUP(B11030,#REF!,1,0)</f>
        <v>#REF!</v>
      </c>
      <c r="M11030" s="33" t="str">
        <f t="shared" si="691"/>
        <v>P&amp;L</v>
      </c>
    </row>
    <row r="11031" spans="1:13">
      <c r="A11031" s="33" t="str">
        <f t="shared" si="688"/>
        <v>SG2 - Operating Expense</v>
      </c>
      <c r="B11031" s="33" t="str">
        <f t="shared" si="689"/>
        <v>SG2</v>
      </c>
      <c r="C11031" s="33" t="str">
        <f t="shared" si="690"/>
        <v>61201-7382</v>
      </c>
      <c r="D11031" t="s">
        <v>12300</v>
      </c>
      <c r="E11031" t="s">
        <v>3073</v>
      </c>
      <c r="F11031" t="s">
        <v>15</v>
      </c>
      <c r="G11031" t="s">
        <v>3035</v>
      </c>
      <c r="H11031" t="s">
        <v>3022</v>
      </c>
      <c r="I11031" t="s">
        <v>3074</v>
      </c>
      <c r="J11031" s="70">
        <v>120.17</v>
      </c>
      <c r="K11031" s="71">
        <v>2675.6</v>
      </c>
      <c r="L11031" s="33" t="e">
        <f>HLOOKUP(B11031,#REF!,1,0)</f>
        <v>#REF!</v>
      </c>
      <c r="M11031" s="33" t="str">
        <f t="shared" si="691"/>
        <v>P&amp;L</v>
      </c>
    </row>
    <row r="11032" spans="1:13">
      <c r="A11032" s="33" t="str">
        <f t="shared" si="688"/>
        <v>SG2 - Operating Expense</v>
      </c>
      <c r="B11032" s="33" t="str">
        <f t="shared" si="689"/>
        <v>SG2</v>
      </c>
      <c r="C11032" s="33" t="str">
        <f t="shared" si="690"/>
        <v>61501-7382</v>
      </c>
      <c r="D11032" t="s">
        <v>12301</v>
      </c>
      <c r="E11032" t="s">
        <v>3079</v>
      </c>
      <c r="F11032" t="s">
        <v>15</v>
      </c>
      <c r="G11032" t="s">
        <v>3035</v>
      </c>
      <c r="H11032" t="s">
        <v>3022</v>
      </c>
      <c r="I11032" t="s">
        <v>3036</v>
      </c>
      <c r="J11032" s="70">
        <v>0</v>
      </c>
      <c r="K11032" s="71">
        <v>130.96</v>
      </c>
      <c r="L11032" s="33" t="e">
        <f>HLOOKUP(B11032,#REF!,1,0)</f>
        <v>#REF!</v>
      </c>
      <c r="M11032" s="33" t="str">
        <f t="shared" si="691"/>
        <v>P&amp;L</v>
      </c>
    </row>
    <row r="11033" spans="1:13">
      <c r="A11033" s="33" t="str">
        <f t="shared" si="688"/>
        <v>SG2 - Operating Expense</v>
      </c>
      <c r="B11033" s="33" t="str">
        <f t="shared" si="689"/>
        <v>SG2</v>
      </c>
      <c r="C11033" s="33" t="str">
        <f t="shared" si="690"/>
        <v>61502-7373</v>
      </c>
      <c r="D11033" t="s">
        <v>12302</v>
      </c>
      <c r="E11033" t="s">
        <v>3084</v>
      </c>
      <c r="F11033" t="s">
        <v>15</v>
      </c>
      <c r="G11033" t="s">
        <v>3035</v>
      </c>
      <c r="H11033" t="s">
        <v>3022</v>
      </c>
      <c r="I11033" t="s">
        <v>3036</v>
      </c>
      <c r="J11033" s="70">
        <v>0</v>
      </c>
      <c r="K11033" s="71">
        <v>997.73</v>
      </c>
      <c r="L11033" s="33" t="e">
        <f>HLOOKUP(B11033,#REF!,1,0)</f>
        <v>#REF!</v>
      </c>
      <c r="M11033" s="33" t="str">
        <f t="shared" si="691"/>
        <v>P&amp;L</v>
      </c>
    </row>
    <row r="11034" spans="1:13">
      <c r="A11034" s="33" t="str">
        <f t="shared" si="688"/>
        <v>SG2 - Operating Expense</v>
      </c>
      <c r="B11034" s="33" t="str">
        <f t="shared" si="689"/>
        <v>SG2</v>
      </c>
      <c r="C11034" s="33" t="str">
        <f t="shared" si="690"/>
        <v>61505-7373</v>
      </c>
      <c r="D11034" t="s">
        <v>12303</v>
      </c>
      <c r="E11034" t="s">
        <v>4934</v>
      </c>
      <c r="F11034" t="s">
        <v>15</v>
      </c>
      <c r="G11034" t="s">
        <v>3044</v>
      </c>
      <c r="H11034" t="s">
        <v>3022</v>
      </c>
      <c r="I11034" t="s">
        <v>3045</v>
      </c>
      <c r="J11034" s="70">
        <v>0</v>
      </c>
      <c r="K11034" s="71">
        <v>35.72</v>
      </c>
      <c r="L11034" s="33" t="e">
        <f>HLOOKUP(B11034,#REF!,1,0)</f>
        <v>#REF!</v>
      </c>
      <c r="M11034" s="33" t="str">
        <f t="shared" si="691"/>
        <v>P&amp;L</v>
      </c>
    </row>
    <row r="11035" spans="1:13">
      <c r="A11035" s="33" t="str">
        <f t="shared" si="688"/>
        <v>SG2 - Operating Expense</v>
      </c>
      <c r="B11035" s="33" t="str">
        <f t="shared" si="689"/>
        <v>SG2</v>
      </c>
      <c r="C11035" s="33" t="str">
        <f t="shared" si="690"/>
        <v>62002-7373</v>
      </c>
      <c r="D11035" t="s">
        <v>12304</v>
      </c>
      <c r="E11035" t="s">
        <v>3090</v>
      </c>
      <c r="F11035" t="s">
        <v>15</v>
      </c>
      <c r="G11035" t="s">
        <v>3035</v>
      </c>
      <c r="H11035" t="s">
        <v>3022</v>
      </c>
      <c r="I11035" t="s">
        <v>3074</v>
      </c>
      <c r="J11035" s="70">
        <v>0</v>
      </c>
      <c r="K11035" s="71">
        <v>839.58</v>
      </c>
      <c r="L11035" s="33" t="e">
        <f>HLOOKUP(B11035,#REF!,1,0)</f>
        <v>#REF!</v>
      </c>
      <c r="M11035" s="33" t="str">
        <f t="shared" si="691"/>
        <v>P&amp;L</v>
      </c>
    </row>
    <row r="11036" spans="1:13">
      <c r="A11036" s="33" t="str">
        <f t="shared" si="688"/>
        <v>SG2 - Operating Expense</v>
      </c>
      <c r="B11036" s="33" t="str">
        <f t="shared" si="689"/>
        <v>SG2</v>
      </c>
      <c r="C11036" s="33" t="str">
        <f t="shared" si="690"/>
        <v>62002-7382</v>
      </c>
      <c r="D11036" t="s">
        <v>12305</v>
      </c>
      <c r="E11036" t="s">
        <v>3090</v>
      </c>
      <c r="F11036" t="s">
        <v>15</v>
      </c>
      <c r="G11036" t="s">
        <v>3035</v>
      </c>
      <c r="H11036" t="s">
        <v>3022</v>
      </c>
      <c r="I11036" t="s">
        <v>3074</v>
      </c>
      <c r="J11036" s="70">
        <v>0</v>
      </c>
      <c r="K11036" s="71">
        <v>1262.58</v>
      </c>
      <c r="L11036" s="33" t="e">
        <f>HLOOKUP(B11036,#REF!,1,0)</f>
        <v>#REF!</v>
      </c>
      <c r="M11036" s="33" t="str">
        <f t="shared" si="691"/>
        <v>P&amp;L</v>
      </c>
    </row>
    <row r="11037" spans="1:13">
      <c r="A11037" s="33" t="str">
        <f t="shared" si="688"/>
        <v>SG2 - Operating Expense</v>
      </c>
      <c r="B11037" s="33" t="str">
        <f t="shared" si="689"/>
        <v>SG2</v>
      </c>
      <c r="C11037" s="33" t="str">
        <f t="shared" si="690"/>
        <v>62097-7373</v>
      </c>
      <c r="D11037" t="s">
        <v>12306</v>
      </c>
      <c r="E11037" t="s">
        <v>3095</v>
      </c>
      <c r="F11037" t="s">
        <v>15</v>
      </c>
      <c r="G11037" t="s">
        <v>3035</v>
      </c>
      <c r="H11037" t="s">
        <v>3022</v>
      </c>
      <c r="I11037" t="s">
        <v>3096</v>
      </c>
      <c r="J11037" s="70">
        <v>0</v>
      </c>
      <c r="K11037" s="71">
        <v>150</v>
      </c>
      <c r="L11037" s="33" t="e">
        <f>HLOOKUP(B11037,#REF!,1,0)</f>
        <v>#REF!</v>
      </c>
      <c r="M11037" s="33" t="str">
        <f t="shared" si="691"/>
        <v>P&amp;L</v>
      </c>
    </row>
    <row r="11038" spans="1:13">
      <c r="A11038" s="33" t="str">
        <f t="shared" si="688"/>
        <v>SG2 - Operating Expense</v>
      </c>
      <c r="B11038" s="33" t="str">
        <f t="shared" si="689"/>
        <v>SG2</v>
      </c>
      <c r="C11038" s="33" t="str">
        <f t="shared" si="690"/>
        <v>62097-7382</v>
      </c>
      <c r="D11038" t="s">
        <v>12307</v>
      </c>
      <c r="E11038" t="s">
        <v>3095</v>
      </c>
      <c r="F11038" t="s">
        <v>15</v>
      </c>
      <c r="G11038" t="s">
        <v>3035</v>
      </c>
      <c r="H11038" t="s">
        <v>3022</v>
      </c>
      <c r="I11038" t="s">
        <v>3096</v>
      </c>
      <c r="J11038" s="70">
        <v>0</v>
      </c>
      <c r="K11038" s="71">
        <v>150</v>
      </c>
      <c r="L11038" s="33" t="e">
        <f>HLOOKUP(B11038,#REF!,1,0)</f>
        <v>#REF!</v>
      </c>
      <c r="M11038" s="33" t="str">
        <f t="shared" si="691"/>
        <v>P&amp;L</v>
      </c>
    </row>
    <row r="11039" spans="1:13">
      <c r="A11039" s="33" t="str">
        <f t="shared" si="688"/>
        <v>SG2 - Operating Expense</v>
      </c>
      <c r="B11039" s="33" t="str">
        <f t="shared" si="689"/>
        <v>SG2</v>
      </c>
      <c r="C11039" s="33" t="str">
        <f t="shared" si="690"/>
        <v>62501-7373</v>
      </c>
      <c r="D11039" t="s">
        <v>12308</v>
      </c>
      <c r="E11039" t="s">
        <v>3101</v>
      </c>
      <c r="F11039" t="s">
        <v>15</v>
      </c>
      <c r="G11039" t="s">
        <v>3035</v>
      </c>
      <c r="H11039" t="s">
        <v>3022</v>
      </c>
      <c r="I11039" t="s">
        <v>3102</v>
      </c>
      <c r="J11039" s="70">
        <v>350</v>
      </c>
      <c r="K11039" s="71">
        <v>3445</v>
      </c>
      <c r="L11039" s="33" t="e">
        <f>HLOOKUP(B11039,#REF!,1,0)</f>
        <v>#REF!</v>
      </c>
      <c r="M11039" s="33" t="str">
        <f t="shared" si="691"/>
        <v>P&amp;L</v>
      </c>
    </row>
    <row r="11040" spans="1:13">
      <c r="A11040" s="33" t="str">
        <f t="shared" si="688"/>
        <v>SG2 - Operating Expense</v>
      </c>
      <c r="B11040" s="33" t="str">
        <f t="shared" si="689"/>
        <v>SG2</v>
      </c>
      <c r="C11040" s="33" t="str">
        <f t="shared" si="690"/>
        <v>62501-7382</v>
      </c>
      <c r="D11040" t="s">
        <v>12309</v>
      </c>
      <c r="E11040" t="s">
        <v>3101</v>
      </c>
      <c r="F11040" t="s">
        <v>15</v>
      </c>
      <c r="G11040" t="s">
        <v>3035</v>
      </c>
      <c r="H11040" t="s">
        <v>3022</v>
      </c>
      <c r="I11040" t="s">
        <v>3102</v>
      </c>
      <c r="J11040" s="70">
        <v>0</v>
      </c>
      <c r="K11040" s="71">
        <v>2114</v>
      </c>
      <c r="L11040" s="33" t="e">
        <f>HLOOKUP(B11040,#REF!,1,0)</f>
        <v>#REF!</v>
      </c>
      <c r="M11040" s="33" t="str">
        <f t="shared" si="691"/>
        <v>P&amp;L</v>
      </c>
    </row>
    <row r="11041" spans="1:13">
      <c r="A11041" s="33" t="str">
        <f t="shared" si="688"/>
        <v>SG2 - Operating Expense</v>
      </c>
      <c r="B11041" s="33" t="str">
        <f t="shared" si="689"/>
        <v>SG2</v>
      </c>
      <c r="C11041" s="33" t="str">
        <f t="shared" si="690"/>
        <v>62504-7382</v>
      </c>
      <c r="D11041" t="s">
        <v>12310</v>
      </c>
      <c r="E11041" t="s">
        <v>10109</v>
      </c>
      <c r="F11041" t="s">
        <v>15</v>
      </c>
      <c r="G11041" t="s">
        <v>3035</v>
      </c>
      <c r="H11041" t="s">
        <v>3022</v>
      </c>
      <c r="I11041" t="s">
        <v>3102</v>
      </c>
      <c r="J11041" s="70">
        <v>0</v>
      </c>
      <c r="K11041" s="71">
        <v>725</v>
      </c>
      <c r="L11041" s="33" t="e">
        <f>HLOOKUP(B11041,#REF!,1,0)</f>
        <v>#REF!</v>
      </c>
      <c r="M11041" s="33" t="str">
        <f t="shared" si="691"/>
        <v>P&amp;L</v>
      </c>
    </row>
    <row r="11042" spans="1:13">
      <c r="A11042" s="33" t="str">
        <f t="shared" si="688"/>
        <v>SG2 - Operating Expense</v>
      </c>
      <c r="B11042" s="33" t="str">
        <f t="shared" si="689"/>
        <v>SG2</v>
      </c>
      <c r="C11042" s="33" t="str">
        <f t="shared" si="690"/>
        <v>62510-7373</v>
      </c>
      <c r="D11042" t="s">
        <v>12311</v>
      </c>
      <c r="E11042" t="s">
        <v>3111</v>
      </c>
      <c r="F11042" t="s">
        <v>15</v>
      </c>
      <c r="G11042" t="s">
        <v>3035</v>
      </c>
      <c r="H11042" t="s">
        <v>3022</v>
      </c>
      <c r="I11042" t="s">
        <v>3102</v>
      </c>
      <c r="J11042" s="70">
        <v>85.03</v>
      </c>
      <c r="K11042" s="71">
        <v>802.86</v>
      </c>
      <c r="L11042" s="33" t="e">
        <f>HLOOKUP(B11042,#REF!,1,0)</f>
        <v>#REF!</v>
      </c>
      <c r="M11042" s="33" t="str">
        <f t="shared" si="691"/>
        <v>P&amp;L</v>
      </c>
    </row>
    <row r="11043" spans="1:13">
      <c r="A11043" s="33" t="str">
        <f t="shared" si="688"/>
        <v>SG2 - Operating Expense</v>
      </c>
      <c r="B11043" s="33" t="str">
        <f t="shared" si="689"/>
        <v>SG2</v>
      </c>
      <c r="C11043" s="33" t="str">
        <f t="shared" si="690"/>
        <v>62510-7382</v>
      </c>
      <c r="D11043" t="s">
        <v>12312</v>
      </c>
      <c r="E11043" t="s">
        <v>3111</v>
      </c>
      <c r="F11043" t="s">
        <v>15</v>
      </c>
      <c r="G11043" t="s">
        <v>3035</v>
      </c>
      <c r="H11043" t="s">
        <v>3022</v>
      </c>
      <c r="I11043" t="s">
        <v>3102</v>
      </c>
      <c r="J11043" s="70">
        <v>85.03</v>
      </c>
      <c r="K11043" s="71">
        <v>961.34</v>
      </c>
      <c r="L11043" s="33" t="e">
        <f>HLOOKUP(B11043,#REF!,1,0)</f>
        <v>#REF!</v>
      </c>
      <c r="M11043" s="33" t="str">
        <f t="shared" si="691"/>
        <v>P&amp;L</v>
      </c>
    </row>
    <row r="11044" spans="1:13">
      <c r="A11044" s="33" t="str">
        <f t="shared" si="688"/>
        <v>SG2 - Operating Expense</v>
      </c>
      <c r="B11044" s="33" t="str">
        <f t="shared" si="689"/>
        <v>SG2</v>
      </c>
      <c r="C11044" s="33" t="str">
        <f t="shared" si="690"/>
        <v>62511-7373</v>
      </c>
      <c r="D11044" t="s">
        <v>12313</v>
      </c>
      <c r="E11044" t="s">
        <v>3116</v>
      </c>
      <c r="F11044" t="s">
        <v>15</v>
      </c>
      <c r="G11044" t="s">
        <v>3035</v>
      </c>
      <c r="H11044" t="s">
        <v>3022</v>
      </c>
      <c r="I11044" t="s">
        <v>3036</v>
      </c>
      <c r="J11044" s="70">
        <v>0</v>
      </c>
      <c r="K11044" s="71">
        <v>263.14</v>
      </c>
      <c r="L11044" s="33" t="e">
        <f>HLOOKUP(B11044,#REF!,1,0)</f>
        <v>#REF!</v>
      </c>
      <c r="M11044" s="33" t="str">
        <f t="shared" si="691"/>
        <v>P&amp;L</v>
      </c>
    </row>
    <row r="11045" spans="1:13">
      <c r="A11045" s="33" t="str">
        <f t="shared" si="688"/>
        <v>SG2 - Operating Expense</v>
      </c>
      <c r="B11045" s="33" t="str">
        <f t="shared" si="689"/>
        <v>SG2</v>
      </c>
      <c r="C11045" s="33" t="str">
        <f t="shared" si="690"/>
        <v>62511-7382</v>
      </c>
      <c r="D11045" t="s">
        <v>12314</v>
      </c>
      <c r="E11045" t="s">
        <v>3116</v>
      </c>
      <c r="F11045" t="s">
        <v>15</v>
      </c>
      <c r="G11045" t="s">
        <v>3035</v>
      </c>
      <c r="H11045" t="s">
        <v>3022</v>
      </c>
      <c r="I11045" t="s">
        <v>3036</v>
      </c>
      <c r="J11045" s="70">
        <v>0</v>
      </c>
      <c r="K11045" s="71">
        <v>946.91</v>
      </c>
      <c r="L11045" s="33" t="e">
        <f>HLOOKUP(B11045,#REF!,1,0)</f>
        <v>#REF!</v>
      </c>
      <c r="M11045" s="33" t="str">
        <f t="shared" si="691"/>
        <v>P&amp;L</v>
      </c>
    </row>
    <row r="11046" spans="1:13">
      <c r="A11046" s="33" t="str">
        <f t="shared" si="688"/>
        <v>SG2 - Operating Expense</v>
      </c>
      <c r="B11046" s="33" t="str">
        <f t="shared" si="689"/>
        <v>SG2</v>
      </c>
      <c r="C11046" s="33" t="str">
        <f t="shared" si="690"/>
        <v>62512-7382</v>
      </c>
      <c r="D11046" t="s">
        <v>12315</v>
      </c>
      <c r="E11046" t="s">
        <v>3121</v>
      </c>
      <c r="F11046" t="s">
        <v>15</v>
      </c>
      <c r="G11046" t="s">
        <v>3035</v>
      </c>
      <c r="H11046" t="s">
        <v>3022</v>
      </c>
      <c r="I11046" t="s">
        <v>3102</v>
      </c>
      <c r="J11046" s="70">
        <v>0</v>
      </c>
      <c r="K11046" s="71">
        <v>70</v>
      </c>
      <c r="L11046" s="33" t="e">
        <f>HLOOKUP(B11046,#REF!,1,0)</f>
        <v>#REF!</v>
      </c>
      <c r="M11046" s="33" t="str">
        <f t="shared" si="691"/>
        <v>P&amp;L</v>
      </c>
    </row>
    <row r="11047" spans="1:13">
      <c r="A11047" s="33" t="str">
        <f t="shared" si="688"/>
        <v>SG2 - Operating Expense</v>
      </c>
      <c r="B11047" s="33" t="str">
        <f t="shared" si="689"/>
        <v>SG2</v>
      </c>
      <c r="C11047" s="33" t="str">
        <f t="shared" si="690"/>
        <v>62513-7373</v>
      </c>
      <c r="D11047" t="s">
        <v>12316</v>
      </c>
      <c r="E11047" t="s">
        <v>3124</v>
      </c>
      <c r="F11047" t="s">
        <v>15</v>
      </c>
      <c r="G11047" t="s">
        <v>3035</v>
      </c>
      <c r="H11047" t="s">
        <v>3022</v>
      </c>
      <c r="I11047" t="s">
        <v>3102</v>
      </c>
      <c r="J11047" s="70">
        <v>112.79</v>
      </c>
      <c r="K11047" s="71">
        <v>517.98</v>
      </c>
      <c r="L11047" s="33" t="e">
        <f>HLOOKUP(B11047,#REF!,1,0)</f>
        <v>#REF!</v>
      </c>
      <c r="M11047" s="33" t="str">
        <f t="shared" si="691"/>
        <v>P&amp;L</v>
      </c>
    </row>
    <row r="11048" spans="1:13">
      <c r="A11048" s="33" t="str">
        <f t="shared" si="688"/>
        <v>SG2 - Operating Expense</v>
      </c>
      <c r="B11048" s="33" t="str">
        <f t="shared" si="689"/>
        <v>SG2</v>
      </c>
      <c r="C11048" s="33" t="str">
        <f t="shared" si="690"/>
        <v>62513-7382</v>
      </c>
      <c r="D11048" t="s">
        <v>12317</v>
      </c>
      <c r="E11048" t="s">
        <v>3124</v>
      </c>
      <c r="F11048" t="s">
        <v>15</v>
      </c>
      <c r="G11048" t="s">
        <v>3035</v>
      </c>
      <c r="H11048" t="s">
        <v>3022</v>
      </c>
      <c r="I11048" t="s">
        <v>3102</v>
      </c>
      <c r="J11048" s="70">
        <v>15.33</v>
      </c>
      <c r="K11048" s="71">
        <v>104.81</v>
      </c>
      <c r="L11048" s="33" t="e">
        <f>HLOOKUP(B11048,#REF!,1,0)</f>
        <v>#REF!</v>
      </c>
      <c r="M11048" s="33" t="str">
        <f t="shared" si="691"/>
        <v>P&amp;L</v>
      </c>
    </row>
    <row r="11049" spans="1:13">
      <c r="A11049" s="33" t="str">
        <f t="shared" si="688"/>
        <v>SG2 - Operating Expense</v>
      </c>
      <c r="B11049" s="33" t="str">
        <f t="shared" si="689"/>
        <v>SG2</v>
      </c>
      <c r="C11049" s="33" t="str">
        <f t="shared" si="690"/>
        <v>62550-7373</v>
      </c>
      <c r="D11049" t="s">
        <v>12318</v>
      </c>
      <c r="E11049" t="s">
        <v>3129</v>
      </c>
      <c r="F11049" t="s">
        <v>15</v>
      </c>
      <c r="G11049" t="s">
        <v>3035</v>
      </c>
      <c r="H11049" t="s">
        <v>3022</v>
      </c>
      <c r="I11049" t="s">
        <v>3130</v>
      </c>
      <c r="J11049" s="70">
        <v>2541.13</v>
      </c>
      <c r="K11049" s="71">
        <v>10447.52</v>
      </c>
      <c r="L11049" s="33" t="e">
        <f>HLOOKUP(B11049,#REF!,1,0)</f>
        <v>#REF!</v>
      </c>
      <c r="M11049" s="33" t="str">
        <f t="shared" si="691"/>
        <v>P&amp;L</v>
      </c>
    </row>
    <row r="11050" spans="1:13">
      <c r="A11050" s="33" t="str">
        <f t="shared" si="688"/>
        <v>SG2 - Operating Expense</v>
      </c>
      <c r="B11050" s="33" t="str">
        <f t="shared" si="689"/>
        <v>SG2</v>
      </c>
      <c r="C11050" s="33" t="str">
        <f t="shared" si="690"/>
        <v>62550-7382</v>
      </c>
      <c r="D11050" t="s">
        <v>12319</v>
      </c>
      <c r="E11050" t="s">
        <v>3129</v>
      </c>
      <c r="F11050" t="s">
        <v>15</v>
      </c>
      <c r="G11050" t="s">
        <v>3035</v>
      </c>
      <c r="H11050" t="s">
        <v>3022</v>
      </c>
      <c r="I11050" t="s">
        <v>3130</v>
      </c>
      <c r="J11050" s="70">
        <v>67.5</v>
      </c>
      <c r="K11050" s="71">
        <v>21150.95</v>
      </c>
      <c r="L11050" s="33" t="e">
        <f>HLOOKUP(B11050,#REF!,1,0)</f>
        <v>#REF!</v>
      </c>
      <c r="M11050" s="33" t="str">
        <f t="shared" si="691"/>
        <v>P&amp;L</v>
      </c>
    </row>
    <row r="11051" spans="1:13">
      <c r="A11051" s="33" t="str">
        <f t="shared" si="688"/>
        <v>SG2 - Operating Expense</v>
      </c>
      <c r="B11051" s="33" t="str">
        <f t="shared" si="689"/>
        <v>SG2</v>
      </c>
      <c r="C11051" s="33" t="str">
        <f t="shared" si="690"/>
        <v>62551-7373</v>
      </c>
      <c r="D11051" t="s">
        <v>12320</v>
      </c>
      <c r="E11051" t="s">
        <v>3132</v>
      </c>
      <c r="F11051" t="s">
        <v>15</v>
      </c>
      <c r="G11051" t="s">
        <v>3035</v>
      </c>
      <c r="H11051" t="s">
        <v>3022</v>
      </c>
      <c r="I11051" t="s">
        <v>3130</v>
      </c>
      <c r="J11051" s="70">
        <v>2832.04</v>
      </c>
      <c r="K11051" s="71">
        <v>9666.31</v>
      </c>
      <c r="L11051" s="33" t="e">
        <f>HLOOKUP(B11051,#REF!,1,0)</f>
        <v>#REF!</v>
      </c>
      <c r="M11051" s="33" t="str">
        <f t="shared" si="691"/>
        <v>P&amp;L</v>
      </c>
    </row>
    <row r="11052" spans="1:13">
      <c r="A11052" s="33" t="str">
        <f t="shared" si="688"/>
        <v>SG2 - Operating Expense</v>
      </c>
      <c r="B11052" s="33" t="str">
        <f t="shared" si="689"/>
        <v>SG2</v>
      </c>
      <c r="C11052" s="33" t="str">
        <f t="shared" si="690"/>
        <v>62551-7382</v>
      </c>
      <c r="D11052" t="s">
        <v>12321</v>
      </c>
      <c r="E11052" t="s">
        <v>3132</v>
      </c>
      <c r="F11052" t="s">
        <v>15</v>
      </c>
      <c r="G11052" t="s">
        <v>3035</v>
      </c>
      <c r="H11052" t="s">
        <v>3022</v>
      </c>
      <c r="I11052" t="s">
        <v>3130</v>
      </c>
      <c r="J11052" s="70">
        <v>0</v>
      </c>
      <c r="K11052" s="71">
        <v>21541.37</v>
      </c>
      <c r="L11052" s="33" t="e">
        <f>HLOOKUP(B11052,#REF!,1,0)</f>
        <v>#REF!</v>
      </c>
      <c r="M11052" s="33" t="str">
        <f t="shared" si="691"/>
        <v>P&amp;L</v>
      </c>
    </row>
    <row r="11053" spans="1:13">
      <c r="A11053" s="33" t="str">
        <f t="shared" si="688"/>
        <v>SG2 - Operating Expense</v>
      </c>
      <c r="B11053" s="33" t="str">
        <f t="shared" si="689"/>
        <v>SG2</v>
      </c>
      <c r="C11053" s="33" t="str">
        <f t="shared" si="690"/>
        <v>63001-7373</v>
      </c>
      <c r="D11053" t="s">
        <v>12322</v>
      </c>
      <c r="E11053" t="s">
        <v>3134</v>
      </c>
      <c r="F11053" t="s">
        <v>15</v>
      </c>
      <c r="G11053" t="s">
        <v>3035</v>
      </c>
      <c r="H11053" t="s">
        <v>3022</v>
      </c>
      <c r="I11053" t="s">
        <v>3036</v>
      </c>
      <c r="J11053" s="70">
        <v>0</v>
      </c>
      <c r="K11053" s="71">
        <v>600</v>
      </c>
      <c r="L11053" s="33" t="e">
        <f>HLOOKUP(B11053,#REF!,1,0)</f>
        <v>#REF!</v>
      </c>
      <c r="M11053" s="33" t="str">
        <f t="shared" si="691"/>
        <v>P&amp;L</v>
      </c>
    </row>
    <row r="11054" spans="1:13">
      <c r="A11054" s="33" t="str">
        <f t="shared" si="688"/>
        <v>SG2 - Operating Expense</v>
      </c>
      <c r="B11054" s="33" t="str">
        <f t="shared" si="689"/>
        <v>SG2</v>
      </c>
      <c r="C11054" s="33" t="str">
        <f t="shared" si="690"/>
        <v>63001-7382</v>
      </c>
      <c r="D11054" t="s">
        <v>12323</v>
      </c>
      <c r="E11054" t="s">
        <v>3134</v>
      </c>
      <c r="F11054" t="s">
        <v>15</v>
      </c>
      <c r="G11054" t="s">
        <v>3035</v>
      </c>
      <c r="H11054" t="s">
        <v>3022</v>
      </c>
      <c r="I11054" t="s">
        <v>3036</v>
      </c>
      <c r="J11054" s="70">
        <v>0</v>
      </c>
      <c r="K11054" s="71">
        <v>969.5</v>
      </c>
      <c r="L11054" s="33" t="e">
        <f>HLOOKUP(B11054,#REF!,1,0)</f>
        <v>#REF!</v>
      </c>
      <c r="M11054" s="33" t="str">
        <f t="shared" si="691"/>
        <v>P&amp;L</v>
      </c>
    </row>
    <row r="11055" spans="1:13">
      <c r="A11055" s="33" t="str">
        <f t="shared" si="688"/>
        <v>SG2 - Operating Expense</v>
      </c>
      <c r="B11055" s="33" t="str">
        <f t="shared" si="689"/>
        <v>SG2</v>
      </c>
      <c r="C11055" s="33" t="str">
        <f t="shared" si="690"/>
        <v>63003-7373</v>
      </c>
      <c r="D11055" t="s">
        <v>12324</v>
      </c>
      <c r="E11055" t="s">
        <v>4988</v>
      </c>
      <c r="F11055" t="s">
        <v>15</v>
      </c>
      <c r="G11055" t="s">
        <v>3035</v>
      </c>
      <c r="H11055" t="s">
        <v>3022</v>
      </c>
      <c r="I11055" t="s">
        <v>3140</v>
      </c>
      <c r="J11055" s="70">
        <v>0</v>
      </c>
      <c r="K11055" s="71">
        <v>952.44</v>
      </c>
      <c r="L11055" s="33" t="e">
        <f>HLOOKUP(B11055,#REF!,1,0)</f>
        <v>#REF!</v>
      </c>
      <c r="M11055" s="33" t="str">
        <f t="shared" si="691"/>
        <v>P&amp;L</v>
      </c>
    </row>
    <row r="11056" spans="1:13">
      <c r="A11056" s="33" t="str">
        <f t="shared" si="688"/>
        <v>SG2 - Operating Expense</v>
      </c>
      <c r="B11056" s="33" t="str">
        <f t="shared" si="689"/>
        <v>SG2</v>
      </c>
      <c r="C11056" s="33" t="str">
        <f t="shared" si="690"/>
        <v>63003-7382</v>
      </c>
      <c r="D11056" t="s">
        <v>12325</v>
      </c>
      <c r="E11056" t="s">
        <v>4988</v>
      </c>
      <c r="F11056" t="s">
        <v>15</v>
      </c>
      <c r="G11056" t="s">
        <v>3035</v>
      </c>
      <c r="H11056" t="s">
        <v>3022</v>
      </c>
      <c r="I11056" t="s">
        <v>3140</v>
      </c>
      <c r="J11056" s="70">
        <v>1081.23</v>
      </c>
      <c r="K11056" s="71">
        <v>1081.23</v>
      </c>
      <c r="L11056" s="33" t="e">
        <f>HLOOKUP(B11056,#REF!,1,0)</f>
        <v>#REF!</v>
      </c>
      <c r="M11056" s="33" t="str">
        <f t="shared" si="691"/>
        <v>P&amp;L</v>
      </c>
    </row>
    <row r="11057" spans="1:13">
      <c r="A11057" s="33" t="str">
        <f t="shared" si="688"/>
        <v>SG2 - Operating Expense</v>
      </c>
      <c r="B11057" s="33" t="str">
        <f t="shared" si="689"/>
        <v>SG2</v>
      </c>
      <c r="C11057" s="33" t="str">
        <f t="shared" si="690"/>
        <v>63004-7373</v>
      </c>
      <c r="D11057" t="s">
        <v>12326</v>
      </c>
      <c r="E11057" t="s">
        <v>3139</v>
      </c>
      <c r="F11057" t="s">
        <v>15</v>
      </c>
      <c r="G11057" t="s">
        <v>3035</v>
      </c>
      <c r="H11057" t="s">
        <v>3022</v>
      </c>
      <c r="I11057" t="s">
        <v>3140</v>
      </c>
      <c r="J11057" s="70">
        <v>235</v>
      </c>
      <c r="K11057" s="71">
        <v>2675</v>
      </c>
      <c r="L11057" s="33" t="e">
        <f>HLOOKUP(B11057,#REF!,1,0)</f>
        <v>#REF!</v>
      </c>
      <c r="M11057" s="33" t="str">
        <f t="shared" si="691"/>
        <v>P&amp;L</v>
      </c>
    </row>
    <row r="11058" spans="1:13">
      <c r="A11058" s="33" t="str">
        <f t="shared" si="688"/>
        <v>SG2 - Operating Expense</v>
      </c>
      <c r="B11058" s="33" t="str">
        <f t="shared" si="689"/>
        <v>SG2</v>
      </c>
      <c r="C11058" s="33" t="str">
        <f t="shared" si="690"/>
        <v>63004-7382</v>
      </c>
      <c r="D11058" t="s">
        <v>12327</v>
      </c>
      <c r="E11058" t="s">
        <v>3139</v>
      </c>
      <c r="F11058" t="s">
        <v>15</v>
      </c>
      <c r="G11058" t="s">
        <v>3035</v>
      </c>
      <c r="H11058" t="s">
        <v>3022</v>
      </c>
      <c r="I11058" t="s">
        <v>3140</v>
      </c>
      <c r="J11058" s="70">
        <v>235</v>
      </c>
      <c r="K11058" s="71">
        <v>2230</v>
      </c>
      <c r="L11058" s="33" t="e">
        <f>HLOOKUP(B11058,#REF!,1,0)</f>
        <v>#REF!</v>
      </c>
      <c r="M11058" s="33" t="str">
        <f t="shared" si="691"/>
        <v>P&amp;L</v>
      </c>
    </row>
    <row r="11059" spans="1:13">
      <c r="A11059" s="33" t="str">
        <f t="shared" si="688"/>
        <v>SG2 - Operating Expense</v>
      </c>
      <c r="B11059" s="33" t="str">
        <f t="shared" si="689"/>
        <v>SG2</v>
      </c>
      <c r="C11059" s="33" t="str">
        <f t="shared" si="690"/>
        <v>63005-7373</v>
      </c>
      <c r="D11059" t="s">
        <v>12328</v>
      </c>
      <c r="E11059" t="s">
        <v>4996</v>
      </c>
      <c r="F11059" t="s">
        <v>15</v>
      </c>
      <c r="G11059" t="s">
        <v>3035</v>
      </c>
      <c r="H11059" t="s">
        <v>3022</v>
      </c>
      <c r="I11059" t="s">
        <v>3036</v>
      </c>
      <c r="J11059" s="70">
        <v>0</v>
      </c>
      <c r="K11059" s="71">
        <v>246</v>
      </c>
      <c r="L11059" s="33" t="e">
        <f>HLOOKUP(B11059,#REF!,1,0)</f>
        <v>#REF!</v>
      </c>
      <c r="M11059" s="33" t="str">
        <f t="shared" si="691"/>
        <v>P&amp;L</v>
      </c>
    </row>
    <row r="11060" spans="1:13">
      <c r="A11060" s="33" t="str">
        <f t="shared" si="688"/>
        <v>SG2 - Operating Expense</v>
      </c>
      <c r="B11060" s="33" t="str">
        <f t="shared" si="689"/>
        <v>SG2</v>
      </c>
      <c r="C11060" s="33" t="str">
        <f t="shared" si="690"/>
        <v>63005-7382</v>
      </c>
      <c r="D11060" t="s">
        <v>12329</v>
      </c>
      <c r="E11060" t="s">
        <v>4996</v>
      </c>
      <c r="F11060" t="s">
        <v>15</v>
      </c>
      <c r="G11060" t="s">
        <v>3035</v>
      </c>
      <c r="H11060" t="s">
        <v>3022</v>
      </c>
      <c r="I11060" t="s">
        <v>3036</v>
      </c>
      <c r="J11060" s="70">
        <v>0</v>
      </c>
      <c r="K11060" s="71">
        <v>336</v>
      </c>
      <c r="L11060" s="33" t="e">
        <f>HLOOKUP(B11060,#REF!,1,0)</f>
        <v>#REF!</v>
      </c>
      <c r="M11060" s="33" t="str">
        <f t="shared" si="691"/>
        <v>P&amp;L</v>
      </c>
    </row>
    <row r="11061" spans="1:13">
      <c r="A11061" s="33" t="str">
        <f t="shared" si="688"/>
        <v>SG2 - Operating Expense</v>
      </c>
      <c r="B11061" s="33" t="str">
        <f t="shared" si="689"/>
        <v>SG2</v>
      </c>
      <c r="C11061" s="33" t="str">
        <f t="shared" si="690"/>
        <v>63006-7373</v>
      </c>
      <c r="D11061" t="s">
        <v>12330</v>
      </c>
      <c r="E11061" t="s">
        <v>3146</v>
      </c>
      <c r="F11061" t="s">
        <v>15</v>
      </c>
      <c r="G11061" t="s">
        <v>3035</v>
      </c>
      <c r="H11061" t="s">
        <v>3022</v>
      </c>
      <c r="I11061" t="s">
        <v>3036</v>
      </c>
      <c r="J11061" s="70">
        <v>0</v>
      </c>
      <c r="K11061" s="71">
        <v>75</v>
      </c>
      <c r="L11061" s="33" t="e">
        <f>HLOOKUP(B11061,#REF!,1,0)</f>
        <v>#REF!</v>
      </c>
      <c r="M11061" s="33" t="str">
        <f t="shared" si="691"/>
        <v>P&amp;L</v>
      </c>
    </row>
    <row r="11062" spans="1:13">
      <c r="A11062" s="33" t="str">
        <f t="shared" si="688"/>
        <v>SG2 - Operating Expense</v>
      </c>
      <c r="B11062" s="33" t="str">
        <f t="shared" si="689"/>
        <v>SG2</v>
      </c>
      <c r="C11062" s="33" t="str">
        <f t="shared" si="690"/>
        <v>63006-7382</v>
      </c>
      <c r="D11062" t="s">
        <v>12331</v>
      </c>
      <c r="E11062" t="s">
        <v>3146</v>
      </c>
      <c r="F11062" t="s">
        <v>15</v>
      </c>
      <c r="G11062" t="s">
        <v>3035</v>
      </c>
      <c r="H11062" t="s">
        <v>3022</v>
      </c>
      <c r="I11062" t="s">
        <v>3036</v>
      </c>
      <c r="J11062" s="70">
        <v>0</v>
      </c>
      <c r="K11062" s="71">
        <v>375</v>
      </c>
      <c r="L11062" s="33" t="e">
        <f>HLOOKUP(B11062,#REF!,1,0)</f>
        <v>#REF!</v>
      </c>
      <c r="M11062" s="33" t="str">
        <f t="shared" si="691"/>
        <v>P&amp;L</v>
      </c>
    </row>
    <row r="11063" spans="1:13">
      <c r="A11063" s="33" t="str">
        <f t="shared" si="688"/>
        <v>SG2 - Operating Expense</v>
      </c>
      <c r="B11063" s="33" t="str">
        <f t="shared" si="689"/>
        <v>SG2</v>
      </c>
      <c r="C11063" s="33" t="str">
        <f t="shared" si="690"/>
        <v>63007-7382</v>
      </c>
      <c r="D11063" t="s">
        <v>12332</v>
      </c>
      <c r="E11063" t="s">
        <v>3151</v>
      </c>
      <c r="F11063" t="s">
        <v>15</v>
      </c>
      <c r="G11063" t="s">
        <v>3035</v>
      </c>
      <c r="H11063" t="s">
        <v>3022</v>
      </c>
      <c r="I11063" t="s">
        <v>3140</v>
      </c>
      <c r="J11063" s="70">
        <v>0</v>
      </c>
      <c r="K11063" s="71">
        <v>23.44</v>
      </c>
      <c r="L11063" s="33" t="e">
        <f>HLOOKUP(B11063,#REF!,1,0)</f>
        <v>#REF!</v>
      </c>
      <c r="M11063" s="33" t="str">
        <f t="shared" si="691"/>
        <v>P&amp;L</v>
      </c>
    </row>
    <row r="11064" spans="1:13">
      <c r="A11064" s="33" t="str">
        <f t="shared" si="688"/>
        <v>SG2 - Operating Expense</v>
      </c>
      <c r="B11064" s="33" t="str">
        <f t="shared" si="689"/>
        <v>SG2</v>
      </c>
      <c r="C11064" s="33" t="str">
        <f t="shared" si="690"/>
        <v>63009-7373</v>
      </c>
      <c r="D11064" t="s">
        <v>12333</v>
      </c>
      <c r="E11064" t="s">
        <v>3155</v>
      </c>
      <c r="F11064" t="s">
        <v>15</v>
      </c>
      <c r="G11064" t="s">
        <v>3035</v>
      </c>
      <c r="H11064" t="s">
        <v>3022</v>
      </c>
      <c r="I11064" t="s">
        <v>3140</v>
      </c>
      <c r="J11064" s="70">
        <v>0</v>
      </c>
      <c r="K11064" s="71">
        <v>3370</v>
      </c>
      <c r="L11064" s="33" t="e">
        <f>HLOOKUP(B11064,#REF!,1,0)</f>
        <v>#REF!</v>
      </c>
      <c r="M11064" s="33" t="str">
        <f t="shared" si="691"/>
        <v>P&amp;L</v>
      </c>
    </row>
    <row r="11065" spans="1:13">
      <c r="A11065" s="33" t="str">
        <f t="shared" si="688"/>
        <v>SG2 - Operating Expense</v>
      </c>
      <c r="B11065" s="33" t="str">
        <f t="shared" si="689"/>
        <v>SG2</v>
      </c>
      <c r="C11065" s="33" t="str">
        <f t="shared" si="690"/>
        <v>63501-0000</v>
      </c>
      <c r="D11065" t="s">
        <v>12334</v>
      </c>
      <c r="E11065" t="s">
        <v>3159</v>
      </c>
      <c r="F11065" t="s">
        <v>15</v>
      </c>
      <c r="G11065" t="s">
        <v>3160</v>
      </c>
      <c r="H11065" t="s">
        <v>3022</v>
      </c>
      <c r="I11065" t="s">
        <v>3161</v>
      </c>
      <c r="J11065" s="70">
        <v>0</v>
      </c>
      <c r="K11065" s="71">
        <v>74.91</v>
      </c>
      <c r="L11065" s="33" t="e">
        <f>HLOOKUP(B11065,#REF!,1,0)</f>
        <v>#REF!</v>
      </c>
      <c r="M11065" s="33" t="str">
        <f t="shared" si="691"/>
        <v>P&amp;L</v>
      </c>
    </row>
    <row r="11066" spans="1:13">
      <c r="A11066" s="33" t="str">
        <f t="shared" si="688"/>
        <v>SG2 - Operating Expense</v>
      </c>
      <c r="B11066" s="33" t="str">
        <f t="shared" si="689"/>
        <v>SG2</v>
      </c>
      <c r="C11066" s="33" t="str">
        <f t="shared" si="690"/>
        <v>63501-7373</v>
      </c>
      <c r="D11066" t="s">
        <v>12335</v>
      </c>
      <c r="E11066" t="s">
        <v>3159</v>
      </c>
      <c r="F11066" t="s">
        <v>15</v>
      </c>
      <c r="G11066" t="s">
        <v>3160</v>
      </c>
      <c r="H11066" t="s">
        <v>3022</v>
      </c>
      <c r="I11066" t="s">
        <v>3161</v>
      </c>
      <c r="J11066" s="70">
        <v>173.47</v>
      </c>
      <c r="K11066" s="71">
        <v>1699.18</v>
      </c>
      <c r="L11066" s="33" t="e">
        <f>HLOOKUP(B11066,#REF!,1,0)</f>
        <v>#REF!</v>
      </c>
      <c r="M11066" s="33" t="str">
        <f t="shared" si="691"/>
        <v>P&amp;L</v>
      </c>
    </row>
    <row r="11067" spans="1:13">
      <c r="A11067" s="33" t="str">
        <f t="shared" si="688"/>
        <v>SG2 - Operating Expense</v>
      </c>
      <c r="B11067" s="33" t="str">
        <f t="shared" si="689"/>
        <v>SG2</v>
      </c>
      <c r="C11067" s="33" t="str">
        <f t="shared" si="690"/>
        <v>63501-7382</v>
      </c>
      <c r="D11067" t="s">
        <v>12336</v>
      </c>
      <c r="E11067" t="s">
        <v>3159</v>
      </c>
      <c r="F11067" t="s">
        <v>15</v>
      </c>
      <c r="G11067" t="s">
        <v>3160</v>
      </c>
      <c r="H11067" t="s">
        <v>3022</v>
      </c>
      <c r="I11067" t="s">
        <v>3161</v>
      </c>
      <c r="J11067" s="70">
        <v>173.52</v>
      </c>
      <c r="K11067" s="71">
        <v>1732.82</v>
      </c>
      <c r="L11067" s="33" t="e">
        <f>HLOOKUP(B11067,#REF!,1,0)</f>
        <v>#REF!</v>
      </c>
      <c r="M11067" s="33" t="str">
        <f t="shared" si="691"/>
        <v>P&amp;L</v>
      </c>
    </row>
    <row r="11068" spans="1:13">
      <c r="A11068" s="33" t="str">
        <f t="shared" si="688"/>
        <v>SG2 - Operating Expense</v>
      </c>
      <c r="B11068" s="33" t="str">
        <f t="shared" si="689"/>
        <v>SG2</v>
      </c>
      <c r="C11068" s="33" t="str">
        <f t="shared" si="690"/>
        <v>63502-7373</v>
      </c>
      <c r="D11068" t="s">
        <v>12337</v>
      </c>
      <c r="E11068" t="s">
        <v>3167</v>
      </c>
      <c r="F11068" t="s">
        <v>15</v>
      </c>
      <c r="G11068" t="s">
        <v>3160</v>
      </c>
      <c r="H11068" t="s">
        <v>3022</v>
      </c>
      <c r="I11068" t="s">
        <v>3168</v>
      </c>
      <c r="J11068" s="70">
        <v>3369.25</v>
      </c>
      <c r="K11068" s="71">
        <v>31155.44</v>
      </c>
      <c r="L11068" s="33" t="e">
        <f>HLOOKUP(B11068,#REF!,1,0)</f>
        <v>#REF!</v>
      </c>
      <c r="M11068" s="33" t="str">
        <f t="shared" si="691"/>
        <v>P&amp;L</v>
      </c>
    </row>
    <row r="11069" spans="1:13">
      <c r="A11069" s="33" t="str">
        <f t="shared" si="688"/>
        <v>SG2 - Operating Expense</v>
      </c>
      <c r="B11069" s="33" t="str">
        <f t="shared" si="689"/>
        <v>SG2</v>
      </c>
      <c r="C11069" s="33" t="str">
        <f t="shared" si="690"/>
        <v>63502-7382</v>
      </c>
      <c r="D11069" t="s">
        <v>12338</v>
      </c>
      <c r="E11069" t="s">
        <v>3167</v>
      </c>
      <c r="F11069" t="s">
        <v>15</v>
      </c>
      <c r="G11069" t="s">
        <v>3160</v>
      </c>
      <c r="H11069" t="s">
        <v>3022</v>
      </c>
      <c r="I11069" t="s">
        <v>3168</v>
      </c>
      <c r="J11069" s="70">
        <v>5052.48</v>
      </c>
      <c r="K11069" s="71">
        <v>39304.16</v>
      </c>
      <c r="L11069" s="33" t="e">
        <f>HLOOKUP(B11069,#REF!,1,0)</f>
        <v>#REF!</v>
      </c>
      <c r="M11069" s="33" t="str">
        <f t="shared" si="691"/>
        <v>P&amp;L</v>
      </c>
    </row>
    <row r="11070" spans="1:13">
      <c r="A11070" s="33" t="str">
        <f t="shared" si="688"/>
        <v>SG2 - Operating Expense</v>
      </c>
      <c r="B11070" s="33" t="str">
        <f t="shared" si="689"/>
        <v>SG2</v>
      </c>
      <c r="C11070" s="33" t="str">
        <f t="shared" si="690"/>
        <v>63503-7373</v>
      </c>
      <c r="D11070" t="s">
        <v>12339</v>
      </c>
      <c r="E11070" t="s">
        <v>3174</v>
      </c>
      <c r="F11070" t="s">
        <v>15</v>
      </c>
      <c r="G11070" t="s">
        <v>3160</v>
      </c>
      <c r="H11070" t="s">
        <v>3022</v>
      </c>
      <c r="I11070" t="s">
        <v>3175</v>
      </c>
      <c r="J11070" s="70">
        <v>1325.15</v>
      </c>
      <c r="K11070" s="71">
        <v>12258.14</v>
      </c>
      <c r="L11070" s="33" t="e">
        <f>HLOOKUP(B11070,#REF!,1,0)</f>
        <v>#REF!</v>
      </c>
      <c r="M11070" s="33" t="str">
        <f t="shared" si="691"/>
        <v>P&amp;L</v>
      </c>
    </row>
    <row r="11071" spans="1:13">
      <c r="A11071" s="33" t="str">
        <f t="shared" si="688"/>
        <v>SG2 - Operating Expense</v>
      </c>
      <c r="B11071" s="33" t="str">
        <f t="shared" si="689"/>
        <v>SG2</v>
      </c>
      <c r="C11071" s="33" t="str">
        <f t="shared" si="690"/>
        <v>63503-7382</v>
      </c>
      <c r="D11071" t="s">
        <v>12340</v>
      </c>
      <c r="E11071" t="s">
        <v>3174</v>
      </c>
      <c r="F11071" t="s">
        <v>15</v>
      </c>
      <c r="G11071" t="s">
        <v>3160</v>
      </c>
      <c r="H11071" t="s">
        <v>3022</v>
      </c>
      <c r="I11071" t="s">
        <v>3175</v>
      </c>
      <c r="J11071" s="70">
        <v>1148.57</v>
      </c>
      <c r="K11071" s="71">
        <v>12952.9</v>
      </c>
      <c r="L11071" s="33" t="e">
        <f>HLOOKUP(B11071,#REF!,1,0)</f>
        <v>#REF!</v>
      </c>
      <c r="M11071" s="33" t="str">
        <f t="shared" si="691"/>
        <v>P&amp;L</v>
      </c>
    </row>
    <row r="11072" spans="1:13">
      <c r="A11072" s="33" t="str">
        <f t="shared" si="688"/>
        <v>SG2 - Operating Expense</v>
      </c>
      <c r="B11072" s="33" t="str">
        <f t="shared" si="689"/>
        <v>SG2</v>
      </c>
      <c r="C11072" s="33" t="str">
        <f t="shared" si="690"/>
        <v>63504-7373</v>
      </c>
      <c r="D11072" t="s">
        <v>12341</v>
      </c>
      <c r="E11072" t="s">
        <v>3181</v>
      </c>
      <c r="F11072" t="s">
        <v>15</v>
      </c>
      <c r="G11072" t="s">
        <v>3160</v>
      </c>
      <c r="H11072" t="s">
        <v>3022</v>
      </c>
      <c r="I11072" t="s">
        <v>3182</v>
      </c>
      <c r="J11072" s="70">
        <v>467.8</v>
      </c>
      <c r="K11072" s="71">
        <v>3640.83</v>
      </c>
      <c r="L11072" s="33" t="e">
        <f>HLOOKUP(B11072,#REF!,1,0)</f>
        <v>#REF!</v>
      </c>
      <c r="M11072" s="33" t="str">
        <f t="shared" si="691"/>
        <v>P&amp;L</v>
      </c>
    </row>
    <row r="11073" spans="1:13">
      <c r="A11073" s="33" t="str">
        <f t="shared" si="688"/>
        <v>SG2 - Operating Expense</v>
      </c>
      <c r="B11073" s="33" t="str">
        <f t="shared" si="689"/>
        <v>SG2</v>
      </c>
      <c r="C11073" s="33" t="str">
        <f t="shared" si="690"/>
        <v>63504-7382</v>
      </c>
      <c r="D11073" t="s">
        <v>12342</v>
      </c>
      <c r="E11073" t="s">
        <v>3181</v>
      </c>
      <c r="F11073" t="s">
        <v>15</v>
      </c>
      <c r="G11073" t="s">
        <v>3160</v>
      </c>
      <c r="H11073" t="s">
        <v>3022</v>
      </c>
      <c r="I11073" t="s">
        <v>3182</v>
      </c>
      <c r="J11073" s="70">
        <v>601.05</v>
      </c>
      <c r="K11073" s="71">
        <v>5155.83</v>
      </c>
      <c r="L11073" s="33" t="e">
        <f>HLOOKUP(B11073,#REF!,1,0)</f>
        <v>#REF!</v>
      </c>
      <c r="M11073" s="33" t="str">
        <f t="shared" si="691"/>
        <v>P&amp;L</v>
      </c>
    </row>
    <row r="11074" spans="1:13">
      <c r="A11074" s="33" t="str">
        <f t="shared" ref="A11074:A11137" si="692">B11074&amp;" - "&amp;TRIM(H11074)</f>
        <v>SG2 - Operating Expense</v>
      </c>
      <c r="B11074" s="33" t="str">
        <f t="shared" ref="B11074:B11137" si="693">LEFT(D11074,3)</f>
        <v>SG2</v>
      </c>
      <c r="C11074" s="33" t="str">
        <f t="shared" ref="C11074:C11137" si="694">RIGHT(D11074,10)</f>
        <v>64001-7373</v>
      </c>
      <c r="D11074" t="s">
        <v>12343</v>
      </c>
      <c r="E11074" t="s">
        <v>5031</v>
      </c>
      <c r="F11074" t="s">
        <v>15</v>
      </c>
      <c r="G11074" t="s">
        <v>3044</v>
      </c>
      <c r="H11074" t="s">
        <v>3022</v>
      </c>
      <c r="I11074" t="s">
        <v>5032</v>
      </c>
      <c r="J11074" s="70">
        <v>473.32</v>
      </c>
      <c r="K11074" s="71">
        <v>4620.54</v>
      </c>
      <c r="L11074" s="33" t="e">
        <f>HLOOKUP(B11074,#REF!,1,0)</f>
        <v>#REF!</v>
      </c>
      <c r="M11074" s="33" t="str">
        <f t="shared" ref="M11074:M11137" si="695">IF(VALUE(LEFT(C11074,5))&gt;40000,"P&amp;L","BS")</f>
        <v>P&amp;L</v>
      </c>
    </row>
    <row r="11075" spans="1:13">
      <c r="A11075" s="33" t="str">
        <f t="shared" si="692"/>
        <v>SG2 - Operating Expense</v>
      </c>
      <c r="B11075" s="33" t="str">
        <f t="shared" si="693"/>
        <v>SG2</v>
      </c>
      <c r="C11075" s="33" t="str">
        <f t="shared" si="694"/>
        <v>64001-7382</v>
      </c>
      <c r="D11075" t="s">
        <v>12344</v>
      </c>
      <c r="E11075" t="s">
        <v>5031</v>
      </c>
      <c r="F11075" t="s">
        <v>15</v>
      </c>
      <c r="G11075" t="s">
        <v>3044</v>
      </c>
      <c r="H11075" t="s">
        <v>3022</v>
      </c>
      <c r="I11075" t="s">
        <v>5032</v>
      </c>
      <c r="J11075" s="70">
        <v>473.32</v>
      </c>
      <c r="K11075" s="71">
        <v>4620.52</v>
      </c>
      <c r="L11075" s="33" t="e">
        <f>HLOOKUP(B11075,#REF!,1,0)</f>
        <v>#REF!</v>
      </c>
      <c r="M11075" s="33" t="str">
        <f t="shared" si="695"/>
        <v>P&amp;L</v>
      </c>
    </row>
    <row r="11076" spans="1:13">
      <c r="A11076" s="33" t="str">
        <f t="shared" si="692"/>
        <v>SG2 - Operating Expense</v>
      </c>
      <c r="B11076" s="33" t="str">
        <f t="shared" si="693"/>
        <v>SG2</v>
      </c>
      <c r="C11076" s="33" t="str">
        <f t="shared" si="694"/>
        <v>64501-7373</v>
      </c>
      <c r="D11076" t="s">
        <v>12345</v>
      </c>
      <c r="E11076" t="s">
        <v>3188</v>
      </c>
      <c r="F11076" t="s">
        <v>15</v>
      </c>
      <c r="G11076" t="s">
        <v>3044</v>
      </c>
      <c r="H11076" t="s">
        <v>3022</v>
      </c>
      <c r="I11076" t="s">
        <v>3189</v>
      </c>
      <c r="J11076" s="70">
        <v>2072.79</v>
      </c>
      <c r="K11076" s="71">
        <v>20082.45</v>
      </c>
      <c r="L11076" s="33" t="e">
        <f>HLOOKUP(B11076,#REF!,1,0)</f>
        <v>#REF!</v>
      </c>
      <c r="M11076" s="33" t="str">
        <f t="shared" si="695"/>
        <v>P&amp;L</v>
      </c>
    </row>
    <row r="11077" spans="1:13">
      <c r="A11077" s="33" t="str">
        <f t="shared" si="692"/>
        <v>SG2 - Operating Expense</v>
      </c>
      <c r="B11077" s="33" t="str">
        <f t="shared" si="693"/>
        <v>SG2</v>
      </c>
      <c r="C11077" s="33" t="str">
        <f t="shared" si="694"/>
        <v>64501-7382</v>
      </c>
      <c r="D11077" t="s">
        <v>12346</v>
      </c>
      <c r="E11077" t="s">
        <v>3188</v>
      </c>
      <c r="F11077" t="s">
        <v>15</v>
      </c>
      <c r="G11077" t="s">
        <v>3044</v>
      </c>
      <c r="H11077" t="s">
        <v>3022</v>
      </c>
      <c r="I11077" t="s">
        <v>3189</v>
      </c>
      <c r="J11077" s="70">
        <v>1996.42</v>
      </c>
      <c r="K11077" s="71">
        <v>18685.92</v>
      </c>
      <c r="L11077" s="33" t="e">
        <f>HLOOKUP(B11077,#REF!,1,0)</f>
        <v>#REF!</v>
      </c>
      <c r="M11077" s="33" t="str">
        <f t="shared" si="695"/>
        <v>P&amp;L</v>
      </c>
    </row>
    <row r="11078" spans="1:13">
      <c r="A11078" s="33" t="str">
        <f t="shared" si="692"/>
        <v>SG2 - Operating Expense</v>
      </c>
      <c r="B11078" s="33" t="str">
        <f t="shared" si="693"/>
        <v>SG2</v>
      </c>
      <c r="C11078" s="33" t="str">
        <f t="shared" si="694"/>
        <v>64502-0000</v>
      </c>
      <c r="D11078" t="s">
        <v>12347</v>
      </c>
      <c r="E11078" t="s">
        <v>3195</v>
      </c>
      <c r="F11078" t="s">
        <v>15</v>
      </c>
      <c r="G11078" t="s">
        <v>3044</v>
      </c>
      <c r="H11078" t="s">
        <v>3022</v>
      </c>
      <c r="I11078" t="s">
        <v>3196</v>
      </c>
      <c r="J11078" s="70">
        <v>284.75</v>
      </c>
      <c r="K11078" s="71">
        <v>525.75</v>
      </c>
      <c r="L11078" s="33" t="e">
        <f>HLOOKUP(B11078,#REF!,1,0)</f>
        <v>#REF!</v>
      </c>
      <c r="M11078" s="33" t="str">
        <f t="shared" si="695"/>
        <v>P&amp;L</v>
      </c>
    </row>
    <row r="11079" spans="1:13">
      <c r="A11079" s="33" t="str">
        <f t="shared" si="692"/>
        <v>SG2 - Operating Expense</v>
      </c>
      <c r="B11079" s="33" t="str">
        <f t="shared" si="693"/>
        <v>SG2</v>
      </c>
      <c r="C11079" s="33" t="str">
        <f t="shared" si="694"/>
        <v>64502-7373</v>
      </c>
      <c r="D11079" t="s">
        <v>12348</v>
      </c>
      <c r="E11079" t="s">
        <v>3195</v>
      </c>
      <c r="F11079" t="s">
        <v>15</v>
      </c>
      <c r="G11079" t="s">
        <v>3044</v>
      </c>
      <c r="H11079" t="s">
        <v>3022</v>
      </c>
      <c r="I11079" t="s">
        <v>3196</v>
      </c>
      <c r="J11079" s="70">
        <v>1534.23</v>
      </c>
      <c r="K11079" s="71">
        <v>15020</v>
      </c>
      <c r="L11079" s="33" t="e">
        <f>HLOOKUP(B11079,#REF!,1,0)</f>
        <v>#REF!</v>
      </c>
      <c r="M11079" s="33" t="str">
        <f t="shared" si="695"/>
        <v>P&amp;L</v>
      </c>
    </row>
    <row r="11080" spans="1:13">
      <c r="A11080" s="33" t="str">
        <f t="shared" si="692"/>
        <v>SG2 - Operating Expense</v>
      </c>
      <c r="B11080" s="33" t="str">
        <f t="shared" si="693"/>
        <v>SG2</v>
      </c>
      <c r="C11080" s="33" t="str">
        <f t="shared" si="694"/>
        <v>64502-7382</v>
      </c>
      <c r="D11080" t="s">
        <v>12349</v>
      </c>
      <c r="E11080" t="s">
        <v>3195</v>
      </c>
      <c r="F11080" t="s">
        <v>15</v>
      </c>
      <c r="G11080" t="s">
        <v>3044</v>
      </c>
      <c r="H11080" t="s">
        <v>3022</v>
      </c>
      <c r="I11080" t="s">
        <v>3196</v>
      </c>
      <c r="J11080" s="70">
        <v>1490.36</v>
      </c>
      <c r="K11080" s="71">
        <v>14632.63</v>
      </c>
      <c r="L11080" s="33" t="e">
        <f>HLOOKUP(B11080,#REF!,1,0)</f>
        <v>#REF!</v>
      </c>
      <c r="M11080" s="33" t="str">
        <f t="shared" si="695"/>
        <v>P&amp;L</v>
      </c>
    </row>
    <row r="11081" spans="1:13">
      <c r="A11081" s="33" t="str">
        <f t="shared" si="692"/>
        <v>SG2 - Operating Expense</v>
      </c>
      <c r="B11081" s="33" t="str">
        <f t="shared" si="693"/>
        <v>SG2</v>
      </c>
      <c r="C11081" s="33" t="str">
        <f t="shared" si="694"/>
        <v>64503-7373</v>
      </c>
      <c r="D11081" t="s">
        <v>12350</v>
      </c>
      <c r="E11081" t="s">
        <v>3202</v>
      </c>
      <c r="F11081" t="s">
        <v>15</v>
      </c>
      <c r="G11081" t="s">
        <v>3044</v>
      </c>
      <c r="H11081" t="s">
        <v>3022</v>
      </c>
      <c r="I11081" t="s">
        <v>3189</v>
      </c>
      <c r="J11081" s="70">
        <v>1698.77</v>
      </c>
      <c r="K11081" s="71">
        <v>13043.84</v>
      </c>
      <c r="L11081" s="33" t="e">
        <f>HLOOKUP(B11081,#REF!,1,0)</f>
        <v>#REF!</v>
      </c>
      <c r="M11081" s="33" t="str">
        <f t="shared" si="695"/>
        <v>P&amp;L</v>
      </c>
    </row>
    <row r="11082" spans="1:13">
      <c r="A11082" s="33" t="str">
        <f t="shared" si="692"/>
        <v>SG2 - Operating Expense</v>
      </c>
      <c r="B11082" s="33" t="str">
        <f t="shared" si="693"/>
        <v>SG2</v>
      </c>
      <c r="C11082" s="33" t="str">
        <f t="shared" si="694"/>
        <v>64503-7382</v>
      </c>
      <c r="D11082" t="s">
        <v>12351</v>
      </c>
      <c r="E11082" t="s">
        <v>3202</v>
      </c>
      <c r="F11082" t="s">
        <v>15</v>
      </c>
      <c r="G11082" t="s">
        <v>3044</v>
      </c>
      <c r="H11082" t="s">
        <v>3022</v>
      </c>
      <c r="I11082" t="s">
        <v>3189</v>
      </c>
      <c r="J11082" s="70">
        <v>1726.58</v>
      </c>
      <c r="K11082" s="71">
        <v>13736.18</v>
      </c>
      <c r="L11082" s="33" t="e">
        <f>HLOOKUP(B11082,#REF!,1,0)</f>
        <v>#REF!</v>
      </c>
      <c r="M11082" s="33" t="str">
        <f t="shared" si="695"/>
        <v>P&amp;L</v>
      </c>
    </row>
    <row r="11083" spans="1:13">
      <c r="A11083" s="33" t="str">
        <f t="shared" si="692"/>
        <v>SG2 - Operating Expense</v>
      </c>
      <c r="B11083" s="33" t="str">
        <f t="shared" si="693"/>
        <v>SG2</v>
      </c>
      <c r="C11083" s="33" t="str">
        <f t="shared" si="694"/>
        <v>65002-7373</v>
      </c>
      <c r="D11083" t="s">
        <v>12352</v>
      </c>
      <c r="E11083" t="s">
        <v>3209</v>
      </c>
      <c r="F11083" t="s">
        <v>15</v>
      </c>
      <c r="G11083" t="s">
        <v>3044</v>
      </c>
      <c r="H11083" t="s">
        <v>3022</v>
      </c>
      <c r="I11083" t="s">
        <v>3045</v>
      </c>
      <c r="J11083" s="70">
        <v>195.7</v>
      </c>
      <c r="K11083" s="71">
        <v>1650.96</v>
      </c>
      <c r="L11083" s="33" t="e">
        <f>HLOOKUP(B11083,#REF!,1,0)</f>
        <v>#REF!</v>
      </c>
      <c r="M11083" s="33" t="str">
        <f t="shared" si="695"/>
        <v>P&amp;L</v>
      </c>
    </row>
    <row r="11084" spans="1:13">
      <c r="A11084" s="33" t="str">
        <f t="shared" si="692"/>
        <v>SG2 - Operating Expense</v>
      </c>
      <c r="B11084" s="33" t="str">
        <f t="shared" si="693"/>
        <v>SG2</v>
      </c>
      <c r="C11084" s="33" t="str">
        <f t="shared" si="694"/>
        <v>65002-7382</v>
      </c>
      <c r="D11084" t="s">
        <v>12353</v>
      </c>
      <c r="E11084" t="s">
        <v>3209</v>
      </c>
      <c r="F11084" t="s">
        <v>15</v>
      </c>
      <c r="G11084" t="s">
        <v>3044</v>
      </c>
      <c r="H11084" t="s">
        <v>3022</v>
      </c>
      <c r="I11084" t="s">
        <v>3045</v>
      </c>
      <c r="J11084" s="70">
        <v>195.7</v>
      </c>
      <c r="K11084" s="71">
        <v>1650.96</v>
      </c>
      <c r="L11084" s="33" t="e">
        <f>HLOOKUP(B11084,#REF!,1,0)</f>
        <v>#REF!</v>
      </c>
      <c r="M11084" s="33" t="str">
        <f t="shared" si="695"/>
        <v>P&amp;L</v>
      </c>
    </row>
    <row r="11085" spans="1:13">
      <c r="A11085" s="33" t="str">
        <f t="shared" si="692"/>
        <v>SG2 - Operating Expense</v>
      </c>
      <c r="B11085" s="33" t="str">
        <f t="shared" si="693"/>
        <v>SG2</v>
      </c>
      <c r="C11085" s="33" t="str">
        <f t="shared" si="694"/>
        <v>65501-7373</v>
      </c>
      <c r="D11085" t="s">
        <v>12354</v>
      </c>
      <c r="E11085" t="s">
        <v>3214</v>
      </c>
      <c r="F11085" t="s">
        <v>15</v>
      </c>
      <c r="G11085" t="s">
        <v>3044</v>
      </c>
      <c r="H11085" t="s">
        <v>3022</v>
      </c>
      <c r="I11085" t="s">
        <v>3215</v>
      </c>
      <c r="J11085" s="70">
        <v>1742.06</v>
      </c>
      <c r="K11085" s="71">
        <v>14794.28</v>
      </c>
      <c r="L11085" s="33" t="e">
        <f>HLOOKUP(B11085,#REF!,1,0)</f>
        <v>#REF!</v>
      </c>
      <c r="M11085" s="33" t="str">
        <f t="shared" si="695"/>
        <v>P&amp;L</v>
      </c>
    </row>
    <row r="11086" spans="1:13">
      <c r="A11086" s="33" t="str">
        <f t="shared" si="692"/>
        <v>SG2 - Operating Expense</v>
      </c>
      <c r="B11086" s="33" t="str">
        <f t="shared" si="693"/>
        <v>SG2</v>
      </c>
      <c r="C11086" s="33" t="str">
        <f t="shared" si="694"/>
        <v>65501-7382</v>
      </c>
      <c r="D11086" t="s">
        <v>12355</v>
      </c>
      <c r="E11086" t="s">
        <v>3214</v>
      </c>
      <c r="F11086" t="s">
        <v>15</v>
      </c>
      <c r="G11086" t="s">
        <v>3044</v>
      </c>
      <c r="H11086" t="s">
        <v>3022</v>
      </c>
      <c r="I11086" t="s">
        <v>3215</v>
      </c>
      <c r="J11086" s="70">
        <v>402.86</v>
      </c>
      <c r="K11086" s="71">
        <v>4331.9</v>
      </c>
      <c r="L11086" s="33" t="e">
        <f>HLOOKUP(B11086,#REF!,1,0)</f>
        <v>#REF!</v>
      </c>
      <c r="M11086" s="33" t="str">
        <f t="shared" si="695"/>
        <v>P&amp;L</v>
      </c>
    </row>
    <row r="11087" spans="1:13">
      <c r="A11087" s="33" t="str">
        <f t="shared" si="692"/>
        <v>SG2 - Operating Expense</v>
      </c>
      <c r="B11087" s="33" t="str">
        <f t="shared" si="693"/>
        <v>SG2</v>
      </c>
      <c r="C11087" s="33" t="str">
        <f t="shared" si="694"/>
        <v>66001-7373</v>
      </c>
      <c r="D11087" t="s">
        <v>12356</v>
      </c>
      <c r="E11087" t="s">
        <v>3220</v>
      </c>
      <c r="F11087" t="s">
        <v>15</v>
      </c>
      <c r="G11087" t="s">
        <v>3044</v>
      </c>
      <c r="H11087" t="s">
        <v>3022</v>
      </c>
      <c r="I11087" t="s">
        <v>3221</v>
      </c>
      <c r="J11087" s="70">
        <v>0</v>
      </c>
      <c r="K11087" s="71">
        <v>170</v>
      </c>
      <c r="L11087" s="33" t="e">
        <f>HLOOKUP(B11087,#REF!,1,0)</f>
        <v>#REF!</v>
      </c>
      <c r="M11087" s="33" t="str">
        <f t="shared" si="695"/>
        <v>P&amp;L</v>
      </c>
    </row>
    <row r="11088" spans="1:13">
      <c r="A11088" s="33" t="str">
        <f t="shared" si="692"/>
        <v>SG2 - Operating Expense</v>
      </c>
      <c r="B11088" s="33" t="str">
        <f t="shared" si="693"/>
        <v>SG2</v>
      </c>
      <c r="C11088" s="33" t="str">
        <f t="shared" si="694"/>
        <v>66001-7382</v>
      </c>
      <c r="D11088" t="s">
        <v>12357</v>
      </c>
      <c r="E11088" t="s">
        <v>3220</v>
      </c>
      <c r="F11088" t="s">
        <v>15</v>
      </c>
      <c r="G11088" t="s">
        <v>3044</v>
      </c>
      <c r="H11088" t="s">
        <v>3022</v>
      </c>
      <c r="I11088" t="s">
        <v>3221</v>
      </c>
      <c r="J11088" s="70">
        <v>17.5</v>
      </c>
      <c r="K11088" s="71">
        <v>339.29</v>
      </c>
      <c r="L11088" s="33" t="e">
        <f>HLOOKUP(B11088,#REF!,1,0)</f>
        <v>#REF!</v>
      </c>
      <c r="M11088" s="33" t="str">
        <f t="shared" si="695"/>
        <v>P&amp;L</v>
      </c>
    </row>
    <row r="11089" spans="1:13">
      <c r="A11089" s="33" t="str">
        <f t="shared" si="692"/>
        <v>SG2 - Operating Expense</v>
      </c>
      <c r="B11089" s="33" t="str">
        <f t="shared" si="693"/>
        <v>SG2</v>
      </c>
      <c r="C11089" s="33" t="str">
        <f t="shared" si="694"/>
        <v>66501-7373</v>
      </c>
      <c r="D11089" t="s">
        <v>12358</v>
      </c>
      <c r="E11089" t="s">
        <v>3231</v>
      </c>
      <c r="F11089" t="s">
        <v>15</v>
      </c>
      <c r="G11089" t="s">
        <v>2889</v>
      </c>
      <c r="H11089" t="s">
        <v>3022</v>
      </c>
      <c r="I11089" t="s">
        <v>2915</v>
      </c>
      <c r="J11089" s="70">
        <v>334.27</v>
      </c>
      <c r="K11089" s="71">
        <v>3272.81</v>
      </c>
      <c r="L11089" s="33" t="e">
        <f>HLOOKUP(B11089,#REF!,1,0)</f>
        <v>#REF!</v>
      </c>
      <c r="M11089" s="33" t="str">
        <f t="shared" si="695"/>
        <v>P&amp;L</v>
      </c>
    </row>
    <row r="11090" spans="1:13">
      <c r="A11090" s="33" t="str">
        <f t="shared" si="692"/>
        <v>SG2 - Operating Expense</v>
      </c>
      <c r="B11090" s="33" t="str">
        <f t="shared" si="693"/>
        <v>SG2</v>
      </c>
      <c r="C11090" s="33" t="str">
        <f t="shared" si="694"/>
        <v>66501-7382</v>
      </c>
      <c r="D11090" t="s">
        <v>12359</v>
      </c>
      <c r="E11090" t="s">
        <v>3231</v>
      </c>
      <c r="F11090" t="s">
        <v>15</v>
      </c>
      <c r="G11090" t="s">
        <v>2889</v>
      </c>
      <c r="H11090" t="s">
        <v>3022</v>
      </c>
      <c r="I11090" t="s">
        <v>2915</v>
      </c>
      <c r="J11090" s="70">
        <v>179.6</v>
      </c>
      <c r="K11090" s="71">
        <v>2247.36</v>
      </c>
      <c r="L11090" s="33" t="e">
        <f>HLOOKUP(B11090,#REF!,1,0)</f>
        <v>#REF!</v>
      </c>
      <c r="M11090" s="33" t="str">
        <f t="shared" si="695"/>
        <v>P&amp;L</v>
      </c>
    </row>
    <row r="11091" spans="1:13">
      <c r="A11091" s="33" t="str">
        <f t="shared" si="692"/>
        <v>SG2 - Operating Expense</v>
      </c>
      <c r="B11091" s="33" t="str">
        <f t="shared" si="693"/>
        <v>SG2</v>
      </c>
      <c r="C11091" s="33" t="str">
        <f t="shared" si="694"/>
        <v>66701-7373</v>
      </c>
      <c r="D11091" t="s">
        <v>12360</v>
      </c>
      <c r="E11091" t="s">
        <v>3236</v>
      </c>
      <c r="F11091" t="s">
        <v>15</v>
      </c>
      <c r="G11091" t="s">
        <v>3017</v>
      </c>
      <c r="H11091" t="s">
        <v>3022</v>
      </c>
      <c r="I11091" t="s">
        <v>3237</v>
      </c>
      <c r="J11091" s="70">
        <v>14</v>
      </c>
      <c r="K11091" s="71">
        <v>140</v>
      </c>
      <c r="L11091" s="33" t="e">
        <f>HLOOKUP(B11091,#REF!,1,0)</f>
        <v>#REF!</v>
      </c>
      <c r="M11091" s="33" t="str">
        <f t="shared" si="695"/>
        <v>P&amp;L</v>
      </c>
    </row>
    <row r="11092" spans="1:13">
      <c r="A11092" s="33" t="str">
        <f t="shared" si="692"/>
        <v>SG2 - Operating Expense</v>
      </c>
      <c r="B11092" s="33" t="str">
        <f t="shared" si="693"/>
        <v>SG2</v>
      </c>
      <c r="C11092" s="33" t="str">
        <f t="shared" si="694"/>
        <v>66701-7382</v>
      </c>
      <c r="D11092" t="s">
        <v>12361</v>
      </c>
      <c r="E11092" t="s">
        <v>3236</v>
      </c>
      <c r="F11092" t="s">
        <v>15</v>
      </c>
      <c r="G11092" t="s">
        <v>3017</v>
      </c>
      <c r="H11092" t="s">
        <v>3022</v>
      </c>
      <c r="I11092" t="s">
        <v>3237</v>
      </c>
      <c r="J11092" s="70">
        <v>14</v>
      </c>
      <c r="K11092" s="71">
        <v>140</v>
      </c>
      <c r="L11092" s="33" t="e">
        <f>HLOOKUP(B11092,#REF!,1,0)</f>
        <v>#REF!</v>
      </c>
      <c r="M11092" s="33" t="str">
        <f t="shared" si="695"/>
        <v>P&amp;L</v>
      </c>
    </row>
    <row r="11093" spans="1:13">
      <c r="A11093" s="33" t="str">
        <f t="shared" si="692"/>
        <v>SG2 - Operating Expense</v>
      </c>
      <c r="B11093" s="33" t="str">
        <f t="shared" si="693"/>
        <v>SG2</v>
      </c>
      <c r="C11093" s="33" t="str">
        <f t="shared" si="694"/>
        <v>67001-7373</v>
      </c>
      <c r="D11093" t="s">
        <v>12362</v>
      </c>
      <c r="E11093" t="s">
        <v>3242</v>
      </c>
      <c r="F11093" t="s">
        <v>15</v>
      </c>
      <c r="G11093" t="s">
        <v>3044</v>
      </c>
      <c r="H11093" t="s">
        <v>3022</v>
      </c>
      <c r="I11093" t="s">
        <v>3243</v>
      </c>
      <c r="J11093" s="70">
        <v>5727.8</v>
      </c>
      <c r="K11093" s="71">
        <v>49008.79</v>
      </c>
      <c r="L11093" s="33" t="e">
        <f>HLOOKUP(B11093,#REF!,1,0)</f>
        <v>#REF!</v>
      </c>
      <c r="M11093" s="33" t="str">
        <f t="shared" si="695"/>
        <v>P&amp;L</v>
      </c>
    </row>
    <row r="11094" spans="1:13">
      <c r="A11094" s="33" t="str">
        <f t="shared" si="692"/>
        <v>SG2 - Operating Expense</v>
      </c>
      <c r="B11094" s="33" t="str">
        <f t="shared" si="693"/>
        <v>SG2</v>
      </c>
      <c r="C11094" s="33" t="str">
        <f t="shared" si="694"/>
        <v>67001-7382</v>
      </c>
      <c r="D11094" t="s">
        <v>12363</v>
      </c>
      <c r="E11094" t="s">
        <v>3242</v>
      </c>
      <c r="F11094" t="s">
        <v>15</v>
      </c>
      <c r="G11094" t="s">
        <v>3044</v>
      </c>
      <c r="H11094" t="s">
        <v>3022</v>
      </c>
      <c r="I11094" t="s">
        <v>3243</v>
      </c>
      <c r="J11094" s="70">
        <v>5878.55</v>
      </c>
      <c r="K11094" s="71">
        <v>49420.89</v>
      </c>
      <c r="L11094" s="33" t="e">
        <f>HLOOKUP(B11094,#REF!,1,0)</f>
        <v>#REF!</v>
      </c>
      <c r="M11094" s="33" t="str">
        <f t="shared" si="695"/>
        <v>P&amp;L</v>
      </c>
    </row>
    <row r="11095" spans="1:13">
      <c r="A11095" s="33" t="str">
        <f t="shared" si="692"/>
        <v>SG2 - Operating Expense</v>
      </c>
      <c r="B11095" s="33" t="str">
        <f t="shared" si="693"/>
        <v>SG2</v>
      </c>
      <c r="C11095" s="33" t="str">
        <f t="shared" si="694"/>
        <v>67501-7373</v>
      </c>
      <c r="D11095" t="s">
        <v>12364</v>
      </c>
      <c r="E11095" t="s">
        <v>3248</v>
      </c>
      <c r="F11095" t="s">
        <v>15</v>
      </c>
      <c r="G11095" t="s">
        <v>3044</v>
      </c>
      <c r="H11095" t="s">
        <v>3022</v>
      </c>
      <c r="I11095" t="s">
        <v>3249</v>
      </c>
      <c r="J11095" s="70">
        <v>8591.68</v>
      </c>
      <c r="K11095" s="71">
        <v>73513.18</v>
      </c>
      <c r="L11095" s="33" t="e">
        <f>HLOOKUP(B11095,#REF!,1,0)</f>
        <v>#REF!</v>
      </c>
      <c r="M11095" s="33" t="str">
        <f t="shared" si="695"/>
        <v>P&amp;L</v>
      </c>
    </row>
    <row r="11096" spans="1:13">
      <c r="A11096" s="33" t="str">
        <f t="shared" si="692"/>
        <v>SG2 - Operating Expense</v>
      </c>
      <c r="B11096" s="33" t="str">
        <f t="shared" si="693"/>
        <v>SG2</v>
      </c>
      <c r="C11096" s="33" t="str">
        <f t="shared" si="694"/>
        <v>67501-7382</v>
      </c>
      <c r="D11096" t="s">
        <v>12365</v>
      </c>
      <c r="E11096" t="s">
        <v>3248</v>
      </c>
      <c r="F11096" t="s">
        <v>15</v>
      </c>
      <c r="G11096" t="s">
        <v>3044</v>
      </c>
      <c r="H11096" t="s">
        <v>3022</v>
      </c>
      <c r="I11096" t="s">
        <v>3249</v>
      </c>
      <c r="J11096" s="70">
        <v>8817.83</v>
      </c>
      <c r="K11096" s="71">
        <v>74131.3</v>
      </c>
      <c r="L11096" s="33" t="e">
        <f>HLOOKUP(B11096,#REF!,1,0)</f>
        <v>#REF!</v>
      </c>
      <c r="M11096" s="33" t="str">
        <f t="shared" si="695"/>
        <v>P&amp;L</v>
      </c>
    </row>
    <row r="11097" spans="1:13">
      <c r="A11097" s="33" t="str">
        <f t="shared" si="692"/>
        <v>SG2 - Operating Expense</v>
      </c>
      <c r="B11097" s="33" t="str">
        <f t="shared" si="693"/>
        <v>SG2</v>
      </c>
      <c r="C11097" s="33" t="str">
        <f t="shared" si="694"/>
        <v>68000-7373</v>
      </c>
      <c r="D11097" t="s">
        <v>12366</v>
      </c>
      <c r="E11097" t="s">
        <v>3254</v>
      </c>
      <c r="F11097" t="s">
        <v>15</v>
      </c>
      <c r="G11097" t="s">
        <v>3044</v>
      </c>
      <c r="H11097" t="s">
        <v>3022</v>
      </c>
      <c r="I11097" t="s">
        <v>3255</v>
      </c>
      <c r="J11097" s="70">
        <v>298.61</v>
      </c>
      <c r="K11097" s="71">
        <v>1328.97</v>
      </c>
      <c r="L11097" s="33" t="e">
        <f>HLOOKUP(B11097,#REF!,1,0)</f>
        <v>#REF!</v>
      </c>
      <c r="M11097" s="33" t="str">
        <f t="shared" si="695"/>
        <v>P&amp;L</v>
      </c>
    </row>
    <row r="11098" spans="1:13">
      <c r="A11098" s="33" t="str">
        <f t="shared" si="692"/>
        <v>SG2 - Operating Expense</v>
      </c>
      <c r="B11098" s="33" t="str">
        <f t="shared" si="693"/>
        <v>SG2</v>
      </c>
      <c r="C11098" s="33" t="str">
        <f t="shared" si="694"/>
        <v>68000-7382</v>
      </c>
      <c r="D11098" t="s">
        <v>12367</v>
      </c>
      <c r="E11098" t="s">
        <v>3254</v>
      </c>
      <c r="F11098" t="s">
        <v>15</v>
      </c>
      <c r="G11098" t="s">
        <v>3044</v>
      </c>
      <c r="H11098" t="s">
        <v>3022</v>
      </c>
      <c r="I11098" t="s">
        <v>3255</v>
      </c>
      <c r="J11098" s="70">
        <v>298.61</v>
      </c>
      <c r="K11098" s="71">
        <v>1333.36</v>
      </c>
      <c r="L11098" s="33" t="e">
        <f>HLOOKUP(B11098,#REF!,1,0)</f>
        <v>#REF!</v>
      </c>
      <c r="M11098" s="33" t="str">
        <f t="shared" si="695"/>
        <v>P&amp;L</v>
      </c>
    </row>
    <row r="11099" spans="1:13">
      <c r="A11099" s="33" t="str">
        <f t="shared" si="692"/>
        <v>SG2 - Operating Expense</v>
      </c>
      <c r="B11099" s="33" t="str">
        <f t="shared" si="693"/>
        <v>SG2</v>
      </c>
      <c r="C11099" s="33" t="str">
        <f t="shared" si="694"/>
        <v>68001-7373</v>
      </c>
      <c r="D11099" t="s">
        <v>12368</v>
      </c>
      <c r="E11099" t="s">
        <v>3260</v>
      </c>
      <c r="F11099" t="s">
        <v>15</v>
      </c>
      <c r="G11099" t="s">
        <v>3044</v>
      </c>
      <c r="H11099" t="s">
        <v>3022</v>
      </c>
      <c r="I11099" t="s">
        <v>3255</v>
      </c>
      <c r="J11099" s="70">
        <v>151</v>
      </c>
      <c r="K11099" s="71">
        <v>1054.6</v>
      </c>
      <c r="L11099" s="33" t="e">
        <f>HLOOKUP(B11099,#REF!,1,0)</f>
        <v>#REF!</v>
      </c>
      <c r="M11099" s="33" t="str">
        <f t="shared" si="695"/>
        <v>P&amp;L</v>
      </c>
    </row>
    <row r="11100" spans="1:13">
      <c r="A11100" s="33" t="str">
        <f t="shared" si="692"/>
        <v>SG2 - Operating Expense</v>
      </c>
      <c r="B11100" s="33" t="str">
        <f t="shared" si="693"/>
        <v>SG2</v>
      </c>
      <c r="C11100" s="33" t="str">
        <f t="shared" si="694"/>
        <v>68001-7382</v>
      </c>
      <c r="D11100" t="s">
        <v>12369</v>
      </c>
      <c r="E11100" t="s">
        <v>3260</v>
      </c>
      <c r="F11100" t="s">
        <v>15</v>
      </c>
      <c r="G11100" t="s">
        <v>3044</v>
      </c>
      <c r="H11100" t="s">
        <v>3022</v>
      </c>
      <c r="I11100" t="s">
        <v>3255</v>
      </c>
      <c r="J11100" s="70">
        <v>151</v>
      </c>
      <c r="K11100" s="71">
        <v>1026.46</v>
      </c>
      <c r="L11100" s="33" t="e">
        <f>HLOOKUP(B11100,#REF!,1,0)</f>
        <v>#REF!</v>
      </c>
      <c r="M11100" s="33" t="str">
        <f t="shared" si="695"/>
        <v>P&amp;L</v>
      </c>
    </row>
    <row r="11101" spans="1:13">
      <c r="A11101" s="33" t="str">
        <f t="shared" si="692"/>
        <v>SG2 - Facility</v>
      </c>
      <c r="B11101" s="33" t="str">
        <f t="shared" si="693"/>
        <v>SG2</v>
      </c>
      <c r="C11101" s="33" t="str">
        <f t="shared" si="694"/>
        <v>70001-7373</v>
      </c>
      <c r="D11101" t="s">
        <v>12370</v>
      </c>
      <c r="E11101" t="s">
        <v>3265</v>
      </c>
      <c r="F11101" t="s">
        <v>15</v>
      </c>
      <c r="G11101" t="s">
        <v>3266</v>
      </c>
      <c r="H11101" t="s">
        <v>3267</v>
      </c>
      <c r="I11101" t="s">
        <v>3268</v>
      </c>
      <c r="J11101" s="70">
        <v>2612.5</v>
      </c>
      <c r="K11101" s="71">
        <v>23512.5</v>
      </c>
      <c r="L11101" s="33" t="e">
        <f>HLOOKUP(B11101,#REF!,1,0)</f>
        <v>#REF!</v>
      </c>
      <c r="M11101" s="33" t="str">
        <f t="shared" si="695"/>
        <v>P&amp;L</v>
      </c>
    </row>
    <row r="11102" spans="1:13">
      <c r="A11102" s="33" t="str">
        <f t="shared" si="692"/>
        <v>SG2 - Facility</v>
      </c>
      <c r="B11102" s="33" t="str">
        <f t="shared" si="693"/>
        <v>SG2</v>
      </c>
      <c r="C11102" s="33" t="str">
        <f t="shared" si="694"/>
        <v>70001-7382</v>
      </c>
      <c r="D11102" t="s">
        <v>12371</v>
      </c>
      <c r="E11102" t="s">
        <v>3265</v>
      </c>
      <c r="F11102" t="s">
        <v>15</v>
      </c>
      <c r="G11102" t="s">
        <v>3266</v>
      </c>
      <c r="H11102" t="s">
        <v>3267</v>
      </c>
      <c r="I11102" t="s">
        <v>3268</v>
      </c>
      <c r="J11102" s="70">
        <v>12100</v>
      </c>
      <c r="K11102" s="71">
        <v>108900</v>
      </c>
      <c r="L11102" s="33" t="e">
        <f>HLOOKUP(B11102,#REF!,1,0)</f>
        <v>#REF!</v>
      </c>
      <c r="M11102" s="33" t="str">
        <f t="shared" si="695"/>
        <v>P&amp;L</v>
      </c>
    </row>
    <row r="11103" spans="1:13">
      <c r="A11103" s="33" t="str">
        <f t="shared" si="692"/>
        <v>SG2 - Facility</v>
      </c>
      <c r="B11103" s="33" t="str">
        <f t="shared" si="693"/>
        <v>SG2</v>
      </c>
      <c r="C11103" s="33" t="str">
        <f t="shared" si="694"/>
        <v>70010-7373</v>
      </c>
      <c r="D11103" t="s">
        <v>12372</v>
      </c>
      <c r="E11103" t="s">
        <v>6800</v>
      </c>
      <c r="F11103" t="s">
        <v>15</v>
      </c>
      <c r="G11103" t="s">
        <v>3266</v>
      </c>
      <c r="H11103" t="s">
        <v>3267</v>
      </c>
      <c r="I11103" t="s">
        <v>6801</v>
      </c>
      <c r="J11103" s="70">
        <v>0</v>
      </c>
      <c r="K11103" s="71">
        <v>51879.83</v>
      </c>
      <c r="L11103" s="33" t="e">
        <f>HLOOKUP(B11103,#REF!,1,0)</f>
        <v>#REF!</v>
      </c>
      <c r="M11103" s="33" t="str">
        <f t="shared" si="695"/>
        <v>P&amp;L</v>
      </c>
    </row>
    <row r="11104" spans="1:13">
      <c r="A11104" s="33" t="str">
        <f t="shared" si="692"/>
        <v>SG2 - Facility</v>
      </c>
      <c r="B11104" s="33" t="str">
        <f t="shared" si="693"/>
        <v>SG2</v>
      </c>
      <c r="C11104" s="33" t="str">
        <f t="shared" si="694"/>
        <v>71001-7373</v>
      </c>
      <c r="D11104" t="s">
        <v>12373</v>
      </c>
      <c r="E11104" t="s">
        <v>3274</v>
      </c>
      <c r="F11104" t="s">
        <v>15</v>
      </c>
      <c r="G11104" t="s">
        <v>3266</v>
      </c>
      <c r="H11104" t="s">
        <v>3267</v>
      </c>
      <c r="I11104" t="s">
        <v>3275</v>
      </c>
      <c r="J11104" s="70">
        <v>0</v>
      </c>
      <c r="K11104" s="71">
        <v>4978.5</v>
      </c>
      <c r="L11104" s="33" t="e">
        <f>HLOOKUP(B11104,#REF!,1,0)</f>
        <v>#REF!</v>
      </c>
      <c r="M11104" s="33" t="str">
        <f t="shared" si="695"/>
        <v>P&amp;L</v>
      </c>
    </row>
    <row r="11105" spans="1:13">
      <c r="A11105" s="33" t="str">
        <f t="shared" si="692"/>
        <v>SG2 - Facility</v>
      </c>
      <c r="B11105" s="33" t="str">
        <f t="shared" si="693"/>
        <v>SG2</v>
      </c>
      <c r="C11105" s="33" t="str">
        <f t="shared" si="694"/>
        <v>71001-7382</v>
      </c>
      <c r="D11105" t="s">
        <v>12374</v>
      </c>
      <c r="E11105" t="s">
        <v>3274</v>
      </c>
      <c r="F11105" t="s">
        <v>15</v>
      </c>
      <c r="G11105" t="s">
        <v>3266</v>
      </c>
      <c r="H11105" t="s">
        <v>3267</v>
      </c>
      <c r="I11105" t="s">
        <v>3275</v>
      </c>
      <c r="J11105" s="70">
        <v>0</v>
      </c>
      <c r="K11105" s="71">
        <v>13198</v>
      </c>
      <c r="L11105" s="33" t="e">
        <f>HLOOKUP(B11105,#REF!,1,0)</f>
        <v>#REF!</v>
      </c>
      <c r="M11105" s="33" t="str">
        <f t="shared" si="695"/>
        <v>P&amp;L</v>
      </c>
    </row>
    <row r="11106" spans="1:13">
      <c r="A11106" s="33" t="str">
        <f t="shared" si="692"/>
        <v>SG2 - Facility</v>
      </c>
      <c r="B11106" s="33" t="str">
        <f t="shared" si="693"/>
        <v>SG2</v>
      </c>
      <c r="C11106" s="33" t="str">
        <f t="shared" si="694"/>
        <v>72001-7373</v>
      </c>
      <c r="D11106" t="s">
        <v>12375</v>
      </c>
      <c r="E11106" t="s">
        <v>3279</v>
      </c>
      <c r="F11106" t="s">
        <v>15</v>
      </c>
      <c r="G11106" t="s">
        <v>3266</v>
      </c>
      <c r="H11106" t="s">
        <v>3267</v>
      </c>
      <c r="I11106" t="s">
        <v>3280</v>
      </c>
      <c r="J11106" s="70">
        <v>2366</v>
      </c>
      <c r="K11106" s="71">
        <v>22072.54</v>
      </c>
      <c r="L11106" s="33" t="e">
        <f>HLOOKUP(B11106,#REF!,1,0)</f>
        <v>#REF!</v>
      </c>
      <c r="M11106" s="33" t="str">
        <f t="shared" si="695"/>
        <v>P&amp;L</v>
      </c>
    </row>
    <row r="11107" spans="1:13">
      <c r="A11107" s="33" t="str">
        <f t="shared" si="692"/>
        <v>SG2 - Facility</v>
      </c>
      <c r="B11107" s="33" t="str">
        <f t="shared" si="693"/>
        <v>SG2</v>
      </c>
      <c r="C11107" s="33" t="str">
        <f t="shared" si="694"/>
        <v>72001-7382</v>
      </c>
      <c r="D11107" t="s">
        <v>12376</v>
      </c>
      <c r="E11107" t="s">
        <v>3279</v>
      </c>
      <c r="F11107" t="s">
        <v>15</v>
      </c>
      <c r="G11107" t="s">
        <v>3266</v>
      </c>
      <c r="H11107" t="s">
        <v>3267</v>
      </c>
      <c r="I11107" t="s">
        <v>3280</v>
      </c>
      <c r="J11107" s="70">
        <v>1098</v>
      </c>
      <c r="K11107" s="71">
        <v>10664.88</v>
      </c>
      <c r="L11107" s="33" t="e">
        <f>HLOOKUP(B11107,#REF!,1,0)</f>
        <v>#REF!</v>
      </c>
      <c r="M11107" s="33" t="str">
        <f t="shared" si="695"/>
        <v>P&amp;L</v>
      </c>
    </row>
    <row r="11108" spans="1:13">
      <c r="A11108" s="33" t="str">
        <f t="shared" si="692"/>
        <v>SG2 - Facility</v>
      </c>
      <c r="B11108" s="33" t="str">
        <f t="shared" si="693"/>
        <v>SG2</v>
      </c>
      <c r="C11108" s="33" t="str">
        <f t="shared" si="694"/>
        <v>74001-0000</v>
      </c>
      <c r="D11108" t="s">
        <v>12377</v>
      </c>
      <c r="E11108" t="s">
        <v>3288</v>
      </c>
      <c r="F11108" t="s">
        <v>15</v>
      </c>
      <c r="G11108" t="s">
        <v>3266</v>
      </c>
      <c r="H11108" t="s">
        <v>3267</v>
      </c>
      <c r="I11108" t="s">
        <v>3286</v>
      </c>
      <c r="J11108" s="70">
        <v>412.2</v>
      </c>
      <c r="K11108" s="71">
        <v>412.2</v>
      </c>
      <c r="L11108" s="33" t="e">
        <f>HLOOKUP(B11108,#REF!,1,0)</f>
        <v>#REF!</v>
      </c>
      <c r="M11108" s="33" t="str">
        <f t="shared" si="695"/>
        <v>P&amp;L</v>
      </c>
    </row>
    <row r="11109" spans="1:13">
      <c r="A11109" s="33" t="str">
        <f t="shared" si="692"/>
        <v>SG2 - Facility</v>
      </c>
      <c r="B11109" s="33" t="str">
        <f t="shared" si="693"/>
        <v>SG2</v>
      </c>
      <c r="C11109" s="33" t="str">
        <f t="shared" si="694"/>
        <v>74001-7373</v>
      </c>
      <c r="D11109" t="s">
        <v>12378</v>
      </c>
      <c r="E11109" t="s">
        <v>3288</v>
      </c>
      <c r="F11109" t="s">
        <v>15</v>
      </c>
      <c r="G11109" t="s">
        <v>3266</v>
      </c>
      <c r="H11109" t="s">
        <v>3267</v>
      </c>
      <c r="I11109" t="s">
        <v>3286</v>
      </c>
      <c r="J11109" s="70">
        <v>439.62</v>
      </c>
      <c r="K11109" s="71">
        <v>4243.05</v>
      </c>
      <c r="L11109" s="33" t="e">
        <f>HLOOKUP(B11109,#REF!,1,0)</f>
        <v>#REF!</v>
      </c>
      <c r="M11109" s="33" t="str">
        <f t="shared" si="695"/>
        <v>P&amp;L</v>
      </c>
    </row>
    <row r="11110" spans="1:13">
      <c r="A11110" s="33" t="str">
        <f t="shared" si="692"/>
        <v>SG2 - Facility</v>
      </c>
      <c r="B11110" s="33" t="str">
        <f t="shared" si="693"/>
        <v>SG2</v>
      </c>
      <c r="C11110" s="33" t="str">
        <f t="shared" si="694"/>
        <v>74001-7382</v>
      </c>
      <c r="D11110" t="s">
        <v>12379</v>
      </c>
      <c r="E11110" t="s">
        <v>3288</v>
      </c>
      <c r="F11110" t="s">
        <v>15</v>
      </c>
      <c r="G11110" t="s">
        <v>3266</v>
      </c>
      <c r="H11110" t="s">
        <v>3267</v>
      </c>
      <c r="I11110" t="s">
        <v>3286</v>
      </c>
      <c r="J11110" s="70">
        <v>439.74</v>
      </c>
      <c r="K11110" s="71">
        <v>4243.24</v>
      </c>
      <c r="L11110" s="33" t="e">
        <f>HLOOKUP(B11110,#REF!,1,0)</f>
        <v>#REF!</v>
      </c>
      <c r="M11110" s="33" t="str">
        <f t="shared" si="695"/>
        <v>P&amp;L</v>
      </c>
    </row>
    <row r="11111" spans="1:13">
      <c r="A11111" s="33" t="str">
        <f t="shared" si="692"/>
        <v>SG2 - Facility</v>
      </c>
      <c r="B11111" s="33" t="str">
        <f t="shared" si="693"/>
        <v>SG2</v>
      </c>
      <c r="C11111" s="33" t="str">
        <f t="shared" si="694"/>
        <v>75001-7373</v>
      </c>
      <c r="D11111" t="s">
        <v>12380</v>
      </c>
      <c r="E11111" t="s">
        <v>3293</v>
      </c>
      <c r="F11111" t="s">
        <v>15</v>
      </c>
      <c r="G11111" t="s">
        <v>3266</v>
      </c>
      <c r="H11111" t="s">
        <v>3267</v>
      </c>
      <c r="I11111" t="s">
        <v>3294</v>
      </c>
      <c r="J11111" s="70">
        <v>295.45</v>
      </c>
      <c r="K11111" s="71">
        <v>1544.16</v>
      </c>
      <c r="L11111" s="33" t="e">
        <f>HLOOKUP(B11111,#REF!,1,0)</f>
        <v>#REF!</v>
      </c>
      <c r="M11111" s="33" t="str">
        <f t="shared" si="695"/>
        <v>P&amp;L</v>
      </c>
    </row>
    <row r="11112" spans="1:13">
      <c r="A11112" s="33" t="str">
        <f t="shared" si="692"/>
        <v>SG2 - Facility</v>
      </c>
      <c r="B11112" s="33" t="str">
        <f t="shared" si="693"/>
        <v>SG2</v>
      </c>
      <c r="C11112" s="33" t="str">
        <f t="shared" si="694"/>
        <v>75001-7382</v>
      </c>
      <c r="D11112" t="s">
        <v>12381</v>
      </c>
      <c r="E11112" t="s">
        <v>3293</v>
      </c>
      <c r="F11112" t="s">
        <v>15</v>
      </c>
      <c r="G11112" t="s">
        <v>3266</v>
      </c>
      <c r="H11112" t="s">
        <v>3267</v>
      </c>
      <c r="I11112" t="s">
        <v>3294</v>
      </c>
      <c r="J11112" s="70">
        <v>241.95</v>
      </c>
      <c r="K11112" s="71">
        <v>1231.39</v>
      </c>
      <c r="L11112" s="33" t="e">
        <f>HLOOKUP(B11112,#REF!,1,0)</f>
        <v>#REF!</v>
      </c>
      <c r="M11112" s="33" t="str">
        <f t="shared" si="695"/>
        <v>P&amp;L</v>
      </c>
    </row>
    <row r="11113" spans="1:13">
      <c r="A11113" s="33" t="str">
        <f t="shared" si="692"/>
        <v>SG2 - Other Income/Expense</v>
      </c>
      <c r="B11113" s="33" t="str">
        <f t="shared" si="693"/>
        <v>SG2</v>
      </c>
      <c r="C11113" s="33" t="str">
        <f t="shared" si="694"/>
        <v>80001-7373</v>
      </c>
      <c r="D11113" t="s">
        <v>12382</v>
      </c>
      <c r="E11113" t="s">
        <v>3299</v>
      </c>
      <c r="F11113" t="s">
        <v>15</v>
      </c>
      <c r="G11113" t="s">
        <v>3021</v>
      </c>
      <c r="H11113" t="s">
        <v>3300</v>
      </c>
      <c r="I11113" t="s">
        <v>3023</v>
      </c>
      <c r="J11113" s="70">
        <v>0</v>
      </c>
      <c r="K11113" s="71">
        <v>152.23</v>
      </c>
      <c r="L11113" s="33" t="e">
        <f>HLOOKUP(B11113,#REF!,1,0)</f>
        <v>#REF!</v>
      </c>
      <c r="M11113" s="33" t="str">
        <f t="shared" si="695"/>
        <v>P&amp;L</v>
      </c>
    </row>
    <row r="11114" spans="1:13">
      <c r="A11114" s="33" t="str">
        <f t="shared" si="692"/>
        <v>SG2 - Other Income/Expense</v>
      </c>
      <c r="B11114" s="33" t="str">
        <f t="shared" si="693"/>
        <v>SG2</v>
      </c>
      <c r="C11114" s="33" t="str">
        <f t="shared" si="694"/>
        <v>80001-7382</v>
      </c>
      <c r="D11114" t="s">
        <v>12383</v>
      </c>
      <c r="E11114" t="s">
        <v>3299</v>
      </c>
      <c r="F11114" t="s">
        <v>15</v>
      </c>
      <c r="G11114" t="s">
        <v>3021</v>
      </c>
      <c r="H11114" t="s">
        <v>3300</v>
      </c>
      <c r="I11114" t="s">
        <v>3023</v>
      </c>
      <c r="J11114" s="70">
        <v>0</v>
      </c>
      <c r="K11114" s="71">
        <v>37.92</v>
      </c>
      <c r="L11114" s="33" t="e">
        <f>HLOOKUP(B11114,#REF!,1,0)</f>
        <v>#REF!</v>
      </c>
      <c r="M11114" s="33" t="str">
        <f t="shared" si="695"/>
        <v>P&amp;L</v>
      </c>
    </row>
    <row r="11115" spans="1:13">
      <c r="A11115" s="33" t="str">
        <f t="shared" si="692"/>
        <v>SG2 - Other Income/Expense</v>
      </c>
      <c r="B11115" s="33" t="str">
        <f t="shared" si="693"/>
        <v>SG2</v>
      </c>
      <c r="C11115" s="33" t="str">
        <f t="shared" si="694"/>
        <v>90601-0000</v>
      </c>
      <c r="D11115" t="s">
        <v>12384</v>
      </c>
      <c r="E11115" t="s">
        <v>3315</v>
      </c>
      <c r="F11115" t="s">
        <v>15</v>
      </c>
      <c r="G11115" t="s">
        <v>3017</v>
      </c>
      <c r="H11115" t="s">
        <v>3300</v>
      </c>
      <c r="I11115" t="s">
        <v>3316</v>
      </c>
      <c r="J11115" s="70">
        <v>0</v>
      </c>
      <c r="K11115" s="71">
        <v>0</v>
      </c>
      <c r="L11115" s="33" t="e">
        <f>HLOOKUP(B11115,#REF!,1,0)</f>
        <v>#REF!</v>
      </c>
      <c r="M11115" s="33" t="str">
        <f t="shared" si="695"/>
        <v>P&amp;L</v>
      </c>
    </row>
    <row r="11116" spans="1:13">
      <c r="A11116" s="33" t="str">
        <f t="shared" si="692"/>
        <v>SG2 - Other Income/Expense</v>
      </c>
      <c r="B11116" s="33" t="str">
        <f t="shared" si="693"/>
        <v>SG2</v>
      </c>
      <c r="C11116" s="33" t="str">
        <f t="shared" si="694"/>
        <v>91801-7373</v>
      </c>
      <c r="D11116" t="s">
        <v>12385</v>
      </c>
      <c r="E11116" t="s">
        <v>3318</v>
      </c>
      <c r="F11116" t="s">
        <v>15</v>
      </c>
      <c r="G11116" t="s">
        <v>3017</v>
      </c>
      <c r="H11116" t="s">
        <v>3300</v>
      </c>
      <c r="I11116" t="s">
        <v>3319</v>
      </c>
      <c r="J11116" s="70">
        <v>0</v>
      </c>
      <c r="K11116" s="71">
        <v>202.06</v>
      </c>
      <c r="L11116" s="33" t="e">
        <f>HLOOKUP(B11116,#REF!,1,0)</f>
        <v>#REF!</v>
      </c>
      <c r="M11116" s="33" t="str">
        <f t="shared" si="695"/>
        <v>P&amp;L</v>
      </c>
    </row>
    <row r="11117" spans="1:13">
      <c r="A11117" s="33" t="str">
        <f t="shared" si="692"/>
        <v>SG2 - Other Income/Expense</v>
      </c>
      <c r="B11117" s="33" t="str">
        <f t="shared" si="693"/>
        <v>SG2</v>
      </c>
      <c r="C11117" s="33" t="str">
        <f t="shared" si="694"/>
        <v>91801-7382</v>
      </c>
      <c r="D11117" t="s">
        <v>12386</v>
      </c>
      <c r="E11117" t="s">
        <v>3318</v>
      </c>
      <c r="F11117" t="s">
        <v>15</v>
      </c>
      <c r="G11117" t="s">
        <v>3017</v>
      </c>
      <c r="H11117" t="s">
        <v>3300</v>
      </c>
      <c r="I11117" t="s">
        <v>3319</v>
      </c>
      <c r="J11117" s="70">
        <v>0</v>
      </c>
      <c r="K11117" s="71">
        <v>187.48</v>
      </c>
      <c r="L11117" s="33" t="e">
        <f>HLOOKUP(B11117,#REF!,1,0)</f>
        <v>#REF!</v>
      </c>
      <c r="M11117" s="33" t="str">
        <f t="shared" si="695"/>
        <v>P&amp;L</v>
      </c>
    </row>
    <row r="11118" spans="1:13">
      <c r="A11118" s="33" t="str">
        <f t="shared" si="692"/>
        <v>SG2 - Interest Expense</v>
      </c>
      <c r="B11118" s="33" t="str">
        <f t="shared" si="693"/>
        <v>SG2</v>
      </c>
      <c r="C11118" s="33" t="str">
        <f t="shared" si="694"/>
        <v>92401-7373</v>
      </c>
      <c r="D11118" t="s">
        <v>12387</v>
      </c>
      <c r="E11118" t="s">
        <v>3325</v>
      </c>
      <c r="F11118" t="s">
        <v>15</v>
      </c>
      <c r="G11118" t="s">
        <v>3326</v>
      </c>
      <c r="H11118" t="s">
        <v>3327</v>
      </c>
      <c r="I11118" t="s">
        <v>3328</v>
      </c>
      <c r="J11118" s="70">
        <v>1796.47</v>
      </c>
      <c r="K11118" s="71">
        <v>15226.37</v>
      </c>
      <c r="L11118" s="33" t="e">
        <f>HLOOKUP(B11118,#REF!,1,0)</f>
        <v>#REF!</v>
      </c>
      <c r="M11118" s="33" t="str">
        <f t="shared" si="695"/>
        <v>P&amp;L</v>
      </c>
    </row>
    <row r="11119" spans="1:13">
      <c r="A11119" s="33" t="str">
        <f t="shared" si="692"/>
        <v>SG2 - Interest Expense</v>
      </c>
      <c r="B11119" s="33" t="str">
        <f t="shared" si="693"/>
        <v>SG2</v>
      </c>
      <c r="C11119" s="33" t="str">
        <f t="shared" si="694"/>
        <v>92401-7382</v>
      </c>
      <c r="D11119" t="s">
        <v>12388</v>
      </c>
      <c r="E11119" t="s">
        <v>3325</v>
      </c>
      <c r="F11119" t="s">
        <v>15</v>
      </c>
      <c r="G11119" t="s">
        <v>3326</v>
      </c>
      <c r="H11119" t="s">
        <v>3327</v>
      </c>
      <c r="I11119" t="s">
        <v>3328</v>
      </c>
      <c r="J11119" s="70">
        <v>1796.47</v>
      </c>
      <c r="K11119" s="71">
        <v>15226.37</v>
      </c>
      <c r="L11119" s="33" t="e">
        <f>HLOOKUP(B11119,#REF!,1,0)</f>
        <v>#REF!</v>
      </c>
      <c r="M11119" s="33" t="str">
        <f t="shared" si="695"/>
        <v>P&amp;L</v>
      </c>
    </row>
    <row r="11120" spans="1:13">
      <c r="A11120" s="33" t="str">
        <f t="shared" si="692"/>
        <v>SG2 - Other Income/Expense</v>
      </c>
      <c r="B11120" s="33" t="str">
        <f t="shared" si="693"/>
        <v>SG2</v>
      </c>
      <c r="C11120" s="33" t="str">
        <f t="shared" si="694"/>
        <v>92801-0000</v>
      </c>
      <c r="D11120" t="s">
        <v>12389</v>
      </c>
      <c r="E11120" t="s">
        <v>5155</v>
      </c>
      <c r="F11120" t="s">
        <v>15</v>
      </c>
      <c r="G11120" t="s">
        <v>3017</v>
      </c>
      <c r="H11120" t="s">
        <v>3300</v>
      </c>
      <c r="I11120" t="s">
        <v>5156</v>
      </c>
      <c r="J11120" s="70">
        <v>2623.47</v>
      </c>
      <c r="K11120" s="71">
        <v>131854.85</v>
      </c>
      <c r="L11120" s="33" t="e">
        <f>HLOOKUP(B11120,#REF!,1,0)</f>
        <v>#REF!</v>
      </c>
      <c r="M11120" s="33" t="str">
        <f t="shared" si="695"/>
        <v>P&amp;L</v>
      </c>
    </row>
    <row r="11121" spans="1:13">
      <c r="A11121" s="33" t="str">
        <f t="shared" si="692"/>
        <v>SG2 - Other Income/Expense</v>
      </c>
      <c r="B11121" s="33" t="str">
        <f t="shared" si="693"/>
        <v>SG2</v>
      </c>
      <c r="C11121" s="33" t="str">
        <f t="shared" si="694"/>
        <v>92901-7373</v>
      </c>
      <c r="D11121" t="s">
        <v>12390</v>
      </c>
      <c r="E11121" t="s">
        <v>3333</v>
      </c>
      <c r="F11121" t="s">
        <v>15</v>
      </c>
      <c r="G11121" t="s">
        <v>3017</v>
      </c>
      <c r="H11121" t="s">
        <v>3300</v>
      </c>
      <c r="I11121" t="s">
        <v>3334</v>
      </c>
      <c r="J11121" s="70">
        <v>3281.72</v>
      </c>
      <c r="K11121" s="71">
        <v>73057.07</v>
      </c>
      <c r="L11121" s="33" t="e">
        <f>HLOOKUP(B11121,#REF!,1,0)</f>
        <v>#REF!</v>
      </c>
      <c r="M11121" s="33" t="str">
        <f t="shared" si="695"/>
        <v>P&amp;L</v>
      </c>
    </row>
    <row r="11122" spans="1:13">
      <c r="A11122" s="33" t="str">
        <f t="shared" si="692"/>
        <v>SG2 - Other Income/Expense</v>
      </c>
      <c r="B11122" s="33" t="str">
        <f t="shared" si="693"/>
        <v>SG2</v>
      </c>
      <c r="C11122" s="33" t="str">
        <f t="shared" si="694"/>
        <v>92901-7382</v>
      </c>
      <c r="D11122" t="s">
        <v>12391</v>
      </c>
      <c r="E11122" t="s">
        <v>3333</v>
      </c>
      <c r="F11122" t="s">
        <v>15</v>
      </c>
      <c r="G11122" t="s">
        <v>3017</v>
      </c>
      <c r="H11122" t="s">
        <v>3300</v>
      </c>
      <c r="I11122" t="s">
        <v>3334</v>
      </c>
      <c r="J11122" s="70">
        <v>3336.86</v>
      </c>
      <c r="K11122" s="71">
        <v>73708.42</v>
      </c>
      <c r="L11122" s="33" t="e">
        <f>HLOOKUP(B11122,#REF!,1,0)</f>
        <v>#REF!</v>
      </c>
      <c r="M11122" s="33" t="str">
        <f t="shared" si="695"/>
        <v>P&amp;L</v>
      </c>
    </row>
    <row r="11123" spans="1:13">
      <c r="A11123" s="33" t="str">
        <f t="shared" si="692"/>
        <v>SG2 - Other Income/Expense</v>
      </c>
      <c r="B11123" s="33" t="str">
        <f t="shared" si="693"/>
        <v>SG2</v>
      </c>
      <c r="C11123" s="33" t="str">
        <f t="shared" si="694"/>
        <v>93001-7373</v>
      </c>
      <c r="D11123" t="s">
        <v>12392</v>
      </c>
      <c r="E11123" t="s">
        <v>3339</v>
      </c>
      <c r="F11123" t="s">
        <v>15</v>
      </c>
      <c r="G11123" t="s">
        <v>3017</v>
      </c>
      <c r="H11123" t="s">
        <v>3300</v>
      </c>
      <c r="I11123" t="s">
        <v>3340</v>
      </c>
      <c r="J11123" s="70">
        <v>26.44</v>
      </c>
      <c r="K11123" s="71">
        <v>76.61</v>
      </c>
      <c r="L11123" s="33" t="e">
        <f>HLOOKUP(B11123,#REF!,1,0)</f>
        <v>#REF!</v>
      </c>
      <c r="M11123" s="33" t="str">
        <f t="shared" si="695"/>
        <v>P&amp;L</v>
      </c>
    </row>
    <row r="11124" spans="1:13">
      <c r="A11124" s="33" t="str">
        <f t="shared" si="692"/>
        <v>SG2 - Other Income/Expense</v>
      </c>
      <c r="B11124" s="33" t="str">
        <f t="shared" si="693"/>
        <v>SG2</v>
      </c>
      <c r="C11124" s="33" t="str">
        <f t="shared" si="694"/>
        <v>93001-7382</v>
      </c>
      <c r="D11124" t="s">
        <v>12393</v>
      </c>
      <c r="E11124" t="s">
        <v>3339</v>
      </c>
      <c r="F11124" t="s">
        <v>15</v>
      </c>
      <c r="G11124" t="s">
        <v>3017</v>
      </c>
      <c r="H11124" t="s">
        <v>3300</v>
      </c>
      <c r="I11124" t="s">
        <v>3340</v>
      </c>
      <c r="J11124" s="70">
        <v>0</v>
      </c>
      <c r="K11124" s="71">
        <v>27.21</v>
      </c>
      <c r="L11124" s="33" t="e">
        <f>HLOOKUP(B11124,#REF!,1,0)</f>
        <v>#REF!</v>
      </c>
      <c r="M11124" s="33" t="str">
        <f t="shared" si="695"/>
        <v>P&amp;L</v>
      </c>
    </row>
    <row r="11125" spans="1:13">
      <c r="A11125" s="33" t="str">
        <f t="shared" si="692"/>
        <v>SG2 - Other Income/Expense</v>
      </c>
      <c r="B11125" s="33" t="str">
        <f t="shared" si="693"/>
        <v>SG2</v>
      </c>
      <c r="C11125" s="33" t="str">
        <f t="shared" si="694"/>
        <v>93201-0000</v>
      </c>
      <c r="D11125" t="s">
        <v>12394</v>
      </c>
      <c r="E11125" t="s">
        <v>3226</v>
      </c>
      <c r="F11125" t="s">
        <v>15</v>
      </c>
      <c r="G11125" t="s">
        <v>3017</v>
      </c>
      <c r="H11125" t="s">
        <v>3300</v>
      </c>
      <c r="I11125" t="s">
        <v>3342</v>
      </c>
      <c r="J11125" s="70">
        <v>0</v>
      </c>
      <c r="K11125" s="71">
        <v>749.91</v>
      </c>
      <c r="L11125" s="33" t="e">
        <f>HLOOKUP(B11125,#REF!,1,0)</f>
        <v>#REF!</v>
      </c>
      <c r="M11125" s="33" t="str">
        <f t="shared" si="695"/>
        <v>P&amp;L</v>
      </c>
    </row>
    <row r="11126" spans="1:13">
      <c r="A11126" s="33" t="str">
        <f t="shared" si="692"/>
        <v>SG2 - Other Income/Expense</v>
      </c>
      <c r="B11126" s="33" t="str">
        <f t="shared" si="693"/>
        <v>SG2</v>
      </c>
      <c r="C11126" s="33" t="str">
        <f t="shared" si="694"/>
        <v>93201-7373</v>
      </c>
      <c r="D11126" t="s">
        <v>12395</v>
      </c>
      <c r="E11126" t="s">
        <v>3226</v>
      </c>
      <c r="F11126" t="s">
        <v>15</v>
      </c>
      <c r="G11126" t="s">
        <v>3017</v>
      </c>
      <c r="H11126" t="s">
        <v>3300</v>
      </c>
      <c r="I11126" t="s">
        <v>3342</v>
      </c>
      <c r="J11126" s="70">
        <v>57</v>
      </c>
      <c r="K11126" s="71">
        <v>570</v>
      </c>
      <c r="L11126" s="33" t="e">
        <f>HLOOKUP(B11126,#REF!,1,0)</f>
        <v>#REF!</v>
      </c>
      <c r="M11126" s="33" t="str">
        <f t="shared" si="695"/>
        <v>P&amp;L</v>
      </c>
    </row>
    <row r="11127" spans="1:13">
      <c r="A11127" s="33" t="str">
        <f t="shared" si="692"/>
        <v>SG2 - Other Income/Expense</v>
      </c>
      <c r="B11127" s="33" t="str">
        <f t="shared" si="693"/>
        <v>SG2</v>
      </c>
      <c r="C11127" s="33" t="str">
        <f t="shared" si="694"/>
        <v>93201-7382</v>
      </c>
      <c r="D11127" t="s">
        <v>12396</v>
      </c>
      <c r="E11127" t="s">
        <v>3226</v>
      </c>
      <c r="F11127" t="s">
        <v>15</v>
      </c>
      <c r="G11127" t="s">
        <v>3017</v>
      </c>
      <c r="H11127" t="s">
        <v>3300</v>
      </c>
      <c r="I11127" t="s">
        <v>3342</v>
      </c>
      <c r="J11127" s="70">
        <v>57</v>
      </c>
      <c r="K11127" s="71">
        <v>570</v>
      </c>
      <c r="L11127" s="33" t="e">
        <f>HLOOKUP(B11127,#REF!,1,0)</f>
        <v>#REF!</v>
      </c>
      <c r="M11127" s="33" t="str">
        <f t="shared" si="695"/>
        <v>P&amp;L</v>
      </c>
    </row>
    <row r="11128" spans="1:13">
      <c r="A11128" s="33" t="str">
        <f t="shared" si="692"/>
        <v>SG2 - Other Income/Expense</v>
      </c>
      <c r="B11128" s="33" t="str">
        <f t="shared" si="693"/>
        <v>SG2</v>
      </c>
      <c r="C11128" s="33" t="str">
        <f t="shared" si="694"/>
        <v>93601-7373</v>
      </c>
      <c r="D11128" t="s">
        <v>12397</v>
      </c>
      <c r="E11128" t="s">
        <v>3344</v>
      </c>
      <c r="F11128" t="s">
        <v>15</v>
      </c>
      <c r="G11128" t="s">
        <v>3017</v>
      </c>
      <c r="H11128" t="s">
        <v>3300</v>
      </c>
      <c r="I11128" t="s">
        <v>3345</v>
      </c>
      <c r="J11128" s="70">
        <v>0</v>
      </c>
      <c r="K11128" s="71">
        <v>443.22</v>
      </c>
      <c r="L11128" s="33" t="e">
        <f>HLOOKUP(B11128,#REF!,1,0)</f>
        <v>#REF!</v>
      </c>
      <c r="M11128" s="33" t="str">
        <f t="shared" si="695"/>
        <v>P&amp;L</v>
      </c>
    </row>
    <row r="11129" spans="1:13">
      <c r="A11129" s="33" t="str">
        <f t="shared" si="692"/>
        <v>SG2 - Other Income/Expense</v>
      </c>
      <c r="B11129" s="33" t="str">
        <f t="shared" si="693"/>
        <v>SG2</v>
      </c>
      <c r="C11129" s="33" t="str">
        <f t="shared" si="694"/>
        <v>93601-7382</v>
      </c>
      <c r="D11129" t="s">
        <v>12398</v>
      </c>
      <c r="E11129" t="s">
        <v>3344</v>
      </c>
      <c r="F11129" t="s">
        <v>15</v>
      </c>
      <c r="G11129" t="s">
        <v>3017</v>
      </c>
      <c r="H11129" t="s">
        <v>3300</v>
      </c>
      <c r="I11129" t="s">
        <v>3345</v>
      </c>
      <c r="J11129" s="70">
        <v>0</v>
      </c>
      <c r="K11129" s="71">
        <v>301.59</v>
      </c>
      <c r="L11129" s="33" t="e">
        <f>HLOOKUP(B11129,#REF!,1,0)</f>
        <v>#REF!</v>
      </c>
      <c r="M11129" s="33" t="str">
        <f t="shared" si="695"/>
        <v>P&amp;L</v>
      </c>
    </row>
    <row r="11130" spans="1:13">
      <c r="A11130" s="33" t="str">
        <f t="shared" si="692"/>
        <v>SG2 - Other Income/Expense</v>
      </c>
      <c r="B11130" s="33" t="str">
        <f t="shared" si="693"/>
        <v>SG2</v>
      </c>
      <c r="C11130" s="33" t="str">
        <f t="shared" si="694"/>
        <v>93801-0000</v>
      </c>
      <c r="D11130" t="s">
        <v>12399</v>
      </c>
      <c r="E11130" t="s">
        <v>5183</v>
      </c>
      <c r="F11130" t="s">
        <v>15</v>
      </c>
      <c r="G11130" t="s">
        <v>3044</v>
      </c>
      <c r="H11130" t="s">
        <v>3300</v>
      </c>
      <c r="I11130" t="s">
        <v>5184</v>
      </c>
      <c r="J11130" s="70">
        <v>124.99</v>
      </c>
      <c r="K11130" s="71">
        <v>310.26</v>
      </c>
      <c r="L11130" s="33" t="e">
        <f>HLOOKUP(B11130,#REF!,1,0)</f>
        <v>#REF!</v>
      </c>
      <c r="M11130" s="33" t="str">
        <f t="shared" si="695"/>
        <v>P&amp;L</v>
      </c>
    </row>
    <row r="11131" spans="1:13">
      <c r="A11131" s="33" t="str">
        <f t="shared" si="692"/>
        <v>SG2 - Other Income/Expense</v>
      </c>
      <c r="B11131" s="33" t="str">
        <f t="shared" si="693"/>
        <v>SG2</v>
      </c>
      <c r="C11131" s="33" t="str">
        <f t="shared" si="694"/>
        <v>93801-7373</v>
      </c>
      <c r="D11131" t="s">
        <v>12400</v>
      </c>
      <c r="E11131" t="s">
        <v>5183</v>
      </c>
      <c r="F11131" t="s">
        <v>15</v>
      </c>
      <c r="G11131" t="s">
        <v>3044</v>
      </c>
      <c r="H11131" t="s">
        <v>3300</v>
      </c>
      <c r="I11131" t="s">
        <v>5184</v>
      </c>
      <c r="J11131" s="70">
        <v>165.58</v>
      </c>
      <c r="K11131" s="71">
        <v>1907.87</v>
      </c>
      <c r="L11131" s="33" t="e">
        <f>HLOOKUP(B11131,#REF!,1,0)</f>
        <v>#REF!</v>
      </c>
      <c r="M11131" s="33" t="str">
        <f t="shared" si="695"/>
        <v>P&amp;L</v>
      </c>
    </row>
    <row r="11132" spans="1:13">
      <c r="A11132" s="33" t="str">
        <f t="shared" si="692"/>
        <v>SG2 - Other Income/Expense</v>
      </c>
      <c r="B11132" s="33" t="str">
        <f t="shared" si="693"/>
        <v>SG2</v>
      </c>
      <c r="C11132" s="33" t="str">
        <f t="shared" si="694"/>
        <v>93801-7382</v>
      </c>
      <c r="D11132" t="s">
        <v>12401</v>
      </c>
      <c r="E11132" t="s">
        <v>5183</v>
      </c>
      <c r="F11132" t="s">
        <v>15</v>
      </c>
      <c r="G11132" t="s">
        <v>3044</v>
      </c>
      <c r="H11132" t="s">
        <v>3300</v>
      </c>
      <c r="I11132" t="s">
        <v>5184</v>
      </c>
      <c r="J11132" s="70">
        <v>165.58</v>
      </c>
      <c r="K11132" s="71">
        <v>1930.15</v>
      </c>
      <c r="L11132" s="33" t="e">
        <f>HLOOKUP(B11132,#REF!,1,0)</f>
        <v>#REF!</v>
      </c>
      <c r="M11132" s="33" t="str">
        <f t="shared" si="695"/>
        <v>P&amp;L</v>
      </c>
    </row>
    <row r="11133" spans="1:13">
      <c r="A11133" s="33" t="str">
        <f t="shared" si="692"/>
        <v>SG2 - Other Income/Expense</v>
      </c>
      <c r="B11133" s="33" t="str">
        <f t="shared" si="693"/>
        <v>SG2</v>
      </c>
      <c r="C11133" s="33" t="str">
        <f t="shared" si="694"/>
        <v>94001-7373</v>
      </c>
      <c r="D11133" t="s">
        <v>12402</v>
      </c>
      <c r="E11133" t="s">
        <v>3350</v>
      </c>
      <c r="F11133" t="s">
        <v>15</v>
      </c>
      <c r="G11133" t="s">
        <v>3017</v>
      </c>
      <c r="H11133" t="s">
        <v>3300</v>
      </c>
      <c r="I11133" t="s">
        <v>3351</v>
      </c>
      <c r="J11133" s="70">
        <v>0</v>
      </c>
      <c r="K11133" s="71">
        <v>160.37</v>
      </c>
      <c r="L11133" s="33" t="e">
        <f>HLOOKUP(B11133,#REF!,1,0)</f>
        <v>#REF!</v>
      </c>
      <c r="M11133" s="33" t="str">
        <f t="shared" si="695"/>
        <v>P&amp;L</v>
      </c>
    </row>
    <row r="11134" spans="1:13">
      <c r="A11134" s="33" t="str">
        <f t="shared" si="692"/>
        <v>SG2 - Other Income/Expense</v>
      </c>
      <c r="B11134" s="33" t="str">
        <f t="shared" si="693"/>
        <v>SG2</v>
      </c>
      <c r="C11134" s="33" t="str">
        <f t="shared" si="694"/>
        <v>94201-0000</v>
      </c>
      <c r="D11134" t="s">
        <v>12403</v>
      </c>
      <c r="E11134" t="s">
        <v>3353</v>
      </c>
      <c r="F11134" t="s">
        <v>15</v>
      </c>
      <c r="G11134" t="s">
        <v>3017</v>
      </c>
      <c r="H11134" t="s">
        <v>3300</v>
      </c>
      <c r="I11134" t="s">
        <v>3354</v>
      </c>
      <c r="J11134" s="70">
        <v>1502</v>
      </c>
      <c r="K11134" s="71">
        <v>26782</v>
      </c>
      <c r="L11134" s="33" t="e">
        <f>HLOOKUP(B11134,#REF!,1,0)</f>
        <v>#REF!</v>
      </c>
      <c r="M11134" s="33" t="str">
        <f t="shared" si="695"/>
        <v>P&amp;L</v>
      </c>
    </row>
    <row r="11135" spans="1:13">
      <c r="A11135" s="33" t="str">
        <f t="shared" si="692"/>
        <v>SG2 - Other Income/Expense</v>
      </c>
      <c r="B11135" s="33" t="str">
        <f t="shared" si="693"/>
        <v>SG2</v>
      </c>
      <c r="C11135" s="33" t="str">
        <f t="shared" si="694"/>
        <v>94201-7373</v>
      </c>
      <c r="D11135" t="s">
        <v>12404</v>
      </c>
      <c r="E11135" t="s">
        <v>3353</v>
      </c>
      <c r="F11135" t="s">
        <v>15</v>
      </c>
      <c r="G11135" t="s">
        <v>3017</v>
      </c>
      <c r="H11135" t="s">
        <v>3300</v>
      </c>
      <c r="I11135" t="s">
        <v>3354</v>
      </c>
      <c r="J11135" s="70">
        <v>0</v>
      </c>
      <c r="K11135" s="71">
        <v>234</v>
      </c>
      <c r="L11135" s="33" t="e">
        <f>HLOOKUP(B11135,#REF!,1,0)</f>
        <v>#REF!</v>
      </c>
      <c r="M11135" s="33" t="str">
        <f t="shared" si="695"/>
        <v>P&amp;L</v>
      </c>
    </row>
    <row r="11136" spans="1:13">
      <c r="A11136" s="33" t="str">
        <f t="shared" si="692"/>
        <v>SG2 - Other Income/Expense</v>
      </c>
      <c r="B11136" s="33" t="str">
        <f t="shared" si="693"/>
        <v>SG2</v>
      </c>
      <c r="C11136" s="33" t="str">
        <f t="shared" si="694"/>
        <v>94201-7382</v>
      </c>
      <c r="D11136" t="s">
        <v>12405</v>
      </c>
      <c r="E11136" t="s">
        <v>3353</v>
      </c>
      <c r="F11136" t="s">
        <v>15</v>
      </c>
      <c r="G11136" t="s">
        <v>3017</v>
      </c>
      <c r="H11136" t="s">
        <v>3300</v>
      </c>
      <c r="I11136" t="s">
        <v>3354</v>
      </c>
      <c r="J11136" s="70">
        <v>0</v>
      </c>
      <c r="K11136" s="71">
        <v>234</v>
      </c>
      <c r="L11136" s="33" t="e">
        <f>HLOOKUP(B11136,#REF!,1,0)</f>
        <v>#REF!</v>
      </c>
      <c r="M11136" s="33" t="str">
        <f t="shared" si="695"/>
        <v>P&amp;L</v>
      </c>
    </row>
    <row r="11137" spans="1:13">
      <c r="A11137" s="33" t="str">
        <f t="shared" si="692"/>
        <v>SG2 - Other Income/Expense</v>
      </c>
      <c r="B11137" s="33" t="str">
        <f t="shared" si="693"/>
        <v>SG2</v>
      </c>
      <c r="C11137" s="33" t="str">
        <f t="shared" si="694"/>
        <v>94401-0000</v>
      </c>
      <c r="D11137" t="s">
        <v>12406</v>
      </c>
      <c r="E11137" t="s">
        <v>3360</v>
      </c>
      <c r="F11137" t="s">
        <v>15</v>
      </c>
      <c r="G11137" t="s">
        <v>3017</v>
      </c>
      <c r="H11137" t="s">
        <v>3300</v>
      </c>
      <c r="I11137" t="s">
        <v>3361</v>
      </c>
      <c r="J11137" s="70">
        <v>0</v>
      </c>
      <c r="K11137" s="71">
        <v>-55.68</v>
      </c>
      <c r="L11137" s="33" t="e">
        <f>HLOOKUP(B11137,#REF!,1,0)</f>
        <v>#REF!</v>
      </c>
      <c r="M11137" s="33" t="str">
        <f t="shared" si="695"/>
        <v>P&amp;L</v>
      </c>
    </row>
    <row r="11138" spans="1:13">
      <c r="A11138" s="33" t="str">
        <f t="shared" ref="A11138:A11201" si="696">B11138&amp;" - "&amp;TRIM(H11138)</f>
        <v>SG2 - Other Income/Expense</v>
      </c>
      <c r="B11138" s="33" t="str">
        <f t="shared" ref="B11138:B11201" si="697">LEFT(D11138,3)</f>
        <v>SG2</v>
      </c>
      <c r="C11138" s="33" t="str">
        <f t="shared" ref="C11138:C11201" si="698">RIGHT(D11138,10)</f>
        <v>94401-7373</v>
      </c>
      <c r="D11138" t="s">
        <v>12407</v>
      </c>
      <c r="E11138" t="s">
        <v>3360</v>
      </c>
      <c r="F11138" t="s">
        <v>15</v>
      </c>
      <c r="G11138" t="s">
        <v>3017</v>
      </c>
      <c r="H11138" t="s">
        <v>3300</v>
      </c>
      <c r="I11138" t="s">
        <v>3361</v>
      </c>
      <c r="J11138" s="70">
        <v>0</v>
      </c>
      <c r="K11138" s="71">
        <v>-23254.67</v>
      </c>
      <c r="L11138" s="33" t="e">
        <f>HLOOKUP(B11138,#REF!,1,0)</f>
        <v>#REF!</v>
      </c>
      <c r="M11138" s="33" t="str">
        <f t="shared" ref="M11138:M11201" si="699">IF(VALUE(LEFT(C11138,5))&gt;40000,"P&amp;L","BS")</f>
        <v>P&amp;L</v>
      </c>
    </row>
    <row r="11139" spans="1:13">
      <c r="A11139" s="33" t="str">
        <f t="shared" si="696"/>
        <v>SG2 - Other Income/Expense</v>
      </c>
      <c r="B11139" s="33" t="str">
        <f t="shared" si="697"/>
        <v>SG2</v>
      </c>
      <c r="C11139" s="33" t="str">
        <f t="shared" si="698"/>
        <v>94401-7382</v>
      </c>
      <c r="D11139" t="s">
        <v>12408</v>
      </c>
      <c r="E11139" t="s">
        <v>3360</v>
      </c>
      <c r="F11139" t="s">
        <v>15</v>
      </c>
      <c r="G11139" t="s">
        <v>3017</v>
      </c>
      <c r="H11139" s="64" t="s">
        <v>3300</v>
      </c>
      <c r="I11139" t="s">
        <v>3361</v>
      </c>
      <c r="J11139" s="70">
        <v>0</v>
      </c>
      <c r="K11139" s="71">
        <v>-21463.37</v>
      </c>
      <c r="L11139" s="33" t="e">
        <f>HLOOKUP(B11139,#REF!,1,0)</f>
        <v>#REF!</v>
      </c>
      <c r="M11139" s="33" t="str">
        <f t="shared" si="699"/>
        <v>P&amp;L</v>
      </c>
    </row>
    <row r="11140" spans="1:13">
      <c r="A11140" s="33" t="str">
        <f t="shared" si="696"/>
        <v>SG2 - Other Income/Expense</v>
      </c>
      <c r="B11140" s="33" t="str">
        <f t="shared" si="697"/>
        <v>SG2</v>
      </c>
      <c r="C11140" s="33" t="str">
        <f t="shared" si="698"/>
        <v>99001-0000</v>
      </c>
      <c r="D11140" t="s">
        <v>12409</v>
      </c>
      <c r="E11140" t="s">
        <v>3370</v>
      </c>
      <c r="F11140" t="s">
        <v>15</v>
      </c>
      <c r="G11140" t="s">
        <v>3017</v>
      </c>
      <c r="H11140" t="s">
        <v>3300</v>
      </c>
      <c r="I11140" t="s">
        <v>3371</v>
      </c>
      <c r="J11140" s="70">
        <v>0</v>
      </c>
      <c r="K11140" s="71">
        <v>-27.36</v>
      </c>
      <c r="L11140" s="33" t="e">
        <f>HLOOKUP(B11140,#REF!,1,0)</f>
        <v>#REF!</v>
      </c>
      <c r="M11140" s="33" t="str">
        <f t="shared" si="699"/>
        <v>P&amp;L</v>
      </c>
    </row>
    <row r="11141" spans="1:13">
      <c r="A11141" s="33" t="str">
        <f t="shared" si="696"/>
        <v>SG2 - Other Income/Expense</v>
      </c>
      <c r="B11141" s="33" t="str">
        <f t="shared" si="697"/>
        <v>SG2</v>
      </c>
      <c r="C11141" s="33" t="str">
        <f t="shared" si="698"/>
        <v>99001-7373</v>
      </c>
      <c r="D11141" t="s">
        <v>12410</v>
      </c>
      <c r="E11141" t="s">
        <v>3370</v>
      </c>
      <c r="F11141" t="s">
        <v>15</v>
      </c>
      <c r="G11141" t="s">
        <v>3017</v>
      </c>
      <c r="H11141" t="s">
        <v>3300</v>
      </c>
      <c r="I11141" t="s">
        <v>3371</v>
      </c>
      <c r="J11141" s="70">
        <v>-142.2</v>
      </c>
      <c r="K11141" s="71">
        <v>-2329.31</v>
      </c>
      <c r="L11141" s="33" t="e">
        <f>HLOOKUP(B11141,#REF!,1,0)</f>
        <v>#REF!</v>
      </c>
      <c r="M11141" s="33" t="str">
        <f t="shared" si="699"/>
        <v>P&amp;L</v>
      </c>
    </row>
    <row r="11142" spans="1:13">
      <c r="A11142" s="33" t="str">
        <f t="shared" si="696"/>
        <v>SG2 - Other Income/Expense</v>
      </c>
      <c r="B11142" s="33" t="str">
        <f t="shared" si="697"/>
        <v>SG2</v>
      </c>
      <c r="C11142" s="33" t="str">
        <f t="shared" si="698"/>
        <v>99001-7382</v>
      </c>
      <c r="D11142" t="s">
        <v>12411</v>
      </c>
      <c r="E11142" t="s">
        <v>3370</v>
      </c>
      <c r="F11142" t="s">
        <v>15</v>
      </c>
      <c r="G11142" t="s">
        <v>3017</v>
      </c>
      <c r="H11142" t="s">
        <v>3300</v>
      </c>
      <c r="I11142" t="s">
        <v>3371</v>
      </c>
      <c r="J11142" s="70">
        <v>-284.4</v>
      </c>
      <c r="K11142" s="71">
        <v>-2701.18</v>
      </c>
      <c r="L11142" s="33" t="e">
        <f>HLOOKUP(B11142,#REF!,1,0)</f>
        <v>#REF!</v>
      </c>
      <c r="M11142" s="33" t="str">
        <f t="shared" si="699"/>
        <v>P&amp;L</v>
      </c>
    </row>
    <row r="11143" spans="1:13">
      <c r="A11143" s="33" t="str">
        <f t="shared" si="696"/>
        <v>SG2 - Income Tax</v>
      </c>
      <c r="B11143" s="33" t="str">
        <f t="shared" si="697"/>
        <v>SG2</v>
      </c>
      <c r="C11143" s="33" t="str">
        <f t="shared" si="698"/>
        <v>99901-0000</v>
      </c>
      <c r="D11143" t="s">
        <v>12412</v>
      </c>
      <c r="E11143" t="s">
        <v>3377</v>
      </c>
      <c r="F11143" t="s">
        <v>15</v>
      </c>
      <c r="G11143" t="s">
        <v>3326</v>
      </c>
      <c r="H11143" t="s">
        <v>3378</v>
      </c>
      <c r="I11143" t="s">
        <v>3379</v>
      </c>
      <c r="J11143" s="70">
        <v>0</v>
      </c>
      <c r="K11143" s="71">
        <v>800</v>
      </c>
      <c r="L11143" s="33" t="e">
        <f>HLOOKUP(B11143,#REF!,1,0)</f>
        <v>#REF!</v>
      </c>
      <c r="M11143" s="33" t="str">
        <f t="shared" si="699"/>
        <v>P&amp;L</v>
      </c>
    </row>
    <row r="11144" spans="1:13">
      <c r="A11144" s="33" t="str">
        <f t="shared" si="696"/>
        <v>SIL - AR-PPD</v>
      </c>
      <c r="B11144" s="33" t="str">
        <f t="shared" si="697"/>
        <v>SIL</v>
      </c>
      <c r="C11144" s="33" t="str">
        <f t="shared" si="698"/>
        <v>11000-0000</v>
      </c>
      <c r="D11144" t="s">
        <v>12413</v>
      </c>
      <c r="E11144" t="s">
        <v>34</v>
      </c>
      <c r="F11144" t="s">
        <v>230</v>
      </c>
      <c r="G11144" t="s">
        <v>16</v>
      </c>
      <c r="H11144" t="s">
        <v>35</v>
      </c>
      <c r="I11144" t="s">
        <v>36</v>
      </c>
      <c r="J11144" s="70">
        <v>-99529.18</v>
      </c>
      <c r="K11144" s="71">
        <v>-107116.38</v>
      </c>
      <c r="L11144" s="33" t="e">
        <f>HLOOKUP(B11144,#REF!,1,0)</f>
        <v>#REF!</v>
      </c>
      <c r="M11144" s="33" t="str">
        <f t="shared" si="699"/>
        <v>BS</v>
      </c>
    </row>
    <row r="11145" spans="1:13">
      <c r="A11145" s="33" t="str">
        <f t="shared" si="696"/>
        <v>SIL - Intercompany</v>
      </c>
      <c r="B11145" s="33" t="str">
        <f t="shared" si="697"/>
        <v>SIL</v>
      </c>
      <c r="C11145" s="33" t="str">
        <f t="shared" si="698"/>
        <v>11348-0000</v>
      </c>
      <c r="D11145" t="s">
        <v>12414</v>
      </c>
      <c r="E11145" t="s">
        <v>1107</v>
      </c>
      <c r="F11145" t="s">
        <v>230</v>
      </c>
      <c r="G11145" t="s">
        <v>16</v>
      </c>
      <c r="H11145" s="64" t="s">
        <v>39</v>
      </c>
      <c r="I11145" t="s">
        <v>40</v>
      </c>
      <c r="J11145" s="70">
        <v>57.51</v>
      </c>
      <c r="K11145" s="71">
        <v>2806.42</v>
      </c>
      <c r="L11145" s="33" t="e">
        <f>HLOOKUP(B11145,#REF!,1,0)</f>
        <v>#REF!</v>
      </c>
      <c r="M11145" s="33" t="str">
        <f t="shared" si="699"/>
        <v>BS</v>
      </c>
    </row>
    <row r="11146" spans="1:13">
      <c r="A11146" s="33" t="str">
        <f t="shared" si="696"/>
        <v>SIL - Intercompany</v>
      </c>
      <c r="B11146" s="33" t="str">
        <f t="shared" si="697"/>
        <v>SIL</v>
      </c>
      <c r="C11146" s="33" t="str">
        <f t="shared" si="698"/>
        <v>11349-0000</v>
      </c>
      <c r="D11146" t="s">
        <v>12415</v>
      </c>
      <c r="E11146" t="s">
        <v>12416</v>
      </c>
      <c r="F11146" t="s">
        <v>230</v>
      </c>
      <c r="G11146" t="s">
        <v>16</v>
      </c>
      <c r="H11146" t="s">
        <v>39</v>
      </c>
      <c r="I11146" t="s">
        <v>40</v>
      </c>
      <c r="J11146" s="70">
        <v>119.71</v>
      </c>
      <c r="K11146" s="71">
        <v>1073.33</v>
      </c>
      <c r="L11146" s="33" t="e">
        <f>HLOOKUP(B11146,#REF!,1,0)</f>
        <v>#REF!</v>
      </c>
      <c r="M11146" s="33" t="str">
        <f t="shared" si="699"/>
        <v>BS</v>
      </c>
    </row>
    <row r="11147" spans="1:13">
      <c r="A11147" s="33" t="str">
        <f t="shared" si="696"/>
        <v>SIL - Intercompany</v>
      </c>
      <c r="B11147" s="33" t="str">
        <f t="shared" si="697"/>
        <v>SIL</v>
      </c>
      <c r="C11147" s="33" t="str">
        <f t="shared" si="698"/>
        <v>11350-0000</v>
      </c>
      <c r="D11147" t="s">
        <v>12417</v>
      </c>
      <c r="E11147" t="s">
        <v>5388</v>
      </c>
      <c r="F11147" t="s">
        <v>230</v>
      </c>
      <c r="G11147" t="s">
        <v>16</v>
      </c>
      <c r="H11147" t="s">
        <v>39</v>
      </c>
      <c r="I11147" t="s">
        <v>40</v>
      </c>
      <c r="J11147" s="70">
        <v>1037.48</v>
      </c>
      <c r="K11147" s="71">
        <v>2621.75</v>
      </c>
      <c r="L11147" s="33" t="e">
        <f>HLOOKUP(B11147,#REF!,1,0)</f>
        <v>#REF!</v>
      </c>
      <c r="M11147" s="33" t="str">
        <f t="shared" si="699"/>
        <v>BS</v>
      </c>
    </row>
    <row r="11148" spans="1:13">
      <c r="A11148" s="33" t="str">
        <f t="shared" si="696"/>
        <v>SIL - Intercompany</v>
      </c>
      <c r="B11148" s="33" t="str">
        <f t="shared" si="697"/>
        <v>SIL</v>
      </c>
      <c r="C11148" s="33" t="str">
        <f t="shared" si="698"/>
        <v>11352-0000</v>
      </c>
      <c r="D11148" t="s">
        <v>12418</v>
      </c>
      <c r="E11148" t="s">
        <v>6127</v>
      </c>
      <c r="F11148" t="s">
        <v>230</v>
      </c>
      <c r="G11148" t="s">
        <v>16</v>
      </c>
      <c r="H11148" t="s">
        <v>39</v>
      </c>
      <c r="I11148" t="s">
        <v>40</v>
      </c>
      <c r="J11148" s="70">
        <v>-1760.12</v>
      </c>
      <c r="K11148" s="71">
        <v>3957.92</v>
      </c>
      <c r="L11148" s="33" t="e">
        <f>HLOOKUP(B11148,#REF!,1,0)</f>
        <v>#REF!</v>
      </c>
      <c r="M11148" s="33" t="str">
        <f t="shared" si="699"/>
        <v>BS</v>
      </c>
    </row>
    <row r="11149" spans="1:13">
      <c r="A11149" s="33" t="str">
        <f t="shared" si="696"/>
        <v>SIL - Intercompany</v>
      </c>
      <c r="B11149" s="33" t="str">
        <f t="shared" si="697"/>
        <v>SIL</v>
      </c>
      <c r="C11149" s="33" t="str">
        <f t="shared" si="698"/>
        <v>11353-0000</v>
      </c>
      <c r="D11149" t="s">
        <v>12419</v>
      </c>
      <c r="E11149" t="s">
        <v>4046</v>
      </c>
      <c r="F11149" t="s">
        <v>230</v>
      </c>
      <c r="G11149" t="s">
        <v>16</v>
      </c>
      <c r="H11149" t="s">
        <v>39</v>
      </c>
      <c r="I11149" t="s">
        <v>40</v>
      </c>
      <c r="J11149" s="70">
        <v>-190.64</v>
      </c>
      <c r="K11149" s="71">
        <v>-1483.88</v>
      </c>
      <c r="L11149" s="33" t="e">
        <f>HLOOKUP(B11149,#REF!,1,0)</f>
        <v>#REF!</v>
      </c>
      <c r="M11149" s="33" t="str">
        <f t="shared" si="699"/>
        <v>BS</v>
      </c>
    </row>
    <row r="11150" spans="1:13">
      <c r="A11150" s="33" t="str">
        <f t="shared" si="696"/>
        <v>SIL - Intercompany</v>
      </c>
      <c r="B11150" s="33" t="str">
        <f t="shared" si="697"/>
        <v>SIL</v>
      </c>
      <c r="C11150" s="33" t="str">
        <f t="shared" si="698"/>
        <v>11354-0000</v>
      </c>
      <c r="D11150" t="s">
        <v>12420</v>
      </c>
      <c r="E11150" t="s">
        <v>4048</v>
      </c>
      <c r="F11150" t="s">
        <v>230</v>
      </c>
      <c r="G11150" t="s">
        <v>16</v>
      </c>
      <c r="H11150" t="s">
        <v>39</v>
      </c>
      <c r="I11150" t="s">
        <v>40</v>
      </c>
      <c r="J11150" s="70">
        <v>-1822.92</v>
      </c>
      <c r="K11150" s="71">
        <v>3998.4</v>
      </c>
      <c r="L11150" s="33" t="e">
        <f>HLOOKUP(B11150,#REF!,1,0)</f>
        <v>#REF!</v>
      </c>
      <c r="M11150" s="33" t="str">
        <f t="shared" si="699"/>
        <v>BS</v>
      </c>
    </row>
    <row r="11151" spans="1:13">
      <c r="A11151" s="33" t="str">
        <f t="shared" si="696"/>
        <v>SIL - Intercompany</v>
      </c>
      <c r="B11151" s="33" t="str">
        <f t="shared" si="697"/>
        <v>SIL</v>
      </c>
      <c r="C11151" s="33" t="str">
        <f t="shared" si="698"/>
        <v>11355-0000</v>
      </c>
      <c r="D11151" t="s">
        <v>12421</v>
      </c>
      <c r="E11151" t="s">
        <v>6131</v>
      </c>
      <c r="F11151" t="s">
        <v>230</v>
      </c>
      <c r="G11151" t="s">
        <v>16</v>
      </c>
      <c r="H11151" t="s">
        <v>39</v>
      </c>
      <c r="I11151" t="s">
        <v>40</v>
      </c>
      <c r="J11151" s="70">
        <v>201.56</v>
      </c>
      <c r="K11151" s="71">
        <v>201.56</v>
      </c>
      <c r="L11151" s="33" t="e">
        <f>HLOOKUP(B11151,#REF!,1,0)</f>
        <v>#REF!</v>
      </c>
      <c r="M11151" s="33" t="str">
        <f t="shared" si="699"/>
        <v>BS</v>
      </c>
    </row>
    <row r="11152" spans="1:13">
      <c r="A11152" s="33" t="str">
        <f t="shared" si="696"/>
        <v>SIL - Intercompany</v>
      </c>
      <c r="B11152" s="33" t="str">
        <f t="shared" si="697"/>
        <v>SIL</v>
      </c>
      <c r="C11152" s="33" t="str">
        <f t="shared" si="698"/>
        <v>11356-0000</v>
      </c>
      <c r="D11152" t="s">
        <v>12422</v>
      </c>
      <c r="E11152" t="s">
        <v>5392</v>
      </c>
      <c r="F11152" t="s">
        <v>405</v>
      </c>
      <c r="G11152" t="s">
        <v>16</v>
      </c>
      <c r="H11152" t="s">
        <v>39</v>
      </c>
      <c r="I11152" t="s">
        <v>40</v>
      </c>
      <c r="J11152" s="70">
        <v>-3720.29</v>
      </c>
      <c r="K11152" s="71">
        <v>620.8</v>
      </c>
      <c r="L11152" s="33" t="e">
        <f>HLOOKUP(B11152,#REF!,1,0)</f>
        <v>#REF!</v>
      </c>
      <c r="M11152" s="33" t="str">
        <f t="shared" si="699"/>
        <v>BS</v>
      </c>
    </row>
    <row r="11153" spans="1:13">
      <c r="A11153" s="33" t="str">
        <f t="shared" si="696"/>
        <v>SIL - Intercompany</v>
      </c>
      <c r="B11153" s="33" t="str">
        <f t="shared" si="697"/>
        <v>SIL</v>
      </c>
      <c r="C11153" s="33" t="str">
        <f t="shared" si="698"/>
        <v>11357-0000</v>
      </c>
      <c r="D11153" t="s">
        <v>12423</v>
      </c>
      <c r="E11153" t="s">
        <v>6133</v>
      </c>
      <c r="F11153" t="s">
        <v>230</v>
      </c>
      <c r="G11153" t="s">
        <v>12424</v>
      </c>
      <c r="H11153" t="s">
        <v>39</v>
      </c>
      <c r="I11153" t="s">
        <v>40</v>
      </c>
      <c r="J11153" s="70">
        <v>95.05</v>
      </c>
      <c r="K11153" s="71">
        <v>-217.97</v>
      </c>
      <c r="L11153" s="33" t="e">
        <f>HLOOKUP(B11153,#REF!,1,0)</f>
        <v>#REF!</v>
      </c>
      <c r="M11153" s="33" t="str">
        <f t="shared" si="699"/>
        <v>BS</v>
      </c>
    </row>
    <row r="11154" spans="1:13">
      <c r="A11154" s="33" t="str">
        <f t="shared" si="696"/>
        <v>SIL - Intercompany</v>
      </c>
      <c r="B11154" s="33" t="str">
        <f t="shared" si="697"/>
        <v>SIL</v>
      </c>
      <c r="C11154" s="33" t="str">
        <f t="shared" si="698"/>
        <v>11358-0000</v>
      </c>
      <c r="D11154" t="s">
        <v>12425</v>
      </c>
      <c r="E11154" t="s">
        <v>6135</v>
      </c>
      <c r="F11154" t="s">
        <v>230</v>
      </c>
      <c r="G11154" t="s">
        <v>12424</v>
      </c>
      <c r="H11154" t="s">
        <v>39</v>
      </c>
      <c r="I11154" t="s">
        <v>40</v>
      </c>
      <c r="J11154" s="70">
        <v>3378.87</v>
      </c>
      <c r="K11154" s="71">
        <v>6195.31</v>
      </c>
      <c r="L11154" s="33" t="e">
        <f>HLOOKUP(B11154,#REF!,1,0)</f>
        <v>#REF!</v>
      </c>
      <c r="M11154" s="33" t="str">
        <f t="shared" si="699"/>
        <v>BS</v>
      </c>
    </row>
    <row r="11155" spans="1:13">
      <c r="A11155" s="33" t="str">
        <f t="shared" si="696"/>
        <v>SIL - Intercompany</v>
      </c>
      <c r="B11155" s="33" t="str">
        <f t="shared" si="697"/>
        <v>SIL</v>
      </c>
      <c r="C11155" s="33" t="str">
        <f t="shared" si="698"/>
        <v>11359-0000</v>
      </c>
      <c r="D11155" t="s">
        <v>12426</v>
      </c>
      <c r="E11155" t="s">
        <v>5857</v>
      </c>
      <c r="F11155" t="s">
        <v>230</v>
      </c>
      <c r="G11155" t="s">
        <v>12424</v>
      </c>
      <c r="H11155" t="s">
        <v>39</v>
      </c>
      <c r="I11155" t="s">
        <v>40</v>
      </c>
      <c r="J11155" s="70">
        <v>-1944.57</v>
      </c>
      <c r="K11155" s="71">
        <v>6963.97</v>
      </c>
      <c r="L11155" s="33" t="e">
        <f>HLOOKUP(B11155,#REF!,1,0)</f>
        <v>#REF!</v>
      </c>
      <c r="M11155" s="33" t="str">
        <f t="shared" si="699"/>
        <v>BS</v>
      </c>
    </row>
    <row r="11156" spans="1:13">
      <c r="A11156" s="33" t="str">
        <f t="shared" si="696"/>
        <v>SIL - Intercompany</v>
      </c>
      <c r="B11156" s="33" t="str">
        <f t="shared" si="697"/>
        <v>SIL</v>
      </c>
      <c r="C11156" s="33" t="str">
        <f t="shared" si="698"/>
        <v>11361-0000</v>
      </c>
      <c r="D11156" t="s">
        <v>12427</v>
      </c>
      <c r="E11156" t="s">
        <v>6290</v>
      </c>
      <c r="F11156" t="s">
        <v>230</v>
      </c>
      <c r="G11156" t="s">
        <v>16</v>
      </c>
      <c r="H11156" t="s">
        <v>39</v>
      </c>
      <c r="I11156" t="s">
        <v>40</v>
      </c>
      <c r="J11156" s="70">
        <v>-17886.13</v>
      </c>
      <c r="K11156" s="71">
        <v>61967.79</v>
      </c>
      <c r="L11156" s="33" t="e">
        <f>HLOOKUP(B11156,#REF!,1,0)</f>
        <v>#REF!</v>
      </c>
      <c r="M11156" s="33" t="str">
        <f t="shared" si="699"/>
        <v>BS</v>
      </c>
    </row>
    <row r="11157" spans="1:13">
      <c r="A11157" s="33" t="str">
        <f t="shared" si="696"/>
        <v>SIL - Intercompany</v>
      </c>
      <c r="B11157" s="33" t="str">
        <f t="shared" si="697"/>
        <v>SIL</v>
      </c>
      <c r="C11157" s="33" t="str">
        <f t="shared" si="698"/>
        <v>11363-0000</v>
      </c>
      <c r="D11157" t="s">
        <v>12428</v>
      </c>
      <c r="E11157" t="s">
        <v>6139</v>
      </c>
      <c r="F11157" t="s">
        <v>230</v>
      </c>
      <c r="G11157" t="s">
        <v>16</v>
      </c>
      <c r="H11157" t="s">
        <v>39</v>
      </c>
      <c r="I11157" t="s">
        <v>40</v>
      </c>
      <c r="J11157" s="70">
        <v>-7446.57</v>
      </c>
      <c r="K11157" s="71">
        <v>6194.31</v>
      </c>
      <c r="L11157" s="33" t="e">
        <f>HLOOKUP(B11157,#REF!,1,0)</f>
        <v>#REF!</v>
      </c>
      <c r="M11157" s="33" t="str">
        <f t="shared" si="699"/>
        <v>BS</v>
      </c>
    </row>
    <row r="11158" spans="1:13">
      <c r="A11158" s="33" t="str">
        <f t="shared" si="696"/>
        <v>SIL - Revenue</v>
      </c>
      <c r="B11158" s="33" t="str">
        <f t="shared" si="697"/>
        <v>SIL</v>
      </c>
      <c r="C11158" s="33" t="str">
        <f t="shared" si="698"/>
        <v>40110-0001</v>
      </c>
      <c r="D11158" t="s">
        <v>12429</v>
      </c>
      <c r="E11158" t="s">
        <v>12430</v>
      </c>
      <c r="F11158" t="s">
        <v>230</v>
      </c>
      <c r="G11158" t="s">
        <v>3684</v>
      </c>
      <c r="H11158" t="s">
        <v>2871</v>
      </c>
      <c r="I11158" t="s">
        <v>3685</v>
      </c>
      <c r="J11158" s="70">
        <v>-1000</v>
      </c>
      <c r="K11158" s="71">
        <v>-10000</v>
      </c>
      <c r="L11158" s="33" t="e">
        <f>HLOOKUP(B11158,#REF!,1,0)</f>
        <v>#REF!</v>
      </c>
      <c r="M11158" s="33" t="str">
        <f t="shared" si="699"/>
        <v>P&amp;L</v>
      </c>
    </row>
    <row r="11159" spans="1:13">
      <c r="A11159" s="33" t="str">
        <f t="shared" si="696"/>
        <v>SIL - Revenue</v>
      </c>
      <c r="B11159" s="33" t="str">
        <f t="shared" si="697"/>
        <v>SIL</v>
      </c>
      <c r="C11159" s="33" t="str">
        <f t="shared" si="698"/>
        <v>41999-0001</v>
      </c>
      <c r="D11159" t="s">
        <v>12431</v>
      </c>
      <c r="E11159" t="s">
        <v>12432</v>
      </c>
      <c r="F11159" t="s">
        <v>230</v>
      </c>
      <c r="G11159" t="s">
        <v>3713</v>
      </c>
      <c r="H11159" t="s">
        <v>2871</v>
      </c>
      <c r="I11159" t="s">
        <v>3714</v>
      </c>
      <c r="J11159" s="70">
        <v>1000</v>
      </c>
      <c r="K11159" s="71">
        <v>10000</v>
      </c>
      <c r="L11159" s="33" t="e">
        <f>HLOOKUP(B11159,#REF!,1,0)</f>
        <v>#REF!</v>
      </c>
      <c r="M11159" s="33" t="str">
        <f t="shared" si="699"/>
        <v>P&amp;L</v>
      </c>
    </row>
    <row r="11160" spans="1:13">
      <c r="A11160" s="33" t="str">
        <f t="shared" si="696"/>
        <v>SIL - Revenue</v>
      </c>
      <c r="B11160" s="33" t="str">
        <f t="shared" si="697"/>
        <v>SIL</v>
      </c>
      <c r="C11160" s="33" t="str">
        <f t="shared" si="698"/>
        <v>47300-0000</v>
      </c>
      <c r="D11160" t="s">
        <v>12433</v>
      </c>
      <c r="E11160" t="s">
        <v>12434</v>
      </c>
      <c r="F11160" t="s">
        <v>230</v>
      </c>
      <c r="G11160" t="s">
        <v>3717</v>
      </c>
      <c r="H11160" t="s">
        <v>2871</v>
      </c>
      <c r="I11160" t="s">
        <v>12435</v>
      </c>
      <c r="J11160" s="70">
        <v>-83220.43</v>
      </c>
      <c r="K11160" s="71">
        <v>-1489866.34</v>
      </c>
      <c r="L11160" s="33" t="e">
        <f>HLOOKUP(B11160,#REF!,1,0)</f>
        <v>#REF!</v>
      </c>
      <c r="M11160" s="33" t="str">
        <f t="shared" si="699"/>
        <v>P&amp;L</v>
      </c>
    </row>
    <row r="11161" spans="1:13">
      <c r="A11161" s="33" t="str">
        <f t="shared" si="696"/>
        <v>SIL - Revenue</v>
      </c>
      <c r="B11161" s="33" t="str">
        <f t="shared" si="697"/>
        <v>SIL</v>
      </c>
      <c r="C11161" s="33" t="str">
        <f t="shared" si="698"/>
        <v>47400-0000</v>
      </c>
      <c r="D11161" t="s">
        <v>12436</v>
      </c>
      <c r="E11161" t="s">
        <v>3716</v>
      </c>
      <c r="F11161" t="s">
        <v>230</v>
      </c>
      <c r="G11161" t="s">
        <v>3717</v>
      </c>
      <c r="H11161" t="s">
        <v>2871</v>
      </c>
      <c r="I11161" t="s">
        <v>3718</v>
      </c>
      <c r="J11161" s="70">
        <v>0</v>
      </c>
      <c r="K11161" s="71">
        <v>0</v>
      </c>
      <c r="L11161" s="33" t="e">
        <f>HLOOKUP(B11161,#REF!,1,0)</f>
        <v>#REF!</v>
      </c>
      <c r="M11161" s="33" t="str">
        <f t="shared" si="699"/>
        <v>P&amp;L</v>
      </c>
    </row>
    <row r="11162" spans="1:13">
      <c r="A11162" s="33" t="str">
        <f t="shared" si="696"/>
        <v>SIL - Revenue</v>
      </c>
      <c r="B11162" s="33" t="str">
        <f t="shared" si="697"/>
        <v>SIL</v>
      </c>
      <c r="C11162" s="33" t="str">
        <f t="shared" si="698"/>
        <v>47400-0001</v>
      </c>
      <c r="D11162" t="s">
        <v>12437</v>
      </c>
      <c r="E11162" t="s">
        <v>12438</v>
      </c>
      <c r="F11162" t="s">
        <v>230</v>
      </c>
      <c r="G11162" t="s">
        <v>3717</v>
      </c>
      <c r="H11162" t="s">
        <v>2871</v>
      </c>
      <c r="I11162" t="s">
        <v>3718</v>
      </c>
      <c r="J11162" s="70">
        <v>-1000</v>
      </c>
      <c r="K11162" s="71">
        <v>-10000</v>
      </c>
      <c r="L11162" s="33" t="e">
        <f>HLOOKUP(B11162,#REF!,1,0)</f>
        <v>#REF!</v>
      </c>
      <c r="M11162" s="33" t="str">
        <f t="shared" si="699"/>
        <v>P&amp;L</v>
      </c>
    </row>
    <row r="11163" spans="1:13">
      <c r="A11163" s="33" t="str">
        <f t="shared" si="696"/>
        <v>SIL - Revenue</v>
      </c>
      <c r="B11163" s="33" t="str">
        <f t="shared" si="697"/>
        <v>SIL</v>
      </c>
      <c r="C11163" s="33" t="str">
        <f t="shared" si="698"/>
        <v>47440-0000</v>
      </c>
      <c r="D11163" t="s">
        <v>12439</v>
      </c>
      <c r="E11163" t="s">
        <v>3720</v>
      </c>
      <c r="F11163" t="s">
        <v>230</v>
      </c>
      <c r="G11163" t="s">
        <v>3717</v>
      </c>
      <c r="H11163" t="s">
        <v>2871</v>
      </c>
      <c r="I11163" t="s">
        <v>3721</v>
      </c>
      <c r="J11163" s="70">
        <v>-237587.2</v>
      </c>
      <c r="K11163" s="71">
        <v>-1837587.2</v>
      </c>
      <c r="L11163" s="33" t="e">
        <f>HLOOKUP(B11163,#REF!,1,0)</f>
        <v>#REF!</v>
      </c>
      <c r="M11163" s="33" t="str">
        <f t="shared" si="699"/>
        <v>P&amp;L</v>
      </c>
    </row>
    <row r="11164" spans="1:13">
      <c r="A11164" s="33" t="str">
        <f t="shared" si="696"/>
        <v>SIL - CGS</v>
      </c>
      <c r="B11164" s="33" t="str">
        <f t="shared" si="697"/>
        <v>SIL</v>
      </c>
      <c r="C11164" s="33" t="str">
        <f t="shared" si="698"/>
        <v>51001-0000</v>
      </c>
      <c r="D11164" t="s">
        <v>12440</v>
      </c>
      <c r="E11164" t="s">
        <v>4536</v>
      </c>
      <c r="F11164" t="s">
        <v>230</v>
      </c>
      <c r="G11164" t="s">
        <v>3740</v>
      </c>
      <c r="H11164" t="s">
        <v>1875</v>
      </c>
      <c r="I11164" t="s">
        <v>4537</v>
      </c>
      <c r="J11164" s="70">
        <v>0</v>
      </c>
      <c r="K11164" s="71">
        <v>316.38</v>
      </c>
      <c r="L11164" s="33" t="e">
        <f>HLOOKUP(B11164,#REF!,1,0)</f>
        <v>#REF!</v>
      </c>
      <c r="M11164" s="33" t="str">
        <f t="shared" si="699"/>
        <v>P&amp;L</v>
      </c>
    </row>
    <row r="11165" spans="1:13">
      <c r="A11165" s="33" t="str">
        <f t="shared" si="696"/>
        <v>SIL - CGS</v>
      </c>
      <c r="B11165" s="33" t="str">
        <f t="shared" si="697"/>
        <v>SIL</v>
      </c>
      <c r="C11165" s="33" t="str">
        <f t="shared" si="698"/>
        <v>51004-0000</v>
      </c>
      <c r="D11165" t="s">
        <v>12441</v>
      </c>
      <c r="E11165" t="s">
        <v>6433</v>
      </c>
      <c r="F11165" t="s">
        <v>230</v>
      </c>
      <c r="G11165" t="s">
        <v>3740</v>
      </c>
      <c r="H11165" t="s">
        <v>1875</v>
      </c>
      <c r="I11165" t="s">
        <v>6434</v>
      </c>
      <c r="J11165" s="70">
        <v>0</v>
      </c>
      <c r="K11165" s="71">
        <v>1185.96</v>
      </c>
      <c r="L11165" s="33" t="e">
        <f>HLOOKUP(B11165,#REF!,1,0)</f>
        <v>#REF!</v>
      </c>
      <c r="M11165" s="33" t="str">
        <f t="shared" si="699"/>
        <v>P&amp;L</v>
      </c>
    </row>
    <row r="11166" spans="1:13">
      <c r="A11166" s="33" t="str">
        <f t="shared" si="696"/>
        <v>SIL - CGS</v>
      </c>
      <c r="B11166" s="33" t="str">
        <f t="shared" si="697"/>
        <v>SIL</v>
      </c>
      <c r="C11166" s="33" t="str">
        <f t="shared" si="698"/>
        <v>51007-0000</v>
      </c>
      <c r="D11166" t="s">
        <v>12442</v>
      </c>
      <c r="E11166" t="s">
        <v>3972</v>
      </c>
      <c r="F11166" t="s">
        <v>230</v>
      </c>
      <c r="G11166" t="s">
        <v>3740</v>
      </c>
      <c r="H11166" t="s">
        <v>1875</v>
      </c>
      <c r="I11166" t="s">
        <v>3973</v>
      </c>
      <c r="J11166" s="70">
        <v>0</v>
      </c>
      <c r="K11166" s="71">
        <v>39.99</v>
      </c>
      <c r="L11166" s="33" t="e">
        <f>HLOOKUP(B11166,#REF!,1,0)</f>
        <v>#REF!</v>
      </c>
      <c r="M11166" s="33" t="str">
        <f t="shared" si="699"/>
        <v>P&amp;L</v>
      </c>
    </row>
    <row r="11167" spans="1:13">
      <c r="A11167" s="33" t="str">
        <f t="shared" si="696"/>
        <v>SIL - CGS</v>
      </c>
      <c r="B11167" s="33" t="str">
        <f t="shared" si="697"/>
        <v>SIL</v>
      </c>
      <c r="C11167" s="33" t="str">
        <f t="shared" si="698"/>
        <v>51008-0000</v>
      </c>
      <c r="D11167" t="s">
        <v>12443</v>
      </c>
      <c r="E11167" t="s">
        <v>3743</v>
      </c>
      <c r="F11167" t="s">
        <v>230</v>
      </c>
      <c r="G11167" t="s">
        <v>3740</v>
      </c>
      <c r="H11167" t="s">
        <v>1875</v>
      </c>
      <c r="I11167" t="s">
        <v>3744</v>
      </c>
      <c r="J11167" s="70">
        <v>11361.7</v>
      </c>
      <c r="K11167" s="71">
        <v>50831.4</v>
      </c>
      <c r="L11167" s="33" t="e">
        <f>HLOOKUP(B11167,#REF!,1,0)</f>
        <v>#REF!</v>
      </c>
      <c r="M11167" s="33" t="str">
        <f t="shared" si="699"/>
        <v>P&amp;L</v>
      </c>
    </row>
    <row r="11168" spans="1:13">
      <c r="A11168" s="33" t="str">
        <f t="shared" si="696"/>
        <v>SIL - CGS</v>
      </c>
      <c r="B11168" s="33" t="str">
        <f t="shared" si="697"/>
        <v>SIL</v>
      </c>
      <c r="C11168" s="33" t="str">
        <f t="shared" si="698"/>
        <v>51009-0000</v>
      </c>
      <c r="D11168" t="s">
        <v>12444</v>
      </c>
      <c r="E11168" t="s">
        <v>3746</v>
      </c>
      <c r="F11168" t="s">
        <v>230</v>
      </c>
      <c r="G11168" t="s">
        <v>3740</v>
      </c>
      <c r="H11168" t="s">
        <v>1875</v>
      </c>
      <c r="I11168" t="s">
        <v>3747</v>
      </c>
      <c r="J11168" s="70">
        <v>0</v>
      </c>
      <c r="K11168" s="71">
        <v>207</v>
      </c>
      <c r="L11168" s="33" t="e">
        <f>HLOOKUP(B11168,#REF!,1,0)</f>
        <v>#REF!</v>
      </c>
      <c r="M11168" s="33" t="str">
        <f t="shared" si="699"/>
        <v>P&amp;L</v>
      </c>
    </row>
    <row r="11169" spans="1:13">
      <c r="A11169" s="33" t="str">
        <f t="shared" si="696"/>
        <v>SIL - CGS</v>
      </c>
      <c r="B11169" s="33" t="str">
        <f t="shared" si="697"/>
        <v>SIL</v>
      </c>
      <c r="C11169" s="33" t="str">
        <f t="shared" si="698"/>
        <v>51015-0000</v>
      </c>
      <c r="D11169" t="s">
        <v>12445</v>
      </c>
      <c r="E11169" t="s">
        <v>3755</v>
      </c>
      <c r="F11169" t="s">
        <v>230</v>
      </c>
      <c r="G11169" t="s">
        <v>3740</v>
      </c>
      <c r="H11169" t="s">
        <v>1875</v>
      </c>
      <c r="I11169" t="s">
        <v>3756</v>
      </c>
      <c r="J11169" s="70">
        <v>7123.92</v>
      </c>
      <c r="K11169" s="71">
        <v>106709.04</v>
      </c>
      <c r="L11169" s="33" t="e">
        <f>HLOOKUP(B11169,#REF!,1,0)</f>
        <v>#REF!</v>
      </c>
      <c r="M11169" s="33" t="str">
        <f t="shared" si="699"/>
        <v>P&amp;L</v>
      </c>
    </row>
    <row r="11170" spans="1:13">
      <c r="A11170" s="33" t="str">
        <f t="shared" si="696"/>
        <v>SIL - CGS</v>
      </c>
      <c r="B11170" s="33" t="str">
        <f t="shared" si="697"/>
        <v>SIL</v>
      </c>
      <c r="C11170" s="33" t="str">
        <f t="shared" si="698"/>
        <v>51017-0000</v>
      </c>
      <c r="D11170" t="s">
        <v>12446</v>
      </c>
      <c r="E11170" t="s">
        <v>3758</v>
      </c>
      <c r="F11170" t="s">
        <v>230</v>
      </c>
      <c r="G11170" t="s">
        <v>3160</v>
      </c>
      <c r="H11170" t="s">
        <v>1875</v>
      </c>
      <c r="I11170" t="s">
        <v>3759</v>
      </c>
      <c r="J11170" s="70">
        <v>3078.6</v>
      </c>
      <c r="K11170" s="71">
        <v>21178.9</v>
      </c>
      <c r="L11170" s="33" t="e">
        <f>HLOOKUP(B11170,#REF!,1,0)</f>
        <v>#REF!</v>
      </c>
      <c r="M11170" s="33" t="str">
        <f t="shared" si="699"/>
        <v>P&amp;L</v>
      </c>
    </row>
    <row r="11171" spans="1:13">
      <c r="A11171" s="33" t="str">
        <f t="shared" si="696"/>
        <v>SIL - CGS</v>
      </c>
      <c r="B11171" s="33" t="str">
        <f t="shared" si="697"/>
        <v>SIL</v>
      </c>
      <c r="C11171" s="33" t="str">
        <f t="shared" si="698"/>
        <v>51018-0000</v>
      </c>
      <c r="D11171" t="s">
        <v>12447</v>
      </c>
      <c r="E11171" t="s">
        <v>3984</v>
      </c>
      <c r="F11171" t="s">
        <v>230</v>
      </c>
      <c r="G11171" t="s">
        <v>3740</v>
      </c>
      <c r="H11171" t="s">
        <v>1875</v>
      </c>
      <c r="I11171" t="s">
        <v>3319</v>
      </c>
      <c r="J11171" s="70">
        <v>0</v>
      </c>
      <c r="K11171" s="71">
        <v>1519</v>
      </c>
      <c r="L11171" s="33" t="e">
        <f>HLOOKUP(B11171,#REF!,1,0)</f>
        <v>#REF!</v>
      </c>
      <c r="M11171" s="33" t="str">
        <f t="shared" si="699"/>
        <v>P&amp;L</v>
      </c>
    </row>
    <row r="11172" spans="1:13">
      <c r="A11172" s="33" t="str">
        <f t="shared" si="696"/>
        <v>SIL - CGS</v>
      </c>
      <c r="B11172" s="33" t="str">
        <f t="shared" si="697"/>
        <v>SIL</v>
      </c>
      <c r="C11172" s="33" t="str">
        <f t="shared" si="698"/>
        <v>51019-0000</v>
      </c>
      <c r="D11172" t="s">
        <v>12448</v>
      </c>
      <c r="E11172" t="s">
        <v>3761</v>
      </c>
      <c r="F11172" t="s">
        <v>230</v>
      </c>
      <c r="G11172" t="s">
        <v>3740</v>
      </c>
      <c r="H11172" t="s">
        <v>1875</v>
      </c>
      <c r="I11172" t="s">
        <v>3340</v>
      </c>
      <c r="J11172" s="70">
        <v>207.08</v>
      </c>
      <c r="K11172" s="71">
        <v>30706.11</v>
      </c>
      <c r="L11172" s="33" t="e">
        <f>HLOOKUP(B11172,#REF!,1,0)</f>
        <v>#REF!</v>
      </c>
      <c r="M11172" s="33" t="str">
        <f t="shared" si="699"/>
        <v>P&amp;L</v>
      </c>
    </row>
    <row r="11173" spans="1:13">
      <c r="A11173" s="33" t="str">
        <f t="shared" si="696"/>
        <v>SIL - CGS</v>
      </c>
      <c r="B11173" s="33" t="str">
        <f t="shared" si="697"/>
        <v>SIL</v>
      </c>
      <c r="C11173" s="33" t="str">
        <f t="shared" si="698"/>
        <v>51020-0000</v>
      </c>
      <c r="D11173" t="s">
        <v>12449</v>
      </c>
      <c r="E11173" t="s">
        <v>3763</v>
      </c>
      <c r="F11173" t="s">
        <v>230</v>
      </c>
      <c r="G11173" t="s">
        <v>3740</v>
      </c>
      <c r="H11173" t="s">
        <v>1875</v>
      </c>
      <c r="I11173" t="s">
        <v>3345</v>
      </c>
      <c r="J11173" s="70">
        <v>48.69</v>
      </c>
      <c r="K11173" s="71">
        <v>1533.67</v>
      </c>
      <c r="L11173" s="33" t="e">
        <f>HLOOKUP(B11173,#REF!,1,0)</f>
        <v>#REF!</v>
      </c>
      <c r="M11173" s="33" t="str">
        <f t="shared" si="699"/>
        <v>P&amp;L</v>
      </c>
    </row>
    <row r="11174" spans="1:13">
      <c r="A11174" s="33" t="str">
        <f t="shared" si="696"/>
        <v>SIL - CGS</v>
      </c>
      <c r="B11174" s="33" t="str">
        <f t="shared" si="697"/>
        <v>SIL</v>
      </c>
      <c r="C11174" s="33" t="str">
        <f t="shared" si="698"/>
        <v>51024-0000</v>
      </c>
      <c r="D11174" t="s">
        <v>12450</v>
      </c>
      <c r="E11174" t="s">
        <v>3765</v>
      </c>
      <c r="F11174" t="s">
        <v>230</v>
      </c>
      <c r="G11174" t="s">
        <v>3740</v>
      </c>
      <c r="H11174" t="s">
        <v>1875</v>
      </c>
      <c r="I11174" t="s">
        <v>3766</v>
      </c>
      <c r="J11174" s="70">
        <v>56.37</v>
      </c>
      <c r="K11174" s="71">
        <v>14522.09</v>
      </c>
      <c r="L11174" s="33" t="e">
        <f>HLOOKUP(B11174,#REF!,1,0)</f>
        <v>#REF!</v>
      </c>
      <c r="M11174" s="33" t="str">
        <f t="shared" si="699"/>
        <v>P&amp;L</v>
      </c>
    </row>
    <row r="11175" spans="1:13">
      <c r="A11175" s="33" t="str">
        <f t="shared" si="696"/>
        <v>SIL - CGS</v>
      </c>
      <c r="B11175" s="33" t="str">
        <f t="shared" si="697"/>
        <v>SIL</v>
      </c>
      <c r="C11175" s="33" t="str">
        <f t="shared" si="698"/>
        <v>51025-0000</v>
      </c>
      <c r="D11175" t="s">
        <v>12451</v>
      </c>
      <c r="E11175" t="s">
        <v>3988</v>
      </c>
      <c r="F11175" t="s">
        <v>230</v>
      </c>
      <c r="G11175" t="s">
        <v>3740</v>
      </c>
      <c r="H11175" t="s">
        <v>1875</v>
      </c>
      <c r="I11175" t="s">
        <v>3989</v>
      </c>
      <c r="J11175" s="70">
        <v>7180.86</v>
      </c>
      <c r="K11175" s="71">
        <v>65171.59</v>
      </c>
      <c r="L11175" s="33" t="e">
        <f>HLOOKUP(B11175,#REF!,1,0)</f>
        <v>#REF!</v>
      </c>
      <c r="M11175" s="33" t="str">
        <f t="shared" si="699"/>
        <v>P&amp;L</v>
      </c>
    </row>
    <row r="11176" spans="1:13">
      <c r="A11176" s="33" t="str">
        <f t="shared" si="696"/>
        <v>SIL - CGS</v>
      </c>
      <c r="B11176" s="33" t="str">
        <f t="shared" si="697"/>
        <v>SIL</v>
      </c>
      <c r="C11176" s="33" t="str">
        <f t="shared" si="698"/>
        <v>52001-0000</v>
      </c>
      <c r="D11176" t="s">
        <v>12452</v>
      </c>
      <c r="E11176" t="s">
        <v>3768</v>
      </c>
      <c r="F11176" t="s">
        <v>230</v>
      </c>
      <c r="G11176" t="s">
        <v>3769</v>
      </c>
      <c r="H11176" t="s">
        <v>1875</v>
      </c>
      <c r="I11176" t="s">
        <v>3770</v>
      </c>
      <c r="J11176" s="70">
        <v>0</v>
      </c>
      <c r="K11176" s="71">
        <v>6785.59</v>
      </c>
      <c r="L11176" s="33" t="e">
        <f>HLOOKUP(B11176,#REF!,1,0)</f>
        <v>#REF!</v>
      </c>
      <c r="M11176" s="33" t="str">
        <f t="shared" si="699"/>
        <v>P&amp;L</v>
      </c>
    </row>
    <row r="11177" spans="1:13">
      <c r="A11177" s="33" t="str">
        <f t="shared" si="696"/>
        <v>SIL - CGS</v>
      </c>
      <c r="B11177" s="33" t="str">
        <f t="shared" si="697"/>
        <v>SIL</v>
      </c>
      <c r="C11177" s="33" t="str">
        <f t="shared" si="698"/>
        <v>53001-0000</v>
      </c>
      <c r="D11177" t="s">
        <v>12453</v>
      </c>
      <c r="E11177" t="s">
        <v>3781</v>
      </c>
      <c r="F11177" t="s">
        <v>230</v>
      </c>
      <c r="G11177" t="s">
        <v>3160</v>
      </c>
      <c r="H11177" t="s">
        <v>1875</v>
      </c>
      <c r="I11177" t="s">
        <v>3782</v>
      </c>
      <c r="J11177" s="70">
        <v>757.24</v>
      </c>
      <c r="K11177" s="71">
        <v>9625.12</v>
      </c>
      <c r="L11177" s="33" t="e">
        <f>HLOOKUP(B11177,#REF!,1,0)</f>
        <v>#REF!</v>
      </c>
      <c r="M11177" s="33" t="str">
        <f t="shared" si="699"/>
        <v>P&amp;L</v>
      </c>
    </row>
    <row r="11178" spans="1:13">
      <c r="A11178" s="33" t="str">
        <f t="shared" si="696"/>
        <v>SIL - CGS</v>
      </c>
      <c r="B11178" s="33" t="str">
        <f t="shared" si="697"/>
        <v>SIL</v>
      </c>
      <c r="C11178" s="33" t="str">
        <f t="shared" si="698"/>
        <v>53002-0000</v>
      </c>
      <c r="D11178" t="s">
        <v>12454</v>
      </c>
      <c r="E11178" t="s">
        <v>3784</v>
      </c>
      <c r="F11178" t="s">
        <v>230</v>
      </c>
      <c r="G11178" t="s">
        <v>3160</v>
      </c>
      <c r="H11178" t="s">
        <v>1875</v>
      </c>
      <c r="I11178" t="s">
        <v>3785</v>
      </c>
      <c r="J11178" s="70">
        <v>3377.65</v>
      </c>
      <c r="K11178" s="71">
        <v>3377.65</v>
      </c>
      <c r="L11178" s="33" t="e">
        <f>HLOOKUP(B11178,#REF!,1,0)</f>
        <v>#REF!</v>
      </c>
      <c r="M11178" s="33" t="str">
        <f t="shared" si="699"/>
        <v>P&amp;L</v>
      </c>
    </row>
    <row r="11179" spans="1:13">
      <c r="A11179" s="33" t="str">
        <f t="shared" si="696"/>
        <v>SIL - CGS</v>
      </c>
      <c r="B11179" s="33" t="str">
        <f t="shared" si="697"/>
        <v>SIL</v>
      </c>
      <c r="C11179" s="33" t="str">
        <f t="shared" si="698"/>
        <v>53003-0000</v>
      </c>
      <c r="D11179" t="s">
        <v>12455</v>
      </c>
      <c r="E11179" t="s">
        <v>3787</v>
      </c>
      <c r="F11179" t="s">
        <v>230</v>
      </c>
      <c r="G11179" t="s">
        <v>3160</v>
      </c>
      <c r="H11179" t="s">
        <v>1875</v>
      </c>
      <c r="I11179" t="s">
        <v>3788</v>
      </c>
      <c r="J11179" s="70">
        <v>132.89</v>
      </c>
      <c r="K11179" s="71">
        <v>132.89</v>
      </c>
      <c r="L11179" s="33" t="e">
        <f>HLOOKUP(B11179,#REF!,1,0)</f>
        <v>#REF!</v>
      </c>
      <c r="M11179" s="33" t="str">
        <f t="shared" si="699"/>
        <v>P&amp;L</v>
      </c>
    </row>
    <row r="11180" spans="1:13">
      <c r="A11180" s="33" t="str">
        <f t="shared" si="696"/>
        <v>SIL - CGS</v>
      </c>
      <c r="B11180" s="33" t="str">
        <f t="shared" si="697"/>
        <v>SIL</v>
      </c>
      <c r="C11180" s="33" t="str">
        <f t="shared" si="698"/>
        <v>53004-0000</v>
      </c>
      <c r="D11180" t="s">
        <v>12456</v>
      </c>
      <c r="E11180" t="s">
        <v>3790</v>
      </c>
      <c r="F11180" t="s">
        <v>230</v>
      </c>
      <c r="G11180" t="s">
        <v>3160</v>
      </c>
      <c r="H11180" t="s">
        <v>1875</v>
      </c>
      <c r="I11180" t="s">
        <v>3791</v>
      </c>
      <c r="J11180" s="70">
        <v>4125.51</v>
      </c>
      <c r="K11180" s="71">
        <v>4125.51</v>
      </c>
      <c r="L11180" s="33" t="e">
        <f>HLOOKUP(B11180,#REF!,1,0)</f>
        <v>#REF!</v>
      </c>
      <c r="M11180" s="33" t="str">
        <f t="shared" si="699"/>
        <v>P&amp;L</v>
      </c>
    </row>
    <row r="11181" spans="1:13">
      <c r="A11181" s="33" t="str">
        <f t="shared" si="696"/>
        <v>SIL - CGS</v>
      </c>
      <c r="B11181" s="33" t="str">
        <f t="shared" si="697"/>
        <v>SIL</v>
      </c>
      <c r="C11181" s="33" t="str">
        <f t="shared" si="698"/>
        <v>53005-0000</v>
      </c>
      <c r="D11181" t="s">
        <v>12457</v>
      </c>
      <c r="E11181" t="s">
        <v>3793</v>
      </c>
      <c r="F11181" t="s">
        <v>230</v>
      </c>
      <c r="G11181" t="s">
        <v>3160</v>
      </c>
      <c r="H11181" t="s">
        <v>1875</v>
      </c>
      <c r="I11181" t="s">
        <v>3794</v>
      </c>
      <c r="J11181" s="70">
        <v>1372.84</v>
      </c>
      <c r="K11181" s="71">
        <v>1372.84</v>
      </c>
      <c r="L11181" s="33" t="e">
        <f>HLOOKUP(B11181,#REF!,1,0)</f>
        <v>#REF!</v>
      </c>
      <c r="M11181" s="33" t="str">
        <f t="shared" si="699"/>
        <v>P&amp;L</v>
      </c>
    </row>
    <row r="11182" spans="1:13">
      <c r="A11182" s="33" t="str">
        <f t="shared" si="696"/>
        <v>SIL - CGS</v>
      </c>
      <c r="B11182" s="33" t="str">
        <f t="shared" si="697"/>
        <v>SIL</v>
      </c>
      <c r="C11182" s="33" t="str">
        <f t="shared" si="698"/>
        <v>53006-0000</v>
      </c>
      <c r="D11182" t="s">
        <v>12458</v>
      </c>
      <c r="E11182" t="s">
        <v>3796</v>
      </c>
      <c r="F11182" t="s">
        <v>230</v>
      </c>
      <c r="G11182" t="s">
        <v>3160</v>
      </c>
      <c r="H11182" t="s">
        <v>1875</v>
      </c>
      <c r="I11182" t="s">
        <v>3797</v>
      </c>
      <c r="J11182" s="70">
        <v>2638.21</v>
      </c>
      <c r="K11182" s="71">
        <v>2638.21</v>
      </c>
      <c r="L11182" s="33" t="e">
        <f>HLOOKUP(B11182,#REF!,1,0)</f>
        <v>#REF!</v>
      </c>
      <c r="M11182" s="33" t="str">
        <f t="shared" si="699"/>
        <v>P&amp;L</v>
      </c>
    </row>
    <row r="11183" spans="1:13">
      <c r="A11183" s="33" t="str">
        <f t="shared" si="696"/>
        <v>SIL - CGS</v>
      </c>
      <c r="B11183" s="33" t="str">
        <f t="shared" si="697"/>
        <v>SIL</v>
      </c>
      <c r="C11183" s="33" t="str">
        <f t="shared" si="698"/>
        <v>54001-0000</v>
      </c>
      <c r="D11183" t="s">
        <v>12459</v>
      </c>
      <c r="E11183" t="s">
        <v>4008</v>
      </c>
      <c r="F11183" t="s">
        <v>230</v>
      </c>
      <c r="G11183" t="s">
        <v>3800</v>
      </c>
      <c r="H11183" t="s">
        <v>1875</v>
      </c>
      <c r="I11183" t="s">
        <v>4018</v>
      </c>
      <c r="J11183" s="70">
        <v>1733.96</v>
      </c>
      <c r="K11183" s="71">
        <v>-16449.56</v>
      </c>
      <c r="L11183" s="33" t="e">
        <f>HLOOKUP(B11183,#REF!,1,0)</f>
        <v>#REF!</v>
      </c>
      <c r="M11183" s="33" t="str">
        <f t="shared" si="699"/>
        <v>P&amp;L</v>
      </c>
    </row>
    <row r="11184" spans="1:13">
      <c r="A11184" s="33" t="str">
        <f t="shared" si="696"/>
        <v>SIL - CGS</v>
      </c>
      <c r="B11184" s="33" t="str">
        <f t="shared" si="697"/>
        <v>SIL</v>
      </c>
      <c r="C11184" s="33" t="str">
        <f t="shared" si="698"/>
        <v>54002-0000</v>
      </c>
      <c r="D11184" t="s">
        <v>12460</v>
      </c>
      <c r="E11184" t="s">
        <v>3799</v>
      </c>
      <c r="F11184" t="s">
        <v>230</v>
      </c>
      <c r="G11184" t="s">
        <v>3800</v>
      </c>
      <c r="H11184" t="s">
        <v>1875</v>
      </c>
      <c r="I11184" t="s">
        <v>3801</v>
      </c>
      <c r="J11184" s="70">
        <v>7740</v>
      </c>
      <c r="K11184" s="71">
        <v>93038</v>
      </c>
      <c r="L11184" s="33" t="e">
        <f>HLOOKUP(B11184,#REF!,1,0)</f>
        <v>#REF!</v>
      </c>
      <c r="M11184" s="33" t="str">
        <f t="shared" si="699"/>
        <v>P&amp;L</v>
      </c>
    </row>
    <row r="11185" spans="1:13">
      <c r="A11185" s="33" t="str">
        <f t="shared" si="696"/>
        <v>SIL - CGS</v>
      </c>
      <c r="B11185" s="33" t="str">
        <f t="shared" si="697"/>
        <v>SIL</v>
      </c>
      <c r="C11185" s="33" t="str">
        <f t="shared" si="698"/>
        <v>54003-0000</v>
      </c>
      <c r="D11185" t="s">
        <v>12461</v>
      </c>
      <c r="E11185" t="s">
        <v>3803</v>
      </c>
      <c r="F11185" t="s">
        <v>230</v>
      </c>
      <c r="G11185" t="s">
        <v>3800</v>
      </c>
      <c r="H11185" t="s">
        <v>1875</v>
      </c>
      <c r="I11185" t="s">
        <v>3804</v>
      </c>
      <c r="J11185" s="70">
        <v>133986.45</v>
      </c>
      <c r="K11185" s="71">
        <v>1256246.01</v>
      </c>
      <c r="L11185" s="33" t="e">
        <f>HLOOKUP(B11185,#REF!,1,0)</f>
        <v>#REF!</v>
      </c>
      <c r="M11185" s="33" t="str">
        <f t="shared" si="699"/>
        <v>P&amp;L</v>
      </c>
    </row>
    <row r="11186" spans="1:13">
      <c r="A11186" s="33" t="str">
        <f t="shared" si="696"/>
        <v>SIL - CGS</v>
      </c>
      <c r="B11186" s="33" t="str">
        <f t="shared" si="697"/>
        <v>SIL</v>
      </c>
      <c r="C11186" s="33" t="str">
        <f t="shared" si="698"/>
        <v>54004-0000</v>
      </c>
      <c r="D11186" t="s">
        <v>12462</v>
      </c>
      <c r="E11186" t="s">
        <v>3806</v>
      </c>
      <c r="F11186" t="s">
        <v>230</v>
      </c>
      <c r="G11186" t="s">
        <v>3800</v>
      </c>
      <c r="H11186" t="s">
        <v>1875</v>
      </c>
      <c r="I11186" t="s">
        <v>3807</v>
      </c>
      <c r="J11186" s="70">
        <v>0</v>
      </c>
      <c r="K11186" s="71">
        <v>7534.19</v>
      </c>
      <c r="L11186" s="33" t="e">
        <f>HLOOKUP(B11186,#REF!,1,0)</f>
        <v>#REF!</v>
      </c>
      <c r="M11186" s="33" t="str">
        <f t="shared" si="699"/>
        <v>P&amp;L</v>
      </c>
    </row>
    <row r="11187" spans="1:13">
      <c r="A11187" s="33" t="str">
        <f t="shared" si="696"/>
        <v>SIL - CGS</v>
      </c>
      <c r="B11187" s="33" t="str">
        <f t="shared" si="697"/>
        <v>SIL</v>
      </c>
      <c r="C11187" s="33" t="str">
        <f t="shared" si="698"/>
        <v>54005-0000</v>
      </c>
      <c r="D11187" t="s">
        <v>12463</v>
      </c>
      <c r="E11187" t="s">
        <v>3809</v>
      </c>
      <c r="F11187" t="s">
        <v>230</v>
      </c>
      <c r="G11187" t="s">
        <v>3800</v>
      </c>
      <c r="H11187" t="s">
        <v>1875</v>
      </c>
      <c r="I11187" t="s">
        <v>3810</v>
      </c>
      <c r="J11187" s="70">
        <v>299.29</v>
      </c>
      <c r="K11187" s="71">
        <v>3506.55</v>
      </c>
      <c r="L11187" s="33" t="e">
        <f>HLOOKUP(B11187,#REF!,1,0)</f>
        <v>#REF!</v>
      </c>
      <c r="M11187" s="33" t="str">
        <f t="shared" si="699"/>
        <v>P&amp;L</v>
      </c>
    </row>
    <row r="11188" spans="1:13">
      <c r="A11188" s="33" t="str">
        <f t="shared" si="696"/>
        <v>SIL - CGS</v>
      </c>
      <c r="B11188" s="33" t="str">
        <f t="shared" si="697"/>
        <v>SIL</v>
      </c>
      <c r="C11188" s="33" t="str">
        <f t="shared" si="698"/>
        <v>54006-0000</v>
      </c>
      <c r="D11188" t="s">
        <v>12464</v>
      </c>
      <c r="E11188" t="s">
        <v>3812</v>
      </c>
      <c r="F11188" t="s">
        <v>230</v>
      </c>
      <c r="G11188" t="s">
        <v>3800</v>
      </c>
      <c r="H11188" t="s">
        <v>1875</v>
      </c>
      <c r="I11188" t="s">
        <v>3003</v>
      </c>
      <c r="J11188" s="70">
        <v>10531.76</v>
      </c>
      <c r="K11188" s="71">
        <v>108714.31</v>
      </c>
      <c r="L11188" s="33" t="e">
        <f>HLOOKUP(B11188,#REF!,1,0)</f>
        <v>#REF!</v>
      </c>
      <c r="M11188" s="33" t="str">
        <f t="shared" si="699"/>
        <v>P&amp;L</v>
      </c>
    </row>
    <row r="11189" spans="1:13">
      <c r="A11189" s="33" t="str">
        <f t="shared" si="696"/>
        <v>SIL - CGS</v>
      </c>
      <c r="B11189" s="33" t="str">
        <f t="shared" si="697"/>
        <v>SIL</v>
      </c>
      <c r="C11189" s="33" t="str">
        <f t="shared" si="698"/>
        <v>54007-0000</v>
      </c>
      <c r="D11189" t="s">
        <v>12465</v>
      </c>
      <c r="E11189" t="s">
        <v>3814</v>
      </c>
      <c r="F11189" t="s">
        <v>230</v>
      </c>
      <c r="G11189" t="s">
        <v>3800</v>
      </c>
      <c r="H11189" t="s">
        <v>1875</v>
      </c>
      <c r="I11189" t="s">
        <v>3815</v>
      </c>
      <c r="J11189" s="70">
        <v>0</v>
      </c>
      <c r="K11189" s="71">
        <v>0</v>
      </c>
      <c r="L11189" s="33" t="e">
        <f>HLOOKUP(B11189,#REF!,1,0)</f>
        <v>#REF!</v>
      </c>
      <c r="M11189" s="33" t="str">
        <f t="shared" si="699"/>
        <v>P&amp;L</v>
      </c>
    </row>
    <row r="11190" spans="1:13">
      <c r="A11190" s="33" t="str">
        <f t="shared" si="696"/>
        <v>SIL - CGS</v>
      </c>
      <c r="B11190" s="33" t="str">
        <f t="shared" si="697"/>
        <v>SIL</v>
      </c>
      <c r="C11190" s="33" t="str">
        <f t="shared" si="698"/>
        <v>54008-0000</v>
      </c>
      <c r="D11190" t="s">
        <v>12466</v>
      </c>
      <c r="E11190" t="s">
        <v>4017</v>
      </c>
      <c r="F11190" t="s">
        <v>230</v>
      </c>
      <c r="G11190" t="s">
        <v>3800</v>
      </c>
      <c r="H11190" t="s">
        <v>1875</v>
      </c>
      <c r="I11190" t="s">
        <v>4018</v>
      </c>
      <c r="J11190" s="70">
        <v>504.92</v>
      </c>
      <c r="K11190" s="71">
        <v>-851.07</v>
      </c>
      <c r="L11190" s="33" t="e">
        <f>HLOOKUP(B11190,#REF!,1,0)</f>
        <v>#REF!</v>
      </c>
      <c r="M11190" s="33" t="str">
        <f t="shared" si="699"/>
        <v>P&amp;L</v>
      </c>
    </row>
    <row r="11191" spans="1:13">
      <c r="A11191" s="33" t="str">
        <f t="shared" si="696"/>
        <v>SIL - CGS</v>
      </c>
      <c r="B11191" s="33" t="str">
        <f t="shared" si="697"/>
        <v>SIL</v>
      </c>
      <c r="C11191" s="33" t="str">
        <f t="shared" si="698"/>
        <v>57700-0000</v>
      </c>
      <c r="D11191" t="s">
        <v>12467</v>
      </c>
      <c r="E11191" t="s">
        <v>4354</v>
      </c>
      <c r="F11191" t="s">
        <v>230</v>
      </c>
      <c r="G11191" t="s">
        <v>3844</v>
      </c>
      <c r="H11191" t="s">
        <v>1875</v>
      </c>
      <c r="I11191" t="s">
        <v>3354</v>
      </c>
      <c r="J11191" s="70">
        <v>12000</v>
      </c>
      <c r="K11191" s="71">
        <v>17033.5</v>
      </c>
      <c r="L11191" s="33" t="e">
        <f>HLOOKUP(B11191,#REF!,1,0)</f>
        <v>#REF!</v>
      </c>
      <c r="M11191" s="33" t="str">
        <f t="shared" si="699"/>
        <v>P&amp;L</v>
      </c>
    </row>
    <row r="11192" spans="1:13">
      <c r="A11192" s="33" t="str">
        <f t="shared" si="696"/>
        <v>SIL - CGS</v>
      </c>
      <c r="B11192" s="33" t="str">
        <f t="shared" si="697"/>
        <v>SIL</v>
      </c>
      <c r="C11192" s="33" t="str">
        <f t="shared" si="698"/>
        <v>60002-0000</v>
      </c>
      <c r="D11192" t="s">
        <v>12468</v>
      </c>
      <c r="E11192" t="s">
        <v>3837</v>
      </c>
      <c r="F11192" t="s">
        <v>230</v>
      </c>
      <c r="G11192" t="s">
        <v>3838</v>
      </c>
      <c r="H11192" t="s">
        <v>1875</v>
      </c>
      <c r="I11192" t="s">
        <v>3839</v>
      </c>
      <c r="J11192" s="70">
        <v>452.52</v>
      </c>
      <c r="K11192" s="71">
        <v>1782.28</v>
      </c>
      <c r="L11192" s="33" t="e">
        <f>HLOOKUP(B11192,#REF!,1,0)</f>
        <v>#REF!</v>
      </c>
      <c r="M11192" s="33" t="str">
        <f t="shared" si="699"/>
        <v>P&amp;L</v>
      </c>
    </row>
    <row r="11193" spans="1:13">
      <c r="A11193" s="33" t="str">
        <f t="shared" si="696"/>
        <v>SIL - CGS</v>
      </c>
      <c r="B11193" s="33" t="str">
        <f t="shared" si="697"/>
        <v>SIL</v>
      </c>
      <c r="C11193" s="33" t="str">
        <f t="shared" si="698"/>
        <v>60005-0000</v>
      </c>
      <c r="D11193" t="s">
        <v>12469</v>
      </c>
      <c r="E11193" t="s">
        <v>3841</v>
      </c>
      <c r="F11193" t="s">
        <v>230</v>
      </c>
      <c r="G11193" t="s">
        <v>3838</v>
      </c>
      <c r="H11193" t="s">
        <v>1875</v>
      </c>
      <c r="I11193" t="s">
        <v>3842</v>
      </c>
      <c r="J11193" s="70">
        <v>5316.4</v>
      </c>
      <c r="K11193" s="71">
        <v>25253.4</v>
      </c>
      <c r="L11193" s="33" t="e">
        <f>HLOOKUP(B11193,#REF!,1,0)</f>
        <v>#REF!</v>
      </c>
      <c r="M11193" s="33" t="str">
        <f t="shared" si="699"/>
        <v>P&amp;L</v>
      </c>
    </row>
    <row r="11194" spans="1:13">
      <c r="A11194" s="33" t="str">
        <f t="shared" si="696"/>
        <v>SIL - Interest Expense</v>
      </c>
      <c r="B11194" s="33" t="str">
        <f t="shared" si="697"/>
        <v>SIL</v>
      </c>
      <c r="C11194" s="33" t="str">
        <f t="shared" si="698"/>
        <v>60006-0000</v>
      </c>
      <c r="D11194" t="s">
        <v>12470</v>
      </c>
      <c r="E11194" t="s">
        <v>3325</v>
      </c>
      <c r="F11194" t="s">
        <v>230</v>
      </c>
      <c r="G11194" t="s">
        <v>3844</v>
      </c>
      <c r="H11194" t="s">
        <v>3327</v>
      </c>
      <c r="I11194" t="s">
        <v>3328</v>
      </c>
      <c r="J11194" s="70">
        <v>0</v>
      </c>
      <c r="K11194" s="71">
        <v>0</v>
      </c>
      <c r="L11194" s="33" t="e">
        <f>HLOOKUP(B11194,#REF!,1,0)</f>
        <v>#REF!</v>
      </c>
      <c r="M11194" s="33" t="str">
        <f t="shared" si="699"/>
        <v>P&amp;L</v>
      </c>
    </row>
    <row r="11195" spans="1:13">
      <c r="A11195" s="33" t="str">
        <f t="shared" si="696"/>
        <v>SIL - CGS</v>
      </c>
      <c r="B11195" s="33" t="str">
        <f t="shared" si="697"/>
        <v>SIL</v>
      </c>
      <c r="C11195" s="33" t="str">
        <f t="shared" si="698"/>
        <v>60007-0000</v>
      </c>
      <c r="D11195" t="s">
        <v>12471</v>
      </c>
      <c r="E11195" t="s">
        <v>3846</v>
      </c>
      <c r="F11195" t="s">
        <v>230</v>
      </c>
      <c r="G11195" t="s">
        <v>3838</v>
      </c>
      <c r="H11195" t="s">
        <v>1875</v>
      </c>
      <c r="I11195" t="s">
        <v>3847</v>
      </c>
      <c r="J11195" s="70">
        <v>0</v>
      </c>
      <c r="K11195" s="71">
        <v>75009.06</v>
      </c>
      <c r="L11195" s="33" t="e">
        <f>HLOOKUP(B11195,#REF!,1,0)</f>
        <v>#REF!</v>
      </c>
      <c r="M11195" s="33" t="str">
        <f t="shared" si="699"/>
        <v>P&amp;L</v>
      </c>
    </row>
    <row r="11196" spans="1:13">
      <c r="A11196" s="33" t="str">
        <f t="shared" si="696"/>
        <v>SIL - CGS</v>
      </c>
      <c r="B11196" s="33" t="str">
        <f t="shared" si="697"/>
        <v>SIL</v>
      </c>
      <c r="C11196" s="33" t="str">
        <f t="shared" si="698"/>
        <v>60008-0000</v>
      </c>
      <c r="D11196" t="s">
        <v>12472</v>
      </c>
      <c r="E11196" t="s">
        <v>3849</v>
      </c>
      <c r="F11196" t="s">
        <v>230</v>
      </c>
      <c r="G11196" t="s">
        <v>3838</v>
      </c>
      <c r="H11196" t="s">
        <v>1875</v>
      </c>
      <c r="I11196" t="s">
        <v>3850</v>
      </c>
      <c r="J11196" s="70">
        <v>0</v>
      </c>
      <c r="K11196" s="71">
        <v>86297.45</v>
      </c>
      <c r="L11196" s="33" t="e">
        <f>HLOOKUP(B11196,#REF!,1,0)</f>
        <v>#REF!</v>
      </c>
      <c r="M11196" s="33" t="str">
        <f t="shared" si="699"/>
        <v>P&amp;L</v>
      </c>
    </row>
    <row r="11197" spans="1:13">
      <c r="A11197" s="33" t="str">
        <f t="shared" si="696"/>
        <v>SIL - CGS</v>
      </c>
      <c r="B11197" s="33" t="str">
        <f t="shared" si="697"/>
        <v>SIL</v>
      </c>
      <c r="C11197" s="33" t="str">
        <f t="shared" si="698"/>
        <v>60011-0000</v>
      </c>
      <c r="D11197" t="s">
        <v>12473</v>
      </c>
      <c r="E11197" t="s">
        <v>4199</v>
      </c>
      <c r="F11197" t="s">
        <v>230</v>
      </c>
      <c r="G11197" t="s">
        <v>3838</v>
      </c>
      <c r="H11197" t="s">
        <v>1875</v>
      </c>
      <c r="I11197" t="s">
        <v>4200</v>
      </c>
      <c r="J11197" s="70">
        <v>67.43</v>
      </c>
      <c r="K11197" s="71">
        <v>67.43</v>
      </c>
      <c r="L11197" s="33" t="e">
        <f>HLOOKUP(B11197,#REF!,1,0)</f>
        <v>#REF!</v>
      </c>
      <c r="M11197" s="33" t="str">
        <f t="shared" si="699"/>
        <v>P&amp;L</v>
      </c>
    </row>
    <row r="11198" spans="1:13">
      <c r="A11198" s="33" t="str">
        <f t="shared" si="696"/>
        <v>SIL - CGS</v>
      </c>
      <c r="B11198" s="33" t="str">
        <f t="shared" si="697"/>
        <v>SIL</v>
      </c>
      <c r="C11198" s="33" t="str">
        <f t="shared" si="698"/>
        <v>60012-0000</v>
      </c>
      <c r="D11198" t="s">
        <v>12474</v>
      </c>
      <c r="E11198" t="s">
        <v>3852</v>
      </c>
      <c r="F11198" t="s">
        <v>230</v>
      </c>
      <c r="G11198" t="s">
        <v>3838</v>
      </c>
      <c r="H11198" t="s">
        <v>1875</v>
      </c>
      <c r="I11198" t="s">
        <v>3853</v>
      </c>
      <c r="J11198" s="70">
        <v>0</v>
      </c>
      <c r="K11198" s="71">
        <v>1916.61</v>
      </c>
      <c r="L11198" s="33" t="e">
        <f>HLOOKUP(B11198,#REF!,1,0)</f>
        <v>#REF!</v>
      </c>
      <c r="M11198" s="33" t="str">
        <f t="shared" si="699"/>
        <v>P&amp;L</v>
      </c>
    </row>
    <row r="11199" spans="1:13">
      <c r="A11199" s="33" t="str">
        <f t="shared" si="696"/>
        <v>SIL - CGS</v>
      </c>
      <c r="B11199" s="33" t="str">
        <f t="shared" si="697"/>
        <v>SIL</v>
      </c>
      <c r="C11199" s="33" t="str">
        <f t="shared" si="698"/>
        <v>60014-0001</v>
      </c>
      <c r="D11199" t="s">
        <v>12475</v>
      </c>
      <c r="E11199" t="s">
        <v>12476</v>
      </c>
      <c r="F11199" t="s">
        <v>230</v>
      </c>
      <c r="G11199" t="s">
        <v>3838</v>
      </c>
      <c r="H11199" t="s">
        <v>1875</v>
      </c>
      <c r="I11199" t="s">
        <v>3856</v>
      </c>
      <c r="J11199" s="70">
        <v>0</v>
      </c>
      <c r="K11199" s="71">
        <v>540</v>
      </c>
      <c r="L11199" s="33" t="e">
        <f>HLOOKUP(B11199,#REF!,1,0)</f>
        <v>#REF!</v>
      </c>
      <c r="M11199" s="33" t="str">
        <f t="shared" si="699"/>
        <v>P&amp;L</v>
      </c>
    </row>
    <row r="11200" spans="1:13">
      <c r="A11200" s="33" t="str">
        <f t="shared" si="696"/>
        <v>SIL - CGS</v>
      </c>
      <c r="B11200" s="33" t="str">
        <f t="shared" si="697"/>
        <v>SIL</v>
      </c>
      <c r="C11200" s="33" t="str">
        <f t="shared" si="698"/>
        <v>60015-0000</v>
      </c>
      <c r="D11200" t="s">
        <v>12477</v>
      </c>
      <c r="E11200" t="s">
        <v>3858</v>
      </c>
      <c r="F11200" t="s">
        <v>230</v>
      </c>
      <c r="G11200" t="s">
        <v>3838</v>
      </c>
      <c r="H11200" t="s">
        <v>1875</v>
      </c>
      <c r="I11200" t="s">
        <v>3859</v>
      </c>
      <c r="J11200" s="70">
        <v>350.79</v>
      </c>
      <c r="K11200" s="71">
        <v>24541.62</v>
      </c>
      <c r="L11200" s="33" t="e">
        <f>HLOOKUP(B11200,#REF!,1,0)</f>
        <v>#REF!</v>
      </c>
      <c r="M11200" s="33" t="str">
        <f t="shared" si="699"/>
        <v>P&amp;L</v>
      </c>
    </row>
    <row r="11201" spans="1:13">
      <c r="A11201" s="33" t="str">
        <f t="shared" si="696"/>
        <v>SIL - Other Expenses</v>
      </c>
      <c r="B11201" s="33" t="str">
        <f t="shared" si="697"/>
        <v>SIL</v>
      </c>
      <c r="C11201" s="33" t="str">
        <f t="shared" si="698"/>
        <v>61018-0000</v>
      </c>
      <c r="D11201" t="s">
        <v>12478</v>
      </c>
      <c r="E11201" t="s">
        <v>3864</v>
      </c>
      <c r="F11201" t="s">
        <v>230</v>
      </c>
      <c r="G11201" t="s">
        <v>3838</v>
      </c>
      <c r="H11201" t="s">
        <v>3865</v>
      </c>
      <c r="I11201" t="s">
        <v>3866</v>
      </c>
      <c r="J11201" s="70">
        <v>451499.79</v>
      </c>
      <c r="K11201" s="71">
        <v>1929163.15</v>
      </c>
      <c r="L11201" s="33" t="e">
        <f>HLOOKUP(B11201,#REF!,1,0)</f>
        <v>#REF!</v>
      </c>
      <c r="M11201" s="33" t="str">
        <f t="shared" si="699"/>
        <v>P&amp;L</v>
      </c>
    </row>
    <row r="11202" spans="1:13">
      <c r="A11202" s="33" t="str">
        <f t="shared" ref="A11202:A11265" si="700">B11202&amp;" - "&amp;TRIM(H11202)</f>
        <v>SIL - Income Tax</v>
      </c>
      <c r="B11202" s="33" t="str">
        <f t="shared" ref="B11202:B11265" si="701">LEFT(D11202,3)</f>
        <v>SIL</v>
      </c>
      <c r="C11202" s="33" t="str">
        <f t="shared" ref="C11202:C11265" si="702">RIGHT(D11202,10)</f>
        <v>61019-0000</v>
      </c>
      <c r="D11202" t="s">
        <v>12479</v>
      </c>
      <c r="E11202" t="s">
        <v>4041</v>
      </c>
      <c r="F11202" t="s">
        <v>230</v>
      </c>
      <c r="G11202" t="s">
        <v>3844</v>
      </c>
      <c r="H11202" t="s">
        <v>3378</v>
      </c>
      <c r="I11202" t="s">
        <v>4042</v>
      </c>
      <c r="J11202" s="70">
        <v>3635.86</v>
      </c>
      <c r="K11202" s="71">
        <v>13635.86</v>
      </c>
      <c r="L11202" s="33" t="e">
        <f>HLOOKUP(B11202,#REF!,1,0)</f>
        <v>#REF!</v>
      </c>
      <c r="M11202" s="33" t="str">
        <f t="shared" ref="M11202:M11265" si="703">IF(VALUE(LEFT(C11202,5))&gt;40000,"P&amp;L","BS")</f>
        <v>P&amp;L</v>
      </c>
    </row>
    <row r="11203" spans="1:13">
      <c r="A11203" s="33" t="str">
        <f t="shared" si="700"/>
        <v>SIL - Other Income/Expense</v>
      </c>
      <c r="B11203" s="33" t="str">
        <f t="shared" si="701"/>
        <v>SIL</v>
      </c>
      <c r="C11203" s="33" t="str">
        <f t="shared" si="702"/>
        <v>61022-0000</v>
      </c>
      <c r="D11203" t="s">
        <v>12480</v>
      </c>
      <c r="E11203" t="s">
        <v>4286</v>
      </c>
      <c r="F11203" t="s">
        <v>230</v>
      </c>
      <c r="G11203" t="s">
        <v>3838</v>
      </c>
      <c r="H11203" t="s">
        <v>3300</v>
      </c>
      <c r="I11203" t="s">
        <v>4287</v>
      </c>
      <c r="J11203" s="70">
        <v>3707.2</v>
      </c>
      <c r="K11203" s="71">
        <v>39196.63</v>
      </c>
      <c r="L11203" s="33" t="e">
        <f>HLOOKUP(B11203,#REF!,1,0)</f>
        <v>#REF!</v>
      </c>
      <c r="M11203" s="33" t="str">
        <f t="shared" si="703"/>
        <v>P&amp;L</v>
      </c>
    </row>
    <row r="11204" spans="1:13">
      <c r="A11204" s="33" t="str">
        <f t="shared" si="700"/>
        <v>SIL - CGS</v>
      </c>
      <c r="B11204" s="33" t="str">
        <f t="shared" si="701"/>
        <v>SIL</v>
      </c>
      <c r="C11204" s="33" t="str">
        <f t="shared" si="702"/>
        <v>61023-0000</v>
      </c>
      <c r="D11204" t="s">
        <v>12481</v>
      </c>
      <c r="E11204" t="s">
        <v>3868</v>
      </c>
      <c r="F11204" t="s">
        <v>230</v>
      </c>
      <c r="G11204" t="s">
        <v>3838</v>
      </c>
      <c r="H11204" t="s">
        <v>1875</v>
      </c>
      <c r="I11204" t="s">
        <v>1876</v>
      </c>
      <c r="J11204" s="70">
        <v>8290.1</v>
      </c>
      <c r="K11204" s="71">
        <v>112313.34</v>
      </c>
      <c r="L11204" s="33" t="e">
        <f>HLOOKUP(B11204,#REF!,1,0)</f>
        <v>#REF!</v>
      </c>
      <c r="M11204" s="33" t="str">
        <f t="shared" si="703"/>
        <v>P&amp;L</v>
      </c>
    </row>
    <row r="11205" spans="1:13">
      <c r="A11205" s="33" t="str">
        <f t="shared" si="700"/>
        <v>SIL - Other Income/Expense</v>
      </c>
      <c r="B11205" s="33" t="str">
        <f t="shared" si="701"/>
        <v>SIL</v>
      </c>
      <c r="C11205" s="33" t="str">
        <f t="shared" si="702"/>
        <v>70100-0000</v>
      </c>
      <c r="D11205" t="s">
        <v>12482</v>
      </c>
      <c r="E11205" t="s">
        <v>5854</v>
      </c>
      <c r="F11205" t="s">
        <v>230</v>
      </c>
      <c r="G11205" t="s">
        <v>3838</v>
      </c>
      <c r="H11205" t="s">
        <v>3300</v>
      </c>
      <c r="I11205" t="s">
        <v>5855</v>
      </c>
      <c r="J11205" s="70">
        <v>0</v>
      </c>
      <c r="K11205" s="71">
        <v>0</v>
      </c>
      <c r="L11205" s="33" t="e">
        <f>HLOOKUP(B11205,#REF!,1,0)</f>
        <v>#REF!</v>
      </c>
      <c r="M11205" s="33" t="str">
        <f t="shared" si="703"/>
        <v>P&amp;L</v>
      </c>
    </row>
    <row r="11206" spans="1:13">
      <c r="A11206" s="33" t="str">
        <f t="shared" si="700"/>
        <v>SOF - Cash</v>
      </c>
      <c r="B11206" s="33" t="str">
        <f t="shared" si="701"/>
        <v>SOF</v>
      </c>
      <c r="C11206" s="33" t="str">
        <f t="shared" si="702"/>
        <v>10001-0000</v>
      </c>
      <c r="D11206" t="s">
        <v>12483</v>
      </c>
      <c r="E11206" t="s">
        <v>240</v>
      </c>
      <c r="F11206" t="s">
        <v>230</v>
      </c>
      <c r="G11206" t="s">
        <v>16</v>
      </c>
      <c r="H11206" t="s">
        <v>25</v>
      </c>
      <c r="I11206" t="s">
        <v>18</v>
      </c>
      <c r="J11206" s="70">
        <v>-49523.03</v>
      </c>
      <c r="K11206" s="71">
        <v>272216.4</v>
      </c>
      <c r="L11206" s="33" t="e">
        <f>HLOOKUP(B11206,#REF!,1,0)</f>
        <v>#REF!</v>
      </c>
      <c r="M11206" s="33" t="str">
        <f t="shared" si="703"/>
        <v>BS</v>
      </c>
    </row>
    <row r="11207" spans="1:13">
      <c r="A11207" s="33" t="str">
        <f t="shared" si="700"/>
        <v>SOF - Intercompany</v>
      </c>
      <c r="B11207" s="33" t="str">
        <f t="shared" si="701"/>
        <v>SOF</v>
      </c>
      <c r="C11207" s="33" t="str">
        <f t="shared" si="702"/>
        <v>11216-0000</v>
      </c>
      <c r="D11207" t="s">
        <v>12484</v>
      </c>
      <c r="E11207" t="s">
        <v>242</v>
      </c>
      <c r="F11207" t="s">
        <v>230</v>
      </c>
      <c r="G11207" t="s">
        <v>16</v>
      </c>
      <c r="H11207" t="s">
        <v>39</v>
      </c>
      <c r="I11207" t="s">
        <v>40</v>
      </c>
      <c r="J11207" s="70">
        <v>7446.57</v>
      </c>
      <c r="K11207" s="71">
        <v>-6194.31</v>
      </c>
      <c r="L11207" s="33" t="e">
        <f>HLOOKUP(B11207,#REF!,1,0)</f>
        <v>#REF!</v>
      </c>
      <c r="M11207" s="33" t="str">
        <f t="shared" si="703"/>
        <v>BS</v>
      </c>
    </row>
    <row r="11208" spans="1:13">
      <c r="A11208" s="33" t="str">
        <f t="shared" si="700"/>
        <v>SOF - Intercompany</v>
      </c>
      <c r="B11208" s="33" t="str">
        <f t="shared" si="701"/>
        <v>SOF</v>
      </c>
      <c r="C11208" s="33" t="str">
        <f t="shared" si="702"/>
        <v>11232-0000</v>
      </c>
      <c r="D11208" t="s">
        <v>12485</v>
      </c>
      <c r="E11208" t="s">
        <v>12486</v>
      </c>
      <c r="F11208" t="s">
        <v>230</v>
      </c>
      <c r="G11208" t="s">
        <v>16</v>
      </c>
      <c r="H11208" t="s">
        <v>39</v>
      </c>
      <c r="I11208" t="s">
        <v>40</v>
      </c>
      <c r="J11208" s="70">
        <v>0</v>
      </c>
      <c r="K11208" s="71">
        <v>-4615899.97</v>
      </c>
      <c r="L11208" s="33" t="e">
        <f>HLOOKUP(B11208,#REF!,1,0)</f>
        <v>#REF!</v>
      </c>
      <c r="M11208" s="33" t="str">
        <f t="shared" si="703"/>
        <v>BS</v>
      </c>
    </row>
    <row r="11209" spans="1:13">
      <c r="A11209" s="33" t="str">
        <f t="shared" si="700"/>
        <v>SOF - Intercompany</v>
      </c>
      <c r="B11209" s="33" t="str">
        <f t="shared" si="701"/>
        <v>SOF</v>
      </c>
      <c r="C11209" s="33" t="str">
        <f t="shared" si="702"/>
        <v>11323-0000</v>
      </c>
      <c r="D11209" t="s">
        <v>12487</v>
      </c>
      <c r="E11209" t="s">
        <v>2594</v>
      </c>
      <c r="F11209" t="s">
        <v>230</v>
      </c>
      <c r="G11209" t="s">
        <v>16</v>
      </c>
      <c r="H11209" t="s">
        <v>39</v>
      </c>
      <c r="I11209" t="s">
        <v>40</v>
      </c>
      <c r="J11209" s="70">
        <v>0</v>
      </c>
      <c r="K11209" s="71">
        <v>-448336.6</v>
      </c>
      <c r="L11209" s="33" t="e">
        <f>HLOOKUP(B11209,#REF!,1,0)</f>
        <v>#REF!</v>
      </c>
      <c r="M11209" s="33" t="str">
        <f t="shared" si="703"/>
        <v>BS</v>
      </c>
    </row>
    <row r="11210" spans="1:13">
      <c r="A11210" s="33" t="str">
        <f t="shared" si="700"/>
        <v>SOF - Intercompany</v>
      </c>
      <c r="B11210" s="33" t="str">
        <f t="shared" si="701"/>
        <v>SOF</v>
      </c>
      <c r="C11210" s="33" t="str">
        <f t="shared" si="702"/>
        <v>11343-0000</v>
      </c>
      <c r="D11210" t="s">
        <v>12488</v>
      </c>
      <c r="E11210" t="s">
        <v>600</v>
      </c>
      <c r="F11210" t="s">
        <v>230</v>
      </c>
      <c r="G11210" t="s">
        <v>16</v>
      </c>
      <c r="H11210" t="s">
        <v>39</v>
      </c>
      <c r="I11210" t="s">
        <v>40</v>
      </c>
      <c r="J11210" s="70">
        <v>-6730.44</v>
      </c>
      <c r="K11210" s="71">
        <v>-12502.94</v>
      </c>
      <c r="L11210" s="33" t="e">
        <f>HLOOKUP(B11210,#REF!,1,0)</f>
        <v>#REF!</v>
      </c>
      <c r="M11210" s="33" t="str">
        <f t="shared" si="703"/>
        <v>BS</v>
      </c>
    </row>
    <row r="11211" spans="1:13">
      <c r="A11211" s="33" t="str">
        <f t="shared" si="700"/>
        <v>SOF - AR-PPD</v>
      </c>
      <c r="B11211" s="33" t="str">
        <f t="shared" si="701"/>
        <v>SOF</v>
      </c>
      <c r="C11211" s="33" t="str">
        <f t="shared" si="702"/>
        <v>12200-0000</v>
      </c>
      <c r="D11211" t="s">
        <v>12489</v>
      </c>
      <c r="E11211" t="s">
        <v>294</v>
      </c>
      <c r="F11211" t="s">
        <v>230</v>
      </c>
      <c r="G11211" t="s">
        <v>62</v>
      </c>
      <c r="H11211" t="s">
        <v>35</v>
      </c>
      <c r="I11211" t="s">
        <v>64</v>
      </c>
      <c r="J11211" s="70">
        <v>22354.68</v>
      </c>
      <c r="K11211" s="71">
        <v>3110700.12</v>
      </c>
      <c r="L11211" s="33" t="e">
        <f>HLOOKUP(B11211,#REF!,1,0)</f>
        <v>#REF!</v>
      </c>
      <c r="M11211" s="33" t="str">
        <f t="shared" si="703"/>
        <v>BS</v>
      </c>
    </row>
    <row r="11212" spans="1:13">
      <c r="A11212" s="33" t="str">
        <f t="shared" si="700"/>
        <v>SOF - Deposits</v>
      </c>
      <c r="B11212" s="33" t="str">
        <f t="shared" si="701"/>
        <v>SOF</v>
      </c>
      <c r="C11212" s="33" t="str">
        <f t="shared" si="702"/>
        <v>12300-0000</v>
      </c>
      <c r="D11212" t="s">
        <v>12490</v>
      </c>
      <c r="E11212" t="s">
        <v>387</v>
      </c>
      <c r="F11212" t="s">
        <v>230</v>
      </c>
      <c r="G11212" t="s">
        <v>16</v>
      </c>
      <c r="H11212" t="s">
        <v>80</v>
      </c>
      <c r="I11212" t="s">
        <v>64</v>
      </c>
      <c r="J11212" s="70">
        <v>0</v>
      </c>
      <c r="K11212" s="71">
        <v>2110000</v>
      </c>
      <c r="L11212" s="33" t="e">
        <f>HLOOKUP(B11212,#REF!,1,0)</f>
        <v>#REF!</v>
      </c>
      <c r="M11212" s="33" t="str">
        <f t="shared" si="703"/>
        <v>BS</v>
      </c>
    </row>
    <row r="11213" spans="1:13">
      <c r="A11213" s="33" t="str">
        <f t="shared" si="700"/>
        <v>SOF - Fixed Assets</v>
      </c>
      <c r="B11213" s="33" t="str">
        <f t="shared" si="701"/>
        <v>SOF</v>
      </c>
      <c r="C11213" s="33" t="str">
        <f t="shared" si="702"/>
        <v>14000-0000</v>
      </c>
      <c r="D11213" t="s">
        <v>12491</v>
      </c>
      <c r="E11213" t="s">
        <v>298</v>
      </c>
      <c r="F11213" t="s">
        <v>230</v>
      </c>
      <c r="G11213" t="s">
        <v>62</v>
      </c>
      <c r="H11213" t="s">
        <v>63</v>
      </c>
      <c r="I11213" t="s">
        <v>64</v>
      </c>
      <c r="J11213" s="70">
        <v>0</v>
      </c>
      <c r="K11213" s="71">
        <v>15300000</v>
      </c>
      <c r="L11213" s="33" t="e">
        <f>HLOOKUP(B11213,#REF!,1,0)</f>
        <v>#REF!</v>
      </c>
      <c r="M11213" s="33" t="str">
        <f t="shared" si="703"/>
        <v>BS</v>
      </c>
    </row>
    <row r="11214" spans="1:13">
      <c r="A11214" s="33" t="str">
        <f t="shared" si="700"/>
        <v>SOF - Fixed Assets</v>
      </c>
      <c r="B11214" s="33" t="str">
        <f t="shared" si="701"/>
        <v>SOF</v>
      </c>
      <c r="C11214" s="33" t="str">
        <f t="shared" si="702"/>
        <v>15000-0000</v>
      </c>
      <c r="D11214" t="s">
        <v>12492</v>
      </c>
      <c r="E11214" t="s">
        <v>300</v>
      </c>
      <c r="F11214" t="s">
        <v>230</v>
      </c>
      <c r="G11214" t="s">
        <v>62</v>
      </c>
      <c r="H11214" t="s">
        <v>63</v>
      </c>
      <c r="I11214" t="s">
        <v>64</v>
      </c>
      <c r="J11214" s="70">
        <v>0</v>
      </c>
      <c r="K11214" s="71">
        <v>35700000</v>
      </c>
      <c r="L11214" s="33" t="e">
        <f>HLOOKUP(B11214,#REF!,1,0)</f>
        <v>#REF!</v>
      </c>
      <c r="M11214" s="33" t="str">
        <f t="shared" si="703"/>
        <v>BS</v>
      </c>
    </row>
    <row r="11215" spans="1:13">
      <c r="A11215" s="33" t="str">
        <f t="shared" si="700"/>
        <v>SOF - Fixed Assets</v>
      </c>
      <c r="B11215" s="33" t="str">
        <f t="shared" si="701"/>
        <v>SOF</v>
      </c>
      <c r="C11215" s="33" t="str">
        <f t="shared" si="702"/>
        <v>15501-0000</v>
      </c>
      <c r="D11215" t="s">
        <v>12493</v>
      </c>
      <c r="E11215" t="s">
        <v>2635</v>
      </c>
      <c r="F11215" t="s">
        <v>230</v>
      </c>
      <c r="G11215" t="s">
        <v>62</v>
      </c>
      <c r="H11215" t="s">
        <v>63</v>
      </c>
      <c r="I11215" t="s">
        <v>64</v>
      </c>
      <c r="J11215" s="70">
        <v>0.03</v>
      </c>
      <c r="K11215" s="71">
        <v>10216.3</v>
      </c>
      <c r="L11215" s="33" t="e">
        <f>HLOOKUP(B11215,#REF!,1,0)</f>
        <v>#REF!</v>
      </c>
      <c r="M11215" s="33" t="str">
        <f t="shared" si="703"/>
        <v>BS</v>
      </c>
    </row>
    <row r="11216" spans="1:13">
      <c r="A11216" s="33" t="str">
        <f t="shared" si="700"/>
        <v>SOF - Deposits</v>
      </c>
      <c r="B11216" s="33" t="str">
        <f t="shared" si="701"/>
        <v>SOF</v>
      </c>
      <c r="C11216" s="33" t="str">
        <f t="shared" si="702"/>
        <v>19001-0000</v>
      </c>
      <c r="D11216" t="s">
        <v>12494</v>
      </c>
      <c r="E11216" t="s">
        <v>344</v>
      </c>
      <c r="F11216" t="s">
        <v>230</v>
      </c>
      <c r="G11216" t="s">
        <v>62</v>
      </c>
      <c r="H11216" t="s">
        <v>80</v>
      </c>
      <c r="I11216" t="s">
        <v>81</v>
      </c>
      <c r="J11216" s="70">
        <v>0</v>
      </c>
      <c r="K11216" s="71">
        <v>10615</v>
      </c>
      <c r="L11216" s="33" t="e">
        <f>HLOOKUP(B11216,#REF!,1,0)</f>
        <v>#REF!</v>
      </c>
      <c r="M11216" s="33" t="str">
        <f t="shared" si="703"/>
        <v>BS</v>
      </c>
    </row>
    <row r="11217" spans="1:13">
      <c r="A11217" s="33" t="str">
        <f t="shared" si="700"/>
        <v>SOF - AP-Accr Exp</v>
      </c>
      <c r="B11217" s="33" t="str">
        <f t="shared" si="701"/>
        <v>SOF</v>
      </c>
      <c r="C11217" s="33" t="str">
        <f t="shared" si="702"/>
        <v>20001-0000</v>
      </c>
      <c r="D11217" t="s">
        <v>12495</v>
      </c>
      <c r="E11217" t="s">
        <v>96</v>
      </c>
      <c r="F11217" t="s">
        <v>230</v>
      </c>
      <c r="G11217" t="s">
        <v>97</v>
      </c>
      <c r="H11217" t="s">
        <v>98</v>
      </c>
      <c r="I11217" t="s">
        <v>99</v>
      </c>
      <c r="J11217" s="70">
        <v>4516.36</v>
      </c>
      <c r="K11217" s="71">
        <v>0</v>
      </c>
      <c r="L11217" s="33" t="e">
        <f>HLOOKUP(B11217,#REF!,1,0)</f>
        <v>#REF!</v>
      </c>
      <c r="M11217" s="33" t="str">
        <f t="shared" si="703"/>
        <v>BS</v>
      </c>
    </row>
    <row r="11218" spans="1:13">
      <c r="A11218" s="33" t="str">
        <f t="shared" si="700"/>
        <v>SOF - Tax Accr</v>
      </c>
      <c r="B11218" s="33" t="str">
        <f t="shared" si="701"/>
        <v>SOF</v>
      </c>
      <c r="C11218" s="33" t="str">
        <f t="shared" si="702"/>
        <v>22001-0000</v>
      </c>
      <c r="D11218" t="s">
        <v>12496</v>
      </c>
      <c r="E11218" t="s">
        <v>1322</v>
      </c>
      <c r="F11218" t="s">
        <v>230</v>
      </c>
      <c r="G11218" t="s">
        <v>97</v>
      </c>
      <c r="H11218" t="s">
        <v>105</v>
      </c>
      <c r="I11218" t="s">
        <v>102</v>
      </c>
      <c r="J11218" s="70">
        <v>-3643.48</v>
      </c>
      <c r="K11218" s="71">
        <v>-7539.25</v>
      </c>
      <c r="L11218" s="33" t="e">
        <f>HLOOKUP(B11218,#REF!,1,0)</f>
        <v>#REF!</v>
      </c>
      <c r="M11218" s="33" t="str">
        <f t="shared" si="703"/>
        <v>BS</v>
      </c>
    </row>
    <row r="11219" spans="1:13">
      <c r="A11219" s="33" t="str">
        <f t="shared" si="700"/>
        <v>SOF - AP-Accr Exp</v>
      </c>
      <c r="B11219" s="33" t="str">
        <f t="shared" si="701"/>
        <v>SOF</v>
      </c>
      <c r="C11219" s="33" t="str">
        <f t="shared" si="702"/>
        <v>23509-0000</v>
      </c>
      <c r="D11219" t="s">
        <v>12497</v>
      </c>
      <c r="E11219" t="s">
        <v>111</v>
      </c>
      <c r="F11219" t="s">
        <v>230</v>
      </c>
      <c r="G11219" t="s">
        <v>97</v>
      </c>
      <c r="H11219" t="s">
        <v>98</v>
      </c>
      <c r="I11219" t="s">
        <v>102</v>
      </c>
      <c r="J11219" s="70">
        <v>0</v>
      </c>
      <c r="K11219" s="71">
        <v>0</v>
      </c>
      <c r="L11219" s="33" t="e">
        <f>HLOOKUP(B11219,#REF!,1,0)</f>
        <v>#REF!</v>
      </c>
      <c r="M11219" s="33" t="str">
        <f t="shared" si="703"/>
        <v>BS</v>
      </c>
    </row>
    <row r="11220" spans="1:13">
      <c r="A11220" s="33" t="str">
        <f t="shared" si="700"/>
        <v>SOF - Principal</v>
      </c>
      <c r="B11220" s="33" t="str">
        <f t="shared" si="701"/>
        <v>SOF</v>
      </c>
      <c r="C11220" s="33" t="str">
        <f t="shared" si="702"/>
        <v>28023-0000</v>
      </c>
      <c r="D11220" t="s">
        <v>12498</v>
      </c>
      <c r="E11220" t="s">
        <v>12499</v>
      </c>
      <c r="F11220" t="s">
        <v>230</v>
      </c>
      <c r="G11220" t="s">
        <v>123</v>
      </c>
      <c r="H11220" t="s">
        <v>127</v>
      </c>
      <c r="I11220" t="s">
        <v>133</v>
      </c>
      <c r="J11220" s="70">
        <v>0</v>
      </c>
      <c r="K11220" s="71">
        <v>-42190000</v>
      </c>
      <c r="L11220" s="33" t="e">
        <f>HLOOKUP(B11220,#REF!,1,0)</f>
        <v>#REF!</v>
      </c>
      <c r="M11220" s="33" t="str">
        <f t="shared" si="703"/>
        <v>BS</v>
      </c>
    </row>
    <row r="11221" spans="1:13">
      <c r="A11221" s="33" t="str">
        <f t="shared" si="700"/>
        <v>SOF - SH Dist</v>
      </c>
      <c r="B11221" s="33" t="str">
        <f t="shared" si="701"/>
        <v>SOF</v>
      </c>
      <c r="C11221" s="33" t="str">
        <f t="shared" si="702"/>
        <v>30700-0000</v>
      </c>
      <c r="D11221" t="s">
        <v>12500</v>
      </c>
      <c r="E11221" t="s">
        <v>319</v>
      </c>
      <c r="F11221" t="s">
        <v>230</v>
      </c>
      <c r="G11221" t="s">
        <v>142</v>
      </c>
      <c r="H11221" t="s">
        <v>143</v>
      </c>
      <c r="I11221" t="s">
        <v>144</v>
      </c>
      <c r="J11221" s="70">
        <v>0</v>
      </c>
      <c r="K11221" s="71">
        <v>-10652000</v>
      </c>
      <c r="L11221" s="33" t="e">
        <f>HLOOKUP(B11221,#REF!,1,0)</f>
        <v>#REF!</v>
      </c>
      <c r="M11221" s="33" t="str">
        <f t="shared" si="703"/>
        <v>BS</v>
      </c>
    </row>
    <row r="11222" spans="1:13">
      <c r="A11222" s="33" t="str">
        <f t="shared" si="700"/>
        <v>SOF - Revenue</v>
      </c>
      <c r="B11222" s="33" t="str">
        <f t="shared" si="701"/>
        <v>SOF</v>
      </c>
      <c r="C11222" s="33" t="str">
        <f t="shared" si="702"/>
        <v>40110-0000</v>
      </c>
      <c r="D11222" t="s">
        <v>12501</v>
      </c>
      <c r="E11222" t="s">
        <v>3683</v>
      </c>
      <c r="F11222" t="s">
        <v>230</v>
      </c>
      <c r="G11222" t="s">
        <v>3684</v>
      </c>
      <c r="H11222" t="s">
        <v>2871</v>
      </c>
      <c r="I11222" t="s">
        <v>3685</v>
      </c>
      <c r="J11222" s="70">
        <v>-212825</v>
      </c>
      <c r="K11222" s="71">
        <v>-425650</v>
      </c>
      <c r="L11222" s="33" t="e">
        <f>HLOOKUP(B11222,#REF!,1,0)</f>
        <v>#REF!</v>
      </c>
      <c r="M11222" s="33" t="str">
        <f t="shared" si="703"/>
        <v>P&amp;L</v>
      </c>
    </row>
    <row r="11223" spans="1:13">
      <c r="A11223" s="33" t="str">
        <f t="shared" si="700"/>
        <v>SOF - Revenue</v>
      </c>
      <c r="B11223" s="33" t="str">
        <f t="shared" si="701"/>
        <v>SOF</v>
      </c>
      <c r="C11223" s="33" t="str">
        <f t="shared" si="702"/>
        <v>40120-0000</v>
      </c>
      <c r="D11223" t="s">
        <v>12502</v>
      </c>
      <c r="E11223" t="s">
        <v>3687</v>
      </c>
      <c r="F11223" t="s">
        <v>230</v>
      </c>
      <c r="G11223" t="s">
        <v>3684</v>
      </c>
      <c r="H11223" t="s">
        <v>2871</v>
      </c>
      <c r="I11223" t="s">
        <v>3688</v>
      </c>
      <c r="J11223" s="70">
        <v>-3628</v>
      </c>
      <c r="K11223" s="71">
        <v>-3628</v>
      </c>
      <c r="L11223" s="33" t="e">
        <f>HLOOKUP(B11223,#REF!,1,0)</f>
        <v>#REF!</v>
      </c>
      <c r="M11223" s="33" t="str">
        <f t="shared" si="703"/>
        <v>P&amp;L</v>
      </c>
    </row>
    <row r="11224" spans="1:13">
      <c r="A11224" s="33" t="str">
        <f t="shared" si="700"/>
        <v>SOF - Revenue</v>
      </c>
      <c r="B11224" s="33" t="str">
        <f t="shared" si="701"/>
        <v>SOF</v>
      </c>
      <c r="C11224" s="33" t="str">
        <f t="shared" si="702"/>
        <v>40130-0000</v>
      </c>
      <c r="D11224" t="s">
        <v>12503</v>
      </c>
      <c r="E11224" t="s">
        <v>3690</v>
      </c>
      <c r="F11224" t="s">
        <v>230</v>
      </c>
      <c r="G11224" t="s">
        <v>3684</v>
      </c>
      <c r="H11224" t="s">
        <v>2871</v>
      </c>
      <c r="I11224" t="s">
        <v>3691</v>
      </c>
      <c r="J11224" s="70">
        <v>-1600</v>
      </c>
      <c r="K11224" s="71">
        <v>-1600</v>
      </c>
      <c r="L11224" s="33" t="e">
        <f>HLOOKUP(B11224,#REF!,1,0)</f>
        <v>#REF!</v>
      </c>
      <c r="M11224" s="33" t="str">
        <f t="shared" si="703"/>
        <v>P&amp;L</v>
      </c>
    </row>
    <row r="11225" spans="1:13">
      <c r="A11225" s="33" t="str">
        <f t="shared" si="700"/>
        <v>SOF - Revenue</v>
      </c>
      <c r="B11225" s="33" t="str">
        <f t="shared" si="701"/>
        <v>SOF</v>
      </c>
      <c r="C11225" s="33" t="str">
        <f t="shared" si="702"/>
        <v>40140-0000</v>
      </c>
      <c r="D11225" t="s">
        <v>12504</v>
      </c>
      <c r="E11225" t="s">
        <v>3948</v>
      </c>
      <c r="F11225" t="s">
        <v>230</v>
      </c>
      <c r="G11225" t="s">
        <v>3684</v>
      </c>
      <c r="H11225" t="s">
        <v>2871</v>
      </c>
      <c r="I11225" t="s">
        <v>3949</v>
      </c>
      <c r="J11225" s="70">
        <v>0</v>
      </c>
      <c r="K11225" s="71">
        <v>0</v>
      </c>
      <c r="L11225" s="33" t="e">
        <f>HLOOKUP(B11225,#REF!,1,0)</f>
        <v>#REF!</v>
      </c>
      <c r="M11225" s="33" t="str">
        <f t="shared" si="703"/>
        <v>P&amp;L</v>
      </c>
    </row>
    <row r="11226" spans="1:13">
      <c r="A11226" s="33" t="str">
        <f t="shared" si="700"/>
        <v>SOF - Revenue</v>
      </c>
      <c r="B11226" s="33" t="str">
        <f t="shared" si="701"/>
        <v>SOF</v>
      </c>
      <c r="C11226" s="33" t="str">
        <f t="shared" si="702"/>
        <v>41110-0000</v>
      </c>
      <c r="D11226" t="s">
        <v>12505</v>
      </c>
      <c r="E11226" t="s">
        <v>3693</v>
      </c>
      <c r="F11226" t="s">
        <v>230</v>
      </c>
      <c r="G11226" t="s">
        <v>3694</v>
      </c>
      <c r="H11226" t="s">
        <v>2871</v>
      </c>
      <c r="I11226" t="s">
        <v>3695</v>
      </c>
      <c r="J11226" s="70">
        <v>11111.22</v>
      </c>
      <c r="K11226" s="71">
        <v>27397.72</v>
      </c>
      <c r="L11226" s="33" t="e">
        <f>HLOOKUP(B11226,#REF!,1,0)</f>
        <v>#REF!</v>
      </c>
      <c r="M11226" s="33" t="str">
        <f t="shared" si="703"/>
        <v>P&amp;L</v>
      </c>
    </row>
    <row r="11227" spans="1:13">
      <c r="A11227" s="33" t="str">
        <f t="shared" si="700"/>
        <v>SOF - Revenue</v>
      </c>
      <c r="B11227" s="33" t="str">
        <f t="shared" si="701"/>
        <v>SOF</v>
      </c>
      <c r="C11227" s="33" t="str">
        <f t="shared" si="702"/>
        <v>41121-0000</v>
      </c>
      <c r="D11227" t="s">
        <v>12506</v>
      </c>
      <c r="E11227" t="s">
        <v>3697</v>
      </c>
      <c r="F11227" t="s">
        <v>230</v>
      </c>
      <c r="G11227" t="s">
        <v>3694</v>
      </c>
      <c r="H11227" t="s">
        <v>2871</v>
      </c>
      <c r="I11227" t="s">
        <v>3698</v>
      </c>
      <c r="J11227" s="70">
        <v>91076.98</v>
      </c>
      <c r="K11227" s="71">
        <v>93351.2</v>
      </c>
      <c r="L11227" s="33" t="e">
        <f>HLOOKUP(B11227,#REF!,1,0)</f>
        <v>#REF!</v>
      </c>
      <c r="M11227" s="33" t="str">
        <f t="shared" si="703"/>
        <v>P&amp;L</v>
      </c>
    </row>
    <row r="11228" spans="1:13">
      <c r="A11228" s="33" t="str">
        <f t="shared" si="700"/>
        <v>SOF - Revenue</v>
      </c>
      <c r="B11228" s="33" t="str">
        <f t="shared" si="701"/>
        <v>SOF</v>
      </c>
      <c r="C11228" s="33" t="str">
        <f t="shared" si="702"/>
        <v>41122-0000</v>
      </c>
      <c r="D11228" t="s">
        <v>12507</v>
      </c>
      <c r="E11228" t="s">
        <v>3700</v>
      </c>
      <c r="F11228" t="s">
        <v>230</v>
      </c>
      <c r="G11228" t="s">
        <v>3694</v>
      </c>
      <c r="H11228" t="s">
        <v>2871</v>
      </c>
      <c r="I11228" t="s">
        <v>3701</v>
      </c>
      <c r="J11228" s="70">
        <v>-42396.92</v>
      </c>
      <c r="K11228" s="71">
        <v>-243388.66</v>
      </c>
      <c r="L11228" s="33" t="e">
        <f>HLOOKUP(B11228,#REF!,1,0)</f>
        <v>#REF!</v>
      </c>
      <c r="M11228" s="33" t="str">
        <f t="shared" si="703"/>
        <v>P&amp;L</v>
      </c>
    </row>
    <row r="11229" spans="1:13">
      <c r="A11229" s="33" t="str">
        <f t="shared" si="700"/>
        <v>SOF - Revenue</v>
      </c>
      <c r="B11229" s="33" t="str">
        <f t="shared" si="701"/>
        <v>SOF</v>
      </c>
      <c r="C11229" s="33" t="str">
        <f t="shared" si="702"/>
        <v>41130-0000</v>
      </c>
      <c r="D11229" t="s">
        <v>12508</v>
      </c>
      <c r="E11229" t="s">
        <v>3703</v>
      </c>
      <c r="F11229" t="s">
        <v>230</v>
      </c>
      <c r="G11229" t="s">
        <v>3694</v>
      </c>
      <c r="H11229" t="s">
        <v>2871</v>
      </c>
      <c r="I11229" t="s">
        <v>3704</v>
      </c>
      <c r="J11229" s="70">
        <v>500</v>
      </c>
      <c r="K11229" s="71">
        <v>1138.08</v>
      </c>
      <c r="L11229" s="33" t="e">
        <f>HLOOKUP(B11229,#REF!,1,0)</f>
        <v>#REF!</v>
      </c>
      <c r="M11229" s="33" t="str">
        <f t="shared" si="703"/>
        <v>P&amp;L</v>
      </c>
    </row>
    <row r="11230" spans="1:13">
      <c r="A11230" s="33" t="str">
        <f t="shared" si="700"/>
        <v>SOF - Revenue</v>
      </c>
      <c r="B11230" s="33" t="str">
        <f t="shared" si="701"/>
        <v>SOF</v>
      </c>
      <c r="C11230" s="33" t="str">
        <f t="shared" si="702"/>
        <v>41140-0000</v>
      </c>
      <c r="D11230" t="s">
        <v>12509</v>
      </c>
      <c r="E11230" t="s">
        <v>3706</v>
      </c>
      <c r="F11230" t="s">
        <v>230</v>
      </c>
      <c r="G11230" t="s">
        <v>3694</v>
      </c>
      <c r="H11230" t="s">
        <v>2871</v>
      </c>
      <c r="I11230" t="s">
        <v>3707</v>
      </c>
      <c r="J11230" s="70">
        <v>0</v>
      </c>
      <c r="K11230" s="71">
        <v>4973.5</v>
      </c>
      <c r="L11230" s="33" t="e">
        <f>HLOOKUP(B11230,#REF!,1,0)</f>
        <v>#REF!</v>
      </c>
      <c r="M11230" s="33" t="str">
        <f t="shared" si="703"/>
        <v>P&amp;L</v>
      </c>
    </row>
    <row r="11231" spans="1:13">
      <c r="A11231" s="33" t="str">
        <f t="shared" si="700"/>
        <v>SOF - Revenue</v>
      </c>
      <c r="B11231" s="33" t="str">
        <f t="shared" si="701"/>
        <v>SOF</v>
      </c>
      <c r="C11231" s="33" t="str">
        <f t="shared" si="702"/>
        <v>41150-0000</v>
      </c>
      <c r="D11231" t="s">
        <v>12510</v>
      </c>
      <c r="E11231" t="s">
        <v>3709</v>
      </c>
      <c r="F11231" t="s">
        <v>230</v>
      </c>
      <c r="G11231" t="s">
        <v>3694</v>
      </c>
      <c r="H11231" t="s">
        <v>2871</v>
      </c>
      <c r="I11231" t="s">
        <v>3710</v>
      </c>
      <c r="J11231" s="70">
        <v>0</v>
      </c>
      <c r="K11231" s="71">
        <v>0</v>
      </c>
      <c r="L11231" s="33" t="e">
        <f>HLOOKUP(B11231,#REF!,1,0)</f>
        <v>#REF!</v>
      </c>
      <c r="M11231" s="33" t="str">
        <f t="shared" si="703"/>
        <v>P&amp;L</v>
      </c>
    </row>
    <row r="11232" spans="1:13">
      <c r="A11232" s="33" t="str">
        <f t="shared" si="700"/>
        <v>SOF - Revenue</v>
      </c>
      <c r="B11232" s="33" t="str">
        <f t="shared" si="701"/>
        <v>SOF</v>
      </c>
      <c r="C11232" s="33" t="str">
        <f t="shared" si="702"/>
        <v>41160-0000</v>
      </c>
      <c r="D11232" t="s">
        <v>12511</v>
      </c>
      <c r="E11232" t="s">
        <v>3957</v>
      </c>
      <c r="F11232" t="s">
        <v>230</v>
      </c>
      <c r="G11232" t="s">
        <v>3694</v>
      </c>
      <c r="H11232" t="s">
        <v>2871</v>
      </c>
      <c r="I11232" t="s">
        <v>3701</v>
      </c>
      <c r="J11232" s="70">
        <v>0</v>
      </c>
      <c r="K11232" s="71">
        <v>0</v>
      </c>
      <c r="L11232" s="33" t="e">
        <f>HLOOKUP(B11232,#REF!,1,0)</f>
        <v>#REF!</v>
      </c>
      <c r="M11232" s="33" t="str">
        <f t="shared" si="703"/>
        <v>P&amp;L</v>
      </c>
    </row>
    <row r="11233" spans="1:13">
      <c r="A11233" s="33" t="str">
        <f t="shared" si="700"/>
        <v>SOF - Revenue</v>
      </c>
      <c r="B11233" s="33" t="str">
        <f t="shared" si="701"/>
        <v>SOF</v>
      </c>
      <c r="C11233" s="33" t="str">
        <f t="shared" si="702"/>
        <v>41999-0000</v>
      </c>
      <c r="D11233" t="s">
        <v>12512</v>
      </c>
      <c r="E11233" t="s">
        <v>3712</v>
      </c>
      <c r="F11233" t="s">
        <v>230</v>
      </c>
      <c r="G11233" t="s">
        <v>3713</v>
      </c>
      <c r="H11233" t="s">
        <v>2871</v>
      </c>
      <c r="I11233" t="s">
        <v>3714</v>
      </c>
      <c r="J11233" s="70">
        <v>157761.72</v>
      </c>
      <c r="K11233" s="71">
        <v>547406.16</v>
      </c>
      <c r="L11233" s="33" t="e">
        <f>HLOOKUP(B11233,#REF!,1,0)</f>
        <v>#REF!</v>
      </c>
      <c r="M11233" s="33" t="str">
        <f t="shared" si="703"/>
        <v>P&amp;L</v>
      </c>
    </row>
    <row r="11234" spans="1:13">
      <c r="A11234" s="33" t="str">
        <f t="shared" si="700"/>
        <v>SOF - Revenue</v>
      </c>
      <c r="B11234" s="33" t="str">
        <f t="shared" si="701"/>
        <v>SOF</v>
      </c>
      <c r="C11234" s="33" t="str">
        <f t="shared" si="702"/>
        <v>46000-0000</v>
      </c>
      <c r="D11234" t="s">
        <v>12513</v>
      </c>
      <c r="E11234" t="s">
        <v>3895</v>
      </c>
      <c r="F11234" t="s">
        <v>230</v>
      </c>
      <c r="G11234" t="s">
        <v>3717</v>
      </c>
      <c r="H11234" t="s">
        <v>2871</v>
      </c>
      <c r="I11234" t="s">
        <v>3721</v>
      </c>
      <c r="J11234" s="70">
        <v>0</v>
      </c>
      <c r="K11234" s="71">
        <v>-722.16</v>
      </c>
      <c r="L11234" s="33" t="e">
        <f>HLOOKUP(B11234,#REF!,1,0)</f>
        <v>#REF!</v>
      </c>
      <c r="M11234" s="33" t="str">
        <f t="shared" si="703"/>
        <v>P&amp;L</v>
      </c>
    </row>
    <row r="11235" spans="1:13">
      <c r="A11235" s="33" t="str">
        <f t="shared" si="700"/>
        <v>SOF - Revenue</v>
      </c>
      <c r="B11235" s="33" t="str">
        <f t="shared" si="701"/>
        <v>SOF</v>
      </c>
      <c r="C11235" s="33" t="str">
        <f t="shared" si="702"/>
        <v>47400-0000</v>
      </c>
      <c r="D11235" t="s">
        <v>12514</v>
      </c>
      <c r="E11235" t="s">
        <v>3716</v>
      </c>
      <c r="F11235" t="s">
        <v>230</v>
      </c>
      <c r="G11235" t="s">
        <v>3717</v>
      </c>
      <c r="H11235" t="s">
        <v>2871</v>
      </c>
      <c r="I11235" t="s">
        <v>3718</v>
      </c>
      <c r="J11235" s="70">
        <v>-157774.54</v>
      </c>
      <c r="K11235" s="71">
        <v>-505584.97</v>
      </c>
      <c r="L11235" s="33" t="e">
        <f>HLOOKUP(B11235,#REF!,1,0)</f>
        <v>#REF!</v>
      </c>
      <c r="M11235" s="33" t="str">
        <f t="shared" si="703"/>
        <v>P&amp;L</v>
      </c>
    </row>
    <row r="11236" spans="1:13">
      <c r="A11236" s="33" t="str">
        <f t="shared" si="700"/>
        <v>SOF - Revenue</v>
      </c>
      <c r="B11236" s="33" t="str">
        <f t="shared" si="701"/>
        <v>SOF</v>
      </c>
      <c r="C11236" s="33" t="str">
        <f t="shared" si="702"/>
        <v>47430-0000</v>
      </c>
      <c r="D11236" t="s">
        <v>12515</v>
      </c>
      <c r="E11236" t="s">
        <v>4053</v>
      </c>
      <c r="F11236" t="s">
        <v>230</v>
      </c>
      <c r="G11236" t="s">
        <v>3717</v>
      </c>
      <c r="H11236" t="s">
        <v>2871</v>
      </c>
      <c r="I11236" t="s">
        <v>4054</v>
      </c>
      <c r="J11236" s="70">
        <v>0</v>
      </c>
      <c r="K11236" s="71">
        <v>991.45</v>
      </c>
      <c r="L11236" s="33" t="e">
        <f>HLOOKUP(B11236,#REF!,1,0)</f>
        <v>#REF!</v>
      </c>
      <c r="M11236" s="33" t="str">
        <f t="shared" si="703"/>
        <v>P&amp;L</v>
      </c>
    </row>
    <row r="11237" spans="1:13">
      <c r="A11237" s="33" t="str">
        <f t="shared" si="700"/>
        <v>SOF - Revenue</v>
      </c>
      <c r="B11237" s="33" t="str">
        <f t="shared" si="701"/>
        <v>SOF</v>
      </c>
      <c r="C11237" s="33" t="str">
        <f t="shared" si="702"/>
        <v>47440-0000</v>
      </c>
      <c r="D11237" t="s">
        <v>12516</v>
      </c>
      <c r="E11237" t="s">
        <v>3720</v>
      </c>
      <c r="F11237" t="s">
        <v>230</v>
      </c>
      <c r="G11237" t="s">
        <v>3717</v>
      </c>
      <c r="H11237" t="s">
        <v>2871</v>
      </c>
      <c r="I11237" t="s">
        <v>3721</v>
      </c>
      <c r="J11237" s="70">
        <v>-958.33</v>
      </c>
      <c r="K11237" s="71">
        <v>-3251.05</v>
      </c>
      <c r="L11237" s="33" t="e">
        <f>HLOOKUP(B11237,#REF!,1,0)</f>
        <v>#REF!</v>
      </c>
      <c r="M11237" s="33" t="str">
        <f t="shared" si="703"/>
        <v>P&amp;L</v>
      </c>
    </row>
    <row r="11238" spans="1:13">
      <c r="A11238" s="33" t="str">
        <f t="shared" si="700"/>
        <v>SOF - Revenue</v>
      </c>
      <c r="B11238" s="33" t="str">
        <f t="shared" si="701"/>
        <v>SOF</v>
      </c>
      <c r="C11238" s="33" t="str">
        <f t="shared" si="702"/>
        <v>47450-0000</v>
      </c>
      <c r="D11238" t="s">
        <v>12517</v>
      </c>
      <c r="E11238" t="s">
        <v>3723</v>
      </c>
      <c r="F11238" t="s">
        <v>230</v>
      </c>
      <c r="G11238" t="s">
        <v>3717</v>
      </c>
      <c r="H11238" t="s">
        <v>2871</v>
      </c>
      <c r="I11238" t="s">
        <v>3724</v>
      </c>
      <c r="J11238" s="70">
        <v>0</v>
      </c>
      <c r="K11238" s="71">
        <v>0</v>
      </c>
      <c r="L11238" s="33" t="e">
        <f>HLOOKUP(B11238,#REF!,1,0)</f>
        <v>#REF!</v>
      </c>
      <c r="M11238" s="33" t="str">
        <f t="shared" si="703"/>
        <v>P&amp;L</v>
      </c>
    </row>
    <row r="11239" spans="1:13">
      <c r="A11239" s="33" t="str">
        <f t="shared" si="700"/>
        <v>SOF - Revenue</v>
      </c>
      <c r="B11239" s="33" t="str">
        <f t="shared" si="701"/>
        <v>SOF</v>
      </c>
      <c r="C11239" s="33" t="str">
        <f t="shared" si="702"/>
        <v>47460-0000</v>
      </c>
      <c r="D11239" t="s">
        <v>12518</v>
      </c>
      <c r="E11239" t="s">
        <v>3726</v>
      </c>
      <c r="F11239" t="s">
        <v>230</v>
      </c>
      <c r="G11239" t="s">
        <v>3717</v>
      </c>
      <c r="H11239" t="s">
        <v>2871</v>
      </c>
      <c r="I11239" t="s">
        <v>3727</v>
      </c>
      <c r="J11239" s="70">
        <v>-1196.81</v>
      </c>
      <c r="K11239" s="71">
        <v>-2276.81</v>
      </c>
      <c r="L11239" s="33" t="e">
        <f>HLOOKUP(B11239,#REF!,1,0)</f>
        <v>#REF!</v>
      </c>
      <c r="M11239" s="33" t="str">
        <f t="shared" si="703"/>
        <v>P&amp;L</v>
      </c>
    </row>
    <row r="11240" spans="1:13">
      <c r="A11240" s="33" t="str">
        <f t="shared" si="700"/>
        <v>SOF - Revenue</v>
      </c>
      <c r="B11240" s="33" t="str">
        <f t="shared" si="701"/>
        <v>SOF</v>
      </c>
      <c r="C11240" s="33" t="str">
        <f t="shared" si="702"/>
        <v>47480-0000</v>
      </c>
      <c r="D11240" t="s">
        <v>12519</v>
      </c>
      <c r="E11240" t="s">
        <v>3729</v>
      </c>
      <c r="F11240" t="s">
        <v>230</v>
      </c>
      <c r="G11240" t="s">
        <v>3717</v>
      </c>
      <c r="H11240" t="s">
        <v>2871</v>
      </c>
      <c r="I11240" t="s">
        <v>3721</v>
      </c>
      <c r="J11240" s="70">
        <v>-45</v>
      </c>
      <c r="K11240" s="71">
        <v>-225</v>
      </c>
      <c r="L11240" s="33" t="e">
        <f>HLOOKUP(B11240,#REF!,1,0)</f>
        <v>#REF!</v>
      </c>
      <c r="M11240" s="33" t="str">
        <f t="shared" si="703"/>
        <v>P&amp;L</v>
      </c>
    </row>
    <row r="11241" spans="1:13">
      <c r="A11241" s="33" t="str">
        <f t="shared" si="700"/>
        <v>SOF - Revenue</v>
      </c>
      <c r="B11241" s="33" t="str">
        <f t="shared" si="701"/>
        <v>SOF</v>
      </c>
      <c r="C11241" s="33" t="str">
        <f t="shared" si="702"/>
        <v>47490-0000</v>
      </c>
      <c r="D11241" t="s">
        <v>12520</v>
      </c>
      <c r="E11241" t="s">
        <v>3731</v>
      </c>
      <c r="F11241" t="s">
        <v>230</v>
      </c>
      <c r="G11241" t="s">
        <v>3717</v>
      </c>
      <c r="H11241" t="s">
        <v>2871</v>
      </c>
      <c r="I11241" t="s">
        <v>3721</v>
      </c>
      <c r="J11241" s="70">
        <v>-1607.88</v>
      </c>
      <c r="K11241" s="71">
        <v>-3491.97</v>
      </c>
      <c r="L11241" s="33" t="e">
        <f>HLOOKUP(B11241,#REF!,1,0)</f>
        <v>#REF!</v>
      </c>
      <c r="M11241" s="33" t="str">
        <f t="shared" si="703"/>
        <v>P&amp;L</v>
      </c>
    </row>
    <row r="11242" spans="1:13">
      <c r="A11242" s="33" t="str">
        <f t="shared" si="700"/>
        <v>SOF - Revenue</v>
      </c>
      <c r="B11242" s="33" t="str">
        <f t="shared" si="701"/>
        <v>SOF</v>
      </c>
      <c r="C11242" s="33" t="str">
        <f t="shared" si="702"/>
        <v>47491-0000</v>
      </c>
      <c r="D11242" t="s">
        <v>12521</v>
      </c>
      <c r="E11242" t="s">
        <v>3733</v>
      </c>
      <c r="F11242" t="s">
        <v>230</v>
      </c>
      <c r="G11242" t="s">
        <v>3717</v>
      </c>
      <c r="H11242" t="s">
        <v>2871</v>
      </c>
      <c r="I11242" t="s">
        <v>3734</v>
      </c>
      <c r="J11242" s="70">
        <v>-11213</v>
      </c>
      <c r="K11242" s="71">
        <v>-24286.65</v>
      </c>
      <c r="L11242" s="33" t="e">
        <f>HLOOKUP(B11242,#REF!,1,0)</f>
        <v>#REF!</v>
      </c>
      <c r="M11242" s="33" t="str">
        <f t="shared" si="703"/>
        <v>P&amp;L</v>
      </c>
    </row>
    <row r="11243" spans="1:13">
      <c r="A11243" s="33" t="str">
        <f t="shared" si="700"/>
        <v>SOF - Revenue</v>
      </c>
      <c r="B11243" s="33" t="str">
        <f t="shared" si="701"/>
        <v>SOF</v>
      </c>
      <c r="C11243" s="33" t="str">
        <f t="shared" si="702"/>
        <v>47492-0000</v>
      </c>
      <c r="D11243" t="s">
        <v>12522</v>
      </c>
      <c r="E11243" t="s">
        <v>3736</v>
      </c>
      <c r="F11243" t="s">
        <v>230</v>
      </c>
      <c r="G11243" t="s">
        <v>3717</v>
      </c>
      <c r="H11243" t="s">
        <v>2871</v>
      </c>
      <c r="I11243" t="s">
        <v>3737</v>
      </c>
      <c r="J11243" s="70">
        <v>-1153.45</v>
      </c>
      <c r="K11243" s="71">
        <v>-2413.9</v>
      </c>
      <c r="L11243" s="33" t="e">
        <f>HLOOKUP(B11243,#REF!,1,0)</f>
        <v>#REF!</v>
      </c>
      <c r="M11243" s="33" t="str">
        <f t="shared" si="703"/>
        <v>P&amp;L</v>
      </c>
    </row>
    <row r="11244" spans="1:13">
      <c r="A11244" s="33" t="str">
        <f t="shared" si="700"/>
        <v>SOF - Revenue</v>
      </c>
      <c r="B11244" s="33" t="str">
        <f t="shared" si="701"/>
        <v>SOF</v>
      </c>
      <c r="C11244" s="33" t="str">
        <f t="shared" si="702"/>
        <v>47493-0000</v>
      </c>
      <c r="D11244" t="s">
        <v>12523</v>
      </c>
      <c r="E11244" t="s">
        <v>4229</v>
      </c>
      <c r="F11244" t="s">
        <v>230</v>
      </c>
      <c r="G11244" t="s">
        <v>3717</v>
      </c>
      <c r="H11244" t="s">
        <v>2871</v>
      </c>
      <c r="I11244" t="s">
        <v>4230</v>
      </c>
      <c r="J11244" s="70">
        <v>0</v>
      </c>
      <c r="K11244" s="71">
        <v>583.38</v>
      </c>
      <c r="L11244" s="33" t="e">
        <f>HLOOKUP(B11244,#REF!,1,0)</f>
        <v>#REF!</v>
      </c>
      <c r="M11244" s="33" t="str">
        <f t="shared" si="703"/>
        <v>P&amp;L</v>
      </c>
    </row>
    <row r="11245" spans="1:13">
      <c r="A11245" s="33" t="str">
        <f t="shared" si="700"/>
        <v>SOF - CGS</v>
      </c>
      <c r="B11245" s="33" t="str">
        <f t="shared" si="701"/>
        <v>SOF</v>
      </c>
      <c r="C11245" s="33" t="str">
        <f t="shared" si="702"/>
        <v>51006-0000</v>
      </c>
      <c r="D11245" t="s">
        <v>12524</v>
      </c>
      <c r="E11245" t="s">
        <v>3739</v>
      </c>
      <c r="F11245" t="s">
        <v>230</v>
      </c>
      <c r="G11245" t="s">
        <v>3740</v>
      </c>
      <c r="H11245" t="s">
        <v>1875</v>
      </c>
      <c r="I11245" t="s">
        <v>3741</v>
      </c>
      <c r="J11245" s="70">
        <v>725</v>
      </c>
      <c r="K11245" s="71">
        <v>725</v>
      </c>
      <c r="L11245" s="33" t="e">
        <f>HLOOKUP(B11245,#REF!,1,0)</f>
        <v>#REF!</v>
      </c>
      <c r="M11245" s="33" t="str">
        <f t="shared" si="703"/>
        <v>P&amp;L</v>
      </c>
    </row>
    <row r="11246" spans="1:13">
      <c r="A11246" s="33" t="str">
        <f t="shared" si="700"/>
        <v>SOF - CGS</v>
      </c>
      <c r="B11246" s="33" t="str">
        <f t="shared" si="701"/>
        <v>SOF</v>
      </c>
      <c r="C11246" s="33" t="str">
        <f t="shared" si="702"/>
        <v>51008-0000</v>
      </c>
      <c r="D11246" t="s">
        <v>12525</v>
      </c>
      <c r="E11246" t="s">
        <v>3743</v>
      </c>
      <c r="F11246" t="s">
        <v>230</v>
      </c>
      <c r="G11246" t="s">
        <v>3740</v>
      </c>
      <c r="H11246" t="s">
        <v>1875</v>
      </c>
      <c r="I11246" t="s">
        <v>3744</v>
      </c>
      <c r="J11246" s="70">
        <v>266.72</v>
      </c>
      <c r="K11246" s="71">
        <v>266.72</v>
      </c>
      <c r="L11246" s="33" t="e">
        <f>HLOOKUP(B11246,#REF!,1,0)</f>
        <v>#REF!</v>
      </c>
      <c r="M11246" s="33" t="str">
        <f t="shared" si="703"/>
        <v>P&amp;L</v>
      </c>
    </row>
    <row r="11247" spans="1:13">
      <c r="A11247" s="33" t="str">
        <f t="shared" si="700"/>
        <v>SOF - CGS</v>
      </c>
      <c r="B11247" s="33" t="str">
        <f t="shared" si="701"/>
        <v>SOF</v>
      </c>
      <c r="C11247" s="33" t="str">
        <f t="shared" si="702"/>
        <v>51009-0000</v>
      </c>
      <c r="D11247" t="s">
        <v>12526</v>
      </c>
      <c r="E11247" t="s">
        <v>3746</v>
      </c>
      <c r="F11247" t="s">
        <v>230</v>
      </c>
      <c r="G11247" t="s">
        <v>3740</v>
      </c>
      <c r="H11247" t="s">
        <v>1875</v>
      </c>
      <c r="I11247" t="s">
        <v>3747</v>
      </c>
      <c r="J11247" s="70">
        <v>725</v>
      </c>
      <c r="K11247" s="71">
        <v>1100</v>
      </c>
      <c r="L11247" s="33" t="e">
        <f>HLOOKUP(B11247,#REF!,1,0)</f>
        <v>#REF!</v>
      </c>
      <c r="M11247" s="33" t="str">
        <f t="shared" si="703"/>
        <v>P&amp;L</v>
      </c>
    </row>
    <row r="11248" spans="1:13">
      <c r="A11248" s="33" t="str">
        <f t="shared" si="700"/>
        <v>SOF - CGS</v>
      </c>
      <c r="B11248" s="33" t="str">
        <f t="shared" si="701"/>
        <v>SOF</v>
      </c>
      <c r="C11248" s="33" t="str">
        <f t="shared" si="702"/>
        <v>51011-0000</v>
      </c>
      <c r="D11248" t="s">
        <v>12527</v>
      </c>
      <c r="E11248" t="s">
        <v>3749</v>
      </c>
      <c r="F11248" t="s">
        <v>230</v>
      </c>
      <c r="G11248" t="s">
        <v>3740</v>
      </c>
      <c r="H11248" t="s">
        <v>1875</v>
      </c>
      <c r="I11248" t="s">
        <v>3750</v>
      </c>
      <c r="J11248" s="70">
        <v>0</v>
      </c>
      <c r="K11248" s="71">
        <v>812.9</v>
      </c>
      <c r="L11248" s="33" t="e">
        <f>HLOOKUP(B11248,#REF!,1,0)</f>
        <v>#REF!</v>
      </c>
      <c r="M11248" s="33" t="str">
        <f t="shared" si="703"/>
        <v>P&amp;L</v>
      </c>
    </row>
    <row r="11249" spans="1:13">
      <c r="A11249" s="33" t="str">
        <f t="shared" si="700"/>
        <v>SOF - CGS</v>
      </c>
      <c r="B11249" s="33" t="str">
        <f t="shared" si="701"/>
        <v>SOF</v>
      </c>
      <c r="C11249" s="33" t="str">
        <f t="shared" si="702"/>
        <v>51012-0000</v>
      </c>
      <c r="D11249" t="s">
        <v>12528</v>
      </c>
      <c r="E11249" t="s">
        <v>3752</v>
      </c>
      <c r="F11249" t="s">
        <v>230</v>
      </c>
      <c r="G11249" t="s">
        <v>3740</v>
      </c>
      <c r="H11249" t="s">
        <v>1875</v>
      </c>
      <c r="I11249" t="s">
        <v>3753</v>
      </c>
      <c r="J11249" s="70">
        <v>300</v>
      </c>
      <c r="K11249" s="71">
        <v>402.19</v>
      </c>
      <c r="L11249" s="33" t="e">
        <f>HLOOKUP(B11249,#REF!,1,0)</f>
        <v>#REF!</v>
      </c>
      <c r="M11249" s="33" t="str">
        <f t="shared" si="703"/>
        <v>P&amp;L</v>
      </c>
    </row>
    <row r="11250" spans="1:13">
      <c r="A11250" s="33" t="str">
        <f t="shared" si="700"/>
        <v>SOF - CGS</v>
      </c>
      <c r="B11250" s="33" t="str">
        <f t="shared" si="701"/>
        <v>SOF</v>
      </c>
      <c r="C11250" s="33" t="str">
        <f t="shared" si="702"/>
        <v>51015-0000</v>
      </c>
      <c r="D11250" t="s">
        <v>12529</v>
      </c>
      <c r="E11250" t="s">
        <v>3755</v>
      </c>
      <c r="F11250" t="s">
        <v>230</v>
      </c>
      <c r="G11250" t="s">
        <v>3740</v>
      </c>
      <c r="H11250" t="s">
        <v>1875</v>
      </c>
      <c r="I11250" t="s">
        <v>3756</v>
      </c>
      <c r="J11250" s="70">
        <v>0</v>
      </c>
      <c r="K11250" s="71">
        <v>0</v>
      </c>
      <c r="L11250" s="33" t="e">
        <f>HLOOKUP(B11250,#REF!,1,0)</f>
        <v>#REF!</v>
      </c>
      <c r="M11250" s="33" t="str">
        <f t="shared" si="703"/>
        <v>P&amp;L</v>
      </c>
    </row>
    <row r="11251" spans="1:13">
      <c r="A11251" s="33" t="str">
        <f t="shared" si="700"/>
        <v>SOF - CGS</v>
      </c>
      <c r="B11251" s="33" t="str">
        <f t="shared" si="701"/>
        <v>SOF</v>
      </c>
      <c r="C11251" s="33" t="str">
        <f t="shared" si="702"/>
        <v>51020-0000</v>
      </c>
      <c r="D11251" t="s">
        <v>12530</v>
      </c>
      <c r="E11251" t="s">
        <v>3763</v>
      </c>
      <c r="F11251" t="s">
        <v>230</v>
      </c>
      <c r="G11251" t="s">
        <v>3740</v>
      </c>
      <c r="H11251" t="s">
        <v>1875</v>
      </c>
      <c r="I11251" t="s">
        <v>3345</v>
      </c>
      <c r="J11251" s="70">
        <v>0</v>
      </c>
      <c r="K11251" s="71">
        <v>32.18</v>
      </c>
      <c r="L11251" s="33" t="e">
        <f>HLOOKUP(B11251,#REF!,1,0)</f>
        <v>#REF!</v>
      </c>
      <c r="M11251" s="33" t="str">
        <f t="shared" si="703"/>
        <v>P&amp;L</v>
      </c>
    </row>
    <row r="11252" spans="1:13">
      <c r="A11252" s="33" t="str">
        <f t="shared" si="700"/>
        <v>SOF - CGS</v>
      </c>
      <c r="B11252" s="33" t="str">
        <f t="shared" si="701"/>
        <v>SOF</v>
      </c>
      <c r="C11252" s="33" t="str">
        <f t="shared" si="702"/>
        <v>51028-0000</v>
      </c>
      <c r="D11252" t="s">
        <v>12531</v>
      </c>
      <c r="E11252" t="s">
        <v>3736</v>
      </c>
      <c r="F11252" t="s">
        <v>230</v>
      </c>
      <c r="G11252" t="s">
        <v>3740</v>
      </c>
      <c r="H11252" t="s">
        <v>1875</v>
      </c>
      <c r="I11252" t="s">
        <v>3991</v>
      </c>
      <c r="J11252" s="70">
        <v>0</v>
      </c>
      <c r="K11252" s="71">
        <v>262.76</v>
      </c>
      <c r="L11252" s="33" t="e">
        <f>HLOOKUP(B11252,#REF!,1,0)</f>
        <v>#REF!</v>
      </c>
      <c r="M11252" s="33" t="str">
        <f t="shared" si="703"/>
        <v>P&amp;L</v>
      </c>
    </row>
    <row r="11253" spans="1:13">
      <c r="A11253" s="33" t="str">
        <f t="shared" si="700"/>
        <v>SOF - CGS</v>
      </c>
      <c r="B11253" s="33" t="str">
        <f t="shared" si="701"/>
        <v>SOF</v>
      </c>
      <c r="C11253" s="33" t="str">
        <f t="shared" si="702"/>
        <v>51029-0000</v>
      </c>
      <c r="D11253" t="s">
        <v>12532</v>
      </c>
      <c r="E11253" t="s">
        <v>3993</v>
      </c>
      <c r="F11253" t="s">
        <v>230</v>
      </c>
      <c r="G11253" t="s">
        <v>3740</v>
      </c>
      <c r="H11253" t="s">
        <v>1875</v>
      </c>
      <c r="I11253" t="s">
        <v>3994</v>
      </c>
      <c r="J11253" s="70">
        <v>0</v>
      </c>
      <c r="K11253" s="71">
        <v>208.06</v>
      </c>
      <c r="L11253" s="33" t="e">
        <f>HLOOKUP(B11253,#REF!,1,0)</f>
        <v>#REF!</v>
      </c>
      <c r="M11253" s="33" t="str">
        <f t="shared" si="703"/>
        <v>P&amp;L</v>
      </c>
    </row>
    <row r="11254" spans="1:13">
      <c r="A11254" s="33" t="str">
        <f t="shared" si="700"/>
        <v>SOF - CGS</v>
      </c>
      <c r="B11254" s="33" t="str">
        <f t="shared" si="701"/>
        <v>SOF</v>
      </c>
      <c r="C11254" s="33" t="str">
        <f t="shared" si="702"/>
        <v>52001-0000</v>
      </c>
      <c r="D11254" t="s">
        <v>12533</v>
      </c>
      <c r="E11254" t="s">
        <v>3768</v>
      </c>
      <c r="F11254" t="s">
        <v>230</v>
      </c>
      <c r="G11254" t="s">
        <v>3769</v>
      </c>
      <c r="H11254" t="s">
        <v>1875</v>
      </c>
      <c r="I11254" t="s">
        <v>3770</v>
      </c>
      <c r="J11254" s="70">
        <v>151.3</v>
      </c>
      <c r="K11254" s="71">
        <v>151.3</v>
      </c>
      <c r="L11254" s="33" t="e">
        <f>HLOOKUP(B11254,#REF!,1,0)</f>
        <v>#REF!</v>
      </c>
      <c r="M11254" s="33" t="str">
        <f t="shared" si="703"/>
        <v>P&amp;L</v>
      </c>
    </row>
    <row r="11255" spans="1:13">
      <c r="A11255" s="33" t="str">
        <f t="shared" si="700"/>
        <v>SOF - CGS</v>
      </c>
      <c r="B11255" s="33" t="str">
        <f t="shared" si="701"/>
        <v>SOF</v>
      </c>
      <c r="C11255" s="33" t="str">
        <f t="shared" si="702"/>
        <v>52003-0000</v>
      </c>
      <c r="D11255" t="s">
        <v>12534</v>
      </c>
      <c r="E11255" t="s">
        <v>3772</v>
      </c>
      <c r="F11255" t="s">
        <v>230</v>
      </c>
      <c r="G11255" t="s">
        <v>3769</v>
      </c>
      <c r="H11255" t="s">
        <v>1875</v>
      </c>
      <c r="I11255" t="s">
        <v>3773</v>
      </c>
      <c r="J11255" s="70">
        <v>1420</v>
      </c>
      <c r="K11255" s="71">
        <v>1420</v>
      </c>
      <c r="L11255" s="33" t="e">
        <f>HLOOKUP(B11255,#REF!,1,0)</f>
        <v>#REF!</v>
      </c>
      <c r="M11255" s="33" t="str">
        <f t="shared" si="703"/>
        <v>P&amp;L</v>
      </c>
    </row>
    <row r="11256" spans="1:13">
      <c r="A11256" s="33" t="str">
        <f t="shared" si="700"/>
        <v>SOF - CGS</v>
      </c>
      <c r="B11256" s="33" t="str">
        <f t="shared" si="701"/>
        <v>SOF</v>
      </c>
      <c r="C11256" s="33" t="str">
        <f t="shared" si="702"/>
        <v>53001-0000</v>
      </c>
      <c r="D11256" t="s">
        <v>12535</v>
      </c>
      <c r="E11256" t="s">
        <v>3781</v>
      </c>
      <c r="F11256" t="s">
        <v>230</v>
      </c>
      <c r="G11256" t="s">
        <v>3160</v>
      </c>
      <c r="H11256" t="s">
        <v>1875</v>
      </c>
      <c r="I11256" t="s">
        <v>3782</v>
      </c>
      <c r="J11256" s="70">
        <v>0</v>
      </c>
      <c r="K11256" s="71">
        <v>210.55</v>
      </c>
      <c r="L11256" s="33" t="e">
        <f>HLOOKUP(B11256,#REF!,1,0)</f>
        <v>#REF!</v>
      </c>
      <c r="M11256" s="33" t="str">
        <f t="shared" si="703"/>
        <v>P&amp;L</v>
      </c>
    </row>
    <row r="11257" spans="1:13">
      <c r="A11257" s="33" t="str">
        <f t="shared" si="700"/>
        <v>SOF - CGS</v>
      </c>
      <c r="B11257" s="33" t="str">
        <f t="shared" si="701"/>
        <v>SOF</v>
      </c>
      <c r="C11257" s="33" t="str">
        <f t="shared" si="702"/>
        <v>53002-0000</v>
      </c>
      <c r="D11257" t="s">
        <v>12536</v>
      </c>
      <c r="E11257" t="s">
        <v>3784</v>
      </c>
      <c r="F11257" t="s">
        <v>230</v>
      </c>
      <c r="G11257" t="s">
        <v>3160</v>
      </c>
      <c r="H11257" t="s">
        <v>1875</v>
      </c>
      <c r="I11257" t="s">
        <v>3785</v>
      </c>
      <c r="J11257" s="70">
        <v>0</v>
      </c>
      <c r="K11257" s="71">
        <v>344.26</v>
      </c>
      <c r="L11257" s="33" t="e">
        <f>HLOOKUP(B11257,#REF!,1,0)</f>
        <v>#REF!</v>
      </c>
      <c r="M11257" s="33" t="str">
        <f t="shared" si="703"/>
        <v>P&amp;L</v>
      </c>
    </row>
    <row r="11258" spans="1:13">
      <c r="A11258" s="33" t="str">
        <f t="shared" si="700"/>
        <v>SOF - CGS</v>
      </c>
      <c r="B11258" s="33" t="str">
        <f t="shared" si="701"/>
        <v>SOF</v>
      </c>
      <c r="C11258" s="33" t="str">
        <f t="shared" si="702"/>
        <v>53003-0000</v>
      </c>
      <c r="D11258" t="s">
        <v>12537</v>
      </c>
      <c r="E11258" t="s">
        <v>3787</v>
      </c>
      <c r="F11258" t="s">
        <v>230</v>
      </c>
      <c r="G11258" t="s">
        <v>3160</v>
      </c>
      <c r="H11258" t="s">
        <v>1875</v>
      </c>
      <c r="I11258" t="s">
        <v>3788</v>
      </c>
      <c r="J11258" s="70">
        <v>2526.08</v>
      </c>
      <c r="K11258" s="71">
        <v>3475.7</v>
      </c>
      <c r="L11258" s="33" t="e">
        <f>HLOOKUP(B11258,#REF!,1,0)</f>
        <v>#REF!</v>
      </c>
      <c r="M11258" s="33" t="str">
        <f t="shared" si="703"/>
        <v>P&amp;L</v>
      </c>
    </row>
    <row r="11259" spans="1:13">
      <c r="A11259" s="33" t="str">
        <f t="shared" si="700"/>
        <v>SOF - CGS</v>
      </c>
      <c r="B11259" s="33" t="str">
        <f t="shared" si="701"/>
        <v>SOF</v>
      </c>
      <c r="C11259" s="33" t="str">
        <f t="shared" si="702"/>
        <v>53004-0000</v>
      </c>
      <c r="D11259" t="s">
        <v>12538</v>
      </c>
      <c r="E11259" t="s">
        <v>3790</v>
      </c>
      <c r="F11259" t="s">
        <v>230</v>
      </c>
      <c r="G11259" t="s">
        <v>3160</v>
      </c>
      <c r="H11259" t="s">
        <v>1875</v>
      </c>
      <c r="I11259" t="s">
        <v>3791</v>
      </c>
      <c r="J11259" s="70">
        <v>240.46</v>
      </c>
      <c r="K11259" s="71">
        <v>438.7</v>
      </c>
      <c r="L11259" s="33" t="e">
        <f>HLOOKUP(B11259,#REF!,1,0)</f>
        <v>#REF!</v>
      </c>
      <c r="M11259" s="33" t="str">
        <f t="shared" si="703"/>
        <v>P&amp;L</v>
      </c>
    </row>
    <row r="11260" spans="1:13">
      <c r="A11260" s="33" t="str">
        <f t="shared" si="700"/>
        <v>SOF - CGS</v>
      </c>
      <c r="B11260" s="33" t="str">
        <f t="shared" si="701"/>
        <v>SOF</v>
      </c>
      <c r="C11260" s="33" t="str">
        <f t="shared" si="702"/>
        <v>53005-0000</v>
      </c>
      <c r="D11260" t="s">
        <v>12539</v>
      </c>
      <c r="E11260" t="s">
        <v>3793</v>
      </c>
      <c r="F11260" t="s">
        <v>230</v>
      </c>
      <c r="G11260" t="s">
        <v>3160</v>
      </c>
      <c r="H11260" t="s">
        <v>1875</v>
      </c>
      <c r="I11260" t="s">
        <v>3794</v>
      </c>
      <c r="J11260" s="70">
        <v>1145.08</v>
      </c>
      <c r="K11260" s="71">
        <v>1493.98</v>
      </c>
      <c r="L11260" s="33" t="e">
        <f>HLOOKUP(B11260,#REF!,1,0)</f>
        <v>#REF!</v>
      </c>
      <c r="M11260" s="33" t="str">
        <f t="shared" si="703"/>
        <v>P&amp;L</v>
      </c>
    </row>
    <row r="11261" spans="1:13">
      <c r="A11261" s="33" t="str">
        <f t="shared" si="700"/>
        <v>SOF - CGS</v>
      </c>
      <c r="B11261" s="33" t="str">
        <f t="shared" si="701"/>
        <v>SOF</v>
      </c>
      <c r="C11261" s="33" t="str">
        <f t="shared" si="702"/>
        <v>53006-0000</v>
      </c>
      <c r="D11261" t="s">
        <v>12540</v>
      </c>
      <c r="E11261" t="s">
        <v>3796</v>
      </c>
      <c r="F11261" t="s">
        <v>230</v>
      </c>
      <c r="G11261" t="s">
        <v>3160</v>
      </c>
      <c r="H11261" t="s">
        <v>1875</v>
      </c>
      <c r="I11261" t="s">
        <v>3797</v>
      </c>
      <c r="J11261" s="70">
        <v>3817.18</v>
      </c>
      <c r="K11261" s="71">
        <v>4927.31</v>
      </c>
      <c r="L11261" s="33" t="e">
        <f>HLOOKUP(B11261,#REF!,1,0)</f>
        <v>#REF!</v>
      </c>
      <c r="M11261" s="33" t="str">
        <f t="shared" si="703"/>
        <v>P&amp;L</v>
      </c>
    </row>
    <row r="11262" spans="1:13">
      <c r="A11262" s="33" t="str">
        <f t="shared" si="700"/>
        <v>SOF - CGS</v>
      </c>
      <c r="B11262" s="33" t="str">
        <f t="shared" si="701"/>
        <v>SOF</v>
      </c>
      <c r="C11262" s="33" t="str">
        <f t="shared" si="702"/>
        <v>54002-0000</v>
      </c>
      <c r="D11262" t="s">
        <v>12541</v>
      </c>
      <c r="E11262" t="s">
        <v>3799</v>
      </c>
      <c r="F11262" t="s">
        <v>230</v>
      </c>
      <c r="G11262" t="s">
        <v>3800</v>
      </c>
      <c r="H11262" t="s">
        <v>1875</v>
      </c>
      <c r="I11262" t="s">
        <v>3801</v>
      </c>
      <c r="J11262" s="70">
        <v>492</v>
      </c>
      <c r="K11262" s="71">
        <v>2192</v>
      </c>
      <c r="L11262" s="33" t="e">
        <f>HLOOKUP(B11262,#REF!,1,0)</f>
        <v>#REF!</v>
      </c>
      <c r="M11262" s="33" t="str">
        <f t="shared" si="703"/>
        <v>P&amp;L</v>
      </c>
    </row>
    <row r="11263" spans="1:13">
      <c r="A11263" s="33" t="str">
        <f t="shared" si="700"/>
        <v>SOF - CGS</v>
      </c>
      <c r="B11263" s="33" t="str">
        <f t="shared" si="701"/>
        <v>SOF</v>
      </c>
      <c r="C11263" s="33" t="str">
        <f t="shared" si="702"/>
        <v>54003-0000</v>
      </c>
      <c r="D11263" t="s">
        <v>12542</v>
      </c>
      <c r="E11263" t="s">
        <v>3803</v>
      </c>
      <c r="F11263" t="s">
        <v>230</v>
      </c>
      <c r="G11263" t="s">
        <v>3800</v>
      </c>
      <c r="H11263" t="s">
        <v>1875</v>
      </c>
      <c r="I11263" t="s">
        <v>3804</v>
      </c>
      <c r="J11263" s="70">
        <v>0</v>
      </c>
      <c r="K11263" s="71">
        <v>0</v>
      </c>
      <c r="L11263" s="33" t="e">
        <f>HLOOKUP(B11263,#REF!,1,0)</f>
        <v>#REF!</v>
      </c>
      <c r="M11263" s="33" t="str">
        <f t="shared" si="703"/>
        <v>P&amp;L</v>
      </c>
    </row>
    <row r="11264" spans="1:13">
      <c r="A11264" s="33" t="str">
        <f t="shared" si="700"/>
        <v>SOF - CGS</v>
      </c>
      <c r="B11264" s="33" t="str">
        <f t="shared" si="701"/>
        <v>SOF</v>
      </c>
      <c r="C11264" s="33" t="str">
        <f t="shared" si="702"/>
        <v>54004-0000</v>
      </c>
      <c r="D11264" t="s">
        <v>12543</v>
      </c>
      <c r="E11264" t="s">
        <v>3806</v>
      </c>
      <c r="F11264" t="s">
        <v>230</v>
      </c>
      <c r="G11264" t="s">
        <v>3800</v>
      </c>
      <c r="H11264" t="s">
        <v>1875</v>
      </c>
      <c r="I11264" t="s">
        <v>3807</v>
      </c>
      <c r="J11264" s="70">
        <v>2888</v>
      </c>
      <c r="K11264" s="71">
        <v>7743.76</v>
      </c>
      <c r="L11264" s="33" t="e">
        <f>HLOOKUP(B11264,#REF!,1,0)</f>
        <v>#REF!</v>
      </c>
      <c r="M11264" s="33" t="str">
        <f t="shared" si="703"/>
        <v>P&amp;L</v>
      </c>
    </row>
    <row r="11265" spans="1:13">
      <c r="A11265" s="33" t="str">
        <f t="shared" si="700"/>
        <v>SOF - CGS</v>
      </c>
      <c r="B11265" s="33" t="str">
        <f t="shared" si="701"/>
        <v>SOF</v>
      </c>
      <c r="C11265" s="33" t="str">
        <f t="shared" si="702"/>
        <v>54005-0000</v>
      </c>
      <c r="D11265" t="s">
        <v>12544</v>
      </c>
      <c r="E11265" t="s">
        <v>3809</v>
      </c>
      <c r="F11265" t="s">
        <v>230</v>
      </c>
      <c r="G11265" t="s">
        <v>3800</v>
      </c>
      <c r="H11265" t="s">
        <v>1875</v>
      </c>
      <c r="I11265" t="s">
        <v>3810</v>
      </c>
      <c r="J11265" s="70">
        <v>58.19</v>
      </c>
      <c r="K11265" s="71">
        <v>128.8</v>
      </c>
      <c r="L11265" s="33" t="e">
        <f>HLOOKUP(B11265,#REF!,1,0)</f>
        <v>#REF!</v>
      </c>
      <c r="M11265" s="33" t="str">
        <f t="shared" si="703"/>
        <v>P&amp;L</v>
      </c>
    </row>
    <row r="11266" spans="1:13">
      <c r="A11266" s="33" t="str">
        <f t="shared" ref="A11266:A11329" si="704">B11266&amp;" - "&amp;TRIM(H11266)</f>
        <v>SOF - CGS</v>
      </c>
      <c r="B11266" s="33" t="str">
        <f t="shared" ref="B11266:B11329" si="705">LEFT(D11266,3)</f>
        <v>SOF</v>
      </c>
      <c r="C11266" s="33" t="str">
        <f t="shared" ref="C11266:C11329" si="706">RIGHT(D11266,10)</f>
        <v>54006-0000</v>
      </c>
      <c r="D11266" t="s">
        <v>12545</v>
      </c>
      <c r="E11266" t="s">
        <v>3812</v>
      </c>
      <c r="F11266" t="s">
        <v>230</v>
      </c>
      <c r="G11266" t="s">
        <v>3800</v>
      </c>
      <c r="H11266" t="s">
        <v>1875</v>
      </c>
      <c r="I11266" t="s">
        <v>3003</v>
      </c>
      <c r="J11266" s="70">
        <v>1500.88</v>
      </c>
      <c r="K11266" s="71">
        <v>3482.01</v>
      </c>
      <c r="L11266" s="33" t="e">
        <f>HLOOKUP(B11266,#REF!,1,0)</f>
        <v>#REF!</v>
      </c>
      <c r="M11266" s="33" t="str">
        <f t="shared" ref="M11266:M11329" si="707">IF(VALUE(LEFT(C11266,5))&gt;40000,"P&amp;L","BS")</f>
        <v>P&amp;L</v>
      </c>
    </row>
    <row r="11267" spans="1:13">
      <c r="A11267" s="33" t="str">
        <f t="shared" si="704"/>
        <v>SOF - CGS</v>
      </c>
      <c r="B11267" s="33" t="str">
        <f t="shared" si="705"/>
        <v>SOF</v>
      </c>
      <c r="C11267" s="33" t="str">
        <f t="shared" si="706"/>
        <v>54007-0000</v>
      </c>
      <c r="D11267" t="s">
        <v>12546</v>
      </c>
      <c r="E11267" t="s">
        <v>3814</v>
      </c>
      <c r="F11267" t="s">
        <v>230</v>
      </c>
      <c r="G11267" t="s">
        <v>3800</v>
      </c>
      <c r="H11267" t="s">
        <v>1875</v>
      </c>
      <c r="I11267" t="s">
        <v>3815</v>
      </c>
      <c r="J11267" s="70">
        <v>7563.87</v>
      </c>
      <c r="K11267" s="71">
        <v>14951.79</v>
      </c>
      <c r="L11267" s="33" t="e">
        <f>HLOOKUP(B11267,#REF!,1,0)</f>
        <v>#REF!</v>
      </c>
      <c r="M11267" s="33" t="str">
        <f t="shared" si="707"/>
        <v>P&amp;L</v>
      </c>
    </row>
    <row r="11268" spans="1:13">
      <c r="A11268" s="33" t="str">
        <f t="shared" si="704"/>
        <v>SOF - PM Expenses</v>
      </c>
      <c r="B11268" s="33" t="str">
        <f t="shared" si="705"/>
        <v>SOF</v>
      </c>
      <c r="C11268" s="33" t="str">
        <f t="shared" si="706"/>
        <v>55503-0000</v>
      </c>
      <c r="D11268" t="s">
        <v>12547</v>
      </c>
      <c r="E11268" t="s">
        <v>3825</v>
      </c>
      <c r="F11268" t="s">
        <v>230</v>
      </c>
      <c r="G11268" t="s">
        <v>3818</v>
      </c>
      <c r="H11268" t="s">
        <v>3819</v>
      </c>
      <c r="I11268" t="s">
        <v>3826</v>
      </c>
      <c r="J11268" s="70">
        <v>14405</v>
      </c>
      <c r="K11268" s="71">
        <v>14904</v>
      </c>
      <c r="L11268" s="33" t="e">
        <f>HLOOKUP(B11268,#REF!,1,0)</f>
        <v>#REF!</v>
      </c>
      <c r="M11268" s="33" t="str">
        <f t="shared" si="707"/>
        <v>P&amp;L</v>
      </c>
    </row>
    <row r="11269" spans="1:13">
      <c r="A11269" s="33" t="str">
        <f t="shared" si="704"/>
        <v>SOF - PM Expenses</v>
      </c>
      <c r="B11269" s="33" t="str">
        <f t="shared" si="705"/>
        <v>SOF</v>
      </c>
      <c r="C11269" s="33" t="str">
        <f t="shared" si="706"/>
        <v>55505-0000</v>
      </c>
      <c r="D11269" t="s">
        <v>12548</v>
      </c>
      <c r="E11269" t="s">
        <v>3828</v>
      </c>
      <c r="F11269" t="s">
        <v>230</v>
      </c>
      <c r="G11269" t="s">
        <v>3818</v>
      </c>
      <c r="H11269" t="s">
        <v>3819</v>
      </c>
      <c r="I11269" t="s">
        <v>3829</v>
      </c>
      <c r="J11269" s="70">
        <v>842</v>
      </c>
      <c r="K11269" s="71">
        <v>842</v>
      </c>
      <c r="L11269" s="33" t="e">
        <f>HLOOKUP(B11269,#REF!,1,0)</f>
        <v>#REF!</v>
      </c>
      <c r="M11269" s="33" t="str">
        <f t="shared" si="707"/>
        <v>P&amp;L</v>
      </c>
    </row>
    <row r="11270" spans="1:13">
      <c r="A11270" s="33" t="str">
        <f t="shared" si="704"/>
        <v>SOF - PM Expenses</v>
      </c>
      <c r="B11270" s="33" t="str">
        <f t="shared" si="705"/>
        <v>SOF</v>
      </c>
      <c r="C11270" s="33" t="str">
        <f t="shared" si="706"/>
        <v>55506-0000</v>
      </c>
      <c r="D11270" t="s">
        <v>12549</v>
      </c>
      <c r="E11270" t="s">
        <v>3831</v>
      </c>
      <c r="F11270" t="s">
        <v>230</v>
      </c>
      <c r="G11270" t="s">
        <v>3818</v>
      </c>
      <c r="H11270" t="s">
        <v>3819</v>
      </c>
      <c r="I11270" t="s">
        <v>3832</v>
      </c>
      <c r="J11270" s="70">
        <v>1160</v>
      </c>
      <c r="K11270" s="71">
        <v>2730</v>
      </c>
      <c r="L11270" s="33" t="e">
        <f>HLOOKUP(B11270,#REF!,1,0)</f>
        <v>#REF!</v>
      </c>
      <c r="M11270" s="33" t="str">
        <f t="shared" si="707"/>
        <v>P&amp;L</v>
      </c>
    </row>
    <row r="11271" spans="1:13">
      <c r="A11271" s="33" t="str">
        <f t="shared" si="704"/>
        <v>SOF - CGS</v>
      </c>
      <c r="B11271" s="33" t="str">
        <f t="shared" si="705"/>
        <v>SOF</v>
      </c>
      <c r="C11271" s="33" t="str">
        <f t="shared" si="706"/>
        <v>60002-0000</v>
      </c>
      <c r="D11271" t="s">
        <v>12550</v>
      </c>
      <c r="E11271" t="s">
        <v>3837</v>
      </c>
      <c r="F11271" t="s">
        <v>230</v>
      </c>
      <c r="G11271" t="s">
        <v>3838</v>
      </c>
      <c r="H11271" t="s">
        <v>1875</v>
      </c>
      <c r="I11271" t="s">
        <v>3839</v>
      </c>
      <c r="J11271" s="70">
        <v>218.25</v>
      </c>
      <c r="K11271" s="71">
        <v>218.25</v>
      </c>
      <c r="L11271" s="33" t="e">
        <f>HLOOKUP(B11271,#REF!,1,0)</f>
        <v>#REF!</v>
      </c>
      <c r="M11271" s="33" t="str">
        <f t="shared" si="707"/>
        <v>P&amp;L</v>
      </c>
    </row>
    <row r="11272" spans="1:13">
      <c r="A11272" s="33" t="str">
        <f t="shared" si="704"/>
        <v>SOF - Interest Expense</v>
      </c>
      <c r="B11272" s="33" t="str">
        <f t="shared" si="705"/>
        <v>SOF</v>
      </c>
      <c r="C11272" s="33" t="str">
        <f t="shared" si="706"/>
        <v>60006-0000</v>
      </c>
      <c r="D11272" t="s">
        <v>12551</v>
      </c>
      <c r="E11272" t="s">
        <v>3325</v>
      </c>
      <c r="F11272" t="s">
        <v>230</v>
      </c>
      <c r="G11272" t="s">
        <v>3844</v>
      </c>
      <c r="H11272" t="s">
        <v>3327</v>
      </c>
      <c r="I11272" t="s">
        <v>3328</v>
      </c>
      <c r="J11272" s="70">
        <v>151494</v>
      </c>
      <c r="K11272" s="71">
        <v>324368.02</v>
      </c>
      <c r="L11272" s="33" t="e">
        <f>HLOOKUP(B11272,#REF!,1,0)</f>
        <v>#REF!</v>
      </c>
      <c r="M11272" s="33" t="str">
        <f t="shared" si="707"/>
        <v>P&amp;L</v>
      </c>
    </row>
    <row r="11273" spans="1:13">
      <c r="A11273" s="33" t="str">
        <f t="shared" si="704"/>
        <v>SOF - CGS</v>
      </c>
      <c r="B11273" s="33" t="str">
        <f t="shared" si="705"/>
        <v>SOF</v>
      </c>
      <c r="C11273" s="33" t="str">
        <f t="shared" si="706"/>
        <v>60008-0000</v>
      </c>
      <c r="D11273" t="s">
        <v>12552</v>
      </c>
      <c r="E11273" t="s">
        <v>3849</v>
      </c>
      <c r="F11273" t="s">
        <v>230</v>
      </c>
      <c r="G11273" t="s">
        <v>3838</v>
      </c>
      <c r="H11273" t="s">
        <v>1875</v>
      </c>
      <c r="I11273" t="s">
        <v>3850</v>
      </c>
      <c r="J11273" s="70">
        <v>0</v>
      </c>
      <c r="K11273" s="71">
        <v>440</v>
      </c>
      <c r="L11273" s="33" t="e">
        <f>HLOOKUP(B11273,#REF!,1,0)</f>
        <v>#REF!</v>
      </c>
      <c r="M11273" s="33" t="str">
        <f t="shared" si="707"/>
        <v>P&amp;L</v>
      </c>
    </row>
    <row r="11274" spans="1:13">
      <c r="A11274" s="33" t="str">
        <f t="shared" si="704"/>
        <v>SOF - CGS</v>
      </c>
      <c r="B11274" s="33" t="str">
        <f t="shared" si="705"/>
        <v>SOF</v>
      </c>
      <c r="C11274" s="33" t="str">
        <f t="shared" si="706"/>
        <v>60012-0000</v>
      </c>
      <c r="D11274" t="s">
        <v>12553</v>
      </c>
      <c r="E11274" t="s">
        <v>3852</v>
      </c>
      <c r="F11274" t="s">
        <v>230</v>
      </c>
      <c r="G11274" t="s">
        <v>3838</v>
      </c>
      <c r="H11274" t="s">
        <v>1875</v>
      </c>
      <c r="I11274" t="s">
        <v>3853</v>
      </c>
      <c r="J11274" s="70">
        <v>0</v>
      </c>
      <c r="K11274" s="71">
        <v>-20991.75</v>
      </c>
      <c r="L11274" s="33" t="e">
        <f>HLOOKUP(B11274,#REF!,1,0)</f>
        <v>#REF!</v>
      </c>
      <c r="M11274" s="33" t="str">
        <f t="shared" si="707"/>
        <v>P&amp;L</v>
      </c>
    </row>
    <row r="11275" spans="1:13">
      <c r="A11275" s="33" t="str">
        <f t="shared" si="704"/>
        <v>SOF - CGS</v>
      </c>
      <c r="B11275" s="33" t="str">
        <f t="shared" si="705"/>
        <v>SOF</v>
      </c>
      <c r="C11275" s="33" t="str">
        <f t="shared" si="706"/>
        <v>60014-0000</v>
      </c>
      <c r="D11275" t="s">
        <v>12554</v>
      </c>
      <c r="E11275" t="s">
        <v>3855</v>
      </c>
      <c r="F11275" t="s">
        <v>230</v>
      </c>
      <c r="G11275" t="s">
        <v>3838</v>
      </c>
      <c r="H11275" t="s">
        <v>1875</v>
      </c>
      <c r="I11275" t="s">
        <v>3856</v>
      </c>
      <c r="J11275" s="70">
        <v>6194.31</v>
      </c>
      <c r="K11275" s="71">
        <v>19835.19</v>
      </c>
      <c r="L11275" s="33" t="e">
        <f>HLOOKUP(B11275,#REF!,1,0)</f>
        <v>#REF!</v>
      </c>
      <c r="M11275" s="33" t="str">
        <f t="shared" si="707"/>
        <v>P&amp;L</v>
      </c>
    </row>
    <row r="11276" spans="1:13">
      <c r="A11276" s="33" t="str">
        <f t="shared" si="704"/>
        <v>SOF - CGS</v>
      </c>
      <c r="B11276" s="33" t="str">
        <f t="shared" si="705"/>
        <v>SOF</v>
      </c>
      <c r="C11276" s="33" t="str">
        <f t="shared" si="706"/>
        <v>60015-0000</v>
      </c>
      <c r="D11276" t="s">
        <v>12555</v>
      </c>
      <c r="E11276" t="s">
        <v>3858</v>
      </c>
      <c r="F11276" t="s">
        <v>230</v>
      </c>
      <c r="G11276" t="s">
        <v>3838</v>
      </c>
      <c r="H11276" t="s">
        <v>1875</v>
      </c>
      <c r="I11276" t="s">
        <v>3859</v>
      </c>
      <c r="J11276" s="70">
        <v>495</v>
      </c>
      <c r="K11276" s="71">
        <v>1247.86</v>
      </c>
      <c r="L11276" s="33" t="e">
        <f>HLOOKUP(B11276,#REF!,1,0)</f>
        <v>#REF!</v>
      </c>
      <c r="M11276" s="33" t="str">
        <f t="shared" si="707"/>
        <v>P&amp;L</v>
      </c>
    </row>
    <row r="11277" spans="1:13">
      <c r="A11277" s="33" t="str">
        <f t="shared" si="704"/>
        <v>SOF - CGS</v>
      </c>
      <c r="B11277" s="33" t="str">
        <f t="shared" si="705"/>
        <v>SOF</v>
      </c>
      <c r="C11277" s="33" t="str">
        <f t="shared" si="706"/>
        <v>61016-0000</v>
      </c>
      <c r="D11277" t="s">
        <v>12556</v>
      </c>
      <c r="E11277" t="s">
        <v>3861</v>
      </c>
      <c r="F11277" t="s">
        <v>230</v>
      </c>
      <c r="G11277" t="s">
        <v>3838</v>
      </c>
      <c r="H11277" t="s">
        <v>1875</v>
      </c>
      <c r="I11277" t="s">
        <v>3862</v>
      </c>
      <c r="J11277" s="70">
        <v>0</v>
      </c>
      <c r="K11277" s="71">
        <v>0</v>
      </c>
      <c r="L11277" s="33" t="e">
        <f>HLOOKUP(B11277,#REF!,1,0)</f>
        <v>#REF!</v>
      </c>
      <c r="M11277" s="33" t="str">
        <f t="shared" si="707"/>
        <v>P&amp;L</v>
      </c>
    </row>
    <row r="11278" spans="1:13">
      <c r="A11278" s="33" t="str">
        <f t="shared" si="704"/>
        <v>SOF - Other Expenses</v>
      </c>
      <c r="B11278" s="33" t="str">
        <f t="shared" si="705"/>
        <v>SOF</v>
      </c>
      <c r="C11278" s="33" t="str">
        <f t="shared" si="706"/>
        <v>61018-0000</v>
      </c>
      <c r="D11278" t="s">
        <v>12557</v>
      </c>
      <c r="E11278" t="s">
        <v>3864</v>
      </c>
      <c r="F11278" t="s">
        <v>230</v>
      </c>
      <c r="G11278" t="s">
        <v>3838</v>
      </c>
      <c r="H11278" t="s">
        <v>3865</v>
      </c>
      <c r="I11278" t="s">
        <v>3866</v>
      </c>
      <c r="J11278" s="70">
        <v>0</v>
      </c>
      <c r="K11278" s="71">
        <v>1628577.89</v>
      </c>
      <c r="L11278" s="33" t="e">
        <f>HLOOKUP(B11278,#REF!,1,0)</f>
        <v>#REF!</v>
      </c>
      <c r="M11278" s="33" t="str">
        <f t="shared" si="707"/>
        <v>P&amp;L</v>
      </c>
    </row>
    <row r="11279" spans="1:13">
      <c r="A11279" s="33" t="str">
        <f t="shared" si="704"/>
        <v>SOU - Cash</v>
      </c>
      <c r="B11279" s="33" t="str">
        <f t="shared" si="705"/>
        <v>SOU</v>
      </c>
      <c r="C11279" s="33" t="str">
        <f t="shared" si="706"/>
        <v>10001-0000</v>
      </c>
      <c r="D11279" t="s">
        <v>12558</v>
      </c>
      <c r="E11279" t="s">
        <v>12559</v>
      </c>
      <c r="F11279" t="s">
        <v>230</v>
      </c>
      <c r="G11279" t="s">
        <v>16</v>
      </c>
      <c r="H11279" s="64" t="s">
        <v>25</v>
      </c>
      <c r="I11279" t="s">
        <v>18</v>
      </c>
      <c r="J11279" s="70">
        <v>0</v>
      </c>
      <c r="K11279" s="71">
        <v>-3712.71</v>
      </c>
      <c r="L11279" s="33" t="e">
        <f>HLOOKUP(B11279,#REF!,1,0)</f>
        <v>#REF!</v>
      </c>
      <c r="M11279" s="33" t="str">
        <f t="shared" si="707"/>
        <v>BS</v>
      </c>
    </row>
    <row r="11280" spans="1:13">
      <c r="A11280" s="33" t="str">
        <f t="shared" si="704"/>
        <v>SOU - AP-Accr Exp</v>
      </c>
      <c r="B11280" s="33" t="str">
        <f t="shared" si="705"/>
        <v>SOU</v>
      </c>
      <c r="C11280" s="33" t="str">
        <f t="shared" si="706"/>
        <v>20001-0000</v>
      </c>
      <c r="D11280" t="s">
        <v>12560</v>
      </c>
      <c r="E11280" t="s">
        <v>96</v>
      </c>
      <c r="F11280" t="s">
        <v>230</v>
      </c>
      <c r="G11280" t="s">
        <v>97</v>
      </c>
      <c r="H11280" t="s">
        <v>98</v>
      </c>
      <c r="I11280" t="s">
        <v>99</v>
      </c>
      <c r="J11280" s="70">
        <v>19984.72</v>
      </c>
      <c r="K11280" s="71">
        <v>0</v>
      </c>
      <c r="L11280" s="33" t="e">
        <f>HLOOKUP(B11280,#REF!,1,0)</f>
        <v>#REF!</v>
      </c>
      <c r="M11280" s="33" t="str">
        <f t="shared" si="707"/>
        <v>BS</v>
      </c>
    </row>
    <row r="11281" spans="1:13">
      <c r="A11281" s="33" t="str">
        <f t="shared" si="704"/>
        <v>SOU - Revenue</v>
      </c>
      <c r="B11281" s="33" t="str">
        <f t="shared" si="705"/>
        <v>SOU</v>
      </c>
      <c r="C11281" s="33" t="str">
        <f t="shared" si="706"/>
        <v>43200-0000</v>
      </c>
      <c r="D11281" t="s">
        <v>12561</v>
      </c>
      <c r="E11281" t="s">
        <v>5925</v>
      </c>
      <c r="F11281" t="s">
        <v>230</v>
      </c>
      <c r="G11281" t="s">
        <v>2870</v>
      </c>
      <c r="H11281" t="s">
        <v>2871</v>
      </c>
      <c r="I11281" t="s">
        <v>5926</v>
      </c>
      <c r="J11281" s="70">
        <v>-38441.53</v>
      </c>
      <c r="K11281" s="71">
        <v>-408449.24</v>
      </c>
      <c r="L11281" s="33" t="e">
        <f>HLOOKUP(B11281,#REF!,1,0)</f>
        <v>#REF!</v>
      </c>
      <c r="M11281" s="33" t="str">
        <f t="shared" si="707"/>
        <v>P&amp;L</v>
      </c>
    </row>
    <row r="11282" spans="1:13">
      <c r="A11282" s="33" t="str">
        <f t="shared" si="704"/>
        <v>SOU - CGS</v>
      </c>
      <c r="B11282" s="33" t="str">
        <f t="shared" si="705"/>
        <v>SOU</v>
      </c>
      <c r="C11282" s="33" t="str">
        <f t="shared" si="706"/>
        <v>50400-0000</v>
      </c>
      <c r="D11282" t="s">
        <v>12562</v>
      </c>
      <c r="E11282" t="s">
        <v>3837</v>
      </c>
      <c r="F11282" t="s">
        <v>230</v>
      </c>
      <c r="G11282" t="s">
        <v>5940</v>
      </c>
      <c r="H11282" t="s">
        <v>1875</v>
      </c>
      <c r="I11282" t="s">
        <v>5233</v>
      </c>
      <c r="J11282" s="70">
        <v>435.46</v>
      </c>
      <c r="K11282" s="71">
        <v>1489.14</v>
      </c>
      <c r="L11282" s="33" t="e">
        <f>HLOOKUP(B11282,#REF!,1,0)</f>
        <v>#REF!</v>
      </c>
      <c r="M11282" s="33" t="str">
        <f t="shared" si="707"/>
        <v>P&amp;L</v>
      </c>
    </row>
    <row r="11283" spans="1:13">
      <c r="A11283" s="33" t="str">
        <f t="shared" si="704"/>
        <v>SOU - CGS</v>
      </c>
      <c r="B11283" s="33" t="str">
        <f t="shared" si="705"/>
        <v>SOU</v>
      </c>
      <c r="C11283" s="33" t="str">
        <f t="shared" si="706"/>
        <v>51002-0000</v>
      </c>
      <c r="D11283" t="s">
        <v>12563</v>
      </c>
      <c r="E11283" t="s">
        <v>4086</v>
      </c>
      <c r="F11283" t="s">
        <v>230</v>
      </c>
      <c r="G11283" t="s">
        <v>3740</v>
      </c>
      <c r="H11283" t="s">
        <v>1875</v>
      </c>
      <c r="I11283" t="s">
        <v>4087</v>
      </c>
      <c r="J11283" s="70">
        <v>38441.53</v>
      </c>
      <c r="K11283" s="71">
        <v>367258.76</v>
      </c>
      <c r="L11283" s="33" t="e">
        <f>HLOOKUP(B11283,#REF!,1,0)</f>
        <v>#REF!</v>
      </c>
      <c r="M11283" s="33" t="str">
        <f t="shared" si="707"/>
        <v>P&amp;L</v>
      </c>
    </row>
    <row r="11284" spans="1:13">
      <c r="A11284" s="33" t="str">
        <f t="shared" si="704"/>
        <v>SOU - CGS</v>
      </c>
      <c r="B11284" s="33" t="str">
        <f t="shared" si="705"/>
        <v>SOU</v>
      </c>
      <c r="C11284" s="33" t="str">
        <f t="shared" si="706"/>
        <v>51008-0000</v>
      </c>
      <c r="D11284" t="s">
        <v>12564</v>
      </c>
      <c r="E11284" t="s">
        <v>3743</v>
      </c>
      <c r="F11284" t="s">
        <v>230</v>
      </c>
      <c r="G11284" t="s">
        <v>3740</v>
      </c>
      <c r="H11284" t="s">
        <v>1875</v>
      </c>
      <c r="I11284" t="s">
        <v>3744</v>
      </c>
      <c r="J11284" s="70">
        <v>0</v>
      </c>
      <c r="K11284" s="71">
        <v>21857.5</v>
      </c>
      <c r="L11284" s="33" t="e">
        <f>HLOOKUP(B11284,#REF!,1,0)</f>
        <v>#REF!</v>
      </c>
      <c r="M11284" s="33" t="str">
        <f t="shared" si="707"/>
        <v>P&amp;L</v>
      </c>
    </row>
    <row r="11285" spans="1:13">
      <c r="A11285" s="33" t="str">
        <f t="shared" si="704"/>
        <v>SOU - PM Expenses</v>
      </c>
      <c r="B11285" s="33" t="str">
        <f t="shared" si="705"/>
        <v>SOU</v>
      </c>
      <c r="C11285" s="33" t="str">
        <f t="shared" si="706"/>
        <v>55506-0000</v>
      </c>
      <c r="D11285" t="s">
        <v>12565</v>
      </c>
      <c r="E11285" t="s">
        <v>3831</v>
      </c>
      <c r="F11285" t="s">
        <v>230</v>
      </c>
      <c r="G11285" t="s">
        <v>3818</v>
      </c>
      <c r="H11285" t="s">
        <v>3819</v>
      </c>
      <c r="I11285" t="s">
        <v>3832</v>
      </c>
      <c r="J11285" s="70">
        <v>0</v>
      </c>
      <c r="K11285" s="71">
        <v>19332.98</v>
      </c>
      <c r="L11285" s="33" t="e">
        <f>HLOOKUP(B11285,#REF!,1,0)</f>
        <v>#REF!</v>
      </c>
      <c r="M11285" s="33" t="str">
        <f t="shared" si="707"/>
        <v>P&amp;L</v>
      </c>
    </row>
    <row r="11286" spans="1:13">
      <c r="A11286" s="33" t="str">
        <f t="shared" si="704"/>
        <v>SOU - CGS</v>
      </c>
      <c r="B11286" s="33" t="str">
        <f t="shared" si="705"/>
        <v>SOU</v>
      </c>
      <c r="C11286" s="33" t="str">
        <f t="shared" si="706"/>
        <v>60007-0000</v>
      </c>
      <c r="D11286" t="s">
        <v>12566</v>
      </c>
      <c r="E11286" t="s">
        <v>12567</v>
      </c>
      <c r="F11286" t="s">
        <v>230</v>
      </c>
      <c r="G11286" t="s">
        <v>3838</v>
      </c>
      <c r="H11286" t="s">
        <v>1875</v>
      </c>
      <c r="I11286" t="s">
        <v>3847</v>
      </c>
      <c r="J11286" s="70">
        <v>0</v>
      </c>
      <c r="K11286" s="71">
        <v>801</v>
      </c>
      <c r="L11286" s="33" t="e">
        <f>HLOOKUP(B11286,#REF!,1,0)</f>
        <v>#REF!</v>
      </c>
      <c r="M11286" s="33" t="str">
        <f t="shared" si="707"/>
        <v>P&amp;L</v>
      </c>
    </row>
    <row r="11287" spans="1:13">
      <c r="A11287" s="33" t="str">
        <f t="shared" si="704"/>
        <v>SOU - Income Tax</v>
      </c>
      <c r="B11287" s="33" t="str">
        <f t="shared" si="705"/>
        <v>SOU</v>
      </c>
      <c r="C11287" s="33" t="str">
        <f t="shared" si="706"/>
        <v>61019-0000</v>
      </c>
      <c r="D11287" t="s">
        <v>12568</v>
      </c>
      <c r="E11287" t="s">
        <v>4041</v>
      </c>
      <c r="F11287" t="s">
        <v>230</v>
      </c>
      <c r="G11287" t="s">
        <v>3844</v>
      </c>
      <c r="H11287" t="s">
        <v>3378</v>
      </c>
      <c r="I11287" t="s">
        <v>4042</v>
      </c>
      <c r="J11287" s="70">
        <v>-2287.29</v>
      </c>
      <c r="K11287" s="71">
        <v>1721.76</v>
      </c>
      <c r="L11287" s="33" t="e">
        <f>HLOOKUP(B11287,#REF!,1,0)</f>
        <v>#REF!</v>
      </c>
      <c r="M11287" s="33" t="str">
        <f t="shared" si="707"/>
        <v>P&amp;L</v>
      </c>
    </row>
    <row r="11288" spans="1:13">
      <c r="A11288" s="33" t="str">
        <f t="shared" si="704"/>
        <v>SPA - Cash</v>
      </c>
      <c r="B11288" s="33" t="str">
        <f t="shared" si="705"/>
        <v>SPA</v>
      </c>
      <c r="C11288" s="33" t="str">
        <f t="shared" si="706"/>
        <v>10001-0000</v>
      </c>
      <c r="D11288" t="s">
        <v>12569</v>
      </c>
      <c r="E11288" t="s">
        <v>240</v>
      </c>
      <c r="F11288" t="s">
        <v>230</v>
      </c>
      <c r="G11288" t="s">
        <v>16</v>
      </c>
      <c r="H11288" t="s">
        <v>25</v>
      </c>
      <c r="I11288" t="s">
        <v>18</v>
      </c>
      <c r="J11288" s="70">
        <v>-27358.9</v>
      </c>
      <c r="K11288" s="71">
        <v>4297.42</v>
      </c>
      <c r="L11288" s="33" t="e">
        <f>HLOOKUP(B11288,#REF!,1,0)</f>
        <v>#REF!</v>
      </c>
      <c r="M11288" s="33" t="str">
        <f t="shared" si="707"/>
        <v>BS</v>
      </c>
    </row>
    <row r="11289" spans="1:13">
      <c r="A11289" s="33" t="str">
        <f t="shared" si="704"/>
        <v>SPA - AR-PPD</v>
      </c>
      <c r="B11289" s="33" t="str">
        <f t="shared" si="705"/>
        <v>SPA</v>
      </c>
      <c r="C11289" s="33" t="str">
        <f t="shared" si="706"/>
        <v>11000-0000</v>
      </c>
      <c r="D11289" t="s">
        <v>12570</v>
      </c>
      <c r="E11289" t="s">
        <v>34</v>
      </c>
      <c r="F11289" t="s">
        <v>230</v>
      </c>
      <c r="G11289" t="s">
        <v>16</v>
      </c>
      <c r="H11289" t="s">
        <v>35</v>
      </c>
      <c r="I11289" t="s">
        <v>36</v>
      </c>
      <c r="J11289" s="70">
        <v>0</v>
      </c>
      <c r="K11289" s="71">
        <v>0</v>
      </c>
      <c r="L11289" s="33" t="e">
        <f>HLOOKUP(B11289,#REF!,1,0)</f>
        <v>#REF!</v>
      </c>
      <c r="M11289" s="33" t="str">
        <f t="shared" si="707"/>
        <v>BS</v>
      </c>
    </row>
    <row r="11290" spans="1:13">
      <c r="A11290" s="33" t="str">
        <f t="shared" si="704"/>
        <v>SPA - Intercompany</v>
      </c>
      <c r="B11290" s="33" t="str">
        <f t="shared" si="705"/>
        <v>SPA</v>
      </c>
      <c r="C11290" s="33" t="str">
        <f t="shared" si="706"/>
        <v>11216-0000</v>
      </c>
      <c r="D11290" t="s">
        <v>12571</v>
      </c>
      <c r="E11290" t="s">
        <v>242</v>
      </c>
      <c r="F11290" t="s">
        <v>230</v>
      </c>
      <c r="G11290" t="s">
        <v>16</v>
      </c>
      <c r="H11290" t="s">
        <v>39</v>
      </c>
      <c r="I11290" t="s">
        <v>40</v>
      </c>
      <c r="J11290" s="70">
        <v>-201.56</v>
      </c>
      <c r="K11290" s="71">
        <v>-3742.16</v>
      </c>
      <c r="L11290" s="33" t="e">
        <f>HLOOKUP(B11290,#REF!,1,0)</f>
        <v>#REF!</v>
      </c>
      <c r="M11290" s="33" t="str">
        <f t="shared" si="707"/>
        <v>BS</v>
      </c>
    </row>
    <row r="11291" spans="1:13">
      <c r="A11291" s="33" t="str">
        <f t="shared" si="704"/>
        <v>SPA - Intercompany</v>
      </c>
      <c r="B11291" s="33" t="str">
        <f t="shared" si="705"/>
        <v>SPA</v>
      </c>
      <c r="C11291" s="33" t="str">
        <f t="shared" si="706"/>
        <v>11323-0000</v>
      </c>
      <c r="D11291" t="s">
        <v>12572</v>
      </c>
      <c r="E11291" t="s">
        <v>2594</v>
      </c>
      <c r="F11291" t="s">
        <v>230</v>
      </c>
      <c r="G11291" t="s">
        <v>16</v>
      </c>
      <c r="H11291" t="s">
        <v>39</v>
      </c>
      <c r="I11291" t="s">
        <v>40</v>
      </c>
      <c r="J11291" s="70">
        <v>0</v>
      </c>
      <c r="K11291" s="71">
        <v>-3750000</v>
      </c>
      <c r="L11291" s="33" t="e">
        <f>HLOOKUP(B11291,#REF!,1,0)</f>
        <v>#REF!</v>
      </c>
      <c r="M11291" s="33" t="str">
        <f t="shared" si="707"/>
        <v>BS</v>
      </c>
    </row>
    <row r="11292" spans="1:13">
      <c r="A11292" s="33" t="str">
        <f t="shared" si="704"/>
        <v>SPA - Intercompany</v>
      </c>
      <c r="B11292" s="33" t="str">
        <f t="shared" si="705"/>
        <v>SPA</v>
      </c>
      <c r="C11292" s="33" t="str">
        <f t="shared" si="706"/>
        <v>11343-0000</v>
      </c>
      <c r="D11292" t="s">
        <v>12573</v>
      </c>
      <c r="E11292" t="s">
        <v>600</v>
      </c>
      <c r="F11292" t="s">
        <v>230</v>
      </c>
      <c r="G11292" t="s">
        <v>16</v>
      </c>
      <c r="H11292" t="s">
        <v>39</v>
      </c>
      <c r="I11292" t="s">
        <v>40</v>
      </c>
      <c r="J11292" s="70">
        <v>-604.85</v>
      </c>
      <c r="K11292" s="71">
        <v>-5443.73</v>
      </c>
      <c r="L11292" s="33" t="e">
        <f>HLOOKUP(B11292,#REF!,1,0)</f>
        <v>#REF!</v>
      </c>
      <c r="M11292" s="33" t="str">
        <f t="shared" si="707"/>
        <v>BS</v>
      </c>
    </row>
    <row r="11293" spans="1:13">
      <c r="A11293" s="33" t="str">
        <f t="shared" si="704"/>
        <v>SPA - Fixed Assets</v>
      </c>
      <c r="B11293" s="33" t="str">
        <f t="shared" si="705"/>
        <v>SPA</v>
      </c>
      <c r="C11293" s="33" t="str">
        <f t="shared" si="706"/>
        <v>14000-0000</v>
      </c>
      <c r="D11293" t="s">
        <v>12574</v>
      </c>
      <c r="E11293" t="s">
        <v>298</v>
      </c>
      <c r="F11293" t="s">
        <v>230</v>
      </c>
      <c r="G11293" t="s">
        <v>62</v>
      </c>
      <c r="H11293" t="s">
        <v>63</v>
      </c>
      <c r="I11293" t="s">
        <v>64</v>
      </c>
      <c r="J11293" s="70">
        <v>0</v>
      </c>
      <c r="K11293" s="71">
        <v>4260000</v>
      </c>
      <c r="L11293" s="33" t="e">
        <f>HLOOKUP(B11293,#REF!,1,0)</f>
        <v>#REF!</v>
      </c>
      <c r="M11293" s="33" t="str">
        <f t="shared" si="707"/>
        <v>BS</v>
      </c>
    </row>
    <row r="11294" spans="1:13">
      <c r="A11294" s="33" t="str">
        <f t="shared" si="704"/>
        <v>SPA - Fixed Assets</v>
      </c>
      <c r="B11294" s="33" t="str">
        <f t="shared" si="705"/>
        <v>SPA</v>
      </c>
      <c r="C11294" s="33" t="str">
        <f t="shared" si="706"/>
        <v>15000-0000</v>
      </c>
      <c r="D11294" t="s">
        <v>12575</v>
      </c>
      <c r="E11294" t="s">
        <v>300</v>
      </c>
      <c r="F11294" t="s">
        <v>230</v>
      </c>
      <c r="G11294" t="s">
        <v>62</v>
      </c>
      <c r="H11294" t="s">
        <v>63</v>
      </c>
      <c r="I11294" t="s">
        <v>64</v>
      </c>
      <c r="J11294" s="70">
        <v>0</v>
      </c>
      <c r="K11294" s="71">
        <v>9940000</v>
      </c>
      <c r="L11294" s="33" t="e">
        <f>HLOOKUP(B11294,#REF!,1,0)</f>
        <v>#REF!</v>
      </c>
      <c r="M11294" s="33" t="str">
        <f t="shared" si="707"/>
        <v>BS</v>
      </c>
    </row>
    <row r="11295" spans="1:13">
      <c r="A11295" s="33" t="str">
        <f t="shared" si="704"/>
        <v>SPA - Fixed Assets</v>
      </c>
      <c r="B11295" s="33" t="str">
        <f t="shared" si="705"/>
        <v>SPA</v>
      </c>
      <c r="C11295" s="33" t="str">
        <f t="shared" si="706"/>
        <v>15501-0000</v>
      </c>
      <c r="D11295" t="s">
        <v>12576</v>
      </c>
      <c r="E11295" t="s">
        <v>2635</v>
      </c>
      <c r="F11295" t="s">
        <v>230</v>
      </c>
      <c r="G11295" t="s">
        <v>62</v>
      </c>
      <c r="H11295" t="s">
        <v>63</v>
      </c>
      <c r="I11295" t="s">
        <v>64</v>
      </c>
      <c r="J11295" s="70">
        <v>643.3</v>
      </c>
      <c r="K11295" s="71">
        <v>2524.72</v>
      </c>
      <c r="L11295" s="33" t="e">
        <f>HLOOKUP(B11295,#REF!,1,0)</f>
        <v>#REF!</v>
      </c>
      <c r="M11295" s="33" t="str">
        <f t="shared" si="707"/>
        <v>BS</v>
      </c>
    </row>
    <row r="11296" spans="1:13">
      <c r="A11296" s="33" t="str">
        <f t="shared" si="704"/>
        <v>SPA - Deposits</v>
      </c>
      <c r="B11296" s="33" t="str">
        <f t="shared" si="705"/>
        <v>SPA</v>
      </c>
      <c r="C11296" s="33" t="str">
        <f t="shared" si="706"/>
        <v>19001-0000</v>
      </c>
      <c r="D11296" t="s">
        <v>12577</v>
      </c>
      <c r="E11296" t="s">
        <v>344</v>
      </c>
      <c r="F11296" t="s">
        <v>230</v>
      </c>
      <c r="G11296" t="s">
        <v>62</v>
      </c>
      <c r="H11296" t="s">
        <v>80</v>
      </c>
      <c r="I11296" t="s">
        <v>81</v>
      </c>
      <c r="J11296" s="70">
        <v>0</v>
      </c>
      <c r="K11296" s="71">
        <v>5000</v>
      </c>
      <c r="L11296" s="33" t="e">
        <f>HLOOKUP(B11296,#REF!,1,0)</f>
        <v>#REF!</v>
      </c>
      <c r="M11296" s="33" t="str">
        <f t="shared" si="707"/>
        <v>BS</v>
      </c>
    </row>
    <row r="11297" spans="1:13">
      <c r="A11297" s="33" t="str">
        <f t="shared" si="704"/>
        <v>SPA - AP-Accr Exp</v>
      </c>
      <c r="B11297" s="33" t="str">
        <f t="shared" si="705"/>
        <v>SPA</v>
      </c>
      <c r="C11297" s="33" t="str">
        <f t="shared" si="706"/>
        <v>20001-0000</v>
      </c>
      <c r="D11297" t="s">
        <v>12578</v>
      </c>
      <c r="E11297" t="s">
        <v>96</v>
      </c>
      <c r="F11297" t="s">
        <v>230</v>
      </c>
      <c r="G11297" t="s">
        <v>97</v>
      </c>
      <c r="H11297" t="s">
        <v>98</v>
      </c>
      <c r="I11297" t="s">
        <v>99</v>
      </c>
      <c r="J11297" s="70">
        <v>2224.88</v>
      </c>
      <c r="K11297" s="71">
        <v>0</v>
      </c>
      <c r="L11297" s="33" t="e">
        <f>HLOOKUP(B11297,#REF!,1,0)</f>
        <v>#REF!</v>
      </c>
      <c r="M11297" s="33" t="str">
        <f t="shared" si="707"/>
        <v>BS</v>
      </c>
    </row>
    <row r="11298" spans="1:13">
      <c r="A11298" s="33" t="str">
        <f t="shared" si="704"/>
        <v>SPA - Tax Accr</v>
      </c>
      <c r="B11298" s="33" t="str">
        <f t="shared" si="705"/>
        <v>SPA</v>
      </c>
      <c r="C11298" s="33" t="str">
        <f t="shared" si="706"/>
        <v>22001-0000</v>
      </c>
      <c r="D11298" t="s">
        <v>12579</v>
      </c>
      <c r="E11298" t="s">
        <v>1322</v>
      </c>
      <c r="F11298" t="s">
        <v>230</v>
      </c>
      <c r="G11298" t="s">
        <v>97</v>
      </c>
      <c r="H11298" t="s">
        <v>105</v>
      </c>
      <c r="I11298" t="s">
        <v>102</v>
      </c>
      <c r="J11298" s="70">
        <v>-1339.11</v>
      </c>
      <c r="K11298" s="71">
        <v>-8016.03</v>
      </c>
      <c r="L11298" s="33" t="e">
        <f>HLOOKUP(B11298,#REF!,1,0)</f>
        <v>#REF!</v>
      </c>
      <c r="M11298" s="33" t="str">
        <f t="shared" si="707"/>
        <v>BS</v>
      </c>
    </row>
    <row r="11299" spans="1:13">
      <c r="A11299" s="33" t="str">
        <f t="shared" si="704"/>
        <v>SPA - AP-Accr Exp</v>
      </c>
      <c r="B11299" s="33" t="str">
        <f t="shared" si="705"/>
        <v>SPA</v>
      </c>
      <c r="C11299" s="33" t="str">
        <f t="shared" si="706"/>
        <v>23509-0000</v>
      </c>
      <c r="D11299" t="s">
        <v>12580</v>
      </c>
      <c r="E11299" t="s">
        <v>111</v>
      </c>
      <c r="F11299" t="s">
        <v>230</v>
      </c>
      <c r="G11299" t="s">
        <v>97</v>
      </c>
      <c r="H11299" t="s">
        <v>98</v>
      </c>
      <c r="I11299" t="s">
        <v>102</v>
      </c>
      <c r="J11299" s="70">
        <v>195.19</v>
      </c>
      <c r="K11299" s="71">
        <v>0</v>
      </c>
      <c r="L11299" s="33" t="e">
        <f>HLOOKUP(B11299,#REF!,1,0)</f>
        <v>#REF!</v>
      </c>
      <c r="M11299" s="33" t="str">
        <f t="shared" si="707"/>
        <v>BS</v>
      </c>
    </row>
    <row r="11300" spans="1:13">
      <c r="A11300" s="33" t="str">
        <f t="shared" si="704"/>
        <v>SPA - InterCo Notes</v>
      </c>
      <c r="B11300" s="33" t="str">
        <f t="shared" si="705"/>
        <v>SPA</v>
      </c>
      <c r="C11300" s="33" t="str">
        <f t="shared" si="706"/>
        <v>25100-0000</v>
      </c>
      <c r="D11300" t="s">
        <v>12581</v>
      </c>
      <c r="E11300" t="s">
        <v>430</v>
      </c>
      <c r="F11300" t="s">
        <v>230</v>
      </c>
      <c r="G11300" t="s">
        <v>16</v>
      </c>
      <c r="H11300" t="s">
        <v>315</v>
      </c>
      <c r="I11300" t="s">
        <v>40</v>
      </c>
      <c r="J11300" s="70">
        <v>0</v>
      </c>
      <c r="K11300" s="71">
        <v>-40000</v>
      </c>
      <c r="L11300" s="33" t="e">
        <f>HLOOKUP(B11300,#REF!,1,0)</f>
        <v>#REF!</v>
      </c>
      <c r="M11300" s="33" t="str">
        <f t="shared" si="707"/>
        <v>BS</v>
      </c>
    </row>
    <row r="11301" spans="1:13">
      <c r="A11301" s="33" t="str">
        <f t="shared" si="704"/>
        <v>SPA - Prepaid Income</v>
      </c>
      <c r="B11301" s="33" t="str">
        <f t="shared" si="705"/>
        <v>SPA</v>
      </c>
      <c r="C11301" s="33" t="str">
        <f t="shared" si="706"/>
        <v>25300-0000</v>
      </c>
      <c r="D11301" t="s">
        <v>12582</v>
      </c>
      <c r="E11301" t="s">
        <v>3677</v>
      </c>
      <c r="F11301" t="s">
        <v>230</v>
      </c>
      <c r="G11301" t="s">
        <v>3678</v>
      </c>
      <c r="H11301" t="s">
        <v>3881</v>
      </c>
      <c r="I11301" t="s">
        <v>102</v>
      </c>
      <c r="J11301" s="70">
        <v>-2650</v>
      </c>
      <c r="K11301" s="71">
        <v>-2650</v>
      </c>
      <c r="L11301" s="33" t="e">
        <f>HLOOKUP(B11301,#REF!,1,0)</f>
        <v>#REF!</v>
      </c>
      <c r="M11301" s="33" t="str">
        <f t="shared" si="707"/>
        <v>BS</v>
      </c>
    </row>
    <row r="11302" spans="1:13">
      <c r="A11302" s="33" t="str">
        <f t="shared" si="704"/>
        <v>SPA - Principal</v>
      </c>
      <c r="B11302" s="33" t="str">
        <f t="shared" si="705"/>
        <v>SPA</v>
      </c>
      <c r="C11302" s="33" t="str">
        <f t="shared" si="706"/>
        <v>28006-0000</v>
      </c>
      <c r="D11302" t="s">
        <v>12583</v>
      </c>
      <c r="E11302" t="s">
        <v>12584</v>
      </c>
      <c r="F11302" t="s">
        <v>230</v>
      </c>
      <c r="G11302" t="s">
        <v>12585</v>
      </c>
      <c r="H11302" t="s">
        <v>127</v>
      </c>
      <c r="I11302" t="s">
        <v>133</v>
      </c>
      <c r="J11302" s="70">
        <v>0</v>
      </c>
      <c r="K11302" s="71">
        <v>-10750000</v>
      </c>
      <c r="L11302" s="33" t="e">
        <f>HLOOKUP(B11302,#REF!,1,0)</f>
        <v>#REF!</v>
      </c>
      <c r="M11302" s="33" t="str">
        <f t="shared" si="707"/>
        <v>BS</v>
      </c>
    </row>
    <row r="11303" spans="1:13">
      <c r="A11303" s="33" t="str">
        <f t="shared" si="704"/>
        <v>SPA - SH Dist</v>
      </c>
      <c r="B11303" s="33" t="str">
        <f t="shared" si="705"/>
        <v>SPA</v>
      </c>
      <c r="C11303" s="33" t="str">
        <f t="shared" si="706"/>
        <v>30700-0000</v>
      </c>
      <c r="D11303" t="s">
        <v>12586</v>
      </c>
      <c r="E11303" t="s">
        <v>319</v>
      </c>
      <c r="F11303" t="s">
        <v>230</v>
      </c>
      <c r="G11303" t="s">
        <v>142</v>
      </c>
      <c r="H11303" t="s">
        <v>143</v>
      </c>
      <c r="I11303" t="s">
        <v>144</v>
      </c>
      <c r="J11303" s="70">
        <v>0</v>
      </c>
      <c r="K11303" s="71">
        <v>50000</v>
      </c>
      <c r="L11303" s="33" t="e">
        <f>HLOOKUP(B11303,#REF!,1,0)</f>
        <v>#REF!</v>
      </c>
      <c r="M11303" s="33" t="str">
        <f t="shared" si="707"/>
        <v>BS</v>
      </c>
    </row>
    <row r="11304" spans="1:13">
      <c r="A11304" s="33" t="str">
        <f t="shared" si="704"/>
        <v>SPA - Revenue</v>
      </c>
      <c r="B11304" s="33" t="str">
        <f t="shared" si="705"/>
        <v>SPA</v>
      </c>
      <c r="C11304" s="33" t="str">
        <f t="shared" si="706"/>
        <v>40110-0000</v>
      </c>
      <c r="D11304" t="s">
        <v>12587</v>
      </c>
      <c r="E11304" t="s">
        <v>3683</v>
      </c>
      <c r="F11304" t="s">
        <v>230</v>
      </c>
      <c r="G11304" t="s">
        <v>3684</v>
      </c>
      <c r="H11304" t="s">
        <v>2871</v>
      </c>
      <c r="I11304" t="s">
        <v>3685</v>
      </c>
      <c r="J11304" s="70">
        <v>-56095</v>
      </c>
      <c r="K11304" s="71">
        <v>-392665</v>
      </c>
      <c r="L11304" s="33" t="e">
        <f>HLOOKUP(B11304,#REF!,1,0)</f>
        <v>#REF!</v>
      </c>
      <c r="M11304" s="33" t="str">
        <f t="shared" si="707"/>
        <v>P&amp;L</v>
      </c>
    </row>
    <row r="11305" spans="1:13">
      <c r="A11305" s="33" t="str">
        <f t="shared" si="704"/>
        <v>SPA - Revenue</v>
      </c>
      <c r="B11305" s="33" t="str">
        <f t="shared" si="705"/>
        <v>SPA</v>
      </c>
      <c r="C11305" s="33" t="str">
        <f t="shared" si="706"/>
        <v>40120-0000</v>
      </c>
      <c r="D11305" t="s">
        <v>12588</v>
      </c>
      <c r="E11305" t="s">
        <v>3687</v>
      </c>
      <c r="F11305" t="s">
        <v>230</v>
      </c>
      <c r="G11305" t="s">
        <v>3684</v>
      </c>
      <c r="H11305" t="s">
        <v>2871</v>
      </c>
      <c r="I11305" t="s">
        <v>3688</v>
      </c>
      <c r="J11305" s="70">
        <v>-1544</v>
      </c>
      <c r="K11305" s="71">
        <v>-4846</v>
      </c>
      <c r="L11305" s="33" t="e">
        <f>HLOOKUP(B11305,#REF!,1,0)</f>
        <v>#REF!</v>
      </c>
      <c r="M11305" s="33" t="str">
        <f t="shared" si="707"/>
        <v>P&amp;L</v>
      </c>
    </row>
    <row r="11306" spans="1:13">
      <c r="A11306" s="33" t="str">
        <f t="shared" si="704"/>
        <v>SPA - Revenue</v>
      </c>
      <c r="B11306" s="33" t="str">
        <f t="shared" si="705"/>
        <v>SPA</v>
      </c>
      <c r="C11306" s="33" t="str">
        <f t="shared" si="706"/>
        <v>40130-0000</v>
      </c>
      <c r="D11306" t="s">
        <v>12589</v>
      </c>
      <c r="E11306" t="s">
        <v>3690</v>
      </c>
      <c r="F11306" t="s">
        <v>230</v>
      </c>
      <c r="G11306" t="s">
        <v>3684</v>
      </c>
      <c r="H11306" t="s">
        <v>2871</v>
      </c>
      <c r="I11306" t="s">
        <v>3691</v>
      </c>
      <c r="J11306" s="70">
        <v>-6300</v>
      </c>
      <c r="K11306" s="71">
        <v>-10674</v>
      </c>
      <c r="L11306" s="33" t="e">
        <f>HLOOKUP(B11306,#REF!,1,0)</f>
        <v>#REF!</v>
      </c>
      <c r="M11306" s="33" t="str">
        <f t="shared" si="707"/>
        <v>P&amp;L</v>
      </c>
    </row>
    <row r="11307" spans="1:13">
      <c r="A11307" s="33" t="str">
        <f t="shared" si="704"/>
        <v>SPA - Revenue</v>
      </c>
      <c r="B11307" s="33" t="str">
        <f t="shared" si="705"/>
        <v>SPA</v>
      </c>
      <c r="C11307" s="33" t="str">
        <f t="shared" si="706"/>
        <v>41110-0000</v>
      </c>
      <c r="D11307" t="s">
        <v>12590</v>
      </c>
      <c r="E11307" t="s">
        <v>3693</v>
      </c>
      <c r="F11307" t="s">
        <v>230</v>
      </c>
      <c r="G11307" t="s">
        <v>3694</v>
      </c>
      <c r="H11307" t="s">
        <v>2871</v>
      </c>
      <c r="I11307" t="s">
        <v>3695</v>
      </c>
      <c r="J11307" s="70">
        <v>0</v>
      </c>
      <c r="K11307" s="71">
        <v>10059.78</v>
      </c>
      <c r="L11307" s="33" t="e">
        <f>HLOOKUP(B11307,#REF!,1,0)</f>
        <v>#REF!</v>
      </c>
      <c r="M11307" s="33" t="str">
        <f t="shared" si="707"/>
        <v>P&amp;L</v>
      </c>
    </row>
    <row r="11308" spans="1:13">
      <c r="A11308" s="33" t="str">
        <f t="shared" si="704"/>
        <v>SPA - Revenue</v>
      </c>
      <c r="B11308" s="33" t="str">
        <f t="shared" si="705"/>
        <v>SPA</v>
      </c>
      <c r="C11308" s="33" t="str">
        <f t="shared" si="706"/>
        <v>41121-0000</v>
      </c>
      <c r="D11308" t="s">
        <v>12591</v>
      </c>
      <c r="E11308" t="s">
        <v>3697</v>
      </c>
      <c r="F11308" t="s">
        <v>230</v>
      </c>
      <c r="G11308" t="s">
        <v>3694</v>
      </c>
      <c r="H11308" t="s">
        <v>2871</v>
      </c>
      <c r="I11308" t="s">
        <v>3698</v>
      </c>
      <c r="J11308" s="70">
        <v>18129.06</v>
      </c>
      <c r="K11308" s="71">
        <v>53356.23</v>
      </c>
      <c r="L11308" s="33" t="e">
        <f>HLOOKUP(B11308,#REF!,1,0)</f>
        <v>#REF!</v>
      </c>
      <c r="M11308" s="33" t="str">
        <f t="shared" si="707"/>
        <v>P&amp;L</v>
      </c>
    </row>
    <row r="11309" spans="1:13">
      <c r="A11309" s="33" t="str">
        <f t="shared" si="704"/>
        <v>SPA - Revenue</v>
      </c>
      <c r="B11309" s="33" t="str">
        <f t="shared" si="705"/>
        <v>SPA</v>
      </c>
      <c r="C11309" s="33" t="str">
        <f t="shared" si="706"/>
        <v>41122-0000</v>
      </c>
      <c r="D11309" t="s">
        <v>12592</v>
      </c>
      <c r="E11309" t="s">
        <v>3700</v>
      </c>
      <c r="F11309" t="s">
        <v>230</v>
      </c>
      <c r="G11309" t="s">
        <v>3694</v>
      </c>
      <c r="H11309" t="s">
        <v>2871</v>
      </c>
      <c r="I11309" t="s">
        <v>3701</v>
      </c>
      <c r="J11309" s="70">
        <v>-12567.53</v>
      </c>
      <c r="K11309" s="71">
        <v>-27685.08</v>
      </c>
      <c r="L11309" s="33" t="e">
        <f>HLOOKUP(B11309,#REF!,1,0)</f>
        <v>#REF!</v>
      </c>
      <c r="M11309" s="33" t="str">
        <f t="shared" si="707"/>
        <v>P&amp;L</v>
      </c>
    </row>
    <row r="11310" spans="1:13">
      <c r="A11310" s="33" t="str">
        <f t="shared" si="704"/>
        <v>SPA - Revenue</v>
      </c>
      <c r="B11310" s="33" t="str">
        <f t="shared" si="705"/>
        <v>SPA</v>
      </c>
      <c r="C11310" s="33" t="str">
        <f t="shared" si="706"/>
        <v>41130-0000</v>
      </c>
      <c r="D11310" t="s">
        <v>12593</v>
      </c>
      <c r="E11310" t="s">
        <v>3703</v>
      </c>
      <c r="F11310" t="s">
        <v>230</v>
      </c>
      <c r="G11310" t="s">
        <v>3694</v>
      </c>
      <c r="H11310" t="s">
        <v>2871</v>
      </c>
      <c r="I11310" t="s">
        <v>3704</v>
      </c>
      <c r="J11310" s="70">
        <v>500</v>
      </c>
      <c r="K11310" s="71">
        <v>831</v>
      </c>
      <c r="L11310" s="33" t="e">
        <f>HLOOKUP(B11310,#REF!,1,0)</f>
        <v>#REF!</v>
      </c>
      <c r="M11310" s="33" t="str">
        <f t="shared" si="707"/>
        <v>P&amp;L</v>
      </c>
    </row>
    <row r="11311" spans="1:13">
      <c r="A11311" s="33" t="str">
        <f t="shared" si="704"/>
        <v>SPA - Revenue</v>
      </c>
      <c r="B11311" s="33" t="str">
        <f t="shared" si="705"/>
        <v>SPA</v>
      </c>
      <c r="C11311" s="33" t="str">
        <f t="shared" si="706"/>
        <v>41140-0000</v>
      </c>
      <c r="D11311" t="s">
        <v>12594</v>
      </c>
      <c r="E11311" t="s">
        <v>3706</v>
      </c>
      <c r="F11311" t="s">
        <v>230</v>
      </c>
      <c r="G11311" t="s">
        <v>3694</v>
      </c>
      <c r="H11311" t="s">
        <v>2871</v>
      </c>
      <c r="I11311" t="s">
        <v>3707</v>
      </c>
      <c r="J11311" s="70">
        <v>0</v>
      </c>
      <c r="K11311" s="71">
        <v>1150</v>
      </c>
      <c r="L11311" s="33" t="e">
        <f>HLOOKUP(B11311,#REF!,1,0)</f>
        <v>#REF!</v>
      </c>
      <c r="M11311" s="33" t="str">
        <f t="shared" si="707"/>
        <v>P&amp;L</v>
      </c>
    </row>
    <row r="11312" spans="1:13">
      <c r="A11312" s="33" t="str">
        <f t="shared" si="704"/>
        <v>SPA - Revenue</v>
      </c>
      <c r="B11312" s="33" t="str">
        <f t="shared" si="705"/>
        <v>SPA</v>
      </c>
      <c r="C11312" s="33" t="str">
        <f t="shared" si="706"/>
        <v>41150-0000</v>
      </c>
      <c r="D11312" t="s">
        <v>12595</v>
      </c>
      <c r="E11312" t="s">
        <v>3709</v>
      </c>
      <c r="F11312" t="s">
        <v>230</v>
      </c>
      <c r="G11312" t="s">
        <v>3694</v>
      </c>
      <c r="H11312" t="s">
        <v>2871</v>
      </c>
      <c r="I11312" t="s">
        <v>3710</v>
      </c>
      <c r="J11312" s="70">
        <v>0</v>
      </c>
      <c r="K11312" s="71">
        <v>0</v>
      </c>
      <c r="L11312" s="33" t="e">
        <f>HLOOKUP(B11312,#REF!,1,0)</f>
        <v>#REF!</v>
      </c>
      <c r="M11312" s="33" t="str">
        <f t="shared" si="707"/>
        <v>P&amp;L</v>
      </c>
    </row>
    <row r="11313" spans="1:13">
      <c r="A11313" s="33" t="str">
        <f t="shared" si="704"/>
        <v>SPA - Revenue</v>
      </c>
      <c r="B11313" s="33" t="str">
        <f t="shared" si="705"/>
        <v>SPA</v>
      </c>
      <c r="C11313" s="33" t="str">
        <f t="shared" si="706"/>
        <v>41999-0000</v>
      </c>
      <c r="D11313" t="s">
        <v>12596</v>
      </c>
      <c r="E11313" t="s">
        <v>3712</v>
      </c>
      <c r="F11313" t="s">
        <v>230</v>
      </c>
      <c r="G11313" t="s">
        <v>3713</v>
      </c>
      <c r="H11313" t="s">
        <v>2871</v>
      </c>
      <c r="I11313" t="s">
        <v>3714</v>
      </c>
      <c r="J11313" s="70">
        <v>57877.47</v>
      </c>
      <c r="K11313" s="71">
        <v>370473.07</v>
      </c>
      <c r="L11313" s="33" t="e">
        <f>HLOOKUP(B11313,#REF!,1,0)</f>
        <v>#REF!</v>
      </c>
      <c r="M11313" s="33" t="str">
        <f t="shared" si="707"/>
        <v>P&amp;L</v>
      </c>
    </row>
    <row r="11314" spans="1:13">
      <c r="A11314" s="33" t="str">
        <f t="shared" si="704"/>
        <v>SPA - Revenue</v>
      </c>
      <c r="B11314" s="33" t="str">
        <f t="shared" si="705"/>
        <v>SPA</v>
      </c>
      <c r="C11314" s="33" t="str">
        <f t="shared" si="706"/>
        <v>47400-0000</v>
      </c>
      <c r="D11314" t="s">
        <v>12597</v>
      </c>
      <c r="E11314" t="s">
        <v>3716</v>
      </c>
      <c r="F11314" t="s">
        <v>230</v>
      </c>
      <c r="G11314" t="s">
        <v>3717</v>
      </c>
      <c r="H11314" t="s">
        <v>2871</v>
      </c>
      <c r="I11314" t="s">
        <v>3718</v>
      </c>
      <c r="J11314" s="70">
        <v>-57877.47</v>
      </c>
      <c r="K11314" s="71">
        <v>-370473.07</v>
      </c>
      <c r="L11314" s="33" t="e">
        <f>HLOOKUP(B11314,#REF!,1,0)</f>
        <v>#REF!</v>
      </c>
      <c r="M11314" s="33" t="str">
        <f t="shared" si="707"/>
        <v>P&amp;L</v>
      </c>
    </row>
    <row r="11315" spans="1:13">
      <c r="A11315" s="33" t="str">
        <f t="shared" si="704"/>
        <v>SPA - Revenue</v>
      </c>
      <c r="B11315" s="33" t="str">
        <f t="shared" si="705"/>
        <v>SPA</v>
      </c>
      <c r="C11315" s="33" t="str">
        <f t="shared" si="706"/>
        <v>47440-0000</v>
      </c>
      <c r="D11315" t="s">
        <v>12598</v>
      </c>
      <c r="E11315" t="s">
        <v>3720</v>
      </c>
      <c r="F11315" t="s">
        <v>230</v>
      </c>
      <c r="G11315" t="s">
        <v>3717</v>
      </c>
      <c r="H11315" t="s">
        <v>2871</v>
      </c>
      <c r="I11315" t="s">
        <v>3721</v>
      </c>
      <c r="J11315" s="70">
        <v>-2074.06</v>
      </c>
      <c r="K11315" s="71">
        <v>-6881.06</v>
      </c>
      <c r="L11315" s="33" t="e">
        <f>HLOOKUP(B11315,#REF!,1,0)</f>
        <v>#REF!</v>
      </c>
      <c r="M11315" s="33" t="str">
        <f t="shared" si="707"/>
        <v>P&amp;L</v>
      </c>
    </row>
    <row r="11316" spans="1:13">
      <c r="A11316" s="33" t="str">
        <f t="shared" si="704"/>
        <v>SPA - Revenue</v>
      </c>
      <c r="B11316" s="33" t="str">
        <f t="shared" si="705"/>
        <v>SPA</v>
      </c>
      <c r="C11316" s="33" t="str">
        <f t="shared" si="706"/>
        <v>47450-0000</v>
      </c>
      <c r="D11316" t="s">
        <v>12599</v>
      </c>
      <c r="E11316" t="s">
        <v>3723</v>
      </c>
      <c r="F11316" t="s">
        <v>230</v>
      </c>
      <c r="G11316" t="s">
        <v>3717</v>
      </c>
      <c r="H11316" t="s">
        <v>2871</v>
      </c>
      <c r="I11316" t="s">
        <v>3724</v>
      </c>
      <c r="J11316" s="70">
        <v>0</v>
      </c>
      <c r="K11316" s="71">
        <v>0</v>
      </c>
      <c r="L11316" s="33" t="e">
        <f>HLOOKUP(B11316,#REF!,1,0)</f>
        <v>#REF!</v>
      </c>
      <c r="M11316" s="33" t="str">
        <f t="shared" si="707"/>
        <v>P&amp;L</v>
      </c>
    </row>
    <row r="11317" spans="1:13">
      <c r="A11317" s="33" t="str">
        <f t="shared" si="704"/>
        <v>SPA - Revenue</v>
      </c>
      <c r="B11317" s="33" t="str">
        <f t="shared" si="705"/>
        <v>SPA</v>
      </c>
      <c r="C11317" s="33" t="str">
        <f t="shared" si="706"/>
        <v>47460-0000</v>
      </c>
      <c r="D11317" t="s">
        <v>12600</v>
      </c>
      <c r="E11317" t="s">
        <v>3726</v>
      </c>
      <c r="F11317" t="s">
        <v>230</v>
      </c>
      <c r="G11317" t="s">
        <v>3717</v>
      </c>
      <c r="H11317" t="s">
        <v>2871</v>
      </c>
      <c r="I11317" t="s">
        <v>3727</v>
      </c>
      <c r="J11317" s="70">
        <v>-295</v>
      </c>
      <c r="K11317" s="71">
        <v>-1835</v>
      </c>
      <c r="L11317" s="33" t="e">
        <f>HLOOKUP(B11317,#REF!,1,0)</f>
        <v>#REF!</v>
      </c>
      <c r="M11317" s="33" t="str">
        <f t="shared" si="707"/>
        <v>P&amp;L</v>
      </c>
    </row>
    <row r="11318" spans="1:13">
      <c r="A11318" s="33" t="str">
        <f t="shared" si="704"/>
        <v>SPA - Revenue</v>
      </c>
      <c r="B11318" s="33" t="str">
        <f t="shared" si="705"/>
        <v>SPA</v>
      </c>
      <c r="C11318" s="33" t="str">
        <f t="shared" si="706"/>
        <v>47480-0000</v>
      </c>
      <c r="D11318" t="s">
        <v>12601</v>
      </c>
      <c r="E11318" t="s">
        <v>3729</v>
      </c>
      <c r="F11318" t="s">
        <v>230</v>
      </c>
      <c r="G11318" t="s">
        <v>3717</v>
      </c>
      <c r="H11318" t="s">
        <v>2871</v>
      </c>
      <c r="I11318" t="s">
        <v>3721</v>
      </c>
      <c r="J11318" s="70">
        <v>0</v>
      </c>
      <c r="K11318" s="71">
        <v>-450</v>
      </c>
      <c r="L11318" s="33" t="e">
        <f>HLOOKUP(B11318,#REF!,1,0)</f>
        <v>#REF!</v>
      </c>
      <c r="M11318" s="33" t="str">
        <f t="shared" si="707"/>
        <v>P&amp;L</v>
      </c>
    </row>
    <row r="11319" spans="1:13">
      <c r="A11319" s="33" t="str">
        <f t="shared" si="704"/>
        <v>SPA - Revenue</v>
      </c>
      <c r="B11319" s="33" t="str">
        <f t="shared" si="705"/>
        <v>SPA</v>
      </c>
      <c r="C11319" s="33" t="str">
        <f t="shared" si="706"/>
        <v>47490-0000</v>
      </c>
      <c r="D11319" t="s">
        <v>12602</v>
      </c>
      <c r="E11319" t="s">
        <v>3731</v>
      </c>
      <c r="F11319" t="s">
        <v>230</v>
      </c>
      <c r="G11319" t="s">
        <v>3717</v>
      </c>
      <c r="H11319" t="s">
        <v>2871</v>
      </c>
      <c r="I11319" t="s">
        <v>3721</v>
      </c>
      <c r="J11319" s="70">
        <v>-50</v>
      </c>
      <c r="K11319" s="71">
        <v>-570</v>
      </c>
      <c r="L11319" s="33" t="e">
        <f>HLOOKUP(B11319,#REF!,1,0)</f>
        <v>#REF!</v>
      </c>
      <c r="M11319" s="33" t="str">
        <f t="shared" si="707"/>
        <v>P&amp;L</v>
      </c>
    </row>
    <row r="11320" spans="1:13">
      <c r="A11320" s="33" t="str">
        <f t="shared" si="704"/>
        <v>SPA - Revenue</v>
      </c>
      <c r="B11320" s="33" t="str">
        <f t="shared" si="705"/>
        <v>SPA</v>
      </c>
      <c r="C11320" s="33" t="str">
        <f t="shared" si="706"/>
        <v>47491-0000</v>
      </c>
      <c r="D11320" t="s">
        <v>12603</v>
      </c>
      <c r="E11320" t="s">
        <v>3733</v>
      </c>
      <c r="F11320" t="s">
        <v>230</v>
      </c>
      <c r="G11320" t="s">
        <v>3717</v>
      </c>
      <c r="H11320" t="s">
        <v>2871</v>
      </c>
      <c r="I11320" t="s">
        <v>3734</v>
      </c>
      <c r="J11320" s="70">
        <v>-1997.88</v>
      </c>
      <c r="K11320" s="71">
        <v>-21410.81</v>
      </c>
      <c r="L11320" s="33" t="e">
        <f>HLOOKUP(B11320,#REF!,1,0)</f>
        <v>#REF!</v>
      </c>
      <c r="M11320" s="33" t="str">
        <f t="shared" si="707"/>
        <v>P&amp;L</v>
      </c>
    </row>
    <row r="11321" spans="1:13">
      <c r="A11321" s="33" t="str">
        <f t="shared" si="704"/>
        <v>SPA - Revenue</v>
      </c>
      <c r="B11321" s="33" t="str">
        <f t="shared" si="705"/>
        <v>SPA</v>
      </c>
      <c r="C11321" s="33" t="str">
        <f t="shared" si="706"/>
        <v>47492-0000</v>
      </c>
      <c r="D11321" t="s">
        <v>12604</v>
      </c>
      <c r="E11321" t="s">
        <v>3736</v>
      </c>
      <c r="F11321" t="s">
        <v>230</v>
      </c>
      <c r="G11321" t="s">
        <v>3717</v>
      </c>
      <c r="H11321" t="s">
        <v>2871</v>
      </c>
      <c r="I11321" t="s">
        <v>3737</v>
      </c>
      <c r="J11321" s="70">
        <v>-75</v>
      </c>
      <c r="K11321" s="71">
        <v>-75</v>
      </c>
      <c r="L11321" s="33" t="e">
        <f>HLOOKUP(B11321,#REF!,1,0)</f>
        <v>#REF!</v>
      </c>
      <c r="M11321" s="33" t="str">
        <f t="shared" si="707"/>
        <v>P&amp;L</v>
      </c>
    </row>
    <row r="11322" spans="1:13">
      <c r="A11322" s="33" t="str">
        <f t="shared" si="704"/>
        <v>SPA - CGS</v>
      </c>
      <c r="B11322" s="33" t="str">
        <f t="shared" si="705"/>
        <v>SPA</v>
      </c>
      <c r="C11322" s="33" t="str">
        <f t="shared" si="706"/>
        <v>51006-0000</v>
      </c>
      <c r="D11322" t="s">
        <v>12605</v>
      </c>
      <c r="E11322" t="s">
        <v>3739</v>
      </c>
      <c r="F11322" t="s">
        <v>230</v>
      </c>
      <c r="G11322" t="s">
        <v>3740</v>
      </c>
      <c r="H11322" t="s">
        <v>1875</v>
      </c>
      <c r="I11322" t="s">
        <v>3741</v>
      </c>
      <c r="J11322" s="70">
        <v>205</v>
      </c>
      <c r="K11322" s="71">
        <v>205</v>
      </c>
      <c r="L11322" s="33" t="e">
        <f>HLOOKUP(B11322,#REF!,1,0)</f>
        <v>#REF!</v>
      </c>
      <c r="M11322" s="33" t="str">
        <f t="shared" si="707"/>
        <v>P&amp;L</v>
      </c>
    </row>
    <row r="11323" spans="1:13">
      <c r="A11323" s="33" t="str">
        <f t="shared" si="704"/>
        <v>SPA - CGS</v>
      </c>
      <c r="B11323" s="33" t="str">
        <f t="shared" si="705"/>
        <v>SPA</v>
      </c>
      <c r="C11323" s="33" t="str">
        <f t="shared" si="706"/>
        <v>51008-0000</v>
      </c>
      <c r="D11323" t="s">
        <v>12606</v>
      </c>
      <c r="E11323" t="s">
        <v>3743</v>
      </c>
      <c r="F11323" t="s">
        <v>230</v>
      </c>
      <c r="G11323" t="s">
        <v>3740</v>
      </c>
      <c r="H11323" t="s">
        <v>1875</v>
      </c>
      <c r="I11323" t="s">
        <v>3744</v>
      </c>
      <c r="J11323" s="70">
        <v>71.44</v>
      </c>
      <c r="K11323" s="71">
        <v>165.66</v>
      </c>
      <c r="L11323" s="33" t="e">
        <f>HLOOKUP(B11323,#REF!,1,0)</f>
        <v>#REF!</v>
      </c>
      <c r="M11323" s="33" t="str">
        <f t="shared" si="707"/>
        <v>P&amp;L</v>
      </c>
    </row>
    <row r="11324" spans="1:13">
      <c r="A11324" s="33" t="str">
        <f t="shared" si="704"/>
        <v>SPA - CGS</v>
      </c>
      <c r="B11324" s="33" t="str">
        <f t="shared" si="705"/>
        <v>SPA</v>
      </c>
      <c r="C11324" s="33" t="str">
        <f t="shared" si="706"/>
        <v>51009-0000</v>
      </c>
      <c r="D11324" t="s">
        <v>12607</v>
      </c>
      <c r="E11324" t="s">
        <v>3746</v>
      </c>
      <c r="F11324" t="s">
        <v>230</v>
      </c>
      <c r="G11324" t="s">
        <v>3740</v>
      </c>
      <c r="H11324" t="s">
        <v>1875</v>
      </c>
      <c r="I11324" t="s">
        <v>3747</v>
      </c>
      <c r="J11324" s="70">
        <v>0</v>
      </c>
      <c r="K11324" s="71">
        <v>625</v>
      </c>
      <c r="L11324" s="33" t="e">
        <f>HLOOKUP(B11324,#REF!,1,0)</f>
        <v>#REF!</v>
      </c>
      <c r="M11324" s="33" t="str">
        <f t="shared" si="707"/>
        <v>P&amp;L</v>
      </c>
    </row>
    <row r="11325" spans="1:13">
      <c r="A11325" s="33" t="str">
        <f t="shared" si="704"/>
        <v>SPA - CGS</v>
      </c>
      <c r="B11325" s="33" t="str">
        <f t="shared" si="705"/>
        <v>SPA</v>
      </c>
      <c r="C11325" s="33" t="str">
        <f t="shared" si="706"/>
        <v>51011-0000</v>
      </c>
      <c r="D11325" t="s">
        <v>12608</v>
      </c>
      <c r="E11325" t="s">
        <v>3749</v>
      </c>
      <c r="F11325" t="s">
        <v>230</v>
      </c>
      <c r="G11325" t="s">
        <v>3740</v>
      </c>
      <c r="H11325" s="64" t="s">
        <v>1875</v>
      </c>
      <c r="I11325" t="s">
        <v>3750</v>
      </c>
      <c r="J11325" s="70">
        <v>1700</v>
      </c>
      <c r="K11325" s="71">
        <v>7350</v>
      </c>
      <c r="L11325" s="33" t="e">
        <f>HLOOKUP(B11325,#REF!,1,0)</f>
        <v>#REF!</v>
      </c>
      <c r="M11325" s="33" t="str">
        <f t="shared" si="707"/>
        <v>P&amp;L</v>
      </c>
    </row>
    <row r="11326" spans="1:13">
      <c r="A11326" s="33" t="str">
        <f t="shared" si="704"/>
        <v>SPA - CGS</v>
      </c>
      <c r="B11326" s="33" t="str">
        <f t="shared" si="705"/>
        <v>SPA</v>
      </c>
      <c r="C11326" s="33" t="str">
        <f t="shared" si="706"/>
        <v>51012-0000</v>
      </c>
      <c r="D11326" t="s">
        <v>12609</v>
      </c>
      <c r="E11326" t="s">
        <v>3752</v>
      </c>
      <c r="F11326" t="s">
        <v>230</v>
      </c>
      <c r="G11326" t="s">
        <v>3740</v>
      </c>
      <c r="H11326" t="s">
        <v>1875</v>
      </c>
      <c r="I11326" t="s">
        <v>3753</v>
      </c>
      <c r="J11326" s="70">
        <v>182.25</v>
      </c>
      <c r="K11326" s="71">
        <v>1091.25</v>
      </c>
      <c r="L11326" s="33" t="e">
        <f>HLOOKUP(B11326,#REF!,1,0)</f>
        <v>#REF!</v>
      </c>
      <c r="M11326" s="33" t="str">
        <f t="shared" si="707"/>
        <v>P&amp;L</v>
      </c>
    </row>
    <row r="11327" spans="1:13">
      <c r="A11327" s="33" t="str">
        <f t="shared" si="704"/>
        <v>SPA - CGS</v>
      </c>
      <c r="B11327" s="33" t="str">
        <f t="shared" si="705"/>
        <v>SPA</v>
      </c>
      <c r="C11327" s="33" t="str">
        <f t="shared" si="706"/>
        <v>51015-0000</v>
      </c>
      <c r="D11327" t="s">
        <v>12610</v>
      </c>
      <c r="E11327" t="s">
        <v>3755</v>
      </c>
      <c r="F11327" t="s">
        <v>230</v>
      </c>
      <c r="G11327" t="s">
        <v>3740</v>
      </c>
      <c r="H11327" t="s">
        <v>1875</v>
      </c>
      <c r="I11327" t="s">
        <v>3756</v>
      </c>
      <c r="J11327" s="70">
        <v>0</v>
      </c>
      <c r="K11327" s="71">
        <v>15.37</v>
      </c>
      <c r="L11327" s="33" t="e">
        <f>HLOOKUP(B11327,#REF!,1,0)</f>
        <v>#REF!</v>
      </c>
      <c r="M11327" s="33" t="str">
        <f t="shared" si="707"/>
        <v>P&amp;L</v>
      </c>
    </row>
    <row r="11328" spans="1:13">
      <c r="A11328" s="33" t="str">
        <f t="shared" si="704"/>
        <v>SPA - CGS</v>
      </c>
      <c r="B11328" s="33" t="str">
        <f t="shared" si="705"/>
        <v>SPA</v>
      </c>
      <c r="C11328" s="33" t="str">
        <f t="shared" si="706"/>
        <v>51018-0000</v>
      </c>
      <c r="D11328" t="s">
        <v>12611</v>
      </c>
      <c r="E11328" t="s">
        <v>3984</v>
      </c>
      <c r="F11328" t="s">
        <v>230</v>
      </c>
      <c r="G11328" t="s">
        <v>3740</v>
      </c>
      <c r="H11328" t="s">
        <v>1875</v>
      </c>
      <c r="I11328" t="s">
        <v>3319</v>
      </c>
      <c r="J11328" s="70">
        <v>0</v>
      </c>
      <c r="K11328" s="71">
        <v>215</v>
      </c>
      <c r="L11328" s="33" t="e">
        <f>HLOOKUP(B11328,#REF!,1,0)</f>
        <v>#REF!</v>
      </c>
      <c r="M11328" s="33" t="str">
        <f t="shared" si="707"/>
        <v>P&amp;L</v>
      </c>
    </row>
    <row r="11329" spans="1:13">
      <c r="A11329" s="33" t="str">
        <f t="shared" si="704"/>
        <v>SPA - CGS</v>
      </c>
      <c r="B11329" s="33" t="str">
        <f t="shared" si="705"/>
        <v>SPA</v>
      </c>
      <c r="C11329" s="33" t="str">
        <f t="shared" si="706"/>
        <v>51019-0000</v>
      </c>
      <c r="D11329" t="s">
        <v>12612</v>
      </c>
      <c r="E11329" t="s">
        <v>3761</v>
      </c>
      <c r="F11329" t="s">
        <v>230</v>
      </c>
      <c r="G11329" t="s">
        <v>3740</v>
      </c>
      <c r="H11329" t="s">
        <v>1875</v>
      </c>
      <c r="I11329" t="s">
        <v>3340</v>
      </c>
      <c r="J11329" s="70">
        <v>0</v>
      </c>
      <c r="K11329" s="71">
        <v>13.12</v>
      </c>
      <c r="L11329" s="33" t="e">
        <f>HLOOKUP(B11329,#REF!,1,0)</f>
        <v>#REF!</v>
      </c>
      <c r="M11329" s="33" t="str">
        <f t="shared" si="707"/>
        <v>P&amp;L</v>
      </c>
    </row>
    <row r="11330" spans="1:13">
      <c r="A11330" s="33" t="str">
        <f t="shared" ref="A11330:A11393" si="708">B11330&amp;" - "&amp;TRIM(H11330)</f>
        <v>SPA - CGS</v>
      </c>
      <c r="B11330" s="33" t="str">
        <f t="shared" ref="B11330:B11393" si="709">LEFT(D11330,3)</f>
        <v>SPA</v>
      </c>
      <c r="C11330" s="33" t="str">
        <f t="shared" ref="C11330:C11393" si="710">RIGHT(D11330,10)</f>
        <v>51020-0000</v>
      </c>
      <c r="D11330" t="s">
        <v>12613</v>
      </c>
      <c r="E11330" t="s">
        <v>3763</v>
      </c>
      <c r="F11330" t="s">
        <v>230</v>
      </c>
      <c r="G11330" t="s">
        <v>3740</v>
      </c>
      <c r="H11330" t="s">
        <v>1875</v>
      </c>
      <c r="I11330" t="s">
        <v>3345</v>
      </c>
      <c r="J11330" s="70">
        <v>0</v>
      </c>
      <c r="K11330" s="71">
        <v>275.21</v>
      </c>
      <c r="L11330" s="33" t="e">
        <f>HLOOKUP(B11330,#REF!,1,0)</f>
        <v>#REF!</v>
      </c>
      <c r="M11330" s="33" t="str">
        <f t="shared" ref="M11330:M11393" si="711">IF(VALUE(LEFT(C11330,5))&gt;40000,"P&amp;L","BS")</f>
        <v>P&amp;L</v>
      </c>
    </row>
    <row r="11331" spans="1:13">
      <c r="A11331" s="33" t="str">
        <f t="shared" si="708"/>
        <v>SPA - CGS</v>
      </c>
      <c r="B11331" s="33" t="str">
        <f t="shared" si="709"/>
        <v>SPA</v>
      </c>
      <c r="C11331" s="33" t="str">
        <f t="shared" si="710"/>
        <v>52001-0000</v>
      </c>
      <c r="D11331" t="s">
        <v>12614</v>
      </c>
      <c r="E11331" t="s">
        <v>3768</v>
      </c>
      <c r="F11331" t="s">
        <v>230</v>
      </c>
      <c r="G11331" t="s">
        <v>3769</v>
      </c>
      <c r="H11331" t="s">
        <v>1875</v>
      </c>
      <c r="I11331" t="s">
        <v>3770</v>
      </c>
      <c r="J11331" s="70">
        <v>0</v>
      </c>
      <c r="K11331" s="71">
        <v>69.93</v>
      </c>
      <c r="L11331" s="33" t="e">
        <f>HLOOKUP(B11331,#REF!,1,0)</f>
        <v>#REF!</v>
      </c>
      <c r="M11331" s="33" t="str">
        <f t="shared" si="711"/>
        <v>P&amp;L</v>
      </c>
    </row>
    <row r="11332" spans="1:13">
      <c r="A11332" s="33" t="str">
        <f t="shared" si="708"/>
        <v>SPA - CGS</v>
      </c>
      <c r="B11332" s="33" t="str">
        <f t="shared" si="709"/>
        <v>SPA</v>
      </c>
      <c r="C11332" s="33" t="str">
        <f t="shared" si="710"/>
        <v>52003-0000</v>
      </c>
      <c r="D11332" t="s">
        <v>12615</v>
      </c>
      <c r="E11332" t="s">
        <v>3772</v>
      </c>
      <c r="F11332" t="s">
        <v>230</v>
      </c>
      <c r="G11332" t="s">
        <v>3769</v>
      </c>
      <c r="H11332" t="s">
        <v>1875</v>
      </c>
      <c r="I11332" t="s">
        <v>3773</v>
      </c>
      <c r="J11332" s="70">
        <v>0</v>
      </c>
      <c r="K11332" s="71">
        <v>485</v>
      </c>
      <c r="L11332" s="33" t="e">
        <f>HLOOKUP(B11332,#REF!,1,0)</f>
        <v>#REF!</v>
      </c>
      <c r="M11332" s="33" t="str">
        <f t="shared" si="711"/>
        <v>P&amp;L</v>
      </c>
    </row>
    <row r="11333" spans="1:13">
      <c r="A11333" s="33" t="str">
        <f t="shared" si="708"/>
        <v>SPA - CGS</v>
      </c>
      <c r="B11333" s="33" t="str">
        <f t="shared" si="709"/>
        <v>SPA</v>
      </c>
      <c r="C11333" s="33" t="str">
        <f t="shared" si="710"/>
        <v>52004-0000</v>
      </c>
      <c r="D11333" t="s">
        <v>12616</v>
      </c>
      <c r="E11333" t="s">
        <v>3775</v>
      </c>
      <c r="F11333" t="s">
        <v>230</v>
      </c>
      <c r="G11333" t="s">
        <v>3769</v>
      </c>
      <c r="H11333" t="s">
        <v>1875</v>
      </c>
      <c r="I11333" t="s">
        <v>3776</v>
      </c>
      <c r="J11333" s="70">
        <v>0</v>
      </c>
      <c r="K11333" s="71">
        <v>147.7</v>
      </c>
      <c r="L11333" s="33" t="e">
        <f>HLOOKUP(B11333,#REF!,1,0)</f>
        <v>#REF!</v>
      </c>
      <c r="M11333" s="33" t="str">
        <f t="shared" si="711"/>
        <v>P&amp;L</v>
      </c>
    </row>
    <row r="11334" spans="1:13">
      <c r="A11334" s="33" t="str">
        <f t="shared" si="708"/>
        <v>SPA - CGS</v>
      </c>
      <c r="B11334" s="33" t="str">
        <f t="shared" si="709"/>
        <v>SPA</v>
      </c>
      <c r="C11334" s="33" t="str">
        <f t="shared" si="710"/>
        <v>52006-0000</v>
      </c>
      <c r="D11334" t="s">
        <v>12617</v>
      </c>
      <c r="E11334" t="s">
        <v>3778</v>
      </c>
      <c r="F11334" t="s">
        <v>230</v>
      </c>
      <c r="G11334" t="s">
        <v>3769</v>
      </c>
      <c r="H11334" t="s">
        <v>1875</v>
      </c>
      <c r="I11334" t="s">
        <v>3779</v>
      </c>
      <c r="J11334" s="70">
        <v>41.53</v>
      </c>
      <c r="K11334" s="71">
        <v>1016.95</v>
      </c>
      <c r="L11334" s="33" t="e">
        <f>HLOOKUP(B11334,#REF!,1,0)</f>
        <v>#REF!</v>
      </c>
      <c r="M11334" s="33" t="str">
        <f t="shared" si="711"/>
        <v>P&amp;L</v>
      </c>
    </row>
    <row r="11335" spans="1:13">
      <c r="A11335" s="33" t="str">
        <f t="shared" si="708"/>
        <v>SPA - CGS</v>
      </c>
      <c r="B11335" s="33" t="str">
        <f t="shared" si="709"/>
        <v>SPA</v>
      </c>
      <c r="C11335" s="33" t="str">
        <f t="shared" si="710"/>
        <v>53001-0000</v>
      </c>
      <c r="D11335" t="s">
        <v>12618</v>
      </c>
      <c r="E11335" t="s">
        <v>3781</v>
      </c>
      <c r="F11335" t="s">
        <v>230</v>
      </c>
      <c r="G11335" t="s">
        <v>3160</v>
      </c>
      <c r="H11335" t="s">
        <v>1875</v>
      </c>
      <c r="I11335" t="s">
        <v>3782</v>
      </c>
      <c r="J11335" s="70">
        <v>45</v>
      </c>
      <c r="K11335" s="71">
        <v>45</v>
      </c>
      <c r="L11335" s="33" t="e">
        <f>HLOOKUP(B11335,#REF!,1,0)</f>
        <v>#REF!</v>
      </c>
      <c r="M11335" s="33" t="str">
        <f t="shared" si="711"/>
        <v>P&amp;L</v>
      </c>
    </row>
    <row r="11336" spans="1:13">
      <c r="A11336" s="33" t="str">
        <f t="shared" si="708"/>
        <v>SPA - CGS</v>
      </c>
      <c r="B11336" s="33" t="str">
        <f t="shared" si="709"/>
        <v>SPA</v>
      </c>
      <c r="C11336" s="33" t="str">
        <f t="shared" si="710"/>
        <v>53002-0000</v>
      </c>
      <c r="D11336" t="s">
        <v>12619</v>
      </c>
      <c r="E11336" t="s">
        <v>3784</v>
      </c>
      <c r="F11336" t="s">
        <v>230</v>
      </c>
      <c r="G11336" t="s">
        <v>3160</v>
      </c>
      <c r="H11336" t="s">
        <v>1875</v>
      </c>
      <c r="I11336" t="s">
        <v>3785</v>
      </c>
      <c r="J11336" s="70">
        <v>1499.77</v>
      </c>
      <c r="K11336" s="71">
        <v>11818.17</v>
      </c>
      <c r="L11336" s="33" t="e">
        <f>HLOOKUP(B11336,#REF!,1,0)</f>
        <v>#REF!</v>
      </c>
      <c r="M11336" s="33" t="str">
        <f t="shared" si="711"/>
        <v>P&amp;L</v>
      </c>
    </row>
    <row r="11337" spans="1:13">
      <c r="A11337" s="33" t="str">
        <f t="shared" si="708"/>
        <v>SPA - CGS</v>
      </c>
      <c r="B11337" s="33" t="str">
        <f t="shared" si="709"/>
        <v>SPA</v>
      </c>
      <c r="C11337" s="33" t="str">
        <f t="shared" si="710"/>
        <v>53003-0000</v>
      </c>
      <c r="D11337" t="s">
        <v>12620</v>
      </c>
      <c r="E11337" t="s">
        <v>3787</v>
      </c>
      <c r="F11337" t="s">
        <v>230</v>
      </c>
      <c r="G11337" t="s">
        <v>3160</v>
      </c>
      <c r="H11337" t="s">
        <v>1875</v>
      </c>
      <c r="I11337" t="s">
        <v>3788</v>
      </c>
      <c r="J11337" s="70">
        <v>4005.9</v>
      </c>
      <c r="K11337" s="71">
        <v>30094.83</v>
      </c>
      <c r="L11337" s="33" t="e">
        <f>HLOOKUP(B11337,#REF!,1,0)</f>
        <v>#REF!</v>
      </c>
      <c r="M11337" s="33" t="str">
        <f t="shared" si="711"/>
        <v>P&amp;L</v>
      </c>
    </row>
    <row r="11338" spans="1:13">
      <c r="A11338" s="33" t="str">
        <f t="shared" si="708"/>
        <v>SPA - CGS</v>
      </c>
      <c r="B11338" s="33" t="str">
        <f t="shared" si="709"/>
        <v>SPA</v>
      </c>
      <c r="C11338" s="33" t="str">
        <f t="shared" si="710"/>
        <v>53004-0000</v>
      </c>
      <c r="D11338" t="s">
        <v>12621</v>
      </c>
      <c r="E11338" t="s">
        <v>3790</v>
      </c>
      <c r="F11338" t="s">
        <v>230</v>
      </c>
      <c r="G11338" t="s">
        <v>3160</v>
      </c>
      <c r="H11338" t="s">
        <v>1875</v>
      </c>
      <c r="I11338" t="s">
        <v>3791</v>
      </c>
      <c r="J11338" s="70">
        <v>742.67</v>
      </c>
      <c r="K11338" s="71">
        <v>5081.7</v>
      </c>
      <c r="L11338" s="33" t="e">
        <f>HLOOKUP(B11338,#REF!,1,0)</f>
        <v>#REF!</v>
      </c>
      <c r="M11338" s="33" t="str">
        <f t="shared" si="711"/>
        <v>P&amp;L</v>
      </c>
    </row>
    <row r="11339" spans="1:13">
      <c r="A11339" s="33" t="str">
        <f t="shared" si="708"/>
        <v>SPA - CGS</v>
      </c>
      <c r="B11339" s="33" t="str">
        <f t="shared" si="709"/>
        <v>SPA</v>
      </c>
      <c r="C11339" s="33" t="str">
        <f t="shared" si="710"/>
        <v>53005-0000</v>
      </c>
      <c r="D11339" t="s">
        <v>12622</v>
      </c>
      <c r="E11339" t="s">
        <v>3793</v>
      </c>
      <c r="F11339" t="s">
        <v>230</v>
      </c>
      <c r="G11339" t="s">
        <v>3160</v>
      </c>
      <c r="H11339" t="s">
        <v>1875</v>
      </c>
      <c r="I11339" t="s">
        <v>3794</v>
      </c>
      <c r="J11339" s="70">
        <v>817.95</v>
      </c>
      <c r="K11339" s="71">
        <v>5081.81</v>
      </c>
      <c r="L11339" s="33" t="e">
        <f>HLOOKUP(B11339,#REF!,1,0)</f>
        <v>#REF!</v>
      </c>
      <c r="M11339" s="33" t="str">
        <f t="shared" si="711"/>
        <v>P&amp;L</v>
      </c>
    </row>
    <row r="11340" spans="1:13">
      <c r="A11340" s="33" t="str">
        <f t="shared" si="708"/>
        <v>SPA - CGS</v>
      </c>
      <c r="B11340" s="33" t="str">
        <f t="shared" si="709"/>
        <v>SPA</v>
      </c>
      <c r="C11340" s="33" t="str">
        <f t="shared" si="710"/>
        <v>53006-0000</v>
      </c>
      <c r="D11340" t="s">
        <v>12623</v>
      </c>
      <c r="E11340" t="s">
        <v>3796</v>
      </c>
      <c r="F11340" t="s">
        <v>230</v>
      </c>
      <c r="G11340" t="s">
        <v>3160</v>
      </c>
      <c r="H11340" t="s">
        <v>1875</v>
      </c>
      <c r="I11340" t="s">
        <v>3797</v>
      </c>
      <c r="J11340" s="70">
        <v>1384.22</v>
      </c>
      <c r="K11340" s="71">
        <v>8922.79</v>
      </c>
      <c r="L11340" s="33" t="e">
        <f>HLOOKUP(B11340,#REF!,1,0)</f>
        <v>#REF!</v>
      </c>
      <c r="M11340" s="33" t="str">
        <f t="shared" si="711"/>
        <v>P&amp;L</v>
      </c>
    </row>
    <row r="11341" spans="1:13">
      <c r="A11341" s="33" t="str">
        <f t="shared" si="708"/>
        <v>SPA - CGS</v>
      </c>
      <c r="B11341" s="33" t="str">
        <f t="shared" si="709"/>
        <v>SPA</v>
      </c>
      <c r="C11341" s="33" t="str">
        <f t="shared" si="710"/>
        <v>54002-0000</v>
      </c>
      <c r="D11341" t="s">
        <v>12624</v>
      </c>
      <c r="E11341" t="s">
        <v>3799</v>
      </c>
      <c r="F11341" t="s">
        <v>230</v>
      </c>
      <c r="G11341" t="s">
        <v>3800</v>
      </c>
      <c r="H11341" t="s">
        <v>1875</v>
      </c>
      <c r="I11341" t="s">
        <v>3801</v>
      </c>
      <c r="J11341" s="70">
        <v>0</v>
      </c>
      <c r="K11341" s="71">
        <v>200</v>
      </c>
      <c r="L11341" s="33" t="e">
        <f>HLOOKUP(B11341,#REF!,1,0)</f>
        <v>#REF!</v>
      </c>
      <c r="M11341" s="33" t="str">
        <f t="shared" si="711"/>
        <v>P&amp;L</v>
      </c>
    </row>
    <row r="11342" spans="1:13">
      <c r="A11342" s="33" t="str">
        <f t="shared" si="708"/>
        <v>SPA - CGS</v>
      </c>
      <c r="B11342" s="33" t="str">
        <f t="shared" si="709"/>
        <v>SPA</v>
      </c>
      <c r="C11342" s="33" t="str">
        <f t="shared" si="710"/>
        <v>54003-0000</v>
      </c>
      <c r="D11342" t="s">
        <v>12625</v>
      </c>
      <c r="E11342" t="s">
        <v>3803</v>
      </c>
      <c r="F11342" t="s">
        <v>230</v>
      </c>
      <c r="G11342" t="s">
        <v>3800</v>
      </c>
      <c r="H11342" t="s">
        <v>1875</v>
      </c>
      <c r="I11342" t="s">
        <v>3804</v>
      </c>
      <c r="J11342" s="70">
        <v>0</v>
      </c>
      <c r="K11342" s="71">
        <v>0</v>
      </c>
      <c r="L11342" s="33" t="e">
        <f>HLOOKUP(B11342,#REF!,1,0)</f>
        <v>#REF!</v>
      </c>
      <c r="M11342" s="33" t="str">
        <f t="shared" si="711"/>
        <v>P&amp;L</v>
      </c>
    </row>
    <row r="11343" spans="1:13">
      <c r="A11343" s="33" t="str">
        <f t="shared" si="708"/>
        <v>SPA - CGS</v>
      </c>
      <c r="B11343" s="33" t="str">
        <f t="shared" si="709"/>
        <v>SPA</v>
      </c>
      <c r="C11343" s="33" t="str">
        <f t="shared" si="710"/>
        <v>54004-0000</v>
      </c>
      <c r="D11343" t="s">
        <v>12626</v>
      </c>
      <c r="E11343" t="s">
        <v>3806</v>
      </c>
      <c r="F11343" t="s">
        <v>230</v>
      </c>
      <c r="G11343" t="s">
        <v>3800</v>
      </c>
      <c r="H11343" t="s">
        <v>1875</v>
      </c>
      <c r="I11343" t="s">
        <v>3807</v>
      </c>
      <c r="J11343" s="70">
        <v>0</v>
      </c>
      <c r="K11343" s="71">
        <v>2069</v>
      </c>
      <c r="L11343" s="33" t="e">
        <f>HLOOKUP(B11343,#REF!,1,0)</f>
        <v>#REF!</v>
      </c>
      <c r="M11343" s="33" t="str">
        <f t="shared" si="711"/>
        <v>P&amp;L</v>
      </c>
    </row>
    <row r="11344" spans="1:13">
      <c r="A11344" s="33" t="str">
        <f t="shared" si="708"/>
        <v>SPA - CGS</v>
      </c>
      <c r="B11344" s="33" t="str">
        <f t="shared" si="709"/>
        <v>SPA</v>
      </c>
      <c r="C11344" s="33" t="str">
        <f t="shared" si="710"/>
        <v>54005-0000</v>
      </c>
      <c r="D11344" t="s">
        <v>12627</v>
      </c>
      <c r="E11344" t="s">
        <v>3809</v>
      </c>
      <c r="F11344" t="s">
        <v>230</v>
      </c>
      <c r="G11344" t="s">
        <v>3800</v>
      </c>
      <c r="H11344" t="s">
        <v>1875</v>
      </c>
      <c r="I11344" t="s">
        <v>3810</v>
      </c>
      <c r="J11344" s="70">
        <v>16.73</v>
      </c>
      <c r="K11344" s="71">
        <v>58.55</v>
      </c>
      <c r="L11344" s="33" t="e">
        <f>HLOOKUP(B11344,#REF!,1,0)</f>
        <v>#REF!</v>
      </c>
      <c r="M11344" s="33" t="str">
        <f t="shared" si="711"/>
        <v>P&amp;L</v>
      </c>
    </row>
    <row r="11345" spans="1:13">
      <c r="A11345" s="33" t="str">
        <f t="shared" si="708"/>
        <v>SPA - CGS</v>
      </c>
      <c r="B11345" s="33" t="str">
        <f t="shared" si="709"/>
        <v>SPA</v>
      </c>
      <c r="C11345" s="33" t="str">
        <f t="shared" si="710"/>
        <v>54006-0000</v>
      </c>
      <c r="D11345" t="s">
        <v>12628</v>
      </c>
      <c r="E11345" t="s">
        <v>3812</v>
      </c>
      <c r="F11345" t="s">
        <v>230</v>
      </c>
      <c r="G11345" t="s">
        <v>3800</v>
      </c>
      <c r="H11345" t="s">
        <v>1875</v>
      </c>
      <c r="I11345" t="s">
        <v>3003</v>
      </c>
      <c r="J11345" s="70">
        <v>657.95</v>
      </c>
      <c r="K11345" s="71">
        <v>2133.13</v>
      </c>
      <c r="L11345" s="33" t="e">
        <f>HLOOKUP(B11345,#REF!,1,0)</f>
        <v>#REF!</v>
      </c>
      <c r="M11345" s="33" t="str">
        <f t="shared" si="711"/>
        <v>P&amp;L</v>
      </c>
    </row>
    <row r="11346" spans="1:13">
      <c r="A11346" s="33" t="str">
        <f t="shared" si="708"/>
        <v>SPA - CGS</v>
      </c>
      <c r="B11346" s="33" t="str">
        <f t="shared" si="709"/>
        <v>SPA</v>
      </c>
      <c r="C11346" s="33" t="str">
        <f t="shared" si="710"/>
        <v>54007-0000</v>
      </c>
      <c r="D11346" t="s">
        <v>12629</v>
      </c>
      <c r="E11346" t="s">
        <v>3814</v>
      </c>
      <c r="F11346" t="s">
        <v>230</v>
      </c>
      <c r="G11346" t="s">
        <v>3800</v>
      </c>
      <c r="H11346" t="s">
        <v>1875</v>
      </c>
      <c r="I11346" t="s">
        <v>3815</v>
      </c>
      <c r="J11346" s="70">
        <v>3553.81</v>
      </c>
      <c r="K11346" s="71">
        <v>9498.66</v>
      </c>
      <c r="L11346" s="33" t="e">
        <f>HLOOKUP(B11346,#REF!,1,0)</f>
        <v>#REF!</v>
      </c>
      <c r="M11346" s="33" t="str">
        <f t="shared" si="711"/>
        <v>P&amp;L</v>
      </c>
    </row>
    <row r="11347" spans="1:13">
      <c r="A11347" s="33" t="str">
        <f t="shared" si="708"/>
        <v>SPA - PM Expenses</v>
      </c>
      <c r="B11347" s="33" t="str">
        <f t="shared" si="709"/>
        <v>SPA</v>
      </c>
      <c r="C11347" s="33" t="str">
        <f t="shared" si="710"/>
        <v>55501-0000</v>
      </c>
      <c r="D11347" t="s">
        <v>12630</v>
      </c>
      <c r="E11347" t="s">
        <v>3817</v>
      </c>
      <c r="F11347" t="s">
        <v>230</v>
      </c>
      <c r="G11347" t="s">
        <v>3818</v>
      </c>
      <c r="H11347" t="s">
        <v>3819</v>
      </c>
      <c r="I11347" t="s">
        <v>3820</v>
      </c>
      <c r="J11347" s="70">
        <v>1275</v>
      </c>
      <c r="K11347" s="71">
        <v>2275</v>
      </c>
      <c r="L11347" s="33" t="e">
        <f>HLOOKUP(B11347,#REF!,1,0)</f>
        <v>#REF!</v>
      </c>
      <c r="M11347" s="33" t="str">
        <f t="shared" si="711"/>
        <v>P&amp;L</v>
      </c>
    </row>
    <row r="11348" spans="1:13">
      <c r="A11348" s="33" t="str">
        <f t="shared" si="708"/>
        <v>SPA - PM Expenses</v>
      </c>
      <c r="B11348" s="33" t="str">
        <f t="shared" si="709"/>
        <v>SPA</v>
      </c>
      <c r="C11348" s="33" t="str">
        <f t="shared" si="710"/>
        <v>55502-0000</v>
      </c>
      <c r="D11348" t="s">
        <v>12631</v>
      </c>
      <c r="E11348" t="s">
        <v>3822</v>
      </c>
      <c r="F11348" t="s">
        <v>230</v>
      </c>
      <c r="G11348" t="s">
        <v>3818</v>
      </c>
      <c r="H11348" t="s">
        <v>3819</v>
      </c>
      <c r="I11348" t="s">
        <v>3823</v>
      </c>
      <c r="J11348" s="70">
        <v>0</v>
      </c>
      <c r="K11348" s="71">
        <v>1802.6</v>
      </c>
      <c r="L11348" s="33" t="e">
        <f>HLOOKUP(B11348,#REF!,1,0)</f>
        <v>#REF!</v>
      </c>
      <c r="M11348" s="33" t="str">
        <f t="shared" si="711"/>
        <v>P&amp;L</v>
      </c>
    </row>
    <row r="11349" spans="1:13">
      <c r="A11349" s="33" t="str">
        <f t="shared" si="708"/>
        <v>SPA - PM Expenses</v>
      </c>
      <c r="B11349" s="33" t="str">
        <f t="shared" si="709"/>
        <v>SPA</v>
      </c>
      <c r="C11349" s="33" t="str">
        <f t="shared" si="710"/>
        <v>55503-0000</v>
      </c>
      <c r="D11349" t="s">
        <v>12632</v>
      </c>
      <c r="E11349" t="s">
        <v>3825</v>
      </c>
      <c r="F11349" t="s">
        <v>230</v>
      </c>
      <c r="G11349" t="s">
        <v>3818</v>
      </c>
      <c r="H11349" t="s">
        <v>3819</v>
      </c>
      <c r="I11349" t="s">
        <v>3826</v>
      </c>
      <c r="J11349" s="70">
        <v>0</v>
      </c>
      <c r="K11349" s="71">
        <v>650</v>
      </c>
      <c r="L11349" s="33" t="e">
        <f>HLOOKUP(B11349,#REF!,1,0)</f>
        <v>#REF!</v>
      </c>
      <c r="M11349" s="33" t="str">
        <f t="shared" si="711"/>
        <v>P&amp;L</v>
      </c>
    </row>
    <row r="11350" spans="1:13">
      <c r="A11350" s="33" t="str">
        <f t="shared" si="708"/>
        <v>SPA - PM Expenses</v>
      </c>
      <c r="B11350" s="33" t="str">
        <f t="shared" si="709"/>
        <v>SPA</v>
      </c>
      <c r="C11350" s="33" t="str">
        <f t="shared" si="710"/>
        <v>55504-0000</v>
      </c>
      <c r="D11350" t="s">
        <v>12633</v>
      </c>
      <c r="E11350" t="s">
        <v>4027</v>
      </c>
      <c r="F11350" t="s">
        <v>230</v>
      </c>
      <c r="G11350" t="s">
        <v>3818</v>
      </c>
      <c r="H11350" t="s">
        <v>3819</v>
      </c>
      <c r="I11350" t="s">
        <v>4028</v>
      </c>
      <c r="J11350" s="70">
        <v>0</v>
      </c>
      <c r="K11350" s="71">
        <v>461.1</v>
      </c>
      <c r="L11350" s="33" t="e">
        <f>HLOOKUP(B11350,#REF!,1,0)</f>
        <v>#REF!</v>
      </c>
      <c r="M11350" s="33" t="str">
        <f t="shared" si="711"/>
        <v>P&amp;L</v>
      </c>
    </row>
    <row r="11351" spans="1:13">
      <c r="A11351" s="33" t="str">
        <f t="shared" si="708"/>
        <v>SPA - PM Expenses</v>
      </c>
      <c r="B11351" s="33" t="str">
        <f t="shared" si="709"/>
        <v>SPA</v>
      </c>
      <c r="C11351" s="33" t="str">
        <f t="shared" si="710"/>
        <v>55505-0000</v>
      </c>
      <c r="D11351" t="s">
        <v>12634</v>
      </c>
      <c r="E11351" t="s">
        <v>3828</v>
      </c>
      <c r="F11351" t="s">
        <v>230</v>
      </c>
      <c r="G11351" t="s">
        <v>3818</v>
      </c>
      <c r="H11351" t="s">
        <v>3819</v>
      </c>
      <c r="I11351" t="s">
        <v>3829</v>
      </c>
      <c r="J11351" s="70">
        <v>0</v>
      </c>
      <c r="K11351" s="71">
        <v>1015.35</v>
      </c>
      <c r="L11351" s="33" t="e">
        <f>HLOOKUP(B11351,#REF!,1,0)</f>
        <v>#REF!</v>
      </c>
      <c r="M11351" s="33" t="str">
        <f t="shared" si="711"/>
        <v>P&amp;L</v>
      </c>
    </row>
    <row r="11352" spans="1:13">
      <c r="A11352" s="33" t="str">
        <f t="shared" si="708"/>
        <v>SPA - PM Expenses</v>
      </c>
      <c r="B11352" s="33" t="str">
        <f t="shared" si="709"/>
        <v>SPA</v>
      </c>
      <c r="C11352" s="33" t="str">
        <f t="shared" si="710"/>
        <v>55506-0000</v>
      </c>
      <c r="D11352" t="s">
        <v>12635</v>
      </c>
      <c r="E11352" t="s">
        <v>3831</v>
      </c>
      <c r="F11352" t="s">
        <v>230</v>
      </c>
      <c r="G11352" t="s">
        <v>3818</v>
      </c>
      <c r="H11352" t="s">
        <v>3819</v>
      </c>
      <c r="I11352" t="s">
        <v>3832</v>
      </c>
      <c r="J11352" s="70">
        <v>59.02</v>
      </c>
      <c r="K11352" s="71">
        <v>1366.9</v>
      </c>
      <c r="L11352" s="33" t="e">
        <f>HLOOKUP(B11352,#REF!,1,0)</f>
        <v>#REF!</v>
      </c>
      <c r="M11352" s="33" t="str">
        <f t="shared" si="711"/>
        <v>P&amp;L</v>
      </c>
    </row>
    <row r="11353" spans="1:13">
      <c r="A11353" s="33" t="str">
        <f t="shared" si="708"/>
        <v>SPA - CGS</v>
      </c>
      <c r="B11353" s="33" t="str">
        <f t="shared" si="709"/>
        <v>SPA</v>
      </c>
      <c r="C11353" s="33" t="str">
        <f t="shared" si="710"/>
        <v>60002-0000</v>
      </c>
      <c r="D11353" t="s">
        <v>12636</v>
      </c>
      <c r="E11353" t="s">
        <v>3837</v>
      </c>
      <c r="F11353" t="s">
        <v>230</v>
      </c>
      <c r="G11353" t="s">
        <v>3838</v>
      </c>
      <c r="H11353" t="s">
        <v>1875</v>
      </c>
      <c r="I11353" t="s">
        <v>3839</v>
      </c>
      <c r="J11353" s="70">
        <v>0</v>
      </c>
      <c r="K11353" s="71">
        <v>20.3</v>
      </c>
      <c r="L11353" s="33" t="e">
        <f>HLOOKUP(B11353,#REF!,1,0)</f>
        <v>#REF!</v>
      </c>
      <c r="M11353" s="33" t="str">
        <f t="shared" si="711"/>
        <v>P&amp;L</v>
      </c>
    </row>
    <row r="11354" spans="1:13">
      <c r="A11354" s="33" t="str">
        <f t="shared" si="708"/>
        <v>SPA - CGS</v>
      </c>
      <c r="B11354" s="33" t="str">
        <f t="shared" si="709"/>
        <v>SPA</v>
      </c>
      <c r="C11354" s="33" t="str">
        <f t="shared" si="710"/>
        <v>60005-0000</v>
      </c>
      <c r="D11354" t="s">
        <v>12637</v>
      </c>
      <c r="E11354" t="s">
        <v>3841</v>
      </c>
      <c r="F11354" t="s">
        <v>230</v>
      </c>
      <c r="G11354" t="s">
        <v>3838</v>
      </c>
      <c r="H11354" t="s">
        <v>1875</v>
      </c>
      <c r="I11354" t="s">
        <v>3842</v>
      </c>
      <c r="J11354" s="70">
        <v>900</v>
      </c>
      <c r="K11354" s="71">
        <v>14957</v>
      </c>
      <c r="L11354" s="33" t="e">
        <f>HLOOKUP(B11354,#REF!,1,0)</f>
        <v>#REF!</v>
      </c>
      <c r="M11354" s="33" t="str">
        <f t="shared" si="711"/>
        <v>P&amp;L</v>
      </c>
    </row>
    <row r="11355" spans="1:13">
      <c r="A11355" s="33" t="str">
        <f t="shared" si="708"/>
        <v>SPA - Interest Expense</v>
      </c>
      <c r="B11355" s="33" t="str">
        <f t="shared" si="709"/>
        <v>SPA</v>
      </c>
      <c r="C11355" s="33" t="str">
        <f t="shared" si="710"/>
        <v>60006-0000</v>
      </c>
      <c r="D11355" t="s">
        <v>12638</v>
      </c>
      <c r="E11355" t="s">
        <v>3325</v>
      </c>
      <c r="F11355" t="s">
        <v>230</v>
      </c>
      <c r="G11355" t="s">
        <v>3844</v>
      </c>
      <c r="H11355" t="s">
        <v>3327</v>
      </c>
      <c r="I11355" t="s">
        <v>3328</v>
      </c>
      <c r="J11355" s="70">
        <v>60468.75</v>
      </c>
      <c r="K11355" s="71">
        <v>352734.38</v>
      </c>
      <c r="L11355" s="33" t="e">
        <f>HLOOKUP(B11355,#REF!,1,0)</f>
        <v>#REF!</v>
      </c>
      <c r="M11355" s="33" t="str">
        <f t="shared" si="711"/>
        <v>P&amp;L</v>
      </c>
    </row>
    <row r="11356" spans="1:13">
      <c r="A11356" s="33" t="str">
        <f t="shared" si="708"/>
        <v>SPA - CGS</v>
      </c>
      <c r="B11356" s="33" t="str">
        <f t="shared" si="709"/>
        <v>SPA</v>
      </c>
      <c r="C11356" s="33" t="str">
        <f t="shared" si="710"/>
        <v>60007-0000</v>
      </c>
      <c r="D11356" t="s">
        <v>12639</v>
      </c>
      <c r="E11356" t="s">
        <v>3846</v>
      </c>
      <c r="F11356" t="s">
        <v>230</v>
      </c>
      <c r="G11356" t="s">
        <v>3838</v>
      </c>
      <c r="H11356" t="s">
        <v>1875</v>
      </c>
      <c r="I11356" t="s">
        <v>3847</v>
      </c>
      <c r="J11356" s="70">
        <v>0</v>
      </c>
      <c r="K11356" s="71">
        <v>1050</v>
      </c>
      <c r="L11356" s="33" t="e">
        <f>HLOOKUP(B11356,#REF!,1,0)</f>
        <v>#REF!</v>
      </c>
      <c r="M11356" s="33" t="str">
        <f t="shared" si="711"/>
        <v>P&amp;L</v>
      </c>
    </row>
    <row r="11357" spans="1:13">
      <c r="A11357" s="33" t="str">
        <f t="shared" si="708"/>
        <v>SPA - CGS</v>
      </c>
      <c r="B11357" s="33" t="str">
        <f t="shared" si="709"/>
        <v>SPA</v>
      </c>
      <c r="C11357" s="33" t="str">
        <f t="shared" si="710"/>
        <v>60008-0000</v>
      </c>
      <c r="D11357" t="s">
        <v>12640</v>
      </c>
      <c r="E11357" t="s">
        <v>3849</v>
      </c>
      <c r="F11357" t="s">
        <v>230</v>
      </c>
      <c r="G11357" t="s">
        <v>3838</v>
      </c>
      <c r="H11357" t="s">
        <v>1875</v>
      </c>
      <c r="I11357" t="s">
        <v>3850</v>
      </c>
      <c r="J11357" s="70">
        <v>0</v>
      </c>
      <c r="K11357" s="71">
        <v>548</v>
      </c>
      <c r="L11357" s="33" t="e">
        <f>HLOOKUP(B11357,#REF!,1,0)</f>
        <v>#REF!</v>
      </c>
      <c r="M11357" s="33" t="str">
        <f t="shared" si="711"/>
        <v>P&amp;L</v>
      </c>
    </row>
    <row r="11358" spans="1:13">
      <c r="A11358" s="33" t="str">
        <f t="shared" si="708"/>
        <v>SPA - CGS</v>
      </c>
      <c r="B11358" s="33" t="str">
        <f t="shared" si="709"/>
        <v>SPA</v>
      </c>
      <c r="C11358" s="33" t="str">
        <f t="shared" si="710"/>
        <v>60012-0000</v>
      </c>
      <c r="D11358" t="s">
        <v>12641</v>
      </c>
      <c r="E11358" t="s">
        <v>3852</v>
      </c>
      <c r="F11358" t="s">
        <v>230</v>
      </c>
      <c r="G11358" t="s">
        <v>3838</v>
      </c>
      <c r="H11358" t="s">
        <v>1875</v>
      </c>
      <c r="I11358" t="s">
        <v>3853</v>
      </c>
      <c r="J11358" s="70">
        <v>10791.31</v>
      </c>
      <c r="K11358" s="71">
        <v>5036.95</v>
      </c>
      <c r="L11358" s="33" t="e">
        <f>HLOOKUP(B11358,#REF!,1,0)</f>
        <v>#REF!</v>
      </c>
      <c r="M11358" s="33" t="str">
        <f t="shared" si="711"/>
        <v>P&amp;L</v>
      </c>
    </row>
    <row r="11359" spans="1:13">
      <c r="A11359" s="33" t="str">
        <f t="shared" si="708"/>
        <v>SPA - CGS</v>
      </c>
      <c r="B11359" s="33" t="str">
        <f t="shared" si="709"/>
        <v>SPA</v>
      </c>
      <c r="C11359" s="33" t="str">
        <f t="shared" si="710"/>
        <v>60014-0000</v>
      </c>
      <c r="D11359" t="s">
        <v>12642</v>
      </c>
      <c r="E11359" t="s">
        <v>3855</v>
      </c>
      <c r="F11359" t="s">
        <v>230</v>
      </c>
      <c r="G11359" t="s">
        <v>3838</v>
      </c>
      <c r="H11359" t="s">
        <v>1875</v>
      </c>
      <c r="I11359" t="s">
        <v>3856</v>
      </c>
      <c r="J11359" s="70">
        <v>3742.16</v>
      </c>
      <c r="K11359" s="71">
        <v>19834.38</v>
      </c>
      <c r="L11359" s="33" t="e">
        <f>HLOOKUP(B11359,#REF!,1,0)</f>
        <v>#REF!</v>
      </c>
      <c r="M11359" s="33" t="str">
        <f t="shared" si="711"/>
        <v>P&amp;L</v>
      </c>
    </row>
    <row r="11360" spans="1:13">
      <c r="A11360" s="33" t="str">
        <f t="shared" si="708"/>
        <v>SPA - CGS</v>
      </c>
      <c r="B11360" s="33" t="str">
        <f t="shared" si="709"/>
        <v>SPA</v>
      </c>
      <c r="C11360" s="33" t="str">
        <f t="shared" si="710"/>
        <v>61016-0000</v>
      </c>
      <c r="D11360" t="s">
        <v>12643</v>
      </c>
      <c r="E11360" t="s">
        <v>3861</v>
      </c>
      <c r="F11360" t="s">
        <v>230</v>
      </c>
      <c r="G11360" t="s">
        <v>3838</v>
      </c>
      <c r="H11360" t="s">
        <v>1875</v>
      </c>
      <c r="I11360" t="s">
        <v>3862</v>
      </c>
      <c r="J11360" s="70">
        <v>0</v>
      </c>
      <c r="K11360" s="71">
        <v>0</v>
      </c>
      <c r="L11360" s="33" t="e">
        <f>HLOOKUP(B11360,#REF!,1,0)</f>
        <v>#REF!</v>
      </c>
      <c r="M11360" s="33" t="str">
        <f t="shared" si="711"/>
        <v>P&amp;L</v>
      </c>
    </row>
    <row r="11361" spans="1:13">
      <c r="A11361" s="33" t="str">
        <f t="shared" si="708"/>
        <v>SPA - Other Expenses</v>
      </c>
      <c r="B11361" s="33" t="str">
        <f t="shared" si="709"/>
        <v>SPA</v>
      </c>
      <c r="C11361" s="33" t="str">
        <f t="shared" si="710"/>
        <v>61018-0000</v>
      </c>
      <c r="D11361" t="s">
        <v>12644</v>
      </c>
      <c r="E11361" t="s">
        <v>3864</v>
      </c>
      <c r="F11361" t="s">
        <v>230</v>
      </c>
      <c r="G11361" t="s">
        <v>3838</v>
      </c>
      <c r="H11361" t="s">
        <v>3865</v>
      </c>
      <c r="I11361" t="s">
        <v>3866</v>
      </c>
      <c r="J11361" s="70">
        <v>0</v>
      </c>
      <c r="K11361" s="71">
        <v>236595</v>
      </c>
      <c r="L11361" s="33" t="e">
        <f>HLOOKUP(B11361,#REF!,1,0)</f>
        <v>#REF!</v>
      </c>
      <c r="M11361" s="33" t="str">
        <f t="shared" si="711"/>
        <v>P&amp;L</v>
      </c>
    </row>
    <row r="11362" spans="1:13">
      <c r="A11362" s="33" t="str">
        <f t="shared" si="708"/>
        <v>SPA - Income Tax</v>
      </c>
      <c r="B11362" s="33" t="str">
        <f t="shared" si="709"/>
        <v>SPA</v>
      </c>
      <c r="C11362" s="33" t="str">
        <f t="shared" si="710"/>
        <v>61019-0000</v>
      </c>
      <c r="D11362" t="s">
        <v>12645</v>
      </c>
      <c r="E11362" t="s">
        <v>4041</v>
      </c>
      <c r="F11362" t="s">
        <v>230</v>
      </c>
      <c r="G11362" t="s">
        <v>3844</v>
      </c>
      <c r="H11362" t="s">
        <v>3378</v>
      </c>
      <c r="I11362" t="s">
        <v>4042</v>
      </c>
      <c r="J11362" s="70">
        <v>0</v>
      </c>
      <c r="K11362" s="71">
        <v>900</v>
      </c>
      <c r="L11362" s="33" t="e">
        <f>HLOOKUP(B11362,#REF!,1,0)</f>
        <v>#REF!</v>
      </c>
      <c r="M11362" s="33" t="str">
        <f t="shared" si="711"/>
        <v>P&amp;L</v>
      </c>
    </row>
    <row r="11363" spans="1:13">
      <c r="A11363" s="33" t="str">
        <f t="shared" si="708"/>
        <v>SPA - CGS</v>
      </c>
      <c r="B11363" s="33" t="str">
        <f t="shared" si="709"/>
        <v>SPA</v>
      </c>
      <c r="C11363" s="33" t="str">
        <f t="shared" si="710"/>
        <v>61023-0000</v>
      </c>
      <c r="D11363" t="s">
        <v>12646</v>
      </c>
      <c r="E11363" t="s">
        <v>3868</v>
      </c>
      <c r="F11363" t="s">
        <v>230</v>
      </c>
      <c r="G11363" t="s">
        <v>3838</v>
      </c>
      <c r="H11363" t="s">
        <v>1875</v>
      </c>
      <c r="I11363" t="s">
        <v>1876</v>
      </c>
      <c r="J11363" s="70">
        <v>0</v>
      </c>
      <c r="K11363" s="71">
        <v>5683.93</v>
      </c>
      <c r="L11363" s="33" t="e">
        <f>HLOOKUP(B11363,#REF!,1,0)</f>
        <v>#REF!</v>
      </c>
      <c r="M11363" s="33" t="str">
        <f t="shared" si="711"/>
        <v>P&amp;L</v>
      </c>
    </row>
    <row r="11364" spans="1:13">
      <c r="A11364" s="33" t="str">
        <f t="shared" si="708"/>
        <v>SPI - Intercompany</v>
      </c>
      <c r="B11364" s="33" t="str">
        <f t="shared" si="709"/>
        <v>SPI</v>
      </c>
      <c r="C11364" s="33" t="str">
        <f t="shared" si="710"/>
        <v>11355-0000</v>
      </c>
      <c r="D11364" t="s">
        <v>12647</v>
      </c>
      <c r="E11364" t="s">
        <v>6131</v>
      </c>
      <c r="F11364" t="s">
        <v>230</v>
      </c>
      <c r="G11364" t="s">
        <v>16</v>
      </c>
      <c r="H11364" t="s">
        <v>39</v>
      </c>
      <c r="I11364" t="s">
        <v>40</v>
      </c>
      <c r="J11364" s="70">
        <v>0</v>
      </c>
      <c r="K11364" s="71">
        <v>3750000</v>
      </c>
      <c r="L11364" s="33" t="e">
        <f>HLOOKUP(B11364,#REF!,1,0)</f>
        <v>#REF!</v>
      </c>
      <c r="M11364" s="33" t="str">
        <f t="shared" si="711"/>
        <v>BS</v>
      </c>
    </row>
    <row r="11365" spans="1:13">
      <c r="A11365" s="33" t="str">
        <f t="shared" si="708"/>
        <v>SPI - Intercompany</v>
      </c>
      <c r="B11365" s="33" t="str">
        <f t="shared" si="709"/>
        <v>SPI</v>
      </c>
      <c r="C11365" s="33" t="str">
        <f t="shared" si="710"/>
        <v>11363-0000</v>
      </c>
      <c r="D11365" t="s">
        <v>12648</v>
      </c>
      <c r="E11365" t="s">
        <v>6139</v>
      </c>
      <c r="F11365" t="s">
        <v>230</v>
      </c>
      <c r="G11365" t="s">
        <v>16</v>
      </c>
      <c r="H11365" t="s">
        <v>39</v>
      </c>
      <c r="I11365" t="s">
        <v>40</v>
      </c>
      <c r="J11365" s="70">
        <v>0</v>
      </c>
      <c r="K11365" s="71">
        <v>448336</v>
      </c>
      <c r="L11365" s="33" t="e">
        <f>HLOOKUP(B11365,#REF!,1,0)</f>
        <v>#REF!</v>
      </c>
      <c r="M11365" s="33" t="str">
        <f t="shared" si="711"/>
        <v>BS</v>
      </c>
    </row>
    <row r="11366" spans="1:13">
      <c r="A11366" s="33" t="str">
        <f t="shared" si="708"/>
        <v>SPI - Deposits</v>
      </c>
      <c r="B11366" s="33" t="str">
        <f t="shared" si="709"/>
        <v>SPI</v>
      </c>
      <c r="C11366" s="33" t="str">
        <f t="shared" si="710"/>
        <v>19000-0000</v>
      </c>
      <c r="D11366" t="s">
        <v>12649</v>
      </c>
      <c r="E11366" t="s">
        <v>342</v>
      </c>
      <c r="F11366" t="s">
        <v>230</v>
      </c>
      <c r="G11366" t="s">
        <v>62</v>
      </c>
      <c r="H11366" t="s">
        <v>80</v>
      </c>
      <c r="I11366" t="s">
        <v>81</v>
      </c>
      <c r="J11366" s="70">
        <v>0</v>
      </c>
      <c r="K11366" s="71">
        <v>0</v>
      </c>
      <c r="L11366" s="33" t="e">
        <f>HLOOKUP(B11366,#REF!,1,0)</f>
        <v>#REF!</v>
      </c>
      <c r="M11366" s="33" t="str">
        <f t="shared" si="711"/>
        <v>BS</v>
      </c>
    </row>
    <row r="11367" spans="1:13">
      <c r="A11367" s="33" t="str">
        <f t="shared" si="708"/>
        <v>SPI - Revenue</v>
      </c>
      <c r="B11367" s="33" t="str">
        <f t="shared" si="709"/>
        <v>SPI</v>
      </c>
      <c r="C11367" s="33" t="str">
        <f t="shared" si="710"/>
        <v>40110-0000</v>
      </c>
      <c r="D11367" t="s">
        <v>12650</v>
      </c>
      <c r="E11367" t="s">
        <v>3683</v>
      </c>
      <c r="F11367" t="s">
        <v>230</v>
      </c>
      <c r="G11367" t="s">
        <v>3684</v>
      </c>
      <c r="H11367" t="s">
        <v>2871</v>
      </c>
      <c r="I11367" t="s">
        <v>3685</v>
      </c>
      <c r="J11367" s="70">
        <v>0</v>
      </c>
      <c r="K11367" s="71">
        <v>-34188.29</v>
      </c>
      <c r="L11367" s="33" t="e">
        <f>HLOOKUP(B11367,#REF!,1,0)</f>
        <v>#REF!</v>
      </c>
      <c r="M11367" s="33" t="str">
        <f t="shared" si="711"/>
        <v>P&amp;L</v>
      </c>
    </row>
    <row r="11368" spans="1:13">
      <c r="A11368" s="33" t="str">
        <f t="shared" si="708"/>
        <v>SPI - Revenue</v>
      </c>
      <c r="B11368" s="33" t="str">
        <f t="shared" si="709"/>
        <v>SPI</v>
      </c>
      <c r="C11368" s="33" t="str">
        <f t="shared" si="710"/>
        <v>40120-0000</v>
      </c>
      <c r="D11368" t="s">
        <v>12651</v>
      </c>
      <c r="E11368" t="s">
        <v>3687</v>
      </c>
      <c r="F11368" t="s">
        <v>230</v>
      </c>
      <c r="G11368" t="s">
        <v>3684</v>
      </c>
      <c r="H11368" t="s">
        <v>2871</v>
      </c>
      <c r="I11368" t="s">
        <v>3688</v>
      </c>
      <c r="J11368" s="70">
        <v>0</v>
      </c>
      <c r="K11368" s="71">
        <v>-945</v>
      </c>
      <c r="L11368" s="33" t="e">
        <f>HLOOKUP(B11368,#REF!,1,0)</f>
        <v>#REF!</v>
      </c>
      <c r="M11368" s="33" t="str">
        <f t="shared" si="711"/>
        <v>P&amp;L</v>
      </c>
    </row>
    <row r="11369" spans="1:13">
      <c r="A11369" s="33" t="str">
        <f t="shared" si="708"/>
        <v>SPI - Revenue</v>
      </c>
      <c r="B11369" s="33" t="str">
        <f t="shared" si="709"/>
        <v>SPI</v>
      </c>
      <c r="C11369" s="33" t="str">
        <f t="shared" si="710"/>
        <v>40130-0000</v>
      </c>
      <c r="D11369" t="s">
        <v>12652</v>
      </c>
      <c r="E11369" t="s">
        <v>3690</v>
      </c>
      <c r="F11369" t="s">
        <v>230</v>
      </c>
      <c r="G11369" t="s">
        <v>3684</v>
      </c>
      <c r="H11369" t="s">
        <v>2871</v>
      </c>
      <c r="I11369" t="s">
        <v>3691</v>
      </c>
      <c r="J11369" s="70">
        <v>0</v>
      </c>
      <c r="K11369" s="71">
        <v>0</v>
      </c>
      <c r="L11369" s="33" t="e">
        <f>HLOOKUP(B11369,#REF!,1,0)</f>
        <v>#REF!</v>
      </c>
      <c r="M11369" s="33" t="str">
        <f t="shared" si="711"/>
        <v>P&amp;L</v>
      </c>
    </row>
    <row r="11370" spans="1:13">
      <c r="A11370" s="33" t="str">
        <f t="shared" si="708"/>
        <v>SPI - Revenue</v>
      </c>
      <c r="B11370" s="33" t="str">
        <f t="shared" si="709"/>
        <v>SPI</v>
      </c>
      <c r="C11370" s="33" t="str">
        <f t="shared" si="710"/>
        <v>40140-0000</v>
      </c>
      <c r="D11370" t="s">
        <v>12653</v>
      </c>
      <c r="E11370" t="s">
        <v>3948</v>
      </c>
      <c r="F11370" t="s">
        <v>230</v>
      </c>
      <c r="G11370" t="s">
        <v>3684</v>
      </c>
      <c r="H11370" t="s">
        <v>2871</v>
      </c>
      <c r="I11370" t="s">
        <v>3949</v>
      </c>
      <c r="J11370" s="70">
        <v>0</v>
      </c>
      <c r="K11370" s="71">
        <v>0</v>
      </c>
      <c r="L11370" s="33" t="e">
        <f>HLOOKUP(B11370,#REF!,1,0)</f>
        <v>#REF!</v>
      </c>
      <c r="M11370" s="33" t="str">
        <f t="shared" si="711"/>
        <v>P&amp;L</v>
      </c>
    </row>
    <row r="11371" spans="1:13">
      <c r="A11371" s="33" t="str">
        <f t="shared" si="708"/>
        <v>SPI - Revenue</v>
      </c>
      <c r="B11371" s="33" t="str">
        <f t="shared" si="709"/>
        <v>SPI</v>
      </c>
      <c r="C11371" s="33" t="str">
        <f t="shared" si="710"/>
        <v>41110-0000</v>
      </c>
      <c r="D11371" t="s">
        <v>12654</v>
      </c>
      <c r="E11371" t="s">
        <v>3693</v>
      </c>
      <c r="F11371" t="s">
        <v>230</v>
      </c>
      <c r="G11371" t="s">
        <v>3694</v>
      </c>
      <c r="H11371" t="s">
        <v>2871</v>
      </c>
      <c r="I11371" t="s">
        <v>3695</v>
      </c>
      <c r="J11371" s="70">
        <v>0</v>
      </c>
      <c r="K11371" s="71">
        <v>0</v>
      </c>
      <c r="L11371" s="33" t="e">
        <f>HLOOKUP(B11371,#REF!,1,0)</f>
        <v>#REF!</v>
      </c>
      <c r="M11371" s="33" t="str">
        <f t="shared" si="711"/>
        <v>P&amp;L</v>
      </c>
    </row>
    <row r="11372" spans="1:13">
      <c r="A11372" s="33" t="str">
        <f t="shared" si="708"/>
        <v>SPI - Revenue</v>
      </c>
      <c r="B11372" s="33" t="str">
        <f t="shared" si="709"/>
        <v>SPI</v>
      </c>
      <c r="C11372" s="33" t="str">
        <f t="shared" si="710"/>
        <v>41121-0000</v>
      </c>
      <c r="D11372" t="s">
        <v>12655</v>
      </c>
      <c r="E11372" t="s">
        <v>4146</v>
      </c>
      <c r="F11372" t="s">
        <v>230</v>
      </c>
      <c r="G11372" t="s">
        <v>3694</v>
      </c>
      <c r="H11372" t="s">
        <v>2871</v>
      </c>
      <c r="I11372" t="s">
        <v>3698</v>
      </c>
      <c r="J11372" s="70">
        <v>0</v>
      </c>
      <c r="K11372" s="71">
        <v>13719.73</v>
      </c>
      <c r="L11372" s="33" t="e">
        <f>HLOOKUP(B11372,#REF!,1,0)</f>
        <v>#REF!</v>
      </c>
      <c r="M11372" s="33" t="str">
        <f t="shared" si="711"/>
        <v>P&amp;L</v>
      </c>
    </row>
    <row r="11373" spans="1:13">
      <c r="A11373" s="33" t="str">
        <f t="shared" si="708"/>
        <v>SPI - Revenue</v>
      </c>
      <c r="B11373" s="33" t="str">
        <f t="shared" si="709"/>
        <v>SPI</v>
      </c>
      <c r="C11373" s="33" t="str">
        <f t="shared" si="710"/>
        <v>41122-0000</v>
      </c>
      <c r="D11373" t="s">
        <v>12656</v>
      </c>
      <c r="E11373" t="s">
        <v>3700</v>
      </c>
      <c r="F11373" t="s">
        <v>230</v>
      </c>
      <c r="G11373" t="s">
        <v>3694</v>
      </c>
      <c r="H11373" t="s">
        <v>2871</v>
      </c>
      <c r="I11373" t="s">
        <v>3701</v>
      </c>
      <c r="J11373" s="70">
        <v>0</v>
      </c>
      <c r="K11373" s="71">
        <v>-11622</v>
      </c>
      <c r="L11373" s="33" t="e">
        <f>HLOOKUP(B11373,#REF!,1,0)</f>
        <v>#REF!</v>
      </c>
      <c r="M11373" s="33" t="str">
        <f t="shared" si="711"/>
        <v>P&amp;L</v>
      </c>
    </row>
    <row r="11374" spans="1:13">
      <c r="A11374" s="33" t="str">
        <f t="shared" si="708"/>
        <v>SPI - Revenue</v>
      </c>
      <c r="B11374" s="33" t="str">
        <f t="shared" si="709"/>
        <v>SPI</v>
      </c>
      <c r="C11374" s="33" t="str">
        <f t="shared" si="710"/>
        <v>41130-0000</v>
      </c>
      <c r="D11374" t="s">
        <v>12657</v>
      </c>
      <c r="E11374" t="s">
        <v>3703</v>
      </c>
      <c r="F11374" t="s">
        <v>230</v>
      </c>
      <c r="G11374" t="s">
        <v>3694</v>
      </c>
      <c r="H11374" t="s">
        <v>2871</v>
      </c>
      <c r="I11374" t="s">
        <v>3704</v>
      </c>
      <c r="J11374" s="70">
        <v>0</v>
      </c>
      <c r="K11374" s="71">
        <v>0</v>
      </c>
      <c r="L11374" s="33" t="e">
        <f>HLOOKUP(B11374,#REF!,1,0)</f>
        <v>#REF!</v>
      </c>
      <c r="M11374" s="33" t="str">
        <f t="shared" si="711"/>
        <v>P&amp;L</v>
      </c>
    </row>
    <row r="11375" spans="1:13">
      <c r="A11375" s="33" t="str">
        <f t="shared" si="708"/>
        <v>SPI - Revenue</v>
      </c>
      <c r="B11375" s="33" t="str">
        <f t="shared" si="709"/>
        <v>SPI</v>
      </c>
      <c r="C11375" s="33" t="str">
        <f t="shared" si="710"/>
        <v>41140-0000</v>
      </c>
      <c r="D11375" t="s">
        <v>12658</v>
      </c>
      <c r="E11375" t="s">
        <v>3706</v>
      </c>
      <c r="F11375" t="s">
        <v>230</v>
      </c>
      <c r="G11375" t="s">
        <v>3694</v>
      </c>
      <c r="H11375" t="s">
        <v>2871</v>
      </c>
      <c r="I11375" t="s">
        <v>3707</v>
      </c>
      <c r="J11375" s="70">
        <v>0</v>
      </c>
      <c r="K11375" s="71">
        <v>0</v>
      </c>
      <c r="L11375" s="33" t="e">
        <f>HLOOKUP(B11375,#REF!,1,0)</f>
        <v>#REF!</v>
      </c>
      <c r="M11375" s="33" t="str">
        <f t="shared" si="711"/>
        <v>P&amp;L</v>
      </c>
    </row>
    <row r="11376" spans="1:13">
      <c r="A11376" s="33" t="str">
        <f t="shared" si="708"/>
        <v>SPI - Revenue</v>
      </c>
      <c r="B11376" s="33" t="str">
        <f t="shared" si="709"/>
        <v>SPI</v>
      </c>
      <c r="C11376" s="33" t="str">
        <f t="shared" si="710"/>
        <v>41150-0000</v>
      </c>
      <c r="D11376" t="s">
        <v>12659</v>
      </c>
      <c r="E11376" t="s">
        <v>3709</v>
      </c>
      <c r="F11376" t="s">
        <v>230</v>
      </c>
      <c r="G11376" t="s">
        <v>3694</v>
      </c>
      <c r="H11376" t="s">
        <v>2871</v>
      </c>
      <c r="I11376" t="s">
        <v>3710</v>
      </c>
      <c r="J11376" s="70">
        <v>0</v>
      </c>
      <c r="K11376" s="71">
        <v>2300</v>
      </c>
      <c r="L11376" s="33" t="e">
        <f>HLOOKUP(B11376,#REF!,1,0)</f>
        <v>#REF!</v>
      </c>
      <c r="M11376" s="33" t="str">
        <f t="shared" si="711"/>
        <v>P&amp;L</v>
      </c>
    </row>
    <row r="11377" spans="1:13">
      <c r="A11377" s="33" t="str">
        <f t="shared" si="708"/>
        <v>SPI - Revenue</v>
      </c>
      <c r="B11377" s="33" t="str">
        <f t="shared" si="709"/>
        <v>SPI</v>
      </c>
      <c r="C11377" s="33" t="str">
        <f t="shared" si="710"/>
        <v>41160-0000</v>
      </c>
      <c r="D11377" t="s">
        <v>12660</v>
      </c>
      <c r="E11377" t="s">
        <v>3957</v>
      </c>
      <c r="F11377" t="s">
        <v>230</v>
      </c>
      <c r="G11377" t="s">
        <v>3694</v>
      </c>
      <c r="H11377" t="s">
        <v>2871</v>
      </c>
      <c r="I11377" t="s">
        <v>3701</v>
      </c>
      <c r="J11377" s="70">
        <v>0</v>
      </c>
      <c r="K11377" s="71">
        <v>-2353.92</v>
      </c>
      <c r="L11377" s="33" t="e">
        <f>HLOOKUP(B11377,#REF!,1,0)</f>
        <v>#REF!</v>
      </c>
      <c r="M11377" s="33" t="str">
        <f t="shared" si="711"/>
        <v>P&amp;L</v>
      </c>
    </row>
    <row r="11378" spans="1:13">
      <c r="A11378" s="33" t="str">
        <f t="shared" si="708"/>
        <v>SPI - Revenue</v>
      </c>
      <c r="B11378" s="33" t="str">
        <f t="shared" si="709"/>
        <v>SPI</v>
      </c>
      <c r="C11378" s="33" t="str">
        <f t="shared" si="710"/>
        <v>41999-0000</v>
      </c>
      <c r="D11378" t="s">
        <v>12661</v>
      </c>
      <c r="E11378" t="s">
        <v>3712</v>
      </c>
      <c r="F11378" t="s">
        <v>230</v>
      </c>
      <c r="G11378" t="s">
        <v>3713</v>
      </c>
      <c r="H11378" t="s">
        <v>2871</v>
      </c>
      <c r="I11378" t="s">
        <v>3714</v>
      </c>
      <c r="J11378" s="70">
        <v>0</v>
      </c>
      <c r="K11378" s="71">
        <v>33089.48</v>
      </c>
      <c r="L11378" s="33" t="e">
        <f>HLOOKUP(B11378,#REF!,1,0)</f>
        <v>#REF!</v>
      </c>
      <c r="M11378" s="33" t="str">
        <f t="shared" si="711"/>
        <v>P&amp;L</v>
      </c>
    </row>
    <row r="11379" spans="1:13">
      <c r="A11379" s="33" t="str">
        <f t="shared" si="708"/>
        <v>SPI - Revenue</v>
      </c>
      <c r="B11379" s="33" t="str">
        <f t="shared" si="709"/>
        <v>SPI</v>
      </c>
      <c r="C11379" s="33" t="str">
        <f t="shared" si="710"/>
        <v>47400-0000</v>
      </c>
      <c r="D11379" t="s">
        <v>12662</v>
      </c>
      <c r="E11379" t="s">
        <v>3716</v>
      </c>
      <c r="F11379" t="s">
        <v>230</v>
      </c>
      <c r="G11379" t="s">
        <v>3717</v>
      </c>
      <c r="H11379" t="s">
        <v>2871</v>
      </c>
      <c r="I11379" t="s">
        <v>3718</v>
      </c>
      <c r="J11379" s="70">
        <v>0</v>
      </c>
      <c r="K11379" s="71">
        <v>-33089.48</v>
      </c>
      <c r="L11379" s="33" t="e">
        <f>HLOOKUP(B11379,#REF!,1,0)</f>
        <v>#REF!</v>
      </c>
      <c r="M11379" s="33" t="str">
        <f t="shared" si="711"/>
        <v>P&amp;L</v>
      </c>
    </row>
    <row r="11380" spans="1:13">
      <c r="A11380" s="33" t="str">
        <f t="shared" si="708"/>
        <v>SPI - Revenue</v>
      </c>
      <c r="B11380" s="33" t="str">
        <f t="shared" si="709"/>
        <v>SPI</v>
      </c>
      <c r="C11380" s="33" t="str">
        <f t="shared" si="710"/>
        <v>47430-0000</v>
      </c>
      <c r="D11380" t="s">
        <v>12663</v>
      </c>
      <c r="E11380" t="s">
        <v>4053</v>
      </c>
      <c r="F11380" t="s">
        <v>230</v>
      </c>
      <c r="G11380" t="s">
        <v>3717</v>
      </c>
      <c r="H11380" t="s">
        <v>2871</v>
      </c>
      <c r="I11380" t="s">
        <v>4054</v>
      </c>
      <c r="J11380" s="70">
        <v>0</v>
      </c>
      <c r="K11380" s="71">
        <v>-715.11</v>
      </c>
      <c r="L11380" s="33" t="e">
        <f>HLOOKUP(B11380,#REF!,1,0)</f>
        <v>#REF!</v>
      </c>
      <c r="M11380" s="33" t="str">
        <f t="shared" si="711"/>
        <v>P&amp;L</v>
      </c>
    </row>
    <row r="11381" spans="1:13">
      <c r="A11381" s="33" t="str">
        <f t="shared" si="708"/>
        <v>SPI - Revenue</v>
      </c>
      <c r="B11381" s="33" t="str">
        <f t="shared" si="709"/>
        <v>SPI</v>
      </c>
      <c r="C11381" s="33" t="str">
        <f t="shared" si="710"/>
        <v>47440-0000</v>
      </c>
      <c r="D11381" t="s">
        <v>12664</v>
      </c>
      <c r="E11381" t="s">
        <v>3720</v>
      </c>
      <c r="F11381" t="s">
        <v>230</v>
      </c>
      <c r="G11381" t="s">
        <v>3717</v>
      </c>
      <c r="H11381" t="s">
        <v>2871</v>
      </c>
      <c r="I11381" t="s">
        <v>3721</v>
      </c>
      <c r="J11381" s="70">
        <v>0</v>
      </c>
      <c r="K11381" s="71">
        <v>0</v>
      </c>
      <c r="L11381" s="33" t="e">
        <f>HLOOKUP(B11381,#REF!,1,0)</f>
        <v>#REF!</v>
      </c>
      <c r="M11381" s="33" t="str">
        <f t="shared" si="711"/>
        <v>P&amp;L</v>
      </c>
    </row>
    <row r="11382" spans="1:13">
      <c r="A11382" s="33" t="str">
        <f t="shared" si="708"/>
        <v>SPI - Revenue</v>
      </c>
      <c r="B11382" s="33" t="str">
        <f t="shared" si="709"/>
        <v>SPI</v>
      </c>
      <c r="C11382" s="33" t="str">
        <f t="shared" si="710"/>
        <v>47450-0000</v>
      </c>
      <c r="D11382" t="s">
        <v>12665</v>
      </c>
      <c r="E11382" t="s">
        <v>3723</v>
      </c>
      <c r="F11382" t="s">
        <v>230</v>
      </c>
      <c r="G11382" t="s">
        <v>3717</v>
      </c>
      <c r="H11382" s="64" t="s">
        <v>2871</v>
      </c>
      <c r="I11382" t="s">
        <v>3724</v>
      </c>
      <c r="J11382" s="70">
        <v>0</v>
      </c>
      <c r="K11382" s="71">
        <v>0</v>
      </c>
      <c r="L11382" s="33" t="e">
        <f>HLOOKUP(B11382,#REF!,1,0)</f>
        <v>#REF!</v>
      </c>
      <c r="M11382" s="33" t="str">
        <f t="shared" si="711"/>
        <v>P&amp;L</v>
      </c>
    </row>
    <row r="11383" spans="1:13">
      <c r="A11383" s="33" t="str">
        <f t="shared" si="708"/>
        <v>SPI - Revenue</v>
      </c>
      <c r="B11383" s="33" t="str">
        <f t="shared" si="709"/>
        <v>SPI</v>
      </c>
      <c r="C11383" s="33" t="str">
        <f t="shared" si="710"/>
        <v>47460-0000</v>
      </c>
      <c r="D11383" t="s">
        <v>12666</v>
      </c>
      <c r="E11383" t="s">
        <v>3726</v>
      </c>
      <c r="F11383" t="s">
        <v>230</v>
      </c>
      <c r="G11383" t="s">
        <v>3717</v>
      </c>
      <c r="H11383" t="s">
        <v>2871</v>
      </c>
      <c r="I11383" t="s">
        <v>3727</v>
      </c>
      <c r="J11383" s="70">
        <v>0</v>
      </c>
      <c r="K11383" s="71">
        <v>0</v>
      </c>
      <c r="L11383" s="33" t="e">
        <f>HLOOKUP(B11383,#REF!,1,0)</f>
        <v>#REF!</v>
      </c>
      <c r="M11383" s="33" t="str">
        <f t="shared" si="711"/>
        <v>P&amp;L</v>
      </c>
    </row>
    <row r="11384" spans="1:13">
      <c r="A11384" s="33" t="str">
        <f t="shared" si="708"/>
        <v>SPI - Revenue</v>
      </c>
      <c r="B11384" s="33" t="str">
        <f t="shared" si="709"/>
        <v>SPI</v>
      </c>
      <c r="C11384" s="33" t="str">
        <f t="shared" si="710"/>
        <v>47480-0000</v>
      </c>
      <c r="D11384" t="s">
        <v>12667</v>
      </c>
      <c r="E11384" t="s">
        <v>3729</v>
      </c>
      <c r="F11384" t="s">
        <v>230</v>
      </c>
      <c r="G11384" t="s">
        <v>3717</v>
      </c>
      <c r="H11384" t="s">
        <v>2871</v>
      </c>
      <c r="I11384" t="s">
        <v>3721</v>
      </c>
      <c r="J11384" s="70">
        <v>0</v>
      </c>
      <c r="K11384" s="71">
        <v>-255</v>
      </c>
      <c r="L11384" s="33" t="e">
        <f>HLOOKUP(B11384,#REF!,1,0)</f>
        <v>#REF!</v>
      </c>
      <c r="M11384" s="33" t="str">
        <f t="shared" si="711"/>
        <v>P&amp;L</v>
      </c>
    </row>
    <row r="11385" spans="1:13">
      <c r="A11385" s="33" t="str">
        <f t="shared" si="708"/>
        <v>SPI - CGS</v>
      </c>
      <c r="B11385" s="33" t="str">
        <f t="shared" si="709"/>
        <v>SPI</v>
      </c>
      <c r="C11385" s="33" t="str">
        <f t="shared" si="710"/>
        <v>51001-0000</v>
      </c>
      <c r="D11385" t="s">
        <v>12668</v>
      </c>
      <c r="E11385" t="s">
        <v>4536</v>
      </c>
      <c r="F11385" t="s">
        <v>230</v>
      </c>
      <c r="G11385" t="s">
        <v>3740</v>
      </c>
      <c r="H11385" t="s">
        <v>1875</v>
      </c>
      <c r="I11385" t="s">
        <v>4537</v>
      </c>
      <c r="J11385" s="70">
        <v>0</v>
      </c>
      <c r="K11385" s="71">
        <v>111.81</v>
      </c>
      <c r="L11385" s="33" t="e">
        <f>HLOOKUP(B11385,#REF!,1,0)</f>
        <v>#REF!</v>
      </c>
      <c r="M11385" s="33" t="str">
        <f t="shared" si="711"/>
        <v>P&amp;L</v>
      </c>
    </row>
    <row r="11386" spans="1:13">
      <c r="A11386" s="33" t="str">
        <f t="shared" si="708"/>
        <v>SPI - CGS</v>
      </c>
      <c r="B11386" s="33" t="str">
        <f t="shared" si="709"/>
        <v>SPI</v>
      </c>
      <c r="C11386" s="33" t="str">
        <f t="shared" si="710"/>
        <v>51008-0000</v>
      </c>
      <c r="D11386" t="s">
        <v>12669</v>
      </c>
      <c r="E11386" t="s">
        <v>3743</v>
      </c>
      <c r="F11386" t="s">
        <v>230</v>
      </c>
      <c r="G11386" t="s">
        <v>3740</v>
      </c>
      <c r="H11386" t="s">
        <v>1875</v>
      </c>
      <c r="I11386" t="s">
        <v>3744</v>
      </c>
      <c r="J11386" s="70">
        <v>0</v>
      </c>
      <c r="K11386" s="71">
        <v>33.73</v>
      </c>
      <c r="L11386" s="33" t="e">
        <f>HLOOKUP(B11386,#REF!,1,0)</f>
        <v>#REF!</v>
      </c>
      <c r="M11386" s="33" t="str">
        <f t="shared" si="711"/>
        <v>P&amp;L</v>
      </c>
    </row>
    <row r="11387" spans="1:13">
      <c r="A11387" s="33" t="str">
        <f t="shared" si="708"/>
        <v>SPI - CGS</v>
      </c>
      <c r="B11387" s="33" t="str">
        <f t="shared" si="709"/>
        <v>SPI</v>
      </c>
      <c r="C11387" s="33" t="str">
        <f t="shared" si="710"/>
        <v>51009-0000</v>
      </c>
      <c r="D11387" t="s">
        <v>12670</v>
      </c>
      <c r="E11387" t="s">
        <v>3746</v>
      </c>
      <c r="F11387" t="s">
        <v>230</v>
      </c>
      <c r="G11387" t="s">
        <v>3740</v>
      </c>
      <c r="H11387" t="s">
        <v>1875</v>
      </c>
      <c r="I11387" t="s">
        <v>3747</v>
      </c>
      <c r="J11387" s="70">
        <v>0</v>
      </c>
      <c r="K11387" s="71">
        <v>150</v>
      </c>
      <c r="L11387" s="33" t="e">
        <f>HLOOKUP(B11387,#REF!,1,0)</f>
        <v>#REF!</v>
      </c>
      <c r="M11387" s="33" t="str">
        <f t="shared" si="711"/>
        <v>P&amp;L</v>
      </c>
    </row>
    <row r="11388" spans="1:13">
      <c r="A11388" s="33" t="str">
        <f t="shared" si="708"/>
        <v>SPI - CGS</v>
      </c>
      <c r="B11388" s="33" t="str">
        <f t="shared" si="709"/>
        <v>SPI</v>
      </c>
      <c r="C11388" s="33" t="str">
        <f t="shared" si="710"/>
        <v>51012-0000</v>
      </c>
      <c r="D11388" t="s">
        <v>12671</v>
      </c>
      <c r="E11388" t="s">
        <v>3752</v>
      </c>
      <c r="F11388" t="s">
        <v>230</v>
      </c>
      <c r="G11388" t="s">
        <v>3740</v>
      </c>
      <c r="H11388" t="s">
        <v>1875</v>
      </c>
      <c r="I11388" t="s">
        <v>3753</v>
      </c>
      <c r="J11388" s="70">
        <v>0</v>
      </c>
      <c r="K11388" s="71">
        <v>255</v>
      </c>
      <c r="L11388" s="33" t="e">
        <f>HLOOKUP(B11388,#REF!,1,0)</f>
        <v>#REF!</v>
      </c>
      <c r="M11388" s="33" t="str">
        <f t="shared" si="711"/>
        <v>P&amp;L</v>
      </c>
    </row>
    <row r="11389" spans="1:13">
      <c r="A11389" s="33" t="str">
        <f t="shared" si="708"/>
        <v>SPI - CGS</v>
      </c>
      <c r="B11389" s="33" t="str">
        <f t="shared" si="709"/>
        <v>SPI</v>
      </c>
      <c r="C11389" s="33" t="str">
        <f t="shared" si="710"/>
        <v>51015-0000</v>
      </c>
      <c r="D11389" t="s">
        <v>12672</v>
      </c>
      <c r="E11389" t="s">
        <v>3755</v>
      </c>
      <c r="F11389" t="s">
        <v>230</v>
      </c>
      <c r="G11389" t="s">
        <v>3740</v>
      </c>
      <c r="H11389" t="s">
        <v>1875</v>
      </c>
      <c r="I11389" t="s">
        <v>3756</v>
      </c>
      <c r="J11389" s="70">
        <v>0</v>
      </c>
      <c r="K11389" s="71">
        <v>30</v>
      </c>
      <c r="L11389" s="33" t="e">
        <f>HLOOKUP(B11389,#REF!,1,0)</f>
        <v>#REF!</v>
      </c>
      <c r="M11389" s="33" t="str">
        <f t="shared" si="711"/>
        <v>P&amp;L</v>
      </c>
    </row>
    <row r="11390" spans="1:13">
      <c r="A11390" s="33" t="str">
        <f t="shared" si="708"/>
        <v>SPI - CGS</v>
      </c>
      <c r="B11390" s="33" t="str">
        <f t="shared" si="709"/>
        <v>SPI</v>
      </c>
      <c r="C11390" s="33" t="str">
        <f t="shared" si="710"/>
        <v>51017-0000</v>
      </c>
      <c r="D11390" t="s">
        <v>12673</v>
      </c>
      <c r="E11390" t="s">
        <v>3758</v>
      </c>
      <c r="F11390" t="s">
        <v>230</v>
      </c>
      <c r="G11390" t="s">
        <v>3160</v>
      </c>
      <c r="H11390" t="s">
        <v>1875</v>
      </c>
      <c r="I11390" t="s">
        <v>3759</v>
      </c>
      <c r="J11390" s="70">
        <v>0</v>
      </c>
      <c r="K11390" s="71">
        <v>5.37</v>
      </c>
      <c r="L11390" s="33" t="e">
        <f>HLOOKUP(B11390,#REF!,1,0)</f>
        <v>#REF!</v>
      </c>
      <c r="M11390" s="33" t="str">
        <f t="shared" si="711"/>
        <v>P&amp;L</v>
      </c>
    </row>
    <row r="11391" spans="1:13">
      <c r="A11391" s="33" t="str">
        <f t="shared" si="708"/>
        <v>SPI - CGS</v>
      </c>
      <c r="B11391" s="33" t="str">
        <f t="shared" si="709"/>
        <v>SPI</v>
      </c>
      <c r="C11391" s="33" t="str">
        <f t="shared" si="710"/>
        <v>51020-0000</v>
      </c>
      <c r="D11391" t="s">
        <v>12674</v>
      </c>
      <c r="E11391" t="s">
        <v>3763</v>
      </c>
      <c r="F11391" t="s">
        <v>230</v>
      </c>
      <c r="G11391" t="s">
        <v>3740</v>
      </c>
      <c r="H11391" t="s">
        <v>1875</v>
      </c>
      <c r="I11391" t="s">
        <v>3345</v>
      </c>
      <c r="J11391" s="70">
        <v>0</v>
      </c>
      <c r="K11391" s="71">
        <v>222.41</v>
      </c>
      <c r="L11391" s="33" t="e">
        <f>HLOOKUP(B11391,#REF!,1,0)</f>
        <v>#REF!</v>
      </c>
      <c r="M11391" s="33" t="str">
        <f t="shared" si="711"/>
        <v>P&amp;L</v>
      </c>
    </row>
    <row r="11392" spans="1:13">
      <c r="A11392" s="33" t="str">
        <f t="shared" si="708"/>
        <v>SPI - CGS</v>
      </c>
      <c r="B11392" s="33" t="str">
        <f t="shared" si="709"/>
        <v>SPI</v>
      </c>
      <c r="C11392" s="33" t="str">
        <f t="shared" si="710"/>
        <v>51025-0000</v>
      </c>
      <c r="D11392" t="s">
        <v>12675</v>
      </c>
      <c r="E11392" t="s">
        <v>3988</v>
      </c>
      <c r="F11392" t="s">
        <v>230</v>
      </c>
      <c r="G11392" t="s">
        <v>3740</v>
      </c>
      <c r="H11392" t="s">
        <v>1875</v>
      </c>
      <c r="I11392" t="s">
        <v>3989</v>
      </c>
      <c r="J11392" s="70">
        <v>0</v>
      </c>
      <c r="K11392" s="71">
        <v>321.26</v>
      </c>
      <c r="L11392" s="33" t="e">
        <f>HLOOKUP(B11392,#REF!,1,0)</f>
        <v>#REF!</v>
      </c>
      <c r="M11392" s="33" t="str">
        <f t="shared" si="711"/>
        <v>P&amp;L</v>
      </c>
    </row>
    <row r="11393" spans="1:13">
      <c r="A11393" s="33" t="str">
        <f t="shared" si="708"/>
        <v>SPI - CGS</v>
      </c>
      <c r="B11393" s="33" t="str">
        <f t="shared" si="709"/>
        <v>SPI</v>
      </c>
      <c r="C11393" s="33" t="str">
        <f t="shared" si="710"/>
        <v>52006-0000</v>
      </c>
      <c r="D11393" t="s">
        <v>12676</v>
      </c>
      <c r="E11393" t="s">
        <v>3778</v>
      </c>
      <c r="F11393" t="s">
        <v>230</v>
      </c>
      <c r="G11393" t="s">
        <v>3769</v>
      </c>
      <c r="H11393" t="s">
        <v>1875</v>
      </c>
      <c r="I11393" t="s">
        <v>3779</v>
      </c>
      <c r="J11393" s="70">
        <v>0</v>
      </c>
      <c r="K11393" s="71">
        <v>45.47</v>
      </c>
      <c r="L11393" s="33" t="e">
        <f>HLOOKUP(B11393,#REF!,1,0)</f>
        <v>#REF!</v>
      </c>
      <c r="M11393" s="33" t="str">
        <f t="shared" si="711"/>
        <v>P&amp;L</v>
      </c>
    </row>
    <row r="11394" spans="1:13">
      <c r="A11394" s="33" t="str">
        <f t="shared" ref="A11394:A11457" si="712">B11394&amp;" - "&amp;TRIM(H11394)</f>
        <v>SPI - CGS</v>
      </c>
      <c r="B11394" s="33" t="str">
        <f t="shared" ref="B11394:B11457" si="713">LEFT(D11394,3)</f>
        <v>SPI</v>
      </c>
      <c r="C11394" s="33" t="str">
        <f t="shared" ref="C11394:C11457" si="714">RIGHT(D11394,10)</f>
        <v>53001-0000</v>
      </c>
      <c r="D11394" t="s">
        <v>12677</v>
      </c>
      <c r="E11394" t="s">
        <v>3781</v>
      </c>
      <c r="F11394" t="s">
        <v>230</v>
      </c>
      <c r="G11394" t="s">
        <v>3160</v>
      </c>
      <c r="H11394" t="s">
        <v>1875</v>
      </c>
      <c r="I11394" t="s">
        <v>3782</v>
      </c>
      <c r="J11394" s="70">
        <v>0</v>
      </c>
      <c r="K11394" s="71">
        <v>47.54</v>
      </c>
      <c r="L11394" s="33" t="e">
        <f>HLOOKUP(B11394,#REF!,1,0)</f>
        <v>#REF!</v>
      </c>
      <c r="M11394" s="33" t="str">
        <f t="shared" ref="M11394:M11457" si="715">IF(VALUE(LEFT(C11394,5))&gt;40000,"P&amp;L","BS")</f>
        <v>P&amp;L</v>
      </c>
    </row>
    <row r="11395" spans="1:13">
      <c r="A11395" s="33" t="str">
        <f t="shared" si="712"/>
        <v>SPI - CGS</v>
      </c>
      <c r="B11395" s="33" t="str">
        <f t="shared" si="713"/>
        <v>SPI</v>
      </c>
      <c r="C11395" s="33" t="str">
        <f t="shared" si="714"/>
        <v>53002-0000</v>
      </c>
      <c r="D11395" t="s">
        <v>12678</v>
      </c>
      <c r="E11395" t="s">
        <v>3784</v>
      </c>
      <c r="F11395" t="s">
        <v>230</v>
      </c>
      <c r="G11395" t="s">
        <v>3160</v>
      </c>
      <c r="H11395" t="s">
        <v>1875</v>
      </c>
      <c r="I11395" t="s">
        <v>3785</v>
      </c>
      <c r="J11395" s="70">
        <v>0</v>
      </c>
      <c r="K11395" s="71">
        <v>239.2</v>
      </c>
      <c r="L11395" s="33" t="e">
        <f>HLOOKUP(B11395,#REF!,1,0)</f>
        <v>#REF!</v>
      </c>
      <c r="M11395" s="33" t="str">
        <f t="shared" si="715"/>
        <v>P&amp;L</v>
      </c>
    </row>
    <row r="11396" spans="1:13">
      <c r="A11396" s="33" t="str">
        <f t="shared" si="712"/>
        <v>SPI - CGS</v>
      </c>
      <c r="B11396" s="33" t="str">
        <f t="shared" si="713"/>
        <v>SPI</v>
      </c>
      <c r="C11396" s="33" t="str">
        <f t="shared" si="714"/>
        <v>53003-0000</v>
      </c>
      <c r="D11396" t="s">
        <v>12679</v>
      </c>
      <c r="E11396" t="s">
        <v>3787</v>
      </c>
      <c r="F11396" t="s">
        <v>230</v>
      </c>
      <c r="G11396" t="s">
        <v>3160</v>
      </c>
      <c r="H11396" s="64" t="s">
        <v>1875</v>
      </c>
      <c r="I11396" t="s">
        <v>3788</v>
      </c>
      <c r="J11396" s="70">
        <v>0</v>
      </c>
      <c r="K11396" s="71">
        <v>676.73</v>
      </c>
      <c r="L11396" s="33" t="e">
        <f>HLOOKUP(B11396,#REF!,1,0)</f>
        <v>#REF!</v>
      </c>
      <c r="M11396" s="33" t="str">
        <f t="shared" si="715"/>
        <v>P&amp;L</v>
      </c>
    </row>
    <row r="11397" spans="1:13">
      <c r="A11397" s="33" t="str">
        <f t="shared" si="712"/>
        <v>SPI - CGS</v>
      </c>
      <c r="B11397" s="33" t="str">
        <f t="shared" si="713"/>
        <v>SPI</v>
      </c>
      <c r="C11397" s="33" t="str">
        <f t="shared" si="714"/>
        <v>53004-0000</v>
      </c>
      <c r="D11397" t="s">
        <v>12680</v>
      </c>
      <c r="E11397" t="s">
        <v>3790</v>
      </c>
      <c r="F11397" t="s">
        <v>230</v>
      </c>
      <c r="G11397" t="s">
        <v>3160</v>
      </c>
      <c r="H11397" t="s">
        <v>1875</v>
      </c>
      <c r="I11397" t="s">
        <v>3791</v>
      </c>
      <c r="J11397" s="70">
        <v>0</v>
      </c>
      <c r="K11397" s="71">
        <v>675.62</v>
      </c>
      <c r="L11397" s="33" t="e">
        <f>HLOOKUP(B11397,#REF!,1,0)</f>
        <v>#REF!</v>
      </c>
      <c r="M11397" s="33" t="str">
        <f t="shared" si="715"/>
        <v>P&amp;L</v>
      </c>
    </row>
    <row r="11398" spans="1:13">
      <c r="A11398" s="33" t="str">
        <f t="shared" si="712"/>
        <v>SPI - CGS</v>
      </c>
      <c r="B11398" s="33" t="str">
        <f t="shared" si="713"/>
        <v>SPI</v>
      </c>
      <c r="C11398" s="33" t="str">
        <f t="shared" si="714"/>
        <v>53005-0000</v>
      </c>
      <c r="D11398" t="s">
        <v>12681</v>
      </c>
      <c r="E11398" t="s">
        <v>3793</v>
      </c>
      <c r="F11398" t="s">
        <v>230</v>
      </c>
      <c r="G11398" t="s">
        <v>3160</v>
      </c>
      <c r="H11398" t="s">
        <v>1875</v>
      </c>
      <c r="I11398" t="s">
        <v>3794</v>
      </c>
      <c r="J11398" s="70">
        <v>0</v>
      </c>
      <c r="K11398" s="71">
        <v>2666.67</v>
      </c>
      <c r="L11398" s="33" t="e">
        <f>HLOOKUP(B11398,#REF!,1,0)</f>
        <v>#REF!</v>
      </c>
      <c r="M11398" s="33" t="str">
        <f t="shared" si="715"/>
        <v>P&amp;L</v>
      </c>
    </row>
    <row r="11399" spans="1:13">
      <c r="A11399" s="33" t="str">
        <f t="shared" si="712"/>
        <v>SPI - CGS</v>
      </c>
      <c r="B11399" s="33" t="str">
        <f t="shared" si="713"/>
        <v>SPI</v>
      </c>
      <c r="C11399" s="33" t="str">
        <f t="shared" si="714"/>
        <v>53006-0000</v>
      </c>
      <c r="D11399" t="s">
        <v>12682</v>
      </c>
      <c r="E11399" t="s">
        <v>3796</v>
      </c>
      <c r="F11399" t="s">
        <v>230</v>
      </c>
      <c r="G11399" t="s">
        <v>3160</v>
      </c>
      <c r="H11399" t="s">
        <v>1875</v>
      </c>
      <c r="I11399" t="s">
        <v>3797</v>
      </c>
      <c r="J11399" s="70">
        <v>0</v>
      </c>
      <c r="K11399" s="71">
        <v>3622.72</v>
      </c>
      <c r="L11399" s="33" t="e">
        <f>HLOOKUP(B11399,#REF!,1,0)</f>
        <v>#REF!</v>
      </c>
      <c r="M11399" s="33" t="str">
        <f t="shared" si="715"/>
        <v>P&amp;L</v>
      </c>
    </row>
    <row r="11400" spans="1:13">
      <c r="A11400" s="33" t="str">
        <f t="shared" si="712"/>
        <v>SPI - CGS</v>
      </c>
      <c r="B11400" s="33" t="str">
        <f t="shared" si="713"/>
        <v>SPI</v>
      </c>
      <c r="C11400" s="33" t="str">
        <f t="shared" si="714"/>
        <v>54001-0000</v>
      </c>
      <c r="D11400" t="s">
        <v>12683</v>
      </c>
      <c r="E11400" t="s">
        <v>4008</v>
      </c>
      <c r="F11400" t="s">
        <v>230</v>
      </c>
      <c r="G11400" t="s">
        <v>3800</v>
      </c>
      <c r="H11400" t="s">
        <v>1875</v>
      </c>
      <c r="I11400" t="s">
        <v>4009</v>
      </c>
      <c r="J11400" s="70">
        <v>0</v>
      </c>
      <c r="K11400" s="71">
        <v>0</v>
      </c>
      <c r="L11400" s="33" t="e">
        <f>HLOOKUP(B11400,#REF!,1,0)</f>
        <v>#REF!</v>
      </c>
      <c r="M11400" s="33" t="str">
        <f t="shared" si="715"/>
        <v>P&amp;L</v>
      </c>
    </row>
    <row r="11401" spans="1:13">
      <c r="A11401" s="33" t="str">
        <f t="shared" si="712"/>
        <v>SPI - CGS</v>
      </c>
      <c r="B11401" s="33" t="str">
        <f t="shared" si="713"/>
        <v>SPI</v>
      </c>
      <c r="C11401" s="33" t="str">
        <f t="shared" si="714"/>
        <v>54002-0000</v>
      </c>
      <c r="D11401" t="s">
        <v>12684</v>
      </c>
      <c r="E11401" t="s">
        <v>3799</v>
      </c>
      <c r="F11401" t="s">
        <v>230</v>
      </c>
      <c r="G11401" t="s">
        <v>3800</v>
      </c>
      <c r="H11401" t="s">
        <v>1875</v>
      </c>
      <c r="I11401" t="s">
        <v>3801</v>
      </c>
      <c r="J11401" s="70">
        <v>0</v>
      </c>
      <c r="K11401" s="71">
        <v>500</v>
      </c>
      <c r="L11401" s="33" t="e">
        <f>HLOOKUP(B11401,#REF!,1,0)</f>
        <v>#REF!</v>
      </c>
      <c r="M11401" s="33" t="str">
        <f t="shared" si="715"/>
        <v>P&amp;L</v>
      </c>
    </row>
    <row r="11402" spans="1:13">
      <c r="A11402" s="33" t="str">
        <f t="shared" si="712"/>
        <v>SPI - CGS</v>
      </c>
      <c r="B11402" s="33" t="str">
        <f t="shared" si="713"/>
        <v>SPI</v>
      </c>
      <c r="C11402" s="33" t="str">
        <f t="shared" si="714"/>
        <v>54003-0000</v>
      </c>
      <c r="D11402" t="s">
        <v>12685</v>
      </c>
      <c r="E11402" t="s">
        <v>3803</v>
      </c>
      <c r="F11402" t="s">
        <v>230</v>
      </c>
      <c r="G11402" t="s">
        <v>3800</v>
      </c>
      <c r="H11402" t="s">
        <v>1875</v>
      </c>
      <c r="I11402" t="s">
        <v>3804</v>
      </c>
      <c r="J11402" s="70">
        <v>0</v>
      </c>
      <c r="K11402" s="71">
        <v>0</v>
      </c>
      <c r="L11402" s="33" t="e">
        <f>HLOOKUP(B11402,#REF!,1,0)</f>
        <v>#REF!</v>
      </c>
      <c r="M11402" s="33" t="str">
        <f t="shared" si="715"/>
        <v>P&amp;L</v>
      </c>
    </row>
    <row r="11403" spans="1:13">
      <c r="A11403" s="33" t="str">
        <f t="shared" si="712"/>
        <v>SPI - CGS</v>
      </c>
      <c r="B11403" s="33" t="str">
        <f t="shared" si="713"/>
        <v>SPI</v>
      </c>
      <c r="C11403" s="33" t="str">
        <f t="shared" si="714"/>
        <v>54004-0000</v>
      </c>
      <c r="D11403" t="s">
        <v>12686</v>
      </c>
      <c r="E11403" t="s">
        <v>3806</v>
      </c>
      <c r="F11403" t="s">
        <v>230</v>
      </c>
      <c r="G11403" t="s">
        <v>3800</v>
      </c>
      <c r="H11403" t="s">
        <v>1875</v>
      </c>
      <c r="I11403" t="s">
        <v>3807</v>
      </c>
      <c r="J11403" s="70">
        <v>0</v>
      </c>
      <c r="K11403" s="71">
        <v>914.29</v>
      </c>
      <c r="L11403" s="33" t="e">
        <f>HLOOKUP(B11403,#REF!,1,0)</f>
        <v>#REF!</v>
      </c>
      <c r="M11403" s="33" t="str">
        <f t="shared" si="715"/>
        <v>P&amp;L</v>
      </c>
    </row>
    <row r="11404" spans="1:13">
      <c r="A11404" s="33" t="str">
        <f t="shared" si="712"/>
        <v>SPI - CGS</v>
      </c>
      <c r="B11404" s="33" t="str">
        <f t="shared" si="713"/>
        <v>SPI</v>
      </c>
      <c r="C11404" s="33" t="str">
        <f t="shared" si="714"/>
        <v>54005-0000</v>
      </c>
      <c r="D11404" t="s">
        <v>12687</v>
      </c>
      <c r="E11404" t="s">
        <v>3809</v>
      </c>
      <c r="F11404" t="s">
        <v>230</v>
      </c>
      <c r="G11404" t="s">
        <v>3800</v>
      </c>
      <c r="H11404" t="s">
        <v>1875</v>
      </c>
      <c r="I11404" t="s">
        <v>3810</v>
      </c>
      <c r="J11404" s="70">
        <v>0</v>
      </c>
      <c r="K11404" s="71">
        <v>18.25</v>
      </c>
      <c r="L11404" s="33" t="e">
        <f>HLOOKUP(B11404,#REF!,1,0)</f>
        <v>#REF!</v>
      </c>
      <c r="M11404" s="33" t="str">
        <f t="shared" si="715"/>
        <v>P&amp;L</v>
      </c>
    </row>
    <row r="11405" spans="1:13">
      <c r="A11405" s="33" t="str">
        <f t="shared" si="712"/>
        <v>SPI - CGS</v>
      </c>
      <c r="B11405" s="33" t="str">
        <f t="shared" si="713"/>
        <v>SPI</v>
      </c>
      <c r="C11405" s="33" t="str">
        <f t="shared" si="714"/>
        <v>54006-0000</v>
      </c>
      <c r="D11405" t="s">
        <v>12688</v>
      </c>
      <c r="E11405" t="s">
        <v>3812</v>
      </c>
      <c r="F11405" t="s">
        <v>230</v>
      </c>
      <c r="G11405" t="s">
        <v>3800</v>
      </c>
      <c r="H11405" t="s">
        <v>1875</v>
      </c>
      <c r="I11405" t="s">
        <v>3003</v>
      </c>
      <c r="J11405" s="70">
        <v>0</v>
      </c>
      <c r="K11405" s="71">
        <v>196.19</v>
      </c>
      <c r="L11405" s="33" t="e">
        <f>HLOOKUP(B11405,#REF!,1,0)</f>
        <v>#REF!</v>
      </c>
      <c r="M11405" s="33" t="str">
        <f t="shared" si="715"/>
        <v>P&amp;L</v>
      </c>
    </row>
    <row r="11406" spans="1:13">
      <c r="A11406" s="33" t="str">
        <f t="shared" si="712"/>
        <v>SPI - CGS</v>
      </c>
      <c r="B11406" s="33" t="str">
        <f t="shared" si="713"/>
        <v>SPI</v>
      </c>
      <c r="C11406" s="33" t="str">
        <f t="shared" si="714"/>
        <v>54007-0000</v>
      </c>
      <c r="D11406" t="s">
        <v>12689</v>
      </c>
      <c r="E11406" t="s">
        <v>4182</v>
      </c>
      <c r="F11406" t="s">
        <v>230</v>
      </c>
      <c r="G11406" t="s">
        <v>3800</v>
      </c>
      <c r="H11406" t="s">
        <v>1875</v>
      </c>
      <c r="I11406" t="s">
        <v>3815</v>
      </c>
      <c r="J11406" s="70">
        <v>0</v>
      </c>
      <c r="K11406" s="71">
        <v>0</v>
      </c>
      <c r="L11406" s="33" t="e">
        <f>HLOOKUP(B11406,#REF!,1,0)</f>
        <v>#REF!</v>
      </c>
      <c r="M11406" s="33" t="str">
        <f t="shared" si="715"/>
        <v>P&amp;L</v>
      </c>
    </row>
    <row r="11407" spans="1:13">
      <c r="A11407" s="33" t="str">
        <f t="shared" si="712"/>
        <v>SPI - CGS</v>
      </c>
      <c r="B11407" s="33" t="str">
        <f t="shared" si="713"/>
        <v>SPI</v>
      </c>
      <c r="C11407" s="33" t="str">
        <f t="shared" si="714"/>
        <v>54008-0000</v>
      </c>
      <c r="D11407" t="s">
        <v>12690</v>
      </c>
      <c r="E11407" t="s">
        <v>4017</v>
      </c>
      <c r="F11407" t="s">
        <v>230</v>
      </c>
      <c r="G11407" t="s">
        <v>3800</v>
      </c>
      <c r="H11407" t="s">
        <v>1875</v>
      </c>
      <c r="I11407" t="s">
        <v>4018</v>
      </c>
      <c r="J11407" s="70">
        <v>0</v>
      </c>
      <c r="K11407" s="71">
        <v>0</v>
      </c>
      <c r="L11407" s="33" t="e">
        <f>HLOOKUP(B11407,#REF!,1,0)</f>
        <v>#REF!</v>
      </c>
      <c r="M11407" s="33" t="str">
        <f t="shared" si="715"/>
        <v>P&amp;L</v>
      </c>
    </row>
    <row r="11408" spans="1:13">
      <c r="A11408" s="33" t="str">
        <f t="shared" si="712"/>
        <v>SPI - PM Expenses</v>
      </c>
      <c r="B11408" s="33" t="str">
        <f t="shared" si="713"/>
        <v>SPI</v>
      </c>
      <c r="C11408" s="33" t="str">
        <f t="shared" si="714"/>
        <v>55501-0000</v>
      </c>
      <c r="D11408" t="s">
        <v>12691</v>
      </c>
      <c r="E11408" t="s">
        <v>3817</v>
      </c>
      <c r="F11408" t="s">
        <v>230</v>
      </c>
      <c r="G11408" t="s">
        <v>3818</v>
      </c>
      <c r="H11408" t="s">
        <v>3819</v>
      </c>
      <c r="I11408" t="s">
        <v>3820</v>
      </c>
      <c r="J11408" s="70">
        <v>0</v>
      </c>
      <c r="K11408" s="71">
        <v>6.73</v>
      </c>
      <c r="L11408" s="33" t="e">
        <f>HLOOKUP(B11408,#REF!,1,0)</f>
        <v>#REF!</v>
      </c>
      <c r="M11408" s="33" t="str">
        <f t="shared" si="715"/>
        <v>P&amp;L</v>
      </c>
    </row>
    <row r="11409" spans="1:13">
      <c r="A11409" s="33" t="str">
        <f t="shared" si="712"/>
        <v>SPI - PM Expenses</v>
      </c>
      <c r="B11409" s="33" t="str">
        <f t="shared" si="713"/>
        <v>SPI</v>
      </c>
      <c r="C11409" s="33" t="str">
        <f t="shared" si="714"/>
        <v>55503-0000</v>
      </c>
      <c r="D11409" t="s">
        <v>12692</v>
      </c>
      <c r="E11409" t="s">
        <v>3825</v>
      </c>
      <c r="F11409" t="s">
        <v>230</v>
      </c>
      <c r="G11409" t="s">
        <v>3818</v>
      </c>
      <c r="H11409" t="s">
        <v>3819</v>
      </c>
      <c r="I11409" t="s">
        <v>3826</v>
      </c>
      <c r="J11409" s="70">
        <v>0</v>
      </c>
      <c r="K11409" s="71">
        <v>821.76</v>
      </c>
      <c r="L11409" s="33" t="e">
        <f>HLOOKUP(B11409,#REF!,1,0)</f>
        <v>#REF!</v>
      </c>
      <c r="M11409" s="33" t="str">
        <f t="shared" si="715"/>
        <v>P&amp;L</v>
      </c>
    </row>
    <row r="11410" spans="1:13">
      <c r="A11410" s="33" t="str">
        <f t="shared" si="712"/>
        <v>SPI - PM Expenses</v>
      </c>
      <c r="B11410" s="33" t="str">
        <f t="shared" si="713"/>
        <v>SPI</v>
      </c>
      <c r="C11410" s="33" t="str">
        <f t="shared" si="714"/>
        <v>55505-0000</v>
      </c>
      <c r="D11410" t="s">
        <v>12693</v>
      </c>
      <c r="E11410" t="s">
        <v>3828</v>
      </c>
      <c r="F11410" t="s">
        <v>230</v>
      </c>
      <c r="G11410" t="s">
        <v>3818</v>
      </c>
      <c r="H11410" t="s">
        <v>3819</v>
      </c>
      <c r="I11410" t="s">
        <v>3829</v>
      </c>
      <c r="J11410" s="70">
        <v>0</v>
      </c>
      <c r="K11410" s="71">
        <v>365</v>
      </c>
      <c r="L11410" s="33" t="e">
        <f>HLOOKUP(B11410,#REF!,1,0)</f>
        <v>#REF!</v>
      </c>
      <c r="M11410" s="33" t="str">
        <f t="shared" si="715"/>
        <v>P&amp;L</v>
      </c>
    </row>
    <row r="11411" spans="1:13">
      <c r="A11411" s="33" t="str">
        <f t="shared" si="712"/>
        <v>SPI - PM Expenses</v>
      </c>
      <c r="B11411" s="33" t="str">
        <f t="shared" si="713"/>
        <v>SPI</v>
      </c>
      <c r="C11411" s="33" t="str">
        <f t="shared" si="714"/>
        <v>55506-0000</v>
      </c>
      <c r="D11411" t="s">
        <v>12694</v>
      </c>
      <c r="E11411" t="s">
        <v>3831</v>
      </c>
      <c r="F11411" t="s">
        <v>230</v>
      </c>
      <c r="G11411" t="s">
        <v>3818</v>
      </c>
      <c r="H11411" t="s">
        <v>3819</v>
      </c>
      <c r="I11411" t="s">
        <v>3832</v>
      </c>
      <c r="J11411" s="70">
        <v>0</v>
      </c>
      <c r="K11411" s="71">
        <v>1060.63</v>
      </c>
      <c r="L11411" s="33" t="e">
        <f>HLOOKUP(B11411,#REF!,1,0)</f>
        <v>#REF!</v>
      </c>
      <c r="M11411" s="33" t="str">
        <f t="shared" si="715"/>
        <v>P&amp;L</v>
      </c>
    </row>
    <row r="11412" spans="1:13">
      <c r="A11412" s="33" t="str">
        <f t="shared" si="712"/>
        <v>SPI - CGS</v>
      </c>
      <c r="B11412" s="33" t="str">
        <f t="shared" si="713"/>
        <v>SPI</v>
      </c>
      <c r="C11412" s="33" t="str">
        <f t="shared" si="714"/>
        <v>60002-0000</v>
      </c>
      <c r="D11412" t="s">
        <v>12695</v>
      </c>
      <c r="E11412" t="s">
        <v>3837</v>
      </c>
      <c r="F11412" t="s">
        <v>230</v>
      </c>
      <c r="G11412" t="s">
        <v>3838</v>
      </c>
      <c r="H11412" t="s">
        <v>1875</v>
      </c>
      <c r="I11412" t="s">
        <v>3839</v>
      </c>
      <c r="J11412" s="70">
        <v>0</v>
      </c>
      <c r="K11412" s="71">
        <v>305.44</v>
      </c>
      <c r="L11412" s="33" t="e">
        <f>HLOOKUP(B11412,#REF!,1,0)</f>
        <v>#REF!</v>
      </c>
      <c r="M11412" s="33" t="str">
        <f t="shared" si="715"/>
        <v>P&amp;L</v>
      </c>
    </row>
    <row r="11413" spans="1:13">
      <c r="A11413" s="33" t="str">
        <f t="shared" si="712"/>
        <v>SPI - CGS</v>
      </c>
      <c r="B11413" s="33" t="str">
        <f t="shared" si="713"/>
        <v>SPI</v>
      </c>
      <c r="C11413" s="33" t="str">
        <f t="shared" si="714"/>
        <v>60005-0000</v>
      </c>
      <c r="D11413" t="s">
        <v>12696</v>
      </c>
      <c r="E11413" t="s">
        <v>3841</v>
      </c>
      <c r="F11413" t="s">
        <v>230</v>
      </c>
      <c r="G11413" t="s">
        <v>3838</v>
      </c>
      <c r="H11413" t="s">
        <v>1875</v>
      </c>
      <c r="I11413" t="s">
        <v>3842</v>
      </c>
      <c r="J11413" s="70">
        <v>0</v>
      </c>
      <c r="K11413" s="71">
        <v>-591.8</v>
      </c>
      <c r="L11413" s="33" t="e">
        <f>HLOOKUP(B11413,#REF!,1,0)</f>
        <v>#REF!</v>
      </c>
      <c r="M11413" s="33" t="str">
        <f t="shared" si="715"/>
        <v>P&amp;L</v>
      </c>
    </row>
    <row r="11414" spans="1:13">
      <c r="A11414" s="33" t="str">
        <f t="shared" si="712"/>
        <v>SPI - Interest Expense</v>
      </c>
      <c r="B11414" s="33" t="str">
        <f t="shared" si="713"/>
        <v>SPI</v>
      </c>
      <c r="C11414" s="33" t="str">
        <f t="shared" si="714"/>
        <v>60006-0000</v>
      </c>
      <c r="D11414" t="s">
        <v>12697</v>
      </c>
      <c r="E11414" t="s">
        <v>3325</v>
      </c>
      <c r="F11414" t="s">
        <v>230</v>
      </c>
      <c r="G11414" t="s">
        <v>3844</v>
      </c>
      <c r="H11414" t="s">
        <v>3327</v>
      </c>
      <c r="I11414" t="s">
        <v>3328</v>
      </c>
      <c r="J11414" s="70">
        <v>0</v>
      </c>
      <c r="K11414" s="71">
        <v>18202.02</v>
      </c>
      <c r="L11414" s="33" t="e">
        <f>HLOOKUP(B11414,#REF!,1,0)</f>
        <v>#REF!</v>
      </c>
      <c r="M11414" s="33" t="str">
        <f t="shared" si="715"/>
        <v>P&amp;L</v>
      </c>
    </row>
    <row r="11415" spans="1:13">
      <c r="A11415" s="33" t="str">
        <f t="shared" si="712"/>
        <v>SPI - CGS</v>
      </c>
      <c r="B11415" s="33" t="str">
        <f t="shared" si="713"/>
        <v>SPI</v>
      </c>
      <c r="C11415" s="33" t="str">
        <f t="shared" si="714"/>
        <v>60007-0000</v>
      </c>
      <c r="D11415" t="s">
        <v>12698</v>
      </c>
      <c r="E11415" t="s">
        <v>3846</v>
      </c>
      <c r="F11415" t="s">
        <v>230</v>
      </c>
      <c r="G11415" t="s">
        <v>3838</v>
      </c>
      <c r="H11415" t="s">
        <v>1875</v>
      </c>
      <c r="I11415" t="s">
        <v>3847</v>
      </c>
      <c r="J11415" s="70">
        <v>0</v>
      </c>
      <c r="K11415" s="71">
        <v>276</v>
      </c>
      <c r="L11415" s="33" t="e">
        <f>HLOOKUP(B11415,#REF!,1,0)</f>
        <v>#REF!</v>
      </c>
      <c r="M11415" s="33" t="str">
        <f t="shared" si="715"/>
        <v>P&amp;L</v>
      </c>
    </row>
    <row r="11416" spans="1:13">
      <c r="A11416" s="33" t="str">
        <f t="shared" si="712"/>
        <v>SPI - CGS</v>
      </c>
      <c r="B11416" s="33" t="str">
        <f t="shared" si="713"/>
        <v>SPI</v>
      </c>
      <c r="C11416" s="33" t="str">
        <f t="shared" si="714"/>
        <v>60008-0000</v>
      </c>
      <c r="D11416" t="s">
        <v>12699</v>
      </c>
      <c r="E11416" t="s">
        <v>3849</v>
      </c>
      <c r="F11416" t="s">
        <v>230</v>
      </c>
      <c r="G11416" t="s">
        <v>3838</v>
      </c>
      <c r="H11416" t="s">
        <v>1875</v>
      </c>
      <c r="I11416" t="s">
        <v>3850</v>
      </c>
      <c r="J11416" s="70">
        <v>0</v>
      </c>
      <c r="K11416" s="71">
        <v>0</v>
      </c>
      <c r="L11416" s="33" t="e">
        <f>HLOOKUP(B11416,#REF!,1,0)</f>
        <v>#REF!</v>
      </c>
      <c r="M11416" s="33" t="str">
        <f t="shared" si="715"/>
        <v>P&amp;L</v>
      </c>
    </row>
    <row r="11417" spans="1:13">
      <c r="A11417" s="33" t="str">
        <f t="shared" si="712"/>
        <v>SPI - CGS</v>
      </c>
      <c r="B11417" s="33" t="str">
        <f t="shared" si="713"/>
        <v>SPI</v>
      </c>
      <c r="C11417" s="33" t="str">
        <f t="shared" si="714"/>
        <v>60011-0000</v>
      </c>
      <c r="D11417" t="s">
        <v>12700</v>
      </c>
      <c r="E11417" t="s">
        <v>4199</v>
      </c>
      <c r="F11417" t="s">
        <v>230</v>
      </c>
      <c r="G11417" t="s">
        <v>3838</v>
      </c>
      <c r="H11417" t="s">
        <v>1875</v>
      </c>
      <c r="I11417" t="s">
        <v>4200</v>
      </c>
      <c r="J11417" s="70">
        <v>0</v>
      </c>
      <c r="K11417" s="71">
        <v>210</v>
      </c>
      <c r="L11417" s="33" t="e">
        <f>HLOOKUP(B11417,#REF!,1,0)</f>
        <v>#REF!</v>
      </c>
      <c r="M11417" s="33" t="str">
        <f t="shared" si="715"/>
        <v>P&amp;L</v>
      </c>
    </row>
    <row r="11418" spans="1:13">
      <c r="A11418" s="33" t="str">
        <f t="shared" si="712"/>
        <v>SPI - CGS</v>
      </c>
      <c r="B11418" s="33" t="str">
        <f t="shared" si="713"/>
        <v>SPI</v>
      </c>
      <c r="C11418" s="33" t="str">
        <f t="shared" si="714"/>
        <v>60012-0000</v>
      </c>
      <c r="D11418" t="s">
        <v>12701</v>
      </c>
      <c r="E11418" t="s">
        <v>3852</v>
      </c>
      <c r="F11418" t="s">
        <v>230</v>
      </c>
      <c r="G11418" t="s">
        <v>3838</v>
      </c>
      <c r="H11418" t="s">
        <v>1875</v>
      </c>
      <c r="I11418" t="s">
        <v>3853</v>
      </c>
      <c r="J11418" s="70">
        <v>0</v>
      </c>
      <c r="K11418" s="71">
        <v>3853.18</v>
      </c>
      <c r="L11418" s="33" t="e">
        <f>HLOOKUP(B11418,#REF!,1,0)</f>
        <v>#REF!</v>
      </c>
      <c r="M11418" s="33" t="str">
        <f t="shared" si="715"/>
        <v>P&amp;L</v>
      </c>
    </row>
    <row r="11419" spans="1:13">
      <c r="A11419" s="33" t="str">
        <f t="shared" si="712"/>
        <v>SPI - CGS</v>
      </c>
      <c r="B11419" s="33" t="str">
        <f t="shared" si="713"/>
        <v>SPI</v>
      </c>
      <c r="C11419" s="33" t="str">
        <f t="shared" si="714"/>
        <v>60014-0000</v>
      </c>
      <c r="D11419" t="s">
        <v>12702</v>
      </c>
      <c r="E11419" t="s">
        <v>3855</v>
      </c>
      <c r="F11419" t="s">
        <v>230</v>
      </c>
      <c r="G11419" t="s">
        <v>3838</v>
      </c>
      <c r="H11419" t="s">
        <v>1875</v>
      </c>
      <c r="I11419" t="s">
        <v>3856</v>
      </c>
      <c r="J11419" s="70">
        <v>0</v>
      </c>
      <c r="K11419" s="71">
        <v>819.34</v>
      </c>
      <c r="L11419" s="33" t="e">
        <f>HLOOKUP(B11419,#REF!,1,0)</f>
        <v>#REF!</v>
      </c>
      <c r="M11419" s="33" t="str">
        <f t="shared" si="715"/>
        <v>P&amp;L</v>
      </c>
    </row>
    <row r="11420" spans="1:13">
      <c r="A11420" s="33" t="str">
        <f t="shared" si="712"/>
        <v>SPI - CGS</v>
      </c>
      <c r="B11420" s="33" t="str">
        <f t="shared" si="713"/>
        <v>SPI</v>
      </c>
      <c r="C11420" s="33" t="str">
        <f t="shared" si="714"/>
        <v>60015-0000</v>
      </c>
      <c r="D11420" t="s">
        <v>12703</v>
      </c>
      <c r="E11420" t="s">
        <v>3858</v>
      </c>
      <c r="F11420" t="s">
        <v>230</v>
      </c>
      <c r="G11420" t="s">
        <v>3838</v>
      </c>
      <c r="H11420" t="s">
        <v>1875</v>
      </c>
      <c r="I11420" t="s">
        <v>3859</v>
      </c>
      <c r="J11420" s="70">
        <v>0</v>
      </c>
      <c r="K11420" s="71">
        <v>340</v>
      </c>
      <c r="L11420" s="33" t="e">
        <f>HLOOKUP(B11420,#REF!,1,0)</f>
        <v>#REF!</v>
      </c>
      <c r="M11420" s="33" t="str">
        <f t="shared" si="715"/>
        <v>P&amp;L</v>
      </c>
    </row>
    <row r="11421" spans="1:13">
      <c r="A11421" s="33" t="str">
        <f t="shared" si="712"/>
        <v>SPI - CGS</v>
      </c>
      <c r="B11421" s="33" t="str">
        <f t="shared" si="713"/>
        <v>SPI</v>
      </c>
      <c r="C11421" s="33" t="str">
        <f t="shared" si="714"/>
        <v>61018-0000</v>
      </c>
      <c r="D11421" t="s">
        <v>12704</v>
      </c>
      <c r="E11421" t="s">
        <v>3864</v>
      </c>
      <c r="F11421" t="s">
        <v>230</v>
      </c>
      <c r="G11421" t="s">
        <v>3838</v>
      </c>
      <c r="H11421" t="s">
        <v>1875</v>
      </c>
      <c r="I11421" t="s">
        <v>3866</v>
      </c>
      <c r="J11421" s="70">
        <v>0</v>
      </c>
      <c r="K11421" s="71">
        <v>361543.89</v>
      </c>
      <c r="L11421" s="33" t="e">
        <f>HLOOKUP(B11421,#REF!,1,0)</f>
        <v>#REF!</v>
      </c>
      <c r="M11421" s="33" t="str">
        <f t="shared" si="715"/>
        <v>P&amp;L</v>
      </c>
    </row>
    <row r="11422" spans="1:13">
      <c r="A11422" s="33" t="str">
        <f t="shared" si="712"/>
        <v>SPI - Income Tax</v>
      </c>
      <c r="B11422" s="33" t="str">
        <f t="shared" si="713"/>
        <v>SPI</v>
      </c>
      <c r="C11422" s="33" t="str">
        <f t="shared" si="714"/>
        <v>61019-0000</v>
      </c>
      <c r="D11422" t="s">
        <v>12705</v>
      </c>
      <c r="E11422" t="s">
        <v>4041</v>
      </c>
      <c r="F11422" t="s">
        <v>230</v>
      </c>
      <c r="G11422" t="s">
        <v>3844</v>
      </c>
      <c r="H11422" t="s">
        <v>3378</v>
      </c>
      <c r="I11422" t="s">
        <v>4042</v>
      </c>
      <c r="J11422" s="70">
        <v>0</v>
      </c>
      <c r="K11422" s="71">
        <v>800</v>
      </c>
      <c r="L11422" s="33" t="e">
        <f>HLOOKUP(B11422,#REF!,1,0)</f>
        <v>#REF!</v>
      </c>
      <c r="M11422" s="33" t="str">
        <f t="shared" si="715"/>
        <v>P&amp;L</v>
      </c>
    </row>
    <row r="11423" spans="1:13">
      <c r="A11423" s="33" t="str">
        <f t="shared" si="712"/>
        <v>SPI - Gain/Loss on Disp</v>
      </c>
      <c r="B11423" s="33" t="str">
        <f t="shared" si="713"/>
        <v>SPI</v>
      </c>
      <c r="C11423" s="33" t="str">
        <f t="shared" si="714"/>
        <v>99700-0000</v>
      </c>
      <c r="D11423" t="s">
        <v>12706</v>
      </c>
      <c r="E11423" t="s">
        <v>5920</v>
      </c>
      <c r="F11423" t="s">
        <v>230</v>
      </c>
      <c r="G11423" t="s">
        <v>3326</v>
      </c>
      <c r="H11423" t="s">
        <v>5921</v>
      </c>
      <c r="I11423" t="s">
        <v>5922</v>
      </c>
      <c r="J11423" s="70">
        <v>0</v>
      </c>
      <c r="K11423" s="71">
        <v>-2300000</v>
      </c>
      <c r="L11423" s="33" t="e">
        <f>HLOOKUP(B11423,#REF!,1,0)</f>
        <v>#REF!</v>
      </c>
      <c r="M11423" s="33" t="str">
        <f t="shared" si="715"/>
        <v>P&amp;L</v>
      </c>
    </row>
    <row r="11424" spans="1:13">
      <c r="A11424" s="33" t="str">
        <f t="shared" si="712"/>
        <v>SPR - AP-Accr Exp</v>
      </c>
      <c r="B11424" s="33" t="str">
        <f t="shared" si="713"/>
        <v>SPR</v>
      </c>
      <c r="C11424" s="33" t="str">
        <f t="shared" si="714"/>
        <v>23509-0000</v>
      </c>
      <c r="D11424" t="s">
        <v>12707</v>
      </c>
      <c r="E11424" t="s">
        <v>111</v>
      </c>
      <c r="F11424" t="s">
        <v>230</v>
      </c>
      <c r="G11424" t="s">
        <v>97</v>
      </c>
      <c r="H11424" t="s">
        <v>98</v>
      </c>
      <c r="I11424" t="s">
        <v>102</v>
      </c>
      <c r="J11424" s="70">
        <v>10000</v>
      </c>
      <c r="K11424" s="71">
        <v>0</v>
      </c>
      <c r="L11424" s="33" t="e">
        <f>HLOOKUP(B11424,#REF!,1,0)</f>
        <v>#REF!</v>
      </c>
      <c r="M11424" s="33" t="str">
        <f t="shared" si="715"/>
        <v>BS</v>
      </c>
    </row>
    <row r="11425" spans="1:13">
      <c r="A11425" s="33" t="str">
        <f t="shared" si="712"/>
        <v>SPR - Revenue</v>
      </c>
      <c r="B11425" s="33" t="str">
        <f t="shared" si="713"/>
        <v>SPR</v>
      </c>
      <c r="C11425" s="33" t="str">
        <f t="shared" si="714"/>
        <v>43200-0000</v>
      </c>
      <c r="D11425" t="s">
        <v>12708</v>
      </c>
      <c r="E11425" t="s">
        <v>5925</v>
      </c>
      <c r="F11425" t="s">
        <v>2695</v>
      </c>
      <c r="G11425" t="s">
        <v>2870</v>
      </c>
      <c r="H11425" t="s">
        <v>2871</v>
      </c>
      <c r="I11425" t="s">
        <v>5926</v>
      </c>
      <c r="J11425" s="70">
        <v>-41705.59</v>
      </c>
      <c r="K11425" s="71">
        <v>-417732.52</v>
      </c>
      <c r="L11425" s="33" t="e">
        <f>HLOOKUP(B11425,#REF!,1,0)</f>
        <v>#REF!</v>
      </c>
      <c r="M11425" s="33" t="str">
        <f t="shared" si="715"/>
        <v>P&amp;L</v>
      </c>
    </row>
    <row r="11426" spans="1:13">
      <c r="A11426" s="33" t="str">
        <f t="shared" si="712"/>
        <v>SPR - CGS</v>
      </c>
      <c r="B11426" s="33" t="str">
        <f t="shared" si="713"/>
        <v>SPR</v>
      </c>
      <c r="C11426" s="33" t="str">
        <f t="shared" si="714"/>
        <v>50300-0000</v>
      </c>
      <c r="D11426" t="s">
        <v>12709</v>
      </c>
      <c r="E11426" t="s">
        <v>5797</v>
      </c>
      <c r="F11426" t="s">
        <v>2695</v>
      </c>
      <c r="G11426" t="s">
        <v>5940</v>
      </c>
      <c r="H11426" t="s">
        <v>1875</v>
      </c>
      <c r="I11426" t="s">
        <v>5941</v>
      </c>
      <c r="J11426" s="70">
        <v>2543.07</v>
      </c>
      <c r="K11426" s="71">
        <v>22694.62</v>
      </c>
      <c r="L11426" s="33" t="e">
        <f>HLOOKUP(B11426,#REF!,1,0)</f>
        <v>#REF!</v>
      </c>
      <c r="M11426" s="33" t="str">
        <f t="shared" si="715"/>
        <v>P&amp;L</v>
      </c>
    </row>
    <row r="11427" spans="1:13">
      <c r="A11427" s="33" t="str">
        <f t="shared" si="712"/>
        <v>SPR - CGS</v>
      </c>
      <c r="B11427" s="33" t="str">
        <f t="shared" si="713"/>
        <v>SPR</v>
      </c>
      <c r="C11427" s="33" t="str">
        <f t="shared" si="714"/>
        <v>50350-0000</v>
      </c>
      <c r="D11427" t="s">
        <v>12710</v>
      </c>
      <c r="E11427" t="s">
        <v>5948</v>
      </c>
      <c r="F11427" t="s">
        <v>2695</v>
      </c>
      <c r="G11427" t="s">
        <v>5940</v>
      </c>
      <c r="H11427" t="s">
        <v>1875</v>
      </c>
      <c r="I11427" t="s">
        <v>5949</v>
      </c>
      <c r="J11427" s="70">
        <v>0</v>
      </c>
      <c r="K11427" s="71">
        <v>28873.09</v>
      </c>
      <c r="L11427" s="33" t="e">
        <f>HLOOKUP(B11427,#REF!,1,0)</f>
        <v>#REF!</v>
      </c>
      <c r="M11427" s="33" t="str">
        <f t="shared" si="715"/>
        <v>P&amp;L</v>
      </c>
    </row>
    <row r="11428" spans="1:13">
      <c r="A11428" s="33" t="str">
        <f t="shared" si="712"/>
        <v>SPR - CGS</v>
      </c>
      <c r="B11428" s="33" t="str">
        <f t="shared" si="713"/>
        <v>SPR</v>
      </c>
      <c r="C11428" s="33" t="str">
        <f t="shared" si="714"/>
        <v>50400-0000</v>
      </c>
      <c r="D11428" t="s">
        <v>12711</v>
      </c>
      <c r="E11428" t="s">
        <v>3837</v>
      </c>
      <c r="F11428" t="s">
        <v>2695</v>
      </c>
      <c r="G11428" t="s">
        <v>5940</v>
      </c>
      <c r="H11428" t="s">
        <v>1875</v>
      </c>
      <c r="I11428" t="s">
        <v>5233</v>
      </c>
      <c r="J11428" s="70">
        <v>146.29</v>
      </c>
      <c r="K11428" s="71">
        <v>2428.16</v>
      </c>
      <c r="L11428" s="33" t="e">
        <f>HLOOKUP(B11428,#REF!,1,0)</f>
        <v>#REF!</v>
      </c>
      <c r="M11428" s="33" t="str">
        <f t="shared" si="715"/>
        <v>P&amp;L</v>
      </c>
    </row>
    <row r="11429" spans="1:13">
      <c r="A11429" s="33" t="str">
        <f t="shared" si="712"/>
        <v>SPR - CGS</v>
      </c>
      <c r="B11429" s="33" t="str">
        <f t="shared" si="713"/>
        <v>SPR</v>
      </c>
      <c r="C11429" s="33" t="str">
        <f t="shared" si="714"/>
        <v>51002-0000</v>
      </c>
      <c r="D11429" t="s">
        <v>12712</v>
      </c>
      <c r="E11429" t="s">
        <v>12713</v>
      </c>
      <c r="F11429" t="s">
        <v>2695</v>
      </c>
      <c r="G11429" t="s">
        <v>5940</v>
      </c>
      <c r="H11429" t="s">
        <v>1875</v>
      </c>
      <c r="I11429" t="s">
        <v>4087</v>
      </c>
      <c r="J11429" s="70">
        <v>39290</v>
      </c>
      <c r="K11429" s="71">
        <v>461783.96</v>
      </c>
      <c r="L11429" s="33" t="e">
        <f>HLOOKUP(B11429,#REF!,1,0)</f>
        <v>#REF!</v>
      </c>
      <c r="M11429" s="33" t="str">
        <f t="shared" si="715"/>
        <v>P&amp;L</v>
      </c>
    </row>
    <row r="11430" spans="1:13">
      <c r="A11430" s="33" t="str">
        <f t="shared" si="712"/>
        <v>SPR - CGS</v>
      </c>
      <c r="B11430" s="33" t="str">
        <f t="shared" si="713"/>
        <v>SPR</v>
      </c>
      <c r="C11430" s="33" t="str">
        <f t="shared" si="714"/>
        <v>55100-0000</v>
      </c>
      <c r="D11430" t="s">
        <v>12714</v>
      </c>
      <c r="E11430" t="s">
        <v>4429</v>
      </c>
      <c r="F11430" t="s">
        <v>2695</v>
      </c>
      <c r="G11430" t="s">
        <v>5940</v>
      </c>
      <c r="H11430" t="s">
        <v>1875</v>
      </c>
      <c r="I11430" t="s">
        <v>3294</v>
      </c>
      <c r="J11430" s="70">
        <v>0</v>
      </c>
      <c r="K11430" s="71">
        <v>223.46</v>
      </c>
      <c r="L11430" s="33" t="e">
        <f>HLOOKUP(B11430,#REF!,1,0)</f>
        <v>#REF!</v>
      </c>
      <c r="M11430" s="33" t="str">
        <f t="shared" si="715"/>
        <v>P&amp;L</v>
      </c>
    </row>
    <row r="11431" spans="1:13">
      <c r="A11431" s="33" t="str">
        <f t="shared" si="712"/>
        <v>SPR - PM Expenses</v>
      </c>
      <c r="B11431" s="33" t="str">
        <f t="shared" si="713"/>
        <v>SPR</v>
      </c>
      <c r="C11431" s="33" t="str">
        <f t="shared" si="714"/>
        <v>55501-0000</v>
      </c>
      <c r="D11431" t="s">
        <v>12715</v>
      </c>
      <c r="E11431" t="s">
        <v>3817</v>
      </c>
      <c r="F11431" t="s">
        <v>2695</v>
      </c>
      <c r="G11431" t="s">
        <v>12716</v>
      </c>
      <c r="H11431" t="s">
        <v>3819</v>
      </c>
      <c r="I11431" t="s">
        <v>3820</v>
      </c>
      <c r="J11431" s="70">
        <v>469.26</v>
      </c>
      <c r="K11431" s="71">
        <v>33213.78</v>
      </c>
      <c r="L11431" s="33" t="e">
        <f>HLOOKUP(B11431,#REF!,1,0)</f>
        <v>#REF!</v>
      </c>
      <c r="M11431" s="33" t="str">
        <f t="shared" si="715"/>
        <v>P&amp;L</v>
      </c>
    </row>
    <row r="11432" spans="1:13">
      <c r="A11432" s="33" t="str">
        <f t="shared" si="712"/>
        <v>SPR - CGS</v>
      </c>
      <c r="B11432" s="33" t="str">
        <f t="shared" si="713"/>
        <v>SPR</v>
      </c>
      <c r="C11432" s="33" t="str">
        <f t="shared" si="714"/>
        <v>57900-0000</v>
      </c>
      <c r="D11432" t="s">
        <v>12717</v>
      </c>
      <c r="E11432" t="s">
        <v>4425</v>
      </c>
      <c r="F11432" t="s">
        <v>2695</v>
      </c>
      <c r="G11432" t="s">
        <v>4426</v>
      </c>
      <c r="H11432" t="s">
        <v>1875</v>
      </c>
      <c r="I11432" t="s">
        <v>4427</v>
      </c>
      <c r="J11432" s="70">
        <v>0</v>
      </c>
      <c r="K11432" s="71">
        <v>525</v>
      </c>
      <c r="L11432" s="33" t="e">
        <f>HLOOKUP(B11432,#REF!,1,0)</f>
        <v>#REF!</v>
      </c>
      <c r="M11432" s="33" t="str">
        <f t="shared" si="715"/>
        <v>P&amp;L</v>
      </c>
    </row>
    <row r="11433" spans="1:13">
      <c r="A11433" s="33" t="str">
        <f t="shared" si="712"/>
        <v>SPR - CGS</v>
      </c>
      <c r="B11433" s="33" t="str">
        <f t="shared" si="713"/>
        <v>SPR</v>
      </c>
      <c r="C11433" s="33" t="str">
        <f t="shared" si="714"/>
        <v>59160-0000</v>
      </c>
      <c r="D11433" t="s">
        <v>12718</v>
      </c>
      <c r="E11433" t="s">
        <v>6006</v>
      </c>
      <c r="F11433" t="s">
        <v>2695</v>
      </c>
      <c r="G11433" t="s">
        <v>5940</v>
      </c>
      <c r="H11433" t="s">
        <v>1875</v>
      </c>
      <c r="I11433" t="s">
        <v>5941</v>
      </c>
      <c r="J11433" s="70">
        <v>2666.25</v>
      </c>
      <c r="K11433" s="71">
        <v>2666.25</v>
      </c>
      <c r="L11433" s="33" t="e">
        <f>HLOOKUP(B11433,#REF!,1,0)</f>
        <v>#REF!</v>
      </c>
      <c r="M11433" s="33" t="str">
        <f t="shared" si="715"/>
        <v>P&amp;L</v>
      </c>
    </row>
    <row r="11434" spans="1:13">
      <c r="A11434" s="33" t="str">
        <f t="shared" si="712"/>
        <v>SPR - Facility</v>
      </c>
      <c r="B11434" s="33" t="str">
        <f t="shared" si="713"/>
        <v>SPR</v>
      </c>
      <c r="C11434" s="33" t="str">
        <f t="shared" si="714"/>
        <v>70100-0000</v>
      </c>
      <c r="D11434" t="s">
        <v>12719</v>
      </c>
      <c r="E11434" t="s">
        <v>3864</v>
      </c>
      <c r="F11434" t="s">
        <v>2695</v>
      </c>
      <c r="G11434" t="s">
        <v>5940</v>
      </c>
      <c r="H11434" t="s">
        <v>3267</v>
      </c>
      <c r="I11434" t="s">
        <v>5976</v>
      </c>
      <c r="J11434" s="70">
        <v>0</v>
      </c>
      <c r="K11434" s="71">
        <v>3956.51</v>
      </c>
      <c r="L11434" s="33" t="e">
        <f>HLOOKUP(B11434,#REF!,1,0)</f>
        <v>#REF!</v>
      </c>
      <c r="M11434" s="33" t="str">
        <f t="shared" si="715"/>
        <v>P&amp;L</v>
      </c>
    </row>
    <row r="11435" spans="1:13">
      <c r="A11435" s="33" t="str">
        <f t="shared" si="712"/>
        <v>SPR - Income Tax</v>
      </c>
      <c r="B11435" s="33" t="str">
        <f t="shared" si="713"/>
        <v>SPR</v>
      </c>
      <c r="C11435" s="33" t="str">
        <f t="shared" si="714"/>
        <v>99901-0000</v>
      </c>
      <c r="D11435" t="s">
        <v>12720</v>
      </c>
      <c r="E11435" t="s">
        <v>6026</v>
      </c>
      <c r="F11435" t="s">
        <v>2695</v>
      </c>
      <c r="G11435" t="s">
        <v>3326</v>
      </c>
      <c r="H11435" t="s">
        <v>3378</v>
      </c>
      <c r="I11435" t="s">
        <v>6027</v>
      </c>
      <c r="J11435" s="70">
        <v>0</v>
      </c>
      <c r="K11435" s="71">
        <v>800</v>
      </c>
      <c r="L11435" s="33" t="e">
        <f>HLOOKUP(B11435,#REF!,1,0)</f>
        <v>#REF!</v>
      </c>
      <c r="M11435" s="33" t="str">
        <f t="shared" si="715"/>
        <v>P&amp;L</v>
      </c>
    </row>
    <row r="11436" spans="1:13">
      <c r="A11436" s="33" t="str">
        <f t="shared" si="712"/>
        <v>STO - Fixed Assets</v>
      </c>
      <c r="B11436" s="33" t="str">
        <f t="shared" si="713"/>
        <v>STO</v>
      </c>
      <c r="C11436" s="33" t="str">
        <f t="shared" si="714"/>
        <v>15501-0000</v>
      </c>
      <c r="D11436" t="s">
        <v>12721</v>
      </c>
      <c r="E11436" t="s">
        <v>2635</v>
      </c>
      <c r="F11436" t="s">
        <v>230</v>
      </c>
      <c r="G11436" t="s">
        <v>62</v>
      </c>
      <c r="H11436" t="s">
        <v>63</v>
      </c>
      <c r="I11436" t="s">
        <v>64</v>
      </c>
      <c r="J11436" s="70">
        <v>314.17</v>
      </c>
      <c r="K11436" s="71">
        <v>1233.01</v>
      </c>
      <c r="L11436" s="33" t="e">
        <f>HLOOKUP(B11436,#REF!,1,0)</f>
        <v>#REF!</v>
      </c>
      <c r="M11436" s="33" t="str">
        <f t="shared" si="715"/>
        <v>BS</v>
      </c>
    </row>
    <row r="11437" spans="1:13">
      <c r="A11437" s="33" t="str">
        <f t="shared" si="712"/>
        <v>STO - AR-PPD</v>
      </c>
      <c r="B11437" s="33" t="str">
        <f t="shared" si="713"/>
        <v>STO</v>
      </c>
      <c r="C11437" s="33" t="str">
        <f t="shared" si="714"/>
        <v>25300-0000</v>
      </c>
      <c r="D11437" t="s">
        <v>12722</v>
      </c>
      <c r="E11437" t="s">
        <v>3677</v>
      </c>
      <c r="F11437" t="s">
        <v>230</v>
      </c>
      <c r="G11437" t="s">
        <v>3678</v>
      </c>
      <c r="H11437" t="s">
        <v>35</v>
      </c>
      <c r="I11437" t="s">
        <v>102</v>
      </c>
      <c r="J11437" s="70">
        <v>1744.7</v>
      </c>
      <c r="K11437" s="71">
        <v>1744.7</v>
      </c>
      <c r="L11437" s="33" t="e">
        <f>HLOOKUP(B11437,#REF!,1,0)</f>
        <v>#REF!</v>
      </c>
      <c r="M11437" s="33" t="str">
        <f t="shared" si="715"/>
        <v>BS</v>
      </c>
    </row>
    <row r="11438" spans="1:13">
      <c r="A11438" s="33" t="str">
        <f t="shared" si="712"/>
        <v>STO - Revenue</v>
      </c>
      <c r="B11438" s="33" t="str">
        <f t="shared" si="713"/>
        <v>STO</v>
      </c>
      <c r="C11438" s="33" t="str">
        <f t="shared" si="714"/>
        <v>40110-0000</v>
      </c>
      <c r="D11438" t="s">
        <v>12723</v>
      </c>
      <c r="E11438" t="s">
        <v>3683</v>
      </c>
      <c r="F11438" t="s">
        <v>230</v>
      </c>
      <c r="G11438" t="s">
        <v>3684</v>
      </c>
      <c r="H11438" t="s">
        <v>2871</v>
      </c>
      <c r="I11438" t="s">
        <v>3685</v>
      </c>
      <c r="J11438" s="70">
        <v>-31777.21</v>
      </c>
      <c r="K11438" s="71">
        <v>-317772.1</v>
      </c>
      <c r="L11438" s="33" t="e">
        <f>HLOOKUP(B11438,#REF!,1,0)</f>
        <v>#REF!</v>
      </c>
      <c r="M11438" s="33" t="str">
        <f t="shared" si="715"/>
        <v>P&amp;L</v>
      </c>
    </row>
    <row r="11439" spans="1:13">
      <c r="A11439" s="33" t="str">
        <f t="shared" si="712"/>
        <v>STO - Revenue</v>
      </c>
      <c r="B11439" s="33" t="str">
        <f t="shared" si="713"/>
        <v>STO</v>
      </c>
      <c r="C11439" s="33" t="str">
        <f t="shared" si="714"/>
        <v>40120-0000</v>
      </c>
      <c r="D11439" t="s">
        <v>12724</v>
      </c>
      <c r="E11439" t="s">
        <v>3687</v>
      </c>
      <c r="F11439" t="s">
        <v>230</v>
      </c>
      <c r="G11439" t="s">
        <v>3684</v>
      </c>
      <c r="H11439" t="s">
        <v>2871</v>
      </c>
      <c r="I11439" t="s">
        <v>3688</v>
      </c>
      <c r="J11439" s="70">
        <v>0</v>
      </c>
      <c r="K11439" s="71">
        <v>0</v>
      </c>
      <c r="L11439" s="33" t="e">
        <f>HLOOKUP(B11439,#REF!,1,0)</f>
        <v>#REF!</v>
      </c>
      <c r="M11439" s="33" t="str">
        <f t="shared" si="715"/>
        <v>P&amp;L</v>
      </c>
    </row>
    <row r="11440" spans="1:13">
      <c r="A11440" s="33" t="str">
        <f t="shared" si="712"/>
        <v>STO - Revenue</v>
      </c>
      <c r="B11440" s="33" t="str">
        <f t="shared" si="713"/>
        <v>STO</v>
      </c>
      <c r="C11440" s="33" t="str">
        <f t="shared" si="714"/>
        <v>40130-0000</v>
      </c>
      <c r="D11440" t="s">
        <v>12725</v>
      </c>
      <c r="E11440" t="s">
        <v>3690</v>
      </c>
      <c r="F11440" t="s">
        <v>230</v>
      </c>
      <c r="G11440" t="s">
        <v>3684</v>
      </c>
      <c r="H11440" t="s">
        <v>2871</v>
      </c>
      <c r="I11440" t="s">
        <v>3691</v>
      </c>
      <c r="J11440" s="70">
        <v>-2296.68</v>
      </c>
      <c r="K11440" s="71">
        <v>-12919.17</v>
      </c>
      <c r="L11440" s="33" t="e">
        <f>HLOOKUP(B11440,#REF!,1,0)</f>
        <v>#REF!</v>
      </c>
      <c r="M11440" s="33" t="str">
        <f t="shared" si="715"/>
        <v>P&amp;L</v>
      </c>
    </row>
    <row r="11441" spans="1:13">
      <c r="A11441" s="33" t="str">
        <f t="shared" si="712"/>
        <v>STO - Revenue</v>
      </c>
      <c r="B11441" s="33" t="str">
        <f t="shared" si="713"/>
        <v>STO</v>
      </c>
      <c r="C11441" s="33" t="str">
        <f t="shared" si="714"/>
        <v>40140-0000</v>
      </c>
      <c r="D11441" t="s">
        <v>12726</v>
      </c>
      <c r="E11441" t="s">
        <v>3948</v>
      </c>
      <c r="F11441" t="s">
        <v>230</v>
      </c>
      <c r="G11441" t="s">
        <v>3684</v>
      </c>
      <c r="H11441" t="s">
        <v>2871</v>
      </c>
      <c r="I11441" t="s">
        <v>3949</v>
      </c>
      <c r="J11441" s="70">
        <v>0</v>
      </c>
      <c r="K11441" s="71">
        <v>0</v>
      </c>
      <c r="L11441" s="33" t="e">
        <f>HLOOKUP(B11441,#REF!,1,0)</f>
        <v>#REF!</v>
      </c>
      <c r="M11441" s="33" t="str">
        <f t="shared" si="715"/>
        <v>P&amp;L</v>
      </c>
    </row>
    <row r="11442" spans="1:13">
      <c r="A11442" s="33" t="str">
        <f t="shared" si="712"/>
        <v>STO - Revenue</v>
      </c>
      <c r="B11442" s="33" t="str">
        <f t="shared" si="713"/>
        <v>STO</v>
      </c>
      <c r="C11442" s="33" t="str">
        <f t="shared" si="714"/>
        <v>41110-0000</v>
      </c>
      <c r="D11442" t="s">
        <v>12727</v>
      </c>
      <c r="E11442" t="s">
        <v>3693</v>
      </c>
      <c r="F11442" t="s">
        <v>230</v>
      </c>
      <c r="G11442" t="s">
        <v>3694</v>
      </c>
      <c r="H11442" t="s">
        <v>2871</v>
      </c>
      <c r="I11442" t="s">
        <v>3695</v>
      </c>
      <c r="J11442" s="70">
        <v>0</v>
      </c>
      <c r="K11442" s="71">
        <v>0</v>
      </c>
      <c r="L11442" s="33" t="e">
        <f>HLOOKUP(B11442,#REF!,1,0)</f>
        <v>#REF!</v>
      </c>
      <c r="M11442" s="33" t="str">
        <f t="shared" si="715"/>
        <v>P&amp;L</v>
      </c>
    </row>
    <row r="11443" spans="1:13">
      <c r="A11443" s="33" t="str">
        <f t="shared" si="712"/>
        <v>STO - Revenue</v>
      </c>
      <c r="B11443" s="33" t="str">
        <f t="shared" si="713"/>
        <v>STO</v>
      </c>
      <c r="C11443" s="33" t="str">
        <f t="shared" si="714"/>
        <v>41121-0000</v>
      </c>
      <c r="D11443" t="s">
        <v>12728</v>
      </c>
      <c r="E11443" t="s">
        <v>4146</v>
      </c>
      <c r="F11443" t="s">
        <v>230</v>
      </c>
      <c r="G11443" t="s">
        <v>3694</v>
      </c>
      <c r="H11443" t="s">
        <v>2871</v>
      </c>
      <c r="I11443" t="s">
        <v>3698</v>
      </c>
      <c r="J11443" s="70">
        <v>1</v>
      </c>
      <c r="K11443" s="71">
        <v>12347.92</v>
      </c>
      <c r="L11443" s="33" t="e">
        <f>HLOOKUP(B11443,#REF!,1,0)</f>
        <v>#REF!</v>
      </c>
      <c r="M11443" s="33" t="str">
        <f t="shared" si="715"/>
        <v>P&amp;L</v>
      </c>
    </row>
    <row r="11444" spans="1:13">
      <c r="A11444" s="33" t="str">
        <f t="shared" si="712"/>
        <v>STO - Revenue</v>
      </c>
      <c r="B11444" s="33" t="str">
        <f t="shared" si="713"/>
        <v>STO</v>
      </c>
      <c r="C11444" s="33" t="str">
        <f t="shared" si="714"/>
        <v>41122-0000</v>
      </c>
      <c r="D11444" t="s">
        <v>12729</v>
      </c>
      <c r="E11444" t="s">
        <v>3700</v>
      </c>
      <c r="F11444" t="s">
        <v>230</v>
      </c>
      <c r="G11444" t="s">
        <v>3694</v>
      </c>
      <c r="H11444" t="s">
        <v>2871</v>
      </c>
      <c r="I11444" t="s">
        <v>3701</v>
      </c>
      <c r="J11444" s="70">
        <v>-15</v>
      </c>
      <c r="K11444" s="71">
        <v>-11146.1</v>
      </c>
      <c r="L11444" s="33" t="e">
        <f>HLOOKUP(B11444,#REF!,1,0)</f>
        <v>#REF!</v>
      </c>
      <c r="M11444" s="33" t="str">
        <f t="shared" si="715"/>
        <v>P&amp;L</v>
      </c>
    </row>
    <row r="11445" spans="1:13">
      <c r="A11445" s="33" t="str">
        <f t="shared" si="712"/>
        <v>STO - Revenue</v>
      </c>
      <c r="B11445" s="33" t="str">
        <f t="shared" si="713"/>
        <v>STO</v>
      </c>
      <c r="C11445" s="33" t="str">
        <f t="shared" si="714"/>
        <v>41130-0000</v>
      </c>
      <c r="D11445" t="s">
        <v>12730</v>
      </c>
      <c r="E11445" t="s">
        <v>3703</v>
      </c>
      <c r="F11445" t="s">
        <v>230</v>
      </c>
      <c r="G11445" t="s">
        <v>3694</v>
      </c>
      <c r="H11445" t="s">
        <v>2871</v>
      </c>
      <c r="I11445" t="s">
        <v>3704</v>
      </c>
      <c r="J11445" s="70">
        <v>0</v>
      </c>
      <c r="K11445" s="71">
        <v>0</v>
      </c>
      <c r="L11445" s="33" t="e">
        <f>HLOOKUP(B11445,#REF!,1,0)</f>
        <v>#REF!</v>
      </c>
      <c r="M11445" s="33" t="str">
        <f t="shared" si="715"/>
        <v>P&amp;L</v>
      </c>
    </row>
    <row r="11446" spans="1:13">
      <c r="A11446" s="33" t="str">
        <f t="shared" si="712"/>
        <v>STO - Revenue</v>
      </c>
      <c r="B11446" s="33" t="str">
        <f t="shared" si="713"/>
        <v>STO</v>
      </c>
      <c r="C11446" s="33" t="str">
        <f t="shared" si="714"/>
        <v>41140-0000</v>
      </c>
      <c r="D11446" t="s">
        <v>12731</v>
      </c>
      <c r="E11446" t="s">
        <v>3706</v>
      </c>
      <c r="F11446" t="s">
        <v>230</v>
      </c>
      <c r="G11446" t="s">
        <v>3694</v>
      </c>
      <c r="H11446" t="s">
        <v>2871</v>
      </c>
      <c r="I11446" t="s">
        <v>3707</v>
      </c>
      <c r="J11446" s="70">
        <v>0</v>
      </c>
      <c r="K11446" s="71">
        <v>0</v>
      </c>
      <c r="L11446" s="33" t="e">
        <f>HLOOKUP(B11446,#REF!,1,0)</f>
        <v>#REF!</v>
      </c>
      <c r="M11446" s="33" t="str">
        <f t="shared" si="715"/>
        <v>P&amp;L</v>
      </c>
    </row>
    <row r="11447" spans="1:13">
      <c r="A11447" s="33" t="str">
        <f t="shared" si="712"/>
        <v>STO - Revenue</v>
      </c>
      <c r="B11447" s="33" t="str">
        <f t="shared" si="713"/>
        <v>STO</v>
      </c>
      <c r="C11447" s="33" t="str">
        <f t="shared" si="714"/>
        <v>41150-0000</v>
      </c>
      <c r="D11447" t="s">
        <v>12732</v>
      </c>
      <c r="E11447" t="s">
        <v>3709</v>
      </c>
      <c r="F11447" t="s">
        <v>230</v>
      </c>
      <c r="G11447" t="s">
        <v>3694</v>
      </c>
      <c r="H11447" t="s">
        <v>2871</v>
      </c>
      <c r="I11447" t="s">
        <v>3710</v>
      </c>
      <c r="J11447" s="70">
        <v>1575</v>
      </c>
      <c r="K11447" s="71">
        <v>15750</v>
      </c>
      <c r="L11447" s="33" t="e">
        <f>HLOOKUP(B11447,#REF!,1,0)</f>
        <v>#REF!</v>
      </c>
      <c r="M11447" s="33" t="str">
        <f t="shared" si="715"/>
        <v>P&amp;L</v>
      </c>
    </row>
    <row r="11448" spans="1:13">
      <c r="A11448" s="33" t="str">
        <f t="shared" si="712"/>
        <v>STO - Revenue</v>
      </c>
      <c r="B11448" s="33" t="str">
        <f t="shared" si="713"/>
        <v>STO</v>
      </c>
      <c r="C11448" s="33" t="str">
        <f t="shared" si="714"/>
        <v>41160-0000</v>
      </c>
      <c r="D11448" t="s">
        <v>12733</v>
      </c>
      <c r="E11448" t="s">
        <v>3957</v>
      </c>
      <c r="F11448" t="s">
        <v>230</v>
      </c>
      <c r="G11448" t="s">
        <v>3694</v>
      </c>
      <c r="H11448" t="s">
        <v>2871</v>
      </c>
      <c r="I11448" t="s">
        <v>3701</v>
      </c>
      <c r="J11448" s="70">
        <v>0</v>
      </c>
      <c r="K11448" s="71">
        <v>-11260.45</v>
      </c>
      <c r="L11448" s="33" t="e">
        <f>HLOOKUP(B11448,#REF!,1,0)</f>
        <v>#REF!</v>
      </c>
      <c r="M11448" s="33" t="str">
        <f t="shared" si="715"/>
        <v>P&amp;L</v>
      </c>
    </row>
    <row r="11449" spans="1:13">
      <c r="A11449" s="33" t="str">
        <f t="shared" si="712"/>
        <v>STO - Revenue</v>
      </c>
      <c r="B11449" s="33" t="str">
        <f t="shared" si="713"/>
        <v>STO</v>
      </c>
      <c r="C11449" s="33" t="str">
        <f t="shared" si="714"/>
        <v>41999-0000</v>
      </c>
      <c r="D11449" t="s">
        <v>12734</v>
      </c>
      <c r="E11449" t="s">
        <v>3712</v>
      </c>
      <c r="F11449" t="s">
        <v>230</v>
      </c>
      <c r="G11449" t="s">
        <v>3713</v>
      </c>
      <c r="H11449" t="s">
        <v>2871</v>
      </c>
      <c r="I11449" t="s">
        <v>3714</v>
      </c>
      <c r="J11449" s="70">
        <v>32512.89</v>
      </c>
      <c r="K11449" s="71">
        <v>324999.9</v>
      </c>
      <c r="L11449" s="33" t="e">
        <f>HLOOKUP(B11449,#REF!,1,0)</f>
        <v>#REF!</v>
      </c>
      <c r="M11449" s="33" t="str">
        <f t="shared" si="715"/>
        <v>P&amp;L</v>
      </c>
    </row>
    <row r="11450" spans="1:13">
      <c r="A11450" s="33" t="str">
        <f t="shared" si="712"/>
        <v>STO - Revenue</v>
      </c>
      <c r="B11450" s="33" t="str">
        <f t="shared" si="713"/>
        <v>STO</v>
      </c>
      <c r="C11450" s="33" t="str">
        <f t="shared" si="714"/>
        <v>47400-0000</v>
      </c>
      <c r="D11450" t="s">
        <v>12735</v>
      </c>
      <c r="E11450" t="s">
        <v>3716</v>
      </c>
      <c r="F11450" t="s">
        <v>230</v>
      </c>
      <c r="G11450" t="s">
        <v>3717</v>
      </c>
      <c r="H11450" t="s">
        <v>2871</v>
      </c>
      <c r="I11450" t="s">
        <v>3718</v>
      </c>
      <c r="J11450" s="70">
        <v>-32512.89</v>
      </c>
      <c r="K11450" s="71">
        <v>-324999.9</v>
      </c>
      <c r="L11450" s="33" t="e">
        <f>HLOOKUP(B11450,#REF!,1,0)</f>
        <v>#REF!</v>
      </c>
      <c r="M11450" s="33" t="str">
        <f t="shared" si="715"/>
        <v>P&amp;L</v>
      </c>
    </row>
    <row r="11451" spans="1:13">
      <c r="A11451" s="33" t="str">
        <f t="shared" si="712"/>
        <v>STO - Revenue</v>
      </c>
      <c r="B11451" s="33" t="str">
        <f t="shared" si="713"/>
        <v>STO</v>
      </c>
      <c r="C11451" s="33" t="str">
        <f t="shared" si="714"/>
        <v>47410-0000</v>
      </c>
      <c r="D11451" t="s">
        <v>12736</v>
      </c>
      <c r="E11451" t="s">
        <v>12737</v>
      </c>
      <c r="F11451" t="s">
        <v>230</v>
      </c>
      <c r="G11451" t="s">
        <v>3717</v>
      </c>
      <c r="H11451" t="s">
        <v>2871</v>
      </c>
      <c r="I11451" t="s">
        <v>3727</v>
      </c>
      <c r="J11451" s="70">
        <v>0</v>
      </c>
      <c r="K11451" s="71">
        <v>0</v>
      </c>
      <c r="L11451" s="33" t="e">
        <f>HLOOKUP(B11451,#REF!,1,0)</f>
        <v>#REF!</v>
      </c>
      <c r="M11451" s="33" t="str">
        <f t="shared" si="715"/>
        <v>P&amp;L</v>
      </c>
    </row>
    <row r="11452" spans="1:13">
      <c r="A11452" s="33" t="str">
        <f t="shared" si="712"/>
        <v>STO - Revenue</v>
      </c>
      <c r="B11452" s="33" t="str">
        <f t="shared" si="713"/>
        <v>STO</v>
      </c>
      <c r="C11452" s="33" t="str">
        <f t="shared" si="714"/>
        <v>47420-0000</v>
      </c>
      <c r="D11452" t="s">
        <v>12738</v>
      </c>
      <c r="E11452" t="s">
        <v>4154</v>
      </c>
      <c r="F11452" t="s">
        <v>230</v>
      </c>
      <c r="G11452" t="s">
        <v>3717</v>
      </c>
      <c r="H11452" t="s">
        <v>2871</v>
      </c>
      <c r="I11452" t="s">
        <v>4155</v>
      </c>
      <c r="J11452" s="70">
        <v>-14.49</v>
      </c>
      <c r="K11452" s="71">
        <v>-193.2</v>
      </c>
      <c r="L11452" s="33" t="e">
        <f>HLOOKUP(B11452,#REF!,1,0)</f>
        <v>#REF!</v>
      </c>
      <c r="M11452" s="33" t="str">
        <f t="shared" si="715"/>
        <v>P&amp;L</v>
      </c>
    </row>
    <row r="11453" spans="1:13">
      <c r="A11453" s="33" t="str">
        <f t="shared" si="712"/>
        <v>STO - Revenue</v>
      </c>
      <c r="B11453" s="33" t="str">
        <f t="shared" si="713"/>
        <v>STO</v>
      </c>
      <c r="C11453" s="33" t="str">
        <f t="shared" si="714"/>
        <v>47430-0000</v>
      </c>
      <c r="D11453" t="s">
        <v>12739</v>
      </c>
      <c r="E11453" t="s">
        <v>4053</v>
      </c>
      <c r="F11453" t="s">
        <v>230</v>
      </c>
      <c r="G11453" t="s">
        <v>3717</v>
      </c>
      <c r="H11453" t="s">
        <v>2871</v>
      </c>
      <c r="I11453" t="s">
        <v>4054</v>
      </c>
      <c r="J11453" s="70">
        <v>0</v>
      </c>
      <c r="K11453" s="71">
        <v>-2792.83</v>
      </c>
      <c r="L11453" s="33" t="e">
        <f>HLOOKUP(B11453,#REF!,1,0)</f>
        <v>#REF!</v>
      </c>
      <c r="M11453" s="33" t="str">
        <f t="shared" si="715"/>
        <v>P&amp;L</v>
      </c>
    </row>
    <row r="11454" spans="1:13">
      <c r="A11454" s="33" t="str">
        <f t="shared" si="712"/>
        <v>STO - Revenue</v>
      </c>
      <c r="B11454" s="33" t="str">
        <f t="shared" si="713"/>
        <v>STO</v>
      </c>
      <c r="C11454" s="33" t="str">
        <f t="shared" si="714"/>
        <v>47480-0000</v>
      </c>
      <c r="D11454" t="s">
        <v>12740</v>
      </c>
      <c r="E11454" t="s">
        <v>3729</v>
      </c>
      <c r="F11454" t="s">
        <v>230</v>
      </c>
      <c r="G11454" t="s">
        <v>3717</v>
      </c>
      <c r="H11454" t="s">
        <v>2871</v>
      </c>
      <c r="I11454" t="s">
        <v>3721</v>
      </c>
      <c r="J11454" s="70">
        <v>0</v>
      </c>
      <c r="K11454" s="71">
        <v>0</v>
      </c>
      <c r="L11454" s="33" t="e">
        <f>HLOOKUP(B11454,#REF!,1,0)</f>
        <v>#REF!</v>
      </c>
      <c r="M11454" s="33" t="str">
        <f t="shared" si="715"/>
        <v>P&amp;L</v>
      </c>
    </row>
    <row r="11455" spans="1:13">
      <c r="A11455" s="33" t="str">
        <f t="shared" si="712"/>
        <v>STO - CGS</v>
      </c>
      <c r="B11455" s="33" t="str">
        <f t="shared" si="713"/>
        <v>STO</v>
      </c>
      <c r="C11455" s="33" t="str">
        <f t="shared" si="714"/>
        <v>51005-0000</v>
      </c>
      <c r="D11455" t="s">
        <v>12741</v>
      </c>
      <c r="E11455" t="s">
        <v>3968</v>
      </c>
      <c r="F11455" t="s">
        <v>230</v>
      </c>
      <c r="G11455" t="s">
        <v>3740</v>
      </c>
      <c r="H11455" t="s">
        <v>1875</v>
      </c>
      <c r="I11455" t="s">
        <v>3969</v>
      </c>
      <c r="J11455" s="70">
        <v>0</v>
      </c>
      <c r="K11455" s="71">
        <v>342.41</v>
      </c>
      <c r="L11455" s="33" t="e">
        <f>HLOOKUP(B11455,#REF!,1,0)</f>
        <v>#REF!</v>
      </c>
      <c r="M11455" s="33" t="str">
        <f t="shared" si="715"/>
        <v>P&amp;L</v>
      </c>
    </row>
    <row r="11456" spans="1:13">
      <c r="A11456" s="33" t="str">
        <f t="shared" si="712"/>
        <v>STO - CGS</v>
      </c>
      <c r="B11456" s="33" t="str">
        <f t="shared" si="713"/>
        <v>STO</v>
      </c>
      <c r="C11456" s="33" t="str">
        <f t="shared" si="714"/>
        <v>51006-0000</v>
      </c>
      <c r="D11456" t="s">
        <v>12742</v>
      </c>
      <c r="E11456" t="s">
        <v>3739</v>
      </c>
      <c r="F11456" t="s">
        <v>230</v>
      </c>
      <c r="G11456" t="s">
        <v>3740</v>
      </c>
      <c r="H11456" t="s">
        <v>1875</v>
      </c>
      <c r="I11456" t="s">
        <v>3741</v>
      </c>
      <c r="J11456" s="70">
        <v>85</v>
      </c>
      <c r="K11456" s="71">
        <v>1158.15</v>
      </c>
      <c r="L11456" s="33" t="e">
        <f>HLOOKUP(B11456,#REF!,1,0)</f>
        <v>#REF!</v>
      </c>
      <c r="M11456" s="33" t="str">
        <f t="shared" si="715"/>
        <v>P&amp;L</v>
      </c>
    </row>
    <row r="11457" spans="1:13">
      <c r="A11457" s="33" t="str">
        <f t="shared" si="712"/>
        <v>STO - CGS</v>
      </c>
      <c r="B11457" s="33" t="str">
        <f t="shared" si="713"/>
        <v>STO</v>
      </c>
      <c r="C11457" s="33" t="str">
        <f t="shared" si="714"/>
        <v>51008-0000</v>
      </c>
      <c r="D11457" t="s">
        <v>12743</v>
      </c>
      <c r="E11457" t="s">
        <v>3743</v>
      </c>
      <c r="F11457" t="s">
        <v>230</v>
      </c>
      <c r="G11457" t="s">
        <v>3740</v>
      </c>
      <c r="H11457" t="s">
        <v>1875</v>
      </c>
      <c r="I11457" t="s">
        <v>3744</v>
      </c>
      <c r="J11457" s="70">
        <v>93.35</v>
      </c>
      <c r="K11457" s="71">
        <v>3126.31</v>
      </c>
      <c r="L11457" s="33" t="e">
        <f>HLOOKUP(B11457,#REF!,1,0)</f>
        <v>#REF!</v>
      </c>
      <c r="M11457" s="33" t="str">
        <f t="shared" si="715"/>
        <v>P&amp;L</v>
      </c>
    </row>
    <row r="11458" spans="1:13">
      <c r="A11458" s="33" t="str">
        <f t="shared" ref="A11458:A11521" si="716">B11458&amp;" - "&amp;TRIM(H11458)</f>
        <v>STO - CGS</v>
      </c>
      <c r="B11458" s="33" t="str">
        <f t="shared" ref="B11458:B11521" si="717">LEFT(D11458,3)</f>
        <v>STO</v>
      </c>
      <c r="C11458" s="33" t="str">
        <f t="shared" ref="C11458:C11521" si="718">RIGHT(D11458,10)</f>
        <v>51009-0000</v>
      </c>
      <c r="D11458" t="s">
        <v>12744</v>
      </c>
      <c r="E11458" t="s">
        <v>3746</v>
      </c>
      <c r="F11458" t="s">
        <v>230</v>
      </c>
      <c r="G11458" t="s">
        <v>3740</v>
      </c>
      <c r="H11458" t="s">
        <v>1875</v>
      </c>
      <c r="I11458" t="s">
        <v>3747</v>
      </c>
      <c r="J11458" s="70">
        <v>147.27</v>
      </c>
      <c r="K11458" s="71">
        <v>2407.25</v>
      </c>
      <c r="L11458" s="33" t="e">
        <f>HLOOKUP(B11458,#REF!,1,0)</f>
        <v>#REF!</v>
      </c>
      <c r="M11458" s="33" t="str">
        <f t="shared" ref="M11458:M11521" si="719">IF(VALUE(LEFT(C11458,5))&gt;40000,"P&amp;L","BS")</f>
        <v>P&amp;L</v>
      </c>
    </row>
    <row r="11459" spans="1:13">
      <c r="A11459" s="33" t="str">
        <f t="shared" si="716"/>
        <v>STO - CGS</v>
      </c>
      <c r="B11459" s="33" t="str">
        <f t="shared" si="717"/>
        <v>STO</v>
      </c>
      <c r="C11459" s="33" t="str">
        <f t="shared" si="718"/>
        <v>51011-0000</v>
      </c>
      <c r="D11459" t="s">
        <v>12745</v>
      </c>
      <c r="E11459" t="s">
        <v>3749</v>
      </c>
      <c r="F11459" t="s">
        <v>230</v>
      </c>
      <c r="G11459" t="s">
        <v>3740</v>
      </c>
      <c r="H11459" t="s">
        <v>1875</v>
      </c>
      <c r="I11459" t="s">
        <v>3750</v>
      </c>
      <c r="J11459" s="70">
        <v>0</v>
      </c>
      <c r="K11459" s="71">
        <v>1330.5</v>
      </c>
      <c r="L11459" s="33" t="e">
        <f>HLOOKUP(B11459,#REF!,1,0)</f>
        <v>#REF!</v>
      </c>
      <c r="M11459" s="33" t="str">
        <f t="shared" si="719"/>
        <v>P&amp;L</v>
      </c>
    </row>
    <row r="11460" spans="1:13">
      <c r="A11460" s="33" t="str">
        <f t="shared" si="716"/>
        <v>STO - CGS</v>
      </c>
      <c r="B11460" s="33" t="str">
        <f t="shared" si="717"/>
        <v>STO</v>
      </c>
      <c r="C11460" s="33" t="str">
        <f t="shared" si="718"/>
        <v>51012-0000</v>
      </c>
      <c r="D11460" t="s">
        <v>12746</v>
      </c>
      <c r="E11460" t="s">
        <v>3752</v>
      </c>
      <c r="F11460" t="s">
        <v>230</v>
      </c>
      <c r="G11460" t="s">
        <v>3740</v>
      </c>
      <c r="H11460" t="s">
        <v>1875</v>
      </c>
      <c r="I11460" t="s">
        <v>3753</v>
      </c>
      <c r="J11460" s="70">
        <v>56</v>
      </c>
      <c r="K11460" s="71">
        <v>560</v>
      </c>
      <c r="L11460" s="33" t="e">
        <f>HLOOKUP(B11460,#REF!,1,0)</f>
        <v>#REF!</v>
      </c>
      <c r="M11460" s="33" t="str">
        <f t="shared" si="719"/>
        <v>P&amp;L</v>
      </c>
    </row>
    <row r="11461" spans="1:13">
      <c r="A11461" s="33" t="str">
        <f t="shared" si="716"/>
        <v>STO - CGS</v>
      </c>
      <c r="B11461" s="33" t="str">
        <f t="shared" si="717"/>
        <v>STO</v>
      </c>
      <c r="C11461" s="33" t="str">
        <f t="shared" si="718"/>
        <v>51020-0000</v>
      </c>
      <c r="D11461" t="s">
        <v>12747</v>
      </c>
      <c r="E11461" t="s">
        <v>3763</v>
      </c>
      <c r="F11461" t="s">
        <v>230</v>
      </c>
      <c r="G11461" t="s">
        <v>3740</v>
      </c>
      <c r="H11461" t="s">
        <v>1875</v>
      </c>
      <c r="I11461" t="s">
        <v>3345</v>
      </c>
      <c r="J11461" s="70">
        <v>0</v>
      </c>
      <c r="K11461" s="71">
        <v>124.64</v>
      </c>
      <c r="L11461" s="33" t="e">
        <f>HLOOKUP(B11461,#REF!,1,0)</f>
        <v>#REF!</v>
      </c>
      <c r="M11461" s="33" t="str">
        <f t="shared" si="719"/>
        <v>P&amp;L</v>
      </c>
    </row>
    <row r="11462" spans="1:13">
      <c r="A11462" s="33" t="str">
        <f t="shared" si="716"/>
        <v>STO - CGS</v>
      </c>
      <c r="B11462" s="33" t="str">
        <f t="shared" si="717"/>
        <v>STO</v>
      </c>
      <c r="C11462" s="33" t="str">
        <f t="shared" si="718"/>
        <v>51025-0000</v>
      </c>
      <c r="D11462" t="s">
        <v>12748</v>
      </c>
      <c r="E11462" t="s">
        <v>3988</v>
      </c>
      <c r="F11462" t="s">
        <v>230</v>
      </c>
      <c r="G11462" t="s">
        <v>3740</v>
      </c>
      <c r="H11462" t="s">
        <v>1875</v>
      </c>
      <c r="I11462" t="s">
        <v>3989</v>
      </c>
      <c r="J11462" s="70">
        <v>312.21</v>
      </c>
      <c r="K11462" s="71">
        <v>3172.49</v>
      </c>
      <c r="L11462" s="33" t="e">
        <f>HLOOKUP(B11462,#REF!,1,0)</f>
        <v>#REF!</v>
      </c>
      <c r="M11462" s="33" t="str">
        <f t="shared" si="719"/>
        <v>P&amp;L</v>
      </c>
    </row>
    <row r="11463" spans="1:13">
      <c r="A11463" s="33" t="str">
        <f t="shared" si="716"/>
        <v>STO - CGS</v>
      </c>
      <c r="B11463" s="33" t="str">
        <f t="shared" si="717"/>
        <v>STO</v>
      </c>
      <c r="C11463" s="33" t="str">
        <f t="shared" si="718"/>
        <v>52003-0000</v>
      </c>
      <c r="D11463" t="s">
        <v>12749</v>
      </c>
      <c r="E11463" t="s">
        <v>3772</v>
      </c>
      <c r="F11463" t="s">
        <v>230</v>
      </c>
      <c r="G11463" t="s">
        <v>3769</v>
      </c>
      <c r="H11463" t="s">
        <v>1875</v>
      </c>
      <c r="I11463" t="s">
        <v>3773</v>
      </c>
      <c r="J11463" s="70">
        <v>0</v>
      </c>
      <c r="K11463" s="71">
        <v>-120</v>
      </c>
      <c r="L11463" s="33" t="e">
        <f>HLOOKUP(B11463,#REF!,1,0)</f>
        <v>#REF!</v>
      </c>
      <c r="M11463" s="33" t="str">
        <f t="shared" si="719"/>
        <v>P&amp;L</v>
      </c>
    </row>
    <row r="11464" spans="1:13">
      <c r="A11464" s="33" t="str">
        <f t="shared" si="716"/>
        <v>STO - CGS</v>
      </c>
      <c r="B11464" s="33" t="str">
        <f t="shared" si="717"/>
        <v>STO</v>
      </c>
      <c r="C11464" s="33" t="str">
        <f t="shared" si="718"/>
        <v>52006-0000</v>
      </c>
      <c r="D11464" t="s">
        <v>12750</v>
      </c>
      <c r="E11464" t="s">
        <v>3778</v>
      </c>
      <c r="F11464" t="s">
        <v>230</v>
      </c>
      <c r="G11464" t="s">
        <v>3769</v>
      </c>
      <c r="H11464" t="s">
        <v>1875</v>
      </c>
      <c r="I11464" t="s">
        <v>3779</v>
      </c>
      <c r="J11464" s="70">
        <v>0</v>
      </c>
      <c r="K11464" s="71">
        <v>-200</v>
      </c>
      <c r="L11464" s="33" t="e">
        <f>HLOOKUP(B11464,#REF!,1,0)</f>
        <v>#REF!</v>
      </c>
      <c r="M11464" s="33" t="str">
        <f t="shared" si="719"/>
        <v>P&amp;L</v>
      </c>
    </row>
    <row r="11465" spans="1:13">
      <c r="A11465" s="33" t="str">
        <f t="shared" si="716"/>
        <v>STO - CGS</v>
      </c>
      <c r="B11465" s="33" t="str">
        <f t="shared" si="717"/>
        <v>STO</v>
      </c>
      <c r="C11465" s="33" t="str">
        <f t="shared" si="718"/>
        <v>53001-0000</v>
      </c>
      <c r="D11465" t="s">
        <v>12751</v>
      </c>
      <c r="E11465" t="s">
        <v>3781</v>
      </c>
      <c r="F11465" t="s">
        <v>230</v>
      </c>
      <c r="G11465" t="s">
        <v>3160</v>
      </c>
      <c r="H11465" t="s">
        <v>1875</v>
      </c>
      <c r="I11465" t="s">
        <v>3782</v>
      </c>
      <c r="J11465" s="70">
        <v>60</v>
      </c>
      <c r="K11465" s="71">
        <v>800.32</v>
      </c>
      <c r="L11465" s="33" t="e">
        <f>HLOOKUP(B11465,#REF!,1,0)</f>
        <v>#REF!</v>
      </c>
      <c r="M11465" s="33" t="str">
        <f t="shared" si="719"/>
        <v>P&amp;L</v>
      </c>
    </row>
    <row r="11466" spans="1:13">
      <c r="A11466" s="33" t="str">
        <f t="shared" si="716"/>
        <v>STO - CGS</v>
      </c>
      <c r="B11466" s="33" t="str">
        <f t="shared" si="717"/>
        <v>STO</v>
      </c>
      <c r="C11466" s="33" t="str">
        <f t="shared" si="718"/>
        <v>53002-0000</v>
      </c>
      <c r="D11466" t="s">
        <v>12752</v>
      </c>
      <c r="E11466" t="s">
        <v>3784</v>
      </c>
      <c r="F11466" t="s">
        <v>230</v>
      </c>
      <c r="G11466" t="s">
        <v>3160</v>
      </c>
      <c r="H11466" t="s">
        <v>1875</v>
      </c>
      <c r="I11466" t="s">
        <v>3785</v>
      </c>
      <c r="J11466" s="70">
        <v>1278.72</v>
      </c>
      <c r="K11466" s="71">
        <v>12972.74</v>
      </c>
      <c r="L11466" s="33" t="e">
        <f>HLOOKUP(B11466,#REF!,1,0)</f>
        <v>#REF!</v>
      </c>
      <c r="M11466" s="33" t="str">
        <f t="shared" si="719"/>
        <v>P&amp;L</v>
      </c>
    </row>
    <row r="11467" spans="1:13">
      <c r="A11467" s="33" t="str">
        <f t="shared" si="716"/>
        <v>STO - CGS</v>
      </c>
      <c r="B11467" s="33" t="str">
        <f t="shared" si="717"/>
        <v>STO</v>
      </c>
      <c r="C11467" s="33" t="str">
        <f t="shared" si="718"/>
        <v>53003-0000</v>
      </c>
      <c r="D11467" t="s">
        <v>12753</v>
      </c>
      <c r="E11467" t="s">
        <v>3787</v>
      </c>
      <c r="F11467" t="s">
        <v>230</v>
      </c>
      <c r="G11467" t="s">
        <v>3160</v>
      </c>
      <c r="H11467" t="s">
        <v>1875</v>
      </c>
      <c r="I11467" t="s">
        <v>3788</v>
      </c>
      <c r="J11467" s="70">
        <v>0</v>
      </c>
      <c r="K11467" s="71">
        <v>3695.04</v>
      </c>
      <c r="L11467" s="33" t="e">
        <f>HLOOKUP(B11467,#REF!,1,0)</f>
        <v>#REF!</v>
      </c>
      <c r="M11467" s="33" t="str">
        <f t="shared" si="719"/>
        <v>P&amp;L</v>
      </c>
    </row>
    <row r="11468" spans="1:13">
      <c r="A11468" s="33" t="str">
        <f t="shared" si="716"/>
        <v>STO - CGS</v>
      </c>
      <c r="B11468" s="33" t="str">
        <f t="shared" si="717"/>
        <v>STO</v>
      </c>
      <c r="C11468" s="33" t="str">
        <f t="shared" si="718"/>
        <v>53004-0000</v>
      </c>
      <c r="D11468" t="s">
        <v>12754</v>
      </c>
      <c r="E11468" t="s">
        <v>3790</v>
      </c>
      <c r="F11468" t="s">
        <v>230</v>
      </c>
      <c r="G11468" t="s">
        <v>3160</v>
      </c>
      <c r="H11468" t="s">
        <v>1875</v>
      </c>
      <c r="I11468" t="s">
        <v>3791</v>
      </c>
      <c r="J11468" s="70">
        <v>888.57</v>
      </c>
      <c r="K11468" s="71">
        <v>12497.27</v>
      </c>
      <c r="L11468" s="33" t="e">
        <f>HLOOKUP(B11468,#REF!,1,0)</f>
        <v>#REF!</v>
      </c>
      <c r="M11468" s="33" t="str">
        <f t="shared" si="719"/>
        <v>P&amp;L</v>
      </c>
    </row>
    <row r="11469" spans="1:13">
      <c r="A11469" s="33" t="str">
        <f t="shared" si="716"/>
        <v>STO - CGS</v>
      </c>
      <c r="B11469" s="33" t="str">
        <f t="shared" si="717"/>
        <v>STO</v>
      </c>
      <c r="C11469" s="33" t="str">
        <f t="shared" si="718"/>
        <v>53005-0000</v>
      </c>
      <c r="D11469" t="s">
        <v>12755</v>
      </c>
      <c r="E11469" t="s">
        <v>3793</v>
      </c>
      <c r="F11469" t="s">
        <v>230</v>
      </c>
      <c r="G11469" t="s">
        <v>3160</v>
      </c>
      <c r="H11469" t="s">
        <v>1875</v>
      </c>
      <c r="I11469" t="s">
        <v>3794</v>
      </c>
      <c r="J11469" s="70">
        <v>0</v>
      </c>
      <c r="K11469" s="71">
        <v>18581.8</v>
      </c>
      <c r="L11469" s="33" t="e">
        <f>HLOOKUP(B11469,#REF!,1,0)</f>
        <v>#REF!</v>
      </c>
      <c r="M11469" s="33" t="str">
        <f t="shared" si="719"/>
        <v>P&amp;L</v>
      </c>
    </row>
    <row r="11470" spans="1:13">
      <c r="A11470" s="33" t="str">
        <f t="shared" si="716"/>
        <v>STO - CGS</v>
      </c>
      <c r="B11470" s="33" t="str">
        <f t="shared" si="717"/>
        <v>STO</v>
      </c>
      <c r="C11470" s="33" t="str">
        <f t="shared" si="718"/>
        <v>53006-0000</v>
      </c>
      <c r="D11470" t="s">
        <v>12756</v>
      </c>
      <c r="E11470" t="s">
        <v>3796</v>
      </c>
      <c r="F11470" t="s">
        <v>230</v>
      </c>
      <c r="G11470" t="s">
        <v>3160</v>
      </c>
      <c r="H11470" t="s">
        <v>1875</v>
      </c>
      <c r="I11470" t="s">
        <v>3797</v>
      </c>
      <c r="J11470" s="70">
        <v>0</v>
      </c>
      <c r="K11470" s="71">
        <v>28661.7</v>
      </c>
      <c r="L11470" s="33" t="e">
        <f>HLOOKUP(B11470,#REF!,1,0)</f>
        <v>#REF!</v>
      </c>
      <c r="M11470" s="33" t="str">
        <f t="shared" si="719"/>
        <v>P&amp;L</v>
      </c>
    </row>
    <row r="11471" spans="1:13">
      <c r="A11471" s="33" t="str">
        <f t="shared" si="716"/>
        <v>STO - CGS</v>
      </c>
      <c r="B11471" s="33" t="str">
        <f t="shared" si="717"/>
        <v>STO</v>
      </c>
      <c r="C11471" s="33" t="str">
        <f t="shared" si="718"/>
        <v>54001-0000</v>
      </c>
      <c r="D11471" t="s">
        <v>12757</v>
      </c>
      <c r="E11471" t="s">
        <v>4008</v>
      </c>
      <c r="F11471" t="s">
        <v>230</v>
      </c>
      <c r="G11471" t="s">
        <v>3800</v>
      </c>
      <c r="H11471" t="s">
        <v>1875</v>
      </c>
      <c r="I11471" t="s">
        <v>4009</v>
      </c>
      <c r="J11471" s="70">
        <v>0</v>
      </c>
      <c r="K11471" s="71">
        <v>1620.87</v>
      </c>
      <c r="L11471" s="33" t="e">
        <f>HLOOKUP(B11471,#REF!,1,0)</f>
        <v>#REF!</v>
      </c>
      <c r="M11471" s="33" t="str">
        <f t="shared" si="719"/>
        <v>P&amp;L</v>
      </c>
    </row>
    <row r="11472" spans="1:13">
      <c r="A11472" s="33" t="str">
        <f t="shared" si="716"/>
        <v>STO - CGS</v>
      </c>
      <c r="B11472" s="33" t="str">
        <f t="shared" si="717"/>
        <v>STO</v>
      </c>
      <c r="C11472" s="33" t="str">
        <f t="shared" si="718"/>
        <v>54002-0000</v>
      </c>
      <c r="D11472" t="s">
        <v>12758</v>
      </c>
      <c r="E11472" t="s">
        <v>3799</v>
      </c>
      <c r="F11472" t="s">
        <v>230</v>
      </c>
      <c r="G11472" t="s">
        <v>3800</v>
      </c>
      <c r="H11472" t="s">
        <v>1875</v>
      </c>
      <c r="I11472" t="s">
        <v>3801</v>
      </c>
      <c r="J11472" s="70">
        <v>0</v>
      </c>
      <c r="K11472" s="71">
        <v>3574</v>
      </c>
      <c r="L11472" s="33" t="e">
        <f>HLOOKUP(B11472,#REF!,1,0)</f>
        <v>#REF!</v>
      </c>
      <c r="M11472" s="33" t="str">
        <f t="shared" si="719"/>
        <v>P&amp;L</v>
      </c>
    </row>
    <row r="11473" spans="1:13">
      <c r="A11473" s="33" t="str">
        <f t="shared" si="716"/>
        <v>STO - CGS</v>
      </c>
      <c r="B11473" s="33" t="str">
        <f t="shared" si="717"/>
        <v>STO</v>
      </c>
      <c r="C11473" s="33" t="str">
        <f t="shared" si="718"/>
        <v>54003-0000</v>
      </c>
      <c r="D11473" t="s">
        <v>12759</v>
      </c>
      <c r="E11473" t="s">
        <v>3803</v>
      </c>
      <c r="F11473" t="s">
        <v>230</v>
      </c>
      <c r="G11473" t="s">
        <v>3800</v>
      </c>
      <c r="H11473" t="s">
        <v>1875</v>
      </c>
      <c r="I11473" t="s">
        <v>3804</v>
      </c>
      <c r="J11473" s="70">
        <v>0</v>
      </c>
      <c r="K11473" s="71">
        <v>0</v>
      </c>
      <c r="L11473" s="33" t="e">
        <f>HLOOKUP(B11473,#REF!,1,0)</f>
        <v>#REF!</v>
      </c>
      <c r="M11473" s="33" t="str">
        <f t="shared" si="719"/>
        <v>P&amp;L</v>
      </c>
    </row>
    <row r="11474" spans="1:13">
      <c r="A11474" s="33" t="str">
        <f t="shared" si="716"/>
        <v>STO - CGS</v>
      </c>
      <c r="B11474" s="33" t="str">
        <f t="shared" si="717"/>
        <v>STO</v>
      </c>
      <c r="C11474" s="33" t="str">
        <f t="shared" si="718"/>
        <v>54004-0000</v>
      </c>
      <c r="D11474" t="s">
        <v>12760</v>
      </c>
      <c r="E11474" t="s">
        <v>3806</v>
      </c>
      <c r="F11474" t="s">
        <v>230</v>
      </c>
      <c r="G11474" t="s">
        <v>3800</v>
      </c>
      <c r="H11474" t="s">
        <v>1875</v>
      </c>
      <c r="I11474" t="s">
        <v>3807</v>
      </c>
      <c r="J11474" s="70">
        <v>797.57</v>
      </c>
      <c r="K11474" s="71">
        <v>7659.07</v>
      </c>
      <c r="L11474" s="33" t="e">
        <f>HLOOKUP(B11474,#REF!,1,0)</f>
        <v>#REF!</v>
      </c>
      <c r="M11474" s="33" t="str">
        <f t="shared" si="719"/>
        <v>P&amp;L</v>
      </c>
    </row>
    <row r="11475" spans="1:13">
      <c r="A11475" s="33" t="str">
        <f t="shared" si="716"/>
        <v>STO - CGS</v>
      </c>
      <c r="B11475" s="33" t="str">
        <f t="shared" si="717"/>
        <v>STO</v>
      </c>
      <c r="C11475" s="33" t="str">
        <f t="shared" si="718"/>
        <v>54005-0000</v>
      </c>
      <c r="D11475" t="s">
        <v>12761</v>
      </c>
      <c r="E11475" t="s">
        <v>3809</v>
      </c>
      <c r="F11475" t="s">
        <v>230</v>
      </c>
      <c r="G11475" t="s">
        <v>3800</v>
      </c>
      <c r="H11475" t="s">
        <v>1875</v>
      </c>
      <c r="I11475" t="s">
        <v>3810</v>
      </c>
      <c r="J11475" s="70">
        <v>11.73</v>
      </c>
      <c r="K11475" s="71">
        <v>148.99</v>
      </c>
      <c r="L11475" s="33" t="e">
        <f>HLOOKUP(B11475,#REF!,1,0)</f>
        <v>#REF!</v>
      </c>
      <c r="M11475" s="33" t="str">
        <f t="shared" si="719"/>
        <v>P&amp;L</v>
      </c>
    </row>
    <row r="11476" spans="1:13">
      <c r="A11476" s="33" t="str">
        <f t="shared" si="716"/>
        <v>STO - CGS</v>
      </c>
      <c r="B11476" s="33" t="str">
        <f t="shared" si="717"/>
        <v>STO</v>
      </c>
      <c r="C11476" s="33" t="str">
        <f t="shared" si="718"/>
        <v>54006-0000</v>
      </c>
      <c r="D11476" t="s">
        <v>12762</v>
      </c>
      <c r="E11476" t="s">
        <v>3812</v>
      </c>
      <c r="F11476" t="s">
        <v>230</v>
      </c>
      <c r="G11476" t="s">
        <v>3800</v>
      </c>
      <c r="H11476" t="s">
        <v>1875</v>
      </c>
      <c r="I11476" t="s">
        <v>3003</v>
      </c>
      <c r="J11476" s="70">
        <v>61.02</v>
      </c>
      <c r="K11476" s="71">
        <v>1079.16</v>
      </c>
      <c r="L11476" s="33" t="e">
        <f>HLOOKUP(B11476,#REF!,1,0)</f>
        <v>#REF!</v>
      </c>
      <c r="M11476" s="33" t="str">
        <f t="shared" si="719"/>
        <v>P&amp;L</v>
      </c>
    </row>
    <row r="11477" spans="1:13">
      <c r="A11477" s="33" t="str">
        <f t="shared" si="716"/>
        <v>STO - CGS</v>
      </c>
      <c r="B11477" s="33" t="str">
        <f t="shared" si="717"/>
        <v>STO</v>
      </c>
      <c r="C11477" s="33" t="str">
        <f t="shared" si="718"/>
        <v>54007-0000</v>
      </c>
      <c r="D11477" t="s">
        <v>12763</v>
      </c>
      <c r="E11477" t="s">
        <v>4182</v>
      </c>
      <c r="F11477" t="s">
        <v>230</v>
      </c>
      <c r="G11477" t="s">
        <v>3800</v>
      </c>
      <c r="H11477" t="s">
        <v>1875</v>
      </c>
      <c r="I11477" t="s">
        <v>3815</v>
      </c>
      <c r="J11477" s="70">
        <v>161.5</v>
      </c>
      <c r="K11477" s="71">
        <v>1595.87</v>
      </c>
      <c r="L11477" s="33" t="e">
        <f>HLOOKUP(B11477,#REF!,1,0)</f>
        <v>#REF!</v>
      </c>
      <c r="M11477" s="33" t="str">
        <f t="shared" si="719"/>
        <v>P&amp;L</v>
      </c>
    </row>
    <row r="11478" spans="1:13">
      <c r="A11478" s="33" t="str">
        <f t="shared" si="716"/>
        <v>STO - PM Expenses</v>
      </c>
      <c r="B11478" s="33" t="str">
        <f t="shared" si="717"/>
        <v>STO</v>
      </c>
      <c r="C11478" s="33" t="str">
        <f t="shared" si="718"/>
        <v>55501-0000</v>
      </c>
      <c r="D11478" t="s">
        <v>12764</v>
      </c>
      <c r="E11478" t="s">
        <v>3817</v>
      </c>
      <c r="F11478" t="s">
        <v>230</v>
      </c>
      <c r="G11478" t="s">
        <v>3818</v>
      </c>
      <c r="H11478" t="s">
        <v>3819</v>
      </c>
      <c r="I11478" t="s">
        <v>3820</v>
      </c>
      <c r="J11478" s="70">
        <v>0</v>
      </c>
      <c r="K11478" s="71">
        <v>203.06</v>
      </c>
      <c r="L11478" s="33" t="e">
        <f>HLOOKUP(B11478,#REF!,1,0)</f>
        <v>#REF!</v>
      </c>
      <c r="M11478" s="33" t="str">
        <f t="shared" si="719"/>
        <v>P&amp;L</v>
      </c>
    </row>
    <row r="11479" spans="1:13">
      <c r="A11479" s="33" t="str">
        <f t="shared" si="716"/>
        <v>STO - PM Expenses</v>
      </c>
      <c r="B11479" s="33" t="str">
        <f t="shared" si="717"/>
        <v>STO</v>
      </c>
      <c r="C11479" s="33" t="str">
        <f t="shared" si="718"/>
        <v>55502-0000</v>
      </c>
      <c r="D11479" t="s">
        <v>12765</v>
      </c>
      <c r="E11479" t="s">
        <v>3822</v>
      </c>
      <c r="F11479" t="s">
        <v>230</v>
      </c>
      <c r="G11479" t="s">
        <v>3818</v>
      </c>
      <c r="H11479" t="s">
        <v>3819</v>
      </c>
      <c r="I11479" t="s">
        <v>3823</v>
      </c>
      <c r="J11479" s="70">
        <v>0</v>
      </c>
      <c r="K11479" s="71">
        <v>6315.37</v>
      </c>
      <c r="L11479" s="33" t="e">
        <f>HLOOKUP(B11479,#REF!,1,0)</f>
        <v>#REF!</v>
      </c>
      <c r="M11479" s="33" t="str">
        <f t="shared" si="719"/>
        <v>P&amp;L</v>
      </c>
    </row>
    <row r="11480" spans="1:13">
      <c r="A11480" s="33" t="str">
        <f t="shared" si="716"/>
        <v>STO - PM Expenses</v>
      </c>
      <c r="B11480" s="33" t="str">
        <f t="shared" si="717"/>
        <v>STO</v>
      </c>
      <c r="C11480" s="33" t="str">
        <f t="shared" si="718"/>
        <v>55503-0000</v>
      </c>
      <c r="D11480" t="s">
        <v>12766</v>
      </c>
      <c r="E11480" t="s">
        <v>3825</v>
      </c>
      <c r="F11480" t="s">
        <v>230</v>
      </c>
      <c r="G11480" t="s">
        <v>3818</v>
      </c>
      <c r="H11480" t="s">
        <v>3819</v>
      </c>
      <c r="I11480" t="s">
        <v>3826</v>
      </c>
      <c r="J11480" s="70">
        <v>1493.1</v>
      </c>
      <c r="K11480" s="71">
        <v>4444.8</v>
      </c>
      <c r="L11480" s="33" t="e">
        <f>HLOOKUP(B11480,#REF!,1,0)</f>
        <v>#REF!</v>
      </c>
      <c r="M11480" s="33" t="str">
        <f t="shared" si="719"/>
        <v>P&amp;L</v>
      </c>
    </row>
    <row r="11481" spans="1:13">
      <c r="A11481" s="33" t="str">
        <f t="shared" si="716"/>
        <v>STO - PM Expenses</v>
      </c>
      <c r="B11481" s="33" t="str">
        <f t="shared" si="717"/>
        <v>STO</v>
      </c>
      <c r="C11481" s="33" t="str">
        <f t="shared" si="718"/>
        <v>55504-0000</v>
      </c>
      <c r="D11481" t="s">
        <v>12767</v>
      </c>
      <c r="E11481" t="s">
        <v>4027</v>
      </c>
      <c r="F11481" t="s">
        <v>230</v>
      </c>
      <c r="G11481" t="s">
        <v>3818</v>
      </c>
      <c r="H11481" t="s">
        <v>3819</v>
      </c>
      <c r="I11481" t="s">
        <v>4028</v>
      </c>
      <c r="J11481" s="70">
        <v>283.33</v>
      </c>
      <c r="K11481" s="71">
        <v>1538.33</v>
      </c>
      <c r="L11481" s="33" t="e">
        <f>HLOOKUP(B11481,#REF!,1,0)</f>
        <v>#REF!</v>
      </c>
      <c r="M11481" s="33" t="str">
        <f t="shared" si="719"/>
        <v>P&amp;L</v>
      </c>
    </row>
    <row r="11482" spans="1:13">
      <c r="A11482" s="33" t="str">
        <f t="shared" si="716"/>
        <v>STO - PM Expenses</v>
      </c>
      <c r="B11482" s="33" t="str">
        <f t="shared" si="717"/>
        <v>STO</v>
      </c>
      <c r="C11482" s="33" t="str">
        <f t="shared" si="718"/>
        <v>55505-0000</v>
      </c>
      <c r="D11482" t="s">
        <v>12768</v>
      </c>
      <c r="E11482" t="s">
        <v>3828</v>
      </c>
      <c r="F11482" t="s">
        <v>230</v>
      </c>
      <c r="G11482" t="s">
        <v>3818</v>
      </c>
      <c r="H11482" t="s">
        <v>3819</v>
      </c>
      <c r="I11482" t="s">
        <v>3829</v>
      </c>
      <c r="J11482" s="70">
        <v>0</v>
      </c>
      <c r="K11482" s="71">
        <v>8192.45</v>
      </c>
      <c r="L11482" s="33" t="e">
        <f>HLOOKUP(B11482,#REF!,1,0)</f>
        <v>#REF!</v>
      </c>
      <c r="M11482" s="33" t="str">
        <f t="shared" si="719"/>
        <v>P&amp;L</v>
      </c>
    </row>
    <row r="11483" spans="1:13">
      <c r="A11483" s="33" t="str">
        <f t="shared" si="716"/>
        <v>STO - PM Expenses</v>
      </c>
      <c r="B11483" s="33" t="str">
        <f t="shared" si="717"/>
        <v>STO</v>
      </c>
      <c r="C11483" s="33" t="str">
        <f t="shared" si="718"/>
        <v>55506-0000</v>
      </c>
      <c r="D11483" t="s">
        <v>12769</v>
      </c>
      <c r="E11483" t="s">
        <v>3831</v>
      </c>
      <c r="F11483" t="s">
        <v>230</v>
      </c>
      <c r="G11483" t="s">
        <v>3818</v>
      </c>
      <c r="H11483" t="s">
        <v>3819</v>
      </c>
      <c r="I11483" t="s">
        <v>3832</v>
      </c>
      <c r="J11483" s="70">
        <v>510.94</v>
      </c>
      <c r="K11483" s="71">
        <v>566.94</v>
      </c>
      <c r="L11483" s="33" t="e">
        <f>HLOOKUP(B11483,#REF!,1,0)</f>
        <v>#REF!</v>
      </c>
      <c r="M11483" s="33" t="str">
        <f t="shared" si="719"/>
        <v>P&amp;L</v>
      </c>
    </row>
    <row r="11484" spans="1:13">
      <c r="A11484" s="33" t="str">
        <f t="shared" si="716"/>
        <v>STO - PM Expenses</v>
      </c>
      <c r="B11484" s="33" t="str">
        <f t="shared" si="717"/>
        <v>STO</v>
      </c>
      <c r="C11484" s="33" t="str">
        <f t="shared" si="718"/>
        <v>55508-0000</v>
      </c>
      <c r="D11484" t="s">
        <v>12770</v>
      </c>
      <c r="E11484" t="s">
        <v>4351</v>
      </c>
      <c r="F11484" t="s">
        <v>230</v>
      </c>
      <c r="G11484" t="s">
        <v>3818</v>
      </c>
      <c r="H11484" t="s">
        <v>3819</v>
      </c>
      <c r="I11484" t="s">
        <v>4352</v>
      </c>
      <c r="J11484" s="70">
        <v>0</v>
      </c>
      <c r="K11484" s="71">
        <v>56</v>
      </c>
      <c r="L11484" s="33" t="e">
        <f>HLOOKUP(B11484,#REF!,1,0)</f>
        <v>#REF!</v>
      </c>
      <c r="M11484" s="33" t="str">
        <f t="shared" si="719"/>
        <v>P&amp;L</v>
      </c>
    </row>
    <row r="11485" spans="1:13">
      <c r="A11485" s="33" t="str">
        <f t="shared" si="716"/>
        <v>STO - CGS</v>
      </c>
      <c r="B11485" s="33" t="str">
        <f t="shared" si="717"/>
        <v>STO</v>
      </c>
      <c r="C11485" s="33" t="str">
        <f t="shared" si="718"/>
        <v>60001-0000</v>
      </c>
      <c r="D11485" t="s">
        <v>12771</v>
      </c>
      <c r="E11485" t="s">
        <v>4192</v>
      </c>
      <c r="F11485" t="s">
        <v>230</v>
      </c>
      <c r="G11485" t="s">
        <v>3838</v>
      </c>
      <c r="H11485" t="s">
        <v>1875</v>
      </c>
      <c r="I11485" t="s">
        <v>4193</v>
      </c>
      <c r="J11485" s="70">
        <v>0</v>
      </c>
      <c r="K11485" s="71">
        <v>1494.68</v>
      </c>
      <c r="L11485" s="33" t="e">
        <f>HLOOKUP(B11485,#REF!,1,0)</f>
        <v>#REF!</v>
      </c>
      <c r="M11485" s="33" t="str">
        <f t="shared" si="719"/>
        <v>P&amp;L</v>
      </c>
    </row>
    <row r="11486" spans="1:13">
      <c r="A11486" s="33" t="str">
        <f t="shared" si="716"/>
        <v>STO - CGS</v>
      </c>
      <c r="B11486" s="33" t="str">
        <f t="shared" si="717"/>
        <v>STO</v>
      </c>
      <c r="C11486" s="33" t="str">
        <f t="shared" si="718"/>
        <v>60002-0000</v>
      </c>
      <c r="D11486" t="s">
        <v>12772</v>
      </c>
      <c r="E11486" t="s">
        <v>3837</v>
      </c>
      <c r="F11486" t="s">
        <v>230</v>
      </c>
      <c r="G11486" t="s">
        <v>3838</v>
      </c>
      <c r="H11486" t="s">
        <v>1875</v>
      </c>
      <c r="I11486" t="s">
        <v>3839</v>
      </c>
      <c r="J11486" s="70">
        <v>344.98</v>
      </c>
      <c r="K11486" s="71">
        <v>1402.91</v>
      </c>
      <c r="L11486" s="33" t="e">
        <f>HLOOKUP(B11486,#REF!,1,0)</f>
        <v>#REF!</v>
      </c>
      <c r="M11486" s="33" t="str">
        <f t="shared" si="719"/>
        <v>P&amp;L</v>
      </c>
    </row>
    <row r="11487" spans="1:13">
      <c r="A11487" s="33" t="str">
        <f t="shared" si="716"/>
        <v>STO - CGS</v>
      </c>
      <c r="B11487" s="33" t="str">
        <f t="shared" si="717"/>
        <v>STO</v>
      </c>
      <c r="C11487" s="33" t="str">
        <f t="shared" si="718"/>
        <v>60005-0000</v>
      </c>
      <c r="D11487" t="s">
        <v>12773</v>
      </c>
      <c r="E11487" t="s">
        <v>3841</v>
      </c>
      <c r="F11487" t="s">
        <v>230</v>
      </c>
      <c r="G11487" t="s">
        <v>3838</v>
      </c>
      <c r="H11487" t="s">
        <v>1875</v>
      </c>
      <c r="I11487" t="s">
        <v>3842</v>
      </c>
      <c r="J11487" s="70">
        <v>104.93</v>
      </c>
      <c r="K11487" s="71">
        <v>10011.32</v>
      </c>
      <c r="L11487" s="33" t="e">
        <f>HLOOKUP(B11487,#REF!,1,0)</f>
        <v>#REF!</v>
      </c>
      <c r="M11487" s="33" t="str">
        <f t="shared" si="719"/>
        <v>P&amp;L</v>
      </c>
    </row>
    <row r="11488" spans="1:13">
      <c r="A11488" s="33" t="str">
        <f t="shared" si="716"/>
        <v>STO - CGS</v>
      </c>
      <c r="B11488" s="33" t="str">
        <f t="shared" si="717"/>
        <v>STO</v>
      </c>
      <c r="C11488" s="33" t="str">
        <f t="shared" si="718"/>
        <v>60007-0000</v>
      </c>
      <c r="D11488" t="s">
        <v>12774</v>
      </c>
      <c r="E11488" t="s">
        <v>3846</v>
      </c>
      <c r="F11488" t="s">
        <v>230</v>
      </c>
      <c r="G11488" t="s">
        <v>3838</v>
      </c>
      <c r="H11488" t="s">
        <v>1875</v>
      </c>
      <c r="I11488" t="s">
        <v>3847</v>
      </c>
      <c r="J11488" s="70">
        <v>0</v>
      </c>
      <c r="K11488" s="71">
        <v>70801</v>
      </c>
      <c r="L11488" s="33" t="e">
        <f>HLOOKUP(B11488,#REF!,1,0)</f>
        <v>#REF!</v>
      </c>
      <c r="M11488" s="33" t="str">
        <f t="shared" si="719"/>
        <v>P&amp;L</v>
      </c>
    </row>
    <row r="11489" spans="1:13">
      <c r="A11489" s="33" t="str">
        <f t="shared" si="716"/>
        <v>STO - CGS</v>
      </c>
      <c r="B11489" s="33" t="str">
        <f t="shared" si="717"/>
        <v>STO</v>
      </c>
      <c r="C11489" s="33" t="str">
        <f t="shared" si="718"/>
        <v>60011-0000</v>
      </c>
      <c r="D11489" t="s">
        <v>12775</v>
      </c>
      <c r="E11489" t="s">
        <v>4199</v>
      </c>
      <c r="F11489" t="s">
        <v>230</v>
      </c>
      <c r="G11489" t="s">
        <v>3838</v>
      </c>
      <c r="H11489" t="s">
        <v>1875</v>
      </c>
      <c r="I11489" t="s">
        <v>4200</v>
      </c>
      <c r="J11489" s="70">
        <v>0</v>
      </c>
      <c r="K11489" s="71">
        <v>1474.65</v>
      </c>
      <c r="L11489" s="33" t="e">
        <f>HLOOKUP(B11489,#REF!,1,0)</f>
        <v>#REF!</v>
      </c>
      <c r="M11489" s="33" t="str">
        <f t="shared" si="719"/>
        <v>P&amp;L</v>
      </c>
    </row>
    <row r="11490" spans="1:13">
      <c r="A11490" s="33" t="str">
        <f t="shared" si="716"/>
        <v>STO - CGS</v>
      </c>
      <c r="B11490" s="33" t="str">
        <f t="shared" si="717"/>
        <v>STO</v>
      </c>
      <c r="C11490" s="33" t="str">
        <f t="shared" si="718"/>
        <v>60012-0000</v>
      </c>
      <c r="D11490" t="s">
        <v>12776</v>
      </c>
      <c r="E11490" t="s">
        <v>3852</v>
      </c>
      <c r="F11490" t="s">
        <v>230</v>
      </c>
      <c r="G11490" t="s">
        <v>3838</v>
      </c>
      <c r="H11490" t="s">
        <v>1875</v>
      </c>
      <c r="I11490" t="s">
        <v>3853</v>
      </c>
      <c r="J11490" s="70">
        <v>0</v>
      </c>
      <c r="K11490" s="71">
        <v>27456.08</v>
      </c>
      <c r="L11490" s="33" t="e">
        <f>HLOOKUP(B11490,#REF!,1,0)</f>
        <v>#REF!</v>
      </c>
      <c r="M11490" s="33" t="str">
        <f t="shared" si="719"/>
        <v>P&amp;L</v>
      </c>
    </row>
    <row r="11491" spans="1:13">
      <c r="A11491" s="33" t="str">
        <f t="shared" si="716"/>
        <v>STO - CGS</v>
      </c>
      <c r="B11491" s="33" t="str">
        <f t="shared" si="717"/>
        <v>STO</v>
      </c>
      <c r="C11491" s="33" t="str">
        <f t="shared" si="718"/>
        <v>60014-0000</v>
      </c>
      <c r="D11491" t="s">
        <v>12777</v>
      </c>
      <c r="E11491" t="s">
        <v>3855</v>
      </c>
      <c r="F11491" t="s">
        <v>230</v>
      </c>
      <c r="G11491" t="s">
        <v>3838</v>
      </c>
      <c r="H11491" t="s">
        <v>1875</v>
      </c>
      <c r="I11491" t="s">
        <v>3856</v>
      </c>
      <c r="J11491" s="70">
        <v>1951.64</v>
      </c>
      <c r="K11491" s="71">
        <v>19500.41</v>
      </c>
      <c r="L11491" s="33" t="e">
        <f>HLOOKUP(B11491,#REF!,1,0)</f>
        <v>#REF!</v>
      </c>
      <c r="M11491" s="33" t="str">
        <f t="shared" si="719"/>
        <v>P&amp;L</v>
      </c>
    </row>
    <row r="11492" spans="1:13">
      <c r="A11492" s="33" t="str">
        <f t="shared" si="716"/>
        <v>STO - CGS</v>
      </c>
      <c r="B11492" s="33" t="str">
        <f t="shared" si="717"/>
        <v>STO</v>
      </c>
      <c r="C11492" s="33" t="str">
        <f t="shared" si="718"/>
        <v>60015-0000</v>
      </c>
      <c r="D11492" t="s">
        <v>12778</v>
      </c>
      <c r="E11492" t="s">
        <v>3858</v>
      </c>
      <c r="F11492" t="s">
        <v>230</v>
      </c>
      <c r="G11492" t="s">
        <v>3838</v>
      </c>
      <c r="H11492" t="s">
        <v>1875</v>
      </c>
      <c r="I11492" t="s">
        <v>3859</v>
      </c>
      <c r="J11492" s="70">
        <v>0</v>
      </c>
      <c r="K11492" s="71">
        <v>73.31</v>
      </c>
      <c r="L11492" s="33" t="e">
        <f>HLOOKUP(B11492,#REF!,1,0)</f>
        <v>#REF!</v>
      </c>
      <c r="M11492" s="33" t="str">
        <f t="shared" si="719"/>
        <v>P&amp;L</v>
      </c>
    </row>
    <row r="11493" spans="1:13">
      <c r="A11493" s="33" t="str">
        <f t="shared" si="716"/>
        <v>STO - Income Tax</v>
      </c>
      <c r="B11493" s="33" t="str">
        <f t="shared" si="717"/>
        <v>STO</v>
      </c>
      <c r="C11493" s="33" t="str">
        <f t="shared" si="718"/>
        <v>61019-0000</v>
      </c>
      <c r="D11493" t="s">
        <v>12779</v>
      </c>
      <c r="E11493" t="s">
        <v>4041</v>
      </c>
      <c r="F11493" t="s">
        <v>230</v>
      </c>
      <c r="G11493" t="s">
        <v>3844</v>
      </c>
      <c r="H11493" t="s">
        <v>3378</v>
      </c>
      <c r="I11493" t="s">
        <v>4042</v>
      </c>
      <c r="J11493" s="70">
        <v>0</v>
      </c>
      <c r="K11493" s="71">
        <v>2789.78</v>
      </c>
      <c r="L11493" s="33" t="e">
        <f>HLOOKUP(B11493,#REF!,1,0)</f>
        <v>#REF!</v>
      </c>
      <c r="M11493" s="33" t="str">
        <f t="shared" si="719"/>
        <v>P&amp;L</v>
      </c>
    </row>
    <row r="11494" spans="1:13">
      <c r="A11494" s="33" t="str">
        <f t="shared" si="716"/>
        <v>TPI - Cash</v>
      </c>
      <c r="B11494" s="33" t="str">
        <f t="shared" si="717"/>
        <v>TPI</v>
      </c>
      <c r="C11494" s="33" t="str">
        <f t="shared" si="718"/>
        <v>10001-0000</v>
      </c>
      <c r="D11494" t="s">
        <v>12780</v>
      </c>
      <c r="E11494" t="s">
        <v>240</v>
      </c>
      <c r="F11494" t="s">
        <v>230</v>
      </c>
      <c r="G11494" t="s">
        <v>16</v>
      </c>
      <c r="H11494" t="s">
        <v>25</v>
      </c>
      <c r="I11494" t="s">
        <v>18</v>
      </c>
      <c r="J11494" s="70">
        <v>-246168.4</v>
      </c>
      <c r="K11494" s="71">
        <v>-138592.24</v>
      </c>
      <c r="L11494" s="33" t="e">
        <f>HLOOKUP(B11494,#REF!,1,0)</f>
        <v>#REF!</v>
      </c>
      <c r="M11494" s="33" t="str">
        <f t="shared" si="719"/>
        <v>BS</v>
      </c>
    </row>
    <row r="11495" spans="1:13">
      <c r="A11495" s="33" t="str">
        <f t="shared" si="716"/>
        <v>TPI - AR-PPD</v>
      </c>
      <c r="B11495" s="33" t="str">
        <f t="shared" si="717"/>
        <v>TPI</v>
      </c>
      <c r="C11495" s="33" t="str">
        <f t="shared" si="718"/>
        <v>11000-0000</v>
      </c>
      <c r="D11495" t="s">
        <v>12781</v>
      </c>
      <c r="E11495" t="s">
        <v>34</v>
      </c>
      <c r="F11495" t="s">
        <v>230</v>
      </c>
      <c r="G11495" t="s">
        <v>16</v>
      </c>
      <c r="H11495" t="s">
        <v>35</v>
      </c>
      <c r="I11495" t="s">
        <v>36</v>
      </c>
      <c r="J11495" s="70">
        <v>0</v>
      </c>
      <c r="K11495" s="71">
        <v>19449.96</v>
      </c>
      <c r="L11495" s="33" t="e">
        <f>HLOOKUP(B11495,#REF!,1,0)</f>
        <v>#REF!</v>
      </c>
      <c r="M11495" s="33" t="str">
        <f t="shared" si="719"/>
        <v>BS</v>
      </c>
    </row>
    <row r="11496" spans="1:13">
      <c r="A11496" s="33" t="str">
        <f t="shared" si="716"/>
        <v>TPI - Intercompany</v>
      </c>
      <c r="B11496" s="33" t="str">
        <f t="shared" si="717"/>
        <v>TPI</v>
      </c>
      <c r="C11496" s="33" t="str">
        <f t="shared" si="718"/>
        <v>11216-0000</v>
      </c>
      <c r="D11496" t="s">
        <v>12782</v>
      </c>
      <c r="E11496" t="s">
        <v>242</v>
      </c>
      <c r="F11496" t="s">
        <v>230</v>
      </c>
      <c r="G11496" t="s">
        <v>16</v>
      </c>
      <c r="H11496" t="s">
        <v>39</v>
      </c>
      <c r="I11496" t="s">
        <v>40</v>
      </c>
      <c r="J11496" s="70">
        <v>1944.57</v>
      </c>
      <c r="K11496" s="71">
        <v>-6963.97</v>
      </c>
      <c r="L11496" s="33" t="e">
        <f>HLOOKUP(B11496,#REF!,1,0)</f>
        <v>#REF!</v>
      </c>
      <c r="M11496" s="33" t="str">
        <f t="shared" si="719"/>
        <v>BS</v>
      </c>
    </row>
    <row r="11497" spans="1:13">
      <c r="A11497" s="33" t="str">
        <f t="shared" si="716"/>
        <v>TPI - Intercompany</v>
      </c>
      <c r="B11497" s="33" t="str">
        <f t="shared" si="717"/>
        <v>TPI</v>
      </c>
      <c r="C11497" s="33" t="str">
        <f t="shared" si="718"/>
        <v>11318-0000</v>
      </c>
      <c r="D11497" t="s">
        <v>12783</v>
      </c>
      <c r="E11497" t="s">
        <v>478</v>
      </c>
      <c r="F11497" t="s">
        <v>230</v>
      </c>
      <c r="G11497" t="s">
        <v>16</v>
      </c>
      <c r="H11497" t="s">
        <v>39</v>
      </c>
      <c r="I11497" t="s">
        <v>40</v>
      </c>
      <c r="J11497" s="70">
        <v>0</v>
      </c>
      <c r="K11497" s="71">
        <v>-7504003.34</v>
      </c>
      <c r="L11497" s="33" t="e">
        <f>HLOOKUP(B11497,#REF!,1,0)</f>
        <v>#REF!</v>
      </c>
      <c r="M11497" s="33" t="str">
        <f t="shared" si="719"/>
        <v>BS</v>
      </c>
    </row>
    <row r="11498" spans="1:13">
      <c r="A11498" s="33" t="str">
        <f t="shared" si="716"/>
        <v>TPI - Intercompany</v>
      </c>
      <c r="B11498" s="33" t="str">
        <f t="shared" si="717"/>
        <v>TPI</v>
      </c>
      <c r="C11498" s="33" t="str">
        <f t="shared" si="718"/>
        <v>11343-0000</v>
      </c>
      <c r="D11498" t="s">
        <v>12784</v>
      </c>
      <c r="E11498" t="s">
        <v>600</v>
      </c>
      <c r="F11498" t="s">
        <v>230</v>
      </c>
      <c r="G11498" t="s">
        <v>16</v>
      </c>
      <c r="H11498" t="s">
        <v>39</v>
      </c>
      <c r="I11498" t="s">
        <v>40</v>
      </c>
      <c r="J11498" s="70">
        <v>3868.75</v>
      </c>
      <c r="K11498" s="71">
        <v>-9775.31</v>
      </c>
      <c r="L11498" s="33" t="e">
        <f>HLOOKUP(B11498,#REF!,1,0)</f>
        <v>#REF!</v>
      </c>
      <c r="M11498" s="33" t="str">
        <f t="shared" si="719"/>
        <v>BS</v>
      </c>
    </row>
    <row r="11499" spans="1:13">
      <c r="A11499" s="33" t="str">
        <f t="shared" si="716"/>
        <v>TPI - AR-PPD</v>
      </c>
      <c r="B11499" s="33" t="str">
        <f t="shared" si="717"/>
        <v>TPI</v>
      </c>
      <c r="C11499" s="33" t="str">
        <f t="shared" si="718"/>
        <v>12200-0000</v>
      </c>
      <c r="D11499" t="s">
        <v>12785</v>
      </c>
      <c r="E11499" t="s">
        <v>294</v>
      </c>
      <c r="F11499" t="s">
        <v>230</v>
      </c>
      <c r="G11499" t="s">
        <v>62</v>
      </c>
      <c r="H11499" t="s">
        <v>35</v>
      </c>
      <c r="I11499" t="s">
        <v>64</v>
      </c>
      <c r="J11499" s="70">
        <v>16385.49</v>
      </c>
      <c r="K11499" s="71">
        <v>56001.24</v>
      </c>
      <c r="L11499" s="33" t="e">
        <f>HLOOKUP(B11499,#REF!,1,0)</f>
        <v>#REF!</v>
      </c>
      <c r="M11499" s="33" t="str">
        <f t="shared" si="719"/>
        <v>BS</v>
      </c>
    </row>
    <row r="11500" spans="1:13">
      <c r="A11500" s="33" t="str">
        <f t="shared" si="716"/>
        <v>TPI - Fixed Assets</v>
      </c>
      <c r="B11500" s="33" t="str">
        <f t="shared" si="717"/>
        <v>TPI</v>
      </c>
      <c r="C11500" s="33" t="str">
        <f t="shared" si="718"/>
        <v>14000-0000</v>
      </c>
      <c r="D11500" t="s">
        <v>12786</v>
      </c>
      <c r="E11500" t="s">
        <v>298</v>
      </c>
      <c r="F11500" t="s">
        <v>230</v>
      </c>
      <c r="G11500" t="s">
        <v>62</v>
      </c>
      <c r="H11500" t="s">
        <v>63</v>
      </c>
      <c r="I11500" t="s">
        <v>64</v>
      </c>
      <c r="J11500" s="70">
        <v>0</v>
      </c>
      <c r="K11500" s="71">
        <v>16950000</v>
      </c>
      <c r="L11500" s="33" t="e">
        <f>HLOOKUP(B11500,#REF!,1,0)</f>
        <v>#REF!</v>
      </c>
      <c r="M11500" s="33" t="str">
        <f t="shared" si="719"/>
        <v>BS</v>
      </c>
    </row>
    <row r="11501" spans="1:13">
      <c r="A11501" s="33" t="str">
        <f t="shared" si="716"/>
        <v>TPI - Fixed Assets</v>
      </c>
      <c r="B11501" s="33" t="str">
        <f t="shared" si="717"/>
        <v>TPI</v>
      </c>
      <c r="C11501" s="33" t="str">
        <f t="shared" si="718"/>
        <v>15000-0000</v>
      </c>
      <c r="D11501" t="s">
        <v>12787</v>
      </c>
      <c r="E11501" t="s">
        <v>300</v>
      </c>
      <c r="F11501" t="s">
        <v>230</v>
      </c>
      <c r="G11501" t="s">
        <v>62</v>
      </c>
      <c r="H11501" t="s">
        <v>63</v>
      </c>
      <c r="I11501" t="s">
        <v>64</v>
      </c>
      <c r="J11501" s="70">
        <v>0</v>
      </c>
      <c r="K11501" s="71">
        <v>39550000</v>
      </c>
      <c r="L11501" s="33" t="e">
        <f>HLOOKUP(B11501,#REF!,1,0)</f>
        <v>#REF!</v>
      </c>
      <c r="M11501" s="33" t="str">
        <f t="shared" si="719"/>
        <v>BS</v>
      </c>
    </row>
    <row r="11502" spans="1:13">
      <c r="A11502" s="33" t="str">
        <f t="shared" si="716"/>
        <v>TPI - Fixed Assets</v>
      </c>
      <c r="B11502" s="33" t="str">
        <f t="shared" si="717"/>
        <v>TPI</v>
      </c>
      <c r="C11502" s="33" t="str">
        <f t="shared" si="718"/>
        <v>15501-0000</v>
      </c>
      <c r="D11502" t="s">
        <v>12788</v>
      </c>
      <c r="E11502" t="s">
        <v>2635</v>
      </c>
      <c r="F11502" t="s">
        <v>230</v>
      </c>
      <c r="G11502" t="s">
        <v>62</v>
      </c>
      <c r="H11502" t="s">
        <v>63</v>
      </c>
      <c r="I11502" t="s">
        <v>64</v>
      </c>
      <c r="J11502" s="70">
        <v>2498.38</v>
      </c>
      <c r="K11502" s="71">
        <v>9805.26</v>
      </c>
      <c r="L11502" s="33" t="e">
        <f>HLOOKUP(B11502,#REF!,1,0)</f>
        <v>#REF!</v>
      </c>
      <c r="M11502" s="33" t="str">
        <f t="shared" si="719"/>
        <v>BS</v>
      </c>
    </row>
    <row r="11503" spans="1:13">
      <c r="A11503" s="33" t="str">
        <f t="shared" si="716"/>
        <v>TPI - Deposits</v>
      </c>
      <c r="B11503" s="33" t="str">
        <f t="shared" si="717"/>
        <v>TPI</v>
      </c>
      <c r="C11503" s="33" t="str">
        <f t="shared" si="718"/>
        <v>19001-0000</v>
      </c>
      <c r="D11503" t="s">
        <v>12789</v>
      </c>
      <c r="E11503" t="s">
        <v>344</v>
      </c>
      <c r="F11503" t="s">
        <v>230</v>
      </c>
      <c r="G11503" t="s">
        <v>62</v>
      </c>
      <c r="H11503" t="s">
        <v>80</v>
      </c>
      <c r="I11503" t="s">
        <v>81</v>
      </c>
      <c r="J11503" s="70">
        <v>0</v>
      </c>
      <c r="K11503" s="71">
        <v>19075</v>
      </c>
      <c r="L11503" s="33" t="e">
        <f>HLOOKUP(B11503,#REF!,1,0)</f>
        <v>#REF!</v>
      </c>
      <c r="M11503" s="33" t="str">
        <f t="shared" si="719"/>
        <v>BS</v>
      </c>
    </row>
    <row r="11504" spans="1:13">
      <c r="A11504" s="33" t="str">
        <f t="shared" si="716"/>
        <v>TPI - Tax Accr</v>
      </c>
      <c r="B11504" s="33" t="str">
        <f t="shared" si="717"/>
        <v>TPI</v>
      </c>
      <c r="C11504" s="33" t="str">
        <f t="shared" si="718"/>
        <v>22001-0000</v>
      </c>
      <c r="D11504" t="s">
        <v>12790</v>
      </c>
      <c r="E11504" t="s">
        <v>1322</v>
      </c>
      <c r="F11504" t="s">
        <v>230</v>
      </c>
      <c r="G11504" t="s">
        <v>97</v>
      </c>
      <c r="H11504" t="s">
        <v>105</v>
      </c>
      <c r="I11504" t="s">
        <v>102</v>
      </c>
      <c r="J11504" s="70">
        <v>-3650.83</v>
      </c>
      <c r="K11504" s="71">
        <v>-17475.85</v>
      </c>
      <c r="L11504" s="33" t="e">
        <f>HLOOKUP(B11504,#REF!,1,0)</f>
        <v>#REF!</v>
      </c>
      <c r="M11504" s="33" t="str">
        <f t="shared" si="719"/>
        <v>BS</v>
      </c>
    </row>
    <row r="11505" spans="1:13">
      <c r="A11505" s="33" t="str">
        <f t="shared" si="716"/>
        <v>TPI - AP-Accr Exp</v>
      </c>
      <c r="B11505" s="33" t="str">
        <f t="shared" si="717"/>
        <v>TPI</v>
      </c>
      <c r="C11505" s="33" t="str">
        <f t="shared" si="718"/>
        <v>23509-0000</v>
      </c>
      <c r="D11505" t="s">
        <v>12791</v>
      </c>
      <c r="E11505" t="s">
        <v>111</v>
      </c>
      <c r="F11505" t="s">
        <v>230</v>
      </c>
      <c r="G11505" t="s">
        <v>97</v>
      </c>
      <c r="H11505" t="s">
        <v>98</v>
      </c>
      <c r="I11505" t="s">
        <v>102</v>
      </c>
      <c r="J11505" s="70">
        <v>848.31</v>
      </c>
      <c r="K11505" s="71">
        <v>0</v>
      </c>
      <c r="L11505" s="33" t="e">
        <f>HLOOKUP(B11505,#REF!,1,0)</f>
        <v>#REF!</v>
      </c>
      <c r="M11505" s="33" t="str">
        <f t="shared" si="719"/>
        <v>BS</v>
      </c>
    </row>
    <row r="11506" spans="1:13">
      <c r="A11506" s="33" t="str">
        <f t="shared" si="716"/>
        <v>TPI - AR-PPD</v>
      </c>
      <c r="B11506" s="33" t="str">
        <f t="shared" si="717"/>
        <v>TPI</v>
      </c>
      <c r="C11506" s="33" t="str">
        <f t="shared" si="718"/>
        <v>25300-0000</v>
      </c>
      <c r="D11506" t="s">
        <v>12792</v>
      </c>
      <c r="E11506" t="s">
        <v>3677</v>
      </c>
      <c r="F11506" t="s">
        <v>230</v>
      </c>
      <c r="G11506" t="s">
        <v>3678</v>
      </c>
      <c r="H11506" t="s">
        <v>35</v>
      </c>
      <c r="I11506" t="s">
        <v>102</v>
      </c>
      <c r="J11506" s="70">
        <v>3344</v>
      </c>
      <c r="K11506" s="71">
        <v>2568.4</v>
      </c>
      <c r="L11506" s="33" t="e">
        <f>HLOOKUP(B11506,#REF!,1,0)</f>
        <v>#REF!</v>
      </c>
      <c r="M11506" s="33" t="str">
        <f t="shared" si="719"/>
        <v>BS</v>
      </c>
    </row>
    <row r="11507" spans="1:13">
      <c r="A11507" s="33" t="str">
        <f t="shared" si="716"/>
        <v>TPI - Principal</v>
      </c>
      <c r="B11507" s="33" t="str">
        <f t="shared" si="717"/>
        <v>TPI</v>
      </c>
      <c r="C11507" s="33" t="str">
        <f t="shared" si="718"/>
        <v>28001-0000</v>
      </c>
      <c r="D11507" t="s">
        <v>12793</v>
      </c>
      <c r="E11507" t="s">
        <v>12794</v>
      </c>
      <c r="F11507" t="s">
        <v>230</v>
      </c>
      <c r="G11507" t="s">
        <v>123</v>
      </c>
      <c r="H11507" t="s">
        <v>127</v>
      </c>
      <c r="I11507" t="s">
        <v>133</v>
      </c>
      <c r="J11507" s="70">
        <v>0</v>
      </c>
      <c r="K11507" s="71">
        <v>-40501700.5</v>
      </c>
      <c r="L11507" s="33" t="e">
        <f>HLOOKUP(B11507,#REF!,1,0)</f>
        <v>#REF!</v>
      </c>
      <c r="M11507" s="33" t="str">
        <f t="shared" si="719"/>
        <v>BS</v>
      </c>
    </row>
    <row r="11508" spans="1:13">
      <c r="A11508" s="33" t="str">
        <f t="shared" si="716"/>
        <v>TPI - SH Dist</v>
      </c>
      <c r="B11508" s="33" t="str">
        <f t="shared" si="717"/>
        <v>TPI</v>
      </c>
      <c r="C11508" s="33" t="str">
        <f t="shared" si="718"/>
        <v>30700-0000</v>
      </c>
      <c r="D11508" t="s">
        <v>12795</v>
      </c>
      <c r="E11508" t="s">
        <v>319</v>
      </c>
      <c r="F11508" t="s">
        <v>230</v>
      </c>
      <c r="G11508" t="s">
        <v>142</v>
      </c>
      <c r="H11508" t="s">
        <v>143</v>
      </c>
      <c r="I11508" t="s">
        <v>144</v>
      </c>
      <c r="J11508" s="70">
        <v>0</v>
      </c>
      <c r="K11508" s="71">
        <v>-9300000</v>
      </c>
      <c r="L11508" s="33" t="e">
        <f>HLOOKUP(B11508,#REF!,1,0)</f>
        <v>#REF!</v>
      </c>
      <c r="M11508" s="33" t="str">
        <f t="shared" si="719"/>
        <v>BS</v>
      </c>
    </row>
    <row r="11509" spans="1:13">
      <c r="A11509" s="33" t="str">
        <f t="shared" si="716"/>
        <v>TPI - Revenue</v>
      </c>
      <c r="B11509" s="33" t="str">
        <f t="shared" si="717"/>
        <v>TPI</v>
      </c>
      <c r="C11509" s="33" t="str">
        <f t="shared" si="718"/>
        <v>40110-0000</v>
      </c>
      <c r="D11509" t="s">
        <v>12796</v>
      </c>
      <c r="E11509" t="s">
        <v>3683</v>
      </c>
      <c r="F11509" t="s">
        <v>230</v>
      </c>
      <c r="G11509" t="s">
        <v>3684</v>
      </c>
      <c r="H11509" t="s">
        <v>2871</v>
      </c>
      <c r="I11509" t="s">
        <v>3685</v>
      </c>
      <c r="J11509" s="70">
        <v>-214272</v>
      </c>
      <c r="K11509" s="71">
        <v>-1219083.31</v>
      </c>
      <c r="L11509" s="33" t="e">
        <f>HLOOKUP(B11509,#REF!,1,0)</f>
        <v>#REF!</v>
      </c>
      <c r="M11509" s="33" t="str">
        <f t="shared" si="719"/>
        <v>P&amp;L</v>
      </c>
    </row>
    <row r="11510" spans="1:13">
      <c r="A11510" s="33" t="str">
        <f t="shared" si="716"/>
        <v>TPI - Revenue</v>
      </c>
      <c r="B11510" s="33" t="str">
        <f t="shared" si="717"/>
        <v>TPI</v>
      </c>
      <c r="C11510" s="33" t="str">
        <f t="shared" si="718"/>
        <v>40120-0000</v>
      </c>
      <c r="D11510" t="s">
        <v>12797</v>
      </c>
      <c r="E11510" t="s">
        <v>3687</v>
      </c>
      <c r="F11510" t="s">
        <v>230</v>
      </c>
      <c r="G11510" t="s">
        <v>3684</v>
      </c>
      <c r="H11510" t="s">
        <v>2871</v>
      </c>
      <c r="I11510" t="s">
        <v>3688</v>
      </c>
      <c r="J11510" s="70">
        <v>-7675</v>
      </c>
      <c r="K11510" s="71">
        <v>-20037</v>
      </c>
      <c r="L11510" s="33" t="e">
        <f>HLOOKUP(B11510,#REF!,1,0)</f>
        <v>#REF!</v>
      </c>
      <c r="M11510" s="33" t="str">
        <f t="shared" si="719"/>
        <v>P&amp;L</v>
      </c>
    </row>
    <row r="11511" spans="1:13">
      <c r="A11511" s="33" t="str">
        <f t="shared" si="716"/>
        <v>TPI - Revenue</v>
      </c>
      <c r="B11511" s="33" t="str">
        <f t="shared" si="717"/>
        <v>TPI</v>
      </c>
      <c r="C11511" s="33" t="str">
        <f t="shared" si="718"/>
        <v>40130-0000</v>
      </c>
      <c r="D11511" t="s">
        <v>12798</v>
      </c>
      <c r="E11511" t="s">
        <v>3690</v>
      </c>
      <c r="F11511" t="s">
        <v>230</v>
      </c>
      <c r="G11511" t="s">
        <v>3684</v>
      </c>
      <c r="H11511" t="s">
        <v>2871</v>
      </c>
      <c r="I11511" t="s">
        <v>3691</v>
      </c>
      <c r="J11511" s="70">
        <v>-12225</v>
      </c>
      <c r="K11511" s="71">
        <v>-38014</v>
      </c>
      <c r="L11511" s="33" t="e">
        <f>HLOOKUP(B11511,#REF!,1,0)</f>
        <v>#REF!</v>
      </c>
      <c r="M11511" s="33" t="str">
        <f t="shared" si="719"/>
        <v>P&amp;L</v>
      </c>
    </row>
    <row r="11512" spans="1:13">
      <c r="A11512" s="33" t="str">
        <f t="shared" si="716"/>
        <v>TPI - Revenue</v>
      </c>
      <c r="B11512" s="33" t="str">
        <f t="shared" si="717"/>
        <v>TPI</v>
      </c>
      <c r="C11512" s="33" t="str">
        <f t="shared" si="718"/>
        <v>41110-0000</v>
      </c>
      <c r="D11512" t="s">
        <v>12799</v>
      </c>
      <c r="E11512" t="s">
        <v>3693</v>
      </c>
      <c r="F11512" t="s">
        <v>230</v>
      </c>
      <c r="G11512" t="s">
        <v>3694</v>
      </c>
      <c r="H11512" t="s">
        <v>2871</v>
      </c>
      <c r="I11512" t="s">
        <v>3695</v>
      </c>
      <c r="J11512" s="70">
        <v>28545.22</v>
      </c>
      <c r="K11512" s="71">
        <v>126309.83</v>
      </c>
      <c r="L11512" s="33" t="e">
        <f>HLOOKUP(B11512,#REF!,1,0)</f>
        <v>#REF!</v>
      </c>
      <c r="M11512" s="33" t="str">
        <f t="shared" si="719"/>
        <v>P&amp;L</v>
      </c>
    </row>
    <row r="11513" spans="1:13">
      <c r="A11513" s="33" t="str">
        <f t="shared" si="716"/>
        <v>TPI - Revenue</v>
      </c>
      <c r="B11513" s="33" t="str">
        <f t="shared" si="717"/>
        <v>TPI</v>
      </c>
      <c r="C11513" s="33" t="str">
        <f t="shared" si="718"/>
        <v>41121-0000</v>
      </c>
      <c r="D11513" t="s">
        <v>12800</v>
      </c>
      <c r="E11513" t="s">
        <v>3697</v>
      </c>
      <c r="F11513" t="s">
        <v>230</v>
      </c>
      <c r="G11513" t="s">
        <v>3694</v>
      </c>
      <c r="H11513" s="64" t="s">
        <v>2871</v>
      </c>
      <c r="I11513" t="s">
        <v>3698</v>
      </c>
      <c r="J11513" s="70">
        <v>60807.4</v>
      </c>
      <c r="K11513" s="71">
        <v>160554.67</v>
      </c>
      <c r="L11513" s="33" t="e">
        <f>HLOOKUP(B11513,#REF!,1,0)</f>
        <v>#REF!</v>
      </c>
      <c r="M11513" s="33" t="str">
        <f t="shared" si="719"/>
        <v>P&amp;L</v>
      </c>
    </row>
    <row r="11514" spans="1:13">
      <c r="A11514" s="33" t="str">
        <f t="shared" si="716"/>
        <v>TPI - Revenue</v>
      </c>
      <c r="B11514" s="33" t="str">
        <f t="shared" si="717"/>
        <v>TPI</v>
      </c>
      <c r="C11514" s="33" t="str">
        <f t="shared" si="718"/>
        <v>41122-0000</v>
      </c>
      <c r="D11514" t="s">
        <v>12801</v>
      </c>
      <c r="E11514" t="s">
        <v>3700</v>
      </c>
      <c r="F11514" t="s">
        <v>230</v>
      </c>
      <c r="G11514" t="s">
        <v>3694</v>
      </c>
      <c r="H11514" t="s">
        <v>2871</v>
      </c>
      <c r="I11514" t="s">
        <v>3701</v>
      </c>
      <c r="J11514" s="70">
        <v>-12948.42</v>
      </c>
      <c r="K11514" s="71">
        <v>-186014.78</v>
      </c>
      <c r="L11514" s="33" t="e">
        <f>HLOOKUP(B11514,#REF!,1,0)</f>
        <v>#REF!</v>
      </c>
      <c r="M11514" s="33" t="str">
        <f t="shared" si="719"/>
        <v>P&amp;L</v>
      </c>
    </row>
    <row r="11515" spans="1:13">
      <c r="A11515" s="33" t="str">
        <f t="shared" si="716"/>
        <v>TPI - Revenue</v>
      </c>
      <c r="B11515" s="33" t="str">
        <f t="shared" si="717"/>
        <v>TPI</v>
      </c>
      <c r="C11515" s="33" t="str">
        <f t="shared" si="718"/>
        <v>41130-0000</v>
      </c>
      <c r="D11515" t="s">
        <v>12802</v>
      </c>
      <c r="E11515" t="s">
        <v>3703</v>
      </c>
      <c r="F11515" t="s">
        <v>230</v>
      </c>
      <c r="G11515" t="s">
        <v>3694</v>
      </c>
      <c r="H11515" t="s">
        <v>2871</v>
      </c>
      <c r="I11515" t="s">
        <v>3704</v>
      </c>
      <c r="J11515" s="70">
        <v>3700.27</v>
      </c>
      <c r="K11515" s="71">
        <v>17149.38</v>
      </c>
      <c r="L11515" s="33" t="e">
        <f>HLOOKUP(B11515,#REF!,1,0)</f>
        <v>#REF!</v>
      </c>
      <c r="M11515" s="33" t="str">
        <f t="shared" si="719"/>
        <v>P&amp;L</v>
      </c>
    </row>
    <row r="11516" spans="1:13">
      <c r="A11516" s="33" t="str">
        <f t="shared" si="716"/>
        <v>TPI - Revenue</v>
      </c>
      <c r="B11516" s="33" t="str">
        <f t="shared" si="717"/>
        <v>TPI</v>
      </c>
      <c r="C11516" s="33" t="str">
        <f t="shared" si="718"/>
        <v>41140-0000</v>
      </c>
      <c r="D11516" t="s">
        <v>12803</v>
      </c>
      <c r="E11516" t="s">
        <v>3706</v>
      </c>
      <c r="F11516" t="s">
        <v>230</v>
      </c>
      <c r="G11516" t="s">
        <v>3694</v>
      </c>
      <c r="H11516" t="s">
        <v>2871</v>
      </c>
      <c r="I11516" t="s">
        <v>3707</v>
      </c>
      <c r="J11516" s="70">
        <v>0</v>
      </c>
      <c r="K11516" s="71">
        <v>18999</v>
      </c>
      <c r="L11516" s="33" t="e">
        <f>HLOOKUP(B11516,#REF!,1,0)</f>
        <v>#REF!</v>
      </c>
      <c r="M11516" s="33" t="str">
        <f t="shared" si="719"/>
        <v>P&amp;L</v>
      </c>
    </row>
    <row r="11517" spans="1:13">
      <c r="A11517" s="33" t="str">
        <f t="shared" si="716"/>
        <v>TPI - Revenue</v>
      </c>
      <c r="B11517" s="33" t="str">
        <f t="shared" si="717"/>
        <v>TPI</v>
      </c>
      <c r="C11517" s="33" t="str">
        <f t="shared" si="718"/>
        <v>41150-0000</v>
      </c>
      <c r="D11517" t="s">
        <v>12804</v>
      </c>
      <c r="E11517" t="s">
        <v>3709</v>
      </c>
      <c r="F11517" t="s">
        <v>230</v>
      </c>
      <c r="G11517" t="s">
        <v>3694</v>
      </c>
      <c r="H11517" t="s">
        <v>2871</v>
      </c>
      <c r="I11517" t="s">
        <v>3710</v>
      </c>
      <c r="J11517" s="70">
        <v>0</v>
      </c>
      <c r="K11517" s="71">
        <v>0</v>
      </c>
      <c r="L11517" s="33" t="e">
        <f>HLOOKUP(B11517,#REF!,1,0)</f>
        <v>#REF!</v>
      </c>
      <c r="M11517" s="33" t="str">
        <f t="shared" si="719"/>
        <v>P&amp;L</v>
      </c>
    </row>
    <row r="11518" spans="1:13">
      <c r="A11518" s="33" t="str">
        <f t="shared" si="716"/>
        <v>TPI - Revenue</v>
      </c>
      <c r="B11518" s="33" t="str">
        <f t="shared" si="717"/>
        <v>TPI</v>
      </c>
      <c r="C11518" s="33" t="str">
        <f t="shared" si="718"/>
        <v>41999-0000</v>
      </c>
      <c r="D11518" t="s">
        <v>12805</v>
      </c>
      <c r="E11518" t="s">
        <v>3712</v>
      </c>
      <c r="F11518" t="s">
        <v>230</v>
      </c>
      <c r="G11518" t="s">
        <v>3713</v>
      </c>
      <c r="H11518" t="s">
        <v>2871</v>
      </c>
      <c r="I11518" t="s">
        <v>3714</v>
      </c>
      <c r="J11518" s="70">
        <v>154067.53</v>
      </c>
      <c r="K11518" s="71">
        <v>1140136.21</v>
      </c>
      <c r="L11518" s="33" t="e">
        <f>HLOOKUP(B11518,#REF!,1,0)</f>
        <v>#REF!</v>
      </c>
      <c r="M11518" s="33" t="str">
        <f t="shared" si="719"/>
        <v>P&amp;L</v>
      </c>
    </row>
    <row r="11519" spans="1:13">
      <c r="A11519" s="33" t="str">
        <f t="shared" si="716"/>
        <v>TPI - Revenue</v>
      </c>
      <c r="B11519" s="33" t="str">
        <f t="shared" si="717"/>
        <v>TPI</v>
      </c>
      <c r="C11519" s="33" t="str">
        <f t="shared" si="718"/>
        <v>47400-0000</v>
      </c>
      <c r="D11519" t="s">
        <v>12806</v>
      </c>
      <c r="E11519" t="s">
        <v>3716</v>
      </c>
      <c r="F11519" t="s">
        <v>230</v>
      </c>
      <c r="G11519" t="s">
        <v>3717</v>
      </c>
      <c r="H11519" t="s">
        <v>2871</v>
      </c>
      <c r="I11519" t="s">
        <v>3718</v>
      </c>
      <c r="J11519" s="70">
        <v>-153991.27</v>
      </c>
      <c r="K11519" s="71">
        <v>-1135543.33</v>
      </c>
      <c r="L11519" s="33" t="e">
        <f>HLOOKUP(B11519,#REF!,1,0)</f>
        <v>#REF!</v>
      </c>
      <c r="M11519" s="33" t="str">
        <f t="shared" si="719"/>
        <v>P&amp;L</v>
      </c>
    </row>
    <row r="11520" spans="1:13">
      <c r="A11520" s="33" t="str">
        <f t="shared" si="716"/>
        <v>TPI - Revenue</v>
      </c>
      <c r="B11520" s="33" t="str">
        <f t="shared" si="717"/>
        <v>TPI</v>
      </c>
      <c r="C11520" s="33" t="str">
        <f t="shared" si="718"/>
        <v>47430-0000</v>
      </c>
      <c r="D11520" t="s">
        <v>12807</v>
      </c>
      <c r="E11520" t="s">
        <v>4053</v>
      </c>
      <c r="F11520" t="s">
        <v>230</v>
      </c>
      <c r="G11520" t="s">
        <v>3717</v>
      </c>
      <c r="H11520" t="s">
        <v>2871</v>
      </c>
      <c r="I11520" t="s">
        <v>4054</v>
      </c>
      <c r="J11520" s="70">
        <v>0</v>
      </c>
      <c r="K11520" s="71">
        <v>-340.6</v>
      </c>
      <c r="L11520" s="33" t="e">
        <f>HLOOKUP(B11520,#REF!,1,0)</f>
        <v>#REF!</v>
      </c>
      <c r="M11520" s="33" t="str">
        <f t="shared" si="719"/>
        <v>P&amp;L</v>
      </c>
    </row>
    <row r="11521" spans="1:13">
      <c r="A11521" s="33" t="str">
        <f t="shared" si="716"/>
        <v>TPI - Revenue</v>
      </c>
      <c r="B11521" s="33" t="str">
        <f t="shared" si="717"/>
        <v>TPI</v>
      </c>
      <c r="C11521" s="33" t="str">
        <f t="shared" si="718"/>
        <v>47440-0000</v>
      </c>
      <c r="D11521" t="s">
        <v>12808</v>
      </c>
      <c r="E11521" t="s">
        <v>3720</v>
      </c>
      <c r="F11521" t="s">
        <v>230</v>
      </c>
      <c r="G11521" t="s">
        <v>3717</v>
      </c>
      <c r="H11521" t="s">
        <v>2871</v>
      </c>
      <c r="I11521" t="s">
        <v>3721</v>
      </c>
      <c r="J11521" s="70">
        <v>-6328.1</v>
      </c>
      <c r="K11521" s="71">
        <v>-46142.09</v>
      </c>
      <c r="L11521" s="33" t="e">
        <f>HLOOKUP(B11521,#REF!,1,0)</f>
        <v>#REF!</v>
      </c>
      <c r="M11521" s="33" t="str">
        <f t="shared" si="719"/>
        <v>P&amp;L</v>
      </c>
    </row>
    <row r="11522" spans="1:13">
      <c r="A11522" s="33" t="str">
        <f t="shared" ref="A11522:A11585" si="720">B11522&amp;" - "&amp;TRIM(H11522)</f>
        <v>TPI - Revenue</v>
      </c>
      <c r="B11522" s="33" t="str">
        <f t="shared" ref="B11522:B11585" si="721">LEFT(D11522,3)</f>
        <v>TPI</v>
      </c>
      <c r="C11522" s="33" t="str">
        <f t="shared" ref="C11522:C11585" si="722">RIGHT(D11522,10)</f>
        <v>47450-0000</v>
      </c>
      <c r="D11522" t="s">
        <v>12809</v>
      </c>
      <c r="E11522" t="s">
        <v>3723</v>
      </c>
      <c r="F11522" t="s">
        <v>230</v>
      </c>
      <c r="G11522" t="s">
        <v>3717</v>
      </c>
      <c r="H11522" t="s">
        <v>2871</v>
      </c>
      <c r="I11522" t="s">
        <v>3724</v>
      </c>
      <c r="J11522" s="70">
        <v>0</v>
      </c>
      <c r="K11522" s="71">
        <v>0</v>
      </c>
      <c r="L11522" s="33" t="e">
        <f>HLOOKUP(B11522,#REF!,1,0)</f>
        <v>#REF!</v>
      </c>
      <c r="M11522" s="33" t="str">
        <f t="shared" ref="M11522:M11585" si="723">IF(VALUE(LEFT(C11522,5))&gt;40000,"P&amp;L","BS")</f>
        <v>P&amp;L</v>
      </c>
    </row>
    <row r="11523" spans="1:13">
      <c r="A11523" s="33" t="str">
        <f t="shared" si="720"/>
        <v>TPI - Revenue</v>
      </c>
      <c r="B11523" s="33" t="str">
        <f t="shared" si="721"/>
        <v>TPI</v>
      </c>
      <c r="C11523" s="33" t="str">
        <f t="shared" si="722"/>
        <v>47460-0000</v>
      </c>
      <c r="D11523" t="s">
        <v>12810</v>
      </c>
      <c r="E11523" t="s">
        <v>3726</v>
      </c>
      <c r="F11523" t="s">
        <v>230</v>
      </c>
      <c r="G11523" t="s">
        <v>3717</v>
      </c>
      <c r="H11523" t="s">
        <v>2871</v>
      </c>
      <c r="I11523" t="s">
        <v>3727</v>
      </c>
      <c r="J11523" s="70">
        <v>-1147.77</v>
      </c>
      <c r="K11523" s="71">
        <v>-8719.46</v>
      </c>
      <c r="L11523" s="33" t="e">
        <f>HLOOKUP(B11523,#REF!,1,0)</f>
        <v>#REF!</v>
      </c>
      <c r="M11523" s="33" t="str">
        <f t="shared" si="723"/>
        <v>P&amp;L</v>
      </c>
    </row>
    <row r="11524" spans="1:13">
      <c r="A11524" s="33" t="str">
        <f t="shared" si="720"/>
        <v>TPI - Revenue</v>
      </c>
      <c r="B11524" s="33" t="str">
        <f t="shared" si="721"/>
        <v>TPI</v>
      </c>
      <c r="C11524" s="33" t="str">
        <f t="shared" si="722"/>
        <v>47480-0000</v>
      </c>
      <c r="D11524" t="s">
        <v>12811</v>
      </c>
      <c r="E11524" t="s">
        <v>3729</v>
      </c>
      <c r="F11524" t="s">
        <v>230</v>
      </c>
      <c r="G11524" t="s">
        <v>3717</v>
      </c>
      <c r="H11524" t="s">
        <v>2871</v>
      </c>
      <c r="I11524" t="s">
        <v>3721</v>
      </c>
      <c r="J11524" s="70">
        <v>-270</v>
      </c>
      <c r="K11524" s="71">
        <v>-2025</v>
      </c>
      <c r="L11524" s="33" t="e">
        <f>HLOOKUP(B11524,#REF!,1,0)</f>
        <v>#REF!</v>
      </c>
      <c r="M11524" s="33" t="str">
        <f t="shared" si="723"/>
        <v>P&amp;L</v>
      </c>
    </row>
    <row r="11525" spans="1:13">
      <c r="A11525" s="33" t="str">
        <f t="shared" si="720"/>
        <v>TPI - Revenue</v>
      </c>
      <c r="B11525" s="33" t="str">
        <f t="shared" si="721"/>
        <v>TPI</v>
      </c>
      <c r="C11525" s="33" t="str">
        <f t="shared" si="722"/>
        <v>47490-0000</v>
      </c>
      <c r="D11525" t="s">
        <v>12812</v>
      </c>
      <c r="E11525" t="s">
        <v>3731</v>
      </c>
      <c r="F11525" t="s">
        <v>230</v>
      </c>
      <c r="G11525" t="s">
        <v>3717</v>
      </c>
      <c r="H11525" t="s">
        <v>2871</v>
      </c>
      <c r="I11525" t="s">
        <v>3721</v>
      </c>
      <c r="J11525" s="70">
        <v>-1321.55</v>
      </c>
      <c r="K11525" s="71">
        <v>-7060</v>
      </c>
      <c r="L11525" s="33" t="e">
        <f>HLOOKUP(B11525,#REF!,1,0)</f>
        <v>#REF!</v>
      </c>
      <c r="M11525" s="33" t="str">
        <f t="shared" si="723"/>
        <v>P&amp;L</v>
      </c>
    </row>
    <row r="11526" spans="1:13">
      <c r="A11526" s="33" t="str">
        <f t="shared" si="720"/>
        <v>TPI - Revenue</v>
      </c>
      <c r="B11526" s="33" t="str">
        <f t="shared" si="721"/>
        <v>TPI</v>
      </c>
      <c r="C11526" s="33" t="str">
        <f t="shared" si="722"/>
        <v>47491-0000</v>
      </c>
      <c r="D11526" t="s">
        <v>12813</v>
      </c>
      <c r="E11526" t="s">
        <v>3733</v>
      </c>
      <c r="F11526" t="s">
        <v>230</v>
      </c>
      <c r="G11526" t="s">
        <v>3717</v>
      </c>
      <c r="H11526" t="s">
        <v>2871</v>
      </c>
      <c r="I11526" t="s">
        <v>3734</v>
      </c>
      <c r="J11526" s="70">
        <v>-6459.78</v>
      </c>
      <c r="K11526" s="71">
        <v>-41763.28</v>
      </c>
      <c r="L11526" s="33" t="e">
        <f>HLOOKUP(B11526,#REF!,1,0)</f>
        <v>#REF!</v>
      </c>
      <c r="M11526" s="33" t="str">
        <f t="shared" si="723"/>
        <v>P&amp;L</v>
      </c>
    </row>
    <row r="11527" spans="1:13">
      <c r="A11527" s="33" t="str">
        <f t="shared" si="720"/>
        <v>TPI - Revenue</v>
      </c>
      <c r="B11527" s="33" t="str">
        <f t="shared" si="721"/>
        <v>TPI</v>
      </c>
      <c r="C11527" s="33" t="str">
        <f t="shared" si="722"/>
        <v>47492-0000</v>
      </c>
      <c r="D11527" t="s">
        <v>12814</v>
      </c>
      <c r="E11527" t="s">
        <v>3736</v>
      </c>
      <c r="F11527" t="s">
        <v>230</v>
      </c>
      <c r="G11527" t="s">
        <v>3717</v>
      </c>
      <c r="H11527" t="s">
        <v>2871</v>
      </c>
      <c r="I11527" t="s">
        <v>3737</v>
      </c>
      <c r="J11527" s="70">
        <v>-77</v>
      </c>
      <c r="K11527" s="71">
        <v>-106</v>
      </c>
      <c r="L11527" s="33" t="e">
        <f>HLOOKUP(B11527,#REF!,1,0)</f>
        <v>#REF!</v>
      </c>
      <c r="M11527" s="33" t="str">
        <f t="shared" si="723"/>
        <v>P&amp;L</v>
      </c>
    </row>
    <row r="11528" spans="1:13">
      <c r="A11528" s="33" t="str">
        <f t="shared" si="720"/>
        <v>TPI - CGS</v>
      </c>
      <c r="B11528" s="33" t="str">
        <f t="shared" si="721"/>
        <v>TPI</v>
      </c>
      <c r="C11528" s="33" t="str">
        <f t="shared" si="722"/>
        <v>51006-0000</v>
      </c>
      <c r="D11528" t="s">
        <v>12815</v>
      </c>
      <c r="E11528" t="s">
        <v>3739</v>
      </c>
      <c r="F11528" t="s">
        <v>230</v>
      </c>
      <c r="G11528" t="s">
        <v>3740</v>
      </c>
      <c r="H11528" t="s">
        <v>1875</v>
      </c>
      <c r="I11528" t="s">
        <v>3741</v>
      </c>
      <c r="J11528" s="70">
        <v>0</v>
      </c>
      <c r="K11528" s="71">
        <v>48.87</v>
      </c>
      <c r="L11528" s="33" t="e">
        <f>HLOOKUP(B11528,#REF!,1,0)</f>
        <v>#REF!</v>
      </c>
      <c r="M11528" s="33" t="str">
        <f t="shared" si="723"/>
        <v>P&amp;L</v>
      </c>
    </row>
    <row r="11529" spans="1:13">
      <c r="A11529" s="33" t="str">
        <f t="shared" si="720"/>
        <v>TPI - CGS</v>
      </c>
      <c r="B11529" s="33" t="str">
        <f t="shared" si="721"/>
        <v>TPI</v>
      </c>
      <c r="C11529" s="33" t="str">
        <f t="shared" si="722"/>
        <v>51008-0000</v>
      </c>
      <c r="D11529" t="s">
        <v>12816</v>
      </c>
      <c r="E11529" t="s">
        <v>3743</v>
      </c>
      <c r="F11529" t="s">
        <v>230</v>
      </c>
      <c r="G11529" t="s">
        <v>3740</v>
      </c>
      <c r="H11529" t="s">
        <v>1875</v>
      </c>
      <c r="I11529" t="s">
        <v>3744</v>
      </c>
      <c r="J11529" s="70">
        <v>513.64</v>
      </c>
      <c r="K11529" s="71">
        <v>7671.29</v>
      </c>
      <c r="L11529" s="33" t="e">
        <f>HLOOKUP(B11529,#REF!,1,0)</f>
        <v>#REF!</v>
      </c>
      <c r="M11529" s="33" t="str">
        <f t="shared" si="723"/>
        <v>P&amp;L</v>
      </c>
    </row>
    <row r="11530" spans="1:13">
      <c r="A11530" s="33" t="str">
        <f t="shared" si="720"/>
        <v>TPI - CGS</v>
      </c>
      <c r="B11530" s="33" t="str">
        <f t="shared" si="721"/>
        <v>TPI</v>
      </c>
      <c r="C11530" s="33" t="str">
        <f t="shared" si="722"/>
        <v>51009-0000</v>
      </c>
      <c r="D11530" t="s">
        <v>12817</v>
      </c>
      <c r="E11530" t="s">
        <v>3746</v>
      </c>
      <c r="F11530" t="s">
        <v>230</v>
      </c>
      <c r="G11530" t="s">
        <v>3740</v>
      </c>
      <c r="H11530" t="s">
        <v>1875</v>
      </c>
      <c r="I11530" t="s">
        <v>3747</v>
      </c>
      <c r="J11530" s="70">
        <v>1389</v>
      </c>
      <c r="K11530" s="71">
        <v>2349.17</v>
      </c>
      <c r="L11530" s="33" t="e">
        <f>HLOOKUP(B11530,#REF!,1,0)</f>
        <v>#REF!</v>
      </c>
      <c r="M11530" s="33" t="str">
        <f t="shared" si="723"/>
        <v>P&amp;L</v>
      </c>
    </row>
    <row r="11531" spans="1:13">
      <c r="A11531" s="33" t="str">
        <f t="shared" si="720"/>
        <v>TPI - CGS</v>
      </c>
      <c r="B11531" s="33" t="str">
        <f t="shared" si="721"/>
        <v>TPI</v>
      </c>
      <c r="C11531" s="33" t="str">
        <f t="shared" si="722"/>
        <v>51011-0000</v>
      </c>
      <c r="D11531" t="s">
        <v>12818</v>
      </c>
      <c r="E11531" t="s">
        <v>3749</v>
      </c>
      <c r="F11531" t="s">
        <v>230</v>
      </c>
      <c r="G11531" t="s">
        <v>3740</v>
      </c>
      <c r="H11531" t="s">
        <v>1875</v>
      </c>
      <c r="I11531" t="s">
        <v>3750</v>
      </c>
      <c r="J11531" s="70">
        <v>0</v>
      </c>
      <c r="K11531" s="71">
        <v>9875</v>
      </c>
      <c r="L11531" s="33" t="e">
        <f>HLOOKUP(B11531,#REF!,1,0)</f>
        <v>#REF!</v>
      </c>
      <c r="M11531" s="33" t="str">
        <f t="shared" si="723"/>
        <v>P&amp;L</v>
      </c>
    </row>
    <row r="11532" spans="1:13">
      <c r="A11532" s="33" t="str">
        <f t="shared" si="720"/>
        <v>TPI - CGS</v>
      </c>
      <c r="B11532" s="33" t="str">
        <f t="shared" si="721"/>
        <v>TPI</v>
      </c>
      <c r="C11532" s="33" t="str">
        <f t="shared" si="722"/>
        <v>51012-0000</v>
      </c>
      <c r="D11532" t="s">
        <v>12819</v>
      </c>
      <c r="E11532" t="s">
        <v>3752</v>
      </c>
      <c r="F11532" t="s">
        <v>230</v>
      </c>
      <c r="G11532" t="s">
        <v>3740</v>
      </c>
      <c r="H11532" t="s">
        <v>1875</v>
      </c>
      <c r="I11532" t="s">
        <v>3753</v>
      </c>
      <c r="J11532" s="70">
        <v>225</v>
      </c>
      <c r="K11532" s="71">
        <v>1909.72</v>
      </c>
      <c r="L11532" s="33" t="e">
        <f>HLOOKUP(B11532,#REF!,1,0)</f>
        <v>#REF!</v>
      </c>
      <c r="M11532" s="33" t="str">
        <f t="shared" si="723"/>
        <v>P&amp;L</v>
      </c>
    </row>
    <row r="11533" spans="1:13">
      <c r="A11533" s="33" t="str">
        <f t="shared" si="720"/>
        <v>TPI - CGS</v>
      </c>
      <c r="B11533" s="33" t="str">
        <f t="shared" si="721"/>
        <v>TPI</v>
      </c>
      <c r="C11533" s="33" t="str">
        <f t="shared" si="722"/>
        <v>51015-0000</v>
      </c>
      <c r="D11533" t="s">
        <v>12820</v>
      </c>
      <c r="E11533" t="s">
        <v>3755</v>
      </c>
      <c r="F11533" t="s">
        <v>230</v>
      </c>
      <c r="G11533" t="s">
        <v>3740</v>
      </c>
      <c r="H11533" t="s">
        <v>1875</v>
      </c>
      <c r="I11533" t="s">
        <v>3756</v>
      </c>
      <c r="J11533" s="70">
        <v>0</v>
      </c>
      <c r="K11533" s="71">
        <v>0</v>
      </c>
      <c r="L11533" s="33" t="e">
        <f>HLOOKUP(B11533,#REF!,1,0)</f>
        <v>#REF!</v>
      </c>
      <c r="M11533" s="33" t="str">
        <f t="shared" si="723"/>
        <v>P&amp;L</v>
      </c>
    </row>
    <row r="11534" spans="1:13">
      <c r="A11534" s="33" t="str">
        <f t="shared" si="720"/>
        <v>TPI - CGS</v>
      </c>
      <c r="B11534" s="33" t="str">
        <f t="shared" si="721"/>
        <v>TPI</v>
      </c>
      <c r="C11534" s="33" t="str">
        <f t="shared" si="722"/>
        <v>51017-0000</v>
      </c>
      <c r="D11534" t="s">
        <v>12821</v>
      </c>
      <c r="E11534" t="s">
        <v>3758</v>
      </c>
      <c r="F11534" t="s">
        <v>230</v>
      </c>
      <c r="G11534" t="s">
        <v>3160</v>
      </c>
      <c r="H11534" t="s">
        <v>1875</v>
      </c>
      <c r="I11534" t="s">
        <v>3759</v>
      </c>
      <c r="J11534" s="70">
        <v>0</v>
      </c>
      <c r="K11534" s="71">
        <v>3044.2</v>
      </c>
      <c r="L11534" s="33" t="e">
        <f>HLOOKUP(B11534,#REF!,1,0)</f>
        <v>#REF!</v>
      </c>
      <c r="M11534" s="33" t="str">
        <f t="shared" si="723"/>
        <v>P&amp;L</v>
      </c>
    </row>
    <row r="11535" spans="1:13">
      <c r="A11535" s="33" t="str">
        <f t="shared" si="720"/>
        <v>TPI - CGS</v>
      </c>
      <c r="B11535" s="33" t="str">
        <f t="shared" si="721"/>
        <v>TPI</v>
      </c>
      <c r="C11535" s="33" t="str">
        <f t="shared" si="722"/>
        <v>51019-0000</v>
      </c>
      <c r="D11535" t="s">
        <v>12822</v>
      </c>
      <c r="E11535" t="s">
        <v>3761</v>
      </c>
      <c r="F11535" t="s">
        <v>230</v>
      </c>
      <c r="G11535" t="s">
        <v>3740</v>
      </c>
      <c r="H11535" t="s">
        <v>1875</v>
      </c>
      <c r="I11535" t="s">
        <v>3340</v>
      </c>
      <c r="J11535" s="70">
        <v>83.24</v>
      </c>
      <c r="K11535" s="71">
        <v>172.06</v>
      </c>
      <c r="L11535" s="33" t="e">
        <f>HLOOKUP(B11535,#REF!,1,0)</f>
        <v>#REF!</v>
      </c>
      <c r="M11535" s="33" t="str">
        <f t="shared" si="723"/>
        <v>P&amp;L</v>
      </c>
    </row>
    <row r="11536" spans="1:13">
      <c r="A11536" s="33" t="str">
        <f t="shared" si="720"/>
        <v>TPI - CGS</v>
      </c>
      <c r="B11536" s="33" t="str">
        <f t="shared" si="721"/>
        <v>TPI</v>
      </c>
      <c r="C11536" s="33" t="str">
        <f t="shared" si="722"/>
        <v>51020-0000</v>
      </c>
      <c r="D11536" t="s">
        <v>12823</v>
      </c>
      <c r="E11536" t="s">
        <v>3763</v>
      </c>
      <c r="F11536" t="s">
        <v>230</v>
      </c>
      <c r="G11536" t="s">
        <v>3740</v>
      </c>
      <c r="H11536" t="s">
        <v>1875</v>
      </c>
      <c r="I11536" t="s">
        <v>3345</v>
      </c>
      <c r="J11536" s="70">
        <v>345.21</v>
      </c>
      <c r="K11536" s="71">
        <v>1325.41</v>
      </c>
      <c r="L11536" s="33" t="e">
        <f>HLOOKUP(B11536,#REF!,1,0)</f>
        <v>#REF!</v>
      </c>
      <c r="M11536" s="33" t="str">
        <f t="shared" si="723"/>
        <v>P&amp;L</v>
      </c>
    </row>
    <row r="11537" spans="1:13">
      <c r="A11537" s="33" t="str">
        <f t="shared" si="720"/>
        <v>TPI - CGS</v>
      </c>
      <c r="B11537" s="33" t="str">
        <f t="shared" si="721"/>
        <v>TPI</v>
      </c>
      <c r="C11537" s="33" t="str">
        <f t="shared" si="722"/>
        <v>52001-0000</v>
      </c>
      <c r="D11537" t="s">
        <v>12824</v>
      </c>
      <c r="E11537" t="s">
        <v>3768</v>
      </c>
      <c r="F11537" t="s">
        <v>230</v>
      </c>
      <c r="G11537" t="s">
        <v>3769</v>
      </c>
      <c r="H11537" t="s">
        <v>1875</v>
      </c>
      <c r="I11537" t="s">
        <v>3770</v>
      </c>
      <c r="J11537" s="70">
        <v>1964.3</v>
      </c>
      <c r="K11537" s="71">
        <v>3461.05</v>
      </c>
      <c r="L11537" s="33" t="e">
        <f>HLOOKUP(B11537,#REF!,1,0)</f>
        <v>#REF!</v>
      </c>
      <c r="M11537" s="33" t="str">
        <f t="shared" si="723"/>
        <v>P&amp;L</v>
      </c>
    </row>
    <row r="11538" spans="1:13">
      <c r="A11538" s="33" t="str">
        <f t="shared" si="720"/>
        <v>TPI - CGS</v>
      </c>
      <c r="B11538" s="33" t="str">
        <f t="shared" si="721"/>
        <v>TPI</v>
      </c>
      <c r="C11538" s="33" t="str">
        <f t="shared" si="722"/>
        <v>52002-0000</v>
      </c>
      <c r="D11538" t="s">
        <v>12825</v>
      </c>
      <c r="E11538" t="s">
        <v>3997</v>
      </c>
      <c r="F11538" t="s">
        <v>230</v>
      </c>
      <c r="G11538" t="s">
        <v>3769</v>
      </c>
      <c r="H11538" t="s">
        <v>1875</v>
      </c>
      <c r="I11538" t="s">
        <v>3998</v>
      </c>
      <c r="J11538" s="70">
        <v>0</v>
      </c>
      <c r="K11538" s="71">
        <v>-400</v>
      </c>
      <c r="L11538" s="33" t="e">
        <f>HLOOKUP(B11538,#REF!,1,0)</f>
        <v>#REF!</v>
      </c>
      <c r="M11538" s="33" t="str">
        <f t="shared" si="723"/>
        <v>P&amp;L</v>
      </c>
    </row>
    <row r="11539" spans="1:13">
      <c r="A11539" s="33" t="str">
        <f t="shared" si="720"/>
        <v>TPI - CGS</v>
      </c>
      <c r="B11539" s="33" t="str">
        <f t="shared" si="721"/>
        <v>TPI</v>
      </c>
      <c r="C11539" s="33" t="str">
        <f t="shared" si="722"/>
        <v>52003-0000</v>
      </c>
      <c r="D11539" t="s">
        <v>12826</v>
      </c>
      <c r="E11539" t="s">
        <v>3772</v>
      </c>
      <c r="F11539" t="s">
        <v>230</v>
      </c>
      <c r="G11539" t="s">
        <v>3769</v>
      </c>
      <c r="H11539" t="s">
        <v>1875</v>
      </c>
      <c r="I11539" t="s">
        <v>3773</v>
      </c>
      <c r="J11539" s="70">
        <v>350</v>
      </c>
      <c r="K11539" s="71">
        <v>395</v>
      </c>
      <c r="L11539" s="33" t="e">
        <f>HLOOKUP(B11539,#REF!,1,0)</f>
        <v>#REF!</v>
      </c>
      <c r="M11539" s="33" t="str">
        <f t="shared" si="723"/>
        <v>P&amp;L</v>
      </c>
    </row>
    <row r="11540" spans="1:13">
      <c r="A11540" s="33" t="str">
        <f t="shared" si="720"/>
        <v>TPI - CGS</v>
      </c>
      <c r="B11540" s="33" t="str">
        <f t="shared" si="721"/>
        <v>TPI</v>
      </c>
      <c r="C11540" s="33" t="str">
        <f t="shared" si="722"/>
        <v>52004-0000</v>
      </c>
      <c r="D11540" t="s">
        <v>12827</v>
      </c>
      <c r="E11540" t="s">
        <v>3775</v>
      </c>
      <c r="F11540" t="s">
        <v>230</v>
      </c>
      <c r="G11540" t="s">
        <v>3769</v>
      </c>
      <c r="H11540" t="s">
        <v>1875</v>
      </c>
      <c r="I11540" t="s">
        <v>3776</v>
      </c>
      <c r="J11540" s="70">
        <v>0</v>
      </c>
      <c r="K11540" s="71">
        <v>920</v>
      </c>
      <c r="L11540" s="33" t="e">
        <f>HLOOKUP(B11540,#REF!,1,0)</f>
        <v>#REF!</v>
      </c>
      <c r="M11540" s="33" t="str">
        <f t="shared" si="723"/>
        <v>P&amp;L</v>
      </c>
    </row>
    <row r="11541" spans="1:13">
      <c r="A11541" s="33" t="str">
        <f t="shared" si="720"/>
        <v>TPI - CGS</v>
      </c>
      <c r="B11541" s="33" t="str">
        <f t="shared" si="721"/>
        <v>TPI</v>
      </c>
      <c r="C11541" s="33" t="str">
        <f t="shared" si="722"/>
        <v>52006-0000</v>
      </c>
      <c r="D11541" t="s">
        <v>12828</v>
      </c>
      <c r="E11541" t="s">
        <v>3778</v>
      </c>
      <c r="F11541" t="s">
        <v>230</v>
      </c>
      <c r="G11541" t="s">
        <v>3769</v>
      </c>
      <c r="H11541" t="s">
        <v>1875</v>
      </c>
      <c r="I11541" t="s">
        <v>3779</v>
      </c>
      <c r="J11541" s="70">
        <v>0</v>
      </c>
      <c r="K11541" s="71">
        <v>396</v>
      </c>
      <c r="L11541" s="33" t="e">
        <f>HLOOKUP(B11541,#REF!,1,0)</f>
        <v>#REF!</v>
      </c>
      <c r="M11541" s="33" t="str">
        <f t="shared" si="723"/>
        <v>P&amp;L</v>
      </c>
    </row>
    <row r="11542" spans="1:13">
      <c r="A11542" s="33" t="str">
        <f t="shared" si="720"/>
        <v>TPI - CGS</v>
      </c>
      <c r="B11542" s="33" t="str">
        <f t="shared" si="721"/>
        <v>TPI</v>
      </c>
      <c r="C11542" s="33" t="str">
        <f t="shared" si="722"/>
        <v>53001-0000</v>
      </c>
      <c r="D11542" t="s">
        <v>12829</v>
      </c>
      <c r="E11542" t="s">
        <v>3781</v>
      </c>
      <c r="F11542" t="s">
        <v>230</v>
      </c>
      <c r="G11542" t="s">
        <v>3160</v>
      </c>
      <c r="H11542" t="s">
        <v>1875</v>
      </c>
      <c r="I11542" t="s">
        <v>3782</v>
      </c>
      <c r="J11542" s="70">
        <v>180</v>
      </c>
      <c r="K11542" s="71">
        <v>1236.56</v>
      </c>
      <c r="L11542" s="33" t="e">
        <f>HLOOKUP(B11542,#REF!,1,0)</f>
        <v>#REF!</v>
      </c>
      <c r="M11542" s="33" t="str">
        <f t="shared" si="723"/>
        <v>P&amp;L</v>
      </c>
    </row>
    <row r="11543" spans="1:13">
      <c r="A11543" s="33" t="str">
        <f t="shared" si="720"/>
        <v>TPI - CGS</v>
      </c>
      <c r="B11543" s="33" t="str">
        <f t="shared" si="721"/>
        <v>TPI</v>
      </c>
      <c r="C11543" s="33" t="str">
        <f t="shared" si="722"/>
        <v>53002-0000</v>
      </c>
      <c r="D11543" t="s">
        <v>12830</v>
      </c>
      <c r="E11543" t="s">
        <v>3784</v>
      </c>
      <c r="F11543" t="s">
        <v>230</v>
      </c>
      <c r="G11543" t="s">
        <v>3160</v>
      </c>
      <c r="H11543" t="s">
        <v>1875</v>
      </c>
      <c r="I11543" t="s">
        <v>3785</v>
      </c>
      <c r="J11543" s="70">
        <v>2276.19</v>
      </c>
      <c r="K11543" s="71">
        <v>13853.88</v>
      </c>
      <c r="L11543" s="33" t="e">
        <f>HLOOKUP(B11543,#REF!,1,0)</f>
        <v>#REF!</v>
      </c>
      <c r="M11543" s="33" t="str">
        <f t="shared" si="723"/>
        <v>P&amp;L</v>
      </c>
    </row>
    <row r="11544" spans="1:13">
      <c r="A11544" s="33" t="str">
        <f t="shared" si="720"/>
        <v>TPI - CGS</v>
      </c>
      <c r="B11544" s="33" t="str">
        <f t="shared" si="721"/>
        <v>TPI</v>
      </c>
      <c r="C11544" s="33" t="str">
        <f t="shared" si="722"/>
        <v>53003-0000</v>
      </c>
      <c r="D11544" t="s">
        <v>12831</v>
      </c>
      <c r="E11544" t="s">
        <v>3787</v>
      </c>
      <c r="F11544" t="s">
        <v>230</v>
      </c>
      <c r="G11544" t="s">
        <v>3160</v>
      </c>
      <c r="H11544" t="s">
        <v>1875</v>
      </c>
      <c r="I11544" t="s">
        <v>3788</v>
      </c>
      <c r="J11544" s="70">
        <v>3368.89</v>
      </c>
      <c r="K11544" s="71">
        <v>14488.25</v>
      </c>
      <c r="L11544" s="33" t="e">
        <f>HLOOKUP(B11544,#REF!,1,0)</f>
        <v>#REF!</v>
      </c>
      <c r="M11544" s="33" t="str">
        <f t="shared" si="723"/>
        <v>P&amp;L</v>
      </c>
    </row>
    <row r="11545" spans="1:13">
      <c r="A11545" s="33" t="str">
        <f t="shared" si="720"/>
        <v>TPI - CGS</v>
      </c>
      <c r="B11545" s="33" t="str">
        <f t="shared" si="721"/>
        <v>TPI</v>
      </c>
      <c r="C11545" s="33" t="str">
        <f t="shared" si="722"/>
        <v>53004-0000</v>
      </c>
      <c r="D11545" t="s">
        <v>12832</v>
      </c>
      <c r="E11545" t="s">
        <v>3790</v>
      </c>
      <c r="F11545" t="s">
        <v>230</v>
      </c>
      <c r="G11545" t="s">
        <v>3160</v>
      </c>
      <c r="H11545" t="s">
        <v>1875</v>
      </c>
      <c r="I11545" t="s">
        <v>3791</v>
      </c>
      <c r="J11545" s="70">
        <v>2278.33</v>
      </c>
      <c r="K11545" s="71">
        <v>10654.09</v>
      </c>
      <c r="L11545" s="33" t="e">
        <f>HLOOKUP(B11545,#REF!,1,0)</f>
        <v>#REF!</v>
      </c>
      <c r="M11545" s="33" t="str">
        <f t="shared" si="723"/>
        <v>P&amp;L</v>
      </c>
    </row>
    <row r="11546" spans="1:13">
      <c r="A11546" s="33" t="str">
        <f t="shared" si="720"/>
        <v>TPI - CGS</v>
      </c>
      <c r="B11546" s="33" t="str">
        <f t="shared" si="721"/>
        <v>TPI</v>
      </c>
      <c r="C11546" s="33" t="str">
        <f t="shared" si="722"/>
        <v>53005-0000</v>
      </c>
      <c r="D11546" t="s">
        <v>12833</v>
      </c>
      <c r="E11546" t="s">
        <v>3793</v>
      </c>
      <c r="F11546" t="s">
        <v>230</v>
      </c>
      <c r="G11546" t="s">
        <v>3160</v>
      </c>
      <c r="H11546" t="s">
        <v>1875</v>
      </c>
      <c r="I11546" t="s">
        <v>3794</v>
      </c>
      <c r="J11546" s="70">
        <v>176.66</v>
      </c>
      <c r="K11546" s="71">
        <v>930.42</v>
      </c>
      <c r="L11546" s="33" t="e">
        <f>HLOOKUP(B11546,#REF!,1,0)</f>
        <v>#REF!</v>
      </c>
      <c r="M11546" s="33" t="str">
        <f t="shared" si="723"/>
        <v>P&amp;L</v>
      </c>
    </row>
    <row r="11547" spans="1:13">
      <c r="A11547" s="33" t="str">
        <f t="shared" si="720"/>
        <v>TPI - CGS</v>
      </c>
      <c r="B11547" s="33" t="str">
        <f t="shared" si="721"/>
        <v>TPI</v>
      </c>
      <c r="C11547" s="33" t="str">
        <f t="shared" si="722"/>
        <v>53006-0000</v>
      </c>
      <c r="D11547" t="s">
        <v>12834</v>
      </c>
      <c r="E11547" t="s">
        <v>3796</v>
      </c>
      <c r="F11547" t="s">
        <v>230</v>
      </c>
      <c r="G11547" t="s">
        <v>3160</v>
      </c>
      <c r="H11547" t="s">
        <v>1875</v>
      </c>
      <c r="I11547" t="s">
        <v>3797</v>
      </c>
      <c r="J11547" s="70">
        <v>1954.54</v>
      </c>
      <c r="K11547" s="71">
        <v>12693.48</v>
      </c>
      <c r="L11547" s="33" t="e">
        <f>HLOOKUP(B11547,#REF!,1,0)</f>
        <v>#REF!</v>
      </c>
      <c r="M11547" s="33" t="str">
        <f t="shared" si="723"/>
        <v>P&amp;L</v>
      </c>
    </row>
    <row r="11548" spans="1:13">
      <c r="A11548" s="33" t="str">
        <f t="shared" si="720"/>
        <v>TPI - CGS</v>
      </c>
      <c r="B11548" s="33" t="str">
        <f t="shared" si="721"/>
        <v>TPI</v>
      </c>
      <c r="C11548" s="33" t="str">
        <f t="shared" si="722"/>
        <v>54002-0000</v>
      </c>
      <c r="D11548" t="s">
        <v>12835</v>
      </c>
      <c r="E11548" t="s">
        <v>3799</v>
      </c>
      <c r="F11548" t="s">
        <v>230</v>
      </c>
      <c r="G11548" t="s">
        <v>3800</v>
      </c>
      <c r="H11548" t="s">
        <v>1875</v>
      </c>
      <c r="I11548" t="s">
        <v>3801</v>
      </c>
      <c r="J11548" s="70">
        <v>0</v>
      </c>
      <c r="K11548" s="71">
        <v>1525</v>
      </c>
      <c r="L11548" s="33" t="e">
        <f>HLOOKUP(B11548,#REF!,1,0)</f>
        <v>#REF!</v>
      </c>
      <c r="M11548" s="33" t="str">
        <f t="shared" si="723"/>
        <v>P&amp;L</v>
      </c>
    </row>
    <row r="11549" spans="1:13">
      <c r="A11549" s="33" t="str">
        <f t="shared" si="720"/>
        <v>TPI - CGS</v>
      </c>
      <c r="B11549" s="33" t="str">
        <f t="shared" si="721"/>
        <v>TPI</v>
      </c>
      <c r="C11549" s="33" t="str">
        <f t="shared" si="722"/>
        <v>54003-0000</v>
      </c>
      <c r="D11549" t="s">
        <v>12836</v>
      </c>
      <c r="E11549" t="s">
        <v>3803</v>
      </c>
      <c r="F11549" t="s">
        <v>230</v>
      </c>
      <c r="G11549" t="s">
        <v>3800</v>
      </c>
      <c r="H11549" t="s">
        <v>1875</v>
      </c>
      <c r="I11549" t="s">
        <v>3804</v>
      </c>
      <c r="J11549" s="70">
        <v>0</v>
      </c>
      <c r="K11549" s="71">
        <v>0</v>
      </c>
      <c r="L11549" s="33" t="e">
        <f>HLOOKUP(B11549,#REF!,1,0)</f>
        <v>#REF!</v>
      </c>
      <c r="M11549" s="33" t="str">
        <f t="shared" si="723"/>
        <v>P&amp;L</v>
      </c>
    </row>
    <row r="11550" spans="1:13">
      <c r="A11550" s="33" t="str">
        <f t="shared" si="720"/>
        <v>TPI - CGS</v>
      </c>
      <c r="B11550" s="33" t="str">
        <f t="shared" si="721"/>
        <v>TPI</v>
      </c>
      <c r="C11550" s="33" t="str">
        <f t="shared" si="722"/>
        <v>54004-0000</v>
      </c>
      <c r="D11550" t="s">
        <v>12837</v>
      </c>
      <c r="E11550" t="s">
        <v>3806</v>
      </c>
      <c r="F11550" t="s">
        <v>230</v>
      </c>
      <c r="G11550" t="s">
        <v>3800</v>
      </c>
      <c r="H11550" t="s">
        <v>1875</v>
      </c>
      <c r="I11550" t="s">
        <v>3807</v>
      </c>
      <c r="J11550" s="70">
        <v>3073.25</v>
      </c>
      <c r="K11550" s="71">
        <v>38897.15</v>
      </c>
      <c r="L11550" s="33" t="e">
        <f>HLOOKUP(B11550,#REF!,1,0)</f>
        <v>#REF!</v>
      </c>
      <c r="M11550" s="33" t="str">
        <f t="shared" si="723"/>
        <v>P&amp;L</v>
      </c>
    </row>
    <row r="11551" spans="1:13">
      <c r="A11551" s="33" t="str">
        <f t="shared" si="720"/>
        <v>TPI - CGS</v>
      </c>
      <c r="B11551" s="33" t="str">
        <f t="shared" si="721"/>
        <v>TPI</v>
      </c>
      <c r="C11551" s="33" t="str">
        <f t="shared" si="722"/>
        <v>54005-0000</v>
      </c>
      <c r="D11551" t="s">
        <v>12838</v>
      </c>
      <c r="E11551" t="s">
        <v>3809</v>
      </c>
      <c r="F11551" t="s">
        <v>230</v>
      </c>
      <c r="G11551" t="s">
        <v>3800</v>
      </c>
      <c r="H11551" t="s">
        <v>1875</v>
      </c>
      <c r="I11551" t="s">
        <v>3810</v>
      </c>
      <c r="J11551" s="70">
        <v>33.46</v>
      </c>
      <c r="K11551" s="71">
        <v>341.58</v>
      </c>
      <c r="L11551" s="33" t="e">
        <f>HLOOKUP(B11551,#REF!,1,0)</f>
        <v>#REF!</v>
      </c>
      <c r="M11551" s="33" t="str">
        <f t="shared" si="723"/>
        <v>P&amp;L</v>
      </c>
    </row>
    <row r="11552" spans="1:13">
      <c r="A11552" s="33" t="str">
        <f t="shared" si="720"/>
        <v>TPI - CGS</v>
      </c>
      <c r="B11552" s="33" t="str">
        <f t="shared" si="721"/>
        <v>TPI</v>
      </c>
      <c r="C11552" s="33" t="str">
        <f t="shared" si="722"/>
        <v>54006-0000</v>
      </c>
      <c r="D11552" t="s">
        <v>12839</v>
      </c>
      <c r="E11552" t="s">
        <v>3812</v>
      </c>
      <c r="F11552" t="s">
        <v>230</v>
      </c>
      <c r="G11552" t="s">
        <v>3800</v>
      </c>
      <c r="H11552" t="s">
        <v>1875</v>
      </c>
      <c r="I11552" t="s">
        <v>3003</v>
      </c>
      <c r="J11552" s="70">
        <v>975.42</v>
      </c>
      <c r="K11552" s="71">
        <v>9073.47</v>
      </c>
      <c r="L11552" s="33" t="e">
        <f>HLOOKUP(B11552,#REF!,1,0)</f>
        <v>#REF!</v>
      </c>
      <c r="M11552" s="33" t="str">
        <f t="shared" si="723"/>
        <v>P&amp;L</v>
      </c>
    </row>
    <row r="11553" spans="1:13">
      <c r="A11553" s="33" t="str">
        <f t="shared" si="720"/>
        <v>TPI - CGS</v>
      </c>
      <c r="B11553" s="33" t="str">
        <f t="shared" si="721"/>
        <v>TPI</v>
      </c>
      <c r="C11553" s="33" t="str">
        <f t="shared" si="722"/>
        <v>54007-0000</v>
      </c>
      <c r="D11553" t="s">
        <v>12840</v>
      </c>
      <c r="E11553" t="s">
        <v>3814</v>
      </c>
      <c r="F11553" t="s">
        <v>230</v>
      </c>
      <c r="G11553" t="s">
        <v>3800</v>
      </c>
      <c r="H11553" t="s">
        <v>1875</v>
      </c>
      <c r="I11553" t="s">
        <v>3815</v>
      </c>
      <c r="J11553" s="70">
        <v>4851.69</v>
      </c>
      <c r="K11553" s="71">
        <v>39111.49</v>
      </c>
      <c r="L11553" s="33" t="e">
        <f>HLOOKUP(B11553,#REF!,1,0)</f>
        <v>#REF!</v>
      </c>
      <c r="M11553" s="33" t="str">
        <f t="shared" si="723"/>
        <v>P&amp;L</v>
      </c>
    </row>
    <row r="11554" spans="1:13">
      <c r="A11554" s="33" t="str">
        <f t="shared" si="720"/>
        <v>TPI - PM Expenses</v>
      </c>
      <c r="B11554" s="33" t="str">
        <f t="shared" si="721"/>
        <v>TPI</v>
      </c>
      <c r="C11554" s="33" t="str">
        <f t="shared" si="722"/>
        <v>55501-0000</v>
      </c>
      <c r="D11554" t="s">
        <v>12841</v>
      </c>
      <c r="E11554" t="s">
        <v>4120</v>
      </c>
      <c r="F11554" t="s">
        <v>230</v>
      </c>
      <c r="G11554" t="s">
        <v>3818</v>
      </c>
      <c r="H11554" t="s">
        <v>3819</v>
      </c>
      <c r="I11554" t="s">
        <v>3820</v>
      </c>
      <c r="J11554" s="70">
        <v>0</v>
      </c>
      <c r="K11554" s="71">
        <v>7325</v>
      </c>
      <c r="L11554" s="33" t="e">
        <f>HLOOKUP(B11554,#REF!,1,0)</f>
        <v>#REF!</v>
      </c>
      <c r="M11554" s="33" t="str">
        <f t="shared" si="723"/>
        <v>P&amp;L</v>
      </c>
    </row>
    <row r="11555" spans="1:13">
      <c r="A11555" s="33" t="str">
        <f t="shared" si="720"/>
        <v>TPI - PM Expenses</v>
      </c>
      <c r="B11555" s="33" t="str">
        <f t="shared" si="721"/>
        <v>TPI</v>
      </c>
      <c r="C11555" s="33" t="str">
        <f t="shared" si="722"/>
        <v>55502-0000</v>
      </c>
      <c r="D11555" t="s">
        <v>12842</v>
      </c>
      <c r="E11555" t="s">
        <v>3822</v>
      </c>
      <c r="F11555" t="s">
        <v>230</v>
      </c>
      <c r="G11555" t="s">
        <v>3818</v>
      </c>
      <c r="H11555" t="s">
        <v>3819</v>
      </c>
      <c r="I11555" t="s">
        <v>3823</v>
      </c>
      <c r="J11555" s="70">
        <v>335</v>
      </c>
      <c r="K11555" s="71">
        <v>833.47</v>
      </c>
      <c r="L11555" s="33" t="e">
        <f>HLOOKUP(B11555,#REF!,1,0)</f>
        <v>#REF!</v>
      </c>
      <c r="M11555" s="33" t="str">
        <f t="shared" si="723"/>
        <v>P&amp;L</v>
      </c>
    </row>
    <row r="11556" spans="1:13">
      <c r="A11556" s="33" t="str">
        <f t="shared" si="720"/>
        <v>TPI - PM Expenses</v>
      </c>
      <c r="B11556" s="33" t="str">
        <f t="shared" si="721"/>
        <v>TPI</v>
      </c>
      <c r="C11556" s="33" t="str">
        <f t="shared" si="722"/>
        <v>55503-0000</v>
      </c>
      <c r="D11556" t="s">
        <v>12843</v>
      </c>
      <c r="E11556" t="s">
        <v>3825</v>
      </c>
      <c r="F11556" t="s">
        <v>230</v>
      </c>
      <c r="G11556" t="s">
        <v>3818</v>
      </c>
      <c r="H11556" t="s">
        <v>3819</v>
      </c>
      <c r="I11556" t="s">
        <v>3826</v>
      </c>
      <c r="J11556" s="70">
        <v>10129.24</v>
      </c>
      <c r="K11556" s="71">
        <v>11818.19</v>
      </c>
      <c r="L11556" s="33" t="e">
        <f>HLOOKUP(B11556,#REF!,1,0)</f>
        <v>#REF!</v>
      </c>
      <c r="M11556" s="33" t="str">
        <f t="shared" si="723"/>
        <v>P&amp;L</v>
      </c>
    </row>
    <row r="11557" spans="1:13">
      <c r="A11557" s="33" t="str">
        <f t="shared" si="720"/>
        <v>TPI - PM Expenses</v>
      </c>
      <c r="B11557" s="33" t="str">
        <f t="shared" si="721"/>
        <v>TPI</v>
      </c>
      <c r="C11557" s="33" t="str">
        <f t="shared" si="722"/>
        <v>55505-0000</v>
      </c>
      <c r="D11557" t="s">
        <v>12844</v>
      </c>
      <c r="E11557" t="s">
        <v>3828</v>
      </c>
      <c r="F11557" t="s">
        <v>230</v>
      </c>
      <c r="G11557" t="s">
        <v>3818</v>
      </c>
      <c r="H11557" t="s">
        <v>3819</v>
      </c>
      <c r="I11557" t="s">
        <v>3829</v>
      </c>
      <c r="J11557" s="70">
        <v>0</v>
      </c>
      <c r="K11557" s="71">
        <v>622.66</v>
      </c>
      <c r="L11557" s="33" t="e">
        <f>HLOOKUP(B11557,#REF!,1,0)</f>
        <v>#REF!</v>
      </c>
      <c r="M11557" s="33" t="str">
        <f t="shared" si="723"/>
        <v>P&amp;L</v>
      </c>
    </row>
    <row r="11558" spans="1:13">
      <c r="A11558" s="33" t="str">
        <f t="shared" si="720"/>
        <v>TPI - PM Expenses</v>
      </c>
      <c r="B11558" s="33" t="str">
        <f t="shared" si="721"/>
        <v>TPI</v>
      </c>
      <c r="C11558" s="33" t="str">
        <f t="shared" si="722"/>
        <v>55506-0000</v>
      </c>
      <c r="D11558" t="s">
        <v>12845</v>
      </c>
      <c r="E11558" t="s">
        <v>3831</v>
      </c>
      <c r="F11558" t="s">
        <v>230</v>
      </c>
      <c r="G11558" t="s">
        <v>3818</v>
      </c>
      <c r="H11558" t="s">
        <v>3819</v>
      </c>
      <c r="I11558" t="s">
        <v>3832</v>
      </c>
      <c r="J11558" s="70">
        <v>48653.02</v>
      </c>
      <c r="K11558" s="71">
        <v>194664.6</v>
      </c>
      <c r="L11558" s="33" t="e">
        <f>HLOOKUP(B11558,#REF!,1,0)</f>
        <v>#REF!</v>
      </c>
      <c r="M11558" s="33" t="str">
        <f t="shared" si="723"/>
        <v>P&amp;L</v>
      </c>
    </row>
    <row r="11559" spans="1:13">
      <c r="A11559" s="33" t="str">
        <f t="shared" si="720"/>
        <v>TPI - PM Expenses</v>
      </c>
      <c r="B11559" s="33" t="str">
        <f t="shared" si="721"/>
        <v>TPI</v>
      </c>
      <c r="C11559" s="33" t="str">
        <f t="shared" si="722"/>
        <v>55507-0000</v>
      </c>
      <c r="D11559" t="s">
        <v>12846</v>
      </c>
      <c r="E11559" t="s">
        <v>3834</v>
      </c>
      <c r="F11559" t="s">
        <v>230</v>
      </c>
      <c r="G11559" t="s">
        <v>3818</v>
      </c>
      <c r="H11559" t="s">
        <v>3819</v>
      </c>
      <c r="I11559" t="s">
        <v>3835</v>
      </c>
      <c r="J11559" s="70">
        <v>0</v>
      </c>
      <c r="K11559" s="71">
        <v>1522.09</v>
      </c>
      <c r="L11559" s="33" t="e">
        <f>HLOOKUP(B11559,#REF!,1,0)</f>
        <v>#REF!</v>
      </c>
      <c r="M11559" s="33" t="str">
        <f t="shared" si="723"/>
        <v>P&amp;L</v>
      </c>
    </row>
    <row r="11560" spans="1:13">
      <c r="A11560" s="33" t="str">
        <f t="shared" si="720"/>
        <v>TPI - CGS</v>
      </c>
      <c r="B11560" s="33" t="str">
        <f t="shared" si="721"/>
        <v>TPI</v>
      </c>
      <c r="C11560" s="33" t="str">
        <f t="shared" si="722"/>
        <v>60002-0000</v>
      </c>
      <c r="D11560" t="s">
        <v>12847</v>
      </c>
      <c r="E11560" t="s">
        <v>3837</v>
      </c>
      <c r="F11560" t="s">
        <v>230</v>
      </c>
      <c r="G11560" t="s">
        <v>3838</v>
      </c>
      <c r="H11560" t="s">
        <v>1875</v>
      </c>
      <c r="I11560" t="s">
        <v>3839</v>
      </c>
      <c r="J11560" s="70">
        <v>0</v>
      </c>
      <c r="K11560" s="71">
        <v>20</v>
      </c>
      <c r="L11560" s="33" t="e">
        <f>HLOOKUP(B11560,#REF!,1,0)</f>
        <v>#REF!</v>
      </c>
      <c r="M11560" s="33" t="str">
        <f t="shared" si="723"/>
        <v>P&amp;L</v>
      </c>
    </row>
    <row r="11561" spans="1:13">
      <c r="A11561" s="33" t="str">
        <f t="shared" si="720"/>
        <v>TPI - CGS</v>
      </c>
      <c r="B11561" s="33" t="str">
        <f t="shared" si="721"/>
        <v>TPI</v>
      </c>
      <c r="C11561" s="33" t="str">
        <f t="shared" si="722"/>
        <v>60005-0000</v>
      </c>
      <c r="D11561" t="s">
        <v>12848</v>
      </c>
      <c r="E11561" t="s">
        <v>3841</v>
      </c>
      <c r="F11561" t="s">
        <v>230</v>
      </c>
      <c r="G11561" t="s">
        <v>3838</v>
      </c>
      <c r="H11561" t="s">
        <v>1875</v>
      </c>
      <c r="I11561" t="s">
        <v>3842</v>
      </c>
      <c r="J11561" s="70">
        <v>0</v>
      </c>
      <c r="K11561" s="71">
        <v>50334</v>
      </c>
      <c r="L11561" s="33" t="e">
        <f>HLOOKUP(B11561,#REF!,1,0)</f>
        <v>#REF!</v>
      </c>
      <c r="M11561" s="33" t="str">
        <f t="shared" si="723"/>
        <v>P&amp;L</v>
      </c>
    </row>
    <row r="11562" spans="1:13">
      <c r="A11562" s="33" t="str">
        <f t="shared" si="720"/>
        <v>TPI - Interest Expense</v>
      </c>
      <c r="B11562" s="33" t="str">
        <f t="shared" si="721"/>
        <v>TPI</v>
      </c>
      <c r="C11562" s="33" t="str">
        <f t="shared" si="722"/>
        <v>60006-0000</v>
      </c>
      <c r="D11562" t="s">
        <v>12849</v>
      </c>
      <c r="E11562" t="s">
        <v>3325</v>
      </c>
      <c r="F11562" t="s">
        <v>230</v>
      </c>
      <c r="G11562" t="s">
        <v>3844</v>
      </c>
      <c r="H11562" t="s">
        <v>3327</v>
      </c>
      <c r="I11562" t="s">
        <v>3328</v>
      </c>
      <c r="J11562" s="70">
        <v>210569.17</v>
      </c>
      <c r="K11562" s="71">
        <v>1103685.2</v>
      </c>
      <c r="L11562" s="33" t="e">
        <f>HLOOKUP(B11562,#REF!,1,0)</f>
        <v>#REF!</v>
      </c>
      <c r="M11562" s="33" t="str">
        <f t="shared" si="723"/>
        <v>P&amp;L</v>
      </c>
    </row>
    <row r="11563" spans="1:13">
      <c r="A11563" s="33" t="str">
        <f t="shared" si="720"/>
        <v>TPI - CGS</v>
      </c>
      <c r="B11563" s="33" t="str">
        <f t="shared" si="721"/>
        <v>TPI</v>
      </c>
      <c r="C11563" s="33" t="str">
        <f t="shared" si="722"/>
        <v>60008-0000</v>
      </c>
      <c r="D11563" t="s">
        <v>12850</v>
      </c>
      <c r="E11563" t="s">
        <v>3849</v>
      </c>
      <c r="F11563" t="s">
        <v>230</v>
      </c>
      <c r="G11563" t="s">
        <v>3838</v>
      </c>
      <c r="H11563" t="s">
        <v>1875</v>
      </c>
      <c r="I11563" t="s">
        <v>3850</v>
      </c>
      <c r="J11563" s="70">
        <v>2267</v>
      </c>
      <c r="K11563" s="71">
        <v>4197</v>
      </c>
      <c r="L11563" s="33" t="e">
        <f>HLOOKUP(B11563,#REF!,1,0)</f>
        <v>#REF!</v>
      </c>
      <c r="M11563" s="33" t="str">
        <f t="shared" si="723"/>
        <v>P&amp;L</v>
      </c>
    </row>
    <row r="11564" spans="1:13">
      <c r="A11564" s="33" t="str">
        <f t="shared" si="720"/>
        <v>TPI - CGS</v>
      </c>
      <c r="B11564" s="33" t="str">
        <f t="shared" si="721"/>
        <v>TPI</v>
      </c>
      <c r="C11564" s="33" t="str">
        <f t="shared" si="722"/>
        <v>60012-0000</v>
      </c>
      <c r="D11564" t="s">
        <v>12851</v>
      </c>
      <c r="E11564" t="s">
        <v>3852</v>
      </c>
      <c r="F11564" t="s">
        <v>230</v>
      </c>
      <c r="G11564" t="s">
        <v>3838</v>
      </c>
      <c r="H11564" t="s">
        <v>1875</v>
      </c>
      <c r="I11564" t="s">
        <v>3853</v>
      </c>
      <c r="J11564" s="70">
        <v>49671.74</v>
      </c>
      <c r="K11564" s="71">
        <v>49671.74</v>
      </c>
      <c r="L11564" s="33" t="e">
        <f>HLOOKUP(B11564,#REF!,1,0)</f>
        <v>#REF!</v>
      </c>
      <c r="M11564" s="33" t="str">
        <f t="shared" si="723"/>
        <v>P&amp;L</v>
      </c>
    </row>
    <row r="11565" spans="1:13">
      <c r="A11565" s="33" t="str">
        <f t="shared" si="720"/>
        <v>TPI - CGS</v>
      </c>
      <c r="B11565" s="33" t="str">
        <f t="shared" si="721"/>
        <v>TPI</v>
      </c>
      <c r="C11565" s="33" t="str">
        <f t="shared" si="722"/>
        <v>60014-0000</v>
      </c>
      <c r="D11565" t="s">
        <v>12852</v>
      </c>
      <c r="E11565" t="s">
        <v>3855</v>
      </c>
      <c r="F11565" t="s">
        <v>230</v>
      </c>
      <c r="G11565" t="s">
        <v>3838</v>
      </c>
      <c r="H11565" t="s">
        <v>1875</v>
      </c>
      <c r="I11565" t="s">
        <v>3856</v>
      </c>
      <c r="J11565" s="70">
        <v>6963.97</v>
      </c>
      <c r="K11565" s="71">
        <v>40385.54</v>
      </c>
      <c r="L11565" s="33" t="e">
        <f>HLOOKUP(B11565,#REF!,1,0)</f>
        <v>#REF!</v>
      </c>
      <c r="M11565" s="33" t="str">
        <f t="shared" si="723"/>
        <v>P&amp;L</v>
      </c>
    </row>
    <row r="11566" spans="1:13">
      <c r="A11566" s="33" t="str">
        <f t="shared" si="720"/>
        <v>TPI - CGS</v>
      </c>
      <c r="B11566" s="33" t="str">
        <f t="shared" si="721"/>
        <v>TPI</v>
      </c>
      <c r="C11566" s="33" t="str">
        <f t="shared" si="722"/>
        <v>60015-0000</v>
      </c>
      <c r="D11566" t="s">
        <v>12853</v>
      </c>
      <c r="E11566" t="s">
        <v>3858</v>
      </c>
      <c r="F11566" t="s">
        <v>230</v>
      </c>
      <c r="G11566" t="s">
        <v>3838</v>
      </c>
      <c r="H11566" t="s">
        <v>1875</v>
      </c>
      <c r="I11566" t="s">
        <v>3859</v>
      </c>
      <c r="J11566" s="70">
        <v>235</v>
      </c>
      <c r="K11566" s="71">
        <v>1838.56</v>
      </c>
      <c r="L11566" s="33" t="e">
        <f>HLOOKUP(B11566,#REF!,1,0)</f>
        <v>#REF!</v>
      </c>
      <c r="M11566" s="33" t="str">
        <f t="shared" si="723"/>
        <v>P&amp;L</v>
      </c>
    </row>
    <row r="11567" spans="1:13">
      <c r="A11567" s="33" t="str">
        <f t="shared" si="720"/>
        <v>TPI - CGS</v>
      </c>
      <c r="B11567" s="33" t="str">
        <f t="shared" si="721"/>
        <v>TPI</v>
      </c>
      <c r="C11567" s="33" t="str">
        <f t="shared" si="722"/>
        <v>61018-0000</v>
      </c>
      <c r="D11567" t="s">
        <v>12854</v>
      </c>
      <c r="E11567" t="s">
        <v>3864</v>
      </c>
      <c r="F11567" t="s">
        <v>230</v>
      </c>
      <c r="G11567" t="s">
        <v>3838</v>
      </c>
      <c r="H11567" t="s">
        <v>1875</v>
      </c>
      <c r="I11567" t="s">
        <v>3866</v>
      </c>
      <c r="J11567" s="70">
        <v>0</v>
      </c>
      <c r="K11567" s="71">
        <v>575344.64</v>
      </c>
      <c r="L11567" s="33" t="e">
        <f>HLOOKUP(B11567,#REF!,1,0)</f>
        <v>#REF!</v>
      </c>
      <c r="M11567" s="33" t="str">
        <f t="shared" si="723"/>
        <v>P&amp;L</v>
      </c>
    </row>
    <row r="11568" spans="1:13">
      <c r="A11568" s="33" t="str">
        <f t="shared" si="720"/>
        <v>TPI - Income Tax</v>
      </c>
      <c r="B11568" s="33" t="str">
        <f t="shared" si="721"/>
        <v>TPI</v>
      </c>
      <c r="C11568" s="33" t="str">
        <f t="shared" si="722"/>
        <v>61019-0000</v>
      </c>
      <c r="D11568" t="s">
        <v>12855</v>
      </c>
      <c r="E11568" t="s">
        <v>4041</v>
      </c>
      <c r="F11568" t="s">
        <v>230</v>
      </c>
      <c r="G11568" t="s">
        <v>3844</v>
      </c>
      <c r="H11568" t="s">
        <v>3378</v>
      </c>
      <c r="I11568" t="s">
        <v>4042</v>
      </c>
      <c r="J11568" s="70">
        <v>0</v>
      </c>
      <c r="K11568" s="71">
        <v>0</v>
      </c>
      <c r="L11568" s="33" t="e">
        <f>HLOOKUP(B11568,#REF!,1,0)</f>
        <v>#REF!</v>
      </c>
      <c r="M11568" s="33" t="str">
        <f t="shared" si="723"/>
        <v>P&amp;L</v>
      </c>
    </row>
    <row r="11569" spans="1:13">
      <c r="A11569" s="33" t="str">
        <f t="shared" si="720"/>
        <v>TPI - CGS</v>
      </c>
      <c r="B11569" s="33" t="str">
        <f t="shared" si="721"/>
        <v>TPI</v>
      </c>
      <c r="C11569" s="33" t="str">
        <f t="shared" si="722"/>
        <v>61023-0000</v>
      </c>
      <c r="D11569" t="s">
        <v>12856</v>
      </c>
      <c r="E11569" t="s">
        <v>1873</v>
      </c>
      <c r="F11569" t="s">
        <v>230</v>
      </c>
      <c r="G11569" t="s">
        <v>3838</v>
      </c>
      <c r="H11569" t="s">
        <v>1875</v>
      </c>
      <c r="I11569" t="s">
        <v>1876</v>
      </c>
      <c r="J11569" s="70">
        <v>0</v>
      </c>
      <c r="K11569" s="71">
        <v>15</v>
      </c>
      <c r="L11569" s="33" t="e">
        <f>HLOOKUP(B11569,#REF!,1,0)</f>
        <v>#REF!</v>
      </c>
      <c r="M11569" s="33" t="str">
        <f t="shared" si="723"/>
        <v>P&amp;L</v>
      </c>
    </row>
    <row r="11570" spans="1:13">
      <c r="A11570" s="33" t="str">
        <f t="shared" si="720"/>
        <v>VAL - AR-PPD</v>
      </c>
      <c r="B11570" s="33" t="str">
        <f t="shared" si="721"/>
        <v>VAL</v>
      </c>
      <c r="C11570" s="33" t="str">
        <f t="shared" si="722"/>
        <v>11000-0000</v>
      </c>
      <c r="D11570" t="s">
        <v>12857</v>
      </c>
      <c r="E11570" t="s">
        <v>34</v>
      </c>
      <c r="F11570" t="s">
        <v>230</v>
      </c>
      <c r="G11570" t="s">
        <v>16</v>
      </c>
      <c r="H11570" t="s">
        <v>35</v>
      </c>
      <c r="I11570" t="s">
        <v>36</v>
      </c>
      <c r="J11570" s="70">
        <v>3258</v>
      </c>
      <c r="K11570" s="71">
        <v>0</v>
      </c>
      <c r="L11570" s="33" t="e">
        <f>HLOOKUP(B11570,#REF!,1,0)</f>
        <v>#REF!</v>
      </c>
      <c r="M11570" s="33" t="str">
        <f t="shared" si="723"/>
        <v>BS</v>
      </c>
    </row>
    <row r="11571" spans="1:13">
      <c r="A11571" s="33" t="str">
        <f t="shared" si="720"/>
        <v>VAL - Fixed Assets</v>
      </c>
      <c r="B11571" s="33" t="str">
        <f t="shared" si="721"/>
        <v>VAL</v>
      </c>
      <c r="C11571" s="33" t="str">
        <f t="shared" si="722"/>
        <v>15501-0000</v>
      </c>
      <c r="D11571" t="s">
        <v>12858</v>
      </c>
      <c r="E11571" t="s">
        <v>2635</v>
      </c>
      <c r="F11571" t="s">
        <v>230</v>
      </c>
      <c r="G11571" t="s">
        <v>62</v>
      </c>
      <c r="H11571" t="s">
        <v>63</v>
      </c>
      <c r="I11571" t="s">
        <v>64</v>
      </c>
      <c r="J11571" s="70">
        <v>119.68</v>
      </c>
      <c r="K11571" s="71">
        <v>469.71</v>
      </c>
      <c r="L11571" s="33" t="e">
        <f>HLOOKUP(B11571,#REF!,1,0)</f>
        <v>#REF!</v>
      </c>
      <c r="M11571" s="33" t="str">
        <f t="shared" si="723"/>
        <v>BS</v>
      </c>
    </row>
    <row r="11572" spans="1:13">
      <c r="A11572" s="33" t="str">
        <f t="shared" si="720"/>
        <v>VAL - AP-Accr Exp</v>
      </c>
      <c r="B11572" s="33" t="str">
        <f t="shared" si="721"/>
        <v>VAL</v>
      </c>
      <c r="C11572" s="33" t="str">
        <f t="shared" si="722"/>
        <v>24801-0000</v>
      </c>
      <c r="D11572" t="s">
        <v>12859</v>
      </c>
      <c r="E11572" t="s">
        <v>399</v>
      </c>
      <c r="F11572" t="s">
        <v>230</v>
      </c>
      <c r="G11572" t="s">
        <v>97</v>
      </c>
      <c r="H11572" t="s">
        <v>98</v>
      </c>
      <c r="I11572" t="s">
        <v>102</v>
      </c>
      <c r="J11572" s="70">
        <v>0</v>
      </c>
      <c r="K11572" s="71">
        <v>0</v>
      </c>
      <c r="L11572" s="33" t="e">
        <f>HLOOKUP(B11572,#REF!,1,0)</f>
        <v>#REF!</v>
      </c>
      <c r="M11572" s="33" t="str">
        <f t="shared" si="723"/>
        <v>BS</v>
      </c>
    </row>
    <row r="11573" spans="1:13">
      <c r="A11573" s="33" t="str">
        <f t="shared" si="720"/>
        <v>VAL - Revenue</v>
      </c>
      <c r="B11573" s="33" t="str">
        <f t="shared" si="721"/>
        <v>VAL</v>
      </c>
      <c r="C11573" s="33" t="str">
        <f t="shared" si="722"/>
        <v>40110-0000</v>
      </c>
      <c r="D11573" t="s">
        <v>12860</v>
      </c>
      <c r="E11573" t="s">
        <v>3683</v>
      </c>
      <c r="F11573" t="s">
        <v>230</v>
      </c>
      <c r="G11573" t="s">
        <v>3684</v>
      </c>
      <c r="H11573" t="s">
        <v>2871</v>
      </c>
      <c r="I11573" t="s">
        <v>3685</v>
      </c>
      <c r="J11573" s="70">
        <v>-25562</v>
      </c>
      <c r="K11573" s="71">
        <v>-255620</v>
      </c>
      <c r="L11573" s="33" t="e">
        <f>HLOOKUP(B11573,#REF!,1,0)</f>
        <v>#REF!</v>
      </c>
      <c r="M11573" s="33" t="str">
        <f t="shared" si="723"/>
        <v>P&amp;L</v>
      </c>
    </row>
    <row r="11574" spans="1:13">
      <c r="A11574" s="33" t="str">
        <f t="shared" si="720"/>
        <v>VAL - Revenue</v>
      </c>
      <c r="B11574" s="33" t="str">
        <f t="shared" si="721"/>
        <v>VAL</v>
      </c>
      <c r="C11574" s="33" t="str">
        <f t="shared" si="722"/>
        <v>40120-0000</v>
      </c>
      <c r="D11574" t="s">
        <v>12861</v>
      </c>
      <c r="E11574" t="s">
        <v>3687</v>
      </c>
      <c r="F11574" t="s">
        <v>230</v>
      </c>
      <c r="G11574" t="s">
        <v>3684</v>
      </c>
      <c r="H11574" t="s">
        <v>2871</v>
      </c>
      <c r="I11574" t="s">
        <v>3688</v>
      </c>
      <c r="J11574" s="70">
        <v>-880</v>
      </c>
      <c r="K11574" s="71">
        <v>-3199</v>
      </c>
      <c r="L11574" s="33" t="e">
        <f>HLOOKUP(B11574,#REF!,1,0)</f>
        <v>#REF!</v>
      </c>
      <c r="M11574" s="33" t="str">
        <f t="shared" si="723"/>
        <v>P&amp;L</v>
      </c>
    </row>
    <row r="11575" spans="1:13">
      <c r="A11575" s="33" t="str">
        <f t="shared" si="720"/>
        <v>VAL - Revenue</v>
      </c>
      <c r="B11575" s="33" t="str">
        <f t="shared" si="721"/>
        <v>VAL</v>
      </c>
      <c r="C11575" s="33" t="str">
        <f t="shared" si="722"/>
        <v>40130-0000</v>
      </c>
      <c r="D11575" t="s">
        <v>12862</v>
      </c>
      <c r="E11575" t="s">
        <v>3690</v>
      </c>
      <c r="F11575" t="s">
        <v>230</v>
      </c>
      <c r="G11575" t="s">
        <v>3684</v>
      </c>
      <c r="H11575" t="s">
        <v>2871</v>
      </c>
      <c r="I11575" t="s">
        <v>3691</v>
      </c>
      <c r="J11575" s="70">
        <v>-1376</v>
      </c>
      <c r="K11575" s="71">
        <v>-7741</v>
      </c>
      <c r="L11575" s="33" t="e">
        <f>HLOOKUP(B11575,#REF!,1,0)</f>
        <v>#REF!</v>
      </c>
      <c r="M11575" s="33" t="str">
        <f t="shared" si="723"/>
        <v>P&amp;L</v>
      </c>
    </row>
    <row r="11576" spans="1:13">
      <c r="A11576" s="33" t="str">
        <f t="shared" si="720"/>
        <v>VAL - Revenue</v>
      </c>
      <c r="B11576" s="33" t="str">
        <f t="shared" si="721"/>
        <v>VAL</v>
      </c>
      <c r="C11576" s="33" t="str">
        <f t="shared" si="722"/>
        <v>40140-0000</v>
      </c>
      <c r="D11576" t="s">
        <v>12863</v>
      </c>
      <c r="E11576" t="s">
        <v>3948</v>
      </c>
      <c r="F11576" t="s">
        <v>230</v>
      </c>
      <c r="G11576" t="s">
        <v>3684</v>
      </c>
      <c r="H11576" t="s">
        <v>2871</v>
      </c>
      <c r="I11576" t="s">
        <v>3949</v>
      </c>
      <c r="J11576" s="70">
        <v>0</v>
      </c>
      <c r="K11576" s="71">
        <v>0</v>
      </c>
      <c r="L11576" s="33" t="e">
        <f>HLOOKUP(B11576,#REF!,1,0)</f>
        <v>#REF!</v>
      </c>
      <c r="M11576" s="33" t="str">
        <f t="shared" si="723"/>
        <v>P&amp;L</v>
      </c>
    </row>
    <row r="11577" spans="1:13">
      <c r="A11577" s="33" t="str">
        <f t="shared" si="720"/>
        <v>VAL - Revenue</v>
      </c>
      <c r="B11577" s="33" t="str">
        <f t="shared" si="721"/>
        <v>VAL</v>
      </c>
      <c r="C11577" s="33" t="str">
        <f t="shared" si="722"/>
        <v>41110-0000</v>
      </c>
      <c r="D11577" t="s">
        <v>12864</v>
      </c>
      <c r="E11577" t="s">
        <v>3693</v>
      </c>
      <c r="F11577" t="s">
        <v>230</v>
      </c>
      <c r="G11577" t="s">
        <v>3694</v>
      </c>
      <c r="H11577" t="s">
        <v>2871</v>
      </c>
      <c r="I11577" t="s">
        <v>3695</v>
      </c>
      <c r="J11577" s="70">
        <v>2072</v>
      </c>
      <c r="K11577" s="71">
        <v>8289.61</v>
      </c>
      <c r="L11577" s="33" t="e">
        <f>HLOOKUP(B11577,#REF!,1,0)</f>
        <v>#REF!</v>
      </c>
      <c r="M11577" s="33" t="str">
        <f t="shared" si="723"/>
        <v>P&amp;L</v>
      </c>
    </row>
    <row r="11578" spans="1:13">
      <c r="A11578" s="33" t="str">
        <f t="shared" si="720"/>
        <v>VAL - Revenue</v>
      </c>
      <c r="B11578" s="33" t="str">
        <f t="shared" si="721"/>
        <v>VAL</v>
      </c>
      <c r="C11578" s="33" t="str">
        <f t="shared" si="722"/>
        <v>41121-0000</v>
      </c>
      <c r="D11578" t="s">
        <v>12865</v>
      </c>
      <c r="E11578" t="s">
        <v>3697</v>
      </c>
      <c r="F11578" t="s">
        <v>230</v>
      </c>
      <c r="G11578" t="s">
        <v>3694</v>
      </c>
      <c r="H11578" t="s">
        <v>2871</v>
      </c>
      <c r="I11578" t="s">
        <v>3698</v>
      </c>
      <c r="J11578" s="70">
        <v>2207</v>
      </c>
      <c r="K11578" s="71">
        <v>31449</v>
      </c>
      <c r="L11578" s="33" t="e">
        <f>HLOOKUP(B11578,#REF!,1,0)</f>
        <v>#REF!</v>
      </c>
      <c r="M11578" s="33" t="str">
        <f t="shared" si="723"/>
        <v>P&amp;L</v>
      </c>
    </row>
    <row r="11579" spans="1:13">
      <c r="A11579" s="33" t="str">
        <f t="shared" si="720"/>
        <v>VAL - Revenue</v>
      </c>
      <c r="B11579" s="33" t="str">
        <f t="shared" si="721"/>
        <v>VAL</v>
      </c>
      <c r="C11579" s="33" t="str">
        <f t="shared" si="722"/>
        <v>41122-0000</v>
      </c>
      <c r="D11579" t="s">
        <v>12866</v>
      </c>
      <c r="E11579" t="s">
        <v>3700</v>
      </c>
      <c r="F11579" t="s">
        <v>230</v>
      </c>
      <c r="G11579" t="s">
        <v>3694</v>
      </c>
      <c r="H11579" t="s">
        <v>2871</v>
      </c>
      <c r="I11579" t="s">
        <v>3701</v>
      </c>
      <c r="J11579" s="70">
        <v>0</v>
      </c>
      <c r="K11579" s="71">
        <v>-45479</v>
      </c>
      <c r="L11579" s="33" t="e">
        <f>HLOOKUP(B11579,#REF!,1,0)</f>
        <v>#REF!</v>
      </c>
      <c r="M11579" s="33" t="str">
        <f t="shared" si="723"/>
        <v>P&amp;L</v>
      </c>
    </row>
    <row r="11580" spans="1:13">
      <c r="A11580" s="33" t="str">
        <f t="shared" si="720"/>
        <v>VAL - Revenue</v>
      </c>
      <c r="B11580" s="33" t="str">
        <f t="shared" si="721"/>
        <v>VAL</v>
      </c>
      <c r="C11580" s="33" t="str">
        <f t="shared" si="722"/>
        <v>41130-0000</v>
      </c>
      <c r="D11580" t="s">
        <v>12867</v>
      </c>
      <c r="E11580" t="s">
        <v>3703</v>
      </c>
      <c r="F11580" t="s">
        <v>230</v>
      </c>
      <c r="G11580" t="s">
        <v>3694</v>
      </c>
      <c r="H11580" t="s">
        <v>2871</v>
      </c>
      <c r="I11580" t="s">
        <v>3704</v>
      </c>
      <c r="J11580" s="70">
        <v>0</v>
      </c>
      <c r="K11580" s="71">
        <v>0</v>
      </c>
      <c r="L11580" s="33" t="e">
        <f>HLOOKUP(B11580,#REF!,1,0)</f>
        <v>#REF!</v>
      </c>
      <c r="M11580" s="33" t="str">
        <f t="shared" si="723"/>
        <v>P&amp;L</v>
      </c>
    </row>
    <row r="11581" spans="1:13">
      <c r="A11581" s="33" t="str">
        <f t="shared" si="720"/>
        <v>VAL - Revenue</v>
      </c>
      <c r="B11581" s="33" t="str">
        <f t="shared" si="721"/>
        <v>VAL</v>
      </c>
      <c r="C11581" s="33" t="str">
        <f t="shared" si="722"/>
        <v>41140-0000</v>
      </c>
      <c r="D11581" t="s">
        <v>12868</v>
      </c>
      <c r="E11581" t="s">
        <v>3706</v>
      </c>
      <c r="F11581" t="s">
        <v>230</v>
      </c>
      <c r="G11581" t="s">
        <v>3694</v>
      </c>
      <c r="H11581" t="s">
        <v>2871</v>
      </c>
      <c r="I11581" t="s">
        <v>3707</v>
      </c>
      <c r="J11581" s="70">
        <v>0</v>
      </c>
      <c r="K11581" s="71">
        <v>0</v>
      </c>
      <c r="L11581" s="33" t="e">
        <f>HLOOKUP(B11581,#REF!,1,0)</f>
        <v>#REF!</v>
      </c>
      <c r="M11581" s="33" t="str">
        <f t="shared" si="723"/>
        <v>P&amp;L</v>
      </c>
    </row>
    <row r="11582" spans="1:13">
      <c r="A11582" s="33" t="str">
        <f t="shared" si="720"/>
        <v>VAL - Revenue</v>
      </c>
      <c r="B11582" s="33" t="str">
        <f t="shared" si="721"/>
        <v>VAL</v>
      </c>
      <c r="C11582" s="33" t="str">
        <f t="shared" si="722"/>
        <v>41150-0000</v>
      </c>
      <c r="D11582" t="s">
        <v>12869</v>
      </c>
      <c r="E11582" t="s">
        <v>3709</v>
      </c>
      <c r="F11582" t="s">
        <v>230</v>
      </c>
      <c r="G11582" t="s">
        <v>3694</v>
      </c>
      <c r="H11582" t="s">
        <v>2871</v>
      </c>
      <c r="I11582" t="s">
        <v>3710</v>
      </c>
      <c r="J11582" s="70">
        <v>0</v>
      </c>
      <c r="K11582" s="71">
        <v>0</v>
      </c>
      <c r="L11582" s="33" t="e">
        <f>HLOOKUP(B11582,#REF!,1,0)</f>
        <v>#REF!</v>
      </c>
      <c r="M11582" s="33" t="str">
        <f t="shared" si="723"/>
        <v>P&amp;L</v>
      </c>
    </row>
    <row r="11583" spans="1:13">
      <c r="A11583" s="33" t="str">
        <f t="shared" si="720"/>
        <v>VAL - Revenue</v>
      </c>
      <c r="B11583" s="33" t="str">
        <f t="shared" si="721"/>
        <v>VAL</v>
      </c>
      <c r="C11583" s="33" t="str">
        <f t="shared" si="722"/>
        <v>41999-0000</v>
      </c>
      <c r="D11583" t="s">
        <v>12870</v>
      </c>
      <c r="E11583" t="s">
        <v>3712</v>
      </c>
      <c r="F11583" t="s">
        <v>230</v>
      </c>
      <c r="G11583" t="s">
        <v>3713</v>
      </c>
      <c r="H11583" t="s">
        <v>2871</v>
      </c>
      <c r="I11583" t="s">
        <v>3714</v>
      </c>
      <c r="J11583" s="70">
        <v>23539</v>
      </c>
      <c r="K11583" s="71">
        <v>272300.39</v>
      </c>
      <c r="L11583" s="33" t="e">
        <f>HLOOKUP(B11583,#REF!,1,0)</f>
        <v>#REF!</v>
      </c>
      <c r="M11583" s="33" t="str">
        <f t="shared" si="723"/>
        <v>P&amp;L</v>
      </c>
    </row>
    <row r="11584" spans="1:13">
      <c r="A11584" s="33" t="str">
        <f t="shared" si="720"/>
        <v>VAL - Revenue</v>
      </c>
      <c r="B11584" s="33" t="str">
        <f t="shared" si="721"/>
        <v>VAL</v>
      </c>
      <c r="C11584" s="33" t="str">
        <f t="shared" si="722"/>
        <v>47400-0000</v>
      </c>
      <c r="D11584" t="s">
        <v>12871</v>
      </c>
      <c r="E11584" t="s">
        <v>3716</v>
      </c>
      <c r="F11584" t="s">
        <v>230</v>
      </c>
      <c r="G11584" t="s">
        <v>3717</v>
      </c>
      <c r="H11584" t="s">
        <v>2871</v>
      </c>
      <c r="I11584" t="s">
        <v>3718</v>
      </c>
      <c r="J11584" s="70">
        <v>-23539</v>
      </c>
      <c r="K11584" s="71">
        <v>-268905.39</v>
      </c>
      <c r="L11584" s="33" t="e">
        <f>HLOOKUP(B11584,#REF!,1,0)</f>
        <v>#REF!</v>
      </c>
      <c r="M11584" s="33" t="str">
        <f t="shared" si="723"/>
        <v>P&amp;L</v>
      </c>
    </row>
    <row r="11585" spans="1:13">
      <c r="A11585" s="33" t="str">
        <f t="shared" si="720"/>
        <v>VAL - Revenue</v>
      </c>
      <c r="B11585" s="33" t="str">
        <f t="shared" si="721"/>
        <v>VAL</v>
      </c>
      <c r="C11585" s="33" t="str">
        <f t="shared" si="722"/>
        <v>47430-0000</v>
      </c>
      <c r="D11585" t="s">
        <v>12872</v>
      </c>
      <c r="E11585" t="s">
        <v>4053</v>
      </c>
      <c r="F11585" t="s">
        <v>230</v>
      </c>
      <c r="G11585" t="s">
        <v>3717</v>
      </c>
      <c r="H11585" t="s">
        <v>2871</v>
      </c>
      <c r="I11585" t="s">
        <v>4054</v>
      </c>
      <c r="J11585" s="70">
        <v>0</v>
      </c>
      <c r="K11585" s="71">
        <v>-273.62</v>
      </c>
      <c r="L11585" s="33" t="e">
        <f>HLOOKUP(B11585,#REF!,1,0)</f>
        <v>#REF!</v>
      </c>
      <c r="M11585" s="33" t="str">
        <f t="shared" si="723"/>
        <v>P&amp;L</v>
      </c>
    </row>
    <row r="11586" spans="1:13">
      <c r="A11586" s="33" t="str">
        <f t="shared" ref="A11586:A11649" si="724">B11586&amp;" - "&amp;TRIM(H11586)</f>
        <v>VAL - Revenue</v>
      </c>
      <c r="B11586" s="33" t="str">
        <f t="shared" ref="B11586:B11649" si="725">LEFT(D11586,3)</f>
        <v>VAL</v>
      </c>
      <c r="C11586" s="33" t="str">
        <f t="shared" ref="C11586:C11649" si="726">RIGHT(D11586,10)</f>
        <v>47440-0000</v>
      </c>
      <c r="D11586" t="s">
        <v>12873</v>
      </c>
      <c r="E11586" t="s">
        <v>3720</v>
      </c>
      <c r="F11586" t="s">
        <v>230</v>
      </c>
      <c r="G11586" t="s">
        <v>3717</v>
      </c>
      <c r="H11586" t="s">
        <v>2871</v>
      </c>
      <c r="I11586" t="s">
        <v>3721</v>
      </c>
      <c r="J11586" s="70">
        <v>-3258</v>
      </c>
      <c r="K11586" s="71">
        <v>-3258</v>
      </c>
      <c r="L11586" s="33" t="e">
        <f>HLOOKUP(B11586,#REF!,1,0)</f>
        <v>#REF!</v>
      </c>
      <c r="M11586" s="33" t="str">
        <f t="shared" ref="M11586:M11649" si="727">IF(VALUE(LEFT(C11586,5))&gt;40000,"P&amp;L","BS")</f>
        <v>P&amp;L</v>
      </c>
    </row>
    <row r="11587" spans="1:13">
      <c r="A11587" s="33" t="str">
        <f t="shared" si="724"/>
        <v>VAL - Revenue</v>
      </c>
      <c r="B11587" s="33" t="str">
        <f t="shared" si="725"/>
        <v>VAL</v>
      </c>
      <c r="C11587" s="33" t="str">
        <f t="shared" si="726"/>
        <v>47450-0000</v>
      </c>
      <c r="D11587" t="s">
        <v>12874</v>
      </c>
      <c r="E11587" t="s">
        <v>3723</v>
      </c>
      <c r="F11587" t="s">
        <v>230</v>
      </c>
      <c r="G11587" t="s">
        <v>3717</v>
      </c>
      <c r="H11587" t="s">
        <v>2871</v>
      </c>
      <c r="I11587" t="s">
        <v>3724</v>
      </c>
      <c r="J11587" s="70">
        <v>0</v>
      </c>
      <c r="K11587" s="71">
        <v>0</v>
      </c>
      <c r="L11587" s="33" t="e">
        <f>HLOOKUP(B11587,#REF!,1,0)</f>
        <v>#REF!</v>
      </c>
      <c r="M11587" s="33" t="str">
        <f t="shared" si="727"/>
        <v>P&amp;L</v>
      </c>
    </row>
    <row r="11588" spans="1:13">
      <c r="A11588" s="33" t="str">
        <f t="shared" si="724"/>
        <v>VAL - Revenue</v>
      </c>
      <c r="B11588" s="33" t="str">
        <f t="shared" si="725"/>
        <v>VAL</v>
      </c>
      <c r="C11588" s="33" t="str">
        <f t="shared" si="726"/>
        <v>47460-0000</v>
      </c>
      <c r="D11588" t="s">
        <v>12875</v>
      </c>
      <c r="E11588" t="s">
        <v>3726</v>
      </c>
      <c r="F11588" t="s">
        <v>230</v>
      </c>
      <c r="G11588" t="s">
        <v>3717</v>
      </c>
      <c r="H11588" t="s">
        <v>2871</v>
      </c>
      <c r="I11588" t="s">
        <v>3727</v>
      </c>
      <c r="J11588" s="70">
        <v>0</v>
      </c>
      <c r="K11588" s="71">
        <v>-75</v>
      </c>
      <c r="L11588" s="33" t="e">
        <f>HLOOKUP(B11588,#REF!,1,0)</f>
        <v>#REF!</v>
      </c>
      <c r="M11588" s="33" t="str">
        <f t="shared" si="727"/>
        <v>P&amp;L</v>
      </c>
    </row>
    <row r="11589" spans="1:13">
      <c r="A11589" s="33" t="str">
        <f t="shared" si="724"/>
        <v>VAL - Revenue</v>
      </c>
      <c r="B11589" s="33" t="str">
        <f t="shared" si="725"/>
        <v>VAL</v>
      </c>
      <c r="C11589" s="33" t="str">
        <f t="shared" si="726"/>
        <v>47480-0000</v>
      </c>
      <c r="D11589" t="s">
        <v>12876</v>
      </c>
      <c r="E11589" t="s">
        <v>3729</v>
      </c>
      <c r="F11589" t="s">
        <v>230</v>
      </c>
      <c r="G11589" t="s">
        <v>3717</v>
      </c>
      <c r="H11589" t="s">
        <v>2871</v>
      </c>
      <c r="I11589" t="s">
        <v>3721</v>
      </c>
      <c r="J11589" s="70">
        <v>0</v>
      </c>
      <c r="K11589" s="71">
        <v>-225</v>
      </c>
      <c r="L11589" s="33" t="e">
        <f>HLOOKUP(B11589,#REF!,1,0)</f>
        <v>#REF!</v>
      </c>
      <c r="M11589" s="33" t="str">
        <f t="shared" si="727"/>
        <v>P&amp;L</v>
      </c>
    </row>
    <row r="11590" spans="1:13">
      <c r="A11590" s="33" t="str">
        <f t="shared" si="724"/>
        <v>VAL - Revenue</v>
      </c>
      <c r="B11590" s="33" t="str">
        <f t="shared" si="725"/>
        <v>VAL</v>
      </c>
      <c r="C11590" s="33" t="str">
        <f t="shared" si="726"/>
        <v>47492-0000</v>
      </c>
      <c r="D11590" t="s">
        <v>12877</v>
      </c>
      <c r="E11590" t="s">
        <v>3736</v>
      </c>
      <c r="F11590" t="s">
        <v>230</v>
      </c>
      <c r="G11590" t="s">
        <v>3717</v>
      </c>
      <c r="H11590" t="s">
        <v>2871</v>
      </c>
      <c r="I11590" t="s">
        <v>3737</v>
      </c>
      <c r="J11590" s="70">
        <v>-78</v>
      </c>
      <c r="K11590" s="71">
        <v>-273</v>
      </c>
      <c r="L11590" s="33" t="e">
        <f>HLOOKUP(B11590,#REF!,1,0)</f>
        <v>#REF!</v>
      </c>
      <c r="M11590" s="33" t="str">
        <f t="shared" si="727"/>
        <v>P&amp;L</v>
      </c>
    </row>
    <row r="11591" spans="1:13">
      <c r="A11591" s="33" t="str">
        <f t="shared" si="724"/>
        <v>VAL - CGS</v>
      </c>
      <c r="B11591" s="33" t="str">
        <f t="shared" si="725"/>
        <v>VAL</v>
      </c>
      <c r="C11591" s="33" t="str">
        <f t="shared" si="726"/>
        <v>51006-0000</v>
      </c>
      <c r="D11591" t="s">
        <v>12878</v>
      </c>
      <c r="E11591" t="s">
        <v>3739</v>
      </c>
      <c r="F11591" t="s">
        <v>230</v>
      </c>
      <c r="G11591" t="s">
        <v>3740</v>
      </c>
      <c r="H11591" t="s">
        <v>1875</v>
      </c>
      <c r="I11591" t="s">
        <v>3741</v>
      </c>
      <c r="J11591" s="70">
        <v>0</v>
      </c>
      <c r="K11591" s="71">
        <v>244.69</v>
      </c>
      <c r="L11591" s="33" t="e">
        <f>HLOOKUP(B11591,#REF!,1,0)</f>
        <v>#REF!</v>
      </c>
      <c r="M11591" s="33" t="str">
        <f t="shared" si="727"/>
        <v>P&amp;L</v>
      </c>
    </row>
    <row r="11592" spans="1:13">
      <c r="A11592" s="33" t="str">
        <f t="shared" si="724"/>
        <v>VAL - CGS</v>
      </c>
      <c r="B11592" s="33" t="str">
        <f t="shared" si="725"/>
        <v>VAL</v>
      </c>
      <c r="C11592" s="33" t="str">
        <f t="shared" si="726"/>
        <v>51008-0000</v>
      </c>
      <c r="D11592" t="s">
        <v>12879</v>
      </c>
      <c r="E11592" t="s">
        <v>3743</v>
      </c>
      <c r="F11592" t="s">
        <v>230</v>
      </c>
      <c r="G11592" t="s">
        <v>3740</v>
      </c>
      <c r="H11592" t="s">
        <v>1875</v>
      </c>
      <c r="I11592" t="s">
        <v>3744</v>
      </c>
      <c r="J11592" s="70">
        <v>0</v>
      </c>
      <c r="K11592" s="71">
        <v>348.99</v>
      </c>
      <c r="L11592" s="33" t="e">
        <f>HLOOKUP(B11592,#REF!,1,0)</f>
        <v>#REF!</v>
      </c>
      <c r="M11592" s="33" t="str">
        <f t="shared" si="727"/>
        <v>P&amp;L</v>
      </c>
    </row>
    <row r="11593" spans="1:13">
      <c r="A11593" s="33" t="str">
        <f t="shared" si="724"/>
        <v>VAL - CGS</v>
      </c>
      <c r="B11593" s="33" t="str">
        <f t="shared" si="725"/>
        <v>VAL</v>
      </c>
      <c r="C11593" s="33" t="str">
        <f t="shared" si="726"/>
        <v>51009-0000</v>
      </c>
      <c r="D11593" t="s">
        <v>12880</v>
      </c>
      <c r="E11593" t="s">
        <v>3746</v>
      </c>
      <c r="F11593" t="s">
        <v>230</v>
      </c>
      <c r="G11593" t="s">
        <v>3740</v>
      </c>
      <c r="H11593" t="s">
        <v>1875</v>
      </c>
      <c r="I11593" t="s">
        <v>3747</v>
      </c>
      <c r="J11593" s="70">
        <v>0</v>
      </c>
      <c r="K11593" s="71">
        <v>91.13</v>
      </c>
      <c r="L11593" s="33" t="e">
        <f>HLOOKUP(B11593,#REF!,1,0)</f>
        <v>#REF!</v>
      </c>
      <c r="M11593" s="33" t="str">
        <f t="shared" si="727"/>
        <v>P&amp;L</v>
      </c>
    </row>
    <row r="11594" spans="1:13">
      <c r="A11594" s="33" t="str">
        <f t="shared" si="724"/>
        <v>VAL - CGS</v>
      </c>
      <c r="B11594" s="33" t="str">
        <f t="shared" si="725"/>
        <v>VAL</v>
      </c>
      <c r="C11594" s="33" t="str">
        <f t="shared" si="726"/>
        <v>51011-0000</v>
      </c>
      <c r="D11594" t="s">
        <v>12881</v>
      </c>
      <c r="E11594" t="s">
        <v>3749</v>
      </c>
      <c r="F11594" t="s">
        <v>230</v>
      </c>
      <c r="G11594" t="s">
        <v>3740</v>
      </c>
      <c r="H11594" t="s">
        <v>1875</v>
      </c>
      <c r="I11594" t="s">
        <v>3750</v>
      </c>
      <c r="J11594" s="70">
        <v>250</v>
      </c>
      <c r="K11594" s="71">
        <v>5133.13</v>
      </c>
      <c r="L11594" s="33" t="e">
        <f>HLOOKUP(B11594,#REF!,1,0)</f>
        <v>#REF!</v>
      </c>
      <c r="M11594" s="33" t="str">
        <f t="shared" si="727"/>
        <v>P&amp;L</v>
      </c>
    </row>
    <row r="11595" spans="1:13">
      <c r="A11595" s="33" t="str">
        <f t="shared" si="724"/>
        <v>VAL - CGS</v>
      </c>
      <c r="B11595" s="33" t="str">
        <f t="shared" si="725"/>
        <v>VAL</v>
      </c>
      <c r="C11595" s="33" t="str">
        <f t="shared" si="726"/>
        <v>51012-0000</v>
      </c>
      <c r="D11595" t="s">
        <v>12882</v>
      </c>
      <c r="E11595" t="s">
        <v>3752</v>
      </c>
      <c r="F11595" t="s">
        <v>230</v>
      </c>
      <c r="G11595" t="s">
        <v>3740</v>
      </c>
      <c r="H11595" t="s">
        <v>1875</v>
      </c>
      <c r="I11595" t="s">
        <v>3753</v>
      </c>
      <c r="J11595" s="70">
        <v>0</v>
      </c>
      <c r="K11595" s="71">
        <v>450</v>
      </c>
      <c r="L11595" s="33" t="e">
        <f>HLOOKUP(B11595,#REF!,1,0)</f>
        <v>#REF!</v>
      </c>
      <c r="M11595" s="33" t="str">
        <f t="shared" si="727"/>
        <v>P&amp;L</v>
      </c>
    </row>
    <row r="11596" spans="1:13">
      <c r="A11596" s="33" t="str">
        <f t="shared" si="724"/>
        <v>VAL - CGS</v>
      </c>
      <c r="B11596" s="33" t="str">
        <f t="shared" si="725"/>
        <v>VAL</v>
      </c>
      <c r="C11596" s="33" t="str">
        <f t="shared" si="726"/>
        <v>51017-0000</v>
      </c>
      <c r="D11596" t="s">
        <v>12883</v>
      </c>
      <c r="E11596" t="s">
        <v>3758</v>
      </c>
      <c r="F11596" t="s">
        <v>230</v>
      </c>
      <c r="G11596" t="s">
        <v>3160</v>
      </c>
      <c r="H11596" t="s">
        <v>1875</v>
      </c>
      <c r="I11596" t="s">
        <v>3759</v>
      </c>
      <c r="J11596" s="70">
        <v>0</v>
      </c>
      <c r="K11596" s="71">
        <v>100.32</v>
      </c>
      <c r="L11596" s="33" t="e">
        <f>HLOOKUP(B11596,#REF!,1,0)</f>
        <v>#REF!</v>
      </c>
      <c r="M11596" s="33" t="str">
        <f t="shared" si="727"/>
        <v>P&amp;L</v>
      </c>
    </row>
    <row r="11597" spans="1:13">
      <c r="A11597" s="33" t="str">
        <f t="shared" si="724"/>
        <v>VAL - CGS</v>
      </c>
      <c r="B11597" s="33" t="str">
        <f t="shared" si="725"/>
        <v>VAL</v>
      </c>
      <c r="C11597" s="33" t="str">
        <f t="shared" si="726"/>
        <v>51020-0000</v>
      </c>
      <c r="D11597" t="s">
        <v>12884</v>
      </c>
      <c r="E11597" t="s">
        <v>3763</v>
      </c>
      <c r="F11597" t="s">
        <v>230</v>
      </c>
      <c r="G11597" t="s">
        <v>3740</v>
      </c>
      <c r="H11597" t="s">
        <v>1875</v>
      </c>
      <c r="I11597" t="s">
        <v>3345</v>
      </c>
      <c r="J11597" s="70">
        <v>0</v>
      </c>
      <c r="K11597" s="71">
        <v>13.64</v>
      </c>
      <c r="L11597" s="33" t="e">
        <f>HLOOKUP(B11597,#REF!,1,0)</f>
        <v>#REF!</v>
      </c>
      <c r="M11597" s="33" t="str">
        <f t="shared" si="727"/>
        <v>P&amp;L</v>
      </c>
    </row>
    <row r="11598" spans="1:13">
      <c r="A11598" s="33" t="str">
        <f t="shared" si="724"/>
        <v>VAL - CGS</v>
      </c>
      <c r="B11598" s="33" t="str">
        <f t="shared" si="725"/>
        <v>VAL</v>
      </c>
      <c r="C11598" s="33" t="str">
        <f t="shared" si="726"/>
        <v>52003-0000</v>
      </c>
      <c r="D11598" t="s">
        <v>12885</v>
      </c>
      <c r="E11598" t="s">
        <v>3772</v>
      </c>
      <c r="F11598" t="s">
        <v>230</v>
      </c>
      <c r="G11598" t="s">
        <v>3769</v>
      </c>
      <c r="H11598" t="s">
        <v>1875</v>
      </c>
      <c r="I11598" t="s">
        <v>3773</v>
      </c>
      <c r="J11598" s="70">
        <v>0</v>
      </c>
      <c r="K11598" s="71">
        <v>-425</v>
      </c>
      <c r="L11598" s="33" t="e">
        <f>HLOOKUP(B11598,#REF!,1,0)</f>
        <v>#REF!</v>
      </c>
      <c r="M11598" s="33" t="str">
        <f t="shared" si="727"/>
        <v>P&amp;L</v>
      </c>
    </row>
    <row r="11599" spans="1:13">
      <c r="A11599" s="33" t="str">
        <f t="shared" si="724"/>
        <v>VAL - CGS</v>
      </c>
      <c r="B11599" s="33" t="str">
        <f t="shared" si="725"/>
        <v>VAL</v>
      </c>
      <c r="C11599" s="33" t="str">
        <f t="shared" si="726"/>
        <v>52004-0000</v>
      </c>
      <c r="D11599" t="s">
        <v>12886</v>
      </c>
      <c r="E11599" t="s">
        <v>3775</v>
      </c>
      <c r="F11599" t="s">
        <v>230</v>
      </c>
      <c r="G11599" t="s">
        <v>3769</v>
      </c>
      <c r="H11599" t="s">
        <v>1875</v>
      </c>
      <c r="I11599" t="s">
        <v>3776</v>
      </c>
      <c r="J11599" s="70">
        <v>0</v>
      </c>
      <c r="K11599" s="71">
        <v>-1069.23</v>
      </c>
      <c r="L11599" s="33" t="e">
        <f>HLOOKUP(B11599,#REF!,1,0)</f>
        <v>#REF!</v>
      </c>
      <c r="M11599" s="33" t="str">
        <f t="shared" si="727"/>
        <v>P&amp;L</v>
      </c>
    </row>
    <row r="11600" spans="1:13">
      <c r="A11600" s="33" t="str">
        <f t="shared" si="724"/>
        <v>VAL - CGS</v>
      </c>
      <c r="B11600" s="33" t="str">
        <f t="shared" si="725"/>
        <v>VAL</v>
      </c>
      <c r="C11600" s="33" t="str">
        <f t="shared" si="726"/>
        <v>52006-0000</v>
      </c>
      <c r="D11600" t="s">
        <v>12887</v>
      </c>
      <c r="E11600" t="s">
        <v>3778</v>
      </c>
      <c r="F11600" t="s">
        <v>230</v>
      </c>
      <c r="G11600" t="s">
        <v>3769</v>
      </c>
      <c r="H11600" t="s">
        <v>1875</v>
      </c>
      <c r="I11600" t="s">
        <v>3779</v>
      </c>
      <c r="J11600" s="70">
        <v>0</v>
      </c>
      <c r="K11600" s="71">
        <v>-100</v>
      </c>
      <c r="L11600" s="33" t="e">
        <f>HLOOKUP(B11600,#REF!,1,0)</f>
        <v>#REF!</v>
      </c>
      <c r="M11600" s="33" t="str">
        <f t="shared" si="727"/>
        <v>P&amp;L</v>
      </c>
    </row>
    <row r="11601" spans="1:13">
      <c r="A11601" s="33" t="str">
        <f t="shared" si="724"/>
        <v>VAL - CGS</v>
      </c>
      <c r="B11601" s="33" t="str">
        <f t="shared" si="725"/>
        <v>VAL</v>
      </c>
      <c r="C11601" s="33" t="str">
        <f t="shared" si="726"/>
        <v>53003-0000</v>
      </c>
      <c r="D11601" t="s">
        <v>12888</v>
      </c>
      <c r="E11601" t="s">
        <v>3787</v>
      </c>
      <c r="F11601" t="s">
        <v>230</v>
      </c>
      <c r="G11601" t="s">
        <v>3160</v>
      </c>
      <c r="H11601" t="s">
        <v>1875</v>
      </c>
      <c r="I11601" t="s">
        <v>3788</v>
      </c>
      <c r="J11601" s="70">
        <v>114.89</v>
      </c>
      <c r="K11601" s="71">
        <v>655.22</v>
      </c>
      <c r="L11601" s="33" t="e">
        <f>HLOOKUP(B11601,#REF!,1,0)</f>
        <v>#REF!</v>
      </c>
      <c r="M11601" s="33" t="str">
        <f t="shared" si="727"/>
        <v>P&amp;L</v>
      </c>
    </row>
    <row r="11602" spans="1:13">
      <c r="A11602" s="33" t="str">
        <f t="shared" si="724"/>
        <v>VAL - CGS</v>
      </c>
      <c r="B11602" s="33" t="str">
        <f t="shared" si="725"/>
        <v>VAL</v>
      </c>
      <c r="C11602" s="33" t="str">
        <f t="shared" si="726"/>
        <v>53004-0000</v>
      </c>
      <c r="D11602" t="s">
        <v>12889</v>
      </c>
      <c r="E11602" t="s">
        <v>3790</v>
      </c>
      <c r="F11602" t="s">
        <v>230</v>
      </c>
      <c r="G11602" t="s">
        <v>3160</v>
      </c>
      <c r="H11602" t="s">
        <v>1875</v>
      </c>
      <c r="I11602" t="s">
        <v>3791</v>
      </c>
      <c r="J11602" s="70">
        <v>21.14</v>
      </c>
      <c r="K11602" s="71">
        <v>133.47</v>
      </c>
      <c r="L11602" s="33" t="e">
        <f>HLOOKUP(B11602,#REF!,1,0)</f>
        <v>#REF!</v>
      </c>
      <c r="M11602" s="33" t="str">
        <f t="shared" si="727"/>
        <v>P&amp;L</v>
      </c>
    </row>
    <row r="11603" spans="1:13">
      <c r="A11603" s="33" t="str">
        <f t="shared" si="724"/>
        <v>VAL - CGS</v>
      </c>
      <c r="B11603" s="33" t="str">
        <f t="shared" si="725"/>
        <v>VAL</v>
      </c>
      <c r="C11603" s="33" t="str">
        <f t="shared" si="726"/>
        <v>53006-0000</v>
      </c>
      <c r="D11603" t="s">
        <v>12890</v>
      </c>
      <c r="E11603" t="s">
        <v>3796</v>
      </c>
      <c r="F11603" t="s">
        <v>230</v>
      </c>
      <c r="G11603" t="s">
        <v>3160</v>
      </c>
      <c r="H11603" t="s">
        <v>1875</v>
      </c>
      <c r="I11603" t="s">
        <v>3797</v>
      </c>
      <c r="J11603" s="70">
        <v>0</v>
      </c>
      <c r="K11603" s="71">
        <v>3401.62</v>
      </c>
      <c r="L11603" s="33" t="e">
        <f>HLOOKUP(B11603,#REF!,1,0)</f>
        <v>#REF!</v>
      </c>
      <c r="M11603" s="33" t="str">
        <f t="shared" si="727"/>
        <v>P&amp;L</v>
      </c>
    </row>
    <row r="11604" spans="1:13">
      <c r="A11604" s="33" t="str">
        <f t="shared" si="724"/>
        <v>VAL - CGS</v>
      </c>
      <c r="B11604" s="33" t="str">
        <f t="shared" si="725"/>
        <v>VAL</v>
      </c>
      <c r="C11604" s="33" t="str">
        <f t="shared" si="726"/>
        <v>54003-0000</v>
      </c>
      <c r="D11604" t="s">
        <v>12891</v>
      </c>
      <c r="E11604" t="s">
        <v>3803</v>
      </c>
      <c r="F11604" t="s">
        <v>230</v>
      </c>
      <c r="G11604" t="s">
        <v>3800</v>
      </c>
      <c r="H11604" t="s">
        <v>1875</v>
      </c>
      <c r="I11604" t="s">
        <v>3804</v>
      </c>
      <c r="J11604" s="70">
        <v>0</v>
      </c>
      <c r="K11604" s="71">
        <v>0</v>
      </c>
      <c r="L11604" s="33" t="e">
        <f>HLOOKUP(B11604,#REF!,1,0)</f>
        <v>#REF!</v>
      </c>
      <c r="M11604" s="33" t="str">
        <f t="shared" si="727"/>
        <v>P&amp;L</v>
      </c>
    </row>
    <row r="11605" spans="1:13">
      <c r="A11605" s="33" t="str">
        <f t="shared" si="724"/>
        <v>VAL - CGS</v>
      </c>
      <c r="B11605" s="33" t="str">
        <f t="shared" si="725"/>
        <v>VAL</v>
      </c>
      <c r="C11605" s="33" t="str">
        <f t="shared" si="726"/>
        <v>54004-0000</v>
      </c>
      <c r="D11605" t="s">
        <v>12892</v>
      </c>
      <c r="E11605" t="s">
        <v>3806</v>
      </c>
      <c r="F11605" t="s">
        <v>230</v>
      </c>
      <c r="G11605" t="s">
        <v>3800</v>
      </c>
      <c r="H11605" t="s">
        <v>1875</v>
      </c>
      <c r="I11605" t="s">
        <v>3807</v>
      </c>
      <c r="J11605" s="70">
        <v>0</v>
      </c>
      <c r="K11605" s="71">
        <v>0</v>
      </c>
      <c r="L11605" s="33" t="e">
        <f>HLOOKUP(B11605,#REF!,1,0)</f>
        <v>#REF!</v>
      </c>
      <c r="M11605" s="33" t="str">
        <f t="shared" si="727"/>
        <v>P&amp;L</v>
      </c>
    </row>
    <row r="11606" spans="1:13">
      <c r="A11606" s="33" t="str">
        <f t="shared" si="724"/>
        <v>VAL - CGS</v>
      </c>
      <c r="B11606" s="33" t="str">
        <f t="shared" si="725"/>
        <v>VAL</v>
      </c>
      <c r="C11606" s="33" t="str">
        <f t="shared" si="726"/>
        <v>54006-0000</v>
      </c>
      <c r="D11606" t="s">
        <v>12893</v>
      </c>
      <c r="E11606" t="s">
        <v>3812</v>
      </c>
      <c r="F11606" t="s">
        <v>230</v>
      </c>
      <c r="G11606" t="s">
        <v>3800</v>
      </c>
      <c r="H11606" t="s">
        <v>1875</v>
      </c>
      <c r="I11606" t="s">
        <v>3003</v>
      </c>
      <c r="J11606" s="70">
        <v>0</v>
      </c>
      <c r="K11606" s="71">
        <v>0</v>
      </c>
      <c r="L11606" s="33" t="e">
        <f>HLOOKUP(B11606,#REF!,1,0)</f>
        <v>#REF!</v>
      </c>
      <c r="M11606" s="33" t="str">
        <f t="shared" si="727"/>
        <v>P&amp;L</v>
      </c>
    </row>
    <row r="11607" spans="1:13">
      <c r="A11607" s="33" t="str">
        <f t="shared" si="724"/>
        <v>VAL - CGS</v>
      </c>
      <c r="B11607" s="33" t="str">
        <f t="shared" si="725"/>
        <v>VAL</v>
      </c>
      <c r="C11607" s="33" t="str">
        <f t="shared" si="726"/>
        <v>54007-0000</v>
      </c>
      <c r="D11607" t="s">
        <v>12894</v>
      </c>
      <c r="E11607" t="s">
        <v>3814</v>
      </c>
      <c r="F11607" t="s">
        <v>230</v>
      </c>
      <c r="G11607" t="s">
        <v>3800</v>
      </c>
      <c r="H11607" t="s">
        <v>1875</v>
      </c>
      <c r="I11607" t="s">
        <v>3815</v>
      </c>
      <c r="J11607" s="70">
        <v>0</v>
      </c>
      <c r="K11607" s="71">
        <v>278.13</v>
      </c>
      <c r="L11607" s="33" t="e">
        <f>HLOOKUP(B11607,#REF!,1,0)</f>
        <v>#REF!</v>
      </c>
      <c r="M11607" s="33" t="str">
        <f t="shared" si="727"/>
        <v>P&amp;L</v>
      </c>
    </row>
    <row r="11608" spans="1:13">
      <c r="A11608" s="33" t="str">
        <f t="shared" si="724"/>
        <v>VAL - PM Expenses</v>
      </c>
      <c r="B11608" s="33" t="str">
        <f t="shared" si="725"/>
        <v>VAL</v>
      </c>
      <c r="C11608" s="33" t="str">
        <f t="shared" si="726"/>
        <v>55501-0000</v>
      </c>
      <c r="D11608" t="s">
        <v>12895</v>
      </c>
      <c r="E11608" t="s">
        <v>3817</v>
      </c>
      <c r="F11608" t="s">
        <v>230</v>
      </c>
      <c r="G11608" t="s">
        <v>3818</v>
      </c>
      <c r="H11608" t="s">
        <v>3819</v>
      </c>
      <c r="I11608" t="s">
        <v>3820</v>
      </c>
      <c r="J11608" s="70">
        <v>0</v>
      </c>
      <c r="K11608" s="71">
        <v>9675</v>
      </c>
      <c r="L11608" s="33" t="e">
        <f>HLOOKUP(B11608,#REF!,1,0)</f>
        <v>#REF!</v>
      </c>
      <c r="M11608" s="33" t="str">
        <f t="shared" si="727"/>
        <v>P&amp;L</v>
      </c>
    </row>
    <row r="11609" spans="1:13">
      <c r="A11609" s="33" t="str">
        <f t="shared" si="724"/>
        <v>VAL - PM Expenses</v>
      </c>
      <c r="B11609" s="33" t="str">
        <f t="shared" si="725"/>
        <v>VAL</v>
      </c>
      <c r="C11609" s="33" t="str">
        <f t="shared" si="726"/>
        <v>55502-0000</v>
      </c>
      <c r="D11609" t="s">
        <v>12896</v>
      </c>
      <c r="E11609" t="s">
        <v>3822</v>
      </c>
      <c r="F11609" t="s">
        <v>230</v>
      </c>
      <c r="G11609" t="s">
        <v>3818</v>
      </c>
      <c r="H11609" t="s">
        <v>3819</v>
      </c>
      <c r="I11609" t="s">
        <v>3823</v>
      </c>
      <c r="J11609" s="70">
        <v>0</v>
      </c>
      <c r="K11609" s="71">
        <v>750</v>
      </c>
      <c r="L11609" s="33" t="e">
        <f>HLOOKUP(B11609,#REF!,1,0)</f>
        <v>#REF!</v>
      </c>
      <c r="M11609" s="33" t="str">
        <f t="shared" si="727"/>
        <v>P&amp;L</v>
      </c>
    </row>
    <row r="11610" spans="1:13">
      <c r="A11610" s="33" t="str">
        <f t="shared" si="724"/>
        <v>VAL - PM Expenses</v>
      </c>
      <c r="B11610" s="33" t="str">
        <f t="shared" si="725"/>
        <v>VAL</v>
      </c>
      <c r="C11610" s="33" t="str">
        <f t="shared" si="726"/>
        <v>55503-0000</v>
      </c>
      <c r="D11610" t="s">
        <v>12897</v>
      </c>
      <c r="E11610" t="s">
        <v>12898</v>
      </c>
      <c r="F11610" t="s">
        <v>230</v>
      </c>
      <c r="G11610" t="s">
        <v>3818</v>
      </c>
      <c r="H11610" t="s">
        <v>3819</v>
      </c>
      <c r="I11610" t="s">
        <v>3826</v>
      </c>
      <c r="J11610" s="70">
        <v>0</v>
      </c>
      <c r="K11610" s="71">
        <v>650</v>
      </c>
      <c r="L11610" s="33" t="e">
        <f>HLOOKUP(B11610,#REF!,1,0)</f>
        <v>#REF!</v>
      </c>
      <c r="M11610" s="33" t="str">
        <f t="shared" si="727"/>
        <v>P&amp;L</v>
      </c>
    </row>
    <row r="11611" spans="1:13">
      <c r="A11611" s="33" t="str">
        <f t="shared" si="724"/>
        <v>VAL - PM Expenses</v>
      </c>
      <c r="B11611" s="33" t="str">
        <f t="shared" si="725"/>
        <v>VAL</v>
      </c>
      <c r="C11611" s="33" t="str">
        <f t="shared" si="726"/>
        <v>55505-0000</v>
      </c>
      <c r="D11611" t="s">
        <v>12899</v>
      </c>
      <c r="E11611" t="s">
        <v>3828</v>
      </c>
      <c r="F11611" t="s">
        <v>230</v>
      </c>
      <c r="G11611" t="s">
        <v>3818</v>
      </c>
      <c r="H11611" t="s">
        <v>3819</v>
      </c>
      <c r="I11611" t="s">
        <v>3829</v>
      </c>
      <c r="J11611" s="70">
        <v>622.25</v>
      </c>
      <c r="K11611" s="71">
        <v>5302.25</v>
      </c>
      <c r="L11611" s="33" t="e">
        <f>HLOOKUP(B11611,#REF!,1,0)</f>
        <v>#REF!</v>
      </c>
      <c r="M11611" s="33" t="str">
        <f t="shared" si="727"/>
        <v>P&amp;L</v>
      </c>
    </row>
    <row r="11612" spans="1:13">
      <c r="A11612" s="33" t="str">
        <f t="shared" si="724"/>
        <v>VAL - PM Expenses</v>
      </c>
      <c r="B11612" s="33" t="str">
        <f t="shared" si="725"/>
        <v>VAL</v>
      </c>
      <c r="C11612" s="33" t="str">
        <f t="shared" si="726"/>
        <v>55506-0000</v>
      </c>
      <c r="D11612" t="s">
        <v>12900</v>
      </c>
      <c r="E11612" t="s">
        <v>3831</v>
      </c>
      <c r="F11612" t="s">
        <v>230</v>
      </c>
      <c r="G11612" t="s">
        <v>3818</v>
      </c>
      <c r="H11612" t="s">
        <v>3819</v>
      </c>
      <c r="I11612" t="s">
        <v>3832</v>
      </c>
      <c r="J11612" s="70">
        <v>269.76</v>
      </c>
      <c r="K11612" s="71">
        <v>3922.99</v>
      </c>
      <c r="L11612" s="33" t="e">
        <f>HLOOKUP(B11612,#REF!,1,0)</f>
        <v>#REF!</v>
      </c>
      <c r="M11612" s="33" t="str">
        <f t="shared" si="727"/>
        <v>P&amp;L</v>
      </c>
    </row>
    <row r="11613" spans="1:13">
      <c r="A11613" s="33" t="str">
        <f t="shared" si="724"/>
        <v>VAL - CGS</v>
      </c>
      <c r="B11613" s="33" t="str">
        <f t="shared" si="725"/>
        <v>VAL</v>
      </c>
      <c r="C11613" s="33" t="str">
        <f t="shared" si="726"/>
        <v>60002-0000</v>
      </c>
      <c r="D11613" t="s">
        <v>12901</v>
      </c>
      <c r="E11613" t="s">
        <v>3837</v>
      </c>
      <c r="F11613" t="s">
        <v>230</v>
      </c>
      <c r="G11613" t="s">
        <v>3838</v>
      </c>
      <c r="H11613" t="s">
        <v>1875</v>
      </c>
      <c r="I11613" t="s">
        <v>3839</v>
      </c>
      <c r="J11613" s="70">
        <v>58.24</v>
      </c>
      <c r="K11613" s="71">
        <v>633.75</v>
      </c>
      <c r="L11613" s="33" t="e">
        <f>HLOOKUP(B11613,#REF!,1,0)</f>
        <v>#REF!</v>
      </c>
      <c r="M11613" s="33" t="str">
        <f t="shared" si="727"/>
        <v>P&amp;L</v>
      </c>
    </row>
    <row r="11614" spans="1:13">
      <c r="A11614" s="33" t="str">
        <f t="shared" si="724"/>
        <v>VAL - CGS</v>
      </c>
      <c r="B11614" s="33" t="str">
        <f t="shared" si="725"/>
        <v>VAL</v>
      </c>
      <c r="C11614" s="33" t="str">
        <f t="shared" si="726"/>
        <v>60005-0000</v>
      </c>
      <c r="D11614" t="s">
        <v>12902</v>
      </c>
      <c r="E11614" t="s">
        <v>3841</v>
      </c>
      <c r="F11614" t="s">
        <v>230</v>
      </c>
      <c r="G11614" t="s">
        <v>3838</v>
      </c>
      <c r="H11614" t="s">
        <v>1875</v>
      </c>
      <c r="I11614" t="s">
        <v>3842</v>
      </c>
      <c r="J11614" s="70">
        <v>0</v>
      </c>
      <c r="K11614" s="71">
        <v>7784.8</v>
      </c>
      <c r="L11614" s="33" t="e">
        <f>HLOOKUP(B11614,#REF!,1,0)</f>
        <v>#REF!</v>
      </c>
      <c r="M11614" s="33" t="str">
        <f t="shared" si="727"/>
        <v>P&amp;L</v>
      </c>
    </row>
    <row r="11615" spans="1:13">
      <c r="A11615" s="33" t="str">
        <f t="shared" si="724"/>
        <v>VAL - Interest Expense</v>
      </c>
      <c r="B11615" s="33" t="str">
        <f t="shared" si="725"/>
        <v>VAL</v>
      </c>
      <c r="C11615" s="33" t="str">
        <f t="shared" si="726"/>
        <v>60006-0000</v>
      </c>
      <c r="D11615" t="s">
        <v>12903</v>
      </c>
      <c r="E11615" t="s">
        <v>3325</v>
      </c>
      <c r="F11615" t="s">
        <v>230</v>
      </c>
      <c r="G11615" t="s">
        <v>3844</v>
      </c>
      <c r="H11615" t="s">
        <v>3327</v>
      </c>
      <c r="I11615" t="s">
        <v>3328</v>
      </c>
      <c r="J11615" s="70">
        <v>7151.84</v>
      </c>
      <c r="K11615" s="71">
        <v>72133.96</v>
      </c>
      <c r="L11615" s="33" t="e">
        <f>HLOOKUP(B11615,#REF!,1,0)</f>
        <v>#REF!</v>
      </c>
      <c r="M11615" s="33" t="str">
        <f t="shared" si="727"/>
        <v>P&amp;L</v>
      </c>
    </row>
    <row r="11616" spans="1:13">
      <c r="A11616" s="33" t="str">
        <f t="shared" si="724"/>
        <v>VAL - CGS</v>
      </c>
      <c r="B11616" s="33" t="str">
        <f t="shared" si="725"/>
        <v>VAL</v>
      </c>
      <c r="C11616" s="33" t="str">
        <f t="shared" si="726"/>
        <v>60007-0000</v>
      </c>
      <c r="D11616" t="s">
        <v>12904</v>
      </c>
      <c r="E11616" t="s">
        <v>3846</v>
      </c>
      <c r="F11616" t="s">
        <v>230</v>
      </c>
      <c r="G11616" t="s">
        <v>3838</v>
      </c>
      <c r="H11616" t="s">
        <v>1875</v>
      </c>
      <c r="I11616" t="s">
        <v>3847</v>
      </c>
      <c r="J11616" s="70">
        <v>40000</v>
      </c>
      <c r="K11616" s="71">
        <v>80801</v>
      </c>
      <c r="L11616" s="33" t="e">
        <f>HLOOKUP(B11616,#REF!,1,0)</f>
        <v>#REF!</v>
      </c>
      <c r="M11616" s="33" t="str">
        <f t="shared" si="727"/>
        <v>P&amp;L</v>
      </c>
    </row>
    <row r="11617" spans="1:13">
      <c r="A11617" s="33" t="str">
        <f t="shared" si="724"/>
        <v>VAL - CGS</v>
      </c>
      <c r="B11617" s="33" t="str">
        <f t="shared" si="725"/>
        <v>VAL</v>
      </c>
      <c r="C11617" s="33" t="str">
        <f t="shared" si="726"/>
        <v>60012-0000</v>
      </c>
      <c r="D11617" t="s">
        <v>12905</v>
      </c>
      <c r="E11617" t="s">
        <v>3852</v>
      </c>
      <c r="F11617" t="s">
        <v>230</v>
      </c>
      <c r="G11617" t="s">
        <v>3838</v>
      </c>
      <c r="H11617" t="s">
        <v>1875</v>
      </c>
      <c r="I11617" t="s">
        <v>3853</v>
      </c>
      <c r="J11617" s="70">
        <v>0</v>
      </c>
      <c r="K11617" s="71">
        <v>29299.23</v>
      </c>
      <c r="L11617" s="33" t="e">
        <f>HLOOKUP(B11617,#REF!,1,0)</f>
        <v>#REF!</v>
      </c>
      <c r="M11617" s="33" t="str">
        <f t="shared" si="727"/>
        <v>P&amp;L</v>
      </c>
    </row>
    <row r="11618" spans="1:13">
      <c r="A11618" s="33" t="str">
        <f t="shared" si="724"/>
        <v>VAL - CGS</v>
      </c>
      <c r="B11618" s="33" t="str">
        <f t="shared" si="725"/>
        <v>VAL</v>
      </c>
      <c r="C11618" s="33" t="str">
        <f t="shared" si="726"/>
        <v>60014-0000</v>
      </c>
      <c r="D11618" t="s">
        <v>12906</v>
      </c>
      <c r="E11618" t="s">
        <v>3855</v>
      </c>
      <c r="F11618" t="s">
        <v>230</v>
      </c>
      <c r="G11618" t="s">
        <v>3838</v>
      </c>
      <c r="H11618" t="s">
        <v>1875</v>
      </c>
      <c r="I11618" t="s">
        <v>3856</v>
      </c>
      <c r="J11618" s="70">
        <v>1417.02</v>
      </c>
      <c r="K11618" s="71">
        <v>15522.64</v>
      </c>
      <c r="L11618" s="33" t="e">
        <f>HLOOKUP(B11618,#REF!,1,0)</f>
        <v>#REF!</v>
      </c>
      <c r="M11618" s="33" t="str">
        <f t="shared" si="727"/>
        <v>P&amp;L</v>
      </c>
    </row>
    <row r="11619" spans="1:13">
      <c r="A11619" s="33" t="str">
        <f t="shared" si="724"/>
        <v>VAL - CGS</v>
      </c>
      <c r="B11619" s="33" t="str">
        <f t="shared" si="725"/>
        <v>VAL</v>
      </c>
      <c r="C11619" s="33" t="str">
        <f t="shared" si="726"/>
        <v>60015-0000</v>
      </c>
      <c r="D11619" t="s">
        <v>12907</v>
      </c>
      <c r="E11619" t="s">
        <v>3858</v>
      </c>
      <c r="F11619" t="s">
        <v>230</v>
      </c>
      <c r="G11619" t="s">
        <v>3838</v>
      </c>
      <c r="H11619" t="s">
        <v>1875</v>
      </c>
      <c r="I11619" t="s">
        <v>3859</v>
      </c>
      <c r="J11619" s="70">
        <v>263</v>
      </c>
      <c r="K11619" s="71">
        <v>882</v>
      </c>
      <c r="L11619" s="33" t="e">
        <f>HLOOKUP(B11619,#REF!,1,0)</f>
        <v>#REF!</v>
      </c>
      <c r="M11619" s="33" t="str">
        <f t="shared" si="727"/>
        <v>P&amp;L</v>
      </c>
    </row>
    <row r="11620" spans="1:13">
      <c r="A11620" s="33" t="str">
        <f t="shared" si="724"/>
        <v>VAL - Income Tax</v>
      </c>
      <c r="B11620" s="33" t="str">
        <f t="shared" si="725"/>
        <v>VAL</v>
      </c>
      <c r="C11620" s="33" t="str">
        <f t="shared" si="726"/>
        <v>61019-0000</v>
      </c>
      <c r="D11620" t="s">
        <v>12908</v>
      </c>
      <c r="E11620" t="s">
        <v>4041</v>
      </c>
      <c r="F11620" t="s">
        <v>230</v>
      </c>
      <c r="G11620" t="s">
        <v>3844</v>
      </c>
      <c r="H11620" t="s">
        <v>3378</v>
      </c>
      <c r="I11620" t="s">
        <v>4042</v>
      </c>
      <c r="J11620" s="70">
        <v>0</v>
      </c>
      <c r="K11620" s="71">
        <v>1700</v>
      </c>
      <c r="L11620" s="33" t="e">
        <f>HLOOKUP(B11620,#REF!,1,0)</f>
        <v>#REF!</v>
      </c>
      <c r="M11620" s="33" t="str">
        <f t="shared" si="727"/>
        <v>P&amp;L</v>
      </c>
    </row>
    <row r="11621" spans="1:13">
      <c r="A11621" s="33" t="str">
        <f t="shared" si="724"/>
        <v>VEN - Fixed Assets</v>
      </c>
      <c r="B11621" s="33" t="str">
        <f t="shared" si="725"/>
        <v>VEN</v>
      </c>
      <c r="C11621" s="33" t="str">
        <f t="shared" si="726"/>
        <v>15501-0000</v>
      </c>
      <c r="D11621" t="s">
        <v>12909</v>
      </c>
      <c r="E11621" t="s">
        <v>2635</v>
      </c>
      <c r="F11621" t="s">
        <v>230</v>
      </c>
      <c r="G11621" t="s">
        <v>62</v>
      </c>
      <c r="H11621" t="s">
        <v>63</v>
      </c>
      <c r="I11621" t="s">
        <v>64</v>
      </c>
      <c r="J11621" s="70">
        <v>179.52</v>
      </c>
      <c r="K11621" s="71">
        <v>704.56</v>
      </c>
      <c r="L11621" s="33" t="e">
        <f>HLOOKUP(B11621,#REF!,1,0)</f>
        <v>#REF!</v>
      </c>
      <c r="M11621" s="33" t="str">
        <f t="shared" si="727"/>
        <v>BS</v>
      </c>
    </row>
    <row r="11622" spans="1:13">
      <c r="A11622" s="33" t="str">
        <f t="shared" si="724"/>
        <v>VEN - AP-Accr Exp</v>
      </c>
      <c r="B11622" s="33" t="str">
        <f t="shared" si="725"/>
        <v>VEN</v>
      </c>
      <c r="C11622" s="33" t="str">
        <f t="shared" si="726"/>
        <v>20001-0000</v>
      </c>
      <c r="D11622" t="s">
        <v>12910</v>
      </c>
      <c r="E11622" t="s">
        <v>96</v>
      </c>
      <c r="F11622" t="s">
        <v>230</v>
      </c>
      <c r="G11622" t="s">
        <v>97</v>
      </c>
      <c r="H11622" t="s">
        <v>98</v>
      </c>
      <c r="I11622" t="s">
        <v>99</v>
      </c>
      <c r="J11622" s="70">
        <v>0</v>
      </c>
      <c r="K11622" s="71">
        <v>0</v>
      </c>
      <c r="L11622" s="33" t="e">
        <f>HLOOKUP(B11622,#REF!,1,0)</f>
        <v>#REF!</v>
      </c>
      <c r="M11622" s="33" t="str">
        <f t="shared" si="727"/>
        <v>BS</v>
      </c>
    </row>
    <row r="11623" spans="1:13">
      <c r="A11623" s="33" t="str">
        <f t="shared" si="724"/>
        <v>VEN - AR-PPD</v>
      </c>
      <c r="B11623" s="33" t="str">
        <f t="shared" si="725"/>
        <v>VEN</v>
      </c>
      <c r="C11623" s="33" t="str">
        <f t="shared" si="726"/>
        <v>25300-0000</v>
      </c>
      <c r="D11623" t="s">
        <v>12911</v>
      </c>
      <c r="E11623" t="s">
        <v>3677</v>
      </c>
      <c r="F11623" t="s">
        <v>230</v>
      </c>
      <c r="G11623" t="s">
        <v>3678</v>
      </c>
      <c r="H11623" t="s">
        <v>35</v>
      </c>
      <c r="I11623" t="s">
        <v>102</v>
      </c>
      <c r="J11623" s="70">
        <v>0</v>
      </c>
      <c r="K11623" s="71">
        <v>0</v>
      </c>
      <c r="L11623" s="33" t="e">
        <f>HLOOKUP(B11623,#REF!,1,0)</f>
        <v>#REF!</v>
      </c>
      <c r="M11623" s="33" t="str">
        <f t="shared" si="727"/>
        <v>BS</v>
      </c>
    </row>
    <row r="11624" spans="1:13">
      <c r="A11624" s="33" t="str">
        <f t="shared" si="724"/>
        <v>VEN - Revenue</v>
      </c>
      <c r="B11624" s="33" t="str">
        <f t="shared" si="725"/>
        <v>VEN</v>
      </c>
      <c r="C11624" s="33" t="str">
        <f t="shared" si="726"/>
        <v>40110-0000</v>
      </c>
      <c r="D11624" t="s">
        <v>12912</v>
      </c>
      <c r="E11624" t="s">
        <v>3683</v>
      </c>
      <c r="F11624" t="s">
        <v>230</v>
      </c>
      <c r="G11624" t="s">
        <v>3684</v>
      </c>
      <c r="H11624" t="s">
        <v>2871</v>
      </c>
      <c r="I11624" t="s">
        <v>3685</v>
      </c>
      <c r="J11624" s="70">
        <v>-26078.87</v>
      </c>
      <c r="K11624" s="71">
        <v>-260788.7</v>
      </c>
      <c r="L11624" s="33" t="e">
        <f>HLOOKUP(B11624,#REF!,1,0)</f>
        <v>#REF!</v>
      </c>
      <c r="M11624" s="33" t="str">
        <f t="shared" si="727"/>
        <v>P&amp;L</v>
      </c>
    </row>
    <row r="11625" spans="1:13">
      <c r="A11625" s="33" t="str">
        <f t="shared" si="724"/>
        <v>VEN - Revenue</v>
      </c>
      <c r="B11625" s="33" t="str">
        <f t="shared" si="725"/>
        <v>VEN</v>
      </c>
      <c r="C11625" s="33" t="str">
        <f t="shared" si="726"/>
        <v>40120-0000</v>
      </c>
      <c r="D11625" t="s">
        <v>12913</v>
      </c>
      <c r="E11625" t="s">
        <v>3687</v>
      </c>
      <c r="F11625" t="s">
        <v>230</v>
      </c>
      <c r="G11625" t="s">
        <v>3684</v>
      </c>
      <c r="H11625" t="s">
        <v>2871</v>
      </c>
      <c r="I11625" t="s">
        <v>3688</v>
      </c>
      <c r="J11625" s="70">
        <v>0</v>
      </c>
      <c r="K11625" s="71">
        <v>0</v>
      </c>
      <c r="L11625" s="33" t="e">
        <f>HLOOKUP(B11625,#REF!,1,0)</f>
        <v>#REF!</v>
      </c>
      <c r="M11625" s="33" t="str">
        <f t="shared" si="727"/>
        <v>P&amp;L</v>
      </c>
    </row>
    <row r="11626" spans="1:13">
      <c r="A11626" s="33" t="str">
        <f t="shared" si="724"/>
        <v>VEN - Revenue</v>
      </c>
      <c r="B11626" s="33" t="str">
        <f t="shared" si="725"/>
        <v>VEN</v>
      </c>
      <c r="C11626" s="33" t="str">
        <f t="shared" si="726"/>
        <v>40130-0000</v>
      </c>
      <c r="D11626" t="s">
        <v>12914</v>
      </c>
      <c r="E11626" t="s">
        <v>3690</v>
      </c>
      <c r="F11626" t="s">
        <v>230</v>
      </c>
      <c r="G11626" t="s">
        <v>3684</v>
      </c>
      <c r="H11626" t="s">
        <v>2871</v>
      </c>
      <c r="I11626" t="s">
        <v>3691</v>
      </c>
      <c r="J11626" s="70">
        <v>0</v>
      </c>
      <c r="K11626" s="71">
        <v>0</v>
      </c>
      <c r="L11626" s="33" t="e">
        <f>HLOOKUP(B11626,#REF!,1,0)</f>
        <v>#REF!</v>
      </c>
      <c r="M11626" s="33" t="str">
        <f t="shared" si="727"/>
        <v>P&amp;L</v>
      </c>
    </row>
    <row r="11627" spans="1:13">
      <c r="A11627" s="33" t="str">
        <f t="shared" si="724"/>
        <v>VEN - Revenue</v>
      </c>
      <c r="B11627" s="33" t="str">
        <f t="shared" si="725"/>
        <v>VEN</v>
      </c>
      <c r="C11627" s="33" t="str">
        <f t="shared" si="726"/>
        <v>40140-0000</v>
      </c>
      <c r="D11627" t="s">
        <v>12915</v>
      </c>
      <c r="E11627" t="s">
        <v>3948</v>
      </c>
      <c r="F11627" t="s">
        <v>230</v>
      </c>
      <c r="G11627" t="s">
        <v>3684</v>
      </c>
      <c r="H11627" t="s">
        <v>2871</v>
      </c>
      <c r="I11627" t="s">
        <v>3949</v>
      </c>
      <c r="J11627" s="70">
        <v>0</v>
      </c>
      <c r="K11627" s="71">
        <v>0</v>
      </c>
      <c r="L11627" s="33" t="e">
        <f>HLOOKUP(B11627,#REF!,1,0)</f>
        <v>#REF!</v>
      </c>
      <c r="M11627" s="33" t="str">
        <f t="shared" si="727"/>
        <v>P&amp;L</v>
      </c>
    </row>
    <row r="11628" spans="1:13">
      <c r="A11628" s="33" t="str">
        <f t="shared" si="724"/>
        <v>VEN - Revenue</v>
      </c>
      <c r="B11628" s="33" t="str">
        <f t="shared" si="725"/>
        <v>VEN</v>
      </c>
      <c r="C11628" s="33" t="str">
        <f t="shared" si="726"/>
        <v>41110-0000</v>
      </c>
      <c r="D11628" t="s">
        <v>12916</v>
      </c>
      <c r="E11628" t="s">
        <v>3693</v>
      </c>
      <c r="F11628" t="s">
        <v>230</v>
      </c>
      <c r="G11628" t="s">
        <v>3694</v>
      </c>
      <c r="H11628" t="s">
        <v>2871</v>
      </c>
      <c r="I11628" t="s">
        <v>3695</v>
      </c>
      <c r="J11628" s="70">
        <v>0</v>
      </c>
      <c r="K11628" s="71">
        <v>0</v>
      </c>
      <c r="L11628" s="33" t="e">
        <f>HLOOKUP(B11628,#REF!,1,0)</f>
        <v>#REF!</v>
      </c>
      <c r="M11628" s="33" t="str">
        <f t="shared" si="727"/>
        <v>P&amp;L</v>
      </c>
    </row>
    <row r="11629" spans="1:13">
      <c r="A11629" s="33" t="str">
        <f t="shared" si="724"/>
        <v>VEN - Revenue</v>
      </c>
      <c r="B11629" s="33" t="str">
        <f t="shared" si="725"/>
        <v>VEN</v>
      </c>
      <c r="C11629" s="33" t="str">
        <f t="shared" si="726"/>
        <v>41121-0000</v>
      </c>
      <c r="D11629" t="s">
        <v>12917</v>
      </c>
      <c r="E11629" t="s">
        <v>4146</v>
      </c>
      <c r="F11629" t="s">
        <v>230</v>
      </c>
      <c r="G11629" t="s">
        <v>3694</v>
      </c>
      <c r="H11629" t="s">
        <v>2871</v>
      </c>
      <c r="I11629" t="s">
        <v>3698</v>
      </c>
      <c r="J11629" s="70">
        <v>6683.41</v>
      </c>
      <c r="K11629" s="71">
        <v>65559.53</v>
      </c>
      <c r="L11629" s="33" t="e">
        <f>HLOOKUP(B11629,#REF!,1,0)</f>
        <v>#REF!</v>
      </c>
      <c r="M11629" s="33" t="str">
        <f t="shared" si="727"/>
        <v>P&amp;L</v>
      </c>
    </row>
    <row r="11630" spans="1:13">
      <c r="A11630" s="33" t="str">
        <f t="shared" si="724"/>
        <v>VEN - Revenue</v>
      </c>
      <c r="B11630" s="33" t="str">
        <f t="shared" si="725"/>
        <v>VEN</v>
      </c>
      <c r="C11630" s="33" t="str">
        <f t="shared" si="726"/>
        <v>41122-0000</v>
      </c>
      <c r="D11630" t="s">
        <v>12918</v>
      </c>
      <c r="E11630" t="s">
        <v>3700</v>
      </c>
      <c r="F11630" t="s">
        <v>230</v>
      </c>
      <c r="G11630" t="s">
        <v>3694</v>
      </c>
      <c r="H11630" t="s">
        <v>2871</v>
      </c>
      <c r="I11630" t="s">
        <v>3701</v>
      </c>
      <c r="J11630" s="70">
        <v>-4494.29</v>
      </c>
      <c r="K11630" s="71">
        <v>-63674.23</v>
      </c>
      <c r="L11630" s="33" t="e">
        <f>HLOOKUP(B11630,#REF!,1,0)</f>
        <v>#REF!</v>
      </c>
      <c r="M11630" s="33" t="str">
        <f t="shared" si="727"/>
        <v>P&amp;L</v>
      </c>
    </row>
    <row r="11631" spans="1:13">
      <c r="A11631" s="33" t="str">
        <f t="shared" si="724"/>
        <v>VEN - Revenue</v>
      </c>
      <c r="B11631" s="33" t="str">
        <f t="shared" si="725"/>
        <v>VEN</v>
      </c>
      <c r="C11631" s="33" t="str">
        <f t="shared" si="726"/>
        <v>41130-0000</v>
      </c>
      <c r="D11631" t="s">
        <v>12919</v>
      </c>
      <c r="E11631" t="s">
        <v>3703</v>
      </c>
      <c r="F11631" t="s">
        <v>230</v>
      </c>
      <c r="G11631" t="s">
        <v>3694</v>
      </c>
      <c r="H11631" t="s">
        <v>2871</v>
      </c>
      <c r="I11631" t="s">
        <v>3704</v>
      </c>
      <c r="J11631" s="70">
        <v>0</v>
      </c>
      <c r="K11631" s="71">
        <v>335.33</v>
      </c>
      <c r="L11631" s="33" t="e">
        <f>HLOOKUP(B11631,#REF!,1,0)</f>
        <v>#REF!</v>
      </c>
      <c r="M11631" s="33" t="str">
        <f t="shared" si="727"/>
        <v>P&amp;L</v>
      </c>
    </row>
    <row r="11632" spans="1:13">
      <c r="A11632" s="33" t="str">
        <f t="shared" si="724"/>
        <v>VEN - Revenue</v>
      </c>
      <c r="B11632" s="33" t="str">
        <f t="shared" si="725"/>
        <v>VEN</v>
      </c>
      <c r="C11632" s="33" t="str">
        <f t="shared" si="726"/>
        <v>41150-0000</v>
      </c>
      <c r="D11632" t="s">
        <v>12920</v>
      </c>
      <c r="E11632" t="s">
        <v>3709</v>
      </c>
      <c r="F11632" t="s">
        <v>230</v>
      </c>
      <c r="G11632" t="s">
        <v>3694</v>
      </c>
      <c r="H11632" t="s">
        <v>2871</v>
      </c>
      <c r="I11632" t="s">
        <v>3710</v>
      </c>
      <c r="J11632" s="70">
        <v>0</v>
      </c>
      <c r="K11632" s="71">
        <v>0</v>
      </c>
      <c r="L11632" s="33" t="e">
        <f>HLOOKUP(B11632,#REF!,1,0)</f>
        <v>#REF!</v>
      </c>
      <c r="M11632" s="33" t="str">
        <f t="shared" si="727"/>
        <v>P&amp;L</v>
      </c>
    </row>
    <row r="11633" spans="1:13">
      <c r="A11633" s="33" t="str">
        <f t="shared" si="724"/>
        <v>VEN - Revenue</v>
      </c>
      <c r="B11633" s="33" t="str">
        <f t="shared" si="725"/>
        <v>VEN</v>
      </c>
      <c r="C11633" s="33" t="str">
        <f t="shared" si="726"/>
        <v>41999-0000</v>
      </c>
      <c r="D11633" t="s">
        <v>12921</v>
      </c>
      <c r="E11633" t="s">
        <v>3712</v>
      </c>
      <c r="F11633" t="s">
        <v>230</v>
      </c>
      <c r="G11633" t="s">
        <v>3713</v>
      </c>
      <c r="H11633" t="s">
        <v>2871</v>
      </c>
      <c r="I11633" t="s">
        <v>3714</v>
      </c>
      <c r="J11633" s="70">
        <v>23889.75</v>
      </c>
      <c r="K11633" s="71">
        <v>258568.07</v>
      </c>
      <c r="L11633" s="33" t="e">
        <f>HLOOKUP(B11633,#REF!,1,0)</f>
        <v>#REF!</v>
      </c>
      <c r="M11633" s="33" t="str">
        <f t="shared" si="727"/>
        <v>P&amp;L</v>
      </c>
    </row>
    <row r="11634" spans="1:13">
      <c r="A11634" s="33" t="str">
        <f t="shared" si="724"/>
        <v>VEN - Revenue</v>
      </c>
      <c r="B11634" s="33" t="str">
        <f t="shared" si="725"/>
        <v>VEN</v>
      </c>
      <c r="C11634" s="33" t="str">
        <f t="shared" si="726"/>
        <v>47400-0000</v>
      </c>
      <c r="D11634" t="s">
        <v>12922</v>
      </c>
      <c r="E11634" t="s">
        <v>3716</v>
      </c>
      <c r="F11634" t="s">
        <v>230</v>
      </c>
      <c r="G11634" t="s">
        <v>3717</v>
      </c>
      <c r="H11634" t="s">
        <v>2871</v>
      </c>
      <c r="I11634" t="s">
        <v>3718</v>
      </c>
      <c r="J11634" s="70">
        <v>-23889.75</v>
      </c>
      <c r="K11634" s="71">
        <v>-258568.07</v>
      </c>
      <c r="L11634" s="33" t="e">
        <f>HLOOKUP(B11634,#REF!,1,0)</f>
        <v>#REF!</v>
      </c>
      <c r="M11634" s="33" t="str">
        <f t="shared" si="727"/>
        <v>P&amp;L</v>
      </c>
    </row>
    <row r="11635" spans="1:13">
      <c r="A11635" s="33" t="str">
        <f t="shared" si="724"/>
        <v>VEN - Revenue</v>
      </c>
      <c r="B11635" s="33" t="str">
        <f t="shared" si="725"/>
        <v>VEN</v>
      </c>
      <c r="C11635" s="33" t="str">
        <f t="shared" si="726"/>
        <v>47420-0000</v>
      </c>
      <c r="D11635" t="s">
        <v>12923</v>
      </c>
      <c r="E11635" t="s">
        <v>4154</v>
      </c>
      <c r="F11635" t="s">
        <v>230</v>
      </c>
      <c r="G11635" t="s">
        <v>3717</v>
      </c>
      <c r="H11635" t="s">
        <v>2871</v>
      </c>
      <c r="I11635" t="s">
        <v>4155</v>
      </c>
      <c r="J11635" s="70">
        <v>-40.98</v>
      </c>
      <c r="K11635" s="71">
        <v>-402.19</v>
      </c>
      <c r="L11635" s="33" t="e">
        <f>HLOOKUP(B11635,#REF!,1,0)</f>
        <v>#REF!</v>
      </c>
      <c r="M11635" s="33" t="str">
        <f t="shared" si="727"/>
        <v>P&amp;L</v>
      </c>
    </row>
    <row r="11636" spans="1:13">
      <c r="A11636" s="33" t="str">
        <f t="shared" si="724"/>
        <v>VEN - Revenue</v>
      </c>
      <c r="B11636" s="33" t="str">
        <f t="shared" si="725"/>
        <v>VEN</v>
      </c>
      <c r="C11636" s="33" t="str">
        <f t="shared" si="726"/>
        <v>47430-0000</v>
      </c>
      <c r="D11636" t="s">
        <v>12924</v>
      </c>
      <c r="E11636" t="s">
        <v>4053</v>
      </c>
      <c r="F11636" t="s">
        <v>230</v>
      </c>
      <c r="G11636" t="s">
        <v>3717</v>
      </c>
      <c r="H11636" t="s">
        <v>2871</v>
      </c>
      <c r="I11636" t="s">
        <v>4054</v>
      </c>
      <c r="J11636" s="70">
        <v>-197.24</v>
      </c>
      <c r="K11636" s="71">
        <v>-1436.59</v>
      </c>
      <c r="L11636" s="33" t="e">
        <f>HLOOKUP(B11636,#REF!,1,0)</f>
        <v>#REF!</v>
      </c>
      <c r="M11636" s="33" t="str">
        <f t="shared" si="727"/>
        <v>P&amp;L</v>
      </c>
    </row>
    <row r="11637" spans="1:13">
      <c r="A11637" s="33" t="str">
        <f t="shared" si="724"/>
        <v>VEN - Revenue</v>
      </c>
      <c r="B11637" s="33" t="str">
        <f t="shared" si="725"/>
        <v>VEN</v>
      </c>
      <c r="C11637" s="33" t="str">
        <f t="shared" si="726"/>
        <v>47440-0000</v>
      </c>
      <c r="D11637" t="s">
        <v>12925</v>
      </c>
      <c r="E11637" t="s">
        <v>3720</v>
      </c>
      <c r="F11637" t="s">
        <v>230</v>
      </c>
      <c r="G11637" t="s">
        <v>3717</v>
      </c>
      <c r="H11637" t="s">
        <v>2871</v>
      </c>
      <c r="I11637" t="s">
        <v>3721</v>
      </c>
      <c r="J11637" s="70">
        <v>0</v>
      </c>
      <c r="K11637" s="71">
        <v>0</v>
      </c>
      <c r="L11637" s="33" t="e">
        <f>HLOOKUP(B11637,#REF!,1,0)</f>
        <v>#REF!</v>
      </c>
      <c r="M11637" s="33" t="str">
        <f t="shared" si="727"/>
        <v>P&amp;L</v>
      </c>
    </row>
    <row r="11638" spans="1:13">
      <c r="A11638" s="33" t="str">
        <f t="shared" si="724"/>
        <v>VEN - Revenue</v>
      </c>
      <c r="B11638" s="33" t="str">
        <f t="shared" si="725"/>
        <v>VEN</v>
      </c>
      <c r="C11638" s="33" t="str">
        <f t="shared" si="726"/>
        <v>47460-0000</v>
      </c>
      <c r="D11638" t="s">
        <v>12926</v>
      </c>
      <c r="E11638" t="s">
        <v>3726</v>
      </c>
      <c r="F11638" t="s">
        <v>230</v>
      </c>
      <c r="G11638" t="s">
        <v>3717</v>
      </c>
      <c r="H11638" t="s">
        <v>2871</v>
      </c>
      <c r="I11638" t="s">
        <v>3727</v>
      </c>
      <c r="J11638" s="70">
        <v>0</v>
      </c>
      <c r="K11638" s="71">
        <v>-25</v>
      </c>
      <c r="L11638" s="33" t="e">
        <f>HLOOKUP(B11638,#REF!,1,0)</f>
        <v>#REF!</v>
      </c>
      <c r="M11638" s="33" t="str">
        <f t="shared" si="727"/>
        <v>P&amp;L</v>
      </c>
    </row>
    <row r="11639" spans="1:13">
      <c r="A11639" s="33" t="str">
        <f t="shared" si="724"/>
        <v>VEN - Revenue</v>
      </c>
      <c r="B11639" s="33" t="str">
        <f t="shared" si="725"/>
        <v>VEN</v>
      </c>
      <c r="C11639" s="33" t="str">
        <f t="shared" si="726"/>
        <v>47480-0000</v>
      </c>
      <c r="D11639" t="s">
        <v>12927</v>
      </c>
      <c r="E11639" t="s">
        <v>3729</v>
      </c>
      <c r="F11639" t="s">
        <v>230</v>
      </c>
      <c r="G11639" t="s">
        <v>3717</v>
      </c>
      <c r="H11639" t="s">
        <v>2871</v>
      </c>
      <c r="I11639" t="s">
        <v>3721</v>
      </c>
      <c r="J11639" s="70">
        <v>0</v>
      </c>
      <c r="K11639" s="71">
        <v>-45</v>
      </c>
      <c r="L11639" s="33" t="e">
        <f>HLOOKUP(B11639,#REF!,1,0)</f>
        <v>#REF!</v>
      </c>
      <c r="M11639" s="33" t="str">
        <f t="shared" si="727"/>
        <v>P&amp;L</v>
      </c>
    </row>
    <row r="11640" spans="1:13">
      <c r="A11640" s="33" t="str">
        <f t="shared" si="724"/>
        <v>VEN - Revenue</v>
      </c>
      <c r="B11640" s="33" t="str">
        <f t="shared" si="725"/>
        <v>VEN</v>
      </c>
      <c r="C11640" s="33" t="str">
        <f t="shared" si="726"/>
        <v>47490-0000</v>
      </c>
      <c r="D11640" t="s">
        <v>12928</v>
      </c>
      <c r="E11640" t="s">
        <v>3731</v>
      </c>
      <c r="F11640" t="s">
        <v>230</v>
      </c>
      <c r="G11640" t="s">
        <v>3717</v>
      </c>
      <c r="H11640" t="s">
        <v>2871</v>
      </c>
      <c r="I11640" t="s">
        <v>3721</v>
      </c>
      <c r="J11640" s="70">
        <v>0</v>
      </c>
      <c r="K11640" s="71">
        <v>0</v>
      </c>
      <c r="L11640" s="33" t="e">
        <f>HLOOKUP(B11640,#REF!,1,0)</f>
        <v>#REF!</v>
      </c>
      <c r="M11640" s="33" t="str">
        <f t="shared" si="727"/>
        <v>P&amp;L</v>
      </c>
    </row>
    <row r="11641" spans="1:13">
      <c r="A11641" s="33" t="str">
        <f t="shared" si="724"/>
        <v>VEN - Revenue</v>
      </c>
      <c r="B11641" s="33" t="str">
        <f t="shared" si="725"/>
        <v>VEN</v>
      </c>
      <c r="C11641" s="33" t="str">
        <f t="shared" si="726"/>
        <v>47492-0000</v>
      </c>
      <c r="D11641" t="s">
        <v>12929</v>
      </c>
      <c r="E11641" t="s">
        <v>3736</v>
      </c>
      <c r="F11641" t="s">
        <v>230</v>
      </c>
      <c r="G11641" t="s">
        <v>3717</v>
      </c>
      <c r="H11641" t="s">
        <v>2871</v>
      </c>
      <c r="I11641" t="s">
        <v>3737</v>
      </c>
      <c r="J11641" s="70">
        <v>-104.99</v>
      </c>
      <c r="K11641" s="71">
        <v>-749.97</v>
      </c>
      <c r="L11641" s="33" t="e">
        <f>HLOOKUP(B11641,#REF!,1,0)</f>
        <v>#REF!</v>
      </c>
      <c r="M11641" s="33" t="str">
        <f t="shared" si="727"/>
        <v>P&amp;L</v>
      </c>
    </row>
    <row r="11642" spans="1:13">
      <c r="A11642" s="33" t="str">
        <f t="shared" si="724"/>
        <v>VEN - CGS</v>
      </c>
      <c r="B11642" s="33" t="str">
        <f t="shared" si="725"/>
        <v>VEN</v>
      </c>
      <c r="C11642" s="33" t="str">
        <f t="shared" si="726"/>
        <v>51006-0000</v>
      </c>
      <c r="D11642" t="s">
        <v>12930</v>
      </c>
      <c r="E11642" t="s">
        <v>3739</v>
      </c>
      <c r="F11642" t="s">
        <v>230</v>
      </c>
      <c r="G11642" t="s">
        <v>3740</v>
      </c>
      <c r="H11642" t="s">
        <v>1875</v>
      </c>
      <c r="I11642" t="s">
        <v>3741</v>
      </c>
      <c r="J11642" s="70">
        <v>0</v>
      </c>
      <c r="K11642" s="71">
        <v>43.79</v>
      </c>
      <c r="L11642" s="33" t="e">
        <f>HLOOKUP(B11642,#REF!,1,0)</f>
        <v>#REF!</v>
      </c>
      <c r="M11642" s="33" t="str">
        <f t="shared" si="727"/>
        <v>P&amp;L</v>
      </c>
    </row>
    <row r="11643" spans="1:13">
      <c r="A11643" s="33" t="str">
        <f t="shared" si="724"/>
        <v>VEN - CGS</v>
      </c>
      <c r="B11643" s="33" t="str">
        <f t="shared" si="725"/>
        <v>VEN</v>
      </c>
      <c r="C11643" s="33" t="str">
        <f t="shared" si="726"/>
        <v>51008-0000</v>
      </c>
      <c r="D11643" t="s">
        <v>12931</v>
      </c>
      <c r="E11643" t="s">
        <v>3743</v>
      </c>
      <c r="F11643" t="s">
        <v>230</v>
      </c>
      <c r="G11643" t="s">
        <v>3740</v>
      </c>
      <c r="H11643" t="s">
        <v>1875</v>
      </c>
      <c r="I11643" t="s">
        <v>3744</v>
      </c>
      <c r="J11643" s="70">
        <v>0</v>
      </c>
      <c r="K11643" s="71">
        <v>656.89</v>
      </c>
      <c r="L11643" s="33" t="e">
        <f>HLOOKUP(B11643,#REF!,1,0)</f>
        <v>#REF!</v>
      </c>
      <c r="M11643" s="33" t="str">
        <f t="shared" si="727"/>
        <v>P&amp;L</v>
      </c>
    </row>
    <row r="11644" spans="1:13">
      <c r="A11644" s="33" t="str">
        <f t="shared" si="724"/>
        <v>VEN - CGS</v>
      </c>
      <c r="B11644" s="33" t="str">
        <f t="shared" si="725"/>
        <v>VEN</v>
      </c>
      <c r="C11644" s="33" t="str">
        <f t="shared" si="726"/>
        <v>51009-0000</v>
      </c>
      <c r="D11644" t="s">
        <v>12932</v>
      </c>
      <c r="E11644" t="s">
        <v>3746</v>
      </c>
      <c r="F11644" t="s">
        <v>230</v>
      </c>
      <c r="G11644" t="s">
        <v>3740</v>
      </c>
      <c r="H11644" t="s">
        <v>1875</v>
      </c>
      <c r="I11644" t="s">
        <v>3747</v>
      </c>
      <c r="J11644" s="70">
        <v>0</v>
      </c>
      <c r="K11644" s="71">
        <v>218.98</v>
      </c>
      <c r="L11644" s="33" t="e">
        <f>HLOOKUP(B11644,#REF!,1,0)</f>
        <v>#REF!</v>
      </c>
      <c r="M11644" s="33" t="str">
        <f t="shared" si="727"/>
        <v>P&amp;L</v>
      </c>
    </row>
    <row r="11645" spans="1:13">
      <c r="A11645" s="33" t="str">
        <f t="shared" si="724"/>
        <v>VEN - CGS</v>
      </c>
      <c r="B11645" s="33" t="str">
        <f t="shared" si="725"/>
        <v>VEN</v>
      </c>
      <c r="C11645" s="33" t="str">
        <f t="shared" si="726"/>
        <v>51011-0000</v>
      </c>
      <c r="D11645" t="s">
        <v>12933</v>
      </c>
      <c r="E11645" t="s">
        <v>3749</v>
      </c>
      <c r="F11645" t="s">
        <v>230</v>
      </c>
      <c r="G11645" t="s">
        <v>3740</v>
      </c>
      <c r="H11645" t="s">
        <v>1875</v>
      </c>
      <c r="I11645" t="s">
        <v>3750</v>
      </c>
      <c r="J11645" s="70">
        <v>350</v>
      </c>
      <c r="K11645" s="71">
        <v>3500</v>
      </c>
      <c r="L11645" s="33" t="e">
        <f>HLOOKUP(B11645,#REF!,1,0)</f>
        <v>#REF!</v>
      </c>
      <c r="M11645" s="33" t="str">
        <f t="shared" si="727"/>
        <v>P&amp;L</v>
      </c>
    </row>
    <row r="11646" spans="1:13">
      <c r="A11646" s="33" t="str">
        <f t="shared" si="724"/>
        <v>VEN - CGS</v>
      </c>
      <c r="B11646" s="33" t="str">
        <f t="shared" si="725"/>
        <v>VEN</v>
      </c>
      <c r="C11646" s="33" t="str">
        <f t="shared" si="726"/>
        <v>51012-0000</v>
      </c>
      <c r="D11646" t="s">
        <v>12934</v>
      </c>
      <c r="E11646" t="s">
        <v>3752</v>
      </c>
      <c r="F11646" t="s">
        <v>230</v>
      </c>
      <c r="G11646" t="s">
        <v>3740</v>
      </c>
      <c r="H11646" t="s">
        <v>1875</v>
      </c>
      <c r="I11646" t="s">
        <v>3753</v>
      </c>
      <c r="J11646" s="70">
        <v>50</v>
      </c>
      <c r="K11646" s="71">
        <v>500</v>
      </c>
      <c r="L11646" s="33" t="e">
        <f>HLOOKUP(B11646,#REF!,1,0)</f>
        <v>#REF!</v>
      </c>
      <c r="M11646" s="33" t="str">
        <f t="shared" si="727"/>
        <v>P&amp;L</v>
      </c>
    </row>
    <row r="11647" spans="1:13">
      <c r="A11647" s="33" t="str">
        <f t="shared" si="724"/>
        <v>VEN - CGS</v>
      </c>
      <c r="B11647" s="33" t="str">
        <f t="shared" si="725"/>
        <v>VEN</v>
      </c>
      <c r="C11647" s="33" t="str">
        <f t="shared" si="726"/>
        <v>51020-0000</v>
      </c>
      <c r="D11647" t="s">
        <v>12935</v>
      </c>
      <c r="E11647" t="s">
        <v>3763</v>
      </c>
      <c r="F11647" t="s">
        <v>230</v>
      </c>
      <c r="G11647" t="s">
        <v>3740</v>
      </c>
      <c r="H11647" t="s">
        <v>1875</v>
      </c>
      <c r="I11647" t="s">
        <v>3345</v>
      </c>
      <c r="J11647" s="70">
        <v>0</v>
      </c>
      <c r="K11647" s="71">
        <v>41.92</v>
      </c>
      <c r="L11647" s="33" t="e">
        <f>HLOOKUP(B11647,#REF!,1,0)</f>
        <v>#REF!</v>
      </c>
      <c r="M11647" s="33" t="str">
        <f t="shared" si="727"/>
        <v>P&amp;L</v>
      </c>
    </row>
    <row r="11648" spans="1:13">
      <c r="A11648" s="33" t="str">
        <f t="shared" si="724"/>
        <v>VEN - CGS</v>
      </c>
      <c r="B11648" s="33" t="str">
        <f t="shared" si="725"/>
        <v>VEN</v>
      </c>
      <c r="C11648" s="33" t="str">
        <f t="shared" si="726"/>
        <v>53001-0000</v>
      </c>
      <c r="D11648" t="s">
        <v>12936</v>
      </c>
      <c r="E11648" t="s">
        <v>3781</v>
      </c>
      <c r="F11648" t="s">
        <v>230</v>
      </c>
      <c r="G11648" t="s">
        <v>3160</v>
      </c>
      <c r="H11648" t="s">
        <v>1875</v>
      </c>
      <c r="I11648" t="s">
        <v>3782</v>
      </c>
      <c r="J11648" s="70">
        <v>0</v>
      </c>
      <c r="K11648" s="71">
        <v>28.08</v>
      </c>
      <c r="L11648" s="33" t="e">
        <f>HLOOKUP(B11648,#REF!,1,0)</f>
        <v>#REF!</v>
      </c>
      <c r="M11648" s="33" t="str">
        <f t="shared" si="727"/>
        <v>P&amp;L</v>
      </c>
    </row>
    <row r="11649" spans="1:13">
      <c r="A11649" s="33" t="str">
        <f t="shared" si="724"/>
        <v>VEN - CGS</v>
      </c>
      <c r="B11649" s="33" t="str">
        <f t="shared" si="725"/>
        <v>VEN</v>
      </c>
      <c r="C11649" s="33" t="str">
        <f t="shared" si="726"/>
        <v>53002-0000</v>
      </c>
      <c r="D11649" t="s">
        <v>12937</v>
      </c>
      <c r="E11649" t="s">
        <v>3784</v>
      </c>
      <c r="F11649" t="s">
        <v>230</v>
      </c>
      <c r="G11649" t="s">
        <v>3160</v>
      </c>
      <c r="H11649" t="s">
        <v>1875</v>
      </c>
      <c r="I11649" t="s">
        <v>3785</v>
      </c>
      <c r="J11649" s="70">
        <v>563.3</v>
      </c>
      <c r="K11649" s="71">
        <v>5633</v>
      </c>
      <c r="L11649" s="33" t="e">
        <f>HLOOKUP(B11649,#REF!,1,0)</f>
        <v>#REF!</v>
      </c>
      <c r="M11649" s="33" t="str">
        <f t="shared" si="727"/>
        <v>P&amp;L</v>
      </c>
    </row>
    <row r="11650" spans="1:13">
      <c r="A11650" s="33" t="str">
        <f t="shared" ref="A11650:A11713" si="728">B11650&amp;" - "&amp;TRIM(H11650)</f>
        <v>VEN - CGS</v>
      </c>
      <c r="B11650" s="33" t="str">
        <f t="shared" ref="B11650:B11713" si="729">LEFT(D11650,3)</f>
        <v>VEN</v>
      </c>
      <c r="C11650" s="33" t="str">
        <f t="shared" ref="C11650:C11713" si="730">RIGHT(D11650,10)</f>
        <v>53003-0000</v>
      </c>
      <c r="D11650" t="s">
        <v>12938</v>
      </c>
      <c r="E11650" t="s">
        <v>3787</v>
      </c>
      <c r="F11650" t="s">
        <v>230</v>
      </c>
      <c r="G11650" t="s">
        <v>3160</v>
      </c>
      <c r="H11650" t="s">
        <v>1875</v>
      </c>
      <c r="I11650" t="s">
        <v>3788</v>
      </c>
      <c r="J11650" s="70">
        <v>278.94</v>
      </c>
      <c r="K11650" s="71">
        <v>1355.01</v>
      </c>
      <c r="L11650" s="33" t="e">
        <f>HLOOKUP(B11650,#REF!,1,0)</f>
        <v>#REF!</v>
      </c>
      <c r="M11650" s="33" t="str">
        <f t="shared" ref="M11650:M11713" si="731">IF(VALUE(LEFT(C11650,5))&gt;40000,"P&amp;L","BS")</f>
        <v>P&amp;L</v>
      </c>
    </row>
    <row r="11651" spans="1:13">
      <c r="A11651" s="33" t="str">
        <f t="shared" si="728"/>
        <v>VEN - CGS</v>
      </c>
      <c r="B11651" s="33" t="str">
        <f t="shared" si="729"/>
        <v>VEN</v>
      </c>
      <c r="C11651" s="33" t="str">
        <f t="shared" si="730"/>
        <v>53004-0000</v>
      </c>
      <c r="D11651" t="s">
        <v>12939</v>
      </c>
      <c r="E11651" t="s">
        <v>3790</v>
      </c>
      <c r="F11651" t="s">
        <v>230</v>
      </c>
      <c r="G11651" t="s">
        <v>3160</v>
      </c>
      <c r="H11651" t="s">
        <v>1875</v>
      </c>
      <c r="I11651" t="s">
        <v>3791</v>
      </c>
      <c r="J11651" s="70">
        <v>57.99</v>
      </c>
      <c r="K11651" s="71">
        <v>521.87</v>
      </c>
      <c r="L11651" s="33" t="e">
        <f>HLOOKUP(B11651,#REF!,1,0)</f>
        <v>#REF!</v>
      </c>
      <c r="M11651" s="33" t="str">
        <f t="shared" si="731"/>
        <v>P&amp;L</v>
      </c>
    </row>
    <row r="11652" spans="1:13">
      <c r="A11652" s="33" t="str">
        <f t="shared" si="728"/>
        <v>VEN - CGS</v>
      </c>
      <c r="B11652" s="33" t="str">
        <f t="shared" si="729"/>
        <v>VEN</v>
      </c>
      <c r="C11652" s="33" t="str">
        <f t="shared" si="730"/>
        <v>53005-0000</v>
      </c>
      <c r="D11652" t="s">
        <v>12940</v>
      </c>
      <c r="E11652" t="s">
        <v>3793</v>
      </c>
      <c r="F11652" t="s">
        <v>230</v>
      </c>
      <c r="G11652" t="s">
        <v>3160</v>
      </c>
      <c r="H11652" t="s">
        <v>1875</v>
      </c>
      <c r="I11652" t="s">
        <v>3794</v>
      </c>
      <c r="J11652" s="70">
        <v>752.64</v>
      </c>
      <c r="K11652" s="71">
        <v>3697.45</v>
      </c>
      <c r="L11652" s="33" t="e">
        <f>HLOOKUP(B11652,#REF!,1,0)</f>
        <v>#REF!</v>
      </c>
      <c r="M11652" s="33" t="str">
        <f t="shared" si="731"/>
        <v>P&amp;L</v>
      </c>
    </row>
    <row r="11653" spans="1:13">
      <c r="A11653" s="33" t="str">
        <f t="shared" si="728"/>
        <v>VEN - CGS</v>
      </c>
      <c r="B11653" s="33" t="str">
        <f t="shared" si="729"/>
        <v>VEN</v>
      </c>
      <c r="C11653" s="33" t="str">
        <f t="shared" si="730"/>
        <v>53006-0000</v>
      </c>
      <c r="D11653" t="s">
        <v>12941</v>
      </c>
      <c r="E11653" t="s">
        <v>3796</v>
      </c>
      <c r="F11653" t="s">
        <v>230</v>
      </c>
      <c r="G11653" t="s">
        <v>3160</v>
      </c>
      <c r="H11653" t="s">
        <v>1875</v>
      </c>
      <c r="I11653" t="s">
        <v>3797</v>
      </c>
      <c r="J11653" s="70">
        <v>1161.16</v>
      </c>
      <c r="K11653" s="71">
        <v>5454.81</v>
      </c>
      <c r="L11653" s="33" t="e">
        <f>HLOOKUP(B11653,#REF!,1,0)</f>
        <v>#REF!</v>
      </c>
      <c r="M11653" s="33" t="str">
        <f t="shared" si="731"/>
        <v>P&amp;L</v>
      </c>
    </row>
    <row r="11654" spans="1:13">
      <c r="A11654" s="33" t="str">
        <f t="shared" si="728"/>
        <v>VEN - CGS</v>
      </c>
      <c r="B11654" s="33" t="str">
        <f t="shared" si="729"/>
        <v>VEN</v>
      </c>
      <c r="C11654" s="33" t="str">
        <f t="shared" si="730"/>
        <v>54003-0000</v>
      </c>
      <c r="D11654" t="s">
        <v>12942</v>
      </c>
      <c r="E11654" t="s">
        <v>3803</v>
      </c>
      <c r="F11654" t="s">
        <v>230</v>
      </c>
      <c r="G11654" t="s">
        <v>3800</v>
      </c>
      <c r="H11654" t="s">
        <v>1875</v>
      </c>
      <c r="I11654" t="s">
        <v>3804</v>
      </c>
      <c r="J11654" s="70">
        <v>0</v>
      </c>
      <c r="K11654" s="71">
        <v>0</v>
      </c>
      <c r="L11654" s="33" t="e">
        <f>HLOOKUP(B11654,#REF!,1,0)</f>
        <v>#REF!</v>
      </c>
      <c r="M11654" s="33" t="str">
        <f t="shared" si="731"/>
        <v>P&amp;L</v>
      </c>
    </row>
    <row r="11655" spans="1:13">
      <c r="A11655" s="33" t="str">
        <f t="shared" si="728"/>
        <v>VEN - CGS</v>
      </c>
      <c r="B11655" s="33" t="str">
        <f t="shared" si="729"/>
        <v>VEN</v>
      </c>
      <c r="C11655" s="33" t="str">
        <f t="shared" si="730"/>
        <v>54004-0000</v>
      </c>
      <c r="D11655" t="s">
        <v>12943</v>
      </c>
      <c r="E11655" t="s">
        <v>3806</v>
      </c>
      <c r="F11655" t="s">
        <v>230</v>
      </c>
      <c r="G11655" t="s">
        <v>3800</v>
      </c>
      <c r="H11655" t="s">
        <v>1875</v>
      </c>
      <c r="I11655" t="s">
        <v>3807</v>
      </c>
      <c r="J11655" s="70">
        <v>0</v>
      </c>
      <c r="K11655" s="71">
        <v>0</v>
      </c>
      <c r="L11655" s="33" t="e">
        <f>HLOOKUP(B11655,#REF!,1,0)</f>
        <v>#REF!</v>
      </c>
      <c r="M11655" s="33" t="str">
        <f t="shared" si="731"/>
        <v>P&amp;L</v>
      </c>
    </row>
    <row r="11656" spans="1:13">
      <c r="A11656" s="33" t="str">
        <f t="shared" si="728"/>
        <v>VEN - CGS</v>
      </c>
      <c r="B11656" s="33" t="str">
        <f t="shared" si="729"/>
        <v>VEN</v>
      </c>
      <c r="C11656" s="33" t="str">
        <f t="shared" si="730"/>
        <v>54006-0000</v>
      </c>
      <c r="D11656" t="s">
        <v>12944</v>
      </c>
      <c r="E11656" t="s">
        <v>3812</v>
      </c>
      <c r="F11656" t="s">
        <v>230</v>
      </c>
      <c r="G11656" t="s">
        <v>3800</v>
      </c>
      <c r="H11656" t="s">
        <v>1875</v>
      </c>
      <c r="I11656" t="s">
        <v>3003</v>
      </c>
      <c r="J11656" s="70">
        <v>0</v>
      </c>
      <c r="K11656" s="71">
        <v>0</v>
      </c>
      <c r="L11656" s="33" t="e">
        <f>HLOOKUP(B11656,#REF!,1,0)</f>
        <v>#REF!</v>
      </c>
      <c r="M11656" s="33" t="str">
        <f t="shared" si="731"/>
        <v>P&amp;L</v>
      </c>
    </row>
    <row r="11657" spans="1:13">
      <c r="A11657" s="33" t="str">
        <f t="shared" si="728"/>
        <v>VEN - CGS</v>
      </c>
      <c r="B11657" s="33" t="str">
        <f t="shared" si="729"/>
        <v>VEN</v>
      </c>
      <c r="C11657" s="33" t="str">
        <f t="shared" si="730"/>
        <v>54007-0000</v>
      </c>
      <c r="D11657" t="s">
        <v>12945</v>
      </c>
      <c r="E11657" t="s">
        <v>4182</v>
      </c>
      <c r="F11657" t="s">
        <v>230</v>
      </c>
      <c r="G11657" t="s">
        <v>3800</v>
      </c>
      <c r="H11657" t="s">
        <v>1875</v>
      </c>
      <c r="I11657" t="s">
        <v>3815</v>
      </c>
      <c r="J11657" s="70">
        <v>0</v>
      </c>
      <c r="K11657" s="71">
        <v>199.5</v>
      </c>
      <c r="L11657" s="33" t="e">
        <f>HLOOKUP(B11657,#REF!,1,0)</f>
        <v>#REF!</v>
      </c>
      <c r="M11657" s="33" t="str">
        <f t="shared" si="731"/>
        <v>P&amp;L</v>
      </c>
    </row>
    <row r="11658" spans="1:13">
      <c r="A11658" s="33" t="str">
        <f t="shared" si="728"/>
        <v>VEN - PM Expenses</v>
      </c>
      <c r="B11658" s="33" t="str">
        <f t="shared" si="729"/>
        <v>VEN</v>
      </c>
      <c r="C11658" s="33" t="str">
        <f t="shared" si="730"/>
        <v>55501-0000</v>
      </c>
      <c r="D11658" t="s">
        <v>12946</v>
      </c>
      <c r="E11658" t="s">
        <v>3817</v>
      </c>
      <c r="F11658" t="s">
        <v>230</v>
      </c>
      <c r="G11658" t="s">
        <v>3818</v>
      </c>
      <c r="H11658" t="s">
        <v>3819</v>
      </c>
      <c r="I11658" t="s">
        <v>3820</v>
      </c>
      <c r="J11658" s="70">
        <v>0</v>
      </c>
      <c r="K11658" s="71">
        <v>120</v>
      </c>
      <c r="L11658" s="33" t="e">
        <f>HLOOKUP(B11658,#REF!,1,0)</f>
        <v>#REF!</v>
      </c>
      <c r="M11658" s="33" t="str">
        <f t="shared" si="731"/>
        <v>P&amp;L</v>
      </c>
    </row>
    <row r="11659" spans="1:13">
      <c r="A11659" s="33" t="str">
        <f t="shared" si="728"/>
        <v>VEN - PM Expenses</v>
      </c>
      <c r="B11659" s="33" t="str">
        <f t="shared" si="729"/>
        <v>VEN</v>
      </c>
      <c r="C11659" s="33" t="str">
        <f t="shared" si="730"/>
        <v>55502-0000</v>
      </c>
      <c r="D11659" t="s">
        <v>12947</v>
      </c>
      <c r="E11659" t="s">
        <v>3822</v>
      </c>
      <c r="F11659" t="s">
        <v>230</v>
      </c>
      <c r="G11659" t="s">
        <v>3818</v>
      </c>
      <c r="H11659" t="s">
        <v>3819</v>
      </c>
      <c r="I11659" t="s">
        <v>3823</v>
      </c>
      <c r="J11659" s="70">
        <v>0</v>
      </c>
      <c r="K11659" s="71">
        <v>365</v>
      </c>
      <c r="L11659" s="33" t="e">
        <f>HLOOKUP(B11659,#REF!,1,0)</f>
        <v>#REF!</v>
      </c>
      <c r="M11659" s="33" t="str">
        <f t="shared" si="731"/>
        <v>P&amp;L</v>
      </c>
    </row>
    <row r="11660" spans="1:13">
      <c r="A11660" s="33" t="str">
        <f t="shared" si="728"/>
        <v>VEN - PM Expenses</v>
      </c>
      <c r="B11660" s="33" t="str">
        <f t="shared" si="729"/>
        <v>VEN</v>
      </c>
      <c r="C11660" s="33" t="str">
        <f t="shared" si="730"/>
        <v>55503-0000</v>
      </c>
      <c r="D11660" t="s">
        <v>12948</v>
      </c>
      <c r="E11660" t="s">
        <v>3825</v>
      </c>
      <c r="F11660" t="s">
        <v>230</v>
      </c>
      <c r="G11660" t="s">
        <v>3818</v>
      </c>
      <c r="H11660" t="s">
        <v>3819</v>
      </c>
      <c r="I11660" t="s">
        <v>3826</v>
      </c>
      <c r="J11660" s="70">
        <v>0</v>
      </c>
      <c r="K11660" s="71">
        <v>1539.1</v>
      </c>
      <c r="L11660" s="33" t="e">
        <f>HLOOKUP(B11660,#REF!,1,0)</f>
        <v>#REF!</v>
      </c>
      <c r="M11660" s="33" t="str">
        <f t="shared" si="731"/>
        <v>P&amp;L</v>
      </c>
    </row>
    <row r="11661" spans="1:13">
      <c r="A11661" s="33" t="str">
        <f t="shared" si="728"/>
        <v>VEN - PM Expenses</v>
      </c>
      <c r="B11661" s="33" t="str">
        <f t="shared" si="729"/>
        <v>VEN</v>
      </c>
      <c r="C11661" s="33" t="str">
        <f t="shared" si="730"/>
        <v>55505-0000</v>
      </c>
      <c r="D11661" t="s">
        <v>12949</v>
      </c>
      <c r="E11661" t="s">
        <v>3828</v>
      </c>
      <c r="F11661" t="s">
        <v>230</v>
      </c>
      <c r="G11661" t="s">
        <v>3818</v>
      </c>
      <c r="H11661" t="s">
        <v>3819</v>
      </c>
      <c r="I11661" t="s">
        <v>3829</v>
      </c>
      <c r="J11661" s="70">
        <v>0</v>
      </c>
      <c r="K11661" s="71">
        <v>619.87</v>
      </c>
      <c r="L11661" s="33" t="e">
        <f>HLOOKUP(B11661,#REF!,1,0)</f>
        <v>#REF!</v>
      </c>
      <c r="M11661" s="33" t="str">
        <f t="shared" si="731"/>
        <v>P&amp;L</v>
      </c>
    </row>
    <row r="11662" spans="1:13">
      <c r="A11662" s="33" t="str">
        <f t="shared" si="728"/>
        <v>VEN - PM Expenses</v>
      </c>
      <c r="B11662" s="33" t="str">
        <f t="shared" si="729"/>
        <v>VEN</v>
      </c>
      <c r="C11662" s="33" t="str">
        <f t="shared" si="730"/>
        <v>55506-0000</v>
      </c>
      <c r="D11662" t="s">
        <v>12950</v>
      </c>
      <c r="E11662" t="s">
        <v>3831</v>
      </c>
      <c r="F11662" t="s">
        <v>230</v>
      </c>
      <c r="G11662" t="s">
        <v>3818</v>
      </c>
      <c r="H11662" t="s">
        <v>3819</v>
      </c>
      <c r="I11662" t="s">
        <v>3832</v>
      </c>
      <c r="J11662" s="70">
        <v>0</v>
      </c>
      <c r="K11662" s="71">
        <v>42.5</v>
      </c>
      <c r="L11662" s="33" t="e">
        <f>HLOOKUP(B11662,#REF!,1,0)</f>
        <v>#REF!</v>
      </c>
      <c r="M11662" s="33" t="str">
        <f t="shared" si="731"/>
        <v>P&amp;L</v>
      </c>
    </row>
    <row r="11663" spans="1:13">
      <c r="A11663" s="33" t="str">
        <f t="shared" si="728"/>
        <v>VEN - CGS</v>
      </c>
      <c r="B11663" s="33" t="str">
        <f t="shared" si="729"/>
        <v>VEN</v>
      </c>
      <c r="C11663" s="33" t="str">
        <f t="shared" si="730"/>
        <v>60001-0000</v>
      </c>
      <c r="D11663" t="s">
        <v>12951</v>
      </c>
      <c r="E11663" t="s">
        <v>4192</v>
      </c>
      <c r="F11663" t="s">
        <v>230</v>
      </c>
      <c r="G11663" t="s">
        <v>3838</v>
      </c>
      <c r="H11663" t="s">
        <v>1875</v>
      </c>
      <c r="I11663" t="s">
        <v>4193</v>
      </c>
      <c r="J11663" s="70">
        <v>0</v>
      </c>
      <c r="K11663" s="71">
        <v>1280.28</v>
      </c>
      <c r="L11663" s="33" t="e">
        <f>HLOOKUP(B11663,#REF!,1,0)</f>
        <v>#REF!</v>
      </c>
      <c r="M11663" s="33" t="str">
        <f t="shared" si="731"/>
        <v>P&amp;L</v>
      </c>
    </row>
    <row r="11664" spans="1:13">
      <c r="A11664" s="33" t="str">
        <f t="shared" si="728"/>
        <v>VEN - CGS</v>
      </c>
      <c r="B11664" s="33" t="str">
        <f t="shared" si="729"/>
        <v>VEN</v>
      </c>
      <c r="C11664" s="33" t="str">
        <f t="shared" si="730"/>
        <v>60002-0000</v>
      </c>
      <c r="D11664" t="s">
        <v>12952</v>
      </c>
      <c r="E11664" t="s">
        <v>3837</v>
      </c>
      <c r="F11664" t="s">
        <v>230</v>
      </c>
      <c r="G11664" t="s">
        <v>3838</v>
      </c>
      <c r="H11664" t="s">
        <v>1875</v>
      </c>
      <c r="I11664" t="s">
        <v>3839</v>
      </c>
      <c r="J11664" s="70">
        <v>99.1</v>
      </c>
      <c r="K11664" s="71">
        <v>1138.19</v>
      </c>
      <c r="L11664" s="33" t="e">
        <f>HLOOKUP(B11664,#REF!,1,0)</f>
        <v>#REF!</v>
      </c>
      <c r="M11664" s="33" t="str">
        <f t="shared" si="731"/>
        <v>P&amp;L</v>
      </c>
    </row>
    <row r="11665" spans="1:13">
      <c r="A11665" s="33" t="str">
        <f t="shared" si="728"/>
        <v>VEN - CGS</v>
      </c>
      <c r="B11665" s="33" t="str">
        <f t="shared" si="729"/>
        <v>VEN</v>
      </c>
      <c r="C11665" s="33" t="str">
        <f t="shared" si="730"/>
        <v>60005-0000</v>
      </c>
      <c r="D11665" t="s">
        <v>12953</v>
      </c>
      <c r="E11665" t="s">
        <v>3841</v>
      </c>
      <c r="F11665" t="s">
        <v>230</v>
      </c>
      <c r="G11665" t="s">
        <v>3838</v>
      </c>
      <c r="H11665" t="s">
        <v>1875</v>
      </c>
      <c r="I11665" t="s">
        <v>3842</v>
      </c>
      <c r="J11665" s="70">
        <v>0</v>
      </c>
      <c r="K11665" s="71">
        <v>7016.47</v>
      </c>
      <c r="L11665" s="33" t="e">
        <f>HLOOKUP(B11665,#REF!,1,0)</f>
        <v>#REF!</v>
      </c>
      <c r="M11665" s="33" t="str">
        <f t="shared" si="731"/>
        <v>P&amp;L</v>
      </c>
    </row>
    <row r="11666" spans="1:13">
      <c r="A11666" s="33" t="str">
        <f t="shared" si="728"/>
        <v>VEN - Interest Expense</v>
      </c>
      <c r="B11666" s="33" t="str">
        <f t="shared" si="729"/>
        <v>VEN</v>
      </c>
      <c r="C11666" s="33" t="str">
        <f t="shared" si="730"/>
        <v>60006-0000</v>
      </c>
      <c r="D11666" t="s">
        <v>12954</v>
      </c>
      <c r="E11666" t="s">
        <v>3325</v>
      </c>
      <c r="F11666" t="s">
        <v>230</v>
      </c>
      <c r="G11666" t="s">
        <v>3844</v>
      </c>
      <c r="H11666" t="s">
        <v>3327</v>
      </c>
      <c r="I11666" t="s">
        <v>3328</v>
      </c>
      <c r="J11666" s="70">
        <v>9224.48</v>
      </c>
      <c r="K11666" s="71">
        <v>92888.81</v>
      </c>
      <c r="L11666" s="33" t="e">
        <f>HLOOKUP(B11666,#REF!,1,0)</f>
        <v>#REF!</v>
      </c>
      <c r="M11666" s="33" t="str">
        <f t="shared" si="731"/>
        <v>P&amp;L</v>
      </c>
    </row>
    <row r="11667" spans="1:13">
      <c r="A11667" s="33" t="str">
        <f t="shared" si="728"/>
        <v>VEN - CGS</v>
      </c>
      <c r="B11667" s="33" t="str">
        <f t="shared" si="729"/>
        <v>VEN</v>
      </c>
      <c r="C11667" s="33" t="str">
        <f t="shared" si="730"/>
        <v>60007-0000</v>
      </c>
      <c r="D11667" t="s">
        <v>12955</v>
      </c>
      <c r="E11667" t="s">
        <v>3846</v>
      </c>
      <c r="F11667" t="s">
        <v>230</v>
      </c>
      <c r="G11667" t="s">
        <v>3838</v>
      </c>
      <c r="H11667" t="s">
        <v>1875</v>
      </c>
      <c r="I11667" t="s">
        <v>3847</v>
      </c>
      <c r="J11667" s="70">
        <v>0</v>
      </c>
      <c r="K11667" s="71">
        <v>801</v>
      </c>
      <c r="L11667" s="33" t="e">
        <f>HLOOKUP(B11667,#REF!,1,0)</f>
        <v>#REF!</v>
      </c>
      <c r="M11667" s="33" t="str">
        <f t="shared" si="731"/>
        <v>P&amp;L</v>
      </c>
    </row>
    <row r="11668" spans="1:13">
      <c r="A11668" s="33" t="str">
        <f t="shared" si="728"/>
        <v>VEN - CGS</v>
      </c>
      <c r="B11668" s="33" t="str">
        <f t="shared" si="729"/>
        <v>VEN</v>
      </c>
      <c r="C11668" s="33" t="str">
        <f t="shared" si="730"/>
        <v>60008-0000</v>
      </c>
      <c r="D11668" t="s">
        <v>12956</v>
      </c>
      <c r="E11668" t="s">
        <v>3849</v>
      </c>
      <c r="F11668" t="s">
        <v>230</v>
      </c>
      <c r="G11668" t="s">
        <v>3838</v>
      </c>
      <c r="H11668" t="s">
        <v>1875</v>
      </c>
      <c r="I11668" t="s">
        <v>3850</v>
      </c>
      <c r="J11668" s="70">
        <v>0</v>
      </c>
      <c r="K11668" s="71">
        <v>5.22</v>
      </c>
      <c r="L11668" s="33" t="e">
        <f>HLOOKUP(B11668,#REF!,1,0)</f>
        <v>#REF!</v>
      </c>
      <c r="M11668" s="33" t="str">
        <f t="shared" si="731"/>
        <v>P&amp;L</v>
      </c>
    </row>
    <row r="11669" spans="1:13">
      <c r="A11669" s="33" t="str">
        <f t="shared" si="728"/>
        <v>VEN - CGS</v>
      </c>
      <c r="B11669" s="33" t="str">
        <f t="shared" si="729"/>
        <v>VEN</v>
      </c>
      <c r="C11669" s="33" t="str">
        <f t="shared" si="730"/>
        <v>60011-0000</v>
      </c>
      <c r="D11669" t="s">
        <v>12957</v>
      </c>
      <c r="E11669" t="s">
        <v>4199</v>
      </c>
      <c r="F11669" t="s">
        <v>230</v>
      </c>
      <c r="G11669" t="s">
        <v>3838</v>
      </c>
      <c r="H11669" t="s">
        <v>1875</v>
      </c>
      <c r="I11669" t="s">
        <v>4200</v>
      </c>
      <c r="J11669" s="70">
        <v>0</v>
      </c>
      <c r="K11669" s="71">
        <v>359.39</v>
      </c>
      <c r="L11669" s="33" t="e">
        <f>HLOOKUP(B11669,#REF!,1,0)</f>
        <v>#REF!</v>
      </c>
      <c r="M11669" s="33" t="str">
        <f t="shared" si="731"/>
        <v>P&amp;L</v>
      </c>
    </row>
    <row r="11670" spans="1:13">
      <c r="A11670" s="33" t="str">
        <f t="shared" si="728"/>
        <v>VEN - CGS</v>
      </c>
      <c r="B11670" s="33" t="str">
        <f t="shared" si="729"/>
        <v>VEN</v>
      </c>
      <c r="C11670" s="33" t="str">
        <f t="shared" si="730"/>
        <v>60012-0000</v>
      </c>
      <c r="D11670" t="s">
        <v>12958</v>
      </c>
      <c r="E11670" t="s">
        <v>3852</v>
      </c>
      <c r="F11670" t="s">
        <v>230</v>
      </c>
      <c r="G11670" t="s">
        <v>3838</v>
      </c>
      <c r="H11670" s="64" t="s">
        <v>1875</v>
      </c>
      <c r="I11670" t="s">
        <v>3853</v>
      </c>
      <c r="J11670" s="70">
        <v>0</v>
      </c>
      <c r="K11670" s="71">
        <v>22338.92</v>
      </c>
      <c r="L11670" s="33" t="e">
        <f>HLOOKUP(B11670,#REF!,1,0)</f>
        <v>#REF!</v>
      </c>
      <c r="M11670" s="33" t="str">
        <f t="shared" si="731"/>
        <v>P&amp;L</v>
      </c>
    </row>
    <row r="11671" spans="1:13">
      <c r="A11671" s="33" t="str">
        <f t="shared" si="728"/>
        <v>VEN - CGS</v>
      </c>
      <c r="B11671" s="33" t="str">
        <f t="shared" si="729"/>
        <v>VEN</v>
      </c>
      <c r="C11671" s="33" t="str">
        <f t="shared" si="730"/>
        <v>60014-0000</v>
      </c>
      <c r="D11671" t="s">
        <v>12959</v>
      </c>
      <c r="E11671" t="s">
        <v>3855</v>
      </c>
      <c r="F11671" t="s">
        <v>230</v>
      </c>
      <c r="G11671" t="s">
        <v>3838</v>
      </c>
      <c r="H11671" t="s">
        <v>1875</v>
      </c>
      <c r="I11671" t="s">
        <v>3856</v>
      </c>
      <c r="J11671" s="70">
        <v>726.99</v>
      </c>
      <c r="K11671" s="71">
        <v>7723.03</v>
      </c>
      <c r="L11671" s="33" t="e">
        <f>HLOOKUP(B11671,#REF!,1,0)</f>
        <v>#REF!</v>
      </c>
      <c r="M11671" s="33" t="str">
        <f t="shared" si="731"/>
        <v>P&amp;L</v>
      </c>
    </row>
    <row r="11672" spans="1:13">
      <c r="A11672" s="33" t="str">
        <f t="shared" si="728"/>
        <v>VEN - CGS</v>
      </c>
      <c r="B11672" s="33" t="str">
        <f t="shared" si="729"/>
        <v>VEN</v>
      </c>
      <c r="C11672" s="33" t="str">
        <f t="shared" si="730"/>
        <v>61018-0000</v>
      </c>
      <c r="D11672" t="s">
        <v>12960</v>
      </c>
      <c r="E11672" t="s">
        <v>3864</v>
      </c>
      <c r="F11672" t="s">
        <v>230</v>
      </c>
      <c r="G11672" t="s">
        <v>3838</v>
      </c>
      <c r="H11672" t="s">
        <v>1875</v>
      </c>
      <c r="I11672" t="s">
        <v>3866</v>
      </c>
      <c r="J11672" s="70">
        <v>0</v>
      </c>
      <c r="K11672" s="71">
        <v>441.67</v>
      </c>
      <c r="L11672" s="33" t="e">
        <f>HLOOKUP(B11672,#REF!,1,0)</f>
        <v>#REF!</v>
      </c>
      <c r="M11672" s="33" t="str">
        <f t="shared" si="731"/>
        <v>P&amp;L</v>
      </c>
    </row>
    <row r="11673" spans="1:13">
      <c r="A11673" s="33" t="str">
        <f t="shared" si="728"/>
        <v>VEN - Income Tax</v>
      </c>
      <c r="B11673" s="33" t="str">
        <f t="shared" si="729"/>
        <v>VEN</v>
      </c>
      <c r="C11673" s="33" t="str">
        <f t="shared" si="730"/>
        <v>61019-0000</v>
      </c>
      <c r="D11673" t="s">
        <v>12961</v>
      </c>
      <c r="E11673" t="s">
        <v>4041</v>
      </c>
      <c r="F11673" t="s">
        <v>230</v>
      </c>
      <c r="G11673" t="s">
        <v>3844</v>
      </c>
      <c r="H11673" t="s">
        <v>3378</v>
      </c>
      <c r="I11673" t="s">
        <v>4042</v>
      </c>
      <c r="J11673" s="70">
        <v>0</v>
      </c>
      <c r="K11673" s="71">
        <v>1700</v>
      </c>
      <c r="L11673" s="33" t="e">
        <f>HLOOKUP(B11673,#REF!,1,0)</f>
        <v>#REF!</v>
      </c>
      <c r="M11673" s="33" t="str">
        <f t="shared" si="731"/>
        <v>P&amp;L</v>
      </c>
    </row>
    <row r="11674" spans="1:13">
      <c r="A11674" s="33" t="str">
        <f t="shared" si="728"/>
        <v>WEP - Cash</v>
      </c>
      <c r="B11674" s="33" t="str">
        <f t="shared" si="729"/>
        <v>WEP</v>
      </c>
      <c r="C11674" s="33" t="str">
        <f t="shared" si="730"/>
        <v>10001-0000</v>
      </c>
      <c r="D11674" t="s">
        <v>12962</v>
      </c>
      <c r="E11674" t="s">
        <v>240</v>
      </c>
      <c r="F11674" t="s">
        <v>230</v>
      </c>
      <c r="G11674" t="s">
        <v>16</v>
      </c>
      <c r="H11674" t="s">
        <v>25</v>
      </c>
      <c r="I11674" t="s">
        <v>18</v>
      </c>
      <c r="J11674" s="70">
        <v>0</v>
      </c>
      <c r="K11674" s="71">
        <v>5272.27</v>
      </c>
      <c r="L11674" s="33" t="e">
        <f>HLOOKUP(B11674,#REF!,1,0)</f>
        <v>#REF!</v>
      </c>
      <c r="M11674" s="33" t="str">
        <f t="shared" si="731"/>
        <v>BS</v>
      </c>
    </row>
    <row r="11675" spans="1:13">
      <c r="A11675" s="33" t="str">
        <f t="shared" si="728"/>
        <v>WEP - Cash</v>
      </c>
      <c r="B11675" s="33" t="str">
        <f t="shared" si="729"/>
        <v>WEP</v>
      </c>
      <c r="C11675" s="33" t="str">
        <f t="shared" si="730"/>
        <v>10009-0000</v>
      </c>
      <c r="D11675" t="s">
        <v>12963</v>
      </c>
      <c r="E11675" t="s">
        <v>12964</v>
      </c>
      <c r="F11675" t="s">
        <v>230</v>
      </c>
      <c r="G11675" t="s">
        <v>16</v>
      </c>
      <c r="H11675" t="s">
        <v>25</v>
      </c>
      <c r="I11675" t="s">
        <v>18</v>
      </c>
      <c r="J11675" s="70">
        <v>0</v>
      </c>
      <c r="K11675" s="71">
        <v>200648.67</v>
      </c>
      <c r="L11675" s="33" t="e">
        <f>HLOOKUP(B11675,#REF!,1,0)</f>
        <v>#REF!</v>
      </c>
      <c r="M11675" s="33" t="str">
        <f t="shared" si="731"/>
        <v>BS</v>
      </c>
    </row>
    <row r="11676" spans="1:13">
      <c r="A11676" s="33" t="str">
        <f t="shared" si="728"/>
        <v>WEP - Cash</v>
      </c>
      <c r="B11676" s="33" t="str">
        <f t="shared" si="729"/>
        <v>WEP</v>
      </c>
      <c r="C11676" s="33" t="str">
        <f t="shared" si="730"/>
        <v>10010-0000</v>
      </c>
      <c r="D11676" t="s">
        <v>12965</v>
      </c>
      <c r="E11676" t="s">
        <v>12966</v>
      </c>
      <c r="F11676" t="s">
        <v>230</v>
      </c>
      <c r="G11676" t="s">
        <v>16</v>
      </c>
      <c r="H11676" t="s">
        <v>25</v>
      </c>
      <c r="I11676" t="s">
        <v>18</v>
      </c>
      <c r="J11676" s="70">
        <v>0</v>
      </c>
      <c r="K11676" s="71">
        <v>3784.53</v>
      </c>
      <c r="L11676" s="33" t="e">
        <f>HLOOKUP(B11676,#REF!,1,0)</f>
        <v>#REF!</v>
      </c>
      <c r="M11676" s="33" t="str">
        <f t="shared" si="731"/>
        <v>BS</v>
      </c>
    </row>
    <row r="11677" spans="1:13">
      <c r="A11677" s="33" t="str">
        <f t="shared" si="728"/>
        <v>WEP - Intercompany</v>
      </c>
      <c r="B11677" s="33" t="str">
        <f t="shared" si="729"/>
        <v>WEP</v>
      </c>
      <c r="C11677" s="33" t="str">
        <f t="shared" si="730"/>
        <v>11346-0000</v>
      </c>
      <c r="D11677" t="s">
        <v>12967</v>
      </c>
      <c r="E11677" t="s">
        <v>739</v>
      </c>
      <c r="F11677" t="s">
        <v>230</v>
      </c>
      <c r="G11677" t="s">
        <v>16</v>
      </c>
      <c r="H11677" t="s">
        <v>39</v>
      </c>
      <c r="I11677" t="s">
        <v>40</v>
      </c>
      <c r="J11677" s="70">
        <v>0</v>
      </c>
      <c r="K11677" s="71">
        <v>-2257199.83</v>
      </c>
      <c r="L11677" s="33" t="e">
        <f>HLOOKUP(B11677,#REF!,1,0)</f>
        <v>#REF!</v>
      </c>
      <c r="M11677" s="33" t="str">
        <f t="shared" si="731"/>
        <v>BS</v>
      </c>
    </row>
    <row r="11678" spans="1:13">
      <c r="A11678" s="33" t="str">
        <f t="shared" si="728"/>
        <v>WEP - Fixed Assets</v>
      </c>
      <c r="B11678" s="33" t="str">
        <f t="shared" si="729"/>
        <v>WEP</v>
      </c>
      <c r="C11678" s="33" t="str">
        <f t="shared" si="730"/>
        <v>14000-0000</v>
      </c>
      <c r="D11678" t="s">
        <v>12968</v>
      </c>
      <c r="E11678" t="s">
        <v>298</v>
      </c>
      <c r="F11678" t="s">
        <v>230</v>
      </c>
      <c r="G11678" t="s">
        <v>62</v>
      </c>
      <c r="H11678" t="s">
        <v>63</v>
      </c>
      <c r="I11678" t="s">
        <v>64</v>
      </c>
      <c r="J11678" s="70">
        <v>0</v>
      </c>
      <c r="K11678" s="71">
        <v>5400000</v>
      </c>
      <c r="L11678" s="33" t="e">
        <f>HLOOKUP(B11678,#REF!,1,0)</f>
        <v>#REF!</v>
      </c>
      <c r="M11678" s="33" t="str">
        <f t="shared" si="731"/>
        <v>BS</v>
      </c>
    </row>
    <row r="11679" spans="1:13">
      <c r="A11679" s="33" t="str">
        <f t="shared" si="728"/>
        <v>WEP - Fixed Assets</v>
      </c>
      <c r="B11679" s="33" t="str">
        <f t="shared" si="729"/>
        <v>WEP</v>
      </c>
      <c r="C11679" s="33" t="str">
        <f t="shared" si="730"/>
        <v>15000-0000</v>
      </c>
      <c r="D11679" t="s">
        <v>12969</v>
      </c>
      <c r="E11679" t="s">
        <v>300</v>
      </c>
      <c r="F11679" t="s">
        <v>230</v>
      </c>
      <c r="G11679" t="s">
        <v>62</v>
      </c>
      <c r="H11679" t="s">
        <v>63</v>
      </c>
      <c r="I11679" t="s">
        <v>64</v>
      </c>
      <c r="J11679" s="70">
        <v>0</v>
      </c>
      <c r="K11679" s="71">
        <v>12600000</v>
      </c>
      <c r="L11679" s="33" t="e">
        <f>HLOOKUP(B11679,#REF!,1,0)</f>
        <v>#REF!</v>
      </c>
      <c r="M11679" s="33" t="str">
        <f t="shared" si="731"/>
        <v>BS</v>
      </c>
    </row>
    <row r="11680" spans="1:13">
      <c r="A11680" s="33" t="str">
        <f t="shared" si="728"/>
        <v>WEP - Deposits</v>
      </c>
      <c r="B11680" s="33" t="str">
        <f t="shared" si="729"/>
        <v>WEP</v>
      </c>
      <c r="C11680" s="33" t="str">
        <f t="shared" si="730"/>
        <v>19001-0000</v>
      </c>
      <c r="D11680" t="s">
        <v>12970</v>
      </c>
      <c r="E11680" t="s">
        <v>344</v>
      </c>
      <c r="F11680" t="s">
        <v>230</v>
      </c>
      <c r="G11680" t="s">
        <v>62</v>
      </c>
      <c r="H11680" t="s">
        <v>80</v>
      </c>
      <c r="I11680" t="s">
        <v>81</v>
      </c>
      <c r="J11680" s="70">
        <v>0</v>
      </c>
      <c r="K11680" s="71">
        <v>3970</v>
      </c>
      <c r="L11680" s="33" t="e">
        <f>HLOOKUP(B11680,#REF!,1,0)</f>
        <v>#REF!</v>
      </c>
      <c r="M11680" s="33" t="str">
        <f t="shared" si="731"/>
        <v>BS</v>
      </c>
    </row>
    <row r="11681" spans="1:13">
      <c r="A11681" s="33" t="str">
        <f t="shared" si="728"/>
        <v>WEP - Tax Accr</v>
      </c>
      <c r="B11681" s="33" t="str">
        <f t="shared" si="729"/>
        <v>WEP</v>
      </c>
      <c r="C11681" s="33" t="str">
        <f t="shared" si="730"/>
        <v>22002-0000</v>
      </c>
      <c r="D11681" t="s">
        <v>12971</v>
      </c>
      <c r="E11681" t="s">
        <v>12972</v>
      </c>
      <c r="F11681" t="s">
        <v>230</v>
      </c>
      <c r="G11681" t="s">
        <v>97</v>
      </c>
      <c r="H11681" t="s">
        <v>105</v>
      </c>
      <c r="I11681" t="s">
        <v>102</v>
      </c>
      <c r="J11681" s="70">
        <v>0</v>
      </c>
      <c r="K11681" s="71">
        <v>-3606.92</v>
      </c>
      <c r="L11681" s="33" t="e">
        <f>HLOOKUP(B11681,#REF!,1,0)</f>
        <v>#REF!</v>
      </c>
      <c r="M11681" s="33" t="str">
        <f t="shared" si="731"/>
        <v>BS</v>
      </c>
    </row>
    <row r="11682" spans="1:13">
      <c r="A11682" s="33" t="str">
        <f t="shared" si="728"/>
        <v>WEP - AP-Accr Exp</v>
      </c>
      <c r="B11682" s="33" t="str">
        <f t="shared" si="729"/>
        <v>WEP</v>
      </c>
      <c r="C11682" s="33" t="str">
        <f t="shared" si="730"/>
        <v>22003-0000</v>
      </c>
      <c r="D11682" t="s">
        <v>12973</v>
      </c>
      <c r="E11682" t="s">
        <v>12974</v>
      </c>
      <c r="F11682" t="s">
        <v>230</v>
      </c>
      <c r="G11682" t="s">
        <v>97</v>
      </c>
      <c r="H11682" t="s">
        <v>98</v>
      </c>
      <c r="I11682" t="s">
        <v>99</v>
      </c>
      <c r="J11682" s="70">
        <v>0</v>
      </c>
      <c r="K11682" s="71">
        <v>-175</v>
      </c>
      <c r="L11682" s="33" t="e">
        <f>HLOOKUP(B11682,#REF!,1,0)</f>
        <v>#REF!</v>
      </c>
      <c r="M11682" s="33" t="str">
        <f t="shared" si="731"/>
        <v>BS</v>
      </c>
    </row>
    <row r="11683" spans="1:13">
      <c r="A11683" s="33" t="str">
        <f t="shared" si="728"/>
        <v>WEP - AP-Accr Exp</v>
      </c>
      <c r="B11683" s="33" t="str">
        <f t="shared" si="729"/>
        <v>WEP</v>
      </c>
      <c r="C11683" s="33" t="str">
        <f t="shared" si="730"/>
        <v>24800-0000</v>
      </c>
      <c r="D11683" t="s">
        <v>12975</v>
      </c>
      <c r="E11683" t="s">
        <v>232</v>
      </c>
      <c r="F11683" t="s">
        <v>230</v>
      </c>
      <c r="G11683" t="s">
        <v>97</v>
      </c>
      <c r="H11683" t="s">
        <v>98</v>
      </c>
      <c r="I11683" t="s">
        <v>102</v>
      </c>
      <c r="J11683" s="70">
        <v>0</v>
      </c>
      <c r="K11683" s="71">
        <v>-51409</v>
      </c>
      <c r="L11683" s="33" t="e">
        <f>HLOOKUP(B11683,#REF!,1,0)</f>
        <v>#REF!</v>
      </c>
      <c r="M11683" s="33" t="str">
        <f t="shared" si="731"/>
        <v>BS</v>
      </c>
    </row>
    <row r="11684" spans="1:13">
      <c r="A11684" s="33" t="str">
        <f t="shared" si="728"/>
        <v>WEP - Principal</v>
      </c>
      <c r="B11684" s="33" t="str">
        <f t="shared" si="729"/>
        <v>WEP</v>
      </c>
      <c r="C11684" s="33" t="str">
        <f t="shared" si="730"/>
        <v>28001-0000</v>
      </c>
      <c r="D11684" t="s">
        <v>12976</v>
      </c>
      <c r="E11684" t="s">
        <v>12977</v>
      </c>
      <c r="F11684" t="s">
        <v>230</v>
      </c>
      <c r="G11684" t="s">
        <v>123</v>
      </c>
      <c r="H11684" t="s">
        <v>127</v>
      </c>
      <c r="I11684" t="s">
        <v>133</v>
      </c>
      <c r="J11684" s="70">
        <v>0</v>
      </c>
      <c r="K11684" s="71">
        <v>-13125000</v>
      </c>
      <c r="L11684" s="33" t="e">
        <f>HLOOKUP(B11684,#REF!,1,0)</f>
        <v>#REF!</v>
      </c>
      <c r="M11684" s="33" t="str">
        <f t="shared" si="731"/>
        <v>BS</v>
      </c>
    </row>
    <row r="11685" spans="1:13">
      <c r="A11685" s="33" t="str">
        <f t="shared" si="728"/>
        <v>WEP - SH Dist</v>
      </c>
      <c r="B11685" s="33" t="str">
        <f t="shared" si="729"/>
        <v>WEP</v>
      </c>
      <c r="C11685" s="33" t="str">
        <f t="shared" si="730"/>
        <v>30700-0000</v>
      </c>
      <c r="D11685" t="s">
        <v>12978</v>
      </c>
      <c r="E11685" t="s">
        <v>319</v>
      </c>
      <c r="F11685" t="s">
        <v>230</v>
      </c>
      <c r="G11685" t="s">
        <v>142</v>
      </c>
      <c r="H11685" t="s">
        <v>143</v>
      </c>
      <c r="I11685" t="s">
        <v>144</v>
      </c>
      <c r="J11685" s="70">
        <v>0</v>
      </c>
      <c r="K11685" s="71">
        <v>-2360000</v>
      </c>
      <c r="L11685" s="33" t="e">
        <f>HLOOKUP(B11685,#REF!,1,0)</f>
        <v>#REF!</v>
      </c>
      <c r="M11685" s="33" t="str">
        <f t="shared" si="731"/>
        <v>BS</v>
      </c>
    </row>
    <row r="11686" spans="1:13">
      <c r="A11686" s="33" t="str">
        <f t="shared" si="728"/>
        <v>WEP - Revenue</v>
      </c>
      <c r="B11686" s="33" t="str">
        <f t="shared" si="729"/>
        <v>WEP</v>
      </c>
      <c r="C11686" s="33" t="str">
        <f t="shared" si="730"/>
        <v>40110-0000</v>
      </c>
      <c r="D11686" t="s">
        <v>12979</v>
      </c>
      <c r="E11686" t="s">
        <v>3683</v>
      </c>
      <c r="F11686" t="s">
        <v>230</v>
      </c>
      <c r="G11686" t="s">
        <v>3684</v>
      </c>
      <c r="H11686" t="s">
        <v>2871</v>
      </c>
      <c r="I11686" t="s">
        <v>3685</v>
      </c>
      <c r="J11686" s="70">
        <v>0</v>
      </c>
      <c r="K11686" s="71">
        <v>-809993.56</v>
      </c>
      <c r="L11686" s="33" t="e">
        <f>HLOOKUP(B11686,#REF!,1,0)</f>
        <v>#REF!</v>
      </c>
      <c r="M11686" s="33" t="str">
        <f t="shared" si="731"/>
        <v>P&amp;L</v>
      </c>
    </row>
    <row r="11687" spans="1:13">
      <c r="A11687" s="33" t="str">
        <f t="shared" si="728"/>
        <v>WEP - Revenue</v>
      </c>
      <c r="B11687" s="33" t="str">
        <f t="shared" si="729"/>
        <v>WEP</v>
      </c>
      <c r="C11687" s="33" t="str">
        <f t="shared" si="730"/>
        <v>40120-0000</v>
      </c>
      <c r="D11687" t="s">
        <v>12980</v>
      </c>
      <c r="E11687" t="s">
        <v>3687</v>
      </c>
      <c r="F11687" t="s">
        <v>230</v>
      </c>
      <c r="G11687" t="s">
        <v>3684</v>
      </c>
      <c r="H11687" t="s">
        <v>2871</v>
      </c>
      <c r="I11687" t="s">
        <v>3688</v>
      </c>
      <c r="J11687" s="70">
        <v>0</v>
      </c>
      <c r="K11687" s="71">
        <v>0</v>
      </c>
      <c r="L11687" s="33" t="e">
        <f>HLOOKUP(B11687,#REF!,1,0)</f>
        <v>#REF!</v>
      </c>
      <c r="M11687" s="33" t="str">
        <f t="shared" si="731"/>
        <v>P&amp;L</v>
      </c>
    </row>
    <row r="11688" spans="1:13">
      <c r="A11688" s="33" t="str">
        <f t="shared" si="728"/>
        <v>WEP - Revenue</v>
      </c>
      <c r="B11688" s="33" t="str">
        <f t="shared" si="729"/>
        <v>WEP</v>
      </c>
      <c r="C11688" s="33" t="str">
        <f t="shared" si="730"/>
        <v>40130-0000</v>
      </c>
      <c r="D11688" t="s">
        <v>12981</v>
      </c>
      <c r="E11688" t="s">
        <v>3690</v>
      </c>
      <c r="F11688" t="s">
        <v>230</v>
      </c>
      <c r="G11688" t="s">
        <v>3684</v>
      </c>
      <c r="H11688" t="s">
        <v>2871</v>
      </c>
      <c r="I11688" t="s">
        <v>3691</v>
      </c>
      <c r="J11688" s="70">
        <v>0</v>
      </c>
      <c r="K11688" s="71">
        <v>0</v>
      </c>
      <c r="L11688" s="33" t="e">
        <f>HLOOKUP(B11688,#REF!,1,0)</f>
        <v>#REF!</v>
      </c>
      <c r="M11688" s="33" t="str">
        <f t="shared" si="731"/>
        <v>P&amp;L</v>
      </c>
    </row>
    <row r="11689" spans="1:13">
      <c r="A11689" s="33" t="str">
        <f t="shared" si="728"/>
        <v>WEP - Revenue</v>
      </c>
      <c r="B11689" s="33" t="str">
        <f t="shared" si="729"/>
        <v>WEP</v>
      </c>
      <c r="C11689" s="33" t="str">
        <f t="shared" si="730"/>
        <v>40140-0000</v>
      </c>
      <c r="D11689" t="s">
        <v>12982</v>
      </c>
      <c r="E11689" t="s">
        <v>3948</v>
      </c>
      <c r="F11689" t="s">
        <v>230</v>
      </c>
      <c r="G11689" t="s">
        <v>3684</v>
      </c>
      <c r="H11689" t="s">
        <v>2871</v>
      </c>
      <c r="I11689" t="s">
        <v>3949</v>
      </c>
      <c r="J11689" s="70">
        <v>0</v>
      </c>
      <c r="K11689" s="71">
        <v>0</v>
      </c>
      <c r="L11689" s="33" t="e">
        <f>HLOOKUP(B11689,#REF!,1,0)</f>
        <v>#REF!</v>
      </c>
      <c r="M11689" s="33" t="str">
        <f t="shared" si="731"/>
        <v>P&amp;L</v>
      </c>
    </row>
    <row r="11690" spans="1:13">
      <c r="A11690" s="33" t="str">
        <f t="shared" si="728"/>
        <v>WEP - Revenue</v>
      </c>
      <c r="B11690" s="33" t="str">
        <f t="shared" si="729"/>
        <v>WEP</v>
      </c>
      <c r="C11690" s="33" t="str">
        <f t="shared" si="730"/>
        <v>41110-0000</v>
      </c>
      <c r="D11690" t="s">
        <v>12983</v>
      </c>
      <c r="E11690" t="s">
        <v>3693</v>
      </c>
      <c r="F11690" t="s">
        <v>230</v>
      </c>
      <c r="G11690" t="s">
        <v>3694</v>
      </c>
      <c r="H11690" t="s">
        <v>2871</v>
      </c>
      <c r="I11690" t="s">
        <v>3695</v>
      </c>
      <c r="J11690" s="70">
        <v>0</v>
      </c>
      <c r="K11690" s="71">
        <v>20701.73</v>
      </c>
      <c r="L11690" s="33" t="e">
        <f>HLOOKUP(B11690,#REF!,1,0)</f>
        <v>#REF!</v>
      </c>
      <c r="M11690" s="33" t="str">
        <f t="shared" si="731"/>
        <v>P&amp;L</v>
      </c>
    </row>
    <row r="11691" spans="1:13">
      <c r="A11691" s="33" t="str">
        <f t="shared" si="728"/>
        <v>WEP - Revenue</v>
      </c>
      <c r="B11691" s="33" t="str">
        <f t="shared" si="729"/>
        <v>WEP</v>
      </c>
      <c r="C11691" s="33" t="str">
        <f t="shared" si="730"/>
        <v>41121-0000</v>
      </c>
      <c r="D11691" t="s">
        <v>12984</v>
      </c>
      <c r="E11691" t="s">
        <v>3697</v>
      </c>
      <c r="F11691" t="s">
        <v>230</v>
      </c>
      <c r="G11691" t="s">
        <v>3694</v>
      </c>
      <c r="H11691" t="s">
        <v>2871</v>
      </c>
      <c r="I11691" t="s">
        <v>3698</v>
      </c>
      <c r="J11691" s="70">
        <v>0</v>
      </c>
      <c r="K11691" s="71">
        <v>0</v>
      </c>
      <c r="L11691" s="33" t="e">
        <f>HLOOKUP(B11691,#REF!,1,0)</f>
        <v>#REF!</v>
      </c>
      <c r="M11691" s="33" t="str">
        <f t="shared" si="731"/>
        <v>P&amp;L</v>
      </c>
    </row>
    <row r="11692" spans="1:13">
      <c r="A11692" s="33" t="str">
        <f t="shared" si="728"/>
        <v>WEP - Revenue</v>
      </c>
      <c r="B11692" s="33" t="str">
        <f t="shared" si="729"/>
        <v>WEP</v>
      </c>
      <c r="C11692" s="33" t="str">
        <f t="shared" si="730"/>
        <v>41122-0000</v>
      </c>
      <c r="D11692" t="s">
        <v>12985</v>
      </c>
      <c r="E11692" t="s">
        <v>3700</v>
      </c>
      <c r="F11692" t="s">
        <v>230</v>
      </c>
      <c r="G11692" t="s">
        <v>3694</v>
      </c>
      <c r="H11692" t="s">
        <v>2871</v>
      </c>
      <c r="I11692" t="s">
        <v>3701</v>
      </c>
      <c r="J11692" s="70">
        <v>0</v>
      </c>
      <c r="K11692" s="71">
        <v>0</v>
      </c>
      <c r="L11692" s="33" t="e">
        <f>HLOOKUP(B11692,#REF!,1,0)</f>
        <v>#REF!</v>
      </c>
      <c r="M11692" s="33" t="str">
        <f t="shared" si="731"/>
        <v>P&amp;L</v>
      </c>
    </row>
    <row r="11693" spans="1:13">
      <c r="A11693" s="33" t="str">
        <f t="shared" si="728"/>
        <v>WEP - Revenue</v>
      </c>
      <c r="B11693" s="33" t="str">
        <f t="shared" si="729"/>
        <v>WEP</v>
      </c>
      <c r="C11693" s="33" t="str">
        <f t="shared" si="730"/>
        <v>41130-0000</v>
      </c>
      <c r="D11693" t="s">
        <v>12986</v>
      </c>
      <c r="E11693" t="s">
        <v>3703</v>
      </c>
      <c r="F11693" t="s">
        <v>230</v>
      </c>
      <c r="G11693" t="s">
        <v>3694</v>
      </c>
      <c r="H11693" t="s">
        <v>2871</v>
      </c>
      <c r="I11693" t="s">
        <v>3704</v>
      </c>
      <c r="J11693" s="70">
        <v>0</v>
      </c>
      <c r="K11693" s="71">
        <v>1708</v>
      </c>
      <c r="L11693" s="33" t="e">
        <f>HLOOKUP(B11693,#REF!,1,0)</f>
        <v>#REF!</v>
      </c>
      <c r="M11693" s="33" t="str">
        <f t="shared" si="731"/>
        <v>P&amp;L</v>
      </c>
    </row>
    <row r="11694" spans="1:13">
      <c r="A11694" s="33" t="str">
        <f t="shared" si="728"/>
        <v>WEP - Revenue</v>
      </c>
      <c r="B11694" s="33" t="str">
        <f t="shared" si="729"/>
        <v>WEP</v>
      </c>
      <c r="C11694" s="33" t="str">
        <f t="shared" si="730"/>
        <v>41140-0000</v>
      </c>
      <c r="D11694" t="s">
        <v>12987</v>
      </c>
      <c r="E11694" t="s">
        <v>3706</v>
      </c>
      <c r="F11694" t="s">
        <v>230</v>
      </c>
      <c r="G11694" t="s">
        <v>3694</v>
      </c>
      <c r="H11694" t="s">
        <v>2871</v>
      </c>
      <c r="I11694" t="s">
        <v>3707</v>
      </c>
      <c r="J11694" s="70">
        <v>0</v>
      </c>
      <c r="K11694" s="71">
        <v>0</v>
      </c>
      <c r="L11694" s="33" t="e">
        <f>HLOOKUP(B11694,#REF!,1,0)</f>
        <v>#REF!</v>
      </c>
      <c r="M11694" s="33" t="str">
        <f t="shared" si="731"/>
        <v>P&amp;L</v>
      </c>
    </row>
    <row r="11695" spans="1:13">
      <c r="A11695" s="33" t="str">
        <f t="shared" si="728"/>
        <v>WEP - Revenue</v>
      </c>
      <c r="B11695" s="33" t="str">
        <f t="shared" si="729"/>
        <v>WEP</v>
      </c>
      <c r="C11695" s="33" t="str">
        <f t="shared" si="730"/>
        <v>41150-0000</v>
      </c>
      <c r="D11695" t="s">
        <v>12988</v>
      </c>
      <c r="E11695" t="s">
        <v>3709</v>
      </c>
      <c r="F11695" t="s">
        <v>230</v>
      </c>
      <c r="G11695" t="s">
        <v>3694</v>
      </c>
      <c r="H11695" t="s">
        <v>2871</v>
      </c>
      <c r="I11695" t="s">
        <v>3710</v>
      </c>
      <c r="J11695" s="70">
        <v>0</v>
      </c>
      <c r="K11695" s="71">
        <v>1180.6</v>
      </c>
      <c r="L11695" s="33" t="e">
        <f>HLOOKUP(B11695,#REF!,1,0)</f>
        <v>#REF!</v>
      </c>
      <c r="M11695" s="33" t="str">
        <f t="shared" si="731"/>
        <v>P&amp;L</v>
      </c>
    </row>
    <row r="11696" spans="1:13">
      <c r="A11696" s="33" t="str">
        <f t="shared" si="728"/>
        <v>WEP - Revenue</v>
      </c>
      <c r="B11696" s="33" t="str">
        <f t="shared" si="729"/>
        <v>WEP</v>
      </c>
      <c r="C11696" s="33" t="str">
        <f t="shared" si="730"/>
        <v>41999-0000</v>
      </c>
      <c r="D11696" t="s">
        <v>12989</v>
      </c>
      <c r="E11696" t="s">
        <v>3712</v>
      </c>
      <c r="F11696" t="s">
        <v>230</v>
      </c>
      <c r="G11696" t="s">
        <v>3713</v>
      </c>
      <c r="H11696" t="s">
        <v>2871</v>
      </c>
      <c r="I11696" t="s">
        <v>3714</v>
      </c>
      <c r="J11696" s="70">
        <v>0</v>
      </c>
      <c r="K11696" s="71">
        <v>786403.23</v>
      </c>
      <c r="L11696" s="33" t="e">
        <f>HLOOKUP(B11696,#REF!,1,0)</f>
        <v>#REF!</v>
      </c>
      <c r="M11696" s="33" t="str">
        <f t="shared" si="731"/>
        <v>P&amp;L</v>
      </c>
    </row>
    <row r="11697" spans="1:13">
      <c r="A11697" s="33" t="str">
        <f t="shared" si="728"/>
        <v>WEP - Revenue</v>
      </c>
      <c r="B11697" s="33" t="str">
        <f t="shared" si="729"/>
        <v>WEP</v>
      </c>
      <c r="C11697" s="33" t="str">
        <f t="shared" si="730"/>
        <v>45000-0000</v>
      </c>
      <c r="D11697" t="s">
        <v>12990</v>
      </c>
      <c r="E11697" t="s">
        <v>12991</v>
      </c>
      <c r="F11697" t="s">
        <v>230</v>
      </c>
      <c r="G11697" t="s">
        <v>3717</v>
      </c>
      <c r="H11697" t="s">
        <v>2871</v>
      </c>
      <c r="I11697" t="s">
        <v>12992</v>
      </c>
      <c r="J11697" s="70">
        <v>0</v>
      </c>
      <c r="K11697" s="71">
        <v>-2375.9</v>
      </c>
      <c r="L11697" s="33" t="e">
        <f>HLOOKUP(B11697,#REF!,1,0)</f>
        <v>#REF!</v>
      </c>
      <c r="M11697" s="33" t="str">
        <f t="shared" si="731"/>
        <v>P&amp;L</v>
      </c>
    </row>
    <row r="11698" spans="1:13">
      <c r="A11698" s="33" t="str">
        <f t="shared" si="728"/>
        <v>WEP - Revenue</v>
      </c>
      <c r="B11698" s="33" t="str">
        <f t="shared" si="729"/>
        <v>WEP</v>
      </c>
      <c r="C11698" s="33" t="str">
        <f t="shared" si="730"/>
        <v>47400-0000</v>
      </c>
      <c r="D11698" t="s">
        <v>12993</v>
      </c>
      <c r="E11698" t="s">
        <v>3716</v>
      </c>
      <c r="F11698" t="s">
        <v>230</v>
      </c>
      <c r="G11698" t="s">
        <v>3717</v>
      </c>
      <c r="H11698" t="s">
        <v>2871</v>
      </c>
      <c r="I11698" t="s">
        <v>3718</v>
      </c>
      <c r="J11698" s="70">
        <v>0</v>
      </c>
      <c r="K11698" s="71">
        <v>-786753.23</v>
      </c>
      <c r="L11698" s="33" t="e">
        <f>HLOOKUP(B11698,#REF!,1,0)</f>
        <v>#REF!</v>
      </c>
      <c r="M11698" s="33" t="str">
        <f t="shared" si="731"/>
        <v>P&amp;L</v>
      </c>
    </row>
    <row r="11699" spans="1:13">
      <c r="A11699" s="33" t="str">
        <f t="shared" si="728"/>
        <v>WEP - Revenue</v>
      </c>
      <c r="B11699" s="33" t="str">
        <f t="shared" si="729"/>
        <v>WEP</v>
      </c>
      <c r="C11699" s="33" t="str">
        <f t="shared" si="730"/>
        <v>47440-0000</v>
      </c>
      <c r="D11699" t="s">
        <v>12994</v>
      </c>
      <c r="E11699" t="s">
        <v>3720</v>
      </c>
      <c r="F11699" t="s">
        <v>230</v>
      </c>
      <c r="G11699" t="s">
        <v>3717</v>
      </c>
      <c r="H11699" t="s">
        <v>2871</v>
      </c>
      <c r="I11699" t="s">
        <v>3721</v>
      </c>
      <c r="J11699" s="70">
        <v>0</v>
      </c>
      <c r="K11699" s="71">
        <v>-19249.55</v>
      </c>
      <c r="L11699" s="33" t="e">
        <f>HLOOKUP(B11699,#REF!,1,0)</f>
        <v>#REF!</v>
      </c>
      <c r="M11699" s="33" t="str">
        <f t="shared" si="731"/>
        <v>P&amp;L</v>
      </c>
    </row>
    <row r="11700" spans="1:13">
      <c r="A11700" s="33" t="str">
        <f t="shared" si="728"/>
        <v>WEP - Revenue</v>
      </c>
      <c r="B11700" s="33" t="str">
        <f t="shared" si="729"/>
        <v>WEP</v>
      </c>
      <c r="C11700" s="33" t="str">
        <f t="shared" si="730"/>
        <v>47450-0000</v>
      </c>
      <c r="D11700" t="s">
        <v>12995</v>
      </c>
      <c r="E11700" t="s">
        <v>3723</v>
      </c>
      <c r="F11700" t="s">
        <v>230</v>
      </c>
      <c r="G11700" t="s">
        <v>3717</v>
      </c>
      <c r="H11700" t="s">
        <v>2871</v>
      </c>
      <c r="I11700" t="s">
        <v>3724</v>
      </c>
      <c r="J11700" s="70">
        <v>0</v>
      </c>
      <c r="K11700" s="71">
        <v>-350</v>
      </c>
      <c r="L11700" s="33" t="e">
        <f>HLOOKUP(B11700,#REF!,1,0)</f>
        <v>#REF!</v>
      </c>
      <c r="M11700" s="33" t="str">
        <f t="shared" si="731"/>
        <v>P&amp;L</v>
      </c>
    </row>
    <row r="11701" spans="1:13">
      <c r="A11701" s="33" t="str">
        <f t="shared" si="728"/>
        <v>WEP - Revenue</v>
      </c>
      <c r="B11701" s="33" t="str">
        <f t="shared" si="729"/>
        <v>WEP</v>
      </c>
      <c r="C11701" s="33" t="str">
        <f t="shared" si="730"/>
        <v>47460-0000</v>
      </c>
      <c r="D11701" t="s">
        <v>12996</v>
      </c>
      <c r="E11701" t="s">
        <v>3726</v>
      </c>
      <c r="F11701" t="s">
        <v>230</v>
      </c>
      <c r="G11701" t="s">
        <v>3717</v>
      </c>
      <c r="H11701" t="s">
        <v>2871</v>
      </c>
      <c r="I11701" t="s">
        <v>3727</v>
      </c>
      <c r="J11701" s="70">
        <v>0</v>
      </c>
      <c r="K11701" s="71">
        <v>-7000</v>
      </c>
      <c r="L11701" s="33" t="e">
        <f>HLOOKUP(B11701,#REF!,1,0)</f>
        <v>#REF!</v>
      </c>
      <c r="M11701" s="33" t="str">
        <f t="shared" si="731"/>
        <v>P&amp;L</v>
      </c>
    </row>
    <row r="11702" spans="1:13">
      <c r="A11702" s="33" t="str">
        <f t="shared" si="728"/>
        <v>WEP - Revenue</v>
      </c>
      <c r="B11702" s="33" t="str">
        <f t="shared" si="729"/>
        <v>WEP</v>
      </c>
      <c r="C11702" s="33" t="str">
        <f t="shared" si="730"/>
        <v>47480-0000</v>
      </c>
      <c r="D11702" t="s">
        <v>12997</v>
      </c>
      <c r="E11702" t="s">
        <v>3729</v>
      </c>
      <c r="F11702" t="s">
        <v>230</v>
      </c>
      <c r="G11702" t="s">
        <v>3717</v>
      </c>
      <c r="H11702" t="s">
        <v>2871</v>
      </c>
      <c r="I11702" t="s">
        <v>3721</v>
      </c>
      <c r="J11702" s="70">
        <v>0</v>
      </c>
      <c r="K11702" s="71">
        <v>-2650</v>
      </c>
      <c r="L11702" s="33" t="e">
        <f>HLOOKUP(B11702,#REF!,1,0)</f>
        <v>#REF!</v>
      </c>
      <c r="M11702" s="33" t="str">
        <f t="shared" si="731"/>
        <v>P&amp;L</v>
      </c>
    </row>
    <row r="11703" spans="1:13">
      <c r="A11703" s="33" t="str">
        <f t="shared" si="728"/>
        <v>WEP - Revenue</v>
      </c>
      <c r="B11703" s="33" t="str">
        <f t="shared" si="729"/>
        <v>WEP</v>
      </c>
      <c r="C11703" s="33" t="str">
        <f t="shared" si="730"/>
        <v>47490-0000</v>
      </c>
      <c r="D11703" t="s">
        <v>12998</v>
      </c>
      <c r="E11703" t="s">
        <v>3731</v>
      </c>
      <c r="F11703" t="s">
        <v>230</v>
      </c>
      <c r="G11703" t="s">
        <v>3717</v>
      </c>
      <c r="H11703" t="s">
        <v>2871</v>
      </c>
      <c r="I11703" t="s">
        <v>3721</v>
      </c>
      <c r="J11703" s="70">
        <v>0</v>
      </c>
      <c r="K11703" s="71">
        <v>-9977.84</v>
      </c>
      <c r="L11703" s="33" t="e">
        <f>HLOOKUP(B11703,#REF!,1,0)</f>
        <v>#REF!</v>
      </c>
      <c r="M11703" s="33" t="str">
        <f t="shared" si="731"/>
        <v>P&amp;L</v>
      </c>
    </row>
    <row r="11704" spans="1:13">
      <c r="A11704" s="33" t="str">
        <f t="shared" si="728"/>
        <v>WEP - Revenue</v>
      </c>
      <c r="B11704" s="33" t="str">
        <f t="shared" si="729"/>
        <v>WEP</v>
      </c>
      <c r="C11704" s="33" t="str">
        <f t="shared" si="730"/>
        <v>47491-0000</v>
      </c>
      <c r="D11704" t="s">
        <v>12999</v>
      </c>
      <c r="E11704" t="s">
        <v>3733</v>
      </c>
      <c r="F11704" t="s">
        <v>230</v>
      </c>
      <c r="G11704" t="s">
        <v>3717</v>
      </c>
      <c r="H11704" t="s">
        <v>2871</v>
      </c>
      <c r="I11704" t="s">
        <v>3734</v>
      </c>
      <c r="J11704" s="70">
        <v>0</v>
      </c>
      <c r="K11704" s="71">
        <v>-41143.16</v>
      </c>
      <c r="L11704" s="33" t="e">
        <f>HLOOKUP(B11704,#REF!,1,0)</f>
        <v>#REF!</v>
      </c>
      <c r="M11704" s="33" t="str">
        <f t="shared" si="731"/>
        <v>P&amp;L</v>
      </c>
    </row>
    <row r="11705" spans="1:13">
      <c r="A11705" s="33" t="str">
        <f t="shared" si="728"/>
        <v>WEP - Revenue</v>
      </c>
      <c r="B11705" s="33" t="str">
        <f t="shared" si="729"/>
        <v>WEP</v>
      </c>
      <c r="C11705" s="33" t="str">
        <f t="shared" si="730"/>
        <v>47492-0000</v>
      </c>
      <c r="D11705" t="s">
        <v>13000</v>
      </c>
      <c r="E11705" t="s">
        <v>3736</v>
      </c>
      <c r="F11705" t="s">
        <v>230</v>
      </c>
      <c r="G11705" t="s">
        <v>3717</v>
      </c>
      <c r="H11705" t="s">
        <v>2871</v>
      </c>
      <c r="I11705" t="s">
        <v>3737</v>
      </c>
      <c r="J11705" s="70">
        <v>0</v>
      </c>
      <c r="K11705" s="71">
        <v>-81.95</v>
      </c>
      <c r="L11705" s="33" t="e">
        <f>HLOOKUP(B11705,#REF!,1,0)</f>
        <v>#REF!</v>
      </c>
      <c r="M11705" s="33" t="str">
        <f t="shared" si="731"/>
        <v>P&amp;L</v>
      </c>
    </row>
    <row r="11706" spans="1:13">
      <c r="A11706" s="33" t="str">
        <f t="shared" si="728"/>
        <v>WEP - CGS</v>
      </c>
      <c r="B11706" s="33" t="str">
        <f t="shared" si="729"/>
        <v>WEP</v>
      </c>
      <c r="C11706" s="33" t="str">
        <f t="shared" si="730"/>
        <v>51005-0000</v>
      </c>
      <c r="D11706" t="s">
        <v>13001</v>
      </c>
      <c r="E11706" t="s">
        <v>3968</v>
      </c>
      <c r="F11706" t="s">
        <v>230</v>
      </c>
      <c r="G11706" t="s">
        <v>3740</v>
      </c>
      <c r="H11706" t="s">
        <v>1875</v>
      </c>
      <c r="I11706" t="s">
        <v>3969</v>
      </c>
      <c r="J11706" s="70">
        <v>0</v>
      </c>
      <c r="K11706" s="71">
        <v>175.89</v>
      </c>
      <c r="L11706" s="33" t="e">
        <f>HLOOKUP(B11706,#REF!,1,0)</f>
        <v>#REF!</v>
      </c>
      <c r="M11706" s="33" t="str">
        <f t="shared" si="731"/>
        <v>P&amp;L</v>
      </c>
    </row>
    <row r="11707" spans="1:13">
      <c r="A11707" s="33" t="str">
        <f t="shared" si="728"/>
        <v>WEP - CGS</v>
      </c>
      <c r="B11707" s="33" t="str">
        <f t="shared" si="729"/>
        <v>WEP</v>
      </c>
      <c r="C11707" s="33" t="str">
        <f t="shared" si="730"/>
        <v>51006-0000</v>
      </c>
      <c r="D11707" t="s">
        <v>13002</v>
      </c>
      <c r="E11707" t="s">
        <v>3739</v>
      </c>
      <c r="F11707" t="s">
        <v>230</v>
      </c>
      <c r="G11707" t="s">
        <v>3740</v>
      </c>
      <c r="H11707" t="s">
        <v>1875</v>
      </c>
      <c r="I11707" t="s">
        <v>3741</v>
      </c>
      <c r="J11707" s="70">
        <v>0</v>
      </c>
      <c r="K11707" s="71">
        <v>494.41</v>
      </c>
      <c r="L11707" s="33" t="e">
        <f>HLOOKUP(B11707,#REF!,1,0)</f>
        <v>#REF!</v>
      </c>
      <c r="M11707" s="33" t="str">
        <f t="shared" si="731"/>
        <v>P&amp;L</v>
      </c>
    </row>
    <row r="11708" spans="1:13">
      <c r="A11708" s="33" t="str">
        <f t="shared" si="728"/>
        <v>WEP - CGS</v>
      </c>
      <c r="B11708" s="33" t="str">
        <f t="shared" si="729"/>
        <v>WEP</v>
      </c>
      <c r="C11708" s="33" t="str">
        <f t="shared" si="730"/>
        <v>51008-0000</v>
      </c>
      <c r="D11708" t="s">
        <v>13003</v>
      </c>
      <c r="E11708" t="s">
        <v>3743</v>
      </c>
      <c r="F11708" t="s">
        <v>230</v>
      </c>
      <c r="G11708" t="s">
        <v>3740</v>
      </c>
      <c r="H11708" t="s">
        <v>1875</v>
      </c>
      <c r="I11708" t="s">
        <v>3744</v>
      </c>
      <c r="J11708" s="70">
        <v>0</v>
      </c>
      <c r="K11708" s="71">
        <v>14358.94</v>
      </c>
      <c r="L11708" s="33" t="e">
        <f>HLOOKUP(B11708,#REF!,1,0)</f>
        <v>#REF!</v>
      </c>
      <c r="M11708" s="33" t="str">
        <f t="shared" si="731"/>
        <v>P&amp;L</v>
      </c>
    </row>
    <row r="11709" spans="1:13">
      <c r="A11709" s="33" t="str">
        <f t="shared" si="728"/>
        <v>WEP - CGS</v>
      </c>
      <c r="B11709" s="33" t="str">
        <f t="shared" si="729"/>
        <v>WEP</v>
      </c>
      <c r="C11709" s="33" t="str">
        <f t="shared" si="730"/>
        <v>51009-0000</v>
      </c>
      <c r="D11709" t="s">
        <v>13004</v>
      </c>
      <c r="E11709" t="s">
        <v>3746</v>
      </c>
      <c r="F11709" t="s">
        <v>230</v>
      </c>
      <c r="G11709" t="s">
        <v>3740</v>
      </c>
      <c r="H11709" t="s">
        <v>1875</v>
      </c>
      <c r="I11709" t="s">
        <v>3747</v>
      </c>
      <c r="J11709" s="70">
        <v>0</v>
      </c>
      <c r="K11709" s="71">
        <v>2101.06</v>
      </c>
      <c r="L11709" s="33" t="e">
        <f>HLOOKUP(B11709,#REF!,1,0)</f>
        <v>#REF!</v>
      </c>
      <c r="M11709" s="33" t="str">
        <f t="shared" si="731"/>
        <v>P&amp;L</v>
      </c>
    </row>
    <row r="11710" spans="1:13">
      <c r="A11710" s="33" t="str">
        <f t="shared" si="728"/>
        <v>WEP - CGS</v>
      </c>
      <c r="B11710" s="33" t="str">
        <f t="shared" si="729"/>
        <v>WEP</v>
      </c>
      <c r="C11710" s="33" t="str">
        <f t="shared" si="730"/>
        <v>51011-0000</v>
      </c>
      <c r="D11710" t="s">
        <v>13005</v>
      </c>
      <c r="E11710" t="s">
        <v>3749</v>
      </c>
      <c r="F11710" t="s">
        <v>230</v>
      </c>
      <c r="G11710" t="s">
        <v>3740</v>
      </c>
      <c r="H11710" t="s">
        <v>1875</v>
      </c>
      <c r="I11710" t="s">
        <v>3750</v>
      </c>
      <c r="J11710" s="70">
        <v>0</v>
      </c>
      <c r="K11710" s="71">
        <v>4871.28</v>
      </c>
      <c r="L11710" s="33" t="e">
        <f>HLOOKUP(B11710,#REF!,1,0)</f>
        <v>#REF!</v>
      </c>
      <c r="M11710" s="33" t="str">
        <f t="shared" si="731"/>
        <v>P&amp;L</v>
      </c>
    </row>
    <row r="11711" spans="1:13">
      <c r="A11711" s="33" t="str">
        <f t="shared" si="728"/>
        <v>WEP - CGS</v>
      </c>
      <c r="B11711" s="33" t="str">
        <f t="shared" si="729"/>
        <v>WEP</v>
      </c>
      <c r="C11711" s="33" t="str">
        <f t="shared" si="730"/>
        <v>51012-0000</v>
      </c>
      <c r="D11711" t="s">
        <v>13006</v>
      </c>
      <c r="E11711" t="s">
        <v>3752</v>
      </c>
      <c r="F11711" t="s">
        <v>230</v>
      </c>
      <c r="G11711" t="s">
        <v>3740</v>
      </c>
      <c r="H11711" t="s">
        <v>1875</v>
      </c>
      <c r="I11711" t="s">
        <v>3753</v>
      </c>
      <c r="J11711" s="70">
        <v>0</v>
      </c>
      <c r="K11711" s="71">
        <v>562.92</v>
      </c>
      <c r="L11711" s="33" t="e">
        <f>HLOOKUP(B11711,#REF!,1,0)</f>
        <v>#REF!</v>
      </c>
      <c r="M11711" s="33" t="str">
        <f t="shared" si="731"/>
        <v>P&amp;L</v>
      </c>
    </row>
    <row r="11712" spans="1:13">
      <c r="A11712" s="33" t="str">
        <f t="shared" si="728"/>
        <v>WEP - CGS</v>
      </c>
      <c r="B11712" s="33" t="str">
        <f t="shared" si="729"/>
        <v>WEP</v>
      </c>
      <c r="C11712" s="33" t="str">
        <f t="shared" si="730"/>
        <v>51013-0000</v>
      </c>
      <c r="D11712" t="s">
        <v>13007</v>
      </c>
      <c r="E11712" t="s">
        <v>3979</v>
      </c>
      <c r="F11712" t="s">
        <v>230</v>
      </c>
      <c r="G11712" t="s">
        <v>3740</v>
      </c>
      <c r="H11712" t="s">
        <v>1875</v>
      </c>
      <c r="I11712" t="s">
        <v>3980</v>
      </c>
      <c r="J11712" s="70">
        <v>0</v>
      </c>
      <c r="K11712" s="71">
        <v>1187.29</v>
      </c>
      <c r="L11712" s="33" t="e">
        <f>HLOOKUP(B11712,#REF!,1,0)</f>
        <v>#REF!</v>
      </c>
      <c r="M11712" s="33" t="str">
        <f t="shared" si="731"/>
        <v>P&amp;L</v>
      </c>
    </row>
    <row r="11713" spans="1:13">
      <c r="A11713" s="33" t="str">
        <f t="shared" si="728"/>
        <v>WEP - CGS</v>
      </c>
      <c r="B11713" s="33" t="str">
        <f t="shared" si="729"/>
        <v>WEP</v>
      </c>
      <c r="C11713" s="33" t="str">
        <f t="shared" si="730"/>
        <v>51017-0000</v>
      </c>
      <c r="D11713" t="s">
        <v>13008</v>
      </c>
      <c r="E11713" t="s">
        <v>3758</v>
      </c>
      <c r="F11713" t="s">
        <v>230</v>
      </c>
      <c r="G11713" t="s">
        <v>3160</v>
      </c>
      <c r="H11713" t="s">
        <v>1875</v>
      </c>
      <c r="I11713" t="s">
        <v>3759</v>
      </c>
      <c r="J11713" s="70">
        <v>0</v>
      </c>
      <c r="K11713" s="71">
        <v>1473.22</v>
      </c>
      <c r="L11713" s="33" t="e">
        <f>HLOOKUP(B11713,#REF!,1,0)</f>
        <v>#REF!</v>
      </c>
      <c r="M11713" s="33" t="str">
        <f t="shared" si="731"/>
        <v>P&amp;L</v>
      </c>
    </row>
    <row r="11714" spans="1:13">
      <c r="A11714" s="33" t="str">
        <f t="shared" ref="A11714:A11777" si="732">B11714&amp;" - "&amp;TRIM(H11714)</f>
        <v>WEP - CGS</v>
      </c>
      <c r="B11714" s="33" t="str">
        <f t="shared" ref="B11714:B11777" si="733">LEFT(D11714,3)</f>
        <v>WEP</v>
      </c>
      <c r="C11714" s="33" t="str">
        <f t="shared" ref="C11714:C11777" si="734">RIGHT(D11714,10)</f>
        <v>51018-0000</v>
      </c>
      <c r="D11714" t="s">
        <v>13009</v>
      </c>
      <c r="E11714" t="s">
        <v>3984</v>
      </c>
      <c r="F11714" t="s">
        <v>230</v>
      </c>
      <c r="G11714" t="s">
        <v>3740</v>
      </c>
      <c r="H11714" t="s">
        <v>1875</v>
      </c>
      <c r="I11714" t="s">
        <v>3319</v>
      </c>
      <c r="J11714" s="70">
        <v>0</v>
      </c>
      <c r="K11714" s="71">
        <v>724</v>
      </c>
      <c r="L11714" s="33" t="e">
        <f>HLOOKUP(B11714,#REF!,1,0)</f>
        <v>#REF!</v>
      </c>
      <c r="M11714" s="33" t="str">
        <f t="shared" ref="M11714:M11777" si="735">IF(VALUE(LEFT(C11714,5))&gt;40000,"P&amp;L","BS")</f>
        <v>P&amp;L</v>
      </c>
    </row>
    <row r="11715" spans="1:13">
      <c r="A11715" s="33" t="str">
        <f t="shared" si="732"/>
        <v>WEP - CGS</v>
      </c>
      <c r="B11715" s="33" t="str">
        <f t="shared" si="733"/>
        <v>WEP</v>
      </c>
      <c r="C11715" s="33" t="str">
        <f t="shared" si="734"/>
        <v>51020-0000</v>
      </c>
      <c r="D11715" t="s">
        <v>13010</v>
      </c>
      <c r="E11715" t="s">
        <v>3763</v>
      </c>
      <c r="F11715" t="s">
        <v>230</v>
      </c>
      <c r="G11715" t="s">
        <v>3740</v>
      </c>
      <c r="H11715" t="s">
        <v>1875</v>
      </c>
      <c r="I11715" t="s">
        <v>3345</v>
      </c>
      <c r="J11715" s="70">
        <v>0</v>
      </c>
      <c r="K11715" s="71">
        <v>4110.54</v>
      </c>
      <c r="L11715" s="33" t="e">
        <f>HLOOKUP(B11715,#REF!,1,0)</f>
        <v>#REF!</v>
      </c>
      <c r="M11715" s="33" t="str">
        <f t="shared" si="735"/>
        <v>P&amp;L</v>
      </c>
    </row>
    <row r="11716" spans="1:13">
      <c r="A11716" s="33" t="str">
        <f t="shared" si="732"/>
        <v>WEP - CGS</v>
      </c>
      <c r="B11716" s="33" t="str">
        <f t="shared" si="733"/>
        <v>WEP</v>
      </c>
      <c r="C11716" s="33" t="str">
        <f t="shared" si="734"/>
        <v>51021-0000</v>
      </c>
      <c r="D11716" t="s">
        <v>13011</v>
      </c>
      <c r="E11716" t="s">
        <v>7106</v>
      </c>
      <c r="F11716" t="s">
        <v>230</v>
      </c>
      <c r="G11716" t="s">
        <v>3740</v>
      </c>
      <c r="H11716" t="s">
        <v>1875</v>
      </c>
      <c r="I11716" t="s">
        <v>4752</v>
      </c>
      <c r="J11716" s="70">
        <v>0</v>
      </c>
      <c r="K11716" s="71">
        <v>6301.19</v>
      </c>
      <c r="L11716" s="33" t="e">
        <f>HLOOKUP(B11716,#REF!,1,0)</f>
        <v>#REF!</v>
      </c>
      <c r="M11716" s="33" t="str">
        <f t="shared" si="735"/>
        <v>P&amp;L</v>
      </c>
    </row>
    <row r="11717" spans="1:13">
      <c r="A11717" s="33" t="str">
        <f t="shared" si="732"/>
        <v>WEP - CGS</v>
      </c>
      <c r="B11717" s="33" t="str">
        <f t="shared" si="733"/>
        <v>WEP</v>
      </c>
      <c r="C11717" s="33" t="str">
        <f t="shared" si="734"/>
        <v>51024-0000</v>
      </c>
      <c r="D11717" t="s">
        <v>13012</v>
      </c>
      <c r="E11717" t="s">
        <v>3765</v>
      </c>
      <c r="F11717" t="s">
        <v>230</v>
      </c>
      <c r="G11717" t="s">
        <v>3740</v>
      </c>
      <c r="H11717" t="s">
        <v>1875</v>
      </c>
      <c r="I11717" t="s">
        <v>3766</v>
      </c>
      <c r="J11717" s="70">
        <v>0</v>
      </c>
      <c r="K11717" s="71">
        <v>337.83</v>
      </c>
      <c r="L11717" s="33" t="e">
        <f>HLOOKUP(B11717,#REF!,1,0)</f>
        <v>#REF!</v>
      </c>
      <c r="M11717" s="33" t="str">
        <f t="shared" si="735"/>
        <v>P&amp;L</v>
      </c>
    </row>
    <row r="11718" spans="1:13">
      <c r="A11718" s="33" t="str">
        <f t="shared" si="732"/>
        <v>WEP - CGS</v>
      </c>
      <c r="B11718" s="33" t="str">
        <f t="shared" si="733"/>
        <v>WEP</v>
      </c>
      <c r="C11718" s="33" t="str">
        <f t="shared" si="734"/>
        <v>51025-0000</v>
      </c>
      <c r="D11718" t="s">
        <v>13013</v>
      </c>
      <c r="E11718" t="s">
        <v>3988</v>
      </c>
      <c r="F11718" t="s">
        <v>230</v>
      </c>
      <c r="G11718" t="s">
        <v>3740</v>
      </c>
      <c r="H11718" t="s">
        <v>1875</v>
      </c>
      <c r="I11718" t="s">
        <v>3989</v>
      </c>
      <c r="J11718" s="70">
        <v>0</v>
      </c>
      <c r="K11718" s="71">
        <v>3254.84</v>
      </c>
      <c r="L11718" s="33" t="e">
        <f>HLOOKUP(B11718,#REF!,1,0)</f>
        <v>#REF!</v>
      </c>
      <c r="M11718" s="33" t="str">
        <f t="shared" si="735"/>
        <v>P&amp;L</v>
      </c>
    </row>
    <row r="11719" spans="1:13">
      <c r="A11719" s="33" t="str">
        <f t="shared" si="732"/>
        <v>WEP - CGS</v>
      </c>
      <c r="B11719" s="33" t="str">
        <f t="shared" si="733"/>
        <v>WEP</v>
      </c>
      <c r="C11719" s="33" t="str">
        <f t="shared" si="734"/>
        <v>51028-0000</v>
      </c>
      <c r="D11719" t="s">
        <v>13014</v>
      </c>
      <c r="E11719" t="s">
        <v>3736</v>
      </c>
      <c r="F11719" t="s">
        <v>230</v>
      </c>
      <c r="G11719" t="s">
        <v>3740</v>
      </c>
      <c r="H11719" t="s">
        <v>1875</v>
      </c>
      <c r="I11719" t="s">
        <v>3991</v>
      </c>
      <c r="J11719" s="70">
        <v>0</v>
      </c>
      <c r="K11719" s="71">
        <v>407</v>
      </c>
      <c r="L11719" s="33" t="e">
        <f>HLOOKUP(B11719,#REF!,1,0)</f>
        <v>#REF!</v>
      </c>
      <c r="M11719" s="33" t="str">
        <f t="shared" si="735"/>
        <v>P&amp;L</v>
      </c>
    </row>
    <row r="11720" spans="1:13">
      <c r="A11720" s="33" t="str">
        <f t="shared" si="732"/>
        <v>WEP - CGS</v>
      </c>
      <c r="B11720" s="33" t="str">
        <f t="shared" si="733"/>
        <v>WEP</v>
      </c>
      <c r="C11720" s="33" t="str">
        <f t="shared" si="734"/>
        <v>51029-0000</v>
      </c>
      <c r="D11720" t="s">
        <v>13015</v>
      </c>
      <c r="E11720" t="s">
        <v>3993</v>
      </c>
      <c r="F11720" t="s">
        <v>230</v>
      </c>
      <c r="G11720" t="s">
        <v>3740</v>
      </c>
      <c r="H11720" t="s">
        <v>1875</v>
      </c>
      <c r="I11720" t="s">
        <v>3994</v>
      </c>
      <c r="J11720" s="70">
        <v>0</v>
      </c>
      <c r="K11720" s="71">
        <v>3349.72</v>
      </c>
      <c r="L11720" s="33" t="e">
        <f>HLOOKUP(B11720,#REF!,1,0)</f>
        <v>#REF!</v>
      </c>
      <c r="M11720" s="33" t="str">
        <f t="shared" si="735"/>
        <v>P&amp;L</v>
      </c>
    </row>
    <row r="11721" spans="1:13">
      <c r="A11721" s="33" t="str">
        <f t="shared" si="732"/>
        <v>WEP - CGS</v>
      </c>
      <c r="B11721" s="33" t="str">
        <f t="shared" si="733"/>
        <v>WEP</v>
      </c>
      <c r="C11721" s="33" t="str">
        <f t="shared" si="734"/>
        <v>52001-0000</v>
      </c>
      <c r="D11721" t="s">
        <v>13016</v>
      </c>
      <c r="E11721" t="s">
        <v>3768</v>
      </c>
      <c r="F11721" t="s">
        <v>230</v>
      </c>
      <c r="G11721" t="s">
        <v>3769</v>
      </c>
      <c r="H11721" t="s">
        <v>1875</v>
      </c>
      <c r="I11721" t="s">
        <v>3770</v>
      </c>
      <c r="J11721" s="70">
        <v>0</v>
      </c>
      <c r="K11721" s="71">
        <v>16614.66</v>
      </c>
      <c r="L11721" s="33" t="e">
        <f>HLOOKUP(B11721,#REF!,1,0)</f>
        <v>#REF!</v>
      </c>
      <c r="M11721" s="33" t="str">
        <f t="shared" si="735"/>
        <v>P&amp;L</v>
      </c>
    </row>
    <row r="11722" spans="1:13">
      <c r="A11722" s="33" t="str">
        <f t="shared" si="732"/>
        <v>WEP - CGS</v>
      </c>
      <c r="B11722" s="33" t="str">
        <f t="shared" si="733"/>
        <v>WEP</v>
      </c>
      <c r="C11722" s="33" t="str">
        <f t="shared" si="734"/>
        <v>52002-0000</v>
      </c>
      <c r="D11722" t="s">
        <v>13017</v>
      </c>
      <c r="E11722" t="s">
        <v>3997</v>
      </c>
      <c r="F11722" t="s">
        <v>230</v>
      </c>
      <c r="G11722" t="s">
        <v>3769</v>
      </c>
      <c r="H11722" t="s">
        <v>1875</v>
      </c>
      <c r="I11722" t="s">
        <v>3998</v>
      </c>
      <c r="J11722" s="70">
        <v>0</v>
      </c>
      <c r="K11722" s="71">
        <v>822.72</v>
      </c>
      <c r="L11722" s="33" t="e">
        <f>HLOOKUP(B11722,#REF!,1,0)</f>
        <v>#REF!</v>
      </c>
      <c r="M11722" s="33" t="str">
        <f t="shared" si="735"/>
        <v>P&amp;L</v>
      </c>
    </row>
    <row r="11723" spans="1:13">
      <c r="A11723" s="33" t="str">
        <f t="shared" si="732"/>
        <v>WEP - CGS</v>
      </c>
      <c r="B11723" s="33" t="str">
        <f t="shared" si="733"/>
        <v>WEP</v>
      </c>
      <c r="C11723" s="33" t="str">
        <f t="shared" si="734"/>
        <v>53001-0000</v>
      </c>
      <c r="D11723" t="s">
        <v>13018</v>
      </c>
      <c r="E11723" t="s">
        <v>3781</v>
      </c>
      <c r="F11723" t="s">
        <v>230</v>
      </c>
      <c r="G11723" t="s">
        <v>3160</v>
      </c>
      <c r="H11723" t="s">
        <v>1875</v>
      </c>
      <c r="I11723" t="s">
        <v>3782</v>
      </c>
      <c r="J11723" s="70">
        <v>0</v>
      </c>
      <c r="K11723" s="71">
        <v>1347.18</v>
      </c>
      <c r="L11723" s="33" t="e">
        <f>HLOOKUP(B11723,#REF!,1,0)</f>
        <v>#REF!</v>
      </c>
      <c r="M11723" s="33" t="str">
        <f t="shared" si="735"/>
        <v>P&amp;L</v>
      </c>
    </row>
    <row r="11724" spans="1:13">
      <c r="A11724" s="33" t="str">
        <f t="shared" si="732"/>
        <v>WEP - CGS</v>
      </c>
      <c r="B11724" s="33" t="str">
        <f t="shared" si="733"/>
        <v>WEP</v>
      </c>
      <c r="C11724" s="33" t="str">
        <f t="shared" si="734"/>
        <v>53002-0000</v>
      </c>
      <c r="D11724" t="s">
        <v>13019</v>
      </c>
      <c r="E11724" t="s">
        <v>3784</v>
      </c>
      <c r="F11724" t="s">
        <v>230</v>
      </c>
      <c r="G11724" t="s">
        <v>3160</v>
      </c>
      <c r="H11724" t="s">
        <v>1875</v>
      </c>
      <c r="I11724" t="s">
        <v>3785</v>
      </c>
      <c r="J11724" s="70">
        <v>0</v>
      </c>
      <c r="K11724" s="71">
        <v>5660.35</v>
      </c>
      <c r="L11724" s="33" t="e">
        <f>HLOOKUP(B11724,#REF!,1,0)</f>
        <v>#REF!</v>
      </c>
      <c r="M11724" s="33" t="str">
        <f t="shared" si="735"/>
        <v>P&amp;L</v>
      </c>
    </row>
    <row r="11725" spans="1:13">
      <c r="A11725" s="33" t="str">
        <f t="shared" si="732"/>
        <v>WEP - CGS</v>
      </c>
      <c r="B11725" s="33" t="str">
        <f t="shared" si="733"/>
        <v>WEP</v>
      </c>
      <c r="C11725" s="33" t="str">
        <f t="shared" si="734"/>
        <v>53003-0000</v>
      </c>
      <c r="D11725" t="s">
        <v>13020</v>
      </c>
      <c r="E11725" t="s">
        <v>3787</v>
      </c>
      <c r="F11725" t="s">
        <v>230</v>
      </c>
      <c r="G11725" t="s">
        <v>3160</v>
      </c>
      <c r="H11725" t="s">
        <v>1875</v>
      </c>
      <c r="I11725" t="s">
        <v>3788</v>
      </c>
      <c r="J11725" s="70">
        <v>0</v>
      </c>
      <c r="K11725" s="71">
        <v>9038.67</v>
      </c>
      <c r="L11725" s="33" t="e">
        <f>HLOOKUP(B11725,#REF!,1,0)</f>
        <v>#REF!</v>
      </c>
      <c r="M11725" s="33" t="str">
        <f t="shared" si="735"/>
        <v>P&amp;L</v>
      </c>
    </row>
    <row r="11726" spans="1:13">
      <c r="A11726" s="33" t="str">
        <f t="shared" si="732"/>
        <v>WEP - CGS</v>
      </c>
      <c r="B11726" s="33" t="str">
        <f t="shared" si="733"/>
        <v>WEP</v>
      </c>
      <c r="C11726" s="33" t="str">
        <f t="shared" si="734"/>
        <v>53004-0000</v>
      </c>
      <c r="D11726" t="s">
        <v>13021</v>
      </c>
      <c r="E11726" t="s">
        <v>3790</v>
      </c>
      <c r="F11726" t="s">
        <v>230</v>
      </c>
      <c r="G11726" t="s">
        <v>3160</v>
      </c>
      <c r="H11726" t="s">
        <v>1875</v>
      </c>
      <c r="I11726" t="s">
        <v>3791</v>
      </c>
      <c r="J11726" s="70">
        <v>0</v>
      </c>
      <c r="K11726" s="71">
        <v>2834.82</v>
      </c>
      <c r="L11726" s="33" t="e">
        <f>HLOOKUP(B11726,#REF!,1,0)</f>
        <v>#REF!</v>
      </c>
      <c r="M11726" s="33" t="str">
        <f t="shared" si="735"/>
        <v>P&amp;L</v>
      </c>
    </row>
    <row r="11727" spans="1:13">
      <c r="A11727" s="33" t="str">
        <f t="shared" si="732"/>
        <v>WEP - CGS</v>
      </c>
      <c r="B11727" s="33" t="str">
        <f t="shared" si="733"/>
        <v>WEP</v>
      </c>
      <c r="C11727" s="33" t="str">
        <f t="shared" si="734"/>
        <v>53005-0000</v>
      </c>
      <c r="D11727" t="s">
        <v>13022</v>
      </c>
      <c r="E11727" t="s">
        <v>3793</v>
      </c>
      <c r="F11727" t="s">
        <v>230</v>
      </c>
      <c r="G11727" t="s">
        <v>3160</v>
      </c>
      <c r="H11727" t="s">
        <v>1875</v>
      </c>
      <c r="I11727" t="s">
        <v>3794</v>
      </c>
      <c r="J11727" s="70">
        <v>0</v>
      </c>
      <c r="K11727" s="71">
        <v>4312.87</v>
      </c>
      <c r="L11727" s="33" t="e">
        <f>HLOOKUP(B11727,#REF!,1,0)</f>
        <v>#REF!</v>
      </c>
      <c r="M11727" s="33" t="str">
        <f t="shared" si="735"/>
        <v>P&amp;L</v>
      </c>
    </row>
    <row r="11728" spans="1:13">
      <c r="A11728" s="33" t="str">
        <f t="shared" si="732"/>
        <v>WEP - CGS</v>
      </c>
      <c r="B11728" s="33" t="str">
        <f t="shared" si="733"/>
        <v>WEP</v>
      </c>
      <c r="C11728" s="33" t="str">
        <f t="shared" si="734"/>
        <v>53006-0000</v>
      </c>
      <c r="D11728" t="s">
        <v>13023</v>
      </c>
      <c r="E11728" t="s">
        <v>3796</v>
      </c>
      <c r="F11728" t="s">
        <v>230</v>
      </c>
      <c r="G11728" t="s">
        <v>3160</v>
      </c>
      <c r="H11728" t="s">
        <v>1875</v>
      </c>
      <c r="I11728" t="s">
        <v>3797</v>
      </c>
      <c r="J11728" s="70">
        <v>0</v>
      </c>
      <c r="K11728" s="71">
        <v>23053.21</v>
      </c>
      <c r="L11728" s="33" t="e">
        <f>HLOOKUP(B11728,#REF!,1,0)</f>
        <v>#REF!</v>
      </c>
      <c r="M11728" s="33" t="str">
        <f t="shared" si="735"/>
        <v>P&amp;L</v>
      </c>
    </row>
    <row r="11729" spans="1:13">
      <c r="A11729" s="33" t="str">
        <f t="shared" si="732"/>
        <v>WEP - CGS</v>
      </c>
      <c r="B11729" s="33" t="str">
        <f t="shared" si="733"/>
        <v>WEP</v>
      </c>
      <c r="C11729" s="33" t="str">
        <f t="shared" si="734"/>
        <v>54001-0000</v>
      </c>
      <c r="D11729" t="s">
        <v>13024</v>
      </c>
      <c r="E11729" t="s">
        <v>4008</v>
      </c>
      <c r="F11729" t="s">
        <v>230</v>
      </c>
      <c r="G11729" t="s">
        <v>3800</v>
      </c>
      <c r="H11729" t="s">
        <v>1875</v>
      </c>
      <c r="I11729" t="s">
        <v>4009</v>
      </c>
      <c r="J11729" s="70">
        <v>0</v>
      </c>
      <c r="K11729" s="71">
        <v>10781.52</v>
      </c>
      <c r="L11729" s="33" t="e">
        <f>HLOOKUP(B11729,#REF!,1,0)</f>
        <v>#REF!</v>
      </c>
      <c r="M11729" s="33" t="str">
        <f t="shared" si="735"/>
        <v>P&amp;L</v>
      </c>
    </row>
    <row r="11730" spans="1:13">
      <c r="A11730" s="33" t="str">
        <f t="shared" si="732"/>
        <v>WEP - CGS</v>
      </c>
      <c r="B11730" s="33" t="str">
        <f t="shared" si="733"/>
        <v>WEP</v>
      </c>
      <c r="C11730" s="33" t="str">
        <f t="shared" si="734"/>
        <v>54002-0000</v>
      </c>
      <c r="D11730" t="s">
        <v>13025</v>
      </c>
      <c r="E11730" t="s">
        <v>3799</v>
      </c>
      <c r="F11730" t="s">
        <v>230</v>
      </c>
      <c r="G11730" t="s">
        <v>3800</v>
      </c>
      <c r="H11730" t="s">
        <v>1875</v>
      </c>
      <c r="I11730" t="s">
        <v>3801</v>
      </c>
      <c r="J11730" s="70">
        <v>0</v>
      </c>
      <c r="K11730" s="71">
        <v>1850</v>
      </c>
      <c r="L11730" s="33" t="e">
        <f>HLOOKUP(B11730,#REF!,1,0)</f>
        <v>#REF!</v>
      </c>
      <c r="M11730" s="33" t="str">
        <f t="shared" si="735"/>
        <v>P&amp;L</v>
      </c>
    </row>
    <row r="11731" spans="1:13">
      <c r="A11731" s="33" t="str">
        <f t="shared" si="732"/>
        <v>WEP - CGS</v>
      </c>
      <c r="B11731" s="33" t="str">
        <f t="shared" si="733"/>
        <v>WEP</v>
      </c>
      <c r="C11731" s="33" t="str">
        <f t="shared" si="734"/>
        <v>54003-0000</v>
      </c>
      <c r="D11731" t="s">
        <v>13026</v>
      </c>
      <c r="E11731" t="s">
        <v>3803</v>
      </c>
      <c r="F11731" t="s">
        <v>230</v>
      </c>
      <c r="G11731" t="s">
        <v>3800</v>
      </c>
      <c r="H11731" t="s">
        <v>1875</v>
      </c>
      <c r="I11731" t="s">
        <v>3804</v>
      </c>
      <c r="J11731" s="70">
        <v>0</v>
      </c>
      <c r="K11731" s="71">
        <v>1713.82</v>
      </c>
      <c r="L11731" s="33" t="e">
        <f>HLOOKUP(B11731,#REF!,1,0)</f>
        <v>#REF!</v>
      </c>
      <c r="M11731" s="33" t="str">
        <f t="shared" si="735"/>
        <v>P&amp;L</v>
      </c>
    </row>
    <row r="11732" spans="1:13">
      <c r="A11732" s="33" t="str">
        <f t="shared" si="732"/>
        <v>WEP - CGS</v>
      </c>
      <c r="B11732" s="33" t="str">
        <f t="shared" si="733"/>
        <v>WEP</v>
      </c>
      <c r="C11732" s="33" t="str">
        <f t="shared" si="734"/>
        <v>54004-0000</v>
      </c>
      <c r="D11732" t="s">
        <v>13027</v>
      </c>
      <c r="E11732" t="s">
        <v>3806</v>
      </c>
      <c r="F11732" t="s">
        <v>230</v>
      </c>
      <c r="G11732" t="s">
        <v>3800</v>
      </c>
      <c r="H11732" t="s">
        <v>1875</v>
      </c>
      <c r="I11732" t="s">
        <v>3807</v>
      </c>
      <c r="J11732" s="70">
        <v>0</v>
      </c>
      <c r="K11732" s="71">
        <v>35404.27</v>
      </c>
      <c r="L11732" s="33" t="e">
        <f>HLOOKUP(B11732,#REF!,1,0)</f>
        <v>#REF!</v>
      </c>
      <c r="M11732" s="33" t="str">
        <f t="shared" si="735"/>
        <v>P&amp;L</v>
      </c>
    </row>
    <row r="11733" spans="1:13">
      <c r="A11733" s="33" t="str">
        <f t="shared" si="732"/>
        <v>WEP - CGS</v>
      </c>
      <c r="B11733" s="33" t="str">
        <f t="shared" si="733"/>
        <v>WEP</v>
      </c>
      <c r="C11733" s="33" t="str">
        <f t="shared" si="734"/>
        <v>54006-0000</v>
      </c>
      <c r="D11733" t="s">
        <v>13028</v>
      </c>
      <c r="E11733" t="s">
        <v>3812</v>
      </c>
      <c r="F11733" t="s">
        <v>230</v>
      </c>
      <c r="G11733" t="s">
        <v>3800</v>
      </c>
      <c r="H11733" t="s">
        <v>1875</v>
      </c>
      <c r="I11733" t="s">
        <v>3003</v>
      </c>
      <c r="J11733" s="70">
        <v>0</v>
      </c>
      <c r="K11733" s="71">
        <v>8899.66</v>
      </c>
      <c r="L11733" s="33" t="e">
        <f>HLOOKUP(B11733,#REF!,1,0)</f>
        <v>#REF!</v>
      </c>
      <c r="M11733" s="33" t="str">
        <f t="shared" si="735"/>
        <v>P&amp;L</v>
      </c>
    </row>
    <row r="11734" spans="1:13">
      <c r="A11734" s="33" t="str">
        <f t="shared" si="732"/>
        <v>WEP - CGS</v>
      </c>
      <c r="B11734" s="33" t="str">
        <f t="shared" si="733"/>
        <v>WEP</v>
      </c>
      <c r="C11734" s="33" t="str">
        <f t="shared" si="734"/>
        <v>54007-0000</v>
      </c>
      <c r="D11734" t="s">
        <v>13029</v>
      </c>
      <c r="E11734" t="s">
        <v>3814</v>
      </c>
      <c r="F11734" t="s">
        <v>230</v>
      </c>
      <c r="G11734" t="s">
        <v>3800</v>
      </c>
      <c r="H11734" t="s">
        <v>1875</v>
      </c>
      <c r="I11734" t="s">
        <v>3815</v>
      </c>
      <c r="J11734" s="70">
        <v>0</v>
      </c>
      <c r="K11734" s="71">
        <v>31643.07</v>
      </c>
      <c r="L11734" s="33" t="e">
        <f>HLOOKUP(B11734,#REF!,1,0)</f>
        <v>#REF!</v>
      </c>
      <c r="M11734" s="33" t="str">
        <f t="shared" si="735"/>
        <v>P&amp;L</v>
      </c>
    </row>
    <row r="11735" spans="1:13">
      <c r="A11735" s="33" t="str">
        <f t="shared" si="732"/>
        <v>WEP - Capital-Remodel</v>
      </c>
      <c r="B11735" s="33" t="str">
        <f t="shared" si="733"/>
        <v>WEP</v>
      </c>
      <c r="C11735" s="33" t="str">
        <f t="shared" si="734"/>
        <v>55000-0000</v>
      </c>
      <c r="D11735" t="s">
        <v>13030</v>
      </c>
      <c r="E11735" t="s">
        <v>4020</v>
      </c>
      <c r="F11735" t="s">
        <v>230</v>
      </c>
      <c r="G11735" t="s">
        <v>3818</v>
      </c>
      <c r="H11735" t="s">
        <v>4021</v>
      </c>
      <c r="I11735" t="s">
        <v>4022</v>
      </c>
      <c r="J11735" s="70">
        <v>0</v>
      </c>
      <c r="K11735" s="71">
        <v>-499883.05</v>
      </c>
      <c r="L11735" s="33" t="e">
        <f>HLOOKUP(B11735,#REF!,1,0)</f>
        <v>#REF!</v>
      </c>
      <c r="M11735" s="33" t="str">
        <f t="shared" si="735"/>
        <v>P&amp;L</v>
      </c>
    </row>
    <row r="11736" spans="1:13">
      <c r="A11736" s="33" t="str">
        <f t="shared" si="732"/>
        <v>WEP - PM Expenses</v>
      </c>
      <c r="B11736" s="33" t="str">
        <f t="shared" si="733"/>
        <v>WEP</v>
      </c>
      <c r="C11736" s="33" t="str">
        <f t="shared" si="734"/>
        <v>55502-0000</v>
      </c>
      <c r="D11736" t="s">
        <v>13031</v>
      </c>
      <c r="E11736" t="s">
        <v>3822</v>
      </c>
      <c r="F11736" t="s">
        <v>230</v>
      </c>
      <c r="G11736" t="s">
        <v>3818</v>
      </c>
      <c r="H11736" t="s">
        <v>3819</v>
      </c>
      <c r="I11736" t="s">
        <v>3823</v>
      </c>
      <c r="J11736" s="70">
        <v>0</v>
      </c>
      <c r="K11736" s="71">
        <v>69.98</v>
      </c>
      <c r="L11736" s="33" t="e">
        <f>HLOOKUP(B11736,#REF!,1,0)</f>
        <v>#REF!</v>
      </c>
      <c r="M11736" s="33" t="str">
        <f t="shared" si="735"/>
        <v>P&amp;L</v>
      </c>
    </row>
    <row r="11737" spans="1:13">
      <c r="A11737" s="33" t="str">
        <f t="shared" si="732"/>
        <v>WEP - PM Expenses</v>
      </c>
      <c r="B11737" s="33" t="str">
        <f t="shared" si="733"/>
        <v>WEP</v>
      </c>
      <c r="C11737" s="33" t="str">
        <f t="shared" si="734"/>
        <v>55504-0000</v>
      </c>
      <c r="D11737" t="s">
        <v>13032</v>
      </c>
      <c r="E11737" t="s">
        <v>4027</v>
      </c>
      <c r="F11737" t="s">
        <v>230</v>
      </c>
      <c r="G11737" t="s">
        <v>3818</v>
      </c>
      <c r="H11737" t="s">
        <v>3819</v>
      </c>
      <c r="I11737" t="s">
        <v>4028</v>
      </c>
      <c r="J11737" s="70">
        <v>0</v>
      </c>
      <c r="K11737" s="71">
        <v>378.88</v>
      </c>
      <c r="L11737" s="33" t="e">
        <f>HLOOKUP(B11737,#REF!,1,0)</f>
        <v>#REF!</v>
      </c>
      <c r="M11737" s="33" t="str">
        <f t="shared" si="735"/>
        <v>P&amp;L</v>
      </c>
    </row>
    <row r="11738" spans="1:13">
      <c r="A11738" s="33" t="str">
        <f t="shared" si="732"/>
        <v>WEP - PM Expenses</v>
      </c>
      <c r="B11738" s="33" t="str">
        <f t="shared" si="733"/>
        <v>WEP</v>
      </c>
      <c r="C11738" s="33" t="str">
        <f t="shared" si="734"/>
        <v>55505-0000</v>
      </c>
      <c r="D11738" t="s">
        <v>13033</v>
      </c>
      <c r="E11738" t="s">
        <v>3828</v>
      </c>
      <c r="F11738" t="s">
        <v>230</v>
      </c>
      <c r="G11738" t="s">
        <v>3818</v>
      </c>
      <c r="H11738" t="s">
        <v>3819</v>
      </c>
      <c r="I11738" t="s">
        <v>3829</v>
      </c>
      <c r="J11738" s="70">
        <v>0</v>
      </c>
      <c r="K11738" s="71">
        <v>2043.36</v>
      </c>
      <c r="L11738" s="33" t="e">
        <f>HLOOKUP(B11738,#REF!,1,0)</f>
        <v>#REF!</v>
      </c>
      <c r="M11738" s="33" t="str">
        <f t="shared" si="735"/>
        <v>P&amp;L</v>
      </c>
    </row>
    <row r="11739" spans="1:13">
      <c r="A11739" s="33" t="str">
        <f t="shared" si="732"/>
        <v>WEP - PM Expenses</v>
      </c>
      <c r="B11739" s="33" t="str">
        <f t="shared" si="733"/>
        <v>WEP</v>
      </c>
      <c r="C11739" s="33" t="str">
        <f t="shared" si="734"/>
        <v>55506-0000</v>
      </c>
      <c r="D11739" t="s">
        <v>13034</v>
      </c>
      <c r="E11739" t="s">
        <v>3831</v>
      </c>
      <c r="F11739" t="s">
        <v>230</v>
      </c>
      <c r="G11739" t="s">
        <v>3818</v>
      </c>
      <c r="H11739" t="s">
        <v>3819</v>
      </c>
      <c r="I11739" t="s">
        <v>3832</v>
      </c>
      <c r="J11739" s="70">
        <v>0</v>
      </c>
      <c r="K11739" s="71">
        <v>37780.89</v>
      </c>
      <c r="L11739" s="33" t="e">
        <f>HLOOKUP(B11739,#REF!,1,0)</f>
        <v>#REF!</v>
      </c>
      <c r="M11739" s="33" t="str">
        <f t="shared" si="735"/>
        <v>P&amp;L</v>
      </c>
    </row>
    <row r="11740" spans="1:13">
      <c r="A11740" s="33" t="str">
        <f t="shared" si="732"/>
        <v>WEP - CGS</v>
      </c>
      <c r="B11740" s="33" t="str">
        <f t="shared" si="733"/>
        <v>WEP</v>
      </c>
      <c r="C11740" s="33" t="str">
        <f t="shared" si="734"/>
        <v>60002-0000</v>
      </c>
      <c r="D11740" t="s">
        <v>13035</v>
      </c>
      <c r="E11740" t="s">
        <v>3837</v>
      </c>
      <c r="F11740" t="s">
        <v>230</v>
      </c>
      <c r="G11740" t="s">
        <v>3838</v>
      </c>
      <c r="H11740" t="s">
        <v>1875</v>
      </c>
      <c r="I11740" t="s">
        <v>3839</v>
      </c>
      <c r="J11740" s="70">
        <v>0</v>
      </c>
      <c r="K11740" s="71">
        <v>845.8</v>
      </c>
      <c r="L11740" s="33" t="e">
        <f>HLOOKUP(B11740,#REF!,1,0)</f>
        <v>#REF!</v>
      </c>
      <c r="M11740" s="33" t="str">
        <f t="shared" si="735"/>
        <v>P&amp;L</v>
      </c>
    </row>
    <row r="11741" spans="1:13">
      <c r="A11741" s="33" t="str">
        <f t="shared" si="732"/>
        <v>WEP - CGS</v>
      </c>
      <c r="B11741" s="33" t="str">
        <f t="shared" si="733"/>
        <v>WEP</v>
      </c>
      <c r="C11741" s="33" t="str">
        <f t="shared" si="734"/>
        <v>60005-0000</v>
      </c>
      <c r="D11741" t="s">
        <v>13036</v>
      </c>
      <c r="E11741" t="s">
        <v>3841</v>
      </c>
      <c r="F11741" t="s">
        <v>230</v>
      </c>
      <c r="G11741" t="s">
        <v>3838</v>
      </c>
      <c r="H11741" t="s">
        <v>1875</v>
      </c>
      <c r="I11741" t="s">
        <v>3842</v>
      </c>
      <c r="J11741" s="70">
        <v>0</v>
      </c>
      <c r="K11741" s="71">
        <v>28808</v>
      </c>
      <c r="L11741" s="33" t="e">
        <f>HLOOKUP(B11741,#REF!,1,0)</f>
        <v>#REF!</v>
      </c>
      <c r="M11741" s="33" t="str">
        <f t="shared" si="735"/>
        <v>P&amp;L</v>
      </c>
    </row>
    <row r="11742" spans="1:13">
      <c r="A11742" s="33" t="str">
        <f t="shared" si="732"/>
        <v>WEP - Interest Expense</v>
      </c>
      <c r="B11742" s="33" t="str">
        <f t="shared" si="733"/>
        <v>WEP</v>
      </c>
      <c r="C11742" s="33" t="str">
        <f t="shared" si="734"/>
        <v>60006-0000</v>
      </c>
      <c r="D11742" t="s">
        <v>13037</v>
      </c>
      <c r="E11742" t="s">
        <v>3325</v>
      </c>
      <c r="F11742" t="s">
        <v>230</v>
      </c>
      <c r="G11742" t="s">
        <v>3844</v>
      </c>
      <c r="H11742" t="s">
        <v>3327</v>
      </c>
      <c r="I11742" t="s">
        <v>3328</v>
      </c>
      <c r="J11742" s="70">
        <v>0</v>
      </c>
      <c r="K11742" s="71">
        <v>384814.07</v>
      </c>
      <c r="L11742" s="33" t="e">
        <f>HLOOKUP(B11742,#REF!,1,0)</f>
        <v>#REF!</v>
      </c>
      <c r="M11742" s="33" t="str">
        <f t="shared" si="735"/>
        <v>P&amp;L</v>
      </c>
    </row>
    <row r="11743" spans="1:13">
      <c r="A11743" s="33" t="str">
        <f t="shared" si="732"/>
        <v>WEP - CGS</v>
      </c>
      <c r="B11743" s="33" t="str">
        <f t="shared" si="733"/>
        <v>WEP</v>
      </c>
      <c r="C11743" s="33" t="str">
        <f t="shared" si="734"/>
        <v>60008-0000</v>
      </c>
      <c r="D11743" t="s">
        <v>13038</v>
      </c>
      <c r="E11743" t="s">
        <v>3849</v>
      </c>
      <c r="F11743" t="s">
        <v>230</v>
      </c>
      <c r="G11743" t="s">
        <v>3838</v>
      </c>
      <c r="H11743" t="s">
        <v>1875</v>
      </c>
      <c r="I11743" t="s">
        <v>3850</v>
      </c>
      <c r="J11743" s="70">
        <v>0</v>
      </c>
      <c r="K11743" s="71">
        <v>764</v>
      </c>
      <c r="L11743" s="33" t="e">
        <f>HLOOKUP(B11743,#REF!,1,0)</f>
        <v>#REF!</v>
      </c>
      <c r="M11743" s="33" t="str">
        <f t="shared" si="735"/>
        <v>P&amp;L</v>
      </c>
    </row>
    <row r="11744" spans="1:13">
      <c r="A11744" s="33" t="str">
        <f t="shared" si="732"/>
        <v>WEP - CGS</v>
      </c>
      <c r="B11744" s="33" t="str">
        <f t="shared" si="733"/>
        <v>WEP</v>
      </c>
      <c r="C11744" s="33" t="str">
        <f t="shared" si="734"/>
        <v>60012-0000</v>
      </c>
      <c r="D11744" t="s">
        <v>13039</v>
      </c>
      <c r="E11744" t="s">
        <v>3852</v>
      </c>
      <c r="F11744" t="s">
        <v>230</v>
      </c>
      <c r="G11744" t="s">
        <v>3838</v>
      </c>
      <c r="H11744" t="s">
        <v>1875</v>
      </c>
      <c r="I11744" t="s">
        <v>3853</v>
      </c>
      <c r="J11744" s="70">
        <v>0</v>
      </c>
      <c r="K11744" s="71">
        <v>-20124.22</v>
      </c>
      <c r="L11744" s="33" t="e">
        <f>HLOOKUP(B11744,#REF!,1,0)</f>
        <v>#REF!</v>
      </c>
      <c r="M11744" s="33" t="str">
        <f t="shared" si="735"/>
        <v>P&amp;L</v>
      </c>
    </row>
    <row r="11745" spans="1:13">
      <c r="A11745" s="33" t="str">
        <f t="shared" si="732"/>
        <v>WEP - CGS</v>
      </c>
      <c r="B11745" s="33" t="str">
        <f t="shared" si="733"/>
        <v>WEP</v>
      </c>
      <c r="C11745" s="33" t="str">
        <f t="shared" si="734"/>
        <v>60015-0000</v>
      </c>
      <c r="D11745" t="s">
        <v>13040</v>
      </c>
      <c r="E11745" t="s">
        <v>3858</v>
      </c>
      <c r="F11745" t="s">
        <v>230</v>
      </c>
      <c r="G11745" t="s">
        <v>3838</v>
      </c>
      <c r="H11745" t="s">
        <v>1875</v>
      </c>
      <c r="I11745" t="s">
        <v>3859</v>
      </c>
      <c r="J11745" s="70">
        <v>0</v>
      </c>
      <c r="K11745" s="71">
        <v>784.69</v>
      </c>
      <c r="L11745" s="33" t="e">
        <f>HLOOKUP(B11745,#REF!,1,0)</f>
        <v>#REF!</v>
      </c>
      <c r="M11745" s="33" t="str">
        <f t="shared" si="735"/>
        <v>P&amp;L</v>
      </c>
    </row>
    <row r="11746" spans="1:13">
      <c r="A11746" s="33" t="str">
        <f t="shared" si="732"/>
        <v>WEP - Other Expenses</v>
      </c>
      <c r="B11746" s="33" t="str">
        <f t="shared" si="733"/>
        <v>WEP</v>
      </c>
      <c r="C11746" s="33" t="str">
        <f t="shared" si="734"/>
        <v>61018-0000</v>
      </c>
      <c r="D11746" t="s">
        <v>13041</v>
      </c>
      <c r="E11746" t="s">
        <v>3864</v>
      </c>
      <c r="F11746" t="s">
        <v>230</v>
      </c>
      <c r="G11746" t="s">
        <v>3838</v>
      </c>
      <c r="H11746" t="s">
        <v>3865</v>
      </c>
      <c r="I11746" t="s">
        <v>3866</v>
      </c>
      <c r="J11746" s="70">
        <v>0</v>
      </c>
      <c r="K11746" s="71">
        <v>288042.23</v>
      </c>
      <c r="L11746" s="33" t="e">
        <f>HLOOKUP(B11746,#REF!,1,0)</f>
        <v>#REF!</v>
      </c>
      <c r="M11746" s="33" t="str">
        <f t="shared" si="735"/>
        <v>P&amp;L</v>
      </c>
    </row>
    <row r="11747" spans="1:13">
      <c r="A11747" s="33" t="str">
        <f t="shared" si="732"/>
        <v>WEP - Other Income/Expense</v>
      </c>
      <c r="B11747" s="33" t="str">
        <f t="shared" si="733"/>
        <v>WEP</v>
      </c>
      <c r="C11747" s="33" t="str">
        <f t="shared" si="734"/>
        <v>61022-0000</v>
      </c>
      <c r="D11747" t="s">
        <v>13042</v>
      </c>
      <c r="E11747" t="s">
        <v>4286</v>
      </c>
      <c r="F11747" t="s">
        <v>230</v>
      </c>
      <c r="G11747" t="s">
        <v>3838</v>
      </c>
      <c r="H11747" t="s">
        <v>3300</v>
      </c>
      <c r="I11747" t="s">
        <v>4287</v>
      </c>
      <c r="J11747" s="70">
        <v>0</v>
      </c>
      <c r="K11747" s="71">
        <v>7757.58</v>
      </c>
      <c r="L11747" s="33" t="e">
        <f>HLOOKUP(B11747,#REF!,1,0)</f>
        <v>#REF!</v>
      </c>
      <c r="M11747" s="33" t="str">
        <f t="shared" si="735"/>
        <v>P&amp;L</v>
      </c>
    </row>
    <row r="11748" spans="1:13">
      <c r="A11748" s="33" t="str">
        <f t="shared" si="732"/>
        <v>WEP - CGS</v>
      </c>
      <c r="B11748" s="33" t="str">
        <f t="shared" si="733"/>
        <v>WEP</v>
      </c>
      <c r="C11748" s="33" t="str">
        <f t="shared" si="734"/>
        <v>61023-0000</v>
      </c>
      <c r="D11748" t="s">
        <v>13043</v>
      </c>
      <c r="E11748" t="s">
        <v>3868</v>
      </c>
      <c r="F11748" t="s">
        <v>230</v>
      </c>
      <c r="G11748" t="s">
        <v>3838</v>
      </c>
      <c r="H11748" t="s">
        <v>1875</v>
      </c>
      <c r="I11748" t="s">
        <v>1876</v>
      </c>
      <c r="J11748" s="70">
        <v>0</v>
      </c>
      <c r="K11748" s="71">
        <v>23527.75</v>
      </c>
      <c r="L11748" s="33" t="e">
        <f>HLOOKUP(B11748,#REF!,1,0)</f>
        <v>#REF!</v>
      </c>
      <c r="M11748" s="33" t="str">
        <f t="shared" si="735"/>
        <v>P&amp;L</v>
      </c>
    </row>
    <row r="11749" spans="1:13">
      <c r="A11749" s="33" t="str">
        <f t="shared" si="732"/>
        <v>WES - AP-Accr Exp</v>
      </c>
      <c r="B11749" s="33" t="str">
        <f t="shared" si="733"/>
        <v>WES</v>
      </c>
      <c r="C11749" s="33" t="str">
        <f t="shared" si="734"/>
        <v>20001-0000</v>
      </c>
      <c r="D11749" t="s">
        <v>13044</v>
      </c>
      <c r="E11749" t="s">
        <v>96</v>
      </c>
      <c r="F11749" t="s">
        <v>230</v>
      </c>
      <c r="G11749" t="s">
        <v>97</v>
      </c>
      <c r="H11749" t="s">
        <v>98</v>
      </c>
      <c r="I11749" t="s">
        <v>99</v>
      </c>
      <c r="J11749" s="70">
        <v>440</v>
      </c>
      <c r="K11749" s="71">
        <v>0</v>
      </c>
      <c r="L11749" s="33" t="e">
        <f>HLOOKUP(B11749,#REF!,1,0)</f>
        <v>#REF!</v>
      </c>
      <c r="M11749" s="33" t="str">
        <f t="shared" si="735"/>
        <v>BS</v>
      </c>
    </row>
    <row r="11750" spans="1:13">
      <c r="A11750" s="33" t="str">
        <f t="shared" si="732"/>
        <v>WES - Revenue</v>
      </c>
      <c r="B11750" s="33" t="str">
        <f t="shared" si="733"/>
        <v>WES</v>
      </c>
      <c r="C11750" s="33" t="str">
        <f t="shared" si="734"/>
        <v>40110-0002</v>
      </c>
      <c r="D11750" t="s">
        <v>13045</v>
      </c>
      <c r="E11750" t="s">
        <v>13046</v>
      </c>
      <c r="F11750" t="s">
        <v>230</v>
      </c>
      <c r="G11750" t="s">
        <v>3684</v>
      </c>
      <c r="H11750" t="s">
        <v>2871</v>
      </c>
      <c r="I11750" t="s">
        <v>3685</v>
      </c>
      <c r="J11750" s="70">
        <v>-5250</v>
      </c>
      <c r="K11750" s="71">
        <v>-52500</v>
      </c>
      <c r="L11750" s="33" t="e">
        <f>HLOOKUP(B11750,#REF!,1,0)</f>
        <v>#REF!</v>
      </c>
      <c r="M11750" s="33" t="str">
        <f t="shared" si="735"/>
        <v>P&amp;L</v>
      </c>
    </row>
    <row r="11751" spans="1:13">
      <c r="A11751" s="33" t="str">
        <f t="shared" si="732"/>
        <v>WES - Revenue</v>
      </c>
      <c r="B11751" s="33" t="str">
        <f t="shared" si="733"/>
        <v>WES</v>
      </c>
      <c r="C11751" s="33" t="str">
        <f t="shared" si="734"/>
        <v>40120-0000</v>
      </c>
      <c r="D11751" t="s">
        <v>13047</v>
      </c>
      <c r="E11751" t="s">
        <v>3687</v>
      </c>
      <c r="F11751" t="s">
        <v>230</v>
      </c>
      <c r="G11751" t="s">
        <v>3684</v>
      </c>
      <c r="H11751" t="s">
        <v>2871</v>
      </c>
      <c r="I11751" t="s">
        <v>3688</v>
      </c>
      <c r="J11751" s="70">
        <v>0</v>
      </c>
      <c r="K11751" s="71">
        <v>0</v>
      </c>
      <c r="L11751" s="33" t="e">
        <f>HLOOKUP(B11751,#REF!,1,0)</f>
        <v>#REF!</v>
      </c>
      <c r="M11751" s="33" t="str">
        <f t="shared" si="735"/>
        <v>P&amp;L</v>
      </c>
    </row>
    <row r="11752" spans="1:13">
      <c r="A11752" s="33" t="str">
        <f t="shared" si="732"/>
        <v>WES - Revenue</v>
      </c>
      <c r="B11752" s="33" t="str">
        <f t="shared" si="733"/>
        <v>WES</v>
      </c>
      <c r="C11752" s="33" t="str">
        <f t="shared" si="734"/>
        <v>40130-0000</v>
      </c>
      <c r="D11752" t="s">
        <v>13048</v>
      </c>
      <c r="E11752" t="s">
        <v>3690</v>
      </c>
      <c r="F11752" t="s">
        <v>230</v>
      </c>
      <c r="G11752" t="s">
        <v>3684</v>
      </c>
      <c r="H11752" t="s">
        <v>2871</v>
      </c>
      <c r="I11752" t="s">
        <v>3691</v>
      </c>
      <c r="J11752" s="70">
        <v>0</v>
      </c>
      <c r="K11752" s="71">
        <v>0</v>
      </c>
      <c r="L11752" s="33" t="e">
        <f>HLOOKUP(B11752,#REF!,1,0)</f>
        <v>#REF!</v>
      </c>
      <c r="M11752" s="33" t="str">
        <f t="shared" si="735"/>
        <v>P&amp;L</v>
      </c>
    </row>
    <row r="11753" spans="1:13">
      <c r="A11753" s="33" t="str">
        <f t="shared" si="732"/>
        <v>WES - Revenue</v>
      </c>
      <c r="B11753" s="33" t="str">
        <f t="shared" si="733"/>
        <v>WES</v>
      </c>
      <c r="C11753" s="33" t="str">
        <f t="shared" si="734"/>
        <v>41110-0002</v>
      </c>
      <c r="D11753" t="s">
        <v>13049</v>
      </c>
      <c r="E11753" t="s">
        <v>13050</v>
      </c>
      <c r="F11753" t="s">
        <v>230</v>
      </c>
      <c r="G11753" t="s">
        <v>3694</v>
      </c>
      <c r="H11753" t="s">
        <v>2871</v>
      </c>
      <c r="I11753" t="s">
        <v>3695</v>
      </c>
      <c r="J11753" s="70">
        <v>0</v>
      </c>
      <c r="K11753" s="71">
        <v>0</v>
      </c>
      <c r="L11753" s="33" t="e">
        <f>HLOOKUP(B11753,#REF!,1,0)</f>
        <v>#REF!</v>
      </c>
      <c r="M11753" s="33" t="str">
        <f t="shared" si="735"/>
        <v>P&amp;L</v>
      </c>
    </row>
    <row r="11754" spans="1:13">
      <c r="A11754" s="33" t="str">
        <f t="shared" si="732"/>
        <v>WES - Revenue</v>
      </c>
      <c r="B11754" s="33" t="str">
        <f t="shared" si="733"/>
        <v>WES</v>
      </c>
      <c r="C11754" s="33" t="str">
        <f t="shared" si="734"/>
        <v>41121-0000</v>
      </c>
      <c r="D11754" t="s">
        <v>13051</v>
      </c>
      <c r="E11754" t="s">
        <v>3697</v>
      </c>
      <c r="F11754" t="s">
        <v>230</v>
      </c>
      <c r="G11754" t="s">
        <v>3694</v>
      </c>
      <c r="H11754" t="s">
        <v>2871</v>
      </c>
      <c r="I11754" t="s">
        <v>3698</v>
      </c>
      <c r="J11754" s="70">
        <v>0</v>
      </c>
      <c r="K11754" s="71">
        <v>0</v>
      </c>
      <c r="L11754" s="33" t="e">
        <f>HLOOKUP(B11754,#REF!,1,0)</f>
        <v>#REF!</v>
      </c>
      <c r="M11754" s="33" t="str">
        <f t="shared" si="735"/>
        <v>P&amp;L</v>
      </c>
    </row>
    <row r="11755" spans="1:13">
      <c r="A11755" s="33" t="str">
        <f t="shared" si="732"/>
        <v>WES - Revenue</v>
      </c>
      <c r="B11755" s="33" t="str">
        <f t="shared" si="733"/>
        <v>WES</v>
      </c>
      <c r="C11755" s="33" t="str">
        <f t="shared" si="734"/>
        <v>41122-0000</v>
      </c>
      <c r="D11755" t="s">
        <v>13052</v>
      </c>
      <c r="E11755" t="s">
        <v>3700</v>
      </c>
      <c r="F11755" t="s">
        <v>230</v>
      </c>
      <c r="G11755" t="s">
        <v>3694</v>
      </c>
      <c r="H11755" t="s">
        <v>2871</v>
      </c>
      <c r="I11755" t="s">
        <v>3701</v>
      </c>
      <c r="J11755" s="70">
        <v>0</v>
      </c>
      <c r="K11755" s="71">
        <v>-25</v>
      </c>
      <c r="L11755" s="33" t="e">
        <f>HLOOKUP(B11755,#REF!,1,0)</f>
        <v>#REF!</v>
      </c>
      <c r="M11755" s="33" t="str">
        <f t="shared" si="735"/>
        <v>P&amp;L</v>
      </c>
    </row>
    <row r="11756" spans="1:13">
      <c r="A11756" s="33" t="str">
        <f t="shared" si="732"/>
        <v>WES - Revenue</v>
      </c>
      <c r="B11756" s="33" t="str">
        <f t="shared" si="733"/>
        <v>WES</v>
      </c>
      <c r="C11756" s="33" t="str">
        <f t="shared" si="734"/>
        <v>41130-0000</v>
      </c>
      <c r="D11756" t="s">
        <v>13053</v>
      </c>
      <c r="E11756" t="s">
        <v>3703</v>
      </c>
      <c r="F11756" t="s">
        <v>230</v>
      </c>
      <c r="G11756" t="s">
        <v>3694</v>
      </c>
      <c r="H11756" t="s">
        <v>2871</v>
      </c>
      <c r="I11756" t="s">
        <v>3704</v>
      </c>
      <c r="J11756" s="70">
        <v>0</v>
      </c>
      <c r="K11756" s="71">
        <v>0</v>
      </c>
      <c r="L11756" s="33" t="e">
        <f>HLOOKUP(B11756,#REF!,1,0)</f>
        <v>#REF!</v>
      </c>
      <c r="M11756" s="33" t="str">
        <f t="shared" si="735"/>
        <v>P&amp;L</v>
      </c>
    </row>
    <row r="11757" spans="1:13">
      <c r="A11757" s="33" t="str">
        <f t="shared" si="732"/>
        <v>WES - Revenue</v>
      </c>
      <c r="B11757" s="33" t="str">
        <f t="shared" si="733"/>
        <v>WES</v>
      </c>
      <c r="C11757" s="33" t="str">
        <f t="shared" si="734"/>
        <v>41999-0002</v>
      </c>
      <c r="D11757" t="s">
        <v>13054</v>
      </c>
      <c r="E11757" t="s">
        <v>13055</v>
      </c>
      <c r="F11757" t="s">
        <v>230</v>
      </c>
      <c r="G11757" t="s">
        <v>3713</v>
      </c>
      <c r="H11757" t="s">
        <v>2871</v>
      </c>
      <c r="I11757" t="s">
        <v>3714</v>
      </c>
      <c r="J11757" s="70">
        <v>5250</v>
      </c>
      <c r="K11757" s="71">
        <v>52525</v>
      </c>
      <c r="L11757" s="33" t="e">
        <f>HLOOKUP(B11757,#REF!,1,0)</f>
        <v>#REF!</v>
      </c>
      <c r="M11757" s="33" t="str">
        <f t="shared" si="735"/>
        <v>P&amp;L</v>
      </c>
    </row>
    <row r="11758" spans="1:13">
      <c r="A11758" s="33" t="str">
        <f t="shared" si="732"/>
        <v>WES - Revenue</v>
      </c>
      <c r="B11758" s="33" t="str">
        <f t="shared" si="733"/>
        <v>WES</v>
      </c>
      <c r="C11758" s="33" t="str">
        <f t="shared" si="734"/>
        <v>47400-0002</v>
      </c>
      <c r="D11758" t="s">
        <v>13056</v>
      </c>
      <c r="E11758" t="s">
        <v>13057</v>
      </c>
      <c r="F11758" t="s">
        <v>230</v>
      </c>
      <c r="G11758" t="s">
        <v>3717</v>
      </c>
      <c r="H11758" t="s">
        <v>2871</v>
      </c>
      <c r="I11758" t="s">
        <v>3718</v>
      </c>
      <c r="J11758" s="70">
        <v>-5250</v>
      </c>
      <c r="K11758" s="71">
        <v>-52525</v>
      </c>
      <c r="L11758" s="33" t="e">
        <f>HLOOKUP(B11758,#REF!,1,0)</f>
        <v>#REF!</v>
      </c>
      <c r="M11758" s="33" t="str">
        <f t="shared" si="735"/>
        <v>P&amp;L</v>
      </c>
    </row>
    <row r="11759" spans="1:13">
      <c r="A11759" s="33" t="str">
        <f t="shared" si="732"/>
        <v>WES - Revenue</v>
      </c>
      <c r="B11759" s="33" t="str">
        <f t="shared" si="733"/>
        <v>WES</v>
      </c>
      <c r="C11759" s="33" t="str">
        <f t="shared" si="734"/>
        <v>47460-0000</v>
      </c>
      <c r="D11759" t="s">
        <v>13058</v>
      </c>
      <c r="E11759" t="s">
        <v>3726</v>
      </c>
      <c r="F11759" t="s">
        <v>230</v>
      </c>
      <c r="G11759" t="s">
        <v>3717</v>
      </c>
      <c r="H11759" t="s">
        <v>2871</v>
      </c>
      <c r="I11759" t="s">
        <v>3727</v>
      </c>
      <c r="J11759" s="70">
        <v>0</v>
      </c>
      <c r="K11759" s="71">
        <v>-75</v>
      </c>
      <c r="L11759" s="33" t="e">
        <f>HLOOKUP(B11759,#REF!,1,0)</f>
        <v>#REF!</v>
      </c>
      <c r="M11759" s="33" t="str">
        <f t="shared" si="735"/>
        <v>P&amp;L</v>
      </c>
    </row>
    <row r="11760" spans="1:13">
      <c r="A11760" s="33" t="str">
        <f t="shared" si="732"/>
        <v>WES - Revenue</v>
      </c>
      <c r="B11760" s="33" t="str">
        <f t="shared" si="733"/>
        <v>WES</v>
      </c>
      <c r="C11760" s="33" t="str">
        <f t="shared" si="734"/>
        <v>47480-0000</v>
      </c>
      <c r="D11760" t="s">
        <v>13059</v>
      </c>
      <c r="E11760" t="s">
        <v>3729</v>
      </c>
      <c r="F11760" t="s">
        <v>230</v>
      </c>
      <c r="G11760" t="s">
        <v>3717</v>
      </c>
      <c r="H11760" t="s">
        <v>2871</v>
      </c>
      <c r="I11760" t="s">
        <v>3721</v>
      </c>
      <c r="J11760" s="70">
        <v>0</v>
      </c>
      <c r="K11760" s="71">
        <v>0</v>
      </c>
      <c r="L11760" s="33" t="e">
        <f>HLOOKUP(B11760,#REF!,1,0)</f>
        <v>#REF!</v>
      </c>
      <c r="M11760" s="33" t="str">
        <f t="shared" si="735"/>
        <v>P&amp;L</v>
      </c>
    </row>
    <row r="11761" spans="1:13">
      <c r="A11761" s="33" t="str">
        <f t="shared" si="732"/>
        <v>WES - Revenue</v>
      </c>
      <c r="B11761" s="33" t="str">
        <f t="shared" si="733"/>
        <v>WES</v>
      </c>
      <c r="C11761" s="33" t="str">
        <f t="shared" si="734"/>
        <v>47490-0000</v>
      </c>
      <c r="D11761" t="s">
        <v>13060</v>
      </c>
      <c r="E11761" t="s">
        <v>3731</v>
      </c>
      <c r="F11761" t="s">
        <v>230</v>
      </c>
      <c r="G11761" t="s">
        <v>3717</v>
      </c>
      <c r="H11761" t="s">
        <v>2871</v>
      </c>
      <c r="I11761" t="s">
        <v>3721</v>
      </c>
      <c r="J11761" s="70">
        <v>0</v>
      </c>
      <c r="K11761" s="71">
        <v>0</v>
      </c>
      <c r="L11761" s="33" t="e">
        <f>HLOOKUP(B11761,#REF!,1,0)</f>
        <v>#REF!</v>
      </c>
      <c r="M11761" s="33" t="str">
        <f t="shared" si="735"/>
        <v>P&amp;L</v>
      </c>
    </row>
    <row r="11762" spans="1:13">
      <c r="A11762" s="33" t="str">
        <f t="shared" si="732"/>
        <v>WES - CGS</v>
      </c>
      <c r="B11762" s="33" t="str">
        <f t="shared" si="733"/>
        <v>WES</v>
      </c>
      <c r="C11762" s="33" t="str">
        <f t="shared" si="734"/>
        <v>51013-0000</v>
      </c>
      <c r="D11762" t="s">
        <v>13061</v>
      </c>
      <c r="E11762" t="s">
        <v>3979</v>
      </c>
      <c r="F11762" t="s">
        <v>230</v>
      </c>
      <c r="G11762" t="s">
        <v>3740</v>
      </c>
      <c r="H11762" t="s">
        <v>1875</v>
      </c>
      <c r="I11762" t="s">
        <v>3980</v>
      </c>
      <c r="J11762" s="70">
        <v>-110</v>
      </c>
      <c r="K11762" s="71">
        <v>1220</v>
      </c>
      <c r="L11762" s="33" t="e">
        <f>HLOOKUP(B11762,#REF!,1,0)</f>
        <v>#REF!</v>
      </c>
      <c r="M11762" s="33" t="str">
        <f t="shared" si="735"/>
        <v>P&amp;L</v>
      </c>
    </row>
    <row r="11763" spans="1:13">
      <c r="A11763" s="33" t="str">
        <f t="shared" si="732"/>
        <v>WES - CGS</v>
      </c>
      <c r="B11763" s="33" t="str">
        <f t="shared" si="733"/>
        <v>WES</v>
      </c>
      <c r="C11763" s="33" t="str">
        <f t="shared" si="734"/>
        <v>60002-0000</v>
      </c>
      <c r="D11763" t="s">
        <v>13062</v>
      </c>
      <c r="E11763" t="s">
        <v>3837</v>
      </c>
      <c r="F11763" t="s">
        <v>230</v>
      </c>
      <c r="G11763" t="s">
        <v>3838</v>
      </c>
      <c r="H11763" t="s">
        <v>1875</v>
      </c>
      <c r="I11763" t="s">
        <v>3839</v>
      </c>
      <c r="J11763" s="70">
        <v>0</v>
      </c>
      <c r="K11763" s="71">
        <v>9</v>
      </c>
      <c r="L11763" s="33" t="e">
        <f>HLOOKUP(B11763,#REF!,1,0)</f>
        <v>#REF!</v>
      </c>
      <c r="M11763" s="33" t="str">
        <f t="shared" si="735"/>
        <v>P&amp;L</v>
      </c>
    </row>
    <row r="11764" spans="1:13">
      <c r="A11764" s="33" t="str">
        <f t="shared" si="732"/>
        <v>WES - CGS</v>
      </c>
      <c r="B11764" s="33" t="str">
        <f t="shared" si="733"/>
        <v>WES</v>
      </c>
      <c r="C11764" s="33" t="str">
        <f t="shared" si="734"/>
        <v>60005-0000</v>
      </c>
      <c r="D11764" t="s">
        <v>13063</v>
      </c>
      <c r="E11764" t="s">
        <v>3841</v>
      </c>
      <c r="F11764" t="s">
        <v>230</v>
      </c>
      <c r="G11764" t="s">
        <v>3838</v>
      </c>
      <c r="H11764" t="s">
        <v>1875</v>
      </c>
      <c r="I11764" t="s">
        <v>3842</v>
      </c>
      <c r="J11764" s="70">
        <v>0</v>
      </c>
      <c r="K11764" s="71">
        <v>225.14</v>
      </c>
      <c r="L11764" s="33" t="e">
        <f>HLOOKUP(B11764,#REF!,1,0)</f>
        <v>#REF!</v>
      </c>
      <c r="M11764" s="33" t="str">
        <f t="shared" si="735"/>
        <v>P&amp;L</v>
      </c>
    </row>
    <row r="11765" spans="1:13">
      <c r="A11765" s="33" t="str">
        <f t="shared" si="732"/>
        <v>WES - Interest Expense</v>
      </c>
      <c r="B11765" s="33" t="str">
        <f t="shared" si="733"/>
        <v>WES</v>
      </c>
      <c r="C11765" s="33" t="str">
        <f t="shared" si="734"/>
        <v>60006-0002</v>
      </c>
      <c r="D11765" t="s">
        <v>13064</v>
      </c>
      <c r="E11765" t="s">
        <v>13065</v>
      </c>
      <c r="F11765" t="s">
        <v>230</v>
      </c>
      <c r="G11765" t="s">
        <v>3844</v>
      </c>
      <c r="H11765" t="s">
        <v>3327</v>
      </c>
      <c r="I11765" t="s">
        <v>3328</v>
      </c>
      <c r="J11765" s="70">
        <v>2392.73</v>
      </c>
      <c r="K11765" s="71">
        <v>24087.33</v>
      </c>
      <c r="L11765" s="33" t="e">
        <f>HLOOKUP(B11765,#REF!,1,0)</f>
        <v>#REF!</v>
      </c>
      <c r="M11765" s="33" t="str">
        <f t="shared" si="735"/>
        <v>P&amp;L</v>
      </c>
    </row>
    <row r="11766" spans="1:13">
      <c r="A11766" s="33" t="str">
        <f t="shared" si="732"/>
        <v>WES - CGS</v>
      </c>
      <c r="B11766" s="33" t="str">
        <f t="shared" si="733"/>
        <v>WES</v>
      </c>
      <c r="C11766" s="33" t="str">
        <f t="shared" si="734"/>
        <v>60007-0000</v>
      </c>
      <c r="D11766" t="s">
        <v>13066</v>
      </c>
      <c r="E11766" t="s">
        <v>3846</v>
      </c>
      <c r="F11766" t="s">
        <v>230</v>
      </c>
      <c r="G11766" t="s">
        <v>3838</v>
      </c>
      <c r="H11766" t="s">
        <v>1875</v>
      </c>
      <c r="I11766" t="s">
        <v>3847</v>
      </c>
      <c r="J11766" s="70">
        <v>0</v>
      </c>
      <c r="K11766" s="71">
        <v>801</v>
      </c>
      <c r="L11766" s="33" t="e">
        <f>HLOOKUP(B11766,#REF!,1,0)</f>
        <v>#REF!</v>
      </c>
      <c r="M11766" s="33" t="str">
        <f t="shared" si="735"/>
        <v>P&amp;L</v>
      </c>
    </row>
    <row r="11767" spans="1:13">
      <c r="A11767" s="33" t="str">
        <f t="shared" si="732"/>
        <v>WES - CGS</v>
      </c>
      <c r="B11767" s="33" t="str">
        <f t="shared" si="733"/>
        <v>WES</v>
      </c>
      <c r="C11767" s="33" t="str">
        <f t="shared" si="734"/>
        <v>60012-0002</v>
      </c>
      <c r="D11767" t="s">
        <v>13067</v>
      </c>
      <c r="E11767" t="s">
        <v>13068</v>
      </c>
      <c r="F11767" t="s">
        <v>230</v>
      </c>
      <c r="G11767" t="s">
        <v>3838</v>
      </c>
      <c r="H11767" t="s">
        <v>1875</v>
      </c>
      <c r="I11767" t="s">
        <v>3853</v>
      </c>
      <c r="J11767" s="70">
        <v>0</v>
      </c>
      <c r="K11767" s="71">
        <v>4332.66</v>
      </c>
      <c r="L11767" s="33" t="e">
        <f>HLOOKUP(B11767,#REF!,1,0)</f>
        <v>#REF!</v>
      </c>
      <c r="M11767" s="33" t="str">
        <f t="shared" si="735"/>
        <v>P&amp;L</v>
      </c>
    </row>
    <row r="11768" spans="1:13">
      <c r="A11768" s="33" t="str">
        <f t="shared" si="732"/>
        <v>WES - CGS</v>
      </c>
      <c r="B11768" s="33" t="str">
        <f t="shared" si="733"/>
        <v>WES</v>
      </c>
      <c r="C11768" s="33" t="str">
        <f t="shared" si="734"/>
        <v>60014-0000</v>
      </c>
      <c r="D11768" t="s">
        <v>13069</v>
      </c>
      <c r="E11768" t="s">
        <v>3855</v>
      </c>
      <c r="F11768" t="s">
        <v>230</v>
      </c>
      <c r="G11768" t="s">
        <v>3838</v>
      </c>
      <c r="H11768" t="s">
        <v>1875</v>
      </c>
      <c r="I11768" t="s">
        <v>3856</v>
      </c>
      <c r="J11768" s="70">
        <v>315</v>
      </c>
      <c r="K11768" s="71">
        <v>945</v>
      </c>
      <c r="L11768" s="33" t="e">
        <f>HLOOKUP(B11768,#REF!,1,0)</f>
        <v>#REF!</v>
      </c>
      <c r="M11768" s="33" t="str">
        <f t="shared" si="735"/>
        <v>P&amp;L</v>
      </c>
    </row>
    <row r="11769" spans="1:13">
      <c r="A11769" s="33" t="str">
        <f t="shared" si="732"/>
        <v>WES - CGS</v>
      </c>
      <c r="B11769" s="33" t="str">
        <f t="shared" si="733"/>
        <v>WES</v>
      </c>
      <c r="C11769" s="33" t="str">
        <f t="shared" si="734"/>
        <v>60014-0002</v>
      </c>
      <c r="D11769" t="s">
        <v>13070</v>
      </c>
      <c r="E11769" t="s">
        <v>13071</v>
      </c>
      <c r="F11769" t="s">
        <v>230</v>
      </c>
      <c r="G11769" t="s">
        <v>3838</v>
      </c>
      <c r="H11769" t="s">
        <v>1875</v>
      </c>
      <c r="I11769" t="s">
        <v>3856</v>
      </c>
      <c r="J11769" s="70">
        <v>0</v>
      </c>
      <c r="K11769" s="71">
        <v>2206.5</v>
      </c>
      <c r="L11769" s="33" t="e">
        <f>HLOOKUP(B11769,#REF!,1,0)</f>
        <v>#REF!</v>
      </c>
      <c r="M11769" s="33" t="str">
        <f t="shared" si="735"/>
        <v>P&amp;L</v>
      </c>
    </row>
    <row r="11770" spans="1:13">
      <c r="A11770" s="33" t="str">
        <f t="shared" si="732"/>
        <v>WES - Income Tax</v>
      </c>
      <c r="B11770" s="33" t="str">
        <f t="shared" si="733"/>
        <v>WES</v>
      </c>
      <c r="C11770" s="33" t="str">
        <f t="shared" si="734"/>
        <v>61019-0000</v>
      </c>
      <c r="D11770" t="s">
        <v>13072</v>
      </c>
      <c r="E11770" t="s">
        <v>4041</v>
      </c>
      <c r="F11770" t="s">
        <v>230</v>
      </c>
      <c r="G11770" t="s">
        <v>3844</v>
      </c>
      <c r="H11770" t="s">
        <v>3378</v>
      </c>
      <c r="I11770" t="s">
        <v>4042</v>
      </c>
      <c r="J11770" s="70">
        <v>0</v>
      </c>
      <c r="K11770" s="71">
        <v>800</v>
      </c>
      <c r="L11770" s="33" t="e">
        <f>HLOOKUP(B11770,#REF!,1,0)</f>
        <v>#REF!</v>
      </c>
      <c r="M11770" s="33" t="str">
        <f t="shared" si="735"/>
        <v>P&amp;L</v>
      </c>
    </row>
    <row r="11771" spans="1:13">
      <c r="A11771" s="33" t="str">
        <f t="shared" si="732"/>
        <v>WIC - Cash</v>
      </c>
      <c r="B11771" s="33" t="str">
        <f t="shared" si="733"/>
        <v>WIC</v>
      </c>
      <c r="C11771" s="33" t="str">
        <f t="shared" si="734"/>
        <v>10001-0000</v>
      </c>
      <c r="D11771" t="s">
        <v>13073</v>
      </c>
      <c r="E11771" t="s">
        <v>240</v>
      </c>
      <c r="F11771" t="s">
        <v>230</v>
      </c>
      <c r="G11771" t="s">
        <v>16</v>
      </c>
      <c r="H11771" t="s">
        <v>25</v>
      </c>
      <c r="I11771" t="s">
        <v>18</v>
      </c>
      <c r="J11771" s="70">
        <v>0</v>
      </c>
      <c r="K11771" s="71">
        <v>25000</v>
      </c>
      <c r="L11771" s="33" t="e">
        <f>HLOOKUP(B11771,#REF!,1,0)</f>
        <v>#REF!</v>
      </c>
      <c r="M11771" s="33" t="str">
        <f t="shared" si="735"/>
        <v>BS</v>
      </c>
    </row>
    <row r="11772" spans="1:13">
      <c r="A11772" s="33" t="str">
        <f t="shared" si="732"/>
        <v>WIC - SH Dist</v>
      </c>
      <c r="B11772" s="33" t="str">
        <f t="shared" si="733"/>
        <v>WIC</v>
      </c>
      <c r="C11772" s="33" t="str">
        <f t="shared" si="734"/>
        <v>30700-0000</v>
      </c>
      <c r="D11772" t="s">
        <v>13074</v>
      </c>
      <c r="E11772" t="s">
        <v>319</v>
      </c>
      <c r="F11772" t="s">
        <v>230</v>
      </c>
      <c r="G11772" t="s">
        <v>142</v>
      </c>
      <c r="H11772" t="s">
        <v>143</v>
      </c>
      <c r="I11772" t="s">
        <v>144</v>
      </c>
      <c r="J11772" s="70">
        <v>0</v>
      </c>
      <c r="K11772" s="71">
        <v>-25000</v>
      </c>
      <c r="L11772" s="33" t="e">
        <f>HLOOKUP(B11772,#REF!,1,0)</f>
        <v>#REF!</v>
      </c>
      <c r="M11772" s="33" t="str">
        <f t="shared" si="735"/>
        <v>BS</v>
      </c>
    </row>
    <row r="11773" spans="1:13">
      <c r="A11773" s="33" t="str">
        <f t="shared" si="732"/>
        <v>WIL - CGS</v>
      </c>
      <c r="B11773" s="33" t="str">
        <f t="shared" si="733"/>
        <v>WIL</v>
      </c>
      <c r="C11773" s="33" t="str">
        <f t="shared" si="734"/>
        <v>60002-0000</v>
      </c>
      <c r="D11773" t="s">
        <v>13075</v>
      </c>
      <c r="E11773" t="s">
        <v>3837</v>
      </c>
      <c r="F11773" t="s">
        <v>230</v>
      </c>
      <c r="G11773" t="s">
        <v>3838</v>
      </c>
      <c r="H11773" t="s">
        <v>1875</v>
      </c>
      <c r="I11773" t="s">
        <v>3839</v>
      </c>
      <c r="J11773" s="70">
        <v>88.94</v>
      </c>
      <c r="K11773" s="71">
        <v>891.65</v>
      </c>
      <c r="L11773" s="33" t="e">
        <f>HLOOKUP(B11773,#REF!,1,0)</f>
        <v>#REF!</v>
      </c>
      <c r="M11773" s="33" t="str">
        <f t="shared" si="735"/>
        <v>P&amp;L</v>
      </c>
    </row>
    <row r="11774" spans="1:13">
      <c r="A11774" s="33" t="str">
        <f t="shared" si="732"/>
        <v>WIL - CGS</v>
      </c>
      <c r="B11774" s="33" t="str">
        <f t="shared" si="733"/>
        <v>WIL</v>
      </c>
      <c r="C11774" s="33" t="str">
        <f t="shared" si="734"/>
        <v>60007-0000</v>
      </c>
      <c r="D11774" t="s">
        <v>13076</v>
      </c>
      <c r="E11774" t="s">
        <v>3846</v>
      </c>
      <c r="F11774" t="s">
        <v>230</v>
      </c>
      <c r="G11774" t="s">
        <v>3838</v>
      </c>
      <c r="H11774" t="s">
        <v>1875</v>
      </c>
      <c r="I11774" t="s">
        <v>3847</v>
      </c>
      <c r="J11774" s="70">
        <v>0</v>
      </c>
      <c r="K11774" s="71">
        <v>2988</v>
      </c>
      <c r="L11774" s="33" t="e">
        <f>HLOOKUP(B11774,#REF!,1,0)</f>
        <v>#REF!</v>
      </c>
      <c r="M11774" s="33" t="str">
        <f t="shared" si="735"/>
        <v>P&amp;L</v>
      </c>
    </row>
    <row r="11775" spans="1:13">
      <c r="A11775" s="33" t="str">
        <f t="shared" si="732"/>
        <v>WIL - CGS</v>
      </c>
      <c r="B11775" s="33" t="str">
        <f t="shared" si="733"/>
        <v>WIL</v>
      </c>
      <c r="C11775" s="33" t="str">
        <f t="shared" si="734"/>
        <v>60015-0000</v>
      </c>
      <c r="D11775" t="s">
        <v>13077</v>
      </c>
      <c r="E11775" t="s">
        <v>3858</v>
      </c>
      <c r="F11775" t="s">
        <v>230</v>
      </c>
      <c r="G11775" t="s">
        <v>3838</v>
      </c>
      <c r="H11775" t="s">
        <v>1875</v>
      </c>
      <c r="I11775" t="s">
        <v>3859</v>
      </c>
      <c r="J11775" s="70">
        <v>0</v>
      </c>
      <c r="K11775" s="71">
        <v>20</v>
      </c>
      <c r="L11775" s="33" t="e">
        <f>HLOOKUP(B11775,#REF!,1,0)</f>
        <v>#REF!</v>
      </c>
      <c r="M11775" s="33" t="str">
        <f t="shared" si="735"/>
        <v>P&amp;L</v>
      </c>
    </row>
    <row r="11776" spans="1:13">
      <c r="A11776" s="33" t="str">
        <f t="shared" si="732"/>
        <v>WIL - CGS</v>
      </c>
      <c r="B11776" s="33" t="str">
        <f t="shared" si="733"/>
        <v>WIL</v>
      </c>
      <c r="C11776" s="33" t="str">
        <f t="shared" si="734"/>
        <v>61018-0000</v>
      </c>
      <c r="D11776" t="s">
        <v>13078</v>
      </c>
      <c r="E11776" t="s">
        <v>3864</v>
      </c>
      <c r="F11776" t="s">
        <v>230</v>
      </c>
      <c r="G11776" t="s">
        <v>3838</v>
      </c>
      <c r="H11776" t="s">
        <v>1875</v>
      </c>
      <c r="I11776" t="s">
        <v>3866</v>
      </c>
      <c r="J11776" s="70">
        <v>0</v>
      </c>
      <c r="K11776" s="71">
        <v>-290</v>
      </c>
      <c r="L11776" s="33" t="e">
        <f>HLOOKUP(B11776,#REF!,1,0)</f>
        <v>#REF!</v>
      </c>
      <c r="M11776" s="33" t="str">
        <f t="shared" si="735"/>
        <v>P&amp;L</v>
      </c>
    </row>
    <row r="11777" spans="1:13">
      <c r="A11777" s="33" t="str">
        <f t="shared" si="732"/>
        <v>WIL - Income Tax</v>
      </c>
      <c r="B11777" s="33" t="str">
        <f t="shared" si="733"/>
        <v>WIL</v>
      </c>
      <c r="C11777" s="33" t="str">
        <f t="shared" si="734"/>
        <v>61019-0000</v>
      </c>
      <c r="D11777" t="s">
        <v>13079</v>
      </c>
      <c r="E11777" t="s">
        <v>4041</v>
      </c>
      <c r="F11777" t="s">
        <v>230</v>
      </c>
      <c r="G11777" t="s">
        <v>3844</v>
      </c>
      <c r="H11777" t="s">
        <v>3378</v>
      </c>
      <c r="I11777" t="s">
        <v>4042</v>
      </c>
      <c r="J11777" s="70">
        <v>0</v>
      </c>
      <c r="K11777" s="71">
        <v>800</v>
      </c>
      <c r="L11777" s="33" t="e">
        <f>HLOOKUP(B11777,#REF!,1,0)</f>
        <v>#REF!</v>
      </c>
      <c r="M11777" s="33" t="str">
        <f t="shared" si="735"/>
        <v>P&amp;L</v>
      </c>
    </row>
    <row r="11778" spans="1:13">
      <c r="A11778" s="33" t="str">
        <f t="shared" ref="A11778:A11841" si="736">B11778&amp;" - "&amp;TRIM(H11778)</f>
        <v>WOO - Fixed Assets</v>
      </c>
      <c r="B11778" s="33" t="str">
        <f t="shared" ref="B11778:B11841" si="737">LEFT(D11778,3)</f>
        <v>WOO</v>
      </c>
      <c r="C11778" s="33" t="str">
        <f t="shared" ref="C11778:C11841" si="738">RIGHT(D11778,10)</f>
        <v>15501-0000</v>
      </c>
      <c r="D11778" t="s">
        <v>13080</v>
      </c>
      <c r="E11778" t="s">
        <v>2635</v>
      </c>
      <c r="F11778" t="s">
        <v>230</v>
      </c>
      <c r="G11778" t="s">
        <v>62</v>
      </c>
      <c r="H11778" t="s">
        <v>63</v>
      </c>
      <c r="I11778" t="s">
        <v>64</v>
      </c>
      <c r="J11778" s="70">
        <v>374.01</v>
      </c>
      <c r="K11778" s="71">
        <v>1467.86</v>
      </c>
      <c r="L11778" s="33" t="e">
        <f>HLOOKUP(B11778,#REF!,1,0)</f>
        <v>#REF!</v>
      </c>
      <c r="M11778" s="33" t="str">
        <f t="shared" ref="M11778:M11841" si="739">IF(VALUE(LEFT(C11778,5))&gt;40000,"P&amp;L","BS")</f>
        <v>BS</v>
      </c>
    </row>
    <row r="11779" spans="1:13">
      <c r="A11779" s="33" t="str">
        <f t="shared" si="736"/>
        <v>WOO - AP-Accr Exp</v>
      </c>
      <c r="B11779" s="33" t="str">
        <f t="shared" si="737"/>
        <v>WOO</v>
      </c>
      <c r="C11779" s="33" t="str">
        <f t="shared" si="738"/>
        <v>20001-0000</v>
      </c>
      <c r="D11779" t="s">
        <v>13081</v>
      </c>
      <c r="E11779" t="s">
        <v>96</v>
      </c>
      <c r="F11779" t="s">
        <v>230</v>
      </c>
      <c r="G11779" t="s">
        <v>97</v>
      </c>
      <c r="H11779" t="s">
        <v>98</v>
      </c>
      <c r="I11779" t="s">
        <v>99</v>
      </c>
      <c r="J11779" s="70">
        <v>6347.32</v>
      </c>
      <c r="K11779" s="71">
        <v>0</v>
      </c>
      <c r="L11779" s="33" t="e">
        <f>HLOOKUP(B11779,#REF!,1,0)</f>
        <v>#REF!</v>
      </c>
      <c r="M11779" s="33" t="str">
        <f t="shared" si="739"/>
        <v>BS</v>
      </c>
    </row>
    <row r="11780" spans="1:13">
      <c r="A11780" s="33" t="str">
        <f t="shared" si="736"/>
        <v>WOO - AR-PPD</v>
      </c>
      <c r="B11780" s="33" t="str">
        <f t="shared" si="737"/>
        <v>WOO</v>
      </c>
      <c r="C11780" s="33" t="str">
        <f t="shared" si="738"/>
        <v>25300-0000</v>
      </c>
      <c r="D11780" t="s">
        <v>13082</v>
      </c>
      <c r="E11780" t="s">
        <v>3677</v>
      </c>
      <c r="F11780" t="s">
        <v>230</v>
      </c>
      <c r="G11780" t="s">
        <v>3678</v>
      </c>
      <c r="H11780" t="s">
        <v>35</v>
      </c>
      <c r="I11780" t="s">
        <v>102</v>
      </c>
      <c r="J11780" s="70">
        <v>1360.48</v>
      </c>
      <c r="K11780" s="71">
        <v>1360.48</v>
      </c>
      <c r="L11780" s="33" t="e">
        <f>HLOOKUP(B11780,#REF!,1,0)</f>
        <v>#REF!</v>
      </c>
      <c r="M11780" s="33" t="str">
        <f t="shared" si="739"/>
        <v>BS</v>
      </c>
    </row>
    <row r="11781" spans="1:13">
      <c r="A11781" s="33" t="str">
        <f t="shared" si="736"/>
        <v>WOO - Revenue</v>
      </c>
      <c r="B11781" s="33" t="str">
        <f t="shared" si="737"/>
        <v>WOO</v>
      </c>
      <c r="C11781" s="33" t="str">
        <f t="shared" si="738"/>
        <v>40110-0000</v>
      </c>
      <c r="D11781" t="s">
        <v>13083</v>
      </c>
      <c r="E11781" t="s">
        <v>3683</v>
      </c>
      <c r="F11781" t="s">
        <v>230</v>
      </c>
      <c r="G11781" t="s">
        <v>3684</v>
      </c>
      <c r="H11781" t="s">
        <v>2871</v>
      </c>
      <c r="I11781" t="s">
        <v>3685</v>
      </c>
      <c r="J11781" s="70">
        <v>-34083.97</v>
      </c>
      <c r="K11781" s="71">
        <v>-340839.7</v>
      </c>
      <c r="L11781" s="33" t="e">
        <f>HLOOKUP(B11781,#REF!,1,0)</f>
        <v>#REF!</v>
      </c>
      <c r="M11781" s="33" t="str">
        <f t="shared" si="739"/>
        <v>P&amp;L</v>
      </c>
    </row>
    <row r="11782" spans="1:13">
      <c r="A11782" s="33" t="str">
        <f t="shared" si="736"/>
        <v>WOO - Revenue</v>
      </c>
      <c r="B11782" s="33" t="str">
        <f t="shared" si="737"/>
        <v>WOO</v>
      </c>
      <c r="C11782" s="33" t="str">
        <f t="shared" si="738"/>
        <v>40120-0000</v>
      </c>
      <c r="D11782" t="s">
        <v>13084</v>
      </c>
      <c r="E11782" t="s">
        <v>3687</v>
      </c>
      <c r="F11782" t="s">
        <v>230</v>
      </c>
      <c r="G11782" t="s">
        <v>3684</v>
      </c>
      <c r="H11782" t="s">
        <v>2871</v>
      </c>
      <c r="I11782" t="s">
        <v>3688</v>
      </c>
      <c r="J11782" s="70">
        <v>-1126.98</v>
      </c>
      <c r="K11782" s="71">
        <v>-6761.88</v>
      </c>
      <c r="L11782" s="33" t="e">
        <f>HLOOKUP(B11782,#REF!,1,0)</f>
        <v>#REF!</v>
      </c>
      <c r="M11782" s="33" t="str">
        <f t="shared" si="739"/>
        <v>P&amp;L</v>
      </c>
    </row>
    <row r="11783" spans="1:13">
      <c r="A11783" s="33" t="str">
        <f t="shared" si="736"/>
        <v>WOO - Revenue</v>
      </c>
      <c r="B11783" s="33" t="str">
        <f t="shared" si="737"/>
        <v>WOO</v>
      </c>
      <c r="C11783" s="33" t="str">
        <f t="shared" si="738"/>
        <v>40130-0000</v>
      </c>
      <c r="D11783" t="s">
        <v>13085</v>
      </c>
      <c r="E11783" t="s">
        <v>3690</v>
      </c>
      <c r="F11783" t="s">
        <v>230</v>
      </c>
      <c r="G11783" t="s">
        <v>3684</v>
      </c>
      <c r="H11783" t="s">
        <v>2871</v>
      </c>
      <c r="I11783" t="s">
        <v>3691</v>
      </c>
      <c r="J11783" s="70">
        <v>0</v>
      </c>
      <c r="K11783" s="71">
        <v>0</v>
      </c>
      <c r="L11783" s="33" t="e">
        <f>HLOOKUP(B11783,#REF!,1,0)</f>
        <v>#REF!</v>
      </c>
      <c r="M11783" s="33" t="str">
        <f t="shared" si="739"/>
        <v>P&amp;L</v>
      </c>
    </row>
    <row r="11784" spans="1:13">
      <c r="A11784" s="33" t="str">
        <f t="shared" si="736"/>
        <v>WOO - Revenue</v>
      </c>
      <c r="B11784" s="33" t="str">
        <f t="shared" si="737"/>
        <v>WOO</v>
      </c>
      <c r="C11784" s="33" t="str">
        <f t="shared" si="738"/>
        <v>40140-0000</v>
      </c>
      <c r="D11784" t="s">
        <v>13086</v>
      </c>
      <c r="E11784" t="s">
        <v>3948</v>
      </c>
      <c r="F11784" t="s">
        <v>230</v>
      </c>
      <c r="G11784" t="s">
        <v>3684</v>
      </c>
      <c r="H11784" t="s">
        <v>2871</v>
      </c>
      <c r="I11784" t="s">
        <v>3949</v>
      </c>
      <c r="J11784" s="70">
        <v>0</v>
      </c>
      <c r="K11784" s="71">
        <v>0</v>
      </c>
      <c r="L11784" s="33" t="e">
        <f>HLOOKUP(B11784,#REF!,1,0)</f>
        <v>#REF!</v>
      </c>
      <c r="M11784" s="33" t="str">
        <f t="shared" si="739"/>
        <v>P&amp;L</v>
      </c>
    </row>
    <row r="11785" spans="1:13">
      <c r="A11785" s="33" t="str">
        <f t="shared" si="736"/>
        <v>WOO - Revenue</v>
      </c>
      <c r="B11785" s="33" t="str">
        <f t="shared" si="737"/>
        <v>WOO</v>
      </c>
      <c r="C11785" s="33" t="str">
        <f t="shared" si="738"/>
        <v>41110-0000</v>
      </c>
      <c r="D11785" t="s">
        <v>13087</v>
      </c>
      <c r="E11785" t="s">
        <v>3693</v>
      </c>
      <c r="F11785" t="s">
        <v>230</v>
      </c>
      <c r="G11785" t="s">
        <v>3694</v>
      </c>
      <c r="H11785" t="s">
        <v>2871</v>
      </c>
      <c r="I11785" t="s">
        <v>3695</v>
      </c>
      <c r="J11785" s="70">
        <v>823.91</v>
      </c>
      <c r="K11785" s="71">
        <v>9312.12</v>
      </c>
      <c r="L11785" s="33" t="e">
        <f>HLOOKUP(B11785,#REF!,1,0)</f>
        <v>#REF!</v>
      </c>
      <c r="M11785" s="33" t="str">
        <f t="shared" si="739"/>
        <v>P&amp;L</v>
      </c>
    </row>
    <row r="11786" spans="1:13">
      <c r="A11786" s="33" t="str">
        <f t="shared" si="736"/>
        <v>WOO - Revenue</v>
      </c>
      <c r="B11786" s="33" t="str">
        <f t="shared" si="737"/>
        <v>WOO</v>
      </c>
      <c r="C11786" s="33" t="str">
        <f t="shared" si="738"/>
        <v>41121-0000</v>
      </c>
      <c r="D11786" t="s">
        <v>13088</v>
      </c>
      <c r="E11786" t="s">
        <v>3697</v>
      </c>
      <c r="F11786" t="s">
        <v>230</v>
      </c>
      <c r="G11786" t="s">
        <v>3694</v>
      </c>
      <c r="H11786" t="s">
        <v>2871</v>
      </c>
      <c r="I11786" t="s">
        <v>3698</v>
      </c>
      <c r="J11786" s="70">
        <v>5966.39</v>
      </c>
      <c r="K11786" s="71">
        <v>50796.22</v>
      </c>
      <c r="L11786" s="33" t="e">
        <f>HLOOKUP(B11786,#REF!,1,0)</f>
        <v>#REF!</v>
      </c>
      <c r="M11786" s="33" t="str">
        <f t="shared" si="739"/>
        <v>P&amp;L</v>
      </c>
    </row>
    <row r="11787" spans="1:13">
      <c r="A11787" s="33" t="str">
        <f t="shared" si="736"/>
        <v>WOO - Revenue</v>
      </c>
      <c r="B11787" s="33" t="str">
        <f t="shared" si="737"/>
        <v>WOO</v>
      </c>
      <c r="C11787" s="33" t="str">
        <f t="shared" si="738"/>
        <v>41122-0000</v>
      </c>
      <c r="D11787" t="s">
        <v>13089</v>
      </c>
      <c r="E11787" t="s">
        <v>3700</v>
      </c>
      <c r="F11787" t="s">
        <v>230</v>
      </c>
      <c r="G11787" t="s">
        <v>3694</v>
      </c>
      <c r="H11787" t="s">
        <v>2871</v>
      </c>
      <c r="I11787" t="s">
        <v>3701</v>
      </c>
      <c r="J11787" s="70">
        <v>0</v>
      </c>
      <c r="K11787" s="71">
        <v>-24825.06</v>
      </c>
      <c r="L11787" s="33" t="e">
        <f>HLOOKUP(B11787,#REF!,1,0)</f>
        <v>#REF!</v>
      </c>
      <c r="M11787" s="33" t="str">
        <f t="shared" si="739"/>
        <v>P&amp;L</v>
      </c>
    </row>
    <row r="11788" spans="1:13">
      <c r="A11788" s="33" t="str">
        <f t="shared" si="736"/>
        <v>WOO - Revenue</v>
      </c>
      <c r="B11788" s="33" t="str">
        <f t="shared" si="737"/>
        <v>WOO</v>
      </c>
      <c r="C11788" s="33" t="str">
        <f t="shared" si="738"/>
        <v>41130-0000</v>
      </c>
      <c r="D11788" t="s">
        <v>13090</v>
      </c>
      <c r="E11788" t="s">
        <v>3703</v>
      </c>
      <c r="F11788" t="s">
        <v>230</v>
      </c>
      <c r="G11788" t="s">
        <v>3694</v>
      </c>
      <c r="H11788" t="s">
        <v>2871</v>
      </c>
      <c r="I11788" t="s">
        <v>3704</v>
      </c>
      <c r="J11788" s="70">
        <v>0</v>
      </c>
      <c r="K11788" s="71">
        <v>900</v>
      </c>
      <c r="L11788" s="33" t="e">
        <f>HLOOKUP(B11788,#REF!,1,0)</f>
        <v>#REF!</v>
      </c>
      <c r="M11788" s="33" t="str">
        <f t="shared" si="739"/>
        <v>P&amp;L</v>
      </c>
    </row>
    <row r="11789" spans="1:13">
      <c r="A11789" s="33" t="str">
        <f t="shared" si="736"/>
        <v>WOO - Revenue</v>
      </c>
      <c r="B11789" s="33" t="str">
        <f t="shared" si="737"/>
        <v>WOO</v>
      </c>
      <c r="C11789" s="33" t="str">
        <f t="shared" si="738"/>
        <v>41140-0000</v>
      </c>
      <c r="D11789" t="s">
        <v>13091</v>
      </c>
      <c r="E11789" t="s">
        <v>3706</v>
      </c>
      <c r="F11789" t="s">
        <v>230</v>
      </c>
      <c r="G11789" t="s">
        <v>3694</v>
      </c>
      <c r="H11789" t="s">
        <v>2871</v>
      </c>
      <c r="I11789" t="s">
        <v>3707</v>
      </c>
      <c r="J11789" s="70">
        <v>0</v>
      </c>
      <c r="K11789" s="71">
        <v>0</v>
      </c>
      <c r="L11789" s="33" t="e">
        <f>HLOOKUP(B11789,#REF!,1,0)</f>
        <v>#REF!</v>
      </c>
      <c r="M11789" s="33" t="str">
        <f t="shared" si="739"/>
        <v>P&amp;L</v>
      </c>
    </row>
    <row r="11790" spans="1:13">
      <c r="A11790" s="33" t="str">
        <f t="shared" si="736"/>
        <v>WOO - Revenue</v>
      </c>
      <c r="B11790" s="33" t="str">
        <f t="shared" si="737"/>
        <v>WOO</v>
      </c>
      <c r="C11790" s="33" t="str">
        <f t="shared" si="738"/>
        <v>41150-0000</v>
      </c>
      <c r="D11790" t="s">
        <v>13092</v>
      </c>
      <c r="E11790" t="s">
        <v>3709</v>
      </c>
      <c r="F11790" t="s">
        <v>230</v>
      </c>
      <c r="G11790" t="s">
        <v>3694</v>
      </c>
      <c r="H11790" t="s">
        <v>2871</v>
      </c>
      <c r="I11790" t="s">
        <v>3710</v>
      </c>
      <c r="J11790" s="70">
        <v>867.78</v>
      </c>
      <c r="K11790" s="71">
        <v>8677.8</v>
      </c>
      <c r="L11790" s="33" t="e">
        <f>HLOOKUP(B11790,#REF!,1,0)</f>
        <v>#REF!</v>
      </c>
      <c r="M11790" s="33" t="str">
        <f t="shared" si="739"/>
        <v>P&amp;L</v>
      </c>
    </row>
    <row r="11791" spans="1:13">
      <c r="A11791" s="33" t="str">
        <f t="shared" si="736"/>
        <v>WOO - Revenue</v>
      </c>
      <c r="B11791" s="33" t="str">
        <f t="shared" si="737"/>
        <v>WOO</v>
      </c>
      <c r="C11791" s="33" t="str">
        <f t="shared" si="738"/>
        <v>41160-0000</v>
      </c>
      <c r="D11791" t="s">
        <v>13093</v>
      </c>
      <c r="E11791" t="s">
        <v>3957</v>
      </c>
      <c r="F11791" t="s">
        <v>230</v>
      </c>
      <c r="G11791" t="s">
        <v>3694</v>
      </c>
      <c r="H11791" t="s">
        <v>2871</v>
      </c>
      <c r="I11791" t="s">
        <v>3701</v>
      </c>
      <c r="J11791" s="70">
        <v>0</v>
      </c>
      <c r="K11791" s="71">
        <v>-26999.36</v>
      </c>
      <c r="L11791" s="33" t="e">
        <f>HLOOKUP(B11791,#REF!,1,0)</f>
        <v>#REF!</v>
      </c>
      <c r="M11791" s="33" t="str">
        <f t="shared" si="739"/>
        <v>P&amp;L</v>
      </c>
    </row>
    <row r="11792" spans="1:13">
      <c r="A11792" s="33" t="str">
        <f t="shared" si="736"/>
        <v>WOO - Revenue</v>
      </c>
      <c r="B11792" s="33" t="str">
        <f t="shared" si="737"/>
        <v>WOO</v>
      </c>
      <c r="C11792" s="33" t="str">
        <f t="shared" si="738"/>
        <v>41999-0000</v>
      </c>
      <c r="D11792" t="s">
        <v>13094</v>
      </c>
      <c r="E11792" t="s">
        <v>3712</v>
      </c>
      <c r="F11792" t="s">
        <v>230</v>
      </c>
      <c r="G11792" t="s">
        <v>3713</v>
      </c>
      <c r="H11792" t="s">
        <v>2871</v>
      </c>
      <c r="I11792" t="s">
        <v>3714</v>
      </c>
      <c r="J11792" s="70">
        <v>27552.87</v>
      </c>
      <c r="K11792" s="71">
        <v>329739.86</v>
      </c>
      <c r="L11792" s="33" t="e">
        <f>HLOOKUP(B11792,#REF!,1,0)</f>
        <v>#REF!</v>
      </c>
      <c r="M11792" s="33" t="str">
        <f t="shared" si="739"/>
        <v>P&amp;L</v>
      </c>
    </row>
    <row r="11793" spans="1:13">
      <c r="A11793" s="33" t="str">
        <f t="shared" si="736"/>
        <v>WOO - Revenue</v>
      </c>
      <c r="B11793" s="33" t="str">
        <f t="shared" si="737"/>
        <v>WOO</v>
      </c>
      <c r="C11793" s="33" t="str">
        <f t="shared" si="738"/>
        <v>47400-0000</v>
      </c>
      <c r="D11793" t="s">
        <v>13095</v>
      </c>
      <c r="E11793" t="s">
        <v>3716</v>
      </c>
      <c r="F11793" t="s">
        <v>230</v>
      </c>
      <c r="G11793" t="s">
        <v>3717</v>
      </c>
      <c r="H11793" t="s">
        <v>2871</v>
      </c>
      <c r="I11793" t="s">
        <v>3718</v>
      </c>
      <c r="J11793" s="70">
        <v>-27552.87</v>
      </c>
      <c r="K11793" s="71">
        <v>-329739.86</v>
      </c>
      <c r="L11793" s="33" t="e">
        <f>HLOOKUP(B11793,#REF!,1,0)</f>
        <v>#REF!</v>
      </c>
      <c r="M11793" s="33" t="str">
        <f t="shared" si="739"/>
        <v>P&amp;L</v>
      </c>
    </row>
    <row r="11794" spans="1:13">
      <c r="A11794" s="33" t="str">
        <f t="shared" si="736"/>
        <v>WOO - Revenue</v>
      </c>
      <c r="B11794" s="33" t="str">
        <f t="shared" si="737"/>
        <v>WOO</v>
      </c>
      <c r="C11794" s="33" t="str">
        <f t="shared" si="738"/>
        <v>47420-0000</v>
      </c>
      <c r="D11794" t="s">
        <v>13096</v>
      </c>
      <c r="E11794" t="s">
        <v>4154</v>
      </c>
      <c r="F11794" t="s">
        <v>230</v>
      </c>
      <c r="G11794" t="s">
        <v>3717</v>
      </c>
      <c r="H11794" t="s">
        <v>2871</v>
      </c>
      <c r="I11794" t="s">
        <v>4155</v>
      </c>
      <c r="J11794" s="70">
        <v>-87.47</v>
      </c>
      <c r="K11794" s="71">
        <v>-950.95</v>
      </c>
      <c r="L11794" s="33" t="e">
        <f>HLOOKUP(B11794,#REF!,1,0)</f>
        <v>#REF!</v>
      </c>
      <c r="M11794" s="33" t="str">
        <f t="shared" si="739"/>
        <v>P&amp;L</v>
      </c>
    </row>
    <row r="11795" spans="1:13">
      <c r="A11795" s="33" t="str">
        <f t="shared" si="736"/>
        <v>WOO - Revenue</v>
      </c>
      <c r="B11795" s="33" t="str">
        <f t="shared" si="737"/>
        <v>WOO</v>
      </c>
      <c r="C11795" s="33" t="str">
        <f t="shared" si="738"/>
        <v>47430-0000</v>
      </c>
      <c r="D11795" t="s">
        <v>13097</v>
      </c>
      <c r="E11795" t="s">
        <v>4053</v>
      </c>
      <c r="F11795" t="s">
        <v>230</v>
      </c>
      <c r="G11795" t="s">
        <v>3717</v>
      </c>
      <c r="H11795" t="s">
        <v>2871</v>
      </c>
      <c r="I11795" t="s">
        <v>4054</v>
      </c>
      <c r="J11795" s="70">
        <v>-239.75</v>
      </c>
      <c r="K11795" s="71">
        <v>-2879.46</v>
      </c>
      <c r="L11795" s="33" t="e">
        <f>HLOOKUP(B11795,#REF!,1,0)</f>
        <v>#REF!</v>
      </c>
      <c r="M11795" s="33" t="str">
        <f t="shared" si="739"/>
        <v>P&amp;L</v>
      </c>
    </row>
    <row r="11796" spans="1:13">
      <c r="A11796" s="33" t="str">
        <f t="shared" si="736"/>
        <v>WOO - Revenue</v>
      </c>
      <c r="B11796" s="33" t="str">
        <f t="shared" si="737"/>
        <v>WOO</v>
      </c>
      <c r="C11796" s="33" t="str">
        <f t="shared" si="738"/>
        <v>47450-0000</v>
      </c>
      <c r="D11796" t="s">
        <v>13098</v>
      </c>
      <c r="E11796" t="s">
        <v>3723</v>
      </c>
      <c r="F11796" t="s">
        <v>230</v>
      </c>
      <c r="G11796" t="s">
        <v>3717</v>
      </c>
      <c r="H11796" t="s">
        <v>2871</v>
      </c>
      <c r="I11796" t="s">
        <v>3724</v>
      </c>
      <c r="J11796" s="70">
        <v>0</v>
      </c>
      <c r="K11796" s="71">
        <v>0</v>
      </c>
      <c r="L11796" s="33" t="e">
        <f>HLOOKUP(B11796,#REF!,1,0)</f>
        <v>#REF!</v>
      </c>
      <c r="M11796" s="33" t="str">
        <f t="shared" si="739"/>
        <v>P&amp;L</v>
      </c>
    </row>
    <row r="11797" spans="1:13">
      <c r="A11797" s="33" t="str">
        <f t="shared" si="736"/>
        <v>WOO - Revenue</v>
      </c>
      <c r="B11797" s="33" t="str">
        <f t="shared" si="737"/>
        <v>WOO</v>
      </c>
      <c r="C11797" s="33" t="str">
        <f t="shared" si="738"/>
        <v>47460-0000</v>
      </c>
      <c r="D11797" t="s">
        <v>13099</v>
      </c>
      <c r="E11797" t="s">
        <v>3726</v>
      </c>
      <c r="F11797" t="s">
        <v>230</v>
      </c>
      <c r="G11797" t="s">
        <v>3717</v>
      </c>
      <c r="H11797" t="s">
        <v>2871</v>
      </c>
      <c r="I11797" t="s">
        <v>3727</v>
      </c>
      <c r="J11797" s="70">
        <v>0</v>
      </c>
      <c r="K11797" s="71">
        <v>0</v>
      </c>
      <c r="L11797" s="33" t="e">
        <f>HLOOKUP(B11797,#REF!,1,0)</f>
        <v>#REF!</v>
      </c>
      <c r="M11797" s="33" t="str">
        <f t="shared" si="739"/>
        <v>P&amp;L</v>
      </c>
    </row>
    <row r="11798" spans="1:13">
      <c r="A11798" s="33" t="str">
        <f t="shared" si="736"/>
        <v>WOO - Revenue</v>
      </c>
      <c r="B11798" s="33" t="str">
        <f t="shared" si="737"/>
        <v>WOO</v>
      </c>
      <c r="C11798" s="33" t="str">
        <f t="shared" si="738"/>
        <v>47480-0000</v>
      </c>
      <c r="D11798" t="s">
        <v>13100</v>
      </c>
      <c r="E11798" t="s">
        <v>3729</v>
      </c>
      <c r="F11798" t="s">
        <v>230</v>
      </c>
      <c r="G11798" t="s">
        <v>3717</v>
      </c>
      <c r="H11798" t="s">
        <v>2871</v>
      </c>
      <c r="I11798" t="s">
        <v>3721</v>
      </c>
      <c r="J11798" s="70">
        <v>0</v>
      </c>
      <c r="K11798" s="71">
        <v>-90</v>
      </c>
      <c r="L11798" s="33" t="e">
        <f>HLOOKUP(B11798,#REF!,1,0)</f>
        <v>#REF!</v>
      </c>
      <c r="M11798" s="33" t="str">
        <f t="shared" si="739"/>
        <v>P&amp;L</v>
      </c>
    </row>
    <row r="11799" spans="1:13">
      <c r="A11799" s="33" t="str">
        <f t="shared" si="736"/>
        <v>WOO - Revenue</v>
      </c>
      <c r="B11799" s="33" t="str">
        <f t="shared" si="737"/>
        <v>WOO</v>
      </c>
      <c r="C11799" s="33" t="str">
        <f t="shared" si="738"/>
        <v>47490-0000</v>
      </c>
      <c r="D11799" t="s">
        <v>13101</v>
      </c>
      <c r="E11799" t="s">
        <v>3731</v>
      </c>
      <c r="F11799" t="s">
        <v>230</v>
      </c>
      <c r="G11799" t="s">
        <v>3717</v>
      </c>
      <c r="H11799" t="s">
        <v>2871</v>
      </c>
      <c r="I11799" t="s">
        <v>3721</v>
      </c>
      <c r="J11799" s="70">
        <v>0</v>
      </c>
      <c r="K11799" s="71">
        <v>-200</v>
      </c>
      <c r="L11799" s="33" t="e">
        <f>HLOOKUP(B11799,#REF!,1,0)</f>
        <v>#REF!</v>
      </c>
      <c r="M11799" s="33" t="str">
        <f t="shared" si="739"/>
        <v>P&amp;L</v>
      </c>
    </row>
    <row r="11800" spans="1:13">
      <c r="A11800" s="33" t="str">
        <f t="shared" si="736"/>
        <v>WOO - Revenue</v>
      </c>
      <c r="B11800" s="33" t="str">
        <f t="shared" si="737"/>
        <v>WOO</v>
      </c>
      <c r="C11800" s="33" t="str">
        <f t="shared" si="738"/>
        <v>47492-0000</v>
      </c>
      <c r="D11800" t="s">
        <v>13102</v>
      </c>
      <c r="E11800" t="s">
        <v>3736</v>
      </c>
      <c r="F11800" t="s">
        <v>230</v>
      </c>
      <c r="G11800" t="s">
        <v>3717</v>
      </c>
      <c r="H11800" t="s">
        <v>2871</v>
      </c>
      <c r="I11800" t="s">
        <v>3737</v>
      </c>
      <c r="J11800" s="70">
        <v>-165</v>
      </c>
      <c r="K11800" s="71">
        <v>-1516.39</v>
      </c>
      <c r="L11800" s="33" t="e">
        <f>HLOOKUP(B11800,#REF!,1,0)</f>
        <v>#REF!</v>
      </c>
      <c r="M11800" s="33" t="str">
        <f t="shared" si="739"/>
        <v>P&amp;L</v>
      </c>
    </row>
    <row r="11801" spans="1:13">
      <c r="A11801" s="33" t="str">
        <f t="shared" si="736"/>
        <v>WOO - CGS</v>
      </c>
      <c r="B11801" s="33" t="str">
        <f t="shared" si="737"/>
        <v>WOO</v>
      </c>
      <c r="C11801" s="33" t="str">
        <f t="shared" si="738"/>
        <v>51006-0000</v>
      </c>
      <c r="D11801" t="s">
        <v>13103</v>
      </c>
      <c r="E11801" t="s">
        <v>3739</v>
      </c>
      <c r="F11801" t="s">
        <v>230</v>
      </c>
      <c r="G11801" t="s">
        <v>3740</v>
      </c>
      <c r="H11801" t="s">
        <v>1875</v>
      </c>
      <c r="I11801" t="s">
        <v>3741</v>
      </c>
      <c r="J11801" s="70">
        <v>0</v>
      </c>
      <c r="K11801" s="71">
        <v>738.86</v>
      </c>
      <c r="L11801" s="33" t="e">
        <f>HLOOKUP(B11801,#REF!,1,0)</f>
        <v>#REF!</v>
      </c>
      <c r="M11801" s="33" t="str">
        <f t="shared" si="739"/>
        <v>P&amp;L</v>
      </c>
    </row>
    <row r="11802" spans="1:13">
      <c r="A11802" s="33" t="str">
        <f t="shared" si="736"/>
        <v>WOO - CGS</v>
      </c>
      <c r="B11802" s="33" t="str">
        <f t="shared" si="737"/>
        <v>WOO</v>
      </c>
      <c r="C11802" s="33" t="str">
        <f t="shared" si="738"/>
        <v>51008-0000</v>
      </c>
      <c r="D11802" t="s">
        <v>13104</v>
      </c>
      <c r="E11802" t="s">
        <v>3743</v>
      </c>
      <c r="F11802" t="s">
        <v>230</v>
      </c>
      <c r="G11802" t="s">
        <v>3740</v>
      </c>
      <c r="H11802" t="s">
        <v>1875</v>
      </c>
      <c r="I11802" t="s">
        <v>3744</v>
      </c>
      <c r="J11802" s="70">
        <v>220.75</v>
      </c>
      <c r="K11802" s="71">
        <v>1475.25</v>
      </c>
      <c r="L11802" s="33" t="e">
        <f>HLOOKUP(B11802,#REF!,1,0)</f>
        <v>#REF!</v>
      </c>
      <c r="M11802" s="33" t="str">
        <f t="shared" si="739"/>
        <v>P&amp;L</v>
      </c>
    </row>
    <row r="11803" spans="1:13">
      <c r="A11803" s="33" t="str">
        <f t="shared" si="736"/>
        <v>WOO - CGS</v>
      </c>
      <c r="B11803" s="33" t="str">
        <f t="shared" si="737"/>
        <v>WOO</v>
      </c>
      <c r="C11803" s="33" t="str">
        <f t="shared" si="738"/>
        <v>51009-0000</v>
      </c>
      <c r="D11803" t="s">
        <v>13105</v>
      </c>
      <c r="E11803" t="s">
        <v>3746</v>
      </c>
      <c r="F11803" t="s">
        <v>230</v>
      </c>
      <c r="G11803" t="s">
        <v>3740</v>
      </c>
      <c r="H11803" t="s">
        <v>1875</v>
      </c>
      <c r="I11803" t="s">
        <v>3747</v>
      </c>
      <c r="J11803" s="70">
        <v>193.37</v>
      </c>
      <c r="K11803" s="71">
        <v>2242.51</v>
      </c>
      <c r="L11803" s="33" t="e">
        <f>HLOOKUP(B11803,#REF!,1,0)</f>
        <v>#REF!</v>
      </c>
      <c r="M11803" s="33" t="str">
        <f t="shared" si="739"/>
        <v>P&amp;L</v>
      </c>
    </row>
    <row r="11804" spans="1:13">
      <c r="A11804" s="33" t="str">
        <f t="shared" si="736"/>
        <v>WOO - CGS</v>
      </c>
      <c r="B11804" s="33" t="str">
        <f t="shared" si="737"/>
        <v>WOO</v>
      </c>
      <c r="C11804" s="33" t="str">
        <f t="shared" si="738"/>
        <v>51011-0000</v>
      </c>
      <c r="D11804" t="s">
        <v>13106</v>
      </c>
      <c r="E11804" t="s">
        <v>3749</v>
      </c>
      <c r="F11804" t="s">
        <v>230</v>
      </c>
      <c r="G11804" t="s">
        <v>3740</v>
      </c>
      <c r="H11804" t="s">
        <v>1875</v>
      </c>
      <c r="I11804" t="s">
        <v>3750</v>
      </c>
      <c r="J11804" s="70">
        <v>320</v>
      </c>
      <c r="K11804" s="71">
        <v>3600</v>
      </c>
      <c r="L11804" s="33" t="e">
        <f>HLOOKUP(B11804,#REF!,1,0)</f>
        <v>#REF!</v>
      </c>
      <c r="M11804" s="33" t="str">
        <f t="shared" si="739"/>
        <v>P&amp;L</v>
      </c>
    </row>
    <row r="11805" spans="1:13">
      <c r="A11805" s="33" t="str">
        <f t="shared" si="736"/>
        <v>WOO - CGS</v>
      </c>
      <c r="B11805" s="33" t="str">
        <f t="shared" si="737"/>
        <v>WOO</v>
      </c>
      <c r="C11805" s="33" t="str">
        <f t="shared" si="738"/>
        <v>51012-0000</v>
      </c>
      <c r="D11805" t="s">
        <v>13107</v>
      </c>
      <c r="E11805" t="s">
        <v>3752</v>
      </c>
      <c r="F11805" t="s">
        <v>230</v>
      </c>
      <c r="G11805" t="s">
        <v>3740</v>
      </c>
      <c r="H11805" t="s">
        <v>1875</v>
      </c>
      <c r="I11805" t="s">
        <v>3753</v>
      </c>
      <c r="J11805" s="70">
        <v>60</v>
      </c>
      <c r="K11805" s="71">
        <v>1770</v>
      </c>
      <c r="L11805" s="33" t="e">
        <f>HLOOKUP(B11805,#REF!,1,0)</f>
        <v>#REF!</v>
      </c>
      <c r="M11805" s="33" t="str">
        <f t="shared" si="739"/>
        <v>P&amp;L</v>
      </c>
    </row>
    <row r="11806" spans="1:13">
      <c r="A11806" s="33" t="str">
        <f t="shared" si="736"/>
        <v>WOO - CGS</v>
      </c>
      <c r="B11806" s="33" t="str">
        <f t="shared" si="737"/>
        <v>WOO</v>
      </c>
      <c r="C11806" s="33" t="str">
        <f t="shared" si="738"/>
        <v>51015-0000</v>
      </c>
      <c r="D11806" t="s">
        <v>13108</v>
      </c>
      <c r="E11806" t="s">
        <v>3755</v>
      </c>
      <c r="F11806" t="s">
        <v>230</v>
      </c>
      <c r="G11806" t="s">
        <v>3740</v>
      </c>
      <c r="H11806" t="s">
        <v>1875</v>
      </c>
      <c r="I11806" t="s">
        <v>3756</v>
      </c>
      <c r="J11806" s="70">
        <v>0</v>
      </c>
      <c r="K11806" s="71">
        <v>92.45</v>
      </c>
      <c r="L11806" s="33" t="e">
        <f>HLOOKUP(B11806,#REF!,1,0)</f>
        <v>#REF!</v>
      </c>
      <c r="M11806" s="33" t="str">
        <f t="shared" si="739"/>
        <v>P&amp;L</v>
      </c>
    </row>
    <row r="11807" spans="1:13">
      <c r="A11807" s="33" t="str">
        <f t="shared" si="736"/>
        <v>WOO - CGS</v>
      </c>
      <c r="B11807" s="33" t="str">
        <f t="shared" si="737"/>
        <v>WOO</v>
      </c>
      <c r="C11807" s="33" t="str">
        <f t="shared" si="738"/>
        <v>51020-0000</v>
      </c>
      <c r="D11807" t="s">
        <v>13109</v>
      </c>
      <c r="E11807" t="s">
        <v>3763</v>
      </c>
      <c r="F11807" t="s">
        <v>230</v>
      </c>
      <c r="G11807" t="s">
        <v>3740</v>
      </c>
      <c r="H11807" t="s">
        <v>1875</v>
      </c>
      <c r="I11807" t="s">
        <v>3345</v>
      </c>
      <c r="J11807" s="70">
        <v>0</v>
      </c>
      <c r="K11807" s="71">
        <v>0</v>
      </c>
      <c r="L11807" s="33" t="e">
        <f>HLOOKUP(B11807,#REF!,1,0)</f>
        <v>#REF!</v>
      </c>
      <c r="M11807" s="33" t="str">
        <f t="shared" si="739"/>
        <v>P&amp;L</v>
      </c>
    </row>
    <row r="11808" spans="1:13">
      <c r="A11808" s="33" t="str">
        <f t="shared" si="736"/>
        <v>WOO - CGS</v>
      </c>
      <c r="B11808" s="33" t="str">
        <f t="shared" si="737"/>
        <v>WOO</v>
      </c>
      <c r="C11808" s="33" t="str">
        <f t="shared" si="738"/>
        <v>51025-0000</v>
      </c>
      <c r="D11808" t="s">
        <v>13110</v>
      </c>
      <c r="E11808" t="s">
        <v>3988</v>
      </c>
      <c r="F11808" t="s">
        <v>230</v>
      </c>
      <c r="G11808" t="s">
        <v>3740</v>
      </c>
      <c r="H11808" t="s">
        <v>1875</v>
      </c>
      <c r="I11808" t="s">
        <v>3989</v>
      </c>
      <c r="J11808" s="70">
        <v>312.21</v>
      </c>
      <c r="K11808" s="71">
        <v>3172.49</v>
      </c>
      <c r="L11808" s="33" t="e">
        <f>HLOOKUP(B11808,#REF!,1,0)</f>
        <v>#REF!</v>
      </c>
      <c r="M11808" s="33" t="str">
        <f t="shared" si="739"/>
        <v>P&amp;L</v>
      </c>
    </row>
    <row r="11809" spans="1:13">
      <c r="A11809" s="33" t="str">
        <f t="shared" si="736"/>
        <v>WOO - CGS</v>
      </c>
      <c r="B11809" s="33" t="str">
        <f t="shared" si="737"/>
        <v>WOO</v>
      </c>
      <c r="C11809" s="33" t="str">
        <f t="shared" si="738"/>
        <v>53001-0000</v>
      </c>
      <c r="D11809" t="s">
        <v>13111</v>
      </c>
      <c r="E11809" t="s">
        <v>3781</v>
      </c>
      <c r="F11809" t="s">
        <v>230</v>
      </c>
      <c r="G11809" t="s">
        <v>3160</v>
      </c>
      <c r="H11809" t="s">
        <v>1875</v>
      </c>
      <c r="I11809" t="s">
        <v>3782</v>
      </c>
      <c r="J11809" s="70">
        <v>96.95</v>
      </c>
      <c r="K11809" s="71">
        <v>1190.34</v>
      </c>
      <c r="L11809" s="33" t="e">
        <f>HLOOKUP(B11809,#REF!,1,0)</f>
        <v>#REF!</v>
      </c>
      <c r="M11809" s="33" t="str">
        <f t="shared" si="739"/>
        <v>P&amp;L</v>
      </c>
    </row>
    <row r="11810" spans="1:13">
      <c r="A11810" s="33" t="str">
        <f t="shared" si="736"/>
        <v>WOO - CGS</v>
      </c>
      <c r="B11810" s="33" t="str">
        <f t="shared" si="737"/>
        <v>WOO</v>
      </c>
      <c r="C11810" s="33" t="str">
        <f t="shared" si="738"/>
        <v>53002-0000</v>
      </c>
      <c r="D11810" t="s">
        <v>13112</v>
      </c>
      <c r="E11810" t="s">
        <v>3784</v>
      </c>
      <c r="F11810" t="s">
        <v>230</v>
      </c>
      <c r="G11810" t="s">
        <v>3160</v>
      </c>
      <c r="H11810" t="s">
        <v>1875</v>
      </c>
      <c r="I11810" t="s">
        <v>3785</v>
      </c>
      <c r="J11810" s="70">
        <v>528.18</v>
      </c>
      <c r="K11810" s="71">
        <v>5515.72</v>
      </c>
      <c r="L11810" s="33" t="e">
        <f>HLOOKUP(B11810,#REF!,1,0)</f>
        <v>#REF!</v>
      </c>
      <c r="M11810" s="33" t="str">
        <f t="shared" si="739"/>
        <v>P&amp;L</v>
      </c>
    </row>
    <row r="11811" spans="1:13">
      <c r="A11811" s="33" t="str">
        <f t="shared" si="736"/>
        <v>WOO - CGS</v>
      </c>
      <c r="B11811" s="33" t="str">
        <f t="shared" si="737"/>
        <v>WOO</v>
      </c>
      <c r="C11811" s="33" t="str">
        <f t="shared" si="738"/>
        <v>53003-0000</v>
      </c>
      <c r="D11811" t="s">
        <v>13113</v>
      </c>
      <c r="E11811" t="s">
        <v>3787</v>
      </c>
      <c r="F11811" t="s">
        <v>230</v>
      </c>
      <c r="G11811" t="s">
        <v>3160</v>
      </c>
      <c r="H11811" t="s">
        <v>1875</v>
      </c>
      <c r="I11811" t="s">
        <v>3788</v>
      </c>
      <c r="J11811" s="70">
        <v>0</v>
      </c>
      <c r="K11811" s="71">
        <v>1503.74</v>
      </c>
      <c r="L11811" s="33" t="e">
        <f>HLOOKUP(B11811,#REF!,1,0)</f>
        <v>#REF!</v>
      </c>
      <c r="M11811" s="33" t="str">
        <f t="shared" si="739"/>
        <v>P&amp;L</v>
      </c>
    </row>
    <row r="11812" spans="1:13">
      <c r="A11812" s="33" t="str">
        <f t="shared" si="736"/>
        <v>WOO - CGS</v>
      </c>
      <c r="B11812" s="33" t="str">
        <f t="shared" si="737"/>
        <v>WOO</v>
      </c>
      <c r="C11812" s="33" t="str">
        <f t="shared" si="738"/>
        <v>53004-0000</v>
      </c>
      <c r="D11812" t="s">
        <v>13114</v>
      </c>
      <c r="E11812" t="s">
        <v>3790</v>
      </c>
      <c r="F11812" t="s">
        <v>230</v>
      </c>
      <c r="G11812" t="s">
        <v>3160</v>
      </c>
      <c r="H11812" t="s">
        <v>1875</v>
      </c>
      <c r="I11812" t="s">
        <v>3791</v>
      </c>
      <c r="J11812" s="70">
        <v>693</v>
      </c>
      <c r="K11812" s="71">
        <v>9765.73</v>
      </c>
      <c r="L11812" s="33" t="e">
        <f>HLOOKUP(B11812,#REF!,1,0)</f>
        <v>#REF!</v>
      </c>
      <c r="M11812" s="33" t="str">
        <f t="shared" si="739"/>
        <v>P&amp;L</v>
      </c>
    </row>
    <row r="11813" spans="1:13">
      <c r="A11813" s="33" t="str">
        <f t="shared" si="736"/>
        <v>WOO - CGS</v>
      </c>
      <c r="B11813" s="33" t="str">
        <f t="shared" si="737"/>
        <v>WOO</v>
      </c>
      <c r="C11813" s="33" t="str">
        <f t="shared" si="738"/>
        <v>53005-0000</v>
      </c>
      <c r="D11813" t="s">
        <v>13115</v>
      </c>
      <c r="E11813" t="s">
        <v>3793</v>
      </c>
      <c r="F11813" t="s">
        <v>230</v>
      </c>
      <c r="G11813" t="s">
        <v>3160</v>
      </c>
      <c r="H11813" t="s">
        <v>1875</v>
      </c>
      <c r="I11813" t="s">
        <v>3794</v>
      </c>
      <c r="J11813" s="70">
        <v>0</v>
      </c>
      <c r="K11813" s="71">
        <v>12303.36</v>
      </c>
      <c r="L11813" s="33" t="e">
        <f>HLOOKUP(B11813,#REF!,1,0)</f>
        <v>#REF!</v>
      </c>
      <c r="M11813" s="33" t="str">
        <f t="shared" si="739"/>
        <v>P&amp;L</v>
      </c>
    </row>
    <row r="11814" spans="1:13">
      <c r="A11814" s="33" t="str">
        <f t="shared" si="736"/>
        <v>WOO - CGS</v>
      </c>
      <c r="B11814" s="33" t="str">
        <f t="shared" si="737"/>
        <v>WOO</v>
      </c>
      <c r="C11814" s="33" t="str">
        <f t="shared" si="738"/>
        <v>53006-0000</v>
      </c>
      <c r="D11814" t="s">
        <v>13116</v>
      </c>
      <c r="E11814" t="s">
        <v>3796</v>
      </c>
      <c r="F11814" t="s">
        <v>230</v>
      </c>
      <c r="G11814" t="s">
        <v>3160</v>
      </c>
      <c r="H11814" t="s">
        <v>1875</v>
      </c>
      <c r="I11814" t="s">
        <v>3797</v>
      </c>
      <c r="J11814" s="70">
        <v>0</v>
      </c>
      <c r="K11814" s="71">
        <v>17967.68</v>
      </c>
      <c r="L11814" s="33" t="e">
        <f>HLOOKUP(B11814,#REF!,1,0)</f>
        <v>#REF!</v>
      </c>
      <c r="M11814" s="33" t="str">
        <f t="shared" si="739"/>
        <v>P&amp;L</v>
      </c>
    </row>
    <row r="11815" spans="1:13">
      <c r="A11815" s="33" t="str">
        <f t="shared" si="736"/>
        <v>WOO - CGS</v>
      </c>
      <c r="B11815" s="33" t="str">
        <f t="shared" si="737"/>
        <v>WOO</v>
      </c>
      <c r="C11815" s="33" t="str">
        <f t="shared" si="738"/>
        <v>54001-0000</v>
      </c>
      <c r="D11815" t="s">
        <v>13117</v>
      </c>
      <c r="E11815" t="s">
        <v>4008</v>
      </c>
      <c r="F11815" t="s">
        <v>230</v>
      </c>
      <c r="G11815" t="s">
        <v>3800</v>
      </c>
      <c r="H11815" t="s">
        <v>1875</v>
      </c>
      <c r="I11815" t="s">
        <v>4009</v>
      </c>
      <c r="J11815" s="70">
        <v>352.85</v>
      </c>
      <c r="K11815" s="71">
        <v>470.46</v>
      </c>
      <c r="L11815" s="33" t="e">
        <f>HLOOKUP(B11815,#REF!,1,0)</f>
        <v>#REF!</v>
      </c>
      <c r="M11815" s="33" t="str">
        <f t="shared" si="739"/>
        <v>P&amp;L</v>
      </c>
    </row>
    <row r="11816" spans="1:13">
      <c r="A11816" s="33" t="str">
        <f t="shared" si="736"/>
        <v>WOO - CGS</v>
      </c>
      <c r="B11816" s="33" t="str">
        <f t="shared" si="737"/>
        <v>WOO</v>
      </c>
      <c r="C11816" s="33" t="str">
        <f t="shared" si="738"/>
        <v>54002-0000</v>
      </c>
      <c r="D11816" t="s">
        <v>13118</v>
      </c>
      <c r="E11816" t="s">
        <v>3799</v>
      </c>
      <c r="F11816" t="s">
        <v>230</v>
      </c>
      <c r="G11816" t="s">
        <v>3800</v>
      </c>
      <c r="H11816" t="s">
        <v>1875</v>
      </c>
      <c r="I11816" t="s">
        <v>3801</v>
      </c>
      <c r="J11816" s="70">
        <v>0</v>
      </c>
      <c r="K11816" s="71">
        <v>2530</v>
      </c>
      <c r="L11816" s="33" t="e">
        <f>HLOOKUP(B11816,#REF!,1,0)</f>
        <v>#REF!</v>
      </c>
      <c r="M11816" s="33" t="str">
        <f t="shared" si="739"/>
        <v>P&amp;L</v>
      </c>
    </row>
    <row r="11817" spans="1:13">
      <c r="A11817" s="33" t="str">
        <f t="shared" si="736"/>
        <v>WOO - CGS</v>
      </c>
      <c r="B11817" s="33" t="str">
        <f t="shared" si="737"/>
        <v>WOO</v>
      </c>
      <c r="C11817" s="33" t="str">
        <f t="shared" si="738"/>
        <v>54003-0000</v>
      </c>
      <c r="D11817" t="s">
        <v>13119</v>
      </c>
      <c r="E11817" t="s">
        <v>3803</v>
      </c>
      <c r="F11817" t="s">
        <v>230</v>
      </c>
      <c r="G11817" t="s">
        <v>3800</v>
      </c>
      <c r="H11817" t="s">
        <v>1875</v>
      </c>
      <c r="I11817" t="s">
        <v>3804</v>
      </c>
      <c r="J11817" s="70">
        <v>0</v>
      </c>
      <c r="K11817" s="71">
        <v>0</v>
      </c>
      <c r="L11817" s="33" t="e">
        <f>HLOOKUP(B11817,#REF!,1,0)</f>
        <v>#REF!</v>
      </c>
      <c r="M11817" s="33" t="str">
        <f t="shared" si="739"/>
        <v>P&amp;L</v>
      </c>
    </row>
    <row r="11818" spans="1:13">
      <c r="A11818" s="33" t="str">
        <f t="shared" si="736"/>
        <v>WOO - CGS</v>
      </c>
      <c r="B11818" s="33" t="str">
        <f t="shared" si="737"/>
        <v>WOO</v>
      </c>
      <c r="C11818" s="33" t="str">
        <f t="shared" si="738"/>
        <v>54004-0000</v>
      </c>
      <c r="D11818" t="s">
        <v>13120</v>
      </c>
      <c r="E11818" t="s">
        <v>3806</v>
      </c>
      <c r="F11818" t="s">
        <v>230</v>
      </c>
      <c r="G11818" t="s">
        <v>3800</v>
      </c>
      <c r="H11818" t="s">
        <v>1875</v>
      </c>
      <c r="I11818" t="s">
        <v>3807</v>
      </c>
      <c r="J11818" s="70">
        <v>494.4</v>
      </c>
      <c r="K11818" s="71">
        <v>5199.43</v>
      </c>
      <c r="L11818" s="33" t="e">
        <f>HLOOKUP(B11818,#REF!,1,0)</f>
        <v>#REF!</v>
      </c>
      <c r="M11818" s="33" t="str">
        <f t="shared" si="739"/>
        <v>P&amp;L</v>
      </c>
    </row>
    <row r="11819" spans="1:13">
      <c r="A11819" s="33" t="str">
        <f t="shared" si="736"/>
        <v>WOO - CGS</v>
      </c>
      <c r="B11819" s="33" t="str">
        <f t="shared" si="737"/>
        <v>WOO</v>
      </c>
      <c r="C11819" s="33" t="str">
        <f t="shared" si="738"/>
        <v>54005-0000</v>
      </c>
      <c r="D11819" t="s">
        <v>13121</v>
      </c>
      <c r="E11819" t="s">
        <v>3809</v>
      </c>
      <c r="F11819" t="s">
        <v>230</v>
      </c>
      <c r="G11819" t="s">
        <v>3800</v>
      </c>
      <c r="H11819" t="s">
        <v>1875</v>
      </c>
      <c r="I11819" t="s">
        <v>3810</v>
      </c>
      <c r="J11819" s="70">
        <v>11.73</v>
      </c>
      <c r="K11819" s="71">
        <v>160.48</v>
      </c>
      <c r="L11819" s="33" t="e">
        <f>HLOOKUP(B11819,#REF!,1,0)</f>
        <v>#REF!</v>
      </c>
      <c r="M11819" s="33" t="str">
        <f t="shared" si="739"/>
        <v>P&amp;L</v>
      </c>
    </row>
    <row r="11820" spans="1:13">
      <c r="A11820" s="33" t="str">
        <f t="shared" si="736"/>
        <v>WOO - CGS</v>
      </c>
      <c r="B11820" s="33" t="str">
        <f t="shared" si="737"/>
        <v>WOO</v>
      </c>
      <c r="C11820" s="33" t="str">
        <f t="shared" si="738"/>
        <v>54006-0000</v>
      </c>
      <c r="D11820" t="s">
        <v>13122</v>
      </c>
      <c r="E11820" t="s">
        <v>3812</v>
      </c>
      <c r="F11820" t="s">
        <v>230</v>
      </c>
      <c r="G11820" t="s">
        <v>3800</v>
      </c>
      <c r="H11820" t="s">
        <v>1875</v>
      </c>
      <c r="I11820" t="s">
        <v>3003</v>
      </c>
      <c r="J11820" s="70">
        <v>38.4</v>
      </c>
      <c r="K11820" s="71">
        <v>664.43</v>
      </c>
      <c r="L11820" s="33" t="e">
        <f>HLOOKUP(B11820,#REF!,1,0)</f>
        <v>#REF!</v>
      </c>
      <c r="M11820" s="33" t="str">
        <f t="shared" si="739"/>
        <v>P&amp;L</v>
      </c>
    </row>
    <row r="11821" spans="1:13">
      <c r="A11821" s="33" t="str">
        <f t="shared" si="736"/>
        <v>WOO - CGS</v>
      </c>
      <c r="B11821" s="33" t="str">
        <f t="shared" si="737"/>
        <v>WOO</v>
      </c>
      <c r="C11821" s="33" t="str">
        <f t="shared" si="738"/>
        <v>54007-0000</v>
      </c>
      <c r="D11821" t="s">
        <v>13123</v>
      </c>
      <c r="E11821" t="s">
        <v>4182</v>
      </c>
      <c r="F11821" t="s">
        <v>230</v>
      </c>
      <c r="G11821" t="s">
        <v>3800</v>
      </c>
      <c r="H11821" t="s">
        <v>1875</v>
      </c>
      <c r="I11821" t="s">
        <v>3815</v>
      </c>
      <c r="J11821" s="70">
        <v>0</v>
      </c>
      <c r="K11821" s="71">
        <v>2301.49</v>
      </c>
      <c r="L11821" s="33" t="e">
        <f>HLOOKUP(B11821,#REF!,1,0)</f>
        <v>#REF!</v>
      </c>
      <c r="M11821" s="33" t="str">
        <f t="shared" si="739"/>
        <v>P&amp;L</v>
      </c>
    </row>
    <row r="11822" spans="1:13">
      <c r="A11822" s="33" t="str">
        <f t="shared" si="736"/>
        <v>WOO - CGS</v>
      </c>
      <c r="B11822" s="33" t="str">
        <f t="shared" si="737"/>
        <v>WOO</v>
      </c>
      <c r="C11822" s="33" t="str">
        <f t="shared" si="738"/>
        <v>54008-0000</v>
      </c>
      <c r="D11822" t="s">
        <v>13124</v>
      </c>
      <c r="E11822" t="s">
        <v>4017</v>
      </c>
      <c r="F11822" t="s">
        <v>230</v>
      </c>
      <c r="G11822" t="s">
        <v>3800</v>
      </c>
      <c r="H11822" t="s">
        <v>1875</v>
      </c>
      <c r="I11822" t="s">
        <v>4018</v>
      </c>
      <c r="J11822" s="70">
        <v>14.83</v>
      </c>
      <c r="K11822" s="71">
        <v>0</v>
      </c>
      <c r="L11822" s="33" t="e">
        <f>HLOOKUP(B11822,#REF!,1,0)</f>
        <v>#REF!</v>
      </c>
      <c r="M11822" s="33" t="str">
        <f t="shared" si="739"/>
        <v>P&amp;L</v>
      </c>
    </row>
    <row r="11823" spans="1:13">
      <c r="A11823" s="33" t="str">
        <f t="shared" si="736"/>
        <v>WOO - Capital-Remodel</v>
      </c>
      <c r="B11823" s="33" t="str">
        <f t="shared" si="737"/>
        <v>WOO</v>
      </c>
      <c r="C11823" s="33" t="str">
        <f t="shared" si="738"/>
        <v>55000-0000</v>
      </c>
      <c r="D11823" t="s">
        <v>13125</v>
      </c>
      <c r="E11823" t="s">
        <v>4020</v>
      </c>
      <c r="F11823" t="s">
        <v>230</v>
      </c>
      <c r="G11823" t="s">
        <v>3818</v>
      </c>
      <c r="H11823" t="s">
        <v>4021</v>
      </c>
      <c r="I11823" t="s">
        <v>4022</v>
      </c>
      <c r="J11823" s="70">
        <v>0</v>
      </c>
      <c r="K11823" s="71">
        <v>4800</v>
      </c>
      <c r="L11823" s="33" t="e">
        <f>HLOOKUP(B11823,#REF!,1,0)</f>
        <v>#REF!</v>
      </c>
      <c r="M11823" s="33" t="str">
        <f t="shared" si="739"/>
        <v>P&amp;L</v>
      </c>
    </row>
    <row r="11824" spans="1:13">
      <c r="A11824" s="33" t="str">
        <f t="shared" si="736"/>
        <v>WOO - PM Expenses</v>
      </c>
      <c r="B11824" s="33" t="str">
        <f t="shared" si="737"/>
        <v>WOO</v>
      </c>
      <c r="C11824" s="33" t="str">
        <f t="shared" si="738"/>
        <v>55501-0000</v>
      </c>
      <c r="D11824" t="s">
        <v>13126</v>
      </c>
      <c r="E11824" t="s">
        <v>3817</v>
      </c>
      <c r="F11824" t="s">
        <v>230</v>
      </c>
      <c r="G11824" t="s">
        <v>3818</v>
      </c>
      <c r="H11824" t="s">
        <v>3819</v>
      </c>
      <c r="I11824" t="s">
        <v>3820</v>
      </c>
      <c r="J11824" s="70">
        <v>250</v>
      </c>
      <c r="K11824" s="71">
        <v>2050</v>
      </c>
      <c r="L11824" s="33" t="e">
        <f>HLOOKUP(B11824,#REF!,1,0)</f>
        <v>#REF!</v>
      </c>
      <c r="M11824" s="33" t="str">
        <f t="shared" si="739"/>
        <v>P&amp;L</v>
      </c>
    </row>
    <row r="11825" spans="1:13">
      <c r="A11825" s="33" t="str">
        <f t="shared" si="736"/>
        <v>WOO - PM Expenses</v>
      </c>
      <c r="B11825" s="33" t="str">
        <f t="shared" si="737"/>
        <v>WOO</v>
      </c>
      <c r="C11825" s="33" t="str">
        <f t="shared" si="738"/>
        <v>55502-0000</v>
      </c>
      <c r="D11825" t="s">
        <v>13127</v>
      </c>
      <c r="E11825" t="s">
        <v>3822</v>
      </c>
      <c r="F11825" t="s">
        <v>230</v>
      </c>
      <c r="G11825" t="s">
        <v>3818</v>
      </c>
      <c r="H11825" t="s">
        <v>3819</v>
      </c>
      <c r="I11825" t="s">
        <v>3823</v>
      </c>
      <c r="J11825" s="70">
        <v>0</v>
      </c>
      <c r="K11825" s="71">
        <v>588</v>
      </c>
      <c r="L11825" s="33" t="e">
        <f>HLOOKUP(B11825,#REF!,1,0)</f>
        <v>#REF!</v>
      </c>
      <c r="M11825" s="33" t="str">
        <f t="shared" si="739"/>
        <v>P&amp;L</v>
      </c>
    </row>
    <row r="11826" spans="1:13">
      <c r="A11826" s="33" t="str">
        <f t="shared" si="736"/>
        <v>WOO - PM Expenses</v>
      </c>
      <c r="B11826" s="33" t="str">
        <f t="shared" si="737"/>
        <v>WOO</v>
      </c>
      <c r="C11826" s="33" t="str">
        <f t="shared" si="738"/>
        <v>55503-0000</v>
      </c>
      <c r="D11826" t="s">
        <v>13128</v>
      </c>
      <c r="E11826" t="s">
        <v>3825</v>
      </c>
      <c r="F11826" t="s">
        <v>230</v>
      </c>
      <c r="G11826" t="s">
        <v>3818</v>
      </c>
      <c r="H11826" t="s">
        <v>3819</v>
      </c>
      <c r="I11826" t="s">
        <v>3826</v>
      </c>
      <c r="J11826" s="70">
        <v>1440.83</v>
      </c>
      <c r="K11826" s="71">
        <v>4564.83</v>
      </c>
      <c r="L11826" s="33" t="e">
        <f>HLOOKUP(B11826,#REF!,1,0)</f>
        <v>#REF!</v>
      </c>
      <c r="M11826" s="33" t="str">
        <f t="shared" si="739"/>
        <v>P&amp;L</v>
      </c>
    </row>
    <row r="11827" spans="1:13">
      <c r="A11827" s="33" t="str">
        <f t="shared" si="736"/>
        <v>WOO - PM Expenses</v>
      </c>
      <c r="B11827" s="33" t="str">
        <f t="shared" si="737"/>
        <v>WOO</v>
      </c>
      <c r="C11827" s="33" t="str">
        <f t="shared" si="738"/>
        <v>55505-0000</v>
      </c>
      <c r="D11827" t="s">
        <v>13129</v>
      </c>
      <c r="E11827" t="s">
        <v>3828</v>
      </c>
      <c r="F11827" t="s">
        <v>230</v>
      </c>
      <c r="G11827" t="s">
        <v>3818</v>
      </c>
      <c r="H11827" t="s">
        <v>3819</v>
      </c>
      <c r="I11827" t="s">
        <v>3829</v>
      </c>
      <c r="J11827" s="70">
        <v>740.62</v>
      </c>
      <c r="K11827" s="71">
        <v>6255.84</v>
      </c>
      <c r="L11827" s="33" t="e">
        <f>HLOOKUP(B11827,#REF!,1,0)</f>
        <v>#REF!</v>
      </c>
      <c r="M11827" s="33" t="str">
        <f t="shared" si="739"/>
        <v>P&amp;L</v>
      </c>
    </row>
    <row r="11828" spans="1:13">
      <c r="A11828" s="33" t="str">
        <f t="shared" si="736"/>
        <v>WOO - PM Expenses</v>
      </c>
      <c r="B11828" s="33" t="str">
        <f t="shared" si="737"/>
        <v>WOO</v>
      </c>
      <c r="C11828" s="33" t="str">
        <f t="shared" si="738"/>
        <v>55506-0000</v>
      </c>
      <c r="D11828" t="s">
        <v>13130</v>
      </c>
      <c r="E11828" t="s">
        <v>3831</v>
      </c>
      <c r="F11828" t="s">
        <v>230</v>
      </c>
      <c r="G11828" t="s">
        <v>3818</v>
      </c>
      <c r="H11828" t="s">
        <v>3819</v>
      </c>
      <c r="I11828" t="s">
        <v>3832</v>
      </c>
      <c r="J11828" s="70">
        <v>0</v>
      </c>
      <c r="K11828" s="71">
        <v>26813.48</v>
      </c>
      <c r="L11828" s="33" t="e">
        <f>HLOOKUP(B11828,#REF!,1,0)</f>
        <v>#REF!</v>
      </c>
      <c r="M11828" s="33" t="str">
        <f t="shared" si="739"/>
        <v>P&amp;L</v>
      </c>
    </row>
    <row r="11829" spans="1:13">
      <c r="A11829" s="33" t="str">
        <f t="shared" si="736"/>
        <v>WOO - PM Expenses</v>
      </c>
      <c r="B11829" s="33" t="str">
        <f t="shared" si="737"/>
        <v>WOO</v>
      </c>
      <c r="C11829" s="33" t="str">
        <f t="shared" si="738"/>
        <v>55508-0000</v>
      </c>
      <c r="D11829" t="s">
        <v>13131</v>
      </c>
      <c r="E11829" t="s">
        <v>4351</v>
      </c>
      <c r="F11829" t="s">
        <v>230</v>
      </c>
      <c r="G11829" t="s">
        <v>3818</v>
      </c>
      <c r="H11829" t="s">
        <v>3819</v>
      </c>
      <c r="I11829" t="s">
        <v>4352</v>
      </c>
      <c r="J11829" s="70">
        <v>70.5</v>
      </c>
      <c r="K11829" s="71">
        <v>70.5</v>
      </c>
      <c r="L11829" s="33" t="e">
        <f>HLOOKUP(B11829,#REF!,1,0)</f>
        <v>#REF!</v>
      </c>
      <c r="M11829" s="33" t="str">
        <f t="shared" si="739"/>
        <v>P&amp;L</v>
      </c>
    </row>
    <row r="11830" spans="1:13">
      <c r="A11830" s="33" t="str">
        <f t="shared" si="736"/>
        <v>WOO - CGS</v>
      </c>
      <c r="B11830" s="33" t="str">
        <f t="shared" si="737"/>
        <v>WOO</v>
      </c>
      <c r="C11830" s="33" t="str">
        <f t="shared" si="738"/>
        <v>60001-0000</v>
      </c>
      <c r="D11830" t="s">
        <v>13132</v>
      </c>
      <c r="E11830" t="s">
        <v>4192</v>
      </c>
      <c r="F11830" t="s">
        <v>230</v>
      </c>
      <c r="G11830" t="s">
        <v>3838</v>
      </c>
      <c r="H11830" t="s">
        <v>1875</v>
      </c>
      <c r="I11830" t="s">
        <v>4193</v>
      </c>
      <c r="J11830" s="70">
        <v>0</v>
      </c>
      <c r="K11830" s="71">
        <v>2560.56</v>
      </c>
      <c r="L11830" s="33" t="e">
        <f>HLOOKUP(B11830,#REF!,1,0)</f>
        <v>#REF!</v>
      </c>
      <c r="M11830" s="33" t="str">
        <f t="shared" si="739"/>
        <v>P&amp;L</v>
      </c>
    </row>
    <row r="11831" spans="1:13">
      <c r="A11831" s="33" t="str">
        <f t="shared" si="736"/>
        <v>WOO - CGS</v>
      </c>
      <c r="B11831" s="33" t="str">
        <f t="shared" si="737"/>
        <v>WOO</v>
      </c>
      <c r="C11831" s="33" t="str">
        <f t="shared" si="738"/>
        <v>60002-0000</v>
      </c>
      <c r="D11831" t="s">
        <v>13133</v>
      </c>
      <c r="E11831" t="s">
        <v>3837</v>
      </c>
      <c r="F11831" t="s">
        <v>230</v>
      </c>
      <c r="G11831" t="s">
        <v>3838</v>
      </c>
      <c r="H11831" t="s">
        <v>1875</v>
      </c>
      <c r="I11831" t="s">
        <v>3839</v>
      </c>
      <c r="J11831" s="70">
        <v>295.62</v>
      </c>
      <c r="K11831" s="71">
        <v>1183.42</v>
      </c>
      <c r="L11831" s="33" t="e">
        <f>HLOOKUP(B11831,#REF!,1,0)</f>
        <v>#REF!</v>
      </c>
      <c r="M11831" s="33" t="str">
        <f t="shared" si="739"/>
        <v>P&amp;L</v>
      </c>
    </row>
    <row r="11832" spans="1:13">
      <c r="A11832" s="33" t="str">
        <f t="shared" si="736"/>
        <v>WOO - CGS</v>
      </c>
      <c r="B11832" s="33" t="str">
        <f t="shared" si="737"/>
        <v>WOO</v>
      </c>
      <c r="C11832" s="33" t="str">
        <f t="shared" si="738"/>
        <v>60005-0000</v>
      </c>
      <c r="D11832" t="s">
        <v>13134</v>
      </c>
      <c r="E11832" t="s">
        <v>3841</v>
      </c>
      <c r="F11832" t="s">
        <v>230</v>
      </c>
      <c r="G11832" t="s">
        <v>3838</v>
      </c>
      <c r="H11832" t="s">
        <v>1875</v>
      </c>
      <c r="I11832" t="s">
        <v>3842</v>
      </c>
      <c r="J11832" s="70">
        <v>626.4</v>
      </c>
      <c r="K11832" s="71">
        <v>7677.62</v>
      </c>
      <c r="L11832" s="33" t="e">
        <f>HLOOKUP(B11832,#REF!,1,0)</f>
        <v>#REF!</v>
      </c>
      <c r="M11832" s="33" t="str">
        <f t="shared" si="739"/>
        <v>P&amp;L</v>
      </c>
    </row>
    <row r="11833" spans="1:13">
      <c r="A11833" s="33" t="str">
        <f t="shared" si="736"/>
        <v>WOO - Interest Expense</v>
      </c>
      <c r="B11833" s="33" t="str">
        <f t="shared" si="737"/>
        <v>WOO</v>
      </c>
      <c r="C11833" s="33" t="str">
        <f t="shared" si="738"/>
        <v>60006-0000</v>
      </c>
      <c r="D11833" t="s">
        <v>13135</v>
      </c>
      <c r="E11833" t="s">
        <v>3325</v>
      </c>
      <c r="F11833" t="s">
        <v>230</v>
      </c>
      <c r="G11833" t="s">
        <v>3844</v>
      </c>
      <c r="H11833" t="s">
        <v>3327</v>
      </c>
      <c r="I11833" t="s">
        <v>3328</v>
      </c>
      <c r="J11833" s="70">
        <v>6278.24</v>
      </c>
      <c r="K11833" s="71">
        <v>60033.26</v>
      </c>
      <c r="L11833" s="33" t="e">
        <f>HLOOKUP(B11833,#REF!,1,0)</f>
        <v>#REF!</v>
      </c>
      <c r="M11833" s="33" t="str">
        <f t="shared" si="739"/>
        <v>P&amp;L</v>
      </c>
    </row>
    <row r="11834" spans="1:13">
      <c r="A11834" s="33" t="str">
        <f t="shared" si="736"/>
        <v>WOO - CGS</v>
      </c>
      <c r="B11834" s="33" t="str">
        <f t="shared" si="737"/>
        <v>WOO</v>
      </c>
      <c r="C11834" s="33" t="str">
        <f t="shared" si="738"/>
        <v>60007-0000</v>
      </c>
      <c r="D11834" t="s">
        <v>13136</v>
      </c>
      <c r="E11834" t="s">
        <v>3846</v>
      </c>
      <c r="F11834" t="s">
        <v>230</v>
      </c>
      <c r="G11834" t="s">
        <v>3838</v>
      </c>
      <c r="H11834" t="s">
        <v>1875</v>
      </c>
      <c r="I11834" t="s">
        <v>3847</v>
      </c>
      <c r="J11834" s="70">
        <v>0</v>
      </c>
      <c r="K11834" s="71">
        <v>801</v>
      </c>
      <c r="L11834" s="33" t="e">
        <f>HLOOKUP(B11834,#REF!,1,0)</f>
        <v>#REF!</v>
      </c>
      <c r="M11834" s="33" t="str">
        <f t="shared" si="739"/>
        <v>P&amp;L</v>
      </c>
    </row>
    <row r="11835" spans="1:13">
      <c r="A11835" s="33" t="str">
        <f t="shared" si="736"/>
        <v>WOO - CGS</v>
      </c>
      <c r="B11835" s="33" t="str">
        <f t="shared" si="737"/>
        <v>WOO</v>
      </c>
      <c r="C11835" s="33" t="str">
        <f t="shared" si="738"/>
        <v>60008-0000</v>
      </c>
      <c r="D11835" t="s">
        <v>13137</v>
      </c>
      <c r="E11835" t="s">
        <v>3849</v>
      </c>
      <c r="F11835" t="s">
        <v>230</v>
      </c>
      <c r="G11835" t="s">
        <v>3838</v>
      </c>
      <c r="H11835" t="s">
        <v>1875</v>
      </c>
      <c r="I11835" t="s">
        <v>3850</v>
      </c>
      <c r="J11835" s="70">
        <v>1195</v>
      </c>
      <c r="K11835" s="71">
        <v>1195</v>
      </c>
      <c r="L11835" s="33" t="e">
        <f>HLOOKUP(B11835,#REF!,1,0)</f>
        <v>#REF!</v>
      </c>
      <c r="M11835" s="33" t="str">
        <f t="shared" si="739"/>
        <v>P&amp;L</v>
      </c>
    </row>
    <row r="11836" spans="1:13">
      <c r="A11836" s="33" t="str">
        <f t="shared" si="736"/>
        <v>WOO - CGS</v>
      </c>
      <c r="B11836" s="33" t="str">
        <f t="shared" si="737"/>
        <v>WOO</v>
      </c>
      <c r="C11836" s="33" t="str">
        <f t="shared" si="738"/>
        <v>60011-0000</v>
      </c>
      <c r="D11836" t="s">
        <v>13138</v>
      </c>
      <c r="E11836" t="s">
        <v>4199</v>
      </c>
      <c r="F11836" t="s">
        <v>230</v>
      </c>
      <c r="G11836" t="s">
        <v>3838</v>
      </c>
      <c r="H11836" t="s">
        <v>1875</v>
      </c>
      <c r="I11836" t="s">
        <v>4200</v>
      </c>
      <c r="J11836" s="70">
        <v>0</v>
      </c>
      <c r="K11836" s="71">
        <v>485.5</v>
      </c>
      <c r="L11836" s="33" t="e">
        <f>HLOOKUP(B11836,#REF!,1,0)</f>
        <v>#REF!</v>
      </c>
      <c r="M11836" s="33" t="str">
        <f t="shared" si="739"/>
        <v>P&amp;L</v>
      </c>
    </row>
    <row r="11837" spans="1:13">
      <c r="A11837" s="33" t="str">
        <f t="shared" si="736"/>
        <v>WOO - CGS</v>
      </c>
      <c r="B11837" s="33" t="str">
        <f t="shared" si="737"/>
        <v>WOO</v>
      </c>
      <c r="C11837" s="33" t="str">
        <f t="shared" si="738"/>
        <v>60012-0000</v>
      </c>
      <c r="D11837" t="s">
        <v>13139</v>
      </c>
      <c r="E11837" t="s">
        <v>3852</v>
      </c>
      <c r="F11837" t="s">
        <v>230</v>
      </c>
      <c r="G11837" t="s">
        <v>3838</v>
      </c>
      <c r="H11837" t="s">
        <v>1875</v>
      </c>
      <c r="I11837" t="s">
        <v>3853</v>
      </c>
      <c r="J11837" s="70">
        <v>0</v>
      </c>
      <c r="K11837" s="71">
        <v>29017.94</v>
      </c>
      <c r="L11837" s="33" t="e">
        <f>HLOOKUP(B11837,#REF!,1,0)</f>
        <v>#REF!</v>
      </c>
      <c r="M11837" s="33" t="str">
        <f t="shared" si="739"/>
        <v>P&amp;L</v>
      </c>
    </row>
    <row r="11838" spans="1:13">
      <c r="A11838" s="33" t="str">
        <f t="shared" si="736"/>
        <v>WOO - CGS</v>
      </c>
      <c r="B11838" s="33" t="str">
        <f t="shared" si="737"/>
        <v>WOO</v>
      </c>
      <c r="C11838" s="33" t="str">
        <f t="shared" si="738"/>
        <v>60014-0000</v>
      </c>
      <c r="D11838" t="s">
        <v>13140</v>
      </c>
      <c r="E11838" t="s">
        <v>3855</v>
      </c>
      <c r="F11838" t="s">
        <v>230</v>
      </c>
      <c r="G11838" t="s">
        <v>3838</v>
      </c>
      <c r="H11838" t="s">
        <v>1875</v>
      </c>
      <c r="I11838" t="s">
        <v>3856</v>
      </c>
      <c r="J11838" s="70">
        <v>1682.71</v>
      </c>
      <c r="K11838" s="71">
        <v>19416.7</v>
      </c>
      <c r="L11838" s="33" t="e">
        <f>HLOOKUP(B11838,#REF!,1,0)</f>
        <v>#REF!</v>
      </c>
      <c r="M11838" s="33" t="str">
        <f t="shared" si="739"/>
        <v>P&amp;L</v>
      </c>
    </row>
    <row r="11839" spans="1:13">
      <c r="A11839" s="33" t="str">
        <f t="shared" si="736"/>
        <v>WOO - CGS</v>
      </c>
      <c r="B11839" s="33" t="str">
        <f t="shared" si="737"/>
        <v>WOO</v>
      </c>
      <c r="C11839" s="33" t="str">
        <f t="shared" si="738"/>
        <v>60015-0000</v>
      </c>
      <c r="D11839" t="s">
        <v>13141</v>
      </c>
      <c r="E11839" t="s">
        <v>3858</v>
      </c>
      <c r="F11839" t="s">
        <v>230</v>
      </c>
      <c r="G11839" t="s">
        <v>3838</v>
      </c>
      <c r="H11839" t="s">
        <v>1875</v>
      </c>
      <c r="I11839" t="s">
        <v>3859</v>
      </c>
      <c r="J11839" s="70">
        <v>0</v>
      </c>
      <c r="K11839" s="71">
        <v>831.85</v>
      </c>
      <c r="L11839" s="33" t="e">
        <f>HLOOKUP(B11839,#REF!,1,0)</f>
        <v>#REF!</v>
      </c>
      <c r="M11839" s="33" t="str">
        <f t="shared" si="739"/>
        <v>P&amp;L</v>
      </c>
    </row>
    <row r="11840" spans="1:13">
      <c r="A11840" s="33" t="str">
        <f t="shared" si="736"/>
        <v>WOO - Income Tax</v>
      </c>
      <c r="B11840" s="33" t="str">
        <f t="shared" si="737"/>
        <v>WOO</v>
      </c>
      <c r="C11840" s="33" t="str">
        <f t="shared" si="738"/>
        <v>61019-0000</v>
      </c>
      <c r="D11840" t="s">
        <v>13142</v>
      </c>
      <c r="E11840" t="s">
        <v>4041</v>
      </c>
      <c r="F11840" t="s">
        <v>230</v>
      </c>
      <c r="G11840" t="s">
        <v>3844</v>
      </c>
      <c r="H11840" t="s">
        <v>3378</v>
      </c>
      <c r="I11840" t="s">
        <v>4042</v>
      </c>
      <c r="J11840" s="70">
        <v>0</v>
      </c>
      <c r="K11840" s="71">
        <v>1700</v>
      </c>
      <c r="L11840" s="33" t="e">
        <f>HLOOKUP(B11840,#REF!,1,0)</f>
        <v>#REF!</v>
      </c>
      <c r="M11840" s="33" t="str">
        <f t="shared" si="739"/>
        <v>P&amp;L</v>
      </c>
    </row>
    <row r="11841" spans="1:13">
      <c r="A11841" s="33" t="str">
        <f t="shared" si="736"/>
        <v>WOO - Legal Settlement</v>
      </c>
      <c r="B11841" s="33" t="str">
        <f t="shared" si="737"/>
        <v>WOO</v>
      </c>
      <c r="C11841" s="33" t="str">
        <f t="shared" si="738"/>
        <v>70400-0000</v>
      </c>
      <c r="D11841" t="s">
        <v>13143</v>
      </c>
      <c r="E11841" t="s">
        <v>5158</v>
      </c>
      <c r="F11841" t="s">
        <v>230</v>
      </c>
      <c r="G11841" t="s">
        <v>3844</v>
      </c>
      <c r="H11841" t="s">
        <v>5159</v>
      </c>
      <c r="I11841" t="s">
        <v>5160</v>
      </c>
      <c r="J11841" s="70">
        <v>0</v>
      </c>
      <c r="K11841" s="71">
        <v>5000</v>
      </c>
      <c r="L11841" s="33" t="e">
        <f>HLOOKUP(B11841,#REF!,1,0)</f>
        <v>#REF!</v>
      </c>
      <c r="M11841" s="33" t="str">
        <f t="shared" si="739"/>
        <v>P&amp;L</v>
      </c>
    </row>
    <row r="11842" spans="1:13">
      <c r="A11842" s="33" t="str">
        <f t="shared" ref="A11842:A11905" si="740">B11842&amp;" - "&amp;TRIM(H11842)</f>
        <v>ZPI - Fixed Assets</v>
      </c>
      <c r="B11842" s="33" t="str">
        <f t="shared" ref="B11842:B11905" si="741">LEFT(D11842,3)</f>
        <v>ZPI</v>
      </c>
      <c r="C11842" s="33" t="str">
        <f t="shared" ref="C11842:C11905" si="742">RIGHT(D11842,10)</f>
        <v>15501-0000</v>
      </c>
      <c r="D11842" s="13" t="s">
        <v>13144</v>
      </c>
      <c r="E11842" t="s">
        <v>2635</v>
      </c>
      <c r="F11842" t="s">
        <v>230</v>
      </c>
      <c r="G11842" t="s">
        <v>62</v>
      </c>
      <c r="H11842" t="s">
        <v>63</v>
      </c>
      <c r="I11842" t="s">
        <v>64</v>
      </c>
      <c r="J11842" s="70">
        <v>0</v>
      </c>
      <c r="K11842" s="71">
        <v>4900.42</v>
      </c>
      <c r="L11842" s="33" t="e">
        <f>HLOOKUP(B11842,#REF!,1,0)</f>
        <v>#REF!</v>
      </c>
      <c r="M11842" s="33" t="str">
        <f t="shared" ref="M11842:M11905" si="743">IF(VALUE(LEFT(C11842,5))&gt;40000,"P&amp;L","BS")</f>
        <v>BS</v>
      </c>
    </row>
    <row r="11843" spans="1:13">
      <c r="A11843" s="33" t="str">
        <f t="shared" si="740"/>
        <v>ZPI - Revenue</v>
      </c>
      <c r="B11843" s="33" t="str">
        <f t="shared" si="741"/>
        <v>ZPI</v>
      </c>
      <c r="C11843" s="33" t="str">
        <f t="shared" si="742"/>
        <v>40110-0000</v>
      </c>
      <c r="D11843" s="13" t="s">
        <v>13145</v>
      </c>
      <c r="E11843" t="s">
        <v>3683</v>
      </c>
      <c r="F11843" t="s">
        <v>230</v>
      </c>
      <c r="G11843" t="s">
        <v>3684</v>
      </c>
      <c r="H11843" t="s">
        <v>2871</v>
      </c>
      <c r="I11843" t="s">
        <v>3685</v>
      </c>
      <c r="J11843" s="70">
        <v>0</v>
      </c>
      <c r="K11843" s="71">
        <v>-2404354.9</v>
      </c>
      <c r="L11843" s="33" t="e">
        <f>HLOOKUP(B11843,#REF!,1,0)</f>
        <v>#REF!</v>
      </c>
      <c r="M11843" s="33" t="str">
        <f t="shared" si="743"/>
        <v>P&amp;L</v>
      </c>
    </row>
    <row r="11844" spans="1:13">
      <c r="A11844" s="33" t="str">
        <f t="shared" si="740"/>
        <v>ZPI - Revenue</v>
      </c>
      <c r="B11844" s="33" t="str">
        <f t="shared" si="741"/>
        <v>ZPI</v>
      </c>
      <c r="C11844" s="33" t="str">
        <f t="shared" si="742"/>
        <v>40120-0000</v>
      </c>
      <c r="D11844" s="13" t="s">
        <v>13146</v>
      </c>
      <c r="E11844" t="s">
        <v>3687</v>
      </c>
      <c r="F11844" t="s">
        <v>230</v>
      </c>
      <c r="G11844" t="s">
        <v>3684</v>
      </c>
      <c r="H11844" t="s">
        <v>2871</v>
      </c>
      <c r="I11844" t="s">
        <v>3688</v>
      </c>
      <c r="J11844" s="70">
        <v>0</v>
      </c>
      <c r="K11844" s="71">
        <v>-52625.6</v>
      </c>
      <c r="L11844" s="33" t="e">
        <f>HLOOKUP(B11844,#REF!,1,0)</f>
        <v>#REF!</v>
      </c>
      <c r="M11844" s="33" t="str">
        <f t="shared" si="743"/>
        <v>P&amp;L</v>
      </c>
    </row>
    <row r="11845" spans="1:13">
      <c r="A11845" s="33" t="str">
        <f t="shared" si="740"/>
        <v>ZPI - Revenue</v>
      </c>
      <c r="B11845" s="33" t="str">
        <f t="shared" si="741"/>
        <v>ZPI</v>
      </c>
      <c r="C11845" s="33" t="str">
        <f t="shared" si="742"/>
        <v>40130-0000</v>
      </c>
      <c r="D11845" s="13" t="s">
        <v>13147</v>
      </c>
      <c r="E11845" t="s">
        <v>3690</v>
      </c>
      <c r="F11845" t="s">
        <v>230</v>
      </c>
      <c r="G11845" t="s">
        <v>3684</v>
      </c>
      <c r="H11845" t="s">
        <v>2871</v>
      </c>
      <c r="I11845" t="s">
        <v>3691</v>
      </c>
      <c r="J11845" s="70">
        <v>0</v>
      </c>
      <c r="K11845" s="71">
        <v>-82749.38</v>
      </c>
      <c r="L11845" s="33" t="e">
        <f>HLOOKUP(B11845,#REF!,1,0)</f>
        <v>#REF!</v>
      </c>
      <c r="M11845" s="33" t="str">
        <f t="shared" si="743"/>
        <v>P&amp;L</v>
      </c>
    </row>
    <row r="11846" spans="1:13">
      <c r="A11846" s="33" t="str">
        <f t="shared" si="740"/>
        <v>ZPI - Revenue</v>
      </c>
      <c r="B11846" s="33" t="str">
        <f t="shared" si="741"/>
        <v>ZPI</v>
      </c>
      <c r="C11846" s="33" t="str">
        <f t="shared" si="742"/>
        <v>40140-0000</v>
      </c>
      <c r="D11846" s="13" t="s">
        <v>13148</v>
      </c>
      <c r="E11846" t="s">
        <v>3948</v>
      </c>
      <c r="F11846" t="s">
        <v>230</v>
      </c>
      <c r="G11846" t="s">
        <v>3684</v>
      </c>
      <c r="H11846" t="s">
        <v>2871</v>
      </c>
      <c r="I11846" t="s">
        <v>3949</v>
      </c>
      <c r="J11846" s="70">
        <v>0</v>
      </c>
      <c r="K11846" s="71">
        <v>0</v>
      </c>
      <c r="L11846" s="33" t="e">
        <f>HLOOKUP(B11846,#REF!,1,0)</f>
        <v>#REF!</v>
      </c>
      <c r="M11846" s="33" t="str">
        <f t="shared" si="743"/>
        <v>P&amp;L</v>
      </c>
    </row>
    <row r="11847" spans="1:13">
      <c r="A11847" s="33" t="str">
        <f t="shared" si="740"/>
        <v>ZPI - Revenue</v>
      </c>
      <c r="B11847" s="33" t="str">
        <f t="shared" si="741"/>
        <v>ZPI</v>
      </c>
      <c r="C11847" s="33" t="str">
        <f t="shared" si="742"/>
        <v>41110-0000</v>
      </c>
      <c r="D11847" s="13" t="s">
        <v>13149</v>
      </c>
      <c r="E11847" t="s">
        <v>3693</v>
      </c>
      <c r="F11847" t="s">
        <v>230</v>
      </c>
      <c r="G11847" t="s">
        <v>3694</v>
      </c>
      <c r="H11847" t="s">
        <v>2871</v>
      </c>
      <c r="I11847" t="s">
        <v>3695</v>
      </c>
      <c r="J11847" s="70">
        <v>0</v>
      </c>
      <c r="K11847" s="71">
        <v>101626.38</v>
      </c>
      <c r="L11847" s="33" t="e">
        <f>HLOOKUP(B11847,#REF!,1,0)</f>
        <v>#REF!</v>
      </c>
      <c r="M11847" s="33" t="str">
        <f t="shared" si="743"/>
        <v>P&amp;L</v>
      </c>
    </row>
    <row r="11848" spans="1:13">
      <c r="A11848" s="33" t="str">
        <f t="shared" si="740"/>
        <v>ZPI - Revenue</v>
      </c>
      <c r="B11848" s="33" t="str">
        <f t="shared" si="741"/>
        <v>ZPI</v>
      </c>
      <c r="C11848" s="33" t="str">
        <f t="shared" si="742"/>
        <v>41121-0000</v>
      </c>
      <c r="D11848" s="13" t="s">
        <v>13150</v>
      </c>
      <c r="E11848" t="s">
        <v>4146</v>
      </c>
      <c r="F11848" t="s">
        <v>230</v>
      </c>
      <c r="G11848" t="s">
        <v>3694</v>
      </c>
      <c r="H11848" t="s">
        <v>2871</v>
      </c>
      <c r="I11848" t="s">
        <v>3698</v>
      </c>
      <c r="J11848" s="70">
        <v>0</v>
      </c>
      <c r="K11848" s="71">
        <v>123278.03</v>
      </c>
      <c r="L11848" s="33" t="e">
        <f>HLOOKUP(B11848,#REF!,1,0)</f>
        <v>#REF!</v>
      </c>
      <c r="M11848" s="33" t="str">
        <f t="shared" si="743"/>
        <v>P&amp;L</v>
      </c>
    </row>
    <row r="11849" spans="1:13">
      <c r="A11849" s="33" t="str">
        <f t="shared" si="740"/>
        <v>ZPI - Revenue</v>
      </c>
      <c r="B11849" s="33" t="str">
        <f t="shared" si="741"/>
        <v>ZPI</v>
      </c>
      <c r="C11849" s="33" t="str">
        <f t="shared" si="742"/>
        <v>41122-0000</v>
      </c>
      <c r="D11849" s="13" t="s">
        <v>13151</v>
      </c>
      <c r="E11849" t="s">
        <v>3700</v>
      </c>
      <c r="F11849" t="s">
        <v>230</v>
      </c>
      <c r="G11849" t="s">
        <v>3694</v>
      </c>
      <c r="H11849" t="s">
        <v>2871</v>
      </c>
      <c r="I11849" t="s">
        <v>3701</v>
      </c>
      <c r="J11849" s="70">
        <v>0</v>
      </c>
      <c r="K11849" s="71">
        <v>-117296.27</v>
      </c>
      <c r="L11849" s="33" t="e">
        <f>HLOOKUP(B11849,#REF!,1,0)</f>
        <v>#REF!</v>
      </c>
      <c r="M11849" s="33" t="str">
        <f t="shared" si="743"/>
        <v>P&amp;L</v>
      </c>
    </row>
    <row r="11850" spans="1:13">
      <c r="A11850" s="33" t="str">
        <f t="shared" si="740"/>
        <v>ZPI - Revenue</v>
      </c>
      <c r="B11850" s="33" t="str">
        <f t="shared" si="741"/>
        <v>ZPI</v>
      </c>
      <c r="C11850" s="33" t="str">
        <f t="shared" si="742"/>
        <v>41130-0000</v>
      </c>
      <c r="D11850" s="13" t="s">
        <v>13152</v>
      </c>
      <c r="E11850" t="s">
        <v>3703</v>
      </c>
      <c r="F11850" t="s">
        <v>230</v>
      </c>
      <c r="G11850" t="s">
        <v>3694</v>
      </c>
      <c r="H11850" t="s">
        <v>2871</v>
      </c>
      <c r="I11850" t="s">
        <v>3704</v>
      </c>
      <c r="J11850" s="70">
        <v>0</v>
      </c>
      <c r="K11850" s="71">
        <v>3714.83</v>
      </c>
      <c r="L11850" s="33" t="e">
        <f>HLOOKUP(B11850,#REF!,1,0)</f>
        <v>#REF!</v>
      </c>
      <c r="M11850" s="33" t="str">
        <f t="shared" si="743"/>
        <v>P&amp;L</v>
      </c>
    </row>
    <row r="11851" spans="1:13">
      <c r="A11851" s="33" t="str">
        <f t="shared" si="740"/>
        <v>ZPI - Revenue</v>
      </c>
      <c r="B11851" s="33" t="str">
        <f t="shared" si="741"/>
        <v>ZPI</v>
      </c>
      <c r="C11851" s="33" t="str">
        <f t="shared" si="742"/>
        <v>41150-0000</v>
      </c>
      <c r="D11851" s="13" t="s">
        <v>13153</v>
      </c>
      <c r="E11851" t="s">
        <v>3709</v>
      </c>
      <c r="F11851" t="s">
        <v>230</v>
      </c>
      <c r="G11851" t="s">
        <v>3694</v>
      </c>
      <c r="H11851" t="s">
        <v>2871</v>
      </c>
      <c r="I11851" t="s">
        <v>3710</v>
      </c>
      <c r="J11851" s="70">
        <v>0</v>
      </c>
      <c r="K11851" s="71">
        <v>56935</v>
      </c>
      <c r="L11851" s="33" t="e">
        <f>HLOOKUP(B11851,#REF!,1,0)</f>
        <v>#REF!</v>
      </c>
      <c r="M11851" s="33" t="str">
        <f t="shared" si="743"/>
        <v>P&amp;L</v>
      </c>
    </row>
    <row r="11852" spans="1:13">
      <c r="A11852" s="33" t="str">
        <f t="shared" si="740"/>
        <v>ZPI - Revenue</v>
      </c>
      <c r="B11852" s="33" t="str">
        <f t="shared" si="741"/>
        <v>ZPI</v>
      </c>
      <c r="C11852" s="33" t="str">
        <f t="shared" si="742"/>
        <v>41160-0000</v>
      </c>
      <c r="D11852" s="13" t="s">
        <v>13154</v>
      </c>
      <c r="E11852" t="s">
        <v>3957</v>
      </c>
      <c r="F11852" t="s">
        <v>230</v>
      </c>
      <c r="G11852" t="s">
        <v>3694</v>
      </c>
      <c r="H11852" t="s">
        <v>2871</v>
      </c>
      <c r="I11852" t="s">
        <v>3704</v>
      </c>
      <c r="J11852" s="70">
        <v>0</v>
      </c>
      <c r="K11852" s="71">
        <v>-9867.73</v>
      </c>
      <c r="L11852" s="33" t="e">
        <f>HLOOKUP(B11852,#REF!,1,0)</f>
        <v>#REF!</v>
      </c>
      <c r="M11852" s="33" t="str">
        <f t="shared" si="743"/>
        <v>P&amp;L</v>
      </c>
    </row>
    <row r="11853" spans="1:13">
      <c r="A11853" s="33" t="str">
        <f t="shared" si="740"/>
        <v>ZPI - Revenue</v>
      </c>
      <c r="B11853" s="33" t="str">
        <f t="shared" si="741"/>
        <v>ZPI</v>
      </c>
      <c r="C11853" s="33" t="str">
        <f t="shared" si="742"/>
        <v>41999-0000</v>
      </c>
      <c r="D11853" s="13" t="s">
        <v>13155</v>
      </c>
      <c r="E11853" t="s">
        <v>3712</v>
      </c>
      <c r="F11853" t="s">
        <v>230</v>
      </c>
      <c r="G11853" t="s">
        <v>3713</v>
      </c>
      <c r="H11853" t="s">
        <v>2871</v>
      </c>
      <c r="I11853" t="s">
        <v>3714</v>
      </c>
      <c r="J11853" s="70">
        <v>0</v>
      </c>
      <c r="K11853" s="71">
        <v>2371471.91</v>
      </c>
      <c r="L11853" s="33" t="e">
        <f>HLOOKUP(B11853,#REF!,1,0)</f>
        <v>#REF!</v>
      </c>
      <c r="M11853" s="33" t="str">
        <f t="shared" si="743"/>
        <v>P&amp;L</v>
      </c>
    </row>
    <row r="11854" spans="1:13">
      <c r="A11854" s="33" t="str">
        <f t="shared" si="740"/>
        <v>ZPI - Revenue</v>
      </c>
      <c r="B11854" s="33" t="str">
        <f t="shared" si="741"/>
        <v>ZPI</v>
      </c>
      <c r="C11854" s="33" t="str">
        <f t="shared" si="742"/>
        <v>47400-0000</v>
      </c>
      <c r="D11854" s="13" t="s">
        <v>13156</v>
      </c>
      <c r="E11854" t="s">
        <v>3716</v>
      </c>
      <c r="F11854" t="s">
        <v>230</v>
      </c>
      <c r="G11854" t="s">
        <v>3717</v>
      </c>
      <c r="H11854" t="s">
        <v>2871</v>
      </c>
      <c r="I11854" t="s">
        <v>3718</v>
      </c>
      <c r="J11854" s="70">
        <v>0</v>
      </c>
      <c r="K11854" s="71">
        <v>-2389820</v>
      </c>
      <c r="L11854" s="33" t="e">
        <f>HLOOKUP(B11854,#REF!,1,0)</f>
        <v>#REF!</v>
      </c>
      <c r="M11854" s="33" t="str">
        <f t="shared" si="743"/>
        <v>P&amp;L</v>
      </c>
    </row>
    <row r="11855" spans="1:13">
      <c r="A11855" s="33" t="str">
        <f t="shared" si="740"/>
        <v>ZPI - Revenue</v>
      </c>
      <c r="B11855" s="33" t="str">
        <f t="shared" si="741"/>
        <v>ZPI</v>
      </c>
      <c r="C11855" s="33" t="str">
        <f t="shared" si="742"/>
        <v>47420-0000</v>
      </c>
      <c r="D11855" s="13" t="s">
        <v>13157</v>
      </c>
      <c r="E11855" t="s">
        <v>4154</v>
      </c>
      <c r="F11855" t="s">
        <v>230</v>
      </c>
      <c r="G11855" t="s">
        <v>3717</v>
      </c>
      <c r="H11855" t="s">
        <v>2871</v>
      </c>
      <c r="I11855" t="s">
        <v>4155</v>
      </c>
      <c r="J11855" s="70">
        <v>0</v>
      </c>
      <c r="K11855" s="71">
        <v>0</v>
      </c>
      <c r="L11855" s="33" t="e">
        <f>HLOOKUP(B11855,#REF!,1,0)</f>
        <v>#REF!</v>
      </c>
      <c r="M11855" s="33" t="str">
        <f t="shared" si="743"/>
        <v>P&amp;L</v>
      </c>
    </row>
    <row r="11856" spans="1:13">
      <c r="A11856" s="33" t="str">
        <f t="shared" si="740"/>
        <v>ZPI - Revenue</v>
      </c>
      <c r="B11856" s="33" t="str">
        <f t="shared" si="741"/>
        <v>ZPI</v>
      </c>
      <c r="C11856" s="33" t="str">
        <f t="shared" si="742"/>
        <v>47430-0000</v>
      </c>
      <c r="D11856" s="13" t="s">
        <v>13158</v>
      </c>
      <c r="E11856" t="s">
        <v>4053</v>
      </c>
      <c r="F11856" t="s">
        <v>230</v>
      </c>
      <c r="G11856" t="s">
        <v>3717</v>
      </c>
      <c r="H11856" t="s">
        <v>2871</v>
      </c>
      <c r="I11856" t="s">
        <v>4054</v>
      </c>
      <c r="J11856" s="70">
        <v>0</v>
      </c>
      <c r="K11856" s="71">
        <v>0</v>
      </c>
      <c r="L11856" s="33" t="e">
        <f>HLOOKUP(B11856,#REF!,1,0)</f>
        <v>#REF!</v>
      </c>
      <c r="M11856" s="33" t="str">
        <f t="shared" si="743"/>
        <v>P&amp;L</v>
      </c>
    </row>
    <row r="11857" spans="1:13">
      <c r="A11857" s="33" t="str">
        <f t="shared" si="740"/>
        <v>ZPI - Revenue</v>
      </c>
      <c r="B11857" s="33" t="str">
        <f t="shared" si="741"/>
        <v>ZPI</v>
      </c>
      <c r="C11857" s="33" t="str">
        <f t="shared" si="742"/>
        <v>47440-0000</v>
      </c>
      <c r="D11857" s="13" t="s">
        <v>13159</v>
      </c>
      <c r="E11857" t="s">
        <v>3720</v>
      </c>
      <c r="F11857" t="s">
        <v>230</v>
      </c>
      <c r="G11857" t="s">
        <v>3717</v>
      </c>
      <c r="H11857" t="s">
        <v>2871</v>
      </c>
      <c r="I11857" t="s">
        <v>3721</v>
      </c>
      <c r="J11857" s="70">
        <v>0</v>
      </c>
      <c r="K11857" s="71">
        <v>-9349.94</v>
      </c>
      <c r="L11857" s="33" t="e">
        <f>HLOOKUP(B11857,#REF!,1,0)</f>
        <v>#REF!</v>
      </c>
      <c r="M11857" s="33" t="str">
        <f t="shared" si="743"/>
        <v>P&amp;L</v>
      </c>
    </row>
    <row r="11858" spans="1:13">
      <c r="A11858" s="33" t="str">
        <f t="shared" si="740"/>
        <v>ZPI - Revenue</v>
      </c>
      <c r="B11858" s="33" t="str">
        <f t="shared" si="741"/>
        <v>ZPI</v>
      </c>
      <c r="C11858" s="33" t="str">
        <f t="shared" si="742"/>
        <v>47450-0000</v>
      </c>
      <c r="D11858" s="13" t="s">
        <v>13160</v>
      </c>
      <c r="E11858" t="s">
        <v>3723</v>
      </c>
      <c r="F11858" t="s">
        <v>230</v>
      </c>
      <c r="G11858" t="s">
        <v>3717</v>
      </c>
      <c r="H11858" t="s">
        <v>2871</v>
      </c>
      <c r="I11858" t="s">
        <v>3724</v>
      </c>
      <c r="J11858" s="70">
        <v>0</v>
      </c>
      <c r="K11858" s="71">
        <v>-17260.09</v>
      </c>
      <c r="L11858" s="33" t="e">
        <f>HLOOKUP(B11858,#REF!,1,0)</f>
        <v>#REF!</v>
      </c>
      <c r="M11858" s="33" t="str">
        <f t="shared" si="743"/>
        <v>P&amp;L</v>
      </c>
    </row>
    <row r="11859" spans="1:13">
      <c r="A11859" s="33" t="str">
        <f t="shared" si="740"/>
        <v>ZPI - Revenue</v>
      </c>
      <c r="B11859" s="33" t="str">
        <f t="shared" si="741"/>
        <v>ZPI</v>
      </c>
      <c r="C11859" s="33" t="str">
        <f t="shared" si="742"/>
        <v>47460-0000</v>
      </c>
      <c r="D11859" s="13" t="s">
        <v>13161</v>
      </c>
      <c r="E11859" t="s">
        <v>3726</v>
      </c>
      <c r="F11859" t="s">
        <v>230</v>
      </c>
      <c r="G11859" t="s">
        <v>3717</v>
      </c>
      <c r="H11859" t="s">
        <v>2871</v>
      </c>
      <c r="I11859" t="s">
        <v>3727</v>
      </c>
      <c r="J11859" s="70">
        <v>0</v>
      </c>
      <c r="K11859" s="71">
        <v>-2764.52</v>
      </c>
      <c r="L11859" s="33" t="e">
        <f>HLOOKUP(B11859,#REF!,1,0)</f>
        <v>#REF!</v>
      </c>
      <c r="M11859" s="33" t="str">
        <f t="shared" si="743"/>
        <v>P&amp;L</v>
      </c>
    </row>
    <row r="11860" spans="1:13">
      <c r="A11860" s="33" t="str">
        <f t="shared" si="740"/>
        <v>ZPI - Revenue</v>
      </c>
      <c r="B11860" s="33" t="str">
        <f t="shared" si="741"/>
        <v>ZPI</v>
      </c>
      <c r="C11860" s="33" t="str">
        <f t="shared" si="742"/>
        <v>47480-0000</v>
      </c>
      <c r="D11860" s="13" t="s">
        <v>13162</v>
      </c>
      <c r="E11860" t="s">
        <v>3729</v>
      </c>
      <c r="F11860" t="s">
        <v>230</v>
      </c>
      <c r="G11860" t="s">
        <v>3717</v>
      </c>
      <c r="H11860" t="s">
        <v>2871</v>
      </c>
      <c r="I11860" t="s">
        <v>3721</v>
      </c>
      <c r="J11860" s="70">
        <v>0</v>
      </c>
      <c r="K11860" s="71">
        <v>-5650</v>
      </c>
      <c r="L11860" s="33" t="e">
        <f>HLOOKUP(B11860,#REF!,1,0)</f>
        <v>#REF!</v>
      </c>
      <c r="M11860" s="33" t="str">
        <f t="shared" si="743"/>
        <v>P&amp;L</v>
      </c>
    </row>
    <row r="11861" spans="1:13">
      <c r="A11861" s="33" t="str">
        <f t="shared" si="740"/>
        <v>ZPI - Revenue</v>
      </c>
      <c r="B11861" s="33" t="str">
        <f t="shared" si="741"/>
        <v>ZPI</v>
      </c>
      <c r="C11861" s="33" t="str">
        <f t="shared" si="742"/>
        <v>47490-0000</v>
      </c>
      <c r="D11861" s="13" t="s">
        <v>13163</v>
      </c>
      <c r="E11861" t="s">
        <v>3731</v>
      </c>
      <c r="F11861" t="s">
        <v>230</v>
      </c>
      <c r="G11861" t="s">
        <v>3717</v>
      </c>
      <c r="H11861" t="s">
        <v>2871</v>
      </c>
      <c r="I11861" t="s">
        <v>3721</v>
      </c>
      <c r="J11861" s="70">
        <v>0</v>
      </c>
      <c r="K11861" s="71">
        <v>-17527.76</v>
      </c>
      <c r="L11861" s="33" t="e">
        <f>HLOOKUP(B11861,#REF!,1,0)</f>
        <v>#REF!</v>
      </c>
      <c r="M11861" s="33" t="str">
        <f t="shared" si="743"/>
        <v>P&amp;L</v>
      </c>
    </row>
    <row r="11862" spans="1:13">
      <c r="A11862" s="33" t="str">
        <f t="shared" si="740"/>
        <v>ZPI - Revenue</v>
      </c>
      <c r="B11862" s="33" t="str">
        <f t="shared" si="741"/>
        <v>ZPI</v>
      </c>
      <c r="C11862" s="33" t="str">
        <f t="shared" si="742"/>
        <v>47491-0000</v>
      </c>
      <c r="D11862" s="13" t="s">
        <v>13164</v>
      </c>
      <c r="E11862" t="s">
        <v>3733</v>
      </c>
      <c r="F11862" t="s">
        <v>230</v>
      </c>
      <c r="G11862" t="s">
        <v>3717</v>
      </c>
      <c r="H11862" t="s">
        <v>2871</v>
      </c>
      <c r="I11862" t="s">
        <v>3734</v>
      </c>
      <c r="J11862" s="70">
        <v>0</v>
      </c>
      <c r="K11862" s="71">
        <v>-98080.21</v>
      </c>
      <c r="L11862" s="33" t="e">
        <f>HLOOKUP(B11862,#REF!,1,0)</f>
        <v>#REF!</v>
      </c>
      <c r="M11862" s="33" t="str">
        <f t="shared" si="743"/>
        <v>P&amp;L</v>
      </c>
    </row>
    <row r="11863" spans="1:13">
      <c r="A11863" s="33" t="str">
        <f t="shared" si="740"/>
        <v>ZPI - Revenue</v>
      </c>
      <c r="B11863" s="33" t="str">
        <f t="shared" si="741"/>
        <v>ZPI</v>
      </c>
      <c r="C11863" s="33" t="str">
        <f t="shared" si="742"/>
        <v>47492-0000</v>
      </c>
      <c r="D11863" s="13" t="s">
        <v>13165</v>
      </c>
      <c r="E11863" t="s">
        <v>3736</v>
      </c>
      <c r="F11863" t="s">
        <v>230</v>
      </c>
      <c r="G11863" t="s">
        <v>3717</v>
      </c>
      <c r="H11863" t="s">
        <v>2871</v>
      </c>
      <c r="I11863" t="s">
        <v>3737</v>
      </c>
      <c r="J11863" s="70">
        <v>0</v>
      </c>
      <c r="K11863" s="71">
        <v>-345</v>
      </c>
      <c r="L11863" s="33" t="e">
        <f>HLOOKUP(B11863,#REF!,1,0)</f>
        <v>#REF!</v>
      </c>
      <c r="M11863" s="33" t="str">
        <f t="shared" si="743"/>
        <v>P&amp;L</v>
      </c>
    </row>
    <row r="11864" spans="1:13">
      <c r="A11864" s="33" t="str">
        <f t="shared" si="740"/>
        <v>ZPI - Revenue</v>
      </c>
      <c r="B11864" s="33" t="str">
        <f t="shared" si="741"/>
        <v>ZPI</v>
      </c>
      <c r="C11864" s="33" t="str">
        <f t="shared" si="742"/>
        <v>47493-0000</v>
      </c>
      <c r="D11864" s="13" t="s">
        <v>13166</v>
      </c>
      <c r="E11864" t="s">
        <v>4229</v>
      </c>
      <c r="F11864" t="s">
        <v>230</v>
      </c>
      <c r="G11864" t="s">
        <v>3717</v>
      </c>
      <c r="H11864" t="s">
        <v>2871</v>
      </c>
      <c r="I11864" t="s">
        <v>4230</v>
      </c>
      <c r="J11864" s="70">
        <v>0</v>
      </c>
      <c r="K11864" s="71">
        <v>-3930.66</v>
      </c>
      <c r="L11864" s="33" t="e">
        <f>HLOOKUP(B11864,#REF!,1,0)</f>
        <v>#REF!</v>
      </c>
      <c r="M11864" s="33" t="str">
        <f t="shared" si="743"/>
        <v>P&amp;L</v>
      </c>
    </row>
    <row r="11865" spans="1:13">
      <c r="A11865" s="33" t="str">
        <f t="shared" si="740"/>
        <v>ZPI - CGS</v>
      </c>
      <c r="B11865" s="33" t="str">
        <f t="shared" si="741"/>
        <v>ZPI</v>
      </c>
      <c r="C11865" s="33" t="str">
        <f t="shared" si="742"/>
        <v>51001-0000</v>
      </c>
      <c r="D11865" s="13" t="s">
        <v>13167</v>
      </c>
      <c r="E11865" t="s">
        <v>4536</v>
      </c>
      <c r="F11865" t="s">
        <v>230</v>
      </c>
      <c r="G11865" t="s">
        <v>3740</v>
      </c>
      <c r="H11865" t="s">
        <v>1875</v>
      </c>
      <c r="I11865" t="s">
        <v>4537</v>
      </c>
      <c r="J11865" s="70">
        <v>0</v>
      </c>
      <c r="K11865" s="71">
        <v>87.38</v>
      </c>
      <c r="L11865" s="33" t="e">
        <f>HLOOKUP(B11865,#REF!,1,0)</f>
        <v>#REF!</v>
      </c>
      <c r="M11865" s="33" t="str">
        <f t="shared" si="743"/>
        <v>P&amp;L</v>
      </c>
    </row>
    <row r="11866" spans="1:13">
      <c r="A11866" s="33" t="str">
        <f t="shared" si="740"/>
        <v>ZPI - CGS</v>
      </c>
      <c r="B11866" s="33" t="str">
        <f t="shared" si="741"/>
        <v>ZPI</v>
      </c>
      <c r="C11866" s="33" t="str">
        <f t="shared" si="742"/>
        <v>51003-0000</v>
      </c>
      <c r="D11866" s="13" t="s">
        <v>13168</v>
      </c>
      <c r="E11866" t="s">
        <v>4232</v>
      </c>
      <c r="F11866" t="s">
        <v>230</v>
      </c>
      <c r="G11866" t="s">
        <v>3740</v>
      </c>
      <c r="H11866" t="s">
        <v>1875</v>
      </c>
      <c r="I11866" t="s">
        <v>4233</v>
      </c>
      <c r="J11866" s="70">
        <v>0</v>
      </c>
      <c r="K11866" s="71">
        <v>300</v>
      </c>
      <c r="L11866" s="33" t="e">
        <f>HLOOKUP(B11866,#REF!,1,0)</f>
        <v>#REF!</v>
      </c>
      <c r="M11866" s="33" t="str">
        <f t="shared" si="743"/>
        <v>P&amp;L</v>
      </c>
    </row>
    <row r="11867" spans="1:13">
      <c r="A11867" s="33" t="str">
        <f t="shared" si="740"/>
        <v>ZPI - CGS</v>
      </c>
      <c r="B11867" s="33" t="str">
        <f t="shared" si="741"/>
        <v>ZPI</v>
      </c>
      <c r="C11867" s="33" t="str">
        <f t="shared" si="742"/>
        <v>51005-0000</v>
      </c>
      <c r="D11867" s="13" t="s">
        <v>13169</v>
      </c>
      <c r="E11867" t="s">
        <v>3968</v>
      </c>
      <c r="F11867" t="s">
        <v>230</v>
      </c>
      <c r="G11867" t="s">
        <v>3740</v>
      </c>
      <c r="H11867" t="s">
        <v>1875</v>
      </c>
      <c r="I11867" t="s">
        <v>3969</v>
      </c>
      <c r="J11867" s="70">
        <v>0</v>
      </c>
      <c r="K11867" s="71">
        <v>1363</v>
      </c>
      <c r="L11867" s="33" t="e">
        <f>HLOOKUP(B11867,#REF!,1,0)</f>
        <v>#REF!</v>
      </c>
      <c r="M11867" s="33" t="str">
        <f t="shared" si="743"/>
        <v>P&amp;L</v>
      </c>
    </row>
    <row r="11868" spans="1:13">
      <c r="A11868" s="33" t="str">
        <f t="shared" si="740"/>
        <v>ZPI - CGS</v>
      </c>
      <c r="B11868" s="33" t="str">
        <f t="shared" si="741"/>
        <v>ZPI</v>
      </c>
      <c r="C11868" s="33" t="str">
        <f t="shared" si="742"/>
        <v>51006-0000</v>
      </c>
      <c r="D11868" s="13" t="s">
        <v>13170</v>
      </c>
      <c r="E11868" t="s">
        <v>3739</v>
      </c>
      <c r="F11868" t="s">
        <v>230</v>
      </c>
      <c r="G11868" t="s">
        <v>3740</v>
      </c>
      <c r="H11868" t="s">
        <v>1875</v>
      </c>
      <c r="I11868" t="s">
        <v>3741</v>
      </c>
      <c r="J11868" s="70">
        <v>0</v>
      </c>
      <c r="K11868" s="71">
        <v>4587.24</v>
      </c>
      <c r="L11868" s="33" t="e">
        <f>HLOOKUP(B11868,#REF!,1,0)</f>
        <v>#REF!</v>
      </c>
      <c r="M11868" s="33" t="str">
        <f t="shared" si="743"/>
        <v>P&amp;L</v>
      </c>
    </row>
    <row r="11869" spans="1:13">
      <c r="A11869" s="33" t="str">
        <f t="shared" si="740"/>
        <v>ZPI - CGS</v>
      </c>
      <c r="B11869" s="33" t="str">
        <f t="shared" si="741"/>
        <v>ZPI</v>
      </c>
      <c r="C11869" s="33" t="str">
        <f t="shared" si="742"/>
        <v>51008-0000</v>
      </c>
      <c r="D11869" s="13" t="s">
        <v>13171</v>
      </c>
      <c r="E11869" t="s">
        <v>3743</v>
      </c>
      <c r="F11869" t="s">
        <v>230</v>
      </c>
      <c r="G11869" t="s">
        <v>3740</v>
      </c>
      <c r="H11869" t="s">
        <v>1875</v>
      </c>
      <c r="I11869" t="s">
        <v>3744</v>
      </c>
      <c r="J11869" s="70">
        <v>0</v>
      </c>
      <c r="K11869" s="71">
        <v>5793.12</v>
      </c>
      <c r="L11869" s="33" t="e">
        <f>HLOOKUP(B11869,#REF!,1,0)</f>
        <v>#REF!</v>
      </c>
      <c r="M11869" s="33" t="str">
        <f t="shared" si="743"/>
        <v>P&amp;L</v>
      </c>
    </row>
    <row r="11870" spans="1:13">
      <c r="A11870" s="33" t="str">
        <f t="shared" si="740"/>
        <v>ZPI - CGS</v>
      </c>
      <c r="B11870" s="33" t="str">
        <f t="shared" si="741"/>
        <v>ZPI</v>
      </c>
      <c r="C11870" s="33" t="str">
        <f t="shared" si="742"/>
        <v>51009-0000</v>
      </c>
      <c r="D11870" s="13" t="s">
        <v>13172</v>
      </c>
      <c r="E11870" t="s">
        <v>3746</v>
      </c>
      <c r="F11870" t="s">
        <v>230</v>
      </c>
      <c r="G11870" t="s">
        <v>3740</v>
      </c>
      <c r="H11870" t="s">
        <v>1875</v>
      </c>
      <c r="I11870" t="s">
        <v>3747</v>
      </c>
      <c r="J11870" s="70">
        <v>0</v>
      </c>
      <c r="K11870" s="71">
        <v>2434.91</v>
      </c>
      <c r="L11870" s="33" t="e">
        <f>HLOOKUP(B11870,#REF!,1,0)</f>
        <v>#REF!</v>
      </c>
      <c r="M11870" s="33" t="str">
        <f t="shared" si="743"/>
        <v>P&amp;L</v>
      </c>
    </row>
    <row r="11871" spans="1:13">
      <c r="A11871" s="33" t="str">
        <f t="shared" si="740"/>
        <v>ZPI - CGS</v>
      </c>
      <c r="B11871" s="33" t="str">
        <f t="shared" si="741"/>
        <v>ZPI</v>
      </c>
      <c r="C11871" s="33" t="str">
        <f t="shared" si="742"/>
        <v>51011-0000</v>
      </c>
      <c r="D11871" s="13" t="s">
        <v>13173</v>
      </c>
      <c r="E11871" t="s">
        <v>3749</v>
      </c>
      <c r="F11871" t="s">
        <v>230</v>
      </c>
      <c r="G11871" t="s">
        <v>3740</v>
      </c>
      <c r="H11871" t="s">
        <v>1875</v>
      </c>
      <c r="I11871" t="s">
        <v>3750</v>
      </c>
      <c r="J11871" s="70">
        <v>0</v>
      </c>
      <c r="K11871" s="71">
        <v>26031.82</v>
      </c>
      <c r="L11871" s="33" t="e">
        <f>HLOOKUP(B11871,#REF!,1,0)</f>
        <v>#REF!</v>
      </c>
      <c r="M11871" s="33" t="str">
        <f t="shared" si="743"/>
        <v>P&amp;L</v>
      </c>
    </row>
    <row r="11872" spans="1:13">
      <c r="A11872" s="33" t="str">
        <f t="shared" si="740"/>
        <v>ZPI - CGS</v>
      </c>
      <c r="B11872" s="33" t="str">
        <f t="shared" si="741"/>
        <v>ZPI</v>
      </c>
      <c r="C11872" s="33" t="str">
        <f t="shared" si="742"/>
        <v>51012-0000</v>
      </c>
      <c r="D11872" s="13" t="s">
        <v>13174</v>
      </c>
      <c r="E11872" t="s">
        <v>3752</v>
      </c>
      <c r="F11872" t="s">
        <v>230</v>
      </c>
      <c r="G11872" t="s">
        <v>3740</v>
      </c>
      <c r="H11872" t="s">
        <v>1875</v>
      </c>
      <c r="I11872" t="s">
        <v>3753</v>
      </c>
      <c r="J11872" s="70">
        <v>0</v>
      </c>
      <c r="K11872" s="71">
        <v>7277.5</v>
      </c>
      <c r="L11872" s="33" t="e">
        <f>HLOOKUP(B11872,#REF!,1,0)</f>
        <v>#REF!</v>
      </c>
      <c r="M11872" s="33" t="str">
        <f t="shared" si="743"/>
        <v>P&amp;L</v>
      </c>
    </row>
    <row r="11873" spans="1:13">
      <c r="A11873" s="33" t="str">
        <f t="shared" si="740"/>
        <v>ZPI - CGS</v>
      </c>
      <c r="B11873" s="33" t="str">
        <f t="shared" si="741"/>
        <v>ZPI</v>
      </c>
      <c r="C11873" s="33" t="str">
        <f t="shared" si="742"/>
        <v>51013-0000</v>
      </c>
      <c r="D11873" s="13" t="s">
        <v>13175</v>
      </c>
      <c r="E11873" t="s">
        <v>3979</v>
      </c>
      <c r="F11873" t="s">
        <v>230</v>
      </c>
      <c r="G11873" t="s">
        <v>3740</v>
      </c>
      <c r="H11873" t="s">
        <v>1875</v>
      </c>
      <c r="I11873" t="s">
        <v>3980</v>
      </c>
      <c r="J11873" s="70">
        <v>0</v>
      </c>
      <c r="K11873" s="71">
        <v>3922.72</v>
      </c>
      <c r="L11873" s="33" t="e">
        <f>HLOOKUP(B11873,#REF!,1,0)</f>
        <v>#REF!</v>
      </c>
      <c r="M11873" s="33" t="str">
        <f t="shared" si="743"/>
        <v>P&amp;L</v>
      </c>
    </row>
    <row r="11874" spans="1:13">
      <c r="A11874" s="33" t="str">
        <f t="shared" si="740"/>
        <v>ZPI - CGS</v>
      </c>
      <c r="B11874" s="33" t="str">
        <f t="shared" si="741"/>
        <v>ZPI</v>
      </c>
      <c r="C11874" s="33" t="str">
        <f t="shared" si="742"/>
        <v>51015-0000</v>
      </c>
      <c r="D11874" s="13" t="s">
        <v>13176</v>
      </c>
      <c r="E11874" t="s">
        <v>3755</v>
      </c>
      <c r="F11874" t="s">
        <v>230</v>
      </c>
      <c r="G11874" t="s">
        <v>3740</v>
      </c>
      <c r="H11874" t="s">
        <v>1875</v>
      </c>
      <c r="I11874" t="s">
        <v>3756</v>
      </c>
      <c r="J11874" s="70">
        <v>0</v>
      </c>
      <c r="K11874" s="71">
        <v>840.04</v>
      </c>
      <c r="L11874" s="33" t="e">
        <f>HLOOKUP(B11874,#REF!,1,0)</f>
        <v>#REF!</v>
      </c>
      <c r="M11874" s="33" t="str">
        <f t="shared" si="743"/>
        <v>P&amp;L</v>
      </c>
    </row>
    <row r="11875" spans="1:13">
      <c r="A11875" s="33" t="str">
        <f t="shared" si="740"/>
        <v>ZPI - CGS</v>
      </c>
      <c r="B11875" s="33" t="str">
        <f t="shared" si="741"/>
        <v>ZPI</v>
      </c>
      <c r="C11875" s="33" t="str">
        <f t="shared" si="742"/>
        <v>51017-0000</v>
      </c>
      <c r="D11875" s="13" t="s">
        <v>13177</v>
      </c>
      <c r="E11875" t="s">
        <v>3758</v>
      </c>
      <c r="F11875" t="s">
        <v>230</v>
      </c>
      <c r="G11875" t="s">
        <v>3160</v>
      </c>
      <c r="H11875" t="s">
        <v>1875</v>
      </c>
      <c r="I11875" t="s">
        <v>3759</v>
      </c>
      <c r="J11875" s="70">
        <v>98.07</v>
      </c>
      <c r="K11875" s="71">
        <v>934.22</v>
      </c>
      <c r="L11875" s="33" t="e">
        <f>HLOOKUP(B11875,#REF!,1,0)</f>
        <v>#REF!</v>
      </c>
      <c r="M11875" s="33" t="str">
        <f t="shared" si="743"/>
        <v>P&amp;L</v>
      </c>
    </row>
    <row r="11876" spans="1:13">
      <c r="A11876" s="33" t="str">
        <f t="shared" si="740"/>
        <v>ZPI - CGS</v>
      </c>
      <c r="B11876" s="33" t="str">
        <f t="shared" si="741"/>
        <v>ZPI</v>
      </c>
      <c r="C11876" s="33" t="str">
        <f t="shared" si="742"/>
        <v>51019-0000</v>
      </c>
      <c r="D11876" s="13" t="s">
        <v>13178</v>
      </c>
      <c r="E11876" t="s">
        <v>3761</v>
      </c>
      <c r="F11876" t="s">
        <v>230</v>
      </c>
      <c r="G11876" t="s">
        <v>3740</v>
      </c>
      <c r="H11876" t="s">
        <v>1875</v>
      </c>
      <c r="I11876" t="s">
        <v>3340</v>
      </c>
      <c r="J11876" s="70">
        <v>0</v>
      </c>
      <c r="K11876" s="71">
        <v>79.34</v>
      </c>
      <c r="L11876" s="33" t="e">
        <f>HLOOKUP(B11876,#REF!,1,0)</f>
        <v>#REF!</v>
      </c>
      <c r="M11876" s="33" t="str">
        <f t="shared" si="743"/>
        <v>P&amp;L</v>
      </c>
    </row>
    <row r="11877" spans="1:13">
      <c r="A11877" s="33" t="str">
        <f t="shared" si="740"/>
        <v>ZPI - CGS</v>
      </c>
      <c r="B11877" s="33" t="str">
        <f t="shared" si="741"/>
        <v>ZPI</v>
      </c>
      <c r="C11877" s="33" t="str">
        <f t="shared" si="742"/>
        <v>51020-0000</v>
      </c>
      <c r="D11877" s="13" t="s">
        <v>13179</v>
      </c>
      <c r="E11877" t="s">
        <v>3763</v>
      </c>
      <c r="F11877" t="s">
        <v>230</v>
      </c>
      <c r="G11877" t="s">
        <v>3740</v>
      </c>
      <c r="H11877" t="s">
        <v>1875</v>
      </c>
      <c r="I11877" t="s">
        <v>3345</v>
      </c>
      <c r="J11877" s="70">
        <v>0</v>
      </c>
      <c r="K11877" s="71">
        <v>1917.89</v>
      </c>
      <c r="L11877" s="33" t="e">
        <f>HLOOKUP(B11877,#REF!,1,0)</f>
        <v>#REF!</v>
      </c>
      <c r="M11877" s="33" t="str">
        <f t="shared" si="743"/>
        <v>P&amp;L</v>
      </c>
    </row>
    <row r="11878" spans="1:13">
      <c r="A11878" s="33" t="str">
        <f t="shared" si="740"/>
        <v>ZPI - CGS</v>
      </c>
      <c r="B11878" s="33" t="str">
        <f t="shared" si="741"/>
        <v>ZPI</v>
      </c>
      <c r="C11878" s="33" t="str">
        <f t="shared" si="742"/>
        <v>51021-0000</v>
      </c>
      <c r="D11878" s="13" t="s">
        <v>13180</v>
      </c>
      <c r="E11878" t="s">
        <v>7106</v>
      </c>
      <c r="F11878" t="s">
        <v>230</v>
      </c>
      <c r="G11878" t="s">
        <v>3740</v>
      </c>
      <c r="H11878" t="s">
        <v>1875</v>
      </c>
      <c r="I11878" t="s">
        <v>4752</v>
      </c>
      <c r="J11878" s="70">
        <v>0</v>
      </c>
      <c r="K11878" s="71">
        <v>146.15</v>
      </c>
      <c r="L11878" s="33" t="e">
        <f>HLOOKUP(B11878,#REF!,1,0)</f>
        <v>#REF!</v>
      </c>
      <c r="M11878" s="33" t="str">
        <f t="shared" si="743"/>
        <v>P&amp;L</v>
      </c>
    </row>
    <row r="11879" spans="1:13">
      <c r="A11879" s="33" t="str">
        <f t="shared" si="740"/>
        <v>ZPI - CGS</v>
      </c>
      <c r="B11879" s="33" t="str">
        <f t="shared" si="741"/>
        <v>ZPI</v>
      </c>
      <c r="C11879" s="33" t="str">
        <f t="shared" si="742"/>
        <v>51025-0000</v>
      </c>
      <c r="D11879" s="13" t="s">
        <v>13181</v>
      </c>
      <c r="E11879" t="s">
        <v>3988</v>
      </c>
      <c r="F11879" t="s">
        <v>230</v>
      </c>
      <c r="G11879" t="s">
        <v>3740</v>
      </c>
      <c r="H11879" t="s">
        <v>1875</v>
      </c>
      <c r="I11879" t="s">
        <v>3989</v>
      </c>
      <c r="J11879" s="70">
        <v>0</v>
      </c>
      <c r="K11879" s="71">
        <v>8580.81</v>
      </c>
      <c r="L11879" s="33" t="e">
        <f>HLOOKUP(B11879,#REF!,1,0)</f>
        <v>#REF!</v>
      </c>
      <c r="M11879" s="33" t="str">
        <f t="shared" si="743"/>
        <v>P&amp;L</v>
      </c>
    </row>
    <row r="11880" spans="1:13">
      <c r="A11880" s="33" t="str">
        <f t="shared" si="740"/>
        <v>ZPI - CGS</v>
      </c>
      <c r="B11880" s="33" t="str">
        <f t="shared" si="741"/>
        <v>ZPI</v>
      </c>
      <c r="C11880" s="33" t="str">
        <f t="shared" si="742"/>
        <v>52001-0000</v>
      </c>
      <c r="D11880" s="13" t="s">
        <v>13182</v>
      </c>
      <c r="E11880" t="s">
        <v>3768</v>
      </c>
      <c r="F11880" t="s">
        <v>230</v>
      </c>
      <c r="G11880" t="s">
        <v>3769</v>
      </c>
      <c r="H11880" t="s">
        <v>1875</v>
      </c>
      <c r="I11880" t="s">
        <v>3770</v>
      </c>
      <c r="J11880" s="70">
        <v>0</v>
      </c>
      <c r="K11880" s="71">
        <v>12382.43</v>
      </c>
      <c r="L11880" s="33" t="e">
        <f>HLOOKUP(B11880,#REF!,1,0)</f>
        <v>#REF!</v>
      </c>
      <c r="M11880" s="33" t="str">
        <f t="shared" si="743"/>
        <v>P&amp;L</v>
      </c>
    </row>
    <row r="11881" spans="1:13">
      <c r="A11881" s="33" t="str">
        <f t="shared" si="740"/>
        <v>ZPI - CGS</v>
      </c>
      <c r="B11881" s="33" t="str">
        <f t="shared" si="741"/>
        <v>ZPI</v>
      </c>
      <c r="C11881" s="33" t="str">
        <f t="shared" si="742"/>
        <v>52002-0000</v>
      </c>
      <c r="D11881" s="13" t="s">
        <v>13183</v>
      </c>
      <c r="E11881" t="s">
        <v>3997</v>
      </c>
      <c r="F11881" t="s">
        <v>230</v>
      </c>
      <c r="G11881" t="s">
        <v>3769</v>
      </c>
      <c r="H11881" t="s">
        <v>1875</v>
      </c>
      <c r="I11881" t="s">
        <v>3998</v>
      </c>
      <c r="J11881" s="70">
        <v>0</v>
      </c>
      <c r="K11881" s="71">
        <v>-1385</v>
      </c>
      <c r="L11881" s="33" t="e">
        <f>HLOOKUP(B11881,#REF!,1,0)</f>
        <v>#REF!</v>
      </c>
      <c r="M11881" s="33" t="str">
        <f t="shared" si="743"/>
        <v>P&amp;L</v>
      </c>
    </row>
    <row r="11882" spans="1:13">
      <c r="A11882" s="33" t="str">
        <f t="shared" si="740"/>
        <v>ZPI - CGS</v>
      </c>
      <c r="B11882" s="33" t="str">
        <f t="shared" si="741"/>
        <v>ZPI</v>
      </c>
      <c r="C11882" s="33" t="str">
        <f t="shared" si="742"/>
        <v>52003-0000</v>
      </c>
      <c r="D11882" s="13" t="s">
        <v>13184</v>
      </c>
      <c r="E11882" t="s">
        <v>3772</v>
      </c>
      <c r="F11882" t="s">
        <v>230</v>
      </c>
      <c r="G11882" t="s">
        <v>3769</v>
      </c>
      <c r="H11882" t="s">
        <v>1875</v>
      </c>
      <c r="I11882" t="s">
        <v>3773</v>
      </c>
      <c r="J11882" s="70">
        <v>0</v>
      </c>
      <c r="K11882" s="71">
        <v>4393</v>
      </c>
      <c r="L11882" s="33" t="e">
        <f>HLOOKUP(B11882,#REF!,1,0)</f>
        <v>#REF!</v>
      </c>
      <c r="M11882" s="33" t="str">
        <f t="shared" si="743"/>
        <v>P&amp;L</v>
      </c>
    </row>
    <row r="11883" spans="1:13">
      <c r="A11883" s="33" t="str">
        <f t="shared" si="740"/>
        <v>ZPI - CGS</v>
      </c>
      <c r="B11883" s="33" t="str">
        <f t="shared" si="741"/>
        <v>ZPI</v>
      </c>
      <c r="C11883" s="33" t="str">
        <f t="shared" si="742"/>
        <v>52004-0000</v>
      </c>
      <c r="D11883" s="13" t="s">
        <v>13185</v>
      </c>
      <c r="E11883" t="s">
        <v>3775</v>
      </c>
      <c r="F11883" t="s">
        <v>230</v>
      </c>
      <c r="G11883" t="s">
        <v>3769</v>
      </c>
      <c r="H11883" t="s">
        <v>1875</v>
      </c>
      <c r="I11883" t="s">
        <v>3776</v>
      </c>
      <c r="J11883" s="70">
        <v>0</v>
      </c>
      <c r="K11883" s="71">
        <v>-3453.82</v>
      </c>
      <c r="L11883" s="33" t="e">
        <f>HLOOKUP(B11883,#REF!,1,0)</f>
        <v>#REF!</v>
      </c>
      <c r="M11883" s="33" t="str">
        <f t="shared" si="743"/>
        <v>P&amp;L</v>
      </c>
    </row>
    <row r="11884" spans="1:13">
      <c r="A11884" s="33" t="str">
        <f t="shared" si="740"/>
        <v>ZPI - CGS</v>
      </c>
      <c r="B11884" s="33" t="str">
        <f t="shared" si="741"/>
        <v>ZPI</v>
      </c>
      <c r="C11884" s="33" t="str">
        <f t="shared" si="742"/>
        <v>52006-0000</v>
      </c>
      <c r="D11884" s="13" t="s">
        <v>13186</v>
      </c>
      <c r="E11884" t="s">
        <v>3778</v>
      </c>
      <c r="F11884" t="s">
        <v>230</v>
      </c>
      <c r="G11884" t="s">
        <v>3769</v>
      </c>
      <c r="H11884" t="s">
        <v>1875</v>
      </c>
      <c r="I11884" t="s">
        <v>3779</v>
      </c>
      <c r="J11884" s="70">
        <v>0</v>
      </c>
      <c r="K11884" s="71">
        <v>11.37</v>
      </c>
      <c r="L11884" s="33" t="e">
        <f>HLOOKUP(B11884,#REF!,1,0)</f>
        <v>#REF!</v>
      </c>
      <c r="M11884" s="33" t="str">
        <f t="shared" si="743"/>
        <v>P&amp;L</v>
      </c>
    </row>
    <row r="11885" spans="1:13">
      <c r="A11885" s="33" t="str">
        <f t="shared" si="740"/>
        <v>ZPI - CGS</v>
      </c>
      <c r="B11885" s="33" t="str">
        <f t="shared" si="741"/>
        <v>ZPI</v>
      </c>
      <c r="C11885" s="33" t="str">
        <f t="shared" si="742"/>
        <v>53001-0000</v>
      </c>
      <c r="D11885" s="13" t="s">
        <v>13187</v>
      </c>
      <c r="E11885" t="s">
        <v>3781</v>
      </c>
      <c r="F11885" t="s">
        <v>230</v>
      </c>
      <c r="G11885" t="s">
        <v>3160</v>
      </c>
      <c r="H11885" t="s">
        <v>1875</v>
      </c>
      <c r="I11885" t="s">
        <v>3782</v>
      </c>
      <c r="J11885" s="70">
        <v>0</v>
      </c>
      <c r="K11885" s="71">
        <v>1943.44</v>
      </c>
      <c r="L11885" s="33" t="e">
        <f>HLOOKUP(B11885,#REF!,1,0)</f>
        <v>#REF!</v>
      </c>
      <c r="M11885" s="33" t="str">
        <f t="shared" si="743"/>
        <v>P&amp;L</v>
      </c>
    </row>
    <row r="11886" spans="1:13">
      <c r="A11886" s="33" t="str">
        <f t="shared" si="740"/>
        <v>ZPI - CGS</v>
      </c>
      <c r="B11886" s="33" t="str">
        <f t="shared" si="741"/>
        <v>ZPI</v>
      </c>
      <c r="C11886" s="33" t="str">
        <f t="shared" si="742"/>
        <v>53002-0000</v>
      </c>
      <c r="D11886" s="13" t="s">
        <v>13188</v>
      </c>
      <c r="E11886" t="s">
        <v>3784</v>
      </c>
      <c r="F11886" t="s">
        <v>230</v>
      </c>
      <c r="G11886" t="s">
        <v>3160</v>
      </c>
      <c r="H11886" t="s">
        <v>1875</v>
      </c>
      <c r="I11886" t="s">
        <v>3785</v>
      </c>
      <c r="J11886" s="70">
        <v>0</v>
      </c>
      <c r="K11886" s="71">
        <v>22908.26</v>
      </c>
      <c r="L11886" s="33" t="e">
        <f>HLOOKUP(B11886,#REF!,1,0)</f>
        <v>#REF!</v>
      </c>
      <c r="M11886" s="33" t="str">
        <f t="shared" si="743"/>
        <v>P&amp;L</v>
      </c>
    </row>
    <row r="11887" spans="1:13">
      <c r="A11887" s="33" t="str">
        <f t="shared" si="740"/>
        <v>ZPI - CGS</v>
      </c>
      <c r="B11887" s="33" t="str">
        <f t="shared" si="741"/>
        <v>ZPI</v>
      </c>
      <c r="C11887" s="33" t="str">
        <f t="shared" si="742"/>
        <v>53003-0000</v>
      </c>
      <c r="D11887" s="13" t="s">
        <v>13189</v>
      </c>
      <c r="E11887" t="s">
        <v>3787</v>
      </c>
      <c r="F11887" t="s">
        <v>230</v>
      </c>
      <c r="G11887" t="s">
        <v>3160</v>
      </c>
      <c r="H11887" t="s">
        <v>1875</v>
      </c>
      <c r="I11887" t="s">
        <v>3788</v>
      </c>
      <c r="J11887" s="70">
        <v>0</v>
      </c>
      <c r="K11887" s="71">
        <v>8833.13</v>
      </c>
      <c r="L11887" s="33" t="e">
        <f>HLOOKUP(B11887,#REF!,1,0)</f>
        <v>#REF!</v>
      </c>
      <c r="M11887" s="33" t="str">
        <f t="shared" si="743"/>
        <v>P&amp;L</v>
      </c>
    </row>
    <row r="11888" spans="1:13">
      <c r="A11888" s="33" t="str">
        <f t="shared" si="740"/>
        <v>ZPI - CGS</v>
      </c>
      <c r="B11888" s="33" t="str">
        <f t="shared" si="741"/>
        <v>ZPI</v>
      </c>
      <c r="C11888" s="33" t="str">
        <f t="shared" si="742"/>
        <v>53004-0000</v>
      </c>
      <c r="D11888" s="13" t="s">
        <v>13190</v>
      </c>
      <c r="E11888" t="s">
        <v>3790</v>
      </c>
      <c r="F11888" t="s">
        <v>230</v>
      </c>
      <c r="G11888" t="s">
        <v>3160</v>
      </c>
      <c r="H11888" t="s">
        <v>1875</v>
      </c>
      <c r="I11888" t="s">
        <v>3791</v>
      </c>
      <c r="J11888" s="70">
        <v>0</v>
      </c>
      <c r="K11888" s="71">
        <v>10687.53</v>
      </c>
      <c r="L11888" s="33" t="e">
        <f>HLOOKUP(B11888,#REF!,1,0)</f>
        <v>#REF!</v>
      </c>
      <c r="M11888" s="33" t="str">
        <f t="shared" si="743"/>
        <v>P&amp;L</v>
      </c>
    </row>
    <row r="11889" spans="1:13">
      <c r="A11889" s="33" t="str">
        <f t="shared" si="740"/>
        <v>ZPI - CGS</v>
      </c>
      <c r="B11889" s="33" t="str">
        <f t="shared" si="741"/>
        <v>ZPI</v>
      </c>
      <c r="C11889" s="33" t="str">
        <f t="shared" si="742"/>
        <v>53005-0000</v>
      </c>
      <c r="D11889" s="13" t="s">
        <v>13191</v>
      </c>
      <c r="E11889" t="s">
        <v>3793</v>
      </c>
      <c r="F11889" t="s">
        <v>230</v>
      </c>
      <c r="G11889" t="s">
        <v>3160</v>
      </c>
      <c r="H11889" t="s">
        <v>1875</v>
      </c>
      <c r="I11889" t="s">
        <v>3794</v>
      </c>
      <c r="J11889" s="70">
        <v>0</v>
      </c>
      <c r="K11889" s="71">
        <v>26346.54</v>
      </c>
      <c r="L11889" s="33" t="e">
        <f>HLOOKUP(B11889,#REF!,1,0)</f>
        <v>#REF!</v>
      </c>
      <c r="M11889" s="33" t="str">
        <f t="shared" si="743"/>
        <v>P&amp;L</v>
      </c>
    </row>
    <row r="11890" spans="1:13">
      <c r="A11890" s="33" t="str">
        <f t="shared" si="740"/>
        <v>ZPI - CGS</v>
      </c>
      <c r="B11890" s="33" t="str">
        <f t="shared" si="741"/>
        <v>ZPI</v>
      </c>
      <c r="C11890" s="33" t="str">
        <f t="shared" si="742"/>
        <v>53006-0000</v>
      </c>
      <c r="D11890" s="13" t="s">
        <v>13192</v>
      </c>
      <c r="E11890" t="s">
        <v>3796</v>
      </c>
      <c r="F11890" t="s">
        <v>230</v>
      </c>
      <c r="G11890" t="s">
        <v>3160</v>
      </c>
      <c r="H11890" t="s">
        <v>1875</v>
      </c>
      <c r="I11890" t="s">
        <v>3797</v>
      </c>
      <c r="J11890" s="70">
        <v>0</v>
      </c>
      <c r="K11890" s="71">
        <v>44740.13</v>
      </c>
      <c r="L11890" s="33" t="e">
        <f>HLOOKUP(B11890,#REF!,1,0)</f>
        <v>#REF!</v>
      </c>
      <c r="M11890" s="33" t="str">
        <f t="shared" si="743"/>
        <v>P&amp;L</v>
      </c>
    </row>
    <row r="11891" spans="1:13">
      <c r="A11891" s="33" t="str">
        <f t="shared" si="740"/>
        <v>ZPI - CGS</v>
      </c>
      <c r="B11891" s="33" t="str">
        <f t="shared" si="741"/>
        <v>ZPI</v>
      </c>
      <c r="C11891" s="33" t="str">
        <f t="shared" si="742"/>
        <v>54001-0000</v>
      </c>
      <c r="D11891" s="13" t="s">
        <v>13193</v>
      </c>
      <c r="E11891" t="s">
        <v>4008</v>
      </c>
      <c r="F11891" t="s">
        <v>230</v>
      </c>
      <c r="G11891" t="s">
        <v>3800</v>
      </c>
      <c r="H11891" t="s">
        <v>1875</v>
      </c>
      <c r="I11891" t="s">
        <v>4009</v>
      </c>
      <c r="J11891" s="70">
        <v>0</v>
      </c>
      <c r="K11891" s="71">
        <v>0</v>
      </c>
      <c r="L11891" s="33" t="e">
        <f>HLOOKUP(B11891,#REF!,1,0)</f>
        <v>#REF!</v>
      </c>
      <c r="M11891" s="33" t="str">
        <f t="shared" si="743"/>
        <v>P&amp;L</v>
      </c>
    </row>
    <row r="11892" spans="1:13">
      <c r="A11892" s="33" t="str">
        <f t="shared" si="740"/>
        <v>ZPI - CGS</v>
      </c>
      <c r="B11892" s="33" t="str">
        <f t="shared" si="741"/>
        <v>ZPI</v>
      </c>
      <c r="C11892" s="33" t="str">
        <f t="shared" si="742"/>
        <v>54002-0000</v>
      </c>
      <c r="D11892" s="13" t="s">
        <v>13194</v>
      </c>
      <c r="E11892" t="s">
        <v>3799</v>
      </c>
      <c r="F11892" t="s">
        <v>230</v>
      </c>
      <c r="G11892" t="s">
        <v>3800</v>
      </c>
      <c r="H11892" t="s">
        <v>1875</v>
      </c>
      <c r="I11892" t="s">
        <v>3801</v>
      </c>
      <c r="J11892" s="70">
        <v>0</v>
      </c>
      <c r="K11892" s="71">
        <v>7500</v>
      </c>
      <c r="L11892" s="33" t="e">
        <f>HLOOKUP(B11892,#REF!,1,0)</f>
        <v>#REF!</v>
      </c>
      <c r="M11892" s="33" t="str">
        <f t="shared" si="743"/>
        <v>P&amp;L</v>
      </c>
    </row>
    <row r="11893" spans="1:13">
      <c r="A11893" s="33" t="str">
        <f t="shared" si="740"/>
        <v>ZPI - CGS</v>
      </c>
      <c r="B11893" s="33" t="str">
        <f t="shared" si="741"/>
        <v>ZPI</v>
      </c>
      <c r="C11893" s="33" t="str">
        <f t="shared" si="742"/>
        <v>54003-0000</v>
      </c>
      <c r="D11893" s="13" t="s">
        <v>13195</v>
      </c>
      <c r="E11893" t="s">
        <v>3803</v>
      </c>
      <c r="F11893" t="s">
        <v>230</v>
      </c>
      <c r="G11893" t="s">
        <v>3800</v>
      </c>
      <c r="H11893" t="s">
        <v>1875</v>
      </c>
      <c r="I11893" t="s">
        <v>3804</v>
      </c>
      <c r="J11893" s="70">
        <v>0</v>
      </c>
      <c r="K11893" s="71">
        <v>0</v>
      </c>
      <c r="L11893" s="33" t="e">
        <f>HLOOKUP(B11893,#REF!,1,0)</f>
        <v>#REF!</v>
      </c>
      <c r="M11893" s="33" t="str">
        <f t="shared" si="743"/>
        <v>P&amp;L</v>
      </c>
    </row>
    <row r="11894" spans="1:13">
      <c r="A11894" s="33" t="str">
        <f t="shared" si="740"/>
        <v>ZPI - CGS</v>
      </c>
      <c r="B11894" s="33" t="str">
        <f t="shared" si="741"/>
        <v>ZPI</v>
      </c>
      <c r="C11894" s="33" t="str">
        <f t="shared" si="742"/>
        <v>54004-0000</v>
      </c>
      <c r="D11894" s="13" t="s">
        <v>13196</v>
      </c>
      <c r="E11894" t="s">
        <v>3806</v>
      </c>
      <c r="F11894" t="s">
        <v>230</v>
      </c>
      <c r="G11894" t="s">
        <v>3800</v>
      </c>
      <c r="H11894" t="s">
        <v>1875</v>
      </c>
      <c r="I11894" t="s">
        <v>3807</v>
      </c>
      <c r="J11894" s="70">
        <v>0</v>
      </c>
      <c r="K11894" s="71">
        <v>56886.59</v>
      </c>
      <c r="L11894" s="33" t="e">
        <f>HLOOKUP(B11894,#REF!,1,0)</f>
        <v>#REF!</v>
      </c>
      <c r="M11894" s="33" t="str">
        <f t="shared" si="743"/>
        <v>P&amp;L</v>
      </c>
    </row>
    <row r="11895" spans="1:13">
      <c r="A11895" s="33" t="str">
        <f t="shared" si="740"/>
        <v>ZPI - CGS</v>
      </c>
      <c r="B11895" s="33" t="str">
        <f t="shared" si="741"/>
        <v>ZPI</v>
      </c>
      <c r="C11895" s="33" t="str">
        <f t="shared" si="742"/>
        <v>54005-0000</v>
      </c>
      <c r="D11895" s="13" t="s">
        <v>13197</v>
      </c>
      <c r="E11895" t="s">
        <v>3809</v>
      </c>
      <c r="F11895" t="s">
        <v>230</v>
      </c>
      <c r="G11895" t="s">
        <v>3800</v>
      </c>
      <c r="H11895" t="s">
        <v>1875</v>
      </c>
      <c r="I11895" t="s">
        <v>3810</v>
      </c>
      <c r="J11895" s="70">
        <v>0</v>
      </c>
      <c r="K11895" s="71">
        <v>530.18</v>
      </c>
      <c r="L11895" s="33" t="e">
        <f>HLOOKUP(B11895,#REF!,1,0)</f>
        <v>#REF!</v>
      </c>
      <c r="M11895" s="33" t="str">
        <f t="shared" si="743"/>
        <v>P&amp;L</v>
      </c>
    </row>
    <row r="11896" spans="1:13">
      <c r="A11896" s="33" t="str">
        <f t="shared" si="740"/>
        <v>ZPI - CGS</v>
      </c>
      <c r="B11896" s="33" t="str">
        <f t="shared" si="741"/>
        <v>ZPI</v>
      </c>
      <c r="C11896" s="33" t="str">
        <f t="shared" si="742"/>
        <v>54006-0000</v>
      </c>
      <c r="D11896" s="13" t="s">
        <v>13198</v>
      </c>
      <c r="E11896" t="s">
        <v>3812</v>
      </c>
      <c r="F11896" t="s">
        <v>230</v>
      </c>
      <c r="G11896" t="s">
        <v>3800</v>
      </c>
      <c r="H11896" t="s">
        <v>1875</v>
      </c>
      <c r="I11896" t="s">
        <v>3003</v>
      </c>
      <c r="J11896" s="70">
        <v>0</v>
      </c>
      <c r="K11896" s="71">
        <v>9220.99</v>
      </c>
      <c r="L11896" s="33" t="e">
        <f>HLOOKUP(B11896,#REF!,1,0)</f>
        <v>#REF!</v>
      </c>
      <c r="M11896" s="33" t="str">
        <f t="shared" si="743"/>
        <v>P&amp;L</v>
      </c>
    </row>
    <row r="11897" spans="1:13">
      <c r="A11897" s="33" t="str">
        <f t="shared" si="740"/>
        <v>ZPI - CGS</v>
      </c>
      <c r="B11897" s="33" t="str">
        <f t="shared" si="741"/>
        <v>ZPI</v>
      </c>
      <c r="C11897" s="33" t="str">
        <f t="shared" si="742"/>
        <v>54007-0000</v>
      </c>
      <c r="D11897" s="13" t="s">
        <v>13199</v>
      </c>
      <c r="E11897" t="s">
        <v>4182</v>
      </c>
      <c r="F11897" t="s">
        <v>230</v>
      </c>
      <c r="G11897" t="s">
        <v>3800</v>
      </c>
      <c r="H11897" t="s">
        <v>1875</v>
      </c>
      <c r="I11897" t="s">
        <v>3815</v>
      </c>
      <c r="J11897" s="70">
        <v>0</v>
      </c>
      <c r="K11897" s="71">
        <v>40014.77</v>
      </c>
      <c r="L11897" s="33" t="e">
        <f>HLOOKUP(B11897,#REF!,1,0)</f>
        <v>#REF!</v>
      </c>
      <c r="M11897" s="33" t="str">
        <f t="shared" si="743"/>
        <v>P&amp;L</v>
      </c>
    </row>
    <row r="11898" spans="1:13">
      <c r="A11898" s="33" t="str">
        <f t="shared" si="740"/>
        <v>ZPI - CGS</v>
      </c>
      <c r="B11898" s="33" t="str">
        <f t="shared" si="741"/>
        <v>ZPI</v>
      </c>
      <c r="C11898" s="33" t="str">
        <f t="shared" si="742"/>
        <v>54008-0000</v>
      </c>
      <c r="D11898" s="13" t="s">
        <v>13200</v>
      </c>
      <c r="E11898" t="s">
        <v>4017</v>
      </c>
      <c r="F11898" t="s">
        <v>230</v>
      </c>
      <c r="G11898" t="s">
        <v>3800</v>
      </c>
      <c r="H11898" t="s">
        <v>1875</v>
      </c>
      <c r="I11898" t="s">
        <v>4018</v>
      </c>
      <c r="J11898" s="70">
        <v>0</v>
      </c>
      <c r="K11898" s="71">
        <v>-126.96</v>
      </c>
      <c r="L11898" s="33" t="e">
        <f>HLOOKUP(B11898,#REF!,1,0)</f>
        <v>#REF!</v>
      </c>
      <c r="M11898" s="33" t="str">
        <f t="shared" si="743"/>
        <v>P&amp;L</v>
      </c>
    </row>
    <row r="11899" spans="1:13">
      <c r="A11899" s="33" t="str">
        <f t="shared" si="740"/>
        <v>ZPI - PM Expenses</v>
      </c>
      <c r="B11899" s="33" t="str">
        <f t="shared" si="741"/>
        <v>ZPI</v>
      </c>
      <c r="C11899" s="33" t="str">
        <f t="shared" si="742"/>
        <v>55501-0000</v>
      </c>
      <c r="D11899" s="13" t="s">
        <v>13201</v>
      </c>
      <c r="E11899" t="s">
        <v>3817</v>
      </c>
      <c r="F11899" t="s">
        <v>230</v>
      </c>
      <c r="G11899" t="s">
        <v>3818</v>
      </c>
      <c r="H11899" t="s">
        <v>3819</v>
      </c>
      <c r="I11899" t="s">
        <v>3820</v>
      </c>
      <c r="J11899" s="70">
        <v>0</v>
      </c>
      <c r="K11899" s="71">
        <v>12352.3</v>
      </c>
      <c r="L11899" s="33" t="e">
        <f>HLOOKUP(B11899,#REF!,1,0)</f>
        <v>#REF!</v>
      </c>
      <c r="M11899" s="33" t="str">
        <f t="shared" si="743"/>
        <v>P&amp;L</v>
      </c>
    </row>
    <row r="11900" spans="1:13">
      <c r="A11900" s="33" t="str">
        <f t="shared" si="740"/>
        <v>ZPI - PM Expenses</v>
      </c>
      <c r="B11900" s="33" t="str">
        <f t="shared" si="741"/>
        <v>ZPI</v>
      </c>
      <c r="C11900" s="33" t="str">
        <f t="shared" si="742"/>
        <v>55502-0000</v>
      </c>
      <c r="D11900" s="13" t="s">
        <v>13202</v>
      </c>
      <c r="E11900" t="s">
        <v>3822</v>
      </c>
      <c r="F11900" t="s">
        <v>230</v>
      </c>
      <c r="G11900" t="s">
        <v>3818</v>
      </c>
      <c r="H11900" t="s">
        <v>3819</v>
      </c>
      <c r="I11900" t="s">
        <v>3823</v>
      </c>
      <c r="J11900" s="70">
        <v>0</v>
      </c>
      <c r="K11900" s="71">
        <v>7990.32</v>
      </c>
      <c r="L11900" s="33" t="e">
        <f>HLOOKUP(B11900,#REF!,1,0)</f>
        <v>#REF!</v>
      </c>
      <c r="M11900" s="33" t="str">
        <f t="shared" si="743"/>
        <v>P&amp;L</v>
      </c>
    </row>
    <row r="11901" spans="1:13">
      <c r="A11901" s="33" t="str">
        <f t="shared" si="740"/>
        <v>ZPI - PM Expenses</v>
      </c>
      <c r="B11901" s="33" t="str">
        <f t="shared" si="741"/>
        <v>ZPI</v>
      </c>
      <c r="C11901" s="33" t="str">
        <f t="shared" si="742"/>
        <v>55503-0000</v>
      </c>
      <c r="D11901" s="13" t="s">
        <v>13203</v>
      </c>
      <c r="E11901" t="s">
        <v>3825</v>
      </c>
      <c r="F11901" t="s">
        <v>230</v>
      </c>
      <c r="G11901" t="s">
        <v>3818</v>
      </c>
      <c r="H11901" t="s">
        <v>3819</v>
      </c>
      <c r="I11901" t="s">
        <v>3826</v>
      </c>
      <c r="J11901" s="70">
        <v>0</v>
      </c>
      <c r="K11901" s="71">
        <v>8091.73</v>
      </c>
      <c r="L11901" s="33" t="e">
        <f>HLOOKUP(B11901,#REF!,1,0)</f>
        <v>#REF!</v>
      </c>
      <c r="M11901" s="33" t="str">
        <f t="shared" si="743"/>
        <v>P&amp;L</v>
      </c>
    </row>
    <row r="11902" spans="1:13">
      <c r="A11902" s="33" t="str">
        <f t="shared" si="740"/>
        <v>ZPI - PM Expenses</v>
      </c>
      <c r="B11902" s="33" t="str">
        <f t="shared" si="741"/>
        <v>ZPI</v>
      </c>
      <c r="C11902" s="33" t="str">
        <f t="shared" si="742"/>
        <v>55505-0000</v>
      </c>
      <c r="D11902" s="13" t="s">
        <v>13204</v>
      </c>
      <c r="E11902" t="s">
        <v>3828</v>
      </c>
      <c r="F11902" t="s">
        <v>230</v>
      </c>
      <c r="G11902" t="s">
        <v>3818</v>
      </c>
      <c r="H11902" t="s">
        <v>3819</v>
      </c>
      <c r="I11902" t="s">
        <v>3829</v>
      </c>
      <c r="J11902" s="70">
        <v>0</v>
      </c>
      <c r="K11902" s="71">
        <v>57318.59</v>
      </c>
      <c r="L11902" s="33" t="e">
        <f>HLOOKUP(B11902,#REF!,1,0)</f>
        <v>#REF!</v>
      </c>
      <c r="M11902" s="33" t="str">
        <f t="shared" si="743"/>
        <v>P&amp;L</v>
      </c>
    </row>
    <row r="11903" spans="1:13">
      <c r="A11903" s="33" t="str">
        <f t="shared" si="740"/>
        <v>ZPI - PM Expenses</v>
      </c>
      <c r="B11903" s="33" t="str">
        <f t="shared" si="741"/>
        <v>ZPI</v>
      </c>
      <c r="C11903" s="33" t="str">
        <f t="shared" si="742"/>
        <v>55506-0000</v>
      </c>
      <c r="D11903" s="13" t="s">
        <v>13205</v>
      </c>
      <c r="E11903" t="s">
        <v>3831</v>
      </c>
      <c r="F11903" t="s">
        <v>230</v>
      </c>
      <c r="G11903" t="s">
        <v>3818</v>
      </c>
      <c r="H11903" t="s">
        <v>3819</v>
      </c>
      <c r="I11903" t="s">
        <v>3832</v>
      </c>
      <c r="J11903" s="70">
        <v>0</v>
      </c>
      <c r="K11903" s="71">
        <v>209086.2</v>
      </c>
      <c r="L11903" s="33" t="e">
        <f>HLOOKUP(B11903,#REF!,1,0)</f>
        <v>#REF!</v>
      </c>
      <c r="M11903" s="33" t="str">
        <f t="shared" si="743"/>
        <v>P&amp;L</v>
      </c>
    </row>
    <row r="11904" spans="1:13">
      <c r="A11904" s="33" t="str">
        <f t="shared" si="740"/>
        <v>ZPI - PM Expenses</v>
      </c>
      <c r="B11904" s="33" t="str">
        <f t="shared" si="741"/>
        <v>ZPI</v>
      </c>
      <c r="C11904" s="33" t="str">
        <f t="shared" si="742"/>
        <v>55507-0000</v>
      </c>
      <c r="D11904" s="13" t="s">
        <v>13206</v>
      </c>
      <c r="E11904" t="s">
        <v>13207</v>
      </c>
      <c r="F11904" t="s">
        <v>230</v>
      </c>
      <c r="G11904" t="s">
        <v>3818</v>
      </c>
      <c r="H11904" t="s">
        <v>3819</v>
      </c>
      <c r="I11904" t="s">
        <v>3835</v>
      </c>
      <c r="J11904" s="70">
        <v>0</v>
      </c>
      <c r="K11904" s="71">
        <v>6195.49</v>
      </c>
      <c r="L11904" s="33" t="e">
        <f>HLOOKUP(B11904,#REF!,1,0)</f>
        <v>#REF!</v>
      </c>
      <c r="M11904" s="33" t="str">
        <f t="shared" si="743"/>
        <v>P&amp;L</v>
      </c>
    </row>
    <row r="11905" spans="1:13">
      <c r="A11905" s="33" t="str">
        <f t="shared" si="740"/>
        <v>ZPI - CGS</v>
      </c>
      <c r="B11905" s="33" t="str">
        <f t="shared" si="741"/>
        <v>ZPI</v>
      </c>
      <c r="C11905" s="33" t="str">
        <f t="shared" si="742"/>
        <v>60001-0000</v>
      </c>
      <c r="D11905" s="13" t="s">
        <v>13208</v>
      </c>
      <c r="E11905" t="s">
        <v>4192</v>
      </c>
      <c r="F11905" t="s">
        <v>230</v>
      </c>
      <c r="G11905" t="s">
        <v>3838</v>
      </c>
      <c r="H11905" t="s">
        <v>1875</v>
      </c>
      <c r="I11905" t="s">
        <v>4193</v>
      </c>
      <c r="J11905" s="70">
        <v>0</v>
      </c>
      <c r="K11905" s="71">
        <v>510</v>
      </c>
      <c r="L11905" s="33" t="e">
        <f>HLOOKUP(B11905,#REF!,1,0)</f>
        <v>#REF!</v>
      </c>
      <c r="M11905" s="33" t="str">
        <f t="shared" si="743"/>
        <v>P&amp;L</v>
      </c>
    </row>
    <row r="11906" spans="1:13">
      <c r="A11906" s="33" t="str">
        <f t="shared" ref="A11906:A11917" si="744">B11906&amp;" - "&amp;TRIM(H11906)</f>
        <v>ZPI - CGS</v>
      </c>
      <c r="B11906" s="33" t="str">
        <f t="shared" ref="B11906:B11917" si="745">LEFT(D11906,3)</f>
        <v>ZPI</v>
      </c>
      <c r="C11906" s="33" t="str">
        <f t="shared" ref="C11906:C11917" si="746">RIGHT(D11906,10)</f>
        <v>60002-0000</v>
      </c>
      <c r="D11906" s="13" t="s">
        <v>13209</v>
      </c>
      <c r="E11906" t="s">
        <v>3837</v>
      </c>
      <c r="F11906" t="s">
        <v>230</v>
      </c>
      <c r="G11906" t="s">
        <v>3838</v>
      </c>
      <c r="H11906" t="s">
        <v>1875</v>
      </c>
      <c r="I11906" t="s">
        <v>3839</v>
      </c>
      <c r="J11906" s="70">
        <v>0</v>
      </c>
      <c r="K11906" s="71">
        <v>4953.37</v>
      </c>
      <c r="L11906" s="33" t="e">
        <f>HLOOKUP(B11906,#REF!,1,0)</f>
        <v>#REF!</v>
      </c>
      <c r="M11906" s="33" t="str">
        <f t="shared" ref="M11906:M11917" si="747">IF(VALUE(LEFT(C11906,5))&gt;40000,"P&amp;L","BS")</f>
        <v>P&amp;L</v>
      </c>
    </row>
    <row r="11907" spans="1:13">
      <c r="A11907" s="33" t="str">
        <f t="shared" si="744"/>
        <v>ZPI - CGS</v>
      </c>
      <c r="B11907" s="33" t="str">
        <f t="shared" si="745"/>
        <v>ZPI</v>
      </c>
      <c r="C11907" s="33" t="str">
        <f t="shared" si="746"/>
        <v>60005-0000</v>
      </c>
      <c r="D11907" s="13" t="s">
        <v>13210</v>
      </c>
      <c r="E11907" t="s">
        <v>3841</v>
      </c>
      <c r="F11907" t="s">
        <v>230</v>
      </c>
      <c r="G11907" t="s">
        <v>3838</v>
      </c>
      <c r="H11907" t="s">
        <v>1875</v>
      </c>
      <c r="I11907" t="s">
        <v>3842</v>
      </c>
      <c r="J11907" s="70">
        <v>0</v>
      </c>
      <c r="K11907" s="71">
        <v>383.14</v>
      </c>
      <c r="L11907" s="33" t="e">
        <f>HLOOKUP(B11907,#REF!,1,0)</f>
        <v>#REF!</v>
      </c>
      <c r="M11907" s="33" t="str">
        <f t="shared" si="747"/>
        <v>P&amp;L</v>
      </c>
    </row>
    <row r="11908" spans="1:13">
      <c r="A11908" s="33" t="str">
        <f t="shared" si="744"/>
        <v>ZPI - Interest Expense</v>
      </c>
      <c r="B11908" s="33" t="str">
        <f t="shared" si="745"/>
        <v>ZPI</v>
      </c>
      <c r="C11908" s="33" t="str">
        <f t="shared" si="746"/>
        <v>60006-0000</v>
      </c>
      <c r="D11908" s="13" t="s">
        <v>13211</v>
      </c>
      <c r="E11908" t="s">
        <v>3325</v>
      </c>
      <c r="F11908" t="s">
        <v>230</v>
      </c>
      <c r="G11908" t="s">
        <v>3844</v>
      </c>
      <c r="H11908" t="s">
        <v>3327</v>
      </c>
      <c r="I11908" t="s">
        <v>3328</v>
      </c>
      <c r="J11908" s="70">
        <v>0</v>
      </c>
      <c r="K11908" s="71">
        <v>1195866.4</v>
      </c>
      <c r="L11908" s="33" t="e">
        <f>HLOOKUP(B11908,#REF!,1,0)</f>
        <v>#REF!</v>
      </c>
      <c r="M11908" s="33" t="str">
        <f t="shared" si="747"/>
        <v>P&amp;L</v>
      </c>
    </row>
    <row r="11909" spans="1:13">
      <c r="A11909" s="33" t="str">
        <f t="shared" si="744"/>
        <v>ZPI - CGS</v>
      </c>
      <c r="B11909" s="33" t="str">
        <f t="shared" si="745"/>
        <v>ZPI</v>
      </c>
      <c r="C11909" s="33" t="str">
        <f t="shared" si="746"/>
        <v>60007-0000</v>
      </c>
      <c r="D11909" s="13" t="s">
        <v>13212</v>
      </c>
      <c r="E11909" t="s">
        <v>3846</v>
      </c>
      <c r="F11909" t="s">
        <v>230</v>
      </c>
      <c r="G11909" t="s">
        <v>3838</v>
      </c>
      <c r="H11909" t="s">
        <v>1875</v>
      </c>
      <c r="I11909" t="s">
        <v>3847</v>
      </c>
      <c r="J11909" s="70">
        <v>0</v>
      </c>
      <c r="K11909" s="71">
        <v>801</v>
      </c>
      <c r="L11909" s="33" t="e">
        <f>HLOOKUP(B11909,#REF!,1,0)</f>
        <v>#REF!</v>
      </c>
      <c r="M11909" s="33" t="str">
        <f t="shared" si="747"/>
        <v>P&amp;L</v>
      </c>
    </row>
    <row r="11910" spans="1:13">
      <c r="A11910" s="33" t="str">
        <f t="shared" si="744"/>
        <v>ZPI - CGS</v>
      </c>
      <c r="B11910" s="33" t="str">
        <f t="shared" si="745"/>
        <v>ZPI</v>
      </c>
      <c r="C11910" s="33" t="str">
        <f t="shared" si="746"/>
        <v>60008-0000</v>
      </c>
      <c r="D11910" s="13" t="s">
        <v>13213</v>
      </c>
      <c r="E11910" t="s">
        <v>3849</v>
      </c>
      <c r="F11910" t="s">
        <v>230</v>
      </c>
      <c r="G11910" t="s">
        <v>3838</v>
      </c>
      <c r="H11910" t="s">
        <v>1875</v>
      </c>
      <c r="I11910" t="s">
        <v>3850</v>
      </c>
      <c r="J11910" s="70">
        <v>0</v>
      </c>
      <c r="K11910" s="71">
        <v>1051.89</v>
      </c>
      <c r="L11910" s="33" t="e">
        <f>HLOOKUP(B11910,#REF!,1,0)</f>
        <v>#REF!</v>
      </c>
      <c r="M11910" s="33" t="str">
        <f t="shared" si="747"/>
        <v>P&amp;L</v>
      </c>
    </row>
    <row r="11911" spans="1:13">
      <c r="A11911" s="33" t="str">
        <f t="shared" si="744"/>
        <v>ZPI - CGS</v>
      </c>
      <c r="B11911" s="33" t="str">
        <f t="shared" si="745"/>
        <v>ZPI</v>
      </c>
      <c r="C11911" s="33" t="str">
        <f t="shared" si="746"/>
        <v>60012-0000</v>
      </c>
      <c r="D11911" s="13" t="s">
        <v>13214</v>
      </c>
      <c r="E11911" t="s">
        <v>3852</v>
      </c>
      <c r="F11911" t="s">
        <v>230</v>
      </c>
      <c r="G11911" t="s">
        <v>3838</v>
      </c>
      <c r="H11911" t="s">
        <v>1875</v>
      </c>
      <c r="I11911" t="s">
        <v>3853</v>
      </c>
      <c r="J11911" s="70">
        <v>0</v>
      </c>
      <c r="K11911" s="71">
        <v>195138.77</v>
      </c>
      <c r="L11911" s="33" t="e">
        <f>HLOOKUP(B11911,#REF!,1,0)</f>
        <v>#REF!</v>
      </c>
      <c r="M11911" s="33" t="str">
        <f t="shared" si="747"/>
        <v>P&amp;L</v>
      </c>
    </row>
    <row r="11912" spans="1:13">
      <c r="A11912" s="33" t="str">
        <f t="shared" si="744"/>
        <v>ZPI - CGS</v>
      </c>
      <c r="B11912" s="33" t="str">
        <f t="shared" si="745"/>
        <v>ZPI</v>
      </c>
      <c r="C11912" s="33" t="str">
        <f t="shared" si="746"/>
        <v>60014-0000</v>
      </c>
      <c r="D11912" s="13" t="s">
        <v>13215</v>
      </c>
      <c r="E11912" t="s">
        <v>3855</v>
      </c>
      <c r="F11912" t="s">
        <v>230</v>
      </c>
      <c r="G11912" t="s">
        <v>3838</v>
      </c>
      <c r="H11912" t="s">
        <v>1875</v>
      </c>
      <c r="I11912" t="s">
        <v>3856</v>
      </c>
      <c r="J11912" s="70">
        <v>0</v>
      </c>
      <c r="K11912" s="71">
        <v>120834.68</v>
      </c>
      <c r="L11912" s="33" t="e">
        <f>HLOOKUP(B11912,#REF!,1,0)</f>
        <v>#REF!</v>
      </c>
      <c r="M11912" s="33" t="str">
        <f t="shared" si="747"/>
        <v>P&amp;L</v>
      </c>
    </row>
    <row r="11913" spans="1:13">
      <c r="A11913" s="33" t="str">
        <f t="shared" si="744"/>
        <v>ZPI - CGS</v>
      </c>
      <c r="B11913" s="33" t="str">
        <f t="shared" si="745"/>
        <v>ZPI</v>
      </c>
      <c r="C11913" s="33" t="str">
        <f t="shared" si="746"/>
        <v>60015-0000</v>
      </c>
      <c r="D11913" s="13" t="s">
        <v>13216</v>
      </c>
      <c r="E11913" t="s">
        <v>3858</v>
      </c>
      <c r="F11913" t="s">
        <v>230</v>
      </c>
      <c r="G11913" t="s">
        <v>3838</v>
      </c>
      <c r="H11913" t="s">
        <v>1875</v>
      </c>
      <c r="I11913" t="s">
        <v>3859</v>
      </c>
      <c r="J11913" s="70">
        <v>0</v>
      </c>
      <c r="K11913" s="71">
        <v>825.28</v>
      </c>
      <c r="L11913" s="33" t="e">
        <f>HLOOKUP(B11913,#REF!,1,0)</f>
        <v>#REF!</v>
      </c>
      <c r="M11913" s="33" t="str">
        <f t="shared" si="747"/>
        <v>P&amp;L</v>
      </c>
    </row>
    <row r="11914" spans="1:13">
      <c r="A11914" s="33" t="str">
        <f t="shared" si="744"/>
        <v>ZPI - CGS</v>
      </c>
      <c r="B11914" s="33" t="str">
        <f t="shared" si="745"/>
        <v>ZPI</v>
      </c>
      <c r="C11914" s="33" t="str">
        <f t="shared" si="746"/>
        <v>61018-0000</v>
      </c>
      <c r="D11914" s="13" t="s">
        <v>13217</v>
      </c>
      <c r="E11914" t="s">
        <v>3864</v>
      </c>
      <c r="F11914" t="s">
        <v>230</v>
      </c>
      <c r="G11914" t="s">
        <v>3838</v>
      </c>
      <c r="H11914" t="s">
        <v>1875</v>
      </c>
      <c r="I11914" t="s">
        <v>3866</v>
      </c>
      <c r="J11914" s="70">
        <v>0</v>
      </c>
      <c r="K11914" s="71">
        <v>2.41</v>
      </c>
      <c r="L11914" s="33" t="e">
        <f>HLOOKUP(B11914,#REF!,1,0)</f>
        <v>#REF!</v>
      </c>
      <c r="M11914" s="33" t="str">
        <f t="shared" si="747"/>
        <v>P&amp;L</v>
      </c>
    </row>
    <row r="11915" spans="1:13">
      <c r="A11915" s="33" t="str">
        <f t="shared" si="744"/>
        <v>ZPI - Income Tax</v>
      </c>
      <c r="B11915" s="33" t="str">
        <f t="shared" si="745"/>
        <v>ZPI</v>
      </c>
      <c r="C11915" s="33" t="str">
        <f t="shared" si="746"/>
        <v>61019-0000</v>
      </c>
      <c r="D11915" s="13" t="s">
        <v>13218</v>
      </c>
      <c r="E11915" t="s">
        <v>4041</v>
      </c>
      <c r="F11915" t="s">
        <v>230</v>
      </c>
      <c r="G11915" t="s">
        <v>3844</v>
      </c>
      <c r="H11915" t="s">
        <v>3378</v>
      </c>
      <c r="I11915" t="s">
        <v>4042</v>
      </c>
      <c r="J11915" s="70">
        <v>0</v>
      </c>
      <c r="K11915" s="71">
        <v>4100</v>
      </c>
      <c r="L11915" s="33" t="e">
        <f>HLOOKUP(B11915,#REF!,1,0)</f>
        <v>#REF!</v>
      </c>
      <c r="M11915" s="33" t="str">
        <f t="shared" si="747"/>
        <v>P&amp;L</v>
      </c>
    </row>
    <row r="11916" spans="1:13">
      <c r="A11916" s="33" t="str">
        <f t="shared" si="744"/>
        <v>ZPI - Other Income/Expense</v>
      </c>
      <c r="B11916" s="33" t="str">
        <f t="shared" si="745"/>
        <v>ZPI</v>
      </c>
      <c r="C11916" s="33" t="str">
        <f t="shared" si="746"/>
        <v>61022-0000</v>
      </c>
      <c r="D11916" s="13" t="s">
        <v>13219</v>
      </c>
      <c r="E11916" t="s">
        <v>4286</v>
      </c>
      <c r="F11916" t="s">
        <v>230</v>
      </c>
      <c r="G11916" t="s">
        <v>3838</v>
      </c>
      <c r="H11916" t="s">
        <v>3300</v>
      </c>
      <c r="I11916" t="s">
        <v>4287</v>
      </c>
      <c r="J11916" s="70">
        <v>0</v>
      </c>
      <c r="K11916" s="71">
        <v>6675.9</v>
      </c>
      <c r="L11916" s="33" t="e">
        <f>HLOOKUP(B11916,#REF!,1,0)</f>
        <v>#REF!</v>
      </c>
      <c r="M11916" s="33" t="str">
        <f t="shared" si="747"/>
        <v>P&amp;L</v>
      </c>
    </row>
    <row r="11917" spans="1:13">
      <c r="A11917" s="33" t="str">
        <f t="shared" si="744"/>
        <v>ZPI - CGS</v>
      </c>
      <c r="B11917" s="33" t="str">
        <f t="shared" si="745"/>
        <v>ZPI</v>
      </c>
      <c r="C11917" s="33" t="str">
        <f t="shared" si="746"/>
        <v>61023-0000</v>
      </c>
      <c r="D11917" s="13" t="s">
        <v>13220</v>
      </c>
      <c r="E11917" t="s">
        <v>1873</v>
      </c>
      <c r="F11917" t="s">
        <v>230</v>
      </c>
      <c r="G11917" t="s">
        <v>3838</v>
      </c>
      <c r="H11917" t="s">
        <v>1875</v>
      </c>
      <c r="I11917" t="s">
        <v>1876</v>
      </c>
      <c r="J11917" s="70">
        <v>0</v>
      </c>
      <c r="K11917" s="71">
        <v>22661.91</v>
      </c>
      <c r="L11917" s="33" t="e">
        <f>HLOOKUP(B11917,#REF!,1,0)</f>
        <v>#REF!</v>
      </c>
      <c r="M11917" s="33" t="str">
        <f t="shared" si="747"/>
        <v>P&amp;L</v>
      </c>
    </row>
    <row r="11918" spans="1:13">
      <c r="A11918" s="33"/>
      <c r="B11918" s="33"/>
      <c r="C11918" s="33"/>
      <c r="L11918" s="33"/>
      <c r="M11918" s="33"/>
    </row>
    <row r="11919" spans="1:13">
      <c r="A11919" s="33" t="str">
        <f t="shared" ref="A11919:A11982" si="748">B11919&amp;" - "&amp;TRIM(H11919)</f>
        <v>AKG - SH Dist</v>
      </c>
      <c r="B11919" s="33" t="str">
        <f t="shared" ref="B11919:B11982" si="749">LEFT(D11919,3)</f>
        <v>AKG</v>
      </c>
      <c r="C11919" s="33" t="str">
        <f t="shared" ref="C11919:C11982" si="750">RIGHT(D11919,10)</f>
        <v>10001-0000</v>
      </c>
      <c r="D11919" t="s">
        <v>239</v>
      </c>
      <c r="E11919" t="s">
        <v>13221</v>
      </c>
      <c r="F11919" s="69" t="s">
        <v>230</v>
      </c>
      <c r="G11919" t="s">
        <v>142</v>
      </c>
      <c r="H11919" t="s">
        <v>143</v>
      </c>
      <c r="I11919" t="s">
        <v>144</v>
      </c>
      <c r="J11919" s="70">
        <v>32698.98</v>
      </c>
      <c r="K11919" s="71">
        <v>-47950.87</v>
      </c>
      <c r="L11919" s="33" t="e">
        <f>HLOOKUP(B11919,#REF!,1,0)</f>
        <v>#REF!</v>
      </c>
      <c r="M11919" s="33" t="str">
        <f t="shared" ref="M11919:M11982" si="751">IF(VALUE(LEFT(C11919,5))&gt;40000,"P&amp;L","BS")</f>
        <v>BS</v>
      </c>
    </row>
    <row r="11920" spans="1:13">
      <c r="A11920" s="33" t="str">
        <f t="shared" si="748"/>
        <v>AKG - SH Dist</v>
      </c>
      <c r="B11920" s="33" t="str">
        <f t="shared" si="749"/>
        <v>AKG</v>
      </c>
      <c r="C11920" s="33" t="str">
        <f t="shared" si="750"/>
        <v>10006-0000</v>
      </c>
      <c r="D11920" t="s">
        <v>13222</v>
      </c>
      <c r="E11920" t="s">
        <v>13223</v>
      </c>
      <c r="F11920" s="69" t="s">
        <v>230</v>
      </c>
      <c r="G11920" t="s">
        <v>142</v>
      </c>
      <c r="H11920" t="s">
        <v>143</v>
      </c>
      <c r="I11920" t="s">
        <v>144</v>
      </c>
      <c r="J11920" s="70">
        <v>0</v>
      </c>
      <c r="K11920" s="71">
        <v>149833.05</v>
      </c>
      <c r="L11920" s="33" t="e">
        <f>HLOOKUP(B11920,#REF!,1,0)</f>
        <v>#REF!</v>
      </c>
      <c r="M11920" s="33" t="str">
        <f t="shared" si="751"/>
        <v>BS</v>
      </c>
    </row>
    <row r="11921" spans="1:13">
      <c r="A11921" s="33" t="str">
        <f t="shared" si="748"/>
        <v>AKG - Intercompany</v>
      </c>
      <c r="B11921" s="33" t="str">
        <f t="shared" si="749"/>
        <v>AKG</v>
      </c>
      <c r="C11921" s="33" t="str">
        <f t="shared" si="750"/>
        <v>11216-0000</v>
      </c>
      <c r="D11921" t="s">
        <v>241</v>
      </c>
      <c r="E11921" t="s">
        <v>13224</v>
      </c>
      <c r="F11921" s="69" t="s">
        <v>230</v>
      </c>
      <c r="G11921" t="s">
        <v>16</v>
      </c>
      <c r="H11921" t="s">
        <v>39</v>
      </c>
      <c r="I11921" t="s">
        <v>40</v>
      </c>
      <c r="J11921" s="70">
        <v>379260.92</v>
      </c>
      <c r="K11921" s="71">
        <v>361088.4</v>
      </c>
      <c r="L11921" s="33" t="e">
        <f>HLOOKUP(B11921,#REF!,1,0)</f>
        <v>#REF!</v>
      </c>
      <c r="M11921" s="33" t="str">
        <f t="shared" si="751"/>
        <v>BS</v>
      </c>
    </row>
    <row r="11922" spans="1:13">
      <c r="A11922" s="33" t="str">
        <f t="shared" si="748"/>
        <v>AKG - Intercompany</v>
      </c>
      <c r="B11922" s="33" t="str">
        <f t="shared" si="749"/>
        <v>AKG</v>
      </c>
      <c r="C11922" s="33" t="str">
        <f t="shared" si="750"/>
        <v>11301-0000</v>
      </c>
      <c r="D11922" t="s">
        <v>243</v>
      </c>
      <c r="E11922" t="s">
        <v>13225</v>
      </c>
      <c r="F11922" s="69" t="s">
        <v>230</v>
      </c>
      <c r="G11922" t="s">
        <v>16</v>
      </c>
      <c r="H11922" t="s">
        <v>39</v>
      </c>
      <c r="I11922" t="s">
        <v>40</v>
      </c>
      <c r="J11922" s="70">
        <v>40000</v>
      </c>
      <c r="K11922" s="71">
        <v>40000</v>
      </c>
      <c r="L11922" s="33" t="e">
        <f>HLOOKUP(B11922,#REF!,1,0)</f>
        <v>#REF!</v>
      </c>
      <c r="M11922" s="33" t="str">
        <f t="shared" si="751"/>
        <v>BS</v>
      </c>
    </row>
    <row r="11923" spans="1:13">
      <c r="A11923" s="33" t="str">
        <f t="shared" si="748"/>
        <v>AKG - Intercompany</v>
      </c>
      <c r="B11923" s="33" t="str">
        <f t="shared" si="749"/>
        <v>AKG</v>
      </c>
      <c r="C11923" s="33" t="str">
        <f t="shared" si="750"/>
        <v>11302-0000</v>
      </c>
      <c r="D11923" t="s">
        <v>245</v>
      </c>
      <c r="E11923" t="s">
        <v>13226</v>
      </c>
      <c r="F11923" s="69" t="s">
        <v>230</v>
      </c>
      <c r="G11923" t="s">
        <v>16</v>
      </c>
      <c r="H11923" t="s">
        <v>39</v>
      </c>
      <c r="I11923" t="s">
        <v>40</v>
      </c>
      <c r="J11923" s="70">
        <v>30000</v>
      </c>
      <c r="K11923" s="71">
        <v>30000</v>
      </c>
      <c r="L11923" s="33" t="e">
        <f>HLOOKUP(B11923,#REF!,1,0)</f>
        <v>#REF!</v>
      </c>
      <c r="M11923" s="33" t="str">
        <f t="shared" si="751"/>
        <v>BS</v>
      </c>
    </row>
    <row r="11924" spans="1:13">
      <c r="A11924" s="33" t="str">
        <f t="shared" si="748"/>
        <v>AKG - Intercompany</v>
      </c>
      <c r="B11924" s="33" t="str">
        <f t="shared" si="749"/>
        <v>AKG</v>
      </c>
      <c r="C11924" s="33" t="str">
        <f t="shared" si="750"/>
        <v>11303-0000</v>
      </c>
      <c r="D11924" t="s">
        <v>247</v>
      </c>
      <c r="E11924" t="s">
        <v>13227</v>
      </c>
      <c r="F11924" s="69" t="s">
        <v>230</v>
      </c>
      <c r="G11924" t="s">
        <v>16</v>
      </c>
      <c r="H11924" t="s">
        <v>39</v>
      </c>
      <c r="I11924" t="s">
        <v>40</v>
      </c>
      <c r="J11924" s="70">
        <v>1000</v>
      </c>
      <c r="K11924" s="71">
        <v>1000</v>
      </c>
      <c r="L11924" s="33" t="e">
        <f>HLOOKUP(B11924,#REF!,1,0)</f>
        <v>#REF!</v>
      </c>
      <c r="M11924" s="33" t="str">
        <f t="shared" si="751"/>
        <v>BS</v>
      </c>
    </row>
    <row r="11925" spans="1:13">
      <c r="A11925" s="33" t="str">
        <f t="shared" si="748"/>
        <v>AKG - Intercompany</v>
      </c>
      <c r="B11925" s="33" t="str">
        <f t="shared" si="749"/>
        <v>AKG</v>
      </c>
      <c r="C11925" s="33" t="str">
        <f t="shared" si="750"/>
        <v>11304-0000</v>
      </c>
      <c r="D11925" t="s">
        <v>249</v>
      </c>
      <c r="E11925" t="s">
        <v>13228</v>
      </c>
      <c r="F11925" s="69" t="s">
        <v>230</v>
      </c>
      <c r="G11925" t="s">
        <v>16</v>
      </c>
      <c r="H11925" t="s">
        <v>39</v>
      </c>
      <c r="I11925" t="s">
        <v>40</v>
      </c>
      <c r="J11925" s="70">
        <v>25000</v>
      </c>
      <c r="K11925" s="71">
        <v>25000</v>
      </c>
      <c r="L11925" s="33" t="e">
        <f>HLOOKUP(B11925,#REF!,1,0)</f>
        <v>#REF!</v>
      </c>
      <c r="M11925" s="33" t="str">
        <f t="shared" si="751"/>
        <v>BS</v>
      </c>
    </row>
    <row r="11926" spans="1:13">
      <c r="A11926" s="33" t="str">
        <f t="shared" si="748"/>
        <v>AKG - Intercompany</v>
      </c>
      <c r="B11926" s="33" t="str">
        <f t="shared" si="749"/>
        <v>AKG</v>
      </c>
      <c r="C11926" s="33" t="str">
        <f t="shared" si="750"/>
        <v>11305-0000</v>
      </c>
      <c r="D11926" t="s">
        <v>251</v>
      </c>
      <c r="E11926" t="s">
        <v>13229</v>
      </c>
      <c r="F11926" s="69" t="s">
        <v>230</v>
      </c>
      <c r="G11926" t="s">
        <v>16</v>
      </c>
      <c r="H11926" t="s">
        <v>39</v>
      </c>
      <c r="I11926" t="s">
        <v>40</v>
      </c>
      <c r="J11926" s="70">
        <v>245000</v>
      </c>
      <c r="K11926" s="71">
        <v>245000</v>
      </c>
      <c r="L11926" s="33" t="e">
        <f>HLOOKUP(B11926,#REF!,1,0)</f>
        <v>#REF!</v>
      </c>
      <c r="M11926" s="33" t="str">
        <f t="shared" si="751"/>
        <v>BS</v>
      </c>
    </row>
    <row r="11927" spans="1:13">
      <c r="A11927" s="33" t="str">
        <f t="shared" si="748"/>
        <v>AKG - Intercompany</v>
      </c>
      <c r="B11927" s="33" t="str">
        <f t="shared" si="749"/>
        <v>AKG</v>
      </c>
      <c r="C11927" s="33" t="str">
        <f t="shared" si="750"/>
        <v>11309-0000</v>
      </c>
      <c r="D11927" t="s">
        <v>253</v>
      </c>
      <c r="E11927" t="s">
        <v>13230</v>
      </c>
      <c r="F11927" s="69" t="s">
        <v>230</v>
      </c>
      <c r="G11927" t="s">
        <v>16</v>
      </c>
      <c r="H11927" t="s">
        <v>39</v>
      </c>
      <c r="I11927" t="s">
        <v>40</v>
      </c>
      <c r="J11927" s="70">
        <v>20000</v>
      </c>
      <c r="K11927" s="71">
        <v>20000</v>
      </c>
      <c r="L11927" s="33" t="e">
        <f>HLOOKUP(B11927,#REF!,1,0)</f>
        <v>#REF!</v>
      </c>
      <c r="M11927" s="33" t="str">
        <f t="shared" si="751"/>
        <v>BS</v>
      </c>
    </row>
    <row r="11928" spans="1:13">
      <c r="A11928" s="33" t="str">
        <f t="shared" si="748"/>
        <v>AKG - Intercompany</v>
      </c>
      <c r="B11928" s="33" t="str">
        <f t="shared" si="749"/>
        <v>AKG</v>
      </c>
      <c r="C11928" s="33" t="str">
        <f t="shared" si="750"/>
        <v>11310-0000</v>
      </c>
      <c r="D11928" t="s">
        <v>255</v>
      </c>
      <c r="E11928" t="s">
        <v>13231</v>
      </c>
      <c r="F11928" s="69" t="s">
        <v>230</v>
      </c>
      <c r="G11928" t="s">
        <v>16</v>
      </c>
      <c r="H11928" t="s">
        <v>39</v>
      </c>
      <c r="I11928" t="s">
        <v>40</v>
      </c>
      <c r="J11928" s="70">
        <v>125000</v>
      </c>
      <c r="K11928" s="71">
        <v>125000</v>
      </c>
      <c r="L11928" s="33" t="e">
        <f>HLOOKUP(B11928,#REF!,1,0)</f>
        <v>#REF!</v>
      </c>
      <c r="M11928" s="33" t="str">
        <f t="shared" si="751"/>
        <v>BS</v>
      </c>
    </row>
    <row r="11929" spans="1:13">
      <c r="A11929" s="33" t="str">
        <f t="shared" si="748"/>
        <v>AKG - Intercompany</v>
      </c>
      <c r="B11929" s="33" t="str">
        <f t="shared" si="749"/>
        <v>AKG</v>
      </c>
      <c r="C11929" s="33" t="str">
        <f t="shared" si="750"/>
        <v>11311-0000</v>
      </c>
      <c r="D11929" t="s">
        <v>257</v>
      </c>
      <c r="E11929" t="s">
        <v>13232</v>
      </c>
      <c r="F11929" s="69" t="s">
        <v>230</v>
      </c>
      <c r="G11929" t="s">
        <v>16</v>
      </c>
      <c r="H11929" t="s">
        <v>39</v>
      </c>
      <c r="I11929" t="s">
        <v>40</v>
      </c>
      <c r="J11929" s="70">
        <v>40000</v>
      </c>
      <c r="K11929" s="71">
        <v>40000</v>
      </c>
      <c r="L11929" s="33" t="e">
        <f>HLOOKUP(B11929,#REF!,1,0)</f>
        <v>#REF!</v>
      </c>
      <c r="M11929" s="33" t="str">
        <f t="shared" si="751"/>
        <v>BS</v>
      </c>
    </row>
    <row r="11930" spans="1:13">
      <c r="A11930" s="33" t="str">
        <f t="shared" si="748"/>
        <v>AKG - Intercompany</v>
      </c>
      <c r="B11930" s="33" t="str">
        <f t="shared" si="749"/>
        <v>AKG</v>
      </c>
      <c r="C11930" s="33" t="str">
        <f t="shared" si="750"/>
        <v>11313-0000</v>
      </c>
      <c r="D11930" t="s">
        <v>259</v>
      </c>
      <c r="E11930" t="s">
        <v>13233</v>
      </c>
      <c r="F11930" s="69" t="s">
        <v>230</v>
      </c>
      <c r="G11930" t="s">
        <v>16</v>
      </c>
      <c r="H11930" t="s">
        <v>39</v>
      </c>
      <c r="I11930" t="s">
        <v>40</v>
      </c>
      <c r="J11930" s="70">
        <v>25000</v>
      </c>
      <c r="K11930" s="71">
        <v>25000</v>
      </c>
      <c r="L11930" s="33" t="e">
        <f>HLOOKUP(B11930,#REF!,1,0)</f>
        <v>#REF!</v>
      </c>
      <c r="M11930" s="33" t="str">
        <f t="shared" si="751"/>
        <v>BS</v>
      </c>
    </row>
    <row r="11931" spans="1:13">
      <c r="A11931" s="33" t="str">
        <f t="shared" si="748"/>
        <v>AKG - Intercompany</v>
      </c>
      <c r="B11931" s="33" t="str">
        <f t="shared" si="749"/>
        <v>AKG</v>
      </c>
      <c r="C11931" s="33" t="str">
        <f t="shared" si="750"/>
        <v>11315-0000</v>
      </c>
      <c r="D11931" t="s">
        <v>261</v>
      </c>
      <c r="E11931" t="s">
        <v>13234</v>
      </c>
      <c r="F11931" s="69" t="s">
        <v>230</v>
      </c>
      <c r="G11931" t="s">
        <v>16</v>
      </c>
      <c r="H11931" t="s">
        <v>39</v>
      </c>
      <c r="I11931" t="s">
        <v>40</v>
      </c>
      <c r="J11931" s="70">
        <v>20000</v>
      </c>
      <c r="K11931" s="71">
        <v>20000</v>
      </c>
      <c r="L11931" s="33" t="e">
        <f>HLOOKUP(B11931,#REF!,1,0)</f>
        <v>#REF!</v>
      </c>
      <c r="M11931" s="33" t="str">
        <f t="shared" si="751"/>
        <v>BS</v>
      </c>
    </row>
    <row r="11932" spans="1:13">
      <c r="A11932" s="33" t="str">
        <f t="shared" si="748"/>
        <v>AKG - Intercompany</v>
      </c>
      <c r="B11932" s="33" t="str">
        <f t="shared" si="749"/>
        <v>AKG</v>
      </c>
      <c r="C11932" s="33" t="str">
        <f t="shared" si="750"/>
        <v>11316-0000</v>
      </c>
      <c r="D11932" t="s">
        <v>263</v>
      </c>
      <c r="E11932" t="s">
        <v>13235</v>
      </c>
      <c r="F11932" s="69" t="s">
        <v>230</v>
      </c>
      <c r="G11932" t="s">
        <v>16</v>
      </c>
      <c r="H11932" t="s">
        <v>39</v>
      </c>
      <c r="I11932" t="s">
        <v>40</v>
      </c>
      <c r="J11932" s="70">
        <v>41000</v>
      </c>
      <c r="K11932" s="71">
        <v>41000</v>
      </c>
      <c r="L11932" s="33" t="e">
        <f>HLOOKUP(B11932,#REF!,1,0)</f>
        <v>#REF!</v>
      </c>
      <c r="M11932" s="33" t="str">
        <f t="shared" si="751"/>
        <v>BS</v>
      </c>
    </row>
    <row r="11933" spans="1:13">
      <c r="A11933" s="33" t="str">
        <f t="shared" si="748"/>
        <v>AKG - Intercompany</v>
      </c>
      <c r="B11933" s="33" t="str">
        <f t="shared" si="749"/>
        <v>AKG</v>
      </c>
      <c r="C11933" s="33" t="str">
        <f t="shared" si="750"/>
        <v>11319-0000</v>
      </c>
      <c r="D11933" t="s">
        <v>265</v>
      </c>
      <c r="E11933" t="s">
        <v>266</v>
      </c>
      <c r="F11933" s="69" t="s">
        <v>230</v>
      </c>
      <c r="G11933" t="s">
        <v>16</v>
      </c>
      <c r="H11933" t="s">
        <v>39</v>
      </c>
      <c r="I11933" t="s">
        <v>40</v>
      </c>
      <c r="J11933" s="70">
        <v>5000</v>
      </c>
      <c r="K11933" s="71">
        <v>5000</v>
      </c>
      <c r="L11933" s="33" t="e">
        <f>HLOOKUP(B11933,#REF!,1,0)</f>
        <v>#REF!</v>
      </c>
      <c r="M11933" s="33" t="str">
        <f t="shared" si="751"/>
        <v>BS</v>
      </c>
    </row>
    <row r="11934" spans="1:13">
      <c r="A11934" s="33" t="str">
        <f t="shared" si="748"/>
        <v>AKG - Intercompany</v>
      </c>
      <c r="B11934" s="33" t="str">
        <f t="shared" si="749"/>
        <v>AKG</v>
      </c>
      <c r="C11934" s="33" t="str">
        <f t="shared" si="750"/>
        <v>11321-0000</v>
      </c>
      <c r="D11934" t="s">
        <v>267</v>
      </c>
      <c r="E11934" t="s">
        <v>13236</v>
      </c>
      <c r="F11934" s="69" t="s">
        <v>230</v>
      </c>
      <c r="G11934" t="s">
        <v>16</v>
      </c>
      <c r="H11934" t="s">
        <v>39</v>
      </c>
      <c r="I11934" t="s">
        <v>40</v>
      </c>
      <c r="J11934" s="70">
        <v>130000</v>
      </c>
      <c r="K11934" s="71">
        <v>130000</v>
      </c>
      <c r="L11934" s="33" t="e">
        <f>HLOOKUP(B11934,#REF!,1,0)</f>
        <v>#REF!</v>
      </c>
      <c r="M11934" s="33" t="str">
        <f t="shared" si="751"/>
        <v>BS</v>
      </c>
    </row>
    <row r="11935" spans="1:13">
      <c r="A11935" s="33" t="str">
        <f t="shared" si="748"/>
        <v>AKG - Intercompany</v>
      </c>
      <c r="B11935" s="33" t="str">
        <f t="shared" si="749"/>
        <v>AKG</v>
      </c>
      <c r="C11935" s="33" t="str">
        <f t="shared" si="750"/>
        <v>11322-0000</v>
      </c>
      <c r="D11935" t="s">
        <v>269</v>
      </c>
      <c r="E11935" t="s">
        <v>13237</v>
      </c>
      <c r="F11935" s="69" t="s">
        <v>230</v>
      </c>
      <c r="G11935" t="s">
        <v>16</v>
      </c>
      <c r="H11935" t="s">
        <v>39</v>
      </c>
      <c r="I11935" t="s">
        <v>40</v>
      </c>
      <c r="J11935" s="70">
        <v>3000</v>
      </c>
      <c r="K11935" s="71">
        <v>3000</v>
      </c>
      <c r="L11935" s="33" t="e">
        <f>HLOOKUP(B11935,#REF!,1,0)</f>
        <v>#REF!</v>
      </c>
      <c r="M11935" s="33" t="str">
        <f t="shared" si="751"/>
        <v>BS</v>
      </c>
    </row>
    <row r="11936" spans="1:13">
      <c r="A11936" s="33" t="str">
        <f t="shared" si="748"/>
        <v>AKG - Intercompany</v>
      </c>
      <c r="B11936" s="33" t="str">
        <f t="shared" si="749"/>
        <v>AKG</v>
      </c>
      <c r="C11936" s="33" t="str">
        <f t="shared" si="750"/>
        <v>11324-0000</v>
      </c>
      <c r="D11936" t="s">
        <v>271</v>
      </c>
      <c r="E11936" t="s">
        <v>13238</v>
      </c>
      <c r="F11936" s="69" t="s">
        <v>230</v>
      </c>
      <c r="G11936" t="s">
        <v>16</v>
      </c>
      <c r="H11936" t="s">
        <v>39</v>
      </c>
      <c r="I11936" t="s">
        <v>40</v>
      </c>
      <c r="J11936" s="70">
        <v>60000</v>
      </c>
      <c r="K11936" s="71">
        <v>60000</v>
      </c>
      <c r="L11936" s="33" t="e">
        <f>HLOOKUP(B11936,#REF!,1,0)</f>
        <v>#REF!</v>
      </c>
      <c r="M11936" s="33" t="str">
        <f t="shared" si="751"/>
        <v>BS</v>
      </c>
    </row>
    <row r="11937" spans="1:13">
      <c r="A11937" s="33" t="str">
        <f t="shared" si="748"/>
        <v>AKG - Intercompany</v>
      </c>
      <c r="B11937" s="33" t="str">
        <f t="shared" si="749"/>
        <v>AKG</v>
      </c>
      <c r="C11937" s="33" t="str">
        <f t="shared" si="750"/>
        <v>11325-0000</v>
      </c>
      <c r="D11937" t="s">
        <v>273</v>
      </c>
      <c r="E11937" t="s">
        <v>13239</v>
      </c>
      <c r="F11937" s="69" t="s">
        <v>230</v>
      </c>
      <c r="G11937" t="s">
        <v>16</v>
      </c>
      <c r="H11937" t="s">
        <v>39</v>
      </c>
      <c r="I11937" t="s">
        <v>40</v>
      </c>
      <c r="J11937" s="70">
        <v>20000</v>
      </c>
      <c r="K11937" s="71">
        <v>20000</v>
      </c>
      <c r="L11937" s="33" t="e">
        <f>HLOOKUP(B11937,#REF!,1,0)</f>
        <v>#REF!</v>
      </c>
      <c r="M11937" s="33" t="str">
        <f t="shared" si="751"/>
        <v>BS</v>
      </c>
    </row>
    <row r="11938" spans="1:13">
      <c r="A11938" s="33" t="str">
        <f t="shared" si="748"/>
        <v>AKG - Intercompany</v>
      </c>
      <c r="B11938" s="33" t="str">
        <f t="shared" si="749"/>
        <v>AKG</v>
      </c>
      <c r="C11938" s="33" t="str">
        <f t="shared" si="750"/>
        <v>11326-0000</v>
      </c>
      <c r="D11938" t="s">
        <v>275</v>
      </c>
      <c r="E11938" t="s">
        <v>13240</v>
      </c>
      <c r="F11938" s="69" t="s">
        <v>230</v>
      </c>
      <c r="G11938" t="s">
        <v>16</v>
      </c>
      <c r="H11938" t="s">
        <v>39</v>
      </c>
      <c r="I11938" t="s">
        <v>40</v>
      </c>
      <c r="J11938" s="70">
        <v>12000</v>
      </c>
      <c r="K11938" s="71">
        <v>12000</v>
      </c>
      <c r="L11938" s="33" t="e">
        <f>HLOOKUP(B11938,#REF!,1,0)</f>
        <v>#REF!</v>
      </c>
      <c r="M11938" s="33" t="str">
        <f t="shared" si="751"/>
        <v>BS</v>
      </c>
    </row>
    <row r="11939" spans="1:13">
      <c r="A11939" s="33" t="str">
        <f t="shared" si="748"/>
        <v>AKG - Intercompany</v>
      </c>
      <c r="B11939" s="33" t="str">
        <f t="shared" si="749"/>
        <v>AKG</v>
      </c>
      <c r="C11939" s="33" t="str">
        <f t="shared" si="750"/>
        <v>11328-0000</v>
      </c>
      <c r="D11939" t="s">
        <v>277</v>
      </c>
      <c r="E11939" t="s">
        <v>13241</v>
      </c>
      <c r="F11939" s="69" t="s">
        <v>230</v>
      </c>
      <c r="G11939" t="s">
        <v>16</v>
      </c>
      <c r="H11939" t="s">
        <v>39</v>
      </c>
      <c r="I11939" t="s">
        <v>40</v>
      </c>
      <c r="J11939" s="70">
        <v>10000</v>
      </c>
      <c r="K11939" s="71">
        <v>10000</v>
      </c>
      <c r="L11939" s="33" t="e">
        <f>HLOOKUP(B11939,#REF!,1,0)</f>
        <v>#REF!</v>
      </c>
      <c r="M11939" s="33" t="str">
        <f t="shared" si="751"/>
        <v>BS</v>
      </c>
    </row>
    <row r="11940" spans="1:13">
      <c r="A11940" s="33" t="str">
        <f t="shared" si="748"/>
        <v>AKG - Intercompany</v>
      </c>
      <c r="B11940" s="33" t="str">
        <f t="shared" si="749"/>
        <v>AKG</v>
      </c>
      <c r="C11940" s="33" t="str">
        <f t="shared" si="750"/>
        <v>11330-0000</v>
      </c>
      <c r="D11940" t="s">
        <v>279</v>
      </c>
      <c r="E11940" t="s">
        <v>13242</v>
      </c>
      <c r="F11940" s="69" t="s">
        <v>230</v>
      </c>
      <c r="G11940" t="s">
        <v>16</v>
      </c>
      <c r="H11940" t="s">
        <v>39</v>
      </c>
      <c r="I11940" t="s">
        <v>40</v>
      </c>
      <c r="J11940" s="70">
        <v>10000</v>
      </c>
      <c r="K11940" s="71">
        <v>10000</v>
      </c>
      <c r="L11940" s="33" t="e">
        <f>HLOOKUP(B11940,#REF!,1,0)</f>
        <v>#REF!</v>
      </c>
      <c r="M11940" s="33" t="str">
        <f t="shared" si="751"/>
        <v>BS</v>
      </c>
    </row>
    <row r="11941" spans="1:13">
      <c r="A11941" s="33" t="str">
        <f t="shared" si="748"/>
        <v>AKG - Intercompany</v>
      </c>
      <c r="B11941" s="33" t="str">
        <f t="shared" si="749"/>
        <v>AKG</v>
      </c>
      <c r="C11941" s="33" t="str">
        <f t="shared" si="750"/>
        <v>11332-0000</v>
      </c>
      <c r="D11941" t="s">
        <v>281</v>
      </c>
      <c r="E11941" t="s">
        <v>13243</v>
      </c>
      <c r="F11941" s="69" t="s">
        <v>230</v>
      </c>
      <c r="G11941" t="s">
        <v>16</v>
      </c>
      <c r="H11941" t="s">
        <v>39</v>
      </c>
      <c r="I11941" t="s">
        <v>40</v>
      </c>
      <c r="J11941" s="70">
        <v>100000</v>
      </c>
      <c r="K11941" s="71">
        <v>100000</v>
      </c>
      <c r="L11941" s="33" t="e">
        <f>HLOOKUP(B11941,#REF!,1,0)</f>
        <v>#REF!</v>
      </c>
      <c r="M11941" s="33" t="str">
        <f t="shared" si="751"/>
        <v>BS</v>
      </c>
    </row>
    <row r="11942" spans="1:13">
      <c r="A11942" s="33" t="str">
        <f t="shared" si="748"/>
        <v>AKG - Intercompany</v>
      </c>
      <c r="B11942" s="33" t="str">
        <f t="shared" si="749"/>
        <v>AKG</v>
      </c>
      <c r="C11942" s="33" t="str">
        <f t="shared" si="750"/>
        <v>11333-0000</v>
      </c>
      <c r="D11942" t="s">
        <v>283</v>
      </c>
      <c r="E11942" t="s">
        <v>13244</v>
      </c>
      <c r="F11942" s="69" t="s">
        <v>230</v>
      </c>
      <c r="G11942" t="s">
        <v>16</v>
      </c>
      <c r="H11942" t="s">
        <v>39</v>
      </c>
      <c r="I11942" t="s">
        <v>40</v>
      </c>
      <c r="J11942" s="70">
        <v>30000</v>
      </c>
      <c r="K11942" s="71">
        <v>30000</v>
      </c>
      <c r="L11942" s="33" t="e">
        <f>HLOOKUP(B11942,#REF!,1,0)</f>
        <v>#REF!</v>
      </c>
      <c r="M11942" s="33" t="str">
        <f t="shared" si="751"/>
        <v>BS</v>
      </c>
    </row>
    <row r="11943" spans="1:13">
      <c r="A11943" s="33" t="str">
        <f t="shared" si="748"/>
        <v>AKG - Intercompany</v>
      </c>
      <c r="B11943" s="33" t="str">
        <f t="shared" si="749"/>
        <v>AKG</v>
      </c>
      <c r="C11943" s="33" t="str">
        <f t="shared" si="750"/>
        <v>11334-0000</v>
      </c>
      <c r="D11943" t="s">
        <v>285</v>
      </c>
      <c r="E11943" t="s">
        <v>13245</v>
      </c>
      <c r="F11943" s="69" t="s">
        <v>230</v>
      </c>
      <c r="G11943" t="s">
        <v>16</v>
      </c>
      <c r="H11943" t="s">
        <v>39</v>
      </c>
      <c r="I11943" t="s">
        <v>40</v>
      </c>
      <c r="J11943" s="70">
        <v>32000</v>
      </c>
      <c r="K11943" s="71">
        <v>32000</v>
      </c>
      <c r="L11943" s="33" t="e">
        <f>HLOOKUP(B11943,#REF!,1,0)</f>
        <v>#REF!</v>
      </c>
      <c r="M11943" s="33" t="str">
        <f t="shared" si="751"/>
        <v>BS</v>
      </c>
    </row>
    <row r="11944" spans="1:13">
      <c r="A11944" s="33" t="str">
        <f t="shared" si="748"/>
        <v>AKG - Intercompany</v>
      </c>
      <c r="B11944" s="33" t="str">
        <f t="shared" si="749"/>
        <v>AKG</v>
      </c>
      <c r="C11944" s="33" t="str">
        <f t="shared" si="750"/>
        <v>11335-0000</v>
      </c>
      <c r="D11944" t="s">
        <v>287</v>
      </c>
      <c r="E11944" t="s">
        <v>13246</v>
      </c>
      <c r="F11944" s="69" t="s">
        <v>230</v>
      </c>
      <c r="G11944" t="s">
        <v>16</v>
      </c>
      <c r="H11944" t="s">
        <v>39</v>
      </c>
      <c r="I11944" t="s">
        <v>40</v>
      </c>
      <c r="J11944" s="70">
        <v>1000</v>
      </c>
      <c r="K11944" s="71">
        <v>1000</v>
      </c>
      <c r="L11944" s="33" t="e">
        <f>HLOOKUP(B11944,#REF!,1,0)</f>
        <v>#REF!</v>
      </c>
      <c r="M11944" s="33" t="str">
        <f t="shared" si="751"/>
        <v>BS</v>
      </c>
    </row>
    <row r="11945" spans="1:13">
      <c r="A11945" s="33" t="str">
        <f t="shared" si="748"/>
        <v>AKG - Intercompany</v>
      </c>
      <c r="B11945" s="33" t="str">
        <f t="shared" si="749"/>
        <v>AKG</v>
      </c>
      <c r="C11945" s="33" t="str">
        <f t="shared" si="750"/>
        <v>11336-0000</v>
      </c>
      <c r="D11945" t="s">
        <v>289</v>
      </c>
      <c r="E11945" t="s">
        <v>13247</v>
      </c>
      <c r="F11945" s="69" t="s">
        <v>230</v>
      </c>
      <c r="G11945" t="s">
        <v>16</v>
      </c>
      <c r="H11945" t="s">
        <v>39</v>
      </c>
      <c r="I11945" t="s">
        <v>40</v>
      </c>
      <c r="J11945" s="70">
        <v>34000</v>
      </c>
      <c r="K11945" s="71">
        <v>34000</v>
      </c>
      <c r="L11945" s="33" t="e">
        <f>HLOOKUP(B11945,#REF!,1,0)</f>
        <v>#REF!</v>
      </c>
      <c r="M11945" s="33" t="str">
        <f t="shared" si="751"/>
        <v>BS</v>
      </c>
    </row>
    <row r="11946" spans="1:13">
      <c r="A11946" s="33" t="str">
        <f t="shared" si="748"/>
        <v>AKG - Intercompany</v>
      </c>
      <c r="B11946" s="33" t="str">
        <f t="shared" si="749"/>
        <v>AKG</v>
      </c>
      <c r="C11946" s="33" t="str">
        <f t="shared" si="750"/>
        <v>11337-0000</v>
      </c>
      <c r="D11946" t="s">
        <v>291</v>
      </c>
      <c r="E11946" t="s">
        <v>13248</v>
      </c>
      <c r="F11946" s="69" t="s">
        <v>230</v>
      </c>
      <c r="G11946" t="s">
        <v>16</v>
      </c>
      <c r="H11946" t="s">
        <v>39</v>
      </c>
      <c r="I11946" t="s">
        <v>40</v>
      </c>
      <c r="J11946" s="70">
        <v>5000</v>
      </c>
      <c r="K11946" s="71">
        <v>5000</v>
      </c>
      <c r="L11946" s="33" t="e">
        <f>HLOOKUP(B11946,#REF!,1,0)</f>
        <v>#REF!</v>
      </c>
      <c r="M11946" s="33" t="str">
        <f t="shared" si="751"/>
        <v>BS</v>
      </c>
    </row>
    <row r="11947" spans="1:13">
      <c r="A11947" s="33" t="str">
        <f t="shared" si="748"/>
        <v>AKG - AR-PPD</v>
      </c>
      <c r="B11947" s="33" t="str">
        <f t="shared" si="749"/>
        <v>AKG</v>
      </c>
      <c r="C11947" s="33" t="str">
        <f t="shared" si="750"/>
        <v>12100-0000</v>
      </c>
      <c r="D11947" t="s">
        <v>13249</v>
      </c>
      <c r="E11947" t="s">
        <v>34</v>
      </c>
      <c r="F11947" s="69" t="s">
        <v>230</v>
      </c>
      <c r="G11947" t="s">
        <v>16</v>
      </c>
      <c r="H11947" t="s">
        <v>35</v>
      </c>
      <c r="I11947" t="s">
        <v>36</v>
      </c>
      <c r="J11947" s="70">
        <v>13987.44</v>
      </c>
      <c r="K11947" s="71">
        <v>20666.32</v>
      </c>
      <c r="L11947" s="33" t="e">
        <f>HLOOKUP(B11947,#REF!,1,0)</f>
        <v>#REF!</v>
      </c>
      <c r="M11947" s="33" t="str">
        <f t="shared" si="751"/>
        <v>BS</v>
      </c>
    </row>
    <row r="11948" spans="1:13">
      <c r="A11948" s="33" t="str">
        <f t="shared" si="748"/>
        <v>AKG - AR-PPD</v>
      </c>
      <c r="B11948" s="33" t="str">
        <f t="shared" si="749"/>
        <v>AKG</v>
      </c>
      <c r="C11948" s="33" t="str">
        <f t="shared" si="750"/>
        <v>13810-0000</v>
      </c>
      <c r="D11948" t="s">
        <v>13250</v>
      </c>
      <c r="E11948" t="s">
        <v>294</v>
      </c>
      <c r="F11948" s="69" t="s">
        <v>230</v>
      </c>
      <c r="G11948" t="s">
        <v>62</v>
      </c>
      <c r="H11948" t="s">
        <v>35</v>
      </c>
      <c r="I11948" t="s">
        <v>64</v>
      </c>
      <c r="J11948" s="70">
        <v>169755.7</v>
      </c>
      <c r="K11948" s="71">
        <v>190813.45</v>
      </c>
      <c r="L11948" s="33" t="e">
        <f>HLOOKUP(B11948,#REF!,1,0)</f>
        <v>#REF!</v>
      </c>
      <c r="M11948" s="33" t="str">
        <f t="shared" si="751"/>
        <v>BS</v>
      </c>
    </row>
    <row r="11949" spans="1:13">
      <c r="A11949" s="33" t="str">
        <f t="shared" si="748"/>
        <v>AKG - Fixed Assets</v>
      </c>
      <c r="B11949" s="33" t="str">
        <f t="shared" si="749"/>
        <v>AKG</v>
      </c>
      <c r="C11949" s="33" t="str">
        <f t="shared" si="750"/>
        <v>14100-0000</v>
      </c>
      <c r="D11949" t="s">
        <v>13251</v>
      </c>
      <c r="E11949" t="s">
        <v>298</v>
      </c>
      <c r="F11949" s="69" t="s">
        <v>230</v>
      </c>
      <c r="G11949" t="s">
        <v>62</v>
      </c>
      <c r="H11949" t="s">
        <v>63</v>
      </c>
      <c r="I11949" t="s">
        <v>64</v>
      </c>
      <c r="J11949" s="70">
        <v>2666666.67</v>
      </c>
      <c r="K11949" s="71">
        <v>2666666.67</v>
      </c>
      <c r="L11949" s="33" t="e">
        <f>HLOOKUP(B11949,#REF!,1,0)</f>
        <v>#REF!</v>
      </c>
      <c r="M11949" s="33" t="str">
        <f t="shared" si="751"/>
        <v>BS</v>
      </c>
    </row>
    <row r="11950" spans="1:13">
      <c r="A11950" s="33" t="str">
        <f t="shared" si="748"/>
        <v>AKG - Fixed Assets</v>
      </c>
      <c r="B11950" s="33" t="str">
        <f t="shared" si="749"/>
        <v>AKG</v>
      </c>
      <c r="C11950" s="33" t="str">
        <f t="shared" si="750"/>
        <v>15000-0000</v>
      </c>
      <c r="D11950" t="s">
        <v>299</v>
      </c>
      <c r="E11950" t="s">
        <v>13252</v>
      </c>
      <c r="F11950" s="69" t="s">
        <v>230</v>
      </c>
      <c r="G11950" t="s">
        <v>62</v>
      </c>
      <c r="H11950" t="s">
        <v>63</v>
      </c>
      <c r="I11950" t="s">
        <v>64</v>
      </c>
      <c r="J11950" s="70">
        <v>5333333.33</v>
      </c>
      <c r="K11950" s="71">
        <v>5333333.33</v>
      </c>
      <c r="L11950" s="33" t="e">
        <f>HLOOKUP(B11950,#REF!,1,0)</f>
        <v>#REF!</v>
      </c>
      <c r="M11950" s="33" t="str">
        <f t="shared" si="751"/>
        <v>BS</v>
      </c>
    </row>
    <row r="11951" spans="1:13">
      <c r="A11951" s="33" t="str">
        <f t="shared" si="748"/>
        <v>AKG - Fixed Assets</v>
      </c>
      <c r="B11951" s="33" t="str">
        <f t="shared" si="749"/>
        <v>AKG</v>
      </c>
      <c r="C11951" s="33" t="str">
        <f t="shared" si="750"/>
        <v>15500-0000</v>
      </c>
      <c r="D11951" t="s">
        <v>301</v>
      </c>
      <c r="E11951" t="s">
        <v>302</v>
      </c>
      <c r="F11951" s="69" t="s">
        <v>230</v>
      </c>
      <c r="G11951" t="s">
        <v>62</v>
      </c>
      <c r="H11951" t="s">
        <v>63</v>
      </c>
      <c r="I11951" t="s">
        <v>64</v>
      </c>
      <c r="J11951" s="70">
        <v>304645.25</v>
      </c>
      <c r="K11951" s="71">
        <v>304645.25</v>
      </c>
      <c r="L11951" s="33" t="e">
        <f>HLOOKUP(B11951,#REF!,1,0)</f>
        <v>#REF!</v>
      </c>
      <c r="M11951" s="33" t="str">
        <f t="shared" si="751"/>
        <v>BS</v>
      </c>
    </row>
    <row r="11952" spans="1:13">
      <c r="A11952" s="33" t="str">
        <f t="shared" si="748"/>
        <v>AKG - Fixed Assets</v>
      </c>
      <c r="B11952" s="33" t="str">
        <f t="shared" si="749"/>
        <v>AKG</v>
      </c>
      <c r="C11952" s="33" t="str">
        <f t="shared" si="750"/>
        <v>15700-0000</v>
      </c>
      <c r="D11952" t="s">
        <v>13253</v>
      </c>
      <c r="E11952" t="s">
        <v>2635</v>
      </c>
      <c r="F11952" s="69" t="s">
        <v>230</v>
      </c>
      <c r="G11952" t="s">
        <v>62</v>
      </c>
      <c r="H11952" t="s">
        <v>63</v>
      </c>
      <c r="I11952" t="s">
        <v>64</v>
      </c>
      <c r="J11952" s="70">
        <v>5250.45</v>
      </c>
      <c r="K11952" s="71">
        <v>7045.69</v>
      </c>
      <c r="L11952" s="33" t="e">
        <f>HLOOKUP(B11952,#REF!,1,0)</f>
        <v>#REF!</v>
      </c>
      <c r="M11952" s="33" t="str">
        <f t="shared" si="751"/>
        <v>BS</v>
      </c>
    </row>
    <row r="11953" spans="1:13">
      <c r="A11953" s="33" t="str">
        <f t="shared" si="748"/>
        <v>AKG - Fixed Assets</v>
      </c>
      <c r="B11953" s="33" t="str">
        <f t="shared" si="749"/>
        <v>AKG</v>
      </c>
      <c r="C11953" s="33" t="str">
        <f t="shared" si="750"/>
        <v>16000-0000</v>
      </c>
      <c r="D11953" t="s">
        <v>303</v>
      </c>
      <c r="E11953" t="s">
        <v>304</v>
      </c>
      <c r="F11953" s="69" t="s">
        <v>230</v>
      </c>
      <c r="G11953" t="s">
        <v>16</v>
      </c>
      <c r="H11953" t="s">
        <v>63</v>
      </c>
      <c r="I11953" t="s">
        <v>18</v>
      </c>
      <c r="J11953" s="70">
        <v>130229.06</v>
      </c>
      <c r="K11953" s="71">
        <v>130229.06</v>
      </c>
      <c r="L11953" s="33" t="e">
        <f>HLOOKUP(B11953,#REF!,1,0)</f>
        <v>#REF!</v>
      </c>
      <c r="M11953" s="33" t="str">
        <f t="shared" si="751"/>
        <v>BS</v>
      </c>
    </row>
    <row r="11954" spans="1:13">
      <c r="A11954" s="33" t="str">
        <f t="shared" si="748"/>
        <v>AKG - Fixed Assets</v>
      </c>
      <c r="B11954" s="33" t="str">
        <f t="shared" si="749"/>
        <v>AKG</v>
      </c>
      <c r="C11954" s="33" t="str">
        <f t="shared" si="750"/>
        <v>17000-0000</v>
      </c>
      <c r="D11954" t="s">
        <v>305</v>
      </c>
      <c r="E11954" t="s">
        <v>77</v>
      </c>
      <c r="F11954" s="69" t="s">
        <v>230</v>
      </c>
      <c r="G11954" t="s">
        <v>62</v>
      </c>
      <c r="H11954" t="s">
        <v>63</v>
      </c>
      <c r="I11954" t="s">
        <v>64</v>
      </c>
      <c r="J11954" s="70">
        <v>-1102728</v>
      </c>
      <c r="K11954" s="71">
        <v>-1102728</v>
      </c>
      <c r="L11954" s="33" t="e">
        <f>HLOOKUP(B11954,#REF!,1,0)</f>
        <v>#REF!</v>
      </c>
      <c r="M11954" s="33" t="str">
        <f t="shared" si="751"/>
        <v>BS</v>
      </c>
    </row>
    <row r="11955" spans="1:13">
      <c r="A11955" s="33" t="str">
        <f t="shared" si="748"/>
        <v>AKG - Fixed Assets</v>
      </c>
      <c r="B11955" s="33" t="str">
        <f t="shared" si="749"/>
        <v>AKG</v>
      </c>
      <c r="C11955" s="33" t="str">
        <f t="shared" si="750"/>
        <v>18000-0000</v>
      </c>
      <c r="D11955" t="s">
        <v>307</v>
      </c>
      <c r="E11955" t="s">
        <v>88</v>
      </c>
      <c r="F11955" s="69" t="s">
        <v>230</v>
      </c>
      <c r="G11955" t="s">
        <v>62</v>
      </c>
      <c r="H11955" t="s">
        <v>63</v>
      </c>
      <c r="I11955" t="s">
        <v>81</v>
      </c>
      <c r="J11955" s="70">
        <v>-226244</v>
      </c>
      <c r="K11955" s="71">
        <v>-226244</v>
      </c>
      <c r="L11955" s="33" t="e">
        <f>HLOOKUP(B11955,#REF!,1,0)</f>
        <v>#REF!</v>
      </c>
      <c r="M11955" s="33" t="str">
        <f t="shared" si="751"/>
        <v>BS</v>
      </c>
    </row>
    <row r="11956" spans="1:13">
      <c r="A11956" s="33" t="str">
        <f t="shared" si="748"/>
        <v>AKG - AP-Accr Exp</v>
      </c>
      <c r="B11956" s="33" t="str">
        <f t="shared" si="749"/>
        <v>AKG</v>
      </c>
      <c r="C11956" s="33" t="str">
        <f t="shared" si="750"/>
        <v>22000-0000</v>
      </c>
      <c r="D11956" t="s">
        <v>13254</v>
      </c>
      <c r="E11956" t="s">
        <v>96</v>
      </c>
      <c r="F11956" s="69" t="s">
        <v>230</v>
      </c>
      <c r="G11956" t="s">
        <v>97</v>
      </c>
      <c r="H11956" t="s">
        <v>98</v>
      </c>
      <c r="I11956" t="s">
        <v>99</v>
      </c>
      <c r="J11956" s="70">
        <v>-42.8</v>
      </c>
      <c r="K11956" s="71">
        <v>5696.13</v>
      </c>
      <c r="L11956" s="33" t="e">
        <f>HLOOKUP(B11956,#REF!,1,0)</f>
        <v>#REF!</v>
      </c>
      <c r="M11956" s="33" t="str">
        <f t="shared" si="751"/>
        <v>BS</v>
      </c>
    </row>
    <row r="11957" spans="1:13">
      <c r="A11957" s="33" t="str">
        <f t="shared" si="748"/>
        <v>AKG - AP-Accr Exp</v>
      </c>
      <c r="B11957" s="33" t="str">
        <f t="shared" si="749"/>
        <v>AKG</v>
      </c>
      <c r="C11957" s="33" t="str">
        <f t="shared" si="750"/>
        <v>22800-0000</v>
      </c>
      <c r="D11957" t="s">
        <v>13255</v>
      </c>
      <c r="E11957" t="s">
        <v>13256</v>
      </c>
      <c r="F11957" s="69" t="s">
        <v>230</v>
      </c>
      <c r="G11957" t="s">
        <v>97</v>
      </c>
      <c r="H11957" t="s">
        <v>98</v>
      </c>
      <c r="I11957" t="s">
        <v>102</v>
      </c>
      <c r="J11957" s="70">
        <v>-80072</v>
      </c>
      <c r="K11957" s="71">
        <v>-79372</v>
      </c>
      <c r="L11957" s="33" t="e">
        <f>HLOOKUP(B11957,#REF!,1,0)</f>
        <v>#REF!</v>
      </c>
      <c r="M11957" s="33" t="str">
        <f t="shared" si="751"/>
        <v>BS</v>
      </c>
    </row>
    <row r="11958" spans="1:13">
      <c r="A11958" s="33" t="str">
        <f t="shared" si="748"/>
        <v>AKG - Revenue</v>
      </c>
      <c r="B11958" s="33" t="str">
        <f t="shared" si="749"/>
        <v>AKG</v>
      </c>
      <c r="C11958" s="33" t="str">
        <f t="shared" si="750"/>
        <v>22905-0000</v>
      </c>
      <c r="D11958" t="s">
        <v>13257</v>
      </c>
      <c r="E11958" t="s">
        <v>13258</v>
      </c>
      <c r="F11958" s="69" t="s">
        <v>230</v>
      </c>
      <c r="G11958" t="s">
        <v>3717</v>
      </c>
      <c r="H11958" t="s">
        <v>2871</v>
      </c>
      <c r="I11958" t="s">
        <v>3721</v>
      </c>
      <c r="J11958" s="70">
        <v>-4249.85</v>
      </c>
      <c r="K11958" s="71">
        <v>-16331.45</v>
      </c>
      <c r="L11958" s="33" t="e">
        <f>HLOOKUP(B11958,#REF!,1,0)</f>
        <v>#REF!</v>
      </c>
      <c r="M11958" s="33" t="str">
        <f t="shared" si="751"/>
        <v>BS</v>
      </c>
    </row>
    <row r="11959" spans="1:13">
      <c r="A11959" s="33" t="str">
        <f t="shared" si="748"/>
        <v>AKG - AP-Accr Exp</v>
      </c>
      <c r="B11959" s="33" t="str">
        <f t="shared" si="749"/>
        <v>AKG</v>
      </c>
      <c r="C11959" s="33" t="str">
        <f t="shared" si="750"/>
        <v>23509-0000</v>
      </c>
      <c r="D11959" t="s">
        <v>311</v>
      </c>
      <c r="E11959" t="s">
        <v>454</v>
      </c>
      <c r="F11959" s="69" t="s">
        <v>230</v>
      </c>
      <c r="G11959" t="s">
        <v>97</v>
      </c>
      <c r="H11959" t="s">
        <v>98</v>
      </c>
      <c r="I11959" t="s">
        <v>102</v>
      </c>
      <c r="J11959" s="70">
        <v>-62.95</v>
      </c>
      <c r="K11959" s="71">
        <v>0</v>
      </c>
      <c r="L11959" s="33" t="e">
        <f>HLOOKUP(B11959,#REF!,1,0)</f>
        <v>#REF!</v>
      </c>
      <c r="M11959" s="33" t="str">
        <f t="shared" si="751"/>
        <v>BS</v>
      </c>
    </row>
    <row r="11960" spans="1:13">
      <c r="A11960" s="33" t="str">
        <f t="shared" si="748"/>
        <v>AKG - InterCo Notes</v>
      </c>
      <c r="B11960" s="33" t="str">
        <f t="shared" si="749"/>
        <v>AKG</v>
      </c>
      <c r="C11960" s="33" t="str">
        <f t="shared" si="750"/>
        <v>25600-0000</v>
      </c>
      <c r="D11960" t="s">
        <v>13259</v>
      </c>
      <c r="E11960" t="s">
        <v>314</v>
      </c>
      <c r="F11960" s="69" t="s">
        <v>230</v>
      </c>
      <c r="G11960" t="s">
        <v>16</v>
      </c>
      <c r="H11960" t="s">
        <v>315</v>
      </c>
      <c r="I11960" t="s">
        <v>40</v>
      </c>
      <c r="J11960" s="70">
        <v>-2005000</v>
      </c>
      <c r="K11960" s="71">
        <v>-2005000</v>
      </c>
      <c r="L11960" s="33" t="e">
        <f>HLOOKUP(B11960,#REF!,1,0)</f>
        <v>#REF!</v>
      </c>
      <c r="M11960" s="33" t="str">
        <f t="shared" si="751"/>
        <v>BS</v>
      </c>
    </row>
    <row r="11961" spans="1:13">
      <c r="A11961" s="33" t="str">
        <f t="shared" si="748"/>
        <v>AKG - Principal</v>
      </c>
      <c r="B11961" s="33" t="str">
        <f t="shared" si="749"/>
        <v>AKG</v>
      </c>
      <c r="C11961" s="33" t="str">
        <f t="shared" si="750"/>
        <v>28005-0000</v>
      </c>
      <c r="D11961" t="s">
        <v>316</v>
      </c>
      <c r="E11961" t="s">
        <v>13260</v>
      </c>
      <c r="F11961" s="69" t="s">
        <v>230</v>
      </c>
      <c r="G11961" t="s">
        <v>123</v>
      </c>
      <c r="H11961" t="s">
        <v>127</v>
      </c>
      <c r="I11961" t="s">
        <v>133</v>
      </c>
      <c r="J11961" s="70">
        <v>-12532000</v>
      </c>
      <c r="K11961" s="71">
        <v>-12532000</v>
      </c>
      <c r="L11961" s="33" t="e">
        <f>HLOOKUP(B11961,#REF!,1,0)</f>
        <v>#REF!</v>
      </c>
      <c r="M11961" s="33" t="str">
        <f t="shared" si="751"/>
        <v>BS</v>
      </c>
    </row>
    <row r="11962" spans="1:13">
      <c r="A11962" s="33" t="str">
        <f t="shared" si="748"/>
        <v>AKG - SH Dist</v>
      </c>
      <c r="B11962" s="33" t="str">
        <f t="shared" si="749"/>
        <v>AKG</v>
      </c>
      <c r="C11962" s="33" t="str">
        <f t="shared" si="750"/>
        <v>36000-0000</v>
      </c>
      <c r="D11962" t="s">
        <v>13261</v>
      </c>
      <c r="E11962" t="s">
        <v>13262</v>
      </c>
      <c r="F11962" s="69" t="s">
        <v>230</v>
      </c>
      <c r="G11962" t="s">
        <v>142</v>
      </c>
      <c r="H11962" t="s">
        <v>143</v>
      </c>
      <c r="I11962" t="s">
        <v>144</v>
      </c>
      <c r="J11962" s="70">
        <v>7459933</v>
      </c>
      <c r="K11962" s="71">
        <v>7459933</v>
      </c>
      <c r="L11962" s="33" t="e">
        <f>HLOOKUP(B11962,#REF!,1,0)</f>
        <v>#REF!</v>
      </c>
      <c r="M11962" s="33" t="str">
        <f t="shared" si="751"/>
        <v>BS</v>
      </c>
    </row>
    <row r="11963" spans="1:13">
      <c r="A11963" s="33" t="str">
        <f t="shared" si="748"/>
        <v>AKG - SH Dist</v>
      </c>
      <c r="B11963" s="33" t="str">
        <f t="shared" si="749"/>
        <v>AKG</v>
      </c>
      <c r="C11963" s="33" t="str">
        <f t="shared" si="750"/>
        <v>36005-0000</v>
      </c>
      <c r="D11963" t="s">
        <v>13263</v>
      </c>
      <c r="E11963" t="s">
        <v>13264</v>
      </c>
      <c r="F11963" s="69" t="s">
        <v>230</v>
      </c>
      <c r="G11963" t="s">
        <v>142</v>
      </c>
      <c r="H11963" t="s">
        <v>143</v>
      </c>
      <c r="I11963" t="s">
        <v>144</v>
      </c>
      <c r="J11963" s="70">
        <v>50000</v>
      </c>
      <c r="K11963" s="71">
        <v>50000</v>
      </c>
      <c r="L11963" s="33" t="e">
        <f>HLOOKUP(B11963,#REF!,1,0)</f>
        <v>#REF!</v>
      </c>
      <c r="M11963" s="33" t="str">
        <f t="shared" si="751"/>
        <v>BS</v>
      </c>
    </row>
    <row r="11964" spans="1:13">
      <c r="A11964" s="33" t="str">
        <f t="shared" si="748"/>
        <v>AKG - Retained Earnings</v>
      </c>
      <c r="B11964" s="33" t="str">
        <f t="shared" si="749"/>
        <v>AKG</v>
      </c>
      <c r="C11964" s="33" t="str">
        <f t="shared" si="750"/>
        <v>38100-0000</v>
      </c>
      <c r="D11964" t="s">
        <v>13265</v>
      </c>
      <c r="E11964" t="s">
        <v>234</v>
      </c>
      <c r="F11964" s="69" t="s">
        <v>230</v>
      </c>
      <c r="G11964" t="s">
        <v>142</v>
      </c>
      <c r="H11964" t="s">
        <v>149</v>
      </c>
      <c r="I11964" t="s">
        <v>235</v>
      </c>
      <c r="J11964" s="70">
        <v>-1366404.36</v>
      </c>
      <c r="K11964" s="71">
        <v>-1366404.36</v>
      </c>
      <c r="L11964" s="33" t="e">
        <f>HLOOKUP(B11964,#REF!,1,0)</f>
        <v>#REF!</v>
      </c>
      <c r="M11964" s="33" t="str">
        <f t="shared" si="751"/>
        <v>BS</v>
      </c>
    </row>
    <row r="11965" spans="1:13">
      <c r="A11965" s="33" t="str">
        <f t="shared" si="748"/>
        <v>AKG - Revenue</v>
      </c>
      <c r="B11965" s="33" t="str">
        <f t="shared" si="749"/>
        <v>AKG</v>
      </c>
      <c r="C11965" s="33" t="str">
        <f t="shared" si="750"/>
        <v>40110-0000</v>
      </c>
      <c r="D11965" t="s">
        <v>3944</v>
      </c>
      <c r="E11965" t="s">
        <v>3683</v>
      </c>
      <c r="F11965" s="69" t="s">
        <v>230</v>
      </c>
      <c r="G11965" t="s">
        <v>3684</v>
      </c>
      <c r="H11965" t="s">
        <v>2871</v>
      </c>
      <c r="I11965" t="s">
        <v>3685</v>
      </c>
      <c r="J11965" s="70">
        <v>-1081251</v>
      </c>
      <c r="K11965" s="71">
        <v>-1081251</v>
      </c>
      <c r="L11965" s="33" t="e">
        <f>HLOOKUP(B11965,#REF!,1,0)</f>
        <v>#REF!</v>
      </c>
      <c r="M11965" s="33" t="str">
        <f t="shared" si="751"/>
        <v>P&amp;L</v>
      </c>
    </row>
    <row r="11966" spans="1:13">
      <c r="A11966" s="33" t="str">
        <f t="shared" si="748"/>
        <v>AKG - Revenue</v>
      </c>
      <c r="B11966" s="33" t="str">
        <f t="shared" si="749"/>
        <v>AKG</v>
      </c>
      <c r="C11966" s="33" t="str">
        <f t="shared" si="750"/>
        <v>40120-0000</v>
      </c>
      <c r="D11966" t="s">
        <v>3945</v>
      </c>
      <c r="E11966" t="s">
        <v>3687</v>
      </c>
      <c r="F11966" s="69" t="s">
        <v>230</v>
      </c>
      <c r="G11966" t="s">
        <v>3684</v>
      </c>
      <c r="H11966" t="s">
        <v>2871</v>
      </c>
      <c r="I11966" t="s">
        <v>3688</v>
      </c>
      <c r="J11966" s="70">
        <v>-22915</v>
      </c>
      <c r="K11966" s="71">
        <v>-22915</v>
      </c>
      <c r="L11966" s="33" t="e">
        <f>HLOOKUP(B11966,#REF!,1,0)</f>
        <v>#REF!</v>
      </c>
      <c r="M11966" s="33" t="str">
        <f t="shared" si="751"/>
        <v>P&amp;L</v>
      </c>
    </row>
    <row r="11967" spans="1:13">
      <c r="A11967" s="33" t="str">
        <f t="shared" si="748"/>
        <v>AKG - Revenue</v>
      </c>
      <c r="B11967" s="33" t="str">
        <f t="shared" si="749"/>
        <v>AKG</v>
      </c>
      <c r="C11967" s="33" t="str">
        <f t="shared" si="750"/>
        <v>40130-0000</v>
      </c>
      <c r="D11967" t="s">
        <v>3946</v>
      </c>
      <c r="E11967" t="s">
        <v>3690</v>
      </c>
      <c r="F11967" s="69" t="s">
        <v>230</v>
      </c>
      <c r="G11967" t="s">
        <v>3684</v>
      </c>
      <c r="H11967" t="s">
        <v>2871</v>
      </c>
      <c r="I11967" t="s">
        <v>3691</v>
      </c>
      <c r="J11967" s="70">
        <v>-45160</v>
      </c>
      <c r="K11967" s="71">
        <v>-45160</v>
      </c>
      <c r="L11967" s="33" t="e">
        <f>HLOOKUP(B11967,#REF!,1,0)</f>
        <v>#REF!</v>
      </c>
      <c r="M11967" s="33" t="str">
        <f t="shared" si="751"/>
        <v>P&amp;L</v>
      </c>
    </row>
    <row r="11968" spans="1:13">
      <c r="A11968" s="33" t="str">
        <f t="shared" si="748"/>
        <v>AKG - Revenue</v>
      </c>
      <c r="B11968" s="33" t="str">
        <f t="shared" si="749"/>
        <v>AKG</v>
      </c>
      <c r="C11968" s="33" t="str">
        <f t="shared" si="750"/>
        <v>41110-0000</v>
      </c>
      <c r="D11968" t="s">
        <v>3950</v>
      </c>
      <c r="E11968" t="s">
        <v>3716</v>
      </c>
      <c r="F11968" s="69" t="s">
        <v>230</v>
      </c>
      <c r="G11968" t="s">
        <v>3717</v>
      </c>
      <c r="H11968" t="s">
        <v>2871</v>
      </c>
      <c r="I11968" t="s">
        <v>3718</v>
      </c>
      <c r="J11968" s="70">
        <v>-1127028.59</v>
      </c>
      <c r="K11968" s="71">
        <v>-1321470.59</v>
      </c>
      <c r="L11968" s="33" t="e">
        <f>HLOOKUP(B11968,#REF!,1,0)</f>
        <v>#REF!</v>
      </c>
      <c r="M11968" s="33" t="str">
        <f t="shared" si="751"/>
        <v>P&amp;L</v>
      </c>
    </row>
    <row r="11969" spans="1:13">
      <c r="A11969" s="33" t="str">
        <f t="shared" si="748"/>
        <v>AKG - Revenue</v>
      </c>
      <c r="B11969" s="33" t="str">
        <f t="shared" si="749"/>
        <v>AKG</v>
      </c>
      <c r="C11969" s="33" t="str">
        <f t="shared" si="750"/>
        <v>41120-0000</v>
      </c>
      <c r="D11969" t="s">
        <v>13266</v>
      </c>
      <c r="E11969" t="s">
        <v>13267</v>
      </c>
      <c r="F11969" s="69" t="s">
        <v>230</v>
      </c>
      <c r="G11969" t="s">
        <v>3717</v>
      </c>
      <c r="H11969" t="s">
        <v>2871</v>
      </c>
      <c r="I11969" t="s">
        <v>3718</v>
      </c>
      <c r="J11969" s="70">
        <v>0</v>
      </c>
      <c r="K11969" s="71">
        <v>60282.5</v>
      </c>
      <c r="L11969" s="33" t="e">
        <f>HLOOKUP(B11969,#REF!,1,0)</f>
        <v>#REF!</v>
      </c>
      <c r="M11969" s="33" t="str">
        <f t="shared" si="751"/>
        <v>P&amp;L</v>
      </c>
    </row>
    <row r="11970" spans="1:13">
      <c r="A11970" s="33" t="str">
        <f t="shared" si="748"/>
        <v>AKG - Revenue</v>
      </c>
      <c r="B11970" s="33" t="str">
        <f t="shared" si="749"/>
        <v>AKG</v>
      </c>
      <c r="C11970" s="33" t="str">
        <f t="shared" si="750"/>
        <v>42110-0000</v>
      </c>
      <c r="D11970" t="s">
        <v>13268</v>
      </c>
      <c r="E11970" t="s">
        <v>13269</v>
      </c>
      <c r="F11970" s="69" t="s">
        <v>230</v>
      </c>
      <c r="G11970" t="s">
        <v>3694</v>
      </c>
      <c r="H11970" t="s">
        <v>2871</v>
      </c>
      <c r="I11970" t="s">
        <v>3695</v>
      </c>
      <c r="J11970" s="70">
        <v>25050</v>
      </c>
      <c r="K11970" s="71">
        <v>27821.94</v>
      </c>
      <c r="L11970" s="33" t="e">
        <f>HLOOKUP(B11970,#REF!,1,0)</f>
        <v>#REF!</v>
      </c>
      <c r="M11970" s="33" t="str">
        <f t="shared" si="751"/>
        <v>P&amp;L</v>
      </c>
    </row>
    <row r="11971" spans="1:13">
      <c r="A11971" s="33" t="str">
        <f t="shared" si="748"/>
        <v>AKG - Revenue</v>
      </c>
      <c r="B11971" s="33" t="str">
        <f t="shared" si="749"/>
        <v>AKG</v>
      </c>
      <c r="C11971" s="33" t="str">
        <f t="shared" si="750"/>
        <v>42150-0000</v>
      </c>
      <c r="D11971" t="s">
        <v>13270</v>
      </c>
      <c r="E11971" t="s">
        <v>13271</v>
      </c>
      <c r="F11971" s="69" t="s">
        <v>230</v>
      </c>
      <c r="G11971" t="s">
        <v>3694</v>
      </c>
      <c r="H11971" t="s">
        <v>2871</v>
      </c>
      <c r="I11971" t="s">
        <v>3710</v>
      </c>
      <c r="J11971" s="70">
        <v>5049</v>
      </c>
      <c r="K11971" s="71">
        <v>5890.5</v>
      </c>
      <c r="L11971" s="33" t="e">
        <f>HLOOKUP(B11971,#REF!,1,0)</f>
        <v>#REF!</v>
      </c>
      <c r="M11971" s="33" t="str">
        <f t="shared" si="751"/>
        <v>P&amp;L</v>
      </c>
    </row>
    <row r="11972" spans="1:13">
      <c r="A11972" s="33" t="str">
        <f t="shared" si="748"/>
        <v>AKG - Revenue</v>
      </c>
      <c r="B11972" s="33" t="str">
        <f t="shared" si="749"/>
        <v>AKG</v>
      </c>
      <c r="C11972" s="33" t="str">
        <f t="shared" si="750"/>
        <v>42160-0000</v>
      </c>
      <c r="D11972" t="s">
        <v>13272</v>
      </c>
      <c r="E11972" t="s">
        <v>3957</v>
      </c>
      <c r="F11972" s="69" t="s">
        <v>230</v>
      </c>
      <c r="G11972" t="s">
        <v>3694</v>
      </c>
      <c r="H11972" t="s">
        <v>2871</v>
      </c>
      <c r="I11972" t="s">
        <v>3701</v>
      </c>
      <c r="J11972" s="70">
        <v>-16089</v>
      </c>
      <c r="K11972" s="71">
        <v>-16089</v>
      </c>
      <c r="L11972" s="33" t="e">
        <f>HLOOKUP(B11972,#REF!,1,0)</f>
        <v>#REF!</v>
      </c>
      <c r="M11972" s="33" t="str">
        <f t="shared" si="751"/>
        <v>P&amp;L</v>
      </c>
    </row>
    <row r="11973" spans="1:13">
      <c r="A11973" s="33" t="str">
        <f t="shared" si="748"/>
        <v>AKG - Revenue</v>
      </c>
      <c r="B11973" s="33" t="str">
        <f t="shared" si="749"/>
        <v>AKG</v>
      </c>
      <c r="C11973" s="33" t="str">
        <f t="shared" si="750"/>
        <v>43120-0000</v>
      </c>
      <c r="D11973" t="s">
        <v>13273</v>
      </c>
      <c r="E11973" t="s">
        <v>3700</v>
      </c>
      <c r="F11973" s="69" t="s">
        <v>230</v>
      </c>
      <c r="G11973" t="s">
        <v>3694</v>
      </c>
      <c r="H11973" t="s">
        <v>2871</v>
      </c>
      <c r="I11973" t="s">
        <v>3701</v>
      </c>
      <c r="J11973" s="70">
        <v>1522.59</v>
      </c>
      <c r="K11973" s="71">
        <v>1522.59</v>
      </c>
      <c r="L11973" s="33" t="e">
        <f>HLOOKUP(B11973,#REF!,1,0)</f>
        <v>#REF!</v>
      </c>
      <c r="M11973" s="33" t="str">
        <f t="shared" si="751"/>
        <v>P&amp;L</v>
      </c>
    </row>
    <row r="11974" spans="1:13">
      <c r="A11974" s="33" t="str">
        <f t="shared" si="748"/>
        <v>AKG - Revenue</v>
      </c>
      <c r="B11974" s="33" t="str">
        <f t="shared" si="749"/>
        <v>AKG</v>
      </c>
      <c r="C11974" s="33" t="str">
        <f t="shared" si="750"/>
        <v>43121-0000</v>
      </c>
      <c r="D11974" t="s">
        <v>13274</v>
      </c>
      <c r="E11974" t="s">
        <v>7768</v>
      </c>
      <c r="F11974" s="69" t="s">
        <v>230</v>
      </c>
      <c r="G11974" t="s">
        <v>3694</v>
      </c>
      <c r="H11974" t="s">
        <v>2871</v>
      </c>
      <c r="I11974" t="s">
        <v>3698</v>
      </c>
      <c r="J11974" s="70">
        <v>21772.75</v>
      </c>
      <c r="K11974" s="71">
        <v>21772.75</v>
      </c>
      <c r="L11974" s="33" t="e">
        <f>HLOOKUP(B11974,#REF!,1,0)</f>
        <v>#REF!</v>
      </c>
      <c r="M11974" s="33" t="str">
        <f t="shared" si="751"/>
        <v>P&amp;L</v>
      </c>
    </row>
    <row r="11975" spans="1:13">
      <c r="A11975" s="33" t="str">
        <f t="shared" si="748"/>
        <v>AKG - Revenue</v>
      </c>
      <c r="B11975" s="33" t="str">
        <f t="shared" si="749"/>
        <v>AKG</v>
      </c>
      <c r="C11975" s="33" t="str">
        <f t="shared" si="750"/>
        <v>43410-0000</v>
      </c>
      <c r="D11975" t="s">
        <v>13275</v>
      </c>
      <c r="E11975" t="s">
        <v>13276</v>
      </c>
      <c r="F11975" s="69" t="s">
        <v>230</v>
      </c>
      <c r="G11975" t="s">
        <v>3717</v>
      </c>
      <c r="H11975" t="s">
        <v>2871</v>
      </c>
      <c r="I11975" t="s">
        <v>3727</v>
      </c>
      <c r="J11975" s="70">
        <v>-6545</v>
      </c>
      <c r="K11975" s="71">
        <v>-6580</v>
      </c>
      <c r="L11975" s="33" t="e">
        <f>HLOOKUP(B11975,#REF!,1,0)</f>
        <v>#REF!</v>
      </c>
      <c r="M11975" s="33" t="str">
        <f t="shared" si="751"/>
        <v>P&amp;L</v>
      </c>
    </row>
    <row r="11976" spans="1:13">
      <c r="A11976" s="33" t="str">
        <f t="shared" si="748"/>
        <v>AKG - Revenue</v>
      </c>
      <c r="B11976" s="33" t="str">
        <f t="shared" si="749"/>
        <v>AKG</v>
      </c>
      <c r="C11976" s="33" t="str">
        <f t="shared" si="750"/>
        <v>43440-0000</v>
      </c>
      <c r="D11976" t="s">
        <v>13277</v>
      </c>
      <c r="E11976" t="s">
        <v>13278</v>
      </c>
      <c r="F11976" s="69" t="s">
        <v>230</v>
      </c>
      <c r="G11976" t="s">
        <v>3717</v>
      </c>
      <c r="H11976" t="s">
        <v>2871</v>
      </c>
      <c r="I11976" t="s">
        <v>3721</v>
      </c>
      <c r="J11976" s="70">
        <v>-25980.23</v>
      </c>
      <c r="K11976" s="71">
        <v>-30332.23</v>
      </c>
      <c r="L11976" s="33" t="e">
        <f>HLOOKUP(B11976,#REF!,1,0)</f>
        <v>#REF!</v>
      </c>
      <c r="M11976" s="33" t="str">
        <f t="shared" si="751"/>
        <v>P&amp;L</v>
      </c>
    </row>
    <row r="11977" spans="1:13">
      <c r="A11977" s="33" t="str">
        <f t="shared" si="748"/>
        <v>AKG - AP-Accr Exp</v>
      </c>
      <c r="B11977" s="33" t="str">
        <f t="shared" si="749"/>
        <v>AKG</v>
      </c>
      <c r="C11977" s="33" t="str">
        <f t="shared" si="750"/>
        <v>43480-0000</v>
      </c>
      <c r="D11977" t="s">
        <v>13279</v>
      </c>
      <c r="E11977" t="s">
        <v>13280</v>
      </c>
      <c r="F11977" s="69" t="s">
        <v>230</v>
      </c>
      <c r="G11977" t="s">
        <v>97</v>
      </c>
      <c r="H11977" t="s">
        <v>98</v>
      </c>
      <c r="I11977" t="s">
        <v>102</v>
      </c>
      <c r="J11977" s="70">
        <v>-1400</v>
      </c>
      <c r="K11977" s="71">
        <v>-1400</v>
      </c>
      <c r="L11977" s="33" t="e">
        <f>HLOOKUP(B11977,#REF!,1,0)</f>
        <v>#REF!</v>
      </c>
      <c r="M11977" s="33" t="str">
        <f t="shared" si="751"/>
        <v>P&amp;L</v>
      </c>
    </row>
    <row r="11978" spans="1:13">
      <c r="A11978" s="33" t="str">
        <f t="shared" si="748"/>
        <v>AKG - Revenue</v>
      </c>
      <c r="B11978" s="33" t="str">
        <f t="shared" si="749"/>
        <v>AKG</v>
      </c>
      <c r="C11978" s="33" t="str">
        <f t="shared" si="750"/>
        <v>43490-0000</v>
      </c>
      <c r="D11978" t="s">
        <v>13281</v>
      </c>
      <c r="E11978" t="s">
        <v>13282</v>
      </c>
      <c r="F11978" s="69" t="s">
        <v>230</v>
      </c>
      <c r="G11978" t="s">
        <v>3717</v>
      </c>
      <c r="H11978" t="s">
        <v>2871</v>
      </c>
      <c r="I11978" t="s">
        <v>3721</v>
      </c>
      <c r="J11978" s="70">
        <v>-2170.68</v>
      </c>
      <c r="K11978" s="71">
        <v>-2170.68</v>
      </c>
      <c r="L11978" s="33" t="e">
        <f>HLOOKUP(B11978,#REF!,1,0)</f>
        <v>#REF!</v>
      </c>
      <c r="M11978" s="33" t="str">
        <f t="shared" si="751"/>
        <v>P&amp;L</v>
      </c>
    </row>
    <row r="11979" spans="1:13">
      <c r="A11979" s="33" t="str">
        <f t="shared" si="748"/>
        <v>AKG - Revenue</v>
      </c>
      <c r="B11979" s="33" t="str">
        <f t="shared" si="749"/>
        <v>AKG</v>
      </c>
      <c r="C11979" s="33" t="str">
        <f t="shared" si="750"/>
        <v>43491-0000</v>
      </c>
      <c r="D11979" t="s">
        <v>13283</v>
      </c>
      <c r="E11979" t="s">
        <v>3733</v>
      </c>
      <c r="F11979" s="69" t="s">
        <v>230</v>
      </c>
      <c r="G11979" t="s">
        <v>3717</v>
      </c>
      <c r="H11979" t="s">
        <v>2871</v>
      </c>
      <c r="I11979" t="s">
        <v>3734</v>
      </c>
      <c r="J11979" s="70">
        <v>-44708.07</v>
      </c>
      <c r="K11979" s="71">
        <v>-52061.34</v>
      </c>
      <c r="L11979" s="33" t="e">
        <f>HLOOKUP(B11979,#REF!,1,0)</f>
        <v>#REF!</v>
      </c>
      <c r="M11979" s="33" t="str">
        <f t="shared" si="751"/>
        <v>P&amp;L</v>
      </c>
    </row>
    <row r="11980" spans="1:13">
      <c r="A11980" s="33" t="str">
        <f t="shared" si="748"/>
        <v>AKG - Revenue</v>
      </c>
      <c r="B11980" s="33" t="str">
        <f t="shared" si="749"/>
        <v>AKG</v>
      </c>
      <c r="C11980" s="33" t="str">
        <f t="shared" si="750"/>
        <v>43492-0000</v>
      </c>
      <c r="D11980" t="s">
        <v>13284</v>
      </c>
      <c r="E11980" t="s">
        <v>13285</v>
      </c>
      <c r="F11980" s="69" t="s">
        <v>230</v>
      </c>
      <c r="G11980" t="s">
        <v>3717</v>
      </c>
      <c r="H11980" t="s">
        <v>2871</v>
      </c>
      <c r="I11980" t="s">
        <v>3737</v>
      </c>
      <c r="J11980" s="70">
        <v>-10874.62</v>
      </c>
      <c r="K11980" s="71">
        <v>-12419.62</v>
      </c>
      <c r="L11980" s="33" t="e">
        <f>HLOOKUP(B11980,#REF!,1,0)</f>
        <v>#REF!</v>
      </c>
      <c r="M11980" s="33" t="str">
        <f t="shared" si="751"/>
        <v>P&amp;L</v>
      </c>
    </row>
    <row r="11981" spans="1:13">
      <c r="A11981" s="33" t="str">
        <f t="shared" si="748"/>
        <v>AKG - Revenue</v>
      </c>
      <c r="B11981" s="33" t="str">
        <f t="shared" si="749"/>
        <v>AKG</v>
      </c>
      <c r="C11981" s="33" t="str">
        <f t="shared" si="750"/>
        <v>49500-9999</v>
      </c>
      <c r="D11981" t="s">
        <v>13286</v>
      </c>
      <c r="E11981" t="s">
        <v>7244</v>
      </c>
      <c r="F11981" s="69" t="s">
        <v>230</v>
      </c>
      <c r="G11981" t="s">
        <v>3713</v>
      </c>
      <c r="H11981" t="s">
        <v>2871</v>
      </c>
      <c r="I11981" t="s">
        <v>3714</v>
      </c>
      <c r="J11981" s="70">
        <v>1116270.51</v>
      </c>
      <c r="K11981" s="71">
        <v>1116270.51</v>
      </c>
      <c r="L11981" s="33" t="e">
        <f>HLOOKUP(B11981,#REF!,1,0)</f>
        <v>#REF!</v>
      </c>
      <c r="M11981" s="33" t="str">
        <f t="shared" si="751"/>
        <v>P&amp;L</v>
      </c>
    </row>
    <row r="11982" spans="1:13">
      <c r="A11982" s="33" t="str">
        <f t="shared" si="748"/>
        <v>AKG - CGS</v>
      </c>
      <c r="B11982" s="33" t="str">
        <f t="shared" si="749"/>
        <v>AKG</v>
      </c>
      <c r="C11982" s="33" t="str">
        <f t="shared" si="750"/>
        <v>51005-0000</v>
      </c>
      <c r="D11982" t="s">
        <v>3967</v>
      </c>
      <c r="E11982" t="s">
        <v>13287</v>
      </c>
      <c r="F11982" s="69" t="s">
        <v>230</v>
      </c>
      <c r="G11982" t="s">
        <v>3740</v>
      </c>
      <c r="H11982" t="s">
        <v>1875</v>
      </c>
      <c r="I11982" t="s">
        <v>3969</v>
      </c>
      <c r="J11982" s="70">
        <v>-40</v>
      </c>
      <c r="K11982" s="71">
        <v>-40</v>
      </c>
      <c r="L11982" s="33" t="e">
        <f>HLOOKUP(B11982,#REF!,1,0)</f>
        <v>#REF!</v>
      </c>
      <c r="M11982" s="33" t="str">
        <f t="shared" si="751"/>
        <v>P&amp;L</v>
      </c>
    </row>
    <row r="11983" spans="1:13">
      <c r="A11983" s="33" t="str">
        <f t="shared" ref="A11983:A12046" si="752">B11983&amp;" - "&amp;TRIM(H11983)</f>
        <v>AKG - CGS</v>
      </c>
      <c r="B11983" s="33" t="str">
        <f t="shared" ref="B11983:B12046" si="753">LEFT(D11983,3)</f>
        <v>AKG</v>
      </c>
      <c r="C11983" s="33" t="str">
        <f t="shared" ref="C11983:C12046" si="754">RIGHT(D11983,10)</f>
        <v>51006-0000</v>
      </c>
      <c r="D11983" t="s">
        <v>3970</v>
      </c>
      <c r="E11983" t="s">
        <v>13288</v>
      </c>
      <c r="F11983" s="69" t="s">
        <v>230</v>
      </c>
      <c r="G11983" t="s">
        <v>3740</v>
      </c>
      <c r="H11983" t="s">
        <v>1875</v>
      </c>
      <c r="I11983" t="s">
        <v>3741</v>
      </c>
      <c r="J11983" s="70">
        <v>4439.29</v>
      </c>
      <c r="K11983" s="71">
        <v>4439.29</v>
      </c>
      <c r="L11983" s="33" t="e">
        <f>HLOOKUP(B11983,#REF!,1,0)</f>
        <v>#REF!</v>
      </c>
      <c r="M11983" s="33" t="str">
        <f t="shared" ref="M11983:M12046" si="755">IF(VALUE(LEFT(C11983,5))&gt;40000,"P&amp;L","BS")</f>
        <v>P&amp;L</v>
      </c>
    </row>
    <row r="11984" spans="1:13">
      <c r="A11984" s="33" t="str">
        <f t="shared" si="752"/>
        <v>AKG - CGS</v>
      </c>
      <c r="B11984" s="33" t="str">
        <f t="shared" si="753"/>
        <v>AKG</v>
      </c>
      <c r="C11984" s="33" t="str">
        <f t="shared" si="754"/>
        <v>51007-0000</v>
      </c>
      <c r="D11984" t="s">
        <v>3971</v>
      </c>
      <c r="E11984" t="s">
        <v>13289</v>
      </c>
      <c r="F11984" s="69" t="s">
        <v>230</v>
      </c>
      <c r="G11984" t="s">
        <v>3740</v>
      </c>
      <c r="H11984" t="s">
        <v>1875</v>
      </c>
      <c r="I11984" t="s">
        <v>3973</v>
      </c>
      <c r="J11984" s="70">
        <v>708.01</v>
      </c>
      <c r="K11984" s="71">
        <v>708.01</v>
      </c>
      <c r="L11984" s="33" t="e">
        <f>HLOOKUP(B11984,#REF!,1,0)</f>
        <v>#REF!</v>
      </c>
      <c r="M11984" s="33" t="str">
        <f t="shared" si="755"/>
        <v>P&amp;L</v>
      </c>
    </row>
    <row r="11985" spans="1:13">
      <c r="A11985" s="33" t="str">
        <f t="shared" si="752"/>
        <v>AKG - CGS</v>
      </c>
      <c r="B11985" s="33" t="str">
        <f t="shared" si="753"/>
        <v>AKG</v>
      </c>
      <c r="C11985" s="33" t="str">
        <f t="shared" si="754"/>
        <v>51008-0000</v>
      </c>
      <c r="D11985" t="s">
        <v>3974</v>
      </c>
      <c r="E11985" t="s">
        <v>13290</v>
      </c>
      <c r="F11985" s="69" t="s">
        <v>230</v>
      </c>
      <c r="G11985" t="s">
        <v>3740</v>
      </c>
      <c r="H11985" t="s">
        <v>1875</v>
      </c>
      <c r="I11985" t="s">
        <v>3744</v>
      </c>
      <c r="J11985" s="70">
        <v>4054.63</v>
      </c>
      <c r="K11985" s="71">
        <v>4042.63</v>
      </c>
      <c r="L11985" s="33" t="e">
        <f>HLOOKUP(B11985,#REF!,1,0)</f>
        <v>#REF!</v>
      </c>
      <c r="M11985" s="33" t="str">
        <f t="shared" si="755"/>
        <v>P&amp;L</v>
      </c>
    </row>
    <row r="11986" spans="1:13">
      <c r="A11986" s="33" t="str">
        <f t="shared" si="752"/>
        <v>AKG - CGS</v>
      </c>
      <c r="B11986" s="33" t="str">
        <f t="shared" si="753"/>
        <v>AKG</v>
      </c>
      <c r="C11986" s="33" t="str">
        <f t="shared" si="754"/>
        <v>51009-0000</v>
      </c>
      <c r="D11986" t="s">
        <v>3975</v>
      </c>
      <c r="E11986" t="s">
        <v>13291</v>
      </c>
      <c r="F11986" s="69" t="s">
        <v>230</v>
      </c>
      <c r="G11986" t="s">
        <v>3740</v>
      </c>
      <c r="H11986" t="s">
        <v>1875</v>
      </c>
      <c r="I11986" t="s">
        <v>3747</v>
      </c>
      <c r="J11986" s="70">
        <v>2274.17</v>
      </c>
      <c r="K11986" s="71">
        <v>2274.17</v>
      </c>
      <c r="L11986" s="33" t="e">
        <f>HLOOKUP(B11986,#REF!,1,0)</f>
        <v>#REF!</v>
      </c>
      <c r="M11986" s="33" t="str">
        <f t="shared" si="755"/>
        <v>P&amp;L</v>
      </c>
    </row>
    <row r="11987" spans="1:13">
      <c r="A11987" s="33" t="str">
        <f t="shared" si="752"/>
        <v>AKG - CGS</v>
      </c>
      <c r="B11987" s="33" t="str">
        <f t="shared" si="753"/>
        <v>AKG</v>
      </c>
      <c r="C11987" s="33" t="str">
        <f t="shared" si="754"/>
        <v>51011-0000</v>
      </c>
      <c r="D11987" t="s">
        <v>3976</v>
      </c>
      <c r="E11987" t="s">
        <v>13292</v>
      </c>
      <c r="F11987" s="69" t="s">
        <v>230</v>
      </c>
      <c r="G11987" t="s">
        <v>3740</v>
      </c>
      <c r="H11987" t="s">
        <v>1875</v>
      </c>
      <c r="I11987" t="s">
        <v>3750</v>
      </c>
      <c r="J11987" s="70">
        <v>14144.64</v>
      </c>
      <c r="K11987" s="71">
        <v>14144.64</v>
      </c>
      <c r="L11987" s="33" t="e">
        <f>HLOOKUP(B11987,#REF!,1,0)</f>
        <v>#REF!</v>
      </c>
      <c r="M11987" s="33" t="str">
        <f t="shared" si="755"/>
        <v>P&amp;L</v>
      </c>
    </row>
    <row r="11988" spans="1:13">
      <c r="A11988" s="33" t="str">
        <f t="shared" si="752"/>
        <v>AKG - CGS</v>
      </c>
      <c r="B11988" s="33" t="str">
        <f t="shared" si="753"/>
        <v>AKG</v>
      </c>
      <c r="C11988" s="33" t="str">
        <f t="shared" si="754"/>
        <v>51012-0000</v>
      </c>
      <c r="D11988" t="s">
        <v>3977</v>
      </c>
      <c r="E11988" t="s">
        <v>13293</v>
      </c>
      <c r="F11988" s="69" t="s">
        <v>230</v>
      </c>
      <c r="G11988" t="s">
        <v>3740</v>
      </c>
      <c r="H11988" t="s">
        <v>1875</v>
      </c>
      <c r="I11988" t="s">
        <v>3753</v>
      </c>
      <c r="J11988" s="70">
        <v>2210.78</v>
      </c>
      <c r="K11988" s="71">
        <v>2210.78</v>
      </c>
      <c r="L11988" s="33" t="e">
        <f>HLOOKUP(B11988,#REF!,1,0)</f>
        <v>#REF!</v>
      </c>
      <c r="M11988" s="33" t="str">
        <f t="shared" si="755"/>
        <v>P&amp;L</v>
      </c>
    </row>
    <row r="11989" spans="1:13">
      <c r="A11989" s="33" t="str">
        <f t="shared" si="752"/>
        <v>AKG - CGS</v>
      </c>
      <c r="B11989" s="33" t="str">
        <f t="shared" si="753"/>
        <v>AKG</v>
      </c>
      <c r="C11989" s="33" t="str">
        <f t="shared" si="754"/>
        <v>51013-0000</v>
      </c>
      <c r="D11989" t="s">
        <v>3978</v>
      </c>
      <c r="E11989" t="s">
        <v>13294</v>
      </c>
      <c r="F11989" s="69" t="s">
        <v>230</v>
      </c>
      <c r="G11989" t="s">
        <v>3740</v>
      </c>
      <c r="H11989" t="s">
        <v>1875</v>
      </c>
      <c r="I11989" t="s">
        <v>3980</v>
      </c>
      <c r="J11989" s="70">
        <v>2750</v>
      </c>
      <c r="K11989" s="71">
        <v>2750</v>
      </c>
      <c r="L11989" s="33" t="e">
        <f>HLOOKUP(B11989,#REF!,1,0)</f>
        <v>#REF!</v>
      </c>
      <c r="M11989" s="33" t="str">
        <f t="shared" si="755"/>
        <v>P&amp;L</v>
      </c>
    </row>
    <row r="11990" spans="1:13">
      <c r="A11990" s="33" t="str">
        <f t="shared" si="752"/>
        <v>AKG - CGS</v>
      </c>
      <c r="B11990" s="33" t="str">
        <f t="shared" si="753"/>
        <v>AKG</v>
      </c>
      <c r="C11990" s="33" t="str">
        <f t="shared" si="754"/>
        <v>51015-0000</v>
      </c>
      <c r="D11990" t="s">
        <v>3981</v>
      </c>
      <c r="E11990" t="s">
        <v>13295</v>
      </c>
      <c r="F11990" s="69" t="s">
        <v>230</v>
      </c>
      <c r="G11990" t="s">
        <v>3740</v>
      </c>
      <c r="H11990" t="s">
        <v>1875</v>
      </c>
      <c r="I11990" t="s">
        <v>3756</v>
      </c>
      <c r="J11990" s="70">
        <v>46.59</v>
      </c>
      <c r="K11990" s="71">
        <v>46.59</v>
      </c>
      <c r="L11990" s="33" t="e">
        <f>HLOOKUP(B11990,#REF!,1,0)</f>
        <v>#REF!</v>
      </c>
      <c r="M11990" s="33" t="str">
        <f t="shared" si="755"/>
        <v>P&amp;L</v>
      </c>
    </row>
    <row r="11991" spans="1:13">
      <c r="A11991" s="33" t="str">
        <f t="shared" si="752"/>
        <v>AKG - CGS</v>
      </c>
      <c r="B11991" s="33" t="str">
        <f t="shared" si="753"/>
        <v>AKG</v>
      </c>
      <c r="C11991" s="33" t="str">
        <f t="shared" si="754"/>
        <v>51018-0000</v>
      </c>
      <c r="D11991" t="s">
        <v>3983</v>
      </c>
      <c r="E11991" t="s">
        <v>13296</v>
      </c>
      <c r="F11991" s="69" t="s">
        <v>230</v>
      </c>
      <c r="G11991" t="s">
        <v>3740</v>
      </c>
      <c r="H11991" t="s">
        <v>1875</v>
      </c>
      <c r="I11991" t="s">
        <v>3319</v>
      </c>
      <c r="J11991" s="70">
        <v>966.15</v>
      </c>
      <c r="K11991" s="71">
        <v>966.15</v>
      </c>
      <c r="L11991" s="33" t="e">
        <f>HLOOKUP(B11991,#REF!,1,0)</f>
        <v>#REF!</v>
      </c>
      <c r="M11991" s="33" t="str">
        <f t="shared" si="755"/>
        <v>P&amp;L</v>
      </c>
    </row>
    <row r="11992" spans="1:13">
      <c r="A11992" s="33" t="str">
        <f t="shared" si="752"/>
        <v>AKG - CGS</v>
      </c>
      <c r="B11992" s="33" t="str">
        <f t="shared" si="753"/>
        <v>AKG</v>
      </c>
      <c r="C11992" s="33" t="str">
        <f t="shared" si="754"/>
        <v>51019-0000</v>
      </c>
      <c r="D11992" t="s">
        <v>3985</v>
      </c>
      <c r="E11992" t="s">
        <v>13297</v>
      </c>
      <c r="F11992" s="69" t="s">
        <v>230</v>
      </c>
      <c r="G11992" t="s">
        <v>3740</v>
      </c>
      <c r="H11992" t="s">
        <v>1875</v>
      </c>
      <c r="I11992" t="s">
        <v>3340</v>
      </c>
      <c r="J11992" s="70">
        <v>66.51</v>
      </c>
      <c r="K11992" s="71">
        <v>66.51</v>
      </c>
      <c r="L11992" s="33" t="e">
        <f>HLOOKUP(B11992,#REF!,1,0)</f>
        <v>#REF!</v>
      </c>
      <c r="M11992" s="33" t="str">
        <f t="shared" si="755"/>
        <v>P&amp;L</v>
      </c>
    </row>
    <row r="11993" spans="1:13">
      <c r="A11993" s="33" t="str">
        <f t="shared" si="752"/>
        <v>AKG - CGS</v>
      </c>
      <c r="B11993" s="33" t="str">
        <f t="shared" si="753"/>
        <v>AKG</v>
      </c>
      <c r="C11993" s="33" t="str">
        <f t="shared" si="754"/>
        <v>51020-0000</v>
      </c>
      <c r="D11993" t="s">
        <v>3986</v>
      </c>
      <c r="E11993" t="s">
        <v>13298</v>
      </c>
      <c r="F11993" s="69" t="s">
        <v>230</v>
      </c>
      <c r="G11993" t="s">
        <v>3740</v>
      </c>
      <c r="H11993" t="s">
        <v>1875</v>
      </c>
      <c r="I11993" t="s">
        <v>3345</v>
      </c>
      <c r="J11993" s="70">
        <v>1029.95</v>
      </c>
      <c r="K11993" s="71">
        <v>1029.95</v>
      </c>
      <c r="L11993" s="33" t="e">
        <f>HLOOKUP(B11993,#REF!,1,0)</f>
        <v>#REF!</v>
      </c>
      <c r="M11993" s="33" t="str">
        <f t="shared" si="755"/>
        <v>P&amp;L</v>
      </c>
    </row>
    <row r="11994" spans="1:13">
      <c r="A11994" s="33" t="str">
        <f t="shared" si="752"/>
        <v>AKG - CGS</v>
      </c>
      <c r="B11994" s="33" t="str">
        <f t="shared" si="753"/>
        <v>AKG</v>
      </c>
      <c r="C11994" s="33" t="str">
        <f t="shared" si="754"/>
        <v>51025-0000</v>
      </c>
      <c r="D11994" t="s">
        <v>3987</v>
      </c>
      <c r="E11994" t="s">
        <v>13299</v>
      </c>
      <c r="F11994" s="69" t="s">
        <v>230</v>
      </c>
      <c r="G11994" t="s">
        <v>3740</v>
      </c>
      <c r="H11994" t="s">
        <v>13300</v>
      </c>
      <c r="I11994" t="s">
        <v>13299</v>
      </c>
      <c r="J11994" s="70">
        <v>9880.11</v>
      </c>
      <c r="K11994" s="71">
        <v>10816.76</v>
      </c>
      <c r="L11994" s="33" t="e">
        <f>HLOOKUP(B11994,#REF!,1,0)</f>
        <v>#REF!</v>
      </c>
      <c r="M11994" s="33" t="str">
        <f t="shared" si="755"/>
        <v>P&amp;L</v>
      </c>
    </row>
    <row r="11995" spans="1:13">
      <c r="A11995" s="33" t="str">
        <f t="shared" si="752"/>
        <v>AKG - CGS</v>
      </c>
      <c r="B11995" s="33" t="str">
        <f t="shared" si="753"/>
        <v>AKG</v>
      </c>
      <c r="C11995" s="33" t="str">
        <f t="shared" si="754"/>
        <v>51028-0000</v>
      </c>
      <c r="D11995" t="s">
        <v>3990</v>
      </c>
      <c r="E11995" t="s">
        <v>13301</v>
      </c>
      <c r="F11995" s="69" t="s">
        <v>230</v>
      </c>
      <c r="G11995" t="s">
        <v>3740</v>
      </c>
      <c r="H11995" t="s">
        <v>13300</v>
      </c>
      <c r="I11995" t="s">
        <v>13301</v>
      </c>
      <c r="J11995" s="70">
        <v>8996.4</v>
      </c>
      <c r="K11995" s="71">
        <v>10995.6</v>
      </c>
      <c r="L11995" s="33" t="e">
        <f>HLOOKUP(B11995,#REF!,1,0)</f>
        <v>#REF!</v>
      </c>
      <c r="M11995" s="33" t="str">
        <f t="shared" si="755"/>
        <v>P&amp;L</v>
      </c>
    </row>
    <row r="11996" spans="1:13">
      <c r="A11996" s="33" t="str">
        <f t="shared" si="752"/>
        <v>AKG - CGS</v>
      </c>
      <c r="B11996" s="33" t="str">
        <f t="shared" si="753"/>
        <v>AKG</v>
      </c>
      <c r="C11996" s="33" t="str">
        <f t="shared" si="754"/>
        <v>51029-0000</v>
      </c>
      <c r="D11996" t="s">
        <v>3992</v>
      </c>
      <c r="E11996" t="s">
        <v>13302</v>
      </c>
      <c r="F11996" s="69" t="s">
        <v>230</v>
      </c>
      <c r="G11996" t="s">
        <v>3740</v>
      </c>
      <c r="H11996" t="s">
        <v>13300</v>
      </c>
      <c r="I11996" t="s">
        <v>13302</v>
      </c>
      <c r="J11996" s="70">
        <v>6988.4</v>
      </c>
      <c r="K11996" s="71">
        <v>6988.4</v>
      </c>
      <c r="L11996" s="33" t="e">
        <f>HLOOKUP(B11996,#REF!,1,0)</f>
        <v>#REF!</v>
      </c>
      <c r="M11996" s="33" t="str">
        <f t="shared" si="755"/>
        <v>P&amp;L</v>
      </c>
    </row>
    <row r="11997" spans="1:13">
      <c r="A11997" s="33" t="str">
        <f t="shared" si="752"/>
        <v>AKG - CGS</v>
      </c>
      <c r="B11997" s="33" t="str">
        <f t="shared" si="753"/>
        <v>AKG</v>
      </c>
      <c r="C11997" s="33" t="str">
        <f t="shared" si="754"/>
        <v>52001-0000</v>
      </c>
      <c r="D11997" t="s">
        <v>3995</v>
      </c>
      <c r="E11997" t="s">
        <v>13303</v>
      </c>
      <c r="F11997" s="69" t="s">
        <v>230</v>
      </c>
      <c r="G11997" t="s">
        <v>3769</v>
      </c>
      <c r="H11997" t="s">
        <v>1875</v>
      </c>
      <c r="I11997" t="s">
        <v>3770</v>
      </c>
      <c r="J11997" s="70">
        <v>8976.2</v>
      </c>
      <c r="K11997" s="71">
        <v>8976.2</v>
      </c>
      <c r="L11997" s="33" t="e">
        <f>HLOOKUP(B11997,#REF!,1,0)</f>
        <v>#REF!</v>
      </c>
      <c r="M11997" s="33" t="str">
        <f t="shared" si="755"/>
        <v>P&amp;L</v>
      </c>
    </row>
    <row r="11998" spans="1:13">
      <c r="A11998" s="33" t="str">
        <f t="shared" si="752"/>
        <v>AKG - CGS</v>
      </c>
      <c r="B11998" s="33" t="str">
        <f t="shared" si="753"/>
        <v>AKG</v>
      </c>
      <c r="C11998" s="33" t="str">
        <f t="shared" si="754"/>
        <v>52002-0000</v>
      </c>
      <c r="D11998" t="s">
        <v>3996</v>
      </c>
      <c r="E11998" t="s">
        <v>13304</v>
      </c>
      <c r="F11998" s="69" t="s">
        <v>230</v>
      </c>
      <c r="G11998" t="s">
        <v>3769</v>
      </c>
      <c r="H11998" t="s">
        <v>1875</v>
      </c>
      <c r="I11998" t="s">
        <v>3998</v>
      </c>
      <c r="J11998" s="70">
        <v>325</v>
      </c>
      <c r="K11998" s="71">
        <v>245</v>
      </c>
      <c r="L11998" s="33" t="e">
        <f>HLOOKUP(B11998,#REF!,1,0)</f>
        <v>#REF!</v>
      </c>
      <c r="M11998" s="33" t="str">
        <f t="shared" si="755"/>
        <v>P&amp;L</v>
      </c>
    </row>
    <row r="11999" spans="1:13">
      <c r="A11999" s="33" t="str">
        <f t="shared" si="752"/>
        <v>AKG - CGS</v>
      </c>
      <c r="B11999" s="33" t="str">
        <f t="shared" si="753"/>
        <v>AKG</v>
      </c>
      <c r="C11999" s="33" t="str">
        <f t="shared" si="754"/>
        <v>52003-0000</v>
      </c>
      <c r="D11999" t="s">
        <v>3999</v>
      </c>
      <c r="E11999" t="s">
        <v>13305</v>
      </c>
      <c r="F11999" s="69" t="s">
        <v>230</v>
      </c>
      <c r="G11999" t="s">
        <v>3769</v>
      </c>
      <c r="H11999" t="s">
        <v>1875</v>
      </c>
      <c r="I11999" t="s">
        <v>3773</v>
      </c>
      <c r="J11999" s="70">
        <v>1345</v>
      </c>
      <c r="K11999" s="71">
        <v>1170</v>
      </c>
      <c r="L11999" s="33" t="e">
        <f>HLOOKUP(B11999,#REF!,1,0)</f>
        <v>#REF!</v>
      </c>
      <c r="M11999" s="33" t="str">
        <f t="shared" si="755"/>
        <v>P&amp;L</v>
      </c>
    </row>
    <row r="12000" spans="1:13">
      <c r="A12000" s="33" t="str">
        <f t="shared" si="752"/>
        <v>AKG - CGS</v>
      </c>
      <c r="B12000" s="33" t="str">
        <f t="shared" si="753"/>
        <v>AKG</v>
      </c>
      <c r="C12000" s="33" t="str">
        <f t="shared" si="754"/>
        <v>53001-0000</v>
      </c>
      <c r="D12000" t="s">
        <v>4002</v>
      </c>
      <c r="E12000" t="s">
        <v>13306</v>
      </c>
      <c r="F12000" s="69" t="s">
        <v>230</v>
      </c>
      <c r="G12000" t="s">
        <v>3160</v>
      </c>
      <c r="H12000" t="s">
        <v>1875</v>
      </c>
      <c r="I12000" t="s">
        <v>3782</v>
      </c>
      <c r="J12000" s="70">
        <v>2851.24</v>
      </c>
      <c r="K12000" s="71">
        <v>2871.24</v>
      </c>
      <c r="L12000" s="33" t="e">
        <f>HLOOKUP(B12000,#REF!,1,0)</f>
        <v>#REF!</v>
      </c>
      <c r="M12000" s="33" t="str">
        <f t="shared" si="755"/>
        <v>P&amp;L</v>
      </c>
    </row>
    <row r="12001" spans="1:13">
      <c r="A12001" s="33" t="str">
        <f t="shared" si="752"/>
        <v>AKG - CGS</v>
      </c>
      <c r="B12001" s="33" t="str">
        <f t="shared" si="753"/>
        <v>AKG</v>
      </c>
      <c r="C12001" s="33" t="str">
        <f t="shared" si="754"/>
        <v>53002-0000</v>
      </c>
      <c r="D12001" t="s">
        <v>4003</v>
      </c>
      <c r="E12001" t="s">
        <v>13307</v>
      </c>
      <c r="F12001" s="69" t="s">
        <v>230</v>
      </c>
      <c r="G12001" t="s">
        <v>3160</v>
      </c>
      <c r="H12001" t="s">
        <v>1875</v>
      </c>
      <c r="I12001" t="s">
        <v>3785</v>
      </c>
      <c r="J12001" s="70">
        <v>28291.04</v>
      </c>
      <c r="K12001" s="71">
        <v>28291.04</v>
      </c>
      <c r="L12001" s="33" t="e">
        <f>HLOOKUP(B12001,#REF!,1,0)</f>
        <v>#REF!</v>
      </c>
      <c r="M12001" s="33" t="str">
        <f t="shared" si="755"/>
        <v>P&amp;L</v>
      </c>
    </row>
    <row r="12002" spans="1:13">
      <c r="A12002" s="33" t="str">
        <f t="shared" si="752"/>
        <v>AKG - Operating Expense</v>
      </c>
      <c r="B12002" s="33" t="str">
        <f t="shared" si="753"/>
        <v>AKG</v>
      </c>
      <c r="C12002" s="33" t="str">
        <f t="shared" si="754"/>
        <v>53003-0000</v>
      </c>
      <c r="D12002" t="s">
        <v>4004</v>
      </c>
      <c r="E12002" t="s">
        <v>13308</v>
      </c>
      <c r="F12002" s="69" t="s">
        <v>230</v>
      </c>
      <c r="G12002" t="s">
        <v>4426</v>
      </c>
      <c r="H12002" t="s">
        <v>3022</v>
      </c>
      <c r="I12002" t="s">
        <v>6877</v>
      </c>
      <c r="J12002" s="70">
        <v>12358.18</v>
      </c>
      <c r="K12002" s="71">
        <v>12358.18</v>
      </c>
      <c r="L12002" s="33" t="e">
        <f>HLOOKUP(B12002,#REF!,1,0)</f>
        <v>#REF!</v>
      </c>
      <c r="M12002" s="33" t="str">
        <f t="shared" si="755"/>
        <v>P&amp;L</v>
      </c>
    </row>
    <row r="12003" spans="1:13">
      <c r="A12003" s="33" t="str">
        <f t="shared" si="752"/>
        <v>AKG - Operating Expense</v>
      </c>
      <c r="B12003" s="33" t="str">
        <f t="shared" si="753"/>
        <v>AKG</v>
      </c>
      <c r="C12003" s="33" t="str">
        <f t="shared" si="754"/>
        <v>53004-0000</v>
      </c>
      <c r="D12003" t="s">
        <v>4005</v>
      </c>
      <c r="E12003" t="s">
        <v>13309</v>
      </c>
      <c r="F12003" s="69" t="s">
        <v>230</v>
      </c>
      <c r="G12003" t="s">
        <v>4426</v>
      </c>
      <c r="H12003" t="s">
        <v>3022</v>
      </c>
      <c r="I12003" t="s">
        <v>6877</v>
      </c>
      <c r="J12003" s="70">
        <v>847.59</v>
      </c>
      <c r="K12003" s="71">
        <v>847.59</v>
      </c>
      <c r="L12003" s="33" t="e">
        <f>HLOOKUP(B12003,#REF!,1,0)</f>
        <v>#REF!</v>
      </c>
      <c r="M12003" s="33" t="str">
        <f t="shared" si="755"/>
        <v>P&amp;L</v>
      </c>
    </row>
    <row r="12004" spans="1:13">
      <c r="A12004" s="33" t="str">
        <f t="shared" si="752"/>
        <v>AKG - CGS</v>
      </c>
      <c r="B12004" s="33" t="str">
        <f t="shared" si="753"/>
        <v>AKG</v>
      </c>
      <c r="C12004" s="33" t="str">
        <f t="shared" si="754"/>
        <v>53006-0000</v>
      </c>
      <c r="D12004" t="s">
        <v>4006</v>
      </c>
      <c r="E12004" t="s">
        <v>13310</v>
      </c>
      <c r="F12004" s="69" t="s">
        <v>230</v>
      </c>
      <c r="G12004" t="s">
        <v>3160</v>
      </c>
      <c r="H12004" t="s">
        <v>1875</v>
      </c>
      <c r="I12004" t="s">
        <v>3797</v>
      </c>
      <c r="J12004" s="70">
        <v>31375.34</v>
      </c>
      <c r="K12004" s="71">
        <v>31375.34</v>
      </c>
      <c r="L12004" s="33" t="e">
        <f>HLOOKUP(B12004,#REF!,1,0)</f>
        <v>#REF!</v>
      </c>
      <c r="M12004" s="33" t="str">
        <f t="shared" si="755"/>
        <v>P&amp;L</v>
      </c>
    </row>
    <row r="12005" spans="1:13">
      <c r="A12005" s="33" t="str">
        <f t="shared" si="752"/>
        <v>AKG - CGS</v>
      </c>
      <c r="B12005" s="33" t="str">
        <f t="shared" si="753"/>
        <v>AKG</v>
      </c>
      <c r="C12005" s="33" t="str">
        <f t="shared" si="754"/>
        <v>53011-0000</v>
      </c>
      <c r="D12005" t="s">
        <v>13311</v>
      </c>
      <c r="E12005" t="s">
        <v>13312</v>
      </c>
      <c r="F12005" s="69" t="s">
        <v>230</v>
      </c>
      <c r="G12005" t="s">
        <v>3160</v>
      </c>
      <c r="H12005" t="s">
        <v>13300</v>
      </c>
      <c r="I12005" t="s">
        <v>13313</v>
      </c>
      <c r="J12005" s="70">
        <v>1212.51</v>
      </c>
      <c r="K12005" s="71">
        <v>1212.51</v>
      </c>
      <c r="L12005" s="33" t="e">
        <f>HLOOKUP(B12005,#REF!,1,0)</f>
        <v>#REF!</v>
      </c>
      <c r="M12005" s="33" t="str">
        <f t="shared" si="755"/>
        <v>P&amp;L</v>
      </c>
    </row>
    <row r="12006" spans="1:13">
      <c r="A12006" s="33" t="str">
        <f t="shared" si="752"/>
        <v>AKG - CGS</v>
      </c>
      <c r="B12006" s="33" t="str">
        <f t="shared" si="753"/>
        <v>AKG</v>
      </c>
      <c r="C12006" s="33" t="str">
        <f t="shared" si="754"/>
        <v>54002-0000</v>
      </c>
      <c r="D12006" t="s">
        <v>4010</v>
      </c>
      <c r="E12006" t="s">
        <v>3799</v>
      </c>
      <c r="F12006" s="69" t="s">
        <v>230</v>
      </c>
      <c r="G12006" t="s">
        <v>3800</v>
      </c>
      <c r="H12006" t="s">
        <v>1875</v>
      </c>
      <c r="I12006" t="s">
        <v>3801</v>
      </c>
      <c r="J12006" s="70">
        <v>8839.63</v>
      </c>
      <c r="K12006" s="71">
        <v>9794.13</v>
      </c>
      <c r="L12006" s="33" t="e">
        <f>HLOOKUP(B12006,#REF!,1,0)</f>
        <v>#REF!</v>
      </c>
      <c r="M12006" s="33" t="str">
        <f t="shared" si="755"/>
        <v>P&amp;L</v>
      </c>
    </row>
    <row r="12007" spans="1:13">
      <c r="A12007" s="33" t="str">
        <f t="shared" si="752"/>
        <v>AKG - CGS</v>
      </c>
      <c r="B12007" s="33" t="str">
        <f t="shared" si="753"/>
        <v>AKG</v>
      </c>
      <c r="C12007" s="33" t="str">
        <f t="shared" si="754"/>
        <v>54004-0000</v>
      </c>
      <c r="D12007" t="s">
        <v>4012</v>
      </c>
      <c r="E12007" t="s">
        <v>13314</v>
      </c>
      <c r="F12007" s="69" t="s">
        <v>230</v>
      </c>
      <c r="G12007" t="s">
        <v>3800</v>
      </c>
      <c r="H12007" t="s">
        <v>1875</v>
      </c>
      <c r="I12007" t="s">
        <v>3807</v>
      </c>
      <c r="J12007" s="70">
        <v>31528.4</v>
      </c>
      <c r="K12007" s="71">
        <v>36367.4</v>
      </c>
      <c r="L12007" s="33" t="e">
        <f>HLOOKUP(B12007,#REF!,1,0)</f>
        <v>#REF!</v>
      </c>
      <c r="M12007" s="33" t="str">
        <f t="shared" si="755"/>
        <v>P&amp;L</v>
      </c>
    </row>
    <row r="12008" spans="1:13">
      <c r="A12008" s="33" t="str">
        <f t="shared" si="752"/>
        <v>AKG - CGS</v>
      </c>
      <c r="B12008" s="33" t="str">
        <f t="shared" si="753"/>
        <v>AKG</v>
      </c>
      <c r="C12008" s="33" t="str">
        <f t="shared" si="754"/>
        <v>54005-0000</v>
      </c>
      <c r="D12008" t="s">
        <v>4013</v>
      </c>
      <c r="E12008" t="s">
        <v>3809</v>
      </c>
      <c r="F12008" s="69" t="s">
        <v>230</v>
      </c>
      <c r="G12008" t="s">
        <v>3800</v>
      </c>
      <c r="H12008" t="s">
        <v>1875</v>
      </c>
      <c r="I12008" t="s">
        <v>3810</v>
      </c>
      <c r="J12008" s="70">
        <v>644.39</v>
      </c>
      <c r="K12008" s="71">
        <v>713.71</v>
      </c>
      <c r="L12008" s="33" t="e">
        <f>HLOOKUP(B12008,#REF!,1,0)</f>
        <v>#REF!</v>
      </c>
      <c r="M12008" s="33" t="str">
        <f t="shared" si="755"/>
        <v>P&amp;L</v>
      </c>
    </row>
    <row r="12009" spans="1:13">
      <c r="A12009" s="33" t="str">
        <f t="shared" si="752"/>
        <v>AKG - CGS</v>
      </c>
      <c r="B12009" s="33" t="str">
        <f t="shared" si="753"/>
        <v>AKG</v>
      </c>
      <c r="C12009" s="33" t="str">
        <f t="shared" si="754"/>
        <v>54006-0000</v>
      </c>
      <c r="D12009" t="s">
        <v>4014</v>
      </c>
      <c r="E12009" t="s">
        <v>3812</v>
      </c>
      <c r="F12009" s="69" t="s">
        <v>230</v>
      </c>
      <c r="G12009" t="s">
        <v>3800</v>
      </c>
      <c r="H12009" t="s">
        <v>1875</v>
      </c>
      <c r="I12009" t="s">
        <v>3003</v>
      </c>
      <c r="J12009" s="70">
        <v>9227.52</v>
      </c>
      <c r="K12009" s="71">
        <v>10211.89</v>
      </c>
      <c r="L12009" s="33" t="e">
        <f>HLOOKUP(B12009,#REF!,1,0)</f>
        <v>#REF!</v>
      </c>
      <c r="M12009" s="33" t="str">
        <f t="shared" si="755"/>
        <v>P&amp;L</v>
      </c>
    </row>
    <row r="12010" spans="1:13">
      <c r="A12010" s="33" t="str">
        <f t="shared" si="752"/>
        <v>AKG - CGS</v>
      </c>
      <c r="B12010" s="33" t="str">
        <f t="shared" si="753"/>
        <v>AKG</v>
      </c>
      <c r="C12010" s="33" t="str">
        <f t="shared" si="754"/>
        <v>54007-0000</v>
      </c>
      <c r="D12010" t="s">
        <v>4015</v>
      </c>
      <c r="E12010" t="s">
        <v>13315</v>
      </c>
      <c r="F12010" s="69" t="s">
        <v>230</v>
      </c>
      <c r="G12010" t="s">
        <v>3800</v>
      </c>
      <c r="H12010" t="s">
        <v>1875</v>
      </c>
      <c r="I12010" t="s">
        <v>3815</v>
      </c>
      <c r="J12010" s="70">
        <v>51843.25</v>
      </c>
      <c r="K12010" s="71">
        <v>57409.65</v>
      </c>
      <c r="L12010" s="33" t="e">
        <f>HLOOKUP(B12010,#REF!,1,0)</f>
        <v>#REF!</v>
      </c>
      <c r="M12010" s="33" t="str">
        <f t="shared" si="755"/>
        <v>P&amp;L</v>
      </c>
    </row>
    <row r="12011" spans="1:13">
      <c r="A12011" s="33" t="str">
        <f t="shared" si="752"/>
        <v>AKG - CGS</v>
      </c>
      <c r="B12011" s="33" t="str">
        <f t="shared" si="753"/>
        <v>AKG</v>
      </c>
      <c r="C12011" s="33" t="str">
        <f t="shared" si="754"/>
        <v>61002-0000</v>
      </c>
      <c r="D12011" t="s">
        <v>13316</v>
      </c>
      <c r="E12011" t="s">
        <v>3837</v>
      </c>
      <c r="F12011" s="69" t="s">
        <v>230</v>
      </c>
      <c r="G12011" t="s">
        <v>3838</v>
      </c>
      <c r="H12011" t="s">
        <v>1875</v>
      </c>
      <c r="I12011" t="s">
        <v>3839</v>
      </c>
      <c r="J12011" s="70">
        <v>1755.37</v>
      </c>
      <c r="K12011" s="71">
        <v>1890.41</v>
      </c>
      <c r="L12011" s="33" t="e">
        <f>HLOOKUP(B12011,#REF!,1,0)</f>
        <v>#REF!</v>
      </c>
      <c r="M12011" s="33" t="str">
        <f t="shared" si="755"/>
        <v>P&amp;L</v>
      </c>
    </row>
    <row r="12012" spans="1:13">
      <c r="A12012" s="33" t="str">
        <f t="shared" si="752"/>
        <v>AKG - CGS</v>
      </c>
      <c r="B12012" s="33" t="str">
        <f t="shared" si="753"/>
        <v>AKG</v>
      </c>
      <c r="C12012" s="33" t="str">
        <f t="shared" si="754"/>
        <v>61005-0000</v>
      </c>
      <c r="D12012" t="s">
        <v>13317</v>
      </c>
      <c r="E12012" t="s">
        <v>3841</v>
      </c>
      <c r="F12012" s="69" t="s">
        <v>230</v>
      </c>
      <c r="G12012" t="s">
        <v>3838</v>
      </c>
      <c r="H12012" t="s">
        <v>1875</v>
      </c>
      <c r="I12012" t="s">
        <v>3842</v>
      </c>
      <c r="J12012" s="70">
        <v>28058.89</v>
      </c>
      <c r="K12012" s="71">
        <v>28058.89</v>
      </c>
      <c r="L12012" s="33" t="e">
        <f>HLOOKUP(B12012,#REF!,1,0)</f>
        <v>#REF!</v>
      </c>
      <c r="M12012" s="33" t="str">
        <f t="shared" si="755"/>
        <v>P&amp;L</v>
      </c>
    </row>
    <row r="12013" spans="1:13">
      <c r="A12013" s="33" t="str">
        <f t="shared" si="752"/>
        <v>AKG - CGS</v>
      </c>
      <c r="B12013" s="33" t="str">
        <f t="shared" si="753"/>
        <v>AKG</v>
      </c>
      <c r="C12013" s="33" t="str">
        <f t="shared" si="754"/>
        <v>61007-0000</v>
      </c>
      <c r="D12013" t="s">
        <v>13318</v>
      </c>
      <c r="E12013" t="s">
        <v>13319</v>
      </c>
      <c r="F12013" s="69" t="s">
        <v>230</v>
      </c>
      <c r="G12013" t="s">
        <v>3838</v>
      </c>
      <c r="H12013" t="s">
        <v>1875</v>
      </c>
      <c r="I12013" t="s">
        <v>3847</v>
      </c>
      <c r="J12013" s="70">
        <v>801</v>
      </c>
      <c r="K12013" s="71">
        <v>801</v>
      </c>
      <c r="L12013" s="33" t="e">
        <f>HLOOKUP(B12013,#REF!,1,0)</f>
        <v>#REF!</v>
      </c>
      <c r="M12013" s="33" t="str">
        <f t="shared" si="755"/>
        <v>P&amp;L</v>
      </c>
    </row>
    <row r="12014" spans="1:13">
      <c r="A12014" s="33" t="str">
        <f t="shared" si="752"/>
        <v>AKG - CGS</v>
      </c>
      <c r="B12014" s="33" t="str">
        <f t="shared" si="753"/>
        <v>AKG</v>
      </c>
      <c r="C12014" s="33" t="str">
        <f t="shared" si="754"/>
        <v>61012-0000</v>
      </c>
      <c r="D12014" t="s">
        <v>13320</v>
      </c>
      <c r="E12014" t="s">
        <v>13321</v>
      </c>
      <c r="F12014" s="69" t="s">
        <v>230</v>
      </c>
      <c r="G12014" t="s">
        <v>3838</v>
      </c>
      <c r="H12014" t="s">
        <v>1875</v>
      </c>
      <c r="I12014" t="s">
        <v>3853</v>
      </c>
      <c r="J12014" s="70">
        <v>69195.98</v>
      </c>
      <c r="K12014" s="71">
        <v>69195.98</v>
      </c>
      <c r="L12014" s="33" t="e">
        <f>HLOOKUP(B12014,#REF!,1,0)</f>
        <v>#REF!</v>
      </c>
      <c r="M12014" s="33" t="str">
        <f t="shared" si="755"/>
        <v>P&amp;L</v>
      </c>
    </row>
    <row r="12015" spans="1:13">
      <c r="A12015" s="33" t="str">
        <f t="shared" si="752"/>
        <v>AKG - Revenue</v>
      </c>
      <c r="B12015" s="33" t="str">
        <f t="shared" si="753"/>
        <v>AKG</v>
      </c>
      <c r="C12015" s="33" t="str">
        <f t="shared" si="754"/>
        <v>61014-0000</v>
      </c>
      <c r="D12015" t="s">
        <v>13322</v>
      </c>
      <c r="E12015" t="s">
        <v>13323</v>
      </c>
      <c r="F12015" s="69" t="s">
        <v>230</v>
      </c>
      <c r="G12015" t="s">
        <v>3717</v>
      </c>
      <c r="H12015" t="s">
        <v>2871</v>
      </c>
      <c r="I12015" t="s">
        <v>12435</v>
      </c>
      <c r="J12015" s="70">
        <v>68085.04</v>
      </c>
      <c r="K12015" s="71">
        <v>68085.04</v>
      </c>
      <c r="L12015" s="33" t="e">
        <f>HLOOKUP(B12015,#REF!,1,0)</f>
        <v>#REF!</v>
      </c>
      <c r="M12015" s="33" t="str">
        <f t="shared" si="755"/>
        <v>P&amp;L</v>
      </c>
    </row>
    <row r="12016" spans="1:13">
      <c r="A12016" s="33" t="str">
        <f t="shared" si="752"/>
        <v>AKG - CGS</v>
      </c>
      <c r="B12016" s="33" t="str">
        <f t="shared" si="753"/>
        <v>AKG</v>
      </c>
      <c r="C12016" s="33" t="str">
        <f t="shared" si="754"/>
        <v>61015-0000</v>
      </c>
      <c r="D12016" t="s">
        <v>13324</v>
      </c>
      <c r="E12016" t="s">
        <v>13325</v>
      </c>
      <c r="F12016" s="69" t="s">
        <v>230</v>
      </c>
      <c r="G12016" t="s">
        <v>3838</v>
      </c>
      <c r="H12016" t="s">
        <v>1875</v>
      </c>
      <c r="I12016" t="s">
        <v>3859</v>
      </c>
      <c r="J12016" s="70">
        <v>1519.56</v>
      </c>
      <c r="K12016" s="71">
        <v>1519.56</v>
      </c>
      <c r="L12016" s="33" t="e">
        <f>HLOOKUP(B12016,#REF!,1,0)</f>
        <v>#REF!</v>
      </c>
      <c r="M12016" s="33" t="str">
        <f t="shared" si="755"/>
        <v>P&amp;L</v>
      </c>
    </row>
    <row r="12017" spans="1:13">
      <c r="A12017" s="33" t="str">
        <f t="shared" si="752"/>
        <v>AKG - CGS</v>
      </c>
      <c r="B12017" s="33" t="str">
        <f t="shared" si="753"/>
        <v>AKG</v>
      </c>
      <c r="C12017" s="33" t="str">
        <f t="shared" si="754"/>
        <v>61023-0000</v>
      </c>
      <c r="D12017" t="s">
        <v>4043</v>
      </c>
      <c r="E12017" t="s">
        <v>1873</v>
      </c>
      <c r="F12017" s="69" t="s">
        <v>230</v>
      </c>
      <c r="G12017" t="s">
        <v>1874</v>
      </c>
      <c r="H12017" t="s">
        <v>1875</v>
      </c>
      <c r="I12017" t="s">
        <v>1876</v>
      </c>
      <c r="J12017" s="70">
        <v>118.72</v>
      </c>
      <c r="K12017" s="71">
        <v>118.72</v>
      </c>
      <c r="L12017" s="33" t="e">
        <f>HLOOKUP(B12017,#REF!,1,0)</f>
        <v>#REF!</v>
      </c>
      <c r="M12017" s="33" t="str">
        <f t="shared" si="755"/>
        <v>P&amp;L</v>
      </c>
    </row>
    <row r="12018" spans="1:13">
      <c r="A12018" s="33" t="str">
        <f t="shared" si="752"/>
        <v>AKG - Capital-Remodel</v>
      </c>
      <c r="B12018" s="33" t="str">
        <f t="shared" si="753"/>
        <v>AKG</v>
      </c>
      <c r="C12018" s="33" t="str">
        <f t="shared" si="754"/>
        <v>71010-0000</v>
      </c>
      <c r="D12018" t="s">
        <v>13326</v>
      </c>
      <c r="E12018" t="s">
        <v>4020</v>
      </c>
      <c r="F12018" s="69" t="s">
        <v>230</v>
      </c>
      <c r="G12018" t="s">
        <v>3818</v>
      </c>
      <c r="H12018" t="s">
        <v>4021</v>
      </c>
      <c r="I12018" t="s">
        <v>4022</v>
      </c>
      <c r="J12018" s="70">
        <v>24300</v>
      </c>
      <c r="K12018" s="71">
        <v>24300</v>
      </c>
      <c r="L12018" s="33" t="e">
        <f>HLOOKUP(B12018,#REF!,1,0)</f>
        <v>#REF!</v>
      </c>
      <c r="M12018" s="33" t="str">
        <f t="shared" si="755"/>
        <v>P&amp;L</v>
      </c>
    </row>
    <row r="12019" spans="1:13">
      <c r="A12019" s="33" t="str">
        <f t="shared" si="752"/>
        <v>AKG - PM Expenses</v>
      </c>
      <c r="B12019" s="33" t="str">
        <f t="shared" si="753"/>
        <v>AKG</v>
      </c>
      <c r="C12019" s="33" t="str">
        <f t="shared" si="754"/>
        <v>71020-0000</v>
      </c>
      <c r="D12019" t="s">
        <v>13327</v>
      </c>
      <c r="E12019" t="s">
        <v>13328</v>
      </c>
      <c r="F12019" s="69" t="s">
        <v>230</v>
      </c>
      <c r="G12019" t="s">
        <v>3818</v>
      </c>
      <c r="H12019" t="s">
        <v>3819</v>
      </c>
      <c r="I12019" t="s">
        <v>3820</v>
      </c>
      <c r="J12019" s="70">
        <v>2874.76</v>
      </c>
      <c r="K12019" s="71">
        <v>2874.76</v>
      </c>
      <c r="L12019" s="33" t="e">
        <f>HLOOKUP(B12019,#REF!,1,0)</f>
        <v>#REF!</v>
      </c>
      <c r="M12019" s="33" t="str">
        <f t="shared" si="755"/>
        <v>P&amp;L</v>
      </c>
    </row>
    <row r="12020" spans="1:13">
      <c r="A12020" s="33" t="str">
        <f t="shared" si="752"/>
        <v>AKG - PM Expenses</v>
      </c>
      <c r="B12020" s="33" t="str">
        <f t="shared" si="753"/>
        <v>AKG</v>
      </c>
      <c r="C12020" s="33" t="str">
        <f t="shared" si="754"/>
        <v>71030-0000</v>
      </c>
      <c r="D12020" t="s">
        <v>13329</v>
      </c>
      <c r="E12020" t="s">
        <v>13330</v>
      </c>
      <c r="F12020" s="69" t="s">
        <v>230</v>
      </c>
      <c r="G12020" t="s">
        <v>3818</v>
      </c>
      <c r="H12020" t="s">
        <v>3819</v>
      </c>
      <c r="I12020" t="s">
        <v>3823</v>
      </c>
      <c r="J12020" s="70">
        <v>38418.36</v>
      </c>
      <c r="K12020" s="71">
        <v>38418.36</v>
      </c>
      <c r="L12020" s="33" t="e">
        <f>HLOOKUP(B12020,#REF!,1,0)</f>
        <v>#REF!</v>
      </c>
      <c r="M12020" s="33" t="str">
        <f t="shared" si="755"/>
        <v>P&amp;L</v>
      </c>
    </row>
    <row r="12021" spans="1:13">
      <c r="A12021" s="33" t="str">
        <f t="shared" si="752"/>
        <v>AKG - PM Expenses</v>
      </c>
      <c r="B12021" s="33" t="str">
        <f t="shared" si="753"/>
        <v>AKG</v>
      </c>
      <c r="C12021" s="33" t="str">
        <f t="shared" si="754"/>
        <v>71040-0000</v>
      </c>
      <c r="D12021" t="s">
        <v>13331</v>
      </c>
      <c r="E12021" t="s">
        <v>13332</v>
      </c>
      <c r="F12021" s="69" t="s">
        <v>230</v>
      </c>
      <c r="G12021" t="s">
        <v>3818</v>
      </c>
      <c r="H12021" t="s">
        <v>3819</v>
      </c>
      <c r="I12021" t="s">
        <v>3826</v>
      </c>
      <c r="J12021" s="70">
        <v>9929.75</v>
      </c>
      <c r="K12021" s="71">
        <v>9929.75</v>
      </c>
      <c r="L12021" s="33" t="e">
        <f>HLOOKUP(B12021,#REF!,1,0)</f>
        <v>#REF!</v>
      </c>
      <c r="M12021" s="33" t="str">
        <f t="shared" si="755"/>
        <v>P&amp;L</v>
      </c>
    </row>
    <row r="12022" spans="1:13">
      <c r="A12022" s="33" t="str">
        <f t="shared" si="752"/>
        <v>AKG - PM Expenses</v>
      </c>
      <c r="B12022" s="33" t="str">
        <f t="shared" si="753"/>
        <v>AKG</v>
      </c>
      <c r="C12022" s="33" t="str">
        <f t="shared" si="754"/>
        <v>71050-0000</v>
      </c>
      <c r="D12022" t="s">
        <v>13333</v>
      </c>
      <c r="E12022" t="s">
        <v>13334</v>
      </c>
      <c r="F12022" s="69" t="s">
        <v>230</v>
      </c>
      <c r="G12022" t="s">
        <v>3818</v>
      </c>
      <c r="H12022" t="s">
        <v>3819</v>
      </c>
      <c r="I12022" t="s">
        <v>4028</v>
      </c>
      <c r="J12022" s="70">
        <v>6002.68</v>
      </c>
      <c r="K12022" s="71">
        <v>6002.68</v>
      </c>
      <c r="L12022" s="33" t="e">
        <f>HLOOKUP(B12022,#REF!,1,0)</f>
        <v>#REF!</v>
      </c>
      <c r="M12022" s="33" t="str">
        <f t="shared" si="755"/>
        <v>P&amp;L</v>
      </c>
    </row>
    <row r="12023" spans="1:13">
      <c r="A12023" s="33" t="str">
        <f t="shared" si="752"/>
        <v>AKG - PM Expenses</v>
      </c>
      <c r="B12023" s="33" t="str">
        <f t="shared" si="753"/>
        <v>AKG</v>
      </c>
      <c r="C12023" s="33" t="str">
        <f t="shared" si="754"/>
        <v>71060-0000</v>
      </c>
      <c r="D12023" t="s">
        <v>13335</v>
      </c>
      <c r="E12023" t="s">
        <v>13336</v>
      </c>
      <c r="F12023" s="69" t="s">
        <v>230</v>
      </c>
      <c r="G12023" t="s">
        <v>3818</v>
      </c>
      <c r="H12023" t="s">
        <v>3819</v>
      </c>
      <c r="I12023" t="s">
        <v>3829</v>
      </c>
      <c r="J12023" s="70">
        <v>4646.89</v>
      </c>
      <c r="K12023" s="71">
        <v>4646.89</v>
      </c>
      <c r="L12023" s="33" t="e">
        <f>HLOOKUP(B12023,#REF!,1,0)</f>
        <v>#REF!</v>
      </c>
      <c r="M12023" s="33" t="str">
        <f t="shared" si="755"/>
        <v>P&amp;L</v>
      </c>
    </row>
    <row r="12024" spans="1:13">
      <c r="A12024" s="33" t="str">
        <f t="shared" si="752"/>
        <v>AKG - PM Expenses</v>
      </c>
      <c r="B12024" s="33" t="str">
        <f t="shared" si="753"/>
        <v>AKG</v>
      </c>
      <c r="C12024" s="33" t="str">
        <f t="shared" si="754"/>
        <v>71070-0000</v>
      </c>
      <c r="D12024" t="s">
        <v>13337</v>
      </c>
      <c r="E12024" t="s">
        <v>13338</v>
      </c>
      <c r="F12024" s="69" t="s">
        <v>230</v>
      </c>
      <c r="G12024" t="s">
        <v>3818</v>
      </c>
      <c r="H12024" t="s">
        <v>3819</v>
      </c>
      <c r="I12024" t="s">
        <v>3832</v>
      </c>
      <c r="J12024" s="70">
        <v>83132.39</v>
      </c>
      <c r="K12024" s="71">
        <v>83132.39</v>
      </c>
      <c r="L12024" s="33" t="e">
        <f>HLOOKUP(B12024,#REF!,1,0)</f>
        <v>#REF!</v>
      </c>
      <c r="M12024" s="33" t="str">
        <f t="shared" si="755"/>
        <v>P&amp;L</v>
      </c>
    </row>
    <row r="12025" spans="1:13">
      <c r="A12025" s="33" t="str">
        <f t="shared" si="752"/>
        <v>AKG - PM Expenses</v>
      </c>
      <c r="B12025" s="33" t="str">
        <f t="shared" si="753"/>
        <v>AKG</v>
      </c>
      <c r="C12025" s="33" t="str">
        <f t="shared" si="754"/>
        <v>71080-0000</v>
      </c>
      <c r="D12025" t="s">
        <v>13339</v>
      </c>
      <c r="E12025" t="s">
        <v>13340</v>
      </c>
      <c r="F12025" s="69" t="s">
        <v>230</v>
      </c>
      <c r="G12025" t="s">
        <v>3818</v>
      </c>
      <c r="H12025" t="s">
        <v>3819</v>
      </c>
      <c r="I12025" t="s">
        <v>3835</v>
      </c>
      <c r="J12025" s="70">
        <v>607.27</v>
      </c>
      <c r="K12025" s="71">
        <v>607.27</v>
      </c>
      <c r="L12025" s="33" t="e">
        <f>HLOOKUP(B12025,#REF!,1,0)</f>
        <v>#REF!</v>
      </c>
      <c r="M12025" s="33" t="str">
        <f t="shared" si="755"/>
        <v>P&amp;L</v>
      </c>
    </row>
    <row r="12026" spans="1:13">
      <c r="A12026" s="33" t="str">
        <f t="shared" si="752"/>
        <v>AKG - CGS</v>
      </c>
      <c r="B12026" s="33" t="str">
        <f t="shared" si="753"/>
        <v>AKG</v>
      </c>
      <c r="C12026" s="33" t="str">
        <f t="shared" si="754"/>
        <v>71100-0000</v>
      </c>
      <c r="D12026" t="s">
        <v>13341</v>
      </c>
      <c r="E12026" t="s">
        <v>13342</v>
      </c>
      <c r="F12026" s="69" t="s">
        <v>230</v>
      </c>
      <c r="G12026" t="s">
        <v>3769</v>
      </c>
      <c r="H12026" t="s">
        <v>1875</v>
      </c>
      <c r="I12026" t="s">
        <v>3776</v>
      </c>
      <c r="J12026" s="70">
        <v>2098.11</v>
      </c>
      <c r="K12026" s="71">
        <v>1795.89</v>
      </c>
      <c r="L12026" s="33" t="e">
        <f>HLOOKUP(B12026,#REF!,1,0)</f>
        <v>#REF!</v>
      </c>
      <c r="M12026" s="33" t="str">
        <f t="shared" si="755"/>
        <v>P&amp;L</v>
      </c>
    </row>
    <row r="12027" spans="1:13">
      <c r="A12027" s="33" t="str">
        <f t="shared" si="752"/>
        <v>AKG - CGS</v>
      </c>
      <c r="B12027" s="33" t="str">
        <f t="shared" si="753"/>
        <v>AKG</v>
      </c>
      <c r="C12027" s="33" t="str">
        <f t="shared" si="754"/>
        <v>71110-0000</v>
      </c>
      <c r="D12027" t="s">
        <v>13343</v>
      </c>
      <c r="E12027" t="s">
        <v>13344</v>
      </c>
      <c r="F12027" s="69" t="s">
        <v>230</v>
      </c>
      <c r="G12027" t="s">
        <v>3769</v>
      </c>
      <c r="H12027" t="s">
        <v>1875</v>
      </c>
      <c r="I12027" t="s">
        <v>3779</v>
      </c>
      <c r="J12027" s="70">
        <v>330.83</v>
      </c>
      <c r="K12027" s="71">
        <v>330.83</v>
      </c>
      <c r="L12027" s="33" t="e">
        <f>HLOOKUP(B12027,#REF!,1,0)</f>
        <v>#REF!</v>
      </c>
      <c r="M12027" s="33" t="str">
        <f t="shared" si="755"/>
        <v>P&amp;L</v>
      </c>
    </row>
    <row r="12028" spans="1:13">
      <c r="A12028" s="33" t="str">
        <f t="shared" si="752"/>
        <v>AKG - Interest Expense</v>
      </c>
      <c r="B12028" s="33" t="str">
        <f t="shared" si="753"/>
        <v>AKG</v>
      </c>
      <c r="C12028" s="33" t="str">
        <f t="shared" si="754"/>
        <v>80006-0000</v>
      </c>
      <c r="D12028" t="s">
        <v>13345</v>
      </c>
      <c r="E12028" t="s">
        <v>3325</v>
      </c>
      <c r="F12028" s="69" t="s">
        <v>230</v>
      </c>
      <c r="G12028" t="s">
        <v>3326</v>
      </c>
      <c r="H12028" t="s">
        <v>3327</v>
      </c>
      <c r="I12028" t="s">
        <v>3328</v>
      </c>
      <c r="J12028" s="70">
        <v>317589.45</v>
      </c>
      <c r="K12028" s="71">
        <v>371522.69</v>
      </c>
      <c r="L12028" s="33" t="e">
        <f>HLOOKUP(B12028,#REF!,1,0)</f>
        <v>#REF!</v>
      </c>
      <c r="M12028" s="33" t="str">
        <f t="shared" si="755"/>
        <v>P&amp;L</v>
      </c>
    </row>
    <row r="12029" spans="1:13">
      <c r="A12029" s="33" t="str">
        <f t="shared" si="752"/>
        <v>AKG - Income Tax</v>
      </c>
      <c r="B12029" s="33" t="str">
        <f t="shared" si="753"/>
        <v>AKG</v>
      </c>
      <c r="C12029" s="33" t="str">
        <f t="shared" si="754"/>
        <v>81019-0000</v>
      </c>
      <c r="D12029" t="s">
        <v>13346</v>
      </c>
      <c r="E12029" t="s">
        <v>13347</v>
      </c>
      <c r="F12029" s="69" t="s">
        <v>230</v>
      </c>
      <c r="G12029" t="s">
        <v>3844</v>
      </c>
      <c r="H12029" t="s">
        <v>3378</v>
      </c>
      <c r="I12029" t="s">
        <v>4042</v>
      </c>
      <c r="J12029" s="70">
        <v>6800</v>
      </c>
      <c r="K12029" s="71">
        <v>6800</v>
      </c>
      <c r="L12029" s="33" t="e">
        <f>HLOOKUP(B12029,#REF!,1,0)</f>
        <v>#REF!</v>
      </c>
      <c r="M12029" s="33" t="str">
        <f t="shared" si="755"/>
        <v>P&amp;L</v>
      </c>
    </row>
    <row r="12030" spans="1:13">
      <c r="A12030" s="33" t="str">
        <f t="shared" si="752"/>
        <v>AKG - Other Expenses</v>
      </c>
      <c r="B12030" s="33" t="str">
        <f t="shared" si="753"/>
        <v>AKG</v>
      </c>
      <c r="C12030" s="33" t="str">
        <f t="shared" si="754"/>
        <v>81228-0000</v>
      </c>
      <c r="D12030" t="s">
        <v>13348</v>
      </c>
      <c r="E12030" t="s">
        <v>3864</v>
      </c>
      <c r="F12030" s="69" t="s">
        <v>230</v>
      </c>
      <c r="G12030" t="s">
        <v>3838</v>
      </c>
      <c r="H12030" t="s">
        <v>3865</v>
      </c>
      <c r="I12030" t="s">
        <v>3866</v>
      </c>
      <c r="J12030" s="70">
        <v>7054.53</v>
      </c>
      <c r="K12030" s="71">
        <v>7054.53</v>
      </c>
      <c r="L12030" s="33" t="e">
        <f>HLOOKUP(B12030,#REF!,1,0)</f>
        <v>#REF!</v>
      </c>
      <c r="M12030" s="33" t="str">
        <f t="shared" si="755"/>
        <v>P&amp;L</v>
      </c>
    </row>
    <row r="12031" spans="1:13">
      <c r="A12031" s="33" t="str">
        <f t="shared" si="752"/>
        <v>ALP - SH Dist</v>
      </c>
      <c r="B12031" s="33" t="str">
        <f t="shared" si="753"/>
        <v>ALP</v>
      </c>
      <c r="C12031" s="33" t="str">
        <f t="shared" si="754"/>
        <v>10001-0000</v>
      </c>
      <c r="D12031" t="s">
        <v>355</v>
      </c>
      <c r="E12031" t="s">
        <v>13221</v>
      </c>
      <c r="F12031" s="69" t="s">
        <v>230</v>
      </c>
      <c r="G12031" t="s">
        <v>142</v>
      </c>
      <c r="H12031" t="s">
        <v>143</v>
      </c>
      <c r="I12031" t="s">
        <v>144</v>
      </c>
      <c r="J12031" s="70">
        <v>24068.19</v>
      </c>
      <c r="K12031" s="71">
        <v>-98578.3</v>
      </c>
      <c r="L12031" s="33" t="e">
        <f>HLOOKUP(B12031,#REF!,1,0)</f>
        <v>#REF!</v>
      </c>
      <c r="M12031" s="33" t="str">
        <f t="shared" si="755"/>
        <v>BS</v>
      </c>
    </row>
    <row r="12032" spans="1:13">
      <c r="A12032" s="33" t="str">
        <f t="shared" si="752"/>
        <v>ALP - SH Dist</v>
      </c>
      <c r="B12032" s="33" t="str">
        <f t="shared" si="753"/>
        <v>ALP</v>
      </c>
      <c r="C12032" s="33" t="str">
        <f t="shared" si="754"/>
        <v>10003-0000</v>
      </c>
      <c r="D12032" t="s">
        <v>356</v>
      </c>
      <c r="E12032" t="s">
        <v>13349</v>
      </c>
      <c r="F12032" s="69" t="s">
        <v>230</v>
      </c>
      <c r="G12032" t="s">
        <v>142</v>
      </c>
      <c r="H12032" t="s">
        <v>143</v>
      </c>
      <c r="I12032" t="s">
        <v>144</v>
      </c>
      <c r="J12032" s="70">
        <v>70</v>
      </c>
      <c r="K12032" s="71">
        <v>70</v>
      </c>
      <c r="L12032" s="33" t="e">
        <f>HLOOKUP(B12032,#REF!,1,0)</f>
        <v>#REF!</v>
      </c>
      <c r="M12032" s="33" t="str">
        <f t="shared" si="755"/>
        <v>BS</v>
      </c>
    </row>
    <row r="12033" spans="1:13">
      <c r="A12033" s="33" t="str">
        <f t="shared" si="752"/>
        <v>ALP - SH Dist</v>
      </c>
      <c r="B12033" s="33" t="str">
        <f t="shared" si="753"/>
        <v>ALP</v>
      </c>
      <c r="C12033" s="33" t="str">
        <f t="shared" si="754"/>
        <v>10006-0000</v>
      </c>
      <c r="D12033" t="s">
        <v>13350</v>
      </c>
      <c r="E12033" t="s">
        <v>13223</v>
      </c>
      <c r="F12033" s="69" t="s">
        <v>230</v>
      </c>
      <c r="G12033" t="s">
        <v>142</v>
      </c>
      <c r="H12033" t="s">
        <v>143</v>
      </c>
      <c r="I12033" t="s">
        <v>144</v>
      </c>
      <c r="J12033" s="70">
        <v>0</v>
      </c>
      <c r="K12033" s="71">
        <v>183279.02</v>
      </c>
      <c r="L12033" s="33" t="e">
        <f>HLOOKUP(B12033,#REF!,1,0)</f>
        <v>#REF!</v>
      </c>
      <c r="M12033" s="33" t="str">
        <f t="shared" si="755"/>
        <v>BS</v>
      </c>
    </row>
    <row r="12034" spans="1:13">
      <c r="A12034" s="33" t="str">
        <f t="shared" si="752"/>
        <v>ALP - Intercompany</v>
      </c>
      <c r="B12034" s="33" t="str">
        <f t="shared" si="753"/>
        <v>ALP</v>
      </c>
      <c r="C12034" s="33" t="str">
        <f t="shared" si="754"/>
        <v>11216-0000</v>
      </c>
      <c r="D12034" t="s">
        <v>360</v>
      </c>
      <c r="E12034" t="s">
        <v>13224</v>
      </c>
      <c r="F12034" s="69" t="s">
        <v>230</v>
      </c>
      <c r="G12034" t="s">
        <v>16</v>
      </c>
      <c r="H12034" t="s">
        <v>39</v>
      </c>
      <c r="I12034" t="s">
        <v>40</v>
      </c>
      <c r="J12034" s="70">
        <v>46139</v>
      </c>
      <c r="K12034" s="71">
        <v>27557.06</v>
      </c>
      <c r="L12034" s="33" t="e">
        <f>HLOOKUP(B12034,#REF!,1,0)</f>
        <v>#REF!</v>
      </c>
      <c r="M12034" s="33" t="str">
        <f t="shared" si="755"/>
        <v>BS</v>
      </c>
    </row>
    <row r="12035" spans="1:13">
      <c r="A12035" s="33" t="str">
        <f t="shared" si="752"/>
        <v>ALP - Intercompany</v>
      </c>
      <c r="B12035" s="33" t="str">
        <f t="shared" si="753"/>
        <v>ALP</v>
      </c>
      <c r="C12035" s="33" t="str">
        <f t="shared" si="754"/>
        <v>11305-0000</v>
      </c>
      <c r="D12035" t="s">
        <v>361</v>
      </c>
      <c r="E12035" t="s">
        <v>13229</v>
      </c>
      <c r="F12035" s="69" t="s">
        <v>230</v>
      </c>
      <c r="G12035" t="s">
        <v>16</v>
      </c>
      <c r="H12035" t="s">
        <v>39</v>
      </c>
      <c r="I12035" t="s">
        <v>40</v>
      </c>
      <c r="J12035" s="70">
        <v>135000</v>
      </c>
      <c r="K12035" s="71">
        <v>135000</v>
      </c>
      <c r="L12035" s="33" t="e">
        <f>HLOOKUP(B12035,#REF!,1,0)</f>
        <v>#REF!</v>
      </c>
      <c r="M12035" s="33" t="str">
        <f t="shared" si="755"/>
        <v>BS</v>
      </c>
    </row>
    <row r="12036" spans="1:13">
      <c r="A12036" s="33" t="str">
        <f t="shared" si="752"/>
        <v>ALP - Intercompany</v>
      </c>
      <c r="B12036" s="33" t="str">
        <f t="shared" si="753"/>
        <v>ALP</v>
      </c>
      <c r="C12036" s="33" t="str">
        <f t="shared" si="754"/>
        <v>11311-0000</v>
      </c>
      <c r="D12036" t="s">
        <v>363</v>
      </c>
      <c r="E12036" t="s">
        <v>13232</v>
      </c>
      <c r="F12036" s="69" t="s">
        <v>230</v>
      </c>
      <c r="G12036" t="s">
        <v>16</v>
      </c>
      <c r="H12036" t="s">
        <v>39</v>
      </c>
      <c r="I12036" t="s">
        <v>40</v>
      </c>
      <c r="J12036" s="70">
        <v>-90000</v>
      </c>
      <c r="K12036" s="71">
        <v>-90000</v>
      </c>
      <c r="L12036" s="33" t="e">
        <f>HLOOKUP(B12036,#REF!,1,0)</f>
        <v>#REF!</v>
      </c>
      <c r="M12036" s="33" t="str">
        <f t="shared" si="755"/>
        <v>BS</v>
      </c>
    </row>
    <row r="12037" spans="1:13">
      <c r="A12037" s="33" t="str">
        <f t="shared" si="752"/>
        <v>ALP - Intercompany</v>
      </c>
      <c r="B12037" s="33" t="str">
        <f t="shared" si="753"/>
        <v>ALP</v>
      </c>
      <c r="C12037" s="33" t="str">
        <f t="shared" si="754"/>
        <v>11314-0000</v>
      </c>
      <c r="D12037" t="s">
        <v>364</v>
      </c>
      <c r="E12037" t="s">
        <v>13351</v>
      </c>
      <c r="F12037" s="69" t="s">
        <v>230</v>
      </c>
      <c r="G12037" t="s">
        <v>16</v>
      </c>
      <c r="H12037" t="s">
        <v>39</v>
      </c>
      <c r="I12037" t="s">
        <v>40</v>
      </c>
      <c r="J12037" s="70">
        <v>249900</v>
      </c>
      <c r="K12037" s="71">
        <v>249900</v>
      </c>
      <c r="L12037" s="33" t="e">
        <f>HLOOKUP(B12037,#REF!,1,0)</f>
        <v>#REF!</v>
      </c>
      <c r="M12037" s="33" t="str">
        <f t="shared" si="755"/>
        <v>BS</v>
      </c>
    </row>
    <row r="12038" spans="1:13">
      <c r="A12038" s="33" t="str">
        <f t="shared" si="752"/>
        <v>ALP - Intercompany</v>
      </c>
      <c r="B12038" s="33" t="str">
        <f t="shared" si="753"/>
        <v>ALP</v>
      </c>
      <c r="C12038" s="33" t="str">
        <f t="shared" si="754"/>
        <v>11316-0000</v>
      </c>
      <c r="D12038" t="s">
        <v>366</v>
      </c>
      <c r="E12038" t="s">
        <v>13235</v>
      </c>
      <c r="F12038" s="69" t="s">
        <v>230</v>
      </c>
      <c r="G12038" t="s">
        <v>16</v>
      </c>
      <c r="H12038" t="s">
        <v>39</v>
      </c>
      <c r="I12038" t="s">
        <v>40</v>
      </c>
      <c r="J12038" s="70">
        <v>-15000</v>
      </c>
      <c r="K12038" s="71">
        <v>-15000</v>
      </c>
      <c r="L12038" s="33" t="e">
        <f>HLOOKUP(B12038,#REF!,1,0)</f>
        <v>#REF!</v>
      </c>
      <c r="M12038" s="33" t="str">
        <f t="shared" si="755"/>
        <v>BS</v>
      </c>
    </row>
    <row r="12039" spans="1:13">
      <c r="A12039" s="33" t="str">
        <f t="shared" si="752"/>
        <v>ALP - Intercompany</v>
      </c>
      <c r="B12039" s="33" t="str">
        <f t="shared" si="753"/>
        <v>ALP</v>
      </c>
      <c r="C12039" s="33" t="str">
        <f t="shared" si="754"/>
        <v>11317-0000</v>
      </c>
      <c r="D12039" t="s">
        <v>367</v>
      </c>
      <c r="E12039" t="s">
        <v>13352</v>
      </c>
      <c r="F12039" s="69" t="s">
        <v>230</v>
      </c>
      <c r="G12039" t="s">
        <v>16</v>
      </c>
      <c r="H12039" t="s">
        <v>39</v>
      </c>
      <c r="I12039" t="s">
        <v>40</v>
      </c>
      <c r="J12039" s="70">
        <v>-125000</v>
      </c>
      <c r="K12039" s="71">
        <v>-125000</v>
      </c>
      <c r="L12039" s="33" t="e">
        <f>HLOOKUP(B12039,#REF!,1,0)</f>
        <v>#REF!</v>
      </c>
      <c r="M12039" s="33" t="str">
        <f t="shared" si="755"/>
        <v>BS</v>
      </c>
    </row>
    <row r="12040" spans="1:13">
      <c r="A12040" s="33" t="str">
        <f t="shared" si="752"/>
        <v>ALP - Intercompany</v>
      </c>
      <c r="B12040" s="33" t="str">
        <f t="shared" si="753"/>
        <v>ALP</v>
      </c>
      <c r="C12040" s="33" t="str">
        <f t="shared" si="754"/>
        <v>11319-0000</v>
      </c>
      <c r="D12040" t="s">
        <v>369</v>
      </c>
      <c r="E12040" t="s">
        <v>266</v>
      </c>
      <c r="F12040" s="69" t="s">
        <v>230</v>
      </c>
      <c r="G12040" t="s">
        <v>16</v>
      </c>
      <c r="H12040" t="s">
        <v>39</v>
      </c>
      <c r="I12040" t="s">
        <v>40</v>
      </c>
      <c r="J12040" s="70">
        <v>-35000</v>
      </c>
      <c r="K12040" s="71">
        <v>-35000</v>
      </c>
      <c r="L12040" s="33" t="e">
        <f>HLOOKUP(B12040,#REF!,1,0)</f>
        <v>#REF!</v>
      </c>
      <c r="M12040" s="33" t="str">
        <f t="shared" si="755"/>
        <v>BS</v>
      </c>
    </row>
    <row r="12041" spans="1:13">
      <c r="A12041" s="33" t="str">
        <f t="shared" si="752"/>
        <v>ALP - Intercompany</v>
      </c>
      <c r="B12041" s="33" t="str">
        <f t="shared" si="753"/>
        <v>ALP</v>
      </c>
      <c r="C12041" s="33" t="str">
        <f t="shared" si="754"/>
        <v>11321-0000</v>
      </c>
      <c r="D12041" t="s">
        <v>371</v>
      </c>
      <c r="E12041" t="s">
        <v>13236</v>
      </c>
      <c r="F12041" s="69" t="s">
        <v>230</v>
      </c>
      <c r="G12041" t="s">
        <v>16</v>
      </c>
      <c r="H12041" t="s">
        <v>39</v>
      </c>
      <c r="I12041" t="s">
        <v>40</v>
      </c>
      <c r="J12041" s="70">
        <v>12000</v>
      </c>
      <c r="K12041" s="71">
        <v>12000</v>
      </c>
      <c r="L12041" s="33" t="e">
        <f>HLOOKUP(B12041,#REF!,1,0)</f>
        <v>#REF!</v>
      </c>
      <c r="M12041" s="33" t="str">
        <f t="shared" si="755"/>
        <v>BS</v>
      </c>
    </row>
    <row r="12042" spans="1:13">
      <c r="A12042" s="33" t="str">
        <f t="shared" si="752"/>
        <v>ALP - Intercompany</v>
      </c>
      <c r="B12042" s="33" t="str">
        <f t="shared" si="753"/>
        <v>ALP</v>
      </c>
      <c r="C12042" s="33" t="str">
        <f t="shared" si="754"/>
        <v>11324-0000</v>
      </c>
      <c r="D12042" t="s">
        <v>372</v>
      </c>
      <c r="E12042" t="s">
        <v>13238</v>
      </c>
      <c r="F12042" s="69" t="s">
        <v>230</v>
      </c>
      <c r="G12042" t="s">
        <v>16</v>
      </c>
      <c r="H12042" t="s">
        <v>39</v>
      </c>
      <c r="I12042" t="s">
        <v>40</v>
      </c>
      <c r="J12042" s="70">
        <v>-40000</v>
      </c>
      <c r="K12042" s="71">
        <v>-40000</v>
      </c>
      <c r="L12042" s="33" t="e">
        <f>HLOOKUP(B12042,#REF!,1,0)</f>
        <v>#REF!</v>
      </c>
      <c r="M12042" s="33" t="str">
        <f t="shared" si="755"/>
        <v>BS</v>
      </c>
    </row>
    <row r="12043" spans="1:13">
      <c r="A12043" s="33" t="str">
        <f t="shared" si="752"/>
        <v>ALP - Intercompany</v>
      </c>
      <c r="B12043" s="33" t="str">
        <f t="shared" si="753"/>
        <v>ALP</v>
      </c>
      <c r="C12043" s="33" t="str">
        <f t="shared" si="754"/>
        <v>11325-0000</v>
      </c>
      <c r="D12043" t="s">
        <v>373</v>
      </c>
      <c r="E12043" t="s">
        <v>13239</v>
      </c>
      <c r="F12043" s="69" t="s">
        <v>230</v>
      </c>
      <c r="G12043" t="s">
        <v>16</v>
      </c>
      <c r="H12043" t="s">
        <v>39</v>
      </c>
      <c r="I12043" t="s">
        <v>40</v>
      </c>
      <c r="J12043" s="70">
        <v>10000</v>
      </c>
      <c r="K12043" s="71">
        <v>10000</v>
      </c>
      <c r="L12043" s="33" t="e">
        <f>HLOOKUP(B12043,#REF!,1,0)</f>
        <v>#REF!</v>
      </c>
      <c r="M12043" s="33" t="str">
        <f t="shared" si="755"/>
        <v>BS</v>
      </c>
    </row>
    <row r="12044" spans="1:13">
      <c r="A12044" s="33" t="str">
        <f t="shared" si="752"/>
        <v>ALP - Intercompany</v>
      </c>
      <c r="B12044" s="33" t="str">
        <f t="shared" si="753"/>
        <v>ALP</v>
      </c>
      <c r="C12044" s="33" t="str">
        <f t="shared" si="754"/>
        <v>11326-0000</v>
      </c>
      <c r="D12044" t="s">
        <v>374</v>
      </c>
      <c r="E12044" t="s">
        <v>13240</v>
      </c>
      <c r="F12044" s="69" t="s">
        <v>230</v>
      </c>
      <c r="G12044" t="s">
        <v>16</v>
      </c>
      <c r="H12044" t="s">
        <v>39</v>
      </c>
      <c r="I12044" t="s">
        <v>40</v>
      </c>
      <c r="J12044" s="70">
        <v>35000</v>
      </c>
      <c r="K12044" s="71">
        <v>35000</v>
      </c>
      <c r="L12044" s="33" t="e">
        <f>HLOOKUP(B12044,#REF!,1,0)</f>
        <v>#REF!</v>
      </c>
      <c r="M12044" s="33" t="str">
        <f t="shared" si="755"/>
        <v>BS</v>
      </c>
    </row>
    <row r="12045" spans="1:13">
      <c r="A12045" s="33" t="str">
        <f t="shared" si="752"/>
        <v>ALP - Intercompany</v>
      </c>
      <c r="B12045" s="33" t="str">
        <f t="shared" si="753"/>
        <v>ALP</v>
      </c>
      <c r="C12045" s="33" t="str">
        <f t="shared" si="754"/>
        <v>11328-0000</v>
      </c>
      <c r="D12045" t="s">
        <v>375</v>
      </c>
      <c r="E12045" t="s">
        <v>13241</v>
      </c>
      <c r="F12045" s="69" t="s">
        <v>230</v>
      </c>
      <c r="G12045" t="s">
        <v>16</v>
      </c>
      <c r="H12045" t="s">
        <v>39</v>
      </c>
      <c r="I12045" t="s">
        <v>40</v>
      </c>
      <c r="J12045" s="70">
        <v>10000</v>
      </c>
      <c r="K12045" s="71">
        <v>10000</v>
      </c>
      <c r="L12045" s="33" t="e">
        <f>HLOOKUP(B12045,#REF!,1,0)</f>
        <v>#REF!</v>
      </c>
      <c r="M12045" s="33" t="str">
        <f t="shared" si="755"/>
        <v>BS</v>
      </c>
    </row>
    <row r="12046" spans="1:13">
      <c r="A12046" s="33" t="str">
        <f t="shared" si="752"/>
        <v>ALP - Intercompany</v>
      </c>
      <c r="B12046" s="33" t="str">
        <f t="shared" si="753"/>
        <v>ALP</v>
      </c>
      <c r="C12046" s="33" t="str">
        <f t="shared" si="754"/>
        <v>11329-0000</v>
      </c>
      <c r="D12046" t="s">
        <v>376</v>
      </c>
      <c r="E12046" t="s">
        <v>13353</v>
      </c>
      <c r="F12046" s="69" t="s">
        <v>230</v>
      </c>
      <c r="G12046" t="s">
        <v>16</v>
      </c>
      <c r="H12046" t="s">
        <v>39</v>
      </c>
      <c r="I12046" t="s">
        <v>40</v>
      </c>
      <c r="J12046" s="70">
        <v>55000</v>
      </c>
      <c r="K12046" s="71">
        <v>55000</v>
      </c>
      <c r="L12046" s="33" t="e">
        <f>HLOOKUP(B12046,#REF!,1,0)</f>
        <v>#REF!</v>
      </c>
      <c r="M12046" s="33" t="str">
        <f t="shared" si="755"/>
        <v>BS</v>
      </c>
    </row>
    <row r="12047" spans="1:13">
      <c r="A12047" s="33" t="str">
        <f t="shared" ref="A12047:A12110" si="756">B12047&amp;" - "&amp;TRIM(H12047)</f>
        <v>ALP - Intercompany</v>
      </c>
      <c r="B12047" s="33" t="str">
        <f t="shared" ref="B12047:B12110" si="757">LEFT(D12047,3)</f>
        <v>ALP</v>
      </c>
      <c r="C12047" s="33" t="str">
        <f t="shared" ref="C12047:C12110" si="758">RIGHT(D12047,10)</f>
        <v>11331-0000</v>
      </c>
      <c r="D12047" t="s">
        <v>378</v>
      </c>
      <c r="E12047" t="s">
        <v>13354</v>
      </c>
      <c r="F12047" s="69" t="s">
        <v>230</v>
      </c>
      <c r="G12047" t="s">
        <v>16</v>
      </c>
      <c r="H12047" t="s">
        <v>39</v>
      </c>
      <c r="I12047" t="s">
        <v>40</v>
      </c>
      <c r="J12047" s="70">
        <v>20000</v>
      </c>
      <c r="K12047" s="71">
        <v>20000</v>
      </c>
      <c r="L12047" s="33" t="e">
        <f>HLOOKUP(B12047,#REF!,1,0)</f>
        <v>#REF!</v>
      </c>
      <c r="M12047" s="33" t="str">
        <f t="shared" ref="M12047:M12110" si="759">IF(VALUE(LEFT(C12047,5))&gt;40000,"P&amp;L","BS")</f>
        <v>BS</v>
      </c>
    </row>
    <row r="12048" spans="1:13">
      <c r="A12048" s="33" t="str">
        <f t="shared" si="756"/>
        <v>ALP - Intercompany</v>
      </c>
      <c r="B12048" s="33" t="str">
        <f t="shared" si="757"/>
        <v>ALP</v>
      </c>
      <c r="C12048" s="33" t="str">
        <f t="shared" si="758"/>
        <v>11332-0000</v>
      </c>
      <c r="D12048" t="s">
        <v>380</v>
      </c>
      <c r="E12048" t="s">
        <v>13243</v>
      </c>
      <c r="F12048" s="69" t="s">
        <v>230</v>
      </c>
      <c r="G12048" t="s">
        <v>16</v>
      </c>
      <c r="H12048" t="s">
        <v>39</v>
      </c>
      <c r="I12048" t="s">
        <v>40</v>
      </c>
      <c r="J12048" s="70">
        <v>70000</v>
      </c>
      <c r="K12048" s="71">
        <v>70000</v>
      </c>
      <c r="L12048" s="33" t="e">
        <f>HLOOKUP(B12048,#REF!,1,0)</f>
        <v>#REF!</v>
      </c>
      <c r="M12048" s="33" t="str">
        <f t="shared" si="759"/>
        <v>BS</v>
      </c>
    </row>
    <row r="12049" spans="1:13">
      <c r="A12049" s="33" t="str">
        <f t="shared" si="756"/>
        <v>ALP - Intercompany</v>
      </c>
      <c r="B12049" s="33" t="str">
        <f t="shared" si="757"/>
        <v>ALP</v>
      </c>
      <c r="C12049" s="33" t="str">
        <f t="shared" si="758"/>
        <v>11334-0000</v>
      </c>
      <c r="D12049" t="s">
        <v>381</v>
      </c>
      <c r="E12049" t="s">
        <v>13245</v>
      </c>
      <c r="F12049" s="69" t="s">
        <v>230</v>
      </c>
      <c r="G12049" t="s">
        <v>16</v>
      </c>
      <c r="H12049" t="s">
        <v>39</v>
      </c>
      <c r="I12049" t="s">
        <v>40</v>
      </c>
      <c r="J12049" s="70">
        <v>10000</v>
      </c>
      <c r="K12049" s="71">
        <v>10000</v>
      </c>
      <c r="L12049" s="33" t="e">
        <f>HLOOKUP(B12049,#REF!,1,0)</f>
        <v>#REF!</v>
      </c>
      <c r="M12049" s="33" t="str">
        <f t="shared" si="759"/>
        <v>BS</v>
      </c>
    </row>
    <row r="12050" spans="1:13">
      <c r="A12050" s="33" t="str">
        <f t="shared" si="756"/>
        <v>ALP - Intercompany</v>
      </c>
      <c r="B12050" s="33" t="str">
        <f t="shared" si="757"/>
        <v>ALP</v>
      </c>
      <c r="C12050" s="33" t="str">
        <f t="shared" si="758"/>
        <v>11337-0000</v>
      </c>
      <c r="D12050" t="s">
        <v>382</v>
      </c>
      <c r="E12050" t="s">
        <v>13248</v>
      </c>
      <c r="F12050" s="69" t="s">
        <v>230</v>
      </c>
      <c r="G12050" t="s">
        <v>16</v>
      </c>
      <c r="H12050" t="s">
        <v>39</v>
      </c>
      <c r="I12050" t="s">
        <v>40</v>
      </c>
      <c r="J12050" s="70">
        <v>15000</v>
      </c>
      <c r="K12050" s="71">
        <v>15000</v>
      </c>
      <c r="L12050" s="33" t="e">
        <f>HLOOKUP(B12050,#REF!,1,0)</f>
        <v>#REF!</v>
      </c>
      <c r="M12050" s="33" t="str">
        <f t="shared" si="759"/>
        <v>BS</v>
      </c>
    </row>
    <row r="12051" spans="1:13">
      <c r="A12051" s="33" t="str">
        <f t="shared" si="756"/>
        <v>ALP - Intercompany</v>
      </c>
      <c r="B12051" s="33" t="str">
        <f t="shared" si="757"/>
        <v>ALP</v>
      </c>
      <c r="C12051" s="33" t="str">
        <f t="shared" si="758"/>
        <v>11342-0000</v>
      </c>
      <c r="D12051" t="s">
        <v>383</v>
      </c>
      <c r="E12051" t="s">
        <v>13355</v>
      </c>
      <c r="F12051" s="69" t="s">
        <v>230</v>
      </c>
      <c r="G12051" t="s">
        <v>16</v>
      </c>
      <c r="H12051" t="s">
        <v>39</v>
      </c>
      <c r="I12051" t="s">
        <v>40</v>
      </c>
      <c r="J12051" s="70">
        <v>70000</v>
      </c>
      <c r="K12051" s="71">
        <v>70000</v>
      </c>
      <c r="L12051" s="33" t="e">
        <f>HLOOKUP(B12051,#REF!,1,0)</f>
        <v>#REF!</v>
      </c>
      <c r="M12051" s="33" t="str">
        <f t="shared" si="759"/>
        <v>BS</v>
      </c>
    </row>
    <row r="12052" spans="1:13">
      <c r="A12052" s="33" t="str">
        <f t="shared" si="756"/>
        <v>ALP - AR-PPD</v>
      </c>
      <c r="B12052" s="33" t="str">
        <f t="shared" si="757"/>
        <v>ALP</v>
      </c>
      <c r="C12052" s="33" t="str">
        <f t="shared" si="758"/>
        <v>12100-0000</v>
      </c>
      <c r="D12052" t="s">
        <v>13356</v>
      </c>
      <c r="E12052" t="s">
        <v>34</v>
      </c>
      <c r="F12052" s="69" t="s">
        <v>230</v>
      </c>
      <c r="G12052" t="s">
        <v>16</v>
      </c>
      <c r="H12052" t="s">
        <v>35</v>
      </c>
      <c r="I12052" t="s">
        <v>36</v>
      </c>
      <c r="J12052" s="70">
        <v>124571.68</v>
      </c>
      <c r="K12052" s="71">
        <v>128428.85</v>
      </c>
      <c r="L12052" s="33" t="e">
        <f>HLOOKUP(B12052,#REF!,1,0)</f>
        <v>#REF!</v>
      </c>
      <c r="M12052" s="33" t="str">
        <f t="shared" si="759"/>
        <v>BS</v>
      </c>
    </row>
    <row r="12053" spans="1:13">
      <c r="A12053" s="33" t="str">
        <f t="shared" si="756"/>
        <v>ALP - AR-PPD</v>
      </c>
      <c r="B12053" s="33" t="str">
        <f t="shared" si="757"/>
        <v>ALP</v>
      </c>
      <c r="C12053" s="33" t="str">
        <f t="shared" si="758"/>
        <v>13810-0000</v>
      </c>
      <c r="D12053" t="s">
        <v>13357</v>
      </c>
      <c r="E12053" t="s">
        <v>294</v>
      </c>
      <c r="F12053" s="69" t="s">
        <v>230</v>
      </c>
      <c r="G12053" t="s">
        <v>62</v>
      </c>
      <c r="H12053" t="s">
        <v>35</v>
      </c>
      <c r="I12053" t="s">
        <v>64</v>
      </c>
      <c r="J12053" s="70">
        <v>-4438</v>
      </c>
      <c r="K12053" s="71">
        <v>-4438</v>
      </c>
      <c r="L12053" s="33" t="e">
        <f>HLOOKUP(B12053,#REF!,1,0)</f>
        <v>#REF!</v>
      </c>
      <c r="M12053" s="33" t="str">
        <f t="shared" si="759"/>
        <v>BS</v>
      </c>
    </row>
    <row r="12054" spans="1:13">
      <c r="A12054" s="33" t="str">
        <f t="shared" si="756"/>
        <v>ALP - AR-PPD</v>
      </c>
      <c r="B12054" s="33" t="str">
        <f t="shared" si="757"/>
        <v>ALP</v>
      </c>
      <c r="C12054" s="33" t="str">
        <f t="shared" si="758"/>
        <v>13820-0000</v>
      </c>
      <c r="D12054" t="s">
        <v>13358</v>
      </c>
      <c r="E12054" t="s">
        <v>387</v>
      </c>
      <c r="F12054" s="69" t="s">
        <v>230</v>
      </c>
      <c r="G12054" t="s">
        <v>388</v>
      </c>
      <c r="H12054" t="s">
        <v>35</v>
      </c>
      <c r="I12054" t="s">
        <v>64</v>
      </c>
      <c r="J12054" s="70">
        <v>119022</v>
      </c>
      <c r="K12054" s="71">
        <v>119022</v>
      </c>
      <c r="L12054" s="33" t="e">
        <f>HLOOKUP(B12054,#REF!,1,0)</f>
        <v>#REF!</v>
      </c>
      <c r="M12054" s="33" t="str">
        <f t="shared" si="759"/>
        <v>BS</v>
      </c>
    </row>
    <row r="12055" spans="1:13">
      <c r="A12055" s="33" t="str">
        <f t="shared" si="756"/>
        <v>ALP - Fixed Assets</v>
      </c>
      <c r="B12055" s="33" t="str">
        <f t="shared" si="757"/>
        <v>ALP</v>
      </c>
      <c r="C12055" s="33" t="str">
        <f t="shared" si="758"/>
        <v>14100-0000</v>
      </c>
      <c r="D12055" t="s">
        <v>13359</v>
      </c>
      <c r="E12055" t="s">
        <v>298</v>
      </c>
      <c r="F12055" s="69" t="s">
        <v>230</v>
      </c>
      <c r="G12055" t="s">
        <v>62</v>
      </c>
      <c r="H12055" t="s">
        <v>63</v>
      </c>
      <c r="I12055" t="s">
        <v>64</v>
      </c>
      <c r="J12055" s="70">
        <v>1811627</v>
      </c>
      <c r="K12055" s="71">
        <v>1811627</v>
      </c>
      <c r="L12055" s="33" t="e">
        <f>HLOOKUP(B12055,#REF!,1,0)</f>
        <v>#REF!</v>
      </c>
      <c r="M12055" s="33" t="str">
        <f t="shared" si="759"/>
        <v>BS</v>
      </c>
    </row>
    <row r="12056" spans="1:13">
      <c r="A12056" s="33" t="str">
        <f t="shared" si="756"/>
        <v>ALP - Fixed Assets</v>
      </c>
      <c r="B12056" s="33" t="str">
        <f t="shared" si="757"/>
        <v>ALP</v>
      </c>
      <c r="C12056" s="33" t="str">
        <f t="shared" si="758"/>
        <v>15000-0000</v>
      </c>
      <c r="D12056" t="s">
        <v>390</v>
      </c>
      <c r="E12056" t="s">
        <v>13252</v>
      </c>
      <c r="F12056" s="69" t="s">
        <v>230</v>
      </c>
      <c r="G12056" t="s">
        <v>62</v>
      </c>
      <c r="H12056" t="s">
        <v>63</v>
      </c>
      <c r="I12056" t="s">
        <v>64</v>
      </c>
      <c r="J12056" s="70">
        <v>7813373</v>
      </c>
      <c r="K12056" s="71">
        <v>7813373</v>
      </c>
      <c r="L12056" s="33" t="e">
        <f>HLOOKUP(B12056,#REF!,1,0)</f>
        <v>#REF!</v>
      </c>
      <c r="M12056" s="33" t="str">
        <f t="shared" si="759"/>
        <v>BS</v>
      </c>
    </row>
    <row r="12057" spans="1:13">
      <c r="A12057" s="33" t="str">
        <f t="shared" si="756"/>
        <v>ALP - Fixed Assets</v>
      </c>
      <c r="B12057" s="33" t="str">
        <f t="shared" si="757"/>
        <v>ALP</v>
      </c>
      <c r="C12057" s="33" t="str">
        <f t="shared" si="758"/>
        <v>15500-0000</v>
      </c>
      <c r="D12057" t="s">
        <v>391</v>
      </c>
      <c r="E12057" t="s">
        <v>302</v>
      </c>
      <c r="F12057" s="69" t="s">
        <v>230</v>
      </c>
      <c r="G12057" t="s">
        <v>62</v>
      </c>
      <c r="H12057" t="s">
        <v>63</v>
      </c>
      <c r="I12057" t="s">
        <v>64</v>
      </c>
      <c r="J12057" s="70">
        <v>357211.43</v>
      </c>
      <c r="K12057" s="71">
        <v>357211.43</v>
      </c>
      <c r="L12057" s="33" t="e">
        <f>HLOOKUP(B12057,#REF!,1,0)</f>
        <v>#REF!</v>
      </c>
      <c r="M12057" s="33" t="str">
        <f t="shared" si="759"/>
        <v>BS</v>
      </c>
    </row>
    <row r="12058" spans="1:13">
      <c r="A12058" s="33" t="str">
        <f t="shared" si="756"/>
        <v>ALP - Fixed Assets</v>
      </c>
      <c r="B12058" s="33" t="str">
        <f t="shared" si="757"/>
        <v>ALP</v>
      </c>
      <c r="C12058" s="33" t="str">
        <f t="shared" si="758"/>
        <v>15700-0000</v>
      </c>
      <c r="D12058" t="s">
        <v>13360</v>
      </c>
      <c r="E12058" t="s">
        <v>2635</v>
      </c>
      <c r="F12058" s="69" t="s">
        <v>230</v>
      </c>
      <c r="G12058" t="s">
        <v>62</v>
      </c>
      <c r="H12058" t="s">
        <v>63</v>
      </c>
      <c r="I12058" t="s">
        <v>64</v>
      </c>
      <c r="J12058" s="70">
        <v>4287.87</v>
      </c>
      <c r="K12058" s="71">
        <v>5753.99</v>
      </c>
      <c r="L12058" s="33" t="e">
        <f>HLOOKUP(B12058,#REF!,1,0)</f>
        <v>#REF!</v>
      </c>
      <c r="M12058" s="33" t="str">
        <f t="shared" si="759"/>
        <v>BS</v>
      </c>
    </row>
    <row r="12059" spans="1:13">
      <c r="A12059" s="33" t="str">
        <f t="shared" si="756"/>
        <v>ALP - Fixed Assets</v>
      </c>
      <c r="B12059" s="33" t="str">
        <f t="shared" si="757"/>
        <v>ALP</v>
      </c>
      <c r="C12059" s="33" t="str">
        <f t="shared" si="758"/>
        <v>16000-0000</v>
      </c>
      <c r="D12059" t="s">
        <v>392</v>
      </c>
      <c r="E12059" t="s">
        <v>304</v>
      </c>
      <c r="F12059" s="69" t="s">
        <v>230</v>
      </c>
      <c r="G12059" t="s">
        <v>16</v>
      </c>
      <c r="H12059" t="s">
        <v>63</v>
      </c>
      <c r="I12059" t="s">
        <v>18</v>
      </c>
      <c r="J12059" s="70">
        <v>122323</v>
      </c>
      <c r="K12059" s="71">
        <v>122323</v>
      </c>
      <c r="L12059" s="33" t="e">
        <f>HLOOKUP(B12059,#REF!,1,0)</f>
        <v>#REF!</v>
      </c>
      <c r="M12059" s="33" t="str">
        <f t="shared" si="759"/>
        <v>BS</v>
      </c>
    </row>
    <row r="12060" spans="1:13">
      <c r="A12060" s="33" t="str">
        <f t="shared" si="756"/>
        <v>ALP - Fixed Assets</v>
      </c>
      <c r="B12060" s="33" t="str">
        <f t="shared" si="757"/>
        <v>ALP</v>
      </c>
      <c r="C12060" s="33" t="str">
        <f t="shared" si="758"/>
        <v>17000-0000</v>
      </c>
      <c r="D12060" t="s">
        <v>393</v>
      </c>
      <c r="E12060" t="s">
        <v>77</v>
      </c>
      <c r="F12060" s="69" t="s">
        <v>230</v>
      </c>
      <c r="G12060" t="s">
        <v>62</v>
      </c>
      <c r="H12060" t="s">
        <v>63</v>
      </c>
      <c r="I12060" t="s">
        <v>64</v>
      </c>
      <c r="J12060" s="70">
        <v>-1704321</v>
      </c>
      <c r="K12060" s="71">
        <v>-1704321</v>
      </c>
      <c r="L12060" s="33" t="e">
        <f>HLOOKUP(B12060,#REF!,1,0)</f>
        <v>#REF!</v>
      </c>
      <c r="M12060" s="33" t="str">
        <f t="shared" si="759"/>
        <v>BS</v>
      </c>
    </row>
    <row r="12061" spans="1:13">
      <c r="A12061" s="33" t="str">
        <f t="shared" si="756"/>
        <v>ALP - Fixed Assets</v>
      </c>
      <c r="B12061" s="33" t="str">
        <f t="shared" si="757"/>
        <v>ALP</v>
      </c>
      <c r="C12061" s="33" t="str">
        <f t="shared" si="758"/>
        <v>18000-0000</v>
      </c>
      <c r="D12061" t="s">
        <v>394</v>
      </c>
      <c r="E12061" t="s">
        <v>88</v>
      </c>
      <c r="F12061" s="69" t="s">
        <v>230</v>
      </c>
      <c r="G12061" t="s">
        <v>62</v>
      </c>
      <c r="H12061" t="s">
        <v>63</v>
      </c>
      <c r="I12061" t="s">
        <v>81</v>
      </c>
      <c r="J12061" s="70">
        <v>-101602</v>
      </c>
      <c r="K12061" s="71">
        <v>-101602</v>
      </c>
      <c r="L12061" s="33" t="e">
        <f>HLOOKUP(B12061,#REF!,1,0)</f>
        <v>#REF!</v>
      </c>
      <c r="M12061" s="33" t="str">
        <f t="shared" si="759"/>
        <v>BS</v>
      </c>
    </row>
    <row r="12062" spans="1:13">
      <c r="A12062" s="33" t="str">
        <f t="shared" si="756"/>
        <v>ALP - AP-Accr Exp</v>
      </c>
      <c r="B12062" s="33" t="str">
        <f t="shared" si="757"/>
        <v>ALP</v>
      </c>
      <c r="C12062" s="33" t="str">
        <f t="shared" si="758"/>
        <v>22000-0000</v>
      </c>
      <c r="D12062" t="s">
        <v>13361</v>
      </c>
      <c r="E12062" t="s">
        <v>96</v>
      </c>
      <c r="F12062" s="69" t="s">
        <v>230</v>
      </c>
      <c r="G12062" t="s">
        <v>97</v>
      </c>
      <c r="H12062" t="s">
        <v>98</v>
      </c>
      <c r="I12062" t="s">
        <v>99</v>
      </c>
      <c r="J12062" s="70">
        <v>0</v>
      </c>
      <c r="K12062" s="71">
        <v>6233.26</v>
      </c>
      <c r="L12062" s="33" t="e">
        <f>HLOOKUP(B12062,#REF!,1,0)</f>
        <v>#REF!</v>
      </c>
      <c r="M12062" s="33" t="str">
        <f t="shared" si="759"/>
        <v>BS</v>
      </c>
    </row>
    <row r="12063" spans="1:13">
      <c r="A12063" s="33" t="str">
        <f t="shared" si="756"/>
        <v>ALP - AP-Accr Exp</v>
      </c>
      <c r="B12063" s="33" t="str">
        <f t="shared" si="757"/>
        <v>ALP</v>
      </c>
      <c r="C12063" s="33" t="str">
        <f t="shared" si="758"/>
        <v>22800-0000</v>
      </c>
      <c r="D12063" t="s">
        <v>13362</v>
      </c>
      <c r="E12063" t="s">
        <v>13256</v>
      </c>
      <c r="F12063" s="69" t="s">
        <v>230</v>
      </c>
      <c r="G12063" t="s">
        <v>97</v>
      </c>
      <c r="H12063" t="s">
        <v>98</v>
      </c>
      <c r="I12063" t="s">
        <v>102</v>
      </c>
      <c r="J12063" s="70">
        <v>-101692.9</v>
      </c>
      <c r="K12063" s="71">
        <v>-101692.9</v>
      </c>
      <c r="L12063" s="33" t="e">
        <f>HLOOKUP(B12063,#REF!,1,0)</f>
        <v>#REF!</v>
      </c>
      <c r="M12063" s="33" t="str">
        <f t="shared" si="759"/>
        <v>BS</v>
      </c>
    </row>
    <row r="12064" spans="1:13">
      <c r="A12064" s="33" t="str">
        <f t="shared" si="756"/>
        <v>ALP - Revenue</v>
      </c>
      <c r="B12064" s="33" t="str">
        <f t="shared" si="757"/>
        <v>ALP</v>
      </c>
      <c r="C12064" s="33" t="str">
        <f t="shared" si="758"/>
        <v>22905-0000</v>
      </c>
      <c r="D12064" t="s">
        <v>13363</v>
      </c>
      <c r="E12064" t="s">
        <v>13258</v>
      </c>
      <c r="F12064" s="69" t="s">
        <v>230</v>
      </c>
      <c r="G12064" t="s">
        <v>3717</v>
      </c>
      <c r="H12064" t="s">
        <v>2871</v>
      </c>
      <c r="I12064" t="s">
        <v>3721</v>
      </c>
      <c r="J12064" s="70">
        <v>-11722.81</v>
      </c>
      <c r="K12064" s="71">
        <v>-11522.81</v>
      </c>
      <c r="L12064" s="33" t="e">
        <f>HLOOKUP(B12064,#REF!,1,0)</f>
        <v>#REF!</v>
      </c>
      <c r="M12064" s="33" t="str">
        <f t="shared" si="759"/>
        <v>BS</v>
      </c>
    </row>
    <row r="12065" spans="1:13">
      <c r="A12065" s="33" t="str">
        <f t="shared" si="756"/>
        <v>ALP - AP-Accr Exp</v>
      </c>
      <c r="B12065" s="33" t="str">
        <f t="shared" si="757"/>
        <v>ALP</v>
      </c>
      <c r="C12065" s="33" t="str">
        <f t="shared" si="758"/>
        <v>23509-0000</v>
      </c>
      <c r="D12065" t="s">
        <v>396</v>
      </c>
      <c r="E12065" t="s">
        <v>454</v>
      </c>
      <c r="F12065" s="69" t="s">
        <v>230</v>
      </c>
      <c r="G12065" t="s">
        <v>97</v>
      </c>
      <c r="H12065" t="s">
        <v>98</v>
      </c>
      <c r="I12065" t="s">
        <v>102</v>
      </c>
      <c r="J12065" s="70">
        <v>2498.85</v>
      </c>
      <c r="K12065" s="71">
        <v>0</v>
      </c>
      <c r="L12065" s="33" t="e">
        <f>HLOOKUP(B12065,#REF!,1,0)</f>
        <v>#REF!</v>
      </c>
      <c r="M12065" s="33" t="str">
        <f t="shared" si="759"/>
        <v>BS</v>
      </c>
    </row>
    <row r="12066" spans="1:13">
      <c r="A12066" s="33" t="str">
        <f t="shared" si="756"/>
        <v>ALP - Principal</v>
      </c>
      <c r="B12066" s="33" t="str">
        <f t="shared" si="757"/>
        <v>ALP</v>
      </c>
      <c r="C12066" s="33" t="str">
        <f t="shared" si="758"/>
        <v>23800-0000</v>
      </c>
      <c r="D12066" t="s">
        <v>13364</v>
      </c>
      <c r="E12066" t="s">
        <v>13365</v>
      </c>
      <c r="F12066" s="69" t="s">
        <v>230</v>
      </c>
      <c r="G12066" t="s">
        <v>123</v>
      </c>
      <c r="H12066" t="s">
        <v>127</v>
      </c>
      <c r="I12066" t="s">
        <v>133</v>
      </c>
      <c r="J12066" s="70">
        <v>-150000</v>
      </c>
      <c r="K12066" s="71">
        <v>-150000</v>
      </c>
      <c r="L12066" s="33" t="e">
        <f>HLOOKUP(B12066,#REF!,1,0)</f>
        <v>#REF!</v>
      </c>
      <c r="M12066" s="33" t="str">
        <f t="shared" si="759"/>
        <v>BS</v>
      </c>
    </row>
    <row r="12067" spans="1:13">
      <c r="A12067" s="33" t="str">
        <f t="shared" si="756"/>
        <v>ALP - InterCo Notes</v>
      </c>
      <c r="B12067" s="33" t="str">
        <f t="shared" si="757"/>
        <v>ALP</v>
      </c>
      <c r="C12067" s="33" t="str">
        <f t="shared" si="758"/>
        <v>25600-0000</v>
      </c>
      <c r="D12067" t="s">
        <v>13366</v>
      </c>
      <c r="E12067" t="s">
        <v>314</v>
      </c>
      <c r="F12067" s="69" t="s">
        <v>230</v>
      </c>
      <c r="G12067" t="s">
        <v>16</v>
      </c>
      <c r="H12067" t="s">
        <v>315</v>
      </c>
      <c r="I12067" t="s">
        <v>40</v>
      </c>
      <c r="J12067" s="70">
        <v>-2414000</v>
      </c>
      <c r="K12067" s="71">
        <v>-2414000</v>
      </c>
      <c r="L12067" s="33" t="e">
        <f>HLOOKUP(B12067,#REF!,1,0)</f>
        <v>#REF!</v>
      </c>
      <c r="M12067" s="33" t="str">
        <f t="shared" si="759"/>
        <v>BS</v>
      </c>
    </row>
    <row r="12068" spans="1:13">
      <c r="A12068" s="33" t="str">
        <f t="shared" si="756"/>
        <v>ALP - Principal</v>
      </c>
      <c r="B12068" s="33" t="str">
        <f t="shared" si="757"/>
        <v>ALP</v>
      </c>
      <c r="C12068" s="33" t="str">
        <f t="shared" si="758"/>
        <v>28004-0000</v>
      </c>
      <c r="D12068" t="s">
        <v>403</v>
      </c>
      <c r="E12068" t="s">
        <v>13367</v>
      </c>
      <c r="F12068" s="69" t="s">
        <v>230</v>
      </c>
      <c r="G12068" t="s">
        <v>123</v>
      </c>
      <c r="H12068" t="s">
        <v>127</v>
      </c>
      <c r="I12068" t="s">
        <v>133</v>
      </c>
      <c r="J12068" s="70">
        <v>0</v>
      </c>
      <c r="K12068" s="71">
        <v>14899.17</v>
      </c>
      <c r="L12068" s="33" t="e">
        <f>HLOOKUP(B12068,#REF!,1,0)</f>
        <v>#REF!</v>
      </c>
      <c r="M12068" s="33" t="str">
        <f t="shared" si="759"/>
        <v>BS</v>
      </c>
    </row>
    <row r="12069" spans="1:13">
      <c r="A12069" s="33" t="str">
        <f t="shared" si="756"/>
        <v>ALP - Principal</v>
      </c>
      <c r="B12069" s="33" t="str">
        <f t="shared" si="757"/>
        <v>ALP</v>
      </c>
      <c r="C12069" s="33" t="str">
        <f t="shared" si="758"/>
        <v>28017-0000</v>
      </c>
      <c r="D12069" t="s">
        <v>13368</v>
      </c>
      <c r="E12069" t="s">
        <v>404</v>
      </c>
      <c r="F12069" s="69" t="s">
        <v>230</v>
      </c>
      <c r="G12069" t="s">
        <v>123</v>
      </c>
      <c r="H12069" t="s">
        <v>127</v>
      </c>
      <c r="I12069" t="s">
        <v>133</v>
      </c>
      <c r="J12069" s="70">
        <v>-17669907.47</v>
      </c>
      <c r="K12069" s="71">
        <v>-17669907.47</v>
      </c>
      <c r="L12069" s="33" t="e">
        <f>HLOOKUP(B12069,#REF!,1,0)</f>
        <v>#REF!</v>
      </c>
      <c r="M12069" s="33" t="str">
        <f t="shared" si="759"/>
        <v>BS</v>
      </c>
    </row>
    <row r="12070" spans="1:13">
      <c r="A12070" s="33" t="str">
        <f t="shared" si="756"/>
        <v>ALP - SH Dist</v>
      </c>
      <c r="B12070" s="33" t="str">
        <f t="shared" si="757"/>
        <v>ALP</v>
      </c>
      <c r="C12070" s="33" t="str">
        <f t="shared" si="758"/>
        <v>36000-0000</v>
      </c>
      <c r="D12070" t="s">
        <v>13369</v>
      </c>
      <c r="E12070" t="s">
        <v>13262</v>
      </c>
      <c r="F12070" s="69" t="s">
        <v>230</v>
      </c>
      <c r="G12070" t="s">
        <v>142</v>
      </c>
      <c r="H12070" t="s">
        <v>143</v>
      </c>
      <c r="I12070" t="s">
        <v>144</v>
      </c>
      <c r="J12070" s="70">
        <v>10709462.08</v>
      </c>
      <c r="K12070" s="71">
        <v>10709462.08</v>
      </c>
      <c r="L12070" s="33" t="e">
        <f>HLOOKUP(B12070,#REF!,1,0)</f>
        <v>#REF!</v>
      </c>
      <c r="M12070" s="33" t="str">
        <f t="shared" si="759"/>
        <v>BS</v>
      </c>
    </row>
    <row r="12071" spans="1:13">
      <c r="A12071" s="33" t="str">
        <f t="shared" si="756"/>
        <v>ALP - Retained Earnings</v>
      </c>
      <c r="B12071" s="33" t="str">
        <f t="shared" si="757"/>
        <v>ALP</v>
      </c>
      <c r="C12071" s="33" t="str">
        <f t="shared" si="758"/>
        <v>38100-0000</v>
      </c>
      <c r="D12071" t="s">
        <v>13370</v>
      </c>
      <c r="E12071" t="s">
        <v>234</v>
      </c>
      <c r="F12071" s="69" t="s">
        <v>230</v>
      </c>
      <c r="G12071" t="s">
        <v>142</v>
      </c>
      <c r="H12071" t="s">
        <v>149</v>
      </c>
      <c r="I12071" t="s">
        <v>235</v>
      </c>
      <c r="J12071" s="70">
        <v>617009.48</v>
      </c>
      <c r="K12071" s="71">
        <v>617009.48</v>
      </c>
      <c r="L12071" s="33" t="e">
        <f>HLOOKUP(B12071,#REF!,1,0)</f>
        <v>#REF!</v>
      </c>
      <c r="M12071" s="33" t="str">
        <f t="shared" si="759"/>
        <v>BS</v>
      </c>
    </row>
    <row r="12072" spans="1:13">
      <c r="A12072" s="33" t="str">
        <f t="shared" si="756"/>
        <v>ALP - Revenue</v>
      </c>
      <c r="B12072" s="33" t="str">
        <f t="shared" si="757"/>
        <v>ALP</v>
      </c>
      <c r="C12072" s="33" t="str">
        <f t="shared" si="758"/>
        <v>40110-0000</v>
      </c>
      <c r="D12072" t="s">
        <v>4067</v>
      </c>
      <c r="E12072" t="s">
        <v>3683</v>
      </c>
      <c r="F12072" s="69" t="s">
        <v>230</v>
      </c>
      <c r="G12072" t="s">
        <v>3684</v>
      </c>
      <c r="H12072" t="s">
        <v>2871</v>
      </c>
      <c r="I12072" t="s">
        <v>3685</v>
      </c>
      <c r="J12072" s="70">
        <v>-1493073</v>
      </c>
      <c r="K12072" s="71">
        <v>-1493073</v>
      </c>
      <c r="L12072" s="33" t="e">
        <f>HLOOKUP(B12072,#REF!,1,0)</f>
        <v>#REF!</v>
      </c>
      <c r="M12072" s="33" t="str">
        <f t="shared" si="759"/>
        <v>P&amp;L</v>
      </c>
    </row>
    <row r="12073" spans="1:13">
      <c r="A12073" s="33" t="str">
        <f t="shared" si="756"/>
        <v>ALP - Revenue</v>
      </c>
      <c r="B12073" s="33" t="str">
        <f t="shared" si="757"/>
        <v>ALP</v>
      </c>
      <c r="C12073" s="33" t="str">
        <f t="shared" si="758"/>
        <v>40120-0000</v>
      </c>
      <c r="D12073" t="s">
        <v>4068</v>
      </c>
      <c r="E12073" t="s">
        <v>3687</v>
      </c>
      <c r="F12073" s="69" t="s">
        <v>230</v>
      </c>
      <c r="G12073" t="s">
        <v>3684</v>
      </c>
      <c r="H12073" t="s">
        <v>2871</v>
      </c>
      <c r="I12073" t="s">
        <v>3688</v>
      </c>
      <c r="J12073" s="70">
        <v>-25303</v>
      </c>
      <c r="K12073" s="71">
        <v>-25303</v>
      </c>
      <c r="L12073" s="33" t="e">
        <f>HLOOKUP(B12073,#REF!,1,0)</f>
        <v>#REF!</v>
      </c>
      <c r="M12073" s="33" t="str">
        <f t="shared" si="759"/>
        <v>P&amp;L</v>
      </c>
    </row>
    <row r="12074" spans="1:13">
      <c r="A12074" s="33" t="str">
        <f t="shared" si="756"/>
        <v>ALP - Revenue</v>
      </c>
      <c r="B12074" s="33" t="str">
        <f t="shared" si="757"/>
        <v>ALP</v>
      </c>
      <c r="C12074" s="33" t="str">
        <f t="shared" si="758"/>
        <v>40130-0000</v>
      </c>
      <c r="D12074" t="s">
        <v>4069</v>
      </c>
      <c r="E12074" t="s">
        <v>3690</v>
      </c>
      <c r="F12074" s="69" t="s">
        <v>230</v>
      </c>
      <c r="G12074" t="s">
        <v>3684</v>
      </c>
      <c r="H12074" t="s">
        <v>2871</v>
      </c>
      <c r="I12074" t="s">
        <v>3691</v>
      </c>
      <c r="J12074" s="70">
        <v>-49725</v>
      </c>
      <c r="K12074" s="71">
        <v>-49725</v>
      </c>
      <c r="L12074" s="33" t="e">
        <f>HLOOKUP(B12074,#REF!,1,0)</f>
        <v>#REF!</v>
      </c>
      <c r="M12074" s="33" t="str">
        <f t="shared" si="759"/>
        <v>P&amp;L</v>
      </c>
    </row>
    <row r="12075" spans="1:13">
      <c r="A12075" s="33" t="str">
        <f t="shared" si="756"/>
        <v>ALP - Revenue</v>
      </c>
      <c r="B12075" s="33" t="str">
        <f t="shared" si="757"/>
        <v>ALP</v>
      </c>
      <c r="C12075" s="33" t="str">
        <f t="shared" si="758"/>
        <v>41110-0000</v>
      </c>
      <c r="D12075" t="s">
        <v>4071</v>
      </c>
      <c r="E12075" t="s">
        <v>3716</v>
      </c>
      <c r="F12075" s="69" t="s">
        <v>230</v>
      </c>
      <c r="G12075" t="s">
        <v>3717</v>
      </c>
      <c r="H12075" t="s">
        <v>2871</v>
      </c>
      <c r="I12075" t="s">
        <v>3718</v>
      </c>
      <c r="J12075" s="70">
        <v>-1637186.23</v>
      </c>
      <c r="K12075" s="71">
        <v>-1860139.13</v>
      </c>
      <c r="L12075" s="33" t="e">
        <f>HLOOKUP(B12075,#REF!,1,0)</f>
        <v>#REF!</v>
      </c>
      <c r="M12075" s="33" t="str">
        <f t="shared" si="759"/>
        <v>P&amp;L</v>
      </c>
    </row>
    <row r="12076" spans="1:13">
      <c r="A12076" s="33" t="str">
        <f t="shared" si="756"/>
        <v>ALP - Revenue</v>
      </c>
      <c r="B12076" s="33" t="str">
        <f t="shared" si="757"/>
        <v>ALP</v>
      </c>
      <c r="C12076" s="33" t="str">
        <f t="shared" si="758"/>
        <v>41120-0000</v>
      </c>
      <c r="D12076" t="s">
        <v>13371</v>
      </c>
      <c r="E12076" t="s">
        <v>13267</v>
      </c>
      <c r="F12076" s="69" t="s">
        <v>230</v>
      </c>
      <c r="G12076" t="s">
        <v>3717</v>
      </c>
      <c r="H12076" t="s">
        <v>2871</v>
      </c>
      <c r="I12076" t="s">
        <v>3718</v>
      </c>
      <c r="J12076" s="70">
        <v>0</v>
      </c>
      <c r="K12076" s="71">
        <v>40566</v>
      </c>
      <c r="L12076" s="33" t="e">
        <f>HLOOKUP(B12076,#REF!,1,0)</f>
        <v>#REF!</v>
      </c>
      <c r="M12076" s="33" t="str">
        <f t="shared" si="759"/>
        <v>P&amp;L</v>
      </c>
    </row>
    <row r="12077" spans="1:13">
      <c r="A12077" s="33" t="str">
        <f t="shared" si="756"/>
        <v>ALP - Revenue</v>
      </c>
      <c r="B12077" s="33" t="str">
        <f t="shared" si="757"/>
        <v>ALP</v>
      </c>
      <c r="C12077" s="33" t="str">
        <f t="shared" si="758"/>
        <v>42110-0000</v>
      </c>
      <c r="D12077" t="s">
        <v>13372</v>
      </c>
      <c r="E12077" t="s">
        <v>13269</v>
      </c>
      <c r="F12077" s="69" t="s">
        <v>230</v>
      </c>
      <c r="G12077" t="s">
        <v>3694</v>
      </c>
      <c r="H12077" t="s">
        <v>2871</v>
      </c>
      <c r="I12077" t="s">
        <v>3695</v>
      </c>
      <c r="J12077" s="70">
        <v>45059.53</v>
      </c>
      <c r="K12077" s="71">
        <v>51828.3</v>
      </c>
      <c r="L12077" s="33" t="e">
        <f>HLOOKUP(B12077,#REF!,1,0)</f>
        <v>#REF!</v>
      </c>
      <c r="M12077" s="33" t="str">
        <f t="shared" si="759"/>
        <v>P&amp;L</v>
      </c>
    </row>
    <row r="12078" spans="1:13">
      <c r="A12078" s="33" t="str">
        <f t="shared" si="756"/>
        <v>ALP - Revenue</v>
      </c>
      <c r="B12078" s="33" t="str">
        <f t="shared" si="757"/>
        <v>ALP</v>
      </c>
      <c r="C12078" s="33" t="str">
        <f t="shared" si="758"/>
        <v>42130-0000</v>
      </c>
      <c r="D12078" t="s">
        <v>13373</v>
      </c>
      <c r="E12078" t="s">
        <v>13374</v>
      </c>
      <c r="F12078" s="69" t="s">
        <v>230</v>
      </c>
      <c r="G12078" t="s">
        <v>3694</v>
      </c>
      <c r="H12078" t="s">
        <v>2871</v>
      </c>
      <c r="I12078" t="s">
        <v>3704</v>
      </c>
      <c r="J12078" s="70">
        <v>400</v>
      </c>
      <c r="K12078" s="71">
        <v>400</v>
      </c>
      <c r="L12078" s="33" t="e">
        <f>HLOOKUP(B12078,#REF!,1,0)</f>
        <v>#REF!</v>
      </c>
      <c r="M12078" s="33" t="str">
        <f t="shared" si="759"/>
        <v>P&amp;L</v>
      </c>
    </row>
    <row r="12079" spans="1:13">
      <c r="A12079" s="33" t="str">
        <f t="shared" si="756"/>
        <v>ALP - Revenue</v>
      </c>
      <c r="B12079" s="33" t="str">
        <f t="shared" si="757"/>
        <v>ALP</v>
      </c>
      <c r="C12079" s="33" t="str">
        <f t="shared" si="758"/>
        <v>42150-0000</v>
      </c>
      <c r="D12079" t="s">
        <v>13375</v>
      </c>
      <c r="E12079" t="s">
        <v>13271</v>
      </c>
      <c r="F12079" s="69" t="s">
        <v>230</v>
      </c>
      <c r="G12079" t="s">
        <v>3694</v>
      </c>
      <c r="H12079" t="s">
        <v>2871</v>
      </c>
      <c r="I12079" t="s">
        <v>3710</v>
      </c>
      <c r="J12079" s="70">
        <v>9136</v>
      </c>
      <c r="K12079" s="71">
        <v>9136</v>
      </c>
      <c r="L12079" s="33" t="e">
        <f>HLOOKUP(B12079,#REF!,1,0)</f>
        <v>#REF!</v>
      </c>
      <c r="M12079" s="33" t="str">
        <f t="shared" si="759"/>
        <v>P&amp;L</v>
      </c>
    </row>
    <row r="12080" spans="1:13">
      <c r="A12080" s="33" t="str">
        <f t="shared" si="756"/>
        <v>ALP - Revenue</v>
      </c>
      <c r="B12080" s="33" t="str">
        <f t="shared" si="757"/>
        <v>ALP</v>
      </c>
      <c r="C12080" s="33" t="str">
        <f t="shared" si="758"/>
        <v>43120-0000</v>
      </c>
      <c r="D12080" t="s">
        <v>13376</v>
      </c>
      <c r="E12080" t="s">
        <v>3700</v>
      </c>
      <c r="F12080" s="69" t="s">
        <v>230</v>
      </c>
      <c r="G12080" t="s">
        <v>3694</v>
      </c>
      <c r="H12080" t="s">
        <v>2871</v>
      </c>
      <c r="I12080" t="s">
        <v>3701</v>
      </c>
      <c r="J12080" s="70">
        <v>-191085.22</v>
      </c>
      <c r="K12080" s="71">
        <v>-191085.22</v>
      </c>
      <c r="L12080" s="33" t="e">
        <f>HLOOKUP(B12080,#REF!,1,0)</f>
        <v>#REF!</v>
      </c>
      <c r="M12080" s="33" t="str">
        <f t="shared" si="759"/>
        <v>P&amp;L</v>
      </c>
    </row>
    <row r="12081" spans="1:13">
      <c r="A12081" s="33" t="str">
        <f t="shared" si="756"/>
        <v>ALP - Revenue</v>
      </c>
      <c r="B12081" s="33" t="str">
        <f t="shared" si="757"/>
        <v>ALP</v>
      </c>
      <c r="C12081" s="33" t="str">
        <f t="shared" si="758"/>
        <v>43121-0000</v>
      </c>
      <c r="D12081" t="s">
        <v>13377</v>
      </c>
      <c r="E12081" t="s">
        <v>7768</v>
      </c>
      <c r="F12081" s="69" t="s">
        <v>230</v>
      </c>
      <c r="G12081" t="s">
        <v>3694</v>
      </c>
      <c r="H12081" t="s">
        <v>2871</v>
      </c>
      <c r="I12081" t="s">
        <v>3698</v>
      </c>
      <c r="J12081" s="70">
        <v>191854.03</v>
      </c>
      <c r="K12081" s="71">
        <v>191854.03</v>
      </c>
      <c r="L12081" s="33" t="e">
        <f>HLOOKUP(B12081,#REF!,1,0)</f>
        <v>#REF!</v>
      </c>
      <c r="M12081" s="33" t="str">
        <f t="shared" si="759"/>
        <v>P&amp;L</v>
      </c>
    </row>
    <row r="12082" spans="1:13">
      <c r="A12082" s="33" t="str">
        <f t="shared" si="756"/>
        <v>ALP - Revenue</v>
      </c>
      <c r="B12082" s="33" t="str">
        <f t="shared" si="757"/>
        <v>ALP</v>
      </c>
      <c r="C12082" s="33" t="str">
        <f t="shared" si="758"/>
        <v>43410-0000</v>
      </c>
      <c r="D12082" t="s">
        <v>13378</v>
      </c>
      <c r="E12082" t="s">
        <v>13276</v>
      </c>
      <c r="F12082" s="69" t="s">
        <v>230</v>
      </c>
      <c r="G12082" t="s">
        <v>3717</v>
      </c>
      <c r="H12082" t="s">
        <v>2871</v>
      </c>
      <c r="I12082" t="s">
        <v>3727</v>
      </c>
      <c r="J12082" s="70">
        <v>-24111</v>
      </c>
      <c r="K12082" s="71">
        <v>-24111</v>
      </c>
      <c r="L12082" s="33" t="e">
        <f>HLOOKUP(B12082,#REF!,1,0)</f>
        <v>#REF!</v>
      </c>
      <c r="M12082" s="33" t="str">
        <f t="shared" si="759"/>
        <v>P&amp;L</v>
      </c>
    </row>
    <row r="12083" spans="1:13">
      <c r="A12083" s="33" t="str">
        <f t="shared" si="756"/>
        <v>ALP - Revenue</v>
      </c>
      <c r="B12083" s="33" t="str">
        <f t="shared" si="757"/>
        <v>ALP</v>
      </c>
      <c r="C12083" s="33" t="str">
        <f t="shared" si="758"/>
        <v>43430-0000</v>
      </c>
      <c r="D12083" t="s">
        <v>13379</v>
      </c>
      <c r="E12083" t="s">
        <v>4053</v>
      </c>
      <c r="F12083" s="69" t="s">
        <v>230</v>
      </c>
      <c r="G12083" t="s">
        <v>3717</v>
      </c>
      <c r="H12083" t="s">
        <v>2871</v>
      </c>
      <c r="I12083" t="s">
        <v>4054</v>
      </c>
      <c r="J12083" s="70">
        <v>-4663.69</v>
      </c>
      <c r="K12083" s="71">
        <v>-4663.69</v>
      </c>
      <c r="L12083" s="33" t="e">
        <f>HLOOKUP(B12083,#REF!,1,0)</f>
        <v>#REF!</v>
      </c>
      <c r="M12083" s="33" t="str">
        <f t="shared" si="759"/>
        <v>P&amp;L</v>
      </c>
    </row>
    <row r="12084" spans="1:13">
      <c r="A12084" s="33" t="str">
        <f t="shared" si="756"/>
        <v>ALP - Revenue</v>
      </c>
      <c r="B12084" s="33" t="str">
        <f t="shared" si="757"/>
        <v>ALP</v>
      </c>
      <c r="C12084" s="33" t="str">
        <f t="shared" si="758"/>
        <v>43440-0000</v>
      </c>
      <c r="D12084" t="s">
        <v>13380</v>
      </c>
      <c r="E12084" t="s">
        <v>13278</v>
      </c>
      <c r="F12084" s="69" t="s">
        <v>230</v>
      </c>
      <c r="G12084" t="s">
        <v>3717</v>
      </c>
      <c r="H12084" t="s">
        <v>2871</v>
      </c>
      <c r="I12084" t="s">
        <v>3721</v>
      </c>
      <c r="J12084" s="70">
        <v>-28037.97</v>
      </c>
      <c r="K12084" s="71">
        <v>-29982.97</v>
      </c>
      <c r="L12084" s="33" t="e">
        <f>HLOOKUP(B12084,#REF!,1,0)</f>
        <v>#REF!</v>
      </c>
      <c r="M12084" s="33" t="str">
        <f t="shared" si="759"/>
        <v>P&amp;L</v>
      </c>
    </row>
    <row r="12085" spans="1:13">
      <c r="A12085" s="33" t="str">
        <f t="shared" si="756"/>
        <v>ALP - Revenue</v>
      </c>
      <c r="B12085" s="33" t="str">
        <f t="shared" si="757"/>
        <v>ALP</v>
      </c>
      <c r="C12085" s="33" t="str">
        <f t="shared" si="758"/>
        <v>43450-0000</v>
      </c>
      <c r="D12085" t="s">
        <v>13381</v>
      </c>
      <c r="E12085" t="s">
        <v>3723</v>
      </c>
      <c r="F12085" s="69" t="s">
        <v>230</v>
      </c>
      <c r="G12085" t="s">
        <v>3717</v>
      </c>
      <c r="H12085" t="s">
        <v>2871</v>
      </c>
      <c r="I12085" t="s">
        <v>3724</v>
      </c>
      <c r="J12085" s="70">
        <v>-15238.99</v>
      </c>
      <c r="K12085" s="71">
        <v>-17138.99</v>
      </c>
      <c r="L12085" s="33" t="e">
        <f>HLOOKUP(B12085,#REF!,1,0)</f>
        <v>#REF!</v>
      </c>
      <c r="M12085" s="33" t="str">
        <f t="shared" si="759"/>
        <v>P&amp;L</v>
      </c>
    </row>
    <row r="12086" spans="1:13">
      <c r="A12086" s="33" t="str">
        <f t="shared" si="756"/>
        <v>ALP - AP-Accr Exp</v>
      </c>
      <c r="B12086" s="33" t="str">
        <f t="shared" si="757"/>
        <v>ALP</v>
      </c>
      <c r="C12086" s="33" t="str">
        <f t="shared" si="758"/>
        <v>43480-0000</v>
      </c>
      <c r="D12086" t="s">
        <v>13382</v>
      </c>
      <c r="E12086" t="s">
        <v>13280</v>
      </c>
      <c r="F12086" s="69" t="s">
        <v>230</v>
      </c>
      <c r="G12086" t="s">
        <v>97</v>
      </c>
      <c r="H12086" t="s">
        <v>98</v>
      </c>
      <c r="I12086" t="s">
        <v>102</v>
      </c>
      <c r="J12086" s="70">
        <v>-2295</v>
      </c>
      <c r="K12086" s="71">
        <v>-2400</v>
      </c>
      <c r="L12086" s="33" t="e">
        <f>HLOOKUP(B12086,#REF!,1,0)</f>
        <v>#REF!</v>
      </c>
      <c r="M12086" s="33" t="str">
        <f t="shared" si="759"/>
        <v>P&amp;L</v>
      </c>
    </row>
    <row r="12087" spans="1:13">
      <c r="A12087" s="33" t="str">
        <f t="shared" si="756"/>
        <v>ALP - Revenue</v>
      </c>
      <c r="B12087" s="33" t="str">
        <f t="shared" si="757"/>
        <v>ALP</v>
      </c>
      <c r="C12087" s="33" t="str">
        <f t="shared" si="758"/>
        <v>43491-0000</v>
      </c>
      <c r="D12087" t="s">
        <v>13383</v>
      </c>
      <c r="E12087" t="s">
        <v>3733</v>
      </c>
      <c r="F12087" s="69" t="s">
        <v>230</v>
      </c>
      <c r="G12087" t="s">
        <v>3717</v>
      </c>
      <c r="H12087" t="s">
        <v>2871</v>
      </c>
      <c r="I12087" t="s">
        <v>3734</v>
      </c>
      <c r="J12087" s="70">
        <v>-50228.85</v>
      </c>
      <c r="K12087" s="71">
        <v>-57516.91</v>
      </c>
      <c r="L12087" s="33" t="e">
        <f>HLOOKUP(B12087,#REF!,1,0)</f>
        <v>#REF!</v>
      </c>
      <c r="M12087" s="33" t="str">
        <f t="shared" si="759"/>
        <v>P&amp;L</v>
      </c>
    </row>
    <row r="12088" spans="1:13">
      <c r="A12088" s="33" t="str">
        <f t="shared" si="756"/>
        <v>ALP - Revenue</v>
      </c>
      <c r="B12088" s="33" t="str">
        <f t="shared" si="757"/>
        <v>ALP</v>
      </c>
      <c r="C12088" s="33" t="str">
        <f t="shared" si="758"/>
        <v>43492-0000</v>
      </c>
      <c r="D12088" t="s">
        <v>13384</v>
      </c>
      <c r="E12088" t="s">
        <v>13285</v>
      </c>
      <c r="F12088" s="69" t="s">
        <v>230</v>
      </c>
      <c r="G12088" t="s">
        <v>3717</v>
      </c>
      <c r="H12088" t="s">
        <v>2871</v>
      </c>
      <c r="I12088" t="s">
        <v>3737</v>
      </c>
      <c r="J12088" s="70">
        <v>-1795.17</v>
      </c>
      <c r="K12088" s="71">
        <v>-2275.17</v>
      </c>
      <c r="L12088" s="33" t="e">
        <f>HLOOKUP(B12088,#REF!,1,0)</f>
        <v>#REF!</v>
      </c>
      <c r="M12088" s="33" t="str">
        <f t="shared" si="759"/>
        <v>P&amp;L</v>
      </c>
    </row>
    <row r="12089" spans="1:13">
      <c r="A12089" s="33" t="str">
        <f t="shared" si="756"/>
        <v>ALP - Revenue</v>
      </c>
      <c r="B12089" s="33" t="str">
        <f t="shared" si="757"/>
        <v>ALP</v>
      </c>
      <c r="C12089" s="33" t="str">
        <f t="shared" si="758"/>
        <v>49500-9999</v>
      </c>
      <c r="D12089" t="s">
        <v>13385</v>
      </c>
      <c r="E12089" t="s">
        <v>7244</v>
      </c>
      <c r="F12089" s="69" t="s">
        <v>230</v>
      </c>
      <c r="G12089" t="s">
        <v>3713</v>
      </c>
      <c r="H12089" t="s">
        <v>2871</v>
      </c>
      <c r="I12089" t="s">
        <v>3714</v>
      </c>
      <c r="J12089" s="70">
        <v>1524459.47</v>
      </c>
      <c r="K12089" s="71">
        <v>1524459.47</v>
      </c>
      <c r="L12089" s="33" t="e">
        <f>HLOOKUP(B12089,#REF!,1,0)</f>
        <v>#REF!</v>
      </c>
      <c r="M12089" s="33" t="str">
        <f t="shared" si="759"/>
        <v>P&amp;L</v>
      </c>
    </row>
    <row r="12090" spans="1:13">
      <c r="A12090" s="33" t="str">
        <f t="shared" si="756"/>
        <v>ALP - CGS</v>
      </c>
      <c r="B12090" s="33" t="str">
        <f t="shared" si="757"/>
        <v>ALP</v>
      </c>
      <c r="C12090" s="33" t="str">
        <f t="shared" si="758"/>
        <v>51002-0000</v>
      </c>
      <c r="D12090" t="s">
        <v>4085</v>
      </c>
      <c r="E12090" t="s">
        <v>13386</v>
      </c>
      <c r="F12090" s="69" t="s">
        <v>230</v>
      </c>
      <c r="G12090" t="s">
        <v>5940</v>
      </c>
      <c r="H12090" t="s">
        <v>1875</v>
      </c>
      <c r="I12090" t="s">
        <v>4087</v>
      </c>
      <c r="J12090" s="70">
        <v>2050</v>
      </c>
      <c r="K12090" s="71">
        <v>2050</v>
      </c>
      <c r="L12090" s="33" t="e">
        <f>HLOOKUP(B12090,#REF!,1,0)</f>
        <v>#REF!</v>
      </c>
      <c r="M12090" s="33" t="str">
        <f t="shared" si="759"/>
        <v>P&amp;L</v>
      </c>
    </row>
    <row r="12091" spans="1:13">
      <c r="A12091" s="33" t="str">
        <f t="shared" si="756"/>
        <v>ALP - CGS</v>
      </c>
      <c r="B12091" s="33" t="str">
        <f t="shared" si="757"/>
        <v>ALP</v>
      </c>
      <c r="C12091" s="33" t="str">
        <f t="shared" si="758"/>
        <v>51005-0000</v>
      </c>
      <c r="D12091" t="s">
        <v>4088</v>
      </c>
      <c r="E12091" t="s">
        <v>13287</v>
      </c>
      <c r="F12091" s="69" t="s">
        <v>230</v>
      </c>
      <c r="G12091" t="s">
        <v>3740</v>
      </c>
      <c r="H12091" t="s">
        <v>1875</v>
      </c>
      <c r="I12091" t="s">
        <v>3969</v>
      </c>
      <c r="J12091" s="70">
        <v>153.1</v>
      </c>
      <c r="K12091" s="71">
        <v>153.1</v>
      </c>
      <c r="L12091" s="33" t="e">
        <f>HLOOKUP(B12091,#REF!,1,0)</f>
        <v>#REF!</v>
      </c>
      <c r="M12091" s="33" t="str">
        <f t="shared" si="759"/>
        <v>P&amp;L</v>
      </c>
    </row>
    <row r="12092" spans="1:13">
      <c r="A12092" s="33" t="str">
        <f t="shared" si="756"/>
        <v>ALP - CGS</v>
      </c>
      <c r="B12092" s="33" t="str">
        <f t="shared" si="757"/>
        <v>ALP</v>
      </c>
      <c r="C12092" s="33" t="str">
        <f t="shared" si="758"/>
        <v>51006-0000</v>
      </c>
      <c r="D12092" t="s">
        <v>4089</v>
      </c>
      <c r="E12092" t="s">
        <v>13288</v>
      </c>
      <c r="F12092" s="69" t="s">
        <v>230</v>
      </c>
      <c r="G12092" t="s">
        <v>3740</v>
      </c>
      <c r="H12092" t="s">
        <v>1875</v>
      </c>
      <c r="I12092" t="s">
        <v>3741</v>
      </c>
      <c r="J12092" s="70">
        <v>3956.84</v>
      </c>
      <c r="K12092" s="71">
        <v>3956.84</v>
      </c>
      <c r="L12092" s="33" t="e">
        <f>HLOOKUP(B12092,#REF!,1,0)</f>
        <v>#REF!</v>
      </c>
      <c r="M12092" s="33" t="str">
        <f t="shared" si="759"/>
        <v>P&amp;L</v>
      </c>
    </row>
    <row r="12093" spans="1:13">
      <c r="A12093" s="33" t="str">
        <f t="shared" si="756"/>
        <v>ALP - CGS</v>
      </c>
      <c r="B12093" s="33" t="str">
        <f t="shared" si="757"/>
        <v>ALP</v>
      </c>
      <c r="C12093" s="33" t="str">
        <f t="shared" si="758"/>
        <v>51007-0000</v>
      </c>
      <c r="D12093" t="s">
        <v>4090</v>
      </c>
      <c r="E12093" t="s">
        <v>13289</v>
      </c>
      <c r="F12093" s="69" t="s">
        <v>230</v>
      </c>
      <c r="G12093" t="s">
        <v>3740</v>
      </c>
      <c r="H12093" t="s">
        <v>1875</v>
      </c>
      <c r="I12093" t="s">
        <v>3973</v>
      </c>
      <c r="J12093" s="70">
        <v>778.32</v>
      </c>
      <c r="K12093" s="71">
        <v>778.32</v>
      </c>
      <c r="L12093" s="33" t="e">
        <f>HLOOKUP(B12093,#REF!,1,0)</f>
        <v>#REF!</v>
      </c>
      <c r="M12093" s="33" t="str">
        <f t="shared" si="759"/>
        <v>P&amp;L</v>
      </c>
    </row>
    <row r="12094" spans="1:13">
      <c r="A12094" s="33" t="str">
        <f t="shared" si="756"/>
        <v>ALP - CGS</v>
      </c>
      <c r="B12094" s="33" t="str">
        <f t="shared" si="757"/>
        <v>ALP</v>
      </c>
      <c r="C12094" s="33" t="str">
        <f t="shared" si="758"/>
        <v>51008-0000</v>
      </c>
      <c r="D12094" t="s">
        <v>4091</v>
      </c>
      <c r="E12094" t="s">
        <v>13290</v>
      </c>
      <c r="F12094" s="69" t="s">
        <v>230</v>
      </c>
      <c r="G12094" t="s">
        <v>3740</v>
      </c>
      <c r="H12094" t="s">
        <v>1875</v>
      </c>
      <c r="I12094" t="s">
        <v>3744</v>
      </c>
      <c r="J12094" s="70">
        <v>10409.12</v>
      </c>
      <c r="K12094" s="71">
        <v>10409.12</v>
      </c>
      <c r="L12094" s="33" t="e">
        <f>HLOOKUP(B12094,#REF!,1,0)</f>
        <v>#REF!</v>
      </c>
      <c r="M12094" s="33" t="str">
        <f t="shared" si="759"/>
        <v>P&amp;L</v>
      </c>
    </row>
    <row r="12095" spans="1:13">
      <c r="A12095" s="33" t="str">
        <f t="shared" si="756"/>
        <v>ALP - CGS</v>
      </c>
      <c r="B12095" s="33" t="str">
        <f t="shared" si="757"/>
        <v>ALP</v>
      </c>
      <c r="C12095" s="33" t="str">
        <f t="shared" si="758"/>
        <v>51009-0000</v>
      </c>
      <c r="D12095" t="s">
        <v>4092</v>
      </c>
      <c r="E12095" t="s">
        <v>13291</v>
      </c>
      <c r="F12095" s="69" t="s">
        <v>230</v>
      </c>
      <c r="G12095" t="s">
        <v>3740</v>
      </c>
      <c r="H12095" t="s">
        <v>1875</v>
      </c>
      <c r="I12095" t="s">
        <v>3747</v>
      </c>
      <c r="J12095" s="70">
        <v>3920.34</v>
      </c>
      <c r="K12095" s="71">
        <v>3920.34</v>
      </c>
      <c r="L12095" s="33" t="e">
        <f>HLOOKUP(B12095,#REF!,1,0)</f>
        <v>#REF!</v>
      </c>
      <c r="M12095" s="33" t="str">
        <f t="shared" si="759"/>
        <v>P&amp;L</v>
      </c>
    </row>
    <row r="12096" spans="1:13">
      <c r="A12096" s="33" t="str">
        <f t="shared" si="756"/>
        <v>ALP - CGS</v>
      </c>
      <c r="B12096" s="33" t="str">
        <f t="shared" si="757"/>
        <v>ALP</v>
      </c>
      <c r="C12096" s="33" t="str">
        <f t="shared" si="758"/>
        <v>51011-0000</v>
      </c>
      <c r="D12096" t="s">
        <v>4093</v>
      </c>
      <c r="E12096" t="s">
        <v>13292</v>
      </c>
      <c r="F12096" s="69" t="s">
        <v>230</v>
      </c>
      <c r="G12096" t="s">
        <v>3740</v>
      </c>
      <c r="H12096" t="s">
        <v>1875</v>
      </c>
      <c r="I12096" t="s">
        <v>3750</v>
      </c>
      <c r="J12096" s="70">
        <v>25120.96</v>
      </c>
      <c r="K12096" s="71">
        <v>26370.96</v>
      </c>
      <c r="L12096" s="33" t="e">
        <f>HLOOKUP(B12096,#REF!,1,0)</f>
        <v>#REF!</v>
      </c>
      <c r="M12096" s="33" t="str">
        <f t="shared" si="759"/>
        <v>P&amp;L</v>
      </c>
    </row>
    <row r="12097" spans="1:13">
      <c r="A12097" s="33" t="str">
        <f t="shared" si="756"/>
        <v>ALP - CGS</v>
      </c>
      <c r="B12097" s="33" t="str">
        <f t="shared" si="757"/>
        <v>ALP</v>
      </c>
      <c r="C12097" s="33" t="str">
        <f t="shared" si="758"/>
        <v>51012-0000</v>
      </c>
      <c r="D12097" t="s">
        <v>4094</v>
      </c>
      <c r="E12097" t="s">
        <v>13293</v>
      </c>
      <c r="F12097" s="69" t="s">
        <v>230</v>
      </c>
      <c r="G12097" t="s">
        <v>3740</v>
      </c>
      <c r="H12097" t="s">
        <v>1875</v>
      </c>
      <c r="I12097" t="s">
        <v>3753</v>
      </c>
      <c r="J12097" s="70">
        <v>1270</v>
      </c>
      <c r="K12097" s="71">
        <v>1270</v>
      </c>
      <c r="L12097" s="33" t="e">
        <f>HLOOKUP(B12097,#REF!,1,0)</f>
        <v>#REF!</v>
      </c>
      <c r="M12097" s="33" t="str">
        <f t="shared" si="759"/>
        <v>P&amp;L</v>
      </c>
    </row>
    <row r="12098" spans="1:13">
      <c r="A12098" s="33" t="str">
        <f t="shared" si="756"/>
        <v>ALP - CGS</v>
      </c>
      <c r="B12098" s="33" t="str">
        <f t="shared" si="757"/>
        <v>ALP</v>
      </c>
      <c r="C12098" s="33" t="str">
        <f t="shared" si="758"/>
        <v>51013-0000</v>
      </c>
      <c r="D12098" t="s">
        <v>4095</v>
      </c>
      <c r="E12098" t="s">
        <v>13294</v>
      </c>
      <c r="F12098" s="69" t="s">
        <v>230</v>
      </c>
      <c r="G12098" t="s">
        <v>3740</v>
      </c>
      <c r="H12098" t="s">
        <v>1875</v>
      </c>
      <c r="I12098" t="s">
        <v>3980</v>
      </c>
      <c r="J12098" s="70">
        <v>4140</v>
      </c>
      <c r="K12098" s="71">
        <v>4140</v>
      </c>
      <c r="L12098" s="33" t="e">
        <f>HLOOKUP(B12098,#REF!,1,0)</f>
        <v>#REF!</v>
      </c>
      <c r="M12098" s="33" t="str">
        <f t="shared" si="759"/>
        <v>P&amp;L</v>
      </c>
    </row>
    <row r="12099" spans="1:13">
      <c r="A12099" s="33" t="str">
        <f t="shared" si="756"/>
        <v>ALP - CGS</v>
      </c>
      <c r="B12099" s="33" t="str">
        <f t="shared" si="757"/>
        <v>ALP</v>
      </c>
      <c r="C12099" s="33" t="str">
        <f t="shared" si="758"/>
        <v>51015-0000</v>
      </c>
      <c r="D12099" t="s">
        <v>4096</v>
      </c>
      <c r="E12099" t="s">
        <v>13295</v>
      </c>
      <c r="F12099" s="69" t="s">
        <v>230</v>
      </c>
      <c r="G12099" t="s">
        <v>3740</v>
      </c>
      <c r="H12099" t="s">
        <v>1875</v>
      </c>
      <c r="I12099" t="s">
        <v>3756</v>
      </c>
      <c r="J12099" s="70">
        <v>466.71</v>
      </c>
      <c r="K12099" s="71">
        <v>466.71</v>
      </c>
      <c r="L12099" s="33" t="e">
        <f>HLOOKUP(B12099,#REF!,1,0)</f>
        <v>#REF!</v>
      </c>
      <c r="M12099" s="33" t="str">
        <f t="shared" si="759"/>
        <v>P&amp;L</v>
      </c>
    </row>
    <row r="12100" spans="1:13">
      <c r="A12100" s="33" t="str">
        <f t="shared" si="756"/>
        <v>ALP - CGS</v>
      </c>
      <c r="B12100" s="33" t="str">
        <f t="shared" si="757"/>
        <v>ALP</v>
      </c>
      <c r="C12100" s="33" t="str">
        <f t="shared" si="758"/>
        <v>51020-0000</v>
      </c>
      <c r="D12100" t="s">
        <v>4098</v>
      </c>
      <c r="E12100" t="s">
        <v>13298</v>
      </c>
      <c r="F12100" s="69" t="s">
        <v>230</v>
      </c>
      <c r="G12100" t="s">
        <v>3740</v>
      </c>
      <c r="H12100" t="s">
        <v>1875</v>
      </c>
      <c r="I12100" t="s">
        <v>3345</v>
      </c>
      <c r="J12100" s="70">
        <v>839.85</v>
      </c>
      <c r="K12100" s="71">
        <v>839.85</v>
      </c>
      <c r="L12100" s="33" t="e">
        <f>HLOOKUP(B12100,#REF!,1,0)</f>
        <v>#REF!</v>
      </c>
      <c r="M12100" s="33" t="str">
        <f t="shared" si="759"/>
        <v>P&amp;L</v>
      </c>
    </row>
    <row r="12101" spans="1:13">
      <c r="A12101" s="33" t="str">
        <f t="shared" si="756"/>
        <v>ALP - CGS</v>
      </c>
      <c r="B12101" s="33" t="str">
        <f t="shared" si="757"/>
        <v>ALP</v>
      </c>
      <c r="C12101" s="33" t="str">
        <f t="shared" si="758"/>
        <v>51025-0000</v>
      </c>
      <c r="D12101" t="s">
        <v>4099</v>
      </c>
      <c r="E12101" t="s">
        <v>13299</v>
      </c>
      <c r="F12101" s="69" t="s">
        <v>230</v>
      </c>
      <c r="G12101" t="s">
        <v>3740</v>
      </c>
      <c r="H12101" t="s">
        <v>13300</v>
      </c>
      <c r="I12101" t="s">
        <v>13299</v>
      </c>
      <c r="J12101" s="70">
        <v>10141.91</v>
      </c>
      <c r="K12101" s="71">
        <v>11390.76</v>
      </c>
      <c r="L12101" s="33" t="e">
        <f>HLOOKUP(B12101,#REF!,1,0)</f>
        <v>#REF!</v>
      </c>
      <c r="M12101" s="33" t="str">
        <f t="shared" si="759"/>
        <v>P&amp;L</v>
      </c>
    </row>
    <row r="12102" spans="1:13">
      <c r="A12102" s="33" t="str">
        <f t="shared" si="756"/>
        <v>ALP - CGS</v>
      </c>
      <c r="B12102" s="33" t="str">
        <f t="shared" si="757"/>
        <v>ALP</v>
      </c>
      <c r="C12102" s="33" t="str">
        <f t="shared" si="758"/>
        <v>51029-0000</v>
      </c>
      <c r="D12102" t="s">
        <v>4100</v>
      </c>
      <c r="E12102" t="s">
        <v>13302</v>
      </c>
      <c r="F12102" s="69" t="s">
        <v>230</v>
      </c>
      <c r="G12102" t="s">
        <v>3740</v>
      </c>
      <c r="H12102" t="s">
        <v>13300</v>
      </c>
      <c r="I12102" t="s">
        <v>13302</v>
      </c>
      <c r="J12102" s="70">
        <v>5541.75</v>
      </c>
      <c r="K12102" s="71">
        <v>5541.75</v>
      </c>
      <c r="L12102" s="33" t="e">
        <f>HLOOKUP(B12102,#REF!,1,0)</f>
        <v>#REF!</v>
      </c>
      <c r="M12102" s="33" t="str">
        <f t="shared" si="759"/>
        <v>P&amp;L</v>
      </c>
    </row>
    <row r="12103" spans="1:13">
      <c r="A12103" s="33" t="str">
        <f t="shared" si="756"/>
        <v>ALP - CGS</v>
      </c>
      <c r="B12103" s="33" t="str">
        <f t="shared" si="757"/>
        <v>ALP</v>
      </c>
      <c r="C12103" s="33" t="str">
        <f t="shared" si="758"/>
        <v>52001-0000</v>
      </c>
      <c r="D12103" t="s">
        <v>4101</v>
      </c>
      <c r="E12103" t="s">
        <v>13303</v>
      </c>
      <c r="F12103" s="69" t="s">
        <v>230</v>
      </c>
      <c r="G12103" t="s">
        <v>3769</v>
      </c>
      <c r="H12103" t="s">
        <v>1875</v>
      </c>
      <c r="I12103" t="s">
        <v>3770</v>
      </c>
      <c r="J12103" s="70">
        <v>10102.1</v>
      </c>
      <c r="K12103" s="71">
        <v>10102.1</v>
      </c>
      <c r="L12103" s="33" t="e">
        <f>HLOOKUP(B12103,#REF!,1,0)</f>
        <v>#REF!</v>
      </c>
      <c r="M12103" s="33" t="str">
        <f t="shared" si="759"/>
        <v>P&amp;L</v>
      </c>
    </row>
    <row r="12104" spans="1:13">
      <c r="A12104" s="33" t="str">
        <f t="shared" si="756"/>
        <v>ALP - CGS</v>
      </c>
      <c r="B12104" s="33" t="str">
        <f t="shared" si="757"/>
        <v>ALP</v>
      </c>
      <c r="C12104" s="33" t="str">
        <f t="shared" si="758"/>
        <v>52002-0000</v>
      </c>
      <c r="D12104" t="s">
        <v>4102</v>
      </c>
      <c r="E12104" t="s">
        <v>13304</v>
      </c>
      <c r="F12104" s="69" t="s">
        <v>230</v>
      </c>
      <c r="G12104" t="s">
        <v>3769</v>
      </c>
      <c r="H12104" t="s">
        <v>1875</v>
      </c>
      <c r="I12104" t="s">
        <v>3998</v>
      </c>
      <c r="J12104" s="70">
        <v>-75</v>
      </c>
      <c r="K12104" s="71">
        <v>-75</v>
      </c>
      <c r="L12104" s="33" t="e">
        <f>HLOOKUP(B12104,#REF!,1,0)</f>
        <v>#REF!</v>
      </c>
      <c r="M12104" s="33" t="str">
        <f t="shared" si="759"/>
        <v>P&amp;L</v>
      </c>
    </row>
    <row r="12105" spans="1:13">
      <c r="A12105" s="33" t="str">
        <f t="shared" si="756"/>
        <v>ALP - CGS</v>
      </c>
      <c r="B12105" s="33" t="str">
        <f t="shared" si="757"/>
        <v>ALP</v>
      </c>
      <c r="C12105" s="33" t="str">
        <f t="shared" si="758"/>
        <v>52003-0000</v>
      </c>
      <c r="D12105" t="s">
        <v>4103</v>
      </c>
      <c r="E12105" t="s">
        <v>13305</v>
      </c>
      <c r="F12105" s="69" t="s">
        <v>230</v>
      </c>
      <c r="G12105" t="s">
        <v>3769</v>
      </c>
      <c r="H12105" t="s">
        <v>1875</v>
      </c>
      <c r="I12105" t="s">
        <v>3773</v>
      </c>
      <c r="J12105" s="70">
        <v>-420</v>
      </c>
      <c r="K12105" s="71">
        <v>-420</v>
      </c>
      <c r="L12105" s="33" t="e">
        <f>HLOOKUP(B12105,#REF!,1,0)</f>
        <v>#REF!</v>
      </c>
      <c r="M12105" s="33" t="str">
        <f t="shared" si="759"/>
        <v>P&amp;L</v>
      </c>
    </row>
    <row r="12106" spans="1:13">
      <c r="A12106" s="33" t="str">
        <f t="shared" si="756"/>
        <v>ALP - CGS</v>
      </c>
      <c r="B12106" s="33" t="str">
        <f t="shared" si="757"/>
        <v>ALP</v>
      </c>
      <c r="C12106" s="33" t="str">
        <f t="shared" si="758"/>
        <v>52007-0000</v>
      </c>
      <c r="D12106" t="s">
        <v>13387</v>
      </c>
      <c r="E12106" t="s">
        <v>13388</v>
      </c>
      <c r="F12106" s="69" t="s">
        <v>230</v>
      </c>
      <c r="G12106" t="s">
        <v>3769</v>
      </c>
      <c r="H12106" t="s">
        <v>1875</v>
      </c>
      <c r="I12106" t="s">
        <v>8028</v>
      </c>
      <c r="J12106" s="70">
        <v>-0.1</v>
      </c>
      <c r="K12106" s="71">
        <v>-0.1</v>
      </c>
      <c r="L12106" s="33" t="e">
        <f>HLOOKUP(B12106,#REF!,1,0)</f>
        <v>#REF!</v>
      </c>
      <c r="M12106" s="33" t="str">
        <f t="shared" si="759"/>
        <v>P&amp;L</v>
      </c>
    </row>
    <row r="12107" spans="1:13">
      <c r="A12107" s="33" t="str">
        <f t="shared" si="756"/>
        <v>ALP - CGS</v>
      </c>
      <c r="B12107" s="33" t="str">
        <f t="shared" si="757"/>
        <v>ALP</v>
      </c>
      <c r="C12107" s="33" t="str">
        <f t="shared" si="758"/>
        <v>53001-0000</v>
      </c>
      <c r="D12107" t="s">
        <v>4106</v>
      </c>
      <c r="E12107" t="s">
        <v>13306</v>
      </c>
      <c r="F12107" s="69" t="s">
        <v>230</v>
      </c>
      <c r="G12107" t="s">
        <v>3160</v>
      </c>
      <c r="H12107" t="s">
        <v>1875</v>
      </c>
      <c r="I12107" t="s">
        <v>3782</v>
      </c>
      <c r="J12107" s="70">
        <v>2201.3</v>
      </c>
      <c r="K12107" s="71">
        <v>2201.3</v>
      </c>
      <c r="L12107" s="33" t="e">
        <f>HLOOKUP(B12107,#REF!,1,0)</f>
        <v>#REF!</v>
      </c>
      <c r="M12107" s="33" t="str">
        <f t="shared" si="759"/>
        <v>P&amp;L</v>
      </c>
    </row>
    <row r="12108" spans="1:13">
      <c r="A12108" s="33" t="str">
        <f t="shared" si="756"/>
        <v>ALP - CGS</v>
      </c>
      <c r="B12108" s="33" t="str">
        <f t="shared" si="757"/>
        <v>ALP</v>
      </c>
      <c r="C12108" s="33" t="str">
        <f t="shared" si="758"/>
        <v>53002-0000</v>
      </c>
      <c r="D12108" t="s">
        <v>4107</v>
      </c>
      <c r="E12108" t="s">
        <v>13307</v>
      </c>
      <c r="F12108" s="69" t="s">
        <v>230</v>
      </c>
      <c r="G12108" t="s">
        <v>3160</v>
      </c>
      <c r="H12108" t="s">
        <v>1875</v>
      </c>
      <c r="I12108" t="s">
        <v>3785</v>
      </c>
      <c r="J12108" s="70">
        <v>32421.74</v>
      </c>
      <c r="K12108" s="71">
        <v>32421.74</v>
      </c>
      <c r="L12108" s="33" t="e">
        <f>HLOOKUP(B12108,#REF!,1,0)</f>
        <v>#REF!</v>
      </c>
      <c r="M12108" s="33" t="str">
        <f t="shared" si="759"/>
        <v>P&amp;L</v>
      </c>
    </row>
    <row r="12109" spans="1:13">
      <c r="A12109" s="33" t="str">
        <f t="shared" si="756"/>
        <v>ALP - Operating Expense</v>
      </c>
      <c r="B12109" s="33" t="str">
        <f t="shared" si="757"/>
        <v>ALP</v>
      </c>
      <c r="C12109" s="33" t="str">
        <f t="shared" si="758"/>
        <v>53003-0000</v>
      </c>
      <c r="D12109" t="s">
        <v>4108</v>
      </c>
      <c r="E12109" t="s">
        <v>13308</v>
      </c>
      <c r="F12109" s="69" t="s">
        <v>230</v>
      </c>
      <c r="G12109" t="s">
        <v>4426</v>
      </c>
      <c r="H12109" t="s">
        <v>3022</v>
      </c>
      <c r="I12109" t="s">
        <v>6877</v>
      </c>
      <c r="J12109" s="70">
        <v>12630.46</v>
      </c>
      <c r="K12109" s="71">
        <v>12630.46</v>
      </c>
      <c r="L12109" s="33" t="e">
        <f>HLOOKUP(B12109,#REF!,1,0)</f>
        <v>#REF!</v>
      </c>
      <c r="M12109" s="33" t="str">
        <f t="shared" si="759"/>
        <v>P&amp;L</v>
      </c>
    </row>
    <row r="12110" spans="1:13">
      <c r="A12110" s="33" t="str">
        <f t="shared" si="756"/>
        <v>ALP - Operating Expense</v>
      </c>
      <c r="B12110" s="33" t="str">
        <f t="shared" si="757"/>
        <v>ALP</v>
      </c>
      <c r="C12110" s="33" t="str">
        <f t="shared" si="758"/>
        <v>53004-0000</v>
      </c>
      <c r="D12110" t="s">
        <v>4109</v>
      </c>
      <c r="E12110" t="s">
        <v>13309</v>
      </c>
      <c r="F12110" s="69" t="s">
        <v>230</v>
      </c>
      <c r="G12110" t="s">
        <v>4426</v>
      </c>
      <c r="H12110" t="s">
        <v>3022</v>
      </c>
      <c r="I12110" t="s">
        <v>6877</v>
      </c>
      <c r="J12110" s="70">
        <v>4554.78</v>
      </c>
      <c r="K12110" s="71">
        <v>4554.78</v>
      </c>
      <c r="L12110" s="33" t="e">
        <f>HLOOKUP(B12110,#REF!,1,0)</f>
        <v>#REF!</v>
      </c>
      <c r="M12110" s="33" t="str">
        <f t="shared" si="759"/>
        <v>P&amp;L</v>
      </c>
    </row>
    <row r="12111" spans="1:13">
      <c r="A12111" s="33" t="str">
        <f t="shared" ref="A12111:A12174" si="760">B12111&amp;" - "&amp;TRIM(H12111)</f>
        <v>ALP - CGS</v>
      </c>
      <c r="B12111" s="33" t="str">
        <f t="shared" ref="B12111:B12174" si="761">LEFT(D12111,3)</f>
        <v>ALP</v>
      </c>
      <c r="C12111" s="33" t="str">
        <f t="shared" ref="C12111:C12174" si="762">RIGHT(D12111,10)</f>
        <v>53005-0000</v>
      </c>
      <c r="D12111" t="s">
        <v>4110</v>
      </c>
      <c r="E12111" t="s">
        <v>13389</v>
      </c>
      <c r="F12111" s="69" t="s">
        <v>230</v>
      </c>
      <c r="G12111" t="s">
        <v>3160</v>
      </c>
      <c r="H12111" t="s">
        <v>1875</v>
      </c>
      <c r="I12111" t="s">
        <v>3794</v>
      </c>
      <c r="J12111" s="70">
        <v>26187.01</v>
      </c>
      <c r="K12111" s="71">
        <v>26187.01</v>
      </c>
      <c r="L12111" s="33" t="e">
        <f>HLOOKUP(B12111,#REF!,1,0)</f>
        <v>#REF!</v>
      </c>
      <c r="M12111" s="33" t="str">
        <f t="shared" ref="M12111:M12174" si="763">IF(VALUE(LEFT(C12111,5))&gt;40000,"P&amp;L","BS")</f>
        <v>P&amp;L</v>
      </c>
    </row>
    <row r="12112" spans="1:13">
      <c r="A12112" s="33" t="str">
        <f t="shared" si="760"/>
        <v>ALP - CGS</v>
      </c>
      <c r="B12112" s="33" t="str">
        <f t="shared" si="761"/>
        <v>ALP</v>
      </c>
      <c r="C12112" s="33" t="str">
        <f t="shared" si="762"/>
        <v>53006-0000</v>
      </c>
      <c r="D12112" t="s">
        <v>4111</v>
      </c>
      <c r="E12112" t="s">
        <v>13310</v>
      </c>
      <c r="F12112" s="69" t="s">
        <v>230</v>
      </c>
      <c r="G12112" t="s">
        <v>3160</v>
      </c>
      <c r="H12112" t="s">
        <v>1875</v>
      </c>
      <c r="I12112" t="s">
        <v>3797</v>
      </c>
      <c r="J12112" s="70">
        <v>33480.13</v>
      </c>
      <c r="K12112" s="71">
        <v>33480.13</v>
      </c>
      <c r="L12112" s="33" t="e">
        <f>HLOOKUP(B12112,#REF!,1,0)</f>
        <v>#REF!</v>
      </c>
      <c r="M12112" s="33" t="str">
        <f t="shared" si="763"/>
        <v>P&amp;L</v>
      </c>
    </row>
    <row r="12113" spans="1:13">
      <c r="A12113" s="33" t="str">
        <f t="shared" si="760"/>
        <v>ALP - CGS</v>
      </c>
      <c r="B12113" s="33" t="str">
        <f t="shared" si="761"/>
        <v>ALP</v>
      </c>
      <c r="C12113" s="33" t="str">
        <f t="shared" si="762"/>
        <v>53011-0000</v>
      </c>
      <c r="D12113" t="s">
        <v>13390</v>
      </c>
      <c r="E12113" t="s">
        <v>13312</v>
      </c>
      <c r="F12113" s="69" t="s">
        <v>230</v>
      </c>
      <c r="G12113" t="s">
        <v>3160</v>
      </c>
      <c r="H12113" t="s">
        <v>13300</v>
      </c>
      <c r="I12113" t="s">
        <v>13313</v>
      </c>
      <c r="J12113" s="70">
        <v>30573.21</v>
      </c>
      <c r="K12113" s="71">
        <v>30573.21</v>
      </c>
      <c r="L12113" s="33" t="e">
        <f>HLOOKUP(B12113,#REF!,1,0)</f>
        <v>#REF!</v>
      </c>
      <c r="M12113" s="33" t="str">
        <f t="shared" si="763"/>
        <v>P&amp;L</v>
      </c>
    </row>
    <row r="12114" spans="1:13">
      <c r="A12114" s="33" t="str">
        <f t="shared" si="760"/>
        <v>ALP - CGS</v>
      </c>
      <c r="B12114" s="33" t="str">
        <f t="shared" si="761"/>
        <v>ALP</v>
      </c>
      <c r="C12114" s="33" t="str">
        <f t="shared" si="762"/>
        <v>54001-0000</v>
      </c>
      <c r="D12114" t="s">
        <v>4112</v>
      </c>
      <c r="E12114" t="s">
        <v>4008</v>
      </c>
      <c r="F12114" s="69" t="s">
        <v>230</v>
      </c>
      <c r="G12114" t="s">
        <v>3800</v>
      </c>
      <c r="H12114" t="s">
        <v>1875</v>
      </c>
      <c r="I12114" t="s">
        <v>4009</v>
      </c>
      <c r="J12114" s="70">
        <v>126.56</v>
      </c>
      <c r="K12114" s="71">
        <v>-6.74</v>
      </c>
      <c r="L12114" s="33" t="e">
        <f>HLOOKUP(B12114,#REF!,1,0)</f>
        <v>#REF!</v>
      </c>
      <c r="M12114" s="33" t="str">
        <f t="shared" si="763"/>
        <v>P&amp;L</v>
      </c>
    </row>
    <row r="12115" spans="1:13">
      <c r="A12115" s="33" t="str">
        <f t="shared" si="760"/>
        <v>ALP - CGS</v>
      </c>
      <c r="B12115" s="33" t="str">
        <f t="shared" si="761"/>
        <v>ALP</v>
      </c>
      <c r="C12115" s="33" t="str">
        <f t="shared" si="762"/>
        <v>54002-0000</v>
      </c>
      <c r="D12115" t="s">
        <v>4113</v>
      </c>
      <c r="E12115" t="s">
        <v>3799</v>
      </c>
      <c r="F12115" s="69" t="s">
        <v>230</v>
      </c>
      <c r="G12115" t="s">
        <v>3800</v>
      </c>
      <c r="H12115" t="s">
        <v>1875</v>
      </c>
      <c r="I12115" t="s">
        <v>3801</v>
      </c>
      <c r="J12115" s="70">
        <v>8703.99</v>
      </c>
      <c r="K12115" s="71">
        <v>9103.99</v>
      </c>
      <c r="L12115" s="33" t="e">
        <f>HLOOKUP(B12115,#REF!,1,0)</f>
        <v>#REF!</v>
      </c>
      <c r="M12115" s="33" t="str">
        <f t="shared" si="763"/>
        <v>P&amp;L</v>
      </c>
    </row>
    <row r="12116" spans="1:13">
      <c r="A12116" s="33" t="str">
        <f t="shared" si="760"/>
        <v>ALP - CGS</v>
      </c>
      <c r="B12116" s="33" t="str">
        <f t="shared" si="761"/>
        <v>ALP</v>
      </c>
      <c r="C12116" s="33" t="str">
        <f t="shared" si="762"/>
        <v>54004-0000</v>
      </c>
      <c r="D12116" t="s">
        <v>4115</v>
      </c>
      <c r="E12116" t="s">
        <v>13314</v>
      </c>
      <c r="F12116" s="69" t="s">
        <v>230</v>
      </c>
      <c r="G12116" t="s">
        <v>3800</v>
      </c>
      <c r="H12116" t="s">
        <v>1875</v>
      </c>
      <c r="I12116" t="s">
        <v>3807</v>
      </c>
      <c r="J12116" s="70">
        <v>51899.23</v>
      </c>
      <c r="K12116" s="71">
        <v>56397.67</v>
      </c>
      <c r="L12116" s="33" t="e">
        <f>HLOOKUP(B12116,#REF!,1,0)</f>
        <v>#REF!</v>
      </c>
      <c r="M12116" s="33" t="str">
        <f t="shared" si="763"/>
        <v>P&amp;L</v>
      </c>
    </row>
    <row r="12117" spans="1:13">
      <c r="A12117" s="33" t="str">
        <f t="shared" si="760"/>
        <v>ALP - CGS</v>
      </c>
      <c r="B12117" s="33" t="str">
        <f t="shared" si="761"/>
        <v>ALP</v>
      </c>
      <c r="C12117" s="33" t="str">
        <f t="shared" si="762"/>
        <v>54005-0000</v>
      </c>
      <c r="D12117" t="s">
        <v>4116</v>
      </c>
      <c r="E12117" t="s">
        <v>3809</v>
      </c>
      <c r="F12117" s="69" t="s">
        <v>230</v>
      </c>
      <c r="G12117" t="s">
        <v>3800</v>
      </c>
      <c r="H12117" t="s">
        <v>1875</v>
      </c>
      <c r="I12117" t="s">
        <v>3810</v>
      </c>
      <c r="J12117" s="70">
        <v>692.72</v>
      </c>
      <c r="K12117" s="71">
        <v>762.04</v>
      </c>
      <c r="L12117" s="33" t="e">
        <f>HLOOKUP(B12117,#REF!,1,0)</f>
        <v>#REF!</v>
      </c>
      <c r="M12117" s="33" t="str">
        <f t="shared" si="763"/>
        <v>P&amp;L</v>
      </c>
    </row>
    <row r="12118" spans="1:13">
      <c r="A12118" s="33" t="str">
        <f t="shared" si="760"/>
        <v>ALP - CGS</v>
      </c>
      <c r="B12118" s="33" t="str">
        <f t="shared" si="761"/>
        <v>ALP</v>
      </c>
      <c r="C12118" s="33" t="str">
        <f t="shared" si="762"/>
        <v>54006-0000</v>
      </c>
      <c r="D12118" t="s">
        <v>4117</v>
      </c>
      <c r="E12118" t="s">
        <v>3812</v>
      </c>
      <c r="F12118" s="69" t="s">
        <v>230</v>
      </c>
      <c r="G12118" t="s">
        <v>3800</v>
      </c>
      <c r="H12118" t="s">
        <v>1875</v>
      </c>
      <c r="I12118" t="s">
        <v>3003</v>
      </c>
      <c r="J12118" s="70">
        <v>9968.11</v>
      </c>
      <c r="K12118" s="71">
        <v>10842.33</v>
      </c>
      <c r="L12118" s="33" t="e">
        <f>HLOOKUP(B12118,#REF!,1,0)</f>
        <v>#REF!</v>
      </c>
      <c r="M12118" s="33" t="str">
        <f t="shared" si="763"/>
        <v>P&amp;L</v>
      </c>
    </row>
    <row r="12119" spans="1:13">
      <c r="A12119" s="33" t="str">
        <f t="shared" si="760"/>
        <v>ALP - CGS</v>
      </c>
      <c r="B12119" s="33" t="str">
        <f t="shared" si="761"/>
        <v>ALP</v>
      </c>
      <c r="C12119" s="33" t="str">
        <f t="shared" si="762"/>
        <v>54007-0000</v>
      </c>
      <c r="D12119" t="s">
        <v>4118</v>
      </c>
      <c r="E12119" t="s">
        <v>13315</v>
      </c>
      <c r="F12119" s="69" t="s">
        <v>230</v>
      </c>
      <c r="G12119" t="s">
        <v>3800</v>
      </c>
      <c r="H12119" t="s">
        <v>1875</v>
      </c>
      <c r="I12119" t="s">
        <v>3815</v>
      </c>
      <c r="J12119" s="70">
        <v>56867.27</v>
      </c>
      <c r="K12119" s="71">
        <v>63507.27</v>
      </c>
      <c r="L12119" s="33" t="e">
        <f>HLOOKUP(B12119,#REF!,1,0)</f>
        <v>#REF!</v>
      </c>
      <c r="M12119" s="33" t="str">
        <f t="shared" si="763"/>
        <v>P&amp;L</v>
      </c>
    </row>
    <row r="12120" spans="1:13">
      <c r="A12120" s="33" t="str">
        <f t="shared" si="760"/>
        <v>ALP - CGS</v>
      </c>
      <c r="B12120" s="33" t="str">
        <f t="shared" si="761"/>
        <v>ALP</v>
      </c>
      <c r="C12120" s="33" t="str">
        <f t="shared" si="762"/>
        <v>61002-0000</v>
      </c>
      <c r="D12120" t="s">
        <v>13391</v>
      </c>
      <c r="E12120" t="s">
        <v>3837</v>
      </c>
      <c r="F12120" s="69" t="s">
        <v>230</v>
      </c>
      <c r="G12120" t="s">
        <v>3838</v>
      </c>
      <c r="H12120" t="s">
        <v>1875</v>
      </c>
      <c r="I12120" t="s">
        <v>3839</v>
      </c>
      <c r="J12120" s="70">
        <v>2488.8</v>
      </c>
      <c r="K12120" s="71">
        <v>2687.4</v>
      </c>
      <c r="L12120" s="33" t="e">
        <f>HLOOKUP(B12120,#REF!,1,0)</f>
        <v>#REF!</v>
      </c>
      <c r="M12120" s="33" t="str">
        <f t="shared" si="763"/>
        <v>P&amp;L</v>
      </c>
    </row>
    <row r="12121" spans="1:13">
      <c r="A12121" s="33" t="str">
        <f t="shared" si="760"/>
        <v>ALP - CGS</v>
      </c>
      <c r="B12121" s="33" t="str">
        <f t="shared" si="761"/>
        <v>ALP</v>
      </c>
      <c r="C12121" s="33" t="str">
        <f t="shared" si="762"/>
        <v>61005-0000</v>
      </c>
      <c r="D12121" t="s">
        <v>13392</v>
      </c>
      <c r="E12121" t="s">
        <v>3841</v>
      </c>
      <c r="F12121" s="69" t="s">
        <v>230</v>
      </c>
      <c r="G12121" t="s">
        <v>3838</v>
      </c>
      <c r="H12121" t="s">
        <v>1875</v>
      </c>
      <c r="I12121" t="s">
        <v>3842</v>
      </c>
      <c r="J12121" s="70">
        <v>10387.04</v>
      </c>
      <c r="K12121" s="71">
        <v>10387.04</v>
      </c>
      <c r="L12121" s="33" t="e">
        <f>HLOOKUP(B12121,#REF!,1,0)</f>
        <v>#REF!</v>
      </c>
      <c r="M12121" s="33" t="str">
        <f t="shared" si="763"/>
        <v>P&amp;L</v>
      </c>
    </row>
    <row r="12122" spans="1:13">
      <c r="A12122" s="33" t="str">
        <f t="shared" si="760"/>
        <v>ALP - CGS</v>
      </c>
      <c r="B12122" s="33" t="str">
        <f t="shared" si="761"/>
        <v>ALP</v>
      </c>
      <c r="C12122" s="33" t="str">
        <f t="shared" si="762"/>
        <v>61007-0000</v>
      </c>
      <c r="D12122" t="s">
        <v>13393</v>
      </c>
      <c r="E12122" t="s">
        <v>13319</v>
      </c>
      <c r="F12122" s="69" t="s">
        <v>230</v>
      </c>
      <c r="G12122" t="s">
        <v>3838</v>
      </c>
      <c r="H12122" t="s">
        <v>1875</v>
      </c>
      <c r="I12122" t="s">
        <v>3847</v>
      </c>
      <c r="J12122" s="70">
        <v>100801</v>
      </c>
      <c r="K12122" s="71">
        <v>150801</v>
      </c>
      <c r="L12122" s="33" t="e">
        <f>HLOOKUP(B12122,#REF!,1,0)</f>
        <v>#REF!</v>
      </c>
      <c r="M12122" s="33" t="str">
        <f t="shared" si="763"/>
        <v>P&amp;L</v>
      </c>
    </row>
    <row r="12123" spans="1:13">
      <c r="A12123" s="33" t="str">
        <f t="shared" si="760"/>
        <v>ALP - CGS</v>
      </c>
      <c r="B12123" s="33" t="str">
        <f t="shared" si="761"/>
        <v>ALP</v>
      </c>
      <c r="C12123" s="33" t="str">
        <f t="shared" si="762"/>
        <v>61008-0000</v>
      </c>
      <c r="D12123" t="s">
        <v>13394</v>
      </c>
      <c r="E12123" t="s">
        <v>13395</v>
      </c>
      <c r="F12123" s="69" t="s">
        <v>230</v>
      </c>
      <c r="G12123" t="s">
        <v>3838</v>
      </c>
      <c r="H12123" t="s">
        <v>13300</v>
      </c>
      <c r="I12123" t="s">
        <v>13396</v>
      </c>
      <c r="J12123" s="70">
        <v>283120.72</v>
      </c>
      <c r="K12123" s="71">
        <v>283120.72</v>
      </c>
      <c r="L12123" s="33" t="e">
        <f>HLOOKUP(B12123,#REF!,1,0)</f>
        <v>#REF!</v>
      </c>
      <c r="M12123" s="33" t="str">
        <f t="shared" si="763"/>
        <v>P&amp;L</v>
      </c>
    </row>
    <row r="12124" spans="1:13">
      <c r="A12124" s="33" t="str">
        <f t="shared" si="760"/>
        <v>ALP - CGS</v>
      </c>
      <c r="B12124" s="33" t="str">
        <f t="shared" si="761"/>
        <v>ALP</v>
      </c>
      <c r="C12124" s="33" t="str">
        <f t="shared" si="762"/>
        <v>61012-0000</v>
      </c>
      <c r="D12124" t="s">
        <v>13397</v>
      </c>
      <c r="E12124" t="s">
        <v>13321</v>
      </c>
      <c r="F12124" s="69" t="s">
        <v>230</v>
      </c>
      <c r="G12124" t="s">
        <v>3838</v>
      </c>
      <c r="H12124" t="s">
        <v>1875</v>
      </c>
      <c r="I12124" t="s">
        <v>3853</v>
      </c>
      <c r="J12124" s="70">
        <v>66104.52</v>
      </c>
      <c r="K12124" s="71">
        <v>66104.52</v>
      </c>
      <c r="L12124" s="33" t="e">
        <f>HLOOKUP(B12124,#REF!,1,0)</f>
        <v>#REF!</v>
      </c>
      <c r="M12124" s="33" t="str">
        <f t="shared" si="763"/>
        <v>P&amp;L</v>
      </c>
    </row>
    <row r="12125" spans="1:13">
      <c r="A12125" s="33" t="str">
        <f t="shared" si="760"/>
        <v>ALP - Revenue</v>
      </c>
      <c r="B12125" s="33" t="str">
        <f t="shared" si="761"/>
        <v>ALP</v>
      </c>
      <c r="C12125" s="33" t="str">
        <f t="shared" si="762"/>
        <v>61014-0000</v>
      </c>
      <c r="D12125" t="s">
        <v>13398</v>
      </c>
      <c r="E12125" t="s">
        <v>13323</v>
      </c>
      <c r="F12125" s="69" t="s">
        <v>230</v>
      </c>
      <c r="G12125" t="s">
        <v>3717</v>
      </c>
      <c r="H12125" t="s">
        <v>2871</v>
      </c>
      <c r="I12125" t="s">
        <v>12435</v>
      </c>
      <c r="J12125" s="70">
        <v>46489.73</v>
      </c>
      <c r="K12125" s="71">
        <v>46489.73</v>
      </c>
      <c r="L12125" s="33" t="e">
        <f>HLOOKUP(B12125,#REF!,1,0)</f>
        <v>#REF!</v>
      </c>
      <c r="M12125" s="33" t="str">
        <f t="shared" si="763"/>
        <v>P&amp;L</v>
      </c>
    </row>
    <row r="12126" spans="1:13">
      <c r="A12126" s="33" t="str">
        <f t="shared" si="760"/>
        <v>ALP - CGS</v>
      </c>
      <c r="B12126" s="33" t="str">
        <f t="shared" si="761"/>
        <v>ALP</v>
      </c>
      <c r="C12126" s="33" t="str">
        <f t="shared" si="762"/>
        <v>61015-0000</v>
      </c>
      <c r="D12126" t="s">
        <v>13399</v>
      </c>
      <c r="E12126" t="s">
        <v>13325</v>
      </c>
      <c r="F12126" s="69" t="s">
        <v>230</v>
      </c>
      <c r="G12126" t="s">
        <v>3838</v>
      </c>
      <c r="H12126" t="s">
        <v>1875</v>
      </c>
      <c r="I12126" t="s">
        <v>3859</v>
      </c>
      <c r="J12126" s="70">
        <v>4722</v>
      </c>
      <c r="K12126" s="71">
        <v>4722</v>
      </c>
      <c r="L12126" s="33" t="e">
        <f>HLOOKUP(B12126,#REF!,1,0)</f>
        <v>#REF!</v>
      </c>
      <c r="M12126" s="33" t="str">
        <f t="shared" si="763"/>
        <v>P&amp;L</v>
      </c>
    </row>
    <row r="12127" spans="1:13">
      <c r="A12127" s="33" t="str">
        <f t="shared" si="760"/>
        <v>ALP - CGS</v>
      </c>
      <c r="B12127" s="33" t="str">
        <f t="shared" si="761"/>
        <v>ALP</v>
      </c>
      <c r="C12127" s="33" t="str">
        <f t="shared" si="762"/>
        <v>61016-0000</v>
      </c>
      <c r="D12127" t="s">
        <v>4135</v>
      </c>
      <c r="E12127" t="s">
        <v>3861</v>
      </c>
      <c r="F12127" s="69" t="s">
        <v>230</v>
      </c>
      <c r="G12127" t="s">
        <v>3838</v>
      </c>
      <c r="H12127" t="s">
        <v>1875</v>
      </c>
      <c r="I12127" t="s">
        <v>3862</v>
      </c>
      <c r="J12127" s="70">
        <v>200</v>
      </c>
      <c r="K12127" s="71">
        <v>200</v>
      </c>
      <c r="L12127" s="33" t="e">
        <f>HLOOKUP(B12127,#REF!,1,0)</f>
        <v>#REF!</v>
      </c>
      <c r="M12127" s="33" t="str">
        <f t="shared" si="763"/>
        <v>P&amp;L</v>
      </c>
    </row>
    <row r="12128" spans="1:13">
      <c r="A12128" s="33" t="str">
        <f t="shared" si="760"/>
        <v>ALP - CGS</v>
      </c>
      <c r="B12128" s="33" t="str">
        <f t="shared" si="761"/>
        <v>ALP</v>
      </c>
      <c r="C12128" s="33" t="str">
        <f t="shared" si="762"/>
        <v>61023-0000</v>
      </c>
      <c r="D12128" t="s">
        <v>4138</v>
      </c>
      <c r="E12128" t="s">
        <v>1873</v>
      </c>
      <c r="F12128" s="69" t="s">
        <v>230</v>
      </c>
      <c r="G12128" t="s">
        <v>1874</v>
      </c>
      <c r="H12128" t="s">
        <v>1875</v>
      </c>
      <c r="I12128" t="s">
        <v>1876</v>
      </c>
      <c r="J12128" s="70">
        <v>536.02</v>
      </c>
      <c r="K12128" s="71">
        <v>536.02</v>
      </c>
      <c r="L12128" s="33" t="e">
        <f>HLOOKUP(B12128,#REF!,1,0)</f>
        <v>#REF!</v>
      </c>
      <c r="M12128" s="33" t="str">
        <f t="shared" si="763"/>
        <v>P&amp;L</v>
      </c>
    </row>
    <row r="12129" spans="1:13">
      <c r="A12129" s="33" t="str">
        <f t="shared" si="760"/>
        <v>ALP - PM Expenses</v>
      </c>
      <c r="B12129" s="33" t="str">
        <f t="shared" si="761"/>
        <v>ALP</v>
      </c>
      <c r="C12129" s="33" t="str">
        <f t="shared" si="762"/>
        <v>71020-0000</v>
      </c>
      <c r="D12129" t="s">
        <v>13400</v>
      </c>
      <c r="E12129" t="s">
        <v>13328</v>
      </c>
      <c r="F12129" s="69" t="s">
        <v>230</v>
      </c>
      <c r="G12129" t="s">
        <v>3818</v>
      </c>
      <c r="H12129" t="s">
        <v>3819</v>
      </c>
      <c r="I12129" t="s">
        <v>3820</v>
      </c>
      <c r="J12129" s="70">
        <v>10284.31</v>
      </c>
      <c r="K12129" s="71">
        <v>10284.31</v>
      </c>
      <c r="L12129" s="33" t="e">
        <f>HLOOKUP(B12129,#REF!,1,0)</f>
        <v>#REF!</v>
      </c>
      <c r="M12129" s="33" t="str">
        <f t="shared" si="763"/>
        <v>P&amp;L</v>
      </c>
    </row>
    <row r="12130" spans="1:13">
      <c r="A12130" s="33" t="str">
        <f t="shared" si="760"/>
        <v>ALP - PM Expenses</v>
      </c>
      <c r="B12130" s="33" t="str">
        <f t="shared" si="761"/>
        <v>ALP</v>
      </c>
      <c r="C12130" s="33" t="str">
        <f t="shared" si="762"/>
        <v>71030-0000</v>
      </c>
      <c r="D12130" t="s">
        <v>13401</v>
      </c>
      <c r="E12130" t="s">
        <v>13330</v>
      </c>
      <c r="F12130" s="69" t="s">
        <v>230</v>
      </c>
      <c r="G12130" t="s">
        <v>3818</v>
      </c>
      <c r="H12130" t="s">
        <v>3819</v>
      </c>
      <c r="I12130" t="s">
        <v>3823</v>
      </c>
      <c r="J12130" s="70">
        <v>18795.88</v>
      </c>
      <c r="K12130" s="71">
        <v>18795.88</v>
      </c>
      <c r="L12130" s="33" t="e">
        <f>HLOOKUP(B12130,#REF!,1,0)</f>
        <v>#REF!</v>
      </c>
      <c r="M12130" s="33" t="str">
        <f t="shared" si="763"/>
        <v>P&amp;L</v>
      </c>
    </row>
    <row r="12131" spans="1:13">
      <c r="A12131" s="33" t="str">
        <f t="shared" si="760"/>
        <v>ALP - PM Expenses</v>
      </c>
      <c r="B12131" s="33" t="str">
        <f t="shared" si="761"/>
        <v>ALP</v>
      </c>
      <c r="C12131" s="33" t="str">
        <f t="shared" si="762"/>
        <v>71040-0000</v>
      </c>
      <c r="D12131" t="s">
        <v>13402</v>
      </c>
      <c r="E12131" t="s">
        <v>13332</v>
      </c>
      <c r="F12131" s="69" t="s">
        <v>230</v>
      </c>
      <c r="G12131" t="s">
        <v>3818</v>
      </c>
      <c r="H12131" t="s">
        <v>3819</v>
      </c>
      <c r="I12131" t="s">
        <v>3826</v>
      </c>
      <c r="J12131" s="70">
        <v>17203.29</v>
      </c>
      <c r="K12131" s="71">
        <v>17203.29</v>
      </c>
      <c r="L12131" s="33" t="e">
        <f>HLOOKUP(B12131,#REF!,1,0)</f>
        <v>#REF!</v>
      </c>
      <c r="M12131" s="33" t="str">
        <f t="shared" si="763"/>
        <v>P&amp;L</v>
      </c>
    </row>
    <row r="12132" spans="1:13">
      <c r="A12132" s="33" t="str">
        <f t="shared" si="760"/>
        <v>ALP - PM Expenses</v>
      </c>
      <c r="B12132" s="33" t="str">
        <f t="shared" si="761"/>
        <v>ALP</v>
      </c>
      <c r="C12132" s="33" t="str">
        <f t="shared" si="762"/>
        <v>71050-0000</v>
      </c>
      <c r="D12132" t="s">
        <v>13403</v>
      </c>
      <c r="E12132" t="s">
        <v>13334</v>
      </c>
      <c r="F12132" s="69" t="s">
        <v>230</v>
      </c>
      <c r="G12132" t="s">
        <v>3818</v>
      </c>
      <c r="H12132" t="s">
        <v>3819</v>
      </c>
      <c r="I12132" t="s">
        <v>4028</v>
      </c>
      <c r="J12132" s="70">
        <v>452</v>
      </c>
      <c r="K12132" s="71">
        <v>452</v>
      </c>
      <c r="L12132" s="33" t="e">
        <f>HLOOKUP(B12132,#REF!,1,0)</f>
        <v>#REF!</v>
      </c>
      <c r="M12132" s="33" t="str">
        <f t="shared" si="763"/>
        <v>P&amp;L</v>
      </c>
    </row>
    <row r="12133" spans="1:13">
      <c r="A12133" s="33" t="str">
        <f t="shared" si="760"/>
        <v>ALP - PM Expenses</v>
      </c>
      <c r="B12133" s="33" t="str">
        <f t="shared" si="761"/>
        <v>ALP</v>
      </c>
      <c r="C12133" s="33" t="str">
        <f t="shared" si="762"/>
        <v>71060-0000</v>
      </c>
      <c r="D12133" t="s">
        <v>13404</v>
      </c>
      <c r="E12133" t="s">
        <v>13336</v>
      </c>
      <c r="F12133" s="69" t="s">
        <v>230</v>
      </c>
      <c r="G12133" t="s">
        <v>3818</v>
      </c>
      <c r="H12133" t="s">
        <v>3819</v>
      </c>
      <c r="I12133" t="s">
        <v>3829</v>
      </c>
      <c r="J12133" s="70">
        <v>65867.83</v>
      </c>
      <c r="K12133" s="71">
        <v>65867.83</v>
      </c>
      <c r="L12133" s="33" t="e">
        <f>HLOOKUP(B12133,#REF!,1,0)</f>
        <v>#REF!</v>
      </c>
      <c r="M12133" s="33" t="str">
        <f t="shared" si="763"/>
        <v>P&amp;L</v>
      </c>
    </row>
    <row r="12134" spans="1:13">
      <c r="A12134" s="33" t="str">
        <f t="shared" si="760"/>
        <v>ALP - PM Expenses</v>
      </c>
      <c r="B12134" s="33" t="str">
        <f t="shared" si="761"/>
        <v>ALP</v>
      </c>
      <c r="C12134" s="33" t="str">
        <f t="shared" si="762"/>
        <v>71070-0000</v>
      </c>
      <c r="D12134" t="s">
        <v>13405</v>
      </c>
      <c r="E12134" t="s">
        <v>13338</v>
      </c>
      <c r="F12134" s="69" t="s">
        <v>230</v>
      </c>
      <c r="G12134" t="s">
        <v>3818</v>
      </c>
      <c r="H12134" t="s">
        <v>3819</v>
      </c>
      <c r="I12134" t="s">
        <v>3832</v>
      </c>
      <c r="J12134" s="70">
        <v>273152.84</v>
      </c>
      <c r="K12134" s="71">
        <v>273152.84</v>
      </c>
      <c r="L12134" s="33" t="e">
        <f>HLOOKUP(B12134,#REF!,1,0)</f>
        <v>#REF!</v>
      </c>
      <c r="M12134" s="33" t="str">
        <f t="shared" si="763"/>
        <v>P&amp;L</v>
      </c>
    </row>
    <row r="12135" spans="1:13">
      <c r="A12135" s="33" t="str">
        <f t="shared" si="760"/>
        <v>ALP - PM Expenses</v>
      </c>
      <c r="B12135" s="33" t="str">
        <f t="shared" si="761"/>
        <v>ALP</v>
      </c>
      <c r="C12135" s="33" t="str">
        <f t="shared" si="762"/>
        <v>71080-0000</v>
      </c>
      <c r="D12135" t="s">
        <v>13406</v>
      </c>
      <c r="E12135" t="s">
        <v>13340</v>
      </c>
      <c r="F12135" s="69" t="s">
        <v>230</v>
      </c>
      <c r="G12135" t="s">
        <v>3818</v>
      </c>
      <c r="H12135" t="s">
        <v>3819</v>
      </c>
      <c r="I12135" t="s">
        <v>3835</v>
      </c>
      <c r="J12135" s="70">
        <v>2092.66</v>
      </c>
      <c r="K12135" s="71">
        <v>2092.66</v>
      </c>
      <c r="L12135" s="33" t="e">
        <f>HLOOKUP(B12135,#REF!,1,0)</f>
        <v>#REF!</v>
      </c>
      <c r="M12135" s="33" t="str">
        <f t="shared" si="763"/>
        <v>P&amp;L</v>
      </c>
    </row>
    <row r="12136" spans="1:13">
      <c r="A12136" s="33" t="str">
        <f t="shared" si="760"/>
        <v>ALP - CGS</v>
      </c>
      <c r="B12136" s="33" t="str">
        <f t="shared" si="761"/>
        <v>ALP</v>
      </c>
      <c r="C12136" s="33" t="str">
        <f t="shared" si="762"/>
        <v>71100-0000</v>
      </c>
      <c r="D12136" t="s">
        <v>13407</v>
      </c>
      <c r="E12136" t="s">
        <v>13342</v>
      </c>
      <c r="F12136" s="69" t="s">
        <v>230</v>
      </c>
      <c r="G12136" t="s">
        <v>3769</v>
      </c>
      <c r="H12136" t="s">
        <v>1875</v>
      </c>
      <c r="I12136" t="s">
        <v>3776</v>
      </c>
      <c r="J12136" s="70">
        <v>-1598.4</v>
      </c>
      <c r="K12136" s="71">
        <v>-1598.4</v>
      </c>
      <c r="L12136" s="33" t="e">
        <f>HLOOKUP(B12136,#REF!,1,0)</f>
        <v>#REF!</v>
      </c>
      <c r="M12136" s="33" t="str">
        <f t="shared" si="763"/>
        <v>P&amp;L</v>
      </c>
    </row>
    <row r="12137" spans="1:13">
      <c r="A12137" s="33" t="str">
        <f t="shared" si="760"/>
        <v>ALP - CGS</v>
      </c>
      <c r="B12137" s="33" t="str">
        <f t="shared" si="761"/>
        <v>ALP</v>
      </c>
      <c r="C12137" s="33" t="str">
        <f t="shared" si="762"/>
        <v>71110-0000</v>
      </c>
      <c r="D12137" t="s">
        <v>13408</v>
      </c>
      <c r="E12137" t="s">
        <v>13344</v>
      </c>
      <c r="F12137" s="69" t="s">
        <v>230</v>
      </c>
      <c r="G12137" t="s">
        <v>3769</v>
      </c>
      <c r="H12137" t="s">
        <v>1875</v>
      </c>
      <c r="I12137" t="s">
        <v>3779</v>
      </c>
      <c r="J12137" s="70">
        <v>1075.03</v>
      </c>
      <c r="K12137" s="71">
        <v>1075.03</v>
      </c>
      <c r="L12137" s="33" t="e">
        <f>HLOOKUP(B12137,#REF!,1,0)</f>
        <v>#REF!</v>
      </c>
      <c r="M12137" s="33" t="str">
        <f t="shared" si="763"/>
        <v>P&amp;L</v>
      </c>
    </row>
    <row r="12138" spans="1:13">
      <c r="A12138" s="33" t="str">
        <f t="shared" si="760"/>
        <v>ALP - Interest Expense</v>
      </c>
      <c r="B12138" s="33" t="str">
        <f t="shared" si="761"/>
        <v>ALP</v>
      </c>
      <c r="C12138" s="33" t="str">
        <f t="shared" si="762"/>
        <v>80006-0000</v>
      </c>
      <c r="D12138" t="s">
        <v>13409</v>
      </c>
      <c r="E12138" t="s">
        <v>3325</v>
      </c>
      <c r="F12138" s="69" t="s">
        <v>230</v>
      </c>
      <c r="G12138" t="s">
        <v>3326</v>
      </c>
      <c r="H12138" t="s">
        <v>3327</v>
      </c>
      <c r="I12138" t="s">
        <v>3328</v>
      </c>
      <c r="J12138" s="70">
        <v>512221.08</v>
      </c>
      <c r="K12138" s="71">
        <v>568303.68</v>
      </c>
      <c r="L12138" s="33" t="e">
        <f>HLOOKUP(B12138,#REF!,1,0)</f>
        <v>#REF!</v>
      </c>
      <c r="M12138" s="33" t="str">
        <f t="shared" si="763"/>
        <v>P&amp;L</v>
      </c>
    </row>
    <row r="12139" spans="1:13">
      <c r="A12139" s="33" t="str">
        <f t="shared" si="760"/>
        <v>ALP - Income Tax</v>
      </c>
      <c r="B12139" s="33" t="str">
        <f t="shared" si="761"/>
        <v>ALP</v>
      </c>
      <c r="C12139" s="33" t="str">
        <f t="shared" si="762"/>
        <v>81019-0000</v>
      </c>
      <c r="D12139" t="s">
        <v>13410</v>
      </c>
      <c r="E12139" t="s">
        <v>13347</v>
      </c>
      <c r="F12139" s="69" t="s">
        <v>230</v>
      </c>
      <c r="G12139" t="s">
        <v>3844</v>
      </c>
      <c r="H12139" t="s">
        <v>3378</v>
      </c>
      <c r="I12139" t="s">
        <v>4042</v>
      </c>
      <c r="J12139" s="70">
        <v>6800</v>
      </c>
      <c r="K12139" s="71">
        <v>6800</v>
      </c>
      <c r="L12139" s="33" t="e">
        <f>HLOOKUP(B12139,#REF!,1,0)</f>
        <v>#REF!</v>
      </c>
      <c r="M12139" s="33" t="str">
        <f t="shared" si="763"/>
        <v>P&amp;L</v>
      </c>
    </row>
    <row r="12140" spans="1:13">
      <c r="A12140" s="33" t="str">
        <f t="shared" si="760"/>
        <v>ALP - Other Expenses</v>
      </c>
      <c r="B12140" s="33" t="str">
        <f t="shared" si="761"/>
        <v>ALP</v>
      </c>
      <c r="C12140" s="33" t="str">
        <f t="shared" si="762"/>
        <v>81228-0000</v>
      </c>
      <c r="D12140" t="s">
        <v>13411</v>
      </c>
      <c r="E12140" t="s">
        <v>3864</v>
      </c>
      <c r="F12140" s="69" t="s">
        <v>230</v>
      </c>
      <c r="G12140" t="s">
        <v>3838</v>
      </c>
      <c r="H12140" t="s">
        <v>3865</v>
      </c>
      <c r="I12140" t="s">
        <v>3866</v>
      </c>
      <c r="J12140" s="70">
        <v>1055.93</v>
      </c>
      <c r="K12140" s="71">
        <v>1055.93</v>
      </c>
      <c r="L12140" s="33" t="e">
        <f>HLOOKUP(B12140,#REF!,1,0)</f>
        <v>#REF!</v>
      </c>
      <c r="M12140" s="33" t="str">
        <f t="shared" si="763"/>
        <v>P&amp;L</v>
      </c>
    </row>
    <row r="12141" spans="1:13">
      <c r="A12141" s="33" t="str">
        <f t="shared" si="760"/>
        <v>API - SH Dist</v>
      </c>
      <c r="B12141" s="33" t="str">
        <f t="shared" si="761"/>
        <v>API</v>
      </c>
      <c r="C12141" s="33" t="str">
        <f t="shared" si="762"/>
        <v>10001-0000</v>
      </c>
      <c r="D12141" t="s">
        <v>437</v>
      </c>
      <c r="E12141" t="s">
        <v>13221</v>
      </c>
      <c r="F12141" s="69" t="s">
        <v>230</v>
      </c>
      <c r="G12141" t="s">
        <v>142</v>
      </c>
      <c r="H12141" t="s">
        <v>143</v>
      </c>
      <c r="I12141" t="s">
        <v>144</v>
      </c>
      <c r="J12141" s="70">
        <v>0</v>
      </c>
      <c r="K12141" s="71">
        <v>-231880.17</v>
      </c>
      <c r="L12141" s="33" t="e">
        <f>HLOOKUP(B12141,#REF!,1,0)</f>
        <v>#REF!</v>
      </c>
      <c r="M12141" s="33" t="str">
        <f t="shared" si="763"/>
        <v>BS</v>
      </c>
    </row>
    <row r="12142" spans="1:13">
      <c r="A12142" s="33" t="str">
        <f t="shared" si="760"/>
        <v>API - SH Dist</v>
      </c>
      <c r="B12142" s="33" t="str">
        <f t="shared" si="761"/>
        <v>API</v>
      </c>
      <c r="C12142" s="33" t="str">
        <f t="shared" si="762"/>
        <v>10005-0000</v>
      </c>
      <c r="D12142" t="s">
        <v>13412</v>
      </c>
      <c r="E12142" t="s">
        <v>13413</v>
      </c>
      <c r="F12142" s="69" t="s">
        <v>230</v>
      </c>
      <c r="G12142" t="s">
        <v>142</v>
      </c>
      <c r="H12142" t="s">
        <v>143</v>
      </c>
      <c r="I12142" t="s">
        <v>144</v>
      </c>
      <c r="J12142" s="70">
        <v>351781.65</v>
      </c>
      <c r="K12142" s="71">
        <v>459779.37</v>
      </c>
      <c r="L12142" s="33" t="e">
        <f>HLOOKUP(B12142,#REF!,1,0)</f>
        <v>#REF!</v>
      </c>
      <c r="M12142" s="33" t="str">
        <f t="shared" si="763"/>
        <v>BS</v>
      </c>
    </row>
    <row r="12143" spans="1:13">
      <c r="A12143" s="33" t="str">
        <f t="shared" si="760"/>
        <v>API - CASH</v>
      </c>
      <c r="B12143" s="33" t="str">
        <f t="shared" si="761"/>
        <v>API</v>
      </c>
      <c r="C12143" s="33" t="str">
        <f t="shared" si="762"/>
        <v>10011-0000</v>
      </c>
      <c r="D12143" t="s">
        <v>13414</v>
      </c>
      <c r="E12143" t="s">
        <v>13415</v>
      </c>
      <c r="F12143" s="69" t="s">
        <v>230</v>
      </c>
      <c r="G12143" t="s">
        <v>16</v>
      </c>
      <c r="H12143" t="s">
        <v>358</v>
      </c>
      <c r="I12143" t="s">
        <v>18</v>
      </c>
      <c r="J12143" s="70">
        <v>1100000</v>
      </c>
      <c r="K12143" s="71">
        <v>1100000</v>
      </c>
      <c r="L12143" s="33" t="e">
        <f>HLOOKUP(B12143,#REF!,1,0)</f>
        <v>#REF!</v>
      </c>
      <c r="M12143" s="33" t="str">
        <f t="shared" si="763"/>
        <v>BS</v>
      </c>
    </row>
    <row r="12144" spans="1:13">
      <c r="A12144" s="33" t="str">
        <f t="shared" si="760"/>
        <v>API - Cash</v>
      </c>
      <c r="B12144" s="33" t="str">
        <f t="shared" si="761"/>
        <v>API</v>
      </c>
      <c r="C12144" s="33" t="str">
        <f t="shared" si="762"/>
        <v>10027-0000</v>
      </c>
      <c r="D12144" t="s">
        <v>440</v>
      </c>
      <c r="E12144" t="s">
        <v>13416</v>
      </c>
      <c r="F12144" s="69" t="s">
        <v>230</v>
      </c>
      <c r="G12144" t="s">
        <v>16</v>
      </c>
      <c r="H12144" t="s">
        <v>25</v>
      </c>
      <c r="I12144" t="s">
        <v>18</v>
      </c>
      <c r="J12144" s="70">
        <v>74.57</v>
      </c>
      <c r="K12144" s="71">
        <v>74.57</v>
      </c>
      <c r="L12144" s="33" t="e">
        <f>HLOOKUP(B12144,#REF!,1,0)</f>
        <v>#REF!</v>
      </c>
      <c r="M12144" s="33" t="str">
        <f t="shared" si="763"/>
        <v>BS</v>
      </c>
    </row>
    <row r="12145" spans="1:13">
      <c r="A12145" s="33" t="str">
        <f t="shared" si="760"/>
        <v>API - Intercompany</v>
      </c>
      <c r="B12145" s="33" t="str">
        <f t="shared" si="761"/>
        <v>API</v>
      </c>
      <c r="C12145" s="33" t="str">
        <f t="shared" si="762"/>
        <v>11216-0000</v>
      </c>
      <c r="D12145" t="s">
        <v>443</v>
      </c>
      <c r="E12145" t="s">
        <v>13224</v>
      </c>
      <c r="F12145" s="69" t="s">
        <v>230</v>
      </c>
      <c r="G12145" t="s">
        <v>16</v>
      </c>
      <c r="H12145" t="s">
        <v>39</v>
      </c>
      <c r="I12145" t="s">
        <v>40</v>
      </c>
      <c r="J12145" s="70">
        <v>-23338.31</v>
      </c>
      <c r="K12145" s="71">
        <v>-43784.4</v>
      </c>
      <c r="L12145" s="33" t="e">
        <f>HLOOKUP(B12145,#REF!,1,0)</f>
        <v>#REF!</v>
      </c>
      <c r="M12145" s="33" t="str">
        <f t="shared" si="763"/>
        <v>BS</v>
      </c>
    </row>
    <row r="12146" spans="1:13">
      <c r="A12146" s="33" t="str">
        <f t="shared" si="760"/>
        <v>API - AR-PPD</v>
      </c>
      <c r="B12146" s="33" t="str">
        <f t="shared" si="761"/>
        <v>API</v>
      </c>
      <c r="C12146" s="33" t="str">
        <f t="shared" si="762"/>
        <v>12100-0000</v>
      </c>
      <c r="D12146" t="s">
        <v>13417</v>
      </c>
      <c r="E12146" t="s">
        <v>34</v>
      </c>
      <c r="F12146" s="69" t="s">
        <v>230</v>
      </c>
      <c r="G12146" t="s">
        <v>16</v>
      </c>
      <c r="H12146" t="s">
        <v>35</v>
      </c>
      <c r="I12146" t="s">
        <v>36</v>
      </c>
      <c r="J12146" s="70">
        <v>124003.12</v>
      </c>
      <c r="K12146" s="71">
        <v>143951.21</v>
      </c>
      <c r="L12146" s="33" t="e">
        <f>HLOOKUP(B12146,#REF!,1,0)</f>
        <v>#REF!</v>
      </c>
      <c r="M12146" s="33" t="str">
        <f t="shared" si="763"/>
        <v>BS</v>
      </c>
    </row>
    <row r="12147" spans="1:13">
      <c r="A12147" s="33" t="str">
        <f t="shared" si="760"/>
        <v>API - AR-PPD</v>
      </c>
      <c r="B12147" s="33" t="str">
        <f t="shared" si="761"/>
        <v>API</v>
      </c>
      <c r="C12147" s="33" t="str">
        <f t="shared" si="762"/>
        <v>13810-0000</v>
      </c>
      <c r="D12147" t="s">
        <v>13418</v>
      </c>
      <c r="E12147" t="s">
        <v>294</v>
      </c>
      <c r="F12147" s="69" t="s">
        <v>230</v>
      </c>
      <c r="G12147" t="s">
        <v>62</v>
      </c>
      <c r="H12147" t="s">
        <v>35</v>
      </c>
      <c r="I12147" t="s">
        <v>64</v>
      </c>
      <c r="J12147" s="70">
        <v>636714.92</v>
      </c>
      <c r="K12147" s="71">
        <v>655500.36</v>
      </c>
      <c r="L12147" s="33" t="e">
        <f>HLOOKUP(B12147,#REF!,1,0)</f>
        <v>#REF!</v>
      </c>
      <c r="M12147" s="33" t="str">
        <f t="shared" si="763"/>
        <v>BS</v>
      </c>
    </row>
    <row r="12148" spans="1:13">
      <c r="A12148" s="33" t="str">
        <f t="shared" si="760"/>
        <v>API - AR-PPD</v>
      </c>
      <c r="B12148" s="33" t="str">
        <f t="shared" si="761"/>
        <v>API</v>
      </c>
      <c r="C12148" s="33" t="str">
        <f t="shared" si="762"/>
        <v>13821-0000</v>
      </c>
      <c r="D12148" t="s">
        <v>13419</v>
      </c>
      <c r="E12148" t="s">
        <v>446</v>
      </c>
      <c r="F12148" s="69" t="s">
        <v>230</v>
      </c>
      <c r="G12148" t="s">
        <v>62</v>
      </c>
      <c r="H12148" t="s">
        <v>35</v>
      </c>
      <c r="I12148" t="s">
        <v>64</v>
      </c>
      <c r="J12148" s="70">
        <v>191781.58</v>
      </c>
      <c r="K12148" s="71">
        <v>270482.95</v>
      </c>
      <c r="L12148" s="33" t="e">
        <f>HLOOKUP(B12148,#REF!,1,0)</f>
        <v>#REF!</v>
      </c>
      <c r="M12148" s="33" t="str">
        <f t="shared" si="763"/>
        <v>BS</v>
      </c>
    </row>
    <row r="12149" spans="1:13">
      <c r="A12149" s="33" t="str">
        <f t="shared" si="760"/>
        <v>API - Fixed Assets</v>
      </c>
      <c r="B12149" s="33" t="str">
        <f t="shared" si="761"/>
        <v>API</v>
      </c>
      <c r="C12149" s="33" t="str">
        <f t="shared" si="762"/>
        <v>14100-0000</v>
      </c>
      <c r="D12149" t="s">
        <v>13420</v>
      </c>
      <c r="E12149" t="s">
        <v>298</v>
      </c>
      <c r="F12149" s="69" t="s">
        <v>230</v>
      </c>
      <c r="G12149" t="s">
        <v>62</v>
      </c>
      <c r="H12149" t="s">
        <v>63</v>
      </c>
      <c r="I12149" t="s">
        <v>64</v>
      </c>
      <c r="J12149" s="70">
        <v>14910000</v>
      </c>
      <c r="K12149" s="71">
        <v>14910000</v>
      </c>
      <c r="L12149" s="33" t="e">
        <f>HLOOKUP(B12149,#REF!,1,0)</f>
        <v>#REF!</v>
      </c>
      <c r="M12149" s="33" t="str">
        <f t="shared" si="763"/>
        <v>BS</v>
      </c>
    </row>
    <row r="12150" spans="1:13">
      <c r="A12150" s="33" t="str">
        <f t="shared" si="760"/>
        <v>API - Fixed Assets</v>
      </c>
      <c r="B12150" s="33" t="str">
        <f t="shared" si="761"/>
        <v>API</v>
      </c>
      <c r="C12150" s="33" t="str">
        <f t="shared" si="762"/>
        <v>15000-0000</v>
      </c>
      <c r="D12150" t="s">
        <v>448</v>
      </c>
      <c r="E12150" t="s">
        <v>13252</v>
      </c>
      <c r="F12150" s="69" t="s">
        <v>230</v>
      </c>
      <c r="G12150" t="s">
        <v>62</v>
      </c>
      <c r="H12150" t="s">
        <v>63</v>
      </c>
      <c r="I12150" t="s">
        <v>64</v>
      </c>
      <c r="J12150" s="70">
        <v>34790000</v>
      </c>
      <c r="K12150" s="71">
        <v>34790000</v>
      </c>
      <c r="L12150" s="33" t="e">
        <f>HLOOKUP(B12150,#REF!,1,0)</f>
        <v>#REF!</v>
      </c>
      <c r="M12150" s="33" t="str">
        <f t="shared" si="763"/>
        <v>BS</v>
      </c>
    </row>
    <row r="12151" spans="1:13">
      <c r="A12151" s="33" t="str">
        <f t="shared" si="760"/>
        <v>API - Fixed Assets</v>
      </c>
      <c r="B12151" s="33" t="str">
        <f t="shared" si="761"/>
        <v>API</v>
      </c>
      <c r="C12151" s="33" t="str">
        <f t="shared" si="762"/>
        <v>15500-0000</v>
      </c>
      <c r="D12151" t="s">
        <v>449</v>
      </c>
      <c r="E12151" t="s">
        <v>302</v>
      </c>
      <c r="F12151" s="69" t="s">
        <v>230</v>
      </c>
      <c r="G12151" t="s">
        <v>62</v>
      </c>
      <c r="H12151" t="s">
        <v>63</v>
      </c>
      <c r="I12151" t="s">
        <v>64</v>
      </c>
      <c r="J12151" s="70">
        <v>586016.98</v>
      </c>
      <c r="K12151" s="71">
        <v>586016.98</v>
      </c>
      <c r="L12151" s="33" t="e">
        <f>HLOOKUP(B12151,#REF!,1,0)</f>
        <v>#REF!</v>
      </c>
      <c r="M12151" s="33" t="str">
        <f t="shared" si="763"/>
        <v>BS</v>
      </c>
    </row>
    <row r="12152" spans="1:13">
      <c r="A12152" s="33" t="str">
        <f t="shared" si="760"/>
        <v>API - Fixed Assets</v>
      </c>
      <c r="B12152" s="33" t="str">
        <f t="shared" si="761"/>
        <v>API</v>
      </c>
      <c r="C12152" s="33" t="str">
        <f t="shared" si="762"/>
        <v>15700-0000</v>
      </c>
      <c r="D12152" t="s">
        <v>13421</v>
      </c>
      <c r="E12152" t="s">
        <v>2635</v>
      </c>
      <c r="F12152" s="69" t="s">
        <v>230</v>
      </c>
      <c r="G12152" t="s">
        <v>62</v>
      </c>
      <c r="H12152" t="s">
        <v>63</v>
      </c>
      <c r="I12152" t="s">
        <v>64</v>
      </c>
      <c r="J12152" s="70">
        <v>6431.81</v>
      </c>
      <c r="K12152" s="71">
        <v>8630.98</v>
      </c>
      <c r="L12152" s="33" t="e">
        <f>HLOOKUP(B12152,#REF!,1,0)</f>
        <v>#REF!</v>
      </c>
      <c r="M12152" s="33" t="str">
        <f t="shared" si="763"/>
        <v>BS</v>
      </c>
    </row>
    <row r="12153" spans="1:13">
      <c r="A12153" s="33" t="str">
        <f t="shared" si="760"/>
        <v>API - Fixed Assets</v>
      </c>
      <c r="B12153" s="33" t="str">
        <f t="shared" si="761"/>
        <v>API</v>
      </c>
      <c r="C12153" s="33" t="str">
        <f t="shared" si="762"/>
        <v>17000-0000</v>
      </c>
      <c r="D12153" t="s">
        <v>450</v>
      </c>
      <c r="E12153" t="s">
        <v>77</v>
      </c>
      <c r="F12153" s="69" t="s">
        <v>230</v>
      </c>
      <c r="G12153" t="s">
        <v>62</v>
      </c>
      <c r="H12153" t="s">
        <v>63</v>
      </c>
      <c r="I12153" t="s">
        <v>64</v>
      </c>
      <c r="J12153" s="70">
        <v>-1295276</v>
      </c>
      <c r="K12153" s="71">
        <v>-1295276</v>
      </c>
      <c r="L12153" s="33" t="e">
        <f>HLOOKUP(B12153,#REF!,1,0)</f>
        <v>#REF!</v>
      </c>
      <c r="M12153" s="33" t="str">
        <f t="shared" si="763"/>
        <v>BS</v>
      </c>
    </row>
    <row r="12154" spans="1:13">
      <c r="A12154" s="33" t="str">
        <f t="shared" si="760"/>
        <v>API - Fixed Assets</v>
      </c>
      <c r="B12154" s="33" t="str">
        <f t="shared" si="761"/>
        <v>API</v>
      </c>
      <c r="C12154" s="33" t="str">
        <f t="shared" si="762"/>
        <v>18000-0000</v>
      </c>
      <c r="D12154" t="s">
        <v>451</v>
      </c>
      <c r="E12154" t="s">
        <v>88</v>
      </c>
      <c r="F12154" s="69" t="s">
        <v>230</v>
      </c>
      <c r="G12154" t="s">
        <v>62</v>
      </c>
      <c r="H12154" t="s">
        <v>63</v>
      </c>
      <c r="I12154" t="s">
        <v>81</v>
      </c>
      <c r="J12154" s="70">
        <v>-47869</v>
      </c>
      <c r="K12154" s="71">
        <v>-47869</v>
      </c>
      <c r="L12154" s="33" t="e">
        <f>HLOOKUP(B12154,#REF!,1,0)</f>
        <v>#REF!</v>
      </c>
      <c r="M12154" s="33" t="str">
        <f t="shared" si="763"/>
        <v>BS</v>
      </c>
    </row>
    <row r="12155" spans="1:13">
      <c r="A12155" s="33" t="str">
        <f t="shared" si="760"/>
        <v>API - AP-Accr Exp</v>
      </c>
      <c r="B12155" s="33" t="str">
        <f t="shared" si="761"/>
        <v>API</v>
      </c>
      <c r="C12155" s="33" t="str">
        <f t="shared" si="762"/>
        <v>22000-0000</v>
      </c>
      <c r="D12155" t="s">
        <v>13422</v>
      </c>
      <c r="E12155" t="s">
        <v>96</v>
      </c>
      <c r="F12155" s="69" t="s">
        <v>230</v>
      </c>
      <c r="G12155" t="s">
        <v>97</v>
      </c>
      <c r="H12155" t="s">
        <v>98</v>
      </c>
      <c r="I12155" t="s">
        <v>99</v>
      </c>
      <c r="J12155" s="70">
        <v>-476.92</v>
      </c>
      <c r="K12155" s="71">
        <v>-538.98</v>
      </c>
      <c r="L12155" s="33" t="e">
        <f>HLOOKUP(B12155,#REF!,1,0)</f>
        <v>#REF!</v>
      </c>
      <c r="M12155" s="33" t="str">
        <f t="shared" si="763"/>
        <v>BS</v>
      </c>
    </row>
    <row r="12156" spans="1:13">
      <c r="A12156" s="33" t="str">
        <f t="shared" si="760"/>
        <v>API - AP-Accr Exp</v>
      </c>
      <c r="B12156" s="33" t="str">
        <f t="shared" si="761"/>
        <v>API</v>
      </c>
      <c r="C12156" s="33" t="str">
        <f t="shared" si="762"/>
        <v>22800-0000</v>
      </c>
      <c r="D12156" t="s">
        <v>13423</v>
      </c>
      <c r="E12156" t="s">
        <v>13256</v>
      </c>
      <c r="F12156" s="69" t="s">
        <v>230</v>
      </c>
      <c r="G12156" t="s">
        <v>97</v>
      </c>
      <c r="H12156" t="s">
        <v>98</v>
      </c>
      <c r="I12156" t="s">
        <v>102</v>
      </c>
      <c r="J12156" s="70">
        <v>-115555</v>
      </c>
      <c r="K12156" s="71">
        <v>-120204</v>
      </c>
      <c r="L12156" s="33" t="e">
        <f>HLOOKUP(B12156,#REF!,1,0)</f>
        <v>#REF!</v>
      </c>
      <c r="M12156" s="33" t="str">
        <f t="shared" si="763"/>
        <v>BS</v>
      </c>
    </row>
    <row r="12157" spans="1:13">
      <c r="A12157" s="33" t="str">
        <f t="shared" si="760"/>
        <v>API - Revenue</v>
      </c>
      <c r="B12157" s="33" t="str">
        <f t="shared" si="761"/>
        <v>API</v>
      </c>
      <c r="C12157" s="33" t="str">
        <f t="shared" si="762"/>
        <v>22905-0000</v>
      </c>
      <c r="D12157" t="s">
        <v>13424</v>
      </c>
      <c r="E12157" t="s">
        <v>13258</v>
      </c>
      <c r="F12157" s="69" t="s">
        <v>230</v>
      </c>
      <c r="G12157" t="s">
        <v>3717</v>
      </c>
      <c r="H12157" t="s">
        <v>2871</v>
      </c>
      <c r="I12157" t="s">
        <v>3721</v>
      </c>
      <c r="J12157" s="70">
        <v>-15543.29</v>
      </c>
      <c r="K12157" s="71">
        <v>-7913.93</v>
      </c>
      <c r="L12157" s="33" t="e">
        <f>HLOOKUP(B12157,#REF!,1,0)</f>
        <v>#REF!</v>
      </c>
      <c r="M12157" s="33" t="str">
        <f t="shared" si="763"/>
        <v>BS</v>
      </c>
    </row>
    <row r="12158" spans="1:13">
      <c r="A12158" s="33" t="str">
        <f t="shared" si="760"/>
        <v>API - AP-Accr Exp</v>
      </c>
      <c r="B12158" s="33" t="str">
        <f t="shared" si="761"/>
        <v>API</v>
      </c>
      <c r="C12158" s="33" t="str">
        <f t="shared" si="762"/>
        <v>23509-0000</v>
      </c>
      <c r="D12158" t="s">
        <v>453</v>
      </c>
      <c r="E12158" t="s">
        <v>454</v>
      </c>
      <c r="F12158" s="69" t="s">
        <v>230</v>
      </c>
      <c r="G12158" t="s">
        <v>97</v>
      </c>
      <c r="H12158" t="s">
        <v>98</v>
      </c>
      <c r="I12158" t="s">
        <v>102</v>
      </c>
      <c r="J12158" s="70">
        <v>4248.85</v>
      </c>
      <c r="K12158" s="71">
        <v>0</v>
      </c>
      <c r="L12158" s="33" t="e">
        <f>HLOOKUP(B12158,#REF!,1,0)</f>
        <v>#REF!</v>
      </c>
      <c r="M12158" s="33" t="str">
        <f t="shared" si="763"/>
        <v>BS</v>
      </c>
    </row>
    <row r="12159" spans="1:13">
      <c r="A12159" s="33" t="str">
        <f t="shared" si="760"/>
        <v>API - InterCo Notes</v>
      </c>
      <c r="B12159" s="33" t="str">
        <f t="shared" si="761"/>
        <v>API</v>
      </c>
      <c r="C12159" s="33" t="str">
        <f t="shared" si="762"/>
        <v>25602-0000</v>
      </c>
      <c r="D12159" t="s">
        <v>13425</v>
      </c>
      <c r="E12159" t="s">
        <v>13426</v>
      </c>
      <c r="F12159" s="69" t="s">
        <v>230</v>
      </c>
      <c r="G12159" t="s">
        <v>16</v>
      </c>
      <c r="H12159" t="s">
        <v>315</v>
      </c>
      <c r="I12159" t="s">
        <v>40</v>
      </c>
      <c r="J12159" s="70">
        <v>-13674704.79</v>
      </c>
      <c r="K12159" s="71">
        <v>-13674704.79</v>
      </c>
      <c r="L12159" s="33" t="e">
        <f>HLOOKUP(B12159,#REF!,1,0)</f>
        <v>#REF!</v>
      </c>
      <c r="M12159" s="33" t="str">
        <f t="shared" si="763"/>
        <v>BS</v>
      </c>
    </row>
    <row r="12160" spans="1:13">
      <c r="A12160" s="33" t="str">
        <f t="shared" si="760"/>
        <v>API - Principal</v>
      </c>
      <c r="B12160" s="33" t="str">
        <f t="shared" si="761"/>
        <v>API</v>
      </c>
      <c r="C12160" s="33" t="str">
        <f t="shared" si="762"/>
        <v>28005-0000</v>
      </c>
      <c r="D12160" t="s">
        <v>13427</v>
      </c>
      <c r="E12160" t="s">
        <v>13260</v>
      </c>
      <c r="F12160" s="69" t="s">
        <v>230</v>
      </c>
      <c r="G12160" t="s">
        <v>123</v>
      </c>
      <c r="H12160" t="s">
        <v>127</v>
      </c>
      <c r="I12160" t="s">
        <v>133</v>
      </c>
      <c r="J12160" s="70">
        <v>-30582000</v>
      </c>
      <c r="K12160" s="71">
        <v>-30582000</v>
      </c>
      <c r="L12160" s="33" t="e">
        <f>HLOOKUP(B12160,#REF!,1,0)</f>
        <v>#REF!</v>
      </c>
      <c r="M12160" s="33" t="str">
        <f t="shared" si="763"/>
        <v>BS</v>
      </c>
    </row>
    <row r="12161" spans="1:13">
      <c r="A12161" s="33" t="str">
        <f t="shared" si="760"/>
        <v>API - Principal</v>
      </c>
      <c r="B12161" s="33" t="str">
        <f t="shared" si="761"/>
        <v>API</v>
      </c>
      <c r="C12161" s="33" t="str">
        <f t="shared" si="762"/>
        <v>28018-0000</v>
      </c>
      <c r="D12161" t="s">
        <v>13428</v>
      </c>
      <c r="E12161" t="s">
        <v>461</v>
      </c>
      <c r="F12161" s="69" t="s">
        <v>230</v>
      </c>
      <c r="G12161" t="s">
        <v>123</v>
      </c>
      <c r="H12161" t="s">
        <v>127</v>
      </c>
      <c r="I12161" t="s">
        <v>133</v>
      </c>
      <c r="J12161" s="70">
        <v>-8000000</v>
      </c>
      <c r="K12161" s="71">
        <v>-8000000</v>
      </c>
      <c r="L12161" s="33" t="e">
        <f>HLOOKUP(B12161,#REF!,1,0)</f>
        <v>#REF!</v>
      </c>
      <c r="M12161" s="33" t="str">
        <f t="shared" si="763"/>
        <v>BS</v>
      </c>
    </row>
    <row r="12162" spans="1:13">
      <c r="A12162" s="33" t="str">
        <f t="shared" si="760"/>
        <v>API - SH Dist</v>
      </c>
      <c r="B12162" s="33" t="str">
        <f t="shared" si="761"/>
        <v>API</v>
      </c>
      <c r="C12162" s="33" t="str">
        <f t="shared" si="762"/>
        <v>31007-0000</v>
      </c>
      <c r="D12162" t="s">
        <v>465</v>
      </c>
      <c r="E12162" t="s">
        <v>13429</v>
      </c>
      <c r="F12162" s="69" t="s">
        <v>230</v>
      </c>
      <c r="G12162" t="s">
        <v>142</v>
      </c>
      <c r="H12162" t="s">
        <v>143</v>
      </c>
      <c r="I12162" t="s">
        <v>144</v>
      </c>
      <c r="J12162" s="70">
        <v>-37500</v>
      </c>
      <c r="K12162" s="71">
        <v>-37500</v>
      </c>
      <c r="L12162" s="33" t="e">
        <f>HLOOKUP(B12162,#REF!,1,0)</f>
        <v>#REF!</v>
      </c>
      <c r="M12162" s="33" t="str">
        <f t="shared" si="763"/>
        <v>BS</v>
      </c>
    </row>
    <row r="12163" spans="1:13">
      <c r="A12163" s="33" t="str">
        <f t="shared" si="760"/>
        <v>API - SH Dist</v>
      </c>
      <c r="B12163" s="33" t="str">
        <f t="shared" si="761"/>
        <v>API</v>
      </c>
      <c r="C12163" s="33" t="str">
        <f t="shared" si="762"/>
        <v>31900-0000</v>
      </c>
      <c r="D12163" t="s">
        <v>13430</v>
      </c>
      <c r="E12163" t="s">
        <v>13431</v>
      </c>
      <c r="F12163" s="69" t="s">
        <v>230</v>
      </c>
      <c r="G12163" t="s">
        <v>142</v>
      </c>
      <c r="H12163" t="s">
        <v>143</v>
      </c>
      <c r="I12163" t="s">
        <v>144</v>
      </c>
      <c r="J12163" s="70">
        <v>-50000</v>
      </c>
      <c r="K12163" s="71">
        <v>-50000</v>
      </c>
      <c r="L12163" s="33" t="e">
        <f>HLOOKUP(B12163,#REF!,1,0)</f>
        <v>#REF!</v>
      </c>
      <c r="M12163" s="33" t="str">
        <f t="shared" si="763"/>
        <v>BS</v>
      </c>
    </row>
    <row r="12164" spans="1:13">
      <c r="A12164" s="33" t="str">
        <f t="shared" si="760"/>
        <v>API - SH Dist</v>
      </c>
      <c r="B12164" s="33" t="str">
        <f t="shared" si="761"/>
        <v>API</v>
      </c>
      <c r="C12164" s="33" t="str">
        <f t="shared" si="762"/>
        <v>36000-0000</v>
      </c>
      <c r="D12164" t="s">
        <v>13432</v>
      </c>
      <c r="E12164" t="s">
        <v>13262</v>
      </c>
      <c r="F12164" s="69" t="s">
        <v>230</v>
      </c>
      <c r="G12164" t="s">
        <v>142</v>
      </c>
      <c r="H12164" t="s">
        <v>143</v>
      </c>
      <c r="I12164" t="s">
        <v>144</v>
      </c>
      <c r="J12164" s="70">
        <v>-500</v>
      </c>
      <c r="K12164" s="71">
        <v>-500</v>
      </c>
      <c r="L12164" s="33" t="e">
        <f>HLOOKUP(B12164,#REF!,1,0)</f>
        <v>#REF!</v>
      </c>
      <c r="M12164" s="33" t="str">
        <f t="shared" si="763"/>
        <v>BS</v>
      </c>
    </row>
    <row r="12165" spans="1:13">
      <c r="A12165" s="33" t="str">
        <f t="shared" si="760"/>
        <v>API - Retained Earnings</v>
      </c>
      <c r="B12165" s="33" t="str">
        <f t="shared" si="761"/>
        <v>API</v>
      </c>
      <c r="C12165" s="33" t="str">
        <f t="shared" si="762"/>
        <v>38100-0000</v>
      </c>
      <c r="D12165" t="s">
        <v>13433</v>
      </c>
      <c r="E12165" t="s">
        <v>234</v>
      </c>
      <c r="F12165" s="69" t="s">
        <v>230</v>
      </c>
      <c r="G12165" t="s">
        <v>142</v>
      </c>
      <c r="H12165" t="s">
        <v>149</v>
      </c>
      <c r="I12165" t="s">
        <v>235</v>
      </c>
      <c r="J12165" s="70">
        <v>1483278.03</v>
      </c>
      <c r="K12165" s="71">
        <v>1483278.03</v>
      </c>
      <c r="L12165" s="33" t="e">
        <f>HLOOKUP(B12165,#REF!,1,0)</f>
        <v>#REF!</v>
      </c>
      <c r="M12165" s="33" t="str">
        <f t="shared" si="763"/>
        <v>BS</v>
      </c>
    </row>
    <row r="12166" spans="1:13">
      <c r="A12166" s="33" t="str">
        <f t="shared" si="760"/>
        <v>API - Revenue</v>
      </c>
      <c r="B12166" s="33" t="str">
        <f t="shared" si="761"/>
        <v>API</v>
      </c>
      <c r="C12166" s="33" t="str">
        <f t="shared" si="762"/>
        <v>40110-0000</v>
      </c>
      <c r="D12166" t="s">
        <v>4207</v>
      </c>
      <c r="E12166" t="s">
        <v>3683</v>
      </c>
      <c r="F12166" s="69" t="s">
        <v>230</v>
      </c>
      <c r="G12166" t="s">
        <v>3684</v>
      </c>
      <c r="H12166" t="s">
        <v>2871</v>
      </c>
      <c r="I12166" t="s">
        <v>3685</v>
      </c>
      <c r="J12166" s="70">
        <v>-3028833</v>
      </c>
      <c r="K12166" s="71">
        <v>-3028833</v>
      </c>
      <c r="L12166" s="33" t="e">
        <f>HLOOKUP(B12166,#REF!,1,0)</f>
        <v>#REF!</v>
      </c>
      <c r="M12166" s="33" t="str">
        <f t="shared" si="763"/>
        <v>P&amp;L</v>
      </c>
    </row>
    <row r="12167" spans="1:13">
      <c r="A12167" s="33" t="str">
        <f t="shared" si="760"/>
        <v>API - Revenue</v>
      </c>
      <c r="B12167" s="33" t="str">
        <f t="shared" si="761"/>
        <v>API</v>
      </c>
      <c r="C12167" s="33" t="str">
        <f t="shared" si="762"/>
        <v>40120-0000</v>
      </c>
      <c r="D12167" t="s">
        <v>4208</v>
      </c>
      <c r="E12167" t="s">
        <v>3687</v>
      </c>
      <c r="F12167" s="69" t="s">
        <v>230</v>
      </c>
      <c r="G12167" t="s">
        <v>3684</v>
      </c>
      <c r="H12167" t="s">
        <v>2871</v>
      </c>
      <c r="I12167" t="s">
        <v>3688</v>
      </c>
      <c r="J12167" s="70">
        <v>-53255</v>
      </c>
      <c r="K12167" s="71">
        <v>-53255</v>
      </c>
      <c r="L12167" s="33" t="e">
        <f>HLOOKUP(B12167,#REF!,1,0)</f>
        <v>#REF!</v>
      </c>
      <c r="M12167" s="33" t="str">
        <f t="shared" si="763"/>
        <v>P&amp;L</v>
      </c>
    </row>
    <row r="12168" spans="1:13">
      <c r="A12168" s="33" t="str">
        <f t="shared" si="760"/>
        <v>API - Revenue</v>
      </c>
      <c r="B12168" s="33" t="str">
        <f t="shared" si="761"/>
        <v>API</v>
      </c>
      <c r="C12168" s="33" t="str">
        <f t="shared" si="762"/>
        <v>40130-0000</v>
      </c>
      <c r="D12168" t="s">
        <v>4209</v>
      </c>
      <c r="E12168" t="s">
        <v>3690</v>
      </c>
      <c r="F12168" s="69" t="s">
        <v>230</v>
      </c>
      <c r="G12168" t="s">
        <v>3684</v>
      </c>
      <c r="H12168" t="s">
        <v>2871</v>
      </c>
      <c r="I12168" t="s">
        <v>3691</v>
      </c>
      <c r="J12168" s="70">
        <v>-69032</v>
      </c>
      <c r="K12168" s="71">
        <v>-69032</v>
      </c>
      <c r="L12168" s="33" t="e">
        <f>HLOOKUP(B12168,#REF!,1,0)</f>
        <v>#REF!</v>
      </c>
      <c r="M12168" s="33" t="str">
        <f t="shared" si="763"/>
        <v>P&amp;L</v>
      </c>
    </row>
    <row r="12169" spans="1:13">
      <c r="A12169" s="33" t="str">
        <f t="shared" si="760"/>
        <v>API - Revenue</v>
      </c>
      <c r="B12169" s="33" t="str">
        <f t="shared" si="761"/>
        <v>API</v>
      </c>
      <c r="C12169" s="33" t="str">
        <f t="shared" si="762"/>
        <v>41110-0000</v>
      </c>
      <c r="D12169" t="s">
        <v>4211</v>
      </c>
      <c r="E12169" t="s">
        <v>3716</v>
      </c>
      <c r="F12169" s="69" t="s">
        <v>230</v>
      </c>
      <c r="G12169" t="s">
        <v>3717</v>
      </c>
      <c r="H12169" t="s">
        <v>2871</v>
      </c>
      <c r="I12169" t="s">
        <v>3718</v>
      </c>
      <c r="J12169" s="70">
        <v>-3085534.49</v>
      </c>
      <c r="K12169" s="71">
        <v>-3492486.49</v>
      </c>
      <c r="L12169" s="33" t="e">
        <f>HLOOKUP(B12169,#REF!,1,0)</f>
        <v>#REF!</v>
      </c>
      <c r="M12169" s="33" t="str">
        <f t="shared" si="763"/>
        <v>P&amp;L</v>
      </c>
    </row>
    <row r="12170" spans="1:13">
      <c r="A12170" s="33" t="str">
        <f t="shared" si="760"/>
        <v>API - Revenue</v>
      </c>
      <c r="B12170" s="33" t="str">
        <f t="shared" si="761"/>
        <v>API</v>
      </c>
      <c r="C12170" s="33" t="str">
        <f t="shared" si="762"/>
        <v>41120-0000</v>
      </c>
      <c r="D12170" t="s">
        <v>13434</v>
      </c>
      <c r="E12170" t="s">
        <v>13267</v>
      </c>
      <c r="F12170" s="69" t="s">
        <v>230</v>
      </c>
      <c r="G12170" t="s">
        <v>3717</v>
      </c>
      <c r="H12170" t="s">
        <v>2871</v>
      </c>
      <c r="I12170" t="s">
        <v>3718</v>
      </c>
      <c r="J12170" s="70">
        <v>0</v>
      </c>
      <c r="K12170" s="71">
        <v>44124</v>
      </c>
      <c r="L12170" s="33" t="e">
        <f>HLOOKUP(B12170,#REF!,1,0)</f>
        <v>#REF!</v>
      </c>
      <c r="M12170" s="33" t="str">
        <f t="shared" si="763"/>
        <v>P&amp;L</v>
      </c>
    </row>
    <row r="12171" spans="1:13">
      <c r="A12171" s="33" t="str">
        <f t="shared" si="760"/>
        <v>API - Revenue</v>
      </c>
      <c r="B12171" s="33" t="str">
        <f t="shared" si="761"/>
        <v>API</v>
      </c>
      <c r="C12171" s="33" t="str">
        <f t="shared" si="762"/>
        <v>42110-0000</v>
      </c>
      <c r="D12171" t="s">
        <v>13435</v>
      </c>
      <c r="E12171" t="s">
        <v>13269</v>
      </c>
      <c r="F12171" s="69" t="s">
        <v>230</v>
      </c>
      <c r="G12171" t="s">
        <v>3694</v>
      </c>
      <c r="H12171" t="s">
        <v>2871</v>
      </c>
      <c r="I12171" t="s">
        <v>3695</v>
      </c>
      <c r="J12171" s="70">
        <v>129556.58</v>
      </c>
      <c r="K12171" s="71">
        <v>163154.77</v>
      </c>
      <c r="L12171" s="33" t="e">
        <f>HLOOKUP(B12171,#REF!,1,0)</f>
        <v>#REF!</v>
      </c>
      <c r="M12171" s="33" t="str">
        <f t="shared" si="763"/>
        <v>P&amp;L</v>
      </c>
    </row>
    <row r="12172" spans="1:13">
      <c r="A12172" s="33" t="str">
        <f t="shared" si="760"/>
        <v>API - Revenue</v>
      </c>
      <c r="B12172" s="33" t="str">
        <f t="shared" si="761"/>
        <v>API</v>
      </c>
      <c r="C12172" s="33" t="str">
        <f t="shared" si="762"/>
        <v>42130-0000</v>
      </c>
      <c r="D12172" t="s">
        <v>13436</v>
      </c>
      <c r="E12172" t="s">
        <v>13374</v>
      </c>
      <c r="F12172" s="69" t="s">
        <v>230</v>
      </c>
      <c r="G12172" t="s">
        <v>3694</v>
      </c>
      <c r="H12172" t="s">
        <v>2871</v>
      </c>
      <c r="I12172" t="s">
        <v>3704</v>
      </c>
      <c r="J12172" s="70">
        <v>3180</v>
      </c>
      <c r="K12172" s="71">
        <v>4190</v>
      </c>
      <c r="L12172" s="33" t="e">
        <f>HLOOKUP(B12172,#REF!,1,0)</f>
        <v>#REF!</v>
      </c>
      <c r="M12172" s="33" t="str">
        <f t="shared" si="763"/>
        <v>P&amp;L</v>
      </c>
    </row>
    <row r="12173" spans="1:13">
      <c r="A12173" s="33" t="str">
        <f t="shared" si="760"/>
        <v>API - Revenue</v>
      </c>
      <c r="B12173" s="33" t="str">
        <f t="shared" si="761"/>
        <v>API</v>
      </c>
      <c r="C12173" s="33" t="str">
        <f t="shared" si="762"/>
        <v>42150-0000</v>
      </c>
      <c r="D12173" t="s">
        <v>13437</v>
      </c>
      <c r="E12173" t="s">
        <v>13271</v>
      </c>
      <c r="F12173" s="69" t="s">
        <v>230</v>
      </c>
      <c r="G12173" t="s">
        <v>3694</v>
      </c>
      <c r="H12173" t="s">
        <v>2871</v>
      </c>
      <c r="I12173" t="s">
        <v>3710</v>
      </c>
      <c r="J12173" s="70">
        <v>36285</v>
      </c>
      <c r="K12173" s="71">
        <v>38910</v>
      </c>
      <c r="L12173" s="33" t="e">
        <f>HLOOKUP(B12173,#REF!,1,0)</f>
        <v>#REF!</v>
      </c>
      <c r="M12173" s="33" t="str">
        <f t="shared" si="763"/>
        <v>P&amp;L</v>
      </c>
    </row>
    <row r="12174" spans="1:13">
      <c r="A12174" s="33" t="str">
        <f t="shared" si="760"/>
        <v>API - Revenue</v>
      </c>
      <c r="B12174" s="33" t="str">
        <f t="shared" si="761"/>
        <v>API</v>
      </c>
      <c r="C12174" s="33" t="str">
        <f t="shared" si="762"/>
        <v>42160-0000</v>
      </c>
      <c r="D12174" t="s">
        <v>13438</v>
      </c>
      <c r="E12174" t="s">
        <v>3957</v>
      </c>
      <c r="F12174" s="69" t="s">
        <v>230</v>
      </c>
      <c r="G12174" t="s">
        <v>3694</v>
      </c>
      <c r="H12174" t="s">
        <v>2871</v>
      </c>
      <c r="I12174" t="s">
        <v>3701</v>
      </c>
      <c r="J12174" s="70">
        <v>-102643.04</v>
      </c>
      <c r="K12174" s="71">
        <v>-102643.04</v>
      </c>
      <c r="L12174" s="33" t="e">
        <f>HLOOKUP(B12174,#REF!,1,0)</f>
        <v>#REF!</v>
      </c>
      <c r="M12174" s="33" t="str">
        <f t="shared" si="763"/>
        <v>P&amp;L</v>
      </c>
    </row>
    <row r="12175" spans="1:13">
      <c r="A12175" s="33" t="str">
        <f t="shared" ref="A12175:A12238" si="764">B12175&amp;" - "&amp;TRIM(H12175)</f>
        <v>API - Revenue</v>
      </c>
      <c r="B12175" s="33" t="str">
        <f t="shared" ref="B12175:B12238" si="765">LEFT(D12175,3)</f>
        <v>API</v>
      </c>
      <c r="C12175" s="33" t="str">
        <f t="shared" ref="C12175:C12238" si="766">RIGHT(D12175,10)</f>
        <v>43120-0000</v>
      </c>
      <c r="D12175" t="s">
        <v>13439</v>
      </c>
      <c r="E12175" t="s">
        <v>3700</v>
      </c>
      <c r="F12175" s="69" t="s">
        <v>230</v>
      </c>
      <c r="G12175" t="s">
        <v>3694</v>
      </c>
      <c r="H12175" t="s">
        <v>2871</v>
      </c>
      <c r="I12175" t="s">
        <v>3701</v>
      </c>
      <c r="J12175" s="70">
        <v>-28787.96</v>
      </c>
      <c r="K12175" s="71">
        <v>-28787.96</v>
      </c>
      <c r="L12175" s="33" t="e">
        <f>HLOOKUP(B12175,#REF!,1,0)</f>
        <v>#REF!</v>
      </c>
      <c r="M12175" s="33" t="str">
        <f t="shared" ref="M12175:M12238" si="767">IF(VALUE(LEFT(C12175,5))&gt;40000,"P&amp;L","BS")</f>
        <v>P&amp;L</v>
      </c>
    </row>
    <row r="12176" spans="1:13">
      <c r="A12176" s="33" t="str">
        <f t="shared" si="764"/>
        <v>API - Revenue</v>
      </c>
      <c r="B12176" s="33" t="str">
        <f t="shared" si="765"/>
        <v>API</v>
      </c>
      <c r="C12176" s="33" t="str">
        <f t="shared" si="766"/>
        <v>43121-0000</v>
      </c>
      <c r="D12176" t="s">
        <v>13440</v>
      </c>
      <c r="E12176" t="s">
        <v>7768</v>
      </c>
      <c r="F12176" s="69" t="s">
        <v>230</v>
      </c>
      <c r="G12176" t="s">
        <v>3694</v>
      </c>
      <c r="H12176" t="s">
        <v>2871</v>
      </c>
      <c r="I12176" t="s">
        <v>3698</v>
      </c>
      <c r="J12176" s="70">
        <v>167470.61</v>
      </c>
      <c r="K12176" s="71">
        <v>167470.61</v>
      </c>
      <c r="L12176" s="33" t="e">
        <f>HLOOKUP(B12176,#REF!,1,0)</f>
        <v>#REF!</v>
      </c>
      <c r="M12176" s="33" t="str">
        <f t="shared" si="767"/>
        <v>P&amp;L</v>
      </c>
    </row>
    <row r="12177" spans="1:13">
      <c r="A12177" s="33" t="str">
        <f t="shared" si="764"/>
        <v>API - Revenue</v>
      </c>
      <c r="B12177" s="33" t="str">
        <f t="shared" si="765"/>
        <v>API</v>
      </c>
      <c r="C12177" s="33" t="str">
        <f t="shared" si="766"/>
        <v>43410-0000</v>
      </c>
      <c r="D12177" t="s">
        <v>13441</v>
      </c>
      <c r="E12177" t="s">
        <v>13276</v>
      </c>
      <c r="F12177" s="69" t="s">
        <v>230</v>
      </c>
      <c r="G12177" t="s">
        <v>3717</v>
      </c>
      <c r="H12177" t="s">
        <v>2871</v>
      </c>
      <c r="I12177" t="s">
        <v>3727</v>
      </c>
      <c r="J12177" s="70">
        <v>-10297.73</v>
      </c>
      <c r="K12177" s="71">
        <v>-10297.73</v>
      </c>
      <c r="L12177" s="33" t="e">
        <f>HLOOKUP(B12177,#REF!,1,0)</f>
        <v>#REF!</v>
      </c>
      <c r="M12177" s="33" t="str">
        <f t="shared" si="767"/>
        <v>P&amp;L</v>
      </c>
    </row>
    <row r="12178" spans="1:13">
      <c r="A12178" s="33" t="str">
        <f t="shared" si="764"/>
        <v>API - Revenue</v>
      </c>
      <c r="B12178" s="33" t="str">
        <f t="shared" si="765"/>
        <v>API</v>
      </c>
      <c r="C12178" s="33" t="str">
        <f t="shared" si="766"/>
        <v>43430-0000</v>
      </c>
      <c r="D12178" t="s">
        <v>13442</v>
      </c>
      <c r="E12178" t="s">
        <v>4053</v>
      </c>
      <c r="F12178" s="69" t="s">
        <v>230</v>
      </c>
      <c r="G12178" t="s">
        <v>3717</v>
      </c>
      <c r="H12178" t="s">
        <v>2871</v>
      </c>
      <c r="I12178" t="s">
        <v>4054</v>
      </c>
      <c r="J12178" s="70">
        <v>-2461.07</v>
      </c>
      <c r="K12178" s="71">
        <v>-2461.07</v>
      </c>
      <c r="L12178" s="33" t="e">
        <f>HLOOKUP(B12178,#REF!,1,0)</f>
        <v>#REF!</v>
      </c>
      <c r="M12178" s="33" t="str">
        <f t="shared" si="767"/>
        <v>P&amp;L</v>
      </c>
    </row>
    <row r="12179" spans="1:13">
      <c r="A12179" s="33" t="str">
        <f t="shared" si="764"/>
        <v>API - Revenue</v>
      </c>
      <c r="B12179" s="33" t="str">
        <f t="shared" si="765"/>
        <v>API</v>
      </c>
      <c r="C12179" s="33" t="str">
        <f t="shared" si="766"/>
        <v>43440-0000</v>
      </c>
      <c r="D12179" t="s">
        <v>13443</v>
      </c>
      <c r="E12179" t="s">
        <v>13278</v>
      </c>
      <c r="F12179" s="69" t="s">
        <v>230</v>
      </c>
      <c r="G12179" t="s">
        <v>3717</v>
      </c>
      <c r="H12179" t="s">
        <v>2871</v>
      </c>
      <c r="I12179" t="s">
        <v>3721</v>
      </c>
      <c r="J12179" s="70">
        <v>-14712.36</v>
      </c>
      <c r="K12179" s="71">
        <v>-16485.75</v>
      </c>
      <c r="L12179" s="33" t="e">
        <f>HLOOKUP(B12179,#REF!,1,0)</f>
        <v>#REF!</v>
      </c>
      <c r="M12179" s="33" t="str">
        <f t="shared" si="767"/>
        <v>P&amp;L</v>
      </c>
    </row>
    <row r="12180" spans="1:13">
      <c r="A12180" s="33" t="str">
        <f t="shared" si="764"/>
        <v>API - Revenue</v>
      </c>
      <c r="B12180" s="33" t="str">
        <f t="shared" si="765"/>
        <v>API</v>
      </c>
      <c r="C12180" s="33" t="str">
        <f t="shared" si="766"/>
        <v>43450-0000</v>
      </c>
      <c r="D12180" t="s">
        <v>13444</v>
      </c>
      <c r="E12180" t="s">
        <v>3723</v>
      </c>
      <c r="F12180" s="69" t="s">
        <v>230</v>
      </c>
      <c r="G12180" t="s">
        <v>3717</v>
      </c>
      <c r="H12180" t="s">
        <v>2871</v>
      </c>
      <c r="I12180" t="s">
        <v>3724</v>
      </c>
      <c r="J12180" s="70">
        <v>-6874.18</v>
      </c>
      <c r="K12180" s="71">
        <v>-7287.57</v>
      </c>
      <c r="L12180" s="33" t="e">
        <f>HLOOKUP(B12180,#REF!,1,0)</f>
        <v>#REF!</v>
      </c>
      <c r="M12180" s="33" t="str">
        <f t="shared" si="767"/>
        <v>P&amp;L</v>
      </c>
    </row>
    <row r="12181" spans="1:13">
      <c r="A12181" s="33" t="str">
        <f t="shared" si="764"/>
        <v>API - AP-Accr Exp</v>
      </c>
      <c r="B12181" s="33" t="str">
        <f t="shared" si="765"/>
        <v>API</v>
      </c>
      <c r="C12181" s="33" t="str">
        <f t="shared" si="766"/>
        <v>43480-0000</v>
      </c>
      <c r="D12181" t="s">
        <v>13445</v>
      </c>
      <c r="E12181" t="s">
        <v>13280</v>
      </c>
      <c r="F12181" s="69" t="s">
        <v>230</v>
      </c>
      <c r="G12181" t="s">
        <v>97</v>
      </c>
      <c r="H12181" t="s">
        <v>98</v>
      </c>
      <c r="I12181" t="s">
        <v>102</v>
      </c>
      <c r="J12181" s="70">
        <v>-4618.4</v>
      </c>
      <c r="K12181" s="71">
        <v>-4618.4</v>
      </c>
      <c r="L12181" s="33" t="e">
        <f>HLOOKUP(B12181,#REF!,1,0)</f>
        <v>#REF!</v>
      </c>
      <c r="M12181" s="33" t="str">
        <f t="shared" si="767"/>
        <v>P&amp;L</v>
      </c>
    </row>
    <row r="12182" spans="1:13">
      <c r="A12182" s="33" t="str">
        <f t="shared" si="764"/>
        <v>API - Revenue</v>
      </c>
      <c r="B12182" s="33" t="str">
        <f t="shared" si="765"/>
        <v>API</v>
      </c>
      <c r="C12182" s="33" t="str">
        <f t="shared" si="766"/>
        <v>43490-0000</v>
      </c>
      <c r="D12182" t="s">
        <v>13446</v>
      </c>
      <c r="E12182" t="s">
        <v>13282</v>
      </c>
      <c r="F12182" s="69" t="s">
        <v>230</v>
      </c>
      <c r="G12182" t="s">
        <v>3717</v>
      </c>
      <c r="H12182" t="s">
        <v>2871</v>
      </c>
      <c r="I12182" t="s">
        <v>3721</v>
      </c>
      <c r="J12182" s="70">
        <v>-10805.18</v>
      </c>
      <c r="K12182" s="71">
        <v>-10805.18</v>
      </c>
      <c r="L12182" s="33" t="e">
        <f>HLOOKUP(B12182,#REF!,1,0)</f>
        <v>#REF!</v>
      </c>
      <c r="M12182" s="33" t="str">
        <f t="shared" si="767"/>
        <v>P&amp;L</v>
      </c>
    </row>
    <row r="12183" spans="1:13">
      <c r="A12183" s="33" t="str">
        <f t="shared" si="764"/>
        <v>API - Revenue</v>
      </c>
      <c r="B12183" s="33" t="str">
        <f t="shared" si="765"/>
        <v>API</v>
      </c>
      <c r="C12183" s="33" t="str">
        <f t="shared" si="766"/>
        <v>43491-0000</v>
      </c>
      <c r="D12183" t="s">
        <v>13447</v>
      </c>
      <c r="E12183" t="s">
        <v>3733</v>
      </c>
      <c r="F12183" s="69" t="s">
        <v>230</v>
      </c>
      <c r="G12183" t="s">
        <v>3717</v>
      </c>
      <c r="H12183" t="s">
        <v>2871</v>
      </c>
      <c r="I12183" t="s">
        <v>3734</v>
      </c>
      <c r="J12183" s="70">
        <v>-128558.65</v>
      </c>
      <c r="K12183" s="71">
        <v>-145249.87</v>
      </c>
      <c r="L12183" s="33" t="e">
        <f>HLOOKUP(B12183,#REF!,1,0)</f>
        <v>#REF!</v>
      </c>
      <c r="M12183" s="33" t="str">
        <f t="shared" si="767"/>
        <v>P&amp;L</v>
      </c>
    </row>
    <row r="12184" spans="1:13">
      <c r="A12184" s="33" t="str">
        <f t="shared" si="764"/>
        <v>API - Revenue</v>
      </c>
      <c r="B12184" s="33" t="str">
        <f t="shared" si="765"/>
        <v>API</v>
      </c>
      <c r="C12184" s="33" t="str">
        <f t="shared" si="766"/>
        <v>43492-0000</v>
      </c>
      <c r="D12184" t="s">
        <v>13448</v>
      </c>
      <c r="E12184" t="s">
        <v>13285</v>
      </c>
      <c r="F12184" s="69" t="s">
        <v>230</v>
      </c>
      <c r="G12184" t="s">
        <v>3717</v>
      </c>
      <c r="H12184" t="s">
        <v>2871</v>
      </c>
      <c r="I12184" t="s">
        <v>3737</v>
      </c>
      <c r="J12184" s="70">
        <v>-6914.98</v>
      </c>
      <c r="K12184" s="71">
        <v>-7896.75</v>
      </c>
      <c r="L12184" s="33" t="e">
        <f>HLOOKUP(B12184,#REF!,1,0)</f>
        <v>#REF!</v>
      </c>
      <c r="M12184" s="33" t="str">
        <f t="shared" si="767"/>
        <v>P&amp;L</v>
      </c>
    </row>
    <row r="12185" spans="1:13">
      <c r="A12185" s="33" t="str">
        <f t="shared" si="764"/>
        <v>API - Revenue</v>
      </c>
      <c r="B12185" s="33" t="str">
        <f t="shared" si="765"/>
        <v>API</v>
      </c>
      <c r="C12185" s="33" t="str">
        <f t="shared" si="766"/>
        <v>43493-0000</v>
      </c>
      <c r="D12185" t="s">
        <v>13449</v>
      </c>
      <c r="E12185" t="s">
        <v>4229</v>
      </c>
      <c r="F12185" s="69" t="s">
        <v>230</v>
      </c>
      <c r="G12185" t="s">
        <v>3717</v>
      </c>
      <c r="H12185" t="s">
        <v>2871</v>
      </c>
      <c r="I12185" t="s">
        <v>4230</v>
      </c>
      <c r="J12185" s="70">
        <v>-6979.83</v>
      </c>
      <c r="K12185" s="71">
        <v>-6979.83</v>
      </c>
      <c r="L12185" s="33" t="e">
        <f>HLOOKUP(B12185,#REF!,1,0)</f>
        <v>#REF!</v>
      </c>
      <c r="M12185" s="33" t="str">
        <f t="shared" si="767"/>
        <v>P&amp;L</v>
      </c>
    </row>
    <row r="12186" spans="1:13">
      <c r="A12186" s="33" t="str">
        <f t="shared" si="764"/>
        <v>API - Revenue</v>
      </c>
      <c r="B12186" s="33" t="str">
        <f t="shared" si="765"/>
        <v>API</v>
      </c>
      <c r="C12186" s="33" t="str">
        <f t="shared" si="766"/>
        <v>49500-9999</v>
      </c>
      <c r="D12186" t="s">
        <v>13450</v>
      </c>
      <c r="E12186" t="s">
        <v>7244</v>
      </c>
      <c r="F12186" s="69" t="s">
        <v>230</v>
      </c>
      <c r="G12186" t="s">
        <v>3713</v>
      </c>
      <c r="H12186" t="s">
        <v>2871</v>
      </c>
      <c r="I12186" t="s">
        <v>3714</v>
      </c>
      <c r="J12186" s="70">
        <v>2961388.1</v>
      </c>
      <c r="K12186" s="71">
        <v>2961388.1</v>
      </c>
      <c r="L12186" s="33" t="e">
        <f>HLOOKUP(B12186,#REF!,1,0)</f>
        <v>#REF!</v>
      </c>
      <c r="M12186" s="33" t="str">
        <f t="shared" si="767"/>
        <v>P&amp;L</v>
      </c>
    </row>
    <row r="12187" spans="1:13">
      <c r="A12187" s="33" t="str">
        <f t="shared" si="764"/>
        <v>API - CGS</v>
      </c>
      <c r="B12187" s="33" t="str">
        <f t="shared" si="765"/>
        <v>API</v>
      </c>
      <c r="C12187" s="33" t="str">
        <f t="shared" si="766"/>
        <v>51003-0000</v>
      </c>
      <c r="D12187" t="s">
        <v>4231</v>
      </c>
      <c r="E12187" t="s">
        <v>13451</v>
      </c>
      <c r="F12187" s="69" t="s">
        <v>230</v>
      </c>
      <c r="G12187" t="s">
        <v>3740</v>
      </c>
      <c r="H12187" t="s">
        <v>1875</v>
      </c>
      <c r="I12187" t="s">
        <v>4233</v>
      </c>
      <c r="J12187" s="70">
        <v>186.45</v>
      </c>
      <c r="K12187" s="71">
        <v>186.45</v>
      </c>
      <c r="L12187" s="33" t="e">
        <f>HLOOKUP(B12187,#REF!,1,0)</f>
        <v>#REF!</v>
      </c>
      <c r="M12187" s="33" t="str">
        <f t="shared" si="767"/>
        <v>P&amp;L</v>
      </c>
    </row>
    <row r="12188" spans="1:13">
      <c r="A12188" s="33" t="str">
        <f t="shared" si="764"/>
        <v>API - CGS</v>
      </c>
      <c r="B12188" s="33" t="str">
        <f t="shared" si="765"/>
        <v>API</v>
      </c>
      <c r="C12188" s="33" t="str">
        <f t="shared" si="766"/>
        <v>51005-0000</v>
      </c>
      <c r="D12188" t="s">
        <v>4234</v>
      </c>
      <c r="E12188" t="s">
        <v>13287</v>
      </c>
      <c r="F12188" s="69" t="s">
        <v>230</v>
      </c>
      <c r="G12188" t="s">
        <v>3740</v>
      </c>
      <c r="H12188" t="s">
        <v>1875</v>
      </c>
      <c r="I12188" t="s">
        <v>3969</v>
      </c>
      <c r="J12188" s="70">
        <v>180</v>
      </c>
      <c r="K12188" s="71">
        <v>180</v>
      </c>
      <c r="L12188" s="33" t="e">
        <f>HLOOKUP(B12188,#REF!,1,0)</f>
        <v>#REF!</v>
      </c>
      <c r="M12188" s="33" t="str">
        <f t="shared" si="767"/>
        <v>P&amp;L</v>
      </c>
    </row>
    <row r="12189" spans="1:13">
      <c r="A12189" s="33" t="str">
        <f t="shared" si="764"/>
        <v>API - CGS</v>
      </c>
      <c r="B12189" s="33" t="str">
        <f t="shared" si="765"/>
        <v>API</v>
      </c>
      <c r="C12189" s="33" t="str">
        <f t="shared" si="766"/>
        <v>51006-0000</v>
      </c>
      <c r="D12189" t="s">
        <v>4235</v>
      </c>
      <c r="E12189" t="s">
        <v>13288</v>
      </c>
      <c r="F12189" s="69" t="s">
        <v>230</v>
      </c>
      <c r="G12189" t="s">
        <v>3740</v>
      </c>
      <c r="H12189" t="s">
        <v>1875</v>
      </c>
      <c r="I12189" t="s">
        <v>3741</v>
      </c>
      <c r="J12189" s="70">
        <v>5635.56</v>
      </c>
      <c r="K12189" s="71">
        <v>5635.56</v>
      </c>
      <c r="L12189" s="33" t="e">
        <f>HLOOKUP(B12189,#REF!,1,0)</f>
        <v>#REF!</v>
      </c>
      <c r="M12189" s="33" t="str">
        <f t="shared" si="767"/>
        <v>P&amp;L</v>
      </c>
    </row>
    <row r="12190" spans="1:13">
      <c r="A12190" s="33" t="str">
        <f t="shared" si="764"/>
        <v>API - CGS</v>
      </c>
      <c r="B12190" s="33" t="str">
        <f t="shared" si="765"/>
        <v>API</v>
      </c>
      <c r="C12190" s="33" t="str">
        <f t="shared" si="766"/>
        <v>51007-0000</v>
      </c>
      <c r="D12190" t="s">
        <v>4236</v>
      </c>
      <c r="E12190" t="s">
        <v>13289</v>
      </c>
      <c r="F12190" s="69" t="s">
        <v>230</v>
      </c>
      <c r="G12190" t="s">
        <v>3740</v>
      </c>
      <c r="H12190" t="s">
        <v>1875</v>
      </c>
      <c r="I12190" t="s">
        <v>3973</v>
      </c>
      <c r="J12190" s="70">
        <v>151.44</v>
      </c>
      <c r="K12190" s="71">
        <v>151.44</v>
      </c>
      <c r="L12190" s="33" t="e">
        <f>HLOOKUP(B12190,#REF!,1,0)</f>
        <v>#REF!</v>
      </c>
      <c r="M12190" s="33" t="str">
        <f t="shared" si="767"/>
        <v>P&amp;L</v>
      </c>
    </row>
    <row r="12191" spans="1:13">
      <c r="A12191" s="33" t="str">
        <f t="shared" si="764"/>
        <v>API - CGS</v>
      </c>
      <c r="B12191" s="33" t="str">
        <f t="shared" si="765"/>
        <v>API</v>
      </c>
      <c r="C12191" s="33" t="str">
        <f t="shared" si="766"/>
        <v>51008-0000</v>
      </c>
      <c r="D12191" t="s">
        <v>4237</v>
      </c>
      <c r="E12191" t="s">
        <v>13290</v>
      </c>
      <c r="F12191" s="69" t="s">
        <v>230</v>
      </c>
      <c r="G12191" t="s">
        <v>3740</v>
      </c>
      <c r="H12191" t="s">
        <v>1875</v>
      </c>
      <c r="I12191" t="s">
        <v>3744</v>
      </c>
      <c r="J12191" s="70">
        <v>8387.15</v>
      </c>
      <c r="K12191" s="71">
        <v>8424.65</v>
      </c>
      <c r="L12191" s="33" t="e">
        <f>HLOOKUP(B12191,#REF!,1,0)</f>
        <v>#REF!</v>
      </c>
      <c r="M12191" s="33" t="str">
        <f t="shared" si="767"/>
        <v>P&amp;L</v>
      </c>
    </row>
    <row r="12192" spans="1:13">
      <c r="A12192" s="33" t="str">
        <f t="shared" si="764"/>
        <v>API - CGS</v>
      </c>
      <c r="B12192" s="33" t="str">
        <f t="shared" si="765"/>
        <v>API</v>
      </c>
      <c r="C12192" s="33" t="str">
        <f t="shared" si="766"/>
        <v>51009-0000</v>
      </c>
      <c r="D12192" t="s">
        <v>4238</v>
      </c>
      <c r="E12192" t="s">
        <v>13291</v>
      </c>
      <c r="F12192" s="69" t="s">
        <v>230</v>
      </c>
      <c r="G12192" t="s">
        <v>3740</v>
      </c>
      <c r="H12192" t="s">
        <v>1875</v>
      </c>
      <c r="I12192" t="s">
        <v>3747</v>
      </c>
      <c r="J12192" s="70">
        <v>5085.74</v>
      </c>
      <c r="K12192" s="71">
        <v>5085.74</v>
      </c>
      <c r="L12192" s="33" t="e">
        <f>HLOOKUP(B12192,#REF!,1,0)</f>
        <v>#REF!</v>
      </c>
      <c r="M12192" s="33" t="str">
        <f t="shared" si="767"/>
        <v>P&amp;L</v>
      </c>
    </row>
    <row r="12193" spans="1:13">
      <c r="A12193" s="33" t="str">
        <f t="shared" si="764"/>
        <v>API - CGS</v>
      </c>
      <c r="B12193" s="33" t="str">
        <f t="shared" si="765"/>
        <v>API</v>
      </c>
      <c r="C12193" s="33" t="str">
        <f t="shared" si="766"/>
        <v>51011-0000</v>
      </c>
      <c r="D12193" t="s">
        <v>4239</v>
      </c>
      <c r="E12193" t="s">
        <v>13292</v>
      </c>
      <c r="F12193" s="69" t="s">
        <v>230</v>
      </c>
      <c r="G12193" t="s">
        <v>3740</v>
      </c>
      <c r="H12193" t="s">
        <v>1875</v>
      </c>
      <c r="I12193" t="s">
        <v>3750</v>
      </c>
      <c r="J12193" s="70">
        <v>54510</v>
      </c>
      <c r="K12193" s="71">
        <v>57510</v>
      </c>
      <c r="L12193" s="33" t="e">
        <f>HLOOKUP(B12193,#REF!,1,0)</f>
        <v>#REF!</v>
      </c>
      <c r="M12193" s="33" t="str">
        <f t="shared" si="767"/>
        <v>P&amp;L</v>
      </c>
    </row>
    <row r="12194" spans="1:13">
      <c r="A12194" s="33" t="str">
        <f t="shared" si="764"/>
        <v>API - CGS</v>
      </c>
      <c r="B12194" s="33" t="str">
        <f t="shared" si="765"/>
        <v>API</v>
      </c>
      <c r="C12194" s="33" t="str">
        <f t="shared" si="766"/>
        <v>51012-0000</v>
      </c>
      <c r="D12194" t="s">
        <v>4240</v>
      </c>
      <c r="E12194" t="s">
        <v>13293</v>
      </c>
      <c r="F12194" s="69" t="s">
        <v>230</v>
      </c>
      <c r="G12194" t="s">
        <v>3740</v>
      </c>
      <c r="H12194" t="s">
        <v>1875</v>
      </c>
      <c r="I12194" t="s">
        <v>3753</v>
      </c>
      <c r="J12194" s="70">
        <v>2255</v>
      </c>
      <c r="K12194" s="71">
        <v>2255</v>
      </c>
      <c r="L12194" s="33" t="e">
        <f>HLOOKUP(B12194,#REF!,1,0)</f>
        <v>#REF!</v>
      </c>
      <c r="M12194" s="33" t="str">
        <f t="shared" si="767"/>
        <v>P&amp;L</v>
      </c>
    </row>
    <row r="12195" spans="1:13">
      <c r="A12195" s="33" t="str">
        <f t="shared" si="764"/>
        <v>API - CGS</v>
      </c>
      <c r="B12195" s="33" t="str">
        <f t="shared" si="765"/>
        <v>API</v>
      </c>
      <c r="C12195" s="33" t="str">
        <f t="shared" si="766"/>
        <v>51013-0000</v>
      </c>
      <c r="D12195" t="s">
        <v>4241</v>
      </c>
      <c r="E12195" t="s">
        <v>13294</v>
      </c>
      <c r="F12195" s="69" t="s">
        <v>230</v>
      </c>
      <c r="G12195" t="s">
        <v>3740</v>
      </c>
      <c r="H12195" t="s">
        <v>1875</v>
      </c>
      <c r="I12195" t="s">
        <v>3980</v>
      </c>
      <c r="J12195" s="70">
        <v>4155</v>
      </c>
      <c r="K12195" s="71">
        <v>4155</v>
      </c>
      <c r="L12195" s="33" t="e">
        <f>HLOOKUP(B12195,#REF!,1,0)</f>
        <v>#REF!</v>
      </c>
      <c r="M12195" s="33" t="str">
        <f t="shared" si="767"/>
        <v>P&amp;L</v>
      </c>
    </row>
    <row r="12196" spans="1:13">
      <c r="A12196" s="33" t="str">
        <f t="shared" si="764"/>
        <v>API - CGS</v>
      </c>
      <c r="B12196" s="33" t="str">
        <f t="shared" si="765"/>
        <v>API</v>
      </c>
      <c r="C12196" s="33" t="str">
        <f t="shared" si="766"/>
        <v>51015-0000</v>
      </c>
      <c r="D12196" t="s">
        <v>4242</v>
      </c>
      <c r="E12196" t="s">
        <v>13295</v>
      </c>
      <c r="F12196" s="69" t="s">
        <v>230</v>
      </c>
      <c r="G12196" t="s">
        <v>3740</v>
      </c>
      <c r="H12196" t="s">
        <v>1875</v>
      </c>
      <c r="I12196" t="s">
        <v>3756</v>
      </c>
      <c r="J12196" s="70">
        <v>507.87</v>
      </c>
      <c r="K12196" s="71">
        <v>507.87</v>
      </c>
      <c r="L12196" s="33" t="e">
        <f>HLOOKUP(B12196,#REF!,1,0)</f>
        <v>#REF!</v>
      </c>
      <c r="M12196" s="33" t="str">
        <f t="shared" si="767"/>
        <v>P&amp;L</v>
      </c>
    </row>
    <row r="12197" spans="1:13">
      <c r="A12197" s="33" t="str">
        <f t="shared" si="764"/>
        <v>API - CGS</v>
      </c>
      <c r="B12197" s="33" t="str">
        <f t="shared" si="765"/>
        <v>API</v>
      </c>
      <c r="C12197" s="33" t="str">
        <f t="shared" si="766"/>
        <v>51019-0000</v>
      </c>
      <c r="D12197" t="s">
        <v>4244</v>
      </c>
      <c r="E12197" t="s">
        <v>13297</v>
      </c>
      <c r="F12197" s="69" t="s">
        <v>230</v>
      </c>
      <c r="G12197" t="s">
        <v>3740</v>
      </c>
      <c r="H12197" t="s">
        <v>1875</v>
      </c>
      <c r="I12197" t="s">
        <v>3340</v>
      </c>
      <c r="J12197" s="70">
        <v>212.34</v>
      </c>
      <c r="K12197" s="71">
        <v>212.34</v>
      </c>
      <c r="L12197" s="33" t="e">
        <f>HLOOKUP(B12197,#REF!,1,0)</f>
        <v>#REF!</v>
      </c>
      <c r="M12197" s="33" t="str">
        <f t="shared" si="767"/>
        <v>P&amp;L</v>
      </c>
    </row>
    <row r="12198" spans="1:13">
      <c r="A12198" s="33" t="str">
        <f t="shared" si="764"/>
        <v>API - CGS</v>
      </c>
      <c r="B12198" s="33" t="str">
        <f t="shared" si="765"/>
        <v>API</v>
      </c>
      <c r="C12198" s="33" t="str">
        <f t="shared" si="766"/>
        <v>51020-0000</v>
      </c>
      <c r="D12198" t="s">
        <v>4245</v>
      </c>
      <c r="E12198" t="s">
        <v>13298</v>
      </c>
      <c r="F12198" s="69" t="s">
        <v>230</v>
      </c>
      <c r="G12198" t="s">
        <v>3740</v>
      </c>
      <c r="H12198" t="s">
        <v>1875</v>
      </c>
      <c r="I12198" t="s">
        <v>3345</v>
      </c>
      <c r="J12198" s="70">
        <v>3171.4</v>
      </c>
      <c r="K12198" s="71">
        <v>3171.4</v>
      </c>
      <c r="L12198" s="33" t="e">
        <f>HLOOKUP(B12198,#REF!,1,0)</f>
        <v>#REF!</v>
      </c>
      <c r="M12198" s="33" t="str">
        <f t="shared" si="767"/>
        <v>P&amp;L</v>
      </c>
    </row>
    <row r="12199" spans="1:13">
      <c r="A12199" s="33" t="str">
        <f t="shared" si="764"/>
        <v>API - CGS</v>
      </c>
      <c r="B12199" s="33" t="str">
        <f t="shared" si="765"/>
        <v>API</v>
      </c>
      <c r="C12199" s="33" t="str">
        <f t="shared" si="766"/>
        <v>51025-0000</v>
      </c>
      <c r="D12199" t="s">
        <v>4247</v>
      </c>
      <c r="E12199" t="s">
        <v>13299</v>
      </c>
      <c r="F12199" s="69" t="s">
        <v>230</v>
      </c>
      <c r="G12199" t="s">
        <v>3740</v>
      </c>
      <c r="H12199" t="s">
        <v>13300</v>
      </c>
      <c r="I12199" t="s">
        <v>13299</v>
      </c>
      <c r="J12199" s="70">
        <v>12740.35</v>
      </c>
      <c r="K12199" s="71">
        <v>13989.2</v>
      </c>
      <c r="L12199" s="33" t="e">
        <f>HLOOKUP(B12199,#REF!,1,0)</f>
        <v>#REF!</v>
      </c>
      <c r="M12199" s="33" t="str">
        <f t="shared" si="767"/>
        <v>P&amp;L</v>
      </c>
    </row>
    <row r="12200" spans="1:13">
      <c r="A12200" s="33" t="str">
        <f t="shared" si="764"/>
        <v>API - CGS</v>
      </c>
      <c r="B12200" s="33" t="str">
        <f t="shared" si="765"/>
        <v>API</v>
      </c>
      <c r="C12200" s="33" t="str">
        <f t="shared" si="766"/>
        <v>51029-0000</v>
      </c>
      <c r="D12200" t="s">
        <v>4248</v>
      </c>
      <c r="E12200" t="s">
        <v>13302</v>
      </c>
      <c r="F12200" s="69" t="s">
        <v>230</v>
      </c>
      <c r="G12200" t="s">
        <v>3740</v>
      </c>
      <c r="H12200" t="s">
        <v>13300</v>
      </c>
      <c r="I12200" t="s">
        <v>13302</v>
      </c>
      <c r="J12200" s="70">
        <v>1734.92</v>
      </c>
      <c r="K12200" s="71">
        <v>1734.92</v>
      </c>
      <c r="L12200" s="33" t="e">
        <f>HLOOKUP(B12200,#REF!,1,0)</f>
        <v>#REF!</v>
      </c>
      <c r="M12200" s="33" t="str">
        <f t="shared" si="767"/>
        <v>P&amp;L</v>
      </c>
    </row>
    <row r="12201" spans="1:13">
      <c r="A12201" s="33" t="str">
        <f t="shared" si="764"/>
        <v>API - CGS</v>
      </c>
      <c r="B12201" s="33" t="str">
        <f t="shared" si="765"/>
        <v>API</v>
      </c>
      <c r="C12201" s="33" t="str">
        <f t="shared" si="766"/>
        <v>52001-0000</v>
      </c>
      <c r="D12201" t="s">
        <v>4249</v>
      </c>
      <c r="E12201" t="s">
        <v>13303</v>
      </c>
      <c r="F12201" s="69" t="s">
        <v>230</v>
      </c>
      <c r="G12201" t="s">
        <v>3769</v>
      </c>
      <c r="H12201" t="s">
        <v>1875</v>
      </c>
      <c r="I12201" t="s">
        <v>3770</v>
      </c>
      <c r="J12201" s="70">
        <v>5901.48</v>
      </c>
      <c r="K12201" s="71">
        <v>6426.48</v>
      </c>
      <c r="L12201" s="33" t="e">
        <f>HLOOKUP(B12201,#REF!,1,0)</f>
        <v>#REF!</v>
      </c>
      <c r="M12201" s="33" t="str">
        <f t="shared" si="767"/>
        <v>P&amp;L</v>
      </c>
    </row>
    <row r="12202" spans="1:13">
      <c r="A12202" s="33" t="str">
        <f t="shared" si="764"/>
        <v>API - CGS</v>
      </c>
      <c r="B12202" s="33" t="str">
        <f t="shared" si="765"/>
        <v>API</v>
      </c>
      <c r="C12202" s="33" t="str">
        <f t="shared" si="766"/>
        <v>52002-0000</v>
      </c>
      <c r="D12202" t="s">
        <v>4250</v>
      </c>
      <c r="E12202" t="s">
        <v>13304</v>
      </c>
      <c r="F12202" s="69" t="s">
        <v>230</v>
      </c>
      <c r="G12202" t="s">
        <v>3769</v>
      </c>
      <c r="H12202" t="s">
        <v>1875</v>
      </c>
      <c r="I12202" t="s">
        <v>3998</v>
      </c>
      <c r="J12202" s="70">
        <v>-746.17</v>
      </c>
      <c r="K12202" s="71">
        <v>-746.17</v>
      </c>
      <c r="L12202" s="33" t="e">
        <f>HLOOKUP(B12202,#REF!,1,0)</f>
        <v>#REF!</v>
      </c>
      <c r="M12202" s="33" t="str">
        <f t="shared" si="767"/>
        <v>P&amp;L</v>
      </c>
    </row>
    <row r="12203" spans="1:13">
      <c r="A12203" s="33" t="str">
        <f t="shared" si="764"/>
        <v>API - CGS</v>
      </c>
      <c r="B12203" s="33" t="str">
        <f t="shared" si="765"/>
        <v>API</v>
      </c>
      <c r="C12203" s="33" t="str">
        <f t="shared" si="766"/>
        <v>52003-0000</v>
      </c>
      <c r="D12203" t="s">
        <v>4251</v>
      </c>
      <c r="E12203" t="s">
        <v>13305</v>
      </c>
      <c r="F12203" s="69" t="s">
        <v>230</v>
      </c>
      <c r="G12203" t="s">
        <v>3769</v>
      </c>
      <c r="H12203" t="s">
        <v>1875</v>
      </c>
      <c r="I12203" t="s">
        <v>3773</v>
      </c>
      <c r="J12203" s="70">
        <v>4315</v>
      </c>
      <c r="K12203" s="71">
        <v>4315</v>
      </c>
      <c r="L12203" s="33" t="e">
        <f>HLOOKUP(B12203,#REF!,1,0)</f>
        <v>#REF!</v>
      </c>
      <c r="M12203" s="33" t="str">
        <f t="shared" si="767"/>
        <v>P&amp;L</v>
      </c>
    </row>
    <row r="12204" spans="1:13">
      <c r="A12204" s="33" t="str">
        <f t="shared" si="764"/>
        <v>API - CGS</v>
      </c>
      <c r="B12204" s="33" t="str">
        <f t="shared" si="765"/>
        <v>API</v>
      </c>
      <c r="C12204" s="33" t="str">
        <f t="shared" si="766"/>
        <v>52007-0000</v>
      </c>
      <c r="D12204" t="s">
        <v>13452</v>
      </c>
      <c r="E12204" t="s">
        <v>13388</v>
      </c>
      <c r="F12204" s="69" t="s">
        <v>230</v>
      </c>
      <c r="G12204" t="s">
        <v>3769</v>
      </c>
      <c r="H12204" t="s">
        <v>1875</v>
      </c>
      <c r="I12204" t="s">
        <v>8028</v>
      </c>
      <c r="J12204" s="70">
        <v>-2791</v>
      </c>
      <c r="K12204" s="71">
        <v>-2791</v>
      </c>
      <c r="L12204" s="33" t="e">
        <f>HLOOKUP(B12204,#REF!,1,0)</f>
        <v>#REF!</v>
      </c>
      <c r="M12204" s="33" t="str">
        <f t="shared" si="767"/>
        <v>P&amp;L</v>
      </c>
    </row>
    <row r="12205" spans="1:13">
      <c r="A12205" s="33" t="str">
        <f t="shared" si="764"/>
        <v>API - CGS</v>
      </c>
      <c r="B12205" s="33" t="str">
        <f t="shared" si="765"/>
        <v>API</v>
      </c>
      <c r="C12205" s="33" t="str">
        <f t="shared" si="766"/>
        <v>53001-0000</v>
      </c>
      <c r="D12205" t="s">
        <v>4254</v>
      </c>
      <c r="E12205" t="s">
        <v>13306</v>
      </c>
      <c r="F12205" s="69" t="s">
        <v>230</v>
      </c>
      <c r="G12205" t="s">
        <v>3160</v>
      </c>
      <c r="H12205" t="s">
        <v>1875</v>
      </c>
      <c r="I12205" t="s">
        <v>3782</v>
      </c>
      <c r="J12205" s="70">
        <v>3361.51</v>
      </c>
      <c r="K12205" s="71">
        <v>3361.51</v>
      </c>
      <c r="L12205" s="33" t="e">
        <f>HLOOKUP(B12205,#REF!,1,0)</f>
        <v>#REF!</v>
      </c>
      <c r="M12205" s="33" t="str">
        <f t="shared" si="767"/>
        <v>P&amp;L</v>
      </c>
    </row>
    <row r="12206" spans="1:13">
      <c r="A12206" s="33" t="str">
        <f t="shared" si="764"/>
        <v>API - CGS</v>
      </c>
      <c r="B12206" s="33" t="str">
        <f t="shared" si="765"/>
        <v>API</v>
      </c>
      <c r="C12206" s="33" t="str">
        <f t="shared" si="766"/>
        <v>53002-0000</v>
      </c>
      <c r="D12206" t="s">
        <v>4255</v>
      </c>
      <c r="E12206" t="s">
        <v>13307</v>
      </c>
      <c r="F12206" s="69" t="s">
        <v>230</v>
      </c>
      <c r="G12206" t="s">
        <v>3160</v>
      </c>
      <c r="H12206" t="s">
        <v>1875</v>
      </c>
      <c r="I12206" t="s">
        <v>3785</v>
      </c>
      <c r="J12206" s="70">
        <v>49204.21</v>
      </c>
      <c r="K12206" s="71">
        <v>49204.21</v>
      </c>
      <c r="L12206" s="33" t="e">
        <f>HLOOKUP(B12206,#REF!,1,0)</f>
        <v>#REF!</v>
      </c>
      <c r="M12206" s="33" t="str">
        <f t="shared" si="767"/>
        <v>P&amp;L</v>
      </c>
    </row>
    <row r="12207" spans="1:13">
      <c r="A12207" s="33" t="str">
        <f t="shared" si="764"/>
        <v>API - Operating Expense</v>
      </c>
      <c r="B12207" s="33" t="str">
        <f t="shared" si="765"/>
        <v>API</v>
      </c>
      <c r="C12207" s="33" t="str">
        <f t="shared" si="766"/>
        <v>53003-0000</v>
      </c>
      <c r="D12207" t="s">
        <v>4256</v>
      </c>
      <c r="E12207" t="s">
        <v>13308</v>
      </c>
      <c r="F12207" s="69" t="s">
        <v>230</v>
      </c>
      <c r="G12207" t="s">
        <v>4426</v>
      </c>
      <c r="H12207" t="s">
        <v>3022</v>
      </c>
      <c r="I12207" t="s">
        <v>6877</v>
      </c>
      <c r="J12207" s="70">
        <v>35630.23</v>
      </c>
      <c r="K12207" s="71">
        <v>35630.23</v>
      </c>
      <c r="L12207" s="33" t="e">
        <f>HLOOKUP(B12207,#REF!,1,0)</f>
        <v>#REF!</v>
      </c>
      <c r="M12207" s="33" t="str">
        <f t="shared" si="767"/>
        <v>P&amp;L</v>
      </c>
    </row>
    <row r="12208" spans="1:13">
      <c r="A12208" s="33" t="str">
        <f t="shared" si="764"/>
        <v>API - Operating Expense</v>
      </c>
      <c r="B12208" s="33" t="str">
        <f t="shared" si="765"/>
        <v>API</v>
      </c>
      <c r="C12208" s="33" t="str">
        <f t="shared" si="766"/>
        <v>53004-0000</v>
      </c>
      <c r="D12208" t="s">
        <v>4257</v>
      </c>
      <c r="E12208" t="s">
        <v>13309</v>
      </c>
      <c r="F12208" s="69" t="s">
        <v>230</v>
      </c>
      <c r="G12208" t="s">
        <v>4426</v>
      </c>
      <c r="H12208" t="s">
        <v>3022</v>
      </c>
      <c r="I12208" t="s">
        <v>6877</v>
      </c>
      <c r="J12208" s="70">
        <v>33587.2</v>
      </c>
      <c r="K12208" s="71">
        <v>33587.2</v>
      </c>
      <c r="L12208" s="33" t="e">
        <f>HLOOKUP(B12208,#REF!,1,0)</f>
        <v>#REF!</v>
      </c>
      <c r="M12208" s="33" t="str">
        <f t="shared" si="767"/>
        <v>P&amp;L</v>
      </c>
    </row>
    <row r="12209" spans="1:13">
      <c r="A12209" s="33" t="str">
        <f t="shared" si="764"/>
        <v>API - CGS</v>
      </c>
      <c r="B12209" s="33" t="str">
        <f t="shared" si="765"/>
        <v>API</v>
      </c>
      <c r="C12209" s="33" t="str">
        <f t="shared" si="766"/>
        <v>53005-0000</v>
      </c>
      <c r="D12209" t="s">
        <v>4258</v>
      </c>
      <c r="E12209" t="s">
        <v>13389</v>
      </c>
      <c r="F12209" s="69" t="s">
        <v>230</v>
      </c>
      <c r="G12209" t="s">
        <v>3160</v>
      </c>
      <c r="H12209" t="s">
        <v>1875</v>
      </c>
      <c r="I12209" t="s">
        <v>3794</v>
      </c>
      <c r="J12209" s="70">
        <v>17221.05</v>
      </c>
      <c r="K12209" s="71">
        <v>17221.05</v>
      </c>
      <c r="L12209" s="33" t="e">
        <f>HLOOKUP(B12209,#REF!,1,0)</f>
        <v>#REF!</v>
      </c>
      <c r="M12209" s="33" t="str">
        <f t="shared" si="767"/>
        <v>P&amp;L</v>
      </c>
    </row>
    <row r="12210" spans="1:13">
      <c r="A12210" s="33" t="str">
        <f t="shared" si="764"/>
        <v>API - CGS</v>
      </c>
      <c r="B12210" s="33" t="str">
        <f t="shared" si="765"/>
        <v>API</v>
      </c>
      <c r="C12210" s="33" t="str">
        <f t="shared" si="766"/>
        <v>53006-0000</v>
      </c>
      <c r="D12210" t="s">
        <v>4259</v>
      </c>
      <c r="E12210" t="s">
        <v>13310</v>
      </c>
      <c r="F12210" s="69" t="s">
        <v>230</v>
      </c>
      <c r="G12210" t="s">
        <v>3160</v>
      </c>
      <c r="H12210" t="s">
        <v>1875</v>
      </c>
      <c r="I12210" t="s">
        <v>3797</v>
      </c>
      <c r="J12210" s="70">
        <v>73054.59</v>
      </c>
      <c r="K12210" s="71">
        <v>73054.59</v>
      </c>
      <c r="L12210" s="33" t="e">
        <f>HLOOKUP(B12210,#REF!,1,0)</f>
        <v>#REF!</v>
      </c>
      <c r="M12210" s="33" t="str">
        <f t="shared" si="767"/>
        <v>P&amp;L</v>
      </c>
    </row>
    <row r="12211" spans="1:13">
      <c r="A12211" s="33" t="str">
        <f t="shared" si="764"/>
        <v>API - CGS</v>
      </c>
      <c r="B12211" s="33" t="str">
        <f t="shared" si="765"/>
        <v>API</v>
      </c>
      <c r="C12211" s="33" t="str">
        <f t="shared" si="766"/>
        <v>53011-0000</v>
      </c>
      <c r="D12211" t="s">
        <v>13453</v>
      </c>
      <c r="E12211" t="s">
        <v>13312</v>
      </c>
      <c r="F12211" s="69" t="s">
        <v>230</v>
      </c>
      <c r="G12211" t="s">
        <v>3160</v>
      </c>
      <c r="H12211" t="s">
        <v>13300</v>
      </c>
      <c r="I12211" t="s">
        <v>13313</v>
      </c>
      <c r="J12211" s="70">
        <v>2475.71</v>
      </c>
      <c r="K12211" s="71">
        <v>2475.71</v>
      </c>
      <c r="L12211" s="33" t="e">
        <f>HLOOKUP(B12211,#REF!,1,0)</f>
        <v>#REF!</v>
      </c>
      <c r="M12211" s="33" t="str">
        <f t="shared" si="767"/>
        <v>P&amp;L</v>
      </c>
    </row>
    <row r="12212" spans="1:13">
      <c r="A12212" s="33" t="str">
        <f t="shared" si="764"/>
        <v>API - CGS</v>
      </c>
      <c r="B12212" s="33" t="str">
        <f t="shared" si="765"/>
        <v>API</v>
      </c>
      <c r="C12212" s="33" t="str">
        <f t="shared" si="766"/>
        <v>54001-0000</v>
      </c>
      <c r="D12212" t="s">
        <v>4260</v>
      </c>
      <c r="E12212" t="s">
        <v>4008</v>
      </c>
      <c r="F12212" s="69" t="s">
        <v>230</v>
      </c>
      <c r="G12212" t="s">
        <v>3800</v>
      </c>
      <c r="H12212" t="s">
        <v>1875</v>
      </c>
      <c r="I12212" t="s">
        <v>4009</v>
      </c>
      <c r="J12212" s="70">
        <v>-1208.4</v>
      </c>
      <c r="K12212" s="71">
        <v>-1467.78</v>
      </c>
      <c r="L12212" s="33" t="e">
        <f>HLOOKUP(B12212,#REF!,1,0)</f>
        <v>#REF!</v>
      </c>
      <c r="M12212" s="33" t="str">
        <f t="shared" si="767"/>
        <v>P&amp;L</v>
      </c>
    </row>
    <row r="12213" spans="1:13">
      <c r="A12213" s="33" t="str">
        <f t="shared" si="764"/>
        <v>API - CGS</v>
      </c>
      <c r="B12213" s="33" t="str">
        <f t="shared" si="765"/>
        <v>API</v>
      </c>
      <c r="C12213" s="33" t="str">
        <f t="shared" si="766"/>
        <v>54002-0000</v>
      </c>
      <c r="D12213" t="s">
        <v>4261</v>
      </c>
      <c r="E12213" t="s">
        <v>3799</v>
      </c>
      <c r="F12213" s="69" t="s">
        <v>230</v>
      </c>
      <c r="G12213" t="s">
        <v>3800</v>
      </c>
      <c r="H12213" t="s">
        <v>1875</v>
      </c>
      <c r="I12213" t="s">
        <v>3801</v>
      </c>
      <c r="J12213" s="70">
        <v>16197</v>
      </c>
      <c r="K12213" s="71">
        <v>18522</v>
      </c>
      <c r="L12213" s="33" t="e">
        <f>HLOOKUP(B12213,#REF!,1,0)</f>
        <v>#REF!</v>
      </c>
      <c r="M12213" s="33" t="str">
        <f t="shared" si="767"/>
        <v>P&amp;L</v>
      </c>
    </row>
    <row r="12214" spans="1:13">
      <c r="A12214" s="33" t="str">
        <f t="shared" si="764"/>
        <v>API - CGS</v>
      </c>
      <c r="B12214" s="33" t="str">
        <f t="shared" si="765"/>
        <v>API</v>
      </c>
      <c r="C12214" s="33" t="str">
        <f t="shared" si="766"/>
        <v>54004-0000</v>
      </c>
      <c r="D12214" t="s">
        <v>4263</v>
      </c>
      <c r="E12214" t="s">
        <v>13314</v>
      </c>
      <c r="F12214" s="69" t="s">
        <v>230</v>
      </c>
      <c r="G12214" t="s">
        <v>3800</v>
      </c>
      <c r="H12214" t="s">
        <v>1875</v>
      </c>
      <c r="I12214" t="s">
        <v>3807</v>
      </c>
      <c r="J12214" s="70">
        <v>85355</v>
      </c>
      <c r="K12214" s="71">
        <v>92797.37</v>
      </c>
      <c r="L12214" s="33" t="e">
        <f>HLOOKUP(B12214,#REF!,1,0)</f>
        <v>#REF!</v>
      </c>
      <c r="M12214" s="33" t="str">
        <f t="shared" si="767"/>
        <v>P&amp;L</v>
      </c>
    </row>
    <row r="12215" spans="1:13">
      <c r="A12215" s="33" t="str">
        <f t="shared" si="764"/>
        <v>API - CGS</v>
      </c>
      <c r="B12215" s="33" t="str">
        <f t="shared" si="765"/>
        <v>API</v>
      </c>
      <c r="C12215" s="33" t="str">
        <f t="shared" si="766"/>
        <v>54005-0000</v>
      </c>
      <c r="D12215" t="s">
        <v>4264</v>
      </c>
      <c r="E12215" t="s">
        <v>3809</v>
      </c>
      <c r="F12215" s="69" t="s">
        <v>230</v>
      </c>
      <c r="G12215" t="s">
        <v>3800</v>
      </c>
      <c r="H12215" t="s">
        <v>1875</v>
      </c>
      <c r="I12215" t="s">
        <v>3810</v>
      </c>
      <c r="J12215" s="70">
        <v>747.89</v>
      </c>
      <c r="K12215" s="71">
        <v>806.02</v>
      </c>
      <c r="L12215" s="33" t="e">
        <f>HLOOKUP(B12215,#REF!,1,0)</f>
        <v>#REF!</v>
      </c>
      <c r="M12215" s="33" t="str">
        <f t="shared" si="767"/>
        <v>P&amp;L</v>
      </c>
    </row>
    <row r="12216" spans="1:13">
      <c r="A12216" s="33" t="str">
        <f t="shared" si="764"/>
        <v>API - CGS</v>
      </c>
      <c r="B12216" s="33" t="str">
        <f t="shared" si="765"/>
        <v>API</v>
      </c>
      <c r="C12216" s="33" t="str">
        <f t="shared" si="766"/>
        <v>54006-0000</v>
      </c>
      <c r="D12216" t="s">
        <v>4265</v>
      </c>
      <c r="E12216" t="s">
        <v>3812</v>
      </c>
      <c r="F12216" s="69" t="s">
        <v>230</v>
      </c>
      <c r="G12216" t="s">
        <v>3800</v>
      </c>
      <c r="H12216" t="s">
        <v>1875</v>
      </c>
      <c r="I12216" t="s">
        <v>3003</v>
      </c>
      <c r="J12216" s="70">
        <v>14421.3</v>
      </c>
      <c r="K12216" s="71">
        <v>15594.92</v>
      </c>
      <c r="L12216" s="33" t="e">
        <f>HLOOKUP(B12216,#REF!,1,0)</f>
        <v>#REF!</v>
      </c>
      <c r="M12216" s="33" t="str">
        <f t="shared" si="767"/>
        <v>P&amp;L</v>
      </c>
    </row>
    <row r="12217" spans="1:13">
      <c r="A12217" s="33" t="str">
        <f t="shared" si="764"/>
        <v>API - CGS</v>
      </c>
      <c r="B12217" s="33" t="str">
        <f t="shared" si="765"/>
        <v>API</v>
      </c>
      <c r="C12217" s="33" t="str">
        <f t="shared" si="766"/>
        <v>54007-0000</v>
      </c>
      <c r="D12217" t="s">
        <v>4266</v>
      </c>
      <c r="E12217" t="s">
        <v>13315</v>
      </c>
      <c r="F12217" s="69" t="s">
        <v>230</v>
      </c>
      <c r="G12217" t="s">
        <v>3800</v>
      </c>
      <c r="H12217" t="s">
        <v>1875</v>
      </c>
      <c r="I12217" t="s">
        <v>3815</v>
      </c>
      <c r="J12217" s="70">
        <v>78274.24</v>
      </c>
      <c r="K12217" s="71">
        <v>82472.74</v>
      </c>
      <c r="L12217" s="33" t="e">
        <f>HLOOKUP(B12217,#REF!,1,0)</f>
        <v>#REF!</v>
      </c>
      <c r="M12217" s="33" t="str">
        <f t="shared" si="767"/>
        <v>P&amp;L</v>
      </c>
    </row>
    <row r="12218" spans="1:13">
      <c r="A12218" s="33" t="str">
        <f t="shared" si="764"/>
        <v>API - CGS</v>
      </c>
      <c r="B12218" s="33" t="str">
        <f t="shared" si="765"/>
        <v>API</v>
      </c>
      <c r="C12218" s="33" t="str">
        <f t="shared" si="766"/>
        <v>61002-0000</v>
      </c>
      <c r="D12218" t="s">
        <v>13454</v>
      </c>
      <c r="E12218" t="s">
        <v>3837</v>
      </c>
      <c r="F12218" s="69" t="s">
        <v>230</v>
      </c>
      <c r="G12218" t="s">
        <v>3838</v>
      </c>
      <c r="H12218" t="s">
        <v>1875</v>
      </c>
      <c r="I12218" t="s">
        <v>3839</v>
      </c>
      <c r="J12218" s="70">
        <v>1088.2</v>
      </c>
      <c r="K12218" s="71">
        <v>1088.2</v>
      </c>
      <c r="L12218" s="33" t="e">
        <f>HLOOKUP(B12218,#REF!,1,0)</f>
        <v>#REF!</v>
      </c>
      <c r="M12218" s="33" t="str">
        <f t="shared" si="767"/>
        <v>P&amp;L</v>
      </c>
    </row>
    <row r="12219" spans="1:13">
      <c r="A12219" s="33" t="str">
        <f t="shared" si="764"/>
        <v>API - CGS</v>
      </c>
      <c r="B12219" s="33" t="str">
        <f t="shared" si="765"/>
        <v>API</v>
      </c>
      <c r="C12219" s="33" t="str">
        <f t="shared" si="766"/>
        <v>61005-0000</v>
      </c>
      <c r="D12219" t="s">
        <v>13455</v>
      </c>
      <c r="E12219" t="s">
        <v>3841</v>
      </c>
      <c r="F12219" s="69" t="s">
        <v>230</v>
      </c>
      <c r="G12219" t="s">
        <v>3838</v>
      </c>
      <c r="H12219" t="s">
        <v>1875</v>
      </c>
      <c r="I12219" t="s">
        <v>3842</v>
      </c>
      <c r="J12219" s="70">
        <v>30266.61</v>
      </c>
      <c r="K12219" s="71">
        <v>30266.61</v>
      </c>
      <c r="L12219" s="33" t="e">
        <f>HLOOKUP(B12219,#REF!,1,0)</f>
        <v>#REF!</v>
      </c>
      <c r="M12219" s="33" t="str">
        <f t="shared" si="767"/>
        <v>P&amp;L</v>
      </c>
    </row>
    <row r="12220" spans="1:13">
      <c r="A12220" s="33" t="str">
        <f t="shared" si="764"/>
        <v>API - CGS</v>
      </c>
      <c r="B12220" s="33" t="str">
        <f t="shared" si="765"/>
        <v>API</v>
      </c>
      <c r="C12220" s="33" t="str">
        <f t="shared" si="766"/>
        <v>61007-0000</v>
      </c>
      <c r="D12220" t="s">
        <v>13456</v>
      </c>
      <c r="E12220" t="s">
        <v>13319</v>
      </c>
      <c r="F12220" s="69" t="s">
        <v>230</v>
      </c>
      <c r="G12220" t="s">
        <v>3838</v>
      </c>
      <c r="H12220" t="s">
        <v>1875</v>
      </c>
      <c r="I12220" t="s">
        <v>3847</v>
      </c>
      <c r="J12220" s="70">
        <v>13583</v>
      </c>
      <c r="K12220" s="71">
        <v>13583</v>
      </c>
      <c r="L12220" s="33" t="e">
        <f>HLOOKUP(B12220,#REF!,1,0)</f>
        <v>#REF!</v>
      </c>
      <c r="M12220" s="33" t="str">
        <f t="shared" si="767"/>
        <v>P&amp;L</v>
      </c>
    </row>
    <row r="12221" spans="1:13">
      <c r="A12221" s="33" t="str">
        <f t="shared" si="764"/>
        <v>API - CGS</v>
      </c>
      <c r="B12221" s="33" t="str">
        <f t="shared" si="765"/>
        <v>API</v>
      </c>
      <c r="C12221" s="33" t="str">
        <f t="shared" si="766"/>
        <v>61008-0000</v>
      </c>
      <c r="D12221" t="s">
        <v>13457</v>
      </c>
      <c r="E12221" t="s">
        <v>13395</v>
      </c>
      <c r="F12221" s="69" t="s">
        <v>230</v>
      </c>
      <c r="G12221" t="s">
        <v>3838</v>
      </c>
      <c r="H12221" t="s">
        <v>13300</v>
      </c>
      <c r="I12221" t="s">
        <v>13396</v>
      </c>
      <c r="J12221" s="70">
        <v>7375</v>
      </c>
      <c r="K12221" s="71">
        <v>7375</v>
      </c>
      <c r="L12221" s="33" t="e">
        <f>HLOOKUP(B12221,#REF!,1,0)</f>
        <v>#REF!</v>
      </c>
      <c r="M12221" s="33" t="str">
        <f t="shared" si="767"/>
        <v>P&amp;L</v>
      </c>
    </row>
    <row r="12222" spans="1:13">
      <c r="A12222" s="33" t="str">
        <f t="shared" si="764"/>
        <v>API - CGS</v>
      </c>
      <c r="B12222" s="33" t="str">
        <f t="shared" si="765"/>
        <v>API</v>
      </c>
      <c r="C12222" s="33" t="str">
        <f t="shared" si="766"/>
        <v>61012-0000</v>
      </c>
      <c r="D12222" t="s">
        <v>13458</v>
      </c>
      <c r="E12222" t="s">
        <v>13321</v>
      </c>
      <c r="F12222" s="69" t="s">
        <v>230</v>
      </c>
      <c r="G12222" t="s">
        <v>3838</v>
      </c>
      <c r="H12222" t="s">
        <v>1875</v>
      </c>
      <c r="I12222" t="s">
        <v>3853</v>
      </c>
      <c r="J12222" s="70">
        <v>297385.69</v>
      </c>
      <c r="K12222" s="71">
        <v>297385.69</v>
      </c>
      <c r="L12222" s="33" t="e">
        <f>HLOOKUP(B12222,#REF!,1,0)</f>
        <v>#REF!</v>
      </c>
      <c r="M12222" s="33" t="str">
        <f t="shared" si="767"/>
        <v>P&amp;L</v>
      </c>
    </row>
    <row r="12223" spans="1:13">
      <c r="A12223" s="33" t="str">
        <f t="shared" si="764"/>
        <v>API - Revenue</v>
      </c>
      <c r="B12223" s="33" t="str">
        <f t="shared" si="765"/>
        <v>API</v>
      </c>
      <c r="C12223" s="33" t="str">
        <f t="shared" si="766"/>
        <v>61014-0000</v>
      </c>
      <c r="D12223" t="s">
        <v>13459</v>
      </c>
      <c r="E12223" t="s">
        <v>13323</v>
      </c>
      <c r="F12223" s="69" t="s">
        <v>230</v>
      </c>
      <c r="G12223" t="s">
        <v>3717</v>
      </c>
      <c r="H12223" t="s">
        <v>2871</v>
      </c>
      <c r="I12223" t="s">
        <v>12435</v>
      </c>
      <c r="J12223" s="70">
        <v>119139.97</v>
      </c>
      <c r="K12223" s="71">
        <v>119139.97</v>
      </c>
      <c r="L12223" s="33" t="e">
        <f>HLOOKUP(B12223,#REF!,1,0)</f>
        <v>#REF!</v>
      </c>
      <c r="M12223" s="33" t="str">
        <f t="shared" si="767"/>
        <v>P&amp;L</v>
      </c>
    </row>
    <row r="12224" spans="1:13">
      <c r="A12224" s="33" t="str">
        <f t="shared" si="764"/>
        <v>API - CGS</v>
      </c>
      <c r="B12224" s="33" t="str">
        <f t="shared" si="765"/>
        <v>API</v>
      </c>
      <c r="C12224" s="33" t="str">
        <f t="shared" si="766"/>
        <v>61015-0000</v>
      </c>
      <c r="D12224" t="s">
        <v>13460</v>
      </c>
      <c r="E12224" t="s">
        <v>13325</v>
      </c>
      <c r="F12224" s="69" t="s">
        <v>230</v>
      </c>
      <c r="G12224" t="s">
        <v>3838</v>
      </c>
      <c r="H12224" t="s">
        <v>1875</v>
      </c>
      <c r="I12224" t="s">
        <v>3859</v>
      </c>
      <c r="J12224" s="70">
        <v>5557.97</v>
      </c>
      <c r="K12224" s="71">
        <v>5557.97</v>
      </c>
      <c r="L12224" s="33" t="e">
        <f>HLOOKUP(B12224,#REF!,1,0)</f>
        <v>#REF!</v>
      </c>
      <c r="M12224" s="33" t="str">
        <f t="shared" si="767"/>
        <v>P&amp;L</v>
      </c>
    </row>
    <row r="12225" spans="1:13">
      <c r="A12225" s="33" t="str">
        <f t="shared" si="764"/>
        <v>API - CGS</v>
      </c>
      <c r="B12225" s="33" t="str">
        <f t="shared" si="765"/>
        <v>API</v>
      </c>
      <c r="C12225" s="33" t="str">
        <f t="shared" si="766"/>
        <v>61017-0000</v>
      </c>
      <c r="D12225" t="s">
        <v>13461</v>
      </c>
      <c r="E12225" t="s">
        <v>13462</v>
      </c>
      <c r="F12225" s="69" t="s">
        <v>230</v>
      </c>
      <c r="G12225" t="s">
        <v>3838</v>
      </c>
      <c r="H12225" t="s">
        <v>1875</v>
      </c>
      <c r="I12225" t="s">
        <v>3842</v>
      </c>
      <c r="J12225" s="70">
        <v>0</v>
      </c>
      <c r="K12225" s="71">
        <v>5007.41</v>
      </c>
      <c r="L12225" s="33" t="e">
        <f>HLOOKUP(B12225,#REF!,1,0)</f>
        <v>#REF!</v>
      </c>
      <c r="M12225" s="33" t="str">
        <f t="shared" si="767"/>
        <v>P&amp;L</v>
      </c>
    </row>
    <row r="12226" spans="1:13">
      <c r="A12226" s="33" t="str">
        <f t="shared" si="764"/>
        <v>API - Other Income/Expense</v>
      </c>
      <c r="B12226" s="33" t="str">
        <f t="shared" si="765"/>
        <v>API</v>
      </c>
      <c r="C12226" s="33" t="str">
        <f t="shared" si="766"/>
        <v>61022-0000</v>
      </c>
      <c r="D12226" t="s">
        <v>4285</v>
      </c>
      <c r="E12226" t="s">
        <v>4286</v>
      </c>
      <c r="F12226" s="69" t="s">
        <v>230</v>
      </c>
      <c r="G12226" t="s">
        <v>3838</v>
      </c>
      <c r="H12226" t="s">
        <v>3300</v>
      </c>
      <c r="I12226" t="s">
        <v>4287</v>
      </c>
      <c r="J12226" s="70">
        <v>20986.99</v>
      </c>
      <c r="K12226" s="71">
        <v>20986.99</v>
      </c>
      <c r="L12226" s="33" t="e">
        <f>HLOOKUP(B12226,#REF!,1,0)</f>
        <v>#REF!</v>
      </c>
      <c r="M12226" s="33" t="str">
        <f t="shared" si="767"/>
        <v>P&amp;L</v>
      </c>
    </row>
    <row r="12227" spans="1:13">
      <c r="A12227" s="33" t="str">
        <f t="shared" si="764"/>
        <v>API - CGS</v>
      </c>
      <c r="B12227" s="33" t="str">
        <f t="shared" si="765"/>
        <v>API</v>
      </c>
      <c r="C12227" s="33" t="str">
        <f t="shared" si="766"/>
        <v>61023-0000</v>
      </c>
      <c r="D12227" t="s">
        <v>4288</v>
      </c>
      <c r="E12227" t="s">
        <v>1873</v>
      </c>
      <c r="F12227" s="69" t="s">
        <v>230</v>
      </c>
      <c r="G12227" t="s">
        <v>1874</v>
      </c>
      <c r="H12227" t="s">
        <v>1875</v>
      </c>
      <c r="I12227" t="s">
        <v>1876</v>
      </c>
      <c r="J12227" s="70">
        <v>5037.88</v>
      </c>
      <c r="K12227" s="71">
        <v>5037.88</v>
      </c>
      <c r="L12227" s="33" t="e">
        <f>HLOOKUP(B12227,#REF!,1,0)</f>
        <v>#REF!</v>
      </c>
      <c r="M12227" s="33" t="str">
        <f t="shared" si="767"/>
        <v>P&amp;L</v>
      </c>
    </row>
    <row r="12228" spans="1:13">
      <c r="A12228" s="33" t="str">
        <f t="shared" si="764"/>
        <v>API - PM Expenses</v>
      </c>
      <c r="B12228" s="33" t="str">
        <f t="shared" si="765"/>
        <v>API</v>
      </c>
      <c r="C12228" s="33" t="str">
        <f t="shared" si="766"/>
        <v>71020-0000</v>
      </c>
      <c r="D12228" t="s">
        <v>13463</v>
      </c>
      <c r="E12228" t="s">
        <v>13328</v>
      </c>
      <c r="F12228" s="69" t="s">
        <v>230</v>
      </c>
      <c r="G12228" t="s">
        <v>3818</v>
      </c>
      <c r="H12228" t="s">
        <v>3819</v>
      </c>
      <c r="I12228" t="s">
        <v>3820</v>
      </c>
      <c r="J12228" s="70">
        <v>73233.25</v>
      </c>
      <c r="K12228" s="71">
        <v>73233.25</v>
      </c>
      <c r="L12228" s="33" t="e">
        <f>HLOOKUP(B12228,#REF!,1,0)</f>
        <v>#REF!</v>
      </c>
      <c r="M12228" s="33" t="str">
        <f t="shared" si="767"/>
        <v>P&amp;L</v>
      </c>
    </row>
    <row r="12229" spans="1:13">
      <c r="A12229" s="33" t="str">
        <f t="shared" si="764"/>
        <v>API - PM Expenses</v>
      </c>
      <c r="B12229" s="33" t="str">
        <f t="shared" si="765"/>
        <v>API</v>
      </c>
      <c r="C12229" s="33" t="str">
        <f t="shared" si="766"/>
        <v>71030-0000</v>
      </c>
      <c r="D12229" t="s">
        <v>13464</v>
      </c>
      <c r="E12229" t="s">
        <v>13330</v>
      </c>
      <c r="F12229" s="69" t="s">
        <v>230</v>
      </c>
      <c r="G12229" t="s">
        <v>3818</v>
      </c>
      <c r="H12229" t="s">
        <v>3819</v>
      </c>
      <c r="I12229" t="s">
        <v>3823</v>
      </c>
      <c r="J12229" s="70">
        <v>14760.21</v>
      </c>
      <c r="K12229" s="71">
        <v>14760.21</v>
      </c>
      <c r="L12229" s="33" t="e">
        <f>HLOOKUP(B12229,#REF!,1,0)</f>
        <v>#REF!</v>
      </c>
      <c r="M12229" s="33" t="str">
        <f t="shared" si="767"/>
        <v>P&amp;L</v>
      </c>
    </row>
    <row r="12230" spans="1:13">
      <c r="A12230" s="33" t="str">
        <f t="shared" si="764"/>
        <v>API - PM Expenses</v>
      </c>
      <c r="B12230" s="33" t="str">
        <f t="shared" si="765"/>
        <v>API</v>
      </c>
      <c r="C12230" s="33" t="str">
        <f t="shared" si="766"/>
        <v>71040-0000</v>
      </c>
      <c r="D12230" t="s">
        <v>13465</v>
      </c>
      <c r="E12230" t="s">
        <v>13332</v>
      </c>
      <c r="F12230" s="69" t="s">
        <v>230</v>
      </c>
      <c r="G12230" t="s">
        <v>3818</v>
      </c>
      <c r="H12230" t="s">
        <v>3819</v>
      </c>
      <c r="I12230" t="s">
        <v>3826</v>
      </c>
      <c r="J12230" s="70">
        <v>22502.19</v>
      </c>
      <c r="K12230" s="71">
        <v>22502.19</v>
      </c>
      <c r="L12230" s="33" t="e">
        <f>HLOOKUP(B12230,#REF!,1,0)</f>
        <v>#REF!</v>
      </c>
      <c r="M12230" s="33" t="str">
        <f t="shared" si="767"/>
        <v>P&amp;L</v>
      </c>
    </row>
    <row r="12231" spans="1:13">
      <c r="A12231" s="33" t="str">
        <f t="shared" si="764"/>
        <v>API - PM Expenses</v>
      </c>
      <c r="B12231" s="33" t="str">
        <f t="shared" si="765"/>
        <v>API</v>
      </c>
      <c r="C12231" s="33" t="str">
        <f t="shared" si="766"/>
        <v>71050-0000</v>
      </c>
      <c r="D12231" t="s">
        <v>13466</v>
      </c>
      <c r="E12231" t="s">
        <v>13334</v>
      </c>
      <c r="F12231" s="69" t="s">
        <v>230</v>
      </c>
      <c r="G12231" t="s">
        <v>3818</v>
      </c>
      <c r="H12231" t="s">
        <v>3819</v>
      </c>
      <c r="I12231" t="s">
        <v>4028</v>
      </c>
      <c r="J12231" s="70">
        <v>800</v>
      </c>
      <c r="K12231" s="71">
        <v>800</v>
      </c>
      <c r="L12231" s="33" t="e">
        <f>HLOOKUP(B12231,#REF!,1,0)</f>
        <v>#REF!</v>
      </c>
      <c r="M12231" s="33" t="str">
        <f t="shared" si="767"/>
        <v>P&amp;L</v>
      </c>
    </row>
    <row r="12232" spans="1:13">
      <c r="A12232" s="33" t="str">
        <f t="shared" si="764"/>
        <v>API - PM Expenses</v>
      </c>
      <c r="B12232" s="33" t="str">
        <f t="shared" si="765"/>
        <v>API</v>
      </c>
      <c r="C12232" s="33" t="str">
        <f t="shared" si="766"/>
        <v>71060-0000</v>
      </c>
      <c r="D12232" t="s">
        <v>13467</v>
      </c>
      <c r="E12232" t="s">
        <v>13336</v>
      </c>
      <c r="F12232" s="69" t="s">
        <v>230</v>
      </c>
      <c r="G12232" t="s">
        <v>3818</v>
      </c>
      <c r="H12232" t="s">
        <v>3819</v>
      </c>
      <c r="I12232" t="s">
        <v>3829</v>
      </c>
      <c r="J12232" s="70">
        <v>50358.22</v>
      </c>
      <c r="K12232" s="71">
        <v>50358.22</v>
      </c>
      <c r="L12232" s="33" t="e">
        <f>HLOOKUP(B12232,#REF!,1,0)</f>
        <v>#REF!</v>
      </c>
      <c r="M12232" s="33" t="str">
        <f t="shared" si="767"/>
        <v>P&amp;L</v>
      </c>
    </row>
    <row r="12233" spans="1:13">
      <c r="A12233" s="33" t="str">
        <f t="shared" si="764"/>
        <v>API - PM Expenses</v>
      </c>
      <c r="B12233" s="33" t="str">
        <f t="shared" si="765"/>
        <v>API</v>
      </c>
      <c r="C12233" s="33" t="str">
        <f t="shared" si="766"/>
        <v>71070-0000</v>
      </c>
      <c r="D12233" t="s">
        <v>13468</v>
      </c>
      <c r="E12233" t="s">
        <v>13338</v>
      </c>
      <c r="F12233" s="69" t="s">
        <v>230</v>
      </c>
      <c r="G12233" t="s">
        <v>3818</v>
      </c>
      <c r="H12233" t="s">
        <v>3819</v>
      </c>
      <c r="I12233" t="s">
        <v>3832</v>
      </c>
      <c r="J12233" s="70">
        <v>291912.84</v>
      </c>
      <c r="K12233" s="71">
        <v>291912.84</v>
      </c>
      <c r="L12233" s="33" t="e">
        <f>HLOOKUP(B12233,#REF!,1,0)</f>
        <v>#REF!</v>
      </c>
      <c r="M12233" s="33" t="str">
        <f t="shared" si="767"/>
        <v>P&amp;L</v>
      </c>
    </row>
    <row r="12234" spans="1:13">
      <c r="A12234" s="33" t="str">
        <f t="shared" si="764"/>
        <v>API - PM Expenses</v>
      </c>
      <c r="B12234" s="33" t="str">
        <f t="shared" si="765"/>
        <v>API</v>
      </c>
      <c r="C12234" s="33" t="str">
        <f t="shared" si="766"/>
        <v>71080-0000</v>
      </c>
      <c r="D12234" t="s">
        <v>13469</v>
      </c>
      <c r="E12234" t="s">
        <v>13340</v>
      </c>
      <c r="F12234" s="69" t="s">
        <v>230</v>
      </c>
      <c r="G12234" t="s">
        <v>3818</v>
      </c>
      <c r="H12234" t="s">
        <v>3819</v>
      </c>
      <c r="I12234" t="s">
        <v>3835</v>
      </c>
      <c r="J12234" s="70">
        <v>586.21</v>
      </c>
      <c r="K12234" s="71">
        <v>586.21</v>
      </c>
      <c r="L12234" s="33" t="e">
        <f>HLOOKUP(B12234,#REF!,1,0)</f>
        <v>#REF!</v>
      </c>
      <c r="M12234" s="33" t="str">
        <f t="shared" si="767"/>
        <v>P&amp;L</v>
      </c>
    </row>
    <row r="12235" spans="1:13">
      <c r="A12235" s="33" t="str">
        <f t="shared" si="764"/>
        <v>API - CGS</v>
      </c>
      <c r="B12235" s="33" t="str">
        <f t="shared" si="765"/>
        <v>API</v>
      </c>
      <c r="C12235" s="33" t="str">
        <f t="shared" si="766"/>
        <v>71100-0000</v>
      </c>
      <c r="D12235" t="s">
        <v>13470</v>
      </c>
      <c r="E12235" t="s">
        <v>13342</v>
      </c>
      <c r="F12235" s="69" t="s">
        <v>230</v>
      </c>
      <c r="G12235" t="s">
        <v>3769</v>
      </c>
      <c r="H12235" t="s">
        <v>1875</v>
      </c>
      <c r="I12235" t="s">
        <v>3776</v>
      </c>
      <c r="J12235" s="70">
        <v>2487.7</v>
      </c>
      <c r="K12235" s="71">
        <v>2487.7</v>
      </c>
      <c r="L12235" s="33" t="e">
        <f>HLOOKUP(B12235,#REF!,1,0)</f>
        <v>#REF!</v>
      </c>
      <c r="M12235" s="33" t="str">
        <f t="shared" si="767"/>
        <v>P&amp;L</v>
      </c>
    </row>
    <row r="12236" spans="1:13">
      <c r="A12236" s="33" t="str">
        <f t="shared" si="764"/>
        <v>API - CGS</v>
      </c>
      <c r="B12236" s="33" t="str">
        <f t="shared" si="765"/>
        <v>API</v>
      </c>
      <c r="C12236" s="33" t="str">
        <f t="shared" si="766"/>
        <v>71110-0000</v>
      </c>
      <c r="D12236" t="s">
        <v>13471</v>
      </c>
      <c r="E12236" t="s">
        <v>13344</v>
      </c>
      <c r="F12236" s="69" t="s">
        <v>230</v>
      </c>
      <c r="G12236" t="s">
        <v>3769</v>
      </c>
      <c r="H12236" t="s">
        <v>1875</v>
      </c>
      <c r="I12236" t="s">
        <v>3779</v>
      </c>
      <c r="J12236" s="70">
        <v>10238.38</v>
      </c>
      <c r="K12236" s="71">
        <v>10238.38</v>
      </c>
      <c r="L12236" s="33" t="e">
        <f>HLOOKUP(B12236,#REF!,1,0)</f>
        <v>#REF!</v>
      </c>
      <c r="M12236" s="33" t="str">
        <f t="shared" si="767"/>
        <v>P&amp;L</v>
      </c>
    </row>
    <row r="12237" spans="1:13">
      <c r="A12237" s="33" t="str">
        <f t="shared" si="764"/>
        <v>API - Interest Expense</v>
      </c>
      <c r="B12237" s="33" t="str">
        <f t="shared" si="765"/>
        <v>API</v>
      </c>
      <c r="C12237" s="33" t="str">
        <f t="shared" si="766"/>
        <v>80006-0000</v>
      </c>
      <c r="D12237" t="s">
        <v>13472</v>
      </c>
      <c r="E12237" t="s">
        <v>3325</v>
      </c>
      <c r="F12237" s="69" t="s">
        <v>230</v>
      </c>
      <c r="G12237" t="s">
        <v>3326</v>
      </c>
      <c r="H12237" t="s">
        <v>3327</v>
      </c>
      <c r="I12237" t="s">
        <v>3328</v>
      </c>
      <c r="J12237" s="70">
        <v>1432983.34</v>
      </c>
      <c r="K12237" s="71">
        <v>1779705.94</v>
      </c>
      <c r="L12237" s="33" t="e">
        <f>HLOOKUP(B12237,#REF!,1,0)</f>
        <v>#REF!</v>
      </c>
      <c r="M12237" s="33" t="str">
        <f t="shared" si="767"/>
        <v>P&amp;L</v>
      </c>
    </row>
    <row r="12238" spans="1:13">
      <c r="A12238" s="33" t="str">
        <f t="shared" si="764"/>
        <v>API - Income Tax</v>
      </c>
      <c r="B12238" s="33" t="str">
        <f t="shared" si="765"/>
        <v>API</v>
      </c>
      <c r="C12238" s="33" t="str">
        <f t="shared" si="766"/>
        <v>81019-0000</v>
      </c>
      <c r="D12238" t="s">
        <v>13473</v>
      </c>
      <c r="E12238" t="s">
        <v>13347</v>
      </c>
      <c r="F12238" s="69" t="s">
        <v>230</v>
      </c>
      <c r="G12238" t="s">
        <v>3844</v>
      </c>
      <c r="H12238" t="s">
        <v>3378</v>
      </c>
      <c r="I12238" t="s">
        <v>4042</v>
      </c>
      <c r="J12238" s="70">
        <v>9070.96</v>
      </c>
      <c r="K12238" s="71">
        <v>9070.96</v>
      </c>
      <c r="L12238" s="33" t="e">
        <f>HLOOKUP(B12238,#REF!,1,0)</f>
        <v>#REF!</v>
      </c>
      <c r="M12238" s="33" t="str">
        <f t="shared" si="767"/>
        <v>P&amp;L</v>
      </c>
    </row>
    <row r="12239" spans="1:13">
      <c r="A12239" s="33" t="str">
        <f t="shared" ref="A12239:A12302" si="768">B12239&amp;" - "&amp;TRIM(H12239)</f>
        <v>API - Other Expenses</v>
      </c>
      <c r="B12239" s="33" t="str">
        <f t="shared" ref="B12239:B12302" si="769">LEFT(D12239,3)</f>
        <v>API</v>
      </c>
      <c r="C12239" s="33" t="str">
        <f t="shared" ref="C12239:C12302" si="770">RIGHT(D12239,10)</f>
        <v>81228-0000</v>
      </c>
      <c r="D12239" t="s">
        <v>13474</v>
      </c>
      <c r="E12239" t="s">
        <v>3864</v>
      </c>
      <c r="F12239" s="69" t="s">
        <v>230</v>
      </c>
      <c r="G12239" t="s">
        <v>3838</v>
      </c>
      <c r="H12239" t="s">
        <v>3865</v>
      </c>
      <c r="I12239" t="s">
        <v>3866</v>
      </c>
      <c r="J12239" s="70">
        <v>-2409.29</v>
      </c>
      <c r="K12239" s="71">
        <v>-2409.29</v>
      </c>
      <c r="L12239" s="33" t="e">
        <f>HLOOKUP(B12239,#REF!,1,0)</f>
        <v>#REF!</v>
      </c>
      <c r="M12239" s="33" t="str">
        <f t="shared" ref="M12239:M12302" si="771">IF(VALUE(LEFT(C12239,5))&gt;40000,"P&amp;L","BS")</f>
        <v>P&amp;L</v>
      </c>
    </row>
    <row r="12240" spans="1:13">
      <c r="A12240" s="33" t="str">
        <f t="shared" si="768"/>
        <v>BET - SH Dist</v>
      </c>
      <c r="B12240" s="33" t="str">
        <f t="shared" si="769"/>
        <v>BET</v>
      </c>
      <c r="C12240" s="33" t="str">
        <f t="shared" si="770"/>
        <v>10001-0000</v>
      </c>
      <c r="D12240" t="s">
        <v>468</v>
      </c>
      <c r="E12240" t="s">
        <v>13221</v>
      </c>
      <c r="F12240" s="69" t="s">
        <v>230</v>
      </c>
      <c r="G12240" t="s">
        <v>142</v>
      </c>
      <c r="H12240" t="s">
        <v>143</v>
      </c>
      <c r="I12240" t="s">
        <v>144</v>
      </c>
      <c r="J12240" s="70">
        <v>46623.2</v>
      </c>
      <c r="K12240" s="71">
        <v>-8102.1</v>
      </c>
      <c r="L12240" s="33" t="e">
        <f>HLOOKUP(B12240,#REF!,1,0)</f>
        <v>#REF!</v>
      </c>
      <c r="M12240" s="33" t="str">
        <f t="shared" si="771"/>
        <v>BS</v>
      </c>
    </row>
    <row r="12241" spans="1:13">
      <c r="A12241" s="33" t="str">
        <f t="shared" si="768"/>
        <v>BET - SH Dist</v>
      </c>
      <c r="B12241" s="33" t="str">
        <f t="shared" si="769"/>
        <v>BET</v>
      </c>
      <c r="C12241" s="33" t="str">
        <f t="shared" si="770"/>
        <v>10006-0000</v>
      </c>
      <c r="D12241" t="s">
        <v>13475</v>
      </c>
      <c r="E12241" t="s">
        <v>13223</v>
      </c>
      <c r="F12241" s="69" t="s">
        <v>230</v>
      </c>
      <c r="G12241" t="s">
        <v>142</v>
      </c>
      <c r="H12241" t="s">
        <v>143</v>
      </c>
      <c r="I12241" t="s">
        <v>144</v>
      </c>
      <c r="J12241" s="70">
        <v>0</v>
      </c>
      <c r="K12241" s="71">
        <v>130960.17</v>
      </c>
      <c r="L12241" s="33" t="e">
        <f>HLOOKUP(B12241,#REF!,1,0)</f>
        <v>#REF!</v>
      </c>
      <c r="M12241" s="33" t="str">
        <f t="shared" si="771"/>
        <v>BS</v>
      </c>
    </row>
    <row r="12242" spans="1:13">
      <c r="A12242" s="33" t="str">
        <f t="shared" si="768"/>
        <v>BET - Intercompany</v>
      </c>
      <c r="B12242" s="33" t="str">
        <f t="shared" si="769"/>
        <v>BET</v>
      </c>
      <c r="C12242" s="33" t="str">
        <f t="shared" si="770"/>
        <v>11216-0000</v>
      </c>
      <c r="D12242" t="s">
        <v>469</v>
      </c>
      <c r="E12242" t="s">
        <v>13224</v>
      </c>
      <c r="F12242" s="69" t="s">
        <v>230</v>
      </c>
      <c r="G12242" t="s">
        <v>16</v>
      </c>
      <c r="H12242" t="s">
        <v>39</v>
      </c>
      <c r="I12242" t="s">
        <v>40</v>
      </c>
      <c r="J12242" s="70">
        <v>70382.54</v>
      </c>
      <c r="K12242" s="71">
        <v>58886.89</v>
      </c>
      <c r="L12242" s="33" t="e">
        <f>HLOOKUP(B12242,#REF!,1,0)</f>
        <v>#REF!</v>
      </c>
      <c r="M12242" s="33" t="str">
        <f t="shared" si="771"/>
        <v>BS</v>
      </c>
    </row>
    <row r="12243" spans="1:13">
      <c r="A12243" s="33" t="str">
        <f t="shared" si="768"/>
        <v>BET - Intercompany</v>
      </c>
      <c r="B12243" s="33" t="str">
        <f t="shared" si="769"/>
        <v>BET</v>
      </c>
      <c r="C12243" s="33" t="str">
        <f t="shared" si="770"/>
        <v>11303-0000</v>
      </c>
      <c r="D12243" t="s">
        <v>470</v>
      </c>
      <c r="E12243" t="s">
        <v>13227</v>
      </c>
      <c r="F12243" s="69" t="s">
        <v>230</v>
      </c>
      <c r="G12243" t="s">
        <v>16</v>
      </c>
      <c r="H12243" t="s">
        <v>39</v>
      </c>
      <c r="I12243" t="s">
        <v>40</v>
      </c>
      <c r="J12243" s="70">
        <v>-15000</v>
      </c>
      <c r="K12243" s="71">
        <v>-15000</v>
      </c>
      <c r="L12243" s="33" t="e">
        <f>HLOOKUP(B12243,#REF!,1,0)</f>
        <v>#REF!</v>
      </c>
      <c r="M12243" s="33" t="str">
        <f t="shared" si="771"/>
        <v>BS</v>
      </c>
    </row>
    <row r="12244" spans="1:13">
      <c r="A12244" s="33" t="str">
        <f t="shared" si="768"/>
        <v>BET - Intercompany</v>
      </c>
      <c r="B12244" s="33" t="str">
        <f t="shared" si="769"/>
        <v>BET</v>
      </c>
      <c r="C12244" s="33" t="str">
        <f t="shared" si="770"/>
        <v>11308-0000</v>
      </c>
      <c r="D12244" t="s">
        <v>471</v>
      </c>
      <c r="E12244" t="s">
        <v>13476</v>
      </c>
      <c r="F12244" s="69" t="s">
        <v>230</v>
      </c>
      <c r="G12244" t="s">
        <v>16</v>
      </c>
      <c r="H12244" t="s">
        <v>39</v>
      </c>
      <c r="I12244" t="s">
        <v>40</v>
      </c>
      <c r="J12244" s="70">
        <v>5000</v>
      </c>
      <c r="K12244" s="71">
        <v>5000</v>
      </c>
      <c r="L12244" s="33" t="e">
        <f>HLOOKUP(B12244,#REF!,1,0)</f>
        <v>#REF!</v>
      </c>
      <c r="M12244" s="33" t="str">
        <f t="shared" si="771"/>
        <v>BS</v>
      </c>
    </row>
    <row r="12245" spans="1:13">
      <c r="A12245" s="33" t="str">
        <f t="shared" si="768"/>
        <v>BET - Intercompany</v>
      </c>
      <c r="B12245" s="33" t="str">
        <f t="shared" si="769"/>
        <v>BET</v>
      </c>
      <c r="C12245" s="33" t="str">
        <f t="shared" si="770"/>
        <v>11310-0000</v>
      </c>
      <c r="D12245" t="s">
        <v>473</v>
      </c>
      <c r="E12245" t="s">
        <v>13231</v>
      </c>
      <c r="F12245" s="69" t="s">
        <v>230</v>
      </c>
      <c r="G12245" t="s">
        <v>16</v>
      </c>
      <c r="H12245" t="s">
        <v>39</v>
      </c>
      <c r="I12245" t="s">
        <v>40</v>
      </c>
      <c r="J12245" s="70">
        <v>90000</v>
      </c>
      <c r="K12245" s="71">
        <v>90000</v>
      </c>
      <c r="L12245" s="33" t="e">
        <f>HLOOKUP(B12245,#REF!,1,0)</f>
        <v>#REF!</v>
      </c>
      <c r="M12245" s="33" t="str">
        <f t="shared" si="771"/>
        <v>BS</v>
      </c>
    </row>
    <row r="12246" spans="1:13">
      <c r="A12246" s="33" t="str">
        <f t="shared" si="768"/>
        <v>BET - Intercompany</v>
      </c>
      <c r="B12246" s="33" t="str">
        <f t="shared" si="769"/>
        <v>BET</v>
      </c>
      <c r="C12246" s="33" t="str">
        <f t="shared" si="770"/>
        <v>11313-0000</v>
      </c>
      <c r="D12246" t="s">
        <v>474</v>
      </c>
      <c r="E12246" t="s">
        <v>13233</v>
      </c>
      <c r="F12246" s="69" t="s">
        <v>230</v>
      </c>
      <c r="G12246" t="s">
        <v>16</v>
      </c>
      <c r="H12246" t="s">
        <v>39</v>
      </c>
      <c r="I12246" t="s">
        <v>40</v>
      </c>
      <c r="J12246" s="70">
        <v>5000</v>
      </c>
      <c r="K12246" s="71">
        <v>5000</v>
      </c>
      <c r="L12246" s="33" t="e">
        <f>HLOOKUP(B12246,#REF!,1,0)</f>
        <v>#REF!</v>
      </c>
      <c r="M12246" s="33" t="str">
        <f t="shared" si="771"/>
        <v>BS</v>
      </c>
    </row>
    <row r="12247" spans="1:13">
      <c r="A12247" s="33" t="str">
        <f t="shared" si="768"/>
        <v>BET - Intercompany</v>
      </c>
      <c r="B12247" s="33" t="str">
        <f t="shared" si="769"/>
        <v>BET</v>
      </c>
      <c r="C12247" s="33" t="str">
        <f t="shared" si="770"/>
        <v>11317-0000</v>
      </c>
      <c r="D12247" t="s">
        <v>475</v>
      </c>
      <c r="E12247" t="s">
        <v>13352</v>
      </c>
      <c r="F12247" s="69" t="s">
        <v>230</v>
      </c>
      <c r="G12247" t="s">
        <v>16</v>
      </c>
      <c r="H12247" t="s">
        <v>39</v>
      </c>
      <c r="I12247" t="s">
        <v>40</v>
      </c>
      <c r="J12247" s="70">
        <v>-40000</v>
      </c>
      <c r="K12247" s="71">
        <v>-40000</v>
      </c>
      <c r="L12247" s="33" t="e">
        <f>HLOOKUP(B12247,#REF!,1,0)</f>
        <v>#REF!</v>
      </c>
      <c r="M12247" s="33" t="str">
        <f t="shared" si="771"/>
        <v>BS</v>
      </c>
    </row>
    <row r="12248" spans="1:13">
      <c r="A12248" s="33" t="str">
        <f t="shared" si="768"/>
        <v>BET - Intercompany</v>
      </c>
      <c r="B12248" s="33" t="str">
        <f t="shared" si="769"/>
        <v>BET</v>
      </c>
      <c r="C12248" s="33" t="str">
        <f t="shared" si="770"/>
        <v>11318-0000</v>
      </c>
      <c r="D12248" t="s">
        <v>477</v>
      </c>
      <c r="E12248" t="s">
        <v>13477</v>
      </c>
      <c r="F12248" s="69" t="s">
        <v>230</v>
      </c>
      <c r="G12248" t="s">
        <v>16</v>
      </c>
      <c r="H12248" t="s">
        <v>39</v>
      </c>
      <c r="I12248" t="s">
        <v>40</v>
      </c>
      <c r="J12248" s="70">
        <v>21000</v>
      </c>
      <c r="K12248" s="71">
        <v>21000</v>
      </c>
      <c r="L12248" s="33" t="e">
        <f>HLOOKUP(B12248,#REF!,1,0)</f>
        <v>#REF!</v>
      </c>
      <c r="M12248" s="33" t="str">
        <f t="shared" si="771"/>
        <v>BS</v>
      </c>
    </row>
    <row r="12249" spans="1:13">
      <c r="A12249" s="33" t="str">
        <f t="shared" si="768"/>
        <v>BET - Intercompany</v>
      </c>
      <c r="B12249" s="33" t="str">
        <f t="shared" si="769"/>
        <v>BET</v>
      </c>
      <c r="C12249" s="33" t="str">
        <f t="shared" si="770"/>
        <v>11319-0000</v>
      </c>
      <c r="D12249" t="s">
        <v>479</v>
      </c>
      <c r="E12249" t="s">
        <v>266</v>
      </c>
      <c r="F12249" s="69" t="s">
        <v>230</v>
      </c>
      <c r="G12249" t="s">
        <v>16</v>
      </c>
      <c r="H12249" t="s">
        <v>39</v>
      </c>
      <c r="I12249" t="s">
        <v>40</v>
      </c>
      <c r="J12249" s="70">
        <v>5000</v>
      </c>
      <c r="K12249" s="71">
        <v>5000</v>
      </c>
      <c r="L12249" s="33" t="e">
        <f>HLOOKUP(B12249,#REF!,1,0)</f>
        <v>#REF!</v>
      </c>
      <c r="M12249" s="33" t="str">
        <f t="shared" si="771"/>
        <v>BS</v>
      </c>
    </row>
    <row r="12250" spans="1:13">
      <c r="A12250" s="33" t="str">
        <f t="shared" si="768"/>
        <v>BET - Intercompany</v>
      </c>
      <c r="B12250" s="33" t="str">
        <f t="shared" si="769"/>
        <v>BET</v>
      </c>
      <c r="C12250" s="33" t="str">
        <f t="shared" si="770"/>
        <v>11321-0000</v>
      </c>
      <c r="D12250" t="s">
        <v>480</v>
      </c>
      <c r="E12250" t="s">
        <v>13236</v>
      </c>
      <c r="F12250" s="69" t="s">
        <v>230</v>
      </c>
      <c r="G12250" t="s">
        <v>16</v>
      </c>
      <c r="H12250" t="s">
        <v>39</v>
      </c>
      <c r="I12250" t="s">
        <v>40</v>
      </c>
      <c r="J12250" s="70">
        <v>72000</v>
      </c>
      <c r="K12250" s="71">
        <v>72000</v>
      </c>
      <c r="L12250" s="33" t="e">
        <f>HLOOKUP(B12250,#REF!,1,0)</f>
        <v>#REF!</v>
      </c>
      <c r="M12250" s="33" t="str">
        <f t="shared" si="771"/>
        <v>BS</v>
      </c>
    </row>
    <row r="12251" spans="1:13">
      <c r="A12251" s="33" t="str">
        <f t="shared" si="768"/>
        <v>BET - Intercompany</v>
      </c>
      <c r="B12251" s="33" t="str">
        <f t="shared" si="769"/>
        <v>BET</v>
      </c>
      <c r="C12251" s="33" t="str">
        <f t="shared" si="770"/>
        <v>11322-0000</v>
      </c>
      <c r="D12251" t="s">
        <v>481</v>
      </c>
      <c r="E12251" t="s">
        <v>13237</v>
      </c>
      <c r="F12251" s="69" t="s">
        <v>230</v>
      </c>
      <c r="G12251" t="s">
        <v>16</v>
      </c>
      <c r="H12251" t="s">
        <v>39</v>
      </c>
      <c r="I12251" t="s">
        <v>40</v>
      </c>
      <c r="J12251" s="70">
        <v>5000</v>
      </c>
      <c r="K12251" s="71">
        <v>5000</v>
      </c>
      <c r="L12251" s="33" t="e">
        <f>HLOOKUP(B12251,#REF!,1,0)</f>
        <v>#REF!</v>
      </c>
      <c r="M12251" s="33" t="str">
        <f t="shared" si="771"/>
        <v>BS</v>
      </c>
    </row>
    <row r="12252" spans="1:13">
      <c r="A12252" s="33" t="str">
        <f t="shared" si="768"/>
        <v>BET - Intercompany</v>
      </c>
      <c r="B12252" s="33" t="str">
        <f t="shared" si="769"/>
        <v>BET</v>
      </c>
      <c r="C12252" s="33" t="str">
        <f t="shared" si="770"/>
        <v>11323-0000</v>
      </c>
      <c r="D12252" t="s">
        <v>482</v>
      </c>
      <c r="E12252" t="s">
        <v>13478</v>
      </c>
      <c r="F12252" s="69" t="s">
        <v>230</v>
      </c>
      <c r="G12252" t="s">
        <v>16</v>
      </c>
      <c r="H12252" t="s">
        <v>39</v>
      </c>
      <c r="I12252" t="s">
        <v>40</v>
      </c>
      <c r="J12252" s="70">
        <v>5000</v>
      </c>
      <c r="K12252" s="71">
        <v>5000</v>
      </c>
      <c r="L12252" s="33" t="e">
        <f>HLOOKUP(B12252,#REF!,1,0)</f>
        <v>#REF!</v>
      </c>
      <c r="M12252" s="33" t="str">
        <f t="shared" si="771"/>
        <v>BS</v>
      </c>
    </row>
    <row r="12253" spans="1:13">
      <c r="A12253" s="33" t="str">
        <f t="shared" si="768"/>
        <v>BET - Intercompany</v>
      </c>
      <c r="B12253" s="33" t="str">
        <f t="shared" si="769"/>
        <v>BET</v>
      </c>
      <c r="C12253" s="33" t="str">
        <f t="shared" si="770"/>
        <v>11324-0000</v>
      </c>
      <c r="D12253" t="s">
        <v>484</v>
      </c>
      <c r="E12253" t="s">
        <v>13238</v>
      </c>
      <c r="F12253" s="69" t="s">
        <v>230</v>
      </c>
      <c r="G12253" t="s">
        <v>16</v>
      </c>
      <c r="H12253" t="s">
        <v>39</v>
      </c>
      <c r="I12253" t="s">
        <v>40</v>
      </c>
      <c r="J12253" s="70">
        <v>35000</v>
      </c>
      <c r="K12253" s="71">
        <v>35000</v>
      </c>
      <c r="L12253" s="33" t="e">
        <f>HLOOKUP(B12253,#REF!,1,0)</f>
        <v>#REF!</v>
      </c>
      <c r="M12253" s="33" t="str">
        <f t="shared" si="771"/>
        <v>BS</v>
      </c>
    </row>
    <row r="12254" spans="1:13">
      <c r="A12254" s="33" t="str">
        <f t="shared" si="768"/>
        <v>BET - Intercompany</v>
      </c>
      <c r="B12254" s="33" t="str">
        <f t="shared" si="769"/>
        <v>BET</v>
      </c>
      <c r="C12254" s="33" t="str">
        <f t="shared" si="770"/>
        <v>11328-0000</v>
      </c>
      <c r="D12254" t="s">
        <v>485</v>
      </c>
      <c r="E12254" t="s">
        <v>13241</v>
      </c>
      <c r="F12254" s="69" t="s">
        <v>230</v>
      </c>
      <c r="G12254" t="s">
        <v>16</v>
      </c>
      <c r="H12254" t="s">
        <v>39</v>
      </c>
      <c r="I12254" t="s">
        <v>40</v>
      </c>
      <c r="J12254" s="70">
        <v>15000</v>
      </c>
      <c r="K12254" s="71">
        <v>15000</v>
      </c>
      <c r="L12254" s="33" t="e">
        <f>HLOOKUP(B12254,#REF!,1,0)</f>
        <v>#REF!</v>
      </c>
      <c r="M12254" s="33" t="str">
        <f t="shared" si="771"/>
        <v>BS</v>
      </c>
    </row>
    <row r="12255" spans="1:13">
      <c r="A12255" s="33" t="str">
        <f t="shared" si="768"/>
        <v>BET - Intercompany</v>
      </c>
      <c r="B12255" s="33" t="str">
        <f t="shared" si="769"/>
        <v>BET</v>
      </c>
      <c r="C12255" s="33" t="str">
        <f t="shared" si="770"/>
        <v>11329-0000</v>
      </c>
      <c r="D12255" t="s">
        <v>486</v>
      </c>
      <c r="E12255" t="s">
        <v>13353</v>
      </c>
      <c r="F12255" s="69" t="s">
        <v>230</v>
      </c>
      <c r="G12255" t="s">
        <v>16</v>
      </c>
      <c r="H12255" t="s">
        <v>39</v>
      </c>
      <c r="I12255" t="s">
        <v>40</v>
      </c>
      <c r="J12255" s="70">
        <v>5000</v>
      </c>
      <c r="K12255" s="71">
        <v>5000</v>
      </c>
      <c r="L12255" s="33" t="e">
        <f>HLOOKUP(B12255,#REF!,1,0)</f>
        <v>#REF!</v>
      </c>
      <c r="M12255" s="33" t="str">
        <f t="shared" si="771"/>
        <v>BS</v>
      </c>
    </row>
    <row r="12256" spans="1:13">
      <c r="A12256" s="33" t="str">
        <f t="shared" si="768"/>
        <v>BET - Intercompany</v>
      </c>
      <c r="B12256" s="33" t="str">
        <f t="shared" si="769"/>
        <v>BET</v>
      </c>
      <c r="C12256" s="33" t="str">
        <f t="shared" si="770"/>
        <v>11332-0000</v>
      </c>
      <c r="D12256" t="s">
        <v>487</v>
      </c>
      <c r="E12256" t="s">
        <v>13243</v>
      </c>
      <c r="F12256" s="69" t="s">
        <v>230</v>
      </c>
      <c r="G12256" t="s">
        <v>16</v>
      </c>
      <c r="H12256" t="s">
        <v>39</v>
      </c>
      <c r="I12256" t="s">
        <v>40</v>
      </c>
      <c r="J12256" s="70">
        <v>80000</v>
      </c>
      <c r="K12256" s="71">
        <v>80000</v>
      </c>
      <c r="L12256" s="33" t="e">
        <f>HLOOKUP(B12256,#REF!,1,0)</f>
        <v>#REF!</v>
      </c>
      <c r="M12256" s="33" t="str">
        <f t="shared" si="771"/>
        <v>BS</v>
      </c>
    </row>
    <row r="12257" spans="1:13">
      <c r="A12257" s="33" t="str">
        <f t="shared" si="768"/>
        <v>BET - Intercompany</v>
      </c>
      <c r="B12257" s="33" t="str">
        <f t="shared" si="769"/>
        <v>BET</v>
      </c>
      <c r="C12257" s="33" t="str">
        <f t="shared" si="770"/>
        <v>11335-0000</v>
      </c>
      <c r="D12257" t="s">
        <v>489</v>
      </c>
      <c r="E12257" t="s">
        <v>13246</v>
      </c>
      <c r="F12257" s="69" t="s">
        <v>230</v>
      </c>
      <c r="G12257" t="s">
        <v>16</v>
      </c>
      <c r="H12257" t="s">
        <v>39</v>
      </c>
      <c r="I12257" t="s">
        <v>40</v>
      </c>
      <c r="J12257" s="70">
        <v>30000</v>
      </c>
      <c r="K12257" s="71">
        <v>30000</v>
      </c>
      <c r="L12257" s="33" t="e">
        <f>HLOOKUP(B12257,#REF!,1,0)</f>
        <v>#REF!</v>
      </c>
      <c r="M12257" s="33" t="str">
        <f t="shared" si="771"/>
        <v>BS</v>
      </c>
    </row>
    <row r="12258" spans="1:13">
      <c r="A12258" s="33" t="str">
        <f t="shared" si="768"/>
        <v>BET - Intercompany</v>
      </c>
      <c r="B12258" s="33" t="str">
        <f t="shared" si="769"/>
        <v>BET</v>
      </c>
      <c r="C12258" s="33" t="str">
        <f t="shared" si="770"/>
        <v>11336-0000</v>
      </c>
      <c r="D12258" t="s">
        <v>490</v>
      </c>
      <c r="E12258" t="s">
        <v>13247</v>
      </c>
      <c r="F12258" s="69" t="s">
        <v>230</v>
      </c>
      <c r="G12258" t="s">
        <v>16</v>
      </c>
      <c r="H12258" t="s">
        <v>39</v>
      </c>
      <c r="I12258" t="s">
        <v>40</v>
      </c>
      <c r="J12258" s="70">
        <v>17000</v>
      </c>
      <c r="K12258" s="71">
        <v>17000</v>
      </c>
      <c r="L12258" s="33" t="e">
        <f>HLOOKUP(B12258,#REF!,1,0)</f>
        <v>#REF!</v>
      </c>
      <c r="M12258" s="33" t="str">
        <f t="shared" si="771"/>
        <v>BS</v>
      </c>
    </row>
    <row r="12259" spans="1:13">
      <c r="A12259" s="33" t="str">
        <f t="shared" si="768"/>
        <v>BET - Intercompany</v>
      </c>
      <c r="B12259" s="33" t="str">
        <f t="shared" si="769"/>
        <v>BET</v>
      </c>
      <c r="C12259" s="33" t="str">
        <f t="shared" si="770"/>
        <v>11337-0000</v>
      </c>
      <c r="D12259" t="s">
        <v>491</v>
      </c>
      <c r="E12259" t="s">
        <v>13248</v>
      </c>
      <c r="F12259" s="69" t="s">
        <v>230</v>
      </c>
      <c r="G12259" t="s">
        <v>16</v>
      </c>
      <c r="H12259" t="s">
        <v>39</v>
      </c>
      <c r="I12259" t="s">
        <v>40</v>
      </c>
      <c r="J12259" s="70">
        <v>25000</v>
      </c>
      <c r="K12259" s="71">
        <v>25000</v>
      </c>
      <c r="L12259" s="33" t="e">
        <f>HLOOKUP(B12259,#REF!,1,0)</f>
        <v>#REF!</v>
      </c>
      <c r="M12259" s="33" t="str">
        <f t="shared" si="771"/>
        <v>BS</v>
      </c>
    </row>
    <row r="12260" spans="1:13">
      <c r="A12260" s="33" t="str">
        <f t="shared" si="768"/>
        <v>BET - Intercompany</v>
      </c>
      <c r="B12260" s="33" t="str">
        <f t="shared" si="769"/>
        <v>BET</v>
      </c>
      <c r="C12260" s="33" t="str">
        <f t="shared" si="770"/>
        <v>11342-0000</v>
      </c>
      <c r="D12260" t="s">
        <v>492</v>
      </c>
      <c r="E12260" t="s">
        <v>13355</v>
      </c>
      <c r="F12260" s="69" t="s">
        <v>230</v>
      </c>
      <c r="G12260" t="s">
        <v>16</v>
      </c>
      <c r="H12260" t="s">
        <v>39</v>
      </c>
      <c r="I12260" t="s">
        <v>40</v>
      </c>
      <c r="J12260" s="70">
        <v>-10000</v>
      </c>
      <c r="K12260" s="71">
        <v>-10000</v>
      </c>
      <c r="L12260" s="33" t="e">
        <f>HLOOKUP(B12260,#REF!,1,0)</f>
        <v>#REF!</v>
      </c>
      <c r="M12260" s="33" t="str">
        <f t="shared" si="771"/>
        <v>BS</v>
      </c>
    </row>
    <row r="12261" spans="1:13">
      <c r="A12261" s="33" t="str">
        <f t="shared" si="768"/>
        <v>BET - AR-PPD</v>
      </c>
      <c r="B12261" s="33" t="str">
        <f t="shared" si="769"/>
        <v>BET</v>
      </c>
      <c r="C12261" s="33" t="str">
        <f t="shared" si="770"/>
        <v>12100-0000</v>
      </c>
      <c r="D12261" t="s">
        <v>13479</v>
      </c>
      <c r="E12261" t="s">
        <v>34</v>
      </c>
      <c r="F12261" s="69" t="s">
        <v>230</v>
      </c>
      <c r="G12261" t="s">
        <v>16</v>
      </c>
      <c r="H12261" t="s">
        <v>35</v>
      </c>
      <c r="I12261" t="s">
        <v>36</v>
      </c>
      <c r="J12261" s="70">
        <v>40936.46</v>
      </c>
      <c r="K12261" s="71">
        <v>49951.81</v>
      </c>
      <c r="L12261" s="33" t="e">
        <f>HLOOKUP(B12261,#REF!,1,0)</f>
        <v>#REF!</v>
      </c>
      <c r="M12261" s="33" t="str">
        <f t="shared" si="771"/>
        <v>BS</v>
      </c>
    </row>
    <row r="12262" spans="1:13">
      <c r="A12262" s="33" t="str">
        <f t="shared" si="768"/>
        <v>BET - AR-PPD</v>
      </c>
      <c r="B12262" s="33" t="str">
        <f t="shared" si="769"/>
        <v>BET</v>
      </c>
      <c r="C12262" s="33" t="str">
        <f t="shared" si="770"/>
        <v>13810-0000</v>
      </c>
      <c r="D12262" t="s">
        <v>13480</v>
      </c>
      <c r="E12262" t="s">
        <v>294</v>
      </c>
      <c r="F12262" s="69" t="s">
        <v>230</v>
      </c>
      <c r="G12262" t="s">
        <v>62</v>
      </c>
      <c r="H12262" t="s">
        <v>35</v>
      </c>
      <c r="I12262" t="s">
        <v>64</v>
      </c>
      <c r="J12262" s="70">
        <v>24314.61</v>
      </c>
      <c r="K12262" s="71">
        <v>24314.61</v>
      </c>
      <c r="L12262" s="33" t="e">
        <f>HLOOKUP(B12262,#REF!,1,0)</f>
        <v>#REF!</v>
      </c>
      <c r="M12262" s="33" t="str">
        <f t="shared" si="771"/>
        <v>BS</v>
      </c>
    </row>
    <row r="12263" spans="1:13">
      <c r="A12263" s="33" t="str">
        <f t="shared" si="768"/>
        <v>BET - AR-PPD</v>
      </c>
      <c r="B12263" s="33" t="str">
        <f t="shared" si="769"/>
        <v>BET</v>
      </c>
      <c r="C12263" s="33" t="str">
        <f t="shared" si="770"/>
        <v>13820-0000</v>
      </c>
      <c r="D12263" t="s">
        <v>13481</v>
      </c>
      <c r="E12263" t="s">
        <v>387</v>
      </c>
      <c r="F12263" s="69" t="s">
        <v>230</v>
      </c>
      <c r="G12263" t="s">
        <v>388</v>
      </c>
      <c r="H12263" t="s">
        <v>35</v>
      </c>
      <c r="I12263" t="s">
        <v>64</v>
      </c>
      <c r="J12263" s="70">
        <v>447663</v>
      </c>
      <c r="K12263" s="71">
        <v>447663</v>
      </c>
      <c r="L12263" s="33" t="e">
        <f>HLOOKUP(B12263,#REF!,1,0)</f>
        <v>#REF!</v>
      </c>
      <c r="M12263" s="33" t="str">
        <f t="shared" si="771"/>
        <v>BS</v>
      </c>
    </row>
    <row r="12264" spans="1:13">
      <c r="A12264" s="33" t="str">
        <f t="shared" si="768"/>
        <v>BET - Fixed Assets</v>
      </c>
      <c r="B12264" s="33" t="str">
        <f t="shared" si="769"/>
        <v>BET</v>
      </c>
      <c r="C12264" s="33" t="str">
        <f t="shared" si="770"/>
        <v>14100-0000</v>
      </c>
      <c r="D12264" t="s">
        <v>13482</v>
      </c>
      <c r="E12264" t="s">
        <v>298</v>
      </c>
      <c r="F12264" s="69" t="s">
        <v>230</v>
      </c>
      <c r="G12264" t="s">
        <v>62</v>
      </c>
      <c r="H12264" t="s">
        <v>63</v>
      </c>
      <c r="I12264" t="s">
        <v>64</v>
      </c>
      <c r="J12264" s="70">
        <v>1109073</v>
      </c>
      <c r="K12264" s="71">
        <v>1109073</v>
      </c>
      <c r="L12264" s="33" t="e">
        <f>HLOOKUP(B12264,#REF!,1,0)</f>
        <v>#REF!</v>
      </c>
      <c r="M12264" s="33" t="str">
        <f t="shared" si="771"/>
        <v>BS</v>
      </c>
    </row>
    <row r="12265" spans="1:13">
      <c r="A12265" s="33" t="str">
        <f t="shared" si="768"/>
        <v>BET - Fixed Assets</v>
      </c>
      <c r="B12265" s="33" t="str">
        <f t="shared" si="769"/>
        <v>BET</v>
      </c>
      <c r="C12265" s="33" t="str">
        <f t="shared" si="770"/>
        <v>15000-0000</v>
      </c>
      <c r="D12265" t="s">
        <v>496</v>
      </c>
      <c r="E12265" t="s">
        <v>13252</v>
      </c>
      <c r="F12265" s="69" t="s">
        <v>230</v>
      </c>
      <c r="G12265" t="s">
        <v>62</v>
      </c>
      <c r="H12265" t="s">
        <v>63</v>
      </c>
      <c r="I12265" t="s">
        <v>64</v>
      </c>
      <c r="J12265" s="70">
        <v>4715927</v>
      </c>
      <c r="K12265" s="71">
        <v>4715927</v>
      </c>
      <c r="L12265" s="33" t="e">
        <f>HLOOKUP(B12265,#REF!,1,0)</f>
        <v>#REF!</v>
      </c>
      <c r="M12265" s="33" t="str">
        <f t="shared" si="771"/>
        <v>BS</v>
      </c>
    </row>
    <row r="12266" spans="1:13">
      <c r="A12266" s="33" t="str">
        <f t="shared" si="768"/>
        <v>BET - Fixed Assets</v>
      </c>
      <c r="B12266" s="33" t="str">
        <f t="shared" si="769"/>
        <v>BET</v>
      </c>
      <c r="C12266" s="33" t="str">
        <f t="shared" si="770"/>
        <v>15500-0000</v>
      </c>
      <c r="D12266" t="s">
        <v>497</v>
      </c>
      <c r="E12266" t="s">
        <v>302</v>
      </c>
      <c r="F12266" s="69" t="s">
        <v>230</v>
      </c>
      <c r="G12266" t="s">
        <v>62</v>
      </c>
      <c r="H12266" t="s">
        <v>63</v>
      </c>
      <c r="I12266" t="s">
        <v>64</v>
      </c>
      <c r="J12266" s="70">
        <v>572501.21</v>
      </c>
      <c r="K12266" s="71">
        <v>572501.21</v>
      </c>
      <c r="L12266" s="33" t="e">
        <f>HLOOKUP(B12266,#REF!,1,0)</f>
        <v>#REF!</v>
      </c>
      <c r="M12266" s="33" t="str">
        <f t="shared" si="771"/>
        <v>BS</v>
      </c>
    </row>
    <row r="12267" spans="1:13">
      <c r="A12267" s="33" t="str">
        <f t="shared" si="768"/>
        <v>BET - Fixed Assets</v>
      </c>
      <c r="B12267" s="33" t="str">
        <f t="shared" si="769"/>
        <v>BET</v>
      </c>
      <c r="C12267" s="33" t="str">
        <f t="shared" si="770"/>
        <v>15700-0000</v>
      </c>
      <c r="D12267" t="s">
        <v>13483</v>
      </c>
      <c r="E12267" t="s">
        <v>2635</v>
      </c>
      <c r="F12267" s="69" t="s">
        <v>230</v>
      </c>
      <c r="G12267" t="s">
        <v>62</v>
      </c>
      <c r="H12267" t="s">
        <v>63</v>
      </c>
      <c r="I12267" t="s">
        <v>64</v>
      </c>
      <c r="J12267" s="70">
        <v>5075.43</v>
      </c>
      <c r="K12267" s="71">
        <v>6810.83</v>
      </c>
      <c r="L12267" s="33" t="e">
        <f>HLOOKUP(B12267,#REF!,1,0)</f>
        <v>#REF!</v>
      </c>
      <c r="M12267" s="33" t="str">
        <f t="shared" si="771"/>
        <v>BS</v>
      </c>
    </row>
    <row r="12268" spans="1:13">
      <c r="A12268" s="33" t="str">
        <f t="shared" si="768"/>
        <v>BET - Fixed Assets</v>
      </c>
      <c r="B12268" s="33" t="str">
        <f t="shared" si="769"/>
        <v>BET</v>
      </c>
      <c r="C12268" s="33" t="str">
        <f t="shared" si="770"/>
        <v>16000-0000</v>
      </c>
      <c r="D12268" t="s">
        <v>498</v>
      </c>
      <c r="E12268" t="s">
        <v>304</v>
      </c>
      <c r="F12268" s="69" t="s">
        <v>230</v>
      </c>
      <c r="G12268" t="s">
        <v>16</v>
      </c>
      <c r="H12268" t="s">
        <v>63</v>
      </c>
      <c r="I12268" t="s">
        <v>18</v>
      </c>
      <c r="J12268" s="70">
        <v>56854</v>
      </c>
      <c r="K12268" s="71">
        <v>56854</v>
      </c>
      <c r="L12268" s="33" t="e">
        <f>HLOOKUP(B12268,#REF!,1,0)</f>
        <v>#REF!</v>
      </c>
      <c r="M12268" s="33" t="str">
        <f t="shared" si="771"/>
        <v>BS</v>
      </c>
    </row>
    <row r="12269" spans="1:13">
      <c r="A12269" s="33" t="str">
        <f t="shared" si="768"/>
        <v>BET - Fixed Assets</v>
      </c>
      <c r="B12269" s="33" t="str">
        <f t="shared" si="769"/>
        <v>BET</v>
      </c>
      <c r="C12269" s="33" t="str">
        <f t="shared" si="770"/>
        <v>17000-0000</v>
      </c>
      <c r="D12269" t="s">
        <v>499</v>
      </c>
      <c r="E12269" t="s">
        <v>77</v>
      </c>
      <c r="F12269" s="69" t="s">
        <v>230</v>
      </c>
      <c r="G12269" t="s">
        <v>62</v>
      </c>
      <c r="H12269" t="s">
        <v>63</v>
      </c>
      <c r="I12269" t="s">
        <v>64</v>
      </c>
      <c r="J12269" s="70">
        <v>-1089612</v>
      </c>
      <c r="K12269" s="71">
        <v>-1089612</v>
      </c>
      <c r="L12269" s="33" t="e">
        <f>HLOOKUP(B12269,#REF!,1,0)</f>
        <v>#REF!</v>
      </c>
      <c r="M12269" s="33" t="str">
        <f t="shared" si="771"/>
        <v>BS</v>
      </c>
    </row>
    <row r="12270" spans="1:13">
      <c r="A12270" s="33" t="str">
        <f t="shared" si="768"/>
        <v>BET - Fixed Assets</v>
      </c>
      <c r="B12270" s="33" t="str">
        <f t="shared" si="769"/>
        <v>BET</v>
      </c>
      <c r="C12270" s="33" t="str">
        <f t="shared" si="770"/>
        <v>18000-0000</v>
      </c>
      <c r="D12270" t="s">
        <v>500</v>
      </c>
      <c r="E12270" t="s">
        <v>88</v>
      </c>
      <c r="F12270" s="69" t="s">
        <v>230</v>
      </c>
      <c r="G12270" t="s">
        <v>62</v>
      </c>
      <c r="H12270" t="s">
        <v>63</v>
      </c>
      <c r="I12270" t="s">
        <v>81</v>
      </c>
      <c r="J12270" s="70">
        <v>-93277</v>
      </c>
      <c r="K12270" s="71">
        <v>-93277</v>
      </c>
      <c r="L12270" s="33" t="e">
        <f>HLOOKUP(B12270,#REF!,1,0)</f>
        <v>#REF!</v>
      </c>
      <c r="M12270" s="33" t="str">
        <f t="shared" si="771"/>
        <v>BS</v>
      </c>
    </row>
    <row r="12271" spans="1:13">
      <c r="A12271" s="33" t="str">
        <f t="shared" si="768"/>
        <v>BET - AP-Accr Exp</v>
      </c>
      <c r="B12271" s="33" t="str">
        <f t="shared" si="769"/>
        <v>BET</v>
      </c>
      <c r="C12271" s="33" t="str">
        <f t="shared" si="770"/>
        <v>22000-0000</v>
      </c>
      <c r="D12271" t="s">
        <v>13484</v>
      </c>
      <c r="E12271" t="s">
        <v>96</v>
      </c>
      <c r="F12271" s="69" t="s">
        <v>230</v>
      </c>
      <c r="G12271" t="s">
        <v>97</v>
      </c>
      <c r="H12271" t="s">
        <v>98</v>
      </c>
      <c r="I12271" t="s">
        <v>99</v>
      </c>
      <c r="J12271" s="70">
        <v>0</v>
      </c>
      <c r="K12271" s="71">
        <v>3644.24</v>
      </c>
      <c r="L12271" s="33" t="e">
        <f>HLOOKUP(B12271,#REF!,1,0)</f>
        <v>#REF!</v>
      </c>
      <c r="M12271" s="33" t="str">
        <f t="shared" si="771"/>
        <v>BS</v>
      </c>
    </row>
    <row r="12272" spans="1:13">
      <c r="A12272" s="33" t="str">
        <f t="shared" si="768"/>
        <v>BET - AP-Accr Exp</v>
      </c>
      <c r="B12272" s="33" t="str">
        <f t="shared" si="769"/>
        <v>BET</v>
      </c>
      <c r="C12272" s="33" t="str">
        <f t="shared" si="770"/>
        <v>22800-0000</v>
      </c>
      <c r="D12272" t="s">
        <v>13485</v>
      </c>
      <c r="E12272" t="s">
        <v>13256</v>
      </c>
      <c r="F12272" s="69" t="s">
        <v>230</v>
      </c>
      <c r="G12272" t="s">
        <v>97</v>
      </c>
      <c r="H12272" t="s">
        <v>98</v>
      </c>
      <c r="I12272" t="s">
        <v>102</v>
      </c>
      <c r="J12272" s="70">
        <v>-76357</v>
      </c>
      <c r="K12272" s="71">
        <v>-77257</v>
      </c>
      <c r="L12272" s="33" t="e">
        <f>HLOOKUP(B12272,#REF!,1,0)</f>
        <v>#REF!</v>
      </c>
      <c r="M12272" s="33" t="str">
        <f t="shared" si="771"/>
        <v>BS</v>
      </c>
    </row>
    <row r="12273" spans="1:13">
      <c r="A12273" s="33" t="str">
        <f t="shared" si="768"/>
        <v>BET - AP-Accr Exp</v>
      </c>
      <c r="B12273" s="33" t="str">
        <f t="shared" si="769"/>
        <v>BET</v>
      </c>
      <c r="C12273" s="33" t="str">
        <f t="shared" si="770"/>
        <v>22900-0000</v>
      </c>
      <c r="D12273" t="s">
        <v>13486</v>
      </c>
      <c r="E12273" t="s">
        <v>3677</v>
      </c>
      <c r="F12273" s="69" t="s">
        <v>230</v>
      </c>
      <c r="G12273" t="s">
        <v>3678</v>
      </c>
      <c r="H12273" t="s">
        <v>98</v>
      </c>
      <c r="I12273" t="s">
        <v>102</v>
      </c>
      <c r="J12273" s="70">
        <v>-8429.34</v>
      </c>
      <c r="K12273" s="71">
        <v>-8429.34</v>
      </c>
      <c r="L12273" s="33" t="e">
        <f>HLOOKUP(B12273,#REF!,1,0)</f>
        <v>#REF!</v>
      </c>
      <c r="M12273" s="33" t="str">
        <f t="shared" si="771"/>
        <v>BS</v>
      </c>
    </row>
    <row r="12274" spans="1:13">
      <c r="A12274" s="33" t="str">
        <f t="shared" si="768"/>
        <v>BET - Revenue</v>
      </c>
      <c r="B12274" s="33" t="str">
        <f t="shared" si="769"/>
        <v>BET</v>
      </c>
      <c r="C12274" s="33" t="str">
        <f t="shared" si="770"/>
        <v>22905-0000</v>
      </c>
      <c r="D12274" t="s">
        <v>13487</v>
      </c>
      <c r="E12274" t="s">
        <v>13258</v>
      </c>
      <c r="F12274" s="69" t="s">
        <v>230</v>
      </c>
      <c r="G12274" t="s">
        <v>3717</v>
      </c>
      <c r="H12274" t="s">
        <v>2871</v>
      </c>
      <c r="I12274" t="s">
        <v>3721</v>
      </c>
      <c r="J12274" s="70">
        <v>-8909.41</v>
      </c>
      <c r="K12274" s="71">
        <v>-20700.14</v>
      </c>
      <c r="L12274" s="33" t="e">
        <f>HLOOKUP(B12274,#REF!,1,0)</f>
        <v>#REF!</v>
      </c>
      <c r="M12274" s="33" t="str">
        <f t="shared" si="771"/>
        <v>BS</v>
      </c>
    </row>
    <row r="12275" spans="1:13">
      <c r="A12275" s="33" t="str">
        <f t="shared" si="768"/>
        <v>BET - AP-Accr Exp</v>
      </c>
      <c r="B12275" s="33" t="str">
        <f t="shared" si="769"/>
        <v>BET</v>
      </c>
      <c r="C12275" s="33" t="str">
        <f t="shared" si="770"/>
        <v>23509-0000</v>
      </c>
      <c r="D12275" t="s">
        <v>506</v>
      </c>
      <c r="E12275" t="s">
        <v>454</v>
      </c>
      <c r="F12275" s="69" t="s">
        <v>230</v>
      </c>
      <c r="G12275" t="s">
        <v>97</v>
      </c>
      <c r="H12275" t="s">
        <v>98</v>
      </c>
      <c r="I12275" t="s">
        <v>102</v>
      </c>
      <c r="J12275" s="70">
        <v>936.63</v>
      </c>
      <c r="K12275" s="71">
        <v>0</v>
      </c>
      <c r="L12275" s="33" t="e">
        <f>HLOOKUP(B12275,#REF!,1,0)</f>
        <v>#REF!</v>
      </c>
      <c r="M12275" s="33" t="str">
        <f t="shared" si="771"/>
        <v>BS</v>
      </c>
    </row>
    <row r="12276" spans="1:13">
      <c r="A12276" s="33" t="str">
        <f t="shared" si="768"/>
        <v>BET - InterCo Notes</v>
      </c>
      <c r="B12276" s="33" t="str">
        <f t="shared" si="769"/>
        <v>BET</v>
      </c>
      <c r="C12276" s="33" t="str">
        <f t="shared" si="770"/>
        <v>25600-0000</v>
      </c>
      <c r="D12276" t="s">
        <v>13488</v>
      </c>
      <c r="E12276" t="s">
        <v>314</v>
      </c>
      <c r="F12276" s="69" t="s">
        <v>230</v>
      </c>
      <c r="G12276" t="s">
        <v>16</v>
      </c>
      <c r="H12276" t="s">
        <v>315</v>
      </c>
      <c r="I12276" t="s">
        <v>40</v>
      </c>
      <c r="J12276" s="70">
        <v>-1570000</v>
      </c>
      <c r="K12276" s="71">
        <v>-1570000</v>
      </c>
      <c r="L12276" s="33" t="e">
        <f>HLOOKUP(B12276,#REF!,1,0)</f>
        <v>#REF!</v>
      </c>
      <c r="M12276" s="33" t="str">
        <f t="shared" si="771"/>
        <v>BS</v>
      </c>
    </row>
    <row r="12277" spans="1:13">
      <c r="A12277" s="33" t="str">
        <f t="shared" si="768"/>
        <v>BET - Intercompany</v>
      </c>
      <c r="B12277" s="33" t="str">
        <f t="shared" si="769"/>
        <v>BET</v>
      </c>
      <c r="C12277" s="33" t="str">
        <f t="shared" si="770"/>
        <v>25604-0000</v>
      </c>
      <c r="D12277" t="s">
        <v>13489</v>
      </c>
      <c r="E12277" t="s">
        <v>13490</v>
      </c>
      <c r="F12277" s="69" t="s">
        <v>230</v>
      </c>
      <c r="G12277" t="s">
        <v>16</v>
      </c>
      <c r="H12277" t="s">
        <v>39</v>
      </c>
      <c r="I12277" t="s">
        <v>40</v>
      </c>
      <c r="J12277" s="70">
        <v>-66000</v>
      </c>
      <c r="K12277" s="71">
        <v>-66000</v>
      </c>
      <c r="L12277" s="33" t="e">
        <f>HLOOKUP(B12277,#REF!,1,0)</f>
        <v>#REF!</v>
      </c>
      <c r="M12277" s="33" t="str">
        <f t="shared" si="771"/>
        <v>BS</v>
      </c>
    </row>
    <row r="12278" spans="1:13">
      <c r="A12278" s="33" t="str">
        <f t="shared" si="768"/>
        <v>BET - Principal</v>
      </c>
      <c r="B12278" s="33" t="str">
        <f t="shared" si="769"/>
        <v>BET</v>
      </c>
      <c r="C12278" s="33" t="str">
        <f t="shared" si="770"/>
        <v>28004-0000</v>
      </c>
      <c r="D12278" t="s">
        <v>511</v>
      </c>
      <c r="E12278" t="s">
        <v>13367</v>
      </c>
      <c r="F12278" s="69" t="s">
        <v>230</v>
      </c>
      <c r="G12278" t="s">
        <v>123</v>
      </c>
      <c r="H12278" t="s">
        <v>127</v>
      </c>
      <c r="I12278" t="s">
        <v>133</v>
      </c>
      <c r="J12278" s="70">
        <v>0</v>
      </c>
      <c r="K12278" s="71">
        <v>23486.65</v>
      </c>
      <c r="L12278" s="33" t="e">
        <f>HLOOKUP(B12278,#REF!,1,0)</f>
        <v>#REF!</v>
      </c>
      <c r="M12278" s="33" t="str">
        <f t="shared" si="771"/>
        <v>BS</v>
      </c>
    </row>
    <row r="12279" spans="1:13">
      <c r="A12279" s="33" t="str">
        <f t="shared" si="768"/>
        <v>BET - Principal</v>
      </c>
      <c r="B12279" s="33" t="str">
        <f t="shared" si="769"/>
        <v>BET</v>
      </c>
      <c r="C12279" s="33" t="str">
        <f t="shared" si="770"/>
        <v>28005-0000</v>
      </c>
      <c r="D12279" t="s">
        <v>13491</v>
      </c>
      <c r="E12279" t="s">
        <v>13260</v>
      </c>
      <c r="F12279" s="69" t="s">
        <v>230</v>
      </c>
      <c r="G12279" t="s">
        <v>123</v>
      </c>
      <c r="H12279" t="s">
        <v>127</v>
      </c>
      <c r="I12279" t="s">
        <v>133</v>
      </c>
      <c r="J12279" s="70">
        <v>-10974795.45</v>
      </c>
      <c r="K12279" s="71">
        <v>-10974795.45</v>
      </c>
      <c r="L12279" s="33" t="e">
        <f>HLOOKUP(B12279,#REF!,1,0)</f>
        <v>#REF!</v>
      </c>
      <c r="M12279" s="33" t="str">
        <f t="shared" si="771"/>
        <v>BS</v>
      </c>
    </row>
    <row r="12280" spans="1:13">
      <c r="A12280" s="33" t="str">
        <f t="shared" si="768"/>
        <v>BET - Principal</v>
      </c>
      <c r="B12280" s="33" t="str">
        <f t="shared" si="769"/>
        <v>BET</v>
      </c>
      <c r="C12280" s="33" t="str">
        <f t="shared" si="770"/>
        <v>28014-0000</v>
      </c>
      <c r="D12280" t="s">
        <v>13492</v>
      </c>
      <c r="E12280" t="s">
        <v>13493</v>
      </c>
      <c r="F12280" s="69" t="s">
        <v>230</v>
      </c>
      <c r="G12280" t="s">
        <v>123</v>
      </c>
      <c r="H12280" t="s">
        <v>127</v>
      </c>
      <c r="I12280" t="s">
        <v>133</v>
      </c>
      <c r="J12280" s="70">
        <v>-1560.38</v>
      </c>
      <c r="K12280" s="71">
        <v>-1560.38</v>
      </c>
      <c r="L12280" s="33" t="e">
        <f>HLOOKUP(B12280,#REF!,1,0)</f>
        <v>#REF!</v>
      </c>
      <c r="M12280" s="33" t="str">
        <f t="shared" si="771"/>
        <v>BS</v>
      </c>
    </row>
    <row r="12281" spans="1:13">
      <c r="A12281" s="33" t="str">
        <f t="shared" si="768"/>
        <v>BET - Principal</v>
      </c>
      <c r="B12281" s="33" t="str">
        <f t="shared" si="769"/>
        <v>BET</v>
      </c>
      <c r="C12281" s="33" t="str">
        <f t="shared" si="770"/>
        <v>28019-0000</v>
      </c>
      <c r="D12281" t="s">
        <v>13494</v>
      </c>
      <c r="E12281" t="s">
        <v>510</v>
      </c>
      <c r="F12281" s="69" t="s">
        <v>230</v>
      </c>
      <c r="G12281" t="s">
        <v>123</v>
      </c>
      <c r="H12281" t="s">
        <v>127</v>
      </c>
      <c r="I12281" t="s">
        <v>133</v>
      </c>
      <c r="J12281" s="70">
        <v>45266.73</v>
      </c>
      <c r="K12281" s="71">
        <v>45266.73</v>
      </c>
      <c r="L12281" s="33" t="e">
        <f>HLOOKUP(B12281,#REF!,1,0)</f>
        <v>#REF!</v>
      </c>
      <c r="M12281" s="33" t="str">
        <f t="shared" si="771"/>
        <v>BS</v>
      </c>
    </row>
    <row r="12282" spans="1:13">
      <c r="A12282" s="33" t="str">
        <f t="shared" si="768"/>
        <v>BET - SH Dist</v>
      </c>
      <c r="B12282" s="33" t="str">
        <f t="shared" si="769"/>
        <v>BET</v>
      </c>
      <c r="C12282" s="33" t="str">
        <f t="shared" si="770"/>
        <v>36000-0000</v>
      </c>
      <c r="D12282" t="s">
        <v>13495</v>
      </c>
      <c r="E12282" t="s">
        <v>13262</v>
      </c>
      <c r="F12282" s="69" t="s">
        <v>230</v>
      </c>
      <c r="G12282" t="s">
        <v>142</v>
      </c>
      <c r="H12282" t="s">
        <v>143</v>
      </c>
      <c r="I12282" t="s">
        <v>144</v>
      </c>
      <c r="J12282" s="70">
        <v>6842362.77</v>
      </c>
      <c r="K12282" s="71">
        <v>6842362.77</v>
      </c>
      <c r="L12282" s="33" t="e">
        <f>HLOOKUP(B12282,#REF!,1,0)</f>
        <v>#REF!</v>
      </c>
      <c r="M12282" s="33" t="str">
        <f t="shared" si="771"/>
        <v>BS</v>
      </c>
    </row>
    <row r="12283" spans="1:13">
      <c r="A12283" s="33" t="str">
        <f t="shared" si="768"/>
        <v>BET - Retained Earnings</v>
      </c>
      <c r="B12283" s="33" t="str">
        <f t="shared" si="769"/>
        <v>BET</v>
      </c>
      <c r="C12283" s="33" t="str">
        <f t="shared" si="770"/>
        <v>38100-0000</v>
      </c>
      <c r="D12283" t="s">
        <v>13496</v>
      </c>
      <c r="E12283" t="s">
        <v>234</v>
      </c>
      <c r="F12283" s="69" t="s">
        <v>230</v>
      </c>
      <c r="G12283" t="s">
        <v>142</v>
      </c>
      <c r="H12283" t="s">
        <v>149</v>
      </c>
      <c r="I12283" t="s">
        <v>235</v>
      </c>
      <c r="J12283" s="70">
        <v>-246334.63</v>
      </c>
      <c r="K12283" s="71">
        <v>-246334.63</v>
      </c>
      <c r="L12283" s="33" t="e">
        <f>HLOOKUP(B12283,#REF!,1,0)</f>
        <v>#REF!</v>
      </c>
      <c r="M12283" s="33" t="str">
        <f t="shared" si="771"/>
        <v>BS</v>
      </c>
    </row>
    <row r="12284" spans="1:13">
      <c r="A12284" s="33" t="str">
        <f t="shared" si="768"/>
        <v>BET - Revenue</v>
      </c>
      <c r="B12284" s="33" t="str">
        <f t="shared" si="769"/>
        <v>BET</v>
      </c>
      <c r="C12284" s="33" t="str">
        <f t="shared" si="770"/>
        <v>40110-0000</v>
      </c>
      <c r="D12284" t="s">
        <v>4291</v>
      </c>
      <c r="E12284" t="s">
        <v>3683</v>
      </c>
      <c r="F12284" s="69" t="s">
        <v>230</v>
      </c>
      <c r="G12284" t="s">
        <v>3684</v>
      </c>
      <c r="H12284" t="s">
        <v>2871</v>
      </c>
      <c r="I12284" t="s">
        <v>3685</v>
      </c>
      <c r="J12284" s="70">
        <v>-998352</v>
      </c>
      <c r="K12284" s="71">
        <v>-998352</v>
      </c>
      <c r="L12284" s="33" t="e">
        <f>HLOOKUP(B12284,#REF!,1,0)</f>
        <v>#REF!</v>
      </c>
      <c r="M12284" s="33" t="str">
        <f t="shared" si="771"/>
        <v>P&amp;L</v>
      </c>
    </row>
    <row r="12285" spans="1:13">
      <c r="A12285" s="33" t="str">
        <f t="shared" si="768"/>
        <v>BET - Revenue</v>
      </c>
      <c r="B12285" s="33" t="str">
        <f t="shared" si="769"/>
        <v>BET</v>
      </c>
      <c r="C12285" s="33" t="str">
        <f t="shared" si="770"/>
        <v>40120-0000</v>
      </c>
      <c r="D12285" t="s">
        <v>4292</v>
      </c>
      <c r="E12285" t="s">
        <v>3687</v>
      </c>
      <c r="F12285" s="69" t="s">
        <v>230</v>
      </c>
      <c r="G12285" t="s">
        <v>3684</v>
      </c>
      <c r="H12285" t="s">
        <v>2871</v>
      </c>
      <c r="I12285" t="s">
        <v>3688</v>
      </c>
      <c r="J12285" s="70">
        <v>-30580</v>
      </c>
      <c r="K12285" s="71">
        <v>-30580</v>
      </c>
      <c r="L12285" s="33" t="e">
        <f>HLOOKUP(B12285,#REF!,1,0)</f>
        <v>#REF!</v>
      </c>
      <c r="M12285" s="33" t="str">
        <f t="shared" si="771"/>
        <v>P&amp;L</v>
      </c>
    </row>
    <row r="12286" spans="1:13">
      <c r="A12286" s="33" t="str">
        <f t="shared" si="768"/>
        <v>BET - Revenue</v>
      </c>
      <c r="B12286" s="33" t="str">
        <f t="shared" si="769"/>
        <v>BET</v>
      </c>
      <c r="C12286" s="33" t="str">
        <f t="shared" si="770"/>
        <v>40130-0000</v>
      </c>
      <c r="D12286" t="s">
        <v>4293</v>
      </c>
      <c r="E12286" t="s">
        <v>3690</v>
      </c>
      <c r="F12286" s="69" t="s">
        <v>230</v>
      </c>
      <c r="G12286" t="s">
        <v>3684</v>
      </c>
      <c r="H12286" t="s">
        <v>2871</v>
      </c>
      <c r="I12286" t="s">
        <v>3691</v>
      </c>
      <c r="J12286" s="70">
        <v>-32563</v>
      </c>
      <c r="K12286" s="71">
        <v>-32563</v>
      </c>
      <c r="L12286" s="33" t="e">
        <f>HLOOKUP(B12286,#REF!,1,0)</f>
        <v>#REF!</v>
      </c>
      <c r="M12286" s="33" t="str">
        <f t="shared" si="771"/>
        <v>P&amp;L</v>
      </c>
    </row>
    <row r="12287" spans="1:13">
      <c r="A12287" s="33" t="str">
        <f t="shared" si="768"/>
        <v>BET - Revenue</v>
      </c>
      <c r="B12287" s="33" t="str">
        <f t="shared" si="769"/>
        <v>BET</v>
      </c>
      <c r="C12287" s="33" t="str">
        <f t="shared" si="770"/>
        <v>41110-0000</v>
      </c>
      <c r="D12287" t="s">
        <v>4295</v>
      </c>
      <c r="E12287" t="s">
        <v>3716</v>
      </c>
      <c r="F12287" s="69" t="s">
        <v>230</v>
      </c>
      <c r="G12287" t="s">
        <v>3717</v>
      </c>
      <c r="H12287" t="s">
        <v>2871</v>
      </c>
      <c r="I12287" t="s">
        <v>3718</v>
      </c>
      <c r="J12287" s="70">
        <v>-1022182.37</v>
      </c>
      <c r="K12287" s="71">
        <v>-1212554.47</v>
      </c>
      <c r="L12287" s="33" t="e">
        <f>HLOOKUP(B12287,#REF!,1,0)</f>
        <v>#REF!</v>
      </c>
      <c r="M12287" s="33" t="str">
        <f t="shared" si="771"/>
        <v>P&amp;L</v>
      </c>
    </row>
    <row r="12288" spans="1:13">
      <c r="A12288" s="33" t="str">
        <f t="shared" si="768"/>
        <v>BET - Revenue</v>
      </c>
      <c r="B12288" s="33" t="str">
        <f t="shared" si="769"/>
        <v>BET</v>
      </c>
      <c r="C12288" s="33" t="str">
        <f t="shared" si="770"/>
        <v>41120-0000</v>
      </c>
      <c r="D12288" t="s">
        <v>13497</v>
      </c>
      <c r="E12288" t="s">
        <v>13267</v>
      </c>
      <c r="F12288" s="69" t="s">
        <v>230</v>
      </c>
      <c r="G12288" t="s">
        <v>3717</v>
      </c>
      <c r="H12288" t="s">
        <v>2871</v>
      </c>
      <c r="I12288" t="s">
        <v>3718</v>
      </c>
      <c r="J12288" s="70">
        <v>0</v>
      </c>
      <c r="K12288" s="71">
        <v>63368</v>
      </c>
      <c r="L12288" s="33" t="e">
        <f>HLOOKUP(B12288,#REF!,1,0)</f>
        <v>#REF!</v>
      </c>
      <c r="M12288" s="33" t="str">
        <f t="shared" si="771"/>
        <v>P&amp;L</v>
      </c>
    </row>
    <row r="12289" spans="1:13">
      <c r="A12289" s="33" t="str">
        <f t="shared" si="768"/>
        <v>BET - Revenue</v>
      </c>
      <c r="B12289" s="33" t="str">
        <f t="shared" si="769"/>
        <v>BET</v>
      </c>
      <c r="C12289" s="33" t="str">
        <f t="shared" si="770"/>
        <v>42110-0000</v>
      </c>
      <c r="D12289" t="s">
        <v>13498</v>
      </c>
      <c r="E12289" t="s">
        <v>13269</v>
      </c>
      <c r="F12289" s="69" t="s">
        <v>230</v>
      </c>
      <c r="G12289" t="s">
        <v>3694</v>
      </c>
      <c r="H12289" t="s">
        <v>2871</v>
      </c>
      <c r="I12289" t="s">
        <v>3695</v>
      </c>
      <c r="J12289" s="70">
        <v>50620</v>
      </c>
      <c r="K12289" s="71">
        <v>57821.77</v>
      </c>
      <c r="L12289" s="33" t="e">
        <f>HLOOKUP(B12289,#REF!,1,0)</f>
        <v>#REF!</v>
      </c>
      <c r="M12289" s="33" t="str">
        <f t="shared" si="771"/>
        <v>P&amp;L</v>
      </c>
    </row>
    <row r="12290" spans="1:13">
      <c r="A12290" s="33" t="str">
        <f t="shared" si="768"/>
        <v>BET - Revenue</v>
      </c>
      <c r="B12290" s="33" t="str">
        <f t="shared" si="769"/>
        <v>BET</v>
      </c>
      <c r="C12290" s="33" t="str">
        <f t="shared" si="770"/>
        <v>42130-0000</v>
      </c>
      <c r="D12290" t="s">
        <v>13499</v>
      </c>
      <c r="E12290" t="s">
        <v>13374</v>
      </c>
      <c r="F12290" s="69" t="s">
        <v>230</v>
      </c>
      <c r="G12290" t="s">
        <v>3694</v>
      </c>
      <c r="H12290" t="s">
        <v>2871</v>
      </c>
      <c r="I12290" t="s">
        <v>3704</v>
      </c>
      <c r="J12290" s="70">
        <v>118</v>
      </c>
      <c r="K12290" s="71">
        <v>118</v>
      </c>
      <c r="L12290" s="33" t="e">
        <f>HLOOKUP(B12290,#REF!,1,0)</f>
        <v>#REF!</v>
      </c>
      <c r="M12290" s="33" t="str">
        <f t="shared" si="771"/>
        <v>P&amp;L</v>
      </c>
    </row>
    <row r="12291" spans="1:13">
      <c r="A12291" s="33" t="str">
        <f t="shared" si="768"/>
        <v>BET - Revenue</v>
      </c>
      <c r="B12291" s="33" t="str">
        <f t="shared" si="769"/>
        <v>BET</v>
      </c>
      <c r="C12291" s="33" t="str">
        <f t="shared" si="770"/>
        <v>42150-0000</v>
      </c>
      <c r="D12291" t="s">
        <v>13500</v>
      </c>
      <c r="E12291" t="s">
        <v>13271</v>
      </c>
      <c r="F12291" s="69" t="s">
        <v>230</v>
      </c>
      <c r="G12291" t="s">
        <v>3694</v>
      </c>
      <c r="H12291" t="s">
        <v>2871</v>
      </c>
      <c r="I12291" t="s">
        <v>3710</v>
      </c>
      <c r="J12291" s="70">
        <v>0</v>
      </c>
      <c r="K12291" s="71">
        <v>1920</v>
      </c>
      <c r="L12291" s="33" t="e">
        <f>HLOOKUP(B12291,#REF!,1,0)</f>
        <v>#REF!</v>
      </c>
      <c r="M12291" s="33" t="str">
        <f t="shared" si="771"/>
        <v>P&amp;L</v>
      </c>
    </row>
    <row r="12292" spans="1:13">
      <c r="A12292" s="33" t="str">
        <f t="shared" si="768"/>
        <v>BET - Revenue</v>
      </c>
      <c r="B12292" s="33" t="str">
        <f t="shared" si="769"/>
        <v>BET</v>
      </c>
      <c r="C12292" s="33" t="str">
        <f t="shared" si="770"/>
        <v>42160-0000</v>
      </c>
      <c r="D12292" t="s">
        <v>13501</v>
      </c>
      <c r="E12292" t="s">
        <v>3957</v>
      </c>
      <c r="F12292" s="69" t="s">
        <v>230</v>
      </c>
      <c r="G12292" t="s">
        <v>3694</v>
      </c>
      <c r="H12292" t="s">
        <v>2871</v>
      </c>
      <c r="I12292" t="s">
        <v>3701</v>
      </c>
      <c r="J12292" s="70">
        <v>-26933</v>
      </c>
      <c r="K12292" s="71">
        <v>-26933</v>
      </c>
      <c r="L12292" s="33" t="e">
        <f>HLOOKUP(B12292,#REF!,1,0)</f>
        <v>#REF!</v>
      </c>
      <c r="M12292" s="33" t="str">
        <f t="shared" si="771"/>
        <v>P&amp;L</v>
      </c>
    </row>
    <row r="12293" spans="1:13">
      <c r="A12293" s="33" t="str">
        <f t="shared" si="768"/>
        <v>BET - Revenue</v>
      </c>
      <c r="B12293" s="33" t="str">
        <f t="shared" si="769"/>
        <v>BET</v>
      </c>
      <c r="C12293" s="33" t="str">
        <f t="shared" si="770"/>
        <v>43120-0000</v>
      </c>
      <c r="D12293" t="s">
        <v>13502</v>
      </c>
      <c r="E12293" t="s">
        <v>3700</v>
      </c>
      <c r="F12293" s="69" t="s">
        <v>230</v>
      </c>
      <c r="G12293" t="s">
        <v>3694</v>
      </c>
      <c r="H12293" t="s">
        <v>2871</v>
      </c>
      <c r="I12293" t="s">
        <v>3701</v>
      </c>
      <c r="J12293" s="70">
        <v>-7474.68</v>
      </c>
      <c r="K12293" s="71">
        <v>-7474.68</v>
      </c>
      <c r="L12293" s="33" t="e">
        <f>HLOOKUP(B12293,#REF!,1,0)</f>
        <v>#REF!</v>
      </c>
      <c r="M12293" s="33" t="str">
        <f t="shared" si="771"/>
        <v>P&amp;L</v>
      </c>
    </row>
    <row r="12294" spans="1:13">
      <c r="A12294" s="33" t="str">
        <f t="shared" si="768"/>
        <v>BET - Revenue</v>
      </c>
      <c r="B12294" s="33" t="str">
        <f t="shared" si="769"/>
        <v>BET</v>
      </c>
      <c r="C12294" s="33" t="str">
        <f t="shared" si="770"/>
        <v>43121-0000</v>
      </c>
      <c r="D12294" t="s">
        <v>13503</v>
      </c>
      <c r="E12294" t="s">
        <v>7768</v>
      </c>
      <c r="F12294" s="69" t="s">
        <v>230</v>
      </c>
      <c r="G12294" t="s">
        <v>3694</v>
      </c>
      <c r="H12294" t="s">
        <v>2871</v>
      </c>
      <c r="I12294" t="s">
        <v>3698</v>
      </c>
      <c r="J12294" s="70">
        <v>56414.2</v>
      </c>
      <c r="K12294" s="71">
        <v>56414.2</v>
      </c>
      <c r="L12294" s="33" t="e">
        <f>HLOOKUP(B12294,#REF!,1,0)</f>
        <v>#REF!</v>
      </c>
      <c r="M12294" s="33" t="str">
        <f t="shared" si="771"/>
        <v>P&amp;L</v>
      </c>
    </row>
    <row r="12295" spans="1:13">
      <c r="A12295" s="33" t="str">
        <f t="shared" si="768"/>
        <v>BET - Revenue</v>
      </c>
      <c r="B12295" s="33" t="str">
        <f t="shared" si="769"/>
        <v>BET</v>
      </c>
      <c r="C12295" s="33" t="str">
        <f t="shared" si="770"/>
        <v>43410-0000</v>
      </c>
      <c r="D12295" t="s">
        <v>13504</v>
      </c>
      <c r="E12295" t="s">
        <v>13276</v>
      </c>
      <c r="F12295" s="69" t="s">
        <v>230</v>
      </c>
      <c r="G12295" t="s">
        <v>3717</v>
      </c>
      <c r="H12295" t="s">
        <v>2871</v>
      </c>
      <c r="I12295" t="s">
        <v>3727</v>
      </c>
      <c r="J12295" s="70">
        <v>-15495</v>
      </c>
      <c r="K12295" s="71">
        <v>-15495</v>
      </c>
      <c r="L12295" s="33" t="e">
        <f>HLOOKUP(B12295,#REF!,1,0)</f>
        <v>#REF!</v>
      </c>
      <c r="M12295" s="33" t="str">
        <f t="shared" si="771"/>
        <v>P&amp;L</v>
      </c>
    </row>
    <row r="12296" spans="1:13">
      <c r="A12296" s="33" t="str">
        <f t="shared" si="768"/>
        <v>BET - Revenue</v>
      </c>
      <c r="B12296" s="33" t="str">
        <f t="shared" si="769"/>
        <v>BET</v>
      </c>
      <c r="C12296" s="33" t="str">
        <f t="shared" si="770"/>
        <v>43430-0000</v>
      </c>
      <c r="D12296" t="s">
        <v>13505</v>
      </c>
      <c r="E12296" t="s">
        <v>4053</v>
      </c>
      <c r="F12296" s="69" t="s">
        <v>230</v>
      </c>
      <c r="G12296" t="s">
        <v>3717</v>
      </c>
      <c r="H12296" t="s">
        <v>2871</v>
      </c>
      <c r="I12296" t="s">
        <v>4054</v>
      </c>
      <c r="J12296" s="70">
        <v>-7949.07</v>
      </c>
      <c r="K12296" s="71">
        <v>-8493.52</v>
      </c>
      <c r="L12296" s="33" t="e">
        <f>HLOOKUP(B12296,#REF!,1,0)</f>
        <v>#REF!</v>
      </c>
      <c r="M12296" s="33" t="str">
        <f t="shared" si="771"/>
        <v>P&amp;L</v>
      </c>
    </row>
    <row r="12297" spans="1:13">
      <c r="A12297" s="33" t="str">
        <f t="shared" si="768"/>
        <v>BET - Revenue</v>
      </c>
      <c r="B12297" s="33" t="str">
        <f t="shared" si="769"/>
        <v>BET</v>
      </c>
      <c r="C12297" s="33" t="str">
        <f t="shared" si="770"/>
        <v>43440-0000</v>
      </c>
      <c r="D12297" t="s">
        <v>13506</v>
      </c>
      <c r="E12297" t="s">
        <v>13278</v>
      </c>
      <c r="F12297" s="69" t="s">
        <v>230</v>
      </c>
      <c r="G12297" t="s">
        <v>3717</v>
      </c>
      <c r="H12297" t="s">
        <v>2871</v>
      </c>
      <c r="I12297" t="s">
        <v>3721</v>
      </c>
      <c r="J12297" s="70">
        <v>-50790.56</v>
      </c>
      <c r="K12297" s="71">
        <v>-54065.56</v>
      </c>
      <c r="L12297" s="33" t="e">
        <f>HLOOKUP(B12297,#REF!,1,0)</f>
        <v>#REF!</v>
      </c>
      <c r="M12297" s="33" t="str">
        <f t="shared" si="771"/>
        <v>P&amp;L</v>
      </c>
    </row>
    <row r="12298" spans="1:13">
      <c r="A12298" s="33" t="str">
        <f t="shared" si="768"/>
        <v>BET - AP-Accr Exp</v>
      </c>
      <c r="B12298" s="33" t="str">
        <f t="shared" si="769"/>
        <v>BET</v>
      </c>
      <c r="C12298" s="33" t="str">
        <f t="shared" si="770"/>
        <v>43480-0000</v>
      </c>
      <c r="D12298" t="s">
        <v>13507</v>
      </c>
      <c r="E12298" t="s">
        <v>13280</v>
      </c>
      <c r="F12298" s="69" t="s">
        <v>230</v>
      </c>
      <c r="G12298" t="s">
        <v>97</v>
      </c>
      <c r="H12298" t="s">
        <v>98</v>
      </c>
      <c r="I12298" t="s">
        <v>102</v>
      </c>
      <c r="J12298" s="70">
        <v>-1525</v>
      </c>
      <c r="K12298" s="71">
        <v>-1525</v>
      </c>
      <c r="L12298" s="33" t="e">
        <f>HLOOKUP(B12298,#REF!,1,0)</f>
        <v>#REF!</v>
      </c>
      <c r="M12298" s="33" t="str">
        <f t="shared" si="771"/>
        <v>P&amp;L</v>
      </c>
    </row>
    <row r="12299" spans="1:13">
      <c r="A12299" s="33" t="str">
        <f t="shared" si="768"/>
        <v>BET - Revenue</v>
      </c>
      <c r="B12299" s="33" t="str">
        <f t="shared" si="769"/>
        <v>BET</v>
      </c>
      <c r="C12299" s="33" t="str">
        <f t="shared" si="770"/>
        <v>43491-0000</v>
      </c>
      <c r="D12299" t="s">
        <v>13508</v>
      </c>
      <c r="E12299" t="s">
        <v>3733</v>
      </c>
      <c r="F12299" s="69" t="s">
        <v>230</v>
      </c>
      <c r="G12299" t="s">
        <v>3717</v>
      </c>
      <c r="H12299" t="s">
        <v>2871</v>
      </c>
      <c r="I12299" t="s">
        <v>3734</v>
      </c>
      <c r="J12299" s="70">
        <v>-36837.98</v>
      </c>
      <c r="K12299" s="71">
        <v>-41595.12</v>
      </c>
      <c r="L12299" s="33" t="e">
        <f>HLOOKUP(B12299,#REF!,1,0)</f>
        <v>#REF!</v>
      </c>
      <c r="M12299" s="33" t="str">
        <f t="shared" si="771"/>
        <v>P&amp;L</v>
      </c>
    </row>
    <row r="12300" spans="1:13">
      <c r="A12300" s="33" t="str">
        <f t="shared" si="768"/>
        <v>BET - Revenue</v>
      </c>
      <c r="B12300" s="33" t="str">
        <f t="shared" si="769"/>
        <v>BET</v>
      </c>
      <c r="C12300" s="33" t="str">
        <f t="shared" si="770"/>
        <v>43492-0000</v>
      </c>
      <c r="D12300" t="s">
        <v>13509</v>
      </c>
      <c r="E12300" t="s">
        <v>13285</v>
      </c>
      <c r="F12300" s="69" t="s">
        <v>230</v>
      </c>
      <c r="G12300" t="s">
        <v>3717</v>
      </c>
      <c r="H12300" t="s">
        <v>2871</v>
      </c>
      <c r="I12300" t="s">
        <v>3737</v>
      </c>
      <c r="J12300" s="70">
        <v>-9298.62</v>
      </c>
      <c r="K12300" s="71">
        <v>-10668.94</v>
      </c>
      <c r="L12300" s="33" t="e">
        <f>HLOOKUP(B12300,#REF!,1,0)</f>
        <v>#REF!</v>
      </c>
      <c r="M12300" s="33" t="str">
        <f t="shared" si="771"/>
        <v>P&amp;L</v>
      </c>
    </row>
    <row r="12301" spans="1:13">
      <c r="A12301" s="33" t="str">
        <f t="shared" si="768"/>
        <v>BET - Revenue</v>
      </c>
      <c r="B12301" s="33" t="str">
        <f t="shared" si="769"/>
        <v>BET</v>
      </c>
      <c r="C12301" s="33" t="str">
        <f t="shared" si="770"/>
        <v>49500-9999</v>
      </c>
      <c r="D12301" t="s">
        <v>13510</v>
      </c>
      <c r="E12301" t="s">
        <v>7244</v>
      </c>
      <c r="F12301" s="69" t="s">
        <v>230</v>
      </c>
      <c r="G12301" t="s">
        <v>3713</v>
      </c>
      <c r="H12301" t="s">
        <v>2871</v>
      </c>
      <c r="I12301" t="s">
        <v>3714</v>
      </c>
      <c r="J12301" s="70">
        <v>996959.89</v>
      </c>
      <c r="K12301" s="71">
        <v>996959.89</v>
      </c>
      <c r="L12301" s="33" t="e">
        <f>HLOOKUP(B12301,#REF!,1,0)</f>
        <v>#REF!</v>
      </c>
      <c r="M12301" s="33" t="str">
        <f t="shared" si="771"/>
        <v>P&amp;L</v>
      </c>
    </row>
    <row r="12302" spans="1:13">
      <c r="A12302" s="33" t="str">
        <f t="shared" si="768"/>
        <v>BET - CGS</v>
      </c>
      <c r="B12302" s="33" t="str">
        <f t="shared" si="769"/>
        <v>BET</v>
      </c>
      <c r="C12302" s="33" t="str">
        <f t="shared" si="770"/>
        <v>51005-0000</v>
      </c>
      <c r="D12302" t="s">
        <v>4310</v>
      </c>
      <c r="E12302" t="s">
        <v>13287</v>
      </c>
      <c r="F12302" s="69" t="s">
        <v>230</v>
      </c>
      <c r="G12302" t="s">
        <v>3740</v>
      </c>
      <c r="H12302" t="s">
        <v>1875</v>
      </c>
      <c r="I12302" t="s">
        <v>3969</v>
      </c>
      <c r="J12302" s="70">
        <v>-10</v>
      </c>
      <c r="K12302" s="71">
        <v>-10</v>
      </c>
      <c r="L12302" s="33" t="e">
        <f>HLOOKUP(B12302,#REF!,1,0)</f>
        <v>#REF!</v>
      </c>
      <c r="M12302" s="33" t="str">
        <f t="shared" si="771"/>
        <v>P&amp;L</v>
      </c>
    </row>
    <row r="12303" spans="1:13">
      <c r="A12303" s="33" t="str">
        <f t="shared" ref="A12303:A12366" si="772">B12303&amp;" - "&amp;TRIM(H12303)</f>
        <v>BET - CGS</v>
      </c>
      <c r="B12303" s="33" t="str">
        <f t="shared" ref="B12303:B12366" si="773">LEFT(D12303,3)</f>
        <v>BET</v>
      </c>
      <c r="C12303" s="33" t="str">
        <f t="shared" ref="C12303:C12366" si="774">RIGHT(D12303,10)</f>
        <v>51006-0000</v>
      </c>
      <c r="D12303" t="s">
        <v>4311</v>
      </c>
      <c r="E12303" t="s">
        <v>13288</v>
      </c>
      <c r="F12303" s="69" t="s">
        <v>230</v>
      </c>
      <c r="G12303" t="s">
        <v>3740</v>
      </c>
      <c r="H12303" t="s">
        <v>1875</v>
      </c>
      <c r="I12303" t="s">
        <v>3741</v>
      </c>
      <c r="J12303" s="70">
        <v>2355.11</v>
      </c>
      <c r="K12303" s="71">
        <v>2355.11</v>
      </c>
      <c r="L12303" s="33" t="e">
        <f>HLOOKUP(B12303,#REF!,1,0)</f>
        <v>#REF!</v>
      </c>
      <c r="M12303" s="33" t="str">
        <f t="shared" ref="M12303:M12366" si="775">IF(VALUE(LEFT(C12303,5))&gt;40000,"P&amp;L","BS")</f>
        <v>P&amp;L</v>
      </c>
    </row>
    <row r="12304" spans="1:13">
      <c r="A12304" s="33" t="str">
        <f t="shared" si="772"/>
        <v>BET - CGS</v>
      </c>
      <c r="B12304" s="33" t="str">
        <f t="shared" si="773"/>
        <v>BET</v>
      </c>
      <c r="C12304" s="33" t="str">
        <f t="shared" si="774"/>
        <v>51007-0000</v>
      </c>
      <c r="D12304" t="s">
        <v>4312</v>
      </c>
      <c r="E12304" t="s">
        <v>13289</v>
      </c>
      <c r="F12304" s="69" t="s">
        <v>230</v>
      </c>
      <c r="G12304" t="s">
        <v>3740</v>
      </c>
      <c r="H12304" t="s">
        <v>1875</v>
      </c>
      <c r="I12304" t="s">
        <v>3973</v>
      </c>
      <c r="J12304" s="70">
        <v>107.3</v>
      </c>
      <c r="K12304" s="71">
        <v>107.3</v>
      </c>
      <c r="L12304" s="33" t="e">
        <f>HLOOKUP(B12304,#REF!,1,0)</f>
        <v>#REF!</v>
      </c>
      <c r="M12304" s="33" t="str">
        <f t="shared" si="775"/>
        <v>P&amp;L</v>
      </c>
    </row>
    <row r="12305" spans="1:13">
      <c r="A12305" s="33" t="str">
        <f t="shared" si="772"/>
        <v>BET - CGS</v>
      </c>
      <c r="B12305" s="33" t="str">
        <f t="shared" si="773"/>
        <v>BET</v>
      </c>
      <c r="C12305" s="33" t="str">
        <f t="shared" si="774"/>
        <v>51008-0000</v>
      </c>
      <c r="D12305" t="s">
        <v>4313</v>
      </c>
      <c r="E12305" t="s">
        <v>13290</v>
      </c>
      <c r="F12305" s="69" t="s">
        <v>230</v>
      </c>
      <c r="G12305" t="s">
        <v>3740</v>
      </c>
      <c r="H12305" t="s">
        <v>1875</v>
      </c>
      <c r="I12305" t="s">
        <v>3744</v>
      </c>
      <c r="J12305" s="70">
        <v>4409.61</v>
      </c>
      <c r="K12305" s="71">
        <v>4409.61</v>
      </c>
      <c r="L12305" s="33" t="e">
        <f>HLOOKUP(B12305,#REF!,1,0)</f>
        <v>#REF!</v>
      </c>
      <c r="M12305" s="33" t="str">
        <f t="shared" si="775"/>
        <v>P&amp;L</v>
      </c>
    </row>
    <row r="12306" spans="1:13">
      <c r="A12306" s="33" t="str">
        <f t="shared" si="772"/>
        <v>BET - CGS</v>
      </c>
      <c r="B12306" s="33" t="str">
        <f t="shared" si="773"/>
        <v>BET</v>
      </c>
      <c r="C12306" s="33" t="str">
        <f t="shared" si="774"/>
        <v>51009-0000</v>
      </c>
      <c r="D12306" t="s">
        <v>4314</v>
      </c>
      <c r="E12306" t="s">
        <v>13291</v>
      </c>
      <c r="F12306" s="69" t="s">
        <v>230</v>
      </c>
      <c r="G12306" t="s">
        <v>3740</v>
      </c>
      <c r="H12306" t="s">
        <v>1875</v>
      </c>
      <c r="I12306" t="s">
        <v>3747</v>
      </c>
      <c r="J12306" s="70">
        <v>595.79</v>
      </c>
      <c r="K12306" s="71">
        <v>595.79</v>
      </c>
      <c r="L12306" s="33" t="e">
        <f>HLOOKUP(B12306,#REF!,1,0)</f>
        <v>#REF!</v>
      </c>
      <c r="M12306" s="33" t="str">
        <f t="shared" si="775"/>
        <v>P&amp;L</v>
      </c>
    </row>
    <row r="12307" spans="1:13">
      <c r="A12307" s="33" t="str">
        <f t="shared" si="772"/>
        <v>BET - CGS</v>
      </c>
      <c r="B12307" s="33" t="str">
        <f t="shared" si="773"/>
        <v>BET</v>
      </c>
      <c r="C12307" s="33" t="str">
        <f t="shared" si="774"/>
        <v>51011-0000</v>
      </c>
      <c r="D12307" t="s">
        <v>4315</v>
      </c>
      <c r="E12307" t="s">
        <v>13292</v>
      </c>
      <c r="F12307" s="69" t="s">
        <v>230</v>
      </c>
      <c r="G12307" t="s">
        <v>3740</v>
      </c>
      <c r="H12307" t="s">
        <v>1875</v>
      </c>
      <c r="I12307" t="s">
        <v>3750</v>
      </c>
      <c r="J12307" s="70">
        <v>12375</v>
      </c>
      <c r="K12307" s="71">
        <v>12375</v>
      </c>
      <c r="L12307" s="33" t="e">
        <f>HLOOKUP(B12307,#REF!,1,0)</f>
        <v>#REF!</v>
      </c>
      <c r="M12307" s="33" t="str">
        <f t="shared" si="775"/>
        <v>P&amp;L</v>
      </c>
    </row>
    <row r="12308" spans="1:13">
      <c r="A12308" s="33" t="str">
        <f t="shared" si="772"/>
        <v>BET - CGS</v>
      </c>
      <c r="B12308" s="33" t="str">
        <f t="shared" si="773"/>
        <v>BET</v>
      </c>
      <c r="C12308" s="33" t="str">
        <f t="shared" si="774"/>
        <v>51012-0000</v>
      </c>
      <c r="D12308" t="s">
        <v>4316</v>
      </c>
      <c r="E12308" t="s">
        <v>13293</v>
      </c>
      <c r="F12308" s="69" t="s">
        <v>230</v>
      </c>
      <c r="G12308" t="s">
        <v>3740</v>
      </c>
      <c r="H12308" t="s">
        <v>1875</v>
      </c>
      <c r="I12308" t="s">
        <v>3753</v>
      </c>
      <c r="J12308" s="70">
        <v>1705</v>
      </c>
      <c r="K12308" s="71">
        <v>1705</v>
      </c>
      <c r="L12308" s="33" t="e">
        <f>HLOOKUP(B12308,#REF!,1,0)</f>
        <v>#REF!</v>
      </c>
      <c r="M12308" s="33" t="str">
        <f t="shared" si="775"/>
        <v>P&amp;L</v>
      </c>
    </row>
    <row r="12309" spans="1:13">
      <c r="A12309" s="33" t="str">
        <f t="shared" si="772"/>
        <v>BET - CGS</v>
      </c>
      <c r="B12309" s="33" t="str">
        <f t="shared" si="773"/>
        <v>BET</v>
      </c>
      <c r="C12309" s="33" t="str">
        <f t="shared" si="774"/>
        <v>51013-0000</v>
      </c>
      <c r="D12309" t="s">
        <v>4317</v>
      </c>
      <c r="E12309" t="s">
        <v>13294</v>
      </c>
      <c r="F12309" s="69" t="s">
        <v>230</v>
      </c>
      <c r="G12309" t="s">
        <v>3740</v>
      </c>
      <c r="H12309" t="s">
        <v>1875</v>
      </c>
      <c r="I12309" t="s">
        <v>3980</v>
      </c>
      <c r="J12309" s="70">
        <v>3000</v>
      </c>
      <c r="K12309" s="71">
        <v>3000</v>
      </c>
      <c r="L12309" s="33" t="e">
        <f>HLOOKUP(B12309,#REF!,1,0)</f>
        <v>#REF!</v>
      </c>
      <c r="M12309" s="33" t="str">
        <f t="shared" si="775"/>
        <v>P&amp;L</v>
      </c>
    </row>
    <row r="12310" spans="1:13">
      <c r="A12310" s="33" t="str">
        <f t="shared" si="772"/>
        <v>BET - CGS</v>
      </c>
      <c r="B12310" s="33" t="str">
        <f t="shared" si="773"/>
        <v>BET</v>
      </c>
      <c r="C12310" s="33" t="str">
        <f t="shared" si="774"/>
        <v>51015-0000</v>
      </c>
      <c r="D12310" t="s">
        <v>4318</v>
      </c>
      <c r="E12310" t="s">
        <v>13295</v>
      </c>
      <c r="F12310" s="69" t="s">
        <v>230</v>
      </c>
      <c r="G12310" t="s">
        <v>3740</v>
      </c>
      <c r="H12310" t="s">
        <v>1875</v>
      </c>
      <c r="I12310" t="s">
        <v>3756</v>
      </c>
      <c r="J12310" s="70">
        <v>110.58</v>
      </c>
      <c r="K12310" s="71">
        <v>118.02</v>
      </c>
      <c r="L12310" s="33" t="e">
        <f>HLOOKUP(B12310,#REF!,1,0)</f>
        <v>#REF!</v>
      </c>
      <c r="M12310" s="33" t="str">
        <f t="shared" si="775"/>
        <v>P&amp;L</v>
      </c>
    </row>
    <row r="12311" spans="1:13">
      <c r="A12311" s="33" t="str">
        <f t="shared" si="772"/>
        <v>BET - CGS</v>
      </c>
      <c r="B12311" s="33" t="str">
        <f t="shared" si="773"/>
        <v>BET</v>
      </c>
      <c r="C12311" s="33" t="str">
        <f t="shared" si="774"/>
        <v>51018-0000</v>
      </c>
      <c r="D12311" t="s">
        <v>4320</v>
      </c>
      <c r="E12311" t="s">
        <v>13296</v>
      </c>
      <c r="F12311" s="69" t="s">
        <v>230</v>
      </c>
      <c r="G12311" t="s">
        <v>3740</v>
      </c>
      <c r="H12311" t="s">
        <v>1875</v>
      </c>
      <c r="I12311" t="s">
        <v>3319</v>
      </c>
      <c r="J12311" s="70">
        <v>1714.76</v>
      </c>
      <c r="K12311" s="71">
        <v>1714.76</v>
      </c>
      <c r="L12311" s="33" t="e">
        <f>HLOOKUP(B12311,#REF!,1,0)</f>
        <v>#REF!</v>
      </c>
      <c r="M12311" s="33" t="str">
        <f t="shared" si="775"/>
        <v>P&amp;L</v>
      </c>
    </row>
    <row r="12312" spans="1:13">
      <c r="A12312" s="33" t="str">
        <f t="shared" si="772"/>
        <v>BET - CGS</v>
      </c>
      <c r="B12312" s="33" t="str">
        <f t="shared" si="773"/>
        <v>BET</v>
      </c>
      <c r="C12312" s="33" t="str">
        <f t="shared" si="774"/>
        <v>51019-0000</v>
      </c>
      <c r="D12312" t="s">
        <v>4321</v>
      </c>
      <c r="E12312" t="s">
        <v>13297</v>
      </c>
      <c r="F12312" s="69" t="s">
        <v>230</v>
      </c>
      <c r="G12312" t="s">
        <v>3740</v>
      </c>
      <c r="H12312" t="s">
        <v>1875</v>
      </c>
      <c r="I12312" t="s">
        <v>3340</v>
      </c>
      <c r="J12312" s="70">
        <v>66.5</v>
      </c>
      <c r="K12312" s="71">
        <v>66.5</v>
      </c>
      <c r="L12312" s="33" t="e">
        <f>HLOOKUP(B12312,#REF!,1,0)</f>
        <v>#REF!</v>
      </c>
      <c r="M12312" s="33" t="str">
        <f t="shared" si="775"/>
        <v>P&amp;L</v>
      </c>
    </row>
    <row r="12313" spans="1:13">
      <c r="A12313" s="33" t="str">
        <f t="shared" si="772"/>
        <v>BET - CGS</v>
      </c>
      <c r="B12313" s="33" t="str">
        <f t="shared" si="773"/>
        <v>BET</v>
      </c>
      <c r="C12313" s="33" t="str">
        <f t="shared" si="774"/>
        <v>51020-0000</v>
      </c>
      <c r="D12313" t="s">
        <v>4322</v>
      </c>
      <c r="E12313" t="s">
        <v>13298</v>
      </c>
      <c r="F12313" s="69" t="s">
        <v>230</v>
      </c>
      <c r="G12313" t="s">
        <v>3740</v>
      </c>
      <c r="H12313" t="s">
        <v>1875</v>
      </c>
      <c r="I12313" t="s">
        <v>3345</v>
      </c>
      <c r="J12313" s="70">
        <v>1296.59</v>
      </c>
      <c r="K12313" s="71">
        <v>1296.59</v>
      </c>
      <c r="L12313" s="33" t="e">
        <f>HLOOKUP(B12313,#REF!,1,0)</f>
        <v>#REF!</v>
      </c>
      <c r="M12313" s="33" t="str">
        <f t="shared" si="775"/>
        <v>P&amp;L</v>
      </c>
    </row>
    <row r="12314" spans="1:13">
      <c r="A12314" s="33" t="str">
        <f t="shared" si="772"/>
        <v>BET - CGS</v>
      </c>
      <c r="B12314" s="33" t="str">
        <f t="shared" si="773"/>
        <v>BET</v>
      </c>
      <c r="C12314" s="33" t="str">
        <f t="shared" si="774"/>
        <v>51025-0000</v>
      </c>
      <c r="D12314" t="s">
        <v>4323</v>
      </c>
      <c r="E12314" t="s">
        <v>13299</v>
      </c>
      <c r="F12314" s="69" t="s">
        <v>230</v>
      </c>
      <c r="G12314" t="s">
        <v>3740</v>
      </c>
      <c r="H12314" t="s">
        <v>13300</v>
      </c>
      <c r="I12314" t="s">
        <v>13299</v>
      </c>
      <c r="J12314" s="70">
        <v>8580.81</v>
      </c>
      <c r="K12314" s="71">
        <v>9517.44</v>
      </c>
      <c r="L12314" s="33" t="e">
        <f>HLOOKUP(B12314,#REF!,1,0)</f>
        <v>#REF!</v>
      </c>
      <c r="M12314" s="33" t="str">
        <f t="shared" si="775"/>
        <v>P&amp;L</v>
      </c>
    </row>
    <row r="12315" spans="1:13">
      <c r="A12315" s="33" t="str">
        <f t="shared" si="772"/>
        <v>BET - CGS</v>
      </c>
      <c r="B12315" s="33" t="str">
        <f t="shared" si="773"/>
        <v>BET</v>
      </c>
      <c r="C12315" s="33" t="str">
        <f t="shared" si="774"/>
        <v>51029-0000</v>
      </c>
      <c r="D12315" t="s">
        <v>4324</v>
      </c>
      <c r="E12315" t="s">
        <v>13302</v>
      </c>
      <c r="F12315" s="69" t="s">
        <v>230</v>
      </c>
      <c r="G12315" t="s">
        <v>3740</v>
      </c>
      <c r="H12315" t="s">
        <v>13300</v>
      </c>
      <c r="I12315" t="s">
        <v>13302</v>
      </c>
      <c r="J12315" s="70">
        <v>7370</v>
      </c>
      <c r="K12315" s="71">
        <v>7370</v>
      </c>
      <c r="L12315" s="33" t="e">
        <f>HLOOKUP(B12315,#REF!,1,0)</f>
        <v>#REF!</v>
      </c>
      <c r="M12315" s="33" t="str">
        <f t="shared" si="775"/>
        <v>P&amp;L</v>
      </c>
    </row>
    <row r="12316" spans="1:13">
      <c r="A12316" s="33" t="str">
        <f t="shared" si="772"/>
        <v>BET - CGS</v>
      </c>
      <c r="B12316" s="33" t="str">
        <f t="shared" si="773"/>
        <v>BET</v>
      </c>
      <c r="C12316" s="33" t="str">
        <f t="shared" si="774"/>
        <v>52001-0000</v>
      </c>
      <c r="D12316" t="s">
        <v>4325</v>
      </c>
      <c r="E12316" t="s">
        <v>13303</v>
      </c>
      <c r="F12316" s="69" t="s">
        <v>230</v>
      </c>
      <c r="G12316" t="s">
        <v>3769</v>
      </c>
      <c r="H12316" t="s">
        <v>1875</v>
      </c>
      <c r="I12316" t="s">
        <v>3770</v>
      </c>
      <c r="J12316" s="70">
        <v>8086.62</v>
      </c>
      <c r="K12316" s="71">
        <v>8086.62</v>
      </c>
      <c r="L12316" s="33" t="e">
        <f>HLOOKUP(B12316,#REF!,1,0)</f>
        <v>#REF!</v>
      </c>
      <c r="M12316" s="33" t="str">
        <f t="shared" si="775"/>
        <v>P&amp;L</v>
      </c>
    </row>
    <row r="12317" spans="1:13">
      <c r="A12317" s="33" t="str">
        <f t="shared" si="772"/>
        <v>BET - CGS</v>
      </c>
      <c r="B12317" s="33" t="str">
        <f t="shared" si="773"/>
        <v>BET</v>
      </c>
      <c r="C12317" s="33" t="str">
        <f t="shared" si="774"/>
        <v>52002-0000</v>
      </c>
      <c r="D12317" t="s">
        <v>4326</v>
      </c>
      <c r="E12317" t="s">
        <v>13304</v>
      </c>
      <c r="F12317" s="69" t="s">
        <v>230</v>
      </c>
      <c r="G12317" t="s">
        <v>3769</v>
      </c>
      <c r="H12317" t="s">
        <v>1875</v>
      </c>
      <c r="I12317" t="s">
        <v>3998</v>
      </c>
      <c r="J12317" s="70">
        <v>50</v>
      </c>
      <c r="K12317" s="71">
        <v>50</v>
      </c>
      <c r="L12317" s="33" t="e">
        <f>HLOOKUP(B12317,#REF!,1,0)</f>
        <v>#REF!</v>
      </c>
      <c r="M12317" s="33" t="str">
        <f t="shared" si="775"/>
        <v>P&amp;L</v>
      </c>
    </row>
    <row r="12318" spans="1:13">
      <c r="A12318" s="33" t="str">
        <f t="shared" si="772"/>
        <v>BET - CGS</v>
      </c>
      <c r="B12318" s="33" t="str">
        <f t="shared" si="773"/>
        <v>BET</v>
      </c>
      <c r="C12318" s="33" t="str">
        <f t="shared" si="774"/>
        <v>52003-0000</v>
      </c>
      <c r="D12318" t="s">
        <v>4327</v>
      </c>
      <c r="E12318" t="s">
        <v>13305</v>
      </c>
      <c r="F12318" s="69" t="s">
        <v>230</v>
      </c>
      <c r="G12318" t="s">
        <v>3769</v>
      </c>
      <c r="H12318" t="s">
        <v>1875</v>
      </c>
      <c r="I12318" t="s">
        <v>3773</v>
      </c>
      <c r="J12318" s="70">
        <v>3110</v>
      </c>
      <c r="K12318" s="71">
        <v>3110</v>
      </c>
      <c r="L12318" s="33" t="e">
        <f>HLOOKUP(B12318,#REF!,1,0)</f>
        <v>#REF!</v>
      </c>
      <c r="M12318" s="33" t="str">
        <f t="shared" si="775"/>
        <v>P&amp;L</v>
      </c>
    </row>
    <row r="12319" spans="1:13">
      <c r="A12319" s="33" t="str">
        <f t="shared" si="772"/>
        <v>BET - CGS</v>
      </c>
      <c r="B12319" s="33" t="str">
        <f t="shared" si="773"/>
        <v>BET</v>
      </c>
      <c r="C12319" s="33" t="str">
        <f t="shared" si="774"/>
        <v>53001-0000</v>
      </c>
      <c r="D12319" t="s">
        <v>4330</v>
      </c>
      <c r="E12319" t="s">
        <v>13306</v>
      </c>
      <c r="F12319" s="69" t="s">
        <v>230</v>
      </c>
      <c r="G12319" t="s">
        <v>3160</v>
      </c>
      <c r="H12319" t="s">
        <v>1875</v>
      </c>
      <c r="I12319" t="s">
        <v>3782</v>
      </c>
      <c r="J12319" s="70">
        <v>1829.05</v>
      </c>
      <c r="K12319" s="71">
        <v>1829.05</v>
      </c>
      <c r="L12319" s="33" t="e">
        <f>HLOOKUP(B12319,#REF!,1,0)</f>
        <v>#REF!</v>
      </c>
      <c r="M12319" s="33" t="str">
        <f t="shared" si="775"/>
        <v>P&amp;L</v>
      </c>
    </row>
    <row r="12320" spans="1:13">
      <c r="A12320" s="33" t="str">
        <f t="shared" si="772"/>
        <v>BET - CGS</v>
      </c>
      <c r="B12320" s="33" t="str">
        <f t="shared" si="773"/>
        <v>BET</v>
      </c>
      <c r="C12320" s="33" t="str">
        <f t="shared" si="774"/>
        <v>53002-0000</v>
      </c>
      <c r="D12320" t="s">
        <v>4331</v>
      </c>
      <c r="E12320" t="s">
        <v>13307</v>
      </c>
      <c r="F12320" s="69" t="s">
        <v>230</v>
      </c>
      <c r="G12320" t="s">
        <v>3160</v>
      </c>
      <c r="H12320" t="s">
        <v>1875</v>
      </c>
      <c r="I12320" t="s">
        <v>3785</v>
      </c>
      <c r="J12320" s="70">
        <v>18939.42</v>
      </c>
      <c r="K12320" s="71">
        <v>18939.42</v>
      </c>
      <c r="L12320" s="33" t="e">
        <f>HLOOKUP(B12320,#REF!,1,0)</f>
        <v>#REF!</v>
      </c>
      <c r="M12320" s="33" t="str">
        <f t="shared" si="775"/>
        <v>P&amp;L</v>
      </c>
    </row>
    <row r="12321" spans="1:13">
      <c r="A12321" s="33" t="str">
        <f t="shared" si="772"/>
        <v>BET - Operating Expense</v>
      </c>
      <c r="B12321" s="33" t="str">
        <f t="shared" si="773"/>
        <v>BET</v>
      </c>
      <c r="C12321" s="33" t="str">
        <f t="shared" si="774"/>
        <v>53003-0000</v>
      </c>
      <c r="D12321" t="s">
        <v>4332</v>
      </c>
      <c r="E12321" t="s">
        <v>13308</v>
      </c>
      <c r="F12321" s="69" t="s">
        <v>230</v>
      </c>
      <c r="G12321" t="s">
        <v>4426</v>
      </c>
      <c r="H12321" t="s">
        <v>3022</v>
      </c>
      <c r="I12321" t="s">
        <v>6877</v>
      </c>
      <c r="J12321" s="70">
        <v>13567.54</v>
      </c>
      <c r="K12321" s="71">
        <v>13567.54</v>
      </c>
      <c r="L12321" s="33" t="e">
        <f>HLOOKUP(B12321,#REF!,1,0)</f>
        <v>#REF!</v>
      </c>
      <c r="M12321" s="33" t="str">
        <f t="shared" si="775"/>
        <v>P&amp;L</v>
      </c>
    </row>
    <row r="12322" spans="1:13">
      <c r="A12322" s="33" t="str">
        <f t="shared" si="772"/>
        <v>BET - Operating Expense</v>
      </c>
      <c r="B12322" s="33" t="str">
        <f t="shared" si="773"/>
        <v>BET</v>
      </c>
      <c r="C12322" s="33" t="str">
        <f t="shared" si="774"/>
        <v>53004-0000</v>
      </c>
      <c r="D12322" t="s">
        <v>4333</v>
      </c>
      <c r="E12322" t="s">
        <v>13309</v>
      </c>
      <c r="F12322" s="69" t="s">
        <v>230</v>
      </c>
      <c r="G12322" t="s">
        <v>4426</v>
      </c>
      <c r="H12322" t="s">
        <v>3022</v>
      </c>
      <c r="I12322" t="s">
        <v>6877</v>
      </c>
      <c r="J12322" s="70">
        <v>11252.16</v>
      </c>
      <c r="K12322" s="71">
        <v>11252.16</v>
      </c>
      <c r="L12322" s="33" t="e">
        <f>HLOOKUP(B12322,#REF!,1,0)</f>
        <v>#REF!</v>
      </c>
      <c r="M12322" s="33" t="str">
        <f t="shared" si="775"/>
        <v>P&amp;L</v>
      </c>
    </row>
    <row r="12323" spans="1:13">
      <c r="A12323" s="33" t="str">
        <f t="shared" si="772"/>
        <v>BET - CGS</v>
      </c>
      <c r="B12323" s="33" t="str">
        <f t="shared" si="773"/>
        <v>BET</v>
      </c>
      <c r="C12323" s="33" t="str">
        <f t="shared" si="774"/>
        <v>53006-0000</v>
      </c>
      <c r="D12323" t="s">
        <v>4334</v>
      </c>
      <c r="E12323" t="s">
        <v>13310</v>
      </c>
      <c r="F12323" s="69" t="s">
        <v>230</v>
      </c>
      <c r="G12323" t="s">
        <v>3160</v>
      </c>
      <c r="H12323" t="s">
        <v>1875</v>
      </c>
      <c r="I12323" t="s">
        <v>3797</v>
      </c>
      <c r="J12323" s="70">
        <v>23427.95</v>
      </c>
      <c r="K12323" s="71">
        <v>23427.95</v>
      </c>
      <c r="L12323" s="33" t="e">
        <f>HLOOKUP(B12323,#REF!,1,0)</f>
        <v>#REF!</v>
      </c>
      <c r="M12323" s="33" t="str">
        <f t="shared" si="775"/>
        <v>P&amp;L</v>
      </c>
    </row>
    <row r="12324" spans="1:13">
      <c r="A12324" s="33" t="str">
        <f t="shared" si="772"/>
        <v>BET - CGS</v>
      </c>
      <c r="B12324" s="33" t="str">
        <f t="shared" si="773"/>
        <v>BET</v>
      </c>
      <c r="C12324" s="33" t="str">
        <f t="shared" si="774"/>
        <v>53011-0000</v>
      </c>
      <c r="D12324" t="s">
        <v>13511</v>
      </c>
      <c r="E12324" t="s">
        <v>13312</v>
      </c>
      <c r="F12324" s="69" t="s">
        <v>230</v>
      </c>
      <c r="G12324" t="s">
        <v>3160</v>
      </c>
      <c r="H12324" t="s">
        <v>13300</v>
      </c>
      <c r="I12324" t="s">
        <v>13313</v>
      </c>
      <c r="J12324" s="70">
        <v>712.14</v>
      </c>
      <c r="K12324" s="71">
        <v>712.14</v>
      </c>
      <c r="L12324" s="33" t="e">
        <f>HLOOKUP(B12324,#REF!,1,0)</f>
        <v>#REF!</v>
      </c>
      <c r="M12324" s="33" t="str">
        <f t="shared" si="775"/>
        <v>P&amp;L</v>
      </c>
    </row>
    <row r="12325" spans="1:13">
      <c r="A12325" s="33" t="str">
        <f t="shared" si="772"/>
        <v>BET - CGS</v>
      </c>
      <c r="B12325" s="33" t="str">
        <f t="shared" si="773"/>
        <v>BET</v>
      </c>
      <c r="C12325" s="33" t="str">
        <f t="shared" si="774"/>
        <v>54001-0000</v>
      </c>
      <c r="D12325" t="s">
        <v>4335</v>
      </c>
      <c r="E12325" t="s">
        <v>4008</v>
      </c>
      <c r="F12325" s="69" t="s">
        <v>230</v>
      </c>
      <c r="G12325" t="s">
        <v>3800</v>
      </c>
      <c r="H12325" t="s">
        <v>1875</v>
      </c>
      <c r="I12325" t="s">
        <v>4009</v>
      </c>
      <c r="J12325" s="70">
        <v>469.81</v>
      </c>
      <c r="K12325" s="71">
        <v>469.81</v>
      </c>
      <c r="L12325" s="33" t="e">
        <f>HLOOKUP(B12325,#REF!,1,0)</f>
        <v>#REF!</v>
      </c>
      <c r="M12325" s="33" t="str">
        <f t="shared" si="775"/>
        <v>P&amp;L</v>
      </c>
    </row>
    <row r="12326" spans="1:13">
      <c r="A12326" s="33" t="str">
        <f t="shared" si="772"/>
        <v>BET - CGS</v>
      </c>
      <c r="B12326" s="33" t="str">
        <f t="shared" si="773"/>
        <v>BET</v>
      </c>
      <c r="C12326" s="33" t="str">
        <f t="shared" si="774"/>
        <v>54002-0000</v>
      </c>
      <c r="D12326" t="s">
        <v>4336</v>
      </c>
      <c r="E12326" t="s">
        <v>3799</v>
      </c>
      <c r="F12326" s="69" t="s">
        <v>230</v>
      </c>
      <c r="G12326" t="s">
        <v>3800</v>
      </c>
      <c r="H12326" t="s">
        <v>1875</v>
      </c>
      <c r="I12326" t="s">
        <v>3801</v>
      </c>
      <c r="J12326" s="70">
        <v>9351.37</v>
      </c>
      <c r="K12326" s="71">
        <v>9872.87</v>
      </c>
      <c r="L12326" s="33" t="e">
        <f>HLOOKUP(B12326,#REF!,1,0)</f>
        <v>#REF!</v>
      </c>
      <c r="M12326" s="33" t="str">
        <f t="shared" si="775"/>
        <v>P&amp;L</v>
      </c>
    </row>
    <row r="12327" spans="1:13">
      <c r="A12327" s="33" t="str">
        <f t="shared" si="772"/>
        <v>BET - CGS</v>
      </c>
      <c r="B12327" s="33" t="str">
        <f t="shared" si="773"/>
        <v>BET</v>
      </c>
      <c r="C12327" s="33" t="str">
        <f t="shared" si="774"/>
        <v>54004-0000</v>
      </c>
      <c r="D12327" t="s">
        <v>4338</v>
      </c>
      <c r="E12327" t="s">
        <v>13314</v>
      </c>
      <c r="F12327" s="69" t="s">
        <v>230</v>
      </c>
      <c r="G12327" t="s">
        <v>3800</v>
      </c>
      <c r="H12327" t="s">
        <v>1875</v>
      </c>
      <c r="I12327" t="s">
        <v>3807</v>
      </c>
      <c r="J12327" s="70">
        <v>23655.33</v>
      </c>
      <c r="K12327" s="71">
        <v>24975.33</v>
      </c>
      <c r="L12327" s="33" t="e">
        <f>HLOOKUP(B12327,#REF!,1,0)</f>
        <v>#REF!</v>
      </c>
      <c r="M12327" s="33" t="str">
        <f t="shared" si="775"/>
        <v>P&amp;L</v>
      </c>
    </row>
    <row r="12328" spans="1:13">
      <c r="A12328" s="33" t="str">
        <f t="shared" si="772"/>
        <v>BET - CGS</v>
      </c>
      <c r="B12328" s="33" t="str">
        <f t="shared" si="773"/>
        <v>BET</v>
      </c>
      <c r="C12328" s="33" t="str">
        <f t="shared" si="774"/>
        <v>54005-0000</v>
      </c>
      <c r="D12328" t="s">
        <v>4339</v>
      </c>
      <c r="E12328" t="s">
        <v>3809</v>
      </c>
      <c r="F12328" s="69" t="s">
        <v>230</v>
      </c>
      <c r="G12328" t="s">
        <v>3800</v>
      </c>
      <c r="H12328" t="s">
        <v>1875</v>
      </c>
      <c r="I12328" t="s">
        <v>3810</v>
      </c>
      <c r="J12328" s="70">
        <v>535.07</v>
      </c>
      <c r="K12328" s="71">
        <v>569.72</v>
      </c>
      <c r="L12328" s="33" t="e">
        <f>HLOOKUP(B12328,#REF!,1,0)</f>
        <v>#REF!</v>
      </c>
      <c r="M12328" s="33" t="str">
        <f t="shared" si="775"/>
        <v>P&amp;L</v>
      </c>
    </row>
    <row r="12329" spans="1:13">
      <c r="A12329" s="33" t="str">
        <f t="shared" si="772"/>
        <v>BET - CGS</v>
      </c>
      <c r="B12329" s="33" t="str">
        <f t="shared" si="773"/>
        <v>BET</v>
      </c>
      <c r="C12329" s="33" t="str">
        <f t="shared" si="774"/>
        <v>54006-0000</v>
      </c>
      <c r="D12329" t="s">
        <v>4340</v>
      </c>
      <c r="E12329" t="s">
        <v>3812</v>
      </c>
      <c r="F12329" s="69" t="s">
        <v>230</v>
      </c>
      <c r="G12329" t="s">
        <v>3800</v>
      </c>
      <c r="H12329" t="s">
        <v>1875</v>
      </c>
      <c r="I12329" t="s">
        <v>3003</v>
      </c>
      <c r="J12329" s="70">
        <v>6590.81</v>
      </c>
      <c r="K12329" s="71">
        <v>7038.63</v>
      </c>
      <c r="L12329" s="33" t="e">
        <f>HLOOKUP(B12329,#REF!,1,0)</f>
        <v>#REF!</v>
      </c>
      <c r="M12329" s="33" t="str">
        <f t="shared" si="775"/>
        <v>P&amp;L</v>
      </c>
    </row>
    <row r="12330" spans="1:13">
      <c r="A12330" s="33" t="str">
        <f t="shared" si="772"/>
        <v>BET - CGS</v>
      </c>
      <c r="B12330" s="33" t="str">
        <f t="shared" si="773"/>
        <v>BET</v>
      </c>
      <c r="C12330" s="33" t="str">
        <f t="shared" si="774"/>
        <v>54007-0000</v>
      </c>
      <c r="D12330" t="s">
        <v>4341</v>
      </c>
      <c r="E12330" t="s">
        <v>13315</v>
      </c>
      <c r="F12330" s="69" t="s">
        <v>230</v>
      </c>
      <c r="G12330" t="s">
        <v>3800</v>
      </c>
      <c r="H12330" t="s">
        <v>1875</v>
      </c>
      <c r="I12330" t="s">
        <v>3815</v>
      </c>
      <c r="J12330" s="70">
        <v>52767.66</v>
      </c>
      <c r="K12330" s="71">
        <v>58287.66</v>
      </c>
      <c r="L12330" s="33" t="e">
        <f>HLOOKUP(B12330,#REF!,1,0)</f>
        <v>#REF!</v>
      </c>
      <c r="M12330" s="33" t="str">
        <f t="shared" si="775"/>
        <v>P&amp;L</v>
      </c>
    </row>
    <row r="12331" spans="1:13">
      <c r="A12331" s="33" t="str">
        <f t="shared" si="772"/>
        <v>BET - CGS</v>
      </c>
      <c r="B12331" s="33" t="str">
        <f t="shared" si="773"/>
        <v>BET</v>
      </c>
      <c r="C12331" s="33" t="str">
        <f t="shared" si="774"/>
        <v>61002-0000</v>
      </c>
      <c r="D12331" t="s">
        <v>13512</v>
      </c>
      <c r="E12331" t="s">
        <v>3837</v>
      </c>
      <c r="F12331" s="69" t="s">
        <v>230</v>
      </c>
      <c r="G12331" t="s">
        <v>3838</v>
      </c>
      <c r="H12331" t="s">
        <v>1875</v>
      </c>
      <c r="I12331" t="s">
        <v>3839</v>
      </c>
      <c r="J12331" s="70">
        <v>1872.23</v>
      </c>
      <c r="K12331" s="71">
        <v>2014.18</v>
      </c>
      <c r="L12331" s="33" t="e">
        <f>HLOOKUP(B12331,#REF!,1,0)</f>
        <v>#REF!</v>
      </c>
      <c r="M12331" s="33" t="str">
        <f t="shared" si="775"/>
        <v>P&amp;L</v>
      </c>
    </row>
    <row r="12332" spans="1:13">
      <c r="A12332" s="33" t="str">
        <f t="shared" si="772"/>
        <v>BET - CGS</v>
      </c>
      <c r="B12332" s="33" t="str">
        <f t="shared" si="773"/>
        <v>BET</v>
      </c>
      <c r="C12332" s="33" t="str">
        <f t="shared" si="774"/>
        <v>61005-0000</v>
      </c>
      <c r="D12332" t="s">
        <v>13513</v>
      </c>
      <c r="E12332" t="s">
        <v>3841</v>
      </c>
      <c r="F12332" s="69" t="s">
        <v>230</v>
      </c>
      <c r="G12332" t="s">
        <v>3838</v>
      </c>
      <c r="H12332" t="s">
        <v>1875</v>
      </c>
      <c r="I12332" t="s">
        <v>3842</v>
      </c>
      <c r="J12332" s="70">
        <v>48958.12</v>
      </c>
      <c r="K12332" s="71">
        <v>48958.12</v>
      </c>
      <c r="L12332" s="33" t="e">
        <f>HLOOKUP(B12332,#REF!,1,0)</f>
        <v>#REF!</v>
      </c>
      <c r="M12332" s="33" t="str">
        <f t="shared" si="775"/>
        <v>P&amp;L</v>
      </c>
    </row>
    <row r="12333" spans="1:13">
      <c r="A12333" s="33" t="str">
        <f t="shared" si="772"/>
        <v>BET - CGS</v>
      </c>
      <c r="B12333" s="33" t="str">
        <f t="shared" si="773"/>
        <v>BET</v>
      </c>
      <c r="C12333" s="33" t="str">
        <f t="shared" si="774"/>
        <v>61007-0000</v>
      </c>
      <c r="D12333" t="s">
        <v>13514</v>
      </c>
      <c r="E12333" t="s">
        <v>13319</v>
      </c>
      <c r="F12333" s="69" t="s">
        <v>230</v>
      </c>
      <c r="G12333" t="s">
        <v>3838</v>
      </c>
      <c r="H12333" t="s">
        <v>1875</v>
      </c>
      <c r="I12333" t="s">
        <v>3847</v>
      </c>
      <c r="J12333" s="70">
        <v>40801</v>
      </c>
      <c r="K12333" s="71">
        <v>40801</v>
      </c>
      <c r="L12333" s="33" t="e">
        <f>HLOOKUP(B12333,#REF!,1,0)</f>
        <v>#REF!</v>
      </c>
      <c r="M12333" s="33" t="str">
        <f t="shared" si="775"/>
        <v>P&amp;L</v>
      </c>
    </row>
    <row r="12334" spans="1:13">
      <c r="A12334" s="33" t="str">
        <f t="shared" si="772"/>
        <v>BET - CGS</v>
      </c>
      <c r="B12334" s="33" t="str">
        <f t="shared" si="773"/>
        <v>BET</v>
      </c>
      <c r="C12334" s="33" t="str">
        <f t="shared" si="774"/>
        <v>61008-0000</v>
      </c>
      <c r="D12334" t="s">
        <v>13515</v>
      </c>
      <c r="E12334" t="s">
        <v>13395</v>
      </c>
      <c r="F12334" s="69" t="s">
        <v>230</v>
      </c>
      <c r="G12334" t="s">
        <v>3838</v>
      </c>
      <c r="H12334" t="s">
        <v>13300</v>
      </c>
      <c r="I12334" t="s">
        <v>13396</v>
      </c>
      <c r="J12334" s="70">
        <v>2790.59</v>
      </c>
      <c r="K12334" s="71">
        <v>2790.59</v>
      </c>
      <c r="L12334" s="33" t="e">
        <f>HLOOKUP(B12334,#REF!,1,0)</f>
        <v>#REF!</v>
      </c>
      <c r="M12334" s="33" t="str">
        <f t="shared" si="775"/>
        <v>P&amp;L</v>
      </c>
    </row>
    <row r="12335" spans="1:13">
      <c r="A12335" s="33" t="str">
        <f t="shared" si="772"/>
        <v>BET - CGS</v>
      </c>
      <c r="B12335" s="33" t="str">
        <f t="shared" si="773"/>
        <v>BET</v>
      </c>
      <c r="C12335" s="33" t="str">
        <f t="shared" si="774"/>
        <v>61012-0000</v>
      </c>
      <c r="D12335" t="s">
        <v>13516</v>
      </c>
      <c r="E12335" t="s">
        <v>13321</v>
      </c>
      <c r="F12335" s="69" t="s">
        <v>230</v>
      </c>
      <c r="G12335" t="s">
        <v>3838</v>
      </c>
      <c r="H12335" t="s">
        <v>1875</v>
      </c>
      <c r="I12335" t="s">
        <v>3853</v>
      </c>
      <c r="J12335" s="70">
        <v>55432</v>
      </c>
      <c r="K12335" s="71">
        <v>55432</v>
      </c>
      <c r="L12335" s="33" t="e">
        <f>HLOOKUP(B12335,#REF!,1,0)</f>
        <v>#REF!</v>
      </c>
      <c r="M12335" s="33" t="str">
        <f t="shared" si="775"/>
        <v>P&amp;L</v>
      </c>
    </row>
    <row r="12336" spans="1:13">
      <c r="A12336" s="33" t="str">
        <f t="shared" si="772"/>
        <v>BET - CGS</v>
      </c>
      <c r="B12336" s="33" t="str">
        <f t="shared" si="773"/>
        <v>BET</v>
      </c>
      <c r="C12336" s="33" t="str">
        <f t="shared" si="774"/>
        <v>61013-0000</v>
      </c>
      <c r="D12336" t="s">
        <v>13517</v>
      </c>
      <c r="E12336" t="s">
        <v>6204</v>
      </c>
      <c r="F12336" s="69" t="s">
        <v>230</v>
      </c>
      <c r="G12336" t="s">
        <v>6205</v>
      </c>
      <c r="H12336" t="s">
        <v>1875</v>
      </c>
      <c r="I12336" t="s">
        <v>3354</v>
      </c>
      <c r="J12336" s="70">
        <v>50000</v>
      </c>
      <c r="K12336" s="71">
        <v>50000</v>
      </c>
      <c r="L12336" s="33" t="e">
        <f>HLOOKUP(B12336,#REF!,1,0)</f>
        <v>#REF!</v>
      </c>
      <c r="M12336" s="33" t="str">
        <f t="shared" si="775"/>
        <v>P&amp;L</v>
      </c>
    </row>
    <row r="12337" spans="1:13">
      <c r="A12337" s="33" t="str">
        <f t="shared" si="772"/>
        <v>BET - Revenue</v>
      </c>
      <c r="B12337" s="33" t="str">
        <f t="shared" si="773"/>
        <v>BET</v>
      </c>
      <c r="C12337" s="33" t="str">
        <f t="shared" si="774"/>
        <v>61014-0000</v>
      </c>
      <c r="D12337" t="s">
        <v>13518</v>
      </c>
      <c r="E12337" t="s">
        <v>13323</v>
      </c>
      <c r="F12337" s="69" t="s">
        <v>230</v>
      </c>
      <c r="G12337" t="s">
        <v>3717</v>
      </c>
      <c r="H12337" t="s">
        <v>2871</v>
      </c>
      <c r="I12337" t="s">
        <v>12435</v>
      </c>
      <c r="J12337" s="70">
        <v>40766.97</v>
      </c>
      <c r="K12337" s="71">
        <v>40766.97</v>
      </c>
      <c r="L12337" s="33" t="e">
        <f>HLOOKUP(B12337,#REF!,1,0)</f>
        <v>#REF!</v>
      </c>
      <c r="M12337" s="33" t="str">
        <f t="shared" si="775"/>
        <v>P&amp;L</v>
      </c>
    </row>
    <row r="12338" spans="1:13">
      <c r="A12338" s="33" t="str">
        <f t="shared" si="772"/>
        <v>BET - CGS</v>
      </c>
      <c r="B12338" s="33" t="str">
        <f t="shared" si="773"/>
        <v>BET</v>
      </c>
      <c r="C12338" s="33" t="str">
        <f t="shared" si="774"/>
        <v>61015-0000</v>
      </c>
      <c r="D12338" t="s">
        <v>13519</v>
      </c>
      <c r="E12338" t="s">
        <v>13325</v>
      </c>
      <c r="F12338" s="69" t="s">
        <v>230</v>
      </c>
      <c r="G12338" t="s">
        <v>3838</v>
      </c>
      <c r="H12338" t="s">
        <v>1875</v>
      </c>
      <c r="I12338" t="s">
        <v>3859</v>
      </c>
      <c r="J12338" s="70">
        <v>1369</v>
      </c>
      <c r="K12338" s="71">
        <v>1369</v>
      </c>
      <c r="L12338" s="33" t="e">
        <f>HLOOKUP(B12338,#REF!,1,0)</f>
        <v>#REF!</v>
      </c>
      <c r="M12338" s="33" t="str">
        <f t="shared" si="775"/>
        <v>P&amp;L</v>
      </c>
    </row>
    <row r="12339" spans="1:13">
      <c r="A12339" s="33" t="str">
        <f t="shared" si="772"/>
        <v>BET - CGS</v>
      </c>
      <c r="B12339" s="33" t="str">
        <f t="shared" si="773"/>
        <v>BET</v>
      </c>
      <c r="C12339" s="33" t="str">
        <f t="shared" si="774"/>
        <v>61023-0000</v>
      </c>
      <c r="D12339" t="s">
        <v>4366</v>
      </c>
      <c r="E12339" t="s">
        <v>1873</v>
      </c>
      <c r="F12339" s="69" t="s">
        <v>230</v>
      </c>
      <c r="G12339" t="s">
        <v>1874</v>
      </c>
      <c r="H12339" t="s">
        <v>1875</v>
      </c>
      <c r="I12339" t="s">
        <v>1876</v>
      </c>
      <c r="J12339" s="70">
        <v>245.27</v>
      </c>
      <c r="K12339" s="71">
        <v>245.27</v>
      </c>
      <c r="L12339" s="33" t="e">
        <f>HLOOKUP(B12339,#REF!,1,0)</f>
        <v>#REF!</v>
      </c>
      <c r="M12339" s="33" t="str">
        <f t="shared" si="775"/>
        <v>P&amp;L</v>
      </c>
    </row>
    <row r="12340" spans="1:13">
      <c r="A12340" s="33" t="str">
        <f t="shared" si="772"/>
        <v>BET - Capital-Remodel</v>
      </c>
      <c r="B12340" s="33" t="str">
        <f t="shared" si="773"/>
        <v>BET</v>
      </c>
      <c r="C12340" s="33" t="str">
        <f t="shared" si="774"/>
        <v>71010-0000</v>
      </c>
      <c r="D12340" t="s">
        <v>13520</v>
      </c>
      <c r="E12340" t="s">
        <v>4020</v>
      </c>
      <c r="F12340" s="69" t="s">
        <v>230</v>
      </c>
      <c r="G12340" t="s">
        <v>3818</v>
      </c>
      <c r="H12340" t="s">
        <v>4021</v>
      </c>
      <c r="I12340" t="s">
        <v>4022</v>
      </c>
      <c r="J12340" s="70">
        <v>-744.66</v>
      </c>
      <c r="K12340" s="71">
        <v>-744.66</v>
      </c>
      <c r="L12340" s="33" t="e">
        <f>HLOOKUP(B12340,#REF!,1,0)</f>
        <v>#REF!</v>
      </c>
      <c r="M12340" s="33" t="str">
        <f t="shared" si="775"/>
        <v>P&amp;L</v>
      </c>
    </row>
    <row r="12341" spans="1:13">
      <c r="A12341" s="33" t="str">
        <f t="shared" si="772"/>
        <v>BET - PM Expenses</v>
      </c>
      <c r="B12341" s="33" t="str">
        <f t="shared" si="773"/>
        <v>BET</v>
      </c>
      <c r="C12341" s="33" t="str">
        <f t="shared" si="774"/>
        <v>71020-0000</v>
      </c>
      <c r="D12341" t="s">
        <v>13521</v>
      </c>
      <c r="E12341" t="s">
        <v>13328</v>
      </c>
      <c r="F12341" s="69" t="s">
        <v>230</v>
      </c>
      <c r="G12341" t="s">
        <v>3818</v>
      </c>
      <c r="H12341" t="s">
        <v>3819</v>
      </c>
      <c r="I12341" t="s">
        <v>3820</v>
      </c>
      <c r="J12341" s="70">
        <v>2294.71</v>
      </c>
      <c r="K12341" s="71">
        <v>2294.71</v>
      </c>
      <c r="L12341" s="33" t="e">
        <f>HLOOKUP(B12341,#REF!,1,0)</f>
        <v>#REF!</v>
      </c>
      <c r="M12341" s="33" t="str">
        <f t="shared" si="775"/>
        <v>P&amp;L</v>
      </c>
    </row>
    <row r="12342" spans="1:13">
      <c r="A12342" s="33" t="str">
        <f t="shared" si="772"/>
        <v>BET - PM Expenses</v>
      </c>
      <c r="B12342" s="33" t="str">
        <f t="shared" si="773"/>
        <v>BET</v>
      </c>
      <c r="C12342" s="33" t="str">
        <f t="shared" si="774"/>
        <v>71030-0000</v>
      </c>
      <c r="D12342" t="s">
        <v>13522</v>
      </c>
      <c r="E12342" t="s">
        <v>13330</v>
      </c>
      <c r="F12342" s="69" t="s">
        <v>230</v>
      </c>
      <c r="G12342" t="s">
        <v>3818</v>
      </c>
      <c r="H12342" t="s">
        <v>3819</v>
      </c>
      <c r="I12342" t="s">
        <v>3823</v>
      </c>
      <c r="J12342" s="70">
        <v>24204.12</v>
      </c>
      <c r="K12342" s="71">
        <v>24204.12</v>
      </c>
      <c r="L12342" s="33" t="e">
        <f>HLOOKUP(B12342,#REF!,1,0)</f>
        <v>#REF!</v>
      </c>
      <c r="M12342" s="33" t="str">
        <f t="shared" si="775"/>
        <v>P&amp;L</v>
      </c>
    </row>
    <row r="12343" spans="1:13">
      <c r="A12343" s="33" t="str">
        <f t="shared" si="772"/>
        <v>BET - PM Expenses</v>
      </c>
      <c r="B12343" s="33" t="str">
        <f t="shared" si="773"/>
        <v>BET</v>
      </c>
      <c r="C12343" s="33" t="str">
        <f t="shared" si="774"/>
        <v>71040-0000</v>
      </c>
      <c r="D12343" t="s">
        <v>13523</v>
      </c>
      <c r="E12343" t="s">
        <v>13332</v>
      </c>
      <c r="F12343" s="69" t="s">
        <v>230</v>
      </c>
      <c r="G12343" t="s">
        <v>3818</v>
      </c>
      <c r="H12343" t="s">
        <v>3819</v>
      </c>
      <c r="I12343" t="s">
        <v>3826</v>
      </c>
      <c r="J12343" s="70">
        <v>5623</v>
      </c>
      <c r="K12343" s="71">
        <v>5623</v>
      </c>
      <c r="L12343" s="33" t="e">
        <f>HLOOKUP(B12343,#REF!,1,0)</f>
        <v>#REF!</v>
      </c>
      <c r="M12343" s="33" t="str">
        <f t="shared" si="775"/>
        <v>P&amp;L</v>
      </c>
    </row>
    <row r="12344" spans="1:13">
      <c r="A12344" s="33" t="str">
        <f t="shared" si="772"/>
        <v>BET - PM Expenses</v>
      </c>
      <c r="B12344" s="33" t="str">
        <f t="shared" si="773"/>
        <v>BET</v>
      </c>
      <c r="C12344" s="33" t="str">
        <f t="shared" si="774"/>
        <v>71050-0000</v>
      </c>
      <c r="D12344" t="s">
        <v>13524</v>
      </c>
      <c r="E12344" t="s">
        <v>13334</v>
      </c>
      <c r="F12344" s="69" t="s">
        <v>230</v>
      </c>
      <c r="G12344" t="s">
        <v>3818</v>
      </c>
      <c r="H12344" t="s">
        <v>3819</v>
      </c>
      <c r="I12344" t="s">
        <v>4028</v>
      </c>
      <c r="J12344" s="70">
        <v>1007.71</v>
      </c>
      <c r="K12344" s="71">
        <v>1007.71</v>
      </c>
      <c r="L12344" s="33" t="e">
        <f>HLOOKUP(B12344,#REF!,1,0)</f>
        <v>#REF!</v>
      </c>
      <c r="M12344" s="33" t="str">
        <f t="shared" si="775"/>
        <v>P&amp;L</v>
      </c>
    </row>
    <row r="12345" spans="1:13">
      <c r="A12345" s="33" t="str">
        <f t="shared" si="772"/>
        <v>BET - PM Expenses</v>
      </c>
      <c r="B12345" s="33" t="str">
        <f t="shared" si="773"/>
        <v>BET</v>
      </c>
      <c r="C12345" s="33" t="str">
        <f t="shared" si="774"/>
        <v>71060-0000</v>
      </c>
      <c r="D12345" t="s">
        <v>13525</v>
      </c>
      <c r="E12345" t="s">
        <v>13336</v>
      </c>
      <c r="F12345" s="69" t="s">
        <v>230</v>
      </c>
      <c r="G12345" t="s">
        <v>3818</v>
      </c>
      <c r="H12345" t="s">
        <v>3819</v>
      </c>
      <c r="I12345" t="s">
        <v>3829</v>
      </c>
      <c r="J12345" s="70">
        <v>122779.87</v>
      </c>
      <c r="K12345" s="71">
        <v>122779.87</v>
      </c>
      <c r="L12345" s="33" t="e">
        <f>HLOOKUP(B12345,#REF!,1,0)</f>
        <v>#REF!</v>
      </c>
      <c r="M12345" s="33" t="str">
        <f t="shared" si="775"/>
        <v>P&amp;L</v>
      </c>
    </row>
    <row r="12346" spans="1:13">
      <c r="A12346" s="33" t="str">
        <f t="shared" si="772"/>
        <v>BET - PM Expenses</v>
      </c>
      <c r="B12346" s="33" t="str">
        <f t="shared" si="773"/>
        <v>BET</v>
      </c>
      <c r="C12346" s="33" t="str">
        <f t="shared" si="774"/>
        <v>71070-0000</v>
      </c>
      <c r="D12346" t="s">
        <v>13526</v>
      </c>
      <c r="E12346" t="s">
        <v>13338</v>
      </c>
      <c r="F12346" s="69" t="s">
        <v>230</v>
      </c>
      <c r="G12346" t="s">
        <v>3818</v>
      </c>
      <c r="H12346" t="s">
        <v>3819</v>
      </c>
      <c r="I12346" t="s">
        <v>3832</v>
      </c>
      <c r="J12346" s="70">
        <v>64189.4</v>
      </c>
      <c r="K12346" s="71">
        <v>64189.4</v>
      </c>
      <c r="L12346" s="33" t="e">
        <f>HLOOKUP(B12346,#REF!,1,0)</f>
        <v>#REF!</v>
      </c>
      <c r="M12346" s="33" t="str">
        <f t="shared" si="775"/>
        <v>P&amp;L</v>
      </c>
    </row>
    <row r="12347" spans="1:13">
      <c r="A12347" s="33" t="str">
        <f t="shared" si="772"/>
        <v>BET - PM Expenses</v>
      </c>
      <c r="B12347" s="33" t="str">
        <f t="shared" si="773"/>
        <v>BET</v>
      </c>
      <c r="C12347" s="33" t="str">
        <f t="shared" si="774"/>
        <v>71080-0000</v>
      </c>
      <c r="D12347" t="s">
        <v>13527</v>
      </c>
      <c r="E12347" t="s">
        <v>13340</v>
      </c>
      <c r="F12347" s="69" t="s">
        <v>230</v>
      </c>
      <c r="G12347" t="s">
        <v>3818</v>
      </c>
      <c r="H12347" t="s">
        <v>3819</v>
      </c>
      <c r="I12347" t="s">
        <v>3835</v>
      </c>
      <c r="J12347" s="70">
        <v>1584.67</v>
      </c>
      <c r="K12347" s="71">
        <v>1584.67</v>
      </c>
      <c r="L12347" s="33" t="e">
        <f>HLOOKUP(B12347,#REF!,1,0)</f>
        <v>#REF!</v>
      </c>
      <c r="M12347" s="33" t="str">
        <f t="shared" si="775"/>
        <v>P&amp;L</v>
      </c>
    </row>
    <row r="12348" spans="1:13">
      <c r="A12348" s="33" t="str">
        <f t="shared" si="772"/>
        <v>BET - PM Expenses</v>
      </c>
      <c r="B12348" s="33" t="str">
        <f t="shared" si="773"/>
        <v>BET</v>
      </c>
      <c r="C12348" s="33" t="str">
        <f t="shared" si="774"/>
        <v>71090-0000</v>
      </c>
      <c r="D12348" t="s">
        <v>13528</v>
      </c>
      <c r="E12348" t="s">
        <v>13529</v>
      </c>
      <c r="F12348" s="69" t="s">
        <v>230</v>
      </c>
      <c r="G12348" t="s">
        <v>3818</v>
      </c>
      <c r="H12348" t="s">
        <v>3819</v>
      </c>
      <c r="I12348" t="s">
        <v>4352</v>
      </c>
      <c r="J12348" s="70">
        <v>2480</v>
      </c>
      <c r="K12348" s="71">
        <v>2480</v>
      </c>
      <c r="L12348" s="33" t="e">
        <f>HLOOKUP(B12348,#REF!,1,0)</f>
        <v>#REF!</v>
      </c>
      <c r="M12348" s="33" t="str">
        <f t="shared" si="775"/>
        <v>P&amp;L</v>
      </c>
    </row>
    <row r="12349" spans="1:13">
      <c r="A12349" s="33" t="str">
        <f t="shared" si="772"/>
        <v>BET - CGS</v>
      </c>
      <c r="B12349" s="33" t="str">
        <f t="shared" si="773"/>
        <v>BET</v>
      </c>
      <c r="C12349" s="33" t="str">
        <f t="shared" si="774"/>
        <v>71100-0000</v>
      </c>
      <c r="D12349" t="s">
        <v>13530</v>
      </c>
      <c r="E12349" t="s">
        <v>13342</v>
      </c>
      <c r="F12349" s="69" t="s">
        <v>230</v>
      </c>
      <c r="G12349" t="s">
        <v>3769</v>
      </c>
      <c r="H12349" t="s">
        <v>1875</v>
      </c>
      <c r="I12349" t="s">
        <v>3776</v>
      </c>
      <c r="J12349" s="70">
        <v>2456.01</v>
      </c>
      <c r="K12349" s="71">
        <v>2456.01</v>
      </c>
      <c r="L12349" s="33" t="e">
        <f>HLOOKUP(B12349,#REF!,1,0)</f>
        <v>#REF!</v>
      </c>
      <c r="M12349" s="33" t="str">
        <f t="shared" si="775"/>
        <v>P&amp;L</v>
      </c>
    </row>
    <row r="12350" spans="1:13">
      <c r="A12350" s="33" t="str">
        <f t="shared" si="772"/>
        <v>BET - CGS</v>
      </c>
      <c r="B12350" s="33" t="str">
        <f t="shared" si="773"/>
        <v>BET</v>
      </c>
      <c r="C12350" s="33" t="str">
        <f t="shared" si="774"/>
        <v>71110-0000</v>
      </c>
      <c r="D12350" t="s">
        <v>13531</v>
      </c>
      <c r="E12350" t="s">
        <v>13344</v>
      </c>
      <c r="F12350" s="69" t="s">
        <v>230</v>
      </c>
      <c r="G12350" t="s">
        <v>3769</v>
      </c>
      <c r="H12350" t="s">
        <v>1875</v>
      </c>
      <c r="I12350" t="s">
        <v>3779</v>
      </c>
      <c r="J12350" s="70">
        <v>-287.8</v>
      </c>
      <c r="K12350" s="71">
        <v>-287.8</v>
      </c>
      <c r="L12350" s="33" t="e">
        <f>HLOOKUP(B12350,#REF!,1,0)</f>
        <v>#REF!</v>
      </c>
      <c r="M12350" s="33" t="str">
        <f t="shared" si="775"/>
        <v>P&amp;L</v>
      </c>
    </row>
    <row r="12351" spans="1:13">
      <c r="A12351" s="33" t="str">
        <f t="shared" si="772"/>
        <v>BET - Interest Expense</v>
      </c>
      <c r="B12351" s="33" t="str">
        <f t="shared" si="773"/>
        <v>BET</v>
      </c>
      <c r="C12351" s="33" t="str">
        <f t="shared" si="774"/>
        <v>80006-0000</v>
      </c>
      <c r="D12351" t="s">
        <v>13532</v>
      </c>
      <c r="E12351" t="s">
        <v>3325</v>
      </c>
      <c r="F12351" s="69" t="s">
        <v>230</v>
      </c>
      <c r="G12351" t="s">
        <v>3326</v>
      </c>
      <c r="H12351" t="s">
        <v>3327</v>
      </c>
      <c r="I12351" t="s">
        <v>3328</v>
      </c>
      <c r="J12351" s="70">
        <v>273139.19</v>
      </c>
      <c r="K12351" s="71">
        <v>303044.94</v>
      </c>
      <c r="L12351" s="33" t="e">
        <f>HLOOKUP(B12351,#REF!,1,0)</f>
        <v>#REF!</v>
      </c>
      <c r="M12351" s="33" t="str">
        <f t="shared" si="775"/>
        <v>P&amp;L</v>
      </c>
    </row>
    <row r="12352" spans="1:13">
      <c r="A12352" s="33" t="str">
        <f t="shared" si="772"/>
        <v>BET - Income Tax</v>
      </c>
      <c r="B12352" s="33" t="str">
        <f t="shared" si="773"/>
        <v>BET</v>
      </c>
      <c r="C12352" s="33" t="str">
        <f t="shared" si="774"/>
        <v>81019-0000</v>
      </c>
      <c r="D12352" t="s">
        <v>13533</v>
      </c>
      <c r="E12352" t="s">
        <v>13347</v>
      </c>
      <c r="F12352" s="69" t="s">
        <v>230</v>
      </c>
      <c r="G12352" t="s">
        <v>3844</v>
      </c>
      <c r="H12352" t="s">
        <v>3378</v>
      </c>
      <c r="I12352" t="s">
        <v>4042</v>
      </c>
      <c r="J12352" s="70">
        <v>6800</v>
      </c>
      <c r="K12352" s="71">
        <v>6800</v>
      </c>
      <c r="L12352" s="33" t="e">
        <f>HLOOKUP(B12352,#REF!,1,0)</f>
        <v>#REF!</v>
      </c>
      <c r="M12352" s="33" t="str">
        <f t="shared" si="775"/>
        <v>P&amp;L</v>
      </c>
    </row>
    <row r="12353" spans="1:13">
      <c r="A12353" s="33" t="str">
        <f t="shared" si="772"/>
        <v>BET - Other Expenses</v>
      </c>
      <c r="B12353" s="33" t="str">
        <f t="shared" si="773"/>
        <v>BET</v>
      </c>
      <c r="C12353" s="33" t="str">
        <f t="shared" si="774"/>
        <v>81228-0000</v>
      </c>
      <c r="D12353" t="s">
        <v>13534</v>
      </c>
      <c r="E12353" t="s">
        <v>3864</v>
      </c>
      <c r="F12353" s="69" t="s">
        <v>230</v>
      </c>
      <c r="G12353" t="s">
        <v>3838</v>
      </c>
      <c r="H12353" t="s">
        <v>3865</v>
      </c>
      <c r="I12353" t="s">
        <v>3866</v>
      </c>
      <c r="J12353" s="70">
        <v>-22555.56</v>
      </c>
      <c r="K12353" s="71">
        <v>-22555.56</v>
      </c>
      <c r="L12353" s="33" t="e">
        <f>HLOOKUP(B12353,#REF!,1,0)</f>
        <v>#REF!</v>
      </c>
      <c r="M12353" s="33" t="str">
        <f t="shared" si="775"/>
        <v>P&amp;L</v>
      </c>
    </row>
    <row r="12354" spans="1:13">
      <c r="A12354" s="33" t="str">
        <f t="shared" si="772"/>
        <v>GRA - SH Dist</v>
      </c>
      <c r="B12354" s="33" t="str">
        <f t="shared" si="773"/>
        <v>GRA</v>
      </c>
      <c r="C12354" s="33" t="str">
        <f t="shared" si="774"/>
        <v>10001-0000</v>
      </c>
      <c r="D12354" t="s">
        <v>1300</v>
      </c>
      <c r="E12354" t="s">
        <v>13221</v>
      </c>
      <c r="F12354" s="69" t="s">
        <v>230</v>
      </c>
      <c r="G12354" t="s">
        <v>142</v>
      </c>
      <c r="H12354" t="s">
        <v>143</v>
      </c>
      <c r="I12354" t="s">
        <v>144</v>
      </c>
      <c r="J12354" s="70">
        <v>188998.22</v>
      </c>
      <c r="K12354" s="71">
        <v>-124799.47</v>
      </c>
      <c r="L12354" s="33" t="e">
        <f>HLOOKUP(B12354,#REF!,1,0)</f>
        <v>#REF!</v>
      </c>
      <c r="M12354" s="33" t="str">
        <f t="shared" si="775"/>
        <v>BS</v>
      </c>
    </row>
    <row r="12355" spans="1:13">
      <c r="A12355" s="33" t="str">
        <f t="shared" si="772"/>
        <v>GRA - SH Dist</v>
      </c>
      <c r="B12355" s="33" t="str">
        <f t="shared" si="773"/>
        <v>GRA</v>
      </c>
      <c r="C12355" s="33" t="str">
        <f t="shared" si="774"/>
        <v>10006-0000</v>
      </c>
      <c r="D12355" t="s">
        <v>13535</v>
      </c>
      <c r="E12355" t="s">
        <v>13223</v>
      </c>
      <c r="F12355" s="69" t="s">
        <v>230</v>
      </c>
      <c r="G12355" t="s">
        <v>142</v>
      </c>
      <c r="H12355" t="s">
        <v>143</v>
      </c>
      <c r="I12355" t="s">
        <v>144</v>
      </c>
      <c r="J12355" s="70">
        <v>0</v>
      </c>
      <c r="K12355" s="71">
        <v>227990.76</v>
      </c>
      <c r="L12355" s="33" t="e">
        <f>HLOOKUP(B12355,#REF!,1,0)</f>
        <v>#REF!</v>
      </c>
      <c r="M12355" s="33" t="str">
        <f t="shared" si="775"/>
        <v>BS</v>
      </c>
    </row>
    <row r="12356" spans="1:13">
      <c r="A12356" s="33" t="str">
        <f t="shared" si="772"/>
        <v>GRA - Intercompany</v>
      </c>
      <c r="B12356" s="33" t="str">
        <f t="shared" si="773"/>
        <v>GRA</v>
      </c>
      <c r="C12356" s="33" t="str">
        <f t="shared" si="774"/>
        <v>11216-0000</v>
      </c>
      <c r="D12356" t="s">
        <v>1301</v>
      </c>
      <c r="E12356" t="s">
        <v>13224</v>
      </c>
      <c r="F12356" s="69" t="s">
        <v>230</v>
      </c>
      <c r="G12356" t="s">
        <v>16</v>
      </c>
      <c r="H12356" t="s">
        <v>39</v>
      </c>
      <c r="I12356" t="s">
        <v>40</v>
      </c>
      <c r="J12356" s="70">
        <v>540657.07</v>
      </c>
      <c r="K12356" s="71">
        <v>540657.07</v>
      </c>
      <c r="L12356" s="33" t="e">
        <f>HLOOKUP(B12356,#REF!,1,0)</f>
        <v>#REF!</v>
      </c>
      <c r="M12356" s="33" t="str">
        <f t="shared" si="775"/>
        <v>BS</v>
      </c>
    </row>
    <row r="12357" spans="1:13">
      <c r="A12357" s="33" t="str">
        <f t="shared" si="772"/>
        <v>GRA - Intercompany</v>
      </c>
      <c r="B12357" s="33" t="str">
        <f t="shared" si="773"/>
        <v>GRA</v>
      </c>
      <c r="C12357" s="33" t="str">
        <f t="shared" si="774"/>
        <v>11301-0000</v>
      </c>
      <c r="D12357" t="s">
        <v>1302</v>
      </c>
      <c r="E12357" t="s">
        <v>13225</v>
      </c>
      <c r="F12357" s="69" t="s">
        <v>230</v>
      </c>
      <c r="G12357" t="s">
        <v>16</v>
      </c>
      <c r="H12357" t="s">
        <v>39</v>
      </c>
      <c r="I12357" t="s">
        <v>40</v>
      </c>
      <c r="J12357" s="70">
        <v>-9900</v>
      </c>
      <c r="K12357" s="71">
        <v>-9900</v>
      </c>
      <c r="L12357" s="33" t="e">
        <f>HLOOKUP(B12357,#REF!,1,0)</f>
        <v>#REF!</v>
      </c>
      <c r="M12357" s="33" t="str">
        <f t="shared" si="775"/>
        <v>BS</v>
      </c>
    </row>
    <row r="12358" spans="1:13">
      <c r="A12358" s="33" t="str">
        <f t="shared" si="772"/>
        <v>GRA - Intercompany</v>
      </c>
      <c r="B12358" s="33" t="str">
        <f t="shared" si="773"/>
        <v>GRA</v>
      </c>
      <c r="C12358" s="33" t="str">
        <f t="shared" si="774"/>
        <v>11302-0000</v>
      </c>
      <c r="D12358" t="s">
        <v>1303</v>
      </c>
      <c r="E12358" t="s">
        <v>13226</v>
      </c>
      <c r="F12358" s="69" t="s">
        <v>230</v>
      </c>
      <c r="G12358" t="s">
        <v>16</v>
      </c>
      <c r="H12358" t="s">
        <v>39</v>
      </c>
      <c r="I12358" t="s">
        <v>40</v>
      </c>
      <c r="J12358" s="70">
        <v>30100</v>
      </c>
      <c r="K12358" s="71">
        <v>30100</v>
      </c>
      <c r="L12358" s="33" t="e">
        <f>HLOOKUP(B12358,#REF!,1,0)</f>
        <v>#REF!</v>
      </c>
      <c r="M12358" s="33" t="str">
        <f t="shared" si="775"/>
        <v>BS</v>
      </c>
    </row>
    <row r="12359" spans="1:13">
      <c r="A12359" s="33" t="str">
        <f t="shared" si="772"/>
        <v>GRA - Intercompany</v>
      </c>
      <c r="B12359" s="33" t="str">
        <f t="shared" si="773"/>
        <v>GRA</v>
      </c>
      <c r="C12359" s="33" t="str">
        <f t="shared" si="774"/>
        <v>11304-0000</v>
      </c>
      <c r="D12359" t="s">
        <v>1304</v>
      </c>
      <c r="E12359" t="s">
        <v>13228</v>
      </c>
      <c r="F12359" s="69" t="s">
        <v>230</v>
      </c>
      <c r="G12359" t="s">
        <v>16</v>
      </c>
      <c r="H12359" t="s">
        <v>39</v>
      </c>
      <c r="I12359" t="s">
        <v>40</v>
      </c>
      <c r="J12359" s="70">
        <v>-79900</v>
      </c>
      <c r="K12359" s="71">
        <v>-79900</v>
      </c>
      <c r="L12359" s="33" t="e">
        <f>HLOOKUP(B12359,#REF!,1,0)</f>
        <v>#REF!</v>
      </c>
      <c r="M12359" s="33" t="str">
        <f t="shared" si="775"/>
        <v>BS</v>
      </c>
    </row>
    <row r="12360" spans="1:13">
      <c r="A12360" s="33" t="str">
        <f t="shared" si="772"/>
        <v>GRA - Intercompany</v>
      </c>
      <c r="B12360" s="33" t="str">
        <f t="shared" si="773"/>
        <v>GRA</v>
      </c>
      <c r="C12360" s="33" t="str">
        <f t="shared" si="774"/>
        <v>11310-0000</v>
      </c>
      <c r="D12360" t="s">
        <v>1305</v>
      </c>
      <c r="E12360" t="s">
        <v>13231</v>
      </c>
      <c r="F12360" s="69" t="s">
        <v>230</v>
      </c>
      <c r="G12360" t="s">
        <v>16</v>
      </c>
      <c r="H12360" t="s">
        <v>39</v>
      </c>
      <c r="I12360" t="s">
        <v>40</v>
      </c>
      <c r="J12360" s="70">
        <v>-249900</v>
      </c>
      <c r="K12360" s="71">
        <v>-249900</v>
      </c>
      <c r="L12360" s="33" t="e">
        <f>HLOOKUP(B12360,#REF!,1,0)</f>
        <v>#REF!</v>
      </c>
      <c r="M12360" s="33" t="str">
        <f t="shared" si="775"/>
        <v>BS</v>
      </c>
    </row>
    <row r="12361" spans="1:13">
      <c r="A12361" s="33" t="str">
        <f t="shared" si="772"/>
        <v>GRA - Intercompany</v>
      </c>
      <c r="B12361" s="33" t="str">
        <f t="shared" si="773"/>
        <v>GRA</v>
      </c>
      <c r="C12361" s="33" t="str">
        <f t="shared" si="774"/>
        <v>11314-0000</v>
      </c>
      <c r="D12361" t="s">
        <v>1306</v>
      </c>
      <c r="E12361" t="s">
        <v>13351</v>
      </c>
      <c r="F12361" s="69" t="s">
        <v>230</v>
      </c>
      <c r="G12361" t="s">
        <v>16</v>
      </c>
      <c r="H12361" t="s">
        <v>39</v>
      </c>
      <c r="I12361" t="s">
        <v>40</v>
      </c>
      <c r="J12361" s="70">
        <v>-7912921.76</v>
      </c>
      <c r="K12361" s="71">
        <v>-7912921.76</v>
      </c>
      <c r="L12361" s="33" t="e">
        <f>HLOOKUP(B12361,#REF!,1,0)</f>
        <v>#REF!</v>
      </c>
      <c r="M12361" s="33" t="str">
        <f t="shared" si="775"/>
        <v>BS</v>
      </c>
    </row>
    <row r="12362" spans="1:13">
      <c r="A12362" s="33" t="str">
        <f t="shared" si="772"/>
        <v>GRA - Intercompany</v>
      </c>
      <c r="B12362" s="33" t="str">
        <f t="shared" si="773"/>
        <v>GRA</v>
      </c>
      <c r="C12362" s="33" t="str">
        <f t="shared" si="774"/>
        <v>11316-0000</v>
      </c>
      <c r="D12362" t="s">
        <v>1307</v>
      </c>
      <c r="E12362" t="s">
        <v>13235</v>
      </c>
      <c r="F12362" s="69" t="s">
        <v>230</v>
      </c>
      <c r="G12362" t="s">
        <v>16</v>
      </c>
      <c r="H12362" t="s">
        <v>39</v>
      </c>
      <c r="I12362" t="s">
        <v>40</v>
      </c>
      <c r="J12362" s="70">
        <v>10000</v>
      </c>
      <c r="K12362" s="71">
        <v>10000</v>
      </c>
      <c r="L12362" s="33" t="e">
        <f>HLOOKUP(B12362,#REF!,1,0)</f>
        <v>#REF!</v>
      </c>
      <c r="M12362" s="33" t="str">
        <f t="shared" si="775"/>
        <v>BS</v>
      </c>
    </row>
    <row r="12363" spans="1:13">
      <c r="A12363" s="33" t="str">
        <f t="shared" si="772"/>
        <v>GRA - Intercompany</v>
      </c>
      <c r="B12363" s="33" t="str">
        <f t="shared" si="773"/>
        <v>GRA</v>
      </c>
      <c r="C12363" s="33" t="str">
        <f t="shared" si="774"/>
        <v>11322-0000</v>
      </c>
      <c r="D12363" t="s">
        <v>1308</v>
      </c>
      <c r="E12363" t="s">
        <v>13237</v>
      </c>
      <c r="F12363" s="69" t="s">
        <v>230</v>
      </c>
      <c r="G12363" t="s">
        <v>16</v>
      </c>
      <c r="H12363" t="s">
        <v>39</v>
      </c>
      <c r="I12363" t="s">
        <v>40</v>
      </c>
      <c r="J12363" s="70">
        <v>15000</v>
      </c>
      <c r="K12363" s="71">
        <v>15000</v>
      </c>
      <c r="L12363" s="33" t="e">
        <f>HLOOKUP(B12363,#REF!,1,0)</f>
        <v>#REF!</v>
      </c>
      <c r="M12363" s="33" t="str">
        <f t="shared" si="775"/>
        <v>BS</v>
      </c>
    </row>
    <row r="12364" spans="1:13">
      <c r="A12364" s="33" t="str">
        <f t="shared" si="772"/>
        <v>GRA - Intercompany</v>
      </c>
      <c r="B12364" s="33" t="str">
        <f t="shared" si="773"/>
        <v>GRA</v>
      </c>
      <c r="C12364" s="33" t="str">
        <f t="shared" si="774"/>
        <v>11324-0000</v>
      </c>
      <c r="D12364" t="s">
        <v>1309</v>
      </c>
      <c r="E12364" t="s">
        <v>13238</v>
      </c>
      <c r="F12364" s="69" t="s">
        <v>230</v>
      </c>
      <c r="G12364" t="s">
        <v>16</v>
      </c>
      <c r="H12364" t="s">
        <v>39</v>
      </c>
      <c r="I12364" t="s">
        <v>40</v>
      </c>
      <c r="J12364" s="70">
        <v>120000</v>
      </c>
      <c r="K12364" s="71">
        <v>120000</v>
      </c>
      <c r="L12364" s="33" t="e">
        <f>HLOOKUP(B12364,#REF!,1,0)</f>
        <v>#REF!</v>
      </c>
      <c r="M12364" s="33" t="str">
        <f t="shared" si="775"/>
        <v>BS</v>
      </c>
    </row>
    <row r="12365" spans="1:13">
      <c r="A12365" s="33" t="str">
        <f t="shared" si="772"/>
        <v>GRA - Intercompany</v>
      </c>
      <c r="B12365" s="33" t="str">
        <f t="shared" si="773"/>
        <v>GRA</v>
      </c>
      <c r="C12365" s="33" t="str">
        <f t="shared" si="774"/>
        <v>11337-0000</v>
      </c>
      <c r="D12365" t="s">
        <v>1310</v>
      </c>
      <c r="E12365" t="s">
        <v>13248</v>
      </c>
      <c r="F12365" s="69" t="s">
        <v>230</v>
      </c>
      <c r="G12365" t="s">
        <v>16</v>
      </c>
      <c r="H12365" t="s">
        <v>39</v>
      </c>
      <c r="I12365" t="s">
        <v>40</v>
      </c>
      <c r="J12365" s="70">
        <v>20000</v>
      </c>
      <c r="K12365" s="71">
        <v>20000</v>
      </c>
      <c r="L12365" s="33" t="e">
        <f>HLOOKUP(B12365,#REF!,1,0)</f>
        <v>#REF!</v>
      </c>
      <c r="M12365" s="33" t="str">
        <f t="shared" si="775"/>
        <v>BS</v>
      </c>
    </row>
    <row r="12366" spans="1:13">
      <c r="A12366" s="33" t="str">
        <f t="shared" si="772"/>
        <v>GRA - Intercompany</v>
      </c>
      <c r="B12366" s="33" t="str">
        <f t="shared" si="773"/>
        <v>GRA</v>
      </c>
      <c r="C12366" s="33" t="str">
        <f t="shared" si="774"/>
        <v>11342-0000</v>
      </c>
      <c r="D12366" t="s">
        <v>1311</v>
      </c>
      <c r="E12366" t="s">
        <v>13355</v>
      </c>
      <c r="F12366" s="69" t="s">
        <v>230</v>
      </c>
      <c r="G12366" t="s">
        <v>16</v>
      </c>
      <c r="H12366" t="s">
        <v>39</v>
      </c>
      <c r="I12366" t="s">
        <v>40</v>
      </c>
      <c r="J12366" s="70">
        <v>100000</v>
      </c>
      <c r="K12366" s="71">
        <v>100000</v>
      </c>
      <c r="L12366" s="33" t="e">
        <f>HLOOKUP(B12366,#REF!,1,0)</f>
        <v>#REF!</v>
      </c>
      <c r="M12366" s="33" t="str">
        <f t="shared" si="775"/>
        <v>BS</v>
      </c>
    </row>
    <row r="12367" spans="1:13">
      <c r="A12367" s="33" t="str">
        <f t="shared" ref="A12367:A12430" si="776">B12367&amp;" - "&amp;TRIM(H12367)</f>
        <v>GRA - Intercompany</v>
      </c>
      <c r="B12367" s="33" t="str">
        <f t="shared" ref="B12367:B12430" si="777">LEFT(D12367,3)</f>
        <v>GRA</v>
      </c>
      <c r="C12367" s="33" t="str">
        <f t="shared" ref="C12367:C12430" si="778">RIGHT(D12367,10)</f>
        <v>11352-0000</v>
      </c>
      <c r="D12367" t="s">
        <v>6126</v>
      </c>
      <c r="E12367" t="s">
        <v>13536</v>
      </c>
      <c r="F12367" s="69" t="s">
        <v>230</v>
      </c>
      <c r="G12367" t="s">
        <v>16</v>
      </c>
      <c r="H12367" t="s">
        <v>39</v>
      </c>
      <c r="I12367" t="s">
        <v>40</v>
      </c>
      <c r="J12367" s="70">
        <v>2540.37</v>
      </c>
      <c r="K12367" s="71">
        <v>0</v>
      </c>
      <c r="L12367" s="33" t="e">
        <f>HLOOKUP(B12367,#REF!,1,0)</f>
        <v>#REF!</v>
      </c>
      <c r="M12367" s="33" t="str">
        <f t="shared" ref="M12367:M12430" si="779">IF(VALUE(LEFT(C12367,5))&gt;40000,"P&amp;L","BS")</f>
        <v>BS</v>
      </c>
    </row>
    <row r="12368" spans="1:13">
      <c r="A12368" s="33" t="str">
        <f t="shared" si="776"/>
        <v>GRA - Intercompany</v>
      </c>
      <c r="B12368" s="33" t="str">
        <f t="shared" si="777"/>
        <v>GRA</v>
      </c>
      <c r="C12368" s="33" t="str">
        <f t="shared" si="778"/>
        <v>11353-0000</v>
      </c>
      <c r="D12368" t="s">
        <v>6128</v>
      </c>
      <c r="E12368" t="s">
        <v>13537</v>
      </c>
      <c r="F12368" s="69" t="s">
        <v>230</v>
      </c>
      <c r="G12368" t="s">
        <v>16</v>
      </c>
      <c r="H12368" t="s">
        <v>39</v>
      </c>
      <c r="I12368" t="s">
        <v>40</v>
      </c>
      <c r="J12368" s="70">
        <v>1015.14</v>
      </c>
      <c r="K12368" s="71">
        <v>7486.44</v>
      </c>
      <c r="L12368" s="33" t="e">
        <f>HLOOKUP(B12368,#REF!,1,0)</f>
        <v>#REF!</v>
      </c>
      <c r="M12368" s="33" t="str">
        <f t="shared" si="779"/>
        <v>BS</v>
      </c>
    </row>
    <row r="12369" spans="1:13">
      <c r="A12369" s="33" t="str">
        <f t="shared" si="776"/>
        <v>GRA - Intercompany</v>
      </c>
      <c r="B12369" s="33" t="str">
        <f t="shared" si="777"/>
        <v>GRA</v>
      </c>
      <c r="C12369" s="33" t="str">
        <f t="shared" si="778"/>
        <v>11354-0000</v>
      </c>
      <c r="D12369" t="s">
        <v>6129</v>
      </c>
      <c r="E12369" t="s">
        <v>13538</v>
      </c>
      <c r="F12369" s="69" t="s">
        <v>230</v>
      </c>
      <c r="G12369" t="s">
        <v>16</v>
      </c>
      <c r="H12369" t="s">
        <v>39</v>
      </c>
      <c r="I12369" t="s">
        <v>40</v>
      </c>
      <c r="J12369" s="70">
        <v>7016.94</v>
      </c>
      <c r="K12369" s="71">
        <v>11516.93</v>
      </c>
      <c r="L12369" s="33" t="e">
        <f>HLOOKUP(B12369,#REF!,1,0)</f>
        <v>#REF!</v>
      </c>
      <c r="M12369" s="33" t="str">
        <f t="shared" si="779"/>
        <v>BS</v>
      </c>
    </row>
    <row r="12370" spans="1:13">
      <c r="A12370" s="33" t="str">
        <f t="shared" si="776"/>
        <v>GRA - Intercompany</v>
      </c>
      <c r="B12370" s="33" t="str">
        <f t="shared" si="777"/>
        <v>GRA</v>
      </c>
      <c r="C12370" s="33" t="str">
        <f t="shared" si="778"/>
        <v>11355-0000</v>
      </c>
      <c r="D12370" t="s">
        <v>6130</v>
      </c>
      <c r="E12370" t="s">
        <v>13539</v>
      </c>
      <c r="F12370" s="69" t="s">
        <v>230</v>
      </c>
      <c r="G12370" t="s">
        <v>16</v>
      </c>
      <c r="H12370" t="s">
        <v>39</v>
      </c>
      <c r="I12370" t="s">
        <v>40</v>
      </c>
      <c r="J12370" s="70">
        <v>4838.88</v>
      </c>
      <c r="K12370" s="71">
        <v>7614.64</v>
      </c>
      <c r="L12370" s="33" t="e">
        <f>HLOOKUP(B12370,#REF!,1,0)</f>
        <v>#REF!</v>
      </c>
      <c r="M12370" s="33" t="str">
        <f t="shared" si="779"/>
        <v>BS</v>
      </c>
    </row>
    <row r="12371" spans="1:13">
      <c r="A12371" s="33" t="str">
        <f t="shared" si="776"/>
        <v>GRA - Intercompany</v>
      </c>
      <c r="B12371" s="33" t="str">
        <f t="shared" si="777"/>
        <v>GRA</v>
      </c>
      <c r="C12371" s="33" t="str">
        <f t="shared" si="778"/>
        <v>11356-0000</v>
      </c>
      <c r="D12371" t="s">
        <v>6132</v>
      </c>
      <c r="E12371" t="s">
        <v>13540</v>
      </c>
      <c r="F12371" s="69" t="s">
        <v>230</v>
      </c>
      <c r="G12371" t="s">
        <v>16</v>
      </c>
      <c r="H12371" t="s">
        <v>39</v>
      </c>
      <c r="I12371" t="s">
        <v>40</v>
      </c>
      <c r="J12371" s="70">
        <v>12944.85</v>
      </c>
      <c r="K12371" s="71">
        <v>12944.85</v>
      </c>
      <c r="L12371" s="33" t="e">
        <f>HLOOKUP(B12371,#REF!,1,0)</f>
        <v>#REF!</v>
      </c>
      <c r="M12371" s="33" t="str">
        <f t="shared" si="779"/>
        <v>BS</v>
      </c>
    </row>
    <row r="12372" spans="1:13">
      <c r="A12372" s="33" t="str">
        <f t="shared" si="776"/>
        <v>GRA - Intercompany</v>
      </c>
      <c r="B12372" s="33" t="str">
        <f t="shared" si="777"/>
        <v>GRA</v>
      </c>
      <c r="C12372" s="33" t="str">
        <f t="shared" si="778"/>
        <v>11357-0000</v>
      </c>
      <c r="D12372" t="s">
        <v>6134</v>
      </c>
      <c r="E12372" t="s">
        <v>13541</v>
      </c>
      <c r="F12372" s="69" t="s">
        <v>230</v>
      </c>
      <c r="G12372" t="s">
        <v>16</v>
      </c>
      <c r="H12372" t="s">
        <v>39</v>
      </c>
      <c r="I12372" t="s">
        <v>40</v>
      </c>
      <c r="J12372" s="70">
        <v>0</v>
      </c>
      <c r="K12372" s="71">
        <v>5191.92</v>
      </c>
      <c r="L12372" s="33" t="e">
        <f>HLOOKUP(B12372,#REF!,1,0)</f>
        <v>#REF!</v>
      </c>
      <c r="M12372" s="33" t="str">
        <f t="shared" si="779"/>
        <v>BS</v>
      </c>
    </row>
    <row r="12373" spans="1:13">
      <c r="A12373" s="33" t="str">
        <f t="shared" si="776"/>
        <v>GRA - Intercompany</v>
      </c>
      <c r="B12373" s="33" t="str">
        <f t="shared" si="777"/>
        <v>GRA</v>
      </c>
      <c r="C12373" s="33" t="str">
        <f t="shared" si="778"/>
        <v>11358-0000</v>
      </c>
      <c r="D12373" t="s">
        <v>6136</v>
      </c>
      <c r="E12373" t="s">
        <v>13542</v>
      </c>
      <c r="F12373" s="69" t="s">
        <v>230</v>
      </c>
      <c r="G12373" t="s">
        <v>16</v>
      </c>
      <c r="H12373" t="s">
        <v>39</v>
      </c>
      <c r="I12373" t="s">
        <v>40</v>
      </c>
      <c r="J12373" s="70">
        <v>-3890.38</v>
      </c>
      <c r="K12373" s="71">
        <v>2689.52</v>
      </c>
      <c r="L12373" s="33" t="e">
        <f>HLOOKUP(B12373,#REF!,1,0)</f>
        <v>#REF!</v>
      </c>
      <c r="M12373" s="33" t="str">
        <f t="shared" si="779"/>
        <v>BS</v>
      </c>
    </row>
    <row r="12374" spans="1:13">
      <c r="A12374" s="33" t="str">
        <f t="shared" si="776"/>
        <v>GRA - Intercompany</v>
      </c>
      <c r="B12374" s="33" t="str">
        <f t="shared" si="777"/>
        <v>GRA</v>
      </c>
      <c r="C12374" s="33" t="str">
        <f t="shared" si="778"/>
        <v>11359-0000</v>
      </c>
      <c r="D12374" t="s">
        <v>6137</v>
      </c>
      <c r="E12374" t="s">
        <v>13543</v>
      </c>
      <c r="F12374" s="69" t="s">
        <v>230</v>
      </c>
      <c r="G12374" t="s">
        <v>16</v>
      </c>
      <c r="H12374" t="s">
        <v>39</v>
      </c>
      <c r="I12374" t="s">
        <v>40</v>
      </c>
      <c r="J12374" s="70">
        <v>13644.06</v>
      </c>
      <c r="K12374" s="71">
        <v>19557.44</v>
      </c>
      <c r="L12374" s="33" t="e">
        <f>HLOOKUP(B12374,#REF!,1,0)</f>
        <v>#REF!</v>
      </c>
      <c r="M12374" s="33" t="str">
        <f t="shared" si="779"/>
        <v>BS</v>
      </c>
    </row>
    <row r="12375" spans="1:13">
      <c r="A12375" s="33" t="str">
        <f t="shared" si="776"/>
        <v>GRA - Intercompany</v>
      </c>
      <c r="B12375" s="33" t="str">
        <f t="shared" si="777"/>
        <v>GRA</v>
      </c>
      <c r="C12375" s="33" t="str">
        <f t="shared" si="778"/>
        <v>11363-0000</v>
      </c>
      <c r="D12375" t="s">
        <v>6138</v>
      </c>
      <c r="E12375" t="s">
        <v>13544</v>
      </c>
      <c r="F12375" s="69" t="s">
        <v>230</v>
      </c>
      <c r="G12375" t="s">
        <v>16</v>
      </c>
      <c r="H12375" t="s">
        <v>39</v>
      </c>
      <c r="I12375" t="s">
        <v>40</v>
      </c>
      <c r="J12375" s="70">
        <v>5772.5</v>
      </c>
      <c r="K12375" s="71">
        <v>19132.14</v>
      </c>
      <c r="L12375" s="33" t="e">
        <f>HLOOKUP(B12375,#REF!,1,0)</f>
        <v>#REF!</v>
      </c>
      <c r="M12375" s="33" t="str">
        <f t="shared" si="779"/>
        <v>BS</v>
      </c>
    </row>
    <row r="12376" spans="1:13">
      <c r="A12376" s="33" t="str">
        <f t="shared" si="776"/>
        <v>GRA - AR-PPD</v>
      </c>
      <c r="B12376" s="33" t="str">
        <f t="shared" si="777"/>
        <v>GRA</v>
      </c>
      <c r="C12376" s="33" t="str">
        <f t="shared" si="778"/>
        <v>12100-0000</v>
      </c>
      <c r="D12376" t="s">
        <v>13545</v>
      </c>
      <c r="E12376" t="s">
        <v>34</v>
      </c>
      <c r="F12376" s="69" t="s">
        <v>230</v>
      </c>
      <c r="G12376" t="s">
        <v>16</v>
      </c>
      <c r="H12376" t="s">
        <v>35</v>
      </c>
      <c r="I12376" t="s">
        <v>36</v>
      </c>
      <c r="J12376" s="70">
        <v>13562.1</v>
      </c>
      <c r="K12376" s="71">
        <v>50244.9</v>
      </c>
      <c r="L12376" s="33" t="e">
        <f>HLOOKUP(B12376,#REF!,1,0)</f>
        <v>#REF!</v>
      </c>
      <c r="M12376" s="33" t="str">
        <f t="shared" si="779"/>
        <v>BS</v>
      </c>
    </row>
    <row r="12377" spans="1:13">
      <c r="A12377" s="33" t="str">
        <f t="shared" si="776"/>
        <v>GRA - Deposits</v>
      </c>
      <c r="B12377" s="33" t="str">
        <f t="shared" si="777"/>
        <v>GRA</v>
      </c>
      <c r="C12377" s="33" t="str">
        <f t="shared" si="778"/>
        <v>13610-0000</v>
      </c>
      <c r="D12377" t="s">
        <v>13546</v>
      </c>
      <c r="E12377" t="s">
        <v>13547</v>
      </c>
      <c r="F12377" s="69" t="s">
        <v>230</v>
      </c>
      <c r="G12377" t="s">
        <v>62</v>
      </c>
      <c r="H12377" t="s">
        <v>80</v>
      </c>
      <c r="I12377" t="s">
        <v>81</v>
      </c>
      <c r="J12377" s="70">
        <v>10134.75</v>
      </c>
      <c r="K12377" s="71">
        <v>10134.75</v>
      </c>
      <c r="L12377" s="33" t="e">
        <f>HLOOKUP(B12377,#REF!,1,0)</f>
        <v>#REF!</v>
      </c>
      <c r="M12377" s="33" t="str">
        <f t="shared" si="779"/>
        <v>BS</v>
      </c>
    </row>
    <row r="12378" spans="1:13">
      <c r="A12378" s="33" t="str">
        <f t="shared" si="776"/>
        <v>GRA - AR-PPD</v>
      </c>
      <c r="B12378" s="33" t="str">
        <f t="shared" si="777"/>
        <v>GRA</v>
      </c>
      <c r="C12378" s="33" t="str">
        <f t="shared" si="778"/>
        <v>13810-0000</v>
      </c>
      <c r="D12378" t="s">
        <v>13548</v>
      </c>
      <c r="E12378" t="s">
        <v>294</v>
      </c>
      <c r="F12378" s="69" t="s">
        <v>230</v>
      </c>
      <c r="G12378" t="s">
        <v>62</v>
      </c>
      <c r="H12378" t="s">
        <v>35</v>
      </c>
      <c r="I12378" t="s">
        <v>64</v>
      </c>
      <c r="J12378" s="70">
        <v>430052.31</v>
      </c>
      <c r="K12378" s="71">
        <v>450863.24</v>
      </c>
      <c r="L12378" s="33" t="e">
        <f>HLOOKUP(B12378,#REF!,1,0)</f>
        <v>#REF!</v>
      </c>
      <c r="M12378" s="33" t="str">
        <f t="shared" si="779"/>
        <v>BS</v>
      </c>
    </row>
    <row r="12379" spans="1:13">
      <c r="A12379" s="33" t="str">
        <f t="shared" si="776"/>
        <v>GRA - Fixed Assets</v>
      </c>
      <c r="B12379" s="33" t="str">
        <f t="shared" si="777"/>
        <v>GRA</v>
      </c>
      <c r="C12379" s="33" t="str">
        <f t="shared" si="778"/>
        <v>14100-0000</v>
      </c>
      <c r="D12379" t="s">
        <v>13549</v>
      </c>
      <c r="E12379" t="s">
        <v>298</v>
      </c>
      <c r="F12379" s="69" t="s">
        <v>230</v>
      </c>
      <c r="G12379" t="s">
        <v>62</v>
      </c>
      <c r="H12379" t="s">
        <v>63</v>
      </c>
      <c r="I12379" t="s">
        <v>64</v>
      </c>
      <c r="J12379" s="70">
        <v>12111000</v>
      </c>
      <c r="K12379" s="71">
        <v>12111000</v>
      </c>
      <c r="L12379" s="33" t="e">
        <f>HLOOKUP(B12379,#REF!,1,0)</f>
        <v>#REF!</v>
      </c>
      <c r="M12379" s="33" t="str">
        <f t="shared" si="779"/>
        <v>BS</v>
      </c>
    </row>
    <row r="12380" spans="1:13">
      <c r="A12380" s="33" t="str">
        <f t="shared" si="776"/>
        <v>GRA - Fixed Assets</v>
      </c>
      <c r="B12380" s="33" t="str">
        <f t="shared" si="777"/>
        <v>GRA</v>
      </c>
      <c r="C12380" s="33" t="str">
        <f t="shared" si="778"/>
        <v>15000-0000</v>
      </c>
      <c r="D12380" t="s">
        <v>1314</v>
      </c>
      <c r="E12380" t="s">
        <v>13252</v>
      </c>
      <c r="F12380" s="69" t="s">
        <v>230</v>
      </c>
      <c r="G12380" t="s">
        <v>62</v>
      </c>
      <c r="H12380" t="s">
        <v>63</v>
      </c>
      <c r="I12380" t="s">
        <v>64</v>
      </c>
      <c r="J12380" s="70">
        <v>24589000</v>
      </c>
      <c r="K12380" s="71">
        <v>24589000</v>
      </c>
      <c r="L12380" s="33" t="e">
        <f>HLOOKUP(B12380,#REF!,1,0)</f>
        <v>#REF!</v>
      </c>
      <c r="M12380" s="33" t="str">
        <f t="shared" si="779"/>
        <v>BS</v>
      </c>
    </row>
    <row r="12381" spans="1:13">
      <c r="A12381" s="33" t="str">
        <f t="shared" si="776"/>
        <v>GRA - Fixed Assets</v>
      </c>
      <c r="B12381" s="33" t="str">
        <f t="shared" si="777"/>
        <v>GRA</v>
      </c>
      <c r="C12381" s="33" t="str">
        <f t="shared" si="778"/>
        <v>15500-0000</v>
      </c>
      <c r="D12381" t="s">
        <v>1315</v>
      </c>
      <c r="E12381" t="s">
        <v>302</v>
      </c>
      <c r="F12381" s="69" t="s">
        <v>230</v>
      </c>
      <c r="G12381" t="s">
        <v>62</v>
      </c>
      <c r="H12381" t="s">
        <v>63</v>
      </c>
      <c r="I12381" t="s">
        <v>64</v>
      </c>
      <c r="J12381" s="70">
        <v>56314.63</v>
      </c>
      <c r="K12381" s="71">
        <v>56314.63</v>
      </c>
      <c r="L12381" s="33" t="e">
        <f>HLOOKUP(B12381,#REF!,1,0)</f>
        <v>#REF!</v>
      </c>
      <c r="M12381" s="33" t="str">
        <f t="shared" si="779"/>
        <v>BS</v>
      </c>
    </row>
    <row r="12382" spans="1:13">
      <c r="A12382" s="33" t="str">
        <f t="shared" si="776"/>
        <v>GRA - Fixed Assets</v>
      </c>
      <c r="B12382" s="33" t="str">
        <f t="shared" si="777"/>
        <v>GRA</v>
      </c>
      <c r="C12382" s="33" t="str">
        <f t="shared" si="778"/>
        <v>15700-0000</v>
      </c>
      <c r="D12382" t="s">
        <v>13550</v>
      </c>
      <c r="E12382" t="s">
        <v>2635</v>
      </c>
      <c r="F12382" s="69" t="s">
        <v>230</v>
      </c>
      <c r="G12382" t="s">
        <v>62</v>
      </c>
      <c r="H12382" t="s">
        <v>63</v>
      </c>
      <c r="I12382" t="s">
        <v>64</v>
      </c>
      <c r="J12382" s="70">
        <v>6650.57</v>
      </c>
      <c r="K12382" s="71">
        <v>8924.54</v>
      </c>
      <c r="L12382" s="33" t="e">
        <f>HLOOKUP(B12382,#REF!,1,0)</f>
        <v>#REF!</v>
      </c>
      <c r="M12382" s="33" t="str">
        <f t="shared" si="779"/>
        <v>BS</v>
      </c>
    </row>
    <row r="12383" spans="1:13">
      <c r="A12383" s="33" t="str">
        <f t="shared" si="776"/>
        <v>GRA - Fixed Assets</v>
      </c>
      <c r="B12383" s="33" t="str">
        <f t="shared" si="777"/>
        <v>GRA</v>
      </c>
      <c r="C12383" s="33" t="str">
        <f t="shared" si="778"/>
        <v>17000-0000</v>
      </c>
      <c r="D12383" t="s">
        <v>1316</v>
      </c>
      <c r="E12383" t="s">
        <v>77</v>
      </c>
      <c r="F12383" s="69" t="s">
        <v>230</v>
      </c>
      <c r="G12383" t="s">
        <v>62</v>
      </c>
      <c r="H12383" t="s">
        <v>63</v>
      </c>
      <c r="I12383" t="s">
        <v>64</v>
      </c>
      <c r="J12383" s="70">
        <v>-1298064</v>
      </c>
      <c r="K12383" s="71">
        <v>-1298064</v>
      </c>
      <c r="L12383" s="33" t="e">
        <f>HLOOKUP(B12383,#REF!,1,0)</f>
        <v>#REF!</v>
      </c>
      <c r="M12383" s="33" t="str">
        <f t="shared" si="779"/>
        <v>BS</v>
      </c>
    </row>
    <row r="12384" spans="1:13">
      <c r="A12384" s="33" t="str">
        <f t="shared" si="776"/>
        <v>GRA - Fixed Assets</v>
      </c>
      <c r="B12384" s="33" t="str">
        <f t="shared" si="777"/>
        <v>GRA</v>
      </c>
      <c r="C12384" s="33" t="str">
        <f t="shared" si="778"/>
        <v>18000-0000</v>
      </c>
      <c r="D12384" t="s">
        <v>1317</v>
      </c>
      <c r="E12384" t="s">
        <v>88</v>
      </c>
      <c r="F12384" s="69" t="s">
        <v>230</v>
      </c>
      <c r="G12384" t="s">
        <v>62</v>
      </c>
      <c r="H12384" t="s">
        <v>63</v>
      </c>
      <c r="I12384" t="s">
        <v>81</v>
      </c>
      <c r="J12384" s="70">
        <v>-4516</v>
      </c>
      <c r="K12384" s="71">
        <v>-4516</v>
      </c>
      <c r="L12384" s="33" t="e">
        <f>HLOOKUP(B12384,#REF!,1,0)</f>
        <v>#REF!</v>
      </c>
      <c r="M12384" s="33" t="str">
        <f t="shared" si="779"/>
        <v>BS</v>
      </c>
    </row>
    <row r="12385" spans="1:13">
      <c r="A12385" s="33" t="str">
        <f t="shared" si="776"/>
        <v>GRA - Tax Accr</v>
      </c>
      <c r="B12385" s="33" t="str">
        <f t="shared" si="777"/>
        <v>GRA</v>
      </c>
      <c r="C12385" s="33" t="str">
        <f t="shared" si="778"/>
        <v>22001-0000</v>
      </c>
      <c r="D12385" t="s">
        <v>1321</v>
      </c>
      <c r="E12385" t="s">
        <v>1322</v>
      </c>
      <c r="F12385" s="69" t="s">
        <v>230</v>
      </c>
      <c r="G12385" t="s">
        <v>97</v>
      </c>
      <c r="H12385" t="s">
        <v>105</v>
      </c>
      <c r="I12385" t="s">
        <v>102</v>
      </c>
      <c r="J12385" s="70">
        <v>-20877.21</v>
      </c>
      <c r="K12385" s="71">
        <v>-26253.96</v>
      </c>
      <c r="L12385" s="33" t="e">
        <f>HLOOKUP(B12385,#REF!,1,0)</f>
        <v>#REF!</v>
      </c>
      <c r="M12385" s="33" t="str">
        <f t="shared" si="779"/>
        <v>BS</v>
      </c>
    </row>
    <row r="12386" spans="1:13">
      <c r="A12386" s="33" t="str">
        <f t="shared" si="776"/>
        <v>GRA - AP-Accr Exp</v>
      </c>
      <c r="B12386" s="33" t="str">
        <f t="shared" si="777"/>
        <v>GRA</v>
      </c>
      <c r="C12386" s="33" t="str">
        <f t="shared" si="778"/>
        <v>22800-0000</v>
      </c>
      <c r="D12386" t="s">
        <v>13551</v>
      </c>
      <c r="E12386" t="s">
        <v>13256</v>
      </c>
      <c r="F12386" s="69" t="s">
        <v>230</v>
      </c>
      <c r="G12386" t="s">
        <v>97</v>
      </c>
      <c r="H12386" t="s">
        <v>98</v>
      </c>
      <c r="I12386" t="s">
        <v>102</v>
      </c>
      <c r="J12386" s="70">
        <v>-105380.01</v>
      </c>
      <c r="K12386" s="71">
        <v>-105479.01</v>
      </c>
      <c r="L12386" s="33" t="e">
        <f>HLOOKUP(B12386,#REF!,1,0)</f>
        <v>#REF!</v>
      </c>
      <c r="M12386" s="33" t="str">
        <f t="shared" si="779"/>
        <v>BS</v>
      </c>
    </row>
    <row r="12387" spans="1:13">
      <c r="A12387" s="33" t="str">
        <f t="shared" si="776"/>
        <v>GRA - Revenue</v>
      </c>
      <c r="B12387" s="33" t="str">
        <f t="shared" si="777"/>
        <v>GRA</v>
      </c>
      <c r="C12387" s="33" t="str">
        <f t="shared" si="778"/>
        <v>22905-0000</v>
      </c>
      <c r="D12387" t="s">
        <v>13552</v>
      </c>
      <c r="E12387" t="s">
        <v>13258</v>
      </c>
      <c r="F12387" s="69" t="s">
        <v>230</v>
      </c>
      <c r="G12387" t="s">
        <v>3717</v>
      </c>
      <c r="H12387" t="s">
        <v>2871</v>
      </c>
      <c r="I12387" t="s">
        <v>3721</v>
      </c>
      <c r="J12387" s="70">
        <v>-46585</v>
      </c>
      <c r="K12387" s="71">
        <v>-29146.82</v>
      </c>
      <c r="L12387" s="33" t="e">
        <f>HLOOKUP(B12387,#REF!,1,0)</f>
        <v>#REF!</v>
      </c>
      <c r="M12387" s="33" t="str">
        <f t="shared" si="779"/>
        <v>BS</v>
      </c>
    </row>
    <row r="12388" spans="1:13">
      <c r="A12388" s="33" t="str">
        <f t="shared" si="776"/>
        <v>GRA - AP-Accr Exp</v>
      </c>
      <c r="B12388" s="33" t="str">
        <f t="shared" si="777"/>
        <v>GRA</v>
      </c>
      <c r="C12388" s="33" t="str">
        <f t="shared" si="778"/>
        <v>23509-0000</v>
      </c>
      <c r="D12388" t="s">
        <v>1323</v>
      </c>
      <c r="E12388" t="s">
        <v>454</v>
      </c>
      <c r="F12388" s="69" t="s">
        <v>230</v>
      </c>
      <c r="G12388" t="s">
        <v>97</v>
      </c>
      <c r="H12388" t="s">
        <v>98</v>
      </c>
      <c r="I12388" t="s">
        <v>102</v>
      </c>
      <c r="J12388" s="70">
        <v>19436.69</v>
      </c>
      <c r="K12388" s="71">
        <v>18187.84</v>
      </c>
      <c r="L12388" s="33" t="e">
        <f>HLOOKUP(B12388,#REF!,1,0)</f>
        <v>#REF!</v>
      </c>
      <c r="M12388" s="33" t="str">
        <f t="shared" si="779"/>
        <v>BS</v>
      </c>
    </row>
    <row r="12389" spans="1:13">
      <c r="A12389" s="33" t="str">
        <f t="shared" si="776"/>
        <v>GRA - InterCo Notes</v>
      </c>
      <c r="B12389" s="33" t="str">
        <f t="shared" si="777"/>
        <v>GRA</v>
      </c>
      <c r="C12389" s="33" t="str">
        <f t="shared" si="778"/>
        <v>25600-0000</v>
      </c>
      <c r="D12389" t="s">
        <v>13553</v>
      </c>
      <c r="E12389" t="s">
        <v>314</v>
      </c>
      <c r="F12389" s="69" t="s">
        <v>230</v>
      </c>
      <c r="G12389" t="s">
        <v>16</v>
      </c>
      <c r="H12389" t="s">
        <v>315</v>
      </c>
      <c r="I12389" t="s">
        <v>40</v>
      </c>
      <c r="J12389" s="70">
        <v>-266000</v>
      </c>
      <c r="K12389" s="71">
        <v>-266000</v>
      </c>
      <c r="L12389" s="33" t="e">
        <f>HLOOKUP(B12389,#REF!,1,0)</f>
        <v>#REF!</v>
      </c>
      <c r="M12389" s="33" t="str">
        <f t="shared" si="779"/>
        <v>BS</v>
      </c>
    </row>
    <row r="12390" spans="1:13">
      <c r="A12390" s="33" t="str">
        <f t="shared" si="776"/>
        <v>GRA - Principal</v>
      </c>
      <c r="B12390" s="33" t="str">
        <f t="shared" si="777"/>
        <v>GRA</v>
      </c>
      <c r="C12390" s="33" t="str">
        <f t="shared" si="778"/>
        <v>28003-0000</v>
      </c>
      <c r="D12390" t="s">
        <v>13554</v>
      </c>
      <c r="E12390" t="s">
        <v>13555</v>
      </c>
      <c r="F12390" s="69" t="s">
        <v>230</v>
      </c>
      <c r="G12390" t="s">
        <v>123</v>
      </c>
      <c r="H12390" t="s">
        <v>127</v>
      </c>
      <c r="I12390" t="s">
        <v>133</v>
      </c>
      <c r="J12390" s="70">
        <v>-23855000</v>
      </c>
      <c r="K12390" s="71">
        <v>-23855000</v>
      </c>
      <c r="L12390" s="33" t="e">
        <f>HLOOKUP(B12390,#REF!,1,0)</f>
        <v>#REF!</v>
      </c>
      <c r="M12390" s="33" t="str">
        <f t="shared" si="779"/>
        <v>BS</v>
      </c>
    </row>
    <row r="12391" spans="1:13">
      <c r="A12391" s="33" t="str">
        <f t="shared" si="776"/>
        <v>GRA - SH Dist</v>
      </c>
      <c r="B12391" s="33" t="str">
        <f t="shared" si="777"/>
        <v>GRA</v>
      </c>
      <c r="C12391" s="33" t="str">
        <f t="shared" si="778"/>
        <v>36000-0000</v>
      </c>
      <c r="D12391" t="s">
        <v>13556</v>
      </c>
      <c r="E12391" t="s">
        <v>13262</v>
      </c>
      <c r="F12391" s="69" t="s">
        <v>230</v>
      </c>
      <c r="G12391" t="s">
        <v>142</v>
      </c>
      <c r="H12391" t="s">
        <v>143</v>
      </c>
      <c r="I12391" t="s">
        <v>144</v>
      </c>
      <c r="J12391" s="70">
        <v>-3858465.89</v>
      </c>
      <c r="K12391" s="71">
        <v>-3858465.89</v>
      </c>
      <c r="L12391" s="33" t="e">
        <f>HLOOKUP(B12391,#REF!,1,0)</f>
        <v>#REF!</v>
      </c>
      <c r="M12391" s="33" t="str">
        <f t="shared" si="779"/>
        <v>BS</v>
      </c>
    </row>
    <row r="12392" spans="1:13">
      <c r="A12392" s="33" t="str">
        <f t="shared" si="776"/>
        <v>GRA - Retained Earnings</v>
      </c>
      <c r="B12392" s="33" t="str">
        <f t="shared" si="777"/>
        <v>GRA</v>
      </c>
      <c r="C12392" s="33" t="str">
        <f t="shared" si="778"/>
        <v>38100-0000</v>
      </c>
      <c r="D12392" t="s">
        <v>13557</v>
      </c>
      <c r="E12392" t="s">
        <v>234</v>
      </c>
      <c r="F12392" s="69" t="s">
        <v>230</v>
      </c>
      <c r="G12392" t="s">
        <v>142</v>
      </c>
      <c r="H12392" t="s">
        <v>149</v>
      </c>
      <c r="I12392" t="s">
        <v>235</v>
      </c>
      <c r="J12392" s="70">
        <v>-262740.97</v>
      </c>
      <c r="K12392" s="71">
        <v>-262740.97</v>
      </c>
      <c r="L12392" s="33" t="e">
        <f>HLOOKUP(B12392,#REF!,1,0)</f>
        <v>#REF!</v>
      </c>
      <c r="M12392" s="33" t="str">
        <f t="shared" si="779"/>
        <v>BS</v>
      </c>
    </row>
    <row r="12393" spans="1:13">
      <c r="A12393" s="33" t="str">
        <f t="shared" si="776"/>
        <v>GRA - Revenue</v>
      </c>
      <c r="B12393" s="33" t="str">
        <f t="shared" si="777"/>
        <v>GRA</v>
      </c>
      <c r="C12393" s="33" t="str">
        <f t="shared" si="778"/>
        <v>40110-0000</v>
      </c>
      <c r="D12393" t="s">
        <v>6143</v>
      </c>
      <c r="E12393" t="s">
        <v>3683</v>
      </c>
      <c r="F12393" s="69" t="s">
        <v>230</v>
      </c>
      <c r="G12393" t="s">
        <v>3684</v>
      </c>
      <c r="H12393" t="s">
        <v>2871</v>
      </c>
      <c r="I12393" t="s">
        <v>3685</v>
      </c>
      <c r="J12393" s="70">
        <v>-2244744</v>
      </c>
      <c r="K12393" s="71">
        <v>-2244744</v>
      </c>
      <c r="L12393" s="33" t="e">
        <f>HLOOKUP(B12393,#REF!,1,0)</f>
        <v>#REF!</v>
      </c>
      <c r="M12393" s="33" t="str">
        <f t="shared" si="779"/>
        <v>P&amp;L</v>
      </c>
    </row>
    <row r="12394" spans="1:13">
      <c r="A12394" s="33" t="str">
        <f t="shared" si="776"/>
        <v>GRA - Revenue</v>
      </c>
      <c r="B12394" s="33" t="str">
        <f t="shared" si="777"/>
        <v>GRA</v>
      </c>
      <c r="C12394" s="33" t="str">
        <f t="shared" si="778"/>
        <v>40120-0000</v>
      </c>
      <c r="D12394" t="s">
        <v>6144</v>
      </c>
      <c r="E12394" t="s">
        <v>3687</v>
      </c>
      <c r="F12394" s="69" t="s">
        <v>230</v>
      </c>
      <c r="G12394" t="s">
        <v>3684</v>
      </c>
      <c r="H12394" t="s">
        <v>2871</v>
      </c>
      <c r="I12394" t="s">
        <v>3688</v>
      </c>
      <c r="J12394" s="70">
        <v>-77801</v>
      </c>
      <c r="K12394" s="71">
        <v>-77801</v>
      </c>
      <c r="L12394" s="33" t="e">
        <f>HLOOKUP(B12394,#REF!,1,0)</f>
        <v>#REF!</v>
      </c>
      <c r="M12394" s="33" t="str">
        <f t="shared" si="779"/>
        <v>P&amp;L</v>
      </c>
    </row>
    <row r="12395" spans="1:13">
      <c r="A12395" s="33" t="str">
        <f t="shared" si="776"/>
        <v>GRA - Revenue</v>
      </c>
      <c r="B12395" s="33" t="str">
        <f t="shared" si="777"/>
        <v>GRA</v>
      </c>
      <c r="C12395" s="33" t="str">
        <f t="shared" si="778"/>
        <v>40130-0000</v>
      </c>
      <c r="D12395" t="s">
        <v>6145</v>
      </c>
      <c r="E12395" t="s">
        <v>3690</v>
      </c>
      <c r="F12395" s="69" t="s">
        <v>230</v>
      </c>
      <c r="G12395" t="s">
        <v>3684</v>
      </c>
      <c r="H12395" t="s">
        <v>2871</v>
      </c>
      <c r="I12395" t="s">
        <v>3691</v>
      </c>
      <c r="J12395" s="70">
        <v>-123317</v>
      </c>
      <c r="K12395" s="71">
        <v>-123317</v>
      </c>
      <c r="L12395" s="33" t="e">
        <f>HLOOKUP(B12395,#REF!,1,0)</f>
        <v>#REF!</v>
      </c>
      <c r="M12395" s="33" t="str">
        <f t="shared" si="779"/>
        <v>P&amp;L</v>
      </c>
    </row>
    <row r="12396" spans="1:13">
      <c r="A12396" s="33" t="str">
        <f t="shared" si="776"/>
        <v>GRA - Revenue</v>
      </c>
      <c r="B12396" s="33" t="str">
        <f t="shared" si="777"/>
        <v>GRA</v>
      </c>
      <c r="C12396" s="33" t="str">
        <f t="shared" si="778"/>
        <v>41110-0000</v>
      </c>
      <c r="D12396" t="s">
        <v>6147</v>
      </c>
      <c r="E12396" t="s">
        <v>3716</v>
      </c>
      <c r="F12396" s="69" t="s">
        <v>230</v>
      </c>
      <c r="G12396" t="s">
        <v>3717</v>
      </c>
      <c r="H12396" t="s">
        <v>2871</v>
      </c>
      <c r="I12396" t="s">
        <v>3718</v>
      </c>
      <c r="J12396" s="70">
        <v>-2354496.06</v>
      </c>
      <c r="K12396" s="71">
        <v>-2673296.06</v>
      </c>
      <c r="L12396" s="33" t="e">
        <f>HLOOKUP(B12396,#REF!,1,0)</f>
        <v>#REF!</v>
      </c>
      <c r="M12396" s="33" t="str">
        <f t="shared" si="779"/>
        <v>P&amp;L</v>
      </c>
    </row>
    <row r="12397" spans="1:13">
      <c r="A12397" s="33" t="str">
        <f t="shared" si="776"/>
        <v>GRA - Revenue</v>
      </c>
      <c r="B12397" s="33" t="str">
        <f t="shared" si="777"/>
        <v>GRA</v>
      </c>
      <c r="C12397" s="33" t="str">
        <f t="shared" si="778"/>
        <v>41120-0000</v>
      </c>
      <c r="D12397" t="s">
        <v>13558</v>
      </c>
      <c r="E12397" t="s">
        <v>13267</v>
      </c>
      <c r="F12397" s="69" t="s">
        <v>230</v>
      </c>
      <c r="G12397" t="s">
        <v>3717</v>
      </c>
      <c r="H12397" t="s">
        <v>2871</v>
      </c>
      <c r="I12397" t="s">
        <v>3718</v>
      </c>
      <c r="J12397" s="70">
        <v>0</v>
      </c>
      <c r="K12397" s="71">
        <v>30822</v>
      </c>
      <c r="L12397" s="33" t="e">
        <f>HLOOKUP(B12397,#REF!,1,0)</f>
        <v>#REF!</v>
      </c>
      <c r="M12397" s="33" t="str">
        <f t="shared" si="779"/>
        <v>P&amp;L</v>
      </c>
    </row>
    <row r="12398" spans="1:13">
      <c r="A12398" s="33" t="str">
        <f t="shared" si="776"/>
        <v>GRA - Revenue</v>
      </c>
      <c r="B12398" s="33" t="str">
        <f t="shared" si="777"/>
        <v>GRA</v>
      </c>
      <c r="C12398" s="33" t="str">
        <f t="shared" si="778"/>
        <v>42110-0000</v>
      </c>
      <c r="D12398" t="s">
        <v>13559</v>
      </c>
      <c r="E12398" t="s">
        <v>13269</v>
      </c>
      <c r="F12398" s="69" t="s">
        <v>230</v>
      </c>
      <c r="G12398" t="s">
        <v>3694</v>
      </c>
      <c r="H12398" t="s">
        <v>2871</v>
      </c>
      <c r="I12398" t="s">
        <v>3695</v>
      </c>
      <c r="J12398" s="70">
        <v>93074.57</v>
      </c>
      <c r="K12398" s="71">
        <v>120922.6</v>
      </c>
      <c r="L12398" s="33" t="e">
        <f>HLOOKUP(B12398,#REF!,1,0)</f>
        <v>#REF!</v>
      </c>
      <c r="M12398" s="33" t="str">
        <f t="shared" si="779"/>
        <v>P&amp;L</v>
      </c>
    </row>
    <row r="12399" spans="1:13">
      <c r="A12399" s="33" t="str">
        <f t="shared" si="776"/>
        <v>GRA - Revenue</v>
      </c>
      <c r="B12399" s="33" t="str">
        <f t="shared" si="777"/>
        <v>GRA</v>
      </c>
      <c r="C12399" s="33" t="str">
        <f t="shared" si="778"/>
        <v>42130-0000</v>
      </c>
      <c r="D12399" t="s">
        <v>13560</v>
      </c>
      <c r="E12399" t="s">
        <v>13374</v>
      </c>
      <c r="F12399" s="69" t="s">
        <v>230</v>
      </c>
      <c r="G12399" t="s">
        <v>3694</v>
      </c>
      <c r="H12399" t="s">
        <v>2871</v>
      </c>
      <c r="I12399" t="s">
        <v>3704</v>
      </c>
      <c r="J12399" s="70">
        <v>1131.63</v>
      </c>
      <c r="K12399" s="71">
        <v>1631.63</v>
      </c>
      <c r="L12399" s="33" t="e">
        <f>HLOOKUP(B12399,#REF!,1,0)</f>
        <v>#REF!</v>
      </c>
      <c r="M12399" s="33" t="str">
        <f t="shared" si="779"/>
        <v>P&amp;L</v>
      </c>
    </row>
    <row r="12400" spans="1:13">
      <c r="A12400" s="33" t="str">
        <f t="shared" si="776"/>
        <v>GRA - Revenue</v>
      </c>
      <c r="B12400" s="33" t="str">
        <f t="shared" si="777"/>
        <v>GRA</v>
      </c>
      <c r="C12400" s="33" t="str">
        <f t="shared" si="778"/>
        <v>42150-0000</v>
      </c>
      <c r="D12400" t="s">
        <v>13561</v>
      </c>
      <c r="E12400" t="s">
        <v>13271</v>
      </c>
      <c r="F12400" s="69" t="s">
        <v>230</v>
      </c>
      <c r="G12400" t="s">
        <v>3694</v>
      </c>
      <c r="H12400" t="s">
        <v>2871</v>
      </c>
      <c r="I12400" t="s">
        <v>3710</v>
      </c>
      <c r="J12400" s="70">
        <v>5145</v>
      </c>
      <c r="K12400" s="71">
        <v>5145</v>
      </c>
      <c r="L12400" s="33" t="e">
        <f>HLOOKUP(B12400,#REF!,1,0)</f>
        <v>#REF!</v>
      </c>
      <c r="M12400" s="33" t="str">
        <f t="shared" si="779"/>
        <v>P&amp;L</v>
      </c>
    </row>
    <row r="12401" spans="1:13">
      <c r="A12401" s="33" t="str">
        <f t="shared" si="776"/>
        <v>GRA - Revenue</v>
      </c>
      <c r="B12401" s="33" t="str">
        <f t="shared" si="777"/>
        <v>GRA</v>
      </c>
      <c r="C12401" s="33" t="str">
        <f t="shared" si="778"/>
        <v>43120-0000</v>
      </c>
      <c r="D12401" t="s">
        <v>13562</v>
      </c>
      <c r="E12401" t="s">
        <v>3700</v>
      </c>
      <c r="F12401" s="69" t="s">
        <v>230</v>
      </c>
      <c r="G12401" t="s">
        <v>3694</v>
      </c>
      <c r="H12401" t="s">
        <v>2871</v>
      </c>
      <c r="I12401" t="s">
        <v>3701</v>
      </c>
      <c r="J12401" s="70">
        <v>-62326.02</v>
      </c>
      <c r="K12401" s="71">
        <v>-62326.02</v>
      </c>
      <c r="L12401" s="33" t="e">
        <f>HLOOKUP(B12401,#REF!,1,0)</f>
        <v>#REF!</v>
      </c>
      <c r="M12401" s="33" t="str">
        <f t="shared" si="779"/>
        <v>P&amp;L</v>
      </c>
    </row>
    <row r="12402" spans="1:13">
      <c r="A12402" s="33" t="str">
        <f t="shared" si="776"/>
        <v>GRA - Revenue</v>
      </c>
      <c r="B12402" s="33" t="str">
        <f t="shared" si="777"/>
        <v>GRA</v>
      </c>
      <c r="C12402" s="33" t="str">
        <f t="shared" si="778"/>
        <v>43121-0000</v>
      </c>
      <c r="D12402" t="s">
        <v>13563</v>
      </c>
      <c r="E12402" t="s">
        <v>7768</v>
      </c>
      <c r="F12402" s="69" t="s">
        <v>230</v>
      </c>
      <c r="G12402" t="s">
        <v>3694</v>
      </c>
      <c r="H12402" t="s">
        <v>2871</v>
      </c>
      <c r="I12402" t="s">
        <v>3698</v>
      </c>
      <c r="J12402" s="70">
        <v>113051.96</v>
      </c>
      <c r="K12402" s="71">
        <v>113051.96</v>
      </c>
      <c r="L12402" s="33" t="e">
        <f>HLOOKUP(B12402,#REF!,1,0)</f>
        <v>#REF!</v>
      </c>
      <c r="M12402" s="33" t="str">
        <f t="shared" si="779"/>
        <v>P&amp;L</v>
      </c>
    </row>
    <row r="12403" spans="1:13">
      <c r="A12403" s="33" t="str">
        <f t="shared" si="776"/>
        <v>GRA - Revenue</v>
      </c>
      <c r="B12403" s="33" t="str">
        <f t="shared" si="777"/>
        <v>GRA</v>
      </c>
      <c r="C12403" s="33" t="str">
        <f t="shared" si="778"/>
        <v>43410-0000</v>
      </c>
      <c r="D12403" t="s">
        <v>13564</v>
      </c>
      <c r="E12403" t="s">
        <v>13276</v>
      </c>
      <c r="F12403" s="69" t="s">
        <v>230</v>
      </c>
      <c r="G12403" t="s">
        <v>3717</v>
      </c>
      <c r="H12403" t="s">
        <v>2871</v>
      </c>
      <c r="I12403" t="s">
        <v>3727</v>
      </c>
      <c r="J12403" s="70">
        <v>-22730</v>
      </c>
      <c r="K12403" s="71">
        <v>-22730</v>
      </c>
      <c r="L12403" s="33" t="e">
        <f>HLOOKUP(B12403,#REF!,1,0)</f>
        <v>#REF!</v>
      </c>
      <c r="M12403" s="33" t="str">
        <f t="shared" si="779"/>
        <v>P&amp;L</v>
      </c>
    </row>
    <row r="12404" spans="1:13">
      <c r="A12404" s="33" t="str">
        <f t="shared" si="776"/>
        <v>GRA - Revenue</v>
      </c>
      <c r="B12404" s="33" t="str">
        <f t="shared" si="777"/>
        <v>GRA</v>
      </c>
      <c r="C12404" s="33" t="str">
        <f t="shared" si="778"/>
        <v>43440-0000</v>
      </c>
      <c r="D12404" t="s">
        <v>13565</v>
      </c>
      <c r="E12404" t="s">
        <v>13278</v>
      </c>
      <c r="F12404" s="69" t="s">
        <v>230</v>
      </c>
      <c r="G12404" t="s">
        <v>3717</v>
      </c>
      <c r="H12404" t="s">
        <v>2871</v>
      </c>
      <c r="I12404" t="s">
        <v>3721</v>
      </c>
      <c r="J12404" s="70">
        <v>-103530.58</v>
      </c>
      <c r="K12404" s="71">
        <v>-107358.9</v>
      </c>
      <c r="L12404" s="33" t="e">
        <f>HLOOKUP(B12404,#REF!,1,0)</f>
        <v>#REF!</v>
      </c>
      <c r="M12404" s="33" t="str">
        <f t="shared" si="779"/>
        <v>P&amp;L</v>
      </c>
    </row>
    <row r="12405" spans="1:13">
      <c r="A12405" s="33" t="str">
        <f t="shared" si="776"/>
        <v>GRA - Revenue</v>
      </c>
      <c r="B12405" s="33" t="str">
        <f t="shared" si="777"/>
        <v>GRA</v>
      </c>
      <c r="C12405" s="33" t="str">
        <f t="shared" si="778"/>
        <v>43450-0000</v>
      </c>
      <c r="D12405" t="s">
        <v>13566</v>
      </c>
      <c r="E12405" t="s">
        <v>3723</v>
      </c>
      <c r="F12405" s="69" t="s">
        <v>230</v>
      </c>
      <c r="G12405" t="s">
        <v>3717</v>
      </c>
      <c r="H12405" t="s">
        <v>2871</v>
      </c>
      <c r="I12405" t="s">
        <v>3724</v>
      </c>
      <c r="J12405" s="70">
        <v>-14289.3</v>
      </c>
      <c r="K12405" s="71">
        <v>-15639.3</v>
      </c>
      <c r="L12405" s="33" t="e">
        <f>HLOOKUP(B12405,#REF!,1,0)</f>
        <v>#REF!</v>
      </c>
      <c r="M12405" s="33" t="str">
        <f t="shared" si="779"/>
        <v>P&amp;L</v>
      </c>
    </row>
    <row r="12406" spans="1:13">
      <c r="A12406" s="33" t="str">
        <f t="shared" si="776"/>
        <v>GRA - AP-Accr Exp</v>
      </c>
      <c r="B12406" s="33" t="str">
        <f t="shared" si="777"/>
        <v>GRA</v>
      </c>
      <c r="C12406" s="33" t="str">
        <f t="shared" si="778"/>
        <v>43480-0000</v>
      </c>
      <c r="D12406" t="s">
        <v>13567</v>
      </c>
      <c r="E12406" t="s">
        <v>13280</v>
      </c>
      <c r="F12406" s="69" t="s">
        <v>230</v>
      </c>
      <c r="G12406" t="s">
        <v>97</v>
      </c>
      <c r="H12406" t="s">
        <v>98</v>
      </c>
      <c r="I12406" t="s">
        <v>102</v>
      </c>
      <c r="J12406" s="70">
        <v>-5411.49</v>
      </c>
      <c r="K12406" s="71">
        <v>-5411.49</v>
      </c>
      <c r="L12406" s="33" t="e">
        <f>HLOOKUP(B12406,#REF!,1,0)</f>
        <v>#REF!</v>
      </c>
      <c r="M12406" s="33" t="str">
        <f t="shared" si="779"/>
        <v>P&amp;L</v>
      </c>
    </row>
    <row r="12407" spans="1:13">
      <c r="A12407" s="33" t="str">
        <f t="shared" si="776"/>
        <v>GRA - Revenue</v>
      </c>
      <c r="B12407" s="33" t="str">
        <f t="shared" si="777"/>
        <v>GRA</v>
      </c>
      <c r="C12407" s="33" t="str">
        <f t="shared" si="778"/>
        <v>43490-0000</v>
      </c>
      <c r="D12407" t="s">
        <v>13568</v>
      </c>
      <c r="E12407" t="s">
        <v>13282</v>
      </c>
      <c r="F12407" s="69" t="s">
        <v>230</v>
      </c>
      <c r="G12407" t="s">
        <v>3717</v>
      </c>
      <c r="H12407" t="s">
        <v>2871</v>
      </c>
      <c r="I12407" t="s">
        <v>3721</v>
      </c>
      <c r="J12407" s="70">
        <v>-22341.08</v>
      </c>
      <c r="K12407" s="71">
        <v>-22341.08</v>
      </c>
      <c r="L12407" s="33" t="e">
        <f>HLOOKUP(B12407,#REF!,1,0)</f>
        <v>#REF!</v>
      </c>
      <c r="M12407" s="33" t="str">
        <f t="shared" si="779"/>
        <v>P&amp;L</v>
      </c>
    </row>
    <row r="12408" spans="1:13">
      <c r="A12408" s="33" t="str">
        <f t="shared" si="776"/>
        <v>GRA - Revenue</v>
      </c>
      <c r="B12408" s="33" t="str">
        <f t="shared" si="777"/>
        <v>GRA</v>
      </c>
      <c r="C12408" s="33" t="str">
        <f t="shared" si="778"/>
        <v>43491-0000</v>
      </c>
      <c r="D12408" t="s">
        <v>13569</v>
      </c>
      <c r="E12408" t="s">
        <v>3733</v>
      </c>
      <c r="F12408" s="69" t="s">
        <v>230</v>
      </c>
      <c r="G12408" t="s">
        <v>3717</v>
      </c>
      <c r="H12408" t="s">
        <v>2871</v>
      </c>
      <c r="I12408" t="s">
        <v>3734</v>
      </c>
      <c r="J12408" s="70">
        <v>-67341.21</v>
      </c>
      <c r="K12408" s="71">
        <v>-78400.52</v>
      </c>
      <c r="L12408" s="33" t="e">
        <f>HLOOKUP(B12408,#REF!,1,0)</f>
        <v>#REF!</v>
      </c>
      <c r="M12408" s="33" t="str">
        <f t="shared" si="779"/>
        <v>P&amp;L</v>
      </c>
    </row>
    <row r="12409" spans="1:13">
      <c r="A12409" s="33" t="str">
        <f t="shared" si="776"/>
        <v>GRA - Revenue</v>
      </c>
      <c r="B12409" s="33" t="str">
        <f t="shared" si="777"/>
        <v>GRA</v>
      </c>
      <c r="C12409" s="33" t="str">
        <f t="shared" si="778"/>
        <v>43492-0000</v>
      </c>
      <c r="D12409" t="s">
        <v>13570</v>
      </c>
      <c r="E12409" t="s">
        <v>13285</v>
      </c>
      <c r="F12409" s="69" t="s">
        <v>230</v>
      </c>
      <c r="G12409" t="s">
        <v>3717</v>
      </c>
      <c r="H12409" t="s">
        <v>2871</v>
      </c>
      <c r="I12409" t="s">
        <v>3737</v>
      </c>
      <c r="J12409" s="70">
        <v>-6932.48</v>
      </c>
      <c r="K12409" s="71">
        <v>-7700.87</v>
      </c>
      <c r="L12409" s="33" t="e">
        <f>HLOOKUP(B12409,#REF!,1,0)</f>
        <v>#REF!</v>
      </c>
      <c r="M12409" s="33" t="str">
        <f t="shared" si="779"/>
        <v>P&amp;L</v>
      </c>
    </row>
    <row r="12410" spans="1:13">
      <c r="A12410" s="33" t="str">
        <f t="shared" si="776"/>
        <v>GRA - Revenue</v>
      </c>
      <c r="B12410" s="33" t="str">
        <f t="shared" si="777"/>
        <v>GRA</v>
      </c>
      <c r="C12410" s="33" t="str">
        <f t="shared" si="778"/>
        <v>43493-0000</v>
      </c>
      <c r="D12410" t="s">
        <v>13571</v>
      </c>
      <c r="E12410" t="s">
        <v>4229</v>
      </c>
      <c r="F12410" s="69" t="s">
        <v>230</v>
      </c>
      <c r="G12410" t="s">
        <v>3717</v>
      </c>
      <c r="H12410" t="s">
        <v>2871</v>
      </c>
      <c r="I12410" t="s">
        <v>4230</v>
      </c>
      <c r="J12410" s="70">
        <v>-6454.14</v>
      </c>
      <c r="K12410" s="71">
        <v>-6454.14</v>
      </c>
      <c r="L12410" s="33" t="e">
        <f>HLOOKUP(B12410,#REF!,1,0)</f>
        <v>#REF!</v>
      </c>
      <c r="M12410" s="33" t="str">
        <f t="shared" si="779"/>
        <v>P&amp;L</v>
      </c>
    </row>
    <row r="12411" spans="1:13">
      <c r="A12411" s="33" t="str">
        <f t="shared" si="776"/>
        <v>GRA - Revenue</v>
      </c>
      <c r="B12411" s="33" t="str">
        <f t="shared" si="777"/>
        <v>GRA</v>
      </c>
      <c r="C12411" s="33" t="str">
        <f t="shared" si="778"/>
        <v>49500-9999</v>
      </c>
      <c r="D12411" t="s">
        <v>13572</v>
      </c>
      <c r="E12411" t="s">
        <v>7244</v>
      </c>
      <c r="F12411" s="69" t="s">
        <v>230</v>
      </c>
      <c r="G12411" t="s">
        <v>3713</v>
      </c>
      <c r="H12411" t="s">
        <v>2871</v>
      </c>
      <c r="I12411" t="s">
        <v>3714</v>
      </c>
      <c r="J12411" s="70">
        <v>2342369.86</v>
      </c>
      <c r="K12411" s="71">
        <v>2342369.86</v>
      </c>
      <c r="L12411" s="33" t="e">
        <f>HLOOKUP(B12411,#REF!,1,0)</f>
        <v>#REF!</v>
      </c>
      <c r="M12411" s="33" t="str">
        <f t="shared" si="779"/>
        <v>P&amp;L</v>
      </c>
    </row>
    <row r="12412" spans="1:13">
      <c r="A12412" s="33" t="str">
        <f t="shared" si="776"/>
        <v>GRA - CGS</v>
      </c>
      <c r="B12412" s="33" t="str">
        <f t="shared" si="777"/>
        <v>GRA</v>
      </c>
      <c r="C12412" s="33" t="str">
        <f t="shared" si="778"/>
        <v>51005-0000</v>
      </c>
      <c r="D12412" t="s">
        <v>6164</v>
      </c>
      <c r="E12412" t="s">
        <v>13287</v>
      </c>
      <c r="F12412" s="69" t="s">
        <v>230</v>
      </c>
      <c r="G12412" t="s">
        <v>3740</v>
      </c>
      <c r="H12412" t="s">
        <v>1875</v>
      </c>
      <c r="I12412" t="s">
        <v>3969</v>
      </c>
      <c r="J12412" s="70">
        <v>55.26</v>
      </c>
      <c r="K12412" s="71">
        <v>55.26</v>
      </c>
      <c r="L12412" s="33" t="e">
        <f>HLOOKUP(B12412,#REF!,1,0)</f>
        <v>#REF!</v>
      </c>
      <c r="M12412" s="33" t="str">
        <f t="shared" si="779"/>
        <v>P&amp;L</v>
      </c>
    </row>
    <row r="12413" spans="1:13">
      <c r="A12413" s="33" t="str">
        <f t="shared" si="776"/>
        <v>GRA - CGS</v>
      </c>
      <c r="B12413" s="33" t="str">
        <f t="shared" si="777"/>
        <v>GRA</v>
      </c>
      <c r="C12413" s="33" t="str">
        <f t="shared" si="778"/>
        <v>51006-0000</v>
      </c>
      <c r="D12413" t="s">
        <v>6165</v>
      </c>
      <c r="E12413" t="s">
        <v>13288</v>
      </c>
      <c r="F12413" s="69" t="s">
        <v>230</v>
      </c>
      <c r="G12413" t="s">
        <v>3740</v>
      </c>
      <c r="H12413" t="s">
        <v>1875</v>
      </c>
      <c r="I12413" t="s">
        <v>3741</v>
      </c>
      <c r="J12413" s="70">
        <v>867.65</v>
      </c>
      <c r="K12413" s="71">
        <v>867.65</v>
      </c>
      <c r="L12413" s="33" t="e">
        <f>HLOOKUP(B12413,#REF!,1,0)</f>
        <v>#REF!</v>
      </c>
      <c r="M12413" s="33" t="str">
        <f t="shared" si="779"/>
        <v>P&amp;L</v>
      </c>
    </row>
    <row r="12414" spans="1:13">
      <c r="A12414" s="33" t="str">
        <f t="shared" si="776"/>
        <v>GRA - CGS</v>
      </c>
      <c r="B12414" s="33" t="str">
        <f t="shared" si="777"/>
        <v>GRA</v>
      </c>
      <c r="C12414" s="33" t="str">
        <f t="shared" si="778"/>
        <v>51007-0000</v>
      </c>
      <c r="D12414" t="s">
        <v>6166</v>
      </c>
      <c r="E12414" t="s">
        <v>13289</v>
      </c>
      <c r="F12414" s="69" t="s">
        <v>230</v>
      </c>
      <c r="G12414" t="s">
        <v>3740</v>
      </c>
      <c r="H12414" t="s">
        <v>1875</v>
      </c>
      <c r="I12414" t="s">
        <v>3973</v>
      </c>
      <c r="J12414" s="70">
        <v>677.3</v>
      </c>
      <c r="K12414" s="71">
        <v>677.3</v>
      </c>
      <c r="L12414" s="33" t="e">
        <f>HLOOKUP(B12414,#REF!,1,0)</f>
        <v>#REF!</v>
      </c>
      <c r="M12414" s="33" t="str">
        <f t="shared" si="779"/>
        <v>P&amp;L</v>
      </c>
    </row>
    <row r="12415" spans="1:13">
      <c r="A12415" s="33" t="str">
        <f t="shared" si="776"/>
        <v>GRA - CGS</v>
      </c>
      <c r="B12415" s="33" t="str">
        <f t="shared" si="777"/>
        <v>GRA</v>
      </c>
      <c r="C12415" s="33" t="str">
        <f t="shared" si="778"/>
        <v>51008-0000</v>
      </c>
      <c r="D12415" t="s">
        <v>6167</v>
      </c>
      <c r="E12415" t="s">
        <v>13290</v>
      </c>
      <c r="F12415" s="69" t="s">
        <v>230</v>
      </c>
      <c r="G12415" t="s">
        <v>3740</v>
      </c>
      <c r="H12415" t="s">
        <v>1875</v>
      </c>
      <c r="I12415" t="s">
        <v>3744</v>
      </c>
      <c r="J12415" s="70">
        <v>7280.77</v>
      </c>
      <c r="K12415" s="71">
        <v>7280.77</v>
      </c>
      <c r="L12415" s="33" t="e">
        <f>HLOOKUP(B12415,#REF!,1,0)</f>
        <v>#REF!</v>
      </c>
      <c r="M12415" s="33" t="str">
        <f t="shared" si="779"/>
        <v>P&amp;L</v>
      </c>
    </row>
    <row r="12416" spans="1:13">
      <c r="A12416" s="33" t="str">
        <f t="shared" si="776"/>
        <v>GRA - CGS</v>
      </c>
      <c r="B12416" s="33" t="str">
        <f t="shared" si="777"/>
        <v>GRA</v>
      </c>
      <c r="C12416" s="33" t="str">
        <f t="shared" si="778"/>
        <v>51009-0000</v>
      </c>
      <c r="D12416" t="s">
        <v>6168</v>
      </c>
      <c r="E12416" t="s">
        <v>13291</v>
      </c>
      <c r="F12416" s="69" t="s">
        <v>230</v>
      </c>
      <c r="G12416" t="s">
        <v>3740</v>
      </c>
      <c r="H12416" t="s">
        <v>1875</v>
      </c>
      <c r="I12416" t="s">
        <v>3747</v>
      </c>
      <c r="J12416" s="70">
        <v>39.98</v>
      </c>
      <c r="K12416" s="71">
        <v>39.98</v>
      </c>
      <c r="L12416" s="33" t="e">
        <f>HLOOKUP(B12416,#REF!,1,0)</f>
        <v>#REF!</v>
      </c>
      <c r="M12416" s="33" t="str">
        <f t="shared" si="779"/>
        <v>P&amp;L</v>
      </c>
    </row>
    <row r="12417" spans="1:13">
      <c r="A12417" s="33" t="str">
        <f t="shared" si="776"/>
        <v>GRA - CGS</v>
      </c>
      <c r="B12417" s="33" t="str">
        <f t="shared" si="777"/>
        <v>GRA</v>
      </c>
      <c r="C12417" s="33" t="str">
        <f t="shared" si="778"/>
        <v>51011-0000</v>
      </c>
      <c r="D12417" t="s">
        <v>6169</v>
      </c>
      <c r="E12417" t="s">
        <v>13292</v>
      </c>
      <c r="F12417" s="69" t="s">
        <v>230</v>
      </c>
      <c r="G12417" t="s">
        <v>3740</v>
      </c>
      <c r="H12417" t="s">
        <v>1875</v>
      </c>
      <c r="I12417" t="s">
        <v>3750</v>
      </c>
      <c r="J12417" s="70">
        <v>20675</v>
      </c>
      <c r="K12417" s="71">
        <v>20675</v>
      </c>
      <c r="L12417" s="33" t="e">
        <f>HLOOKUP(B12417,#REF!,1,0)</f>
        <v>#REF!</v>
      </c>
      <c r="M12417" s="33" t="str">
        <f t="shared" si="779"/>
        <v>P&amp;L</v>
      </c>
    </row>
    <row r="12418" spans="1:13">
      <c r="A12418" s="33" t="str">
        <f t="shared" si="776"/>
        <v>GRA - CGS</v>
      </c>
      <c r="B12418" s="33" t="str">
        <f t="shared" si="777"/>
        <v>GRA</v>
      </c>
      <c r="C12418" s="33" t="str">
        <f t="shared" si="778"/>
        <v>51012-0000</v>
      </c>
      <c r="D12418" t="s">
        <v>6170</v>
      </c>
      <c r="E12418" t="s">
        <v>13293</v>
      </c>
      <c r="F12418" s="69" t="s">
        <v>230</v>
      </c>
      <c r="G12418" t="s">
        <v>3740</v>
      </c>
      <c r="H12418" t="s">
        <v>1875</v>
      </c>
      <c r="I12418" t="s">
        <v>3753</v>
      </c>
      <c r="J12418" s="70">
        <v>2641</v>
      </c>
      <c r="K12418" s="71">
        <v>2641</v>
      </c>
      <c r="L12418" s="33" t="e">
        <f>HLOOKUP(B12418,#REF!,1,0)</f>
        <v>#REF!</v>
      </c>
      <c r="M12418" s="33" t="str">
        <f t="shared" si="779"/>
        <v>P&amp;L</v>
      </c>
    </row>
    <row r="12419" spans="1:13">
      <c r="A12419" s="33" t="str">
        <f t="shared" si="776"/>
        <v>GRA - CGS</v>
      </c>
      <c r="B12419" s="33" t="str">
        <f t="shared" si="777"/>
        <v>GRA</v>
      </c>
      <c r="C12419" s="33" t="str">
        <f t="shared" si="778"/>
        <v>51013-0000</v>
      </c>
      <c r="D12419" t="s">
        <v>6171</v>
      </c>
      <c r="E12419" t="s">
        <v>13294</v>
      </c>
      <c r="F12419" s="69" t="s">
        <v>230</v>
      </c>
      <c r="G12419" t="s">
        <v>3740</v>
      </c>
      <c r="H12419" t="s">
        <v>1875</v>
      </c>
      <c r="I12419" t="s">
        <v>3980</v>
      </c>
      <c r="J12419" s="70">
        <v>1003.87</v>
      </c>
      <c r="K12419" s="71">
        <v>1003.87</v>
      </c>
      <c r="L12419" s="33" t="e">
        <f>HLOOKUP(B12419,#REF!,1,0)</f>
        <v>#REF!</v>
      </c>
      <c r="M12419" s="33" t="str">
        <f t="shared" si="779"/>
        <v>P&amp;L</v>
      </c>
    </row>
    <row r="12420" spans="1:13">
      <c r="A12420" s="33" t="str">
        <f t="shared" si="776"/>
        <v>GRA - CGS</v>
      </c>
      <c r="B12420" s="33" t="str">
        <f t="shared" si="777"/>
        <v>GRA</v>
      </c>
      <c r="C12420" s="33" t="str">
        <f t="shared" si="778"/>
        <v>51015-0000</v>
      </c>
      <c r="D12420" t="s">
        <v>6172</v>
      </c>
      <c r="E12420" t="s">
        <v>13295</v>
      </c>
      <c r="F12420" s="69" t="s">
        <v>230</v>
      </c>
      <c r="G12420" t="s">
        <v>3740</v>
      </c>
      <c r="H12420" t="s">
        <v>1875</v>
      </c>
      <c r="I12420" t="s">
        <v>3756</v>
      </c>
      <c r="J12420" s="70">
        <v>7001.9</v>
      </c>
      <c r="K12420" s="71">
        <v>7001.9</v>
      </c>
      <c r="L12420" s="33" t="e">
        <f>HLOOKUP(B12420,#REF!,1,0)</f>
        <v>#REF!</v>
      </c>
      <c r="M12420" s="33" t="str">
        <f t="shared" si="779"/>
        <v>P&amp;L</v>
      </c>
    </row>
    <row r="12421" spans="1:13">
      <c r="A12421" s="33" t="str">
        <f t="shared" si="776"/>
        <v>GRA - CGS</v>
      </c>
      <c r="B12421" s="33" t="str">
        <f t="shared" si="777"/>
        <v>GRA</v>
      </c>
      <c r="C12421" s="33" t="str">
        <f t="shared" si="778"/>
        <v>51018-0000</v>
      </c>
      <c r="D12421" t="s">
        <v>6174</v>
      </c>
      <c r="E12421" t="s">
        <v>13296</v>
      </c>
      <c r="F12421" s="69" t="s">
        <v>230</v>
      </c>
      <c r="G12421" t="s">
        <v>3740</v>
      </c>
      <c r="H12421" t="s">
        <v>1875</v>
      </c>
      <c r="I12421" t="s">
        <v>3319</v>
      </c>
      <c r="J12421" s="70">
        <v>4050.54</v>
      </c>
      <c r="K12421" s="71">
        <v>4050.54</v>
      </c>
      <c r="L12421" s="33" t="e">
        <f>HLOOKUP(B12421,#REF!,1,0)</f>
        <v>#REF!</v>
      </c>
      <c r="M12421" s="33" t="str">
        <f t="shared" si="779"/>
        <v>P&amp;L</v>
      </c>
    </row>
    <row r="12422" spans="1:13">
      <c r="A12422" s="33" t="str">
        <f t="shared" si="776"/>
        <v>GRA - CGS</v>
      </c>
      <c r="B12422" s="33" t="str">
        <f t="shared" si="777"/>
        <v>GRA</v>
      </c>
      <c r="C12422" s="33" t="str">
        <f t="shared" si="778"/>
        <v>51019-0000</v>
      </c>
      <c r="D12422" t="s">
        <v>6175</v>
      </c>
      <c r="E12422" t="s">
        <v>13297</v>
      </c>
      <c r="F12422" s="69" t="s">
        <v>230</v>
      </c>
      <c r="G12422" t="s">
        <v>3740</v>
      </c>
      <c r="H12422" t="s">
        <v>1875</v>
      </c>
      <c r="I12422" t="s">
        <v>3340</v>
      </c>
      <c r="J12422" s="70">
        <v>2292.4</v>
      </c>
      <c r="K12422" s="71">
        <v>2292.4</v>
      </c>
      <c r="L12422" s="33" t="e">
        <f>HLOOKUP(B12422,#REF!,1,0)</f>
        <v>#REF!</v>
      </c>
      <c r="M12422" s="33" t="str">
        <f t="shared" si="779"/>
        <v>P&amp;L</v>
      </c>
    </row>
    <row r="12423" spans="1:13">
      <c r="A12423" s="33" t="str">
        <f t="shared" si="776"/>
        <v>GRA - CGS</v>
      </c>
      <c r="B12423" s="33" t="str">
        <f t="shared" si="777"/>
        <v>GRA</v>
      </c>
      <c r="C12423" s="33" t="str">
        <f t="shared" si="778"/>
        <v>51020-0000</v>
      </c>
      <c r="D12423" t="s">
        <v>6176</v>
      </c>
      <c r="E12423" t="s">
        <v>13298</v>
      </c>
      <c r="F12423" s="69" t="s">
        <v>230</v>
      </c>
      <c r="G12423" t="s">
        <v>3740</v>
      </c>
      <c r="H12423" t="s">
        <v>1875</v>
      </c>
      <c r="I12423" t="s">
        <v>3345</v>
      </c>
      <c r="J12423" s="70">
        <v>4899.09</v>
      </c>
      <c r="K12423" s="71">
        <v>4899.09</v>
      </c>
      <c r="L12423" s="33" t="e">
        <f>HLOOKUP(B12423,#REF!,1,0)</f>
        <v>#REF!</v>
      </c>
      <c r="M12423" s="33" t="str">
        <f t="shared" si="779"/>
        <v>P&amp;L</v>
      </c>
    </row>
    <row r="12424" spans="1:13">
      <c r="A12424" s="33" t="str">
        <f t="shared" si="776"/>
        <v>GRA - CGS</v>
      </c>
      <c r="B12424" s="33" t="str">
        <f t="shared" si="777"/>
        <v>GRA</v>
      </c>
      <c r="C12424" s="33" t="str">
        <f t="shared" si="778"/>
        <v>51025-0000</v>
      </c>
      <c r="D12424" t="s">
        <v>6177</v>
      </c>
      <c r="E12424" t="s">
        <v>13299</v>
      </c>
      <c r="F12424" s="69" t="s">
        <v>230</v>
      </c>
      <c r="G12424" t="s">
        <v>3740</v>
      </c>
      <c r="H12424" t="s">
        <v>13300</v>
      </c>
      <c r="I12424" t="s">
        <v>13299</v>
      </c>
      <c r="J12424" s="70">
        <v>12740.35</v>
      </c>
      <c r="K12424" s="71">
        <v>13989.2</v>
      </c>
      <c r="L12424" s="33" t="e">
        <f>HLOOKUP(B12424,#REF!,1,0)</f>
        <v>#REF!</v>
      </c>
      <c r="M12424" s="33" t="str">
        <f t="shared" si="779"/>
        <v>P&amp;L</v>
      </c>
    </row>
    <row r="12425" spans="1:13">
      <c r="A12425" s="33" t="str">
        <f t="shared" si="776"/>
        <v>GRA - CGS</v>
      </c>
      <c r="B12425" s="33" t="str">
        <f t="shared" si="777"/>
        <v>GRA</v>
      </c>
      <c r="C12425" s="33" t="str">
        <f t="shared" si="778"/>
        <v>51029-0000</v>
      </c>
      <c r="D12425" t="s">
        <v>6178</v>
      </c>
      <c r="E12425" t="s">
        <v>13302</v>
      </c>
      <c r="F12425" s="69" t="s">
        <v>230</v>
      </c>
      <c r="G12425" t="s">
        <v>3740</v>
      </c>
      <c r="H12425" t="s">
        <v>13300</v>
      </c>
      <c r="I12425" t="s">
        <v>13302</v>
      </c>
      <c r="J12425" s="70">
        <v>2583.14</v>
      </c>
      <c r="K12425" s="71">
        <v>2583.14</v>
      </c>
      <c r="L12425" s="33" t="e">
        <f>HLOOKUP(B12425,#REF!,1,0)</f>
        <v>#REF!</v>
      </c>
      <c r="M12425" s="33" t="str">
        <f t="shared" si="779"/>
        <v>P&amp;L</v>
      </c>
    </row>
    <row r="12426" spans="1:13">
      <c r="A12426" s="33" t="str">
        <f t="shared" si="776"/>
        <v>GRA - CGS</v>
      </c>
      <c r="B12426" s="33" t="str">
        <f t="shared" si="777"/>
        <v>GRA</v>
      </c>
      <c r="C12426" s="33" t="str">
        <f t="shared" si="778"/>
        <v>51030-0000</v>
      </c>
      <c r="D12426" t="s">
        <v>6179</v>
      </c>
      <c r="E12426" t="s">
        <v>5792</v>
      </c>
      <c r="F12426" s="69" t="s">
        <v>230</v>
      </c>
      <c r="G12426" t="s">
        <v>4426</v>
      </c>
      <c r="H12426" t="s">
        <v>1875</v>
      </c>
      <c r="I12426" t="s">
        <v>5793</v>
      </c>
      <c r="J12426" s="70">
        <v>2641.22</v>
      </c>
      <c r="K12426" s="71">
        <v>2641.22</v>
      </c>
      <c r="L12426" s="33" t="e">
        <f>HLOOKUP(B12426,#REF!,1,0)</f>
        <v>#REF!</v>
      </c>
      <c r="M12426" s="33" t="str">
        <f t="shared" si="779"/>
        <v>P&amp;L</v>
      </c>
    </row>
    <row r="12427" spans="1:13">
      <c r="A12427" s="33" t="str">
        <f t="shared" si="776"/>
        <v>GRA - CGS</v>
      </c>
      <c r="B12427" s="33" t="str">
        <f t="shared" si="777"/>
        <v>GRA</v>
      </c>
      <c r="C12427" s="33" t="str">
        <f t="shared" si="778"/>
        <v>52001-0000</v>
      </c>
      <c r="D12427" t="s">
        <v>6180</v>
      </c>
      <c r="E12427" t="s">
        <v>13303</v>
      </c>
      <c r="F12427" s="69" t="s">
        <v>230</v>
      </c>
      <c r="G12427" t="s">
        <v>3769</v>
      </c>
      <c r="H12427" t="s">
        <v>1875</v>
      </c>
      <c r="I12427" t="s">
        <v>3770</v>
      </c>
      <c r="J12427" s="70">
        <v>21475.66</v>
      </c>
      <c r="K12427" s="71">
        <v>21475.66</v>
      </c>
      <c r="L12427" s="33" t="e">
        <f>HLOOKUP(B12427,#REF!,1,0)</f>
        <v>#REF!</v>
      </c>
      <c r="M12427" s="33" t="str">
        <f t="shared" si="779"/>
        <v>P&amp;L</v>
      </c>
    </row>
    <row r="12428" spans="1:13">
      <c r="A12428" s="33" t="str">
        <f t="shared" si="776"/>
        <v>GRA - CGS</v>
      </c>
      <c r="B12428" s="33" t="str">
        <f t="shared" si="777"/>
        <v>GRA</v>
      </c>
      <c r="C12428" s="33" t="str">
        <f t="shared" si="778"/>
        <v>52002-0000</v>
      </c>
      <c r="D12428" t="s">
        <v>13573</v>
      </c>
      <c r="E12428" t="s">
        <v>13304</v>
      </c>
      <c r="F12428" s="69" t="s">
        <v>230</v>
      </c>
      <c r="G12428" t="s">
        <v>3769</v>
      </c>
      <c r="H12428" t="s">
        <v>1875</v>
      </c>
      <c r="I12428" t="s">
        <v>3998</v>
      </c>
      <c r="J12428" s="70">
        <v>0</v>
      </c>
      <c r="K12428" s="71">
        <v>-3353.7</v>
      </c>
      <c r="L12428" s="33" t="e">
        <f>HLOOKUP(B12428,#REF!,1,0)</f>
        <v>#REF!</v>
      </c>
      <c r="M12428" s="33" t="str">
        <f t="shared" si="779"/>
        <v>P&amp;L</v>
      </c>
    </row>
    <row r="12429" spans="1:13">
      <c r="A12429" s="33" t="str">
        <f t="shared" si="776"/>
        <v>GRA - CGS</v>
      </c>
      <c r="B12429" s="33" t="str">
        <f t="shared" si="777"/>
        <v>GRA</v>
      </c>
      <c r="C12429" s="33" t="str">
        <f t="shared" si="778"/>
        <v>52003-0000</v>
      </c>
      <c r="D12429" t="s">
        <v>6181</v>
      </c>
      <c r="E12429" t="s">
        <v>13305</v>
      </c>
      <c r="F12429" s="69" t="s">
        <v>230</v>
      </c>
      <c r="G12429" t="s">
        <v>3769</v>
      </c>
      <c r="H12429" t="s">
        <v>1875</v>
      </c>
      <c r="I12429" t="s">
        <v>3773</v>
      </c>
      <c r="J12429" s="70">
        <v>5268.2</v>
      </c>
      <c r="K12429" s="71">
        <v>5268.2</v>
      </c>
      <c r="L12429" s="33" t="e">
        <f>HLOOKUP(B12429,#REF!,1,0)</f>
        <v>#REF!</v>
      </c>
      <c r="M12429" s="33" t="str">
        <f t="shared" si="779"/>
        <v>P&amp;L</v>
      </c>
    </row>
    <row r="12430" spans="1:13">
      <c r="A12430" s="33" t="str">
        <f t="shared" si="776"/>
        <v>GRA - CGS</v>
      </c>
      <c r="B12430" s="33" t="str">
        <f t="shared" si="777"/>
        <v>GRA</v>
      </c>
      <c r="C12430" s="33" t="str">
        <f t="shared" si="778"/>
        <v>52007-0000</v>
      </c>
      <c r="D12430" t="s">
        <v>13574</v>
      </c>
      <c r="E12430" t="s">
        <v>13388</v>
      </c>
      <c r="F12430" s="69" t="s">
        <v>230</v>
      </c>
      <c r="G12430" t="s">
        <v>3769</v>
      </c>
      <c r="H12430" t="s">
        <v>1875</v>
      </c>
      <c r="I12430" t="s">
        <v>8028</v>
      </c>
      <c r="J12430" s="70">
        <v>-1195</v>
      </c>
      <c r="K12430" s="71">
        <v>-1195</v>
      </c>
      <c r="L12430" s="33" t="e">
        <f>HLOOKUP(B12430,#REF!,1,0)</f>
        <v>#REF!</v>
      </c>
      <c r="M12430" s="33" t="str">
        <f t="shared" si="779"/>
        <v>P&amp;L</v>
      </c>
    </row>
    <row r="12431" spans="1:13">
      <c r="A12431" s="33" t="str">
        <f t="shared" ref="A12431:A12494" si="780">B12431&amp;" - "&amp;TRIM(H12431)</f>
        <v>GRA - CGS</v>
      </c>
      <c r="B12431" s="33" t="str">
        <f t="shared" ref="B12431:B12494" si="781">LEFT(D12431,3)</f>
        <v>GRA</v>
      </c>
      <c r="C12431" s="33" t="str">
        <f t="shared" ref="C12431:C12494" si="782">RIGHT(D12431,10)</f>
        <v>53001-0000</v>
      </c>
      <c r="D12431" t="s">
        <v>6184</v>
      </c>
      <c r="E12431" t="s">
        <v>13306</v>
      </c>
      <c r="F12431" s="69" t="s">
        <v>230</v>
      </c>
      <c r="G12431" t="s">
        <v>3160</v>
      </c>
      <c r="H12431" t="s">
        <v>1875</v>
      </c>
      <c r="I12431" t="s">
        <v>3782</v>
      </c>
      <c r="J12431" s="70">
        <v>4070.04</v>
      </c>
      <c r="K12431" s="71">
        <v>4391.01</v>
      </c>
      <c r="L12431" s="33" t="e">
        <f>HLOOKUP(B12431,#REF!,1,0)</f>
        <v>#REF!</v>
      </c>
      <c r="M12431" s="33" t="str">
        <f t="shared" ref="M12431:M12494" si="783">IF(VALUE(LEFT(C12431,5))&gt;40000,"P&amp;L","BS")</f>
        <v>P&amp;L</v>
      </c>
    </row>
    <row r="12432" spans="1:13">
      <c r="A12432" s="33" t="str">
        <f t="shared" si="780"/>
        <v>GRA - CGS</v>
      </c>
      <c r="B12432" s="33" t="str">
        <f t="shared" si="781"/>
        <v>GRA</v>
      </c>
      <c r="C12432" s="33" t="str">
        <f t="shared" si="782"/>
        <v>53002-0000</v>
      </c>
      <c r="D12432" t="s">
        <v>6185</v>
      </c>
      <c r="E12432" t="s">
        <v>13307</v>
      </c>
      <c r="F12432" s="69" t="s">
        <v>230</v>
      </c>
      <c r="G12432" t="s">
        <v>3160</v>
      </c>
      <c r="H12432" t="s">
        <v>1875</v>
      </c>
      <c r="I12432" t="s">
        <v>3785</v>
      </c>
      <c r="J12432" s="70">
        <v>34097.58</v>
      </c>
      <c r="K12432" s="71">
        <v>34097.58</v>
      </c>
      <c r="L12432" s="33" t="e">
        <f>HLOOKUP(B12432,#REF!,1,0)</f>
        <v>#REF!</v>
      </c>
      <c r="M12432" s="33" t="str">
        <f t="shared" si="783"/>
        <v>P&amp;L</v>
      </c>
    </row>
    <row r="12433" spans="1:13">
      <c r="A12433" s="33" t="str">
        <f t="shared" si="780"/>
        <v>GRA - Operating Expense</v>
      </c>
      <c r="B12433" s="33" t="str">
        <f t="shared" si="781"/>
        <v>GRA</v>
      </c>
      <c r="C12433" s="33" t="str">
        <f t="shared" si="782"/>
        <v>53003-0000</v>
      </c>
      <c r="D12433" t="s">
        <v>6186</v>
      </c>
      <c r="E12433" t="s">
        <v>13308</v>
      </c>
      <c r="F12433" s="69" t="s">
        <v>230</v>
      </c>
      <c r="G12433" t="s">
        <v>4426</v>
      </c>
      <c r="H12433" t="s">
        <v>3022</v>
      </c>
      <c r="I12433" t="s">
        <v>6877</v>
      </c>
      <c r="J12433" s="70">
        <v>11293.39</v>
      </c>
      <c r="K12433" s="71">
        <v>11293.39</v>
      </c>
      <c r="L12433" s="33" t="e">
        <f>HLOOKUP(B12433,#REF!,1,0)</f>
        <v>#REF!</v>
      </c>
      <c r="M12433" s="33" t="str">
        <f t="shared" si="783"/>
        <v>P&amp;L</v>
      </c>
    </row>
    <row r="12434" spans="1:13">
      <c r="A12434" s="33" t="str">
        <f t="shared" si="780"/>
        <v>GRA - Operating Expense</v>
      </c>
      <c r="B12434" s="33" t="str">
        <f t="shared" si="781"/>
        <v>GRA</v>
      </c>
      <c r="C12434" s="33" t="str">
        <f t="shared" si="782"/>
        <v>53004-0000</v>
      </c>
      <c r="D12434" t="s">
        <v>6187</v>
      </c>
      <c r="E12434" t="s">
        <v>13309</v>
      </c>
      <c r="F12434" s="69" t="s">
        <v>230</v>
      </c>
      <c r="G12434" t="s">
        <v>4426</v>
      </c>
      <c r="H12434" t="s">
        <v>3022</v>
      </c>
      <c r="I12434" t="s">
        <v>6877</v>
      </c>
      <c r="J12434" s="70">
        <v>7160.88</v>
      </c>
      <c r="K12434" s="71">
        <v>7160.88</v>
      </c>
      <c r="L12434" s="33" t="e">
        <f>HLOOKUP(B12434,#REF!,1,0)</f>
        <v>#REF!</v>
      </c>
      <c r="M12434" s="33" t="str">
        <f t="shared" si="783"/>
        <v>P&amp;L</v>
      </c>
    </row>
    <row r="12435" spans="1:13">
      <c r="A12435" s="33" t="str">
        <f t="shared" si="780"/>
        <v>GRA - CGS</v>
      </c>
      <c r="B12435" s="33" t="str">
        <f t="shared" si="781"/>
        <v>GRA</v>
      </c>
      <c r="C12435" s="33" t="str">
        <f t="shared" si="782"/>
        <v>53005-0000</v>
      </c>
      <c r="D12435" t="s">
        <v>6188</v>
      </c>
      <c r="E12435" t="s">
        <v>13389</v>
      </c>
      <c r="F12435" s="69" t="s">
        <v>230</v>
      </c>
      <c r="G12435" t="s">
        <v>3160</v>
      </c>
      <c r="H12435" t="s">
        <v>1875</v>
      </c>
      <c r="I12435" t="s">
        <v>3794</v>
      </c>
      <c r="J12435" s="70">
        <v>12606.36</v>
      </c>
      <c r="K12435" s="71">
        <v>12606.36</v>
      </c>
      <c r="L12435" s="33" t="e">
        <f>HLOOKUP(B12435,#REF!,1,0)</f>
        <v>#REF!</v>
      </c>
      <c r="M12435" s="33" t="str">
        <f t="shared" si="783"/>
        <v>P&amp;L</v>
      </c>
    </row>
    <row r="12436" spans="1:13">
      <c r="A12436" s="33" t="str">
        <f t="shared" si="780"/>
        <v>GRA - CGS</v>
      </c>
      <c r="B12436" s="33" t="str">
        <f t="shared" si="781"/>
        <v>GRA</v>
      </c>
      <c r="C12436" s="33" t="str">
        <f t="shared" si="782"/>
        <v>53006-0000</v>
      </c>
      <c r="D12436" t="s">
        <v>6189</v>
      </c>
      <c r="E12436" t="s">
        <v>13310</v>
      </c>
      <c r="F12436" s="69" t="s">
        <v>230</v>
      </c>
      <c r="G12436" t="s">
        <v>3160</v>
      </c>
      <c r="H12436" t="s">
        <v>1875</v>
      </c>
      <c r="I12436" t="s">
        <v>3797</v>
      </c>
      <c r="J12436" s="70">
        <v>30677.66</v>
      </c>
      <c r="K12436" s="71">
        <v>30677.66</v>
      </c>
      <c r="L12436" s="33" t="e">
        <f>HLOOKUP(B12436,#REF!,1,0)</f>
        <v>#REF!</v>
      </c>
      <c r="M12436" s="33" t="str">
        <f t="shared" si="783"/>
        <v>P&amp;L</v>
      </c>
    </row>
    <row r="12437" spans="1:13">
      <c r="A12437" s="33" t="str">
        <f t="shared" si="780"/>
        <v>GRA - CGS</v>
      </c>
      <c r="B12437" s="33" t="str">
        <f t="shared" si="781"/>
        <v>GRA</v>
      </c>
      <c r="C12437" s="33" t="str">
        <f t="shared" si="782"/>
        <v>53011-0000</v>
      </c>
      <c r="D12437" t="s">
        <v>13575</v>
      </c>
      <c r="E12437" t="s">
        <v>13312</v>
      </c>
      <c r="F12437" s="69" t="s">
        <v>230</v>
      </c>
      <c r="G12437" t="s">
        <v>3160</v>
      </c>
      <c r="H12437" t="s">
        <v>13300</v>
      </c>
      <c r="I12437" t="s">
        <v>13313</v>
      </c>
      <c r="J12437" s="70">
        <v>4544.76</v>
      </c>
      <c r="K12437" s="71">
        <v>5107.22</v>
      </c>
      <c r="L12437" s="33" t="e">
        <f>HLOOKUP(B12437,#REF!,1,0)</f>
        <v>#REF!</v>
      </c>
      <c r="M12437" s="33" t="str">
        <f t="shared" si="783"/>
        <v>P&amp;L</v>
      </c>
    </row>
    <row r="12438" spans="1:13">
      <c r="A12438" s="33" t="str">
        <f t="shared" si="780"/>
        <v>GRA - CGS</v>
      </c>
      <c r="B12438" s="33" t="str">
        <f t="shared" si="781"/>
        <v>GRA</v>
      </c>
      <c r="C12438" s="33" t="str">
        <f t="shared" si="782"/>
        <v>54001-0000</v>
      </c>
      <c r="D12438" t="s">
        <v>6190</v>
      </c>
      <c r="E12438" t="s">
        <v>4008</v>
      </c>
      <c r="F12438" s="69" t="s">
        <v>230</v>
      </c>
      <c r="G12438" t="s">
        <v>3800</v>
      </c>
      <c r="H12438" t="s">
        <v>1875</v>
      </c>
      <c r="I12438" t="s">
        <v>4009</v>
      </c>
      <c r="J12438" s="70">
        <v>-1258.97</v>
      </c>
      <c r="K12438" s="71">
        <v>-2121.89</v>
      </c>
      <c r="L12438" s="33" t="e">
        <f>HLOOKUP(B12438,#REF!,1,0)</f>
        <v>#REF!</v>
      </c>
      <c r="M12438" s="33" t="str">
        <f t="shared" si="783"/>
        <v>P&amp;L</v>
      </c>
    </row>
    <row r="12439" spans="1:13">
      <c r="A12439" s="33" t="str">
        <f t="shared" si="780"/>
        <v>GRA - CGS</v>
      </c>
      <c r="B12439" s="33" t="str">
        <f t="shared" si="781"/>
        <v>GRA</v>
      </c>
      <c r="C12439" s="33" t="str">
        <f t="shared" si="782"/>
        <v>54002-0000</v>
      </c>
      <c r="D12439" t="s">
        <v>6191</v>
      </c>
      <c r="E12439" t="s">
        <v>3799</v>
      </c>
      <c r="F12439" s="69" t="s">
        <v>230</v>
      </c>
      <c r="G12439" t="s">
        <v>3800</v>
      </c>
      <c r="H12439" t="s">
        <v>1875</v>
      </c>
      <c r="I12439" t="s">
        <v>3801</v>
      </c>
      <c r="J12439" s="70">
        <v>16723.04</v>
      </c>
      <c r="K12439" s="71">
        <v>16723.04</v>
      </c>
      <c r="L12439" s="33" t="e">
        <f>HLOOKUP(B12439,#REF!,1,0)</f>
        <v>#REF!</v>
      </c>
      <c r="M12439" s="33" t="str">
        <f t="shared" si="783"/>
        <v>P&amp;L</v>
      </c>
    </row>
    <row r="12440" spans="1:13">
      <c r="A12440" s="33" t="str">
        <f t="shared" si="780"/>
        <v>GRA - CGS</v>
      </c>
      <c r="B12440" s="33" t="str">
        <f t="shared" si="781"/>
        <v>GRA</v>
      </c>
      <c r="C12440" s="33" t="str">
        <f t="shared" si="782"/>
        <v>54003-0000</v>
      </c>
      <c r="D12440" t="s">
        <v>6192</v>
      </c>
      <c r="E12440" t="s">
        <v>13576</v>
      </c>
      <c r="F12440" s="69" t="s">
        <v>230</v>
      </c>
      <c r="G12440" t="s">
        <v>3800</v>
      </c>
      <c r="H12440" t="s">
        <v>1875</v>
      </c>
      <c r="I12440" t="s">
        <v>3804</v>
      </c>
      <c r="J12440" s="70">
        <v>9230.76</v>
      </c>
      <c r="K12440" s="71">
        <v>21538.44</v>
      </c>
      <c r="L12440" s="33" t="e">
        <f>HLOOKUP(B12440,#REF!,1,0)</f>
        <v>#REF!</v>
      </c>
      <c r="M12440" s="33" t="str">
        <f t="shared" si="783"/>
        <v>P&amp;L</v>
      </c>
    </row>
    <row r="12441" spans="1:13">
      <c r="A12441" s="33" t="str">
        <f t="shared" si="780"/>
        <v>GRA - CGS</v>
      </c>
      <c r="B12441" s="33" t="str">
        <f t="shared" si="781"/>
        <v>GRA</v>
      </c>
      <c r="C12441" s="33" t="str">
        <f t="shared" si="782"/>
        <v>54004-0000</v>
      </c>
      <c r="D12441" t="s">
        <v>6193</v>
      </c>
      <c r="E12441" t="s">
        <v>13314</v>
      </c>
      <c r="F12441" s="69" t="s">
        <v>230</v>
      </c>
      <c r="G12441" t="s">
        <v>3800</v>
      </c>
      <c r="H12441" t="s">
        <v>1875</v>
      </c>
      <c r="I12441" t="s">
        <v>3807</v>
      </c>
      <c r="J12441" s="70">
        <v>89569.65</v>
      </c>
      <c r="K12441" s="71">
        <v>103661.97</v>
      </c>
      <c r="L12441" s="33" t="e">
        <f>HLOOKUP(B12441,#REF!,1,0)</f>
        <v>#REF!</v>
      </c>
      <c r="M12441" s="33" t="str">
        <f t="shared" si="783"/>
        <v>P&amp;L</v>
      </c>
    </row>
    <row r="12442" spans="1:13">
      <c r="A12442" s="33" t="str">
        <f t="shared" si="780"/>
        <v>GRA - CGS</v>
      </c>
      <c r="B12442" s="33" t="str">
        <f t="shared" si="781"/>
        <v>GRA</v>
      </c>
      <c r="C12442" s="33" t="str">
        <f t="shared" si="782"/>
        <v>54005-0000</v>
      </c>
      <c r="D12442" t="s">
        <v>6194</v>
      </c>
      <c r="E12442" t="s">
        <v>3809</v>
      </c>
      <c r="F12442" s="69" t="s">
        <v>230</v>
      </c>
      <c r="G12442" t="s">
        <v>3800</v>
      </c>
      <c r="H12442" t="s">
        <v>1875</v>
      </c>
      <c r="I12442" t="s">
        <v>3810</v>
      </c>
      <c r="J12442" s="70">
        <v>1906.35</v>
      </c>
      <c r="K12442" s="71">
        <v>2073.61</v>
      </c>
      <c r="L12442" s="33" t="e">
        <f>HLOOKUP(B12442,#REF!,1,0)</f>
        <v>#REF!</v>
      </c>
      <c r="M12442" s="33" t="str">
        <f t="shared" si="783"/>
        <v>P&amp;L</v>
      </c>
    </row>
    <row r="12443" spans="1:13">
      <c r="A12443" s="33" t="str">
        <f t="shared" si="780"/>
        <v>GRA - CGS</v>
      </c>
      <c r="B12443" s="33" t="str">
        <f t="shared" si="781"/>
        <v>GRA</v>
      </c>
      <c r="C12443" s="33" t="str">
        <f t="shared" si="782"/>
        <v>54006-0000</v>
      </c>
      <c r="D12443" t="s">
        <v>6195</v>
      </c>
      <c r="E12443" t="s">
        <v>3812</v>
      </c>
      <c r="F12443" s="69" t="s">
        <v>230</v>
      </c>
      <c r="G12443" t="s">
        <v>3800</v>
      </c>
      <c r="H12443" t="s">
        <v>1875</v>
      </c>
      <c r="I12443" t="s">
        <v>3003</v>
      </c>
      <c r="J12443" s="70">
        <v>21457.16</v>
      </c>
      <c r="K12443" s="71">
        <v>24980.2</v>
      </c>
      <c r="L12443" s="33" t="e">
        <f>HLOOKUP(B12443,#REF!,1,0)</f>
        <v>#REF!</v>
      </c>
      <c r="M12443" s="33" t="str">
        <f t="shared" si="783"/>
        <v>P&amp;L</v>
      </c>
    </row>
    <row r="12444" spans="1:13">
      <c r="A12444" s="33" t="str">
        <f t="shared" si="780"/>
        <v>GRA - CGS</v>
      </c>
      <c r="B12444" s="33" t="str">
        <f t="shared" si="781"/>
        <v>GRA</v>
      </c>
      <c r="C12444" s="33" t="str">
        <f t="shared" si="782"/>
        <v>54007-0000</v>
      </c>
      <c r="D12444" t="s">
        <v>6196</v>
      </c>
      <c r="E12444" t="s">
        <v>13315</v>
      </c>
      <c r="F12444" s="69" t="s">
        <v>230</v>
      </c>
      <c r="G12444" t="s">
        <v>3800</v>
      </c>
      <c r="H12444" t="s">
        <v>1875</v>
      </c>
      <c r="I12444" t="s">
        <v>3815</v>
      </c>
      <c r="J12444" s="70">
        <v>69697.67</v>
      </c>
      <c r="K12444" s="71">
        <v>87007.67</v>
      </c>
      <c r="L12444" s="33" t="e">
        <f>HLOOKUP(B12444,#REF!,1,0)</f>
        <v>#REF!</v>
      </c>
      <c r="M12444" s="33" t="str">
        <f t="shared" si="783"/>
        <v>P&amp;L</v>
      </c>
    </row>
    <row r="12445" spans="1:13">
      <c r="A12445" s="33" t="str">
        <f t="shared" si="780"/>
        <v>GRA - CGS</v>
      </c>
      <c r="B12445" s="33" t="str">
        <f t="shared" si="781"/>
        <v>GRA</v>
      </c>
      <c r="C12445" s="33" t="str">
        <f t="shared" si="782"/>
        <v>61002-0000</v>
      </c>
      <c r="D12445" t="s">
        <v>13577</v>
      </c>
      <c r="E12445" t="s">
        <v>3837</v>
      </c>
      <c r="F12445" s="69" t="s">
        <v>230</v>
      </c>
      <c r="G12445" t="s">
        <v>3838</v>
      </c>
      <c r="H12445" t="s">
        <v>1875</v>
      </c>
      <c r="I12445" t="s">
        <v>3839</v>
      </c>
      <c r="J12445" s="70">
        <v>1987.44</v>
      </c>
      <c r="K12445" s="71">
        <v>2151.99</v>
      </c>
      <c r="L12445" s="33" t="e">
        <f>HLOOKUP(B12445,#REF!,1,0)</f>
        <v>#REF!</v>
      </c>
      <c r="M12445" s="33" t="str">
        <f t="shared" si="783"/>
        <v>P&amp;L</v>
      </c>
    </row>
    <row r="12446" spans="1:13">
      <c r="A12446" s="33" t="str">
        <f t="shared" si="780"/>
        <v>GRA - CGS</v>
      </c>
      <c r="B12446" s="33" t="str">
        <f t="shared" si="781"/>
        <v>GRA</v>
      </c>
      <c r="C12446" s="33" t="str">
        <f t="shared" si="782"/>
        <v>61005-0000</v>
      </c>
      <c r="D12446" t="s">
        <v>13578</v>
      </c>
      <c r="E12446" t="s">
        <v>3841</v>
      </c>
      <c r="F12446" s="69" t="s">
        <v>230</v>
      </c>
      <c r="G12446" t="s">
        <v>3838</v>
      </c>
      <c r="H12446" t="s">
        <v>1875</v>
      </c>
      <c r="I12446" t="s">
        <v>3842</v>
      </c>
      <c r="J12446" s="70">
        <v>235.14</v>
      </c>
      <c r="K12446" s="71">
        <v>235.14</v>
      </c>
      <c r="L12446" s="33" t="e">
        <f>HLOOKUP(B12446,#REF!,1,0)</f>
        <v>#REF!</v>
      </c>
      <c r="M12446" s="33" t="str">
        <f t="shared" si="783"/>
        <v>P&amp;L</v>
      </c>
    </row>
    <row r="12447" spans="1:13">
      <c r="A12447" s="33" t="str">
        <f t="shared" si="780"/>
        <v>GRA - CGS</v>
      </c>
      <c r="B12447" s="33" t="str">
        <f t="shared" si="781"/>
        <v>GRA</v>
      </c>
      <c r="C12447" s="33" t="str">
        <f t="shared" si="782"/>
        <v>61007-0000</v>
      </c>
      <c r="D12447" t="s">
        <v>13579</v>
      </c>
      <c r="E12447" t="s">
        <v>13319</v>
      </c>
      <c r="F12447" s="69" t="s">
        <v>230</v>
      </c>
      <c r="G12447" t="s">
        <v>3838</v>
      </c>
      <c r="H12447" t="s">
        <v>1875</v>
      </c>
      <c r="I12447" t="s">
        <v>3847</v>
      </c>
      <c r="J12447" s="70">
        <v>362009.75</v>
      </c>
      <c r="K12447" s="71">
        <v>462009.75</v>
      </c>
      <c r="L12447" s="33" t="e">
        <f>HLOOKUP(B12447,#REF!,1,0)</f>
        <v>#REF!</v>
      </c>
      <c r="M12447" s="33" t="str">
        <f t="shared" si="783"/>
        <v>P&amp;L</v>
      </c>
    </row>
    <row r="12448" spans="1:13">
      <c r="A12448" s="33" t="str">
        <f t="shared" si="780"/>
        <v>GRA - CGS</v>
      </c>
      <c r="B12448" s="33" t="str">
        <f t="shared" si="781"/>
        <v>GRA</v>
      </c>
      <c r="C12448" s="33" t="str">
        <f t="shared" si="782"/>
        <v>61008-0000</v>
      </c>
      <c r="D12448" t="s">
        <v>13580</v>
      </c>
      <c r="E12448" t="s">
        <v>13395</v>
      </c>
      <c r="F12448" s="69" t="s">
        <v>230</v>
      </c>
      <c r="G12448" t="s">
        <v>3838</v>
      </c>
      <c r="H12448" t="s">
        <v>13300</v>
      </c>
      <c r="I12448" t="s">
        <v>13396</v>
      </c>
      <c r="J12448" s="70">
        <v>3782.77</v>
      </c>
      <c r="K12448" s="71">
        <v>3782.77</v>
      </c>
      <c r="L12448" s="33" t="e">
        <f>HLOOKUP(B12448,#REF!,1,0)</f>
        <v>#REF!</v>
      </c>
      <c r="M12448" s="33" t="str">
        <f t="shared" si="783"/>
        <v>P&amp;L</v>
      </c>
    </row>
    <row r="12449" spans="1:13">
      <c r="A12449" s="33" t="str">
        <f t="shared" si="780"/>
        <v>GRA - CGS</v>
      </c>
      <c r="B12449" s="33" t="str">
        <f t="shared" si="781"/>
        <v>GRA</v>
      </c>
      <c r="C12449" s="33" t="str">
        <f t="shared" si="782"/>
        <v>61012-0000</v>
      </c>
      <c r="D12449" t="s">
        <v>13581</v>
      </c>
      <c r="E12449" t="s">
        <v>13321</v>
      </c>
      <c r="F12449" s="69" t="s">
        <v>230</v>
      </c>
      <c r="G12449" t="s">
        <v>3838</v>
      </c>
      <c r="H12449" t="s">
        <v>1875</v>
      </c>
      <c r="I12449" t="s">
        <v>3853</v>
      </c>
      <c r="J12449" s="70">
        <v>93680.27</v>
      </c>
      <c r="K12449" s="71">
        <v>93680.27</v>
      </c>
      <c r="L12449" s="33" t="e">
        <f>HLOOKUP(B12449,#REF!,1,0)</f>
        <v>#REF!</v>
      </c>
      <c r="M12449" s="33" t="str">
        <f t="shared" si="783"/>
        <v>P&amp;L</v>
      </c>
    </row>
    <row r="12450" spans="1:13">
      <c r="A12450" s="33" t="str">
        <f t="shared" si="780"/>
        <v>GRA - CGS</v>
      </c>
      <c r="B12450" s="33" t="str">
        <f t="shared" si="781"/>
        <v>GRA</v>
      </c>
      <c r="C12450" s="33" t="str">
        <f t="shared" si="782"/>
        <v>61013-0000</v>
      </c>
      <c r="D12450" t="s">
        <v>13582</v>
      </c>
      <c r="E12450" t="s">
        <v>6204</v>
      </c>
      <c r="F12450" s="69" t="s">
        <v>230</v>
      </c>
      <c r="G12450" t="s">
        <v>6205</v>
      </c>
      <c r="H12450" t="s">
        <v>1875</v>
      </c>
      <c r="I12450" t="s">
        <v>3354</v>
      </c>
      <c r="J12450" s="70">
        <v>60000</v>
      </c>
      <c r="K12450" s="71">
        <v>60000</v>
      </c>
      <c r="L12450" s="33" t="e">
        <f>HLOOKUP(B12450,#REF!,1,0)</f>
        <v>#REF!</v>
      </c>
      <c r="M12450" s="33" t="str">
        <f t="shared" si="783"/>
        <v>P&amp;L</v>
      </c>
    </row>
    <row r="12451" spans="1:13">
      <c r="A12451" s="33" t="str">
        <f t="shared" si="780"/>
        <v>GRA - Revenue</v>
      </c>
      <c r="B12451" s="33" t="str">
        <f t="shared" si="781"/>
        <v>GRA</v>
      </c>
      <c r="C12451" s="33" t="str">
        <f t="shared" si="782"/>
        <v>61014-0000</v>
      </c>
      <c r="D12451" t="s">
        <v>13583</v>
      </c>
      <c r="E12451" t="s">
        <v>13323</v>
      </c>
      <c r="F12451" s="69" t="s">
        <v>230</v>
      </c>
      <c r="G12451" t="s">
        <v>3717</v>
      </c>
      <c r="H12451" t="s">
        <v>2871</v>
      </c>
      <c r="I12451" t="s">
        <v>12435</v>
      </c>
      <c r="J12451" s="70">
        <v>143579.26</v>
      </c>
      <c r="K12451" s="71">
        <v>143579.26</v>
      </c>
      <c r="L12451" s="33" t="e">
        <f>HLOOKUP(B12451,#REF!,1,0)</f>
        <v>#REF!</v>
      </c>
      <c r="M12451" s="33" t="str">
        <f t="shared" si="783"/>
        <v>P&amp;L</v>
      </c>
    </row>
    <row r="12452" spans="1:13">
      <c r="A12452" s="33" t="str">
        <f t="shared" si="780"/>
        <v>GRA - CGS</v>
      </c>
      <c r="B12452" s="33" t="str">
        <f t="shared" si="781"/>
        <v>GRA</v>
      </c>
      <c r="C12452" s="33" t="str">
        <f t="shared" si="782"/>
        <v>61015-0000</v>
      </c>
      <c r="D12452" t="s">
        <v>13584</v>
      </c>
      <c r="E12452" t="s">
        <v>13325</v>
      </c>
      <c r="F12452" s="69" t="s">
        <v>230</v>
      </c>
      <c r="G12452" t="s">
        <v>3838</v>
      </c>
      <c r="H12452" t="s">
        <v>1875</v>
      </c>
      <c r="I12452" t="s">
        <v>3859</v>
      </c>
      <c r="J12452" s="70">
        <v>1564</v>
      </c>
      <c r="K12452" s="71">
        <v>1564</v>
      </c>
      <c r="L12452" s="33" t="e">
        <f>HLOOKUP(B12452,#REF!,1,0)</f>
        <v>#REF!</v>
      </c>
      <c r="M12452" s="33" t="str">
        <f t="shared" si="783"/>
        <v>P&amp;L</v>
      </c>
    </row>
    <row r="12453" spans="1:13">
      <c r="A12453" s="33" t="str">
        <f t="shared" si="780"/>
        <v>GRA - CGS</v>
      </c>
      <c r="B12453" s="33" t="str">
        <f t="shared" si="781"/>
        <v>GRA</v>
      </c>
      <c r="C12453" s="33" t="str">
        <f t="shared" si="782"/>
        <v>61016-0000</v>
      </c>
      <c r="D12453" t="s">
        <v>6214</v>
      </c>
      <c r="E12453" t="s">
        <v>3861</v>
      </c>
      <c r="F12453" s="69" t="s">
        <v>230</v>
      </c>
      <c r="G12453" t="s">
        <v>3838</v>
      </c>
      <c r="H12453" t="s">
        <v>1875</v>
      </c>
      <c r="I12453" t="s">
        <v>3862</v>
      </c>
      <c r="J12453" s="70">
        <v>718</v>
      </c>
      <c r="K12453" s="71">
        <v>718</v>
      </c>
      <c r="L12453" s="33" t="e">
        <f>HLOOKUP(B12453,#REF!,1,0)</f>
        <v>#REF!</v>
      </c>
      <c r="M12453" s="33" t="str">
        <f t="shared" si="783"/>
        <v>P&amp;L</v>
      </c>
    </row>
    <row r="12454" spans="1:13">
      <c r="A12454" s="33" t="str">
        <f t="shared" si="780"/>
        <v>GRA - Other Income/Expense</v>
      </c>
      <c r="B12454" s="33" t="str">
        <f t="shared" si="781"/>
        <v>GRA</v>
      </c>
      <c r="C12454" s="33" t="str">
        <f t="shared" si="782"/>
        <v>61022-0000</v>
      </c>
      <c r="D12454" t="s">
        <v>6217</v>
      </c>
      <c r="E12454" t="s">
        <v>4286</v>
      </c>
      <c r="F12454" s="69" t="s">
        <v>230</v>
      </c>
      <c r="G12454" t="s">
        <v>3838</v>
      </c>
      <c r="H12454" t="s">
        <v>3300</v>
      </c>
      <c r="I12454" t="s">
        <v>4287</v>
      </c>
      <c r="J12454" s="70">
        <v>9965.21</v>
      </c>
      <c r="K12454" s="71">
        <v>9965.21</v>
      </c>
      <c r="L12454" s="33" t="e">
        <f>HLOOKUP(B12454,#REF!,1,0)</f>
        <v>#REF!</v>
      </c>
      <c r="M12454" s="33" t="str">
        <f t="shared" si="783"/>
        <v>P&amp;L</v>
      </c>
    </row>
    <row r="12455" spans="1:13">
      <c r="A12455" s="33" t="str">
        <f t="shared" si="780"/>
        <v>GRA - CGS</v>
      </c>
      <c r="B12455" s="33" t="str">
        <f t="shared" si="781"/>
        <v>GRA</v>
      </c>
      <c r="C12455" s="33" t="str">
        <f t="shared" si="782"/>
        <v>61023-0000</v>
      </c>
      <c r="D12455" t="s">
        <v>6218</v>
      </c>
      <c r="E12455" t="s">
        <v>1873</v>
      </c>
      <c r="F12455" s="69" t="s">
        <v>230</v>
      </c>
      <c r="G12455" t="s">
        <v>1874</v>
      </c>
      <c r="H12455" t="s">
        <v>1875</v>
      </c>
      <c r="I12455" t="s">
        <v>1876</v>
      </c>
      <c r="J12455" s="70">
        <v>8792.5</v>
      </c>
      <c r="K12455" s="71">
        <v>8792.5</v>
      </c>
      <c r="L12455" s="33" t="e">
        <f>HLOOKUP(B12455,#REF!,1,0)</f>
        <v>#REF!</v>
      </c>
      <c r="M12455" s="33" t="str">
        <f t="shared" si="783"/>
        <v>P&amp;L</v>
      </c>
    </row>
    <row r="12456" spans="1:13">
      <c r="A12456" s="33" t="str">
        <f t="shared" si="780"/>
        <v>GRA - PM Expenses</v>
      </c>
      <c r="B12456" s="33" t="str">
        <f t="shared" si="781"/>
        <v>GRA</v>
      </c>
      <c r="C12456" s="33" t="str">
        <f t="shared" si="782"/>
        <v>71020-0000</v>
      </c>
      <c r="D12456" t="s">
        <v>13585</v>
      </c>
      <c r="E12456" t="s">
        <v>13328</v>
      </c>
      <c r="F12456" s="69" t="s">
        <v>230</v>
      </c>
      <c r="G12456" t="s">
        <v>3818</v>
      </c>
      <c r="H12456" t="s">
        <v>3819</v>
      </c>
      <c r="I12456" t="s">
        <v>3820</v>
      </c>
      <c r="J12456" s="70">
        <v>15484.69</v>
      </c>
      <c r="K12456" s="71">
        <v>15484.69</v>
      </c>
      <c r="L12456" s="33" t="e">
        <f>HLOOKUP(B12456,#REF!,1,0)</f>
        <v>#REF!</v>
      </c>
      <c r="M12456" s="33" t="str">
        <f t="shared" si="783"/>
        <v>P&amp;L</v>
      </c>
    </row>
    <row r="12457" spans="1:13">
      <c r="A12457" s="33" t="str">
        <f t="shared" si="780"/>
        <v>GRA - PM Expenses</v>
      </c>
      <c r="B12457" s="33" t="str">
        <f t="shared" si="781"/>
        <v>GRA</v>
      </c>
      <c r="C12457" s="33" t="str">
        <f t="shared" si="782"/>
        <v>71030-0000</v>
      </c>
      <c r="D12457" t="s">
        <v>13586</v>
      </c>
      <c r="E12457" t="s">
        <v>13330</v>
      </c>
      <c r="F12457" s="69" t="s">
        <v>230</v>
      </c>
      <c r="G12457" t="s">
        <v>3818</v>
      </c>
      <c r="H12457" t="s">
        <v>3819</v>
      </c>
      <c r="I12457" t="s">
        <v>3823</v>
      </c>
      <c r="J12457" s="70">
        <v>1012.3</v>
      </c>
      <c r="K12457" s="71">
        <v>1012.3</v>
      </c>
      <c r="L12457" s="33" t="e">
        <f>HLOOKUP(B12457,#REF!,1,0)</f>
        <v>#REF!</v>
      </c>
      <c r="M12457" s="33" t="str">
        <f t="shared" si="783"/>
        <v>P&amp;L</v>
      </c>
    </row>
    <row r="12458" spans="1:13">
      <c r="A12458" s="33" t="str">
        <f t="shared" si="780"/>
        <v>GRA - PM Expenses</v>
      </c>
      <c r="B12458" s="33" t="str">
        <f t="shared" si="781"/>
        <v>GRA</v>
      </c>
      <c r="C12458" s="33" t="str">
        <f t="shared" si="782"/>
        <v>71060-0000</v>
      </c>
      <c r="D12458" t="s">
        <v>13587</v>
      </c>
      <c r="E12458" t="s">
        <v>13336</v>
      </c>
      <c r="F12458" s="69" t="s">
        <v>230</v>
      </c>
      <c r="G12458" t="s">
        <v>3818</v>
      </c>
      <c r="H12458" t="s">
        <v>3819</v>
      </c>
      <c r="I12458" t="s">
        <v>3829</v>
      </c>
      <c r="J12458" s="70">
        <v>17455.01</v>
      </c>
      <c r="K12458" s="71">
        <v>17455.01</v>
      </c>
      <c r="L12458" s="33" t="e">
        <f>HLOOKUP(B12458,#REF!,1,0)</f>
        <v>#REF!</v>
      </c>
      <c r="M12458" s="33" t="str">
        <f t="shared" si="783"/>
        <v>P&amp;L</v>
      </c>
    </row>
    <row r="12459" spans="1:13">
      <c r="A12459" s="33" t="str">
        <f t="shared" si="780"/>
        <v>GRA - PM Expenses</v>
      </c>
      <c r="B12459" s="33" t="str">
        <f t="shared" si="781"/>
        <v>GRA</v>
      </c>
      <c r="C12459" s="33" t="str">
        <f t="shared" si="782"/>
        <v>71070-0000</v>
      </c>
      <c r="D12459" t="s">
        <v>13588</v>
      </c>
      <c r="E12459" t="s">
        <v>13338</v>
      </c>
      <c r="F12459" s="69" t="s">
        <v>230</v>
      </c>
      <c r="G12459" t="s">
        <v>3818</v>
      </c>
      <c r="H12459" t="s">
        <v>3819</v>
      </c>
      <c r="I12459" t="s">
        <v>3832</v>
      </c>
      <c r="J12459" s="70">
        <v>19285.48</v>
      </c>
      <c r="K12459" s="71">
        <v>19285.48</v>
      </c>
      <c r="L12459" s="33" t="e">
        <f>HLOOKUP(B12459,#REF!,1,0)</f>
        <v>#REF!</v>
      </c>
      <c r="M12459" s="33" t="str">
        <f t="shared" si="783"/>
        <v>P&amp;L</v>
      </c>
    </row>
    <row r="12460" spans="1:13">
      <c r="A12460" s="33" t="str">
        <f t="shared" si="780"/>
        <v>GRA - PM Expenses</v>
      </c>
      <c r="B12460" s="33" t="str">
        <f t="shared" si="781"/>
        <v>GRA</v>
      </c>
      <c r="C12460" s="33" t="str">
        <f t="shared" si="782"/>
        <v>71080-0000</v>
      </c>
      <c r="D12460" t="s">
        <v>13589</v>
      </c>
      <c r="E12460" t="s">
        <v>13340</v>
      </c>
      <c r="F12460" s="69" t="s">
        <v>230</v>
      </c>
      <c r="G12460" t="s">
        <v>3818</v>
      </c>
      <c r="H12460" t="s">
        <v>3819</v>
      </c>
      <c r="I12460" t="s">
        <v>3835</v>
      </c>
      <c r="J12460" s="70">
        <v>5448.18</v>
      </c>
      <c r="K12460" s="71">
        <v>5448.18</v>
      </c>
      <c r="L12460" s="33" t="e">
        <f>HLOOKUP(B12460,#REF!,1,0)</f>
        <v>#REF!</v>
      </c>
      <c r="M12460" s="33" t="str">
        <f t="shared" si="783"/>
        <v>P&amp;L</v>
      </c>
    </row>
    <row r="12461" spans="1:13">
      <c r="A12461" s="33" t="str">
        <f t="shared" si="780"/>
        <v>GRA - CGS</v>
      </c>
      <c r="B12461" s="33" t="str">
        <f t="shared" si="781"/>
        <v>GRA</v>
      </c>
      <c r="C12461" s="33" t="str">
        <f t="shared" si="782"/>
        <v>71100-0000</v>
      </c>
      <c r="D12461" t="s">
        <v>13590</v>
      </c>
      <c r="E12461" t="s">
        <v>13342</v>
      </c>
      <c r="F12461" s="69" t="s">
        <v>230</v>
      </c>
      <c r="G12461" t="s">
        <v>3769</v>
      </c>
      <c r="H12461" t="s">
        <v>1875</v>
      </c>
      <c r="I12461" t="s">
        <v>3776</v>
      </c>
      <c r="J12461" s="70">
        <v>1817.15</v>
      </c>
      <c r="K12461" s="71">
        <v>1817.15</v>
      </c>
      <c r="L12461" s="33" t="e">
        <f>HLOOKUP(B12461,#REF!,1,0)</f>
        <v>#REF!</v>
      </c>
      <c r="M12461" s="33" t="str">
        <f t="shared" si="783"/>
        <v>P&amp;L</v>
      </c>
    </row>
    <row r="12462" spans="1:13">
      <c r="A12462" s="33" t="str">
        <f t="shared" si="780"/>
        <v>GRA - CGS</v>
      </c>
      <c r="B12462" s="33" t="str">
        <f t="shared" si="781"/>
        <v>GRA</v>
      </c>
      <c r="C12462" s="33" t="str">
        <f t="shared" si="782"/>
        <v>71110-0000</v>
      </c>
      <c r="D12462" t="s">
        <v>13591</v>
      </c>
      <c r="E12462" t="s">
        <v>13344</v>
      </c>
      <c r="F12462" s="69" t="s">
        <v>230</v>
      </c>
      <c r="G12462" t="s">
        <v>3769</v>
      </c>
      <c r="H12462" t="s">
        <v>1875</v>
      </c>
      <c r="I12462" t="s">
        <v>3779</v>
      </c>
      <c r="J12462" s="70">
        <v>5366.3</v>
      </c>
      <c r="K12462" s="71">
        <v>5366.3</v>
      </c>
      <c r="L12462" s="33" t="e">
        <f>HLOOKUP(B12462,#REF!,1,0)</f>
        <v>#REF!</v>
      </c>
      <c r="M12462" s="33" t="str">
        <f t="shared" si="783"/>
        <v>P&amp;L</v>
      </c>
    </row>
    <row r="12463" spans="1:13">
      <c r="A12463" s="33" t="str">
        <f t="shared" si="780"/>
        <v>GRA - Interest Expense</v>
      </c>
      <c r="B12463" s="33" t="str">
        <f t="shared" si="781"/>
        <v>GRA</v>
      </c>
      <c r="C12463" s="33" t="str">
        <f t="shared" si="782"/>
        <v>80006-0000</v>
      </c>
      <c r="D12463" t="s">
        <v>13592</v>
      </c>
      <c r="E12463" t="s">
        <v>3325</v>
      </c>
      <c r="F12463" s="69" t="s">
        <v>230</v>
      </c>
      <c r="G12463" t="s">
        <v>3326</v>
      </c>
      <c r="H12463" t="s">
        <v>3327</v>
      </c>
      <c r="I12463" t="s">
        <v>3328</v>
      </c>
      <c r="J12463" s="70">
        <v>956699.13</v>
      </c>
      <c r="K12463" s="71">
        <v>1061812.17</v>
      </c>
      <c r="L12463" s="33" t="e">
        <f>HLOOKUP(B12463,#REF!,1,0)</f>
        <v>#REF!</v>
      </c>
      <c r="M12463" s="33" t="str">
        <f t="shared" si="783"/>
        <v>P&amp;L</v>
      </c>
    </row>
    <row r="12464" spans="1:13">
      <c r="A12464" s="33" t="str">
        <f t="shared" si="780"/>
        <v>GRA - Income Tax</v>
      </c>
      <c r="B12464" s="33" t="str">
        <f t="shared" si="781"/>
        <v>GRA</v>
      </c>
      <c r="C12464" s="33" t="str">
        <f t="shared" si="782"/>
        <v>81019-0000</v>
      </c>
      <c r="D12464" t="s">
        <v>13593</v>
      </c>
      <c r="E12464" t="s">
        <v>13347</v>
      </c>
      <c r="F12464" s="69" t="s">
        <v>230</v>
      </c>
      <c r="G12464" t="s">
        <v>3844</v>
      </c>
      <c r="H12464" t="s">
        <v>3378</v>
      </c>
      <c r="I12464" t="s">
        <v>4042</v>
      </c>
      <c r="J12464" s="70">
        <v>9729.29</v>
      </c>
      <c r="K12464" s="71">
        <v>9729.29</v>
      </c>
      <c r="L12464" s="33" t="e">
        <f>HLOOKUP(B12464,#REF!,1,0)</f>
        <v>#REF!</v>
      </c>
      <c r="M12464" s="33" t="str">
        <f t="shared" si="783"/>
        <v>P&amp;L</v>
      </c>
    </row>
    <row r="12465" spans="1:13">
      <c r="A12465" s="33" t="str">
        <f t="shared" si="780"/>
        <v>GRA - Other Expenses</v>
      </c>
      <c r="B12465" s="33" t="str">
        <f t="shared" si="781"/>
        <v>GRA</v>
      </c>
      <c r="C12465" s="33" t="str">
        <f t="shared" si="782"/>
        <v>81228-0000</v>
      </c>
      <c r="D12465" t="s">
        <v>13594</v>
      </c>
      <c r="E12465" t="s">
        <v>3864</v>
      </c>
      <c r="F12465" s="69" t="s">
        <v>230</v>
      </c>
      <c r="G12465" t="s">
        <v>3838</v>
      </c>
      <c r="H12465" t="s">
        <v>3865</v>
      </c>
      <c r="I12465" t="s">
        <v>3866</v>
      </c>
      <c r="J12465" s="70">
        <v>97016.95</v>
      </c>
      <c r="K12465" s="71">
        <v>96133.52</v>
      </c>
      <c r="L12465" s="33" t="e">
        <f>HLOOKUP(B12465,#REF!,1,0)</f>
        <v>#REF!</v>
      </c>
      <c r="M12465" s="33" t="str">
        <f t="shared" si="783"/>
        <v>P&amp;L</v>
      </c>
    </row>
    <row r="12466" spans="1:13">
      <c r="A12466" s="33" t="str">
        <f t="shared" si="780"/>
        <v>GSM - SH Dist</v>
      </c>
      <c r="B12466" s="33" t="str">
        <f t="shared" si="781"/>
        <v>GSM</v>
      </c>
      <c r="C12466" s="33" t="str">
        <f t="shared" si="782"/>
        <v>10001-0000</v>
      </c>
      <c r="D12466" t="s">
        <v>6220</v>
      </c>
      <c r="E12466" t="s">
        <v>13221</v>
      </c>
      <c r="F12466" s="69" t="s">
        <v>230</v>
      </c>
      <c r="G12466" t="s">
        <v>142</v>
      </c>
      <c r="H12466" t="s">
        <v>143</v>
      </c>
      <c r="I12466" t="s">
        <v>144</v>
      </c>
      <c r="J12466" s="70">
        <v>0</v>
      </c>
      <c r="K12466" s="71">
        <v>-301070.43</v>
      </c>
      <c r="L12466" s="33" t="e">
        <f>HLOOKUP(B12466,#REF!,1,0)</f>
        <v>#REF!</v>
      </c>
      <c r="M12466" s="33" t="str">
        <f t="shared" si="783"/>
        <v>BS</v>
      </c>
    </row>
    <row r="12467" spans="1:13">
      <c r="A12467" s="33" t="str">
        <f t="shared" si="780"/>
        <v>GSM - SH Dist</v>
      </c>
      <c r="B12467" s="33" t="str">
        <f t="shared" si="781"/>
        <v>GSM</v>
      </c>
      <c r="C12467" s="33" t="str">
        <f t="shared" si="782"/>
        <v>10005-0000</v>
      </c>
      <c r="D12467" t="s">
        <v>13595</v>
      </c>
      <c r="E12467" t="s">
        <v>13413</v>
      </c>
      <c r="F12467" s="69" t="s">
        <v>230</v>
      </c>
      <c r="G12467" t="s">
        <v>142</v>
      </c>
      <c r="H12467" t="s">
        <v>143</v>
      </c>
      <c r="I12467" t="s">
        <v>144</v>
      </c>
      <c r="J12467" s="70">
        <v>308539.49</v>
      </c>
      <c r="K12467" s="71">
        <v>568959.67</v>
      </c>
      <c r="L12467" s="33" t="e">
        <f>HLOOKUP(B12467,#REF!,1,0)</f>
        <v>#REF!</v>
      </c>
      <c r="M12467" s="33" t="str">
        <f t="shared" si="783"/>
        <v>BS</v>
      </c>
    </row>
    <row r="12468" spans="1:13">
      <c r="A12468" s="33" t="str">
        <f t="shared" si="780"/>
        <v>GSM - Intercompany</v>
      </c>
      <c r="B12468" s="33" t="str">
        <f t="shared" si="781"/>
        <v>GSM</v>
      </c>
      <c r="C12468" s="33" t="str">
        <f t="shared" si="782"/>
        <v>11216-0000</v>
      </c>
      <c r="D12468" t="s">
        <v>6221</v>
      </c>
      <c r="E12468" t="s">
        <v>13224</v>
      </c>
      <c r="F12468" s="69" t="s">
        <v>230</v>
      </c>
      <c r="G12468" t="s">
        <v>16</v>
      </c>
      <c r="H12468" t="s">
        <v>39</v>
      </c>
      <c r="I12468" t="s">
        <v>40</v>
      </c>
      <c r="J12468" s="70">
        <v>-35570.81</v>
      </c>
      <c r="K12468" s="71">
        <v>-92416.77</v>
      </c>
      <c r="L12468" s="33" t="e">
        <f>HLOOKUP(B12468,#REF!,1,0)</f>
        <v>#REF!</v>
      </c>
      <c r="M12468" s="33" t="str">
        <f t="shared" si="783"/>
        <v>BS</v>
      </c>
    </row>
    <row r="12469" spans="1:13">
      <c r="A12469" s="33" t="str">
        <f t="shared" si="780"/>
        <v>GSM - Intercompany</v>
      </c>
      <c r="B12469" s="33" t="str">
        <f t="shared" si="781"/>
        <v>GSM</v>
      </c>
      <c r="C12469" s="33" t="str">
        <f t="shared" si="782"/>
        <v>11319-0000</v>
      </c>
      <c r="D12469" t="s">
        <v>6222</v>
      </c>
      <c r="E12469" t="s">
        <v>266</v>
      </c>
      <c r="F12469" s="69" t="s">
        <v>230</v>
      </c>
      <c r="G12469" t="s">
        <v>16</v>
      </c>
      <c r="H12469" t="s">
        <v>39</v>
      </c>
      <c r="I12469" t="s">
        <v>40</v>
      </c>
      <c r="J12469" s="70">
        <v>-1886004.3</v>
      </c>
      <c r="K12469" s="71">
        <v>-1886004.3</v>
      </c>
      <c r="L12469" s="33" t="e">
        <f>HLOOKUP(B12469,#REF!,1,0)</f>
        <v>#REF!</v>
      </c>
      <c r="M12469" s="33" t="str">
        <f t="shared" si="783"/>
        <v>BS</v>
      </c>
    </row>
    <row r="12470" spans="1:13">
      <c r="A12470" s="33" t="str">
        <f t="shared" si="780"/>
        <v>GSM - AR-PPD</v>
      </c>
      <c r="B12470" s="33" t="str">
        <f t="shared" si="781"/>
        <v>GSM</v>
      </c>
      <c r="C12470" s="33" t="str">
        <f t="shared" si="782"/>
        <v>12100-0000</v>
      </c>
      <c r="D12470" t="s">
        <v>13596</v>
      </c>
      <c r="E12470" t="s">
        <v>34</v>
      </c>
      <c r="F12470" s="69" t="s">
        <v>230</v>
      </c>
      <c r="G12470" t="s">
        <v>16</v>
      </c>
      <c r="H12470" t="s">
        <v>35</v>
      </c>
      <c r="I12470" t="s">
        <v>36</v>
      </c>
      <c r="J12470" s="70">
        <v>89845.94</v>
      </c>
      <c r="K12470" s="71">
        <v>299197.39</v>
      </c>
      <c r="L12470" s="33" t="e">
        <f>HLOOKUP(B12470,#REF!,1,0)</f>
        <v>#REF!</v>
      </c>
      <c r="M12470" s="33" t="str">
        <f t="shared" si="783"/>
        <v>BS</v>
      </c>
    </row>
    <row r="12471" spans="1:13">
      <c r="A12471" s="33" t="str">
        <f t="shared" si="780"/>
        <v>GSM - Deposits</v>
      </c>
      <c r="B12471" s="33" t="str">
        <f t="shared" si="781"/>
        <v>GSM</v>
      </c>
      <c r="C12471" s="33" t="str">
        <f t="shared" si="782"/>
        <v>13610-0000</v>
      </c>
      <c r="D12471" t="s">
        <v>13597</v>
      </c>
      <c r="E12471" t="s">
        <v>13547</v>
      </c>
      <c r="F12471" s="69" t="s">
        <v>230</v>
      </c>
      <c r="G12471" t="s">
        <v>62</v>
      </c>
      <c r="H12471" t="s">
        <v>80</v>
      </c>
      <c r="I12471" t="s">
        <v>81</v>
      </c>
      <c r="J12471" s="70">
        <v>18040</v>
      </c>
      <c r="K12471" s="71">
        <v>18040</v>
      </c>
      <c r="L12471" s="33" t="e">
        <f>HLOOKUP(B12471,#REF!,1,0)</f>
        <v>#REF!</v>
      </c>
      <c r="M12471" s="33" t="str">
        <f t="shared" si="783"/>
        <v>BS</v>
      </c>
    </row>
    <row r="12472" spans="1:13">
      <c r="A12472" s="33" t="str">
        <f t="shared" si="780"/>
        <v>GSM - AR-PPD</v>
      </c>
      <c r="B12472" s="33" t="str">
        <f t="shared" si="781"/>
        <v>GSM</v>
      </c>
      <c r="C12472" s="33" t="str">
        <f t="shared" si="782"/>
        <v>13810-0000</v>
      </c>
      <c r="D12472" t="s">
        <v>13598</v>
      </c>
      <c r="E12472" t="s">
        <v>294</v>
      </c>
      <c r="F12472" s="69" t="s">
        <v>230</v>
      </c>
      <c r="G12472" t="s">
        <v>62</v>
      </c>
      <c r="H12472" t="s">
        <v>35</v>
      </c>
      <c r="I12472" t="s">
        <v>64</v>
      </c>
      <c r="J12472" s="70">
        <v>4115500</v>
      </c>
      <c r="K12472" s="71">
        <v>4228833.43</v>
      </c>
      <c r="L12472" s="33" t="e">
        <f>HLOOKUP(B12472,#REF!,1,0)</f>
        <v>#REF!</v>
      </c>
      <c r="M12472" s="33" t="str">
        <f t="shared" si="783"/>
        <v>BS</v>
      </c>
    </row>
    <row r="12473" spans="1:13">
      <c r="A12473" s="33" t="str">
        <f t="shared" si="780"/>
        <v>GSM - AR-PPD</v>
      </c>
      <c r="B12473" s="33" t="str">
        <f t="shared" si="781"/>
        <v>GSM</v>
      </c>
      <c r="C12473" s="33" t="str">
        <f t="shared" si="782"/>
        <v>13820-0000</v>
      </c>
      <c r="D12473" t="s">
        <v>13599</v>
      </c>
      <c r="E12473" t="s">
        <v>387</v>
      </c>
      <c r="F12473" s="69" t="s">
        <v>230</v>
      </c>
      <c r="G12473" t="s">
        <v>388</v>
      </c>
      <c r="H12473" t="s">
        <v>35</v>
      </c>
      <c r="I12473" t="s">
        <v>64</v>
      </c>
      <c r="J12473" s="70">
        <v>5744000</v>
      </c>
      <c r="K12473" s="71">
        <v>5744000</v>
      </c>
      <c r="L12473" s="33" t="e">
        <f>HLOOKUP(B12473,#REF!,1,0)</f>
        <v>#REF!</v>
      </c>
      <c r="M12473" s="33" t="str">
        <f t="shared" si="783"/>
        <v>BS</v>
      </c>
    </row>
    <row r="12474" spans="1:13">
      <c r="A12474" s="33" t="str">
        <f t="shared" si="780"/>
        <v>GSM - Fixed Assets</v>
      </c>
      <c r="B12474" s="33" t="str">
        <f t="shared" si="781"/>
        <v>GSM</v>
      </c>
      <c r="C12474" s="33" t="str">
        <f t="shared" si="782"/>
        <v>14100-0000</v>
      </c>
      <c r="D12474" t="s">
        <v>13600</v>
      </c>
      <c r="E12474" t="s">
        <v>298</v>
      </c>
      <c r="F12474" s="69" t="s">
        <v>230</v>
      </c>
      <c r="G12474" t="s">
        <v>62</v>
      </c>
      <c r="H12474" t="s">
        <v>63</v>
      </c>
      <c r="I12474" t="s">
        <v>64</v>
      </c>
      <c r="J12474" s="70">
        <v>30600000</v>
      </c>
      <c r="K12474" s="71">
        <v>30600000</v>
      </c>
      <c r="L12474" s="33" t="e">
        <f>HLOOKUP(B12474,#REF!,1,0)</f>
        <v>#REF!</v>
      </c>
      <c r="M12474" s="33" t="str">
        <f t="shared" si="783"/>
        <v>BS</v>
      </c>
    </row>
    <row r="12475" spans="1:13">
      <c r="A12475" s="33" t="str">
        <f t="shared" si="780"/>
        <v>GSM - Fixed Assets</v>
      </c>
      <c r="B12475" s="33" t="str">
        <f t="shared" si="781"/>
        <v>GSM</v>
      </c>
      <c r="C12475" s="33" t="str">
        <f t="shared" si="782"/>
        <v>15000-0000</v>
      </c>
      <c r="D12475" t="s">
        <v>6226</v>
      </c>
      <c r="E12475" t="s">
        <v>13252</v>
      </c>
      <c r="F12475" s="69" t="s">
        <v>230</v>
      </c>
      <c r="G12475" t="s">
        <v>62</v>
      </c>
      <c r="H12475" t="s">
        <v>63</v>
      </c>
      <c r="I12475" t="s">
        <v>64</v>
      </c>
      <c r="J12475" s="70">
        <v>71400000</v>
      </c>
      <c r="K12475" s="71">
        <v>71400000</v>
      </c>
      <c r="L12475" s="33" t="e">
        <f>HLOOKUP(B12475,#REF!,1,0)</f>
        <v>#REF!</v>
      </c>
      <c r="M12475" s="33" t="str">
        <f t="shared" si="783"/>
        <v>BS</v>
      </c>
    </row>
    <row r="12476" spans="1:13">
      <c r="A12476" s="33" t="str">
        <f t="shared" si="780"/>
        <v>GSM - Fixed Assets</v>
      </c>
      <c r="B12476" s="33" t="str">
        <f t="shared" si="781"/>
        <v>GSM</v>
      </c>
      <c r="C12476" s="33" t="str">
        <f t="shared" si="782"/>
        <v>15700-0000</v>
      </c>
      <c r="D12476" t="s">
        <v>13601</v>
      </c>
      <c r="E12476" t="s">
        <v>2635</v>
      </c>
      <c r="F12476" s="69" t="s">
        <v>230</v>
      </c>
      <c r="G12476" t="s">
        <v>62</v>
      </c>
      <c r="H12476" t="s">
        <v>63</v>
      </c>
      <c r="I12476" t="s">
        <v>64</v>
      </c>
      <c r="J12476" s="70">
        <v>13301.15</v>
      </c>
      <c r="K12476" s="71">
        <v>16382.98</v>
      </c>
      <c r="L12476" s="33" t="e">
        <f>HLOOKUP(B12476,#REF!,1,0)</f>
        <v>#REF!</v>
      </c>
      <c r="M12476" s="33" t="str">
        <f t="shared" si="783"/>
        <v>BS</v>
      </c>
    </row>
    <row r="12477" spans="1:13">
      <c r="A12477" s="33" t="str">
        <f t="shared" si="780"/>
        <v>GSM - AP-Accr Exp</v>
      </c>
      <c r="B12477" s="33" t="str">
        <f t="shared" si="781"/>
        <v>GSM</v>
      </c>
      <c r="C12477" s="33" t="str">
        <f t="shared" si="782"/>
        <v>22000-0000</v>
      </c>
      <c r="D12477" t="s">
        <v>13602</v>
      </c>
      <c r="E12477" t="s">
        <v>96</v>
      </c>
      <c r="F12477" s="69" t="s">
        <v>230</v>
      </c>
      <c r="G12477" t="s">
        <v>97</v>
      </c>
      <c r="H12477" t="s">
        <v>98</v>
      </c>
      <c r="I12477" t="s">
        <v>99</v>
      </c>
      <c r="J12477" s="70">
        <v>0</v>
      </c>
      <c r="K12477" s="71">
        <v>17694.21</v>
      </c>
      <c r="L12477" s="33" t="e">
        <f>HLOOKUP(B12477,#REF!,1,0)</f>
        <v>#REF!</v>
      </c>
      <c r="M12477" s="33" t="str">
        <f t="shared" si="783"/>
        <v>BS</v>
      </c>
    </row>
    <row r="12478" spans="1:13">
      <c r="A12478" s="33" t="str">
        <f t="shared" si="780"/>
        <v>GSM - AP-Accr Exp</v>
      </c>
      <c r="B12478" s="33" t="str">
        <f t="shared" si="781"/>
        <v>GSM</v>
      </c>
      <c r="C12478" s="33" t="str">
        <f t="shared" si="782"/>
        <v>22800-0000</v>
      </c>
      <c r="D12478" t="s">
        <v>13603</v>
      </c>
      <c r="E12478" t="s">
        <v>13256</v>
      </c>
      <c r="F12478" s="69" t="s">
        <v>230</v>
      </c>
      <c r="G12478" t="s">
        <v>97</v>
      </c>
      <c r="H12478" t="s">
        <v>98</v>
      </c>
      <c r="I12478" t="s">
        <v>102</v>
      </c>
      <c r="J12478" s="70">
        <v>-219890.5</v>
      </c>
      <c r="K12478" s="71">
        <v>-222740.5</v>
      </c>
      <c r="L12478" s="33" t="e">
        <f>HLOOKUP(B12478,#REF!,1,0)</f>
        <v>#REF!</v>
      </c>
      <c r="M12478" s="33" t="str">
        <f t="shared" si="783"/>
        <v>BS</v>
      </c>
    </row>
    <row r="12479" spans="1:13">
      <c r="A12479" s="33" t="str">
        <f t="shared" si="780"/>
        <v>GSM - Revenue</v>
      </c>
      <c r="B12479" s="33" t="str">
        <f t="shared" si="781"/>
        <v>GSM</v>
      </c>
      <c r="C12479" s="33" t="str">
        <f t="shared" si="782"/>
        <v>22905-0000</v>
      </c>
      <c r="D12479" t="s">
        <v>13604</v>
      </c>
      <c r="E12479" t="s">
        <v>13258</v>
      </c>
      <c r="F12479" s="69" t="s">
        <v>230</v>
      </c>
      <c r="G12479" t="s">
        <v>3717</v>
      </c>
      <c r="H12479" t="s">
        <v>2871</v>
      </c>
      <c r="I12479" t="s">
        <v>3721</v>
      </c>
      <c r="J12479" s="70">
        <v>-70220.33</v>
      </c>
      <c r="K12479" s="71">
        <v>-29560.53</v>
      </c>
      <c r="L12479" s="33" t="e">
        <f>HLOOKUP(B12479,#REF!,1,0)</f>
        <v>#REF!</v>
      </c>
      <c r="M12479" s="33" t="str">
        <f t="shared" si="783"/>
        <v>BS</v>
      </c>
    </row>
    <row r="12480" spans="1:13">
      <c r="A12480" s="33" t="str">
        <f t="shared" si="780"/>
        <v>GSM - Principal</v>
      </c>
      <c r="B12480" s="33" t="str">
        <f t="shared" si="781"/>
        <v>GSM</v>
      </c>
      <c r="C12480" s="33" t="str">
        <f t="shared" si="782"/>
        <v>28023-0000</v>
      </c>
      <c r="D12480" t="s">
        <v>6233</v>
      </c>
      <c r="E12480" t="s">
        <v>12499</v>
      </c>
      <c r="F12480" s="69" t="s">
        <v>230</v>
      </c>
      <c r="G12480" t="s">
        <v>123</v>
      </c>
      <c r="H12480" t="s">
        <v>127</v>
      </c>
      <c r="I12480" t="s">
        <v>133</v>
      </c>
      <c r="J12480" s="70">
        <v>-84512000</v>
      </c>
      <c r="K12480" s="71">
        <v>-84512000</v>
      </c>
      <c r="L12480" s="33" t="e">
        <f>HLOOKUP(B12480,#REF!,1,0)</f>
        <v>#REF!</v>
      </c>
      <c r="M12480" s="33" t="str">
        <f t="shared" si="783"/>
        <v>BS</v>
      </c>
    </row>
    <row r="12481" spans="1:13">
      <c r="A12481" s="33" t="str">
        <f t="shared" si="780"/>
        <v>GSM - SH Dist</v>
      </c>
      <c r="B12481" s="33" t="str">
        <f t="shared" si="781"/>
        <v>GSM</v>
      </c>
      <c r="C12481" s="33" t="str">
        <f t="shared" si="782"/>
        <v>36000-0000</v>
      </c>
      <c r="D12481" t="s">
        <v>13605</v>
      </c>
      <c r="E12481" t="s">
        <v>13262</v>
      </c>
      <c r="F12481" s="69" t="s">
        <v>230</v>
      </c>
      <c r="G12481" t="s">
        <v>142</v>
      </c>
      <c r="H12481" t="s">
        <v>143</v>
      </c>
      <c r="I12481" t="s">
        <v>144</v>
      </c>
      <c r="J12481" s="70">
        <v>-28074418.42</v>
      </c>
      <c r="K12481" s="71">
        <v>-28074418.42</v>
      </c>
      <c r="L12481" s="33" t="e">
        <f>HLOOKUP(B12481,#REF!,1,0)</f>
        <v>#REF!</v>
      </c>
      <c r="M12481" s="33" t="str">
        <f t="shared" si="783"/>
        <v>BS</v>
      </c>
    </row>
    <row r="12482" spans="1:13">
      <c r="A12482" s="33" t="str">
        <f t="shared" si="780"/>
        <v>GSM - Retained Earnings</v>
      </c>
      <c r="B12482" s="33" t="str">
        <f t="shared" si="781"/>
        <v>GSM</v>
      </c>
      <c r="C12482" s="33" t="str">
        <f t="shared" si="782"/>
        <v>38100-0000</v>
      </c>
      <c r="D12482" t="s">
        <v>13606</v>
      </c>
      <c r="E12482" t="s">
        <v>234</v>
      </c>
      <c r="F12482" s="69" t="s">
        <v>230</v>
      </c>
      <c r="G12482" t="s">
        <v>142</v>
      </c>
      <c r="H12482" t="s">
        <v>149</v>
      </c>
      <c r="I12482" t="s">
        <v>235</v>
      </c>
      <c r="J12482" s="70">
        <v>-28179</v>
      </c>
      <c r="K12482" s="71">
        <v>-28179</v>
      </c>
      <c r="L12482" s="33" t="e">
        <f>HLOOKUP(B12482,#REF!,1,0)</f>
        <v>#REF!</v>
      </c>
      <c r="M12482" s="33" t="str">
        <f t="shared" si="783"/>
        <v>BS</v>
      </c>
    </row>
    <row r="12483" spans="1:13">
      <c r="A12483" s="33" t="str">
        <f t="shared" si="780"/>
        <v>GSM - Revenue</v>
      </c>
      <c r="B12483" s="33" t="str">
        <f t="shared" si="781"/>
        <v>GSM</v>
      </c>
      <c r="C12483" s="33" t="str">
        <f t="shared" si="782"/>
        <v>40110-0000</v>
      </c>
      <c r="D12483" t="s">
        <v>6236</v>
      </c>
      <c r="E12483" t="s">
        <v>3683</v>
      </c>
      <c r="F12483" s="69" t="s">
        <v>230</v>
      </c>
      <c r="G12483" t="s">
        <v>3684</v>
      </c>
      <c r="H12483" t="s">
        <v>2871</v>
      </c>
      <c r="I12483" t="s">
        <v>3685</v>
      </c>
      <c r="J12483" s="70">
        <v>-761459.6</v>
      </c>
      <c r="K12483" s="71">
        <v>-761459.6</v>
      </c>
      <c r="L12483" s="33" t="e">
        <f>HLOOKUP(B12483,#REF!,1,0)</f>
        <v>#REF!</v>
      </c>
      <c r="M12483" s="33" t="str">
        <f t="shared" si="783"/>
        <v>P&amp;L</v>
      </c>
    </row>
    <row r="12484" spans="1:13">
      <c r="A12484" s="33" t="str">
        <f t="shared" si="780"/>
        <v>GSM - Revenue</v>
      </c>
      <c r="B12484" s="33" t="str">
        <f t="shared" si="781"/>
        <v>GSM</v>
      </c>
      <c r="C12484" s="33" t="str">
        <f t="shared" si="782"/>
        <v>41110-0000</v>
      </c>
      <c r="D12484" t="s">
        <v>6240</v>
      </c>
      <c r="E12484" t="s">
        <v>3716</v>
      </c>
      <c r="F12484" s="69" t="s">
        <v>230</v>
      </c>
      <c r="G12484" t="s">
        <v>3717</v>
      </c>
      <c r="H12484" t="s">
        <v>2871</v>
      </c>
      <c r="I12484" t="s">
        <v>3718</v>
      </c>
      <c r="J12484" s="70">
        <v>-954208.75</v>
      </c>
      <c r="K12484" s="71">
        <v>-1647680.75</v>
      </c>
      <c r="L12484" s="33" t="e">
        <f>HLOOKUP(B12484,#REF!,1,0)</f>
        <v>#REF!</v>
      </c>
      <c r="M12484" s="33" t="str">
        <f t="shared" si="783"/>
        <v>P&amp;L</v>
      </c>
    </row>
    <row r="12485" spans="1:13">
      <c r="A12485" s="33" t="str">
        <f t="shared" si="780"/>
        <v>GSM - Revenue</v>
      </c>
      <c r="B12485" s="33" t="str">
        <f t="shared" si="781"/>
        <v>GSM</v>
      </c>
      <c r="C12485" s="33" t="str">
        <f t="shared" si="782"/>
        <v>41120-0000</v>
      </c>
      <c r="D12485" t="s">
        <v>13607</v>
      </c>
      <c r="E12485" t="s">
        <v>13267</v>
      </c>
      <c r="F12485" s="69" t="s">
        <v>230</v>
      </c>
      <c r="G12485" t="s">
        <v>3717</v>
      </c>
      <c r="H12485" t="s">
        <v>2871</v>
      </c>
      <c r="I12485" t="s">
        <v>3718</v>
      </c>
      <c r="J12485" s="70">
        <v>0</v>
      </c>
      <c r="K12485" s="71">
        <v>151043</v>
      </c>
      <c r="L12485" s="33" t="e">
        <f>HLOOKUP(B12485,#REF!,1,0)</f>
        <v>#REF!</v>
      </c>
      <c r="M12485" s="33" t="str">
        <f t="shared" si="783"/>
        <v>P&amp;L</v>
      </c>
    </row>
    <row r="12486" spans="1:13">
      <c r="A12486" s="33" t="str">
        <f t="shared" si="780"/>
        <v>GSM - Revenue</v>
      </c>
      <c r="B12486" s="33" t="str">
        <f t="shared" si="781"/>
        <v>GSM</v>
      </c>
      <c r="C12486" s="33" t="str">
        <f t="shared" si="782"/>
        <v>42110-0000</v>
      </c>
      <c r="D12486" t="s">
        <v>13608</v>
      </c>
      <c r="E12486" t="s">
        <v>13269</v>
      </c>
      <c r="F12486" s="69" t="s">
        <v>230</v>
      </c>
      <c r="G12486" t="s">
        <v>3694</v>
      </c>
      <c r="H12486" t="s">
        <v>2871</v>
      </c>
      <c r="I12486" t="s">
        <v>3695</v>
      </c>
      <c r="J12486" s="70">
        <v>55116.55</v>
      </c>
      <c r="K12486" s="71">
        <v>116265.55</v>
      </c>
      <c r="L12486" s="33" t="e">
        <f>HLOOKUP(B12486,#REF!,1,0)</f>
        <v>#REF!</v>
      </c>
      <c r="M12486" s="33" t="str">
        <f t="shared" si="783"/>
        <v>P&amp;L</v>
      </c>
    </row>
    <row r="12487" spans="1:13">
      <c r="A12487" s="33" t="str">
        <f t="shared" si="780"/>
        <v>GSM - Revenue</v>
      </c>
      <c r="B12487" s="33" t="str">
        <f t="shared" si="781"/>
        <v>GSM</v>
      </c>
      <c r="C12487" s="33" t="str">
        <f t="shared" si="782"/>
        <v>42140-0000</v>
      </c>
      <c r="D12487" t="s">
        <v>13609</v>
      </c>
      <c r="E12487" t="s">
        <v>13610</v>
      </c>
      <c r="F12487" s="69" t="s">
        <v>230</v>
      </c>
      <c r="G12487" t="s">
        <v>3694</v>
      </c>
      <c r="H12487" t="s">
        <v>2871</v>
      </c>
      <c r="I12487" t="s">
        <v>3707</v>
      </c>
      <c r="J12487" s="70">
        <v>45004</v>
      </c>
      <c r="K12487" s="71">
        <v>45004</v>
      </c>
      <c r="L12487" s="33" t="e">
        <f>HLOOKUP(B12487,#REF!,1,0)</f>
        <v>#REF!</v>
      </c>
      <c r="M12487" s="33" t="str">
        <f t="shared" si="783"/>
        <v>P&amp;L</v>
      </c>
    </row>
    <row r="12488" spans="1:13">
      <c r="A12488" s="33" t="str">
        <f t="shared" si="780"/>
        <v>GSM - Revenue</v>
      </c>
      <c r="B12488" s="33" t="str">
        <f t="shared" si="781"/>
        <v>GSM</v>
      </c>
      <c r="C12488" s="33" t="str">
        <f t="shared" si="782"/>
        <v>42150-0000</v>
      </c>
      <c r="D12488" t="s">
        <v>13611</v>
      </c>
      <c r="E12488" t="s">
        <v>13271</v>
      </c>
      <c r="F12488" s="69" t="s">
        <v>230</v>
      </c>
      <c r="G12488" t="s">
        <v>3694</v>
      </c>
      <c r="H12488" t="s">
        <v>2871</v>
      </c>
      <c r="I12488" t="s">
        <v>3710</v>
      </c>
      <c r="J12488" s="70">
        <v>7393</v>
      </c>
      <c r="K12488" s="71">
        <v>11842</v>
      </c>
      <c r="L12488" s="33" t="e">
        <f>HLOOKUP(B12488,#REF!,1,0)</f>
        <v>#REF!</v>
      </c>
      <c r="M12488" s="33" t="str">
        <f t="shared" si="783"/>
        <v>P&amp;L</v>
      </c>
    </row>
    <row r="12489" spans="1:13">
      <c r="A12489" s="33" t="str">
        <f t="shared" si="780"/>
        <v>GSM - Revenue</v>
      </c>
      <c r="B12489" s="33" t="str">
        <f t="shared" si="781"/>
        <v>GSM</v>
      </c>
      <c r="C12489" s="33" t="str">
        <f t="shared" si="782"/>
        <v>43120-0000</v>
      </c>
      <c r="D12489" t="s">
        <v>13612</v>
      </c>
      <c r="E12489" t="s">
        <v>3700</v>
      </c>
      <c r="F12489" s="69" t="s">
        <v>230</v>
      </c>
      <c r="G12489" t="s">
        <v>3694</v>
      </c>
      <c r="H12489" t="s">
        <v>2871</v>
      </c>
      <c r="I12489" t="s">
        <v>3701</v>
      </c>
      <c r="J12489" s="70">
        <v>-243516.53</v>
      </c>
      <c r="K12489" s="71">
        <v>-243516.53</v>
      </c>
      <c r="L12489" s="33" t="e">
        <f>HLOOKUP(B12489,#REF!,1,0)</f>
        <v>#REF!</v>
      </c>
      <c r="M12489" s="33" t="str">
        <f t="shared" si="783"/>
        <v>P&amp;L</v>
      </c>
    </row>
    <row r="12490" spans="1:13">
      <c r="A12490" s="33" t="str">
        <f t="shared" si="780"/>
        <v>GSM - Revenue</v>
      </c>
      <c r="B12490" s="33" t="str">
        <f t="shared" si="781"/>
        <v>GSM</v>
      </c>
      <c r="C12490" s="33" t="str">
        <f t="shared" si="782"/>
        <v>43121-0000</v>
      </c>
      <c r="D12490" t="s">
        <v>13613</v>
      </c>
      <c r="E12490" t="s">
        <v>7768</v>
      </c>
      <c r="F12490" s="69" t="s">
        <v>230</v>
      </c>
      <c r="G12490" t="s">
        <v>3694</v>
      </c>
      <c r="H12490" t="s">
        <v>2871</v>
      </c>
      <c r="I12490" t="s">
        <v>3698</v>
      </c>
      <c r="J12490" s="70">
        <v>103320.1</v>
      </c>
      <c r="K12490" s="71">
        <v>103320.1</v>
      </c>
      <c r="L12490" s="33" t="e">
        <f>HLOOKUP(B12490,#REF!,1,0)</f>
        <v>#REF!</v>
      </c>
      <c r="M12490" s="33" t="str">
        <f t="shared" si="783"/>
        <v>P&amp;L</v>
      </c>
    </row>
    <row r="12491" spans="1:13">
      <c r="A12491" s="33" t="str">
        <f t="shared" si="780"/>
        <v>GSM - Revenue</v>
      </c>
      <c r="B12491" s="33" t="str">
        <f t="shared" si="781"/>
        <v>GSM</v>
      </c>
      <c r="C12491" s="33" t="str">
        <f t="shared" si="782"/>
        <v>43410-0000</v>
      </c>
      <c r="D12491" t="s">
        <v>13614</v>
      </c>
      <c r="E12491" t="s">
        <v>13276</v>
      </c>
      <c r="F12491" s="69" t="s">
        <v>230</v>
      </c>
      <c r="G12491" t="s">
        <v>3717</v>
      </c>
      <c r="H12491" t="s">
        <v>2871</v>
      </c>
      <c r="I12491" t="s">
        <v>3727</v>
      </c>
      <c r="J12491" s="70">
        <v>-4500</v>
      </c>
      <c r="K12491" s="71">
        <v>-4500</v>
      </c>
      <c r="L12491" s="33" t="e">
        <f>HLOOKUP(B12491,#REF!,1,0)</f>
        <v>#REF!</v>
      </c>
      <c r="M12491" s="33" t="str">
        <f t="shared" si="783"/>
        <v>P&amp;L</v>
      </c>
    </row>
    <row r="12492" spans="1:13">
      <c r="A12492" s="33" t="str">
        <f t="shared" si="780"/>
        <v>GSM - Revenue</v>
      </c>
      <c r="B12492" s="33" t="str">
        <f t="shared" si="781"/>
        <v>GSM</v>
      </c>
      <c r="C12492" s="33" t="str">
        <f t="shared" si="782"/>
        <v>43440-0000</v>
      </c>
      <c r="D12492" t="s">
        <v>13615</v>
      </c>
      <c r="E12492" t="s">
        <v>13278</v>
      </c>
      <c r="F12492" s="69" t="s">
        <v>230</v>
      </c>
      <c r="G12492" t="s">
        <v>3717</v>
      </c>
      <c r="H12492" t="s">
        <v>2871</v>
      </c>
      <c r="I12492" t="s">
        <v>3721</v>
      </c>
      <c r="J12492" s="70">
        <v>-20332.1</v>
      </c>
      <c r="K12492" s="71">
        <v>-26042.1</v>
      </c>
      <c r="L12492" s="33" t="e">
        <f>HLOOKUP(B12492,#REF!,1,0)</f>
        <v>#REF!</v>
      </c>
      <c r="M12492" s="33" t="str">
        <f t="shared" si="783"/>
        <v>P&amp;L</v>
      </c>
    </row>
    <row r="12493" spans="1:13">
      <c r="A12493" s="33" t="str">
        <f t="shared" si="780"/>
        <v>GSM - Revenue</v>
      </c>
      <c r="B12493" s="33" t="str">
        <f t="shared" si="781"/>
        <v>GSM</v>
      </c>
      <c r="C12493" s="33" t="str">
        <f t="shared" si="782"/>
        <v>43450-0000</v>
      </c>
      <c r="D12493" t="s">
        <v>13616</v>
      </c>
      <c r="E12493" t="s">
        <v>3723</v>
      </c>
      <c r="F12493" s="69" t="s">
        <v>230</v>
      </c>
      <c r="G12493" t="s">
        <v>3717</v>
      </c>
      <c r="H12493" t="s">
        <v>2871</v>
      </c>
      <c r="I12493" t="s">
        <v>3724</v>
      </c>
      <c r="J12493" s="70">
        <v>-5169.05</v>
      </c>
      <c r="K12493" s="71">
        <v>-12234.05</v>
      </c>
      <c r="L12493" s="33" t="e">
        <f>HLOOKUP(B12493,#REF!,1,0)</f>
        <v>#REF!</v>
      </c>
      <c r="M12493" s="33" t="str">
        <f t="shared" si="783"/>
        <v>P&amp;L</v>
      </c>
    </row>
    <row r="12494" spans="1:13">
      <c r="A12494" s="33" t="str">
        <f t="shared" si="780"/>
        <v>GSM - AP-Accr Exp</v>
      </c>
      <c r="B12494" s="33" t="str">
        <f t="shared" si="781"/>
        <v>GSM</v>
      </c>
      <c r="C12494" s="33" t="str">
        <f t="shared" si="782"/>
        <v>43480-0000</v>
      </c>
      <c r="D12494" t="s">
        <v>13617</v>
      </c>
      <c r="E12494" t="s">
        <v>13280</v>
      </c>
      <c r="F12494" s="69" t="s">
        <v>230</v>
      </c>
      <c r="G12494" t="s">
        <v>97</v>
      </c>
      <c r="H12494" t="s">
        <v>98</v>
      </c>
      <c r="I12494" t="s">
        <v>102</v>
      </c>
      <c r="J12494" s="70">
        <v>-1530</v>
      </c>
      <c r="K12494" s="71">
        <v>-1530</v>
      </c>
      <c r="L12494" s="33" t="e">
        <f>HLOOKUP(B12494,#REF!,1,0)</f>
        <v>#REF!</v>
      </c>
      <c r="M12494" s="33" t="str">
        <f t="shared" si="783"/>
        <v>P&amp;L</v>
      </c>
    </row>
    <row r="12495" spans="1:13">
      <c r="A12495" s="33" t="str">
        <f t="shared" ref="A12495:A12558" si="784">B12495&amp;" - "&amp;TRIM(H12495)</f>
        <v>GSM - Revenue</v>
      </c>
      <c r="B12495" s="33" t="str">
        <f t="shared" ref="B12495:B12558" si="785">LEFT(D12495,3)</f>
        <v>GSM</v>
      </c>
      <c r="C12495" s="33" t="str">
        <f t="shared" ref="C12495:C12558" si="786">RIGHT(D12495,10)</f>
        <v>43490-0000</v>
      </c>
      <c r="D12495" t="s">
        <v>13618</v>
      </c>
      <c r="E12495" t="s">
        <v>13282</v>
      </c>
      <c r="F12495" s="69" t="s">
        <v>230</v>
      </c>
      <c r="G12495" t="s">
        <v>3717</v>
      </c>
      <c r="H12495" t="s">
        <v>2871</v>
      </c>
      <c r="I12495" t="s">
        <v>3721</v>
      </c>
      <c r="J12495" s="70">
        <v>-2014.69</v>
      </c>
      <c r="K12495" s="71">
        <v>-2014.69</v>
      </c>
      <c r="L12495" s="33" t="e">
        <f>HLOOKUP(B12495,#REF!,1,0)</f>
        <v>#REF!</v>
      </c>
      <c r="M12495" s="33" t="str">
        <f t="shared" ref="M12495:M12558" si="787">IF(VALUE(LEFT(C12495,5))&gt;40000,"P&amp;L","BS")</f>
        <v>P&amp;L</v>
      </c>
    </row>
    <row r="12496" spans="1:13">
      <c r="A12496" s="33" t="str">
        <f t="shared" si="784"/>
        <v>GSM - Revenue</v>
      </c>
      <c r="B12496" s="33" t="str">
        <f t="shared" si="785"/>
        <v>GSM</v>
      </c>
      <c r="C12496" s="33" t="str">
        <f t="shared" si="786"/>
        <v>43491-0000</v>
      </c>
      <c r="D12496" t="s">
        <v>13619</v>
      </c>
      <c r="E12496" t="s">
        <v>3733</v>
      </c>
      <c r="F12496" s="69" t="s">
        <v>230</v>
      </c>
      <c r="G12496" t="s">
        <v>3717</v>
      </c>
      <c r="H12496" t="s">
        <v>2871</v>
      </c>
      <c r="I12496" t="s">
        <v>3734</v>
      </c>
      <c r="J12496" s="70">
        <v>1376.72</v>
      </c>
      <c r="K12496" s="71">
        <v>-17980.38</v>
      </c>
      <c r="L12496" s="33" t="e">
        <f>HLOOKUP(B12496,#REF!,1,0)</f>
        <v>#REF!</v>
      </c>
      <c r="M12496" s="33" t="str">
        <f t="shared" si="787"/>
        <v>P&amp;L</v>
      </c>
    </row>
    <row r="12497" spans="1:13">
      <c r="A12497" s="33" t="str">
        <f t="shared" si="784"/>
        <v>GSM - Revenue</v>
      </c>
      <c r="B12497" s="33" t="str">
        <f t="shared" si="785"/>
        <v>GSM</v>
      </c>
      <c r="C12497" s="33" t="str">
        <f t="shared" si="786"/>
        <v>43492-0000</v>
      </c>
      <c r="D12497" t="s">
        <v>13620</v>
      </c>
      <c r="E12497" t="s">
        <v>13285</v>
      </c>
      <c r="F12497" s="69" t="s">
        <v>230</v>
      </c>
      <c r="G12497" t="s">
        <v>3717</v>
      </c>
      <c r="H12497" t="s">
        <v>2871</v>
      </c>
      <c r="I12497" t="s">
        <v>3737</v>
      </c>
      <c r="J12497" s="70">
        <v>0</v>
      </c>
      <c r="K12497" s="71">
        <v>-1125</v>
      </c>
      <c r="L12497" s="33" t="e">
        <f>HLOOKUP(B12497,#REF!,1,0)</f>
        <v>#REF!</v>
      </c>
      <c r="M12497" s="33" t="str">
        <f t="shared" si="787"/>
        <v>P&amp;L</v>
      </c>
    </row>
    <row r="12498" spans="1:13">
      <c r="A12498" s="33" t="str">
        <f t="shared" si="784"/>
        <v>GSM - Revenue</v>
      </c>
      <c r="B12498" s="33" t="str">
        <f t="shared" si="785"/>
        <v>GSM</v>
      </c>
      <c r="C12498" s="33" t="str">
        <f t="shared" si="786"/>
        <v>49500-9999</v>
      </c>
      <c r="D12498" t="s">
        <v>13621</v>
      </c>
      <c r="E12498" t="s">
        <v>7244</v>
      </c>
      <c r="F12498" s="69" t="s">
        <v>230</v>
      </c>
      <c r="G12498" t="s">
        <v>3713</v>
      </c>
      <c r="H12498" t="s">
        <v>2871</v>
      </c>
      <c r="I12498" t="s">
        <v>3714</v>
      </c>
      <c r="J12498" s="70">
        <v>864362.81</v>
      </c>
      <c r="K12498" s="71">
        <v>864362.81</v>
      </c>
      <c r="L12498" s="33" t="e">
        <f>HLOOKUP(B12498,#REF!,1,0)</f>
        <v>#REF!</v>
      </c>
      <c r="M12498" s="33" t="str">
        <f t="shared" si="787"/>
        <v>P&amp;L</v>
      </c>
    </row>
    <row r="12499" spans="1:13">
      <c r="A12499" s="33" t="str">
        <f t="shared" si="784"/>
        <v>GSM - CGS</v>
      </c>
      <c r="B12499" s="33" t="str">
        <f t="shared" si="785"/>
        <v>GSM</v>
      </c>
      <c r="C12499" s="33" t="str">
        <f t="shared" si="786"/>
        <v>51008-0000</v>
      </c>
      <c r="D12499" t="s">
        <v>6257</v>
      </c>
      <c r="E12499" t="s">
        <v>13290</v>
      </c>
      <c r="F12499" s="69" t="s">
        <v>230</v>
      </c>
      <c r="G12499" t="s">
        <v>3740</v>
      </c>
      <c r="H12499" t="s">
        <v>1875</v>
      </c>
      <c r="I12499" t="s">
        <v>3744</v>
      </c>
      <c r="J12499" s="70">
        <v>6760.95</v>
      </c>
      <c r="K12499" s="71">
        <v>6760.95</v>
      </c>
      <c r="L12499" s="33" t="e">
        <f>HLOOKUP(B12499,#REF!,1,0)</f>
        <v>#REF!</v>
      </c>
      <c r="M12499" s="33" t="str">
        <f t="shared" si="787"/>
        <v>P&amp;L</v>
      </c>
    </row>
    <row r="12500" spans="1:13">
      <c r="A12500" s="33" t="str">
        <f t="shared" si="784"/>
        <v>GSM - CGS</v>
      </c>
      <c r="B12500" s="33" t="str">
        <f t="shared" si="785"/>
        <v>GSM</v>
      </c>
      <c r="C12500" s="33" t="str">
        <f t="shared" si="786"/>
        <v>51015-0000</v>
      </c>
      <c r="D12500" t="s">
        <v>6258</v>
      </c>
      <c r="E12500" t="s">
        <v>13295</v>
      </c>
      <c r="F12500" s="69" t="s">
        <v>230</v>
      </c>
      <c r="G12500" t="s">
        <v>3740</v>
      </c>
      <c r="H12500" t="s">
        <v>1875</v>
      </c>
      <c r="I12500" t="s">
        <v>3756</v>
      </c>
      <c r="J12500" s="70">
        <v>1500</v>
      </c>
      <c r="K12500" s="71">
        <v>2100</v>
      </c>
      <c r="L12500" s="33" t="e">
        <f>HLOOKUP(B12500,#REF!,1,0)</f>
        <v>#REF!</v>
      </c>
      <c r="M12500" s="33" t="str">
        <f t="shared" si="787"/>
        <v>P&amp;L</v>
      </c>
    </row>
    <row r="12501" spans="1:13">
      <c r="A12501" s="33" t="str">
        <f t="shared" si="784"/>
        <v>GSM - CGS</v>
      </c>
      <c r="B12501" s="33" t="str">
        <f t="shared" si="785"/>
        <v>GSM</v>
      </c>
      <c r="C12501" s="33" t="str">
        <f t="shared" si="786"/>
        <v>51018-0000</v>
      </c>
      <c r="D12501" t="s">
        <v>6260</v>
      </c>
      <c r="E12501" t="s">
        <v>13296</v>
      </c>
      <c r="F12501" s="69" t="s">
        <v>230</v>
      </c>
      <c r="G12501" t="s">
        <v>3740</v>
      </c>
      <c r="H12501" t="s">
        <v>1875</v>
      </c>
      <c r="I12501" t="s">
        <v>3319</v>
      </c>
      <c r="J12501" s="70">
        <v>54.95</v>
      </c>
      <c r="K12501" s="71">
        <v>54.95</v>
      </c>
      <c r="L12501" s="33" t="e">
        <f>HLOOKUP(B12501,#REF!,1,0)</f>
        <v>#REF!</v>
      </c>
      <c r="M12501" s="33" t="str">
        <f t="shared" si="787"/>
        <v>P&amp;L</v>
      </c>
    </row>
    <row r="12502" spans="1:13">
      <c r="A12502" s="33" t="str">
        <f t="shared" si="784"/>
        <v>GSM - CGS</v>
      </c>
      <c r="B12502" s="33" t="str">
        <f t="shared" si="785"/>
        <v>GSM</v>
      </c>
      <c r="C12502" s="33" t="str">
        <f t="shared" si="786"/>
        <v>51020-0000</v>
      </c>
      <c r="D12502" t="s">
        <v>6261</v>
      </c>
      <c r="E12502" t="s">
        <v>13298</v>
      </c>
      <c r="F12502" s="69" t="s">
        <v>230</v>
      </c>
      <c r="G12502" t="s">
        <v>3740</v>
      </c>
      <c r="H12502" t="s">
        <v>1875</v>
      </c>
      <c r="I12502" t="s">
        <v>3345</v>
      </c>
      <c r="J12502" s="70">
        <v>13.78</v>
      </c>
      <c r="K12502" s="71">
        <v>13.78</v>
      </c>
      <c r="L12502" s="33" t="e">
        <f>HLOOKUP(B12502,#REF!,1,0)</f>
        <v>#REF!</v>
      </c>
      <c r="M12502" s="33" t="str">
        <f t="shared" si="787"/>
        <v>P&amp;L</v>
      </c>
    </row>
    <row r="12503" spans="1:13">
      <c r="A12503" s="33" t="str">
        <f t="shared" si="784"/>
        <v>GSM - CGS</v>
      </c>
      <c r="B12503" s="33" t="str">
        <f t="shared" si="785"/>
        <v>GSM</v>
      </c>
      <c r="C12503" s="33" t="str">
        <f t="shared" si="786"/>
        <v>52007-0000</v>
      </c>
      <c r="D12503" t="s">
        <v>13622</v>
      </c>
      <c r="E12503" t="s">
        <v>13388</v>
      </c>
      <c r="F12503" s="69" t="s">
        <v>230</v>
      </c>
      <c r="G12503" t="s">
        <v>3769</v>
      </c>
      <c r="H12503" t="s">
        <v>1875</v>
      </c>
      <c r="I12503" t="s">
        <v>8028</v>
      </c>
      <c r="J12503" s="70">
        <v>-3084</v>
      </c>
      <c r="K12503" s="71">
        <v>-3659.16</v>
      </c>
      <c r="L12503" s="33" t="e">
        <f>HLOOKUP(B12503,#REF!,1,0)</f>
        <v>#REF!</v>
      </c>
      <c r="M12503" s="33" t="str">
        <f t="shared" si="787"/>
        <v>P&amp;L</v>
      </c>
    </row>
    <row r="12504" spans="1:13">
      <c r="A12504" s="33" t="str">
        <f t="shared" si="784"/>
        <v>GSM - CGS</v>
      </c>
      <c r="B12504" s="33" t="str">
        <f t="shared" si="785"/>
        <v>GSM</v>
      </c>
      <c r="C12504" s="33" t="str">
        <f t="shared" si="786"/>
        <v>53001-0000</v>
      </c>
      <c r="D12504" t="s">
        <v>6262</v>
      </c>
      <c r="E12504" t="s">
        <v>13306</v>
      </c>
      <c r="F12504" s="69" t="s">
        <v>230</v>
      </c>
      <c r="G12504" t="s">
        <v>3160</v>
      </c>
      <c r="H12504" t="s">
        <v>1875</v>
      </c>
      <c r="I12504" t="s">
        <v>3782</v>
      </c>
      <c r="J12504" s="70">
        <v>1123.42</v>
      </c>
      <c r="K12504" s="71">
        <v>1123.42</v>
      </c>
      <c r="L12504" s="33" t="e">
        <f>HLOOKUP(B12504,#REF!,1,0)</f>
        <v>#REF!</v>
      </c>
      <c r="M12504" s="33" t="str">
        <f t="shared" si="787"/>
        <v>P&amp;L</v>
      </c>
    </row>
    <row r="12505" spans="1:13">
      <c r="A12505" s="33" t="str">
        <f t="shared" si="784"/>
        <v>GSM - CGS</v>
      </c>
      <c r="B12505" s="33" t="str">
        <f t="shared" si="785"/>
        <v>GSM</v>
      </c>
      <c r="C12505" s="33" t="str">
        <f t="shared" si="786"/>
        <v>53002-0000</v>
      </c>
      <c r="D12505" t="s">
        <v>6263</v>
      </c>
      <c r="E12505" t="s">
        <v>13307</v>
      </c>
      <c r="F12505" s="69" t="s">
        <v>230</v>
      </c>
      <c r="G12505" t="s">
        <v>3160</v>
      </c>
      <c r="H12505" t="s">
        <v>1875</v>
      </c>
      <c r="I12505" t="s">
        <v>3785</v>
      </c>
      <c r="J12505" s="70">
        <v>3175.83</v>
      </c>
      <c r="K12505" s="71">
        <v>3175.83</v>
      </c>
      <c r="L12505" s="33" t="e">
        <f>HLOOKUP(B12505,#REF!,1,0)</f>
        <v>#REF!</v>
      </c>
      <c r="M12505" s="33" t="str">
        <f t="shared" si="787"/>
        <v>P&amp;L</v>
      </c>
    </row>
    <row r="12506" spans="1:13">
      <c r="A12506" s="33" t="str">
        <f t="shared" si="784"/>
        <v>GSM - Operating Expense</v>
      </c>
      <c r="B12506" s="33" t="str">
        <f t="shared" si="785"/>
        <v>GSM</v>
      </c>
      <c r="C12506" s="33" t="str">
        <f t="shared" si="786"/>
        <v>53003-0000</v>
      </c>
      <c r="D12506" t="s">
        <v>6264</v>
      </c>
      <c r="E12506" t="s">
        <v>13308</v>
      </c>
      <c r="F12506" s="69" t="s">
        <v>230</v>
      </c>
      <c r="G12506" t="s">
        <v>4426</v>
      </c>
      <c r="H12506" t="s">
        <v>3022</v>
      </c>
      <c r="I12506" t="s">
        <v>6877</v>
      </c>
      <c r="J12506" s="70">
        <v>366</v>
      </c>
      <c r="K12506" s="71">
        <v>366</v>
      </c>
      <c r="L12506" s="33" t="e">
        <f>HLOOKUP(B12506,#REF!,1,0)</f>
        <v>#REF!</v>
      </c>
      <c r="M12506" s="33" t="str">
        <f t="shared" si="787"/>
        <v>P&amp;L</v>
      </c>
    </row>
    <row r="12507" spans="1:13">
      <c r="A12507" s="33" t="str">
        <f t="shared" si="784"/>
        <v>GSM - Operating Expense</v>
      </c>
      <c r="B12507" s="33" t="str">
        <f t="shared" si="785"/>
        <v>GSM</v>
      </c>
      <c r="C12507" s="33" t="str">
        <f t="shared" si="786"/>
        <v>53004-0000</v>
      </c>
      <c r="D12507" t="s">
        <v>6265</v>
      </c>
      <c r="E12507" t="s">
        <v>13309</v>
      </c>
      <c r="F12507" s="69" t="s">
        <v>230</v>
      </c>
      <c r="G12507" t="s">
        <v>4426</v>
      </c>
      <c r="H12507" t="s">
        <v>3022</v>
      </c>
      <c r="I12507" t="s">
        <v>6877</v>
      </c>
      <c r="J12507" s="70">
        <v>6537.46</v>
      </c>
      <c r="K12507" s="71">
        <v>6537.46</v>
      </c>
      <c r="L12507" s="33" t="e">
        <f>HLOOKUP(B12507,#REF!,1,0)</f>
        <v>#REF!</v>
      </c>
      <c r="M12507" s="33" t="str">
        <f t="shared" si="787"/>
        <v>P&amp;L</v>
      </c>
    </row>
    <row r="12508" spans="1:13">
      <c r="A12508" s="33" t="str">
        <f t="shared" si="784"/>
        <v>GSM - CGS</v>
      </c>
      <c r="B12508" s="33" t="str">
        <f t="shared" si="785"/>
        <v>GSM</v>
      </c>
      <c r="C12508" s="33" t="str">
        <f t="shared" si="786"/>
        <v>53011-0000</v>
      </c>
      <c r="D12508" t="s">
        <v>13623</v>
      </c>
      <c r="E12508" t="s">
        <v>13312</v>
      </c>
      <c r="F12508" s="69" t="s">
        <v>230</v>
      </c>
      <c r="G12508" t="s">
        <v>3160</v>
      </c>
      <c r="H12508" t="s">
        <v>13300</v>
      </c>
      <c r="I12508" t="s">
        <v>13313</v>
      </c>
      <c r="J12508" s="70">
        <v>999.9</v>
      </c>
      <c r="K12508" s="71">
        <v>999.9</v>
      </c>
      <c r="L12508" s="33" t="e">
        <f>HLOOKUP(B12508,#REF!,1,0)</f>
        <v>#REF!</v>
      </c>
      <c r="M12508" s="33" t="str">
        <f t="shared" si="787"/>
        <v>P&amp;L</v>
      </c>
    </row>
    <row r="12509" spans="1:13">
      <c r="A12509" s="33" t="str">
        <f t="shared" si="784"/>
        <v>GSM - CGS</v>
      </c>
      <c r="B12509" s="33" t="str">
        <f t="shared" si="785"/>
        <v>GSM</v>
      </c>
      <c r="C12509" s="33" t="str">
        <f t="shared" si="786"/>
        <v>54001-0000</v>
      </c>
      <c r="D12509" t="s">
        <v>6267</v>
      </c>
      <c r="E12509" t="s">
        <v>4008</v>
      </c>
      <c r="F12509" s="69" t="s">
        <v>230</v>
      </c>
      <c r="G12509" t="s">
        <v>3800</v>
      </c>
      <c r="H12509" t="s">
        <v>1875</v>
      </c>
      <c r="I12509" t="s">
        <v>4009</v>
      </c>
      <c r="J12509" s="70">
        <v>-732.66</v>
      </c>
      <c r="K12509" s="71">
        <v>-600.82</v>
      </c>
      <c r="L12509" s="33" t="e">
        <f>HLOOKUP(B12509,#REF!,1,0)</f>
        <v>#REF!</v>
      </c>
      <c r="M12509" s="33" t="str">
        <f t="shared" si="787"/>
        <v>P&amp;L</v>
      </c>
    </row>
    <row r="12510" spans="1:13">
      <c r="A12510" s="33" t="str">
        <f t="shared" si="784"/>
        <v>GSM - CGS</v>
      </c>
      <c r="B12510" s="33" t="str">
        <f t="shared" si="785"/>
        <v>GSM</v>
      </c>
      <c r="C12510" s="33" t="str">
        <f t="shared" si="786"/>
        <v>54002-0000</v>
      </c>
      <c r="D12510" t="s">
        <v>6268</v>
      </c>
      <c r="E12510" t="s">
        <v>3799</v>
      </c>
      <c r="F12510" s="69" t="s">
        <v>230</v>
      </c>
      <c r="G12510" t="s">
        <v>3800</v>
      </c>
      <c r="H12510" t="s">
        <v>1875</v>
      </c>
      <c r="I12510" t="s">
        <v>3801</v>
      </c>
      <c r="J12510" s="70">
        <v>745</v>
      </c>
      <c r="K12510" s="71">
        <v>1745</v>
      </c>
      <c r="L12510" s="33" t="e">
        <f>HLOOKUP(B12510,#REF!,1,0)</f>
        <v>#REF!</v>
      </c>
      <c r="M12510" s="33" t="str">
        <f t="shared" si="787"/>
        <v>P&amp;L</v>
      </c>
    </row>
    <row r="12511" spans="1:13">
      <c r="A12511" s="33" t="str">
        <f t="shared" si="784"/>
        <v>GSM - CGS</v>
      </c>
      <c r="B12511" s="33" t="str">
        <f t="shared" si="785"/>
        <v>GSM</v>
      </c>
      <c r="C12511" s="33" t="str">
        <f t="shared" si="786"/>
        <v>54004-0000</v>
      </c>
      <c r="D12511" t="s">
        <v>6270</v>
      </c>
      <c r="E12511" t="s">
        <v>13314</v>
      </c>
      <c r="F12511" s="69" t="s">
        <v>230</v>
      </c>
      <c r="G12511" t="s">
        <v>3800</v>
      </c>
      <c r="H12511" t="s">
        <v>1875</v>
      </c>
      <c r="I12511" t="s">
        <v>3807</v>
      </c>
      <c r="J12511" s="70">
        <v>28726.06</v>
      </c>
      <c r="K12511" s="71">
        <v>41322.63</v>
      </c>
      <c r="L12511" s="33" t="e">
        <f>HLOOKUP(B12511,#REF!,1,0)</f>
        <v>#REF!</v>
      </c>
      <c r="M12511" s="33" t="str">
        <f t="shared" si="787"/>
        <v>P&amp;L</v>
      </c>
    </row>
    <row r="12512" spans="1:13">
      <c r="A12512" s="33" t="str">
        <f t="shared" si="784"/>
        <v>GSM - CGS</v>
      </c>
      <c r="B12512" s="33" t="str">
        <f t="shared" si="785"/>
        <v>GSM</v>
      </c>
      <c r="C12512" s="33" t="str">
        <f t="shared" si="786"/>
        <v>54005-0000</v>
      </c>
      <c r="D12512" t="s">
        <v>6271</v>
      </c>
      <c r="E12512" t="s">
        <v>3809</v>
      </c>
      <c r="F12512" s="69" t="s">
        <v>230</v>
      </c>
      <c r="G12512" t="s">
        <v>3800</v>
      </c>
      <c r="H12512" t="s">
        <v>1875</v>
      </c>
      <c r="I12512" t="s">
        <v>3810</v>
      </c>
      <c r="J12512" s="70">
        <v>182.69</v>
      </c>
      <c r="K12512" s="71">
        <v>293.89</v>
      </c>
      <c r="L12512" s="33" t="e">
        <f>HLOOKUP(B12512,#REF!,1,0)</f>
        <v>#REF!</v>
      </c>
      <c r="M12512" s="33" t="str">
        <f t="shared" si="787"/>
        <v>P&amp;L</v>
      </c>
    </row>
    <row r="12513" spans="1:13">
      <c r="A12513" s="33" t="str">
        <f t="shared" si="784"/>
        <v>GSM - CGS</v>
      </c>
      <c r="B12513" s="33" t="str">
        <f t="shared" si="785"/>
        <v>GSM</v>
      </c>
      <c r="C12513" s="33" t="str">
        <f t="shared" si="786"/>
        <v>54006-0000</v>
      </c>
      <c r="D12513" t="s">
        <v>6272</v>
      </c>
      <c r="E12513" t="s">
        <v>3812</v>
      </c>
      <c r="F12513" s="69" t="s">
        <v>230</v>
      </c>
      <c r="G12513" t="s">
        <v>3800</v>
      </c>
      <c r="H12513" t="s">
        <v>1875</v>
      </c>
      <c r="I12513" t="s">
        <v>3003</v>
      </c>
      <c r="J12513" s="70">
        <v>5201.8</v>
      </c>
      <c r="K12513" s="71">
        <v>8321.25</v>
      </c>
      <c r="L12513" s="33" t="e">
        <f>HLOOKUP(B12513,#REF!,1,0)</f>
        <v>#REF!</v>
      </c>
      <c r="M12513" s="33" t="str">
        <f t="shared" si="787"/>
        <v>P&amp;L</v>
      </c>
    </row>
    <row r="12514" spans="1:13">
      <c r="A12514" s="33" t="str">
        <f t="shared" si="784"/>
        <v>GSM - CGS</v>
      </c>
      <c r="B12514" s="33" t="str">
        <f t="shared" si="785"/>
        <v>GSM</v>
      </c>
      <c r="C12514" s="33" t="str">
        <f t="shared" si="786"/>
        <v>54007-0000</v>
      </c>
      <c r="D12514" t="s">
        <v>6273</v>
      </c>
      <c r="E12514" t="s">
        <v>13315</v>
      </c>
      <c r="F12514" s="69" t="s">
        <v>230</v>
      </c>
      <c r="G12514" t="s">
        <v>3800</v>
      </c>
      <c r="H12514" t="s">
        <v>1875</v>
      </c>
      <c r="I12514" t="s">
        <v>3815</v>
      </c>
      <c r="J12514" s="70">
        <v>22163.13</v>
      </c>
      <c r="K12514" s="71">
        <v>43755.82</v>
      </c>
      <c r="L12514" s="33" t="e">
        <f>HLOOKUP(B12514,#REF!,1,0)</f>
        <v>#REF!</v>
      </c>
      <c r="M12514" s="33" t="str">
        <f t="shared" si="787"/>
        <v>P&amp;L</v>
      </c>
    </row>
    <row r="12515" spans="1:13">
      <c r="A12515" s="33" t="str">
        <f t="shared" si="784"/>
        <v>GSM - CGS</v>
      </c>
      <c r="B12515" s="33" t="str">
        <f t="shared" si="785"/>
        <v>GSM</v>
      </c>
      <c r="C12515" s="33" t="str">
        <f t="shared" si="786"/>
        <v>61005-0000</v>
      </c>
      <c r="D12515" t="s">
        <v>13624</v>
      </c>
      <c r="E12515" t="s">
        <v>3841</v>
      </c>
      <c r="F12515" s="69" t="s">
        <v>230</v>
      </c>
      <c r="G12515" t="s">
        <v>3838</v>
      </c>
      <c r="H12515" t="s">
        <v>1875</v>
      </c>
      <c r="I12515" t="s">
        <v>3842</v>
      </c>
      <c r="J12515" s="70">
        <v>1431</v>
      </c>
      <c r="K12515" s="71">
        <v>1431</v>
      </c>
      <c r="L12515" s="33" t="e">
        <f>HLOOKUP(B12515,#REF!,1,0)</f>
        <v>#REF!</v>
      </c>
      <c r="M12515" s="33" t="str">
        <f t="shared" si="787"/>
        <v>P&amp;L</v>
      </c>
    </row>
    <row r="12516" spans="1:13">
      <c r="A12516" s="33" t="str">
        <f t="shared" si="784"/>
        <v>GSM - CGS</v>
      </c>
      <c r="B12516" s="33" t="str">
        <f t="shared" si="785"/>
        <v>GSM</v>
      </c>
      <c r="C12516" s="33" t="str">
        <f t="shared" si="786"/>
        <v>61008-0000</v>
      </c>
      <c r="D12516" t="s">
        <v>13625</v>
      </c>
      <c r="E12516" t="s">
        <v>13395</v>
      </c>
      <c r="F12516" s="69" t="s">
        <v>230</v>
      </c>
      <c r="G12516" t="s">
        <v>3838</v>
      </c>
      <c r="H12516" t="s">
        <v>13300</v>
      </c>
      <c r="I12516" t="s">
        <v>13396</v>
      </c>
      <c r="J12516" s="70">
        <v>11704</v>
      </c>
      <c r="K12516" s="71">
        <v>11704</v>
      </c>
      <c r="L12516" s="33" t="e">
        <f>HLOOKUP(B12516,#REF!,1,0)</f>
        <v>#REF!</v>
      </c>
      <c r="M12516" s="33" t="str">
        <f t="shared" si="787"/>
        <v>P&amp;L</v>
      </c>
    </row>
    <row r="12517" spans="1:13">
      <c r="A12517" s="33" t="str">
        <f t="shared" si="784"/>
        <v>GSM - CGS</v>
      </c>
      <c r="B12517" s="33" t="str">
        <f t="shared" si="785"/>
        <v>GSM</v>
      </c>
      <c r="C12517" s="33" t="str">
        <f t="shared" si="786"/>
        <v>61012-0000</v>
      </c>
      <c r="D12517" t="s">
        <v>13626</v>
      </c>
      <c r="E12517" t="s">
        <v>13321</v>
      </c>
      <c r="F12517" s="69" t="s">
        <v>230</v>
      </c>
      <c r="G12517" t="s">
        <v>3838</v>
      </c>
      <c r="H12517" t="s">
        <v>1875</v>
      </c>
      <c r="I12517" t="s">
        <v>3853</v>
      </c>
      <c r="J12517" s="70">
        <v>-80873.28</v>
      </c>
      <c r="K12517" s="71">
        <v>-80873.28</v>
      </c>
      <c r="L12517" s="33" t="e">
        <f>HLOOKUP(B12517,#REF!,1,0)</f>
        <v>#REF!</v>
      </c>
      <c r="M12517" s="33" t="str">
        <f t="shared" si="787"/>
        <v>P&amp;L</v>
      </c>
    </row>
    <row r="12518" spans="1:13">
      <c r="A12518" s="33" t="str">
        <f t="shared" si="784"/>
        <v>GSM - Revenue</v>
      </c>
      <c r="B12518" s="33" t="str">
        <f t="shared" si="785"/>
        <v>GSM</v>
      </c>
      <c r="C12518" s="33" t="str">
        <f t="shared" si="786"/>
        <v>61014-0000</v>
      </c>
      <c r="D12518" t="s">
        <v>13627</v>
      </c>
      <c r="E12518" t="s">
        <v>13323</v>
      </c>
      <c r="F12518" s="69" t="s">
        <v>230</v>
      </c>
      <c r="G12518" t="s">
        <v>3717</v>
      </c>
      <c r="H12518" t="s">
        <v>2871</v>
      </c>
      <c r="I12518" t="s">
        <v>12435</v>
      </c>
      <c r="J12518" s="70">
        <v>17876.6</v>
      </c>
      <c r="K12518" s="71">
        <v>17876.6</v>
      </c>
      <c r="L12518" s="33" t="e">
        <f>HLOOKUP(B12518,#REF!,1,0)</f>
        <v>#REF!</v>
      </c>
      <c r="M12518" s="33" t="str">
        <f t="shared" si="787"/>
        <v>P&amp;L</v>
      </c>
    </row>
    <row r="12519" spans="1:13">
      <c r="A12519" s="33" t="str">
        <f t="shared" si="784"/>
        <v>GSM - CGS</v>
      </c>
      <c r="B12519" s="33" t="str">
        <f t="shared" si="785"/>
        <v>GSM</v>
      </c>
      <c r="C12519" s="33" t="str">
        <f t="shared" si="786"/>
        <v>61015-0000</v>
      </c>
      <c r="D12519" t="s">
        <v>13628</v>
      </c>
      <c r="E12519" t="s">
        <v>13325</v>
      </c>
      <c r="F12519" s="69" t="s">
        <v>230</v>
      </c>
      <c r="G12519" t="s">
        <v>3838</v>
      </c>
      <c r="H12519" t="s">
        <v>1875</v>
      </c>
      <c r="I12519" t="s">
        <v>3859</v>
      </c>
      <c r="J12519" s="70">
        <v>1458</v>
      </c>
      <c r="K12519" s="71">
        <v>1458</v>
      </c>
      <c r="L12519" s="33" t="e">
        <f>HLOOKUP(B12519,#REF!,1,0)</f>
        <v>#REF!</v>
      </c>
      <c r="M12519" s="33" t="str">
        <f t="shared" si="787"/>
        <v>P&amp;L</v>
      </c>
    </row>
    <row r="12520" spans="1:13">
      <c r="A12520" s="33" t="str">
        <f t="shared" si="784"/>
        <v>GSM - Other Income/Expense</v>
      </c>
      <c r="B12520" s="33" t="str">
        <f t="shared" si="785"/>
        <v>GSM</v>
      </c>
      <c r="C12520" s="33" t="str">
        <f t="shared" si="786"/>
        <v>61022-0000</v>
      </c>
      <c r="D12520" t="s">
        <v>6288</v>
      </c>
      <c r="E12520" t="s">
        <v>4286</v>
      </c>
      <c r="F12520" s="69" t="s">
        <v>230</v>
      </c>
      <c r="G12520" t="s">
        <v>3838</v>
      </c>
      <c r="H12520" t="s">
        <v>3300</v>
      </c>
      <c r="I12520" t="s">
        <v>4287</v>
      </c>
      <c r="J12520" s="70">
        <v>0</v>
      </c>
      <c r="K12520" s="71">
        <v>1643.52</v>
      </c>
      <c r="L12520" s="33" t="e">
        <f>HLOOKUP(B12520,#REF!,1,0)</f>
        <v>#REF!</v>
      </c>
      <c r="M12520" s="33" t="str">
        <f t="shared" si="787"/>
        <v>P&amp;L</v>
      </c>
    </row>
    <row r="12521" spans="1:13">
      <c r="A12521" s="33" t="str">
        <f t="shared" si="784"/>
        <v>GSM - PM Expenses</v>
      </c>
      <c r="B12521" s="33" t="str">
        <f t="shared" si="785"/>
        <v>GSM</v>
      </c>
      <c r="C12521" s="33" t="str">
        <f t="shared" si="786"/>
        <v>71020-0000</v>
      </c>
      <c r="D12521" t="s">
        <v>13629</v>
      </c>
      <c r="E12521" t="s">
        <v>13328</v>
      </c>
      <c r="F12521" s="69" t="s">
        <v>230</v>
      </c>
      <c r="G12521" t="s">
        <v>3818</v>
      </c>
      <c r="H12521" t="s">
        <v>3819</v>
      </c>
      <c r="I12521" t="s">
        <v>3820</v>
      </c>
      <c r="J12521" s="70">
        <v>3985</v>
      </c>
      <c r="K12521" s="71">
        <v>3985</v>
      </c>
      <c r="L12521" s="33" t="e">
        <f>HLOOKUP(B12521,#REF!,1,0)</f>
        <v>#REF!</v>
      </c>
      <c r="M12521" s="33" t="str">
        <f t="shared" si="787"/>
        <v>P&amp;L</v>
      </c>
    </row>
    <row r="12522" spans="1:13">
      <c r="A12522" s="33" t="str">
        <f t="shared" si="784"/>
        <v>GSM - PM Expenses</v>
      </c>
      <c r="B12522" s="33" t="str">
        <f t="shared" si="785"/>
        <v>GSM</v>
      </c>
      <c r="C12522" s="33" t="str">
        <f t="shared" si="786"/>
        <v>71030-0000</v>
      </c>
      <c r="D12522" t="s">
        <v>13630</v>
      </c>
      <c r="E12522" t="s">
        <v>13330</v>
      </c>
      <c r="F12522" s="69" t="s">
        <v>230</v>
      </c>
      <c r="G12522" t="s">
        <v>3818</v>
      </c>
      <c r="H12522" t="s">
        <v>3819</v>
      </c>
      <c r="I12522" t="s">
        <v>3823</v>
      </c>
      <c r="J12522" s="70">
        <v>412.51</v>
      </c>
      <c r="K12522" s="71">
        <v>412.51</v>
      </c>
      <c r="L12522" s="33" t="e">
        <f>HLOOKUP(B12522,#REF!,1,0)</f>
        <v>#REF!</v>
      </c>
      <c r="M12522" s="33" t="str">
        <f t="shared" si="787"/>
        <v>P&amp;L</v>
      </c>
    </row>
    <row r="12523" spans="1:13">
      <c r="A12523" s="33" t="str">
        <f t="shared" si="784"/>
        <v>GSM - PM Expenses</v>
      </c>
      <c r="B12523" s="33" t="str">
        <f t="shared" si="785"/>
        <v>GSM</v>
      </c>
      <c r="C12523" s="33" t="str">
        <f t="shared" si="786"/>
        <v>71040-0000</v>
      </c>
      <c r="D12523" t="s">
        <v>13631</v>
      </c>
      <c r="E12523" t="s">
        <v>13332</v>
      </c>
      <c r="F12523" s="69" t="s">
        <v>230</v>
      </c>
      <c r="G12523" t="s">
        <v>3818</v>
      </c>
      <c r="H12523" t="s">
        <v>3819</v>
      </c>
      <c r="I12523" t="s">
        <v>3826</v>
      </c>
      <c r="J12523" s="70">
        <v>1390.47</v>
      </c>
      <c r="K12523" s="71">
        <v>1390.47</v>
      </c>
      <c r="L12523" s="33" t="e">
        <f>HLOOKUP(B12523,#REF!,1,0)</f>
        <v>#REF!</v>
      </c>
      <c r="M12523" s="33" t="str">
        <f t="shared" si="787"/>
        <v>P&amp;L</v>
      </c>
    </row>
    <row r="12524" spans="1:13">
      <c r="A12524" s="33" t="str">
        <f t="shared" si="784"/>
        <v>GSM - PM Expenses</v>
      </c>
      <c r="B12524" s="33" t="str">
        <f t="shared" si="785"/>
        <v>GSM</v>
      </c>
      <c r="C12524" s="33" t="str">
        <f t="shared" si="786"/>
        <v>71050-0000</v>
      </c>
      <c r="D12524" t="s">
        <v>13632</v>
      </c>
      <c r="E12524" t="s">
        <v>13334</v>
      </c>
      <c r="F12524" s="69" t="s">
        <v>230</v>
      </c>
      <c r="G12524" t="s">
        <v>3818</v>
      </c>
      <c r="H12524" t="s">
        <v>3819</v>
      </c>
      <c r="I12524" t="s">
        <v>4028</v>
      </c>
      <c r="J12524" s="70">
        <v>1127.97</v>
      </c>
      <c r="K12524" s="71">
        <v>1127.97</v>
      </c>
      <c r="L12524" s="33" t="e">
        <f>HLOOKUP(B12524,#REF!,1,0)</f>
        <v>#REF!</v>
      </c>
      <c r="M12524" s="33" t="str">
        <f t="shared" si="787"/>
        <v>P&amp;L</v>
      </c>
    </row>
    <row r="12525" spans="1:13">
      <c r="A12525" s="33" t="str">
        <f t="shared" si="784"/>
        <v>GSM - PM Expenses</v>
      </c>
      <c r="B12525" s="33" t="str">
        <f t="shared" si="785"/>
        <v>GSM</v>
      </c>
      <c r="C12525" s="33" t="str">
        <f t="shared" si="786"/>
        <v>71060-0000</v>
      </c>
      <c r="D12525" t="s">
        <v>13633</v>
      </c>
      <c r="E12525" t="s">
        <v>13336</v>
      </c>
      <c r="F12525" s="69" t="s">
        <v>230</v>
      </c>
      <c r="G12525" t="s">
        <v>3818</v>
      </c>
      <c r="H12525" t="s">
        <v>3819</v>
      </c>
      <c r="I12525" t="s">
        <v>3829</v>
      </c>
      <c r="J12525" s="70">
        <v>4516.95</v>
      </c>
      <c r="K12525" s="71">
        <v>5631.95</v>
      </c>
      <c r="L12525" s="33" t="e">
        <f>HLOOKUP(B12525,#REF!,1,0)</f>
        <v>#REF!</v>
      </c>
      <c r="M12525" s="33" t="str">
        <f t="shared" si="787"/>
        <v>P&amp;L</v>
      </c>
    </row>
    <row r="12526" spans="1:13">
      <c r="A12526" s="33" t="str">
        <f t="shared" si="784"/>
        <v>GSM - PM Expenses</v>
      </c>
      <c r="B12526" s="33" t="str">
        <f t="shared" si="785"/>
        <v>GSM</v>
      </c>
      <c r="C12526" s="33" t="str">
        <f t="shared" si="786"/>
        <v>71070-0000</v>
      </c>
      <c r="D12526" t="s">
        <v>13634</v>
      </c>
      <c r="E12526" t="s">
        <v>13338</v>
      </c>
      <c r="F12526" s="69" t="s">
        <v>230</v>
      </c>
      <c r="G12526" t="s">
        <v>3818</v>
      </c>
      <c r="H12526" t="s">
        <v>3819</v>
      </c>
      <c r="I12526" t="s">
        <v>3832</v>
      </c>
      <c r="J12526" s="70">
        <v>15578.46</v>
      </c>
      <c r="K12526" s="71">
        <v>15578.46</v>
      </c>
      <c r="L12526" s="33" t="e">
        <f>HLOOKUP(B12526,#REF!,1,0)</f>
        <v>#REF!</v>
      </c>
      <c r="M12526" s="33" t="str">
        <f t="shared" si="787"/>
        <v>P&amp;L</v>
      </c>
    </row>
    <row r="12527" spans="1:13">
      <c r="A12527" s="33" t="str">
        <f t="shared" si="784"/>
        <v>GSM - Interest Expense</v>
      </c>
      <c r="B12527" s="33" t="str">
        <f t="shared" si="785"/>
        <v>GSM</v>
      </c>
      <c r="C12527" s="33" t="str">
        <f t="shared" si="786"/>
        <v>80006-0000</v>
      </c>
      <c r="D12527" t="s">
        <v>13635</v>
      </c>
      <c r="E12527" t="s">
        <v>3325</v>
      </c>
      <c r="F12527" s="69" t="s">
        <v>230</v>
      </c>
      <c r="G12527" t="s">
        <v>3326</v>
      </c>
      <c r="H12527" t="s">
        <v>3327</v>
      </c>
      <c r="I12527" t="s">
        <v>3328</v>
      </c>
      <c r="J12527" s="70">
        <v>416840.33</v>
      </c>
      <c r="K12527" s="71">
        <v>604577.33</v>
      </c>
      <c r="L12527" s="33" t="e">
        <f>HLOOKUP(B12527,#REF!,1,0)</f>
        <v>#REF!</v>
      </c>
      <c r="M12527" s="33" t="str">
        <f t="shared" si="787"/>
        <v>P&amp;L</v>
      </c>
    </row>
    <row r="12528" spans="1:13">
      <c r="A12528" s="33" t="str">
        <f t="shared" si="784"/>
        <v>GSM - Other Expenses</v>
      </c>
      <c r="B12528" s="33" t="str">
        <f t="shared" si="785"/>
        <v>GSM</v>
      </c>
      <c r="C12528" s="33" t="str">
        <f t="shared" si="786"/>
        <v>81228-0000</v>
      </c>
      <c r="D12528" t="s">
        <v>13636</v>
      </c>
      <c r="E12528" t="s">
        <v>3864</v>
      </c>
      <c r="F12528" s="69" t="s">
        <v>230</v>
      </c>
      <c r="G12528" t="s">
        <v>3838</v>
      </c>
      <c r="H12528" t="s">
        <v>3865</v>
      </c>
      <c r="I12528" t="s">
        <v>3866</v>
      </c>
      <c r="J12528" s="70">
        <v>2984032</v>
      </c>
      <c r="K12528" s="71">
        <v>2981273.48</v>
      </c>
      <c r="L12528" s="33" t="e">
        <f>HLOOKUP(B12528,#REF!,1,0)</f>
        <v>#REF!</v>
      </c>
      <c r="M12528" s="33" t="str">
        <f t="shared" si="787"/>
        <v>P&amp;L</v>
      </c>
    </row>
    <row r="12529" spans="1:13">
      <c r="A12529" s="33" t="str">
        <f t="shared" si="784"/>
        <v>LCP - SH Dist</v>
      </c>
      <c r="B12529" s="33" t="str">
        <f t="shared" si="785"/>
        <v>LCP</v>
      </c>
      <c r="C12529" s="33" t="str">
        <f t="shared" si="786"/>
        <v>10001-0000</v>
      </c>
      <c r="D12529" t="s">
        <v>1503</v>
      </c>
      <c r="E12529" t="s">
        <v>13221</v>
      </c>
      <c r="F12529" s="69" t="s">
        <v>230</v>
      </c>
      <c r="G12529" t="s">
        <v>142</v>
      </c>
      <c r="H12529" t="s">
        <v>143</v>
      </c>
      <c r="I12529" t="s">
        <v>144</v>
      </c>
      <c r="J12529" s="70">
        <v>2865.21</v>
      </c>
      <c r="K12529" s="71">
        <v>-510569.29</v>
      </c>
      <c r="L12529" s="33" t="e">
        <f>HLOOKUP(B12529,#REF!,1,0)</f>
        <v>#REF!</v>
      </c>
      <c r="M12529" s="33" t="str">
        <f t="shared" si="787"/>
        <v>BS</v>
      </c>
    </row>
    <row r="12530" spans="1:13">
      <c r="A12530" s="33" t="str">
        <f t="shared" si="784"/>
        <v>LCP - SH Dist</v>
      </c>
      <c r="B12530" s="33" t="str">
        <f t="shared" si="785"/>
        <v>LCP</v>
      </c>
      <c r="C12530" s="33" t="str">
        <f t="shared" si="786"/>
        <v>10005-0000</v>
      </c>
      <c r="D12530" t="s">
        <v>13637</v>
      </c>
      <c r="E12530" t="s">
        <v>13413</v>
      </c>
      <c r="F12530" s="69" t="s">
        <v>230</v>
      </c>
      <c r="G12530" t="s">
        <v>142</v>
      </c>
      <c r="H12530" t="s">
        <v>143</v>
      </c>
      <c r="I12530" t="s">
        <v>144</v>
      </c>
      <c r="J12530" s="70">
        <v>477465.63</v>
      </c>
      <c r="K12530" s="71">
        <v>475661.29</v>
      </c>
      <c r="L12530" s="33" t="e">
        <f>HLOOKUP(B12530,#REF!,1,0)</f>
        <v>#REF!</v>
      </c>
      <c r="M12530" s="33" t="str">
        <f t="shared" si="787"/>
        <v>BS</v>
      </c>
    </row>
    <row r="12531" spans="1:13">
      <c r="A12531" s="33" t="str">
        <f t="shared" si="784"/>
        <v>LCP - Cash</v>
      </c>
      <c r="B12531" s="33" t="str">
        <f t="shared" si="785"/>
        <v>LCP</v>
      </c>
      <c r="C12531" s="33" t="str">
        <f t="shared" si="786"/>
        <v>10024-0000</v>
      </c>
      <c r="D12531" t="s">
        <v>7061</v>
      </c>
      <c r="E12531" t="s">
        <v>13638</v>
      </c>
      <c r="F12531" s="69" t="s">
        <v>230</v>
      </c>
      <c r="G12531" t="s">
        <v>16</v>
      </c>
      <c r="H12531" t="s">
        <v>25</v>
      </c>
      <c r="I12531" t="s">
        <v>18</v>
      </c>
      <c r="J12531" s="70">
        <v>3109.55</v>
      </c>
      <c r="K12531" s="71">
        <v>482134.6</v>
      </c>
      <c r="L12531" s="33" t="e">
        <f>HLOOKUP(B12531,#REF!,1,0)</f>
        <v>#REF!</v>
      </c>
      <c r="M12531" s="33" t="str">
        <f t="shared" si="787"/>
        <v>BS</v>
      </c>
    </row>
    <row r="12532" spans="1:13">
      <c r="A12532" s="33" t="str">
        <f t="shared" si="784"/>
        <v>LCP - Intercompany</v>
      </c>
      <c r="B12532" s="33" t="str">
        <f t="shared" si="785"/>
        <v>LCP</v>
      </c>
      <c r="C12532" s="33" t="str">
        <f t="shared" si="786"/>
        <v>11216-0000</v>
      </c>
      <c r="D12532" t="s">
        <v>1505</v>
      </c>
      <c r="E12532" t="s">
        <v>13224</v>
      </c>
      <c r="F12532" s="69" t="s">
        <v>230</v>
      </c>
      <c r="G12532" t="s">
        <v>16</v>
      </c>
      <c r="H12532" t="s">
        <v>39</v>
      </c>
      <c r="I12532" t="s">
        <v>40</v>
      </c>
      <c r="J12532" s="70">
        <v>-38610.72</v>
      </c>
      <c r="K12532" s="71">
        <v>-85656.68</v>
      </c>
      <c r="L12532" s="33" t="e">
        <f>HLOOKUP(B12532,#REF!,1,0)</f>
        <v>#REF!</v>
      </c>
      <c r="M12532" s="33" t="str">
        <f t="shared" si="787"/>
        <v>BS</v>
      </c>
    </row>
    <row r="12533" spans="1:13">
      <c r="A12533" s="33" t="str">
        <f t="shared" si="784"/>
        <v>LCP - Intercompany</v>
      </c>
      <c r="B12533" s="33" t="str">
        <f t="shared" si="785"/>
        <v>LCP</v>
      </c>
      <c r="C12533" s="33" t="str">
        <f t="shared" si="786"/>
        <v>11341-0000</v>
      </c>
      <c r="D12533" t="s">
        <v>1506</v>
      </c>
      <c r="E12533" t="s">
        <v>13639</v>
      </c>
      <c r="F12533" s="69" t="s">
        <v>230</v>
      </c>
      <c r="G12533" t="s">
        <v>16</v>
      </c>
      <c r="H12533" t="s">
        <v>39</v>
      </c>
      <c r="I12533" t="s">
        <v>40</v>
      </c>
      <c r="J12533" s="70">
        <v>-200000</v>
      </c>
      <c r="K12533" s="71">
        <v>-200000</v>
      </c>
      <c r="L12533" s="33" t="e">
        <f>HLOOKUP(B12533,#REF!,1,0)</f>
        <v>#REF!</v>
      </c>
      <c r="M12533" s="33" t="str">
        <f t="shared" si="787"/>
        <v>BS</v>
      </c>
    </row>
    <row r="12534" spans="1:13">
      <c r="A12534" s="33" t="str">
        <f t="shared" si="784"/>
        <v>LCP - AR-PPD</v>
      </c>
      <c r="B12534" s="33" t="str">
        <f t="shared" si="785"/>
        <v>LCP</v>
      </c>
      <c r="C12534" s="33" t="str">
        <f t="shared" si="786"/>
        <v>12100-0000</v>
      </c>
      <c r="D12534" t="s">
        <v>13640</v>
      </c>
      <c r="E12534" t="s">
        <v>34</v>
      </c>
      <c r="F12534" s="69" t="s">
        <v>230</v>
      </c>
      <c r="G12534" t="s">
        <v>16</v>
      </c>
      <c r="H12534" t="s">
        <v>35</v>
      </c>
      <c r="I12534" t="s">
        <v>36</v>
      </c>
      <c r="J12534" s="70">
        <v>78964.87</v>
      </c>
      <c r="K12534" s="71">
        <v>159851.11</v>
      </c>
      <c r="L12534" s="33" t="e">
        <f>HLOOKUP(B12534,#REF!,1,0)</f>
        <v>#REF!</v>
      </c>
      <c r="M12534" s="33" t="str">
        <f t="shared" si="787"/>
        <v>BS</v>
      </c>
    </row>
    <row r="12535" spans="1:13">
      <c r="A12535" s="33" t="str">
        <f t="shared" si="784"/>
        <v>LCP - Deposits</v>
      </c>
      <c r="B12535" s="33" t="str">
        <f t="shared" si="785"/>
        <v>LCP</v>
      </c>
      <c r="C12535" s="33" t="str">
        <f t="shared" si="786"/>
        <v>13610-0000</v>
      </c>
      <c r="D12535" t="s">
        <v>13641</v>
      </c>
      <c r="E12535" t="s">
        <v>13547</v>
      </c>
      <c r="F12535" s="69" t="s">
        <v>230</v>
      </c>
      <c r="G12535" t="s">
        <v>62</v>
      </c>
      <c r="H12535" t="s">
        <v>80</v>
      </c>
      <c r="I12535" t="s">
        <v>81</v>
      </c>
      <c r="J12535" s="70">
        <v>11766.6</v>
      </c>
      <c r="K12535" s="71">
        <v>11766.6</v>
      </c>
      <c r="L12535" s="33" t="e">
        <f>HLOOKUP(B12535,#REF!,1,0)</f>
        <v>#REF!</v>
      </c>
      <c r="M12535" s="33" t="str">
        <f t="shared" si="787"/>
        <v>BS</v>
      </c>
    </row>
    <row r="12536" spans="1:13">
      <c r="A12536" s="33" t="str">
        <f t="shared" si="784"/>
        <v>LCP - Deposits</v>
      </c>
      <c r="B12536" s="33" t="str">
        <f t="shared" si="785"/>
        <v>LCP</v>
      </c>
      <c r="C12536" s="33" t="str">
        <f t="shared" si="786"/>
        <v>13620-0000</v>
      </c>
      <c r="D12536" t="s">
        <v>13642</v>
      </c>
      <c r="E12536" t="s">
        <v>13643</v>
      </c>
      <c r="F12536" s="69" t="s">
        <v>230</v>
      </c>
      <c r="G12536" t="s">
        <v>62</v>
      </c>
      <c r="H12536" t="s">
        <v>80</v>
      </c>
      <c r="I12536" t="s">
        <v>81</v>
      </c>
      <c r="J12536" s="70">
        <v>6400</v>
      </c>
      <c r="K12536" s="71">
        <v>6400</v>
      </c>
      <c r="L12536" s="33" t="e">
        <f>HLOOKUP(B12536,#REF!,1,0)</f>
        <v>#REF!</v>
      </c>
      <c r="M12536" s="33" t="str">
        <f t="shared" si="787"/>
        <v>BS</v>
      </c>
    </row>
    <row r="12537" spans="1:13">
      <c r="A12537" s="33" t="str">
        <f t="shared" si="784"/>
        <v>LCP - AR-PPD</v>
      </c>
      <c r="B12537" s="33" t="str">
        <f t="shared" si="785"/>
        <v>LCP</v>
      </c>
      <c r="C12537" s="33" t="str">
        <f t="shared" si="786"/>
        <v>13810-0000</v>
      </c>
      <c r="D12537" t="s">
        <v>13644</v>
      </c>
      <c r="E12537" t="s">
        <v>294</v>
      </c>
      <c r="F12537" s="69" t="s">
        <v>230</v>
      </c>
      <c r="G12537" t="s">
        <v>62</v>
      </c>
      <c r="H12537" t="s">
        <v>35</v>
      </c>
      <c r="I12537" t="s">
        <v>64</v>
      </c>
      <c r="J12537" s="70">
        <v>515715.83</v>
      </c>
      <c r="K12537" s="71">
        <v>605712.83</v>
      </c>
      <c r="L12537" s="33" t="e">
        <f>HLOOKUP(B12537,#REF!,1,0)</f>
        <v>#REF!</v>
      </c>
      <c r="M12537" s="33" t="str">
        <f t="shared" si="787"/>
        <v>BS</v>
      </c>
    </row>
    <row r="12538" spans="1:13">
      <c r="A12538" s="33" t="str">
        <f t="shared" si="784"/>
        <v>LCP - AR-PPD</v>
      </c>
      <c r="B12538" s="33" t="str">
        <f t="shared" si="785"/>
        <v>LCP</v>
      </c>
      <c r="C12538" s="33" t="str">
        <f t="shared" si="786"/>
        <v>13820-0000</v>
      </c>
      <c r="D12538" t="s">
        <v>13645</v>
      </c>
      <c r="E12538" t="s">
        <v>387</v>
      </c>
      <c r="F12538" s="69" t="s">
        <v>230</v>
      </c>
      <c r="G12538" t="s">
        <v>388</v>
      </c>
      <c r="H12538" t="s">
        <v>35</v>
      </c>
      <c r="I12538" t="s">
        <v>64</v>
      </c>
      <c r="J12538" s="70">
        <v>520795.02</v>
      </c>
      <c r="K12538" s="71">
        <v>520795.02</v>
      </c>
      <c r="L12538" s="33" t="e">
        <f>HLOOKUP(B12538,#REF!,1,0)</f>
        <v>#REF!</v>
      </c>
      <c r="M12538" s="33" t="str">
        <f t="shared" si="787"/>
        <v>BS</v>
      </c>
    </row>
    <row r="12539" spans="1:13">
      <c r="A12539" s="33" t="str">
        <f t="shared" si="784"/>
        <v>LCP - Fixed Assets</v>
      </c>
      <c r="B12539" s="33" t="str">
        <f t="shared" si="785"/>
        <v>LCP</v>
      </c>
      <c r="C12539" s="33" t="str">
        <f t="shared" si="786"/>
        <v>14100-0000</v>
      </c>
      <c r="D12539" t="s">
        <v>13646</v>
      </c>
      <c r="E12539" t="s">
        <v>298</v>
      </c>
      <c r="F12539" s="69" t="s">
        <v>230</v>
      </c>
      <c r="G12539" t="s">
        <v>62</v>
      </c>
      <c r="H12539" t="s">
        <v>63</v>
      </c>
      <c r="I12539" t="s">
        <v>64</v>
      </c>
      <c r="J12539" s="70">
        <v>18000000</v>
      </c>
      <c r="K12539" s="71">
        <v>18000000</v>
      </c>
      <c r="L12539" s="33" t="e">
        <f>HLOOKUP(B12539,#REF!,1,0)</f>
        <v>#REF!</v>
      </c>
      <c r="M12539" s="33" t="str">
        <f t="shared" si="787"/>
        <v>BS</v>
      </c>
    </row>
    <row r="12540" spans="1:13">
      <c r="A12540" s="33" t="str">
        <f t="shared" si="784"/>
        <v>LCP - Fixed Assets</v>
      </c>
      <c r="B12540" s="33" t="str">
        <f t="shared" si="785"/>
        <v>LCP</v>
      </c>
      <c r="C12540" s="33" t="str">
        <f t="shared" si="786"/>
        <v>15000-0000</v>
      </c>
      <c r="D12540" t="s">
        <v>1511</v>
      </c>
      <c r="E12540" t="s">
        <v>13252</v>
      </c>
      <c r="F12540" s="69" t="s">
        <v>230</v>
      </c>
      <c r="G12540" t="s">
        <v>62</v>
      </c>
      <c r="H12540" t="s">
        <v>63</v>
      </c>
      <c r="I12540" t="s">
        <v>64</v>
      </c>
      <c r="J12540" s="70">
        <v>54000000</v>
      </c>
      <c r="K12540" s="71">
        <v>54000000</v>
      </c>
      <c r="L12540" s="33" t="e">
        <f>HLOOKUP(B12540,#REF!,1,0)</f>
        <v>#REF!</v>
      </c>
      <c r="M12540" s="33" t="str">
        <f t="shared" si="787"/>
        <v>BS</v>
      </c>
    </row>
    <row r="12541" spans="1:13">
      <c r="A12541" s="33" t="str">
        <f t="shared" si="784"/>
        <v>LCP - Fixed Assets</v>
      </c>
      <c r="B12541" s="33" t="str">
        <f t="shared" si="785"/>
        <v>LCP</v>
      </c>
      <c r="C12541" s="33" t="str">
        <f t="shared" si="786"/>
        <v>15500-0000</v>
      </c>
      <c r="D12541" t="s">
        <v>1512</v>
      </c>
      <c r="E12541" t="s">
        <v>302</v>
      </c>
      <c r="F12541" s="69" t="s">
        <v>230</v>
      </c>
      <c r="G12541" t="s">
        <v>62</v>
      </c>
      <c r="H12541" t="s">
        <v>63</v>
      </c>
      <c r="I12541" t="s">
        <v>64</v>
      </c>
      <c r="J12541" s="70">
        <v>1978120.69</v>
      </c>
      <c r="K12541" s="71">
        <v>1978120.69</v>
      </c>
      <c r="L12541" s="33" t="e">
        <f>HLOOKUP(B12541,#REF!,1,0)</f>
        <v>#REF!</v>
      </c>
      <c r="M12541" s="33" t="str">
        <f t="shared" si="787"/>
        <v>BS</v>
      </c>
    </row>
    <row r="12542" spans="1:13">
      <c r="A12542" s="33" t="str">
        <f t="shared" si="784"/>
        <v>LCP - Fixed Assets</v>
      </c>
      <c r="B12542" s="33" t="str">
        <f t="shared" si="785"/>
        <v>LCP</v>
      </c>
      <c r="C12542" s="33" t="str">
        <f t="shared" si="786"/>
        <v>15700-0000</v>
      </c>
      <c r="D12542" t="s">
        <v>13647</v>
      </c>
      <c r="E12542" t="s">
        <v>2635</v>
      </c>
      <c r="F12542" s="69" t="s">
        <v>230</v>
      </c>
      <c r="G12542" t="s">
        <v>62</v>
      </c>
      <c r="H12542" t="s">
        <v>63</v>
      </c>
      <c r="I12542" t="s">
        <v>64</v>
      </c>
      <c r="J12542" s="70">
        <v>9013.28</v>
      </c>
      <c r="K12542" s="71">
        <v>10688.84</v>
      </c>
      <c r="L12542" s="33" t="e">
        <f>HLOOKUP(B12542,#REF!,1,0)</f>
        <v>#REF!</v>
      </c>
      <c r="M12542" s="33" t="str">
        <f t="shared" si="787"/>
        <v>BS</v>
      </c>
    </row>
    <row r="12543" spans="1:13">
      <c r="A12543" s="33" t="str">
        <f t="shared" si="784"/>
        <v>LCP - Fixed Assets</v>
      </c>
      <c r="B12543" s="33" t="str">
        <f t="shared" si="785"/>
        <v>LCP</v>
      </c>
      <c r="C12543" s="33" t="str">
        <f t="shared" si="786"/>
        <v>17000-0000</v>
      </c>
      <c r="D12543" t="s">
        <v>1513</v>
      </c>
      <c r="E12543" t="s">
        <v>77</v>
      </c>
      <c r="F12543" s="69" t="s">
        <v>230</v>
      </c>
      <c r="G12543" t="s">
        <v>62</v>
      </c>
      <c r="H12543" t="s">
        <v>63</v>
      </c>
      <c r="I12543" t="s">
        <v>64</v>
      </c>
      <c r="J12543" s="70">
        <v>-4181894</v>
      </c>
      <c r="K12543" s="71">
        <v>-4181894</v>
      </c>
      <c r="L12543" s="33" t="e">
        <f>HLOOKUP(B12543,#REF!,1,0)</f>
        <v>#REF!</v>
      </c>
      <c r="M12543" s="33" t="str">
        <f t="shared" si="787"/>
        <v>BS</v>
      </c>
    </row>
    <row r="12544" spans="1:13">
      <c r="A12544" s="33" t="str">
        <f t="shared" si="784"/>
        <v>LCP - Fixed Assets</v>
      </c>
      <c r="B12544" s="33" t="str">
        <f t="shared" si="785"/>
        <v>LCP</v>
      </c>
      <c r="C12544" s="33" t="str">
        <f t="shared" si="786"/>
        <v>18000-0000</v>
      </c>
      <c r="D12544" t="s">
        <v>1514</v>
      </c>
      <c r="E12544" t="s">
        <v>88</v>
      </c>
      <c r="F12544" s="69" t="s">
        <v>230</v>
      </c>
      <c r="G12544" t="s">
        <v>62</v>
      </c>
      <c r="H12544" t="s">
        <v>63</v>
      </c>
      <c r="I12544" t="s">
        <v>81</v>
      </c>
      <c r="J12544" s="70">
        <v>-276830</v>
      </c>
      <c r="K12544" s="71">
        <v>-276830</v>
      </c>
      <c r="L12544" s="33" t="e">
        <f>HLOOKUP(B12544,#REF!,1,0)</f>
        <v>#REF!</v>
      </c>
      <c r="M12544" s="33" t="str">
        <f t="shared" si="787"/>
        <v>BS</v>
      </c>
    </row>
    <row r="12545" spans="1:13">
      <c r="A12545" s="33" t="str">
        <f t="shared" si="784"/>
        <v>LCP - AP-Accr Exp</v>
      </c>
      <c r="B12545" s="33" t="str">
        <f t="shared" si="785"/>
        <v>LCP</v>
      </c>
      <c r="C12545" s="33" t="str">
        <f t="shared" si="786"/>
        <v>22000-0000</v>
      </c>
      <c r="D12545" t="s">
        <v>13648</v>
      </c>
      <c r="E12545" t="s">
        <v>96</v>
      </c>
      <c r="F12545" s="69" t="s">
        <v>230</v>
      </c>
      <c r="G12545" t="s">
        <v>97</v>
      </c>
      <c r="H12545" t="s">
        <v>98</v>
      </c>
      <c r="I12545" t="s">
        <v>99</v>
      </c>
      <c r="J12545" s="70">
        <v>-2037.85</v>
      </c>
      <c r="K12545" s="71">
        <v>10843.8</v>
      </c>
      <c r="L12545" s="33" t="e">
        <f>HLOOKUP(B12545,#REF!,1,0)</f>
        <v>#REF!</v>
      </c>
      <c r="M12545" s="33" t="str">
        <f t="shared" si="787"/>
        <v>BS</v>
      </c>
    </row>
    <row r="12546" spans="1:13">
      <c r="A12546" s="33" t="str">
        <f t="shared" si="784"/>
        <v>LCP - AP-Accr Exp</v>
      </c>
      <c r="B12546" s="33" t="str">
        <f t="shared" si="785"/>
        <v>LCP</v>
      </c>
      <c r="C12546" s="33" t="str">
        <f t="shared" si="786"/>
        <v>22800-0000</v>
      </c>
      <c r="D12546" t="s">
        <v>13649</v>
      </c>
      <c r="E12546" t="s">
        <v>13256</v>
      </c>
      <c r="F12546" s="69" t="s">
        <v>230</v>
      </c>
      <c r="G12546" t="s">
        <v>97</v>
      </c>
      <c r="H12546" t="s">
        <v>98</v>
      </c>
      <c r="I12546" t="s">
        <v>102</v>
      </c>
      <c r="J12546" s="70">
        <v>-151584</v>
      </c>
      <c r="K12546" s="71">
        <v>-152584</v>
      </c>
      <c r="L12546" s="33" t="e">
        <f>HLOOKUP(B12546,#REF!,1,0)</f>
        <v>#REF!</v>
      </c>
      <c r="M12546" s="33" t="str">
        <f t="shared" si="787"/>
        <v>BS</v>
      </c>
    </row>
    <row r="12547" spans="1:13">
      <c r="A12547" s="33" t="str">
        <f t="shared" si="784"/>
        <v>LCP - Revenue</v>
      </c>
      <c r="B12547" s="33" t="str">
        <f t="shared" si="785"/>
        <v>LCP</v>
      </c>
      <c r="C12547" s="33" t="str">
        <f t="shared" si="786"/>
        <v>22905-0000</v>
      </c>
      <c r="D12547" t="s">
        <v>13650</v>
      </c>
      <c r="E12547" t="s">
        <v>13258</v>
      </c>
      <c r="F12547" s="69" t="s">
        <v>230</v>
      </c>
      <c r="G12547" t="s">
        <v>3717</v>
      </c>
      <c r="H12547" t="s">
        <v>2871</v>
      </c>
      <c r="I12547" t="s">
        <v>3721</v>
      </c>
      <c r="J12547" s="70">
        <v>-13587.05</v>
      </c>
      <c r="K12547" s="71">
        <v>-12602.09</v>
      </c>
      <c r="L12547" s="33" t="e">
        <f>HLOOKUP(B12547,#REF!,1,0)</f>
        <v>#REF!</v>
      </c>
      <c r="M12547" s="33" t="str">
        <f t="shared" si="787"/>
        <v>BS</v>
      </c>
    </row>
    <row r="12548" spans="1:13">
      <c r="A12548" s="33" t="str">
        <f t="shared" si="784"/>
        <v>LCP - AP-Accr Exp</v>
      </c>
      <c r="B12548" s="33" t="str">
        <f t="shared" si="785"/>
        <v>LCP</v>
      </c>
      <c r="C12548" s="33" t="str">
        <f t="shared" si="786"/>
        <v>23509-0000</v>
      </c>
      <c r="D12548" t="s">
        <v>1517</v>
      </c>
      <c r="E12548" t="s">
        <v>454</v>
      </c>
      <c r="F12548" s="69" t="s">
        <v>230</v>
      </c>
      <c r="G12548" t="s">
        <v>97</v>
      </c>
      <c r="H12548" t="s">
        <v>98</v>
      </c>
      <c r="I12548" t="s">
        <v>102</v>
      </c>
      <c r="J12548" s="70">
        <v>3861.06</v>
      </c>
      <c r="K12548" s="71">
        <v>624.43</v>
      </c>
      <c r="L12548" s="33" t="e">
        <f>HLOOKUP(B12548,#REF!,1,0)</f>
        <v>#REF!</v>
      </c>
      <c r="M12548" s="33" t="str">
        <f t="shared" si="787"/>
        <v>BS</v>
      </c>
    </row>
    <row r="12549" spans="1:13">
      <c r="A12549" s="33" t="str">
        <f t="shared" si="784"/>
        <v>LCP - Principal</v>
      </c>
      <c r="B12549" s="33" t="str">
        <f t="shared" si="785"/>
        <v>LCP</v>
      </c>
      <c r="C12549" s="33" t="str">
        <f t="shared" si="786"/>
        <v>28015-0000</v>
      </c>
      <c r="D12549" t="s">
        <v>13651</v>
      </c>
      <c r="E12549" t="s">
        <v>2863</v>
      </c>
      <c r="F12549" s="69" t="s">
        <v>230</v>
      </c>
      <c r="G12549" t="s">
        <v>123</v>
      </c>
      <c r="H12549" t="s">
        <v>127</v>
      </c>
      <c r="I12549" t="s">
        <v>133</v>
      </c>
      <c r="J12549" s="70">
        <v>-75000000</v>
      </c>
      <c r="K12549" s="71">
        <v>-75000000</v>
      </c>
      <c r="L12549" s="33" t="e">
        <f>HLOOKUP(B12549,#REF!,1,0)</f>
        <v>#REF!</v>
      </c>
      <c r="M12549" s="33" t="str">
        <f t="shared" si="787"/>
        <v>BS</v>
      </c>
    </row>
    <row r="12550" spans="1:13">
      <c r="A12550" s="33" t="str">
        <f t="shared" si="784"/>
        <v>LCP - SH Dist</v>
      </c>
      <c r="B12550" s="33" t="str">
        <f t="shared" si="785"/>
        <v>LCP</v>
      </c>
      <c r="C12550" s="33" t="str">
        <f t="shared" si="786"/>
        <v>31001-0000</v>
      </c>
      <c r="D12550" t="s">
        <v>1522</v>
      </c>
      <c r="E12550" t="s">
        <v>13652</v>
      </c>
      <c r="F12550" s="69" t="s">
        <v>230</v>
      </c>
      <c r="G12550" t="s">
        <v>142</v>
      </c>
      <c r="H12550" t="s">
        <v>143</v>
      </c>
      <c r="I12550" t="s">
        <v>144</v>
      </c>
      <c r="J12550" s="70">
        <v>-31524124.79</v>
      </c>
      <c r="K12550" s="71">
        <v>-31524124.79</v>
      </c>
      <c r="L12550" s="33" t="e">
        <f>HLOOKUP(B12550,#REF!,1,0)</f>
        <v>#REF!</v>
      </c>
      <c r="M12550" s="33" t="str">
        <f t="shared" si="787"/>
        <v>BS</v>
      </c>
    </row>
    <row r="12551" spans="1:13">
      <c r="A12551" s="33" t="str">
        <f t="shared" si="784"/>
        <v>LCP - SH Dist</v>
      </c>
      <c r="B12551" s="33" t="str">
        <f t="shared" si="785"/>
        <v>LCP</v>
      </c>
      <c r="C12551" s="33" t="str">
        <f t="shared" si="786"/>
        <v>31008-0000</v>
      </c>
      <c r="D12551" t="s">
        <v>1530</v>
      </c>
      <c r="E12551" t="s">
        <v>13653</v>
      </c>
      <c r="F12551" s="69" t="s">
        <v>230</v>
      </c>
      <c r="G12551" t="s">
        <v>142</v>
      </c>
      <c r="H12551" t="s">
        <v>143</v>
      </c>
      <c r="I12551" t="s">
        <v>144</v>
      </c>
      <c r="J12551" s="70">
        <v>-40000</v>
      </c>
      <c r="K12551" s="71">
        <v>-40000</v>
      </c>
      <c r="L12551" s="33" t="e">
        <f>HLOOKUP(B12551,#REF!,1,0)</f>
        <v>#REF!</v>
      </c>
      <c r="M12551" s="33" t="str">
        <f t="shared" si="787"/>
        <v>BS</v>
      </c>
    </row>
    <row r="12552" spans="1:13">
      <c r="A12552" s="33" t="str">
        <f t="shared" si="784"/>
        <v>LCP - SH Dist</v>
      </c>
      <c r="B12552" s="33" t="str">
        <f t="shared" si="785"/>
        <v>LCP</v>
      </c>
      <c r="C12552" s="33" t="str">
        <f t="shared" si="786"/>
        <v>31009-0000</v>
      </c>
      <c r="D12552" t="s">
        <v>13654</v>
      </c>
      <c r="E12552" t="s">
        <v>13655</v>
      </c>
      <c r="F12552" s="69" t="s">
        <v>230</v>
      </c>
      <c r="G12552" t="s">
        <v>142</v>
      </c>
      <c r="H12552" t="s">
        <v>143</v>
      </c>
      <c r="I12552" t="s">
        <v>144</v>
      </c>
      <c r="J12552" s="70">
        <v>-1000000</v>
      </c>
      <c r="K12552" s="71">
        <v>-1000000</v>
      </c>
      <c r="L12552" s="33" t="e">
        <f>HLOOKUP(B12552,#REF!,1,0)</f>
        <v>#REF!</v>
      </c>
      <c r="M12552" s="33" t="str">
        <f t="shared" si="787"/>
        <v>BS</v>
      </c>
    </row>
    <row r="12553" spans="1:13">
      <c r="A12553" s="33" t="str">
        <f t="shared" si="784"/>
        <v>LCP - SH Dist</v>
      </c>
      <c r="B12553" s="33" t="str">
        <f t="shared" si="785"/>
        <v>LCP</v>
      </c>
      <c r="C12553" s="33" t="str">
        <f t="shared" si="786"/>
        <v>31012-0000</v>
      </c>
      <c r="D12553" t="s">
        <v>13656</v>
      </c>
      <c r="E12553" t="s">
        <v>13657</v>
      </c>
      <c r="F12553" s="69" t="s">
        <v>230</v>
      </c>
      <c r="G12553" t="s">
        <v>142</v>
      </c>
      <c r="H12553" t="s">
        <v>143</v>
      </c>
      <c r="I12553" t="s">
        <v>144</v>
      </c>
      <c r="J12553" s="70">
        <v>-178700</v>
      </c>
      <c r="K12553" s="71">
        <v>-178700</v>
      </c>
      <c r="L12553" s="33" t="e">
        <f>HLOOKUP(B12553,#REF!,1,0)</f>
        <v>#REF!</v>
      </c>
      <c r="M12553" s="33" t="str">
        <f t="shared" si="787"/>
        <v>BS</v>
      </c>
    </row>
    <row r="12554" spans="1:13">
      <c r="A12554" s="33" t="str">
        <f t="shared" si="784"/>
        <v>LCP - SH Dist</v>
      </c>
      <c r="B12554" s="33" t="str">
        <f t="shared" si="785"/>
        <v>LCP</v>
      </c>
      <c r="C12554" s="33" t="str">
        <f t="shared" si="786"/>
        <v>31015-0000</v>
      </c>
      <c r="D12554" t="s">
        <v>13658</v>
      </c>
      <c r="E12554" t="s">
        <v>13659</v>
      </c>
      <c r="F12554" s="69" t="s">
        <v>230</v>
      </c>
      <c r="G12554" t="s">
        <v>142</v>
      </c>
      <c r="H12554" t="s">
        <v>143</v>
      </c>
      <c r="I12554" t="s">
        <v>144</v>
      </c>
      <c r="J12554" s="70">
        <v>-130000</v>
      </c>
      <c r="K12554" s="71">
        <v>-130000</v>
      </c>
      <c r="L12554" s="33" t="e">
        <f>HLOOKUP(B12554,#REF!,1,0)</f>
        <v>#REF!</v>
      </c>
      <c r="M12554" s="33" t="str">
        <f t="shared" si="787"/>
        <v>BS</v>
      </c>
    </row>
    <row r="12555" spans="1:13">
      <c r="A12555" s="33" t="str">
        <f t="shared" si="784"/>
        <v>LCP - SH Dist</v>
      </c>
      <c r="B12555" s="33" t="str">
        <f t="shared" si="785"/>
        <v>LCP</v>
      </c>
      <c r="C12555" s="33" t="str">
        <f t="shared" si="786"/>
        <v>36000-0000</v>
      </c>
      <c r="D12555" t="s">
        <v>13660</v>
      </c>
      <c r="E12555" t="s">
        <v>13262</v>
      </c>
      <c r="F12555" s="69" t="s">
        <v>230</v>
      </c>
      <c r="G12555" t="s">
        <v>142</v>
      </c>
      <c r="H12555" t="s">
        <v>143</v>
      </c>
      <c r="I12555" t="s">
        <v>144</v>
      </c>
      <c r="J12555" s="70">
        <v>29894940.11</v>
      </c>
      <c r="K12555" s="71">
        <v>29894940.11</v>
      </c>
      <c r="L12555" s="33" t="e">
        <f>HLOOKUP(B12555,#REF!,1,0)</f>
        <v>#REF!</v>
      </c>
      <c r="M12555" s="33" t="str">
        <f t="shared" si="787"/>
        <v>BS</v>
      </c>
    </row>
    <row r="12556" spans="1:13">
      <c r="A12556" s="33" t="str">
        <f t="shared" si="784"/>
        <v>LCP - SH Dist</v>
      </c>
      <c r="B12556" s="33" t="str">
        <f t="shared" si="785"/>
        <v>LCP</v>
      </c>
      <c r="C12556" s="33" t="str">
        <f t="shared" si="786"/>
        <v>36005-0000</v>
      </c>
      <c r="D12556" t="s">
        <v>13661</v>
      </c>
      <c r="E12556" t="s">
        <v>13264</v>
      </c>
      <c r="F12556" s="69" t="s">
        <v>230</v>
      </c>
      <c r="G12556" t="s">
        <v>142</v>
      </c>
      <c r="H12556" t="s">
        <v>143</v>
      </c>
      <c r="I12556" t="s">
        <v>144</v>
      </c>
      <c r="J12556" s="70">
        <v>348576.73</v>
      </c>
      <c r="K12556" s="71">
        <v>348576.73</v>
      </c>
      <c r="L12556" s="33" t="e">
        <f>HLOOKUP(B12556,#REF!,1,0)</f>
        <v>#REF!</v>
      </c>
      <c r="M12556" s="33" t="str">
        <f t="shared" si="787"/>
        <v>BS</v>
      </c>
    </row>
    <row r="12557" spans="1:13">
      <c r="A12557" s="33" t="str">
        <f t="shared" si="784"/>
        <v>LCP - SH Dist</v>
      </c>
      <c r="B12557" s="33" t="str">
        <f t="shared" si="785"/>
        <v>LCP</v>
      </c>
      <c r="C12557" s="33" t="str">
        <f t="shared" si="786"/>
        <v>36008-0000</v>
      </c>
      <c r="D12557" t="s">
        <v>13662</v>
      </c>
      <c r="E12557" t="s">
        <v>13663</v>
      </c>
      <c r="F12557" s="69" t="s">
        <v>230</v>
      </c>
      <c r="G12557" t="s">
        <v>142</v>
      </c>
      <c r="H12557" t="s">
        <v>143</v>
      </c>
      <c r="I12557" t="s">
        <v>144</v>
      </c>
      <c r="J12557" s="70">
        <v>20000</v>
      </c>
      <c r="K12557" s="71">
        <v>20000</v>
      </c>
      <c r="L12557" s="33" t="e">
        <f>HLOOKUP(B12557,#REF!,1,0)</f>
        <v>#REF!</v>
      </c>
      <c r="M12557" s="33" t="str">
        <f t="shared" si="787"/>
        <v>BS</v>
      </c>
    </row>
    <row r="12558" spans="1:13">
      <c r="A12558" s="33" t="str">
        <f t="shared" si="784"/>
        <v>LCP - Retained Earnings</v>
      </c>
      <c r="B12558" s="33" t="str">
        <f t="shared" si="785"/>
        <v>LCP</v>
      </c>
      <c r="C12558" s="33" t="str">
        <f t="shared" si="786"/>
        <v>38100-0000</v>
      </c>
      <c r="D12558" t="s">
        <v>13664</v>
      </c>
      <c r="E12558" t="s">
        <v>234</v>
      </c>
      <c r="F12558" s="69" t="s">
        <v>230</v>
      </c>
      <c r="G12558" t="s">
        <v>142</v>
      </c>
      <c r="H12558" t="s">
        <v>149</v>
      </c>
      <c r="I12558" t="s">
        <v>235</v>
      </c>
      <c r="J12558" s="70">
        <v>6589817.58</v>
      </c>
      <c r="K12558" s="71">
        <v>6589817.58</v>
      </c>
      <c r="L12558" s="33" t="e">
        <f>HLOOKUP(B12558,#REF!,1,0)</f>
        <v>#REF!</v>
      </c>
      <c r="M12558" s="33" t="str">
        <f t="shared" si="787"/>
        <v>BS</v>
      </c>
    </row>
    <row r="12559" spans="1:13">
      <c r="A12559" s="33" t="str">
        <f t="shared" ref="A12559:A12622" si="788">B12559&amp;" - "&amp;TRIM(H12559)</f>
        <v>LCP - Revenue</v>
      </c>
      <c r="B12559" s="33" t="str">
        <f t="shared" ref="B12559:B12622" si="789">LEFT(D12559,3)</f>
        <v>LCP</v>
      </c>
      <c r="C12559" s="33" t="str">
        <f t="shared" ref="C12559:C12622" si="790">RIGHT(D12559,10)</f>
        <v>40110-0000</v>
      </c>
      <c r="D12559" t="s">
        <v>7071</v>
      </c>
      <c r="E12559" t="s">
        <v>3683</v>
      </c>
      <c r="F12559" s="69" t="s">
        <v>230</v>
      </c>
      <c r="G12559" t="s">
        <v>3684</v>
      </c>
      <c r="H12559" t="s">
        <v>2871</v>
      </c>
      <c r="I12559" t="s">
        <v>3685</v>
      </c>
      <c r="J12559" s="70">
        <v>-4548033</v>
      </c>
      <c r="K12559" s="71">
        <v>-4548033</v>
      </c>
      <c r="L12559" s="33" t="e">
        <f>HLOOKUP(B12559,#REF!,1,0)</f>
        <v>#REF!</v>
      </c>
      <c r="M12559" s="33" t="str">
        <f t="shared" ref="M12559:M12622" si="791">IF(VALUE(LEFT(C12559,5))&gt;40000,"P&amp;L","BS")</f>
        <v>P&amp;L</v>
      </c>
    </row>
    <row r="12560" spans="1:13">
      <c r="A12560" s="33" t="str">
        <f t="shared" si="788"/>
        <v>LCP - Revenue</v>
      </c>
      <c r="B12560" s="33" t="str">
        <f t="shared" si="789"/>
        <v>LCP</v>
      </c>
      <c r="C12560" s="33" t="str">
        <f t="shared" si="790"/>
        <v>40120-0000</v>
      </c>
      <c r="D12560" t="s">
        <v>7072</v>
      </c>
      <c r="E12560" t="s">
        <v>3687</v>
      </c>
      <c r="F12560" s="69" t="s">
        <v>230</v>
      </c>
      <c r="G12560" t="s">
        <v>3684</v>
      </c>
      <c r="H12560" t="s">
        <v>2871</v>
      </c>
      <c r="I12560" t="s">
        <v>3688</v>
      </c>
      <c r="J12560" s="70">
        <v>-92818</v>
      </c>
      <c r="K12560" s="71">
        <v>-92818</v>
      </c>
      <c r="L12560" s="33" t="e">
        <f>HLOOKUP(B12560,#REF!,1,0)</f>
        <v>#REF!</v>
      </c>
      <c r="M12560" s="33" t="str">
        <f t="shared" si="791"/>
        <v>P&amp;L</v>
      </c>
    </row>
    <row r="12561" spans="1:13">
      <c r="A12561" s="33" t="str">
        <f t="shared" si="788"/>
        <v>LCP - Revenue</v>
      </c>
      <c r="B12561" s="33" t="str">
        <f t="shared" si="789"/>
        <v>LCP</v>
      </c>
      <c r="C12561" s="33" t="str">
        <f t="shared" si="790"/>
        <v>40130-0000</v>
      </c>
      <c r="D12561" t="s">
        <v>7073</v>
      </c>
      <c r="E12561" t="s">
        <v>3690</v>
      </c>
      <c r="F12561" s="69" t="s">
        <v>230</v>
      </c>
      <c r="G12561" t="s">
        <v>3684</v>
      </c>
      <c r="H12561" t="s">
        <v>2871</v>
      </c>
      <c r="I12561" t="s">
        <v>3691</v>
      </c>
      <c r="J12561" s="70">
        <v>-100817.2</v>
      </c>
      <c r="K12561" s="71">
        <v>-100817.2</v>
      </c>
      <c r="L12561" s="33" t="e">
        <f>HLOOKUP(B12561,#REF!,1,0)</f>
        <v>#REF!</v>
      </c>
      <c r="M12561" s="33" t="str">
        <f t="shared" si="791"/>
        <v>P&amp;L</v>
      </c>
    </row>
    <row r="12562" spans="1:13">
      <c r="A12562" s="33" t="str">
        <f t="shared" si="788"/>
        <v>LCP - Revenue</v>
      </c>
      <c r="B12562" s="33" t="str">
        <f t="shared" si="789"/>
        <v>LCP</v>
      </c>
      <c r="C12562" s="33" t="str">
        <f t="shared" si="790"/>
        <v>41110-0000</v>
      </c>
      <c r="D12562" t="s">
        <v>7074</v>
      </c>
      <c r="E12562" t="s">
        <v>3716</v>
      </c>
      <c r="F12562" s="69" t="s">
        <v>230</v>
      </c>
      <c r="G12562" t="s">
        <v>3717</v>
      </c>
      <c r="H12562" t="s">
        <v>2871</v>
      </c>
      <c r="I12562" t="s">
        <v>3718</v>
      </c>
      <c r="J12562" s="70">
        <v>-4430717.31</v>
      </c>
      <c r="K12562" s="71">
        <v>-5066178.31</v>
      </c>
      <c r="L12562" s="33" t="e">
        <f>HLOOKUP(B12562,#REF!,1,0)</f>
        <v>#REF!</v>
      </c>
      <c r="M12562" s="33" t="str">
        <f t="shared" si="791"/>
        <v>P&amp;L</v>
      </c>
    </row>
    <row r="12563" spans="1:13">
      <c r="A12563" s="33" t="str">
        <f t="shared" si="788"/>
        <v>LCP - Revenue</v>
      </c>
      <c r="B12563" s="33" t="str">
        <f t="shared" si="789"/>
        <v>LCP</v>
      </c>
      <c r="C12563" s="33" t="str">
        <f t="shared" si="790"/>
        <v>41120-0000</v>
      </c>
      <c r="D12563" t="s">
        <v>13665</v>
      </c>
      <c r="E12563" t="s">
        <v>13267</v>
      </c>
      <c r="F12563" s="69" t="s">
        <v>230</v>
      </c>
      <c r="G12563" t="s">
        <v>3717</v>
      </c>
      <c r="H12563" t="s">
        <v>2871</v>
      </c>
      <c r="I12563" t="s">
        <v>3718</v>
      </c>
      <c r="J12563" s="70">
        <v>0</v>
      </c>
      <c r="K12563" s="71">
        <v>80763</v>
      </c>
      <c r="L12563" s="33" t="e">
        <f>HLOOKUP(B12563,#REF!,1,0)</f>
        <v>#REF!</v>
      </c>
      <c r="M12563" s="33" t="str">
        <f t="shared" si="791"/>
        <v>P&amp;L</v>
      </c>
    </row>
    <row r="12564" spans="1:13">
      <c r="A12564" s="33" t="str">
        <f t="shared" si="788"/>
        <v>LCP - Revenue</v>
      </c>
      <c r="B12564" s="33" t="str">
        <f t="shared" si="789"/>
        <v>LCP</v>
      </c>
      <c r="C12564" s="33" t="str">
        <f t="shared" si="790"/>
        <v>42110-0000</v>
      </c>
      <c r="D12564" t="s">
        <v>13666</v>
      </c>
      <c r="E12564" t="s">
        <v>13269</v>
      </c>
      <c r="F12564" s="69" t="s">
        <v>230</v>
      </c>
      <c r="G12564" t="s">
        <v>3694</v>
      </c>
      <c r="H12564" t="s">
        <v>2871</v>
      </c>
      <c r="I12564" t="s">
        <v>3695</v>
      </c>
      <c r="J12564" s="70">
        <v>231705.59</v>
      </c>
      <c r="K12564" s="71">
        <v>249039.82</v>
      </c>
      <c r="L12564" s="33" t="e">
        <f>HLOOKUP(B12564,#REF!,1,0)</f>
        <v>#REF!</v>
      </c>
      <c r="M12564" s="33" t="str">
        <f t="shared" si="791"/>
        <v>P&amp;L</v>
      </c>
    </row>
    <row r="12565" spans="1:13">
      <c r="A12565" s="33" t="str">
        <f t="shared" si="788"/>
        <v>LCP - Revenue</v>
      </c>
      <c r="B12565" s="33" t="str">
        <f t="shared" si="789"/>
        <v>LCP</v>
      </c>
      <c r="C12565" s="33" t="str">
        <f t="shared" si="790"/>
        <v>42130-0000</v>
      </c>
      <c r="D12565" t="s">
        <v>13667</v>
      </c>
      <c r="E12565" t="s">
        <v>13374</v>
      </c>
      <c r="F12565" s="69" t="s">
        <v>230</v>
      </c>
      <c r="G12565" t="s">
        <v>3694</v>
      </c>
      <c r="H12565" t="s">
        <v>2871</v>
      </c>
      <c r="I12565" t="s">
        <v>3704</v>
      </c>
      <c r="J12565" s="70">
        <v>34179</v>
      </c>
      <c r="K12565" s="71">
        <v>34179</v>
      </c>
      <c r="L12565" s="33" t="e">
        <f>HLOOKUP(B12565,#REF!,1,0)</f>
        <v>#REF!</v>
      </c>
      <c r="M12565" s="33" t="str">
        <f t="shared" si="791"/>
        <v>P&amp;L</v>
      </c>
    </row>
    <row r="12566" spans="1:13">
      <c r="A12566" s="33" t="str">
        <f t="shared" si="788"/>
        <v>LCP - Revenue</v>
      </c>
      <c r="B12566" s="33" t="str">
        <f t="shared" si="789"/>
        <v>LCP</v>
      </c>
      <c r="C12566" s="33" t="str">
        <f t="shared" si="790"/>
        <v>42140-0000</v>
      </c>
      <c r="D12566" t="s">
        <v>13668</v>
      </c>
      <c r="E12566" t="s">
        <v>13610</v>
      </c>
      <c r="F12566" s="69" t="s">
        <v>230</v>
      </c>
      <c r="G12566" t="s">
        <v>3694</v>
      </c>
      <c r="H12566" t="s">
        <v>2871</v>
      </c>
      <c r="I12566" t="s">
        <v>3707</v>
      </c>
      <c r="J12566" s="70">
        <v>67935</v>
      </c>
      <c r="K12566" s="71">
        <v>67935</v>
      </c>
      <c r="L12566" s="33" t="e">
        <f>HLOOKUP(B12566,#REF!,1,0)</f>
        <v>#REF!</v>
      </c>
      <c r="M12566" s="33" t="str">
        <f t="shared" si="791"/>
        <v>P&amp;L</v>
      </c>
    </row>
    <row r="12567" spans="1:13">
      <c r="A12567" s="33" t="str">
        <f t="shared" si="788"/>
        <v>LCP - Revenue</v>
      </c>
      <c r="B12567" s="33" t="str">
        <f t="shared" si="789"/>
        <v>LCP</v>
      </c>
      <c r="C12567" s="33" t="str">
        <f t="shared" si="790"/>
        <v>42150-0000</v>
      </c>
      <c r="D12567" t="s">
        <v>13669</v>
      </c>
      <c r="E12567" t="s">
        <v>13271</v>
      </c>
      <c r="F12567" s="69" t="s">
        <v>230</v>
      </c>
      <c r="G12567" t="s">
        <v>3694</v>
      </c>
      <c r="H12567" t="s">
        <v>2871</v>
      </c>
      <c r="I12567" t="s">
        <v>3710</v>
      </c>
      <c r="J12567" s="70">
        <v>34474.74</v>
      </c>
      <c r="K12567" s="71">
        <v>38184.74</v>
      </c>
      <c r="L12567" s="33" t="e">
        <f>HLOOKUP(B12567,#REF!,1,0)</f>
        <v>#REF!</v>
      </c>
      <c r="M12567" s="33" t="str">
        <f t="shared" si="791"/>
        <v>P&amp;L</v>
      </c>
    </row>
    <row r="12568" spans="1:13">
      <c r="A12568" s="33" t="str">
        <f t="shared" si="788"/>
        <v>LCP - Revenue</v>
      </c>
      <c r="B12568" s="33" t="str">
        <f t="shared" si="789"/>
        <v>LCP</v>
      </c>
      <c r="C12568" s="33" t="str">
        <f t="shared" si="790"/>
        <v>42160-0000</v>
      </c>
      <c r="D12568" t="s">
        <v>13670</v>
      </c>
      <c r="E12568" t="s">
        <v>3957</v>
      </c>
      <c r="F12568" s="69" t="s">
        <v>230</v>
      </c>
      <c r="G12568" t="s">
        <v>3694</v>
      </c>
      <c r="H12568" t="s">
        <v>2871</v>
      </c>
      <c r="I12568" t="s">
        <v>3701</v>
      </c>
      <c r="J12568" s="70">
        <v>-20020.4</v>
      </c>
      <c r="K12568" s="71">
        <v>-20020.4</v>
      </c>
      <c r="L12568" s="33" t="e">
        <f>HLOOKUP(B12568,#REF!,1,0)</f>
        <v>#REF!</v>
      </c>
      <c r="M12568" s="33" t="str">
        <f t="shared" si="791"/>
        <v>P&amp;L</v>
      </c>
    </row>
    <row r="12569" spans="1:13">
      <c r="A12569" s="33" t="str">
        <f t="shared" si="788"/>
        <v>LCP - Revenue</v>
      </c>
      <c r="B12569" s="33" t="str">
        <f t="shared" si="789"/>
        <v>LCP</v>
      </c>
      <c r="C12569" s="33" t="str">
        <f t="shared" si="790"/>
        <v>43120-0000</v>
      </c>
      <c r="D12569" t="s">
        <v>13671</v>
      </c>
      <c r="E12569" t="s">
        <v>3700</v>
      </c>
      <c r="F12569" s="69" t="s">
        <v>230</v>
      </c>
      <c r="G12569" t="s">
        <v>3694</v>
      </c>
      <c r="H12569" t="s">
        <v>2871</v>
      </c>
      <c r="I12569" t="s">
        <v>3701</v>
      </c>
      <c r="J12569" s="70">
        <v>-64786.78</v>
      </c>
      <c r="K12569" s="71">
        <v>-64786.78</v>
      </c>
      <c r="L12569" s="33" t="e">
        <f>HLOOKUP(B12569,#REF!,1,0)</f>
        <v>#REF!</v>
      </c>
      <c r="M12569" s="33" t="str">
        <f t="shared" si="791"/>
        <v>P&amp;L</v>
      </c>
    </row>
    <row r="12570" spans="1:13">
      <c r="A12570" s="33" t="str">
        <f t="shared" si="788"/>
        <v>LCP - Revenue</v>
      </c>
      <c r="B12570" s="33" t="str">
        <f t="shared" si="789"/>
        <v>LCP</v>
      </c>
      <c r="C12570" s="33" t="str">
        <f t="shared" si="790"/>
        <v>43121-0000</v>
      </c>
      <c r="D12570" t="s">
        <v>13672</v>
      </c>
      <c r="E12570" t="s">
        <v>7768</v>
      </c>
      <c r="F12570" s="69" t="s">
        <v>230</v>
      </c>
      <c r="G12570" t="s">
        <v>3694</v>
      </c>
      <c r="H12570" t="s">
        <v>2871</v>
      </c>
      <c r="I12570" t="s">
        <v>3698</v>
      </c>
      <c r="J12570" s="70">
        <v>166815.47</v>
      </c>
      <c r="K12570" s="71">
        <v>166815.47</v>
      </c>
      <c r="L12570" s="33" t="e">
        <f>HLOOKUP(B12570,#REF!,1,0)</f>
        <v>#REF!</v>
      </c>
      <c r="M12570" s="33" t="str">
        <f t="shared" si="791"/>
        <v>P&amp;L</v>
      </c>
    </row>
    <row r="12571" spans="1:13">
      <c r="A12571" s="33" t="str">
        <f t="shared" si="788"/>
        <v>LCP - Revenue</v>
      </c>
      <c r="B12571" s="33" t="str">
        <f t="shared" si="789"/>
        <v>LCP</v>
      </c>
      <c r="C12571" s="33" t="str">
        <f t="shared" si="790"/>
        <v>43410-0000</v>
      </c>
      <c r="D12571" t="s">
        <v>13673</v>
      </c>
      <c r="E12571" t="s">
        <v>13276</v>
      </c>
      <c r="F12571" s="69" t="s">
        <v>230</v>
      </c>
      <c r="G12571" t="s">
        <v>3717</v>
      </c>
      <c r="H12571" t="s">
        <v>2871</v>
      </c>
      <c r="I12571" t="s">
        <v>3727</v>
      </c>
      <c r="J12571" s="70">
        <v>-13205.51</v>
      </c>
      <c r="K12571" s="71">
        <v>-13230.51</v>
      </c>
      <c r="L12571" s="33" t="e">
        <f>HLOOKUP(B12571,#REF!,1,0)</f>
        <v>#REF!</v>
      </c>
      <c r="M12571" s="33" t="str">
        <f t="shared" si="791"/>
        <v>P&amp;L</v>
      </c>
    </row>
    <row r="12572" spans="1:13">
      <c r="A12572" s="33" t="str">
        <f t="shared" si="788"/>
        <v>LCP - Revenue</v>
      </c>
      <c r="B12572" s="33" t="str">
        <f t="shared" si="789"/>
        <v>LCP</v>
      </c>
      <c r="C12572" s="33" t="str">
        <f t="shared" si="790"/>
        <v>43430-0000</v>
      </c>
      <c r="D12572" t="s">
        <v>13674</v>
      </c>
      <c r="E12572" t="s">
        <v>4053</v>
      </c>
      <c r="F12572" s="69" t="s">
        <v>230</v>
      </c>
      <c r="G12572" t="s">
        <v>3717</v>
      </c>
      <c r="H12572" t="s">
        <v>2871</v>
      </c>
      <c r="I12572" t="s">
        <v>4054</v>
      </c>
      <c r="J12572" s="70">
        <v>-2639.47</v>
      </c>
      <c r="K12572" s="71">
        <v>-2639.47</v>
      </c>
      <c r="L12572" s="33" t="e">
        <f>HLOOKUP(B12572,#REF!,1,0)</f>
        <v>#REF!</v>
      </c>
      <c r="M12572" s="33" t="str">
        <f t="shared" si="791"/>
        <v>P&amp;L</v>
      </c>
    </row>
    <row r="12573" spans="1:13">
      <c r="A12573" s="33" t="str">
        <f t="shared" si="788"/>
        <v>LCP - Revenue</v>
      </c>
      <c r="B12573" s="33" t="str">
        <f t="shared" si="789"/>
        <v>LCP</v>
      </c>
      <c r="C12573" s="33" t="str">
        <f t="shared" si="790"/>
        <v>43440-0000</v>
      </c>
      <c r="D12573" t="s">
        <v>13675</v>
      </c>
      <c r="E12573" t="s">
        <v>13278</v>
      </c>
      <c r="F12573" s="69" t="s">
        <v>230</v>
      </c>
      <c r="G12573" t="s">
        <v>3717</v>
      </c>
      <c r="H12573" t="s">
        <v>2871</v>
      </c>
      <c r="I12573" t="s">
        <v>3721</v>
      </c>
      <c r="J12573" s="70">
        <v>-45947.53</v>
      </c>
      <c r="K12573" s="71">
        <v>-48206.72</v>
      </c>
      <c r="L12573" s="33" t="e">
        <f>HLOOKUP(B12573,#REF!,1,0)</f>
        <v>#REF!</v>
      </c>
      <c r="M12573" s="33" t="str">
        <f t="shared" si="791"/>
        <v>P&amp;L</v>
      </c>
    </row>
    <row r="12574" spans="1:13">
      <c r="A12574" s="33" t="str">
        <f t="shared" si="788"/>
        <v>LCP - AP-Accr Exp</v>
      </c>
      <c r="B12574" s="33" t="str">
        <f t="shared" si="789"/>
        <v>LCP</v>
      </c>
      <c r="C12574" s="33" t="str">
        <f t="shared" si="790"/>
        <v>43480-0000</v>
      </c>
      <c r="D12574" t="s">
        <v>13676</v>
      </c>
      <c r="E12574" t="s">
        <v>13280</v>
      </c>
      <c r="F12574" s="69" t="s">
        <v>230</v>
      </c>
      <c r="G12574" t="s">
        <v>97</v>
      </c>
      <c r="H12574" t="s">
        <v>98</v>
      </c>
      <c r="I12574" t="s">
        <v>102</v>
      </c>
      <c r="J12574" s="70">
        <v>-7254.3</v>
      </c>
      <c r="K12574" s="71">
        <v>-7254.3</v>
      </c>
      <c r="L12574" s="33" t="e">
        <f>HLOOKUP(B12574,#REF!,1,0)</f>
        <v>#REF!</v>
      </c>
      <c r="M12574" s="33" t="str">
        <f t="shared" si="791"/>
        <v>P&amp;L</v>
      </c>
    </row>
    <row r="12575" spans="1:13">
      <c r="A12575" s="33" t="str">
        <f t="shared" si="788"/>
        <v>LCP - Revenue</v>
      </c>
      <c r="B12575" s="33" t="str">
        <f t="shared" si="789"/>
        <v>LCP</v>
      </c>
      <c r="C12575" s="33" t="str">
        <f t="shared" si="790"/>
        <v>43490-0000</v>
      </c>
      <c r="D12575" t="s">
        <v>13677</v>
      </c>
      <c r="E12575" t="s">
        <v>13282</v>
      </c>
      <c r="F12575" s="69" t="s">
        <v>230</v>
      </c>
      <c r="G12575" t="s">
        <v>3717</v>
      </c>
      <c r="H12575" t="s">
        <v>2871</v>
      </c>
      <c r="I12575" t="s">
        <v>3721</v>
      </c>
      <c r="J12575" s="70">
        <v>-12417.69</v>
      </c>
      <c r="K12575" s="71">
        <v>-12417.69</v>
      </c>
      <c r="L12575" s="33" t="e">
        <f>HLOOKUP(B12575,#REF!,1,0)</f>
        <v>#REF!</v>
      </c>
      <c r="M12575" s="33" t="str">
        <f t="shared" si="791"/>
        <v>P&amp;L</v>
      </c>
    </row>
    <row r="12576" spans="1:13">
      <c r="A12576" s="33" t="str">
        <f t="shared" si="788"/>
        <v>LCP - Revenue</v>
      </c>
      <c r="B12576" s="33" t="str">
        <f t="shared" si="789"/>
        <v>LCP</v>
      </c>
      <c r="C12576" s="33" t="str">
        <f t="shared" si="790"/>
        <v>43491-0000</v>
      </c>
      <c r="D12576" t="s">
        <v>13678</v>
      </c>
      <c r="E12576" t="s">
        <v>3733</v>
      </c>
      <c r="F12576" s="69" t="s">
        <v>230</v>
      </c>
      <c r="G12576" t="s">
        <v>3717</v>
      </c>
      <c r="H12576" t="s">
        <v>2871</v>
      </c>
      <c r="I12576" t="s">
        <v>3734</v>
      </c>
      <c r="J12576" s="70">
        <v>-156221.18</v>
      </c>
      <c r="K12576" s="71">
        <v>-178927.21</v>
      </c>
      <c r="L12576" s="33" t="e">
        <f>HLOOKUP(B12576,#REF!,1,0)</f>
        <v>#REF!</v>
      </c>
      <c r="M12576" s="33" t="str">
        <f t="shared" si="791"/>
        <v>P&amp;L</v>
      </c>
    </row>
    <row r="12577" spans="1:13">
      <c r="A12577" s="33" t="str">
        <f t="shared" si="788"/>
        <v>LCP - Revenue</v>
      </c>
      <c r="B12577" s="33" t="str">
        <f t="shared" si="789"/>
        <v>LCP</v>
      </c>
      <c r="C12577" s="33" t="str">
        <f t="shared" si="790"/>
        <v>43492-0000</v>
      </c>
      <c r="D12577" t="s">
        <v>13679</v>
      </c>
      <c r="E12577" t="s">
        <v>13285</v>
      </c>
      <c r="F12577" s="69" t="s">
        <v>230</v>
      </c>
      <c r="G12577" t="s">
        <v>3717</v>
      </c>
      <c r="H12577" t="s">
        <v>2871</v>
      </c>
      <c r="I12577" t="s">
        <v>3737</v>
      </c>
      <c r="J12577" s="70">
        <v>-9458.34</v>
      </c>
      <c r="K12577" s="71">
        <v>-10710.6</v>
      </c>
      <c r="L12577" s="33" t="e">
        <f>HLOOKUP(B12577,#REF!,1,0)</f>
        <v>#REF!</v>
      </c>
      <c r="M12577" s="33" t="str">
        <f t="shared" si="791"/>
        <v>P&amp;L</v>
      </c>
    </row>
    <row r="12578" spans="1:13">
      <c r="A12578" s="33" t="str">
        <f t="shared" si="788"/>
        <v>LCP - Revenue</v>
      </c>
      <c r="B12578" s="33" t="str">
        <f t="shared" si="789"/>
        <v>LCP</v>
      </c>
      <c r="C12578" s="33" t="str">
        <f t="shared" si="790"/>
        <v>49500-9999</v>
      </c>
      <c r="D12578" t="s">
        <v>13680</v>
      </c>
      <c r="E12578" t="s">
        <v>7244</v>
      </c>
      <c r="F12578" s="69" t="s">
        <v>230</v>
      </c>
      <c r="G12578" t="s">
        <v>3713</v>
      </c>
      <c r="H12578" t="s">
        <v>2871</v>
      </c>
      <c r="I12578" t="s">
        <v>3714</v>
      </c>
      <c r="J12578" s="70">
        <v>4304952.63</v>
      </c>
      <c r="K12578" s="71">
        <v>4304952.63</v>
      </c>
      <c r="L12578" s="33" t="e">
        <f>HLOOKUP(B12578,#REF!,1,0)</f>
        <v>#REF!</v>
      </c>
      <c r="M12578" s="33" t="str">
        <f t="shared" si="791"/>
        <v>P&amp;L</v>
      </c>
    </row>
    <row r="12579" spans="1:13">
      <c r="A12579" s="33" t="str">
        <f t="shared" si="788"/>
        <v>LCP - CGS</v>
      </c>
      <c r="B12579" s="33" t="str">
        <f t="shared" si="789"/>
        <v>LCP</v>
      </c>
      <c r="C12579" s="33" t="str">
        <f t="shared" si="790"/>
        <v>51001-0000</v>
      </c>
      <c r="D12579" t="s">
        <v>7091</v>
      </c>
      <c r="E12579" t="s">
        <v>13681</v>
      </c>
      <c r="F12579" s="69" t="s">
        <v>230</v>
      </c>
      <c r="G12579" t="s">
        <v>3740</v>
      </c>
      <c r="H12579" t="s">
        <v>1875</v>
      </c>
      <c r="I12579" t="s">
        <v>4537</v>
      </c>
      <c r="J12579" s="70">
        <v>251.9</v>
      </c>
      <c r="K12579" s="71">
        <v>251.9</v>
      </c>
      <c r="L12579" s="33" t="e">
        <f>HLOOKUP(B12579,#REF!,1,0)</f>
        <v>#REF!</v>
      </c>
      <c r="M12579" s="33" t="str">
        <f t="shared" si="791"/>
        <v>P&amp;L</v>
      </c>
    </row>
    <row r="12580" spans="1:13">
      <c r="A12580" s="33" t="str">
        <f t="shared" si="788"/>
        <v>LCP - CGS</v>
      </c>
      <c r="B12580" s="33" t="str">
        <f t="shared" si="789"/>
        <v>LCP</v>
      </c>
      <c r="C12580" s="33" t="str">
        <f t="shared" si="790"/>
        <v>51002-0000</v>
      </c>
      <c r="D12580" t="s">
        <v>7092</v>
      </c>
      <c r="E12580" t="s">
        <v>13386</v>
      </c>
      <c r="F12580" s="69" t="s">
        <v>230</v>
      </c>
      <c r="G12580" t="s">
        <v>5940</v>
      </c>
      <c r="H12580" t="s">
        <v>1875</v>
      </c>
      <c r="I12580" t="s">
        <v>4087</v>
      </c>
      <c r="J12580" s="70">
        <v>570</v>
      </c>
      <c r="K12580" s="71">
        <v>570</v>
      </c>
      <c r="L12580" s="33" t="e">
        <f>HLOOKUP(B12580,#REF!,1,0)</f>
        <v>#REF!</v>
      </c>
      <c r="M12580" s="33" t="str">
        <f t="shared" si="791"/>
        <v>P&amp;L</v>
      </c>
    </row>
    <row r="12581" spans="1:13">
      <c r="A12581" s="33" t="str">
        <f t="shared" si="788"/>
        <v>LCP - CGS</v>
      </c>
      <c r="B12581" s="33" t="str">
        <f t="shared" si="789"/>
        <v>LCP</v>
      </c>
      <c r="C12581" s="33" t="str">
        <f t="shared" si="790"/>
        <v>51006-0000</v>
      </c>
      <c r="D12581" t="s">
        <v>7093</v>
      </c>
      <c r="E12581" t="s">
        <v>13288</v>
      </c>
      <c r="F12581" s="69" t="s">
        <v>230</v>
      </c>
      <c r="G12581" t="s">
        <v>3740</v>
      </c>
      <c r="H12581" t="s">
        <v>1875</v>
      </c>
      <c r="I12581" t="s">
        <v>3741</v>
      </c>
      <c r="J12581" s="70">
        <v>1595.38</v>
      </c>
      <c r="K12581" s="71">
        <v>1595.38</v>
      </c>
      <c r="L12581" s="33" t="e">
        <f>HLOOKUP(B12581,#REF!,1,0)</f>
        <v>#REF!</v>
      </c>
      <c r="M12581" s="33" t="str">
        <f t="shared" si="791"/>
        <v>P&amp;L</v>
      </c>
    </row>
    <row r="12582" spans="1:13">
      <c r="A12582" s="33" t="str">
        <f t="shared" si="788"/>
        <v>LCP - CGS</v>
      </c>
      <c r="B12582" s="33" t="str">
        <f t="shared" si="789"/>
        <v>LCP</v>
      </c>
      <c r="C12582" s="33" t="str">
        <f t="shared" si="790"/>
        <v>51007-0000</v>
      </c>
      <c r="D12582" t="s">
        <v>7094</v>
      </c>
      <c r="E12582" t="s">
        <v>13289</v>
      </c>
      <c r="F12582" s="69" t="s">
        <v>230</v>
      </c>
      <c r="G12582" t="s">
        <v>3740</v>
      </c>
      <c r="H12582" t="s">
        <v>1875</v>
      </c>
      <c r="I12582" t="s">
        <v>3973</v>
      </c>
      <c r="J12582" s="70">
        <v>18.46</v>
      </c>
      <c r="K12582" s="71">
        <v>18.46</v>
      </c>
      <c r="L12582" s="33" t="e">
        <f>HLOOKUP(B12582,#REF!,1,0)</f>
        <v>#REF!</v>
      </c>
      <c r="M12582" s="33" t="str">
        <f t="shared" si="791"/>
        <v>P&amp;L</v>
      </c>
    </row>
    <row r="12583" spans="1:13">
      <c r="A12583" s="33" t="str">
        <f t="shared" si="788"/>
        <v>LCP - CGS</v>
      </c>
      <c r="B12583" s="33" t="str">
        <f t="shared" si="789"/>
        <v>LCP</v>
      </c>
      <c r="C12583" s="33" t="str">
        <f t="shared" si="790"/>
        <v>51008-0000</v>
      </c>
      <c r="D12583" t="s">
        <v>7095</v>
      </c>
      <c r="E12583" t="s">
        <v>13290</v>
      </c>
      <c r="F12583" s="69" t="s">
        <v>230</v>
      </c>
      <c r="G12583" t="s">
        <v>3740</v>
      </c>
      <c r="H12583" t="s">
        <v>1875</v>
      </c>
      <c r="I12583" t="s">
        <v>3744</v>
      </c>
      <c r="J12583" s="70">
        <v>9609.37</v>
      </c>
      <c r="K12583" s="71">
        <v>9609.37</v>
      </c>
      <c r="L12583" s="33" t="e">
        <f>HLOOKUP(B12583,#REF!,1,0)</f>
        <v>#REF!</v>
      </c>
      <c r="M12583" s="33" t="str">
        <f t="shared" si="791"/>
        <v>P&amp;L</v>
      </c>
    </row>
    <row r="12584" spans="1:13">
      <c r="A12584" s="33" t="str">
        <f t="shared" si="788"/>
        <v>LCP - CGS</v>
      </c>
      <c r="B12584" s="33" t="str">
        <f t="shared" si="789"/>
        <v>LCP</v>
      </c>
      <c r="C12584" s="33" t="str">
        <f t="shared" si="790"/>
        <v>51009-0000</v>
      </c>
      <c r="D12584" t="s">
        <v>7096</v>
      </c>
      <c r="E12584" t="s">
        <v>13291</v>
      </c>
      <c r="F12584" s="69" t="s">
        <v>230</v>
      </c>
      <c r="G12584" t="s">
        <v>3740</v>
      </c>
      <c r="H12584" t="s">
        <v>1875</v>
      </c>
      <c r="I12584" t="s">
        <v>3747</v>
      </c>
      <c r="J12584" s="70">
        <v>2608.97</v>
      </c>
      <c r="K12584" s="71">
        <v>2608.97</v>
      </c>
      <c r="L12584" s="33" t="e">
        <f>HLOOKUP(B12584,#REF!,1,0)</f>
        <v>#REF!</v>
      </c>
      <c r="M12584" s="33" t="str">
        <f t="shared" si="791"/>
        <v>P&amp;L</v>
      </c>
    </row>
    <row r="12585" spans="1:13">
      <c r="A12585" s="33" t="str">
        <f t="shared" si="788"/>
        <v>LCP - CGS</v>
      </c>
      <c r="B12585" s="33" t="str">
        <f t="shared" si="789"/>
        <v>LCP</v>
      </c>
      <c r="C12585" s="33" t="str">
        <f t="shared" si="790"/>
        <v>51011-0000</v>
      </c>
      <c r="D12585" t="s">
        <v>7097</v>
      </c>
      <c r="E12585" t="s">
        <v>13292</v>
      </c>
      <c r="F12585" s="69" t="s">
        <v>230</v>
      </c>
      <c r="G12585" t="s">
        <v>3740</v>
      </c>
      <c r="H12585" t="s">
        <v>1875</v>
      </c>
      <c r="I12585" t="s">
        <v>3750</v>
      </c>
      <c r="J12585" s="70">
        <v>49883</v>
      </c>
      <c r="K12585" s="71">
        <v>52183</v>
      </c>
      <c r="L12585" s="33" t="e">
        <f>HLOOKUP(B12585,#REF!,1,0)</f>
        <v>#REF!</v>
      </c>
      <c r="M12585" s="33" t="str">
        <f t="shared" si="791"/>
        <v>P&amp;L</v>
      </c>
    </row>
    <row r="12586" spans="1:13">
      <c r="A12586" s="33" t="str">
        <f t="shared" si="788"/>
        <v>LCP - CGS</v>
      </c>
      <c r="B12586" s="33" t="str">
        <f t="shared" si="789"/>
        <v>LCP</v>
      </c>
      <c r="C12586" s="33" t="str">
        <f t="shared" si="790"/>
        <v>51012-0000</v>
      </c>
      <c r="D12586" t="s">
        <v>7098</v>
      </c>
      <c r="E12586" t="s">
        <v>13293</v>
      </c>
      <c r="F12586" s="69" t="s">
        <v>230</v>
      </c>
      <c r="G12586" t="s">
        <v>3740</v>
      </c>
      <c r="H12586" t="s">
        <v>1875</v>
      </c>
      <c r="I12586" t="s">
        <v>3753</v>
      </c>
      <c r="J12586" s="70">
        <v>3274</v>
      </c>
      <c r="K12586" s="71">
        <v>3274</v>
      </c>
      <c r="L12586" s="33" t="e">
        <f>HLOOKUP(B12586,#REF!,1,0)</f>
        <v>#REF!</v>
      </c>
      <c r="M12586" s="33" t="str">
        <f t="shared" si="791"/>
        <v>P&amp;L</v>
      </c>
    </row>
    <row r="12587" spans="1:13">
      <c r="A12587" s="33" t="str">
        <f t="shared" si="788"/>
        <v>LCP - CGS</v>
      </c>
      <c r="B12587" s="33" t="str">
        <f t="shared" si="789"/>
        <v>LCP</v>
      </c>
      <c r="C12587" s="33" t="str">
        <f t="shared" si="790"/>
        <v>51013-0000</v>
      </c>
      <c r="D12587" t="s">
        <v>7099</v>
      </c>
      <c r="E12587" t="s">
        <v>13294</v>
      </c>
      <c r="F12587" s="69" t="s">
        <v>230</v>
      </c>
      <c r="G12587" t="s">
        <v>3740</v>
      </c>
      <c r="H12587" t="s">
        <v>1875</v>
      </c>
      <c r="I12587" t="s">
        <v>3980</v>
      </c>
      <c r="J12587" s="70">
        <v>3195</v>
      </c>
      <c r="K12587" s="71">
        <v>3195</v>
      </c>
      <c r="L12587" s="33" t="e">
        <f>HLOOKUP(B12587,#REF!,1,0)</f>
        <v>#REF!</v>
      </c>
      <c r="M12587" s="33" t="str">
        <f t="shared" si="791"/>
        <v>P&amp;L</v>
      </c>
    </row>
    <row r="12588" spans="1:13">
      <c r="A12588" s="33" t="str">
        <f t="shared" si="788"/>
        <v>LCP - CGS</v>
      </c>
      <c r="B12588" s="33" t="str">
        <f t="shared" si="789"/>
        <v>LCP</v>
      </c>
      <c r="C12588" s="33" t="str">
        <f t="shared" si="790"/>
        <v>51015-0000</v>
      </c>
      <c r="D12588" t="s">
        <v>7100</v>
      </c>
      <c r="E12588" t="s">
        <v>13295</v>
      </c>
      <c r="F12588" s="69" t="s">
        <v>230</v>
      </c>
      <c r="G12588" t="s">
        <v>3740</v>
      </c>
      <c r="H12588" t="s">
        <v>1875</v>
      </c>
      <c r="I12588" t="s">
        <v>3756</v>
      </c>
      <c r="J12588" s="70">
        <v>554.99</v>
      </c>
      <c r="K12588" s="71">
        <v>554.99</v>
      </c>
      <c r="L12588" s="33" t="e">
        <f>HLOOKUP(B12588,#REF!,1,0)</f>
        <v>#REF!</v>
      </c>
      <c r="M12588" s="33" t="str">
        <f t="shared" si="791"/>
        <v>P&amp;L</v>
      </c>
    </row>
    <row r="12589" spans="1:13">
      <c r="A12589" s="33" t="str">
        <f t="shared" si="788"/>
        <v>LCP - CGS</v>
      </c>
      <c r="B12589" s="33" t="str">
        <f t="shared" si="789"/>
        <v>LCP</v>
      </c>
      <c r="C12589" s="33" t="str">
        <f t="shared" si="790"/>
        <v>51018-0000</v>
      </c>
      <c r="D12589" t="s">
        <v>7102</v>
      </c>
      <c r="E12589" t="s">
        <v>13296</v>
      </c>
      <c r="F12589" s="69" t="s">
        <v>230</v>
      </c>
      <c r="G12589" t="s">
        <v>3740</v>
      </c>
      <c r="H12589" t="s">
        <v>1875</v>
      </c>
      <c r="I12589" t="s">
        <v>3319</v>
      </c>
      <c r="J12589" s="70">
        <v>1992.37</v>
      </c>
      <c r="K12589" s="71">
        <v>1992.37</v>
      </c>
      <c r="L12589" s="33" t="e">
        <f>HLOOKUP(B12589,#REF!,1,0)</f>
        <v>#REF!</v>
      </c>
      <c r="M12589" s="33" t="str">
        <f t="shared" si="791"/>
        <v>P&amp;L</v>
      </c>
    </row>
    <row r="12590" spans="1:13">
      <c r="A12590" s="33" t="str">
        <f t="shared" si="788"/>
        <v>LCP - CGS</v>
      </c>
      <c r="B12590" s="33" t="str">
        <f t="shared" si="789"/>
        <v>LCP</v>
      </c>
      <c r="C12590" s="33" t="str">
        <f t="shared" si="790"/>
        <v>51019-0000</v>
      </c>
      <c r="D12590" t="s">
        <v>7103</v>
      </c>
      <c r="E12590" t="s">
        <v>13297</v>
      </c>
      <c r="F12590" s="69" t="s">
        <v>230</v>
      </c>
      <c r="G12590" t="s">
        <v>3740</v>
      </c>
      <c r="H12590" t="s">
        <v>1875</v>
      </c>
      <c r="I12590" t="s">
        <v>3340</v>
      </c>
      <c r="J12590" s="70">
        <v>945.15</v>
      </c>
      <c r="K12590" s="71">
        <v>945.15</v>
      </c>
      <c r="L12590" s="33" t="e">
        <f>HLOOKUP(B12590,#REF!,1,0)</f>
        <v>#REF!</v>
      </c>
      <c r="M12590" s="33" t="str">
        <f t="shared" si="791"/>
        <v>P&amp;L</v>
      </c>
    </row>
    <row r="12591" spans="1:13">
      <c r="A12591" s="33" t="str">
        <f t="shared" si="788"/>
        <v>LCP - CGS</v>
      </c>
      <c r="B12591" s="33" t="str">
        <f t="shared" si="789"/>
        <v>LCP</v>
      </c>
      <c r="C12591" s="33" t="str">
        <f t="shared" si="790"/>
        <v>51020-0000</v>
      </c>
      <c r="D12591" t="s">
        <v>7104</v>
      </c>
      <c r="E12591" t="s">
        <v>13298</v>
      </c>
      <c r="F12591" s="69" t="s">
        <v>230</v>
      </c>
      <c r="G12591" t="s">
        <v>3740</v>
      </c>
      <c r="H12591" t="s">
        <v>1875</v>
      </c>
      <c r="I12591" t="s">
        <v>3345</v>
      </c>
      <c r="J12591" s="70">
        <v>3222.63</v>
      </c>
      <c r="K12591" s="71">
        <v>3222.63</v>
      </c>
      <c r="L12591" s="33" t="e">
        <f>HLOOKUP(B12591,#REF!,1,0)</f>
        <v>#REF!</v>
      </c>
      <c r="M12591" s="33" t="str">
        <f t="shared" si="791"/>
        <v>P&amp;L</v>
      </c>
    </row>
    <row r="12592" spans="1:13">
      <c r="A12592" s="33" t="str">
        <f t="shared" si="788"/>
        <v>LCP - CGS</v>
      </c>
      <c r="B12592" s="33" t="str">
        <f t="shared" si="789"/>
        <v>LCP</v>
      </c>
      <c r="C12592" s="33" t="str">
        <f t="shared" si="790"/>
        <v>51021-0000</v>
      </c>
      <c r="D12592" t="s">
        <v>7105</v>
      </c>
      <c r="E12592" t="s">
        <v>13682</v>
      </c>
      <c r="F12592" s="69" t="s">
        <v>230</v>
      </c>
      <c r="G12592" t="s">
        <v>3740</v>
      </c>
      <c r="H12592" t="s">
        <v>1875</v>
      </c>
      <c r="I12592" t="s">
        <v>4752</v>
      </c>
      <c r="J12592" s="70">
        <v>167.47</v>
      </c>
      <c r="K12592" s="71">
        <v>167.47</v>
      </c>
      <c r="L12592" s="33" t="e">
        <f>HLOOKUP(B12592,#REF!,1,0)</f>
        <v>#REF!</v>
      </c>
      <c r="M12592" s="33" t="str">
        <f t="shared" si="791"/>
        <v>P&amp;L</v>
      </c>
    </row>
    <row r="12593" spans="1:13">
      <c r="A12593" s="33" t="str">
        <f t="shared" si="788"/>
        <v>LCP - CGS</v>
      </c>
      <c r="B12593" s="33" t="str">
        <f t="shared" si="789"/>
        <v>LCP</v>
      </c>
      <c r="C12593" s="33" t="str">
        <f t="shared" si="790"/>
        <v>51025-0000</v>
      </c>
      <c r="D12593" t="s">
        <v>7107</v>
      </c>
      <c r="E12593" t="s">
        <v>13299</v>
      </c>
      <c r="F12593" s="69" t="s">
        <v>230</v>
      </c>
      <c r="G12593" t="s">
        <v>3740</v>
      </c>
      <c r="H12593" t="s">
        <v>13300</v>
      </c>
      <c r="I12593" t="s">
        <v>13299</v>
      </c>
      <c r="J12593" s="70">
        <v>15600.6</v>
      </c>
      <c r="K12593" s="71">
        <v>16537.23</v>
      </c>
      <c r="L12593" s="33" t="e">
        <f>HLOOKUP(B12593,#REF!,1,0)</f>
        <v>#REF!</v>
      </c>
      <c r="M12593" s="33" t="str">
        <f t="shared" si="791"/>
        <v>P&amp;L</v>
      </c>
    </row>
    <row r="12594" spans="1:13">
      <c r="A12594" s="33" t="str">
        <f t="shared" si="788"/>
        <v>LCP - CGS</v>
      </c>
      <c r="B12594" s="33" t="str">
        <f t="shared" si="789"/>
        <v>LCP</v>
      </c>
      <c r="C12594" s="33" t="str">
        <f t="shared" si="790"/>
        <v>51029-0000</v>
      </c>
      <c r="D12594" t="s">
        <v>7108</v>
      </c>
      <c r="E12594" t="s">
        <v>13302</v>
      </c>
      <c r="F12594" s="69" t="s">
        <v>230</v>
      </c>
      <c r="G12594" t="s">
        <v>3740</v>
      </c>
      <c r="H12594" t="s">
        <v>13300</v>
      </c>
      <c r="I12594" t="s">
        <v>13302</v>
      </c>
      <c r="J12594" s="70">
        <v>8579.7</v>
      </c>
      <c r="K12594" s="71">
        <v>8579.7</v>
      </c>
      <c r="L12594" s="33" t="e">
        <f>HLOOKUP(B12594,#REF!,1,0)</f>
        <v>#REF!</v>
      </c>
      <c r="M12594" s="33" t="str">
        <f t="shared" si="791"/>
        <v>P&amp;L</v>
      </c>
    </row>
    <row r="12595" spans="1:13">
      <c r="A12595" s="33" t="str">
        <f t="shared" si="788"/>
        <v>LCP - CGS</v>
      </c>
      <c r="B12595" s="33" t="str">
        <f t="shared" si="789"/>
        <v>LCP</v>
      </c>
      <c r="C12595" s="33" t="str">
        <f t="shared" si="790"/>
        <v>51030-0000</v>
      </c>
      <c r="D12595" t="s">
        <v>7109</v>
      </c>
      <c r="E12595" t="s">
        <v>5792</v>
      </c>
      <c r="F12595" s="69" t="s">
        <v>230</v>
      </c>
      <c r="G12595" t="s">
        <v>4426</v>
      </c>
      <c r="H12595" t="s">
        <v>1875</v>
      </c>
      <c r="I12595" t="s">
        <v>5793</v>
      </c>
      <c r="J12595" s="70">
        <v>1057.5</v>
      </c>
      <c r="K12595" s="71">
        <v>1186.28</v>
      </c>
      <c r="L12595" s="33" t="e">
        <f>HLOOKUP(B12595,#REF!,1,0)</f>
        <v>#REF!</v>
      </c>
      <c r="M12595" s="33" t="str">
        <f t="shared" si="791"/>
        <v>P&amp;L</v>
      </c>
    </row>
    <row r="12596" spans="1:13">
      <c r="A12596" s="33" t="str">
        <f t="shared" si="788"/>
        <v>LCP - CGS</v>
      </c>
      <c r="B12596" s="33" t="str">
        <f t="shared" si="789"/>
        <v>LCP</v>
      </c>
      <c r="C12596" s="33" t="str">
        <f t="shared" si="790"/>
        <v>52001-0000</v>
      </c>
      <c r="D12596" t="s">
        <v>7110</v>
      </c>
      <c r="E12596" t="s">
        <v>13303</v>
      </c>
      <c r="F12596" s="69" t="s">
        <v>230</v>
      </c>
      <c r="G12596" t="s">
        <v>3769</v>
      </c>
      <c r="H12596" t="s">
        <v>1875</v>
      </c>
      <c r="I12596" t="s">
        <v>3770</v>
      </c>
      <c r="J12596" s="70">
        <v>31507.97</v>
      </c>
      <c r="K12596" s="71">
        <v>31507.97</v>
      </c>
      <c r="L12596" s="33" t="e">
        <f>HLOOKUP(B12596,#REF!,1,0)</f>
        <v>#REF!</v>
      </c>
      <c r="M12596" s="33" t="str">
        <f t="shared" si="791"/>
        <v>P&amp;L</v>
      </c>
    </row>
    <row r="12597" spans="1:13">
      <c r="A12597" s="33" t="str">
        <f t="shared" si="788"/>
        <v>LCP - CGS</v>
      </c>
      <c r="B12597" s="33" t="str">
        <f t="shared" si="789"/>
        <v>LCP</v>
      </c>
      <c r="C12597" s="33" t="str">
        <f t="shared" si="790"/>
        <v>52002-0000</v>
      </c>
      <c r="D12597" t="s">
        <v>7111</v>
      </c>
      <c r="E12597" t="s">
        <v>13304</v>
      </c>
      <c r="F12597" s="69" t="s">
        <v>230</v>
      </c>
      <c r="G12597" t="s">
        <v>3769</v>
      </c>
      <c r="H12597" t="s">
        <v>1875</v>
      </c>
      <c r="I12597" t="s">
        <v>3998</v>
      </c>
      <c r="J12597" s="70">
        <v>60</v>
      </c>
      <c r="K12597" s="71">
        <v>60</v>
      </c>
      <c r="L12597" s="33" t="e">
        <f>HLOOKUP(B12597,#REF!,1,0)</f>
        <v>#REF!</v>
      </c>
      <c r="M12597" s="33" t="str">
        <f t="shared" si="791"/>
        <v>P&amp;L</v>
      </c>
    </row>
    <row r="12598" spans="1:13">
      <c r="A12598" s="33" t="str">
        <f t="shared" si="788"/>
        <v>LCP - CGS</v>
      </c>
      <c r="B12598" s="33" t="str">
        <f t="shared" si="789"/>
        <v>LCP</v>
      </c>
      <c r="C12598" s="33" t="str">
        <f t="shared" si="790"/>
        <v>52003-0000</v>
      </c>
      <c r="D12598" t="s">
        <v>7112</v>
      </c>
      <c r="E12598" t="s">
        <v>13305</v>
      </c>
      <c r="F12598" s="69" t="s">
        <v>230</v>
      </c>
      <c r="G12598" t="s">
        <v>3769</v>
      </c>
      <c r="H12598" t="s">
        <v>1875</v>
      </c>
      <c r="I12598" t="s">
        <v>3773</v>
      </c>
      <c r="J12598" s="70">
        <v>5355</v>
      </c>
      <c r="K12598" s="71">
        <v>5355</v>
      </c>
      <c r="L12598" s="33" t="e">
        <f>HLOOKUP(B12598,#REF!,1,0)</f>
        <v>#REF!</v>
      </c>
      <c r="M12598" s="33" t="str">
        <f t="shared" si="791"/>
        <v>P&amp;L</v>
      </c>
    </row>
    <row r="12599" spans="1:13">
      <c r="A12599" s="33" t="str">
        <f t="shared" si="788"/>
        <v>LCP - CGS</v>
      </c>
      <c r="B12599" s="33" t="str">
        <f t="shared" si="789"/>
        <v>LCP</v>
      </c>
      <c r="C12599" s="33" t="str">
        <f t="shared" si="790"/>
        <v>52007-0000</v>
      </c>
      <c r="D12599" t="s">
        <v>13683</v>
      </c>
      <c r="E12599" t="s">
        <v>13388</v>
      </c>
      <c r="F12599" s="69" t="s">
        <v>230</v>
      </c>
      <c r="G12599" t="s">
        <v>3769</v>
      </c>
      <c r="H12599" t="s">
        <v>1875</v>
      </c>
      <c r="I12599" t="s">
        <v>8028</v>
      </c>
      <c r="J12599" s="70">
        <v>-159</v>
      </c>
      <c r="K12599" s="71">
        <v>-159</v>
      </c>
      <c r="L12599" s="33" t="e">
        <f>HLOOKUP(B12599,#REF!,1,0)</f>
        <v>#REF!</v>
      </c>
      <c r="M12599" s="33" t="str">
        <f t="shared" si="791"/>
        <v>P&amp;L</v>
      </c>
    </row>
    <row r="12600" spans="1:13">
      <c r="A12600" s="33" t="str">
        <f t="shared" si="788"/>
        <v>LCP - CGS</v>
      </c>
      <c r="B12600" s="33" t="str">
        <f t="shared" si="789"/>
        <v>LCP</v>
      </c>
      <c r="C12600" s="33" t="str">
        <f t="shared" si="790"/>
        <v>53001-0000</v>
      </c>
      <c r="D12600" t="s">
        <v>7115</v>
      </c>
      <c r="E12600" t="s">
        <v>13306</v>
      </c>
      <c r="F12600" s="69" t="s">
        <v>230</v>
      </c>
      <c r="G12600" t="s">
        <v>3160</v>
      </c>
      <c r="H12600" t="s">
        <v>1875</v>
      </c>
      <c r="I12600" t="s">
        <v>3782</v>
      </c>
      <c r="J12600" s="70">
        <v>3728.36</v>
      </c>
      <c r="K12600" s="71">
        <v>3728.36</v>
      </c>
      <c r="L12600" s="33" t="e">
        <f>HLOOKUP(B12600,#REF!,1,0)</f>
        <v>#REF!</v>
      </c>
      <c r="M12600" s="33" t="str">
        <f t="shared" si="791"/>
        <v>P&amp;L</v>
      </c>
    </row>
    <row r="12601" spans="1:13">
      <c r="A12601" s="33" t="str">
        <f t="shared" si="788"/>
        <v>LCP - CGS</v>
      </c>
      <c r="B12601" s="33" t="str">
        <f t="shared" si="789"/>
        <v>LCP</v>
      </c>
      <c r="C12601" s="33" t="str">
        <f t="shared" si="790"/>
        <v>53002-0000</v>
      </c>
      <c r="D12601" t="s">
        <v>7116</v>
      </c>
      <c r="E12601" t="s">
        <v>13307</v>
      </c>
      <c r="F12601" s="69" t="s">
        <v>230</v>
      </c>
      <c r="G12601" t="s">
        <v>3160</v>
      </c>
      <c r="H12601" t="s">
        <v>1875</v>
      </c>
      <c r="I12601" t="s">
        <v>3785</v>
      </c>
      <c r="J12601" s="70">
        <v>115358.27</v>
      </c>
      <c r="K12601" s="71">
        <v>115358.27</v>
      </c>
      <c r="L12601" s="33" t="e">
        <f>HLOOKUP(B12601,#REF!,1,0)</f>
        <v>#REF!</v>
      </c>
      <c r="M12601" s="33" t="str">
        <f t="shared" si="791"/>
        <v>P&amp;L</v>
      </c>
    </row>
    <row r="12602" spans="1:13">
      <c r="A12602" s="33" t="str">
        <f t="shared" si="788"/>
        <v>LCP - Operating Expense</v>
      </c>
      <c r="B12602" s="33" t="str">
        <f t="shared" si="789"/>
        <v>LCP</v>
      </c>
      <c r="C12602" s="33" t="str">
        <f t="shared" si="790"/>
        <v>53003-0000</v>
      </c>
      <c r="D12602" t="s">
        <v>7117</v>
      </c>
      <c r="E12602" t="s">
        <v>13308</v>
      </c>
      <c r="F12602" s="69" t="s">
        <v>230</v>
      </c>
      <c r="G12602" t="s">
        <v>4426</v>
      </c>
      <c r="H12602" t="s">
        <v>3022</v>
      </c>
      <c r="I12602" t="s">
        <v>6877</v>
      </c>
      <c r="J12602" s="70">
        <v>24965.63</v>
      </c>
      <c r="K12602" s="71">
        <v>24965.63</v>
      </c>
      <c r="L12602" s="33" t="e">
        <f>HLOOKUP(B12602,#REF!,1,0)</f>
        <v>#REF!</v>
      </c>
      <c r="M12602" s="33" t="str">
        <f t="shared" si="791"/>
        <v>P&amp;L</v>
      </c>
    </row>
    <row r="12603" spans="1:13">
      <c r="A12603" s="33" t="str">
        <f t="shared" si="788"/>
        <v>LCP - Operating Expense</v>
      </c>
      <c r="B12603" s="33" t="str">
        <f t="shared" si="789"/>
        <v>LCP</v>
      </c>
      <c r="C12603" s="33" t="str">
        <f t="shared" si="790"/>
        <v>53004-0000</v>
      </c>
      <c r="D12603" t="s">
        <v>7118</v>
      </c>
      <c r="E12603" t="s">
        <v>13309</v>
      </c>
      <c r="F12603" s="69" t="s">
        <v>230</v>
      </c>
      <c r="G12603" t="s">
        <v>4426</v>
      </c>
      <c r="H12603" t="s">
        <v>3022</v>
      </c>
      <c r="I12603" t="s">
        <v>6877</v>
      </c>
      <c r="J12603" s="70">
        <v>6269.88</v>
      </c>
      <c r="K12603" s="71">
        <v>6269.88</v>
      </c>
      <c r="L12603" s="33" t="e">
        <f>HLOOKUP(B12603,#REF!,1,0)</f>
        <v>#REF!</v>
      </c>
      <c r="M12603" s="33" t="str">
        <f t="shared" si="791"/>
        <v>P&amp;L</v>
      </c>
    </row>
    <row r="12604" spans="1:13">
      <c r="A12604" s="33" t="str">
        <f t="shared" si="788"/>
        <v>LCP - CGS</v>
      </c>
      <c r="B12604" s="33" t="str">
        <f t="shared" si="789"/>
        <v>LCP</v>
      </c>
      <c r="C12604" s="33" t="str">
        <f t="shared" si="790"/>
        <v>53005-0000</v>
      </c>
      <c r="D12604" t="s">
        <v>7119</v>
      </c>
      <c r="E12604" t="s">
        <v>13389</v>
      </c>
      <c r="F12604" s="69" t="s">
        <v>230</v>
      </c>
      <c r="G12604" t="s">
        <v>3160</v>
      </c>
      <c r="H12604" t="s">
        <v>1875</v>
      </c>
      <c r="I12604" t="s">
        <v>3794</v>
      </c>
      <c r="J12604" s="70">
        <v>8935.36</v>
      </c>
      <c r="K12604" s="71">
        <v>8935.36</v>
      </c>
      <c r="L12604" s="33" t="e">
        <f>HLOOKUP(B12604,#REF!,1,0)</f>
        <v>#REF!</v>
      </c>
      <c r="M12604" s="33" t="str">
        <f t="shared" si="791"/>
        <v>P&amp;L</v>
      </c>
    </row>
    <row r="12605" spans="1:13">
      <c r="A12605" s="33" t="str">
        <f t="shared" si="788"/>
        <v>LCP - CGS</v>
      </c>
      <c r="B12605" s="33" t="str">
        <f t="shared" si="789"/>
        <v>LCP</v>
      </c>
      <c r="C12605" s="33" t="str">
        <f t="shared" si="790"/>
        <v>53006-0000</v>
      </c>
      <c r="D12605" t="s">
        <v>7120</v>
      </c>
      <c r="E12605" t="s">
        <v>13310</v>
      </c>
      <c r="F12605" s="69" t="s">
        <v>230</v>
      </c>
      <c r="G12605" t="s">
        <v>3160</v>
      </c>
      <c r="H12605" t="s">
        <v>1875</v>
      </c>
      <c r="I12605" t="s">
        <v>3797</v>
      </c>
      <c r="J12605" s="70">
        <v>42075.19</v>
      </c>
      <c r="K12605" s="71">
        <v>42075.19</v>
      </c>
      <c r="L12605" s="33" t="e">
        <f>HLOOKUP(B12605,#REF!,1,0)</f>
        <v>#REF!</v>
      </c>
      <c r="M12605" s="33" t="str">
        <f t="shared" si="791"/>
        <v>P&amp;L</v>
      </c>
    </row>
    <row r="12606" spans="1:13">
      <c r="A12606" s="33" t="str">
        <f t="shared" si="788"/>
        <v>LCP - CGS</v>
      </c>
      <c r="B12606" s="33" t="str">
        <f t="shared" si="789"/>
        <v>LCP</v>
      </c>
      <c r="C12606" s="33" t="str">
        <f t="shared" si="790"/>
        <v>53011-0000</v>
      </c>
      <c r="D12606" t="s">
        <v>13684</v>
      </c>
      <c r="E12606" t="s">
        <v>13312</v>
      </c>
      <c r="F12606" s="69" t="s">
        <v>230</v>
      </c>
      <c r="G12606" t="s">
        <v>3160</v>
      </c>
      <c r="H12606" t="s">
        <v>13300</v>
      </c>
      <c r="I12606" t="s">
        <v>13313</v>
      </c>
      <c r="J12606" s="70">
        <v>1490.6</v>
      </c>
      <c r="K12606" s="71">
        <v>1490.6</v>
      </c>
      <c r="L12606" s="33" t="e">
        <f>HLOOKUP(B12606,#REF!,1,0)</f>
        <v>#REF!</v>
      </c>
      <c r="M12606" s="33" t="str">
        <f t="shared" si="791"/>
        <v>P&amp;L</v>
      </c>
    </row>
    <row r="12607" spans="1:13">
      <c r="A12607" s="33" t="str">
        <f t="shared" si="788"/>
        <v>LCP - CGS</v>
      </c>
      <c r="B12607" s="33" t="str">
        <f t="shared" si="789"/>
        <v>LCP</v>
      </c>
      <c r="C12607" s="33" t="str">
        <f t="shared" si="790"/>
        <v>54001-0000</v>
      </c>
      <c r="D12607" t="s">
        <v>7121</v>
      </c>
      <c r="E12607" t="s">
        <v>4008</v>
      </c>
      <c r="F12607" s="69" t="s">
        <v>230</v>
      </c>
      <c r="G12607" t="s">
        <v>3800</v>
      </c>
      <c r="H12607" t="s">
        <v>1875</v>
      </c>
      <c r="I12607" t="s">
        <v>4009</v>
      </c>
      <c r="J12607" s="70">
        <v>-1989.26</v>
      </c>
      <c r="K12607" s="71">
        <v>-1949.9</v>
      </c>
      <c r="L12607" s="33" t="e">
        <f>HLOOKUP(B12607,#REF!,1,0)</f>
        <v>#REF!</v>
      </c>
      <c r="M12607" s="33" t="str">
        <f t="shared" si="791"/>
        <v>P&amp;L</v>
      </c>
    </row>
    <row r="12608" spans="1:13">
      <c r="A12608" s="33" t="str">
        <f t="shared" si="788"/>
        <v>LCP - CGS</v>
      </c>
      <c r="B12608" s="33" t="str">
        <f t="shared" si="789"/>
        <v>LCP</v>
      </c>
      <c r="C12608" s="33" t="str">
        <f t="shared" si="790"/>
        <v>54002-0000</v>
      </c>
      <c r="D12608" t="s">
        <v>7122</v>
      </c>
      <c r="E12608" t="s">
        <v>3799</v>
      </c>
      <c r="F12608" s="69" t="s">
        <v>230</v>
      </c>
      <c r="G12608" t="s">
        <v>3800</v>
      </c>
      <c r="H12608" t="s">
        <v>1875</v>
      </c>
      <c r="I12608" t="s">
        <v>3801</v>
      </c>
      <c r="J12608" s="70">
        <v>22152</v>
      </c>
      <c r="K12608" s="71">
        <v>23777</v>
      </c>
      <c r="L12608" s="33" t="e">
        <f>HLOOKUP(B12608,#REF!,1,0)</f>
        <v>#REF!</v>
      </c>
      <c r="M12608" s="33" t="str">
        <f t="shared" si="791"/>
        <v>P&amp;L</v>
      </c>
    </row>
    <row r="12609" spans="1:13">
      <c r="A12609" s="33" t="str">
        <f t="shared" si="788"/>
        <v>LCP - CGS</v>
      </c>
      <c r="B12609" s="33" t="str">
        <f t="shared" si="789"/>
        <v>LCP</v>
      </c>
      <c r="C12609" s="33" t="str">
        <f t="shared" si="790"/>
        <v>54004-0000</v>
      </c>
      <c r="D12609" t="s">
        <v>7124</v>
      </c>
      <c r="E12609" t="s">
        <v>13314</v>
      </c>
      <c r="F12609" s="69" t="s">
        <v>230</v>
      </c>
      <c r="G12609" t="s">
        <v>3800</v>
      </c>
      <c r="H12609" t="s">
        <v>1875</v>
      </c>
      <c r="I12609" t="s">
        <v>3807</v>
      </c>
      <c r="J12609" s="70">
        <v>101184.1</v>
      </c>
      <c r="K12609" s="71">
        <v>116650.22</v>
      </c>
      <c r="L12609" s="33" t="e">
        <f>HLOOKUP(B12609,#REF!,1,0)</f>
        <v>#REF!</v>
      </c>
      <c r="M12609" s="33" t="str">
        <f t="shared" si="791"/>
        <v>P&amp;L</v>
      </c>
    </row>
    <row r="12610" spans="1:13">
      <c r="A12610" s="33" t="str">
        <f t="shared" si="788"/>
        <v>LCP - CGS</v>
      </c>
      <c r="B12610" s="33" t="str">
        <f t="shared" si="789"/>
        <v>LCP</v>
      </c>
      <c r="C12610" s="33" t="str">
        <f t="shared" si="790"/>
        <v>54005-0000</v>
      </c>
      <c r="D12610" t="s">
        <v>7125</v>
      </c>
      <c r="E12610" t="s">
        <v>3809</v>
      </c>
      <c r="F12610" s="69" t="s">
        <v>230</v>
      </c>
      <c r="G12610" t="s">
        <v>3800</v>
      </c>
      <c r="H12610" t="s">
        <v>1875</v>
      </c>
      <c r="I12610" t="s">
        <v>3810</v>
      </c>
      <c r="J12610" s="70">
        <v>995.68</v>
      </c>
      <c r="K12610" s="71">
        <v>1129.24</v>
      </c>
      <c r="L12610" s="33" t="e">
        <f>HLOOKUP(B12610,#REF!,1,0)</f>
        <v>#REF!</v>
      </c>
      <c r="M12610" s="33" t="str">
        <f t="shared" si="791"/>
        <v>P&amp;L</v>
      </c>
    </row>
    <row r="12611" spans="1:13">
      <c r="A12611" s="33" t="str">
        <f t="shared" si="788"/>
        <v>LCP - CGS</v>
      </c>
      <c r="B12611" s="33" t="str">
        <f t="shared" si="789"/>
        <v>LCP</v>
      </c>
      <c r="C12611" s="33" t="str">
        <f t="shared" si="790"/>
        <v>54006-0000</v>
      </c>
      <c r="D12611" t="s">
        <v>7126</v>
      </c>
      <c r="E12611" t="s">
        <v>3812</v>
      </c>
      <c r="F12611" s="69" t="s">
        <v>230</v>
      </c>
      <c r="G12611" t="s">
        <v>3800</v>
      </c>
      <c r="H12611" t="s">
        <v>1875</v>
      </c>
      <c r="I12611" t="s">
        <v>3003</v>
      </c>
      <c r="J12611" s="70">
        <v>21098.63</v>
      </c>
      <c r="K12611" s="71">
        <v>23758.02</v>
      </c>
      <c r="L12611" s="33" t="e">
        <f>HLOOKUP(B12611,#REF!,1,0)</f>
        <v>#REF!</v>
      </c>
      <c r="M12611" s="33" t="str">
        <f t="shared" si="791"/>
        <v>P&amp;L</v>
      </c>
    </row>
    <row r="12612" spans="1:13">
      <c r="A12612" s="33" t="str">
        <f t="shared" si="788"/>
        <v>LCP - CGS</v>
      </c>
      <c r="B12612" s="33" t="str">
        <f t="shared" si="789"/>
        <v>LCP</v>
      </c>
      <c r="C12612" s="33" t="str">
        <f t="shared" si="790"/>
        <v>54007-0000</v>
      </c>
      <c r="D12612" t="s">
        <v>7127</v>
      </c>
      <c r="E12612" t="s">
        <v>13315</v>
      </c>
      <c r="F12612" s="69" t="s">
        <v>230</v>
      </c>
      <c r="G12612" t="s">
        <v>3800</v>
      </c>
      <c r="H12612" t="s">
        <v>1875</v>
      </c>
      <c r="I12612" t="s">
        <v>3815</v>
      </c>
      <c r="J12612" s="70">
        <v>105598.02</v>
      </c>
      <c r="K12612" s="71">
        <v>119838.9</v>
      </c>
      <c r="L12612" s="33" t="e">
        <f>HLOOKUP(B12612,#REF!,1,0)</f>
        <v>#REF!</v>
      </c>
      <c r="M12612" s="33" t="str">
        <f t="shared" si="791"/>
        <v>P&amp;L</v>
      </c>
    </row>
    <row r="12613" spans="1:13">
      <c r="A12613" s="33" t="str">
        <f t="shared" si="788"/>
        <v>LCP - CGS</v>
      </c>
      <c r="B12613" s="33" t="str">
        <f t="shared" si="789"/>
        <v>LCP</v>
      </c>
      <c r="C12613" s="33" t="str">
        <f t="shared" si="790"/>
        <v>61002-0000</v>
      </c>
      <c r="D12613" t="s">
        <v>13685</v>
      </c>
      <c r="E12613" t="s">
        <v>3837</v>
      </c>
      <c r="F12613" s="69" t="s">
        <v>230</v>
      </c>
      <c r="G12613" t="s">
        <v>3838</v>
      </c>
      <c r="H12613" t="s">
        <v>1875</v>
      </c>
      <c r="I12613" t="s">
        <v>3839</v>
      </c>
      <c r="J12613" s="70">
        <v>17792.66</v>
      </c>
      <c r="K12613" s="71">
        <v>17792.66</v>
      </c>
      <c r="L12613" s="33" t="e">
        <f>HLOOKUP(B12613,#REF!,1,0)</f>
        <v>#REF!</v>
      </c>
      <c r="M12613" s="33" t="str">
        <f t="shared" si="791"/>
        <v>P&amp;L</v>
      </c>
    </row>
    <row r="12614" spans="1:13">
      <c r="A12614" s="33" t="str">
        <f t="shared" si="788"/>
        <v>LCP - CGS</v>
      </c>
      <c r="B12614" s="33" t="str">
        <f t="shared" si="789"/>
        <v>LCP</v>
      </c>
      <c r="C12614" s="33" t="str">
        <f t="shared" si="790"/>
        <v>61005-0000</v>
      </c>
      <c r="D12614" t="s">
        <v>13686</v>
      </c>
      <c r="E12614" t="s">
        <v>3841</v>
      </c>
      <c r="F12614" s="69" t="s">
        <v>230</v>
      </c>
      <c r="G12614" t="s">
        <v>3838</v>
      </c>
      <c r="H12614" t="s">
        <v>1875</v>
      </c>
      <c r="I12614" t="s">
        <v>3842</v>
      </c>
      <c r="J12614" s="70">
        <v>59199.74</v>
      </c>
      <c r="K12614" s="71">
        <v>59199.74</v>
      </c>
      <c r="L12614" s="33" t="e">
        <f>HLOOKUP(B12614,#REF!,1,0)</f>
        <v>#REF!</v>
      </c>
      <c r="M12614" s="33" t="str">
        <f t="shared" si="791"/>
        <v>P&amp;L</v>
      </c>
    </row>
    <row r="12615" spans="1:13">
      <c r="A12615" s="33" t="str">
        <f t="shared" si="788"/>
        <v>LCP - CGS</v>
      </c>
      <c r="B12615" s="33" t="str">
        <f t="shared" si="789"/>
        <v>LCP</v>
      </c>
      <c r="C12615" s="33" t="str">
        <f t="shared" si="790"/>
        <v>61007-0000</v>
      </c>
      <c r="D12615" t="s">
        <v>13687</v>
      </c>
      <c r="E12615" t="s">
        <v>13319</v>
      </c>
      <c r="F12615" s="69" t="s">
        <v>230</v>
      </c>
      <c r="G12615" t="s">
        <v>3838</v>
      </c>
      <c r="H12615" t="s">
        <v>1875</v>
      </c>
      <c r="I12615" t="s">
        <v>3847</v>
      </c>
      <c r="J12615" s="70">
        <v>256096</v>
      </c>
      <c r="K12615" s="71">
        <v>256096</v>
      </c>
      <c r="L12615" s="33" t="e">
        <f>HLOOKUP(B12615,#REF!,1,0)</f>
        <v>#REF!</v>
      </c>
      <c r="M12615" s="33" t="str">
        <f t="shared" si="791"/>
        <v>P&amp;L</v>
      </c>
    </row>
    <row r="12616" spans="1:13">
      <c r="A12616" s="33" t="str">
        <f t="shared" si="788"/>
        <v>LCP - CGS</v>
      </c>
      <c r="B12616" s="33" t="str">
        <f t="shared" si="789"/>
        <v>LCP</v>
      </c>
      <c r="C12616" s="33" t="str">
        <f t="shared" si="790"/>
        <v>61008-0000</v>
      </c>
      <c r="D12616" t="s">
        <v>13688</v>
      </c>
      <c r="E12616" t="s">
        <v>13395</v>
      </c>
      <c r="F12616" s="69" t="s">
        <v>230</v>
      </c>
      <c r="G12616" t="s">
        <v>3838</v>
      </c>
      <c r="H12616" t="s">
        <v>13300</v>
      </c>
      <c r="I12616" t="s">
        <v>13396</v>
      </c>
      <c r="J12616" s="70">
        <v>13195.94</v>
      </c>
      <c r="K12616" s="71">
        <v>13195.94</v>
      </c>
      <c r="L12616" s="33" t="e">
        <f>HLOOKUP(B12616,#REF!,1,0)</f>
        <v>#REF!</v>
      </c>
      <c r="M12616" s="33" t="str">
        <f t="shared" si="791"/>
        <v>P&amp;L</v>
      </c>
    </row>
    <row r="12617" spans="1:13">
      <c r="A12617" s="33" t="str">
        <f t="shared" si="788"/>
        <v>LCP - CGS</v>
      </c>
      <c r="B12617" s="33" t="str">
        <f t="shared" si="789"/>
        <v>LCP</v>
      </c>
      <c r="C12617" s="33" t="str">
        <f t="shared" si="790"/>
        <v>61011-0000</v>
      </c>
      <c r="D12617" t="s">
        <v>13689</v>
      </c>
      <c r="E12617" t="s">
        <v>13690</v>
      </c>
      <c r="F12617" s="69" t="s">
        <v>230</v>
      </c>
      <c r="G12617" t="s">
        <v>3838</v>
      </c>
      <c r="H12617" t="s">
        <v>1875</v>
      </c>
      <c r="I12617" t="s">
        <v>4200</v>
      </c>
      <c r="J12617" s="70">
        <v>7847.75</v>
      </c>
      <c r="K12617" s="71">
        <v>7847.75</v>
      </c>
      <c r="L12617" s="33" t="e">
        <f>HLOOKUP(B12617,#REF!,1,0)</f>
        <v>#REF!</v>
      </c>
      <c r="M12617" s="33" t="str">
        <f t="shared" si="791"/>
        <v>P&amp;L</v>
      </c>
    </row>
    <row r="12618" spans="1:13">
      <c r="A12618" s="33" t="str">
        <f t="shared" si="788"/>
        <v>LCP - CGS</v>
      </c>
      <c r="B12618" s="33" t="str">
        <f t="shared" si="789"/>
        <v>LCP</v>
      </c>
      <c r="C12618" s="33" t="str">
        <f t="shared" si="790"/>
        <v>61013-0000</v>
      </c>
      <c r="D12618" t="s">
        <v>13691</v>
      </c>
      <c r="E12618" t="s">
        <v>6204</v>
      </c>
      <c r="F12618" s="69" t="s">
        <v>230</v>
      </c>
      <c r="G12618" t="s">
        <v>6205</v>
      </c>
      <c r="H12618" t="s">
        <v>1875</v>
      </c>
      <c r="I12618" t="s">
        <v>3354</v>
      </c>
      <c r="J12618" s="70">
        <v>50000</v>
      </c>
      <c r="K12618" s="71">
        <v>50000</v>
      </c>
      <c r="L12618" s="33" t="e">
        <f>HLOOKUP(B12618,#REF!,1,0)</f>
        <v>#REF!</v>
      </c>
      <c r="M12618" s="33" t="str">
        <f t="shared" si="791"/>
        <v>P&amp;L</v>
      </c>
    </row>
    <row r="12619" spans="1:13">
      <c r="A12619" s="33" t="str">
        <f t="shared" si="788"/>
        <v>LCP - Revenue</v>
      </c>
      <c r="B12619" s="33" t="str">
        <f t="shared" si="789"/>
        <v>LCP</v>
      </c>
      <c r="C12619" s="33" t="str">
        <f t="shared" si="790"/>
        <v>61014-0000</v>
      </c>
      <c r="D12619" t="s">
        <v>13692</v>
      </c>
      <c r="E12619" t="s">
        <v>13323</v>
      </c>
      <c r="F12619" s="69" t="s">
        <v>230</v>
      </c>
      <c r="G12619" t="s">
        <v>3717</v>
      </c>
      <c r="H12619" t="s">
        <v>2871</v>
      </c>
      <c r="I12619" t="s">
        <v>12435</v>
      </c>
      <c r="J12619" s="70">
        <v>159511.9</v>
      </c>
      <c r="K12619" s="71">
        <v>159511.9</v>
      </c>
      <c r="L12619" s="33" t="e">
        <f>HLOOKUP(B12619,#REF!,1,0)</f>
        <v>#REF!</v>
      </c>
      <c r="M12619" s="33" t="str">
        <f t="shared" si="791"/>
        <v>P&amp;L</v>
      </c>
    </row>
    <row r="12620" spans="1:13">
      <c r="A12620" s="33" t="str">
        <f t="shared" si="788"/>
        <v>LCP - CGS</v>
      </c>
      <c r="B12620" s="33" t="str">
        <f t="shared" si="789"/>
        <v>LCP</v>
      </c>
      <c r="C12620" s="33" t="str">
        <f t="shared" si="790"/>
        <v>61015-0000</v>
      </c>
      <c r="D12620" t="s">
        <v>13693</v>
      </c>
      <c r="E12620" t="s">
        <v>13325</v>
      </c>
      <c r="F12620" s="69" t="s">
        <v>230</v>
      </c>
      <c r="G12620" t="s">
        <v>3838</v>
      </c>
      <c r="H12620" t="s">
        <v>1875</v>
      </c>
      <c r="I12620" t="s">
        <v>3859</v>
      </c>
      <c r="J12620" s="70">
        <v>6646.52</v>
      </c>
      <c r="K12620" s="71">
        <v>6646.52</v>
      </c>
      <c r="L12620" s="33" t="e">
        <f>HLOOKUP(B12620,#REF!,1,0)</f>
        <v>#REF!</v>
      </c>
      <c r="M12620" s="33" t="str">
        <f t="shared" si="791"/>
        <v>P&amp;L</v>
      </c>
    </row>
    <row r="12621" spans="1:13">
      <c r="A12621" s="33" t="str">
        <f t="shared" si="788"/>
        <v>LCP - Other Income/Expense</v>
      </c>
      <c r="B12621" s="33" t="str">
        <f t="shared" si="789"/>
        <v>LCP</v>
      </c>
      <c r="C12621" s="33" t="str">
        <f t="shared" si="790"/>
        <v>61022-0000</v>
      </c>
      <c r="D12621" t="s">
        <v>7154</v>
      </c>
      <c r="E12621" t="s">
        <v>4286</v>
      </c>
      <c r="F12621" s="69" t="s">
        <v>230</v>
      </c>
      <c r="G12621" t="s">
        <v>3838</v>
      </c>
      <c r="H12621" t="s">
        <v>3300</v>
      </c>
      <c r="I12621" t="s">
        <v>4287</v>
      </c>
      <c r="J12621" s="70">
        <v>11786.73</v>
      </c>
      <c r="K12621" s="71">
        <v>11786.73</v>
      </c>
      <c r="L12621" s="33" t="e">
        <f>HLOOKUP(B12621,#REF!,1,0)</f>
        <v>#REF!</v>
      </c>
      <c r="M12621" s="33" t="str">
        <f t="shared" si="791"/>
        <v>P&amp;L</v>
      </c>
    </row>
    <row r="12622" spans="1:13">
      <c r="A12622" s="33" t="str">
        <f t="shared" si="788"/>
        <v>LCP - CGS</v>
      </c>
      <c r="B12622" s="33" t="str">
        <f t="shared" si="789"/>
        <v>LCP</v>
      </c>
      <c r="C12622" s="33" t="str">
        <f t="shared" si="790"/>
        <v>61023-0000</v>
      </c>
      <c r="D12622" t="s">
        <v>7155</v>
      </c>
      <c r="E12622" t="s">
        <v>1873</v>
      </c>
      <c r="F12622" s="69" t="s">
        <v>230</v>
      </c>
      <c r="G12622" t="s">
        <v>1874</v>
      </c>
      <c r="H12622" t="s">
        <v>1875</v>
      </c>
      <c r="I12622" t="s">
        <v>1876</v>
      </c>
      <c r="J12622" s="70">
        <v>9348.22</v>
      </c>
      <c r="K12622" s="71">
        <v>9348.22</v>
      </c>
      <c r="L12622" s="33" t="e">
        <f>HLOOKUP(B12622,#REF!,1,0)</f>
        <v>#REF!</v>
      </c>
      <c r="M12622" s="33" t="str">
        <f t="shared" si="791"/>
        <v>P&amp;L</v>
      </c>
    </row>
    <row r="12623" spans="1:13">
      <c r="A12623" s="33" t="str">
        <f t="shared" ref="A12623:A12686" si="792">B12623&amp;" - "&amp;TRIM(H12623)</f>
        <v>LCP - PM Expenses</v>
      </c>
      <c r="B12623" s="33" t="str">
        <f t="shared" ref="B12623:B12686" si="793">LEFT(D12623,3)</f>
        <v>LCP</v>
      </c>
      <c r="C12623" s="33" t="str">
        <f t="shared" ref="C12623:C12686" si="794">RIGHT(D12623,10)</f>
        <v>71020-0000</v>
      </c>
      <c r="D12623" t="s">
        <v>13694</v>
      </c>
      <c r="E12623" t="s">
        <v>13328</v>
      </c>
      <c r="F12623" s="69" t="s">
        <v>230</v>
      </c>
      <c r="G12623" t="s">
        <v>3818</v>
      </c>
      <c r="H12623" t="s">
        <v>3819</v>
      </c>
      <c r="I12623" t="s">
        <v>3820</v>
      </c>
      <c r="J12623" s="70">
        <v>19607.42</v>
      </c>
      <c r="K12623" s="71">
        <v>19607.42</v>
      </c>
      <c r="L12623" s="33" t="e">
        <f>HLOOKUP(B12623,#REF!,1,0)</f>
        <v>#REF!</v>
      </c>
      <c r="M12623" s="33" t="str">
        <f t="shared" ref="M12623:M12686" si="795">IF(VALUE(LEFT(C12623,5))&gt;40000,"P&amp;L","BS")</f>
        <v>P&amp;L</v>
      </c>
    </row>
    <row r="12624" spans="1:13">
      <c r="A12624" s="33" t="str">
        <f t="shared" si="792"/>
        <v>LCP - PM Expenses</v>
      </c>
      <c r="B12624" s="33" t="str">
        <f t="shared" si="793"/>
        <v>LCP</v>
      </c>
      <c r="C12624" s="33" t="str">
        <f t="shared" si="794"/>
        <v>71030-0000</v>
      </c>
      <c r="D12624" t="s">
        <v>13695</v>
      </c>
      <c r="E12624" t="s">
        <v>13330</v>
      </c>
      <c r="F12624" s="69" t="s">
        <v>230</v>
      </c>
      <c r="G12624" t="s">
        <v>3818</v>
      </c>
      <c r="H12624" t="s">
        <v>3819</v>
      </c>
      <c r="I12624" t="s">
        <v>3823</v>
      </c>
      <c r="J12624" s="70">
        <v>28301.65</v>
      </c>
      <c r="K12624" s="71">
        <v>28301.65</v>
      </c>
      <c r="L12624" s="33" t="e">
        <f>HLOOKUP(B12624,#REF!,1,0)</f>
        <v>#REF!</v>
      </c>
      <c r="M12624" s="33" t="str">
        <f t="shared" si="795"/>
        <v>P&amp;L</v>
      </c>
    </row>
    <row r="12625" spans="1:13">
      <c r="A12625" s="33" t="str">
        <f t="shared" si="792"/>
        <v>LCP - PM Expenses</v>
      </c>
      <c r="B12625" s="33" t="str">
        <f t="shared" si="793"/>
        <v>LCP</v>
      </c>
      <c r="C12625" s="33" t="str">
        <f t="shared" si="794"/>
        <v>71040-0000</v>
      </c>
      <c r="D12625" t="s">
        <v>13696</v>
      </c>
      <c r="E12625" t="s">
        <v>13332</v>
      </c>
      <c r="F12625" s="69" t="s">
        <v>230</v>
      </c>
      <c r="G12625" t="s">
        <v>3818</v>
      </c>
      <c r="H12625" t="s">
        <v>3819</v>
      </c>
      <c r="I12625" t="s">
        <v>3826</v>
      </c>
      <c r="J12625" s="70">
        <v>18956.6</v>
      </c>
      <c r="K12625" s="71">
        <v>18956.6</v>
      </c>
      <c r="L12625" s="33" t="e">
        <f>HLOOKUP(B12625,#REF!,1,0)</f>
        <v>#REF!</v>
      </c>
      <c r="M12625" s="33" t="str">
        <f t="shared" si="795"/>
        <v>P&amp;L</v>
      </c>
    </row>
    <row r="12626" spans="1:13">
      <c r="A12626" s="33" t="str">
        <f t="shared" si="792"/>
        <v>LCP - PM Expenses</v>
      </c>
      <c r="B12626" s="33" t="str">
        <f t="shared" si="793"/>
        <v>LCP</v>
      </c>
      <c r="C12626" s="33" t="str">
        <f t="shared" si="794"/>
        <v>71060-0000</v>
      </c>
      <c r="D12626" t="s">
        <v>13697</v>
      </c>
      <c r="E12626" t="s">
        <v>13336</v>
      </c>
      <c r="F12626" s="69" t="s">
        <v>230</v>
      </c>
      <c r="G12626" t="s">
        <v>3818</v>
      </c>
      <c r="H12626" t="s">
        <v>3819</v>
      </c>
      <c r="I12626" t="s">
        <v>3829</v>
      </c>
      <c r="J12626" s="70">
        <v>53586.03</v>
      </c>
      <c r="K12626" s="71">
        <v>53586.03</v>
      </c>
      <c r="L12626" s="33" t="e">
        <f>HLOOKUP(B12626,#REF!,1,0)</f>
        <v>#REF!</v>
      </c>
      <c r="M12626" s="33" t="str">
        <f t="shared" si="795"/>
        <v>P&amp;L</v>
      </c>
    </row>
    <row r="12627" spans="1:13">
      <c r="A12627" s="33" t="str">
        <f t="shared" si="792"/>
        <v>LCP - PM Expenses</v>
      </c>
      <c r="B12627" s="33" t="str">
        <f t="shared" si="793"/>
        <v>LCP</v>
      </c>
      <c r="C12627" s="33" t="str">
        <f t="shared" si="794"/>
        <v>71070-0000</v>
      </c>
      <c r="D12627" t="s">
        <v>13698</v>
      </c>
      <c r="E12627" t="s">
        <v>13338</v>
      </c>
      <c r="F12627" s="69" t="s">
        <v>230</v>
      </c>
      <c r="G12627" t="s">
        <v>3818</v>
      </c>
      <c r="H12627" t="s">
        <v>3819</v>
      </c>
      <c r="I12627" t="s">
        <v>3832</v>
      </c>
      <c r="J12627" s="70">
        <v>287230.66</v>
      </c>
      <c r="K12627" s="71">
        <v>287230.66</v>
      </c>
      <c r="L12627" s="33" t="e">
        <f>HLOOKUP(B12627,#REF!,1,0)</f>
        <v>#REF!</v>
      </c>
      <c r="M12627" s="33" t="str">
        <f t="shared" si="795"/>
        <v>P&amp;L</v>
      </c>
    </row>
    <row r="12628" spans="1:13">
      <c r="A12628" s="33" t="str">
        <f t="shared" si="792"/>
        <v>LCP - PM Expenses</v>
      </c>
      <c r="B12628" s="33" t="str">
        <f t="shared" si="793"/>
        <v>LCP</v>
      </c>
      <c r="C12628" s="33" t="str">
        <f t="shared" si="794"/>
        <v>71080-0000</v>
      </c>
      <c r="D12628" t="s">
        <v>13699</v>
      </c>
      <c r="E12628" t="s">
        <v>13340</v>
      </c>
      <c r="F12628" s="69" t="s">
        <v>230</v>
      </c>
      <c r="G12628" t="s">
        <v>3818</v>
      </c>
      <c r="H12628" t="s">
        <v>3819</v>
      </c>
      <c r="I12628" t="s">
        <v>3835</v>
      </c>
      <c r="J12628" s="70">
        <v>363.37</v>
      </c>
      <c r="K12628" s="71">
        <v>363.37</v>
      </c>
      <c r="L12628" s="33" t="e">
        <f>HLOOKUP(B12628,#REF!,1,0)</f>
        <v>#REF!</v>
      </c>
      <c r="M12628" s="33" t="str">
        <f t="shared" si="795"/>
        <v>P&amp;L</v>
      </c>
    </row>
    <row r="12629" spans="1:13">
      <c r="A12629" s="33" t="str">
        <f t="shared" si="792"/>
        <v>LCP - PM Expenses</v>
      </c>
      <c r="B12629" s="33" t="str">
        <f t="shared" si="793"/>
        <v>LCP</v>
      </c>
      <c r="C12629" s="33" t="str">
        <f t="shared" si="794"/>
        <v>71090-0000</v>
      </c>
      <c r="D12629" t="s">
        <v>13700</v>
      </c>
      <c r="E12629" t="s">
        <v>13529</v>
      </c>
      <c r="F12629" s="69" t="s">
        <v>230</v>
      </c>
      <c r="G12629" t="s">
        <v>3818</v>
      </c>
      <c r="H12629" t="s">
        <v>3819</v>
      </c>
      <c r="I12629" t="s">
        <v>4352</v>
      </c>
      <c r="J12629" s="70">
        <v>2000</v>
      </c>
      <c r="K12629" s="71">
        <v>2000</v>
      </c>
      <c r="L12629" s="33" t="e">
        <f>HLOOKUP(B12629,#REF!,1,0)</f>
        <v>#REF!</v>
      </c>
      <c r="M12629" s="33" t="str">
        <f t="shared" si="795"/>
        <v>P&amp;L</v>
      </c>
    </row>
    <row r="12630" spans="1:13">
      <c r="A12630" s="33" t="str">
        <f t="shared" si="792"/>
        <v>LCP - CGS</v>
      </c>
      <c r="B12630" s="33" t="str">
        <f t="shared" si="793"/>
        <v>LCP</v>
      </c>
      <c r="C12630" s="33" t="str">
        <f t="shared" si="794"/>
        <v>71100-0000</v>
      </c>
      <c r="D12630" t="s">
        <v>13701</v>
      </c>
      <c r="E12630" t="s">
        <v>13342</v>
      </c>
      <c r="F12630" s="69" t="s">
        <v>230</v>
      </c>
      <c r="G12630" t="s">
        <v>3769</v>
      </c>
      <c r="H12630" t="s">
        <v>1875</v>
      </c>
      <c r="I12630" t="s">
        <v>3776</v>
      </c>
      <c r="J12630" s="70">
        <v>-664.89</v>
      </c>
      <c r="K12630" s="71">
        <v>-664.89</v>
      </c>
      <c r="L12630" s="33" t="e">
        <f>HLOOKUP(B12630,#REF!,1,0)</f>
        <v>#REF!</v>
      </c>
      <c r="M12630" s="33" t="str">
        <f t="shared" si="795"/>
        <v>P&amp;L</v>
      </c>
    </row>
    <row r="12631" spans="1:13">
      <c r="A12631" s="33" t="str">
        <f t="shared" si="792"/>
        <v>LCP - CGS</v>
      </c>
      <c r="B12631" s="33" t="str">
        <f t="shared" si="793"/>
        <v>LCP</v>
      </c>
      <c r="C12631" s="33" t="str">
        <f t="shared" si="794"/>
        <v>71110-0000</v>
      </c>
      <c r="D12631" t="s">
        <v>13702</v>
      </c>
      <c r="E12631" t="s">
        <v>13344</v>
      </c>
      <c r="F12631" s="69" t="s">
        <v>230</v>
      </c>
      <c r="G12631" t="s">
        <v>3769</v>
      </c>
      <c r="H12631" t="s">
        <v>1875</v>
      </c>
      <c r="I12631" t="s">
        <v>3779</v>
      </c>
      <c r="J12631" s="70">
        <v>9489.35</v>
      </c>
      <c r="K12631" s="71">
        <v>9489.35</v>
      </c>
      <c r="L12631" s="33" t="e">
        <f>HLOOKUP(B12631,#REF!,1,0)</f>
        <v>#REF!</v>
      </c>
      <c r="M12631" s="33" t="str">
        <f t="shared" si="795"/>
        <v>P&amp;L</v>
      </c>
    </row>
    <row r="12632" spans="1:13">
      <c r="A12632" s="33" t="str">
        <f t="shared" si="792"/>
        <v>LCP - Interest Expense</v>
      </c>
      <c r="B12632" s="33" t="str">
        <f t="shared" si="793"/>
        <v>LCP</v>
      </c>
      <c r="C12632" s="33" t="str">
        <f t="shared" si="794"/>
        <v>80006-0000</v>
      </c>
      <c r="D12632" t="s">
        <v>13703</v>
      </c>
      <c r="E12632" t="s">
        <v>3325</v>
      </c>
      <c r="F12632" s="69" t="s">
        <v>230</v>
      </c>
      <c r="G12632" t="s">
        <v>3326</v>
      </c>
      <c r="H12632" t="s">
        <v>3327</v>
      </c>
      <c r="I12632" t="s">
        <v>3328</v>
      </c>
      <c r="J12632" s="70">
        <v>1171280.58</v>
      </c>
      <c r="K12632" s="71">
        <v>1594718.08</v>
      </c>
      <c r="L12632" s="33" t="e">
        <f>HLOOKUP(B12632,#REF!,1,0)</f>
        <v>#REF!</v>
      </c>
      <c r="M12632" s="33" t="str">
        <f t="shared" si="795"/>
        <v>P&amp;L</v>
      </c>
    </row>
    <row r="12633" spans="1:13">
      <c r="A12633" s="33" t="str">
        <f t="shared" si="792"/>
        <v>LCP - Income Tax</v>
      </c>
      <c r="B12633" s="33" t="str">
        <f t="shared" si="793"/>
        <v>LCP</v>
      </c>
      <c r="C12633" s="33" t="str">
        <f t="shared" si="794"/>
        <v>81019-0000</v>
      </c>
      <c r="D12633" t="s">
        <v>13704</v>
      </c>
      <c r="E12633" t="s">
        <v>13347</v>
      </c>
      <c r="F12633" s="69" t="s">
        <v>230</v>
      </c>
      <c r="G12633" t="s">
        <v>3844</v>
      </c>
      <c r="H12633" t="s">
        <v>3378</v>
      </c>
      <c r="I12633" t="s">
        <v>4042</v>
      </c>
      <c r="J12633" s="70">
        <v>32157.7</v>
      </c>
      <c r="K12633" s="71">
        <v>32157.7</v>
      </c>
      <c r="L12633" s="33" t="e">
        <f>HLOOKUP(B12633,#REF!,1,0)</f>
        <v>#REF!</v>
      </c>
      <c r="M12633" s="33" t="str">
        <f t="shared" si="795"/>
        <v>P&amp;L</v>
      </c>
    </row>
    <row r="12634" spans="1:13">
      <c r="A12634" s="33" t="str">
        <f t="shared" si="792"/>
        <v>LCP - Other Expenses</v>
      </c>
      <c r="B12634" s="33" t="str">
        <f t="shared" si="793"/>
        <v>LCP</v>
      </c>
      <c r="C12634" s="33" t="str">
        <f t="shared" si="794"/>
        <v>81228-0000</v>
      </c>
      <c r="D12634" t="s">
        <v>13705</v>
      </c>
      <c r="E12634" t="s">
        <v>3864</v>
      </c>
      <c r="F12634" s="69" t="s">
        <v>230</v>
      </c>
      <c r="G12634" t="s">
        <v>3838</v>
      </c>
      <c r="H12634" t="s">
        <v>3865</v>
      </c>
      <c r="I12634" t="s">
        <v>3866</v>
      </c>
      <c r="J12634" s="70">
        <v>2130393.68</v>
      </c>
      <c r="K12634" s="71">
        <v>2130393.68</v>
      </c>
      <c r="L12634" s="33" t="e">
        <f>HLOOKUP(B12634,#REF!,1,0)</f>
        <v>#REF!</v>
      </c>
      <c r="M12634" s="33" t="str">
        <f t="shared" si="795"/>
        <v>P&amp;L</v>
      </c>
    </row>
    <row r="12635" spans="1:13">
      <c r="A12635" s="33" t="str">
        <f t="shared" si="792"/>
        <v>LCP - Legal Settlement</v>
      </c>
      <c r="B12635" s="33" t="str">
        <f t="shared" si="793"/>
        <v>LCP</v>
      </c>
      <c r="C12635" s="33" t="str">
        <f t="shared" si="794"/>
        <v>81400-0000</v>
      </c>
      <c r="D12635" t="s">
        <v>13706</v>
      </c>
      <c r="E12635" t="s">
        <v>5158</v>
      </c>
      <c r="F12635" s="69" t="s">
        <v>230</v>
      </c>
      <c r="G12635" t="s">
        <v>3326</v>
      </c>
      <c r="H12635" t="s">
        <v>5159</v>
      </c>
      <c r="I12635" t="s">
        <v>5160</v>
      </c>
      <c r="J12635" s="70">
        <v>4350</v>
      </c>
      <c r="K12635" s="71">
        <v>4350</v>
      </c>
      <c r="L12635" s="33" t="e">
        <f>HLOOKUP(B12635,#REF!,1,0)</f>
        <v>#REF!</v>
      </c>
      <c r="M12635" s="33" t="str">
        <f t="shared" si="795"/>
        <v>P&amp;L</v>
      </c>
    </row>
    <row r="12636" spans="1:13">
      <c r="A12636" s="33" t="str">
        <f t="shared" si="792"/>
        <v>ZPI - SH Dist</v>
      </c>
      <c r="B12636" s="33" t="str">
        <f t="shared" si="793"/>
        <v>ZPI</v>
      </c>
      <c r="C12636" s="33" t="str">
        <f t="shared" si="794"/>
        <v>10001-0000</v>
      </c>
      <c r="D12636" t="s">
        <v>2846</v>
      </c>
      <c r="E12636" t="s">
        <v>13221</v>
      </c>
      <c r="F12636" s="69" t="s">
        <v>230</v>
      </c>
      <c r="G12636" t="s">
        <v>142</v>
      </c>
      <c r="H12636" t="s">
        <v>143</v>
      </c>
      <c r="I12636" t="s">
        <v>144</v>
      </c>
      <c r="J12636" s="70">
        <v>0</v>
      </c>
      <c r="K12636" s="71">
        <v>-260758.78</v>
      </c>
      <c r="L12636" s="33" t="e">
        <f>HLOOKUP(B12636,#REF!,1,0)</f>
        <v>#REF!</v>
      </c>
      <c r="M12636" s="33" t="str">
        <f t="shared" si="795"/>
        <v>BS</v>
      </c>
    </row>
    <row r="12637" spans="1:13">
      <c r="A12637" s="33" t="str">
        <f t="shared" si="792"/>
        <v>ZPI - SH Dist</v>
      </c>
      <c r="B12637" s="33" t="str">
        <f t="shared" si="793"/>
        <v>ZPI</v>
      </c>
      <c r="C12637" s="33" t="str">
        <f t="shared" si="794"/>
        <v>10005-0000</v>
      </c>
      <c r="D12637" t="s">
        <v>13707</v>
      </c>
      <c r="E12637" t="s">
        <v>13413</v>
      </c>
      <c r="F12637" s="69" t="s">
        <v>230</v>
      </c>
      <c r="G12637" t="s">
        <v>142</v>
      </c>
      <c r="H12637" t="s">
        <v>143</v>
      </c>
      <c r="I12637" t="s">
        <v>144</v>
      </c>
      <c r="J12637" s="70">
        <v>-6278.2</v>
      </c>
      <c r="K12637" s="71">
        <v>-10924.22</v>
      </c>
      <c r="L12637" s="33" t="e">
        <f>HLOOKUP(B12637,#REF!,1,0)</f>
        <v>#REF!</v>
      </c>
      <c r="M12637" s="33" t="str">
        <f t="shared" si="795"/>
        <v>BS</v>
      </c>
    </row>
    <row r="12638" spans="1:13">
      <c r="A12638" s="33" t="str">
        <f t="shared" si="792"/>
        <v>ZPI - Cash</v>
      </c>
      <c r="B12638" s="33" t="str">
        <f t="shared" si="793"/>
        <v>ZPI</v>
      </c>
      <c r="C12638" s="33" t="str">
        <f t="shared" si="794"/>
        <v>10023-0000</v>
      </c>
      <c r="D12638" t="s">
        <v>2847</v>
      </c>
      <c r="E12638" t="s">
        <v>13708</v>
      </c>
      <c r="F12638" s="69" t="s">
        <v>230</v>
      </c>
      <c r="G12638" t="s">
        <v>16</v>
      </c>
      <c r="H12638" t="s">
        <v>25</v>
      </c>
      <c r="I12638" t="s">
        <v>18</v>
      </c>
      <c r="J12638" s="70">
        <v>293305.59</v>
      </c>
      <c r="K12638" s="71">
        <v>564633.92</v>
      </c>
      <c r="L12638" s="33" t="e">
        <f>HLOOKUP(B12638,#REF!,1,0)</f>
        <v>#REF!</v>
      </c>
      <c r="M12638" s="33" t="str">
        <f t="shared" si="795"/>
        <v>BS</v>
      </c>
    </row>
    <row r="12639" spans="1:13">
      <c r="A12639" s="33" t="str">
        <f t="shared" si="792"/>
        <v>ZPI - Intercompany</v>
      </c>
      <c r="B12639" s="33" t="str">
        <f t="shared" si="793"/>
        <v>ZPI</v>
      </c>
      <c r="C12639" s="33" t="str">
        <f t="shared" si="794"/>
        <v>11216-0000</v>
      </c>
      <c r="D12639" t="s">
        <v>2850</v>
      </c>
      <c r="E12639" t="s">
        <v>13224</v>
      </c>
      <c r="F12639" s="69" t="s">
        <v>230</v>
      </c>
      <c r="G12639" t="s">
        <v>16</v>
      </c>
      <c r="H12639" t="s">
        <v>39</v>
      </c>
      <c r="I12639" t="s">
        <v>40</v>
      </c>
      <c r="J12639" s="70">
        <v>-33693.23</v>
      </c>
      <c r="K12639" s="71">
        <v>-48774.46</v>
      </c>
      <c r="L12639" s="33" t="e">
        <f>HLOOKUP(B12639,#REF!,1,0)</f>
        <v>#REF!</v>
      </c>
      <c r="M12639" s="33" t="str">
        <f t="shared" si="795"/>
        <v>BS</v>
      </c>
    </row>
    <row r="12640" spans="1:13">
      <c r="A12640" s="33" t="str">
        <f t="shared" si="792"/>
        <v>ZPI - AR-PPD</v>
      </c>
      <c r="B12640" s="33" t="str">
        <f t="shared" si="793"/>
        <v>ZPI</v>
      </c>
      <c r="C12640" s="33" t="str">
        <f t="shared" si="794"/>
        <v>12100-0000</v>
      </c>
      <c r="D12640" t="s">
        <v>13709</v>
      </c>
      <c r="E12640" t="s">
        <v>34</v>
      </c>
      <c r="F12640" s="69" t="s">
        <v>230</v>
      </c>
      <c r="G12640" t="s">
        <v>16</v>
      </c>
      <c r="H12640" t="s">
        <v>35</v>
      </c>
      <c r="I12640" t="s">
        <v>36</v>
      </c>
      <c r="J12640" s="70">
        <v>68465.08</v>
      </c>
      <c r="K12640" s="71">
        <v>77853.41</v>
      </c>
      <c r="L12640" s="33" t="e">
        <f>HLOOKUP(B12640,#REF!,1,0)</f>
        <v>#REF!</v>
      </c>
      <c r="M12640" s="33" t="str">
        <f t="shared" si="795"/>
        <v>BS</v>
      </c>
    </row>
    <row r="12641" spans="1:13">
      <c r="A12641" s="33" t="str">
        <f t="shared" si="792"/>
        <v>ZPI - AR-PPD</v>
      </c>
      <c r="B12641" s="33" t="str">
        <f t="shared" si="793"/>
        <v>ZPI</v>
      </c>
      <c r="C12641" s="33" t="str">
        <f t="shared" si="794"/>
        <v>13810-0000</v>
      </c>
      <c r="D12641" t="s">
        <v>13710</v>
      </c>
      <c r="E12641" t="s">
        <v>294</v>
      </c>
      <c r="F12641" s="69" t="s">
        <v>230</v>
      </c>
      <c r="G12641" t="s">
        <v>62</v>
      </c>
      <c r="H12641" t="s">
        <v>35</v>
      </c>
      <c r="I12641" t="s">
        <v>64</v>
      </c>
      <c r="J12641" s="70">
        <v>631604.06</v>
      </c>
      <c r="K12641" s="71">
        <v>702021.17</v>
      </c>
      <c r="L12641" s="33" t="e">
        <f>HLOOKUP(B12641,#REF!,1,0)</f>
        <v>#REF!</v>
      </c>
      <c r="M12641" s="33" t="str">
        <f t="shared" si="795"/>
        <v>BS</v>
      </c>
    </row>
    <row r="12642" spans="1:13">
      <c r="A12642" s="33" t="str">
        <f t="shared" si="792"/>
        <v>ZPI - AR-PPD</v>
      </c>
      <c r="B12642" s="33" t="str">
        <f t="shared" si="793"/>
        <v>ZPI</v>
      </c>
      <c r="C12642" s="33" t="str">
        <f t="shared" si="794"/>
        <v>13820-0000</v>
      </c>
      <c r="D12642" t="s">
        <v>13711</v>
      </c>
      <c r="E12642" t="s">
        <v>387</v>
      </c>
      <c r="F12642" s="69" t="s">
        <v>230</v>
      </c>
      <c r="G12642" t="s">
        <v>388</v>
      </c>
      <c r="H12642" t="s">
        <v>35</v>
      </c>
      <c r="I12642" t="s">
        <v>64</v>
      </c>
      <c r="J12642" s="70">
        <v>15688</v>
      </c>
      <c r="K12642" s="71">
        <v>15688</v>
      </c>
      <c r="L12642" s="33" t="e">
        <f>HLOOKUP(B12642,#REF!,1,0)</f>
        <v>#REF!</v>
      </c>
      <c r="M12642" s="33" t="str">
        <f t="shared" si="795"/>
        <v>BS</v>
      </c>
    </row>
    <row r="12643" spans="1:13">
      <c r="A12643" s="33" t="str">
        <f t="shared" si="792"/>
        <v>ZPI - Fixed Assets</v>
      </c>
      <c r="B12643" s="33" t="str">
        <f t="shared" si="793"/>
        <v>ZPI</v>
      </c>
      <c r="C12643" s="33" t="str">
        <f t="shared" si="794"/>
        <v>14100-0000</v>
      </c>
      <c r="D12643" t="s">
        <v>13712</v>
      </c>
      <c r="E12643" t="s">
        <v>298</v>
      </c>
      <c r="F12643" s="69" t="s">
        <v>230</v>
      </c>
      <c r="G12643" t="s">
        <v>62</v>
      </c>
      <c r="H12643" t="s">
        <v>63</v>
      </c>
      <c r="I12643" t="s">
        <v>64</v>
      </c>
      <c r="J12643" s="70">
        <v>15015000</v>
      </c>
      <c r="K12643" s="71">
        <v>15015000</v>
      </c>
      <c r="L12643" s="33" t="e">
        <f>HLOOKUP(B12643,#REF!,1,0)</f>
        <v>#REF!</v>
      </c>
      <c r="M12643" s="33" t="str">
        <f t="shared" si="795"/>
        <v>BS</v>
      </c>
    </row>
    <row r="12644" spans="1:13">
      <c r="A12644" s="33" t="str">
        <f t="shared" si="792"/>
        <v>ZPI - Fixed Assets</v>
      </c>
      <c r="B12644" s="33" t="str">
        <f t="shared" si="793"/>
        <v>ZPI</v>
      </c>
      <c r="C12644" s="33" t="str">
        <f t="shared" si="794"/>
        <v>15000-0000</v>
      </c>
      <c r="D12644" t="s">
        <v>2854</v>
      </c>
      <c r="E12644" t="s">
        <v>13252</v>
      </c>
      <c r="F12644" s="69" t="s">
        <v>230</v>
      </c>
      <c r="G12644" t="s">
        <v>62</v>
      </c>
      <c r="H12644" t="s">
        <v>63</v>
      </c>
      <c r="I12644" t="s">
        <v>64</v>
      </c>
      <c r="J12644" s="70">
        <v>30485000</v>
      </c>
      <c r="K12644" s="71">
        <v>30485000</v>
      </c>
      <c r="L12644" s="33" t="e">
        <f>HLOOKUP(B12644,#REF!,1,0)</f>
        <v>#REF!</v>
      </c>
      <c r="M12644" s="33" t="str">
        <f t="shared" si="795"/>
        <v>BS</v>
      </c>
    </row>
    <row r="12645" spans="1:13">
      <c r="A12645" s="33" t="str">
        <f t="shared" si="792"/>
        <v>ZPI - Fixed Assets</v>
      </c>
      <c r="B12645" s="33" t="str">
        <f t="shared" si="793"/>
        <v>ZPI</v>
      </c>
      <c r="C12645" s="33" t="str">
        <f t="shared" si="794"/>
        <v>15500-0000</v>
      </c>
      <c r="D12645" t="s">
        <v>2855</v>
      </c>
      <c r="E12645" t="s">
        <v>302</v>
      </c>
      <c r="F12645" s="69" t="s">
        <v>230</v>
      </c>
      <c r="G12645" t="s">
        <v>62</v>
      </c>
      <c r="H12645" t="s">
        <v>63</v>
      </c>
      <c r="I12645" t="s">
        <v>64</v>
      </c>
      <c r="J12645" s="70">
        <v>23514.07</v>
      </c>
      <c r="K12645" s="71">
        <v>23514.07</v>
      </c>
      <c r="L12645" s="33" t="e">
        <f>HLOOKUP(B12645,#REF!,1,0)</f>
        <v>#REF!</v>
      </c>
      <c r="M12645" s="33" t="str">
        <f t="shared" si="795"/>
        <v>BS</v>
      </c>
    </row>
    <row r="12646" spans="1:13">
      <c r="A12646" s="33" t="str">
        <f t="shared" si="792"/>
        <v>ZPI - Fixed Assets</v>
      </c>
      <c r="B12646" s="33" t="str">
        <f t="shared" si="793"/>
        <v>ZPI</v>
      </c>
      <c r="C12646" s="33" t="str">
        <f t="shared" si="794"/>
        <v>15700-0000</v>
      </c>
      <c r="D12646" t="s">
        <v>13713</v>
      </c>
      <c r="E12646" t="s">
        <v>2635</v>
      </c>
      <c r="F12646" s="69" t="s">
        <v>230</v>
      </c>
      <c r="G12646" t="s">
        <v>62</v>
      </c>
      <c r="H12646" t="s">
        <v>63</v>
      </c>
      <c r="I12646" t="s">
        <v>64</v>
      </c>
      <c r="J12646" s="70">
        <v>4900.42</v>
      </c>
      <c r="K12646" s="71">
        <v>9448.37</v>
      </c>
      <c r="L12646" s="33" t="e">
        <f>HLOOKUP(B12646,#REF!,1,0)</f>
        <v>#REF!</v>
      </c>
      <c r="M12646" s="33" t="str">
        <f t="shared" si="795"/>
        <v>BS</v>
      </c>
    </row>
    <row r="12647" spans="1:13">
      <c r="A12647" s="33" t="str">
        <f t="shared" si="792"/>
        <v>ZPI - Fixed Assets</v>
      </c>
      <c r="B12647" s="33" t="str">
        <f t="shared" si="793"/>
        <v>ZPI</v>
      </c>
      <c r="C12647" s="33" t="str">
        <f t="shared" si="794"/>
        <v>17000-0000</v>
      </c>
      <c r="D12647" t="s">
        <v>2856</v>
      </c>
      <c r="E12647" t="s">
        <v>77</v>
      </c>
      <c r="F12647" s="69" t="s">
        <v>230</v>
      </c>
      <c r="G12647" t="s">
        <v>62</v>
      </c>
      <c r="H12647" t="s">
        <v>63</v>
      </c>
      <c r="I12647" t="s">
        <v>64</v>
      </c>
      <c r="J12647" s="70">
        <v>-263411</v>
      </c>
      <c r="K12647" s="71">
        <v>-263411</v>
      </c>
      <c r="L12647" s="33" t="e">
        <f>HLOOKUP(B12647,#REF!,1,0)</f>
        <v>#REF!</v>
      </c>
      <c r="M12647" s="33" t="str">
        <f t="shared" si="795"/>
        <v>BS</v>
      </c>
    </row>
    <row r="12648" spans="1:13">
      <c r="A12648" s="33" t="str">
        <f t="shared" si="792"/>
        <v>ZPI - Fixed Assets</v>
      </c>
      <c r="B12648" s="33" t="str">
        <f t="shared" si="793"/>
        <v>ZPI</v>
      </c>
      <c r="C12648" s="33" t="str">
        <f t="shared" si="794"/>
        <v>18000-0000</v>
      </c>
      <c r="D12648" t="s">
        <v>2857</v>
      </c>
      <c r="E12648" t="s">
        <v>88</v>
      </c>
      <c r="F12648" s="69" t="s">
        <v>230</v>
      </c>
      <c r="G12648" t="s">
        <v>62</v>
      </c>
      <c r="H12648" t="s">
        <v>63</v>
      </c>
      <c r="I12648" t="s">
        <v>81</v>
      </c>
      <c r="J12648" s="70">
        <v>-450</v>
      </c>
      <c r="K12648" s="71">
        <v>-450</v>
      </c>
      <c r="L12648" s="33" t="e">
        <f>HLOOKUP(B12648,#REF!,1,0)</f>
        <v>#REF!</v>
      </c>
      <c r="M12648" s="33" t="str">
        <f t="shared" si="795"/>
        <v>BS</v>
      </c>
    </row>
    <row r="12649" spans="1:13">
      <c r="A12649" s="33" t="str">
        <f t="shared" si="792"/>
        <v>ZPI - AP-Accr Exp</v>
      </c>
      <c r="B12649" s="33" t="str">
        <f t="shared" si="793"/>
        <v>ZPI</v>
      </c>
      <c r="C12649" s="33" t="str">
        <f t="shared" si="794"/>
        <v>22000-0000</v>
      </c>
      <c r="D12649" t="s">
        <v>13714</v>
      </c>
      <c r="E12649" t="s">
        <v>96</v>
      </c>
      <c r="F12649" s="69" t="s">
        <v>230</v>
      </c>
      <c r="G12649" t="s">
        <v>97</v>
      </c>
      <c r="H12649" t="s">
        <v>98</v>
      </c>
      <c r="I12649" t="s">
        <v>99</v>
      </c>
      <c r="J12649" s="70">
        <v>0</v>
      </c>
      <c r="K12649" s="71">
        <v>5459.62</v>
      </c>
      <c r="L12649" s="33" t="e">
        <f>HLOOKUP(B12649,#REF!,1,0)</f>
        <v>#REF!</v>
      </c>
      <c r="M12649" s="33" t="str">
        <f t="shared" si="795"/>
        <v>BS</v>
      </c>
    </row>
    <row r="12650" spans="1:13">
      <c r="A12650" s="33" t="str">
        <f t="shared" si="792"/>
        <v>ZPI - AP-Accr Exp</v>
      </c>
      <c r="B12650" s="33" t="str">
        <f t="shared" si="793"/>
        <v>ZPI</v>
      </c>
      <c r="C12650" s="33" t="str">
        <f t="shared" si="794"/>
        <v>22800-0000</v>
      </c>
      <c r="D12650" t="s">
        <v>13715</v>
      </c>
      <c r="E12650" t="s">
        <v>13256</v>
      </c>
      <c r="F12650" s="69" t="s">
        <v>230</v>
      </c>
      <c r="G12650" t="s">
        <v>97</v>
      </c>
      <c r="H12650" t="s">
        <v>98</v>
      </c>
      <c r="I12650" t="s">
        <v>102</v>
      </c>
      <c r="J12650" s="70">
        <v>-61595.92</v>
      </c>
      <c r="K12650" s="71">
        <v>-62595.92</v>
      </c>
      <c r="L12650" s="33" t="e">
        <f>HLOOKUP(B12650,#REF!,1,0)</f>
        <v>#REF!</v>
      </c>
      <c r="M12650" s="33" t="str">
        <f t="shared" si="795"/>
        <v>BS</v>
      </c>
    </row>
    <row r="12651" spans="1:13">
      <c r="A12651" s="33" t="str">
        <f t="shared" si="792"/>
        <v>ZPI - Revenue</v>
      </c>
      <c r="B12651" s="33" t="str">
        <f t="shared" si="793"/>
        <v>ZPI</v>
      </c>
      <c r="C12651" s="33" t="str">
        <f t="shared" si="794"/>
        <v>22905-0000</v>
      </c>
      <c r="D12651" t="s">
        <v>13716</v>
      </c>
      <c r="E12651" t="s">
        <v>13258</v>
      </c>
      <c r="F12651" s="69" t="s">
        <v>230</v>
      </c>
      <c r="G12651" t="s">
        <v>3717</v>
      </c>
      <c r="H12651" t="s">
        <v>2871</v>
      </c>
      <c r="I12651" t="s">
        <v>3721</v>
      </c>
      <c r="J12651" s="70">
        <v>-2873.98</v>
      </c>
      <c r="K12651" s="71">
        <v>-3741.34</v>
      </c>
      <c r="L12651" s="33" t="e">
        <f>HLOOKUP(B12651,#REF!,1,0)</f>
        <v>#REF!</v>
      </c>
      <c r="M12651" s="33" t="str">
        <f t="shared" si="795"/>
        <v>BS</v>
      </c>
    </row>
    <row r="12652" spans="1:13">
      <c r="A12652" s="33" t="str">
        <f t="shared" si="792"/>
        <v>ZPI - AP-Accr Exp</v>
      </c>
      <c r="B12652" s="33" t="str">
        <f t="shared" si="793"/>
        <v>ZPI</v>
      </c>
      <c r="C12652" s="33" t="str">
        <f t="shared" si="794"/>
        <v>23509-0000</v>
      </c>
      <c r="D12652" t="s">
        <v>2859</v>
      </c>
      <c r="E12652" t="s">
        <v>454</v>
      </c>
      <c r="F12652" s="69" t="s">
        <v>230</v>
      </c>
      <c r="G12652" t="s">
        <v>97</v>
      </c>
      <c r="H12652" t="s">
        <v>98</v>
      </c>
      <c r="I12652" t="s">
        <v>102</v>
      </c>
      <c r="J12652" s="70">
        <v>936.63</v>
      </c>
      <c r="K12652" s="71">
        <v>0</v>
      </c>
      <c r="L12652" s="33" t="e">
        <f>HLOOKUP(B12652,#REF!,1,0)</f>
        <v>#REF!</v>
      </c>
      <c r="M12652" s="33" t="str">
        <f t="shared" si="795"/>
        <v>BS</v>
      </c>
    </row>
    <row r="12653" spans="1:13">
      <c r="A12653" s="33" t="str">
        <f t="shared" si="792"/>
        <v>ZPI - Principal</v>
      </c>
      <c r="B12653" s="33" t="str">
        <f t="shared" si="793"/>
        <v>ZPI</v>
      </c>
      <c r="C12653" s="33" t="str">
        <f t="shared" si="794"/>
        <v>28015-0000</v>
      </c>
      <c r="D12653" t="s">
        <v>13717</v>
      </c>
      <c r="E12653" t="s">
        <v>2863</v>
      </c>
      <c r="F12653" s="69" t="s">
        <v>230</v>
      </c>
      <c r="G12653" t="s">
        <v>123</v>
      </c>
      <c r="H12653" t="s">
        <v>127</v>
      </c>
      <c r="I12653" t="s">
        <v>133</v>
      </c>
      <c r="J12653" s="70">
        <v>-36400000</v>
      </c>
      <c r="K12653" s="71">
        <v>-36400000</v>
      </c>
      <c r="L12653" s="33" t="e">
        <f>HLOOKUP(B12653,#REF!,1,0)</f>
        <v>#REF!</v>
      </c>
      <c r="M12653" s="33" t="str">
        <f t="shared" si="795"/>
        <v>BS</v>
      </c>
    </row>
    <row r="12654" spans="1:13">
      <c r="A12654" s="33" t="str">
        <f t="shared" si="792"/>
        <v>ZPI - SH Dist</v>
      </c>
      <c r="B12654" s="33" t="str">
        <f t="shared" si="793"/>
        <v>ZPI</v>
      </c>
      <c r="C12654" s="33" t="str">
        <f t="shared" si="794"/>
        <v>31010-0000</v>
      </c>
      <c r="D12654" t="s">
        <v>13718</v>
      </c>
      <c r="E12654" t="s">
        <v>13719</v>
      </c>
      <c r="F12654" s="69" t="s">
        <v>230</v>
      </c>
      <c r="G12654" t="s">
        <v>142</v>
      </c>
      <c r="H12654" t="s">
        <v>143</v>
      </c>
      <c r="I12654" t="s">
        <v>144</v>
      </c>
      <c r="J12654" s="70">
        <v>-10973170.38</v>
      </c>
      <c r="K12654" s="71">
        <v>-10973170.38</v>
      </c>
      <c r="L12654" s="33" t="e">
        <f>HLOOKUP(B12654,#REF!,1,0)</f>
        <v>#REF!</v>
      </c>
      <c r="M12654" s="33" t="str">
        <f t="shared" si="795"/>
        <v>BS</v>
      </c>
    </row>
    <row r="12655" spans="1:13">
      <c r="A12655" s="33" t="str">
        <f t="shared" si="792"/>
        <v>ZPI - SH Dist</v>
      </c>
      <c r="B12655" s="33" t="str">
        <f t="shared" si="793"/>
        <v>ZPI</v>
      </c>
      <c r="C12655" s="33" t="str">
        <f t="shared" si="794"/>
        <v>36000-0000</v>
      </c>
      <c r="D12655" t="s">
        <v>2867</v>
      </c>
      <c r="E12655" t="s">
        <v>13262</v>
      </c>
      <c r="F12655" s="69" t="s">
        <v>230</v>
      </c>
      <c r="G12655" t="s">
        <v>142</v>
      </c>
      <c r="H12655" t="s">
        <v>143</v>
      </c>
      <c r="I12655" t="s">
        <v>144</v>
      </c>
      <c r="J12655" s="70">
        <v>474416.59</v>
      </c>
      <c r="K12655" s="71">
        <v>474416.59</v>
      </c>
      <c r="L12655" s="33" t="e">
        <f>HLOOKUP(B12655,#REF!,1,0)</f>
        <v>#REF!</v>
      </c>
      <c r="M12655" s="33" t="str">
        <f t="shared" si="795"/>
        <v>BS</v>
      </c>
    </row>
    <row r="12656" spans="1:13">
      <c r="A12656" s="33" t="str">
        <f t="shared" si="792"/>
        <v>ZPI - Retained Earnings</v>
      </c>
      <c r="B12656" s="33" t="str">
        <f t="shared" si="793"/>
        <v>ZPI</v>
      </c>
      <c r="C12656" s="33" t="str">
        <f t="shared" si="794"/>
        <v>38100-0000</v>
      </c>
      <c r="D12656" t="s">
        <v>13720</v>
      </c>
      <c r="E12656" t="s">
        <v>234</v>
      </c>
      <c r="F12656" s="69" t="s">
        <v>230</v>
      </c>
      <c r="G12656" t="s">
        <v>142</v>
      </c>
      <c r="H12656" t="s">
        <v>149</v>
      </c>
      <c r="I12656" t="s">
        <v>235</v>
      </c>
      <c r="J12656" s="70">
        <v>1186941.11</v>
      </c>
      <c r="K12656" s="71">
        <v>1186941.11</v>
      </c>
      <c r="L12656" s="33" t="e">
        <f>HLOOKUP(B12656,#REF!,1,0)</f>
        <v>#REF!</v>
      </c>
      <c r="M12656" s="33" t="str">
        <f t="shared" si="795"/>
        <v>BS</v>
      </c>
    </row>
    <row r="12657" spans="1:13">
      <c r="A12657" s="33" t="str">
        <f t="shared" si="792"/>
        <v>ZPI - Revenue</v>
      </c>
      <c r="B12657" s="33" t="str">
        <f t="shared" si="793"/>
        <v>ZPI</v>
      </c>
      <c r="C12657" s="33" t="str">
        <f t="shared" si="794"/>
        <v>40110-0000</v>
      </c>
      <c r="D12657" t="s">
        <v>13145</v>
      </c>
      <c r="E12657" t="s">
        <v>3683</v>
      </c>
      <c r="F12657" s="69" t="s">
        <v>230</v>
      </c>
      <c r="G12657" t="s">
        <v>3684</v>
      </c>
      <c r="H12657" t="s">
        <v>2871</v>
      </c>
      <c r="I12657" t="s">
        <v>3685</v>
      </c>
      <c r="J12657" s="70">
        <v>-2404354.9</v>
      </c>
      <c r="K12657" s="71">
        <v>-2404354.9</v>
      </c>
      <c r="L12657" s="33" t="e">
        <f>HLOOKUP(B12657,#REF!,1,0)</f>
        <v>#REF!</v>
      </c>
      <c r="M12657" s="33" t="str">
        <f t="shared" si="795"/>
        <v>P&amp;L</v>
      </c>
    </row>
    <row r="12658" spans="1:13">
      <c r="A12658" s="33" t="str">
        <f t="shared" si="792"/>
        <v>ZPI - Revenue</v>
      </c>
      <c r="B12658" s="33" t="str">
        <f t="shared" si="793"/>
        <v>ZPI</v>
      </c>
      <c r="C12658" s="33" t="str">
        <f t="shared" si="794"/>
        <v>40120-0000</v>
      </c>
      <c r="D12658" t="s">
        <v>13146</v>
      </c>
      <c r="E12658" t="s">
        <v>3687</v>
      </c>
      <c r="F12658" s="69" t="s">
        <v>230</v>
      </c>
      <c r="G12658" t="s">
        <v>3684</v>
      </c>
      <c r="H12658" t="s">
        <v>2871</v>
      </c>
      <c r="I12658" t="s">
        <v>3688</v>
      </c>
      <c r="J12658" s="70">
        <v>-52625.6</v>
      </c>
      <c r="K12658" s="71">
        <v>-52625.6</v>
      </c>
      <c r="L12658" s="33" t="e">
        <f>HLOOKUP(B12658,#REF!,1,0)</f>
        <v>#REF!</v>
      </c>
      <c r="M12658" s="33" t="str">
        <f t="shared" si="795"/>
        <v>P&amp;L</v>
      </c>
    </row>
    <row r="12659" spans="1:13">
      <c r="A12659" s="33" t="str">
        <f t="shared" si="792"/>
        <v>ZPI - Revenue</v>
      </c>
      <c r="B12659" s="33" t="str">
        <f t="shared" si="793"/>
        <v>ZPI</v>
      </c>
      <c r="C12659" s="33" t="str">
        <f t="shared" si="794"/>
        <v>40130-0000</v>
      </c>
      <c r="D12659" t="s">
        <v>13147</v>
      </c>
      <c r="E12659" t="s">
        <v>3690</v>
      </c>
      <c r="F12659" s="69" t="s">
        <v>230</v>
      </c>
      <c r="G12659" t="s">
        <v>3684</v>
      </c>
      <c r="H12659" t="s">
        <v>2871</v>
      </c>
      <c r="I12659" t="s">
        <v>3691</v>
      </c>
      <c r="J12659" s="70">
        <v>-82749.38</v>
      </c>
      <c r="K12659" s="71">
        <v>-82749.38</v>
      </c>
      <c r="L12659" s="33" t="e">
        <f>HLOOKUP(B12659,#REF!,1,0)</f>
        <v>#REF!</v>
      </c>
      <c r="M12659" s="33" t="str">
        <f t="shared" si="795"/>
        <v>P&amp;L</v>
      </c>
    </row>
    <row r="12660" spans="1:13">
      <c r="A12660" s="33" t="str">
        <f t="shared" si="792"/>
        <v>ZPI - Revenue</v>
      </c>
      <c r="B12660" s="33" t="str">
        <f t="shared" si="793"/>
        <v>ZPI</v>
      </c>
      <c r="C12660" s="33" t="str">
        <f t="shared" si="794"/>
        <v>41110-0000</v>
      </c>
      <c r="D12660" t="s">
        <v>13149</v>
      </c>
      <c r="E12660" t="s">
        <v>3716</v>
      </c>
      <c r="F12660" s="69" t="s">
        <v>230</v>
      </c>
      <c r="G12660" t="s">
        <v>3717</v>
      </c>
      <c r="H12660" t="s">
        <v>2871</v>
      </c>
      <c r="I12660" t="s">
        <v>3718</v>
      </c>
      <c r="J12660" s="70">
        <v>-2446999.9</v>
      </c>
      <c r="K12660" s="71">
        <v>-2762808.9</v>
      </c>
      <c r="L12660" s="33" t="e">
        <f>HLOOKUP(B12660,#REF!,1,0)</f>
        <v>#REF!</v>
      </c>
      <c r="M12660" s="33" t="str">
        <f t="shared" si="795"/>
        <v>P&amp;L</v>
      </c>
    </row>
    <row r="12661" spans="1:13">
      <c r="A12661" s="33" t="str">
        <f t="shared" si="792"/>
        <v>ZPI - Revenue</v>
      </c>
      <c r="B12661" s="33" t="str">
        <f t="shared" si="793"/>
        <v>ZPI</v>
      </c>
      <c r="C12661" s="33" t="str">
        <f t="shared" si="794"/>
        <v>41120-0000</v>
      </c>
      <c r="D12661" t="s">
        <v>13721</v>
      </c>
      <c r="E12661" t="s">
        <v>13267</v>
      </c>
      <c r="F12661" s="69" t="s">
        <v>230</v>
      </c>
      <c r="G12661" t="s">
        <v>3717</v>
      </c>
      <c r="H12661" t="s">
        <v>2871</v>
      </c>
      <c r="I12661" t="s">
        <v>3718</v>
      </c>
      <c r="J12661" s="70">
        <v>0</v>
      </c>
      <c r="K12661" s="71">
        <v>44709.46</v>
      </c>
      <c r="L12661" s="33" t="e">
        <f>HLOOKUP(B12661,#REF!,1,0)</f>
        <v>#REF!</v>
      </c>
      <c r="M12661" s="33" t="str">
        <f t="shared" si="795"/>
        <v>P&amp;L</v>
      </c>
    </row>
    <row r="12662" spans="1:13">
      <c r="A12662" s="33" t="str">
        <f t="shared" si="792"/>
        <v>ZPI - Revenue</v>
      </c>
      <c r="B12662" s="33" t="str">
        <f t="shared" si="793"/>
        <v>ZPI</v>
      </c>
      <c r="C12662" s="33" t="str">
        <f t="shared" si="794"/>
        <v>42110-0000</v>
      </c>
      <c r="D12662" t="s">
        <v>13722</v>
      </c>
      <c r="E12662" t="s">
        <v>13269</v>
      </c>
      <c r="F12662" s="69" t="s">
        <v>230</v>
      </c>
      <c r="G12662" t="s">
        <v>3694</v>
      </c>
      <c r="H12662" t="s">
        <v>2871</v>
      </c>
      <c r="I12662" t="s">
        <v>3695</v>
      </c>
      <c r="J12662" s="70">
        <v>101626.38</v>
      </c>
      <c r="K12662" s="71">
        <v>111625.78</v>
      </c>
      <c r="L12662" s="33" t="e">
        <f>HLOOKUP(B12662,#REF!,1,0)</f>
        <v>#REF!</v>
      </c>
      <c r="M12662" s="33" t="str">
        <f t="shared" si="795"/>
        <v>P&amp;L</v>
      </c>
    </row>
    <row r="12663" spans="1:13">
      <c r="A12663" s="33" t="str">
        <f t="shared" si="792"/>
        <v>ZPI - Revenue</v>
      </c>
      <c r="B12663" s="33" t="str">
        <f t="shared" si="793"/>
        <v>ZPI</v>
      </c>
      <c r="C12663" s="33" t="str">
        <f t="shared" si="794"/>
        <v>42130-0000</v>
      </c>
      <c r="D12663" t="s">
        <v>13723</v>
      </c>
      <c r="E12663" t="s">
        <v>13374</v>
      </c>
      <c r="F12663" s="69" t="s">
        <v>230</v>
      </c>
      <c r="G12663" t="s">
        <v>3694</v>
      </c>
      <c r="H12663" t="s">
        <v>2871</v>
      </c>
      <c r="I12663" t="s">
        <v>3704</v>
      </c>
      <c r="J12663" s="70">
        <v>3714.83</v>
      </c>
      <c r="K12663" s="71">
        <v>3714.83</v>
      </c>
      <c r="L12663" s="33" t="e">
        <f>HLOOKUP(B12663,#REF!,1,0)</f>
        <v>#REF!</v>
      </c>
      <c r="M12663" s="33" t="str">
        <f t="shared" si="795"/>
        <v>P&amp;L</v>
      </c>
    </row>
    <row r="12664" spans="1:13">
      <c r="A12664" s="33" t="str">
        <f t="shared" si="792"/>
        <v>ZPI - Revenue</v>
      </c>
      <c r="B12664" s="33" t="str">
        <f t="shared" si="793"/>
        <v>ZPI</v>
      </c>
      <c r="C12664" s="33" t="str">
        <f t="shared" si="794"/>
        <v>42150-0000</v>
      </c>
      <c r="D12664" t="s">
        <v>13724</v>
      </c>
      <c r="E12664" t="s">
        <v>13271</v>
      </c>
      <c r="F12664" s="69" t="s">
        <v>230</v>
      </c>
      <c r="G12664" t="s">
        <v>3694</v>
      </c>
      <c r="H12664" t="s">
        <v>2871</v>
      </c>
      <c r="I12664" t="s">
        <v>3710</v>
      </c>
      <c r="J12664" s="70">
        <v>56935</v>
      </c>
      <c r="K12664" s="71">
        <v>60435</v>
      </c>
      <c r="L12664" s="33" t="e">
        <f>HLOOKUP(B12664,#REF!,1,0)</f>
        <v>#REF!</v>
      </c>
      <c r="M12664" s="33" t="str">
        <f t="shared" si="795"/>
        <v>P&amp;L</v>
      </c>
    </row>
    <row r="12665" spans="1:13">
      <c r="A12665" s="33" t="str">
        <f t="shared" si="792"/>
        <v>ZPI - Revenue</v>
      </c>
      <c r="B12665" s="33" t="str">
        <f t="shared" si="793"/>
        <v>ZPI</v>
      </c>
      <c r="C12665" s="33" t="str">
        <f t="shared" si="794"/>
        <v>42160-0000</v>
      </c>
      <c r="D12665" t="s">
        <v>13725</v>
      </c>
      <c r="E12665" t="s">
        <v>3957</v>
      </c>
      <c r="F12665" s="69" t="s">
        <v>230</v>
      </c>
      <c r="G12665" t="s">
        <v>3694</v>
      </c>
      <c r="H12665" t="s">
        <v>2871</v>
      </c>
      <c r="I12665" t="s">
        <v>3701</v>
      </c>
      <c r="J12665" s="70">
        <v>-9867.73</v>
      </c>
      <c r="K12665" s="71">
        <v>-9867.73</v>
      </c>
      <c r="L12665" s="33" t="e">
        <f>HLOOKUP(B12665,#REF!,1,0)</f>
        <v>#REF!</v>
      </c>
      <c r="M12665" s="33" t="str">
        <f t="shared" si="795"/>
        <v>P&amp;L</v>
      </c>
    </row>
    <row r="12666" spans="1:13">
      <c r="A12666" s="33" t="str">
        <f t="shared" si="792"/>
        <v>ZPI - Revenue</v>
      </c>
      <c r="B12666" s="33" t="str">
        <f t="shared" si="793"/>
        <v>ZPI</v>
      </c>
      <c r="C12666" s="33" t="str">
        <f t="shared" si="794"/>
        <v>43120-0000</v>
      </c>
      <c r="D12666" t="s">
        <v>13726</v>
      </c>
      <c r="E12666" t="s">
        <v>3700</v>
      </c>
      <c r="F12666" s="69" t="s">
        <v>230</v>
      </c>
      <c r="G12666" t="s">
        <v>3694</v>
      </c>
      <c r="H12666" t="s">
        <v>2871</v>
      </c>
      <c r="I12666" t="s">
        <v>3701</v>
      </c>
      <c r="J12666" s="70">
        <v>-114422.29</v>
      </c>
      <c r="K12666" s="71">
        <v>-114422.29</v>
      </c>
      <c r="L12666" s="33" t="e">
        <f>HLOOKUP(B12666,#REF!,1,0)</f>
        <v>#REF!</v>
      </c>
      <c r="M12666" s="33" t="str">
        <f t="shared" si="795"/>
        <v>P&amp;L</v>
      </c>
    </row>
    <row r="12667" spans="1:13">
      <c r="A12667" s="33" t="str">
        <f t="shared" si="792"/>
        <v>ZPI - Revenue</v>
      </c>
      <c r="B12667" s="33" t="str">
        <f t="shared" si="793"/>
        <v>ZPI</v>
      </c>
      <c r="C12667" s="33" t="str">
        <f t="shared" si="794"/>
        <v>43121-0000</v>
      </c>
      <c r="D12667" t="s">
        <v>13727</v>
      </c>
      <c r="E12667" t="s">
        <v>7768</v>
      </c>
      <c r="F12667" s="69" t="s">
        <v>230</v>
      </c>
      <c r="G12667" t="s">
        <v>3694</v>
      </c>
      <c r="H12667" t="s">
        <v>2871</v>
      </c>
      <c r="I12667" t="s">
        <v>3698</v>
      </c>
      <c r="J12667" s="70">
        <v>123278.03</v>
      </c>
      <c r="K12667" s="71">
        <v>123278.03</v>
      </c>
      <c r="L12667" s="33" t="e">
        <f>HLOOKUP(B12667,#REF!,1,0)</f>
        <v>#REF!</v>
      </c>
      <c r="M12667" s="33" t="str">
        <f t="shared" si="795"/>
        <v>P&amp;L</v>
      </c>
    </row>
    <row r="12668" spans="1:13">
      <c r="A12668" s="33" t="str">
        <f t="shared" si="792"/>
        <v>ZPI - Revenue</v>
      </c>
      <c r="B12668" s="33" t="str">
        <f t="shared" si="793"/>
        <v>ZPI</v>
      </c>
      <c r="C12668" s="33" t="str">
        <f t="shared" si="794"/>
        <v>43410-0000</v>
      </c>
      <c r="D12668" t="s">
        <v>13728</v>
      </c>
      <c r="E12668" t="s">
        <v>13276</v>
      </c>
      <c r="F12668" s="69" t="s">
        <v>230</v>
      </c>
      <c r="G12668" t="s">
        <v>3717</v>
      </c>
      <c r="H12668" t="s">
        <v>2871</v>
      </c>
      <c r="I12668" t="s">
        <v>3727</v>
      </c>
      <c r="J12668" s="70">
        <v>-4257.58</v>
      </c>
      <c r="K12668" s="71">
        <v>-4857.58</v>
      </c>
      <c r="L12668" s="33" t="e">
        <f>HLOOKUP(B12668,#REF!,1,0)</f>
        <v>#REF!</v>
      </c>
      <c r="M12668" s="33" t="str">
        <f t="shared" si="795"/>
        <v>P&amp;L</v>
      </c>
    </row>
    <row r="12669" spans="1:13">
      <c r="A12669" s="33" t="str">
        <f t="shared" si="792"/>
        <v>ZPI - Revenue</v>
      </c>
      <c r="B12669" s="33" t="str">
        <f t="shared" si="793"/>
        <v>ZPI</v>
      </c>
      <c r="C12669" s="33" t="str">
        <f t="shared" si="794"/>
        <v>43440-0000</v>
      </c>
      <c r="D12669" t="s">
        <v>13729</v>
      </c>
      <c r="E12669" t="s">
        <v>13278</v>
      </c>
      <c r="F12669" s="69" t="s">
        <v>230</v>
      </c>
      <c r="G12669" t="s">
        <v>3717</v>
      </c>
      <c r="H12669" t="s">
        <v>2871</v>
      </c>
      <c r="I12669" t="s">
        <v>3721</v>
      </c>
      <c r="J12669" s="70">
        <v>-9999.94</v>
      </c>
      <c r="K12669" s="71">
        <v>-17915.42</v>
      </c>
      <c r="L12669" s="33" t="e">
        <f>HLOOKUP(B12669,#REF!,1,0)</f>
        <v>#REF!</v>
      </c>
      <c r="M12669" s="33" t="str">
        <f t="shared" si="795"/>
        <v>P&amp;L</v>
      </c>
    </row>
    <row r="12670" spans="1:13">
      <c r="A12670" s="33" t="str">
        <f t="shared" si="792"/>
        <v>ZPI - Revenue</v>
      </c>
      <c r="B12670" s="33" t="str">
        <f t="shared" si="793"/>
        <v>ZPI</v>
      </c>
      <c r="C12670" s="33" t="str">
        <f t="shared" si="794"/>
        <v>43450-0000</v>
      </c>
      <c r="D12670" t="s">
        <v>13730</v>
      </c>
      <c r="E12670" t="s">
        <v>3723</v>
      </c>
      <c r="F12670" s="69" t="s">
        <v>230</v>
      </c>
      <c r="G12670" t="s">
        <v>3717</v>
      </c>
      <c r="H12670" t="s">
        <v>2871</v>
      </c>
      <c r="I12670" t="s">
        <v>3724</v>
      </c>
      <c r="J12670" s="70">
        <v>-17750.09</v>
      </c>
      <c r="K12670" s="71">
        <v>-19771.71</v>
      </c>
      <c r="L12670" s="33" t="e">
        <f>HLOOKUP(B12670,#REF!,1,0)</f>
        <v>#REF!</v>
      </c>
      <c r="M12670" s="33" t="str">
        <f t="shared" si="795"/>
        <v>P&amp;L</v>
      </c>
    </row>
    <row r="12671" spans="1:13">
      <c r="A12671" s="33" t="str">
        <f t="shared" si="792"/>
        <v>ZPI - AP-Accr Exp</v>
      </c>
      <c r="B12671" s="33" t="str">
        <f t="shared" si="793"/>
        <v>ZPI</v>
      </c>
      <c r="C12671" s="33" t="str">
        <f t="shared" si="794"/>
        <v>43480-0000</v>
      </c>
      <c r="D12671" t="s">
        <v>13731</v>
      </c>
      <c r="E12671" t="s">
        <v>13280</v>
      </c>
      <c r="F12671" s="69" t="s">
        <v>230</v>
      </c>
      <c r="G12671" t="s">
        <v>97</v>
      </c>
      <c r="H12671" t="s">
        <v>98</v>
      </c>
      <c r="I12671" t="s">
        <v>102</v>
      </c>
      <c r="J12671" s="70">
        <v>-5650</v>
      </c>
      <c r="K12671" s="71">
        <v>-5650</v>
      </c>
      <c r="L12671" s="33" t="e">
        <f>HLOOKUP(B12671,#REF!,1,0)</f>
        <v>#REF!</v>
      </c>
      <c r="M12671" s="33" t="str">
        <f t="shared" si="795"/>
        <v>P&amp;L</v>
      </c>
    </row>
    <row r="12672" spans="1:13">
      <c r="A12672" s="33" t="str">
        <f t="shared" si="792"/>
        <v>ZPI - Revenue</v>
      </c>
      <c r="B12672" s="33" t="str">
        <f t="shared" si="793"/>
        <v>ZPI</v>
      </c>
      <c r="C12672" s="33" t="str">
        <f t="shared" si="794"/>
        <v>43490-0000</v>
      </c>
      <c r="D12672" t="s">
        <v>13732</v>
      </c>
      <c r="E12672" t="s">
        <v>13282</v>
      </c>
      <c r="F12672" s="69" t="s">
        <v>230</v>
      </c>
      <c r="G12672" t="s">
        <v>3717</v>
      </c>
      <c r="H12672" t="s">
        <v>2871</v>
      </c>
      <c r="I12672" t="s">
        <v>3721</v>
      </c>
      <c r="J12672" s="70">
        <v>-17527.76</v>
      </c>
      <c r="K12672" s="71">
        <v>-17527.76</v>
      </c>
      <c r="L12672" s="33" t="e">
        <f>HLOOKUP(B12672,#REF!,1,0)</f>
        <v>#REF!</v>
      </c>
      <c r="M12672" s="33" t="str">
        <f t="shared" si="795"/>
        <v>P&amp;L</v>
      </c>
    </row>
    <row r="12673" spans="1:13">
      <c r="A12673" s="33" t="str">
        <f t="shared" si="792"/>
        <v>ZPI - Revenue</v>
      </c>
      <c r="B12673" s="33" t="str">
        <f t="shared" si="793"/>
        <v>ZPI</v>
      </c>
      <c r="C12673" s="33" t="str">
        <f t="shared" si="794"/>
        <v>43491-0000</v>
      </c>
      <c r="D12673" t="s">
        <v>13733</v>
      </c>
      <c r="E12673" t="s">
        <v>3733</v>
      </c>
      <c r="F12673" s="69" t="s">
        <v>230</v>
      </c>
      <c r="G12673" t="s">
        <v>3717</v>
      </c>
      <c r="H12673" t="s">
        <v>2871</v>
      </c>
      <c r="I12673" t="s">
        <v>3734</v>
      </c>
      <c r="J12673" s="70">
        <v>-100772.29</v>
      </c>
      <c r="K12673" s="71">
        <v>-111148.88</v>
      </c>
      <c r="L12673" s="33" t="e">
        <f>HLOOKUP(B12673,#REF!,1,0)</f>
        <v>#REF!</v>
      </c>
      <c r="M12673" s="33" t="str">
        <f t="shared" si="795"/>
        <v>P&amp;L</v>
      </c>
    </row>
    <row r="12674" spans="1:13">
      <c r="A12674" s="33" t="str">
        <f t="shared" si="792"/>
        <v>ZPI - Revenue</v>
      </c>
      <c r="B12674" s="33" t="str">
        <f t="shared" si="793"/>
        <v>ZPI</v>
      </c>
      <c r="C12674" s="33" t="str">
        <f t="shared" si="794"/>
        <v>43492-0000</v>
      </c>
      <c r="D12674" t="s">
        <v>13734</v>
      </c>
      <c r="E12674" t="s">
        <v>13285</v>
      </c>
      <c r="F12674" s="69" t="s">
        <v>230</v>
      </c>
      <c r="G12674" t="s">
        <v>3717</v>
      </c>
      <c r="H12674" t="s">
        <v>2871</v>
      </c>
      <c r="I12674" t="s">
        <v>3737</v>
      </c>
      <c r="J12674" s="70">
        <v>-345</v>
      </c>
      <c r="K12674" s="71">
        <v>-630.47</v>
      </c>
      <c r="L12674" s="33" t="e">
        <f>HLOOKUP(B12674,#REF!,1,0)</f>
        <v>#REF!</v>
      </c>
      <c r="M12674" s="33" t="str">
        <f t="shared" si="795"/>
        <v>P&amp;L</v>
      </c>
    </row>
    <row r="12675" spans="1:13">
      <c r="A12675" s="33" t="str">
        <f t="shared" si="792"/>
        <v>ZPI - Revenue</v>
      </c>
      <c r="B12675" s="33" t="str">
        <f t="shared" si="793"/>
        <v>ZPI</v>
      </c>
      <c r="C12675" s="33" t="str">
        <f t="shared" si="794"/>
        <v>43493-0000</v>
      </c>
      <c r="D12675" t="s">
        <v>13735</v>
      </c>
      <c r="E12675" t="s">
        <v>4229</v>
      </c>
      <c r="F12675" s="69" t="s">
        <v>230</v>
      </c>
      <c r="G12675" t="s">
        <v>3717</v>
      </c>
      <c r="H12675" t="s">
        <v>2871</v>
      </c>
      <c r="I12675" t="s">
        <v>4230</v>
      </c>
      <c r="J12675" s="70">
        <v>-3930.66</v>
      </c>
      <c r="K12675" s="71">
        <v>-3930.66</v>
      </c>
      <c r="L12675" s="33" t="e">
        <f>HLOOKUP(B12675,#REF!,1,0)</f>
        <v>#REF!</v>
      </c>
      <c r="M12675" s="33" t="str">
        <f t="shared" si="795"/>
        <v>P&amp;L</v>
      </c>
    </row>
    <row r="12676" spans="1:13">
      <c r="A12676" s="33" t="str">
        <f t="shared" si="792"/>
        <v>ZPI - Revenue</v>
      </c>
      <c r="B12676" s="33" t="str">
        <f t="shared" si="793"/>
        <v>ZPI</v>
      </c>
      <c r="C12676" s="33" t="str">
        <f t="shared" si="794"/>
        <v>47300-0000</v>
      </c>
      <c r="D12676" t="s">
        <v>13736</v>
      </c>
      <c r="E12676" t="s">
        <v>12434</v>
      </c>
      <c r="F12676" s="69" t="s">
        <v>230</v>
      </c>
      <c r="G12676" t="s">
        <v>3717</v>
      </c>
      <c r="H12676" t="s">
        <v>2871</v>
      </c>
      <c r="I12676" t="s">
        <v>12435</v>
      </c>
      <c r="J12676" s="70">
        <v>0</v>
      </c>
      <c r="K12676" s="71">
        <v>-50</v>
      </c>
      <c r="L12676" s="33" t="e">
        <f>HLOOKUP(B12676,#REF!,1,0)</f>
        <v>#REF!</v>
      </c>
      <c r="M12676" s="33" t="str">
        <f t="shared" si="795"/>
        <v>P&amp;L</v>
      </c>
    </row>
    <row r="12677" spans="1:13">
      <c r="A12677" s="33" t="str">
        <f t="shared" si="792"/>
        <v>ZPI - Revenue</v>
      </c>
      <c r="B12677" s="33" t="str">
        <f t="shared" si="793"/>
        <v>ZPI</v>
      </c>
      <c r="C12677" s="33" t="str">
        <f t="shared" si="794"/>
        <v>49500-9999</v>
      </c>
      <c r="D12677" t="s">
        <v>13737</v>
      </c>
      <c r="E12677" t="s">
        <v>7244</v>
      </c>
      <c r="F12677" s="69" t="s">
        <v>230</v>
      </c>
      <c r="G12677" t="s">
        <v>3713</v>
      </c>
      <c r="H12677" t="s">
        <v>2871</v>
      </c>
      <c r="I12677" t="s">
        <v>3714</v>
      </c>
      <c r="J12677" s="70">
        <v>2371471.91</v>
      </c>
      <c r="K12677" s="71">
        <v>2371471.91</v>
      </c>
      <c r="L12677" s="33" t="e">
        <f>HLOOKUP(B12677,#REF!,1,0)</f>
        <v>#REF!</v>
      </c>
      <c r="M12677" s="33" t="str">
        <f t="shared" si="795"/>
        <v>P&amp;L</v>
      </c>
    </row>
    <row r="12678" spans="1:13">
      <c r="A12678" s="33" t="str">
        <f t="shared" si="792"/>
        <v>ZPI - CGS</v>
      </c>
      <c r="B12678" s="33" t="str">
        <f t="shared" si="793"/>
        <v>ZPI</v>
      </c>
      <c r="C12678" s="33" t="str">
        <f t="shared" si="794"/>
        <v>51001-0000</v>
      </c>
      <c r="D12678" t="s">
        <v>13167</v>
      </c>
      <c r="E12678" t="s">
        <v>13681</v>
      </c>
      <c r="F12678" s="69" t="s">
        <v>230</v>
      </c>
      <c r="G12678" t="s">
        <v>3740</v>
      </c>
      <c r="H12678" t="s">
        <v>1875</v>
      </c>
      <c r="I12678" t="s">
        <v>4537</v>
      </c>
      <c r="J12678" s="70">
        <v>87.38</v>
      </c>
      <c r="K12678" s="71">
        <v>87.38</v>
      </c>
      <c r="L12678" s="33" t="e">
        <f>HLOOKUP(B12678,#REF!,1,0)</f>
        <v>#REF!</v>
      </c>
      <c r="M12678" s="33" t="str">
        <f t="shared" si="795"/>
        <v>P&amp;L</v>
      </c>
    </row>
    <row r="12679" spans="1:13">
      <c r="A12679" s="33" t="str">
        <f t="shared" si="792"/>
        <v>ZPI - CGS</v>
      </c>
      <c r="B12679" s="33" t="str">
        <f t="shared" si="793"/>
        <v>ZPI</v>
      </c>
      <c r="C12679" s="33" t="str">
        <f t="shared" si="794"/>
        <v>51003-0000</v>
      </c>
      <c r="D12679" t="s">
        <v>13168</v>
      </c>
      <c r="E12679" t="s">
        <v>13451</v>
      </c>
      <c r="F12679" s="69" t="s">
        <v>230</v>
      </c>
      <c r="G12679" t="s">
        <v>3740</v>
      </c>
      <c r="H12679" t="s">
        <v>1875</v>
      </c>
      <c r="I12679" t="s">
        <v>4233</v>
      </c>
      <c r="J12679" s="70">
        <v>300</v>
      </c>
      <c r="K12679" s="71">
        <v>300</v>
      </c>
      <c r="L12679" s="33" t="e">
        <f>HLOOKUP(B12679,#REF!,1,0)</f>
        <v>#REF!</v>
      </c>
      <c r="M12679" s="33" t="str">
        <f t="shared" si="795"/>
        <v>P&amp;L</v>
      </c>
    </row>
    <row r="12680" spans="1:13">
      <c r="A12680" s="33" t="str">
        <f t="shared" si="792"/>
        <v>ZPI - CGS</v>
      </c>
      <c r="B12680" s="33" t="str">
        <f t="shared" si="793"/>
        <v>ZPI</v>
      </c>
      <c r="C12680" s="33" t="str">
        <f t="shared" si="794"/>
        <v>51005-0000</v>
      </c>
      <c r="D12680" t="s">
        <v>13169</v>
      </c>
      <c r="E12680" t="s">
        <v>13287</v>
      </c>
      <c r="F12680" s="69" t="s">
        <v>230</v>
      </c>
      <c r="G12680" t="s">
        <v>3740</v>
      </c>
      <c r="H12680" t="s">
        <v>1875</v>
      </c>
      <c r="I12680" t="s">
        <v>3969</v>
      </c>
      <c r="J12680" s="70">
        <v>1363</v>
      </c>
      <c r="K12680" s="71">
        <v>1363</v>
      </c>
      <c r="L12680" s="33" t="e">
        <f>HLOOKUP(B12680,#REF!,1,0)</f>
        <v>#REF!</v>
      </c>
      <c r="M12680" s="33" t="str">
        <f t="shared" si="795"/>
        <v>P&amp;L</v>
      </c>
    </row>
    <row r="12681" spans="1:13">
      <c r="A12681" s="33" t="str">
        <f t="shared" si="792"/>
        <v>ZPI - CGS</v>
      </c>
      <c r="B12681" s="33" t="str">
        <f t="shared" si="793"/>
        <v>ZPI</v>
      </c>
      <c r="C12681" s="33" t="str">
        <f t="shared" si="794"/>
        <v>51006-0000</v>
      </c>
      <c r="D12681" t="s">
        <v>13170</v>
      </c>
      <c r="E12681" t="s">
        <v>13288</v>
      </c>
      <c r="F12681" s="69" t="s">
        <v>230</v>
      </c>
      <c r="G12681" t="s">
        <v>3740</v>
      </c>
      <c r="H12681" t="s">
        <v>1875</v>
      </c>
      <c r="I12681" t="s">
        <v>3741</v>
      </c>
      <c r="J12681" s="70">
        <v>4587.24</v>
      </c>
      <c r="K12681" s="71">
        <v>4587.24</v>
      </c>
      <c r="L12681" s="33" t="e">
        <f>HLOOKUP(B12681,#REF!,1,0)</f>
        <v>#REF!</v>
      </c>
      <c r="M12681" s="33" t="str">
        <f t="shared" si="795"/>
        <v>P&amp;L</v>
      </c>
    </row>
    <row r="12682" spans="1:13">
      <c r="A12682" s="33" t="str">
        <f t="shared" si="792"/>
        <v>ZPI - CGS</v>
      </c>
      <c r="B12682" s="33" t="str">
        <f t="shared" si="793"/>
        <v>ZPI</v>
      </c>
      <c r="C12682" s="33" t="str">
        <f t="shared" si="794"/>
        <v>51008-0000</v>
      </c>
      <c r="D12682" t="s">
        <v>13171</v>
      </c>
      <c r="E12682" t="s">
        <v>13290</v>
      </c>
      <c r="F12682" s="69" t="s">
        <v>230</v>
      </c>
      <c r="G12682" t="s">
        <v>3740</v>
      </c>
      <c r="H12682" t="s">
        <v>1875</v>
      </c>
      <c r="I12682" t="s">
        <v>3744</v>
      </c>
      <c r="J12682" s="70">
        <v>5793.12</v>
      </c>
      <c r="K12682" s="71">
        <v>5891.13</v>
      </c>
      <c r="L12682" s="33" t="e">
        <f>HLOOKUP(B12682,#REF!,1,0)</f>
        <v>#REF!</v>
      </c>
      <c r="M12682" s="33" t="str">
        <f t="shared" si="795"/>
        <v>P&amp;L</v>
      </c>
    </row>
    <row r="12683" spans="1:13">
      <c r="A12683" s="33" t="str">
        <f t="shared" si="792"/>
        <v>ZPI - CGS</v>
      </c>
      <c r="B12683" s="33" t="str">
        <f t="shared" si="793"/>
        <v>ZPI</v>
      </c>
      <c r="C12683" s="33" t="str">
        <f t="shared" si="794"/>
        <v>51009-0000</v>
      </c>
      <c r="D12683" t="s">
        <v>13172</v>
      </c>
      <c r="E12683" t="s">
        <v>13291</v>
      </c>
      <c r="F12683" s="69" t="s">
        <v>230</v>
      </c>
      <c r="G12683" t="s">
        <v>3740</v>
      </c>
      <c r="H12683" t="s">
        <v>1875</v>
      </c>
      <c r="I12683" t="s">
        <v>3747</v>
      </c>
      <c r="J12683" s="70">
        <v>2434.91</v>
      </c>
      <c r="K12683" s="71">
        <v>2434.91</v>
      </c>
      <c r="L12683" s="33" t="e">
        <f>HLOOKUP(B12683,#REF!,1,0)</f>
        <v>#REF!</v>
      </c>
      <c r="M12683" s="33" t="str">
        <f t="shared" si="795"/>
        <v>P&amp;L</v>
      </c>
    </row>
    <row r="12684" spans="1:13">
      <c r="A12684" s="33" t="str">
        <f t="shared" si="792"/>
        <v>ZPI - CGS</v>
      </c>
      <c r="B12684" s="33" t="str">
        <f t="shared" si="793"/>
        <v>ZPI</v>
      </c>
      <c r="C12684" s="33" t="str">
        <f t="shared" si="794"/>
        <v>51011-0000</v>
      </c>
      <c r="D12684" t="s">
        <v>13173</v>
      </c>
      <c r="E12684" t="s">
        <v>13292</v>
      </c>
      <c r="F12684" s="69" t="s">
        <v>230</v>
      </c>
      <c r="G12684" t="s">
        <v>3740</v>
      </c>
      <c r="H12684" t="s">
        <v>1875</v>
      </c>
      <c r="I12684" t="s">
        <v>3750</v>
      </c>
      <c r="J12684" s="70">
        <v>26031.82</v>
      </c>
      <c r="K12684" s="71">
        <v>26031.82</v>
      </c>
      <c r="L12684" s="33" t="e">
        <f>HLOOKUP(B12684,#REF!,1,0)</f>
        <v>#REF!</v>
      </c>
      <c r="M12684" s="33" t="str">
        <f t="shared" si="795"/>
        <v>P&amp;L</v>
      </c>
    </row>
    <row r="12685" spans="1:13">
      <c r="A12685" s="33" t="str">
        <f t="shared" si="792"/>
        <v>ZPI - CGS</v>
      </c>
      <c r="B12685" s="33" t="str">
        <f t="shared" si="793"/>
        <v>ZPI</v>
      </c>
      <c r="C12685" s="33" t="str">
        <f t="shared" si="794"/>
        <v>51012-0000</v>
      </c>
      <c r="D12685" t="s">
        <v>13174</v>
      </c>
      <c r="E12685" t="s">
        <v>13293</v>
      </c>
      <c r="F12685" s="69" t="s">
        <v>230</v>
      </c>
      <c r="G12685" t="s">
        <v>3740</v>
      </c>
      <c r="H12685" t="s">
        <v>1875</v>
      </c>
      <c r="I12685" t="s">
        <v>3753</v>
      </c>
      <c r="J12685" s="70">
        <v>7277.5</v>
      </c>
      <c r="K12685" s="71">
        <v>7277.5</v>
      </c>
      <c r="L12685" s="33" t="e">
        <f>HLOOKUP(B12685,#REF!,1,0)</f>
        <v>#REF!</v>
      </c>
      <c r="M12685" s="33" t="str">
        <f t="shared" si="795"/>
        <v>P&amp;L</v>
      </c>
    </row>
    <row r="12686" spans="1:13">
      <c r="A12686" s="33" t="str">
        <f t="shared" si="792"/>
        <v>ZPI - CGS</v>
      </c>
      <c r="B12686" s="33" t="str">
        <f t="shared" si="793"/>
        <v>ZPI</v>
      </c>
      <c r="C12686" s="33" t="str">
        <f t="shared" si="794"/>
        <v>51013-0000</v>
      </c>
      <c r="D12686" t="s">
        <v>13175</v>
      </c>
      <c r="E12686" t="s">
        <v>13294</v>
      </c>
      <c r="F12686" s="69" t="s">
        <v>230</v>
      </c>
      <c r="G12686" t="s">
        <v>3740</v>
      </c>
      <c r="H12686" t="s">
        <v>1875</v>
      </c>
      <c r="I12686" t="s">
        <v>3980</v>
      </c>
      <c r="J12686" s="70">
        <v>3922.72</v>
      </c>
      <c r="K12686" s="71">
        <v>3922.72</v>
      </c>
      <c r="L12686" s="33" t="e">
        <f>HLOOKUP(B12686,#REF!,1,0)</f>
        <v>#REF!</v>
      </c>
      <c r="M12686" s="33" t="str">
        <f t="shared" si="795"/>
        <v>P&amp;L</v>
      </c>
    </row>
    <row r="12687" spans="1:13">
      <c r="A12687" s="33" t="str">
        <f t="shared" ref="A12687:A12729" si="796">B12687&amp;" - "&amp;TRIM(H12687)</f>
        <v>ZPI - CGS</v>
      </c>
      <c r="B12687" s="33" t="str">
        <f t="shared" ref="B12687:B12729" si="797">LEFT(D12687,3)</f>
        <v>ZPI</v>
      </c>
      <c r="C12687" s="33" t="str">
        <f t="shared" ref="C12687:C12729" si="798">RIGHT(D12687,10)</f>
        <v>51015-0000</v>
      </c>
      <c r="D12687" t="s">
        <v>13176</v>
      </c>
      <c r="E12687" t="s">
        <v>13295</v>
      </c>
      <c r="F12687" s="69" t="s">
        <v>230</v>
      </c>
      <c r="G12687" t="s">
        <v>3740</v>
      </c>
      <c r="H12687" t="s">
        <v>1875</v>
      </c>
      <c r="I12687" t="s">
        <v>3756</v>
      </c>
      <c r="J12687" s="70">
        <v>840.04</v>
      </c>
      <c r="K12687" s="71">
        <v>840.04</v>
      </c>
      <c r="L12687" s="33" t="e">
        <f>HLOOKUP(B12687,#REF!,1,0)</f>
        <v>#REF!</v>
      </c>
      <c r="M12687" s="33" t="str">
        <f t="shared" ref="M12687:M12729" si="799">IF(VALUE(LEFT(C12687,5))&gt;40000,"P&amp;L","BS")</f>
        <v>P&amp;L</v>
      </c>
    </row>
    <row r="12688" spans="1:13">
      <c r="A12688" s="33" t="str">
        <f t="shared" si="796"/>
        <v>ZPI - CGS</v>
      </c>
      <c r="B12688" s="33" t="str">
        <f t="shared" si="797"/>
        <v>ZPI</v>
      </c>
      <c r="C12688" s="33" t="str">
        <f t="shared" si="798"/>
        <v>51019-0000</v>
      </c>
      <c r="D12688" t="s">
        <v>13178</v>
      </c>
      <c r="E12688" t="s">
        <v>13297</v>
      </c>
      <c r="F12688" s="69" t="s">
        <v>230</v>
      </c>
      <c r="G12688" t="s">
        <v>3740</v>
      </c>
      <c r="H12688" t="s">
        <v>1875</v>
      </c>
      <c r="I12688" t="s">
        <v>3340</v>
      </c>
      <c r="J12688" s="70">
        <v>79.34</v>
      </c>
      <c r="K12688" s="71">
        <v>79.34</v>
      </c>
      <c r="L12688" s="33" t="e">
        <f>HLOOKUP(B12688,#REF!,1,0)</f>
        <v>#REF!</v>
      </c>
      <c r="M12688" s="33" t="str">
        <f t="shared" si="799"/>
        <v>P&amp;L</v>
      </c>
    </row>
    <row r="12689" spans="1:13">
      <c r="A12689" s="33" t="str">
        <f t="shared" si="796"/>
        <v>ZPI - CGS</v>
      </c>
      <c r="B12689" s="33" t="str">
        <f t="shared" si="797"/>
        <v>ZPI</v>
      </c>
      <c r="C12689" s="33" t="str">
        <f t="shared" si="798"/>
        <v>51020-0000</v>
      </c>
      <c r="D12689" t="s">
        <v>13179</v>
      </c>
      <c r="E12689" t="s">
        <v>13298</v>
      </c>
      <c r="F12689" s="69" t="s">
        <v>230</v>
      </c>
      <c r="G12689" t="s">
        <v>3740</v>
      </c>
      <c r="H12689" t="s">
        <v>1875</v>
      </c>
      <c r="I12689" t="s">
        <v>3345</v>
      </c>
      <c r="J12689" s="70">
        <v>1917.89</v>
      </c>
      <c r="K12689" s="71">
        <v>1937.21</v>
      </c>
      <c r="L12689" s="33" t="e">
        <f>HLOOKUP(B12689,#REF!,1,0)</f>
        <v>#REF!</v>
      </c>
      <c r="M12689" s="33" t="str">
        <f t="shared" si="799"/>
        <v>P&amp;L</v>
      </c>
    </row>
    <row r="12690" spans="1:13">
      <c r="A12690" s="33" t="str">
        <f t="shared" si="796"/>
        <v>ZPI - CGS</v>
      </c>
      <c r="B12690" s="33" t="str">
        <f t="shared" si="797"/>
        <v>ZPI</v>
      </c>
      <c r="C12690" s="33" t="str">
        <f t="shared" si="798"/>
        <v>51021-0000</v>
      </c>
      <c r="D12690" t="s">
        <v>13180</v>
      </c>
      <c r="E12690" t="s">
        <v>13682</v>
      </c>
      <c r="F12690" s="69" t="s">
        <v>230</v>
      </c>
      <c r="G12690" t="s">
        <v>3740</v>
      </c>
      <c r="H12690" t="s">
        <v>1875</v>
      </c>
      <c r="I12690" t="s">
        <v>4752</v>
      </c>
      <c r="J12690" s="70">
        <v>146.15</v>
      </c>
      <c r="K12690" s="71">
        <v>146.15</v>
      </c>
      <c r="L12690" s="33" t="e">
        <f>HLOOKUP(B12690,#REF!,1,0)</f>
        <v>#REF!</v>
      </c>
      <c r="M12690" s="33" t="str">
        <f t="shared" si="799"/>
        <v>P&amp;L</v>
      </c>
    </row>
    <row r="12691" spans="1:13">
      <c r="A12691" s="33" t="str">
        <f t="shared" si="796"/>
        <v>ZPI - CGS</v>
      </c>
      <c r="B12691" s="33" t="str">
        <f t="shared" si="797"/>
        <v>ZPI</v>
      </c>
      <c r="C12691" s="33" t="str">
        <f t="shared" si="798"/>
        <v>51025-0000</v>
      </c>
      <c r="D12691" t="s">
        <v>13181</v>
      </c>
      <c r="E12691" t="s">
        <v>13299</v>
      </c>
      <c r="F12691" s="69" t="s">
        <v>230</v>
      </c>
      <c r="G12691" t="s">
        <v>3740</v>
      </c>
      <c r="H12691" t="s">
        <v>13300</v>
      </c>
      <c r="I12691" t="s">
        <v>13299</v>
      </c>
      <c r="J12691" s="70">
        <v>8580.81</v>
      </c>
      <c r="K12691" s="71">
        <v>9517.44</v>
      </c>
      <c r="L12691" s="33" t="e">
        <f>HLOOKUP(B12691,#REF!,1,0)</f>
        <v>#REF!</v>
      </c>
      <c r="M12691" s="33" t="str">
        <f t="shared" si="799"/>
        <v>P&amp;L</v>
      </c>
    </row>
    <row r="12692" spans="1:13">
      <c r="A12692" s="33" t="str">
        <f t="shared" si="796"/>
        <v>ZPI - CGS</v>
      </c>
      <c r="B12692" s="33" t="str">
        <f t="shared" si="797"/>
        <v>ZPI</v>
      </c>
      <c r="C12692" s="33" t="str">
        <f t="shared" si="798"/>
        <v>52001-0000</v>
      </c>
      <c r="D12692" t="s">
        <v>13182</v>
      </c>
      <c r="E12692" t="s">
        <v>13303</v>
      </c>
      <c r="F12692" s="69" t="s">
        <v>230</v>
      </c>
      <c r="G12692" t="s">
        <v>3769</v>
      </c>
      <c r="H12692" t="s">
        <v>1875</v>
      </c>
      <c r="I12692" t="s">
        <v>3770</v>
      </c>
      <c r="J12692" s="70">
        <v>12382.43</v>
      </c>
      <c r="K12692" s="71">
        <v>12382.43</v>
      </c>
      <c r="L12692" s="33" t="e">
        <f>HLOOKUP(B12692,#REF!,1,0)</f>
        <v>#REF!</v>
      </c>
      <c r="M12692" s="33" t="str">
        <f t="shared" si="799"/>
        <v>P&amp;L</v>
      </c>
    </row>
    <row r="12693" spans="1:13">
      <c r="A12693" s="33" t="str">
        <f t="shared" si="796"/>
        <v>ZPI - CGS</v>
      </c>
      <c r="B12693" s="33" t="str">
        <f t="shared" si="797"/>
        <v>ZPI</v>
      </c>
      <c r="C12693" s="33" t="str">
        <f t="shared" si="798"/>
        <v>52002-0000</v>
      </c>
      <c r="D12693" t="s">
        <v>13183</v>
      </c>
      <c r="E12693" t="s">
        <v>13304</v>
      </c>
      <c r="F12693" s="69" t="s">
        <v>230</v>
      </c>
      <c r="G12693" t="s">
        <v>3769</v>
      </c>
      <c r="H12693" t="s">
        <v>1875</v>
      </c>
      <c r="I12693" t="s">
        <v>3998</v>
      </c>
      <c r="J12693" s="70">
        <v>-1385</v>
      </c>
      <c r="K12693" s="71">
        <v>-1385</v>
      </c>
      <c r="L12693" s="33" t="e">
        <f>HLOOKUP(B12693,#REF!,1,0)</f>
        <v>#REF!</v>
      </c>
      <c r="M12693" s="33" t="str">
        <f t="shared" si="799"/>
        <v>P&amp;L</v>
      </c>
    </row>
    <row r="12694" spans="1:13">
      <c r="A12694" s="33" t="str">
        <f t="shared" si="796"/>
        <v>ZPI - CGS</v>
      </c>
      <c r="B12694" s="33" t="str">
        <f t="shared" si="797"/>
        <v>ZPI</v>
      </c>
      <c r="C12694" s="33" t="str">
        <f t="shared" si="798"/>
        <v>52003-0000</v>
      </c>
      <c r="D12694" t="s">
        <v>13184</v>
      </c>
      <c r="E12694" t="s">
        <v>13305</v>
      </c>
      <c r="F12694" s="69" t="s">
        <v>230</v>
      </c>
      <c r="G12694" t="s">
        <v>3769</v>
      </c>
      <c r="H12694" t="s">
        <v>1875</v>
      </c>
      <c r="I12694" t="s">
        <v>3773</v>
      </c>
      <c r="J12694" s="70">
        <v>4146</v>
      </c>
      <c r="K12694" s="71">
        <v>4146</v>
      </c>
      <c r="L12694" s="33" t="e">
        <f>HLOOKUP(B12694,#REF!,1,0)</f>
        <v>#REF!</v>
      </c>
      <c r="M12694" s="33" t="str">
        <f t="shared" si="799"/>
        <v>P&amp;L</v>
      </c>
    </row>
    <row r="12695" spans="1:13">
      <c r="A12695" s="33" t="str">
        <f t="shared" si="796"/>
        <v>ZPI - CGS</v>
      </c>
      <c r="B12695" s="33" t="str">
        <f t="shared" si="797"/>
        <v>ZPI</v>
      </c>
      <c r="C12695" s="33" t="str">
        <f t="shared" si="798"/>
        <v>52007-0000</v>
      </c>
      <c r="D12695" t="s">
        <v>13738</v>
      </c>
      <c r="E12695" t="s">
        <v>13388</v>
      </c>
      <c r="F12695" s="69" t="s">
        <v>230</v>
      </c>
      <c r="G12695" t="s">
        <v>3769</v>
      </c>
      <c r="H12695" t="s">
        <v>1875</v>
      </c>
      <c r="I12695" t="s">
        <v>8028</v>
      </c>
      <c r="J12695" s="70">
        <v>-4294.9</v>
      </c>
      <c r="K12695" s="71">
        <v>-4294.9</v>
      </c>
      <c r="L12695" s="33" t="e">
        <f>HLOOKUP(B12695,#REF!,1,0)</f>
        <v>#REF!</v>
      </c>
      <c r="M12695" s="33" t="str">
        <f t="shared" si="799"/>
        <v>P&amp;L</v>
      </c>
    </row>
    <row r="12696" spans="1:13">
      <c r="A12696" s="33" t="str">
        <f t="shared" si="796"/>
        <v>ZPI - CGS</v>
      </c>
      <c r="B12696" s="33" t="str">
        <f t="shared" si="797"/>
        <v>ZPI</v>
      </c>
      <c r="C12696" s="33" t="str">
        <f t="shared" si="798"/>
        <v>53001-0000</v>
      </c>
      <c r="D12696" t="s">
        <v>13187</v>
      </c>
      <c r="E12696" t="s">
        <v>13306</v>
      </c>
      <c r="F12696" s="69" t="s">
        <v>230</v>
      </c>
      <c r="G12696" t="s">
        <v>3160</v>
      </c>
      <c r="H12696" t="s">
        <v>1875</v>
      </c>
      <c r="I12696" t="s">
        <v>3782</v>
      </c>
      <c r="J12696" s="70">
        <v>1943.44</v>
      </c>
      <c r="K12696" s="71">
        <v>1943.44</v>
      </c>
      <c r="L12696" s="33" t="e">
        <f>HLOOKUP(B12696,#REF!,1,0)</f>
        <v>#REF!</v>
      </c>
      <c r="M12696" s="33" t="str">
        <f t="shared" si="799"/>
        <v>P&amp;L</v>
      </c>
    </row>
    <row r="12697" spans="1:13">
      <c r="A12697" s="33" t="str">
        <f t="shared" si="796"/>
        <v>ZPI - CGS</v>
      </c>
      <c r="B12697" s="33" t="str">
        <f t="shared" si="797"/>
        <v>ZPI</v>
      </c>
      <c r="C12697" s="33" t="str">
        <f t="shared" si="798"/>
        <v>53002-0000</v>
      </c>
      <c r="D12697" t="s">
        <v>13188</v>
      </c>
      <c r="E12697" t="s">
        <v>13307</v>
      </c>
      <c r="F12697" s="69" t="s">
        <v>230</v>
      </c>
      <c r="G12697" t="s">
        <v>3160</v>
      </c>
      <c r="H12697" t="s">
        <v>1875</v>
      </c>
      <c r="I12697" t="s">
        <v>3785</v>
      </c>
      <c r="J12697" s="70">
        <v>22908.26</v>
      </c>
      <c r="K12697" s="71">
        <v>22908.26</v>
      </c>
      <c r="L12697" s="33" t="e">
        <f>HLOOKUP(B12697,#REF!,1,0)</f>
        <v>#REF!</v>
      </c>
      <c r="M12697" s="33" t="str">
        <f t="shared" si="799"/>
        <v>P&amp;L</v>
      </c>
    </row>
    <row r="12698" spans="1:13">
      <c r="A12698" s="33" t="str">
        <f t="shared" si="796"/>
        <v>ZPI - Operating Expense</v>
      </c>
      <c r="B12698" s="33" t="str">
        <f t="shared" si="797"/>
        <v>ZPI</v>
      </c>
      <c r="C12698" s="33" t="str">
        <f t="shared" si="798"/>
        <v>53003-0000</v>
      </c>
      <c r="D12698" t="s">
        <v>13189</v>
      </c>
      <c r="E12698" t="s">
        <v>13308</v>
      </c>
      <c r="F12698" s="69" t="s">
        <v>230</v>
      </c>
      <c r="G12698" t="s">
        <v>4426</v>
      </c>
      <c r="H12698" t="s">
        <v>3022</v>
      </c>
      <c r="I12698" t="s">
        <v>6877</v>
      </c>
      <c r="J12698" s="70">
        <v>8833.13</v>
      </c>
      <c r="K12698" s="71">
        <v>8833.13</v>
      </c>
      <c r="L12698" s="33" t="e">
        <f>HLOOKUP(B12698,#REF!,1,0)</f>
        <v>#REF!</v>
      </c>
      <c r="M12698" s="33" t="str">
        <f t="shared" si="799"/>
        <v>P&amp;L</v>
      </c>
    </row>
    <row r="12699" spans="1:13">
      <c r="A12699" s="33" t="str">
        <f t="shared" si="796"/>
        <v>ZPI - Operating Expense</v>
      </c>
      <c r="B12699" s="33" t="str">
        <f t="shared" si="797"/>
        <v>ZPI</v>
      </c>
      <c r="C12699" s="33" t="str">
        <f t="shared" si="798"/>
        <v>53004-0000</v>
      </c>
      <c r="D12699" t="s">
        <v>13190</v>
      </c>
      <c r="E12699" t="s">
        <v>13309</v>
      </c>
      <c r="F12699" s="69" t="s">
        <v>230</v>
      </c>
      <c r="G12699" t="s">
        <v>4426</v>
      </c>
      <c r="H12699" t="s">
        <v>3022</v>
      </c>
      <c r="I12699" t="s">
        <v>6877</v>
      </c>
      <c r="J12699" s="70">
        <v>10687.53</v>
      </c>
      <c r="K12699" s="71">
        <v>10687.53</v>
      </c>
      <c r="L12699" s="33" t="e">
        <f>HLOOKUP(B12699,#REF!,1,0)</f>
        <v>#REF!</v>
      </c>
      <c r="M12699" s="33" t="str">
        <f t="shared" si="799"/>
        <v>P&amp;L</v>
      </c>
    </row>
    <row r="12700" spans="1:13">
      <c r="A12700" s="33" t="str">
        <f t="shared" si="796"/>
        <v>ZPI - CGS</v>
      </c>
      <c r="B12700" s="33" t="str">
        <f t="shared" si="797"/>
        <v>ZPI</v>
      </c>
      <c r="C12700" s="33" t="str">
        <f t="shared" si="798"/>
        <v>53005-0000</v>
      </c>
      <c r="D12700" t="s">
        <v>13191</v>
      </c>
      <c r="E12700" t="s">
        <v>13389</v>
      </c>
      <c r="F12700" s="69" t="s">
        <v>230</v>
      </c>
      <c r="G12700" t="s">
        <v>3160</v>
      </c>
      <c r="H12700" t="s">
        <v>1875</v>
      </c>
      <c r="I12700" t="s">
        <v>3794</v>
      </c>
      <c r="J12700" s="70">
        <v>26346.54</v>
      </c>
      <c r="K12700" s="71">
        <v>26346.54</v>
      </c>
      <c r="L12700" s="33" t="e">
        <f>HLOOKUP(B12700,#REF!,1,0)</f>
        <v>#REF!</v>
      </c>
      <c r="M12700" s="33" t="str">
        <f t="shared" si="799"/>
        <v>P&amp;L</v>
      </c>
    </row>
    <row r="12701" spans="1:13">
      <c r="A12701" s="33" t="str">
        <f t="shared" si="796"/>
        <v>ZPI - CGS</v>
      </c>
      <c r="B12701" s="33" t="str">
        <f t="shared" si="797"/>
        <v>ZPI</v>
      </c>
      <c r="C12701" s="33" t="str">
        <f t="shared" si="798"/>
        <v>53006-0000</v>
      </c>
      <c r="D12701" t="s">
        <v>13192</v>
      </c>
      <c r="E12701" t="s">
        <v>13310</v>
      </c>
      <c r="F12701" s="69" t="s">
        <v>230</v>
      </c>
      <c r="G12701" t="s">
        <v>3160</v>
      </c>
      <c r="H12701" t="s">
        <v>1875</v>
      </c>
      <c r="I12701" t="s">
        <v>3797</v>
      </c>
      <c r="J12701" s="70">
        <v>44740.13</v>
      </c>
      <c r="K12701" s="71">
        <v>44740.13</v>
      </c>
      <c r="L12701" s="33" t="e">
        <f>HLOOKUP(B12701,#REF!,1,0)</f>
        <v>#REF!</v>
      </c>
      <c r="M12701" s="33" t="str">
        <f t="shared" si="799"/>
        <v>P&amp;L</v>
      </c>
    </row>
    <row r="12702" spans="1:13">
      <c r="A12702" s="33" t="str">
        <f t="shared" si="796"/>
        <v>ZPI - CGS</v>
      </c>
      <c r="B12702" s="33" t="str">
        <f t="shared" si="797"/>
        <v>ZPI</v>
      </c>
      <c r="C12702" s="33" t="str">
        <f t="shared" si="798"/>
        <v>53011-0000</v>
      </c>
      <c r="D12702" t="s">
        <v>13739</v>
      </c>
      <c r="E12702" t="s">
        <v>13312</v>
      </c>
      <c r="F12702" s="69" t="s">
        <v>230</v>
      </c>
      <c r="G12702" t="s">
        <v>3160</v>
      </c>
      <c r="H12702" t="s">
        <v>13300</v>
      </c>
      <c r="I12702" t="s">
        <v>13313</v>
      </c>
      <c r="J12702" s="70">
        <v>836.15</v>
      </c>
      <c r="K12702" s="71">
        <v>934.22</v>
      </c>
      <c r="L12702" s="33" t="e">
        <f>HLOOKUP(B12702,#REF!,1,0)</f>
        <v>#REF!</v>
      </c>
      <c r="M12702" s="33" t="str">
        <f t="shared" si="799"/>
        <v>P&amp;L</v>
      </c>
    </row>
    <row r="12703" spans="1:13">
      <c r="A12703" s="33" t="str">
        <f t="shared" si="796"/>
        <v>ZPI - CGS</v>
      </c>
      <c r="B12703" s="33" t="str">
        <f t="shared" si="797"/>
        <v>ZPI</v>
      </c>
      <c r="C12703" s="33" t="str">
        <f t="shared" si="798"/>
        <v>54001-0000</v>
      </c>
      <c r="D12703" t="s">
        <v>13193</v>
      </c>
      <c r="E12703" t="s">
        <v>4008</v>
      </c>
      <c r="F12703" s="69" t="s">
        <v>230</v>
      </c>
      <c r="G12703" t="s">
        <v>3800</v>
      </c>
      <c r="H12703" t="s">
        <v>1875</v>
      </c>
      <c r="I12703" t="s">
        <v>4009</v>
      </c>
      <c r="J12703" s="70">
        <v>-126.96</v>
      </c>
      <c r="K12703" s="71">
        <v>-126.96</v>
      </c>
      <c r="L12703" s="33" t="e">
        <f>HLOOKUP(B12703,#REF!,1,0)</f>
        <v>#REF!</v>
      </c>
      <c r="M12703" s="33" t="str">
        <f t="shared" si="799"/>
        <v>P&amp;L</v>
      </c>
    </row>
    <row r="12704" spans="1:13">
      <c r="A12704" s="33" t="str">
        <f t="shared" si="796"/>
        <v>ZPI - CGS</v>
      </c>
      <c r="B12704" s="33" t="str">
        <f t="shared" si="797"/>
        <v>ZPI</v>
      </c>
      <c r="C12704" s="33" t="str">
        <f t="shared" si="798"/>
        <v>54002-0000</v>
      </c>
      <c r="D12704" t="s">
        <v>13194</v>
      </c>
      <c r="E12704" t="s">
        <v>3799</v>
      </c>
      <c r="F12704" s="69" t="s">
        <v>230</v>
      </c>
      <c r="G12704" t="s">
        <v>3800</v>
      </c>
      <c r="H12704" t="s">
        <v>1875</v>
      </c>
      <c r="I12704" t="s">
        <v>3801</v>
      </c>
      <c r="J12704" s="70">
        <v>7500</v>
      </c>
      <c r="K12704" s="71">
        <v>7850</v>
      </c>
      <c r="L12704" s="33" t="e">
        <f>HLOOKUP(B12704,#REF!,1,0)</f>
        <v>#REF!</v>
      </c>
      <c r="M12704" s="33" t="str">
        <f t="shared" si="799"/>
        <v>P&amp;L</v>
      </c>
    </row>
    <row r="12705" spans="1:13">
      <c r="A12705" s="33" t="str">
        <f t="shared" si="796"/>
        <v>ZPI - CGS</v>
      </c>
      <c r="B12705" s="33" t="str">
        <f t="shared" si="797"/>
        <v>ZPI</v>
      </c>
      <c r="C12705" s="33" t="str">
        <f t="shared" si="798"/>
        <v>54004-0000</v>
      </c>
      <c r="D12705" t="s">
        <v>13196</v>
      </c>
      <c r="E12705" t="s">
        <v>13314</v>
      </c>
      <c r="F12705" s="69" t="s">
        <v>230</v>
      </c>
      <c r="G12705" t="s">
        <v>3800</v>
      </c>
      <c r="H12705" t="s">
        <v>1875</v>
      </c>
      <c r="I12705" t="s">
        <v>3807</v>
      </c>
      <c r="J12705" s="70">
        <v>56886.59</v>
      </c>
      <c r="K12705" s="71">
        <v>61117.35</v>
      </c>
      <c r="L12705" s="33" t="e">
        <f>HLOOKUP(B12705,#REF!,1,0)</f>
        <v>#REF!</v>
      </c>
      <c r="M12705" s="33" t="str">
        <f t="shared" si="799"/>
        <v>P&amp;L</v>
      </c>
    </row>
    <row r="12706" spans="1:13">
      <c r="A12706" s="33" t="str">
        <f t="shared" si="796"/>
        <v>ZPI - CGS</v>
      </c>
      <c r="B12706" s="33" t="str">
        <f t="shared" si="797"/>
        <v>ZPI</v>
      </c>
      <c r="C12706" s="33" t="str">
        <f t="shared" si="798"/>
        <v>54005-0000</v>
      </c>
      <c r="D12706" t="s">
        <v>13197</v>
      </c>
      <c r="E12706" t="s">
        <v>3809</v>
      </c>
      <c r="F12706" s="69" t="s">
        <v>230</v>
      </c>
      <c r="G12706" t="s">
        <v>3800</v>
      </c>
      <c r="H12706" t="s">
        <v>1875</v>
      </c>
      <c r="I12706" t="s">
        <v>3810</v>
      </c>
      <c r="J12706" s="70">
        <v>530.18</v>
      </c>
      <c r="K12706" s="71">
        <v>570.44</v>
      </c>
      <c r="L12706" s="33" t="e">
        <f>HLOOKUP(B12706,#REF!,1,0)</f>
        <v>#REF!</v>
      </c>
      <c r="M12706" s="33" t="str">
        <f t="shared" si="799"/>
        <v>P&amp;L</v>
      </c>
    </row>
    <row r="12707" spans="1:13">
      <c r="A12707" s="33" t="str">
        <f t="shared" si="796"/>
        <v>ZPI - CGS</v>
      </c>
      <c r="B12707" s="33" t="str">
        <f t="shared" si="797"/>
        <v>ZPI</v>
      </c>
      <c r="C12707" s="33" t="str">
        <f t="shared" si="798"/>
        <v>54006-0000</v>
      </c>
      <c r="D12707" t="s">
        <v>13198</v>
      </c>
      <c r="E12707" t="s">
        <v>3812</v>
      </c>
      <c r="F12707" s="69" t="s">
        <v>230</v>
      </c>
      <c r="G12707" t="s">
        <v>3800</v>
      </c>
      <c r="H12707" t="s">
        <v>1875</v>
      </c>
      <c r="I12707" t="s">
        <v>3003</v>
      </c>
      <c r="J12707" s="70">
        <v>9220.99</v>
      </c>
      <c r="K12707" s="71">
        <v>9949.27</v>
      </c>
      <c r="L12707" s="33" t="e">
        <f>HLOOKUP(B12707,#REF!,1,0)</f>
        <v>#REF!</v>
      </c>
      <c r="M12707" s="33" t="str">
        <f t="shared" si="799"/>
        <v>P&amp;L</v>
      </c>
    </row>
    <row r="12708" spans="1:13">
      <c r="A12708" s="33" t="str">
        <f t="shared" si="796"/>
        <v>ZPI - CGS</v>
      </c>
      <c r="B12708" s="33" t="str">
        <f t="shared" si="797"/>
        <v>ZPI</v>
      </c>
      <c r="C12708" s="33" t="str">
        <f t="shared" si="798"/>
        <v>54007-0000</v>
      </c>
      <c r="D12708" t="s">
        <v>13199</v>
      </c>
      <c r="E12708" t="s">
        <v>13315</v>
      </c>
      <c r="F12708" s="69" t="s">
        <v>230</v>
      </c>
      <c r="G12708" t="s">
        <v>3800</v>
      </c>
      <c r="H12708" t="s">
        <v>1875</v>
      </c>
      <c r="I12708" t="s">
        <v>3815</v>
      </c>
      <c r="J12708" s="70">
        <v>40014.77</v>
      </c>
      <c r="K12708" s="71">
        <v>44169.75</v>
      </c>
      <c r="L12708" s="33" t="e">
        <f>HLOOKUP(B12708,#REF!,1,0)</f>
        <v>#REF!</v>
      </c>
      <c r="M12708" s="33" t="str">
        <f t="shared" si="799"/>
        <v>P&amp;L</v>
      </c>
    </row>
    <row r="12709" spans="1:13">
      <c r="A12709" s="33" t="str">
        <f t="shared" si="796"/>
        <v>ZPI - CGS</v>
      </c>
      <c r="B12709" s="33" t="str">
        <f t="shared" si="797"/>
        <v>ZPI</v>
      </c>
      <c r="C12709" s="33" t="str">
        <f t="shared" si="798"/>
        <v>61001-0000</v>
      </c>
      <c r="D12709" t="s">
        <v>13740</v>
      </c>
      <c r="E12709" t="s">
        <v>4192</v>
      </c>
      <c r="F12709" s="69" t="s">
        <v>230</v>
      </c>
      <c r="G12709" t="s">
        <v>3838</v>
      </c>
      <c r="H12709" t="s">
        <v>1875</v>
      </c>
      <c r="I12709" t="s">
        <v>4193</v>
      </c>
      <c r="J12709" s="70">
        <v>510</v>
      </c>
      <c r="K12709" s="71">
        <v>510</v>
      </c>
      <c r="L12709" s="33" t="e">
        <f>HLOOKUP(B12709,#REF!,1,0)</f>
        <v>#REF!</v>
      </c>
      <c r="M12709" s="33" t="str">
        <f t="shared" si="799"/>
        <v>P&amp;L</v>
      </c>
    </row>
    <row r="12710" spans="1:13">
      <c r="A12710" s="33" t="str">
        <f t="shared" si="796"/>
        <v>ZPI - CGS</v>
      </c>
      <c r="B12710" s="33" t="str">
        <f t="shared" si="797"/>
        <v>ZPI</v>
      </c>
      <c r="C12710" s="33" t="str">
        <f t="shared" si="798"/>
        <v>61002-0000</v>
      </c>
      <c r="D12710" t="s">
        <v>13741</v>
      </c>
      <c r="E12710" t="s">
        <v>3837</v>
      </c>
      <c r="F12710" s="69" t="s">
        <v>230</v>
      </c>
      <c r="G12710" t="s">
        <v>3838</v>
      </c>
      <c r="H12710" t="s">
        <v>1875</v>
      </c>
      <c r="I12710" t="s">
        <v>3839</v>
      </c>
      <c r="J12710" s="70">
        <v>4953.37</v>
      </c>
      <c r="K12710" s="71">
        <v>4953.37</v>
      </c>
      <c r="L12710" s="33" t="e">
        <f>HLOOKUP(B12710,#REF!,1,0)</f>
        <v>#REF!</v>
      </c>
      <c r="M12710" s="33" t="str">
        <f t="shared" si="799"/>
        <v>P&amp;L</v>
      </c>
    </row>
    <row r="12711" spans="1:13">
      <c r="A12711" s="33" t="str">
        <f t="shared" si="796"/>
        <v>ZPI - CGS</v>
      </c>
      <c r="B12711" s="33" t="str">
        <f t="shared" si="797"/>
        <v>ZPI</v>
      </c>
      <c r="C12711" s="33" t="str">
        <f t="shared" si="798"/>
        <v>61005-0000</v>
      </c>
      <c r="D12711" t="s">
        <v>13742</v>
      </c>
      <c r="E12711" t="s">
        <v>3841</v>
      </c>
      <c r="F12711" s="69" t="s">
        <v>230</v>
      </c>
      <c r="G12711" t="s">
        <v>3838</v>
      </c>
      <c r="H12711" t="s">
        <v>1875</v>
      </c>
      <c r="I12711" t="s">
        <v>3842</v>
      </c>
      <c r="J12711" s="70">
        <v>383.14</v>
      </c>
      <c r="K12711" s="71">
        <v>383.14</v>
      </c>
      <c r="L12711" s="33" t="e">
        <f>HLOOKUP(B12711,#REF!,1,0)</f>
        <v>#REF!</v>
      </c>
      <c r="M12711" s="33" t="str">
        <f t="shared" si="799"/>
        <v>P&amp;L</v>
      </c>
    </row>
    <row r="12712" spans="1:13">
      <c r="A12712" s="33" t="str">
        <f t="shared" si="796"/>
        <v>ZPI - CGS</v>
      </c>
      <c r="B12712" s="33" t="str">
        <f t="shared" si="797"/>
        <v>ZPI</v>
      </c>
      <c r="C12712" s="33" t="str">
        <f t="shared" si="798"/>
        <v>61007-0000</v>
      </c>
      <c r="D12712" t="s">
        <v>13743</v>
      </c>
      <c r="E12712" t="s">
        <v>13319</v>
      </c>
      <c r="F12712" s="69" t="s">
        <v>230</v>
      </c>
      <c r="G12712" t="s">
        <v>3838</v>
      </c>
      <c r="H12712" t="s">
        <v>1875</v>
      </c>
      <c r="I12712" t="s">
        <v>3847</v>
      </c>
      <c r="J12712" s="70">
        <v>801</v>
      </c>
      <c r="K12712" s="71">
        <v>801</v>
      </c>
      <c r="L12712" s="33" t="e">
        <f>HLOOKUP(B12712,#REF!,1,0)</f>
        <v>#REF!</v>
      </c>
      <c r="M12712" s="33" t="str">
        <f t="shared" si="799"/>
        <v>P&amp;L</v>
      </c>
    </row>
    <row r="12713" spans="1:13">
      <c r="A12713" s="33" t="str">
        <f t="shared" si="796"/>
        <v>ZPI - CGS</v>
      </c>
      <c r="B12713" s="33" t="str">
        <f t="shared" si="797"/>
        <v>ZPI</v>
      </c>
      <c r="C12713" s="33" t="str">
        <f t="shared" si="798"/>
        <v>61008-0000</v>
      </c>
      <c r="D12713" t="s">
        <v>13744</v>
      </c>
      <c r="E12713" t="s">
        <v>13395</v>
      </c>
      <c r="F12713" s="69" t="s">
        <v>230</v>
      </c>
      <c r="G12713" t="s">
        <v>3838</v>
      </c>
      <c r="H12713" t="s">
        <v>13300</v>
      </c>
      <c r="I12713" t="s">
        <v>13396</v>
      </c>
      <c r="J12713" s="70">
        <v>1051.89</v>
      </c>
      <c r="K12713" s="71">
        <v>1051.89</v>
      </c>
      <c r="L12713" s="33" t="e">
        <f>HLOOKUP(B12713,#REF!,1,0)</f>
        <v>#REF!</v>
      </c>
      <c r="M12713" s="33" t="str">
        <f t="shared" si="799"/>
        <v>P&amp;L</v>
      </c>
    </row>
    <row r="12714" spans="1:13">
      <c r="A12714" s="33" t="str">
        <f t="shared" si="796"/>
        <v>ZPI - CGS</v>
      </c>
      <c r="B12714" s="33" t="str">
        <f t="shared" si="797"/>
        <v>ZPI</v>
      </c>
      <c r="C12714" s="33" t="str">
        <f t="shared" si="798"/>
        <v>61012-0000</v>
      </c>
      <c r="D12714" t="s">
        <v>13745</v>
      </c>
      <c r="E12714" t="s">
        <v>13321</v>
      </c>
      <c r="F12714" s="69" t="s">
        <v>230</v>
      </c>
      <c r="G12714" t="s">
        <v>3838</v>
      </c>
      <c r="H12714" t="s">
        <v>1875</v>
      </c>
      <c r="I12714" t="s">
        <v>3853</v>
      </c>
      <c r="J12714" s="70">
        <v>195138.77</v>
      </c>
      <c r="K12714" s="71">
        <v>195138.77</v>
      </c>
      <c r="L12714" s="33" t="e">
        <f>HLOOKUP(B12714,#REF!,1,0)</f>
        <v>#REF!</v>
      </c>
      <c r="M12714" s="33" t="str">
        <f t="shared" si="799"/>
        <v>P&amp;L</v>
      </c>
    </row>
    <row r="12715" spans="1:13">
      <c r="A12715" s="33" t="str">
        <f t="shared" si="796"/>
        <v>ZPI - Revenue</v>
      </c>
      <c r="B12715" s="33" t="str">
        <f t="shared" si="797"/>
        <v>ZPI</v>
      </c>
      <c r="C12715" s="33" t="str">
        <f t="shared" si="798"/>
        <v>61014-0000</v>
      </c>
      <c r="D12715" t="s">
        <v>13746</v>
      </c>
      <c r="E12715" t="s">
        <v>13323</v>
      </c>
      <c r="F12715" s="69" t="s">
        <v>230</v>
      </c>
      <c r="G12715" t="s">
        <v>3717</v>
      </c>
      <c r="H12715" t="s">
        <v>2871</v>
      </c>
      <c r="I12715" t="s">
        <v>12435</v>
      </c>
      <c r="J12715" s="70">
        <v>120834.68</v>
      </c>
      <c r="K12715" s="71">
        <v>120834.68</v>
      </c>
      <c r="L12715" s="33" t="e">
        <f>HLOOKUP(B12715,#REF!,1,0)</f>
        <v>#REF!</v>
      </c>
      <c r="M12715" s="33" t="str">
        <f t="shared" si="799"/>
        <v>P&amp;L</v>
      </c>
    </row>
    <row r="12716" spans="1:13">
      <c r="A12716" s="33" t="str">
        <f t="shared" si="796"/>
        <v>ZPI - CGS</v>
      </c>
      <c r="B12716" s="33" t="str">
        <f t="shared" si="797"/>
        <v>ZPI</v>
      </c>
      <c r="C12716" s="33" t="str">
        <f t="shared" si="798"/>
        <v>61015-0000</v>
      </c>
      <c r="D12716" t="s">
        <v>13747</v>
      </c>
      <c r="E12716" t="s">
        <v>13325</v>
      </c>
      <c r="F12716" s="69" t="s">
        <v>230</v>
      </c>
      <c r="G12716" t="s">
        <v>3838</v>
      </c>
      <c r="H12716" t="s">
        <v>1875</v>
      </c>
      <c r="I12716" t="s">
        <v>3859</v>
      </c>
      <c r="J12716" s="70">
        <v>825.28</v>
      </c>
      <c r="K12716" s="71">
        <v>825.28</v>
      </c>
      <c r="L12716" s="33" t="e">
        <f>HLOOKUP(B12716,#REF!,1,0)</f>
        <v>#REF!</v>
      </c>
      <c r="M12716" s="33" t="str">
        <f t="shared" si="799"/>
        <v>P&amp;L</v>
      </c>
    </row>
    <row r="12717" spans="1:13">
      <c r="A12717" s="33" t="str">
        <f t="shared" si="796"/>
        <v>ZPI - Other Income/Expense</v>
      </c>
      <c r="B12717" s="33" t="str">
        <f t="shared" si="797"/>
        <v>ZPI</v>
      </c>
      <c r="C12717" s="33" t="str">
        <f t="shared" si="798"/>
        <v>61022-0000</v>
      </c>
      <c r="D12717" t="s">
        <v>13219</v>
      </c>
      <c r="E12717" t="s">
        <v>4286</v>
      </c>
      <c r="F12717" s="69" t="s">
        <v>230</v>
      </c>
      <c r="G12717" t="s">
        <v>3838</v>
      </c>
      <c r="H12717" t="s">
        <v>3300</v>
      </c>
      <c r="I12717" t="s">
        <v>4287</v>
      </c>
      <c r="J12717" s="70">
        <v>6675.9</v>
      </c>
      <c r="K12717" s="71">
        <v>6675.9</v>
      </c>
      <c r="L12717" s="33" t="e">
        <f>HLOOKUP(B12717,#REF!,1,0)</f>
        <v>#REF!</v>
      </c>
      <c r="M12717" s="33" t="str">
        <f t="shared" si="799"/>
        <v>P&amp;L</v>
      </c>
    </row>
    <row r="12718" spans="1:13">
      <c r="A12718" s="33" t="str">
        <f t="shared" si="796"/>
        <v>ZPI - CGS</v>
      </c>
      <c r="B12718" s="33" t="str">
        <f t="shared" si="797"/>
        <v>ZPI</v>
      </c>
      <c r="C12718" s="33" t="str">
        <f t="shared" si="798"/>
        <v>61023-0000</v>
      </c>
      <c r="D12718" t="s">
        <v>13220</v>
      </c>
      <c r="E12718" t="s">
        <v>1873</v>
      </c>
      <c r="F12718" s="69" t="s">
        <v>230</v>
      </c>
      <c r="G12718" t="s">
        <v>1874</v>
      </c>
      <c r="H12718" t="s">
        <v>1875</v>
      </c>
      <c r="I12718" t="s">
        <v>1876</v>
      </c>
      <c r="J12718" s="70">
        <v>22661.91</v>
      </c>
      <c r="K12718" s="71">
        <v>22661.91</v>
      </c>
      <c r="L12718" s="33" t="e">
        <f>HLOOKUP(B12718,#REF!,1,0)</f>
        <v>#REF!</v>
      </c>
      <c r="M12718" s="33" t="str">
        <f t="shared" si="799"/>
        <v>P&amp;L</v>
      </c>
    </row>
    <row r="12719" spans="1:13">
      <c r="A12719" s="33" t="str">
        <f t="shared" si="796"/>
        <v>ZPI - PM Expenses</v>
      </c>
      <c r="B12719" s="33" t="str">
        <f t="shared" si="797"/>
        <v>ZPI</v>
      </c>
      <c r="C12719" s="33" t="str">
        <f t="shared" si="798"/>
        <v>71020-0000</v>
      </c>
      <c r="D12719" t="s">
        <v>13748</v>
      </c>
      <c r="E12719" t="s">
        <v>13328</v>
      </c>
      <c r="F12719" s="69" t="s">
        <v>230</v>
      </c>
      <c r="G12719" t="s">
        <v>3818</v>
      </c>
      <c r="H12719" t="s">
        <v>3819</v>
      </c>
      <c r="I12719" t="s">
        <v>3820</v>
      </c>
      <c r="J12719" s="70">
        <v>12352.3</v>
      </c>
      <c r="K12719" s="71">
        <v>12352.3</v>
      </c>
      <c r="L12719" s="33" t="e">
        <f>HLOOKUP(B12719,#REF!,1,0)</f>
        <v>#REF!</v>
      </c>
      <c r="M12719" s="33" t="str">
        <f t="shared" si="799"/>
        <v>P&amp;L</v>
      </c>
    </row>
    <row r="12720" spans="1:13">
      <c r="A12720" s="33" t="str">
        <f t="shared" si="796"/>
        <v>ZPI - PM Expenses</v>
      </c>
      <c r="B12720" s="33" t="str">
        <f t="shared" si="797"/>
        <v>ZPI</v>
      </c>
      <c r="C12720" s="33" t="str">
        <f t="shared" si="798"/>
        <v>71030-0000</v>
      </c>
      <c r="D12720" t="s">
        <v>13749</v>
      </c>
      <c r="E12720" t="s">
        <v>13330</v>
      </c>
      <c r="F12720" s="69" t="s">
        <v>230</v>
      </c>
      <c r="G12720" t="s">
        <v>3818</v>
      </c>
      <c r="H12720" t="s">
        <v>3819</v>
      </c>
      <c r="I12720" t="s">
        <v>3823</v>
      </c>
      <c r="J12720" s="70">
        <v>7990.32</v>
      </c>
      <c r="K12720" s="71">
        <v>7990.32</v>
      </c>
      <c r="L12720" s="33" t="e">
        <f>HLOOKUP(B12720,#REF!,1,0)</f>
        <v>#REF!</v>
      </c>
      <c r="M12720" s="33" t="str">
        <f t="shared" si="799"/>
        <v>P&amp;L</v>
      </c>
    </row>
    <row r="12721" spans="1:13">
      <c r="A12721" s="33" t="str">
        <f t="shared" si="796"/>
        <v>ZPI - PM Expenses</v>
      </c>
      <c r="B12721" s="33" t="str">
        <f t="shared" si="797"/>
        <v>ZPI</v>
      </c>
      <c r="C12721" s="33" t="str">
        <f t="shared" si="798"/>
        <v>71040-0000</v>
      </c>
      <c r="D12721" t="s">
        <v>13750</v>
      </c>
      <c r="E12721" t="s">
        <v>13332</v>
      </c>
      <c r="F12721" s="69" t="s">
        <v>230</v>
      </c>
      <c r="G12721" t="s">
        <v>3818</v>
      </c>
      <c r="H12721" t="s">
        <v>3819</v>
      </c>
      <c r="I12721" t="s">
        <v>3826</v>
      </c>
      <c r="J12721" s="70">
        <v>8091.73</v>
      </c>
      <c r="K12721" s="71">
        <v>8091.73</v>
      </c>
      <c r="L12721" s="33" t="e">
        <f>HLOOKUP(B12721,#REF!,1,0)</f>
        <v>#REF!</v>
      </c>
      <c r="M12721" s="33" t="str">
        <f t="shared" si="799"/>
        <v>P&amp;L</v>
      </c>
    </row>
    <row r="12722" spans="1:13">
      <c r="A12722" s="33" t="str">
        <f t="shared" si="796"/>
        <v>ZPI - PM Expenses</v>
      </c>
      <c r="B12722" s="33" t="str">
        <f t="shared" si="797"/>
        <v>ZPI</v>
      </c>
      <c r="C12722" s="33" t="str">
        <f t="shared" si="798"/>
        <v>71060-0000</v>
      </c>
      <c r="D12722" t="s">
        <v>13751</v>
      </c>
      <c r="E12722" t="s">
        <v>13336</v>
      </c>
      <c r="F12722" s="69" t="s">
        <v>230</v>
      </c>
      <c r="G12722" t="s">
        <v>3818</v>
      </c>
      <c r="H12722" t="s">
        <v>3819</v>
      </c>
      <c r="I12722" t="s">
        <v>3829</v>
      </c>
      <c r="J12722" s="70">
        <v>57318.59</v>
      </c>
      <c r="K12722" s="71">
        <v>57318.59</v>
      </c>
      <c r="L12722" s="33" t="e">
        <f>HLOOKUP(B12722,#REF!,1,0)</f>
        <v>#REF!</v>
      </c>
      <c r="M12722" s="33" t="str">
        <f t="shared" si="799"/>
        <v>P&amp;L</v>
      </c>
    </row>
    <row r="12723" spans="1:13">
      <c r="A12723" s="33" t="str">
        <f t="shared" si="796"/>
        <v>ZPI - PM Expenses</v>
      </c>
      <c r="B12723" s="33" t="str">
        <f t="shared" si="797"/>
        <v>ZPI</v>
      </c>
      <c r="C12723" s="33" t="str">
        <f t="shared" si="798"/>
        <v>71070-0000</v>
      </c>
      <c r="D12723" t="s">
        <v>13752</v>
      </c>
      <c r="E12723" t="s">
        <v>13338</v>
      </c>
      <c r="F12723" s="69" t="s">
        <v>230</v>
      </c>
      <c r="G12723" t="s">
        <v>3818</v>
      </c>
      <c r="H12723" t="s">
        <v>3819</v>
      </c>
      <c r="I12723" t="s">
        <v>3832</v>
      </c>
      <c r="J12723" s="70">
        <v>209086.2</v>
      </c>
      <c r="K12723" s="71">
        <v>209086.2</v>
      </c>
      <c r="L12723" s="33" t="e">
        <f>HLOOKUP(B12723,#REF!,1,0)</f>
        <v>#REF!</v>
      </c>
      <c r="M12723" s="33" t="str">
        <f t="shared" si="799"/>
        <v>P&amp;L</v>
      </c>
    </row>
    <row r="12724" spans="1:13">
      <c r="A12724" s="33" t="str">
        <f t="shared" si="796"/>
        <v>ZPI - PM Expenses</v>
      </c>
      <c r="B12724" s="33" t="str">
        <f t="shared" si="797"/>
        <v>ZPI</v>
      </c>
      <c r="C12724" s="33" t="str">
        <f t="shared" si="798"/>
        <v>71080-0000</v>
      </c>
      <c r="D12724" t="s">
        <v>13753</v>
      </c>
      <c r="E12724" t="s">
        <v>13340</v>
      </c>
      <c r="F12724" s="69" t="s">
        <v>230</v>
      </c>
      <c r="G12724" t="s">
        <v>3818</v>
      </c>
      <c r="H12724" t="s">
        <v>3819</v>
      </c>
      <c r="I12724" t="s">
        <v>3835</v>
      </c>
      <c r="J12724" s="70">
        <v>6195.49</v>
      </c>
      <c r="K12724" s="71">
        <v>6195.49</v>
      </c>
      <c r="L12724" s="33" t="e">
        <f>HLOOKUP(B12724,#REF!,1,0)</f>
        <v>#REF!</v>
      </c>
      <c r="M12724" s="33" t="str">
        <f t="shared" si="799"/>
        <v>P&amp;L</v>
      </c>
    </row>
    <row r="12725" spans="1:13">
      <c r="A12725" s="33" t="str">
        <f t="shared" si="796"/>
        <v>ZPI - CGS</v>
      </c>
      <c r="B12725" s="33" t="str">
        <f t="shared" si="797"/>
        <v>ZPI</v>
      </c>
      <c r="C12725" s="33" t="str">
        <f t="shared" si="798"/>
        <v>71100-0000</v>
      </c>
      <c r="D12725" t="s">
        <v>13754</v>
      </c>
      <c r="E12725" t="s">
        <v>13342</v>
      </c>
      <c r="F12725" s="69" t="s">
        <v>230</v>
      </c>
      <c r="G12725" t="s">
        <v>3769</v>
      </c>
      <c r="H12725" t="s">
        <v>1875</v>
      </c>
      <c r="I12725" t="s">
        <v>3776</v>
      </c>
      <c r="J12725" s="70">
        <v>-3453.82</v>
      </c>
      <c r="K12725" s="71">
        <v>-3453.82</v>
      </c>
      <c r="L12725" s="33" t="e">
        <f>HLOOKUP(B12725,#REF!,1,0)</f>
        <v>#REF!</v>
      </c>
      <c r="M12725" s="33" t="str">
        <f t="shared" si="799"/>
        <v>P&amp;L</v>
      </c>
    </row>
    <row r="12726" spans="1:13">
      <c r="A12726" s="33" t="str">
        <f t="shared" si="796"/>
        <v>ZPI - CGS</v>
      </c>
      <c r="B12726" s="33" t="str">
        <f t="shared" si="797"/>
        <v>ZPI</v>
      </c>
      <c r="C12726" s="33" t="str">
        <f t="shared" si="798"/>
        <v>71110-0000</v>
      </c>
      <c r="D12726" t="s">
        <v>13755</v>
      </c>
      <c r="E12726" t="s">
        <v>13344</v>
      </c>
      <c r="F12726" s="69" t="s">
        <v>230</v>
      </c>
      <c r="G12726" t="s">
        <v>3769</v>
      </c>
      <c r="H12726" t="s">
        <v>1875</v>
      </c>
      <c r="I12726" t="s">
        <v>3779</v>
      </c>
      <c r="J12726" s="70">
        <v>11.37</v>
      </c>
      <c r="K12726" s="71">
        <v>11.37</v>
      </c>
      <c r="L12726" s="33" t="e">
        <f>HLOOKUP(B12726,#REF!,1,0)</f>
        <v>#REF!</v>
      </c>
      <c r="M12726" s="33" t="str">
        <f t="shared" si="799"/>
        <v>P&amp;L</v>
      </c>
    </row>
    <row r="12727" spans="1:13">
      <c r="A12727" s="33" t="str">
        <f t="shared" si="796"/>
        <v>ZPI - Interest Expense</v>
      </c>
      <c r="B12727" s="33" t="str">
        <f t="shared" si="797"/>
        <v>ZPI</v>
      </c>
      <c r="C12727" s="33" t="str">
        <f t="shared" si="798"/>
        <v>80006-0000</v>
      </c>
      <c r="D12727" t="s">
        <v>13756</v>
      </c>
      <c r="E12727" t="s">
        <v>3325</v>
      </c>
      <c r="F12727" s="69" t="s">
        <v>230</v>
      </c>
      <c r="G12727" t="s">
        <v>3326</v>
      </c>
      <c r="H12727" t="s">
        <v>3327</v>
      </c>
      <c r="I12727" t="s">
        <v>3328</v>
      </c>
      <c r="J12727" s="70">
        <v>1195866.4</v>
      </c>
      <c r="K12727" s="71">
        <v>1386208.07</v>
      </c>
      <c r="L12727" s="33" t="e">
        <f>HLOOKUP(B12727,#REF!,1,0)</f>
        <v>#REF!</v>
      </c>
      <c r="M12727" s="33" t="str">
        <f t="shared" si="799"/>
        <v>P&amp;L</v>
      </c>
    </row>
    <row r="12728" spans="1:13">
      <c r="A12728" s="33" t="str">
        <f t="shared" si="796"/>
        <v>ZPI - Income Tax</v>
      </c>
      <c r="B12728" s="33" t="str">
        <f t="shared" si="797"/>
        <v>ZPI</v>
      </c>
      <c r="C12728" s="33" t="str">
        <f t="shared" si="798"/>
        <v>81019-0000</v>
      </c>
      <c r="D12728" t="s">
        <v>13757</v>
      </c>
      <c r="E12728" t="s">
        <v>13347</v>
      </c>
      <c r="F12728" s="69" t="s">
        <v>230</v>
      </c>
      <c r="G12728" t="s">
        <v>3844</v>
      </c>
      <c r="H12728" t="s">
        <v>3378</v>
      </c>
      <c r="I12728" t="s">
        <v>4042</v>
      </c>
      <c r="J12728" s="70">
        <v>4100</v>
      </c>
      <c r="K12728" s="71">
        <v>4100</v>
      </c>
      <c r="L12728" s="33" t="e">
        <f>HLOOKUP(B12728,#REF!,1,0)</f>
        <v>#REF!</v>
      </c>
      <c r="M12728" s="33" t="str">
        <f t="shared" si="799"/>
        <v>P&amp;L</v>
      </c>
    </row>
    <row r="12729" spans="1:13">
      <c r="A12729" s="33" t="str">
        <f t="shared" si="796"/>
        <v>ZPI - Other Expenses</v>
      </c>
      <c r="B12729" s="33" t="str">
        <f t="shared" si="797"/>
        <v>ZPI</v>
      </c>
      <c r="C12729" s="33" t="str">
        <f t="shared" si="798"/>
        <v>81228-0000</v>
      </c>
      <c r="D12729" t="s">
        <v>13758</v>
      </c>
      <c r="E12729" t="s">
        <v>3864</v>
      </c>
      <c r="F12729" s="69" t="s">
        <v>230</v>
      </c>
      <c r="G12729" t="s">
        <v>3838</v>
      </c>
      <c r="H12729" t="s">
        <v>3865</v>
      </c>
      <c r="I12729" t="s">
        <v>3866</v>
      </c>
      <c r="J12729" s="70">
        <v>2.41</v>
      </c>
      <c r="K12729" s="71">
        <v>2.41</v>
      </c>
      <c r="L12729" s="33" t="e">
        <f>HLOOKUP(B12729,#REF!,1,0)</f>
        <v>#REF!</v>
      </c>
      <c r="M12729" s="33" t="str">
        <f t="shared" si="799"/>
        <v>P&amp;L</v>
      </c>
    </row>
  </sheetData>
  <autoFilter ref="A1:M12729"/>
  <pageMargins left="0.75" right="0.75" top="1" bottom="1" header="0.511811023622047" footer="0.511811023622047"/>
  <pageSetup horizontalDpi="300" orientation="portrait" paperSize="1" useFirstPageNumber="true"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DB295"/>
  <sheetViews>
    <sheetView topLeftCell="A29" zoomScale="104" zoomScaleNormal="104" workbookViewId="0">
      <selection activeCell="S51" sqref="S51"/>
    </sheetView>
  </sheetViews>
  <sheetFormatPr defaultColWidth="8.14" defaultRowHeight="12.75" customHeight="true"/>
  <cols>
    <col customWidth="true" max="1" min="1" style="154" width="3"/>
    <col collapsed="true" customWidth="true" max="2" min="2" outlineLevel="1" style="154" width="12.7133333333333"/>
    <col collapsed="true" customWidth="true" max="3" min="3" outlineLevel="1" style="154" width="26.8"/>
    <col customWidth="true" max="4" min="4" style="154" width="31.7133333333333"/>
    <col customWidth="true" max="5" min="5" style="154" width="16.4266666666667"/>
    <col customWidth="true" max="6" min="6" style="154" width="16.2866666666667"/>
    <col customWidth="true" max="7" min="7" style="154" width="14.5733333333333"/>
    <col customWidth="true" max="8" min="8" style="154" width="13.5733333333333"/>
    <col customWidth="true" max="9" min="9" style="154" width="14.7133333333333"/>
    <col customWidth="true" max="10" min="10" style="154" width="13.4266666666667"/>
    <col customWidth="true" max="11" min="11" style="154" width="11.8533333333333"/>
    <col customWidth="true" max="12" min="12" style="151" width="14.7133333333333"/>
    <col customWidth="true" max="14" min="13" style="154" width="13.5733333333333"/>
    <col customWidth="true" max="15" min="15" style="151" width="13.8533333333333"/>
    <col customWidth="true" max="16" min="16" style="154" width="12.5733333333333"/>
    <col customWidth="true" max="17" min="17" style="154" width="13.14"/>
    <col customWidth="true" max="18" min="18" style="154" width="11.8533333333333"/>
    <col customWidth="true" max="19" min="19" style="154" width="12.4266666666667"/>
    <col customWidth="true" max="20" min="20" style="154" width="13.4266666666667"/>
    <col customWidth="true" max="21" min="21" style="154" width="11.8533333333333"/>
    <col customWidth="true" max="22" min="22" style="151" width="13.7133333333333"/>
    <col customWidth="true" max="23" min="23" style="154" width="13.5733333333333"/>
    <col customWidth="true" max="24" min="24" style="154" width="14.4266666666667"/>
    <col customWidth="true" max="25" min="25" style="151" width="13.14"/>
    <col customWidth="true" max="26" min="26" style="154" width="12.7133333333333"/>
    <col customWidth="true" max="27" min="27" style="154" width="11.14"/>
    <col customWidth="true" max="28" min="28" style="151" width="13.8533333333333"/>
    <col customWidth="true" max="29" min="29" style="154" width="12.7133333333333"/>
    <col customWidth="true" max="31" min="30" style="154" width="13.5733333333333"/>
    <col customWidth="true" max="34" min="32" style="154" width="11.8533333333333"/>
    <col customWidth="true" max="35" min="35" style="154" width="13.5733333333333"/>
    <col customWidth="true" max="36" min="36" style="154" width="11.8533333333333"/>
    <col customWidth="true" max="37" min="37" style="154" width="12.7133333333333"/>
    <col customWidth="true" max="38" min="38" style="151" width="13.5733333333333"/>
    <col customWidth="true" max="39" min="39" style="154" width="11.8533333333333"/>
    <col customWidth="true" max="41" min="40" style="154" width="12.7133333333333"/>
    <col customWidth="true" max="42" min="42" style="154" width="10.14"/>
    <col customWidth="true" max="43" min="43" style="154" width="12.7133333333333"/>
    <col customWidth="true" max="44" min="44" style="154" width="10.14"/>
    <col customWidth="true" max="48" min="45" style="154" width="11.14"/>
    <col customWidth="true" max="49" min="49" style="154" width="10.14"/>
    <col customWidth="true" max="50" min="50" style="154" width="8.57333333333333"/>
    <col customWidth="true" max="51" min="51" style="154" width="10.14"/>
    <col customWidth="true" max="53" min="52" style="154" width="11.14"/>
    <col customWidth="true" max="54" min="54" style="154" width="10.14"/>
    <col customWidth="true" max="59" min="55" style="154" width="11.14"/>
    <col customWidth="true" max="60" min="60" style="154" width="10.14"/>
    <col customWidth="true" max="61" min="61" style="154" width="11.14"/>
    <col customWidth="true" max="62" min="62" style="154" width="9.42666666666667"/>
    <col customWidth="true" max="66" min="63" style="154" width="11.14"/>
    <col customWidth="true" max="67" min="67" style="154" width="13.8533333333333"/>
    <col customWidth="true" max="69" min="68" style="154" width="11.8533333333333"/>
    <col customWidth="true" max="70" min="70" style="154" width="12.7133333333333"/>
    <col customWidth="true" max="71" min="71" style="154" width="11.8533333333333"/>
    <col customWidth="true" max="72" min="72" style="154" width="8.71333333333333"/>
    <col customWidth="true" max="73" min="73" style="154" width="11.8533333333333"/>
    <col customWidth="true" max="74" min="74" style="154" width="8.28666666666667"/>
    <col customWidth="true" max="75" min="75" style="154" width="12.7133333333333"/>
    <col customWidth="true" max="76" min="76" style="154" width="14.7133333333333"/>
    <col customWidth="true" max="77" min="77" style="154" width="8.57333333333333"/>
    <col customWidth="true" max="78" min="78" style="154" width="12.7133333333333"/>
    <col customWidth="true" max="79" min="79" style="154" width="11.8533333333333"/>
    <col customWidth="true" max="80" min="80" style="154" width="13"/>
    <col customWidth="true" max="82" min="81" style="154" width="11.8533333333333"/>
    <col customWidth="true" max="83" min="83" style="154" width="13"/>
    <col customWidth="true" max="84" min="84" style="154" width="12.2866666666667"/>
    <col customWidth="true" max="85" min="85" style="154" width="11.8533333333333"/>
    <col customWidth="true" max="86" min="86" style="154" width="14.7133333333333"/>
    <col customWidth="true" max="87" min="87" style="154" width="11.8533333333333"/>
    <col customWidth="true" max="88" min="88" style="154" width="13"/>
    <col customWidth="true" max="90" min="89" style="154" width="11.8533333333333"/>
    <col customWidth="true" max="91" min="91" style="154" width="12.7133333333333"/>
    <col customWidth="true" max="93" min="92" style="154" width="14.7133333333333"/>
    <col customWidth="true" max="94" min="94" style="154" width="2"/>
    <col customWidth="true" max="96" min="95" style="151" width="14.7133333333333"/>
    <col customWidth="true" max="97" min="97" style="151" width="17"/>
    <col customWidth="true" max="98" min="98" style="154" width="8.57333333333333"/>
    <col customWidth="true" max="99" min="99" style="154" width="13.5733333333333"/>
    <col customWidth="true" max="101" min="100" style="154" width="11.8533333333333"/>
    <col customWidth="true" max="102" min="102" style="154" width="13.5733333333333"/>
    <col customWidth="true" max="103" min="103" style="151" width="12.7133333333333"/>
    <col customWidth="true" max="104" min="104" style="151" width="6"/>
    <col customWidth="true" max="105" min="105" style="151" width="15.4266666666667"/>
    <col customWidth="true" max="106" min="106" style="155" width="52.5733333333333"/>
    <col customWidth="true" max="16384" min="107" style="154" width="8.14"/>
  </cols>
  <sheetData>
    <row r="1" spans="106:106" ht="13.5" customHeight="true">
      <c r="DB1" s="193"/>
    </row>
    <row r="2" spans="106:106" hidden="true">
      <c r="DB2" s="193"/>
    </row>
    <row r="3" spans="5:106" hidden="true">
      <c r="E3" s="154" t="e">
        <f t="shared" ref="E3:BP3" ca="true" si="0">+SUM(E6:E291)</f>
        <v>#REF!</v>
      </c>
      <c r="F3" s="154" t="e">
        <f t="shared" ca="true" si="0"/>
        <v>#REF!</v>
      </c>
      <c r="G3" s="154" t="e">
        <f t="shared" ca="true" si="0"/>
        <v>#REF!</v>
      </c>
      <c r="H3" s="154" t="e">
        <f t="shared" ca="true" si="0"/>
        <v>#REF!</v>
      </c>
      <c r="I3" s="154" t="e">
        <f t="shared" ca="true" si="0"/>
        <v>#REF!</v>
      </c>
      <c r="J3" s="154" t="e">
        <f t="shared" ca="true" si="0"/>
        <v>#REF!</v>
      </c>
      <c r="K3" s="154" t="e">
        <f t="shared" ca="true" si="0"/>
        <v>#REF!</v>
      </c>
      <c r="L3" s="154" t="e">
        <f t="shared" ca="true" si="0"/>
        <v>#REF!</v>
      </c>
      <c r="M3" s="154" t="e">
        <f t="shared" ca="true" si="0"/>
        <v>#REF!</v>
      </c>
      <c r="N3" s="154" t="e">
        <f t="shared" ca="true" si="0"/>
        <v>#REF!</v>
      </c>
      <c r="O3" s="154" t="e">
        <f t="shared" ca="true" si="0"/>
        <v>#REF!</v>
      </c>
      <c r="P3" s="154" t="e">
        <f t="shared" ca="true" si="0"/>
        <v>#REF!</v>
      </c>
      <c r="Q3" s="154" t="e">
        <f t="shared" ca="true" si="0"/>
        <v>#REF!</v>
      </c>
      <c r="R3" s="154" t="e">
        <f t="shared" ca="true" si="0"/>
        <v>#REF!</v>
      </c>
      <c r="S3" s="154" t="e">
        <f t="shared" ca="true" si="0"/>
        <v>#REF!</v>
      </c>
      <c r="T3" s="154" t="e">
        <f t="shared" ca="true" si="0"/>
        <v>#REF!</v>
      </c>
      <c r="U3" s="154" t="e">
        <f t="shared" ca="true" si="0"/>
        <v>#REF!</v>
      </c>
      <c r="V3" s="154" t="e">
        <f t="shared" ca="true" si="0"/>
        <v>#REF!</v>
      </c>
      <c r="W3" s="154" t="e">
        <f t="shared" ca="true" si="0"/>
        <v>#REF!</v>
      </c>
      <c r="X3" s="154" t="e">
        <f t="shared" ca="true" si="0"/>
        <v>#REF!</v>
      </c>
      <c r="Y3" s="154" t="e">
        <f t="shared" ca="true" si="0"/>
        <v>#REF!</v>
      </c>
      <c r="Z3" s="154" t="e">
        <f t="shared" ca="true" si="0"/>
        <v>#REF!</v>
      </c>
      <c r="AA3" s="154" t="e">
        <f t="shared" ca="true" si="0"/>
        <v>#REF!</v>
      </c>
      <c r="AB3" s="154" t="e">
        <f t="shared" ca="true" si="0"/>
        <v>#REF!</v>
      </c>
      <c r="AC3" s="154" t="e">
        <f t="shared" ca="true" si="0"/>
        <v>#REF!</v>
      </c>
      <c r="AD3" s="154" t="e">
        <f t="shared" ca="true" si="0"/>
        <v>#REF!</v>
      </c>
      <c r="AE3" s="154" t="e">
        <f t="shared" ca="true" si="0"/>
        <v>#REF!</v>
      </c>
      <c r="AF3" s="154" t="e">
        <f t="shared" ca="true" si="0"/>
        <v>#REF!</v>
      </c>
      <c r="AG3" s="154" t="e">
        <f t="shared" ca="true" si="0"/>
        <v>#REF!</v>
      </c>
      <c r="AH3" s="154" t="e">
        <f t="shared" ca="true" si="0"/>
        <v>#REF!</v>
      </c>
      <c r="AI3" s="154" t="e">
        <f t="shared" ca="true" si="0"/>
        <v>#REF!</v>
      </c>
      <c r="AJ3" s="154" t="e">
        <f t="shared" ca="true" si="0"/>
        <v>#REF!</v>
      </c>
      <c r="AK3" s="154" t="e">
        <f t="shared" ca="true" si="0"/>
        <v>#REF!</v>
      </c>
      <c r="AL3" s="154" t="e">
        <f t="shared" ca="true" si="0"/>
        <v>#REF!</v>
      </c>
      <c r="AM3" s="154" t="e">
        <f t="shared" ca="true" si="0"/>
        <v>#REF!</v>
      </c>
      <c r="AN3" s="154" t="e">
        <f t="shared" ca="true" si="0"/>
        <v>#REF!</v>
      </c>
      <c r="AO3" s="154" t="e">
        <f t="shared" ca="true" si="0"/>
        <v>#REF!</v>
      </c>
      <c r="AP3" s="154" t="e">
        <f t="shared" ca="true" si="0"/>
        <v>#REF!</v>
      </c>
      <c r="AQ3" s="154" t="e">
        <f t="shared" ca="true" si="0"/>
        <v>#REF!</v>
      </c>
      <c r="AR3" s="154" t="e">
        <f t="shared" ca="true" si="0"/>
        <v>#REF!</v>
      </c>
      <c r="AS3" s="154" t="e">
        <f t="shared" ca="true" si="0"/>
        <v>#REF!</v>
      </c>
      <c r="AT3" s="154" t="e">
        <f t="shared" ca="true" si="0"/>
        <v>#REF!</v>
      </c>
      <c r="AU3" s="154" t="e">
        <f t="shared" ca="true" si="0"/>
        <v>#REF!</v>
      </c>
      <c r="AV3" s="154" t="e">
        <f t="shared" ca="true" si="0"/>
        <v>#REF!</v>
      </c>
      <c r="AW3" s="154" t="e">
        <f t="shared" ca="true" si="0"/>
        <v>#REF!</v>
      </c>
      <c r="AX3" s="154" t="e">
        <f t="shared" ca="true" si="0"/>
        <v>#REF!</v>
      </c>
      <c r="AY3" s="154" t="e">
        <f t="shared" ca="true" si="0"/>
        <v>#REF!</v>
      </c>
      <c r="AZ3" s="154" t="e">
        <f t="shared" ca="true" si="0"/>
        <v>#REF!</v>
      </c>
      <c r="BA3" s="154" t="e">
        <f t="shared" ca="true" si="0"/>
        <v>#REF!</v>
      </c>
      <c r="BB3" s="154" t="e">
        <f t="shared" ca="true" si="0"/>
        <v>#REF!</v>
      </c>
      <c r="BC3" s="154" t="e">
        <f t="shared" ca="true" si="0"/>
        <v>#REF!</v>
      </c>
      <c r="BD3" s="154" t="e">
        <f t="shared" ca="true" si="0"/>
        <v>#REF!</v>
      </c>
      <c r="BE3" s="154" t="e">
        <f t="shared" ca="true" si="0"/>
        <v>#REF!</v>
      </c>
      <c r="BF3" s="154" t="e">
        <f t="shared" ca="true" si="0"/>
        <v>#REF!</v>
      </c>
      <c r="BG3" s="154" t="e">
        <f t="shared" ca="true" si="0"/>
        <v>#REF!</v>
      </c>
      <c r="BH3" s="154" t="e">
        <f t="shared" ca="true" si="0"/>
        <v>#REF!</v>
      </c>
      <c r="BI3" s="154" t="e">
        <f t="shared" ca="true" si="0"/>
        <v>#REF!</v>
      </c>
      <c r="BJ3" s="154" t="e">
        <f t="shared" ca="true" si="0"/>
        <v>#REF!</v>
      </c>
      <c r="BK3" s="154" t="e">
        <f t="shared" ca="true" si="0"/>
        <v>#REF!</v>
      </c>
      <c r="BL3" s="154" t="e">
        <f t="shared" ca="true" si="0"/>
        <v>#REF!</v>
      </c>
      <c r="BM3" s="154" t="e">
        <f t="shared" ca="true" si="0"/>
        <v>#REF!</v>
      </c>
      <c r="BN3" s="154" t="e">
        <f t="shared" ca="true" si="0"/>
        <v>#REF!</v>
      </c>
      <c r="BO3" s="154" t="e">
        <f t="shared" ca="true" si="0"/>
        <v>#REF!</v>
      </c>
      <c r="BP3" s="154" t="e">
        <f t="shared" ca="true" si="0"/>
        <v>#REF!</v>
      </c>
      <c r="BQ3" s="154" t="e">
        <f t="shared" ref="BQ3:DA3" ca="true" si="1">+SUM(BQ6:BQ291)</f>
        <v>#REF!</v>
      </c>
      <c r="BR3" s="154" t="e">
        <f t="shared" ca="true" si="1"/>
        <v>#REF!</v>
      </c>
      <c r="BS3" s="154" t="e">
        <f t="shared" ca="true" si="1"/>
        <v>#REF!</v>
      </c>
      <c r="BT3" s="154" t="e">
        <f t="shared" ca="true" si="1"/>
        <v>#REF!</v>
      </c>
      <c r="BU3" s="154" t="e">
        <f t="shared" ca="true" si="1"/>
        <v>#REF!</v>
      </c>
      <c r="BV3" s="154" t="e">
        <f t="shared" ca="true" si="1"/>
        <v>#REF!</v>
      </c>
      <c r="BW3" s="154" t="e">
        <f t="shared" ca="true" si="1"/>
        <v>#REF!</v>
      </c>
      <c r="BX3" s="154" t="e">
        <f t="shared" ca="true" si="1"/>
        <v>#REF!</v>
      </c>
      <c r="BY3" s="154" t="e">
        <f t="shared" ca="true" si="1"/>
        <v>#REF!</v>
      </c>
      <c r="BZ3" s="154" t="e">
        <f t="shared" ca="true" si="1"/>
        <v>#REF!</v>
      </c>
      <c r="CA3" s="154" t="e">
        <f t="shared" ca="true" si="1"/>
        <v>#REF!</v>
      </c>
      <c r="CB3" s="154" t="e">
        <f t="shared" ca="true" si="1"/>
        <v>#REF!</v>
      </c>
      <c r="CC3" s="154" t="e">
        <f t="shared" ca="true" si="1"/>
        <v>#REF!</v>
      </c>
      <c r="CD3" s="154" t="e">
        <f t="shared" ca="true" si="1"/>
        <v>#REF!</v>
      </c>
      <c r="CE3" s="154" t="e">
        <f t="shared" ca="true" si="1"/>
        <v>#REF!</v>
      </c>
      <c r="CF3" s="154" t="e">
        <f t="shared" ca="true" si="1"/>
        <v>#REF!</v>
      </c>
      <c r="CG3" s="154" t="e">
        <f t="shared" ca="true" si="1"/>
        <v>#REF!</v>
      </c>
      <c r="CH3" s="154" t="e">
        <f t="shared" ca="true" si="1"/>
        <v>#REF!</v>
      </c>
      <c r="CI3" s="154" t="e">
        <f t="shared" ca="true" si="1"/>
        <v>#REF!</v>
      </c>
      <c r="CJ3" s="154" t="e">
        <f t="shared" ca="true" si="1"/>
        <v>#REF!</v>
      </c>
      <c r="CK3" s="154" t="e">
        <f t="shared" ca="true" si="1"/>
        <v>#REF!</v>
      </c>
      <c r="CL3" s="154" t="e">
        <f t="shared" ca="true" si="1"/>
        <v>#REF!</v>
      </c>
      <c r="CM3" s="154" t="e">
        <f t="shared" ca="true" si="1"/>
        <v>#REF!</v>
      </c>
      <c r="CN3" s="154" t="e">
        <f t="shared" ca="true" si="1"/>
        <v>#REF!</v>
      </c>
      <c r="CO3" s="154" t="e">
        <f t="shared" ca="true" si="1"/>
        <v>#REF!</v>
      </c>
      <c r="CP3" s="154">
        <f t="shared" si="1"/>
        <v>0</v>
      </c>
      <c r="CQ3" s="154" t="e">
        <f t="shared" ca="true" si="1"/>
        <v>#REF!</v>
      </c>
      <c r="CR3" s="154" t="e">
        <f t="shared" ca="true" si="1"/>
        <v>#REF!</v>
      </c>
      <c r="CS3" s="154" t="e">
        <f t="shared" ca="true" si="1"/>
        <v>#REF!</v>
      </c>
      <c r="CT3" s="154" t="e">
        <f t="shared" ca="true" si="1"/>
        <v>#REF!</v>
      </c>
      <c r="CU3" s="154" t="e">
        <f t="shared" ca="true" si="1"/>
        <v>#REF!</v>
      </c>
      <c r="CV3" s="154" t="e">
        <f t="shared" ca="true" si="1"/>
        <v>#REF!</v>
      </c>
      <c r="CW3" s="154" t="e">
        <f t="shared" ca="true" si="1"/>
        <v>#REF!</v>
      </c>
      <c r="CX3" s="154">
        <f t="shared" ca="true" si="1"/>
        <v>0</v>
      </c>
      <c r="CY3" s="154" t="e">
        <f t="shared" ca="true" si="1"/>
        <v>#REF!</v>
      </c>
      <c r="CZ3" s="154" t="e">
        <f t="shared" ca="true" si="1"/>
        <v>#REF!</v>
      </c>
      <c r="DA3" s="154" t="e">
        <f t="shared" ca="true" si="1"/>
        <v>#REF!</v>
      </c>
      <c r="DB3" s="193"/>
    </row>
    <row r="4" spans="5:106" hidden="true">
      <c r="E4" s="167"/>
      <c r="G4" s="152"/>
      <c r="AZ4" s="154">
        <v>44522.98</v>
      </c>
      <c r="CR4" s="151">
        <f>4123-3833</f>
        <v>290</v>
      </c>
      <c r="DB4" s="193"/>
    </row>
    <row r="5" spans="52:106" ht="13.5" hidden="true" customHeight="true">
      <c r="AZ5" s="171">
        <f>AZ4+AZ32</f>
        <v>5669.07000000001</v>
      </c>
      <c r="DB5" s="193"/>
    </row>
    <row r="6" spans="1:106" ht="16.5" customHeight="true">
      <c r="A6" s="156"/>
      <c r="B6" s="157"/>
      <c r="C6" s="158"/>
      <c r="D6" s="158"/>
      <c r="E6" s="158"/>
      <c r="F6" s="158"/>
      <c r="G6" s="168" t="s">
        <v>13759</v>
      </c>
      <c r="H6" s="168"/>
      <c r="I6" s="168"/>
      <c r="J6" s="168"/>
      <c r="K6" s="168"/>
      <c r="L6" s="175"/>
      <c r="M6" s="168" t="s">
        <v>13760</v>
      </c>
      <c r="N6" s="168"/>
      <c r="O6" s="175"/>
      <c r="P6" s="168" t="s">
        <v>13761</v>
      </c>
      <c r="Q6" s="168"/>
      <c r="R6" s="168"/>
      <c r="S6" s="168"/>
      <c r="T6" s="168"/>
      <c r="U6" s="168"/>
      <c r="V6" s="168"/>
      <c r="W6" s="168"/>
      <c r="X6" s="168"/>
      <c r="Y6" s="175"/>
      <c r="Z6" s="168" t="s">
        <v>13762</v>
      </c>
      <c r="AA6" s="168"/>
      <c r="AB6" s="175"/>
      <c r="AC6" s="168"/>
      <c r="AD6" s="168"/>
      <c r="AE6" s="168"/>
      <c r="AF6" s="168" t="s">
        <v>13763</v>
      </c>
      <c r="AG6" s="168"/>
      <c r="AH6" s="168"/>
      <c r="AI6" s="168"/>
      <c r="AJ6" s="168"/>
      <c r="AK6" s="168"/>
      <c r="AL6" s="175"/>
      <c r="AM6" s="168" t="s">
        <v>13764</v>
      </c>
      <c r="AN6" s="168"/>
      <c r="AO6" s="168"/>
      <c r="AP6" s="168"/>
      <c r="AQ6" s="168"/>
      <c r="AR6" s="168"/>
      <c r="AS6" s="168"/>
      <c r="AT6" s="168"/>
      <c r="AU6" s="168"/>
      <c r="AV6" s="168"/>
      <c r="AW6" s="168"/>
      <c r="AX6" s="168"/>
      <c r="AY6" s="168"/>
      <c r="AZ6" s="168"/>
      <c r="BA6" s="168"/>
      <c r="BB6" s="168"/>
      <c r="BC6" s="168"/>
      <c r="BD6" s="168"/>
      <c r="BE6" s="168"/>
      <c r="BF6" s="168"/>
      <c r="BG6" s="168"/>
      <c r="BH6" s="168"/>
      <c r="BI6" s="168"/>
      <c r="BJ6" s="168"/>
      <c r="BK6" s="168"/>
      <c r="BL6" s="168"/>
      <c r="BM6" s="168"/>
      <c r="BN6" s="168"/>
      <c r="BO6" s="168"/>
      <c r="BP6" s="168"/>
      <c r="BQ6" s="168"/>
      <c r="BR6" s="168"/>
      <c r="BS6" s="168"/>
      <c r="BT6" s="168"/>
      <c r="BU6" s="168"/>
      <c r="BV6" s="168"/>
      <c r="BW6" s="168"/>
      <c r="BX6" s="168"/>
      <c r="BY6" s="168"/>
      <c r="BZ6" s="168"/>
      <c r="CA6" s="168"/>
      <c r="CB6" s="168"/>
      <c r="CC6" s="168"/>
      <c r="CD6" s="168"/>
      <c r="CE6" s="168"/>
      <c r="CF6" s="168"/>
      <c r="CG6" s="168"/>
      <c r="CH6" s="168"/>
      <c r="CI6" s="168"/>
      <c r="CJ6" s="168"/>
      <c r="CK6" s="168"/>
      <c r="CL6" s="168"/>
      <c r="CM6" s="168"/>
      <c r="CN6" s="168"/>
      <c r="CO6" s="168"/>
      <c r="CP6" s="168"/>
      <c r="CQ6" s="175"/>
      <c r="CR6" s="184" t="s">
        <v>13765</v>
      </c>
      <c r="CS6" s="184"/>
      <c r="CT6" s="157"/>
      <c r="CU6" s="158"/>
      <c r="CV6" s="158"/>
      <c r="CW6" s="184"/>
      <c r="CX6" s="184"/>
      <c r="CY6" s="175"/>
      <c r="CZ6" s="184"/>
      <c r="DA6" s="184"/>
      <c r="DB6" s="193"/>
    </row>
    <row r="7" spans="1:106" ht="16.5" customHeight="true">
      <c r="A7" s="156"/>
      <c r="B7" s="159" t="s">
        <v>13766</v>
      </c>
      <c r="C7" s="160" t="s">
        <v>13767</v>
      </c>
      <c r="D7" s="160" t="s">
        <v>13768</v>
      </c>
      <c r="E7" s="160" t="s">
        <v>13769</v>
      </c>
      <c r="F7" s="160" t="s">
        <v>13770</v>
      </c>
      <c r="G7" s="160" t="s">
        <v>13771</v>
      </c>
      <c r="H7" s="160" t="s">
        <v>13772</v>
      </c>
      <c r="I7" s="160" t="s">
        <v>13773</v>
      </c>
      <c r="J7" s="160" t="s">
        <v>13774</v>
      </c>
      <c r="K7" s="160" t="s">
        <v>13775</v>
      </c>
      <c r="L7" s="176" t="s">
        <v>13776</v>
      </c>
      <c r="M7" s="160" t="s">
        <v>13777</v>
      </c>
      <c r="N7" s="160" t="s">
        <v>13778</v>
      </c>
      <c r="O7" s="160" t="s">
        <v>13779</v>
      </c>
      <c r="P7" s="160" t="s">
        <v>13780</v>
      </c>
      <c r="Q7" s="181" t="s">
        <v>13781</v>
      </c>
      <c r="R7" s="181" t="s">
        <v>13782</v>
      </c>
      <c r="S7" s="181" t="s">
        <v>13783</v>
      </c>
      <c r="T7" s="181" t="s">
        <v>13784</v>
      </c>
      <c r="U7" s="181" t="s">
        <v>13785</v>
      </c>
      <c r="V7" s="160" t="s">
        <v>13786</v>
      </c>
      <c r="W7" s="160" t="s">
        <v>13787</v>
      </c>
      <c r="X7" s="160" t="s">
        <v>13788</v>
      </c>
      <c r="Y7" s="176" t="s">
        <v>13789</v>
      </c>
      <c r="Z7" s="160" t="s">
        <v>13790</v>
      </c>
      <c r="AA7" s="160" t="s">
        <v>13791</v>
      </c>
      <c r="AB7" s="176" t="s">
        <v>13792</v>
      </c>
      <c r="AC7" s="160" t="s">
        <v>13793</v>
      </c>
      <c r="AD7" s="160" t="s">
        <v>13794</v>
      </c>
      <c r="AE7" s="160" t="s">
        <v>13795</v>
      </c>
      <c r="AF7" s="160" t="s">
        <v>13796</v>
      </c>
      <c r="AG7" s="160" t="s">
        <v>13797</v>
      </c>
      <c r="AH7" s="160" t="s">
        <v>13798</v>
      </c>
      <c r="AI7" s="160" t="s">
        <v>13799</v>
      </c>
      <c r="AJ7" s="160" t="s">
        <v>13800</v>
      </c>
      <c r="AK7" s="160" t="s">
        <v>13801</v>
      </c>
      <c r="AL7" s="176" t="s">
        <v>13763</v>
      </c>
      <c r="AM7" s="160" t="s">
        <v>13802</v>
      </c>
      <c r="AN7" s="160" t="s">
        <v>13803</v>
      </c>
      <c r="AO7" s="160" t="s">
        <v>13804</v>
      </c>
      <c r="AP7" s="160" t="s">
        <v>13805</v>
      </c>
      <c r="AQ7" s="160" t="s">
        <v>13806</v>
      </c>
      <c r="AR7" s="160" t="s">
        <v>13807</v>
      </c>
      <c r="AS7" s="160" t="s">
        <v>13808</v>
      </c>
      <c r="AT7" s="160" t="s">
        <v>13809</v>
      </c>
      <c r="AU7" s="160" t="s">
        <v>13810</v>
      </c>
      <c r="AV7" s="160" t="s">
        <v>13811</v>
      </c>
      <c r="AW7" s="160" t="s">
        <v>13812</v>
      </c>
      <c r="AX7" s="160" t="s">
        <v>13813</v>
      </c>
      <c r="AY7" s="160" t="s">
        <v>13814</v>
      </c>
      <c r="AZ7" s="160" t="s">
        <v>13815</v>
      </c>
      <c r="BA7" s="160" t="s">
        <v>13816</v>
      </c>
      <c r="BB7" s="160" t="s">
        <v>13817</v>
      </c>
      <c r="BC7" s="160" t="s">
        <v>13818</v>
      </c>
      <c r="BD7" s="160" t="s">
        <v>13819</v>
      </c>
      <c r="BE7" s="160" t="s">
        <v>13820</v>
      </c>
      <c r="BF7" s="160" t="s">
        <v>13821</v>
      </c>
      <c r="BG7" s="160" t="s">
        <v>13822</v>
      </c>
      <c r="BH7" s="160" t="s">
        <v>13823</v>
      </c>
      <c r="BI7" s="160" t="s">
        <v>13824</v>
      </c>
      <c r="BJ7" s="160" t="s">
        <v>13825</v>
      </c>
      <c r="BK7" s="160" t="s">
        <v>13826</v>
      </c>
      <c r="BL7" s="160" t="s">
        <v>13827</v>
      </c>
      <c r="BM7" s="160" t="s">
        <v>13828</v>
      </c>
      <c r="BN7" s="160" t="s">
        <v>13829</v>
      </c>
      <c r="BO7" s="160" t="s">
        <v>13830</v>
      </c>
      <c r="BP7" s="160" t="s">
        <v>13831</v>
      </c>
      <c r="BQ7" s="160" t="s">
        <v>13832</v>
      </c>
      <c r="BR7" s="160" t="s">
        <v>13833</v>
      </c>
      <c r="BS7" s="160" t="s">
        <v>13834</v>
      </c>
      <c r="BT7" s="160" t="s">
        <v>13835</v>
      </c>
      <c r="BU7" s="160" t="s">
        <v>13836</v>
      </c>
      <c r="BV7" s="160" t="s">
        <v>13837</v>
      </c>
      <c r="BW7" s="160" t="s">
        <v>13838</v>
      </c>
      <c r="BX7" s="160" t="s">
        <v>13839</v>
      </c>
      <c r="BY7" s="160" t="s">
        <v>13840</v>
      </c>
      <c r="BZ7" s="160" t="s">
        <v>13841</v>
      </c>
      <c r="CA7" s="160" t="s">
        <v>13842</v>
      </c>
      <c r="CB7" s="160" t="s">
        <v>13843</v>
      </c>
      <c r="CC7" s="160" t="s">
        <v>13844</v>
      </c>
      <c r="CD7" s="160" t="s">
        <v>13845</v>
      </c>
      <c r="CE7" s="160" t="s">
        <v>13846</v>
      </c>
      <c r="CF7" s="160" t="s">
        <v>13847</v>
      </c>
      <c r="CG7" s="160" t="s">
        <v>13848</v>
      </c>
      <c r="CH7" s="160" t="s">
        <v>13849</v>
      </c>
      <c r="CI7" s="160" t="s">
        <v>13850</v>
      </c>
      <c r="CJ7" s="160" t="s">
        <v>13851</v>
      </c>
      <c r="CK7" s="160" t="s">
        <v>13852</v>
      </c>
      <c r="CL7" s="160" t="s">
        <v>13853</v>
      </c>
      <c r="CM7" s="160" t="s">
        <v>13854</v>
      </c>
      <c r="CN7" s="160" t="s">
        <v>13855</v>
      </c>
      <c r="CO7" s="160" t="s">
        <v>13856</v>
      </c>
      <c r="CP7" s="160"/>
      <c r="CQ7" s="176" t="s">
        <v>13857</v>
      </c>
      <c r="CR7" s="176" t="s">
        <v>13765</v>
      </c>
      <c r="CS7" s="176" t="s">
        <v>13858</v>
      </c>
      <c r="CT7" s="159" t="s">
        <v>13859</v>
      </c>
      <c r="CU7" s="160" t="s">
        <v>13860</v>
      </c>
      <c r="CV7" s="160" t="s">
        <v>13861</v>
      </c>
      <c r="CW7" s="176" t="s">
        <v>13862</v>
      </c>
      <c r="CX7" s="176" t="s">
        <v>13863</v>
      </c>
      <c r="CY7" s="176" t="s">
        <v>13857</v>
      </c>
      <c r="CZ7" s="176" t="s">
        <v>13864</v>
      </c>
      <c r="DA7" s="176" t="s">
        <v>13865</v>
      </c>
      <c r="DB7" s="193"/>
    </row>
    <row r="8" spans="1:106" ht="15.75" customHeight="true">
      <c r="A8" s="161">
        <v>1</v>
      </c>
      <c r="B8" s="162"/>
      <c r="C8" s="163"/>
      <c r="D8" s="163" t="s">
        <v>13866</v>
      </c>
      <c r="E8" s="163"/>
      <c r="F8" s="163"/>
      <c r="G8" s="163"/>
      <c r="H8" s="163"/>
      <c r="I8" s="163"/>
      <c r="J8" s="163"/>
      <c r="K8" s="163"/>
      <c r="L8" s="177"/>
      <c r="M8" s="163"/>
      <c r="N8" s="163"/>
      <c r="O8" s="177"/>
      <c r="P8" s="163"/>
      <c r="Q8" s="163"/>
      <c r="R8" s="163"/>
      <c r="S8" s="163"/>
      <c r="T8" s="163"/>
      <c r="U8" s="163"/>
      <c r="V8" s="156"/>
      <c r="W8" s="163"/>
      <c r="X8" s="163"/>
      <c r="Y8" s="177"/>
      <c r="Z8" s="163"/>
      <c r="AA8" s="163"/>
      <c r="AB8" s="177"/>
      <c r="AC8" s="163"/>
      <c r="AD8" s="163"/>
      <c r="AE8" s="163"/>
      <c r="AF8" s="163"/>
      <c r="AG8" s="163"/>
      <c r="AH8" s="163"/>
      <c r="AI8" s="163"/>
      <c r="AJ8" s="163"/>
      <c r="AK8" s="163"/>
      <c r="AL8" s="177"/>
      <c r="AM8" s="163"/>
      <c r="AN8" s="163"/>
      <c r="AO8" s="163"/>
      <c r="AP8" s="163"/>
      <c r="AQ8" s="163"/>
      <c r="AR8" s="163"/>
      <c r="AS8" s="163"/>
      <c r="AT8" s="163"/>
      <c r="AU8" s="163"/>
      <c r="AV8" s="163"/>
      <c r="AW8" s="163"/>
      <c r="AX8" s="163"/>
      <c r="AY8" s="163"/>
      <c r="AZ8" s="163"/>
      <c r="BA8" s="163"/>
      <c r="BB8" s="163"/>
      <c r="BC8" s="163"/>
      <c r="BD8" s="163"/>
      <c r="BE8" s="163"/>
      <c r="BF8" s="163"/>
      <c r="BG8" s="163"/>
      <c r="BH8" s="163"/>
      <c r="BI8" s="163"/>
      <c r="BJ8" s="163"/>
      <c r="BK8" s="163"/>
      <c r="BL8" s="163"/>
      <c r="BM8" s="163"/>
      <c r="BN8" s="163"/>
      <c r="BO8" s="163"/>
      <c r="BP8" s="163"/>
      <c r="BQ8" s="163"/>
      <c r="BR8" s="163"/>
      <c r="BS8" s="163"/>
      <c r="BT8" s="163"/>
      <c r="BU8" s="163"/>
      <c r="BV8" s="163"/>
      <c r="BW8" s="163"/>
      <c r="BX8" s="163"/>
      <c r="BY8" s="163"/>
      <c r="BZ8" s="163"/>
      <c r="CA8" s="163"/>
      <c r="CB8" s="163"/>
      <c r="CC8" s="163"/>
      <c r="CD8" s="163"/>
      <c r="CE8" s="163"/>
      <c r="CF8" s="163"/>
      <c r="CG8" s="163"/>
      <c r="CH8" s="163"/>
      <c r="CI8" s="163"/>
      <c r="CJ8" s="163"/>
      <c r="CK8" s="163"/>
      <c r="CL8" s="163"/>
      <c r="CM8" s="163"/>
      <c r="CN8" s="163"/>
      <c r="CO8" s="163"/>
      <c r="CP8" s="163"/>
      <c r="CQ8" s="177"/>
      <c r="CR8" s="177"/>
      <c r="CS8" s="177"/>
      <c r="CT8" s="162"/>
      <c r="CU8" s="163"/>
      <c r="CV8" s="163"/>
      <c r="CW8" s="188"/>
      <c r="CX8" s="188"/>
      <c r="CY8" s="177"/>
      <c r="CZ8" s="177"/>
      <c r="DA8" s="177"/>
      <c r="DB8" s="193"/>
    </row>
    <row r="9" spans="1:106" ht="15.75" customHeight="true">
      <c r="A9" s="161">
        <v>2</v>
      </c>
      <c r="B9" s="161" t="s">
        <v>1660</v>
      </c>
      <c r="C9" s="163" t="s">
        <v>1660</v>
      </c>
      <c r="D9" s="163" t="s">
        <v>1660</v>
      </c>
      <c r="E9" s="169">
        <f t="shared" ref="E9:E48" si="2">+F9+CS9+CZ9+DA9</f>
        <v>-3668182.29</v>
      </c>
      <c r="F9" s="169">
        <f t="shared" ref="F9:F48" si="3">SUM(G9:K9,M9:N9,P9:U9,W9:X9,Z9:AA9,AC9:AK9,AM9:CP9)</f>
        <v>209523.84</v>
      </c>
      <c r="G9" s="170">
        <f>+SUMIF('BS-Details'!$A:$A,G$7&amp;" - "&amp;$C9,'BS-Details'!$J:$J)</f>
        <v>1009198.75</v>
      </c>
      <c r="H9" s="170">
        <f>+SUMIF('BS-Details'!$A:$A,H$7&amp;" - "&amp;$C9,'BS-Details'!$J:$J)</f>
        <v>-46129.67</v>
      </c>
      <c r="I9" s="170">
        <f>+SUMIF('BS-Details'!$A:$A,I$7&amp;" - "&amp;$C9,'BS-Details'!$J:$J)</f>
        <v>-197006.4</v>
      </c>
      <c r="J9" s="170">
        <f>+SUMIF('BS-Details'!$A:$A,J$7&amp;" - "&amp;$C9,'BS-Details'!$J:$J)</f>
        <v>-26352.98</v>
      </c>
      <c r="K9" s="170">
        <f>+SUMIF('BS-Details'!$A:$A,K$7&amp;" - "&amp;$C9,'BS-Details'!$J:$J)</f>
        <v>20422.4</v>
      </c>
      <c r="L9" s="178">
        <f t="shared" ref="L9:L48" si="4">+SUM(G9:K9)</f>
        <v>760132.1</v>
      </c>
      <c r="M9" s="170">
        <f>+SUMIF('BS-Details'!$A:$A,M$7&amp;" - "&amp;$C9,'BS-Details'!$J:$J)</f>
        <v>261619.82</v>
      </c>
      <c r="N9" s="170">
        <f>+SUMIF('BS-Details'!$A:$A,N$7&amp;" - "&amp;$C9,'BS-Details'!$J:$J)</f>
        <v>-49115.29</v>
      </c>
      <c r="O9" s="178">
        <f t="shared" ref="O9:O48" si="5">+SUM(M9:N9)</f>
        <v>212504.53</v>
      </c>
      <c r="P9" s="170">
        <f>+SUMIF('BS-Details'!$A:$A,P$7&amp;" - "&amp;$C9,'BS-Details'!$J:$J)</f>
        <v>-333.75</v>
      </c>
      <c r="Q9" s="170">
        <f>+SUMIF('BS-Details'!$A:$A,Q$7&amp;" - "&amp;$C9,'BS-Details'!$J:$J)</f>
        <v>-701.86</v>
      </c>
      <c r="R9" s="170">
        <f>+SUMIF('BS-Details'!$A:$A,R$7&amp;" - "&amp;$C9,'BS-Details'!$J:$J)</f>
        <v>4051.47</v>
      </c>
      <c r="S9" s="170">
        <f>+SUMIF('BS-Details'!$A:$A,S$7&amp;" - "&amp;$C9,'BS-Details'!$J:$J)</f>
        <v>3162.92</v>
      </c>
      <c r="T9" s="170">
        <f>+SUMIF('BS-Details'!$A:$A,T$7&amp;" - "&amp;$C9,'BS-Details'!$J:$J)</f>
        <v>1357.8</v>
      </c>
      <c r="U9" s="170">
        <f>+SUMIF('BS-Details'!$A:$A,U$7&amp;" - "&amp;$C9,'BS-Details'!$J:$J)</f>
        <v>9835.26</v>
      </c>
      <c r="V9" s="169">
        <f t="shared" ref="V9:V48" si="6">+SUM(P9:U9)</f>
        <v>17371.84</v>
      </c>
      <c r="W9" s="170">
        <f>+SUMIF('BS-Details'!$A:$A,W$7&amp;" - "&amp;$C9,'BS-Details'!$J:$J)</f>
        <v>1752.17</v>
      </c>
      <c r="X9" s="170">
        <f>+SUMIF('BS-Details'!$A:$A,X$7&amp;" - "&amp;$C9,'BS-Details'!$J:$J)</f>
        <v>-184520.16</v>
      </c>
      <c r="Y9" s="178">
        <f t="shared" ref="Y9:Y48" si="7">SUM(V9:X9)</f>
        <v>-165396.15</v>
      </c>
      <c r="Z9" s="170">
        <f>+SUMIF('BS-Details'!$A:$A,Z$7&amp;" - "&amp;$C9,'BS-Details'!$J:$J)</f>
        <v>-722647.31</v>
      </c>
      <c r="AA9" s="170">
        <f>+SUMIF('BS-Details'!$A:$A,AA$7&amp;" - "&amp;$C9,'BS-Details'!$J:$J)</f>
        <v>-22935.82</v>
      </c>
      <c r="AB9" s="178">
        <f t="shared" ref="AB9:AB48" si="8">+SUM(Z9:AA9)</f>
        <v>-745583.13</v>
      </c>
      <c r="AC9" s="170">
        <f>+SUMIF('BS-Details'!$A:$A,AC$7&amp;" - "&amp;$C9,'BS-Details'!$J:$J)</f>
        <v>-65729.29</v>
      </c>
      <c r="AD9" s="170">
        <f>+SUMIF('BS-Details'!$A:$A,AD$7&amp;" - "&amp;$C9,'BS-Details'!$J:$J)</f>
        <v>-66575.66</v>
      </c>
      <c r="AE9" s="170">
        <f>+SUMIF('BS-Details'!$A:$A,AE$7&amp;" - "&amp;$C9,'BS-Details'!$J:$J)</f>
        <v>-68721.08</v>
      </c>
      <c r="AF9" s="170">
        <f>+SUMIF('BS-Details'!$A:$A,AF$7&amp;" - "&amp;$C9,'BS-Details'!$J:$J)</f>
        <v>-5216.25999999999</v>
      </c>
      <c r="AG9" s="170">
        <f>+SUMIF('BS-Details'!$A:$A,AG$7&amp;" - "&amp;$C9,'BS-Details'!$J:$J)</f>
        <v>23283.08</v>
      </c>
      <c r="AH9" s="170">
        <f>+SUMIF('BS-Details'!$A:$A,AH$7&amp;" - "&amp;$C9,'BS-Details'!$J:$J)</f>
        <v>13062.13</v>
      </c>
      <c r="AI9" s="170">
        <f>+SUMIF('BS-Details'!$A:$A,AI$7&amp;" - "&amp;$C9,'BS-Details'!$J:$J)</f>
        <v>14053.67</v>
      </c>
      <c r="AJ9" s="170">
        <f>+SUMIF('BS-Details'!$A:$A,AJ$7&amp;" - "&amp;$C9,'BS-Details'!$J:$J)</f>
        <v>17209.19</v>
      </c>
      <c r="AK9" s="170">
        <f>+SUMIF('BS-Details'!$A:$A,AK$7&amp;" - "&amp;$C9,'BS-Details'!$J:$J)</f>
        <v>-70305.89</v>
      </c>
      <c r="AL9" s="178">
        <f t="shared" ref="AL9:AL48" si="9">SUM(AF9:AK9)</f>
        <v>-7914.07999999994</v>
      </c>
      <c r="AM9" s="170">
        <f>+SUMIF('BS-Details'!$A:$A,AM$7&amp;" - "&amp;$C9,'BS-Details'!$J:$J)</f>
        <v>18183.68</v>
      </c>
      <c r="AN9" s="170">
        <f>+SUMIF('BS-Details'!$A:$A,AN$7&amp;" - "&amp;$C9,'BS-Details'!$J:$J)</f>
        <v>-36608.19</v>
      </c>
      <c r="AO9" s="170">
        <f>+SUMIF('BS-Details'!$A:$A,AO$7&amp;" - "&amp;$C9,'BS-Details'!$J:$J)</f>
        <v>-14547.27</v>
      </c>
      <c r="AP9" s="170">
        <f>+SUMIF('BS-Details'!$A:$A,AP$7&amp;" - "&amp;$C9,'BS-Details'!$J:$J)</f>
        <v>0</v>
      </c>
      <c r="AQ9" s="170">
        <f>+SUMIF('BS-Details'!$A:$A,AQ$7&amp;" - "&amp;$C9,'BS-Details'!$J:$J)</f>
        <v>23162.94</v>
      </c>
      <c r="AR9" s="170">
        <f>+SUMIF('BS-Details'!$A:$A,AR$7&amp;" - "&amp;$C9,'BS-Details'!$J:$J)</f>
        <v>0</v>
      </c>
      <c r="AS9" s="170">
        <f>+SUMIF('BS-Details'!$A:$A,AS$7&amp;" - "&amp;$C9,'BS-Details'!$J:$J)</f>
        <v>5472.81</v>
      </c>
      <c r="AT9" s="170">
        <f>+SUMIF('BS-Details'!$A:$A,AT$7&amp;" - "&amp;$C9,'BS-Details'!$J:$J)</f>
        <v>14561.1</v>
      </c>
      <c r="AU9" s="170">
        <f>+SUMIF('BS-Details'!$A:$A,AU$7&amp;" - "&amp;$C9,'BS-Details'!$J:$J)</f>
        <v>-5656.64</v>
      </c>
      <c r="AV9" s="170">
        <f>+SUMIF('BS-Details'!$A:$A,AV$7&amp;" - "&amp;$C9,'BS-Details'!$J:$J)</f>
        <v>17796.29</v>
      </c>
      <c r="AW9" s="170">
        <f>+SUMIF('BS-Details'!$A:$A,AW$7&amp;" - "&amp;$C9,'BS-Details'!$J:$J)</f>
        <v>0</v>
      </c>
      <c r="AX9" s="170">
        <f>+SUMIF('BS-Details'!$A:$A,AX$7&amp;" - "&amp;$C9,'BS-Details'!$J:$J)</f>
        <v>0</v>
      </c>
      <c r="AY9" s="170">
        <f>+SUMIF('BS-Details'!$A:$A,AY$7&amp;" - "&amp;$C9,'BS-Details'!$J:$J)</f>
        <v>0</v>
      </c>
      <c r="AZ9" s="170">
        <f>+SUMIF('BS-Details'!$A:$A,AZ$7&amp;" - "&amp;$C9,'BS-Details'!$J:$J)</f>
        <v>21848.98</v>
      </c>
      <c r="BA9" s="170">
        <f>+SUMIF('BS-Details'!$A:$A,BA$7&amp;" - "&amp;$C9,'BS-Details'!$J:$J)</f>
        <v>10795.12</v>
      </c>
      <c r="BB9" s="170">
        <f>+SUMIF('BS-Details'!$A:$A,BB$7&amp;" - "&amp;$C9,'BS-Details'!$J:$J)</f>
        <v>0</v>
      </c>
      <c r="BC9" s="170">
        <f>+SUMIF('BS-Details'!$A:$A,BC$7&amp;" - "&amp;$C9,'BS-Details'!$J:$J)</f>
        <v>25495.77</v>
      </c>
      <c r="BD9" s="170">
        <f>+SUMIF('BS-Details'!$A:$A,BD$7&amp;" - "&amp;$C9,'BS-Details'!$J:$J)</f>
        <v>9891.67</v>
      </c>
      <c r="BE9" s="170">
        <f>+SUMIF('BS-Details'!$A:$A,BE$7&amp;" - "&amp;$C9,'BS-Details'!$J:$J)</f>
        <v>15463.3</v>
      </c>
      <c r="BF9" s="170">
        <f>+SUMIF('BS-Details'!$A:$A,BF$7&amp;" - "&amp;$C9,'BS-Details'!$J:$J)</f>
        <v>8255.09</v>
      </c>
      <c r="BG9" s="170">
        <f>+SUMIF('BS-Details'!$A:$A,BG$7&amp;" - "&amp;$C9,'BS-Details'!$J:$J)</f>
        <v>11610.97</v>
      </c>
      <c r="BH9" s="170">
        <f>+SUMIF('BS-Details'!$A:$A,BH$7&amp;" - "&amp;$C9,'BS-Details'!$J:$J)</f>
        <v>0</v>
      </c>
      <c r="BI9" s="170">
        <f>+SUMIF('BS-Details'!$A:$A,BI$7&amp;" - "&amp;$C9,'BS-Details'!$J:$J)</f>
        <v>7149.82</v>
      </c>
      <c r="BJ9" s="170">
        <f>+SUMIF('BS-Details'!$A:$A,BJ$7&amp;" - "&amp;$C9,'BS-Details'!$J:$J)</f>
        <v>0</v>
      </c>
      <c r="BK9" s="170">
        <f>+SUMIF('BS-Details'!$A:$A,BK$7&amp;" - "&amp;$C9,'BS-Details'!$J:$J)</f>
        <v>1540.07</v>
      </c>
      <c r="BL9" s="170">
        <f>+SUMIF('BS-Details'!$A:$A,BL$7&amp;" - "&amp;$C9,'BS-Details'!$J:$J)</f>
        <v>9977.87</v>
      </c>
      <c r="BM9" s="170">
        <f>+SUMIF('BS-Details'!$A:$A,BM$7&amp;" - "&amp;$C9,'BS-Details'!$J:$J)</f>
        <v>9478.55</v>
      </c>
      <c r="BN9" s="170">
        <f>+SUMIF('BS-Details'!$A:$A,BN$7&amp;" - "&amp;$C9,'BS-Details'!$J:$J)</f>
        <v>1579.69</v>
      </c>
      <c r="BO9" s="170">
        <f>+SUMIF('BS-Details'!$A:$A,BO$7&amp;" - "&amp;$C9,'BS-Details'!$J:$J)</f>
        <v>0</v>
      </c>
      <c r="BP9" s="170">
        <f>+SUMIF('BS-Details'!$A:$A,BP$7&amp;" - "&amp;$C9,'BS-Details'!$J:$J)</f>
        <v>18087.25</v>
      </c>
      <c r="BQ9" s="170">
        <f>+SUMIF('BS-Details'!$A:$A,BQ$7&amp;" - "&amp;$C9,'BS-Details'!$J:$J)</f>
        <v>15291.67</v>
      </c>
      <c r="BR9" s="170">
        <f>+SUMIF('BS-Details'!$A:$A,BR$7&amp;" - "&amp;$C9,'BS-Details'!$J:$J)</f>
        <v>82318.54</v>
      </c>
      <c r="BS9" s="170">
        <f>+SUMIF('BS-Details'!$A:$A,BS$7&amp;" - "&amp;$C9,'BS-Details'!$J:$J)</f>
        <v>-9806.89</v>
      </c>
      <c r="BT9" s="170">
        <f>+SUMIF('BS-Details'!$A:$A,BT$7&amp;" - "&amp;$C9,'BS-Details'!$J:$J)</f>
        <v>0</v>
      </c>
      <c r="BU9" s="170">
        <f>+SUMIF('BS-Details'!$A:$A,BU$7&amp;" - "&amp;$C9,'BS-Details'!$J:$J)</f>
        <v>-147.009999999998</v>
      </c>
      <c r="BV9" s="170">
        <f>+SUMIF('BS-Details'!$A:$A,BV$7&amp;" - "&amp;$C9,'BS-Details'!$J:$J)</f>
        <v>0</v>
      </c>
      <c r="BW9" s="170">
        <f>+SUMIF('BS-Details'!$A:$A,BW$7&amp;" - "&amp;$C9,'BS-Details'!$J:$J)</f>
        <v>11206.02</v>
      </c>
      <c r="BX9" s="170">
        <f>+SUMIF('BS-Details'!$A:$A,BX$7&amp;" - "&amp;$C9,'BS-Details'!$J:$J)</f>
        <v>-41797.1799999999</v>
      </c>
      <c r="BY9" s="170">
        <f>+SUMIF('BS-Details'!$A:$A,BY$7&amp;" - "&amp;$C9,'BS-Details'!$J:$J)</f>
        <v>0</v>
      </c>
      <c r="BZ9" s="170">
        <f>+SUMIF('BS-Details'!$A:$A,BZ$7&amp;" - "&amp;$C9,'BS-Details'!$J:$J)</f>
        <v>54338.33</v>
      </c>
      <c r="CA9" s="170">
        <f>+SUMIF('BS-Details'!$A:$A,CA$7&amp;" - "&amp;$C9,'BS-Details'!$J:$J)</f>
        <v>43501.54</v>
      </c>
      <c r="CB9" s="170">
        <f>+SUMIF('BS-Details'!$A:$A,CB$7&amp;" - "&amp;$C9,'BS-Details'!$J:$J)</f>
        <v>-3885.41</v>
      </c>
      <c r="CC9" s="170">
        <f>+SUMIF('BS-Details'!$A:$A,CC$7&amp;" - "&amp;$C9,'BS-Details'!$J:$J)</f>
        <v>-1004.7</v>
      </c>
      <c r="CD9" s="170">
        <f>+SUMIF('BS-Details'!$A:$A,CD$7&amp;" - "&amp;$C9,'BS-Details'!$J:$J)</f>
        <v>5859.49</v>
      </c>
      <c r="CE9" s="170">
        <f>+SUMIF('BS-Details'!$A:$A,CE$7&amp;" - "&amp;$C9,'BS-Details'!$J:$J)</f>
        <v>13823.7</v>
      </c>
      <c r="CF9" s="170">
        <f>+SUMIF('BS-Details'!$A:$A,CF$7&amp;" - "&amp;$C9,'BS-Details'!$J:$J)</f>
        <v>29233.86</v>
      </c>
      <c r="CG9" s="170">
        <f>+SUMIF('BS-Details'!$A:$A,CG$7&amp;" - "&amp;$C9,'BS-Details'!$J:$J)</f>
        <v>-47.6000000000004</v>
      </c>
      <c r="CH9" s="170">
        <f>+SUMIF('BS-Details'!$A:$A,CH$7&amp;" - "&amp;$C9,'BS-Details'!$J:$J)</f>
        <v>-17998.5</v>
      </c>
      <c r="CI9" s="170">
        <f>+SUMIF('BS-Details'!$A:$A,CI$7&amp;" - "&amp;$C9,'BS-Details'!$J:$J)</f>
        <v>-12116.41</v>
      </c>
      <c r="CJ9" s="170">
        <f>+SUMIF('BS-Details'!$A:$A,CJ$7&amp;" - "&amp;$C9,'BS-Details'!$J:$J)</f>
        <v>23399.54</v>
      </c>
      <c r="CK9" s="170">
        <f>+SUMIF('BS-Details'!$A:$A,CK$7&amp;" - "&amp;$C9,'BS-Details'!$J:$J)</f>
        <v>2814.02</v>
      </c>
      <c r="CL9" s="170">
        <f>+SUMIF('BS-Details'!$A:$A,CL$7&amp;" - "&amp;$C9,'BS-Details'!$J:$J)</f>
        <v>10778.27</v>
      </c>
      <c r="CM9" s="170">
        <f>+SUMIF('BS-Details'!$A:$A,CM$7&amp;" - "&amp;$C9,'BS-Details'!$J:$J)</f>
        <v>-6717.04000000001</v>
      </c>
      <c r="CN9" s="170">
        <f>+SUMIF('BS-Details'!$A:$A,CN$7&amp;" - "&amp;$C9,'BS-Details'!$J:$J)</f>
        <v>-46714.4499999999</v>
      </c>
      <c r="CO9" s="170">
        <f>+SUMIF('BS-Details'!$A:$A,CO$7&amp;" - "&amp;$C9,'BS-Details'!$J:$J)</f>
        <v>30937.94</v>
      </c>
      <c r="CP9" s="170"/>
      <c r="CQ9" s="178">
        <f t="shared" ref="CQ9:CQ48" si="10">+SUM(AM9:CP9)</f>
        <v>356806.6</v>
      </c>
      <c r="CR9" s="178">
        <f t="shared" ref="CR9:CR48" si="11">SUM(AL9,CQ9)</f>
        <v>348892.52</v>
      </c>
      <c r="CS9" s="178">
        <f t="shared" ref="CS9:CS48" si="12">SUM(CY9:CY9)</f>
        <v>-93183.7</v>
      </c>
      <c r="CT9" s="185">
        <f>+SUMIF('BS-Details'!$A:$A,CT$7&amp;" - "&amp;$C9,'BS-Details'!$J:$J)</f>
        <v>0</v>
      </c>
      <c r="CU9" s="170">
        <f>+SUMIF('BS-Details'!$A:$A,CU$7&amp;" - "&amp;$C9,'BS-Details'!$J:$J)</f>
        <v>-108406.99</v>
      </c>
      <c r="CV9" s="170">
        <f>+SUMIF('BS-Details'!$A:$A,CV$7&amp;" - "&amp;$C9,'BS-Details'!$J:$J)</f>
        <v>-1820.7</v>
      </c>
      <c r="CW9" s="189">
        <f>+SUMIF('BS-Details'!$A:$A,CW$7&amp;" - "&amp;$C9,'BS-Details'!$J:$J)</f>
        <v>17043.99</v>
      </c>
      <c r="CX9" s="189">
        <f>+SUMIF('BS-Details'!$A:$A,CX$7&amp;" - "&amp;$C9,'BS-Details'!$J:$J)</f>
        <v>0</v>
      </c>
      <c r="CY9" s="189">
        <f t="shared" ref="CY9:CY48" si="13">SUM(CT9:CX9)</f>
        <v>-93183.7</v>
      </c>
      <c r="CZ9" s="178">
        <f>+SUMIF('BS-Details'!$A:$A,CZ$7&amp;" - "&amp;$C9,'BS-Details'!$J:$J)</f>
        <v>0</v>
      </c>
      <c r="DA9" s="178">
        <f>+SUMIF('BS-Details'!$A:$A,DA$7&amp;" - "&amp;$C9,'BS-Details'!$J:$J)</f>
        <v>-3784522.43</v>
      </c>
      <c r="DB9" s="193"/>
    </row>
    <row r="10" spans="1:106" ht="15.75" customHeight="true">
      <c r="A10" s="161">
        <v>3</v>
      </c>
      <c r="B10" s="161" t="s">
        <v>13867</v>
      </c>
      <c r="C10" s="163" t="s">
        <v>13867</v>
      </c>
      <c r="D10" s="163" t="s">
        <v>13867</v>
      </c>
      <c r="E10" s="169">
        <f t="shared" si="2"/>
        <v>-796319.93</v>
      </c>
      <c r="F10" s="169">
        <f t="shared" si="3"/>
        <v>-796319.93</v>
      </c>
      <c r="G10" s="170">
        <f>+SUMIF('BS-Details'!$A:$A,G$7&amp;" - "&amp;$C10,'BS-Details'!$J:$J)</f>
        <v>-18023.38</v>
      </c>
      <c r="H10" s="170">
        <f>+SUMIF('BS-Details'!$A:$A,H$7&amp;" - "&amp;$C10,'BS-Details'!$J:$J)</f>
        <v>0</v>
      </c>
      <c r="I10" s="170">
        <f>+SUMIF('BS-Details'!$A:$A,I$7&amp;" - "&amp;$C10,'BS-Details'!$J:$J)</f>
        <v>0</v>
      </c>
      <c r="J10" s="170">
        <f>+SUMIF('BS-Details'!$A:$A,J$7&amp;" - "&amp;$C10,'BS-Details'!$J:$J)</f>
        <v>0</v>
      </c>
      <c r="K10" s="170">
        <f>+SUMIF('BS-Details'!$A:$A,K$7&amp;" - "&amp;$C10,'BS-Details'!$J:$J)</f>
        <v>0</v>
      </c>
      <c r="L10" s="178">
        <f t="shared" si="4"/>
        <v>-18023.38</v>
      </c>
      <c r="M10" s="170">
        <f>+SUMIF('BS-Details'!$A:$A,M$7&amp;" - "&amp;$C10,'BS-Details'!$J:$J)</f>
        <v>24276.86</v>
      </c>
      <c r="N10" s="170">
        <f>+SUMIF('BS-Details'!$A:$A,N$7&amp;" - "&amp;$C10,'BS-Details'!$J:$J)</f>
        <v>0</v>
      </c>
      <c r="O10" s="178">
        <f t="shared" si="5"/>
        <v>24276.86</v>
      </c>
      <c r="P10" s="170">
        <f>+SUMIF('BS-Details'!$A:$A,P$7&amp;" - "&amp;$C10,'BS-Details'!$J:$J)</f>
        <v>0</v>
      </c>
      <c r="Q10" s="170">
        <f>+SUMIF('BS-Details'!$A:$A,Q$7&amp;" - "&amp;$C10,'BS-Details'!$J:$J)</f>
        <v>0</v>
      </c>
      <c r="R10" s="170">
        <f>+SUMIF('BS-Details'!$A:$A,R$7&amp;" - "&amp;$C10,'BS-Details'!$J:$J)</f>
        <v>0</v>
      </c>
      <c r="S10" s="170">
        <f>+SUMIF('BS-Details'!$A:$A,S$7&amp;" - "&amp;$C10,'BS-Details'!$J:$J)</f>
        <v>0</v>
      </c>
      <c r="T10" s="170">
        <f>+SUMIF('BS-Details'!$A:$A,T$7&amp;" - "&amp;$C10,'BS-Details'!$J:$J)</f>
        <v>0</v>
      </c>
      <c r="U10" s="170">
        <f>+SUMIF('BS-Details'!$A:$A,U$7&amp;" - "&amp;$C10,'BS-Details'!$J:$J)</f>
        <v>0</v>
      </c>
      <c r="V10" s="169">
        <f t="shared" si="6"/>
        <v>0</v>
      </c>
      <c r="W10" s="170">
        <f>+SUMIF('BS-Details'!$A:$A,W$7&amp;" - "&amp;$C10,'BS-Details'!$J:$J)</f>
        <v>0</v>
      </c>
      <c r="X10" s="170">
        <f>+SUMIF('BS-Details'!$A:$A,X$7&amp;" - "&amp;$C10,'BS-Details'!$J:$J)</f>
        <v>-802573.41</v>
      </c>
      <c r="Y10" s="178">
        <f t="shared" si="7"/>
        <v>-802573.41</v>
      </c>
      <c r="Z10" s="170">
        <f>+SUMIF('BS-Details'!$A:$A,Z$7&amp;" - "&amp;$C10,'BS-Details'!$J:$J)</f>
        <v>0</v>
      </c>
      <c r="AA10" s="170">
        <f>+SUMIF('BS-Details'!$A:$A,AA$7&amp;" - "&amp;$C10,'BS-Details'!$J:$J)</f>
        <v>0</v>
      </c>
      <c r="AB10" s="178">
        <f t="shared" si="8"/>
        <v>0</v>
      </c>
      <c r="AC10" s="170">
        <f>+SUMIF('BS-Details'!$A:$A,AC$7&amp;" - "&amp;$C10,'BS-Details'!$J:$J)</f>
        <v>0</v>
      </c>
      <c r="AD10" s="170">
        <f>+SUMIF('BS-Details'!$A:$A,AD$7&amp;" - "&amp;$C10,'BS-Details'!$J:$J)</f>
        <v>0</v>
      </c>
      <c r="AE10" s="170">
        <f>+SUMIF('BS-Details'!$A:$A,AE$7&amp;" - "&amp;$C10,'BS-Details'!$J:$J)</f>
        <v>0</v>
      </c>
      <c r="AF10" s="170">
        <f>+SUMIF('BS-Details'!$A:$A,AF$7&amp;" - "&amp;$C10,'BS-Details'!$J:$J)</f>
        <v>0</v>
      </c>
      <c r="AG10" s="170">
        <f>+SUMIF('BS-Details'!$A:$A,AG$7&amp;" - "&amp;$C10,'BS-Details'!$J:$J)</f>
        <v>0</v>
      </c>
      <c r="AH10" s="170">
        <f>+SUMIF('BS-Details'!$A:$A,AH$7&amp;" - "&amp;$C10,'BS-Details'!$J:$J)</f>
        <v>0</v>
      </c>
      <c r="AI10" s="170">
        <f>+SUMIF('BS-Details'!$A:$A,AI$7&amp;" - "&amp;$C10,'BS-Details'!$J:$J)</f>
        <v>0</v>
      </c>
      <c r="AJ10" s="170">
        <f>+SUMIF('BS-Details'!$A:$A,AJ$7&amp;" - "&amp;$C10,'BS-Details'!$J:$J)</f>
        <v>0</v>
      </c>
      <c r="AK10" s="170">
        <f>+SUMIF('BS-Details'!$A:$A,AK$7&amp;" - "&amp;$C10,'BS-Details'!$J:$J)</f>
        <v>0</v>
      </c>
      <c r="AL10" s="178">
        <f t="shared" si="9"/>
        <v>0</v>
      </c>
      <c r="AM10" s="170">
        <f>+SUMIF('BS-Details'!$A:$A,AM$7&amp;" - "&amp;$C10,'BS-Details'!$J:$J)</f>
        <v>0</v>
      </c>
      <c r="AN10" s="170">
        <f>+SUMIF('BS-Details'!$A:$A,AN$7&amp;" - "&amp;$C10,'BS-Details'!$J:$J)</f>
        <v>0</v>
      </c>
      <c r="AO10" s="170">
        <f>+SUMIF('BS-Details'!$A:$A,AO$7&amp;" - "&amp;$C10,'BS-Details'!$J:$J)</f>
        <v>0</v>
      </c>
      <c r="AP10" s="170">
        <f>+SUMIF('BS-Details'!$A:$A,AP$7&amp;" - "&amp;$C10,'BS-Details'!$J:$J)</f>
        <v>0</v>
      </c>
      <c r="AQ10" s="170">
        <f>+SUMIF('BS-Details'!$A:$A,AQ$7&amp;" - "&amp;$C10,'BS-Details'!$J:$J)</f>
        <v>0</v>
      </c>
      <c r="AR10" s="170">
        <f>+SUMIF('BS-Details'!$A:$A,AR$7&amp;" - "&amp;$C10,'BS-Details'!$J:$J)</f>
        <v>0</v>
      </c>
      <c r="AS10" s="170">
        <f>+SUMIF('BS-Details'!$A:$A,AS$7&amp;" - "&amp;$C10,'BS-Details'!$J:$J)</f>
        <v>0</v>
      </c>
      <c r="AT10" s="170">
        <f>+SUMIF('BS-Details'!$A:$A,AT$7&amp;" - "&amp;$C10,'BS-Details'!$J:$J)</f>
        <v>0</v>
      </c>
      <c r="AU10" s="170">
        <f>+SUMIF('BS-Details'!$A:$A,AU$7&amp;" - "&amp;$C10,'BS-Details'!$J:$J)</f>
        <v>0</v>
      </c>
      <c r="AV10" s="170">
        <f>+SUMIF('BS-Details'!$A:$A,AV$7&amp;" - "&amp;$C10,'BS-Details'!$J:$J)</f>
        <v>0</v>
      </c>
      <c r="AW10" s="170">
        <f>+SUMIF('BS-Details'!$A:$A,AW$7&amp;" - "&amp;$C10,'BS-Details'!$J:$J)</f>
        <v>0</v>
      </c>
      <c r="AX10" s="170">
        <f>+SUMIF('BS-Details'!$A:$A,AX$7&amp;" - "&amp;$C10,'BS-Details'!$J:$J)</f>
        <v>0</v>
      </c>
      <c r="AY10" s="170">
        <f>+SUMIF('BS-Details'!$A:$A,AY$7&amp;" - "&amp;$C10,'BS-Details'!$J:$J)</f>
        <v>0</v>
      </c>
      <c r="AZ10" s="170">
        <f>+SUMIF('BS-Details'!$A:$A,AZ$7&amp;" - "&amp;$C10,'BS-Details'!$J:$J)</f>
        <v>0</v>
      </c>
      <c r="BA10" s="170">
        <f>+SUMIF('BS-Details'!$A:$A,BA$7&amp;" - "&amp;$C10,'BS-Details'!$J:$J)</f>
        <v>0</v>
      </c>
      <c r="BB10" s="170">
        <f>+SUMIF('BS-Details'!$A:$A,BB$7&amp;" - "&amp;$C10,'BS-Details'!$J:$J)</f>
        <v>0</v>
      </c>
      <c r="BC10" s="170">
        <f>+SUMIF('BS-Details'!$A:$A,BC$7&amp;" - "&amp;$C10,'BS-Details'!$J:$J)</f>
        <v>0</v>
      </c>
      <c r="BD10" s="170">
        <f>+SUMIF('BS-Details'!$A:$A,BD$7&amp;" - "&amp;$C10,'BS-Details'!$J:$J)</f>
        <v>0</v>
      </c>
      <c r="BE10" s="170">
        <f>+SUMIF('BS-Details'!$A:$A,BE$7&amp;" - "&amp;$C10,'BS-Details'!$J:$J)</f>
        <v>0</v>
      </c>
      <c r="BF10" s="170">
        <f>+SUMIF('BS-Details'!$A:$A,BF$7&amp;" - "&amp;$C10,'BS-Details'!$J:$J)</f>
        <v>0</v>
      </c>
      <c r="BG10" s="170">
        <f>+SUMIF('BS-Details'!$A:$A,BG$7&amp;" - "&amp;$C10,'BS-Details'!$J:$J)</f>
        <v>0</v>
      </c>
      <c r="BH10" s="170">
        <f>+SUMIF('BS-Details'!$A:$A,BH$7&amp;" - "&amp;$C10,'BS-Details'!$J:$J)</f>
        <v>0</v>
      </c>
      <c r="BI10" s="170">
        <f>+SUMIF('BS-Details'!$A:$A,BI$7&amp;" - "&amp;$C10,'BS-Details'!$J:$J)</f>
        <v>0</v>
      </c>
      <c r="BJ10" s="170">
        <f>+SUMIF('BS-Details'!$A:$A,BJ$7&amp;" - "&amp;$C10,'BS-Details'!$J:$J)</f>
        <v>0</v>
      </c>
      <c r="BK10" s="170">
        <f>+SUMIF('BS-Details'!$A:$A,BK$7&amp;" - "&amp;$C10,'BS-Details'!$J:$J)</f>
        <v>0</v>
      </c>
      <c r="BL10" s="170">
        <f>+SUMIF('BS-Details'!$A:$A,BL$7&amp;" - "&amp;$C10,'BS-Details'!$J:$J)</f>
        <v>0</v>
      </c>
      <c r="BM10" s="170">
        <f>+SUMIF('BS-Details'!$A:$A,BM$7&amp;" - "&amp;$C10,'BS-Details'!$J:$J)</f>
        <v>0</v>
      </c>
      <c r="BN10" s="170">
        <f>+SUMIF('BS-Details'!$A:$A,BN$7&amp;" - "&amp;$C10,'BS-Details'!$J:$J)</f>
        <v>0</v>
      </c>
      <c r="BO10" s="170">
        <f>+SUMIF('BS-Details'!$A:$A,BO$7&amp;" - "&amp;$C10,'BS-Details'!$J:$J)</f>
        <v>0</v>
      </c>
      <c r="BP10" s="170">
        <f>+SUMIF('BS-Details'!$A:$A,BP$7&amp;" - "&amp;$C10,'BS-Details'!$J:$J)</f>
        <v>0</v>
      </c>
      <c r="BQ10" s="170">
        <f>+SUMIF('BS-Details'!$A:$A,BQ$7&amp;" - "&amp;$C10,'BS-Details'!$J:$J)</f>
        <v>0</v>
      </c>
      <c r="BR10" s="170">
        <f>+SUMIF('BS-Details'!$A:$A,BR$7&amp;" - "&amp;$C10,'BS-Details'!$J:$J)</f>
        <v>0</v>
      </c>
      <c r="BS10" s="170">
        <f>+SUMIF('BS-Details'!$A:$A,BS$7&amp;" - "&amp;$C10,'BS-Details'!$J:$J)</f>
        <v>0</v>
      </c>
      <c r="BT10" s="170">
        <f>+SUMIF('BS-Details'!$A:$A,BT$7&amp;" - "&amp;$C10,'BS-Details'!$J:$J)</f>
        <v>0</v>
      </c>
      <c r="BU10" s="170">
        <f>+SUMIF('BS-Details'!$A:$A,BU$7&amp;" - "&amp;$C10,'BS-Details'!$J:$J)</f>
        <v>0</v>
      </c>
      <c r="BV10" s="170">
        <f>+SUMIF('BS-Details'!$A:$A,BV$7&amp;" - "&amp;$C10,'BS-Details'!$J:$J)</f>
        <v>0</v>
      </c>
      <c r="BW10" s="170">
        <f>+SUMIF('BS-Details'!$A:$A,BW$7&amp;" - "&amp;$C10,'BS-Details'!$J:$J)</f>
        <v>0</v>
      </c>
      <c r="BX10" s="170">
        <f>+SUMIF('BS-Details'!$A:$A,BX$7&amp;" - "&amp;$C10,'BS-Details'!$J:$J)</f>
        <v>0</v>
      </c>
      <c r="BY10" s="170">
        <f>+SUMIF('BS-Details'!$A:$A,BY$7&amp;" - "&amp;$C10,'BS-Details'!$J:$J)</f>
        <v>0</v>
      </c>
      <c r="BZ10" s="170">
        <f>+SUMIF('BS-Details'!$A:$A,BZ$7&amp;" - "&amp;$C10,'BS-Details'!$J:$J)</f>
        <v>0</v>
      </c>
      <c r="CA10" s="170">
        <f>+SUMIF('BS-Details'!$A:$A,CA$7&amp;" - "&amp;$C10,'BS-Details'!$J:$J)</f>
        <v>0</v>
      </c>
      <c r="CB10" s="170">
        <f>+SUMIF('BS-Details'!$A:$A,CB$7&amp;" - "&amp;$C10,'BS-Details'!$J:$J)</f>
        <v>0</v>
      </c>
      <c r="CC10" s="170">
        <f>+SUMIF('BS-Details'!$A:$A,CC$7&amp;" - "&amp;$C10,'BS-Details'!$J:$J)</f>
        <v>0</v>
      </c>
      <c r="CD10" s="170">
        <f>+SUMIF('BS-Details'!$A:$A,CD$7&amp;" - "&amp;$C10,'BS-Details'!$J:$J)</f>
        <v>0</v>
      </c>
      <c r="CE10" s="170">
        <f>+SUMIF('BS-Details'!$A:$A,CE$7&amp;" - "&amp;$C10,'BS-Details'!$J:$J)</f>
        <v>0</v>
      </c>
      <c r="CF10" s="170">
        <f>+SUMIF('BS-Details'!$A:$A,CF$7&amp;" - "&amp;$C10,'BS-Details'!$J:$J)</f>
        <v>0</v>
      </c>
      <c r="CG10" s="170">
        <f>+SUMIF('BS-Details'!$A:$A,CG$7&amp;" - "&amp;$C10,'BS-Details'!$J:$J)</f>
        <v>0</v>
      </c>
      <c r="CH10" s="170">
        <f>+SUMIF('BS-Details'!$A:$A,CH$7&amp;" - "&amp;$C10,'BS-Details'!$J:$J)</f>
        <v>0</v>
      </c>
      <c r="CI10" s="170">
        <f>+SUMIF('BS-Details'!$A:$A,CI$7&amp;" - "&amp;$C10,'BS-Details'!$J:$J)</f>
        <v>0</v>
      </c>
      <c r="CJ10" s="170">
        <f>+SUMIF('BS-Details'!$A:$A,CJ$7&amp;" - "&amp;$C10,'BS-Details'!$J:$J)</f>
        <v>0</v>
      </c>
      <c r="CK10" s="170">
        <f>+SUMIF('BS-Details'!$A:$A,CK$7&amp;" - "&amp;$C10,'BS-Details'!$J:$J)</f>
        <v>0</v>
      </c>
      <c r="CL10" s="170">
        <f>+SUMIF('BS-Details'!$A:$A,CL$7&amp;" - "&amp;$C10,'BS-Details'!$J:$J)</f>
        <v>0</v>
      </c>
      <c r="CM10" s="170">
        <f>+SUMIF('BS-Details'!$A:$A,CM$7&amp;" - "&amp;$C10,'BS-Details'!$J:$J)</f>
        <v>0</v>
      </c>
      <c r="CN10" s="170">
        <f>+SUMIF('BS-Details'!$A:$A,CN$7&amp;" - "&amp;$C10,'BS-Details'!$J:$J)</f>
        <v>0</v>
      </c>
      <c r="CO10" s="170">
        <f>+SUMIF('BS-Details'!$A:$A,CO$7&amp;" - "&amp;$C10,'BS-Details'!$J:$J)</f>
        <v>0</v>
      </c>
      <c r="CP10" s="170"/>
      <c r="CQ10" s="178">
        <f t="shared" si="10"/>
        <v>0</v>
      </c>
      <c r="CR10" s="178">
        <f t="shared" si="11"/>
        <v>0</v>
      </c>
      <c r="CS10" s="178">
        <f t="shared" si="12"/>
        <v>0</v>
      </c>
      <c r="CT10" s="185">
        <f>+SUMIF('BS-Details'!$A:$A,CT$7&amp;" - "&amp;$C10,'BS-Details'!$J:$J)</f>
        <v>0</v>
      </c>
      <c r="CU10" s="170">
        <f>+SUMIF('BS-Details'!$A:$A,CU$7&amp;" - "&amp;$C10,'BS-Details'!$J:$J)</f>
        <v>0</v>
      </c>
      <c r="CV10" s="170">
        <f>+SUMIF('BS-Details'!$A:$A,CV$7&amp;" - "&amp;$C10,'BS-Details'!$J:$J)</f>
        <v>0</v>
      </c>
      <c r="CW10" s="189">
        <f>+SUMIF('BS-Details'!$A:$A,CW$7&amp;" - "&amp;$C10,'BS-Details'!$J:$J)</f>
        <v>0</v>
      </c>
      <c r="CX10" s="189">
        <f>+SUMIF('BS-Details'!$A:$A,CX$7&amp;" - "&amp;$C10,'BS-Details'!$J:$J)</f>
        <v>0</v>
      </c>
      <c r="CY10" s="189">
        <f t="shared" si="13"/>
        <v>0</v>
      </c>
      <c r="CZ10" s="178">
        <f>+SUMIF('BS-Details'!$A:$A,CZ$7&amp;" - "&amp;$C10,'BS-Details'!$J:$J)</f>
        <v>0</v>
      </c>
      <c r="DA10" s="178">
        <f>+SUMIF('BS-Details'!$A:$A,DA$7&amp;" - "&amp;$C10,'BS-Details'!$J:$J)</f>
        <v>0</v>
      </c>
      <c r="DB10" s="193"/>
    </row>
    <row r="11" spans="1:106" ht="15.75" customHeight="true">
      <c r="A11" s="161">
        <v>4</v>
      </c>
      <c r="B11" s="161" t="s">
        <v>13868</v>
      </c>
      <c r="C11" s="163" t="s">
        <v>13869</v>
      </c>
      <c r="D11" s="163" t="s">
        <v>13869</v>
      </c>
      <c r="E11" s="169">
        <f t="shared" si="2"/>
        <v>-278729.27</v>
      </c>
      <c r="F11" s="169">
        <f t="shared" si="3"/>
        <v>-278729.27</v>
      </c>
      <c r="G11" s="170">
        <f>+SUMIF('BS-Details'!$A:$A,G$7&amp;" - "&amp;$C11,'BS-Details'!$J:$J)</f>
        <v>-333378.64</v>
      </c>
      <c r="H11" s="170">
        <f>+SUMIF('BS-Details'!$A:$A,H$7&amp;" - "&amp;$C11,'BS-Details'!$J:$J)</f>
        <v>50268.28</v>
      </c>
      <c r="I11" s="170">
        <f>+SUMIF('BS-Details'!$A:$A,I$7&amp;" - "&amp;$C11,'BS-Details'!$J:$J)</f>
        <v>264947.53</v>
      </c>
      <c r="J11" s="170">
        <f>+SUMIF('BS-Details'!$A:$A,J$7&amp;" - "&amp;$C11,'BS-Details'!$J:$J)</f>
        <v>59458.47</v>
      </c>
      <c r="K11" s="170">
        <f>+SUMIF('BS-Details'!$A:$A,K$7&amp;" - "&amp;$C11,'BS-Details'!$J:$J)</f>
        <v>-1132</v>
      </c>
      <c r="L11" s="178">
        <f t="shared" si="4"/>
        <v>40163.64</v>
      </c>
      <c r="M11" s="170">
        <f>+SUMIF('BS-Details'!$A:$A,M$7&amp;" - "&amp;$C11,'BS-Details'!$J:$J)</f>
        <v>-220356.94</v>
      </c>
      <c r="N11" s="170">
        <f>+SUMIF('BS-Details'!$A:$A,N$7&amp;" - "&amp;$C11,'BS-Details'!$J:$J)</f>
        <v>120014.86</v>
      </c>
      <c r="O11" s="178">
        <f t="shared" si="5"/>
        <v>-100342.08</v>
      </c>
      <c r="P11" s="170">
        <f>+SUMIF('BS-Details'!$A:$A,P$7&amp;" - "&amp;$C11,'BS-Details'!$J:$J)</f>
        <v>4318.54</v>
      </c>
      <c r="Q11" s="170">
        <f>+SUMIF('BS-Details'!$A:$A,Q$7&amp;" - "&amp;$C11,'BS-Details'!$J:$J)</f>
        <v>2059.28</v>
      </c>
      <c r="R11" s="170">
        <f>+SUMIF('BS-Details'!$A:$A,R$7&amp;" - "&amp;$C11,'BS-Details'!$J:$J)</f>
        <v>1090.17</v>
      </c>
      <c r="S11" s="170">
        <f>+SUMIF('BS-Details'!$A:$A,S$7&amp;" - "&amp;$C11,'BS-Details'!$J:$J)</f>
        <v>740.71</v>
      </c>
      <c r="T11" s="170">
        <f>+SUMIF('BS-Details'!$A:$A,T$7&amp;" - "&amp;$C11,'BS-Details'!$J:$J)</f>
        <v>586.54</v>
      </c>
      <c r="U11" s="170">
        <f>+SUMIF('BS-Details'!$A:$A,U$7&amp;" - "&amp;$C11,'BS-Details'!$J:$J)</f>
        <v>0</v>
      </c>
      <c r="V11" s="169">
        <f t="shared" si="6"/>
        <v>8795.24</v>
      </c>
      <c r="W11" s="170">
        <f>+SUMIF('BS-Details'!$A:$A,W$7&amp;" - "&amp;$C11,'BS-Details'!$J:$J)</f>
        <v>1168.71</v>
      </c>
      <c r="X11" s="170">
        <f>+SUMIF('BS-Details'!$A:$A,X$7&amp;" - "&amp;$C11,'BS-Details'!$J:$J)</f>
        <v>0</v>
      </c>
      <c r="Y11" s="178">
        <f t="shared" si="7"/>
        <v>9963.95</v>
      </c>
      <c r="Z11" s="170">
        <f>+SUMIF('BS-Details'!$A:$A,Z$7&amp;" - "&amp;$C11,'BS-Details'!$J:$J)</f>
        <v>74959.82</v>
      </c>
      <c r="AA11" s="170">
        <f>+SUMIF('BS-Details'!$A:$A,AA$7&amp;" - "&amp;$C11,'BS-Details'!$J:$J)</f>
        <v>19900.16</v>
      </c>
      <c r="AB11" s="178">
        <f t="shared" si="8"/>
        <v>94859.98</v>
      </c>
      <c r="AC11" s="170">
        <f>+SUMIF('BS-Details'!$A:$A,AC$7&amp;" - "&amp;$C11,'BS-Details'!$J:$J)</f>
        <v>0</v>
      </c>
      <c r="AD11" s="170">
        <f>+SUMIF('BS-Details'!$A:$A,AD$7&amp;" - "&amp;$C11,'BS-Details'!$J:$J)</f>
        <v>0</v>
      </c>
      <c r="AE11" s="170">
        <f>+SUMIF('BS-Details'!$A:$A,AE$7&amp;" - "&amp;$C11,'BS-Details'!$J:$J)</f>
        <v>-87340.17</v>
      </c>
      <c r="AF11" s="170">
        <f>+SUMIF('BS-Details'!$A:$A,AF$7&amp;" - "&amp;$C11,'BS-Details'!$J:$J)</f>
        <v>-673.34</v>
      </c>
      <c r="AG11" s="170">
        <f>+SUMIF('BS-Details'!$A:$A,AG$7&amp;" - "&amp;$C11,'BS-Details'!$J:$J)</f>
        <v>-191.33</v>
      </c>
      <c r="AH11" s="170">
        <f>+SUMIF('BS-Details'!$A:$A,AH$7&amp;" - "&amp;$C11,'BS-Details'!$J:$J)</f>
        <v>-4445.79</v>
      </c>
      <c r="AI11" s="170">
        <f>+SUMIF('BS-Details'!$A:$A,AI$7&amp;" - "&amp;$C11,'BS-Details'!$J:$J)</f>
        <v>-2146.52</v>
      </c>
      <c r="AJ11" s="170">
        <f>+SUMIF('BS-Details'!$A:$A,AJ$7&amp;" - "&amp;$C11,'BS-Details'!$J:$J)</f>
        <v>-5471.16</v>
      </c>
      <c r="AK11" s="170">
        <f>+SUMIF('BS-Details'!$A:$A,AK$7&amp;" - "&amp;$C11,'BS-Details'!$J:$J)</f>
        <v>100981.17</v>
      </c>
      <c r="AL11" s="178">
        <f t="shared" si="9"/>
        <v>88053.0299999999</v>
      </c>
      <c r="AM11" s="170">
        <f>+SUMIF('BS-Details'!$A:$A,AM$7&amp;" - "&amp;$C11,'BS-Details'!$J:$J)</f>
        <v>0</v>
      </c>
      <c r="AN11" s="170">
        <f>+SUMIF('BS-Details'!$A:$A,AN$7&amp;" - "&amp;$C11,'BS-Details'!$J:$J)</f>
        <v>-1649.18</v>
      </c>
      <c r="AO11" s="170">
        <f>+SUMIF('BS-Details'!$A:$A,AO$7&amp;" - "&amp;$C11,'BS-Details'!$J:$J)</f>
        <v>929.18</v>
      </c>
      <c r="AP11" s="170">
        <f>+SUMIF('BS-Details'!$A:$A,AP$7&amp;" - "&amp;$C11,'BS-Details'!$J:$J)</f>
        <v>0</v>
      </c>
      <c r="AQ11" s="170">
        <f>+SUMIF('BS-Details'!$A:$A,AQ$7&amp;" - "&amp;$C11,'BS-Details'!$J:$J)</f>
        <v>2426.66</v>
      </c>
      <c r="AR11" s="170">
        <f>+SUMIF('BS-Details'!$A:$A,AR$7&amp;" - "&amp;$C11,'BS-Details'!$J:$J)</f>
        <v>0</v>
      </c>
      <c r="AS11" s="170">
        <f>+SUMIF('BS-Details'!$A:$A,AS$7&amp;" - "&amp;$C11,'BS-Details'!$J:$J)</f>
        <v>-3920.78</v>
      </c>
      <c r="AT11" s="170">
        <f>+SUMIF('BS-Details'!$A:$A,AT$7&amp;" - "&amp;$C11,'BS-Details'!$J:$J)</f>
        <v>-1908.34</v>
      </c>
      <c r="AU11" s="170">
        <f>+SUMIF('BS-Details'!$A:$A,AU$7&amp;" - "&amp;$C11,'BS-Details'!$J:$J)</f>
        <v>285.42</v>
      </c>
      <c r="AV11" s="170">
        <f>+SUMIF('BS-Details'!$A:$A,AV$7&amp;" - "&amp;$C11,'BS-Details'!$J:$J)</f>
        <v>-5546.1</v>
      </c>
      <c r="AW11" s="170">
        <f>+SUMIF('BS-Details'!$A:$A,AW$7&amp;" - "&amp;$C11,'BS-Details'!$J:$J)</f>
        <v>0</v>
      </c>
      <c r="AX11" s="170">
        <f>+SUMIF('BS-Details'!$A:$A,AX$7&amp;" - "&amp;$C11,'BS-Details'!$J:$J)</f>
        <v>0</v>
      </c>
      <c r="AY11" s="170">
        <f>+SUMIF('BS-Details'!$A:$A,AY$7&amp;" - "&amp;$C11,'BS-Details'!$J:$J)</f>
        <v>0</v>
      </c>
      <c r="AZ11" s="170">
        <f>+SUMIF('BS-Details'!$A:$A,AZ$7&amp;" - "&amp;$C11,'BS-Details'!$J:$J)</f>
        <v>-3448.57</v>
      </c>
      <c r="BA11" s="170">
        <f>+SUMIF('BS-Details'!$A:$A,BA$7&amp;" - "&amp;$C11,'BS-Details'!$J:$J)</f>
        <v>-2474.37</v>
      </c>
      <c r="BB11" s="170">
        <f>+SUMIF('BS-Details'!$A:$A,BB$7&amp;" - "&amp;$C11,'BS-Details'!$J:$J)</f>
        <v>0</v>
      </c>
      <c r="BC11" s="170">
        <f>+SUMIF('BS-Details'!$A:$A,BC$7&amp;" - "&amp;$C11,'BS-Details'!$J:$J)</f>
        <v>-7726.72</v>
      </c>
      <c r="BD11" s="170">
        <f>+SUMIF('BS-Details'!$A:$A,BD$7&amp;" - "&amp;$C11,'BS-Details'!$J:$J)</f>
        <v>-1730.93</v>
      </c>
      <c r="BE11" s="170">
        <f>+SUMIF('BS-Details'!$A:$A,BE$7&amp;" - "&amp;$C11,'BS-Details'!$J:$J)</f>
        <v>-2199.49</v>
      </c>
      <c r="BF11" s="170">
        <f>+SUMIF('BS-Details'!$A:$A,BF$7&amp;" - "&amp;$C11,'BS-Details'!$J:$J)</f>
        <v>-2170.02</v>
      </c>
      <c r="BG11" s="170">
        <f>+SUMIF('BS-Details'!$A:$A,BG$7&amp;" - "&amp;$C11,'BS-Details'!$J:$J)</f>
        <v>-2662.47</v>
      </c>
      <c r="BH11" s="170">
        <f>+SUMIF('BS-Details'!$A:$A,BH$7&amp;" - "&amp;$C11,'BS-Details'!$J:$J)</f>
        <v>0</v>
      </c>
      <c r="BI11" s="170">
        <f>+SUMIF('BS-Details'!$A:$A,BI$7&amp;" - "&amp;$C11,'BS-Details'!$J:$J)</f>
        <v>-1986.24</v>
      </c>
      <c r="BJ11" s="170">
        <f>+SUMIF('BS-Details'!$A:$A,BJ$7&amp;" - "&amp;$C11,'BS-Details'!$J:$J)</f>
        <v>0</v>
      </c>
      <c r="BK11" s="170">
        <f>+SUMIF('BS-Details'!$A:$A,BK$7&amp;" - "&amp;$C11,'BS-Details'!$J:$J)</f>
        <v>-823.96</v>
      </c>
      <c r="BL11" s="170">
        <f>+SUMIF('BS-Details'!$A:$A,BL$7&amp;" - "&amp;$C11,'BS-Details'!$J:$J)</f>
        <v>-835.66</v>
      </c>
      <c r="BM11" s="170">
        <f>+SUMIF('BS-Details'!$A:$A,BM$7&amp;" - "&amp;$C11,'BS-Details'!$J:$J)</f>
        <v>-684.66</v>
      </c>
      <c r="BN11" s="170">
        <f>+SUMIF('BS-Details'!$A:$A,BN$7&amp;" - "&amp;$C11,'BS-Details'!$J:$J)</f>
        <v>-858.39</v>
      </c>
      <c r="BO11" s="170">
        <f>+SUMIF('BS-Details'!$A:$A,BO$7&amp;" - "&amp;$C11,'BS-Details'!$J:$J)</f>
        <v>0</v>
      </c>
      <c r="BP11" s="170">
        <f>+SUMIF('BS-Details'!$A:$A,BP$7&amp;" - "&amp;$C11,'BS-Details'!$J:$J)</f>
        <v>-4951.21</v>
      </c>
      <c r="BQ11" s="170">
        <f>+SUMIF('BS-Details'!$A:$A,BQ$7&amp;" - "&amp;$C11,'BS-Details'!$J:$J)</f>
        <v>-4381.33</v>
      </c>
      <c r="BR11" s="170">
        <f>+SUMIF('BS-Details'!$A:$A,BR$7&amp;" - "&amp;$C11,'BS-Details'!$J:$J)</f>
        <v>-163483.68</v>
      </c>
      <c r="BS11" s="170">
        <f>+SUMIF('BS-Details'!$A:$A,BS$7&amp;" - "&amp;$C11,'BS-Details'!$J:$J)</f>
        <v>362.76</v>
      </c>
      <c r="BT11" s="170">
        <f>+SUMIF('BS-Details'!$A:$A,BT$7&amp;" - "&amp;$C11,'BS-Details'!$J:$J)</f>
        <v>0</v>
      </c>
      <c r="BU11" s="170">
        <f>+SUMIF('BS-Details'!$A:$A,BU$7&amp;" - "&amp;$C11,'BS-Details'!$J:$J)</f>
        <v>0</v>
      </c>
      <c r="BV11" s="170">
        <f>+SUMIF('BS-Details'!$A:$A,BV$7&amp;" - "&amp;$C11,'BS-Details'!$J:$J)</f>
        <v>0</v>
      </c>
      <c r="BW11" s="170">
        <f>+SUMIF('BS-Details'!$A:$A,BW$7&amp;" - "&amp;$C11,'BS-Details'!$J:$J)</f>
        <v>51617.3</v>
      </c>
      <c r="BX11" s="170">
        <f>+SUMIF('BS-Details'!$A:$A,BX$7&amp;" - "&amp;$C11,'BS-Details'!$J:$J)</f>
        <v>-7081.81</v>
      </c>
      <c r="BY11" s="170">
        <f>+SUMIF('BS-Details'!$A:$A,BY$7&amp;" - "&amp;$C11,'BS-Details'!$J:$J)</f>
        <v>0</v>
      </c>
      <c r="BZ11" s="170">
        <f>+SUMIF('BS-Details'!$A:$A,BZ$7&amp;" - "&amp;$C11,'BS-Details'!$J:$J)</f>
        <v>-69909.7</v>
      </c>
      <c r="CA11" s="170">
        <f>+SUMIF('BS-Details'!$A:$A,CA$7&amp;" - "&amp;$C11,'BS-Details'!$J:$J)</f>
        <v>-1037.82</v>
      </c>
      <c r="CB11" s="170">
        <f>+SUMIF('BS-Details'!$A:$A,CB$7&amp;" - "&amp;$C11,'BS-Details'!$J:$J)</f>
        <v>-5097.19</v>
      </c>
      <c r="CC11" s="170">
        <f>+SUMIF('BS-Details'!$A:$A,CC$7&amp;" - "&amp;$C11,'BS-Details'!$J:$J)</f>
        <v>-5032.4</v>
      </c>
      <c r="CD11" s="170">
        <f>+SUMIF('BS-Details'!$A:$A,CD$7&amp;" - "&amp;$C11,'BS-Details'!$J:$J)</f>
        <v>-3709.43</v>
      </c>
      <c r="CE11" s="170">
        <f>+SUMIF('BS-Details'!$A:$A,CE$7&amp;" - "&amp;$C11,'BS-Details'!$J:$J)</f>
        <v>-15207.34</v>
      </c>
      <c r="CF11" s="170">
        <f>+SUMIF('BS-Details'!$A:$A,CF$7&amp;" - "&amp;$C11,'BS-Details'!$J:$J)</f>
        <v>0</v>
      </c>
      <c r="CG11" s="170">
        <f>+SUMIF('BS-Details'!$A:$A,CG$7&amp;" - "&amp;$C11,'BS-Details'!$J:$J)</f>
        <v>-32.4</v>
      </c>
      <c r="CH11" s="170">
        <f>+SUMIF('BS-Details'!$A:$A,CH$7&amp;" - "&amp;$C11,'BS-Details'!$J:$J)</f>
        <v>-10105.67</v>
      </c>
      <c r="CI11" s="170">
        <f>+SUMIF('BS-Details'!$A:$A,CI$7&amp;" - "&amp;$C11,'BS-Details'!$J:$J)</f>
        <v>-139.31</v>
      </c>
      <c r="CJ11" s="170">
        <f>+SUMIF('BS-Details'!$A:$A,CJ$7&amp;" - "&amp;$C11,'BS-Details'!$J:$J)</f>
        <v>-4170.69</v>
      </c>
      <c r="CK11" s="170">
        <f>+SUMIF('BS-Details'!$A:$A,CK$7&amp;" - "&amp;$C11,'BS-Details'!$J:$J)</f>
        <v>-32.4</v>
      </c>
      <c r="CL11" s="170">
        <f>+SUMIF('BS-Details'!$A:$A,CL$7&amp;" - "&amp;$C11,'BS-Details'!$J:$J)</f>
        <v>-100.43</v>
      </c>
      <c r="CM11" s="170">
        <f>+SUMIF('BS-Details'!$A:$A,CM$7&amp;" - "&amp;$C11,'BS-Details'!$J:$J)</f>
        <v>-14165.94</v>
      </c>
      <c r="CN11" s="170">
        <f>+SUMIF('BS-Details'!$A:$A,CN$7&amp;" - "&amp;$C11,'BS-Details'!$J:$J)</f>
        <v>-22313.07</v>
      </c>
      <c r="CO11" s="170">
        <f>+SUMIF('BS-Details'!$A:$A,CO$7&amp;" - "&amp;$C11,'BS-Details'!$J:$J)</f>
        <v>-8131.24</v>
      </c>
      <c r="CP11" s="170"/>
      <c r="CQ11" s="178">
        <f t="shared" si="10"/>
        <v>-324087.62</v>
      </c>
      <c r="CR11" s="178">
        <f t="shared" si="11"/>
        <v>-236034.59</v>
      </c>
      <c r="CS11" s="178">
        <f t="shared" si="12"/>
        <v>0</v>
      </c>
      <c r="CT11" s="185">
        <f>+SUMIF('BS-Details'!$A:$A,CT$7&amp;" - "&amp;$C11,'BS-Details'!$J:$J)</f>
        <v>0</v>
      </c>
      <c r="CU11" s="170">
        <f>+SUMIF('BS-Details'!$A:$A,CU$7&amp;" - "&amp;$C11,'BS-Details'!$J:$J)</f>
        <v>0</v>
      </c>
      <c r="CV11" s="170">
        <f>+SUMIF('BS-Details'!$A:$A,CV$7&amp;" - "&amp;$C11,'BS-Details'!$J:$J)</f>
        <v>0</v>
      </c>
      <c r="CW11" s="189">
        <f>+SUMIF('BS-Details'!$A:$A,CW$7&amp;" - "&amp;$C11,'BS-Details'!$J:$J)</f>
        <v>0</v>
      </c>
      <c r="CX11" s="189">
        <f>+SUMIF('BS-Details'!$A:$A,CX$7&amp;" - "&amp;$C11,'BS-Details'!$J:$J)</f>
        <v>0</v>
      </c>
      <c r="CY11" s="189">
        <f t="shared" si="13"/>
        <v>0</v>
      </c>
      <c r="CZ11" s="178">
        <f>+SUMIF('BS-Details'!$A:$A,CZ$7&amp;" - "&amp;$C11,'BS-Details'!$J:$J)</f>
        <v>0</v>
      </c>
      <c r="DA11" s="178">
        <f>+SUMIF('BS-Details'!$A:$A,DA$7&amp;" - "&amp;$C11,'BS-Details'!$J:$J)</f>
        <v>0</v>
      </c>
      <c r="DB11" s="193"/>
    </row>
    <row r="12" spans="1:106" ht="15.75" customHeight="true">
      <c r="A12" s="161">
        <v>5</v>
      </c>
      <c r="B12" s="161" t="s">
        <v>13870</v>
      </c>
      <c r="C12" s="163" t="s">
        <v>13871</v>
      </c>
      <c r="D12" s="163" t="s">
        <v>13871</v>
      </c>
      <c r="E12" s="169">
        <f t="shared" si="2"/>
        <v>-1906682.65</v>
      </c>
      <c r="F12" s="169">
        <f t="shared" si="3"/>
        <v>-1906682.65</v>
      </c>
      <c r="G12" s="170">
        <f>+SUMIF('BS-Details'!$A:$A,G$7&amp;" - "&amp;$C12,'BS-Details'!$J:$J)</f>
        <v>-106533.7</v>
      </c>
      <c r="H12" s="170">
        <f>+SUMIF('BS-Details'!$A:$A,H$7&amp;" - "&amp;$C12,'BS-Details'!$J:$J)</f>
        <v>-12061.43</v>
      </c>
      <c r="I12" s="170">
        <f>+SUMIF('BS-Details'!$A:$A,I$7&amp;" - "&amp;$C12,'BS-Details'!$J:$J)</f>
        <v>-4784.6</v>
      </c>
      <c r="J12" s="170">
        <f>+SUMIF('BS-Details'!$A:$A,J$7&amp;" - "&amp;$C12,'BS-Details'!$J:$J)</f>
        <v>-4886.4</v>
      </c>
      <c r="K12" s="170">
        <f>+SUMIF('BS-Details'!$A:$A,K$7&amp;" - "&amp;$C12,'BS-Details'!$J:$J)</f>
        <v>0</v>
      </c>
      <c r="L12" s="178">
        <f t="shared" si="4"/>
        <v>-128266.13</v>
      </c>
      <c r="M12" s="170">
        <f>+SUMIF('BS-Details'!$A:$A,M$7&amp;" - "&amp;$C12,'BS-Details'!$J:$J)</f>
        <v>-12572.3</v>
      </c>
      <c r="N12" s="170">
        <f>+SUMIF('BS-Details'!$A:$A,N$7&amp;" - "&amp;$C12,'BS-Details'!$J:$J)</f>
        <v>-11961.5</v>
      </c>
      <c r="O12" s="178">
        <f t="shared" si="5"/>
        <v>-24533.8</v>
      </c>
      <c r="P12" s="170">
        <f>+SUMIF('BS-Details'!$A:$A,P$7&amp;" - "&amp;$C12,'BS-Details'!$J:$J)</f>
        <v>0</v>
      </c>
      <c r="Q12" s="170">
        <f>+SUMIF('BS-Details'!$A:$A,Q$7&amp;" - "&amp;$C12,'BS-Details'!$J:$J)</f>
        <v>0</v>
      </c>
      <c r="R12" s="170">
        <f>+SUMIF('BS-Details'!$A:$A,R$7&amp;" - "&amp;$C12,'BS-Details'!$J:$J)</f>
        <v>0</v>
      </c>
      <c r="S12" s="170">
        <f>+SUMIF('BS-Details'!$A:$A,S$7&amp;" - "&amp;$C12,'BS-Details'!$J:$J)</f>
        <v>0</v>
      </c>
      <c r="T12" s="170">
        <f>+SUMIF('BS-Details'!$A:$A,T$7&amp;" - "&amp;$C12,'BS-Details'!$J:$J)</f>
        <v>0</v>
      </c>
      <c r="U12" s="170">
        <f>+SUMIF('BS-Details'!$A:$A,U$7&amp;" - "&amp;$C12,'BS-Details'!$J:$J)</f>
        <v>0</v>
      </c>
      <c r="V12" s="169">
        <f t="shared" si="6"/>
        <v>0</v>
      </c>
      <c r="W12" s="170">
        <f>+SUMIF('BS-Details'!$A:$A,W$7&amp;" - "&amp;$C12,'BS-Details'!$J:$J)</f>
        <v>0</v>
      </c>
      <c r="X12" s="170">
        <f>+SUMIF('BS-Details'!$A:$A,X$7&amp;" - "&amp;$C12,'BS-Details'!$J:$J)</f>
        <v>-800000</v>
      </c>
      <c r="Y12" s="178">
        <f t="shared" si="7"/>
        <v>-800000</v>
      </c>
      <c r="Z12" s="170">
        <f>+SUMIF('BS-Details'!$A:$A,Z$7&amp;" - "&amp;$C12,'BS-Details'!$J:$J)</f>
        <v>0</v>
      </c>
      <c r="AA12" s="170">
        <f>+SUMIF('BS-Details'!$A:$A,AA$7&amp;" - "&amp;$C12,'BS-Details'!$J:$J)</f>
        <v>0</v>
      </c>
      <c r="AB12" s="178">
        <f t="shared" si="8"/>
        <v>0</v>
      </c>
      <c r="AC12" s="170">
        <f>+SUMIF('BS-Details'!$A:$A,AC$7&amp;" - "&amp;$C12,'BS-Details'!$J:$J)</f>
        <v>0</v>
      </c>
      <c r="AD12" s="170">
        <f>+SUMIF('BS-Details'!$A:$A,AD$7&amp;" - "&amp;$C12,'BS-Details'!$J:$J)</f>
        <v>0</v>
      </c>
      <c r="AE12" s="170">
        <f>+SUMIF('BS-Details'!$A:$A,AE$7&amp;" - "&amp;$C12,'BS-Details'!$J:$J)</f>
        <v>0</v>
      </c>
      <c r="AF12" s="170">
        <f>+SUMIF('BS-Details'!$A:$A,AF$7&amp;" - "&amp;$C12,'BS-Details'!$J:$J)</f>
        <v>0</v>
      </c>
      <c r="AG12" s="170">
        <f>+SUMIF('BS-Details'!$A:$A,AG$7&amp;" - "&amp;$C12,'BS-Details'!$J:$J)</f>
        <v>0</v>
      </c>
      <c r="AH12" s="170">
        <f>+SUMIF('BS-Details'!$A:$A,AH$7&amp;" - "&amp;$C12,'BS-Details'!$J:$J)</f>
        <v>0</v>
      </c>
      <c r="AI12" s="170">
        <f>+SUMIF('BS-Details'!$A:$A,AI$7&amp;" - "&amp;$C12,'BS-Details'!$J:$J)</f>
        <v>0</v>
      </c>
      <c r="AJ12" s="170">
        <f>+SUMIF('BS-Details'!$A:$A,AJ$7&amp;" - "&amp;$C12,'BS-Details'!$J:$J)</f>
        <v>0</v>
      </c>
      <c r="AK12" s="170">
        <f>+SUMIF('BS-Details'!$A:$A,AK$7&amp;" - "&amp;$C12,'BS-Details'!$J:$J)</f>
        <v>0</v>
      </c>
      <c r="AL12" s="178">
        <f t="shared" si="9"/>
        <v>0</v>
      </c>
      <c r="AM12" s="170">
        <f>+SUMIF('BS-Details'!$A:$A,AM$7&amp;" - "&amp;$C12,'BS-Details'!$J:$J)</f>
        <v>0</v>
      </c>
      <c r="AN12" s="170">
        <f>+SUMIF('BS-Details'!$A:$A,AN$7&amp;" - "&amp;$C12,'BS-Details'!$J:$J)</f>
        <v>55036.23</v>
      </c>
      <c r="AO12" s="170">
        <f>+SUMIF('BS-Details'!$A:$A,AO$7&amp;" - "&amp;$C12,'BS-Details'!$J:$J)</f>
        <v>-384656.97</v>
      </c>
      <c r="AP12" s="170">
        <f>+SUMIF('BS-Details'!$A:$A,AP$7&amp;" - "&amp;$C12,'BS-Details'!$J:$J)</f>
        <v>0</v>
      </c>
      <c r="AQ12" s="170">
        <f>+SUMIF('BS-Details'!$A:$A,AQ$7&amp;" - "&amp;$C12,'BS-Details'!$J:$J)</f>
        <v>74078.97</v>
      </c>
      <c r="AR12" s="170">
        <f>+SUMIF('BS-Details'!$A:$A,AR$7&amp;" - "&amp;$C12,'BS-Details'!$J:$J)</f>
        <v>0</v>
      </c>
      <c r="AS12" s="170">
        <f>+SUMIF('BS-Details'!$A:$A,AS$7&amp;" - "&amp;$C12,'BS-Details'!$J:$J)</f>
        <v>0</v>
      </c>
      <c r="AT12" s="170">
        <f>+SUMIF('BS-Details'!$A:$A,AT$7&amp;" - "&amp;$C12,'BS-Details'!$J:$J)</f>
        <v>0</v>
      </c>
      <c r="AU12" s="170">
        <f>+SUMIF('BS-Details'!$A:$A,AU$7&amp;" - "&amp;$C12,'BS-Details'!$J:$J)</f>
        <v>-53632.13</v>
      </c>
      <c r="AV12" s="170">
        <f>+SUMIF('BS-Details'!$A:$A,AV$7&amp;" - "&amp;$C12,'BS-Details'!$J:$J)</f>
        <v>0</v>
      </c>
      <c r="AW12" s="170">
        <f>+SUMIF('BS-Details'!$A:$A,AW$7&amp;" - "&amp;$C12,'BS-Details'!$J:$J)</f>
        <v>0</v>
      </c>
      <c r="AX12" s="170">
        <f>+SUMIF('BS-Details'!$A:$A,AX$7&amp;" - "&amp;$C12,'BS-Details'!$J:$J)</f>
        <v>0</v>
      </c>
      <c r="AY12" s="170">
        <f>+SUMIF('BS-Details'!$A:$A,AY$7&amp;" - "&amp;$C12,'BS-Details'!$J:$J)</f>
        <v>0</v>
      </c>
      <c r="AZ12" s="170">
        <f>+SUMIF('BS-Details'!$A:$A,AZ$7&amp;" - "&amp;$C12,'BS-Details'!$J:$J)</f>
        <v>0</v>
      </c>
      <c r="BA12" s="170">
        <f>+SUMIF('BS-Details'!$A:$A,BA$7&amp;" - "&amp;$C12,'BS-Details'!$J:$J)</f>
        <v>0</v>
      </c>
      <c r="BB12" s="170">
        <f>+SUMIF('BS-Details'!$A:$A,BB$7&amp;" - "&amp;$C12,'BS-Details'!$J:$J)</f>
        <v>0</v>
      </c>
      <c r="BC12" s="170">
        <f>+SUMIF('BS-Details'!$A:$A,BC$7&amp;" - "&amp;$C12,'BS-Details'!$J:$J)</f>
        <v>0</v>
      </c>
      <c r="BD12" s="170">
        <f>+SUMIF('BS-Details'!$A:$A,BD$7&amp;" - "&amp;$C12,'BS-Details'!$J:$J)</f>
        <v>0</v>
      </c>
      <c r="BE12" s="170">
        <f>+SUMIF('BS-Details'!$A:$A,BE$7&amp;" - "&amp;$C12,'BS-Details'!$J:$J)</f>
        <v>0</v>
      </c>
      <c r="BF12" s="170">
        <f>+SUMIF('BS-Details'!$A:$A,BF$7&amp;" - "&amp;$C12,'BS-Details'!$J:$J)</f>
        <v>0</v>
      </c>
      <c r="BG12" s="170">
        <f>+SUMIF('BS-Details'!$A:$A,BG$7&amp;" - "&amp;$C12,'BS-Details'!$J:$J)</f>
        <v>0</v>
      </c>
      <c r="BH12" s="170">
        <f>+SUMIF('BS-Details'!$A:$A,BH$7&amp;" - "&amp;$C12,'BS-Details'!$J:$J)</f>
        <v>0</v>
      </c>
      <c r="BI12" s="170">
        <f>+SUMIF('BS-Details'!$A:$A,BI$7&amp;" - "&amp;$C12,'BS-Details'!$J:$J)</f>
        <v>0</v>
      </c>
      <c r="BJ12" s="170">
        <f>+SUMIF('BS-Details'!$A:$A,BJ$7&amp;" - "&amp;$C12,'BS-Details'!$J:$J)</f>
        <v>0</v>
      </c>
      <c r="BK12" s="170">
        <f>+SUMIF('BS-Details'!$A:$A,BK$7&amp;" - "&amp;$C12,'BS-Details'!$J:$J)</f>
        <v>0</v>
      </c>
      <c r="BL12" s="170">
        <f>+SUMIF('BS-Details'!$A:$A,BL$7&amp;" - "&amp;$C12,'BS-Details'!$J:$J)</f>
        <v>0</v>
      </c>
      <c r="BM12" s="170">
        <f>+SUMIF('BS-Details'!$A:$A,BM$7&amp;" - "&amp;$C12,'BS-Details'!$J:$J)</f>
        <v>0</v>
      </c>
      <c r="BN12" s="170">
        <f>+SUMIF('BS-Details'!$A:$A,BN$7&amp;" - "&amp;$C12,'BS-Details'!$J:$J)</f>
        <v>0</v>
      </c>
      <c r="BO12" s="170">
        <f>+SUMIF('BS-Details'!$A:$A,BO$7&amp;" - "&amp;$C12,'BS-Details'!$J:$J)</f>
        <v>0</v>
      </c>
      <c r="BP12" s="170">
        <f>+SUMIF('BS-Details'!$A:$A,BP$7&amp;" - "&amp;$C12,'BS-Details'!$J:$J)</f>
        <v>0</v>
      </c>
      <c r="BQ12" s="170">
        <f>+SUMIF('BS-Details'!$A:$A,BQ$7&amp;" - "&amp;$C12,'BS-Details'!$J:$J)</f>
        <v>0</v>
      </c>
      <c r="BR12" s="170">
        <f>+SUMIF('BS-Details'!$A:$A,BR$7&amp;" - "&amp;$C12,'BS-Details'!$J:$J)</f>
        <v>300866.21</v>
      </c>
      <c r="BS12" s="170">
        <f>+SUMIF('BS-Details'!$A:$A,BS$7&amp;" - "&amp;$C12,'BS-Details'!$J:$J)</f>
        <v>3671.35</v>
      </c>
      <c r="BT12" s="170">
        <f>+SUMIF('BS-Details'!$A:$A,BT$7&amp;" - "&amp;$C12,'BS-Details'!$J:$J)</f>
        <v>0</v>
      </c>
      <c r="BU12" s="170">
        <f>+SUMIF('BS-Details'!$A:$A,BU$7&amp;" - "&amp;$C12,'BS-Details'!$J:$J)</f>
        <v>0</v>
      </c>
      <c r="BV12" s="170">
        <f>+SUMIF('BS-Details'!$A:$A,BV$7&amp;" - "&amp;$C12,'BS-Details'!$J:$J)</f>
        <v>0</v>
      </c>
      <c r="BW12" s="170">
        <f>+SUMIF('BS-Details'!$A:$A,BW$7&amp;" - "&amp;$C12,'BS-Details'!$J:$J)</f>
        <v>73070.67</v>
      </c>
      <c r="BX12" s="170">
        <f>+SUMIF('BS-Details'!$A:$A,BX$7&amp;" - "&amp;$C12,'BS-Details'!$J:$J)</f>
        <v>431481.53</v>
      </c>
      <c r="BY12" s="170">
        <f>+SUMIF('BS-Details'!$A:$A,BY$7&amp;" - "&amp;$C12,'BS-Details'!$J:$J)</f>
        <v>0</v>
      </c>
      <c r="BZ12" s="170">
        <f>+SUMIF('BS-Details'!$A:$A,BZ$7&amp;" - "&amp;$C12,'BS-Details'!$J:$J)</f>
        <v>158061.31</v>
      </c>
      <c r="CA12" s="170">
        <f>+SUMIF('BS-Details'!$A:$A,CA$7&amp;" - "&amp;$C12,'BS-Details'!$J:$J)</f>
        <v>9437.82</v>
      </c>
      <c r="CB12" s="170">
        <f>+SUMIF('BS-Details'!$A:$A,CB$7&amp;" - "&amp;$C12,'BS-Details'!$J:$J)</f>
        <v>0</v>
      </c>
      <c r="CC12" s="170">
        <f>+SUMIF('BS-Details'!$A:$A,CC$7&amp;" - "&amp;$C12,'BS-Details'!$J:$J)</f>
        <v>0</v>
      </c>
      <c r="CD12" s="170">
        <f>+SUMIF('BS-Details'!$A:$A,CD$7&amp;" - "&amp;$C12,'BS-Details'!$J:$J)</f>
        <v>-3092.64</v>
      </c>
      <c r="CE12" s="170">
        <f>+SUMIF('BS-Details'!$A:$A,CE$7&amp;" - "&amp;$C12,'BS-Details'!$J:$J)</f>
        <v>-2460.18</v>
      </c>
      <c r="CF12" s="170">
        <f>+SUMIF('BS-Details'!$A:$A,CF$7&amp;" - "&amp;$C12,'BS-Details'!$J:$J)</f>
        <v>0</v>
      </c>
      <c r="CG12" s="170">
        <f>+SUMIF('BS-Details'!$A:$A,CG$7&amp;" - "&amp;$C12,'BS-Details'!$J:$J)</f>
        <v>0</v>
      </c>
      <c r="CH12" s="170">
        <f>+SUMIF('BS-Details'!$A:$A,CH$7&amp;" - "&amp;$C12,'BS-Details'!$J:$J)</f>
        <v>0</v>
      </c>
      <c r="CI12" s="170">
        <f>+SUMIF('BS-Details'!$A:$A,CI$7&amp;" - "&amp;$C12,'BS-Details'!$J:$J)</f>
        <v>0</v>
      </c>
      <c r="CJ12" s="170">
        <f>+SUMIF('BS-Details'!$A:$A,CJ$7&amp;" - "&amp;$C12,'BS-Details'!$J:$J)</f>
        <v>0</v>
      </c>
      <c r="CK12" s="170">
        <f>+SUMIF('BS-Details'!$A:$A,CK$7&amp;" - "&amp;$C12,'BS-Details'!$J:$J)</f>
        <v>0</v>
      </c>
      <c r="CL12" s="170">
        <f>+SUMIF('BS-Details'!$A:$A,CL$7&amp;" - "&amp;$C12,'BS-Details'!$J:$J)</f>
        <v>0</v>
      </c>
      <c r="CM12" s="170">
        <f>+SUMIF('BS-Details'!$A:$A,CM$7&amp;" - "&amp;$C12,'BS-Details'!$J:$J)</f>
        <v>-2698.55000000001</v>
      </c>
      <c r="CN12" s="170">
        <f>+SUMIF('BS-Details'!$A:$A,CN$7&amp;" - "&amp;$C12,'BS-Details'!$J:$J)</f>
        <v>-153055.82</v>
      </c>
      <c r="CO12" s="170">
        <f>+SUMIF('BS-Details'!$A:$A,CO$7&amp;" - "&amp;$C12,'BS-Details'!$J:$J)</f>
        <v>-1459990.52</v>
      </c>
      <c r="CP12" s="170"/>
      <c r="CQ12" s="178">
        <f t="shared" si="10"/>
        <v>-953882.720000001</v>
      </c>
      <c r="CR12" s="178">
        <f t="shared" si="11"/>
        <v>-953882.720000001</v>
      </c>
      <c r="CS12" s="178">
        <f t="shared" si="12"/>
        <v>0</v>
      </c>
      <c r="CT12" s="185">
        <f>+SUMIF('BS-Details'!$A:$A,CT$7&amp;" - "&amp;$C12,'BS-Details'!$J:$J)</f>
        <v>0</v>
      </c>
      <c r="CU12" s="170">
        <f>+SUMIF('BS-Details'!$A:$A,CU$7&amp;" - "&amp;$C12,'BS-Details'!$J:$J)</f>
        <v>0</v>
      </c>
      <c r="CV12" s="170">
        <f>+SUMIF('BS-Details'!$A:$A,CV$7&amp;" - "&amp;$C12,'BS-Details'!$J:$J)</f>
        <v>0</v>
      </c>
      <c r="CW12" s="189">
        <f>+SUMIF('BS-Details'!$A:$A,CW$7&amp;" - "&amp;$C12,'BS-Details'!$J:$J)</f>
        <v>0</v>
      </c>
      <c r="CX12" s="189">
        <f>+SUMIF('BS-Details'!$A:$A,CX$7&amp;" - "&amp;$C12,'BS-Details'!$J:$J)</f>
        <v>0</v>
      </c>
      <c r="CY12" s="189">
        <f t="shared" si="13"/>
        <v>0</v>
      </c>
      <c r="CZ12" s="178">
        <f>+SUMIF('BS-Details'!$A:$A,CZ$7&amp;" - "&amp;$C12,'BS-Details'!$J:$J)</f>
        <v>0</v>
      </c>
      <c r="DA12" s="178">
        <f>+SUMIF('BS-Details'!$A:$A,DA$7&amp;" - "&amp;$C12,'BS-Details'!$J:$J)</f>
        <v>0</v>
      </c>
      <c r="DB12" s="193"/>
    </row>
    <row r="13" spans="1:106" ht="15.75" customHeight="true">
      <c r="A13" s="161"/>
      <c r="B13" s="161" t="s">
        <v>13870</v>
      </c>
      <c r="C13" s="163" t="s">
        <v>13872</v>
      </c>
      <c r="D13" s="164" t="s">
        <v>13872</v>
      </c>
      <c r="E13" s="169">
        <f t="shared" si="2"/>
        <v>498081.72</v>
      </c>
      <c r="F13" s="169">
        <f t="shared" si="3"/>
        <v>498081.72</v>
      </c>
      <c r="G13" s="170">
        <f>+SUMIF('BS-Details'!$A:$A,G$7&amp;" - "&amp;$C13,'BS-Details'!$J:$J)</f>
        <v>0</v>
      </c>
      <c r="H13" s="170">
        <f>+SUMIF('BS-Details'!$A:$A,H$7&amp;" - "&amp;$C13,'BS-Details'!$J:$J)</f>
        <v>0</v>
      </c>
      <c r="I13" s="170">
        <f>+SUMIF('BS-Details'!$A:$A,I$7&amp;" - "&amp;$C13,'BS-Details'!$J:$J)</f>
        <v>0</v>
      </c>
      <c r="J13" s="170">
        <f>+SUMIF('BS-Details'!$A:$A,J$7&amp;" - "&amp;$C13,'BS-Details'!$J:$J)</f>
        <v>0</v>
      </c>
      <c r="K13" s="170">
        <f>+SUMIF('BS-Details'!$A:$A,K$7&amp;" - "&amp;$C13,'BS-Details'!$J:$J)</f>
        <v>0</v>
      </c>
      <c r="L13" s="178">
        <f t="shared" si="4"/>
        <v>0</v>
      </c>
      <c r="M13" s="170">
        <f>+SUMIF('BS-Details'!$A:$A,M$7&amp;" - "&amp;$C13,'BS-Details'!$J:$J)</f>
        <v>0</v>
      </c>
      <c r="N13" s="170">
        <f>+SUMIF('BS-Details'!$A:$A,N$7&amp;" - "&amp;$C13,'BS-Details'!$J:$J)</f>
        <v>0</v>
      </c>
      <c r="O13" s="178">
        <f t="shared" si="5"/>
        <v>0</v>
      </c>
      <c r="P13" s="170">
        <f>+SUMIF('BS-Details'!$A:$A,P$7&amp;" - "&amp;$C13,'BS-Details'!$J:$J)</f>
        <v>0</v>
      </c>
      <c r="Q13" s="170">
        <f>+SUMIF('BS-Details'!$A:$A,Q$7&amp;" - "&amp;$C13,'BS-Details'!$J:$J)</f>
        <v>0</v>
      </c>
      <c r="R13" s="170">
        <f>+SUMIF('BS-Details'!$A:$A,R$7&amp;" - "&amp;$C13,'BS-Details'!$J:$J)</f>
        <v>0</v>
      </c>
      <c r="S13" s="170">
        <f>+SUMIF('BS-Details'!$A:$A,S$7&amp;" - "&amp;$C13,'BS-Details'!$J:$J)</f>
        <v>0</v>
      </c>
      <c r="T13" s="170">
        <f>+SUMIF('BS-Details'!$A:$A,T$7&amp;" - "&amp;$C13,'BS-Details'!$J:$J)</f>
        <v>0</v>
      </c>
      <c r="U13" s="170">
        <f>+SUMIF('BS-Details'!$A:$A,U$7&amp;" - "&amp;$C13,'BS-Details'!$J:$J)</f>
        <v>0</v>
      </c>
      <c r="V13" s="169">
        <f t="shared" si="6"/>
        <v>0</v>
      </c>
      <c r="W13" s="170">
        <f>+SUMIF('BS-Details'!$A:$A,W$7&amp;" - "&amp;$C13,'BS-Details'!$J:$J)</f>
        <v>0</v>
      </c>
      <c r="X13" s="170">
        <f>+SUMIF('BS-Details'!$A:$A,X$7&amp;" - "&amp;$C13,'BS-Details'!$J:$J)</f>
        <v>0</v>
      </c>
      <c r="Y13" s="178">
        <f t="shared" si="7"/>
        <v>0</v>
      </c>
      <c r="Z13" s="170">
        <f>+SUMIF('BS-Details'!$A:$A,Z$7&amp;" - "&amp;$C13,'BS-Details'!$J:$J)</f>
        <v>0</v>
      </c>
      <c r="AA13" s="170">
        <f>+SUMIF('BS-Details'!$A:$A,AA$7&amp;" - "&amp;$C13,'BS-Details'!$J:$J)</f>
        <v>0</v>
      </c>
      <c r="AB13" s="178">
        <f t="shared" si="8"/>
        <v>0</v>
      </c>
      <c r="AC13" s="170">
        <f>+SUMIF('BS-Details'!$A:$A,AC$7&amp;" - "&amp;$C13,'BS-Details'!$J:$J)</f>
        <v>0</v>
      </c>
      <c r="AD13" s="170">
        <f>+SUMIF('BS-Details'!$A:$A,AD$7&amp;" - "&amp;$C13,'BS-Details'!$J:$J)</f>
        <v>0</v>
      </c>
      <c r="AE13" s="170">
        <f>+SUMIF('BS-Details'!$A:$A,AE$7&amp;" - "&amp;$C13,'BS-Details'!$J:$J)</f>
        <v>0</v>
      </c>
      <c r="AF13" s="170">
        <f>+SUMIF('BS-Details'!$A:$A,AF$7&amp;" - "&amp;$C13,'BS-Details'!$J:$J)</f>
        <v>0</v>
      </c>
      <c r="AG13" s="170">
        <f>+SUMIF('BS-Details'!$A:$A,AG$7&amp;" - "&amp;$C13,'BS-Details'!$J:$J)</f>
        <v>0</v>
      </c>
      <c r="AH13" s="170">
        <f>+SUMIF('BS-Details'!$A:$A,AH$7&amp;" - "&amp;$C13,'BS-Details'!$J:$J)</f>
        <v>0</v>
      </c>
      <c r="AI13" s="170">
        <f>+SUMIF('BS-Details'!$A:$A,AI$7&amp;" - "&amp;$C13,'BS-Details'!$J:$J)</f>
        <v>0</v>
      </c>
      <c r="AJ13" s="170">
        <f>+SUMIF('BS-Details'!$A:$A,AJ$7&amp;" - "&amp;$C13,'BS-Details'!$J:$J)</f>
        <v>0</v>
      </c>
      <c r="AK13" s="170">
        <f>+SUMIF('BS-Details'!$A:$A,AK$7&amp;" - "&amp;$C13,'BS-Details'!$J:$J)</f>
        <v>0</v>
      </c>
      <c r="AL13" s="178">
        <f t="shared" si="9"/>
        <v>0</v>
      </c>
      <c r="AM13" s="170">
        <f>+SUMIF('BS-Details'!$A:$A,AM$7&amp;" - "&amp;$C13,'BS-Details'!$J:$J)</f>
        <v>0</v>
      </c>
      <c r="AN13" s="170">
        <f>+SUMIF('BS-Details'!$A:$A,AN$7&amp;" - "&amp;$C13,'BS-Details'!$J:$J)</f>
        <v>12294.66</v>
      </c>
      <c r="AO13" s="170">
        <f>+SUMIF('BS-Details'!$A:$A,AO$7&amp;" - "&amp;$C13,'BS-Details'!$J:$J)</f>
        <v>9238.67</v>
      </c>
      <c r="AP13" s="170">
        <f>+SUMIF('BS-Details'!$A:$A,AP$7&amp;" - "&amp;$C13,'BS-Details'!$J:$J)</f>
        <v>0</v>
      </c>
      <c r="AQ13" s="170">
        <f>+SUMIF('BS-Details'!$A:$A,AQ$7&amp;" - "&amp;$C13,'BS-Details'!$J:$J)</f>
        <v>10829.85</v>
      </c>
      <c r="AR13" s="170">
        <f>+SUMIF('BS-Details'!$A:$A,AR$7&amp;" - "&amp;$C13,'BS-Details'!$J:$J)</f>
        <v>0</v>
      </c>
      <c r="AS13" s="170">
        <f>+SUMIF('BS-Details'!$A:$A,AS$7&amp;" - "&amp;$C13,'BS-Details'!$J:$J)</f>
        <v>0</v>
      </c>
      <c r="AT13" s="170">
        <f>+SUMIF('BS-Details'!$A:$A,AT$7&amp;" - "&amp;$C13,'BS-Details'!$J:$J)</f>
        <v>0</v>
      </c>
      <c r="AU13" s="170">
        <f>+SUMIF('BS-Details'!$A:$A,AU$7&amp;" - "&amp;$C13,'BS-Details'!$J:$J)</f>
        <v>7182.42</v>
      </c>
      <c r="AV13" s="170">
        <f>+SUMIF('BS-Details'!$A:$A,AV$7&amp;" - "&amp;$C13,'BS-Details'!$J:$J)</f>
        <v>0</v>
      </c>
      <c r="AW13" s="170">
        <f>+SUMIF('BS-Details'!$A:$A,AW$7&amp;" - "&amp;$C13,'BS-Details'!$J:$J)</f>
        <v>0</v>
      </c>
      <c r="AX13" s="170">
        <f>+SUMIF('BS-Details'!$A:$A,AX$7&amp;" - "&amp;$C13,'BS-Details'!$J:$J)</f>
        <v>0</v>
      </c>
      <c r="AY13" s="170">
        <f>+SUMIF('BS-Details'!$A:$A,AY$7&amp;" - "&amp;$C13,'BS-Details'!$J:$J)</f>
        <v>0</v>
      </c>
      <c r="AZ13" s="170">
        <f>+SUMIF('BS-Details'!$A:$A,AZ$7&amp;" - "&amp;$C13,'BS-Details'!$J:$J)</f>
        <v>0</v>
      </c>
      <c r="BA13" s="170">
        <f>+SUMIF('BS-Details'!$A:$A,BA$7&amp;" - "&amp;$C13,'BS-Details'!$J:$J)</f>
        <v>0</v>
      </c>
      <c r="BB13" s="170">
        <f>+SUMIF('BS-Details'!$A:$A,BB$7&amp;" - "&amp;$C13,'BS-Details'!$J:$J)</f>
        <v>0</v>
      </c>
      <c r="BC13" s="170">
        <f>+SUMIF('BS-Details'!$A:$A,BC$7&amp;" - "&amp;$C13,'BS-Details'!$J:$J)</f>
        <v>0</v>
      </c>
      <c r="BD13" s="170">
        <f>+SUMIF('BS-Details'!$A:$A,BD$7&amp;" - "&amp;$C13,'BS-Details'!$J:$J)</f>
        <v>0</v>
      </c>
      <c r="BE13" s="170">
        <f>+SUMIF('BS-Details'!$A:$A,BE$7&amp;" - "&amp;$C13,'BS-Details'!$J:$J)</f>
        <v>0</v>
      </c>
      <c r="BF13" s="170">
        <f>+SUMIF('BS-Details'!$A:$A,BF$7&amp;" - "&amp;$C13,'BS-Details'!$J:$J)</f>
        <v>0</v>
      </c>
      <c r="BG13" s="170">
        <f>+SUMIF('BS-Details'!$A:$A,BG$7&amp;" - "&amp;$C13,'BS-Details'!$J:$J)</f>
        <v>0</v>
      </c>
      <c r="BH13" s="170">
        <f>+SUMIF('BS-Details'!$A:$A,BH$7&amp;" - "&amp;$C13,'BS-Details'!$J:$J)</f>
        <v>0</v>
      </c>
      <c r="BI13" s="170">
        <f>+SUMIF('BS-Details'!$A:$A,BI$7&amp;" - "&amp;$C13,'BS-Details'!$J:$J)</f>
        <v>0</v>
      </c>
      <c r="BJ13" s="170">
        <f>+SUMIF('BS-Details'!$A:$A,BJ$7&amp;" - "&amp;$C13,'BS-Details'!$J:$J)</f>
        <v>0</v>
      </c>
      <c r="BK13" s="170">
        <f>+SUMIF('BS-Details'!$A:$A,BK$7&amp;" - "&amp;$C13,'BS-Details'!$J:$J)</f>
        <v>0</v>
      </c>
      <c r="BL13" s="170">
        <f>+SUMIF('BS-Details'!$A:$A,BL$7&amp;" - "&amp;$C13,'BS-Details'!$J:$J)</f>
        <v>0</v>
      </c>
      <c r="BM13" s="170">
        <f>+SUMIF('BS-Details'!$A:$A,BM$7&amp;" - "&amp;$C13,'BS-Details'!$J:$J)</f>
        <v>0</v>
      </c>
      <c r="BN13" s="170">
        <f>+SUMIF('BS-Details'!$A:$A,BN$7&amp;" - "&amp;$C13,'BS-Details'!$J:$J)</f>
        <v>0</v>
      </c>
      <c r="BO13" s="170">
        <f>+SUMIF('BS-Details'!$A:$A,BO$7&amp;" - "&amp;$C13,'BS-Details'!$J:$J)</f>
        <v>0</v>
      </c>
      <c r="BP13" s="170">
        <f>+SUMIF('BS-Details'!$A:$A,BP$7&amp;" - "&amp;$C13,'BS-Details'!$J:$J)</f>
        <v>0</v>
      </c>
      <c r="BQ13" s="170">
        <f>+SUMIF('BS-Details'!$A:$A,BQ$7&amp;" - "&amp;$C13,'BS-Details'!$J:$J)</f>
        <v>0</v>
      </c>
      <c r="BR13" s="170">
        <f>+SUMIF('BS-Details'!$A:$A,BR$7&amp;" - "&amp;$C13,'BS-Details'!$J:$J)</f>
        <v>85454.69</v>
      </c>
      <c r="BS13" s="170">
        <f>+SUMIF('BS-Details'!$A:$A,BS$7&amp;" - "&amp;$C13,'BS-Details'!$J:$J)</f>
        <v>722.11</v>
      </c>
      <c r="BT13" s="170">
        <f>+SUMIF('BS-Details'!$A:$A,BT$7&amp;" - "&amp;$C13,'BS-Details'!$J:$J)</f>
        <v>0</v>
      </c>
      <c r="BU13" s="170">
        <f>+SUMIF('BS-Details'!$A:$A,BU$7&amp;" - "&amp;$C13,'BS-Details'!$J:$J)</f>
        <v>0</v>
      </c>
      <c r="BV13" s="170">
        <f>+SUMIF('BS-Details'!$A:$A,BV$7&amp;" - "&amp;$C13,'BS-Details'!$J:$J)</f>
        <v>0</v>
      </c>
      <c r="BW13" s="170">
        <f>+SUMIF('BS-Details'!$A:$A,BW$7&amp;" - "&amp;$C13,'BS-Details'!$J:$J)</f>
        <v>16394.06</v>
      </c>
      <c r="BX13" s="170">
        <f>+SUMIF('BS-Details'!$A:$A,BX$7&amp;" - "&amp;$C13,'BS-Details'!$J:$J)</f>
        <v>18785.44</v>
      </c>
      <c r="BY13" s="170">
        <f>+SUMIF('BS-Details'!$A:$A,BY$7&amp;" - "&amp;$C13,'BS-Details'!$J:$J)</f>
        <v>0</v>
      </c>
      <c r="BZ13" s="170">
        <f>+SUMIF('BS-Details'!$A:$A,BZ$7&amp;" - "&amp;$C13,'BS-Details'!$J:$J)</f>
        <v>46621.84</v>
      </c>
      <c r="CA13" s="170">
        <f>+SUMIF('BS-Details'!$A:$A,CA$7&amp;" - "&amp;$C13,'BS-Details'!$J:$J)</f>
        <v>0</v>
      </c>
      <c r="CB13" s="170">
        <f>+SUMIF('BS-Details'!$A:$A,CB$7&amp;" - "&amp;$C13,'BS-Details'!$J:$J)</f>
        <v>0</v>
      </c>
      <c r="CC13" s="170">
        <f>+SUMIF('BS-Details'!$A:$A,CC$7&amp;" - "&amp;$C13,'BS-Details'!$J:$J)</f>
        <v>0</v>
      </c>
      <c r="CD13" s="170">
        <f>+SUMIF('BS-Details'!$A:$A,CD$7&amp;" - "&amp;$C13,'BS-Details'!$J:$J)</f>
        <v>0</v>
      </c>
      <c r="CE13" s="170">
        <f>+SUMIF('BS-Details'!$A:$A,CE$7&amp;" - "&amp;$C13,'BS-Details'!$J:$J)</f>
        <v>3487.36</v>
      </c>
      <c r="CF13" s="170">
        <f>+SUMIF('BS-Details'!$A:$A,CF$7&amp;" - "&amp;$C13,'BS-Details'!$J:$J)</f>
        <v>0</v>
      </c>
      <c r="CG13" s="170">
        <f>+SUMIF('BS-Details'!$A:$A,CG$7&amp;" - "&amp;$C13,'BS-Details'!$J:$J)</f>
        <v>0</v>
      </c>
      <c r="CH13" s="170">
        <f>+SUMIF('BS-Details'!$A:$A,CH$7&amp;" - "&amp;$C13,'BS-Details'!$J:$J)</f>
        <v>0</v>
      </c>
      <c r="CI13" s="170">
        <f>+SUMIF('BS-Details'!$A:$A,CI$7&amp;" - "&amp;$C13,'BS-Details'!$J:$J)</f>
        <v>0</v>
      </c>
      <c r="CJ13" s="170">
        <f>+SUMIF('BS-Details'!$A:$A,CJ$7&amp;" - "&amp;$C13,'BS-Details'!$J:$J)</f>
        <v>0</v>
      </c>
      <c r="CK13" s="170">
        <f>+SUMIF('BS-Details'!$A:$A,CK$7&amp;" - "&amp;$C13,'BS-Details'!$J:$J)</f>
        <v>0</v>
      </c>
      <c r="CL13" s="170">
        <f>+SUMIF('BS-Details'!$A:$A,CL$7&amp;" - "&amp;$C13,'BS-Details'!$J:$J)</f>
        <v>0</v>
      </c>
      <c r="CM13" s="170">
        <f>+SUMIF('BS-Details'!$A:$A,CM$7&amp;" - "&amp;$C13,'BS-Details'!$J:$J)</f>
        <v>8585.98</v>
      </c>
      <c r="CN13" s="170">
        <f>+SUMIF('BS-Details'!$A:$A,CN$7&amp;" - "&amp;$C13,'BS-Details'!$J:$J)</f>
        <v>100383.3</v>
      </c>
      <c r="CO13" s="170">
        <f>+SUMIF('BS-Details'!$A:$A,CO$7&amp;" - "&amp;$C13,'BS-Details'!$J:$J)</f>
        <v>178101.34</v>
      </c>
      <c r="CP13" s="170"/>
      <c r="CQ13" s="178">
        <f t="shared" si="10"/>
        <v>498081.72</v>
      </c>
      <c r="CR13" s="178">
        <f t="shared" si="11"/>
        <v>498081.72</v>
      </c>
      <c r="CS13" s="178">
        <f t="shared" si="12"/>
        <v>0</v>
      </c>
      <c r="CT13" s="185">
        <f>+SUMIF('BS-Details'!$A:$A,CT$7&amp;" - "&amp;$C13,'BS-Details'!$J:$J)</f>
        <v>0</v>
      </c>
      <c r="CU13" s="170">
        <f>+SUMIF('BS-Details'!$A:$A,CU$7&amp;" - "&amp;$C13,'BS-Details'!$J:$J)</f>
        <v>0</v>
      </c>
      <c r="CV13" s="170">
        <f>+SUMIF('BS-Details'!$A:$A,CV$7&amp;" - "&amp;$C13,'BS-Details'!$J:$J)</f>
        <v>0</v>
      </c>
      <c r="CW13" s="189">
        <f>+SUMIF('BS-Details'!$A:$A,CW$7&amp;" - "&amp;$C13,'BS-Details'!$J:$J)</f>
        <v>0</v>
      </c>
      <c r="CX13" s="189">
        <f>+SUMIF('BS-Details'!$A:$A,CX$7&amp;" - "&amp;$C13,'BS-Details'!$J:$J)</f>
        <v>0</v>
      </c>
      <c r="CY13" s="189">
        <f t="shared" si="13"/>
        <v>0</v>
      </c>
      <c r="CZ13" s="178">
        <f>+SUMIF('BS-Details'!$A:$A,CZ$7&amp;" - "&amp;$C13,'BS-Details'!$J:$J)</f>
        <v>0</v>
      </c>
      <c r="DA13" s="178">
        <f>+SUMIF('BS-Details'!$A:$A,DA$7&amp;" - "&amp;$C13,'BS-Details'!$J:$J)</f>
        <v>0</v>
      </c>
      <c r="DB13" s="193"/>
    </row>
    <row r="14" spans="1:106" ht="15.75" customHeight="true">
      <c r="A14" s="161"/>
      <c r="B14" s="161" t="s">
        <v>13870</v>
      </c>
      <c r="C14" s="163" t="s">
        <v>13873</v>
      </c>
      <c r="D14" s="164" t="s">
        <v>13873</v>
      </c>
      <c r="E14" s="169">
        <f t="shared" si="2"/>
        <v>-1454606.72</v>
      </c>
      <c r="F14" s="169">
        <f t="shared" si="3"/>
        <v>-1454606.72</v>
      </c>
      <c r="G14" s="170">
        <f>+SUMIF('BS-Details'!$A:$A,G$7&amp;" - "&amp;$C14,'BS-Details'!$J:$J)</f>
        <v>0</v>
      </c>
      <c r="H14" s="170">
        <f>+SUMIF('BS-Details'!$A:$A,H$7&amp;" - "&amp;$C14,'BS-Details'!$J:$J)</f>
        <v>0</v>
      </c>
      <c r="I14" s="170">
        <f>+SUMIF('BS-Details'!$A:$A,I$7&amp;" - "&amp;$C14,'BS-Details'!$J:$J)</f>
        <v>0</v>
      </c>
      <c r="J14" s="170">
        <f>+SUMIF('BS-Details'!$A:$A,J$7&amp;" - "&amp;$C14,'BS-Details'!$J:$J)</f>
        <v>0</v>
      </c>
      <c r="K14" s="170">
        <f>+SUMIF('BS-Details'!$A:$A,K$7&amp;" - "&amp;$C14,'BS-Details'!$J:$J)</f>
        <v>0</v>
      </c>
      <c r="L14" s="178">
        <f t="shared" si="4"/>
        <v>0</v>
      </c>
      <c r="M14" s="170">
        <f>+SUMIF('BS-Details'!$A:$A,M$7&amp;" - "&amp;$C14,'BS-Details'!$J:$J)</f>
        <v>0</v>
      </c>
      <c r="N14" s="170">
        <f>+SUMIF('BS-Details'!$A:$A,N$7&amp;" - "&amp;$C14,'BS-Details'!$J:$J)</f>
        <v>0</v>
      </c>
      <c r="O14" s="178">
        <f t="shared" si="5"/>
        <v>0</v>
      </c>
      <c r="P14" s="170">
        <f>+SUMIF('BS-Details'!$A:$A,P$7&amp;" - "&amp;$C14,'BS-Details'!$J:$J)</f>
        <v>0</v>
      </c>
      <c r="Q14" s="170">
        <f>+SUMIF('BS-Details'!$A:$A,Q$7&amp;" - "&amp;$C14,'BS-Details'!$J:$J)</f>
        <v>0</v>
      </c>
      <c r="R14" s="170">
        <f>+SUMIF('BS-Details'!$A:$A,R$7&amp;" - "&amp;$C14,'BS-Details'!$J:$J)</f>
        <v>0</v>
      </c>
      <c r="S14" s="170">
        <f>+SUMIF('BS-Details'!$A:$A,S$7&amp;" - "&amp;$C14,'BS-Details'!$J:$J)</f>
        <v>0</v>
      </c>
      <c r="T14" s="170">
        <f>+SUMIF('BS-Details'!$A:$A,T$7&amp;" - "&amp;$C14,'BS-Details'!$J:$J)</f>
        <v>0</v>
      </c>
      <c r="U14" s="170">
        <f>+SUMIF('BS-Details'!$A:$A,U$7&amp;" - "&amp;$C14,'BS-Details'!$J:$J)</f>
        <v>0</v>
      </c>
      <c r="V14" s="169">
        <f t="shared" si="6"/>
        <v>0</v>
      </c>
      <c r="W14" s="170">
        <f>+SUMIF('BS-Details'!$A:$A,W$7&amp;" - "&amp;$C14,'BS-Details'!$J:$J)</f>
        <v>0</v>
      </c>
      <c r="X14" s="170">
        <f>+SUMIF('BS-Details'!$A:$A,X$7&amp;" - "&amp;$C14,'BS-Details'!$J:$J)</f>
        <v>0</v>
      </c>
      <c r="Y14" s="178">
        <f t="shared" si="7"/>
        <v>0</v>
      </c>
      <c r="Z14" s="170">
        <f>+SUMIF('BS-Details'!$A:$A,Z$7&amp;" - "&amp;$C14,'BS-Details'!$J:$J)</f>
        <v>0</v>
      </c>
      <c r="AA14" s="170">
        <f>+SUMIF('BS-Details'!$A:$A,AA$7&amp;" - "&amp;$C14,'BS-Details'!$J:$J)</f>
        <v>0</v>
      </c>
      <c r="AB14" s="178">
        <f t="shared" si="8"/>
        <v>0</v>
      </c>
      <c r="AC14" s="170">
        <f>+SUMIF('BS-Details'!$A:$A,AC$7&amp;" - "&amp;$C14,'BS-Details'!$J:$J)</f>
        <v>0</v>
      </c>
      <c r="AD14" s="170">
        <f>+SUMIF('BS-Details'!$A:$A,AD$7&amp;" - "&amp;$C14,'BS-Details'!$J:$J)</f>
        <v>0</v>
      </c>
      <c r="AE14" s="170">
        <f>+SUMIF('BS-Details'!$A:$A,AE$7&amp;" - "&amp;$C14,'BS-Details'!$J:$J)</f>
        <v>0</v>
      </c>
      <c r="AF14" s="170">
        <f>+SUMIF('BS-Details'!$A:$A,AF$7&amp;" - "&amp;$C14,'BS-Details'!$J:$J)</f>
        <v>0</v>
      </c>
      <c r="AG14" s="170">
        <f>+SUMIF('BS-Details'!$A:$A,AG$7&amp;" - "&amp;$C14,'BS-Details'!$J:$J)</f>
        <v>0</v>
      </c>
      <c r="AH14" s="170">
        <f>+SUMIF('BS-Details'!$A:$A,AH$7&amp;" - "&amp;$C14,'BS-Details'!$J:$J)</f>
        <v>0</v>
      </c>
      <c r="AI14" s="170">
        <f>+SUMIF('BS-Details'!$A:$A,AI$7&amp;" - "&amp;$C14,'BS-Details'!$J:$J)</f>
        <v>0</v>
      </c>
      <c r="AJ14" s="170">
        <f>+SUMIF('BS-Details'!$A:$A,AJ$7&amp;" - "&amp;$C14,'BS-Details'!$J:$J)</f>
        <v>0</v>
      </c>
      <c r="AK14" s="170">
        <f>+SUMIF('BS-Details'!$A:$A,AK$7&amp;" - "&amp;$C14,'BS-Details'!$J:$J)</f>
        <v>0</v>
      </c>
      <c r="AL14" s="178">
        <f t="shared" si="9"/>
        <v>0</v>
      </c>
      <c r="AM14" s="170">
        <f>+SUMIF('BS-Details'!$A:$A,AM$7&amp;" - "&amp;$C14,'BS-Details'!$J:$J)</f>
        <v>0</v>
      </c>
      <c r="AN14" s="170">
        <f>+SUMIF('BS-Details'!$A:$A,AN$7&amp;" - "&amp;$C14,'BS-Details'!$J:$J)</f>
        <v>-67330.89</v>
      </c>
      <c r="AO14" s="170">
        <f>+SUMIF('BS-Details'!$A:$A,AO$7&amp;" - "&amp;$C14,'BS-Details'!$J:$J)</f>
        <v>-58621.91</v>
      </c>
      <c r="AP14" s="170">
        <f>+SUMIF('BS-Details'!$A:$A,AP$7&amp;" - "&amp;$C14,'BS-Details'!$J:$J)</f>
        <v>0</v>
      </c>
      <c r="AQ14" s="170">
        <f>+SUMIF('BS-Details'!$A:$A,AQ$7&amp;" - "&amp;$C14,'BS-Details'!$J:$J)</f>
        <v>-72638.46</v>
      </c>
      <c r="AR14" s="170">
        <f>+SUMIF('BS-Details'!$A:$A,AR$7&amp;" - "&amp;$C14,'BS-Details'!$J:$J)</f>
        <v>0</v>
      </c>
      <c r="AS14" s="170">
        <f>+SUMIF('BS-Details'!$A:$A,AS$7&amp;" - "&amp;$C14,'BS-Details'!$J:$J)</f>
        <v>0</v>
      </c>
      <c r="AT14" s="170">
        <f>+SUMIF('BS-Details'!$A:$A,AT$7&amp;" - "&amp;$C14,'BS-Details'!$J:$J)</f>
        <v>0</v>
      </c>
      <c r="AU14" s="170">
        <f>+SUMIF('BS-Details'!$A:$A,AU$7&amp;" - "&amp;$C14,'BS-Details'!$J:$J)</f>
        <v>39085.38</v>
      </c>
      <c r="AV14" s="170">
        <f>+SUMIF('BS-Details'!$A:$A,AV$7&amp;" - "&amp;$C14,'BS-Details'!$J:$J)</f>
        <v>0</v>
      </c>
      <c r="AW14" s="170">
        <f>+SUMIF('BS-Details'!$A:$A,AW$7&amp;" - "&amp;$C14,'BS-Details'!$J:$J)</f>
        <v>0</v>
      </c>
      <c r="AX14" s="170">
        <f>+SUMIF('BS-Details'!$A:$A,AX$7&amp;" - "&amp;$C14,'BS-Details'!$J:$J)</f>
        <v>0</v>
      </c>
      <c r="AY14" s="170">
        <f>+SUMIF('BS-Details'!$A:$A,AY$7&amp;" - "&amp;$C14,'BS-Details'!$J:$J)</f>
        <v>0</v>
      </c>
      <c r="AZ14" s="170">
        <f>+SUMIF('BS-Details'!$A:$A,AZ$7&amp;" - "&amp;$C14,'BS-Details'!$J:$J)</f>
        <v>0</v>
      </c>
      <c r="BA14" s="170">
        <f>+SUMIF('BS-Details'!$A:$A,BA$7&amp;" - "&amp;$C14,'BS-Details'!$J:$J)</f>
        <v>0</v>
      </c>
      <c r="BB14" s="170">
        <f>+SUMIF('BS-Details'!$A:$A,BB$7&amp;" - "&amp;$C14,'BS-Details'!$J:$J)</f>
        <v>0</v>
      </c>
      <c r="BC14" s="170">
        <f>+SUMIF('BS-Details'!$A:$A,BC$7&amp;" - "&amp;$C14,'BS-Details'!$J:$J)</f>
        <v>0</v>
      </c>
      <c r="BD14" s="170">
        <f>+SUMIF('BS-Details'!$A:$A,BD$7&amp;" - "&amp;$C14,'BS-Details'!$J:$J)</f>
        <v>0</v>
      </c>
      <c r="BE14" s="170">
        <f>+SUMIF('BS-Details'!$A:$A,BE$7&amp;" - "&amp;$C14,'BS-Details'!$J:$J)</f>
        <v>0</v>
      </c>
      <c r="BF14" s="170">
        <f>+SUMIF('BS-Details'!$A:$A,BF$7&amp;" - "&amp;$C14,'BS-Details'!$J:$J)</f>
        <v>0</v>
      </c>
      <c r="BG14" s="170">
        <f>+SUMIF('BS-Details'!$A:$A,BG$7&amp;" - "&amp;$C14,'BS-Details'!$J:$J)</f>
        <v>0</v>
      </c>
      <c r="BH14" s="170">
        <f>+SUMIF('BS-Details'!$A:$A,BH$7&amp;" - "&amp;$C14,'BS-Details'!$J:$J)</f>
        <v>0</v>
      </c>
      <c r="BI14" s="170">
        <f>+SUMIF('BS-Details'!$A:$A,BI$7&amp;" - "&amp;$C14,'BS-Details'!$J:$J)</f>
        <v>0</v>
      </c>
      <c r="BJ14" s="170">
        <f>+SUMIF('BS-Details'!$A:$A,BJ$7&amp;" - "&amp;$C14,'BS-Details'!$J:$J)</f>
        <v>0</v>
      </c>
      <c r="BK14" s="170">
        <f>+SUMIF('BS-Details'!$A:$A,BK$7&amp;" - "&amp;$C14,'BS-Details'!$J:$J)</f>
        <v>0</v>
      </c>
      <c r="BL14" s="170">
        <f>+SUMIF('BS-Details'!$A:$A,BL$7&amp;" - "&amp;$C14,'BS-Details'!$J:$J)</f>
        <v>0</v>
      </c>
      <c r="BM14" s="170">
        <f>+SUMIF('BS-Details'!$A:$A,BM$7&amp;" - "&amp;$C14,'BS-Details'!$J:$J)</f>
        <v>0</v>
      </c>
      <c r="BN14" s="170">
        <f>+SUMIF('BS-Details'!$A:$A,BN$7&amp;" - "&amp;$C14,'BS-Details'!$J:$J)</f>
        <v>0</v>
      </c>
      <c r="BO14" s="170">
        <f>+SUMIF('BS-Details'!$A:$A,BO$7&amp;" - "&amp;$C14,'BS-Details'!$J:$J)</f>
        <v>0</v>
      </c>
      <c r="BP14" s="170">
        <f>+SUMIF('BS-Details'!$A:$A,BP$7&amp;" - "&amp;$C14,'BS-Details'!$J:$J)</f>
        <v>0</v>
      </c>
      <c r="BQ14" s="170">
        <f>+SUMIF('BS-Details'!$A:$A,BQ$7&amp;" - "&amp;$C14,'BS-Details'!$J:$J)</f>
        <v>0</v>
      </c>
      <c r="BR14" s="170">
        <f>+SUMIF('BS-Details'!$A:$A,BR$7&amp;" - "&amp;$C14,'BS-Details'!$J:$J)</f>
        <v>-470053.65</v>
      </c>
      <c r="BS14" s="170">
        <f>+SUMIF('BS-Details'!$A:$A,BS$7&amp;" - "&amp;$C14,'BS-Details'!$J:$J)</f>
        <v>-4389.9</v>
      </c>
      <c r="BT14" s="170">
        <f>+SUMIF('BS-Details'!$A:$A,BT$7&amp;" - "&amp;$C14,'BS-Details'!$J:$J)</f>
        <v>0</v>
      </c>
      <c r="BU14" s="170">
        <f>+SUMIF('BS-Details'!$A:$A,BU$7&amp;" - "&amp;$C14,'BS-Details'!$J:$J)</f>
        <v>0</v>
      </c>
      <c r="BV14" s="170">
        <f>+SUMIF('BS-Details'!$A:$A,BV$7&amp;" - "&amp;$C14,'BS-Details'!$J:$J)</f>
        <v>0</v>
      </c>
      <c r="BW14" s="170">
        <f>+SUMIF('BS-Details'!$A:$A,BW$7&amp;" - "&amp;$C14,'BS-Details'!$J:$J)</f>
        <v>-89464.73</v>
      </c>
      <c r="BX14" s="170">
        <f>+SUMIF('BS-Details'!$A:$A,BX$7&amp;" - "&amp;$C14,'BS-Details'!$J:$J)</f>
        <v>-302980.36</v>
      </c>
      <c r="BY14" s="170">
        <f>+SUMIF('BS-Details'!$A:$A,BY$7&amp;" - "&amp;$C14,'BS-Details'!$J:$J)</f>
        <v>0</v>
      </c>
      <c r="BZ14" s="170">
        <f>+SUMIF('BS-Details'!$A:$A,BZ$7&amp;" - "&amp;$C14,'BS-Details'!$J:$J)</f>
        <v>-277371.48</v>
      </c>
      <c r="CA14" s="170">
        <f>+SUMIF('BS-Details'!$A:$A,CA$7&amp;" - "&amp;$C14,'BS-Details'!$J:$J)</f>
        <v>-9437.82</v>
      </c>
      <c r="CB14" s="170">
        <f>+SUMIF('BS-Details'!$A:$A,CB$7&amp;" - "&amp;$C14,'BS-Details'!$J:$J)</f>
        <v>0</v>
      </c>
      <c r="CC14" s="170">
        <f>+SUMIF('BS-Details'!$A:$A,CC$7&amp;" - "&amp;$C14,'BS-Details'!$J:$J)</f>
        <v>0</v>
      </c>
      <c r="CD14" s="170">
        <f>+SUMIF('BS-Details'!$A:$A,CD$7&amp;" - "&amp;$C14,'BS-Details'!$J:$J)</f>
        <v>3092.64</v>
      </c>
      <c r="CE14" s="170">
        <f>+SUMIF('BS-Details'!$A:$A,CE$7&amp;" - "&amp;$C14,'BS-Details'!$J:$J)</f>
        <v>-20924.18</v>
      </c>
      <c r="CF14" s="170">
        <f>+SUMIF('BS-Details'!$A:$A,CF$7&amp;" - "&amp;$C14,'BS-Details'!$J:$J)</f>
        <v>0</v>
      </c>
      <c r="CG14" s="170">
        <f>+SUMIF('BS-Details'!$A:$A,CG$7&amp;" - "&amp;$C14,'BS-Details'!$J:$J)</f>
        <v>0</v>
      </c>
      <c r="CH14" s="170">
        <f>+SUMIF('BS-Details'!$A:$A,CH$7&amp;" - "&amp;$C14,'BS-Details'!$J:$J)</f>
        <v>0</v>
      </c>
      <c r="CI14" s="170">
        <f>+SUMIF('BS-Details'!$A:$A,CI$7&amp;" - "&amp;$C14,'BS-Details'!$J:$J)</f>
        <v>0</v>
      </c>
      <c r="CJ14" s="170">
        <f>+SUMIF('BS-Details'!$A:$A,CJ$7&amp;" - "&amp;$C14,'BS-Details'!$J:$J)</f>
        <v>0</v>
      </c>
      <c r="CK14" s="170">
        <f>+SUMIF('BS-Details'!$A:$A,CK$7&amp;" - "&amp;$C14,'BS-Details'!$J:$J)</f>
        <v>0</v>
      </c>
      <c r="CL14" s="170">
        <f>+SUMIF('BS-Details'!$A:$A,CL$7&amp;" - "&amp;$C14,'BS-Details'!$J:$J)</f>
        <v>0</v>
      </c>
      <c r="CM14" s="170">
        <f>+SUMIF('BS-Details'!$A:$A,CM$7&amp;" - "&amp;$C14,'BS-Details'!$J:$J)</f>
        <v>-49671.74</v>
      </c>
      <c r="CN14" s="170">
        <f>+SUMIF('BS-Details'!$A:$A,CN$7&amp;" - "&amp;$C14,'BS-Details'!$J:$J)</f>
        <v>0</v>
      </c>
      <c r="CO14" s="170">
        <f>+SUMIF('BS-Details'!$A:$A,CO$7&amp;" - "&amp;$C14,'BS-Details'!$J:$J)</f>
        <v>-73899.62</v>
      </c>
      <c r="CP14" s="170"/>
      <c r="CQ14" s="178">
        <f t="shared" si="10"/>
        <v>-1454606.72</v>
      </c>
      <c r="CR14" s="178">
        <f t="shared" si="11"/>
        <v>-1454606.72</v>
      </c>
      <c r="CS14" s="178">
        <f t="shared" si="12"/>
        <v>0</v>
      </c>
      <c r="CT14" s="185">
        <f>+SUMIF('BS-Details'!$A:$A,CT$7&amp;" - "&amp;$C14,'BS-Details'!$J:$J)</f>
        <v>0</v>
      </c>
      <c r="CU14" s="170">
        <f>+SUMIF('BS-Details'!$A:$A,CU$7&amp;" - "&amp;$C14,'BS-Details'!$J:$J)</f>
        <v>0</v>
      </c>
      <c r="CV14" s="170">
        <f>+SUMIF('BS-Details'!$A:$A,CV$7&amp;" - "&amp;$C14,'BS-Details'!$J:$J)</f>
        <v>0</v>
      </c>
      <c r="CW14" s="189">
        <f>+SUMIF('BS-Details'!$A:$A,CW$7&amp;" - "&amp;$C14,'BS-Details'!$J:$J)</f>
        <v>0</v>
      </c>
      <c r="CX14" s="189">
        <f>+SUMIF('BS-Details'!$A:$A,CX$7&amp;" - "&amp;$C14,'BS-Details'!$J:$J)</f>
        <v>0</v>
      </c>
      <c r="CY14" s="189">
        <f t="shared" si="13"/>
        <v>0</v>
      </c>
      <c r="CZ14" s="178">
        <f>+SUMIF('BS-Details'!$A:$A,CZ$7&amp;" - "&amp;$C14,'BS-Details'!$J:$J)</f>
        <v>0</v>
      </c>
      <c r="DA14" s="178">
        <f>+SUMIF('BS-Details'!$A:$A,DA$7&amp;" - "&amp;$C14,'BS-Details'!$J:$J)</f>
        <v>0</v>
      </c>
      <c r="DB14" s="193"/>
    </row>
    <row r="15" spans="1:106" ht="15.75" customHeight="true">
      <c r="A15" s="161"/>
      <c r="B15" s="161" t="s">
        <v>13870</v>
      </c>
      <c r="C15" s="163" t="s">
        <v>13874</v>
      </c>
      <c r="D15" s="163" t="s">
        <v>13874</v>
      </c>
      <c r="E15" s="169">
        <f t="shared" si="2"/>
        <v>91582.69</v>
      </c>
      <c r="F15" s="169">
        <f t="shared" si="3"/>
        <v>91582.69</v>
      </c>
      <c r="G15" s="170">
        <f>+SUMIF('BS-Details'!$A:$A,G$7&amp;" - "&amp;$C15,'BS-Details'!$J:$J)</f>
        <v>0</v>
      </c>
      <c r="H15" s="170">
        <f>+SUMIF('BS-Details'!$A:$A,H$7&amp;" - "&amp;$C15,'BS-Details'!$J:$J)</f>
        <v>0</v>
      </c>
      <c r="I15" s="170">
        <f>+SUMIF('BS-Details'!$A:$A,I$7&amp;" - "&amp;$C15,'BS-Details'!$J:$J)</f>
        <v>0</v>
      </c>
      <c r="J15" s="170">
        <f>+SUMIF('BS-Details'!$A:$A,J$7&amp;" - "&amp;$C15,'BS-Details'!$J:$J)</f>
        <v>0</v>
      </c>
      <c r="K15" s="170">
        <f>+SUMIF('BS-Details'!$A:$A,K$7&amp;" - "&amp;$C15,'BS-Details'!$J:$J)</f>
        <v>0</v>
      </c>
      <c r="L15" s="178">
        <f t="shared" si="4"/>
        <v>0</v>
      </c>
      <c r="M15" s="170">
        <f>+SUMIF('BS-Details'!$A:$A,M$7&amp;" - "&amp;$C15,'BS-Details'!$J:$J)</f>
        <v>0</v>
      </c>
      <c r="N15" s="170">
        <f>+SUMIF('BS-Details'!$A:$A,N$7&amp;" - "&amp;$C15,'BS-Details'!$J:$J)</f>
        <v>0</v>
      </c>
      <c r="O15" s="178">
        <f t="shared" si="5"/>
        <v>0</v>
      </c>
      <c r="P15" s="170">
        <f>+SUMIF('BS-Details'!$A:$A,P$7&amp;" - "&amp;$C15,'BS-Details'!$J:$J)</f>
        <v>0</v>
      </c>
      <c r="Q15" s="170">
        <f>+SUMIF('BS-Details'!$A:$A,Q$7&amp;" - "&amp;$C15,'BS-Details'!$J:$J)</f>
        <v>0</v>
      </c>
      <c r="R15" s="170">
        <f>+SUMIF('BS-Details'!$A:$A,R$7&amp;" - "&amp;$C15,'BS-Details'!$J:$J)</f>
        <v>0</v>
      </c>
      <c r="S15" s="170">
        <f>+SUMIF('BS-Details'!$A:$A,S$7&amp;" - "&amp;$C15,'BS-Details'!$J:$J)</f>
        <v>0</v>
      </c>
      <c r="T15" s="170">
        <f>+SUMIF('BS-Details'!$A:$A,T$7&amp;" - "&amp;$C15,'BS-Details'!$J:$J)</f>
        <v>0</v>
      </c>
      <c r="U15" s="170">
        <f>+SUMIF('BS-Details'!$A:$A,U$7&amp;" - "&amp;$C15,'BS-Details'!$J:$J)</f>
        <v>0</v>
      </c>
      <c r="V15" s="169">
        <f t="shared" si="6"/>
        <v>0</v>
      </c>
      <c r="W15" s="170">
        <f>+SUMIF('BS-Details'!$A:$A,W$7&amp;" - "&amp;$C15,'BS-Details'!$J:$J)</f>
        <v>0</v>
      </c>
      <c r="X15" s="170">
        <f>+SUMIF('BS-Details'!$A:$A,X$7&amp;" - "&amp;$C15,'BS-Details'!$J:$J)</f>
        <v>0</v>
      </c>
      <c r="Y15" s="178">
        <f t="shared" si="7"/>
        <v>0</v>
      </c>
      <c r="Z15" s="170">
        <f>+SUMIF('BS-Details'!$A:$A,Z$7&amp;" - "&amp;$C15,'BS-Details'!$J:$J)</f>
        <v>0</v>
      </c>
      <c r="AA15" s="170">
        <f>+SUMIF('BS-Details'!$A:$A,AA$7&amp;" - "&amp;$C15,'BS-Details'!$J:$J)</f>
        <v>0</v>
      </c>
      <c r="AB15" s="178">
        <f t="shared" si="8"/>
        <v>0</v>
      </c>
      <c r="AC15" s="170">
        <f>+SUMIF('BS-Details'!$A:$A,AC$7&amp;" - "&amp;$C15,'BS-Details'!$J:$J)</f>
        <v>0</v>
      </c>
      <c r="AD15" s="170">
        <f>+SUMIF('BS-Details'!$A:$A,AD$7&amp;" - "&amp;$C15,'BS-Details'!$J:$J)</f>
        <v>0</v>
      </c>
      <c r="AE15" s="170">
        <f>+SUMIF('BS-Details'!$A:$A,AE$7&amp;" - "&amp;$C15,'BS-Details'!$J:$J)</f>
        <v>0</v>
      </c>
      <c r="AF15" s="170">
        <f>+SUMIF('BS-Details'!$A:$A,AF$7&amp;" - "&amp;$C15,'BS-Details'!$J:$J)</f>
        <v>0</v>
      </c>
      <c r="AG15" s="170">
        <f>+SUMIF('BS-Details'!$A:$A,AG$7&amp;" - "&amp;$C15,'BS-Details'!$J:$J)</f>
        <v>0</v>
      </c>
      <c r="AH15" s="170">
        <f>+SUMIF('BS-Details'!$A:$A,AH$7&amp;" - "&amp;$C15,'BS-Details'!$J:$J)</f>
        <v>0</v>
      </c>
      <c r="AI15" s="170">
        <f>+SUMIF('BS-Details'!$A:$A,AI$7&amp;" - "&amp;$C15,'BS-Details'!$J:$J)</f>
        <v>0</v>
      </c>
      <c r="AJ15" s="170">
        <f>+SUMIF('BS-Details'!$A:$A,AJ$7&amp;" - "&amp;$C15,'BS-Details'!$J:$J)</f>
        <v>0</v>
      </c>
      <c r="AK15" s="170">
        <f>+SUMIF('BS-Details'!$A:$A,AK$7&amp;" - "&amp;$C15,'BS-Details'!$J:$J)</f>
        <v>0</v>
      </c>
      <c r="AL15" s="178">
        <f t="shared" si="9"/>
        <v>0</v>
      </c>
      <c r="AM15" s="170">
        <f>+SUMIF('BS-Details'!$A:$A,AM$7&amp;" - "&amp;$C15,'BS-Details'!$J:$J)</f>
        <v>0</v>
      </c>
      <c r="AN15" s="170">
        <f>+SUMIF('BS-Details'!$A:$A,AN$7&amp;" - "&amp;$C15,'BS-Details'!$J:$J)</f>
        <v>1229</v>
      </c>
      <c r="AO15" s="170">
        <f>+SUMIF('BS-Details'!$A:$A,AO$7&amp;" - "&amp;$C15,'BS-Details'!$J:$J)</f>
        <v>7278.14</v>
      </c>
      <c r="AP15" s="170">
        <f>+SUMIF('BS-Details'!$A:$A,AP$7&amp;" - "&amp;$C15,'BS-Details'!$J:$J)</f>
        <v>0</v>
      </c>
      <c r="AQ15" s="170">
        <f>+SUMIF('BS-Details'!$A:$A,AQ$7&amp;" - "&amp;$C15,'BS-Details'!$J:$J)</f>
        <v>0</v>
      </c>
      <c r="AR15" s="170">
        <f>+SUMIF('BS-Details'!$A:$A,AR$7&amp;" - "&amp;$C15,'BS-Details'!$J:$J)</f>
        <v>0</v>
      </c>
      <c r="AS15" s="170">
        <f>+SUMIF('BS-Details'!$A:$A,AS$7&amp;" - "&amp;$C15,'BS-Details'!$J:$J)</f>
        <v>0</v>
      </c>
      <c r="AT15" s="170">
        <f>+SUMIF('BS-Details'!$A:$A,AT$7&amp;" - "&amp;$C15,'BS-Details'!$J:$J)</f>
        <v>0</v>
      </c>
      <c r="AU15" s="170">
        <f>+SUMIF('BS-Details'!$A:$A,AU$7&amp;" - "&amp;$C15,'BS-Details'!$J:$J)</f>
        <v>0</v>
      </c>
      <c r="AV15" s="170">
        <f>+SUMIF('BS-Details'!$A:$A,AV$7&amp;" - "&amp;$C15,'BS-Details'!$J:$J)</f>
        <v>0</v>
      </c>
      <c r="AW15" s="170">
        <f>+SUMIF('BS-Details'!$A:$A,AW$7&amp;" - "&amp;$C15,'BS-Details'!$J:$J)</f>
        <v>0</v>
      </c>
      <c r="AX15" s="170">
        <f>+SUMIF('BS-Details'!$A:$A,AX$7&amp;" - "&amp;$C15,'BS-Details'!$J:$J)</f>
        <v>0</v>
      </c>
      <c r="AY15" s="170">
        <f>+SUMIF('BS-Details'!$A:$A,AY$7&amp;" - "&amp;$C15,'BS-Details'!$J:$J)</f>
        <v>0</v>
      </c>
      <c r="AZ15" s="170">
        <f>+SUMIF('BS-Details'!$A:$A,AZ$7&amp;" - "&amp;$C15,'BS-Details'!$J:$J)</f>
        <v>0</v>
      </c>
      <c r="BA15" s="170">
        <f>+SUMIF('BS-Details'!$A:$A,BA$7&amp;" - "&amp;$C15,'BS-Details'!$J:$J)</f>
        <v>0</v>
      </c>
      <c r="BB15" s="170">
        <f>+SUMIF('BS-Details'!$A:$A,BB$7&amp;" - "&amp;$C15,'BS-Details'!$J:$J)</f>
        <v>0</v>
      </c>
      <c r="BC15" s="170">
        <f>+SUMIF('BS-Details'!$A:$A,BC$7&amp;" - "&amp;$C15,'BS-Details'!$J:$J)</f>
        <v>0</v>
      </c>
      <c r="BD15" s="170">
        <f>+SUMIF('BS-Details'!$A:$A,BD$7&amp;" - "&amp;$C15,'BS-Details'!$J:$J)</f>
        <v>0</v>
      </c>
      <c r="BE15" s="170">
        <f>+SUMIF('BS-Details'!$A:$A,BE$7&amp;" - "&amp;$C15,'BS-Details'!$J:$J)</f>
        <v>0</v>
      </c>
      <c r="BF15" s="170">
        <f>+SUMIF('BS-Details'!$A:$A,BF$7&amp;" - "&amp;$C15,'BS-Details'!$J:$J)</f>
        <v>0</v>
      </c>
      <c r="BG15" s="170">
        <f>+SUMIF('BS-Details'!$A:$A,BG$7&amp;" - "&amp;$C15,'BS-Details'!$J:$J)</f>
        <v>0</v>
      </c>
      <c r="BH15" s="170">
        <f>+SUMIF('BS-Details'!$A:$A,BH$7&amp;" - "&amp;$C15,'BS-Details'!$J:$J)</f>
        <v>0</v>
      </c>
      <c r="BI15" s="170">
        <f>+SUMIF('BS-Details'!$A:$A,BI$7&amp;" - "&amp;$C15,'BS-Details'!$J:$J)</f>
        <v>0</v>
      </c>
      <c r="BJ15" s="170">
        <f>+SUMIF('BS-Details'!$A:$A,BJ$7&amp;" - "&amp;$C15,'BS-Details'!$J:$J)</f>
        <v>0</v>
      </c>
      <c r="BK15" s="170">
        <f>+SUMIF('BS-Details'!$A:$A,BK$7&amp;" - "&amp;$C15,'BS-Details'!$J:$J)</f>
        <v>0</v>
      </c>
      <c r="BL15" s="170">
        <f>+SUMIF('BS-Details'!$A:$A,BL$7&amp;" - "&amp;$C15,'BS-Details'!$J:$J)</f>
        <v>0</v>
      </c>
      <c r="BM15" s="170">
        <f>+SUMIF('BS-Details'!$A:$A,BM$7&amp;" - "&amp;$C15,'BS-Details'!$J:$J)</f>
        <v>0</v>
      </c>
      <c r="BN15" s="170">
        <f>+SUMIF('BS-Details'!$A:$A,BN$7&amp;" - "&amp;$C15,'BS-Details'!$J:$J)</f>
        <v>0</v>
      </c>
      <c r="BO15" s="170">
        <f>+SUMIF('BS-Details'!$A:$A,BO$7&amp;" - "&amp;$C15,'BS-Details'!$J:$J)</f>
        <v>0</v>
      </c>
      <c r="BP15" s="170">
        <f>+SUMIF('BS-Details'!$A:$A,BP$7&amp;" - "&amp;$C15,'BS-Details'!$J:$J)</f>
        <v>0</v>
      </c>
      <c r="BQ15" s="170">
        <f>+SUMIF('BS-Details'!$A:$A,BQ$7&amp;" - "&amp;$C15,'BS-Details'!$J:$J)</f>
        <v>0</v>
      </c>
      <c r="BR15" s="170">
        <f>+SUMIF('BS-Details'!$A:$A,BR$7&amp;" - "&amp;$C15,'BS-Details'!$J:$J)</f>
        <v>5600</v>
      </c>
      <c r="BS15" s="170">
        <f>+SUMIF('BS-Details'!$A:$A,BS$7&amp;" - "&amp;$C15,'BS-Details'!$J:$J)</f>
        <v>0</v>
      </c>
      <c r="BT15" s="170">
        <f>+SUMIF('BS-Details'!$A:$A,BT$7&amp;" - "&amp;$C15,'BS-Details'!$J:$J)</f>
        <v>0</v>
      </c>
      <c r="BU15" s="170">
        <f>+SUMIF('BS-Details'!$A:$A,BU$7&amp;" - "&amp;$C15,'BS-Details'!$J:$J)</f>
        <v>0</v>
      </c>
      <c r="BV15" s="170">
        <f>+SUMIF('BS-Details'!$A:$A,BV$7&amp;" - "&amp;$C15,'BS-Details'!$J:$J)</f>
        <v>0</v>
      </c>
      <c r="BW15" s="170">
        <f>+SUMIF('BS-Details'!$A:$A,BW$7&amp;" - "&amp;$C15,'BS-Details'!$J:$J)</f>
        <v>1916.87</v>
      </c>
      <c r="BX15" s="170">
        <f>+SUMIF('BS-Details'!$A:$A,BX$7&amp;" - "&amp;$C15,'BS-Details'!$J:$J)</f>
        <v>0</v>
      </c>
      <c r="BY15" s="170">
        <f>+SUMIF('BS-Details'!$A:$A,BY$7&amp;" - "&amp;$C15,'BS-Details'!$J:$J)</f>
        <v>0</v>
      </c>
      <c r="BZ15" s="170">
        <f>+SUMIF('BS-Details'!$A:$A,BZ$7&amp;" - "&amp;$C15,'BS-Details'!$J:$J)</f>
        <v>4556.67</v>
      </c>
      <c r="CA15" s="170">
        <f>+SUMIF('BS-Details'!$A:$A,CA$7&amp;" - "&amp;$C15,'BS-Details'!$J:$J)</f>
        <v>0</v>
      </c>
      <c r="CB15" s="170">
        <f>+SUMIF('BS-Details'!$A:$A,CB$7&amp;" - "&amp;$C15,'BS-Details'!$J:$J)</f>
        <v>0</v>
      </c>
      <c r="CC15" s="170">
        <f>+SUMIF('BS-Details'!$A:$A,CC$7&amp;" - "&amp;$C15,'BS-Details'!$J:$J)</f>
        <v>0</v>
      </c>
      <c r="CD15" s="170">
        <f>+SUMIF('BS-Details'!$A:$A,CD$7&amp;" - "&amp;$C15,'BS-Details'!$J:$J)</f>
        <v>0</v>
      </c>
      <c r="CE15" s="170">
        <f>+SUMIF('BS-Details'!$A:$A,CE$7&amp;" - "&amp;$C15,'BS-Details'!$J:$J)</f>
        <v>0</v>
      </c>
      <c r="CF15" s="170">
        <f>+SUMIF('BS-Details'!$A:$A,CF$7&amp;" - "&amp;$C15,'BS-Details'!$J:$J)</f>
        <v>0</v>
      </c>
      <c r="CG15" s="170">
        <f>+SUMIF('BS-Details'!$A:$A,CG$7&amp;" - "&amp;$C15,'BS-Details'!$J:$J)</f>
        <v>0</v>
      </c>
      <c r="CH15" s="170">
        <f>+SUMIF('BS-Details'!$A:$A,CH$7&amp;" - "&amp;$C15,'BS-Details'!$J:$J)</f>
        <v>0</v>
      </c>
      <c r="CI15" s="170">
        <f>+SUMIF('BS-Details'!$A:$A,CI$7&amp;" - "&amp;$C15,'BS-Details'!$J:$J)</f>
        <v>0</v>
      </c>
      <c r="CJ15" s="170">
        <f>+SUMIF('BS-Details'!$A:$A,CJ$7&amp;" - "&amp;$C15,'BS-Details'!$J:$J)</f>
        <v>0</v>
      </c>
      <c r="CK15" s="170">
        <f>+SUMIF('BS-Details'!$A:$A,CK$7&amp;" - "&amp;$C15,'BS-Details'!$J:$J)</f>
        <v>0</v>
      </c>
      <c r="CL15" s="170">
        <f>+SUMIF('BS-Details'!$A:$A,CL$7&amp;" - "&amp;$C15,'BS-Details'!$J:$J)</f>
        <v>0</v>
      </c>
      <c r="CM15" s="170">
        <f>+SUMIF('BS-Details'!$A:$A,CM$7&amp;" - "&amp;$C15,'BS-Details'!$J:$J)</f>
        <v>4320.34</v>
      </c>
      <c r="CN15" s="170">
        <f>+SUMIF('BS-Details'!$A:$A,CN$7&amp;" - "&amp;$C15,'BS-Details'!$J:$J)</f>
        <v>6600.13</v>
      </c>
      <c r="CO15" s="170">
        <f>+SUMIF('BS-Details'!$A:$A,CO$7&amp;" - "&amp;$C15,'BS-Details'!$J:$J)</f>
        <v>60081.54</v>
      </c>
      <c r="CP15" s="170"/>
      <c r="CQ15" s="178">
        <f t="shared" si="10"/>
        <v>91582.69</v>
      </c>
      <c r="CR15" s="178">
        <f t="shared" si="11"/>
        <v>91582.69</v>
      </c>
      <c r="CS15" s="178">
        <f t="shared" si="12"/>
        <v>0</v>
      </c>
      <c r="CT15" s="185">
        <f>+SUMIF('BS-Details'!$A:$A,CT$7&amp;" - "&amp;$C15,'BS-Details'!$J:$J)</f>
        <v>0</v>
      </c>
      <c r="CU15" s="170">
        <f>+SUMIF('BS-Details'!$A:$A,CU$7&amp;" - "&amp;$C15,'BS-Details'!$J:$J)</f>
        <v>0</v>
      </c>
      <c r="CV15" s="170">
        <f>+SUMIF('BS-Details'!$A:$A,CV$7&amp;" - "&amp;$C15,'BS-Details'!$J:$J)</f>
        <v>0</v>
      </c>
      <c r="CW15" s="189">
        <f>+SUMIF('BS-Details'!$A:$A,CW$7&amp;" - "&amp;$C15,'BS-Details'!$J:$J)</f>
        <v>0</v>
      </c>
      <c r="CX15" s="189">
        <f>+SUMIF('BS-Details'!$A:$A,CX$7&amp;" - "&amp;$C15,'BS-Details'!$J:$J)</f>
        <v>0</v>
      </c>
      <c r="CY15" s="189">
        <f t="shared" si="13"/>
        <v>0</v>
      </c>
      <c r="CZ15" s="178">
        <f>+SUMIF('BS-Details'!$A:$A,CZ$7&amp;" - "&amp;$C15,'BS-Details'!$J:$J)</f>
        <v>0</v>
      </c>
      <c r="DA15" s="178">
        <f>+SUMIF('BS-Details'!$A:$A,DA$7&amp;" - "&amp;$C15,'BS-Details'!$J:$J)</f>
        <v>0</v>
      </c>
      <c r="DB15" s="193"/>
    </row>
    <row r="16" spans="1:106" ht="15" customHeight="true">
      <c r="A16" s="161"/>
      <c r="B16" s="161" t="s">
        <v>13870</v>
      </c>
      <c r="C16" s="164" t="s">
        <v>13875</v>
      </c>
      <c r="D16" s="164" t="s">
        <v>13875</v>
      </c>
      <c r="E16" s="169">
        <f t="shared" si="2"/>
        <v>0</v>
      </c>
      <c r="F16" s="169">
        <f t="shared" si="3"/>
        <v>0</v>
      </c>
      <c r="G16" s="170">
        <f>+SUMIF('BS-Details'!$A:$A,G$7&amp;" - "&amp;$C16,'BS-Details'!$J:$J)</f>
        <v>0</v>
      </c>
      <c r="H16" s="170">
        <f>+SUMIF('BS-Details'!$A:$A,H$7&amp;" - "&amp;$C16,'BS-Details'!$J:$J)</f>
        <v>0</v>
      </c>
      <c r="I16" s="170">
        <f>+SUMIF('BS-Details'!$A:$A,I$7&amp;" - "&amp;$C16,'BS-Details'!$J:$J)</f>
        <v>0</v>
      </c>
      <c r="J16" s="170">
        <f>+SUMIF('BS-Details'!$A:$A,J$7&amp;" - "&amp;$C16,'BS-Details'!$J:$J)</f>
        <v>0</v>
      </c>
      <c r="K16" s="170">
        <f>+SUMIF('BS-Details'!$A:$A,K$7&amp;" - "&amp;$C16,'BS-Details'!$J:$J)</f>
        <v>0</v>
      </c>
      <c r="L16" s="178">
        <f t="shared" si="4"/>
        <v>0</v>
      </c>
      <c r="M16" s="170">
        <f>+SUMIF('BS-Details'!$A:$A,M$7&amp;" - "&amp;$C16,'BS-Details'!$J:$J)</f>
        <v>0</v>
      </c>
      <c r="N16" s="170">
        <f>+SUMIF('BS-Details'!$A:$A,N$7&amp;" - "&amp;$C16,'BS-Details'!$J:$J)</f>
        <v>0</v>
      </c>
      <c r="O16" s="178">
        <f t="shared" si="5"/>
        <v>0</v>
      </c>
      <c r="P16" s="170">
        <f>+SUMIF('BS-Details'!$A:$A,P$7&amp;" - "&amp;$C16,'BS-Details'!$J:$J)</f>
        <v>0</v>
      </c>
      <c r="Q16" s="170">
        <f>+SUMIF('BS-Details'!$A:$A,Q$7&amp;" - "&amp;$C16,'BS-Details'!$J:$J)</f>
        <v>0</v>
      </c>
      <c r="R16" s="170">
        <f>+SUMIF('BS-Details'!$A:$A,R$7&amp;" - "&amp;$C16,'BS-Details'!$J:$J)</f>
        <v>0</v>
      </c>
      <c r="S16" s="170">
        <f>+SUMIF('BS-Details'!$A:$A,S$7&amp;" - "&amp;$C16,'BS-Details'!$J:$J)</f>
        <v>0</v>
      </c>
      <c r="T16" s="170">
        <f>+SUMIF('BS-Details'!$A:$A,T$7&amp;" - "&amp;$C16,'BS-Details'!$J:$J)</f>
        <v>0</v>
      </c>
      <c r="U16" s="170">
        <f>+SUMIF('BS-Details'!$A:$A,U$7&amp;" - "&amp;$C16,'BS-Details'!$J:$J)</f>
        <v>0</v>
      </c>
      <c r="V16" s="169">
        <f t="shared" si="6"/>
        <v>0</v>
      </c>
      <c r="W16" s="170">
        <f>+SUMIF('BS-Details'!$A:$A,W$7&amp;" - "&amp;$C16,'BS-Details'!$J:$J)</f>
        <v>0</v>
      </c>
      <c r="X16" s="170">
        <f>+SUMIF('BS-Details'!$A:$A,X$7&amp;" - "&amp;$C16,'BS-Details'!$J:$J)</f>
        <v>0</v>
      </c>
      <c r="Y16" s="178">
        <f t="shared" si="7"/>
        <v>0</v>
      </c>
      <c r="Z16" s="170">
        <f>+SUMIF('BS-Details'!$A:$A,Z$7&amp;" - "&amp;$C16,'BS-Details'!$J:$J)</f>
        <v>0</v>
      </c>
      <c r="AA16" s="170">
        <f>+SUMIF('BS-Details'!$A:$A,AA$7&amp;" - "&amp;$C16,'BS-Details'!$J:$J)</f>
        <v>0</v>
      </c>
      <c r="AB16" s="178">
        <f t="shared" si="8"/>
        <v>0</v>
      </c>
      <c r="AC16" s="170">
        <f>+SUMIF('BS-Details'!$A:$A,AC$7&amp;" - "&amp;$C16,'BS-Details'!$J:$J)</f>
        <v>0</v>
      </c>
      <c r="AD16" s="170">
        <f>+SUMIF('BS-Details'!$A:$A,AD$7&amp;" - "&amp;$C16,'BS-Details'!$J:$J)</f>
        <v>0</v>
      </c>
      <c r="AE16" s="170">
        <f>+SUMIF('BS-Details'!$A:$A,AE$7&amp;" - "&amp;$C16,'BS-Details'!$J:$J)</f>
        <v>0</v>
      </c>
      <c r="AF16" s="170">
        <f>+SUMIF('BS-Details'!$A:$A,AF$7&amp;" - "&amp;$C16,'BS-Details'!$J:$J)</f>
        <v>0</v>
      </c>
      <c r="AG16" s="170">
        <f>+SUMIF('BS-Details'!$A:$A,AG$7&amp;" - "&amp;$C16,'BS-Details'!$J:$J)</f>
        <v>0</v>
      </c>
      <c r="AH16" s="170">
        <f>+SUMIF('BS-Details'!$A:$A,AH$7&amp;" - "&amp;$C16,'BS-Details'!$J:$J)</f>
        <v>0</v>
      </c>
      <c r="AI16" s="170">
        <f>+SUMIF('BS-Details'!$A:$A,AI$7&amp;" - "&amp;$C16,'BS-Details'!$J:$J)</f>
        <v>0</v>
      </c>
      <c r="AJ16" s="170">
        <f>+SUMIF('BS-Details'!$A:$A,AJ$7&amp;" - "&amp;$C16,'BS-Details'!$J:$J)</f>
        <v>0</v>
      </c>
      <c r="AK16" s="170">
        <f>+SUMIF('BS-Details'!$A:$A,AK$7&amp;" - "&amp;$C16,'BS-Details'!$J:$J)</f>
        <v>0</v>
      </c>
      <c r="AL16" s="178">
        <f t="shared" si="9"/>
        <v>0</v>
      </c>
      <c r="AM16" s="170">
        <f>+SUMIF('BS-Details'!$A:$A,AM$7&amp;" - "&amp;$C16,'BS-Details'!$J:$J)</f>
        <v>0</v>
      </c>
      <c r="AN16" s="170">
        <f>+SUMIF('BS-Details'!$A:$A,AN$7&amp;" - "&amp;$C16,'BS-Details'!$J:$J)</f>
        <v>0</v>
      </c>
      <c r="AO16" s="170">
        <f>+SUMIF('BS-Details'!$A:$A,AO$7&amp;" - "&amp;$C16,'BS-Details'!$J:$J)</f>
        <v>0</v>
      </c>
      <c r="AP16" s="170">
        <f>+SUMIF('BS-Details'!$A:$A,AP$7&amp;" - "&amp;$C16,'BS-Details'!$J:$J)</f>
        <v>0</v>
      </c>
      <c r="AQ16" s="170">
        <f>+SUMIF('BS-Details'!$A:$A,AQ$7&amp;" - "&amp;$C16,'BS-Details'!$J:$J)</f>
        <v>0</v>
      </c>
      <c r="AR16" s="170">
        <f>+SUMIF('BS-Details'!$A:$A,AR$7&amp;" - "&amp;$C16,'BS-Details'!$J:$J)</f>
        <v>0</v>
      </c>
      <c r="AS16" s="170">
        <f>+SUMIF('BS-Details'!$A:$A,AS$7&amp;" - "&amp;$C16,'BS-Details'!$J:$J)</f>
        <v>0</v>
      </c>
      <c r="AT16" s="170">
        <f>+SUMIF('BS-Details'!$A:$A,AT$7&amp;" - "&amp;$C16,'BS-Details'!$J:$J)</f>
        <v>0</v>
      </c>
      <c r="AU16" s="170">
        <f>+SUMIF('BS-Details'!$A:$A,AU$7&amp;" - "&amp;$C16,'BS-Details'!$J:$J)</f>
        <v>0</v>
      </c>
      <c r="AV16" s="170">
        <f>+SUMIF('BS-Details'!$A:$A,AV$7&amp;" - "&amp;$C16,'BS-Details'!$J:$J)</f>
        <v>0</v>
      </c>
      <c r="AW16" s="170">
        <f>+SUMIF('BS-Details'!$A:$A,AW$7&amp;" - "&amp;$C16,'BS-Details'!$J:$J)</f>
        <v>0</v>
      </c>
      <c r="AX16" s="170">
        <f>+SUMIF('BS-Details'!$A:$A,AX$7&amp;" - "&amp;$C16,'BS-Details'!$J:$J)</f>
        <v>0</v>
      </c>
      <c r="AY16" s="170">
        <f>+SUMIF('BS-Details'!$A:$A,AY$7&amp;" - "&amp;$C16,'BS-Details'!$J:$J)</f>
        <v>0</v>
      </c>
      <c r="AZ16" s="170">
        <f>+SUMIF('BS-Details'!$A:$A,AZ$7&amp;" - "&amp;$C16,'BS-Details'!$J:$J)</f>
        <v>0</v>
      </c>
      <c r="BA16" s="170">
        <f>+SUMIF('BS-Details'!$A:$A,BA$7&amp;" - "&amp;$C16,'BS-Details'!$J:$J)</f>
        <v>0</v>
      </c>
      <c r="BB16" s="170">
        <f>+SUMIF('BS-Details'!$A:$A,BB$7&amp;" - "&amp;$C16,'BS-Details'!$J:$J)</f>
        <v>0</v>
      </c>
      <c r="BC16" s="170">
        <f>+SUMIF('BS-Details'!$A:$A,BC$7&amp;" - "&amp;$C16,'BS-Details'!$J:$J)</f>
        <v>0</v>
      </c>
      <c r="BD16" s="170">
        <f>+SUMIF('BS-Details'!$A:$A,BD$7&amp;" - "&amp;$C16,'BS-Details'!$J:$J)</f>
        <v>0</v>
      </c>
      <c r="BE16" s="170">
        <f>+SUMIF('BS-Details'!$A:$A,BE$7&amp;" - "&amp;$C16,'BS-Details'!$J:$J)</f>
        <v>0</v>
      </c>
      <c r="BF16" s="170">
        <f>+SUMIF('BS-Details'!$A:$A,BF$7&amp;" - "&amp;$C16,'BS-Details'!$J:$J)</f>
        <v>0</v>
      </c>
      <c r="BG16" s="170">
        <f>+SUMIF('BS-Details'!$A:$A,BG$7&amp;" - "&amp;$C16,'BS-Details'!$J:$J)</f>
        <v>0</v>
      </c>
      <c r="BH16" s="170">
        <f>+SUMIF('BS-Details'!$A:$A,BH$7&amp;" - "&amp;$C16,'BS-Details'!$J:$J)</f>
        <v>0</v>
      </c>
      <c r="BI16" s="170">
        <f>+SUMIF('BS-Details'!$A:$A,BI$7&amp;" - "&amp;$C16,'BS-Details'!$J:$J)</f>
        <v>0</v>
      </c>
      <c r="BJ16" s="170">
        <f>+SUMIF('BS-Details'!$A:$A,BJ$7&amp;" - "&amp;$C16,'BS-Details'!$J:$J)</f>
        <v>0</v>
      </c>
      <c r="BK16" s="170">
        <f>+SUMIF('BS-Details'!$A:$A,BK$7&amp;" - "&amp;$C16,'BS-Details'!$J:$J)</f>
        <v>0</v>
      </c>
      <c r="BL16" s="170">
        <f>+SUMIF('BS-Details'!$A:$A,BL$7&amp;" - "&amp;$C16,'BS-Details'!$J:$J)</f>
        <v>0</v>
      </c>
      <c r="BM16" s="170">
        <f>+SUMIF('BS-Details'!$A:$A,BM$7&amp;" - "&amp;$C16,'BS-Details'!$J:$J)</f>
        <v>0</v>
      </c>
      <c r="BN16" s="170">
        <f>+SUMIF('BS-Details'!$A:$A,BN$7&amp;" - "&amp;$C16,'BS-Details'!$J:$J)</f>
        <v>0</v>
      </c>
      <c r="BO16" s="170">
        <f>+SUMIF('BS-Details'!$A:$A,BO$7&amp;" - "&amp;$C16,'BS-Details'!$J:$J)</f>
        <v>0</v>
      </c>
      <c r="BP16" s="170">
        <f>+SUMIF('BS-Details'!$A:$A,BP$7&amp;" - "&amp;$C16,'BS-Details'!$J:$J)</f>
        <v>0</v>
      </c>
      <c r="BQ16" s="170">
        <f>+SUMIF('BS-Details'!$A:$A,BQ$7&amp;" - "&amp;$C16,'BS-Details'!$J:$J)</f>
        <v>0</v>
      </c>
      <c r="BR16" s="170">
        <f>+SUMIF('BS-Details'!$A:$A,BR$7&amp;" - "&amp;$C16,'BS-Details'!$J:$J)</f>
        <v>0</v>
      </c>
      <c r="BS16" s="170">
        <f>+SUMIF('BS-Details'!$A:$A,BS$7&amp;" - "&amp;$C16,'BS-Details'!$J:$J)</f>
        <v>0</v>
      </c>
      <c r="BT16" s="170">
        <f>+SUMIF('BS-Details'!$A:$A,BT$7&amp;" - "&amp;$C16,'BS-Details'!$J:$J)</f>
        <v>0</v>
      </c>
      <c r="BU16" s="170">
        <f>+SUMIF('BS-Details'!$A:$A,BU$7&amp;" - "&amp;$C16,'BS-Details'!$J:$J)</f>
        <v>0</v>
      </c>
      <c r="BV16" s="170">
        <f>+SUMIF('BS-Details'!$A:$A,BV$7&amp;" - "&amp;$C16,'BS-Details'!$J:$J)</f>
        <v>0</v>
      </c>
      <c r="BW16" s="170">
        <f>+SUMIF('BS-Details'!$A:$A,BW$7&amp;" - "&amp;$C16,'BS-Details'!$J:$J)</f>
        <v>0</v>
      </c>
      <c r="BX16" s="170">
        <f>+SUMIF('BS-Details'!$A:$A,BX$7&amp;" - "&amp;$C16,'BS-Details'!$J:$J)</f>
        <v>0</v>
      </c>
      <c r="BY16" s="170">
        <f>+SUMIF('BS-Details'!$A:$A,BY$7&amp;" - "&amp;$C16,'BS-Details'!$J:$J)</f>
        <v>0</v>
      </c>
      <c r="BZ16" s="170">
        <f>+SUMIF('BS-Details'!$A:$A,BZ$7&amp;" - "&amp;$C16,'BS-Details'!$J:$J)</f>
        <v>0</v>
      </c>
      <c r="CA16" s="170">
        <f>+SUMIF('BS-Details'!$A:$A,CA$7&amp;" - "&amp;$C16,'BS-Details'!$J:$J)</f>
        <v>0</v>
      </c>
      <c r="CB16" s="170">
        <f>+SUMIF('BS-Details'!$A:$A,CB$7&amp;" - "&amp;$C16,'BS-Details'!$J:$J)</f>
        <v>0</v>
      </c>
      <c r="CC16" s="170">
        <f>+SUMIF('BS-Details'!$A:$A,CC$7&amp;" - "&amp;$C16,'BS-Details'!$J:$J)</f>
        <v>0</v>
      </c>
      <c r="CD16" s="170">
        <f>+SUMIF('BS-Details'!$A:$A,CD$7&amp;" - "&amp;$C16,'BS-Details'!$J:$J)</f>
        <v>0</v>
      </c>
      <c r="CE16" s="170">
        <f>+SUMIF('BS-Details'!$A:$A,CE$7&amp;" - "&amp;$C16,'BS-Details'!$J:$J)</f>
        <v>0</v>
      </c>
      <c r="CF16" s="170">
        <f>+SUMIF('BS-Details'!$A:$A,CF$7&amp;" - "&amp;$C16,'BS-Details'!$J:$J)</f>
        <v>0</v>
      </c>
      <c r="CG16" s="170">
        <f>+SUMIF('BS-Details'!$A:$A,CG$7&amp;" - "&amp;$C16,'BS-Details'!$J:$J)</f>
        <v>0</v>
      </c>
      <c r="CH16" s="170">
        <f>+SUMIF('BS-Details'!$A:$A,CH$7&amp;" - "&amp;$C16,'BS-Details'!$J:$J)</f>
        <v>0</v>
      </c>
      <c r="CI16" s="170">
        <f>+SUMIF('BS-Details'!$A:$A,CI$7&amp;" - "&amp;$C16,'BS-Details'!$J:$J)</f>
        <v>0</v>
      </c>
      <c r="CJ16" s="170">
        <f>+SUMIF('BS-Details'!$A:$A,CJ$7&amp;" - "&amp;$C16,'BS-Details'!$J:$J)</f>
        <v>0</v>
      </c>
      <c r="CK16" s="170">
        <f>+SUMIF('BS-Details'!$A:$A,CK$7&amp;" - "&amp;$C16,'BS-Details'!$J:$J)</f>
        <v>0</v>
      </c>
      <c r="CL16" s="170">
        <f>+SUMIF('BS-Details'!$A:$A,CL$7&amp;" - "&amp;$C16,'BS-Details'!$J:$J)</f>
        <v>0</v>
      </c>
      <c r="CM16" s="170">
        <f>+SUMIF('BS-Details'!$A:$A,CM$7&amp;" - "&amp;$C16,'BS-Details'!$J:$J)</f>
        <v>0</v>
      </c>
      <c r="CN16" s="170">
        <f>+SUMIF('BS-Details'!$A:$A,CN$7&amp;" - "&amp;$C16,'BS-Details'!$J:$J)</f>
        <v>0</v>
      </c>
      <c r="CO16" s="170">
        <f>+SUMIF('BS-Details'!$A:$A,CO$7&amp;" - "&amp;$C16,'BS-Details'!$J:$J)</f>
        <v>0</v>
      </c>
      <c r="CP16" s="170"/>
      <c r="CQ16" s="178">
        <f t="shared" si="10"/>
        <v>0</v>
      </c>
      <c r="CR16" s="178">
        <f t="shared" si="11"/>
        <v>0</v>
      </c>
      <c r="CS16" s="178">
        <f t="shared" si="12"/>
        <v>0</v>
      </c>
      <c r="CT16" s="185">
        <f>+SUMIF('BS-Details'!$A:$A,CT$7&amp;" - "&amp;$C16,'BS-Details'!$J:$J)</f>
        <v>0</v>
      </c>
      <c r="CU16" s="170">
        <f>+SUMIF('BS-Details'!$A:$A,CU$7&amp;" - "&amp;$C16,'BS-Details'!$J:$J)</f>
        <v>0</v>
      </c>
      <c r="CV16" s="170">
        <f>+SUMIF('BS-Details'!$A:$A,CV$7&amp;" - "&amp;$C16,'BS-Details'!$J:$J)</f>
        <v>0</v>
      </c>
      <c r="CW16" s="189">
        <f>+SUMIF('BS-Details'!$A:$A,CW$7&amp;" - "&amp;$C16,'BS-Details'!$J:$J)</f>
        <v>0</v>
      </c>
      <c r="CX16" s="189">
        <f>+SUMIF('BS-Details'!$A:$A,CX$7&amp;" - "&amp;$C16,'BS-Details'!$J:$J)</f>
        <v>0</v>
      </c>
      <c r="CY16" s="189">
        <f t="shared" si="13"/>
        <v>0</v>
      </c>
      <c r="CZ16" s="178">
        <f>+SUMIF('BS-Details'!$A:$A,CZ$7&amp;" - "&amp;$C16,'BS-Details'!$J:$J)</f>
        <v>0</v>
      </c>
      <c r="DA16" s="178">
        <f>+SUMIF('BS-Details'!$A:$A,DA$7&amp;" - "&amp;$C16,'BS-Details'!$J:$J)</f>
        <v>0</v>
      </c>
      <c r="DB16" s="193"/>
    </row>
    <row r="17" spans="1:106" ht="15" customHeight="true">
      <c r="A17" s="161"/>
      <c r="B17" s="161" t="s">
        <v>13870</v>
      </c>
      <c r="C17" s="164" t="s">
        <v>13876</v>
      </c>
      <c r="D17" s="164" t="s">
        <v>13876</v>
      </c>
      <c r="E17" s="169">
        <f t="shared" si="2"/>
        <v>12804.34</v>
      </c>
      <c r="F17" s="169">
        <f t="shared" si="3"/>
        <v>12804.34</v>
      </c>
      <c r="G17" s="170">
        <f>+SUMIF('BS-Details'!$A:$A,G$7&amp;" - "&amp;$C17,'BS-Details'!$J:$J)</f>
        <v>0</v>
      </c>
      <c r="H17" s="170">
        <f>+SUMIF('BS-Details'!$A:$A,H$7&amp;" - "&amp;$C17,'BS-Details'!$J:$J)</f>
        <v>0</v>
      </c>
      <c r="I17" s="170">
        <f>+SUMIF('BS-Details'!$A:$A,I$7&amp;" - "&amp;$C17,'BS-Details'!$J:$J)</f>
        <v>0</v>
      </c>
      <c r="J17" s="170">
        <f>+SUMIF('BS-Details'!$A:$A,J$7&amp;" - "&amp;$C17,'BS-Details'!$J:$J)</f>
        <v>0</v>
      </c>
      <c r="K17" s="170">
        <f>+SUMIF('BS-Details'!$A:$A,K$7&amp;" - "&amp;$C17,'BS-Details'!$J:$J)</f>
        <v>0</v>
      </c>
      <c r="L17" s="178">
        <f t="shared" si="4"/>
        <v>0</v>
      </c>
      <c r="M17" s="170">
        <f>+SUMIF('BS-Details'!$A:$A,M$7&amp;" - "&amp;$C17,'BS-Details'!$J:$J)</f>
        <v>0</v>
      </c>
      <c r="N17" s="170">
        <f>+SUMIF('BS-Details'!$A:$A,N$7&amp;" - "&amp;$C17,'BS-Details'!$J:$J)</f>
        <v>0</v>
      </c>
      <c r="O17" s="178">
        <f t="shared" si="5"/>
        <v>0</v>
      </c>
      <c r="P17" s="170">
        <f>+SUMIF('BS-Details'!$A:$A,P$7&amp;" - "&amp;$C17,'BS-Details'!$J:$J)</f>
        <v>0</v>
      </c>
      <c r="Q17" s="170">
        <f>+SUMIF('BS-Details'!$A:$A,Q$7&amp;" - "&amp;$C17,'BS-Details'!$J:$J)</f>
        <v>0</v>
      </c>
      <c r="R17" s="170">
        <f>+SUMIF('BS-Details'!$A:$A,R$7&amp;" - "&amp;$C17,'BS-Details'!$J:$J)</f>
        <v>0</v>
      </c>
      <c r="S17" s="170">
        <f>+SUMIF('BS-Details'!$A:$A,S$7&amp;" - "&amp;$C17,'BS-Details'!$J:$J)</f>
        <v>0</v>
      </c>
      <c r="T17" s="170">
        <f>+SUMIF('BS-Details'!$A:$A,T$7&amp;" - "&amp;$C17,'BS-Details'!$J:$J)</f>
        <v>0</v>
      </c>
      <c r="U17" s="170">
        <f>+SUMIF('BS-Details'!$A:$A,U$7&amp;" - "&amp;$C17,'BS-Details'!$J:$J)</f>
        <v>0</v>
      </c>
      <c r="V17" s="169">
        <f t="shared" si="6"/>
        <v>0</v>
      </c>
      <c r="W17" s="170">
        <f>+SUMIF('BS-Details'!$A:$A,W$7&amp;" - "&amp;$C17,'BS-Details'!$J:$J)</f>
        <v>0</v>
      </c>
      <c r="X17" s="170">
        <f>+SUMIF('BS-Details'!$A:$A,X$7&amp;" - "&amp;$C17,'BS-Details'!$J:$J)</f>
        <v>0</v>
      </c>
      <c r="Y17" s="178">
        <f t="shared" si="7"/>
        <v>0</v>
      </c>
      <c r="Z17" s="170">
        <f>+SUMIF('BS-Details'!$A:$A,Z$7&amp;" - "&amp;$C17,'BS-Details'!$J:$J)</f>
        <v>0</v>
      </c>
      <c r="AA17" s="170">
        <f>+SUMIF('BS-Details'!$A:$A,AA$7&amp;" - "&amp;$C17,'BS-Details'!$J:$J)</f>
        <v>0</v>
      </c>
      <c r="AB17" s="178">
        <f t="shared" si="8"/>
        <v>0</v>
      </c>
      <c r="AC17" s="170">
        <f>+SUMIF('BS-Details'!$A:$A,AC$7&amp;" - "&amp;$C17,'BS-Details'!$J:$J)</f>
        <v>0</v>
      </c>
      <c r="AD17" s="170">
        <f>+SUMIF('BS-Details'!$A:$A,AD$7&amp;" - "&amp;$C17,'BS-Details'!$J:$J)</f>
        <v>0</v>
      </c>
      <c r="AE17" s="170">
        <f>+SUMIF('BS-Details'!$A:$A,AE$7&amp;" - "&amp;$C17,'BS-Details'!$J:$J)</f>
        <v>0</v>
      </c>
      <c r="AF17" s="170">
        <f>+SUMIF('BS-Details'!$A:$A,AF$7&amp;" - "&amp;$C17,'BS-Details'!$J:$J)</f>
        <v>0</v>
      </c>
      <c r="AG17" s="170">
        <f>+SUMIF('BS-Details'!$A:$A,AG$7&amp;" - "&amp;$C17,'BS-Details'!$J:$J)</f>
        <v>0</v>
      </c>
      <c r="AH17" s="170">
        <f>+SUMIF('BS-Details'!$A:$A,AH$7&amp;" - "&amp;$C17,'BS-Details'!$J:$J)</f>
        <v>0</v>
      </c>
      <c r="AI17" s="170">
        <f>+SUMIF('BS-Details'!$A:$A,AI$7&amp;" - "&amp;$C17,'BS-Details'!$J:$J)</f>
        <v>0</v>
      </c>
      <c r="AJ17" s="170">
        <f>+SUMIF('BS-Details'!$A:$A,AJ$7&amp;" - "&amp;$C17,'BS-Details'!$J:$J)</f>
        <v>0</v>
      </c>
      <c r="AK17" s="170">
        <f>+SUMIF('BS-Details'!$A:$A,AK$7&amp;" - "&amp;$C17,'BS-Details'!$J:$J)</f>
        <v>0</v>
      </c>
      <c r="AL17" s="178">
        <f t="shared" si="9"/>
        <v>0</v>
      </c>
      <c r="AM17" s="170">
        <f>+SUMIF('BS-Details'!$A:$A,AM$7&amp;" - "&amp;$C17,'BS-Details'!$J:$J)</f>
        <v>0</v>
      </c>
      <c r="AN17" s="170">
        <f>+SUMIF('BS-Details'!$A:$A,AN$7&amp;" - "&amp;$C17,'BS-Details'!$J:$J)</f>
        <v>1633.34</v>
      </c>
      <c r="AO17" s="170">
        <f>+SUMIF('BS-Details'!$A:$A,AO$7&amp;" - "&amp;$C17,'BS-Details'!$J:$J)</f>
        <v>2948</v>
      </c>
      <c r="AP17" s="170">
        <f>+SUMIF('BS-Details'!$A:$A,AP$7&amp;" - "&amp;$C17,'BS-Details'!$J:$J)</f>
        <v>0</v>
      </c>
      <c r="AQ17" s="170">
        <f>+SUMIF('BS-Details'!$A:$A,AQ$7&amp;" - "&amp;$C17,'BS-Details'!$J:$J)</f>
        <v>2660</v>
      </c>
      <c r="AR17" s="170">
        <f>+SUMIF('BS-Details'!$A:$A,AR$7&amp;" - "&amp;$C17,'BS-Details'!$J:$J)</f>
        <v>0</v>
      </c>
      <c r="AS17" s="170">
        <f>+SUMIF('BS-Details'!$A:$A,AS$7&amp;" - "&amp;$C17,'BS-Details'!$J:$J)</f>
        <v>0</v>
      </c>
      <c r="AT17" s="170">
        <f>+SUMIF('BS-Details'!$A:$A,AT$7&amp;" - "&amp;$C17,'BS-Details'!$J:$J)</f>
        <v>0</v>
      </c>
      <c r="AU17" s="170">
        <f>+SUMIF('BS-Details'!$A:$A,AU$7&amp;" - "&amp;$C17,'BS-Details'!$J:$J)</f>
        <v>0</v>
      </c>
      <c r="AV17" s="170">
        <f>+SUMIF('BS-Details'!$A:$A,AV$7&amp;" - "&amp;$C17,'BS-Details'!$J:$J)</f>
        <v>0</v>
      </c>
      <c r="AW17" s="170">
        <f>+SUMIF('BS-Details'!$A:$A,AW$7&amp;" - "&amp;$C17,'BS-Details'!$J:$J)</f>
        <v>0</v>
      </c>
      <c r="AX17" s="170">
        <f>+SUMIF('BS-Details'!$A:$A,AX$7&amp;" - "&amp;$C17,'BS-Details'!$J:$J)</f>
        <v>0</v>
      </c>
      <c r="AY17" s="170">
        <f>+SUMIF('BS-Details'!$A:$A,AY$7&amp;" - "&amp;$C17,'BS-Details'!$J:$J)</f>
        <v>0</v>
      </c>
      <c r="AZ17" s="170">
        <f>+SUMIF('BS-Details'!$A:$A,AZ$7&amp;" - "&amp;$C17,'BS-Details'!$J:$J)</f>
        <v>0</v>
      </c>
      <c r="BA17" s="170">
        <f>+SUMIF('BS-Details'!$A:$A,BA$7&amp;" - "&amp;$C17,'BS-Details'!$J:$J)</f>
        <v>0</v>
      </c>
      <c r="BB17" s="170">
        <f>+SUMIF('BS-Details'!$A:$A,BB$7&amp;" - "&amp;$C17,'BS-Details'!$J:$J)</f>
        <v>0</v>
      </c>
      <c r="BC17" s="170">
        <f>+SUMIF('BS-Details'!$A:$A,BC$7&amp;" - "&amp;$C17,'BS-Details'!$J:$J)</f>
        <v>0</v>
      </c>
      <c r="BD17" s="170">
        <f>+SUMIF('BS-Details'!$A:$A,BD$7&amp;" - "&amp;$C17,'BS-Details'!$J:$J)</f>
        <v>0</v>
      </c>
      <c r="BE17" s="170">
        <f>+SUMIF('BS-Details'!$A:$A,BE$7&amp;" - "&amp;$C17,'BS-Details'!$J:$J)</f>
        <v>0</v>
      </c>
      <c r="BF17" s="170">
        <f>+SUMIF('BS-Details'!$A:$A,BF$7&amp;" - "&amp;$C17,'BS-Details'!$J:$J)</f>
        <v>0</v>
      </c>
      <c r="BG17" s="170">
        <f>+SUMIF('BS-Details'!$A:$A,BG$7&amp;" - "&amp;$C17,'BS-Details'!$J:$J)</f>
        <v>0</v>
      </c>
      <c r="BH17" s="170">
        <f>+SUMIF('BS-Details'!$A:$A,BH$7&amp;" - "&amp;$C17,'BS-Details'!$J:$J)</f>
        <v>0</v>
      </c>
      <c r="BI17" s="170">
        <f>+SUMIF('BS-Details'!$A:$A,BI$7&amp;" - "&amp;$C17,'BS-Details'!$J:$J)</f>
        <v>0</v>
      </c>
      <c r="BJ17" s="170">
        <f>+SUMIF('BS-Details'!$A:$A,BJ$7&amp;" - "&amp;$C17,'BS-Details'!$J:$J)</f>
        <v>0</v>
      </c>
      <c r="BK17" s="170">
        <f>+SUMIF('BS-Details'!$A:$A,BK$7&amp;" - "&amp;$C17,'BS-Details'!$J:$J)</f>
        <v>0</v>
      </c>
      <c r="BL17" s="170">
        <f>+SUMIF('BS-Details'!$A:$A,BL$7&amp;" - "&amp;$C17,'BS-Details'!$J:$J)</f>
        <v>0</v>
      </c>
      <c r="BM17" s="170">
        <f>+SUMIF('BS-Details'!$A:$A,BM$7&amp;" - "&amp;$C17,'BS-Details'!$J:$J)</f>
        <v>0</v>
      </c>
      <c r="BN17" s="170">
        <f>+SUMIF('BS-Details'!$A:$A,BN$7&amp;" - "&amp;$C17,'BS-Details'!$J:$J)</f>
        <v>0</v>
      </c>
      <c r="BO17" s="170">
        <f>+SUMIF('BS-Details'!$A:$A,BO$7&amp;" - "&amp;$C17,'BS-Details'!$J:$J)</f>
        <v>0</v>
      </c>
      <c r="BP17" s="170">
        <f>+SUMIF('BS-Details'!$A:$A,BP$7&amp;" - "&amp;$C17,'BS-Details'!$J:$J)</f>
        <v>0</v>
      </c>
      <c r="BQ17" s="170">
        <f>+SUMIF('BS-Details'!$A:$A,BQ$7&amp;" - "&amp;$C17,'BS-Details'!$J:$J)</f>
        <v>0</v>
      </c>
      <c r="BR17" s="170">
        <f>+SUMIF('BS-Details'!$A:$A,BR$7&amp;" - "&amp;$C17,'BS-Details'!$J:$J)</f>
        <v>0</v>
      </c>
      <c r="BS17" s="170">
        <f>+SUMIF('BS-Details'!$A:$A,BS$7&amp;" - "&amp;$C17,'BS-Details'!$J:$J)</f>
        <v>0</v>
      </c>
      <c r="BT17" s="170">
        <f>+SUMIF('BS-Details'!$A:$A,BT$7&amp;" - "&amp;$C17,'BS-Details'!$J:$J)</f>
        <v>0</v>
      </c>
      <c r="BU17" s="170">
        <f>+SUMIF('BS-Details'!$A:$A,BU$7&amp;" - "&amp;$C17,'BS-Details'!$J:$J)</f>
        <v>0</v>
      </c>
      <c r="BV17" s="170">
        <f>+SUMIF('BS-Details'!$A:$A,BV$7&amp;" - "&amp;$C17,'BS-Details'!$J:$J)</f>
        <v>0</v>
      </c>
      <c r="BW17" s="170">
        <f>+SUMIF('BS-Details'!$A:$A,BW$7&amp;" - "&amp;$C17,'BS-Details'!$J:$J)</f>
        <v>2500</v>
      </c>
      <c r="BX17" s="170">
        <f>+SUMIF('BS-Details'!$A:$A,BX$7&amp;" - "&amp;$C17,'BS-Details'!$J:$J)</f>
        <v>3063</v>
      </c>
      <c r="BY17" s="170">
        <f>+SUMIF('BS-Details'!$A:$A,BY$7&amp;" - "&amp;$C17,'BS-Details'!$J:$J)</f>
        <v>0</v>
      </c>
      <c r="BZ17" s="170">
        <f>+SUMIF('BS-Details'!$A:$A,BZ$7&amp;" - "&amp;$C17,'BS-Details'!$J:$J)</f>
        <v>0</v>
      </c>
      <c r="CA17" s="170">
        <f>+SUMIF('BS-Details'!$A:$A,CA$7&amp;" - "&amp;$C17,'BS-Details'!$J:$J)</f>
        <v>0</v>
      </c>
      <c r="CB17" s="170">
        <f>+SUMIF('BS-Details'!$A:$A,CB$7&amp;" - "&amp;$C17,'BS-Details'!$J:$J)</f>
        <v>0</v>
      </c>
      <c r="CC17" s="170">
        <f>+SUMIF('BS-Details'!$A:$A,CC$7&amp;" - "&amp;$C17,'BS-Details'!$J:$J)</f>
        <v>0</v>
      </c>
      <c r="CD17" s="170">
        <f>+SUMIF('BS-Details'!$A:$A,CD$7&amp;" - "&amp;$C17,'BS-Details'!$J:$J)</f>
        <v>0</v>
      </c>
      <c r="CE17" s="170">
        <f>+SUMIF('BS-Details'!$A:$A,CE$7&amp;" - "&amp;$C17,'BS-Details'!$J:$J)</f>
        <v>0</v>
      </c>
      <c r="CF17" s="170">
        <f>+SUMIF('BS-Details'!$A:$A,CF$7&amp;" - "&amp;$C17,'BS-Details'!$J:$J)</f>
        <v>0</v>
      </c>
      <c r="CG17" s="170">
        <f>+SUMIF('BS-Details'!$A:$A,CG$7&amp;" - "&amp;$C17,'BS-Details'!$J:$J)</f>
        <v>0</v>
      </c>
      <c r="CH17" s="170">
        <f>+SUMIF('BS-Details'!$A:$A,CH$7&amp;" - "&amp;$C17,'BS-Details'!$J:$J)</f>
        <v>0</v>
      </c>
      <c r="CI17" s="170">
        <f>+SUMIF('BS-Details'!$A:$A,CI$7&amp;" - "&amp;$C17,'BS-Details'!$J:$J)</f>
        <v>0</v>
      </c>
      <c r="CJ17" s="170">
        <f>+SUMIF('BS-Details'!$A:$A,CJ$7&amp;" - "&amp;$C17,'BS-Details'!$J:$J)</f>
        <v>0</v>
      </c>
      <c r="CK17" s="170">
        <f>+SUMIF('BS-Details'!$A:$A,CK$7&amp;" - "&amp;$C17,'BS-Details'!$J:$J)</f>
        <v>0</v>
      </c>
      <c r="CL17" s="170">
        <f>+SUMIF('BS-Details'!$A:$A,CL$7&amp;" - "&amp;$C17,'BS-Details'!$J:$J)</f>
        <v>0</v>
      </c>
      <c r="CM17" s="170">
        <f>+SUMIF('BS-Details'!$A:$A,CM$7&amp;" - "&amp;$C17,'BS-Details'!$J:$J)</f>
        <v>0</v>
      </c>
      <c r="CN17" s="170">
        <f>+SUMIF('BS-Details'!$A:$A,CN$7&amp;" - "&amp;$C17,'BS-Details'!$J:$J)</f>
        <v>0</v>
      </c>
      <c r="CO17" s="170">
        <f>+SUMIF('BS-Details'!$A:$A,CO$7&amp;" - "&amp;$C17,'BS-Details'!$J:$J)</f>
        <v>0</v>
      </c>
      <c r="CP17" s="170"/>
      <c r="CQ17" s="178">
        <f t="shared" si="10"/>
        <v>12804.34</v>
      </c>
      <c r="CR17" s="178">
        <f t="shared" si="11"/>
        <v>12804.34</v>
      </c>
      <c r="CS17" s="178">
        <f t="shared" si="12"/>
        <v>0</v>
      </c>
      <c r="CT17" s="185">
        <f>+SUMIF('BS-Details'!$A:$A,CT$7&amp;" - "&amp;$C17,'BS-Details'!$J:$J)</f>
        <v>0</v>
      </c>
      <c r="CU17" s="170">
        <f>+SUMIF('BS-Details'!$A:$A,CU$7&amp;" - "&amp;$C17,'BS-Details'!$J:$J)</f>
        <v>0</v>
      </c>
      <c r="CV17" s="170">
        <f>+SUMIF('BS-Details'!$A:$A,CV$7&amp;" - "&amp;$C17,'BS-Details'!$J:$J)</f>
        <v>0</v>
      </c>
      <c r="CW17" s="189">
        <f>+SUMIF('BS-Details'!$A:$A,CW$7&amp;" - "&amp;$C17,'BS-Details'!$J:$J)</f>
        <v>0</v>
      </c>
      <c r="CX17" s="189">
        <f>+SUMIF('BS-Details'!$A:$A,CX$7&amp;" - "&amp;$C17,'BS-Details'!$J:$J)</f>
        <v>0</v>
      </c>
      <c r="CY17" s="189">
        <f t="shared" si="13"/>
        <v>0</v>
      </c>
      <c r="CZ17" s="178">
        <f>+SUMIF('BS-Details'!$A:$A,CZ$7&amp;" - "&amp;$C17,'BS-Details'!$J:$J)</f>
        <v>0</v>
      </c>
      <c r="DA17" s="178">
        <f>+SUMIF('BS-Details'!$A:$A,DA$7&amp;" - "&amp;$C17,'BS-Details'!$J:$J)</f>
        <v>0</v>
      </c>
      <c r="DB17" s="193"/>
    </row>
    <row r="18" spans="1:106" ht="15" customHeight="true">
      <c r="A18" s="161"/>
      <c r="B18" s="161" t="s">
        <v>13870</v>
      </c>
      <c r="C18" s="164" t="s">
        <v>13877</v>
      </c>
      <c r="D18" s="164" t="s">
        <v>13877</v>
      </c>
      <c r="E18" s="169">
        <f t="shared" si="2"/>
        <v>0</v>
      </c>
      <c r="F18" s="169">
        <f t="shared" si="3"/>
        <v>0</v>
      </c>
      <c r="G18" s="170">
        <f>+SUMIF('BS-Details'!$A:$A,G$7&amp;" - "&amp;$C18,'BS-Details'!$J:$J)</f>
        <v>0</v>
      </c>
      <c r="H18" s="170">
        <f>+SUMIF('BS-Details'!$A:$A,H$7&amp;" - "&amp;$C18,'BS-Details'!$J:$J)</f>
        <v>0</v>
      </c>
      <c r="I18" s="170">
        <f>+SUMIF('BS-Details'!$A:$A,I$7&amp;" - "&amp;$C18,'BS-Details'!$J:$J)</f>
        <v>0</v>
      </c>
      <c r="J18" s="170">
        <f>+SUMIF('BS-Details'!$A:$A,J$7&amp;" - "&amp;$C18,'BS-Details'!$J:$J)</f>
        <v>0</v>
      </c>
      <c r="K18" s="170">
        <f>+SUMIF('BS-Details'!$A:$A,K$7&amp;" - "&amp;$C18,'BS-Details'!$J:$J)</f>
        <v>0</v>
      </c>
      <c r="L18" s="178">
        <f t="shared" si="4"/>
        <v>0</v>
      </c>
      <c r="M18" s="170">
        <f>+SUMIF('BS-Details'!$A:$A,M$7&amp;" - "&amp;$C18,'BS-Details'!$J:$J)</f>
        <v>0</v>
      </c>
      <c r="N18" s="170">
        <f>+SUMIF('BS-Details'!$A:$A,N$7&amp;" - "&amp;$C18,'BS-Details'!$J:$J)</f>
        <v>0</v>
      </c>
      <c r="O18" s="178">
        <f t="shared" si="5"/>
        <v>0</v>
      </c>
      <c r="P18" s="170">
        <f>+SUMIF('BS-Details'!$A:$A,P$7&amp;" - "&amp;$C18,'BS-Details'!$J:$J)</f>
        <v>0</v>
      </c>
      <c r="Q18" s="170">
        <f>+SUMIF('BS-Details'!$A:$A,Q$7&amp;" - "&amp;$C18,'BS-Details'!$J:$J)</f>
        <v>0</v>
      </c>
      <c r="R18" s="170">
        <f>+SUMIF('BS-Details'!$A:$A,R$7&amp;" - "&amp;$C18,'BS-Details'!$J:$J)</f>
        <v>0</v>
      </c>
      <c r="S18" s="170">
        <f>+SUMIF('BS-Details'!$A:$A,S$7&amp;" - "&amp;$C18,'BS-Details'!$J:$J)</f>
        <v>0</v>
      </c>
      <c r="T18" s="170">
        <f>+SUMIF('BS-Details'!$A:$A,T$7&amp;" - "&amp;$C18,'BS-Details'!$J:$J)</f>
        <v>0</v>
      </c>
      <c r="U18" s="170">
        <f>+SUMIF('BS-Details'!$A:$A,U$7&amp;" - "&amp;$C18,'BS-Details'!$J:$J)</f>
        <v>0</v>
      </c>
      <c r="V18" s="169">
        <f t="shared" si="6"/>
        <v>0</v>
      </c>
      <c r="W18" s="170">
        <f>+SUMIF('BS-Details'!$A:$A,W$7&amp;" - "&amp;$C18,'BS-Details'!$J:$J)</f>
        <v>0</v>
      </c>
      <c r="X18" s="170">
        <f>+SUMIF('BS-Details'!$A:$A,X$7&amp;" - "&amp;$C18,'BS-Details'!$J:$J)</f>
        <v>0</v>
      </c>
      <c r="Y18" s="178">
        <f t="shared" si="7"/>
        <v>0</v>
      </c>
      <c r="Z18" s="170">
        <f>+SUMIF('BS-Details'!$A:$A,Z$7&amp;" - "&amp;$C18,'BS-Details'!$J:$J)</f>
        <v>0</v>
      </c>
      <c r="AA18" s="170">
        <f>+SUMIF('BS-Details'!$A:$A,AA$7&amp;" - "&amp;$C18,'BS-Details'!$J:$J)</f>
        <v>0</v>
      </c>
      <c r="AB18" s="178">
        <f t="shared" si="8"/>
        <v>0</v>
      </c>
      <c r="AC18" s="170">
        <f>+SUMIF('BS-Details'!$A:$A,AC$7&amp;" - "&amp;$C18,'BS-Details'!$J:$J)</f>
        <v>0</v>
      </c>
      <c r="AD18" s="170">
        <f>+SUMIF('BS-Details'!$A:$A,AD$7&amp;" - "&amp;$C18,'BS-Details'!$J:$J)</f>
        <v>0</v>
      </c>
      <c r="AE18" s="170">
        <f>+SUMIF('BS-Details'!$A:$A,AE$7&amp;" - "&amp;$C18,'BS-Details'!$J:$J)</f>
        <v>0</v>
      </c>
      <c r="AF18" s="170">
        <f>+SUMIF('BS-Details'!$A:$A,AF$7&amp;" - "&amp;$C18,'BS-Details'!$J:$J)</f>
        <v>0</v>
      </c>
      <c r="AG18" s="170">
        <f>+SUMIF('BS-Details'!$A:$A,AG$7&amp;" - "&amp;$C18,'BS-Details'!$J:$J)</f>
        <v>0</v>
      </c>
      <c r="AH18" s="170">
        <f>+SUMIF('BS-Details'!$A:$A,AH$7&amp;" - "&amp;$C18,'BS-Details'!$J:$J)</f>
        <v>0</v>
      </c>
      <c r="AI18" s="170">
        <f>+SUMIF('BS-Details'!$A:$A,AI$7&amp;" - "&amp;$C18,'BS-Details'!$J:$J)</f>
        <v>0</v>
      </c>
      <c r="AJ18" s="170">
        <f>+SUMIF('BS-Details'!$A:$A,AJ$7&amp;" - "&amp;$C18,'BS-Details'!$J:$J)</f>
        <v>0</v>
      </c>
      <c r="AK18" s="170">
        <f>+SUMIF('BS-Details'!$A:$A,AK$7&amp;" - "&amp;$C18,'BS-Details'!$J:$J)</f>
        <v>0</v>
      </c>
      <c r="AL18" s="178">
        <f t="shared" si="9"/>
        <v>0</v>
      </c>
      <c r="AM18" s="170">
        <f>+SUMIF('BS-Details'!$A:$A,AM$7&amp;" - "&amp;$C18,'BS-Details'!$J:$J)</f>
        <v>0</v>
      </c>
      <c r="AN18" s="170">
        <f>+SUMIF('BS-Details'!$A:$A,AN$7&amp;" - "&amp;$C18,'BS-Details'!$J:$J)</f>
        <v>0</v>
      </c>
      <c r="AO18" s="170">
        <f>+SUMIF('BS-Details'!$A:$A,AO$7&amp;" - "&amp;$C18,'BS-Details'!$J:$J)</f>
        <v>0</v>
      </c>
      <c r="AP18" s="170">
        <f>+SUMIF('BS-Details'!$A:$A,AP$7&amp;" - "&amp;$C18,'BS-Details'!$J:$J)</f>
        <v>0</v>
      </c>
      <c r="AQ18" s="170">
        <f>+SUMIF('BS-Details'!$A:$A,AQ$7&amp;" - "&amp;$C18,'BS-Details'!$J:$J)</f>
        <v>0</v>
      </c>
      <c r="AR18" s="170">
        <f>+SUMIF('BS-Details'!$A:$A,AR$7&amp;" - "&amp;$C18,'BS-Details'!$J:$J)</f>
        <v>0</v>
      </c>
      <c r="AS18" s="170">
        <f>+SUMIF('BS-Details'!$A:$A,AS$7&amp;" - "&amp;$C18,'BS-Details'!$J:$J)</f>
        <v>0</v>
      </c>
      <c r="AT18" s="170">
        <f>+SUMIF('BS-Details'!$A:$A,AT$7&amp;" - "&amp;$C18,'BS-Details'!$J:$J)</f>
        <v>0</v>
      </c>
      <c r="AU18" s="170">
        <f>+SUMIF('BS-Details'!$A:$A,AU$7&amp;" - "&amp;$C18,'BS-Details'!$J:$J)</f>
        <v>0</v>
      </c>
      <c r="AV18" s="170">
        <f>+SUMIF('BS-Details'!$A:$A,AV$7&amp;" - "&amp;$C18,'BS-Details'!$J:$J)</f>
        <v>0</v>
      </c>
      <c r="AW18" s="170">
        <f>+SUMIF('BS-Details'!$A:$A,AW$7&amp;" - "&amp;$C18,'BS-Details'!$J:$J)</f>
        <v>0</v>
      </c>
      <c r="AX18" s="170">
        <f>+SUMIF('BS-Details'!$A:$A,AX$7&amp;" - "&amp;$C18,'BS-Details'!$J:$J)</f>
        <v>0</v>
      </c>
      <c r="AY18" s="170">
        <f>+SUMIF('BS-Details'!$A:$A,AY$7&amp;" - "&amp;$C18,'BS-Details'!$J:$J)</f>
        <v>0</v>
      </c>
      <c r="AZ18" s="170">
        <f>+SUMIF('BS-Details'!$A:$A,AZ$7&amp;" - "&amp;$C18,'BS-Details'!$J:$J)</f>
        <v>0</v>
      </c>
      <c r="BA18" s="170">
        <f>+SUMIF('BS-Details'!$A:$A,BA$7&amp;" - "&amp;$C18,'BS-Details'!$J:$J)</f>
        <v>0</v>
      </c>
      <c r="BB18" s="170">
        <f>+SUMIF('BS-Details'!$A:$A,BB$7&amp;" - "&amp;$C18,'BS-Details'!$J:$J)</f>
        <v>0</v>
      </c>
      <c r="BC18" s="170">
        <f>+SUMIF('BS-Details'!$A:$A,BC$7&amp;" - "&amp;$C18,'BS-Details'!$J:$J)</f>
        <v>0</v>
      </c>
      <c r="BD18" s="170">
        <f>+SUMIF('BS-Details'!$A:$A,BD$7&amp;" - "&amp;$C18,'BS-Details'!$J:$J)</f>
        <v>0</v>
      </c>
      <c r="BE18" s="170">
        <f>+SUMIF('BS-Details'!$A:$A,BE$7&amp;" - "&amp;$C18,'BS-Details'!$J:$J)</f>
        <v>0</v>
      </c>
      <c r="BF18" s="170">
        <f>+SUMIF('BS-Details'!$A:$A,BF$7&amp;" - "&amp;$C18,'BS-Details'!$J:$J)</f>
        <v>0</v>
      </c>
      <c r="BG18" s="170">
        <f>+SUMIF('BS-Details'!$A:$A,BG$7&amp;" - "&amp;$C18,'BS-Details'!$J:$J)</f>
        <v>0</v>
      </c>
      <c r="BH18" s="170">
        <f>+SUMIF('BS-Details'!$A:$A,BH$7&amp;" - "&amp;$C18,'BS-Details'!$J:$J)</f>
        <v>0</v>
      </c>
      <c r="BI18" s="170">
        <f>+SUMIF('BS-Details'!$A:$A,BI$7&amp;" - "&amp;$C18,'BS-Details'!$J:$J)</f>
        <v>0</v>
      </c>
      <c r="BJ18" s="170">
        <f>+SUMIF('BS-Details'!$A:$A,BJ$7&amp;" - "&amp;$C18,'BS-Details'!$J:$J)</f>
        <v>0</v>
      </c>
      <c r="BK18" s="170">
        <f>+SUMIF('BS-Details'!$A:$A,BK$7&amp;" - "&amp;$C18,'BS-Details'!$J:$J)</f>
        <v>0</v>
      </c>
      <c r="BL18" s="170">
        <f>+SUMIF('BS-Details'!$A:$A,BL$7&amp;" - "&amp;$C18,'BS-Details'!$J:$J)</f>
        <v>0</v>
      </c>
      <c r="BM18" s="170">
        <f>+SUMIF('BS-Details'!$A:$A,BM$7&amp;" - "&amp;$C18,'BS-Details'!$J:$J)</f>
        <v>0</v>
      </c>
      <c r="BN18" s="170">
        <f>+SUMIF('BS-Details'!$A:$A,BN$7&amp;" - "&amp;$C18,'BS-Details'!$J:$J)</f>
        <v>0</v>
      </c>
      <c r="BO18" s="170">
        <f>+SUMIF('BS-Details'!$A:$A,BO$7&amp;" - "&amp;$C18,'BS-Details'!$J:$J)</f>
        <v>0</v>
      </c>
      <c r="BP18" s="170">
        <f>+SUMIF('BS-Details'!$A:$A,BP$7&amp;" - "&amp;$C18,'BS-Details'!$J:$J)</f>
        <v>0</v>
      </c>
      <c r="BQ18" s="170">
        <f>+SUMIF('BS-Details'!$A:$A,BQ$7&amp;" - "&amp;$C18,'BS-Details'!$J:$J)</f>
        <v>0</v>
      </c>
      <c r="BR18" s="170">
        <f>+SUMIF('BS-Details'!$A:$A,BR$7&amp;" - "&amp;$C18,'BS-Details'!$J:$J)</f>
        <v>0</v>
      </c>
      <c r="BS18" s="170">
        <f>+SUMIF('BS-Details'!$A:$A,BS$7&amp;" - "&amp;$C18,'BS-Details'!$J:$J)</f>
        <v>0</v>
      </c>
      <c r="BT18" s="170">
        <f>+SUMIF('BS-Details'!$A:$A,BT$7&amp;" - "&amp;$C18,'BS-Details'!$J:$J)</f>
        <v>0</v>
      </c>
      <c r="BU18" s="170">
        <f>+SUMIF('BS-Details'!$A:$A,BU$7&amp;" - "&amp;$C18,'BS-Details'!$J:$J)</f>
        <v>0</v>
      </c>
      <c r="BV18" s="170">
        <f>+SUMIF('BS-Details'!$A:$A,BV$7&amp;" - "&amp;$C18,'BS-Details'!$J:$J)</f>
        <v>0</v>
      </c>
      <c r="BW18" s="170">
        <f>+SUMIF('BS-Details'!$A:$A,BW$7&amp;" - "&amp;$C18,'BS-Details'!$J:$J)</f>
        <v>0</v>
      </c>
      <c r="BX18" s="170">
        <f>+SUMIF('BS-Details'!$A:$A,BX$7&amp;" - "&amp;$C18,'BS-Details'!$J:$J)</f>
        <v>0</v>
      </c>
      <c r="BY18" s="170">
        <f>+SUMIF('BS-Details'!$A:$A,BY$7&amp;" - "&amp;$C18,'BS-Details'!$J:$J)</f>
        <v>0</v>
      </c>
      <c r="BZ18" s="170">
        <f>+SUMIF('BS-Details'!$A:$A,BZ$7&amp;" - "&amp;$C18,'BS-Details'!$J:$J)</f>
        <v>0</v>
      </c>
      <c r="CA18" s="170">
        <f>+SUMIF('BS-Details'!$A:$A,CA$7&amp;" - "&amp;$C18,'BS-Details'!$J:$J)</f>
        <v>0</v>
      </c>
      <c r="CB18" s="170">
        <f>+SUMIF('BS-Details'!$A:$A,CB$7&amp;" - "&amp;$C18,'BS-Details'!$J:$J)</f>
        <v>0</v>
      </c>
      <c r="CC18" s="170">
        <f>+SUMIF('BS-Details'!$A:$A,CC$7&amp;" - "&amp;$C18,'BS-Details'!$J:$J)</f>
        <v>0</v>
      </c>
      <c r="CD18" s="170">
        <f>+SUMIF('BS-Details'!$A:$A,CD$7&amp;" - "&amp;$C18,'BS-Details'!$J:$J)</f>
        <v>0</v>
      </c>
      <c r="CE18" s="170">
        <f>+SUMIF('BS-Details'!$A:$A,CE$7&amp;" - "&amp;$C18,'BS-Details'!$J:$J)</f>
        <v>0</v>
      </c>
      <c r="CF18" s="170">
        <f>+SUMIF('BS-Details'!$A:$A,CF$7&amp;" - "&amp;$C18,'BS-Details'!$J:$J)</f>
        <v>0</v>
      </c>
      <c r="CG18" s="170">
        <f>+SUMIF('BS-Details'!$A:$A,CG$7&amp;" - "&amp;$C18,'BS-Details'!$J:$J)</f>
        <v>0</v>
      </c>
      <c r="CH18" s="170">
        <f>+SUMIF('BS-Details'!$A:$A,CH$7&amp;" - "&amp;$C18,'BS-Details'!$J:$J)</f>
        <v>0</v>
      </c>
      <c r="CI18" s="170">
        <f>+SUMIF('BS-Details'!$A:$A,CI$7&amp;" - "&amp;$C18,'BS-Details'!$J:$J)</f>
        <v>0</v>
      </c>
      <c r="CJ18" s="170">
        <f>+SUMIF('BS-Details'!$A:$A,CJ$7&amp;" - "&amp;$C18,'BS-Details'!$J:$J)</f>
        <v>0</v>
      </c>
      <c r="CK18" s="170">
        <f>+SUMIF('BS-Details'!$A:$A,CK$7&amp;" - "&amp;$C18,'BS-Details'!$J:$J)</f>
        <v>0</v>
      </c>
      <c r="CL18" s="170">
        <f>+SUMIF('BS-Details'!$A:$A,CL$7&amp;" - "&amp;$C18,'BS-Details'!$J:$J)</f>
        <v>0</v>
      </c>
      <c r="CM18" s="170">
        <f>+SUMIF('BS-Details'!$A:$A,CM$7&amp;" - "&amp;$C18,'BS-Details'!$J:$J)</f>
        <v>0</v>
      </c>
      <c r="CN18" s="170">
        <f>+SUMIF('BS-Details'!$A:$A,CN$7&amp;" - "&amp;$C18,'BS-Details'!$J:$J)</f>
        <v>0</v>
      </c>
      <c r="CO18" s="170">
        <f>+SUMIF('BS-Details'!$A:$A,CO$7&amp;" - "&amp;$C18,'BS-Details'!$J:$J)</f>
        <v>0</v>
      </c>
      <c r="CP18" s="170"/>
      <c r="CQ18" s="178">
        <f t="shared" si="10"/>
        <v>0</v>
      </c>
      <c r="CR18" s="178">
        <f t="shared" si="11"/>
        <v>0</v>
      </c>
      <c r="CS18" s="178">
        <f t="shared" si="12"/>
        <v>0</v>
      </c>
      <c r="CT18" s="185">
        <f>+SUMIF('BS-Details'!$A:$A,CT$7&amp;" - "&amp;$C18,'BS-Details'!$J:$J)</f>
        <v>0</v>
      </c>
      <c r="CU18" s="170">
        <f>+SUMIF('BS-Details'!$A:$A,CU$7&amp;" - "&amp;$C18,'BS-Details'!$J:$J)</f>
        <v>0</v>
      </c>
      <c r="CV18" s="170">
        <f>+SUMIF('BS-Details'!$A:$A,CV$7&amp;" - "&amp;$C18,'BS-Details'!$J:$J)</f>
        <v>0</v>
      </c>
      <c r="CW18" s="189">
        <f>+SUMIF('BS-Details'!$A:$A,CW$7&amp;" - "&amp;$C18,'BS-Details'!$J:$J)</f>
        <v>0</v>
      </c>
      <c r="CX18" s="189">
        <f>+SUMIF('BS-Details'!$A:$A,CX$7&amp;" - "&amp;$C18,'BS-Details'!$J:$J)</f>
        <v>0</v>
      </c>
      <c r="CY18" s="189">
        <f t="shared" si="13"/>
        <v>0</v>
      </c>
      <c r="CZ18" s="178">
        <f>+SUMIF('BS-Details'!$A:$A,CZ$7&amp;" - "&amp;$C18,'BS-Details'!$J:$J)</f>
        <v>0</v>
      </c>
      <c r="DA18" s="178">
        <f>+SUMIF('BS-Details'!$A:$A,DA$7&amp;" - "&amp;$C18,'BS-Details'!$J:$J)</f>
        <v>0</v>
      </c>
      <c r="DB18" s="193"/>
    </row>
    <row r="19" spans="1:106" ht="15" customHeight="true">
      <c r="A19" s="161"/>
      <c r="B19" s="161" t="s">
        <v>13870</v>
      </c>
      <c r="C19" s="164" t="s">
        <v>13878</v>
      </c>
      <c r="D19" s="164" t="s">
        <v>13878</v>
      </c>
      <c r="E19" s="169">
        <f t="shared" si="2"/>
        <v>0</v>
      </c>
      <c r="F19" s="169">
        <f t="shared" si="3"/>
        <v>0</v>
      </c>
      <c r="G19" s="170">
        <f>+SUMIF('BS-Details'!$A:$A,G$7&amp;" - "&amp;$C19,'BS-Details'!$J:$J)</f>
        <v>0</v>
      </c>
      <c r="H19" s="170">
        <f>+SUMIF('BS-Details'!$A:$A,H$7&amp;" - "&amp;$C19,'BS-Details'!$J:$J)</f>
        <v>0</v>
      </c>
      <c r="I19" s="170">
        <f>+SUMIF('BS-Details'!$A:$A,I$7&amp;" - "&amp;$C19,'BS-Details'!$J:$J)</f>
        <v>0</v>
      </c>
      <c r="J19" s="170">
        <f>+SUMIF('BS-Details'!$A:$A,J$7&amp;" - "&amp;$C19,'BS-Details'!$J:$J)</f>
        <v>0</v>
      </c>
      <c r="K19" s="170">
        <f>+SUMIF('BS-Details'!$A:$A,K$7&amp;" - "&amp;$C19,'BS-Details'!$J:$J)</f>
        <v>0</v>
      </c>
      <c r="L19" s="178">
        <f t="shared" si="4"/>
        <v>0</v>
      </c>
      <c r="M19" s="170">
        <f>+SUMIF('BS-Details'!$A:$A,M$7&amp;" - "&amp;$C19,'BS-Details'!$J:$J)</f>
        <v>0</v>
      </c>
      <c r="N19" s="170">
        <f>+SUMIF('BS-Details'!$A:$A,N$7&amp;" - "&amp;$C19,'BS-Details'!$J:$J)</f>
        <v>0</v>
      </c>
      <c r="O19" s="178">
        <f t="shared" si="5"/>
        <v>0</v>
      </c>
      <c r="P19" s="170">
        <f>+SUMIF('BS-Details'!$A:$A,P$7&amp;" - "&amp;$C19,'BS-Details'!$J:$J)</f>
        <v>0</v>
      </c>
      <c r="Q19" s="170">
        <f>+SUMIF('BS-Details'!$A:$A,Q$7&amp;" - "&amp;$C19,'BS-Details'!$J:$J)</f>
        <v>0</v>
      </c>
      <c r="R19" s="170">
        <f>+SUMIF('BS-Details'!$A:$A,R$7&amp;" - "&amp;$C19,'BS-Details'!$J:$J)</f>
        <v>0</v>
      </c>
      <c r="S19" s="170">
        <f>+SUMIF('BS-Details'!$A:$A,S$7&amp;" - "&amp;$C19,'BS-Details'!$J:$J)</f>
        <v>0</v>
      </c>
      <c r="T19" s="170">
        <f>+SUMIF('BS-Details'!$A:$A,T$7&amp;" - "&amp;$C19,'BS-Details'!$J:$J)</f>
        <v>0</v>
      </c>
      <c r="U19" s="170">
        <f>+SUMIF('BS-Details'!$A:$A,U$7&amp;" - "&amp;$C19,'BS-Details'!$J:$J)</f>
        <v>0</v>
      </c>
      <c r="V19" s="169">
        <f t="shared" si="6"/>
        <v>0</v>
      </c>
      <c r="W19" s="170">
        <f>+SUMIF('BS-Details'!$A:$A,W$7&amp;" - "&amp;$C19,'BS-Details'!$J:$J)</f>
        <v>0</v>
      </c>
      <c r="X19" s="170">
        <f>+SUMIF('BS-Details'!$A:$A,X$7&amp;" - "&amp;$C19,'BS-Details'!$J:$J)</f>
        <v>0</v>
      </c>
      <c r="Y19" s="178">
        <f t="shared" si="7"/>
        <v>0</v>
      </c>
      <c r="Z19" s="170">
        <f>+SUMIF('BS-Details'!$A:$A,Z$7&amp;" - "&amp;$C19,'BS-Details'!$J:$J)</f>
        <v>0</v>
      </c>
      <c r="AA19" s="170">
        <f>+SUMIF('BS-Details'!$A:$A,AA$7&amp;" - "&amp;$C19,'BS-Details'!$J:$J)</f>
        <v>0</v>
      </c>
      <c r="AB19" s="178">
        <f t="shared" si="8"/>
        <v>0</v>
      </c>
      <c r="AC19" s="170">
        <f>+SUMIF('BS-Details'!$A:$A,AC$7&amp;" - "&amp;$C19,'BS-Details'!$J:$J)</f>
        <v>0</v>
      </c>
      <c r="AD19" s="170">
        <f>+SUMIF('BS-Details'!$A:$A,AD$7&amp;" - "&amp;$C19,'BS-Details'!$J:$J)</f>
        <v>0</v>
      </c>
      <c r="AE19" s="170">
        <f>+SUMIF('BS-Details'!$A:$A,AE$7&amp;" - "&amp;$C19,'BS-Details'!$J:$J)</f>
        <v>0</v>
      </c>
      <c r="AF19" s="170">
        <f>+SUMIF('BS-Details'!$A:$A,AF$7&amp;" - "&amp;$C19,'BS-Details'!$J:$J)</f>
        <v>0</v>
      </c>
      <c r="AG19" s="170">
        <f>+SUMIF('BS-Details'!$A:$A,AG$7&amp;" - "&amp;$C19,'BS-Details'!$J:$J)</f>
        <v>0</v>
      </c>
      <c r="AH19" s="170">
        <f>+SUMIF('BS-Details'!$A:$A,AH$7&amp;" - "&amp;$C19,'BS-Details'!$J:$J)</f>
        <v>0</v>
      </c>
      <c r="AI19" s="170">
        <f>+SUMIF('BS-Details'!$A:$A,AI$7&amp;" - "&amp;$C19,'BS-Details'!$J:$J)</f>
        <v>0</v>
      </c>
      <c r="AJ19" s="170">
        <f>+SUMIF('BS-Details'!$A:$A,AJ$7&amp;" - "&amp;$C19,'BS-Details'!$J:$J)</f>
        <v>0</v>
      </c>
      <c r="AK19" s="170">
        <f>+SUMIF('BS-Details'!$A:$A,AK$7&amp;" - "&amp;$C19,'BS-Details'!$J:$J)</f>
        <v>0</v>
      </c>
      <c r="AL19" s="178">
        <f t="shared" si="9"/>
        <v>0</v>
      </c>
      <c r="AM19" s="170">
        <f>+SUMIF('BS-Details'!$A:$A,AM$7&amp;" - "&amp;$C19,'BS-Details'!$J:$J)</f>
        <v>0</v>
      </c>
      <c r="AN19" s="170">
        <f>+SUMIF('BS-Details'!$A:$A,AN$7&amp;" - "&amp;$C19,'BS-Details'!$J:$J)</f>
        <v>0</v>
      </c>
      <c r="AO19" s="170">
        <f>+SUMIF('BS-Details'!$A:$A,AO$7&amp;" - "&amp;$C19,'BS-Details'!$J:$J)</f>
        <v>0</v>
      </c>
      <c r="AP19" s="170">
        <f>+SUMIF('BS-Details'!$A:$A,AP$7&amp;" - "&amp;$C19,'BS-Details'!$J:$J)</f>
        <v>0</v>
      </c>
      <c r="AQ19" s="170">
        <f>+SUMIF('BS-Details'!$A:$A,AQ$7&amp;" - "&amp;$C19,'BS-Details'!$J:$J)</f>
        <v>0</v>
      </c>
      <c r="AR19" s="170">
        <f>+SUMIF('BS-Details'!$A:$A,AR$7&amp;" - "&amp;$C19,'BS-Details'!$J:$J)</f>
        <v>0</v>
      </c>
      <c r="AS19" s="170">
        <f>+SUMIF('BS-Details'!$A:$A,AS$7&amp;" - "&amp;$C19,'BS-Details'!$J:$J)</f>
        <v>0</v>
      </c>
      <c r="AT19" s="170">
        <f>+SUMIF('BS-Details'!$A:$A,AT$7&amp;" - "&amp;$C19,'BS-Details'!$J:$J)</f>
        <v>0</v>
      </c>
      <c r="AU19" s="170">
        <f>+SUMIF('BS-Details'!$A:$A,AU$7&amp;" - "&amp;$C19,'BS-Details'!$J:$J)</f>
        <v>0</v>
      </c>
      <c r="AV19" s="170">
        <f>+SUMIF('BS-Details'!$A:$A,AV$7&amp;" - "&amp;$C19,'BS-Details'!$J:$J)</f>
        <v>0</v>
      </c>
      <c r="AW19" s="170">
        <f>+SUMIF('BS-Details'!$A:$A,AW$7&amp;" - "&amp;$C19,'BS-Details'!$J:$J)</f>
        <v>0</v>
      </c>
      <c r="AX19" s="170">
        <f>+SUMIF('BS-Details'!$A:$A,AX$7&amp;" - "&amp;$C19,'BS-Details'!$J:$J)</f>
        <v>0</v>
      </c>
      <c r="AY19" s="170">
        <f>+SUMIF('BS-Details'!$A:$A,AY$7&amp;" - "&amp;$C19,'BS-Details'!$J:$J)</f>
        <v>0</v>
      </c>
      <c r="AZ19" s="170">
        <f>+SUMIF('BS-Details'!$A:$A,AZ$7&amp;" - "&amp;$C19,'BS-Details'!$J:$J)</f>
        <v>0</v>
      </c>
      <c r="BA19" s="170">
        <f>+SUMIF('BS-Details'!$A:$A,BA$7&amp;" - "&amp;$C19,'BS-Details'!$J:$J)</f>
        <v>0</v>
      </c>
      <c r="BB19" s="170">
        <f>+SUMIF('BS-Details'!$A:$A,BB$7&amp;" - "&amp;$C19,'BS-Details'!$J:$J)</f>
        <v>0</v>
      </c>
      <c r="BC19" s="170">
        <f>+SUMIF('BS-Details'!$A:$A,BC$7&amp;" - "&amp;$C19,'BS-Details'!$J:$J)</f>
        <v>0</v>
      </c>
      <c r="BD19" s="170">
        <f>+SUMIF('BS-Details'!$A:$A,BD$7&amp;" - "&amp;$C19,'BS-Details'!$J:$J)</f>
        <v>0</v>
      </c>
      <c r="BE19" s="170">
        <f>+SUMIF('BS-Details'!$A:$A,BE$7&amp;" - "&amp;$C19,'BS-Details'!$J:$J)</f>
        <v>0</v>
      </c>
      <c r="BF19" s="170">
        <f>+SUMIF('BS-Details'!$A:$A,BF$7&amp;" - "&amp;$C19,'BS-Details'!$J:$J)</f>
        <v>0</v>
      </c>
      <c r="BG19" s="170">
        <f>+SUMIF('BS-Details'!$A:$A,BG$7&amp;" - "&amp;$C19,'BS-Details'!$J:$J)</f>
        <v>0</v>
      </c>
      <c r="BH19" s="170">
        <f>+SUMIF('BS-Details'!$A:$A,BH$7&amp;" - "&amp;$C19,'BS-Details'!$J:$J)</f>
        <v>0</v>
      </c>
      <c r="BI19" s="170">
        <f>+SUMIF('BS-Details'!$A:$A,BI$7&amp;" - "&amp;$C19,'BS-Details'!$J:$J)</f>
        <v>0</v>
      </c>
      <c r="BJ19" s="170">
        <f>+SUMIF('BS-Details'!$A:$A,BJ$7&amp;" - "&amp;$C19,'BS-Details'!$J:$J)</f>
        <v>0</v>
      </c>
      <c r="BK19" s="170">
        <f>+SUMIF('BS-Details'!$A:$A,BK$7&amp;" - "&amp;$C19,'BS-Details'!$J:$J)</f>
        <v>0</v>
      </c>
      <c r="BL19" s="170">
        <f>+SUMIF('BS-Details'!$A:$A,BL$7&amp;" - "&amp;$C19,'BS-Details'!$J:$J)</f>
        <v>0</v>
      </c>
      <c r="BM19" s="170">
        <f>+SUMIF('BS-Details'!$A:$A,BM$7&amp;" - "&amp;$C19,'BS-Details'!$J:$J)</f>
        <v>0</v>
      </c>
      <c r="BN19" s="170">
        <f>+SUMIF('BS-Details'!$A:$A,BN$7&amp;" - "&amp;$C19,'BS-Details'!$J:$J)</f>
        <v>0</v>
      </c>
      <c r="BO19" s="170">
        <f>+SUMIF('BS-Details'!$A:$A,BO$7&amp;" - "&amp;$C19,'BS-Details'!$J:$J)</f>
        <v>0</v>
      </c>
      <c r="BP19" s="170">
        <f>+SUMIF('BS-Details'!$A:$A,BP$7&amp;" - "&amp;$C19,'BS-Details'!$J:$J)</f>
        <v>0</v>
      </c>
      <c r="BQ19" s="170">
        <f>+SUMIF('BS-Details'!$A:$A,BQ$7&amp;" - "&amp;$C19,'BS-Details'!$J:$J)</f>
        <v>0</v>
      </c>
      <c r="BR19" s="170">
        <f>+SUMIF('BS-Details'!$A:$A,BR$7&amp;" - "&amp;$C19,'BS-Details'!$J:$J)</f>
        <v>0</v>
      </c>
      <c r="BS19" s="170">
        <f>+SUMIF('BS-Details'!$A:$A,BS$7&amp;" - "&amp;$C19,'BS-Details'!$J:$J)</f>
        <v>0</v>
      </c>
      <c r="BT19" s="170">
        <f>+SUMIF('BS-Details'!$A:$A,BT$7&amp;" - "&amp;$C19,'BS-Details'!$J:$J)</f>
        <v>0</v>
      </c>
      <c r="BU19" s="170">
        <f>+SUMIF('BS-Details'!$A:$A,BU$7&amp;" - "&amp;$C19,'BS-Details'!$J:$J)</f>
        <v>0</v>
      </c>
      <c r="BV19" s="170">
        <f>+SUMIF('BS-Details'!$A:$A,BV$7&amp;" - "&amp;$C19,'BS-Details'!$J:$J)</f>
        <v>0</v>
      </c>
      <c r="BW19" s="170">
        <f>+SUMIF('BS-Details'!$A:$A,BW$7&amp;" - "&amp;$C19,'BS-Details'!$J:$J)</f>
        <v>0</v>
      </c>
      <c r="BX19" s="170">
        <f>+SUMIF('BS-Details'!$A:$A,BX$7&amp;" - "&amp;$C19,'BS-Details'!$J:$J)</f>
        <v>0</v>
      </c>
      <c r="BY19" s="170">
        <f>+SUMIF('BS-Details'!$A:$A,BY$7&amp;" - "&amp;$C19,'BS-Details'!$J:$J)</f>
        <v>0</v>
      </c>
      <c r="BZ19" s="170">
        <f>+SUMIF('BS-Details'!$A:$A,BZ$7&amp;" - "&amp;$C19,'BS-Details'!$J:$J)</f>
        <v>0</v>
      </c>
      <c r="CA19" s="170">
        <f>+SUMIF('BS-Details'!$A:$A,CA$7&amp;" - "&amp;$C19,'BS-Details'!$J:$J)</f>
        <v>0</v>
      </c>
      <c r="CB19" s="170">
        <f>+SUMIF('BS-Details'!$A:$A,CB$7&amp;" - "&amp;$C19,'BS-Details'!$J:$J)</f>
        <v>0</v>
      </c>
      <c r="CC19" s="170">
        <f>+SUMIF('BS-Details'!$A:$A,CC$7&amp;" - "&amp;$C19,'BS-Details'!$J:$J)</f>
        <v>0</v>
      </c>
      <c r="CD19" s="170">
        <f>+SUMIF('BS-Details'!$A:$A,CD$7&amp;" - "&amp;$C19,'BS-Details'!$J:$J)</f>
        <v>0</v>
      </c>
      <c r="CE19" s="170">
        <f>+SUMIF('BS-Details'!$A:$A,CE$7&amp;" - "&amp;$C19,'BS-Details'!$J:$J)</f>
        <v>0</v>
      </c>
      <c r="CF19" s="170">
        <f>+SUMIF('BS-Details'!$A:$A,CF$7&amp;" - "&amp;$C19,'BS-Details'!$J:$J)</f>
        <v>0</v>
      </c>
      <c r="CG19" s="170">
        <f>+SUMIF('BS-Details'!$A:$A,CG$7&amp;" - "&amp;$C19,'BS-Details'!$J:$J)</f>
        <v>0</v>
      </c>
      <c r="CH19" s="170">
        <f>+SUMIF('BS-Details'!$A:$A,CH$7&amp;" - "&amp;$C19,'BS-Details'!$J:$J)</f>
        <v>0</v>
      </c>
      <c r="CI19" s="170">
        <f>+SUMIF('BS-Details'!$A:$A,CI$7&amp;" - "&amp;$C19,'BS-Details'!$J:$J)</f>
        <v>0</v>
      </c>
      <c r="CJ19" s="170">
        <f>+SUMIF('BS-Details'!$A:$A,CJ$7&amp;" - "&amp;$C19,'BS-Details'!$J:$J)</f>
        <v>0</v>
      </c>
      <c r="CK19" s="170">
        <f>+SUMIF('BS-Details'!$A:$A,CK$7&amp;" - "&amp;$C19,'BS-Details'!$J:$J)</f>
        <v>0</v>
      </c>
      <c r="CL19" s="170">
        <f>+SUMIF('BS-Details'!$A:$A,CL$7&amp;" - "&amp;$C19,'BS-Details'!$J:$J)</f>
        <v>0</v>
      </c>
      <c r="CM19" s="170">
        <f>+SUMIF('BS-Details'!$A:$A,CM$7&amp;" - "&amp;$C19,'BS-Details'!$J:$J)</f>
        <v>0</v>
      </c>
      <c r="CN19" s="170">
        <f>+SUMIF('BS-Details'!$A:$A,CN$7&amp;" - "&amp;$C19,'BS-Details'!$J:$J)</f>
        <v>0</v>
      </c>
      <c r="CO19" s="170">
        <f>+SUMIF('BS-Details'!$A:$A,CO$7&amp;" - "&amp;$C19,'BS-Details'!$J:$J)</f>
        <v>0</v>
      </c>
      <c r="CP19" s="170"/>
      <c r="CQ19" s="178">
        <f t="shared" si="10"/>
        <v>0</v>
      </c>
      <c r="CR19" s="178">
        <f t="shared" si="11"/>
        <v>0</v>
      </c>
      <c r="CS19" s="178">
        <f t="shared" si="12"/>
        <v>0</v>
      </c>
      <c r="CT19" s="185">
        <f>+SUMIF('BS-Details'!$A:$A,CT$7&amp;" - "&amp;$C19,'BS-Details'!$J:$J)</f>
        <v>0</v>
      </c>
      <c r="CU19" s="170">
        <f>+SUMIF('BS-Details'!$A:$A,CU$7&amp;" - "&amp;$C19,'BS-Details'!$J:$J)</f>
        <v>0</v>
      </c>
      <c r="CV19" s="170">
        <f>+SUMIF('BS-Details'!$A:$A,CV$7&amp;" - "&amp;$C19,'BS-Details'!$J:$J)</f>
        <v>0</v>
      </c>
      <c r="CW19" s="189">
        <f>+SUMIF('BS-Details'!$A:$A,CW$7&amp;" - "&amp;$C19,'BS-Details'!$J:$J)</f>
        <v>0</v>
      </c>
      <c r="CX19" s="189">
        <f>+SUMIF('BS-Details'!$A:$A,CX$7&amp;" - "&amp;$C19,'BS-Details'!$J:$J)</f>
        <v>0</v>
      </c>
      <c r="CY19" s="189">
        <f t="shared" si="13"/>
        <v>0</v>
      </c>
      <c r="CZ19" s="178">
        <f>+SUMIF('BS-Details'!$A:$A,CZ$7&amp;" - "&amp;$C19,'BS-Details'!$J:$J)</f>
        <v>0</v>
      </c>
      <c r="DA19" s="178">
        <f>+SUMIF('BS-Details'!$A:$A,DA$7&amp;" - "&amp;$C19,'BS-Details'!$J:$J)</f>
        <v>0</v>
      </c>
      <c r="DB19" s="193"/>
    </row>
    <row r="20" spans="1:106" ht="15.75" customHeight="true">
      <c r="A20" s="161">
        <v>6</v>
      </c>
      <c r="B20" s="161" t="s">
        <v>13870</v>
      </c>
      <c r="C20" s="163" t="s">
        <v>13879</v>
      </c>
      <c r="D20" s="163" t="s">
        <v>13879</v>
      </c>
      <c r="E20" s="169">
        <f t="shared" si="2"/>
        <v>-1069.75</v>
      </c>
      <c r="F20" s="169">
        <f t="shared" si="3"/>
        <v>-1069.75</v>
      </c>
      <c r="G20" s="170">
        <f>+SUMIF('BS-Details'!$A:$A,G$7&amp;" - "&amp;$C20,'BS-Details'!$J:$J)</f>
        <v>0</v>
      </c>
      <c r="H20" s="170">
        <f>+SUMIF('BS-Details'!$A:$A,H$7&amp;" - "&amp;$C20,'BS-Details'!$J:$J)</f>
        <v>0</v>
      </c>
      <c r="I20" s="170">
        <f>+SUMIF('BS-Details'!$A:$A,I$7&amp;" - "&amp;$C20,'BS-Details'!$J:$J)</f>
        <v>0</v>
      </c>
      <c r="J20" s="170">
        <f>+SUMIF('BS-Details'!$A:$A,J$7&amp;" - "&amp;$C20,'BS-Details'!$J:$J)</f>
        <v>0</v>
      </c>
      <c r="K20" s="170">
        <f>+SUMIF('BS-Details'!$A:$A,K$7&amp;" - "&amp;$C20,'BS-Details'!$J:$J)</f>
        <v>0</v>
      </c>
      <c r="L20" s="178">
        <f t="shared" si="4"/>
        <v>0</v>
      </c>
      <c r="M20" s="170">
        <f>+SUMIF('BS-Details'!$A:$A,M$7&amp;" - "&amp;$C20,'BS-Details'!$J:$J)</f>
        <v>4086</v>
      </c>
      <c r="N20" s="170">
        <f>+SUMIF('BS-Details'!$A:$A,N$7&amp;" - "&amp;$C20,'BS-Details'!$J:$J)</f>
        <v>-1612</v>
      </c>
      <c r="O20" s="178">
        <f t="shared" si="5"/>
        <v>2474</v>
      </c>
      <c r="P20" s="170">
        <f>+SUMIF('BS-Details'!$A:$A,P$7&amp;" - "&amp;$C20,'BS-Details'!$J:$J)</f>
        <v>0</v>
      </c>
      <c r="Q20" s="170">
        <f>+SUMIF('BS-Details'!$A:$A,Q$7&amp;" - "&amp;$C20,'BS-Details'!$J:$J)</f>
        <v>0</v>
      </c>
      <c r="R20" s="170">
        <f>+SUMIF('BS-Details'!$A:$A,R$7&amp;" - "&amp;$C20,'BS-Details'!$J:$J)</f>
        <v>0</v>
      </c>
      <c r="S20" s="170">
        <f>+SUMIF('BS-Details'!$A:$A,S$7&amp;" - "&amp;$C20,'BS-Details'!$J:$J)</f>
        <v>0</v>
      </c>
      <c r="T20" s="170">
        <f>+SUMIF('BS-Details'!$A:$A,T$7&amp;" - "&amp;$C20,'BS-Details'!$J:$J)</f>
        <v>0</v>
      </c>
      <c r="U20" s="170">
        <f>+SUMIF('BS-Details'!$A:$A,U$7&amp;" - "&amp;$C20,'BS-Details'!$J:$J)</f>
        <v>0</v>
      </c>
      <c r="V20" s="169">
        <f t="shared" si="6"/>
        <v>0</v>
      </c>
      <c r="W20" s="170">
        <f>+SUMIF('BS-Details'!$A:$A,W$7&amp;" - "&amp;$C20,'BS-Details'!$J:$J)</f>
        <v>0</v>
      </c>
      <c r="X20" s="170">
        <f>+SUMIF('BS-Details'!$A:$A,X$7&amp;" - "&amp;$C20,'BS-Details'!$J:$J)</f>
        <v>0</v>
      </c>
      <c r="Y20" s="178">
        <f t="shared" si="7"/>
        <v>0</v>
      </c>
      <c r="Z20" s="170">
        <f>+SUMIF('BS-Details'!$A:$A,Z$7&amp;" - "&amp;$C20,'BS-Details'!$J:$J)</f>
        <v>0</v>
      </c>
      <c r="AA20" s="170">
        <f>+SUMIF('BS-Details'!$A:$A,AA$7&amp;" - "&amp;$C20,'BS-Details'!$J:$J)</f>
        <v>0</v>
      </c>
      <c r="AB20" s="178">
        <f t="shared" si="8"/>
        <v>0</v>
      </c>
      <c r="AC20" s="170">
        <f>+SUMIF('BS-Details'!$A:$A,AC$7&amp;" - "&amp;$C20,'BS-Details'!$J:$J)</f>
        <v>-3543.75</v>
      </c>
      <c r="AD20" s="170">
        <f>+SUMIF('BS-Details'!$A:$A,AD$7&amp;" - "&amp;$C20,'BS-Details'!$J:$J)</f>
        <v>0</v>
      </c>
      <c r="AE20" s="170">
        <f>+SUMIF('BS-Details'!$A:$A,AE$7&amp;" - "&amp;$C20,'BS-Details'!$J:$J)</f>
        <v>0</v>
      </c>
      <c r="AF20" s="170">
        <f>+SUMIF('BS-Details'!$A:$A,AF$7&amp;" - "&amp;$C20,'BS-Details'!$J:$J)</f>
        <v>0</v>
      </c>
      <c r="AG20" s="170">
        <f>+SUMIF('BS-Details'!$A:$A,AG$7&amp;" - "&amp;$C20,'BS-Details'!$J:$J)</f>
        <v>0</v>
      </c>
      <c r="AH20" s="170">
        <f>+SUMIF('BS-Details'!$A:$A,AH$7&amp;" - "&amp;$C20,'BS-Details'!$J:$J)</f>
        <v>0</v>
      </c>
      <c r="AI20" s="170">
        <f>+SUMIF('BS-Details'!$A:$A,AI$7&amp;" - "&amp;$C20,'BS-Details'!$J:$J)</f>
        <v>0</v>
      </c>
      <c r="AJ20" s="170">
        <f>+SUMIF('BS-Details'!$A:$A,AJ$7&amp;" - "&amp;$C20,'BS-Details'!$J:$J)</f>
        <v>0</v>
      </c>
      <c r="AK20" s="170">
        <f>+SUMIF('BS-Details'!$A:$A,AK$7&amp;" - "&amp;$C20,'BS-Details'!$J:$J)</f>
        <v>0</v>
      </c>
      <c r="AL20" s="178">
        <f t="shared" si="9"/>
        <v>0</v>
      </c>
      <c r="AM20" s="170">
        <f>+SUMIF('BS-Details'!$A:$A,AM$7&amp;" - "&amp;$C20,'BS-Details'!$J:$J)</f>
        <v>0</v>
      </c>
      <c r="AN20" s="170">
        <f>+SUMIF('BS-Details'!$A:$A,AN$7&amp;" - "&amp;$C20,'BS-Details'!$J:$J)</f>
        <v>0</v>
      </c>
      <c r="AO20" s="170">
        <f>+SUMIF('BS-Details'!$A:$A,AO$7&amp;" - "&amp;$C20,'BS-Details'!$J:$J)</f>
        <v>0</v>
      </c>
      <c r="AP20" s="170">
        <f>+SUMIF('BS-Details'!$A:$A,AP$7&amp;" - "&amp;$C20,'BS-Details'!$J:$J)</f>
        <v>0</v>
      </c>
      <c r="AQ20" s="170">
        <f>+SUMIF('BS-Details'!$A:$A,AQ$7&amp;" - "&amp;$C20,'BS-Details'!$J:$J)</f>
        <v>0</v>
      </c>
      <c r="AR20" s="170">
        <f>+SUMIF('BS-Details'!$A:$A,AR$7&amp;" - "&amp;$C20,'BS-Details'!$J:$J)</f>
        <v>0</v>
      </c>
      <c r="AS20" s="170">
        <f>+SUMIF('BS-Details'!$A:$A,AS$7&amp;" - "&amp;$C20,'BS-Details'!$J:$J)</f>
        <v>0</v>
      </c>
      <c r="AT20" s="170">
        <f>+SUMIF('BS-Details'!$A:$A,AT$7&amp;" - "&amp;$C20,'BS-Details'!$J:$J)</f>
        <v>0</v>
      </c>
      <c r="AU20" s="170">
        <f>+SUMIF('BS-Details'!$A:$A,AU$7&amp;" - "&amp;$C20,'BS-Details'!$J:$J)</f>
        <v>0</v>
      </c>
      <c r="AV20" s="170">
        <f>+SUMIF('BS-Details'!$A:$A,AV$7&amp;" - "&amp;$C20,'BS-Details'!$J:$J)</f>
        <v>0</v>
      </c>
      <c r="AW20" s="170">
        <f>+SUMIF('BS-Details'!$A:$A,AW$7&amp;" - "&amp;$C20,'BS-Details'!$J:$J)</f>
        <v>0</v>
      </c>
      <c r="AX20" s="170">
        <f>+SUMIF('BS-Details'!$A:$A,AX$7&amp;" - "&amp;$C20,'BS-Details'!$J:$J)</f>
        <v>0</v>
      </c>
      <c r="AY20" s="170">
        <f>+SUMIF('BS-Details'!$A:$A,AY$7&amp;" - "&amp;$C20,'BS-Details'!$J:$J)</f>
        <v>0</v>
      </c>
      <c r="AZ20" s="170">
        <f>+SUMIF('BS-Details'!$A:$A,AZ$7&amp;" - "&amp;$C20,'BS-Details'!$J:$J)</f>
        <v>0</v>
      </c>
      <c r="BA20" s="170">
        <f>+SUMIF('BS-Details'!$A:$A,BA$7&amp;" - "&amp;$C20,'BS-Details'!$J:$J)</f>
        <v>0</v>
      </c>
      <c r="BB20" s="170">
        <f>+SUMIF('BS-Details'!$A:$A,BB$7&amp;" - "&amp;$C20,'BS-Details'!$J:$J)</f>
        <v>0</v>
      </c>
      <c r="BC20" s="170">
        <f>+SUMIF('BS-Details'!$A:$A,BC$7&amp;" - "&amp;$C20,'BS-Details'!$J:$J)</f>
        <v>0</v>
      </c>
      <c r="BD20" s="170">
        <f>+SUMIF('BS-Details'!$A:$A,BD$7&amp;" - "&amp;$C20,'BS-Details'!$J:$J)</f>
        <v>0</v>
      </c>
      <c r="BE20" s="170">
        <f>+SUMIF('BS-Details'!$A:$A,BE$7&amp;" - "&amp;$C20,'BS-Details'!$J:$J)</f>
        <v>0</v>
      </c>
      <c r="BF20" s="170">
        <f>+SUMIF('BS-Details'!$A:$A,BF$7&amp;" - "&amp;$C20,'BS-Details'!$J:$J)</f>
        <v>0</v>
      </c>
      <c r="BG20" s="170">
        <f>+SUMIF('BS-Details'!$A:$A,BG$7&amp;" - "&amp;$C20,'BS-Details'!$J:$J)</f>
        <v>0</v>
      </c>
      <c r="BH20" s="170">
        <f>+SUMIF('BS-Details'!$A:$A,BH$7&amp;" - "&amp;$C20,'BS-Details'!$J:$J)</f>
        <v>0</v>
      </c>
      <c r="BI20" s="170">
        <f>+SUMIF('BS-Details'!$A:$A,BI$7&amp;" - "&amp;$C20,'BS-Details'!$J:$J)</f>
        <v>0</v>
      </c>
      <c r="BJ20" s="170">
        <f>+SUMIF('BS-Details'!$A:$A,BJ$7&amp;" - "&amp;$C20,'BS-Details'!$J:$J)</f>
        <v>0</v>
      </c>
      <c r="BK20" s="170">
        <f>+SUMIF('BS-Details'!$A:$A,BK$7&amp;" - "&amp;$C20,'BS-Details'!$J:$J)</f>
        <v>0</v>
      </c>
      <c r="BL20" s="170">
        <f>+SUMIF('BS-Details'!$A:$A,BL$7&amp;" - "&amp;$C20,'BS-Details'!$J:$J)</f>
        <v>0</v>
      </c>
      <c r="BM20" s="170">
        <f>+SUMIF('BS-Details'!$A:$A,BM$7&amp;" - "&amp;$C20,'BS-Details'!$J:$J)</f>
        <v>0</v>
      </c>
      <c r="BN20" s="170">
        <f>+SUMIF('BS-Details'!$A:$A,BN$7&amp;" - "&amp;$C20,'BS-Details'!$J:$J)</f>
        <v>0</v>
      </c>
      <c r="BO20" s="170">
        <f>+SUMIF('BS-Details'!$A:$A,BO$7&amp;" - "&amp;$C20,'BS-Details'!$J:$J)</f>
        <v>0</v>
      </c>
      <c r="BP20" s="170">
        <f>+SUMIF('BS-Details'!$A:$A,BP$7&amp;" - "&amp;$C20,'BS-Details'!$J:$J)</f>
        <v>0</v>
      </c>
      <c r="BQ20" s="170">
        <f>+SUMIF('BS-Details'!$A:$A,BQ$7&amp;" - "&amp;$C20,'BS-Details'!$J:$J)</f>
        <v>0</v>
      </c>
      <c r="BR20" s="170">
        <f>+SUMIF('BS-Details'!$A:$A,BR$7&amp;" - "&amp;$C20,'BS-Details'!$J:$J)</f>
        <v>0</v>
      </c>
      <c r="BS20" s="170">
        <f>+SUMIF('BS-Details'!$A:$A,BS$7&amp;" - "&amp;$C20,'BS-Details'!$J:$J)</f>
        <v>0</v>
      </c>
      <c r="BT20" s="170">
        <f>+SUMIF('BS-Details'!$A:$A,BT$7&amp;" - "&amp;$C20,'BS-Details'!$J:$J)</f>
        <v>0</v>
      </c>
      <c r="BU20" s="170">
        <f>+SUMIF('BS-Details'!$A:$A,BU$7&amp;" - "&amp;$C20,'BS-Details'!$J:$J)</f>
        <v>0</v>
      </c>
      <c r="BV20" s="170">
        <f>+SUMIF('BS-Details'!$A:$A,BV$7&amp;" - "&amp;$C20,'BS-Details'!$J:$J)</f>
        <v>0</v>
      </c>
      <c r="BW20" s="170">
        <f>+SUMIF('BS-Details'!$A:$A,BW$7&amp;" - "&amp;$C20,'BS-Details'!$J:$J)</f>
        <v>0</v>
      </c>
      <c r="BX20" s="170">
        <f>+SUMIF('BS-Details'!$A:$A,BX$7&amp;" - "&amp;$C20,'BS-Details'!$J:$J)</f>
        <v>0</v>
      </c>
      <c r="BY20" s="170">
        <f>+SUMIF('BS-Details'!$A:$A,BY$7&amp;" - "&amp;$C20,'BS-Details'!$J:$J)</f>
        <v>0</v>
      </c>
      <c r="BZ20" s="170">
        <f>+SUMIF('BS-Details'!$A:$A,BZ$7&amp;" - "&amp;$C20,'BS-Details'!$J:$J)</f>
        <v>0</v>
      </c>
      <c r="CA20" s="170">
        <f>+SUMIF('BS-Details'!$A:$A,CA$7&amp;" - "&amp;$C20,'BS-Details'!$J:$J)</f>
        <v>0</v>
      </c>
      <c r="CB20" s="170">
        <f>+SUMIF('BS-Details'!$A:$A,CB$7&amp;" - "&amp;$C20,'BS-Details'!$J:$J)</f>
        <v>0</v>
      </c>
      <c r="CC20" s="170">
        <f>+SUMIF('BS-Details'!$A:$A,CC$7&amp;" - "&amp;$C20,'BS-Details'!$J:$J)</f>
        <v>0</v>
      </c>
      <c r="CD20" s="170">
        <f>+SUMIF('BS-Details'!$A:$A,CD$7&amp;" - "&amp;$C20,'BS-Details'!$J:$J)</f>
        <v>0</v>
      </c>
      <c r="CE20" s="170">
        <f>+SUMIF('BS-Details'!$A:$A,CE$7&amp;" - "&amp;$C20,'BS-Details'!$J:$J)</f>
        <v>0</v>
      </c>
      <c r="CF20" s="170">
        <f>+SUMIF('BS-Details'!$A:$A,CF$7&amp;" - "&amp;$C20,'BS-Details'!$J:$J)</f>
        <v>0</v>
      </c>
      <c r="CG20" s="170">
        <f>+SUMIF('BS-Details'!$A:$A,CG$7&amp;" - "&amp;$C20,'BS-Details'!$J:$J)</f>
        <v>0</v>
      </c>
      <c r="CH20" s="170">
        <f>+SUMIF('BS-Details'!$A:$A,CH$7&amp;" - "&amp;$C20,'BS-Details'!$J:$J)</f>
        <v>0</v>
      </c>
      <c r="CI20" s="170">
        <f>+SUMIF('BS-Details'!$A:$A,CI$7&amp;" - "&amp;$C20,'BS-Details'!$J:$J)</f>
        <v>0</v>
      </c>
      <c r="CJ20" s="170">
        <f>+SUMIF('BS-Details'!$A:$A,CJ$7&amp;" - "&amp;$C20,'BS-Details'!$J:$J)</f>
        <v>0</v>
      </c>
      <c r="CK20" s="170">
        <f>+SUMIF('BS-Details'!$A:$A,CK$7&amp;" - "&amp;$C20,'BS-Details'!$J:$J)</f>
        <v>0</v>
      </c>
      <c r="CL20" s="170">
        <f>+SUMIF('BS-Details'!$A:$A,CL$7&amp;" - "&amp;$C20,'BS-Details'!$J:$J)</f>
        <v>0</v>
      </c>
      <c r="CM20" s="170">
        <f>+SUMIF('BS-Details'!$A:$A,CM$7&amp;" - "&amp;$C20,'BS-Details'!$J:$J)</f>
        <v>0</v>
      </c>
      <c r="CN20" s="170">
        <f>+SUMIF('BS-Details'!$A:$A,CN$7&amp;" - "&amp;$C20,'BS-Details'!$J:$J)</f>
        <v>0</v>
      </c>
      <c r="CO20" s="170">
        <f>+SUMIF('BS-Details'!$A:$A,CO$7&amp;" - "&amp;$C20,'BS-Details'!$J:$J)</f>
        <v>0</v>
      </c>
      <c r="CP20" s="170"/>
      <c r="CQ20" s="178">
        <f t="shared" si="10"/>
        <v>0</v>
      </c>
      <c r="CR20" s="178">
        <f t="shared" si="11"/>
        <v>0</v>
      </c>
      <c r="CS20" s="178">
        <f t="shared" si="12"/>
        <v>0</v>
      </c>
      <c r="CT20" s="185">
        <f>+SUMIF('BS-Details'!$A:$A,CT$7&amp;" - "&amp;$C20,'BS-Details'!$J:$J)</f>
        <v>0</v>
      </c>
      <c r="CU20" s="170">
        <f>+SUMIF('BS-Details'!$A:$A,CU$7&amp;" - "&amp;$C20,'BS-Details'!$J:$J)</f>
        <v>0</v>
      </c>
      <c r="CV20" s="170">
        <f>+SUMIF('BS-Details'!$A:$A,CV$7&amp;" - "&amp;$C20,'BS-Details'!$J:$J)</f>
        <v>0</v>
      </c>
      <c r="CW20" s="189">
        <f>+SUMIF('BS-Details'!$A:$A,CW$7&amp;" - "&amp;$C20,'BS-Details'!$J:$J)</f>
        <v>0</v>
      </c>
      <c r="CX20" s="189">
        <f>+SUMIF('BS-Details'!$A:$A,CX$7&amp;" - "&amp;$C20,'BS-Details'!$J:$J)</f>
        <v>0</v>
      </c>
      <c r="CY20" s="189">
        <f t="shared" si="13"/>
        <v>0</v>
      </c>
      <c r="CZ20" s="178">
        <f>+SUMIF('BS-Details'!$A:$A,CZ$7&amp;" - "&amp;$C20,'BS-Details'!$J:$J)</f>
        <v>0</v>
      </c>
      <c r="DA20" s="178">
        <f>+SUMIF('BS-Details'!$A:$A,DA$7&amp;" - "&amp;$C20,'BS-Details'!$J:$J)</f>
        <v>0</v>
      </c>
      <c r="DB20" s="193"/>
    </row>
    <row r="21" spans="1:106" ht="15.75" customHeight="true">
      <c r="A21" s="161">
        <v>7</v>
      </c>
      <c r="B21" s="161" t="s">
        <v>863</v>
      </c>
      <c r="C21" s="163" t="s">
        <v>863</v>
      </c>
      <c r="D21" s="163" t="s">
        <v>863</v>
      </c>
      <c r="E21" s="169">
        <f t="shared" si="2"/>
        <v>205</v>
      </c>
      <c r="F21" s="169">
        <f t="shared" si="3"/>
        <v>205</v>
      </c>
      <c r="G21" s="170">
        <f>+SUMIF('BS-Details'!$A:$A,G$7&amp;" - "&amp;$C21,'BS-Details'!$J:$J)</f>
        <v>0</v>
      </c>
      <c r="H21" s="170">
        <f>+SUMIF('BS-Details'!$A:$A,H$7&amp;" - "&amp;$C21,'BS-Details'!$J:$J)</f>
        <v>0</v>
      </c>
      <c r="I21" s="170">
        <f>+SUMIF('BS-Details'!$A:$A,I$7&amp;" - "&amp;$C21,'BS-Details'!$J:$J)</f>
        <v>0</v>
      </c>
      <c r="J21" s="170">
        <f>+SUMIF('BS-Details'!$A:$A,J$7&amp;" - "&amp;$C21,'BS-Details'!$J:$J)</f>
        <v>0</v>
      </c>
      <c r="K21" s="170">
        <f>+SUMIF('BS-Details'!$A:$A,K$7&amp;" - "&amp;$C21,'BS-Details'!$J:$J)</f>
        <v>0</v>
      </c>
      <c r="L21" s="178">
        <f t="shared" si="4"/>
        <v>0</v>
      </c>
      <c r="M21" s="170">
        <f>+SUMIF('BS-Details'!$A:$A,M$7&amp;" - "&amp;$C21,'BS-Details'!$J:$J)</f>
        <v>0</v>
      </c>
      <c r="N21" s="170">
        <f>+SUMIF('BS-Details'!$A:$A,N$7&amp;" - "&amp;$C21,'BS-Details'!$J:$J)</f>
        <v>0</v>
      </c>
      <c r="O21" s="178">
        <f t="shared" si="5"/>
        <v>0</v>
      </c>
      <c r="P21" s="170">
        <f>+SUMIF('BS-Details'!$A:$A,P$7&amp;" - "&amp;$C21,'BS-Details'!$J:$J)</f>
        <v>0</v>
      </c>
      <c r="Q21" s="170">
        <f>+SUMIF('BS-Details'!$A:$A,Q$7&amp;" - "&amp;$C21,'BS-Details'!$J:$J)</f>
        <v>0</v>
      </c>
      <c r="R21" s="170">
        <f>+SUMIF('BS-Details'!$A:$A,R$7&amp;" - "&amp;$C21,'BS-Details'!$J:$J)</f>
        <v>0</v>
      </c>
      <c r="S21" s="170">
        <f>+SUMIF('BS-Details'!$A:$A,S$7&amp;" - "&amp;$C21,'BS-Details'!$J:$J)</f>
        <v>0</v>
      </c>
      <c r="T21" s="170">
        <f>+SUMIF('BS-Details'!$A:$A,T$7&amp;" - "&amp;$C21,'BS-Details'!$J:$J)</f>
        <v>0</v>
      </c>
      <c r="U21" s="170">
        <f>+SUMIF('BS-Details'!$A:$A,U$7&amp;" - "&amp;$C21,'BS-Details'!$J:$J)</f>
        <v>0</v>
      </c>
      <c r="V21" s="169">
        <f t="shared" si="6"/>
        <v>0</v>
      </c>
      <c r="W21" s="170">
        <f>+SUMIF('BS-Details'!$A:$A,W$7&amp;" - "&amp;$C21,'BS-Details'!$J:$J)</f>
        <v>0</v>
      </c>
      <c r="X21" s="170">
        <f>+SUMIF('BS-Details'!$A:$A,X$7&amp;" - "&amp;$C21,'BS-Details'!$J:$J)</f>
        <v>0</v>
      </c>
      <c r="Y21" s="178">
        <f t="shared" si="7"/>
        <v>0</v>
      </c>
      <c r="Z21" s="170">
        <f>+SUMIF('BS-Details'!$A:$A,Z$7&amp;" - "&amp;$C21,'BS-Details'!$J:$J)</f>
        <v>0</v>
      </c>
      <c r="AA21" s="170">
        <f>+SUMIF('BS-Details'!$A:$A,AA$7&amp;" - "&amp;$C21,'BS-Details'!$J:$J)</f>
        <v>0</v>
      </c>
      <c r="AB21" s="178">
        <f t="shared" si="8"/>
        <v>0</v>
      </c>
      <c r="AC21" s="170">
        <f>+SUMIF('BS-Details'!$A:$A,AC$7&amp;" - "&amp;$C21,'BS-Details'!$J:$J)</f>
        <v>0</v>
      </c>
      <c r="AD21" s="170">
        <f>+SUMIF('BS-Details'!$A:$A,AD$7&amp;" - "&amp;$C21,'BS-Details'!$J:$J)</f>
        <v>0</v>
      </c>
      <c r="AE21" s="170">
        <f>+SUMIF('BS-Details'!$A:$A,AE$7&amp;" - "&amp;$C21,'BS-Details'!$J:$J)</f>
        <v>0</v>
      </c>
      <c r="AF21" s="170">
        <f>+SUMIF('BS-Details'!$A:$A,AF$7&amp;" - "&amp;$C21,'BS-Details'!$J:$J)</f>
        <v>0</v>
      </c>
      <c r="AG21" s="170">
        <f>+SUMIF('BS-Details'!$A:$A,AG$7&amp;" - "&amp;$C21,'BS-Details'!$J:$J)</f>
        <v>0</v>
      </c>
      <c r="AH21" s="170">
        <f>+SUMIF('BS-Details'!$A:$A,AH$7&amp;" - "&amp;$C21,'BS-Details'!$J:$J)</f>
        <v>0</v>
      </c>
      <c r="AI21" s="170">
        <f>+SUMIF('BS-Details'!$A:$A,AI$7&amp;" - "&amp;$C21,'BS-Details'!$J:$J)</f>
        <v>0</v>
      </c>
      <c r="AJ21" s="170">
        <f>+SUMIF('BS-Details'!$A:$A,AJ$7&amp;" - "&amp;$C21,'BS-Details'!$J:$J)</f>
        <v>205</v>
      </c>
      <c r="AK21" s="170">
        <f>+SUMIF('BS-Details'!$A:$A,AK$7&amp;" - "&amp;$C21,'BS-Details'!$J:$J)</f>
        <v>0</v>
      </c>
      <c r="AL21" s="178">
        <f t="shared" si="9"/>
        <v>205</v>
      </c>
      <c r="AM21" s="170">
        <f>+SUMIF('BS-Details'!$A:$A,AM$7&amp;" - "&amp;$C21,'BS-Details'!$J:$J)</f>
        <v>0</v>
      </c>
      <c r="AN21" s="170">
        <f>+SUMIF('BS-Details'!$A:$A,AN$7&amp;" - "&amp;$C21,'BS-Details'!$J:$J)</f>
        <v>0</v>
      </c>
      <c r="AO21" s="170">
        <f>+SUMIF('BS-Details'!$A:$A,AO$7&amp;" - "&amp;$C21,'BS-Details'!$J:$J)</f>
        <v>0</v>
      </c>
      <c r="AP21" s="170">
        <f>+SUMIF('BS-Details'!$A:$A,AP$7&amp;" - "&amp;$C21,'BS-Details'!$J:$J)</f>
        <v>0</v>
      </c>
      <c r="AQ21" s="170">
        <f>+SUMIF('BS-Details'!$A:$A,AQ$7&amp;" - "&amp;$C21,'BS-Details'!$J:$J)</f>
        <v>0</v>
      </c>
      <c r="AR21" s="170">
        <f>+SUMIF('BS-Details'!$A:$A,AR$7&amp;" - "&amp;$C21,'BS-Details'!$J:$J)</f>
        <v>0</v>
      </c>
      <c r="AS21" s="170">
        <f>+SUMIF('BS-Details'!$A:$A,AS$7&amp;" - "&amp;$C21,'BS-Details'!$J:$J)</f>
        <v>0</v>
      </c>
      <c r="AT21" s="170">
        <f>+SUMIF('BS-Details'!$A:$A,AT$7&amp;" - "&amp;$C21,'BS-Details'!$J:$J)</f>
        <v>0</v>
      </c>
      <c r="AU21" s="170">
        <f>+SUMIF('BS-Details'!$A:$A,AU$7&amp;" - "&amp;$C21,'BS-Details'!$J:$J)</f>
        <v>0</v>
      </c>
      <c r="AV21" s="170">
        <f>+SUMIF('BS-Details'!$A:$A,AV$7&amp;" - "&amp;$C21,'BS-Details'!$J:$J)</f>
        <v>0</v>
      </c>
      <c r="AW21" s="170">
        <f>+SUMIF('BS-Details'!$A:$A,AW$7&amp;" - "&amp;$C21,'BS-Details'!$J:$J)</f>
        <v>0</v>
      </c>
      <c r="AX21" s="170">
        <f>+SUMIF('BS-Details'!$A:$A,AX$7&amp;" - "&amp;$C21,'BS-Details'!$J:$J)</f>
        <v>0</v>
      </c>
      <c r="AY21" s="170">
        <f>+SUMIF('BS-Details'!$A:$A,AY$7&amp;" - "&amp;$C21,'BS-Details'!$J:$J)</f>
        <v>0</v>
      </c>
      <c r="AZ21" s="170">
        <f>+SUMIF('BS-Details'!$A:$A,AZ$7&amp;" - "&amp;$C21,'BS-Details'!$J:$J)</f>
        <v>0</v>
      </c>
      <c r="BA21" s="170">
        <f>+SUMIF('BS-Details'!$A:$A,BA$7&amp;" - "&amp;$C21,'BS-Details'!$J:$J)</f>
        <v>0</v>
      </c>
      <c r="BB21" s="170">
        <f>+SUMIF('BS-Details'!$A:$A,BB$7&amp;" - "&amp;$C21,'BS-Details'!$J:$J)</f>
        <v>0</v>
      </c>
      <c r="BC21" s="170">
        <f>+SUMIF('BS-Details'!$A:$A,BC$7&amp;" - "&amp;$C21,'BS-Details'!$J:$J)</f>
        <v>0</v>
      </c>
      <c r="BD21" s="170">
        <f>+SUMIF('BS-Details'!$A:$A,BD$7&amp;" - "&amp;$C21,'BS-Details'!$J:$J)</f>
        <v>0</v>
      </c>
      <c r="BE21" s="170">
        <f>+SUMIF('BS-Details'!$A:$A,BE$7&amp;" - "&amp;$C21,'BS-Details'!$J:$J)</f>
        <v>0</v>
      </c>
      <c r="BF21" s="170">
        <f>+SUMIF('BS-Details'!$A:$A,BF$7&amp;" - "&amp;$C21,'BS-Details'!$J:$J)</f>
        <v>0</v>
      </c>
      <c r="BG21" s="170">
        <f>+SUMIF('BS-Details'!$A:$A,BG$7&amp;" - "&amp;$C21,'BS-Details'!$J:$J)</f>
        <v>0</v>
      </c>
      <c r="BH21" s="170">
        <f>+SUMIF('BS-Details'!$A:$A,BH$7&amp;" - "&amp;$C21,'BS-Details'!$J:$J)</f>
        <v>0</v>
      </c>
      <c r="BI21" s="170">
        <f>+SUMIF('BS-Details'!$A:$A,BI$7&amp;" - "&amp;$C21,'BS-Details'!$J:$J)</f>
        <v>0</v>
      </c>
      <c r="BJ21" s="170">
        <f>+SUMIF('BS-Details'!$A:$A,BJ$7&amp;" - "&amp;$C21,'BS-Details'!$J:$J)</f>
        <v>0</v>
      </c>
      <c r="BK21" s="170">
        <f>+SUMIF('BS-Details'!$A:$A,BK$7&amp;" - "&amp;$C21,'BS-Details'!$J:$J)</f>
        <v>0</v>
      </c>
      <c r="BL21" s="170">
        <f>+SUMIF('BS-Details'!$A:$A,BL$7&amp;" - "&amp;$C21,'BS-Details'!$J:$J)</f>
        <v>0</v>
      </c>
      <c r="BM21" s="170">
        <f>+SUMIF('BS-Details'!$A:$A,BM$7&amp;" - "&amp;$C21,'BS-Details'!$J:$J)</f>
        <v>0</v>
      </c>
      <c r="BN21" s="170">
        <f>+SUMIF('BS-Details'!$A:$A,BN$7&amp;" - "&amp;$C21,'BS-Details'!$J:$J)</f>
        <v>0</v>
      </c>
      <c r="BO21" s="170">
        <f>+SUMIF('BS-Details'!$A:$A,BO$7&amp;" - "&amp;$C21,'BS-Details'!$J:$J)</f>
        <v>0</v>
      </c>
      <c r="BP21" s="170">
        <f>+SUMIF('BS-Details'!$A:$A,BP$7&amp;" - "&amp;$C21,'BS-Details'!$J:$J)</f>
        <v>0</v>
      </c>
      <c r="BQ21" s="170">
        <f>+SUMIF('BS-Details'!$A:$A,BQ$7&amp;" - "&amp;$C21,'BS-Details'!$J:$J)</f>
        <v>0</v>
      </c>
      <c r="BR21" s="170">
        <f>+SUMIF('BS-Details'!$A:$A,BR$7&amp;" - "&amp;$C21,'BS-Details'!$J:$J)</f>
        <v>0</v>
      </c>
      <c r="BS21" s="170">
        <f>+SUMIF('BS-Details'!$A:$A,BS$7&amp;" - "&amp;$C21,'BS-Details'!$J:$J)</f>
        <v>0</v>
      </c>
      <c r="BT21" s="170">
        <f>+SUMIF('BS-Details'!$A:$A,BT$7&amp;" - "&amp;$C21,'BS-Details'!$J:$J)</f>
        <v>0</v>
      </c>
      <c r="BU21" s="170">
        <f>+SUMIF('BS-Details'!$A:$A,BU$7&amp;" - "&amp;$C21,'BS-Details'!$J:$J)</f>
        <v>0</v>
      </c>
      <c r="BV21" s="170">
        <f>+SUMIF('BS-Details'!$A:$A,BV$7&amp;" - "&amp;$C21,'BS-Details'!$J:$J)</f>
        <v>0</v>
      </c>
      <c r="BW21" s="170">
        <f>+SUMIF('BS-Details'!$A:$A,BW$7&amp;" - "&amp;$C21,'BS-Details'!$J:$J)</f>
        <v>0</v>
      </c>
      <c r="BX21" s="170">
        <f>+SUMIF('BS-Details'!$A:$A,BX$7&amp;" - "&amp;$C21,'BS-Details'!$J:$J)</f>
        <v>0</v>
      </c>
      <c r="BY21" s="182">
        <f>+SUMIF('BS-Details'!$A:$A,BY$7&amp;" - "&amp;$C21,'BS-Details'!$J:$J)</f>
        <v>0</v>
      </c>
      <c r="BZ21" s="170">
        <f>+SUMIF('BS-Details'!$A:$A,BZ$7&amp;" - "&amp;$C21,'BS-Details'!$J:$J)</f>
        <v>0</v>
      </c>
      <c r="CA21" s="170">
        <f>+SUMIF('BS-Details'!$A:$A,CA$7&amp;" - "&amp;$C21,'BS-Details'!$J:$J)</f>
        <v>0</v>
      </c>
      <c r="CB21" s="170">
        <f>+SUMIF('BS-Details'!$A:$A,CB$7&amp;" - "&amp;$C21,'BS-Details'!$J:$J)</f>
        <v>0</v>
      </c>
      <c r="CC21" s="170">
        <f>+SUMIF('BS-Details'!$A:$A,CC$7&amp;" - "&amp;$C21,'BS-Details'!$J:$J)</f>
        <v>0</v>
      </c>
      <c r="CD21" s="170">
        <f>+SUMIF('BS-Details'!$A:$A,CD$7&amp;" - "&amp;$C21,'BS-Details'!$J:$J)</f>
        <v>0</v>
      </c>
      <c r="CE21" s="170">
        <f>+SUMIF('BS-Details'!$A:$A,CE$7&amp;" - "&amp;$C21,'BS-Details'!$J:$J)</f>
        <v>0</v>
      </c>
      <c r="CF21" s="170">
        <f>+SUMIF('BS-Details'!$A:$A,CF$7&amp;" - "&amp;$C21,'BS-Details'!$J:$J)</f>
        <v>0</v>
      </c>
      <c r="CG21" s="170">
        <f>+SUMIF('BS-Details'!$A:$A,CG$7&amp;" - "&amp;$C21,'BS-Details'!$J:$J)</f>
        <v>0</v>
      </c>
      <c r="CH21" s="170">
        <f>+SUMIF('BS-Details'!$A:$A,CH$7&amp;" - "&amp;$C21,'BS-Details'!$J:$J)</f>
        <v>0</v>
      </c>
      <c r="CI21" s="170">
        <f>+SUMIF('BS-Details'!$A:$A,CI$7&amp;" - "&amp;$C21,'BS-Details'!$J:$J)</f>
        <v>0</v>
      </c>
      <c r="CJ21" s="170">
        <f>+SUMIF('BS-Details'!$A:$A,CJ$7&amp;" - "&amp;$C21,'BS-Details'!$J:$J)</f>
        <v>0</v>
      </c>
      <c r="CK21" s="170">
        <f>+SUMIF('BS-Details'!$A:$A,CK$7&amp;" - "&amp;$C21,'BS-Details'!$J:$J)</f>
        <v>0</v>
      </c>
      <c r="CL21" s="170">
        <f>+SUMIF('BS-Details'!$A:$A,CL$7&amp;" - "&amp;$C21,'BS-Details'!$J:$J)</f>
        <v>0</v>
      </c>
      <c r="CM21" s="170">
        <f>+SUMIF('BS-Details'!$A:$A,CM$7&amp;" - "&amp;$C21,'BS-Details'!$J:$J)</f>
        <v>0</v>
      </c>
      <c r="CN21" s="170">
        <f>+SUMIF('BS-Details'!$A:$A,CN$7&amp;" - "&amp;$C21,'BS-Details'!$J:$J)</f>
        <v>0</v>
      </c>
      <c r="CO21" s="170">
        <f>+SUMIF('BS-Details'!$A:$A,CO$7&amp;" - "&amp;$C21,'BS-Details'!$J:$J)</f>
        <v>0</v>
      </c>
      <c r="CP21" s="170"/>
      <c r="CQ21" s="178">
        <f t="shared" si="10"/>
        <v>0</v>
      </c>
      <c r="CR21" s="178">
        <f t="shared" si="11"/>
        <v>205</v>
      </c>
      <c r="CS21" s="178">
        <f t="shared" si="12"/>
        <v>0</v>
      </c>
      <c r="CT21" s="185">
        <f>+SUMIF('BS-Details'!$A:$A,CT$7&amp;" - "&amp;$C21,'BS-Details'!$J:$J)</f>
        <v>0</v>
      </c>
      <c r="CU21" s="170">
        <f>+SUMIF('BS-Details'!$A:$A,CU$7&amp;" - "&amp;$C21,'BS-Details'!$J:$J)</f>
        <v>0</v>
      </c>
      <c r="CV21" s="170">
        <f>+SUMIF('BS-Details'!$A:$A,CV$7&amp;" - "&amp;$C21,'BS-Details'!$J:$J)</f>
        <v>0</v>
      </c>
      <c r="CW21" s="189">
        <f>+SUMIF('BS-Details'!$A:$A,CW$7&amp;" - "&amp;$C21,'BS-Details'!$J:$J)</f>
        <v>0</v>
      </c>
      <c r="CX21" s="189">
        <f>+SUMIF('BS-Details'!$A:$A,CX$7&amp;" - "&amp;$C21,'BS-Details'!$J:$J)</f>
        <v>0</v>
      </c>
      <c r="CY21" s="189">
        <f t="shared" si="13"/>
        <v>0</v>
      </c>
      <c r="CZ21" s="178">
        <f>+SUMIF('BS-Details'!$A:$A,CZ$7&amp;" - "&amp;$C21,'BS-Details'!$J:$J)</f>
        <v>0</v>
      </c>
      <c r="DA21" s="178">
        <f>+SUMIF('BS-Details'!$A:$A,DA$7&amp;" - "&amp;$C21,'BS-Details'!$J:$J)</f>
        <v>0</v>
      </c>
      <c r="DB21" s="193"/>
    </row>
    <row r="22" spans="1:106" ht="15.75" customHeight="true">
      <c r="A22" s="161">
        <v>8</v>
      </c>
      <c r="B22" s="161" t="s">
        <v>13880</v>
      </c>
      <c r="C22" s="163" t="s">
        <v>13881</v>
      </c>
      <c r="D22" s="163" t="s">
        <v>13881</v>
      </c>
      <c r="E22" s="169">
        <f t="shared" si="2"/>
        <v>0</v>
      </c>
      <c r="F22" s="169">
        <f t="shared" si="3"/>
        <v>0</v>
      </c>
      <c r="G22" s="170">
        <f>+SUMIF('BS-Details'!$A:$A,G$7&amp;" - "&amp;$C22,'BS-Details'!$J:$J)</f>
        <v>0</v>
      </c>
      <c r="H22" s="170">
        <f>+SUMIF('BS-Details'!$A:$A,H$7&amp;" - "&amp;$C22,'BS-Details'!$J:$J)</f>
        <v>0</v>
      </c>
      <c r="I22" s="170">
        <f>+SUMIF('BS-Details'!$A:$A,I$7&amp;" - "&amp;$C22,'BS-Details'!$J:$J)</f>
        <v>0</v>
      </c>
      <c r="J22" s="170">
        <f>+SUMIF('BS-Details'!$A:$A,J$7&amp;" - "&amp;$C22,'BS-Details'!$J:$J)</f>
        <v>0</v>
      </c>
      <c r="K22" s="170">
        <f>+SUMIF('BS-Details'!$A:$A,K$7&amp;" - "&amp;$C22,'BS-Details'!$J:$J)</f>
        <v>0</v>
      </c>
      <c r="L22" s="178">
        <f t="shared" si="4"/>
        <v>0</v>
      </c>
      <c r="M22" s="170">
        <f>+SUMIF('BS-Details'!$A:$A,M$7&amp;" - "&amp;$C22,'BS-Details'!$J:$J)</f>
        <v>0</v>
      </c>
      <c r="N22" s="170">
        <f>+SUMIF('BS-Details'!$A:$A,N$7&amp;" - "&amp;$C22,'BS-Details'!$J:$J)</f>
        <v>0</v>
      </c>
      <c r="O22" s="178">
        <f t="shared" si="5"/>
        <v>0</v>
      </c>
      <c r="P22" s="170">
        <f>+SUMIF('BS-Details'!$A:$A,P$7&amp;" - "&amp;$C22,'BS-Details'!$J:$J)</f>
        <v>0</v>
      </c>
      <c r="Q22" s="182">
        <f>+SUMIF('BS-Details'!$A:$A,Q$7&amp;" - "&amp;$C22,'BS-Details'!$J:$J)</f>
        <v>0</v>
      </c>
      <c r="R22" s="170">
        <f>+SUMIF('BS-Details'!$A:$A,R$7&amp;" - "&amp;$C22,'BS-Details'!$J:$J)</f>
        <v>0</v>
      </c>
      <c r="S22" s="170">
        <f>+SUMIF('BS-Details'!$A:$A,S$7&amp;" - "&amp;$C22,'BS-Details'!$J:$J)</f>
        <v>0</v>
      </c>
      <c r="T22" s="170">
        <f>+SUMIF('BS-Details'!$A:$A,T$7&amp;" - "&amp;$C22,'BS-Details'!$J:$J)</f>
        <v>0</v>
      </c>
      <c r="U22" s="170">
        <f>+SUMIF('BS-Details'!$A:$A,U$7&amp;" - "&amp;$C22,'BS-Details'!$J:$J)</f>
        <v>0</v>
      </c>
      <c r="V22" s="169">
        <f t="shared" si="6"/>
        <v>0</v>
      </c>
      <c r="W22" s="170">
        <f>+SUMIF('BS-Details'!$A:$A,W$7&amp;" - "&amp;$C22,'BS-Details'!$J:$J)</f>
        <v>0</v>
      </c>
      <c r="X22" s="170">
        <f>+SUMIF('BS-Details'!$A:$A,X$7&amp;" - "&amp;$C22,'BS-Details'!$J:$J)</f>
        <v>0</v>
      </c>
      <c r="Y22" s="178">
        <f t="shared" si="7"/>
        <v>0</v>
      </c>
      <c r="Z22" s="170">
        <f>+SUMIF('BS-Details'!$A:$A,Z$7&amp;" - "&amp;$C22,'BS-Details'!$J:$J)</f>
        <v>0</v>
      </c>
      <c r="AA22" s="170">
        <f>+SUMIF('BS-Details'!$A:$A,AA$7&amp;" - "&amp;$C22,'BS-Details'!$J:$J)</f>
        <v>0</v>
      </c>
      <c r="AB22" s="178">
        <f t="shared" si="8"/>
        <v>0</v>
      </c>
      <c r="AC22" s="170">
        <f>+SUMIF('BS-Details'!$A:$A,AC$7&amp;" - "&amp;$C22,'BS-Details'!$J:$J)</f>
        <v>0</v>
      </c>
      <c r="AD22" s="170">
        <f>+SUMIF('BS-Details'!$A:$A,AD$7&amp;" - "&amp;$C22,'BS-Details'!$J:$J)</f>
        <v>0</v>
      </c>
      <c r="AE22" s="170">
        <f>+SUMIF('BS-Details'!$A:$A,AE$7&amp;" - "&amp;$C22,'BS-Details'!$J:$J)</f>
        <v>0</v>
      </c>
      <c r="AF22" s="170">
        <f>+SUMIF('BS-Details'!$A:$A,AF$7&amp;" - "&amp;$C22,'BS-Details'!$J:$J)</f>
        <v>0</v>
      </c>
      <c r="AG22" s="170">
        <f>+SUMIF('BS-Details'!$A:$A,AG$7&amp;" - "&amp;$C22,'BS-Details'!$J:$J)</f>
        <v>0</v>
      </c>
      <c r="AH22" s="170">
        <f>+SUMIF('BS-Details'!$A:$A,AH$7&amp;" - "&amp;$C22,'BS-Details'!$J:$J)</f>
        <v>0</v>
      </c>
      <c r="AI22" s="170">
        <f>+SUMIF('BS-Details'!$A:$A,AI$7&amp;" - "&amp;$C22,'BS-Details'!$J:$J)</f>
        <v>0</v>
      </c>
      <c r="AJ22" s="170">
        <f>+SUMIF('BS-Details'!$A:$A,AJ$7&amp;" - "&amp;$C22,'BS-Details'!$J:$J)</f>
        <v>0</v>
      </c>
      <c r="AK22" s="170">
        <f>+SUMIF('BS-Details'!$A:$A,AK$7&amp;" - "&amp;$C22,'BS-Details'!$J:$J)</f>
        <v>0</v>
      </c>
      <c r="AL22" s="178">
        <f t="shared" si="9"/>
        <v>0</v>
      </c>
      <c r="AM22" s="170">
        <f>+SUMIF('BS-Details'!$A:$A,AM$7&amp;" - "&amp;$C22,'BS-Details'!$J:$J)</f>
        <v>0</v>
      </c>
      <c r="AN22" s="170">
        <f>+SUMIF('BS-Details'!$A:$A,AN$7&amp;" - "&amp;$C22,'BS-Details'!$J:$J)</f>
        <v>0</v>
      </c>
      <c r="AO22" s="170">
        <f>+SUMIF('BS-Details'!$A:$A,AO$7&amp;" - "&amp;$C22,'BS-Details'!$J:$J)</f>
        <v>0</v>
      </c>
      <c r="AP22" s="170">
        <f>+SUMIF('BS-Details'!$A:$A,AP$7&amp;" - "&amp;$C22,'BS-Details'!$J:$J)</f>
        <v>0</v>
      </c>
      <c r="AQ22" s="170">
        <f>+SUMIF('BS-Details'!$A:$A,AQ$7&amp;" - "&amp;$C22,'BS-Details'!$J:$J)</f>
        <v>0</v>
      </c>
      <c r="AR22" s="170">
        <f>+SUMIF('BS-Details'!$A:$A,AR$7&amp;" - "&amp;$C22,'BS-Details'!$J:$J)</f>
        <v>0</v>
      </c>
      <c r="AS22" s="170">
        <f>+SUMIF('BS-Details'!$A:$A,AS$7&amp;" - "&amp;$C22,'BS-Details'!$J:$J)</f>
        <v>0</v>
      </c>
      <c r="AT22" s="170">
        <f>+SUMIF('BS-Details'!$A:$A,AT$7&amp;" - "&amp;$C22,'BS-Details'!$J:$J)</f>
        <v>0</v>
      </c>
      <c r="AU22" s="170">
        <f>+SUMIF('BS-Details'!$A:$A,AU$7&amp;" - "&amp;$C22,'BS-Details'!$J:$J)</f>
        <v>0</v>
      </c>
      <c r="AV22" s="170">
        <f>+SUMIF('BS-Details'!$A:$A,AV$7&amp;" - "&amp;$C22,'BS-Details'!$J:$J)</f>
        <v>0</v>
      </c>
      <c r="AW22" s="170">
        <f>+SUMIF('BS-Details'!$A:$A,AW$7&amp;" - "&amp;$C22,'BS-Details'!$J:$J)</f>
        <v>0</v>
      </c>
      <c r="AX22" s="182">
        <f>+SUMIF('BS-Details'!$A:$A,AX$7&amp;" - "&amp;$C22,'BS-Details'!$J:$J)</f>
        <v>0</v>
      </c>
      <c r="AY22" s="170">
        <f>+SUMIF('BS-Details'!$A:$A,AY$7&amp;" - "&amp;$C22,'BS-Details'!$J:$J)</f>
        <v>0</v>
      </c>
      <c r="AZ22" s="170">
        <f>+SUMIF('BS-Details'!$A:$A,AZ$7&amp;" - "&amp;$C22,'BS-Details'!$J:$J)</f>
        <v>0</v>
      </c>
      <c r="BA22" s="170">
        <f>+SUMIF('BS-Details'!$A:$A,BA$7&amp;" - "&amp;$C22,'BS-Details'!$J:$J)</f>
        <v>0</v>
      </c>
      <c r="BB22" s="170">
        <f>+SUMIF('BS-Details'!$A:$A,BB$7&amp;" - "&amp;$C22,'BS-Details'!$J:$J)</f>
        <v>0</v>
      </c>
      <c r="BC22" s="170">
        <f>+SUMIF('BS-Details'!$A:$A,BC$7&amp;" - "&amp;$C22,'BS-Details'!$J:$J)</f>
        <v>0</v>
      </c>
      <c r="BD22" s="170">
        <f>+SUMIF('BS-Details'!$A:$A,BD$7&amp;" - "&amp;$C22,'BS-Details'!$J:$J)</f>
        <v>0</v>
      </c>
      <c r="BE22" s="170">
        <f>+SUMIF('BS-Details'!$A:$A,BE$7&amp;" - "&amp;$C22,'BS-Details'!$J:$J)</f>
        <v>0</v>
      </c>
      <c r="BF22" s="170">
        <f>+SUMIF('BS-Details'!$A:$A,BF$7&amp;" - "&amp;$C22,'BS-Details'!$J:$J)</f>
        <v>0</v>
      </c>
      <c r="BG22" s="170">
        <f>+SUMIF('BS-Details'!$A:$A,BG$7&amp;" - "&amp;$C22,'BS-Details'!$J:$J)</f>
        <v>0</v>
      </c>
      <c r="BH22" s="170">
        <f>+SUMIF('BS-Details'!$A:$A,BH$7&amp;" - "&amp;$C22,'BS-Details'!$J:$J)</f>
        <v>0</v>
      </c>
      <c r="BI22" s="170">
        <f>+SUMIF('BS-Details'!$A:$A,BI$7&amp;" - "&amp;$C22,'BS-Details'!$J:$J)</f>
        <v>0</v>
      </c>
      <c r="BJ22" s="170">
        <f>+SUMIF('BS-Details'!$A:$A,BJ$7&amp;" - "&amp;$C22,'BS-Details'!$J:$J)</f>
        <v>0</v>
      </c>
      <c r="BK22" s="170">
        <f>+SUMIF('BS-Details'!$A:$A,BK$7&amp;" - "&amp;$C22,'BS-Details'!$J:$J)</f>
        <v>0</v>
      </c>
      <c r="BL22" s="170">
        <f>+SUMIF('BS-Details'!$A:$A,BL$7&amp;" - "&amp;$C22,'BS-Details'!$J:$J)</f>
        <v>0</v>
      </c>
      <c r="BM22" s="170">
        <f>+SUMIF('BS-Details'!$A:$A,BM$7&amp;" - "&amp;$C22,'BS-Details'!$J:$J)</f>
        <v>0</v>
      </c>
      <c r="BN22" s="170">
        <f>+SUMIF('BS-Details'!$A:$A,BN$7&amp;" - "&amp;$C22,'BS-Details'!$J:$J)</f>
        <v>0</v>
      </c>
      <c r="BO22" s="170">
        <f>+SUMIF('BS-Details'!$A:$A,BO$7&amp;" - "&amp;$C22,'BS-Details'!$J:$J)</f>
        <v>0</v>
      </c>
      <c r="BP22" s="170">
        <f>+SUMIF('BS-Details'!$A:$A,BP$7&amp;" - "&amp;$C22,'BS-Details'!$J:$J)</f>
        <v>0</v>
      </c>
      <c r="BQ22" s="170">
        <f>+SUMIF('BS-Details'!$A:$A,BQ$7&amp;" - "&amp;$C22,'BS-Details'!$J:$J)</f>
        <v>0</v>
      </c>
      <c r="BR22" s="170">
        <f>+SUMIF('BS-Details'!$A:$A,BR$7&amp;" - "&amp;$C22,'BS-Details'!$J:$J)</f>
        <v>0</v>
      </c>
      <c r="BS22" s="170">
        <f>+SUMIF('BS-Details'!$A:$A,BS$7&amp;" - "&amp;$C22,'BS-Details'!$J:$J)</f>
        <v>0</v>
      </c>
      <c r="BT22" s="170">
        <f>+SUMIF('BS-Details'!$A:$A,BT$7&amp;" - "&amp;$C22,'BS-Details'!$J:$J)</f>
        <v>0</v>
      </c>
      <c r="BU22" s="170">
        <f>+SUMIF('BS-Details'!$A:$A,BU$7&amp;" - "&amp;$C22,'BS-Details'!$J:$J)</f>
        <v>0</v>
      </c>
      <c r="BV22" s="170">
        <f>+SUMIF('BS-Details'!$A:$A,BV$7&amp;" - "&amp;$C22,'BS-Details'!$J:$J)</f>
        <v>0</v>
      </c>
      <c r="BW22" s="170">
        <f>+SUMIF('BS-Details'!$A:$A,BW$7&amp;" - "&amp;$C22,'BS-Details'!$J:$J)</f>
        <v>0</v>
      </c>
      <c r="BX22" s="170">
        <f>+SUMIF('BS-Details'!$A:$A,BX$7&amp;" - "&amp;$C22,'BS-Details'!$J:$J)</f>
        <v>0</v>
      </c>
      <c r="BY22" s="170">
        <f>+SUMIF('BS-Details'!$A:$A,BY$7&amp;" - "&amp;$C22,'BS-Details'!$J:$J)</f>
        <v>0</v>
      </c>
      <c r="BZ22" s="170">
        <f>+SUMIF('BS-Details'!$A:$A,BZ$7&amp;" - "&amp;$C22,'BS-Details'!$J:$J)</f>
        <v>0</v>
      </c>
      <c r="CA22" s="170">
        <f>+SUMIF('BS-Details'!$A:$A,CA$7&amp;" - "&amp;$C22,'BS-Details'!$J:$J)</f>
        <v>0</v>
      </c>
      <c r="CB22" s="170">
        <f>+SUMIF('BS-Details'!$A:$A,CB$7&amp;" - "&amp;$C22,'BS-Details'!$J:$J)</f>
        <v>0</v>
      </c>
      <c r="CC22" s="170">
        <f>+SUMIF('BS-Details'!$A:$A,CC$7&amp;" - "&amp;$C22,'BS-Details'!$J:$J)</f>
        <v>0</v>
      </c>
      <c r="CD22" s="170">
        <f>+SUMIF('BS-Details'!$A:$A,CD$7&amp;" - "&amp;$C22,'BS-Details'!$J:$J)</f>
        <v>0</v>
      </c>
      <c r="CE22" s="170">
        <f>+SUMIF('BS-Details'!$A:$A,CE$7&amp;" - "&amp;$C22,'BS-Details'!$J:$J)</f>
        <v>0</v>
      </c>
      <c r="CF22" s="170">
        <f>+SUMIF('BS-Details'!$A:$A,CF$7&amp;" - "&amp;$C22,'BS-Details'!$J:$J)</f>
        <v>0</v>
      </c>
      <c r="CG22" s="170">
        <f>+SUMIF('BS-Details'!$A:$A,CG$7&amp;" - "&amp;$C22,'BS-Details'!$J:$J)</f>
        <v>0</v>
      </c>
      <c r="CH22" s="170">
        <f>+SUMIF('BS-Details'!$A:$A,CH$7&amp;" - "&amp;$C22,'BS-Details'!$J:$J)</f>
        <v>0</v>
      </c>
      <c r="CI22" s="170">
        <f>+SUMIF('BS-Details'!$A:$A,CI$7&amp;" - "&amp;$C22,'BS-Details'!$J:$J)</f>
        <v>0</v>
      </c>
      <c r="CJ22" s="170">
        <f>+SUMIF('BS-Details'!$A:$A,CJ$7&amp;" - "&amp;$C22,'BS-Details'!$J:$J)</f>
        <v>0</v>
      </c>
      <c r="CK22" s="170">
        <f>+SUMIF('BS-Details'!$A:$A,CK$7&amp;" - "&amp;$C22,'BS-Details'!$J:$J)</f>
        <v>0</v>
      </c>
      <c r="CL22" s="170">
        <f>+SUMIF('BS-Details'!$A:$A,CL$7&amp;" - "&amp;$C22,'BS-Details'!$J:$J)</f>
        <v>0</v>
      </c>
      <c r="CM22" s="170">
        <f>+SUMIF('BS-Details'!$A:$A,CM$7&amp;" - "&amp;$C22,'BS-Details'!$J:$J)</f>
        <v>0</v>
      </c>
      <c r="CN22" s="170">
        <f>+SUMIF('BS-Details'!$A:$A,CN$7&amp;" - "&amp;$C22,'BS-Details'!$J:$J)</f>
        <v>0</v>
      </c>
      <c r="CO22" s="170">
        <f>+SUMIF('BS-Details'!$A:$A,CO$7&amp;" - "&amp;$C22,'BS-Details'!$J:$J)</f>
        <v>0</v>
      </c>
      <c r="CP22" s="170"/>
      <c r="CQ22" s="178">
        <f t="shared" si="10"/>
        <v>0</v>
      </c>
      <c r="CR22" s="178">
        <f t="shared" si="11"/>
        <v>0</v>
      </c>
      <c r="CS22" s="178">
        <f t="shared" si="12"/>
        <v>0</v>
      </c>
      <c r="CT22" s="185">
        <f>+SUMIF('BS-Details'!$A:$A,CT$7&amp;" - "&amp;$C22,'BS-Details'!$J:$J)</f>
        <v>0</v>
      </c>
      <c r="CU22" s="170">
        <f>+SUMIF('BS-Details'!$A:$A,CU$7&amp;" - "&amp;$C22,'BS-Details'!$J:$J)</f>
        <v>0</v>
      </c>
      <c r="CV22" s="170">
        <f>+SUMIF('BS-Details'!$A:$A,CV$7&amp;" - "&amp;$C22,'BS-Details'!$J:$J)</f>
        <v>0</v>
      </c>
      <c r="CW22" s="189">
        <f>+SUMIF('BS-Details'!$A:$A,CW$7&amp;" - "&amp;$C22,'BS-Details'!$J:$J)</f>
        <v>0</v>
      </c>
      <c r="CX22" s="189">
        <f>+SUMIF('BS-Details'!$A:$A,CX$7&amp;" - "&amp;$C22,'BS-Details'!$J:$J)</f>
        <v>0</v>
      </c>
      <c r="CY22" s="189">
        <f t="shared" si="13"/>
        <v>0</v>
      </c>
      <c r="CZ22" s="178">
        <f>+SUMIF('BS-Details'!$A:$A,CZ$7&amp;" - "&amp;$C22,'BS-Details'!$J:$J)</f>
        <v>0</v>
      </c>
      <c r="DA22" s="178">
        <f>+SUMIF('BS-Details'!$A:$A,DA$7&amp;" - "&amp;$C22,'BS-Details'!$J:$J)</f>
        <v>0</v>
      </c>
      <c r="DB22" s="193"/>
    </row>
    <row r="23" spans="1:106" ht="15.75" customHeight="true">
      <c r="A23" s="161">
        <v>9</v>
      </c>
      <c r="B23" s="161" t="s">
        <v>13870</v>
      </c>
      <c r="C23" s="163" t="s">
        <v>13882</v>
      </c>
      <c r="D23" s="163" t="s">
        <v>13882</v>
      </c>
      <c r="E23" s="169">
        <f t="shared" si="2"/>
        <v>0</v>
      </c>
      <c r="F23" s="169">
        <f t="shared" si="3"/>
        <v>0</v>
      </c>
      <c r="G23" s="170">
        <f>+SUMIF('BS-Details'!$A:$A,G$7&amp;" - "&amp;$C23,'BS-Details'!$J:$J)</f>
        <v>0</v>
      </c>
      <c r="H23" s="170">
        <f>+SUMIF('BS-Details'!$A:$A,H$7&amp;" - "&amp;$C23,'BS-Details'!$J:$J)</f>
        <v>0</v>
      </c>
      <c r="I23" s="170">
        <f>+SUMIF('BS-Details'!$A:$A,I$7&amp;" - "&amp;$C23,'BS-Details'!$J:$J)</f>
        <v>0</v>
      </c>
      <c r="J23" s="170">
        <f>+SUMIF('BS-Details'!$A:$A,J$7&amp;" - "&amp;$C23,'BS-Details'!$J:$J)</f>
        <v>0</v>
      </c>
      <c r="K23" s="170">
        <f>+SUMIF('BS-Details'!$A:$A,K$7&amp;" - "&amp;$C23,'BS-Details'!$J:$J)</f>
        <v>0</v>
      </c>
      <c r="L23" s="178">
        <f t="shared" si="4"/>
        <v>0</v>
      </c>
      <c r="M23" s="170">
        <f>+SUMIF('BS-Details'!$A:$A,M$7&amp;" - "&amp;$C23,'BS-Details'!$J:$J)</f>
        <v>0</v>
      </c>
      <c r="N23" s="170">
        <f>+SUMIF('BS-Details'!$A:$A,N$7&amp;" - "&amp;$C23,'BS-Details'!$J:$J)</f>
        <v>0</v>
      </c>
      <c r="O23" s="178">
        <f t="shared" si="5"/>
        <v>0</v>
      </c>
      <c r="P23" s="170">
        <f>+SUMIF('BS-Details'!$A:$A,P$7&amp;" - "&amp;$C23,'BS-Details'!$J:$J)</f>
        <v>0</v>
      </c>
      <c r="Q23" s="170">
        <f>+SUMIF('BS-Details'!$A:$A,Q$7&amp;" - "&amp;$C23,'BS-Details'!$J:$J)</f>
        <v>0</v>
      </c>
      <c r="R23" s="170">
        <f>+SUMIF('BS-Details'!$A:$A,R$7&amp;" - "&amp;$C23,'BS-Details'!$J:$J)</f>
        <v>0</v>
      </c>
      <c r="S23" s="170">
        <f>+SUMIF('BS-Details'!$A:$A,S$7&amp;" - "&amp;$C23,'BS-Details'!$J:$J)</f>
        <v>0</v>
      </c>
      <c r="T23" s="170">
        <f>+SUMIF('BS-Details'!$A:$A,T$7&amp;" - "&amp;$C23,'BS-Details'!$J:$J)</f>
        <v>0</v>
      </c>
      <c r="U23" s="170">
        <f>+SUMIF('BS-Details'!$A:$A,U$7&amp;" - "&amp;$C23,'BS-Details'!$J:$J)</f>
        <v>0</v>
      </c>
      <c r="V23" s="169">
        <f t="shared" si="6"/>
        <v>0</v>
      </c>
      <c r="W23" s="170">
        <f>+SUMIF('BS-Details'!$A:$A,W$7&amp;" - "&amp;$C23,'BS-Details'!$J:$J)</f>
        <v>0</v>
      </c>
      <c r="X23" s="170">
        <f>+SUMIF('BS-Details'!$A:$A,X$7&amp;" - "&amp;$C23,'BS-Details'!$J:$J)</f>
        <v>0</v>
      </c>
      <c r="Y23" s="178">
        <f t="shared" si="7"/>
        <v>0</v>
      </c>
      <c r="Z23" s="170">
        <f>+SUMIF('BS-Details'!$A:$A,Z$7&amp;" - "&amp;$C23,'BS-Details'!$J:$J)</f>
        <v>0</v>
      </c>
      <c r="AA23" s="170">
        <f>+SUMIF('BS-Details'!$A:$A,AA$7&amp;" - "&amp;$C23,'BS-Details'!$J:$J)</f>
        <v>0</v>
      </c>
      <c r="AB23" s="178">
        <f t="shared" si="8"/>
        <v>0</v>
      </c>
      <c r="AC23" s="170">
        <f>+SUMIF('BS-Details'!$A:$A,AC$7&amp;" - "&amp;$C23,'BS-Details'!$J:$J)</f>
        <v>0</v>
      </c>
      <c r="AD23" s="170">
        <f>+SUMIF('BS-Details'!$A:$A,AD$7&amp;" - "&amp;$C23,'BS-Details'!$J:$J)</f>
        <v>0</v>
      </c>
      <c r="AE23" s="170">
        <f>+SUMIF('BS-Details'!$A:$A,AE$7&amp;" - "&amp;$C23,'BS-Details'!$J:$J)</f>
        <v>0</v>
      </c>
      <c r="AF23" s="170">
        <f>+SUMIF('BS-Details'!$A:$A,AF$7&amp;" - "&amp;$C23,'BS-Details'!$J:$J)</f>
        <v>0</v>
      </c>
      <c r="AG23" s="170">
        <f>+SUMIF('BS-Details'!$A:$A,AG$7&amp;" - "&amp;$C23,'BS-Details'!$J:$J)</f>
        <v>0</v>
      </c>
      <c r="AH23" s="170">
        <f>+SUMIF('BS-Details'!$A:$A,AH$7&amp;" - "&amp;$C23,'BS-Details'!$J:$J)</f>
        <v>0</v>
      </c>
      <c r="AI23" s="170">
        <f>+SUMIF('BS-Details'!$A:$A,AI$7&amp;" - "&amp;$C23,'BS-Details'!$J:$J)</f>
        <v>0</v>
      </c>
      <c r="AJ23" s="170">
        <f>+SUMIF('BS-Details'!$A:$A,AJ$7&amp;" - "&amp;$C23,'BS-Details'!$J:$J)</f>
        <v>0</v>
      </c>
      <c r="AK23" s="170">
        <f>+SUMIF('BS-Details'!$A:$A,AK$7&amp;" - "&amp;$C23,'BS-Details'!$J:$J)</f>
        <v>0</v>
      </c>
      <c r="AL23" s="178">
        <f t="shared" si="9"/>
        <v>0</v>
      </c>
      <c r="AM23" s="170">
        <f>+SUMIF('BS-Details'!$A:$A,AM$7&amp;" - "&amp;$C23,'BS-Details'!$J:$J)</f>
        <v>0</v>
      </c>
      <c r="AN23" s="170">
        <f>+SUMIF('BS-Details'!$A:$A,AN$7&amp;" - "&amp;$C23,'BS-Details'!$J:$J)</f>
        <v>0</v>
      </c>
      <c r="AO23" s="170">
        <f>+SUMIF('BS-Details'!$A:$A,AO$7&amp;" - "&amp;$C23,'BS-Details'!$J:$J)</f>
        <v>0</v>
      </c>
      <c r="AP23" s="170">
        <f>+SUMIF('BS-Details'!$A:$A,AP$7&amp;" - "&amp;$C23,'BS-Details'!$J:$J)</f>
        <v>0</v>
      </c>
      <c r="AQ23" s="170">
        <f>+SUMIF('BS-Details'!$A:$A,AQ$7&amp;" - "&amp;$C23,'BS-Details'!$J:$J)</f>
        <v>0</v>
      </c>
      <c r="AR23" s="170">
        <f>+SUMIF('BS-Details'!$A:$A,AR$7&amp;" - "&amp;$C23,'BS-Details'!$J:$J)</f>
        <v>0</v>
      </c>
      <c r="AS23" s="170">
        <f>+SUMIF('BS-Details'!$A:$A,AS$7&amp;" - "&amp;$C23,'BS-Details'!$J:$J)</f>
        <v>0</v>
      </c>
      <c r="AT23" s="170">
        <f>+SUMIF('BS-Details'!$A:$A,AT$7&amp;" - "&amp;$C23,'BS-Details'!$J:$J)</f>
        <v>0</v>
      </c>
      <c r="AU23" s="170">
        <f>+SUMIF('BS-Details'!$A:$A,AU$7&amp;" - "&amp;$C23,'BS-Details'!$J:$J)</f>
        <v>0</v>
      </c>
      <c r="AV23" s="170">
        <f>+SUMIF('BS-Details'!$A:$A,AV$7&amp;" - "&amp;$C23,'BS-Details'!$J:$J)</f>
        <v>0</v>
      </c>
      <c r="AW23" s="170">
        <f>+SUMIF('BS-Details'!$A:$A,AW$7&amp;" - "&amp;$C23,'BS-Details'!$J:$J)</f>
        <v>0</v>
      </c>
      <c r="AX23" s="170">
        <f>+SUMIF('BS-Details'!$A:$A,AX$7&amp;" - "&amp;$C23,'BS-Details'!$J:$J)</f>
        <v>0</v>
      </c>
      <c r="AY23" s="170">
        <f>+SUMIF('BS-Details'!$A:$A,AY$7&amp;" - "&amp;$C23,'BS-Details'!$J:$J)</f>
        <v>0</v>
      </c>
      <c r="AZ23" s="170">
        <f>+SUMIF('BS-Details'!$A:$A,AZ$7&amp;" - "&amp;$C23,'BS-Details'!$J:$J)</f>
        <v>0</v>
      </c>
      <c r="BA23" s="170">
        <f>+SUMIF('BS-Details'!$A:$A,BA$7&amp;" - "&amp;$C23,'BS-Details'!$J:$J)</f>
        <v>0</v>
      </c>
      <c r="BB23" s="170">
        <f>+SUMIF('BS-Details'!$A:$A,BB$7&amp;" - "&amp;$C23,'BS-Details'!$J:$J)</f>
        <v>0</v>
      </c>
      <c r="BC23" s="170">
        <f>+SUMIF('BS-Details'!$A:$A,BC$7&amp;" - "&amp;$C23,'BS-Details'!$J:$J)</f>
        <v>0</v>
      </c>
      <c r="BD23" s="170">
        <f>+SUMIF('BS-Details'!$A:$A,BD$7&amp;" - "&amp;$C23,'BS-Details'!$J:$J)</f>
        <v>0</v>
      </c>
      <c r="BE23" s="170">
        <f>+SUMIF('BS-Details'!$A:$A,BE$7&amp;" - "&amp;$C23,'BS-Details'!$J:$J)</f>
        <v>0</v>
      </c>
      <c r="BF23" s="170">
        <f>+SUMIF('BS-Details'!$A:$A,BF$7&amp;" - "&amp;$C23,'BS-Details'!$J:$J)</f>
        <v>0</v>
      </c>
      <c r="BG23" s="170">
        <f>+SUMIF('BS-Details'!$A:$A,BG$7&amp;" - "&amp;$C23,'BS-Details'!$J:$J)</f>
        <v>0</v>
      </c>
      <c r="BH23" s="170">
        <f>+SUMIF('BS-Details'!$A:$A,BH$7&amp;" - "&amp;$C23,'BS-Details'!$J:$J)</f>
        <v>0</v>
      </c>
      <c r="BI23" s="170">
        <f>+SUMIF('BS-Details'!$A:$A,BI$7&amp;" - "&amp;$C23,'BS-Details'!$J:$J)</f>
        <v>0</v>
      </c>
      <c r="BJ23" s="170">
        <f>+SUMIF('BS-Details'!$A:$A,BJ$7&amp;" - "&amp;$C23,'BS-Details'!$J:$J)</f>
        <v>0</v>
      </c>
      <c r="BK23" s="170">
        <f>+SUMIF('BS-Details'!$A:$A,BK$7&amp;" - "&amp;$C23,'BS-Details'!$J:$J)</f>
        <v>0</v>
      </c>
      <c r="BL23" s="170">
        <f>+SUMIF('BS-Details'!$A:$A,BL$7&amp;" - "&amp;$C23,'BS-Details'!$J:$J)</f>
        <v>0</v>
      </c>
      <c r="BM23" s="170">
        <f>+SUMIF('BS-Details'!$A:$A,BM$7&amp;" - "&amp;$C23,'BS-Details'!$J:$J)</f>
        <v>0</v>
      </c>
      <c r="BN23" s="170">
        <f>+SUMIF('BS-Details'!$A:$A,BN$7&amp;" - "&amp;$C23,'BS-Details'!$J:$J)</f>
        <v>0</v>
      </c>
      <c r="BO23" s="170">
        <f>+SUMIF('BS-Details'!$A:$A,BO$7&amp;" - "&amp;$C23,'BS-Details'!$J:$J)</f>
        <v>0</v>
      </c>
      <c r="BP23" s="170">
        <f>+SUMIF('BS-Details'!$A:$A,BP$7&amp;" - "&amp;$C23,'BS-Details'!$J:$J)</f>
        <v>0</v>
      </c>
      <c r="BQ23" s="170">
        <f>+SUMIF('BS-Details'!$A:$A,BQ$7&amp;" - "&amp;$C23,'BS-Details'!$J:$J)</f>
        <v>0</v>
      </c>
      <c r="BR23" s="170">
        <f>+SUMIF('BS-Details'!$A:$A,BR$7&amp;" - "&amp;$C23,'BS-Details'!$J:$J)</f>
        <v>0</v>
      </c>
      <c r="BS23" s="170">
        <f>+SUMIF('BS-Details'!$A:$A,BS$7&amp;" - "&amp;$C23,'BS-Details'!$J:$J)</f>
        <v>0</v>
      </c>
      <c r="BT23" s="170">
        <f>+SUMIF('BS-Details'!$A:$A,BT$7&amp;" - "&amp;$C23,'BS-Details'!$J:$J)</f>
        <v>0</v>
      </c>
      <c r="BU23" s="170">
        <f>+SUMIF('BS-Details'!$A:$A,BU$7&amp;" - "&amp;$C23,'BS-Details'!$J:$J)</f>
        <v>0</v>
      </c>
      <c r="BV23" s="170">
        <f>+SUMIF('BS-Details'!$A:$A,BV$7&amp;" - "&amp;$C23,'BS-Details'!$J:$J)</f>
        <v>0</v>
      </c>
      <c r="BW23" s="170">
        <f>+SUMIF('BS-Details'!$A:$A,BW$7&amp;" - "&amp;$C23,'BS-Details'!$J:$J)</f>
        <v>0</v>
      </c>
      <c r="BX23" s="170">
        <f>+SUMIF('BS-Details'!$A:$A,BX$7&amp;" - "&amp;$C23,'BS-Details'!$J:$J)</f>
        <v>0</v>
      </c>
      <c r="BY23" s="170">
        <f>+SUMIF('BS-Details'!$A:$A,BY$7&amp;" - "&amp;$C23,'BS-Details'!$J:$J)</f>
        <v>0</v>
      </c>
      <c r="BZ23" s="170">
        <f>+SUMIF('BS-Details'!$A:$A,BZ$7&amp;" - "&amp;$C23,'BS-Details'!$J:$J)</f>
        <v>0</v>
      </c>
      <c r="CA23" s="170">
        <f>+SUMIF('BS-Details'!$A:$A,CA$7&amp;" - "&amp;$C23,'BS-Details'!$J:$J)</f>
        <v>0</v>
      </c>
      <c r="CB23" s="170">
        <f>+SUMIF('BS-Details'!$A:$A,CB$7&amp;" - "&amp;$C23,'BS-Details'!$J:$J)</f>
        <v>0</v>
      </c>
      <c r="CC23" s="170">
        <f>+SUMIF('BS-Details'!$A:$A,CC$7&amp;" - "&amp;$C23,'BS-Details'!$J:$J)</f>
        <v>0</v>
      </c>
      <c r="CD23" s="170">
        <f>+SUMIF('BS-Details'!$A:$A,CD$7&amp;" - "&amp;$C23,'BS-Details'!$J:$J)</f>
        <v>0</v>
      </c>
      <c r="CE23" s="170">
        <f>+SUMIF('BS-Details'!$A:$A,CE$7&amp;" - "&amp;$C23,'BS-Details'!$J:$J)</f>
        <v>0</v>
      </c>
      <c r="CF23" s="170">
        <f>+SUMIF('BS-Details'!$A:$A,CF$7&amp;" - "&amp;$C23,'BS-Details'!$J:$J)</f>
        <v>0</v>
      </c>
      <c r="CG23" s="170">
        <f>+SUMIF('BS-Details'!$A:$A,CG$7&amp;" - "&amp;$C23,'BS-Details'!$J:$J)</f>
        <v>0</v>
      </c>
      <c r="CH23" s="170">
        <f>+SUMIF('BS-Details'!$A:$A,CH$7&amp;" - "&amp;$C23,'BS-Details'!$J:$J)</f>
        <v>0</v>
      </c>
      <c r="CI23" s="170">
        <f>+SUMIF('BS-Details'!$A:$A,CI$7&amp;" - "&amp;$C23,'BS-Details'!$J:$J)</f>
        <v>0</v>
      </c>
      <c r="CJ23" s="170">
        <f>+SUMIF('BS-Details'!$A:$A,CJ$7&amp;" - "&amp;$C23,'BS-Details'!$J:$J)</f>
        <v>0</v>
      </c>
      <c r="CK23" s="170">
        <f>+SUMIF('BS-Details'!$A:$A,CK$7&amp;" - "&amp;$C23,'BS-Details'!$J:$J)</f>
        <v>0</v>
      </c>
      <c r="CL23" s="170">
        <f>+SUMIF('BS-Details'!$A:$A,CL$7&amp;" - "&amp;$C23,'BS-Details'!$J:$J)</f>
        <v>0</v>
      </c>
      <c r="CM23" s="170">
        <f>+SUMIF('BS-Details'!$A:$A,CM$7&amp;" - "&amp;$C23,'BS-Details'!$J:$J)</f>
        <v>0</v>
      </c>
      <c r="CN23" s="170">
        <f>+SUMIF('BS-Details'!$A:$A,CN$7&amp;" - "&amp;$C23,'BS-Details'!$J:$J)</f>
        <v>0</v>
      </c>
      <c r="CO23" s="170">
        <f>+SUMIF('BS-Details'!$A:$A,CO$7&amp;" - "&amp;$C23,'BS-Details'!$J:$J)</f>
        <v>0</v>
      </c>
      <c r="CP23" s="170"/>
      <c r="CQ23" s="178">
        <f t="shared" si="10"/>
        <v>0</v>
      </c>
      <c r="CR23" s="178">
        <f t="shared" si="11"/>
        <v>0</v>
      </c>
      <c r="CS23" s="178">
        <f t="shared" si="12"/>
        <v>0</v>
      </c>
      <c r="CT23" s="185">
        <f>+SUMIF('BS-Details'!$A:$A,CT$7&amp;" - "&amp;$C23,'BS-Details'!$J:$J)</f>
        <v>0</v>
      </c>
      <c r="CU23" s="170">
        <f>+SUMIF('BS-Details'!$A:$A,CU$7&amp;" - "&amp;$C23,'BS-Details'!$J:$J)</f>
        <v>0</v>
      </c>
      <c r="CV23" s="170">
        <f>+SUMIF('BS-Details'!$A:$A,CV$7&amp;" - "&amp;$C23,'BS-Details'!$J:$J)</f>
        <v>0</v>
      </c>
      <c r="CW23" s="189">
        <f>+SUMIF('BS-Details'!$A:$A,CW$7&amp;" - "&amp;$C23,'BS-Details'!$J:$J)</f>
        <v>0</v>
      </c>
      <c r="CX23" s="189">
        <f>+SUMIF('BS-Details'!$A:$A,CX$7&amp;" - "&amp;$C23,'BS-Details'!$J:$J)</f>
        <v>0</v>
      </c>
      <c r="CY23" s="189">
        <f t="shared" si="13"/>
        <v>0</v>
      </c>
      <c r="CZ23" s="178">
        <f>+SUMIF('BS-Details'!$A:$A,CZ$7&amp;" - "&amp;$C23,'BS-Details'!$J:$J)</f>
        <v>0</v>
      </c>
      <c r="DA23" s="178">
        <f>+SUMIF('BS-Details'!$A:$A,DA$7&amp;" - "&amp;$C23,'BS-Details'!$J:$J)</f>
        <v>0</v>
      </c>
      <c r="DB23" s="193"/>
    </row>
    <row r="24" spans="1:106" ht="15.75" customHeight="true">
      <c r="A24" s="161">
        <v>10</v>
      </c>
      <c r="B24" s="161" t="s">
        <v>13870</v>
      </c>
      <c r="C24" s="163" t="s">
        <v>13883</v>
      </c>
      <c r="D24" s="163" t="s">
        <v>13883</v>
      </c>
      <c r="E24" s="169">
        <f t="shared" si="2"/>
        <v>106044.7</v>
      </c>
      <c r="F24" s="169">
        <f t="shared" si="3"/>
        <v>57278.78</v>
      </c>
      <c r="G24" s="170">
        <f>+SUMIF('BS-Details'!$A:$A,G$7&amp;" - "&amp;$C24,'BS-Details'!$J:$J)</f>
        <v>46064.31</v>
      </c>
      <c r="H24" s="170">
        <f>+SUMIF('BS-Details'!$A:$A,H$7&amp;" - "&amp;$C24,'BS-Details'!$J:$J)</f>
        <v>-15282.84</v>
      </c>
      <c r="I24" s="170">
        <f>+SUMIF('BS-Details'!$A:$A,I$7&amp;" - "&amp;$C24,'BS-Details'!$J:$J)</f>
        <v>-5595.15</v>
      </c>
      <c r="J24" s="170">
        <f>+SUMIF('BS-Details'!$A:$A,J$7&amp;" - "&amp;$C24,'BS-Details'!$J:$J)</f>
        <v>199.34</v>
      </c>
      <c r="K24" s="170">
        <f>+SUMIF('BS-Details'!$A:$A,K$7&amp;" - "&amp;$C24,'BS-Details'!$J:$J)</f>
        <v>547.88</v>
      </c>
      <c r="L24" s="178">
        <f t="shared" si="4"/>
        <v>25933.54</v>
      </c>
      <c r="M24" s="170">
        <f>+SUMIF('BS-Details'!$A:$A,M$7&amp;" - "&amp;$C24,'BS-Details'!$J:$J)</f>
        <v>14297.01</v>
      </c>
      <c r="N24" s="170">
        <f>+SUMIF('BS-Details'!$A:$A,N$7&amp;" - "&amp;$C24,'BS-Details'!$J:$J)</f>
        <v>20646.51</v>
      </c>
      <c r="O24" s="178">
        <f t="shared" si="5"/>
        <v>34943.52</v>
      </c>
      <c r="P24" s="170">
        <f>+SUMIF('BS-Details'!$A:$A,P$7&amp;" - "&amp;$C24,'BS-Details'!$J:$J)</f>
        <v>23.32</v>
      </c>
      <c r="Q24" s="170">
        <f>+SUMIF('BS-Details'!$A:$A,Q$7&amp;" - "&amp;$C24,'BS-Details'!$J:$J)</f>
        <v>23.32</v>
      </c>
      <c r="R24" s="170">
        <f>+SUMIF('BS-Details'!$A:$A,R$7&amp;" - "&amp;$C24,'BS-Details'!$J:$J)</f>
        <v>23.32</v>
      </c>
      <c r="S24" s="170">
        <f>+SUMIF('BS-Details'!$A:$A,S$7&amp;" - "&amp;$C24,'BS-Details'!$J:$J)</f>
        <v>23.32</v>
      </c>
      <c r="T24" s="170">
        <f>+SUMIF('BS-Details'!$A:$A,T$7&amp;" - "&amp;$C24,'BS-Details'!$J:$J)</f>
        <v>93.28</v>
      </c>
      <c r="U24" s="170">
        <f>+SUMIF('BS-Details'!$A:$A,U$7&amp;" - "&amp;$C24,'BS-Details'!$J:$J)</f>
        <v>0</v>
      </c>
      <c r="V24" s="169">
        <f t="shared" si="6"/>
        <v>186.56</v>
      </c>
      <c r="W24" s="170">
        <f>+SUMIF('BS-Details'!$A:$A,W$7&amp;" - "&amp;$C24,'BS-Details'!$J:$J)</f>
        <v>93.28</v>
      </c>
      <c r="X24" s="170">
        <f>+SUMIF('BS-Details'!$A:$A,X$7&amp;" - "&amp;$C24,'BS-Details'!$J:$J)</f>
        <v>0</v>
      </c>
      <c r="Y24" s="178">
        <f t="shared" si="7"/>
        <v>279.84</v>
      </c>
      <c r="Z24" s="170">
        <f>+SUMIF('BS-Details'!$A:$A,Z$7&amp;" - "&amp;$C24,'BS-Details'!$J:$J)</f>
        <v>0</v>
      </c>
      <c r="AA24" s="170">
        <f>+SUMIF('BS-Details'!$A:$A,AA$7&amp;" - "&amp;$C24,'BS-Details'!$J:$J)</f>
        <v>0</v>
      </c>
      <c r="AB24" s="178">
        <f t="shared" si="8"/>
        <v>0</v>
      </c>
      <c r="AC24" s="170">
        <f>+SUMIF('BS-Details'!$A:$A,AC$7&amp;" - "&amp;$C24,'BS-Details'!$J:$J)</f>
        <v>3383.43</v>
      </c>
      <c r="AD24" s="170">
        <f>+SUMIF('BS-Details'!$A:$A,AD$7&amp;" - "&amp;$C24,'BS-Details'!$J:$J)</f>
        <v>299</v>
      </c>
      <c r="AE24" s="170">
        <f>+SUMIF('BS-Details'!$A:$A,AE$7&amp;" - "&amp;$C24,'BS-Details'!$J:$J)</f>
        <v>4070.98</v>
      </c>
      <c r="AF24" s="170">
        <f>+SUMIF('BS-Details'!$A:$A,AF$7&amp;" - "&amp;$C24,'BS-Details'!$J:$J)</f>
        <v>-5496.34</v>
      </c>
      <c r="AG24" s="170">
        <f>+SUMIF('BS-Details'!$A:$A,AG$7&amp;" - "&amp;$C24,'BS-Details'!$J:$J)</f>
        <v>-3639.72</v>
      </c>
      <c r="AH24" s="170">
        <f>+SUMIF('BS-Details'!$A:$A,AH$7&amp;" - "&amp;$C24,'BS-Details'!$J:$J)</f>
        <v>-18.2600000000002</v>
      </c>
      <c r="AI24" s="170">
        <f>+SUMIF('BS-Details'!$A:$A,AI$7&amp;" - "&amp;$C24,'BS-Details'!$J:$J)</f>
        <v>1412.14</v>
      </c>
      <c r="AJ24" s="170">
        <f>+SUMIF('BS-Details'!$A:$A,AJ$7&amp;" - "&amp;$C24,'BS-Details'!$J:$J)</f>
        <v>-4188.96</v>
      </c>
      <c r="AK24" s="170">
        <f>+SUMIF('BS-Details'!$A:$A,AK$7&amp;" - "&amp;$C24,'BS-Details'!$J:$J)</f>
        <v>0</v>
      </c>
      <c r="AL24" s="178">
        <f t="shared" si="9"/>
        <v>-11931.14</v>
      </c>
      <c r="AM24" s="170">
        <f>+SUMIF('BS-Details'!$A:$A,AM$7&amp;" - "&amp;$C24,'BS-Details'!$J:$J)</f>
        <v>0</v>
      </c>
      <c r="AN24" s="170">
        <f>+SUMIF('BS-Details'!$A:$A,AN$7&amp;" - "&amp;$C24,'BS-Details'!$J:$J)</f>
        <v>3673.38</v>
      </c>
      <c r="AO24" s="170">
        <f>+SUMIF('BS-Details'!$A:$A,AO$7&amp;" - "&amp;$C24,'BS-Details'!$J:$J)</f>
        <v>-3691.68</v>
      </c>
      <c r="AP24" s="170">
        <f>+SUMIF('BS-Details'!$A:$A,AP$7&amp;" - "&amp;$C24,'BS-Details'!$J:$J)</f>
        <v>0</v>
      </c>
      <c r="AQ24" s="170">
        <f>+SUMIF('BS-Details'!$A:$A,AQ$7&amp;" - "&amp;$C24,'BS-Details'!$J:$J)</f>
        <v>5182.89</v>
      </c>
      <c r="AR24" s="170">
        <f>+SUMIF('BS-Details'!$A:$A,AR$7&amp;" - "&amp;$C24,'BS-Details'!$J:$J)</f>
        <v>0</v>
      </c>
      <c r="AS24" s="170">
        <f>+SUMIF('BS-Details'!$A:$A,AS$7&amp;" - "&amp;$C24,'BS-Details'!$J:$J)</f>
        <v>-34.3199999999999</v>
      </c>
      <c r="AT24" s="170">
        <f>+SUMIF('BS-Details'!$A:$A,AT$7&amp;" - "&amp;$C24,'BS-Details'!$J:$J)</f>
        <v>3124</v>
      </c>
      <c r="AU24" s="170">
        <f>+SUMIF('BS-Details'!$A:$A,AU$7&amp;" - "&amp;$C24,'BS-Details'!$J:$J)</f>
        <v>-94</v>
      </c>
      <c r="AV24" s="170">
        <f>+SUMIF('BS-Details'!$A:$A,AV$7&amp;" - "&amp;$C24,'BS-Details'!$J:$J)</f>
        <v>1140.02</v>
      </c>
      <c r="AW24" s="170">
        <f>+SUMIF('BS-Details'!$A:$A,AW$7&amp;" - "&amp;$C24,'BS-Details'!$J:$J)</f>
        <v>0</v>
      </c>
      <c r="AX24" s="170">
        <f>+SUMIF('BS-Details'!$A:$A,AX$7&amp;" - "&amp;$C24,'BS-Details'!$J:$J)</f>
        <v>0</v>
      </c>
      <c r="AY24" s="170">
        <f>+SUMIF('BS-Details'!$A:$A,AY$7&amp;" - "&amp;$C24,'BS-Details'!$J:$J)</f>
        <v>0</v>
      </c>
      <c r="AZ24" s="170">
        <f>+SUMIF('BS-Details'!$A:$A,AZ$7&amp;" - "&amp;$C24,'BS-Details'!$J:$J)</f>
        <v>-4285.83</v>
      </c>
      <c r="BA24" s="170">
        <f>+SUMIF('BS-Details'!$A:$A,BA$7&amp;" - "&amp;$C24,'BS-Details'!$J:$J)</f>
        <v>1154.69</v>
      </c>
      <c r="BB24" s="170">
        <f>+SUMIF('BS-Details'!$A:$A,BB$7&amp;" - "&amp;$C24,'BS-Details'!$J:$J)</f>
        <v>0</v>
      </c>
      <c r="BC24" s="170">
        <f>+SUMIF('BS-Details'!$A:$A,BC$7&amp;" - "&amp;$C24,'BS-Details'!$J:$J)</f>
        <v>-1985.48</v>
      </c>
      <c r="BD24" s="170">
        <f>+SUMIF('BS-Details'!$A:$A,BD$7&amp;" - "&amp;$C24,'BS-Details'!$J:$J)</f>
        <v>3426.35</v>
      </c>
      <c r="BE24" s="170">
        <f>+SUMIF('BS-Details'!$A:$A,BE$7&amp;" - "&amp;$C24,'BS-Details'!$J:$J)</f>
        <v>94.78</v>
      </c>
      <c r="BF24" s="170">
        <f>+SUMIF('BS-Details'!$A:$A,BF$7&amp;" - "&amp;$C24,'BS-Details'!$J:$J)</f>
        <v>-53.38</v>
      </c>
      <c r="BG24" s="170">
        <f>+SUMIF('BS-Details'!$A:$A,BG$7&amp;" - "&amp;$C24,'BS-Details'!$J:$J)</f>
        <v>2692.07</v>
      </c>
      <c r="BH24" s="170">
        <f>+SUMIF('BS-Details'!$A:$A,BH$7&amp;" - "&amp;$C24,'BS-Details'!$J:$J)</f>
        <v>0</v>
      </c>
      <c r="BI24" s="170">
        <f>+SUMIF('BS-Details'!$A:$A,BI$7&amp;" - "&amp;$C24,'BS-Details'!$J:$J)</f>
        <v>-79.7</v>
      </c>
      <c r="BJ24" s="170">
        <f>+SUMIF('BS-Details'!$A:$A,BJ$7&amp;" - "&amp;$C24,'BS-Details'!$J:$J)</f>
        <v>0</v>
      </c>
      <c r="BK24" s="170">
        <f>+SUMIF('BS-Details'!$A:$A,BK$7&amp;" - "&amp;$C24,'BS-Details'!$J:$J)</f>
        <v>-8.50999999999976</v>
      </c>
      <c r="BL24" s="170">
        <f>+SUMIF('BS-Details'!$A:$A,BL$7&amp;" - "&amp;$C24,'BS-Details'!$J:$J)</f>
        <v>1687.14</v>
      </c>
      <c r="BM24" s="170">
        <f>+SUMIF('BS-Details'!$A:$A,BM$7&amp;" - "&amp;$C24,'BS-Details'!$J:$J)</f>
        <v>-1.85000000000036</v>
      </c>
      <c r="BN24" s="170">
        <f>+SUMIF('BS-Details'!$A:$A,BN$7&amp;" - "&amp;$C24,'BS-Details'!$J:$J)</f>
        <v>630.59</v>
      </c>
      <c r="BO24" s="170">
        <f>+SUMIF('BS-Details'!$A:$A,BO$7&amp;" - "&amp;$C24,'BS-Details'!$J:$J)</f>
        <v>0</v>
      </c>
      <c r="BP24" s="170">
        <f>+SUMIF('BS-Details'!$A:$A,BP$7&amp;" - "&amp;$C24,'BS-Details'!$J:$J)</f>
        <v>17.3299999999999</v>
      </c>
      <c r="BQ24" s="170">
        <f>+SUMIF('BS-Details'!$A:$A,BQ$7&amp;" - "&amp;$C24,'BS-Details'!$J:$J)</f>
        <v>-1604.66</v>
      </c>
      <c r="BR24" s="170">
        <f>+SUMIF('BS-Details'!$A:$A,BR$7&amp;" - "&amp;$C24,'BS-Details'!$J:$J)</f>
        <v>9935.69</v>
      </c>
      <c r="BS24" s="170">
        <f>+SUMIF('BS-Details'!$A:$A,BS$7&amp;" - "&amp;$C24,'BS-Details'!$J:$J)</f>
        <v>0</v>
      </c>
      <c r="BT24" s="170">
        <f>+SUMIF('BS-Details'!$A:$A,BT$7&amp;" - "&amp;$C24,'BS-Details'!$J:$J)</f>
        <v>0</v>
      </c>
      <c r="BU24" s="170">
        <f>+SUMIF('BS-Details'!$A:$A,BU$7&amp;" - "&amp;$C24,'BS-Details'!$J:$J)</f>
        <v>0</v>
      </c>
      <c r="BV24" s="170">
        <f>+SUMIF('BS-Details'!$A:$A,BV$7&amp;" - "&amp;$C24,'BS-Details'!$J:$J)</f>
        <v>0</v>
      </c>
      <c r="BW24" s="170">
        <f>+SUMIF('BS-Details'!$A:$A,BW$7&amp;" - "&amp;$C24,'BS-Details'!$J:$J)</f>
        <v>3925.92</v>
      </c>
      <c r="BX24" s="170">
        <f>+SUMIF('BS-Details'!$A:$A,BX$7&amp;" - "&amp;$C24,'BS-Details'!$J:$J)</f>
        <v>-5291.24</v>
      </c>
      <c r="BY24" s="170">
        <f>+SUMIF('BS-Details'!$A:$A,BY$7&amp;" - "&amp;$C24,'BS-Details'!$J:$J)</f>
        <v>0</v>
      </c>
      <c r="BZ24" s="170">
        <f>+SUMIF('BS-Details'!$A:$A,BZ$7&amp;" - "&amp;$C24,'BS-Details'!$J:$J)</f>
        <v>-6134.23</v>
      </c>
      <c r="CA24" s="170">
        <f>+SUMIF('BS-Details'!$A:$A,CA$7&amp;" - "&amp;$C24,'BS-Details'!$J:$J)</f>
        <v>0</v>
      </c>
      <c r="CB24" s="170">
        <f>+SUMIF('BS-Details'!$A:$A,CB$7&amp;" - "&amp;$C24,'BS-Details'!$J:$J)</f>
        <v>5264.15</v>
      </c>
      <c r="CC24" s="170">
        <f>+SUMIF('BS-Details'!$A:$A,CC$7&amp;" - "&amp;$C24,'BS-Details'!$J:$J)</f>
        <v>-3005</v>
      </c>
      <c r="CD24" s="170">
        <f>+SUMIF('BS-Details'!$A:$A,CD$7&amp;" - "&amp;$C24,'BS-Details'!$J:$J)</f>
        <v>-252.4</v>
      </c>
      <c r="CE24" s="170">
        <f>+SUMIF('BS-Details'!$A:$A,CE$7&amp;" - "&amp;$C24,'BS-Details'!$J:$J)</f>
        <v>9870.87</v>
      </c>
      <c r="CF24" s="170">
        <f>+SUMIF('BS-Details'!$A:$A,CF$7&amp;" - "&amp;$C24,'BS-Details'!$J:$J)</f>
        <v>-1625</v>
      </c>
      <c r="CG24" s="170">
        <f>+SUMIF('BS-Details'!$A:$A,CG$7&amp;" - "&amp;$C24,'BS-Details'!$J:$J)</f>
        <v>-1707.95</v>
      </c>
      <c r="CH24" s="170">
        <f>+SUMIF('BS-Details'!$A:$A,CH$7&amp;" - "&amp;$C24,'BS-Details'!$J:$J)</f>
        <v>606.7</v>
      </c>
      <c r="CI24" s="170">
        <f>+SUMIF('BS-Details'!$A:$A,CI$7&amp;" - "&amp;$C24,'BS-Details'!$J:$J)</f>
        <v>-3863.14</v>
      </c>
      <c r="CJ24" s="170">
        <f>+SUMIF('BS-Details'!$A:$A,CJ$7&amp;" - "&amp;$C24,'BS-Details'!$J:$J)</f>
        <v>1325.99</v>
      </c>
      <c r="CK24" s="170">
        <f>+SUMIF('BS-Details'!$A:$A,CK$7&amp;" - "&amp;$C24,'BS-Details'!$J:$J)</f>
        <v>-578.15</v>
      </c>
      <c r="CL24" s="170">
        <f>+SUMIF('BS-Details'!$A:$A,CL$7&amp;" - "&amp;$C24,'BS-Details'!$J:$J)</f>
        <v>-2341.89</v>
      </c>
      <c r="CM24" s="170">
        <f>+SUMIF('BS-Details'!$A:$A,CM$7&amp;" - "&amp;$C24,'BS-Details'!$J:$J)</f>
        <v>-5282.42</v>
      </c>
      <c r="CN24" s="170">
        <f>+SUMIF('BS-Details'!$A:$A,CN$7&amp;" - "&amp;$C24,'BS-Details'!$J:$J)</f>
        <v>-7726.15</v>
      </c>
      <c r="CO24" s="170">
        <f>+SUMIF('BS-Details'!$A:$A,CO$7&amp;" - "&amp;$C24,'BS-Details'!$J:$J)</f>
        <v>-3805.97</v>
      </c>
      <c r="CP24" s="170"/>
      <c r="CQ24" s="178">
        <f t="shared" si="10"/>
        <v>299.610000000001</v>
      </c>
      <c r="CR24" s="178">
        <f t="shared" si="11"/>
        <v>-11631.53</v>
      </c>
      <c r="CS24" s="178">
        <f t="shared" si="12"/>
        <v>48765.92</v>
      </c>
      <c r="CT24" s="185">
        <f>+SUMIF('BS-Details'!$A:$A,CT$7&amp;" - "&amp;$C24,'BS-Details'!$J:$J)</f>
        <v>0</v>
      </c>
      <c r="CU24" s="170">
        <f>+SUMIF('BS-Details'!$A:$A,CU$7&amp;" - "&amp;$C24,'BS-Details'!$J:$J)</f>
        <v>42917.64</v>
      </c>
      <c r="CV24" s="170">
        <f>+SUMIF('BS-Details'!$A:$A,CV$7&amp;" - "&amp;$C24,'BS-Details'!$J:$J)</f>
        <v>4021.96</v>
      </c>
      <c r="CW24" s="189">
        <f>+SUMIF('BS-Details'!$A:$A,CW$7&amp;" - "&amp;$C24,'BS-Details'!$J:$J)</f>
        <v>1826.32</v>
      </c>
      <c r="CX24" s="189">
        <f>+SUMIF('BS-Details'!$A:$A,CX$7&amp;" - "&amp;$C24,'BS-Details'!$J:$J)</f>
        <v>0</v>
      </c>
      <c r="CY24" s="189">
        <f t="shared" si="13"/>
        <v>48765.92</v>
      </c>
      <c r="CZ24" s="178">
        <f>+SUMIF('BS-Details'!$A:$A,CZ$7&amp;" - "&amp;$C24,'BS-Details'!$J:$J)</f>
        <v>0</v>
      </c>
      <c r="DA24" s="178">
        <f>+SUMIF('BS-Details'!$A:$A,DA$7&amp;" - "&amp;$C24,'BS-Details'!$J:$J)</f>
        <v>0</v>
      </c>
      <c r="DB24" s="193"/>
    </row>
    <row r="25" spans="1:106" ht="15.75" customHeight="true">
      <c r="A25" s="161">
        <v>11</v>
      </c>
      <c r="B25" s="161" t="s">
        <v>13870</v>
      </c>
      <c r="C25" s="163" t="s">
        <v>13884</v>
      </c>
      <c r="D25" s="163" t="s">
        <v>13884</v>
      </c>
      <c r="E25" s="169">
        <f t="shared" si="2"/>
        <v>-42531.58</v>
      </c>
      <c r="F25" s="169">
        <f t="shared" si="3"/>
        <v>-42531.58</v>
      </c>
      <c r="G25" s="170">
        <f>+SUMIF('BS-Details'!$A:$A,G$7&amp;" - "&amp;$C25,'BS-Details'!$J:$J)</f>
        <v>-16337.69</v>
      </c>
      <c r="H25" s="170">
        <f>+SUMIF('BS-Details'!$A:$A,H$7&amp;" - "&amp;$C25,'BS-Details'!$J:$J)</f>
        <v>-1947.61</v>
      </c>
      <c r="I25" s="170">
        <f>+SUMIF('BS-Details'!$A:$A,I$7&amp;" - "&amp;$C25,'BS-Details'!$J:$J)</f>
        <v>-768.42</v>
      </c>
      <c r="J25" s="170">
        <f>+SUMIF('BS-Details'!$A:$A,J$7&amp;" - "&amp;$C25,'BS-Details'!$J:$J)</f>
        <v>-612.15</v>
      </c>
      <c r="K25" s="170">
        <f>+SUMIF('BS-Details'!$A:$A,K$7&amp;" - "&amp;$C25,'BS-Details'!$J:$J)</f>
        <v>0</v>
      </c>
      <c r="L25" s="178">
        <f t="shared" si="4"/>
        <v>-19665.87</v>
      </c>
      <c r="M25" s="170">
        <f>+SUMIF('BS-Details'!$A:$A,M$7&amp;" - "&amp;$C25,'BS-Details'!$J:$J)</f>
        <v>-45.22</v>
      </c>
      <c r="N25" s="170">
        <f>+SUMIF('BS-Details'!$A:$A,N$7&amp;" - "&amp;$C25,'BS-Details'!$J:$J)</f>
        <v>-955.62</v>
      </c>
      <c r="O25" s="178">
        <f t="shared" si="5"/>
        <v>-1000.84</v>
      </c>
      <c r="P25" s="170">
        <f>+SUMIF('BS-Details'!$A:$A,P$7&amp;" - "&amp;$C25,'BS-Details'!$J:$J)</f>
        <v>0</v>
      </c>
      <c r="Q25" s="170">
        <f>+SUMIF('BS-Details'!$A:$A,Q$7&amp;" - "&amp;$C25,'BS-Details'!$J:$J)</f>
        <v>0</v>
      </c>
      <c r="R25" s="170">
        <f>+SUMIF('BS-Details'!$A:$A,R$7&amp;" - "&amp;$C25,'BS-Details'!$J:$J)</f>
        <v>0</v>
      </c>
      <c r="S25" s="170">
        <f>+SUMIF('BS-Details'!$A:$A,S$7&amp;" - "&amp;$C25,'BS-Details'!$J:$J)</f>
        <v>0</v>
      </c>
      <c r="T25" s="170">
        <f>+SUMIF('BS-Details'!$A:$A,T$7&amp;" - "&amp;$C25,'BS-Details'!$J:$J)</f>
        <v>0</v>
      </c>
      <c r="U25" s="170">
        <f>+SUMIF('BS-Details'!$A:$A,U$7&amp;" - "&amp;$C25,'BS-Details'!$J:$J)</f>
        <v>0</v>
      </c>
      <c r="V25" s="169">
        <f t="shared" si="6"/>
        <v>0</v>
      </c>
      <c r="W25" s="170">
        <f>+SUMIF('BS-Details'!$A:$A,W$7&amp;" - "&amp;$C25,'BS-Details'!$J:$J)</f>
        <v>0</v>
      </c>
      <c r="X25" s="170">
        <f>+SUMIF('BS-Details'!$A:$A,X$7&amp;" - "&amp;$C25,'BS-Details'!$J:$J)</f>
        <v>0</v>
      </c>
      <c r="Y25" s="178">
        <f t="shared" si="7"/>
        <v>0</v>
      </c>
      <c r="Z25" s="170">
        <f>+SUMIF('BS-Details'!$A:$A,Z$7&amp;" - "&amp;$C25,'BS-Details'!$J:$J)</f>
        <v>0</v>
      </c>
      <c r="AA25" s="170">
        <f>+SUMIF('BS-Details'!$A:$A,AA$7&amp;" - "&amp;$C25,'BS-Details'!$J:$J)</f>
        <v>0</v>
      </c>
      <c r="AB25" s="178">
        <f t="shared" si="8"/>
        <v>0</v>
      </c>
      <c r="AC25" s="170">
        <f>+SUMIF('BS-Details'!$A:$A,AC$7&amp;" - "&amp;$C25,'BS-Details'!$J:$J)</f>
        <v>0</v>
      </c>
      <c r="AD25" s="170">
        <f>+SUMIF('BS-Details'!$A:$A,AD$7&amp;" - "&amp;$C25,'BS-Details'!$J:$J)</f>
        <v>0</v>
      </c>
      <c r="AE25" s="170">
        <f>+SUMIF('BS-Details'!$A:$A,AE$7&amp;" - "&amp;$C25,'BS-Details'!$J:$J)</f>
        <v>0</v>
      </c>
      <c r="AF25" s="170">
        <f>+SUMIF('BS-Details'!$A:$A,AF$7&amp;" - "&amp;$C25,'BS-Details'!$J:$J)</f>
        <v>0</v>
      </c>
      <c r="AG25" s="170">
        <f>+SUMIF('BS-Details'!$A:$A,AG$7&amp;" - "&amp;$C25,'BS-Details'!$J:$J)</f>
        <v>0</v>
      </c>
      <c r="AH25" s="170">
        <f>+SUMIF('BS-Details'!$A:$A,AH$7&amp;" - "&amp;$C25,'BS-Details'!$J:$J)</f>
        <v>0</v>
      </c>
      <c r="AI25" s="170">
        <f>+SUMIF('BS-Details'!$A:$A,AI$7&amp;" - "&amp;$C25,'BS-Details'!$J:$J)</f>
        <v>0</v>
      </c>
      <c r="AJ25" s="170">
        <f>+SUMIF('BS-Details'!$A:$A,AJ$7&amp;" - "&amp;$C25,'BS-Details'!$J:$J)</f>
        <v>0</v>
      </c>
      <c r="AK25" s="170">
        <f>+SUMIF('BS-Details'!$A:$A,AK$7&amp;" - "&amp;$C25,'BS-Details'!$J:$J)</f>
        <v>0</v>
      </c>
      <c r="AL25" s="178">
        <f t="shared" si="9"/>
        <v>0</v>
      </c>
      <c r="AM25" s="170">
        <f>+SUMIF('BS-Details'!$A:$A,AM$7&amp;" - "&amp;$C25,'BS-Details'!$J:$J)</f>
        <v>0</v>
      </c>
      <c r="AN25" s="170">
        <f>+SUMIF('BS-Details'!$A:$A,AN$7&amp;" - "&amp;$C25,'BS-Details'!$J:$J)</f>
        <v>0</v>
      </c>
      <c r="AO25" s="170">
        <f>+SUMIF('BS-Details'!$A:$A,AO$7&amp;" - "&amp;$C25,'BS-Details'!$J:$J)</f>
        <v>0</v>
      </c>
      <c r="AP25" s="170">
        <f>+SUMIF('BS-Details'!$A:$A,AP$7&amp;" - "&amp;$C25,'BS-Details'!$J:$J)</f>
        <v>0</v>
      </c>
      <c r="AQ25" s="170">
        <f>+SUMIF('BS-Details'!$A:$A,AQ$7&amp;" - "&amp;$C25,'BS-Details'!$J:$J)</f>
        <v>0</v>
      </c>
      <c r="AR25" s="170">
        <f>+SUMIF('BS-Details'!$A:$A,AR$7&amp;" - "&amp;$C25,'BS-Details'!$J:$J)</f>
        <v>0</v>
      </c>
      <c r="AS25" s="170">
        <f>+SUMIF('BS-Details'!$A:$A,AS$7&amp;" - "&amp;$C25,'BS-Details'!$J:$J)</f>
        <v>0</v>
      </c>
      <c r="AT25" s="170">
        <f>+SUMIF('BS-Details'!$A:$A,AT$7&amp;" - "&amp;$C25,'BS-Details'!$J:$J)</f>
        <v>0</v>
      </c>
      <c r="AU25" s="170">
        <f>+SUMIF('BS-Details'!$A:$A,AU$7&amp;" - "&amp;$C25,'BS-Details'!$J:$J)</f>
        <v>0</v>
      </c>
      <c r="AV25" s="170">
        <f>+SUMIF('BS-Details'!$A:$A,AV$7&amp;" - "&amp;$C25,'BS-Details'!$J:$J)</f>
        <v>0</v>
      </c>
      <c r="AW25" s="170">
        <f>+SUMIF('BS-Details'!$A:$A,AW$7&amp;" - "&amp;$C25,'BS-Details'!$J:$J)</f>
        <v>0</v>
      </c>
      <c r="AX25" s="170">
        <f>+SUMIF('BS-Details'!$A:$A,AX$7&amp;" - "&amp;$C25,'BS-Details'!$J:$J)</f>
        <v>0</v>
      </c>
      <c r="AY25" s="170">
        <f>+SUMIF('BS-Details'!$A:$A,AY$7&amp;" - "&amp;$C25,'BS-Details'!$J:$J)</f>
        <v>0</v>
      </c>
      <c r="AZ25" s="170">
        <f>+SUMIF('BS-Details'!$A:$A,AZ$7&amp;" - "&amp;$C25,'BS-Details'!$J:$J)</f>
        <v>0</v>
      </c>
      <c r="BA25" s="170">
        <f>+SUMIF('BS-Details'!$A:$A,BA$7&amp;" - "&amp;$C25,'BS-Details'!$J:$J)</f>
        <v>0</v>
      </c>
      <c r="BB25" s="170">
        <f>+SUMIF('BS-Details'!$A:$A,BB$7&amp;" - "&amp;$C25,'BS-Details'!$J:$J)</f>
        <v>0</v>
      </c>
      <c r="BC25" s="170">
        <f>+SUMIF('BS-Details'!$A:$A,BC$7&amp;" - "&amp;$C25,'BS-Details'!$J:$J)</f>
        <v>0</v>
      </c>
      <c r="BD25" s="170">
        <f>+SUMIF('BS-Details'!$A:$A,BD$7&amp;" - "&amp;$C25,'BS-Details'!$J:$J)</f>
        <v>0</v>
      </c>
      <c r="BE25" s="170">
        <f>+SUMIF('BS-Details'!$A:$A,BE$7&amp;" - "&amp;$C25,'BS-Details'!$J:$J)</f>
        <v>0</v>
      </c>
      <c r="BF25" s="170">
        <f>+SUMIF('BS-Details'!$A:$A,BF$7&amp;" - "&amp;$C25,'BS-Details'!$J:$J)</f>
        <v>0</v>
      </c>
      <c r="BG25" s="170">
        <f>+SUMIF('BS-Details'!$A:$A,BG$7&amp;" - "&amp;$C25,'BS-Details'!$J:$J)</f>
        <v>0</v>
      </c>
      <c r="BH25" s="170">
        <f>+SUMIF('BS-Details'!$A:$A,BH$7&amp;" - "&amp;$C25,'BS-Details'!$J:$J)</f>
        <v>0</v>
      </c>
      <c r="BI25" s="170">
        <f>+SUMIF('BS-Details'!$A:$A,BI$7&amp;" - "&amp;$C25,'BS-Details'!$J:$J)</f>
        <v>0</v>
      </c>
      <c r="BJ25" s="170">
        <f>+SUMIF('BS-Details'!$A:$A,BJ$7&amp;" - "&amp;$C25,'BS-Details'!$J:$J)</f>
        <v>0</v>
      </c>
      <c r="BK25" s="170">
        <f>+SUMIF('BS-Details'!$A:$A,BK$7&amp;" - "&amp;$C25,'BS-Details'!$J:$J)</f>
        <v>0</v>
      </c>
      <c r="BL25" s="170">
        <f>+SUMIF('BS-Details'!$A:$A,BL$7&amp;" - "&amp;$C25,'BS-Details'!$J:$J)</f>
        <v>0</v>
      </c>
      <c r="BM25" s="170">
        <f>+SUMIF('BS-Details'!$A:$A,BM$7&amp;" - "&amp;$C25,'BS-Details'!$J:$J)</f>
        <v>0</v>
      </c>
      <c r="BN25" s="170">
        <f>+SUMIF('BS-Details'!$A:$A,BN$7&amp;" - "&amp;$C25,'BS-Details'!$J:$J)</f>
        <v>0</v>
      </c>
      <c r="BO25" s="170">
        <f>+SUMIF('BS-Details'!$A:$A,BO$7&amp;" - "&amp;$C25,'BS-Details'!$J:$J)</f>
        <v>0</v>
      </c>
      <c r="BP25" s="170">
        <f>+SUMIF('BS-Details'!$A:$A,BP$7&amp;" - "&amp;$C25,'BS-Details'!$J:$J)</f>
        <v>0</v>
      </c>
      <c r="BQ25" s="170">
        <f>+SUMIF('BS-Details'!$A:$A,BQ$7&amp;" - "&amp;$C25,'BS-Details'!$J:$J)</f>
        <v>0</v>
      </c>
      <c r="BR25" s="170">
        <f>+SUMIF('BS-Details'!$A:$A,BR$7&amp;" - "&amp;$C25,'BS-Details'!$J:$J)</f>
        <v>0</v>
      </c>
      <c r="BS25" s="170">
        <f>+SUMIF('BS-Details'!$A:$A,BS$7&amp;" - "&amp;$C25,'BS-Details'!$J:$J)</f>
        <v>0</v>
      </c>
      <c r="BT25" s="170">
        <f>+SUMIF('BS-Details'!$A:$A,BT$7&amp;" - "&amp;$C25,'BS-Details'!$J:$J)</f>
        <v>0</v>
      </c>
      <c r="BU25" s="170">
        <f>+SUMIF('BS-Details'!$A:$A,BU$7&amp;" - "&amp;$C25,'BS-Details'!$J:$J)</f>
        <v>0</v>
      </c>
      <c r="BV25" s="170">
        <f>+SUMIF('BS-Details'!$A:$A,BV$7&amp;" - "&amp;$C25,'BS-Details'!$J:$J)</f>
        <v>0</v>
      </c>
      <c r="BW25" s="170">
        <f>+SUMIF('BS-Details'!$A:$A,BW$7&amp;" - "&amp;$C25,'BS-Details'!$J:$J)</f>
        <v>-5400.69</v>
      </c>
      <c r="BX25" s="170">
        <f>+SUMIF('BS-Details'!$A:$A,BX$7&amp;" - "&amp;$C25,'BS-Details'!$J:$J)</f>
        <v>0</v>
      </c>
      <c r="BY25" s="170">
        <f>+SUMIF('BS-Details'!$A:$A,BY$7&amp;" - "&amp;$C25,'BS-Details'!$J:$J)</f>
        <v>0</v>
      </c>
      <c r="BZ25" s="170">
        <f>+SUMIF('BS-Details'!$A:$A,BZ$7&amp;" - "&amp;$C25,'BS-Details'!$J:$J)</f>
        <v>0</v>
      </c>
      <c r="CA25" s="170">
        <f>+SUMIF('BS-Details'!$A:$A,CA$7&amp;" - "&amp;$C25,'BS-Details'!$J:$J)</f>
        <v>0</v>
      </c>
      <c r="CB25" s="170">
        <f>+SUMIF('BS-Details'!$A:$A,CB$7&amp;" - "&amp;$C25,'BS-Details'!$J:$J)</f>
        <v>0</v>
      </c>
      <c r="CC25" s="170">
        <f>+SUMIF('BS-Details'!$A:$A,CC$7&amp;" - "&amp;$C25,'BS-Details'!$J:$J)</f>
        <v>0</v>
      </c>
      <c r="CD25" s="170">
        <f>+SUMIF('BS-Details'!$A:$A,CD$7&amp;" - "&amp;$C25,'BS-Details'!$J:$J)</f>
        <v>0</v>
      </c>
      <c r="CE25" s="170">
        <f>+SUMIF('BS-Details'!$A:$A,CE$7&amp;" - "&amp;$C25,'BS-Details'!$J:$J)</f>
        <v>-2342.07</v>
      </c>
      <c r="CF25" s="170">
        <f>+SUMIF('BS-Details'!$A:$A,CF$7&amp;" - "&amp;$C25,'BS-Details'!$J:$J)</f>
        <v>0</v>
      </c>
      <c r="CG25" s="170">
        <f>+SUMIF('BS-Details'!$A:$A,CG$7&amp;" - "&amp;$C25,'BS-Details'!$J:$J)</f>
        <v>-285.55</v>
      </c>
      <c r="CH25" s="170">
        <f>+SUMIF('BS-Details'!$A:$A,CH$7&amp;" - "&amp;$C25,'BS-Details'!$J:$J)</f>
        <v>-930.56</v>
      </c>
      <c r="CI25" s="170">
        <f>+SUMIF('BS-Details'!$A:$A,CI$7&amp;" - "&amp;$C25,'BS-Details'!$J:$J)</f>
        <v>-1072.65</v>
      </c>
      <c r="CJ25" s="170">
        <f>+SUMIF('BS-Details'!$A:$A,CJ$7&amp;" - "&amp;$C25,'BS-Details'!$J:$J)</f>
        <v>-3018.01</v>
      </c>
      <c r="CK25" s="170">
        <f>+SUMIF('BS-Details'!$A:$A,CK$7&amp;" - "&amp;$C25,'BS-Details'!$J:$J)</f>
        <v>-235.43</v>
      </c>
      <c r="CL25" s="170">
        <f>+SUMIF('BS-Details'!$A:$A,CL$7&amp;" - "&amp;$C25,'BS-Details'!$J:$J)</f>
        <v>-688.21</v>
      </c>
      <c r="CM25" s="170">
        <f>+SUMIF('BS-Details'!$A:$A,CM$7&amp;" - "&amp;$C25,'BS-Details'!$J:$J)</f>
        <v>-3994.34</v>
      </c>
      <c r="CN25" s="170">
        <f>+SUMIF('BS-Details'!$A:$A,CN$7&amp;" - "&amp;$C25,'BS-Details'!$J:$J)</f>
        <v>0</v>
      </c>
      <c r="CO25" s="170">
        <f>+SUMIF('BS-Details'!$A:$A,CO$7&amp;" - "&amp;$C25,'BS-Details'!$J:$J)</f>
        <v>-3897.36</v>
      </c>
      <c r="CP25" s="170"/>
      <c r="CQ25" s="178">
        <f t="shared" si="10"/>
        <v>-21864.87</v>
      </c>
      <c r="CR25" s="178">
        <f t="shared" si="11"/>
        <v>-21864.87</v>
      </c>
      <c r="CS25" s="178">
        <f t="shared" si="12"/>
        <v>0</v>
      </c>
      <c r="CT25" s="185">
        <f>+SUMIF('BS-Details'!$A:$A,CT$7&amp;" - "&amp;$C25,'BS-Details'!$J:$J)</f>
        <v>0</v>
      </c>
      <c r="CU25" s="170">
        <f>+SUMIF('BS-Details'!$A:$A,CU$7&amp;" - "&amp;$C25,'BS-Details'!$J:$J)</f>
        <v>0</v>
      </c>
      <c r="CV25" s="170">
        <f>+SUMIF('BS-Details'!$A:$A,CV$7&amp;" - "&amp;$C25,'BS-Details'!$J:$J)</f>
        <v>0</v>
      </c>
      <c r="CW25" s="189">
        <f>+SUMIF('BS-Details'!$A:$A,CW$7&amp;" - "&amp;$C25,'BS-Details'!$J:$J)</f>
        <v>0</v>
      </c>
      <c r="CX25" s="189">
        <f>+SUMIF('BS-Details'!$A:$A,CX$7&amp;" - "&amp;$C25,'BS-Details'!$J:$J)</f>
        <v>0</v>
      </c>
      <c r="CY25" s="189">
        <f t="shared" si="13"/>
        <v>0</v>
      </c>
      <c r="CZ25" s="178">
        <f>+SUMIF('BS-Details'!$A:$A,CZ$7&amp;" - "&amp;$C25,'BS-Details'!$J:$J)</f>
        <v>0</v>
      </c>
      <c r="DA25" s="178">
        <f>+SUMIF('BS-Details'!$A:$A,DA$7&amp;" - "&amp;$C25,'BS-Details'!$J:$J)</f>
        <v>0</v>
      </c>
      <c r="DB25" s="193"/>
    </row>
    <row r="26" spans="1:106" ht="15.75" customHeight="true">
      <c r="A26" s="161">
        <v>12</v>
      </c>
      <c r="B26" s="161" t="s">
        <v>13885</v>
      </c>
      <c r="C26" s="163" t="s">
        <v>13885</v>
      </c>
      <c r="D26" s="163" t="s">
        <v>13885</v>
      </c>
      <c r="E26" s="169">
        <f t="shared" si="2"/>
        <v>5374840.07</v>
      </c>
      <c r="F26" s="169">
        <f t="shared" si="3"/>
        <v>800876.35</v>
      </c>
      <c r="G26" s="170">
        <f>+SUMIF('BS-Details'!$A:$A,G$7&amp;" - "&amp;$C26,'BS-Details'!$J:$J)</f>
        <v>0</v>
      </c>
      <c r="H26" s="170">
        <f>+SUMIF('BS-Details'!$A:$A,H$7&amp;" - "&amp;$C26,'BS-Details'!$J:$J)</f>
        <v>0</v>
      </c>
      <c r="I26" s="170">
        <f>+SUMIF('BS-Details'!$A:$A,I$7&amp;" - "&amp;$C26,'BS-Details'!$J:$J)</f>
        <v>0</v>
      </c>
      <c r="J26" s="170">
        <f>+SUMIF('BS-Details'!$A:$A,J$7&amp;" - "&amp;$C26,'BS-Details'!$J:$J)</f>
        <v>0</v>
      </c>
      <c r="K26" s="170">
        <f>+SUMIF('BS-Details'!$A:$A,K$7&amp;" - "&amp;$C26,'BS-Details'!$J:$J)</f>
        <v>0</v>
      </c>
      <c r="L26" s="178">
        <f t="shared" si="4"/>
        <v>0</v>
      </c>
      <c r="M26" s="170">
        <f>+SUMIF('BS-Details'!$A:$A,M$7&amp;" - "&amp;$C26,'BS-Details'!$J:$J)</f>
        <v>876.35</v>
      </c>
      <c r="N26" s="170">
        <f>+SUMIF('BS-Details'!$A:$A,N$7&amp;" - "&amp;$C26,'BS-Details'!$J:$J)</f>
        <v>0</v>
      </c>
      <c r="O26" s="178">
        <f t="shared" si="5"/>
        <v>876.35</v>
      </c>
      <c r="P26" s="170">
        <f>+SUMIF('BS-Details'!$A:$A,P$7&amp;" - "&amp;$C26,'BS-Details'!$J:$J)</f>
        <v>0</v>
      </c>
      <c r="Q26" s="170">
        <f>+SUMIF('BS-Details'!$A:$A,Q$7&amp;" - "&amp;$C26,'BS-Details'!$J:$J)</f>
        <v>0</v>
      </c>
      <c r="R26" s="170">
        <f>+SUMIF('BS-Details'!$A:$A,R$7&amp;" - "&amp;$C26,'BS-Details'!$J:$J)</f>
        <v>0</v>
      </c>
      <c r="S26" s="170">
        <f>+SUMIF('BS-Details'!$A:$A,S$7&amp;" - "&amp;$C26,'BS-Details'!$J:$J)</f>
        <v>0</v>
      </c>
      <c r="T26" s="170">
        <f>+SUMIF('BS-Details'!$A:$A,T$7&amp;" - "&amp;$C26,'BS-Details'!$J:$J)</f>
        <v>0</v>
      </c>
      <c r="U26" s="170">
        <f>+SUMIF('BS-Details'!$A:$A,U$7&amp;" - "&amp;$C26,'BS-Details'!$J:$J)</f>
        <v>0</v>
      </c>
      <c r="V26" s="169">
        <f t="shared" si="6"/>
        <v>0</v>
      </c>
      <c r="W26" s="170">
        <f>+SUMIF('BS-Details'!$A:$A,W$7&amp;" - "&amp;$C26,'BS-Details'!$J:$J)</f>
        <v>0</v>
      </c>
      <c r="X26" s="170">
        <f>+SUMIF('BS-Details'!$A:$A,X$7&amp;" - "&amp;$C26,'BS-Details'!$J:$J)</f>
        <v>800000</v>
      </c>
      <c r="Y26" s="178">
        <f t="shared" si="7"/>
        <v>800000</v>
      </c>
      <c r="Z26" s="170">
        <f>+SUMIF('BS-Details'!$A:$A,Z$7&amp;" - "&amp;$C26,'BS-Details'!$J:$J)</f>
        <v>0</v>
      </c>
      <c r="AA26" s="170">
        <f>+SUMIF('BS-Details'!$A:$A,AA$7&amp;" - "&amp;$C26,'BS-Details'!$J:$J)</f>
        <v>0</v>
      </c>
      <c r="AB26" s="178">
        <f t="shared" si="8"/>
        <v>0</v>
      </c>
      <c r="AC26" s="170">
        <f>+SUMIF('BS-Details'!$A:$A,AC$7&amp;" - "&amp;$C26,'BS-Details'!$J:$J)</f>
        <v>0</v>
      </c>
      <c r="AD26" s="170">
        <f>+SUMIF('BS-Details'!$A:$A,AD$7&amp;" - "&amp;$C26,'BS-Details'!$J:$J)</f>
        <v>0</v>
      </c>
      <c r="AE26" s="170">
        <f>+SUMIF('BS-Details'!$A:$A,AE$7&amp;" - "&amp;$C26,'BS-Details'!$J:$J)</f>
        <v>0</v>
      </c>
      <c r="AF26" s="170">
        <f>+SUMIF('BS-Details'!$A:$A,AF$7&amp;" - "&amp;$C26,'BS-Details'!$J:$J)</f>
        <v>0</v>
      </c>
      <c r="AG26" s="170">
        <f>+SUMIF('BS-Details'!$A:$A,AG$7&amp;" - "&amp;$C26,'BS-Details'!$J:$J)</f>
        <v>0</v>
      </c>
      <c r="AH26" s="170">
        <f>+SUMIF('BS-Details'!$A:$A,AH$7&amp;" - "&amp;$C26,'BS-Details'!$J:$J)</f>
        <v>0</v>
      </c>
      <c r="AI26" s="170">
        <f>+SUMIF('BS-Details'!$A:$A,AI$7&amp;" - "&amp;$C26,'BS-Details'!$J:$J)</f>
        <v>0</v>
      </c>
      <c r="AJ26" s="170">
        <f>+SUMIF('BS-Details'!$A:$A,AJ$7&amp;" - "&amp;$C26,'BS-Details'!$J:$J)</f>
        <v>0</v>
      </c>
      <c r="AK26" s="170">
        <f>+SUMIF('BS-Details'!$A:$A,AK$7&amp;" - "&amp;$C26,'BS-Details'!$J:$J)</f>
        <v>0</v>
      </c>
      <c r="AL26" s="178">
        <f t="shared" si="9"/>
        <v>0</v>
      </c>
      <c r="AM26" s="170">
        <f>+SUMIF('BS-Details'!$A:$A,AM$7&amp;" - "&amp;$C26,'BS-Details'!$J:$J)</f>
        <v>0</v>
      </c>
      <c r="AN26" s="170">
        <f>+SUMIF('BS-Details'!$A:$A,AN$7&amp;" - "&amp;$C26,'BS-Details'!$J:$J)</f>
        <v>0</v>
      </c>
      <c r="AO26" s="170">
        <f>+SUMIF('BS-Details'!$A:$A,AO$7&amp;" - "&amp;$C26,'BS-Details'!$J:$J)</f>
        <v>0</v>
      </c>
      <c r="AP26" s="170">
        <f>+SUMIF('BS-Details'!$A:$A,AP$7&amp;" - "&amp;$C26,'BS-Details'!$J:$J)</f>
        <v>0</v>
      </c>
      <c r="AQ26" s="170">
        <f>+SUMIF('BS-Details'!$A:$A,AQ$7&amp;" - "&amp;$C26,'BS-Details'!$J:$J)</f>
        <v>0</v>
      </c>
      <c r="AR26" s="170">
        <f>+SUMIF('BS-Details'!$A:$A,AR$7&amp;" - "&amp;$C26,'BS-Details'!$J:$J)</f>
        <v>0</v>
      </c>
      <c r="AS26" s="170">
        <f>+SUMIF('BS-Details'!$A:$A,AS$7&amp;" - "&amp;$C26,'BS-Details'!$J:$J)</f>
        <v>0</v>
      </c>
      <c r="AT26" s="170">
        <f>+SUMIF('BS-Details'!$A:$A,AT$7&amp;" - "&amp;$C26,'BS-Details'!$J:$J)</f>
        <v>0</v>
      </c>
      <c r="AU26" s="170">
        <f>+SUMIF('BS-Details'!$A:$A,AU$7&amp;" - "&amp;$C26,'BS-Details'!$J:$J)</f>
        <v>0</v>
      </c>
      <c r="AV26" s="170">
        <f>+SUMIF('BS-Details'!$A:$A,AV$7&amp;" - "&amp;$C26,'BS-Details'!$J:$J)</f>
        <v>0</v>
      </c>
      <c r="AW26" s="170">
        <f>+SUMIF('BS-Details'!$A:$A,AW$7&amp;" - "&amp;$C26,'BS-Details'!$J:$J)</f>
        <v>0</v>
      </c>
      <c r="AX26" s="170">
        <f>+SUMIF('BS-Details'!$A:$A,AX$7&amp;" - "&amp;$C26,'BS-Details'!$J:$J)</f>
        <v>0</v>
      </c>
      <c r="AY26" s="170">
        <f>+SUMIF('BS-Details'!$A:$A,AY$7&amp;" - "&amp;$C26,'BS-Details'!$J:$J)</f>
        <v>0</v>
      </c>
      <c r="AZ26" s="170">
        <f>+SUMIF('BS-Details'!$A:$A,AZ$7&amp;" - "&amp;$C26,'BS-Details'!$J:$J)</f>
        <v>0</v>
      </c>
      <c r="BA26" s="170">
        <f>+SUMIF('BS-Details'!$A:$A,BA$7&amp;" - "&amp;$C26,'BS-Details'!$J:$J)</f>
        <v>0</v>
      </c>
      <c r="BB26" s="170">
        <f>+SUMIF('BS-Details'!$A:$A,BB$7&amp;" - "&amp;$C26,'BS-Details'!$J:$J)</f>
        <v>0</v>
      </c>
      <c r="BC26" s="170">
        <f>+SUMIF('BS-Details'!$A:$A,BC$7&amp;" - "&amp;$C26,'BS-Details'!$J:$J)</f>
        <v>0</v>
      </c>
      <c r="BD26" s="170">
        <f>+SUMIF('BS-Details'!$A:$A,BD$7&amp;" - "&amp;$C26,'BS-Details'!$J:$J)</f>
        <v>0</v>
      </c>
      <c r="BE26" s="170">
        <f>+SUMIF('BS-Details'!$A:$A,BE$7&amp;" - "&amp;$C26,'BS-Details'!$J:$J)</f>
        <v>0</v>
      </c>
      <c r="BF26" s="170">
        <f>+SUMIF('BS-Details'!$A:$A,BF$7&amp;" - "&amp;$C26,'BS-Details'!$J:$J)</f>
        <v>0</v>
      </c>
      <c r="BG26" s="170">
        <f>+SUMIF('BS-Details'!$A:$A,BG$7&amp;" - "&amp;$C26,'BS-Details'!$J:$J)</f>
        <v>0</v>
      </c>
      <c r="BH26" s="170">
        <f>+SUMIF('BS-Details'!$A:$A,BH$7&amp;" - "&amp;$C26,'BS-Details'!$J:$J)</f>
        <v>0</v>
      </c>
      <c r="BI26" s="170">
        <f>+SUMIF('BS-Details'!$A:$A,BI$7&amp;" - "&amp;$C26,'BS-Details'!$J:$J)</f>
        <v>0</v>
      </c>
      <c r="BJ26" s="170">
        <f>+SUMIF('BS-Details'!$A:$A,BJ$7&amp;" - "&amp;$C26,'BS-Details'!$J:$J)</f>
        <v>0</v>
      </c>
      <c r="BK26" s="170">
        <f>+SUMIF('BS-Details'!$A:$A,BK$7&amp;" - "&amp;$C26,'BS-Details'!$J:$J)</f>
        <v>0</v>
      </c>
      <c r="BL26" s="170">
        <f>+SUMIF('BS-Details'!$A:$A,BL$7&amp;" - "&amp;$C26,'BS-Details'!$J:$J)</f>
        <v>0</v>
      </c>
      <c r="BM26" s="170">
        <f>+SUMIF('BS-Details'!$A:$A,BM$7&amp;" - "&amp;$C26,'BS-Details'!$J:$J)</f>
        <v>0</v>
      </c>
      <c r="BN26" s="170">
        <f>+SUMIF('BS-Details'!$A:$A,BN$7&amp;" - "&amp;$C26,'BS-Details'!$J:$J)</f>
        <v>0</v>
      </c>
      <c r="BO26" s="170">
        <f>+SUMIF('BS-Details'!$A:$A,BO$7&amp;" - "&amp;$C26,'BS-Details'!$J:$J)</f>
        <v>0</v>
      </c>
      <c r="BP26" s="170">
        <f>+SUMIF('BS-Details'!$A:$A,BP$7&amp;" - "&amp;$C26,'BS-Details'!$J:$J)</f>
        <v>0</v>
      </c>
      <c r="BQ26" s="170">
        <f>+SUMIF('BS-Details'!$A:$A,BQ$7&amp;" - "&amp;$C26,'BS-Details'!$J:$J)</f>
        <v>0</v>
      </c>
      <c r="BR26" s="170">
        <f>+SUMIF('BS-Details'!$A:$A,BR$7&amp;" - "&amp;$C26,'BS-Details'!$J:$J)</f>
        <v>0</v>
      </c>
      <c r="BS26" s="170">
        <f>+SUMIF('BS-Details'!$A:$A,BS$7&amp;" - "&amp;$C26,'BS-Details'!$J:$J)</f>
        <v>0</v>
      </c>
      <c r="BT26" s="170">
        <f>+SUMIF('BS-Details'!$A:$A,BT$7&amp;" - "&amp;$C26,'BS-Details'!$J:$J)</f>
        <v>0</v>
      </c>
      <c r="BU26" s="170">
        <f>+SUMIF('BS-Details'!$A:$A,BU$7&amp;" - "&amp;$C26,'BS-Details'!$J:$J)</f>
        <v>0</v>
      </c>
      <c r="BV26" s="170">
        <f>+SUMIF('BS-Details'!$A:$A,BV$7&amp;" - "&amp;$C26,'BS-Details'!$J:$J)</f>
        <v>0</v>
      </c>
      <c r="BW26" s="170">
        <f>+SUMIF('BS-Details'!$A:$A,BW$7&amp;" - "&amp;$C26,'BS-Details'!$J:$J)</f>
        <v>0</v>
      </c>
      <c r="BX26" s="170">
        <f>+SUMIF('BS-Details'!$A:$A,BX$7&amp;" - "&amp;$C26,'BS-Details'!$J:$J)</f>
        <v>0</v>
      </c>
      <c r="BY26" s="170">
        <f>+SUMIF('BS-Details'!$A:$A,BY$7&amp;" - "&amp;$C26,'BS-Details'!$J:$J)</f>
        <v>0</v>
      </c>
      <c r="BZ26" s="170">
        <f>+SUMIF('BS-Details'!$A:$A,BZ$7&amp;" - "&amp;$C26,'BS-Details'!$J:$J)</f>
        <v>0</v>
      </c>
      <c r="CA26" s="170">
        <f>+SUMIF('BS-Details'!$A:$A,CA$7&amp;" - "&amp;$C26,'BS-Details'!$J:$J)</f>
        <v>0</v>
      </c>
      <c r="CB26" s="170">
        <f>+SUMIF('BS-Details'!$A:$A,CB$7&amp;" - "&amp;$C26,'BS-Details'!$J:$J)</f>
        <v>0</v>
      </c>
      <c r="CC26" s="170">
        <f>+SUMIF('BS-Details'!$A:$A,CC$7&amp;" - "&amp;$C26,'BS-Details'!$J:$J)</f>
        <v>0</v>
      </c>
      <c r="CD26" s="170">
        <f>+SUMIF('BS-Details'!$A:$A,CD$7&amp;" - "&amp;$C26,'BS-Details'!$J:$J)</f>
        <v>0</v>
      </c>
      <c r="CE26" s="170">
        <f>+SUMIF('BS-Details'!$A:$A,CE$7&amp;" - "&amp;$C26,'BS-Details'!$J:$J)</f>
        <v>0</v>
      </c>
      <c r="CF26" s="170">
        <f>+SUMIF('BS-Details'!$A:$A,CF$7&amp;" - "&amp;$C26,'BS-Details'!$J:$J)</f>
        <v>0</v>
      </c>
      <c r="CG26" s="170">
        <f>+SUMIF('BS-Details'!$A:$A,CG$7&amp;" - "&amp;$C26,'BS-Details'!$J:$J)</f>
        <v>0</v>
      </c>
      <c r="CH26" s="170">
        <f>+SUMIF('BS-Details'!$A:$A,CH$7&amp;" - "&amp;$C26,'BS-Details'!$J:$J)</f>
        <v>0</v>
      </c>
      <c r="CI26" s="170">
        <f>+SUMIF('BS-Details'!$A:$A,CI$7&amp;" - "&amp;$C26,'BS-Details'!$J:$J)</f>
        <v>0</v>
      </c>
      <c r="CJ26" s="170">
        <f>+SUMIF('BS-Details'!$A:$A,CJ$7&amp;" - "&amp;$C26,'BS-Details'!$J:$J)</f>
        <v>0</v>
      </c>
      <c r="CK26" s="170">
        <f>+SUMIF('BS-Details'!$A:$A,CK$7&amp;" - "&amp;$C26,'BS-Details'!$J:$J)</f>
        <v>0</v>
      </c>
      <c r="CL26" s="170">
        <f>+SUMIF('BS-Details'!$A:$A,CL$7&amp;" - "&amp;$C26,'BS-Details'!$J:$J)</f>
        <v>0</v>
      </c>
      <c r="CM26" s="170">
        <f>+SUMIF('BS-Details'!$A:$A,CM$7&amp;" - "&amp;$C26,'BS-Details'!$J:$J)</f>
        <v>0</v>
      </c>
      <c r="CN26" s="170">
        <f>+SUMIF('BS-Details'!$A:$A,CN$7&amp;" - "&amp;$C26,'BS-Details'!$J:$J)</f>
        <v>0</v>
      </c>
      <c r="CO26" s="170">
        <f>+SUMIF('BS-Details'!$A:$A,CO$7&amp;" - "&amp;$C26,'BS-Details'!$J:$J)</f>
        <v>0</v>
      </c>
      <c r="CP26" s="170"/>
      <c r="CQ26" s="178">
        <f t="shared" si="10"/>
        <v>0</v>
      </c>
      <c r="CR26" s="178">
        <f t="shared" si="11"/>
        <v>0</v>
      </c>
      <c r="CS26" s="178">
        <f t="shared" si="12"/>
        <v>0</v>
      </c>
      <c r="CT26" s="185">
        <f>+SUMIF('BS-Details'!$A:$A,CT$7&amp;" - "&amp;$C26,'BS-Details'!$J:$J)</f>
        <v>0</v>
      </c>
      <c r="CU26" s="170">
        <f>+SUMIF('BS-Details'!$A:$A,CU$7&amp;" - "&amp;$C26,'BS-Details'!$J:$J)</f>
        <v>0</v>
      </c>
      <c r="CV26" s="170">
        <f>+SUMIF('BS-Details'!$A:$A,CV$7&amp;" - "&amp;$C26,'BS-Details'!$J:$J)</f>
        <v>0</v>
      </c>
      <c r="CW26" s="189">
        <f>+SUMIF('BS-Details'!$A:$A,CW$7&amp;" - "&amp;$C26,'BS-Details'!$J:$J)</f>
        <v>0</v>
      </c>
      <c r="CX26" s="189">
        <f>+SUMIF('BS-Details'!$A:$A,CX$7&amp;" - "&amp;$C26,'BS-Details'!$J:$J)</f>
        <v>0</v>
      </c>
      <c r="CY26" s="189">
        <f t="shared" si="13"/>
        <v>0</v>
      </c>
      <c r="CZ26" s="178">
        <f>+SUMIF('BS-Details'!$A:$A,CZ$7&amp;" - "&amp;$C26,'BS-Details'!$J:$J)</f>
        <v>0</v>
      </c>
      <c r="DA26" s="178">
        <f>+SUMIF('BS-Details'!$A:$A,DA$7&amp;" - "&amp;$C26,'BS-Details'!$J:$J)</f>
        <v>4573963.72</v>
      </c>
      <c r="DB26" s="193"/>
    </row>
    <row r="27" spans="1:106" ht="15.75" customHeight="true">
      <c r="A27" s="161">
        <v>13</v>
      </c>
      <c r="B27" s="161" t="s">
        <v>13886</v>
      </c>
      <c r="C27" s="163" t="s">
        <v>13886</v>
      </c>
      <c r="D27" s="163" t="s">
        <v>13886</v>
      </c>
      <c r="E27" s="169">
        <f t="shared" si="2"/>
        <v>2102965.87</v>
      </c>
      <c r="F27" s="169">
        <f t="shared" si="3"/>
        <v>1302965.87</v>
      </c>
      <c r="G27" s="170">
        <f>+SUMIF('BS-Details'!$A:$A,G$7&amp;" - "&amp;$C27,'BS-Details'!$J:$J)</f>
        <v>226558.33</v>
      </c>
      <c r="H27" s="170">
        <f>+SUMIF('BS-Details'!$A:$A,H$7&amp;" - "&amp;$C27,'BS-Details'!$J:$J)</f>
        <v>0</v>
      </c>
      <c r="I27" s="170">
        <f>+SUMIF('BS-Details'!$A:$A,I$7&amp;" - "&amp;$C27,'BS-Details'!$J:$J)</f>
        <v>0</v>
      </c>
      <c r="J27" s="170">
        <f>+SUMIF('BS-Details'!$A:$A,J$7&amp;" - "&amp;$C27,'BS-Details'!$J:$J)</f>
        <v>0</v>
      </c>
      <c r="K27" s="170">
        <f>+SUMIF('BS-Details'!$A:$A,K$7&amp;" - "&amp;$C27,'BS-Details'!$J:$J)</f>
        <v>0</v>
      </c>
      <c r="L27" s="178">
        <f t="shared" si="4"/>
        <v>226558.33</v>
      </c>
      <c r="M27" s="170">
        <f>+SUMIF('BS-Details'!$A:$A,M$7&amp;" - "&amp;$C27,'BS-Details'!$J:$J)</f>
        <v>15887.5</v>
      </c>
      <c r="N27" s="170">
        <f>+SUMIF('BS-Details'!$A:$A,N$7&amp;" - "&amp;$C27,'BS-Details'!$J:$J)</f>
        <v>15887.5</v>
      </c>
      <c r="O27" s="178">
        <f t="shared" si="5"/>
        <v>31775</v>
      </c>
      <c r="P27" s="170">
        <f>+SUMIF('BS-Details'!$A:$A,P$7&amp;" - "&amp;$C27,'BS-Details'!$J:$J)</f>
        <v>9617.85</v>
      </c>
      <c r="Q27" s="170">
        <f>+SUMIF('BS-Details'!$A:$A,Q$7&amp;" - "&amp;$C27,'BS-Details'!$J:$J)</f>
        <v>12696.45</v>
      </c>
      <c r="R27" s="170">
        <f>+SUMIF('BS-Details'!$A:$A,R$7&amp;" - "&amp;$C27,'BS-Details'!$J:$J)</f>
        <v>6721.39</v>
      </c>
      <c r="S27" s="170">
        <f>+SUMIF('BS-Details'!$A:$A,S$7&amp;" - "&amp;$C27,'BS-Details'!$J:$J)</f>
        <v>4566.81</v>
      </c>
      <c r="T27" s="170">
        <f>+SUMIF('BS-Details'!$A:$A,T$7&amp;" - "&amp;$C27,'BS-Details'!$J:$J)</f>
        <v>3616.15</v>
      </c>
      <c r="U27" s="170">
        <f>+SUMIF('BS-Details'!$A:$A,U$7&amp;" - "&amp;$C27,'BS-Details'!$J:$J)</f>
        <v>0</v>
      </c>
      <c r="V27" s="169">
        <f t="shared" si="6"/>
        <v>37218.65</v>
      </c>
      <c r="W27" s="170">
        <f>+SUMIF('BS-Details'!$A:$A,W$7&amp;" - "&amp;$C27,'BS-Details'!$J:$J)</f>
        <v>7205.62</v>
      </c>
      <c r="X27" s="170">
        <f>+SUMIF('BS-Details'!$A:$A,X$7&amp;" - "&amp;$C27,'BS-Details'!$J:$J)</f>
        <v>0</v>
      </c>
      <c r="Y27" s="178">
        <f t="shared" si="7"/>
        <v>44424.27</v>
      </c>
      <c r="Z27" s="170">
        <f>+SUMIF('BS-Details'!$A:$A,Z$7&amp;" - "&amp;$C27,'BS-Details'!$J:$J)</f>
        <v>0</v>
      </c>
      <c r="AA27" s="170">
        <f>+SUMIF('BS-Details'!$A:$A,AA$7&amp;" - "&amp;$C27,'BS-Details'!$J:$J)</f>
        <v>0</v>
      </c>
      <c r="AB27" s="178">
        <f t="shared" si="8"/>
        <v>0</v>
      </c>
      <c r="AC27" s="170">
        <f>+SUMIF('BS-Details'!$A:$A,AC$7&amp;" - "&amp;$C27,'BS-Details'!$J:$J)</f>
        <v>0</v>
      </c>
      <c r="AD27" s="170">
        <f>+SUMIF('BS-Details'!$A:$A,AD$7&amp;" - "&amp;$C27,'BS-Details'!$J:$J)</f>
        <v>0</v>
      </c>
      <c r="AE27" s="170">
        <f>+SUMIF('BS-Details'!$A:$A,AE$7&amp;" - "&amp;$C27,'BS-Details'!$J:$J)</f>
        <v>0</v>
      </c>
      <c r="AF27" s="170">
        <f>+SUMIF('BS-Details'!$A:$A,AF$7&amp;" - "&amp;$C27,'BS-Details'!$J:$J)</f>
        <v>4870.1</v>
      </c>
      <c r="AG27" s="170">
        <f>+SUMIF('BS-Details'!$A:$A,AG$7&amp;" - "&amp;$C27,'BS-Details'!$J:$J)</f>
        <v>11402.77</v>
      </c>
      <c r="AH27" s="170">
        <f>+SUMIF('BS-Details'!$A:$A,AH$7&amp;" - "&amp;$C27,'BS-Details'!$J:$J)</f>
        <v>5284.9</v>
      </c>
      <c r="AI27" s="170">
        <f>+SUMIF('BS-Details'!$A:$A,AI$7&amp;" - "&amp;$C27,'BS-Details'!$J:$J)</f>
        <v>9410.81</v>
      </c>
      <c r="AJ27" s="170">
        <f>+SUMIF('BS-Details'!$A:$A,AJ$7&amp;" - "&amp;$C27,'BS-Details'!$J:$J)</f>
        <v>12267.48</v>
      </c>
      <c r="AK27" s="170">
        <f>+SUMIF('BS-Details'!$A:$A,AK$7&amp;" - "&amp;$C27,'BS-Details'!$J:$J)</f>
        <v>0</v>
      </c>
      <c r="AL27" s="178">
        <f t="shared" si="9"/>
        <v>43236.06</v>
      </c>
      <c r="AM27" s="170">
        <f>+SUMIF('BS-Details'!$A:$A,AM$7&amp;" - "&amp;$C27,'BS-Details'!$J:$J)</f>
        <v>0</v>
      </c>
      <c r="AN27" s="170">
        <f>+SUMIF('BS-Details'!$A:$A,AN$7&amp;" - "&amp;$C27,'BS-Details'!$J:$J)</f>
        <v>0</v>
      </c>
      <c r="AO27" s="170">
        <f>+SUMIF('BS-Details'!$A:$A,AO$7&amp;" - "&amp;$C27,'BS-Details'!$J:$J)</f>
        <v>0</v>
      </c>
      <c r="AP27" s="170">
        <f>+SUMIF('BS-Details'!$A:$A,AP$7&amp;" - "&amp;$C27,'BS-Details'!$J:$J)</f>
        <v>0</v>
      </c>
      <c r="AQ27" s="170">
        <f>+SUMIF('BS-Details'!$A:$A,AQ$7&amp;" - "&amp;$C27,'BS-Details'!$J:$J)</f>
        <v>0</v>
      </c>
      <c r="AR27" s="170">
        <f>+SUMIF('BS-Details'!$A:$A,AR$7&amp;" - "&amp;$C27,'BS-Details'!$J:$J)</f>
        <v>0</v>
      </c>
      <c r="AS27" s="170">
        <f>+SUMIF('BS-Details'!$A:$A,AS$7&amp;" - "&amp;$C27,'BS-Details'!$J:$J)</f>
        <v>5012.09</v>
      </c>
      <c r="AT27" s="170">
        <f>+SUMIF('BS-Details'!$A:$A,AT$7&amp;" - "&amp;$C27,'BS-Details'!$J:$J)</f>
        <v>4113.14</v>
      </c>
      <c r="AU27" s="170">
        <f>+SUMIF('BS-Details'!$A:$A,AU$7&amp;" - "&amp;$C27,'BS-Details'!$J:$J)</f>
        <v>3273.94</v>
      </c>
      <c r="AV27" s="170">
        <f>+SUMIF('BS-Details'!$A:$A,AV$7&amp;" - "&amp;$C27,'BS-Details'!$J:$J)</f>
        <v>11997.78</v>
      </c>
      <c r="AW27" s="170">
        <f>+SUMIF('BS-Details'!$A:$A,AW$7&amp;" - "&amp;$C27,'BS-Details'!$J:$J)</f>
        <v>0</v>
      </c>
      <c r="AX27" s="170">
        <f>+SUMIF('BS-Details'!$A:$A,AX$7&amp;" - "&amp;$C27,'BS-Details'!$J:$J)</f>
        <v>0</v>
      </c>
      <c r="AY27" s="170">
        <f>+SUMIF('BS-Details'!$A:$A,AY$7&amp;" - "&amp;$C27,'BS-Details'!$J:$J)</f>
        <v>0</v>
      </c>
      <c r="AZ27" s="170">
        <f>+SUMIF('BS-Details'!$A:$A,AZ$7&amp;" - "&amp;$C27,'BS-Details'!$J:$J)</f>
        <v>5242.17</v>
      </c>
      <c r="BA27" s="170">
        <f>+SUMIF('BS-Details'!$A:$A,BA$7&amp;" - "&amp;$C27,'BS-Details'!$J:$J)</f>
        <v>4452.7</v>
      </c>
      <c r="BB27" s="170">
        <f>+SUMIF('BS-Details'!$A:$A,BB$7&amp;" - "&amp;$C27,'BS-Details'!$J:$J)</f>
        <v>0</v>
      </c>
      <c r="BC27" s="170">
        <f>+SUMIF('BS-Details'!$A:$A,BC$7&amp;" - "&amp;$C27,'BS-Details'!$J:$J)</f>
        <v>14469.55</v>
      </c>
      <c r="BD27" s="170">
        <f>+SUMIF('BS-Details'!$A:$A,BD$7&amp;" - "&amp;$C27,'BS-Details'!$J:$J)</f>
        <v>4094.74</v>
      </c>
      <c r="BE27" s="170">
        <f>+SUMIF('BS-Details'!$A:$A,BE$7&amp;" - "&amp;$C27,'BS-Details'!$J:$J)</f>
        <v>4724.78</v>
      </c>
      <c r="BF27" s="170">
        <f>+SUMIF('BS-Details'!$A:$A,BF$7&amp;" - "&amp;$C27,'BS-Details'!$J:$J)</f>
        <v>2659.2</v>
      </c>
      <c r="BG27" s="170">
        <f>+SUMIF('BS-Details'!$A:$A,BG$7&amp;" - "&amp;$C27,'BS-Details'!$J:$J)</f>
        <v>3630.65</v>
      </c>
      <c r="BH27" s="170">
        <f>+SUMIF('BS-Details'!$A:$A,BH$7&amp;" - "&amp;$C27,'BS-Details'!$J:$J)</f>
        <v>0</v>
      </c>
      <c r="BI27" s="170">
        <f>+SUMIF('BS-Details'!$A:$A,BI$7&amp;" - "&amp;$C27,'BS-Details'!$J:$J)</f>
        <v>4969.04</v>
      </c>
      <c r="BJ27" s="170">
        <f>+SUMIF('BS-Details'!$A:$A,BJ$7&amp;" - "&amp;$C27,'BS-Details'!$J:$J)</f>
        <v>0</v>
      </c>
      <c r="BK27" s="170">
        <f>+SUMIF('BS-Details'!$A:$A,BK$7&amp;" - "&amp;$C27,'BS-Details'!$J:$J)</f>
        <v>0</v>
      </c>
      <c r="BL27" s="170">
        <f>+SUMIF('BS-Details'!$A:$A,BL$7&amp;" - "&amp;$C27,'BS-Details'!$J:$J)</f>
        <v>2638.46</v>
      </c>
      <c r="BM27" s="170">
        <f>+SUMIF('BS-Details'!$A:$A,BM$7&amp;" - "&amp;$C27,'BS-Details'!$J:$J)</f>
        <v>2814.07</v>
      </c>
      <c r="BN27" s="170">
        <f>+SUMIF('BS-Details'!$A:$A,BN$7&amp;" - "&amp;$C27,'BS-Details'!$J:$J)</f>
        <v>3936.58</v>
      </c>
      <c r="BO27" s="170">
        <f>+SUMIF('BS-Details'!$A:$A,BO$7&amp;" - "&amp;$C27,'BS-Details'!$J:$J)</f>
        <v>0</v>
      </c>
      <c r="BP27" s="170">
        <f>+SUMIF('BS-Details'!$A:$A,BP$7&amp;" - "&amp;$C27,'BS-Details'!$J:$J)</f>
        <v>4634.38</v>
      </c>
      <c r="BQ27" s="170">
        <f>+SUMIF('BS-Details'!$A:$A,BQ$7&amp;" - "&amp;$C27,'BS-Details'!$J:$J)</f>
        <v>4402.11</v>
      </c>
      <c r="BR27" s="170">
        <f>+SUMIF('BS-Details'!$A:$A,BR$7&amp;" - "&amp;$C27,'BS-Details'!$J:$J)</f>
        <v>0</v>
      </c>
      <c r="BS27" s="170">
        <f>+SUMIF('BS-Details'!$A:$A,BS$7&amp;" - "&amp;$C27,'BS-Details'!$J:$J)</f>
        <v>1001.58</v>
      </c>
      <c r="BT27" s="170">
        <f>+SUMIF('BS-Details'!$A:$A,BT$7&amp;" - "&amp;$C27,'BS-Details'!$J:$J)</f>
        <v>0</v>
      </c>
      <c r="BU27" s="170">
        <f>+SUMIF('BS-Details'!$A:$A,BU$7&amp;" - "&amp;$C27,'BS-Details'!$J:$J)</f>
        <v>0</v>
      </c>
      <c r="BV27" s="170">
        <f>+SUMIF('BS-Details'!$A:$A,BV$7&amp;" - "&amp;$C27,'BS-Details'!$J:$J)</f>
        <v>0</v>
      </c>
      <c r="BW27" s="170">
        <f>+SUMIF('BS-Details'!$A:$A,BW$7&amp;" - "&amp;$C27,'BS-Details'!$J:$J)</f>
        <v>0</v>
      </c>
      <c r="BX27" s="170">
        <f>+SUMIF('BS-Details'!$A:$A,BX$7&amp;" - "&amp;$C27,'BS-Details'!$J:$J)</f>
        <v>0</v>
      </c>
      <c r="BY27" s="170">
        <f>+SUMIF('BS-Details'!$A:$A,BY$7&amp;" - "&amp;$C27,'BS-Details'!$J:$J)</f>
        <v>0</v>
      </c>
      <c r="BZ27" s="170">
        <f>+SUMIF('BS-Details'!$A:$A,BZ$7&amp;" - "&amp;$C27,'BS-Details'!$J:$J)</f>
        <v>0</v>
      </c>
      <c r="CA27" s="170">
        <f>+SUMIF('BS-Details'!$A:$A,CA$7&amp;" - "&amp;$C27,'BS-Details'!$J:$J)</f>
        <v>1778.89</v>
      </c>
      <c r="CB27" s="170">
        <f>+SUMIF('BS-Details'!$A:$A,CB$7&amp;" - "&amp;$C27,'BS-Details'!$J:$J)</f>
        <v>0</v>
      </c>
      <c r="CC27" s="170">
        <f>+SUMIF('BS-Details'!$A:$A,CC$7&amp;" - "&amp;$C27,'BS-Details'!$J:$J)</f>
        <v>0</v>
      </c>
      <c r="CD27" s="170">
        <f>+SUMIF('BS-Details'!$A:$A,CD$7&amp;" - "&amp;$C27,'BS-Details'!$J:$J)</f>
        <v>7403.73</v>
      </c>
      <c r="CE27" s="170">
        <f>+SUMIF('BS-Details'!$A:$A,CE$7&amp;" - "&amp;$C27,'BS-Details'!$J:$J)</f>
        <v>0</v>
      </c>
      <c r="CF27" s="170">
        <f>+SUMIF('BS-Details'!$A:$A,CF$7&amp;" - "&amp;$C27,'BS-Details'!$J:$J)</f>
        <v>-277.37</v>
      </c>
      <c r="CG27" s="170">
        <f>+SUMIF('BS-Details'!$A:$A,CG$7&amp;" - "&amp;$C27,'BS-Details'!$J:$J)</f>
        <v>0</v>
      </c>
      <c r="CH27" s="170">
        <f>+SUMIF('BS-Details'!$A:$A,CH$7&amp;" - "&amp;$C27,'BS-Details'!$J:$J)</f>
        <v>0</v>
      </c>
      <c r="CI27" s="170">
        <f>+SUMIF('BS-Details'!$A:$A,CI$7&amp;" - "&amp;$C27,'BS-Details'!$J:$J)</f>
        <v>0</v>
      </c>
      <c r="CJ27" s="170">
        <f>+SUMIF('BS-Details'!$A:$A,CJ$7&amp;" - "&amp;$C27,'BS-Details'!$J:$J)</f>
        <v>0</v>
      </c>
      <c r="CK27" s="170">
        <f>+SUMIF('BS-Details'!$A:$A,CK$7&amp;" - "&amp;$C27,'BS-Details'!$J:$J)</f>
        <v>0</v>
      </c>
      <c r="CL27" s="170">
        <f>+SUMIF('BS-Details'!$A:$A,CL$7&amp;" - "&amp;$C27,'BS-Details'!$J:$J)</f>
        <v>0</v>
      </c>
      <c r="CM27" s="170">
        <f>+SUMIF('BS-Details'!$A:$A,CM$7&amp;" - "&amp;$C27,'BS-Details'!$J:$J)</f>
        <v>0</v>
      </c>
      <c r="CN27" s="170">
        <f>+SUMIF('BS-Details'!$A:$A,CN$7&amp;" - "&amp;$C27,'BS-Details'!$J:$J)</f>
        <v>-250000</v>
      </c>
      <c r="CO27" s="170">
        <f>+SUMIF('BS-Details'!$A:$A,CO$7&amp;" - "&amp;$C27,'BS-Details'!$J:$J)</f>
        <v>1110000</v>
      </c>
      <c r="CP27" s="170"/>
      <c r="CQ27" s="178">
        <f t="shared" si="10"/>
        <v>956972.21</v>
      </c>
      <c r="CR27" s="178">
        <f t="shared" si="11"/>
        <v>1000208.27</v>
      </c>
      <c r="CS27" s="178">
        <f t="shared" si="12"/>
        <v>0</v>
      </c>
      <c r="CT27" s="185">
        <f>+SUMIF('BS-Details'!$A:$A,CT$7&amp;" - "&amp;$C27,'BS-Details'!$J:$J)</f>
        <v>0</v>
      </c>
      <c r="CU27" s="170">
        <f>+SUMIF('BS-Details'!$A:$A,CU$7&amp;" - "&amp;$C27,'BS-Details'!$J:$J)</f>
        <v>0</v>
      </c>
      <c r="CV27" s="170">
        <f>+SUMIF('BS-Details'!$A:$A,CV$7&amp;" - "&amp;$C27,'BS-Details'!$J:$J)</f>
        <v>0</v>
      </c>
      <c r="CW27" s="189">
        <f>+SUMIF('BS-Details'!$A:$A,CW$7&amp;" - "&amp;$C27,'BS-Details'!$J:$J)</f>
        <v>0</v>
      </c>
      <c r="CX27" s="189">
        <f>+SUMIF('BS-Details'!$A:$A,CX$7&amp;" - "&amp;$C27,'BS-Details'!$J:$J)</f>
        <v>0</v>
      </c>
      <c r="CY27" s="189">
        <f t="shared" si="13"/>
        <v>0</v>
      </c>
      <c r="CZ27" s="178">
        <f>+SUMIF('BS-Details'!$A:$A,CZ$7&amp;" - "&amp;$C27,'BS-Details'!$J:$J)</f>
        <v>0</v>
      </c>
      <c r="DA27" s="178">
        <f>+SUMIF('BS-Details'!$A:$A,DA$7&amp;" - "&amp;$C27,'BS-Details'!$J:$J)</f>
        <v>800000</v>
      </c>
      <c r="DB27" s="193"/>
    </row>
    <row r="28" spans="1:106" ht="15.75" customHeight="true">
      <c r="A28" s="161">
        <v>14</v>
      </c>
      <c r="B28" s="161" t="s">
        <v>13870</v>
      </c>
      <c r="C28" s="163" t="s">
        <v>13887</v>
      </c>
      <c r="D28" s="163" t="s">
        <v>13887</v>
      </c>
      <c r="E28" s="169">
        <f t="shared" si="2"/>
        <v>0</v>
      </c>
      <c r="F28" s="169">
        <f t="shared" si="3"/>
        <v>0</v>
      </c>
      <c r="G28" s="170">
        <f>+SUMIF('BS-Details'!$A:$A,G$7&amp;" - "&amp;$C28,'BS-Details'!$J:$J)</f>
        <v>0</v>
      </c>
      <c r="H28" s="170">
        <f>+SUMIF('BS-Details'!$A:$A,H$7&amp;" - "&amp;$C28,'BS-Details'!$J:$J)</f>
        <v>0</v>
      </c>
      <c r="I28" s="170">
        <f>+SUMIF('BS-Details'!$A:$A,I$7&amp;" - "&amp;$C28,'BS-Details'!$J:$J)</f>
        <v>0</v>
      </c>
      <c r="J28" s="170">
        <f>+SUMIF('BS-Details'!$A:$A,J$7&amp;" - "&amp;$C28,'BS-Details'!$J:$J)</f>
        <v>0</v>
      </c>
      <c r="K28" s="170">
        <f>+SUMIF('BS-Details'!$A:$A,K$7&amp;" - "&amp;$C28,'BS-Details'!$J:$J)</f>
        <v>0</v>
      </c>
      <c r="L28" s="178">
        <f t="shared" si="4"/>
        <v>0</v>
      </c>
      <c r="M28" s="170">
        <f>+SUMIF('BS-Details'!$A:$A,M$7&amp;" - "&amp;$C28,'BS-Details'!$J:$J)</f>
        <v>0</v>
      </c>
      <c r="N28" s="170">
        <f>+SUMIF('BS-Details'!$A:$A,N$7&amp;" - "&amp;$C28,'BS-Details'!$J:$J)</f>
        <v>0</v>
      </c>
      <c r="O28" s="178">
        <f t="shared" si="5"/>
        <v>0</v>
      </c>
      <c r="P28" s="170">
        <f>+SUMIF('BS-Details'!$A:$A,P$7&amp;" - "&amp;$C28,'BS-Details'!$J:$J)</f>
        <v>0</v>
      </c>
      <c r="Q28" s="170">
        <f>+SUMIF('BS-Details'!$A:$A,Q$7&amp;" - "&amp;$C28,'BS-Details'!$J:$J)</f>
        <v>0</v>
      </c>
      <c r="R28" s="170">
        <f>+SUMIF('BS-Details'!$A:$A,R$7&amp;" - "&amp;$C28,'BS-Details'!$J:$J)</f>
        <v>0</v>
      </c>
      <c r="S28" s="170">
        <f>+SUMIF('BS-Details'!$A:$A,S$7&amp;" - "&amp;$C28,'BS-Details'!$J:$J)</f>
        <v>0</v>
      </c>
      <c r="T28" s="170">
        <f>+SUMIF('BS-Details'!$A:$A,T$7&amp;" - "&amp;$C28,'BS-Details'!$J:$J)</f>
        <v>0</v>
      </c>
      <c r="U28" s="170">
        <f>+SUMIF('BS-Details'!$A:$A,U$7&amp;" - "&amp;$C28,'BS-Details'!$J:$J)</f>
        <v>0</v>
      </c>
      <c r="V28" s="169">
        <f t="shared" si="6"/>
        <v>0</v>
      </c>
      <c r="W28" s="170">
        <f>+SUMIF('BS-Details'!$A:$A,W$7&amp;" - "&amp;$C28,'BS-Details'!$J:$J)</f>
        <v>0</v>
      </c>
      <c r="X28" s="170">
        <f>+SUMIF('BS-Details'!$A:$A,X$7&amp;" - "&amp;$C28,'BS-Details'!$J:$J)</f>
        <v>0</v>
      </c>
      <c r="Y28" s="178">
        <f t="shared" si="7"/>
        <v>0</v>
      </c>
      <c r="Z28" s="170">
        <f>+SUMIF('BS-Details'!$A:$A,Z$7&amp;" - "&amp;$C28,'BS-Details'!$J:$J)</f>
        <v>0</v>
      </c>
      <c r="AA28" s="170">
        <f>+SUMIF('BS-Details'!$A:$A,AA$7&amp;" - "&amp;$C28,'BS-Details'!$J:$J)</f>
        <v>0</v>
      </c>
      <c r="AB28" s="178">
        <f t="shared" si="8"/>
        <v>0</v>
      </c>
      <c r="AC28" s="170">
        <f>+SUMIF('BS-Details'!$A:$A,AC$7&amp;" - "&amp;$C28,'BS-Details'!$J:$J)</f>
        <v>0</v>
      </c>
      <c r="AD28" s="170">
        <f>+SUMIF('BS-Details'!$A:$A,AD$7&amp;" - "&amp;$C28,'BS-Details'!$J:$J)</f>
        <v>0</v>
      </c>
      <c r="AE28" s="170">
        <f>+SUMIF('BS-Details'!$A:$A,AE$7&amp;" - "&amp;$C28,'BS-Details'!$J:$J)</f>
        <v>0</v>
      </c>
      <c r="AF28" s="170">
        <f>+SUMIF('BS-Details'!$A:$A,AF$7&amp;" - "&amp;$C28,'BS-Details'!$J:$J)</f>
        <v>0</v>
      </c>
      <c r="AG28" s="170">
        <f>+SUMIF('BS-Details'!$A:$A,AG$7&amp;" - "&amp;$C28,'BS-Details'!$J:$J)</f>
        <v>0</v>
      </c>
      <c r="AH28" s="170">
        <f>+SUMIF('BS-Details'!$A:$A,AH$7&amp;" - "&amp;$C28,'BS-Details'!$J:$J)</f>
        <v>0</v>
      </c>
      <c r="AI28" s="170">
        <f>+SUMIF('BS-Details'!$A:$A,AI$7&amp;" - "&amp;$C28,'BS-Details'!$J:$J)</f>
        <v>0</v>
      </c>
      <c r="AJ28" s="170">
        <f>+SUMIF('BS-Details'!$A:$A,AJ$7&amp;" - "&amp;$C28,'BS-Details'!$J:$J)</f>
        <v>0</v>
      </c>
      <c r="AK28" s="170">
        <f>+SUMIF('BS-Details'!$A:$A,AK$7&amp;" - "&amp;$C28,'BS-Details'!$J:$J)</f>
        <v>0</v>
      </c>
      <c r="AL28" s="178">
        <f t="shared" si="9"/>
        <v>0</v>
      </c>
      <c r="AM28" s="170">
        <f>+SUMIF('BS-Details'!$A:$A,AM$7&amp;" - "&amp;$C28,'BS-Details'!$J:$J)</f>
        <v>0</v>
      </c>
      <c r="AN28" s="170">
        <f>+SUMIF('BS-Details'!$A:$A,AN$7&amp;" - "&amp;$C28,'BS-Details'!$J:$J)</f>
        <v>0</v>
      </c>
      <c r="AO28" s="170">
        <f>+SUMIF('BS-Details'!$A:$A,AO$7&amp;" - "&amp;$C28,'BS-Details'!$J:$J)</f>
        <v>0</v>
      </c>
      <c r="AP28" s="170">
        <f>+SUMIF('BS-Details'!$A:$A,AP$7&amp;" - "&amp;$C28,'BS-Details'!$J:$J)</f>
        <v>0</v>
      </c>
      <c r="AQ28" s="170">
        <f>+SUMIF('BS-Details'!$A:$A,AQ$7&amp;" - "&amp;$C28,'BS-Details'!$J:$J)</f>
        <v>0</v>
      </c>
      <c r="AR28" s="170">
        <f>+SUMIF('BS-Details'!$A:$A,AR$7&amp;" - "&amp;$C28,'BS-Details'!$J:$J)</f>
        <v>0</v>
      </c>
      <c r="AS28" s="170">
        <f>+SUMIF('BS-Details'!$A:$A,AS$7&amp;" - "&amp;$C28,'BS-Details'!$J:$J)</f>
        <v>0</v>
      </c>
      <c r="AT28" s="170">
        <f>+SUMIF('BS-Details'!$A:$A,AT$7&amp;" - "&amp;$C28,'BS-Details'!$J:$J)</f>
        <v>0</v>
      </c>
      <c r="AU28" s="170">
        <f>+SUMIF('BS-Details'!$A:$A,AU$7&amp;" - "&amp;$C28,'BS-Details'!$J:$J)</f>
        <v>0</v>
      </c>
      <c r="AV28" s="170">
        <f>+SUMIF('BS-Details'!$A:$A,AV$7&amp;" - "&amp;$C28,'BS-Details'!$J:$J)</f>
        <v>0</v>
      </c>
      <c r="AW28" s="170">
        <f>+SUMIF('BS-Details'!$A:$A,AW$7&amp;" - "&amp;$C28,'BS-Details'!$J:$J)</f>
        <v>0</v>
      </c>
      <c r="AX28" s="170">
        <f>+SUMIF('BS-Details'!$A:$A,AX$7&amp;" - "&amp;$C28,'BS-Details'!$J:$J)</f>
        <v>0</v>
      </c>
      <c r="AY28" s="170">
        <f>+SUMIF('BS-Details'!$A:$A,AY$7&amp;" - "&amp;$C28,'BS-Details'!$J:$J)</f>
        <v>0</v>
      </c>
      <c r="AZ28" s="170">
        <f>+SUMIF('BS-Details'!$A:$A,AZ$7&amp;" - "&amp;$C28,'BS-Details'!$J:$J)</f>
        <v>0</v>
      </c>
      <c r="BA28" s="170">
        <f>+SUMIF('BS-Details'!$A:$A,BA$7&amp;" - "&amp;$C28,'BS-Details'!$J:$J)</f>
        <v>0</v>
      </c>
      <c r="BB28" s="170">
        <f>+SUMIF('BS-Details'!$A:$A,BB$7&amp;" - "&amp;$C28,'BS-Details'!$J:$J)</f>
        <v>0</v>
      </c>
      <c r="BC28" s="170">
        <f>+SUMIF('BS-Details'!$A:$A,BC$7&amp;" - "&amp;$C28,'BS-Details'!$J:$J)</f>
        <v>0</v>
      </c>
      <c r="BD28" s="170">
        <f>+SUMIF('BS-Details'!$A:$A,BD$7&amp;" - "&amp;$C28,'BS-Details'!$J:$J)</f>
        <v>0</v>
      </c>
      <c r="BE28" s="170">
        <f>+SUMIF('BS-Details'!$A:$A,BE$7&amp;" - "&amp;$C28,'BS-Details'!$J:$J)</f>
        <v>0</v>
      </c>
      <c r="BF28" s="170">
        <f>+SUMIF('BS-Details'!$A:$A,BF$7&amp;" - "&amp;$C28,'BS-Details'!$J:$J)</f>
        <v>0</v>
      </c>
      <c r="BG28" s="170">
        <f>+SUMIF('BS-Details'!$A:$A,BG$7&amp;" - "&amp;$C28,'BS-Details'!$J:$J)</f>
        <v>0</v>
      </c>
      <c r="BH28" s="170">
        <f>+SUMIF('BS-Details'!$A:$A,BH$7&amp;" - "&amp;$C28,'BS-Details'!$J:$J)</f>
        <v>0</v>
      </c>
      <c r="BI28" s="170">
        <f>+SUMIF('BS-Details'!$A:$A,BI$7&amp;" - "&amp;$C28,'BS-Details'!$J:$J)</f>
        <v>0</v>
      </c>
      <c r="BJ28" s="170">
        <f>+SUMIF('BS-Details'!$A:$A,BJ$7&amp;" - "&amp;$C28,'BS-Details'!$J:$J)</f>
        <v>0</v>
      </c>
      <c r="BK28" s="170">
        <f>+SUMIF('BS-Details'!$A:$A,BK$7&amp;" - "&amp;$C28,'BS-Details'!$J:$J)</f>
        <v>0</v>
      </c>
      <c r="BL28" s="170">
        <f>+SUMIF('BS-Details'!$A:$A,BL$7&amp;" - "&amp;$C28,'BS-Details'!$J:$J)</f>
        <v>0</v>
      </c>
      <c r="BM28" s="170">
        <f>+SUMIF('BS-Details'!$A:$A,BM$7&amp;" - "&amp;$C28,'BS-Details'!$J:$J)</f>
        <v>0</v>
      </c>
      <c r="BN28" s="170">
        <f>+SUMIF('BS-Details'!$A:$A,BN$7&amp;" - "&amp;$C28,'BS-Details'!$J:$J)</f>
        <v>0</v>
      </c>
      <c r="BO28" s="170">
        <f>+SUMIF('BS-Details'!$A:$A,BO$7&amp;" - "&amp;$C28,'BS-Details'!$J:$J)</f>
        <v>0</v>
      </c>
      <c r="BP28" s="170">
        <f>+SUMIF('BS-Details'!$A:$A,BP$7&amp;" - "&amp;$C28,'BS-Details'!$J:$J)</f>
        <v>0</v>
      </c>
      <c r="BQ28" s="170">
        <f>+SUMIF('BS-Details'!$A:$A,BQ$7&amp;" - "&amp;$C28,'BS-Details'!$J:$J)</f>
        <v>0</v>
      </c>
      <c r="BR28" s="170">
        <f>+SUMIF('BS-Details'!$A:$A,BR$7&amp;" - "&amp;$C28,'BS-Details'!$J:$J)</f>
        <v>0</v>
      </c>
      <c r="BS28" s="170">
        <f>+SUMIF('BS-Details'!$A:$A,BS$7&amp;" - "&amp;$C28,'BS-Details'!$J:$J)</f>
        <v>0</v>
      </c>
      <c r="BT28" s="170">
        <f>+SUMIF('BS-Details'!$A:$A,BT$7&amp;" - "&amp;$C28,'BS-Details'!$J:$J)</f>
        <v>0</v>
      </c>
      <c r="BU28" s="170">
        <f>+SUMIF('BS-Details'!$A:$A,BU$7&amp;" - "&amp;$C28,'BS-Details'!$J:$J)</f>
        <v>0</v>
      </c>
      <c r="BV28" s="170">
        <f>+SUMIF('BS-Details'!$A:$A,BV$7&amp;" - "&amp;$C28,'BS-Details'!$J:$J)</f>
        <v>0</v>
      </c>
      <c r="BW28" s="170">
        <f>+SUMIF('BS-Details'!$A:$A,BW$7&amp;" - "&amp;$C28,'BS-Details'!$J:$J)</f>
        <v>0</v>
      </c>
      <c r="BX28" s="170">
        <f>+SUMIF('BS-Details'!$A:$A,BX$7&amp;" - "&amp;$C28,'BS-Details'!$J:$J)</f>
        <v>0</v>
      </c>
      <c r="BY28" s="170">
        <f>+SUMIF('BS-Details'!$A:$A,BY$7&amp;" - "&amp;$C28,'BS-Details'!$J:$J)</f>
        <v>0</v>
      </c>
      <c r="BZ28" s="170">
        <f>+SUMIF('BS-Details'!$A:$A,BZ$7&amp;" - "&amp;$C28,'BS-Details'!$J:$J)</f>
        <v>0</v>
      </c>
      <c r="CA28" s="170">
        <f>+SUMIF('BS-Details'!$A:$A,CA$7&amp;" - "&amp;$C28,'BS-Details'!$J:$J)</f>
        <v>0</v>
      </c>
      <c r="CB28" s="170">
        <f>+SUMIF('BS-Details'!$A:$A,CB$7&amp;" - "&amp;$C28,'BS-Details'!$J:$J)</f>
        <v>0</v>
      </c>
      <c r="CC28" s="170">
        <f>+SUMIF('BS-Details'!$A:$A,CC$7&amp;" - "&amp;$C28,'BS-Details'!$J:$J)</f>
        <v>0</v>
      </c>
      <c r="CD28" s="170">
        <f>+SUMIF('BS-Details'!$A:$A,CD$7&amp;" - "&amp;$C28,'BS-Details'!$J:$J)</f>
        <v>0</v>
      </c>
      <c r="CE28" s="170">
        <f>+SUMIF('BS-Details'!$A:$A,CE$7&amp;" - "&amp;$C28,'BS-Details'!$J:$J)</f>
        <v>0</v>
      </c>
      <c r="CF28" s="170">
        <f>+SUMIF('BS-Details'!$A:$A,CF$7&amp;" - "&amp;$C28,'BS-Details'!$J:$J)</f>
        <v>0</v>
      </c>
      <c r="CG28" s="170">
        <f>+SUMIF('BS-Details'!$A:$A,CG$7&amp;" - "&amp;$C28,'BS-Details'!$J:$J)</f>
        <v>0</v>
      </c>
      <c r="CH28" s="170">
        <f>+SUMIF('BS-Details'!$A:$A,CH$7&amp;" - "&amp;$C28,'BS-Details'!$J:$J)</f>
        <v>0</v>
      </c>
      <c r="CI28" s="170">
        <f>+SUMIF('BS-Details'!$A:$A,CI$7&amp;" - "&amp;$C28,'BS-Details'!$J:$J)</f>
        <v>0</v>
      </c>
      <c r="CJ28" s="170">
        <f>+SUMIF('BS-Details'!$A:$A,CJ$7&amp;" - "&amp;$C28,'BS-Details'!$J:$J)</f>
        <v>0</v>
      </c>
      <c r="CK28" s="170">
        <f>+SUMIF('BS-Details'!$A:$A,CK$7&amp;" - "&amp;$C28,'BS-Details'!$J:$J)</f>
        <v>0</v>
      </c>
      <c r="CL28" s="170">
        <f>+SUMIF('BS-Details'!$A:$A,CL$7&amp;" - "&amp;$C28,'BS-Details'!$J:$J)</f>
        <v>0</v>
      </c>
      <c r="CM28" s="170">
        <f>+SUMIF('BS-Details'!$A:$A,CM$7&amp;" - "&amp;$C28,'BS-Details'!$J:$J)</f>
        <v>0</v>
      </c>
      <c r="CN28" s="170">
        <f>+SUMIF('BS-Details'!$A:$A,CN$7&amp;" - "&amp;$C28,'BS-Details'!$J:$J)</f>
        <v>0</v>
      </c>
      <c r="CO28" s="170">
        <f>+SUMIF('BS-Details'!$A:$A,CO$7&amp;" - "&amp;$C28,'BS-Details'!$J:$J)</f>
        <v>0</v>
      </c>
      <c r="CP28" s="170"/>
      <c r="CQ28" s="178">
        <f t="shared" si="10"/>
        <v>0</v>
      </c>
      <c r="CR28" s="178">
        <f t="shared" si="11"/>
        <v>0</v>
      </c>
      <c r="CS28" s="178">
        <f t="shared" si="12"/>
        <v>0</v>
      </c>
      <c r="CT28" s="185">
        <f>+SUMIF('BS-Details'!$A:$A,CT$7&amp;" - "&amp;$C28,'BS-Details'!$J:$J)</f>
        <v>0</v>
      </c>
      <c r="CU28" s="170">
        <f>+SUMIF('BS-Details'!$A:$A,CU$7&amp;" - "&amp;$C28,'BS-Details'!$J:$J)</f>
        <v>0</v>
      </c>
      <c r="CV28" s="170">
        <f>+SUMIF('BS-Details'!$A:$A,CV$7&amp;" - "&amp;$C28,'BS-Details'!$J:$J)</f>
        <v>0</v>
      </c>
      <c r="CW28" s="189">
        <f>+SUMIF('BS-Details'!$A:$A,CW$7&amp;" - "&amp;$C28,'BS-Details'!$J:$J)</f>
        <v>0</v>
      </c>
      <c r="CX28" s="189">
        <f>+SUMIF('BS-Details'!$A:$A,CX$7&amp;" - "&amp;$C28,'BS-Details'!$J:$J)</f>
        <v>0</v>
      </c>
      <c r="CY28" s="189">
        <f t="shared" si="13"/>
        <v>0</v>
      </c>
      <c r="CZ28" s="178">
        <f>+SUMIF('BS-Details'!$A:$A,CZ$7&amp;" - "&amp;$C28,'BS-Details'!$J:$J)</f>
        <v>0</v>
      </c>
      <c r="DA28" s="178">
        <f>+SUMIF('BS-Details'!$A:$A,DA$7&amp;" - "&amp;$C28,'BS-Details'!$J:$J)</f>
        <v>0</v>
      </c>
      <c r="DB28" s="193"/>
    </row>
    <row r="29" spans="1:106" ht="15.75" customHeight="true">
      <c r="A29" s="161">
        <v>15</v>
      </c>
      <c r="B29" s="161" t="s">
        <v>13262</v>
      </c>
      <c r="C29" s="163" t="s">
        <v>13262</v>
      </c>
      <c r="D29" s="163" t="s">
        <v>13262</v>
      </c>
      <c r="E29" s="169">
        <f t="shared" si="2"/>
        <v>216628.22</v>
      </c>
      <c r="F29" s="169">
        <f t="shared" si="3"/>
        <v>1975886.61</v>
      </c>
      <c r="G29" s="170">
        <f>+SUMIF('BS-Details'!$A:$A,G$7&amp;" - "&amp;$C29,'BS-Details'!$J:$J)</f>
        <v>22500</v>
      </c>
      <c r="H29" s="170">
        <f>+SUMIF('BS-Details'!$A:$A,H$7&amp;" - "&amp;$C29,'BS-Details'!$J:$J)</f>
        <v>1400</v>
      </c>
      <c r="I29" s="170">
        <f>+SUMIF('BS-Details'!$A:$A,I$7&amp;" - "&amp;$C29,'BS-Details'!$J:$J)</f>
        <v>0</v>
      </c>
      <c r="J29" s="170">
        <f>+SUMIF('BS-Details'!$A:$A,J$7&amp;" - "&amp;$C29,'BS-Details'!$J:$J)</f>
        <v>1100</v>
      </c>
      <c r="K29" s="170">
        <f>+SUMIF('BS-Details'!$A:$A,K$7&amp;" - "&amp;$C29,'BS-Details'!$J:$J)</f>
        <v>0</v>
      </c>
      <c r="L29" s="178">
        <f t="shared" si="4"/>
        <v>25000</v>
      </c>
      <c r="M29" s="170">
        <f>+SUMIF('BS-Details'!$A:$A,M$7&amp;" - "&amp;$C29,'BS-Details'!$J:$J)</f>
        <v>0</v>
      </c>
      <c r="N29" s="170">
        <f>+SUMIF('BS-Details'!$A:$A,N$7&amp;" - "&amp;$C29,'BS-Details'!$J:$J)</f>
        <v>0</v>
      </c>
      <c r="O29" s="178">
        <f t="shared" si="5"/>
        <v>0</v>
      </c>
      <c r="P29" s="170">
        <f>+SUMIF('BS-Details'!$A:$A,P$7&amp;" - "&amp;$C29,'BS-Details'!$J:$J)</f>
        <v>0</v>
      </c>
      <c r="Q29" s="170">
        <f>+SUMIF('BS-Details'!$A:$A,Q$7&amp;" - "&amp;$C29,'BS-Details'!$J:$J)</f>
        <v>0</v>
      </c>
      <c r="R29" s="170">
        <f>+SUMIF('BS-Details'!$A:$A,R$7&amp;" - "&amp;$C29,'BS-Details'!$J:$J)</f>
        <v>0</v>
      </c>
      <c r="S29" s="170">
        <f>+SUMIF('BS-Details'!$A:$A,S$7&amp;" - "&amp;$C29,'BS-Details'!$J:$J)</f>
        <v>0</v>
      </c>
      <c r="T29" s="170">
        <f>+SUMIF('BS-Details'!$A:$A,T$7&amp;" - "&amp;$C29,'BS-Details'!$J:$J)</f>
        <v>0</v>
      </c>
      <c r="U29" s="170">
        <f>+SUMIF('BS-Details'!$A:$A,U$7&amp;" - "&amp;$C29,'BS-Details'!$J:$J)</f>
        <v>0</v>
      </c>
      <c r="V29" s="169">
        <f t="shared" si="6"/>
        <v>0</v>
      </c>
      <c r="W29" s="170">
        <f>+SUMIF('BS-Details'!$A:$A,W$7&amp;" - "&amp;$C29,'BS-Details'!$J:$J)</f>
        <v>0</v>
      </c>
      <c r="X29" s="170">
        <f>+SUMIF('BS-Details'!$A:$A,X$7&amp;" - "&amp;$C29,'BS-Details'!$J:$J)</f>
        <v>998461.54</v>
      </c>
      <c r="Y29" s="178">
        <f t="shared" si="7"/>
        <v>998461.54</v>
      </c>
      <c r="Z29" s="170">
        <f>+SUMIF('BS-Details'!$A:$A,Z$7&amp;" - "&amp;$C29,'BS-Details'!$J:$J)</f>
        <v>650000</v>
      </c>
      <c r="AA29" s="170">
        <f>+SUMIF('BS-Details'!$A:$A,AA$7&amp;" - "&amp;$C29,'BS-Details'!$J:$J)</f>
        <v>0</v>
      </c>
      <c r="AB29" s="178">
        <f t="shared" si="8"/>
        <v>650000</v>
      </c>
      <c r="AC29" s="170">
        <f>+SUMIF('BS-Details'!$A:$A,AC$7&amp;" - "&amp;$C29,'BS-Details'!$J:$J)</f>
        <v>50000</v>
      </c>
      <c r="AD29" s="170">
        <f>+SUMIF('BS-Details'!$A:$A,AD$7&amp;" - "&amp;$C29,'BS-Details'!$J:$J)</f>
        <v>0</v>
      </c>
      <c r="AE29" s="170">
        <f>+SUMIF('BS-Details'!$A:$A,AE$7&amp;" - "&amp;$C29,'BS-Details'!$J:$J)</f>
        <v>0</v>
      </c>
      <c r="AF29" s="170">
        <f>+SUMIF('BS-Details'!$A:$A,AF$7&amp;" - "&amp;$C29,'BS-Details'!$J:$J)</f>
        <v>0</v>
      </c>
      <c r="AG29" s="170">
        <f>+SUMIF('BS-Details'!$A:$A,AG$7&amp;" - "&amp;$C29,'BS-Details'!$J:$J)</f>
        <v>0</v>
      </c>
      <c r="AH29" s="170">
        <f>+SUMIF('BS-Details'!$A:$A,AH$7&amp;" - "&amp;$C29,'BS-Details'!$J:$J)</f>
        <v>0</v>
      </c>
      <c r="AI29" s="170">
        <f>+SUMIF('BS-Details'!$A:$A,AI$7&amp;" - "&amp;$C29,'BS-Details'!$J:$J)</f>
        <v>0</v>
      </c>
      <c r="AJ29" s="170">
        <f>+SUMIF('BS-Details'!$A:$A,AJ$7&amp;" - "&amp;$C29,'BS-Details'!$J:$J)</f>
        <v>0</v>
      </c>
      <c r="AK29" s="170">
        <f>+SUMIF('BS-Details'!$A:$A,AK$7&amp;" - "&amp;$C29,'BS-Details'!$J:$J)</f>
        <v>-10000</v>
      </c>
      <c r="AL29" s="178">
        <f t="shared" si="9"/>
        <v>-10000</v>
      </c>
      <c r="AM29" s="170">
        <f>+SUMIF('BS-Details'!$A:$A,AM$7&amp;" - "&amp;$C29,'BS-Details'!$J:$J)</f>
        <v>-18249.98</v>
      </c>
      <c r="AN29" s="170">
        <f>+SUMIF('BS-Details'!$A:$A,AN$7&amp;" - "&amp;$C29,'BS-Details'!$J:$J)</f>
        <v>0</v>
      </c>
      <c r="AO29" s="170">
        <f>+SUMIF('BS-Details'!$A:$A,AO$7&amp;" - "&amp;$C29,'BS-Details'!$J:$J)</f>
        <v>400000</v>
      </c>
      <c r="AP29" s="170">
        <f>+SUMIF('BS-Details'!$A:$A,AP$7&amp;" - "&amp;$C29,'BS-Details'!$J:$J)</f>
        <v>0</v>
      </c>
      <c r="AQ29" s="170">
        <f>+SUMIF('BS-Details'!$A:$A,AQ$7&amp;" - "&amp;$C29,'BS-Details'!$J:$J)</f>
        <v>-20000</v>
      </c>
      <c r="AR29" s="170">
        <f>+SUMIF('BS-Details'!$A:$A,AR$7&amp;" - "&amp;$C29,'BS-Details'!$J:$J)</f>
        <v>0</v>
      </c>
      <c r="AS29" s="170">
        <f>+SUMIF('BS-Details'!$A:$A,AS$7&amp;" - "&amp;$C29,'BS-Details'!$J:$J)</f>
        <v>0</v>
      </c>
      <c r="AT29" s="170">
        <f>+SUMIF('BS-Details'!$A:$A,AT$7&amp;" - "&amp;$C29,'BS-Details'!$J:$J)</f>
        <v>0</v>
      </c>
      <c r="AU29" s="170">
        <f>+SUMIF('BS-Details'!$A:$A,AU$7&amp;" - "&amp;$C29,'BS-Details'!$J:$J)</f>
        <v>14000</v>
      </c>
      <c r="AV29" s="170">
        <f>+SUMIF('BS-Details'!$A:$A,AV$7&amp;" - "&amp;$C29,'BS-Details'!$J:$J)</f>
        <v>0</v>
      </c>
      <c r="AW29" s="170">
        <f>+SUMIF('BS-Details'!$A:$A,AW$7&amp;" - "&amp;$C29,'BS-Details'!$J:$J)</f>
        <v>0</v>
      </c>
      <c r="AX29" s="170">
        <f>+SUMIF('BS-Details'!$A:$A,AX$7&amp;" - "&amp;$C29,'BS-Details'!$J:$J)</f>
        <v>0</v>
      </c>
      <c r="AY29" s="170">
        <f>+SUMIF('BS-Details'!$A:$A,AY$7&amp;" - "&amp;$C29,'BS-Details'!$J:$J)</f>
        <v>0</v>
      </c>
      <c r="AZ29" s="170">
        <f>+SUMIF('BS-Details'!$A:$A,AZ$7&amp;" - "&amp;$C29,'BS-Details'!$J:$J)</f>
        <v>0</v>
      </c>
      <c r="BA29" s="170">
        <f>+SUMIF('BS-Details'!$A:$A,BA$7&amp;" - "&amp;$C29,'BS-Details'!$J:$J)</f>
        <v>0</v>
      </c>
      <c r="BB29" s="170">
        <f>+SUMIF('BS-Details'!$A:$A,BB$7&amp;" - "&amp;$C29,'BS-Details'!$J:$J)</f>
        <v>0</v>
      </c>
      <c r="BC29" s="170">
        <f>+SUMIF('BS-Details'!$A:$A,BC$7&amp;" - "&amp;$C29,'BS-Details'!$J:$J)</f>
        <v>0</v>
      </c>
      <c r="BD29" s="170">
        <f>+SUMIF('BS-Details'!$A:$A,BD$7&amp;" - "&amp;$C29,'BS-Details'!$J:$J)</f>
        <v>0</v>
      </c>
      <c r="BE29" s="170">
        <f>+SUMIF('BS-Details'!$A:$A,BE$7&amp;" - "&amp;$C29,'BS-Details'!$J:$J)</f>
        <v>0</v>
      </c>
      <c r="BF29" s="170">
        <f>+SUMIF('BS-Details'!$A:$A,BF$7&amp;" - "&amp;$C29,'BS-Details'!$J:$J)</f>
        <v>0</v>
      </c>
      <c r="BG29" s="170">
        <f>+SUMIF('BS-Details'!$A:$A,BG$7&amp;" - "&amp;$C29,'BS-Details'!$J:$J)</f>
        <v>0</v>
      </c>
      <c r="BH29" s="170">
        <f>+SUMIF('BS-Details'!$A:$A,BH$7&amp;" - "&amp;$C29,'BS-Details'!$J:$J)</f>
        <v>0</v>
      </c>
      <c r="BI29" s="170">
        <f>+SUMIF('BS-Details'!$A:$A,BI$7&amp;" - "&amp;$C29,'BS-Details'!$J:$J)</f>
        <v>0</v>
      </c>
      <c r="BJ29" s="170">
        <f>+SUMIF('BS-Details'!$A:$A,BJ$7&amp;" - "&amp;$C29,'BS-Details'!$J:$J)</f>
        <v>0</v>
      </c>
      <c r="BK29" s="170">
        <f>+SUMIF('BS-Details'!$A:$A,BK$7&amp;" - "&amp;$C29,'BS-Details'!$J:$J)</f>
        <v>-5000</v>
      </c>
      <c r="BL29" s="170">
        <f>+SUMIF('BS-Details'!$A:$A,BL$7&amp;" - "&amp;$C29,'BS-Details'!$J:$J)</f>
        <v>0</v>
      </c>
      <c r="BM29" s="170">
        <f>+SUMIF('BS-Details'!$A:$A,BM$7&amp;" - "&amp;$C29,'BS-Details'!$J:$J)</f>
        <v>0</v>
      </c>
      <c r="BN29" s="170">
        <f>+SUMIF('BS-Details'!$A:$A,BN$7&amp;" - "&amp;$C29,'BS-Details'!$J:$J)</f>
        <v>0</v>
      </c>
      <c r="BO29" s="170">
        <f>+SUMIF('BS-Details'!$A:$A,BO$7&amp;" - "&amp;$C29,'BS-Details'!$J:$J)</f>
        <v>0</v>
      </c>
      <c r="BP29" s="170">
        <f>+SUMIF('BS-Details'!$A:$A,BP$7&amp;" - "&amp;$C29,'BS-Details'!$J:$J)</f>
        <v>0</v>
      </c>
      <c r="BQ29" s="170">
        <f>+SUMIF('BS-Details'!$A:$A,BQ$7&amp;" - "&amp;$C29,'BS-Details'!$J:$J)</f>
        <v>0</v>
      </c>
      <c r="BR29" s="170">
        <f>+SUMIF('BS-Details'!$A:$A,BR$7&amp;" - "&amp;$C29,'BS-Details'!$J:$J)</f>
        <v>-50000</v>
      </c>
      <c r="BS29" s="170">
        <f>+SUMIF('BS-Details'!$A:$A,BS$7&amp;" - "&amp;$C29,'BS-Details'!$J:$J)</f>
        <v>0</v>
      </c>
      <c r="BT29" s="170">
        <f>+SUMIF('BS-Details'!$A:$A,BT$7&amp;" - "&amp;$C29,'BS-Details'!$J:$J)</f>
        <v>0</v>
      </c>
      <c r="BU29" s="170">
        <f>+SUMIF('BS-Details'!$A:$A,BU$7&amp;" - "&amp;$C29,'BS-Details'!$J:$J)</f>
        <v>0</v>
      </c>
      <c r="BV29" s="170">
        <f>+SUMIF('BS-Details'!$A:$A,BV$7&amp;" - "&amp;$C29,'BS-Details'!$J:$J)</f>
        <v>0</v>
      </c>
      <c r="BW29" s="170">
        <f>+SUMIF('BS-Details'!$A:$A,BW$7&amp;" - "&amp;$C29,'BS-Details'!$J:$J)</f>
        <v>0</v>
      </c>
      <c r="BX29" s="170">
        <f>+SUMIF('BS-Details'!$A:$A,BX$7&amp;" - "&amp;$C29,'BS-Details'!$J:$J)</f>
        <v>0</v>
      </c>
      <c r="BY29" s="170">
        <f>+SUMIF('BS-Details'!$A:$A,BY$7&amp;" - "&amp;$C29,'BS-Details'!$J:$J)</f>
        <v>0</v>
      </c>
      <c r="BZ29" s="170">
        <f>+SUMIF('BS-Details'!$A:$A,BZ$7&amp;" - "&amp;$C29,'BS-Details'!$J:$J)</f>
        <v>5916.66</v>
      </c>
      <c r="CA29" s="170">
        <f>+SUMIF('BS-Details'!$A:$A,CA$7&amp;" - "&amp;$C29,'BS-Details'!$J:$J)</f>
        <v>-60000</v>
      </c>
      <c r="CB29" s="170">
        <f>+SUMIF('BS-Details'!$A:$A,CB$7&amp;" - "&amp;$C29,'BS-Details'!$J:$J)</f>
        <v>-5000</v>
      </c>
      <c r="CC29" s="170">
        <f>+SUMIF('BS-Details'!$A:$A,CC$7&amp;" - "&amp;$C29,'BS-Details'!$J:$J)</f>
        <v>0</v>
      </c>
      <c r="CD29" s="170">
        <f>+SUMIF('BS-Details'!$A:$A,CD$7&amp;" - "&amp;$C29,'BS-Details'!$J:$J)</f>
        <v>0</v>
      </c>
      <c r="CE29" s="170">
        <f>+SUMIF('BS-Details'!$A:$A,CE$7&amp;" - "&amp;$C29,'BS-Details'!$J:$J)</f>
        <v>0</v>
      </c>
      <c r="CF29" s="170">
        <f>+SUMIF('BS-Details'!$A:$A,CF$7&amp;" - "&amp;$C29,'BS-Details'!$J:$J)</f>
        <v>758.39</v>
      </c>
      <c r="CG29" s="170">
        <f>+SUMIF('BS-Details'!$A:$A,CG$7&amp;" - "&amp;$C29,'BS-Details'!$J:$J)</f>
        <v>0</v>
      </c>
      <c r="CH29" s="170">
        <f>+SUMIF('BS-Details'!$A:$A,CH$7&amp;" - "&amp;$C29,'BS-Details'!$J:$J)</f>
        <v>0</v>
      </c>
      <c r="CI29" s="170">
        <f>+SUMIF('BS-Details'!$A:$A,CI$7&amp;" - "&amp;$C29,'BS-Details'!$J:$J)</f>
        <v>0</v>
      </c>
      <c r="CJ29" s="182">
        <f>+SUMIF('BS-Details'!$A:$A,CJ$7&amp;" - "&amp;$C29,'BS-Details'!$J:$J)</f>
        <v>0</v>
      </c>
      <c r="CK29" s="182">
        <f>+SUMIF('BS-Details'!$A:$A,CK$7&amp;" - "&amp;$C29,'BS-Details'!$J:$J)</f>
        <v>0</v>
      </c>
      <c r="CL29" s="182">
        <f>+SUMIF('BS-Details'!$A:$A,CL$7&amp;" - "&amp;$C29,'BS-Details'!$J:$J)</f>
        <v>0</v>
      </c>
      <c r="CM29" s="182">
        <f>+SUMIF('BS-Details'!$A:$A,CM$7&amp;" - "&amp;$C29,'BS-Details'!$J:$J)</f>
        <v>0</v>
      </c>
      <c r="CN29" s="182">
        <f>+SUMIF('BS-Details'!$A:$A,CN$7&amp;" - "&amp;$C29,'BS-Details'!$J:$J)</f>
        <v>0</v>
      </c>
      <c r="CO29" s="182">
        <f>+SUMIF('BS-Details'!$A:$A,CO$7&amp;" - "&amp;$C29,'BS-Details'!$J:$J)</f>
        <v>0</v>
      </c>
      <c r="CP29" s="170"/>
      <c r="CQ29" s="178">
        <f t="shared" si="10"/>
        <v>262425.07</v>
      </c>
      <c r="CR29" s="178">
        <f t="shared" si="11"/>
        <v>252425.07</v>
      </c>
      <c r="CS29" s="178">
        <f t="shared" si="12"/>
        <v>-130000</v>
      </c>
      <c r="CT29" s="185">
        <f>+SUMIF('BS-Details'!$A:$A,CT$7&amp;" - "&amp;$C29,'BS-Details'!$J:$J)</f>
        <v>0</v>
      </c>
      <c r="CU29" s="170">
        <f>+SUMIF('BS-Details'!$A:$A,CU$7&amp;" - "&amp;$C29,'BS-Details'!$J:$J)</f>
        <v>-90000</v>
      </c>
      <c r="CV29" s="170">
        <f>+SUMIF('BS-Details'!$A:$A,CV$7&amp;" - "&amp;$C29,'BS-Details'!$J:$J)</f>
        <v>-40000</v>
      </c>
      <c r="CW29" s="189">
        <f>+SUMIF('BS-Details'!$A:$A,CW$7&amp;" - "&amp;$C29,'BS-Details'!$J:$J)</f>
        <v>0</v>
      </c>
      <c r="CX29" s="189">
        <f>+SUMIF('BS-Details'!$A:$A,CX$7&amp;" - "&amp;$C29,'BS-Details'!$J:$J)</f>
        <v>0</v>
      </c>
      <c r="CY29" s="189">
        <f t="shared" si="13"/>
        <v>-130000</v>
      </c>
      <c r="CZ29" s="178">
        <f>+SUMIF('BS-Details'!$A:$A,CZ$7&amp;" - "&amp;$C29,'BS-Details'!$J:$J)</f>
        <v>0</v>
      </c>
      <c r="DA29" s="178">
        <f>+SUMIF('BS-Details'!$A:$A,DA$7&amp;" - "&amp;$C29,'BS-Details'!$J:$J)</f>
        <v>-1629258.39</v>
      </c>
      <c r="DB29" s="193"/>
    </row>
    <row r="30" spans="1:106" ht="15.75" customHeight="true">
      <c r="A30" s="161">
        <v>16</v>
      </c>
      <c r="B30" s="161" t="s">
        <v>13888</v>
      </c>
      <c r="C30" s="163" t="s">
        <v>13889</v>
      </c>
      <c r="D30" s="163" t="s">
        <v>13889</v>
      </c>
      <c r="E30" s="169">
        <f t="shared" si="2"/>
        <v>0</v>
      </c>
      <c r="F30" s="169">
        <f t="shared" si="3"/>
        <v>-252000</v>
      </c>
      <c r="G30" s="170">
        <f>+SUMIF('BS-Details'!$A:$A,G$7&amp;" - "&amp;$C30,'BS-Details'!$J:$J)</f>
        <v>0</v>
      </c>
      <c r="H30" s="170">
        <f>+SUMIF('BS-Details'!$A:$A,H$7&amp;" - "&amp;$C30,'BS-Details'!$J:$J)</f>
        <v>0</v>
      </c>
      <c r="I30" s="170">
        <f>+SUMIF('BS-Details'!$A:$A,I$7&amp;" - "&amp;$C30,'BS-Details'!$J:$J)</f>
        <v>0</v>
      </c>
      <c r="J30" s="170">
        <f>+SUMIF('BS-Details'!$A:$A,J$7&amp;" - "&amp;$C30,'BS-Details'!$J:$J)</f>
        <v>0</v>
      </c>
      <c r="K30" s="170">
        <f>+SUMIF('BS-Details'!$A:$A,K$7&amp;" - "&amp;$C30,'BS-Details'!$J:$J)</f>
        <v>0</v>
      </c>
      <c r="L30" s="178">
        <f t="shared" si="4"/>
        <v>0</v>
      </c>
      <c r="M30" s="170">
        <f>+SUMIF('BS-Details'!$A:$A,M$7&amp;" - "&amp;$C30,'BS-Details'!$J:$J)</f>
        <v>0</v>
      </c>
      <c r="N30" s="170">
        <f>+SUMIF('BS-Details'!$A:$A,N$7&amp;" - "&amp;$C30,'BS-Details'!$J:$J)</f>
        <v>0</v>
      </c>
      <c r="O30" s="178">
        <f t="shared" si="5"/>
        <v>0</v>
      </c>
      <c r="P30" s="170">
        <f>+SUMIF('BS-Details'!$A:$A,P$7&amp;" - "&amp;$C30,'BS-Details'!$J:$J)</f>
        <v>0</v>
      </c>
      <c r="Q30" s="170">
        <f>+SUMIF('BS-Details'!$A:$A,Q$7&amp;" - "&amp;$C30,'BS-Details'!$J:$J)</f>
        <v>0</v>
      </c>
      <c r="R30" s="170">
        <f>+SUMIF('BS-Details'!$A:$A,R$7&amp;" - "&amp;$C30,'BS-Details'!$J:$J)</f>
        <v>0</v>
      </c>
      <c r="S30" s="170">
        <f>+SUMIF('BS-Details'!$A:$A,S$7&amp;" - "&amp;$C30,'BS-Details'!$J:$J)</f>
        <v>0</v>
      </c>
      <c r="T30" s="170">
        <f>+SUMIF('BS-Details'!$A:$A,T$7&amp;" - "&amp;$C30,'BS-Details'!$J:$J)</f>
        <v>0</v>
      </c>
      <c r="U30" s="170">
        <f>+SUMIF('BS-Details'!$A:$A,U$7&amp;" - "&amp;$C30,'BS-Details'!$J:$J)</f>
        <v>0</v>
      </c>
      <c r="V30" s="169">
        <f t="shared" si="6"/>
        <v>0</v>
      </c>
      <c r="W30" s="170">
        <f>+SUMIF('BS-Details'!$A:$A,W$7&amp;" - "&amp;$C30,'BS-Details'!$J:$J)</f>
        <v>0</v>
      </c>
      <c r="X30" s="170">
        <f>+SUMIF('BS-Details'!$A:$A,X$7&amp;" - "&amp;$C30,'BS-Details'!$J:$J)</f>
        <v>0</v>
      </c>
      <c r="Y30" s="178">
        <f t="shared" si="7"/>
        <v>0</v>
      </c>
      <c r="Z30" s="170">
        <f>+SUMIF('BS-Details'!$A:$A,Z$7&amp;" - "&amp;$C30,'BS-Details'!$J:$J)</f>
        <v>0</v>
      </c>
      <c r="AA30" s="170">
        <f>+SUMIF('BS-Details'!$A:$A,AA$7&amp;" - "&amp;$C30,'BS-Details'!$J:$J)</f>
        <v>0</v>
      </c>
      <c r="AB30" s="178">
        <f t="shared" si="8"/>
        <v>0</v>
      </c>
      <c r="AC30" s="170">
        <f>+SUMIF('BS-Details'!$A:$A,AC$7&amp;" - "&amp;$C30,'BS-Details'!$J:$J)</f>
        <v>0</v>
      </c>
      <c r="AD30" s="170">
        <f>+SUMIF('BS-Details'!$A:$A,AD$7&amp;" - "&amp;$C30,'BS-Details'!$J:$J)</f>
        <v>0</v>
      </c>
      <c r="AE30" s="170">
        <f>+SUMIF('BS-Details'!$A:$A,AE$7&amp;" - "&amp;$C30,'BS-Details'!$J:$J)</f>
        <v>0</v>
      </c>
      <c r="AF30" s="170">
        <f>+SUMIF('BS-Details'!$A:$A,AF$7&amp;" - "&amp;$C30,'BS-Details'!$J:$J)</f>
        <v>0</v>
      </c>
      <c r="AG30" s="170">
        <f>+SUMIF('BS-Details'!$A:$A,AG$7&amp;" - "&amp;$C30,'BS-Details'!$J:$J)</f>
        <v>0</v>
      </c>
      <c r="AH30" s="170">
        <f>+SUMIF('BS-Details'!$A:$A,AH$7&amp;" - "&amp;$C30,'BS-Details'!$J:$J)</f>
        <v>0</v>
      </c>
      <c r="AI30" s="170">
        <f>+SUMIF('BS-Details'!$A:$A,AI$7&amp;" - "&amp;$C30,'BS-Details'!$J:$J)</f>
        <v>0</v>
      </c>
      <c r="AJ30" s="170">
        <f>+SUMIF('BS-Details'!$A:$A,AJ$7&amp;" - "&amp;$C30,'BS-Details'!$J:$J)</f>
        <v>0</v>
      </c>
      <c r="AK30" s="170">
        <f>+SUMIF('BS-Details'!$A:$A,AK$7&amp;" - "&amp;$C30,'BS-Details'!$J:$J)</f>
        <v>0</v>
      </c>
      <c r="AL30" s="178">
        <f t="shared" si="9"/>
        <v>0</v>
      </c>
      <c r="AM30" s="170">
        <f>+SUMIF('BS-Details'!$A:$A,AM$7&amp;" - "&amp;$C30,'BS-Details'!$J:$J)</f>
        <v>0</v>
      </c>
      <c r="AN30" s="170">
        <f>+SUMIF('BS-Details'!$A:$A,AN$7&amp;" - "&amp;$C30,'BS-Details'!$J:$J)</f>
        <v>0</v>
      </c>
      <c r="AO30" s="170">
        <f>+SUMIF('BS-Details'!$A:$A,AO$7&amp;" - "&amp;$C30,'BS-Details'!$J:$J)</f>
        <v>0</v>
      </c>
      <c r="AP30" s="170">
        <f>+SUMIF('BS-Details'!$A:$A,AP$7&amp;" - "&amp;$C30,'BS-Details'!$J:$J)</f>
        <v>0</v>
      </c>
      <c r="AQ30" s="170">
        <f>+SUMIF('BS-Details'!$A:$A,AQ$7&amp;" - "&amp;$C30,'BS-Details'!$J:$J)</f>
        <v>0</v>
      </c>
      <c r="AR30" s="170">
        <f>+SUMIF('BS-Details'!$A:$A,AR$7&amp;" - "&amp;$C30,'BS-Details'!$J:$J)</f>
        <v>0</v>
      </c>
      <c r="AS30" s="170">
        <f>+SUMIF('BS-Details'!$A:$A,AS$7&amp;" - "&amp;$C30,'BS-Details'!$J:$J)</f>
        <v>0</v>
      </c>
      <c r="AT30" s="170">
        <f>+SUMIF('BS-Details'!$A:$A,AT$7&amp;" - "&amp;$C30,'BS-Details'!$J:$J)</f>
        <v>0</v>
      </c>
      <c r="AU30" s="170">
        <f>+SUMIF('BS-Details'!$A:$A,AU$7&amp;" - "&amp;$C30,'BS-Details'!$J:$J)</f>
        <v>0</v>
      </c>
      <c r="AV30" s="170">
        <f>+SUMIF('BS-Details'!$A:$A,AV$7&amp;" - "&amp;$C30,'BS-Details'!$J:$J)</f>
        <v>0</v>
      </c>
      <c r="AW30" s="170">
        <f>+SUMIF('BS-Details'!$A:$A,AW$7&amp;" - "&amp;$C30,'BS-Details'!$J:$J)</f>
        <v>0</v>
      </c>
      <c r="AX30" s="170">
        <f>+SUMIF('BS-Details'!$A:$A,AX$7&amp;" - "&amp;$C30,'BS-Details'!$J:$J)</f>
        <v>0</v>
      </c>
      <c r="AY30" s="170">
        <f>+SUMIF('BS-Details'!$A:$A,AY$7&amp;" - "&amp;$C30,'BS-Details'!$J:$J)</f>
        <v>0</v>
      </c>
      <c r="AZ30" s="170">
        <f>+SUMIF('BS-Details'!$A:$A,AZ$7&amp;" - "&amp;$C30,'BS-Details'!$J:$J)</f>
        <v>0</v>
      </c>
      <c r="BA30" s="170">
        <f>+SUMIF('BS-Details'!$A:$A,BA$7&amp;" - "&amp;$C30,'BS-Details'!$J:$J)</f>
        <v>0</v>
      </c>
      <c r="BB30" s="170">
        <f>+SUMIF('BS-Details'!$A:$A,BB$7&amp;" - "&amp;$C30,'BS-Details'!$J:$J)</f>
        <v>0</v>
      </c>
      <c r="BC30" s="170">
        <f>+SUMIF('BS-Details'!$A:$A,BC$7&amp;" - "&amp;$C30,'BS-Details'!$J:$J)</f>
        <v>0</v>
      </c>
      <c r="BD30" s="170">
        <f>+SUMIF('BS-Details'!$A:$A,BD$7&amp;" - "&amp;$C30,'BS-Details'!$J:$J)</f>
        <v>0</v>
      </c>
      <c r="BE30" s="170">
        <f>+SUMIF('BS-Details'!$A:$A,BE$7&amp;" - "&amp;$C30,'BS-Details'!$J:$J)</f>
        <v>0</v>
      </c>
      <c r="BF30" s="170">
        <f>+SUMIF('BS-Details'!$A:$A,BF$7&amp;" - "&amp;$C30,'BS-Details'!$J:$J)</f>
        <v>0</v>
      </c>
      <c r="BG30" s="170">
        <f>+SUMIF('BS-Details'!$A:$A,BG$7&amp;" - "&amp;$C30,'BS-Details'!$J:$J)</f>
        <v>0</v>
      </c>
      <c r="BH30" s="170">
        <f>+SUMIF('BS-Details'!$A:$A,BH$7&amp;" - "&amp;$C30,'BS-Details'!$J:$J)</f>
        <v>0</v>
      </c>
      <c r="BI30" s="170">
        <f>+SUMIF('BS-Details'!$A:$A,BI$7&amp;" - "&amp;$C30,'BS-Details'!$J:$J)</f>
        <v>0</v>
      </c>
      <c r="BJ30" s="170">
        <f>+SUMIF('BS-Details'!$A:$A,BJ$7&amp;" - "&amp;$C30,'BS-Details'!$J:$J)</f>
        <v>0</v>
      </c>
      <c r="BK30" s="170">
        <f>+SUMIF('BS-Details'!$A:$A,BK$7&amp;" - "&amp;$C30,'BS-Details'!$J:$J)</f>
        <v>0</v>
      </c>
      <c r="BL30" s="170">
        <f>+SUMIF('BS-Details'!$A:$A,BL$7&amp;" - "&amp;$C30,'BS-Details'!$J:$J)</f>
        <v>0</v>
      </c>
      <c r="BM30" s="170">
        <f>+SUMIF('BS-Details'!$A:$A,BM$7&amp;" - "&amp;$C30,'BS-Details'!$J:$J)</f>
        <v>0</v>
      </c>
      <c r="BN30" s="170">
        <f>+SUMIF('BS-Details'!$A:$A,BN$7&amp;" - "&amp;$C30,'BS-Details'!$J:$J)</f>
        <v>0</v>
      </c>
      <c r="BO30" s="170">
        <f>+SUMIF('BS-Details'!$A:$A,BO$7&amp;" - "&amp;$C30,'BS-Details'!$J:$J)</f>
        <v>0</v>
      </c>
      <c r="BP30" s="170">
        <f>+SUMIF('BS-Details'!$A:$A,BP$7&amp;" - "&amp;$C30,'BS-Details'!$J:$J)</f>
        <v>0</v>
      </c>
      <c r="BQ30" s="170">
        <f>+SUMIF('BS-Details'!$A:$A,BQ$7&amp;" - "&amp;$C30,'BS-Details'!$J:$J)</f>
        <v>0</v>
      </c>
      <c r="BR30" s="170">
        <f>+SUMIF('BS-Details'!$A:$A,BR$7&amp;" - "&amp;$C30,'BS-Details'!$J:$J)</f>
        <v>0</v>
      </c>
      <c r="BS30" s="170">
        <f>+SUMIF('BS-Details'!$A:$A,BS$7&amp;" - "&amp;$C30,'BS-Details'!$J:$J)</f>
        <v>0</v>
      </c>
      <c r="BT30" s="170">
        <f>+SUMIF('BS-Details'!$A:$A,BT$7&amp;" - "&amp;$C30,'BS-Details'!$J:$J)</f>
        <v>0</v>
      </c>
      <c r="BU30" s="170">
        <f>+SUMIF('BS-Details'!$A:$A,BU$7&amp;" - "&amp;$C30,'BS-Details'!$J:$J)</f>
        <v>0</v>
      </c>
      <c r="BV30" s="170">
        <f>+SUMIF('BS-Details'!$A:$A,BV$7&amp;" - "&amp;$C30,'BS-Details'!$J:$J)</f>
        <v>0</v>
      </c>
      <c r="BW30" s="170">
        <f>+SUMIF('BS-Details'!$A:$A,BW$7&amp;" - "&amp;$C30,'BS-Details'!$J:$J)</f>
        <v>0</v>
      </c>
      <c r="BX30" s="170">
        <f>+SUMIF('BS-Details'!$A:$A,BX$7&amp;" - "&amp;$C30,'BS-Details'!$J:$J)</f>
        <v>0</v>
      </c>
      <c r="BY30" s="170">
        <f>+SUMIF('BS-Details'!$A:$A,BY$7&amp;" - "&amp;$C30,'BS-Details'!$J:$J)</f>
        <v>0</v>
      </c>
      <c r="BZ30" s="170">
        <f>+SUMIF('BS-Details'!$A:$A,BZ$7&amp;" - "&amp;$C30,'BS-Details'!$J:$J)</f>
        <v>-5000</v>
      </c>
      <c r="CA30" s="170">
        <f>+SUMIF('BS-Details'!$A:$A,CA$7&amp;" - "&amp;$C30,'BS-Details'!$J:$J)</f>
        <v>0</v>
      </c>
      <c r="CB30" s="170">
        <f>+SUMIF('BS-Details'!$A:$A,CB$7&amp;" - "&amp;$C30,'BS-Details'!$J:$J)</f>
        <v>0</v>
      </c>
      <c r="CC30" s="170">
        <f>+SUMIF('BS-Details'!$A:$A,CC$7&amp;" - "&amp;$C30,'BS-Details'!$J:$J)</f>
        <v>0</v>
      </c>
      <c r="CD30" s="170">
        <f>+SUMIF('BS-Details'!$A:$A,CD$7&amp;" - "&amp;$C30,'BS-Details'!$J:$J)</f>
        <v>0</v>
      </c>
      <c r="CE30" s="170">
        <f>+SUMIF('BS-Details'!$A:$A,CE$7&amp;" - "&amp;$C30,'BS-Details'!$J:$J)</f>
        <v>-35000</v>
      </c>
      <c r="CF30" s="170">
        <f>+SUMIF('BS-Details'!$A:$A,CF$7&amp;" - "&amp;$C30,'BS-Details'!$J:$J)</f>
        <v>0</v>
      </c>
      <c r="CG30" s="170">
        <f>+SUMIF('BS-Details'!$A:$A,CG$7&amp;" - "&amp;$C30,'BS-Details'!$J:$J)</f>
        <v>0</v>
      </c>
      <c r="CH30" s="170">
        <f>+SUMIF('BS-Details'!$A:$A,CH$7&amp;" - "&amp;$C30,'BS-Details'!$J:$J)</f>
        <v>-35000</v>
      </c>
      <c r="CI30" s="170">
        <f>+SUMIF('BS-Details'!$A:$A,CI$7&amp;" - "&amp;$C30,'BS-Details'!$J:$J)</f>
        <v>-27000</v>
      </c>
      <c r="CJ30" s="170">
        <f>+SUMIF('BS-Details'!$A:$A,CJ$7&amp;" - "&amp;$C30,'BS-Details'!$J:$J)</f>
        <v>-63000</v>
      </c>
      <c r="CK30" s="170">
        <f>+SUMIF('BS-Details'!$A:$A,CK$7&amp;" - "&amp;$C30,'BS-Details'!$J:$J)</f>
        <v>-5000</v>
      </c>
      <c r="CL30" s="170">
        <f>+SUMIF('BS-Details'!$A:$A,CL$7&amp;" - "&amp;$C30,'BS-Details'!$J:$J)</f>
        <v>-17000</v>
      </c>
      <c r="CM30" s="170">
        <f>+SUMIF('BS-Details'!$A:$A,CM$7&amp;" - "&amp;$C30,'BS-Details'!$J:$J)</f>
        <v>-65000</v>
      </c>
      <c r="CN30" s="170">
        <f>+SUMIF('BS-Details'!$A:$A,CN$7&amp;" - "&amp;$C30,'BS-Details'!$J:$J)</f>
        <v>0</v>
      </c>
      <c r="CO30" s="170">
        <f>+SUMIF('BS-Details'!$A:$A,CO$7&amp;" - "&amp;$C30,'BS-Details'!$J:$J)</f>
        <v>0</v>
      </c>
      <c r="CP30" s="170"/>
      <c r="CQ30" s="178">
        <f t="shared" si="10"/>
        <v>-252000</v>
      </c>
      <c r="CR30" s="178">
        <f t="shared" si="11"/>
        <v>-252000</v>
      </c>
      <c r="CS30" s="178">
        <f t="shared" si="12"/>
        <v>0</v>
      </c>
      <c r="CT30" s="185">
        <f>+SUMIF('BS-Details'!$A:$A,CT$7&amp;" - "&amp;$C30,'BS-Details'!$J:$J)</f>
        <v>0</v>
      </c>
      <c r="CU30" s="170">
        <f>+SUMIF('BS-Details'!$A:$A,CU$7&amp;" - "&amp;$C30,'BS-Details'!$J:$J)</f>
        <v>0</v>
      </c>
      <c r="CV30" s="170">
        <f>+SUMIF('BS-Details'!$A:$A,CV$7&amp;" - "&amp;$C30,'BS-Details'!$J:$J)</f>
        <v>0</v>
      </c>
      <c r="CW30" s="189">
        <f>+SUMIF('BS-Details'!$A:$A,CW$7&amp;" - "&amp;$C30,'BS-Details'!$J:$J)</f>
        <v>0</v>
      </c>
      <c r="CX30" s="189">
        <f>+SUMIF('BS-Details'!$A:$A,CX$7&amp;" - "&amp;$C30,'BS-Details'!$J:$J)</f>
        <v>0</v>
      </c>
      <c r="CY30" s="189">
        <f t="shared" si="13"/>
        <v>0</v>
      </c>
      <c r="CZ30" s="178">
        <f>+SUMIF('BS-Details'!$A:$A,CZ$7&amp;" - "&amp;$C30,'BS-Details'!$J:$J)</f>
        <v>0</v>
      </c>
      <c r="DA30" s="178">
        <f>+SUMIF('BS-Details'!$A:$A,DA$7&amp;" - "&amp;$C30,'BS-Details'!$J:$J)</f>
        <v>252000</v>
      </c>
      <c r="DB30" s="193"/>
    </row>
    <row r="31" spans="1:106" ht="15.75" customHeight="true">
      <c r="A31" s="161">
        <v>17</v>
      </c>
      <c r="B31" s="161" t="s">
        <v>13890</v>
      </c>
      <c r="C31" s="163" t="s">
        <v>234</v>
      </c>
      <c r="D31" s="163" t="s">
        <v>234</v>
      </c>
      <c r="E31" s="169">
        <f t="shared" si="2"/>
        <v>0</v>
      </c>
      <c r="F31" s="169">
        <f t="shared" si="3"/>
        <v>0</v>
      </c>
      <c r="G31" s="170">
        <f>+SUMIF('BS-Details'!$A:$A,G$7&amp;" - "&amp;$C31,'BS-Details'!$J:$J)</f>
        <v>0</v>
      </c>
      <c r="H31" s="170">
        <f>+SUMIF('BS-Details'!$A:$A,H$7&amp;" - "&amp;$C31,'BS-Details'!$J:$J)</f>
        <v>0</v>
      </c>
      <c r="I31" s="170">
        <f>+SUMIF('BS-Details'!$A:$A,I$7&amp;" - "&amp;$C31,'BS-Details'!$J:$J)</f>
        <v>0</v>
      </c>
      <c r="J31" s="170">
        <f>+SUMIF('BS-Details'!$A:$A,J$7&amp;" - "&amp;$C31,'BS-Details'!$J:$J)</f>
        <v>0</v>
      </c>
      <c r="K31" s="170">
        <f>+SUMIF('BS-Details'!$A:$A,K$7&amp;" - "&amp;$C31,'BS-Details'!$J:$J)</f>
        <v>0</v>
      </c>
      <c r="L31" s="178">
        <f t="shared" si="4"/>
        <v>0</v>
      </c>
      <c r="M31" s="170">
        <f>+SUMIF('BS-Details'!$A:$A,M$7&amp;" - "&amp;$C31,'BS-Details'!$J:$J)</f>
        <v>0</v>
      </c>
      <c r="N31" s="170">
        <f>+SUMIF('BS-Details'!$A:$A,N$7&amp;" - "&amp;$C31,'BS-Details'!$J:$J)</f>
        <v>0</v>
      </c>
      <c r="O31" s="178">
        <f t="shared" si="5"/>
        <v>0</v>
      </c>
      <c r="P31" s="170">
        <f>+SUMIF('BS-Details'!$A:$A,P$7&amp;" - "&amp;$C31,'BS-Details'!$J:$J)</f>
        <v>0</v>
      </c>
      <c r="Q31" s="170">
        <f>+SUMIF('BS-Details'!$A:$A,Q$7&amp;" - "&amp;$C31,'BS-Details'!$J:$J)</f>
        <v>0</v>
      </c>
      <c r="R31" s="170">
        <f>+SUMIF('BS-Details'!$A:$A,R$7&amp;" - "&amp;$C31,'BS-Details'!$J:$J)</f>
        <v>0</v>
      </c>
      <c r="S31" s="170">
        <f>+SUMIF('BS-Details'!$A:$A,S$7&amp;" - "&amp;$C31,'BS-Details'!$J:$J)</f>
        <v>0</v>
      </c>
      <c r="T31" s="170">
        <f>+SUMIF('BS-Details'!$A:$A,T$7&amp;" - "&amp;$C31,'BS-Details'!$J:$J)</f>
        <v>0</v>
      </c>
      <c r="U31" s="170">
        <f>+SUMIF('BS-Details'!$A:$A,U$7&amp;" - "&amp;$C31,'BS-Details'!$J:$J)</f>
        <v>0</v>
      </c>
      <c r="V31" s="169">
        <f t="shared" si="6"/>
        <v>0</v>
      </c>
      <c r="W31" s="170">
        <f>+SUMIF('BS-Details'!$A:$A,W$7&amp;" - "&amp;$C31,'BS-Details'!$J:$J)</f>
        <v>0</v>
      </c>
      <c r="X31" s="170">
        <f>+SUMIF('BS-Details'!$A:$A,X$7&amp;" - "&amp;$C31,'BS-Details'!$J:$J)</f>
        <v>0</v>
      </c>
      <c r="Y31" s="178">
        <f t="shared" si="7"/>
        <v>0</v>
      </c>
      <c r="Z31" s="170">
        <f>+SUMIF('BS-Details'!$A:$A,Z$7&amp;" - "&amp;$C31,'BS-Details'!$J:$J)</f>
        <v>0</v>
      </c>
      <c r="AA31" s="170">
        <f>+SUMIF('BS-Details'!$A:$A,AA$7&amp;" - "&amp;$C31,'BS-Details'!$J:$J)</f>
        <v>0</v>
      </c>
      <c r="AB31" s="178">
        <f t="shared" si="8"/>
        <v>0</v>
      </c>
      <c r="AC31" s="170">
        <f>+SUMIF('BS-Details'!$A:$A,AC$7&amp;" - "&amp;$C31,'BS-Details'!$J:$J)</f>
        <v>0</v>
      </c>
      <c r="AD31" s="170">
        <f>+SUMIF('BS-Details'!$A:$A,AD$7&amp;" - "&amp;$C31,'BS-Details'!$J:$J)</f>
        <v>0</v>
      </c>
      <c r="AE31" s="170">
        <f>+SUMIF('BS-Details'!$A:$A,AE$7&amp;" - "&amp;$C31,'BS-Details'!$J:$J)</f>
        <v>0</v>
      </c>
      <c r="AF31" s="170">
        <f>+SUMIF('BS-Details'!$A:$A,AF$7&amp;" - "&amp;$C31,'BS-Details'!$J:$J)</f>
        <v>0</v>
      </c>
      <c r="AG31" s="170">
        <f>+SUMIF('BS-Details'!$A:$A,AG$7&amp;" - "&amp;$C31,'BS-Details'!$J:$J)</f>
        <v>0</v>
      </c>
      <c r="AH31" s="170">
        <f>+SUMIF('BS-Details'!$A:$A,AH$7&amp;" - "&amp;$C31,'BS-Details'!$J:$J)</f>
        <v>0</v>
      </c>
      <c r="AI31" s="170">
        <f>+SUMIF('BS-Details'!$A:$A,AI$7&amp;" - "&amp;$C31,'BS-Details'!$J:$J)</f>
        <v>0</v>
      </c>
      <c r="AJ31" s="170">
        <f>+SUMIF('BS-Details'!$A:$A,AJ$7&amp;" - "&amp;$C31,'BS-Details'!$J:$J)</f>
        <v>0</v>
      </c>
      <c r="AK31" s="170">
        <f>+SUMIF('BS-Details'!$A:$A,AK$7&amp;" - "&amp;$C31,'BS-Details'!$J:$J)</f>
        <v>0</v>
      </c>
      <c r="AL31" s="178">
        <f t="shared" si="9"/>
        <v>0</v>
      </c>
      <c r="AM31" s="170">
        <f>+SUMIF('BS-Details'!$A:$A,AM$7&amp;" - "&amp;$C31,'BS-Details'!$J:$J)</f>
        <v>0</v>
      </c>
      <c r="AN31" s="170">
        <f>+SUMIF('BS-Details'!$A:$A,AN$7&amp;" - "&amp;$C31,'BS-Details'!$J:$J)</f>
        <v>0</v>
      </c>
      <c r="AO31" s="170">
        <f>+SUMIF('BS-Details'!$A:$A,AO$7&amp;" - "&amp;$C31,'BS-Details'!$J:$J)</f>
        <v>0</v>
      </c>
      <c r="AP31" s="170">
        <f>+SUMIF('BS-Details'!$A:$A,AP$7&amp;" - "&amp;$C31,'BS-Details'!$J:$J)</f>
        <v>0</v>
      </c>
      <c r="AQ31" s="170">
        <f>+SUMIF('BS-Details'!$A:$A,AQ$7&amp;" - "&amp;$C31,'BS-Details'!$J:$J)</f>
        <v>0</v>
      </c>
      <c r="AR31" s="170">
        <f>+SUMIF('BS-Details'!$A:$A,AR$7&amp;" - "&amp;$C31,'BS-Details'!$J:$J)</f>
        <v>0</v>
      </c>
      <c r="AS31" s="170">
        <f>+SUMIF('BS-Details'!$A:$A,AS$7&amp;" - "&amp;$C31,'BS-Details'!$J:$J)</f>
        <v>0</v>
      </c>
      <c r="AT31" s="170">
        <f>+SUMIF('BS-Details'!$A:$A,AT$7&amp;" - "&amp;$C31,'BS-Details'!$J:$J)</f>
        <v>0</v>
      </c>
      <c r="AU31" s="170">
        <f>+SUMIF('BS-Details'!$A:$A,AU$7&amp;" - "&amp;$C31,'BS-Details'!$J:$J)</f>
        <v>0</v>
      </c>
      <c r="AV31" s="170">
        <f>+SUMIF('BS-Details'!$A:$A,AV$7&amp;" - "&amp;$C31,'BS-Details'!$J:$J)</f>
        <v>0</v>
      </c>
      <c r="AW31" s="170">
        <f>+SUMIF('BS-Details'!$A:$A,AW$7&amp;" - "&amp;$C31,'BS-Details'!$J:$J)</f>
        <v>0</v>
      </c>
      <c r="AX31" s="170">
        <f>+SUMIF('BS-Details'!$A:$A,AX$7&amp;" - "&amp;$C31,'BS-Details'!$J:$J)</f>
        <v>0</v>
      </c>
      <c r="AY31" s="170">
        <f>+SUMIF('BS-Details'!$A:$A,AY$7&amp;" - "&amp;$C31,'BS-Details'!$J:$J)</f>
        <v>0</v>
      </c>
      <c r="AZ31" s="170">
        <f>+SUMIF('BS-Details'!$A:$A,AZ$7&amp;" - "&amp;$C31,'BS-Details'!$J:$J)</f>
        <v>0</v>
      </c>
      <c r="BA31" s="170">
        <f>+SUMIF('BS-Details'!$A:$A,BA$7&amp;" - "&amp;$C31,'BS-Details'!$J:$J)</f>
        <v>0</v>
      </c>
      <c r="BB31" s="170">
        <f>+SUMIF('BS-Details'!$A:$A,BB$7&amp;" - "&amp;$C31,'BS-Details'!$J:$J)</f>
        <v>0</v>
      </c>
      <c r="BC31" s="170">
        <f>+SUMIF('BS-Details'!$A:$A,BC$7&amp;" - "&amp;$C31,'BS-Details'!$J:$J)</f>
        <v>0</v>
      </c>
      <c r="BD31" s="170">
        <f>+SUMIF('BS-Details'!$A:$A,BD$7&amp;" - "&amp;$C31,'BS-Details'!$J:$J)</f>
        <v>0</v>
      </c>
      <c r="BE31" s="170">
        <f>+SUMIF('BS-Details'!$A:$A,BE$7&amp;" - "&amp;$C31,'BS-Details'!$J:$J)</f>
        <v>0</v>
      </c>
      <c r="BF31" s="170">
        <f>+SUMIF('BS-Details'!$A:$A,BF$7&amp;" - "&amp;$C31,'BS-Details'!$J:$J)</f>
        <v>0</v>
      </c>
      <c r="BG31" s="170">
        <f>+SUMIF('BS-Details'!$A:$A,BG$7&amp;" - "&amp;$C31,'BS-Details'!$J:$J)</f>
        <v>0</v>
      </c>
      <c r="BH31" s="170">
        <f>+SUMIF('BS-Details'!$A:$A,BH$7&amp;" - "&amp;$C31,'BS-Details'!$J:$J)</f>
        <v>0</v>
      </c>
      <c r="BI31" s="170">
        <f>+SUMIF('BS-Details'!$A:$A,BI$7&amp;" - "&amp;$C31,'BS-Details'!$J:$J)</f>
        <v>0</v>
      </c>
      <c r="BJ31" s="170">
        <f>+SUMIF('BS-Details'!$A:$A,BJ$7&amp;" - "&amp;$C31,'BS-Details'!$J:$J)</f>
        <v>0</v>
      </c>
      <c r="BK31" s="170">
        <f>+SUMIF('BS-Details'!$A:$A,BK$7&amp;" - "&amp;$C31,'BS-Details'!$J:$J)</f>
        <v>0</v>
      </c>
      <c r="BL31" s="170">
        <f>+SUMIF('BS-Details'!$A:$A,BL$7&amp;" - "&amp;$C31,'BS-Details'!$J:$J)</f>
        <v>0</v>
      </c>
      <c r="BM31" s="170">
        <f>+SUMIF('BS-Details'!$A:$A,BM$7&amp;" - "&amp;$C31,'BS-Details'!$J:$J)</f>
        <v>0</v>
      </c>
      <c r="BN31" s="170">
        <f>+SUMIF('BS-Details'!$A:$A,BN$7&amp;" - "&amp;$C31,'BS-Details'!$J:$J)</f>
        <v>0</v>
      </c>
      <c r="BO31" s="170">
        <f>+SUMIF('BS-Details'!$A:$A,BO$7&amp;" - "&amp;$C31,'BS-Details'!$J:$J)</f>
        <v>0</v>
      </c>
      <c r="BP31" s="170">
        <f>+SUMIF('BS-Details'!$A:$A,BP$7&amp;" - "&amp;$C31,'BS-Details'!$J:$J)</f>
        <v>0</v>
      </c>
      <c r="BQ31" s="170">
        <f>+SUMIF('BS-Details'!$A:$A,BQ$7&amp;" - "&amp;$C31,'BS-Details'!$J:$J)</f>
        <v>0</v>
      </c>
      <c r="BR31" s="170">
        <f>+SUMIF('BS-Details'!$A:$A,BR$7&amp;" - "&amp;$C31,'BS-Details'!$J:$J)</f>
        <v>0</v>
      </c>
      <c r="BS31" s="170">
        <f>+SUMIF('BS-Details'!$A:$A,BS$7&amp;" - "&amp;$C31,'BS-Details'!$J:$J)</f>
        <v>0</v>
      </c>
      <c r="BT31" s="170">
        <f>+SUMIF('BS-Details'!$A:$A,BT$7&amp;" - "&amp;$C31,'BS-Details'!$J:$J)</f>
        <v>0</v>
      </c>
      <c r="BU31" s="170">
        <f>+SUMIF('BS-Details'!$A:$A,BU$7&amp;" - "&amp;$C31,'BS-Details'!$J:$J)</f>
        <v>0</v>
      </c>
      <c r="BV31" s="170">
        <f>+SUMIF('BS-Details'!$A:$A,BV$7&amp;" - "&amp;$C31,'BS-Details'!$J:$J)</f>
        <v>0</v>
      </c>
      <c r="BW31" s="170">
        <f>+SUMIF('BS-Details'!$A:$A,BW$7&amp;" - "&amp;$C31,'BS-Details'!$J:$J)</f>
        <v>0</v>
      </c>
      <c r="BX31" s="170">
        <f>+SUMIF('BS-Details'!$A:$A,BX$7&amp;" - "&amp;$C31,'BS-Details'!$J:$J)</f>
        <v>0</v>
      </c>
      <c r="BY31" s="170">
        <f>+SUMIF('BS-Details'!$A:$A,BY$7&amp;" - "&amp;$C31,'BS-Details'!$J:$J)</f>
        <v>0</v>
      </c>
      <c r="BZ31" s="170">
        <f>+SUMIF('BS-Details'!$A:$A,BZ$7&amp;" - "&amp;$C31,'BS-Details'!$J:$J)</f>
        <v>0</v>
      </c>
      <c r="CA31" s="170">
        <f>+SUMIF('BS-Details'!$A:$A,CA$7&amp;" - "&amp;$C31,'BS-Details'!$J:$J)</f>
        <v>0</v>
      </c>
      <c r="CB31" s="170">
        <f>+SUMIF('BS-Details'!$A:$A,CB$7&amp;" - "&amp;$C31,'BS-Details'!$J:$J)</f>
        <v>0</v>
      </c>
      <c r="CC31" s="170">
        <f>+SUMIF('BS-Details'!$A:$A,CC$7&amp;" - "&amp;$C31,'BS-Details'!$J:$J)</f>
        <v>0</v>
      </c>
      <c r="CD31" s="170">
        <f>+SUMIF('BS-Details'!$A:$A,CD$7&amp;" - "&amp;$C31,'BS-Details'!$J:$J)</f>
        <v>0</v>
      </c>
      <c r="CE31" s="170">
        <f>+SUMIF('BS-Details'!$A:$A,CE$7&amp;" - "&amp;$C31,'BS-Details'!$J:$J)</f>
        <v>0</v>
      </c>
      <c r="CF31" s="170">
        <f>+SUMIF('BS-Details'!$A:$A,CF$7&amp;" - "&amp;$C31,'BS-Details'!$J:$J)</f>
        <v>0</v>
      </c>
      <c r="CG31" s="170">
        <f>+SUMIF('BS-Details'!$A:$A,CG$7&amp;" - "&amp;$C31,'BS-Details'!$J:$J)</f>
        <v>0</v>
      </c>
      <c r="CH31" s="170">
        <f>+SUMIF('BS-Details'!$A:$A,CH$7&amp;" - "&amp;$C31,'BS-Details'!$J:$J)</f>
        <v>0</v>
      </c>
      <c r="CI31" s="170">
        <f>+SUMIF('BS-Details'!$A:$A,CI$7&amp;" - "&amp;$C31,'BS-Details'!$J:$J)</f>
        <v>0</v>
      </c>
      <c r="CJ31" s="170">
        <f>+SUMIF('BS-Details'!$A:$A,CJ$7&amp;" - "&amp;$C31,'BS-Details'!$J:$J)</f>
        <v>0</v>
      </c>
      <c r="CK31" s="170">
        <f>+SUMIF('BS-Details'!$A:$A,CK$7&amp;" - "&amp;$C31,'BS-Details'!$J:$J)</f>
        <v>0</v>
      </c>
      <c r="CL31" s="170">
        <f>+SUMIF('BS-Details'!$A:$A,CL$7&amp;" - "&amp;$C31,'BS-Details'!$J:$J)</f>
        <v>0</v>
      </c>
      <c r="CM31" s="170">
        <f>+SUMIF('BS-Details'!$A:$A,CM$7&amp;" - "&amp;$C31,'BS-Details'!$J:$J)</f>
        <v>0</v>
      </c>
      <c r="CN31" s="170">
        <f>+SUMIF('BS-Details'!$A:$A,CN$7&amp;" - "&amp;$C31,'BS-Details'!$J:$J)</f>
        <v>0</v>
      </c>
      <c r="CO31" s="170">
        <f>+SUMIF('BS-Details'!$A:$A,CO$7&amp;" - "&amp;$C31,'BS-Details'!$J:$J)</f>
        <v>0</v>
      </c>
      <c r="CP31" s="170"/>
      <c r="CQ31" s="178">
        <f t="shared" si="10"/>
        <v>0</v>
      </c>
      <c r="CR31" s="178">
        <f t="shared" si="11"/>
        <v>0</v>
      </c>
      <c r="CS31" s="178">
        <f t="shared" si="12"/>
        <v>0</v>
      </c>
      <c r="CT31" s="185">
        <f>+SUMIF('BS-Details'!$A:$A,CT$7&amp;" - "&amp;$C31,'BS-Details'!$J:$J)</f>
        <v>0</v>
      </c>
      <c r="CU31" s="170">
        <f>+SUMIF('BS-Details'!$A:$A,CU$7&amp;" - "&amp;$C31,'BS-Details'!$J:$J)</f>
        <v>0</v>
      </c>
      <c r="CV31" s="170">
        <f>+SUMIF('BS-Details'!$A:$A,CV$7&amp;" - "&amp;$C31,'BS-Details'!$J:$J)</f>
        <v>0</v>
      </c>
      <c r="CW31" s="189">
        <f>+SUMIF('BS-Details'!$A:$A,CW$7&amp;" - "&amp;$C31,'BS-Details'!$J:$J)</f>
        <v>0</v>
      </c>
      <c r="CX31" s="189">
        <f>+SUMIF('BS-Details'!$A:$A,CX$7&amp;" - "&amp;$C31,'BS-Details'!$J:$J)</f>
        <v>0</v>
      </c>
      <c r="CY31" s="189">
        <f t="shared" si="13"/>
        <v>0</v>
      </c>
      <c r="CZ31" s="178">
        <f>+SUMIF('BS-Details'!$A:$A,CZ$7&amp;" - "&amp;$C31,'BS-Details'!$J:$J)</f>
        <v>0</v>
      </c>
      <c r="DA31" s="178">
        <f>+SUMIF('BS-Details'!$A:$A,DA$7&amp;" - "&amp;$C31,'BS-Details'!$J:$J)</f>
        <v>0</v>
      </c>
      <c r="DB31" s="193"/>
    </row>
    <row r="32" spans="1:106" ht="15.75" customHeight="true">
      <c r="A32" s="161">
        <v>18</v>
      </c>
      <c r="B32" s="161" t="s">
        <v>13890</v>
      </c>
      <c r="C32" s="163" t="s">
        <v>5925</v>
      </c>
      <c r="D32" s="163" t="s">
        <v>5925</v>
      </c>
      <c r="E32" s="169">
        <f t="shared" si="2"/>
        <v>-13621819.17</v>
      </c>
      <c r="F32" s="169">
        <f t="shared" si="3"/>
        <v>-13520994.21</v>
      </c>
      <c r="G32" s="170">
        <f>+SUMIF('BS-Details'!$A:$A,G$7&amp;" - "&amp;$C32,'BS-Details'!$J:$J)</f>
        <v>-5440678.07</v>
      </c>
      <c r="H32" s="170">
        <f>+SUMIF('BS-Details'!$A:$A,H$7&amp;" - "&amp;$C32,'BS-Details'!$J:$J)</f>
        <v>-604029.2</v>
      </c>
      <c r="I32" s="170">
        <f>+SUMIF('BS-Details'!$A:$A,I$7&amp;" - "&amp;$C32,'BS-Details'!$J:$J)</f>
        <v>-243885.77</v>
      </c>
      <c r="J32" s="170">
        <f>+SUMIF('BS-Details'!$A:$A,J$7&amp;" - "&amp;$C32,'BS-Details'!$J:$J)</f>
        <v>-269742.35</v>
      </c>
      <c r="K32" s="170">
        <f>+SUMIF('BS-Details'!$A:$A,K$7&amp;" - "&amp;$C32,'BS-Details'!$J:$J)</f>
        <v>0</v>
      </c>
      <c r="L32" s="178">
        <f t="shared" si="4"/>
        <v>-6558335.39</v>
      </c>
      <c r="M32" s="170">
        <f>+SUMIF('BS-Details'!$A:$A,M$7&amp;" - "&amp;$C32,'BS-Details'!$J:$J)</f>
        <v>-514407.19</v>
      </c>
      <c r="N32" s="170">
        <f>+SUMIF('BS-Details'!$A:$A,N$7&amp;" - "&amp;$C32,'BS-Details'!$J:$J)</f>
        <v>-408436.32</v>
      </c>
      <c r="O32" s="178">
        <f t="shared" si="5"/>
        <v>-922843.51</v>
      </c>
      <c r="P32" s="170">
        <f>+SUMIF('BS-Details'!$A:$A,P$7&amp;" - "&amp;$C32,'BS-Details'!$J:$J)</f>
        <v>-28750</v>
      </c>
      <c r="Q32" s="170">
        <f>+SUMIF('BS-Details'!$A:$A,Q$7&amp;" - "&amp;$C32,'BS-Details'!$J:$J)</f>
        <v>-34000</v>
      </c>
      <c r="R32" s="170">
        <f>+SUMIF('BS-Details'!$A:$A,R$7&amp;" - "&amp;$C32,'BS-Details'!$J:$J)</f>
        <v>-22500</v>
      </c>
      <c r="S32" s="170">
        <f>+SUMIF('BS-Details'!$A:$A,S$7&amp;" - "&amp;$C32,'BS-Details'!$J:$J)</f>
        <v>-15750</v>
      </c>
      <c r="T32" s="170">
        <f>+SUMIF('BS-Details'!$A:$A,T$7&amp;" - "&amp;$C32,'BS-Details'!$J:$J)</f>
        <v>-10500</v>
      </c>
      <c r="U32" s="170">
        <f>+SUMIF('BS-Details'!$A:$A,U$7&amp;" - "&amp;$C32,'BS-Details'!$J:$J)</f>
        <v>-10000</v>
      </c>
      <c r="V32" s="169">
        <f t="shared" si="6"/>
        <v>-121500</v>
      </c>
      <c r="W32" s="170">
        <f>+SUMIF('BS-Details'!$A:$A,W$7&amp;" - "&amp;$C32,'BS-Details'!$J:$J)</f>
        <v>-21583.33</v>
      </c>
      <c r="X32" s="170">
        <f>+SUMIF('BS-Details'!$A:$A,X$7&amp;" - "&amp;$C32,'BS-Details'!$J:$J)</f>
        <v>-11512.84</v>
      </c>
      <c r="Y32" s="178">
        <f t="shared" si="7"/>
        <v>-154596.17</v>
      </c>
      <c r="Z32" s="170">
        <f>+SUMIF('BS-Details'!$A:$A,Z$7&amp;" - "&amp;$C32,'BS-Details'!$J:$J)</f>
        <v>-271219.69</v>
      </c>
      <c r="AA32" s="170">
        <f>+SUMIF('BS-Details'!$A:$A,AA$7&amp;" - "&amp;$C32,'BS-Details'!$J:$J)</f>
        <v>-61847.61</v>
      </c>
      <c r="AB32" s="178">
        <f t="shared" si="8"/>
        <v>-333067.3</v>
      </c>
      <c r="AC32" s="170">
        <f>+SUMIF('BS-Details'!$A:$A,AC$7&amp;" - "&amp;$C32,'BS-Details'!$J:$J)</f>
        <v>-85201.11</v>
      </c>
      <c r="AD32" s="170">
        <f>+SUMIF('BS-Details'!$A:$A,AD$7&amp;" - "&amp;$C32,'BS-Details'!$J:$J)</f>
        <v>-191667</v>
      </c>
      <c r="AE32" s="170">
        <f>+SUMIF('BS-Details'!$A:$A,AE$7&amp;" - "&amp;$C32,'BS-Details'!$J:$J)</f>
        <v>-195612.42</v>
      </c>
      <c r="AF32" s="170">
        <f>+SUMIF('BS-Details'!$A:$A,AF$7&amp;" - "&amp;$C32,'BS-Details'!$J:$J)</f>
        <v>-39385.94</v>
      </c>
      <c r="AG32" s="170">
        <f>+SUMIF('BS-Details'!$A:$A,AG$7&amp;" - "&amp;$C32,'BS-Details'!$J:$J)</f>
        <v>-94458.62</v>
      </c>
      <c r="AH32" s="170">
        <f>+SUMIF('BS-Details'!$A:$A,AH$7&amp;" - "&amp;$C32,'BS-Details'!$J:$J)</f>
        <v>-55334.77</v>
      </c>
      <c r="AI32" s="170">
        <f>+SUMIF('BS-Details'!$A:$A,AI$7&amp;" - "&amp;$C32,'BS-Details'!$J:$J)</f>
        <v>-71119.07</v>
      </c>
      <c r="AJ32" s="170">
        <f>+SUMIF('BS-Details'!$A:$A,AJ$7&amp;" - "&amp;$C32,'BS-Details'!$J:$J)</f>
        <v>-92274.36</v>
      </c>
      <c r="AK32" s="170">
        <f>+SUMIF('BS-Details'!$A:$A,AK$7&amp;" - "&amp;$C32,'BS-Details'!$J:$J)</f>
        <v>-366287.57</v>
      </c>
      <c r="AL32" s="178">
        <f t="shared" si="9"/>
        <v>-718860.33</v>
      </c>
      <c r="AM32" s="170">
        <f>+SUMIF('BS-Details'!$A:$A,AM$7&amp;" - "&amp;$C32,'BS-Details'!$J:$J)</f>
        <v>0</v>
      </c>
      <c r="AN32" s="170">
        <f>+SUMIF('BS-Details'!$A:$A,AN$7&amp;" - "&amp;$C32,'BS-Details'!$J:$J)</f>
        <v>-192586.04</v>
      </c>
      <c r="AO32" s="170">
        <f>+SUMIF('BS-Details'!$A:$A,AO$7&amp;" - "&amp;$C32,'BS-Details'!$J:$J)</f>
        <v>-137284.22</v>
      </c>
      <c r="AP32" s="170">
        <f>+SUMIF('BS-Details'!$A:$A,AP$7&amp;" - "&amp;$C32,'BS-Details'!$J:$J)</f>
        <v>0</v>
      </c>
      <c r="AQ32" s="170">
        <f>+SUMIF('BS-Details'!$A:$A,AQ$7&amp;" - "&amp;$C32,'BS-Details'!$J:$J)</f>
        <v>-156918.05</v>
      </c>
      <c r="AR32" s="170">
        <f>+SUMIF('BS-Details'!$A:$A,AR$7&amp;" - "&amp;$C32,'BS-Details'!$J:$J)</f>
        <v>0</v>
      </c>
      <c r="AS32" s="170">
        <f>+SUMIF('BS-Details'!$A:$A,AS$7&amp;" - "&amp;$C32,'BS-Details'!$J:$J)</f>
        <v>-51205.07</v>
      </c>
      <c r="AT32" s="170">
        <f>+SUMIF('BS-Details'!$A:$A,AT$7&amp;" - "&amp;$C32,'BS-Details'!$J:$J)</f>
        <v>-29491.23</v>
      </c>
      <c r="AU32" s="170">
        <f>+SUMIF('BS-Details'!$A:$A,AU$7&amp;" - "&amp;$C32,'BS-Details'!$J:$J)</f>
        <v>-19985.06</v>
      </c>
      <c r="AV32" s="170">
        <f>+SUMIF('BS-Details'!$A:$A,AV$7&amp;" - "&amp;$C32,'BS-Details'!$J:$J)</f>
        <v>-66938.25</v>
      </c>
      <c r="AW32" s="170">
        <f>+SUMIF('BS-Details'!$A:$A,AW$7&amp;" - "&amp;$C32,'BS-Details'!$J:$J)</f>
        <v>0</v>
      </c>
      <c r="AX32" s="170">
        <f>+SUMIF('BS-Details'!$A:$A,AX$7&amp;" - "&amp;$C32,'BS-Details'!$J:$J)</f>
        <v>0</v>
      </c>
      <c r="AY32" s="170">
        <f>+SUMIF('BS-Details'!$A:$A,AY$7&amp;" - "&amp;$C32,'BS-Details'!$J:$J)</f>
        <v>0</v>
      </c>
      <c r="AZ32" s="170">
        <f>+SUMIF('BS-Details'!$A:$A,AZ$7&amp;" - "&amp;$C32,'BS-Details'!$J:$J)</f>
        <v>-38853.91</v>
      </c>
      <c r="BA32" s="170">
        <f>+SUMIF('BS-Details'!$A:$A,BA$7&amp;" - "&amp;$C32,'BS-Details'!$J:$J)</f>
        <v>-32513.57</v>
      </c>
      <c r="BB32" s="170">
        <f>+SUMIF('BS-Details'!$A:$A,BB$7&amp;" - "&amp;$C32,'BS-Details'!$J:$J)</f>
        <v>0</v>
      </c>
      <c r="BC32" s="170">
        <f>+SUMIF('BS-Details'!$A:$A,BC$7&amp;" - "&amp;$C32,'BS-Details'!$J:$J)</f>
        <v>-102109.59</v>
      </c>
      <c r="BD32" s="170">
        <f>+SUMIF('BS-Details'!$A:$A,BD$7&amp;" - "&amp;$C32,'BS-Details'!$J:$J)</f>
        <v>-26356.54</v>
      </c>
      <c r="BE32" s="170">
        <f>+SUMIF('BS-Details'!$A:$A,BE$7&amp;" - "&amp;$C32,'BS-Details'!$J:$J)</f>
        <v>-33900.35</v>
      </c>
      <c r="BF32" s="170">
        <f>+SUMIF('BS-Details'!$A:$A,BF$7&amp;" - "&amp;$C32,'BS-Details'!$J:$J)</f>
        <v>-25483.22</v>
      </c>
      <c r="BG32" s="170">
        <f>+SUMIF('BS-Details'!$A:$A,BG$7&amp;" - "&amp;$C32,'BS-Details'!$J:$J)</f>
        <v>-30623.7</v>
      </c>
      <c r="BH32" s="170">
        <f>+SUMIF('BS-Details'!$A:$A,BH$7&amp;" - "&amp;$C32,'BS-Details'!$J:$J)</f>
        <v>0</v>
      </c>
      <c r="BI32" s="170">
        <f>+SUMIF('BS-Details'!$A:$A,BI$7&amp;" - "&amp;$C32,'BS-Details'!$J:$J)</f>
        <v>-37927.2</v>
      </c>
      <c r="BJ32" s="170">
        <f>+SUMIF('BS-Details'!$A:$A,BJ$7&amp;" - "&amp;$C32,'BS-Details'!$J:$J)</f>
        <v>0</v>
      </c>
      <c r="BK32" s="170">
        <f>+SUMIF('BS-Details'!$A:$A,BK$7&amp;" - "&amp;$C32,'BS-Details'!$J:$J)</f>
        <v>-34337.05</v>
      </c>
      <c r="BL32" s="170">
        <f>+SUMIF('BS-Details'!$A:$A,BL$7&amp;" - "&amp;$C32,'BS-Details'!$J:$J)</f>
        <v>-21878.97</v>
      </c>
      <c r="BM32" s="170">
        <f>+SUMIF('BS-Details'!$A:$A,BM$7&amp;" - "&amp;$C32,'BS-Details'!$J:$J)</f>
        <v>-20880.15</v>
      </c>
      <c r="BN32" s="170">
        <f>+SUMIF('BS-Details'!$A:$A,BN$7&amp;" - "&amp;$C32,'BS-Details'!$J:$J)</f>
        <v>-26497.63</v>
      </c>
      <c r="BO32" s="170">
        <f>+SUMIF('BS-Details'!$A:$A,BO$7&amp;" - "&amp;$C32,'BS-Details'!$J:$J)</f>
        <v>0</v>
      </c>
      <c r="BP32" s="170">
        <f>+SUMIF('BS-Details'!$A:$A,BP$7&amp;" - "&amp;$C32,'BS-Details'!$J:$J)</f>
        <v>-61403.81</v>
      </c>
      <c r="BQ32" s="170">
        <f>+SUMIF('BS-Details'!$A:$A,BQ$7&amp;" - "&amp;$C32,'BS-Details'!$J:$J)</f>
        <v>-32081.96</v>
      </c>
      <c r="BR32" s="170">
        <f>+SUMIF('BS-Details'!$A:$A,BR$7&amp;" - "&amp;$C32,'BS-Details'!$J:$J)</f>
        <v>-525102.13</v>
      </c>
      <c r="BS32" s="170">
        <f>+SUMIF('BS-Details'!$A:$A,BS$7&amp;" - "&amp;$C32,'BS-Details'!$J:$J)</f>
        <v>-5500</v>
      </c>
      <c r="BT32" s="170">
        <f>+SUMIF('BS-Details'!$A:$A,BT$7&amp;" - "&amp;$C32,'BS-Details'!$J:$J)</f>
        <v>0</v>
      </c>
      <c r="BU32" s="170">
        <f>+SUMIF('BS-Details'!$A:$A,BU$7&amp;" - "&amp;$C32,'BS-Details'!$J:$J)</f>
        <v>-49646.38</v>
      </c>
      <c r="BV32" s="170">
        <f>+SUMIF('BS-Details'!$A:$A,BV$7&amp;" - "&amp;$C32,'BS-Details'!$J:$J)</f>
        <v>0</v>
      </c>
      <c r="BW32" s="170">
        <f>+SUMIF('BS-Details'!$A:$A,BW$7&amp;" - "&amp;$C32,'BS-Details'!$J:$J)</f>
        <v>-284788.64</v>
      </c>
      <c r="BX32" s="170">
        <f>+SUMIF('BS-Details'!$A:$A,BX$7&amp;" - "&amp;$C32,'BS-Details'!$J:$J)</f>
        <v>-383636.58</v>
      </c>
      <c r="BY32" s="170">
        <f>+SUMIF('BS-Details'!$A:$A,BY$7&amp;" - "&amp;$C32,'BS-Details'!$J:$J)</f>
        <v>0</v>
      </c>
      <c r="BZ32" s="170">
        <f>+SUMIF('BS-Details'!$A:$A,BZ$7&amp;" - "&amp;$C32,'BS-Details'!$J:$J)</f>
        <v>-292146.03</v>
      </c>
      <c r="CA32" s="170">
        <f>+SUMIF('BS-Details'!$A:$A,CA$7&amp;" - "&amp;$C32,'BS-Details'!$J:$J)</f>
        <v>0</v>
      </c>
      <c r="CB32" s="170">
        <f>+SUMIF('BS-Details'!$A:$A,CB$7&amp;" - "&amp;$C32,'BS-Details'!$J:$J)</f>
        <v>-43395.13</v>
      </c>
      <c r="CC32" s="170">
        <f>+SUMIF('BS-Details'!$A:$A,CC$7&amp;" - "&amp;$C32,'BS-Details'!$J:$J)</f>
        <v>-13945</v>
      </c>
      <c r="CD32" s="170">
        <f>+SUMIF('BS-Details'!$A:$A,CD$7&amp;" - "&amp;$C32,'BS-Details'!$J:$J)</f>
        <v>-35778.58</v>
      </c>
      <c r="CE32" s="170">
        <f>+SUMIF('BS-Details'!$A:$A,CE$7&amp;" - "&amp;$C32,'BS-Details'!$J:$J)</f>
        <v>-104380.61</v>
      </c>
      <c r="CF32" s="170">
        <f>+SUMIF('BS-Details'!$A:$A,CF$7&amp;" - "&amp;$C32,'BS-Details'!$J:$J)</f>
        <v>-163005.62</v>
      </c>
      <c r="CG32" s="170">
        <f>+SUMIF('BS-Details'!$A:$A,CG$7&amp;" - "&amp;$C32,'BS-Details'!$J:$J)</f>
        <v>-13165.01</v>
      </c>
      <c r="CH32" s="170">
        <f>+SUMIF('BS-Details'!$A:$A,CH$7&amp;" - "&amp;$C32,'BS-Details'!$J:$J)</f>
        <v>-41941.43</v>
      </c>
      <c r="CI32" s="170">
        <f>+SUMIF('BS-Details'!$A:$A,CI$7&amp;" - "&amp;$C32,'BS-Details'!$J:$J)</f>
        <v>-59357.65</v>
      </c>
      <c r="CJ32" s="170">
        <f>+SUMIF('BS-Details'!$A:$A,CJ$7&amp;" - "&amp;$C32,'BS-Details'!$J:$J)</f>
        <v>-130333.13</v>
      </c>
      <c r="CK32" s="170">
        <f>+SUMIF('BS-Details'!$A:$A,CK$7&amp;" - "&amp;$C32,'BS-Details'!$J:$J)</f>
        <v>-11781.32</v>
      </c>
      <c r="CL32" s="170">
        <f>+SUMIF('BS-Details'!$A:$A,CL$7&amp;" - "&amp;$C32,'BS-Details'!$J:$J)</f>
        <v>-40523.41</v>
      </c>
      <c r="CM32" s="170">
        <f>+SUMIF('BS-Details'!$A:$A,CM$7&amp;" - "&amp;$C32,'BS-Details'!$J:$J)</f>
        <v>-229811.28</v>
      </c>
      <c r="CN32" s="170">
        <f>+SUMIF('BS-Details'!$A:$A,CN$7&amp;" - "&amp;$C32,'BS-Details'!$J:$J)</f>
        <v>-533330.67</v>
      </c>
      <c r="CO32" s="170">
        <f>+SUMIF('BS-Details'!$A:$A,CO$7&amp;" - "&amp;$C32,'BS-Details'!$J:$J)</f>
        <v>-219986.81</v>
      </c>
      <c r="CP32" s="170"/>
      <c r="CQ32" s="178">
        <f t="shared" si="10"/>
        <v>-4360810.98</v>
      </c>
      <c r="CR32" s="178">
        <f t="shared" si="11"/>
        <v>-5079671.31</v>
      </c>
      <c r="CS32" s="178">
        <f t="shared" si="12"/>
        <v>-99260</v>
      </c>
      <c r="CT32" s="185">
        <f>+SUMIF('BS-Details'!$A:$A,CT$7&amp;" - "&amp;$C32,'BS-Details'!$J:$J)</f>
        <v>0</v>
      </c>
      <c r="CU32" s="170">
        <f>+SUMIF('BS-Details'!$A:$A,CU$7&amp;" - "&amp;$C32,'BS-Details'!$J:$J)</f>
        <v>-60000</v>
      </c>
      <c r="CV32" s="170">
        <f>+SUMIF('BS-Details'!$A:$A,CV$7&amp;" - "&amp;$C32,'BS-Details'!$J:$J)</f>
        <v>0</v>
      </c>
      <c r="CW32" s="189">
        <f>+SUMIF('BS-Details'!$A:$A,CW$7&amp;" - "&amp;$C32,'BS-Details'!$J:$J)</f>
        <v>-39260</v>
      </c>
      <c r="CX32" s="189">
        <f>+SUMIF('BS-Details'!$A:$A,CX$7&amp;" - "&amp;$C32,'BS-Details'!$J:$J)</f>
        <v>0</v>
      </c>
      <c r="CY32" s="189">
        <f t="shared" si="13"/>
        <v>-99260</v>
      </c>
      <c r="CZ32" s="178">
        <f>+SUMIF('BS-Details'!$A:$A,CZ$7&amp;" - "&amp;$C32,'BS-Details'!$J:$J)</f>
        <v>0</v>
      </c>
      <c r="DA32" s="178">
        <f>+SUMIF('BS-Details'!$A:$A,DA$7&amp;" - "&amp;$C32,'BS-Details'!$J:$J)</f>
        <v>-1564.96</v>
      </c>
      <c r="DB32" s="193"/>
    </row>
    <row r="33" spans="1:106" ht="15.75" customHeight="true">
      <c r="A33" s="161"/>
      <c r="B33" s="161" t="s">
        <v>13890</v>
      </c>
      <c r="C33" s="163" t="s">
        <v>13891</v>
      </c>
      <c r="D33" s="163" t="s">
        <v>13891</v>
      </c>
      <c r="E33" s="169">
        <f t="shared" si="2"/>
        <v>-1964.11</v>
      </c>
      <c r="F33" s="169">
        <f t="shared" si="3"/>
        <v>-1964.11</v>
      </c>
      <c r="G33" s="170">
        <f>+SUMIF('BS-Details'!$A:$A,G$7&amp;" - "&amp;$C33,'BS-Details'!$J:$J)</f>
        <v>0</v>
      </c>
      <c r="H33" s="170">
        <f>+SUMIF('BS-Details'!$A:$A,H$7&amp;" - "&amp;$C33,'BS-Details'!$J:$J)</f>
        <v>0</v>
      </c>
      <c r="I33" s="170">
        <f>+SUMIF('BS-Details'!$A:$A,I$7&amp;" - "&amp;$C33,'BS-Details'!$J:$J)</f>
        <v>0</v>
      </c>
      <c r="J33" s="170">
        <f>+SUMIF('BS-Details'!$A:$A,J$7&amp;" - "&amp;$C33,'BS-Details'!$J:$J)</f>
        <v>0</v>
      </c>
      <c r="K33" s="170">
        <f>+SUMIF('BS-Details'!$A:$A,K$7&amp;" - "&amp;$C33,'BS-Details'!$J:$J)</f>
        <v>0</v>
      </c>
      <c r="L33" s="178">
        <f t="shared" si="4"/>
        <v>0</v>
      </c>
      <c r="M33" s="170">
        <f>+SUMIF('BS-Details'!$A:$A,M$7&amp;" - "&amp;$C33,'BS-Details'!$J:$J)</f>
        <v>0</v>
      </c>
      <c r="N33" s="170">
        <f>+SUMIF('BS-Details'!$A:$A,N$7&amp;" - "&amp;$C33,'BS-Details'!$J:$J)</f>
        <v>0</v>
      </c>
      <c r="O33" s="178">
        <f t="shared" si="5"/>
        <v>0</v>
      </c>
      <c r="P33" s="170">
        <f>+SUMIF('BS-Details'!$A:$A,P$7&amp;" - "&amp;$C33,'BS-Details'!$J:$J)</f>
        <v>0</v>
      </c>
      <c r="Q33" s="170">
        <f>+SUMIF('BS-Details'!$A:$A,Q$7&amp;" - "&amp;$C33,'BS-Details'!$J:$J)</f>
        <v>0</v>
      </c>
      <c r="R33" s="170">
        <f>+SUMIF('BS-Details'!$A:$A,R$7&amp;" - "&amp;$C33,'BS-Details'!$J:$J)</f>
        <v>0</v>
      </c>
      <c r="S33" s="170">
        <f>+SUMIF('BS-Details'!$A:$A,S$7&amp;" - "&amp;$C33,'BS-Details'!$J:$J)</f>
        <v>0</v>
      </c>
      <c r="T33" s="170">
        <f>+SUMIF('BS-Details'!$A:$A,T$7&amp;" - "&amp;$C33,'BS-Details'!$J:$J)</f>
        <v>0</v>
      </c>
      <c r="U33" s="170">
        <f>+SUMIF('BS-Details'!$A:$A,U$7&amp;" - "&amp;$C33,'BS-Details'!$J:$J)</f>
        <v>0</v>
      </c>
      <c r="V33" s="169">
        <f t="shared" si="6"/>
        <v>0</v>
      </c>
      <c r="W33" s="170">
        <f>+SUMIF('BS-Details'!$A:$A,W$7&amp;" - "&amp;$C33,'BS-Details'!$J:$J)</f>
        <v>0</v>
      </c>
      <c r="X33" s="170">
        <f>+SUMIF('BS-Details'!$A:$A,X$7&amp;" - "&amp;$C33,'BS-Details'!$J:$J)</f>
        <v>0</v>
      </c>
      <c r="Y33" s="178">
        <f t="shared" si="7"/>
        <v>0</v>
      </c>
      <c r="Z33" s="170">
        <f>+SUMIF('BS-Details'!$A:$A,Z$7&amp;" - "&amp;$C33,'BS-Details'!$J:$J)</f>
        <v>0</v>
      </c>
      <c r="AA33" s="170">
        <f>+SUMIF('BS-Details'!$A:$A,AA$7&amp;" - "&amp;$C33,'BS-Details'!$J:$J)</f>
        <v>0</v>
      </c>
      <c r="AB33" s="178">
        <f t="shared" si="8"/>
        <v>0</v>
      </c>
      <c r="AC33" s="170">
        <f>+SUMIF('BS-Details'!$A:$A,AC$7&amp;" - "&amp;$C33,'BS-Details'!$J:$J)</f>
        <v>0</v>
      </c>
      <c r="AD33" s="170">
        <f>+SUMIF('BS-Details'!$A:$A,AD$7&amp;" - "&amp;$C33,'BS-Details'!$J:$J)</f>
        <v>0</v>
      </c>
      <c r="AE33" s="170">
        <f>+SUMIF('BS-Details'!$A:$A,AE$7&amp;" - "&amp;$C33,'BS-Details'!$J:$J)</f>
        <v>0</v>
      </c>
      <c r="AF33" s="170">
        <f>+SUMIF('BS-Details'!$A:$A,AF$7&amp;" - "&amp;$C33,'BS-Details'!$J:$J)</f>
        <v>0</v>
      </c>
      <c r="AG33" s="170">
        <f>+SUMIF('BS-Details'!$A:$A,AG$7&amp;" - "&amp;$C33,'BS-Details'!$J:$J)</f>
        <v>0</v>
      </c>
      <c r="AH33" s="170">
        <f>+SUMIF('BS-Details'!$A:$A,AH$7&amp;" - "&amp;$C33,'BS-Details'!$J:$J)</f>
        <v>0</v>
      </c>
      <c r="AI33" s="170">
        <f>+SUMIF('BS-Details'!$A:$A,AI$7&amp;" - "&amp;$C33,'BS-Details'!$J:$J)</f>
        <v>0</v>
      </c>
      <c r="AJ33" s="170">
        <f>+SUMIF('BS-Details'!$A:$A,AJ$7&amp;" - "&amp;$C33,'BS-Details'!$J:$J)</f>
        <v>0</v>
      </c>
      <c r="AK33" s="170">
        <f>+SUMIF('BS-Details'!$A:$A,AK$7&amp;" - "&amp;$C33,'BS-Details'!$J:$J)</f>
        <v>0</v>
      </c>
      <c r="AL33" s="178">
        <f t="shared" si="9"/>
        <v>0</v>
      </c>
      <c r="AM33" s="170">
        <f>+SUMIF('BS-Details'!$A:$A,AM$7&amp;" - "&amp;$C33,'BS-Details'!$J:$J)</f>
        <v>0</v>
      </c>
      <c r="AN33" s="170">
        <f>+SUMIF('BS-Details'!$A:$A,AN$7&amp;" - "&amp;$C33,'BS-Details'!$J:$J)</f>
        <v>0</v>
      </c>
      <c r="AO33" s="170">
        <f>+SUMIF('BS-Details'!$A:$A,AO$7&amp;" - "&amp;$C33,'BS-Details'!$J:$J)</f>
        <v>0</v>
      </c>
      <c r="AP33" s="170">
        <f>+SUMIF('BS-Details'!$A:$A,AP$7&amp;" - "&amp;$C33,'BS-Details'!$J:$J)</f>
        <v>0</v>
      </c>
      <c r="AQ33" s="170">
        <f>+SUMIF('BS-Details'!$A:$A,AQ$7&amp;" - "&amp;$C33,'BS-Details'!$J:$J)</f>
        <v>0</v>
      </c>
      <c r="AR33" s="170">
        <f>+SUMIF('BS-Details'!$A:$A,AR$7&amp;" - "&amp;$C33,'BS-Details'!$J:$J)</f>
        <v>0</v>
      </c>
      <c r="AS33" s="170">
        <f>+SUMIF('BS-Details'!$A:$A,AS$7&amp;" - "&amp;$C33,'BS-Details'!$J:$J)</f>
        <v>0</v>
      </c>
      <c r="AT33" s="170">
        <f>+SUMIF('BS-Details'!$A:$A,AT$7&amp;" - "&amp;$C33,'BS-Details'!$J:$J)</f>
        <v>0</v>
      </c>
      <c r="AU33" s="170">
        <f>+SUMIF('BS-Details'!$A:$A,AU$7&amp;" - "&amp;$C33,'BS-Details'!$J:$J)</f>
        <v>0</v>
      </c>
      <c r="AV33" s="170">
        <f>+SUMIF('BS-Details'!$A:$A,AV$7&amp;" - "&amp;$C33,'BS-Details'!$J:$J)</f>
        <v>0</v>
      </c>
      <c r="AW33" s="170">
        <f>+SUMIF('BS-Details'!$A:$A,AW$7&amp;" - "&amp;$C33,'BS-Details'!$J:$J)</f>
        <v>0</v>
      </c>
      <c r="AX33" s="170">
        <f>+SUMIF('BS-Details'!$A:$A,AX$7&amp;" - "&amp;$C33,'BS-Details'!$J:$J)</f>
        <v>0</v>
      </c>
      <c r="AY33" s="170">
        <f>+SUMIF('BS-Details'!$A:$A,AY$7&amp;" - "&amp;$C33,'BS-Details'!$J:$J)</f>
        <v>0</v>
      </c>
      <c r="AZ33" s="170">
        <f>+SUMIF('BS-Details'!$A:$A,AZ$7&amp;" - "&amp;$C33,'BS-Details'!$J:$J)</f>
        <v>0</v>
      </c>
      <c r="BA33" s="170">
        <f>+SUMIF('BS-Details'!$A:$A,BA$7&amp;" - "&amp;$C33,'BS-Details'!$J:$J)</f>
        <v>0</v>
      </c>
      <c r="BB33" s="170">
        <f>+SUMIF('BS-Details'!$A:$A,BB$7&amp;" - "&amp;$C33,'BS-Details'!$J:$J)</f>
        <v>0</v>
      </c>
      <c r="BC33" s="170">
        <f>+SUMIF('BS-Details'!$A:$A,BC$7&amp;" - "&amp;$C33,'BS-Details'!$J:$J)</f>
        <v>0</v>
      </c>
      <c r="BD33" s="170">
        <f>+SUMIF('BS-Details'!$A:$A,BD$7&amp;" - "&amp;$C33,'BS-Details'!$J:$J)</f>
        <v>0</v>
      </c>
      <c r="BE33" s="170">
        <f>+SUMIF('BS-Details'!$A:$A,BE$7&amp;" - "&amp;$C33,'BS-Details'!$J:$J)</f>
        <v>0</v>
      </c>
      <c r="BF33" s="170">
        <f>+SUMIF('BS-Details'!$A:$A,BF$7&amp;" - "&amp;$C33,'BS-Details'!$J:$J)</f>
        <v>0</v>
      </c>
      <c r="BG33" s="170">
        <f>+SUMIF('BS-Details'!$A:$A,BG$7&amp;" - "&amp;$C33,'BS-Details'!$J:$J)</f>
        <v>0</v>
      </c>
      <c r="BH33" s="170">
        <f>+SUMIF('BS-Details'!$A:$A,BH$7&amp;" - "&amp;$C33,'BS-Details'!$J:$J)</f>
        <v>0</v>
      </c>
      <c r="BI33" s="170">
        <f>+SUMIF('BS-Details'!$A:$A,BI$7&amp;" - "&amp;$C33,'BS-Details'!$J:$J)</f>
        <v>0</v>
      </c>
      <c r="BJ33" s="170">
        <f>+SUMIF('BS-Details'!$A:$A,BJ$7&amp;" - "&amp;$C33,'BS-Details'!$J:$J)</f>
        <v>0</v>
      </c>
      <c r="BK33" s="170">
        <f>+SUMIF('BS-Details'!$A:$A,BK$7&amp;" - "&amp;$C33,'BS-Details'!$J:$J)</f>
        <v>0</v>
      </c>
      <c r="BL33" s="170">
        <f>+SUMIF('BS-Details'!$A:$A,BL$7&amp;" - "&amp;$C33,'BS-Details'!$J:$J)</f>
        <v>0</v>
      </c>
      <c r="BM33" s="170">
        <f>+SUMIF('BS-Details'!$A:$A,BM$7&amp;" - "&amp;$C33,'BS-Details'!$J:$J)</f>
        <v>0</v>
      </c>
      <c r="BN33" s="170">
        <f>+SUMIF('BS-Details'!$A:$A,BN$7&amp;" - "&amp;$C33,'BS-Details'!$J:$J)</f>
        <v>0</v>
      </c>
      <c r="BO33" s="170">
        <f>+SUMIF('BS-Details'!$A:$A,BO$7&amp;" - "&amp;$C33,'BS-Details'!$J:$J)</f>
        <v>0</v>
      </c>
      <c r="BP33" s="170">
        <f>+SUMIF('BS-Details'!$A:$A,BP$7&amp;" - "&amp;$C33,'BS-Details'!$J:$J)</f>
        <v>0</v>
      </c>
      <c r="BQ33" s="170">
        <f>+SUMIF('BS-Details'!$A:$A,BQ$7&amp;" - "&amp;$C33,'BS-Details'!$J:$J)</f>
        <v>0</v>
      </c>
      <c r="BR33" s="170">
        <f>+SUMIF('BS-Details'!$A:$A,BR$7&amp;" - "&amp;$C33,'BS-Details'!$J:$J)</f>
        <v>0</v>
      </c>
      <c r="BS33" s="170">
        <f>+SUMIF('BS-Details'!$A:$A,BS$7&amp;" - "&amp;$C33,'BS-Details'!$J:$J)</f>
        <v>0</v>
      </c>
      <c r="BT33" s="170">
        <f>+SUMIF('BS-Details'!$A:$A,BT$7&amp;" - "&amp;$C33,'BS-Details'!$J:$J)</f>
        <v>0</v>
      </c>
      <c r="BU33" s="170">
        <f>+SUMIF('BS-Details'!$A:$A,BU$7&amp;" - "&amp;$C33,'BS-Details'!$J:$J)</f>
        <v>0</v>
      </c>
      <c r="BV33" s="170">
        <f>+SUMIF('BS-Details'!$A:$A,BV$7&amp;" - "&amp;$C33,'BS-Details'!$J:$J)</f>
        <v>0</v>
      </c>
      <c r="BW33" s="170">
        <f>+SUMIF('BS-Details'!$A:$A,BW$7&amp;" - "&amp;$C33,'BS-Details'!$J:$J)</f>
        <v>0</v>
      </c>
      <c r="BX33" s="170">
        <f>+SUMIF('BS-Details'!$A:$A,BX$7&amp;" - "&amp;$C33,'BS-Details'!$J:$J)</f>
        <v>0</v>
      </c>
      <c r="BY33" s="170">
        <f>+SUMIF('BS-Details'!$A:$A,BY$7&amp;" - "&amp;$C33,'BS-Details'!$J:$J)</f>
        <v>0</v>
      </c>
      <c r="BZ33" s="170">
        <f>+SUMIF('BS-Details'!$A:$A,BZ$7&amp;" - "&amp;$C33,'BS-Details'!$J:$J)</f>
        <v>0</v>
      </c>
      <c r="CA33" s="170">
        <f>+SUMIF('BS-Details'!$A:$A,CA$7&amp;" - "&amp;$C33,'BS-Details'!$J:$J)</f>
        <v>0</v>
      </c>
      <c r="CB33" s="170">
        <f>+SUMIF('BS-Details'!$A:$A,CB$7&amp;" - "&amp;$C33,'BS-Details'!$J:$J)</f>
        <v>0</v>
      </c>
      <c r="CC33" s="170">
        <f>+SUMIF('BS-Details'!$A:$A,CC$7&amp;" - "&amp;$C33,'BS-Details'!$J:$J)</f>
        <v>0</v>
      </c>
      <c r="CD33" s="170">
        <f>+SUMIF('BS-Details'!$A:$A,CD$7&amp;" - "&amp;$C33,'BS-Details'!$J:$J)</f>
        <v>0</v>
      </c>
      <c r="CE33" s="170">
        <f>+SUMIF('BS-Details'!$A:$A,CE$7&amp;" - "&amp;$C33,'BS-Details'!$J:$J)</f>
        <v>0</v>
      </c>
      <c r="CF33" s="170">
        <f>+SUMIF('BS-Details'!$A:$A,CF$7&amp;" - "&amp;$C33,'BS-Details'!$J:$J)</f>
        <v>0</v>
      </c>
      <c r="CG33" s="170">
        <f>+SUMIF('BS-Details'!$A:$A,CG$7&amp;" - "&amp;$C33,'BS-Details'!$J:$J)</f>
        <v>0</v>
      </c>
      <c r="CH33" s="170">
        <f>+SUMIF('BS-Details'!$A:$A,CH$7&amp;" - "&amp;$C33,'BS-Details'!$J:$J)</f>
        <v>0</v>
      </c>
      <c r="CI33" s="170">
        <f>+SUMIF('BS-Details'!$A:$A,CI$7&amp;" - "&amp;$C33,'BS-Details'!$J:$J)</f>
        <v>0</v>
      </c>
      <c r="CJ33" s="170">
        <f>+SUMIF('BS-Details'!$A:$A,CJ$7&amp;" - "&amp;$C33,'BS-Details'!$J:$J)</f>
        <v>0</v>
      </c>
      <c r="CK33" s="170">
        <f>+SUMIF('BS-Details'!$A:$A,CK$7&amp;" - "&amp;$C33,'BS-Details'!$J:$J)</f>
        <v>0</v>
      </c>
      <c r="CL33" s="170">
        <f>+SUMIF('BS-Details'!$A:$A,CL$7&amp;" - "&amp;$C33,'BS-Details'!$J:$J)</f>
        <v>0</v>
      </c>
      <c r="CM33" s="170">
        <f>+SUMIF('BS-Details'!$A:$A,CM$7&amp;" - "&amp;$C33,'BS-Details'!$J:$J)</f>
        <v>0</v>
      </c>
      <c r="CN33" s="170">
        <f>+SUMIF('BS-Details'!$A:$A,CN$7&amp;" - "&amp;$C33,'BS-Details'!$J:$J)</f>
        <v>-882.97</v>
      </c>
      <c r="CO33" s="170">
        <f>+SUMIF('BS-Details'!$A:$A,CO$7&amp;" - "&amp;$C33,'BS-Details'!$J:$J)</f>
        <v>-1081.14</v>
      </c>
      <c r="CP33" s="170"/>
      <c r="CQ33" s="178">
        <f t="shared" si="10"/>
        <v>-1964.11</v>
      </c>
      <c r="CR33" s="178">
        <f t="shared" si="11"/>
        <v>-1964.11</v>
      </c>
      <c r="CS33" s="178">
        <f t="shared" si="12"/>
        <v>0</v>
      </c>
      <c r="CT33" s="185">
        <f>+SUMIF('BS-Details'!$A:$A,CT$7&amp;" - "&amp;$C33,'BS-Details'!$J:$J)</f>
        <v>0</v>
      </c>
      <c r="CU33" s="170">
        <f>+SUMIF('BS-Details'!$A:$A,CU$7&amp;" - "&amp;$C33,'BS-Details'!$J:$J)</f>
        <v>0</v>
      </c>
      <c r="CV33" s="170">
        <f>+SUMIF('BS-Details'!$A:$A,CV$7&amp;" - "&amp;$C33,'BS-Details'!$J:$J)</f>
        <v>0</v>
      </c>
      <c r="CW33" s="189">
        <f>+SUMIF('BS-Details'!$A:$A,CW$7&amp;" - "&amp;$C33,'BS-Details'!$J:$J)</f>
        <v>0</v>
      </c>
      <c r="CX33" s="189">
        <f>+SUMIF('BS-Details'!$A:$A,CX$7&amp;" - "&amp;$C33,'BS-Details'!$J:$J)</f>
        <v>0</v>
      </c>
      <c r="CY33" s="189">
        <f t="shared" si="13"/>
        <v>0</v>
      </c>
      <c r="CZ33" s="178">
        <f>+SUMIF('BS-Details'!$A:$A,CZ$7&amp;" - "&amp;$C33,'BS-Details'!$J:$J)</f>
        <v>0</v>
      </c>
      <c r="DA33" s="178">
        <f>+SUMIF('BS-Details'!$A:$A,DA$7&amp;" - "&amp;$C33,'BS-Details'!$J:$J)</f>
        <v>0</v>
      </c>
      <c r="DB33" s="193"/>
    </row>
    <row r="34" spans="1:106" ht="15.75" customHeight="true">
      <c r="A34" s="161">
        <v>19</v>
      </c>
      <c r="B34" s="161" t="s">
        <v>13890</v>
      </c>
      <c r="C34" s="163" t="s">
        <v>13300</v>
      </c>
      <c r="D34" s="163" t="s">
        <v>13300</v>
      </c>
      <c r="E34" s="169">
        <f t="shared" si="2"/>
        <v>7620265.97</v>
      </c>
      <c r="F34" s="169">
        <f t="shared" si="3"/>
        <v>7596791.05</v>
      </c>
      <c r="G34" s="170">
        <f>+SUMIF('BS-Details'!$A:$A,G$7&amp;" - "&amp;$C34,'BS-Details'!$J:$J)</f>
        <v>3496516.76</v>
      </c>
      <c r="H34" s="170">
        <f>+SUMIF('BS-Details'!$A:$A,H$7&amp;" - "&amp;$C34,'BS-Details'!$J:$J)</f>
        <v>390947.33</v>
      </c>
      <c r="I34" s="170">
        <f>+SUMIF('BS-Details'!$A:$A,I$7&amp;" - "&amp;$C34,'BS-Details'!$J:$J)</f>
        <v>142565.16</v>
      </c>
      <c r="J34" s="170">
        <f>+SUMIF('BS-Details'!$A:$A,J$7&amp;" - "&amp;$C34,'BS-Details'!$J:$J)</f>
        <v>194672.31</v>
      </c>
      <c r="K34" s="170">
        <f>+SUMIF('BS-Details'!$A:$A,K$7&amp;" - "&amp;$C34,'BS-Details'!$J:$J)</f>
        <v>132</v>
      </c>
      <c r="L34" s="178">
        <f t="shared" si="4"/>
        <v>4224833.56</v>
      </c>
      <c r="M34" s="170">
        <f>+SUMIF('BS-Details'!$A:$A,M$7&amp;" - "&amp;$C34,'BS-Details'!$J:$J)</f>
        <v>307188.31</v>
      </c>
      <c r="N34" s="170">
        <f>+SUMIF('BS-Details'!$A:$A,N$7&amp;" - "&amp;$C34,'BS-Details'!$J:$J)</f>
        <v>243556.96</v>
      </c>
      <c r="O34" s="178">
        <f t="shared" si="5"/>
        <v>550745.27</v>
      </c>
      <c r="P34" s="170">
        <f>+SUMIF('BS-Details'!$A:$A,P$7&amp;" - "&amp;$C34,'BS-Details'!$J:$J)</f>
        <v>0</v>
      </c>
      <c r="Q34" s="170">
        <f>+SUMIF('BS-Details'!$A:$A,Q$7&amp;" - "&amp;$C34,'BS-Details'!$J:$J)</f>
        <v>0</v>
      </c>
      <c r="R34" s="170">
        <f>+SUMIF('BS-Details'!$A:$A,R$7&amp;" - "&amp;$C34,'BS-Details'!$J:$J)</f>
        <v>0</v>
      </c>
      <c r="S34" s="170">
        <f>+SUMIF('BS-Details'!$A:$A,S$7&amp;" - "&amp;$C34,'BS-Details'!$J:$J)</f>
        <v>0</v>
      </c>
      <c r="T34" s="170">
        <f>+SUMIF('BS-Details'!$A:$A,T$7&amp;" - "&amp;$C34,'BS-Details'!$J:$J)</f>
        <v>0</v>
      </c>
      <c r="U34" s="170">
        <f>+SUMIF('BS-Details'!$A:$A,U$7&amp;" - "&amp;$C34,'BS-Details'!$J:$J)</f>
        <v>0</v>
      </c>
      <c r="V34" s="169">
        <f t="shared" si="6"/>
        <v>0</v>
      </c>
      <c r="W34" s="170">
        <f>+SUMIF('BS-Details'!$A:$A,W$7&amp;" - "&amp;$C34,'BS-Details'!$J:$J)</f>
        <v>0</v>
      </c>
      <c r="X34" s="170">
        <f>+SUMIF('BS-Details'!$A:$A,X$7&amp;" - "&amp;$C34,'BS-Details'!$J:$J)</f>
        <v>0</v>
      </c>
      <c r="Y34" s="178">
        <f t="shared" si="7"/>
        <v>0</v>
      </c>
      <c r="Z34" s="170">
        <f>+SUMIF('BS-Details'!$A:$A,Z$7&amp;" - "&amp;$C34,'BS-Details'!$J:$J)</f>
        <v>267526.97</v>
      </c>
      <c r="AA34" s="170">
        <f>+SUMIF('BS-Details'!$A:$A,AA$7&amp;" - "&amp;$C34,'BS-Details'!$J:$J)</f>
        <v>57952.55</v>
      </c>
      <c r="AB34" s="178">
        <f t="shared" si="8"/>
        <v>325479.52</v>
      </c>
      <c r="AC34" s="170">
        <f>+SUMIF('BS-Details'!$A:$A,AC$7&amp;" - "&amp;$C34,'BS-Details'!$J:$J)</f>
        <v>100945.91</v>
      </c>
      <c r="AD34" s="170">
        <f>+SUMIF('BS-Details'!$A:$A,AD$7&amp;" - "&amp;$C34,'BS-Details'!$J:$J)</f>
        <v>0</v>
      </c>
      <c r="AE34" s="170">
        <f>+SUMIF('BS-Details'!$A:$A,AE$7&amp;" - "&amp;$C34,'BS-Details'!$J:$J)</f>
        <v>346589.93</v>
      </c>
      <c r="AF34" s="170">
        <f>+SUMIF('BS-Details'!$A:$A,AF$7&amp;" - "&amp;$C34,'BS-Details'!$J:$J)</f>
        <v>30903.46</v>
      </c>
      <c r="AG34" s="170">
        <f>+SUMIF('BS-Details'!$A:$A,AG$7&amp;" - "&amp;$C34,'BS-Details'!$J:$J)</f>
        <v>31734.13</v>
      </c>
      <c r="AH34" s="170">
        <f>+SUMIF('BS-Details'!$A:$A,AH$7&amp;" - "&amp;$C34,'BS-Details'!$J:$J)</f>
        <v>24624.21</v>
      </c>
      <c r="AI34" s="170">
        <f>+SUMIF('BS-Details'!$A:$A,AI$7&amp;" - "&amp;$C34,'BS-Details'!$J:$J)</f>
        <v>25798.17</v>
      </c>
      <c r="AJ34" s="170">
        <f>+SUMIF('BS-Details'!$A:$A,AJ$7&amp;" - "&amp;$C34,'BS-Details'!$J:$J)</f>
        <v>43109.95</v>
      </c>
      <c r="AK34" s="170">
        <f>+SUMIF('BS-Details'!$A:$A,AK$7&amp;" - "&amp;$C34,'BS-Details'!$J:$J)</f>
        <v>312718.48</v>
      </c>
      <c r="AL34" s="178">
        <f t="shared" si="9"/>
        <v>468888.4</v>
      </c>
      <c r="AM34" s="170">
        <f>+SUMIF('BS-Details'!$A:$A,AM$7&amp;" - "&amp;$C34,'BS-Details'!$J:$J)</f>
        <v>66.3</v>
      </c>
      <c r="AN34" s="170">
        <f>+SUMIF('BS-Details'!$A:$A,AN$7&amp;" - "&amp;$C34,'BS-Details'!$J:$J)</f>
        <v>161673.73</v>
      </c>
      <c r="AO34" s="170">
        <f>+SUMIF('BS-Details'!$A:$A,AO$7&amp;" - "&amp;$C34,'BS-Details'!$J:$J)</f>
        <v>140287.11</v>
      </c>
      <c r="AP34" s="170">
        <f>+SUMIF('BS-Details'!$A:$A,AP$7&amp;" - "&amp;$C34,'BS-Details'!$J:$J)</f>
        <v>0</v>
      </c>
      <c r="AQ34" s="170">
        <f>+SUMIF('BS-Details'!$A:$A,AQ$7&amp;" - "&amp;$C34,'BS-Details'!$J:$J)</f>
        <v>40865.89</v>
      </c>
      <c r="AR34" s="170">
        <f>+SUMIF('BS-Details'!$A:$A,AR$7&amp;" - "&amp;$C34,'BS-Details'!$J:$J)</f>
        <v>0</v>
      </c>
      <c r="AS34" s="170">
        <f>+SUMIF('BS-Details'!$A:$A,AS$7&amp;" - "&amp;$C34,'BS-Details'!$J:$J)</f>
        <v>26283.35</v>
      </c>
      <c r="AT34" s="170">
        <f>+SUMIF('BS-Details'!$A:$A,AT$7&amp;" - "&amp;$C34,'BS-Details'!$J:$J)</f>
        <v>2100.47</v>
      </c>
      <c r="AU34" s="170">
        <f>+SUMIF('BS-Details'!$A:$A,AU$7&amp;" - "&amp;$C34,'BS-Details'!$J:$J)</f>
        <v>4447.61</v>
      </c>
      <c r="AV34" s="170">
        <f>+SUMIF('BS-Details'!$A:$A,AV$7&amp;" - "&amp;$C34,'BS-Details'!$J:$J)</f>
        <v>26694.27</v>
      </c>
      <c r="AW34" s="170">
        <f>+SUMIF('BS-Details'!$A:$A,AW$7&amp;" - "&amp;$C34,'BS-Details'!$J:$J)</f>
        <v>0</v>
      </c>
      <c r="AX34" s="170">
        <f>+SUMIF('BS-Details'!$A:$A,AX$7&amp;" - "&amp;$C34,'BS-Details'!$J:$J)</f>
        <v>0</v>
      </c>
      <c r="AY34" s="170">
        <f>+SUMIF('BS-Details'!$A:$A,AY$7&amp;" - "&amp;$C34,'BS-Details'!$J:$J)</f>
        <v>0</v>
      </c>
      <c r="AZ34" s="170">
        <f>+SUMIF('BS-Details'!$A:$A,AZ$7&amp;" - "&amp;$C34,'BS-Details'!$J:$J)</f>
        <v>7898.08</v>
      </c>
      <c r="BA34" s="170">
        <f>+SUMIF('BS-Details'!$A:$A,BA$7&amp;" - "&amp;$C34,'BS-Details'!$J:$J)</f>
        <v>9827.64</v>
      </c>
      <c r="BB34" s="170">
        <f>+SUMIF('BS-Details'!$A:$A,BB$7&amp;" - "&amp;$C34,'BS-Details'!$J:$J)</f>
        <v>0</v>
      </c>
      <c r="BC34" s="170">
        <f>+SUMIF('BS-Details'!$A:$A,BC$7&amp;" - "&amp;$C34,'BS-Details'!$J:$J)</f>
        <v>30477.09</v>
      </c>
      <c r="BD34" s="170">
        <f>+SUMIF('BS-Details'!$A:$A,BD$7&amp;" - "&amp;$C34,'BS-Details'!$J:$J)</f>
        <v>2256.22</v>
      </c>
      <c r="BE34" s="170">
        <f>+SUMIF('BS-Details'!$A:$A,BE$7&amp;" - "&amp;$C34,'BS-Details'!$J:$J)</f>
        <v>4966.4</v>
      </c>
      <c r="BF34" s="170">
        <f>+SUMIF('BS-Details'!$A:$A,BF$7&amp;" - "&amp;$C34,'BS-Details'!$J:$J)</f>
        <v>10459.76</v>
      </c>
      <c r="BG34" s="170">
        <f>+SUMIF('BS-Details'!$A:$A,BG$7&amp;" - "&amp;$C34,'BS-Details'!$J:$J)</f>
        <v>6542.28</v>
      </c>
      <c r="BH34" s="170">
        <f>+SUMIF('BS-Details'!$A:$A,BH$7&amp;" - "&amp;$C34,'BS-Details'!$J:$J)</f>
        <v>0</v>
      </c>
      <c r="BI34" s="170">
        <f>+SUMIF('BS-Details'!$A:$A,BI$7&amp;" - "&amp;$C34,'BS-Details'!$J:$J)</f>
        <v>16281.77</v>
      </c>
      <c r="BJ34" s="170">
        <f>+SUMIF('BS-Details'!$A:$A,BJ$7&amp;" - "&amp;$C34,'BS-Details'!$J:$J)</f>
        <v>0</v>
      </c>
      <c r="BK34" s="170">
        <f>+SUMIF('BS-Details'!$A:$A,BK$7&amp;" - "&amp;$C34,'BS-Details'!$J:$J)</f>
        <v>36942.82</v>
      </c>
      <c r="BL34" s="170">
        <f>+SUMIF('BS-Details'!$A:$A,BL$7&amp;" - "&amp;$C34,'BS-Details'!$J:$J)</f>
        <v>1790.28</v>
      </c>
      <c r="BM34" s="170">
        <f>+SUMIF('BS-Details'!$A:$A,BM$7&amp;" - "&amp;$C34,'BS-Details'!$J:$J)</f>
        <v>2224.58</v>
      </c>
      <c r="BN34" s="170">
        <f>+SUMIF('BS-Details'!$A:$A,BN$7&amp;" - "&amp;$C34,'BS-Details'!$J:$J)</f>
        <v>11393.32</v>
      </c>
      <c r="BO34" s="170">
        <f>+SUMIF('BS-Details'!$A:$A,BO$7&amp;" - "&amp;$C34,'BS-Details'!$J:$J)</f>
        <v>0</v>
      </c>
      <c r="BP34" s="170">
        <f>+SUMIF('BS-Details'!$A:$A,BP$7&amp;" - "&amp;$C34,'BS-Details'!$J:$J)</f>
        <v>14976.62</v>
      </c>
      <c r="BQ34" s="170">
        <f>+SUMIF('BS-Details'!$A:$A,BQ$7&amp;" - "&amp;$C34,'BS-Details'!$J:$J)</f>
        <v>5095.77</v>
      </c>
      <c r="BR34" s="170">
        <f>+SUMIF('BS-Details'!$A:$A,BR$7&amp;" - "&amp;$C34,'BS-Details'!$J:$J)</f>
        <v>160568.64</v>
      </c>
      <c r="BS34" s="170">
        <f>+SUMIF('BS-Details'!$A:$A,BS$7&amp;" - "&amp;$C34,'BS-Details'!$J:$J)</f>
        <v>11155.28</v>
      </c>
      <c r="BT34" s="170">
        <f>+SUMIF('BS-Details'!$A:$A,BT$7&amp;" - "&amp;$C34,'BS-Details'!$J:$J)</f>
        <v>0</v>
      </c>
      <c r="BU34" s="170">
        <f>+SUMIF('BS-Details'!$A:$A,BU$7&amp;" - "&amp;$C34,'BS-Details'!$J:$J)</f>
        <v>49366.84</v>
      </c>
      <c r="BV34" s="170">
        <f>+SUMIF('BS-Details'!$A:$A,BV$7&amp;" - "&amp;$C34,'BS-Details'!$J:$J)</f>
        <v>0</v>
      </c>
      <c r="BW34" s="170">
        <f>+SUMIF('BS-Details'!$A:$A,BW$7&amp;" - "&amp;$C34,'BS-Details'!$J:$J)</f>
        <v>106802.59</v>
      </c>
      <c r="BX34" s="170">
        <f>+SUMIF('BS-Details'!$A:$A,BX$7&amp;" - "&amp;$C34,'BS-Details'!$J:$J)</f>
        <v>80077.07</v>
      </c>
      <c r="BY34" s="170">
        <f>+SUMIF('BS-Details'!$A:$A,BY$7&amp;" - "&amp;$C34,'BS-Details'!$J:$J)</f>
        <v>0</v>
      </c>
      <c r="BZ34" s="170">
        <f>+SUMIF('BS-Details'!$A:$A,BZ$7&amp;" - "&amp;$C34,'BS-Details'!$J:$J)</f>
        <v>106300.85</v>
      </c>
      <c r="CA34" s="170">
        <f>+SUMIF('BS-Details'!$A:$A,CA$7&amp;" - "&amp;$C34,'BS-Details'!$J:$J)</f>
        <v>6964.57</v>
      </c>
      <c r="CB34" s="170">
        <f>+SUMIF('BS-Details'!$A:$A,CB$7&amp;" - "&amp;$C34,'BS-Details'!$J:$J)</f>
        <v>7645.59</v>
      </c>
      <c r="CC34" s="170">
        <f>+SUMIF('BS-Details'!$A:$A,CC$7&amp;" - "&amp;$C34,'BS-Details'!$J:$J)</f>
        <v>858.35</v>
      </c>
      <c r="CD34" s="170">
        <f>+SUMIF('BS-Details'!$A:$A,CD$7&amp;" - "&amp;$C34,'BS-Details'!$J:$J)</f>
        <v>7358.15</v>
      </c>
      <c r="CE34" s="170">
        <f>+SUMIF('BS-Details'!$A:$A,CE$7&amp;" - "&amp;$C34,'BS-Details'!$J:$J)</f>
        <v>35169.13</v>
      </c>
      <c r="CF34" s="170">
        <f>+SUMIF('BS-Details'!$A:$A,CF$7&amp;" - "&amp;$C34,'BS-Details'!$J:$J)</f>
        <v>43481.92</v>
      </c>
      <c r="CG34" s="170">
        <f>+SUMIF('BS-Details'!$A:$A,CG$7&amp;" - "&amp;$C34,'BS-Details'!$J:$J)</f>
        <v>2870.75</v>
      </c>
      <c r="CH34" s="170">
        <f>+SUMIF('BS-Details'!$A:$A,CH$7&amp;" - "&amp;$C34,'BS-Details'!$J:$J)</f>
        <v>31429.95</v>
      </c>
      <c r="CI34" s="170">
        <f>+SUMIF('BS-Details'!$A:$A,CI$7&amp;" - "&amp;$C34,'BS-Details'!$J:$J)</f>
        <v>7552.33</v>
      </c>
      <c r="CJ34" s="170">
        <f>+SUMIF('BS-Details'!$A:$A,CJ$7&amp;" - "&amp;$C34,'BS-Details'!$J:$J)</f>
        <v>35461.45</v>
      </c>
      <c r="CK34" s="170">
        <f>+SUMIF('BS-Details'!$A:$A,CK$7&amp;" - "&amp;$C34,'BS-Details'!$J:$J)</f>
        <v>2408.22</v>
      </c>
      <c r="CL34" s="170">
        <f>+SUMIF('BS-Details'!$A:$A,CL$7&amp;" - "&amp;$C34,'BS-Details'!$J:$J)</f>
        <v>4883.38</v>
      </c>
      <c r="CM34" s="170">
        <f>+SUMIF('BS-Details'!$A:$A,CM$7&amp;" - "&amp;$C34,'BS-Details'!$J:$J)</f>
        <v>63412.39</v>
      </c>
      <c r="CN34" s="170">
        <f>+SUMIF('BS-Details'!$A:$A,CN$7&amp;" - "&amp;$C34,'BS-Details'!$J:$J)</f>
        <v>212651.37</v>
      </c>
      <c r="CO34" s="170">
        <f>+SUMIF('BS-Details'!$A:$A,CO$7&amp;" - "&amp;$C34,'BS-Details'!$J:$J)</f>
        <v>39338.28</v>
      </c>
      <c r="CP34" s="170"/>
      <c r="CQ34" s="178">
        <f t="shared" si="10"/>
        <v>1579308.46</v>
      </c>
      <c r="CR34" s="178">
        <f t="shared" si="11"/>
        <v>2048196.86</v>
      </c>
      <c r="CS34" s="178">
        <f t="shared" si="12"/>
        <v>23474.92</v>
      </c>
      <c r="CT34" s="185">
        <f>+SUMIF('BS-Details'!$A:$A,CT$7&amp;" - "&amp;$C34,'BS-Details'!$J:$J)</f>
        <v>0</v>
      </c>
      <c r="CU34" s="170">
        <f>+SUMIF('BS-Details'!$A:$A,CU$7&amp;" - "&amp;$C34,'BS-Details'!$J:$J)</f>
        <v>0</v>
      </c>
      <c r="CV34" s="170">
        <f>+SUMIF('BS-Details'!$A:$A,CV$7&amp;" - "&amp;$C34,'BS-Details'!$J:$J)</f>
        <v>3240</v>
      </c>
      <c r="CW34" s="189">
        <f>+SUMIF('BS-Details'!$A:$A,CW$7&amp;" - "&amp;$C34,'BS-Details'!$J:$J)</f>
        <v>20234.92</v>
      </c>
      <c r="CX34" s="189">
        <f>+SUMIF('BS-Details'!$A:$A,CX$7&amp;" - "&amp;$C34,'BS-Details'!$J:$J)</f>
        <v>0</v>
      </c>
      <c r="CY34" s="189">
        <f t="shared" si="13"/>
        <v>23474.92</v>
      </c>
      <c r="CZ34" s="178">
        <f>+SUMIF('BS-Details'!$A:$A,CZ$7&amp;" - "&amp;$C34,'BS-Details'!$J:$J)</f>
        <v>0</v>
      </c>
      <c r="DA34" s="178">
        <f>+SUMIF('BS-Details'!$A:$A,DA$7&amp;" - "&amp;$C34,'BS-Details'!$J:$J)</f>
        <v>0</v>
      </c>
      <c r="DB34" s="193"/>
    </row>
    <row r="35" spans="1:106" ht="15.75" customHeight="true">
      <c r="A35" s="161">
        <v>20</v>
      </c>
      <c r="B35" s="161" t="s">
        <v>13890</v>
      </c>
      <c r="C35" s="163" t="s">
        <v>13892</v>
      </c>
      <c r="D35" s="163" t="s">
        <v>13892</v>
      </c>
      <c r="E35" s="169">
        <f t="shared" si="2"/>
        <v>2132168.85000001</v>
      </c>
      <c r="F35" s="169">
        <f t="shared" si="3"/>
        <v>1900806.67000001</v>
      </c>
      <c r="G35" s="170">
        <f>+SUMIF('BS-Details'!$A:$A,G$7&amp;" - "&amp;$C35,'BS-Details'!$J:$J)</f>
        <v>1183108.07000001</v>
      </c>
      <c r="H35" s="170">
        <f>+SUMIF('BS-Details'!$A:$A,H$7&amp;" - "&amp;$C35,'BS-Details'!$J:$J)</f>
        <v>126298.25</v>
      </c>
      <c r="I35" s="170">
        <f>+SUMIF('BS-Details'!$A:$A,I$7&amp;" - "&amp;$C35,'BS-Details'!$J:$J)</f>
        <v>55150.39</v>
      </c>
      <c r="J35" s="170">
        <f>+SUMIF('BS-Details'!$A:$A,J$7&amp;" - "&amp;$C35,'BS-Details'!$J:$J)</f>
        <v>72299.45</v>
      </c>
      <c r="K35" s="170">
        <f>+SUMIF('BS-Details'!$A:$A,K$7&amp;" - "&amp;$C35,'BS-Details'!$J:$J)</f>
        <v>-211.51</v>
      </c>
      <c r="L35" s="178">
        <f t="shared" si="4"/>
        <v>1436644.65000001</v>
      </c>
      <c r="M35" s="170">
        <f>+SUMIF('BS-Details'!$A:$A,M$7&amp;" - "&amp;$C35,'BS-Details'!$J:$J)</f>
        <v>110921.73</v>
      </c>
      <c r="N35" s="170">
        <f>+SUMIF('BS-Details'!$A:$A,N$7&amp;" - "&amp;$C35,'BS-Details'!$J:$J)</f>
        <v>85443.73</v>
      </c>
      <c r="O35" s="178">
        <f t="shared" si="5"/>
        <v>196365.46</v>
      </c>
      <c r="P35" s="170">
        <f>+SUMIF('BS-Details'!$A:$A,P$7&amp;" - "&amp;$C35,'BS-Details'!$J:$J)</f>
        <v>144</v>
      </c>
      <c r="Q35" s="170">
        <f>+SUMIF('BS-Details'!$A:$A,Q$7&amp;" - "&amp;$C35,'BS-Details'!$J:$J)</f>
        <v>147.78</v>
      </c>
      <c r="R35" s="170">
        <f>+SUMIF('BS-Details'!$A:$A,R$7&amp;" - "&amp;$C35,'BS-Details'!$J:$J)</f>
        <v>144.93</v>
      </c>
      <c r="S35" s="170">
        <f>+SUMIF('BS-Details'!$A:$A,S$7&amp;" - "&amp;$C35,'BS-Details'!$J:$J)</f>
        <v>143.32</v>
      </c>
      <c r="T35" s="170">
        <f>+SUMIF('BS-Details'!$A:$A,T$7&amp;" - "&amp;$C35,'BS-Details'!$J:$J)</f>
        <v>146.14</v>
      </c>
      <c r="U35" s="170">
        <f>+SUMIF('BS-Details'!$A:$A,U$7&amp;" - "&amp;$C35,'BS-Details'!$J:$J)</f>
        <v>164.74</v>
      </c>
      <c r="V35" s="169">
        <f t="shared" si="6"/>
        <v>890.91</v>
      </c>
      <c r="W35" s="170">
        <f>+SUMIF('BS-Details'!$A:$A,W$7&amp;" - "&amp;$C35,'BS-Details'!$J:$J)</f>
        <v>140.64</v>
      </c>
      <c r="X35" s="170">
        <f>+SUMIF('BS-Details'!$A:$A,X$7&amp;" - "&amp;$C35,'BS-Details'!$J:$J)</f>
        <v>510.42</v>
      </c>
      <c r="Y35" s="178">
        <f t="shared" si="7"/>
        <v>1541.97</v>
      </c>
      <c r="Z35" s="170">
        <f>+SUMIF('BS-Details'!$A:$A,Z$7&amp;" - "&amp;$C35,'BS-Details'!$J:$J)</f>
        <v>1380.21</v>
      </c>
      <c r="AA35" s="170">
        <f>+SUMIF('BS-Details'!$A:$A,AA$7&amp;" - "&amp;$C35,'BS-Details'!$J:$J)</f>
        <v>6930.72</v>
      </c>
      <c r="AB35" s="178">
        <f t="shared" si="8"/>
        <v>8310.93</v>
      </c>
      <c r="AC35" s="170">
        <f>+SUMIF('BS-Details'!$A:$A,AC$7&amp;" - "&amp;$C35,'BS-Details'!$J:$J)</f>
        <v>0</v>
      </c>
      <c r="AD35" s="170">
        <f>+SUMIF('BS-Details'!$A:$A,AD$7&amp;" - "&amp;$C35,'BS-Details'!$J:$J)</f>
        <v>257943.66</v>
      </c>
      <c r="AE35" s="170">
        <f>+SUMIF('BS-Details'!$A:$A,AE$7&amp;" - "&amp;$C35,'BS-Details'!$J:$J)</f>
        <v>0</v>
      </c>
      <c r="AF35" s="170">
        <f>+SUMIF('BS-Details'!$A:$A,AF$7&amp;" - "&amp;$C35,'BS-Details'!$J:$J)</f>
        <v>0</v>
      </c>
      <c r="AG35" s="170">
        <f>+SUMIF('BS-Details'!$A:$A,AG$7&amp;" - "&amp;$C35,'BS-Details'!$J:$J)</f>
        <v>0</v>
      </c>
      <c r="AH35" s="170">
        <f>+SUMIF('BS-Details'!$A:$A,AH$7&amp;" - "&amp;$C35,'BS-Details'!$J:$J)</f>
        <v>0</v>
      </c>
      <c r="AI35" s="170">
        <f>+SUMIF('BS-Details'!$A:$A,AI$7&amp;" - "&amp;$C35,'BS-Details'!$J:$J)</f>
        <v>0</v>
      </c>
      <c r="AJ35" s="170">
        <f>+SUMIF('BS-Details'!$A:$A,AJ$7&amp;" - "&amp;$C35,'BS-Details'!$J:$J)</f>
        <v>0</v>
      </c>
      <c r="AK35" s="170">
        <f>+SUMIF('BS-Details'!$A:$A,AK$7&amp;" - "&amp;$C35,'BS-Details'!$J:$J)</f>
        <v>0</v>
      </c>
      <c r="AL35" s="178">
        <f t="shared" si="9"/>
        <v>0</v>
      </c>
      <c r="AM35" s="170">
        <f>+SUMIF('BS-Details'!$A:$A,AM$7&amp;" - "&amp;$C35,'BS-Details'!$J:$J)</f>
        <v>0</v>
      </c>
      <c r="AN35" s="170">
        <f>+SUMIF('BS-Details'!$A:$A,AN$7&amp;" - "&amp;$C35,'BS-Details'!$J:$J)</f>
        <v>0</v>
      </c>
      <c r="AO35" s="170">
        <f>+SUMIF('BS-Details'!$A:$A,AO$7&amp;" - "&amp;$C35,'BS-Details'!$J:$J)</f>
        <v>0</v>
      </c>
      <c r="AP35" s="170">
        <f>+SUMIF('BS-Details'!$A:$A,AP$7&amp;" - "&amp;$C35,'BS-Details'!$J:$J)</f>
        <v>0</v>
      </c>
      <c r="AQ35" s="170">
        <f>+SUMIF('BS-Details'!$A:$A,AQ$7&amp;" - "&amp;$C35,'BS-Details'!$J:$J)</f>
        <v>0</v>
      </c>
      <c r="AR35" s="170">
        <f>+SUMIF('BS-Details'!$A:$A,AR$7&amp;" - "&amp;$C35,'BS-Details'!$J:$J)</f>
        <v>0</v>
      </c>
      <c r="AS35" s="170">
        <f>+SUMIF('BS-Details'!$A:$A,AS$7&amp;" - "&amp;$C35,'BS-Details'!$J:$J)</f>
        <v>0</v>
      </c>
      <c r="AT35" s="170">
        <f>+SUMIF('BS-Details'!$A:$A,AT$7&amp;" - "&amp;$C35,'BS-Details'!$J:$J)</f>
        <v>0</v>
      </c>
      <c r="AU35" s="170">
        <f>+SUMIF('BS-Details'!$A:$A,AU$7&amp;" - "&amp;$C35,'BS-Details'!$J:$J)</f>
        <v>0</v>
      </c>
      <c r="AV35" s="170">
        <f>+SUMIF('BS-Details'!$A:$A,AV$7&amp;" - "&amp;$C35,'BS-Details'!$J:$J)</f>
        <v>0</v>
      </c>
      <c r="AW35" s="170">
        <f>+SUMIF('BS-Details'!$A:$A,AW$7&amp;" - "&amp;$C35,'BS-Details'!$J:$J)</f>
        <v>0</v>
      </c>
      <c r="AX35" s="170">
        <f>+SUMIF('BS-Details'!$A:$A,AX$7&amp;" - "&amp;$C35,'BS-Details'!$J:$J)</f>
        <v>0</v>
      </c>
      <c r="AY35" s="170">
        <f>+SUMIF('BS-Details'!$A:$A,AY$7&amp;" - "&amp;$C35,'BS-Details'!$J:$J)</f>
        <v>0</v>
      </c>
      <c r="AZ35" s="170">
        <f>+SUMIF('BS-Details'!$A:$A,AZ$7&amp;" - "&amp;$C35,'BS-Details'!$J:$J)</f>
        <v>0</v>
      </c>
      <c r="BA35" s="170">
        <f>+SUMIF('BS-Details'!$A:$A,BA$7&amp;" - "&amp;$C35,'BS-Details'!$J:$J)</f>
        <v>0</v>
      </c>
      <c r="BB35" s="170">
        <f>+SUMIF('BS-Details'!$A:$A,BB$7&amp;" - "&amp;$C35,'BS-Details'!$J:$J)</f>
        <v>0</v>
      </c>
      <c r="BC35" s="170">
        <f>+SUMIF('BS-Details'!$A:$A,BC$7&amp;" - "&amp;$C35,'BS-Details'!$J:$J)</f>
        <v>0</v>
      </c>
      <c r="BD35" s="170">
        <f>+SUMIF('BS-Details'!$A:$A,BD$7&amp;" - "&amp;$C35,'BS-Details'!$J:$J)</f>
        <v>0</v>
      </c>
      <c r="BE35" s="170">
        <f>+SUMIF('BS-Details'!$A:$A,BE$7&amp;" - "&amp;$C35,'BS-Details'!$J:$J)</f>
        <v>0</v>
      </c>
      <c r="BF35" s="170">
        <f>+SUMIF('BS-Details'!$A:$A,BF$7&amp;" - "&amp;$C35,'BS-Details'!$J:$J)</f>
        <v>0</v>
      </c>
      <c r="BG35" s="170">
        <f>+SUMIF('BS-Details'!$A:$A,BG$7&amp;" - "&amp;$C35,'BS-Details'!$J:$J)</f>
        <v>0</v>
      </c>
      <c r="BH35" s="170">
        <f>+SUMIF('BS-Details'!$A:$A,BH$7&amp;" - "&amp;$C35,'BS-Details'!$J:$J)</f>
        <v>0</v>
      </c>
      <c r="BI35" s="170">
        <f>+SUMIF('BS-Details'!$A:$A,BI$7&amp;" - "&amp;$C35,'BS-Details'!$J:$J)</f>
        <v>0</v>
      </c>
      <c r="BJ35" s="170">
        <f>+SUMIF('BS-Details'!$A:$A,BJ$7&amp;" - "&amp;$C35,'BS-Details'!$J:$J)</f>
        <v>0</v>
      </c>
      <c r="BK35" s="170">
        <f>+SUMIF('BS-Details'!$A:$A,BK$7&amp;" - "&amp;$C35,'BS-Details'!$J:$J)</f>
        <v>0</v>
      </c>
      <c r="BL35" s="170">
        <f>+SUMIF('BS-Details'!$A:$A,BL$7&amp;" - "&amp;$C35,'BS-Details'!$J:$J)</f>
        <v>0</v>
      </c>
      <c r="BM35" s="170">
        <f>+SUMIF('BS-Details'!$A:$A,BM$7&amp;" - "&amp;$C35,'BS-Details'!$J:$J)</f>
        <v>0</v>
      </c>
      <c r="BN35" s="170">
        <f>+SUMIF('BS-Details'!$A:$A,BN$7&amp;" - "&amp;$C35,'BS-Details'!$J:$J)</f>
        <v>0</v>
      </c>
      <c r="BO35" s="170">
        <f>+SUMIF('BS-Details'!$A:$A,BO$7&amp;" - "&amp;$C35,'BS-Details'!$J:$J)</f>
        <v>0</v>
      </c>
      <c r="BP35" s="170">
        <f>+SUMIF('BS-Details'!$A:$A,BP$7&amp;" - "&amp;$C35,'BS-Details'!$J:$J)</f>
        <v>0</v>
      </c>
      <c r="BQ35" s="170">
        <f>+SUMIF('BS-Details'!$A:$A,BQ$7&amp;" - "&amp;$C35,'BS-Details'!$J:$J)</f>
        <v>0</v>
      </c>
      <c r="BR35" s="170">
        <f>+SUMIF('BS-Details'!$A:$A,BR$7&amp;" - "&amp;$C35,'BS-Details'!$J:$J)</f>
        <v>0</v>
      </c>
      <c r="BS35" s="170">
        <f>+SUMIF('BS-Details'!$A:$A,BS$7&amp;" - "&amp;$C35,'BS-Details'!$J:$J)</f>
        <v>0</v>
      </c>
      <c r="BT35" s="170">
        <f>+SUMIF('BS-Details'!$A:$A,BT$7&amp;" - "&amp;$C35,'BS-Details'!$J:$J)</f>
        <v>0</v>
      </c>
      <c r="BU35" s="170">
        <f>+SUMIF('BS-Details'!$A:$A,BU$7&amp;" - "&amp;$C35,'BS-Details'!$J:$J)</f>
        <v>0</v>
      </c>
      <c r="BV35" s="170">
        <f>+SUMIF('BS-Details'!$A:$A,BV$7&amp;" - "&amp;$C35,'BS-Details'!$J:$J)</f>
        <v>0</v>
      </c>
      <c r="BW35" s="170">
        <f>+SUMIF('BS-Details'!$A:$A,BW$7&amp;" - "&amp;$C35,'BS-Details'!$J:$J)</f>
        <v>0</v>
      </c>
      <c r="BX35" s="170">
        <f>+SUMIF('BS-Details'!$A:$A,BX$7&amp;" - "&amp;$C35,'BS-Details'!$J:$J)</f>
        <v>0</v>
      </c>
      <c r="BY35" s="170">
        <f>+SUMIF('BS-Details'!$A:$A,BY$7&amp;" - "&amp;$C35,'BS-Details'!$J:$J)</f>
        <v>0</v>
      </c>
      <c r="BZ35" s="170">
        <f>+SUMIF('BS-Details'!$A:$A,BZ$7&amp;" - "&amp;$C35,'BS-Details'!$J:$J)</f>
        <v>0</v>
      </c>
      <c r="CA35" s="170">
        <f>+SUMIF('BS-Details'!$A:$A,CA$7&amp;" - "&amp;$C35,'BS-Details'!$J:$J)</f>
        <v>0</v>
      </c>
      <c r="CB35" s="170">
        <f>+SUMIF('BS-Details'!$A:$A,CB$7&amp;" - "&amp;$C35,'BS-Details'!$J:$J)</f>
        <v>0</v>
      </c>
      <c r="CC35" s="170">
        <f>+SUMIF('BS-Details'!$A:$A,CC$7&amp;" - "&amp;$C35,'BS-Details'!$J:$J)</f>
        <v>0</v>
      </c>
      <c r="CD35" s="170">
        <f>+SUMIF('BS-Details'!$A:$A,CD$7&amp;" - "&amp;$C35,'BS-Details'!$J:$J)</f>
        <v>0</v>
      </c>
      <c r="CE35" s="170">
        <f>+SUMIF('BS-Details'!$A:$A,CE$7&amp;" - "&amp;$C35,'BS-Details'!$J:$J)</f>
        <v>0</v>
      </c>
      <c r="CF35" s="170">
        <f>+SUMIF('BS-Details'!$A:$A,CF$7&amp;" - "&amp;$C35,'BS-Details'!$J:$J)</f>
        <v>0</v>
      </c>
      <c r="CG35" s="170">
        <f>+SUMIF('BS-Details'!$A:$A,CG$7&amp;" - "&amp;$C35,'BS-Details'!$J:$J)</f>
        <v>0</v>
      </c>
      <c r="CH35" s="170">
        <f>+SUMIF('BS-Details'!$A:$A,CH$7&amp;" - "&amp;$C35,'BS-Details'!$J:$J)</f>
        <v>0</v>
      </c>
      <c r="CI35" s="170">
        <f>+SUMIF('BS-Details'!$A:$A,CI$7&amp;" - "&amp;$C35,'BS-Details'!$J:$J)</f>
        <v>0</v>
      </c>
      <c r="CJ35" s="170">
        <f>+SUMIF('BS-Details'!$A:$A,CJ$7&amp;" - "&amp;$C35,'BS-Details'!$J:$J)</f>
        <v>0</v>
      </c>
      <c r="CK35" s="170">
        <f>+SUMIF('BS-Details'!$A:$A,CK$7&amp;" - "&amp;$C35,'BS-Details'!$J:$J)</f>
        <v>0</v>
      </c>
      <c r="CL35" s="170">
        <f>+SUMIF('BS-Details'!$A:$A,CL$7&amp;" - "&amp;$C35,'BS-Details'!$J:$J)</f>
        <v>0</v>
      </c>
      <c r="CM35" s="170">
        <f>+SUMIF('BS-Details'!$A:$A,CM$7&amp;" - "&amp;$C35,'BS-Details'!$J:$J)</f>
        <v>0</v>
      </c>
      <c r="CN35" s="170">
        <f>+SUMIF('BS-Details'!$A:$A,CN$7&amp;" - "&amp;$C35,'BS-Details'!$J:$J)</f>
        <v>0</v>
      </c>
      <c r="CO35" s="170">
        <f>+SUMIF('BS-Details'!$A:$A,CO$7&amp;" - "&amp;$C35,'BS-Details'!$J:$J)</f>
        <v>0</v>
      </c>
      <c r="CP35" s="170"/>
      <c r="CQ35" s="178">
        <f t="shared" si="10"/>
        <v>0</v>
      </c>
      <c r="CR35" s="178">
        <f t="shared" si="11"/>
        <v>0</v>
      </c>
      <c r="CS35" s="178">
        <f t="shared" si="12"/>
        <v>231294.18</v>
      </c>
      <c r="CT35" s="185">
        <f>+SUMIF('BS-Details'!$A:$A,CT$7&amp;" - "&amp;$C35,'BS-Details'!$J:$J)</f>
        <v>0</v>
      </c>
      <c r="CU35" s="170">
        <f>+SUMIF('BS-Details'!$A:$A,CU$7&amp;" - "&amp;$C35,'BS-Details'!$J:$J)</f>
        <v>215489.35</v>
      </c>
      <c r="CV35" s="170">
        <f>+SUMIF('BS-Details'!$A:$A,CV$7&amp;" - "&amp;$C35,'BS-Details'!$J:$J)</f>
        <v>15804.83</v>
      </c>
      <c r="CW35" s="189">
        <f>+SUMIF('BS-Details'!$A:$A,CW$7&amp;" - "&amp;$C35,'BS-Details'!$J:$J)</f>
        <v>0</v>
      </c>
      <c r="CX35" s="189">
        <f>+SUMIF('BS-Details'!$A:$A,CX$7&amp;" - "&amp;$C35,'BS-Details'!$J:$J)</f>
        <v>0</v>
      </c>
      <c r="CY35" s="189">
        <f t="shared" si="13"/>
        <v>231294.18</v>
      </c>
      <c r="CZ35" s="178">
        <f>+SUMIF('BS-Details'!$A:$A,CZ$7&amp;" - "&amp;$C35,'BS-Details'!$J:$J)</f>
        <v>0</v>
      </c>
      <c r="DA35" s="178">
        <f>+SUMIF('BS-Details'!$A:$A,DA$7&amp;" - "&amp;$C35,'BS-Details'!$J:$J)</f>
        <v>68</v>
      </c>
      <c r="DB35" s="193"/>
    </row>
    <row r="36" spans="1:106" ht="15.75" customHeight="true">
      <c r="A36" s="161">
        <v>21</v>
      </c>
      <c r="B36" s="161" t="s">
        <v>13890</v>
      </c>
      <c r="C36" s="163" t="s">
        <v>13893</v>
      </c>
      <c r="D36" s="163" t="s">
        <v>13893</v>
      </c>
      <c r="E36" s="169">
        <f t="shared" si="2"/>
        <v>795755.07</v>
      </c>
      <c r="F36" s="169">
        <f t="shared" si="3"/>
        <v>795665.3</v>
      </c>
      <c r="G36" s="170">
        <f>+SUMIF('BS-Details'!$A:$A,G$7&amp;" - "&amp;$C36,'BS-Details'!$J:$J)</f>
        <v>577011.62</v>
      </c>
      <c r="H36" s="170">
        <f>+SUMIF('BS-Details'!$A:$A,H$7&amp;" - "&amp;$C36,'BS-Details'!$J:$J)</f>
        <v>72650.19</v>
      </c>
      <c r="I36" s="170">
        <f>+SUMIF('BS-Details'!$A:$A,I$7&amp;" - "&amp;$C36,'BS-Details'!$J:$J)</f>
        <v>19695.08</v>
      </c>
      <c r="J36" s="170">
        <f>+SUMIF('BS-Details'!$A:$A,J$7&amp;" - "&amp;$C36,'BS-Details'!$J:$J)</f>
        <v>41975.27</v>
      </c>
      <c r="K36" s="170">
        <f>+SUMIF('BS-Details'!$A:$A,K$7&amp;" - "&amp;$C36,'BS-Details'!$J:$J)</f>
        <v>1799.62</v>
      </c>
      <c r="L36" s="178">
        <f t="shared" si="4"/>
        <v>713131.78</v>
      </c>
      <c r="M36" s="170">
        <f>+SUMIF('BS-Details'!$A:$A,M$7&amp;" - "&amp;$C36,'BS-Details'!$J:$J)</f>
        <v>51608.41</v>
      </c>
      <c r="N36" s="170">
        <f>+SUMIF('BS-Details'!$A:$A,N$7&amp;" - "&amp;$C36,'BS-Details'!$J:$J)</f>
        <v>30780.3</v>
      </c>
      <c r="O36" s="178">
        <f t="shared" si="5"/>
        <v>82388.71</v>
      </c>
      <c r="P36" s="170">
        <f>+SUMIF('BS-Details'!$A:$A,P$7&amp;" - "&amp;$C36,'BS-Details'!$J:$J)</f>
        <v>0</v>
      </c>
      <c r="Q36" s="170">
        <f>+SUMIF('BS-Details'!$A:$A,Q$7&amp;" - "&amp;$C36,'BS-Details'!$J:$J)</f>
        <v>0</v>
      </c>
      <c r="R36" s="170">
        <f>+SUMIF('BS-Details'!$A:$A,R$7&amp;" - "&amp;$C36,'BS-Details'!$J:$J)</f>
        <v>0</v>
      </c>
      <c r="S36" s="170">
        <f>+SUMIF('BS-Details'!$A:$A,S$7&amp;" - "&amp;$C36,'BS-Details'!$J:$J)</f>
        <v>0</v>
      </c>
      <c r="T36" s="170">
        <f>+SUMIF('BS-Details'!$A:$A,T$7&amp;" - "&amp;$C36,'BS-Details'!$J:$J)</f>
        <v>0</v>
      </c>
      <c r="U36" s="170">
        <f>+SUMIF('BS-Details'!$A:$A,U$7&amp;" - "&amp;$C36,'BS-Details'!$J:$J)</f>
        <v>0</v>
      </c>
      <c r="V36" s="169">
        <f t="shared" si="6"/>
        <v>0</v>
      </c>
      <c r="W36" s="170">
        <f>+SUMIF('BS-Details'!$A:$A,W$7&amp;" - "&amp;$C36,'BS-Details'!$J:$J)</f>
        <v>0</v>
      </c>
      <c r="X36" s="170">
        <f>+SUMIF('BS-Details'!$A:$A,X$7&amp;" - "&amp;$C36,'BS-Details'!$J:$J)</f>
        <v>0</v>
      </c>
      <c r="Y36" s="178">
        <f t="shared" si="7"/>
        <v>0</v>
      </c>
      <c r="Z36" s="170">
        <f>+SUMIF('BS-Details'!$A:$A,Z$7&amp;" - "&amp;$C36,'BS-Details'!$J:$J)</f>
        <v>0</v>
      </c>
      <c r="AA36" s="170">
        <f>+SUMIF('BS-Details'!$A:$A,AA$7&amp;" - "&amp;$C36,'BS-Details'!$J:$J)</f>
        <v>0</v>
      </c>
      <c r="AB36" s="178">
        <f t="shared" si="8"/>
        <v>0</v>
      </c>
      <c r="AC36" s="170">
        <f>+SUMIF('BS-Details'!$A:$A,AC$7&amp;" - "&amp;$C36,'BS-Details'!$J:$J)</f>
        <v>144.81</v>
      </c>
      <c r="AD36" s="170">
        <f>+SUMIF('BS-Details'!$A:$A,AD$7&amp;" - "&amp;$C36,'BS-Details'!$J:$J)</f>
        <v>0</v>
      </c>
      <c r="AE36" s="170">
        <f>+SUMIF('BS-Details'!$A:$A,AE$7&amp;" - "&amp;$C36,'BS-Details'!$J:$J)</f>
        <v>0</v>
      </c>
      <c r="AF36" s="170">
        <f>+SUMIF('BS-Details'!$A:$A,AF$7&amp;" - "&amp;$C36,'BS-Details'!$J:$J)</f>
        <v>0</v>
      </c>
      <c r="AG36" s="170">
        <f>+SUMIF('BS-Details'!$A:$A,AG$7&amp;" - "&amp;$C36,'BS-Details'!$J:$J)</f>
        <v>0</v>
      </c>
      <c r="AH36" s="170">
        <f>+SUMIF('BS-Details'!$A:$A,AH$7&amp;" - "&amp;$C36,'BS-Details'!$J:$J)</f>
        <v>0</v>
      </c>
      <c r="AI36" s="170">
        <f>+SUMIF('BS-Details'!$A:$A,AI$7&amp;" - "&amp;$C36,'BS-Details'!$J:$J)</f>
        <v>0</v>
      </c>
      <c r="AJ36" s="170">
        <f>+SUMIF('BS-Details'!$A:$A,AJ$7&amp;" - "&amp;$C36,'BS-Details'!$J:$J)</f>
        <v>0</v>
      </c>
      <c r="AK36" s="170">
        <f>+SUMIF('BS-Details'!$A:$A,AK$7&amp;" - "&amp;$C36,'BS-Details'!$J:$J)</f>
        <v>0</v>
      </c>
      <c r="AL36" s="178">
        <f t="shared" si="9"/>
        <v>0</v>
      </c>
      <c r="AM36" s="170">
        <f>+SUMIF('BS-Details'!$A:$A,AM$7&amp;" - "&amp;$C36,'BS-Details'!$J:$J)</f>
        <v>0</v>
      </c>
      <c r="AN36" s="170">
        <f>+SUMIF('BS-Details'!$A:$A,AN$7&amp;" - "&amp;$C36,'BS-Details'!$J:$J)</f>
        <v>0</v>
      </c>
      <c r="AO36" s="170">
        <f>+SUMIF('BS-Details'!$A:$A,AO$7&amp;" - "&amp;$C36,'BS-Details'!$J:$J)</f>
        <v>0</v>
      </c>
      <c r="AP36" s="170">
        <f>+SUMIF('BS-Details'!$A:$A,AP$7&amp;" - "&amp;$C36,'BS-Details'!$J:$J)</f>
        <v>0</v>
      </c>
      <c r="AQ36" s="170">
        <f>+SUMIF('BS-Details'!$A:$A,AQ$7&amp;" - "&amp;$C36,'BS-Details'!$J:$J)</f>
        <v>0</v>
      </c>
      <c r="AR36" s="170">
        <f>+SUMIF('BS-Details'!$A:$A,AR$7&amp;" - "&amp;$C36,'BS-Details'!$J:$J)</f>
        <v>0</v>
      </c>
      <c r="AS36" s="170">
        <f>+SUMIF('BS-Details'!$A:$A,AS$7&amp;" - "&amp;$C36,'BS-Details'!$J:$J)</f>
        <v>0</v>
      </c>
      <c r="AT36" s="170">
        <f>+SUMIF('BS-Details'!$A:$A,AT$7&amp;" - "&amp;$C36,'BS-Details'!$J:$J)</f>
        <v>0</v>
      </c>
      <c r="AU36" s="170">
        <f>+SUMIF('BS-Details'!$A:$A,AU$7&amp;" - "&amp;$C36,'BS-Details'!$J:$J)</f>
        <v>0</v>
      </c>
      <c r="AV36" s="170">
        <f>+SUMIF('BS-Details'!$A:$A,AV$7&amp;" - "&amp;$C36,'BS-Details'!$J:$J)</f>
        <v>0</v>
      </c>
      <c r="AW36" s="170">
        <f>+SUMIF('BS-Details'!$A:$A,AW$7&amp;" - "&amp;$C36,'BS-Details'!$J:$J)</f>
        <v>0</v>
      </c>
      <c r="AX36" s="170">
        <f>+SUMIF('BS-Details'!$A:$A,AX$7&amp;" - "&amp;$C36,'BS-Details'!$J:$J)</f>
        <v>0</v>
      </c>
      <c r="AY36" s="170">
        <f>+SUMIF('BS-Details'!$A:$A,AY$7&amp;" - "&amp;$C36,'BS-Details'!$J:$J)</f>
        <v>0</v>
      </c>
      <c r="AZ36" s="170">
        <f>+SUMIF('BS-Details'!$A:$A,AZ$7&amp;" - "&amp;$C36,'BS-Details'!$J:$J)</f>
        <v>0</v>
      </c>
      <c r="BA36" s="170">
        <f>+SUMIF('BS-Details'!$A:$A,BA$7&amp;" - "&amp;$C36,'BS-Details'!$J:$J)</f>
        <v>0</v>
      </c>
      <c r="BB36" s="170">
        <f>+SUMIF('BS-Details'!$A:$A,BB$7&amp;" - "&amp;$C36,'BS-Details'!$J:$J)</f>
        <v>0</v>
      </c>
      <c r="BC36" s="170">
        <f>+SUMIF('BS-Details'!$A:$A,BC$7&amp;" - "&amp;$C36,'BS-Details'!$J:$J)</f>
        <v>0</v>
      </c>
      <c r="BD36" s="170">
        <f>+SUMIF('BS-Details'!$A:$A,BD$7&amp;" - "&amp;$C36,'BS-Details'!$J:$J)</f>
        <v>0</v>
      </c>
      <c r="BE36" s="170">
        <f>+SUMIF('BS-Details'!$A:$A,BE$7&amp;" - "&amp;$C36,'BS-Details'!$J:$J)</f>
        <v>0</v>
      </c>
      <c r="BF36" s="170">
        <f>+SUMIF('BS-Details'!$A:$A,BF$7&amp;" - "&amp;$C36,'BS-Details'!$J:$J)</f>
        <v>0</v>
      </c>
      <c r="BG36" s="170">
        <f>+SUMIF('BS-Details'!$A:$A,BG$7&amp;" - "&amp;$C36,'BS-Details'!$J:$J)</f>
        <v>0</v>
      </c>
      <c r="BH36" s="170">
        <f>+SUMIF('BS-Details'!$A:$A,BH$7&amp;" - "&amp;$C36,'BS-Details'!$J:$J)</f>
        <v>0</v>
      </c>
      <c r="BI36" s="170">
        <f>+SUMIF('BS-Details'!$A:$A,BI$7&amp;" - "&amp;$C36,'BS-Details'!$J:$J)</f>
        <v>0</v>
      </c>
      <c r="BJ36" s="170">
        <f>+SUMIF('BS-Details'!$A:$A,BJ$7&amp;" - "&amp;$C36,'BS-Details'!$J:$J)</f>
        <v>0</v>
      </c>
      <c r="BK36" s="170">
        <f>+SUMIF('BS-Details'!$A:$A,BK$7&amp;" - "&amp;$C36,'BS-Details'!$J:$J)</f>
        <v>0</v>
      </c>
      <c r="BL36" s="170">
        <f>+SUMIF('BS-Details'!$A:$A,BL$7&amp;" - "&amp;$C36,'BS-Details'!$J:$J)</f>
        <v>0</v>
      </c>
      <c r="BM36" s="170">
        <f>+SUMIF('BS-Details'!$A:$A,BM$7&amp;" - "&amp;$C36,'BS-Details'!$J:$J)</f>
        <v>0</v>
      </c>
      <c r="BN36" s="170">
        <f>+SUMIF('BS-Details'!$A:$A,BN$7&amp;" - "&amp;$C36,'BS-Details'!$J:$J)</f>
        <v>0</v>
      </c>
      <c r="BO36" s="170">
        <f>+SUMIF('BS-Details'!$A:$A,BO$7&amp;" - "&amp;$C36,'BS-Details'!$J:$J)</f>
        <v>0</v>
      </c>
      <c r="BP36" s="170">
        <f>+SUMIF('BS-Details'!$A:$A,BP$7&amp;" - "&amp;$C36,'BS-Details'!$J:$J)</f>
        <v>0</v>
      </c>
      <c r="BQ36" s="170">
        <f>+SUMIF('BS-Details'!$A:$A,BQ$7&amp;" - "&amp;$C36,'BS-Details'!$J:$J)</f>
        <v>0</v>
      </c>
      <c r="BR36" s="170">
        <f>+SUMIF('BS-Details'!$A:$A,BR$7&amp;" - "&amp;$C36,'BS-Details'!$J:$J)</f>
        <v>0</v>
      </c>
      <c r="BS36" s="170">
        <f>+SUMIF('BS-Details'!$A:$A,BS$7&amp;" - "&amp;$C36,'BS-Details'!$J:$J)</f>
        <v>0</v>
      </c>
      <c r="BT36" s="170">
        <f>+SUMIF('BS-Details'!$A:$A,BT$7&amp;" - "&amp;$C36,'BS-Details'!$J:$J)</f>
        <v>0</v>
      </c>
      <c r="BU36" s="170">
        <f>+SUMIF('BS-Details'!$A:$A,BU$7&amp;" - "&amp;$C36,'BS-Details'!$J:$J)</f>
        <v>0</v>
      </c>
      <c r="BV36" s="170">
        <f>+SUMIF('BS-Details'!$A:$A,BV$7&amp;" - "&amp;$C36,'BS-Details'!$J:$J)</f>
        <v>0</v>
      </c>
      <c r="BW36" s="170">
        <f>+SUMIF('BS-Details'!$A:$A,BW$7&amp;" - "&amp;$C36,'BS-Details'!$J:$J)</f>
        <v>0</v>
      </c>
      <c r="BX36" s="170">
        <f>+SUMIF('BS-Details'!$A:$A,BX$7&amp;" - "&amp;$C36,'BS-Details'!$J:$J)</f>
        <v>0</v>
      </c>
      <c r="BY36" s="170">
        <f>+SUMIF('BS-Details'!$A:$A,BY$7&amp;" - "&amp;$C36,'BS-Details'!$J:$J)</f>
        <v>0</v>
      </c>
      <c r="BZ36" s="170">
        <f>+SUMIF('BS-Details'!$A:$A,BZ$7&amp;" - "&amp;$C36,'BS-Details'!$J:$J)</f>
        <v>0</v>
      </c>
      <c r="CA36" s="170">
        <f>+SUMIF('BS-Details'!$A:$A,CA$7&amp;" - "&amp;$C36,'BS-Details'!$J:$J)</f>
        <v>0</v>
      </c>
      <c r="CB36" s="170">
        <f>+SUMIF('BS-Details'!$A:$A,CB$7&amp;" - "&amp;$C36,'BS-Details'!$J:$J)</f>
        <v>0</v>
      </c>
      <c r="CC36" s="170">
        <f>+SUMIF('BS-Details'!$A:$A,CC$7&amp;" - "&amp;$C36,'BS-Details'!$J:$J)</f>
        <v>0</v>
      </c>
      <c r="CD36" s="170">
        <f>+SUMIF('BS-Details'!$A:$A,CD$7&amp;" - "&amp;$C36,'BS-Details'!$J:$J)</f>
        <v>0</v>
      </c>
      <c r="CE36" s="170">
        <f>+SUMIF('BS-Details'!$A:$A,CE$7&amp;" - "&amp;$C36,'BS-Details'!$J:$J)</f>
        <v>0</v>
      </c>
      <c r="CF36" s="170">
        <f>+SUMIF('BS-Details'!$A:$A,CF$7&amp;" - "&amp;$C36,'BS-Details'!$J:$J)</f>
        <v>0</v>
      </c>
      <c r="CG36" s="170">
        <f>+SUMIF('BS-Details'!$A:$A,CG$7&amp;" - "&amp;$C36,'BS-Details'!$J:$J)</f>
        <v>0</v>
      </c>
      <c r="CH36" s="170">
        <f>+SUMIF('BS-Details'!$A:$A,CH$7&amp;" - "&amp;$C36,'BS-Details'!$J:$J)</f>
        <v>0</v>
      </c>
      <c r="CI36" s="170">
        <f>+SUMIF('BS-Details'!$A:$A,CI$7&amp;" - "&amp;$C36,'BS-Details'!$J:$J)</f>
        <v>0</v>
      </c>
      <c r="CJ36" s="170">
        <f>+SUMIF('BS-Details'!$A:$A,CJ$7&amp;" - "&amp;$C36,'BS-Details'!$J:$J)</f>
        <v>0</v>
      </c>
      <c r="CK36" s="170">
        <f>+SUMIF('BS-Details'!$A:$A,CK$7&amp;" - "&amp;$C36,'BS-Details'!$J:$J)</f>
        <v>0</v>
      </c>
      <c r="CL36" s="170">
        <f>+SUMIF('BS-Details'!$A:$A,CL$7&amp;" - "&amp;$C36,'BS-Details'!$J:$J)</f>
        <v>0</v>
      </c>
      <c r="CM36" s="170">
        <f>+SUMIF('BS-Details'!$A:$A,CM$7&amp;" - "&amp;$C36,'BS-Details'!$J:$J)</f>
        <v>0</v>
      </c>
      <c r="CN36" s="170">
        <f>+SUMIF('BS-Details'!$A:$A,CN$7&amp;" - "&amp;$C36,'BS-Details'!$J:$J)</f>
        <v>0</v>
      </c>
      <c r="CO36" s="170">
        <f>+SUMIF('BS-Details'!$A:$A,CO$7&amp;" - "&amp;$C36,'BS-Details'!$J:$J)</f>
        <v>0</v>
      </c>
      <c r="CP36" s="170"/>
      <c r="CQ36" s="178">
        <f t="shared" si="10"/>
        <v>0</v>
      </c>
      <c r="CR36" s="178">
        <f t="shared" si="11"/>
        <v>0</v>
      </c>
      <c r="CS36" s="178">
        <f t="shared" si="12"/>
        <v>89.77</v>
      </c>
      <c r="CT36" s="185">
        <f>+SUMIF('BS-Details'!$A:$A,CT$7&amp;" - "&amp;$C36,'BS-Details'!$J:$J)</f>
        <v>0</v>
      </c>
      <c r="CU36" s="170">
        <f>+SUMIF('BS-Details'!$A:$A,CU$7&amp;" - "&amp;$C36,'BS-Details'!$J:$J)</f>
        <v>0</v>
      </c>
      <c r="CV36" s="170">
        <f>+SUMIF('BS-Details'!$A:$A,CV$7&amp;" - "&amp;$C36,'BS-Details'!$J:$J)</f>
        <v>0</v>
      </c>
      <c r="CW36" s="189">
        <f>+SUMIF('BS-Details'!$A:$A,CW$7&amp;" - "&amp;$C36,'BS-Details'!$J:$J)</f>
        <v>89.77</v>
      </c>
      <c r="CX36" s="189">
        <f>+SUMIF('BS-Details'!$A:$A,CX$7&amp;" - "&amp;$C36,'BS-Details'!$J:$J)</f>
        <v>0</v>
      </c>
      <c r="CY36" s="189">
        <f t="shared" si="13"/>
        <v>89.77</v>
      </c>
      <c r="CZ36" s="178">
        <f>+SUMIF('BS-Details'!$A:$A,CZ$7&amp;" - "&amp;$C36,'BS-Details'!$J:$J)</f>
        <v>0</v>
      </c>
      <c r="DA36" s="178">
        <f>+SUMIF('BS-Details'!$A:$A,DA$7&amp;" - "&amp;$C36,'BS-Details'!$J:$J)</f>
        <v>0</v>
      </c>
      <c r="DB36" s="193"/>
    </row>
    <row r="37" spans="1:106" ht="15.75" customHeight="true">
      <c r="A37" s="161">
        <v>22</v>
      </c>
      <c r="B37" s="161" t="s">
        <v>13890</v>
      </c>
      <c r="C37" s="163" t="s">
        <v>8383</v>
      </c>
      <c r="D37" s="163" t="s">
        <v>8383</v>
      </c>
      <c r="E37" s="169">
        <f t="shared" si="2"/>
        <v>-1244638.15</v>
      </c>
      <c r="F37" s="169">
        <f t="shared" si="3"/>
        <v>-928366.649999999</v>
      </c>
      <c r="G37" s="170">
        <f>+SUMIF('BS-Details'!$A:$A,G$7&amp;" - "&amp;$C37,'BS-Details'!$J:$J)</f>
        <v>-733821.849999999</v>
      </c>
      <c r="H37" s="170">
        <f>+SUMIF('BS-Details'!$A:$A,H$7&amp;" - "&amp;$C37,'BS-Details'!$J:$J)</f>
        <v>27907.5999999998</v>
      </c>
      <c r="I37" s="170">
        <f>+SUMIF('BS-Details'!$A:$A,I$7&amp;" - "&amp;$C37,'BS-Details'!$J:$J)</f>
        <v>-34309.46</v>
      </c>
      <c r="J37" s="170">
        <f>+SUMIF('BS-Details'!$A:$A,J$7&amp;" - "&amp;$C37,'BS-Details'!$J:$J)</f>
        <v>-74098.42</v>
      </c>
      <c r="K37" s="170">
        <f>+SUMIF('BS-Details'!$A:$A,K$7&amp;" - "&amp;$C37,'BS-Details'!$J:$J)</f>
        <v>-21558.39</v>
      </c>
      <c r="L37" s="178">
        <f t="shared" si="4"/>
        <v>-835880.519999999</v>
      </c>
      <c r="M37" s="170">
        <f>+SUMIF('BS-Details'!$A:$A,M$7&amp;" - "&amp;$C37,'BS-Details'!$J:$J)</f>
        <v>-50938.02</v>
      </c>
      <c r="N37" s="170">
        <f>+SUMIF('BS-Details'!$A:$A,N$7&amp;" - "&amp;$C37,'BS-Details'!$J:$J)</f>
        <v>-51806.81</v>
      </c>
      <c r="O37" s="178">
        <f t="shared" si="5"/>
        <v>-102744.83</v>
      </c>
      <c r="P37" s="170">
        <f>+SUMIF('BS-Details'!$A:$A,P$7&amp;" - "&amp;$C37,'BS-Details'!$J:$J)</f>
        <v>0</v>
      </c>
      <c r="Q37" s="170">
        <f>+SUMIF('BS-Details'!$A:$A,Q$7&amp;" - "&amp;$C37,'BS-Details'!$J:$J)</f>
        <v>0</v>
      </c>
      <c r="R37" s="170">
        <f>+SUMIF('BS-Details'!$A:$A,R$7&amp;" - "&amp;$C37,'BS-Details'!$J:$J)</f>
        <v>0</v>
      </c>
      <c r="S37" s="170">
        <f>+SUMIF('BS-Details'!$A:$A,S$7&amp;" - "&amp;$C37,'BS-Details'!$J:$J)</f>
        <v>0</v>
      </c>
      <c r="T37" s="170">
        <f>+SUMIF('BS-Details'!$A:$A,T$7&amp;" - "&amp;$C37,'BS-Details'!$J:$J)</f>
        <v>0</v>
      </c>
      <c r="U37" s="170">
        <f>+SUMIF('BS-Details'!$A:$A,U$7&amp;" - "&amp;$C37,'BS-Details'!$J:$J)</f>
        <v>0</v>
      </c>
      <c r="V37" s="169">
        <f t="shared" si="6"/>
        <v>0</v>
      </c>
      <c r="W37" s="170">
        <f>+SUMIF('BS-Details'!$A:$A,W$7&amp;" - "&amp;$C37,'BS-Details'!$J:$J)</f>
        <v>0</v>
      </c>
      <c r="X37" s="170">
        <f>+SUMIF('BS-Details'!$A:$A,X$7&amp;" - "&amp;$C37,'BS-Details'!$J:$J)</f>
        <v>-365.55</v>
      </c>
      <c r="Y37" s="178">
        <f t="shared" si="7"/>
        <v>-365.55</v>
      </c>
      <c r="Z37" s="170">
        <f>+SUMIF('BS-Details'!$A:$A,Z$7&amp;" - "&amp;$C37,'BS-Details'!$J:$J)</f>
        <v>0</v>
      </c>
      <c r="AA37" s="170">
        <f>+SUMIF('BS-Details'!$A:$A,AA$7&amp;" - "&amp;$C37,'BS-Details'!$J:$J)</f>
        <v>0</v>
      </c>
      <c r="AB37" s="178">
        <f t="shared" si="8"/>
        <v>0</v>
      </c>
      <c r="AC37" s="170">
        <f>+SUMIF('BS-Details'!$A:$A,AC$7&amp;" - "&amp;$C37,'BS-Details'!$J:$J)</f>
        <v>0</v>
      </c>
      <c r="AD37" s="170">
        <f>+SUMIF('BS-Details'!$A:$A,AD$7&amp;" - "&amp;$C37,'BS-Details'!$J:$J)</f>
        <v>0</v>
      </c>
      <c r="AE37" s="170">
        <f>+SUMIF('BS-Details'!$A:$A,AE$7&amp;" - "&amp;$C37,'BS-Details'!$J:$J)</f>
        <v>0</v>
      </c>
      <c r="AF37" s="170">
        <f>+SUMIF('BS-Details'!$A:$A,AF$7&amp;" - "&amp;$C37,'BS-Details'!$J:$J)</f>
        <v>17.5</v>
      </c>
      <c r="AG37" s="170">
        <f>+SUMIF('BS-Details'!$A:$A,AG$7&amp;" - "&amp;$C37,'BS-Details'!$J:$J)</f>
        <v>60.5</v>
      </c>
      <c r="AH37" s="170">
        <f>+SUMIF('BS-Details'!$A:$A,AH$7&amp;" - "&amp;$C37,'BS-Details'!$J:$J)</f>
        <v>8</v>
      </c>
      <c r="AI37" s="170">
        <f>+SUMIF('BS-Details'!$A:$A,AI$7&amp;" - "&amp;$C37,'BS-Details'!$J:$J)</f>
        <v>26.5</v>
      </c>
      <c r="AJ37" s="170">
        <f>+SUMIF('BS-Details'!$A:$A,AJ$7&amp;" - "&amp;$C37,'BS-Details'!$J:$J)</f>
        <v>46</v>
      </c>
      <c r="AK37" s="170">
        <f>+SUMIF('BS-Details'!$A:$A,AK$7&amp;" - "&amp;$C37,'BS-Details'!$J:$J)</f>
        <v>8293</v>
      </c>
      <c r="AL37" s="178">
        <f t="shared" si="9"/>
        <v>8451.5</v>
      </c>
      <c r="AM37" s="170">
        <f>+SUMIF('BS-Details'!$A:$A,AM$7&amp;" - "&amp;$C37,'BS-Details'!$J:$J)</f>
        <v>0</v>
      </c>
      <c r="AN37" s="170">
        <f>+SUMIF('BS-Details'!$A:$A,AN$7&amp;" - "&amp;$C37,'BS-Details'!$J:$J)</f>
        <v>104</v>
      </c>
      <c r="AO37" s="170">
        <f>+SUMIF('BS-Details'!$A:$A,AO$7&amp;" - "&amp;$C37,'BS-Details'!$J:$J)</f>
        <v>210.5</v>
      </c>
      <c r="AP37" s="170">
        <f>+SUMIF('BS-Details'!$A:$A,AP$7&amp;" - "&amp;$C37,'BS-Details'!$J:$J)</f>
        <v>0</v>
      </c>
      <c r="AQ37" s="170">
        <f>+SUMIF('BS-Details'!$A:$A,AQ$7&amp;" - "&amp;$C37,'BS-Details'!$J:$J)</f>
        <v>114</v>
      </c>
      <c r="AR37" s="170">
        <f>+SUMIF('BS-Details'!$A:$A,AR$7&amp;" - "&amp;$C37,'BS-Details'!$J:$J)</f>
        <v>0</v>
      </c>
      <c r="AS37" s="170">
        <f>+SUMIF('BS-Details'!$A:$A,AS$7&amp;" - "&amp;$C37,'BS-Details'!$J:$J)</f>
        <v>29</v>
      </c>
      <c r="AT37" s="170">
        <f>+SUMIF('BS-Details'!$A:$A,AT$7&amp;" - "&amp;$C37,'BS-Details'!$J:$J)</f>
        <v>2</v>
      </c>
      <c r="AU37" s="170">
        <f>+SUMIF('BS-Details'!$A:$A,AU$7&amp;" - "&amp;$C37,'BS-Details'!$J:$J)</f>
        <v>5.5</v>
      </c>
      <c r="AV37" s="170">
        <f>+SUMIF('BS-Details'!$A:$A,AV$7&amp;" - "&amp;$C37,'BS-Details'!$J:$J)</f>
        <v>28</v>
      </c>
      <c r="AW37" s="170">
        <f>+SUMIF('BS-Details'!$A:$A,AW$7&amp;" - "&amp;$C37,'BS-Details'!$J:$J)</f>
        <v>0</v>
      </c>
      <c r="AX37" s="170">
        <f>+SUMIF('BS-Details'!$A:$A,AX$7&amp;" - "&amp;$C37,'BS-Details'!$J:$J)</f>
        <v>0</v>
      </c>
      <c r="AY37" s="170">
        <f>+SUMIF('BS-Details'!$A:$A,AY$7&amp;" - "&amp;$C37,'BS-Details'!$J:$J)</f>
        <v>0</v>
      </c>
      <c r="AZ37" s="170">
        <f>+SUMIF('BS-Details'!$A:$A,AZ$7&amp;" - "&amp;$C37,'BS-Details'!$J:$J)</f>
        <v>12.5</v>
      </c>
      <c r="BA37" s="170">
        <f>+SUMIF('BS-Details'!$A:$A,BA$7&amp;" - "&amp;$C37,'BS-Details'!$J:$J)</f>
        <v>8.5</v>
      </c>
      <c r="BB37" s="170">
        <f>+SUMIF('BS-Details'!$A:$A,BB$7&amp;" - "&amp;$C37,'BS-Details'!$J:$J)</f>
        <v>0</v>
      </c>
      <c r="BC37" s="170">
        <f>+SUMIF('BS-Details'!$A:$A,BC$7&amp;" - "&amp;$C37,'BS-Details'!$J:$J)</f>
        <v>45.95</v>
      </c>
      <c r="BD37" s="170">
        <f>+SUMIF('BS-Details'!$A:$A,BD$7&amp;" - "&amp;$C37,'BS-Details'!$J:$J)</f>
        <v>15.4</v>
      </c>
      <c r="BE37" s="170">
        <f>+SUMIF('BS-Details'!$A:$A,BE$7&amp;" - "&amp;$C37,'BS-Details'!$J:$J)</f>
        <v>2.5</v>
      </c>
      <c r="BF37" s="170">
        <f>+SUMIF('BS-Details'!$A:$A,BF$7&amp;" - "&amp;$C37,'BS-Details'!$J:$J)</f>
        <v>0</v>
      </c>
      <c r="BG37" s="170">
        <f>+SUMIF('BS-Details'!$A:$A,BG$7&amp;" - "&amp;$C37,'BS-Details'!$J:$J)</f>
        <v>14.5</v>
      </c>
      <c r="BH37" s="170">
        <f>+SUMIF('BS-Details'!$A:$A,BH$7&amp;" - "&amp;$C37,'BS-Details'!$J:$J)</f>
        <v>0</v>
      </c>
      <c r="BI37" s="170">
        <f>+SUMIF('BS-Details'!$A:$A,BI$7&amp;" - "&amp;$C37,'BS-Details'!$J:$J)</f>
        <v>0.5</v>
      </c>
      <c r="BJ37" s="170">
        <f>+SUMIF('BS-Details'!$A:$A,BJ$7&amp;" - "&amp;$C37,'BS-Details'!$J:$J)</f>
        <v>0</v>
      </c>
      <c r="BK37" s="170">
        <f>+SUMIF('BS-Details'!$A:$A,BK$7&amp;" - "&amp;$C37,'BS-Details'!$J:$J)</f>
        <v>11.5</v>
      </c>
      <c r="BL37" s="170">
        <f>+SUMIF('BS-Details'!$A:$A,BL$7&amp;" - "&amp;$C37,'BS-Details'!$J:$J)</f>
        <v>3.5</v>
      </c>
      <c r="BM37" s="170">
        <f>+SUMIF('BS-Details'!$A:$A,BM$7&amp;" - "&amp;$C37,'BS-Details'!$J:$J)</f>
        <v>4.5</v>
      </c>
      <c r="BN37" s="170">
        <f>+SUMIF('BS-Details'!$A:$A,BN$7&amp;" - "&amp;$C37,'BS-Details'!$J:$J)</f>
        <v>6.5</v>
      </c>
      <c r="BO37" s="170">
        <f>+SUMIF('BS-Details'!$A:$A,BO$7&amp;" - "&amp;$C37,'BS-Details'!$J:$J)</f>
        <v>0</v>
      </c>
      <c r="BP37" s="170">
        <f>+SUMIF('BS-Details'!$A:$A,BP$7&amp;" - "&amp;$C37,'BS-Details'!$J:$J)</f>
        <v>1</v>
      </c>
      <c r="BQ37" s="170">
        <f>+SUMIF('BS-Details'!$A:$A,BQ$7&amp;" - "&amp;$C37,'BS-Details'!$J:$J)</f>
        <v>6.5</v>
      </c>
      <c r="BR37" s="170">
        <f>+SUMIF('BS-Details'!$A:$A,BR$7&amp;" - "&amp;$C37,'BS-Details'!$J:$J)</f>
        <v>62</v>
      </c>
      <c r="BS37" s="170">
        <f>+SUMIF('BS-Details'!$A:$A,BS$7&amp;" - "&amp;$C37,'BS-Details'!$J:$J)</f>
        <v>0</v>
      </c>
      <c r="BT37" s="170">
        <f>+SUMIF('BS-Details'!$A:$A,BT$7&amp;" - "&amp;$C37,'BS-Details'!$J:$J)</f>
        <v>0</v>
      </c>
      <c r="BU37" s="170">
        <f>+SUMIF('BS-Details'!$A:$A,BU$7&amp;" - "&amp;$C37,'BS-Details'!$J:$J)</f>
        <v>0</v>
      </c>
      <c r="BV37" s="170">
        <f>+SUMIF('BS-Details'!$A:$A,BV$7&amp;" - "&amp;$C37,'BS-Details'!$J:$J)</f>
        <v>0</v>
      </c>
      <c r="BW37" s="170">
        <f>+SUMIF('BS-Details'!$A:$A,BW$7&amp;" - "&amp;$C37,'BS-Details'!$J:$J)</f>
        <v>53.5</v>
      </c>
      <c r="BX37" s="170">
        <f>+SUMIF('BS-Details'!$A:$A,BX$7&amp;" - "&amp;$C37,'BS-Details'!$J:$J)</f>
        <v>67</v>
      </c>
      <c r="BY37" s="170">
        <f>+SUMIF('BS-Details'!$A:$A,BY$7&amp;" - "&amp;$C37,'BS-Details'!$J:$J)</f>
        <v>0</v>
      </c>
      <c r="BZ37" s="170">
        <f>+SUMIF('BS-Details'!$A:$A,BZ$7&amp;" - "&amp;$C37,'BS-Details'!$J:$J)</f>
        <v>25.5</v>
      </c>
      <c r="CA37" s="170">
        <f>+SUMIF('BS-Details'!$A:$A,CA$7&amp;" - "&amp;$C37,'BS-Details'!$J:$J)</f>
        <v>0</v>
      </c>
      <c r="CB37" s="170">
        <f>+SUMIF('BS-Details'!$A:$A,CB$7&amp;" - "&amp;$C37,'BS-Details'!$J:$J)</f>
        <v>13.5</v>
      </c>
      <c r="CC37" s="170">
        <f>+SUMIF('BS-Details'!$A:$A,CC$7&amp;" - "&amp;$C37,'BS-Details'!$J:$J)</f>
        <v>0</v>
      </c>
      <c r="CD37" s="170">
        <f>+SUMIF('BS-Details'!$A:$A,CD$7&amp;" - "&amp;$C37,'BS-Details'!$J:$J)</f>
        <v>0</v>
      </c>
      <c r="CE37" s="170">
        <f>+SUMIF('BS-Details'!$A:$A,CE$7&amp;" - "&amp;$C37,'BS-Details'!$J:$J)</f>
        <v>24.95</v>
      </c>
      <c r="CF37" s="170">
        <f>+SUMIF('BS-Details'!$A:$A,CF$7&amp;" - "&amp;$C37,'BS-Details'!$J:$J)</f>
        <v>696.85</v>
      </c>
      <c r="CG37" s="170">
        <f>+SUMIF('BS-Details'!$A:$A,CG$7&amp;" - "&amp;$C37,'BS-Details'!$J:$J)</f>
        <v>0.5</v>
      </c>
      <c r="CH37" s="170">
        <f>+SUMIF('BS-Details'!$A:$A,CH$7&amp;" - "&amp;$C37,'BS-Details'!$J:$J)</f>
        <v>9.9</v>
      </c>
      <c r="CI37" s="170">
        <f>+SUMIF('BS-Details'!$A:$A,CI$7&amp;" - "&amp;$C37,'BS-Details'!$J:$J)</f>
        <v>43</v>
      </c>
      <c r="CJ37" s="170">
        <f>+SUMIF('BS-Details'!$A:$A,CJ$7&amp;" - "&amp;$C37,'BS-Details'!$J:$J)</f>
        <v>25.5</v>
      </c>
      <c r="CK37" s="170">
        <f>+SUMIF('BS-Details'!$A:$A,CK$7&amp;" - "&amp;$C37,'BS-Details'!$J:$J)</f>
        <v>0</v>
      </c>
      <c r="CL37" s="170">
        <f>+SUMIF('BS-Details'!$A:$A,CL$7&amp;" - "&amp;$C37,'BS-Details'!$J:$J)</f>
        <v>12.4</v>
      </c>
      <c r="CM37" s="170">
        <f>+SUMIF('BS-Details'!$A:$A,CM$7&amp;" - "&amp;$C37,'BS-Details'!$J:$J)</f>
        <v>52.5</v>
      </c>
      <c r="CN37" s="170">
        <f>+SUMIF('BS-Details'!$A:$A,CN$7&amp;" - "&amp;$C37,'BS-Details'!$J:$J)</f>
        <v>188</v>
      </c>
      <c r="CO37" s="170">
        <f>+SUMIF('BS-Details'!$A:$A,CO$7&amp;" - "&amp;$C37,'BS-Details'!$J:$J)</f>
        <v>271.3</v>
      </c>
      <c r="CP37" s="170"/>
      <c r="CQ37" s="178">
        <f t="shared" si="10"/>
        <v>2172.75</v>
      </c>
      <c r="CR37" s="178">
        <f t="shared" si="11"/>
        <v>10624.25</v>
      </c>
      <c r="CS37" s="178">
        <f t="shared" si="12"/>
        <v>0</v>
      </c>
      <c r="CT37" s="185">
        <f>+SUMIF('BS-Details'!$A:$A,CT$7&amp;" - "&amp;$C37,'BS-Details'!$J:$J)</f>
        <v>0</v>
      </c>
      <c r="CU37" s="170">
        <f>+SUMIF('BS-Details'!$A:$A,CU$7&amp;" - "&amp;$C37,'BS-Details'!$J:$J)</f>
        <v>0</v>
      </c>
      <c r="CV37" s="170">
        <f>+SUMIF('BS-Details'!$A:$A,CV$7&amp;" - "&amp;$C37,'BS-Details'!$J:$J)</f>
        <v>0</v>
      </c>
      <c r="CW37" s="189">
        <f>+SUMIF('BS-Details'!$A:$A,CW$7&amp;" - "&amp;$C37,'BS-Details'!$J:$J)</f>
        <v>0</v>
      </c>
      <c r="CX37" s="189">
        <f>+SUMIF('BS-Details'!$A:$A,CX$7&amp;" - "&amp;$C37,'BS-Details'!$J:$J)</f>
        <v>0</v>
      </c>
      <c r="CY37" s="189">
        <f t="shared" si="13"/>
        <v>0</v>
      </c>
      <c r="CZ37" s="178">
        <f>+SUMIF('BS-Details'!$A:$A,CZ$7&amp;" - "&amp;$C37,'BS-Details'!$J:$J)</f>
        <v>0</v>
      </c>
      <c r="DA37" s="178">
        <f>+SUMIF('BS-Details'!$A:$A,DA$7&amp;" - "&amp;$C37,'BS-Details'!$J:$J)</f>
        <v>-316271.5</v>
      </c>
      <c r="DB37" s="193"/>
    </row>
    <row r="38" spans="1:106" ht="15.75" customHeight="true">
      <c r="A38" s="161">
        <v>23</v>
      </c>
      <c r="B38" s="161" t="s">
        <v>13890</v>
      </c>
      <c r="C38" s="163" t="s">
        <v>5158</v>
      </c>
      <c r="D38" s="163" t="s">
        <v>5158</v>
      </c>
      <c r="E38" s="169">
        <f t="shared" si="2"/>
        <v>0</v>
      </c>
      <c r="F38" s="169">
        <f t="shared" si="3"/>
        <v>0</v>
      </c>
      <c r="G38" s="170">
        <f>+SUMIF('BS-Details'!$A:$A,G$7&amp;" - "&amp;$C38,'BS-Details'!$J:$J)</f>
        <v>0</v>
      </c>
      <c r="H38" s="170">
        <f>+SUMIF('BS-Details'!$A:$A,H$7&amp;" - "&amp;$C38,'BS-Details'!$J:$J)</f>
        <v>0</v>
      </c>
      <c r="I38" s="170">
        <f>+SUMIF('BS-Details'!$A:$A,I$7&amp;" - "&amp;$C38,'BS-Details'!$J:$J)</f>
        <v>0</v>
      </c>
      <c r="J38" s="170">
        <f>+SUMIF('BS-Details'!$A:$A,J$7&amp;" - "&amp;$C38,'BS-Details'!$J:$J)</f>
        <v>0</v>
      </c>
      <c r="K38" s="170">
        <f>+SUMIF('BS-Details'!$A:$A,K$7&amp;" - "&amp;$C38,'BS-Details'!$J:$J)</f>
        <v>0</v>
      </c>
      <c r="L38" s="178">
        <f t="shared" si="4"/>
        <v>0</v>
      </c>
      <c r="M38" s="170">
        <f>+SUMIF('BS-Details'!$A:$A,M$7&amp;" - "&amp;$C38,'BS-Details'!$J:$J)</f>
        <v>0</v>
      </c>
      <c r="N38" s="170">
        <f>+SUMIF('BS-Details'!$A:$A,N$7&amp;" - "&amp;$C38,'BS-Details'!$J:$J)</f>
        <v>0</v>
      </c>
      <c r="O38" s="178">
        <f t="shared" si="5"/>
        <v>0</v>
      </c>
      <c r="P38" s="170">
        <f>+SUMIF('BS-Details'!$A:$A,P$7&amp;" - "&amp;$C38,'BS-Details'!$J:$J)</f>
        <v>0</v>
      </c>
      <c r="Q38" s="170">
        <f>+SUMIF('BS-Details'!$A:$A,Q$7&amp;" - "&amp;$C38,'BS-Details'!$J:$J)</f>
        <v>0</v>
      </c>
      <c r="R38" s="170">
        <f>+SUMIF('BS-Details'!$A:$A,R$7&amp;" - "&amp;$C38,'BS-Details'!$J:$J)</f>
        <v>0</v>
      </c>
      <c r="S38" s="170">
        <f>+SUMIF('BS-Details'!$A:$A,S$7&amp;" - "&amp;$C38,'BS-Details'!$J:$J)</f>
        <v>0</v>
      </c>
      <c r="T38" s="170">
        <f>+SUMIF('BS-Details'!$A:$A,T$7&amp;" - "&amp;$C38,'BS-Details'!$J:$J)</f>
        <v>0</v>
      </c>
      <c r="U38" s="170">
        <f>+SUMIF('BS-Details'!$A:$A,U$7&amp;" - "&amp;$C38,'BS-Details'!$J:$J)</f>
        <v>0</v>
      </c>
      <c r="V38" s="169">
        <f t="shared" si="6"/>
        <v>0</v>
      </c>
      <c r="W38" s="170">
        <f>+SUMIF('BS-Details'!$A:$A,W$7&amp;" - "&amp;$C38,'BS-Details'!$J:$J)</f>
        <v>0</v>
      </c>
      <c r="X38" s="170">
        <f>+SUMIF('BS-Details'!$A:$A,X$7&amp;" - "&amp;$C38,'BS-Details'!$J:$J)</f>
        <v>0</v>
      </c>
      <c r="Y38" s="178">
        <f t="shared" si="7"/>
        <v>0</v>
      </c>
      <c r="Z38" s="170">
        <f>+SUMIF('BS-Details'!$A:$A,Z$7&amp;" - "&amp;$C38,'BS-Details'!$J:$J)</f>
        <v>0</v>
      </c>
      <c r="AA38" s="170">
        <f>+SUMIF('BS-Details'!$A:$A,AA$7&amp;" - "&amp;$C38,'BS-Details'!$J:$J)</f>
        <v>0</v>
      </c>
      <c r="AB38" s="178">
        <f t="shared" si="8"/>
        <v>0</v>
      </c>
      <c r="AC38" s="170">
        <f>+SUMIF('BS-Details'!$A:$A,AC$7&amp;" - "&amp;$C38,'BS-Details'!$J:$J)</f>
        <v>0</v>
      </c>
      <c r="AD38" s="170">
        <f>+SUMIF('BS-Details'!$A:$A,AD$7&amp;" - "&amp;$C38,'BS-Details'!$J:$J)</f>
        <v>0</v>
      </c>
      <c r="AE38" s="170">
        <f>+SUMIF('BS-Details'!$A:$A,AE$7&amp;" - "&amp;$C38,'BS-Details'!$J:$J)</f>
        <v>0</v>
      </c>
      <c r="AF38" s="170">
        <f>+SUMIF('BS-Details'!$A:$A,AF$7&amp;" - "&amp;$C38,'BS-Details'!$J:$J)</f>
        <v>0</v>
      </c>
      <c r="AG38" s="170">
        <f>+SUMIF('BS-Details'!$A:$A,AG$7&amp;" - "&amp;$C38,'BS-Details'!$J:$J)</f>
        <v>0</v>
      </c>
      <c r="AH38" s="170">
        <f>+SUMIF('BS-Details'!$A:$A,AH$7&amp;" - "&amp;$C38,'BS-Details'!$J:$J)</f>
        <v>0</v>
      </c>
      <c r="AI38" s="170">
        <f>+SUMIF('BS-Details'!$A:$A,AI$7&amp;" - "&amp;$C38,'BS-Details'!$J:$J)</f>
        <v>0</v>
      </c>
      <c r="AJ38" s="170">
        <f>+SUMIF('BS-Details'!$A:$A,AJ$7&amp;" - "&amp;$C38,'BS-Details'!$J:$J)</f>
        <v>0</v>
      </c>
      <c r="AK38" s="170">
        <f>+SUMIF('BS-Details'!$A:$A,AK$7&amp;" - "&amp;$C38,'BS-Details'!$J:$J)</f>
        <v>0</v>
      </c>
      <c r="AL38" s="178">
        <f t="shared" si="9"/>
        <v>0</v>
      </c>
      <c r="AM38" s="170">
        <f>+SUMIF('BS-Details'!$A:$A,AM$7&amp;" - "&amp;$C38,'BS-Details'!$J:$J)</f>
        <v>0</v>
      </c>
      <c r="AN38" s="170">
        <f>+SUMIF('BS-Details'!$A:$A,AN$7&amp;" - "&amp;$C38,'BS-Details'!$J:$J)</f>
        <v>0</v>
      </c>
      <c r="AO38" s="170">
        <f>+SUMIF('BS-Details'!$A:$A,AO$7&amp;" - "&amp;$C38,'BS-Details'!$J:$J)</f>
        <v>0</v>
      </c>
      <c r="AP38" s="170">
        <f>+SUMIF('BS-Details'!$A:$A,AP$7&amp;" - "&amp;$C38,'BS-Details'!$J:$J)</f>
        <v>0</v>
      </c>
      <c r="AQ38" s="170">
        <f>+SUMIF('BS-Details'!$A:$A,AQ$7&amp;" - "&amp;$C38,'BS-Details'!$J:$J)</f>
        <v>0</v>
      </c>
      <c r="AR38" s="170">
        <f>+SUMIF('BS-Details'!$A:$A,AR$7&amp;" - "&amp;$C38,'BS-Details'!$J:$J)</f>
        <v>0</v>
      </c>
      <c r="AS38" s="170">
        <f>+SUMIF('BS-Details'!$A:$A,AS$7&amp;" - "&amp;$C38,'BS-Details'!$J:$J)</f>
        <v>0</v>
      </c>
      <c r="AT38" s="170">
        <f>+SUMIF('BS-Details'!$A:$A,AT$7&amp;" - "&amp;$C38,'BS-Details'!$J:$J)</f>
        <v>0</v>
      </c>
      <c r="AU38" s="170">
        <f>+SUMIF('BS-Details'!$A:$A,AU$7&amp;" - "&amp;$C38,'BS-Details'!$J:$J)</f>
        <v>0</v>
      </c>
      <c r="AV38" s="170">
        <f>+SUMIF('BS-Details'!$A:$A,AV$7&amp;" - "&amp;$C38,'BS-Details'!$J:$J)</f>
        <v>0</v>
      </c>
      <c r="AW38" s="170">
        <f>+SUMIF('BS-Details'!$A:$A,AW$7&amp;" - "&amp;$C38,'BS-Details'!$J:$J)</f>
        <v>0</v>
      </c>
      <c r="AX38" s="170">
        <f>+SUMIF('BS-Details'!$A:$A,AX$7&amp;" - "&amp;$C38,'BS-Details'!$J:$J)</f>
        <v>0</v>
      </c>
      <c r="AY38" s="170">
        <f>+SUMIF('BS-Details'!$A:$A,AY$7&amp;" - "&amp;$C38,'BS-Details'!$J:$J)</f>
        <v>0</v>
      </c>
      <c r="AZ38" s="170">
        <f>+SUMIF('BS-Details'!$A:$A,AZ$7&amp;" - "&amp;$C38,'BS-Details'!$J:$J)</f>
        <v>0</v>
      </c>
      <c r="BA38" s="170">
        <f>+SUMIF('BS-Details'!$A:$A,BA$7&amp;" - "&amp;$C38,'BS-Details'!$J:$J)</f>
        <v>0</v>
      </c>
      <c r="BB38" s="170">
        <f>+SUMIF('BS-Details'!$A:$A,BB$7&amp;" - "&amp;$C38,'BS-Details'!$J:$J)</f>
        <v>0</v>
      </c>
      <c r="BC38" s="170">
        <f>+SUMIF('BS-Details'!$A:$A,BC$7&amp;" - "&amp;$C38,'BS-Details'!$J:$J)</f>
        <v>0</v>
      </c>
      <c r="BD38" s="170">
        <f>+SUMIF('BS-Details'!$A:$A,BD$7&amp;" - "&amp;$C38,'BS-Details'!$J:$J)</f>
        <v>0</v>
      </c>
      <c r="BE38" s="170">
        <f>+SUMIF('BS-Details'!$A:$A,BE$7&amp;" - "&amp;$C38,'BS-Details'!$J:$J)</f>
        <v>0</v>
      </c>
      <c r="BF38" s="170">
        <f>+SUMIF('BS-Details'!$A:$A,BF$7&amp;" - "&amp;$C38,'BS-Details'!$J:$J)</f>
        <v>0</v>
      </c>
      <c r="BG38" s="170">
        <f>+SUMIF('BS-Details'!$A:$A,BG$7&amp;" - "&amp;$C38,'BS-Details'!$J:$J)</f>
        <v>0</v>
      </c>
      <c r="BH38" s="170">
        <f>+SUMIF('BS-Details'!$A:$A,BH$7&amp;" - "&amp;$C38,'BS-Details'!$J:$J)</f>
        <v>0</v>
      </c>
      <c r="BI38" s="170">
        <f>+SUMIF('BS-Details'!$A:$A,BI$7&amp;" - "&amp;$C38,'BS-Details'!$J:$J)</f>
        <v>0</v>
      </c>
      <c r="BJ38" s="170">
        <f>+SUMIF('BS-Details'!$A:$A,BJ$7&amp;" - "&amp;$C38,'BS-Details'!$J:$J)</f>
        <v>0</v>
      </c>
      <c r="BK38" s="170">
        <f>+SUMIF('BS-Details'!$A:$A,BK$7&amp;" - "&amp;$C38,'BS-Details'!$J:$J)</f>
        <v>0</v>
      </c>
      <c r="BL38" s="170">
        <f>+SUMIF('BS-Details'!$A:$A,BL$7&amp;" - "&amp;$C38,'BS-Details'!$J:$J)</f>
        <v>0</v>
      </c>
      <c r="BM38" s="170">
        <f>+SUMIF('BS-Details'!$A:$A,BM$7&amp;" - "&amp;$C38,'BS-Details'!$J:$J)</f>
        <v>0</v>
      </c>
      <c r="BN38" s="170">
        <f>+SUMIF('BS-Details'!$A:$A,BN$7&amp;" - "&amp;$C38,'BS-Details'!$J:$J)</f>
        <v>0</v>
      </c>
      <c r="BO38" s="170">
        <f>+SUMIF('BS-Details'!$A:$A,BO$7&amp;" - "&amp;$C38,'BS-Details'!$J:$J)</f>
        <v>0</v>
      </c>
      <c r="BP38" s="170">
        <f>+SUMIF('BS-Details'!$A:$A,BP$7&amp;" - "&amp;$C38,'BS-Details'!$J:$J)</f>
        <v>0</v>
      </c>
      <c r="BQ38" s="170">
        <f>+SUMIF('BS-Details'!$A:$A,BQ$7&amp;" - "&amp;$C38,'BS-Details'!$J:$J)</f>
        <v>0</v>
      </c>
      <c r="BR38" s="170">
        <f>+SUMIF('BS-Details'!$A:$A,BR$7&amp;" - "&amp;$C38,'BS-Details'!$J:$J)</f>
        <v>0</v>
      </c>
      <c r="BS38" s="170">
        <f>+SUMIF('BS-Details'!$A:$A,BS$7&amp;" - "&amp;$C38,'BS-Details'!$J:$J)</f>
        <v>0</v>
      </c>
      <c r="BT38" s="170">
        <f>+SUMIF('BS-Details'!$A:$A,BT$7&amp;" - "&amp;$C38,'BS-Details'!$J:$J)</f>
        <v>0</v>
      </c>
      <c r="BU38" s="170">
        <f>+SUMIF('BS-Details'!$A:$A,BU$7&amp;" - "&amp;$C38,'BS-Details'!$J:$J)</f>
        <v>0</v>
      </c>
      <c r="BV38" s="170">
        <f>+SUMIF('BS-Details'!$A:$A,BV$7&amp;" - "&amp;$C38,'BS-Details'!$J:$J)</f>
        <v>0</v>
      </c>
      <c r="BW38" s="170">
        <f>+SUMIF('BS-Details'!$A:$A,BW$7&amp;" - "&amp;$C38,'BS-Details'!$J:$J)</f>
        <v>0</v>
      </c>
      <c r="BX38" s="170">
        <f>+SUMIF('BS-Details'!$A:$A,BX$7&amp;" - "&amp;$C38,'BS-Details'!$J:$J)</f>
        <v>0</v>
      </c>
      <c r="BY38" s="170">
        <f>+SUMIF('BS-Details'!$A:$A,BY$7&amp;" - "&amp;$C38,'BS-Details'!$J:$J)</f>
        <v>0</v>
      </c>
      <c r="BZ38" s="170">
        <f>+SUMIF('BS-Details'!$A:$A,BZ$7&amp;" - "&amp;$C38,'BS-Details'!$J:$J)</f>
        <v>0</v>
      </c>
      <c r="CA38" s="170">
        <f>+SUMIF('BS-Details'!$A:$A,CA$7&amp;" - "&amp;$C38,'BS-Details'!$J:$J)</f>
        <v>0</v>
      </c>
      <c r="CB38" s="170">
        <f>+SUMIF('BS-Details'!$A:$A,CB$7&amp;" - "&amp;$C38,'BS-Details'!$J:$J)</f>
        <v>0</v>
      </c>
      <c r="CC38" s="170">
        <f>+SUMIF('BS-Details'!$A:$A,CC$7&amp;" - "&amp;$C38,'BS-Details'!$J:$J)</f>
        <v>0</v>
      </c>
      <c r="CD38" s="170">
        <f>+SUMIF('BS-Details'!$A:$A,CD$7&amp;" - "&amp;$C38,'BS-Details'!$J:$J)</f>
        <v>0</v>
      </c>
      <c r="CE38" s="170">
        <f>+SUMIF('BS-Details'!$A:$A,CE$7&amp;" - "&amp;$C38,'BS-Details'!$J:$J)</f>
        <v>0</v>
      </c>
      <c r="CF38" s="170">
        <f>+SUMIF('BS-Details'!$A:$A,CF$7&amp;" - "&amp;$C38,'BS-Details'!$J:$J)</f>
        <v>0</v>
      </c>
      <c r="CG38" s="170">
        <f>+SUMIF('BS-Details'!$A:$A,CG$7&amp;" - "&amp;$C38,'BS-Details'!$J:$J)</f>
        <v>0</v>
      </c>
      <c r="CH38" s="170">
        <f>+SUMIF('BS-Details'!$A:$A,CH$7&amp;" - "&amp;$C38,'BS-Details'!$J:$J)</f>
        <v>0</v>
      </c>
      <c r="CI38" s="170">
        <f>+SUMIF('BS-Details'!$A:$A,CI$7&amp;" - "&amp;$C38,'BS-Details'!$J:$J)</f>
        <v>0</v>
      </c>
      <c r="CJ38" s="170">
        <f>+SUMIF('BS-Details'!$A:$A,CJ$7&amp;" - "&amp;$C38,'BS-Details'!$J:$J)</f>
        <v>0</v>
      </c>
      <c r="CK38" s="170">
        <f>+SUMIF('BS-Details'!$A:$A,CK$7&amp;" - "&amp;$C38,'BS-Details'!$J:$J)</f>
        <v>0</v>
      </c>
      <c r="CL38" s="170">
        <f>+SUMIF('BS-Details'!$A:$A,CL$7&amp;" - "&amp;$C38,'BS-Details'!$J:$J)</f>
        <v>0</v>
      </c>
      <c r="CM38" s="170">
        <f>+SUMIF('BS-Details'!$A:$A,CM$7&amp;" - "&amp;$C38,'BS-Details'!$J:$J)</f>
        <v>0</v>
      </c>
      <c r="CN38" s="170">
        <f>+SUMIF('BS-Details'!$A:$A,CN$7&amp;" - "&amp;$C38,'BS-Details'!$J:$J)</f>
        <v>0</v>
      </c>
      <c r="CO38" s="170">
        <f>+SUMIF('BS-Details'!$A:$A,CO$7&amp;" - "&amp;$C38,'BS-Details'!$J:$J)</f>
        <v>0</v>
      </c>
      <c r="CP38" s="170"/>
      <c r="CQ38" s="178">
        <f t="shared" si="10"/>
        <v>0</v>
      </c>
      <c r="CR38" s="178">
        <f t="shared" si="11"/>
        <v>0</v>
      </c>
      <c r="CS38" s="178">
        <f t="shared" si="12"/>
        <v>0</v>
      </c>
      <c r="CT38" s="185">
        <f>+SUMIF('BS-Details'!$A:$A,CT$7&amp;" - "&amp;$C38,'BS-Details'!$J:$J)</f>
        <v>0</v>
      </c>
      <c r="CU38" s="170">
        <f>+SUMIF('BS-Details'!$A:$A,CU$7&amp;" - "&amp;$C38,'BS-Details'!$J:$J)</f>
        <v>0</v>
      </c>
      <c r="CV38" s="170">
        <f>+SUMIF('BS-Details'!$A:$A,CV$7&amp;" - "&amp;$C38,'BS-Details'!$J:$J)</f>
        <v>0</v>
      </c>
      <c r="CW38" s="189">
        <f>+SUMIF('BS-Details'!$A:$A,CW$7&amp;" - "&amp;$C38,'BS-Details'!$J:$J)</f>
        <v>0</v>
      </c>
      <c r="CX38" s="189">
        <f>+SUMIF('BS-Details'!$A:$A,CX$7&amp;" - "&amp;$C38,'BS-Details'!$J:$J)</f>
        <v>0</v>
      </c>
      <c r="CY38" s="189">
        <f t="shared" si="13"/>
        <v>0</v>
      </c>
      <c r="CZ38" s="178">
        <f>+SUMIF('BS-Details'!$A:$A,CZ$7&amp;" - "&amp;$C38,'BS-Details'!$J:$J)</f>
        <v>0</v>
      </c>
      <c r="DA38" s="178">
        <f>+SUMIF('BS-Details'!$A:$A,DA$7&amp;" - "&amp;$C38,'BS-Details'!$J:$J)</f>
        <v>0</v>
      </c>
      <c r="DB38" s="193"/>
    </row>
    <row r="39" spans="1:106" ht="15.75" customHeight="true">
      <c r="A39" s="161">
        <v>24</v>
      </c>
      <c r="B39" s="161" t="s">
        <v>13890</v>
      </c>
      <c r="C39" s="163" t="s">
        <v>5920</v>
      </c>
      <c r="D39" s="163" t="s">
        <v>5920</v>
      </c>
      <c r="E39" s="169">
        <f t="shared" si="2"/>
        <v>0</v>
      </c>
      <c r="F39" s="169">
        <f t="shared" si="3"/>
        <v>0</v>
      </c>
      <c r="G39" s="170">
        <f>+SUMIF('BS-Details'!$A:$A,G$7&amp;" - "&amp;$C39,'BS-Details'!$J:$J)</f>
        <v>0</v>
      </c>
      <c r="H39" s="170">
        <f>+SUMIF('BS-Details'!$A:$A,H$7&amp;" - "&amp;$C39,'BS-Details'!$J:$J)</f>
        <v>0</v>
      </c>
      <c r="I39" s="170">
        <f>+SUMIF('BS-Details'!$A:$A,I$7&amp;" - "&amp;$C39,'BS-Details'!$J:$J)</f>
        <v>0</v>
      </c>
      <c r="J39" s="170">
        <f>+SUMIF('BS-Details'!$A:$A,J$7&amp;" - "&amp;$C39,'BS-Details'!$J:$J)</f>
        <v>0</v>
      </c>
      <c r="K39" s="170">
        <f>+SUMIF('BS-Details'!$A:$A,K$7&amp;" - "&amp;$C39,'BS-Details'!$J:$J)</f>
        <v>0</v>
      </c>
      <c r="L39" s="178">
        <f t="shared" si="4"/>
        <v>0</v>
      </c>
      <c r="M39" s="170">
        <f>+SUMIF('BS-Details'!$A:$A,M$7&amp;" - "&amp;$C39,'BS-Details'!$J:$J)</f>
        <v>0</v>
      </c>
      <c r="N39" s="170">
        <f>+SUMIF('BS-Details'!$A:$A,N$7&amp;" - "&amp;$C39,'BS-Details'!$J:$J)</f>
        <v>0</v>
      </c>
      <c r="O39" s="178">
        <f t="shared" si="5"/>
        <v>0</v>
      </c>
      <c r="P39" s="170">
        <f>+SUMIF('BS-Details'!$A:$A,P$7&amp;" - "&amp;$C39,'BS-Details'!$J:$J)</f>
        <v>0</v>
      </c>
      <c r="Q39" s="182">
        <f>+SUMIF('BS-Details'!$A:$A,Q$7&amp;" - "&amp;$C39,'BS-Details'!$J:$J)</f>
        <v>0</v>
      </c>
      <c r="R39" s="170">
        <f>+SUMIF('BS-Details'!$A:$A,R$7&amp;" - "&amp;$C39,'BS-Details'!$J:$J)</f>
        <v>0</v>
      </c>
      <c r="S39" s="170">
        <f>+SUMIF('BS-Details'!$A:$A,S$7&amp;" - "&amp;$C39,'BS-Details'!$J:$J)</f>
        <v>0</v>
      </c>
      <c r="T39" s="170">
        <f>+SUMIF('BS-Details'!$A:$A,T$7&amp;" - "&amp;$C39,'BS-Details'!$J:$J)</f>
        <v>0</v>
      </c>
      <c r="U39" s="170">
        <f>+SUMIF('BS-Details'!$A:$A,U$7&amp;" - "&amp;$C39,'BS-Details'!$J:$J)</f>
        <v>0</v>
      </c>
      <c r="V39" s="169">
        <f t="shared" si="6"/>
        <v>0</v>
      </c>
      <c r="W39" s="170">
        <f>+SUMIF('BS-Details'!$A:$A,W$7&amp;" - "&amp;$C39,'BS-Details'!$J:$J)</f>
        <v>0</v>
      </c>
      <c r="X39" s="170">
        <f>+SUMIF('BS-Details'!$A:$A,X$7&amp;" - "&amp;$C39,'BS-Details'!$J:$J)</f>
        <v>0</v>
      </c>
      <c r="Y39" s="178">
        <f t="shared" si="7"/>
        <v>0</v>
      </c>
      <c r="Z39" s="170">
        <f>+SUMIF('BS-Details'!$A:$A,Z$7&amp;" - "&amp;$C39,'BS-Details'!$J:$J)</f>
        <v>0</v>
      </c>
      <c r="AA39" s="170">
        <f>+SUMIF('BS-Details'!$A:$A,AA$7&amp;" - "&amp;$C39,'BS-Details'!$J:$J)</f>
        <v>0</v>
      </c>
      <c r="AB39" s="178">
        <f t="shared" si="8"/>
        <v>0</v>
      </c>
      <c r="AC39" s="170">
        <f>+SUMIF('BS-Details'!$A:$A,AC$7&amp;" - "&amp;$C39,'BS-Details'!$J:$J)</f>
        <v>0</v>
      </c>
      <c r="AD39" s="170">
        <f>+SUMIF('BS-Details'!$A:$A,AD$7&amp;" - "&amp;$C39,'BS-Details'!$J:$J)</f>
        <v>0</v>
      </c>
      <c r="AE39" s="170">
        <f>+SUMIF('BS-Details'!$A:$A,AE$7&amp;" - "&amp;$C39,'BS-Details'!$J:$J)</f>
        <v>0</v>
      </c>
      <c r="AF39" s="170">
        <f>+SUMIF('BS-Details'!$A:$A,AF$7&amp;" - "&amp;$C39,'BS-Details'!$J:$J)</f>
        <v>0</v>
      </c>
      <c r="AG39" s="170">
        <f>+SUMIF('BS-Details'!$A:$A,AG$7&amp;" - "&amp;$C39,'BS-Details'!$J:$J)</f>
        <v>0</v>
      </c>
      <c r="AH39" s="170">
        <f>+SUMIF('BS-Details'!$A:$A,AH$7&amp;" - "&amp;$C39,'BS-Details'!$J:$J)</f>
        <v>0</v>
      </c>
      <c r="AI39" s="170">
        <f>+SUMIF('BS-Details'!$A:$A,AI$7&amp;" - "&amp;$C39,'BS-Details'!$J:$J)</f>
        <v>0</v>
      </c>
      <c r="AJ39" s="170">
        <f>+SUMIF('BS-Details'!$A:$A,AJ$7&amp;" - "&amp;$C39,'BS-Details'!$J:$J)</f>
        <v>0</v>
      </c>
      <c r="AK39" s="170">
        <f>+SUMIF('BS-Details'!$A:$A,AK$7&amp;" - "&amp;$C39,'BS-Details'!$J:$J)</f>
        <v>0</v>
      </c>
      <c r="AL39" s="178">
        <f t="shared" si="9"/>
        <v>0</v>
      </c>
      <c r="AM39" s="170">
        <f>+SUMIF('BS-Details'!$A:$A,AM$7&amp;" - "&amp;$C39,'BS-Details'!$J:$J)</f>
        <v>0</v>
      </c>
      <c r="AN39" s="170">
        <f>+SUMIF('BS-Details'!$A:$A,AN$7&amp;" - "&amp;$C39,'BS-Details'!$J:$J)</f>
        <v>0</v>
      </c>
      <c r="AO39" s="170">
        <f>+SUMIF('BS-Details'!$A:$A,AO$7&amp;" - "&amp;$C39,'BS-Details'!$J:$J)</f>
        <v>0</v>
      </c>
      <c r="AP39" s="170">
        <f>+SUMIF('BS-Details'!$A:$A,AP$7&amp;" - "&amp;$C39,'BS-Details'!$J:$J)</f>
        <v>0</v>
      </c>
      <c r="AQ39" s="170">
        <f>+SUMIF('BS-Details'!$A:$A,AQ$7&amp;" - "&amp;$C39,'BS-Details'!$J:$J)</f>
        <v>0</v>
      </c>
      <c r="AR39" s="170">
        <f>+SUMIF('BS-Details'!$A:$A,AR$7&amp;" - "&amp;$C39,'BS-Details'!$J:$J)</f>
        <v>0</v>
      </c>
      <c r="AS39" s="170">
        <f>+SUMIF('BS-Details'!$A:$A,AS$7&amp;" - "&amp;$C39,'BS-Details'!$J:$J)</f>
        <v>0</v>
      </c>
      <c r="AT39" s="170">
        <f>+SUMIF('BS-Details'!$A:$A,AT$7&amp;" - "&amp;$C39,'BS-Details'!$J:$J)</f>
        <v>0</v>
      </c>
      <c r="AU39" s="170">
        <f>+SUMIF('BS-Details'!$A:$A,AU$7&amp;" - "&amp;$C39,'BS-Details'!$J:$J)</f>
        <v>0</v>
      </c>
      <c r="AV39" s="170">
        <f>+SUMIF('BS-Details'!$A:$A,AV$7&amp;" - "&amp;$C39,'BS-Details'!$J:$J)</f>
        <v>0</v>
      </c>
      <c r="AW39" s="170">
        <f>+SUMIF('BS-Details'!$A:$A,AW$7&amp;" - "&amp;$C39,'BS-Details'!$J:$J)</f>
        <v>0</v>
      </c>
      <c r="AX39" s="170">
        <f>+SUMIF('BS-Details'!$A:$A,AX$7&amp;" - "&amp;$C39,'BS-Details'!$J:$J)</f>
        <v>0</v>
      </c>
      <c r="AY39" s="170">
        <f>+SUMIF('BS-Details'!$A:$A,AY$7&amp;" - "&amp;$C39,'BS-Details'!$J:$J)</f>
        <v>0</v>
      </c>
      <c r="AZ39" s="170">
        <f>+SUMIF('BS-Details'!$A:$A,AZ$7&amp;" - "&amp;$C39,'BS-Details'!$J:$J)</f>
        <v>0</v>
      </c>
      <c r="BA39" s="170">
        <f>+SUMIF('BS-Details'!$A:$A,BA$7&amp;" - "&amp;$C39,'BS-Details'!$J:$J)</f>
        <v>0</v>
      </c>
      <c r="BB39" s="170">
        <f>+SUMIF('BS-Details'!$A:$A,BB$7&amp;" - "&amp;$C39,'BS-Details'!$J:$J)</f>
        <v>0</v>
      </c>
      <c r="BC39" s="170">
        <f>+SUMIF('BS-Details'!$A:$A,BC$7&amp;" - "&amp;$C39,'BS-Details'!$J:$J)</f>
        <v>0</v>
      </c>
      <c r="BD39" s="170">
        <f>+SUMIF('BS-Details'!$A:$A,BD$7&amp;" - "&amp;$C39,'BS-Details'!$J:$J)</f>
        <v>0</v>
      </c>
      <c r="BE39" s="170">
        <f>+SUMIF('BS-Details'!$A:$A,BE$7&amp;" - "&amp;$C39,'BS-Details'!$J:$J)</f>
        <v>0</v>
      </c>
      <c r="BF39" s="170">
        <f>+SUMIF('BS-Details'!$A:$A,BF$7&amp;" - "&amp;$C39,'BS-Details'!$J:$J)</f>
        <v>0</v>
      </c>
      <c r="BG39" s="170">
        <f>+SUMIF('BS-Details'!$A:$A,BG$7&amp;" - "&amp;$C39,'BS-Details'!$J:$J)</f>
        <v>0</v>
      </c>
      <c r="BH39" s="170">
        <f>+SUMIF('BS-Details'!$A:$A,BH$7&amp;" - "&amp;$C39,'BS-Details'!$J:$J)</f>
        <v>0</v>
      </c>
      <c r="BI39" s="170">
        <f>+SUMIF('BS-Details'!$A:$A,BI$7&amp;" - "&amp;$C39,'BS-Details'!$J:$J)</f>
        <v>0</v>
      </c>
      <c r="BJ39" s="170">
        <f>+SUMIF('BS-Details'!$A:$A,BJ$7&amp;" - "&amp;$C39,'BS-Details'!$J:$J)</f>
        <v>0</v>
      </c>
      <c r="BK39" s="170">
        <f>+SUMIF('BS-Details'!$A:$A,BK$7&amp;" - "&amp;$C39,'BS-Details'!$J:$J)</f>
        <v>0</v>
      </c>
      <c r="BL39" s="170">
        <f>+SUMIF('BS-Details'!$A:$A,BL$7&amp;" - "&amp;$C39,'BS-Details'!$J:$J)</f>
        <v>0</v>
      </c>
      <c r="BM39" s="170">
        <f>+SUMIF('BS-Details'!$A:$A,BM$7&amp;" - "&amp;$C39,'BS-Details'!$J:$J)</f>
        <v>0</v>
      </c>
      <c r="BN39" s="170">
        <f>+SUMIF('BS-Details'!$A:$A,BN$7&amp;" - "&amp;$C39,'BS-Details'!$J:$J)</f>
        <v>0</v>
      </c>
      <c r="BO39" s="170">
        <f>+SUMIF('BS-Details'!$A:$A,BO$7&amp;" - "&amp;$C39,'BS-Details'!$J:$J)</f>
        <v>0</v>
      </c>
      <c r="BP39" s="170">
        <f>+SUMIF('BS-Details'!$A:$A,BP$7&amp;" - "&amp;$C39,'BS-Details'!$J:$J)</f>
        <v>0</v>
      </c>
      <c r="BQ39" s="170">
        <f>+SUMIF('BS-Details'!$A:$A,BQ$7&amp;" - "&amp;$C39,'BS-Details'!$J:$J)</f>
        <v>0</v>
      </c>
      <c r="BR39" s="170">
        <f>+SUMIF('BS-Details'!$A:$A,BR$7&amp;" - "&amp;$C39,'BS-Details'!$J:$J)</f>
        <v>0</v>
      </c>
      <c r="BS39" s="170">
        <f>+SUMIF('BS-Details'!$A:$A,BS$7&amp;" - "&amp;$C39,'BS-Details'!$J:$J)</f>
        <v>0</v>
      </c>
      <c r="BT39" s="170">
        <f>+SUMIF('BS-Details'!$A:$A,BT$7&amp;" - "&amp;$C39,'BS-Details'!$J:$J)</f>
        <v>0</v>
      </c>
      <c r="BU39" s="170">
        <f>+SUMIF('BS-Details'!$A:$A,BU$7&amp;" - "&amp;$C39,'BS-Details'!$J:$J)</f>
        <v>0</v>
      </c>
      <c r="BV39" s="170">
        <f>+SUMIF('BS-Details'!$A:$A,BV$7&amp;" - "&amp;$C39,'BS-Details'!$J:$J)</f>
        <v>0</v>
      </c>
      <c r="BW39" s="170">
        <f>+SUMIF('BS-Details'!$A:$A,BW$7&amp;" - "&amp;$C39,'BS-Details'!$J:$J)</f>
        <v>0</v>
      </c>
      <c r="BX39" s="170">
        <f>+SUMIF('BS-Details'!$A:$A,BX$7&amp;" - "&amp;$C39,'BS-Details'!$J:$J)</f>
        <v>0</v>
      </c>
      <c r="BY39" s="170">
        <f>+SUMIF('BS-Details'!$A:$A,BY$7&amp;" - "&amp;$C39,'BS-Details'!$J:$J)</f>
        <v>0</v>
      </c>
      <c r="BZ39" s="170">
        <f>+SUMIF('BS-Details'!$A:$A,BZ$7&amp;" - "&amp;$C39,'BS-Details'!$J:$J)</f>
        <v>0</v>
      </c>
      <c r="CA39" s="170">
        <f>+SUMIF('BS-Details'!$A:$A,CA$7&amp;" - "&amp;$C39,'BS-Details'!$J:$J)</f>
        <v>0</v>
      </c>
      <c r="CB39" s="170">
        <f>+SUMIF('BS-Details'!$A:$A,CB$7&amp;" - "&amp;$C39,'BS-Details'!$J:$J)</f>
        <v>0</v>
      </c>
      <c r="CC39" s="170">
        <f>+SUMIF('BS-Details'!$A:$A,CC$7&amp;" - "&amp;$C39,'BS-Details'!$J:$J)</f>
        <v>0</v>
      </c>
      <c r="CD39" s="170">
        <f>+SUMIF('BS-Details'!$A:$A,CD$7&amp;" - "&amp;$C39,'BS-Details'!$J:$J)</f>
        <v>0</v>
      </c>
      <c r="CE39" s="170">
        <f>+SUMIF('BS-Details'!$A:$A,CE$7&amp;" - "&amp;$C39,'BS-Details'!$J:$J)</f>
        <v>0</v>
      </c>
      <c r="CF39" s="170">
        <f>+SUMIF('BS-Details'!$A:$A,CF$7&amp;" - "&amp;$C39,'BS-Details'!$J:$J)</f>
        <v>0</v>
      </c>
      <c r="CG39" s="170">
        <f>+SUMIF('BS-Details'!$A:$A,CG$7&amp;" - "&amp;$C39,'BS-Details'!$J:$J)</f>
        <v>0</v>
      </c>
      <c r="CH39" s="170">
        <f>+SUMIF('BS-Details'!$A:$A,CH$7&amp;" - "&amp;$C39,'BS-Details'!$J:$J)</f>
        <v>0</v>
      </c>
      <c r="CI39" s="170">
        <f>+SUMIF('BS-Details'!$A:$A,CI$7&amp;" - "&amp;$C39,'BS-Details'!$J:$J)</f>
        <v>0</v>
      </c>
      <c r="CJ39" s="170">
        <f>+SUMIF('BS-Details'!$A:$A,CJ$7&amp;" - "&amp;$C39,'BS-Details'!$J:$J)</f>
        <v>0</v>
      </c>
      <c r="CK39" s="170">
        <f>+SUMIF('BS-Details'!$A:$A,CK$7&amp;" - "&amp;$C39,'BS-Details'!$J:$J)</f>
        <v>0</v>
      </c>
      <c r="CL39" s="170">
        <f>+SUMIF('BS-Details'!$A:$A,CL$7&amp;" - "&amp;$C39,'BS-Details'!$J:$J)</f>
        <v>0</v>
      </c>
      <c r="CM39" s="170">
        <f>+SUMIF('BS-Details'!$A:$A,CM$7&amp;" - "&amp;$C39,'BS-Details'!$J:$J)</f>
        <v>0</v>
      </c>
      <c r="CN39" s="170">
        <f>+SUMIF('BS-Details'!$A:$A,CN$7&amp;" - "&amp;$C39,'BS-Details'!$J:$J)</f>
        <v>0</v>
      </c>
      <c r="CO39" s="170">
        <f>+SUMIF('BS-Details'!$A:$A,CO$7&amp;" - "&amp;$C39,'BS-Details'!$J:$J)</f>
        <v>0</v>
      </c>
      <c r="CP39" s="170"/>
      <c r="CQ39" s="178">
        <f t="shared" si="10"/>
        <v>0</v>
      </c>
      <c r="CR39" s="178">
        <f t="shared" si="11"/>
        <v>0</v>
      </c>
      <c r="CS39" s="178">
        <f t="shared" si="12"/>
        <v>0</v>
      </c>
      <c r="CT39" s="185">
        <f>+SUMIF('BS-Details'!$A:$A,CT$7&amp;" - "&amp;$C39,'BS-Details'!$J:$J)</f>
        <v>0</v>
      </c>
      <c r="CU39" s="170">
        <f>+SUMIF('BS-Details'!$A:$A,CU$7&amp;" - "&amp;$C39,'BS-Details'!$J:$J)</f>
        <v>0</v>
      </c>
      <c r="CV39" s="170">
        <f>+SUMIF('BS-Details'!$A:$A,CV$7&amp;" - "&amp;$C39,'BS-Details'!$J:$J)</f>
        <v>0</v>
      </c>
      <c r="CW39" s="189">
        <f>+SUMIF('BS-Details'!$A:$A,CW$7&amp;" - "&amp;$C39,'BS-Details'!$J:$J)</f>
        <v>0</v>
      </c>
      <c r="CX39" s="189">
        <f>+SUMIF('BS-Details'!$A:$A,CX$7&amp;" - "&amp;$C39,'BS-Details'!$J:$J)</f>
        <v>0</v>
      </c>
      <c r="CY39" s="189">
        <f t="shared" si="13"/>
        <v>0</v>
      </c>
      <c r="CZ39" s="178">
        <f>+SUMIF('BS-Details'!$A:$A,CZ$7&amp;" - "&amp;$C39,'BS-Details'!$J:$J)</f>
        <v>0</v>
      </c>
      <c r="DA39" s="178">
        <f>+SUMIF('BS-Details'!$A:$A,DA$7&amp;" - "&amp;$C39,'BS-Details'!$J:$J)</f>
        <v>0</v>
      </c>
      <c r="DB39" s="193"/>
    </row>
    <row r="40" spans="1:106" ht="15.75" customHeight="true">
      <c r="A40" s="161">
        <v>25</v>
      </c>
      <c r="B40" s="161" t="s">
        <v>13890</v>
      </c>
      <c r="C40" s="163" t="s">
        <v>3325</v>
      </c>
      <c r="D40" s="163" t="s">
        <v>3325</v>
      </c>
      <c r="E40" s="169">
        <f t="shared" si="2"/>
        <v>3755580.37</v>
      </c>
      <c r="F40" s="169">
        <f t="shared" si="3"/>
        <v>3631240.9</v>
      </c>
      <c r="G40" s="170">
        <f>+SUMIF('BS-Details'!$A:$A,G$7&amp;" - "&amp;$C40,'BS-Details'!$J:$J)</f>
        <v>87815.4900000001</v>
      </c>
      <c r="H40" s="170">
        <f>+SUMIF('BS-Details'!$A:$A,H$7&amp;" - "&amp;$C40,'BS-Details'!$J:$J)</f>
        <v>9979.1</v>
      </c>
      <c r="I40" s="170">
        <f>+SUMIF('BS-Details'!$A:$A,I$7&amp;" - "&amp;$C40,'BS-Details'!$J:$J)</f>
        <v>3991.64</v>
      </c>
      <c r="J40" s="170">
        <f>+SUMIF('BS-Details'!$A:$A,J$7&amp;" - "&amp;$C40,'BS-Details'!$J:$J)</f>
        <v>5987.46</v>
      </c>
      <c r="K40" s="170">
        <f>+SUMIF('BS-Details'!$A:$A,K$7&amp;" - "&amp;$C40,'BS-Details'!$J:$J)</f>
        <v>0</v>
      </c>
      <c r="L40" s="178">
        <f t="shared" si="4"/>
        <v>107773.69</v>
      </c>
      <c r="M40" s="170">
        <f>+SUMIF('BS-Details'!$A:$A,M$7&amp;" - "&amp;$C40,'BS-Details'!$J:$J)</f>
        <v>7557.68</v>
      </c>
      <c r="N40" s="170">
        <f>+SUMIF('BS-Details'!$A:$A,N$7&amp;" - "&amp;$C40,'BS-Details'!$J:$J)</f>
        <v>7557.68</v>
      </c>
      <c r="O40" s="178">
        <f t="shared" si="5"/>
        <v>15115.36</v>
      </c>
      <c r="P40" s="170">
        <f>+SUMIF('BS-Details'!$A:$A,P$7&amp;" - "&amp;$C40,'BS-Details'!$J:$J)</f>
        <v>14980.04</v>
      </c>
      <c r="Q40" s="170">
        <f>+SUMIF('BS-Details'!$A:$A,Q$7&amp;" - "&amp;$C40,'BS-Details'!$J:$J)</f>
        <v>19775.03</v>
      </c>
      <c r="R40" s="170">
        <f>+SUMIF('BS-Details'!$A:$A,R$7&amp;" - "&amp;$C40,'BS-Details'!$J:$J)</f>
        <v>10468.72</v>
      </c>
      <c r="S40" s="170">
        <f>+SUMIF('BS-Details'!$A:$A,S$7&amp;" - "&amp;$C40,'BS-Details'!$J:$J)</f>
        <v>7112.92</v>
      </c>
      <c r="T40" s="170">
        <f>+SUMIF('BS-Details'!$A:$A,T$7&amp;" - "&amp;$C40,'BS-Details'!$J:$J)</f>
        <v>5632.21</v>
      </c>
      <c r="U40" s="170">
        <f>+SUMIF('BS-Details'!$A:$A,U$7&amp;" - "&amp;$C40,'BS-Details'!$J:$J)</f>
        <v>0</v>
      </c>
      <c r="V40" s="169">
        <f t="shared" si="6"/>
        <v>57968.92</v>
      </c>
      <c r="W40" s="170">
        <f>+SUMIF('BS-Details'!$A:$A,W$7&amp;" - "&amp;$C40,'BS-Details'!$J:$J)</f>
        <v>11222.91</v>
      </c>
      <c r="X40" s="170">
        <f>+SUMIF('BS-Details'!$A:$A,X$7&amp;" - "&amp;$C40,'BS-Details'!$J:$J)</f>
        <v>0</v>
      </c>
      <c r="Y40" s="178">
        <f t="shared" si="7"/>
        <v>69191.83</v>
      </c>
      <c r="Z40" s="170">
        <f>+SUMIF('BS-Details'!$A:$A,Z$7&amp;" - "&amp;$C40,'BS-Details'!$J:$J)</f>
        <v>0</v>
      </c>
      <c r="AA40" s="170">
        <f>+SUMIF('BS-Details'!$A:$A,AA$7&amp;" - "&amp;$C40,'BS-Details'!$J:$J)</f>
        <v>0</v>
      </c>
      <c r="AB40" s="178">
        <f t="shared" si="8"/>
        <v>0</v>
      </c>
      <c r="AC40" s="170">
        <f>+SUMIF('BS-Details'!$A:$A,AC$7&amp;" - "&amp;$C40,'BS-Details'!$J:$J)</f>
        <v>0</v>
      </c>
      <c r="AD40" s="170">
        <f>+SUMIF('BS-Details'!$A:$A,AD$7&amp;" - "&amp;$C40,'BS-Details'!$J:$J)</f>
        <v>0</v>
      </c>
      <c r="AE40" s="170">
        <f>+SUMIF('BS-Details'!$A:$A,AE$7&amp;" - "&amp;$C40,'BS-Details'!$J:$J)</f>
        <v>0</v>
      </c>
      <c r="AF40" s="170">
        <f>+SUMIF('BS-Details'!$A:$A,AF$7&amp;" - "&amp;$C40,'BS-Details'!$J:$J)</f>
        <v>12029.73</v>
      </c>
      <c r="AG40" s="170">
        <f>+SUMIF('BS-Details'!$A:$A,AG$7&amp;" - "&amp;$C40,'BS-Details'!$J:$J)</f>
        <v>26454.68</v>
      </c>
      <c r="AH40" s="170">
        <f>+SUMIF('BS-Details'!$A:$A,AH$7&amp;" - "&amp;$C40,'BS-Details'!$J:$J)</f>
        <v>16773.58</v>
      </c>
      <c r="AI40" s="170">
        <f>+SUMIF('BS-Details'!$A:$A,AI$7&amp;" - "&amp;$C40,'BS-Details'!$J:$J)</f>
        <v>22564.3</v>
      </c>
      <c r="AJ40" s="170">
        <f>+SUMIF('BS-Details'!$A:$A,AJ$7&amp;" - "&amp;$C40,'BS-Details'!$J:$J)</f>
        <v>28629.21</v>
      </c>
      <c r="AK40" s="170">
        <f>+SUMIF('BS-Details'!$A:$A,AK$7&amp;" - "&amp;$C40,'BS-Details'!$J:$J)</f>
        <v>618</v>
      </c>
      <c r="AL40" s="178">
        <f t="shared" si="9"/>
        <v>107069.5</v>
      </c>
      <c r="AM40" s="170">
        <f>+SUMIF('BS-Details'!$A:$A,AM$7&amp;" - "&amp;$C40,'BS-Details'!$J:$J)</f>
        <v>0</v>
      </c>
      <c r="AN40" s="170">
        <f>+SUMIF('BS-Details'!$A:$A,AN$7&amp;" - "&amp;$C40,'BS-Details'!$J:$J)</f>
        <v>56813.6</v>
      </c>
      <c r="AO40" s="170">
        <f>+SUMIF('BS-Details'!$A:$A,AO$7&amp;" - "&amp;$C40,'BS-Details'!$J:$J)</f>
        <v>29905.75</v>
      </c>
      <c r="AP40" s="170">
        <f>+SUMIF('BS-Details'!$A:$A,AP$7&amp;" - "&amp;$C40,'BS-Details'!$J:$J)</f>
        <v>0</v>
      </c>
      <c r="AQ40" s="170">
        <f>+SUMIF('BS-Details'!$A:$A,AQ$7&amp;" - "&amp;$C40,'BS-Details'!$J:$J)</f>
        <v>78429.85</v>
      </c>
      <c r="AR40" s="170">
        <f>+SUMIF('BS-Details'!$A:$A,AR$7&amp;" - "&amp;$C40,'BS-Details'!$J:$J)</f>
        <v>0</v>
      </c>
      <c r="AS40" s="170">
        <f>+SUMIF('BS-Details'!$A:$A,AS$7&amp;" - "&amp;$C40,'BS-Details'!$J:$J)</f>
        <v>17888.08</v>
      </c>
      <c r="AT40" s="170">
        <f>+SUMIF('BS-Details'!$A:$A,AT$7&amp;" - "&amp;$C40,'BS-Details'!$J:$J)</f>
        <v>7698.86</v>
      </c>
      <c r="AU40" s="170">
        <f>+SUMIF('BS-Details'!$A:$A,AU$7&amp;" - "&amp;$C40,'BS-Details'!$J:$J)</f>
        <v>8081.63</v>
      </c>
      <c r="AV40" s="170">
        <f>+SUMIF('BS-Details'!$A:$A,AV$7&amp;" - "&amp;$C40,'BS-Details'!$J:$J)</f>
        <v>14744.35</v>
      </c>
      <c r="AW40" s="170">
        <f>+SUMIF('BS-Details'!$A:$A,AW$7&amp;" - "&amp;$C40,'BS-Details'!$J:$J)</f>
        <v>0</v>
      </c>
      <c r="AX40" s="170">
        <f>+SUMIF('BS-Details'!$A:$A,AX$7&amp;" - "&amp;$C40,'BS-Details'!$J:$J)</f>
        <v>0</v>
      </c>
      <c r="AY40" s="170">
        <f>+SUMIF('BS-Details'!$A:$A,AY$7&amp;" - "&amp;$C40,'BS-Details'!$J:$J)</f>
        <v>0</v>
      </c>
      <c r="AZ40" s="170">
        <f>+SUMIF('BS-Details'!$A:$A,AZ$7&amp;" - "&amp;$C40,'BS-Details'!$J:$J)</f>
        <v>9235.58</v>
      </c>
      <c r="BA40" s="170">
        <f>+SUMIF('BS-Details'!$A:$A,BA$7&amp;" - "&amp;$C40,'BS-Details'!$J:$J)</f>
        <v>8749.29</v>
      </c>
      <c r="BB40" s="170">
        <f>+SUMIF('BS-Details'!$A:$A,BB$7&amp;" - "&amp;$C40,'BS-Details'!$J:$J)</f>
        <v>0</v>
      </c>
      <c r="BC40" s="170">
        <f>+SUMIF('BS-Details'!$A:$A,BC$7&amp;" - "&amp;$C40,'BS-Details'!$J:$J)</f>
        <v>25093.9</v>
      </c>
      <c r="BD40" s="170">
        <f>+SUMIF('BS-Details'!$A:$A,BD$7&amp;" - "&amp;$C40,'BS-Details'!$J:$J)</f>
        <v>7407.98</v>
      </c>
      <c r="BE40" s="170">
        <f>+SUMIF('BS-Details'!$A:$A,BE$7&amp;" - "&amp;$C40,'BS-Details'!$J:$J)</f>
        <v>10803.66</v>
      </c>
      <c r="BF40" s="170">
        <f>+SUMIF('BS-Details'!$A:$A,BF$7&amp;" - "&amp;$C40,'BS-Details'!$J:$J)</f>
        <v>6332.57</v>
      </c>
      <c r="BG40" s="170">
        <f>+SUMIF('BS-Details'!$A:$A,BG$7&amp;" - "&amp;$C40,'BS-Details'!$J:$J)</f>
        <v>8419.05</v>
      </c>
      <c r="BH40" s="170">
        <f>+SUMIF('BS-Details'!$A:$A,BH$7&amp;" - "&amp;$C40,'BS-Details'!$J:$J)</f>
        <v>0</v>
      </c>
      <c r="BI40" s="170">
        <f>+SUMIF('BS-Details'!$A:$A,BI$7&amp;" - "&amp;$C40,'BS-Details'!$J:$J)</f>
        <v>11592.01</v>
      </c>
      <c r="BJ40" s="170">
        <f>+SUMIF('BS-Details'!$A:$A,BJ$7&amp;" - "&amp;$C40,'BS-Details'!$J:$J)</f>
        <v>0</v>
      </c>
      <c r="BK40" s="170">
        <f>+SUMIF('BS-Details'!$A:$A,BK$7&amp;" - "&amp;$C40,'BS-Details'!$J:$J)</f>
        <v>648</v>
      </c>
      <c r="BL40" s="170">
        <f>+SUMIF('BS-Details'!$A:$A,BL$7&amp;" - "&amp;$C40,'BS-Details'!$J:$J)</f>
        <v>6617.38</v>
      </c>
      <c r="BM40" s="170">
        <f>+SUMIF('BS-Details'!$A:$A,BM$7&amp;" - "&amp;$C40,'BS-Details'!$J:$J)</f>
        <v>7044.96</v>
      </c>
      <c r="BN40" s="170">
        <f>+SUMIF('BS-Details'!$A:$A,BN$7&amp;" - "&amp;$C40,'BS-Details'!$J:$J)</f>
        <v>9809.34</v>
      </c>
      <c r="BO40" s="170">
        <f>+SUMIF('BS-Details'!$A:$A,BO$7&amp;" - "&amp;$C40,'BS-Details'!$J:$J)</f>
        <v>0</v>
      </c>
      <c r="BP40" s="170">
        <f>+SUMIF('BS-Details'!$A:$A,BP$7&amp;" - "&amp;$C40,'BS-Details'!$J:$J)</f>
        <v>27963.64</v>
      </c>
      <c r="BQ40" s="170">
        <f>+SUMIF('BS-Details'!$A:$A,BQ$7&amp;" - "&amp;$C40,'BS-Details'!$J:$J)</f>
        <v>11316.9</v>
      </c>
      <c r="BR40" s="170">
        <f>+SUMIF('BS-Details'!$A:$A,BR$7&amp;" - "&amp;$C40,'BS-Details'!$J:$J)</f>
        <v>552343.75</v>
      </c>
      <c r="BS40" s="170">
        <f>+SUMIF('BS-Details'!$A:$A,BS$7&amp;" - "&amp;$C40,'BS-Details'!$J:$J)</f>
        <v>2678.71</v>
      </c>
      <c r="BT40" s="170">
        <f>+SUMIF('BS-Details'!$A:$A,BT$7&amp;" - "&amp;$C40,'BS-Details'!$J:$J)</f>
        <v>0</v>
      </c>
      <c r="BU40" s="170">
        <f>+SUMIF('BS-Details'!$A:$A,BU$7&amp;" - "&amp;$C40,'BS-Details'!$J:$J)</f>
        <v>0</v>
      </c>
      <c r="BV40" s="170">
        <f>+SUMIF('BS-Details'!$A:$A,BV$7&amp;" - "&amp;$C40,'BS-Details'!$J:$J)</f>
        <v>0</v>
      </c>
      <c r="BW40" s="170">
        <f>+SUMIF('BS-Details'!$A:$A,BW$7&amp;" - "&amp;$C40,'BS-Details'!$J:$J)</f>
        <v>105113.04</v>
      </c>
      <c r="BX40" s="170">
        <f>+SUMIF('BS-Details'!$A:$A,BX$7&amp;" - "&amp;$C40,'BS-Details'!$J:$J)</f>
        <v>193117.94</v>
      </c>
      <c r="BY40" s="170">
        <f>+SUMIF('BS-Details'!$A:$A,BY$7&amp;" - "&amp;$C40,'BS-Details'!$J:$J)</f>
        <v>0</v>
      </c>
      <c r="BZ40" s="170">
        <f>+SUMIF('BS-Details'!$A:$A,BZ$7&amp;" - "&amp;$C40,'BS-Details'!$J:$J)</f>
        <v>255531</v>
      </c>
      <c r="CA40" s="170">
        <f>+SUMIF('BS-Details'!$A:$A,CA$7&amp;" - "&amp;$C40,'BS-Details'!$J:$J)</f>
        <v>7059.23</v>
      </c>
      <c r="CB40" s="170">
        <f>+SUMIF('BS-Details'!$A:$A,CB$7&amp;" - "&amp;$C40,'BS-Details'!$J:$J)</f>
        <v>43687.5</v>
      </c>
      <c r="CC40" s="170">
        <f>+SUMIF('BS-Details'!$A:$A,CC$7&amp;" - "&amp;$C40,'BS-Details'!$J:$J)</f>
        <v>22128.75</v>
      </c>
      <c r="CD40" s="170">
        <f>+SUMIF('BS-Details'!$A:$A,CD$7&amp;" - "&amp;$C40,'BS-Details'!$J:$J)</f>
        <v>11066.25</v>
      </c>
      <c r="CE40" s="170">
        <f>+SUMIF('BS-Details'!$A:$A,CE$7&amp;" - "&amp;$C40,'BS-Details'!$J:$J)</f>
        <v>108241.17</v>
      </c>
      <c r="CF40" s="170">
        <f>+SUMIF('BS-Details'!$A:$A,CF$7&amp;" - "&amp;$C40,'BS-Details'!$J:$J)</f>
        <v>79001.56</v>
      </c>
      <c r="CG40" s="170">
        <f>+SUMIF('BS-Details'!$A:$A,CG$7&amp;" - "&amp;$C40,'BS-Details'!$J:$J)</f>
        <v>11935.88</v>
      </c>
      <c r="CH40" s="170">
        <f>+SUMIF('BS-Details'!$A:$A,CH$7&amp;" - "&amp;$C40,'BS-Details'!$J:$J)</f>
        <v>69947.92</v>
      </c>
      <c r="CI40" s="170">
        <f>+SUMIF('BS-Details'!$A:$A,CI$7&amp;" - "&amp;$C40,'BS-Details'!$J:$J)</f>
        <v>89194.54</v>
      </c>
      <c r="CJ40" s="170">
        <f>+SUMIF('BS-Details'!$A:$A,CJ$7&amp;" - "&amp;$C40,'BS-Details'!$J:$J)</f>
        <v>116416.88</v>
      </c>
      <c r="CK40" s="170">
        <f>+SUMIF('BS-Details'!$A:$A,CK$7&amp;" - "&amp;$C40,'BS-Details'!$J:$J)</f>
        <v>11812.5</v>
      </c>
      <c r="CL40" s="170">
        <f>+SUMIF('BS-Details'!$A:$A,CL$7&amp;" - "&amp;$C40,'BS-Details'!$J:$J)</f>
        <v>36663.97</v>
      </c>
      <c r="CM40" s="170">
        <f>+SUMIF('BS-Details'!$A:$A,CM$7&amp;" - "&amp;$C40,'BS-Details'!$J:$J)</f>
        <v>289576</v>
      </c>
      <c r="CN40" s="170">
        <f>+SUMIF('BS-Details'!$A:$A,CN$7&amp;" - "&amp;$C40,'BS-Details'!$J:$J)</f>
        <v>625149.91</v>
      </c>
      <c r="CO40" s="170">
        <f>+SUMIF('BS-Details'!$A:$A,CO$7&amp;" - "&amp;$C40,'BS-Details'!$J:$J)</f>
        <v>336827.64</v>
      </c>
      <c r="CP40" s="170"/>
      <c r="CQ40" s="178">
        <f t="shared" si="10"/>
        <v>3332090.52</v>
      </c>
      <c r="CR40" s="178">
        <f t="shared" si="11"/>
        <v>3439160.02</v>
      </c>
      <c r="CS40" s="178">
        <f t="shared" si="12"/>
        <v>18753.91</v>
      </c>
      <c r="CT40" s="185">
        <f>+SUMIF('BS-Details'!$A:$A,CT$7&amp;" - "&amp;$C40,'BS-Details'!$J:$J)</f>
        <v>0</v>
      </c>
      <c r="CU40" s="170">
        <f>+SUMIF('BS-Details'!$A:$A,CU$7&amp;" - "&amp;$C40,'BS-Details'!$J:$J)</f>
        <v>0</v>
      </c>
      <c r="CV40" s="170">
        <f>+SUMIF('BS-Details'!$A:$A,CV$7&amp;" - "&amp;$C40,'BS-Details'!$J:$J)</f>
        <v>18753.91</v>
      </c>
      <c r="CW40" s="189">
        <f>+SUMIF('BS-Details'!$A:$A,CW$7&amp;" - "&amp;$C40,'BS-Details'!$J:$J)</f>
        <v>0</v>
      </c>
      <c r="CX40" s="189">
        <f>+SUMIF('BS-Details'!$A:$A,CX$7&amp;" - "&amp;$C40,'BS-Details'!$J:$J)</f>
        <v>0</v>
      </c>
      <c r="CY40" s="189">
        <f t="shared" si="13"/>
        <v>18753.91</v>
      </c>
      <c r="CZ40" s="178">
        <f>+SUMIF('BS-Details'!$A:$A,CZ$7&amp;" - "&amp;$C40,'BS-Details'!$J:$J)</f>
        <v>0</v>
      </c>
      <c r="DA40" s="178">
        <f>+SUMIF('BS-Details'!$A:$A,DA$7&amp;" - "&amp;$C40,'BS-Details'!$J:$J)</f>
        <v>105585.56</v>
      </c>
      <c r="DB40" s="193"/>
    </row>
    <row r="41" spans="1:106" ht="15.75" customHeight="true">
      <c r="A41" s="161">
        <v>26</v>
      </c>
      <c r="B41" s="161" t="s">
        <v>13890</v>
      </c>
      <c r="C41" s="163" t="s">
        <v>6026</v>
      </c>
      <c r="D41" s="163" t="s">
        <v>6026</v>
      </c>
      <c r="E41" s="169">
        <f t="shared" si="2"/>
        <v>-7099.71</v>
      </c>
      <c r="F41" s="169">
        <f t="shared" si="3"/>
        <v>-7099.71</v>
      </c>
      <c r="G41" s="170">
        <f>+SUMIF('BS-Details'!$A:$A,G$7&amp;" - "&amp;$C41,'BS-Details'!$J:$J)</f>
        <v>0</v>
      </c>
      <c r="H41" s="170">
        <f>+SUMIF('BS-Details'!$A:$A,H$7&amp;" - "&amp;$C41,'BS-Details'!$J:$J)</f>
        <v>0</v>
      </c>
      <c r="I41" s="170">
        <f>+SUMIF('BS-Details'!$A:$A,I$7&amp;" - "&amp;$C41,'BS-Details'!$J:$J)</f>
        <v>0</v>
      </c>
      <c r="J41" s="170">
        <f>+SUMIF('BS-Details'!$A:$A,J$7&amp;" - "&amp;$C41,'BS-Details'!$J:$J)</f>
        <v>0</v>
      </c>
      <c r="K41" s="170">
        <f>+SUMIF('BS-Details'!$A:$A,K$7&amp;" - "&amp;$C41,'BS-Details'!$J:$J)</f>
        <v>0</v>
      </c>
      <c r="L41" s="178">
        <f t="shared" si="4"/>
        <v>0</v>
      </c>
      <c r="M41" s="170">
        <f>+SUMIF('BS-Details'!$A:$A,M$7&amp;" - "&amp;$C41,'BS-Details'!$J:$J)</f>
        <v>0</v>
      </c>
      <c r="N41" s="170">
        <f>+SUMIF('BS-Details'!$A:$A,N$7&amp;" - "&amp;$C41,'BS-Details'!$J:$J)</f>
        <v>0</v>
      </c>
      <c r="O41" s="178">
        <f t="shared" si="5"/>
        <v>0</v>
      </c>
      <c r="P41" s="170">
        <f>+SUMIF('BS-Details'!$A:$A,P$7&amp;" - "&amp;$C41,'BS-Details'!$J:$J)</f>
        <v>0</v>
      </c>
      <c r="Q41" s="170">
        <f>+SUMIF('BS-Details'!$A:$A,Q$7&amp;" - "&amp;$C41,'BS-Details'!$J:$J)</f>
        <v>0</v>
      </c>
      <c r="R41" s="170">
        <f>+SUMIF('BS-Details'!$A:$A,R$7&amp;" - "&amp;$C41,'BS-Details'!$J:$J)</f>
        <v>0</v>
      </c>
      <c r="S41" s="170">
        <f>+SUMIF('BS-Details'!$A:$A,S$7&amp;" - "&amp;$C41,'BS-Details'!$J:$J)</f>
        <v>0</v>
      </c>
      <c r="T41" s="170">
        <f>+SUMIF('BS-Details'!$A:$A,T$7&amp;" - "&amp;$C41,'BS-Details'!$J:$J)</f>
        <v>-932.12</v>
      </c>
      <c r="U41" s="170">
        <f>+SUMIF('BS-Details'!$A:$A,U$7&amp;" - "&amp;$C41,'BS-Details'!$J:$J)</f>
        <v>0</v>
      </c>
      <c r="V41" s="169">
        <f t="shared" si="6"/>
        <v>-932.12</v>
      </c>
      <c r="W41" s="170">
        <f>+SUMIF('BS-Details'!$A:$A,W$7&amp;" - "&amp;$C41,'BS-Details'!$J:$J)</f>
        <v>0</v>
      </c>
      <c r="X41" s="170">
        <f>+SUMIF('BS-Details'!$A:$A,X$7&amp;" - "&amp;$C41,'BS-Details'!$J:$J)</f>
        <v>0</v>
      </c>
      <c r="Y41" s="178">
        <f t="shared" si="7"/>
        <v>-932.12</v>
      </c>
      <c r="Z41" s="170">
        <f>+SUMIF('BS-Details'!$A:$A,Z$7&amp;" - "&amp;$C41,'BS-Details'!$J:$J)</f>
        <v>0</v>
      </c>
      <c r="AA41" s="170">
        <f>+SUMIF('BS-Details'!$A:$A,AA$7&amp;" - "&amp;$C41,'BS-Details'!$J:$J)</f>
        <v>0</v>
      </c>
      <c r="AB41" s="178">
        <f t="shared" si="8"/>
        <v>0</v>
      </c>
      <c r="AC41" s="170">
        <f>+SUMIF('BS-Details'!$A:$A,AC$7&amp;" - "&amp;$C41,'BS-Details'!$J:$J)</f>
        <v>0</v>
      </c>
      <c r="AD41" s="170">
        <f>+SUMIF('BS-Details'!$A:$A,AD$7&amp;" - "&amp;$C41,'BS-Details'!$J:$J)</f>
        <v>0</v>
      </c>
      <c r="AE41" s="170">
        <f>+SUMIF('BS-Details'!$A:$A,AE$7&amp;" - "&amp;$C41,'BS-Details'!$J:$J)</f>
        <v>1012.76</v>
      </c>
      <c r="AF41" s="170">
        <f>+SUMIF('BS-Details'!$A:$A,AF$7&amp;" - "&amp;$C41,'BS-Details'!$J:$J)</f>
        <v>0</v>
      </c>
      <c r="AG41" s="170">
        <f>+SUMIF('BS-Details'!$A:$A,AG$7&amp;" - "&amp;$C41,'BS-Details'!$J:$J)</f>
        <v>0</v>
      </c>
      <c r="AH41" s="170">
        <f>+SUMIF('BS-Details'!$A:$A,AH$7&amp;" - "&amp;$C41,'BS-Details'!$J:$J)</f>
        <v>0</v>
      </c>
      <c r="AI41" s="170">
        <f>+SUMIF('BS-Details'!$A:$A,AI$7&amp;" - "&amp;$C41,'BS-Details'!$J:$J)</f>
        <v>0</v>
      </c>
      <c r="AJ41" s="170">
        <f>+SUMIF('BS-Details'!$A:$A,AJ$7&amp;" - "&amp;$C41,'BS-Details'!$J:$J)</f>
        <v>-7180.35</v>
      </c>
      <c r="AK41" s="170">
        <f>+SUMIF('BS-Details'!$A:$A,AK$7&amp;" - "&amp;$C41,'BS-Details'!$J:$J)</f>
        <v>0</v>
      </c>
      <c r="AL41" s="178">
        <f t="shared" si="9"/>
        <v>-7180.35</v>
      </c>
      <c r="AM41" s="170">
        <f>+SUMIF('BS-Details'!$A:$A,AM$7&amp;" - "&amp;$C41,'BS-Details'!$J:$J)</f>
        <v>0</v>
      </c>
      <c r="AN41" s="170">
        <f>+SUMIF('BS-Details'!$A:$A,AN$7&amp;" - "&amp;$C41,'BS-Details'!$J:$J)</f>
        <v>0</v>
      </c>
      <c r="AO41" s="170">
        <f>+SUMIF('BS-Details'!$A:$A,AO$7&amp;" - "&amp;$C41,'BS-Details'!$J:$J)</f>
        <v>0</v>
      </c>
      <c r="AP41" s="170">
        <f>+SUMIF('BS-Details'!$A:$A,AP$7&amp;" - "&amp;$C41,'BS-Details'!$J:$J)</f>
        <v>0</v>
      </c>
      <c r="AQ41" s="170">
        <f>+SUMIF('BS-Details'!$A:$A,AQ$7&amp;" - "&amp;$C41,'BS-Details'!$J:$J)</f>
        <v>0</v>
      </c>
      <c r="AR41" s="170">
        <f>+SUMIF('BS-Details'!$A:$A,AR$7&amp;" - "&amp;$C41,'BS-Details'!$J:$J)</f>
        <v>0</v>
      </c>
      <c r="AS41" s="170">
        <f>+SUMIF('BS-Details'!$A:$A,AS$7&amp;" - "&amp;$C41,'BS-Details'!$J:$J)</f>
        <v>0</v>
      </c>
      <c r="AT41" s="170">
        <f>+SUMIF('BS-Details'!$A:$A,AT$7&amp;" - "&amp;$C41,'BS-Details'!$J:$J)</f>
        <v>0</v>
      </c>
      <c r="AU41" s="170">
        <f>+SUMIF('BS-Details'!$A:$A,AU$7&amp;" - "&amp;$C41,'BS-Details'!$J:$J)</f>
        <v>0</v>
      </c>
      <c r="AV41" s="170">
        <f>+SUMIF('BS-Details'!$A:$A,AV$7&amp;" - "&amp;$C41,'BS-Details'!$J:$J)</f>
        <v>0</v>
      </c>
      <c r="AW41" s="170">
        <f>+SUMIF('BS-Details'!$A:$A,AW$7&amp;" - "&amp;$C41,'BS-Details'!$J:$J)</f>
        <v>0</v>
      </c>
      <c r="AX41" s="170">
        <f>+SUMIF('BS-Details'!$A:$A,AX$7&amp;" - "&amp;$C41,'BS-Details'!$J:$J)</f>
        <v>0</v>
      </c>
      <c r="AY41" s="170">
        <f>+SUMIF('BS-Details'!$A:$A,AY$7&amp;" - "&amp;$C41,'BS-Details'!$J:$J)</f>
        <v>0</v>
      </c>
      <c r="AZ41" s="170">
        <f>+SUMIF('BS-Details'!$A:$A,AZ$7&amp;" - "&amp;$C41,'BS-Details'!$J:$J)</f>
        <v>0</v>
      </c>
      <c r="BA41" s="170">
        <f>+SUMIF('BS-Details'!$A:$A,BA$7&amp;" - "&amp;$C41,'BS-Details'!$J:$J)</f>
        <v>0</v>
      </c>
      <c r="BB41" s="170">
        <f>+SUMIF('BS-Details'!$A:$A,BB$7&amp;" - "&amp;$C41,'BS-Details'!$J:$J)</f>
        <v>0</v>
      </c>
      <c r="BC41" s="170">
        <f>+SUMIF('BS-Details'!$A:$A,BC$7&amp;" - "&amp;$C41,'BS-Details'!$J:$J)</f>
        <v>0</v>
      </c>
      <c r="BD41" s="170">
        <f>+SUMIF('BS-Details'!$A:$A,BD$7&amp;" - "&amp;$C41,'BS-Details'!$J:$J)</f>
        <v>0</v>
      </c>
      <c r="BE41" s="170">
        <f>+SUMIF('BS-Details'!$A:$A,BE$7&amp;" - "&amp;$C41,'BS-Details'!$J:$J)</f>
        <v>0</v>
      </c>
      <c r="BF41" s="170">
        <f>+SUMIF('BS-Details'!$A:$A,BF$7&amp;" - "&amp;$C41,'BS-Details'!$J:$J)</f>
        <v>0</v>
      </c>
      <c r="BG41" s="170">
        <f>+SUMIF('BS-Details'!$A:$A,BG$7&amp;" - "&amp;$C41,'BS-Details'!$J:$J)</f>
        <v>0</v>
      </c>
      <c r="BH41" s="170">
        <f>+SUMIF('BS-Details'!$A:$A,BH$7&amp;" - "&amp;$C41,'BS-Details'!$J:$J)</f>
        <v>0</v>
      </c>
      <c r="BI41" s="170">
        <f>+SUMIF('BS-Details'!$A:$A,BI$7&amp;" - "&amp;$C41,'BS-Details'!$J:$J)</f>
        <v>0</v>
      </c>
      <c r="BJ41" s="170">
        <f>+SUMIF('BS-Details'!$A:$A,BJ$7&amp;" - "&amp;$C41,'BS-Details'!$J:$J)</f>
        <v>0</v>
      </c>
      <c r="BK41" s="170">
        <f>+SUMIF('BS-Details'!$A:$A,BK$7&amp;" - "&amp;$C41,'BS-Details'!$J:$J)</f>
        <v>0</v>
      </c>
      <c r="BL41" s="170">
        <f>+SUMIF('BS-Details'!$A:$A,BL$7&amp;" - "&amp;$C41,'BS-Details'!$J:$J)</f>
        <v>0</v>
      </c>
      <c r="BM41" s="170">
        <f>+SUMIF('BS-Details'!$A:$A,BM$7&amp;" - "&amp;$C41,'BS-Details'!$J:$J)</f>
        <v>0</v>
      </c>
      <c r="BN41" s="170">
        <f>+SUMIF('BS-Details'!$A:$A,BN$7&amp;" - "&amp;$C41,'BS-Details'!$J:$J)</f>
        <v>0</v>
      </c>
      <c r="BO41" s="170">
        <f>+SUMIF('BS-Details'!$A:$A,BO$7&amp;" - "&amp;$C41,'BS-Details'!$J:$J)</f>
        <v>0</v>
      </c>
      <c r="BP41" s="170">
        <f>+SUMIF('BS-Details'!$A:$A,BP$7&amp;" - "&amp;$C41,'BS-Details'!$J:$J)</f>
        <v>0</v>
      </c>
      <c r="BQ41" s="170">
        <f>+SUMIF('BS-Details'!$A:$A,BQ$7&amp;" - "&amp;$C41,'BS-Details'!$J:$J)</f>
        <v>0</v>
      </c>
      <c r="BR41" s="170">
        <f>+SUMIF('BS-Details'!$A:$A,BR$7&amp;" - "&amp;$C41,'BS-Details'!$J:$J)</f>
        <v>0</v>
      </c>
      <c r="BS41" s="170">
        <f>+SUMIF('BS-Details'!$A:$A,BS$7&amp;" - "&amp;$C41,'BS-Details'!$J:$J)</f>
        <v>0</v>
      </c>
      <c r="BT41" s="170">
        <f>+SUMIF('BS-Details'!$A:$A,BT$7&amp;" - "&amp;$C41,'BS-Details'!$J:$J)</f>
        <v>0</v>
      </c>
      <c r="BU41" s="170">
        <f>+SUMIF('BS-Details'!$A:$A,BU$7&amp;" - "&amp;$C41,'BS-Details'!$J:$J)</f>
        <v>0</v>
      </c>
      <c r="BV41" s="170">
        <f>+SUMIF('BS-Details'!$A:$A,BV$7&amp;" - "&amp;$C41,'BS-Details'!$J:$J)</f>
        <v>0</v>
      </c>
      <c r="BW41" s="170">
        <f>+SUMIF('BS-Details'!$A:$A,BW$7&amp;" - "&amp;$C41,'BS-Details'!$J:$J)</f>
        <v>0</v>
      </c>
      <c r="BX41" s="170">
        <f>+SUMIF('BS-Details'!$A:$A,BX$7&amp;" - "&amp;$C41,'BS-Details'!$J:$J)</f>
        <v>0</v>
      </c>
      <c r="BY41" s="170">
        <f>+SUMIF('BS-Details'!$A:$A,BY$7&amp;" - "&amp;$C41,'BS-Details'!$J:$J)</f>
        <v>0</v>
      </c>
      <c r="BZ41" s="170">
        <f>+SUMIF('BS-Details'!$A:$A,BZ$7&amp;" - "&amp;$C41,'BS-Details'!$J:$J)</f>
        <v>0</v>
      </c>
      <c r="CA41" s="170">
        <f>+SUMIF('BS-Details'!$A:$A,CA$7&amp;" - "&amp;$C41,'BS-Details'!$J:$J)</f>
        <v>0</v>
      </c>
      <c r="CB41" s="170">
        <f>+SUMIF('BS-Details'!$A:$A,CB$7&amp;" - "&amp;$C41,'BS-Details'!$J:$J)</f>
        <v>0</v>
      </c>
      <c r="CC41" s="170">
        <f>+SUMIF('BS-Details'!$A:$A,CC$7&amp;" - "&amp;$C41,'BS-Details'!$J:$J)</f>
        <v>0</v>
      </c>
      <c r="CD41" s="170">
        <f>+SUMIF('BS-Details'!$A:$A,CD$7&amp;" - "&amp;$C41,'BS-Details'!$J:$J)</f>
        <v>0</v>
      </c>
      <c r="CE41" s="170">
        <f>+SUMIF('BS-Details'!$A:$A,CE$7&amp;" - "&amp;$C41,'BS-Details'!$J:$J)</f>
        <v>0</v>
      </c>
      <c r="CF41" s="170">
        <f>+SUMIF('BS-Details'!$A:$A,CF$7&amp;" - "&amp;$C41,'BS-Details'!$J:$J)</f>
        <v>0</v>
      </c>
      <c r="CG41" s="170">
        <f>+SUMIF('BS-Details'!$A:$A,CG$7&amp;" - "&amp;$C41,'BS-Details'!$J:$J)</f>
        <v>0</v>
      </c>
      <c r="CH41" s="170">
        <f>+SUMIF('BS-Details'!$A:$A,CH$7&amp;" - "&amp;$C41,'BS-Details'!$J:$J)</f>
        <v>0</v>
      </c>
      <c r="CI41" s="170">
        <f>+SUMIF('BS-Details'!$A:$A,CI$7&amp;" - "&amp;$C41,'BS-Details'!$J:$J)</f>
        <v>0</v>
      </c>
      <c r="CJ41" s="170">
        <f>+SUMIF('BS-Details'!$A:$A,CJ$7&amp;" - "&amp;$C41,'BS-Details'!$J:$J)</f>
        <v>0</v>
      </c>
      <c r="CK41" s="170">
        <f>+SUMIF('BS-Details'!$A:$A,CK$7&amp;" - "&amp;$C41,'BS-Details'!$J:$J)</f>
        <v>0</v>
      </c>
      <c r="CL41" s="170">
        <f>+SUMIF('BS-Details'!$A:$A,CL$7&amp;" - "&amp;$C41,'BS-Details'!$J:$J)</f>
        <v>0</v>
      </c>
      <c r="CM41" s="170">
        <f>+SUMIF('BS-Details'!$A:$A,CM$7&amp;" - "&amp;$C41,'BS-Details'!$J:$J)</f>
        <v>0</v>
      </c>
      <c r="CN41" s="170">
        <f>+SUMIF('BS-Details'!$A:$A,CN$7&amp;" - "&amp;$C41,'BS-Details'!$J:$J)</f>
        <v>0</v>
      </c>
      <c r="CO41" s="170">
        <f>+SUMIF('BS-Details'!$A:$A,CO$7&amp;" - "&amp;$C41,'BS-Details'!$J:$J)</f>
        <v>0</v>
      </c>
      <c r="CP41" s="170"/>
      <c r="CQ41" s="178">
        <f t="shared" si="10"/>
        <v>0</v>
      </c>
      <c r="CR41" s="178">
        <f t="shared" si="11"/>
        <v>-7180.35</v>
      </c>
      <c r="CS41" s="178">
        <f t="shared" si="12"/>
        <v>0</v>
      </c>
      <c r="CT41" s="185">
        <f>+SUMIF('BS-Details'!$A:$A,CT$7&amp;" - "&amp;$C41,'BS-Details'!$J:$J)</f>
        <v>0</v>
      </c>
      <c r="CU41" s="170">
        <f>+SUMIF('BS-Details'!$A:$A,CU$7&amp;" - "&amp;$C41,'BS-Details'!$J:$J)</f>
        <v>0</v>
      </c>
      <c r="CV41" s="170">
        <f>+SUMIF('BS-Details'!$A:$A,CV$7&amp;" - "&amp;$C41,'BS-Details'!$J:$J)</f>
        <v>0</v>
      </c>
      <c r="CW41" s="189">
        <f>+SUMIF('BS-Details'!$A:$A,CW$7&amp;" - "&amp;$C41,'BS-Details'!$J:$J)</f>
        <v>0</v>
      </c>
      <c r="CX41" s="189">
        <f>+SUMIF('BS-Details'!$A:$A,CX$7&amp;" - "&amp;$C41,'BS-Details'!$J:$J)</f>
        <v>0</v>
      </c>
      <c r="CY41" s="189">
        <f t="shared" si="13"/>
        <v>0</v>
      </c>
      <c r="CZ41" s="178">
        <f>+SUMIF('BS-Details'!$A:$A,CZ$7&amp;" - "&amp;$C41,'BS-Details'!$J:$J)</f>
        <v>0</v>
      </c>
      <c r="DA41" s="178">
        <f>+SUMIF('BS-Details'!$A:$A,DA$7&amp;" - "&amp;$C41,'BS-Details'!$J:$J)</f>
        <v>0</v>
      </c>
      <c r="DB41" s="193"/>
    </row>
    <row r="42" spans="1:106" ht="15.75" customHeight="true">
      <c r="A42" s="161">
        <v>27</v>
      </c>
      <c r="B42" s="161" t="s">
        <v>13890</v>
      </c>
      <c r="C42" s="163" t="s">
        <v>13894</v>
      </c>
      <c r="D42" s="163" t="s">
        <v>13895</v>
      </c>
      <c r="E42" s="169">
        <f t="shared" si="2"/>
        <v>0</v>
      </c>
      <c r="F42" s="169">
        <f t="shared" si="3"/>
        <v>0</v>
      </c>
      <c r="G42" s="170">
        <f>+SUMIF('BS-Details'!$A:$A,G$7&amp;" - "&amp;$C42,'BS-Details'!$J:$J)</f>
        <v>0</v>
      </c>
      <c r="H42" s="170">
        <f>+SUMIF('BS-Details'!$A:$A,H$7&amp;" - "&amp;$C42,'BS-Details'!$J:$J)</f>
        <v>0</v>
      </c>
      <c r="I42" s="170">
        <f>+SUMIF('BS-Details'!$A:$A,I$7&amp;" - "&amp;$C42,'BS-Details'!$J:$J)</f>
        <v>0</v>
      </c>
      <c r="J42" s="170">
        <f>+SUMIF('BS-Details'!$A:$A,J$7&amp;" - "&amp;$C42,'BS-Details'!$J:$J)</f>
        <v>0</v>
      </c>
      <c r="K42" s="170">
        <f>+SUMIF('BS-Details'!$A:$A,K$7&amp;" - "&amp;$C42,'BS-Details'!$J:$J)</f>
        <v>0</v>
      </c>
      <c r="L42" s="178">
        <f t="shared" si="4"/>
        <v>0</v>
      </c>
      <c r="M42" s="170">
        <f>+SUMIF('BS-Details'!$A:$A,M$7&amp;" - "&amp;$C42,'BS-Details'!$J:$J)</f>
        <v>0</v>
      </c>
      <c r="N42" s="170">
        <f>+SUMIF('BS-Details'!$A:$A,N$7&amp;" - "&amp;$C42,'BS-Details'!$J:$J)</f>
        <v>0</v>
      </c>
      <c r="O42" s="178">
        <f t="shared" si="5"/>
        <v>0</v>
      </c>
      <c r="P42" s="170">
        <f>+SUMIF('BS-Details'!$A:$A,P$7&amp;" - "&amp;$C42,'BS-Details'!$J:$J)</f>
        <v>0</v>
      </c>
      <c r="Q42" s="170">
        <f>+SUMIF('BS-Details'!$A:$A,Q$7&amp;" - "&amp;$C42,'BS-Details'!$J:$J)</f>
        <v>0</v>
      </c>
      <c r="R42" s="170">
        <f>+SUMIF('BS-Details'!$A:$A,R$7&amp;" - "&amp;$C42,'BS-Details'!$J:$J)</f>
        <v>0</v>
      </c>
      <c r="S42" s="170">
        <f>+SUMIF('BS-Details'!$A:$A,S$7&amp;" - "&amp;$C42,'BS-Details'!$J:$J)</f>
        <v>0</v>
      </c>
      <c r="T42" s="170">
        <f>+SUMIF('BS-Details'!$A:$A,T$7&amp;" - "&amp;$C42,'BS-Details'!$J:$J)</f>
        <v>0</v>
      </c>
      <c r="U42" s="170">
        <f>+SUMIF('BS-Details'!$A:$A,U$7&amp;" - "&amp;$C42,'BS-Details'!$J:$J)</f>
        <v>0</v>
      </c>
      <c r="V42" s="169">
        <f t="shared" si="6"/>
        <v>0</v>
      </c>
      <c r="W42" s="170">
        <f>+SUMIF('BS-Details'!$A:$A,W$7&amp;" - "&amp;$C42,'BS-Details'!$J:$J)</f>
        <v>0</v>
      </c>
      <c r="X42" s="170">
        <f>+SUMIF('BS-Details'!$A:$A,X$7&amp;" - "&amp;$C42,'BS-Details'!$J:$J)</f>
        <v>0</v>
      </c>
      <c r="Y42" s="178">
        <f t="shared" si="7"/>
        <v>0</v>
      </c>
      <c r="Z42" s="170">
        <f>+SUMIF('BS-Details'!$A:$A,Z$7&amp;" - "&amp;$C42,'BS-Details'!$J:$J)</f>
        <v>0</v>
      </c>
      <c r="AA42" s="170">
        <f>+SUMIF('BS-Details'!$A:$A,AA$7&amp;" - "&amp;$C42,'BS-Details'!$J:$J)</f>
        <v>0</v>
      </c>
      <c r="AB42" s="178">
        <f t="shared" si="8"/>
        <v>0</v>
      </c>
      <c r="AC42" s="170">
        <f>+SUMIF('BS-Details'!$A:$A,AC$7&amp;" - "&amp;$C42,'BS-Details'!$J:$J)</f>
        <v>0</v>
      </c>
      <c r="AD42" s="170">
        <f>+SUMIF('BS-Details'!$A:$A,AD$7&amp;" - "&amp;$C42,'BS-Details'!$J:$J)</f>
        <v>0</v>
      </c>
      <c r="AE42" s="170">
        <f>+SUMIF('BS-Details'!$A:$A,AE$7&amp;" - "&amp;$C42,'BS-Details'!$J:$J)</f>
        <v>0</v>
      </c>
      <c r="AF42" s="170">
        <f>+SUMIF('BS-Details'!$A:$A,AF$7&amp;" - "&amp;$C42,'BS-Details'!$J:$J)</f>
        <v>0</v>
      </c>
      <c r="AG42" s="170">
        <f>+SUMIF('BS-Details'!$A:$A,AG$7&amp;" - "&amp;$C42,'BS-Details'!$J:$J)</f>
        <v>0</v>
      </c>
      <c r="AH42" s="170">
        <f>+SUMIF('BS-Details'!$A:$A,AH$7&amp;" - "&amp;$C42,'BS-Details'!$J:$J)</f>
        <v>0</v>
      </c>
      <c r="AI42" s="170">
        <f>+SUMIF('BS-Details'!$A:$A,AI$7&amp;" - "&amp;$C42,'BS-Details'!$J:$J)</f>
        <v>0</v>
      </c>
      <c r="AJ42" s="170">
        <f>+SUMIF('BS-Details'!$A:$A,AJ$7&amp;" - "&amp;$C42,'BS-Details'!$J:$J)</f>
        <v>0</v>
      </c>
      <c r="AK42" s="170">
        <f>+SUMIF('BS-Details'!$A:$A,AK$7&amp;" - "&amp;$C42,'BS-Details'!$J:$J)</f>
        <v>0</v>
      </c>
      <c r="AL42" s="178">
        <f t="shared" si="9"/>
        <v>0</v>
      </c>
      <c r="AM42" s="170">
        <f>+SUMIF('BS-Details'!$A:$A,AM$7&amp;" - "&amp;$C42,'BS-Details'!$J:$J)</f>
        <v>0</v>
      </c>
      <c r="AN42" s="170">
        <f>+SUMIF('BS-Details'!$A:$A,AN$7&amp;" - "&amp;$C42,'BS-Details'!$J:$J)</f>
        <v>0</v>
      </c>
      <c r="AO42" s="170">
        <f>+SUMIF('BS-Details'!$A:$A,AO$7&amp;" - "&amp;$C42,'BS-Details'!$J:$J)</f>
        <v>0</v>
      </c>
      <c r="AP42" s="170">
        <f>+SUMIF('BS-Details'!$A:$A,AP$7&amp;" - "&amp;$C42,'BS-Details'!$J:$J)</f>
        <v>0</v>
      </c>
      <c r="AQ42" s="170">
        <f>+SUMIF('BS-Details'!$A:$A,AQ$7&amp;" - "&amp;$C42,'BS-Details'!$J:$J)</f>
        <v>0</v>
      </c>
      <c r="AR42" s="170">
        <f>+SUMIF('BS-Details'!$A:$A,AR$7&amp;" - "&amp;$C42,'BS-Details'!$J:$J)</f>
        <v>0</v>
      </c>
      <c r="AS42" s="170">
        <f>+SUMIF('BS-Details'!$A:$A,AS$7&amp;" - "&amp;$C42,'BS-Details'!$J:$J)</f>
        <v>0</v>
      </c>
      <c r="AT42" s="170">
        <f>+SUMIF('BS-Details'!$A:$A,AT$7&amp;" - "&amp;$C42,'BS-Details'!$J:$J)</f>
        <v>0</v>
      </c>
      <c r="AU42" s="170">
        <f>+SUMIF('BS-Details'!$A:$A,AU$7&amp;" - "&amp;$C42,'BS-Details'!$J:$J)</f>
        <v>0</v>
      </c>
      <c r="AV42" s="170">
        <f>+SUMIF('BS-Details'!$A:$A,AV$7&amp;" - "&amp;$C42,'BS-Details'!$J:$J)</f>
        <v>0</v>
      </c>
      <c r="AW42" s="170">
        <f>+SUMIF('BS-Details'!$A:$A,AW$7&amp;" - "&amp;$C42,'BS-Details'!$J:$J)</f>
        <v>0</v>
      </c>
      <c r="AX42" s="170">
        <f>+SUMIF('BS-Details'!$A:$A,AX$7&amp;" - "&amp;$C42,'BS-Details'!$J:$J)</f>
        <v>0</v>
      </c>
      <c r="AY42" s="170">
        <f>+SUMIF('BS-Details'!$A:$A,AY$7&amp;" - "&amp;$C42,'BS-Details'!$J:$J)</f>
        <v>0</v>
      </c>
      <c r="AZ42" s="170">
        <f>+SUMIF('BS-Details'!$A:$A,AZ$7&amp;" - "&amp;$C42,'BS-Details'!$J:$J)</f>
        <v>0</v>
      </c>
      <c r="BA42" s="170">
        <f>+SUMIF('BS-Details'!$A:$A,BA$7&amp;" - "&amp;$C42,'BS-Details'!$J:$J)</f>
        <v>0</v>
      </c>
      <c r="BB42" s="170">
        <f>+SUMIF('BS-Details'!$A:$A,BB$7&amp;" - "&amp;$C42,'BS-Details'!$J:$J)</f>
        <v>0</v>
      </c>
      <c r="BC42" s="170">
        <f>+SUMIF('BS-Details'!$A:$A,BC$7&amp;" - "&amp;$C42,'BS-Details'!$J:$J)</f>
        <v>0</v>
      </c>
      <c r="BD42" s="170">
        <f>+SUMIF('BS-Details'!$A:$A,BD$7&amp;" - "&amp;$C42,'BS-Details'!$J:$J)</f>
        <v>0</v>
      </c>
      <c r="BE42" s="170">
        <f>+SUMIF('BS-Details'!$A:$A,BE$7&amp;" - "&amp;$C42,'BS-Details'!$J:$J)</f>
        <v>0</v>
      </c>
      <c r="BF42" s="170">
        <f>+SUMIF('BS-Details'!$A:$A,BF$7&amp;" - "&amp;$C42,'BS-Details'!$J:$J)</f>
        <v>0</v>
      </c>
      <c r="BG42" s="170">
        <f>+SUMIF('BS-Details'!$A:$A,BG$7&amp;" - "&amp;$C42,'BS-Details'!$J:$J)</f>
        <v>0</v>
      </c>
      <c r="BH42" s="170">
        <f>+SUMIF('BS-Details'!$A:$A,BH$7&amp;" - "&amp;$C42,'BS-Details'!$J:$J)</f>
        <v>0</v>
      </c>
      <c r="BI42" s="170">
        <f>+SUMIF('BS-Details'!$A:$A,BI$7&amp;" - "&amp;$C42,'BS-Details'!$J:$J)</f>
        <v>0</v>
      </c>
      <c r="BJ42" s="170">
        <f>+SUMIF('BS-Details'!$A:$A,BJ$7&amp;" - "&amp;$C42,'BS-Details'!$J:$J)</f>
        <v>0</v>
      </c>
      <c r="BK42" s="170">
        <f>+SUMIF('BS-Details'!$A:$A,BK$7&amp;" - "&amp;$C42,'BS-Details'!$J:$J)</f>
        <v>0</v>
      </c>
      <c r="BL42" s="170">
        <f>+SUMIF('BS-Details'!$A:$A,BL$7&amp;" - "&amp;$C42,'BS-Details'!$J:$J)</f>
        <v>0</v>
      </c>
      <c r="BM42" s="170">
        <f>+SUMIF('BS-Details'!$A:$A,BM$7&amp;" - "&amp;$C42,'BS-Details'!$J:$J)</f>
        <v>0</v>
      </c>
      <c r="BN42" s="170">
        <f>+SUMIF('BS-Details'!$A:$A,BN$7&amp;" - "&amp;$C42,'BS-Details'!$J:$J)</f>
        <v>0</v>
      </c>
      <c r="BO42" s="170">
        <f>+SUMIF('BS-Details'!$A:$A,BO$7&amp;" - "&amp;$C42,'BS-Details'!$J:$J)</f>
        <v>0</v>
      </c>
      <c r="BP42" s="170">
        <f>+SUMIF('BS-Details'!$A:$A,BP$7&amp;" - "&amp;$C42,'BS-Details'!$J:$J)</f>
        <v>0</v>
      </c>
      <c r="BQ42" s="170">
        <f>+SUMIF('BS-Details'!$A:$A,BQ$7&amp;" - "&amp;$C42,'BS-Details'!$J:$J)</f>
        <v>0</v>
      </c>
      <c r="BR42" s="170">
        <f>+SUMIF('BS-Details'!$A:$A,BR$7&amp;" - "&amp;$C42,'BS-Details'!$J:$J)</f>
        <v>0</v>
      </c>
      <c r="BS42" s="170">
        <f>+SUMIF('BS-Details'!$A:$A,BS$7&amp;" - "&amp;$C42,'BS-Details'!$J:$J)</f>
        <v>0</v>
      </c>
      <c r="BT42" s="170">
        <f>+SUMIF('BS-Details'!$A:$A,BT$7&amp;" - "&amp;$C42,'BS-Details'!$J:$J)</f>
        <v>0</v>
      </c>
      <c r="BU42" s="170">
        <f>+SUMIF('BS-Details'!$A:$A,BU$7&amp;" - "&amp;$C42,'BS-Details'!$J:$J)</f>
        <v>0</v>
      </c>
      <c r="BV42" s="170">
        <f>+SUMIF('BS-Details'!$A:$A,BV$7&amp;" - "&amp;$C42,'BS-Details'!$J:$J)</f>
        <v>0</v>
      </c>
      <c r="BW42" s="170">
        <f>+SUMIF('BS-Details'!$A:$A,BW$7&amp;" - "&amp;$C42,'BS-Details'!$J:$J)</f>
        <v>0</v>
      </c>
      <c r="BX42" s="170">
        <f>+SUMIF('BS-Details'!$A:$A,BX$7&amp;" - "&amp;$C42,'BS-Details'!$J:$J)</f>
        <v>0</v>
      </c>
      <c r="BY42" s="170">
        <f>+SUMIF('BS-Details'!$A:$A,BY$7&amp;" - "&amp;$C42,'BS-Details'!$J:$J)</f>
        <v>0</v>
      </c>
      <c r="BZ42" s="170">
        <f>+SUMIF('BS-Details'!$A:$A,BZ$7&amp;" - "&amp;$C42,'BS-Details'!$J:$J)</f>
        <v>0</v>
      </c>
      <c r="CA42" s="170">
        <f>+SUMIF('BS-Details'!$A:$A,CA$7&amp;" - "&amp;$C42,'BS-Details'!$J:$J)</f>
        <v>0</v>
      </c>
      <c r="CB42" s="170">
        <f>+SUMIF('BS-Details'!$A:$A,CB$7&amp;" - "&amp;$C42,'BS-Details'!$J:$J)</f>
        <v>0</v>
      </c>
      <c r="CC42" s="170">
        <f>+SUMIF('BS-Details'!$A:$A,CC$7&amp;" - "&amp;$C42,'BS-Details'!$J:$J)</f>
        <v>0</v>
      </c>
      <c r="CD42" s="170">
        <f>+SUMIF('BS-Details'!$A:$A,CD$7&amp;" - "&amp;$C42,'BS-Details'!$J:$J)</f>
        <v>0</v>
      </c>
      <c r="CE42" s="170">
        <f>+SUMIF('BS-Details'!$A:$A,CE$7&amp;" - "&amp;$C42,'BS-Details'!$J:$J)</f>
        <v>0</v>
      </c>
      <c r="CF42" s="170">
        <f>+SUMIF('BS-Details'!$A:$A,CF$7&amp;" - "&amp;$C42,'BS-Details'!$J:$J)</f>
        <v>0</v>
      </c>
      <c r="CG42" s="170">
        <f>+SUMIF('BS-Details'!$A:$A,CG$7&amp;" - "&amp;$C42,'BS-Details'!$J:$J)</f>
        <v>0</v>
      </c>
      <c r="CH42" s="170">
        <f>+SUMIF('BS-Details'!$A:$A,CH$7&amp;" - "&amp;$C42,'BS-Details'!$J:$J)</f>
        <v>0</v>
      </c>
      <c r="CI42" s="170">
        <f>+SUMIF('BS-Details'!$A:$A,CI$7&amp;" - "&amp;$C42,'BS-Details'!$J:$J)</f>
        <v>0</v>
      </c>
      <c r="CJ42" s="170">
        <f>+SUMIF('BS-Details'!$A:$A,CJ$7&amp;" - "&amp;$C42,'BS-Details'!$J:$J)</f>
        <v>0</v>
      </c>
      <c r="CK42" s="170">
        <f>+SUMIF('BS-Details'!$A:$A,CK$7&amp;" - "&amp;$C42,'BS-Details'!$J:$J)</f>
        <v>0</v>
      </c>
      <c r="CL42" s="170">
        <f>+SUMIF('BS-Details'!$A:$A,CL$7&amp;" - "&amp;$C42,'BS-Details'!$J:$J)</f>
        <v>0</v>
      </c>
      <c r="CM42" s="170">
        <f>+SUMIF('BS-Details'!$A:$A,CM$7&amp;" - "&amp;$C42,'BS-Details'!$J:$J)</f>
        <v>0</v>
      </c>
      <c r="CN42" s="170">
        <f>+SUMIF('BS-Details'!$A:$A,CN$7&amp;" - "&amp;$C42,'BS-Details'!$J:$J)</f>
        <v>0</v>
      </c>
      <c r="CO42" s="170">
        <f>+SUMIF('BS-Details'!$A:$A,CO$7&amp;" - "&amp;$C42,'BS-Details'!$J:$J)</f>
        <v>0</v>
      </c>
      <c r="CP42" s="170"/>
      <c r="CQ42" s="178">
        <f t="shared" si="10"/>
        <v>0</v>
      </c>
      <c r="CR42" s="178">
        <f t="shared" si="11"/>
        <v>0</v>
      </c>
      <c r="CS42" s="178">
        <f t="shared" si="12"/>
        <v>0</v>
      </c>
      <c r="CT42" s="185">
        <f>+SUMIF('BS-Details'!$A:$A,CT$7&amp;" - "&amp;$C42,'BS-Details'!$J:$J)</f>
        <v>0</v>
      </c>
      <c r="CU42" s="170">
        <f>+SUMIF('BS-Details'!$A:$A,CU$7&amp;" - "&amp;$C42,'BS-Details'!$J:$J)</f>
        <v>0</v>
      </c>
      <c r="CV42" s="170">
        <f>+SUMIF('BS-Details'!$A:$A,CV$7&amp;" - "&amp;$C42,'BS-Details'!$J:$J)</f>
        <v>0</v>
      </c>
      <c r="CW42" s="189">
        <f>+SUMIF('BS-Details'!$A:$A,CW$7&amp;" - "&amp;$C42,'BS-Details'!$J:$J)</f>
        <v>0</v>
      </c>
      <c r="CX42" s="189">
        <f>+SUMIF('BS-Details'!$A:$A,CX$7&amp;" - "&amp;$C42,'BS-Details'!$J:$J)</f>
        <v>0</v>
      </c>
      <c r="CY42" s="189">
        <f t="shared" si="13"/>
        <v>0</v>
      </c>
      <c r="CZ42" s="178">
        <f>+SUMIF('BS-Details'!$A:$A,CZ$7&amp;" - "&amp;$C42,'BS-Details'!$J:$J)</f>
        <v>0</v>
      </c>
      <c r="DA42" s="178">
        <f>+SUMIF('BS-Details'!$A:$A,DA$7&amp;" - "&amp;$C42,'BS-Details'!$J:$J)</f>
        <v>0</v>
      </c>
      <c r="DB42" s="193"/>
    </row>
    <row r="43" spans="1:106" ht="15.75" customHeight="true">
      <c r="A43" s="161">
        <v>28</v>
      </c>
      <c r="B43" s="161" t="s">
        <v>13890</v>
      </c>
      <c r="C43" s="163" t="s">
        <v>13896</v>
      </c>
      <c r="D43" s="163" t="s">
        <v>13896</v>
      </c>
      <c r="E43" s="169">
        <f t="shared" si="2"/>
        <v>0</v>
      </c>
      <c r="F43" s="169">
        <f t="shared" si="3"/>
        <v>0</v>
      </c>
      <c r="G43" s="170">
        <f>+SUMIF('BS-Details'!$A:$A,G$7&amp;" - "&amp;$C43,'BS-Details'!$J:$J)</f>
        <v>0</v>
      </c>
      <c r="H43" s="170">
        <f>+SUMIF('BS-Details'!$A:$A,H$7&amp;" - "&amp;$C43,'BS-Details'!$J:$J)</f>
        <v>0</v>
      </c>
      <c r="I43" s="170">
        <f>+SUMIF('BS-Details'!$A:$A,I$7&amp;" - "&amp;$C43,'BS-Details'!$J:$J)</f>
        <v>0</v>
      </c>
      <c r="J43" s="170">
        <f>+SUMIF('BS-Details'!$A:$A,J$7&amp;" - "&amp;$C43,'BS-Details'!$J:$J)</f>
        <v>0</v>
      </c>
      <c r="K43" s="170">
        <f>+SUMIF('BS-Details'!$A:$A,K$7&amp;" - "&amp;$C43,'BS-Details'!$J:$J)</f>
        <v>0</v>
      </c>
      <c r="L43" s="178">
        <f t="shared" si="4"/>
        <v>0</v>
      </c>
      <c r="M43" s="170">
        <f>+SUMIF('BS-Details'!$A:$A,M$7&amp;" - "&amp;$C43,'BS-Details'!$J:$J)</f>
        <v>0</v>
      </c>
      <c r="N43" s="170">
        <f>+SUMIF('BS-Details'!$A:$A,N$7&amp;" - "&amp;$C43,'BS-Details'!$J:$J)</f>
        <v>0</v>
      </c>
      <c r="O43" s="178">
        <f t="shared" si="5"/>
        <v>0</v>
      </c>
      <c r="P43" s="170">
        <f>+SUMIF('BS-Details'!$A:$A,P$7&amp;" - "&amp;$C43,'BS-Details'!$J:$J)</f>
        <v>0</v>
      </c>
      <c r="Q43" s="170">
        <f>+SUMIF('BS-Details'!$A:$A,Q$7&amp;" - "&amp;$C43,'BS-Details'!$J:$J)</f>
        <v>0</v>
      </c>
      <c r="R43" s="170">
        <f>+SUMIF('BS-Details'!$A:$A,R$7&amp;" - "&amp;$C43,'BS-Details'!$J:$J)</f>
        <v>0</v>
      </c>
      <c r="S43" s="170">
        <f>+SUMIF('BS-Details'!$A:$A,S$7&amp;" - "&amp;$C43,'BS-Details'!$J:$J)</f>
        <v>0</v>
      </c>
      <c r="T43" s="170">
        <f>+SUMIF('BS-Details'!$A:$A,T$7&amp;" - "&amp;$C43,'BS-Details'!$J:$J)</f>
        <v>0</v>
      </c>
      <c r="U43" s="170">
        <f>+SUMIF('BS-Details'!$A:$A,U$7&amp;" - "&amp;$C43,'BS-Details'!$J:$J)</f>
        <v>0</v>
      </c>
      <c r="V43" s="169">
        <f t="shared" si="6"/>
        <v>0</v>
      </c>
      <c r="W43" s="170">
        <f>+SUMIF('BS-Details'!$A:$A,W$7&amp;" - "&amp;$C43,'BS-Details'!$J:$J)</f>
        <v>0</v>
      </c>
      <c r="X43" s="170">
        <f>+SUMIF('BS-Details'!$A:$A,X$7&amp;" - "&amp;$C43,'BS-Details'!$J:$J)</f>
        <v>0</v>
      </c>
      <c r="Y43" s="178">
        <f t="shared" si="7"/>
        <v>0</v>
      </c>
      <c r="Z43" s="170">
        <f>+SUMIF('BS-Details'!$A:$A,Z$7&amp;" - "&amp;$C43,'BS-Details'!$J:$J)</f>
        <v>0</v>
      </c>
      <c r="AA43" s="170">
        <f>+SUMIF('BS-Details'!$A:$A,AA$7&amp;" - "&amp;$C43,'BS-Details'!$J:$J)</f>
        <v>0</v>
      </c>
      <c r="AB43" s="178">
        <f t="shared" si="8"/>
        <v>0</v>
      </c>
      <c r="AC43" s="170">
        <f>+SUMIF('BS-Details'!$A:$A,AC$7&amp;" - "&amp;$C43,'BS-Details'!$J:$J)</f>
        <v>0</v>
      </c>
      <c r="AD43" s="170">
        <f>+SUMIF('BS-Details'!$A:$A,AD$7&amp;" - "&amp;$C43,'BS-Details'!$J:$J)</f>
        <v>0</v>
      </c>
      <c r="AE43" s="170">
        <f>+SUMIF('BS-Details'!$A:$A,AE$7&amp;" - "&amp;$C43,'BS-Details'!$J:$J)</f>
        <v>0</v>
      </c>
      <c r="AF43" s="170">
        <f>+SUMIF('BS-Details'!$A:$A,AF$7&amp;" - "&amp;$C43,'BS-Details'!$J:$J)</f>
        <v>0</v>
      </c>
      <c r="AG43" s="170">
        <f>+SUMIF('BS-Details'!$A:$A,AG$7&amp;" - "&amp;$C43,'BS-Details'!$J:$J)</f>
        <v>0</v>
      </c>
      <c r="AH43" s="170">
        <f>+SUMIF('BS-Details'!$A:$A,AH$7&amp;" - "&amp;$C43,'BS-Details'!$J:$J)</f>
        <v>0</v>
      </c>
      <c r="AI43" s="170">
        <f>+SUMIF('BS-Details'!$A:$A,AI$7&amp;" - "&amp;$C43,'BS-Details'!$J:$J)</f>
        <v>0</v>
      </c>
      <c r="AJ43" s="170">
        <f>+SUMIF('BS-Details'!$A:$A,AJ$7&amp;" - "&amp;$C43,'BS-Details'!$J:$J)</f>
        <v>0</v>
      </c>
      <c r="AK43" s="170">
        <f>+SUMIF('BS-Details'!$A:$A,AK$7&amp;" - "&amp;$C43,'BS-Details'!$J:$J)</f>
        <v>0</v>
      </c>
      <c r="AL43" s="178">
        <f t="shared" si="9"/>
        <v>0</v>
      </c>
      <c r="AM43" s="170">
        <f>+SUMIF('BS-Details'!$A:$A,AM$7&amp;" - "&amp;$C43,'BS-Details'!$J:$J)</f>
        <v>0</v>
      </c>
      <c r="AN43" s="170">
        <f>+SUMIF('BS-Details'!$A:$A,AN$7&amp;" - "&amp;$C43,'BS-Details'!$J:$J)</f>
        <v>0</v>
      </c>
      <c r="AO43" s="170">
        <f>+SUMIF('BS-Details'!$A:$A,AO$7&amp;" - "&amp;$C43,'BS-Details'!$J:$J)</f>
        <v>0</v>
      </c>
      <c r="AP43" s="170">
        <f>+SUMIF('BS-Details'!$A:$A,AP$7&amp;" - "&amp;$C43,'BS-Details'!$J:$J)</f>
        <v>0</v>
      </c>
      <c r="AQ43" s="170">
        <f>+SUMIF('BS-Details'!$A:$A,AQ$7&amp;" - "&amp;$C43,'BS-Details'!$J:$J)</f>
        <v>0</v>
      </c>
      <c r="AR43" s="170">
        <f>+SUMIF('BS-Details'!$A:$A,AR$7&amp;" - "&amp;$C43,'BS-Details'!$J:$J)</f>
        <v>0</v>
      </c>
      <c r="AS43" s="170">
        <f>+SUMIF('BS-Details'!$A:$A,AS$7&amp;" - "&amp;$C43,'BS-Details'!$J:$J)</f>
        <v>0</v>
      </c>
      <c r="AT43" s="170">
        <f>+SUMIF('BS-Details'!$A:$A,AT$7&amp;" - "&amp;$C43,'BS-Details'!$J:$J)</f>
        <v>0</v>
      </c>
      <c r="AU43" s="170">
        <f>+SUMIF('BS-Details'!$A:$A,AU$7&amp;" - "&amp;$C43,'BS-Details'!$J:$J)</f>
        <v>0</v>
      </c>
      <c r="AV43" s="170">
        <f>+SUMIF('BS-Details'!$A:$A,AV$7&amp;" - "&amp;$C43,'BS-Details'!$J:$J)</f>
        <v>0</v>
      </c>
      <c r="AW43" s="170">
        <f>+SUMIF('BS-Details'!$A:$A,AW$7&amp;" - "&amp;$C43,'BS-Details'!$J:$J)</f>
        <v>0</v>
      </c>
      <c r="AX43" s="170">
        <f>+SUMIF('BS-Details'!$A:$A,AX$7&amp;" - "&amp;$C43,'BS-Details'!$J:$J)</f>
        <v>0</v>
      </c>
      <c r="AY43" s="170">
        <f>+SUMIF('BS-Details'!$A:$A,AY$7&amp;" - "&amp;$C43,'BS-Details'!$J:$J)</f>
        <v>0</v>
      </c>
      <c r="AZ43" s="170">
        <f>+SUMIF('BS-Details'!$A:$A,AZ$7&amp;" - "&amp;$C43,'BS-Details'!$J:$J)</f>
        <v>0</v>
      </c>
      <c r="BA43" s="170">
        <f>+SUMIF('BS-Details'!$A:$A,BA$7&amp;" - "&amp;$C43,'BS-Details'!$J:$J)</f>
        <v>0</v>
      </c>
      <c r="BB43" s="170">
        <f>+SUMIF('BS-Details'!$A:$A,BB$7&amp;" - "&amp;$C43,'BS-Details'!$J:$J)</f>
        <v>0</v>
      </c>
      <c r="BC43" s="170">
        <f>+SUMIF('BS-Details'!$A:$A,BC$7&amp;" - "&amp;$C43,'BS-Details'!$J:$J)</f>
        <v>0</v>
      </c>
      <c r="BD43" s="170">
        <f>+SUMIF('BS-Details'!$A:$A,BD$7&amp;" - "&amp;$C43,'BS-Details'!$J:$J)</f>
        <v>0</v>
      </c>
      <c r="BE43" s="170">
        <f>+SUMIF('BS-Details'!$A:$A,BE$7&amp;" - "&amp;$C43,'BS-Details'!$J:$J)</f>
        <v>0</v>
      </c>
      <c r="BF43" s="170">
        <f>+SUMIF('BS-Details'!$A:$A,BF$7&amp;" - "&amp;$C43,'BS-Details'!$J:$J)</f>
        <v>0</v>
      </c>
      <c r="BG43" s="170">
        <f>+SUMIF('BS-Details'!$A:$A,BG$7&amp;" - "&amp;$C43,'BS-Details'!$J:$J)</f>
        <v>0</v>
      </c>
      <c r="BH43" s="170">
        <f>+SUMIF('BS-Details'!$A:$A,BH$7&amp;" - "&amp;$C43,'BS-Details'!$J:$J)</f>
        <v>0</v>
      </c>
      <c r="BI43" s="170">
        <f>+SUMIF('BS-Details'!$A:$A,BI$7&amp;" - "&amp;$C43,'BS-Details'!$J:$J)</f>
        <v>0</v>
      </c>
      <c r="BJ43" s="170">
        <f>+SUMIF('BS-Details'!$A:$A,BJ$7&amp;" - "&amp;$C43,'BS-Details'!$J:$J)</f>
        <v>0</v>
      </c>
      <c r="BK43" s="170">
        <f>+SUMIF('BS-Details'!$A:$A,BK$7&amp;" - "&amp;$C43,'BS-Details'!$J:$J)</f>
        <v>0</v>
      </c>
      <c r="BL43" s="170">
        <f>+SUMIF('BS-Details'!$A:$A,BL$7&amp;" - "&amp;$C43,'BS-Details'!$J:$J)</f>
        <v>0</v>
      </c>
      <c r="BM43" s="170">
        <f>+SUMIF('BS-Details'!$A:$A,BM$7&amp;" - "&amp;$C43,'BS-Details'!$J:$J)</f>
        <v>0</v>
      </c>
      <c r="BN43" s="170">
        <f>+SUMIF('BS-Details'!$A:$A,BN$7&amp;" - "&amp;$C43,'BS-Details'!$J:$J)</f>
        <v>0</v>
      </c>
      <c r="BO43" s="170">
        <f>+SUMIF('BS-Details'!$A:$A,BO$7&amp;" - "&amp;$C43,'BS-Details'!$J:$J)</f>
        <v>0</v>
      </c>
      <c r="BP43" s="170">
        <f>+SUMIF('BS-Details'!$A:$A,BP$7&amp;" - "&amp;$C43,'BS-Details'!$J:$J)</f>
        <v>0</v>
      </c>
      <c r="BQ43" s="170">
        <f>+SUMIF('BS-Details'!$A:$A,BQ$7&amp;" - "&amp;$C43,'BS-Details'!$J:$J)</f>
        <v>0</v>
      </c>
      <c r="BR43" s="170">
        <f>+SUMIF('BS-Details'!$A:$A,BR$7&amp;" - "&amp;$C43,'BS-Details'!$J:$J)</f>
        <v>0</v>
      </c>
      <c r="BS43" s="170">
        <f>+SUMIF('BS-Details'!$A:$A,BS$7&amp;" - "&amp;$C43,'BS-Details'!$J:$J)</f>
        <v>0</v>
      </c>
      <c r="BT43" s="170">
        <f>+SUMIF('BS-Details'!$A:$A,BT$7&amp;" - "&amp;$C43,'BS-Details'!$J:$J)</f>
        <v>0</v>
      </c>
      <c r="BU43" s="170">
        <f>+SUMIF('BS-Details'!$A:$A,BU$7&amp;" - "&amp;$C43,'BS-Details'!$J:$J)</f>
        <v>0</v>
      </c>
      <c r="BV43" s="170">
        <f>+SUMIF('BS-Details'!$A:$A,BV$7&amp;" - "&amp;$C43,'BS-Details'!$J:$J)</f>
        <v>0</v>
      </c>
      <c r="BW43" s="170">
        <f>+SUMIF('BS-Details'!$A:$A,BW$7&amp;" - "&amp;$C43,'BS-Details'!$J:$J)</f>
        <v>0</v>
      </c>
      <c r="BX43" s="170">
        <f>+SUMIF('BS-Details'!$A:$A,BX$7&amp;" - "&amp;$C43,'BS-Details'!$J:$J)</f>
        <v>0</v>
      </c>
      <c r="BY43" s="170">
        <f>+SUMIF('BS-Details'!$A:$A,BY$7&amp;" - "&amp;$C43,'BS-Details'!$J:$J)</f>
        <v>0</v>
      </c>
      <c r="BZ43" s="170">
        <f>+SUMIF('BS-Details'!$A:$A,BZ$7&amp;" - "&amp;$C43,'BS-Details'!$J:$J)</f>
        <v>0</v>
      </c>
      <c r="CA43" s="170">
        <f>+SUMIF('BS-Details'!$A:$A,CA$7&amp;" - "&amp;$C43,'BS-Details'!$J:$J)</f>
        <v>0</v>
      </c>
      <c r="CB43" s="170">
        <f>+SUMIF('BS-Details'!$A:$A,CB$7&amp;" - "&amp;$C43,'BS-Details'!$J:$J)</f>
        <v>0</v>
      </c>
      <c r="CC43" s="170">
        <f>+SUMIF('BS-Details'!$A:$A,CC$7&amp;" - "&amp;$C43,'BS-Details'!$J:$J)</f>
        <v>0</v>
      </c>
      <c r="CD43" s="170">
        <f>+SUMIF('BS-Details'!$A:$A,CD$7&amp;" - "&amp;$C43,'BS-Details'!$J:$J)</f>
        <v>0</v>
      </c>
      <c r="CE43" s="170">
        <f>+SUMIF('BS-Details'!$A:$A,CE$7&amp;" - "&amp;$C43,'BS-Details'!$J:$J)</f>
        <v>0</v>
      </c>
      <c r="CF43" s="170">
        <f>+SUMIF('BS-Details'!$A:$A,CF$7&amp;" - "&amp;$C43,'BS-Details'!$J:$J)</f>
        <v>0</v>
      </c>
      <c r="CG43" s="170">
        <f>+SUMIF('BS-Details'!$A:$A,CG$7&amp;" - "&amp;$C43,'BS-Details'!$J:$J)</f>
        <v>0</v>
      </c>
      <c r="CH43" s="170">
        <f>+SUMIF('BS-Details'!$A:$A,CH$7&amp;" - "&amp;$C43,'BS-Details'!$J:$J)</f>
        <v>0</v>
      </c>
      <c r="CI43" s="170">
        <f>+SUMIF('BS-Details'!$A:$A,CI$7&amp;" - "&amp;$C43,'BS-Details'!$J:$J)</f>
        <v>0</v>
      </c>
      <c r="CJ43" s="170">
        <f>+SUMIF('BS-Details'!$A:$A,CJ$7&amp;" - "&amp;$C43,'BS-Details'!$J:$J)</f>
        <v>0</v>
      </c>
      <c r="CK43" s="170">
        <f>+SUMIF('BS-Details'!$A:$A,CK$7&amp;" - "&amp;$C43,'BS-Details'!$J:$J)</f>
        <v>0</v>
      </c>
      <c r="CL43" s="170">
        <f>+SUMIF('BS-Details'!$A:$A,CL$7&amp;" - "&amp;$C43,'BS-Details'!$J:$J)</f>
        <v>0</v>
      </c>
      <c r="CM43" s="170">
        <f>+SUMIF('BS-Details'!$A:$A,CM$7&amp;" - "&amp;$C43,'BS-Details'!$J:$J)</f>
        <v>0</v>
      </c>
      <c r="CN43" s="170">
        <f>+SUMIF('BS-Details'!$A:$A,CN$7&amp;" - "&amp;$C43,'BS-Details'!$J:$J)</f>
        <v>0</v>
      </c>
      <c r="CO43" s="170">
        <f>+SUMIF('BS-Details'!$A:$A,CO$7&amp;" - "&amp;$C43,'BS-Details'!$J:$J)</f>
        <v>0</v>
      </c>
      <c r="CP43" s="170"/>
      <c r="CQ43" s="178">
        <f t="shared" si="10"/>
        <v>0</v>
      </c>
      <c r="CR43" s="178">
        <f t="shared" si="11"/>
        <v>0</v>
      </c>
      <c r="CS43" s="178">
        <f t="shared" si="12"/>
        <v>0</v>
      </c>
      <c r="CT43" s="185">
        <f>+SUMIF('BS-Details'!$A:$A,CT$7&amp;" - "&amp;$C43,'BS-Details'!$J:$J)</f>
        <v>0</v>
      </c>
      <c r="CU43" s="170">
        <f>+SUMIF('BS-Details'!$A:$A,CU$7&amp;" - "&amp;$C43,'BS-Details'!$J:$J)</f>
        <v>0</v>
      </c>
      <c r="CV43" s="170">
        <f>+SUMIF('BS-Details'!$A:$A,CV$7&amp;" - "&amp;$C43,'BS-Details'!$J:$J)</f>
        <v>0</v>
      </c>
      <c r="CW43" s="189">
        <f>+SUMIF('BS-Details'!$A:$A,CW$7&amp;" - "&amp;$C43,'BS-Details'!$J:$J)</f>
        <v>0</v>
      </c>
      <c r="CX43" s="189">
        <f>+SUMIF('BS-Details'!$A:$A,CX$7&amp;" - "&amp;$C43,'BS-Details'!$J:$J)</f>
        <v>0</v>
      </c>
      <c r="CY43" s="189">
        <f t="shared" si="13"/>
        <v>0</v>
      </c>
      <c r="CZ43" s="178">
        <f>+SUMIF('BS-Details'!$A:$A,CZ$7&amp;" - "&amp;$C43,'BS-Details'!$J:$J)</f>
        <v>0</v>
      </c>
      <c r="DA43" s="178">
        <f>+SUMIF('BS-Details'!$A:$A,DA$7&amp;" - "&amp;$C43,'BS-Details'!$J:$J)</f>
        <v>0</v>
      </c>
      <c r="DB43" s="193"/>
    </row>
    <row r="44" spans="1:106" ht="15.75" customHeight="true">
      <c r="A44" s="161">
        <v>29</v>
      </c>
      <c r="B44" s="161" t="s">
        <v>13890</v>
      </c>
      <c r="C44" s="163" t="s">
        <v>13897</v>
      </c>
      <c r="D44" s="163" t="s">
        <v>13897</v>
      </c>
      <c r="E44" s="169">
        <f t="shared" si="2"/>
        <v>0</v>
      </c>
      <c r="F44" s="169">
        <f t="shared" si="3"/>
        <v>0</v>
      </c>
      <c r="G44" s="170">
        <f>+SUMIF('BS-Details'!$A:$A,G$7&amp;" - "&amp;$C44,'BS-Details'!$J:$J)</f>
        <v>0</v>
      </c>
      <c r="H44" s="170">
        <f>+SUMIF('BS-Details'!$A:$A,H$7&amp;" - "&amp;$C44,'BS-Details'!$J:$J)</f>
        <v>0</v>
      </c>
      <c r="I44" s="170">
        <f>+SUMIF('BS-Details'!$A:$A,I$7&amp;" - "&amp;$C44,'BS-Details'!$J:$J)</f>
        <v>0</v>
      </c>
      <c r="J44" s="170">
        <f>+SUMIF('BS-Details'!$A:$A,J$7&amp;" - "&amp;$C44,'BS-Details'!$J:$J)</f>
        <v>0</v>
      </c>
      <c r="K44" s="170">
        <f>+SUMIF('BS-Details'!$A:$A,K$7&amp;" - "&amp;$C44,'BS-Details'!$J:$J)</f>
        <v>0</v>
      </c>
      <c r="L44" s="178">
        <f t="shared" si="4"/>
        <v>0</v>
      </c>
      <c r="M44" s="170">
        <f>+SUMIF('BS-Details'!$A:$A,M$7&amp;" - "&amp;$C44,'BS-Details'!$J:$J)</f>
        <v>0</v>
      </c>
      <c r="N44" s="170">
        <f>+SUMIF('BS-Details'!$A:$A,N$7&amp;" - "&amp;$C44,'BS-Details'!$J:$J)</f>
        <v>0</v>
      </c>
      <c r="O44" s="178">
        <f t="shared" si="5"/>
        <v>0</v>
      </c>
      <c r="P44" s="170">
        <f>+SUMIF('BS-Details'!$A:$A,P$7&amp;" - "&amp;$C44,'BS-Details'!$J:$J)</f>
        <v>0</v>
      </c>
      <c r="Q44" s="170">
        <f>+SUMIF('BS-Details'!$A:$A,Q$7&amp;" - "&amp;$C44,'BS-Details'!$J:$J)</f>
        <v>0</v>
      </c>
      <c r="R44" s="170">
        <f>+SUMIF('BS-Details'!$A:$A,R$7&amp;" - "&amp;$C44,'BS-Details'!$J:$J)</f>
        <v>0</v>
      </c>
      <c r="S44" s="170">
        <f>+SUMIF('BS-Details'!$A:$A,S$7&amp;" - "&amp;$C44,'BS-Details'!$J:$J)</f>
        <v>0</v>
      </c>
      <c r="T44" s="170">
        <f>+SUMIF('BS-Details'!$A:$A,T$7&amp;" - "&amp;$C44,'BS-Details'!$J:$J)</f>
        <v>0</v>
      </c>
      <c r="U44" s="170">
        <f>+SUMIF('BS-Details'!$A:$A,U$7&amp;" - "&amp;$C44,'BS-Details'!$J:$J)</f>
        <v>0</v>
      </c>
      <c r="V44" s="169">
        <f t="shared" si="6"/>
        <v>0</v>
      </c>
      <c r="W44" s="170">
        <f>+SUMIF('BS-Details'!$A:$A,W$7&amp;" - "&amp;$C44,'BS-Details'!$J:$J)</f>
        <v>0</v>
      </c>
      <c r="X44" s="170">
        <f>+SUMIF('BS-Details'!$A:$A,X$7&amp;" - "&amp;$C44,'BS-Details'!$J:$J)</f>
        <v>0</v>
      </c>
      <c r="Y44" s="178">
        <f t="shared" si="7"/>
        <v>0</v>
      </c>
      <c r="Z44" s="170">
        <f>+SUMIF('BS-Details'!$A:$A,Z$7&amp;" - "&amp;$C44,'BS-Details'!$J:$J)</f>
        <v>0</v>
      </c>
      <c r="AA44" s="170">
        <f>+SUMIF('BS-Details'!$A:$A,AA$7&amp;" - "&amp;$C44,'BS-Details'!$J:$J)</f>
        <v>0</v>
      </c>
      <c r="AB44" s="178">
        <f t="shared" si="8"/>
        <v>0</v>
      </c>
      <c r="AC44" s="170">
        <f>+SUMIF('BS-Details'!$A:$A,AC$7&amp;" - "&amp;$C44,'BS-Details'!$J:$J)</f>
        <v>0</v>
      </c>
      <c r="AD44" s="170">
        <f>+SUMIF('BS-Details'!$A:$A,AD$7&amp;" - "&amp;$C44,'BS-Details'!$J:$J)</f>
        <v>0</v>
      </c>
      <c r="AE44" s="170">
        <f>+SUMIF('BS-Details'!$A:$A,AE$7&amp;" - "&amp;$C44,'BS-Details'!$J:$J)</f>
        <v>0</v>
      </c>
      <c r="AF44" s="170">
        <f>+SUMIF('BS-Details'!$A:$A,AF$7&amp;" - "&amp;$C44,'BS-Details'!$J:$J)</f>
        <v>0</v>
      </c>
      <c r="AG44" s="170">
        <f>+SUMIF('BS-Details'!$A:$A,AG$7&amp;" - "&amp;$C44,'BS-Details'!$J:$J)</f>
        <v>0</v>
      </c>
      <c r="AH44" s="170">
        <f>+SUMIF('BS-Details'!$A:$A,AH$7&amp;" - "&amp;$C44,'BS-Details'!$J:$J)</f>
        <v>0</v>
      </c>
      <c r="AI44" s="170">
        <f>+SUMIF('BS-Details'!$A:$A,AI$7&amp;" - "&amp;$C44,'BS-Details'!$J:$J)</f>
        <v>0</v>
      </c>
      <c r="AJ44" s="170">
        <f>+SUMIF('BS-Details'!$A:$A,AJ$7&amp;" - "&amp;$C44,'BS-Details'!$J:$J)</f>
        <v>0</v>
      </c>
      <c r="AK44" s="170">
        <f>+SUMIF('BS-Details'!$A:$A,AK$7&amp;" - "&amp;$C44,'BS-Details'!$J:$J)</f>
        <v>0</v>
      </c>
      <c r="AL44" s="178">
        <f t="shared" si="9"/>
        <v>0</v>
      </c>
      <c r="AM44" s="170">
        <f>+SUMIF('BS-Details'!$A:$A,AM$7&amp;" - "&amp;$C44,'BS-Details'!$J:$J)</f>
        <v>0</v>
      </c>
      <c r="AN44" s="170">
        <f>+SUMIF('BS-Details'!$A:$A,AN$7&amp;" - "&amp;$C44,'BS-Details'!$J:$J)</f>
        <v>0</v>
      </c>
      <c r="AO44" s="170">
        <f>+SUMIF('BS-Details'!$A:$A,AO$7&amp;" - "&amp;$C44,'BS-Details'!$J:$J)</f>
        <v>0</v>
      </c>
      <c r="AP44" s="170">
        <f>+SUMIF('BS-Details'!$A:$A,AP$7&amp;" - "&amp;$C44,'BS-Details'!$J:$J)</f>
        <v>0</v>
      </c>
      <c r="AQ44" s="170">
        <f>+SUMIF('BS-Details'!$A:$A,AQ$7&amp;" - "&amp;$C44,'BS-Details'!$J:$J)</f>
        <v>0</v>
      </c>
      <c r="AR44" s="170">
        <f>+SUMIF('BS-Details'!$A:$A,AR$7&amp;" - "&amp;$C44,'BS-Details'!$J:$J)</f>
        <v>0</v>
      </c>
      <c r="AS44" s="170">
        <f>+SUMIF('BS-Details'!$A:$A,AS$7&amp;" - "&amp;$C44,'BS-Details'!$J:$J)</f>
        <v>0</v>
      </c>
      <c r="AT44" s="170">
        <f>+SUMIF('BS-Details'!$A:$A,AT$7&amp;" - "&amp;$C44,'BS-Details'!$J:$J)</f>
        <v>0</v>
      </c>
      <c r="AU44" s="170">
        <f>+SUMIF('BS-Details'!$A:$A,AU$7&amp;" - "&amp;$C44,'BS-Details'!$J:$J)</f>
        <v>0</v>
      </c>
      <c r="AV44" s="170">
        <f>+SUMIF('BS-Details'!$A:$A,AV$7&amp;" - "&amp;$C44,'BS-Details'!$J:$J)</f>
        <v>0</v>
      </c>
      <c r="AW44" s="170">
        <f>+SUMIF('BS-Details'!$A:$A,AW$7&amp;" - "&amp;$C44,'BS-Details'!$J:$J)</f>
        <v>0</v>
      </c>
      <c r="AX44" s="170">
        <f>+SUMIF('BS-Details'!$A:$A,AX$7&amp;" - "&amp;$C44,'BS-Details'!$J:$J)</f>
        <v>0</v>
      </c>
      <c r="AY44" s="170">
        <f>+SUMIF('BS-Details'!$A:$A,AY$7&amp;" - "&amp;$C44,'BS-Details'!$J:$J)</f>
        <v>0</v>
      </c>
      <c r="AZ44" s="170">
        <f>+SUMIF('BS-Details'!$A:$A,AZ$7&amp;" - "&amp;$C44,'BS-Details'!$J:$J)</f>
        <v>0</v>
      </c>
      <c r="BA44" s="170">
        <f>+SUMIF('BS-Details'!$A:$A,BA$7&amp;" - "&amp;$C44,'BS-Details'!$J:$J)</f>
        <v>0</v>
      </c>
      <c r="BB44" s="170">
        <f>+SUMIF('BS-Details'!$A:$A,BB$7&amp;" - "&amp;$C44,'BS-Details'!$J:$J)</f>
        <v>0</v>
      </c>
      <c r="BC44" s="170">
        <f>+SUMIF('BS-Details'!$A:$A,BC$7&amp;" - "&amp;$C44,'BS-Details'!$J:$J)</f>
        <v>0</v>
      </c>
      <c r="BD44" s="170">
        <f>+SUMIF('BS-Details'!$A:$A,BD$7&amp;" - "&amp;$C44,'BS-Details'!$J:$J)</f>
        <v>0</v>
      </c>
      <c r="BE44" s="170">
        <f>+SUMIF('BS-Details'!$A:$A,BE$7&amp;" - "&amp;$C44,'BS-Details'!$J:$J)</f>
        <v>0</v>
      </c>
      <c r="BF44" s="170">
        <f>+SUMIF('BS-Details'!$A:$A,BF$7&amp;" - "&amp;$C44,'BS-Details'!$J:$J)</f>
        <v>0</v>
      </c>
      <c r="BG44" s="170">
        <f>+SUMIF('BS-Details'!$A:$A,BG$7&amp;" - "&amp;$C44,'BS-Details'!$J:$J)</f>
        <v>0</v>
      </c>
      <c r="BH44" s="170">
        <f>+SUMIF('BS-Details'!$A:$A,BH$7&amp;" - "&amp;$C44,'BS-Details'!$J:$J)</f>
        <v>0</v>
      </c>
      <c r="BI44" s="170">
        <f>+SUMIF('BS-Details'!$A:$A,BI$7&amp;" - "&amp;$C44,'BS-Details'!$J:$J)</f>
        <v>0</v>
      </c>
      <c r="BJ44" s="170">
        <f>+SUMIF('BS-Details'!$A:$A,BJ$7&amp;" - "&amp;$C44,'BS-Details'!$J:$J)</f>
        <v>0</v>
      </c>
      <c r="BK44" s="170">
        <f>+SUMIF('BS-Details'!$A:$A,BK$7&amp;" - "&amp;$C44,'BS-Details'!$J:$J)</f>
        <v>0</v>
      </c>
      <c r="BL44" s="170">
        <f>+SUMIF('BS-Details'!$A:$A,BL$7&amp;" - "&amp;$C44,'BS-Details'!$J:$J)</f>
        <v>0</v>
      </c>
      <c r="BM44" s="170">
        <f>+SUMIF('BS-Details'!$A:$A,BM$7&amp;" - "&amp;$C44,'BS-Details'!$J:$J)</f>
        <v>0</v>
      </c>
      <c r="BN44" s="170">
        <f>+SUMIF('BS-Details'!$A:$A,BN$7&amp;" - "&amp;$C44,'BS-Details'!$J:$J)</f>
        <v>0</v>
      </c>
      <c r="BO44" s="170">
        <f>+SUMIF('BS-Details'!$A:$A,BO$7&amp;" - "&amp;$C44,'BS-Details'!$J:$J)</f>
        <v>0</v>
      </c>
      <c r="BP44" s="170">
        <f>+SUMIF('BS-Details'!$A:$A,BP$7&amp;" - "&amp;$C44,'BS-Details'!$J:$J)</f>
        <v>0</v>
      </c>
      <c r="BQ44" s="170">
        <f>+SUMIF('BS-Details'!$A:$A,BQ$7&amp;" - "&amp;$C44,'BS-Details'!$J:$J)</f>
        <v>0</v>
      </c>
      <c r="BR44" s="170">
        <f>+SUMIF('BS-Details'!$A:$A,BR$7&amp;" - "&amp;$C44,'BS-Details'!$J:$J)</f>
        <v>0</v>
      </c>
      <c r="BS44" s="170">
        <f>+SUMIF('BS-Details'!$A:$A,BS$7&amp;" - "&amp;$C44,'BS-Details'!$J:$J)</f>
        <v>0</v>
      </c>
      <c r="BT44" s="170">
        <f>+SUMIF('BS-Details'!$A:$A,BT$7&amp;" - "&amp;$C44,'BS-Details'!$J:$J)</f>
        <v>0</v>
      </c>
      <c r="BU44" s="170">
        <f>+SUMIF('BS-Details'!$A:$A,BU$7&amp;" - "&amp;$C44,'BS-Details'!$J:$J)</f>
        <v>0</v>
      </c>
      <c r="BV44" s="170">
        <f>+SUMIF('BS-Details'!$A:$A,BV$7&amp;" - "&amp;$C44,'BS-Details'!$J:$J)</f>
        <v>0</v>
      </c>
      <c r="BW44" s="170">
        <f>+SUMIF('BS-Details'!$A:$A,BW$7&amp;" - "&amp;$C44,'BS-Details'!$J:$J)</f>
        <v>0</v>
      </c>
      <c r="BX44" s="170">
        <f>+SUMIF('BS-Details'!$A:$A,BX$7&amp;" - "&amp;$C44,'BS-Details'!$J:$J)</f>
        <v>0</v>
      </c>
      <c r="BY44" s="170">
        <f>+SUMIF('BS-Details'!$A:$A,BY$7&amp;" - "&amp;$C44,'BS-Details'!$J:$J)</f>
        <v>0</v>
      </c>
      <c r="BZ44" s="170">
        <f>+SUMIF('BS-Details'!$A:$A,BZ$7&amp;" - "&amp;$C44,'BS-Details'!$J:$J)</f>
        <v>0</v>
      </c>
      <c r="CA44" s="170">
        <f>+SUMIF('BS-Details'!$A:$A,CA$7&amp;" - "&amp;$C44,'BS-Details'!$J:$J)</f>
        <v>0</v>
      </c>
      <c r="CB44" s="170">
        <f>+SUMIF('BS-Details'!$A:$A,CB$7&amp;" - "&amp;$C44,'BS-Details'!$J:$J)</f>
        <v>0</v>
      </c>
      <c r="CC44" s="170">
        <f>+SUMIF('BS-Details'!$A:$A,CC$7&amp;" - "&amp;$C44,'BS-Details'!$J:$J)</f>
        <v>0</v>
      </c>
      <c r="CD44" s="170">
        <f>+SUMIF('BS-Details'!$A:$A,CD$7&amp;" - "&amp;$C44,'BS-Details'!$J:$J)</f>
        <v>0</v>
      </c>
      <c r="CE44" s="170">
        <f>+SUMIF('BS-Details'!$A:$A,CE$7&amp;" - "&amp;$C44,'BS-Details'!$J:$J)</f>
        <v>0</v>
      </c>
      <c r="CF44" s="170">
        <f>+SUMIF('BS-Details'!$A:$A,CF$7&amp;" - "&amp;$C44,'BS-Details'!$J:$J)</f>
        <v>0</v>
      </c>
      <c r="CG44" s="170">
        <f>+SUMIF('BS-Details'!$A:$A,CG$7&amp;" - "&amp;$C44,'BS-Details'!$J:$J)</f>
        <v>0</v>
      </c>
      <c r="CH44" s="170">
        <f>+SUMIF('BS-Details'!$A:$A,CH$7&amp;" - "&amp;$C44,'BS-Details'!$J:$J)</f>
        <v>0</v>
      </c>
      <c r="CI44" s="170">
        <f>+SUMIF('BS-Details'!$A:$A,CI$7&amp;" - "&amp;$C44,'BS-Details'!$J:$J)</f>
        <v>0</v>
      </c>
      <c r="CJ44" s="170">
        <f>+SUMIF('BS-Details'!$A:$A,CJ$7&amp;" - "&amp;$C44,'BS-Details'!$J:$J)</f>
        <v>0</v>
      </c>
      <c r="CK44" s="170">
        <f>+SUMIF('BS-Details'!$A:$A,CK$7&amp;" - "&amp;$C44,'BS-Details'!$J:$J)</f>
        <v>0</v>
      </c>
      <c r="CL44" s="170">
        <f>+SUMIF('BS-Details'!$A:$A,CL$7&amp;" - "&amp;$C44,'BS-Details'!$J:$J)</f>
        <v>0</v>
      </c>
      <c r="CM44" s="170">
        <f>+SUMIF('BS-Details'!$A:$A,CM$7&amp;" - "&amp;$C44,'BS-Details'!$J:$J)</f>
        <v>0</v>
      </c>
      <c r="CN44" s="170">
        <f>+SUMIF('BS-Details'!$A:$A,CN$7&amp;" - "&amp;$C44,'BS-Details'!$J:$J)</f>
        <v>0</v>
      </c>
      <c r="CO44" s="170">
        <f>+SUMIF('BS-Details'!$A:$A,CO$7&amp;" - "&amp;$C44,'BS-Details'!$J:$J)</f>
        <v>0</v>
      </c>
      <c r="CP44" s="170"/>
      <c r="CQ44" s="178">
        <f t="shared" si="10"/>
        <v>0</v>
      </c>
      <c r="CR44" s="178">
        <f t="shared" si="11"/>
        <v>0</v>
      </c>
      <c r="CS44" s="178">
        <f t="shared" si="12"/>
        <v>0</v>
      </c>
      <c r="CT44" s="185">
        <f>+SUMIF('BS-Details'!$A:$A,CT$7&amp;" - "&amp;$C44,'BS-Details'!$J:$J)</f>
        <v>0</v>
      </c>
      <c r="CU44" s="170">
        <f>+SUMIF('BS-Details'!$A:$A,CU$7&amp;" - "&amp;$C44,'BS-Details'!$J:$J)</f>
        <v>0</v>
      </c>
      <c r="CV44" s="170">
        <f>+SUMIF('BS-Details'!$A:$A,CV$7&amp;" - "&amp;$C44,'BS-Details'!$J:$J)</f>
        <v>0</v>
      </c>
      <c r="CW44" s="189">
        <f>+SUMIF('BS-Details'!$A:$A,CW$7&amp;" - "&amp;$C44,'BS-Details'!$J:$J)</f>
        <v>0</v>
      </c>
      <c r="CX44" s="189">
        <f>+SUMIF('BS-Details'!$A:$A,CX$7&amp;" - "&amp;$C44,'BS-Details'!$J:$J)</f>
        <v>0</v>
      </c>
      <c r="CY44" s="189">
        <f t="shared" si="13"/>
        <v>0</v>
      </c>
      <c r="CZ44" s="178">
        <f>+SUMIF('BS-Details'!$A:$A,CZ$7&amp;" - "&amp;$C44,'BS-Details'!$J:$J)</f>
        <v>0</v>
      </c>
      <c r="DA44" s="178">
        <f>+SUMIF('BS-Details'!$A:$A,DA$7&amp;" - "&amp;$C44,'BS-Details'!$J:$J)</f>
        <v>0</v>
      </c>
      <c r="DB44" s="193"/>
    </row>
    <row r="45" spans="1:106" ht="15.75" customHeight="true">
      <c r="A45" s="161">
        <v>30</v>
      </c>
      <c r="B45" s="161" t="s">
        <v>13890</v>
      </c>
      <c r="C45" s="163" t="s">
        <v>13898</v>
      </c>
      <c r="D45" s="163" t="s">
        <v>13898</v>
      </c>
      <c r="E45" s="169">
        <f t="shared" si="2"/>
        <v>0</v>
      </c>
      <c r="F45" s="169">
        <f t="shared" si="3"/>
        <v>0</v>
      </c>
      <c r="G45" s="170">
        <f>+SUMIF('BS-Details'!$A:$A,G$7&amp;" - "&amp;$C45,'BS-Details'!$J:$J)</f>
        <v>0</v>
      </c>
      <c r="H45" s="170">
        <f>+SUMIF('BS-Details'!$A:$A,H$7&amp;" - "&amp;$C45,'BS-Details'!$J:$J)</f>
        <v>0</v>
      </c>
      <c r="I45" s="170">
        <f>+SUMIF('BS-Details'!$A:$A,I$7&amp;" - "&amp;$C45,'BS-Details'!$J:$J)</f>
        <v>0</v>
      </c>
      <c r="J45" s="170">
        <f>+SUMIF('BS-Details'!$A:$A,J$7&amp;" - "&amp;$C45,'BS-Details'!$J:$J)</f>
        <v>0</v>
      </c>
      <c r="K45" s="170">
        <f>+SUMIF('BS-Details'!$A:$A,K$7&amp;" - "&amp;$C45,'BS-Details'!$J:$J)</f>
        <v>0</v>
      </c>
      <c r="L45" s="178">
        <f t="shared" si="4"/>
        <v>0</v>
      </c>
      <c r="M45" s="170">
        <f>+SUMIF('BS-Details'!$A:$A,M$7&amp;" - "&amp;$C45,'BS-Details'!$J:$J)</f>
        <v>0</v>
      </c>
      <c r="N45" s="170">
        <f>+SUMIF('BS-Details'!$A:$A,N$7&amp;" - "&amp;$C45,'BS-Details'!$J:$J)</f>
        <v>0</v>
      </c>
      <c r="O45" s="178">
        <f t="shared" si="5"/>
        <v>0</v>
      </c>
      <c r="P45" s="170">
        <f>+SUMIF('BS-Details'!$A:$A,P$7&amp;" - "&amp;$C45,'BS-Details'!$J:$J)</f>
        <v>0</v>
      </c>
      <c r="Q45" s="170">
        <f>+SUMIF('BS-Details'!$A:$A,Q$7&amp;" - "&amp;$C45,'BS-Details'!$J:$J)</f>
        <v>0</v>
      </c>
      <c r="R45" s="170">
        <f>+SUMIF('BS-Details'!$A:$A,R$7&amp;" - "&amp;$C45,'BS-Details'!$J:$J)</f>
        <v>0</v>
      </c>
      <c r="S45" s="170">
        <f>+SUMIF('BS-Details'!$A:$A,S$7&amp;" - "&amp;$C45,'BS-Details'!$J:$J)</f>
        <v>0</v>
      </c>
      <c r="T45" s="170">
        <f>+SUMIF('BS-Details'!$A:$A,T$7&amp;" - "&amp;$C45,'BS-Details'!$J:$J)</f>
        <v>0</v>
      </c>
      <c r="U45" s="170">
        <f>+SUMIF('BS-Details'!$A:$A,U$7&amp;" - "&amp;$C45,'BS-Details'!$J:$J)</f>
        <v>0</v>
      </c>
      <c r="V45" s="169">
        <f t="shared" si="6"/>
        <v>0</v>
      </c>
      <c r="W45" s="170">
        <f>+SUMIF('BS-Details'!$A:$A,W$7&amp;" - "&amp;$C45,'BS-Details'!$J:$J)</f>
        <v>0</v>
      </c>
      <c r="X45" s="170">
        <f>+SUMIF('BS-Details'!$A:$A,X$7&amp;" - "&amp;$C45,'BS-Details'!$J:$J)</f>
        <v>0</v>
      </c>
      <c r="Y45" s="178">
        <f t="shared" si="7"/>
        <v>0</v>
      </c>
      <c r="Z45" s="170">
        <f>+SUMIF('BS-Details'!$A:$A,Z$7&amp;" - "&amp;$C45,'BS-Details'!$J:$J)</f>
        <v>0</v>
      </c>
      <c r="AA45" s="170">
        <f>+SUMIF('BS-Details'!$A:$A,AA$7&amp;" - "&amp;$C45,'BS-Details'!$J:$J)</f>
        <v>0</v>
      </c>
      <c r="AB45" s="178">
        <f t="shared" si="8"/>
        <v>0</v>
      </c>
      <c r="AC45" s="170">
        <f>+SUMIF('BS-Details'!$A:$A,AC$7&amp;" - "&amp;$C45,'BS-Details'!$J:$J)</f>
        <v>0</v>
      </c>
      <c r="AD45" s="170">
        <f>+SUMIF('BS-Details'!$A:$A,AD$7&amp;" - "&amp;$C45,'BS-Details'!$J:$J)</f>
        <v>0</v>
      </c>
      <c r="AE45" s="170">
        <f>+SUMIF('BS-Details'!$A:$A,AE$7&amp;" - "&amp;$C45,'BS-Details'!$J:$J)</f>
        <v>0</v>
      </c>
      <c r="AF45" s="170">
        <f>+SUMIF('BS-Details'!$A:$A,AF$7&amp;" - "&amp;$C45,'BS-Details'!$J:$J)</f>
        <v>0</v>
      </c>
      <c r="AG45" s="170">
        <f>+SUMIF('BS-Details'!$A:$A,AG$7&amp;" - "&amp;$C45,'BS-Details'!$J:$J)</f>
        <v>0</v>
      </c>
      <c r="AH45" s="170">
        <f>+SUMIF('BS-Details'!$A:$A,AH$7&amp;" - "&amp;$C45,'BS-Details'!$J:$J)</f>
        <v>0</v>
      </c>
      <c r="AI45" s="170">
        <f>+SUMIF('BS-Details'!$A:$A,AI$7&amp;" - "&amp;$C45,'BS-Details'!$J:$J)</f>
        <v>0</v>
      </c>
      <c r="AJ45" s="170">
        <f>+SUMIF('BS-Details'!$A:$A,AJ$7&amp;" - "&amp;$C45,'BS-Details'!$J:$J)</f>
        <v>0</v>
      </c>
      <c r="AK45" s="170">
        <f>+SUMIF('BS-Details'!$A:$A,AK$7&amp;" - "&amp;$C45,'BS-Details'!$J:$J)</f>
        <v>0</v>
      </c>
      <c r="AL45" s="178">
        <f t="shared" si="9"/>
        <v>0</v>
      </c>
      <c r="AM45" s="170">
        <f>+SUMIF('BS-Details'!$A:$A,AM$7&amp;" - "&amp;$C45,'BS-Details'!$J:$J)</f>
        <v>0</v>
      </c>
      <c r="AN45" s="170">
        <f>+SUMIF('BS-Details'!$A:$A,AN$7&amp;" - "&amp;$C45,'BS-Details'!$J:$J)</f>
        <v>0</v>
      </c>
      <c r="AO45" s="170">
        <f>+SUMIF('BS-Details'!$A:$A,AO$7&amp;" - "&amp;$C45,'BS-Details'!$J:$J)</f>
        <v>0</v>
      </c>
      <c r="AP45" s="170">
        <f>+SUMIF('BS-Details'!$A:$A,AP$7&amp;" - "&amp;$C45,'BS-Details'!$J:$J)</f>
        <v>0</v>
      </c>
      <c r="AQ45" s="170">
        <f>+SUMIF('BS-Details'!$A:$A,AQ$7&amp;" - "&amp;$C45,'BS-Details'!$J:$J)</f>
        <v>0</v>
      </c>
      <c r="AR45" s="170">
        <f>+SUMIF('BS-Details'!$A:$A,AR$7&amp;" - "&amp;$C45,'BS-Details'!$J:$J)</f>
        <v>0</v>
      </c>
      <c r="AS45" s="170">
        <f>+SUMIF('BS-Details'!$A:$A,AS$7&amp;" - "&amp;$C45,'BS-Details'!$J:$J)</f>
        <v>0</v>
      </c>
      <c r="AT45" s="170">
        <f>+SUMIF('BS-Details'!$A:$A,AT$7&amp;" - "&amp;$C45,'BS-Details'!$J:$J)</f>
        <v>0</v>
      </c>
      <c r="AU45" s="170">
        <f>+SUMIF('BS-Details'!$A:$A,AU$7&amp;" - "&amp;$C45,'BS-Details'!$J:$J)</f>
        <v>0</v>
      </c>
      <c r="AV45" s="170">
        <f>+SUMIF('BS-Details'!$A:$A,AV$7&amp;" - "&amp;$C45,'BS-Details'!$J:$J)</f>
        <v>0</v>
      </c>
      <c r="AW45" s="170">
        <f>+SUMIF('BS-Details'!$A:$A,AW$7&amp;" - "&amp;$C45,'BS-Details'!$J:$J)</f>
        <v>0</v>
      </c>
      <c r="AX45" s="170">
        <f>+SUMIF('BS-Details'!$A:$A,AX$7&amp;" - "&amp;$C45,'BS-Details'!$J:$J)</f>
        <v>0</v>
      </c>
      <c r="AY45" s="170">
        <f>+SUMIF('BS-Details'!$A:$A,AY$7&amp;" - "&amp;$C45,'BS-Details'!$J:$J)</f>
        <v>0</v>
      </c>
      <c r="AZ45" s="170">
        <f>+SUMIF('BS-Details'!$A:$A,AZ$7&amp;" - "&amp;$C45,'BS-Details'!$J:$J)</f>
        <v>0</v>
      </c>
      <c r="BA45" s="170">
        <f>+SUMIF('BS-Details'!$A:$A,BA$7&amp;" - "&amp;$C45,'BS-Details'!$J:$J)</f>
        <v>0</v>
      </c>
      <c r="BB45" s="170">
        <f>+SUMIF('BS-Details'!$A:$A,BB$7&amp;" - "&amp;$C45,'BS-Details'!$J:$J)</f>
        <v>0</v>
      </c>
      <c r="BC45" s="170">
        <f>+SUMIF('BS-Details'!$A:$A,BC$7&amp;" - "&amp;$C45,'BS-Details'!$J:$J)</f>
        <v>0</v>
      </c>
      <c r="BD45" s="170">
        <f>+SUMIF('BS-Details'!$A:$A,BD$7&amp;" - "&amp;$C45,'BS-Details'!$J:$J)</f>
        <v>0</v>
      </c>
      <c r="BE45" s="170">
        <f>+SUMIF('BS-Details'!$A:$A,BE$7&amp;" - "&amp;$C45,'BS-Details'!$J:$J)</f>
        <v>0</v>
      </c>
      <c r="BF45" s="170">
        <f>+SUMIF('BS-Details'!$A:$A,BF$7&amp;" - "&amp;$C45,'BS-Details'!$J:$J)</f>
        <v>0</v>
      </c>
      <c r="BG45" s="170">
        <f>+SUMIF('BS-Details'!$A:$A,BG$7&amp;" - "&amp;$C45,'BS-Details'!$J:$J)</f>
        <v>0</v>
      </c>
      <c r="BH45" s="170">
        <f>+SUMIF('BS-Details'!$A:$A,BH$7&amp;" - "&amp;$C45,'BS-Details'!$J:$J)</f>
        <v>0</v>
      </c>
      <c r="BI45" s="170">
        <f>+SUMIF('BS-Details'!$A:$A,BI$7&amp;" - "&amp;$C45,'BS-Details'!$J:$J)</f>
        <v>0</v>
      </c>
      <c r="BJ45" s="170">
        <f>+SUMIF('BS-Details'!$A:$A,BJ$7&amp;" - "&amp;$C45,'BS-Details'!$J:$J)</f>
        <v>0</v>
      </c>
      <c r="BK45" s="170">
        <f>+SUMIF('BS-Details'!$A:$A,BK$7&amp;" - "&amp;$C45,'BS-Details'!$J:$J)</f>
        <v>0</v>
      </c>
      <c r="BL45" s="170">
        <f>+SUMIF('BS-Details'!$A:$A,BL$7&amp;" - "&amp;$C45,'BS-Details'!$J:$J)</f>
        <v>0</v>
      </c>
      <c r="BM45" s="170">
        <f>+SUMIF('BS-Details'!$A:$A,BM$7&amp;" - "&amp;$C45,'BS-Details'!$J:$J)</f>
        <v>0</v>
      </c>
      <c r="BN45" s="170">
        <f>+SUMIF('BS-Details'!$A:$A,BN$7&amp;" - "&amp;$C45,'BS-Details'!$J:$J)</f>
        <v>0</v>
      </c>
      <c r="BO45" s="170">
        <f>+SUMIF('BS-Details'!$A:$A,BO$7&amp;" - "&amp;$C45,'BS-Details'!$J:$J)</f>
        <v>0</v>
      </c>
      <c r="BP45" s="170">
        <f>+SUMIF('BS-Details'!$A:$A,BP$7&amp;" - "&amp;$C45,'BS-Details'!$J:$J)</f>
        <v>0</v>
      </c>
      <c r="BQ45" s="170">
        <f>+SUMIF('BS-Details'!$A:$A,BQ$7&amp;" - "&amp;$C45,'BS-Details'!$J:$J)</f>
        <v>0</v>
      </c>
      <c r="BR45" s="170">
        <f>+SUMIF('BS-Details'!$A:$A,BR$7&amp;" - "&amp;$C45,'BS-Details'!$J:$J)</f>
        <v>0</v>
      </c>
      <c r="BS45" s="170">
        <f>+SUMIF('BS-Details'!$A:$A,BS$7&amp;" - "&amp;$C45,'BS-Details'!$J:$J)</f>
        <v>0</v>
      </c>
      <c r="BT45" s="170">
        <f>+SUMIF('BS-Details'!$A:$A,BT$7&amp;" - "&amp;$C45,'BS-Details'!$J:$J)</f>
        <v>0</v>
      </c>
      <c r="BU45" s="170">
        <f>+SUMIF('BS-Details'!$A:$A,BU$7&amp;" - "&amp;$C45,'BS-Details'!$J:$J)</f>
        <v>0</v>
      </c>
      <c r="BV45" s="170">
        <f>+SUMIF('BS-Details'!$A:$A,BV$7&amp;" - "&amp;$C45,'BS-Details'!$J:$J)</f>
        <v>0</v>
      </c>
      <c r="BW45" s="170">
        <f>+SUMIF('BS-Details'!$A:$A,BW$7&amp;" - "&amp;$C45,'BS-Details'!$J:$J)</f>
        <v>0</v>
      </c>
      <c r="BX45" s="170">
        <f>+SUMIF('BS-Details'!$A:$A,BX$7&amp;" - "&amp;$C45,'BS-Details'!$J:$J)</f>
        <v>0</v>
      </c>
      <c r="BY45" s="170">
        <f>+SUMIF('BS-Details'!$A:$A,BY$7&amp;" - "&amp;$C45,'BS-Details'!$J:$J)</f>
        <v>0</v>
      </c>
      <c r="BZ45" s="170">
        <f>+SUMIF('BS-Details'!$A:$A,BZ$7&amp;" - "&amp;$C45,'BS-Details'!$J:$J)</f>
        <v>0</v>
      </c>
      <c r="CA45" s="170">
        <f>+SUMIF('BS-Details'!$A:$A,CA$7&amp;" - "&amp;$C45,'BS-Details'!$J:$J)</f>
        <v>0</v>
      </c>
      <c r="CB45" s="170">
        <f>+SUMIF('BS-Details'!$A:$A,CB$7&amp;" - "&amp;$C45,'BS-Details'!$J:$J)</f>
        <v>0</v>
      </c>
      <c r="CC45" s="170">
        <f>+SUMIF('BS-Details'!$A:$A,CC$7&amp;" - "&amp;$C45,'BS-Details'!$J:$J)</f>
        <v>0</v>
      </c>
      <c r="CD45" s="170">
        <f>+SUMIF('BS-Details'!$A:$A,CD$7&amp;" - "&amp;$C45,'BS-Details'!$J:$J)</f>
        <v>0</v>
      </c>
      <c r="CE45" s="170">
        <f>+SUMIF('BS-Details'!$A:$A,CE$7&amp;" - "&amp;$C45,'BS-Details'!$J:$J)</f>
        <v>0</v>
      </c>
      <c r="CF45" s="170">
        <f>+SUMIF('BS-Details'!$A:$A,CF$7&amp;" - "&amp;$C45,'BS-Details'!$J:$J)</f>
        <v>0</v>
      </c>
      <c r="CG45" s="170">
        <f>+SUMIF('BS-Details'!$A:$A,CG$7&amp;" - "&amp;$C45,'BS-Details'!$J:$J)</f>
        <v>0</v>
      </c>
      <c r="CH45" s="170">
        <f>+SUMIF('BS-Details'!$A:$A,CH$7&amp;" - "&amp;$C45,'BS-Details'!$J:$J)</f>
        <v>0</v>
      </c>
      <c r="CI45" s="170">
        <f>+SUMIF('BS-Details'!$A:$A,CI$7&amp;" - "&amp;$C45,'BS-Details'!$J:$J)</f>
        <v>0</v>
      </c>
      <c r="CJ45" s="170">
        <f>+SUMIF('BS-Details'!$A:$A,CJ$7&amp;" - "&amp;$C45,'BS-Details'!$J:$J)</f>
        <v>0</v>
      </c>
      <c r="CK45" s="170">
        <f>+SUMIF('BS-Details'!$A:$A,CK$7&amp;" - "&amp;$C45,'BS-Details'!$J:$J)</f>
        <v>0</v>
      </c>
      <c r="CL45" s="170">
        <f>+SUMIF('BS-Details'!$A:$A,CL$7&amp;" - "&amp;$C45,'BS-Details'!$J:$J)</f>
        <v>0</v>
      </c>
      <c r="CM45" s="170">
        <f>+SUMIF('BS-Details'!$A:$A,CM$7&amp;" - "&amp;$C45,'BS-Details'!$J:$J)</f>
        <v>0</v>
      </c>
      <c r="CN45" s="170">
        <f>+SUMIF('BS-Details'!$A:$A,CN$7&amp;" - "&amp;$C45,'BS-Details'!$J:$J)</f>
        <v>0</v>
      </c>
      <c r="CO45" s="170">
        <f>+SUMIF('BS-Details'!$A:$A,CO$7&amp;" - "&amp;$C45,'BS-Details'!$J:$J)</f>
        <v>0</v>
      </c>
      <c r="CP45" s="170"/>
      <c r="CQ45" s="178">
        <f t="shared" si="10"/>
        <v>0</v>
      </c>
      <c r="CR45" s="178">
        <f t="shared" si="11"/>
        <v>0</v>
      </c>
      <c r="CS45" s="178">
        <f t="shared" si="12"/>
        <v>0</v>
      </c>
      <c r="CT45" s="185">
        <f>+SUMIF('BS-Details'!$A:$A,CT$7&amp;" - "&amp;$C45,'BS-Details'!$J:$J)</f>
        <v>0</v>
      </c>
      <c r="CU45" s="170">
        <f>+SUMIF('BS-Details'!$A:$A,CU$7&amp;" - "&amp;$C45,'BS-Details'!$J:$J)</f>
        <v>0</v>
      </c>
      <c r="CV45" s="170">
        <f>+SUMIF('BS-Details'!$A:$A,CV$7&amp;" - "&amp;$C45,'BS-Details'!$J:$J)</f>
        <v>0</v>
      </c>
      <c r="CW45" s="189">
        <f>+SUMIF('BS-Details'!$A:$A,CW$7&amp;" - "&amp;$C45,'BS-Details'!$J:$J)</f>
        <v>0</v>
      </c>
      <c r="CX45" s="189">
        <f>+SUMIF('BS-Details'!$A:$A,CX$7&amp;" - "&amp;$C45,'BS-Details'!$J:$J)</f>
        <v>0</v>
      </c>
      <c r="CY45" s="189">
        <f t="shared" si="13"/>
        <v>0</v>
      </c>
      <c r="CZ45" s="178">
        <f>+SUMIF('BS-Details'!$A:$A,CZ$7&amp;" - "&amp;$C45,'BS-Details'!$J:$J)</f>
        <v>0</v>
      </c>
      <c r="DA45" s="178">
        <f>+SUMIF('BS-Details'!$A:$A,DA$7&amp;" - "&amp;$C45,'BS-Details'!$J:$J)</f>
        <v>0</v>
      </c>
      <c r="DB45" s="193"/>
    </row>
    <row r="46" spans="1:106" ht="15.75" customHeight="true">
      <c r="A46" s="161">
        <v>31</v>
      </c>
      <c r="B46" s="161" t="s">
        <v>13890</v>
      </c>
      <c r="C46" s="163" t="s">
        <v>3864</v>
      </c>
      <c r="D46" s="163" t="s">
        <v>3864</v>
      </c>
      <c r="E46" s="169">
        <f t="shared" si="2"/>
        <v>25115.49</v>
      </c>
      <c r="F46" s="169">
        <f t="shared" si="3"/>
        <v>25115.49</v>
      </c>
      <c r="G46" s="170">
        <f>+SUMIF('BS-Details'!$A:$A,G$7&amp;" - "&amp;$C46,'BS-Details'!$J:$J)</f>
        <v>0</v>
      </c>
      <c r="H46" s="170">
        <f>+SUMIF('BS-Details'!$A:$A,H$7&amp;" - "&amp;$C46,'BS-Details'!$J:$J)</f>
        <v>0</v>
      </c>
      <c r="I46" s="170">
        <f>+SUMIF('BS-Details'!$A:$A,I$7&amp;" - "&amp;$C46,'BS-Details'!$J:$J)</f>
        <v>0</v>
      </c>
      <c r="J46" s="170">
        <f>+SUMIF('BS-Details'!$A:$A,J$7&amp;" - "&amp;$C46,'BS-Details'!$J:$J)</f>
        <v>0</v>
      </c>
      <c r="K46" s="170">
        <f>+SUMIF('BS-Details'!$A:$A,K$7&amp;" - "&amp;$C46,'BS-Details'!$J:$J)</f>
        <v>0</v>
      </c>
      <c r="L46" s="178">
        <f t="shared" si="4"/>
        <v>0</v>
      </c>
      <c r="M46" s="170">
        <f>+SUMIF('BS-Details'!$A:$A,M$7&amp;" - "&amp;$C46,'BS-Details'!$J:$J)</f>
        <v>0</v>
      </c>
      <c r="N46" s="170">
        <f>+SUMIF('BS-Details'!$A:$A,N$7&amp;" - "&amp;$C46,'BS-Details'!$J:$J)</f>
        <v>0</v>
      </c>
      <c r="O46" s="178">
        <f t="shared" si="5"/>
        <v>0</v>
      </c>
      <c r="P46" s="170">
        <f>+SUMIF('BS-Details'!$A:$A,P$7&amp;" - "&amp;$C46,'BS-Details'!$J:$J)</f>
        <v>0</v>
      </c>
      <c r="Q46" s="170">
        <f>+SUMIF('BS-Details'!$A:$A,Q$7&amp;" - "&amp;$C46,'BS-Details'!$J:$J)</f>
        <v>0</v>
      </c>
      <c r="R46" s="170">
        <f>+SUMIF('BS-Details'!$A:$A,R$7&amp;" - "&amp;$C46,'BS-Details'!$J:$J)</f>
        <v>0</v>
      </c>
      <c r="S46" s="170">
        <f>+SUMIF('BS-Details'!$A:$A,S$7&amp;" - "&amp;$C46,'BS-Details'!$J:$J)</f>
        <v>0</v>
      </c>
      <c r="T46" s="170">
        <f>+SUMIF('BS-Details'!$A:$A,T$7&amp;" - "&amp;$C46,'BS-Details'!$J:$J)</f>
        <v>0</v>
      </c>
      <c r="U46" s="170">
        <f>+SUMIF('BS-Details'!$A:$A,U$7&amp;" - "&amp;$C46,'BS-Details'!$J:$J)</f>
        <v>0</v>
      </c>
      <c r="V46" s="169">
        <f t="shared" si="6"/>
        <v>0</v>
      </c>
      <c r="W46" s="170">
        <f>+SUMIF('BS-Details'!$A:$A,W$7&amp;" - "&amp;$C46,'BS-Details'!$J:$J)</f>
        <v>0</v>
      </c>
      <c r="X46" s="170">
        <f>+SUMIF('BS-Details'!$A:$A,X$7&amp;" - "&amp;$C46,'BS-Details'!$J:$J)</f>
        <v>0</v>
      </c>
      <c r="Y46" s="178">
        <f t="shared" si="7"/>
        <v>0</v>
      </c>
      <c r="Z46" s="170">
        <f>+SUMIF('BS-Details'!$A:$A,Z$7&amp;" - "&amp;$C46,'BS-Details'!$J:$J)</f>
        <v>0</v>
      </c>
      <c r="AA46" s="170">
        <f>+SUMIF('BS-Details'!$A:$A,AA$7&amp;" - "&amp;$C46,'BS-Details'!$J:$J)</f>
        <v>0</v>
      </c>
      <c r="AB46" s="178">
        <f t="shared" si="8"/>
        <v>0</v>
      </c>
      <c r="AC46" s="170">
        <f>+SUMIF('BS-Details'!$A:$A,AC$7&amp;" - "&amp;$C46,'BS-Details'!$J:$J)</f>
        <v>0</v>
      </c>
      <c r="AD46" s="170">
        <f>+SUMIF('BS-Details'!$A:$A,AD$7&amp;" - "&amp;$C46,'BS-Details'!$J:$J)</f>
        <v>0</v>
      </c>
      <c r="AE46" s="170">
        <f>+SUMIF('BS-Details'!$A:$A,AE$7&amp;" - "&amp;$C46,'BS-Details'!$J:$J)</f>
        <v>0</v>
      </c>
      <c r="AF46" s="170">
        <f>+SUMIF('BS-Details'!$A:$A,AF$7&amp;" - "&amp;$C46,'BS-Details'!$J:$J)</f>
        <v>0</v>
      </c>
      <c r="AG46" s="170">
        <f>+SUMIF('BS-Details'!$A:$A,AG$7&amp;" - "&amp;$C46,'BS-Details'!$J:$J)</f>
        <v>0</v>
      </c>
      <c r="AH46" s="170">
        <f>+SUMIF('BS-Details'!$A:$A,AH$7&amp;" - "&amp;$C46,'BS-Details'!$J:$J)</f>
        <v>0</v>
      </c>
      <c r="AI46" s="170">
        <f>+SUMIF('BS-Details'!$A:$A,AI$7&amp;" - "&amp;$C46,'BS-Details'!$J:$J)</f>
        <v>0</v>
      </c>
      <c r="AJ46" s="170">
        <f>+SUMIF('BS-Details'!$A:$A,AJ$7&amp;" - "&amp;$C46,'BS-Details'!$J:$J)</f>
        <v>0</v>
      </c>
      <c r="AK46" s="170">
        <f>+SUMIF('BS-Details'!$A:$A,AK$7&amp;" - "&amp;$C46,'BS-Details'!$J:$J)</f>
        <v>23982.81</v>
      </c>
      <c r="AL46" s="178">
        <f t="shared" si="9"/>
        <v>23982.81</v>
      </c>
      <c r="AM46" s="170">
        <f>+SUMIF('BS-Details'!$A:$A,AM$7&amp;" - "&amp;$C46,'BS-Details'!$J:$J)</f>
        <v>0</v>
      </c>
      <c r="AN46" s="170">
        <f>+SUMIF('BS-Details'!$A:$A,AN$7&amp;" - "&amp;$C46,'BS-Details'!$J:$J)</f>
        <v>0</v>
      </c>
      <c r="AO46" s="170">
        <f>+SUMIF('BS-Details'!$A:$A,AO$7&amp;" - "&amp;$C46,'BS-Details'!$J:$J)</f>
        <v>-3822.84</v>
      </c>
      <c r="AP46" s="170">
        <f>+SUMIF('BS-Details'!$A:$A,AP$7&amp;" - "&amp;$C46,'BS-Details'!$J:$J)</f>
        <v>0</v>
      </c>
      <c r="AQ46" s="170">
        <f>+SUMIF('BS-Details'!$A:$A,AQ$7&amp;" - "&amp;$C46,'BS-Details'!$J:$J)</f>
        <v>0</v>
      </c>
      <c r="AR46" s="170">
        <f>+SUMIF('BS-Details'!$A:$A,AR$7&amp;" - "&amp;$C46,'BS-Details'!$J:$J)</f>
        <v>0</v>
      </c>
      <c r="AS46" s="170">
        <f>+SUMIF('BS-Details'!$A:$A,AS$7&amp;" - "&amp;$C46,'BS-Details'!$J:$J)</f>
        <v>0</v>
      </c>
      <c r="AT46" s="170">
        <f>+SUMIF('BS-Details'!$A:$A,AT$7&amp;" - "&amp;$C46,'BS-Details'!$J:$J)</f>
        <v>0</v>
      </c>
      <c r="AU46" s="170">
        <f>+SUMIF('BS-Details'!$A:$A,AU$7&amp;" - "&amp;$C46,'BS-Details'!$J:$J)</f>
        <v>3005.93</v>
      </c>
      <c r="AV46" s="170">
        <f>+SUMIF('BS-Details'!$A:$A,AV$7&amp;" - "&amp;$C46,'BS-Details'!$J:$J)</f>
        <v>0</v>
      </c>
      <c r="AW46" s="170">
        <f>+SUMIF('BS-Details'!$A:$A,AW$7&amp;" - "&amp;$C46,'BS-Details'!$J:$J)</f>
        <v>0</v>
      </c>
      <c r="AX46" s="170">
        <f>+SUMIF('BS-Details'!$A:$A,AX$7&amp;" - "&amp;$C46,'BS-Details'!$J:$J)</f>
        <v>0</v>
      </c>
      <c r="AY46" s="170">
        <f>+SUMIF('BS-Details'!$A:$A,AY$7&amp;" - "&amp;$C46,'BS-Details'!$J:$J)</f>
        <v>0</v>
      </c>
      <c r="AZ46" s="170">
        <f>+SUMIF('BS-Details'!$A:$A,AZ$7&amp;" - "&amp;$C46,'BS-Details'!$J:$J)</f>
        <v>0</v>
      </c>
      <c r="BA46" s="170">
        <f>+SUMIF('BS-Details'!$A:$A,BA$7&amp;" - "&amp;$C46,'BS-Details'!$J:$J)</f>
        <v>0</v>
      </c>
      <c r="BB46" s="170">
        <f>+SUMIF('BS-Details'!$A:$A,BB$7&amp;" - "&amp;$C46,'BS-Details'!$J:$J)</f>
        <v>0</v>
      </c>
      <c r="BC46" s="170">
        <f>+SUMIF('BS-Details'!$A:$A,BC$7&amp;" - "&amp;$C46,'BS-Details'!$J:$J)</f>
        <v>0</v>
      </c>
      <c r="BD46" s="170">
        <f>+SUMIF('BS-Details'!$A:$A,BD$7&amp;" - "&amp;$C46,'BS-Details'!$J:$J)</f>
        <v>0</v>
      </c>
      <c r="BE46" s="170">
        <f>+SUMIF('BS-Details'!$A:$A,BE$7&amp;" - "&amp;$C46,'BS-Details'!$J:$J)</f>
        <v>0</v>
      </c>
      <c r="BF46" s="170">
        <f>+SUMIF('BS-Details'!$A:$A,BF$7&amp;" - "&amp;$C46,'BS-Details'!$J:$J)</f>
        <v>0</v>
      </c>
      <c r="BG46" s="170">
        <f>+SUMIF('BS-Details'!$A:$A,BG$7&amp;" - "&amp;$C46,'BS-Details'!$J:$J)</f>
        <v>0</v>
      </c>
      <c r="BH46" s="170">
        <f>+SUMIF('BS-Details'!$A:$A,BH$7&amp;" - "&amp;$C46,'BS-Details'!$J:$J)</f>
        <v>0</v>
      </c>
      <c r="BI46" s="170">
        <f>+SUMIF('BS-Details'!$A:$A,BI$7&amp;" - "&amp;$C46,'BS-Details'!$J:$J)</f>
        <v>0</v>
      </c>
      <c r="BJ46" s="170">
        <f>+SUMIF('BS-Details'!$A:$A,BJ$7&amp;" - "&amp;$C46,'BS-Details'!$J:$J)</f>
        <v>0</v>
      </c>
      <c r="BK46" s="170">
        <f>+SUMIF('BS-Details'!$A:$A,BK$7&amp;" - "&amp;$C46,'BS-Details'!$J:$J)</f>
        <v>0</v>
      </c>
      <c r="BL46" s="170">
        <f>+SUMIF('BS-Details'!$A:$A,BL$7&amp;" - "&amp;$C46,'BS-Details'!$J:$J)</f>
        <v>0</v>
      </c>
      <c r="BM46" s="170">
        <f>+SUMIF('BS-Details'!$A:$A,BM$7&amp;" - "&amp;$C46,'BS-Details'!$J:$J)</f>
        <v>0</v>
      </c>
      <c r="BN46" s="170">
        <f>+SUMIF('BS-Details'!$A:$A,BN$7&amp;" - "&amp;$C46,'BS-Details'!$J:$J)</f>
        <v>0</v>
      </c>
      <c r="BO46" s="170">
        <f>+SUMIF('BS-Details'!$A:$A,BO$7&amp;" - "&amp;$C46,'BS-Details'!$J:$J)</f>
        <v>0</v>
      </c>
      <c r="BP46" s="170">
        <f>+SUMIF('BS-Details'!$A:$A,BP$7&amp;" - "&amp;$C46,'BS-Details'!$J:$J)</f>
        <v>0</v>
      </c>
      <c r="BQ46" s="170">
        <f>+SUMIF('BS-Details'!$A:$A,BQ$7&amp;" - "&amp;$C46,'BS-Details'!$J:$J)</f>
        <v>0</v>
      </c>
      <c r="BR46" s="170">
        <f>+SUMIF('BS-Details'!$A:$A,BR$7&amp;" - "&amp;$C46,'BS-Details'!$J:$J)</f>
        <v>0</v>
      </c>
      <c r="BS46" s="170">
        <f>+SUMIF('BS-Details'!$A:$A,BS$7&amp;" - "&amp;$C46,'BS-Details'!$J:$J)</f>
        <v>0</v>
      </c>
      <c r="BT46" s="170">
        <f>+SUMIF('BS-Details'!$A:$A,BT$7&amp;" - "&amp;$C46,'BS-Details'!$J:$J)</f>
        <v>0</v>
      </c>
      <c r="BU46" s="170">
        <f>+SUMIF('BS-Details'!$A:$A,BU$7&amp;" - "&amp;$C46,'BS-Details'!$J:$J)</f>
        <v>0</v>
      </c>
      <c r="BV46" s="170">
        <f>+SUMIF('BS-Details'!$A:$A,BV$7&amp;" - "&amp;$C46,'BS-Details'!$J:$J)</f>
        <v>0</v>
      </c>
      <c r="BW46" s="170">
        <f>+SUMIF('BS-Details'!$A:$A,BW$7&amp;" - "&amp;$C46,'BS-Details'!$J:$J)</f>
        <v>0</v>
      </c>
      <c r="BX46" s="170">
        <f>+SUMIF('BS-Details'!$A:$A,BX$7&amp;" - "&amp;$C46,'BS-Details'!$J:$J)</f>
        <v>0</v>
      </c>
      <c r="BY46" s="170">
        <f>+SUMIF('BS-Details'!$A:$A,BY$7&amp;" - "&amp;$C46,'BS-Details'!$J:$J)</f>
        <v>0</v>
      </c>
      <c r="BZ46" s="170">
        <f>+SUMIF('BS-Details'!$A:$A,BZ$7&amp;" - "&amp;$C46,'BS-Details'!$J:$J)</f>
        <v>0</v>
      </c>
      <c r="CA46" s="170">
        <f>+SUMIF('BS-Details'!$A:$A,CA$7&amp;" - "&amp;$C46,'BS-Details'!$J:$J)</f>
        <v>1733.59</v>
      </c>
      <c r="CB46" s="170">
        <f>+SUMIF('BS-Details'!$A:$A,CB$7&amp;" - "&amp;$C46,'BS-Details'!$J:$J)</f>
        <v>0</v>
      </c>
      <c r="CC46" s="170">
        <f>+SUMIF('BS-Details'!$A:$A,CC$7&amp;" - "&amp;$C46,'BS-Details'!$J:$J)</f>
        <v>0</v>
      </c>
      <c r="CD46" s="170">
        <f>+SUMIF('BS-Details'!$A:$A,CD$7&amp;" - "&amp;$C46,'BS-Details'!$J:$J)</f>
        <v>0</v>
      </c>
      <c r="CE46" s="170">
        <f>+SUMIF('BS-Details'!$A:$A,CE$7&amp;" - "&amp;$C46,'BS-Details'!$J:$J)</f>
        <v>0</v>
      </c>
      <c r="CF46" s="170">
        <f>+SUMIF('BS-Details'!$A:$A,CF$7&amp;" - "&amp;$C46,'BS-Details'!$J:$J)</f>
        <v>216</v>
      </c>
      <c r="CG46" s="170">
        <f>+SUMIF('BS-Details'!$A:$A,CG$7&amp;" - "&amp;$C46,'BS-Details'!$J:$J)</f>
        <v>0</v>
      </c>
      <c r="CH46" s="170">
        <f>+SUMIF('BS-Details'!$A:$A,CH$7&amp;" - "&amp;$C46,'BS-Details'!$J:$J)</f>
        <v>0</v>
      </c>
      <c r="CI46" s="170">
        <f>+SUMIF('BS-Details'!$A:$A,CI$7&amp;" - "&amp;$C46,'BS-Details'!$J:$J)</f>
        <v>0</v>
      </c>
      <c r="CJ46" s="170">
        <f>+SUMIF('BS-Details'!$A:$A,CJ$7&amp;" - "&amp;$C46,'BS-Details'!$J:$J)</f>
        <v>0</v>
      </c>
      <c r="CK46" s="170">
        <f>+SUMIF('BS-Details'!$A:$A,CK$7&amp;" - "&amp;$C46,'BS-Details'!$J:$J)</f>
        <v>0</v>
      </c>
      <c r="CL46" s="170">
        <f>+SUMIF('BS-Details'!$A:$A,CL$7&amp;" - "&amp;$C46,'BS-Details'!$J:$J)</f>
        <v>0</v>
      </c>
      <c r="CM46" s="170">
        <f>+SUMIF('BS-Details'!$A:$A,CM$7&amp;" - "&amp;$C46,'BS-Details'!$J:$J)</f>
        <v>0</v>
      </c>
      <c r="CN46" s="170">
        <f>+SUMIF('BS-Details'!$A:$A,CN$7&amp;" - "&amp;$C46,'BS-Details'!$J:$J)</f>
        <v>0</v>
      </c>
      <c r="CO46" s="170">
        <f>+SUMIF('BS-Details'!$A:$A,CO$7&amp;" - "&amp;$C46,'BS-Details'!$J:$J)</f>
        <v>0</v>
      </c>
      <c r="CP46" s="170"/>
      <c r="CQ46" s="178">
        <f t="shared" si="10"/>
        <v>1132.68</v>
      </c>
      <c r="CR46" s="178">
        <f t="shared" si="11"/>
        <v>25115.49</v>
      </c>
      <c r="CS46" s="178">
        <f t="shared" si="12"/>
        <v>0</v>
      </c>
      <c r="CT46" s="185">
        <f>+SUMIF('BS-Details'!$A:$A,CT$7&amp;" - "&amp;$C46,'BS-Details'!$J:$J)</f>
        <v>0</v>
      </c>
      <c r="CU46" s="170">
        <f>+SUMIF('BS-Details'!$A:$A,CU$7&amp;" - "&amp;$C46,'BS-Details'!$J:$J)</f>
        <v>0</v>
      </c>
      <c r="CV46" s="170">
        <f>+SUMIF('BS-Details'!$A:$A,CV$7&amp;" - "&amp;$C46,'BS-Details'!$J:$J)</f>
        <v>0</v>
      </c>
      <c r="CW46" s="189">
        <f>+SUMIF('BS-Details'!$A:$A,CW$7&amp;" - "&amp;$C46,'BS-Details'!$J:$J)</f>
        <v>0</v>
      </c>
      <c r="CX46" s="189">
        <f>+SUMIF('BS-Details'!$A:$A,CX$7&amp;" - "&amp;$C46,'BS-Details'!$J:$J)</f>
        <v>0</v>
      </c>
      <c r="CY46" s="189">
        <f t="shared" si="13"/>
        <v>0</v>
      </c>
      <c r="CZ46" s="178">
        <f>+SUMIF('BS-Details'!$A:$A,CZ$7&amp;" - "&amp;$C46,'BS-Details'!$J:$J)</f>
        <v>0</v>
      </c>
      <c r="DA46" s="178">
        <f>+SUMIF('BS-Details'!$A:$A,DA$7&amp;" - "&amp;$C46,'BS-Details'!$J:$J)</f>
        <v>0</v>
      </c>
      <c r="DB46" s="193"/>
    </row>
    <row r="47" spans="1:106" ht="15.75" customHeight="true">
      <c r="A47" s="161">
        <v>32</v>
      </c>
      <c r="B47" s="161" t="s">
        <v>13890</v>
      </c>
      <c r="C47" s="163" t="s">
        <v>13899</v>
      </c>
      <c r="D47" s="163" t="s">
        <v>13899</v>
      </c>
      <c r="E47" s="169">
        <f t="shared" si="2"/>
        <v>291604.97</v>
      </c>
      <c r="F47" s="169">
        <f t="shared" si="3"/>
        <v>291539.97</v>
      </c>
      <c r="G47" s="170">
        <f>+SUMIF('BS-Details'!$A:$A,G$7&amp;" - "&amp;$C47,'BS-Details'!$J:$J)</f>
        <v>0</v>
      </c>
      <c r="H47" s="170">
        <f>+SUMIF('BS-Details'!$A:$A,H$7&amp;" - "&amp;$C47,'BS-Details'!$J:$J)</f>
        <v>0</v>
      </c>
      <c r="I47" s="170">
        <f>+SUMIF('BS-Details'!$A:$A,I$7&amp;" - "&amp;$C47,'BS-Details'!$J:$J)</f>
        <v>0</v>
      </c>
      <c r="J47" s="170">
        <f>+SUMIF('BS-Details'!$A:$A,J$7&amp;" - "&amp;$C47,'BS-Details'!$J:$J)</f>
        <v>0</v>
      </c>
      <c r="K47" s="170">
        <f>+SUMIF('BS-Details'!$A:$A,K$7&amp;" - "&amp;$C47,'BS-Details'!$J:$J)</f>
        <v>0</v>
      </c>
      <c r="L47" s="178">
        <f t="shared" si="4"/>
        <v>0</v>
      </c>
      <c r="M47" s="170">
        <f>+SUMIF('BS-Details'!$A:$A,M$7&amp;" - "&amp;$C47,'BS-Details'!$J:$J)</f>
        <v>0</v>
      </c>
      <c r="N47" s="170">
        <f>+SUMIF('BS-Details'!$A:$A,N$7&amp;" - "&amp;$C47,'BS-Details'!$J:$J)</f>
        <v>0</v>
      </c>
      <c r="O47" s="178">
        <f t="shared" si="5"/>
        <v>0</v>
      </c>
      <c r="P47" s="170">
        <f>+SUMIF('BS-Details'!$A:$A,P$7&amp;" - "&amp;$C47,'BS-Details'!$J:$J)</f>
        <v>0</v>
      </c>
      <c r="Q47" s="170">
        <f>+SUMIF('BS-Details'!$A:$A,Q$7&amp;" - "&amp;$C47,'BS-Details'!$J:$J)</f>
        <v>0</v>
      </c>
      <c r="R47" s="170">
        <f>+SUMIF('BS-Details'!$A:$A,R$7&amp;" - "&amp;$C47,'BS-Details'!$J:$J)</f>
        <v>0</v>
      </c>
      <c r="S47" s="170">
        <f>+SUMIF('BS-Details'!$A:$A,S$7&amp;" - "&amp;$C47,'BS-Details'!$J:$J)</f>
        <v>0</v>
      </c>
      <c r="T47" s="170">
        <f>+SUMIF('BS-Details'!$A:$A,T$7&amp;" - "&amp;$C47,'BS-Details'!$J:$J)</f>
        <v>0</v>
      </c>
      <c r="U47" s="170">
        <f>+SUMIF('BS-Details'!$A:$A,U$7&amp;" - "&amp;$C47,'BS-Details'!$J:$J)</f>
        <v>0</v>
      </c>
      <c r="V47" s="169">
        <f t="shared" si="6"/>
        <v>0</v>
      </c>
      <c r="W47" s="170">
        <f>+SUMIF('BS-Details'!$A:$A,W$7&amp;" - "&amp;$C47,'BS-Details'!$J:$J)</f>
        <v>0</v>
      </c>
      <c r="X47" s="170">
        <f>+SUMIF('BS-Details'!$A:$A,X$7&amp;" - "&amp;$C47,'BS-Details'!$J:$J)</f>
        <v>0</v>
      </c>
      <c r="Y47" s="178">
        <f t="shared" si="7"/>
        <v>0</v>
      </c>
      <c r="Z47" s="170">
        <f>+SUMIF('BS-Details'!$A:$A,Z$7&amp;" - "&amp;$C47,'BS-Details'!$J:$J)</f>
        <v>0</v>
      </c>
      <c r="AA47" s="170">
        <f>+SUMIF('BS-Details'!$A:$A,AA$7&amp;" - "&amp;$C47,'BS-Details'!$J:$J)</f>
        <v>0</v>
      </c>
      <c r="AB47" s="178">
        <f t="shared" si="8"/>
        <v>0</v>
      </c>
      <c r="AC47" s="170">
        <f>+SUMIF('BS-Details'!$A:$A,AC$7&amp;" - "&amp;$C47,'BS-Details'!$J:$J)</f>
        <v>0</v>
      </c>
      <c r="AD47" s="170">
        <f>+SUMIF('BS-Details'!$A:$A,AD$7&amp;" - "&amp;$C47,'BS-Details'!$J:$J)</f>
        <v>0</v>
      </c>
      <c r="AE47" s="170">
        <f>+SUMIF('BS-Details'!$A:$A,AE$7&amp;" - "&amp;$C47,'BS-Details'!$J:$J)</f>
        <v>0</v>
      </c>
      <c r="AF47" s="170">
        <f>+SUMIF('BS-Details'!$A:$A,AF$7&amp;" - "&amp;$C47,'BS-Details'!$J:$J)</f>
        <v>2951.09</v>
      </c>
      <c r="AG47" s="170">
        <f>+SUMIF('BS-Details'!$A:$A,AG$7&amp;" - "&amp;$C47,'BS-Details'!$J:$J)</f>
        <v>5354.51</v>
      </c>
      <c r="AH47" s="170">
        <f>+SUMIF('BS-Details'!$A:$A,AH$7&amp;" - "&amp;$C47,'BS-Details'!$J:$J)</f>
        <v>46</v>
      </c>
      <c r="AI47" s="170">
        <f>+SUMIF('BS-Details'!$A:$A,AI$7&amp;" - "&amp;$C47,'BS-Details'!$J:$J)</f>
        <v>0</v>
      </c>
      <c r="AJ47" s="170">
        <f>+SUMIF('BS-Details'!$A:$A,AJ$7&amp;" - "&amp;$C47,'BS-Details'!$J:$J)</f>
        <v>7648</v>
      </c>
      <c r="AK47" s="170">
        <f>+SUMIF('BS-Details'!$A:$A,AK$7&amp;" - "&amp;$C47,'BS-Details'!$J:$J)</f>
        <v>0</v>
      </c>
      <c r="AL47" s="178">
        <f t="shared" si="9"/>
        <v>15999.6</v>
      </c>
      <c r="AM47" s="170">
        <f>+SUMIF('BS-Details'!$A:$A,AM$7&amp;" - "&amp;$C47,'BS-Details'!$J:$J)</f>
        <v>0</v>
      </c>
      <c r="AN47" s="170">
        <f>+SUMIF('BS-Details'!$A:$A,AN$7&amp;" - "&amp;$C47,'BS-Details'!$J:$J)</f>
        <v>5716.36</v>
      </c>
      <c r="AO47" s="170">
        <f>+SUMIF('BS-Details'!$A:$A,AO$7&amp;" - "&amp;$C47,'BS-Details'!$J:$J)</f>
        <v>11827.54</v>
      </c>
      <c r="AP47" s="170">
        <f>+SUMIF('BS-Details'!$A:$A,AP$7&amp;" - "&amp;$C47,'BS-Details'!$J:$J)</f>
        <v>0</v>
      </c>
      <c r="AQ47" s="170">
        <f>+SUMIF('BS-Details'!$A:$A,AQ$7&amp;" - "&amp;$C47,'BS-Details'!$J:$J)</f>
        <v>11805.46</v>
      </c>
      <c r="AR47" s="170">
        <f>+SUMIF('BS-Details'!$A:$A,AR$7&amp;" - "&amp;$C47,'BS-Details'!$J:$J)</f>
        <v>0</v>
      </c>
      <c r="AS47" s="170">
        <f>+SUMIF('BS-Details'!$A:$A,AS$7&amp;" - "&amp;$C47,'BS-Details'!$J:$J)</f>
        <v>474.84</v>
      </c>
      <c r="AT47" s="170">
        <f>+SUMIF('BS-Details'!$A:$A,AT$7&amp;" - "&amp;$C47,'BS-Details'!$J:$J)</f>
        <v>-200</v>
      </c>
      <c r="AU47" s="170">
        <f>+SUMIF('BS-Details'!$A:$A,AU$7&amp;" - "&amp;$C47,'BS-Details'!$J:$J)</f>
        <v>0</v>
      </c>
      <c r="AV47" s="170">
        <f>+SUMIF('BS-Details'!$A:$A,AV$7&amp;" - "&amp;$C47,'BS-Details'!$J:$J)</f>
        <v>83.6400000000001</v>
      </c>
      <c r="AW47" s="170">
        <f>+SUMIF('BS-Details'!$A:$A,AW$7&amp;" - "&amp;$C47,'BS-Details'!$J:$J)</f>
        <v>0</v>
      </c>
      <c r="AX47" s="170">
        <f>+SUMIF('BS-Details'!$A:$A,AX$7&amp;" - "&amp;$C47,'BS-Details'!$J:$J)</f>
        <v>0</v>
      </c>
      <c r="AY47" s="170">
        <f>+SUMIF('BS-Details'!$A:$A,AY$7&amp;" - "&amp;$C47,'BS-Details'!$J:$J)</f>
        <v>0</v>
      </c>
      <c r="AZ47" s="170">
        <f>+SUMIF('BS-Details'!$A:$A,AZ$7&amp;" - "&amp;$C47,'BS-Details'!$J:$J)</f>
        <v>2351</v>
      </c>
      <c r="BA47" s="170">
        <f>+SUMIF('BS-Details'!$A:$A,BA$7&amp;" - "&amp;$C47,'BS-Details'!$J:$J)</f>
        <v>0</v>
      </c>
      <c r="BB47" s="170">
        <f>+SUMIF('BS-Details'!$A:$A,BB$7&amp;" - "&amp;$C47,'BS-Details'!$J:$J)</f>
        <v>0</v>
      </c>
      <c r="BC47" s="170">
        <f>+SUMIF('BS-Details'!$A:$A,BC$7&amp;" - "&amp;$C47,'BS-Details'!$J:$J)</f>
        <v>16239.53</v>
      </c>
      <c r="BD47" s="170">
        <f>+SUMIF('BS-Details'!$A:$A,BD$7&amp;" - "&amp;$C47,'BS-Details'!$J:$J)</f>
        <v>995.11</v>
      </c>
      <c r="BE47" s="170">
        <f>+SUMIF('BS-Details'!$A:$A,BE$7&amp;" - "&amp;$C47,'BS-Details'!$J:$J)</f>
        <v>44.42</v>
      </c>
      <c r="BF47" s="170">
        <f>+SUMIF('BS-Details'!$A:$A,BF$7&amp;" - "&amp;$C47,'BS-Details'!$J:$J)</f>
        <v>0</v>
      </c>
      <c r="BG47" s="170">
        <f>+SUMIF('BS-Details'!$A:$A,BG$7&amp;" - "&amp;$C47,'BS-Details'!$J:$J)</f>
        <v>376.65</v>
      </c>
      <c r="BH47" s="170">
        <f>+SUMIF('BS-Details'!$A:$A,BH$7&amp;" - "&amp;$C47,'BS-Details'!$J:$J)</f>
        <v>0</v>
      </c>
      <c r="BI47" s="170">
        <f>+SUMIF('BS-Details'!$A:$A,BI$7&amp;" - "&amp;$C47,'BS-Details'!$J:$J)</f>
        <v>0</v>
      </c>
      <c r="BJ47" s="170">
        <f>+SUMIF('BS-Details'!$A:$A,BJ$7&amp;" - "&amp;$C47,'BS-Details'!$J:$J)</f>
        <v>0</v>
      </c>
      <c r="BK47" s="170">
        <f>+SUMIF('BS-Details'!$A:$A,BK$7&amp;" - "&amp;$C47,'BS-Details'!$J:$J)</f>
        <v>1027.13</v>
      </c>
      <c r="BL47" s="170">
        <f>+SUMIF('BS-Details'!$A:$A,BL$7&amp;" - "&amp;$C47,'BS-Details'!$J:$J)</f>
        <v>0</v>
      </c>
      <c r="BM47" s="170">
        <f>+SUMIF('BS-Details'!$A:$A,BM$7&amp;" - "&amp;$C47,'BS-Details'!$J:$J)</f>
        <v>0</v>
      </c>
      <c r="BN47" s="170">
        <f>+SUMIF('BS-Details'!$A:$A,BN$7&amp;" - "&amp;$C47,'BS-Details'!$J:$J)</f>
        <v>0</v>
      </c>
      <c r="BO47" s="170">
        <f>+SUMIF('BS-Details'!$A:$A,BO$7&amp;" - "&amp;$C47,'BS-Details'!$J:$J)</f>
        <v>0</v>
      </c>
      <c r="BP47" s="170">
        <f>+SUMIF('BS-Details'!$A:$A,BP$7&amp;" - "&amp;$C47,'BS-Details'!$J:$J)</f>
        <v>674.8</v>
      </c>
      <c r="BQ47" s="170">
        <f>+SUMIF('BS-Details'!$A:$A,BQ$7&amp;" - "&amp;$C47,'BS-Details'!$J:$J)</f>
        <v>1955</v>
      </c>
      <c r="BR47" s="170">
        <f>+SUMIF('BS-Details'!$A:$A,BR$7&amp;" - "&amp;$C47,'BS-Details'!$J:$J)</f>
        <v>11489.94</v>
      </c>
      <c r="BS47" s="170">
        <f>+SUMIF('BS-Details'!$A:$A,BS$7&amp;" - "&amp;$C47,'BS-Details'!$J:$J)</f>
        <v>105</v>
      </c>
      <c r="BT47" s="170">
        <f>+SUMIF('BS-Details'!$A:$A,BT$7&amp;" - "&amp;$C47,'BS-Details'!$J:$J)</f>
        <v>0</v>
      </c>
      <c r="BU47" s="170">
        <f>+SUMIF('BS-Details'!$A:$A,BU$7&amp;" - "&amp;$C47,'BS-Details'!$J:$J)</f>
        <v>426.55</v>
      </c>
      <c r="BV47" s="170">
        <f>+SUMIF('BS-Details'!$A:$A,BV$7&amp;" - "&amp;$C47,'BS-Details'!$J:$J)</f>
        <v>0</v>
      </c>
      <c r="BW47" s="170">
        <f>+SUMIF('BS-Details'!$A:$A,BW$7&amp;" - "&amp;$C47,'BS-Details'!$J:$J)</f>
        <v>7054.09</v>
      </c>
      <c r="BX47" s="170">
        <f>+SUMIF('BS-Details'!$A:$A,BX$7&amp;" - "&amp;$C47,'BS-Details'!$J:$J)</f>
        <v>14195.19</v>
      </c>
      <c r="BY47" s="170">
        <f>+SUMIF('BS-Details'!$A:$A,BY$7&amp;" - "&amp;$C47,'BS-Details'!$J:$J)</f>
        <v>0</v>
      </c>
      <c r="BZ47" s="170">
        <f>+SUMIF('BS-Details'!$A:$A,BZ$7&amp;" - "&amp;$C47,'BS-Details'!$J:$J)</f>
        <v>19209.28</v>
      </c>
      <c r="CA47" s="170">
        <f>+SUMIF('BS-Details'!$A:$A,CA$7&amp;" - "&amp;$C47,'BS-Details'!$J:$J)</f>
        <v>0</v>
      </c>
      <c r="CB47" s="170">
        <f>+SUMIF('BS-Details'!$A:$A,CB$7&amp;" - "&amp;$C47,'BS-Details'!$J:$J)</f>
        <v>766.99</v>
      </c>
      <c r="CC47" s="170">
        <f>+SUMIF('BS-Details'!$A:$A,CC$7&amp;" - "&amp;$C47,'BS-Details'!$J:$J)</f>
        <v>0</v>
      </c>
      <c r="CD47" s="170">
        <f>+SUMIF('BS-Details'!$A:$A,CD$7&amp;" - "&amp;$C47,'BS-Details'!$J:$J)</f>
        <v>8052.79</v>
      </c>
      <c r="CE47" s="170">
        <f>+SUMIF('BS-Details'!$A:$A,CE$7&amp;" - "&amp;$C47,'BS-Details'!$J:$J)</f>
        <v>9697.2</v>
      </c>
      <c r="CF47" s="170">
        <f>+SUMIF('BS-Details'!$A:$A,CF$7&amp;" - "&amp;$C47,'BS-Details'!$J:$J)</f>
        <v>11519.41</v>
      </c>
      <c r="CG47" s="170">
        <f>+SUMIF('BS-Details'!$A:$A,CG$7&amp;" - "&amp;$C47,'BS-Details'!$J:$J)</f>
        <v>431.38</v>
      </c>
      <c r="CH47" s="170">
        <f>+SUMIF('BS-Details'!$A:$A,CH$7&amp;" - "&amp;$C47,'BS-Details'!$J:$J)</f>
        <v>3981.69</v>
      </c>
      <c r="CI47" s="170">
        <f>+SUMIF('BS-Details'!$A:$A,CI$7&amp;" - "&amp;$C47,'BS-Details'!$J:$J)</f>
        <v>6759.29</v>
      </c>
      <c r="CJ47" s="170">
        <f>+SUMIF('BS-Details'!$A:$A,CJ$7&amp;" - "&amp;$C47,'BS-Details'!$J:$J)</f>
        <v>23892.47</v>
      </c>
      <c r="CK47" s="170">
        <f>+SUMIF('BS-Details'!$A:$A,CK$7&amp;" - "&amp;$C47,'BS-Details'!$J:$J)</f>
        <v>592.56</v>
      </c>
      <c r="CL47" s="170">
        <f>+SUMIF('BS-Details'!$A:$A,CL$7&amp;" - "&amp;$C47,'BS-Details'!$J:$J)</f>
        <v>8315.92</v>
      </c>
      <c r="CM47" s="170">
        <f>+SUMIF('BS-Details'!$A:$A,CM$7&amp;" - "&amp;$C47,'BS-Details'!$J:$J)</f>
        <v>11394.1</v>
      </c>
      <c r="CN47" s="170">
        <f>+SUMIF('BS-Details'!$A:$A,CN$7&amp;" - "&amp;$C47,'BS-Details'!$J:$J)</f>
        <v>69050.42</v>
      </c>
      <c r="CO47" s="170">
        <f>+SUMIF('BS-Details'!$A:$A,CO$7&amp;" - "&amp;$C47,'BS-Details'!$J:$J)</f>
        <v>15234.62</v>
      </c>
      <c r="CP47" s="170"/>
      <c r="CQ47" s="178">
        <f t="shared" si="10"/>
        <v>275540.37</v>
      </c>
      <c r="CR47" s="178">
        <f t="shared" si="11"/>
        <v>291539.97</v>
      </c>
      <c r="CS47" s="178">
        <f t="shared" si="12"/>
        <v>65</v>
      </c>
      <c r="CT47" s="185">
        <f>+SUMIF('BS-Details'!$A:$A,CT$7&amp;" - "&amp;$C47,'BS-Details'!$J:$J)</f>
        <v>0</v>
      </c>
      <c r="CU47" s="170">
        <f>+SUMIF('BS-Details'!$A:$A,CU$7&amp;" - "&amp;$C47,'BS-Details'!$J:$J)</f>
        <v>0</v>
      </c>
      <c r="CV47" s="170">
        <f>+SUMIF('BS-Details'!$A:$A,CV$7&amp;" - "&amp;$C47,'BS-Details'!$J:$J)</f>
        <v>0</v>
      </c>
      <c r="CW47" s="189">
        <f>+SUMIF('BS-Details'!$A:$A,CW$7&amp;" - "&amp;$C47,'BS-Details'!$J:$J)</f>
        <v>65</v>
      </c>
      <c r="CX47" s="189">
        <f>+SUMIF('BS-Details'!$A:$A,CX$7&amp;" - "&amp;$C47,'BS-Details'!$J:$J)</f>
        <v>0</v>
      </c>
      <c r="CY47" s="189">
        <f t="shared" si="13"/>
        <v>65</v>
      </c>
      <c r="CZ47" s="178">
        <f>+SUMIF('BS-Details'!$A:$A,CZ$7&amp;" - "&amp;$C47,'BS-Details'!$J:$J)</f>
        <v>0</v>
      </c>
      <c r="DA47" s="178">
        <f>+SUMIF('BS-Details'!$A:$A,DA$7&amp;" - "&amp;$C47,'BS-Details'!$J:$J)</f>
        <v>0</v>
      </c>
      <c r="DB47" s="193"/>
    </row>
    <row r="48" spans="1:106" ht="15.75" customHeight="true">
      <c r="A48" s="161">
        <v>33</v>
      </c>
      <c r="B48" s="162"/>
      <c r="C48" s="163"/>
      <c r="D48" s="163" t="s">
        <v>13900</v>
      </c>
      <c r="E48" s="169">
        <f t="shared" si="2"/>
        <v>0</v>
      </c>
      <c r="F48" s="171">
        <f t="shared" si="3"/>
        <v>0</v>
      </c>
      <c r="G48" s="171">
        <f>+ROUND(SUM(G9:G47),0)</f>
        <v>0</v>
      </c>
      <c r="H48" s="171">
        <f>+ROUND(SUM(H9:H47),0)</f>
        <v>0</v>
      </c>
      <c r="I48" s="171">
        <f>+ROUND(SUM(I9:I47),0)</f>
        <v>0</v>
      </c>
      <c r="J48" s="171">
        <f>+ROUND(SUM(J9:J47),0)</f>
        <v>0</v>
      </c>
      <c r="K48" s="171">
        <f>+ROUND(SUM(K9:K47),0)</f>
        <v>0</v>
      </c>
      <c r="L48" s="178">
        <f t="shared" si="4"/>
        <v>0</v>
      </c>
      <c r="M48" s="171">
        <f>+ROUND(SUM(M9:M47),0)</f>
        <v>0</v>
      </c>
      <c r="N48" s="171">
        <f>+ROUND(SUM(N9:N47),0)</f>
        <v>0</v>
      </c>
      <c r="O48" s="178">
        <f t="shared" si="5"/>
        <v>0</v>
      </c>
      <c r="P48" s="171">
        <f t="shared" ref="P48:U48" si="14">+ROUND(SUM(P9:P47),0)</f>
        <v>0</v>
      </c>
      <c r="Q48" s="171">
        <f t="shared" si="14"/>
        <v>0</v>
      </c>
      <c r="R48" s="171">
        <f t="shared" si="14"/>
        <v>0</v>
      </c>
      <c r="S48" s="171">
        <f t="shared" si="14"/>
        <v>0</v>
      </c>
      <c r="T48" s="171">
        <f t="shared" si="14"/>
        <v>0</v>
      </c>
      <c r="U48" s="171">
        <f t="shared" si="14"/>
        <v>0</v>
      </c>
      <c r="V48" s="169">
        <f t="shared" si="6"/>
        <v>0</v>
      </c>
      <c r="W48" s="171">
        <f>+ROUND(SUM(W9:W47),0)</f>
        <v>0</v>
      </c>
      <c r="X48" s="171">
        <f>+ROUND(SUM(X9:X47),0)</f>
        <v>0</v>
      </c>
      <c r="Y48" s="178">
        <f t="shared" si="7"/>
        <v>0</v>
      </c>
      <c r="Z48" s="171">
        <f>+ROUND(SUM(Z9:Z47),0)</f>
        <v>0</v>
      </c>
      <c r="AA48" s="171">
        <f>+ROUND(SUM(AA9:AA47),0)</f>
        <v>0</v>
      </c>
      <c r="AB48" s="178">
        <f t="shared" si="8"/>
        <v>0</v>
      </c>
      <c r="AC48" s="171">
        <f t="shared" ref="AC48:AK48" si="15">+ROUND(SUM(AC9:AC47),0)</f>
        <v>0</v>
      </c>
      <c r="AD48" s="171">
        <f t="shared" si="15"/>
        <v>0</v>
      </c>
      <c r="AE48" s="171">
        <f t="shared" si="15"/>
        <v>0</v>
      </c>
      <c r="AF48" s="171">
        <f t="shared" si="15"/>
        <v>0</v>
      </c>
      <c r="AG48" s="171">
        <f t="shared" si="15"/>
        <v>0</v>
      </c>
      <c r="AH48" s="171">
        <f t="shared" si="15"/>
        <v>0</v>
      </c>
      <c r="AI48" s="171">
        <f t="shared" si="15"/>
        <v>0</v>
      </c>
      <c r="AJ48" s="171">
        <f t="shared" si="15"/>
        <v>0</v>
      </c>
      <c r="AK48" s="171">
        <f t="shared" si="15"/>
        <v>0</v>
      </c>
      <c r="AL48" s="178">
        <f t="shared" si="9"/>
        <v>0</v>
      </c>
      <c r="AM48" s="171">
        <f t="shared" ref="AM48:CO48" si="16">+ROUND(SUM(AM9:AM47),0)</f>
        <v>0</v>
      </c>
      <c r="AN48" s="171">
        <f t="shared" si="16"/>
        <v>0</v>
      </c>
      <c r="AO48" s="171">
        <f t="shared" si="16"/>
        <v>0</v>
      </c>
      <c r="AP48" s="171">
        <f t="shared" si="16"/>
        <v>0</v>
      </c>
      <c r="AQ48" s="171">
        <f t="shared" si="16"/>
        <v>0</v>
      </c>
      <c r="AR48" s="171">
        <f t="shared" si="16"/>
        <v>0</v>
      </c>
      <c r="AS48" s="171">
        <f t="shared" si="16"/>
        <v>0</v>
      </c>
      <c r="AT48" s="171">
        <f t="shared" si="16"/>
        <v>0</v>
      </c>
      <c r="AU48" s="171">
        <f t="shared" si="16"/>
        <v>0</v>
      </c>
      <c r="AV48" s="171">
        <f t="shared" si="16"/>
        <v>0</v>
      </c>
      <c r="AW48" s="171">
        <f t="shared" si="16"/>
        <v>0</v>
      </c>
      <c r="AX48" s="171">
        <f t="shared" si="16"/>
        <v>0</v>
      </c>
      <c r="AY48" s="171">
        <f t="shared" si="16"/>
        <v>0</v>
      </c>
      <c r="AZ48" s="171">
        <f t="shared" si="16"/>
        <v>0</v>
      </c>
      <c r="BA48" s="171">
        <f t="shared" si="16"/>
        <v>0</v>
      </c>
      <c r="BB48" s="171">
        <f t="shared" si="16"/>
        <v>0</v>
      </c>
      <c r="BC48" s="171">
        <f t="shared" si="16"/>
        <v>0</v>
      </c>
      <c r="BD48" s="171">
        <f t="shared" si="16"/>
        <v>0</v>
      </c>
      <c r="BE48" s="171">
        <f t="shared" si="16"/>
        <v>0</v>
      </c>
      <c r="BF48" s="171">
        <f t="shared" si="16"/>
        <v>0</v>
      </c>
      <c r="BG48" s="171">
        <f t="shared" si="16"/>
        <v>0</v>
      </c>
      <c r="BH48" s="171">
        <f t="shared" si="16"/>
        <v>0</v>
      </c>
      <c r="BI48" s="171">
        <f t="shared" si="16"/>
        <v>0</v>
      </c>
      <c r="BJ48" s="171">
        <f t="shared" si="16"/>
        <v>0</v>
      </c>
      <c r="BK48" s="171">
        <f t="shared" si="16"/>
        <v>0</v>
      </c>
      <c r="BL48" s="171">
        <f t="shared" si="16"/>
        <v>0</v>
      </c>
      <c r="BM48" s="171">
        <f t="shared" si="16"/>
        <v>0</v>
      </c>
      <c r="BN48" s="171">
        <f t="shared" si="16"/>
        <v>0</v>
      </c>
      <c r="BO48" s="171">
        <f t="shared" si="16"/>
        <v>0</v>
      </c>
      <c r="BP48" s="171">
        <f t="shared" si="16"/>
        <v>0</v>
      </c>
      <c r="BQ48" s="171">
        <f t="shared" si="16"/>
        <v>0</v>
      </c>
      <c r="BR48" s="171">
        <f t="shared" si="16"/>
        <v>0</v>
      </c>
      <c r="BS48" s="171">
        <f t="shared" si="16"/>
        <v>0</v>
      </c>
      <c r="BT48" s="171">
        <f t="shared" si="16"/>
        <v>0</v>
      </c>
      <c r="BU48" s="171">
        <f t="shared" si="16"/>
        <v>0</v>
      </c>
      <c r="BV48" s="171">
        <f t="shared" si="16"/>
        <v>0</v>
      </c>
      <c r="BW48" s="171">
        <f t="shared" si="16"/>
        <v>0</v>
      </c>
      <c r="BX48" s="171">
        <f t="shared" si="16"/>
        <v>0</v>
      </c>
      <c r="BY48" s="171">
        <f t="shared" si="16"/>
        <v>0</v>
      </c>
      <c r="BZ48" s="171">
        <f t="shared" si="16"/>
        <v>0</v>
      </c>
      <c r="CA48" s="171">
        <f t="shared" si="16"/>
        <v>0</v>
      </c>
      <c r="CB48" s="171">
        <f t="shared" si="16"/>
        <v>0</v>
      </c>
      <c r="CC48" s="171">
        <f t="shared" si="16"/>
        <v>0</v>
      </c>
      <c r="CD48" s="171">
        <f t="shared" si="16"/>
        <v>0</v>
      </c>
      <c r="CE48" s="171">
        <f t="shared" si="16"/>
        <v>0</v>
      </c>
      <c r="CF48" s="171">
        <f t="shared" si="16"/>
        <v>0</v>
      </c>
      <c r="CG48" s="171">
        <f t="shared" si="16"/>
        <v>0</v>
      </c>
      <c r="CH48" s="171">
        <f t="shared" si="16"/>
        <v>0</v>
      </c>
      <c r="CI48" s="171">
        <f t="shared" si="16"/>
        <v>0</v>
      </c>
      <c r="CJ48" s="171">
        <f t="shared" si="16"/>
        <v>0</v>
      </c>
      <c r="CK48" s="171">
        <f t="shared" si="16"/>
        <v>0</v>
      </c>
      <c r="CL48" s="171">
        <f t="shared" si="16"/>
        <v>0</v>
      </c>
      <c r="CM48" s="171">
        <f t="shared" si="16"/>
        <v>0</v>
      </c>
      <c r="CN48" s="171">
        <f t="shared" si="16"/>
        <v>0</v>
      </c>
      <c r="CO48" s="171">
        <f t="shared" si="16"/>
        <v>0</v>
      </c>
      <c r="CP48" s="171"/>
      <c r="CQ48" s="178">
        <f t="shared" si="10"/>
        <v>0</v>
      </c>
      <c r="CR48" s="178">
        <f t="shared" si="11"/>
        <v>0</v>
      </c>
      <c r="CS48" s="178">
        <f t="shared" si="12"/>
        <v>0</v>
      </c>
      <c r="CT48" s="186">
        <f>+ROUND(SUM(CT9:CT47),0)</f>
        <v>0</v>
      </c>
      <c r="CU48" s="171">
        <f>+ROUND(SUM(CU9:CU47),0)</f>
        <v>0</v>
      </c>
      <c r="CV48" s="171">
        <f>+ROUND(SUM(CV9:CV47),0)</f>
        <v>0</v>
      </c>
      <c r="CW48" s="190">
        <f>+ROUND(SUM(CW9:CW47),0)</f>
        <v>0</v>
      </c>
      <c r="CX48" s="190">
        <f>+ROUND(SUM(CX9:CX47),0)</f>
        <v>0</v>
      </c>
      <c r="CY48" s="190">
        <f t="shared" si="13"/>
        <v>0</v>
      </c>
      <c r="CZ48" s="178">
        <f>+ROUND(SUM(CZ9:CZ47),0)</f>
        <v>0</v>
      </c>
      <c r="DA48" s="178">
        <f>+ROUND(SUM(DA9:DA47),0)</f>
        <v>0</v>
      </c>
      <c r="DB48" s="193"/>
    </row>
    <row r="49" spans="1:106" ht="15.75" customHeight="true">
      <c r="A49" s="161">
        <v>34</v>
      </c>
      <c r="B49" s="162"/>
      <c r="C49" s="163"/>
      <c r="D49" s="163"/>
      <c r="E49" s="163"/>
      <c r="F49" s="163"/>
      <c r="G49" s="163"/>
      <c r="H49" s="163"/>
      <c r="I49" s="163"/>
      <c r="J49" s="163"/>
      <c r="K49" s="163"/>
      <c r="L49" s="177"/>
      <c r="M49" s="163"/>
      <c r="N49" s="163"/>
      <c r="O49" s="177"/>
      <c r="P49" s="163"/>
      <c r="Q49" s="163"/>
      <c r="R49" s="163"/>
      <c r="S49" s="163"/>
      <c r="T49" s="163"/>
      <c r="U49" s="163"/>
      <c r="V49" s="156"/>
      <c r="W49" s="163"/>
      <c r="X49" s="183"/>
      <c r="Y49" s="177"/>
      <c r="Z49" s="163"/>
      <c r="AA49" s="163"/>
      <c r="AB49" s="177"/>
      <c r="AC49" s="163"/>
      <c r="AD49" s="163"/>
      <c r="AE49" s="163"/>
      <c r="AF49" s="163"/>
      <c r="AG49" s="163"/>
      <c r="AH49" s="163"/>
      <c r="AI49" s="163"/>
      <c r="AJ49" s="163"/>
      <c r="AK49" s="163"/>
      <c r="AL49" s="177"/>
      <c r="AM49" s="183"/>
      <c r="AN49" s="183"/>
      <c r="AO49" s="183"/>
      <c r="AP49" s="183"/>
      <c r="AQ49" s="183"/>
      <c r="AR49" s="183"/>
      <c r="AS49" s="183"/>
      <c r="AT49" s="183"/>
      <c r="AU49" s="183"/>
      <c r="AV49" s="183"/>
      <c r="AW49" s="183"/>
      <c r="AX49" s="183"/>
      <c r="AY49" s="183"/>
      <c r="AZ49" s="183"/>
      <c r="BA49" s="183"/>
      <c r="BB49" s="183"/>
      <c r="BC49" s="183"/>
      <c r="BD49" s="183"/>
      <c r="BE49" s="183"/>
      <c r="BF49" s="183"/>
      <c r="BG49" s="183"/>
      <c r="BH49" s="183"/>
      <c r="BI49" s="183"/>
      <c r="BJ49" s="183"/>
      <c r="BK49" s="183"/>
      <c r="BL49" s="183"/>
      <c r="BM49" s="183"/>
      <c r="BN49" s="183"/>
      <c r="BO49" s="183"/>
      <c r="BP49" s="183"/>
      <c r="BQ49" s="183"/>
      <c r="BR49" s="183"/>
      <c r="BS49" s="183"/>
      <c r="BT49" s="183"/>
      <c r="BU49" s="183"/>
      <c r="BV49" s="183"/>
      <c r="BW49" s="183"/>
      <c r="BX49" s="183"/>
      <c r="BY49" s="183"/>
      <c r="BZ49" s="183"/>
      <c r="CA49" s="183"/>
      <c r="CB49" s="183"/>
      <c r="CC49" s="183"/>
      <c r="CD49" s="183"/>
      <c r="CE49" s="183"/>
      <c r="CF49" s="183"/>
      <c r="CG49" s="183"/>
      <c r="CH49" s="183"/>
      <c r="CI49" s="183"/>
      <c r="CJ49" s="183"/>
      <c r="CK49" s="183"/>
      <c r="CL49" s="183"/>
      <c r="CM49" s="183"/>
      <c r="CN49" s="183"/>
      <c r="CO49" s="183"/>
      <c r="CP49" s="163"/>
      <c r="CQ49" s="177"/>
      <c r="CR49" s="177"/>
      <c r="CS49" s="177"/>
      <c r="CT49" s="162"/>
      <c r="CU49" s="163"/>
      <c r="CV49" s="163"/>
      <c r="CW49" s="188"/>
      <c r="CX49" s="188"/>
      <c r="CY49" s="188"/>
      <c r="CZ49" s="177"/>
      <c r="DA49" s="177"/>
      <c r="DB49" s="193"/>
    </row>
    <row r="50" spans="1:106">
      <c r="A50" s="161">
        <v>35</v>
      </c>
      <c r="B50" s="161"/>
      <c r="D50" s="154" t="s">
        <v>13901</v>
      </c>
      <c r="E50" s="169"/>
      <c r="F50" s="169"/>
      <c r="G50" s="171"/>
      <c r="H50" s="171"/>
      <c r="I50" s="171"/>
      <c r="J50" s="171"/>
      <c r="K50" s="171"/>
      <c r="L50" s="178">
        <f>+SUM(G50:K50)</f>
        <v>0</v>
      </c>
      <c r="M50" s="171"/>
      <c r="N50" s="171"/>
      <c r="O50" s="178">
        <f>+SUM(M50:N50)</f>
        <v>0</v>
      </c>
      <c r="P50" s="171"/>
      <c r="Q50" s="171"/>
      <c r="R50" s="171"/>
      <c r="S50" s="171"/>
      <c r="T50" s="171"/>
      <c r="U50" s="171"/>
      <c r="V50" s="169">
        <f>+SUM(P50:U50)</f>
        <v>0</v>
      </c>
      <c r="W50" s="171"/>
      <c r="X50" s="171"/>
      <c r="Y50" s="178">
        <f>SUM(V50:X50)</f>
        <v>0</v>
      </c>
      <c r="Z50" s="171"/>
      <c r="AA50" s="171"/>
      <c r="AB50" s="178">
        <f>+SUM(Z50:AA50)</f>
        <v>0</v>
      </c>
      <c r="AC50" s="171"/>
      <c r="AD50" s="171"/>
      <c r="AE50" s="171"/>
      <c r="AF50" s="171"/>
      <c r="AG50" s="171"/>
      <c r="AH50" s="171"/>
      <c r="AI50" s="171"/>
      <c r="AJ50" s="171"/>
      <c r="AK50" s="171"/>
      <c r="AL50" s="178">
        <f>SUM(AF50:AK50)</f>
        <v>0</v>
      </c>
      <c r="AM50" s="171"/>
      <c r="AN50" s="171"/>
      <c r="AO50" s="171"/>
      <c r="AP50" s="171"/>
      <c r="AQ50" s="171"/>
      <c r="AR50" s="171"/>
      <c r="AS50" s="171"/>
      <c r="AT50" s="171"/>
      <c r="AU50" s="171"/>
      <c r="AV50" s="171"/>
      <c r="AW50" s="171"/>
      <c r="AX50" s="171"/>
      <c r="AY50" s="171"/>
      <c r="AZ50" s="171"/>
      <c r="BA50" s="171"/>
      <c r="BB50" s="171"/>
      <c r="BC50" s="171"/>
      <c r="BD50" s="171"/>
      <c r="BE50" s="171"/>
      <c r="BF50" s="171"/>
      <c r="BG50" s="171"/>
      <c r="BH50" s="171"/>
      <c r="BI50" s="171"/>
      <c r="BJ50" s="171"/>
      <c r="BK50" s="171"/>
      <c r="BL50" s="171"/>
      <c r="BM50" s="171"/>
      <c r="BN50" s="171"/>
      <c r="BO50" s="171"/>
      <c r="BP50" s="171"/>
      <c r="BQ50" s="171"/>
      <c r="BR50" s="171"/>
      <c r="BS50" s="171"/>
      <c r="BT50" s="171"/>
      <c r="BU50" s="171"/>
      <c r="BV50" s="171"/>
      <c r="BW50" s="171"/>
      <c r="BX50" s="171"/>
      <c r="BY50" s="171"/>
      <c r="BZ50" s="171"/>
      <c r="CA50" s="171"/>
      <c r="CB50" s="171"/>
      <c r="CC50" s="171"/>
      <c r="CD50" s="171"/>
      <c r="CE50" s="171"/>
      <c r="CF50" s="171"/>
      <c r="CG50" s="171"/>
      <c r="CH50" s="171"/>
      <c r="CI50" s="171"/>
      <c r="CJ50" s="171"/>
      <c r="CK50" s="171"/>
      <c r="CL50" s="171"/>
      <c r="CM50" s="171"/>
      <c r="CN50" s="171"/>
      <c r="CO50" s="171"/>
      <c r="CP50" s="171"/>
      <c r="CQ50" s="178">
        <f>+SUM(AM50:CP50)</f>
        <v>0</v>
      </c>
      <c r="CR50" s="178">
        <f>SUM(AL50,CQ50)</f>
        <v>0</v>
      </c>
      <c r="CS50" s="178">
        <f>SUM(CY50:CY50)</f>
        <v>0</v>
      </c>
      <c r="CT50" s="186"/>
      <c r="CU50" s="171"/>
      <c r="CV50" s="171"/>
      <c r="CW50" s="190"/>
      <c r="CX50" s="190"/>
      <c r="CY50" s="190">
        <f>SUM(CT50:CX50)</f>
        <v>0</v>
      </c>
      <c r="CZ50" s="178"/>
      <c r="DA50" s="178"/>
      <c r="DB50" s="193"/>
    </row>
    <row r="51" spans="1:106">
      <c r="A51" s="161">
        <v>36</v>
      </c>
      <c r="B51" s="161"/>
      <c r="D51" s="154" t="s">
        <v>13902</v>
      </c>
      <c r="E51" s="169" t="e">
        <f t="shared" ref="E51:E62" ca="true" si="17">+F51+CS51+CZ51+DA51</f>
        <v>#REF!</v>
      </c>
      <c r="F51" s="169" t="e">
        <f ca="true">SUM(G51:K51,M51:N51,P51:U51,W51:X51,Z51:AA51,AC51:AK51,AM51:CP51)</f>
        <v>#REF!</v>
      </c>
      <c r="G51" s="171"/>
      <c r="H51" s="171"/>
      <c r="I51" s="171"/>
      <c r="J51" s="171"/>
      <c r="K51" s="171"/>
      <c r="L51" s="178">
        <f>+SUM(G51:K51)</f>
        <v>0</v>
      </c>
      <c r="M51" s="171"/>
      <c r="N51" s="171"/>
      <c r="O51" s="178">
        <f>+SUM(M51:N51)</f>
        <v>0</v>
      </c>
      <c r="P51" s="180" t="e">
        <f ca="true">SUMIF('Bank Rec info'!$7:$7,P$7,'Bank Rec info'!$11:$11)</f>
        <v>#REF!</v>
      </c>
      <c r="Q51" s="180" t="e">
        <f ca="true">SUMIF('Bank Rec info'!$7:$7,Q$7,'Bank Rec info'!$11:$11)</f>
        <v>#REF!</v>
      </c>
      <c r="R51" s="180" t="e">
        <f ca="true">SUMIF('Bank Rec info'!$7:$7,R$7,'Bank Rec info'!$11:$11)</f>
        <v>#REF!</v>
      </c>
      <c r="S51" s="180" t="e">
        <f ca="true">SUMIF('Bank Rec info'!$7:$7,S$7,'Bank Rec info'!$11:$11)</f>
        <v>#REF!</v>
      </c>
      <c r="T51" s="180" t="e">
        <f ca="true">SUMIF('Bank Rec info'!$7:$7,T$7,'Bank Rec info'!$11:$11)</f>
        <v>#REF!</v>
      </c>
      <c r="U51" s="180" t="e">
        <f ca="true">SUMIF('Bank Rec info'!$7:$7,U$7,'Bank Rec info'!$11:$11)</f>
        <v>#REF!</v>
      </c>
      <c r="V51" s="169" t="e">
        <f ca="true">+SUM(P51:U51)</f>
        <v>#REF!</v>
      </c>
      <c r="W51" s="180" t="e">
        <f ca="true">SUMIF('Bank Rec info'!$7:$7,W$7,'Bank Rec info'!$11:$11)</f>
        <v>#REF!</v>
      </c>
      <c r="X51" s="180" t="e">
        <f ca="true">SUMIF('Bank Rec info'!$7:$7,X$7,'Bank Rec info'!$11:$11)</f>
        <v>#REF!</v>
      </c>
      <c r="Y51" s="178" t="e">
        <f ca="true">SUM(V51:X51)</f>
        <v>#REF!</v>
      </c>
      <c r="Z51" s="180" t="e">
        <f ca="true">SUMIF('Bank Rec info'!$7:$7,Z$7,'Bank Rec info'!$11:$11)</f>
        <v>#REF!</v>
      </c>
      <c r="AA51" s="180" t="e">
        <f ca="true">SUMIF('Bank Rec info'!$7:$7,AA$7,'Bank Rec info'!$11:$11)</f>
        <v>#REF!</v>
      </c>
      <c r="AB51" s="178" t="e">
        <f ca="true">+SUM(Z51:AA51)</f>
        <v>#REF!</v>
      </c>
      <c r="AC51" s="180" t="e">
        <f ca="true">SUMIF('Bank Rec info'!$7:$7,AC$7,'Bank Rec info'!$11:$11)</f>
        <v>#REF!</v>
      </c>
      <c r="AD51" s="180" t="e">
        <f ca="true">SUMIF('Bank Rec info'!$7:$7,AD$7,'Bank Rec info'!$11:$11)</f>
        <v>#REF!</v>
      </c>
      <c r="AE51" s="180" t="e">
        <f ca="true">SUMIF('Bank Rec info'!$7:$7,AE$7,'Bank Rec info'!$11:$11)</f>
        <v>#REF!</v>
      </c>
      <c r="AF51" s="180" t="e">
        <f ca="true">SUMIF('Bank Rec info'!$7:$7,AF$7,'Bank Rec info'!$11:$11)</f>
        <v>#REF!</v>
      </c>
      <c r="AG51" s="180" t="e">
        <f ca="true">SUMIF('Bank Rec info'!$7:$7,AG$7,'Bank Rec info'!$11:$11)</f>
        <v>#REF!</v>
      </c>
      <c r="AH51" s="180" t="e">
        <f ca="true">SUMIF('Bank Rec info'!$7:$7,AH$7,'Bank Rec info'!$11:$11)</f>
        <v>#REF!</v>
      </c>
      <c r="AI51" s="180" t="e">
        <f ca="true">SUMIF('Bank Rec info'!$7:$7,AI$7,'Bank Rec info'!$11:$11)</f>
        <v>#REF!</v>
      </c>
      <c r="AJ51" s="180" t="e">
        <f ca="true">SUMIF('Bank Rec info'!$7:$7,AJ$7,'Bank Rec info'!$11:$11)</f>
        <v>#REF!</v>
      </c>
      <c r="AK51" s="180" t="e">
        <f ca="true">SUMIF('Bank Rec info'!$7:$7,AK$7,'Bank Rec info'!$11:$11)</f>
        <v>#REF!</v>
      </c>
      <c r="AL51" s="178" t="e">
        <f ca="true">SUM(AF51:AK51)</f>
        <v>#REF!</v>
      </c>
      <c r="AM51" s="180" t="e">
        <f ca="true">SUMIF('Bank Rec info'!$7:$7,AM$7,'Bank Rec info'!$11:$11)</f>
        <v>#REF!</v>
      </c>
      <c r="AN51" s="180" t="e">
        <f ca="true">SUMIF('Bank Rec info'!$7:$7,AN$7,'Bank Rec info'!$11:$11)</f>
        <v>#REF!</v>
      </c>
      <c r="AO51" s="180" t="e">
        <f ca="true">SUMIF('Bank Rec info'!$7:$7,AO$7,'Bank Rec info'!$11:$11)</f>
        <v>#REF!</v>
      </c>
      <c r="AP51" s="180" t="e">
        <f ca="true">SUMIF('Bank Rec info'!$7:$7,AP$7,'Bank Rec info'!$11:$11)</f>
        <v>#REF!</v>
      </c>
      <c r="AQ51" s="180" t="e">
        <f ca="true">SUMIF('Bank Rec info'!$7:$7,AQ$7,'Bank Rec info'!$11:$11)</f>
        <v>#REF!</v>
      </c>
      <c r="AR51" s="180" t="e">
        <f ca="true">SUMIF('Bank Rec info'!$7:$7,AR$7,'Bank Rec info'!$11:$11)</f>
        <v>#REF!</v>
      </c>
      <c r="AS51" s="180" t="e">
        <f ca="true">SUMIF('Bank Rec info'!$7:$7,AS$7,'Bank Rec info'!$11:$11)</f>
        <v>#REF!</v>
      </c>
      <c r="AT51" s="180" t="e">
        <f ca="true">SUMIF('Bank Rec info'!$7:$7,AT$7,'Bank Rec info'!$11:$11)</f>
        <v>#REF!</v>
      </c>
      <c r="AU51" s="180" t="e">
        <f ca="true">SUMIF('Bank Rec info'!$7:$7,AU$7,'Bank Rec info'!$11:$11)</f>
        <v>#REF!</v>
      </c>
      <c r="AV51" s="180" t="e">
        <f ca="true">SUMIF('Bank Rec info'!$7:$7,AV$7,'Bank Rec info'!$11:$11)</f>
        <v>#REF!</v>
      </c>
      <c r="AW51" s="180" t="e">
        <f ca="true">SUMIF('Bank Rec info'!$7:$7,AW$7,'Bank Rec info'!$11:$11)</f>
        <v>#REF!</v>
      </c>
      <c r="AX51" s="180" t="e">
        <f ca="true">SUMIF('Bank Rec info'!$7:$7,AX$7,'Bank Rec info'!$11:$11)</f>
        <v>#REF!</v>
      </c>
      <c r="AY51" s="180" t="e">
        <f ca="true">SUMIF('Bank Rec info'!$7:$7,AY$7,'Bank Rec info'!$11:$11)</f>
        <v>#REF!</v>
      </c>
      <c r="AZ51" s="180" t="e">
        <f ca="true">SUMIF('Bank Rec info'!$7:$7,AZ$7,'Bank Rec info'!$11:$11)</f>
        <v>#REF!</v>
      </c>
      <c r="BA51" s="180" t="e">
        <f ca="true">SUMIF('Bank Rec info'!$7:$7,BA$7,'Bank Rec info'!$11:$11)</f>
        <v>#REF!</v>
      </c>
      <c r="BB51" s="180" t="e">
        <f ca="true">SUMIF('Bank Rec info'!$7:$7,BB$7,'Bank Rec info'!$11:$11)</f>
        <v>#REF!</v>
      </c>
      <c r="BC51" s="180" t="e">
        <f ca="true">SUMIF('Bank Rec info'!$7:$7,BC$7,'Bank Rec info'!$11:$11)</f>
        <v>#REF!</v>
      </c>
      <c r="BD51" s="180" t="e">
        <f ca="true">SUMIF('Bank Rec info'!$7:$7,BD$7,'Bank Rec info'!$11:$11)</f>
        <v>#REF!</v>
      </c>
      <c r="BE51" s="180" t="e">
        <f ca="true">SUMIF('Bank Rec info'!$7:$7,BE$7,'Bank Rec info'!$11:$11)</f>
        <v>#REF!</v>
      </c>
      <c r="BF51" s="180" t="e">
        <f ca="true">SUMIF('Bank Rec info'!$7:$7,BF$7,'Bank Rec info'!$11:$11)</f>
        <v>#REF!</v>
      </c>
      <c r="BG51" s="180" t="e">
        <f ca="true">SUMIF('Bank Rec info'!$7:$7,BG$7,'Bank Rec info'!$11:$11)</f>
        <v>#REF!</v>
      </c>
      <c r="BH51" s="180" t="e">
        <f ca="true">SUMIF('Bank Rec info'!$7:$7,BH$7,'Bank Rec info'!$11:$11)</f>
        <v>#REF!</v>
      </c>
      <c r="BI51" s="180" t="e">
        <f ca="true">SUMIF('Bank Rec info'!$7:$7,BI$7,'Bank Rec info'!$11:$11)</f>
        <v>#REF!</v>
      </c>
      <c r="BJ51" s="180" t="e">
        <f ca="true">SUMIF('Bank Rec info'!$7:$7,BJ$7,'Bank Rec info'!$11:$11)</f>
        <v>#REF!</v>
      </c>
      <c r="BK51" s="180" t="e">
        <f ca="true">SUMIF('Bank Rec info'!$7:$7,BK$7,'Bank Rec info'!$11:$11)</f>
        <v>#REF!</v>
      </c>
      <c r="BL51" s="180" t="e">
        <f ca="true">SUMIF('Bank Rec info'!$7:$7,BL$7,'Bank Rec info'!$11:$11)</f>
        <v>#REF!</v>
      </c>
      <c r="BM51" s="180" t="e">
        <f ca="true">SUMIF('Bank Rec info'!$7:$7,BM$7,'Bank Rec info'!$11:$11)</f>
        <v>#REF!</v>
      </c>
      <c r="BN51" s="180" t="e">
        <f ca="true">SUMIF('Bank Rec info'!$7:$7,BN$7,'Bank Rec info'!$11:$11)</f>
        <v>#REF!</v>
      </c>
      <c r="BO51" s="180" t="e">
        <f ca="true">SUMIF('Bank Rec info'!$7:$7,BO$7,'Bank Rec info'!$11:$11)</f>
        <v>#REF!</v>
      </c>
      <c r="BP51" s="180" t="e">
        <f ca="true">SUMIF('Bank Rec info'!$7:$7,BP$7,'Bank Rec info'!$11:$11)</f>
        <v>#REF!</v>
      </c>
      <c r="BQ51" s="180" t="e">
        <f ca="true">SUMIF('Bank Rec info'!$7:$7,BQ$7,'Bank Rec info'!$11:$11)</f>
        <v>#REF!</v>
      </c>
      <c r="BR51" s="180" t="e">
        <f ca="true">SUMIF('Bank Rec info'!$7:$7,BR$7,'Bank Rec info'!$11:$11)</f>
        <v>#REF!</v>
      </c>
      <c r="BS51" s="180" t="e">
        <f ca="true">SUMIF('Bank Rec info'!$7:$7,BS$7,'Bank Rec info'!$11:$11)</f>
        <v>#REF!</v>
      </c>
      <c r="BT51" s="180" t="e">
        <f ca="true">SUMIF('Bank Rec info'!$7:$7,BT$7,'Bank Rec info'!$11:$11)</f>
        <v>#REF!</v>
      </c>
      <c r="BU51" s="180" t="e">
        <f ca="true">SUMIF('Bank Rec info'!$7:$7,BU$7,'Bank Rec info'!$11:$11)</f>
        <v>#REF!</v>
      </c>
      <c r="BV51" s="180" t="e">
        <f ca="true">SUMIF('Bank Rec info'!$7:$7,BV$7,'Bank Rec info'!$11:$11)</f>
        <v>#REF!</v>
      </c>
      <c r="BW51" s="180" t="e">
        <f ca="true">SUMIF('Bank Rec info'!$7:$7,BW$7,'Bank Rec info'!$11:$11)</f>
        <v>#REF!</v>
      </c>
      <c r="BX51" s="180" t="e">
        <f ca="true">SUMIF('Bank Rec info'!$7:$7,BX$7,'Bank Rec info'!$11:$11)</f>
        <v>#REF!</v>
      </c>
      <c r="BY51" s="180" t="e">
        <f ca="true">SUMIF('Bank Rec info'!$7:$7,BY$7,'Bank Rec info'!$11:$11)</f>
        <v>#REF!</v>
      </c>
      <c r="BZ51" s="180" t="e">
        <f ca="true">SUMIF('Bank Rec info'!$7:$7,BZ$7,'Bank Rec info'!$11:$11)</f>
        <v>#REF!</v>
      </c>
      <c r="CA51" s="180" t="e">
        <f ca="true">SUMIF('Bank Rec info'!$7:$7,CA$7,'Bank Rec info'!$11:$11)</f>
        <v>#REF!</v>
      </c>
      <c r="CB51" s="180" t="e">
        <f ca="true">SUMIF('Bank Rec info'!$7:$7,CB$7,'Bank Rec info'!$11:$11)</f>
        <v>#REF!</v>
      </c>
      <c r="CC51" s="180" t="e">
        <f ca="true">SUMIF('Bank Rec info'!$7:$7,CC$7,'Bank Rec info'!$11:$11)</f>
        <v>#REF!</v>
      </c>
      <c r="CD51" s="180" t="e">
        <f ca="true">SUMIF('Bank Rec info'!$7:$7,CD$7,'Bank Rec info'!$11:$11)</f>
        <v>#REF!</v>
      </c>
      <c r="CE51" s="180" t="e">
        <f ca="true">SUMIF('Bank Rec info'!$7:$7,CE$7,'Bank Rec info'!$11:$11)</f>
        <v>#REF!</v>
      </c>
      <c r="CF51" s="180" t="e">
        <f ca="true">SUMIF('Bank Rec info'!$7:$7,CF$7,'Bank Rec info'!$11:$11)</f>
        <v>#REF!</v>
      </c>
      <c r="CG51" s="180" t="e">
        <f ca="true">SUMIF('Bank Rec info'!$7:$7,CG$7,'Bank Rec info'!$11:$11)</f>
        <v>#REF!</v>
      </c>
      <c r="CH51" s="180" t="e">
        <f ca="true">SUMIF('Bank Rec info'!$7:$7,CH$7,'Bank Rec info'!$11:$11)</f>
        <v>#REF!</v>
      </c>
      <c r="CI51" s="180" t="e">
        <f ca="true">SUMIF('Bank Rec info'!$7:$7,CI$7,'Bank Rec info'!$11:$11)</f>
        <v>#REF!</v>
      </c>
      <c r="CJ51" s="180" t="e">
        <f ca="true">SUMIF('Bank Rec info'!$7:$7,CJ$7,'Bank Rec info'!$11:$11)</f>
        <v>#REF!</v>
      </c>
      <c r="CK51" s="180" t="e">
        <f ca="true">SUMIF('Bank Rec info'!$7:$7,CK$7,'Bank Rec info'!$11:$11)</f>
        <v>#REF!</v>
      </c>
      <c r="CL51" s="180" t="e">
        <f ca="true">SUMIF('Bank Rec info'!$7:$7,CL$7,'Bank Rec info'!$11:$11)</f>
        <v>#REF!</v>
      </c>
      <c r="CM51" s="180" t="e">
        <f ca="true">SUMIF('Bank Rec info'!$7:$7,CM$7,'Bank Rec info'!$11:$11)</f>
        <v>#REF!</v>
      </c>
      <c r="CN51" s="180" t="e">
        <f ca="true">SUMIF('Bank Rec info'!$7:$7,CN$7,'Bank Rec info'!$11:$11)</f>
        <v>#REF!</v>
      </c>
      <c r="CO51" s="180" t="e">
        <f ca="true">SUMIF('Bank Rec info'!$7:$7,CO$7,'Bank Rec info'!$11:$11)</f>
        <v>#REF!</v>
      </c>
      <c r="CP51" s="171"/>
      <c r="CQ51" s="178" t="e">
        <f ca="true">+SUM(AM51:CP51)</f>
        <v>#REF!</v>
      </c>
      <c r="CR51" s="178" t="e">
        <f ca="true">SUM(AL51,CQ51)</f>
        <v>#REF!</v>
      </c>
      <c r="CS51" s="178" t="e">
        <f ca="true">SUM(CY51:CY51)</f>
        <v>#REF!</v>
      </c>
      <c r="CT51" s="186" t="e">
        <f ca="true">SUMIF('Bank Rec info'!$7:$7,CT$7,'Bank Rec info'!$11:$11)</f>
        <v>#REF!</v>
      </c>
      <c r="CU51" s="171" t="e">
        <f ca="true">SUMIF('Bank Rec info'!$7:$7,CU$7,'Bank Rec info'!$11:$11)</f>
        <v>#REF!</v>
      </c>
      <c r="CV51" s="171" t="e">
        <f ca="true">SUMIF('Bank Rec info'!$7:$7,CV$7,'Bank Rec info'!$11:$11)</f>
        <v>#REF!</v>
      </c>
      <c r="CW51" s="191" t="e">
        <f ca="true">SUMIF('Bank Rec info'!$7:$7,CW$7,'Bank Rec info'!$11:$11)</f>
        <v>#REF!</v>
      </c>
      <c r="CX51" s="190">
        <f ca="true">SUMIF('Bank Rec info'!$7:$7,CX$7,'Bank Rec info'!$11:$11)</f>
        <v>0</v>
      </c>
      <c r="CY51" s="190" t="e">
        <f ca="true">SUM(CT51:CX51)</f>
        <v>#REF!</v>
      </c>
      <c r="CZ51" s="178"/>
      <c r="DA51" s="178"/>
      <c r="DB51" s="193"/>
    </row>
    <row r="52" spans="1:106">
      <c r="A52" s="161">
        <v>37</v>
      </c>
      <c r="B52" s="161"/>
      <c r="D52" s="154" t="s">
        <v>13903</v>
      </c>
      <c r="E52" s="169" t="e">
        <f t="shared" ca="true" si="17"/>
        <v>#REF!</v>
      </c>
      <c r="F52" s="169" t="e">
        <f ca="true">SUM(G52:K52,M52:N52,P52:U52,W52:X52,Z52:AA52,AC52:AK52,AM52:CP52)</f>
        <v>#REF!</v>
      </c>
      <c r="G52" s="171"/>
      <c r="H52" s="171"/>
      <c r="I52" s="171"/>
      <c r="J52" s="171"/>
      <c r="K52" s="171"/>
      <c r="L52" s="178">
        <f>+SUM(G52:K52)</f>
        <v>0</v>
      </c>
      <c r="M52" s="171"/>
      <c r="N52" s="171"/>
      <c r="O52" s="178">
        <f>+SUM(M52:N52)</f>
        <v>0</v>
      </c>
      <c r="P52" s="180" t="e">
        <f ca="true">SUMIF('Bank Rec info'!$7:$7,P$7,'Bank Rec info'!$11:$11)</f>
        <v>#REF!</v>
      </c>
      <c r="Q52" s="180" t="e">
        <f ca="true">SUMIF('Bank Rec info'!$7:$7,Q$7,'Bank Rec info'!$11:$11)</f>
        <v>#REF!</v>
      </c>
      <c r="R52" s="180" t="e">
        <f ca="true">SUMIF('Bank Rec info'!$7:$7,R$7,'Bank Rec info'!$11:$11)</f>
        <v>#REF!</v>
      </c>
      <c r="S52" s="180" t="e">
        <f ca="true">SUMIF('Bank Rec info'!$7:$7,S$7,'Bank Rec info'!$11:$11)</f>
        <v>#REF!</v>
      </c>
      <c r="T52" s="180">
        <f ca="true">SUMIF('Bank Rec info'!$7:$7,T$7,'Bank Rec info'!$19:$19)</f>
        <v>0</v>
      </c>
      <c r="U52" s="180">
        <f ca="true">SUMIF('Bank Rec info'!$7:$7,U$7,'Bank Rec info'!$19:$19)</f>
        <v>0</v>
      </c>
      <c r="V52" s="169" t="e">
        <f ca="true">+SUM(P52:U52)</f>
        <v>#REF!</v>
      </c>
      <c r="W52" s="180">
        <f ca="true">SUMIF('Bank Rec info'!$7:$7,W$7,'Bank Rec info'!$19:$19)</f>
        <v>0</v>
      </c>
      <c r="X52" s="180">
        <f ca="true">SUMIF('Bank Rec info'!$7:$7,X$7,'Bank Rec info'!$19:$19)</f>
        <v>0</v>
      </c>
      <c r="Y52" s="178" t="e">
        <f ca="true">SUM(V52:X52)</f>
        <v>#REF!</v>
      </c>
      <c r="Z52" s="180">
        <f ca="true">SUMIF('Bank Rec info'!$7:$7,Z$7,'Bank Rec info'!$19:$19)</f>
        <v>3768.24</v>
      </c>
      <c r="AA52" s="180">
        <f ca="true">SUMIF('Bank Rec info'!$7:$7,AA$7,'Bank Rec info'!$19:$19)</f>
        <v>2763.17</v>
      </c>
      <c r="AB52" s="178">
        <f ca="true">+SUM(Z52:AA52)</f>
        <v>6531.41</v>
      </c>
      <c r="AC52" s="180">
        <f ca="true">SUMIF('Bank Rec info'!$7:$7,AC$7,'Bank Rec info'!$19:$19)</f>
        <v>13696.68</v>
      </c>
      <c r="AD52" s="180">
        <f ca="true">SUMIF('Bank Rec info'!$7:$7,AD$7,'Bank Rec info'!$19:$19)</f>
        <v>44911.7</v>
      </c>
      <c r="AE52" s="180">
        <f ca="true">SUMIF('Bank Rec info'!$7:$7,AE$7,'Bank Rec info'!$19:$19)</f>
        <v>1410.39</v>
      </c>
      <c r="AF52" s="180">
        <f ca="true">SUMIF('Bank Rec info'!$7:$7,AF$7,'Bank Rec info'!$19:$19)</f>
        <v>642.07</v>
      </c>
      <c r="AG52" s="180">
        <f ca="true">SUMIF('Bank Rec info'!$7:$7,AG$7,'Bank Rec info'!$19:$19)</f>
        <v>662.190000000001</v>
      </c>
      <c r="AH52" s="180">
        <f ca="true">SUMIF('Bank Rec info'!$7:$7,AH$7,'Bank Rec info'!$19:$19)</f>
        <v>-1081.56</v>
      </c>
      <c r="AI52" s="180">
        <f ca="true">SUMIF('Bank Rec info'!$7:$7,AI$7,'Bank Rec info'!$19:$19)</f>
        <v>8877.92</v>
      </c>
      <c r="AJ52" s="180">
        <f ca="true">SUMIF('Bank Rec info'!$7:$7,AJ$7,'Bank Rec info'!$19:$19)</f>
        <v>-12674.24</v>
      </c>
      <c r="AK52" s="180">
        <f ca="true">SUMIF('Bank Rec info'!$7:$7,AK$7,'Bank Rec info'!$19:$19)</f>
        <v>-70543.29</v>
      </c>
      <c r="AL52" s="178">
        <f ca="true">SUM(AF52:AK52)</f>
        <v>-74116.91</v>
      </c>
      <c r="AM52" s="180">
        <f ca="true">SUMIF('Bank Rec info'!$7:$7,AM$7,'Bank Rec info'!$19:$19)</f>
        <v>28649.98</v>
      </c>
      <c r="AN52" s="180">
        <f ca="true">SUMIF('Bank Rec info'!$7:$7,AN$7,'Bank Rec info'!$19:$19)</f>
        <v>-153210.69</v>
      </c>
      <c r="AO52" s="180">
        <f ca="true">SUMIF('Bank Rec info'!$7:$7,AO$7,'Bank Rec info'!$19:$19)</f>
        <v>26111.51</v>
      </c>
      <c r="AP52" s="180">
        <f ca="true">SUMIF('Bank Rec info'!$7:$7,AP$7,'Bank Rec info'!$19:$19)</f>
        <v>0</v>
      </c>
      <c r="AQ52" s="180">
        <f ca="true">SUMIF('Bank Rec info'!$7:$7,AQ$7,'Bank Rec info'!$19:$19)</f>
        <v>-37144.74</v>
      </c>
      <c r="AR52" s="180">
        <f ca="true">SUMIF('Bank Rec info'!$7:$7,AR$7,'Bank Rec info'!$19:$19)</f>
        <v>0</v>
      </c>
      <c r="AS52" s="180">
        <f ca="true">SUMIF('Bank Rec info'!$7:$7,AS$7,'Bank Rec info'!$19:$19)</f>
        <v>-13004.74</v>
      </c>
      <c r="AT52" s="180">
        <f ca="true">SUMIF('Bank Rec info'!$7:$7,AT$7,'Bank Rec info'!$19:$19)</f>
        <v>5580.74</v>
      </c>
      <c r="AU52" s="180">
        <f ca="true">SUMIF('Bank Rec info'!$7:$7,AU$7,'Bank Rec info'!$19:$19)</f>
        <v>43188</v>
      </c>
      <c r="AV52" s="180">
        <f ca="true">SUMIF('Bank Rec info'!$7:$7,AV$7,'Bank Rec info'!$19:$19)</f>
        <v>-2852.22</v>
      </c>
      <c r="AW52" s="180">
        <f ca="true">SUMIF('Bank Rec info'!$7:$7,AW$7,'Bank Rec info'!$19:$19)</f>
        <v>0</v>
      </c>
      <c r="AX52" s="180">
        <f ca="true">SUMIF('Bank Rec info'!$7:$7,AX$7,'Bank Rec info'!$19:$19)</f>
        <v>0</v>
      </c>
      <c r="AY52" s="180">
        <f ca="true">SUMIF('Bank Rec info'!$7:$7,AY$7,'Bank Rec info'!$19:$19)</f>
        <v>0</v>
      </c>
      <c r="AZ52" s="180">
        <f ca="true">SUMIF('Bank Rec info'!$7:$7,AZ$7,'Bank Rec info'!$19:$19)</f>
        <v>2314.96</v>
      </c>
      <c r="BA52" s="180">
        <f ca="true">SUMIF('Bank Rec info'!$7:$7,BA$7,'Bank Rec info'!$19:$19)</f>
        <v>-3697.6</v>
      </c>
      <c r="BB52" s="180">
        <f ca="true">SUMIF('Bank Rec info'!$7:$7,BB$7,'Bank Rec info'!$19:$19)</f>
        <v>0</v>
      </c>
      <c r="BC52" s="180">
        <f ca="true">SUMIF('Bank Rec info'!$7:$7,BC$7,'Bank Rec info'!$19:$19)</f>
        <v>-9635.49</v>
      </c>
      <c r="BD52" s="180">
        <f ca="true">SUMIF('Bank Rec info'!$7:$7,BD$7,'Bank Rec info'!$19:$19)</f>
        <v>-1037.06</v>
      </c>
      <c r="BE52" s="180">
        <f ca="true">SUMIF('Bank Rec info'!$7:$7,BE$7,'Bank Rec info'!$19:$19)</f>
        <v>12497.93</v>
      </c>
      <c r="BF52" s="180">
        <f ca="true">SUMIF('Bank Rec info'!$7:$7,BF$7,'Bank Rec info'!$19:$19)</f>
        <v>-394.13</v>
      </c>
      <c r="BG52" s="180">
        <f ca="true">SUMIF('Bank Rec info'!$7:$7,BG$7,'Bank Rec info'!$19:$19)</f>
        <v>-5842.55</v>
      </c>
      <c r="BH52" s="180">
        <f ca="true">SUMIF('Bank Rec info'!$7:$7,BH$7,'Bank Rec info'!$19:$19)</f>
        <v>0</v>
      </c>
      <c r="BI52" s="180">
        <f ca="true">SUMIF('Bank Rec info'!$7:$7,BI$7,'Bank Rec info'!$19:$19)</f>
        <v>-4600.32</v>
      </c>
      <c r="BJ52" s="180">
        <f ca="true">SUMIF('Bank Rec info'!$7:$7,BJ$7,'Bank Rec info'!$19:$19)</f>
        <v>0</v>
      </c>
      <c r="BK52" s="180">
        <f ca="true">SUMIF('Bank Rec info'!$7:$7,BK$7,'Bank Rec info'!$19:$19)</f>
        <v>49.8899999999994</v>
      </c>
      <c r="BL52" s="180">
        <f ca="true">SUMIF('Bank Rec info'!$7:$7,BL$7,'Bank Rec info'!$19:$19)</f>
        <v>1692.88</v>
      </c>
      <c r="BM52" s="180">
        <f ca="true">SUMIF('Bank Rec info'!$7:$7,BM$7,'Bank Rec info'!$19:$19)</f>
        <v>2713.84</v>
      </c>
      <c r="BN52" s="180">
        <f ca="true">SUMIF('Bank Rec info'!$7:$7,BN$7,'Bank Rec info'!$19:$19)</f>
        <v>-590.08</v>
      </c>
      <c r="BO52" s="180">
        <f ca="true">SUMIF('Bank Rec info'!$7:$7,BO$7,'Bank Rec info'!$19:$19)</f>
        <v>0</v>
      </c>
      <c r="BP52" s="180">
        <f ca="true">SUMIF('Bank Rec info'!$7:$7,BP$7,'Bank Rec info'!$19:$19)</f>
        <v>1449.36</v>
      </c>
      <c r="BQ52" s="180">
        <f ca="true">SUMIF('Bank Rec info'!$7:$7,BQ$7,'Bank Rec info'!$19:$19)</f>
        <v>5214.95</v>
      </c>
      <c r="BR52" s="180">
        <f ca="true">SUMIF('Bank Rec info'!$7:$7,BR$7,'Bank Rec info'!$19:$19)</f>
        <v>125472.96</v>
      </c>
      <c r="BS52" s="180">
        <f ca="true">SUMIF('Bank Rec info'!$7:$7,BS$7,'Bank Rec info'!$19:$19)</f>
        <v>0</v>
      </c>
      <c r="BT52" s="180">
        <f ca="true">SUMIF('Bank Rec info'!$7:$7,BT$7,'Bank Rec info'!$19:$19)</f>
        <v>0</v>
      </c>
      <c r="BU52" s="180">
        <f ca="true">SUMIF('Bank Rec info'!$7:$7,BU$7,'Bank Rec info'!$19:$19)</f>
        <v>0</v>
      </c>
      <c r="BV52" s="180">
        <f ca="true">SUMIF('Bank Rec info'!$7:$7,BV$7,'Bank Rec info'!$19:$19)</f>
        <v>0</v>
      </c>
      <c r="BW52" s="180">
        <f ca="true">SUMIF('Bank Rec info'!$7:$7,BW$7,'Bank Rec info'!$19:$19)</f>
        <v>239142.04</v>
      </c>
      <c r="BX52" s="180">
        <f ca="true">SUMIF('Bank Rec info'!$7:$7,BX$7,'Bank Rec info'!$19:$19)</f>
        <v>-201951.14</v>
      </c>
      <c r="BY52" s="180">
        <f ca="true">SUMIF('Bank Rec info'!$7:$7,BY$7,'Bank Rec info'!$19:$19)</f>
        <v>0</v>
      </c>
      <c r="BZ52" s="180">
        <f ca="true">SUMIF('Bank Rec info'!$7:$7,BZ$7,'Bank Rec info'!$19:$19)</f>
        <v>-128942.04</v>
      </c>
      <c r="CA52" s="180">
        <f ca="true">SUMIF('Bank Rec info'!$7:$7,CA$7,'Bank Rec info'!$19:$19)</f>
        <v>-1034.71</v>
      </c>
      <c r="CB52" s="180">
        <f ca="true">SUMIF('Bank Rec info'!$7:$7,CB$7,'Bank Rec info'!$19:$19)</f>
        <v>-85977.15</v>
      </c>
      <c r="CC52" s="180">
        <f ca="true">SUMIF('Bank Rec info'!$7:$7,CC$7,'Bank Rec info'!$19:$19)</f>
        <v>-49263.95</v>
      </c>
      <c r="CD52" s="180">
        <f ca="true">SUMIF('Bank Rec info'!$7:$7,CD$7,'Bank Rec info'!$19:$19)</f>
        <v>-13757.86</v>
      </c>
      <c r="CE52" s="180">
        <f ca="true">SUMIF('Bank Rec info'!$7:$7,CE$7,'Bank Rec info'!$19:$19)</f>
        <v>59724.82</v>
      </c>
      <c r="CF52" s="180">
        <f ca="true">SUMIF('Bank Rec info'!$7:$7,CF$7,'Bank Rec info'!$19:$19)</f>
        <v>0</v>
      </c>
      <c r="CG52" s="180">
        <f ca="true">SUMIF('Bank Rec info'!$7:$7,CG$7,'Bank Rec info'!$19:$19)</f>
        <v>2895.48</v>
      </c>
      <c r="CH52" s="180">
        <f ca="true">SUMIF('Bank Rec info'!$7:$7,CH$7,'Bank Rec info'!$19:$19)</f>
        <v>-11232.05</v>
      </c>
      <c r="CI52" s="180">
        <f ca="true">SUMIF('Bank Rec info'!$7:$7,CI$7,'Bank Rec info'!$19:$19)</f>
        <v>991.889999999999</v>
      </c>
      <c r="CJ52" s="180">
        <f ca="true">SUMIF('Bank Rec info'!$7:$7,CJ$7,'Bank Rec info'!$19:$19)</f>
        <v>24415.52</v>
      </c>
      <c r="CK52" s="180">
        <f ca="true">SUMIF('Bank Rec info'!$7:$7,CK$7,'Bank Rec info'!$19:$19)</f>
        <v>-24204.33</v>
      </c>
      <c r="CL52" s="180">
        <f ca="true">SUMIF('Bank Rec info'!$7:$7,CL$7,'Bank Rec info'!$19:$19)</f>
        <v>19043.66</v>
      </c>
      <c r="CM52" s="180">
        <f ca="true">SUMIF('Bank Rec info'!$7:$7,CM$7,'Bank Rec info'!$19:$19)</f>
        <v>-29993.86</v>
      </c>
      <c r="CN52" s="180">
        <f ca="true">SUMIF('Bank Rec info'!$7:$7,CN$7,'Bank Rec info'!$19:$19)</f>
        <v>-103062.4</v>
      </c>
      <c r="CO52" s="180">
        <f ca="true">SUMIF('Bank Rec info'!$7:$7,CO$7,'Bank Rec info'!$19:$19)</f>
        <v>-51772.07</v>
      </c>
      <c r="CP52" s="171"/>
      <c r="CQ52" s="178">
        <f ca="true">+SUM(AM52:CP52)</f>
        <v>-332050.77</v>
      </c>
      <c r="CR52" s="178">
        <f ca="true">SUM(AL52,CQ52)</f>
        <v>-406167.68</v>
      </c>
      <c r="CS52" s="178">
        <f ca="true">SUM(CY52:CY52)</f>
        <v>-242987.19</v>
      </c>
      <c r="CT52" s="186">
        <f ca="true">SUMIF('Bank Rec info'!$7:$7,CT$7,'Bank Rec info'!$19:$19)</f>
        <v>0</v>
      </c>
      <c r="CU52" s="171">
        <f ca="true">SUMIF('Bank Rec info'!$7:$7,CU$7,'Bank Rec info'!$19:$19)</f>
        <v>-15220.34</v>
      </c>
      <c r="CV52" s="171">
        <f ca="true">SUMIF('Bank Rec info'!$7:$7,CV$7,'Bank Rec info'!$19:$19)</f>
        <v>-210000</v>
      </c>
      <c r="CW52" s="191">
        <f ca="true">SUMIF('Bank Rec info'!$7:$7,CW$7,'Bank Rec info'!$19:$19)</f>
        <v>-17766.85</v>
      </c>
      <c r="CX52" s="190">
        <f ca="true">SUMIF('Bank Rec info'!$7:$7,CX$7,'Bank Rec info'!$19:$19)</f>
        <v>0</v>
      </c>
      <c r="CY52" s="190">
        <f ca="true">SUM(CT52:CX52)</f>
        <v>-242987.19</v>
      </c>
      <c r="CZ52" s="178"/>
      <c r="DA52" s="178"/>
      <c r="DB52" s="193"/>
    </row>
    <row r="53" spans="1:106">
      <c r="A53" s="161">
        <v>38</v>
      </c>
      <c r="B53" s="161" t="s">
        <v>13870</v>
      </c>
      <c r="D53" s="154" t="s">
        <v>13901</v>
      </c>
      <c r="E53" s="169" t="e">
        <f t="shared" ca="true" si="17"/>
        <v>#REF!</v>
      </c>
      <c r="F53" s="169" t="e">
        <f ca="true">SUM(G53:K53,M53:N53,P53:U53,W53:X53,Z53:AA53,AC53:AK53,AM53:CP53)</f>
        <v>#REF!</v>
      </c>
      <c r="G53" s="171"/>
      <c r="H53" s="171"/>
      <c r="I53" s="171"/>
      <c r="J53" s="171"/>
      <c r="K53" s="171"/>
      <c r="L53" s="178">
        <f>+SUM(G53:K53)</f>
        <v>0</v>
      </c>
      <c r="M53" s="171"/>
      <c r="N53" s="171"/>
      <c r="O53" s="178">
        <f>+SUM(M53:N53)</f>
        <v>0</v>
      </c>
      <c r="P53" s="171"/>
      <c r="Q53" s="171"/>
      <c r="R53" s="171"/>
      <c r="S53" s="171"/>
      <c r="T53" s="171" t="e">
        <f ca="true">-T51+T52</f>
        <v>#REF!</v>
      </c>
      <c r="U53" s="171" t="e">
        <f ca="true">-U51+U52</f>
        <v>#REF!</v>
      </c>
      <c r="V53" s="169" t="e">
        <f ca="true">+SUM(P53:U53)</f>
        <v>#REF!</v>
      </c>
      <c r="W53" s="171" t="e">
        <f ca="true">-W51+W52</f>
        <v>#REF!</v>
      </c>
      <c r="X53" s="171" t="e">
        <f ca="true">-X51+X52</f>
        <v>#REF!</v>
      </c>
      <c r="Y53" s="178" t="e">
        <f ca="true">SUM(V53:X53)</f>
        <v>#REF!</v>
      </c>
      <c r="Z53" s="171" t="e">
        <f ca="true">-Z51+Z52</f>
        <v>#REF!</v>
      </c>
      <c r="AA53" s="171" t="e">
        <f ca="true">-AA51+AA52</f>
        <v>#REF!</v>
      </c>
      <c r="AB53" s="178" t="e">
        <f ca="true">+SUM(Z53:AA53)</f>
        <v>#REF!</v>
      </c>
      <c r="AC53" s="171" t="e">
        <f t="shared" ref="AC53:AK53" ca="true" si="18">-AC51+AC52</f>
        <v>#REF!</v>
      </c>
      <c r="AD53" s="171" t="e">
        <f t="shared" ca="true" si="18"/>
        <v>#REF!</v>
      </c>
      <c r="AE53" s="171" t="e">
        <f t="shared" ca="true" si="18"/>
        <v>#REF!</v>
      </c>
      <c r="AF53" s="171" t="e">
        <f t="shared" ca="true" si="18"/>
        <v>#REF!</v>
      </c>
      <c r="AG53" s="171" t="e">
        <f t="shared" ca="true" si="18"/>
        <v>#REF!</v>
      </c>
      <c r="AH53" s="171" t="e">
        <f t="shared" ca="true" si="18"/>
        <v>#REF!</v>
      </c>
      <c r="AI53" s="171" t="e">
        <f t="shared" ca="true" si="18"/>
        <v>#REF!</v>
      </c>
      <c r="AJ53" s="171" t="e">
        <f t="shared" ca="true" si="18"/>
        <v>#REF!</v>
      </c>
      <c r="AK53" s="171" t="e">
        <f t="shared" ca="true" si="18"/>
        <v>#REF!</v>
      </c>
      <c r="AL53" s="178" t="e">
        <f ca="true">SUM(AF53:AK53)</f>
        <v>#REF!</v>
      </c>
      <c r="AM53" s="171" t="e">
        <f t="shared" ref="AM53:CO53" ca="true" si="19">-AM51+AM52</f>
        <v>#REF!</v>
      </c>
      <c r="AN53" s="171" t="e">
        <f t="shared" ca="true" si="19"/>
        <v>#REF!</v>
      </c>
      <c r="AO53" s="171" t="e">
        <f t="shared" ca="true" si="19"/>
        <v>#REF!</v>
      </c>
      <c r="AP53" s="171" t="e">
        <f t="shared" ca="true" si="19"/>
        <v>#REF!</v>
      </c>
      <c r="AQ53" s="171" t="e">
        <f t="shared" ca="true" si="19"/>
        <v>#REF!</v>
      </c>
      <c r="AR53" s="171" t="e">
        <f t="shared" ca="true" si="19"/>
        <v>#REF!</v>
      </c>
      <c r="AS53" s="171" t="e">
        <f t="shared" ca="true" si="19"/>
        <v>#REF!</v>
      </c>
      <c r="AT53" s="171" t="e">
        <f t="shared" ca="true" si="19"/>
        <v>#REF!</v>
      </c>
      <c r="AU53" s="171" t="e">
        <f t="shared" ca="true" si="19"/>
        <v>#REF!</v>
      </c>
      <c r="AV53" s="171" t="e">
        <f t="shared" ca="true" si="19"/>
        <v>#REF!</v>
      </c>
      <c r="AW53" s="171" t="e">
        <f t="shared" ca="true" si="19"/>
        <v>#REF!</v>
      </c>
      <c r="AX53" s="171" t="e">
        <f t="shared" ca="true" si="19"/>
        <v>#REF!</v>
      </c>
      <c r="AY53" s="171" t="e">
        <f t="shared" ca="true" si="19"/>
        <v>#REF!</v>
      </c>
      <c r="AZ53" s="171" t="e">
        <f t="shared" ca="true" si="19"/>
        <v>#REF!</v>
      </c>
      <c r="BA53" s="171" t="e">
        <f t="shared" ca="true" si="19"/>
        <v>#REF!</v>
      </c>
      <c r="BB53" s="171" t="e">
        <f t="shared" ca="true" si="19"/>
        <v>#REF!</v>
      </c>
      <c r="BC53" s="171" t="e">
        <f t="shared" ca="true" si="19"/>
        <v>#REF!</v>
      </c>
      <c r="BD53" s="171" t="e">
        <f t="shared" ca="true" si="19"/>
        <v>#REF!</v>
      </c>
      <c r="BE53" s="171" t="e">
        <f t="shared" ca="true" si="19"/>
        <v>#REF!</v>
      </c>
      <c r="BF53" s="171" t="e">
        <f t="shared" ca="true" si="19"/>
        <v>#REF!</v>
      </c>
      <c r="BG53" s="171" t="e">
        <f t="shared" ca="true" si="19"/>
        <v>#REF!</v>
      </c>
      <c r="BH53" s="171" t="e">
        <f t="shared" ca="true" si="19"/>
        <v>#REF!</v>
      </c>
      <c r="BI53" s="171" t="e">
        <f t="shared" ca="true" si="19"/>
        <v>#REF!</v>
      </c>
      <c r="BJ53" s="171" t="e">
        <f t="shared" ca="true" si="19"/>
        <v>#REF!</v>
      </c>
      <c r="BK53" s="171" t="e">
        <f t="shared" ca="true" si="19"/>
        <v>#REF!</v>
      </c>
      <c r="BL53" s="171" t="e">
        <f t="shared" ca="true" si="19"/>
        <v>#REF!</v>
      </c>
      <c r="BM53" s="171" t="e">
        <f t="shared" ca="true" si="19"/>
        <v>#REF!</v>
      </c>
      <c r="BN53" s="171" t="e">
        <f t="shared" ca="true" si="19"/>
        <v>#REF!</v>
      </c>
      <c r="BO53" s="171" t="e">
        <f t="shared" ca="true" si="19"/>
        <v>#REF!</v>
      </c>
      <c r="BP53" s="171" t="e">
        <f t="shared" ca="true" si="19"/>
        <v>#REF!</v>
      </c>
      <c r="BQ53" s="171" t="e">
        <f t="shared" ca="true" si="19"/>
        <v>#REF!</v>
      </c>
      <c r="BR53" s="171" t="e">
        <f t="shared" ca="true" si="19"/>
        <v>#REF!</v>
      </c>
      <c r="BS53" s="171" t="e">
        <f t="shared" ca="true" si="19"/>
        <v>#REF!</v>
      </c>
      <c r="BT53" s="171" t="e">
        <f t="shared" ca="true" si="19"/>
        <v>#REF!</v>
      </c>
      <c r="BU53" s="171" t="e">
        <f t="shared" ca="true" si="19"/>
        <v>#REF!</v>
      </c>
      <c r="BV53" s="171" t="e">
        <f t="shared" ca="true" si="19"/>
        <v>#REF!</v>
      </c>
      <c r="BW53" s="171" t="e">
        <f t="shared" ca="true" si="19"/>
        <v>#REF!</v>
      </c>
      <c r="BX53" s="171" t="e">
        <f t="shared" ca="true" si="19"/>
        <v>#REF!</v>
      </c>
      <c r="BY53" s="171" t="e">
        <f t="shared" ca="true" si="19"/>
        <v>#REF!</v>
      </c>
      <c r="BZ53" s="171" t="e">
        <f t="shared" ca="true" si="19"/>
        <v>#REF!</v>
      </c>
      <c r="CA53" s="171" t="e">
        <f t="shared" ca="true" si="19"/>
        <v>#REF!</v>
      </c>
      <c r="CB53" s="171" t="e">
        <f t="shared" ca="true" si="19"/>
        <v>#REF!</v>
      </c>
      <c r="CC53" s="171" t="e">
        <f t="shared" ca="true" si="19"/>
        <v>#REF!</v>
      </c>
      <c r="CD53" s="171" t="e">
        <f t="shared" ca="true" si="19"/>
        <v>#REF!</v>
      </c>
      <c r="CE53" s="171" t="e">
        <f t="shared" ca="true" si="19"/>
        <v>#REF!</v>
      </c>
      <c r="CF53" s="171" t="e">
        <f t="shared" ca="true" si="19"/>
        <v>#REF!</v>
      </c>
      <c r="CG53" s="171" t="e">
        <f t="shared" ca="true" si="19"/>
        <v>#REF!</v>
      </c>
      <c r="CH53" s="171" t="e">
        <f t="shared" ca="true" si="19"/>
        <v>#REF!</v>
      </c>
      <c r="CI53" s="171" t="e">
        <f t="shared" ca="true" si="19"/>
        <v>#REF!</v>
      </c>
      <c r="CJ53" s="171" t="e">
        <f t="shared" ca="true" si="19"/>
        <v>#REF!</v>
      </c>
      <c r="CK53" s="171" t="e">
        <f t="shared" ca="true" si="19"/>
        <v>#REF!</v>
      </c>
      <c r="CL53" s="171" t="e">
        <f t="shared" ca="true" si="19"/>
        <v>#REF!</v>
      </c>
      <c r="CM53" s="171" t="e">
        <f t="shared" ca="true" si="19"/>
        <v>#REF!</v>
      </c>
      <c r="CN53" s="171" t="e">
        <f t="shared" ca="true" si="19"/>
        <v>#REF!</v>
      </c>
      <c r="CO53" s="171" t="e">
        <f t="shared" ca="true" si="19"/>
        <v>#REF!</v>
      </c>
      <c r="CP53" s="171"/>
      <c r="CQ53" s="178" t="e">
        <f ca="true">+SUM(AM53:CP53)</f>
        <v>#REF!</v>
      </c>
      <c r="CR53" s="178" t="e">
        <f ca="true">SUM(AL53,CQ53)</f>
        <v>#REF!</v>
      </c>
      <c r="CS53" s="178" t="e">
        <f ca="true">SUM(CY53:CY53)</f>
        <v>#REF!</v>
      </c>
      <c r="CT53" s="186" t="e">
        <f ca="true">-CT51+CT52</f>
        <v>#REF!</v>
      </c>
      <c r="CU53" s="171" t="e">
        <f ca="true">-CU51+CU52</f>
        <v>#REF!</v>
      </c>
      <c r="CV53" s="171" t="e">
        <f ca="true">-CV51+CV52</f>
        <v>#REF!</v>
      </c>
      <c r="CW53" s="190" t="e">
        <f ca="true">-CW51+CW52</f>
        <v>#REF!</v>
      </c>
      <c r="CX53" s="190">
        <f ca="true">-CX51+CX52</f>
        <v>0</v>
      </c>
      <c r="CY53" s="190" t="e">
        <f ca="true">SUM(CT53:CX53)</f>
        <v>#REF!</v>
      </c>
      <c r="CZ53" s="178"/>
      <c r="DA53" s="178"/>
      <c r="DB53" s="193"/>
    </row>
    <row r="54" spans="1:106">
      <c r="A54" s="161">
        <v>39</v>
      </c>
      <c r="B54" s="161"/>
      <c r="E54" s="169">
        <f t="shared" si="17"/>
        <v>0</v>
      </c>
      <c r="F54" s="169"/>
      <c r="G54" s="171"/>
      <c r="H54" s="171"/>
      <c r="I54" s="171"/>
      <c r="J54" s="171"/>
      <c r="K54" s="171"/>
      <c r="L54" s="178"/>
      <c r="M54" s="171"/>
      <c r="N54" s="171"/>
      <c r="O54" s="178"/>
      <c r="P54" s="171"/>
      <c r="Q54" s="171"/>
      <c r="R54" s="171"/>
      <c r="S54" s="171"/>
      <c r="T54" s="171"/>
      <c r="U54" s="171"/>
      <c r="V54" s="169"/>
      <c r="W54" s="171"/>
      <c r="X54" s="171"/>
      <c r="Y54" s="178"/>
      <c r="Z54" s="171"/>
      <c r="AA54" s="171"/>
      <c r="AB54" s="178"/>
      <c r="AC54" s="171"/>
      <c r="AD54" s="171"/>
      <c r="AE54" s="171"/>
      <c r="AF54" s="171"/>
      <c r="AG54" s="171"/>
      <c r="AH54" s="171"/>
      <c r="AI54" s="171"/>
      <c r="AJ54" s="171"/>
      <c r="AK54" s="171"/>
      <c r="AL54" s="178"/>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8"/>
      <c r="CR54" s="178"/>
      <c r="CS54" s="178"/>
      <c r="CT54" s="186"/>
      <c r="CU54" s="171"/>
      <c r="CV54" s="171"/>
      <c r="CW54" s="190"/>
      <c r="CX54" s="190"/>
      <c r="CY54" s="190"/>
      <c r="CZ54" s="178"/>
      <c r="DA54" s="178"/>
      <c r="DB54" s="193"/>
    </row>
    <row r="55" spans="1:106">
      <c r="A55" s="161">
        <v>40</v>
      </c>
      <c r="B55" s="161"/>
      <c r="D55" s="154" t="s">
        <v>13904</v>
      </c>
      <c r="E55" s="169" t="e">
        <f t="shared" ca="true" si="17"/>
        <v>#REF!</v>
      </c>
      <c r="F55" s="169" t="e">
        <f t="shared" ref="F55:F62" ca="true" si="20">SUM(G55:K55,M55:N55,P55:U55,W55:X55,Z55:AA55,AC55:AK55,AM55:CP55)</f>
        <v>#REF!</v>
      </c>
      <c r="G55" s="172" t="e">
        <f ca="true">SUMIF('Bank Rec info'!$7:$7,G$7,'Bank Rec info'!$9:$9)</f>
        <v>#REF!</v>
      </c>
      <c r="H55" s="170" t="e">
        <f ca="true">SUMIF('Bank Rec info'!$7:$7,H$7,'Bank Rec info'!$9:$9)</f>
        <v>#REF!</v>
      </c>
      <c r="I55" s="170" t="e">
        <f ca="true">SUMIF('Bank Rec info'!$7:$7,I$7,'Bank Rec info'!$9:$9)</f>
        <v>#REF!</v>
      </c>
      <c r="J55" s="170" t="e">
        <f ca="true">SUMIF('Bank Rec info'!$7:$7,J$7,'Bank Rec info'!$9:$9)</f>
        <v>#REF!</v>
      </c>
      <c r="K55" s="170" t="e">
        <f ca="true">SUMIF('Bank Rec info'!$7:$7,K$7,'Bank Rec info'!$9:$9)</f>
        <v>#REF!</v>
      </c>
      <c r="L55" s="178" t="e">
        <f t="shared" ref="L55:L62" ca="true" si="21">+SUM(G55:K55)</f>
        <v>#REF!</v>
      </c>
      <c r="M55" s="170" t="e">
        <f ca="true">SUMIF('Bank Rec info'!$7:$7,M$7,'Bank Rec info'!$9:$9)</f>
        <v>#REF!</v>
      </c>
      <c r="N55" s="170" t="e">
        <f ca="true">SUMIF('Bank Rec info'!$7:$7,N$7,'Bank Rec info'!$9:$9)</f>
        <v>#REF!</v>
      </c>
      <c r="O55" s="178" t="e">
        <f t="shared" ref="O55:O62" ca="true" si="22">+SUM(M55:N55)</f>
        <v>#REF!</v>
      </c>
      <c r="P55" s="170" t="e">
        <f ca="true">SUMIF('Bank Rec info'!$7:$7,P$7,'Bank Rec info'!$9:$9)</f>
        <v>#REF!</v>
      </c>
      <c r="Q55" s="170" t="e">
        <f ca="true">SUMIF('Bank Rec info'!$7:$7,Q$7,'Bank Rec info'!$9:$9)</f>
        <v>#REF!</v>
      </c>
      <c r="R55" s="170" t="e">
        <f ca="true">SUMIF('Bank Rec info'!$7:$7,R$7,'Bank Rec info'!$9:$9)</f>
        <v>#REF!</v>
      </c>
      <c r="S55" s="170" t="e">
        <f ca="true">SUMIF('Bank Rec info'!$7:$7,S$7,'Bank Rec info'!$9:$9)</f>
        <v>#REF!</v>
      </c>
      <c r="T55" s="170" t="e">
        <f ca="true">SUMIF('Bank Rec info'!$7:$7,T$7,'Bank Rec info'!$9:$9)</f>
        <v>#REF!</v>
      </c>
      <c r="U55" s="170" t="e">
        <f ca="true">SUMIF('Bank Rec info'!$7:$7,U$7,'Bank Rec info'!$9:$9)</f>
        <v>#REF!</v>
      </c>
      <c r="V55" s="169" t="e">
        <f t="shared" ref="V55:V62" ca="true" si="23">+SUM(P55:U55)</f>
        <v>#REF!</v>
      </c>
      <c r="W55" s="170" t="e">
        <f ca="true">SUMIF('Bank Rec info'!$7:$7,W$7,'Bank Rec info'!$9:$9)</f>
        <v>#REF!</v>
      </c>
      <c r="X55" s="170" t="e">
        <f ca="true">SUMIF('Bank Rec info'!$7:$7,X$7,'Bank Rec info'!$9:$9)</f>
        <v>#REF!</v>
      </c>
      <c r="Y55" s="178" t="e">
        <f t="shared" ref="Y55:Y62" ca="true" si="24">SUM(V55:X55)</f>
        <v>#REF!</v>
      </c>
      <c r="Z55" s="170" t="e">
        <f ca="true">SUMIF('Bank Rec info'!$7:$7,Z$7,'Bank Rec info'!$9:$9)</f>
        <v>#REF!</v>
      </c>
      <c r="AA55" s="170" t="e">
        <f ca="true">SUMIF('Bank Rec info'!$7:$7,AA$7,'Bank Rec info'!$9:$9)</f>
        <v>#REF!</v>
      </c>
      <c r="AB55" s="178" t="e">
        <f t="shared" ref="AB55:AB62" ca="true" si="25">+SUM(Z55:AA55)</f>
        <v>#REF!</v>
      </c>
      <c r="AC55" s="170" t="e">
        <f ca="true">SUMIF('Bank Rec info'!$7:$7,AC$7,'Bank Rec info'!$9:$9)</f>
        <v>#REF!</v>
      </c>
      <c r="AD55" s="170" t="e">
        <f ca="true">SUMIF('Bank Rec info'!$7:$7,AD$7,'Bank Rec info'!$9:$9)</f>
        <v>#REF!</v>
      </c>
      <c r="AE55" s="170" t="e">
        <f ca="true">SUMIF('Bank Rec info'!$7:$7,AE$7,'Bank Rec info'!$9:$9)</f>
        <v>#REF!</v>
      </c>
      <c r="AF55" s="170" t="e">
        <f ca="true">SUMIF('Bank Rec info'!$7:$7,AF$7,'Bank Rec info'!$9:$9)</f>
        <v>#REF!</v>
      </c>
      <c r="AG55" s="170" t="e">
        <f ca="true">SUMIF('Bank Rec info'!$7:$7,AG$7,'Bank Rec info'!$9:$9)</f>
        <v>#REF!</v>
      </c>
      <c r="AH55" s="170" t="e">
        <f ca="true">SUMIF('Bank Rec info'!$7:$7,AH$7,'Bank Rec info'!$9:$9)</f>
        <v>#REF!</v>
      </c>
      <c r="AI55" s="170" t="e">
        <f ca="true">SUMIF('Bank Rec info'!$7:$7,AI$7,'Bank Rec info'!$9:$9)</f>
        <v>#REF!</v>
      </c>
      <c r="AJ55" s="170" t="e">
        <f ca="true">SUMIF('Bank Rec info'!$7:$7,AJ$7,'Bank Rec info'!$9:$9)</f>
        <v>#REF!</v>
      </c>
      <c r="AK55" s="170" t="e">
        <f ca="true">SUMIF('Bank Rec info'!$7:$7,AK$7,'Bank Rec info'!$9:$9)</f>
        <v>#REF!</v>
      </c>
      <c r="AL55" s="178" t="e">
        <f t="shared" ref="AL55:AL62" ca="true" si="26">SUM(AF55:AK55)</f>
        <v>#REF!</v>
      </c>
      <c r="AM55" s="170" t="e">
        <f ca="true">SUMIF('Bank Rec info'!$7:$7,AM$7,'Bank Rec info'!$9:$9)</f>
        <v>#REF!</v>
      </c>
      <c r="AN55" s="170" t="e">
        <f ca="true">SUMIF('Bank Rec info'!$7:$7,AN$7,'Bank Rec info'!$9:$9)</f>
        <v>#REF!</v>
      </c>
      <c r="AO55" s="170" t="e">
        <f ca="true">SUMIF('Bank Rec info'!$7:$7,AO$7,'Bank Rec info'!$9:$9)</f>
        <v>#REF!</v>
      </c>
      <c r="AP55" s="170" t="e">
        <f ca="true">SUMIF('Bank Rec info'!$7:$7,AP$7,'Bank Rec info'!$9:$9)</f>
        <v>#REF!</v>
      </c>
      <c r="AQ55" s="170" t="e">
        <f ca="true">SUMIF('Bank Rec info'!$7:$7,AQ$7,'Bank Rec info'!$9:$9)</f>
        <v>#REF!</v>
      </c>
      <c r="AR55" s="170" t="e">
        <f ca="true">SUMIF('Bank Rec info'!$7:$7,AR$7,'Bank Rec info'!$9:$9)</f>
        <v>#REF!</v>
      </c>
      <c r="AS55" s="170" t="e">
        <f ca="true">SUMIF('Bank Rec info'!$7:$7,AS$7,'Bank Rec info'!$9:$9)</f>
        <v>#REF!</v>
      </c>
      <c r="AT55" s="170" t="e">
        <f ca="true">SUMIF('Bank Rec info'!$7:$7,AT$7,'Bank Rec info'!$9:$9)</f>
        <v>#REF!</v>
      </c>
      <c r="AU55" s="170" t="e">
        <f ca="true">SUMIF('Bank Rec info'!$7:$7,AU$7,'Bank Rec info'!$9:$9)</f>
        <v>#REF!</v>
      </c>
      <c r="AV55" s="170" t="e">
        <f ca="true">SUMIF('Bank Rec info'!$7:$7,AV$7,'Bank Rec info'!$9:$9)</f>
        <v>#REF!</v>
      </c>
      <c r="AW55" s="170" t="e">
        <f ca="true">SUMIF('Bank Rec info'!$7:$7,AW$7,'Bank Rec info'!$9:$9)</f>
        <v>#REF!</v>
      </c>
      <c r="AX55" s="170" t="e">
        <f ca="true">SUMIF('Bank Rec info'!$7:$7,AX$7,'Bank Rec info'!$9:$9)</f>
        <v>#REF!</v>
      </c>
      <c r="AY55" s="170" t="e">
        <f ca="true">SUMIF('Bank Rec info'!$7:$7,AY$7,'Bank Rec info'!$9:$9)</f>
        <v>#REF!</v>
      </c>
      <c r="AZ55" s="170" t="e">
        <f ca="true">SUMIF('Bank Rec info'!$7:$7,AZ$7,'Bank Rec info'!$9:$9)</f>
        <v>#REF!</v>
      </c>
      <c r="BA55" s="170" t="e">
        <f ca="true">SUMIF('Bank Rec info'!$7:$7,BA$7,'Bank Rec info'!$9:$9)</f>
        <v>#REF!</v>
      </c>
      <c r="BB55" s="170" t="e">
        <f ca="true">SUMIF('Bank Rec info'!$7:$7,BB$7,'Bank Rec info'!$9:$9)</f>
        <v>#REF!</v>
      </c>
      <c r="BC55" s="170" t="e">
        <f ca="true">SUMIF('Bank Rec info'!$7:$7,BC$7,'Bank Rec info'!$9:$9)</f>
        <v>#REF!</v>
      </c>
      <c r="BD55" s="170" t="e">
        <f ca="true">SUMIF('Bank Rec info'!$7:$7,BD$7,'Bank Rec info'!$9:$9)</f>
        <v>#REF!</v>
      </c>
      <c r="BE55" s="170" t="e">
        <f ca="true">SUMIF('Bank Rec info'!$7:$7,BE$7,'Bank Rec info'!$9:$9)</f>
        <v>#REF!</v>
      </c>
      <c r="BF55" s="170" t="e">
        <f ca="true">SUMIF('Bank Rec info'!$7:$7,BF$7,'Bank Rec info'!$9:$9)</f>
        <v>#REF!</v>
      </c>
      <c r="BG55" s="170" t="e">
        <f ca="true">SUMIF('Bank Rec info'!$7:$7,BG$7,'Bank Rec info'!$9:$9)</f>
        <v>#REF!</v>
      </c>
      <c r="BH55" s="170" t="e">
        <f ca="true">SUMIF('Bank Rec info'!$7:$7,BH$7,'Bank Rec info'!$9:$9)</f>
        <v>#REF!</v>
      </c>
      <c r="BI55" s="170" t="e">
        <f ca="true">SUMIF('Bank Rec info'!$7:$7,BI$7,'Bank Rec info'!$9:$9)</f>
        <v>#REF!</v>
      </c>
      <c r="BJ55" s="170" t="e">
        <f ca="true">SUMIF('Bank Rec info'!$7:$7,BJ$7,'Bank Rec info'!$9:$9)</f>
        <v>#REF!</v>
      </c>
      <c r="BK55" s="170" t="e">
        <f ca="true">SUMIF('Bank Rec info'!$7:$7,BK$7,'Bank Rec info'!$9:$9)</f>
        <v>#REF!</v>
      </c>
      <c r="BL55" s="170" t="e">
        <f ca="true">SUMIF('Bank Rec info'!$7:$7,BL$7,'Bank Rec info'!$9:$9)</f>
        <v>#REF!</v>
      </c>
      <c r="BM55" s="170" t="e">
        <f ca="true">SUMIF('Bank Rec info'!$7:$7,BM$7,'Bank Rec info'!$9:$9)</f>
        <v>#REF!</v>
      </c>
      <c r="BN55" s="170" t="e">
        <f ca="true">SUMIF('Bank Rec info'!$7:$7,BN$7,'Bank Rec info'!$9:$9)</f>
        <v>#REF!</v>
      </c>
      <c r="BO55" s="170" t="e">
        <f ca="true">SUMIF('Bank Rec info'!$7:$7,BO$7,'Bank Rec info'!$9:$9)</f>
        <v>#REF!</v>
      </c>
      <c r="BP55" s="170" t="e">
        <f ca="true">SUMIF('Bank Rec info'!$7:$7,BP$7,'Bank Rec info'!$9:$9)</f>
        <v>#REF!</v>
      </c>
      <c r="BQ55" s="170" t="e">
        <f ca="true">SUMIF('Bank Rec info'!$7:$7,BQ$7,'Bank Rec info'!$9:$9)</f>
        <v>#REF!</v>
      </c>
      <c r="BR55" s="170" t="e">
        <f ca="true">SUMIF('Bank Rec info'!$7:$7,BR$7,'Bank Rec info'!$9:$9)</f>
        <v>#REF!</v>
      </c>
      <c r="BS55" s="170" t="e">
        <f ca="true">SUMIF('Bank Rec info'!$7:$7,BS$7,'Bank Rec info'!$9:$9)</f>
        <v>#REF!</v>
      </c>
      <c r="BT55" s="170" t="e">
        <f ca="true">SUMIF('Bank Rec info'!$7:$7,BT$7,'Bank Rec info'!$9:$9)</f>
        <v>#REF!</v>
      </c>
      <c r="BU55" s="170" t="e">
        <f ca="true">SUMIF('Bank Rec info'!$7:$7,BU$7,'Bank Rec info'!$9:$9)</f>
        <v>#REF!</v>
      </c>
      <c r="BV55" s="170" t="e">
        <f ca="true">SUMIF('Bank Rec info'!$7:$7,BV$7,'Bank Rec info'!$9:$9)</f>
        <v>#REF!</v>
      </c>
      <c r="BW55" s="170" t="e">
        <f ca="true">SUMIF('Bank Rec info'!$7:$7,BW$7,'Bank Rec info'!$9:$9)</f>
        <v>#REF!</v>
      </c>
      <c r="BX55" s="170" t="e">
        <f ca="true">SUMIF('Bank Rec info'!$7:$7,BX$7,'Bank Rec info'!$9:$9)</f>
        <v>#REF!</v>
      </c>
      <c r="BY55" s="170" t="e">
        <f ca="true">SUMIF('Bank Rec info'!$7:$7,BY$7,'Bank Rec info'!$9:$9)</f>
        <v>#REF!</v>
      </c>
      <c r="BZ55" s="170" t="e">
        <f ca="true">SUMIF('Bank Rec info'!$7:$7,BZ$7,'Bank Rec info'!$9:$9)</f>
        <v>#REF!</v>
      </c>
      <c r="CA55" s="170" t="e">
        <f ca="true">SUMIF('Bank Rec info'!$7:$7,CA$7,'Bank Rec info'!$9:$9)</f>
        <v>#REF!</v>
      </c>
      <c r="CB55" s="170" t="e">
        <f ca="true">SUMIF('Bank Rec info'!$7:$7,CB$7,'Bank Rec info'!$9:$9)</f>
        <v>#REF!</v>
      </c>
      <c r="CC55" s="170" t="e">
        <f ca="true">SUMIF('Bank Rec info'!$7:$7,CC$7,'Bank Rec info'!$9:$9)</f>
        <v>#REF!</v>
      </c>
      <c r="CD55" s="170" t="e">
        <f ca="true">SUMIF('Bank Rec info'!$7:$7,CD$7,'Bank Rec info'!$9:$9)</f>
        <v>#REF!</v>
      </c>
      <c r="CE55" s="170" t="e">
        <f ca="true">SUMIF('Bank Rec info'!$7:$7,CE$7,'Bank Rec info'!$9:$9)</f>
        <v>#REF!</v>
      </c>
      <c r="CF55" s="170" t="e">
        <f ca="true">SUMIF('Bank Rec info'!$7:$7,CF$7,'Bank Rec info'!$9:$9)</f>
        <v>#REF!</v>
      </c>
      <c r="CG55" s="170" t="e">
        <f ca="true">SUMIF('Bank Rec info'!$7:$7,CG$7,'Bank Rec info'!$9:$9)</f>
        <v>#REF!</v>
      </c>
      <c r="CH55" s="170" t="e">
        <f ca="true">SUMIF('Bank Rec info'!$7:$7,CH$7,'Bank Rec info'!$9:$9)</f>
        <v>#REF!</v>
      </c>
      <c r="CI55" s="170" t="e">
        <f ca="true">SUMIF('Bank Rec info'!$7:$7,CI$7,'Bank Rec info'!$9:$9)</f>
        <v>#REF!</v>
      </c>
      <c r="CJ55" s="170" t="e">
        <f ca="true">SUMIF('Bank Rec info'!$7:$7,CJ$7,'Bank Rec info'!$9:$9)</f>
        <v>#REF!</v>
      </c>
      <c r="CK55" s="170" t="e">
        <f ca="true">SUMIF('Bank Rec info'!$7:$7,CK$7,'Bank Rec info'!$9:$9)</f>
        <v>#REF!</v>
      </c>
      <c r="CL55" s="170" t="e">
        <f ca="true">SUMIF('Bank Rec info'!$7:$7,CL$7,'Bank Rec info'!$9:$9)</f>
        <v>#REF!</v>
      </c>
      <c r="CM55" s="170" t="e">
        <f ca="true">SUMIF('Bank Rec info'!$7:$7,CM$7,'Bank Rec info'!$9:$9)</f>
        <v>#REF!</v>
      </c>
      <c r="CN55" s="170" t="e">
        <f ca="true">SUMIF('Bank Rec info'!$7:$7,CN$7,'Bank Rec info'!$9:$9)</f>
        <v>#REF!</v>
      </c>
      <c r="CO55" s="170" t="e">
        <f ca="true">SUMIF('Bank Rec info'!$7:$7,CO$7,'Bank Rec info'!$9:$9)</f>
        <v>#REF!</v>
      </c>
      <c r="CP55" s="170"/>
      <c r="CQ55" s="178" t="e">
        <f t="shared" ref="CQ55:CQ62" ca="true" si="27">+SUM(AM55:CP55)</f>
        <v>#REF!</v>
      </c>
      <c r="CR55" s="178" t="e">
        <f t="shared" ref="CR55:CR62" ca="true" si="28">SUM(AL55,CQ55)</f>
        <v>#REF!</v>
      </c>
      <c r="CS55" s="178" t="e">
        <f t="shared" ref="CS55:CS62" ca="true" si="29">SUM(CY55:CY55)</f>
        <v>#REF!</v>
      </c>
      <c r="CT55" s="185" t="e">
        <f ca="true">SUMIF('Bank Rec info'!$7:$7,CT$7,'Bank Rec info'!$9:$9)</f>
        <v>#REF!</v>
      </c>
      <c r="CU55" s="170" t="e">
        <f ca="true">SUMIF('Bank Rec info'!$7:$7,CU$7,'Bank Rec info'!$9:$9)</f>
        <v>#REF!</v>
      </c>
      <c r="CV55" s="170" t="e">
        <f ca="true">SUMIF('Bank Rec info'!$7:$7,CV$7,'Bank Rec info'!$9:$9)</f>
        <v>#REF!</v>
      </c>
      <c r="CW55" s="189" t="e">
        <f ca="true">SUMIF('Bank Rec info'!$7:$7,CW$7,'Bank Rec info'!$9:$9)</f>
        <v>#REF!</v>
      </c>
      <c r="CX55" s="189">
        <f ca="true">SUMIF('Bank Rec info'!$7:$7,CX$7,'Bank Rec info'!$9:$9)</f>
        <v>0</v>
      </c>
      <c r="CY55" s="189" t="e">
        <f t="shared" ref="CY55:CY61" ca="true" si="30">SUM(CT55:CX55)</f>
        <v>#REF!</v>
      </c>
      <c r="CZ55" s="178" t="e">
        <f ca="true">SUMIF('Bank Rec info'!$7:$7,CZ$7,'Bank Rec info'!$9:$9)</f>
        <v>#REF!</v>
      </c>
      <c r="DA55" s="178" t="e">
        <f ca="true">SUMIF('Bank Rec info'!$7:$7,DA$7,'Bank Rec info'!$9:$9)</f>
        <v>#REF!</v>
      </c>
      <c r="DB55" s="193"/>
    </row>
    <row r="56" spans="1:106">
      <c r="A56" s="161">
        <v>41</v>
      </c>
      <c r="B56" s="161"/>
      <c r="D56" s="154" t="s">
        <v>13902</v>
      </c>
      <c r="E56" s="169" t="e">
        <f t="shared" ca="true" si="17"/>
        <v>#REF!</v>
      </c>
      <c r="F56" s="169" t="e">
        <f t="shared" ca="true" si="20"/>
        <v>#REF!</v>
      </c>
      <c r="G56" s="172" t="e">
        <f ca="true">SUMIF('Bank Rec info'!$7:$7,G$7,'Bank Rec info'!$11:$11)-G51</f>
        <v>#REF!</v>
      </c>
      <c r="H56" s="170" t="e">
        <f ca="true">SUMIF('Bank Rec info'!$7:$7,H$7,'Bank Rec info'!$11:$11)-H51</f>
        <v>#REF!</v>
      </c>
      <c r="I56" s="170" t="e">
        <f ca="true">SUMIF('Bank Rec info'!$7:$7,I$7,'Bank Rec info'!$11:$11)-I51</f>
        <v>#REF!</v>
      </c>
      <c r="J56" s="170" t="e">
        <f ca="true">SUMIF('Bank Rec info'!$7:$7,J$7,'Bank Rec info'!$11:$11)-J51</f>
        <v>#REF!</v>
      </c>
      <c r="K56" s="170" t="e">
        <f ca="true">SUMIF('Bank Rec info'!$7:$7,K$7,'Bank Rec info'!$11:$11)-K51</f>
        <v>#REF!</v>
      </c>
      <c r="L56" s="178" t="e">
        <f t="shared" ca="true" si="21"/>
        <v>#REF!</v>
      </c>
      <c r="M56" s="170" t="e">
        <f ca="true">SUMIF('Bank Rec info'!$7:$7,M$7,'Bank Rec info'!$11:$11)-M51</f>
        <v>#REF!</v>
      </c>
      <c r="N56" s="170" t="e">
        <f ca="true">SUMIF('Bank Rec info'!$7:$7,N$7,'Bank Rec info'!$11:$11)-N51</f>
        <v>#REF!</v>
      </c>
      <c r="O56" s="178" t="e">
        <f t="shared" ca="true" si="22"/>
        <v>#REF!</v>
      </c>
      <c r="P56" s="170" t="e">
        <f ca="true">SUMIF('Bank Rec info'!$7:$7,P$7,'Bank Rec info'!$11:$11)-P51</f>
        <v>#REF!</v>
      </c>
      <c r="Q56" s="170" t="e">
        <f ca="true">SUMIF('Bank Rec info'!$7:$7,Q$7,'Bank Rec info'!$11:$11)-Q51</f>
        <v>#REF!</v>
      </c>
      <c r="R56" s="170" t="e">
        <f ca="true">SUMIF('Bank Rec info'!$7:$7,R$7,'Bank Rec info'!$11:$11)-R51</f>
        <v>#REF!</v>
      </c>
      <c r="S56" s="170" t="e">
        <f ca="true">SUMIF('Bank Rec info'!$7:$7,S$7,'Bank Rec info'!$11:$11)-S51</f>
        <v>#REF!</v>
      </c>
      <c r="T56" s="170" t="e">
        <f ca="true">SUMIF('Bank Rec info'!$7:$7,T$7,'Bank Rec info'!$11:$11)-T51</f>
        <v>#REF!</v>
      </c>
      <c r="U56" s="170" t="e">
        <f ca="true">SUMIF('Bank Rec info'!$7:$7,U$7,'Bank Rec info'!$11:$11)-U51</f>
        <v>#REF!</v>
      </c>
      <c r="V56" s="169" t="e">
        <f t="shared" ca="true" si="23"/>
        <v>#REF!</v>
      </c>
      <c r="W56" s="170" t="e">
        <f ca="true">SUMIF('Bank Rec info'!$7:$7,W$7,'Bank Rec info'!$11:$11)-W51</f>
        <v>#REF!</v>
      </c>
      <c r="X56" s="170" t="e">
        <f ca="true">SUMIF('Bank Rec info'!$7:$7,X$7,'Bank Rec info'!$11:$11)-X51</f>
        <v>#REF!</v>
      </c>
      <c r="Y56" s="178" t="e">
        <f t="shared" ca="true" si="24"/>
        <v>#REF!</v>
      </c>
      <c r="Z56" s="170" t="e">
        <f ca="true">SUMIF('Bank Rec info'!$7:$7,Z$7,'Bank Rec info'!$11:$11)-Z51</f>
        <v>#REF!</v>
      </c>
      <c r="AA56" s="170" t="e">
        <f ca="true">SUMIF('Bank Rec info'!$7:$7,AA$7,'Bank Rec info'!$11:$11)-AA51</f>
        <v>#REF!</v>
      </c>
      <c r="AB56" s="178" t="e">
        <f t="shared" ca="true" si="25"/>
        <v>#REF!</v>
      </c>
      <c r="AC56" s="170" t="e">
        <f ca="true">SUMIF('Bank Rec info'!$7:$7,AC$7,'Bank Rec info'!$11:$11)-AC51</f>
        <v>#REF!</v>
      </c>
      <c r="AD56" s="170" t="e">
        <f ca="true">SUMIF('Bank Rec info'!$7:$7,AD$7,'Bank Rec info'!$11:$11)-AD51</f>
        <v>#REF!</v>
      </c>
      <c r="AE56" s="170" t="e">
        <f ca="true">SUMIF('Bank Rec info'!$7:$7,AE$7,'Bank Rec info'!$11:$11)-AE51</f>
        <v>#REF!</v>
      </c>
      <c r="AF56" s="170" t="e">
        <f ca="true">SUMIF('Bank Rec info'!$7:$7,AF$7,'Bank Rec info'!$11:$11)-AF51</f>
        <v>#REF!</v>
      </c>
      <c r="AG56" s="170" t="e">
        <f ca="true">SUMIF('Bank Rec info'!$7:$7,AG$7,'Bank Rec info'!$11:$11)-AG51</f>
        <v>#REF!</v>
      </c>
      <c r="AH56" s="170" t="e">
        <f ca="true">SUMIF('Bank Rec info'!$7:$7,AH$7,'Bank Rec info'!$11:$11)-AH51</f>
        <v>#REF!</v>
      </c>
      <c r="AI56" s="170" t="e">
        <f ca="true">SUMIF('Bank Rec info'!$7:$7,AI$7,'Bank Rec info'!$11:$11)-AI51</f>
        <v>#REF!</v>
      </c>
      <c r="AJ56" s="170" t="e">
        <f ca="true">SUMIF('Bank Rec info'!$7:$7,AJ$7,'Bank Rec info'!$11:$11)-AJ51</f>
        <v>#REF!</v>
      </c>
      <c r="AK56" s="170" t="e">
        <f ca="true">SUMIF('Bank Rec info'!$7:$7,AK$7,'Bank Rec info'!$11:$11)-AK51</f>
        <v>#REF!</v>
      </c>
      <c r="AL56" s="178" t="e">
        <f t="shared" ca="true" si="26"/>
        <v>#REF!</v>
      </c>
      <c r="AM56" s="170" t="e">
        <f ca="true">SUMIF('Bank Rec info'!$7:$7,AM$7,'Bank Rec info'!$11:$11)-AM51</f>
        <v>#REF!</v>
      </c>
      <c r="AN56" s="170" t="e">
        <f ca="true">SUMIF('Bank Rec info'!$7:$7,AN$7,'Bank Rec info'!$11:$11)-AN51</f>
        <v>#REF!</v>
      </c>
      <c r="AO56" s="170" t="e">
        <f ca="true">SUMIF('Bank Rec info'!$7:$7,AO$7,'Bank Rec info'!$11:$11)-AO51</f>
        <v>#REF!</v>
      </c>
      <c r="AP56" s="170" t="e">
        <f ca="true">SUMIF('Bank Rec info'!$7:$7,AP$7,'Bank Rec info'!$11:$11)-AP51</f>
        <v>#REF!</v>
      </c>
      <c r="AQ56" s="170" t="e">
        <f ca="true">SUMIF('Bank Rec info'!$7:$7,AQ$7,'Bank Rec info'!$11:$11)-AQ51</f>
        <v>#REF!</v>
      </c>
      <c r="AR56" s="170" t="e">
        <f ca="true">SUMIF('Bank Rec info'!$7:$7,AR$7,'Bank Rec info'!$11:$11)-AR51</f>
        <v>#REF!</v>
      </c>
      <c r="AS56" s="170" t="e">
        <f ca="true">SUMIF('Bank Rec info'!$7:$7,AS$7,'Bank Rec info'!$11:$11)-AS51</f>
        <v>#REF!</v>
      </c>
      <c r="AT56" s="170" t="e">
        <f ca="true">SUMIF('Bank Rec info'!$7:$7,AT$7,'Bank Rec info'!$11:$11)-AT51</f>
        <v>#REF!</v>
      </c>
      <c r="AU56" s="170" t="e">
        <f ca="true">SUMIF('Bank Rec info'!$7:$7,AU$7,'Bank Rec info'!$11:$11)-AU51</f>
        <v>#REF!</v>
      </c>
      <c r="AV56" s="170" t="e">
        <f ca="true">SUMIF('Bank Rec info'!$7:$7,AV$7,'Bank Rec info'!$11:$11)-AV51</f>
        <v>#REF!</v>
      </c>
      <c r="AW56" s="170" t="e">
        <f ca="true">SUMIF('Bank Rec info'!$7:$7,AW$7,'Bank Rec info'!$11:$11)-AW51</f>
        <v>#REF!</v>
      </c>
      <c r="AX56" s="170" t="e">
        <f ca="true">SUMIF('Bank Rec info'!$7:$7,AX$7,'Bank Rec info'!$11:$11)-AX51</f>
        <v>#REF!</v>
      </c>
      <c r="AY56" s="170" t="e">
        <f ca="true">SUMIF('Bank Rec info'!$7:$7,AY$7,'Bank Rec info'!$11:$11)-AY51</f>
        <v>#REF!</v>
      </c>
      <c r="AZ56" s="170" t="e">
        <f ca="true">SUMIF('Bank Rec info'!$7:$7,AZ$7,'Bank Rec info'!$11:$11)-AZ51</f>
        <v>#REF!</v>
      </c>
      <c r="BA56" s="170" t="e">
        <f ca="true">SUMIF('Bank Rec info'!$7:$7,BA$7,'Bank Rec info'!$11:$11)-BA51</f>
        <v>#REF!</v>
      </c>
      <c r="BB56" s="170" t="e">
        <f ca="true">SUMIF('Bank Rec info'!$7:$7,BB$7,'Bank Rec info'!$11:$11)-BB51</f>
        <v>#REF!</v>
      </c>
      <c r="BC56" s="170" t="e">
        <f ca="true">SUMIF('Bank Rec info'!$7:$7,BC$7,'Bank Rec info'!$11:$11)-BC51</f>
        <v>#REF!</v>
      </c>
      <c r="BD56" s="170" t="e">
        <f ca="true">SUMIF('Bank Rec info'!$7:$7,BD$7,'Bank Rec info'!$11:$11)-BD51</f>
        <v>#REF!</v>
      </c>
      <c r="BE56" s="170" t="e">
        <f ca="true">SUMIF('Bank Rec info'!$7:$7,BE$7,'Bank Rec info'!$11:$11)-BE51</f>
        <v>#REF!</v>
      </c>
      <c r="BF56" s="170" t="e">
        <f ca="true">SUMIF('Bank Rec info'!$7:$7,BF$7,'Bank Rec info'!$11:$11)-BF51</f>
        <v>#REF!</v>
      </c>
      <c r="BG56" s="170" t="e">
        <f ca="true">SUMIF('Bank Rec info'!$7:$7,BG$7,'Bank Rec info'!$11:$11)-BG51</f>
        <v>#REF!</v>
      </c>
      <c r="BH56" s="170" t="e">
        <f ca="true">SUMIF('Bank Rec info'!$7:$7,BH$7,'Bank Rec info'!$11:$11)-BH51</f>
        <v>#REF!</v>
      </c>
      <c r="BI56" s="170" t="e">
        <f ca="true">SUMIF('Bank Rec info'!$7:$7,BI$7,'Bank Rec info'!$11:$11)-BI51</f>
        <v>#REF!</v>
      </c>
      <c r="BJ56" s="170" t="e">
        <f ca="true">SUMIF('Bank Rec info'!$7:$7,BJ$7,'Bank Rec info'!$11:$11)-BJ51</f>
        <v>#REF!</v>
      </c>
      <c r="BK56" s="170" t="e">
        <f ca="true">SUMIF('Bank Rec info'!$7:$7,BK$7,'Bank Rec info'!$11:$11)-BK51</f>
        <v>#REF!</v>
      </c>
      <c r="BL56" s="170" t="e">
        <f ca="true">SUMIF('Bank Rec info'!$7:$7,BL$7,'Bank Rec info'!$11:$11)-BL51</f>
        <v>#REF!</v>
      </c>
      <c r="BM56" s="170" t="e">
        <f ca="true">SUMIF('Bank Rec info'!$7:$7,BM$7,'Bank Rec info'!$11:$11)-BM51</f>
        <v>#REF!</v>
      </c>
      <c r="BN56" s="170" t="e">
        <f ca="true">SUMIF('Bank Rec info'!$7:$7,BN$7,'Bank Rec info'!$11:$11)-BN51</f>
        <v>#REF!</v>
      </c>
      <c r="BO56" s="170" t="e">
        <f ca="true">SUMIF('Bank Rec info'!$7:$7,BO$7,'Bank Rec info'!$11:$11)-BO51</f>
        <v>#REF!</v>
      </c>
      <c r="BP56" s="170" t="e">
        <f ca="true">SUMIF('Bank Rec info'!$7:$7,BP$7,'Bank Rec info'!$11:$11)-BP51</f>
        <v>#REF!</v>
      </c>
      <c r="BQ56" s="170" t="e">
        <f ca="true">SUMIF('Bank Rec info'!$7:$7,BQ$7,'Bank Rec info'!$11:$11)-BQ51</f>
        <v>#REF!</v>
      </c>
      <c r="BR56" s="170" t="e">
        <f ca="true">SUMIF('Bank Rec info'!$7:$7,BR$7,'Bank Rec info'!$11:$11)-BR51</f>
        <v>#REF!</v>
      </c>
      <c r="BS56" s="170" t="e">
        <f ca="true">SUMIF('Bank Rec info'!$7:$7,BS$7,'Bank Rec info'!$11:$11)-BS51</f>
        <v>#REF!</v>
      </c>
      <c r="BT56" s="170" t="e">
        <f ca="true">SUMIF('Bank Rec info'!$7:$7,BT$7,'Bank Rec info'!$11:$11)-BT51</f>
        <v>#REF!</v>
      </c>
      <c r="BU56" s="170" t="e">
        <f ca="true">SUMIF('Bank Rec info'!$7:$7,BU$7,'Bank Rec info'!$11:$11)-BU51</f>
        <v>#REF!</v>
      </c>
      <c r="BV56" s="170" t="e">
        <f ca="true">SUMIF('Bank Rec info'!$7:$7,BV$7,'Bank Rec info'!$11:$11)-BV51</f>
        <v>#REF!</v>
      </c>
      <c r="BW56" s="170" t="e">
        <f ca="true">SUMIF('Bank Rec info'!$7:$7,BW$7,'Bank Rec info'!$11:$11)-BW51</f>
        <v>#REF!</v>
      </c>
      <c r="BX56" s="170" t="e">
        <f ca="true">SUMIF('Bank Rec info'!$7:$7,BX$7,'Bank Rec info'!$11:$11)-BX51</f>
        <v>#REF!</v>
      </c>
      <c r="BY56" s="170" t="e">
        <f ca="true">SUMIF('Bank Rec info'!$7:$7,BY$7,'Bank Rec info'!$11:$11)-BY51</f>
        <v>#REF!</v>
      </c>
      <c r="BZ56" s="170" t="e">
        <f ca="true">SUMIF('Bank Rec info'!$7:$7,BZ$7,'Bank Rec info'!$11:$11)-BZ51</f>
        <v>#REF!</v>
      </c>
      <c r="CA56" s="170" t="e">
        <f ca="true">SUMIF('Bank Rec info'!$7:$7,CA$7,'Bank Rec info'!$11:$11)-CA51</f>
        <v>#REF!</v>
      </c>
      <c r="CB56" s="170" t="e">
        <f ca="true">SUMIF('Bank Rec info'!$7:$7,CB$7,'Bank Rec info'!$11:$11)-CB51</f>
        <v>#REF!</v>
      </c>
      <c r="CC56" s="170" t="e">
        <f ca="true">SUMIF('Bank Rec info'!$7:$7,CC$7,'Bank Rec info'!$11:$11)-CC51</f>
        <v>#REF!</v>
      </c>
      <c r="CD56" s="170" t="e">
        <f ca="true">SUMIF('Bank Rec info'!$7:$7,CD$7,'Bank Rec info'!$11:$11)-CD51</f>
        <v>#REF!</v>
      </c>
      <c r="CE56" s="170" t="e">
        <f ca="true">SUMIF('Bank Rec info'!$7:$7,CE$7,'Bank Rec info'!$11:$11)-CE51</f>
        <v>#REF!</v>
      </c>
      <c r="CF56" s="170" t="e">
        <f ca="true">SUMIF('Bank Rec info'!$7:$7,CF$7,'Bank Rec info'!$11:$11)-CF51</f>
        <v>#REF!</v>
      </c>
      <c r="CG56" s="170" t="e">
        <f ca="true">SUMIF('Bank Rec info'!$7:$7,CG$7,'Bank Rec info'!$11:$11)-CG51</f>
        <v>#REF!</v>
      </c>
      <c r="CH56" s="170" t="e">
        <f ca="true">SUMIF('Bank Rec info'!$7:$7,CH$7,'Bank Rec info'!$11:$11)-CH51</f>
        <v>#REF!</v>
      </c>
      <c r="CI56" s="170" t="e">
        <f ca="true">SUMIF('Bank Rec info'!$7:$7,CI$7,'Bank Rec info'!$11:$11)-CI51</f>
        <v>#REF!</v>
      </c>
      <c r="CJ56" s="170" t="e">
        <f ca="true">SUMIF('Bank Rec info'!$7:$7,CJ$7,'Bank Rec info'!$11:$11)-CJ51</f>
        <v>#REF!</v>
      </c>
      <c r="CK56" s="170" t="e">
        <f ca="true">SUMIF('Bank Rec info'!$7:$7,CK$7,'Bank Rec info'!$11:$11)-CK51</f>
        <v>#REF!</v>
      </c>
      <c r="CL56" s="170" t="e">
        <f ca="true">SUMIF('Bank Rec info'!$7:$7,CL$7,'Bank Rec info'!$11:$11)-CL51</f>
        <v>#REF!</v>
      </c>
      <c r="CM56" s="170" t="e">
        <f ca="true">SUMIF('Bank Rec info'!$7:$7,CM$7,'Bank Rec info'!$11:$11)-CM51</f>
        <v>#REF!</v>
      </c>
      <c r="CN56" s="170" t="e">
        <f ca="true">SUMIF('Bank Rec info'!$7:$7,CN$7,'Bank Rec info'!$11:$11)-CN51</f>
        <v>#REF!</v>
      </c>
      <c r="CO56" s="170" t="e">
        <f ca="true">SUMIF('Bank Rec info'!$7:$7,CO$7,'Bank Rec info'!$11:$11)-CO51</f>
        <v>#REF!</v>
      </c>
      <c r="CP56" s="170"/>
      <c r="CQ56" s="178" t="e">
        <f t="shared" ca="true" si="27"/>
        <v>#REF!</v>
      </c>
      <c r="CR56" s="178" t="e">
        <f t="shared" ca="true" si="28"/>
        <v>#REF!</v>
      </c>
      <c r="CS56" s="178" t="e">
        <f t="shared" ca="true" si="29"/>
        <v>#REF!</v>
      </c>
      <c r="CT56" s="185" t="e">
        <f ca="true">SUMIF('Bank Rec info'!$7:$7,CT$7,'Bank Rec info'!$11:$11)-CT51</f>
        <v>#REF!</v>
      </c>
      <c r="CU56" s="170" t="e">
        <f ca="true">SUMIF('Bank Rec info'!$7:$7,CU$7,'Bank Rec info'!$11:$11)-CU51</f>
        <v>#REF!</v>
      </c>
      <c r="CV56" s="170" t="e">
        <f ca="true">SUMIF('Bank Rec info'!$7:$7,CV$7,'Bank Rec info'!$11:$11)-CV51</f>
        <v>#REF!</v>
      </c>
      <c r="CW56" s="189" t="e">
        <f ca="true">SUMIF('Bank Rec info'!$7:$7,CW$7,'Bank Rec info'!$11:$11)-CW51</f>
        <v>#REF!</v>
      </c>
      <c r="CX56" s="189">
        <f ca="true">SUMIF('Bank Rec info'!$7:$7,CX$7,'Bank Rec info'!$11:$11)-CX51</f>
        <v>0</v>
      </c>
      <c r="CY56" s="189" t="e">
        <f t="shared" ca="true" si="30"/>
        <v>#REF!</v>
      </c>
      <c r="CZ56" s="178" t="e">
        <f ca="true">SUMIF('Bank Rec info'!$7:$7,CZ$7,'Bank Rec info'!$11:$11)-CZ51</f>
        <v>#REF!</v>
      </c>
      <c r="DA56" s="178" t="e">
        <f ca="true">SUMIF('Bank Rec info'!$7:$7,DA$7,'Bank Rec info'!$11:$11)-DA51</f>
        <v>#REF!</v>
      </c>
      <c r="DB56" s="193"/>
    </row>
    <row r="57" spans="1:106">
      <c r="A57" s="161">
        <v>42</v>
      </c>
      <c r="B57" s="161"/>
      <c r="D57" s="154" t="s">
        <v>13903</v>
      </c>
      <c r="E57" s="169" t="e">
        <f t="shared" ca="true" si="17"/>
        <v>#REF!</v>
      </c>
      <c r="F57" s="169" t="e">
        <f t="shared" ca="true" si="20"/>
        <v>#REF!</v>
      </c>
      <c r="G57" s="172">
        <f ca="true">-SUMIF('Bank Rec info'!$7:$7,G$7,'Bank Rec info'!$19:$19)+G52</f>
        <v>-102443.39</v>
      </c>
      <c r="H57" s="170">
        <f ca="true">-SUMIF('Bank Rec info'!$7:$7,H$7,'Bank Rec info'!$19:$19)+H52</f>
        <v>0</v>
      </c>
      <c r="I57" s="170">
        <f ca="true">-SUMIF('Bank Rec info'!$7:$7,I$7,'Bank Rec info'!$19:$19)+I52</f>
        <v>0</v>
      </c>
      <c r="J57" s="170">
        <f ca="true">-SUMIF('Bank Rec info'!$7:$7,J$7,'Bank Rec info'!$19:$19)+J52</f>
        <v>0</v>
      </c>
      <c r="K57" s="170">
        <f ca="true">-SUMIF('Bank Rec info'!$7:$7,K$7,'Bank Rec info'!$19:$19)+K52</f>
        <v>-50.33</v>
      </c>
      <c r="L57" s="178">
        <f t="shared" ca="true" si="21"/>
        <v>-102493.72</v>
      </c>
      <c r="M57" s="170">
        <f ca="true">-SUMIF('Bank Rec info'!$7:$7,M$7,'Bank Rec info'!$19:$19)+M52</f>
        <v>-3392.44</v>
      </c>
      <c r="N57" s="170">
        <f ca="true">-SUMIF('Bank Rec info'!$7:$7,N$7,'Bank Rec info'!$19:$19)+N52</f>
        <v>-3306.58</v>
      </c>
      <c r="O57" s="178">
        <f t="shared" ca="true" si="22"/>
        <v>-6699.02</v>
      </c>
      <c r="P57" s="170" t="e">
        <f ca="true">-SUMIF('Bank Rec info'!$7:$7,P$7,'Bank Rec info'!$19:$19)+P52</f>
        <v>#REF!</v>
      </c>
      <c r="Q57" s="170" t="e">
        <f ca="true">-SUMIF('Bank Rec info'!$7:$7,Q$7,'Bank Rec info'!$19:$19)+Q52</f>
        <v>#REF!</v>
      </c>
      <c r="R57" s="170" t="e">
        <f ca="true">-SUMIF('Bank Rec info'!$7:$7,R$7,'Bank Rec info'!$19:$19)+R52</f>
        <v>#REF!</v>
      </c>
      <c r="S57" s="170" t="e">
        <f ca="true">-SUMIF('Bank Rec info'!$7:$7,S$7,'Bank Rec info'!$19:$19)+S52</f>
        <v>#REF!</v>
      </c>
      <c r="T57" s="170">
        <f ca="true">-SUMIF('Bank Rec info'!$7:$7,T$7,'Bank Rec info'!$19:$19)+T52</f>
        <v>0</v>
      </c>
      <c r="U57" s="170">
        <f ca="true">-SUMIF('Bank Rec info'!$7:$7,U$7,'Bank Rec info'!$19:$19)+U52</f>
        <v>0</v>
      </c>
      <c r="V57" s="169" t="e">
        <f t="shared" ca="true" si="23"/>
        <v>#REF!</v>
      </c>
      <c r="W57" s="170">
        <f ca="true">-SUMIF('Bank Rec info'!$7:$7,W$7,'Bank Rec info'!$19:$19)+W52</f>
        <v>0</v>
      </c>
      <c r="X57" s="170">
        <f ca="true">-SUMIF('Bank Rec info'!$7:$7,X$7,'Bank Rec info'!$19:$19)+X52</f>
        <v>0</v>
      </c>
      <c r="Y57" s="178" t="e">
        <f t="shared" ca="true" si="24"/>
        <v>#REF!</v>
      </c>
      <c r="Z57" s="170">
        <f ca="true">-SUMIF('Bank Rec info'!$7:$7,Z$7,'Bank Rec info'!$19:$19)+Z52</f>
        <v>0</v>
      </c>
      <c r="AA57" s="170">
        <f ca="true">-SUMIF('Bank Rec info'!$7:$7,AA$7,'Bank Rec info'!$19:$19)+AA52</f>
        <v>0</v>
      </c>
      <c r="AB57" s="178">
        <f t="shared" ca="true" si="25"/>
        <v>0</v>
      </c>
      <c r="AC57" s="170">
        <f ca="true">-SUMIF('Bank Rec info'!$7:$7,AC$7,'Bank Rec info'!$19:$19)+AC52</f>
        <v>0</v>
      </c>
      <c r="AD57" s="170">
        <f ca="true">-SUMIF('Bank Rec info'!$7:$7,AD$7,'Bank Rec info'!$19:$19)+AD52</f>
        <v>0</v>
      </c>
      <c r="AE57" s="170">
        <f ca="true">-SUMIF('Bank Rec info'!$7:$7,AE$7,'Bank Rec info'!$19:$19)+AE52</f>
        <v>0</v>
      </c>
      <c r="AF57" s="170">
        <f ca="true">-SUMIF('Bank Rec info'!$7:$7,AF$7,'Bank Rec info'!$19:$19)+AF52</f>
        <v>0</v>
      </c>
      <c r="AG57" s="170">
        <f ca="true">-SUMIF('Bank Rec info'!$7:$7,AG$7,'Bank Rec info'!$19:$19)+AG52</f>
        <v>0</v>
      </c>
      <c r="AH57" s="170">
        <f ca="true">-SUMIF('Bank Rec info'!$7:$7,AH$7,'Bank Rec info'!$19:$19)+AH52</f>
        <v>0</v>
      </c>
      <c r="AI57" s="170">
        <f ca="true">-SUMIF('Bank Rec info'!$7:$7,AI$7,'Bank Rec info'!$19:$19)+AI52</f>
        <v>0</v>
      </c>
      <c r="AJ57" s="170">
        <f ca="true">-SUMIF('Bank Rec info'!$7:$7,AJ$7,'Bank Rec info'!$19:$19)+AJ52</f>
        <v>0</v>
      </c>
      <c r="AK57" s="170">
        <f ca="true">-SUMIF('Bank Rec info'!$7:$7,AK$7,'Bank Rec info'!$19:$19)+AK52</f>
        <v>0</v>
      </c>
      <c r="AL57" s="178">
        <f t="shared" ca="true" si="26"/>
        <v>0</v>
      </c>
      <c r="AM57" s="170">
        <f ca="true">-SUMIF('Bank Rec info'!$7:$7,AM$7,'Bank Rec info'!$19:$19)+AM52</f>
        <v>0</v>
      </c>
      <c r="AN57" s="170">
        <f ca="true">-SUMIF('Bank Rec info'!$7:$7,AN$7,'Bank Rec info'!$19:$19)+AN52</f>
        <v>0</v>
      </c>
      <c r="AO57" s="170">
        <f ca="true">-SUMIF('Bank Rec info'!$7:$7,AO$7,'Bank Rec info'!$19:$19)+AO52</f>
        <v>0</v>
      </c>
      <c r="AP57" s="170">
        <f ca="true">-SUMIF('Bank Rec info'!$7:$7,AP$7,'Bank Rec info'!$19:$19)+AP52</f>
        <v>0</v>
      </c>
      <c r="AQ57" s="170">
        <f ca="true">-SUMIF('Bank Rec info'!$7:$7,AQ$7,'Bank Rec info'!$19:$19)+AQ52</f>
        <v>0</v>
      </c>
      <c r="AR57" s="170">
        <f ca="true">-SUMIF('Bank Rec info'!$7:$7,AR$7,'Bank Rec info'!$19:$19)+AR52</f>
        <v>0</v>
      </c>
      <c r="AS57" s="170">
        <f ca="true">-SUMIF('Bank Rec info'!$7:$7,AS$7,'Bank Rec info'!$19:$19)+AS52</f>
        <v>0</v>
      </c>
      <c r="AT57" s="170">
        <f ca="true">-SUMIF('Bank Rec info'!$7:$7,AT$7,'Bank Rec info'!$19:$19)+AT52</f>
        <v>0</v>
      </c>
      <c r="AU57" s="170">
        <f ca="true">-SUMIF('Bank Rec info'!$7:$7,AU$7,'Bank Rec info'!$19:$19)+AU52</f>
        <v>0</v>
      </c>
      <c r="AV57" s="170">
        <f ca="true">-SUMIF('Bank Rec info'!$7:$7,AV$7,'Bank Rec info'!$19:$19)+AV52</f>
        <v>0</v>
      </c>
      <c r="AW57" s="170">
        <f ca="true">-SUMIF('Bank Rec info'!$7:$7,AW$7,'Bank Rec info'!$19:$19)+AW52</f>
        <v>0</v>
      </c>
      <c r="AX57" s="170">
        <f ca="true">-SUMIF('Bank Rec info'!$7:$7,AX$7,'Bank Rec info'!$19:$19)+AX52</f>
        <v>0</v>
      </c>
      <c r="AY57" s="170">
        <f ca="true">-SUMIF('Bank Rec info'!$7:$7,AY$7,'Bank Rec info'!$19:$19)+AY52</f>
        <v>0</v>
      </c>
      <c r="AZ57" s="170">
        <f ca="true">-SUMIF('Bank Rec info'!$7:$7,AZ$7,'Bank Rec info'!$19:$19)+AZ52</f>
        <v>0</v>
      </c>
      <c r="BA57" s="170">
        <f ca="true">-SUMIF('Bank Rec info'!$7:$7,BA$7,'Bank Rec info'!$19:$19)+BA52</f>
        <v>0</v>
      </c>
      <c r="BB57" s="170">
        <f ca="true">-SUMIF('Bank Rec info'!$7:$7,BB$7,'Bank Rec info'!$19:$19)+BB52</f>
        <v>0</v>
      </c>
      <c r="BC57" s="170">
        <f ca="true">-SUMIF('Bank Rec info'!$7:$7,BC$7,'Bank Rec info'!$19:$19)+BC52</f>
        <v>0</v>
      </c>
      <c r="BD57" s="170">
        <f ca="true">-SUMIF('Bank Rec info'!$7:$7,BD$7,'Bank Rec info'!$19:$19)+BD52</f>
        <v>0</v>
      </c>
      <c r="BE57" s="170">
        <f ca="true">-SUMIF('Bank Rec info'!$7:$7,BE$7,'Bank Rec info'!$19:$19)+BE52</f>
        <v>0</v>
      </c>
      <c r="BF57" s="170">
        <f ca="true">-SUMIF('Bank Rec info'!$7:$7,BF$7,'Bank Rec info'!$19:$19)+BF52</f>
        <v>0</v>
      </c>
      <c r="BG57" s="170">
        <f ca="true">-SUMIF('Bank Rec info'!$7:$7,BG$7,'Bank Rec info'!$19:$19)+BG52</f>
        <v>0</v>
      </c>
      <c r="BH57" s="170">
        <f ca="true">-SUMIF('Bank Rec info'!$7:$7,BH$7,'Bank Rec info'!$19:$19)+BH52</f>
        <v>0</v>
      </c>
      <c r="BI57" s="170">
        <f ca="true">-SUMIF('Bank Rec info'!$7:$7,BI$7,'Bank Rec info'!$19:$19)+BI52</f>
        <v>0</v>
      </c>
      <c r="BJ57" s="170">
        <f ca="true">-SUMIF('Bank Rec info'!$7:$7,BJ$7,'Bank Rec info'!$19:$19)+BJ52</f>
        <v>0</v>
      </c>
      <c r="BK57" s="170">
        <f ca="true">-SUMIF('Bank Rec info'!$7:$7,BK$7,'Bank Rec info'!$19:$19)+BK52</f>
        <v>0</v>
      </c>
      <c r="BL57" s="170">
        <f ca="true">-SUMIF('Bank Rec info'!$7:$7,BL$7,'Bank Rec info'!$19:$19)+BL52</f>
        <v>0</v>
      </c>
      <c r="BM57" s="170">
        <f ca="true">-SUMIF('Bank Rec info'!$7:$7,BM$7,'Bank Rec info'!$19:$19)+BM52</f>
        <v>0</v>
      </c>
      <c r="BN57" s="170">
        <f ca="true">-SUMIF('Bank Rec info'!$7:$7,BN$7,'Bank Rec info'!$19:$19)+BN52</f>
        <v>0</v>
      </c>
      <c r="BO57" s="170">
        <f ca="true">-SUMIF('Bank Rec info'!$7:$7,BO$7,'Bank Rec info'!$19:$19)+BO52</f>
        <v>0</v>
      </c>
      <c r="BP57" s="170">
        <f ca="true">-SUMIF('Bank Rec info'!$7:$7,BP$7,'Bank Rec info'!$19:$19)+BP52</f>
        <v>0</v>
      </c>
      <c r="BQ57" s="170">
        <f ca="true">-SUMIF('Bank Rec info'!$7:$7,BQ$7,'Bank Rec info'!$19:$19)+BQ52</f>
        <v>0</v>
      </c>
      <c r="BR57" s="170">
        <f ca="true">-SUMIF('Bank Rec info'!$7:$7,BR$7,'Bank Rec info'!$19:$19)+BR52</f>
        <v>0</v>
      </c>
      <c r="BS57" s="170">
        <f ca="true">-SUMIF('Bank Rec info'!$7:$7,BS$7,'Bank Rec info'!$19:$19)+BS52</f>
        <v>0</v>
      </c>
      <c r="BT57" s="170">
        <f ca="true">-SUMIF('Bank Rec info'!$7:$7,BT$7,'Bank Rec info'!$19:$19)+BT52</f>
        <v>0</v>
      </c>
      <c r="BU57" s="170">
        <f ca="true">-SUMIF('Bank Rec info'!$7:$7,BU$7,'Bank Rec info'!$19:$19)+BU52</f>
        <v>0</v>
      </c>
      <c r="BV57" s="170">
        <f ca="true">-SUMIF('Bank Rec info'!$7:$7,BV$7,'Bank Rec info'!$19:$19)+BV52</f>
        <v>0</v>
      </c>
      <c r="BW57" s="170">
        <f ca="true">-SUMIF('Bank Rec info'!$7:$7,BW$7,'Bank Rec info'!$19:$19)+BW52</f>
        <v>0</v>
      </c>
      <c r="BX57" s="170">
        <f ca="true">-SUMIF('Bank Rec info'!$7:$7,BX$7,'Bank Rec info'!$19:$19)+BX52</f>
        <v>0</v>
      </c>
      <c r="BY57" s="170">
        <f ca="true">-SUMIF('Bank Rec info'!$7:$7,BY$7,'Bank Rec info'!$19:$19)+BY52</f>
        <v>0</v>
      </c>
      <c r="BZ57" s="170">
        <f ca="true">-SUMIF('Bank Rec info'!$7:$7,BZ$7,'Bank Rec info'!$19:$19)+BZ52</f>
        <v>0</v>
      </c>
      <c r="CA57" s="170">
        <f ca="true">-SUMIF('Bank Rec info'!$7:$7,CA$7,'Bank Rec info'!$19:$19)+CA52</f>
        <v>0</v>
      </c>
      <c r="CB57" s="170">
        <f ca="true">-SUMIF('Bank Rec info'!$7:$7,CB$7,'Bank Rec info'!$19:$19)+CB52</f>
        <v>0</v>
      </c>
      <c r="CC57" s="170">
        <f ca="true">-SUMIF('Bank Rec info'!$7:$7,CC$7,'Bank Rec info'!$19:$19)+CC52</f>
        <v>0</v>
      </c>
      <c r="CD57" s="170">
        <f ca="true">-SUMIF('Bank Rec info'!$7:$7,CD$7,'Bank Rec info'!$19:$19)+CD52</f>
        <v>0</v>
      </c>
      <c r="CE57" s="170">
        <f ca="true">-SUMIF('Bank Rec info'!$7:$7,CE$7,'Bank Rec info'!$19:$19)+CE52</f>
        <v>0</v>
      </c>
      <c r="CF57" s="170">
        <f ca="true">-SUMIF('Bank Rec info'!$7:$7,CF$7,'Bank Rec info'!$19:$19)+CF52</f>
        <v>0</v>
      </c>
      <c r="CG57" s="170">
        <f ca="true">-SUMIF('Bank Rec info'!$7:$7,CG$7,'Bank Rec info'!$19:$19)+CG52</f>
        <v>0</v>
      </c>
      <c r="CH57" s="170">
        <f ca="true">-SUMIF('Bank Rec info'!$7:$7,CH$7,'Bank Rec info'!$19:$19)+CH52</f>
        <v>0</v>
      </c>
      <c r="CI57" s="170">
        <f ca="true">-SUMIF('Bank Rec info'!$7:$7,CI$7,'Bank Rec info'!$19:$19)+CI52</f>
        <v>0</v>
      </c>
      <c r="CJ57" s="170">
        <f ca="true">-SUMIF('Bank Rec info'!$7:$7,CJ$7,'Bank Rec info'!$19:$19)+CJ52</f>
        <v>0</v>
      </c>
      <c r="CK57" s="170">
        <f ca="true">-SUMIF('Bank Rec info'!$7:$7,CK$7,'Bank Rec info'!$19:$19)+CK52</f>
        <v>0</v>
      </c>
      <c r="CL57" s="170">
        <f ca="true">-SUMIF('Bank Rec info'!$7:$7,CL$7,'Bank Rec info'!$19:$19)+CL52</f>
        <v>0</v>
      </c>
      <c r="CM57" s="170">
        <f ca="true">-SUMIF('Bank Rec info'!$7:$7,CM$7,'Bank Rec info'!$19:$19)+CM52</f>
        <v>0</v>
      </c>
      <c r="CN57" s="170">
        <f ca="true">-SUMIF('Bank Rec info'!$7:$7,CN$7,'Bank Rec info'!$19:$19)+CN52</f>
        <v>0</v>
      </c>
      <c r="CO57" s="170">
        <f ca="true">-SUMIF('Bank Rec info'!$7:$7,CO$7,'Bank Rec info'!$19:$19)+CO52</f>
        <v>0</v>
      </c>
      <c r="CP57" s="170"/>
      <c r="CQ57" s="178">
        <f t="shared" ca="true" si="27"/>
        <v>0</v>
      </c>
      <c r="CR57" s="178">
        <f t="shared" ca="true" si="28"/>
        <v>0</v>
      </c>
      <c r="CS57" s="178">
        <f t="shared" ca="true" si="29"/>
        <v>0</v>
      </c>
      <c r="CT57" s="185">
        <f ca="true">-SUMIF('Bank Rec info'!$7:$7,CT$7,'Bank Rec info'!$19:$19)+CT52</f>
        <v>0</v>
      </c>
      <c r="CU57" s="170">
        <f ca="true">-SUMIF('Bank Rec info'!$7:$7,CU$7,'Bank Rec info'!$19:$19)+CU52</f>
        <v>0</v>
      </c>
      <c r="CV57" s="170">
        <f ca="true">-SUMIF('Bank Rec info'!$7:$7,CV$7,'Bank Rec info'!$19:$19)+CV52</f>
        <v>0</v>
      </c>
      <c r="CW57" s="189">
        <f ca="true">-SUMIF('Bank Rec info'!$7:$7,CW$7,'Bank Rec info'!$19:$19)+CW52</f>
        <v>0</v>
      </c>
      <c r="CX57" s="189">
        <f ca="true">-SUMIF('Bank Rec info'!$7:$7,CX$7,'Bank Rec info'!$19:$19)+CX52</f>
        <v>0</v>
      </c>
      <c r="CY57" s="189">
        <f t="shared" ca="true" si="30"/>
        <v>0</v>
      </c>
      <c r="CZ57" s="178">
        <f ca="true">-SUMIF('Bank Rec info'!$7:$7,CZ$7,'Bank Rec info'!$19:$19)+CZ52</f>
        <v>0</v>
      </c>
      <c r="DA57" s="178">
        <f ca="true">-SUMIF('Bank Rec info'!$7:$7,DA$7,'Bank Rec info'!$19:$19)+DA52</f>
        <v>2991165.62</v>
      </c>
      <c r="DB57" s="193"/>
    </row>
    <row r="58" spans="1:106">
      <c r="A58" s="161">
        <v>43</v>
      </c>
      <c r="B58" s="161"/>
      <c r="D58" s="154" t="s">
        <v>13905</v>
      </c>
      <c r="E58" s="169" t="e">
        <f t="shared" ca="true" si="17"/>
        <v>#REF!</v>
      </c>
      <c r="F58" s="169" t="e">
        <f t="shared" ca="true" si="20"/>
        <v>#REF!</v>
      </c>
      <c r="G58" s="172" t="e">
        <f ca="true">-SUMIF('Bank Rec info'!$7:$7,G$7,'Bank Rec info'!$12:$12)</f>
        <v>#REF!</v>
      </c>
      <c r="H58" s="170" t="e">
        <f ca="true">-SUMIF('Bank Rec info'!$7:$7,H$7,'Bank Rec info'!$12:$12)</f>
        <v>#REF!</v>
      </c>
      <c r="I58" s="170" t="e">
        <f ca="true">-SUMIF('Bank Rec info'!$7:$7,I$7,'Bank Rec info'!$12:$12)</f>
        <v>#REF!</v>
      </c>
      <c r="J58" s="170" t="e">
        <f ca="true">-SUMIF('Bank Rec info'!$7:$7,J$7,'Bank Rec info'!$12:$12)</f>
        <v>#REF!</v>
      </c>
      <c r="K58" s="170" t="e">
        <f ca="true">-SUMIF('Bank Rec info'!$7:$7,K$7,'Bank Rec info'!$12:$12)</f>
        <v>#REF!</v>
      </c>
      <c r="L58" s="178" t="e">
        <f t="shared" ca="true" si="21"/>
        <v>#REF!</v>
      </c>
      <c r="M58" s="170" t="e">
        <f ca="true">-SUMIF('Bank Rec info'!$7:$7,M$7,'Bank Rec info'!$12:$12)</f>
        <v>#REF!</v>
      </c>
      <c r="N58" s="170" t="e">
        <f ca="true">-SUMIF('Bank Rec info'!$7:$7,N$7,'Bank Rec info'!$12:$12)</f>
        <v>#REF!</v>
      </c>
      <c r="O58" s="178" t="e">
        <f t="shared" ca="true" si="22"/>
        <v>#REF!</v>
      </c>
      <c r="P58" s="170" t="e">
        <f ca="true">-SUMIF('Bank Rec info'!$7:$7,P$7,'Bank Rec info'!$12:$12)</f>
        <v>#REF!</v>
      </c>
      <c r="Q58" s="170" t="e">
        <f ca="true">-SUMIF('Bank Rec info'!$7:$7,Q$7,'Bank Rec info'!$12:$12)</f>
        <v>#REF!</v>
      </c>
      <c r="R58" s="170" t="e">
        <f ca="true">-SUMIF('Bank Rec info'!$7:$7,R$7,'Bank Rec info'!$12:$12)</f>
        <v>#REF!</v>
      </c>
      <c r="S58" s="170" t="e">
        <f ca="true">-SUMIF('Bank Rec info'!$7:$7,S$7,'Bank Rec info'!$12:$12)</f>
        <v>#REF!</v>
      </c>
      <c r="T58" s="170" t="e">
        <f ca="true">-SUMIF('Bank Rec info'!$7:$7,T$7,'Bank Rec info'!$12:$12)</f>
        <v>#REF!</v>
      </c>
      <c r="U58" s="170" t="e">
        <f ca="true">-SUMIF('Bank Rec info'!$7:$7,U$7,'Bank Rec info'!$12:$12)</f>
        <v>#REF!</v>
      </c>
      <c r="V58" s="169" t="e">
        <f t="shared" ca="true" si="23"/>
        <v>#REF!</v>
      </c>
      <c r="W58" s="170" t="e">
        <f ca="true">-SUMIF('Bank Rec info'!$7:$7,W$7,'Bank Rec info'!$12:$12)</f>
        <v>#REF!</v>
      </c>
      <c r="X58" s="170" t="e">
        <f ca="true">-SUMIF('Bank Rec info'!$7:$7,X$7,'Bank Rec info'!$12:$12)</f>
        <v>#REF!</v>
      </c>
      <c r="Y58" s="178" t="e">
        <f t="shared" ca="true" si="24"/>
        <v>#REF!</v>
      </c>
      <c r="Z58" s="170" t="e">
        <f ca="true">-SUMIF('Bank Rec info'!$7:$7,Z$7,'Bank Rec info'!$12:$12)</f>
        <v>#REF!</v>
      </c>
      <c r="AA58" s="170" t="e">
        <f ca="true">-SUMIF('Bank Rec info'!$7:$7,AA$7,'Bank Rec info'!$12:$12)</f>
        <v>#REF!</v>
      </c>
      <c r="AB58" s="178" t="e">
        <f t="shared" ca="true" si="25"/>
        <v>#REF!</v>
      </c>
      <c r="AC58" s="170" t="e">
        <f ca="true">-SUMIF('Bank Rec info'!$7:$7,AC$7,'Bank Rec info'!$12:$12)</f>
        <v>#REF!</v>
      </c>
      <c r="AD58" s="170" t="e">
        <f ca="true">-SUMIF('Bank Rec info'!$7:$7,AD$7,'Bank Rec info'!$12:$12)</f>
        <v>#REF!</v>
      </c>
      <c r="AE58" s="170" t="e">
        <f ca="true">-SUMIF('Bank Rec info'!$7:$7,AE$7,'Bank Rec info'!$12:$12)</f>
        <v>#REF!</v>
      </c>
      <c r="AF58" s="170" t="e">
        <f ca="true">-SUMIF('Bank Rec info'!$7:$7,AF$7,'Bank Rec info'!$12:$12)</f>
        <v>#REF!</v>
      </c>
      <c r="AG58" s="170" t="e">
        <f ca="true">-SUMIF('Bank Rec info'!$7:$7,AG$7,'Bank Rec info'!$12:$12)</f>
        <v>#REF!</v>
      </c>
      <c r="AH58" s="170" t="e">
        <f ca="true">-SUMIF('Bank Rec info'!$7:$7,AH$7,'Bank Rec info'!$12:$12)</f>
        <v>#REF!</v>
      </c>
      <c r="AI58" s="170" t="e">
        <f ca="true">-SUMIF('Bank Rec info'!$7:$7,AI$7,'Bank Rec info'!$12:$12)</f>
        <v>#REF!</v>
      </c>
      <c r="AJ58" s="170" t="e">
        <f ca="true">-SUMIF('Bank Rec info'!$7:$7,AJ$7,'Bank Rec info'!$12:$12)</f>
        <v>#REF!</v>
      </c>
      <c r="AK58" s="170" t="e">
        <f ca="true">-SUMIF('Bank Rec info'!$7:$7,AK$7,'Bank Rec info'!$12:$12)</f>
        <v>#REF!</v>
      </c>
      <c r="AL58" s="178" t="e">
        <f t="shared" ca="true" si="26"/>
        <v>#REF!</v>
      </c>
      <c r="AM58" s="170" t="e">
        <f ca="true">-SUMIF('Bank Rec info'!$7:$7,AM$7,'Bank Rec info'!$12:$12)</f>
        <v>#REF!</v>
      </c>
      <c r="AN58" s="170" t="e">
        <f ca="true">-SUMIF('Bank Rec info'!$7:$7,AN$7,'Bank Rec info'!$12:$12)</f>
        <v>#REF!</v>
      </c>
      <c r="AO58" s="170" t="e">
        <f ca="true">-SUMIF('Bank Rec info'!$7:$7,AO$7,'Bank Rec info'!$12:$12)</f>
        <v>#REF!</v>
      </c>
      <c r="AP58" s="170" t="e">
        <f ca="true">-SUMIF('Bank Rec info'!$7:$7,AP$7,'Bank Rec info'!$12:$12)</f>
        <v>#REF!</v>
      </c>
      <c r="AQ58" s="170" t="e">
        <f ca="true">-SUMIF('Bank Rec info'!$7:$7,AQ$7,'Bank Rec info'!$12:$12)</f>
        <v>#REF!</v>
      </c>
      <c r="AR58" s="170" t="e">
        <f ca="true">-SUMIF('Bank Rec info'!$7:$7,AR$7,'Bank Rec info'!$12:$12)</f>
        <v>#REF!</v>
      </c>
      <c r="AS58" s="170" t="e">
        <f ca="true">-SUMIF('Bank Rec info'!$7:$7,AS$7,'Bank Rec info'!$12:$12)</f>
        <v>#REF!</v>
      </c>
      <c r="AT58" s="170" t="e">
        <f ca="true">-SUMIF('Bank Rec info'!$7:$7,AT$7,'Bank Rec info'!$12:$12)</f>
        <v>#REF!</v>
      </c>
      <c r="AU58" s="170" t="e">
        <f ca="true">-SUMIF('Bank Rec info'!$7:$7,AU$7,'Bank Rec info'!$12:$12)</f>
        <v>#REF!</v>
      </c>
      <c r="AV58" s="170" t="e">
        <f ca="true">-SUMIF('Bank Rec info'!$7:$7,AV$7,'Bank Rec info'!$12:$12)</f>
        <v>#REF!</v>
      </c>
      <c r="AW58" s="170" t="e">
        <f ca="true">-SUMIF('Bank Rec info'!$7:$7,AW$7,'Bank Rec info'!$12:$12)</f>
        <v>#REF!</v>
      </c>
      <c r="AX58" s="170" t="e">
        <f ca="true">-SUMIF('Bank Rec info'!$7:$7,AX$7,'Bank Rec info'!$12:$12)</f>
        <v>#REF!</v>
      </c>
      <c r="AY58" s="170" t="e">
        <f ca="true">-SUMIF('Bank Rec info'!$7:$7,AY$7,'Bank Rec info'!$12:$12)</f>
        <v>#REF!</v>
      </c>
      <c r="AZ58" s="170" t="e">
        <f ca="true">-SUMIF('Bank Rec info'!$7:$7,AZ$7,'Bank Rec info'!$12:$12)</f>
        <v>#REF!</v>
      </c>
      <c r="BA58" s="170" t="e">
        <f ca="true">-SUMIF('Bank Rec info'!$7:$7,BA$7,'Bank Rec info'!$12:$12)</f>
        <v>#REF!</v>
      </c>
      <c r="BB58" s="170" t="e">
        <f ca="true">-SUMIF('Bank Rec info'!$7:$7,BB$7,'Bank Rec info'!$12:$12)</f>
        <v>#REF!</v>
      </c>
      <c r="BC58" s="170" t="e">
        <f ca="true">-SUMIF('Bank Rec info'!$7:$7,BC$7,'Bank Rec info'!$12:$12)</f>
        <v>#REF!</v>
      </c>
      <c r="BD58" s="170" t="e">
        <f ca="true">-SUMIF('Bank Rec info'!$7:$7,BD$7,'Bank Rec info'!$12:$12)</f>
        <v>#REF!</v>
      </c>
      <c r="BE58" s="170" t="e">
        <f ca="true">-SUMIF('Bank Rec info'!$7:$7,BE$7,'Bank Rec info'!$12:$12)</f>
        <v>#REF!</v>
      </c>
      <c r="BF58" s="170" t="e">
        <f ca="true">-SUMIF('Bank Rec info'!$7:$7,BF$7,'Bank Rec info'!$12:$12)</f>
        <v>#REF!</v>
      </c>
      <c r="BG58" s="170" t="e">
        <f ca="true">-SUMIF('Bank Rec info'!$7:$7,BG$7,'Bank Rec info'!$12:$12)</f>
        <v>#REF!</v>
      </c>
      <c r="BH58" s="170" t="e">
        <f ca="true">-SUMIF('Bank Rec info'!$7:$7,BH$7,'Bank Rec info'!$12:$12)</f>
        <v>#REF!</v>
      </c>
      <c r="BI58" s="170" t="e">
        <f ca="true">-SUMIF('Bank Rec info'!$7:$7,BI$7,'Bank Rec info'!$12:$12)</f>
        <v>#REF!</v>
      </c>
      <c r="BJ58" s="170" t="e">
        <f ca="true">-SUMIF('Bank Rec info'!$7:$7,BJ$7,'Bank Rec info'!$12:$12)</f>
        <v>#REF!</v>
      </c>
      <c r="BK58" s="170" t="e">
        <f ca="true">-SUMIF('Bank Rec info'!$7:$7,BK$7,'Bank Rec info'!$12:$12)</f>
        <v>#REF!</v>
      </c>
      <c r="BL58" s="170" t="e">
        <f ca="true">-SUMIF('Bank Rec info'!$7:$7,BL$7,'Bank Rec info'!$12:$12)</f>
        <v>#REF!</v>
      </c>
      <c r="BM58" s="170" t="e">
        <f ca="true">-SUMIF('Bank Rec info'!$7:$7,BM$7,'Bank Rec info'!$12:$12)</f>
        <v>#REF!</v>
      </c>
      <c r="BN58" s="170" t="e">
        <f ca="true">-SUMIF('Bank Rec info'!$7:$7,BN$7,'Bank Rec info'!$12:$12)</f>
        <v>#REF!</v>
      </c>
      <c r="BO58" s="170" t="e">
        <f ca="true">-SUMIF('Bank Rec info'!$7:$7,BO$7,'Bank Rec info'!$12:$12)</f>
        <v>#REF!</v>
      </c>
      <c r="BP58" s="170" t="e">
        <f ca="true">-SUMIF('Bank Rec info'!$7:$7,BP$7,'Bank Rec info'!$12:$12)</f>
        <v>#REF!</v>
      </c>
      <c r="BQ58" s="170" t="e">
        <f ca="true">-SUMIF('Bank Rec info'!$7:$7,BQ$7,'Bank Rec info'!$12:$12)</f>
        <v>#REF!</v>
      </c>
      <c r="BR58" s="170" t="e">
        <f ca="true">-SUMIF('Bank Rec info'!$7:$7,BR$7,'Bank Rec info'!$12:$12)</f>
        <v>#REF!</v>
      </c>
      <c r="BS58" s="170" t="e">
        <f ca="true">-SUMIF('Bank Rec info'!$7:$7,BS$7,'Bank Rec info'!$12:$12)</f>
        <v>#REF!</v>
      </c>
      <c r="BT58" s="170" t="e">
        <f ca="true">-SUMIF('Bank Rec info'!$7:$7,BT$7,'Bank Rec info'!$12:$12)</f>
        <v>#REF!</v>
      </c>
      <c r="BU58" s="170" t="e">
        <f ca="true">-SUMIF('Bank Rec info'!$7:$7,BU$7,'Bank Rec info'!$12:$12)</f>
        <v>#REF!</v>
      </c>
      <c r="BV58" s="170" t="e">
        <f ca="true">-SUMIF('Bank Rec info'!$7:$7,BV$7,'Bank Rec info'!$12:$12)</f>
        <v>#REF!</v>
      </c>
      <c r="BW58" s="170" t="e">
        <f ca="true">-SUMIF('Bank Rec info'!$7:$7,BW$7,'Bank Rec info'!$12:$12)</f>
        <v>#REF!</v>
      </c>
      <c r="BX58" s="170" t="e">
        <f ca="true">-SUMIF('Bank Rec info'!$7:$7,BX$7,'Bank Rec info'!$12:$12)</f>
        <v>#REF!</v>
      </c>
      <c r="BY58" s="170" t="e">
        <f ca="true">-SUMIF('Bank Rec info'!$7:$7,BY$7,'Bank Rec info'!$12:$12)</f>
        <v>#REF!</v>
      </c>
      <c r="BZ58" s="170" t="e">
        <f ca="true">-SUMIF('Bank Rec info'!$7:$7,BZ$7,'Bank Rec info'!$12:$12)</f>
        <v>#REF!</v>
      </c>
      <c r="CA58" s="170" t="e">
        <f ca="true">-SUMIF('Bank Rec info'!$7:$7,CA$7,'Bank Rec info'!$12:$12)</f>
        <v>#REF!</v>
      </c>
      <c r="CB58" s="170" t="e">
        <f ca="true">-SUMIF('Bank Rec info'!$7:$7,CB$7,'Bank Rec info'!$12:$12)</f>
        <v>#REF!</v>
      </c>
      <c r="CC58" s="170" t="e">
        <f ca="true">-SUMIF('Bank Rec info'!$7:$7,CC$7,'Bank Rec info'!$12:$12)</f>
        <v>#REF!</v>
      </c>
      <c r="CD58" s="170" t="e">
        <f ca="true">-SUMIF('Bank Rec info'!$7:$7,CD$7,'Bank Rec info'!$12:$12)</f>
        <v>#REF!</v>
      </c>
      <c r="CE58" s="170" t="e">
        <f ca="true">-SUMIF('Bank Rec info'!$7:$7,CE$7,'Bank Rec info'!$12:$12)</f>
        <v>#REF!</v>
      </c>
      <c r="CF58" s="170" t="e">
        <f ca="true">-SUMIF('Bank Rec info'!$7:$7,CF$7,'Bank Rec info'!$12:$12)</f>
        <v>#REF!</v>
      </c>
      <c r="CG58" s="170" t="e">
        <f ca="true">-SUMIF('Bank Rec info'!$7:$7,CG$7,'Bank Rec info'!$12:$12)</f>
        <v>#REF!</v>
      </c>
      <c r="CH58" s="170" t="e">
        <f ca="true">-SUMIF('Bank Rec info'!$7:$7,CH$7,'Bank Rec info'!$12:$12)</f>
        <v>#REF!</v>
      </c>
      <c r="CI58" s="170" t="e">
        <f ca="true">-SUMIF('Bank Rec info'!$7:$7,CI$7,'Bank Rec info'!$12:$12)</f>
        <v>#REF!</v>
      </c>
      <c r="CJ58" s="170" t="e">
        <f ca="true">-SUMIF('Bank Rec info'!$7:$7,CJ$7,'Bank Rec info'!$12:$12)</f>
        <v>#REF!</v>
      </c>
      <c r="CK58" s="170" t="e">
        <f ca="true">-SUMIF('Bank Rec info'!$7:$7,CK$7,'Bank Rec info'!$12:$12)</f>
        <v>#REF!</v>
      </c>
      <c r="CL58" s="170" t="e">
        <f ca="true">-SUMIF('Bank Rec info'!$7:$7,CL$7,'Bank Rec info'!$12:$12)</f>
        <v>#REF!</v>
      </c>
      <c r="CM58" s="170" t="e">
        <f ca="true">-SUMIF('Bank Rec info'!$7:$7,CM$7,'Bank Rec info'!$12:$12)</f>
        <v>#REF!</v>
      </c>
      <c r="CN58" s="170" t="e">
        <f ca="true">-SUMIF('Bank Rec info'!$7:$7,CN$7,'Bank Rec info'!$12:$12)</f>
        <v>#REF!</v>
      </c>
      <c r="CO58" s="170" t="e">
        <f ca="true">-SUMIF('Bank Rec info'!$7:$7,CO$7,'Bank Rec info'!$12:$12)</f>
        <v>#REF!</v>
      </c>
      <c r="CP58" s="170"/>
      <c r="CQ58" s="178" t="e">
        <f t="shared" ca="true" si="27"/>
        <v>#REF!</v>
      </c>
      <c r="CR58" s="178" t="e">
        <f t="shared" ca="true" si="28"/>
        <v>#REF!</v>
      </c>
      <c r="CS58" s="178" t="e">
        <f t="shared" ca="true" si="29"/>
        <v>#REF!</v>
      </c>
      <c r="CT58" s="185" t="e">
        <f ca="true">-SUMIF('Bank Rec info'!$7:$7,CT$7,'Bank Rec info'!$12:$12)</f>
        <v>#REF!</v>
      </c>
      <c r="CU58" s="170" t="e">
        <f ca="true">-SUMIF('Bank Rec info'!$7:$7,CU$7,'Bank Rec info'!$12:$12)</f>
        <v>#REF!</v>
      </c>
      <c r="CV58" s="170" t="e">
        <f ca="true">-SUMIF('Bank Rec info'!$7:$7,CV$7,'Bank Rec info'!$12:$12)</f>
        <v>#REF!</v>
      </c>
      <c r="CW58" s="189" t="e">
        <f ca="true">-SUMIF('Bank Rec info'!$7:$7,CW$7,'Bank Rec info'!$12:$12)</f>
        <v>#REF!</v>
      </c>
      <c r="CX58" s="189">
        <f ca="true">-SUMIF('Bank Rec info'!$7:$7,CX$7,'Bank Rec info'!$12:$12)</f>
        <v>0</v>
      </c>
      <c r="CY58" s="189" t="e">
        <f t="shared" ca="true" si="30"/>
        <v>#REF!</v>
      </c>
      <c r="CZ58" s="178" t="e">
        <f ca="true">-SUMIF('Bank Rec info'!$7:$7,CZ$7,'Bank Rec info'!$12:$12)</f>
        <v>#REF!</v>
      </c>
      <c r="DA58" s="178" t="e">
        <f ca="true">-SUMIF('Bank Rec info'!$7:$7,DA$7,'Bank Rec info'!$12:$12)</f>
        <v>#REF!</v>
      </c>
      <c r="DB58" s="193"/>
    </row>
    <row r="59" spans="1:106">
      <c r="A59" s="161">
        <v>44</v>
      </c>
      <c r="B59" s="161"/>
      <c r="D59" s="154" t="s">
        <v>13906</v>
      </c>
      <c r="E59" s="169">
        <f t="shared" ca="true" si="17"/>
        <v>5226560.77</v>
      </c>
      <c r="F59" s="169">
        <f t="shared" ca="true" si="20"/>
        <v>4709518.58</v>
      </c>
      <c r="G59" s="172">
        <f ca="true">SUMIF('Bank Rec info'!$7:$7,G$7,'Bank Rec info'!$20:$20)</f>
        <v>496003.02</v>
      </c>
      <c r="H59" s="170">
        <f ca="true">SUMIF('Bank Rec info'!$7:$7,H$7,'Bank Rec info'!$20:$20)</f>
        <v>29442.85</v>
      </c>
      <c r="I59" s="170">
        <f ca="true">SUMIF('Bank Rec info'!$7:$7,I$7,'Bank Rec info'!$20:$20)</f>
        <v>13902.15</v>
      </c>
      <c r="J59" s="170">
        <f ca="true">SUMIF('Bank Rec info'!$7:$7,J$7,'Bank Rec info'!$20:$20)</f>
        <v>0</v>
      </c>
      <c r="K59" s="170">
        <f ca="true">SUMIF('Bank Rec info'!$7:$7,K$7,'Bank Rec info'!$20:$20)</f>
        <v>2017.35</v>
      </c>
      <c r="L59" s="178">
        <f t="shared" ca="true" si="21"/>
        <v>541365.37</v>
      </c>
      <c r="M59" s="170">
        <f ca="true">SUMIF('Bank Rec info'!$7:$7,M$7,'Bank Rec info'!$20:$20)</f>
        <v>104095.41</v>
      </c>
      <c r="N59" s="170">
        <f ca="true">SUMIF('Bank Rec info'!$7:$7,N$7,'Bank Rec info'!$20:$20)</f>
        <v>92855.26</v>
      </c>
      <c r="O59" s="178">
        <f t="shared" ca="true" si="22"/>
        <v>196950.67</v>
      </c>
      <c r="P59" s="170">
        <f ca="true">SUMIF('Bank Rec info'!$7:$7,P$7,'Bank Rec info'!$20:$20)</f>
        <v>74.75</v>
      </c>
      <c r="Q59" s="170">
        <f ca="true">SUMIF('Bank Rec info'!$7:$7,Q$7,'Bank Rec info'!$20:$20)</f>
        <v>3709.33</v>
      </c>
      <c r="R59" s="170">
        <f ca="true">SUMIF('Bank Rec info'!$7:$7,R$7,'Bank Rec info'!$20:$20)</f>
        <v>1998.86</v>
      </c>
      <c r="S59" s="170">
        <f ca="true">SUMIF('Bank Rec info'!$7:$7,S$7,'Bank Rec info'!$20:$20)</f>
        <v>1382.08</v>
      </c>
      <c r="T59" s="170">
        <f ca="true">SUMIF('Bank Rec info'!$7:$7,T$7,'Bank Rec info'!$20:$20)</f>
        <v>1035.21</v>
      </c>
      <c r="U59" s="170">
        <f ca="true">SUMIF('Bank Rec info'!$7:$7,U$7,'Bank Rec info'!$20:$20)</f>
        <v>0</v>
      </c>
      <c r="V59" s="169">
        <f t="shared" ca="true" si="23"/>
        <v>8200.23</v>
      </c>
      <c r="W59" s="170">
        <f ca="true">SUMIF('Bank Rec info'!$7:$7,W$7,'Bank Rec info'!$20:$20)</f>
        <v>2062.72</v>
      </c>
      <c r="X59" s="170">
        <f ca="true">SUMIF('Bank Rec info'!$7:$7,X$7,'Bank Rec info'!$20:$20)</f>
        <v>510.42</v>
      </c>
      <c r="Y59" s="178">
        <f t="shared" ca="true" si="24"/>
        <v>10773.37</v>
      </c>
      <c r="Z59" s="170">
        <f ca="true">SUMIF('Bank Rec info'!$7:$7,Z$7,'Bank Rec info'!$20:$20)</f>
        <v>28369.57</v>
      </c>
      <c r="AA59" s="170">
        <f ca="true">SUMIF('Bank Rec info'!$7:$7,AA$7,'Bank Rec info'!$20:$20)</f>
        <v>154.24</v>
      </c>
      <c r="AB59" s="178">
        <f t="shared" ca="true" si="25"/>
        <v>28523.81</v>
      </c>
      <c r="AC59" s="170">
        <f ca="true">SUMIF('Bank Rec info'!$7:$7,AC$7,'Bank Rec info'!$20:$20)</f>
        <v>52957.57</v>
      </c>
      <c r="AD59" s="170">
        <f ca="true">SUMIF('Bank Rec info'!$7:$7,AD$7,'Bank Rec info'!$20:$20)</f>
        <v>28531.25</v>
      </c>
      <c r="AE59" s="170">
        <f ca="true">SUMIF('Bank Rec info'!$7:$7,AE$7,'Bank Rec info'!$20:$20)</f>
        <v>132734.02</v>
      </c>
      <c r="AF59" s="170">
        <f ca="true">SUMIF('Bank Rec info'!$7:$7,AF$7,'Bank Rec info'!$20:$20)</f>
        <v>28221.63</v>
      </c>
      <c r="AG59" s="170">
        <f ca="true">SUMIF('Bank Rec info'!$7:$7,AG$7,'Bank Rec info'!$20:$20)</f>
        <v>44790.77</v>
      </c>
      <c r="AH59" s="170">
        <f ca="true">SUMIF('Bank Rec info'!$7:$7,AH$7,'Bank Rec info'!$20:$20)</f>
        <v>20869.94</v>
      </c>
      <c r="AI59" s="170">
        <f ca="true">SUMIF('Bank Rec info'!$7:$7,AI$7,'Bank Rec info'!$20:$20)</f>
        <v>5112.48</v>
      </c>
      <c r="AJ59" s="170">
        <f ca="true">SUMIF('Bank Rec info'!$7:$7,AJ$7,'Bank Rec info'!$20:$20)</f>
        <v>16789.42</v>
      </c>
      <c r="AK59" s="170">
        <f ca="true">SUMIF('Bank Rec info'!$7:$7,AK$7,'Bank Rec info'!$20:$20)</f>
        <v>222509.69</v>
      </c>
      <c r="AL59" s="178">
        <f t="shared" ca="true" si="26"/>
        <v>338293.93</v>
      </c>
      <c r="AM59" s="170">
        <f ca="true">SUMIF('Bank Rec info'!$7:$7,AM$7,'Bank Rec info'!$20:$20)</f>
        <v>25357.47</v>
      </c>
      <c r="AN59" s="170">
        <f ca="true">SUMIF('Bank Rec info'!$7:$7,AN$7,'Bank Rec info'!$20:$20)</f>
        <v>138499.18</v>
      </c>
      <c r="AO59" s="170">
        <f ca="true">SUMIF('Bank Rec info'!$7:$7,AO$7,'Bank Rec info'!$20:$20)</f>
        <v>44467.84</v>
      </c>
      <c r="AP59" s="170">
        <f ca="true">SUMIF('Bank Rec info'!$7:$7,AP$7,'Bank Rec info'!$20:$20)</f>
        <v>0</v>
      </c>
      <c r="AQ59" s="170">
        <f ca="true">SUMIF('Bank Rec info'!$7:$7,AQ$7,'Bank Rec info'!$20:$20)</f>
        <v>53506.09</v>
      </c>
      <c r="AR59" s="170">
        <f ca="true">SUMIF('Bank Rec info'!$7:$7,AR$7,'Bank Rec info'!$20:$20)</f>
        <v>0</v>
      </c>
      <c r="AS59" s="170">
        <f ca="true">SUMIF('Bank Rec info'!$7:$7,AS$7,'Bank Rec info'!$20:$20)</f>
        <v>56636.19</v>
      </c>
      <c r="AT59" s="170">
        <f ca="true">SUMIF('Bank Rec info'!$7:$7,AT$7,'Bank Rec info'!$20:$20)</f>
        <v>32618.34</v>
      </c>
      <c r="AU59" s="170">
        <f ca="true">SUMIF('Bank Rec info'!$7:$7,AU$7,'Bank Rec info'!$20:$20)</f>
        <v>1227.5</v>
      </c>
      <c r="AV59" s="170">
        <f ca="true">SUMIF('Bank Rec info'!$7:$7,AV$7,'Bank Rec info'!$20:$20)</f>
        <v>12976.84</v>
      </c>
      <c r="AW59" s="170">
        <f ca="true">SUMIF('Bank Rec info'!$7:$7,AW$7,'Bank Rec info'!$20:$20)</f>
        <v>0</v>
      </c>
      <c r="AX59" s="170">
        <f ca="true">SUMIF('Bank Rec info'!$7:$7,AX$7,'Bank Rec info'!$20:$20)</f>
        <v>0</v>
      </c>
      <c r="AY59" s="170">
        <f ca="true">SUMIF('Bank Rec info'!$7:$7,AY$7,'Bank Rec info'!$20:$20)</f>
        <v>0</v>
      </c>
      <c r="AZ59" s="170">
        <f ca="true">SUMIF('Bank Rec info'!$7:$7,AZ$7,'Bank Rec info'!$20:$20)</f>
        <v>27713.16</v>
      </c>
      <c r="BA59" s="170">
        <f ca="true">SUMIF('Bank Rec info'!$7:$7,BA$7,'Bank Rec info'!$20:$20)</f>
        <v>14450.88</v>
      </c>
      <c r="BB59" s="170">
        <f ca="true">SUMIF('Bank Rec info'!$7:$7,BB$7,'Bank Rec info'!$20:$20)</f>
        <v>0</v>
      </c>
      <c r="BC59" s="170">
        <f ca="true">SUMIF('Bank Rec info'!$7:$7,BC$7,'Bank Rec info'!$20:$20)</f>
        <v>38924.18</v>
      </c>
      <c r="BD59" s="170">
        <f ca="true">SUMIF('Bank Rec info'!$7:$7,BD$7,'Bank Rec info'!$20:$20)</f>
        <v>6455.83</v>
      </c>
      <c r="BE59" s="170">
        <f ca="true">SUMIF('Bank Rec info'!$7:$7,BE$7,'Bank Rec info'!$20:$20)</f>
        <v>18397.17</v>
      </c>
      <c r="BF59" s="170">
        <f ca="true">SUMIF('Bank Rec info'!$7:$7,BF$7,'Bank Rec info'!$20:$20)</f>
        <v>1101.36</v>
      </c>
      <c r="BG59" s="170">
        <f ca="true">SUMIF('Bank Rec info'!$7:$7,BG$7,'Bank Rec info'!$20:$20)</f>
        <v>9093.27</v>
      </c>
      <c r="BH59" s="170">
        <f ca="true">SUMIF('Bank Rec info'!$7:$7,BH$7,'Bank Rec info'!$20:$20)</f>
        <v>0</v>
      </c>
      <c r="BI59" s="170">
        <f ca="true">SUMIF('Bank Rec info'!$7:$7,BI$7,'Bank Rec info'!$20:$20)</f>
        <v>8755.57</v>
      </c>
      <c r="BJ59" s="170">
        <f ca="true">SUMIF('Bank Rec info'!$7:$7,BJ$7,'Bank Rec info'!$20:$20)</f>
        <v>0</v>
      </c>
      <c r="BK59" s="170">
        <f ca="true">SUMIF('Bank Rec info'!$7:$7,BK$7,'Bank Rec info'!$20:$20)</f>
        <v>4562.79</v>
      </c>
      <c r="BL59" s="170">
        <f ca="true">SUMIF('Bank Rec info'!$7:$7,BL$7,'Bank Rec info'!$20:$20)</f>
        <v>24004.55</v>
      </c>
      <c r="BM59" s="170">
        <f ca="true">SUMIF('Bank Rec info'!$7:$7,BM$7,'Bank Rec info'!$20:$20)</f>
        <v>1958.73</v>
      </c>
      <c r="BN59" s="170">
        <f ca="true">SUMIF('Bank Rec info'!$7:$7,BN$7,'Bank Rec info'!$20:$20)</f>
        <v>255</v>
      </c>
      <c r="BO59" s="170">
        <f ca="true">SUMIF('Bank Rec info'!$7:$7,BO$7,'Bank Rec info'!$20:$20)</f>
        <v>0</v>
      </c>
      <c r="BP59" s="170">
        <f ca="true">SUMIF('Bank Rec info'!$7:$7,BP$7,'Bank Rec info'!$20:$20)</f>
        <v>10369.87</v>
      </c>
      <c r="BQ59" s="170">
        <f ca="true">SUMIF('Bank Rec info'!$7:$7,BQ$7,'Bank Rec info'!$20:$20)</f>
        <v>13348.13</v>
      </c>
      <c r="BR59" s="170">
        <f ca="true">SUMIF('Bank Rec info'!$7:$7,BR$7,'Bank Rec info'!$20:$20)</f>
        <v>486227.13</v>
      </c>
      <c r="BS59" s="170">
        <f ca="true">SUMIF('Bank Rec info'!$7:$7,BS$7,'Bank Rec info'!$20:$20)</f>
        <v>0</v>
      </c>
      <c r="BT59" s="170">
        <f ca="true">SUMIF('Bank Rec info'!$7:$7,BT$7,'Bank Rec info'!$20:$20)</f>
        <v>0</v>
      </c>
      <c r="BU59" s="170">
        <f ca="true">SUMIF('Bank Rec info'!$7:$7,BU$7,'Bank Rec info'!$20:$20)</f>
        <v>0</v>
      </c>
      <c r="BV59" s="170">
        <f ca="true">SUMIF('Bank Rec info'!$7:$7,BV$7,'Bank Rec info'!$20:$20)</f>
        <v>0</v>
      </c>
      <c r="BW59" s="170">
        <f ca="true">SUMIF('Bank Rec info'!$7:$7,BW$7,'Bank Rec info'!$20:$20)</f>
        <v>149363.46</v>
      </c>
      <c r="BX59" s="170">
        <f ca="true">SUMIF('Bank Rec info'!$7:$7,BX$7,'Bank Rec info'!$20:$20)</f>
        <v>389738.6</v>
      </c>
      <c r="BY59" s="170">
        <f ca="true">SUMIF('Bank Rec info'!$7:$7,BY$7,'Bank Rec info'!$20:$20)</f>
        <v>0</v>
      </c>
      <c r="BZ59" s="170">
        <f ca="true">SUMIF('Bank Rec info'!$7:$7,BZ$7,'Bank Rec info'!$20:$20)</f>
        <v>907751.84</v>
      </c>
      <c r="CA59" s="170">
        <f ca="true">SUMIF('Bank Rec info'!$7:$7,CA$7,'Bank Rec info'!$20:$20)</f>
        <v>9289.13</v>
      </c>
      <c r="CB59" s="170">
        <f ca="true">SUMIF('Bank Rec info'!$7:$7,CB$7,'Bank Rec info'!$20:$20)</f>
        <v>7904.51</v>
      </c>
      <c r="CC59" s="170">
        <f ca="true">SUMIF('Bank Rec info'!$7:$7,CC$7,'Bank Rec info'!$20:$20)</f>
        <v>16582.01</v>
      </c>
      <c r="CD59" s="170">
        <f ca="true">SUMIF('Bank Rec info'!$7:$7,CD$7,'Bank Rec info'!$20:$20)</f>
        <v>70919.39</v>
      </c>
      <c r="CE59" s="170">
        <f ca="true">SUMIF('Bank Rec info'!$7:$7,CE$7,'Bank Rec info'!$20:$20)</f>
        <v>71933.9</v>
      </c>
      <c r="CF59" s="170">
        <f ca="true">SUMIF('Bank Rec info'!$7:$7,CF$7,'Bank Rec info'!$20:$20)</f>
        <v>0</v>
      </c>
      <c r="CG59" s="170">
        <f ca="true">SUMIF('Bank Rec info'!$7:$7,CG$7,'Bank Rec info'!$20:$20)</f>
        <v>8402.44</v>
      </c>
      <c r="CH59" s="170">
        <f ca="true">SUMIF('Bank Rec info'!$7:$7,CH$7,'Bank Rec info'!$20:$20)</f>
        <v>7686.2</v>
      </c>
      <c r="CI59" s="170">
        <f ca="true">SUMIF('Bank Rec info'!$7:$7,CI$7,'Bank Rec info'!$20:$20)</f>
        <v>22800.72</v>
      </c>
      <c r="CJ59" s="170">
        <f ca="true">SUMIF('Bank Rec info'!$7:$7,CJ$7,'Bank Rec info'!$20:$20)</f>
        <v>40054.25</v>
      </c>
      <c r="CK59" s="170">
        <f ca="true">SUMIF('Bank Rec info'!$7:$7,CK$7,'Bank Rec info'!$20:$20)</f>
        <v>10984.23</v>
      </c>
      <c r="CL59" s="170">
        <f ca="true">SUMIF('Bank Rec info'!$7:$7,CL$7,'Bank Rec info'!$20:$20)</f>
        <v>28388.03</v>
      </c>
      <c r="CM59" s="170">
        <f ca="true">SUMIF('Bank Rec info'!$7:$7,CM$7,'Bank Rec info'!$20:$20)</f>
        <v>133118.63</v>
      </c>
      <c r="CN59" s="170">
        <f ca="true">SUMIF('Bank Rec info'!$7:$7,CN$7,'Bank Rec info'!$20:$20)</f>
        <v>378275.11</v>
      </c>
      <c r="CO59" s="170">
        <f ca="true">SUMIF('Bank Rec info'!$7:$7,CO$7,'Bank Rec info'!$20:$20)</f>
        <v>95289.07</v>
      </c>
      <c r="CP59" s="170"/>
      <c r="CQ59" s="178">
        <f t="shared" ca="true" si="27"/>
        <v>3379388.59</v>
      </c>
      <c r="CR59" s="178">
        <f t="shared" ca="true" si="28"/>
        <v>3717682.52</v>
      </c>
      <c r="CS59" s="178">
        <f t="shared" ca="true" si="29"/>
        <v>306857.19</v>
      </c>
      <c r="CT59" s="185">
        <f ca="true">SUMIF('Bank Rec info'!$7:$7,CT$7,'Bank Rec info'!$20:$20)</f>
        <v>0</v>
      </c>
      <c r="CU59" s="170">
        <f ca="true">SUMIF('Bank Rec info'!$7:$7,CU$7,'Bank Rec info'!$20:$20)</f>
        <v>176028.25</v>
      </c>
      <c r="CV59" s="170">
        <f ca="true">SUMIF('Bank Rec info'!$7:$7,CV$7,'Bank Rec info'!$20:$20)</f>
        <v>36060.13</v>
      </c>
      <c r="CW59" s="189">
        <f ca="true">SUMIF('Bank Rec info'!$7:$7,CW$7,'Bank Rec info'!$20:$20)</f>
        <v>94768.81</v>
      </c>
      <c r="CX59" s="189">
        <f ca="true">SUMIF('Bank Rec info'!$7:$7,CX$7,'Bank Rec info'!$20:$20)</f>
        <v>0</v>
      </c>
      <c r="CY59" s="189">
        <f t="shared" ca="true" si="30"/>
        <v>306857.19</v>
      </c>
      <c r="CZ59" s="178">
        <f ca="true">SUMIF('Bank Rec info'!$7:$7,CZ$7,'Bank Rec info'!$20:$20)</f>
        <v>0</v>
      </c>
      <c r="DA59" s="178">
        <f ca="true">SUMIF('Bank Rec info'!$7:$7,DA$7,'Bank Rec info'!$20:$20)</f>
        <v>210185</v>
      </c>
      <c r="DB59" s="193"/>
    </row>
    <row r="60" spans="1:106">
      <c r="A60" s="161">
        <v>45</v>
      </c>
      <c r="B60" s="161"/>
      <c r="D60" s="154" t="s">
        <v>13907</v>
      </c>
      <c r="E60" s="169" t="e">
        <f t="shared" ca="true" si="17"/>
        <v>#REF!</v>
      </c>
      <c r="F60" s="169" t="e">
        <f t="shared" ca="true" si="20"/>
        <v>#REF!</v>
      </c>
      <c r="G60" s="170" t="e">
        <f ca="true">SUM(G55:G59)+G147+G148+G133+SUM(G136:G145)+'Bank Rec info'!E26</f>
        <v>#REF!</v>
      </c>
      <c r="H60" s="170" t="e">
        <f ca="true">SUM(H55:H59)+H147+H148+H133+SUM(H136:H145)+'Bank Rec info'!F26</f>
        <v>#REF!</v>
      </c>
      <c r="I60" s="170" t="e">
        <f ca="true">SUM(I55:I59)+I147+I148+I133+SUM(I136:I145)+'Bank Rec info'!G26</f>
        <v>#REF!</v>
      </c>
      <c r="J60" s="170" t="e">
        <f ca="true">SUM(J55:J59)+J147+J148+J133+SUM(J136:J145)+'Bank Rec info'!H26</f>
        <v>#REF!</v>
      </c>
      <c r="K60" s="170" t="e">
        <f ca="true">SUM(K55:K59)+K147+K148+K133+SUM(K136:K145)+'Bank Rec info'!I26</f>
        <v>#REF!</v>
      </c>
      <c r="L60" s="178" t="e">
        <f t="shared" ca="true" si="21"/>
        <v>#REF!</v>
      </c>
      <c r="M60" s="170" t="e">
        <f ca="true">SUM(M55:M59)+M147+M148+M133+SUM(M136:M145)</f>
        <v>#REF!</v>
      </c>
      <c r="N60" s="170" t="e">
        <f ca="true">SUM(N55:N59)+N147+N148+N133+SUM(N136:N145)</f>
        <v>#REF!</v>
      </c>
      <c r="O60" s="178" t="e">
        <f t="shared" ca="true" si="22"/>
        <v>#REF!</v>
      </c>
      <c r="P60" s="170" t="e">
        <f t="shared" ref="P60:U60" ca="true" si="31">SUM(P55:P59)+P147+P148+P133+SUM(P136:P145)</f>
        <v>#REF!</v>
      </c>
      <c r="Q60" s="170" t="e">
        <f t="shared" ca="true" si="31"/>
        <v>#REF!</v>
      </c>
      <c r="R60" s="170" t="e">
        <f t="shared" ca="true" si="31"/>
        <v>#REF!</v>
      </c>
      <c r="S60" s="170" t="e">
        <f t="shared" ca="true" si="31"/>
        <v>#REF!</v>
      </c>
      <c r="T60" s="170" t="e">
        <f t="shared" ca="true" si="31"/>
        <v>#REF!</v>
      </c>
      <c r="U60" s="170" t="e">
        <f t="shared" ca="true" si="31"/>
        <v>#REF!</v>
      </c>
      <c r="V60" s="169" t="e">
        <f t="shared" ca="true" si="23"/>
        <v>#REF!</v>
      </c>
      <c r="W60" s="170" t="e">
        <f ca="true">SUM(W55:W59)+W147+W148+W133+SUM(W136:W145)</f>
        <v>#REF!</v>
      </c>
      <c r="X60" s="170" t="e">
        <f ca="true">SUM(X55:X59)+X147+X148+X133+SUM(X136:X145)</f>
        <v>#REF!</v>
      </c>
      <c r="Y60" s="178" t="e">
        <f t="shared" ca="true" si="24"/>
        <v>#REF!</v>
      </c>
      <c r="Z60" s="170" t="e">
        <f ca="true">SUM(Z55:Z59)+Z147+Z148+Z133+SUM(Z136:Z145)</f>
        <v>#REF!</v>
      </c>
      <c r="AA60" s="170" t="e">
        <f ca="true">SUM(AA55:AA59)+AA147+AA148+AA133+SUM(AA136:AA145)</f>
        <v>#REF!</v>
      </c>
      <c r="AB60" s="178" t="e">
        <f t="shared" ca="true" si="25"/>
        <v>#REF!</v>
      </c>
      <c r="AC60" s="170" t="e">
        <f t="shared" ref="AC60:AK60" ca="true" si="32">SUM(AC55:AC59)+AC147+AC148+AC133+SUM(AC136:AC145)</f>
        <v>#REF!</v>
      </c>
      <c r="AD60" s="170" t="e">
        <f t="shared" ca="true" si="32"/>
        <v>#REF!</v>
      </c>
      <c r="AE60" s="170" t="e">
        <f t="shared" ca="true" si="32"/>
        <v>#REF!</v>
      </c>
      <c r="AF60" s="170" t="e">
        <f t="shared" ca="true" si="32"/>
        <v>#REF!</v>
      </c>
      <c r="AG60" s="170" t="e">
        <f t="shared" ca="true" si="32"/>
        <v>#REF!</v>
      </c>
      <c r="AH60" s="170" t="e">
        <f t="shared" ca="true" si="32"/>
        <v>#REF!</v>
      </c>
      <c r="AI60" s="170" t="e">
        <f t="shared" ca="true" si="32"/>
        <v>#REF!</v>
      </c>
      <c r="AJ60" s="170" t="e">
        <f t="shared" ca="true" si="32"/>
        <v>#REF!</v>
      </c>
      <c r="AK60" s="170" t="e">
        <f t="shared" ca="true" si="32"/>
        <v>#REF!</v>
      </c>
      <c r="AL60" s="178" t="e">
        <f t="shared" ca="true" si="26"/>
        <v>#REF!</v>
      </c>
      <c r="AM60" s="170" t="e">
        <f t="shared" ref="AM60:CO60" ca="true" si="33">SUM(AM55:AM59)+AM147+AM148+AM133+SUM(AM136:AM145)</f>
        <v>#REF!</v>
      </c>
      <c r="AN60" s="170" t="e">
        <f t="shared" ca="true" si="33"/>
        <v>#REF!</v>
      </c>
      <c r="AO60" s="170" t="e">
        <f t="shared" ca="true" si="33"/>
        <v>#REF!</v>
      </c>
      <c r="AP60" s="170" t="e">
        <f t="shared" ca="true" si="33"/>
        <v>#REF!</v>
      </c>
      <c r="AQ60" s="170" t="e">
        <f t="shared" ca="true" si="33"/>
        <v>#REF!</v>
      </c>
      <c r="AR60" s="170" t="e">
        <f t="shared" ca="true" si="33"/>
        <v>#REF!</v>
      </c>
      <c r="AS60" s="170" t="e">
        <f t="shared" ca="true" si="33"/>
        <v>#REF!</v>
      </c>
      <c r="AT60" s="170" t="e">
        <f t="shared" ca="true" si="33"/>
        <v>#REF!</v>
      </c>
      <c r="AU60" s="170" t="e">
        <f t="shared" ca="true" si="33"/>
        <v>#REF!</v>
      </c>
      <c r="AV60" s="170" t="e">
        <f t="shared" ca="true" si="33"/>
        <v>#REF!</v>
      </c>
      <c r="AW60" s="170" t="e">
        <f t="shared" ca="true" si="33"/>
        <v>#REF!</v>
      </c>
      <c r="AX60" s="170" t="e">
        <f t="shared" ca="true" si="33"/>
        <v>#REF!</v>
      </c>
      <c r="AY60" s="170" t="e">
        <f t="shared" ca="true" si="33"/>
        <v>#REF!</v>
      </c>
      <c r="AZ60" s="170" t="e">
        <f t="shared" ca="true" si="33"/>
        <v>#REF!</v>
      </c>
      <c r="BA60" s="170" t="e">
        <f t="shared" ca="true" si="33"/>
        <v>#REF!</v>
      </c>
      <c r="BB60" s="170" t="e">
        <f t="shared" ca="true" si="33"/>
        <v>#REF!</v>
      </c>
      <c r="BC60" s="170" t="e">
        <f t="shared" ca="true" si="33"/>
        <v>#REF!</v>
      </c>
      <c r="BD60" s="170" t="e">
        <f t="shared" ca="true" si="33"/>
        <v>#REF!</v>
      </c>
      <c r="BE60" s="170" t="e">
        <f t="shared" ca="true" si="33"/>
        <v>#REF!</v>
      </c>
      <c r="BF60" s="170" t="e">
        <f t="shared" ca="true" si="33"/>
        <v>#REF!</v>
      </c>
      <c r="BG60" s="170" t="e">
        <f t="shared" ca="true" si="33"/>
        <v>#REF!</v>
      </c>
      <c r="BH60" s="170" t="e">
        <f t="shared" ca="true" si="33"/>
        <v>#REF!</v>
      </c>
      <c r="BI60" s="170" t="e">
        <f t="shared" ca="true" si="33"/>
        <v>#REF!</v>
      </c>
      <c r="BJ60" s="170" t="e">
        <f t="shared" ca="true" si="33"/>
        <v>#REF!</v>
      </c>
      <c r="BK60" s="170" t="e">
        <f t="shared" ca="true" si="33"/>
        <v>#REF!</v>
      </c>
      <c r="BL60" s="170" t="e">
        <f t="shared" ca="true" si="33"/>
        <v>#REF!</v>
      </c>
      <c r="BM60" s="170" t="e">
        <f t="shared" ca="true" si="33"/>
        <v>#REF!</v>
      </c>
      <c r="BN60" s="170" t="e">
        <f t="shared" ca="true" si="33"/>
        <v>#REF!</v>
      </c>
      <c r="BO60" s="170" t="e">
        <f t="shared" ca="true" si="33"/>
        <v>#REF!</v>
      </c>
      <c r="BP60" s="170" t="e">
        <f t="shared" ca="true" si="33"/>
        <v>#REF!</v>
      </c>
      <c r="BQ60" s="170" t="e">
        <f t="shared" ca="true" si="33"/>
        <v>#REF!</v>
      </c>
      <c r="BR60" s="170" t="e">
        <f t="shared" ca="true" si="33"/>
        <v>#REF!</v>
      </c>
      <c r="BS60" s="170" t="e">
        <f t="shared" ca="true" si="33"/>
        <v>#REF!</v>
      </c>
      <c r="BT60" s="170" t="e">
        <f t="shared" ca="true" si="33"/>
        <v>#REF!</v>
      </c>
      <c r="BU60" s="170" t="e">
        <f t="shared" ca="true" si="33"/>
        <v>#REF!</v>
      </c>
      <c r="BV60" s="170" t="e">
        <f t="shared" ca="true" si="33"/>
        <v>#REF!</v>
      </c>
      <c r="BW60" s="170" t="e">
        <f t="shared" ca="true" si="33"/>
        <v>#REF!</v>
      </c>
      <c r="BX60" s="170" t="e">
        <f t="shared" ca="true" si="33"/>
        <v>#REF!</v>
      </c>
      <c r="BY60" s="170" t="e">
        <f t="shared" ca="true" si="33"/>
        <v>#REF!</v>
      </c>
      <c r="BZ60" s="170" t="e">
        <f t="shared" ca="true" si="33"/>
        <v>#REF!</v>
      </c>
      <c r="CA60" s="170" t="e">
        <f t="shared" ca="true" si="33"/>
        <v>#REF!</v>
      </c>
      <c r="CB60" s="170" t="e">
        <f t="shared" ca="true" si="33"/>
        <v>#REF!</v>
      </c>
      <c r="CC60" s="170" t="e">
        <f t="shared" ca="true" si="33"/>
        <v>#REF!</v>
      </c>
      <c r="CD60" s="170" t="e">
        <f t="shared" ca="true" si="33"/>
        <v>#REF!</v>
      </c>
      <c r="CE60" s="170" t="e">
        <f t="shared" ca="true" si="33"/>
        <v>#REF!</v>
      </c>
      <c r="CF60" s="170" t="e">
        <f t="shared" ca="true" si="33"/>
        <v>#REF!</v>
      </c>
      <c r="CG60" s="170" t="e">
        <f t="shared" ca="true" si="33"/>
        <v>#REF!</v>
      </c>
      <c r="CH60" s="170" t="e">
        <f t="shared" ca="true" si="33"/>
        <v>#REF!</v>
      </c>
      <c r="CI60" s="170" t="e">
        <f t="shared" ca="true" si="33"/>
        <v>#REF!</v>
      </c>
      <c r="CJ60" s="170" t="e">
        <f t="shared" ca="true" si="33"/>
        <v>#REF!</v>
      </c>
      <c r="CK60" s="170" t="e">
        <f t="shared" ca="true" si="33"/>
        <v>#REF!</v>
      </c>
      <c r="CL60" s="170" t="e">
        <f t="shared" ca="true" si="33"/>
        <v>#REF!</v>
      </c>
      <c r="CM60" s="170" t="e">
        <f t="shared" ca="true" si="33"/>
        <v>#REF!</v>
      </c>
      <c r="CN60" s="170" t="e">
        <f t="shared" ca="true" si="33"/>
        <v>#REF!</v>
      </c>
      <c r="CO60" s="170" t="e">
        <f t="shared" ca="true" si="33"/>
        <v>#REF!</v>
      </c>
      <c r="CP60" s="170"/>
      <c r="CQ60" s="178" t="e">
        <f t="shared" ca="true" si="27"/>
        <v>#REF!</v>
      </c>
      <c r="CR60" s="178" t="e">
        <f t="shared" ca="true" si="28"/>
        <v>#REF!</v>
      </c>
      <c r="CS60" s="178" t="e">
        <f t="shared" ca="true" si="29"/>
        <v>#REF!</v>
      </c>
      <c r="CT60" s="170" t="e">
        <f ca="true">SUM(CT55:CT59)+CT147+CT148+CT133+SUM(CT136:CT145)</f>
        <v>#REF!</v>
      </c>
      <c r="CU60" s="170" t="e">
        <f ca="true">SUM(CU55:CU59)+CU147+CU148+CU133+SUM(CU136:CU145)</f>
        <v>#REF!</v>
      </c>
      <c r="CV60" s="170" t="e">
        <f ca="true">SUM(CV55:CV59)+CV147+CV148+CV133+SUM(CV136:CV145)</f>
        <v>#REF!</v>
      </c>
      <c r="CW60" s="170" t="e">
        <f ca="true">SUM(CW55:CW59)+CW147+CW148+CW133+SUM(CW136:CW145)</f>
        <v>#REF!</v>
      </c>
      <c r="CX60" s="189">
        <f ca="true">SUM(CX55:CX59)+CX154</f>
        <v>0</v>
      </c>
      <c r="CY60" s="189" t="e">
        <f t="shared" ca="true" si="30"/>
        <v>#REF!</v>
      </c>
      <c r="CZ60" s="178" t="e">
        <f ca="true">SUM(CZ55:CZ59)+CZ154</f>
        <v>#REF!</v>
      </c>
      <c r="DA60" s="178" t="e">
        <f ca="true">SUM(DA55:DA59)+DA147+DA148+DA133+SUM(DA136:DA145)</f>
        <v>#REF!</v>
      </c>
      <c r="DB60" s="193"/>
    </row>
    <row r="61" spans="1:106">
      <c r="A61" s="161">
        <v>46</v>
      </c>
      <c r="B61" s="161"/>
      <c r="D61" s="154" t="s">
        <v>13908</v>
      </c>
      <c r="E61" s="169">
        <f t="shared" ca="true" si="17"/>
        <v>6119172.92</v>
      </c>
      <c r="F61" s="169">
        <f t="shared" ca="true" si="20"/>
        <v>5830011.28</v>
      </c>
      <c r="G61" s="172">
        <f ca="true">SUMIF('Bank Rec info'!$7:$7,G$7,'Bank Rec info'!$17:$17)</f>
        <v>2464107.35</v>
      </c>
      <c r="H61" s="170">
        <f ca="true">SUMIF('Bank Rec info'!$7:$7,H$7,'Bank Rec info'!$17:$17)</f>
        <v>0</v>
      </c>
      <c r="I61" s="170">
        <f ca="true">SUMIF('Bank Rec info'!$7:$7,I$7,'Bank Rec info'!$17:$17)</f>
        <v>0</v>
      </c>
      <c r="J61" s="170">
        <f ca="true">SUMIF('Bank Rec info'!$7:$7,J$7,'Bank Rec info'!$17:$17)</f>
        <v>0</v>
      </c>
      <c r="K61" s="170">
        <f ca="true">SUMIF('Bank Rec info'!$7:$7,K$7,'Bank Rec info'!$17:$17)</f>
        <v>22042.25</v>
      </c>
      <c r="L61" s="178">
        <f t="shared" ca="true" si="21"/>
        <v>2486149.6</v>
      </c>
      <c r="M61" s="170">
        <f ca="true">SUMIF('Bank Rec info'!$7:$7,M$7,'Bank Rec info'!$17:$17)</f>
        <v>1726370.53</v>
      </c>
      <c r="N61" s="170">
        <f ca="true">SUMIF('Bank Rec info'!$7:$7,N$7,'Bank Rec info'!$17:$17)</f>
        <v>0</v>
      </c>
      <c r="O61" s="178">
        <f t="shared" ca="true" si="22"/>
        <v>1726370.53</v>
      </c>
      <c r="P61" s="170">
        <f ca="true">SUMIF('Bank Rec info'!$7:$7,P$7,'Bank Rec info'!$17:$17)</f>
        <v>120821.63</v>
      </c>
      <c r="Q61" s="170">
        <f ca="true">SUMIF('Bank Rec info'!$7:$7,Q$7,'Bank Rec info'!$17:$17)</f>
        <v>7586.11</v>
      </c>
      <c r="R61" s="170">
        <f ca="true">SUMIF('Bank Rec info'!$7:$7,R$7,'Bank Rec info'!$17:$17)</f>
        <v>15212.52</v>
      </c>
      <c r="S61" s="170">
        <f ca="true">SUMIF('Bank Rec info'!$7:$7,S$7,'Bank Rec info'!$17:$17)</f>
        <v>11142.28</v>
      </c>
      <c r="T61" s="170">
        <f ca="true">SUMIF('Bank Rec info'!$7:$7,T$7,'Bank Rec info'!$17:$17)</f>
        <v>7278.2</v>
      </c>
      <c r="U61" s="170">
        <f ca="true">SUMIF('Bank Rec info'!$7:$7,U$7,'Bank Rec info'!$17:$17)</f>
        <v>22234.57</v>
      </c>
      <c r="V61" s="169">
        <f t="shared" ca="true" si="23"/>
        <v>184275.31</v>
      </c>
      <c r="W61" s="170">
        <f ca="true">SUMIF('Bank Rec info'!$7:$7,W$7,'Bank Rec info'!$17:$17)</f>
        <v>41467.04</v>
      </c>
      <c r="X61" s="170">
        <f ca="true">SUMIF('Bank Rec info'!$7:$7,X$7,'Bank Rec info'!$17:$17)</f>
        <v>66457.56</v>
      </c>
      <c r="Y61" s="178">
        <f t="shared" ca="true" si="24"/>
        <v>292199.91</v>
      </c>
      <c r="Z61" s="170">
        <f ca="true">SUMIF('Bank Rec info'!$7:$7,Z$7,'Bank Rec info'!$17:$17)</f>
        <v>67126.53</v>
      </c>
      <c r="AA61" s="170">
        <f ca="true">SUMIF('Bank Rec info'!$7:$7,AA$7,'Bank Rec info'!$17:$17)</f>
        <v>-785.55</v>
      </c>
      <c r="AB61" s="178">
        <f t="shared" ca="true" si="25"/>
        <v>66340.98</v>
      </c>
      <c r="AC61" s="170">
        <f ca="true">SUMIF('Bank Rec info'!$7:$7,AC$7,'Bank Rec info'!$17:$17)</f>
        <v>73090.45</v>
      </c>
      <c r="AD61" s="170">
        <f ca="true">SUMIF('Bank Rec info'!$7:$7,AD$7,'Bank Rec info'!$17:$17)</f>
        <v>16727.2</v>
      </c>
      <c r="AE61" s="170">
        <f ca="true">SUMIF('Bank Rec info'!$7:$7,AE$7,'Bank Rec info'!$17:$17)</f>
        <v>9599.42</v>
      </c>
      <c r="AF61" s="170">
        <f ca="true">SUMIF('Bank Rec info'!$7:$7,AF$7,'Bank Rec info'!$17:$17)</f>
        <v>21519.96</v>
      </c>
      <c r="AG61" s="170">
        <f ca="true">SUMIF('Bank Rec info'!$7:$7,AG$7,'Bank Rec info'!$17:$17)</f>
        <v>28968.29</v>
      </c>
      <c r="AH61" s="170">
        <f ca="true">SUMIF('Bank Rec info'!$7:$7,AH$7,'Bank Rec info'!$17:$17)</f>
        <v>15854.98</v>
      </c>
      <c r="AI61" s="170">
        <f ca="true">SUMIF('Bank Rec info'!$7:$7,AI$7,'Bank Rec info'!$17:$17)</f>
        <v>21855.01</v>
      </c>
      <c r="AJ61" s="170">
        <f ca="true">SUMIF('Bank Rec info'!$7:$7,AJ$7,'Bank Rec info'!$17:$17)</f>
        <v>29907.08</v>
      </c>
      <c r="AK61" s="170">
        <f ca="true">SUMIF('Bank Rec info'!$7:$7,AK$7,'Bank Rec info'!$17:$17)</f>
        <v>26237.78</v>
      </c>
      <c r="AL61" s="178">
        <f t="shared" ca="true" si="26"/>
        <v>144343.1</v>
      </c>
      <c r="AM61" s="170">
        <f ca="true">SUMIF('Bank Rec info'!$7:$7,AM$7,'Bank Rec info'!$17:$17)</f>
        <v>39.69</v>
      </c>
      <c r="AN61" s="170">
        <f ca="true">SUMIF('Bank Rec info'!$7:$7,AN$7,'Bank Rec info'!$17:$17)</f>
        <v>14314.7</v>
      </c>
      <c r="AO61" s="170">
        <f ca="true">SUMIF('Bank Rec info'!$7:$7,AO$7,'Bank Rec info'!$17:$17)</f>
        <v>30165.97</v>
      </c>
      <c r="AP61" s="170">
        <f ca="true">SUMIF('Bank Rec info'!$7:$7,AP$7,'Bank Rec info'!$17:$17)</f>
        <v>0</v>
      </c>
      <c r="AQ61" s="170">
        <f ca="true">SUMIF('Bank Rec info'!$7:$7,AQ$7,'Bank Rec info'!$17:$17)</f>
        <v>33100.88</v>
      </c>
      <c r="AR61" s="170">
        <f ca="true">SUMIF('Bank Rec info'!$7:$7,AR$7,'Bank Rec info'!$17:$17)</f>
        <v>0</v>
      </c>
      <c r="AS61" s="170">
        <f ca="true">SUMIF('Bank Rec info'!$7:$7,AS$7,'Bank Rec info'!$17:$17)</f>
        <v>11078.66</v>
      </c>
      <c r="AT61" s="170">
        <f ca="true">SUMIF('Bank Rec info'!$7:$7,AT$7,'Bank Rec info'!$17:$17)</f>
        <v>15067.99</v>
      </c>
      <c r="AU61" s="170">
        <f ca="true">SUMIF('Bank Rec info'!$7:$7,AU$7,'Bank Rec info'!$17:$17)</f>
        <v>20277.41</v>
      </c>
      <c r="AV61" s="170">
        <f ca="true">SUMIF('Bank Rec info'!$7:$7,AV$7,'Bank Rec info'!$17:$17)</f>
        <v>21033.44</v>
      </c>
      <c r="AW61" s="170">
        <f ca="true">SUMIF('Bank Rec info'!$7:$7,AW$7,'Bank Rec info'!$17:$17)</f>
        <v>0</v>
      </c>
      <c r="AX61" s="170">
        <f ca="true">SUMIF('Bank Rec info'!$7:$7,AX$7,'Bank Rec info'!$17:$17)</f>
        <v>0</v>
      </c>
      <c r="AY61" s="170">
        <f ca="true">SUMIF('Bank Rec info'!$7:$7,AY$7,'Bank Rec info'!$17:$17)</f>
        <v>0</v>
      </c>
      <c r="AZ61" s="170">
        <f ca="true">SUMIF('Bank Rec info'!$7:$7,AZ$7,'Bank Rec info'!$17:$17)</f>
        <v>6178.86</v>
      </c>
      <c r="BA61" s="170">
        <f ca="true">SUMIF('Bank Rec info'!$7:$7,BA$7,'Bank Rec info'!$17:$17)</f>
        <v>23298.94</v>
      </c>
      <c r="BB61" s="170">
        <f ca="true">SUMIF('Bank Rec info'!$7:$7,BB$7,'Bank Rec info'!$17:$17)</f>
        <v>0</v>
      </c>
      <c r="BC61" s="170">
        <f ca="true">SUMIF('Bank Rec info'!$7:$7,BC$7,'Bank Rec info'!$17:$17)</f>
        <v>35702.52</v>
      </c>
      <c r="BD61" s="170">
        <f ca="true">SUMIF('Bank Rec info'!$7:$7,BD$7,'Bank Rec info'!$17:$17)</f>
        <v>21855.01</v>
      </c>
      <c r="BE61" s="170">
        <f ca="true">SUMIF('Bank Rec info'!$7:$7,BE$7,'Bank Rec info'!$17:$17)</f>
        <v>19084.84</v>
      </c>
      <c r="BF61" s="170">
        <f ca="true">SUMIF('Bank Rec info'!$7:$7,BF$7,'Bank Rec info'!$17:$17)</f>
        <v>53574.87</v>
      </c>
      <c r="BG61" s="170">
        <f ca="true">SUMIF('Bank Rec info'!$7:$7,BG$7,'Bank Rec info'!$17:$17)</f>
        <v>31330.48</v>
      </c>
      <c r="BH61" s="170">
        <f ca="true">SUMIF('Bank Rec info'!$7:$7,BH$7,'Bank Rec info'!$17:$17)</f>
        <v>0</v>
      </c>
      <c r="BI61" s="170">
        <f ca="true">SUMIF('Bank Rec info'!$7:$7,BI$7,'Bank Rec info'!$17:$17)</f>
        <v>23186.23</v>
      </c>
      <c r="BJ61" s="170">
        <f ca="true">SUMIF('Bank Rec info'!$7:$7,BJ$7,'Bank Rec info'!$17:$17)</f>
        <v>0</v>
      </c>
      <c r="BK61" s="170">
        <f ca="true">SUMIF('Bank Rec info'!$7:$7,BK$7,'Bank Rec info'!$17:$17)</f>
        <v>2850.56</v>
      </c>
      <c r="BL61" s="170">
        <f ca="true">SUMIF('Bank Rec info'!$7:$7,BL$7,'Bank Rec info'!$17:$17)</f>
        <v>21171.73</v>
      </c>
      <c r="BM61" s="170">
        <f ca="true">SUMIF('Bank Rec info'!$7:$7,BM$7,'Bank Rec info'!$17:$17)</f>
        <v>35026.5</v>
      </c>
      <c r="BN61" s="170">
        <f ca="true">SUMIF('Bank Rec info'!$7:$7,BN$7,'Bank Rec info'!$17:$17)</f>
        <v>20589.16</v>
      </c>
      <c r="BO61" s="170">
        <f ca="true">SUMIF('Bank Rec info'!$7:$7,BO$7,'Bank Rec info'!$17:$17)</f>
        <v>0</v>
      </c>
      <c r="BP61" s="170">
        <f ca="true">SUMIF('Bank Rec info'!$7:$7,BP$7,'Bank Rec info'!$17:$17)</f>
        <v>23825.11</v>
      </c>
      <c r="BQ61" s="170">
        <f ca="true">SUMIF('Bank Rec info'!$7:$7,BQ$7,'Bank Rec info'!$17:$17)</f>
        <v>21038.79</v>
      </c>
      <c r="BR61" s="170">
        <f ca="true">SUMIF('Bank Rec info'!$7:$7,BR$7,'Bank Rec info'!$17:$17)</f>
        <v>12091.58</v>
      </c>
      <c r="BS61" s="170">
        <f ca="true">SUMIF('Bank Rec info'!$7:$7,BS$7,'Bank Rec info'!$17:$17)</f>
        <v>0</v>
      </c>
      <c r="BT61" s="170">
        <f ca="true">SUMIF('Bank Rec info'!$7:$7,BT$7,'Bank Rec info'!$17:$17)</f>
        <v>0</v>
      </c>
      <c r="BU61" s="170">
        <f ca="true">SUMIF('Bank Rec info'!$7:$7,BU$7,'Bank Rec info'!$17:$17)</f>
        <v>0</v>
      </c>
      <c r="BV61" s="170">
        <f ca="true">SUMIF('Bank Rec info'!$7:$7,BV$7,'Bank Rec info'!$17:$17)</f>
        <v>0</v>
      </c>
      <c r="BW61" s="170">
        <f ca="true">SUMIF('Bank Rec info'!$7:$7,BW$7,'Bank Rec info'!$17:$17)</f>
        <v>78548.95</v>
      </c>
      <c r="BX61" s="170">
        <f ca="true">SUMIF('Bank Rec info'!$7:$7,BX$7,'Bank Rec info'!$17:$17)</f>
        <v>65438.26</v>
      </c>
      <c r="BY61" s="170">
        <f ca="true">SUMIF('Bank Rec info'!$7:$7,BY$7,'Bank Rec info'!$17:$17)</f>
        <v>0</v>
      </c>
      <c r="BZ61" s="170">
        <f ca="true">SUMIF('Bank Rec info'!$7:$7,BZ$7,'Bank Rec info'!$17:$17)</f>
        <v>9655.37</v>
      </c>
      <c r="CA61" s="170">
        <f ca="true">SUMIF('Bank Rec info'!$7:$7,CA$7,'Bank Rec info'!$17:$17)</f>
        <v>42631.54</v>
      </c>
      <c r="CB61" s="170">
        <f ca="true">SUMIF('Bank Rec info'!$7:$7,CB$7,'Bank Rec info'!$17:$17)</f>
        <v>41137.04</v>
      </c>
      <c r="CC61" s="170">
        <f ca="true">SUMIF('Bank Rec info'!$7:$7,CC$7,'Bank Rec info'!$17:$17)</f>
        <v>17464.09</v>
      </c>
      <c r="CD61" s="170">
        <f ca="true">SUMIF('Bank Rec info'!$7:$7,CD$7,'Bank Rec info'!$17:$17)</f>
        <v>24985.08</v>
      </c>
      <c r="CE61" s="170">
        <f ca="true">SUMIF('Bank Rec info'!$7:$7,CE$7,'Bank Rec info'!$17:$17)</f>
        <v>27429.89</v>
      </c>
      <c r="CF61" s="170">
        <f ca="true">SUMIF('Bank Rec info'!$7:$7,CF$7,'Bank Rec info'!$17:$17)</f>
        <v>0</v>
      </c>
      <c r="CG61" s="170">
        <f ca="true">SUMIF('Bank Rec info'!$7:$7,CG$7,'Bank Rec info'!$17:$17)</f>
        <v>5828.43</v>
      </c>
      <c r="CH61" s="170">
        <f ca="true">SUMIF('Bank Rec info'!$7:$7,CH$7,'Bank Rec info'!$17:$17)</f>
        <v>1563.76</v>
      </c>
      <c r="CI61" s="170">
        <f ca="true">SUMIF('Bank Rec info'!$7:$7,CI$7,'Bank Rec info'!$17:$17)</f>
        <v>16687.57</v>
      </c>
      <c r="CJ61" s="170">
        <f ca="true">SUMIF('Bank Rec info'!$7:$7,CJ$7,'Bank Rec info'!$17:$17)</f>
        <v>23082</v>
      </c>
      <c r="CK61" s="170">
        <f ca="true">SUMIF('Bank Rec info'!$7:$7,CK$7,'Bank Rec info'!$17:$17)</f>
        <v>5369.29</v>
      </c>
      <c r="CL61" s="170">
        <f ca="true">SUMIF('Bank Rec info'!$7:$7,CL$7,'Bank Rec info'!$17:$17)</f>
        <v>18775.38</v>
      </c>
      <c r="CM61" s="170">
        <f ca="true">SUMIF('Bank Rec info'!$7:$7,CM$7,'Bank Rec info'!$17:$17)</f>
        <v>47269.03</v>
      </c>
      <c r="CN61" s="170">
        <f ca="true">SUMIF('Bank Rec info'!$7:$7,CN$7,'Bank Rec info'!$17:$17)</f>
        <v>51430.9</v>
      </c>
      <c r="CO61" s="170">
        <f ca="true">SUMIF('Bank Rec info'!$7:$7,CO$7,'Bank Rec info'!$17:$17)</f>
        <v>42009.59</v>
      </c>
      <c r="CP61" s="170"/>
      <c r="CQ61" s="178">
        <f t="shared" ca="true" si="27"/>
        <v>1015190.09</v>
      </c>
      <c r="CR61" s="178">
        <f t="shared" ca="true" si="28"/>
        <v>1159533.19</v>
      </c>
      <c r="CS61" s="178">
        <f t="shared" ca="true" si="29"/>
        <v>171317.57</v>
      </c>
      <c r="CT61" s="185">
        <f ca="true">SUMIF('Bank Rec info'!$7:$7,CT$7,'Bank Rec info'!$17:$17)</f>
        <v>0</v>
      </c>
      <c r="CU61" s="170">
        <f ca="true">SUMIF('Bank Rec info'!$7:$7,CU$7,'Bank Rec info'!$17:$17)</f>
        <v>22652.59</v>
      </c>
      <c r="CV61" s="170">
        <f ca="true">SUMIF('Bank Rec info'!$7:$7,CV$7,'Bank Rec info'!$17:$17)</f>
        <v>148664.98</v>
      </c>
      <c r="CW61" s="189">
        <f ca="true">SUMIF('Bank Rec info'!$7:$7,CW$7,'Bank Rec info'!$17:$17)</f>
        <v>0</v>
      </c>
      <c r="CX61" s="189">
        <f ca="true">SUMIF('Bank Rec info'!$7:$7,CX$7,'Bank Rec info'!$17:$17)</f>
        <v>0</v>
      </c>
      <c r="CY61" s="189">
        <f t="shared" ca="true" si="30"/>
        <v>171317.57</v>
      </c>
      <c r="CZ61" s="178">
        <f ca="true">SUMIF('Bank Rec info'!$7:$7,CZ$7,'Bank Rec info'!$17:$17)</f>
        <v>0</v>
      </c>
      <c r="DA61" s="178">
        <f ca="true">SUMIF('Bank Rec info'!$7:$7,DA$7,'Bank Rec info'!$17:$17)</f>
        <v>117844.07</v>
      </c>
      <c r="DB61" s="193"/>
    </row>
    <row r="62" spans="1:106">
      <c r="A62" s="161">
        <v>47</v>
      </c>
      <c r="B62" s="161"/>
      <c r="D62" s="154" t="s">
        <v>13909</v>
      </c>
      <c r="E62" s="169" t="e">
        <f t="shared" ca="true" si="17"/>
        <v>#REF!</v>
      </c>
      <c r="F62" s="169" t="e">
        <f t="shared" ca="true" si="20"/>
        <v>#REF!</v>
      </c>
      <c r="G62" s="171" t="e">
        <f ca="true">+G61-G60</f>
        <v>#REF!</v>
      </c>
      <c r="H62" s="171" t="e">
        <f ca="true">+H61-H60</f>
        <v>#REF!</v>
      </c>
      <c r="I62" s="171" t="e">
        <f ca="true">+I61-I60</f>
        <v>#REF!</v>
      </c>
      <c r="J62" s="171" t="e">
        <f ca="true">+J61-J60</f>
        <v>#REF!</v>
      </c>
      <c r="K62" s="171" t="e">
        <f ca="true">+K61-K60</f>
        <v>#REF!</v>
      </c>
      <c r="L62" s="178" t="e">
        <f t="shared" ca="true" si="21"/>
        <v>#REF!</v>
      </c>
      <c r="M62" s="171" t="e">
        <f ca="true">+M61-M60</f>
        <v>#REF!</v>
      </c>
      <c r="N62" s="171" t="e">
        <f ca="true">+N61-N60</f>
        <v>#REF!</v>
      </c>
      <c r="O62" s="178" t="e">
        <f t="shared" ca="true" si="22"/>
        <v>#REF!</v>
      </c>
      <c r="P62" s="171" t="e">
        <f t="shared" ref="P62:U62" ca="true" si="34">+P61-P60</f>
        <v>#REF!</v>
      </c>
      <c r="Q62" s="171" t="e">
        <f t="shared" ca="true" si="34"/>
        <v>#REF!</v>
      </c>
      <c r="R62" s="171" t="e">
        <f t="shared" ca="true" si="34"/>
        <v>#REF!</v>
      </c>
      <c r="S62" s="171" t="e">
        <f t="shared" ca="true" si="34"/>
        <v>#REF!</v>
      </c>
      <c r="T62" s="171" t="e">
        <f t="shared" ca="true" si="34"/>
        <v>#REF!</v>
      </c>
      <c r="U62" s="171" t="e">
        <f t="shared" ca="true" si="34"/>
        <v>#REF!</v>
      </c>
      <c r="V62" s="169" t="e">
        <f t="shared" ca="true" si="23"/>
        <v>#REF!</v>
      </c>
      <c r="W62" s="171" t="e">
        <f ca="true">+W61-W60</f>
        <v>#REF!</v>
      </c>
      <c r="X62" s="171" t="e">
        <f ca="true">+X61-X60</f>
        <v>#REF!</v>
      </c>
      <c r="Y62" s="178" t="e">
        <f t="shared" ca="true" si="24"/>
        <v>#REF!</v>
      </c>
      <c r="Z62" s="171" t="e">
        <f ca="true">+Z61-Z60</f>
        <v>#REF!</v>
      </c>
      <c r="AA62" s="171" t="e">
        <f ca="true">+AA61-AA60</f>
        <v>#REF!</v>
      </c>
      <c r="AB62" s="178" t="e">
        <f t="shared" ca="true" si="25"/>
        <v>#REF!</v>
      </c>
      <c r="AC62" s="171" t="e">
        <f t="shared" ref="AC62:AK62" ca="true" si="35">+AC61-AC60</f>
        <v>#REF!</v>
      </c>
      <c r="AD62" s="171" t="e">
        <f t="shared" ca="true" si="35"/>
        <v>#REF!</v>
      </c>
      <c r="AE62" s="171" t="e">
        <f t="shared" ca="true" si="35"/>
        <v>#REF!</v>
      </c>
      <c r="AF62" s="171" t="e">
        <f t="shared" ca="true" si="35"/>
        <v>#REF!</v>
      </c>
      <c r="AG62" s="171" t="e">
        <f t="shared" ca="true" si="35"/>
        <v>#REF!</v>
      </c>
      <c r="AH62" s="171" t="e">
        <f t="shared" ca="true" si="35"/>
        <v>#REF!</v>
      </c>
      <c r="AI62" s="171" t="e">
        <f t="shared" ca="true" si="35"/>
        <v>#REF!</v>
      </c>
      <c r="AJ62" s="171" t="e">
        <f t="shared" ca="true" si="35"/>
        <v>#REF!</v>
      </c>
      <c r="AK62" s="171" t="e">
        <f t="shared" ca="true" si="35"/>
        <v>#REF!</v>
      </c>
      <c r="AL62" s="178" t="e">
        <f t="shared" ca="true" si="26"/>
        <v>#REF!</v>
      </c>
      <c r="AM62" s="171" t="e">
        <f t="shared" ref="AM62:CO62" ca="true" si="36">+AM61-AM60</f>
        <v>#REF!</v>
      </c>
      <c r="AN62" s="171" t="e">
        <f t="shared" ca="true" si="36"/>
        <v>#REF!</v>
      </c>
      <c r="AO62" s="171" t="e">
        <f t="shared" ca="true" si="36"/>
        <v>#REF!</v>
      </c>
      <c r="AP62" s="171" t="e">
        <f t="shared" ca="true" si="36"/>
        <v>#REF!</v>
      </c>
      <c r="AQ62" s="171" t="e">
        <f t="shared" ca="true" si="36"/>
        <v>#REF!</v>
      </c>
      <c r="AR62" s="171" t="e">
        <f t="shared" ca="true" si="36"/>
        <v>#REF!</v>
      </c>
      <c r="AS62" s="171" t="e">
        <f t="shared" ca="true" si="36"/>
        <v>#REF!</v>
      </c>
      <c r="AT62" s="171" t="e">
        <f t="shared" ca="true" si="36"/>
        <v>#REF!</v>
      </c>
      <c r="AU62" s="171" t="e">
        <f t="shared" ca="true" si="36"/>
        <v>#REF!</v>
      </c>
      <c r="AV62" s="171" t="e">
        <f t="shared" ca="true" si="36"/>
        <v>#REF!</v>
      </c>
      <c r="AW62" s="171" t="e">
        <f t="shared" ca="true" si="36"/>
        <v>#REF!</v>
      </c>
      <c r="AX62" s="171" t="e">
        <f t="shared" ca="true" si="36"/>
        <v>#REF!</v>
      </c>
      <c r="AY62" s="171" t="e">
        <f t="shared" ca="true" si="36"/>
        <v>#REF!</v>
      </c>
      <c r="AZ62" s="171" t="e">
        <f t="shared" ca="true" si="36"/>
        <v>#REF!</v>
      </c>
      <c r="BA62" s="171" t="e">
        <f t="shared" ca="true" si="36"/>
        <v>#REF!</v>
      </c>
      <c r="BB62" s="171" t="e">
        <f t="shared" ca="true" si="36"/>
        <v>#REF!</v>
      </c>
      <c r="BC62" s="171" t="e">
        <f t="shared" ca="true" si="36"/>
        <v>#REF!</v>
      </c>
      <c r="BD62" s="171" t="e">
        <f t="shared" ca="true" si="36"/>
        <v>#REF!</v>
      </c>
      <c r="BE62" s="171" t="e">
        <f t="shared" ca="true" si="36"/>
        <v>#REF!</v>
      </c>
      <c r="BF62" s="171" t="e">
        <f t="shared" ca="true" si="36"/>
        <v>#REF!</v>
      </c>
      <c r="BG62" s="171" t="e">
        <f t="shared" ca="true" si="36"/>
        <v>#REF!</v>
      </c>
      <c r="BH62" s="171" t="e">
        <f t="shared" ca="true" si="36"/>
        <v>#REF!</v>
      </c>
      <c r="BI62" s="171" t="e">
        <f t="shared" ca="true" si="36"/>
        <v>#REF!</v>
      </c>
      <c r="BJ62" s="171" t="e">
        <f t="shared" ca="true" si="36"/>
        <v>#REF!</v>
      </c>
      <c r="BK62" s="171" t="e">
        <f t="shared" ca="true" si="36"/>
        <v>#REF!</v>
      </c>
      <c r="BL62" s="171" t="e">
        <f t="shared" ca="true" si="36"/>
        <v>#REF!</v>
      </c>
      <c r="BM62" s="171" t="e">
        <f t="shared" ca="true" si="36"/>
        <v>#REF!</v>
      </c>
      <c r="BN62" s="171" t="e">
        <f t="shared" ca="true" si="36"/>
        <v>#REF!</v>
      </c>
      <c r="BO62" s="171" t="e">
        <f t="shared" ca="true" si="36"/>
        <v>#REF!</v>
      </c>
      <c r="BP62" s="171" t="e">
        <f t="shared" ca="true" si="36"/>
        <v>#REF!</v>
      </c>
      <c r="BQ62" s="171" t="e">
        <f t="shared" ca="true" si="36"/>
        <v>#REF!</v>
      </c>
      <c r="BR62" s="171" t="e">
        <f t="shared" ca="true" si="36"/>
        <v>#REF!</v>
      </c>
      <c r="BS62" s="171" t="e">
        <f t="shared" ca="true" si="36"/>
        <v>#REF!</v>
      </c>
      <c r="BT62" s="171" t="e">
        <f t="shared" ca="true" si="36"/>
        <v>#REF!</v>
      </c>
      <c r="BU62" s="171" t="e">
        <f t="shared" ca="true" si="36"/>
        <v>#REF!</v>
      </c>
      <c r="BV62" s="171" t="e">
        <f t="shared" ca="true" si="36"/>
        <v>#REF!</v>
      </c>
      <c r="BW62" s="171" t="e">
        <f t="shared" ca="true" si="36"/>
        <v>#REF!</v>
      </c>
      <c r="BX62" s="171" t="e">
        <f t="shared" ca="true" si="36"/>
        <v>#REF!</v>
      </c>
      <c r="BY62" s="171" t="e">
        <f t="shared" ca="true" si="36"/>
        <v>#REF!</v>
      </c>
      <c r="BZ62" s="171" t="e">
        <f t="shared" ca="true" si="36"/>
        <v>#REF!</v>
      </c>
      <c r="CA62" s="171" t="e">
        <f t="shared" ca="true" si="36"/>
        <v>#REF!</v>
      </c>
      <c r="CB62" s="171" t="e">
        <f t="shared" ca="true" si="36"/>
        <v>#REF!</v>
      </c>
      <c r="CC62" s="171" t="e">
        <f t="shared" ca="true" si="36"/>
        <v>#REF!</v>
      </c>
      <c r="CD62" s="171" t="e">
        <f t="shared" ca="true" si="36"/>
        <v>#REF!</v>
      </c>
      <c r="CE62" s="171" t="e">
        <f t="shared" ca="true" si="36"/>
        <v>#REF!</v>
      </c>
      <c r="CF62" s="171" t="e">
        <f t="shared" ca="true" si="36"/>
        <v>#REF!</v>
      </c>
      <c r="CG62" s="171" t="e">
        <f t="shared" ca="true" si="36"/>
        <v>#REF!</v>
      </c>
      <c r="CH62" s="171" t="e">
        <f t="shared" ca="true" si="36"/>
        <v>#REF!</v>
      </c>
      <c r="CI62" s="171" t="e">
        <f t="shared" ca="true" si="36"/>
        <v>#REF!</v>
      </c>
      <c r="CJ62" s="171" t="e">
        <f t="shared" ca="true" si="36"/>
        <v>#REF!</v>
      </c>
      <c r="CK62" s="171" t="e">
        <f t="shared" ca="true" si="36"/>
        <v>#REF!</v>
      </c>
      <c r="CL62" s="171" t="e">
        <f t="shared" ca="true" si="36"/>
        <v>#REF!</v>
      </c>
      <c r="CM62" s="171" t="e">
        <f t="shared" ca="true" si="36"/>
        <v>#REF!</v>
      </c>
      <c r="CN62" s="171" t="e">
        <f t="shared" ca="true" si="36"/>
        <v>#REF!</v>
      </c>
      <c r="CO62" s="171" t="e">
        <f t="shared" ca="true" si="36"/>
        <v>#REF!</v>
      </c>
      <c r="CP62" s="171"/>
      <c r="CQ62" s="178" t="e">
        <f t="shared" ca="true" si="27"/>
        <v>#REF!</v>
      </c>
      <c r="CR62" s="178" t="e">
        <f t="shared" ca="true" si="28"/>
        <v>#REF!</v>
      </c>
      <c r="CS62" s="178" t="e">
        <f t="shared" ca="true" si="29"/>
        <v>#REF!</v>
      </c>
      <c r="CT62" s="186" t="e">
        <f t="shared" ref="CT62:DA62" ca="true" si="37">+CT61-CT60</f>
        <v>#REF!</v>
      </c>
      <c r="CU62" s="171" t="e">
        <f t="shared" ca="true" si="37"/>
        <v>#REF!</v>
      </c>
      <c r="CV62" s="171" t="e">
        <f t="shared" ca="true" si="37"/>
        <v>#REF!</v>
      </c>
      <c r="CW62" s="190" t="e">
        <f t="shared" ca="true" si="37"/>
        <v>#REF!</v>
      </c>
      <c r="CX62" s="190">
        <f t="shared" ca="true" si="37"/>
        <v>0</v>
      </c>
      <c r="CY62" s="190" t="e">
        <f t="shared" ca="true" si="37"/>
        <v>#REF!</v>
      </c>
      <c r="CZ62" s="178" t="e">
        <f t="shared" ca="true" si="37"/>
        <v>#REF!</v>
      </c>
      <c r="DA62" s="178" t="e">
        <f t="shared" ca="true" si="37"/>
        <v>#REF!</v>
      </c>
      <c r="DB62" s="193"/>
    </row>
    <row r="63" spans="1:106">
      <c r="A63" s="161">
        <v>48</v>
      </c>
      <c r="B63" s="161"/>
      <c r="E63" s="169"/>
      <c r="F63" s="169"/>
      <c r="G63" s="171"/>
      <c r="H63" s="171"/>
      <c r="I63" s="171"/>
      <c r="J63" s="171"/>
      <c r="K63" s="171"/>
      <c r="L63" s="178"/>
      <c r="M63" s="171"/>
      <c r="N63" s="171"/>
      <c r="O63" s="178"/>
      <c r="P63" s="171"/>
      <c r="Q63" s="171"/>
      <c r="R63" s="171"/>
      <c r="S63" s="171"/>
      <c r="T63" s="171"/>
      <c r="U63" s="171"/>
      <c r="V63" s="169"/>
      <c r="W63" s="171"/>
      <c r="X63" s="171"/>
      <c r="Y63" s="178"/>
      <c r="Z63" s="171"/>
      <c r="AA63" s="171"/>
      <c r="AB63" s="178"/>
      <c r="AC63" s="171"/>
      <c r="AD63" s="171"/>
      <c r="AE63" s="171"/>
      <c r="AF63" s="171"/>
      <c r="AG63" s="171"/>
      <c r="AH63" s="171"/>
      <c r="AI63" s="171"/>
      <c r="AJ63" s="171"/>
      <c r="AK63" s="171"/>
      <c r="AL63" s="178"/>
      <c r="AM63" s="171"/>
      <c r="AN63" s="171"/>
      <c r="AO63" s="171"/>
      <c r="AP63" s="171"/>
      <c r="AQ63" s="171"/>
      <c r="AR63" s="171"/>
      <c r="AS63" s="171"/>
      <c r="AT63" s="171"/>
      <c r="AU63" s="171"/>
      <c r="AV63" s="171"/>
      <c r="AW63" s="171"/>
      <c r="AX63" s="171"/>
      <c r="AY63" s="171"/>
      <c r="AZ63" s="171"/>
      <c r="BA63" s="171"/>
      <c r="BB63" s="171"/>
      <c r="BC63" s="171"/>
      <c r="BD63" s="171"/>
      <c r="BE63" s="171"/>
      <c r="BF63" s="171"/>
      <c r="BG63" s="171"/>
      <c r="BH63" s="171"/>
      <c r="BI63" s="171"/>
      <c r="BJ63" s="171"/>
      <c r="BK63" s="171"/>
      <c r="BL63" s="171"/>
      <c r="BM63" s="171"/>
      <c r="BN63" s="171"/>
      <c r="BO63" s="171"/>
      <c r="BP63" s="171"/>
      <c r="BQ63" s="171"/>
      <c r="BR63" s="171"/>
      <c r="BS63" s="171"/>
      <c r="BT63" s="171"/>
      <c r="BU63" s="171"/>
      <c r="BV63" s="171"/>
      <c r="BW63" s="171"/>
      <c r="BX63" s="171"/>
      <c r="BY63" s="171"/>
      <c r="BZ63" s="171"/>
      <c r="CA63" s="171"/>
      <c r="CB63" s="171"/>
      <c r="CC63" s="171"/>
      <c r="CD63" s="171"/>
      <c r="CE63" s="171"/>
      <c r="CF63" s="171"/>
      <c r="CG63" s="171"/>
      <c r="CH63" s="171"/>
      <c r="CI63" s="171"/>
      <c r="CJ63" s="171"/>
      <c r="CK63" s="171"/>
      <c r="CL63" s="171"/>
      <c r="CM63" s="171"/>
      <c r="CN63" s="171"/>
      <c r="CO63" s="171"/>
      <c r="CP63" s="171"/>
      <c r="CQ63" s="178"/>
      <c r="CR63" s="178"/>
      <c r="CS63" s="178"/>
      <c r="CT63" s="186"/>
      <c r="CU63" s="171"/>
      <c r="CV63" s="171"/>
      <c r="CW63" s="190"/>
      <c r="CX63" s="190"/>
      <c r="CY63" s="190"/>
      <c r="CZ63" s="178"/>
      <c r="DA63" s="178"/>
      <c r="DB63" s="193"/>
    </row>
    <row r="64" spans="1:106">
      <c r="A64" s="165"/>
      <c r="B64" s="166"/>
      <c r="C64" s="165"/>
      <c r="D64" s="165"/>
      <c r="E64" s="173"/>
      <c r="F64" s="173"/>
      <c r="G64" s="174"/>
      <c r="H64" s="174"/>
      <c r="I64" s="174"/>
      <c r="J64" s="174"/>
      <c r="K64" s="174"/>
      <c r="L64" s="179"/>
      <c r="M64" s="174"/>
      <c r="N64" s="174"/>
      <c r="O64" s="179"/>
      <c r="P64" s="174"/>
      <c r="Q64" s="174"/>
      <c r="R64" s="174"/>
      <c r="S64" s="174"/>
      <c r="T64" s="174"/>
      <c r="U64" s="174"/>
      <c r="V64" s="173"/>
      <c r="W64" s="174"/>
      <c r="X64" s="174"/>
      <c r="Y64" s="179"/>
      <c r="Z64" s="174"/>
      <c r="AA64" s="174"/>
      <c r="AB64" s="179"/>
      <c r="AC64" s="174"/>
      <c r="AD64" s="174"/>
      <c r="AE64" s="174"/>
      <c r="AF64" s="174"/>
      <c r="AG64" s="174"/>
      <c r="AH64" s="174"/>
      <c r="AI64" s="174"/>
      <c r="AJ64" s="174"/>
      <c r="AK64" s="174"/>
      <c r="AL64" s="179"/>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c r="CC64" s="174"/>
      <c r="CD64" s="174"/>
      <c r="CE64" s="174"/>
      <c r="CF64" s="174"/>
      <c r="CG64" s="174"/>
      <c r="CH64" s="174"/>
      <c r="CI64" s="174"/>
      <c r="CJ64" s="174"/>
      <c r="CK64" s="174"/>
      <c r="CL64" s="174"/>
      <c r="CM64" s="174"/>
      <c r="CN64" s="174"/>
      <c r="CO64" s="174"/>
      <c r="CP64" s="174"/>
      <c r="CQ64" s="179"/>
      <c r="CR64" s="179"/>
      <c r="CS64" s="179"/>
      <c r="CT64" s="187"/>
      <c r="CU64" s="174"/>
      <c r="CV64" s="174"/>
      <c r="CW64" s="192"/>
      <c r="CX64" s="192"/>
      <c r="CY64" s="192"/>
      <c r="CZ64" s="179"/>
      <c r="DA64" s="179"/>
      <c r="DB64" s="193"/>
    </row>
    <row r="65" spans="1:106">
      <c r="A65" s="154">
        <v>4</v>
      </c>
      <c r="B65" s="161" t="s">
        <v>13890</v>
      </c>
      <c r="D65" s="154" t="s">
        <v>13890</v>
      </c>
      <c r="E65" s="198">
        <f t="shared" ref="E65:E84" ca="true" si="38">+F65+CS65+CZ65+DA65</f>
        <v>255030.419999993</v>
      </c>
      <c r="F65" s="153">
        <f t="shared" ref="F65:F84" ca="true" si="39">SUM(G65:K65,M65:N65,P65:U65,W65:X65,Z65:AA65,AC65:AK65,AM65:CP65)</f>
        <v>217265.299999993</v>
      </c>
      <c r="G65" s="152">
        <f>-SUMIF($B$4:$B$53,$B65,G$4:G$53)</f>
        <v>830047.979999993</v>
      </c>
      <c r="H65" s="152">
        <f>-SUMIF($B$4:$B$53,$B65,H$4:H$53)</f>
        <v>-23753.2699999999</v>
      </c>
      <c r="I65" s="152">
        <f>-SUMIF($B$4:$B$53,$B65,I$4:I$53)</f>
        <v>56792.96</v>
      </c>
      <c r="J65" s="152">
        <f>-SUMIF($B$4:$B$53,$B65,J$4:J$53)</f>
        <v>28906.28</v>
      </c>
      <c r="K65" s="152">
        <f>-SUMIF($B$4:$B$53,$B65,K$4:K$53)</f>
        <v>19838.28</v>
      </c>
      <c r="L65" s="205">
        <f t="shared" ref="L65:L79" si="40">+SUM(G65:K65)</f>
        <v>911832.229999993</v>
      </c>
      <c r="M65" s="152">
        <f>-SUMIF($B$4:$B$53,$B65,M$4:M$53)</f>
        <v>88069.08</v>
      </c>
      <c r="N65" s="152">
        <f>-SUMIF($B$4:$B$53,$B65,N$4:N$53)</f>
        <v>92904.46</v>
      </c>
      <c r="O65" s="205">
        <f t="shared" ref="O65:O84" si="41">+SUM(M65:N65)</f>
        <v>180973.54</v>
      </c>
      <c r="P65" s="152">
        <f ca="true">-SUMIF($B$4:$B$53,$B65,P$4:P$53)</f>
        <v>13625.96</v>
      </c>
      <c r="Q65" s="152">
        <f ca="true">-SUMIF($B$4:$B$53,$B65,Q$4:Q$53)</f>
        <v>14077.19</v>
      </c>
      <c r="R65" s="152">
        <f ca="true">-SUMIF($B$4:$B$53,$B65,R$4:R$53)</f>
        <v>11886.35</v>
      </c>
      <c r="S65" s="152">
        <f ca="true">-SUMIF($B$4:$B$53,$B65,S$4:S$53)</f>
        <v>8493.76</v>
      </c>
      <c r="T65" s="152">
        <f ca="true">-SUMIF($B$4:$B$53,$B65,T$4:T$53)</f>
        <v>5653.77</v>
      </c>
      <c r="U65" s="152">
        <f ca="true">-SUMIF($B$4:$B$53,$B65,U$4:U$53)</f>
        <v>9835.26</v>
      </c>
      <c r="V65" s="153">
        <f t="shared" ref="V65:V84" ca="true" si="42">+SUM(P65:U65)</f>
        <v>63572.29</v>
      </c>
      <c r="W65" s="152">
        <f ca="true">-SUMIF($B$4:$B$53,$B65,W$4:W$53)</f>
        <v>10219.78</v>
      </c>
      <c r="X65" s="152">
        <f ca="true">-SUMIF($B$4:$B$53,$B65,X$4:X$53)</f>
        <v>11367.97</v>
      </c>
      <c r="Y65" s="205">
        <f t="shared" ref="Y65:Y84" ca="true" si="43">SUM(V65:X65)</f>
        <v>85160.04</v>
      </c>
      <c r="Z65" s="152">
        <f ca="true">-SUMIF($B$4:$B$53,$B65,Z$4:Z$53)</f>
        <v>2312.51000000003</v>
      </c>
      <c r="AA65" s="152">
        <f ca="true">-SUMIF($B$4:$B$53,$B65,AA$4:AA$53)</f>
        <v>-3035.66</v>
      </c>
      <c r="AB65" s="205">
        <f t="shared" ref="AB65:AB84" ca="true" si="44">+SUM(Z65:AA65)</f>
        <v>-723.149999999965</v>
      </c>
      <c r="AC65" s="152">
        <f ca="true">-SUMIF($B$4:$B$53,$B65,AC$4:AC$53)</f>
        <v>-15889.61</v>
      </c>
      <c r="AD65" s="152">
        <f ca="true">-SUMIF($B$4:$B$53,$B65,AD$4:AD$53)</f>
        <v>-66276.66</v>
      </c>
      <c r="AE65" s="152">
        <f ca="true">-SUMIF($B$4:$B$53,$B65,AE$4:AE$53)</f>
        <v>-151990.27</v>
      </c>
      <c r="AF65" s="152">
        <f ca="true">-SUMIF($B$4:$B$53,$B65,AF$4:AF$53)</f>
        <v>-6515.84</v>
      </c>
      <c r="AG65" s="152">
        <f ca="true">-SUMIF($B$4:$B$53,$B65,AG$4:AG$53)</f>
        <v>30854.8</v>
      </c>
      <c r="AH65" s="152">
        <f ca="true">-SUMIF($B$4:$B$53,$B65,AH$4:AH$53)</f>
        <v>13882.98</v>
      </c>
      <c r="AI65" s="152">
        <f ca="true">-SUMIF($B$4:$B$53,$B65,AI$4:AI$53)</f>
        <v>22730.1</v>
      </c>
      <c r="AJ65" s="152">
        <f ca="true">-SUMIF($B$4:$B$53,$B65,AJ$4:AJ$53)</f>
        <v>20021.55</v>
      </c>
      <c r="AK65" s="152">
        <f ca="true">-SUMIF($B$4:$B$53,$B65,AK$4:AK$53)</f>
        <v>20675.2800000001</v>
      </c>
      <c r="AL65" s="205">
        <f t="shared" ref="AL65:AL84" ca="true" si="45">SUM(AF65:AK65)</f>
        <v>101648.87</v>
      </c>
      <c r="AM65" s="152">
        <f ca="true">-SUMIF($B$4:$B$53,$B65,AM$4:AM$53)</f>
        <v>-66.3</v>
      </c>
      <c r="AN65" s="152">
        <f ca="true">-SUMIF($B$4:$B$53,$B65,AN$4:AN$53)</f>
        <v>-31721.65</v>
      </c>
      <c r="AO65" s="152">
        <f ca="true">-SUMIF($B$4:$B$53,$B65,AO$4:AO$53)</f>
        <v>-41123.84</v>
      </c>
      <c r="AP65" s="152">
        <f ca="true">-SUMIF($B$4:$B$53,$B65,AP$4:AP$53)</f>
        <v>0</v>
      </c>
      <c r="AQ65" s="152">
        <f ca="true">-SUMIF($B$4:$B$53,$B65,AQ$4:AQ$53)</f>
        <v>25702.85</v>
      </c>
      <c r="AR65" s="152">
        <f ca="true">-SUMIF($B$4:$B$53,$B65,AR$4:AR$53)</f>
        <v>0</v>
      </c>
      <c r="AS65" s="152">
        <f ca="true">-SUMIF($B$4:$B$53,$B65,AS$4:AS$53)</f>
        <v>6529.8</v>
      </c>
      <c r="AT65" s="152">
        <f ca="true">-SUMIF($B$4:$B$53,$B65,AT$4:AT$53)</f>
        <v>19889.9</v>
      </c>
      <c r="AU65" s="152">
        <f ca="true">-SUMIF($B$4:$B$53,$B65,AU$4:AU$53)</f>
        <v>4444.39</v>
      </c>
      <c r="AV65" s="152">
        <f ca="true">-SUMIF($B$4:$B$53,$B65,AV$4:AV$53)</f>
        <v>25387.99</v>
      </c>
      <c r="AW65" s="152">
        <f ca="true">-SUMIF($B$4:$B$53,$B65,AW$4:AW$53)</f>
        <v>0</v>
      </c>
      <c r="AX65" s="152">
        <f ca="true">-SUMIF($B$4:$B$53,$B65,AX$4:AX$53)</f>
        <v>0</v>
      </c>
      <c r="AY65" s="152">
        <f ca="true">-SUMIF($B$4:$B$53,$B65,AY$4:AY$53)</f>
        <v>0</v>
      </c>
      <c r="AZ65" s="152">
        <f ca="true">-SUMIF($B$4:$B$53,$B65,AZ$4:AZ$53)</f>
        <v>19356.75</v>
      </c>
      <c r="BA65" s="152">
        <f ca="true">-SUMIF($B$4:$B$53,$B65,BA$4:BA$53)</f>
        <v>13928.14</v>
      </c>
      <c r="BB65" s="152">
        <f ca="true">-SUMIF($B$4:$B$53,$B65,BB$4:BB$53)</f>
        <v>0</v>
      </c>
      <c r="BC65" s="152">
        <f ca="true">-SUMIF($B$4:$B$53,$B65,BC$4:BC$53)</f>
        <v>30253.12</v>
      </c>
      <c r="BD65" s="152">
        <f ca="true">-SUMIF($B$4:$B$53,$B65,BD$4:BD$53)</f>
        <v>15681.83</v>
      </c>
      <c r="BE65" s="152">
        <f ca="true">-SUMIF($B$4:$B$53,$B65,BE$4:BE$53)</f>
        <v>18083.37</v>
      </c>
      <c r="BF65" s="152">
        <f ca="true">-SUMIF($B$4:$B$53,$B65,BF$4:BF$53)</f>
        <v>8690.89</v>
      </c>
      <c r="BG65" s="152">
        <f ca="true">-SUMIF($B$4:$B$53,$B65,BG$4:BG$53)</f>
        <v>15271.22</v>
      </c>
      <c r="BH65" s="152">
        <f ca="true">-SUMIF($B$4:$B$53,$B65,BH$4:BH$53)</f>
        <v>0</v>
      </c>
      <c r="BI65" s="152">
        <f ca="true">-SUMIF($B$4:$B$53,$B65,BI$4:BI$53)</f>
        <v>10052.92</v>
      </c>
      <c r="BJ65" s="152">
        <f ca="true">-SUMIF($B$4:$B$53,$B65,BJ$4:BJ$53)</f>
        <v>0</v>
      </c>
      <c r="BK65" s="152">
        <f ca="true">-SUMIF($B$4:$B$53,$B65,BK$4:BK$53)</f>
        <v>-4292.4</v>
      </c>
      <c r="BL65" s="152">
        <f ca="true">-SUMIF($B$4:$B$53,$B65,BL$4:BL$53)</f>
        <v>13467.81</v>
      </c>
      <c r="BM65" s="152">
        <f ca="true">-SUMIF($B$4:$B$53,$B65,BM$4:BM$53)</f>
        <v>11606.11</v>
      </c>
      <c r="BN65" s="152">
        <f ca="true">-SUMIF($B$4:$B$53,$B65,BN$4:BN$53)</f>
        <v>5288.47</v>
      </c>
      <c r="BO65" s="152">
        <f ca="true">-SUMIF($B$4:$B$53,$B65,BO$4:BO$53)</f>
        <v>0</v>
      </c>
      <c r="BP65" s="152">
        <f ca="true">-SUMIF($B$4:$B$53,$B65,BP$4:BP$53)</f>
        <v>17787.75</v>
      </c>
      <c r="BQ65" s="152">
        <f ca="true">-SUMIF($B$4:$B$53,$B65,BQ$4:BQ$53)</f>
        <v>13707.79</v>
      </c>
      <c r="BR65" s="152">
        <f ca="true">-SUMIF($B$4:$B$53,$B65,BR$4:BR$53)</f>
        <v>-199362.2</v>
      </c>
      <c r="BS65" s="152">
        <f ca="true">-SUMIF($B$4:$B$53,$B65,BS$4:BS$53)</f>
        <v>-8438.99</v>
      </c>
      <c r="BT65" s="152">
        <f ca="true">-SUMIF($B$4:$B$53,$B65,BT$4:BT$53)</f>
        <v>0</v>
      </c>
      <c r="BU65" s="152">
        <f ca="true">-SUMIF($B$4:$B$53,$B65,BU$4:BU$53)</f>
        <v>-147.009999999999</v>
      </c>
      <c r="BV65" s="152">
        <f ca="true">-SUMIF($B$4:$B$53,$B65,BV$4:BV$53)</f>
        <v>0</v>
      </c>
      <c r="BW65" s="152">
        <f ca="true">-SUMIF($B$4:$B$53,$B65,BW$4:BW$53)</f>
        <v>65765.42</v>
      </c>
      <c r="BX65" s="152">
        <f ca="true">-SUMIF($B$4:$B$53,$B65,BX$4:BX$53)</f>
        <v>96179.38</v>
      </c>
      <c r="BY65" s="152">
        <f ca="true">-SUMIF($B$4:$B$53,$B65,BY$4:BY$53)</f>
        <v>0</v>
      </c>
      <c r="BZ65" s="152">
        <f ca="true">-SUMIF($B$4:$B$53,$B65,BZ$4:BZ$53)</f>
        <v>-88920.6</v>
      </c>
      <c r="CA65" s="152">
        <f ca="true">-SUMIF($B$4:$B$53,$B65,CA$4:CA$53)</f>
        <v>-15757.39</v>
      </c>
      <c r="CB65" s="152">
        <f ca="true">-SUMIF($B$4:$B$53,$B65,CB$4:CB$53)</f>
        <v>-8718.45</v>
      </c>
      <c r="CC65" s="152">
        <f ca="true">-SUMIF($B$4:$B$53,$B65,CC$4:CC$53)</f>
        <v>-9042.1</v>
      </c>
      <c r="CD65" s="152">
        <f ca="true">-SUMIF($B$4:$B$53,$B65,CD$4:CD$53)</f>
        <v>9301.39</v>
      </c>
      <c r="CE65" s="152">
        <f ca="true">-SUMIF($B$4:$B$53,$B65,CE$4:CE$53)</f>
        <v>-48751.84</v>
      </c>
      <c r="CF65" s="152">
        <f ca="true">-SUMIF($B$4:$B$53,$B65,CF$4:CF$53)</f>
        <v>28089.88</v>
      </c>
      <c r="CG65" s="152">
        <f ca="true">-SUMIF($B$4:$B$53,$B65,CG$4:CG$53)</f>
        <v>-2073.5</v>
      </c>
      <c r="CH65" s="152">
        <f ca="true">-SUMIF($B$4:$B$53,$B65,CH$4:CH$53)</f>
        <v>-63428.03</v>
      </c>
      <c r="CI65" s="152">
        <f ca="true">-SUMIF($B$4:$B$53,$B65,CI$4:CI$53)</f>
        <v>-44191.51</v>
      </c>
      <c r="CJ65" s="152">
        <f ca="true">-SUMIF($B$4:$B$53,$B65,CJ$4:CJ$53)</f>
        <v>-45463.17</v>
      </c>
      <c r="CK65" s="152">
        <f ca="true">-SUMIF($B$4:$B$53,$B65,CK$4:CK$53)</f>
        <v>-3031.96</v>
      </c>
      <c r="CL65" s="152">
        <f ca="true">-SUMIF($B$4:$B$53,$B65,CL$4:CL$53)</f>
        <v>-9352.26000000002</v>
      </c>
      <c r="CM65" s="152">
        <f ca="true">-SUMIF($B$4:$B$53,$B65,CM$4:CM$53)</f>
        <v>-134623.71</v>
      </c>
      <c r="CN65" s="152">
        <f ca="true">-SUMIF($B$4:$B$53,$B65,CN$4:CN$53)</f>
        <v>-372826.06</v>
      </c>
      <c r="CO65" s="152">
        <f ca="true">-SUMIF($B$4:$B$53,$B65,CO$4:CO$53)</f>
        <v>-170603.89</v>
      </c>
      <c r="CP65" s="152"/>
      <c r="CQ65" s="205">
        <f t="shared" ref="CQ65:CQ84" ca="true" si="46">+SUM(AM65:CP65)</f>
        <v>-827469.69</v>
      </c>
      <c r="CR65" s="205">
        <f t="shared" ref="CR65:CR84" ca="true" si="47">SUM(AL65,CQ65)</f>
        <v>-725820.82</v>
      </c>
      <c r="CS65" s="205">
        <f t="shared" ref="CS65:CS84" ca="true" si="48">SUM(CY65:CY65)</f>
        <v>-174417.78</v>
      </c>
      <c r="CT65" s="209">
        <f ca="true">-SUMIF($B$4:$B$53,$B65,CT$4:CT$53)</f>
        <v>0</v>
      </c>
      <c r="CU65" s="152">
        <f ca="true">-SUMIF($B$4:$B$53,$B65,CU$4:CU$53)</f>
        <v>-155489.35</v>
      </c>
      <c r="CV65" s="152">
        <f ca="true">-SUMIF($B$4:$B$53,$B65,CV$4:CV$53)</f>
        <v>-37798.74</v>
      </c>
      <c r="CW65" s="212">
        <f ca="true">-SUMIF($B$4:$B$53,$B65,CW$4:CW$53)</f>
        <v>18870.31</v>
      </c>
      <c r="CX65" s="212">
        <f ca="true">-SUMIF($B$4:$B$53,$B65,CX$4:CX$53)</f>
        <v>0</v>
      </c>
      <c r="CY65" s="212">
        <f ca="true">-SUMIF($B$4:$B$53,$B65,CY$4:CY$53)</f>
        <v>-174417.78</v>
      </c>
      <c r="CZ65" s="205">
        <f>-SUMIF($B$4:$B$53,$B65,CZ$4:CZ$53)</f>
        <v>0</v>
      </c>
      <c r="DA65" s="205">
        <f>-SUMIF($B$4:$B$53,$B65,DA$4:DA$53)</f>
        <v>212182.9</v>
      </c>
      <c r="DB65" s="193"/>
    </row>
    <row r="66" spans="1:106">
      <c r="A66" s="154">
        <f t="shared" ref="A66:A84" si="49">A65+1</f>
        <v>5</v>
      </c>
      <c r="B66" s="161" t="s">
        <v>13910</v>
      </c>
      <c r="D66" s="154" t="s">
        <v>13911</v>
      </c>
      <c r="E66" s="198">
        <f t="shared" si="38"/>
        <v>0</v>
      </c>
      <c r="F66" s="153">
        <f t="shared" si="39"/>
        <v>0</v>
      </c>
      <c r="G66" s="152">
        <f>+G42</f>
        <v>0</v>
      </c>
      <c r="H66" s="152">
        <f>+H42</f>
        <v>0</v>
      </c>
      <c r="I66" s="152">
        <f>+I42</f>
        <v>0</v>
      </c>
      <c r="J66" s="152">
        <f>+J42</f>
        <v>0</v>
      </c>
      <c r="K66" s="152">
        <f>+K42</f>
        <v>0</v>
      </c>
      <c r="L66" s="205">
        <f t="shared" si="40"/>
        <v>0</v>
      </c>
      <c r="M66" s="152">
        <f>+M42</f>
        <v>0</v>
      </c>
      <c r="N66" s="152">
        <f>+N42</f>
        <v>0</v>
      </c>
      <c r="O66" s="205">
        <f t="shared" si="41"/>
        <v>0</v>
      </c>
      <c r="P66" s="152">
        <f t="shared" ref="P66:U66" si="50">+P42</f>
        <v>0</v>
      </c>
      <c r="Q66" s="152">
        <f t="shared" si="50"/>
        <v>0</v>
      </c>
      <c r="R66" s="152">
        <f t="shared" si="50"/>
        <v>0</v>
      </c>
      <c r="S66" s="152">
        <f t="shared" si="50"/>
        <v>0</v>
      </c>
      <c r="T66" s="152">
        <f t="shared" si="50"/>
        <v>0</v>
      </c>
      <c r="U66" s="152">
        <f t="shared" si="50"/>
        <v>0</v>
      </c>
      <c r="V66" s="153">
        <f t="shared" si="42"/>
        <v>0</v>
      </c>
      <c r="W66" s="152">
        <f>+W42</f>
        <v>0</v>
      </c>
      <c r="X66" s="152">
        <f>+X42</f>
        <v>0</v>
      </c>
      <c r="Y66" s="205">
        <f t="shared" si="43"/>
        <v>0</v>
      </c>
      <c r="Z66" s="152">
        <f>+Z42</f>
        <v>0</v>
      </c>
      <c r="AA66" s="152">
        <f>+AA42</f>
        <v>0</v>
      </c>
      <c r="AB66" s="205">
        <f t="shared" si="44"/>
        <v>0</v>
      </c>
      <c r="AC66" s="152">
        <f t="shared" ref="AC66:AK66" si="51">+AC42</f>
        <v>0</v>
      </c>
      <c r="AD66" s="152">
        <f t="shared" si="51"/>
        <v>0</v>
      </c>
      <c r="AE66" s="152">
        <f t="shared" si="51"/>
        <v>0</v>
      </c>
      <c r="AF66" s="152">
        <f t="shared" si="51"/>
        <v>0</v>
      </c>
      <c r="AG66" s="152">
        <f t="shared" si="51"/>
        <v>0</v>
      </c>
      <c r="AH66" s="152">
        <f t="shared" si="51"/>
        <v>0</v>
      </c>
      <c r="AI66" s="152">
        <f t="shared" si="51"/>
        <v>0</v>
      </c>
      <c r="AJ66" s="152">
        <f t="shared" si="51"/>
        <v>0</v>
      </c>
      <c r="AK66" s="152">
        <f t="shared" si="51"/>
        <v>0</v>
      </c>
      <c r="AL66" s="205">
        <f t="shared" si="45"/>
        <v>0</v>
      </c>
      <c r="AM66" s="152">
        <f t="shared" ref="AM66:CO66" si="52">+AM42</f>
        <v>0</v>
      </c>
      <c r="AN66" s="152">
        <f t="shared" si="52"/>
        <v>0</v>
      </c>
      <c r="AO66" s="152">
        <f t="shared" si="52"/>
        <v>0</v>
      </c>
      <c r="AP66" s="152">
        <f t="shared" si="52"/>
        <v>0</v>
      </c>
      <c r="AQ66" s="152">
        <f t="shared" si="52"/>
        <v>0</v>
      </c>
      <c r="AR66" s="152">
        <f t="shared" si="52"/>
        <v>0</v>
      </c>
      <c r="AS66" s="152">
        <f t="shared" si="52"/>
        <v>0</v>
      </c>
      <c r="AT66" s="152">
        <f t="shared" si="52"/>
        <v>0</v>
      </c>
      <c r="AU66" s="152">
        <f t="shared" si="52"/>
        <v>0</v>
      </c>
      <c r="AV66" s="152">
        <f t="shared" si="52"/>
        <v>0</v>
      </c>
      <c r="AW66" s="152">
        <f t="shared" si="52"/>
        <v>0</v>
      </c>
      <c r="AX66" s="152">
        <f t="shared" si="52"/>
        <v>0</v>
      </c>
      <c r="AY66" s="152">
        <f t="shared" si="52"/>
        <v>0</v>
      </c>
      <c r="AZ66" s="152">
        <f t="shared" si="52"/>
        <v>0</v>
      </c>
      <c r="BA66" s="152">
        <f t="shared" si="52"/>
        <v>0</v>
      </c>
      <c r="BB66" s="152">
        <f t="shared" si="52"/>
        <v>0</v>
      </c>
      <c r="BC66" s="152">
        <f t="shared" si="52"/>
        <v>0</v>
      </c>
      <c r="BD66" s="152">
        <f t="shared" si="52"/>
        <v>0</v>
      </c>
      <c r="BE66" s="152">
        <f t="shared" si="52"/>
        <v>0</v>
      </c>
      <c r="BF66" s="152">
        <f t="shared" si="52"/>
        <v>0</v>
      </c>
      <c r="BG66" s="152">
        <f t="shared" si="52"/>
        <v>0</v>
      </c>
      <c r="BH66" s="152">
        <f t="shared" si="52"/>
        <v>0</v>
      </c>
      <c r="BI66" s="152">
        <f t="shared" si="52"/>
        <v>0</v>
      </c>
      <c r="BJ66" s="152">
        <f t="shared" si="52"/>
        <v>0</v>
      </c>
      <c r="BK66" s="152">
        <f t="shared" si="52"/>
        <v>0</v>
      </c>
      <c r="BL66" s="152">
        <f t="shared" si="52"/>
        <v>0</v>
      </c>
      <c r="BM66" s="152">
        <f t="shared" si="52"/>
        <v>0</v>
      </c>
      <c r="BN66" s="152">
        <f t="shared" si="52"/>
        <v>0</v>
      </c>
      <c r="BO66" s="152">
        <f t="shared" si="52"/>
        <v>0</v>
      </c>
      <c r="BP66" s="152">
        <f t="shared" si="52"/>
        <v>0</v>
      </c>
      <c r="BQ66" s="152">
        <f t="shared" si="52"/>
        <v>0</v>
      </c>
      <c r="BR66" s="152">
        <f t="shared" si="52"/>
        <v>0</v>
      </c>
      <c r="BS66" s="152">
        <f t="shared" si="52"/>
        <v>0</v>
      </c>
      <c r="BT66" s="152">
        <f t="shared" si="52"/>
        <v>0</v>
      </c>
      <c r="BU66" s="152">
        <f t="shared" si="52"/>
        <v>0</v>
      </c>
      <c r="BV66" s="152">
        <f t="shared" si="52"/>
        <v>0</v>
      </c>
      <c r="BW66" s="152">
        <f t="shared" si="52"/>
        <v>0</v>
      </c>
      <c r="BX66" s="152">
        <f t="shared" si="52"/>
        <v>0</v>
      </c>
      <c r="BY66" s="152">
        <f t="shared" si="52"/>
        <v>0</v>
      </c>
      <c r="BZ66" s="152">
        <f t="shared" si="52"/>
        <v>0</v>
      </c>
      <c r="CA66" s="152">
        <f t="shared" si="52"/>
        <v>0</v>
      </c>
      <c r="CB66" s="152">
        <f t="shared" si="52"/>
        <v>0</v>
      </c>
      <c r="CC66" s="152">
        <f t="shared" si="52"/>
        <v>0</v>
      </c>
      <c r="CD66" s="152">
        <f t="shared" si="52"/>
        <v>0</v>
      </c>
      <c r="CE66" s="152">
        <f t="shared" si="52"/>
        <v>0</v>
      </c>
      <c r="CF66" s="152">
        <f t="shared" si="52"/>
        <v>0</v>
      </c>
      <c r="CG66" s="152">
        <f t="shared" si="52"/>
        <v>0</v>
      </c>
      <c r="CH66" s="152">
        <f t="shared" si="52"/>
        <v>0</v>
      </c>
      <c r="CI66" s="152">
        <f t="shared" si="52"/>
        <v>0</v>
      </c>
      <c r="CJ66" s="152">
        <f t="shared" si="52"/>
        <v>0</v>
      </c>
      <c r="CK66" s="152">
        <f t="shared" si="52"/>
        <v>0</v>
      </c>
      <c r="CL66" s="152">
        <f t="shared" si="52"/>
        <v>0</v>
      </c>
      <c r="CM66" s="152">
        <f t="shared" si="52"/>
        <v>0</v>
      </c>
      <c r="CN66" s="152">
        <f t="shared" si="52"/>
        <v>0</v>
      </c>
      <c r="CO66" s="152">
        <f t="shared" si="52"/>
        <v>0</v>
      </c>
      <c r="CP66" s="152"/>
      <c r="CQ66" s="205">
        <f t="shared" si="46"/>
        <v>0</v>
      </c>
      <c r="CR66" s="205">
        <f t="shared" si="47"/>
        <v>0</v>
      </c>
      <c r="CS66" s="205">
        <f t="shared" si="48"/>
        <v>0</v>
      </c>
      <c r="CT66" s="209">
        <f t="shared" ref="CT66:DA66" si="53">+CT42</f>
        <v>0</v>
      </c>
      <c r="CU66" s="152">
        <f t="shared" si="53"/>
        <v>0</v>
      </c>
      <c r="CV66" s="152">
        <f t="shared" si="53"/>
        <v>0</v>
      </c>
      <c r="CW66" s="212">
        <f t="shared" si="53"/>
        <v>0</v>
      </c>
      <c r="CX66" s="212">
        <f t="shared" si="53"/>
        <v>0</v>
      </c>
      <c r="CY66" s="212">
        <f t="shared" si="53"/>
        <v>0</v>
      </c>
      <c r="CZ66" s="205">
        <f t="shared" si="53"/>
        <v>0</v>
      </c>
      <c r="DA66" s="205">
        <f t="shared" si="53"/>
        <v>0</v>
      </c>
      <c r="DB66" s="193"/>
    </row>
    <row r="67" spans="1:106">
      <c r="A67" s="154">
        <f t="shared" si="49"/>
        <v>6</v>
      </c>
      <c r="B67" s="161"/>
      <c r="D67" s="154" t="s">
        <v>13912</v>
      </c>
      <c r="E67" s="198">
        <f t="shared" si="38"/>
        <v>0</v>
      </c>
      <c r="F67" s="153">
        <f t="shared" si="39"/>
        <v>0</v>
      </c>
      <c r="G67" s="152">
        <f>G39</f>
        <v>0</v>
      </c>
      <c r="H67" s="152">
        <f>H39</f>
        <v>0</v>
      </c>
      <c r="I67" s="152">
        <f>I39</f>
        <v>0</v>
      </c>
      <c r="J67" s="152">
        <f>J39</f>
        <v>0</v>
      </c>
      <c r="K67" s="152">
        <f>K39</f>
        <v>0</v>
      </c>
      <c r="L67" s="205">
        <f t="shared" si="40"/>
        <v>0</v>
      </c>
      <c r="M67" s="152">
        <f>M39</f>
        <v>0</v>
      </c>
      <c r="N67" s="152">
        <f>N39</f>
        <v>0</v>
      </c>
      <c r="O67" s="205">
        <f t="shared" si="41"/>
        <v>0</v>
      </c>
      <c r="P67" s="152">
        <f t="shared" ref="P67:U67" si="54">P39</f>
        <v>0</v>
      </c>
      <c r="Q67" s="152">
        <f t="shared" si="54"/>
        <v>0</v>
      </c>
      <c r="R67" s="152">
        <f t="shared" si="54"/>
        <v>0</v>
      </c>
      <c r="S67" s="152">
        <f t="shared" si="54"/>
        <v>0</v>
      </c>
      <c r="T67" s="152">
        <f t="shared" si="54"/>
        <v>0</v>
      </c>
      <c r="U67" s="152">
        <f t="shared" si="54"/>
        <v>0</v>
      </c>
      <c r="V67" s="153">
        <f t="shared" si="42"/>
        <v>0</v>
      </c>
      <c r="W67" s="152">
        <f>W39</f>
        <v>0</v>
      </c>
      <c r="X67" s="152">
        <f>X39</f>
        <v>0</v>
      </c>
      <c r="Y67" s="205">
        <f t="shared" si="43"/>
        <v>0</v>
      </c>
      <c r="Z67" s="152">
        <f>Z39</f>
        <v>0</v>
      </c>
      <c r="AA67" s="152">
        <f>AA39</f>
        <v>0</v>
      </c>
      <c r="AB67" s="205">
        <f t="shared" si="44"/>
        <v>0</v>
      </c>
      <c r="AC67" s="152">
        <f t="shared" ref="AC67:AK67" si="55">AC39</f>
        <v>0</v>
      </c>
      <c r="AD67" s="152">
        <f t="shared" si="55"/>
        <v>0</v>
      </c>
      <c r="AE67" s="152">
        <f t="shared" si="55"/>
        <v>0</v>
      </c>
      <c r="AF67" s="152">
        <f t="shared" si="55"/>
        <v>0</v>
      </c>
      <c r="AG67" s="152">
        <f t="shared" si="55"/>
        <v>0</v>
      </c>
      <c r="AH67" s="152">
        <f t="shared" si="55"/>
        <v>0</v>
      </c>
      <c r="AI67" s="152">
        <f t="shared" si="55"/>
        <v>0</v>
      </c>
      <c r="AJ67" s="152">
        <f t="shared" si="55"/>
        <v>0</v>
      </c>
      <c r="AK67" s="152">
        <f t="shared" si="55"/>
        <v>0</v>
      </c>
      <c r="AL67" s="205">
        <f t="shared" si="45"/>
        <v>0</v>
      </c>
      <c r="AM67" s="152">
        <f t="shared" ref="AM67:CO67" si="56">AM39</f>
        <v>0</v>
      </c>
      <c r="AN67" s="152">
        <f t="shared" si="56"/>
        <v>0</v>
      </c>
      <c r="AO67" s="152">
        <f t="shared" si="56"/>
        <v>0</v>
      </c>
      <c r="AP67" s="152">
        <f t="shared" si="56"/>
        <v>0</v>
      </c>
      <c r="AQ67" s="152">
        <f t="shared" si="56"/>
        <v>0</v>
      </c>
      <c r="AR67" s="152">
        <f t="shared" si="56"/>
        <v>0</v>
      </c>
      <c r="AS67" s="152">
        <f t="shared" si="56"/>
        <v>0</v>
      </c>
      <c r="AT67" s="152">
        <f t="shared" si="56"/>
        <v>0</v>
      </c>
      <c r="AU67" s="152">
        <f t="shared" si="56"/>
        <v>0</v>
      </c>
      <c r="AV67" s="152">
        <f t="shared" si="56"/>
        <v>0</v>
      </c>
      <c r="AW67" s="152">
        <f t="shared" si="56"/>
        <v>0</v>
      </c>
      <c r="AX67" s="152">
        <f t="shared" si="56"/>
        <v>0</v>
      </c>
      <c r="AY67" s="152">
        <f t="shared" si="56"/>
        <v>0</v>
      </c>
      <c r="AZ67" s="152">
        <f t="shared" si="56"/>
        <v>0</v>
      </c>
      <c r="BA67" s="152">
        <f t="shared" si="56"/>
        <v>0</v>
      </c>
      <c r="BB67" s="152">
        <f t="shared" si="56"/>
        <v>0</v>
      </c>
      <c r="BC67" s="152">
        <f t="shared" si="56"/>
        <v>0</v>
      </c>
      <c r="BD67" s="152">
        <f t="shared" si="56"/>
        <v>0</v>
      </c>
      <c r="BE67" s="152">
        <f t="shared" si="56"/>
        <v>0</v>
      </c>
      <c r="BF67" s="152">
        <f t="shared" si="56"/>
        <v>0</v>
      </c>
      <c r="BG67" s="152">
        <f t="shared" si="56"/>
        <v>0</v>
      </c>
      <c r="BH67" s="152">
        <f t="shared" si="56"/>
        <v>0</v>
      </c>
      <c r="BI67" s="152">
        <f t="shared" si="56"/>
        <v>0</v>
      </c>
      <c r="BJ67" s="152">
        <f t="shared" si="56"/>
        <v>0</v>
      </c>
      <c r="BK67" s="152">
        <f t="shared" si="56"/>
        <v>0</v>
      </c>
      <c r="BL67" s="152">
        <f t="shared" si="56"/>
        <v>0</v>
      </c>
      <c r="BM67" s="152">
        <f t="shared" si="56"/>
        <v>0</v>
      </c>
      <c r="BN67" s="152">
        <f t="shared" si="56"/>
        <v>0</v>
      </c>
      <c r="BO67" s="152">
        <f t="shared" si="56"/>
        <v>0</v>
      </c>
      <c r="BP67" s="152">
        <f t="shared" si="56"/>
        <v>0</v>
      </c>
      <c r="BQ67" s="152">
        <f t="shared" si="56"/>
        <v>0</v>
      </c>
      <c r="BR67" s="152">
        <f t="shared" si="56"/>
        <v>0</v>
      </c>
      <c r="BS67" s="152">
        <f t="shared" si="56"/>
        <v>0</v>
      </c>
      <c r="BT67" s="152">
        <f t="shared" si="56"/>
        <v>0</v>
      </c>
      <c r="BU67" s="152">
        <f t="shared" si="56"/>
        <v>0</v>
      </c>
      <c r="BV67" s="152">
        <f t="shared" si="56"/>
        <v>0</v>
      </c>
      <c r="BW67" s="152">
        <f t="shared" si="56"/>
        <v>0</v>
      </c>
      <c r="BX67" s="152">
        <f t="shared" si="56"/>
        <v>0</v>
      </c>
      <c r="BY67" s="152">
        <f t="shared" si="56"/>
        <v>0</v>
      </c>
      <c r="BZ67" s="152">
        <f t="shared" si="56"/>
        <v>0</v>
      </c>
      <c r="CA67" s="152">
        <f t="shared" si="56"/>
        <v>0</v>
      </c>
      <c r="CB67" s="152">
        <f t="shared" si="56"/>
        <v>0</v>
      </c>
      <c r="CC67" s="152">
        <f t="shared" si="56"/>
        <v>0</v>
      </c>
      <c r="CD67" s="152">
        <f t="shared" si="56"/>
        <v>0</v>
      </c>
      <c r="CE67" s="152">
        <f t="shared" si="56"/>
        <v>0</v>
      </c>
      <c r="CF67" s="152">
        <f t="shared" si="56"/>
        <v>0</v>
      </c>
      <c r="CG67" s="152">
        <f t="shared" si="56"/>
        <v>0</v>
      </c>
      <c r="CH67" s="152">
        <f t="shared" si="56"/>
        <v>0</v>
      </c>
      <c r="CI67" s="152">
        <f t="shared" si="56"/>
        <v>0</v>
      </c>
      <c r="CJ67" s="152">
        <f t="shared" si="56"/>
        <v>0</v>
      </c>
      <c r="CK67" s="152">
        <f t="shared" si="56"/>
        <v>0</v>
      </c>
      <c r="CL67" s="152">
        <f t="shared" si="56"/>
        <v>0</v>
      </c>
      <c r="CM67" s="152">
        <f t="shared" si="56"/>
        <v>0</v>
      </c>
      <c r="CN67" s="152">
        <f t="shared" si="56"/>
        <v>0</v>
      </c>
      <c r="CO67" s="152">
        <f t="shared" si="56"/>
        <v>0</v>
      </c>
      <c r="CP67" s="152"/>
      <c r="CQ67" s="205">
        <f t="shared" si="46"/>
        <v>0</v>
      </c>
      <c r="CR67" s="205">
        <f t="shared" si="47"/>
        <v>0</v>
      </c>
      <c r="CS67" s="205">
        <f t="shared" si="48"/>
        <v>0</v>
      </c>
      <c r="CT67" s="209">
        <f t="shared" ref="CT67:DA67" si="57">CT39</f>
        <v>0</v>
      </c>
      <c r="CU67" s="152">
        <f t="shared" si="57"/>
        <v>0</v>
      </c>
      <c r="CV67" s="152">
        <f t="shared" si="57"/>
        <v>0</v>
      </c>
      <c r="CW67" s="212">
        <f t="shared" si="57"/>
        <v>0</v>
      </c>
      <c r="CX67" s="212">
        <f t="shared" si="57"/>
        <v>0</v>
      </c>
      <c r="CY67" s="212">
        <f t="shared" si="57"/>
        <v>0</v>
      </c>
      <c r="CZ67" s="205">
        <f t="shared" si="57"/>
        <v>0</v>
      </c>
      <c r="DA67" s="205">
        <f t="shared" si="57"/>
        <v>0</v>
      </c>
      <c r="DB67" s="193"/>
    </row>
    <row r="68" spans="1:106">
      <c r="A68" s="154">
        <f t="shared" si="49"/>
        <v>7</v>
      </c>
      <c r="B68" s="161" t="s">
        <v>13913</v>
      </c>
      <c r="D68" s="154" t="s">
        <v>13913</v>
      </c>
      <c r="E68" s="198">
        <f t="shared" si="38"/>
        <v>3755580.37</v>
      </c>
      <c r="F68" s="153">
        <f t="shared" si="39"/>
        <v>3631240.9</v>
      </c>
      <c r="G68" s="152">
        <f>G40</f>
        <v>87815.4900000001</v>
      </c>
      <c r="H68" s="152">
        <f>H40</f>
        <v>9979.1</v>
      </c>
      <c r="I68" s="152">
        <f>I40</f>
        <v>3991.64</v>
      </c>
      <c r="J68" s="152">
        <f>J40</f>
        <v>5987.46</v>
      </c>
      <c r="K68" s="152">
        <f>K40</f>
        <v>0</v>
      </c>
      <c r="L68" s="205">
        <f t="shared" si="40"/>
        <v>107773.69</v>
      </c>
      <c r="M68" s="152">
        <f>M40</f>
        <v>7557.68</v>
      </c>
      <c r="N68" s="152">
        <f>N40</f>
        <v>7557.68</v>
      </c>
      <c r="O68" s="205">
        <f t="shared" si="41"/>
        <v>15115.36</v>
      </c>
      <c r="P68" s="152">
        <f t="shared" ref="P68:U68" si="58">P40</f>
        <v>14980.04</v>
      </c>
      <c r="Q68" s="152">
        <f t="shared" si="58"/>
        <v>19775.03</v>
      </c>
      <c r="R68" s="152">
        <f t="shared" si="58"/>
        <v>10468.72</v>
      </c>
      <c r="S68" s="152">
        <f t="shared" si="58"/>
        <v>7112.92</v>
      </c>
      <c r="T68" s="152">
        <f t="shared" si="58"/>
        <v>5632.21</v>
      </c>
      <c r="U68" s="152">
        <f t="shared" si="58"/>
        <v>0</v>
      </c>
      <c r="V68" s="153">
        <f t="shared" si="42"/>
        <v>57968.92</v>
      </c>
      <c r="W68" s="152">
        <f>W40</f>
        <v>11222.91</v>
      </c>
      <c r="X68" s="152">
        <f>X40</f>
        <v>0</v>
      </c>
      <c r="Y68" s="205">
        <f t="shared" si="43"/>
        <v>69191.83</v>
      </c>
      <c r="Z68" s="152">
        <f>Z40</f>
        <v>0</v>
      </c>
      <c r="AA68" s="152">
        <f>AA40</f>
        <v>0</v>
      </c>
      <c r="AB68" s="205">
        <f t="shared" si="44"/>
        <v>0</v>
      </c>
      <c r="AC68" s="152">
        <f t="shared" ref="AC68:AK68" si="59">AC40</f>
        <v>0</v>
      </c>
      <c r="AD68" s="152">
        <f t="shared" si="59"/>
        <v>0</v>
      </c>
      <c r="AE68" s="152">
        <f t="shared" si="59"/>
        <v>0</v>
      </c>
      <c r="AF68" s="152">
        <f t="shared" si="59"/>
        <v>12029.73</v>
      </c>
      <c r="AG68" s="152">
        <f t="shared" si="59"/>
        <v>26454.68</v>
      </c>
      <c r="AH68" s="152">
        <f t="shared" si="59"/>
        <v>16773.58</v>
      </c>
      <c r="AI68" s="152">
        <f t="shared" si="59"/>
        <v>22564.3</v>
      </c>
      <c r="AJ68" s="152">
        <f t="shared" si="59"/>
        <v>28629.21</v>
      </c>
      <c r="AK68" s="152">
        <f t="shared" si="59"/>
        <v>618</v>
      </c>
      <c r="AL68" s="205">
        <f t="shared" si="45"/>
        <v>107069.5</v>
      </c>
      <c r="AM68" s="152">
        <f t="shared" ref="AM68:CO68" si="60">AM40</f>
        <v>0</v>
      </c>
      <c r="AN68" s="152">
        <f t="shared" si="60"/>
        <v>56813.6</v>
      </c>
      <c r="AO68" s="152">
        <f t="shared" si="60"/>
        <v>29905.75</v>
      </c>
      <c r="AP68" s="152">
        <f t="shared" si="60"/>
        <v>0</v>
      </c>
      <c r="AQ68" s="152">
        <f t="shared" si="60"/>
        <v>78429.85</v>
      </c>
      <c r="AR68" s="152">
        <f t="shared" si="60"/>
        <v>0</v>
      </c>
      <c r="AS68" s="152">
        <f t="shared" si="60"/>
        <v>17888.08</v>
      </c>
      <c r="AT68" s="152">
        <f t="shared" si="60"/>
        <v>7698.86</v>
      </c>
      <c r="AU68" s="152">
        <f t="shared" si="60"/>
        <v>8081.63</v>
      </c>
      <c r="AV68" s="152">
        <f t="shared" si="60"/>
        <v>14744.35</v>
      </c>
      <c r="AW68" s="152">
        <f t="shared" si="60"/>
        <v>0</v>
      </c>
      <c r="AX68" s="152">
        <f t="shared" si="60"/>
        <v>0</v>
      </c>
      <c r="AY68" s="152">
        <f t="shared" si="60"/>
        <v>0</v>
      </c>
      <c r="AZ68" s="152">
        <f t="shared" si="60"/>
        <v>9235.58</v>
      </c>
      <c r="BA68" s="152">
        <f t="shared" si="60"/>
        <v>8749.29</v>
      </c>
      <c r="BB68" s="152">
        <f t="shared" si="60"/>
        <v>0</v>
      </c>
      <c r="BC68" s="152">
        <f t="shared" si="60"/>
        <v>25093.9</v>
      </c>
      <c r="BD68" s="152">
        <f t="shared" si="60"/>
        <v>7407.98</v>
      </c>
      <c r="BE68" s="152">
        <f t="shared" si="60"/>
        <v>10803.66</v>
      </c>
      <c r="BF68" s="152">
        <f t="shared" si="60"/>
        <v>6332.57</v>
      </c>
      <c r="BG68" s="152">
        <f t="shared" si="60"/>
        <v>8419.05</v>
      </c>
      <c r="BH68" s="152">
        <f t="shared" si="60"/>
        <v>0</v>
      </c>
      <c r="BI68" s="152">
        <f t="shared" si="60"/>
        <v>11592.01</v>
      </c>
      <c r="BJ68" s="152">
        <f t="shared" si="60"/>
        <v>0</v>
      </c>
      <c r="BK68" s="152">
        <f t="shared" si="60"/>
        <v>648</v>
      </c>
      <c r="BL68" s="152">
        <f t="shared" si="60"/>
        <v>6617.38</v>
      </c>
      <c r="BM68" s="152">
        <f t="shared" si="60"/>
        <v>7044.96</v>
      </c>
      <c r="BN68" s="152">
        <f t="shared" si="60"/>
        <v>9809.34</v>
      </c>
      <c r="BO68" s="152">
        <f t="shared" si="60"/>
        <v>0</v>
      </c>
      <c r="BP68" s="152">
        <f t="shared" si="60"/>
        <v>27963.64</v>
      </c>
      <c r="BQ68" s="152">
        <f t="shared" si="60"/>
        <v>11316.9</v>
      </c>
      <c r="BR68" s="152">
        <f t="shared" si="60"/>
        <v>552343.75</v>
      </c>
      <c r="BS68" s="152">
        <f t="shared" si="60"/>
        <v>2678.71</v>
      </c>
      <c r="BT68" s="152">
        <f t="shared" si="60"/>
        <v>0</v>
      </c>
      <c r="BU68" s="152">
        <f t="shared" si="60"/>
        <v>0</v>
      </c>
      <c r="BV68" s="152">
        <f t="shared" si="60"/>
        <v>0</v>
      </c>
      <c r="BW68" s="152">
        <f t="shared" si="60"/>
        <v>105113.04</v>
      </c>
      <c r="BX68" s="152">
        <f t="shared" si="60"/>
        <v>193117.94</v>
      </c>
      <c r="BY68" s="152">
        <f t="shared" si="60"/>
        <v>0</v>
      </c>
      <c r="BZ68" s="152">
        <f t="shared" si="60"/>
        <v>255531</v>
      </c>
      <c r="CA68" s="152">
        <f t="shared" si="60"/>
        <v>7059.23</v>
      </c>
      <c r="CB68" s="152">
        <f t="shared" si="60"/>
        <v>43687.5</v>
      </c>
      <c r="CC68" s="152">
        <f t="shared" si="60"/>
        <v>22128.75</v>
      </c>
      <c r="CD68" s="152">
        <f t="shared" si="60"/>
        <v>11066.25</v>
      </c>
      <c r="CE68" s="152">
        <f t="shared" si="60"/>
        <v>108241.17</v>
      </c>
      <c r="CF68" s="152">
        <f t="shared" si="60"/>
        <v>79001.56</v>
      </c>
      <c r="CG68" s="152">
        <f t="shared" si="60"/>
        <v>11935.88</v>
      </c>
      <c r="CH68" s="152">
        <f t="shared" si="60"/>
        <v>69947.92</v>
      </c>
      <c r="CI68" s="152">
        <f t="shared" si="60"/>
        <v>89194.54</v>
      </c>
      <c r="CJ68" s="152">
        <f t="shared" si="60"/>
        <v>116416.88</v>
      </c>
      <c r="CK68" s="152">
        <f t="shared" si="60"/>
        <v>11812.5</v>
      </c>
      <c r="CL68" s="152">
        <f t="shared" si="60"/>
        <v>36663.97</v>
      </c>
      <c r="CM68" s="152">
        <f t="shared" si="60"/>
        <v>289576</v>
      </c>
      <c r="CN68" s="152">
        <f t="shared" si="60"/>
        <v>625149.91</v>
      </c>
      <c r="CO68" s="152">
        <f t="shared" si="60"/>
        <v>336827.64</v>
      </c>
      <c r="CP68" s="152"/>
      <c r="CQ68" s="205">
        <f t="shared" si="46"/>
        <v>3332090.52</v>
      </c>
      <c r="CR68" s="205">
        <f t="shared" si="47"/>
        <v>3439160.02</v>
      </c>
      <c r="CS68" s="205">
        <f t="shared" si="48"/>
        <v>18753.91</v>
      </c>
      <c r="CT68" s="209">
        <f t="shared" ref="CT68:DA68" si="61">CT40</f>
        <v>0</v>
      </c>
      <c r="CU68" s="152">
        <f t="shared" si="61"/>
        <v>0</v>
      </c>
      <c r="CV68" s="152">
        <f t="shared" si="61"/>
        <v>18753.91</v>
      </c>
      <c r="CW68" s="212">
        <f t="shared" si="61"/>
        <v>0</v>
      </c>
      <c r="CX68" s="212">
        <f t="shared" si="61"/>
        <v>0</v>
      </c>
      <c r="CY68" s="212">
        <f t="shared" si="61"/>
        <v>18753.91</v>
      </c>
      <c r="CZ68" s="205">
        <f t="shared" si="61"/>
        <v>0</v>
      </c>
      <c r="DA68" s="205">
        <f t="shared" si="61"/>
        <v>105585.56</v>
      </c>
      <c r="DB68" s="193"/>
    </row>
    <row r="69" spans="1:106">
      <c r="A69" s="154">
        <f t="shared" si="49"/>
        <v>8</v>
      </c>
      <c r="B69" s="161"/>
      <c r="D69" s="154" t="s">
        <v>13914</v>
      </c>
      <c r="E69" s="198">
        <f t="shared" si="38"/>
        <v>-7099.71</v>
      </c>
      <c r="F69" s="153">
        <f t="shared" si="39"/>
        <v>-7099.71</v>
      </c>
      <c r="G69" s="152">
        <f>G41</f>
        <v>0</v>
      </c>
      <c r="H69" s="152">
        <f>H41</f>
        <v>0</v>
      </c>
      <c r="I69" s="152">
        <f>I41</f>
        <v>0</v>
      </c>
      <c r="J69" s="152">
        <f>J41</f>
        <v>0</v>
      </c>
      <c r="K69" s="152">
        <f>K41</f>
        <v>0</v>
      </c>
      <c r="L69" s="205">
        <f t="shared" si="40"/>
        <v>0</v>
      </c>
      <c r="M69" s="152">
        <f>M41</f>
        <v>0</v>
      </c>
      <c r="N69" s="152">
        <f>N41</f>
        <v>0</v>
      </c>
      <c r="O69" s="205">
        <f t="shared" si="41"/>
        <v>0</v>
      </c>
      <c r="P69" s="152">
        <f t="shared" ref="P69:U69" si="62">P41</f>
        <v>0</v>
      </c>
      <c r="Q69" s="152">
        <f t="shared" si="62"/>
        <v>0</v>
      </c>
      <c r="R69" s="152">
        <f t="shared" si="62"/>
        <v>0</v>
      </c>
      <c r="S69" s="152">
        <f t="shared" si="62"/>
        <v>0</v>
      </c>
      <c r="T69" s="152">
        <f t="shared" si="62"/>
        <v>-932.12</v>
      </c>
      <c r="U69" s="152">
        <f t="shared" si="62"/>
        <v>0</v>
      </c>
      <c r="V69" s="153">
        <f t="shared" si="42"/>
        <v>-932.12</v>
      </c>
      <c r="W69" s="152">
        <f>W41</f>
        <v>0</v>
      </c>
      <c r="X69" s="152">
        <f>X41</f>
        <v>0</v>
      </c>
      <c r="Y69" s="205">
        <f t="shared" si="43"/>
        <v>-932.12</v>
      </c>
      <c r="Z69" s="152">
        <f>Z41</f>
        <v>0</v>
      </c>
      <c r="AA69" s="152">
        <f>AA41</f>
        <v>0</v>
      </c>
      <c r="AB69" s="205">
        <f t="shared" si="44"/>
        <v>0</v>
      </c>
      <c r="AC69" s="152">
        <f t="shared" ref="AC69:AK69" si="63">AC41</f>
        <v>0</v>
      </c>
      <c r="AD69" s="152">
        <f t="shared" si="63"/>
        <v>0</v>
      </c>
      <c r="AE69" s="152">
        <f t="shared" si="63"/>
        <v>1012.76</v>
      </c>
      <c r="AF69" s="152">
        <f t="shared" si="63"/>
        <v>0</v>
      </c>
      <c r="AG69" s="152">
        <f t="shared" si="63"/>
        <v>0</v>
      </c>
      <c r="AH69" s="152">
        <f t="shared" si="63"/>
        <v>0</v>
      </c>
      <c r="AI69" s="152">
        <f t="shared" si="63"/>
        <v>0</v>
      </c>
      <c r="AJ69" s="152">
        <f t="shared" si="63"/>
        <v>-7180.35</v>
      </c>
      <c r="AK69" s="152">
        <f t="shared" si="63"/>
        <v>0</v>
      </c>
      <c r="AL69" s="205">
        <f t="shared" si="45"/>
        <v>-7180.35</v>
      </c>
      <c r="AM69" s="152">
        <f t="shared" ref="AM69:CO69" si="64">AM41</f>
        <v>0</v>
      </c>
      <c r="AN69" s="152">
        <f t="shared" si="64"/>
        <v>0</v>
      </c>
      <c r="AO69" s="152">
        <f t="shared" si="64"/>
        <v>0</v>
      </c>
      <c r="AP69" s="152">
        <f t="shared" si="64"/>
        <v>0</v>
      </c>
      <c r="AQ69" s="152">
        <f t="shared" si="64"/>
        <v>0</v>
      </c>
      <c r="AR69" s="152">
        <f t="shared" si="64"/>
        <v>0</v>
      </c>
      <c r="AS69" s="152">
        <f t="shared" si="64"/>
        <v>0</v>
      </c>
      <c r="AT69" s="152">
        <f t="shared" si="64"/>
        <v>0</v>
      </c>
      <c r="AU69" s="152">
        <f t="shared" si="64"/>
        <v>0</v>
      </c>
      <c r="AV69" s="152">
        <f t="shared" si="64"/>
        <v>0</v>
      </c>
      <c r="AW69" s="152">
        <f t="shared" si="64"/>
        <v>0</v>
      </c>
      <c r="AX69" s="152">
        <f t="shared" si="64"/>
        <v>0</v>
      </c>
      <c r="AY69" s="152">
        <f t="shared" si="64"/>
        <v>0</v>
      </c>
      <c r="AZ69" s="152">
        <f t="shared" si="64"/>
        <v>0</v>
      </c>
      <c r="BA69" s="152">
        <f t="shared" si="64"/>
        <v>0</v>
      </c>
      <c r="BB69" s="152">
        <f t="shared" si="64"/>
        <v>0</v>
      </c>
      <c r="BC69" s="152">
        <f t="shared" si="64"/>
        <v>0</v>
      </c>
      <c r="BD69" s="152">
        <f t="shared" si="64"/>
        <v>0</v>
      </c>
      <c r="BE69" s="152">
        <f t="shared" si="64"/>
        <v>0</v>
      </c>
      <c r="BF69" s="152">
        <f t="shared" si="64"/>
        <v>0</v>
      </c>
      <c r="BG69" s="152">
        <f t="shared" si="64"/>
        <v>0</v>
      </c>
      <c r="BH69" s="152">
        <f t="shared" si="64"/>
        <v>0</v>
      </c>
      <c r="BI69" s="152">
        <f t="shared" si="64"/>
        <v>0</v>
      </c>
      <c r="BJ69" s="152">
        <f t="shared" si="64"/>
        <v>0</v>
      </c>
      <c r="BK69" s="152">
        <f t="shared" si="64"/>
        <v>0</v>
      </c>
      <c r="BL69" s="152">
        <f t="shared" si="64"/>
        <v>0</v>
      </c>
      <c r="BM69" s="152">
        <f t="shared" si="64"/>
        <v>0</v>
      </c>
      <c r="BN69" s="152">
        <f t="shared" si="64"/>
        <v>0</v>
      </c>
      <c r="BO69" s="152">
        <f t="shared" si="64"/>
        <v>0</v>
      </c>
      <c r="BP69" s="152">
        <f t="shared" si="64"/>
        <v>0</v>
      </c>
      <c r="BQ69" s="152">
        <f t="shared" si="64"/>
        <v>0</v>
      </c>
      <c r="BR69" s="152">
        <f t="shared" si="64"/>
        <v>0</v>
      </c>
      <c r="BS69" s="152">
        <f t="shared" si="64"/>
        <v>0</v>
      </c>
      <c r="BT69" s="152">
        <f t="shared" si="64"/>
        <v>0</v>
      </c>
      <c r="BU69" s="152">
        <f t="shared" si="64"/>
        <v>0</v>
      </c>
      <c r="BV69" s="152">
        <f t="shared" si="64"/>
        <v>0</v>
      </c>
      <c r="BW69" s="152">
        <f t="shared" si="64"/>
        <v>0</v>
      </c>
      <c r="BX69" s="152">
        <f t="shared" si="64"/>
        <v>0</v>
      </c>
      <c r="BY69" s="152">
        <f t="shared" si="64"/>
        <v>0</v>
      </c>
      <c r="BZ69" s="152">
        <f t="shared" si="64"/>
        <v>0</v>
      </c>
      <c r="CA69" s="152">
        <f t="shared" si="64"/>
        <v>0</v>
      </c>
      <c r="CB69" s="152">
        <f t="shared" si="64"/>
        <v>0</v>
      </c>
      <c r="CC69" s="152">
        <f t="shared" si="64"/>
        <v>0</v>
      </c>
      <c r="CD69" s="152">
        <f t="shared" si="64"/>
        <v>0</v>
      </c>
      <c r="CE69" s="152">
        <f t="shared" si="64"/>
        <v>0</v>
      </c>
      <c r="CF69" s="152">
        <f t="shared" si="64"/>
        <v>0</v>
      </c>
      <c r="CG69" s="152">
        <f t="shared" si="64"/>
        <v>0</v>
      </c>
      <c r="CH69" s="152">
        <f t="shared" si="64"/>
        <v>0</v>
      </c>
      <c r="CI69" s="152">
        <f t="shared" si="64"/>
        <v>0</v>
      </c>
      <c r="CJ69" s="152">
        <f t="shared" si="64"/>
        <v>0</v>
      </c>
      <c r="CK69" s="152">
        <f t="shared" si="64"/>
        <v>0</v>
      </c>
      <c r="CL69" s="152">
        <f t="shared" si="64"/>
        <v>0</v>
      </c>
      <c r="CM69" s="152">
        <f t="shared" si="64"/>
        <v>0</v>
      </c>
      <c r="CN69" s="152">
        <f t="shared" si="64"/>
        <v>0</v>
      </c>
      <c r="CO69" s="152">
        <f t="shared" si="64"/>
        <v>0</v>
      </c>
      <c r="CP69" s="152"/>
      <c r="CQ69" s="205">
        <f t="shared" si="46"/>
        <v>0</v>
      </c>
      <c r="CR69" s="205">
        <f t="shared" si="47"/>
        <v>-7180.35</v>
      </c>
      <c r="CS69" s="205">
        <f t="shared" si="48"/>
        <v>0</v>
      </c>
      <c r="CT69" s="209">
        <f t="shared" ref="CT69:DA69" si="65">CT41</f>
        <v>0</v>
      </c>
      <c r="CU69" s="152">
        <f t="shared" si="65"/>
        <v>0</v>
      </c>
      <c r="CV69" s="152">
        <f t="shared" si="65"/>
        <v>0</v>
      </c>
      <c r="CW69" s="212">
        <f t="shared" si="65"/>
        <v>0</v>
      </c>
      <c r="CX69" s="212">
        <f t="shared" si="65"/>
        <v>0</v>
      </c>
      <c r="CY69" s="212">
        <f t="shared" si="65"/>
        <v>0</v>
      </c>
      <c r="CZ69" s="205">
        <f t="shared" si="65"/>
        <v>0</v>
      </c>
      <c r="DA69" s="205">
        <f t="shared" si="65"/>
        <v>0</v>
      </c>
      <c r="DB69" s="193"/>
    </row>
    <row r="70" spans="1:106">
      <c r="A70" s="154">
        <f t="shared" si="49"/>
        <v>9</v>
      </c>
      <c r="B70" s="194"/>
      <c r="C70" s="148"/>
      <c r="D70" s="148" t="s">
        <v>13915</v>
      </c>
      <c r="E70" s="199">
        <f t="shared" si="38"/>
        <v>0</v>
      </c>
      <c r="F70" s="200">
        <f t="shared" si="39"/>
        <v>0</v>
      </c>
      <c r="G70" s="201"/>
      <c r="H70" s="201"/>
      <c r="I70" s="201"/>
      <c r="J70" s="201"/>
      <c r="K70" s="201"/>
      <c r="L70" s="206">
        <f t="shared" si="40"/>
        <v>0</v>
      </c>
      <c r="M70" s="201"/>
      <c r="N70" s="201"/>
      <c r="O70" s="206">
        <f t="shared" si="41"/>
        <v>0</v>
      </c>
      <c r="P70" s="201"/>
      <c r="Q70" s="201"/>
      <c r="R70" s="201"/>
      <c r="S70" s="201"/>
      <c r="T70" s="201"/>
      <c r="U70" s="201"/>
      <c r="V70" s="200">
        <f t="shared" si="42"/>
        <v>0</v>
      </c>
      <c r="W70" s="201"/>
      <c r="X70" s="201"/>
      <c r="Y70" s="206">
        <f t="shared" si="43"/>
        <v>0</v>
      </c>
      <c r="Z70" s="201"/>
      <c r="AA70" s="201"/>
      <c r="AB70" s="206">
        <f t="shared" si="44"/>
        <v>0</v>
      </c>
      <c r="AC70" s="201"/>
      <c r="AD70" s="201"/>
      <c r="AE70" s="201"/>
      <c r="AF70" s="201"/>
      <c r="AG70" s="201"/>
      <c r="AH70" s="201"/>
      <c r="AI70" s="201"/>
      <c r="AJ70" s="201"/>
      <c r="AK70" s="201"/>
      <c r="AL70" s="206">
        <f t="shared" si="45"/>
        <v>0</v>
      </c>
      <c r="AM70" s="201"/>
      <c r="AN70" s="201"/>
      <c r="AO70" s="201"/>
      <c r="AP70" s="201"/>
      <c r="AQ70" s="201"/>
      <c r="AR70" s="201"/>
      <c r="AS70" s="201"/>
      <c r="AT70" s="201"/>
      <c r="AU70" s="201"/>
      <c r="AV70" s="201"/>
      <c r="AW70" s="201"/>
      <c r="AX70" s="201"/>
      <c r="AY70" s="201"/>
      <c r="AZ70" s="201"/>
      <c r="BA70" s="201"/>
      <c r="BB70" s="201"/>
      <c r="BC70" s="201"/>
      <c r="BD70" s="201"/>
      <c r="BE70" s="201"/>
      <c r="BF70" s="201"/>
      <c r="BG70" s="201"/>
      <c r="BH70" s="201"/>
      <c r="BI70" s="201"/>
      <c r="BJ70" s="201"/>
      <c r="BK70" s="201"/>
      <c r="BL70" s="201"/>
      <c r="BM70" s="201"/>
      <c r="BN70" s="201"/>
      <c r="BO70" s="201"/>
      <c r="BP70" s="201"/>
      <c r="BQ70" s="201"/>
      <c r="BR70" s="201"/>
      <c r="BS70" s="201"/>
      <c r="BT70" s="201"/>
      <c r="BU70" s="201"/>
      <c r="BV70" s="201"/>
      <c r="BW70" s="201"/>
      <c r="BX70" s="201"/>
      <c r="BY70" s="201"/>
      <c r="BZ70" s="201"/>
      <c r="CA70" s="201"/>
      <c r="CB70" s="201"/>
      <c r="CC70" s="201"/>
      <c r="CD70" s="201"/>
      <c r="CE70" s="201"/>
      <c r="CF70" s="201"/>
      <c r="CG70" s="201"/>
      <c r="CH70" s="201"/>
      <c r="CI70" s="201"/>
      <c r="CJ70" s="201"/>
      <c r="CK70" s="201"/>
      <c r="CL70" s="201"/>
      <c r="CM70" s="201"/>
      <c r="CN70" s="201"/>
      <c r="CO70" s="201"/>
      <c r="CP70" s="201"/>
      <c r="CQ70" s="206">
        <f t="shared" si="46"/>
        <v>0</v>
      </c>
      <c r="CR70" s="206">
        <f t="shared" si="47"/>
        <v>0</v>
      </c>
      <c r="CS70" s="206">
        <f t="shared" si="48"/>
        <v>0</v>
      </c>
      <c r="CT70" s="210"/>
      <c r="CU70" s="201"/>
      <c r="CV70" s="201"/>
      <c r="CW70" s="213"/>
      <c r="CX70" s="213"/>
      <c r="CY70" s="213"/>
      <c r="CZ70" s="206"/>
      <c r="DA70" s="206"/>
      <c r="DB70" s="193"/>
    </row>
    <row r="71" spans="1:106">
      <c r="A71" s="154">
        <f t="shared" si="49"/>
        <v>10</v>
      </c>
      <c r="B71" s="194"/>
      <c r="C71" s="148"/>
      <c r="D71" s="148" t="s">
        <v>13916</v>
      </c>
      <c r="E71" s="199">
        <f t="shared" si="38"/>
        <v>0</v>
      </c>
      <c r="F71" s="200">
        <f t="shared" si="39"/>
        <v>0</v>
      </c>
      <c r="G71" s="201"/>
      <c r="H71" s="201"/>
      <c r="I71" s="201"/>
      <c r="J71" s="201"/>
      <c r="K71" s="201"/>
      <c r="L71" s="206">
        <f t="shared" si="40"/>
        <v>0</v>
      </c>
      <c r="M71" s="201"/>
      <c r="N71" s="201"/>
      <c r="O71" s="206">
        <f t="shared" si="41"/>
        <v>0</v>
      </c>
      <c r="P71" s="201"/>
      <c r="Q71" s="201"/>
      <c r="R71" s="201"/>
      <c r="S71" s="201"/>
      <c r="T71" s="201"/>
      <c r="U71" s="201"/>
      <c r="V71" s="200">
        <f t="shared" si="42"/>
        <v>0</v>
      </c>
      <c r="W71" s="201"/>
      <c r="X71" s="201"/>
      <c r="Y71" s="206">
        <f t="shared" si="43"/>
        <v>0</v>
      </c>
      <c r="Z71" s="201"/>
      <c r="AA71" s="201"/>
      <c r="AB71" s="206">
        <f t="shared" si="44"/>
        <v>0</v>
      </c>
      <c r="AC71" s="201"/>
      <c r="AD71" s="201"/>
      <c r="AE71" s="201"/>
      <c r="AF71" s="201"/>
      <c r="AG71" s="201"/>
      <c r="AH71" s="201"/>
      <c r="AI71" s="201"/>
      <c r="AJ71" s="201"/>
      <c r="AK71" s="201"/>
      <c r="AL71" s="206">
        <f t="shared" si="45"/>
        <v>0</v>
      </c>
      <c r="AM71" s="201"/>
      <c r="AN71" s="201"/>
      <c r="AO71" s="201"/>
      <c r="AP71" s="201"/>
      <c r="AQ71" s="201"/>
      <c r="AR71" s="201"/>
      <c r="AS71" s="201"/>
      <c r="AT71" s="201"/>
      <c r="AU71" s="201"/>
      <c r="AV71" s="201"/>
      <c r="AW71" s="201"/>
      <c r="AX71" s="201"/>
      <c r="AY71" s="201"/>
      <c r="AZ71" s="201"/>
      <c r="BA71" s="201"/>
      <c r="BB71" s="201"/>
      <c r="BC71" s="201"/>
      <c r="BD71" s="201"/>
      <c r="BE71" s="201"/>
      <c r="BF71" s="201"/>
      <c r="BG71" s="201"/>
      <c r="BH71" s="201"/>
      <c r="BI71" s="201"/>
      <c r="BJ71" s="201"/>
      <c r="BK71" s="201"/>
      <c r="BL71" s="201"/>
      <c r="BM71" s="201"/>
      <c r="BN71" s="201"/>
      <c r="BO71" s="201"/>
      <c r="BP71" s="201"/>
      <c r="BQ71" s="201"/>
      <c r="BR71" s="201"/>
      <c r="BS71" s="201"/>
      <c r="BT71" s="201"/>
      <c r="BU71" s="201"/>
      <c r="BV71" s="201"/>
      <c r="BW71" s="201"/>
      <c r="BX71" s="201"/>
      <c r="BY71" s="201"/>
      <c r="BZ71" s="201"/>
      <c r="CA71" s="201"/>
      <c r="CB71" s="201"/>
      <c r="CC71" s="201"/>
      <c r="CD71" s="201"/>
      <c r="CE71" s="201"/>
      <c r="CF71" s="201"/>
      <c r="CG71" s="201"/>
      <c r="CH71" s="201"/>
      <c r="CI71" s="201"/>
      <c r="CJ71" s="201"/>
      <c r="CK71" s="201"/>
      <c r="CL71" s="201"/>
      <c r="CM71" s="201"/>
      <c r="CN71" s="201"/>
      <c r="CO71" s="201"/>
      <c r="CP71" s="201"/>
      <c r="CQ71" s="206">
        <f t="shared" si="46"/>
        <v>0</v>
      </c>
      <c r="CR71" s="206">
        <f t="shared" si="47"/>
        <v>0</v>
      </c>
      <c r="CS71" s="206">
        <f t="shared" si="48"/>
        <v>0</v>
      </c>
      <c r="CT71" s="210"/>
      <c r="CU71" s="201"/>
      <c r="CV71" s="201"/>
      <c r="CW71" s="213"/>
      <c r="CX71" s="213"/>
      <c r="CY71" s="213"/>
      <c r="CZ71" s="206"/>
      <c r="DA71" s="206"/>
      <c r="DB71" s="193"/>
    </row>
    <row r="72" spans="1:105">
      <c r="A72" s="154">
        <f t="shared" si="49"/>
        <v>11</v>
      </c>
      <c r="B72" s="161"/>
      <c r="D72" s="154" t="s">
        <v>13917</v>
      </c>
      <c r="E72" s="198">
        <f t="shared" si="38"/>
        <v>498081.72</v>
      </c>
      <c r="F72" s="153">
        <f t="shared" si="39"/>
        <v>498081.72</v>
      </c>
      <c r="G72" s="152">
        <f>G13</f>
        <v>0</v>
      </c>
      <c r="H72" s="152">
        <f>H13</f>
        <v>0</v>
      </c>
      <c r="I72" s="152">
        <f>I13</f>
        <v>0</v>
      </c>
      <c r="J72" s="152">
        <f>J13</f>
        <v>0</v>
      </c>
      <c r="K72" s="152">
        <f>K13</f>
        <v>0</v>
      </c>
      <c r="L72" s="205">
        <f t="shared" si="40"/>
        <v>0</v>
      </c>
      <c r="M72" s="152">
        <f>M13</f>
        <v>0</v>
      </c>
      <c r="N72" s="152">
        <f>N13</f>
        <v>0</v>
      </c>
      <c r="O72" s="205">
        <f t="shared" si="41"/>
        <v>0</v>
      </c>
      <c r="P72" s="152">
        <f t="shared" ref="P72:U72" si="66">P13</f>
        <v>0</v>
      </c>
      <c r="Q72" s="152">
        <f t="shared" si="66"/>
        <v>0</v>
      </c>
      <c r="R72" s="152">
        <f t="shared" si="66"/>
        <v>0</v>
      </c>
      <c r="S72" s="152">
        <f t="shared" si="66"/>
        <v>0</v>
      </c>
      <c r="T72" s="152">
        <f t="shared" si="66"/>
        <v>0</v>
      </c>
      <c r="U72" s="152">
        <f t="shared" si="66"/>
        <v>0</v>
      </c>
      <c r="V72" s="153">
        <f t="shared" si="42"/>
        <v>0</v>
      </c>
      <c r="W72" s="152">
        <f>W13</f>
        <v>0</v>
      </c>
      <c r="X72" s="152">
        <f>X13</f>
        <v>0</v>
      </c>
      <c r="Y72" s="205">
        <f t="shared" si="43"/>
        <v>0</v>
      </c>
      <c r="Z72" s="152">
        <f>Z13</f>
        <v>0</v>
      </c>
      <c r="AA72" s="152">
        <f>AA13</f>
        <v>0</v>
      </c>
      <c r="AB72" s="205">
        <f t="shared" si="44"/>
        <v>0</v>
      </c>
      <c r="AC72" s="152">
        <f t="shared" ref="AC72:AK72" si="67">AC13</f>
        <v>0</v>
      </c>
      <c r="AD72" s="152">
        <f t="shared" si="67"/>
        <v>0</v>
      </c>
      <c r="AE72" s="152">
        <f t="shared" si="67"/>
        <v>0</v>
      </c>
      <c r="AF72" s="152">
        <f t="shared" si="67"/>
        <v>0</v>
      </c>
      <c r="AG72" s="152">
        <f t="shared" si="67"/>
        <v>0</v>
      </c>
      <c r="AH72" s="152">
        <f t="shared" si="67"/>
        <v>0</v>
      </c>
      <c r="AI72" s="152">
        <f t="shared" si="67"/>
        <v>0</v>
      </c>
      <c r="AJ72" s="152">
        <f t="shared" si="67"/>
        <v>0</v>
      </c>
      <c r="AK72" s="152">
        <f t="shared" si="67"/>
        <v>0</v>
      </c>
      <c r="AL72" s="205">
        <f t="shared" si="45"/>
        <v>0</v>
      </c>
      <c r="AM72" s="152">
        <f t="shared" ref="AM72:CO72" si="68">AM13</f>
        <v>0</v>
      </c>
      <c r="AN72" s="152">
        <f t="shared" si="68"/>
        <v>12294.66</v>
      </c>
      <c r="AO72" s="152">
        <f t="shared" si="68"/>
        <v>9238.67</v>
      </c>
      <c r="AP72" s="152">
        <f t="shared" si="68"/>
        <v>0</v>
      </c>
      <c r="AQ72" s="152">
        <f t="shared" si="68"/>
        <v>10829.85</v>
      </c>
      <c r="AR72" s="152">
        <f t="shared" si="68"/>
        <v>0</v>
      </c>
      <c r="AS72" s="152">
        <f t="shared" si="68"/>
        <v>0</v>
      </c>
      <c r="AT72" s="152">
        <f t="shared" si="68"/>
        <v>0</v>
      </c>
      <c r="AU72" s="152">
        <f t="shared" si="68"/>
        <v>7182.42</v>
      </c>
      <c r="AV72" s="152">
        <f t="shared" si="68"/>
        <v>0</v>
      </c>
      <c r="AW72" s="152">
        <f t="shared" si="68"/>
        <v>0</v>
      </c>
      <c r="AX72" s="152">
        <f t="shared" si="68"/>
        <v>0</v>
      </c>
      <c r="AY72" s="152">
        <f t="shared" si="68"/>
        <v>0</v>
      </c>
      <c r="AZ72" s="152">
        <f t="shared" si="68"/>
        <v>0</v>
      </c>
      <c r="BA72" s="152">
        <f t="shared" si="68"/>
        <v>0</v>
      </c>
      <c r="BB72" s="152">
        <f t="shared" si="68"/>
        <v>0</v>
      </c>
      <c r="BC72" s="152">
        <f t="shared" si="68"/>
        <v>0</v>
      </c>
      <c r="BD72" s="152">
        <f t="shared" si="68"/>
        <v>0</v>
      </c>
      <c r="BE72" s="152">
        <f t="shared" si="68"/>
        <v>0</v>
      </c>
      <c r="BF72" s="152">
        <f t="shared" si="68"/>
        <v>0</v>
      </c>
      <c r="BG72" s="152">
        <f t="shared" si="68"/>
        <v>0</v>
      </c>
      <c r="BH72" s="152">
        <f t="shared" si="68"/>
        <v>0</v>
      </c>
      <c r="BI72" s="152">
        <f t="shared" si="68"/>
        <v>0</v>
      </c>
      <c r="BJ72" s="152">
        <f t="shared" si="68"/>
        <v>0</v>
      </c>
      <c r="BK72" s="152">
        <f t="shared" si="68"/>
        <v>0</v>
      </c>
      <c r="BL72" s="152">
        <f t="shared" si="68"/>
        <v>0</v>
      </c>
      <c r="BM72" s="152">
        <f t="shared" si="68"/>
        <v>0</v>
      </c>
      <c r="BN72" s="152">
        <f t="shared" si="68"/>
        <v>0</v>
      </c>
      <c r="BO72" s="152">
        <f t="shared" si="68"/>
        <v>0</v>
      </c>
      <c r="BP72" s="152">
        <f t="shared" si="68"/>
        <v>0</v>
      </c>
      <c r="BQ72" s="152">
        <f t="shared" si="68"/>
        <v>0</v>
      </c>
      <c r="BR72" s="152">
        <f t="shared" si="68"/>
        <v>85454.69</v>
      </c>
      <c r="BS72" s="152">
        <f t="shared" si="68"/>
        <v>722.11</v>
      </c>
      <c r="BT72" s="152">
        <f t="shared" si="68"/>
        <v>0</v>
      </c>
      <c r="BU72" s="152">
        <f t="shared" si="68"/>
        <v>0</v>
      </c>
      <c r="BV72" s="152">
        <f t="shared" si="68"/>
        <v>0</v>
      </c>
      <c r="BW72" s="152">
        <f t="shared" si="68"/>
        <v>16394.06</v>
      </c>
      <c r="BX72" s="152">
        <f t="shared" si="68"/>
        <v>18785.44</v>
      </c>
      <c r="BY72" s="152">
        <f t="shared" si="68"/>
        <v>0</v>
      </c>
      <c r="BZ72" s="152">
        <f t="shared" si="68"/>
        <v>46621.84</v>
      </c>
      <c r="CA72" s="152">
        <f t="shared" si="68"/>
        <v>0</v>
      </c>
      <c r="CB72" s="152">
        <f t="shared" si="68"/>
        <v>0</v>
      </c>
      <c r="CC72" s="152">
        <f t="shared" si="68"/>
        <v>0</v>
      </c>
      <c r="CD72" s="152">
        <f t="shared" si="68"/>
        <v>0</v>
      </c>
      <c r="CE72" s="152">
        <f t="shared" si="68"/>
        <v>3487.36</v>
      </c>
      <c r="CF72" s="152">
        <f t="shared" si="68"/>
        <v>0</v>
      </c>
      <c r="CG72" s="152">
        <f t="shared" si="68"/>
        <v>0</v>
      </c>
      <c r="CH72" s="152">
        <f t="shared" si="68"/>
        <v>0</v>
      </c>
      <c r="CI72" s="152">
        <f t="shared" si="68"/>
        <v>0</v>
      </c>
      <c r="CJ72" s="152">
        <f t="shared" si="68"/>
        <v>0</v>
      </c>
      <c r="CK72" s="152">
        <f t="shared" si="68"/>
        <v>0</v>
      </c>
      <c r="CL72" s="152">
        <f t="shared" si="68"/>
        <v>0</v>
      </c>
      <c r="CM72" s="152">
        <f t="shared" si="68"/>
        <v>8585.98</v>
      </c>
      <c r="CN72" s="152">
        <f t="shared" si="68"/>
        <v>100383.3</v>
      </c>
      <c r="CO72" s="152">
        <f t="shared" si="68"/>
        <v>178101.34</v>
      </c>
      <c r="CP72" s="152"/>
      <c r="CQ72" s="205">
        <f t="shared" si="46"/>
        <v>498081.72</v>
      </c>
      <c r="CR72" s="205">
        <f t="shared" si="47"/>
        <v>498081.72</v>
      </c>
      <c r="CS72" s="205">
        <f t="shared" si="48"/>
        <v>0</v>
      </c>
      <c r="CT72" s="152">
        <f t="shared" ref="CT72:DA72" si="69">CT13</f>
        <v>0</v>
      </c>
      <c r="CU72" s="152">
        <f t="shared" si="69"/>
        <v>0</v>
      </c>
      <c r="CV72" s="152">
        <f t="shared" si="69"/>
        <v>0</v>
      </c>
      <c r="CW72" s="212">
        <f t="shared" si="69"/>
        <v>0</v>
      </c>
      <c r="CX72" s="212">
        <f t="shared" si="69"/>
        <v>0</v>
      </c>
      <c r="CY72" s="212">
        <f t="shared" si="69"/>
        <v>0</v>
      </c>
      <c r="CZ72" s="205">
        <f t="shared" si="69"/>
        <v>0</v>
      </c>
      <c r="DA72" s="205">
        <f t="shared" si="69"/>
        <v>0</v>
      </c>
    </row>
    <row r="73" spans="1:105">
      <c r="A73" s="154">
        <f t="shared" si="49"/>
        <v>12</v>
      </c>
      <c r="B73" s="161"/>
      <c r="D73" s="154" t="s">
        <v>13918</v>
      </c>
      <c r="E73" s="198">
        <f t="shared" si="38"/>
        <v>-1454606.72</v>
      </c>
      <c r="F73" s="153">
        <f t="shared" si="39"/>
        <v>-1454606.72</v>
      </c>
      <c r="G73" s="152">
        <f>G14</f>
        <v>0</v>
      </c>
      <c r="H73" s="152">
        <f>H14</f>
        <v>0</v>
      </c>
      <c r="I73" s="152">
        <f>I14</f>
        <v>0</v>
      </c>
      <c r="J73" s="152">
        <f>J14</f>
        <v>0</v>
      </c>
      <c r="K73" s="152">
        <f>K14</f>
        <v>0</v>
      </c>
      <c r="L73" s="205">
        <f t="shared" si="40"/>
        <v>0</v>
      </c>
      <c r="M73" s="152">
        <f>M14</f>
        <v>0</v>
      </c>
      <c r="N73" s="152">
        <f>N14</f>
        <v>0</v>
      </c>
      <c r="O73" s="205">
        <f t="shared" si="41"/>
        <v>0</v>
      </c>
      <c r="P73" s="152">
        <f t="shared" ref="P73:U73" si="70">P14</f>
        <v>0</v>
      </c>
      <c r="Q73" s="152">
        <f t="shared" si="70"/>
        <v>0</v>
      </c>
      <c r="R73" s="152">
        <f t="shared" si="70"/>
        <v>0</v>
      </c>
      <c r="S73" s="152">
        <f t="shared" si="70"/>
        <v>0</v>
      </c>
      <c r="T73" s="152">
        <f t="shared" si="70"/>
        <v>0</v>
      </c>
      <c r="U73" s="152">
        <f t="shared" si="70"/>
        <v>0</v>
      </c>
      <c r="V73" s="153">
        <f t="shared" si="42"/>
        <v>0</v>
      </c>
      <c r="W73" s="152">
        <f>W14</f>
        <v>0</v>
      </c>
      <c r="X73" s="152">
        <f>X14</f>
        <v>0</v>
      </c>
      <c r="Y73" s="205">
        <f t="shared" si="43"/>
        <v>0</v>
      </c>
      <c r="Z73" s="152">
        <f>Z14</f>
        <v>0</v>
      </c>
      <c r="AA73" s="152">
        <f>AA14</f>
        <v>0</v>
      </c>
      <c r="AB73" s="205">
        <f t="shared" si="44"/>
        <v>0</v>
      </c>
      <c r="AC73" s="152">
        <f t="shared" ref="AC73:AK73" si="71">AC14</f>
        <v>0</v>
      </c>
      <c r="AD73" s="152">
        <f t="shared" si="71"/>
        <v>0</v>
      </c>
      <c r="AE73" s="152">
        <f t="shared" si="71"/>
        <v>0</v>
      </c>
      <c r="AF73" s="152">
        <f t="shared" si="71"/>
        <v>0</v>
      </c>
      <c r="AG73" s="152">
        <f t="shared" si="71"/>
        <v>0</v>
      </c>
      <c r="AH73" s="152">
        <f t="shared" si="71"/>
        <v>0</v>
      </c>
      <c r="AI73" s="152">
        <f t="shared" si="71"/>
        <v>0</v>
      </c>
      <c r="AJ73" s="152">
        <f t="shared" si="71"/>
        <v>0</v>
      </c>
      <c r="AK73" s="152">
        <f t="shared" si="71"/>
        <v>0</v>
      </c>
      <c r="AL73" s="205">
        <f t="shared" si="45"/>
        <v>0</v>
      </c>
      <c r="AM73" s="152">
        <f t="shared" ref="AM73:CO73" si="72">AM14</f>
        <v>0</v>
      </c>
      <c r="AN73" s="152">
        <f t="shared" si="72"/>
        <v>-67330.89</v>
      </c>
      <c r="AO73" s="152">
        <f t="shared" si="72"/>
        <v>-58621.91</v>
      </c>
      <c r="AP73" s="152">
        <f t="shared" si="72"/>
        <v>0</v>
      </c>
      <c r="AQ73" s="152">
        <f t="shared" si="72"/>
        <v>-72638.46</v>
      </c>
      <c r="AR73" s="152">
        <f t="shared" si="72"/>
        <v>0</v>
      </c>
      <c r="AS73" s="152">
        <f t="shared" si="72"/>
        <v>0</v>
      </c>
      <c r="AT73" s="152">
        <f t="shared" si="72"/>
        <v>0</v>
      </c>
      <c r="AU73" s="152">
        <f t="shared" si="72"/>
        <v>39085.38</v>
      </c>
      <c r="AV73" s="152">
        <f t="shared" si="72"/>
        <v>0</v>
      </c>
      <c r="AW73" s="152">
        <f t="shared" si="72"/>
        <v>0</v>
      </c>
      <c r="AX73" s="152">
        <f t="shared" si="72"/>
        <v>0</v>
      </c>
      <c r="AY73" s="152">
        <f t="shared" si="72"/>
        <v>0</v>
      </c>
      <c r="AZ73" s="152">
        <f t="shared" si="72"/>
        <v>0</v>
      </c>
      <c r="BA73" s="152">
        <f t="shared" si="72"/>
        <v>0</v>
      </c>
      <c r="BB73" s="152">
        <f t="shared" si="72"/>
        <v>0</v>
      </c>
      <c r="BC73" s="152">
        <f t="shared" si="72"/>
        <v>0</v>
      </c>
      <c r="BD73" s="152">
        <f t="shared" si="72"/>
        <v>0</v>
      </c>
      <c r="BE73" s="152">
        <f t="shared" si="72"/>
        <v>0</v>
      </c>
      <c r="BF73" s="152">
        <f t="shared" si="72"/>
        <v>0</v>
      </c>
      <c r="BG73" s="152">
        <f t="shared" si="72"/>
        <v>0</v>
      </c>
      <c r="BH73" s="152">
        <f t="shared" si="72"/>
        <v>0</v>
      </c>
      <c r="BI73" s="152">
        <f t="shared" si="72"/>
        <v>0</v>
      </c>
      <c r="BJ73" s="152">
        <f t="shared" si="72"/>
        <v>0</v>
      </c>
      <c r="BK73" s="152">
        <f t="shared" si="72"/>
        <v>0</v>
      </c>
      <c r="BL73" s="152">
        <f t="shared" si="72"/>
        <v>0</v>
      </c>
      <c r="BM73" s="152">
        <f t="shared" si="72"/>
        <v>0</v>
      </c>
      <c r="BN73" s="152">
        <f t="shared" si="72"/>
        <v>0</v>
      </c>
      <c r="BO73" s="152">
        <f t="shared" si="72"/>
        <v>0</v>
      </c>
      <c r="BP73" s="152">
        <f t="shared" si="72"/>
        <v>0</v>
      </c>
      <c r="BQ73" s="152">
        <f t="shared" si="72"/>
        <v>0</v>
      </c>
      <c r="BR73" s="152">
        <f t="shared" si="72"/>
        <v>-470053.65</v>
      </c>
      <c r="BS73" s="152">
        <f t="shared" si="72"/>
        <v>-4389.9</v>
      </c>
      <c r="BT73" s="152">
        <f t="shared" si="72"/>
        <v>0</v>
      </c>
      <c r="BU73" s="152">
        <f t="shared" si="72"/>
        <v>0</v>
      </c>
      <c r="BV73" s="152">
        <f t="shared" si="72"/>
        <v>0</v>
      </c>
      <c r="BW73" s="152">
        <f t="shared" si="72"/>
        <v>-89464.73</v>
      </c>
      <c r="BX73" s="152">
        <f t="shared" si="72"/>
        <v>-302980.36</v>
      </c>
      <c r="BY73" s="152">
        <f t="shared" si="72"/>
        <v>0</v>
      </c>
      <c r="BZ73" s="152">
        <f t="shared" si="72"/>
        <v>-277371.48</v>
      </c>
      <c r="CA73" s="152">
        <f t="shared" si="72"/>
        <v>-9437.82</v>
      </c>
      <c r="CB73" s="152">
        <f t="shared" si="72"/>
        <v>0</v>
      </c>
      <c r="CC73" s="152">
        <f t="shared" si="72"/>
        <v>0</v>
      </c>
      <c r="CD73" s="152">
        <f t="shared" si="72"/>
        <v>3092.64</v>
      </c>
      <c r="CE73" s="152">
        <f t="shared" si="72"/>
        <v>-20924.18</v>
      </c>
      <c r="CF73" s="152">
        <f t="shared" si="72"/>
        <v>0</v>
      </c>
      <c r="CG73" s="152">
        <f t="shared" si="72"/>
        <v>0</v>
      </c>
      <c r="CH73" s="152">
        <f t="shared" si="72"/>
        <v>0</v>
      </c>
      <c r="CI73" s="152">
        <f t="shared" si="72"/>
        <v>0</v>
      </c>
      <c r="CJ73" s="152">
        <f t="shared" si="72"/>
        <v>0</v>
      </c>
      <c r="CK73" s="152">
        <f t="shared" si="72"/>
        <v>0</v>
      </c>
      <c r="CL73" s="152">
        <f t="shared" si="72"/>
        <v>0</v>
      </c>
      <c r="CM73" s="152">
        <f t="shared" si="72"/>
        <v>-49671.74</v>
      </c>
      <c r="CN73" s="152">
        <f t="shared" si="72"/>
        <v>0</v>
      </c>
      <c r="CO73" s="152">
        <f t="shared" si="72"/>
        <v>-73899.62</v>
      </c>
      <c r="CP73" s="152"/>
      <c r="CQ73" s="205">
        <f t="shared" si="46"/>
        <v>-1454606.72</v>
      </c>
      <c r="CR73" s="205">
        <f t="shared" si="47"/>
        <v>-1454606.72</v>
      </c>
      <c r="CS73" s="205">
        <f t="shared" si="48"/>
        <v>0</v>
      </c>
      <c r="CT73" s="152">
        <f t="shared" ref="CT73:DA73" si="73">CT14</f>
        <v>0</v>
      </c>
      <c r="CU73" s="152">
        <f t="shared" si="73"/>
        <v>0</v>
      </c>
      <c r="CV73" s="152">
        <f t="shared" si="73"/>
        <v>0</v>
      </c>
      <c r="CW73" s="212">
        <f t="shared" si="73"/>
        <v>0</v>
      </c>
      <c r="CX73" s="212">
        <f t="shared" si="73"/>
        <v>0</v>
      </c>
      <c r="CY73" s="212">
        <f t="shared" si="73"/>
        <v>0</v>
      </c>
      <c r="CZ73" s="205">
        <f t="shared" si="73"/>
        <v>0</v>
      </c>
      <c r="DA73" s="205">
        <f t="shared" si="73"/>
        <v>0</v>
      </c>
    </row>
    <row r="74" spans="1:105">
      <c r="A74" s="154">
        <f t="shared" si="49"/>
        <v>13</v>
      </c>
      <c r="B74" s="161"/>
      <c r="D74" s="154" t="s">
        <v>3864</v>
      </c>
      <c r="E74" s="198">
        <f t="shared" si="38"/>
        <v>25115.49</v>
      </c>
      <c r="F74" s="153">
        <f t="shared" si="39"/>
        <v>25115.49</v>
      </c>
      <c r="G74" s="152">
        <f>G46</f>
        <v>0</v>
      </c>
      <c r="H74" s="152">
        <f>H46</f>
        <v>0</v>
      </c>
      <c r="I74" s="152">
        <f>I46</f>
        <v>0</v>
      </c>
      <c r="J74" s="152">
        <f>J46</f>
        <v>0</v>
      </c>
      <c r="K74" s="152">
        <f>K46</f>
        <v>0</v>
      </c>
      <c r="L74" s="205">
        <f t="shared" si="40"/>
        <v>0</v>
      </c>
      <c r="M74" s="152">
        <f>M46</f>
        <v>0</v>
      </c>
      <c r="N74" s="152">
        <f>N46</f>
        <v>0</v>
      </c>
      <c r="O74" s="205">
        <f t="shared" si="41"/>
        <v>0</v>
      </c>
      <c r="P74" s="152">
        <f t="shared" ref="P74:U74" si="74">P46</f>
        <v>0</v>
      </c>
      <c r="Q74" s="152">
        <f t="shared" si="74"/>
        <v>0</v>
      </c>
      <c r="R74" s="152">
        <f t="shared" si="74"/>
        <v>0</v>
      </c>
      <c r="S74" s="152">
        <f t="shared" si="74"/>
        <v>0</v>
      </c>
      <c r="T74" s="152">
        <f t="shared" si="74"/>
        <v>0</v>
      </c>
      <c r="U74" s="152">
        <f t="shared" si="74"/>
        <v>0</v>
      </c>
      <c r="V74" s="153">
        <f t="shared" si="42"/>
        <v>0</v>
      </c>
      <c r="W74" s="152">
        <f>W46</f>
        <v>0</v>
      </c>
      <c r="X74" s="152">
        <f>X46</f>
        <v>0</v>
      </c>
      <c r="Y74" s="205">
        <f t="shared" si="43"/>
        <v>0</v>
      </c>
      <c r="Z74" s="152">
        <f>Z46</f>
        <v>0</v>
      </c>
      <c r="AA74" s="152">
        <f>AA46</f>
        <v>0</v>
      </c>
      <c r="AB74" s="205">
        <f t="shared" si="44"/>
        <v>0</v>
      </c>
      <c r="AC74" s="152">
        <f t="shared" ref="AC74:AK74" si="75">AC46</f>
        <v>0</v>
      </c>
      <c r="AD74" s="152">
        <f t="shared" si="75"/>
        <v>0</v>
      </c>
      <c r="AE74" s="152">
        <f t="shared" si="75"/>
        <v>0</v>
      </c>
      <c r="AF74" s="152">
        <f t="shared" si="75"/>
        <v>0</v>
      </c>
      <c r="AG74" s="152">
        <f t="shared" si="75"/>
        <v>0</v>
      </c>
      <c r="AH74" s="152">
        <f t="shared" si="75"/>
        <v>0</v>
      </c>
      <c r="AI74" s="152">
        <f t="shared" si="75"/>
        <v>0</v>
      </c>
      <c r="AJ74" s="152">
        <f t="shared" si="75"/>
        <v>0</v>
      </c>
      <c r="AK74" s="152">
        <f t="shared" si="75"/>
        <v>23982.81</v>
      </c>
      <c r="AL74" s="205">
        <f t="shared" si="45"/>
        <v>23982.81</v>
      </c>
      <c r="AM74" s="152">
        <f t="shared" ref="AM74:CO74" si="76">AM46</f>
        <v>0</v>
      </c>
      <c r="AN74" s="152">
        <f t="shared" si="76"/>
        <v>0</v>
      </c>
      <c r="AO74" s="152">
        <f t="shared" si="76"/>
        <v>-3822.84</v>
      </c>
      <c r="AP74" s="152">
        <f t="shared" si="76"/>
        <v>0</v>
      </c>
      <c r="AQ74" s="152">
        <f t="shared" si="76"/>
        <v>0</v>
      </c>
      <c r="AR74" s="152">
        <f t="shared" si="76"/>
        <v>0</v>
      </c>
      <c r="AS74" s="152">
        <f t="shared" si="76"/>
        <v>0</v>
      </c>
      <c r="AT74" s="152">
        <f t="shared" si="76"/>
        <v>0</v>
      </c>
      <c r="AU74" s="152">
        <f t="shared" si="76"/>
        <v>3005.93</v>
      </c>
      <c r="AV74" s="152">
        <f t="shared" si="76"/>
        <v>0</v>
      </c>
      <c r="AW74" s="152">
        <f t="shared" si="76"/>
        <v>0</v>
      </c>
      <c r="AX74" s="152">
        <f t="shared" si="76"/>
        <v>0</v>
      </c>
      <c r="AY74" s="152">
        <f t="shared" si="76"/>
        <v>0</v>
      </c>
      <c r="AZ74" s="152">
        <f t="shared" si="76"/>
        <v>0</v>
      </c>
      <c r="BA74" s="152">
        <f t="shared" si="76"/>
        <v>0</v>
      </c>
      <c r="BB74" s="152">
        <f t="shared" si="76"/>
        <v>0</v>
      </c>
      <c r="BC74" s="152">
        <f t="shared" si="76"/>
        <v>0</v>
      </c>
      <c r="BD74" s="152">
        <f t="shared" si="76"/>
        <v>0</v>
      </c>
      <c r="BE74" s="152">
        <f t="shared" si="76"/>
        <v>0</v>
      </c>
      <c r="BF74" s="152">
        <f t="shared" si="76"/>
        <v>0</v>
      </c>
      <c r="BG74" s="152">
        <f t="shared" si="76"/>
        <v>0</v>
      </c>
      <c r="BH74" s="152">
        <f t="shared" si="76"/>
        <v>0</v>
      </c>
      <c r="BI74" s="152">
        <f t="shared" si="76"/>
        <v>0</v>
      </c>
      <c r="BJ74" s="152">
        <f t="shared" si="76"/>
        <v>0</v>
      </c>
      <c r="BK74" s="152">
        <f t="shared" si="76"/>
        <v>0</v>
      </c>
      <c r="BL74" s="152">
        <f t="shared" si="76"/>
        <v>0</v>
      </c>
      <c r="BM74" s="152">
        <f t="shared" si="76"/>
        <v>0</v>
      </c>
      <c r="BN74" s="152">
        <f t="shared" si="76"/>
        <v>0</v>
      </c>
      <c r="BO74" s="152">
        <f t="shared" si="76"/>
        <v>0</v>
      </c>
      <c r="BP74" s="152">
        <f t="shared" si="76"/>
        <v>0</v>
      </c>
      <c r="BQ74" s="152">
        <f t="shared" si="76"/>
        <v>0</v>
      </c>
      <c r="BR74" s="152">
        <f t="shared" si="76"/>
        <v>0</v>
      </c>
      <c r="BS74" s="152">
        <f t="shared" si="76"/>
        <v>0</v>
      </c>
      <c r="BT74" s="152">
        <f t="shared" si="76"/>
        <v>0</v>
      </c>
      <c r="BU74" s="152">
        <f t="shared" si="76"/>
        <v>0</v>
      </c>
      <c r="BV74" s="152">
        <f t="shared" si="76"/>
        <v>0</v>
      </c>
      <c r="BW74" s="152">
        <f t="shared" si="76"/>
        <v>0</v>
      </c>
      <c r="BX74" s="152">
        <f t="shared" si="76"/>
        <v>0</v>
      </c>
      <c r="BY74" s="152">
        <f t="shared" si="76"/>
        <v>0</v>
      </c>
      <c r="BZ74" s="152">
        <f t="shared" si="76"/>
        <v>0</v>
      </c>
      <c r="CA74" s="152">
        <f t="shared" si="76"/>
        <v>1733.59</v>
      </c>
      <c r="CB74" s="152">
        <f t="shared" si="76"/>
        <v>0</v>
      </c>
      <c r="CC74" s="152">
        <f t="shared" si="76"/>
        <v>0</v>
      </c>
      <c r="CD74" s="152">
        <f t="shared" si="76"/>
        <v>0</v>
      </c>
      <c r="CE74" s="152">
        <f t="shared" si="76"/>
        <v>0</v>
      </c>
      <c r="CF74" s="152">
        <f t="shared" si="76"/>
        <v>216</v>
      </c>
      <c r="CG74" s="152">
        <f t="shared" si="76"/>
        <v>0</v>
      </c>
      <c r="CH74" s="152">
        <f t="shared" si="76"/>
        <v>0</v>
      </c>
      <c r="CI74" s="152">
        <f t="shared" si="76"/>
        <v>0</v>
      </c>
      <c r="CJ74" s="152">
        <f t="shared" si="76"/>
        <v>0</v>
      </c>
      <c r="CK74" s="152">
        <f t="shared" si="76"/>
        <v>0</v>
      </c>
      <c r="CL74" s="152">
        <f t="shared" si="76"/>
        <v>0</v>
      </c>
      <c r="CM74" s="152">
        <f t="shared" si="76"/>
        <v>0</v>
      </c>
      <c r="CN74" s="152">
        <f t="shared" si="76"/>
        <v>0</v>
      </c>
      <c r="CO74" s="152">
        <f t="shared" si="76"/>
        <v>0</v>
      </c>
      <c r="CP74" s="152"/>
      <c r="CQ74" s="205">
        <f t="shared" si="46"/>
        <v>1132.68</v>
      </c>
      <c r="CR74" s="205">
        <f t="shared" si="47"/>
        <v>25115.49</v>
      </c>
      <c r="CS74" s="205">
        <f t="shared" si="48"/>
        <v>0</v>
      </c>
      <c r="CT74" s="209">
        <f t="shared" ref="CT74:DA74" si="77">CT46</f>
        <v>0</v>
      </c>
      <c r="CU74" s="152">
        <f t="shared" si="77"/>
        <v>0</v>
      </c>
      <c r="CV74" s="152">
        <f t="shared" si="77"/>
        <v>0</v>
      </c>
      <c r="CW74" s="212">
        <f t="shared" si="77"/>
        <v>0</v>
      </c>
      <c r="CX74" s="212">
        <f t="shared" si="77"/>
        <v>0</v>
      </c>
      <c r="CY74" s="212">
        <f t="shared" si="77"/>
        <v>0</v>
      </c>
      <c r="CZ74" s="205">
        <f t="shared" si="77"/>
        <v>0</v>
      </c>
      <c r="DA74" s="205">
        <f t="shared" si="77"/>
        <v>0</v>
      </c>
    </row>
    <row r="75" spans="1:106">
      <c r="A75" s="154">
        <f t="shared" si="49"/>
        <v>14</v>
      </c>
      <c r="B75" s="161"/>
      <c r="D75" s="154" t="s">
        <v>13919</v>
      </c>
      <c r="E75" s="198">
        <f t="shared" si="38"/>
        <v>0</v>
      </c>
      <c r="F75" s="153">
        <f t="shared" si="39"/>
        <v>0</v>
      </c>
      <c r="G75" s="152">
        <f>G38</f>
        <v>0</v>
      </c>
      <c r="H75" s="152">
        <f>H38</f>
        <v>0</v>
      </c>
      <c r="I75" s="152">
        <f>I38</f>
        <v>0</v>
      </c>
      <c r="J75" s="152">
        <f>J38</f>
        <v>0</v>
      </c>
      <c r="K75" s="152">
        <f>K38</f>
        <v>0</v>
      </c>
      <c r="L75" s="205">
        <f t="shared" si="40"/>
        <v>0</v>
      </c>
      <c r="M75" s="152">
        <f>M38</f>
        <v>0</v>
      </c>
      <c r="N75" s="152">
        <f>N38</f>
        <v>0</v>
      </c>
      <c r="O75" s="205">
        <f t="shared" si="41"/>
        <v>0</v>
      </c>
      <c r="P75" s="152">
        <f t="shared" ref="P75:U75" si="78">P38</f>
        <v>0</v>
      </c>
      <c r="Q75" s="152">
        <f t="shared" si="78"/>
        <v>0</v>
      </c>
      <c r="R75" s="152">
        <f t="shared" si="78"/>
        <v>0</v>
      </c>
      <c r="S75" s="152">
        <f t="shared" si="78"/>
        <v>0</v>
      </c>
      <c r="T75" s="152">
        <f t="shared" si="78"/>
        <v>0</v>
      </c>
      <c r="U75" s="152">
        <f t="shared" si="78"/>
        <v>0</v>
      </c>
      <c r="V75" s="153">
        <f t="shared" si="42"/>
        <v>0</v>
      </c>
      <c r="W75" s="152">
        <f>W38</f>
        <v>0</v>
      </c>
      <c r="X75" s="152">
        <f>X38</f>
        <v>0</v>
      </c>
      <c r="Y75" s="205">
        <f t="shared" si="43"/>
        <v>0</v>
      </c>
      <c r="Z75" s="152">
        <f>Z38</f>
        <v>0</v>
      </c>
      <c r="AA75" s="152">
        <f>AA38</f>
        <v>0</v>
      </c>
      <c r="AB75" s="205">
        <f t="shared" si="44"/>
        <v>0</v>
      </c>
      <c r="AC75" s="152">
        <f t="shared" ref="AC75:AK75" si="79">AC38</f>
        <v>0</v>
      </c>
      <c r="AD75" s="152">
        <f t="shared" si="79"/>
        <v>0</v>
      </c>
      <c r="AE75" s="152">
        <f t="shared" si="79"/>
        <v>0</v>
      </c>
      <c r="AF75" s="152">
        <f t="shared" si="79"/>
        <v>0</v>
      </c>
      <c r="AG75" s="152">
        <f t="shared" si="79"/>
        <v>0</v>
      </c>
      <c r="AH75" s="152">
        <f t="shared" si="79"/>
        <v>0</v>
      </c>
      <c r="AI75" s="152">
        <f t="shared" si="79"/>
        <v>0</v>
      </c>
      <c r="AJ75" s="152">
        <f t="shared" si="79"/>
        <v>0</v>
      </c>
      <c r="AK75" s="152">
        <f t="shared" si="79"/>
        <v>0</v>
      </c>
      <c r="AL75" s="205">
        <f t="shared" si="45"/>
        <v>0</v>
      </c>
      <c r="AM75" s="152">
        <f t="shared" ref="AM75:CO75" si="80">AM38</f>
        <v>0</v>
      </c>
      <c r="AN75" s="152">
        <f t="shared" si="80"/>
        <v>0</v>
      </c>
      <c r="AO75" s="152">
        <f t="shared" si="80"/>
        <v>0</v>
      </c>
      <c r="AP75" s="152">
        <f t="shared" si="80"/>
        <v>0</v>
      </c>
      <c r="AQ75" s="152">
        <f t="shared" si="80"/>
        <v>0</v>
      </c>
      <c r="AR75" s="152">
        <f t="shared" si="80"/>
        <v>0</v>
      </c>
      <c r="AS75" s="152">
        <f t="shared" si="80"/>
        <v>0</v>
      </c>
      <c r="AT75" s="152">
        <f t="shared" si="80"/>
        <v>0</v>
      </c>
      <c r="AU75" s="152">
        <f t="shared" si="80"/>
        <v>0</v>
      </c>
      <c r="AV75" s="152">
        <f t="shared" si="80"/>
        <v>0</v>
      </c>
      <c r="AW75" s="152">
        <f t="shared" si="80"/>
        <v>0</v>
      </c>
      <c r="AX75" s="152">
        <f t="shared" si="80"/>
        <v>0</v>
      </c>
      <c r="AY75" s="152">
        <f t="shared" si="80"/>
        <v>0</v>
      </c>
      <c r="AZ75" s="152">
        <f t="shared" si="80"/>
        <v>0</v>
      </c>
      <c r="BA75" s="152">
        <f t="shared" si="80"/>
        <v>0</v>
      </c>
      <c r="BB75" s="152">
        <f t="shared" si="80"/>
        <v>0</v>
      </c>
      <c r="BC75" s="152">
        <f t="shared" si="80"/>
        <v>0</v>
      </c>
      <c r="BD75" s="152">
        <f t="shared" si="80"/>
        <v>0</v>
      </c>
      <c r="BE75" s="152">
        <f t="shared" si="80"/>
        <v>0</v>
      </c>
      <c r="BF75" s="152">
        <f t="shared" si="80"/>
        <v>0</v>
      </c>
      <c r="BG75" s="152">
        <f t="shared" si="80"/>
        <v>0</v>
      </c>
      <c r="BH75" s="152">
        <f t="shared" si="80"/>
        <v>0</v>
      </c>
      <c r="BI75" s="152">
        <f t="shared" si="80"/>
        <v>0</v>
      </c>
      <c r="BJ75" s="152">
        <f t="shared" si="80"/>
        <v>0</v>
      </c>
      <c r="BK75" s="152">
        <f t="shared" si="80"/>
        <v>0</v>
      </c>
      <c r="BL75" s="152">
        <f t="shared" si="80"/>
        <v>0</v>
      </c>
      <c r="BM75" s="152">
        <f t="shared" si="80"/>
        <v>0</v>
      </c>
      <c r="BN75" s="152">
        <f t="shared" si="80"/>
        <v>0</v>
      </c>
      <c r="BO75" s="152">
        <f t="shared" si="80"/>
        <v>0</v>
      </c>
      <c r="BP75" s="152">
        <f t="shared" si="80"/>
        <v>0</v>
      </c>
      <c r="BQ75" s="152">
        <f t="shared" si="80"/>
        <v>0</v>
      </c>
      <c r="BR75" s="152">
        <f t="shared" si="80"/>
        <v>0</v>
      </c>
      <c r="BS75" s="152">
        <f t="shared" si="80"/>
        <v>0</v>
      </c>
      <c r="BT75" s="152">
        <f t="shared" si="80"/>
        <v>0</v>
      </c>
      <c r="BU75" s="152">
        <f t="shared" si="80"/>
        <v>0</v>
      </c>
      <c r="BV75" s="152">
        <f t="shared" si="80"/>
        <v>0</v>
      </c>
      <c r="BW75" s="152">
        <f t="shared" si="80"/>
        <v>0</v>
      </c>
      <c r="BX75" s="152">
        <f t="shared" si="80"/>
        <v>0</v>
      </c>
      <c r="BY75" s="152">
        <f t="shared" si="80"/>
        <v>0</v>
      </c>
      <c r="BZ75" s="152">
        <f t="shared" si="80"/>
        <v>0</v>
      </c>
      <c r="CA75" s="152">
        <f t="shared" si="80"/>
        <v>0</v>
      </c>
      <c r="CB75" s="152">
        <f t="shared" si="80"/>
        <v>0</v>
      </c>
      <c r="CC75" s="152">
        <f t="shared" si="80"/>
        <v>0</v>
      </c>
      <c r="CD75" s="152">
        <f t="shared" si="80"/>
        <v>0</v>
      </c>
      <c r="CE75" s="152">
        <f t="shared" si="80"/>
        <v>0</v>
      </c>
      <c r="CF75" s="152">
        <f t="shared" si="80"/>
        <v>0</v>
      </c>
      <c r="CG75" s="152">
        <f t="shared" si="80"/>
        <v>0</v>
      </c>
      <c r="CH75" s="152">
        <f t="shared" si="80"/>
        <v>0</v>
      </c>
      <c r="CI75" s="152">
        <f t="shared" si="80"/>
        <v>0</v>
      </c>
      <c r="CJ75" s="152">
        <f t="shared" si="80"/>
        <v>0</v>
      </c>
      <c r="CK75" s="152">
        <f t="shared" si="80"/>
        <v>0</v>
      </c>
      <c r="CL75" s="152">
        <f t="shared" si="80"/>
        <v>0</v>
      </c>
      <c r="CM75" s="152">
        <f t="shared" si="80"/>
        <v>0</v>
      </c>
      <c r="CN75" s="152">
        <f t="shared" si="80"/>
        <v>0</v>
      </c>
      <c r="CO75" s="152">
        <f t="shared" si="80"/>
        <v>0</v>
      </c>
      <c r="CP75" s="152"/>
      <c r="CQ75" s="205">
        <f t="shared" si="46"/>
        <v>0</v>
      </c>
      <c r="CR75" s="205">
        <f t="shared" si="47"/>
        <v>0</v>
      </c>
      <c r="CS75" s="205">
        <f t="shared" si="48"/>
        <v>0</v>
      </c>
      <c r="CT75" s="209">
        <f t="shared" ref="CT75:DA75" si="81">CT38</f>
        <v>0</v>
      </c>
      <c r="CU75" s="152">
        <f t="shared" si="81"/>
        <v>0</v>
      </c>
      <c r="CV75" s="152">
        <f t="shared" si="81"/>
        <v>0</v>
      </c>
      <c r="CW75" s="212">
        <f t="shared" si="81"/>
        <v>0</v>
      </c>
      <c r="CX75" s="212">
        <f t="shared" si="81"/>
        <v>0</v>
      </c>
      <c r="CY75" s="212">
        <f t="shared" si="81"/>
        <v>0</v>
      </c>
      <c r="CZ75" s="205">
        <f t="shared" si="81"/>
        <v>0</v>
      </c>
      <c r="DA75" s="205">
        <f t="shared" si="81"/>
        <v>0</v>
      </c>
      <c r="DB75" s="193"/>
    </row>
    <row r="76" spans="1:106">
      <c r="A76" s="154">
        <f t="shared" si="49"/>
        <v>15</v>
      </c>
      <c r="B76" s="161"/>
      <c r="D76" s="154" t="s">
        <v>13920</v>
      </c>
      <c r="E76" s="198">
        <f t="shared" si="38"/>
        <v>0</v>
      </c>
      <c r="F76" s="153">
        <f t="shared" si="39"/>
        <v>0</v>
      </c>
      <c r="G76" s="152">
        <f>G45</f>
        <v>0</v>
      </c>
      <c r="H76" s="152">
        <f>H45</f>
        <v>0</v>
      </c>
      <c r="I76" s="152">
        <f>I45</f>
        <v>0</v>
      </c>
      <c r="J76" s="152">
        <f>J45</f>
        <v>0</v>
      </c>
      <c r="K76" s="152">
        <f>K45</f>
        <v>0</v>
      </c>
      <c r="L76" s="205">
        <f t="shared" si="40"/>
        <v>0</v>
      </c>
      <c r="M76" s="152">
        <f>M45</f>
        <v>0</v>
      </c>
      <c r="N76" s="152">
        <f>N45</f>
        <v>0</v>
      </c>
      <c r="O76" s="205">
        <f t="shared" si="41"/>
        <v>0</v>
      </c>
      <c r="P76" s="152">
        <f t="shared" ref="P76:U76" si="82">P45</f>
        <v>0</v>
      </c>
      <c r="Q76" s="152">
        <f t="shared" si="82"/>
        <v>0</v>
      </c>
      <c r="R76" s="152">
        <f t="shared" si="82"/>
        <v>0</v>
      </c>
      <c r="S76" s="152">
        <f t="shared" si="82"/>
        <v>0</v>
      </c>
      <c r="T76" s="152">
        <f t="shared" si="82"/>
        <v>0</v>
      </c>
      <c r="U76" s="152">
        <f t="shared" si="82"/>
        <v>0</v>
      </c>
      <c r="V76" s="153">
        <f t="shared" si="42"/>
        <v>0</v>
      </c>
      <c r="W76" s="152">
        <f>W45</f>
        <v>0</v>
      </c>
      <c r="X76" s="152">
        <f>X45</f>
        <v>0</v>
      </c>
      <c r="Y76" s="205">
        <f t="shared" si="43"/>
        <v>0</v>
      </c>
      <c r="Z76" s="152">
        <f>Z45</f>
        <v>0</v>
      </c>
      <c r="AA76" s="152">
        <f>AA45</f>
        <v>0</v>
      </c>
      <c r="AB76" s="205">
        <f t="shared" si="44"/>
        <v>0</v>
      </c>
      <c r="AC76" s="152">
        <f t="shared" ref="AC76:AK76" si="83">AC45</f>
        <v>0</v>
      </c>
      <c r="AD76" s="152">
        <f t="shared" si="83"/>
        <v>0</v>
      </c>
      <c r="AE76" s="152">
        <f t="shared" si="83"/>
        <v>0</v>
      </c>
      <c r="AF76" s="152">
        <f t="shared" si="83"/>
        <v>0</v>
      </c>
      <c r="AG76" s="152">
        <f t="shared" si="83"/>
        <v>0</v>
      </c>
      <c r="AH76" s="152">
        <f t="shared" si="83"/>
        <v>0</v>
      </c>
      <c r="AI76" s="152">
        <f t="shared" si="83"/>
        <v>0</v>
      </c>
      <c r="AJ76" s="152">
        <f t="shared" si="83"/>
        <v>0</v>
      </c>
      <c r="AK76" s="152">
        <f t="shared" si="83"/>
        <v>0</v>
      </c>
      <c r="AL76" s="205">
        <f t="shared" si="45"/>
        <v>0</v>
      </c>
      <c r="AM76" s="152">
        <f t="shared" ref="AM76:CO76" si="84">AM45</f>
        <v>0</v>
      </c>
      <c r="AN76" s="152">
        <f t="shared" si="84"/>
        <v>0</v>
      </c>
      <c r="AO76" s="152">
        <f t="shared" si="84"/>
        <v>0</v>
      </c>
      <c r="AP76" s="152">
        <f t="shared" si="84"/>
        <v>0</v>
      </c>
      <c r="AQ76" s="152">
        <f t="shared" si="84"/>
        <v>0</v>
      </c>
      <c r="AR76" s="152">
        <f t="shared" si="84"/>
        <v>0</v>
      </c>
      <c r="AS76" s="152">
        <f t="shared" si="84"/>
        <v>0</v>
      </c>
      <c r="AT76" s="152">
        <f t="shared" si="84"/>
        <v>0</v>
      </c>
      <c r="AU76" s="152">
        <f t="shared" si="84"/>
        <v>0</v>
      </c>
      <c r="AV76" s="152">
        <f t="shared" si="84"/>
        <v>0</v>
      </c>
      <c r="AW76" s="152">
        <f t="shared" si="84"/>
        <v>0</v>
      </c>
      <c r="AX76" s="152">
        <f t="shared" si="84"/>
        <v>0</v>
      </c>
      <c r="AY76" s="152">
        <f t="shared" si="84"/>
        <v>0</v>
      </c>
      <c r="AZ76" s="152">
        <f t="shared" si="84"/>
        <v>0</v>
      </c>
      <c r="BA76" s="152">
        <f t="shared" si="84"/>
        <v>0</v>
      </c>
      <c r="BB76" s="152">
        <f t="shared" si="84"/>
        <v>0</v>
      </c>
      <c r="BC76" s="152">
        <f t="shared" si="84"/>
        <v>0</v>
      </c>
      <c r="BD76" s="152">
        <f t="shared" si="84"/>
        <v>0</v>
      </c>
      <c r="BE76" s="152">
        <f t="shared" si="84"/>
        <v>0</v>
      </c>
      <c r="BF76" s="152">
        <f t="shared" si="84"/>
        <v>0</v>
      </c>
      <c r="BG76" s="152">
        <f t="shared" si="84"/>
        <v>0</v>
      </c>
      <c r="BH76" s="152">
        <f t="shared" si="84"/>
        <v>0</v>
      </c>
      <c r="BI76" s="152">
        <f t="shared" si="84"/>
        <v>0</v>
      </c>
      <c r="BJ76" s="152">
        <f t="shared" si="84"/>
        <v>0</v>
      </c>
      <c r="BK76" s="152">
        <f t="shared" si="84"/>
        <v>0</v>
      </c>
      <c r="BL76" s="152">
        <f t="shared" si="84"/>
        <v>0</v>
      </c>
      <c r="BM76" s="152">
        <f t="shared" si="84"/>
        <v>0</v>
      </c>
      <c r="BN76" s="152">
        <f t="shared" si="84"/>
        <v>0</v>
      </c>
      <c r="BO76" s="152">
        <f t="shared" si="84"/>
        <v>0</v>
      </c>
      <c r="BP76" s="152">
        <f t="shared" si="84"/>
        <v>0</v>
      </c>
      <c r="BQ76" s="152">
        <f t="shared" si="84"/>
        <v>0</v>
      </c>
      <c r="BR76" s="152">
        <f t="shared" si="84"/>
        <v>0</v>
      </c>
      <c r="BS76" s="152">
        <f t="shared" si="84"/>
        <v>0</v>
      </c>
      <c r="BT76" s="152">
        <f t="shared" si="84"/>
        <v>0</v>
      </c>
      <c r="BU76" s="152">
        <f t="shared" si="84"/>
        <v>0</v>
      </c>
      <c r="BV76" s="152">
        <f t="shared" si="84"/>
        <v>0</v>
      </c>
      <c r="BW76" s="152">
        <f t="shared" si="84"/>
        <v>0</v>
      </c>
      <c r="BX76" s="152">
        <f t="shared" si="84"/>
        <v>0</v>
      </c>
      <c r="BY76" s="152">
        <f t="shared" si="84"/>
        <v>0</v>
      </c>
      <c r="BZ76" s="152">
        <f t="shared" si="84"/>
        <v>0</v>
      </c>
      <c r="CA76" s="152">
        <f t="shared" si="84"/>
        <v>0</v>
      </c>
      <c r="CB76" s="152">
        <f t="shared" si="84"/>
        <v>0</v>
      </c>
      <c r="CC76" s="152">
        <f t="shared" si="84"/>
        <v>0</v>
      </c>
      <c r="CD76" s="152">
        <f t="shared" si="84"/>
        <v>0</v>
      </c>
      <c r="CE76" s="152">
        <f t="shared" si="84"/>
        <v>0</v>
      </c>
      <c r="CF76" s="152">
        <f t="shared" si="84"/>
        <v>0</v>
      </c>
      <c r="CG76" s="152">
        <f t="shared" si="84"/>
        <v>0</v>
      </c>
      <c r="CH76" s="152">
        <f t="shared" si="84"/>
        <v>0</v>
      </c>
      <c r="CI76" s="152">
        <f t="shared" si="84"/>
        <v>0</v>
      </c>
      <c r="CJ76" s="152">
        <f t="shared" si="84"/>
        <v>0</v>
      </c>
      <c r="CK76" s="152">
        <f t="shared" si="84"/>
        <v>0</v>
      </c>
      <c r="CL76" s="152">
        <f t="shared" si="84"/>
        <v>0</v>
      </c>
      <c r="CM76" s="152">
        <f t="shared" si="84"/>
        <v>0</v>
      </c>
      <c r="CN76" s="152">
        <f t="shared" si="84"/>
        <v>0</v>
      </c>
      <c r="CO76" s="152">
        <f t="shared" si="84"/>
        <v>0</v>
      </c>
      <c r="CP76" s="152"/>
      <c r="CQ76" s="205">
        <f t="shared" si="46"/>
        <v>0</v>
      </c>
      <c r="CR76" s="205">
        <f t="shared" si="47"/>
        <v>0</v>
      </c>
      <c r="CS76" s="205">
        <f t="shared" si="48"/>
        <v>0</v>
      </c>
      <c r="CT76" s="209">
        <f t="shared" ref="CT76:DA76" si="85">CT45</f>
        <v>0</v>
      </c>
      <c r="CU76" s="152">
        <f t="shared" si="85"/>
        <v>0</v>
      </c>
      <c r="CV76" s="152">
        <f t="shared" si="85"/>
        <v>0</v>
      </c>
      <c r="CW76" s="212">
        <f t="shared" si="85"/>
        <v>0</v>
      </c>
      <c r="CX76" s="212">
        <f t="shared" si="85"/>
        <v>0</v>
      </c>
      <c r="CY76" s="212">
        <f t="shared" si="85"/>
        <v>0</v>
      </c>
      <c r="CZ76" s="205">
        <f t="shared" si="85"/>
        <v>0</v>
      </c>
      <c r="DA76" s="205">
        <f t="shared" si="85"/>
        <v>0</v>
      </c>
      <c r="DB76" s="193"/>
    </row>
    <row r="77" spans="1:106">
      <c r="A77" s="154">
        <f t="shared" si="49"/>
        <v>16</v>
      </c>
      <c r="B77" s="161"/>
      <c r="D77" s="154" t="s">
        <v>13921</v>
      </c>
      <c r="E77" s="198">
        <f t="shared" si="38"/>
        <v>0</v>
      </c>
      <c r="F77" s="153">
        <f t="shared" si="39"/>
        <v>0</v>
      </c>
      <c r="G77" s="152">
        <f>G43</f>
        <v>0</v>
      </c>
      <c r="H77" s="152">
        <f>H43</f>
        <v>0</v>
      </c>
      <c r="I77" s="152">
        <f>I43</f>
        <v>0</v>
      </c>
      <c r="J77" s="152">
        <f>J43</f>
        <v>0</v>
      </c>
      <c r="K77" s="152">
        <f>K43</f>
        <v>0</v>
      </c>
      <c r="L77" s="205">
        <f t="shared" si="40"/>
        <v>0</v>
      </c>
      <c r="M77" s="152">
        <f>M43</f>
        <v>0</v>
      </c>
      <c r="N77" s="152">
        <f>N43</f>
        <v>0</v>
      </c>
      <c r="O77" s="205">
        <f t="shared" si="41"/>
        <v>0</v>
      </c>
      <c r="P77" s="152">
        <f t="shared" ref="P77:U77" si="86">P43</f>
        <v>0</v>
      </c>
      <c r="Q77" s="152">
        <f t="shared" si="86"/>
        <v>0</v>
      </c>
      <c r="R77" s="152">
        <f t="shared" si="86"/>
        <v>0</v>
      </c>
      <c r="S77" s="152">
        <f t="shared" si="86"/>
        <v>0</v>
      </c>
      <c r="T77" s="152">
        <f t="shared" si="86"/>
        <v>0</v>
      </c>
      <c r="U77" s="152">
        <f t="shared" si="86"/>
        <v>0</v>
      </c>
      <c r="V77" s="153">
        <f t="shared" si="42"/>
        <v>0</v>
      </c>
      <c r="W77" s="152">
        <f>W43</f>
        <v>0</v>
      </c>
      <c r="X77" s="152">
        <f>X43</f>
        <v>0</v>
      </c>
      <c r="Y77" s="205">
        <f t="shared" si="43"/>
        <v>0</v>
      </c>
      <c r="Z77" s="152">
        <f>Z43</f>
        <v>0</v>
      </c>
      <c r="AA77" s="152">
        <f>AA43</f>
        <v>0</v>
      </c>
      <c r="AB77" s="205">
        <f t="shared" si="44"/>
        <v>0</v>
      </c>
      <c r="AC77" s="152">
        <f t="shared" ref="AC77:AK77" si="87">AC43</f>
        <v>0</v>
      </c>
      <c r="AD77" s="152">
        <f t="shared" si="87"/>
        <v>0</v>
      </c>
      <c r="AE77" s="152">
        <f t="shared" si="87"/>
        <v>0</v>
      </c>
      <c r="AF77" s="152">
        <f t="shared" si="87"/>
        <v>0</v>
      </c>
      <c r="AG77" s="152">
        <f t="shared" si="87"/>
        <v>0</v>
      </c>
      <c r="AH77" s="152">
        <f t="shared" si="87"/>
        <v>0</v>
      </c>
      <c r="AI77" s="152">
        <f t="shared" si="87"/>
        <v>0</v>
      </c>
      <c r="AJ77" s="152">
        <f t="shared" si="87"/>
        <v>0</v>
      </c>
      <c r="AK77" s="152">
        <f t="shared" si="87"/>
        <v>0</v>
      </c>
      <c r="AL77" s="205">
        <f t="shared" si="45"/>
        <v>0</v>
      </c>
      <c r="AM77" s="152">
        <f t="shared" ref="AM77:CO77" si="88">AM43</f>
        <v>0</v>
      </c>
      <c r="AN77" s="152">
        <f t="shared" si="88"/>
        <v>0</v>
      </c>
      <c r="AO77" s="152">
        <f t="shared" si="88"/>
        <v>0</v>
      </c>
      <c r="AP77" s="152">
        <f t="shared" si="88"/>
        <v>0</v>
      </c>
      <c r="AQ77" s="152">
        <f t="shared" si="88"/>
        <v>0</v>
      </c>
      <c r="AR77" s="152">
        <f t="shared" si="88"/>
        <v>0</v>
      </c>
      <c r="AS77" s="152">
        <f t="shared" si="88"/>
        <v>0</v>
      </c>
      <c r="AT77" s="152">
        <f t="shared" si="88"/>
        <v>0</v>
      </c>
      <c r="AU77" s="152">
        <f t="shared" si="88"/>
        <v>0</v>
      </c>
      <c r="AV77" s="152">
        <f t="shared" si="88"/>
        <v>0</v>
      </c>
      <c r="AW77" s="152">
        <f t="shared" si="88"/>
        <v>0</v>
      </c>
      <c r="AX77" s="152">
        <f t="shared" si="88"/>
        <v>0</v>
      </c>
      <c r="AY77" s="152">
        <f t="shared" si="88"/>
        <v>0</v>
      </c>
      <c r="AZ77" s="152">
        <f t="shared" si="88"/>
        <v>0</v>
      </c>
      <c r="BA77" s="152">
        <f t="shared" si="88"/>
        <v>0</v>
      </c>
      <c r="BB77" s="152">
        <f t="shared" si="88"/>
        <v>0</v>
      </c>
      <c r="BC77" s="152">
        <f t="shared" si="88"/>
        <v>0</v>
      </c>
      <c r="BD77" s="152">
        <f t="shared" si="88"/>
        <v>0</v>
      </c>
      <c r="BE77" s="152">
        <f t="shared" si="88"/>
        <v>0</v>
      </c>
      <c r="BF77" s="152">
        <f t="shared" si="88"/>
        <v>0</v>
      </c>
      <c r="BG77" s="152">
        <f t="shared" si="88"/>
        <v>0</v>
      </c>
      <c r="BH77" s="152">
        <f t="shared" si="88"/>
        <v>0</v>
      </c>
      <c r="BI77" s="152">
        <f t="shared" si="88"/>
        <v>0</v>
      </c>
      <c r="BJ77" s="152">
        <f t="shared" si="88"/>
        <v>0</v>
      </c>
      <c r="BK77" s="152">
        <f t="shared" si="88"/>
        <v>0</v>
      </c>
      <c r="BL77" s="152">
        <f t="shared" si="88"/>
        <v>0</v>
      </c>
      <c r="BM77" s="152">
        <f t="shared" si="88"/>
        <v>0</v>
      </c>
      <c r="BN77" s="152">
        <f t="shared" si="88"/>
        <v>0</v>
      </c>
      <c r="BO77" s="152">
        <f t="shared" si="88"/>
        <v>0</v>
      </c>
      <c r="BP77" s="152">
        <f t="shared" si="88"/>
        <v>0</v>
      </c>
      <c r="BQ77" s="152">
        <f t="shared" si="88"/>
        <v>0</v>
      </c>
      <c r="BR77" s="152">
        <f t="shared" si="88"/>
        <v>0</v>
      </c>
      <c r="BS77" s="152">
        <f t="shared" si="88"/>
        <v>0</v>
      </c>
      <c r="BT77" s="152">
        <f t="shared" si="88"/>
        <v>0</v>
      </c>
      <c r="BU77" s="152">
        <f t="shared" si="88"/>
        <v>0</v>
      </c>
      <c r="BV77" s="152">
        <f t="shared" si="88"/>
        <v>0</v>
      </c>
      <c r="BW77" s="152">
        <f t="shared" si="88"/>
        <v>0</v>
      </c>
      <c r="BX77" s="152">
        <f t="shared" si="88"/>
        <v>0</v>
      </c>
      <c r="BY77" s="152">
        <f t="shared" si="88"/>
        <v>0</v>
      </c>
      <c r="BZ77" s="152">
        <f t="shared" si="88"/>
        <v>0</v>
      </c>
      <c r="CA77" s="152">
        <f t="shared" si="88"/>
        <v>0</v>
      </c>
      <c r="CB77" s="152">
        <f t="shared" si="88"/>
        <v>0</v>
      </c>
      <c r="CC77" s="152">
        <f t="shared" si="88"/>
        <v>0</v>
      </c>
      <c r="CD77" s="152">
        <f t="shared" si="88"/>
        <v>0</v>
      </c>
      <c r="CE77" s="152">
        <f t="shared" si="88"/>
        <v>0</v>
      </c>
      <c r="CF77" s="152">
        <f t="shared" si="88"/>
        <v>0</v>
      </c>
      <c r="CG77" s="152">
        <f t="shared" si="88"/>
        <v>0</v>
      </c>
      <c r="CH77" s="152">
        <f t="shared" si="88"/>
        <v>0</v>
      </c>
      <c r="CI77" s="152">
        <f t="shared" si="88"/>
        <v>0</v>
      </c>
      <c r="CJ77" s="152">
        <f t="shared" si="88"/>
        <v>0</v>
      </c>
      <c r="CK77" s="152">
        <f t="shared" si="88"/>
        <v>0</v>
      </c>
      <c r="CL77" s="152">
        <f t="shared" si="88"/>
        <v>0</v>
      </c>
      <c r="CM77" s="152">
        <f t="shared" si="88"/>
        <v>0</v>
      </c>
      <c r="CN77" s="152">
        <f t="shared" si="88"/>
        <v>0</v>
      </c>
      <c r="CO77" s="152">
        <f t="shared" si="88"/>
        <v>0</v>
      </c>
      <c r="CP77" s="152"/>
      <c r="CQ77" s="205">
        <f t="shared" si="46"/>
        <v>0</v>
      </c>
      <c r="CR77" s="205">
        <f t="shared" si="47"/>
        <v>0</v>
      </c>
      <c r="CS77" s="205">
        <f t="shared" si="48"/>
        <v>0</v>
      </c>
      <c r="CT77" s="209">
        <f t="shared" ref="CT77:DA77" si="89">CT43</f>
        <v>0</v>
      </c>
      <c r="CU77" s="152">
        <f t="shared" si="89"/>
        <v>0</v>
      </c>
      <c r="CV77" s="152">
        <f t="shared" si="89"/>
        <v>0</v>
      </c>
      <c r="CW77" s="212">
        <f t="shared" si="89"/>
        <v>0</v>
      </c>
      <c r="CX77" s="212">
        <f t="shared" si="89"/>
        <v>0</v>
      </c>
      <c r="CY77" s="212">
        <f t="shared" si="89"/>
        <v>0</v>
      </c>
      <c r="CZ77" s="205">
        <f t="shared" si="89"/>
        <v>0</v>
      </c>
      <c r="DA77" s="205">
        <f t="shared" si="89"/>
        <v>0</v>
      </c>
      <c r="DB77" s="193"/>
    </row>
    <row r="78" spans="1:106">
      <c r="A78" s="154">
        <f t="shared" si="49"/>
        <v>17</v>
      </c>
      <c r="B78" s="161"/>
      <c r="D78" s="154" t="s">
        <v>13922</v>
      </c>
      <c r="E78" s="198">
        <f t="shared" si="38"/>
        <v>0</v>
      </c>
      <c r="F78" s="153">
        <f t="shared" si="39"/>
        <v>0</v>
      </c>
      <c r="G78" s="152">
        <f>G44</f>
        <v>0</v>
      </c>
      <c r="H78" s="152">
        <f>H44</f>
        <v>0</v>
      </c>
      <c r="I78" s="152">
        <f>I44</f>
        <v>0</v>
      </c>
      <c r="J78" s="152">
        <f>J44</f>
        <v>0</v>
      </c>
      <c r="K78" s="152">
        <f>K44</f>
        <v>0</v>
      </c>
      <c r="L78" s="205">
        <f t="shared" si="40"/>
        <v>0</v>
      </c>
      <c r="M78" s="152">
        <f>M44</f>
        <v>0</v>
      </c>
      <c r="N78" s="152">
        <f>N44</f>
        <v>0</v>
      </c>
      <c r="O78" s="205">
        <f t="shared" si="41"/>
        <v>0</v>
      </c>
      <c r="P78" s="152">
        <f t="shared" ref="P78:U78" si="90">P44</f>
        <v>0</v>
      </c>
      <c r="Q78" s="152">
        <f t="shared" si="90"/>
        <v>0</v>
      </c>
      <c r="R78" s="152">
        <f t="shared" si="90"/>
        <v>0</v>
      </c>
      <c r="S78" s="152">
        <f t="shared" si="90"/>
        <v>0</v>
      </c>
      <c r="T78" s="152">
        <f t="shared" si="90"/>
        <v>0</v>
      </c>
      <c r="U78" s="152">
        <f t="shared" si="90"/>
        <v>0</v>
      </c>
      <c r="V78" s="153">
        <f t="shared" si="42"/>
        <v>0</v>
      </c>
      <c r="W78" s="152">
        <f>W44</f>
        <v>0</v>
      </c>
      <c r="X78" s="152">
        <f>X44</f>
        <v>0</v>
      </c>
      <c r="Y78" s="205">
        <f t="shared" si="43"/>
        <v>0</v>
      </c>
      <c r="Z78" s="152">
        <f>Z44</f>
        <v>0</v>
      </c>
      <c r="AA78" s="152">
        <f>AA44</f>
        <v>0</v>
      </c>
      <c r="AB78" s="205">
        <f t="shared" si="44"/>
        <v>0</v>
      </c>
      <c r="AC78" s="152">
        <f t="shared" ref="AC78:AK78" si="91">AC44</f>
        <v>0</v>
      </c>
      <c r="AD78" s="152">
        <f t="shared" si="91"/>
        <v>0</v>
      </c>
      <c r="AE78" s="152">
        <f t="shared" si="91"/>
        <v>0</v>
      </c>
      <c r="AF78" s="152">
        <f t="shared" si="91"/>
        <v>0</v>
      </c>
      <c r="AG78" s="152">
        <f t="shared" si="91"/>
        <v>0</v>
      </c>
      <c r="AH78" s="152">
        <f t="shared" si="91"/>
        <v>0</v>
      </c>
      <c r="AI78" s="152">
        <f t="shared" si="91"/>
        <v>0</v>
      </c>
      <c r="AJ78" s="152">
        <f t="shared" si="91"/>
        <v>0</v>
      </c>
      <c r="AK78" s="152">
        <f t="shared" si="91"/>
        <v>0</v>
      </c>
      <c r="AL78" s="205">
        <f t="shared" si="45"/>
        <v>0</v>
      </c>
      <c r="AM78" s="152">
        <f t="shared" ref="AM78:CO78" si="92">AM44</f>
        <v>0</v>
      </c>
      <c r="AN78" s="152">
        <f t="shared" si="92"/>
        <v>0</v>
      </c>
      <c r="AO78" s="152">
        <f t="shared" si="92"/>
        <v>0</v>
      </c>
      <c r="AP78" s="152">
        <f t="shared" si="92"/>
        <v>0</v>
      </c>
      <c r="AQ78" s="152">
        <f t="shared" si="92"/>
        <v>0</v>
      </c>
      <c r="AR78" s="152">
        <f t="shared" si="92"/>
        <v>0</v>
      </c>
      <c r="AS78" s="152">
        <f t="shared" si="92"/>
        <v>0</v>
      </c>
      <c r="AT78" s="152">
        <f t="shared" si="92"/>
        <v>0</v>
      </c>
      <c r="AU78" s="152">
        <f t="shared" si="92"/>
        <v>0</v>
      </c>
      <c r="AV78" s="152">
        <f t="shared" si="92"/>
        <v>0</v>
      </c>
      <c r="AW78" s="152">
        <f t="shared" si="92"/>
        <v>0</v>
      </c>
      <c r="AX78" s="152">
        <f t="shared" si="92"/>
        <v>0</v>
      </c>
      <c r="AY78" s="152">
        <f t="shared" si="92"/>
        <v>0</v>
      </c>
      <c r="AZ78" s="152">
        <f t="shared" si="92"/>
        <v>0</v>
      </c>
      <c r="BA78" s="152">
        <f t="shared" si="92"/>
        <v>0</v>
      </c>
      <c r="BB78" s="152">
        <f t="shared" si="92"/>
        <v>0</v>
      </c>
      <c r="BC78" s="152">
        <f t="shared" si="92"/>
        <v>0</v>
      </c>
      <c r="BD78" s="152">
        <f t="shared" si="92"/>
        <v>0</v>
      </c>
      <c r="BE78" s="152">
        <f t="shared" si="92"/>
        <v>0</v>
      </c>
      <c r="BF78" s="152">
        <f t="shared" si="92"/>
        <v>0</v>
      </c>
      <c r="BG78" s="152">
        <f t="shared" si="92"/>
        <v>0</v>
      </c>
      <c r="BH78" s="152">
        <f t="shared" si="92"/>
        <v>0</v>
      </c>
      <c r="BI78" s="152">
        <f t="shared" si="92"/>
        <v>0</v>
      </c>
      <c r="BJ78" s="152">
        <f t="shared" si="92"/>
        <v>0</v>
      </c>
      <c r="BK78" s="152">
        <f t="shared" si="92"/>
        <v>0</v>
      </c>
      <c r="BL78" s="152">
        <f t="shared" si="92"/>
        <v>0</v>
      </c>
      <c r="BM78" s="152">
        <f t="shared" si="92"/>
        <v>0</v>
      </c>
      <c r="BN78" s="152">
        <f t="shared" si="92"/>
        <v>0</v>
      </c>
      <c r="BO78" s="152">
        <f t="shared" si="92"/>
        <v>0</v>
      </c>
      <c r="BP78" s="152">
        <f t="shared" si="92"/>
        <v>0</v>
      </c>
      <c r="BQ78" s="152">
        <f t="shared" si="92"/>
        <v>0</v>
      </c>
      <c r="BR78" s="152">
        <f t="shared" si="92"/>
        <v>0</v>
      </c>
      <c r="BS78" s="152">
        <f t="shared" si="92"/>
        <v>0</v>
      </c>
      <c r="BT78" s="152">
        <f t="shared" si="92"/>
        <v>0</v>
      </c>
      <c r="BU78" s="152">
        <f t="shared" si="92"/>
        <v>0</v>
      </c>
      <c r="BV78" s="152">
        <f t="shared" si="92"/>
        <v>0</v>
      </c>
      <c r="BW78" s="152">
        <f t="shared" si="92"/>
        <v>0</v>
      </c>
      <c r="BX78" s="152">
        <f t="shared" si="92"/>
        <v>0</v>
      </c>
      <c r="BY78" s="152">
        <f t="shared" si="92"/>
        <v>0</v>
      </c>
      <c r="BZ78" s="152">
        <f t="shared" si="92"/>
        <v>0</v>
      </c>
      <c r="CA78" s="152">
        <f t="shared" si="92"/>
        <v>0</v>
      </c>
      <c r="CB78" s="152">
        <f t="shared" si="92"/>
        <v>0</v>
      </c>
      <c r="CC78" s="152">
        <f t="shared" si="92"/>
        <v>0</v>
      </c>
      <c r="CD78" s="152">
        <f t="shared" si="92"/>
        <v>0</v>
      </c>
      <c r="CE78" s="152">
        <f t="shared" si="92"/>
        <v>0</v>
      </c>
      <c r="CF78" s="152">
        <f t="shared" si="92"/>
        <v>0</v>
      </c>
      <c r="CG78" s="152">
        <f t="shared" si="92"/>
        <v>0</v>
      </c>
      <c r="CH78" s="152">
        <f t="shared" si="92"/>
        <v>0</v>
      </c>
      <c r="CI78" s="152">
        <f t="shared" si="92"/>
        <v>0</v>
      </c>
      <c r="CJ78" s="152">
        <f t="shared" si="92"/>
        <v>0</v>
      </c>
      <c r="CK78" s="152">
        <f t="shared" si="92"/>
        <v>0</v>
      </c>
      <c r="CL78" s="152">
        <f t="shared" si="92"/>
        <v>0</v>
      </c>
      <c r="CM78" s="152">
        <f t="shared" si="92"/>
        <v>0</v>
      </c>
      <c r="CN78" s="152">
        <f t="shared" si="92"/>
        <v>0</v>
      </c>
      <c r="CO78" s="152">
        <f t="shared" si="92"/>
        <v>0</v>
      </c>
      <c r="CP78" s="152"/>
      <c r="CQ78" s="205">
        <f t="shared" si="46"/>
        <v>0</v>
      </c>
      <c r="CR78" s="205">
        <f t="shared" si="47"/>
        <v>0</v>
      </c>
      <c r="CS78" s="205">
        <f t="shared" si="48"/>
        <v>0</v>
      </c>
      <c r="CT78" s="209">
        <f t="shared" ref="CT78:DA78" si="93">CT44</f>
        <v>0</v>
      </c>
      <c r="CU78" s="152">
        <f t="shared" si="93"/>
        <v>0</v>
      </c>
      <c r="CV78" s="152">
        <f t="shared" si="93"/>
        <v>0</v>
      </c>
      <c r="CW78" s="212">
        <f t="shared" si="93"/>
        <v>0</v>
      </c>
      <c r="CX78" s="212">
        <f t="shared" si="93"/>
        <v>0</v>
      </c>
      <c r="CY78" s="212">
        <f t="shared" si="93"/>
        <v>0</v>
      </c>
      <c r="CZ78" s="205">
        <f t="shared" si="93"/>
        <v>0</v>
      </c>
      <c r="DA78" s="205">
        <f t="shared" si="93"/>
        <v>0</v>
      </c>
      <c r="DB78" s="193"/>
    </row>
    <row r="79" spans="1:106">
      <c r="A79" s="154">
        <f t="shared" si="49"/>
        <v>18</v>
      </c>
      <c r="B79" s="161"/>
      <c r="D79" s="154" t="s">
        <v>13923</v>
      </c>
      <c r="E79" s="198">
        <f t="shared" si="38"/>
        <v>291604.97</v>
      </c>
      <c r="F79" s="153">
        <f t="shared" si="39"/>
        <v>291539.97</v>
      </c>
      <c r="G79" s="152">
        <f>G47</f>
        <v>0</v>
      </c>
      <c r="H79" s="152">
        <f>H47</f>
        <v>0</v>
      </c>
      <c r="I79" s="152">
        <f>I47</f>
        <v>0</v>
      </c>
      <c r="J79" s="152">
        <f>J47</f>
        <v>0</v>
      </c>
      <c r="K79" s="152">
        <f>K47</f>
        <v>0</v>
      </c>
      <c r="L79" s="205">
        <f t="shared" si="40"/>
        <v>0</v>
      </c>
      <c r="M79" s="152">
        <f>M47</f>
        <v>0</v>
      </c>
      <c r="N79" s="152">
        <f>N47</f>
        <v>0</v>
      </c>
      <c r="O79" s="205">
        <f t="shared" si="41"/>
        <v>0</v>
      </c>
      <c r="P79" s="152">
        <f t="shared" ref="P79:U79" si="94">P47</f>
        <v>0</v>
      </c>
      <c r="Q79" s="152">
        <f t="shared" si="94"/>
        <v>0</v>
      </c>
      <c r="R79" s="152">
        <f t="shared" si="94"/>
        <v>0</v>
      </c>
      <c r="S79" s="152">
        <f t="shared" si="94"/>
        <v>0</v>
      </c>
      <c r="T79" s="152">
        <f t="shared" si="94"/>
        <v>0</v>
      </c>
      <c r="U79" s="152">
        <f t="shared" si="94"/>
        <v>0</v>
      </c>
      <c r="V79" s="153">
        <f t="shared" si="42"/>
        <v>0</v>
      </c>
      <c r="W79" s="152">
        <f>W47</f>
        <v>0</v>
      </c>
      <c r="X79" s="152">
        <f>X47</f>
        <v>0</v>
      </c>
      <c r="Y79" s="205">
        <f t="shared" si="43"/>
        <v>0</v>
      </c>
      <c r="Z79" s="152">
        <f>Z47</f>
        <v>0</v>
      </c>
      <c r="AA79" s="152">
        <f>AA47</f>
        <v>0</v>
      </c>
      <c r="AB79" s="205">
        <f t="shared" si="44"/>
        <v>0</v>
      </c>
      <c r="AC79" s="152">
        <f t="shared" ref="AC79:AK79" si="95">AC47</f>
        <v>0</v>
      </c>
      <c r="AD79" s="152">
        <f t="shared" si="95"/>
        <v>0</v>
      </c>
      <c r="AE79" s="152">
        <f t="shared" si="95"/>
        <v>0</v>
      </c>
      <c r="AF79" s="152">
        <f t="shared" si="95"/>
        <v>2951.09</v>
      </c>
      <c r="AG79" s="152">
        <f t="shared" si="95"/>
        <v>5354.51</v>
      </c>
      <c r="AH79" s="152">
        <f t="shared" si="95"/>
        <v>46</v>
      </c>
      <c r="AI79" s="152">
        <f t="shared" si="95"/>
        <v>0</v>
      </c>
      <c r="AJ79" s="152">
        <f t="shared" si="95"/>
        <v>7648</v>
      </c>
      <c r="AK79" s="152">
        <f t="shared" si="95"/>
        <v>0</v>
      </c>
      <c r="AL79" s="205">
        <f t="shared" si="45"/>
        <v>15999.6</v>
      </c>
      <c r="AM79" s="152">
        <f t="shared" ref="AM79:CO79" si="96">AM47</f>
        <v>0</v>
      </c>
      <c r="AN79" s="152">
        <f t="shared" si="96"/>
        <v>5716.36</v>
      </c>
      <c r="AO79" s="152">
        <f t="shared" si="96"/>
        <v>11827.54</v>
      </c>
      <c r="AP79" s="152">
        <f t="shared" si="96"/>
        <v>0</v>
      </c>
      <c r="AQ79" s="152">
        <f t="shared" si="96"/>
        <v>11805.46</v>
      </c>
      <c r="AR79" s="152">
        <f t="shared" si="96"/>
        <v>0</v>
      </c>
      <c r="AS79" s="152">
        <f t="shared" si="96"/>
        <v>474.84</v>
      </c>
      <c r="AT79" s="152">
        <f t="shared" si="96"/>
        <v>-200</v>
      </c>
      <c r="AU79" s="152">
        <f t="shared" si="96"/>
        <v>0</v>
      </c>
      <c r="AV79" s="152">
        <f t="shared" si="96"/>
        <v>83.6400000000001</v>
      </c>
      <c r="AW79" s="152">
        <f t="shared" si="96"/>
        <v>0</v>
      </c>
      <c r="AX79" s="152">
        <f t="shared" si="96"/>
        <v>0</v>
      </c>
      <c r="AY79" s="152">
        <f t="shared" si="96"/>
        <v>0</v>
      </c>
      <c r="AZ79" s="152">
        <f t="shared" si="96"/>
        <v>2351</v>
      </c>
      <c r="BA79" s="152">
        <f t="shared" si="96"/>
        <v>0</v>
      </c>
      <c r="BB79" s="152">
        <f t="shared" si="96"/>
        <v>0</v>
      </c>
      <c r="BC79" s="152">
        <f t="shared" si="96"/>
        <v>16239.53</v>
      </c>
      <c r="BD79" s="152">
        <f t="shared" si="96"/>
        <v>995.11</v>
      </c>
      <c r="BE79" s="152">
        <f t="shared" si="96"/>
        <v>44.42</v>
      </c>
      <c r="BF79" s="152">
        <f t="shared" si="96"/>
        <v>0</v>
      </c>
      <c r="BG79" s="152">
        <f t="shared" si="96"/>
        <v>376.65</v>
      </c>
      <c r="BH79" s="152">
        <f t="shared" si="96"/>
        <v>0</v>
      </c>
      <c r="BI79" s="152">
        <f t="shared" si="96"/>
        <v>0</v>
      </c>
      <c r="BJ79" s="152">
        <f t="shared" si="96"/>
        <v>0</v>
      </c>
      <c r="BK79" s="152">
        <f t="shared" si="96"/>
        <v>1027.13</v>
      </c>
      <c r="BL79" s="152">
        <f t="shared" si="96"/>
        <v>0</v>
      </c>
      <c r="BM79" s="152">
        <f t="shared" si="96"/>
        <v>0</v>
      </c>
      <c r="BN79" s="152">
        <f t="shared" si="96"/>
        <v>0</v>
      </c>
      <c r="BO79" s="152">
        <f t="shared" si="96"/>
        <v>0</v>
      </c>
      <c r="BP79" s="152">
        <f t="shared" si="96"/>
        <v>674.8</v>
      </c>
      <c r="BQ79" s="152">
        <f t="shared" si="96"/>
        <v>1955</v>
      </c>
      <c r="BR79" s="152">
        <f t="shared" si="96"/>
        <v>11489.94</v>
      </c>
      <c r="BS79" s="152">
        <f t="shared" si="96"/>
        <v>105</v>
      </c>
      <c r="BT79" s="152">
        <f t="shared" si="96"/>
        <v>0</v>
      </c>
      <c r="BU79" s="152">
        <f t="shared" si="96"/>
        <v>426.55</v>
      </c>
      <c r="BV79" s="152">
        <f t="shared" si="96"/>
        <v>0</v>
      </c>
      <c r="BW79" s="152">
        <f t="shared" si="96"/>
        <v>7054.09</v>
      </c>
      <c r="BX79" s="152">
        <f t="shared" si="96"/>
        <v>14195.19</v>
      </c>
      <c r="BY79" s="152">
        <f t="shared" si="96"/>
        <v>0</v>
      </c>
      <c r="BZ79" s="152">
        <f t="shared" si="96"/>
        <v>19209.28</v>
      </c>
      <c r="CA79" s="152">
        <f t="shared" si="96"/>
        <v>0</v>
      </c>
      <c r="CB79" s="152">
        <f t="shared" si="96"/>
        <v>766.99</v>
      </c>
      <c r="CC79" s="152">
        <f t="shared" si="96"/>
        <v>0</v>
      </c>
      <c r="CD79" s="152">
        <f t="shared" si="96"/>
        <v>8052.79</v>
      </c>
      <c r="CE79" s="152">
        <f t="shared" si="96"/>
        <v>9697.2</v>
      </c>
      <c r="CF79" s="152">
        <f t="shared" si="96"/>
        <v>11519.41</v>
      </c>
      <c r="CG79" s="152">
        <f t="shared" si="96"/>
        <v>431.38</v>
      </c>
      <c r="CH79" s="152">
        <f t="shared" si="96"/>
        <v>3981.69</v>
      </c>
      <c r="CI79" s="152">
        <f t="shared" si="96"/>
        <v>6759.29</v>
      </c>
      <c r="CJ79" s="152">
        <f t="shared" si="96"/>
        <v>23892.47</v>
      </c>
      <c r="CK79" s="152">
        <f t="shared" si="96"/>
        <v>592.56</v>
      </c>
      <c r="CL79" s="152">
        <f t="shared" si="96"/>
        <v>8315.92</v>
      </c>
      <c r="CM79" s="152">
        <f t="shared" si="96"/>
        <v>11394.1</v>
      </c>
      <c r="CN79" s="152">
        <f t="shared" si="96"/>
        <v>69050.42</v>
      </c>
      <c r="CO79" s="152">
        <f t="shared" si="96"/>
        <v>15234.62</v>
      </c>
      <c r="CP79" s="152"/>
      <c r="CQ79" s="205">
        <f t="shared" si="46"/>
        <v>275540.37</v>
      </c>
      <c r="CR79" s="205">
        <f t="shared" si="47"/>
        <v>291539.97</v>
      </c>
      <c r="CS79" s="205">
        <f t="shared" si="48"/>
        <v>65</v>
      </c>
      <c r="CT79" s="209">
        <f t="shared" ref="CT79:DA79" si="97">CT47</f>
        <v>0</v>
      </c>
      <c r="CU79" s="152">
        <f t="shared" si="97"/>
        <v>0</v>
      </c>
      <c r="CV79" s="152">
        <f t="shared" si="97"/>
        <v>0</v>
      </c>
      <c r="CW79" s="212">
        <f t="shared" si="97"/>
        <v>65</v>
      </c>
      <c r="CX79" s="212">
        <f t="shared" si="97"/>
        <v>0</v>
      </c>
      <c r="CY79" s="212">
        <f t="shared" si="97"/>
        <v>65</v>
      </c>
      <c r="CZ79" s="205">
        <f t="shared" si="97"/>
        <v>0</v>
      </c>
      <c r="DA79" s="205">
        <f t="shared" si="97"/>
        <v>0</v>
      </c>
      <c r="DB79" s="193"/>
    </row>
    <row r="80" spans="1:106">
      <c r="A80" s="154">
        <f t="shared" si="49"/>
        <v>19</v>
      </c>
      <c r="B80" s="161"/>
      <c r="D80" s="154" t="s">
        <v>13924</v>
      </c>
      <c r="E80" s="198">
        <f t="shared" si="38"/>
        <v>91582.69</v>
      </c>
      <c r="F80" s="153">
        <f t="shared" si="39"/>
        <v>91582.69</v>
      </c>
      <c r="G80" s="152">
        <f>G15</f>
        <v>0</v>
      </c>
      <c r="H80" s="152">
        <f>H15</f>
        <v>0</v>
      </c>
      <c r="I80" s="152">
        <f>I15</f>
        <v>0</v>
      </c>
      <c r="J80" s="152">
        <f>J15</f>
        <v>0</v>
      </c>
      <c r="K80" s="152">
        <f>K15</f>
        <v>0</v>
      </c>
      <c r="L80" s="205"/>
      <c r="M80" s="152">
        <f>M15</f>
        <v>0</v>
      </c>
      <c r="N80" s="152">
        <f>N15</f>
        <v>0</v>
      </c>
      <c r="O80" s="205">
        <f t="shared" si="41"/>
        <v>0</v>
      </c>
      <c r="P80" s="152">
        <f t="shared" ref="P80:U80" si="98">P15</f>
        <v>0</v>
      </c>
      <c r="Q80" s="152">
        <f t="shared" si="98"/>
        <v>0</v>
      </c>
      <c r="R80" s="152">
        <f t="shared" si="98"/>
        <v>0</v>
      </c>
      <c r="S80" s="152">
        <f t="shared" si="98"/>
        <v>0</v>
      </c>
      <c r="T80" s="152">
        <f t="shared" si="98"/>
        <v>0</v>
      </c>
      <c r="U80" s="152">
        <f t="shared" si="98"/>
        <v>0</v>
      </c>
      <c r="V80" s="153">
        <f t="shared" si="42"/>
        <v>0</v>
      </c>
      <c r="W80" s="152">
        <f>W15</f>
        <v>0</v>
      </c>
      <c r="X80" s="152">
        <f>X15</f>
        <v>0</v>
      </c>
      <c r="Y80" s="205">
        <f t="shared" si="43"/>
        <v>0</v>
      </c>
      <c r="Z80" s="152">
        <f>Z15</f>
        <v>0</v>
      </c>
      <c r="AA80" s="152">
        <f>AA15</f>
        <v>0</v>
      </c>
      <c r="AB80" s="205">
        <f t="shared" si="44"/>
        <v>0</v>
      </c>
      <c r="AC80" s="152">
        <f t="shared" ref="AC80:AK80" si="99">AC15</f>
        <v>0</v>
      </c>
      <c r="AD80" s="152">
        <f t="shared" si="99"/>
        <v>0</v>
      </c>
      <c r="AE80" s="152">
        <f t="shared" si="99"/>
        <v>0</v>
      </c>
      <c r="AF80" s="152">
        <f t="shared" si="99"/>
        <v>0</v>
      </c>
      <c r="AG80" s="152">
        <f t="shared" si="99"/>
        <v>0</v>
      </c>
      <c r="AH80" s="152">
        <f t="shared" si="99"/>
        <v>0</v>
      </c>
      <c r="AI80" s="152">
        <f t="shared" si="99"/>
        <v>0</v>
      </c>
      <c r="AJ80" s="152">
        <f t="shared" si="99"/>
        <v>0</v>
      </c>
      <c r="AK80" s="152">
        <f t="shared" si="99"/>
        <v>0</v>
      </c>
      <c r="AL80" s="205">
        <f t="shared" si="45"/>
        <v>0</v>
      </c>
      <c r="AM80" s="152">
        <f t="shared" ref="AM80:CO80" si="100">AM15</f>
        <v>0</v>
      </c>
      <c r="AN80" s="152">
        <f t="shared" si="100"/>
        <v>1229</v>
      </c>
      <c r="AO80" s="152">
        <f t="shared" si="100"/>
        <v>7278.14</v>
      </c>
      <c r="AP80" s="152">
        <f t="shared" si="100"/>
        <v>0</v>
      </c>
      <c r="AQ80" s="152">
        <f t="shared" si="100"/>
        <v>0</v>
      </c>
      <c r="AR80" s="152">
        <f t="shared" si="100"/>
        <v>0</v>
      </c>
      <c r="AS80" s="152">
        <f t="shared" si="100"/>
        <v>0</v>
      </c>
      <c r="AT80" s="152">
        <f t="shared" si="100"/>
        <v>0</v>
      </c>
      <c r="AU80" s="152">
        <f t="shared" si="100"/>
        <v>0</v>
      </c>
      <c r="AV80" s="152">
        <f t="shared" si="100"/>
        <v>0</v>
      </c>
      <c r="AW80" s="152">
        <f t="shared" si="100"/>
        <v>0</v>
      </c>
      <c r="AX80" s="152">
        <f t="shared" si="100"/>
        <v>0</v>
      </c>
      <c r="AY80" s="152">
        <f t="shared" si="100"/>
        <v>0</v>
      </c>
      <c r="AZ80" s="152">
        <f t="shared" si="100"/>
        <v>0</v>
      </c>
      <c r="BA80" s="152">
        <f t="shared" si="100"/>
        <v>0</v>
      </c>
      <c r="BB80" s="152">
        <f t="shared" si="100"/>
        <v>0</v>
      </c>
      <c r="BC80" s="152">
        <f t="shared" si="100"/>
        <v>0</v>
      </c>
      <c r="BD80" s="152">
        <f t="shared" si="100"/>
        <v>0</v>
      </c>
      <c r="BE80" s="152">
        <f t="shared" si="100"/>
        <v>0</v>
      </c>
      <c r="BF80" s="152">
        <f t="shared" si="100"/>
        <v>0</v>
      </c>
      <c r="BG80" s="152">
        <f t="shared" si="100"/>
        <v>0</v>
      </c>
      <c r="BH80" s="152">
        <f t="shared" si="100"/>
        <v>0</v>
      </c>
      <c r="BI80" s="152">
        <f t="shared" si="100"/>
        <v>0</v>
      </c>
      <c r="BJ80" s="152">
        <f t="shared" si="100"/>
        <v>0</v>
      </c>
      <c r="BK80" s="152">
        <f t="shared" si="100"/>
        <v>0</v>
      </c>
      <c r="BL80" s="152">
        <f t="shared" si="100"/>
        <v>0</v>
      </c>
      <c r="BM80" s="152">
        <f t="shared" si="100"/>
        <v>0</v>
      </c>
      <c r="BN80" s="152">
        <f t="shared" si="100"/>
        <v>0</v>
      </c>
      <c r="BO80" s="152">
        <f t="shared" si="100"/>
        <v>0</v>
      </c>
      <c r="BP80" s="152">
        <f t="shared" si="100"/>
        <v>0</v>
      </c>
      <c r="BQ80" s="152">
        <f t="shared" si="100"/>
        <v>0</v>
      </c>
      <c r="BR80" s="152">
        <f t="shared" si="100"/>
        <v>5600</v>
      </c>
      <c r="BS80" s="152">
        <f t="shared" si="100"/>
        <v>0</v>
      </c>
      <c r="BT80" s="152">
        <f t="shared" si="100"/>
        <v>0</v>
      </c>
      <c r="BU80" s="152">
        <f t="shared" si="100"/>
        <v>0</v>
      </c>
      <c r="BV80" s="152">
        <f t="shared" si="100"/>
        <v>0</v>
      </c>
      <c r="BW80" s="152">
        <f t="shared" si="100"/>
        <v>1916.87</v>
      </c>
      <c r="BX80" s="152">
        <f t="shared" si="100"/>
        <v>0</v>
      </c>
      <c r="BY80" s="152">
        <f t="shared" si="100"/>
        <v>0</v>
      </c>
      <c r="BZ80" s="152">
        <f t="shared" si="100"/>
        <v>4556.67</v>
      </c>
      <c r="CA80" s="152">
        <f t="shared" si="100"/>
        <v>0</v>
      </c>
      <c r="CB80" s="152">
        <f t="shared" si="100"/>
        <v>0</v>
      </c>
      <c r="CC80" s="152">
        <f t="shared" si="100"/>
        <v>0</v>
      </c>
      <c r="CD80" s="152">
        <f t="shared" si="100"/>
        <v>0</v>
      </c>
      <c r="CE80" s="152">
        <f t="shared" si="100"/>
        <v>0</v>
      </c>
      <c r="CF80" s="152">
        <f t="shared" si="100"/>
        <v>0</v>
      </c>
      <c r="CG80" s="152">
        <f t="shared" si="100"/>
        <v>0</v>
      </c>
      <c r="CH80" s="152">
        <f t="shared" si="100"/>
        <v>0</v>
      </c>
      <c r="CI80" s="152">
        <f t="shared" si="100"/>
        <v>0</v>
      </c>
      <c r="CJ80" s="152">
        <f t="shared" si="100"/>
        <v>0</v>
      </c>
      <c r="CK80" s="152">
        <f t="shared" si="100"/>
        <v>0</v>
      </c>
      <c r="CL80" s="152">
        <f t="shared" si="100"/>
        <v>0</v>
      </c>
      <c r="CM80" s="152">
        <f t="shared" si="100"/>
        <v>4320.34</v>
      </c>
      <c r="CN80" s="152">
        <f t="shared" si="100"/>
        <v>6600.13</v>
      </c>
      <c r="CO80" s="152">
        <f t="shared" si="100"/>
        <v>60081.54</v>
      </c>
      <c r="CP80" s="152"/>
      <c r="CQ80" s="205">
        <f t="shared" si="46"/>
        <v>91582.69</v>
      </c>
      <c r="CR80" s="205">
        <f t="shared" si="47"/>
        <v>91582.69</v>
      </c>
      <c r="CS80" s="205">
        <f t="shared" si="48"/>
        <v>0</v>
      </c>
      <c r="CT80" s="152">
        <f t="shared" ref="CT80:DA80" si="101">CT15</f>
        <v>0</v>
      </c>
      <c r="CU80" s="152">
        <f t="shared" si="101"/>
        <v>0</v>
      </c>
      <c r="CV80" s="152">
        <f t="shared" si="101"/>
        <v>0</v>
      </c>
      <c r="CW80" s="212">
        <f t="shared" si="101"/>
        <v>0</v>
      </c>
      <c r="CX80" s="212">
        <f t="shared" si="101"/>
        <v>0</v>
      </c>
      <c r="CY80" s="212">
        <f t="shared" si="101"/>
        <v>0</v>
      </c>
      <c r="CZ80" s="205">
        <f t="shared" si="101"/>
        <v>0</v>
      </c>
      <c r="DA80" s="205">
        <f t="shared" si="101"/>
        <v>0</v>
      </c>
      <c r="DB80" s="193"/>
    </row>
    <row r="81" spans="1:106" s="148" customFormat="true">
      <c r="A81" s="148">
        <f t="shared" si="49"/>
        <v>20</v>
      </c>
      <c r="B81" s="194"/>
      <c r="D81" s="148" t="s">
        <v>13875</v>
      </c>
      <c r="E81" s="199">
        <f t="shared" si="38"/>
        <v>0</v>
      </c>
      <c r="F81" s="200">
        <f t="shared" si="39"/>
        <v>0</v>
      </c>
      <c r="G81" s="201"/>
      <c r="H81" s="201"/>
      <c r="I81" s="201"/>
      <c r="J81" s="201"/>
      <c r="K81" s="201"/>
      <c r="L81" s="206"/>
      <c r="M81" s="201"/>
      <c r="N81" s="201"/>
      <c r="O81" s="206">
        <f t="shared" si="41"/>
        <v>0</v>
      </c>
      <c r="P81" s="201"/>
      <c r="Q81" s="201"/>
      <c r="R81" s="201"/>
      <c r="S81" s="201"/>
      <c r="T81" s="201"/>
      <c r="U81" s="201"/>
      <c r="V81" s="200">
        <f t="shared" si="42"/>
        <v>0</v>
      </c>
      <c r="W81" s="201"/>
      <c r="X81" s="201"/>
      <c r="Y81" s="206">
        <f t="shared" si="43"/>
        <v>0</v>
      </c>
      <c r="Z81" s="201"/>
      <c r="AA81" s="201"/>
      <c r="AB81" s="206">
        <f t="shared" si="44"/>
        <v>0</v>
      </c>
      <c r="AC81" s="201"/>
      <c r="AD81" s="201"/>
      <c r="AE81" s="201"/>
      <c r="AF81" s="201"/>
      <c r="AG81" s="201"/>
      <c r="AH81" s="201"/>
      <c r="AI81" s="201"/>
      <c r="AJ81" s="201"/>
      <c r="AK81" s="201"/>
      <c r="AL81" s="206">
        <f t="shared" si="45"/>
        <v>0</v>
      </c>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c r="CK81" s="201"/>
      <c r="CL81" s="201"/>
      <c r="CM81" s="201"/>
      <c r="CN81" s="201"/>
      <c r="CO81" s="201"/>
      <c r="CP81" s="201"/>
      <c r="CQ81" s="206">
        <f t="shared" si="46"/>
        <v>0</v>
      </c>
      <c r="CR81" s="206">
        <f t="shared" si="47"/>
        <v>0</v>
      </c>
      <c r="CS81" s="206">
        <f t="shared" si="48"/>
        <v>0</v>
      </c>
      <c r="CT81" s="210"/>
      <c r="CU81" s="201"/>
      <c r="CV81" s="201"/>
      <c r="CW81" s="213"/>
      <c r="CX81" s="213"/>
      <c r="CY81" s="213"/>
      <c r="CZ81" s="206"/>
      <c r="DA81" s="206"/>
      <c r="DB81" s="214"/>
    </row>
    <row r="82" spans="1:106">
      <c r="A82" s="154">
        <f t="shared" si="49"/>
        <v>21</v>
      </c>
      <c r="B82" s="194"/>
      <c r="C82" s="148"/>
      <c r="D82" s="148" t="s">
        <v>13925</v>
      </c>
      <c r="E82" s="199">
        <f t="shared" si="38"/>
        <v>0</v>
      </c>
      <c r="F82" s="200">
        <f t="shared" si="39"/>
        <v>0</v>
      </c>
      <c r="G82" s="201"/>
      <c r="H82" s="201"/>
      <c r="I82" s="201"/>
      <c r="J82" s="201"/>
      <c r="K82" s="201"/>
      <c r="L82" s="206">
        <f>+SUM(G82:K82)</f>
        <v>0</v>
      </c>
      <c r="M82" s="201"/>
      <c r="N82" s="201"/>
      <c r="O82" s="206">
        <f t="shared" si="41"/>
        <v>0</v>
      </c>
      <c r="P82" s="201"/>
      <c r="Q82" s="201"/>
      <c r="R82" s="201"/>
      <c r="S82" s="201"/>
      <c r="T82" s="201"/>
      <c r="U82" s="201"/>
      <c r="V82" s="200">
        <f t="shared" si="42"/>
        <v>0</v>
      </c>
      <c r="W82" s="201"/>
      <c r="X82" s="201"/>
      <c r="Y82" s="206">
        <f t="shared" si="43"/>
        <v>0</v>
      </c>
      <c r="Z82" s="201"/>
      <c r="AA82" s="201"/>
      <c r="AB82" s="206">
        <f t="shared" si="44"/>
        <v>0</v>
      </c>
      <c r="AC82" s="201"/>
      <c r="AD82" s="201"/>
      <c r="AE82" s="201"/>
      <c r="AF82" s="201"/>
      <c r="AG82" s="201"/>
      <c r="AH82" s="201"/>
      <c r="AI82" s="201"/>
      <c r="AJ82" s="201"/>
      <c r="AK82" s="201"/>
      <c r="AL82" s="206">
        <f t="shared" si="45"/>
        <v>0</v>
      </c>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c r="CK82" s="201"/>
      <c r="CL82" s="201"/>
      <c r="CM82" s="201"/>
      <c r="CN82" s="201"/>
      <c r="CO82" s="201"/>
      <c r="CP82" s="201"/>
      <c r="CQ82" s="206">
        <f t="shared" si="46"/>
        <v>0</v>
      </c>
      <c r="CR82" s="206">
        <f t="shared" si="47"/>
        <v>0</v>
      </c>
      <c r="CS82" s="206">
        <f t="shared" si="48"/>
        <v>0</v>
      </c>
      <c r="CT82" s="210"/>
      <c r="CU82" s="201"/>
      <c r="CV82" s="201"/>
      <c r="CW82" s="213"/>
      <c r="CX82" s="213"/>
      <c r="CY82" s="213"/>
      <c r="CZ82" s="206"/>
      <c r="DA82" s="206"/>
      <c r="DB82" s="193"/>
    </row>
    <row r="83" spans="1:106">
      <c r="A83" s="154">
        <f t="shared" si="49"/>
        <v>22</v>
      </c>
      <c r="B83" s="194"/>
      <c r="C83" s="148"/>
      <c r="D83" s="148" t="s">
        <v>13926</v>
      </c>
      <c r="E83" s="199">
        <f t="shared" si="38"/>
        <v>0</v>
      </c>
      <c r="F83" s="200">
        <f t="shared" si="39"/>
        <v>0</v>
      </c>
      <c r="G83" s="201"/>
      <c r="H83" s="201"/>
      <c r="I83" s="201"/>
      <c r="J83" s="201"/>
      <c r="K83" s="201"/>
      <c r="L83" s="206">
        <f>+SUM(G83:K83)</f>
        <v>0</v>
      </c>
      <c r="M83" s="201"/>
      <c r="N83" s="201"/>
      <c r="O83" s="206">
        <f t="shared" si="41"/>
        <v>0</v>
      </c>
      <c r="P83" s="201"/>
      <c r="Q83" s="201"/>
      <c r="R83" s="201"/>
      <c r="S83" s="201"/>
      <c r="T83" s="201"/>
      <c r="U83" s="201"/>
      <c r="V83" s="200">
        <f t="shared" si="42"/>
        <v>0</v>
      </c>
      <c r="W83" s="201"/>
      <c r="X83" s="201"/>
      <c r="Y83" s="206">
        <f t="shared" si="43"/>
        <v>0</v>
      </c>
      <c r="Z83" s="201"/>
      <c r="AA83" s="201"/>
      <c r="AB83" s="206">
        <f t="shared" si="44"/>
        <v>0</v>
      </c>
      <c r="AC83" s="201"/>
      <c r="AD83" s="201"/>
      <c r="AE83" s="201"/>
      <c r="AF83" s="201"/>
      <c r="AG83" s="201"/>
      <c r="AH83" s="201"/>
      <c r="AI83" s="201"/>
      <c r="AJ83" s="201"/>
      <c r="AK83" s="201"/>
      <c r="AL83" s="206">
        <f t="shared" si="45"/>
        <v>0</v>
      </c>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c r="CK83" s="201"/>
      <c r="CL83" s="201"/>
      <c r="CM83" s="201"/>
      <c r="CN83" s="201"/>
      <c r="CO83" s="201"/>
      <c r="CP83" s="201"/>
      <c r="CQ83" s="206">
        <f t="shared" si="46"/>
        <v>0</v>
      </c>
      <c r="CR83" s="206">
        <f t="shared" si="47"/>
        <v>0</v>
      </c>
      <c r="CS83" s="206">
        <f t="shared" si="48"/>
        <v>0</v>
      </c>
      <c r="CT83" s="210"/>
      <c r="CU83" s="201"/>
      <c r="CV83" s="201"/>
      <c r="CW83" s="213"/>
      <c r="CX83" s="213"/>
      <c r="CY83" s="213"/>
      <c r="CZ83" s="206"/>
      <c r="DA83" s="206"/>
      <c r="DB83" s="193"/>
    </row>
    <row r="84" spans="1:106">
      <c r="A84" s="154">
        <f t="shared" si="49"/>
        <v>23</v>
      </c>
      <c r="B84" s="161"/>
      <c r="D84" s="154" t="s">
        <v>13927</v>
      </c>
      <c r="E84" s="198">
        <f t="shared" ca="true" si="38"/>
        <v>3455289.22999999</v>
      </c>
      <c r="F84" s="153">
        <f t="shared" ca="true" si="39"/>
        <v>3293119.63999999</v>
      </c>
      <c r="G84" s="152">
        <f>SUM(G65:G83)</f>
        <v>917863.469999993</v>
      </c>
      <c r="H84" s="152">
        <f>SUM(H65:H83)</f>
        <v>-13774.1699999999</v>
      </c>
      <c r="I84" s="152">
        <f>SUM(I65:I83)</f>
        <v>60784.6</v>
      </c>
      <c r="J84" s="152">
        <f>SUM(J65:J83)</f>
        <v>34893.74</v>
      </c>
      <c r="K84" s="152">
        <f>SUM(K65:K83)</f>
        <v>19838.28</v>
      </c>
      <c r="L84" s="205">
        <f>+SUM(G84:K84)</f>
        <v>1019605.91999999</v>
      </c>
      <c r="M84" s="152">
        <f>SUM(M65:M83)</f>
        <v>95626.76</v>
      </c>
      <c r="N84" s="152">
        <f>SUM(N65:N83)</f>
        <v>100462.14</v>
      </c>
      <c r="O84" s="205">
        <f t="shared" si="41"/>
        <v>196088.9</v>
      </c>
      <c r="P84" s="152">
        <f t="shared" ref="P84:U84" ca="true" si="102">SUM(P65:P83)</f>
        <v>28606</v>
      </c>
      <c r="Q84" s="152">
        <f t="shared" ca="true" si="102"/>
        <v>33852.22</v>
      </c>
      <c r="R84" s="152">
        <f t="shared" ca="true" si="102"/>
        <v>22355.07</v>
      </c>
      <c r="S84" s="152">
        <f t="shared" ca="true" si="102"/>
        <v>15606.68</v>
      </c>
      <c r="T84" s="152">
        <f t="shared" ca="true" si="102"/>
        <v>10353.86</v>
      </c>
      <c r="U84" s="152">
        <f t="shared" ca="true" si="102"/>
        <v>9835.26</v>
      </c>
      <c r="V84" s="153">
        <f t="shared" ca="true" si="42"/>
        <v>120609.09</v>
      </c>
      <c r="W84" s="152">
        <f ca="true">SUM(W65:W83)</f>
        <v>21442.69</v>
      </c>
      <c r="X84" s="152">
        <f ca="true">SUM(X65:X83)</f>
        <v>11367.97</v>
      </c>
      <c r="Y84" s="205">
        <f t="shared" ca="true" si="43"/>
        <v>153419.75</v>
      </c>
      <c r="Z84" s="152">
        <f ca="true">SUM(Z65:Z83)</f>
        <v>2312.51000000003</v>
      </c>
      <c r="AA84" s="152">
        <f ca="true">SUM(AA65:AA83)</f>
        <v>-3035.66</v>
      </c>
      <c r="AB84" s="205">
        <f t="shared" ca="true" si="44"/>
        <v>-723.149999999965</v>
      </c>
      <c r="AC84" s="152">
        <f t="shared" ref="AC84:AK84" ca="true" si="103">SUM(AC65:AC83)</f>
        <v>-15889.61</v>
      </c>
      <c r="AD84" s="152">
        <f t="shared" ca="true" si="103"/>
        <v>-66276.66</v>
      </c>
      <c r="AE84" s="152">
        <f t="shared" ca="true" si="103"/>
        <v>-150977.51</v>
      </c>
      <c r="AF84" s="152">
        <f t="shared" ca="true" si="103"/>
        <v>8464.98</v>
      </c>
      <c r="AG84" s="152">
        <f t="shared" ca="true" si="103"/>
        <v>62663.99</v>
      </c>
      <c r="AH84" s="152">
        <f t="shared" ca="true" si="103"/>
        <v>30702.56</v>
      </c>
      <c r="AI84" s="152">
        <f t="shared" ca="true" si="103"/>
        <v>45294.4</v>
      </c>
      <c r="AJ84" s="152">
        <f t="shared" ca="true" si="103"/>
        <v>49118.41</v>
      </c>
      <c r="AK84" s="152">
        <f t="shared" ca="true" si="103"/>
        <v>45276.0900000001</v>
      </c>
      <c r="AL84" s="205">
        <f t="shared" ca="true" si="45"/>
        <v>241520.43</v>
      </c>
      <c r="AM84" s="152">
        <f t="shared" ref="AM84:CO84" ca="true" si="104">SUM(AM65:AM83)</f>
        <v>-66.3</v>
      </c>
      <c r="AN84" s="152">
        <f t="shared" ca="true" si="104"/>
        <v>-22998.92</v>
      </c>
      <c r="AO84" s="152">
        <f t="shared" ca="true" si="104"/>
        <v>-45318.49</v>
      </c>
      <c r="AP84" s="152">
        <f t="shared" ca="true" si="104"/>
        <v>0</v>
      </c>
      <c r="AQ84" s="152">
        <f t="shared" ca="true" si="104"/>
        <v>54129.55</v>
      </c>
      <c r="AR84" s="152">
        <f t="shared" ca="true" si="104"/>
        <v>0</v>
      </c>
      <c r="AS84" s="152">
        <f t="shared" ca="true" si="104"/>
        <v>24892.72</v>
      </c>
      <c r="AT84" s="152">
        <f t="shared" ca="true" si="104"/>
        <v>27388.76</v>
      </c>
      <c r="AU84" s="152">
        <f t="shared" ca="true" si="104"/>
        <v>61799.75</v>
      </c>
      <c r="AV84" s="152">
        <f t="shared" ca="true" si="104"/>
        <v>40215.98</v>
      </c>
      <c r="AW84" s="152">
        <f t="shared" ca="true" si="104"/>
        <v>0</v>
      </c>
      <c r="AX84" s="152">
        <f t="shared" ca="true" si="104"/>
        <v>0</v>
      </c>
      <c r="AY84" s="152">
        <f t="shared" ca="true" si="104"/>
        <v>0</v>
      </c>
      <c r="AZ84" s="152">
        <f t="shared" ca="true" si="104"/>
        <v>30943.33</v>
      </c>
      <c r="BA84" s="152">
        <f t="shared" ca="true" si="104"/>
        <v>22677.43</v>
      </c>
      <c r="BB84" s="152">
        <f t="shared" ca="true" si="104"/>
        <v>0</v>
      </c>
      <c r="BC84" s="152">
        <f t="shared" ca="true" si="104"/>
        <v>71586.55</v>
      </c>
      <c r="BD84" s="152">
        <f t="shared" ca="true" si="104"/>
        <v>24084.92</v>
      </c>
      <c r="BE84" s="152">
        <f t="shared" ca="true" si="104"/>
        <v>28931.45</v>
      </c>
      <c r="BF84" s="152">
        <f t="shared" ca="true" si="104"/>
        <v>15023.46</v>
      </c>
      <c r="BG84" s="152">
        <f t="shared" ca="true" si="104"/>
        <v>24066.92</v>
      </c>
      <c r="BH84" s="152">
        <f t="shared" ca="true" si="104"/>
        <v>0</v>
      </c>
      <c r="BI84" s="152">
        <f t="shared" ca="true" si="104"/>
        <v>21644.93</v>
      </c>
      <c r="BJ84" s="152">
        <f t="shared" ca="true" si="104"/>
        <v>0</v>
      </c>
      <c r="BK84" s="152">
        <f t="shared" ca="true" si="104"/>
        <v>-2617.27</v>
      </c>
      <c r="BL84" s="152">
        <f t="shared" ca="true" si="104"/>
        <v>20085.19</v>
      </c>
      <c r="BM84" s="152">
        <f t="shared" ca="true" si="104"/>
        <v>18651.07</v>
      </c>
      <c r="BN84" s="152">
        <f t="shared" ca="true" si="104"/>
        <v>15097.81</v>
      </c>
      <c r="BO84" s="152">
        <f t="shared" ca="true" si="104"/>
        <v>0</v>
      </c>
      <c r="BP84" s="152">
        <f t="shared" ca="true" si="104"/>
        <v>46426.19</v>
      </c>
      <c r="BQ84" s="152">
        <f t="shared" ca="true" si="104"/>
        <v>26979.69</v>
      </c>
      <c r="BR84" s="152">
        <f t="shared" ca="true" si="104"/>
        <v>-14527.47</v>
      </c>
      <c r="BS84" s="152">
        <f t="shared" ca="true" si="104"/>
        <v>-9323.07</v>
      </c>
      <c r="BT84" s="152">
        <f t="shared" ca="true" si="104"/>
        <v>0</v>
      </c>
      <c r="BU84" s="152">
        <f t="shared" ca="true" si="104"/>
        <v>279.540000000001</v>
      </c>
      <c r="BV84" s="152">
        <f t="shared" ca="true" si="104"/>
        <v>0</v>
      </c>
      <c r="BW84" s="152">
        <f t="shared" ca="true" si="104"/>
        <v>106778.75</v>
      </c>
      <c r="BX84" s="152">
        <f t="shared" ca="true" si="104"/>
        <v>19297.59</v>
      </c>
      <c r="BY84" s="152">
        <f t="shared" ca="true" si="104"/>
        <v>0</v>
      </c>
      <c r="BZ84" s="152">
        <f t="shared" ca="true" si="104"/>
        <v>-40373.2900000001</v>
      </c>
      <c r="CA84" s="152">
        <f t="shared" ca="true" si="104"/>
        <v>-16402.39</v>
      </c>
      <c r="CB84" s="152">
        <f t="shared" ca="true" si="104"/>
        <v>35736.04</v>
      </c>
      <c r="CC84" s="152">
        <f t="shared" ca="true" si="104"/>
        <v>13086.65</v>
      </c>
      <c r="CD84" s="152">
        <f t="shared" ca="true" si="104"/>
        <v>31513.07</v>
      </c>
      <c r="CE84" s="152">
        <f t="shared" ca="true" si="104"/>
        <v>51749.71</v>
      </c>
      <c r="CF84" s="152">
        <f t="shared" ca="true" si="104"/>
        <v>118826.85</v>
      </c>
      <c r="CG84" s="152">
        <f t="shared" ca="true" si="104"/>
        <v>10293.76</v>
      </c>
      <c r="CH84" s="152">
        <f t="shared" ca="true" si="104"/>
        <v>10501.58</v>
      </c>
      <c r="CI84" s="152">
        <f t="shared" ca="true" si="104"/>
        <v>51762.32</v>
      </c>
      <c r="CJ84" s="152">
        <f t="shared" ca="true" si="104"/>
        <v>94846.18</v>
      </c>
      <c r="CK84" s="152">
        <f t="shared" ca="true" si="104"/>
        <v>9373.1</v>
      </c>
      <c r="CL84" s="152">
        <f t="shared" ca="true" si="104"/>
        <v>35627.63</v>
      </c>
      <c r="CM84" s="152">
        <f t="shared" ca="true" si="104"/>
        <v>129580.97</v>
      </c>
      <c r="CN84" s="152">
        <f t="shared" ca="true" si="104"/>
        <v>428357.7</v>
      </c>
      <c r="CO84" s="152">
        <f t="shared" ca="true" si="104"/>
        <v>345741.63</v>
      </c>
      <c r="CP84" s="152"/>
      <c r="CQ84" s="205">
        <f t="shared" ca="true" si="46"/>
        <v>1916351.57</v>
      </c>
      <c r="CR84" s="205">
        <f t="shared" ca="true" si="47"/>
        <v>2157872</v>
      </c>
      <c r="CS84" s="205">
        <f t="shared" ca="true" si="48"/>
        <v>-155598.87</v>
      </c>
      <c r="CT84" s="209">
        <f t="shared" ref="CT84:DA84" ca="true" si="105">SUM(CT65:CT83)</f>
        <v>0</v>
      </c>
      <c r="CU84" s="152">
        <f t="shared" ca="true" si="105"/>
        <v>-155489.35</v>
      </c>
      <c r="CV84" s="152">
        <f t="shared" ca="true" si="105"/>
        <v>-19044.83</v>
      </c>
      <c r="CW84" s="212">
        <f t="shared" ca="true" si="105"/>
        <v>18935.31</v>
      </c>
      <c r="CX84" s="212">
        <f t="shared" ca="true" si="105"/>
        <v>0</v>
      </c>
      <c r="CY84" s="212">
        <f t="shared" ca="true" si="105"/>
        <v>-155598.87</v>
      </c>
      <c r="CZ84" s="205">
        <f t="shared" si="105"/>
        <v>0</v>
      </c>
      <c r="DA84" s="205">
        <f t="shared" si="105"/>
        <v>317768.46</v>
      </c>
      <c r="DB84" s="193"/>
    </row>
    <row r="85" spans="2:106">
      <c r="B85" s="161"/>
      <c r="E85" s="149"/>
      <c r="F85" s="152"/>
      <c r="G85" s="152"/>
      <c r="H85" s="152"/>
      <c r="I85" s="152"/>
      <c r="J85" s="152"/>
      <c r="K85" s="152"/>
      <c r="L85" s="205"/>
      <c r="M85" s="152"/>
      <c r="N85" s="152"/>
      <c r="O85" s="205"/>
      <c r="P85" s="152"/>
      <c r="Q85" s="152"/>
      <c r="R85" s="152"/>
      <c r="S85" s="152"/>
      <c r="T85" s="152"/>
      <c r="U85" s="152"/>
      <c r="V85" s="153"/>
      <c r="W85" s="152"/>
      <c r="X85" s="152"/>
      <c r="Y85" s="205"/>
      <c r="Z85" s="152"/>
      <c r="AA85" s="152"/>
      <c r="AB85" s="205"/>
      <c r="AC85" s="152"/>
      <c r="AD85" s="152"/>
      <c r="AE85" s="152"/>
      <c r="AF85" s="152"/>
      <c r="AG85" s="152"/>
      <c r="AH85" s="152"/>
      <c r="AI85" s="152"/>
      <c r="AJ85" s="152"/>
      <c r="AK85" s="152"/>
      <c r="AL85" s="205"/>
      <c r="AM85" s="152"/>
      <c r="AN85" s="152"/>
      <c r="AO85" s="152"/>
      <c r="AP85" s="152"/>
      <c r="AQ85" s="152"/>
      <c r="AR85" s="152"/>
      <c r="AS85" s="152"/>
      <c r="AT85" s="152"/>
      <c r="AU85" s="152"/>
      <c r="AV85" s="152"/>
      <c r="AW85" s="152"/>
      <c r="AX85" s="152"/>
      <c r="AY85" s="152"/>
      <c r="AZ85" s="152"/>
      <c r="BA85" s="152"/>
      <c r="BB85" s="152"/>
      <c r="BC85" s="152"/>
      <c r="BD85" s="152"/>
      <c r="BE85" s="152"/>
      <c r="BF85" s="152"/>
      <c r="BG85" s="152"/>
      <c r="BH85" s="152"/>
      <c r="BI85" s="152"/>
      <c r="BJ85" s="152"/>
      <c r="BK85" s="152"/>
      <c r="BL85" s="152"/>
      <c r="BM85" s="152"/>
      <c r="BN85" s="152"/>
      <c r="BO85" s="152"/>
      <c r="BP85" s="152"/>
      <c r="BQ85" s="152"/>
      <c r="BR85" s="152"/>
      <c r="BS85" s="152"/>
      <c r="BT85" s="152"/>
      <c r="BU85" s="152"/>
      <c r="BV85" s="152"/>
      <c r="BW85" s="152"/>
      <c r="BX85" s="152"/>
      <c r="BY85" s="152"/>
      <c r="BZ85" s="152"/>
      <c r="CA85" s="152"/>
      <c r="CB85" s="152"/>
      <c r="CC85" s="152"/>
      <c r="CD85" s="152"/>
      <c r="CE85" s="152"/>
      <c r="CF85" s="152"/>
      <c r="CG85" s="152"/>
      <c r="CH85" s="152"/>
      <c r="CI85" s="152"/>
      <c r="CJ85" s="152"/>
      <c r="CK85" s="152"/>
      <c r="CL85" s="152"/>
      <c r="CM85" s="152"/>
      <c r="CN85" s="152"/>
      <c r="CO85" s="152"/>
      <c r="CP85" s="152"/>
      <c r="CQ85" s="205"/>
      <c r="CR85" s="205"/>
      <c r="CS85" s="205"/>
      <c r="CT85" s="209"/>
      <c r="CU85" s="152"/>
      <c r="CV85" s="152"/>
      <c r="CW85" s="212"/>
      <c r="CX85" s="212"/>
      <c r="CY85" s="212"/>
      <c r="CZ85" s="205"/>
      <c r="DA85" s="205"/>
      <c r="DB85" s="193"/>
    </row>
    <row r="86" spans="1:106">
      <c r="A86" s="154">
        <f>MAX(A78:A85)+1</f>
        <v>24</v>
      </c>
      <c r="B86" s="161"/>
      <c r="D86" s="154" t="s">
        <v>13928</v>
      </c>
      <c r="E86" s="198">
        <f t="shared" ref="E86:E106" si="106">+F86+CS86+CZ86+DA86</f>
        <v>0</v>
      </c>
      <c r="F86" s="153">
        <f t="shared" ref="F86:F106" si="107">SUM(G86:K86,M86:N86,P86:U86,W86:X86,Z86:AA86,AC86:AK86,AM86:CP86)</f>
        <v>0</v>
      </c>
      <c r="G86" s="152">
        <f>-G76</f>
        <v>0</v>
      </c>
      <c r="H86" s="152">
        <f>-H76</f>
        <v>0</v>
      </c>
      <c r="I86" s="152">
        <f>-I76</f>
        <v>0</v>
      </c>
      <c r="J86" s="152">
        <f>-J76</f>
        <v>0</v>
      </c>
      <c r="K86" s="152">
        <f>-K76</f>
        <v>0</v>
      </c>
      <c r="L86" s="205">
        <f t="shared" ref="L86:L106" si="108">+SUM(G86:K86)</f>
        <v>0</v>
      </c>
      <c r="M86" s="152">
        <f>-M76</f>
        <v>0</v>
      </c>
      <c r="N86" s="152">
        <f>-N76</f>
        <v>0</v>
      </c>
      <c r="O86" s="205">
        <f t="shared" ref="O86:O106" si="109">+SUM(M86:N86)</f>
        <v>0</v>
      </c>
      <c r="P86" s="152">
        <f t="shared" ref="P86:U86" si="110">-P76</f>
        <v>0</v>
      </c>
      <c r="Q86" s="152">
        <f t="shared" si="110"/>
        <v>0</v>
      </c>
      <c r="R86" s="152">
        <f t="shared" si="110"/>
        <v>0</v>
      </c>
      <c r="S86" s="152">
        <f t="shared" si="110"/>
        <v>0</v>
      </c>
      <c r="T86" s="152">
        <f t="shared" si="110"/>
        <v>0</v>
      </c>
      <c r="U86" s="152">
        <f t="shared" si="110"/>
        <v>0</v>
      </c>
      <c r="V86" s="153">
        <f t="shared" ref="V86:V106" si="111">+SUM(P86:U86)</f>
        <v>0</v>
      </c>
      <c r="W86" s="152">
        <f>-W76</f>
        <v>0</v>
      </c>
      <c r="X86" s="152">
        <f>-X76</f>
        <v>0</v>
      </c>
      <c r="Y86" s="205">
        <f t="shared" ref="Y86:Y106" si="112">SUM(V86:X86)</f>
        <v>0</v>
      </c>
      <c r="Z86" s="152">
        <f>-Z76</f>
        <v>0</v>
      </c>
      <c r="AA86" s="152">
        <f>-AA76</f>
        <v>0</v>
      </c>
      <c r="AB86" s="205">
        <f t="shared" ref="AB86:AB106" si="113">+SUM(Z86:AA86)</f>
        <v>0</v>
      </c>
      <c r="AC86" s="152">
        <f t="shared" ref="AC86:AK86" si="114">-AC76</f>
        <v>0</v>
      </c>
      <c r="AD86" s="152">
        <f t="shared" si="114"/>
        <v>0</v>
      </c>
      <c r="AE86" s="152">
        <f t="shared" si="114"/>
        <v>0</v>
      </c>
      <c r="AF86" s="152">
        <f t="shared" si="114"/>
        <v>0</v>
      </c>
      <c r="AG86" s="152">
        <f t="shared" si="114"/>
        <v>0</v>
      </c>
      <c r="AH86" s="152">
        <f t="shared" si="114"/>
        <v>0</v>
      </c>
      <c r="AI86" s="152">
        <f t="shared" si="114"/>
        <v>0</v>
      </c>
      <c r="AJ86" s="152">
        <f t="shared" si="114"/>
        <v>0</v>
      </c>
      <c r="AK86" s="152">
        <f t="shared" si="114"/>
        <v>0</v>
      </c>
      <c r="AL86" s="205">
        <f t="shared" ref="AL86:AL106" si="115">SUM(AF86:AK86)</f>
        <v>0</v>
      </c>
      <c r="AM86" s="152">
        <f t="shared" ref="AM86:CO86" si="116">-AM76</f>
        <v>0</v>
      </c>
      <c r="AN86" s="152">
        <f t="shared" si="116"/>
        <v>0</v>
      </c>
      <c r="AO86" s="152">
        <f t="shared" si="116"/>
        <v>0</v>
      </c>
      <c r="AP86" s="152">
        <f t="shared" si="116"/>
        <v>0</v>
      </c>
      <c r="AQ86" s="152">
        <f t="shared" si="116"/>
        <v>0</v>
      </c>
      <c r="AR86" s="152">
        <f t="shared" si="116"/>
        <v>0</v>
      </c>
      <c r="AS86" s="152">
        <f t="shared" si="116"/>
        <v>0</v>
      </c>
      <c r="AT86" s="152">
        <f t="shared" si="116"/>
        <v>0</v>
      </c>
      <c r="AU86" s="152">
        <f t="shared" si="116"/>
        <v>0</v>
      </c>
      <c r="AV86" s="152">
        <f t="shared" si="116"/>
        <v>0</v>
      </c>
      <c r="AW86" s="152">
        <f t="shared" si="116"/>
        <v>0</v>
      </c>
      <c r="AX86" s="152">
        <f t="shared" si="116"/>
        <v>0</v>
      </c>
      <c r="AY86" s="152">
        <f t="shared" si="116"/>
        <v>0</v>
      </c>
      <c r="AZ86" s="152">
        <f t="shared" si="116"/>
        <v>0</v>
      </c>
      <c r="BA86" s="152">
        <f t="shared" si="116"/>
        <v>0</v>
      </c>
      <c r="BB86" s="152">
        <f t="shared" si="116"/>
        <v>0</v>
      </c>
      <c r="BC86" s="152">
        <f t="shared" si="116"/>
        <v>0</v>
      </c>
      <c r="BD86" s="152">
        <f t="shared" si="116"/>
        <v>0</v>
      </c>
      <c r="BE86" s="152">
        <f t="shared" si="116"/>
        <v>0</v>
      </c>
      <c r="BF86" s="152">
        <f t="shared" si="116"/>
        <v>0</v>
      </c>
      <c r="BG86" s="152">
        <f t="shared" si="116"/>
        <v>0</v>
      </c>
      <c r="BH86" s="152">
        <f t="shared" si="116"/>
        <v>0</v>
      </c>
      <c r="BI86" s="152">
        <f t="shared" si="116"/>
        <v>0</v>
      </c>
      <c r="BJ86" s="152">
        <f t="shared" si="116"/>
        <v>0</v>
      </c>
      <c r="BK86" s="152">
        <f t="shared" si="116"/>
        <v>0</v>
      </c>
      <c r="BL86" s="152">
        <f t="shared" si="116"/>
        <v>0</v>
      </c>
      <c r="BM86" s="152">
        <f t="shared" si="116"/>
        <v>0</v>
      </c>
      <c r="BN86" s="152">
        <f t="shared" si="116"/>
        <v>0</v>
      </c>
      <c r="BO86" s="152">
        <f t="shared" si="116"/>
        <v>0</v>
      </c>
      <c r="BP86" s="152">
        <f t="shared" si="116"/>
        <v>0</v>
      </c>
      <c r="BQ86" s="152">
        <f t="shared" si="116"/>
        <v>0</v>
      </c>
      <c r="BR86" s="152">
        <f t="shared" si="116"/>
        <v>0</v>
      </c>
      <c r="BS86" s="152">
        <f t="shared" si="116"/>
        <v>0</v>
      </c>
      <c r="BT86" s="152">
        <f t="shared" si="116"/>
        <v>0</v>
      </c>
      <c r="BU86" s="152">
        <f t="shared" si="116"/>
        <v>0</v>
      </c>
      <c r="BV86" s="152">
        <f t="shared" si="116"/>
        <v>0</v>
      </c>
      <c r="BW86" s="152">
        <f t="shared" si="116"/>
        <v>0</v>
      </c>
      <c r="BX86" s="152">
        <f t="shared" si="116"/>
        <v>0</v>
      </c>
      <c r="BY86" s="152">
        <f t="shared" si="116"/>
        <v>0</v>
      </c>
      <c r="BZ86" s="152">
        <f t="shared" si="116"/>
        <v>0</v>
      </c>
      <c r="CA86" s="152">
        <f t="shared" si="116"/>
        <v>0</v>
      </c>
      <c r="CB86" s="152">
        <f t="shared" si="116"/>
        <v>0</v>
      </c>
      <c r="CC86" s="152">
        <f t="shared" si="116"/>
        <v>0</v>
      </c>
      <c r="CD86" s="152">
        <f t="shared" si="116"/>
        <v>0</v>
      </c>
      <c r="CE86" s="152">
        <f t="shared" si="116"/>
        <v>0</v>
      </c>
      <c r="CF86" s="152">
        <f t="shared" si="116"/>
        <v>0</v>
      </c>
      <c r="CG86" s="152">
        <f t="shared" si="116"/>
        <v>0</v>
      </c>
      <c r="CH86" s="152">
        <f t="shared" si="116"/>
        <v>0</v>
      </c>
      <c r="CI86" s="152">
        <f t="shared" si="116"/>
        <v>0</v>
      </c>
      <c r="CJ86" s="152">
        <f t="shared" si="116"/>
        <v>0</v>
      </c>
      <c r="CK86" s="152">
        <f t="shared" si="116"/>
        <v>0</v>
      </c>
      <c r="CL86" s="152">
        <f t="shared" si="116"/>
        <v>0</v>
      </c>
      <c r="CM86" s="152">
        <f t="shared" si="116"/>
        <v>0</v>
      </c>
      <c r="CN86" s="152">
        <f t="shared" si="116"/>
        <v>0</v>
      </c>
      <c r="CO86" s="152">
        <f t="shared" si="116"/>
        <v>0</v>
      </c>
      <c r="CP86" s="152"/>
      <c r="CQ86" s="205">
        <f t="shared" ref="CQ86:CQ106" si="117">+SUM(AM86:CP86)</f>
        <v>0</v>
      </c>
      <c r="CR86" s="205">
        <f t="shared" ref="CR86:CR106" si="118">SUM(AL86,CQ86)</f>
        <v>0</v>
      </c>
      <c r="CS86" s="205">
        <f t="shared" ref="CS86:CS106" si="119">SUM(CY86:CY86)</f>
        <v>0</v>
      </c>
      <c r="CT86" s="209">
        <f t="shared" ref="CT86:DA86" si="120">-CT76</f>
        <v>0</v>
      </c>
      <c r="CU86" s="152">
        <f t="shared" si="120"/>
        <v>0</v>
      </c>
      <c r="CV86" s="152">
        <f t="shared" si="120"/>
        <v>0</v>
      </c>
      <c r="CW86" s="212">
        <f t="shared" si="120"/>
        <v>0</v>
      </c>
      <c r="CX86" s="212">
        <f t="shared" si="120"/>
        <v>0</v>
      </c>
      <c r="CY86" s="212">
        <f t="shared" si="120"/>
        <v>0</v>
      </c>
      <c r="CZ86" s="205">
        <f t="shared" si="120"/>
        <v>0</v>
      </c>
      <c r="DA86" s="205">
        <f t="shared" si="120"/>
        <v>0</v>
      </c>
      <c r="DB86" s="193"/>
    </row>
    <row r="87" spans="1:106">
      <c r="A87" s="154">
        <f>MAX(A79:A86)+1</f>
        <v>25</v>
      </c>
      <c r="B87" s="161"/>
      <c r="D87" s="154" t="s">
        <v>13929</v>
      </c>
      <c r="E87" s="198">
        <f t="shared" si="106"/>
        <v>0</v>
      </c>
      <c r="F87" s="153">
        <f t="shared" si="107"/>
        <v>0</v>
      </c>
      <c r="G87" s="152">
        <f>-G77</f>
        <v>0</v>
      </c>
      <c r="H87" s="152">
        <f>-H77</f>
        <v>0</v>
      </c>
      <c r="I87" s="152">
        <f>-I77</f>
        <v>0</v>
      </c>
      <c r="J87" s="152">
        <f>-J77</f>
        <v>0</v>
      </c>
      <c r="K87" s="152">
        <f>-K77</f>
        <v>0</v>
      </c>
      <c r="L87" s="205">
        <f t="shared" si="108"/>
        <v>0</v>
      </c>
      <c r="M87" s="152">
        <f>-M77</f>
        <v>0</v>
      </c>
      <c r="N87" s="152">
        <f>-N77</f>
        <v>0</v>
      </c>
      <c r="O87" s="205">
        <f t="shared" si="109"/>
        <v>0</v>
      </c>
      <c r="P87" s="152">
        <f t="shared" ref="P87:U87" si="121">-P77</f>
        <v>0</v>
      </c>
      <c r="Q87" s="152">
        <f t="shared" si="121"/>
        <v>0</v>
      </c>
      <c r="R87" s="152">
        <f t="shared" si="121"/>
        <v>0</v>
      </c>
      <c r="S87" s="152">
        <f t="shared" si="121"/>
        <v>0</v>
      </c>
      <c r="T87" s="152">
        <f t="shared" si="121"/>
        <v>0</v>
      </c>
      <c r="U87" s="152">
        <f t="shared" si="121"/>
        <v>0</v>
      </c>
      <c r="V87" s="153">
        <f t="shared" si="111"/>
        <v>0</v>
      </c>
      <c r="W87" s="152">
        <f>-W77</f>
        <v>0</v>
      </c>
      <c r="X87" s="152">
        <f>-X77</f>
        <v>0</v>
      </c>
      <c r="Y87" s="205">
        <f t="shared" si="112"/>
        <v>0</v>
      </c>
      <c r="Z87" s="152">
        <f>-Z77</f>
        <v>0</v>
      </c>
      <c r="AA87" s="152">
        <f>-AA77</f>
        <v>0</v>
      </c>
      <c r="AB87" s="205">
        <f t="shared" si="113"/>
        <v>0</v>
      </c>
      <c r="AC87" s="152">
        <f t="shared" ref="AC87:AK87" si="122">-AC77</f>
        <v>0</v>
      </c>
      <c r="AD87" s="152">
        <f t="shared" si="122"/>
        <v>0</v>
      </c>
      <c r="AE87" s="152">
        <f t="shared" si="122"/>
        <v>0</v>
      </c>
      <c r="AF87" s="152">
        <f t="shared" si="122"/>
        <v>0</v>
      </c>
      <c r="AG87" s="152">
        <f t="shared" si="122"/>
        <v>0</v>
      </c>
      <c r="AH87" s="152">
        <f t="shared" si="122"/>
        <v>0</v>
      </c>
      <c r="AI87" s="152">
        <f t="shared" si="122"/>
        <v>0</v>
      </c>
      <c r="AJ87" s="152">
        <f t="shared" si="122"/>
        <v>0</v>
      </c>
      <c r="AK87" s="152">
        <f t="shared" si="122"/>
        <v>0</v>
      </c>
      <c r="AL87" s="205">
        <f t="shared" si="115"/>
        <v>0</v>
      </c>
      <c r="AM87" s="152">
        <f t="shared" ref="AM87:CO87" si="123">-AM77</f>
        <v>0</v>
      </c>
      <c r="AN87" s="152">
        <f t="shared" si="123"/>
        <v>0</v>
      </c>
      <c r="AO87" s="152">
        <f t="shared" si="123"/>
        <v>0</v>
      </c>
      <c r="AP87" s="152">
        <f t="shared" si="123"/>
        <v>0</v>
      </c>
      <c r="AQ87" s="152">
        <f t="shared" si="123"/>
        <v>0</v>
      </c>
      <c r="AR87" s="152">
        <f t="shared" si="123"/>
        <v>0</v>
      </c>
      <c r="AS87" s="152">
        <f t="shared" si="123"/>
        <v>0</v>
      </c>
      <c r="AT87" s="152">
        <f t="shared" si="123"/>
        <v>0</v>
      </c>
      <c r="AU87" s="152">
        <f t="shared" si="123"/>
        <v>0</v>
      </c>
      <c r="AV87" s="152">
        <f t="shared" si="123"/>
        <v>0</v>
      </c>
      <c r="AW87" s="152">
        <f t="shared" si="123"/>
        <v>0</v>
      </c>
      <c r="AX87" s="152">
        <f t="shared" si="123"/>
        <v>0</v>
      </c>
      <c r="AY87" s="152">
        <f t="shared" si="123"/>
        <v>0</v>
      </c>
      <c r="AZ87" s="152">
        <f t="shared" si="123"/>
        <v>0</v>
      </c>
      <c r="BA87" s="152">
        <f t="shared" si="123"/>
        <v>0</v>
      </c>
      <c r="BB87" s="152">
        <f t="shared" si="123"/>
        <v>0</v>
      </c>
      <c r="BC87" s="152">
        <f t="shared" si="123"/>
        <v>0</v>
      </c>
      <c r="BD87" s="152">
        <f t="shared" si="123"/>
        <v>0</v>
      </c>
      <c r="BE87" s="152">
        <f t="shared" si="123"/>
        <v>0</v>
      </c>
      <c r="BF87" s="152">
        <f t="shared" si="123"/>
        <v>0</v>
      </c>
      <c r="BG87" s="152">
        <f t="shared" si="123"/>
        <v>0</v>
      </c>
      <c r="BH87" s="152">
        <f t="shared" si="123"/>
        <v>0</v>
      </c>
      <c r="BI87" s="152">
        <f t="shared" si="123"/>
        <v>0</v>
      </c>
      <c r="BJ87" s="152">
        <f t="shared" si="123"/>
        <v>0</v>
      </c>
      <c r="BK87" s="152">
        <f t="shared" si="123"/>
        <v>0</v>
      </c>
      <c r="BL87" s="152">
        <f t="shared" si="123"/>
        <v>0</v>
      </c>
      <c r="BM87" s="152">
        <f t="shared" si="123"/>
        <v>0</v>
      </c>
      <c r="BN87" s="152">
        <f t="shared" si="123"/>
        <v>0</v>
      </c>
      <c r="BO87" s="152">
        <f t="shared" si="123"/>
        <v>0</v>
      </c>
      <c r="BP87" s="152">
        <f t="shared" si="123"/>
        <v>0</v>
      </c>
      <c r="BQ87" s="152">
        <f t="shared" si="123"/>
        <v>0</v>
      </c>
      <c r="BR87" s="152">
        <f t="shared" si="123"/>
        <v>0</v>
      </c>
      <c r="BS87" s="152">
        <f t="shared" si="123"/>
        <v>0</v>
      </c>
      <c r="BT87" s="152">
        <f t="shared" si="123"/>
        <v>0</v>
      </c>
      <c r="BU87" s="152">
        <f t="shared" si="123"/>
        <v>0</v>
      </c>
      <c r="BV87" s="152">
        <f t="shared" si="123"/>
        <v>0</v>
      </c>
      <c r="BW87" s="152">
        <f t="shared" si="123"/>
        <v>0</v>
      </c>
      <c r="BX87" s="152">
        <f t="shared" si="123"/>
        <v>0</v>
      </c>
      <c r="BY87" s="152">
        <f t="shared" si="123"/>
        <v>0</v>
      </c>
      <c r="BZ87" s="152">
        <f t="shared" si="123"/>
        <v>0</v>
      </c>
      <c r="CA87" s="152">
        <f t="shared" si="123"/>
        <v>0</v>
      </c>
      <c r="CB87" s="152">
        <f t="shared" si="123"/>
        <v>0</v>
      </c>
      <c r="CC87" s="152">
        <f t="shared" si="123"/>
        <v>0</v>
      </c>
      <c r="CD87" s="152">
        <f t="shared" si="123"/>
        <v>0</v>
      </c>
      <c r="CE87" s="152">
        <f t="shared" si="123"/>
        <v>0</v>
      </c>
      <c r="CF87" s="152">
        <f t="shared" si="123"/>
        <v>0</v>
      </c>
      <c r="CG87" s="152">
        <f t="shared" si="123"/>
        <v>0</v>
      </c>
      <c r="CH87" s="152">
        <f t="shared" si="123"/>
        <v>0</v>
      </c>
      <c r="CI87" s="152">
        <f t="shared" si="123"/>
        <v>0</v>
      </c>
      <c r="CJ87" s="152">
        <f t="shared" si="123"/>
        <v>0</v>
      </c>
      <c r="CK87" s="152">
        <f t="shared" si="123"/>
        <v>0</v>
      </c>
      <c r="CL87" s="152">
        <f t="shared" si="123"/>
        <v>0</v>
      </c>
      <c r="CM87" s="152">
        <f t="shared" si="123"/>
        <v>0</v>
      </c>
      <c r="CN87" s="152">
        <f t="shared" si="123"/>
        <v>0</v>
      </c>
      <c r="CO87" s="152">
        <f t="shared" si="123"/>
        <v>0</v>
      </c>
      <c r="CP87" s="152"/>
      <c r="CQ87" s="205">
        <f t="shared" si="117"/>
        <v>0</v>
      </c>
      <c r="CR87" s="205">
        <f t="shared" si="118"/>
        <v>0</v>
      </c>
      <c r="CS87" s="205">
        <f t="shared" si="119"/>
        <v>0</v>
      </c>
      <c r="CT87" s="209">
        <f t="shared" ref="CT87:DA87" si="124">-CT77</f>
        <v>0</v>
      </c>
      <c r="CU87" s="152">
        <f t="shared" si="124"/>
        <v>0</v>
      </c>
      <c r="CV87" s="152">
        <f t="shared" si="124"/>
        <v>0</v>
      </c>
      <c r="CW87" s="212">
        <f t="shared" si="124"/>
        <v>0</v>
      </c>
      <c r="CX87" s="212">
        <f t="shared" si="124"/>
        <v>0</v>
      </c>
      <c r="CY87" s="212">
        <f t="shared" si="124"/>
        <v>0</v>
      </c>
      <c r="CZ87" s="205">
        <f t="shared" si="124"/>
        <v>0</v>
      </c>
      <c r="DA87" s="205">
        <f t="shared" si="124"/>
        <v>0</v>
      </c>
      <c r="DB87" s="193"/>
    </row>
    <row r="88" spans="1:106">
      <c r="A88" s="154">
        <f>MAX(A82:A87)+1</f>
        <v>26</v>
      </c>
      <c r="B88" s="161"/>
      <c r="D88" s="154" t="s">
        <v>13930</v>
      </c>
      <c r="E88" s="198">
        <f t="shared" si="106"/>
        <v>0</v>
      </c>
      <c r="F88" s="153">
        <f t="shared" si="107"/>
        <v>0</v>
      </c>
      <c r="G88" s="152">
        <f>-G78</f>
        <v>0</v>
      </c>
      <c r="H88" s="152">
        <f>-H78</f>
        <v>0</v>
      </c>
      <c r="I88" s="152">
        <f>-I78</f>
        <v>0</v>
      </c>
      <c r="J88" s="152">
        <f>-J78</f>
        <v>0</v>
      </c>
      <c r="K88" s="152">
        <f>-K78</f>
        <v>0</v>
      </c>
      <c r="L88" s="205">
        <f t="shared" si="108"/>
        <v>0</v>
      </c>
      <c r="M88" s="152">
        <f>-M78</f>
        <v>0</v>
      </c>
      <c r="N88" s="152">
        <f>-N78</f>
        <v>0</v>
      </c>
      <c r="O88" s="205">
        <f t="shared" si="109"/>
        <v>0</v>
      </c>
      <c r="P88" s="152">
        <f t="shared" ref="P88:U88" si="125">-P78</f>
        <v>0</v>
      </c>
      <c r="Q88" s="152">
        <f t="shared" si="125"/>
        <v>0</v>
      </c>
      <c r="R88" s="152">
        <f t="shared" si="125"/>
        <v>0</v>
      </c>
      <c r="S88" s="152">
        <f t="shared" si="125"/>
        <v>0</v>
      </c>
      <c r="T88" s="152">
        <f t="shared" si="125"/>
        <v>0</v>
      </c>
      <c r="U88" s="152">
        <f t="shared" si="125"/>
        <v>0</v>
      </c>
      <c r="V88" s="153">
        <f t="shared" si="111"/>
        <v>0</v>
      </c>
      <c r="W88" s="152">
        <f>-W78</f>
        <v>0</v>
      </c>
      <c r="X88" s="152">
        <f>-X78</f>
        <v>0</v>
      </c>
      <c r="Y88" s="205">
        <f t="shared" si="112"/>
        <v>0</v>
      </c>
      <c r="Z88" s="152">
        <f>-Z78</f>
        <v>0</v>
      </c>
      <c r="AA88" s="152">
        <f>-AA78</f>
        <v>0</v>
      </c>
      <c r="AB88" s="205">
        <f t="shared" si="113"/>
        <v>0</v>
      </c>
      <c r="AC88" s="152">
        <f t="shared" ref="AC88:AK88" si="126">-AC78</f>
        <v>0</v>
      </c>
      <c r="AD88" s="152">
        <f t="shared" si="126"/>
        <v>0</v>
      </c>
      <c r="AE88" s="152">
        <f t="shared" si="126"/>
        <v>0</v>
      </c>
      <c r="AF88" s="152">
        <f t="shared" si="126"/>
        <v>0</v>
      </c>
      <c r="AG88" s="152">
        <f t="shared" si="126"/>
        <v>0</v>
      </c>
      <c r="AH88" s="152">
        <f t="shared" si="126"/>
        <v>0</v>
      </c>
      <c r="AI88" s="152">
        <f t="shared" si="126"/>
        <v>0</v>
      </c>
      <c r="AJ88" s="152">
        <f t="shared" si="126"/>
        <v>0</v>
      </c>
      <c r="AK88" s="152">
        <f t="shared" si="126"/>
        <v>0</v>
      </c>
      <c r="AL88" s="205">
        <f t="shared" si="115"/>
        <v>0</v>
      </c>
      <c r="AM88" s="152">
        <f t="shared" ref="AM88:CO88" si="127">-AM78</f>
        <v>0</v>
      </c>
      <c r="AN88" s="152">
        <f t="shared" si="127"/>
        <v>0</v>
      </c>
      <c r="AO88" s="152">
        <f t="shared" si="127"/>
        <v>0</v>
      </c>
      <c r="AP88" s="152">
        <f t="shared" si="127"/>
        <v>0</v>
      </c>
      <c r="AQ88" s="152">
        <f t="shared" si="127"/>
        <v>0</v>
      </c>
      <c r="AR88" s="152">
        <f t="shared" si="127"/>
        <v>0</v>
      </c>
      <c r="AS88" s="152">
        <f t="shared" si="127"/>
        <v>0</v>
      </c>
      <c r="AT88" s="152">
        <f t="shared" si="127"/>
        <v>0</v>
      </c>
      <c r="AU88" s="152">
        <f t="shared" si="127"/>
        <v>0</v>
      </c>
      <c r="AV88" s="152">
        <f t="shared" si="127"/>
        <v>0</v>
      </c>
      <c r="AW88" s="152">
        <f t="shared" si="127"/>
        <v>0</v>
      </c>
      <c r="AX88" s="152">
        <f t="shared" si="127"/>
        <v>0</v>
      </c>
      <c r="AY88" s="152">
        <f t="shared" si="127"/>
        <v>0</v>
      </c>
      <c r="AZ88" s="152">
        <f t="shared" si="127"/>
        <v>0</v>
      </c>
      <c r="BA88" s="152">
        <f t="shared" si="127"/>
        <v>0</v>
      </c>
      <c r="BB88" s="152">
        <f t="shared" si="127"/>
        <v>0</v>
      </c>
      <c r="BC88" s="152">
        <f t="shared" si="127"/>
        <v>0</v>
      </c>
      <c r="BD88" s="152">
        <f t="shared" si="127"/>
        <v>0</v>
      </c>
      <c r="BE88" s="152">
        <f t="shared" si="127"/>
        <v>0</v>
      </c>
      <c r="BF88" s="152">
        <f t="shared" si="127"/>
        <v>0</v>
      </c>
      <c r="BG88" s="152">
        <f t="shared" si="127"/>
        <v>0</v>
      </c>
      <c r="BH88" s="152">
        <f t="shared" si="127"/>
        <v>0</v>
      </c>
      <c r="BI88" s="152">
        <f t="shared" si="127"/>
        <v>0</v>
      </c>
      <c r="BJ88" s="152">
        <f t="shared" si="127"/>
        <v>0</v>
      </c>
      <c r="BK88" s="152">
        <f t="shared" si="127"/>
        <v>0</v>
      </c>
      <c r="BL88" s="152">
        <f t="shared" si="127"/>
        <v>0</v>
      </c>
      <c r="BM88" s="152">
        <f t="shared" si="127"/>
        <v>0</v>
      </c>
      <c r="BN88" s="152">
        <f t="shared" si="127"/>
        <v>0</v>
      </c>
      <c r="BO88" s="152">
        <f t="shared" si="127"/>
        <v>0</v>
      </c>
      <c r="BP88" s="152">
        <f t="shared" si="127"/>
        <v>0</v>
      </c>
      <c r="BQ88" s="152">
        <f t="shared" si="127"/>
        <v>0</v>
      </c>
      <c r="BR88" s="152">
        <f t="shared" si="127"/>
        <v>0</v>
      </c>
      <c r="BS88" s="152">
        <f t="shared" si="127"/>
        <v>0</v>
      </c>
      <c r="BT88" s="152">
        <f t="shared" si="127"/>
        <v>0</v>
      </c>
      <c r="BU88" s="152">
        <f t="shared" si="127"/>
        <v>0</v>
      </c>
      <c r="BV88" s="152">
        <f t="shared" si="127"/>
        <v>0</v>
      </c>
      <c r="BW88" s="152">
        <f t="shared" si="127"/>
        <v>0</v>
      </c>
      <c r="BX88" s="152">
        <f t="shared" si="127"/>
        <v>0</v>
      </c>
      <c r="BY88" s="152">
        <f t="shared" si="127"/>
        <v>0</v>
      </c>
      <c r="BZ88" s="152">
        <f t="shared" si="127"/>
        <v>0</v>
      </c>
      <c r="CA88" s="152">
        <f t="shared" si="127"/>
        <v>0</v>
      </c>
      <c r="CB88" s="152">
        <f t="shared" si="127"/>
        <v>0</v>
      </c>
      <c r="CC88" s="152">
        <f t="shared" si="127"/>
        <v>0</v>
      </c>
      <c r="CD88" s="152">
        <f t="shared" si="127"/>
        <v>0</v>
      </c>
      <c r="CE88" s="152">
        <f t="shared" si="127"/>
        <v>0</v>
      </c>
      <c r="CF88" s="152">
        <f t="shared" si="127"/>
        <v>0</v>
      </c>
      <c r="CG88" s="152">
        <f t="shared" si="127"/>
        <v>0</v>
      </c>
      <c r="CH88" s="152">
        <f t="shared" si="127"/>
        <v>0</v>
      </c>
      <c r="CI88" s="152">
        <f t="shared" si="127"/>
        <v>0</v>
      </c>
      <c r="CJ88" s="152">
        <f t="shared" si="127"/>
        <v>0</v>
      </c>
      <c r="CK88" s="152">
        <f t="shared" si="127"/>
        <v>0</v>
      </c>
      <c r="CL88" s="152">
        <f t="shared" si="127"/>
        <v>0</v>
      </c>
      <c r="CM88" s="152">
        <f t="shared" si="127"/>
        <v>0</v>
      </c>
      <c r="CN88" s="152">
        <f t="shared" si="127"/>
        <v>0</v>
      </c>
      <c r="CO88" s="152">
        <f t="shared" si="127"/>
        <v>0</v>
      </c>
      <c r="CP88" s="152"/>
      <c r="CQ88" s="205">
        <f t="shared" si="117"/>
        <v>0</v>
      </c>
      <c r="CR88" s="205">
        <f t="shared" si="118"/>
        <v>0</v>
      </c>
      <c r="CS88" s="205">
        <f t="shared" si="119"/>
        <v>0</v>
      </c>
      <c r="CT88" s="209">
        <f t="shared" ref="CT88:DA88" si="128">-CT78</f>
        <v>0</v>
      </c>
      <c r="CU88" s="152">
        <f t="shared" si="128"/>
        <v>0</v>
      </c>
      <c r="CV88" s="152">
        <f t="shared" si="128"/>
        <v>0</v>
      </c>
      <c r="CW88" s="212">
        <f t="shared" si="128"/>
        <v>0</v>
      </c>
      <c r="CX88" s="212">
        <f t="shared" si="128"/>
        <v>0</v>
      </c>
      <c r="CY88" s="212">
        <f t="shared" si="128"/>
        <v>0</v>
      </c>
      <c r="CZ88" s="205">
        <f t="shared" si="128"/>
        <v>0</v>
      </c>
      <c r="DA88" s="205">
        <f t="shared" si="128"/>
        <v>0</v>
      </c>
      <c r="DB88" s="193"/>
    </row>
    <row r="89" spans="1:106">
      <c r="A89" s="154">
        <f>MAX(A83:A88)+1</f>
        <v>27</v>
      </c>
      <c r="B89" s="161"/>
      <c r="D89" s="154" t="s">
        <v>13899</v>
      </c>
      <c r="E89" s="198">
        <f t="shared" si="106"/>
        <v>-291604.97</v>
      </c>
      <c r="F89" s="153">
        <f t="shared" si="107"/>
        <v>-291539.97</v>
      </c>
      <c r="G89" s="152">
        <f>-G79</f>
        <v>0</v>
      </c>
      <c r="H89" s="152">
        <f>-H79</f>
        <v>0</v>
      </c>
      <c r="I89" s="152">
        <f>-I79</f>
        <v>0</v>
      </c>
      <c r="J89" s="152">
        <f>-J79</f>
        <v>0</v>
      </c>
      <c r="K89" s="152">
        <f>-K79</f>
        <v>0</v>
      </c>
      <c r="L89" s="205">
        <f t="shared" si="108"/>
        <v>0</v>
      </c>
      <c r="M89" s="152">
        <f>-M79</f>
        <v>0</v>
      </c>
      <c r="N89" s="152">
        <f>-N79</f>
        <v>0</v>
      </c>
      <c r="O89" s="205">
        <f t="shared" si="109"/>
        <v>0</v>
      </c>
      <c r="P89" s="152">
        <f t="shared" ref="P89:U89" si="129">-P79</f>
        <v>0</v>
      </c>
      <c r="Q89" s="152">
        <f t="shared" si="129"/>
        <v>0</v>
      </c>
      <c r="R89" s="152">
        <f t="shared" si="129"/>
        <v>0</v>
      </c>
      <c r="S89" s="152">
        <f t="shared" si="129"/>
        <v>0</v>
      </c>
      <c r="T89" s="152">
        <f t="shared" si="129"/>
        <v>0</v>
      </c>
      <c r="U89" s="152">
        <f t="shared" si="129"/>
        <v>0</v>
      </c>
      <c r="V89" s="153">
        <f t="shared" si="111"/>
        <v>0</v>
      </c>
      <c r="W89" s="152">
        <f>-W79</f>
        <v>0</v>
      </c>
      <c r="X89" s="152">
        <f>-X79</f>
        <v>0</v>
      </c>
      <c r="Y89" s="205">
        <f t="shared" si="112"/>
        <v>0</v>
      </c>
      <c r="Z89" s="152">
        <f>-Z79</f>
        <v>0</v>
      </c>
      <c r="AA89" s="152">
        <f>-AA79</f>
        <v>0</v>
      </c>
      <c r="AB89" s="205">
        <f t="shared" si="113"/>
        <v>0</v>
      </c>
      <c r="AC89" s="152">
        <f t="shared" ref="AC89:AK89" si="130">-AC79</f>
        <v>0</v>
      </c>
      <c r="AD89" s="152">
        <f t="shared" si="130"/>
        <v>0</v>
      </c>
      <c r="AE89" s="152">
        <f t="shared" si="130"/>
        <v>0</v>
      </c>
      <c r="AF89" s="152">
        <f t="shared" si="130"/>
        <v>-2951.09</v>
      </c>
      <c r="AG89" s="152">
        <f t="shared" si="130"/>
        <v>-5354.51</v>
      </c>
      <c r="AH89" s="152">
        <f t="shared" si="130"/>
        <v>-46</v>
      </c>
      <c r="AI89" s="152">
        <f t="shared" si="130"/>
        <v>0</v>
      </c>
      <c r="AJ89" s="152">
        <f t="shared" si="130"/>
        <v>-7648</v>
      </c>
      <c r="AK89" s="152">
        <f t="shared" si="130"/>
        <v>0</v>
      </c>
      <c r="AL89" s="205">
        <f t="shared" si="115"/>
        <v>-15999.6</v>
      </c>
      <c r="AM89" s="152">
        <f t="shared" ref="AM89:CO89" si="131">-AM79</f>
        <v>0</v>
      </c>
      <c r="AN89" s="152">
        <f t="shared" si="131"/>
        <v>-5716.36</v>
      </c>
      <c r="AO89" s="152">
        <f t="shared" si="131"/>
        <v>-11827.54</v>
      </c>
      <c r="AP89" s="152">
        <f t="shared" si="131"/>
        <v>0</v>
      </c>
      <c r="AQ89" s="152">
        <f t="shared" si="131"/>
        <v>-11805.46</v>
      </c>
      <c r="AR89" s="152">
        <f t="shared" si="131"/>
        <v>0</v>
      </c>
      <c r="AS89" s="152">
        <f t="shared" si="131"/>
        <v>-474.84</v>
      </c>
      <c r="AT89" s="152">
        <f t="shared" si="131"/>
        <v>200</v>
      </c>
      <c r="AU89" s="152">
        <f t="shared" si="131"/>
        <v>0</v>
      </c>
      <c r="AV89" s="152">
        <f t="shared" si="131"/>
        <v>-83.6400000000001</v>
      </c>
      <c r="AW89" s="152">
        <f t="shared" si="131"/>
        <v>0</v>
      </c>
      <c r="AX89" s="152">
        <f t="shared" si="131"/>
        <v>0</v>
      </c>
      <c r="AY89" s="152">
        <f t="shared" si="131"/>
        <v>0</v>
      </c>
      <c r="AZ89" s="152">
        <f t="shared" si="131"/>
        <v>-2351</v>
      </c>
      <c r="BA89" s="152">
        <f t="shared" si="131"/>
        <v>0</v>
      </c>
      <c r="BB89" s="152">
        <f t="shared" si="131"/>
        <v>0</v>
      </c>
      <c r="BC89" s="152">
        <f t="shared" si="131"/>
        <v>-16239.53</v>
      </c>
      <c r="BD89" s="152">
        <f t="shared" si="131"/>
        <v>-995.11</v>
      </c>
      <c r="BE89" s="152">
        <f t="shared" si="131"/>
        <v>-44.42</v>
      </c>
      <c r="BF89" s="152">
        <f t="shared" si="131"/>
        <v>0</v>
      </c>
      <c r="BG89" s="152">
        <f t="shared" si="131"/>
        <v>-376.65</v>
      </c>
      <c r="BH89" s="152">
        <f t="shared" si="131"/>
        <v>0</v>
      </c>
      <c r="BI89" s="152">
        <f t="shared" si="131"/>
        <v>0</v>
      </c>
      <c r="BJ89" s="152">
        <f t="shared" si="131"/>
        <v>0</v>
      </c>
      <c r="BK89" s="152">
        <f t="shared" si="131"/>
        <v>-1027.13</v>
      </c>
      <c r="BL89" s="152">
        <f t="shared" si="131"/>
        <v>0</v>
      </c>
      <c r="BM89" s="152">
        <f t="shared" si="131"/>
        <v>0</v>
      </c>
      <c r="BN89" s="152">
        <f t="shared" si="131"/>
        <v>0</v>
      </c>
      <c r="BO89" s="152">
        <f t="shared" si="131"/>
        <v>0</v>
      </c>
      <c r="BP89" s="152">
        <f t="shared" si="131"/>
        <v>-674.8</v>
      </c>
      <c r="BQ89" s="152">
        <f t="shared" si="131"/>
        <v>-1955</v>
      </c>
      <c r="BR89" s="152">
        <f t="shared" si="131"/>
        <v>-11489.94</v>
      </c>
      <c r="BS89" s="152">
        <f t="shared" si="131"/>
        <v>-105</v>
      </c>
      <c r="BT89" s="152">
        <f t="shared" si="131"/>
        <v>0</v>
      </c>
      <c r="BU89" s="152">
        <f t="shared" si="131"/>
        <v>-426.55</v>
      </c>
      <c r="BV89" s="152">
        <f t="shared" si="131"/>
        <v>0</v>
      </c>
      <c r="BW89" s="152">
        <f t="shared" si="131"/>
        <v>-7054.09</v>
      </c>
      <c r="BX89" s="152">
        <f t="shared" si="131"/>
        <v>-14195.19</v>
      </c>
      <c r="BY89" s="152">
        <f t="shared" si="131"/>
        <v>0</v>
      </c>
      <c r="BZ89" s="152">
        <f t="shared" si="131"/>
        <v>-19209.28</v>
      </c>
      <c r="CA89" s="152">
        <f t="shared" si="131"/>
        <v>0</v>
      </c>
      <c r="CB89" s="152">
        <f t="shared" si="131"/>
        <v>-766.99</v>
      </c>
      <c r="CC89" s="152">
        <f t="shared" si="131"/>
        <v>0</v>
      </c>
      <c r="CD89" s="152">
        <f t="shared" si="131"/>
        <v>-8052.79</v>
      </c>
      <c r="CE89" s="152">
        <f t="shared" si="131"/>
        <v>-9697.2</v>
      </c>
      <c r="CF89" s="152">
        <f t="shared" si="131"/>
        <v>-11519.41</v>
      </c>
      <c r="CG89" s="152">
        <f t="shared" si="131"/>
        <v>-431.38</v>
      </c>
      <c r="CH89" s="152">
        <f t="shared" si="131"/>
        <v>-3981.69</v>
      </c>
      <c r="CI89" s="152">
        <f t="shared" si="131"/>
        <v>-6759.29</v>
      </c>
      <c r="CJ89" s="152">
        <f t="shared" si="131"/>
        <v>-23892.47</v>
      </c>
      <c r="CK89" s="152">
        <f t="shared" si="131"/>
        <v>-592.56</v>
      </c>
      <c r="CL89" s="152">
        <f t="shared" si="131"/>
        <v>-8315.92</v>
      </c>
      <c r="CM89" s="152">
        <f t="shared" si="131"/>
        <v>-11394.1</v>
      </c>
      <c r="CN89" s="152">
        <f t="shared" si="131"/>
        <v>-69050.42</v>
      </c>
      <c r="CO89" s="152">
        <f t="shared" si="131"/>
        <v>-15234.62</v>
      </c>
      <c r="CP89" s="152"/>
      <c r="CQ89" s="205">
        <f t="shared" si="117"/>
        <v>-275540.37</v>
      </c>
      <c r="CR89" s="205">
        <f t="shared" si="118"/>
        <v>-291539.97</v>
      </c>
      <c r="CS89" s="205">
        <f t="shared" si="119"/>
        <v>-65</v>
      </c>
      <c r="CT89" s="209">
        <f t="shared" ref="CT89:DA89" si="132">-CT79</f>
        <v>0</v>
      </c>
      <c r="CU89" s="152">
        <f t="shared" si="132"/>
        <v>0</v>
      </c>
      <c r="CV89" s="152">
        <f t="shared" si="132"/>
        <v>0</v>
      </c>
      <c r="CW89" s="212">
        <f t="shared" si="132"/>
        <v>-65</v>
      </c>
      <c r="CX89" s="212">
        <f t="shared" si="132"/>
        <v>0</v>
      </c>
      <c r="CY89" s="212">
        <f t="shared" si="132"/>
        <v>-65</v>
      </c>
      <c r="CZ89" s="205">
        <f t="shared" si="132"/>
        <v>0</v>
      </c>
      <c r="DA89" s="205">
        <f t="shared" si="132"/>
        <v>0</v>
      </c>
      <c r="DB89" s="193"/>
    </row>
    <row r="90" spans="1:106">
      <c r="A90" s="154">
        <f>MAX(A84:A89)+1</f>
        <v>28</v>
      </c>
      <c r="B90" s="194"/>
      <c r="C90" s="195"/>
      <c r="D90" s="148" t="s">
        <v>13931</v>
      </c>
      <c r="E90" s="199">
        <f t="shared" si="106"/>
        <v>0</v>
      </c>
      <c r="F90" s="200">
        <f t="shared" si="107"/>
        <v>0</v>
      </c>
      <c r="G90" s="201">
        <f>-G22-G67-G42</f>
        <v>0</v>
      </c>
      <c r="H90" s="201">
        <f>-H22-H67-H42</f>
        <v>0</v>
      </c>
      <c r="I90" s="201">
        <f>-I22-I67-I42</f>
        <v>0</v>
      </c>
      <c r="J90" s="201">
        <f>-J22-J67-J42</f>
        <v>0</v>
      </c>
      <c r="K90" s="201">
        <f>-K22-K67-K42</f>
        <v>0</v>
      </c>
      <c r="L90" s="206">
        <f t="shared" si="108"/>
        <v>0</v>
      </c>
      <c r="M90" s="201">
        <f>-M22-M67-M42</f>
        <v>0</v>
      </c>
      <c r="N90" s="201">
        <f>-N22-N67-N42</f>
        <v>0</v>
      </c>
      <c r="O90" s="206">
        <f t="shared" si="109"/>
        <v>0</v>
      </c>
      <c r="P90" s="201">
        <f t="shared" ref="P90:U90" si="133">-P22-P67-P42</f>
        <v>0</v>
      </c>
      <c r="Q90" s="201">
        <f t="shared" si="133"/>
        <v>0</v>
      </c>
      <c r="R90" s="201">
        <f t="shared" si="133"/>
        <v>0</v>
      </c>
      <c r="S90" s="201">
        <f t="shared" si="133"/>
        <v>0</v>
      </c>
      <c r="T90" s="201">
        <f t="shared" si="133"/>
        <v>0</v>
      </c>
      <c r="U90" s="201">
        <f t="shared" si="133"/>
        <v>0</v>
      </c>
      <c r="V90" s="200">
        <f t="shared" si="111"/>
        <v>0</v>
      </c>
      <c r="W90" s="201">
        <f>-W22-W67-W42</f>
        <v>0</v>
      </c>
      <c r="X90" s="201">
        <f>-X22-X67-X42</f>
        <v>0</v>
      </c>
      <c r="Y90" s="206">
        <f t="shared" si="112"/>
        <v>0</v>
      </c>
      <c r="Z90" s="201">
        <f>-Z22-Z67-Z42</f>
        <v>0</v>
      </c>
      <c r="AA90" s="201">
        <f>-AA22-AA67-AA42</f>
        <v>0</v>
      </c>
      <c r="AB90" s="206">
        <f t="shared" si="113"/>
        <v>0</v>
      </c>
      <c r="AC90" s="201">
        <f t="shared" ref="AC90:AK90" si="134">-AC22-AC67-AC42</f>
        <v>0</v>
      </c>
      <c r="AD90" s="201">
        <f t="shared" si="134"/>
        <v>0</v>
      </c>
      <c r="AE90" s="201">
        <f t="shared" si="134"/>
        <v>0</v>
      </c>
      <c r="AF90" s="201">
        <f t="shared" si="134"/>
        <v>0</v>
      </c>
      <c r="AG90" s="201">
        <f t="shared" si="134"/>
        <v>0</v>
      </c>
      <c r="AH90" s="201">
        <f t="shared" si="134"/>
        <v>0</v>
      </c>
      <c r="AI90" s="201">
        <f t="shared" si="134"/>
        <v>0</v>
      </c>
      <c r="AJ90" s="201">
        <f t="shared" si="134"/>
        <v>0</v>
      </c>
      <c r="AK90" s="201">
        <f t="shared" si="134"/>
        <v>0</v>
      </c>
      <c r="AL90" s="206">
        <f t="shared" si="115"/>
        <v>0</v>
      </c>
      <c r="AM90" s="201">
        <f t="shared" ref="AM90:CO90" si="135">-AM22-AM67-AM42</f>
        <v>0</v>
      </c>
      <c r="AN90" s="201">
        <f t="shared" si="135"/>
        <v>0</v>
      </c>
      <c r="AO90" s="201">
        <f t="shared" si="135"/>
        <v>0</v>
      </c>
      <c r="AP90" s="201">
        <f t="shared" si="135"/>
        <v>0</v>
      </c>
      <c r="AQ90" s="201">
        <f t="shared" si="135"/>
        <v>0</v>
      </c>
      <c r="AR90" s="201">
        <f t="shared" si="135"/>
        <v>0</v>
      </c>
      <c r="AS90" s="201">
        <f t="shared" si="135"/>
        <v>0</v>
      </c>
      <c r="AT90" s="201">
        <f t="shared" si="135"/>
        <v>0</v>
      </c>
      <c r="AU90" s="201">
        <f t="shared" si="135"/>
        <v>0</v>
      </c>
      <c r="AV90" s="201">
        <f t="shared" si="135"/>
        <v>0</v>
      </c>
      <c r="AW90" s="201">
        <f t="shared" si="135"/>
        <v>0</v>
      </c>
      <c r="AX90" s="201">
        <f t="shared" si="135"/>
        <v>0</v>
      </c>
      <c r="AY90" s="201">
        <f t="shared" si="135"/>
        <v>0</v>
      </c>
      <c r="AZ90" s="201">
        <f t="shared" si="135"/>
        <v>0</v>
      </c>
      <c r="BA90" s="201">
        <f t="shared" si="135"/>
        <v>0</v>
      </c>
      <c r="BB90" s="201">
        <f t="shared" si="135"/>
        <v>0</v>
      </c>
      <c r="BC90" s="201">
        <f t="shared" si="135"/>
        <v>0</v>
      </c>
      <c r="BD90" s="201">
        <f t="shared" si="135"/>
        <v>0</v>
      </c>
      <c r="BE90" s="201">
        <f t="shared" si="135"/>
        <v>0</v>
      </c>
      <c r="BF90" s="201">
        <f t="shared" si="135"/>
        <v>0</v>
      </c>
      <c r="BG90" s="201">
        <f t="shared" si="135"/>
        <v>0</v>
      </c>
      <c r="BH90" s="201">
        <f t="shared" si="135"/>
        <v>0</v>
      </c>
      <c r="BI90" s="201">
        <f t="shared" si="135"/>
        <v>0</v>
      </c>
      <c r="BJ90" s="201">
        <f t="shared" si="135"/>
        <v>0</v>
      </c>
      <c r="BK90" s="201">
        <f t="shared" si="135"/>
        <v>0</v>
      </c>
      <c r="BL90" s="201">
        <f t="shared" si="135"/>
        <v>0</v>
      </c>
      <c r="BM90" s="201">
        <f t="shared" si="135"/>
        <v>0</v>
      </c>
      <c r="BN90" s="201">
        <f t="shared" si="135"/>
        <v>0</v>
      </c>
      <c r="BO90" s="201">
        <f t="shared" si="135"/>
        <v>0</v>
      </c>
      <c r="BP90" s="201">
        <f t="shared" si="135"/>
        <v>0</v>
      </c>
      <c r="BQ90" s="201">
        <f t="shared" si="135"/>
        <v>0</v>
      </c>
      <c r="BR90" s="201">
        <f t="shared" si="135"/>
        <v>0</v>
      </c>
      <c r="BS90" s="201">
        <f t="shared" si="135"/>
        <v>0</v>
      </c>
      <c r="BT90" s="201">
        <f t="shared" si="135"/>
        <v>0</v>
      </c>
      <c r="BU90" s="201">
        <f t="shared" si="135"/>
        <v>0</v>
      </c>
      <c r="BV90" s="201">
        <f t="shared" si="135"/>
        <v>0</v>
      </c>
      <c r="BW90" s="201">
        <f t="shared" si="135"/>
        <v>0</v>
      </c>
      <c r="BX90" s="201">
        <f t="shared" si="135"/>
        <v>0</v>
      </c>
      <c r="BY90" s="201">
        <f t="shared" si="135"/>
        <v>0</v>
      </c>
      <c r="BZ90" s="201">
        <f t="shared" si="135"/>
        <v>0</v>
      </c>
      <c r="CA90" s="201">
        <f t="shared" si="135"/>
        <v>0</v>
      </c>
      <c r="CB90" s="201">
        <f t="shared" si="135"/>
        <v>0</v>
      </c>
      <c r="CC90" s="201">
        <f t="shared" si="135"/>
        <v>0</v>
      </c>
      <c r="CD90" s="201">
        <f t="shared" si="135"/>
        <v>0</v>
      </c>
      <c r="CE90" s="201">
        <f t="shared" si="135"/>
        <v>0</v>
      </c>
      <c r="CF90" s="201">
        <f t="shared" si="135"/>
        <v>0</v>
      </c>
      <c r="CG90" s="201">
        <f t="shared" si="135"/>
        <v>0</v>
      </c>
      <c r="CH90" s="201">
        <f t="shared" si="135"/>
        <v>0</v>
      </c>
      <c r="CI90" s="201">
        <f t="shared" si="135"/>
        <v>0</v>
      </c>
      <c r="CJ90" s="201">
        <f t="shared" si="135"/>
        <v>0</v>
      </c>
      <c r="CK90" s="201">
        <f t="shared" si="135"/>
        <v>0</v>
      </c>
      <c r="CL90" s="201">
        <f t="shared" si="135"/>
        <v>0</v>
      </c>
      <c r="CM90" s="201">
        <f t="shared" si="135"/>
        <v>0</v>
      </c>
      <c r="CN90" s="201">
        <f t="shared" si="135"/>
        <v>0</v>
      </c>
      <c r="CO90" s="201">
        <f t="shared" si="135"/>
        <v>0</v>
      </c>
      <c r="CP90" s="201"/>
      <c r="CQ90" s="206">
        <f t="shared" si="117"/>
        <v>0</v>
      </c>
      <c r="CR90" s="206">
        <f t="shared" si="118"/>
        <v>0</v>
      </c>
      <c r="CS90" s="206">
        <f t="shared" si="119"/>
        <v>0</v>
      </c>
      <c r="CT90" s="201">
        <f t="shared" ref="CT90:DA90" si="136">-CT22-CT67-CT42</f>
        <v>0</v>
      </c>
      <c r="CU90" s="201">
        <f t="shared" si="136"/>
        <v>0</v>
      </c>
      <c r="CV90" s="201">
        <f t="shared" si="136"/>
        <v>0</v>
      </c>
      <c r="CW90" s="201">
        <f t="shared" si="136"/>
        <v>0</v>
      </c>
      <c r="CX90" s="201">
        <f t="shared" si="136"/>
        <v>0</v>
      </c>
      <c r="CY90" s="201">
        <f t="shared" si="136"/>
        <v>0</v>
      </c>
      <c r="CZ90" s="201">
        <f t="shared" si="136"/>
        <v>0</v>
      </c>
      <c r="DA90" s="201">
        <f t="shared" si="136"/>
        <v>0</v>
      </c>
      <c r="DB90" s="193"/>
    </row>
    <row r="91" spans="1:106">
      <c r="A91" s="154">
        <f>MAX(A85:A90)+1</f>
        <v>29</v>
      </c>
      <c r="B91" s="161"/>
      <c r="D91" s="154" t="s">
        <v>13932</v>
      </c>
      <c r="E91" s="198">
        <f t="shared" si="106"/>
        <v>-291604.97</v>
      </c>
      <c r="F91" s="153">
        <f t="shared" si="107"/>
        <v>-291539.97</v>
      </c>
      <c r="G91" s="152">
        <f>SUM(G86:G90)</f>
        <v>0</v>
      </c>
      <c r="H91" s="152">
        <f>SUM(H86:H90)</f>
        <v>0</v>
      </c>
      <c r="I91" s="152">
        <f>SUM(I86:I90)</f>
        <v>0</v>
      </c>
      <c r="J91" s="152">
        <f>SUM(J86:J90)</f>
        <v>0</v>
      </c>
      <c r="K91" s="152">
        <f>SUM(K86:K90)</f>
        <v>0</v>
      </c>
      <c r="L91" s="205">
        <f t="shared" si="108"/>
        <v>0</v>
      </c>
      <c r="M91" s="152">
        <f>SUM(M86:M90)</f>
        <v>0</v>
      </c>
      <c r="N91" s="152">
        <f>SUM(N86:N90)</f>
        <v>0</v>
      </c>
      <c r="O91" s="205">
        <f t="shared" si="109"/>
        <v>0</v>
      </c>
      <c r="P91" s="152">
        <f t="shared" ref="P91:U91" si="137">SUM(P86:P90)</f>
        <v>0</v>
      </c>
      <c r="Q91" s="152">
        <f t="shared" si="137"/>
        <v>0</v>
      </c>
      <c r="R91" s="152">
        <f t="shared" si="137"/>
        <v>0</v>
      </c>
      <c r="S91" s="152">
        <f t="shared" si="137"/>
        <v>0</v>
      </c>
      <c r="T91" s="152">
        <f t="shared" si="137"/>
        <v>0</v>
      </c>
      <c r="U91" s="152">
        <f t="shared" si="137"/>
        <v>0</v>
      </c>
      <c r="V91" s="153">
        <f t="shared" si="111"/>
        <v>0</v>
      </c>
      <c r="W91" s="152">
        <f>SUM(W86:W90)</f>
        <v>0</v>
      </c>
      <c r="X91" s="152">
        <f>SUM(X86:X90)</f>
        <v>0</v>
      </c>
      <c r="Y91" s="205">
        <f t="shared" si="112"/>
        <v>0</v>
      </c>
      <c r="Z91" s="152">
        <f>SUM(Z86:Z90)</f>
        <v>0</v>
      </c>
      <c r="AA91" s="152">
        <f>SUM(AA86:AA90)</f>
        <v>0</v>
      </c>
      <c r="AB91" s="205">
        <f t="shared" si="113"/>
        <v>0</v>
      </c>
      <c r="AC91" s="152">
        <f t="shared" ref="AC91:AK91" si="138">SUM(AC86:AC90)</f>
        <v>0</v>
      </c>
      <c r="AD91" s="152">
        <f t="shared" si="138"/>
        <v>0</v>
      </c>
      <c r="AE91" s="152">
        <f t="shared" si="138"/>
        <v>0</v>
      </c>
      <c r="AF91" s="152">
        <f t="shared" si="138"/>
        <v>-2951.09</v>
      </c>
      <c r="AG91" s="152">
        <f t="shared" si="138"/>
        <v>-5354.51</v>
      </c>
      <c r="AH91" s="152">
        <f t="shared" si="138"/>
        <v>-46</v>
      </c>
      <c r="AI91" s="152">
        <f t="shared" si="138"/>
        <v>0</v>
      </c>
      <c r="AJ91" s="152">
        <f t="shared" si="138"/>
        <v>-7648</v>
      </c>
      <c r="AK91" s="152">
        <f t="shared" si="138"/>
        <v>0</v>
      </c>
      <c r="AL91" s="205">
        <f t="shared" si="115"/>
        <v>-15999.6</v>
      </c>
      <c r="AM91" s="152">
        <f t="shared" ref="AM91:CO91" si="139">SUM(AM86:AM90)</f>
        <v>0</v>
      </c>
      <c r="AN91" s="152">
        <f t="shared" si="139"/>
        <v>-5716.36</v>
      </c>
      <c r="AO91" s="152">
        <f t="shared" si="139"/>
        <v>-11827.54</v>
      </c>
      <c r="AP91" s="152">
        <f t="shared" si="139"/>
        <v>0</v>
      </c>
      <c r="AQ91" s="152">
        <f t="shared" si="139"/>
        <v>-11805.46</v>
      </c>
      <c r="AR91" s="152">
        <f t="shared" si="139"/>
        <v>0</v>
      </c>
      <c r="AS91" s="152">
        <f t="shared" si="139"/>
        <v>-474.84</v>
      </c>
      <c r="AT91" s="152">
        <f t="shared" si="139"/>
        <v>200</v>
      </c>
      <c r="AU91" s="152">
        <f t="shared" si="139"/>
        <v>0</v>
      </c>
      <c r="AV91" s="152">
        <f t="shared" si="139"/>
        <v>-83.6400000000001</v>
      </c>
      <c r="AW91" s="152">
        <f t="shared" si="139"/>
        <v>0</v>
      </c>
      <c r="AX91" s="152">
        <f t="shared" si="139"/>
        <v>0</v>
      </c>
      <c r="AY91" s="152">
        <f t="shared" si="139"/>
        <v>0</v>
      </c>
      <c r="AZ91" s="152">
        <f t="shared" si="139"/>
        <v>-2351</v>
      </c>
      <c r="BA91" s="152">
        <f t="shared" si="139"/>
        <v>0</v>
      </c>
      <c r="BB91" s="152">
        <f t="shared" si="139"/>
        <v>0</v>
      </c>
      <c r="BC91" s="152">
        <f t="shared" si="139"/>
        <v>-16239.53</v>
      </c>
      <c r="BD91" s="152">
        <f t="shared" si="139"/>
        <v>-995.11</v>
      </c>
      <c r="BE91" s="152">
        <f t="shared" si="139"/>
        <v>-44.42</v>
      </c>
      <c r="BF91" s="152">
        <f t="shared" si="139"/>
        <v>0</v>
      </c>
      <c r="BG91" s="152">
        <f t="shared" si="139"/>
        <v>-376.65</v>
      </c>
      <c r="BH91" s="152">
        <f t="shared" si="139"/>
        <v>0</v>
      </c>
      <c r="BI91" s="152">
        <f t="shared" si="139"/>
        <v>0</v>
      </c>
      <c r="BJ91" s="152">
        <f t="shared" si="139"/>
        <v>0</v>
      </c>
      <c r="BK91" s="152">
        <f t="shared" si="139"/>
        <v>-1027.13</v>
      </c>
      <c r="BL91" s="152">
        <f t="shared" si="139"/>
        <v>0</v>
      </c>
      <c r="BM91" s="152">
        <f t="shared" si="139"/>
        <v>0</v>
      </c>
      <c r="BN91" s="152">
        <f t="shared" si="139"/>
        <v>0</v>
      </c>
      <c r="BO91" s="152">
        <f t="shared" si="139"/>
        <v>0</v>
      </c>
      <c r="BP91" s="152">
        <f t="shared" si="139"/>
        <v>-674.8</v>
      </c>
      <c r="BQ91" s="152">
        <f t="shared" si="139"/>
        <v>-1955</v>
      </c>
      <c r="BR91" s="152">
        <f t="shared" si="139"/>
        <v>-11489.94</v>
      </c>
      <c r="BS91" s="152">
        <f t="shared" si="139"/>
        <v>-105</v>
      </c>
      <c r="BT91" s="152">
        <f t="shared" si="139"/>
        <v>0</v>
      </c>
      <c r="BU91" s="152">
        <f t="shared" si="139"/>
        <v>-426.55</v>
      </c>
      <c r="BV91" s="152">
        <f t="shared" si="139"/>
        <v>0</v>
      </c>
      <c r="BW91" s="152">
        <f t="shared" si="139"/>
        <v>-7054.09</v>
      </c>
      <c r="BX91" s="152">
        <f t="shared" si="139"/>
        <v>-14195.19</v>
      </c>
      <c r="BY91" s="152">
        <f t="shared" si="139"/>
        <v>0</v>
      </c>
      <c r="BZ91" s="152">
        <f t="shared" si="139"/>
        <v>-19209.28</v>
      </c>
      <c r="CA91" s="152">
        <f t="shared" si="139"/>
        <v>0</v>
      </c>
      <c r="CB91" s="152">
        <f t="shared" si="139"/>
        <v>-766.99</v>
      </c>
      <c r="CC91" s="152">
        <f t="shared" si="139"/>
        <v>0</v>
      </c>
      <c r="CD91" s="152">
        <f t="shared" si="139"/>
        <v>-8052.79</v>
      </c>
      <c r="CE91" s="152">
        <f t="shared" si="139"/>
        <v>-9697.2</v>
      </c>
      <c r="CF91" s="152">
        <f t="shared" si="139"/>
        <v>-11519.41</v>
      </c>
      <c r="CG91" s="152">
        <f t="shared" si="139"/>
        <v>-431.38</v>
      </c>
      <c r="CH91" s="152">
        <f t="shared" si="139"/>
        <v>-3981.69</v>
      </c>
      <c r="CI91" s="152">
        <f t="shared" si="139"/>
        <v>-6759.29</v>
      </c>
      <c r="CJ91" s="152">
        <f t="shared" si="139"/>
        <v>-23892.47</v>
      </c>
      <c r="CK91" s="152">
        <f t="shared" si="139"/>
        <v>-592.56</v>
      </c>
      <c r="CL91" s="152">
        <f t="shared" si="139"/>
        <v>-8315.92</v>
      </c>
      <c r="CM91" s="152">
        <f t="shared" si="139"/>
        <v>-11394.1</v>
      </c>
      <c r="CN91" s="152">
        <f t="shared" si="139"/>
        <v>-69050.42</v>
      </c>
      <c r="CO91" s="152">
        <f t="shared" si="139"/>
        <v>-15234.62</v>
      </c>
      <c r="CP91" s="152"/>
      <c r="CQ91" s="205">
        <f t="shared" si="117"/>
        <v>-275540.37</v>
      </c>
      <c r="CR91" s="205">
        <f t="shared" si="118"/>
        <v>-291539.97</v>
      </c>
      <c r="CS91" s="205">
        <f t="shared" si="119"/>
        <v>-65</v>
      </c>
      <c r="CT91" s="209">
        <f t="shared" ref="CT91:DA91" si="140">SUM(CT86:CT90)</f>
        <v>0</v>
      </c>
      <c r="CU91" s="152">
        <f t="shared" si="140"/>
        <v>0</v>
      </c>
      <c r="CV91" s="152">
        <f t="shared" si="140"/>
        <v>0</v>
      </c>
      <c r="CW91" s="212">
        <f t="shared" si="140"/>
        <v>-65</v>
      </c>
      <c r="CX91" s="212">
        <f t="shared" si="140"/>
        <v>0</v>
      </c>
      <c r="CY91" s="212">
        <f t="shared" si="140"/>
        <v>-65</v>
      </c>
      <c r="CZ91" s="205">
        <f t="shared" si="140"/>
        <v>0</v>
      </c>
      <c r="DA91" s="205">
        <f t="shared" si="140"/>
        <v>0</v>
      </c>
      <c r="DB91" s="193"/>
    </row>
    <row r="92" spans="1:106">
      <c r="A92" s="154">
        <f>MAX(A86:A91)+1</f>
        <v>30</v>
      </c>
      <c r="B92" s="161"/>
      <c r="D92" s="154" t="s">
        <v>13933</v>
      </c>
      <c r="E92" s="198">
        <f t="shared" si="106"/>
        <v>0</v>
      </c>
      <c r="F92" s="153">
        <f t="shared" si="107"/>
        <v>0</v>
      </c>
      <c r="G92" s="152">
        <f>-G75</f>
        <v>0</v>
      </c>
      <c r="H92" s="152">
        <f>-H75</f>
        <v>0</v>
      </c>
      <c r="I92" s="152">
        <f>-I75</f>
        <v>0</v>
      </c>
      <c r="J92" s="152">
        <f>-J75</f>
        <v>0</v>
      </c>
      <c r="K92" s="152">
        <f>-K75</f>
        <v>0</v>
      </c>
      <c r="L92" s="205">
        <f t="shared" si="108"/>
        <v>0</v>
      </c>
      <c r="M92" s="152">
        <f>-M75</f>
        <v>0</v>
      </c>
      <c r="N92" s="152">
        <f>-N75</f>
        <v>0</v>
      </c>
      <c r="O92" s="205">
        <f t="shared" si="109"/>
        <v>0</v>
      </c>
      <c r="P92" s="152">
        <f t="shared" ref="P92:U92" si="141">-P75</f>
        <v>0</v>
      </c>
      <c r="Q92" s="152">
        <f t="shared" si="141"/>
        <v>0</v>
      </c>
      <c r="R92" s="152">
        <f t="shared" si="141"/>
        <v>0</v>
      </c>
      <c r="S92" s="152">
        <f t="shared" si="141"/>
        <v>0</v>
      </c>
      <c r="T92" s="152">
        <f t="shared" si="141"/>
        <v>0</v>
      </c>
      <c r="U92" s="152">
        <f t="shared" si="141"/>
        <v>0</v>
      </c>
      <c r="V92" s="153">
        <f t="shared" si="111"/>
        <v>0</v>
      </c>
      <c r="W92" s="152">
        <f>-W75</f>
        <v>0</v>
      </c>
      <c r="X92" s="152">
        <f>-X75</f>
        <v>0</v>
      </c>
      <c r="Y92" s="205">
        <f t="shared" si="112"/>
        <v>0</v>
      </c>
      <c r="Z92" s="152">
        <f>-Z75</f>
        <v>0</v>
      </c>
      <c r="AA92" s="152">
        <f>-AA75</f>
        <v>0</v>
      </c>
      <c r="AB92" s="205">
        <f t="shared" si="113"/>
        <v>0</v>
      </c>
      <c r="AC92" s="152">
        <f t="shared" ref="AC92:AK92" si="142">-AC75</f>
        <v>0</v>
      </c>
      <c r="AD92" s="152">
        <f t="shared" si="142"/>
        <v>0</v>
      </c>
      <c r="AE92" s="152">
        <f t="shared" si="142"/>
        <v>0</v>
      </c>
      <c r="AF92" s="152">
        <f t="shared" si="142"/>
        <v>0</v>
      </c>
      <c r="AG92" s="152">
        <f t="shared" si="142"/>
        <v>0</v>
      </c>
      <c r="AH92" s="152">
        <f t="shared" si="142"/>
        <v>0</v>
      </c>
      <c r="AI92" s="152">
        <f t="shared" si="142"/>
        <v>0</v>
      </c>
      <c r="AJ92" s="152">
        <f t="shared" si="142"/>
        <v>0</v>
      </c>
      <c r="AK92" s="152">
        <f t="shared" si="142"/>
        <v>0</v>
      </c>
      <c r="AL92" s="205">
        <f t="shared" si="115"/>
        <v>0</v>
      </c>
      <c r="AM92" s="152">
        <f t="shared" ref="AM92:CO92" si="143">-AM75</f>
        <v>0</v>
      </c>
      <c r="AN92" s="152">
        <f t="shared" si="143"/>
        <v>0</v>
      </c>
      <c r="AO92" s="152">
        <f t="shared" si="143"/>
        <v>0</v>
      </c>
      <c r="AP92" s="152">
        <f t="shared" si="143"/>
        <v>0</v>
      </c>
      <c r="AQ92" s="152">
        <f t="shared" si="143"/>
        <v>0</v>
      </c>
      <c r="AR92" s="152">
        <f t="shared" si="143"/>
        <v>0</v>
      </c>
      <c r="AS92" s="152">
        <f t="shared" si="143"/>
        <v>0</v>
      </c>
      <c r="AT92" s="152">
        <f t="shared" si="143"/>
        <v>0</v>
      </c>
      <c r="AU92" s="152">
        <f t="shared" si="143"/>
        <v>0</v>
      </c>
      <c r="AV92" s="152">
        <f t="shared" si="143"/>
        <v>0</v>
      </c>
      <c r="AW92" s="152">
        <f t="shared" si="143"/>
        <v>0</v>
      </c>
      <c r="AX92" s="152">
        <f t="shared" si="143"/>
        <v>0</v>
      </c>
      <c r="AY92" s="152">
        <f t="shared" si="143"/>
        <v>0</v>
      </c>
      <c r="AZ92" s="152">
        <f t="shared" si="143"/>
        <v>0</v>
      </c>
      <c r="BA92" s="152">
        <f t="shared" si="143"/>
        <v>0</v>
      </c>
      <c r="BB92" s="152">
        <f t="shared" si="143"/>
        <v>0</v>
      </c>
      <c r="BC92" s="152">
        <f t="shared" si="143"/>
        <v>0</v>
      </c>
      <c r="BD92" s="152">
        <f t="shared" si="143"/>
        <v>0</v>
      </c>
      <c r="BE92" s="152">
        <f t="shared" si="143"/>
        <v>0</v>
      </c>
      <c r="BF92" s="152">
        <f t="shared" si="143"/>
        <v>0</v>
      </c>
      <c r="BG92" s="152">
        <f t="shared" si="143"/>
        <v>0</v>
      </c>
      <c r="BH92" s="152">
        <f t="shared" si="143"/>
        <v>0</v>
      </c>
      <c r="BI92" s="152">
        <f t="shared" si="143"/>
        <v>0</v>
      </c>
      <c r="BJ92" s="152">
        <f t="shared" si="143"/>
        <v>0</v>
      </c>
      <c r="BK92" s="152">
        <f t="shared" si="143"/>
        <v>0</v>
      </c>
      <c r="BL92" s="152">
        <f t="shared" si="143"/>
        <v>0</v>
      </c>
      <c r="BM92" s="152">
        <f t="shared" si="143"/>
        <v>0</v>
      </c>
      <c r="BN92" s="152">
        <f t="shared" si="143"/>
        <v>0</v>
      </c>
      <c r="BO92" s="152">
        <f t="shared" si="143"/>
        <v>0</v>
      </c>
      <c r="BP92" s="152">
        <f t="shared" si="143"/>
        <v>0</v>
      </c>
      <c r="BQ92" s="152">
        <f t="shared" si="143"/>
        <v>0</v>
      </c>
      <c r="BR92" s="152">
        <f t="shared" si="143"/>
        <v>0</v>
      </c>
      <c r="BS92" s="152">
        <f t="shared" si="143"/>
        <v>0</v>
      </c>
      <c r="BT92" s="152">
        <f t="shared" si="143"/>
        <v>0</v>
      </c>
      <c r="BU92" s="152">
        <f t="shared" si="143"/>
        <v>0</v>
      </c>
      <c r="BV92" s="152">
        <f t="shared" si="143"/>
        <v>0</v>
      </c>
      <c r="BW92" s="152">
        <f t="shared" si="143"/>
        <v>0</v>
      </c>
      <c r="BX92" s="152">
        <f t="shared" si="143"/>
        <v>0</v>
      </c>
      <c r="BY92" s="152">
        <f t="shared" si="143"/>
        <v>0</v>
      </c>
      <c r="BZ92" s="152">
        <f t="shared" si="143"/>
        <v>0</v>
      </c>
      <c r="CA92" s="152">
        <f t="shared" si="143"/>
        <v>0</v>
      </c>
      <c r="CB92" s="152">
        <f t="shared" si="143"/>
        <v>0</v>
      </c>
      <c r="CC92" s="152">
        <f t="shared" si="143"/>
        <v>0</v>
      </c>
      <c r="CD92" s="152">
        <f t="shared" si="143"/>
        <v>0</v>
      </c>
      <c r="CE92" s="152">
        <f t="shared" si="143"/>
        <v>0</v>
      </c>
      <c r="CF92" s="152">
        <f t="shared" si="143"/>
        <v>0</v>
      </c>
      <c r="CG92" s="152">
        <f t="shared" si="143"/>
        <v>0</v>
      </c>
      <c r="CH92" s="152">
        <f t="shared" si="143"/>
        <v>0</v>
      </c>
      <c r="CI92" s="152">
        <f t="shared" si="143"/>
        <v>0</v>
      </c>
      <c r="CJ92" s="152">
        <f t="shared" si="143"/>
        <v>0</v>
      </c>
      <c r="CK92" s="152">
        <f t="shared" si="143"/>
        <v>0</v>
      </c>
      <c r="CL92" s="152">
        <f t="shared" si="143"/>
        <v>0</v>
      </c>
      <c r="CM92" s="152">
        <f t="shared" si="143"/>
        <v>0</v>
      </c>
      <c r="CN92" s="152">
        <f t="shared" si="143"/>
        <v>0</v>
      </c>
      <c r="CO92" s="152">
        <f t="shared" si="143"/>
        <v>0</v>
      </c>
      <c r="CP92" s="152"/>
      <c r="CQ92" s="205">
        <f t="shared" si="117"/>
        <v>0</v>
      </c>
      <c r="CR92" s="205">
        <f t="shared" si="118"/>
        <v>0</v>
      </c>
      <c r="CS92" s="205">
        <f t="shared" si="119"/>
        <v>0</v>
      </c>
      <c r="CT92" s="209">
        <f t="shared" ref="CT92:DA92" si="144">-CT75</f>
        <v>0</v>
      </c>
      <c r="CU92" s="152">
        <f t="shared" si="144"/>
        <v>0</v>
      </c>
      <c r="CV92" s="152">
        <f t="shared" si="144"/>
        <v>0</v>
      </c>
      <c r="CW92" s="212">
        <f t="shared" si="144"/>
        <v>0</v>
      </c>
      <c r="CX92" s="212">
        <f t="shared" si="144"/>
        <v>0</v>
      </c>
      <c r="CY92" s="212">
        <f t="shared" si="144"/>
        <v>0</v>
      </c>
      <c r="CZ92" s="205">
        <f t="shared" si="144"/>
        <v>0</v>
      </c>
      <c r="DA92" s="205">
        <f t="shared" si="144"/>
        <v>0</v>
      </c>
      <c r="DB92" s="193"/>
    </row>
    <row r="93" spans="2:106" s="148" customFormat="true">
      <c r="B93" s="194"/>
      <c r="D93" s="148" t="s">
        <v>13934</v>
      </c>
      <c r="E93" s="199">
        <f t="shared" si="106"/>
        <v>0</v>
      </c>
      <c r="F93" s="200">
        <f t="shared" si="107"/>
        <v>0</v>
      </c>
      <c r="G93" s="201"/>
      <c r="H93" s="201"/>
      <c r="I93" s="201"/>
      <c r="J93" s="201"/>
      <c r="K93" s="201"/>
      <c r="L93" s="206">
        <f t="shared" si="108"/>
        <v>0</v>
      </c>
      <c r="M93" s="201"/>
      <c r="N93" s="201"/>
      <c r="O93" s="206">
        <f t="shared" si="109"/>
        <v>0</v>
      </c>
      <c r="P93" s="201"/>
      <c r="Q93" s="201"/>
      <c r="R93" s="201"/>
      <c r="S93" s="201"/>
      <c r="T93" s="201"/>
      <c r="U93" s="201"/>
      <c r="V93" s="200">
        <f t="shared" si="111"/>
        <v>0</v>
      </c>
      <c r="W93" s="201"/>
      <c r="X93" s="201"/>
      <c r="Y93" s="206">
        <f t="shared" si="112"/>
        <v>0</v>
      </c>
      <c r="Z93" s="201"/>
      <c r="AA93" s="201"/>
      <c r="AB93" s="206">
        <f t="shared" si="113"/>
        <v>0</v>
      </c>
      <c r="AC93" s="201"/>
      <c r="AD93" s="201"/>
      <c r="AE93" s="201"/>
      <c r="AF93" s="201"/>
      <c r="AG93" s="201"/>
      <c r="AH93" s="201"/>
      <c r="AI93" s="201"/>
      <c r="AJ93" s="201"/>
      <c r="AK93" s="201"/>
      <c r="AL93" s="206">
        <f t="shared" si="115"/>
        <v>0</v>
      </c>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c r="BK93" s="201"/>
      <c r="BL93" s="201"/>
      <c r="BM93" s="201"/>
      <c r="BN93" s="201"/>
      <c r="BO93" s="201"/>
      <c r="BP93" s="201"/>
      <c r="BQ93" s="201"/>
      <c r="BR93" s="201"/>
      <c r="BS93" s="201"/>
      <c r="BT93" s="201"/>
      <c r="BU93" s="201"/>
      <c r="BV93" s="201"/>
      <c r="BW93" s="201"/>
      <c r="BX93" s="201"/>
      <c r="BY93" s="201"/>
      <c r="BZ93" s="201"/>
      <c r="CA93" s="201"/>
      <c r="CB93" s="201"/>
      <c r="CC93" s="201"/>
      <c r="CD93" s="201"/>
      <c r="CE93" s="201"/>
      <c r="CF93" s="201"/>
      <c r="CG93" s="201"/>
      <c r="CH93" s="201"/>
      <c r="CI93" s="201"/>
      <c r="CJ93" s="201"/>
      <c r="CK93" s="201"/>
      <c r="CL93" s="201"/>
      <c r="CM93" s="201"/>
      <c r="CN93" s="201"/>
      <c r="CO93" s="201"/>
      <c r="CP93" s="201"/>
      <c r="CQ93" s="206">
        <f t="shared" si="117"/>
        <v>0</v>
      </c>
      <c r="CR93" s="206">
        <f t="shared" si="118"/>
        <v>0</v>
      </c>
      <c r="CS93" s="206">
        <f t="shared" si="119"/>
        <v>0</v>
      </c>
      <c r="CT93" s="210"/>
      <c r="CU93" s="201"/>
      <c r="CV93" s="201"/>
      <c r="CW93" s="213"/>
      <c r="CX93" s="213"/>
      <c r="CY93" s="213"/>
      <c r="CZ93" s="206"/>
      <c r="DA93" s="206"/>
      <c r="DB93" s="214"/>
    </row>
    <row r="94" spans="2:106" s="148" customFormat="true">
      <c r="B94" s="194"/>
      <c r="D94" s="148" t="s">
        <v>13935</v>
      </c>
      <c r="E94" s="199">
        <f t="shared" si="106"/>
        <v>0</v>
      </c>
      <c r="F94" s="200">
        <f t="shared" si="107"/>
        <v>0</v>
      </c>
      <c r="G94" s="201"/>
      <c r="H94" s="201"/>
      <c r="I94" s="201"/>
      <c r="J94" s="201"/>
      <c r="K94" s="201"/>
      <c r="L94" s="206">
        <f t="shared" si="108"/>
        <v>0</v>
      </c>
      <c r="M94" s="201"/>
      <c r="N94" s="201"/>
      <c r="O94" s="206">
        <f t="shared" si="109"/>
        <v>0</v>
      </c>
      <c r="P94" s="201"/>
      <c r="Q94" s="201"/>
      <c r="R94" s="201"/>
      <c r="S94" s="201"/>
      <c r="T94" s="201"/>
      <c r="U94" s="201"/>
      <c r="V94" s="200">
        <f t="shared" si="111"/>
        <v>0</v>
      </c>
      <c r="W94" s="201"/>
      <c r="X94" s="201"/>
      <c r="Y94" s="206">
        <f t="shared" si="112"/>
        <v>0</v>
      </c>
      <c r="Z94" s="201"/>
      <c r="AA94" s="201"/>
      <c r="AB94" s="206">
        <f t="shared" si="113"/>
        <v>0</v>
      </c>
      <c r="AC94" s="201"/>
      <c r="AD94" s="201"/>
      <c r="AE94" s="201"/>
      <c r="AF94" s="201"/>
      <c r="AG94" s="201"/>
      <c r="AH94" s="201"/>
      <c r="AI94" s="201"/>
      <c r="AJ94" s="201"/>
      <c r="AK94" s="201"/>
      <c r="AL94" s="206">
        <f t="shared" si="115"/>
        <v>0</v>
      </c>
      <c r="AM94" s="201"/>
      <c r="AN94" s="201"/>
      <c r="AO94" s="201"/>
      <c r="AP94" s="201"/>
      <c r="AQ94" s="201"/>
      <c r="AR94" s="201"/>
      <c r="AS94" s="201"/>
      <c r="AT94" s="201"/>
      <c r="AU94" s="201"/>
      <c r="AV94" s="201"/>
      <c r="AW94" s="201"/>
      <c r="AX94" s="201"/>
      <c r="AY94" s="201"/>
      <c r="AZ94" s="201"/>
      <c r="BA94" s="201"/>
      <c r="BB94" s="201"/>
      <c r="BC94" s="201"/>
      <c r="BD94" s="201"/>
      <c r="BE94" s="201"/>
      <c r="BF94" s="201"/>
      <c r="BG94" s="201"/>
      <c r="BH94" s="201"/>
      <c r="BI94" s="201"/>
      <c r="BJ94" s="201"/>
      <c r="BK94" s="201"/>
      <c r="BL94" s="201"/>
      <c r="BM94" s="201"/>
      <c r="BN94" s="201"/>
      <c r="BO94" s="201"/>
      <c r="BP94" s="201"/>
      <c r="BQ94" s="201"/>
      <c r="BR94" s="201"/>
      <c r="BS94" s="201"/>
      <c r="BT94" s="201"/>
      <c r="BU94" s="201"/>
      <c r="BV94" s="201"/>
      <c r="BW94" s="201"/>
      <c r="BX94" s="201"/>
      <c r="BY94" s="201"/>
      <c r="BZ94" s="201"/>
      <c r="CA94" s="201"/>
      <c r="CB94" s="201"/>
      <c r="CC94" s="201"/>
      <c r="CD94" s="201"/>
      <c r="CE94" s="201"/>
      <c r="CF94" s="201"/>
      <c r="CG94" s="201"/>
      <c r="CH94" s="201"/>
      <c r="CI94" s="201"/>
      <c r="CJ94" s="201"/>
      <c r="CK94" s="201"/>
      <c r="CL94" s="201"/>
      <c r="CM94" s="201"/>
      <c r="CN94" s="201"/>
      <c r="CO94" s="201"/>
      <c r="CP94" s="201"/>
      <c r="CQ94" s="206">
        <f t="shared" si="117"/>
        <v>0</v>
      </c>
      <c r="CR94" s="206">
        <f t="shared" si="118"/>
        <v>0</v>
      </c>
      <c r="CS94" s="206">
        <f t="shared" si="119"/>
        <v>0</v>
      </c>
      <c r="CT94" s="210"/>
      <c r="CU94" s="201"/>
      <c r="CV94" s="201"/>
      <c r="CW94" s="213"/>
      <c r="CX94" s="213"/>
      <c r="CY94" s="213"/>
      <c r="CZ94" s="206"/>
      <c r="DA94" s="206"/>
      <c r="DB94" s="214"/>
    </row>
    <row r="95" spans="2:106" s="148" customFormat="true">
      <c r="B95" s="194"/>
      <c r="D95" s="148" t="s">
        <v>13936</v>
      </c>
      <c r="E95" s="199">
        <f t="shared" si="106"/>
        <v>0</v>
      </c>
      <c r="F95" s="200">
        <f t="shared" si="107"/>
        <v>0</v>
      </c>
      <c r="G95" s="201"/>
      <c r="H95" s="201"/>
      <c r="I95" s="201"/>
      <c r="J95" s="201"/>
      <c r="K95" s="201"/>
      <c r="L95" s="206">
        <f t="shared" si="108"/>
        <v>0</v>
      </c>
      <c r="M95" s="201"/>
      <c r="N95" s="201"/>
      <c r="O95" s="206">
        <f t="shared" si="109"/>
        <v>0</v>
      </c>
      <c r="P95" s="201"/>
      <c r="Q95" s="201"/>
      <c r="R95" s="201"/>
      <c r="S95" s="201"/>
      <c r="T95" s="201"/>
      <c r="U95" s="201"/>
      <c r="V95" s="200">
        <f t="shared" si="111"/>
        <v>0</v>
      </c>
      <c r="W95" s="201"/>
      <c r="X95" s="201"/>
      <c r="Y95" s="206">
        <f t="shared" si="112"/>
        <v>0</v>
      </c>
      <c r="Z95" s="201"/>
      <c r="AA95" s="201"/>
      <c r="AB95" s="206">
        <f t="shared" si="113"/>
        <v>0</v>
      </c>
      <c r="AC95" s="201"/>
      <c r="AD95" s="201"/>
      <c r="AE95" s="201"/>
      <c r="AF95" s="201"/>
      <c r="AG95" s="201"/>
      <c r="AH95" s="201"/>
      <c r="AI95" s="201"/>
      <c r="AJ95" s="201"/>
      <c r="AK95" s="201"/>
      <c r="AL95" s="206">
        <f t="shared" si="115"/>
        <v>0</v>
      </c>
      <c r="AM95" s="201"/>
      <c r="AN95" s="201"/>
      <c r="AO95" s="201"/>
      <c r="AP95" s="201"/>
      <c r="AQ95" s="201"/>
      <c r="AR95" s="201"/>
      <c r="AS95" s="201"/>
      <c r="AT95" s="201"/>
      <c r="AU95" s="201"/>
      <c r="AV95" s="201"/>
      <c r="AW95" s="201"/>
      <c r="AX95" s="201"/>
      <c r="AY95" s="201"/>
      <c r="AZ95" s="201"/>
      <c r="BA95" s="201"/>
      <c r="BB95" s="201"/>
      <c r="BC95" s="201"/>
      <c r="BD95" s="201"/>
      <c r="BE95" s="201"/>
      <c r="BF95" s="201"/>
      <c r="BG95" s="201"/>
      <c r="BH95" s="201"/>
      <c r="BI95" s="201"/>
      <c r="BJ95" s="201"/>
      <c r="BK95" s="201"/>
      <c r="BL95" s="201"/>
      <c r="BM95" s="201"/>
      <c r="BN95" s="201"/>
      <c r="BO95" s="201"/>
      <c r="BP95" s="201"/>
      <c r="BQ95" s="201"/>
      <c r="BR95" s="201"/>
      <c r="BS95" s="201"/>
      <c r="BT95" s="201"/>
      <c r="BU95" s="201"/>
      <c r="BV95" s="201"/>
      <c r="BW95" s="201"/>
      <c r="BX95" s="201"/>
      <c r="BY95" s="201"/>
      <c r="BZ95" s="201"/>
      <c r="CA95" s="201"/>
      <c r="CB95" s="201"/>
      <c r="CC95" s="201"/>
      <c r="CD95" s="201"/>
      <c r="CE95" s="201"/>
      <c r="CF95" s="201"/>
      <c r="CG95" s="201"/>
      <c r="CH95" s="201"/>
      <c r="CI95" s="201"/>
      <c r="CJ95" s="201"/>
      <c r="CK95" s="201"/>
      <c r="CL95" s="201"/>
      <c r="CM95" s="201"/>
      <c r="CN95" s="201"/>
      <c r="CO95" s="201"/>
      <c r="CP95" s="201"/>
      <c r="CQ95" s="206">
        <f t="shared" si="117"/>
        <v>0</v>
      </c>
      <c r="CR95" s="206">
        <f t="shared" si="118"/>
        <v>0</v>
      </c>
      <c r="CS95" s="206">
        <f t="shared" si="119"/>
        <v>0</v>
      </c>
      <c r="CT95" s="210"/>
      <c r="CU95" s="201"/>
      <c r="CV95" s="201"/>
      <c r="CW95" s="213"/>
      <c r="CX95" s="213"/>
      <c r="CY95" s="213"/>
      <c r="CZ95" s="206"/>
      <c r="DA95" s="206"/>
      <c r="DB95" s="214"/>
    </row>
    <row r="96" spans="2:106">
      <c r="B96" s="161"/>
      <c r="D96" s="154" t="s">
        <v>13875</v>
      </c>
      <c r="E96" s="198">
        <f t="shared" si="106"/>
        <v>0</v>
      </c>
      <c r="F96" s="153">
        <f t="shared" si="107"/>
        <v>0</v>
      </c>
      <c r="G96" s="152">
        <f>G81</f>
        <v>0</v>
      </c>
      <c r="H96" s="152">
        <f>H81</f>
        <v>0</v>
      </c>
      <c r="I96" s="152">
        <f>I81</f>
        <v>0</v>
      </c>
      <c r="J96" s="152">
        <f>J81</f>
        <v>0</v>
      </c>
      <c r="K96" s="152">
        <f>K81</f>
        <v>0</v>
      </c>
      <c r="L96" s="205">
        <f t="shared" si="108"/>
        <v>0</v>
      </c>
      <c r="M96" s="152">
        <f>M81</f>
        <v>0</v>
      </c>
      <c r="N96" s="152">
        <f>N81</f>
        <v>0</v>
      </c>
      <c r="O96" s="205">
        <f t="shared" si="109"/>
        <v>0</v>
      </c>
      <c r="P96" s="152">
        <f t="shared" ref="P96:U96" si="145">P81</f>
        <v>0</v>
      </c>
      <c r="Q96" s="152">
        <f t="shared" si="145"/>
        <v>0</v>
      </c>
      <c r="R96" s="152">
        <f t="shared" si="145"/>
        <v>0</v>
      </c>
      <c r="S96" s="152">
        <f t="shared" si="145"/>
        <v>0</v>
      </c>
      <c r="T96" s="152">
        <f t="shared" si="145"/>
        <v>0</v>
      </c>
      <c r="U96" s="152">
        <f t="shared" si="145"/>
        <v>0</v>
      </c>
      <c r="V96" s="153">
        <f t="shared" si="111"/>
        <v>0</v>
      </c>
      <c r="W96" s="152">
        <f>W81</f>
        <v>0</v>
      </c>
      <c r="X96" s="152">
        <f>X81</f>
        <v>0</v>
      </c>
      <c r="Y96" s="205">
        <f t="shared" si="112"/>
        <v>0</v>
      </c>
      <c r="Z96" s="152">
        <f>Z81</f>
        <v>0</v>
      </c>
      <c r="AA96" s="152">
        <f>AA81</f>
        <v>0</v>
      </c>
      <c r="AB96" s="205">
        <f t="shared" si="113"/>
        <v>0</v>
      </c>
      <c r="AC96" s="152">
        <f t="shared" ref="AC96:AK96" si="146">AC81</f>
        <v>0</v>
      </c>
      <c r="AD96" s="152">
        <f t="shared" si="146"/>
        <v>0</v>
      </c>
      <c r="AE96" s="152">
        <f t="shared" si="146"/>
        <v>0</v>
      </c>
      <c r="AF96" s="152">
        <f t="shared" si="146"/>
        <v>0</v>
      </c>
      <c r="AG96" s="152">
        <f t="shared" si="146"/>
        <v>0</v>
      </c>
      <c r="AH96" s="152">
        <f t="shared" si="146"/>
        <v>0</v>
      </c>
      <c r="AI96" s="152">
        <f t="shared" si="146"/>
        <v>0</v>
      </c>
      <c r="AJ96" s="152">
        <f t="shared" si="146"/>
        <v>0</v>
      </c>
      <c r="AK96" s="152">
        <f t="shared" si="146"/>
        <v>0</v>
      </c>
      <c r="AL96" s="205">
        <f t="shared" si="115"/>
        <v>0</v>
      </c>
      <c r="AM96" s="152">
        <f t="shared" ref="AM96:CO96" si="147">AM81</f>
        <v>0</v>
      </c>
      <c r="AN96" s="152">
        <f t="shared" si="147"/>
        <v>0</v>
      </c>
      <c r="AO96" s="152">
        <f t="shared" si="147"/>
        <v>0</v>
      </c>
      <c r="AP96" s="152">
        <f t="shared" si="147"/>
        <v>0</v>
      </c>
      <c r="AQ96" s="152">
        <f t="shared" si="147"/>
        <v>0</v>
      </c>
      <c r="AR96" s="152">
        <f t="shared" si="147"/>
        <v>0</v>
      </c>
      <c r="AS96" s="152">
        <f t="shared" si="147"/>
        <v>0</v>
      </c>
      <c r="AT96" s="152">
        <f t="shared" si="147"/>
        <v>0</v>
      </c>
      <c r="AU96" s="152">
        <f t="shared" si="147"/>
        <v>0</v>
      </c>
      <c r="AV96" s="152">
        <f t="shared" si="147"/>
        <v>0</v>
      </c>
      <c r="AW96" s="152">
        <f t="shared" si="147"/>
        <v>0</v>
      </c>
      <c r="AX96" s="152">
        <f t="shared" si="147"/>
        <v>0</v>
      </c>
      <c r="AY96" s="152">
        <f t="shared" si="147"/>
        <v>0</v>
      </c>
      <c r="AZ96" s="152">
        <f t="shared" si="147"/>
        <v>0</v>
      </c>
      <c r="BA96" s="152">
        <f t="shared" si="147"/>
        <v>0</v>
      </c>
      <c r="BB96" s="152">
        <f t="shared" si="147"/>
        <v>0</v>
      </c>
      <c r="BC96" s="152">
        <f t="shared" si="147"/>
        <v>0</v>
      </c>
      <c r="BD96" s="152">
        <f t="shared" si="147"/>
        <v>0</v>
      </c>
      <c r="BE96" s="152">
        <f t="shared" si="147"/>
        <v>0</v>
      </c>
      <c r="BF96" s="152">
        <f t="shared" si="147"/>
        <v>0</v>
      </c>
      <c r="BG96" s="152">
        <f t="shared" si="147"/>
        <v>0</v>
      </c>
      <c r="BH96" s="152">
        <f t="shared" si="147"/>
        <v>0</v>
      </c>
      <c r="BI96" s="152">
        <f t="shared" si="147"/>
        <v>0</v>
      </c>
      <c r="BJ96" s="152">
        <f t="shared" si="147"/>
        <v>0</v>
      </c>
      <c r="BK96" s="152">
        <f t="shared" si="147"/>
        <v>0</v>
      </c>
      <c r="BL96" s="152">
        <f t="shared" si="147"/>
        <v>0</v>
      </c>
      <c r="BM96" s="152">
        <f t="shared" si="147"/>
        <v>0</v>
      </c>
      <c r="BN96" s="152">
        <f t="shared" si="147"/>
        <v>0</v>
      </c>
      <c r="BO96" s="152">
        <f t="shared" si="147"/>
        <v>0</v>
      </c>
      <c r="BP96" s="152">
        <f t="shared" si="147"/>
        <v>0</v>
      </c>
      <c r="BQ96" s="152">
        <f t="shared" si="147"/>
        <v>0</v>
      </c>
      <c r="BR96" s="152">
        <f t="shared" si="147"/>
        <v>0</v>
      </c>
      <c r="BS96" s="152">
        <f t="shared" si="147"/>
        <v>0</v>
      </c>
      <c r="BT96" s="152">
        <f t="shared" si="147"/>
        <v>0</v>
      </c>
      <c r="BU96" s="152">
        <f t="shared" si="147"/>
        <v>0</v>
      </c>
      <c r="BV96" s="152">
        <f t="shared" si="147"/>
        <v>0</v>
      </c>
      <c r="BW96" s="152">
        <f t="shared" si="147"/>
        <v>0</v>
      </c>
      <c r="BX96" s="152">
        <f t="shared" si="147"/>
        <v>0</v>
      </c>
      <c r="BY96" s="152">
        <f t="shared" si="147"/>
        <v>0</v>
      </c>
      <c r="BZ96" s="152">
        <f t="shared" si="147"/>
        <v>0</v>
      </c>
      <c r="CA96" s="152">
        <f t="shared" si="147"/>
        <v>0</v>
      </c>
      <c r="CB96" s="152">
        <f t="shared" si="147"/>
        <v>0</v>
      </c>
      <c r="CC96" s="152">
        <f t="shared" si="147"/>
        <v>0</v>
      </c>
      <c r="CD96" s="152">
        <f t="shared" si="147"/>
        <v>0</v>
      </c>
      <c r="CE96" s="152">
        <f t="shared" si="147"/>
        <v>0</v>
      </c>
      <c r="CF96" s="152">
        <f t="shared" si="147"/>
        <v>0</v>
      </c>
      <c r="CG96" s="152">
        <f t="shared" si="147"/>
        <v>0</v>
      </c>
      <c r="CH96" s="152">
        <f t="shared" si="147"/>
        <v>0</v>
      </c>
      <c r="CI96" s="152">
        <f t="shared" si="147"/>
        <v>0</v>
      </c>
      <c r="CJ96" s="152">
        <f t="shared" si="147"/>
        <v>0</v>
      </c>
      <c r="CK96" s="152">
        <f t="shared" si="147"/>
        <v>0</v>
      </c>
      <c r="CL96" s="152">
        <f t="shared" si="147"/>
        <v>0</v>
      </c>
      <c r="CM96" s="152">
        <f t="shared" si="147"/>
        <v>0</v>
      </c>
      <c r="CN96" s="152">
        <f t="shared" si="147"/>
        <v>0</v>
      </c>
      <c r="CO96" s="152">
        <f t="shared" si="147"/>
        <v>0</v>
      </c>
      <c r="CP96" s="152"/>
      <c r="CQ96" s="205">
        <f t="shared" si="117"/>
        <v>0</v>
      </c>
      <c r="CR96" s="205">
        <f t="shared" si="118"/>
        <v>0</v>
      </c>
      <c r="CS96" s="205">
        <f t="shared" si="119"/>
        <v>0</v>
      </c>
      <c r="CT96" s="152">
        <f t="shared" ref="CT96:DA96" si="148">CT81</f>
        <v>0</v>
      </c>
      <c r="CU96" s="152">
        <f t="shared" si="148"/>
        <v>0</v>
      </c>
      <c r="CV96" s="152">
        <f t="shared" si="148"/>
        <v>0</v>
      </c>
      <c r="CW96" s="212">
        <f t="shared" si="148"/>
        <v>0</v>
      </c>
      <c r="CX96" s="212">
        <f t="shared" si="148"/>
        <v>0</v>
      </c>
      <c r="CY96" s="212">
        <f t="shared" si="148"/>
        <v>0</v>
      </c>
      <c r="CZ96" s="205">
        <f t="shared" si="148"/>
        <v>0</v>
      </c>
      <c r="DA96" s="205">
        <f t="shared" si="148"/>
        <v>0</v>
      </c>
      <c r="DB96" s="193"/>
    </row>
    <row r="97" spans="2:106">
      <c r="B97" s="161"/>
      <c r="D97" s="154" t="s">
        <v>13876</v>
      </c>
      <c r="E97" s="198">
        <f t="shared" si="106"/>
        <v>12804.34</v>
      </c>
      <c r="F97" s="153">
        <f t="shared" si="107"/>
        <v>12804.34</v>
      </c>
      <c r="G97" s="152">
        <f>G17</f>
        <v>0</v>
      </c>
      <c r="H97" s="152">
        <f>H17</f>
        <v>0</v>
      </c>
      <c r="I97" s="152">
        <f>I17</f>
        <v>0</v>
      </c>
      <c r="J97" s="152">
        <f>J17</f>
        <v>0</v>
      </c>
      <c r="K97" s="152">
        <f>K17</f>
        <v>0</v>
      </c>
      <c r="L97" s="205">
        <f t="shared" si="108"/>
        <v>0</v>
      </c>
      <c r="M97" s="152">
        <f>M17</f>
        <v>0</v>
      </c>
      <c r="N97" s="152">
        <f>N17</f>
        <v>0</v>
      </c>
      <c r="O97" s="205">
        <f t="shared" si="109"/>
        <v>0</v>
      </c>
      <c r="P97" s="152">
        <f t="shared" ref="P97:U97" si="149">P17</f>
        <v>0</v>
      </c>
      <c r="Q97" s="152">
        <f t="shared" si="149"/>
        <v>0</v>
      </c>
      <c r="R97" s="152">
        <f t="shared" si="149"/>
        <v>0</v>
      </c>
      <c r="S97" s="152">
        <f t="shared" si="149"/>
        <v>0</v>
      </c>
      <c r="T97" s="152">
        <f t="shared" si="149"/>
        <v>0</v>
      </c>
      <c r="U97" s="152">
        <f t="shared" si="149"/>
        <v>0</v>
      </c>
      <c r="V97" s="153">
        <f t="shared" si="111"/>
        <v>0</v>
      </c>
      <c r="W97" s="152">
        <f>W17</f>
        <v>0</v>
      </c>
      <c r="X97" s="152">
        <f>X17</f>
        <v>0</v>
      </c>
      <c r="Y97" s="205">
        <f t="shared" si="112"/>
        <v>0</v>
      </c>
      <c r="Z97" s="152">
        <f>Z17</f>
        <v>0</v>
      </c>
      <c r="AA97" s="152">
        <f>AA17</f>
        <v>0</v>
      </c>
      <c r="AB97" s="205">
        <f t="shared" si="113"/>
        <v>0</v>
      </c>
      <c r="AC97" s="152">
        <f t="shared" ref="AC97:AK97" si="150">AC17</f>
        <v>0</v>
      </c>
      <c r="AD97" s="152">
        <f t="shared" si="150"/>
        <v>0</v>
      </c>
      <c r="AE97" s="152">
        <f t="shared" si="150"/>
        <v>0</v>
      </c>
      <c r="AF97" s="152">
        <f t="shared" si="150"/>
        <v>0</v>
      </c>
      <c r="AG97" s="152">
        <f t="shared" si="150"/>
        <v>0</v>
      </c>
      <c r="AH97" s="152">
        <f t="shared" si="150"/>
        <v>0</v>
      </c>
      <c r="AI97" s="152">
        <f t="shared" si="150"/>
        <v>0</v>
      </c>
      <c r="AJ97" s="152">
        <f t="shared" si="150"/>
        <v>0</v>
      </c>
      <c r="AK97" s="152">
        <f t="shared" si="150"/>
        <v>0</v>
      </c>
      <c r="AL97" s="205">
        <f t="shared" si="115"/>
        <v>0</v>
      </c>
      <c r="AM97" s="152">
        <f t="shared" ref="AM97:CO97" si="151">AM17</f>
        <v>0</v>
      </c>
      <c r="AN97" s="152">
        <f t="shared" si="151"/>
        <v>1633.34</v>
      </c>
      <c r="AO97" s="152">
        <f t="shared" si="151"/>
        <v>2948</v>
      </c>
      <c r="AP97" s="152">
        <f t="shared" si="151"/>
        <v>0</v>
      </c>
      <c r="AQ97" s="152">
        <f t="shared" si="151"/>
        <v>2660</v>
      </c>
      <c r="AR97" s="152">
        <f t="shared" si="151"/>
        <v>0</v>
      </c>
      <c r="AS97" s="152">
        <f t="shared" si="151"/>
        <v>0</v>
      </c>
      <c r="AT97" s="152">
        <f t="shared" si="151"/>
        <v>0</v>
      </c>
      <c r="AU97" s="152">
        <f t="shared" si="151"/>
        <v>0</v>
      </c>
      <c r="AV97" s="152">
        <f t="shared" si="151"/>
        <v>0</v>
      </c>
      <c r="AW97" s="152">
        <f t="shared" si="151"/>
        <v>0</v>
      </c>
      <c r="AX97" s="152">
        <f t="shared" si="151"/>
        <v>0</v>
      </c>
      <c r="AY97" s="152">
        <f t="shared" si="151"/>
        <v>0</v>
      </c>
      <c r="AZ97" s="152">
        <f t="shared" si="151"/>
        <v>0</v>
      </c>
      <c r="BA97" s="152">
        <f t="shared" si="151"/>
        <v>0</v>
      </c>
      <c r="BB97" s="152">
        <f t="shared" si="151"/>
        <v>0</v>
      </c>
      <c r="BC97" s="152">
        <f t="shared" si="151"/>
        <v>0</v>
      </c>
      <c r="BD97" s="152">
        <f t="shared" si="151"/>
        <v>0</v>
      </c>
      <c r="BE97" s="152">
        <f t="shared" si="151"/>
        <v>0</v>
      </c>
      <c r="BF97" s="152">
        <f t="shared" si="151"/>
        <v>0</v>
      </c>
      <c r="BG97" s="152">
        <f t="shared" si="151"/>
        <v>0</v>
      </c>
      <c r="BH97" s="152">
        <f t="shared" si="151"/>
        <v>0</v>
      </c>
      <c r="BI97" s="152">
        <f t="shared" si="151"/>
        <v>0</v>
      </c>
      <c r="BJ97" s="152">
        <f t="shared" si="151"/>
        <v>0</v>
      </c>
      <c r="BK97" s="152">
        <f t="shared" si="151"/>
        <v>0</v>
      </c>
      <c r="BL97" s="152">
        <f t="shared" si="151"/>
        <v>0</v>
      </c>
      <c r="BM97" s="152">
        <f t="shared" si="151"/>
        <v>0</v>
      </c>
      <c r="BN97" s="152">
        <f t="shared" si="151"/>
        <v>0</v>
      </c>
      <c r="BO97" s="152">
        <f t="shared" si="151"/>
        <v>0</v>
      </c>
      <c r="BP97" s="152">
        <f t="shared" si="151"/>
        <v>0</v>
      </c>
      <c r="BQ97" s="152">
        <f t="shared" si="151"/>
        <v>0</v>
      </c>
      <c r="BR97" s="152">
        <f t="shared" si="151"/>
        <v>0</v>
      </c>
      <c r="BS97" s="152">
        <f t="shared" si="151"/>
        <v>0</v>
      </c>
      <c r="BT97" s="152">
        <f t="shared" si="151"/>
        <v>0</v>
      </c>
      <c r="BU97" s="152">
        <f t="shared" si="151"/>
        <v>0</v>
      </c>
      <c r="BV97" s="152">
        <f t="shared" si="151"/>
        <v>0</v>
      </c>
      <c r="BW97" s="152">
        <f t="shared" si="151"/>
        <v>2500</v>
      </c>
      <c r="BX97" s="152">
        <f t="shared" si="151"/>
        <v>3063</v>
      </c>
      <c r="BY97" s="152">
        <f t="shared" si="151"/>
        <v>0</v>
      </c>
      <c r="BZ97" s="152">
        <f t="shared" si="151"/>
        <v>0</v>
      </c>
      <c r="CA97" s="152">
        <f t="shared" si="151"/>
        <v>0</v>
      </c>
      <c r="CB97" s="152">
        <f t="shared" si="151"/>
        <v>0</v>
      </c>
      <c r="CC97" s="152">
        <f t="shared" si="151"/>
        <v>0</v>
      </c>
      <c r="CD97" s="152">
        <f t="shared" si="151"/>
        <v>0</v>
      </c>
      <c r="CE97" s="152">
        <f t="shared" si="151"/>
        <v>0</v>
      </c>
      <c r="CF97" s="152">
        <f t="shared" si="151"/>
        <v>0</v>
      </c>
      <c r="CG97" s="152">
        <f t="shared" si="151"/>
        <v>0</v>
      </c>
      <c r="CH97" s="152">
        <f t="shared" si="151"/>
        <v>0</v>
      </c>
      <c r="CI97" s="152">
        <f t="shared" si="151"/>
        <v>0</v>
      </c>
      <c r="CJ97" s="152">
        <f t="shared" si="151"/>
        <v>0</v>
      </c>
      <c r="CK97" s="152">
        <f t="shared" si="151"/>
        <v>0</v>
      </c>
      <c r="CL97" s="152">
        <f t="shared" si="151"/>
        <v>0</v>
      </c>
      <c r="CM97" s="152">
        <f t="shared" si="151"/>
        <v>0</v>
      </c>
      <c r="CN97" s="152">
        <f t="shared" si="151"/>
        <v>0</v>
      </c>
      <c r="CO97" s="152">
        <f t="shared" si="151"/>
        <v>0</v>
      </c>
      <c r="CP97" s="152"/>
      <c r="CQ97" s="205">
        <f t="shared" si="117"/>
        <v>12804.34</v>
      </c>
      <c r="CR97" s="205">
        <f t="shared" si="118"/>
        <v>12804.34</v>
      </c>
      <c r="CS97" s="205">
        <f t="shared" si="119"/>
        <v>0</v>
      </c>
      <c r="CT97" s="152">
        <f t="shared" ref="CT97:DA97" si="152">CT17</f>
        <v>0</v>
      </c>
      <c r="CU97" s="152">
        <f t="shared" si="152"/>
        <v>0</v>
      </c>
      <c r="CV97" s="152">
        <f t="shared" si="152"/>
        <v>0</v>
      </c>
      <c r="CW97" s="212">
        <f t="shared" si="152"/>
        <v>0</v>
      </c>
      <c r="CX97" s="212">
        <f t="shared" si="152"/>
        <v>0</v>
      </c>
      <c r="CY97" s="212">
        <f t="shared" si="152"/>
        <v>0</v>
      </c>
      <c r="CZ97" s="205">
        <f t="shared" si="152"/>
        <v>0</v>
      </c>
      <c r="DA97" s="205">
        <f t="shared" si="152"/>
        <v>0</v>
      </c>
      <c r="DB97" s="193"/>
    </row>
    <row r="98" spans="2:106">
      <c r="B98" s="161"/>
      <c r="D98" s="154" t="s">
        <v>13878</v>
      </c>
      <c r="E98" s="198">
        <f t="shared" si="106"/>
        <v>0</v>
      </c>
      <c r="F98" s="153">
        <f t="shared" si="107"/>
        <v>0</v>
      </c>
      <c r="G98" s="152">
        <f>G19</f>
        <v>0</v>
      </c>
      <c r="H98" s="152">
        <f>H19</f>
        <v>0</v>
      </c>
      <c r="I98" s="152">
        <f>I19</f>
        <v>0</v>
      </c>
      <c r="J98" s="152">
        <f>J19</f>
        <v>0</v>
      </c>
      <c r="K98" s="152">
        <f>K19</f>
        <v>0</v>
      </c>
      <c r="L98" s="205">
        <f t="shared" si="108"/>
        <v>0</v>
      </c>
      <c r="M98" s="152">
        <f>M19</f>
        <v>0</v>
      </c>
      <c r="N98" s="152">
        <f>N19</f>
        <v>0</v>
      </c>
      <c r="O98" s="205">
        <f t="shared" si="109"/>
        <v>0</v>
      </c>
      <c r="P98" s="152">
        <f t="shared" ref="P98:U98" si="153">P19</f>
        <v>0</v>
      </c>
      <c r="Q98" s="152">
        <f t="shared" si="153"/>
        <v>0</v>
      </c>
      <c r="R98" s="152">
        <f t="shared" si="153"/>
        <v>0</v>
      </c>
      <c r="S98" s="152">
        <f t="shared" si="153"/>
        <v>0</v>
      </c>
      <c r="T98" s="152">
        <f t="shared" si="153"/>
        <v>0</v>
      </c>
      <c r="U98" s="152">
        <f t="shared" si="153"/>
        <v>0</v>
      </c>
      <c r="V98" s="153">
        <f t="shared" si="111"/>
        <v>0</v>
      </c>
      <c r="W98" s="152">
        <f>W19</f>
        <v>0</v>
      </c>
      <c r="X98" s="152">
        <f>X19</f>
        <v>0</v>
      </c>
      <c r="Y98" s="205">
        <f t="shared" si="112"/>
        <v>0</v>
      </c>
      <c r="Z98" s="152">
        <f>Z19</f>
        <v>0</v>
      </c>
      <c r="AA98" s="152">
        <f>AA19</f>
        <v>0</v>
      </c>
      <c r="AB98" s="205">
        <f t="shared" si="113"/>
        <v>0</v>
      </c>
      <c r="AC98" s="152">
        <f t="shared" ref="AC98:AK98" si="154">AC19</f>
        <v>0</v>
      </c>
      <c r="AD98" s="152">
        <f t="shared" si="154"/>
        <v>0</v>
      </c>
      <c r="AE98" s="152">
        <f t="shared" si="154"/>
        <v>0</v>
      </c>
      <c r="AF98" s="152">
        <f t="shared" si="154"/>
        <v>0</v>
      </c>
      <c r="AG98" s="152">
        <f t="shared" si="154"/>
        <v>0</v>
      </c>
      <c r="AH98" s="152">
        <f t="shared" si="154"/>
        <v>0</v>
      </c>
      <c r="AI98" s="152">
        <f t="shared" si="154"/>
        <v>0</v>
      </c>
      <c r="AJ98" s="152">
        <f t="shared" si="154"/>
        <v>0</v>
      </c>
      <c r="AK98" s="152">
        <f t="shared" si="154"/>
        <v>0</v>
      </c>
      <c r="AL98" s="205">
        <f t="shared" si="115"/>
        <v>0</v>
      </c>
      <c r="AM98" s="152">
        <f t="shared" ref="AM98:CO98" si="155">AM19</f>
        <v>0</v>
      </c>
      <c r="AN98" s="152">
        <f t="shared" si="155"/>
        <v>0</v>
      </c>
      <c r="AO98" s="152">
        <f t="shared" si="155"/>
        <v>0</v>
      </c>
      <c r="AP98" s="152">
        <f t="shared" si="155"/>
        <v>0</v>
      </c>
      <c r="AQ98" s="152">
        <f t="shared" si="155"/>
        <v>0</v>
      </c>
      <c r="AR98" s="152">
        <f t="shared" si="155"/>
        <v>0</v>
      </c>
      <c r="AS98" s="152">
        <f t="shared" si="155"/>
        <v>0</v>
      </c>
      <c r="AT98" s="152">
        <f t="shared" si="155"/>
        <v>0</v>
      </c>
      <c r="AU98" s="152">
        <f t="shared" si="155"/>
        <v>0</v>
      </c>
      <c r="AV98" s="152">
        <f t="shared" si="155"/>
        <v>0</v>
      </c>
      <c r="AW98" s="152">
        <f t="shared" si="155"/>
        <v>0</v>
      </c>
      <c r="AX98" s="152">
        <f t="shared" si="155"/>
        <v>0</v>
      </c>
      <c r="AY98" s="152">
        <f t="shared" si="155"/>
        <v>0</v>
      </c>
      <c r="AZ98" s="152">
        <f t="shared" si="155"/>
        <v>0</v>
      </c>
      <c r="BA98" s="152">
        <f t="shared" si="155"/>
        <v>0</v>
      </c>
      <c r="BB98" s="152">
        <f t="shared" si="155"/>
        <v>0</v>
      </c>
      <c r="BC98" s="152">
        <f t="shared" si="155"/>
        <v>0</v>
      </c>
      <c r="BD98" s="152">
        <f t="shared" si="155"/>
        <v>0</v>
      </c>
      <c r="BE98" s="152">
        <f t="shared" si="155"/>
        <v>0</v>
      </c>
      <c r="BF98" s="152">
        <f t="shared" si="155"/>
        <v>0</v>
      </c>
      <c r="BG98" s="152">
        <f t="shared" si="155"/>
        <v>0</v>
      </c>
      <c r="BH98" s="152">
        <f t="shared" si="155"/>
        <v>0</v>
      </c>
      <c r="BI98" s="152">
        <f t="shared" si="155"/>
        <v>0</v>
      </c>
      <c r="BJ98" s="152">
        <f t="shared" si="155"/>
        <v>0</v>
      </c>
      <c r="BK98" s="152">
        <f t="shared" si="155"/>
        <v>0</v>
      </c>
      <c r="BL98" s="152">
        <f t="shared" si="155"/>
        <v>0</v>
      </c>
      <c r="BM98" s="152">
        <f t="shared" si="155"/>
        <v>0</v>
      </c>
      <c r="BN98" s="152">
        <f t="shared" si="155"/>
        <v>0</v>
      </c>
      <c r="BO98" s="152">
        <f t="shared" si="155"/>
        <v>0</v>
      </c>
      <c r="BP98" s="152">
        <f t="shared" si="155"/>
        <v>0</v>
      </c>
      <c r="BQ98" s="152">
        <f t="shared" si="155"/>
        <v>0</v>
      </c>
      <c r="BR98" s="152">
        <f t="shared" si="155"/>
        <v>0</v>
      </c>
      <c r="BS98" s="152">
        <f t="shared" si="155"/>
        <v>0</v>
      </c>
      <c r="BT98" s="152">
        <f t="shared" si="155"/>
        <v>0</v>
      </c>
      <c r="BU98" s="152">
        <f t="shared" si="155"/>
        <v>0</v>
      </c>
      <c r="BV98" s="152">
        <f t="shared" si="155"/>
        <v>0</v>
      </c>
      <c r="BW98" s="152">
        <f t="shared" si="155"/>
        <v>0</v>
      </c>
      <c r="BX98" s="152">
        <f t="shared" si="155"/>
        <v>0</v>
      </c>
      <c r="BY98" s="152">
        <f t="shared" si="155"/>
        <v>0</v>
      </c>
      <c r="BZ98" s="152">
        <f t="shared" si="155"/>
        <v>0</v>
      </c>
      <c r="CA98" s="152">
        <f t="shared" si="155"/>
        <v>0</v>
      </c>
      <c r="CB98" s="152">
        <f t="shared" si="155"/>
        <v>0</v>
      </c>
      <c r="CC98" s="152">
        <f t="shared" si="155"/>
        <v>0</v>
      </c>
      <c r="CD98" s="152">
        <f t="shared" si="155"/>
        <v>0</v>
      </c>
      <c r="CE98" s="152">
        <f t="shared" si="155"/>
        <v>0</v>
      </c>
      <c r="CF98" s="152">
        <f t="shared" si="155"/>
        <v>0</v>
      </c>
      <c r="CG98" s="152">
        <f t="shared" si="155"/>
        <v>0</v>
      </c>
      <c r="CH98" s="152">
        <f t="shared" si="155"/>
        <v>0</v>
      </c>
      <c r="CI98" s="152">
        <f t="shared" si="155"/>
        <v>0</v>
      </c>
      <c r="CJ98" s="152">
        <f t="shared" si="155"/>
        <v>0</v>
      </c>
      <c r="CK98" s="152">
        <f t="shared" si="155"/>
        <v>0</v>
      </c>
      <c r="CL98" s="152">
        <f t="shared" si="155"/>
        <v>0</v>
      </c>
      <c r="CM98" s="152">
        <f t="shared" si="155"/>
        <v>0</v>
      </c>
      <c r="CN98" s="152">
        <f t="shared" si="155"/>
        <v>0</v>
      </c>
      <c r="CO98" s="152">
        <f t="shared" si="155"/>
        <v>0</v>
      </c>
      <c r="CP98" s="152"/>
      <c r="CQ98" s="205">
        <f t="shared" si="117"/>
        <v>0</v>
      </c>
      <c r="CR98" s="205">
        <f t="shared" si="118"/>
        <v>0</v>
      </c>
      <c r="CS98" s="205">
        <f t="shared" si="119"/>
        <v>0</v>
      </c>
      <c r="CT98" s="152">
        <f t="shared" ref="CT98:DA98" si="156">CT19</f>
        <v>0</v>
      </c>
      <c r="CU98" s="152">
        <f t="shared" si="156"/>
        <v>0</v>
      </c>
      <c r="CV98" s="152">
        <f t="shared" si="156"/>
        <v>0</v>
      </c>
      <c r="CW98" s="212">
        <f t="shared" si="156"/>
        <v>0</v>
      </c>
      <c r="CX98" s="212">
        <f t="shared" si="156"/>
        <v>0</v>
      </c>
      <c r="CY98" s="212">
        <f t="shared" si="156"/>
        <v>0</v>
      </c>
      <c r="CZ98" s="205">
        <f t="shared" si="156"/>
        <v>0</v>
      </c>
      <c r="DA98" s="205">
        <f t="shared" si="156"/>
        <v>0</v>
      </c>
      <c r="DB98" s="193"/>
    </row>
    <row r="99" spans="2:106" s="148" customFormat="true">
      <c r="B99" s="194"/>
      <c r="D99" s="148" t="s">
        <v>13937</v>
      </c>
      <c r="E99" s="199">
        <f t="shared" si="106"/>
        <v>0</v>
      </c>
      <c r="F99" s="200">
        <f t="shared" si="107"/>
        <v>0</v>
      </c>
      <c r="G99" s="201"/>
      <c r="H99" s="201"/>
      <c r="I99" s="201"/>
      <c r="J99" s="201"/>
      <c r="K99" s="201"/>
      <c r="L99" s="206">
        <f t="shared" si="108"/>
        <v>0</v>
      </c>
      <c r="M99" s="201"/>
      <c r="N99" s="201"/>
      <c r="O99" s="206">
        <f t="shared" si="109"/>
        <v>0</v>
      </c>
      <c r="P99" s="201"/>
      <c r="Q99" s="201"/>
      <c r="R99" s="201"/>
      <c r="S99" s="201"/>
      <c r="T99" s="201"/>
      <c r="U99" s="201"/>
      <c r="V99" s="200">
        <f t="shared" si="111"/>
        <v>0</v>
      </c>
      <c r="W99" s="201"/>
      <c r="X99" s="201"/>
      <c r="Y99" s="206">
        <f t="shared" si="112"/>
        <v>0</v>
      </c>
      <c r="Z99" s="201"/>
      <c r="AA99" s="201"/>
      <c r="AB99" s="206">
        <f t="shared" si="113"/>
        <v>0</v>
      </c>
      <c r="AC99" s="201"/>
      <c r="AD99" s="201"/>
      <c r="AE99" s="201"/>
      <c r="AF99" s="201"/>
      <c r="AG99" s="201"/>
      <c r="AH99" s="201"/>
      <c r="AI99" s="201"/>
      <c r="AJ99" s="201"/>
      <c r="AK99" s="201"/>
      <c r="AL99" s="206">
        <f t="shared" si="115"/>
        <v>0</v>
      </c>
      <c r="AM99" s="201"/>
      <c r="AN99" s="201"/>
      <c r="AO99" s="201"/>
      <c r="AP99" s="201"/>
      <c r="AQ99" s="201"/>
      <c r="AR99" s="201"/>
      <c r="AS99" s="201"/>
      <c r="AT99" s="201"/>
      <c r="AU99" s="201"/>
      <c r="AV99" s="201"/>
      <c r="AW99" s="201"/>
      <c r="AX99" s="201"/>
      <c r="AY99" s="201"/>
      <c r="AZ99" s="201"/>
      <c r="BA99" s="201"/>
      <c r="BB99" s="201"/>
      <c r="BC99" s="201"/>
      <c r="BD99" s="201"/>
      <c r="BE99" s="201"/>
      <c r="BF99" s="201"/>
      <c r="BG99" s="201"/>
      <c r="BH99" s="201"/>
      <c r="BI99" s="201"/>
      <c r="BJ99" s="201"/>
      <c r="BK99" s="201"/>
      <c r="BL99" s="201"/>
      <c r="BM99" s="201"/>
      <c r="BN99" s="201"/>
      <c r="BO99" s="201"/>
      <c r="BP99" s="201"/>
      <c r="BQ99" s="201"/>
      <c r="BR99" s="201"/>
      <c r="BS99" s="201"/>
      <c r="BT99" s="201"/>
      <c r="BU99" s="201"/>
      <c r="BV99" s="201"/>
      <c r="BW99" s="201"/>
      <c r="BX99" s="201"/>
      <c r="BY99" s="201"/>
      <c r="BZ99" s="201"/>
      <c r="CA99" s="201"/>
      <c r="CB99" s="201"/>
      <c r="CC99" s="201"/>
      <c r="CD99" s="201"/>
      <c r="CE99" s="201"/>
      <c r="CF99" s="201"/>
      <c r="CG99" s="201"/>
      <c r="CH99" s="201"/>
      <c r="CI99" s="201"/>
      <c r="CJ99" s="201"/>
      <c r="CK99" s="201"/>
      <c r="CL99" s="201"/>
      <c r="CM99" s="201"/>
      <c r="CN99" s="201"/>
      <c r="CO99" s="201"/>
      <c r="CP99" s="201"/>
      <c r="CQ99" s="206">
        <f t="shared" si="117"/>
        <v>0</v>
      </c>
      <c r="CR99" s="206">
        <f t="shared" si="118"/>
        <v>0</v>
      </c>
      <c r="CS99" s="206">
        <f t="shared" si="119"/>
        <v>0</v>
      </c>
      <c r="CT99" s="201"/>
      <c r="CU99" s="152"/>
      <c r="CV99" s="152"/>
      <c r="CW99" s="212"/>
      <c r="CX99" s="212"/>
      <c r="CY99" s="212"/>
      <c r="CZ99" s="205"/>
      <c r="DA99" s="205"/>
      <c r="DB99" s="214"/>
    </row>
    <row r="100" spans="2:106">
      <c r="B100" s="161"/>
      <c r="D100" s="154" t="s">
        <v>13891</v>
      </c>
      <c r="E100" s="198">
        <f t="shared" si="106"/>
        <v>-1964.11</v>
      </c>
      <c r="F100" s="153">
        <f t="shared" si="107"/>
        <v>-1964.11</v>
      </c>
      <c r="G100" s="152">
        <f>G33</f>
        <v>0</v>
      </c>
      <c r="H100" s="152">
        <f>H33</f>
        <v>0</v>
      </c>
      <c r="I100" s="152">
        <f>I33</f>
        <v>0</v>
      </c>
      <c r="J100" s="152">
        <f>J33</f>
        <v>0</v>
      </c>
      <c r="K100" s="152">
        <f>K33</f>
        <v>0</v>
      </c>
      <c r="L100" s="205">
        <f t="shared" si="108"/>
        <v>0</v>
      </c>
      <c r="M100" s="152">
        <f>M33</f>
        <v>0</v>
      </c>
      <c r="N100" s="152">
        <f>N33</f>
        <v>0</v>
      </c>
      <c r="O100" s="205">
        <f t="shared" si="109"/>
        <v>0</v>
      </c>
      <c r="P100" s="152">
        <f t="shared" ref="P100:U100" si="157">P33</f>
        <v>0</v>
      </c>
      <c r="Q100" s="152">
        <f t="shared" si="157"/>
        <v>0</v>
      </c>
      <c r="R100" s="152">
        <f t="shared" si="157"/>
        <v>0</v>
      </c>
      <c r="S100" s="152">
        <f t="shared" si="157"/>
        <v>0</v>
      </c>
      <c r="T100" s="152">
        <f t="shared" si="157"/>
        <v>0</v>
      </c>
      <c r="U100" s="152">
        <f t="shared" si="157"/>
        <v>0</v>
      </c>
      <c r="V100" s="153">
        <f t="shared" si="111"/>
        <v>0</v>
      </c>
      <c r="W100" s="152">
        <f>W33</f>
        <v>0</v>
      </c>
      <c r="X100" s="152">
        <f>X33</f>
        <v>0</v>
      </c>
      <c r="Y100" s="205">
        <f t="shared" si="112"/>
        <v>0</v>
      </c>
      <c r="Z100" s="152">
        <f>Z33</f>
        <v>0</v>
      </c>
      <c r="AA100" s="152">
        <f>AA33</f>
        <v>0</v>
      </c>
      <c r="AB100" s="205">
        <f t="shared" si="113"/>
        <v>0</v>
      </c>
      <c r="AC100" s="152">
        <f t="shared" ref="AC100:AK100" si="158">AC33</f>
        <v>0</v>
      </c>
      <c r="AD100" s="152">
        <f t="shared" si="158"/>
        <v>0</v>
      </c>
      <c r="AE100" s="152">
        <f t="shared" si="158"/>
        <v>0</v>
      </c>
      <c r="AF100" s="152">
        <f t="shared" si="158"/>
        <v>0</v>
      </c>
      <c r="AG100" s="152">
        <f t="shared" si="158"/>
        <v>0</v>
      </c>
      <c r="AH100" s="152">
        <f t="shared" si="158"/>
        <v>0</v>
      </c>
      <c r="AI100" s="152">
        <f t="shared" si="158"/>
        <v>0</v>
      </c>
      <c r="AJ100" s="152">
        <f t="shared" si="158"/>
        <v>0</v>
      </c>
      <c r="AK100" s="152">
        <f t="shared" si="158"/>
        <v>0</v>
      </c>
      <c r="AL100" s="205">
        <f t="shared" si="115"/>
        <v>0</v>
      </c>
      <c r="AM100" s="152">
        <f t="shared" ref="AM100:CO100" si="159">AM33</f>
        <v>0</v>
      </c>
      <c r="AN100" s="152">
        <f t="shared" si="159"/>
        <v>0</v>
      </c>
      <c r="AO100" s="152">
        <f t="shared" si="159"/>
        <v>0</v>
      </c>
      <c r="AP100" s="152">
        <f t="shared" si="159"/>
        <v>0</v>
      </c>
      <c r="AQ100" s="152">
        <f t="shared" si="159"/>
        <v>0</v>
      </c>
      <c r="AR100" s="152">
        <f t="shared" si="159"/>
        <v>0</v>
      </c>
      <c r="AS100" s="152">
        <f t="shared" si="159"/>
        <v>0</v>
      </c>
      <c r="AT100" s="152">
        <f t="shared" si="159"/>
        <v>0</v>
      </c>
      <c r="AU100" s="152">
        <f t="shared" si="159"/>
        <v>0</v>
      </c>
      <c r="AV100" s="152">
        <f t="shared" si="159"/>
        <v>0</v>
      </c>
      <c r="AW100" s="152">
        <f t="shared" si="159"/>
        <v>0</v>
      </c>
      <c r="AX100" s="152">
        <f t="shared" si="159"/>
        <v>0</v>
      </c>
      <c r="AY100" s="152">
        <f t="shared" si="159"/>
        <v>0</v>
      </c>
      <c r="AZ100" s="152">
        <f t="shared" si="159"/>
        <v>0</v>
      </c>
      <c r="BA100" s="152">
        <f t="shared" si="159"/>
        <v>0</v>
      </c>
      <c r="BB100" s="152">
        <f t="shared" si="159"/>
        <v>0</v>
      </c>
      <c r="BC100" s="152">
        <f t="shared" si="159"/>
        <v>0</v>
      </c>
      <c r="BD100" s="152">
        <f t="shared" si="159"/>
        <v>0</v>
      </c>
      <c r="BE100" s="152">
        <f t="shared" si="159"/>
        <v>0</v>
      </c>
      <c r="BF100" s="152">
        <f t="shared" si="159"/>
        <v>0</v>
      </c>
      <c r="BG100" s="152">
        <f t="shared" si="159"/>
        <v>0</v>
      </c>
      <c r="BH100" s="152">
        <f t="shared" si="159"/>
        <v>0</v>
      </c>
      <c r="BI100" s="152">
        <f t="shared" si="159"/>
        <v>0</v>
      </c>
      <c r="BJ100" s="152">
        <f t="shared" si="159"/>
        <v>0</v>
      </c>
      <c r="BK100" s="152">
        <f t="shared" si="159"/>
        <v>0</v>
      </c>
      <c r="BL100" s="152">
        <f t="shared" si="159"/>
        <v>0</v>
      </c>
      <c r="BM100" s="152">
        <f t="shared" si="159"/>
        <v>0</v>
      </c>
      <c r="BN100" s="152">
        <f t="shared" si="159"/>
        <v>0</v>
      </c>
      <c r="BO100" s="152">
        <f t="shared" si="159"/>
        <v>0</v>
      </c>
      <c r="BP100" s="152">
        <f t="shared" si="159"/>
        <v>0</v>
      </c>
      <c r="BQ100" s="152">
        <f t="shared" si="159"/>
        <v>0</v>
      </c>
      <c r="BR100" s="152">
        <f t="shared" si="159"/>
        <v>0</v>
      </c>
      <c r="BS100" s="152">
        <f t="shared" si="159"/>
        <v>0</v>
      </c>
      <c r="BT100" s="152">
        <f t="shared" si="159"/>
        <v>0</v>
      </c>
      <c r="BU100" s="152">
        <f t="shared" si="159"/>
        <v>0</v>
      </c>
      <c r="BV100" s="152">
        <f t="shared" si="159"/>
        <v>0</v>
      </c>
      <c r="BW100" s="152">
        <f t="shared" si="159"/>
        <v>0</v>
      </c>
      <c r="BX100" s="152">
        <f t="shared" si="159"/>
        <v>0</v>
      </c>
      <c r="BY100" s="152">
        <f t="shared" si="159"/>
        <v>0</v>
      </c>
      <c r="BZ100" s="152">
        <f t="shared" si="159"/>
        <v>0</v>
      </c>
      <c r="CA100" s="152">
        <f t="shared" si="159"/>
        <v>0</v>
      </c>
      <c r="CB100" s="152">
        <f t="shared" si="159"/>
        <v>0</v>
      </c>
      <c r="CC100" s="152">
        <f t="shared" si="159"/>
        <v>0</v>
      </c>
      <c r="CD100" s="152">
        <f t="shared" si="159"/>
        <v>0</v>
      </c>
      <c r="CE100" s="152">
        <f t="shared" si="159"/>
        <v>0</v>
      </c>
      <c r="CF100" s="152">
        <f t="shared" si="159"/>
        <v>0</v>
      </c>
      <c r="CG100" s="152">
        <f t="shared" si="159"/>
        <v>0</v>
      </c>
      <c r="CH100" s="152">
        <f t="shared" si="159"/>
        <v>0</v>
      </c>
      <c r="CI100" s="152">
        <f t="shared" si="159"/>
        <v>0</v>
      </c>
      <c r="CJ100" s="152">
        <f t="shared" si="159"/>
        <v>0</v>
      </c>
      <c r="CK100" s="152">
        <f t="shared" si="159"/>
        <v>0</v>
      </c>
      <c r="CL100" s="152">
        <f t="shared" si="159"/>
        <v>0</v>
      </c>
      <c r="CM100" s="152">
        <f t="shared" si="159"/>
        <v>0</v>
      </c>
      <c r="CN100" s="152">
        <f t="shared" si="159"/>
        <v>-882.97</v>
      </c>
      <c r="CO100" s="152">
        <f t="shared" si="159"/>
        <v>-1081.14</v>
      </c>
      <c r="CP100" s="152"/>
      <c r="CQ100" s="205">
        <f t="shared" si="117"/>
        <v>-1964.11</v>
      </c>
      <c r="CR100" s="205">
        <f t="shared" si="118"/>
        <v>-1964.11</v>
      </c>
      <c r="CS100" s="205">
        <f t="shared" si="119"/>
        <v>0</v>
      </c>
      <c r="CT100" s="152">
        <f t="shared" ref="CT100:DA100" si="160">CT33</f>
        <v>0</v>
      </c>
      <c r="CU100" s="152">
        <f t="shared" si="160"/>
        <v>0</v>
      </c>
      <c r="CV100" s="152">
        <f t="shared" si="160"/>
        <v>0</v>
      </c>
      <c r="CW100" s="212">
        <f t="shared" si="160"/>
        <v>0</v>
      </c>
      <c r="CX100" s="212">
        <f t="shared" si="160"/>
        <v>0</v>
      </c>
      <c r="CY100" s="212">
        <f t="shared" si="160"/>
        <v>0</v>
      </c>
      <c r="CZ100" s="205">
        <f t="shared" si="160"/>
        <v>0</v>
      </c>
      <c r="DA100" s="205">
        <f t="shared" si="160"/>
        <v>0</v>
      </c>
      <c r="DB100" s="193"/>
    </row>
    <row r="101" spans="2:106">
      <c r="B101" s="161"/>
      <c r="D101" s="154" t="s">
        <v>13877</v>
      </c>
      <c r="E101" s="198">
        <f t="shared" si="106"/>
        <v>0</v>
      </c>
      <c r="F101" s="153">
        <f t="shared" si="107"/>
        <v>0</v>
      </c>
      <c r="G101" s="152">
        <f>G18</f>
        <v>0</v>
      </c>
      <c r="H101" s="152">
        <f>H18</f>
        <v>0</v>
      </c>
      <c r="I101" s="152">
        <f>I18</f>
        <v>0</v>
      </c>
      <c r="J101" s="152">
        <f>J18</f>
        <v>0</v>
      </c>
      <c r="K101" s="152">
        <f>K18</f>
        <v>0</v>
      </c>
      <c r="L101" s="205">
        <f t="shared" si="108"/>
        <v>0</v>
      </c>
      <c r="M101" s="152">
        <f>M18</f>
        <v>0</v>
      </c>
      <c r="N101" s="152">
        <f>N18</f>
        <v>0</v>
      </c>
      <c r="O101" s="205">
        <f t="shared" si="109"/>
        <v>0</v>
      </c>
      <c r="P101" s="152">
        <f t="shared" ref="P101:U101" si="161">P18</f>
        <v>0</v>
      </c>
      <c r="Q101" s="152">
        <f t="shared" si="161"/>
        <v>0</v>
      </c>
      <c r="R101" s="152">
        <f t="shared" si="161"/>
        <v>0</v>
      </c>
      <c r="S101" s="152">
        <f t="shared" si="161"/>
        <v>0</v>
      </c>
      <c r="T101" s="152">
        <f t="shared" si="161"/>
        <v>0</v>
      </c>
      <c r="U101" s="152">
        <f t="shared" si="161"/>
        <v>0</v>
      </c>
      <c r="V101" s="153">
        <f t="shared" si="111"/>
        <v>0</v>
      </c>
      <c r="W101" s="152">
        <f>W18</f>
        <v>0</v>
      </c>
      <c r="X101" s="152">
        <f>X18</f>
        <v>0</v>
      </c>
      <c r="Y101" s="205">
        <f t="shared" si="112"/>
        <v>0</v>
      </c>
      <c r="Z101" s="152">
        <f>Z18</f>
        <v>0</v>
      </c>
      <c r="AA101" s="152">
        <f>AA18</f>
        <v>0</v>
      </c>
      <c r="AB101" s="205">
        <f t="shared" si="113"/>
        <v>0</v>
      </c>
      <c r="AC101" s="152">
        <f t="shared" ref="AC101:AK101" si="162">AC18</f>
        <v>0</v>
      </c>
      <c r="AD101" s="152">
        <f t="shared" si="162"/>
        <v>0</v>
      </c>
      <c r="AE101" s="152">
        <f t="shared" si="162"/>
        <v>0</v>
      </c>
      <c r="AF101" s="152">
        <f t="shared" si="162"/>
        <v>0</v>
      </c>
      <c r="AG101" s="152">
        <f t="shared" si="162"/>
        <v>0</v>
      </c>
      <c r="AH101" s="152">
        <f t="shared" si="162"/>
        <v>0</v>
      </c>
      <c r="AI101" s="152">
        <f t="shared" si="162"/>
        <v>0</v>
      </c>
      <c r="AJ101" s="152">
        <f t="shared" si="162"/>
        <v>0</v>
      </c>
      <c r="AK101" s="152">
        <f t="shared" si="162"/>
        <v>0</v>
      </c>
      <c r="AL101" s="205">
        <f t="shared" si="115"/>
        <v>0</v>
      </c>
      <c r="AM101" s="152">
        <f t="shared" ref="AM101:CO101" si="163">AM18</f>
        <v>0</v>
      </c>
      <c r="AN101" s="152">
        <f t="shared" si="163"/>
        <v>0</v>
      </c>
      <c r="AO101" s="152">
        <f t="shared" si="163"/>
        <v>0</v>
      </c>
      <c r="AP101" s="152">
        <f t="shared" si="163"/>
        <v>0</v>
      </c>
      <c r="AQ101" s="152">
        <f t="shared" si="163"/>
        <v>0</v>
      </c>
      <c r="AR101" s="152">
        <f t="shared" si="163"/>
        <v>0</v>
      </c>
      <c r="AS101" s="152">
        <f t="shared" si="163"/>
        <v>0</v>
      </c>
      <c r="AT101" s="152">
        <f t="shared" si="163"/>
        <v>0</v>
      </c>
      <c r="AU101" s="152">
        <f t="shared" si="163"/>
        <v>0</v>
      </c>
      <c r="AV101" s="152">
        <f t="shared" si="163"/>
        <v>0</v>
      </c>
      <c r="AW101" s="152">
        <f t="shared" si="163"/>
        <v>0</v>
      </c>
      <c r="AX101" s="152">
        <f t="shared" si="163"/>
        <v>0</v>
      </c>
      <c r="AY101" s="152">
        <f t="shared" si="163"/>
        <v>0</v>
      </c>
      <c r="AZ101" s="152">
        <f t="shared" si="163"/>
        <v>0</v>
      </c>
      <c r="BA101" s="152">
        <f t="shared" si="163"/>
        <v>0</v>
      </c>
      <c r="BB101" s="152">
        <f t="shared" si="163"/>
        <v>0</v>
      </c>
      <c r="BC101" s="152">
        <f t="shared" si="163"/>
        <v>0</v>
      </c>
      <c r="BD101" s="152">
        <f t="shared" si="163"/>
        <v>0</v>
      </c>
      <c r="BE101" s="152">
        <f t="shared" si="163"/>
        <v>0</v>
      </c>
      <c r="BF101" s="152">
        <f t="shared" si="163"/>
        <v>0</v>
      </c>
      <c r="BG101" s="152">
        <f t="shared" si="163"/>
        <v>0</v>
      </c>
      <c r="BH101" s="152">
        <f t="shared" si="163"/>
        <v>0</v>
      </c>
      <c r="BI101" s="152">
        <f t="shared" si="163"/>
        <v>0</v>
      </c>
      <c r="BJ101" s="152">
        <f t="shared" si="163"/>
        <v>0</v>
      </c>
      <c r="BK101" s="152">
        <f t="shared" si="163"/>
        <v>0</v>
      </c>
      <c r="BL101" s="152">
        <f t="shared" si="163"/>
        <v>0</v>
      </c>
      <c r="BM101" s="152">
        <f t="shared" si="163"/>
        <v>0</v>
      </c>
      <c r="BN101" s="152">
        <f t="shared" si="163"/>
        <v>0</v>
      </c>
      <c r="BO101" s="152">
        <f t="shared" si="163"/>
        <v>0</v>
      </c>
      <c r="BP101" s="152">
        <f t="shared" si="163"/>
        <v>0</v>
      </c>
      <c r="BQ101" s="152">
        <f t="shared" si="163"/>
        <v>0</v>
      </c>
      <c r="BR101" s="152">
        <f t="shared" si="163"/>
        <v>0</v>
      </c>
      <c r="BS101" s="152">
        <f t="shared" si="163"/>
        <v>0</v>
      </c>
      <c r="BT101" s="152">
        <f t="shared" si="163"/>
        <v>0</v>
      </c>
      <c r="BU101" s="152">
        <f t="shared" si="163"/>
        <v>0</v>
      </c>
      <c r="BV101" s="152">
        <f t="shared" si="163"/>
        <v>0</v>
      </c>
      <c r="BW101" s="152">
        <f t="shared" si="163"/>
        <v>0</v>
      </c>
      <c r="BX101" s="152">
        <f t="shared" si="163"/>
        <v>0</v>
      </c>
      <c r="BY101" s="152">
        <f t="shared" si="163"/>
        <v>0</v>
      </c>
      <c r="BZ101" s="152">
        <f t="shared" si="163"/>
        <v>0</v>
      </c>
      <c r="CA101" s="152">
        <f t="shared" si="163"/>
        <v>0</v>
      </c>
      <c r="CB101" s="152">
        <f t="shared" si="163"/>
        <v>0</v>
      </c>
      <c r="CC101" s="152">
        <f t="shared" si="163"/>
        <v>0</v>
      </c>
      <c r="CD101" s="152">
        <f t="shared" si="163"/>
        <v>0</v>
      </c>
      <c r="CE101" s="152">
        <f t="shared" si="163"/>
        <v>0</v>
      </c>
      <c r="CF101" s="152">
        <f t="shared" si="163"/>
        <v>0</v>
      </c>
      <c r="CG101" s="152">
        <f t="shared" si="163"/>
        <v>0</v>
      </c>
      <c r="CH101" s="152">
        <f t="shared" si="163"/>
        <v>0</v>
      </c>
      <c r="CI101" s="152">
        <f t="shared" si="163"/>
        <v>0</v>
      </c>
      <c r="CJ101" s="152">
        <f t="shared" si="163"/>
        <v>0</v>
      </c>
      <c r="CK101" s="152">
        <f t="shared" si="163"/>
        <v>0</v>
      </c>
      <c r="CL101" s="152">
        <f t="shared" si="163"/>
        <v>0</v>
      </c>
      <c r="CM101" s="152">
        <f t="shared" si="163"/>
        <v>0</v>
      </c>
      <c r="CN101" s="152">
        <f t="shared" si="163"/>
        <v>0</v>
      </c>
      <c r="CO101" s="152">
        <f t="shared" si="163"/>
        <v>0</v>
      </c>
      <c r="CP101" s="152"/>
      <c r="CQ101" s="205">
        <f t="shared" si="117"/>
        <v>0</v>
      </c>
      <c r="CR101" s="205">
        <f t="shared" si="118"/>
        <v>0</v>
      </c>
      <c r="CS101" s="205">
        <f t="shared" si="119"/>
        <v>0</v>
      </c>
      <c r="CT101" s="152">
        <f t="shared" ref="CT101:DA101" si="164">CT18</f>
        <v>0</v>
      </c>
      <c r="CU101" s="152">
        <f t="shared" si="164"/>
        <v>0</v>
      </c>
      <c r="CV101" s="152">
        <f t="shared" si="164"/>
        <v>0</v>
      </c>
      <c r="CW101" s="212">
        <f t="shared" si="164"/>
        <v>0</v>
      </c>
      <c r="CX101" s="212">
        <f t="shared" si="164"/>
        <v>0</v>
      </c>
      <c r="CY101" s="212">
        <f t="shared" si="164"/>
        <v>0</v>
      </c>
      <c r="CZ101" s="205">
        <f t="shared" si="164"/>
        <v>0</v>
      </c>
      <c r="DA101" s="205">
        <f t="shared" si="164"/>
        <v>0</v>
      </c>
      <c r="DB101" s="193"/>
    </row>
    <row r="102" spans="2:106" s="148" customFormat="true">
      <c r="B102" s="194"/>
      <c r="D102" s="148" t="s">
        <v>13938</v>
      </c>
      <c r="E102" s="199">
        <f t="shared" si="106"/>
        <v>0</v>
      </c>
      <c r="F102" s="200">
        <f t="shared" si="107"/>
        <v>0</v>
      </c>
      <c r="G102" s="201"/>
      <c r="H102" s="201"/>
      <c r="I102" s="201"/>
      <c r="J102" s="201"/>
      <c r="K102" s="201"/>
      <c r="L102" s="206">
        <f t="shared" si="108"/>
        <v>0</v>
      </c>
      <c r="M102" s="201"/>
      <c r="N102" s="201"/>
      <c r="O102" s="206">
        <f t="shared" si="109"/>
        <v>0</v>
      </c>
      <c r="P102" s="201"/>
      <c r="Q102" s="201"/>
      <c r="R102" s="201"/>
      <c r="S102" s="201"/>
      <c r="T102" s="201"/>
      <c r="U102" s="201"/>
      <c r="V102" s="200">
        <f t="shared" si="111"/>
        <v>0</v>
      </c>
      <c r="W102" s="201"/>
      <c r="X102" s="201"/>
      <c r="Y102" s="206">
        <f t="shared" si="112"/>
        <v>0</v>
      </c>
      <c r="Z102" s="201"/>
      <c r="AA102" s="201"/>
      <c r="AB102" s="206">
        <f t="shared" si="113"/>
        <v>0</v>
      </c>
      <c r="AC102" s="201"/>
      <c r="AD102" s="201"/>
      <c r="AE102" s="201"/>
      <c r="AF102" s="201"/>
      <c r="AG102" s="201"/>
      <c r="AH102" s="201"/>
      <c r="AI102" s="201"/>
      <c r="AJ102" s="201"/>
      <c r="AK102" s="201"/>
      <c r="AL102" s="206">
        <f t="shared" si="115"/>
        <v>0</v>
      </c>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6">
        <f t="shared" si="117"/>
        <v>0</v>
      </c>
      <c r="CR102" s="206">
        <f t="shared" si="118"/>
        <v>0</v>
      </c>
      <c r="CS102" s="206">
        <f t="shared" si="119"/>
        <v>0</v>
      </c>
      <c r="CT102" s="210"/>
      <c r="CU102" s="201"/>
      <c r="CV102" s="201"/>
      <c r="CW102" s="213"/>
      <c r="CX102" s="213"/>
      <c r="CY102" s="213"/>
      <c r="CZ102" s="206"/>
      <c r="DA102" s="206"/>
      <c r="DB102" s="214"/>
    </row>
    <row r="103" spans="1:106">
      <c r="A103" s="154">
        <f>MAX(A87:A92)+1</f>
        <v>31</v>
      </c>
      <c r="B103" s="161"/>
      <c r="D103" s="154" t="s">
        <v>3864</v>
      </c>
      <c r="E103" s="198">
        <f t="shared" si="106"/>
        <v>-25115.49</v>
      </c>
      <c r="F103" s="153">
        <f t="shared" si="107"/>
        <v>-25115.49</v>
      </c>
      <c r="G103" s="152">
        <f>-G74</f>
        <v>0</v>
      </c>
      <c r="H103" s="152">
        <f>-H74</f>
        <v>0</v>
      </c>
      <c r="I103" s="152">
        <f>-I74</f>
        <v>0</v>
      </c>
      <c r="J103" s="152">
        <f>-J74</f>
        <v>0</v>
      </c>
      <c r="K103" s="152">
        <f>-K74</f>
        <v>0</v>
      </c>
      <c r="L103" s="205">
        <f t="shared" si="108"/>
        <v>0</v>
      </c>
      <c r="M103" s="152">
        <f>-M74</f>
        <v>0</v>
      </c>
      <c r="N103" s="152">
        <f>-N74</f>
        <v>0</v>
      </c>
      <c r="O103" s="205">
        <f t="shared" si="109"/>
        <v>0</v>
      </c>
      <c r="P103" s="152">
        <f t="shared" ref="P103:U103" si="165">-P74</f>
        <v>0</v>
      </c>
      <c r="Q103" s="152">
        <f t="shared" si="165"/>
        <v>0</v>
      </c>
      <c r="R103" s="152">
        <f t="shared" si="165"/>
        <v>0</v>
      </c>
      <c r="S103" s="152">
        <f t="shared" si="165"/>
        <v>0</v>
      </c>
      <c r="T103" s="152">
        <f t="shared" si="165"/>
        <v>0</v>
      </c>
      <c r="U103" s="152">
        <f t="shared" si="165"/>
        <v>0</v>
      </c>
      <c r="V103" s="153">
        <f t="shared" si="111"/>
        <v>0</v>
      </c>
      <c r="W103" s="152">
        <f>-W74</f>
        <v>0</v>
      </c>
      <c r="X103" s="152">
        <f>-X74</f>
        <v>0</v>
      </c>
      <c r="Y103" s="205">
        <f t="shared" si="112"/>
        <v>0</v>
      </c>
      <c r="Z103" s="152">
        <f>-Z74</f>
        <v>0</v>
      </c>
      <c r="AA103" s="152">
        <f>-AA74</f>
        <v>0</v>
      </c>
      <c r="AB103" s="205">
        <f t="shared" si="113"/>
        <v>0</v>
      </c>
      <c r="AC103" s="152">
        <f t="shared" ref="AC103:AK103" si="166">-AC74</f>
        <v>0</v>
      </c>
      <c r="AD103" s="152">
        <f t="shared" si="166"/>
        <v>0</v>
      </c>
      <c r="AE103" s="152">
        <f t="shared" si="166"/>
        <v>0</v>
      </c>
      <c r="AF103" s="152">
        <f t="shared" si="166"/>
        <v>0</v>
      </c>
      <c r="AG103" s="152">
        <f t="shared" si="166"/>
        <v>0</v>
      </c>
      <c r="AH103" s="152">
        <f t="shared" si="166"/>
        <v>0</v>
      </c>
      <c r="AI103" s="152">
        <f t="shared" si="166"/>
        <v>0</v>
      </c>
      <c r="AJ103" s="152">
        <f t="shared" si="166"/>
        <v>0</v>
      </c>
      <c r="AK103" s="152">
        <f t="shared" si="166"/>
        <v>-23982.81</v>
      </c>
      <c r="AL103" s="205">
        <f t="shared" si="115"/>
        <v>-23982.81</v>
      </c>
      <c r="AM103" s="152">
        <f t="shared" ref="AM103:CO103" si="167">-AM74</f>
        <v>0</v>
      </c>
      <c r="AN103" s="152">
        <f t="shared" si="167"/>
        <v>0</v>
      </c>
      <c r="AO103" s="152">
        <f t="shared" si="167"/>
        <v>3822.84</v>
      </c>
      <c r="AP103" s="152">
        <f t="shared" si="167"/>
        <v>0</v>
      </c>
      <c r="AQ103" s="152">
        <f t="shared" si="167"/>
        <v>0</v>
      </c>
      <c r="AR103" s="152">
        <f t="shared" si="167"/>
        <v>0</v>
      </c>
      <c r="AS103" s="152">
        <f t="shared" si="167"/>
        <v>0</v>
      </c>
      <c r="AT103" s="152">
        <f t="shared" si="167"/>
        <v>0</v>
      </c>
      <c r="AU103" s="152">
        <f t="shared" si="167"/>
        <v>-3005.93</v>
      </c>
      <c r="AV103" s="152">
        <f t="shared" si="167"/>
        <v>0</v>
      </c>
      <c r="AW103" s="152">
        <f t="shared" si="167"/>
        <v>0</v>
      </c>
      <c r="AX103" s="152">
        <f t="shared" si="167"/>
        <v>0</v>
      </c>
      <c r="AY103" s="152">
        <f t="shared" si="167"/>
        <v>0</v>
      </c>
      <c r="AZ103" s="152">
        <f t="shared" si="167"/>
        <v>0</v>
      </c>
      <c r="BA103" s="152">
        <f t="shared" si="167"/>
        <v>0</v>
      </c>
      <c r="BB103" s="152">
        <f t="shared" si="167"/>
        <v>0</v>
      </c>
      <c r="BC103" s="152">
        <f t="shared" si="167"/>
        <v>0</v>
      </c>
      <c r="BD103" s="152">
        <f t="shared" si="167"/>
        <v>0</v>
      </c>
      <c r="BE103" s="152">
        <f t="shared" si="167"/>
        <v>0</v>
      </c>
      <c r="BF103" s="152">
        <f t="shared" si="167"/>
        <v>0</v>
      </c>
      <c r="BG103" s="152">
        <f t="shared" si="167"/>
        <v>0</v>
      </c>
      <c r="BH103" s="152">
        <f t="shared" si="167"/>
        <v>0</v>
      </c>
      <c r="BI103" s="152">
        <f t="shared" si="167"/>
        <v>0</v>
      </c>
      <c r="BJ103" s="152">
        <f t="shared" si="167"/>
        <v>0</v>
      </c>
      <c r="BK103" s="152">
        <f t="shared" si="167"/>
        <v>0</v>
      </c>
      <c r="BL103" s="152">
        <f t="shared" si="167"/>
        <v>0</v>
      </c>
      <c r="BM103" s="152">
        <f t="shared" si="167"/>
        <v>0</v>
      </c>
      <c r="BN103" s="152">
        <f t="shared" si="167"/>
        <v>0</v>
      </c>
      <c r="BO103" s="152">
        <f t="shared" si="167"/>
        <v>0</v>
      </c>
      <c r="BP103" s="152">
        <f t="shared" si="167"/>
        <v>0</v>
      </c>
      <c r="BQ103" s="152">
        <f t="shared" si="167"/>
        <v>0</v>
      </c>
      <c r="BR103" s="152">
        <f t="shared" si="167"/>
        <v>0</v>
      </c>
      <c r="BS103" s="152">
        <f t="shared" si="167"/>
        <v>0</v>
      </c>
      <c r="BT103" s="152">
        <f t="shared" si="167"/>
        <v>0</v>
      </c>
      <c r="BU103" s="152">
        <f t="shared" si="167"/>
        <v>0</v>
      </c>
      <c r="BV103" s="152">
        <f t="shared" si="167"/>
        <v>0</v>
      </c>
      <c r="BW103" s="152">
        <f t="shared" si="167"/>
        <v>0</v>
      </c>
      <c r="BX103" s="152">
        <f t="shared" si="167"/>
        <v>0</v>
      </c>
      <c r="BY103" s="152">
        <f t="shared" si="167"/>
        <v>0</v>
      </c>
      <c r="BZ103" s="152">
        <f t="shared" si="167"/>
        <v>0</v>
      </c>
      <c r="CA103" s="152">
        <f t="shared" si="167"/>
        <v>-1733.59</v>
      </c>
      <c r="CB103" s="152">
        <f t="shared" si="167"/>
        <v>0</v>
      </c>
      <c r="CC103" s="152">
        <f t="shared" si="167"/>
        <v>0</v>
      </c>
      <c r="CD103" s="152">
        <f t="shared" si="167"/>
        <v>0</v>
      </c>
      <c r="CE103" s="152">
        <f t="shared" si="167"/>
        <v>0</v>
      </c>
      <c r="CF103" s="152">
        <f t="shared" si="167"/>
        <v>-216</v>
      </c>
      <c r="CG103" s="152">
        <f t="shared" si="167"/>
        <v>0</v>
      </c>
      <c r="CH103" s="152">
        <f t="shared" si="167"/>
        <v>0</v>
      </c>
      <c r="CI103" s="152">
        <f t="shared" si="167"/>
        <v>0</v>
      </c>
      <c r="CJ103" s="152">
        <f t="shared" si="167"/>
        <v>0</v>
      </c>
      <c r="CK103" s="152">
        <f t="shared" si="167"/>
        <v>0</v>
      </c>
      <c r="CL103" s="152">
        <f t="shared" si="167"/>
        <v>0</v>
      </c>
      <c r="CM103" s="152">
        <f t="shared" si="167"/>
        <v>0</v>
      </c>
      <c r="CN103" s="152">
        <f t="shared" si="167"/>
        <v>0</v>
      </c>
      <c r="CO103" s="152">
        <f t="shared" si="167"/>
        <v>0</v>
      </c>
      <c r="CP103" s="152"/>
      <c r="CQ103" s="205">
        <f t="shared" si="117"/>
        <v>-1132.68</v>
      </c>
      <c r="CR103" s="205">
        <f t="shared" si="118"/>
        <v>-25115.49</v>
      </c>
      <c r="CS103" s="205">
        <f t="shared" si="119"/>
        <v>0</v>
      </c>
      <c r="CT103" s="209">
        <f t="shared" ref="CT103:DA103" si="168">-CT74</f>
        <v>0</v>
      </c>
      <c r="CU103" s="152">
        <f t="shared" si="168"/>
        <v>0</v>
      </c>
      <c r="CV103" s="152">
        <f t="shared" si="168"/>
        <v>0</v>
      </c>
      <c r="CW103" s="212">
        <f t="shared" si="168"/>
        <v>0</v>
      </c>
      <c r="CX103" s="212">
        <f t="shared" si="168"/>
        <v>0</v>
      </c>
      <c r="CY103" s="212">
        <f t="shared" si="168"/>
        <v>0</v>
      </c>
      <c r="CZ103" s="205">
        <f t="shared" si="168"/>
        <v>0</v>
      </c>
      <c r="DA103" s="205">
        <f t="shared" si="168"/>
        <v>0</v>
      </c>
      <c r="DB103" s="193"/>
    </row>
    <row r="104" spans="1:106">
      <c r="A104" s="196">
        <f>MAX(A87:A92)+1</f>
        <v>31</v>
      </c>
      <c r="B104" s="197"/>
      <c r="C104" s="196" t="s">
        <v>13886</v>
      </c>
      <c r="D104" s="196" t="s">
        <v>13939</v>
      </c>
      <c r="E104" s="202">
        <f t="shared" si="106"/>
        <v>-4102965.87</v>
      </c>
      <c r="F104" s="203">
        <f t="shared" si="107"/>
        <v>-3302965.87</v>
      </c>
      <c r="G104" s="204">
        <f>-G27-G127-G128-G129</f>
        <v>-226558.33</v>
      </c>
      <c r="H104" s="204">
        <f>-H27-H127-H128-H129</f>
        <v>0</v>
      </c>
      <c r="I104" s="204">
        <f>-I27-I127-I128-I129</f>
        <v>0</v>
      </c>
      <c r="J104" s="204">
        <f>-J27-J127-J128-J129</f>
        <v>0</v>
      </c>
      <c r="K104" s="204">
        <f>-K27-K127-K128-K129</f>
        <v>0</v>
      </c>
      <c r="L104" s="207">
        <f t="shared" si="108"/>
        <v>-226558.33</v>
      </c>
      <c r="M104" s="204">
        <f>-M27-M127-M128-M129</f>
        <v>-15887.5</v>
      </c>
      <c r="N104" s="204">
        <f>-N27-N127-N128-N129</f>
        <v>-15887.5</v>
      </c>
      <c r="O104" s="207">
        <f t="shared" si="109"/>
        <v>-31775</v>
      </c>
      <c r="P104" s="204">
        <f t="shared" ref="P104:U104" si="169">-P27-P127-P128-P129</f>
        <v>-9617.85</v>
      </c>
      <c r="Q104" s="204">
        <f t="shared" si="169"/>
        <v>-12696.45</v>
      </c>
      <c r="R104" s="204">
        <f t="shared" si="169"/>
        <v>-6721.39</v>
      </c>
      <c r="S104" s="204">
        <f t="shared" si="169"/>
        <v>-4566.81</v>
      </c>
      <c r="T104" s="204">
        <f t="shared" si="169"/>
        <v>-3616.15</v>
      </c>
      <c r="U104" s="204">
        <f t="shared" si="169"/>
        <v>0</v>
      </c>
      <c r="V104" s="203">
        <f t="shared" si="111"/>
        <v>-37218.65</v>
      </c>
      <c r="W104" s="204">
        <f>-W27-W127-W128-W129</f>
        <v>-7205.62</v>
      </c>
      <c r="X104" s="204">
        <f>-X27-X127-X128-X129</f>
        <v>0</v>
      </c>
      <c r="Y104" s="207">
        <f t="shared" si="112"/>
        <v>-44424.27</v>
      </c>
      <c r="Z104" s="204">
        <f>-Z27-Z127-Z128-Z129</f>
        <v>0</v>
      </c>
      <c r="AA104" s="204">
        <f>-AA27-AA127-AA128-AA129</f>
        <v>0</v>
      </c>
      <c r="AB104" s="207">
        <f t="shared" si="113"/>
        <v>0</v>
      </c>
      <c r="AC104" s="204">
        <f t="shared" ref="AC104:AK104" si="170">-AC27-AC127-AC128-AC129</f>
        <v>0</v>
      </c>
      <c r="AD104" s="204">
        <f t="shared" si="170"/>
        <v>0</v>
      </c>
      <c r="AE104" s="204">
        <f t="shared" si="170"/>
        <v>0</v>
      </c>
      <c r="AF104" s="204">
        <f t="shared" si="170"/>
        <v>-4870.1</v>
      </c>
      <c r="AG104" s="204">
        <f t="shared" si="170"/>
        <v>-11402.77</v>
      </c>
      <c r="AH104" s="204">
        <f t="shared" si="170"/>
        <v>-5284.9</v>
      </c>
      <c r="AI104" s="204">
        <f t="shared" si="170"/>
        <v>-9410.81</v>
      </c>
      <c r="AJ104" s="204">
        <f t="shared" si="170"/>
        <v>-12267.48</v>
      </c>
      <c r="AK104" s="204">
        <f t="shared" si="170"/>
        <v>0</v>
      </c>
      <c r="AL104" s="207">
        <f t="shared" si="115"/>
        <v>-43236.06</v>
      </c>
      <c r="AM104" s="204">
        <f>-AM27-AM127-AM128-AM129</f>
        <v>0</v>
      </c>
      <c r="AN104" s="204">
        <f>-AN27-AN127-AN128-AN129-AN120</f>
        <v>0</v>
      </c>
      <c r="AO104" s="204">
        <f>-AO27-AO127-AO128-AO129-AO120</f>
        <v>0</v>
      </c>
      <c r="AP104" s="204">
        <f t="shared" ref="AP104:BQ104" si="171">-AP27-AP127-AP128-AP129</f>
        <v>0</v>
      </c>
      <c r="AQ104" s="204">
        <f t="shared" si="171"/>
        <v>0</v>
      </c>
      <c r="AR104" s="204">
        <f t="shared" si="171"/>
        <v>0</v>
      </c>
      <c r="AS104" s="204">
        <f t="shared" si="171"/>
        <v>-5012.09</v>
      </c>
      <c r="AT104" s="204">
        <f t="shared" si="171"/>
        <v>-4113.14</v>
      </c>
      <c r="AU104" s="204">
        <f t="shared" si="171"/>
        <v>-3273.94</v>
      </c>
      <c r="AV104" s="204">
        <f t="shared" si="171"/>
        <v>-11997.78</v>
      </c>
      <c r="AW104" s="204">
        <f t="shared" si="171"/>
        <v>0</v>
      </c>
      <c r="AX104" s="204">
        <f t="shared" si="171"/>
        <v>0</v>
      </c>
      <c r="AY104" s="204">
        <f t="shared" si="171"/>
        <v>0</v>
      </c>
      <c r="AZ104" s="204">
        <f t="shared" si="171"/>
        <v>-5242.17</v>
      </c>
      <c r="BA104" s="204">
        <f t="shared" si="171"/>
        <v>-4452.7</v>
      </c>
      <c r="BB104" s="204">
        <f t="shared" si="171"/>
        <v>0</v>
      </c>
      <c r="BC104" s="204">
        <f t="shared" si="171"/>
        <v>-14469.55</v>
      </c>
      <c r="BD104" s="204">
        <f t="shared" si="171"/>
        <v>-4094.74</v>
      </c>
      <c r="BE104" s="204">
        <f t="shared" si="171"/>
        <v>-4724.78</v>
      </c>
      <c r="BF104" s="204">
        <f t="shared" si="171"/>
        <v>-2659.2</v>
      </c>
      <c r="BG104" s="204">
        <f t="shared" si="171"/>
        <v>-3630.65</v>
      </c>
      <c r="BH104" s="204">
        <f t="shared" si="171"/>
        <v>0</v>
      </c>
      <c r="BI104" s="204">
        <f t="shared" si="171"/>
        <v>-4969.04</v>
      </c>
      <c r="BJ104" s="204">
        <f t="shared" si="171"/>
        <v>0</v>
      </c>
      <c r="BK104" s="204">
        <f t="shared" si="171"/>
        <v>0</v>
      </c>
      <c r="BL104" s="204">
        <f t="shared" si="171"/>
        <v>-2638.46</v>
      </c>
      <c r="BM104" s="204">
        <f t="shared" si="171"/>
        <v>-2814.07</v>
      </c>
      <c r="BN104" s="204">
        <f t="shared" si="171"/>
        <v>-3936.58</v>
      </c>
      <c r="BO104" s="204">
        <f t="shared" si="171"/>
        <v>0</v>
      </c>
      <c r="BP104" s="204">
        <f t="shared" si="171"/>
        <v>-4634.38</v>
      </c>
      <c r="BQ104" s="204">
        <f t="shared" si="171"/>
        <v>-4402.11</v>
      </c>
      <c r="BR104" s="204">
        <f>-BR27-BR127-BR128-BR129-BR120</f>
        <v>0</v>
      </c>
      <c r="BS104" s="204">
        <f t="shared" ref="BS104:BZ104" si="172">-BS27-BS127-BS128-BS129</f>
        <v>-1001.58</v>
      </c>
      <c r="BT104" s="204">
        <f t="shared" si="172"/>
        <v>0</v>
      </c>
      <c r="BU104" s="204">
        <f t="shared" si="172"/>
        <v>0</v>
      </c>
      <c r="BV104" s="204">
        <f t="shared" si="172"/>
        <v>0</v>
      </c>
      <c r="BW104" s="204">
        <f t="shared" si="172"/>
        <v>0</v>
      </c>
      <c r="BX104" s="204">
        <f t="shared" si="172"/>
        <v>0</v>
      </c>
      <c r="BY104" s="204">
        <f t="shared" si="172"/>
        <v>0</v>
      </c>
      <c r="BZ104" s="204">
        <f t="shared" si="172"/>
        <v>0</v>
      </c>
      <c r="CA104" s="204">
        <f t="shared" ref="CA104:CM104" si="173">-CA27-CA127-CA128</f>
        <v>-1778.89</v>
      </c>
      <c r="CB104" s="204">
        <f t="shared" si="173"/>
        <v>0</v>
      </c>
      <c r="CC104" s="204">
        <f t="shared" si="173"/>
        <v>0</v>
      </c>
      <c r="CD104" s="204">
        <f t="shared" si="173"/>
        <v>-7403.73</v>
      </c>
      <c r="CE104" s="204">
        <f t="shared" si="173"/>
        <v>0</v>
      </c>
      <c r="CF104" s="204">
        <f t="shared" si="173"/>
        <v>277.37</v>
      </c>
      <c r="CG104" s="204">
        <f t="shared" si="173"/>
        <v>0</v>
      </c>
      <c r="CH104" s="204">
        <f t="shared" si="173"/>
        <v>0</v>
      </c>
      <c r="CI104" s="204">
        <f t="shared" si="173"/>
        <v>0</v>
      </c>
      <c r="CJ104" s="204">
        <f t="shared" si="173"/>
        <v>0</v>
      </c>
      <c r="CK104" s="204">
        <f t="shared" si="173"/>
        <v>0</v>
      </c>
      <c r="CL104" s="204">
        <f t="shared" si="173"/>
        <v>0</v>
      </c>
      <c r="CM104" s="204">
        <f t="shared" si="173"/>
        <v>0</v>
      </c>
      <c r="CN104" s="204">
        <f>-CN27-CN127-CN128-CN120</f>
        <v>-750000</v>
      </c>
      <c r="CO104" s="204">
        <f>-CO27-CO127-CO128-CO120</f>
        <v>-2110000</v>
      </c>
      <c r="CP104" s="208"/>
      <c r="CQ104" s="208">
        <f t="shared" si="117"/>
        <v>-2956972.21</v>
      </c>
      <c r="CR104" s="207">
        <f t="shared" si="118"/>
        <v>-3000208.27</v>
      </c>
      <c r="CS104" s="207">
        <f t="shared" si="119"/>
        <v>0</v>
      </c>
      <c r="CT104" s="197">
        <f>-CT27-CT127-CT128-CT129</f>
        <v>0</v>
      </c>
      <c r="CU104" s="196">
        <f>-CU27-CU127-CU128-CU129</f>
        <v>0</v>
      </c>
      <c r="CV104" s="196">
        <f>-CV27-CV127-CV128-CV129</f>
        <v>0</v>
      </c>
      <c r="CW104" s="208">
        <f>-CW27-CW127-CW128-CW129</f>
        <v>0</v>
      </c>
      <c r="CX104" s="196">
        <f>-CX27-CX127-CX128-CX129</f>
        <v>0</v>
      </c>
      <c r="CY104" s="196">
        <f>-CY27-CY127+CY128</f>
        <v>0</v>
      </c>
      <c r="CZ104" s="196">
        <f>-CZ27-CZ127-CZ128-CZ129</f>
        <v>0</v>
      </c>
      <c r="DA104" s="215">
        <f>-DA27-DA127-DA129</f>
        <v>-800000</v>
      </c>
      <c r="DB104" s="216"/>
    </row>
    <row r="105" spans="1:106">
      <c r="A105" s="154">
        <f>MAX(A88:A104)+1</f>
        <v>32</v>
      </c>
      <c r="B105" s="161"/>
      <c r="D105" s="154" t="s">
        <v>3325</v>
      </c>
      <c r="E105" s="198">
        <f t="shared" si="106"/>
        <v>-3755580.37</v>
      </c>
      <c r="F105" s="153">
        <f t="shared" si="107"/>
        <v>-3631240.9</v>
      </c>
      <c r="G105" s="152">
        <f>-G68-G102</f>
        <v>-87815.4900000001</v>
      </c>
      <c r="H105" s="152">
        <f>-H68-H102</f>
        <v>-9979.1</v>
      </c>
      <c r="I105" s="152">
        <f>-I68-I102</f>
        <v>-3991.64</v>
      </c>
      <c r="J105" s="152">
        <f>-J68-J102</f>
        <v>-5987.46</v>
      </c>
      <c r="K105" s="152">
        <f>-K68-K102</f>
        <v>0</v>
      </c>
      <c r="L105" s="205">
        <f t="shared" si="108"/>
        <v>-107773.69</v>
      </c>
      <c r="M105" s="152">
        <f>-M68-M102</f>
        <v>-7557.68</v>
      </c>
      <c r="N105" s="152">
        <f>-N68-N102</f>
        <v>-7557.68</v>
      </c>
      <c r="O105" s="205">
        <f t="shared" si="109"/>
        <v>-15115.36</v>
      </c>
      <c r="P105" s="152">
        <f t="shared" ref="P105:U105" si="174">-P68-P102</f>
        <v>-14980.04</v>
      </c>
      <c r="Q105" s="152">
        <f t="shared" si="174"/>
        <v>-19775.03</v>
      </c>
      <c r="R105" s="152">
        <f t="shared" si="174"/>
        <v>-10468.72</v>
      </c>
      <c r="S105" s="152">
        <f t="shared" si="174"/>
        <v>-7112.92</v>
      </c>
      <c r="T105" s="152">
        <f t="shared" si="174"/>
        <v>-5632.21</v>
      </c>
      <c r="U105" s="152">
        <f t="shared" si="174"/>
        <v>0</v>
      </c>
      <c r="V105" s="153">
        <f t="shared" si="111"/>
        <v>-57968.92</v>
      </c>
      <c r="W105" s="152">
        <f>-W68-W102</f>
        <v>-11222.91</v>
      </c>
      <c r="X105" s="152">
        <f>-X68-X102</f>
        <v>0</v>
      </c>
      <c r="Y105" s="205">
        <f t="shared" si="112"/>
        <v>-69191.83</v>
      </c>
      <c r="Z105" s="152">
        <f>-Z68-Z102</f>
        <v>0</v>
      </c>
      <c r="AA105" s="152">
        <f>-AA68-AA102</f>
        <v>0</v>
      </c>
      <c r="AB105" s="205">
        <f t="shared" si="113"/>
        <v>0</v>
      </c>
      <c r="AC105" s="152">
        <f t="shared" ref="AC105:AK105" si="175">-AC68-AC102</f>
        <v>0</v>
      </c>
      <c r="AD105" s="152">
        <f t="shared" si="175"/>
        <v>0</v>
      </c>
      <c r="AE105" s="152">
        <f t="shared" si="175"/>
        <v>0</v>
      </c>
      <c r="AF105" s="152">
        <f t="shared" si="175"/>
        <v>-12029.73</v>
      </c>
      <c r="AG105" s="152">
        <f t="shared" si="175"/>
        <v>-26454.68</v>
      </c>
      <c r="AH105" s="152">
        <f t="shared" si="175"/>
        <v>-16773.58</v>
      </c>
      <c r="AI105" s="152">
        <f t="shared" si="175"/>
        <v>-22564.3</v>
      </c>
      <c r="AJ105" s="152">
        <f t="shared" si="175"/>
        <v>-28629.21</v>
      </c>
      <c r="AK105" s="152">
        <f t="shared" si="175"/>
        <v>-618</v>
      </c>
      <c r="AL105" s="205">
        <f t="shared" si="115"/>
        <v>-107069.5</v>
      </c>
      <c r="AM105" s="152">
        <f t="shared" ref="AM105:CO105" si="176">-AM68-AM102</f>
        <v>0</v>
      </c>
      <c r="AN105" s="152">
        <f t="shared" si="176"/>
        <v>-56813.6</v>
      </c>
      <c r="AO105" s="152">
        <f t="shared" si="176"/>
        <v>-29905.75</v>
      </c>
      <c r="AP105" s="152">
        <f t="shared" si="176"/>
        <v>0</v>
      </c>
      <c r="AQ105" s="152">
        <f t="shared" si="176"/>
        <v>-78429.85</v>
      </c>
      <c r="AR105" s="152">
        <f t="shared" si="176"/>
        <v>0</v>
      </c>
      <c r="AS105" s="152">
        <f t="shared" si="176"/>
        <v>-17888.08</v>
      </c>
      <c r="AT105" s="152">
        <f t="shared" si="176"/>
        <v>-7698.86</v>
      </c>
      <c r="AU105" s="152">
        <f t="shared" si="176"/>
        <v>-8081.63</v>
      </c>
      <c r="AV105" s="152">
        <f t="shared" si="176"/>
        <v>-14744.35</v>
      </c>
      <c r="AW105" s="152">
        <f t="shared" si="176"/>
        <v>0</v>
      </c>
      <c r="AX105" s="152">
        <f t="shared" si="176"/>
        <v>0</v>
      </c>
      <c r="AY105" s="152">
        <f t="shared" si="176"/>
        <v>0</v>
      </c>
      <c r="AZ105" s="152">
        <f t="shared" si="176"/>
        <v>-9235.58</v>
      </c>
      <c r="BA105" s="152">
        <f t="shared" si="176"/>
        <v>-8749.29</v>
      </c>
      <c r="BB105" s="152">
        <f t="shared" si="176"/>
        <v>0</v>
      </c>
      <c r="BC105" s="152">
        <f t="shared" si="176"/>
        <v>-25093.9</v>
      </c>
      <c r="BD105" s="152">
        <f t="shared" si="176"/>
        <v>-7407.98</v>
      </c>
      <c r="BE105" s="152">
        <f t="shared" si="176"/>
        <v>-10803.66</v>
      </c>
      <c r="BF105" s="152">
        <f t="shared" si="176"/>
        <v>-6332.57</v>
      </c>
      <c r="BG105" s="152">
        <f t="shared" si="176"/>
        <v>-8419.05</v>
      </c>
      <c r="BH105" s="152">
        <f t="shared" si="176"/>
        <v>0</v>
      </c>
      <c r="BI105" s="152">
        <f t="shared" si="176"/>
        <v>-11592.01</v>
      </c>
      <c r="BJ105" s="152">
        <f t="shared" si="176"/>
        <v>0</v>
      </c>
      <c r="BK105" s="152">
        <f t="shared" si="176"/>
        <v>-648</v>
      </c>
      <c r="BL105" s="152">
        <f t="shared" si="176"/>
        <v>-6617.38</v>
      </c>
      <c r="BM105" s="152">
        <f t="shared" si="176"/>
        <v>-7044.96</v>
      </c>
      <c r="BN105" s="152">
        <f t="shared" si="176"/>
        <v>-9809.34</v>
      </c>
      <c r="BO105" s="152">
        <f t="shared" si="176"/>
        <v>0</v>
      </c>
      <c r="BP105" s="152">
        <f t="shared" si="176"/>
        <v>-27963.64</v>
      </c>
      <c r="BQ105" s="152">
        <f t="shared" si="176"/>
        <v>-11316.9</v>
      </c>
      <c r="BR105" s="152">
        <f t="shared" si="176"/>
        <v>-552343.75</v>
      </c>
      <c r="BS105" s="152">
        <f t="shared" si="176"/>
        <v>-2678.71</v>
      </c>
      <c r="BT105" s="152">
        <f t="shared" si="176"/>
        <v>0</v>
      </c>
      <c r="BU105" s="152">
        <f t="shared" si="176"/>
        <v>0</v>
      </c>
      <c r="BV105" s="152">
        <f t="shared" si="176"/>
        <v>0</v>
      </c>
      <c r="BW105" s="152">
        <f t="shared" si="176"/>
        <v>-105113.04</v>
      </c>
      <c r="BX105" s="152">
        <f t="shared" si="176"/>
        <v>-193117.94</v>
      </c>
      <c r="BY105" s="152">
        <f t="shared" si="176"/>
        <v>0</v>
      </c>
      <c r="BZ105" s="152">
        <f t="shared" si="176"/>
        <v>-255531</v>
      </c>
      <c r="CA105" s="152">
        <f t="shared" si="176"/>
        <v>-7059.23</v>
      </c>
      <c r="CB105" s="152">
        <f t="shared" si="176"/>
        <v>-43687.5</v>
      </c>
      <c r="CC105" s="152">
        <f t="shared" si="176"/>
        <v>-22128.75</v>
      </c>
      <c r="CD105" s="152">
        <f t="shared" si="176"/>
        <v>-11066.25</v>
      </c>
      <c r="CE105" s="152">
        <f t="shared" si="176"/>
        <v>-108241.17</v>
      </c>
      <c r="CF105" s="152">
        <f t="shared" si="176"/>
        <v>-79001.56</v>
      </c>
      <c r="CG105" s="152">
        <f t="shared" si="176"/>
        <v>-11935.88</v>
      </c>
      <c r="CH105" s="152">
        <f t="shared" si="176"/>
        <v>-69947.92</v>
      </c>
      <c r="CI105" s="152">
        <f t="shared" si="176"/>
        <v>-89194.54</v>
      </c>
      <c r="CJ105" s="152">
        <f t="shared" si="176"/>
        <v>-116416.88</v>
      </c>
      <c r="CK105" s="152">
        <f t="shared" si="176"/>
        <v>-11812.5</v>
      </c>
      <c r="CL105" s="152">
        <f t="shared" si="176"/>
        <v>-36663.97</v>
      </c>
      <c r="CM105" s="152">
        <f t="shared" si="176"/>
        <v>-289576</v>
      </c>
      <c r="CN105" s="152">
        <f t="shared" si="176"/>
        <v>-625149.91</v>
      </c>
      <c r="CO105" s="152">
        <f t="shared" si="176"/>
        <v>-336827.64</v>
      </c>
      <c r="CP105" s="152"/>
      <c r="CQ105" s="205">
        <f t="shared" si="117"/>
        <v>-3332090.52</v>
      </c>
      <c r="CR105" s="205">
        <f t="shared" si="118"/>
        <v>-3439160.02</v>
      </c>
      <c r="CS105" s="205">
        <f t="shared" si="119"/>
        <v>-18753.91</v>
      </c>
      <c r="CT105" s="152">
        <f t="shared" ref="CT105:DA105" si="177">-CT68-CT102</f>
        <v>0</v>
      </c>
      <c r="CU105" s="152">
        <f t="shared" si="177"/>
        <v>0</v>
      </c>
      <c r="CV105" s="152">
        <f t="shared" si="177"/>
        <v>-18753.91</v>
      </c>
      <c r="CW105" s="212">
        <f t="shared" si="177"/>
        <v>0</v>
      </c>
      <c r="CX105" s="212">
        <f t="shared" si="177"/>
        <v>0</v>
      </c>
      <c r="CY105" s="212">
        <f t="shared" si="177"/>
        <v>-18753.91</v>
      </c>
      <c r="CZ105" s="205">
        <f t="shared" si="177"/>
        <v>0</v>
      </c>
      <c r="DA105" s="153">
        <f t="shared" si="177"/>
        <v>-105585.56</v>
      </c>
      <c r="DB105" s="193"/>
    </row>
    <row r="106" spans="1:106">
      <c r="A106" s="154">
        <f>MAX(A89:A105)+1</f>
        <v>33</v>
      </c>
      <c r="B106" s="161"/>
      <c r="D106" s="154" t="s">
        <v>13940</v>
      </c>
      <c r="E106" s="198">
        <f t="shared" si="106"/>
        <v>-7872821.5</v>
      </c>
      <c r="F106" s="153">
        <f t="shared" si="107"/>
        <v>-6948482.03</v>
      </c>
      <c r="G106" s="152">
        <f>SUM(G93:G105)</f>
        <v>-314373.82</v>
      </c>
      <c r="H106" s="152">
        <f>SUM(H93:H105)</f>
        <v>-9979.1</v>
      </c>
      <c r="I106" s="152">
        <f>SUM(I93:I105)</f>
        <v>-3991.64</v>
      </c>
      <c r="J106" s="152">
        <f>SUM(J93:J105)</f>
        <v>-5987.46</v>
      </c>
      <c r="K106" s="152">
        <f>SUM(K93:K105)</f>
        <v>0</v>
      </c>
      <c r="L106" s="205">
        <f t="shared" si="108"/>
        <v>-334332.02</v>
      </c>
      <c r="M106" s="152">
        <f>SUM(M93:M105)</f>
        <v>-23445.18</v>
      </c>
      <c r="N106" s="152">
        <f>SUM(N93:N105)</f>
        <v>-23445.18</v>
      </c>
      <c r="O106" s="205">
        <f t="shared" si="109"/>
        <v>-46890.36</v>
      </c>
      <c r="P106" s="152">
        <f t="shared" ref="P106:U106" si="178">SUM(P93:P105)</f>
        <v>-24597.89</v>
      </c>
      <c r="Q106" s="152">
        <f t="shared" si="178"/>
        <v>-32471.48</v>
      </c>
      <c r="R106" s="152">
        <f t="shared" si="178"/>
        <v>-17190.11</v>
      </c>
      <c r="S106" s="152">
        <f t="shared" si="178"/>
        <v>-11679.73</v>
      </c>
      <c r="T106" s="152">
        <f t="shared" si="178"/>
        <v>-9248.36</v>
      </c>
      <c r="U106" s="152">
        <f t="shared" si="178"/>
        <v>0</v>
      </c>
      <c r="V106" s="153">
        <f t="shared" si="111"/>
        <v>-95187.57</v>
      </c>
      <c r="W106" s="152">
        <f>SUM(W93:W105)</f>
        <v>-18428.53</v>
      </c>
      <c r="X106" s="152">
        <f>SUM(X93:X105)</f>
        <v>0</v>
      </c>
      <c r="Y106" s="205">
        <f t="shared" si="112"/>
        <v>-113616.1</v>
      </c>
      <c r="Z106" s="152">
        <f>SUM(Z93:Z105)</f>
        <v>0</v>
      </c>
      <c r="AA106" s="152">
        <f>SUM(AA93:AA105)</f>
        <v>0</v>
      </c>
      <c r="AB106" s="205">
        <f t="shared" si="113"/>
        <v>0</v>
      </c>
      <c r="AC106" s="152">
        <f t="shared" ref="AC106:AK106" si="179">SUM(AC93:AC105)</f>
        <v>0</v>
      </c>
      <c r="AD106" s="152">
        <f t="shared" si="179"/>
        <v>0</v>
      </c>
      <c r="AE106" s="152">
        <f t="shared" si="179"/>
        <v>0</v>
      </c>
      <c r="AF106" s="152">
        <f t="shared" si="179"/>
        <v>-16899.83</v>
      </c>
      <c r="AG106" s="152">
        <f t="shared" si="179"/>
        <v>-37857.45</v>
      </c>
      <c r="AH106" s="152">
        <f t="shared" si="179"/>
        <v>-22058.48</v>
      </c>
      <c r="AI106" s="152">
        <f t="shared" si="179"/>
        <v>-31975.11</v>
      </c>
      <c r="AJ106" s="152">
        <f t="shared" si="179"/>
        <v>-40896.69</v>
      </c>
      <c r="AK106" s="152">
        <f t="shared" si="179"/>
        <v>-24600.81</v>
      </c>
      <c r="AL106" s="205">
        <f t="shared" si="115"/>
        <v>-174288.37</v>
      </c>
      <c r="AM106" s="152">
        <f t="shared" ref="AM106:CO106" si="180">SUM(AM93:AM105)</f>
        <v>0</v>
      </c>
      <c r="AN106" s="152">
        <f t="shared" si="180"/>
        <v>-55180.26</v>
      </c>
      <c r="AO106" s="152">
        <f t="shared" si="180"/>
        <v>-23134.91</v>
      </c>
      <c r="AP106" s="152">
        <f t="shared" si="180"/>
        <v>0</v>
      </c>
      <c r="AQ106" s="152">
        <f t="shared" si="180"/>
        <v>-75769.85</v>
      </c>
      <c r="AR106" s="152">
        <f t="shared" si="180"/>
        <v>0</v>
      </c>
      <c r="AS106" s="152">
        <f t="shared" si="180"/>
        <v>-22900.17</v>
      </c>
      <c r="AT106" s="152">
        <f t="shared" si="180"/>
        <v>-11812</v>
      </c>
      <c r="AU106" s="152">
        <f t="shared" si="180"/>
        <v>-14361.5</v>
      </c>
      <c r="AV106" s="152">
        <f t="shared" si="180"/>
        <v>-26742.13</v>
      </c>
      <c r="AW106" s="152">
        <f t="shared" si="180"/>
        <v>0</v>
      </c>
      <c r="AX106" s="152">
        <f t="shared" si="180"/>
        <v>0</v>
      </c>
      <c r="AY106" s="152">
        <f t="shared" si="180"/>
        <v>0</v>
      </c>
      <c r="AZ106" s="152">
        <f t="shared" si="180"/>
        <v>-14477.75</v>
      </c>
      <c r="BA106" s="152">
        <f t="shared" si="180"/>
        <v>-13201.99</v>
      </c>
      <c r="BB106" s="152">
        <f t="shared" si="180"/>
        <v>0</v>
      </c>
      <c r="BC106" s="152">
        <f t="shared" si="180"/>
        <v>-39563.45</v>
      </c>
      <c r="BD106" s="152">
        <f t="shared" si="180"/>
        <v>-11502.72</v>
      </c>
      <c r="BE106" s="152">
        <f t="shared" si="180"/>
        <v>-15528.44</v>
      </c>
      <c r="BF106" s="152">
        <f t="shared" si="180"/>
        <v>-8991.77</v>
      </c>
      <c r="BG106" s="152">
        <f t="shared" si="180"/>
        <v>-12049.7</v>
      </c>
      <c r="BH106" s="152">
        <f t="shared" si="180"/>
        <v>0</v>
      </c>
      <c r="BI106" s="152">
        <f t="shared" si="180"/>
        <v>-16561.05</v>
      </c>
      <c r="BJ106" s="152">
        <f t="shared" si="180"/>
        <v>0</v>
      </c>
      <c r="BK106" s="152">
        <f t="shared" si="180"/>
        <v>-648</v>
      </c>
      <c r="BL106" s="152">
        <f t="shared" si="180"/>
        <v>-9255.84</v>
      </c>
      <c r="BM106" s="152">
        <f t="shared" si="180"/>
        <v>-9859.03</v>
      </c>
      <c r="BN106" s="152">
        <f t="shared" si="180"/>
        <v>-13745.92</v>
      </c>
      <c r="BO106" s="152">
        <f t="shared" si="180"/>
        <v>0</v>
      </c>
      <c r="BP106" s="152">
        <f t="shared" si="180"/>
        <v>-32598.02</v>
      </c>
      <c r="BQ106" s="152">
        <f t="shared" si="180"/>
        <v>-15719.01</v>
      </c>
      <c r="BR106" s="152">
        <f t="shared" si="180"/>
        <v>-552343.75</v>
      </c>
      <c r="BS106" s="152">
        <f t="shared" si="180"/>
        <v>-3680.29</v>
      </c>
      <c r="BT106" s="152">
        <f t="shared" si="180"/>
        <v>0</v>
      </c>
      <c r="BU106" s="152">
        <f t="shared" si="180"/>
        <v>0</v>
      </c>
      <c r="BV106" s="152">
        <f t="shared" si="180"/>
        <v>0</v>
      </c>
      <c r="BW106" s="152">
        <f t="shared" si="180"/>
        <v>-102613.04</v>
      </c>
      <c r="BX106" s="152">
        <f t="shared" si="180"/>
        <v>-190054.94</v>
      </c>
      <c r="BY106" s="152">
        <f t="shared" si="180"/>
        <v>0</v>
      </c>
      <c r="BZ106" s="152">
        <f t="shared" si="180"/>
        <v>-255531</v>
      </c>
      <c r="CA106" s="152">
        <f t="shared" si="180"/>
        <v>-10571.71</v>
      </c>
      <c r="CB106" s="152">
        <f t="shared" si="180"/>
        <v>-43687.5</v>
      </c>
      <c r="CC106" s="152">
        <f t="shared" si="180"/>
        <v>-22128.75</v>
      </c>
      <c r="CD106" s="152">
        <f t="shared" si="180"/>
        <v>-18469.98</v>
      </c>
      <c r="CE106" s="152">
        <f t="shared" si="180"/>
        <v>-108241.17</v>
      </c>
      <c r="CF106" s="152">
        <f t="shared" si="180"/>
        <v>-78940.19</v>
      </c>
      <c r="CG106" s="152">
        <f t="shared" si="180"/>
        <v>-11935.88</v>
      </c>
      <c r="CH106" s="152">
        <f t="shared" si="180"/>
        <v>-69947.92</v>
      </c>
      <c r="CI106" s="152">
        <f t="shared" si="180"/>
        <v>-89194.54</v>
      </c>
      <c r="CJ106" s="152">
        <f t="shared" si="180"/>
        <v>-116416.88</v>
      </c>
      <c r="CK106" s="152">
        <f t="shared" si="180"/>
        <v>-11812.5</v>
      </c>
      <c r="CL106" s="152">
        <f t="shared" si="180"/>
        <v>-36663.97</v>
      </c>
      <c r="CM106" s="152">
        <f t="shared" si="180"/>
        <v>-289576</v>
      </c>
      <c r="CN106" s="152">
        <f t="shared" si="180"/>
        <v>-1376032.88</v>
      </c>
      <c r="CO106" s="152">
        <f t="shared" si="180"/>
        <v>-2447908.78</v>
      </c>
      <c r="CP106" s="152"/>
      <c r="CQ106" s="205">
        <f t="shared" si="117"/>
        <v>-6279355.18</v>
      </c>
      <c r="CR106" s="205">
        <f t="shared" si="118"/>
        <v>-6453643.55</v>
      </c>
      <c r="CS106" s="205">
        <f t="shared" si="119"/>
        <v>-18753.91</v>
      </c>
      <c r="CT106" s="152">
        <f t="shared" ref="CT106:DA106" si="181">SUM(CT93:CT105)</f>
        <v>0</v>
      </c>
      <c r="CU106" s="152">
        <f t="shared" si="181"/>
        <v>0</v>
      </c>
      <c r="CV106" s="152">
        <f t="shared" si="181"/>
        <v>-18753.91</v>
      </c>
      <c r="CW106" s="212">
        <f t="shared" si="181"/>
        <v>0</v>
      </c>
      <c r="CX106" s="212">
        <f t="shared" si="181"/>
        <v>0</v>
      </c>
      <c r="CY106" s="212">
        <f t="shared" si="181"/>
        <v>-18753.91</v>
      </c>
      <c r="CZ106" s="205">
        <f t="shared" si="181"/>
        <v>0</v>
      </c>
      <c r="DA106" s="153">
        <f t="shared" si="181"/>
        <v>-905585.56</v>
      </c>
      <c r="DB106" s="193"/>
    </row>
    <row r="107" spans="2:106">
      <c r="B107" s="161"/>
      <c r="E107" s="198"/>
      <c r="F107" s="153"/>
      <c r="G107" s="152"/>
      <c r="H107" s="152"/>
      <c r="I107" s="152"/>
      <c r="J107" s="152"/>
      <c r="K107" s="152"/>
      <c r="L107" s="205"/>
      <c r="M107" s="152"/>
      <c r="N107" s="152"/>
      <c r="O107" s="205"/>
      <c r="P107" s="152"/>
      <c r="Q107" s="152"/>
      <c r="R107" s="152"/>
      <c r="S107" s="152"/>
      <c r="T107" s="152"/>
      <c r="U107" s="152"/>
      <c r="V107" s="153"/>
      <c r="W107" s="152"/>
      <c r="X107" s="152"/>
      <c r="Y107" s="205"/>
      <c r="Z107" s="152"/>
      <c r="AA107" s="152"/>
      <c r="AB107" s="205"/>
      <c r="AC107" s="152"/>
      <c r="AD107" s="152"/>
      <c r="AE107" s="152"/>
      <c r="AF107" s="152"/>
      <c r="AG107" s="152"/>
      <c r="AH107" s="152"/>
      <c r="AI107" s="152"/>
      <c r="AJ107" s="152"/>
      <c r="AK107" s="152"/>
      <c r="AL107" s="205"/>
      <c r="AM107" s="152"/>
      <c r="AN107" s="152"/>
      <c r="AO107" s="152"/>
      <c r="AP107" s="152"/>
      <c r="AQ107" s="152"/>
      <c r="AR107" s="152"/>
      <c r="AS107" s="152"/>
      <c r="AT107" s="152"/>
      <c r="AU107" s="152"/>
      <c r="AV107" s="152"/>
      <c r="AW107" s="152"/>
      <c r="AX107" s="152"/>
      <c r="AY107" s="152"/>
      <c r="AZ107" s="152"/>
      <c r="BA107" s="152"/>
      <c r="BB107" s="152"/>
      <c r="BC107" s="152"/>
      <c r="BD107" s="152"/>
      <c r="BE107" s="152"/>
      <c r="BF107" s="152"/>
      <c r="BG107" s="152"/>
      <c r="BH107" s="152"/>
      <c r="BI107" s="152"/>
      <c r="BJ107" s="152"/>
      <c r="BK107" s="152"/>
      <c r="BL107" s="152"/>
      <c r="BM107" s="152"/>
      <c r="BN107" s="152"/>
      <c r="BO107" s="152"/>
      <c r="BP107" s="152"/>
      <c r="BQ107" s="152"/>
      <c r="BR107" s="152"/>
      <c r="BS107" s="152"/>
      <c r="BT107" s="152"/>
      <c r="BU107" s="152"/>
      <c r="BV107" s="152"/>
      <c r="BW107" s="152"/>
      <c r="BX107" s="152"/>
      <c r="BY107" s="152"/>
      <c r="BZ107" s="152"/>
      <c r="CA107" s="152"/>
      <c r="CB107" s="152"/>
      <c r="CC107" s="152"/>
      <c r="CD107" s="152"/>
      <c r="CE107" s="152"/>
      <c r="CF107" s="152"/>
      <c r="CG107" s="152"/>
      <c r="CH107" s="152"/>
      <c r="CI107" s="152"/>
      <c r="CJ107" s="152"/>
      <c r="CK107" s="152"/>
      <c r="CL107" s="152"/>
      <c r="CM107" s="152"/>
      <c r="CN107" s="152"/>
      <c r="CO107" s="152"/>
      <c r="CP107" s="152"/>
      <c r="CQ107" s="205"/>
      <c r="CR107" s="205"/>
      <c r="CS107" s="205"/>
      <c r="CT107" s="209"/>
      <c r="CU107" s="152"/>
      <c r="CV107" s="152"/>
      <c r="CW107" s="212"/>
      <c r="CX107" s="212"/>
      <c r="CY107" s="212"/>
      <c r="CZ107" s="205"/>
      <c r="DA107" s="205"/>
      <c r="DB107" s="193"/>
    </row>
    <row r="108" spans="1:106">
      <c r="A108" s="154">
        <f>MAX(A91:A107)+1</f>
        <v>34</v>
      </c>
      <c r="B108" s="161"/>
      <c r="D108" s="154" t="s">
        <v>13941</v>
      </c>
      <c r="E108" s="198">
        <f ca="true">+F108+CS108+CZ108+DA108</f>
        <v>-4734252.73000001</v>
      </c>
      <c r="F108" s="153">
        <f ca="true">SUM(G108:K108,M108:N108,P108:U108,W108:X108,Z108:AA108,AC108:AK108,AM108:CP108)</f>
        <v>-3972017.85000001</v>
      </c>
      <c r="G108" s="152">
        <f>G84+G91+G92+G106+G103</f>
        <v>603489.649999993</v>
      </c>
      <c r="H108" s="152">
        <f>H84+H91+H92+H106+H103</f>
        <v>-23753.2699999999</v>
      </c>
      <c r="I108" s="152">
        <f>I84+I91+I92+I106+I103</f>
        <v>56792.96</v>
      </c>
      <c r="J108" s="152">
        <f>J84+J91+J92+J106+J103</f>
        <v>28906.28</v>
      </c>
      <c r="K108" s="152">
        <f>K84+K91+K92+K106+K103</f>
        <v>19838.28</v>
      </c>
      <c r="L108" s="205">
        <f>+SUM(G108:K108)</f>
        <v>685273.899999993</v>
      </c>
      <c r="M108" s="152">
        <f>M84+M91+M92+M106+M103</f>
        <v>72181.58</v>
      </c>
      <c r="N108" s="152">
        <f>N84+N91+N92+N106+N103</f>
        <v>77016.96</v>
      </c>
      <c r="O108" s="205">
        <f>+SUM(M108:N108)</f>
        <v>149198.54</v>
      </c>
      <c r="P108" s="152">
        <f t="shared" ref="P108:U108" ca="true" si="182">P84+P91+P92+P106+P103</f>
        <v>4008.11</v>
      </c>
      <c r="Q108" s="152">
        <f t="shared" ca="true" si="182"/>
        <v>1380.74</v>
      </c>
      <c r="R108" s="152">
        <f t="shared" ca="true" si="182"/>
        <v>5164.96</v>
      </c>
      <c r="S108" s="152">
        <f t="shared" ca="true" si="182"/>
        <v>3926.95</v>
      </c>
      <c r="T108" s="152">
        <f t="shared" ca="true" si="182"/>
        <v>1105.5</v>
      </c>
      <c r="U108" s="152">
        <f t="shared" ca="true" si="182"/>
        <v>9835.26</v>
      </c>
      <c r="V108" s="153">
        <f ca="true">+SUM(P108:U108)</f>
        <v>25421.52</v>
      </c>
      <c r="W108" s="152">
        <f ca="true">W84+W91+W92+W106+W103</f>
        <v>3014.16</v>
      </c>
      <c r="X108" s="152">
        <f ca="true">X84+X91+X92+X106+X103</f>
        <v>11367.97</v>
      </c>
      <c r="Y108" s="205">
        <f ca="true">SUM(V108:X108)</f>
        <v>39803.65</v>
      </c>
      <c r="Z108" s="152">
        <f ca="true">Z84+Z91+Z92+Z106+Z103</f>
        <v>2312.51000000003</v>
      </c>
      <c r="AA108" s="152">
        <f ca="true">AA84+AA91+AA92+AA106+AA103</f>
        <v>-3035.66</v>
      </c>
      <c r="AB108" s="205">
        <f ca="true">+SUM(Z108:AA108)</f>
        <v>-723.149999999965</v>
      </c>
      <c r="AC108" s="152">
        <f t="shared" ref="AC108:AK108" ca="true" si="183">AC84+AC91+AC92+AC106+AC103</f>
        <v>-15889.61</v>
      </c>
      <c r="AD108" s="152">
        <f t="shared" ca="true" si="183"/>
        <v>-66276.66</v>
      </c>
      <c r="AE108" s="152">
        <f t="shared" ca="true" si="183"/>
        <v>-150977.51</v>
      </c>
      <c r="AF108" s="152">
        <f t="shared" ca="true" si="183"/>
        <v>-11385.94</v>
      </c>
      <c r="AG108" s="152">
        <f t="shared" ca="true" si="183"/>
        <v>19452.03</v>
      </c>
      <c r="AH108" s="152">
        <f t="shared" ca="true" si="183"/>
        <v>8598.07999999999</v>
      </c>
      <c r="AI108" s="152">
        <f t="shared" ca="true" si="183"/>
        <v>13319.29</v>
      </c>
      <c r="AJ108" s="152">
        <f t="shared" ca="true" si="183"/>
        <v>573.719999999994</v>
      </c>
      <c r="AK108" s="152">
        <f t="shared" ca="true" si="183"/>
        <v>-3307.52999999986</v>
      </c>
      <c r="AL108" s="205">
        <f ca="true">SUM(AF108:AK108)</f>
        <v>27249.6500000001</v>
      </c>
      <c r="AM108" s="152">
        <f t="shared" ref="AM108:CO108" ca="true" si="184">AM84+AM91+AM92+AM106+AM103</f>
        <v>-66.3</v>
      </c>
      <c r="AN108" s="152">
        <f t="shared" ca="true" si="184"/>
        <v>-83895.54</v>
      </c>
      <c r="AO108" s="152">
        <f t="shared" ca="true" si="184"/>
        <v>-76458.1</v>
      </c>
      <c r="AP108" s="152">
        <f t="shared" ca="true" si="184"/>
        <v>0</v>
      </c>
      <c r="AQ108" s="152">
        <f t="shared" ca="true" si="184"/>
        <v>-33445.76</v>
      </c>
      <c r="AR108" s="152">
        <f t="shared" ca="true" si="184"/>
        <v>0</v>
      </c>
      <c r="AS108" s="152">
        <f t="shared" ca="true" si="184"/>
        <v>1517.71</v>
      </c>
      <c r="AT108" s="152">
        <f t="shared" ca="true" si="184"/>
        <v>15776.76</v>
      </c>
      <c r="AU108" s="152">
        <f t="shared" ca="true" si="184"/>
        <v>44432.32</v>
      </c>
      <c r="AV108" s="152">
        <f t="shared" ca="true" si="184"/>
        <v>13390.21</v>
      </c>
      <c r="AW108" s="152">
        <f t="shared" ca="true" si="184"/>
        <v>0</v>
      </c>
      <c r="AX108" s="152">
        <f t="shared" ca="true" si="184"/>
        <v>0</v>
      </c>
      <c r="AY108" s="152">
        <f t="shared" ca="true" si="184"/>
        <v>0</v>
      </c>
      <c r="AZ108" s="152">
        <f t="shared" ca="true" si="184"/>
        <v>14114.58</v>
      </c>
      <c r="BA108" s="152">
        <f t="shared" ca="true" si="184"/>
        <v>9475.44</v>
      </c>
      <c r="BB108" s="152">
        <f t="shared" ca="true" si="184"/>
        <v>0</v>
      </c>
      <c r="BC108" s="152">
        <f t="shared" ca="true" si="184"/>
        <v>15783.57</v>
      </c>
      <c r="BD108" s="152">
        <f t="shared" ca="true" si="184"/>
        <v>11587.09</v>
      </c>
      <c r="BE108" s="152">
        <f t="shared" ca="true" si="184"/>
        <v>13358.59</v>
      </c>
      <c r="BF108" s="152">
        <f t="shared" ca="true" si="184"/>
        <v>6031.69</v>
      </c>
      <c r="BG108" s="152">
        <f t="shared" ca="true" si="184"/>
        <v>11640.57</v>
      </c>
      <c r="BH108" s="152">
        <f t="shared" ca="true" si="184"/>
        <v>0</v>
      </c>
      <c r="BI108" s="152">
        <f t="shared" ca="true" si="184"/>
        <v>5083.88000000001</v>
      </c>
      <c r="BJ108" s="152">
        <f t="shared" ca="true" si="184"/>
        <v>0</v>
      </c>
      <c r="BK108" s="152">
        <f t="shared" ca="true" si="184"/>
        <v>-4292.4</v>
      </c>
      <c r="BL108" s="152">
        <f t="shared" ca="true" si="184"/>
        <v>10829.35</v>
      </c>
      <c r="BM108" s="152">
        <f t="shared" ca="true" si="184"/>
        <v>8792.04</v>
      </c>
      <c r="BN108" s="152">
        <f t="shared" ca="true" si="184"/>
        <v>1351.89</v>
      </c>
      <c r="BO108" s="152">
        <f t="shared" ca="true" si="184"/>
        <v>0</v>
      </c>
      <c r="BP108" s="152">
        <f t="shared" ca="true" si="184"/>
        <v>13153.37</v>
      </c>
      <c r="BQ108" s="152">
        <f t="shared" ca="true" si="184"/>
        <v>9305.68000000001</v>
      </c>
      <c r="BR108" s="152">
        <f t="shared" ca="true" si="184"/>
        <v>-578361.16</v>
      </c>
      <c r="BS108" s="152">
        <f t="shared" ca="true" si="184"/>
        <v>-13108.36</v>
      </c>
      <c r="BT108" s="152">
        <f t="shared" ca="true" si="184"/>
        <v>0</v>
      </c>
      <c r="BU108" s="152">
        <f t="shared" ca="true" si="184"/>
        <v>-147.009999999999</v>
      </c>
      <c r="BV108" s="152">
        <f t="shared" ca="true" si="184"/>
        <v>0</v>
      </c>
      <c r="BW108" s="152">
        <f t="shared" ca="true" si="184"/>
        <v>-2888.37999999998</v>
      </c>
      <c r="BX108" s="152">
        <f t="shared" ca="true" si="184"/>
        <v>-184952.54</v>
      </c>
      <c r="BY108" s="152">
        <f t="shared" ca="true" si="184"/>
        <v>0</v>
      </c>
      <c r="BZ108" s="152">
        <f t="shared" ca="true" si="184"/>
        <v>-315113.57</v>
      </c>
      <c r="CA108" s="152">
        <f t="shared" ca="true" si="184"/>
        <v>-28707.69</v>
      </c>
      <c r="CB108" s="152">
        <f t="shared" ca="true" si="184"/>
        <v>-8718.45</v>
      </c>
      <c r="CC108" s="152">
        <f t="shared" ca="true" si="184"/>
        <v>-9042.1</v>
      </c>
      <c r="CD108" s="152">
        <f t="shared" ca="true" si="184"/>
        <v>4990.3</v>
      </c>
      <c r="CE108" s="152">
        <f t="shared" ca="true" si="184"/>
        <v>-66188.66</v>
      </c>
      <c r="CF108" s="152">
        <f t="shared" ca="true" si="184"/>
        <v>28151.25</v>
      </c>
      <c r="CG108" s="152">
        <f t="shared" ca="true" si="184"/>
        <v>-2073.5</v>
      </c>
      <c r="CH108" s="152">
        <f t="shared" ca="true" si="184"/>
        <v>-63428.03</v>
      </c>
      <c r="CI108" s="152">
        <f t="shared" ca="true" si="184"/>
        <v>-44191.51</v>
      </c>
      <c r="CJ108" s="152">
        <f t="shared" ca="true" si="184"/>
        <v>-45463.17</v>
      </c>
      <c r="CK108" s="152">
        <f t="shared" ca="true" si="184"/>
        <v>-3031.96</v>
      </c>
      <c r="CL108" s="152">
        <f t="shared" ca="true" si="184"/>
        <v>-9352.26000000002</v>
      </c>
      <c r="CM108" s="152">
        <f t="shared" ca="true" si="184"/>
        <v>-171389.13</v>
      </c>
      <c r="CN108" s="152">
        <f t="shared" ca="true" si="184"/>
        <v>-1016725.6</v>
      </c>
      <c r="CO108" s="152">
        <f t="shared" ca="true" si="184"/>
        <v>-2117401.77</v>
      </c>
      <c r="CP108" s="152"/>
      <c r="CQ108" s="205">
        <f ca="true">+SUM(AM108:CP108)</f>
        <v>-4639676.66</v>
      </c>
      <c r="CR108" s="205">
        <f ca="true">SUM(AL108,CQ108)</f>
        <v>-4612427.01</v>
      </c>
      <c r="CS108" s="205">
        <f ca="true">SUM(CY108:CY108)</f>
        <v>-174417.78</v>
      </c>
      <c r="CT108" s="152">
        <f ca="true">CT84+CT91+CT92+CT106+CT103</f>
        <v>0</v>
      </c>
      <c r="CU108" s="152">
        <f ca="true">CU84+CU91+CU92+CU106+CU103</f>
        <v>-155489.35</v>
      </c>
      <c r="CV108" s="152">
        <f ca="true">CV84+CV91+CV92+CV106+CV103</f>
        <v>-37798.74</v>
      </c>
      <c r="CW108" s="212">
        <f ca="true">CW84+CW91+CW92+CW106+CW103</f>
        <v>18870.31</v>
      </c>
      <c r="CX108" s="212">
        <f ca="true">CX84+CX91+CX92+CX106</f>
        <v>0</v>
      </c>
      <c r="CY108" s="212">
        <f ca="true">CY84+CY91+CY92+CY106</f>
        <v>-174417.78</v>
      </c>
      <c r="CZ108" s="205">
        <f>CZ84+CZ91+CZ92+CZ106+CZ103</f>
        <v>0</v>
      </c>
      <c r="DA108" s="153">
        <f>DA84+DA91+DA92+DA106+DA103</f>
        <v>-587817.1</v>
      </c>
      <c r="DB108" s="193"/>
    </row>
    <row r="109" spans="2:106">
      <c r="B109" s="161"/>
      <c r="E109" s="198"/>
      <c r="F109" s="153"/>
      <c r="G109" s="152"/>
      <c r="H109" s="152"/>
      <c r="I109" s="152"/>
      <c r="J109" s="152"/>
      <c r="K109" s="152"/>
      <c r="L109" s="205"/>
      <c r="M109" s="152"/>
      <c r="N109" s="152"/>
      <c r="O109" s="205"/>
      <c r="P109" s="152"/>
      <c r="Q109" s="152"/>
      <c r="R109" s="152"/>
      <c r="S109" s="152"/>
      <c r="T109" s="152"/>
      <c r="U109" s="152"/>
      <c r="V109" s="153"/>
      <c r="W109" s="152"/>
      <c r="X109" s="152"/>
      <c r="Y109" s="205"/>
      <c r="Z109" s="152"/>
      <c r="AA109" s="152"/>
      <c r="AB109" s="205"/>
      <c r="AC109" s="152"/>
      <c r="AD109" s="152"/>
      <c r="AE109" s="152"/>
      <c r="AF109" s="152"/>
      <c r="AG109" s="152"/>
      <c r="AH109" s="152"/>
      <c r="AI109" s="152"/>
      <c r="AJ109" s="152"/>
      <c r="AK109" s="152"/>
      <c r="AL109" s="205"/>
      <c r="AM109" s="152"/>
      <c r="AN109" s="152"/>
      <c r="AO109" s="152"/>
      <c r="AP109" s="152"/>
      <c r="AQ109" s="152"/>
      <c r="AR109" s="152"/>
      <c r="AS109" s="152"/>
      <c r="AT109" s="152"/>
      <c r="AU109" s="152"/>
      <c r="AV109" s="152"/>
      <c r="AW109" s="152"/>
      <c r="AX109" s="152"/>
      <c r="AY109" s="152"/>
      <c r="AZ109" s="152"/>
      <c r="BA109" s="152"/>
      <c r="BB109" s="152"/>
      <c r="BC109" s="152"/>
      <c r="BD109" s="152"/>
      <c r="BE109" s="152"/>
      <c r="BF109" s="152"/>
      <c r="BG109" s="152"/>
      <c r="BH109" s="152"/>
      <c r="BI109" s="152"/>
      <c r="BJ109" s="152"/>
      <c r="BK109" s="152"/>
      <c r="BL109" s="152"/>
      <c r="BM109" s="152"/>
      <c r="BN109" s="152"/>
      <c r="BO109" s="152"/>
      <c r="BP109" s="152"/>
      <c r="BQ109" s="152"/>
      <c r="BR109" s="152"/>
      <c r="BS109" s="152"/>
      <c r="BT109" s="152"/>
      <c r="BU109" s="152"/>
      <c r="BV109" s="152"/>
      <c r="BW109" s="152"/>
      <c r="BX109" s="152"/>
      <c r="BY109" s="152"/>
      <c r="BZ109" s="152"/>
      <c r="CA109" s="152"/>
      <c r="CB109" s="152"/>
      <c r="CC109" s="152"/>
      <c r="CD109" s="152"/>
      <c r="CE109" s="152"/>
      <c r="CF109" s="152"/>
      <c r="CG109" s="152"/>
      <c r="CH109" s="152"/>
      <c r="CI109" s="152"/>
      <c r="CJ109" s="152"/>
      <c r="CK109" s="152"/>
      <c r="CL109" s="152"/>
      <c r="CM109" s="152"/>
      <c r="CN109" s="152"/>
      <c r="CO109" s="152"/>
      <c r="CP109" s="152"/>
      <c r="CQ109" s="205"/>
      <c r="CR109" s="205"/>
      <c r="CS109" s="205"/>
      <c r="CT109" s="209"/>
      <c r="CU109" s="152"/>
      <c r="CV109" s="152"/>
      <c r="CW109" s="212"/>
      <c r="CX109" s="212"/>
      <c r="CY109" s="212"/>
      <c r="CZ109" s="205"/>
      <c r="DA109" s="205"/>
      <c r="DB109" s="193"/>
    </row>
    <row r="110" spans="1:106">
      <c r="A110" s="154">
        <f>MAX(A104:A109)+1</f>
        <v>35</v>
      </c>
      <c r="B110" s="161" t="s">
        <v>13942</v>
      </c>
      <c r="C110" s="154" t="s">
        <v>6026</v>
      </c>
      <c r="D110" s="154" t="s">
        <v>13943</v>
      </c>
      <c r="E110" s="198">
        <f>+F110+CS110+CZ110+DA110</f>
        <v>7099.71</v>
      </c>
      <c r="F110" s="153">
        <f>SUM(G110:K110,M110:N110,P110:U110,W110:X110,Z110:AA110,AC110:AK110,AM110:CP110)</f>
        <v>7099.71</v>
      </c>
      <c r="G110" s="152">
        <f>-G69-G111-G112</f>
        <v>0</v>
      </c>
      <c r="H110" s="152">
        <f>-H69-H111-H112</f>
        <v>0</v>
      </c>
      <c r="I110" s="152">
        <f>-I69-I111-I112</f>
        <v>0</v>
      </c>
      <c r="J110" s="152">
        <f>-J69-J111-J112</f>
        <v>0</v>
      </c>
      <c r="K110" s="152">
        <f>-K69-K111-K112</f>
        <v>0</v>
      </c>
      <c r="L110" s="205">
        <f>+SUM(G110:K110)</f>
        <v>0</v>
      </c>
      <c r="M110" s="152">
        <f>-M69-M111-M112</f>
        <v>0</v>
      </c>
      <c r="N110" s="152">
        <f>-N69-N111-N112</f>
        <v>0</v>
      </c>
      <c r="O110" s="205">
        <f>+SUM(M110:N110)</f>
        <v>0</v>
      </c>
      <c r="P110" s="152">
        <f t="shared" ref="P110:U110" si="185">-P69-P111-P112</f>
        <v>0</v>
      </c>
      <c r="Q110" s="152">
        <f t="shared" si="185"/>
        <v>0</v>
      </c>
      <c r="R110" s="152">
        <f t="shared" si="185"/>
        <v>0</v>
      </c>
      <c r="S110" s="152">
        <f t="shared" si="185"/>
        <v>0</v>
      </c>
      <c r="T110" s="152">
        <f t="shared" si="185"/>
        <v>932.12</v>
      </c>
      <c r="U110" s="152">
        <f t="shared" si="185"/>
        <v>0</v>
      </c>
      <c r="V110" s="153">
        <f>+SUM(P110:U110)</f>
        <v>932.12</v>
      </c>
      <c r="W110" s="152">
        <f>-W69-W111-W112</f>
        <v>0</v>
      </c>
      <c r="X110" s="152">
        <f>-X69-X111-X112</f>
        <v>0</v>
      </c>
      <c r="Y110" s="205">
        <f>SUM(V110:X110)</f>
        <v>932.12</v>
      </c>
      <c r="Z110" s="152">
        <f>-Z69-Z111-Z112</f>
        <v>0</v>
      </c>
      <c r="AA110" s="152">
        <f>-AA69-AA111-AA112</f>
        <v>0</v>
      </c>
      <c r="AB110" s="205">
        <f>+SUM(Z110:AA110)</f>
        <v>0</v>
      </c>
      <c r="AC110" s="152">
        <f t="shared" ref="AC110:AK110" si="186">-AC69-AC111-AC112</f>
        <v>0</v>
      </c>
      <c r="AD110" s="152">
        <f t="shared" si="186"/>
        <v>0</v>
      </c>
      <c r="AE110" s="152">
        <f t="shared" si="186"/>
        <v>-1012.76</v>
      </c>
      <c r="AF110" s="152">
        <f t="shared" si="186"/>
        <v>0</v>
      </c>
      <c r="AG110" s="152">
        <f t="shared" si="186"/>
        <v>0</v>
      </c>
      <c r="AH110" s="152">
        <f t="shared" si="186"/>
        <v>0</v>
      </c>
      <c r="AI110" s="152">
        <f t="shared" si="186"/>
        <v>0</v>
      </c>
      <c r="AJ110" s="152">
        <f t="shared" si="186"/>
        <v>7180.35</v>
      </c>
      <c r="AK110" s="152">
        <f t="shared" si="186"/>
        <v>0</v>
      </c>
      <c r="AL110" s="205">
        <f>SUM(AF110:AK110)</f>
        <v>7180.35</v>
      </c>
      <c r="AM110" s="152">
        <f t="shared" ref="AM110:CO110" si="187">-AM69-AM111-AM112</f>
        <v>0</v>
      </c>
      <c r="AN110" s="152">
        <f t="shared" si="187"/>
        <v>0</v>
      </c>
      <c r="AO110" s="152">
        <f t="shared" si="187"/>
        <v>0</v>
      </c>
      <c r="AP110" s="152">
        <f t="shared" si="187"/>
        <v>0</v>
      </c>
      <c r="AQ110" s="152">
        <f t="shared" si="187"/>
        <v>0</v>
      </c>
      <c r="AR110" s="152">
        <f t="shared" si="187"/>
        <v>0</v>
      </c>
      <c r="AS110" s="152">
        <f t="shared" si="187"/>
        <v>0</v>
      </c>
      <c r="AT110" s="152">
        <f t="shared" si="187"/>
        <v>0</v>
      </c>
      <c r="AU110" s="152">
        <f t="shared" si="187"/>
        <v>0</v>
      </c>
      <c r="AV110" s="152">
        <f t="shared" si="187"/>
        <v>0</v>
      </c>
      <c r="AW110" s="152">
        <f t="shared" si="187"/>
        <v>0</v>
      </c>
      <c r="AX110" s="152">
        <f t="shared" si="187"/>
        <v>0</v>
      </c>
      <c r="AY110" s="152">
        <f t="shared" si="187"/>
        <v>0</v>
      </c>
      <c r="AZ110" s="152">
        <f t="shared" si="187"/>
        <v>0</v>
      </c>
      <c r="BA110" s="152">
        <f t="shared" si="187"/>
        <v>0</v>
      </c>
      <c r="BB110" s="152">
        <f t="shared" si="187"/>
        <v>0</v>
      </c>
      <c r="BC110" s="152">
        <f t="shared" si="187"/>
        <v>0</v>
      </c>
      <c r="BD110" s="152">
        <f t="shared" si="187"/>
        <v>0</v>
      </c>
      <c r="BE110" s="152">
        <f t="shared" si="187"/>
        <v>0</v>
      </c>
      <c r="BF110" s="152">
        <f t="shared" si="187"/>
        <v>0</v>
      </c>
      <c r="BG110" s="152">
        <f t="shared" si="187"/>
        <v>0</v>
      </c>
      <c r="BH110" s="152">
        <f t="shared" si="187"/>
        <v>0</v>
      </c>
      <c r="BI110" s="152">
        <f t="shared" si="187"/>
        <v>0</v>
      </c>
      <c r="BJ110" s="152">
        <f t="shared" si="187"/>
        <v>0</v>
      </c>
      <c r="BK110" s="152">
        <f t="shared" si="187"/>
        <v>0</v>
      </c>
      <c r="BL110" s="152">
        <f t="shared" si="187"/>
        <v>0</v>
      </c>
      <c r="BM110" s="152">
        <f t="shared" si="187"/>
        <v>0</v>
      </c>
      <c r="BN110" s="152">
        <f t="shared" si="187"/>
        <v>0</v>
      </c>
      <c r="BO110" s="152">
        <f t="shared" si="187"/>
        <v>0</v>
      </c>
      <c r="BP110" s="152">
        <f t="shared" si="187"/>
        <v>0</v>
      </c>
      <c r="BQ110" s="152">
        <f t="shared" si="187"/>
        <v>0</v>
      </c>
      <c r="BR110" s="152">
        <f t="shared" si="187"/>
        <v>0</v>
      </c>
      <c r="BS110" s="152">
        <f t="shared" si="187"/>
        <v>0</v>
      </c>
      <c r="BT110" s="152">
        <f t="shared" si="187"/>
        <v>0</v>
      </c>
      <c r="BU110" s="152">
        <f t="shared" si="187"/>
        <v>0</v>
      </c>
      <c r="BV110" s="152">
        <f t="shared" si="187"/>
        <v>0</v>
      </c>
      <c r="BW110" s="152">
        <f t="shared" si="187"/>
        <v>0</v>
      </c>
      <c r="BX110" s="152">
        <f t="shared" si="187"/>
        <v>0</v>
      </c>
      <c r="BY110" s="152">
        <f t="shared" si="187"/>
        <v>0</v>
      </c>
      <c r="BZ110" s="152">
        <f t="shared" si="187"/>
        <v>0</v>
      </c>
      <c r="CA110" s="152">
        <f t="shared" si="187"/>
        <v>0</v>
      </c>
      <c r="CB110" s="152">
        <f t="shared" si="187"/>
        <v>0</v>
      </c>
      <c r="CC110" s="152">
        <f t="shared" si="187"/>
        <v>0</v>
      </c>
      <c r="CD110" s="152">
        <f t="shared" si="187"/>
        <v>0</v>
      </c>
      <c r="CE110" s="152">
        <f t="shared" si="187"/>
        <v>0</v>
      </c>
      <c r="CF110" s="152">
        <f t="shared" si="187"/>
        <v>0</v>
      </c>
      <c r="CG110" s="152">
        <f t="shared" si="187"/>
        <v>0</v>
      </c>
      <c r="CH110" s="152">
        <f t="shared" si="187"/>
        <v>0</v>
      </c>
      <c r="CI110" s="152">
        <f t="shared" si="187"/>
        <v>0</v>
      </c>
      <c r="CJ110" s="152">
        <f t="shared" si="187"/>
        <v>0</v>
      </c>
      <c r="CK110" s="152">
        <f t="shared" si="187"/>
        <v>0</v>
      </c>
      <c r="CL110" s="152">
        <f t="shared" si="187"/>
        <v>0</v>
      </c>
      <c r="CM110" s="152">
        <f t="shared" si="187"/>
        <v>0</v>
      </c>
      <c r="CN110" s="152">
        <f t="shared" si="187"/>
        <v>0</v>
      </c>
      <c r="CO110" s="152">
        <f t="shared" si="187"/>
        <v>0</v>
      </c>
      <c r="CP110" s="152"/>
      <c r="CQ110" s="205">
        <f>+SUM(AM110:CP110)</f>
        <v>0</v>
      </c>
      <c r="CR110" s="205">
        <f>SUM(AL110,CQ110)</f>
        <v>7180.35</v>
      </c>
      <c r="CS110" s="205">
        <f>SUM(CY110:CY110)</f>
        <v>0</v>
      </c>
      <c r="CT110" s="209">
        <f t="shared" ref="CT110:DA110" si="188">-CT69-CT111-CT112</f>
        <v>0</v>
      </c>
      <c r="CU110" s="152">
        <f t="shared" si="188"/>
        <v>0</v>
      </c>
      <c r="CV110" s="152">
        <f t="shared" si="188"/>
        <v>0</v>
      </c>
      <c r="CW110" s="212">
        <f t="shared" si="188"/>
        <v>0</v>
      </c>
      <c r="CX110" s="212">
        <f t="shared" si="188"/>
        <v>0</v>
      </c>
      <c r="CY110" s="212">
        <f t="shared" si="188"/>
        <v>0</v>
      </c>
      <c r="CZ110" s="205">
        <f t="shared" si="188"/>
        <v>0</v>
      </c>
      <c r="DA110" s="205">
        <f t="shared" si="188"/>
        <v>0</v>
      </c>
      <c r="DB110" s="193"/>
    </row>
    <row r="111" spans="1:106">
      <c r="A111" s="154">
        <f>MAX(A92:A110)+1</f>
        <v>36</v>
      </c>
      <c r="B111" s="194"/>
      <c r="C111" s="148" t="s">
        <v>6026</v>
      </c>
      <c r="D111" s="148" t="s">
        <v>13944</v>
      </c>
      <c r="E111" s="199">
        <f>+F111+CS111+CZ111+DA111</f>
        <v>0</v>
      </c>
      <c r="F111" s="200">
        <f>SUM(G111:K111,M111:N111,P111:U111,W111:X111,Z111:AA111,AC111:AK111,AM111:CP111)</f>
        <v>0</v>
      </c>
      <c r="G111" s="201"/>
      <c r="H111" s="201"/>
      <c r="I111" s="201"/>
      <c r="J111" s="201"/>
      <c r="K111" s="201"/>
      <c r="L111" s="206">
        <f>+SUM(G111:K111)</f>
        <v>0</v>
      </c>
      <c r="M111" s="201"/>
      <c r="N111" s="201"/>
      <c r="O111" s="206">
        <f>+SUM(M111:N111)</f>
        <v>0</v>
      </c>
      <c r="P111" s="201"/>
      <c r="Q111" s="201"/>
      <c r="R111" s="201"/>
      <c r="S111" s="201"/>
      <c r="T111" s="201"/>
      <c r="U111" s="201"/>
      <c r="V111" s="200">
        <f>+SUM(P111:U111)</f>
        <v>0</v>
      </c>
      <c r="W111" s="201"/>
      <c r="X111" s="201"/>
      <c r="Y111" s="206">
        <f>SUM(V111:X111)</f>
        <v>0</v>
      </c>
      <c r="Z111" s="201"/>
      <c r="AA111" s="201"/>
      <c r="AB111" s="206">
        <f>+SUM(Z111:AA111)</f>
        <v>0</v>
      </c>
      <c r="AC111" s="201"/>
      <c r="AD111" s="201"/>
      <c r="AE111" s="201"/>
      <c r="AF111" s="201"/>
      <c r="AG111" s="201"/>
      <c r="AH111" s="201"/>
      <c r="AI111" s="201"/>
      <c r="AJ111" s="201"/>
      <c r="AK111" s="201"/>
      <c r="AL111" s="206">
        <f>SUM(AF111:AK111)</f>
        <v>0</v>
      </c>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6">
        <f>+SUM(AM111:CP111)</f>
        <v>0</v>
      </c>
      <c r="CR111" s="206">
        <f>SUM(AL111,CQ111)</f>
        <v>0</v>
      </c>
      <c r="CS111" s="206">
        <f>SUM(CY111:CY111)</f>
        <v>0</v>
      </c>
      <c r="CT111" s="210"/>
      <c r="CU111" s="201"/>
      <c r="CV111" s="201"/>
      <c r="CW111" s="213"/>
      <c r="CX111" s="213"/>
      <c r="CY111" s="213"/>
      <c r="CZ111" s="206"/>
      <c r="DA111" s="206"/>
      <c r="DB111" s="193"/>
    </row>
    <row r="112" spans="1:106">
      <c r="A112" s="154">
        <f>MAX(A104:A111)+1</f>
        <v>37</v>
      </c>
      <c r="B112" s="194"/>
      <c r="C112" s="148" t="s">
        <v>6026</v>
      </c>
      <c r="D112" s="148" t="s">
        <v>13945</v>
      </c>
      <c r="E112" s="199">
        <f>+F112+CS112+CZ112+DA112</f>
        <v>0</v>
      </c>
      <c r="F112" s="200">
        <f>SUM(G112:K112,M112:N112,P112:U112,W112:X112,Z112:AA112,AC112:AK112,AM112:CP112)</f>
        <v>0</v>
      </c>
      <c r="G112" s="201"/>
      <c r="H112" s="201"/>
      <c r="I112" s="201"/>
      <c r="J112" s="201"/>
      <c r="K112" s="201"/>
      <c r="L112" s="206">
        <f>+SUM(G112:K112)</f>
        <v>0</v>
      </c>
      <c r="M112" s="201"/>
      <c r="N112" s="201"/>
      <c r="O112" s="206">
        <f>+SUM(M112:N112)</f>
        <v>0</v>
      </c>
      <c r="P112" s="201"/>
      <c r="Q112" s="201"/>
      <c r="R112" s="201"/>
      <c r="S112" s="201"/>
      <c r="T112" s="201"/>
      <c r="U112" s="201"/>
      <c r="V112" s="200">
        <f>+SUM(P112:U112)</f>
        <v>0</v>
      </c>
      <c r="W112" s="201"/>
      <c r="X112" s="201"/>
      <c r="Y112" s="206">
        <f>SUM(V112:X112)</f>
        <v>0</v>
      </c>
      <c r="Z112" s="201"/>
      <c r="AA112" s="201"/>
      <c r="AB112" s="206">
        <f>+SUM(Z112:AA112)</f>
        <v>0</v>
      </c>
      <c r="AC112" s="201"/>
      <c r="AD112" s="201"/>
      <c r="AE112" s="201"/>
      <c r="AF112" s="201"/>
      <c r="AG112" s="201"/>
      <c r="AH112" s="201"/>
      <c r="AI112" s="201"/>
      <c r="AJ112" s="201"/>
      <c r="AK112" s="201"/>
      <c r="AL112" s="206">
        <f>SUM(AF112:AK112)</f>
        <v>0</v>
      </c>
      <c r="AM112" s="201"/>
      <c r="AN112" s="201"/>
      <c r="AO112" s="201"/>
      <c r="AP112" s="201"/>
      <c r="AQ112" s="201"/>
      <c r="AR112" s="201"/>
      <c r="AS112" s="201"/>
      <c r="AT112" s="201"/>
      <c r="AU112" s="201"/>
      <c r="AV112" s="201"/>
      <c r="AW112" s="201"/>
      <c r="AX112" s="201"/>
      <c r="AY112" s="201"/>
      <c r="AZ112" s="201"/>
      <c r="BA112" s="201"/>
      <c r="BB112" s="201"/>
      <c r="BC112" s="201"/>
      <c r="BD112" s="201"/>
      <c r="BE112" s="201"/>
      <c r="BF112" s="201"/>
      <c r="BG112" s="201"/>
      <c r="BH112" s="201"/>
      <c r="BI112" s="201"/>
      <c r="BJ112" s="201"/>
      <c r="BK112" s="201"/>
      <c r="BL112" s="201"/>
      <c r="BM112" s="201"/>
      <c r="BN112" s="201"/>
      <c r="BO112" s="201"/>
      <c r="BP112" s="201"/>
      <c r="BQ112" s="201"/>
      <c r="BR112" s="201"/>
      <c r="BS112" s="201"/>
      <c r="BT112" s="201"/>
      <c r="BU112" s="201"/>
      <c r="BV112" s="201"/>
      <c r="BW112" s="201"/>
      <c r="BX112" s="201"/>
      <c r="BY112" s="201"/>
      <c r="BZ112" s="201"/>
      <c r="CA112" s="201"/>
      <c r="CB112" s="201"/>
      <c r="CC112" s="201"/>
      <c r="CD112" s="201"/>
      <c r="CE112" s="201"/>
      <c r="CF112" s="201"/>
      <c r="CG112" s="201"/>
      <c r="CH112" s="201"/>
      <c r="CI112" s="201"/>
      <c r="CJ112" s="201"/>
      <c r="CK112" s="201"/>
      <c r="CL112" s="201"/>
      <c r="CM112" s="201"/>
      <c r="CN112" s="201"/>
      <c r="CO112" s="201"/>
      <c r="CP112" s="201"/>
      <c r="CQ112" s="206">
        <f>+SUM(AM112:CP112)</f>
        <v>0</v>
      </c>
      <c r="CR112" s="206">
        <f>SUM(AL112,CQ112)</f>
        <v>0</v>
      </c>
      <c r="CS112" s="206">
        <f>SUM(CY112:CY112)</f>
        <v>0</v>
      </c>
      <c r="CT112" s="210"/>
      <c r="CU112" s="201"/>
      <c r="CV112" s="201"/>
      <c r="CW112" s="213"/>
      <c r="CX112" s="213"/>
      <c r="CY112" s="213"/>
      <c r="CZ112" s="206"/>
      <c r="DA112" s="206"/>
      <c r="DB112" s="193"/>
    </row>
    <row r="113" spans="1:106">
      <c r="A113" s="154">
        <f>MAX(A105:A112)+1</f>
        <v>38</v>
      </c>
      <c r="B113" s="194"/>
      <c r="C113" s="148" t="s">
        <v>13946</v>
      </c>
      <c r="D113" s="148" t="s">
        <v>13947</v>
      </c>
      <c r="E113" s="199">
        <f>+F113+CS113+CZ113+DA113</f>
        <v>0</v>
      </c>
      <c r="F113" s="200">
        <f>SUM(G113:K113,M113:N113,P113:U113,W113:X113,Z113:AA113,AC113:AK113,AM113:CP113)</f>
        <v>0</v>
      </c>
      <c r="G113" s="200"/>
      <c r="H113" s="200"/>
      <c r="I113" s="200"/>
      <c r="J113" s="200"/>
      <c r="K113" s="200"/>
      <c r="L113" s="206">
        <f>+SUM(G113:K113)</f>
        <v>0</v>
      </c>
      <c r="M113" s="200"/>
      <c r="N113" s="200"/>
      <c r="O113" s="206">
        <f>+SUM(M113:N113)</f>
        <v>0</v>
      </c>
      <c r="P113" s="200"/>
      <c r="Q113" s="200"/>
      <c r="R113" s="200"/>
      <c r="S113" s="200"/>
      <c r="T113" s="200"/>
      <c r="U113" s="200"/>
      <c r="V113" s="200">
        <f>+SUM(P113:U113)</f>
        <v>0</v>
      </c>
      <c r="W113" s="200"/>
      <c r="X113" s="200"/>
      <c r="Y113" s="206">
        <f>SUM(V113:X113)</f>
        <v>0</v>
      </c>
      <c r="Z113" s="200"/>
      <c r="AA113" s="200"/>
      <c r="AB113" s="206">
        <f>+SUM(Z113:AA113)</f>
        <v>0</v>
      </c>
      <c r="AC113" s="200"/>
      <c r="AD113" s="200"/>
      <c r="AE113" s="200"/>
      <c r="AF113" s="200"/>
      <c r="AG113" s="200"/>
      <c r="AH113" s="200"/>
      <c r="AI113" s="200"/>
      <c r="AJ113" s="200"/>
      <c r="AK113" s="200"/>
      <c r="AL113" s="206">
        <f>SUM(AF113:AK113)</f>
        <v>0</v>
      </c>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1"/>
      <c r="CQ113" s="206">
        <f>+SUM(AM113:CP113)</f>
        <v>0</v>
      </c>
      <c r="CR113" s="206">
        <f>SUM(AL113,CQ113)</f>
        <v>0</v>
      </c>
      <c r="CS113" s="206">
        <f>SUM(CY113:CY113)</f>
        <v>0</v>
      </c>
      <c r="CT113" s="211"/>
      <c r="CU113" s="200"/>
      <c r="CV113" s="200"/>
      <c r="CW113" s="206"/>
      <c r="CX113" s="206"/>
      <c r="CY113" s="206"/>
      <c r="CZ113" s="206"/>
      <c r="DA113" s="206"/>
      <c r="DB113" s="193"/>
    </row>
    <row r="114" spans="1:106">
      <c r="A114" s="154">
        <f>MAX(A106:A113)+1</f>
        <v>39</v>
      </c>
      <c r="B114" s="161"/>
      <c r="D114" s="154" t="s">
        <v>13948</v>
      </c>
      <c r="E114" s="198">
        <f>+F114+CS114+CZ114+DA114</f>
        <v>7099.71</v>
      </c>
      <c r="F114" s="153">
        <f>SUM(G114:K114,M114:N114,P114:U114,W114:X114,Z114:AA114,AC114:AK114,AM114:CP114)</f>
        <v>7099.71</v>
      </c>
      <c r="G114" s="152">
        <f>SUM(G110:G113)</f>
        <v>0</v>
      </c>
      <c r="H114" s="152">
        <f>SUM(H110:H113)</f>
        <v>0</v>
      </c>
      <c r="I114" s="152">
        <f>SUM(I110:I113)</f>
        <v>0</v>
      </c>
      <c r="J114" s="152">
        <f>SUM(J110:J113)</f>
        <v>0</v>
      </c>
      <c r="K114" s="152">
        <f>SUM(K110:K113)</f>
        <v>0</v>
      </c>
      <c r="L114" s="205">
        <f>+SUM(G114:K114)</f>
        <v>0</v>
      </c>
      <c r="M114" s="152">
        <f>SUM(M110:M113)</f>
        <v>0</v>
      </c>
      <c r="N114" s="152">
        <f>SUM(N110:N113)</f>
        <v>0</v>
      </c>
      <c r="O114" s="205">
        <f>+SUM(M114:N114)</f>
        <v>0</v>
      </c>
      <c r="P114" s="152">
        <f t="shared" ref="P114:U114" si="189">SUM(P110:P113)</f>
        <v>0</v>
      </c>
      <c r="Q114" s="152">
        <f t="shared" si="189"/>
        <v>0</v>
      </c>
      <c r="R114" s="152">
        <f t="shared" si="189"/>
        <v>0</v>
      </c>
      <c r="S114" s="152">
        <f t="shared" si="189"/>
        <v>0</v>
      </c>
      <c r="T114" s="152">
        <f t="shared" si="189"/>
        <v>932.12</v>
      </c>
      <c r="U114" s="152">
        <f t="shared" si="189"/>
        <v>0</v>
      </c>
      <c r="V114" s="153">
        <f>+SUM(P114:U114)</f>
        <v>932.12</v>
      </c>
      <c r="W114" s="152">
        <f>SUM(W110:W113)</f>
        <v>0</v>
      </c>
      <c r="X114" s="152">
        <f>SUM(X110:X113)</f>
        <v>0</v>
      </c>
      <c r="Y114" s="205">
        <f>SUM(V114:X114)</f>
        <v>932.12</v>
      </c>
      <c r="Z114" s="152">
        <f>SUM(Z110:Z113)</f>
        <v>0</v>
      </c>
      <c r="AA114" s="152">
        <f>SUM(AA110:AA113)</f>
        <v>0</v>
      </c>
      <c r="AB114" s="205">
        <f>+SUM(Z114:AA114)</f>
        <v>0</v>
      </c>
      <c r="AC114" s="152">
        <f t="shared" ref="AC114:AK114" si="190">SUM(AC110:AC113)</f>
        <v>0</v>
      </c>
      <c r="AD114" s="152">
        <f t="shared" si="190"/>
        <v>0</v>
      </c>
      <c r="AE114" s="152">
        <f t="shared" si="190"/>
        <v>-1012.76</v>
      </c>
      <c r="AF114" s="152">
        <f t="shared" si="190"/>
        <v>0</v>
      </c>
      <c r="AG114" s="152">
        <f t="shared" si="190"/>
        <v>0</v>
      </c>
      <c r="AH114" s="152">
        <f t="shared" si="190"/>
        <v>0</v>
      </c>
      <c r="AI114" s="152">
        <f t="shared" si="190"/>
        <v>0</v>
      </c>
      <c r="AJ114" s="152">
        <f t="shared" si="190"/>
        <v>7180.35</v>
      </c>
      <c r="AK114" s="152">
        <f t="shared" si="190"/>
        <v>0</v>
      </c>
      <c r="AL114" s="205">
        <f>SUM(AF114:AK114)</f>
        <v>7180.35</v>
      </c>
      <c r="AM114" s="152">
        <f t="shared" ref="AM114:CO114" si="191">SUM(AM110:AM113)</f>
        <v>0</v>
      </c>
      <c r="AN114" s="152">
        <f t="shared" si="191"/>
        <v>0</v>
      </c>
      <c r="AO114" s="152">
        <f t="shared" si="191"/>
        <v>0</v>
      </c>
      <c r="AP114" s="152">
        <f t="shared" si="191"/>
        <v>0</v>
      </c>
      <c r="AQ114" s="152">
        <f t="shared" si="191"/>
        <v>0</v>
      </c>
      <c r="AR114" s="152">
        <f t="shared" si="191"/>
        <v>0</v>
      </c>
      <c r="AS114" s="152">
        <f t="shared" si="191"/>
        <v>0</v>
      </c>
      <c r="AT114" s="152">
        <f t="shared" si="191"/>
        <v>0</v>
      </c>
      <c r="AU114" s="152">
        <f t="shared" si="191"/>
        <v>0</v>
      </c>
      <c r="AV114" s="152">
        <f t="shared" si="191"/>
        <v>0</v>
      </c>
      <c r="AW114" s="152">
        <f t="shared" si="191"/>
        <v>0</v>
      </c>
      <c r="AX114" s="152">
        <f t="shared" si="191"/>
        <v>0</v>
      </c>
      <c r="AY114" s="152">
        <f t="shared" si="191"/>
        <v>0</v>
      </c>
      <c r="AZ114" s="152">
        <f t="shared" si="191"/>
        <v>0</v>
      </c>
      <c r="BA114" s="152">
        <f t="shared" si="191"/>
        <v>0</v>
      </c>
      <c r="BB114" s="152">
        <f t="shared" si="191"/>
        <v>0</v>
      </c>
      <c r="BC114" s="152">
        <f t="shared" si="191"/>
        <v>0</v>
      </c>
      <c r="BD114" s="152">
        <f t="shared" si="191"/>
        <v>0</v>
      </c>
      <c r="BE114" s="152">
        <f t="shared" si="191"/>
        <v>0</v>
      </c>
      <c r="BF114" s="152">
        <f t="shared" si="191"/>
        <v>0</v>
      </c>
      <c r="BG114" s="152">
        <f t="shared" si="191"/>
        <v>0</v>
      </c>
      <c r="BH114" s="152">
        <f t="shared" si="191"/>
        <v>0</v>
      </c>
      <c r="BI114" s="152">
        <f t="shared" si="191"/>
        <v>0</v>
      </c>
      <c r="BJ114" s="152">
        <f t="shared" si="191"/>
        <v>0</v>
      </c>
      <c r="BK114" s="152">
        <f t="shared" si="191"/>
        <v>0</v>
      </c>
      <c r="BL114" s="152">
        <f t="shared" si="191"/>
        <v>0</v>
      </c>
      <c r="BM114" s="152">
        <f t="shared" si="191"/>
        <v>0</v>
      </c>
      <c r="BN114" s="152">
        <f t="shared" si="191"/>
        <v>0</v>
      </c>
      <c r="BO114" s="152">
        <f t="shared" si="191"/>
        <v>0</v>
      </c>
      <c r="BP114" s="152">
        <f t="shared" si="191"/>
        <v>0</v>
      </c>
      <c r="BQ114" s="152">
        <f t="shared" si="191"/>
        <v>0</v>
      </c>
      <c r="BR114" s="152">
        <f t="shared" si="191"/>
        <v>0</v>
      </c>
      <c r="BS114" s="152">
        <f t="shared" si="191"/>
        <v>0</v>
      </c>
      <c r="BT114" s="152">
        <f t="shared" si="191"/>
        <v>0</v>
      </c>
      <c r="BU114" s="152">
        <f t="shared" si="191"/>
        <v>0</v>
      </c>
      <c r="BV114" s="152">
        <f t="shared" si="191"/>
        <v>0</v>
      </c>
      <c r="BW114" s="152">
        <f t="shared" si="191"/>
        <v>0</v>
      </c>
      <c r="BX114" s="152">
        <f t="shared" si="191"/>
        <v>0</v>
      </c>
      <c r="BY114" s="152">
        <f t="shared" si="191"/>
        <v>0</v>
      </c>
      <c r="BZ114" s="152">
        <f t="shared" si="191"/>
        <v>0</v>
      </c>
      <c r="CA114" s="152">
        <f t="shared" si="191"/>
        <v>0</v>
      </c>
      <c r="CB114" s="152">
        <f t="shared" si="191"/>
        <v>0</v>
      </c>
      <c r="CC114" s="152">
        <f t="shared" si="191"/>
        <v>0</v>
      </c>
      <c r="CD114" s="152">
        <f t="shared" si="191"/>
        <v>0</v>
      </c>
      <c r="CE114" s="152">
        <f t="shared" si="191"/>
        <v>0</v>
      </c>
      <c r="CF114" s="152">
        <f t="shared" si="191"/>
        <v>0</v>
      </c>
      <c r="CG114" s="152">
        <f t="shared" si="191"/>
        <v>0</v>
      </c>
      <c r="CH114" s="152">
        <f t="shared" si="191"/>
        <v>0</v>
      </c>
      <c r="CI114" s="152">
        <f t="shared" si="191"/>
        <v>0</v>
      </c>
      <c r="CJ114" s="152">
        <f t="shared" si="191"/>
        <v>0</v>
      </c>
      <c r="CK114" s="152">
        <f t="shared" si="191"/>
        <v>0</v>
      </c>
      <c r="CL114" s="152">
        <f t="shared" si="191"/>
        <v>0</v>
      </c>
      <c r="CM114" s="152">
        <f t="shared" si="191"/>
        <v>0</v>
      </c>
      <c r="CN114" s="152">
        <f t="shared" si="191"/>
        <v>0</v>
      </c>
      <c r="CO114" s="152">
        <f t="shared" si="191"/>
        <v>0</v>
      </c>
      <c r="CP114" s="152"/>
      <c r="CQ114" s="205">
        <f>+SUM(AM114:CP114)</f>
        <v>0</v>
      </c>
      <c r="CR114" s="205">
        <f>SUM(AL114,CQ114)</f>
        <v>7180.35</v>
      </c>
      <c r="CS114" s="205">
        <f>SUM(CY114:CY114)</f>
        <v>0</v>
      </c>
      <c r="CT114" s="209">
        <f t="shared" ref="CT114:DA114" si="192">SUM(CT110:CT113)</f>
        <v>0</v>
      </c>
      <c r="CU114" s="152">
        <f t="shared" si="192"/>
        <v>0</v>
      </c>
      <c r="CV114" s="152">
        <f t="shared" si="192"/>
        <v>0</v>
      </c>
      <c r="CW114" s="212">
        <f t="shared" si="192"/>
        <v>0</v>
      </c>
      <c r="CX114" s="212">
        <f t="shared" si="192"/>
        <v>0</v>
      </c>
      <c r="CY114" s="212">
        <f t="shared" si="192"/>
        <v>0</v>
      </c>
      <c r="CZ114" s="205">
        <f t="shared" si="192"/>
        <v>0</v>
      </c>
      <c r="DA114" s="205">
        <f t="shared" si="192"/>
        <v>0</v>
      </c>
      <c r="DB114" s="193"/>
    </row>
    <row r="115" spans="2:106">
      <c r="B115" s="161"/>
      <c r="E115" s="198"/>
      <c r="F115" s="153"/>
      <c r="G115" s="152"/>
      <c r="H115" s="152"/>
      <c r="I115" s="152"/>
      <c r="J115" s="152"/>
      <c r="K115" s="152"/>
      <c r="L115" s="205"/>
      <c r="M115" s="152"/>
      <c r="N115" s="152"/>
      <c r="O115" s="205"/>
      <c r="P115" s="152"/>
      <c r="Q115" s="152"/>
      <c r="R115" s="152"/>
      <c r="S115" s="152"/>
      <c r="T115" s="152"/>
      <c r="U115" s="152"/>
      <c r="V115" s="153"/>
      <c r="W115" s="152"/>
      <c r="X115" s="152"/>
      <c r="Y115" s="205"/>
      <c r="Z115" s="152"/>
      <c r="AA115" s="152"/>
      <c r="AB115" s="205"/>
      <c r="AC115" s="152"/>
      <c r="AD115" s="152"/>
      <c r="AE115" s="152"/>
      <c r="AF115" s="152"/>
      <c r="AG115" s="152"/>
      <c r="AH115" s="152"/>
      <c r="AI115" s="152"/>
      <c r="AJ115" s="152"/>
      <c r="AK115" s="152"/>
      <c r="AL115" s="205"/>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205"/>
      <c r="CR115" s="205"/>
      <c r="CS115" s="205"/>
      <c r="CT115" s="209"/>
      <c r="CU115" s="152"/>
      <c r="CV115" s="152"/>
      <c r="CW115" s="212"/>
      <c r="CX115" s="212"/>
      <c r="CY115" s="212"/>
      <c r="CZ115" s="205"/>
      <c r="DA115" s="205"/>
      <c r="DB115" s="193"/>
    </row>
    <row r="116" spans="1:106">
      <c r="A116" s="154">
        <f>MAX(A108:A115)+1</f>
        <v>40</v>
      </c>
      <c r="B116" s="161"/>
      <c r="D116" s="154" t="s">
        <v>13949</v>
      </c>
      <c r="E116" s="198">
        <f ca="true">+F116+CS116+CZ116+DA116</f>
        <v>-4727153.02000001</v>
      </c>
      <c r="F116" s="153">
        <f ca="true">SUM(G116:K116,M116:N116,P116:U116,W116:X116,Z116:AA116,AC116:AK116,AM116:CP116)</f>
        <v>-3964918.14000001</v>
      </c>
      <c r="G116" s="152">
        <f>G108+G114</f>
        <v>603489.649999993</v>
      </c>
      <c r="H116" s="152">
        <f>H108+H114</f>
        <v>-23753.2699999999</v>
      </c>
      <c r="I116" s="152">
        <f>I108+I114</f>
        <v>56792.96</v>
      </c>
      <c r="J116" s="152">
        <f>J108+J114</f>
        <v>28906.28</v>
      </c>
      <c r="K116" s="152">
        <f>K108+K114</f>
        <v>19838.28</v>
      </c>
      <c r="L116" s="205">
        <f>+SUM(G116:K116)</f>
        <v>685273.899999993</v>
      </c>
      <c r="M116" s="152">
        <f>M108+M114</f>
        <v>72181.58</v>
      </c>
      <c r="N116" s="152">
        <f>N108+N114</f>
        <v>77016.96</v>
      </c>
      <c r="O116" s="205">
        <f>+SUM(M116:N116)</f>
        <v>149198.54</v>
      </c>
      <c r="P116" s="152">
        <f t="shared" ref="P116:U116" ca="true" si="193">P108+P114</f>
        <v>4008.11</v>
      </c>
      <c r="Q116" s="152">
        <f t="shared" ca="true" si="193"/>
        <v>1380.74</v>
      </c>
      <c r="R116" s="152">
        <f t="shared" ca="true" si="193"/>
        <v>5164.96</v>
      </c>
      <c r="S116" s="152">
        <f t="shared" ca="true" si="193"/>
        <v>3926.95</v>
      </c>
      <c r="T116" s="152">
        <f t="shared" ca="true" si="193"/>
        <v>2037.62</v>
      </c>
      <c r="U116" s="152">
        <f t="shared" ca="true" si="193"/>
        <v>9835.26</v>
      </c>
      <c r="V116" s="153">
        <f ca="true">+SUM(P116:U116)</f>
        <v>26353.64</v>
      </c>
      <c r="W116" s="152">
        <f ca="true">W108+W114</f>
        <v>3014.16</v>
      </c>
      <c r="X116" s="152">
        <f ca="true">X108+X114</f>
        <v>11367.97</v>
      </c>
      <c r="Y116" s="205">
        <f ca="true">SUM(V116:X116)</f>
        <v>40735.77</v>
      </c>
      <c r="Z116" s="152">
        <f ca="true">Z108+Z114</f>
        <v>2312.51000000003</v>
      </c>
      <c r="AA116" s="152">
        <f ca="true">AA108+AA114</f>
        <v>-3035.66</v>
      </c>
      <c r="AB116" s="205">
        <f ca="true">+SUM(Z116:AA116)</f>
        <v>-723.149999999965</v>
      </c>
      <c r="AC116" s="152">
        <f t="shared" ref="AC116:AK116" ca="true" si="194">AC108+AC114</f>
        <v>-15889.61</v>
      </c>
      <c r="AD116" s="152">
        <f t="shared" ca="true" si="194"/>
        <v>-66276.66</v>
      </c>
      <c r="AE116" s="152">
        <f t="shared" ca="true" si="194"/>
        <v>-151990.27</v>
      </c>
      <c r="AF116" s="152">
        <f t="shared" ca="true" si="194"/>
        <v>-11385.94</v>
      </c>
      <c r="AG116" s="152">
        <f t="shared" ca="true" si="194"/>
        <v>19452.03</v>
      </c>
      <c r="AH116" s="152">
        <f t="shared" ca="true" si="194"/>
        <v>8598.07999999999</v>
      </c>
      <c r="AI116" s="152">
        <f t="shared" ca="true" si="194"/>
        <v>13319.29</v>
      </c>
      <c r="AJ116" s="152">
        <f t="shared" ca="true" si="194"/>
        <v>7754.06999999999</v>
      </c>
      <c r="AK116" s="152">
        <f t="shared" ca="true" si="194"/>
        <v>-3307.52999999986</v>
      </c>
      <c r="AL116" s="205">
        <f ca="true">SUM(AF116:AK116)</f>
        <v>34430.0000000001</v>
      </c>
      <c r="AM116" s="152">
        <f t="shared" ref="AM116:CO116" ca="true" si="195">AM108+AM114</f>
        <v>-66.3</v>
      </c>
      <c r="AN116" s="152">
        <f t="shared" ca="true" si="195"/>
        <v>-83895.54</v>
      </c>
      <c r="AO116" s="152">
        <f t="shared" ca="true" si="195"/>
        <v>-76458.1</v>
      </c>
      <c r="AP116" s="152">
        <f t="shared" ca="true" si="195"/>
        <v>0</v>
      </c>
      <c r="AQ116" s="152">
        <f t="shared" ca="true" si="195"/>
        <v>-33445.76</v>
      </c>
      <c r="AR116" s="152">
        <f t="shared" ca="true" si="195"/>
        <v>0</v>
      </c>
      <c r="AS116" s="152">
        <f t="shared" ca="true" si="195"/>
        <v>1517.71</v>
      </c>
      <c r="AT116" s="152">
        <f t="shared" ca="true" si="195"/>
        <v>15776.76</v>
      </c>
      <c r="AU116" s="152">
        <f t="shared" ca="true" si="195"/>
        <v>44432.32</v>
      </c>
      <c r="AV116" s="152">
        <f t="shared" ca="true" si="195"/>
        <v>13390.21</v>
      </c>
      <c r="AW116" s="152">
        <f t="shared" ca="true" si="195"/>
        <v>0</v>
      </c>
      <c r="AX116" s="152">
        <f t="shared" ca="true" si="195"/>
        <v>0</v>
      </c>
      <c r="AY116" s="152">
        <f t="shared" ca="true" si="195"/>
        <v>0</v>
      </c>
      <c r="AZ116" s="152">
        <f t="shared" ca="true" si="195"/>
        <v>14114.58</v>
      </c>
      <c r="BA116" s="152">
        <f t="shared" ca="true" si="195"/>
        <v>9475.44</v>
      </c>
      <c r="BB116" s="152">
        <f t="shared" ca="true" si="195"/>
        <v>0</v>
      </c>
      <c r="BC116" s="152">
        <f t="shared" ca="true" si="195"/>
        <v>15783.57</v>
      </c>
      <c r="BD116" s="152">
        <f t="shared" ca="true" si="195"/>
        <v>11587.09</v>
      </c>
      <c r="BE116" s="152">
        <f t="shared" ca="true" si="195"/>
        <v>13358.59</v>
      </c>
      <c r="BF116" s="152">
        <f t="shared" ca="true" si="195"/>
        <v>6031.69</v>
      </c>
      <c r="BG116" s="152">
        <f t="shared" ca="true" si="195"/>
        <v>11640.57</v>
      </c>
      <c r="BH116" s="152">
        <f t="shared" ca="true" si="195"/>
        <v>0</v>
      </c>
      <c r="BI116" s="152">
        <f t="shared" ca="true" si="195"/>
        <v>5083.88000000001</v>
      </c>
      <c r="BJ116" s="152">
        <f t="shared" ca="true" si="195"/>
        <v>0</v>
      </c>
      <c r="BK116" s="152">
        <f t="shared" ca="true" si="195"/>
        <v>-4292.4</v>
      </c>
      <c r="BL116" s="152">
        <f t="shared" ca="true" si="195"/>
        <v>10829.35</v>
      </c>
      <c r="BM116" s="152">
        <f t="shared" ca="true" si="195"/>
        <v>8792.04</v>
      </c>
      <c r="BN116" s="152">
        <f t="shared" ca="true" si="195"/>
        <v>1351.89</v>
      </c>
      <c r="BO116" s="152">
        <f t="shared" ca="true" si="195"/>
        <v>0</v>
      </c>
      <c r="BP116" s="152">
        <f t="shared" ca="true" si="195"/>
        <v>13153.37</v>
      </c>
      <c r="BQ116" s="152">
        <f t="shared" ca="true" si="195"/>
        <v>9305.68000000001</v>
      </c>
      <c r="BR116" s="152">
        <f t="shared" ca="true" si="195"/>
        <v>-578361.16</v>
      </c>
      <c r="BS116" s="152">
        <f t="shared" ca="true" si="195"/>
        <v>-13108.36</v>
      </c>
      <c r="BT116" s="152">
        <f t="shared" ca="true" si="195"/>
        <v>0</v>
      </c>
      <c r="BU116" s="152">
        <f t="shared" ca="true" si="195"/>
        <v>-147.009999999999</v>
      </c>
      <c r="BV116" s="152">
        <f t="shared" ca="true" si="195"/>
        <v>0</v>
      </c>
      <c r="BW116" s="152">
        <f t="shared" ca="true" si="195"/>
        <v>-2888.37999999998</v>
      </c>
      <c r="BX116" s="152">
        <f t="shared" ca="true" si="195"/>
        <v>-184952.54</v>
      </c>
      <c r="BY116" s="152">
        <f t="shared" ca="true" si="195"/>
        <v>0</v>
      </c>
      <c r="BZ116" s="152">
        <f t="shared" ca="true" si="195"/>
        <v>-315113.57</v>
      </c>
      <c r="CA116" s="152">
        <f t="shared" ca="true" si="195"/>
        <v>-28707.69</v>
      </c>
      <c r="CB116" s="152">
        <f t="shared" ca="true" si="195"/>
        <v>-8718.45</v>
      </c>
      <c r="CC116" s="152">
        <f t="shared" ca="true" si="195"/>
        <v>-9042.1</v>
      </c>
      <c r="CD116" s="152">
        <f t="shared" ca="true" si="195"/>
        <v>4990.3</v>
      </c>
      <c r="CE116" s="152">
        <f t="shared" ca="true" si="195"/>
        <v>-66188.66</v>
      </c>
      <c r="CF116" s="152">
        <f t="shared" ca="true" si="195"/>
        <v>28151.25</v>
      </c>
      <c r="CG116" s="152">
        <f t="shared" ca="true" si="195"/>
        <v>-2073.5</v>
      </c>
      <c r="CH116" s="152">
        <f t="shared" ca="true" si="195"/>
        <v>-63428.03</v>
      </c>
      <c r="CI116" s="152">
        <f t="shared" ca="true" si="195"/>
        <v>-44191.51</v>
      </c>
      <c r="CJ116" s="152">
        <f t="shared" ca="true" si="195"/>
        <v>-45463.17</v>
      </c>
      <c r="CK116" s="152">
        <f t="shared" ca="true" si="195"/>
        <v>-3031.96</v>
      </c>
      <c r="CL116" s="152">
        <f t="shared" ca="true" si="195"/>
        <v>-9352.26000000002</v>
      </c>
      <c r="CM116" s="152">
        <f t="shared" ca="true" si="195"/>
        <v>-171389.13</v>
      </c>
      <c r="CN116" s="152">
        <f t="shared" ca="true" si="195"/>
        <v>-1016725.6</v>
      </c>
      <c r="CO116" s="152">
        <f t="shared" ca="true" si="195"/>
        <v>-2117401.77</v>
      </c>
      <c r="CP116" s="152"/>
      <c r="CQ116" s="205">
        <f ca="true">+SUM(AM116:CP116)</f>
        <v>-4639676.66</v>
      </c>
      <c r="CR116" s="205">
        <f ca="true">SUM(AL116,CQ116)</f>
        <v>-4605246.66</v>
      </c>
      <c r="CS116" s="205">
        <f ca="true">SUM(CY116:CY116)</f>
        <v>-174417.78</v>
      </c>
      <c r="CT116" s="209">
        <f t="shared" ref="CT116:DA116" ca="true" si="196">CT108+CT114</f>
        <v>0</v>
      </c>
      <c r="CU116" s="152">
        <f t="shared" ca="true" si="196"/>
        <v>-155489.35</v>
      </c>
      <c r="CV116" s="152">
        <f t="shared" ca="true" si="196"/>
        <v>-37798.74</v>
      </c>
      <c r="CW116" s="212">
        <f t="shared" ca="true" si="196"/>
        <v>18870.31</v>
      </c>
      <c r="CX116" s="212">
        <f t="shared" ca="true" si="196"/>
        <v>0</v>
      </c>
      <c r="CY116" s="212">
        <f t="shared" ca="true" si="196"/>
        <v>-174417.78</v>
      </c>
      <c r="CZ116" s="205">
        <f t="shared" si="196"/>
        <v>0</v>
      </c>
      <c r="DA116" s="205">
        <f t="shared" si="196"/>
        <v>-587817.1</v>
      </c>
      <c r="DB116" s="193"/>
    </row>
    <row r="117" spans="2:106">
      <c r="B117" s="161"/>
      <c r="E117" s="198"/>
      <c r="F117" s="153"/>
      <c r="G117" s="152"/>
      <c r="H117" s="152"/>
      <c r="I117" s="152"/>
      <c r="J117" s="152"/>
      <c r="K117" s="152"/>
      <c r="L117" s="205"/>
      <c r="M117" s="152"/>
      <c r="N117" s="152"/>
      <c r="O117" s="205"/>
      <c r="P117" s="152"/>
      <c r="Q117" s="152"/>
      <c r="R117" s="152"/>
      <c r="S117" s="152"/>
      <c r="T117" s="152"/>
      <c r="U117" s="152"/>
      <c r="V117" s="153"/>
      <c r="W117" s="152"/>
      <c r="X117" s="152"/>
      <c r="Y117" s="205"/>
      <c r="Z117" s="152"/>
      <c r="AA117" s="152"/>
      <c r="AB117" s="205"/>
      <c r="AC117" s="152"/>
      <c r="AD117" s="152"/>
      <c r="AE117" s="152"/>
      <c r="AF117" s="152"/>
      <c r="AG117" s="152"/>
      <c r="AH117" s="152"/>
      <c r="AI117" s="152"/>
      <c r="AJ117" s="152"/>
      <c r="AK117" s="152"/>
      <c r="AL117" s="205"/>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205"/>
      <c r="CR117" s="205"/>
      <c r="CS117" s="205"/>
      <c r="CT117" s="209"/>
      <c r="CU117" s="152"/>
      <c r="CV117" s="152"/>
      <c r="CW117" s="212"/>
      <c r="CX117" s="212"/>
      <c r="CY117" s="212"/>
      <c r="CZ117" s="205"/>
      <c r="DA117" s="205"/>
      <c r="DB117" s="193"/>
    </row>
    <row r="118" spans="2:106">
      <c r="B118" s="161"/>
      <c r="D118" s="154" t="s">
        <v>13950</v>
      </c>
      <c r="E118" s="152">
        <f>-E21-SUM(E119:E123)</f>
        <v>-3200205</v>
      </c>
      <c r="F118" s="152">
        <f>-F21-SUM(F119:F123)</f>
        <v>-2000205</v>
      </c>
      <c r="G118" s="152">
        <f>-G21-SUM(G119:G123)-G26-G130</f>
        <v>0</v>
      </c>
      <c r="H118" s="152">
        <f t="shared" ref="H118:P118" si="197">-H21-SUM(H119:H123)</f>
        <v>0</v>
      </c>
      <c r="I118" s="152">
        <f t="shared" si="197"/>
        <v>0</v>
      </c>
      <c r="J118" s="152">
        <f t="shared" si="197"/>
        <v>0</v>
      </c>
      <c r="K118" s="152">
        <f t="shared" si="197"/>
        <v>0</v>
      </c>
      <c r="L118" s="152">
        <f t="shared" si="197"/>
        <v>0</v>
      </c>
      <c r="M118" s="152">
        <f t="shared" si="197"/>
        <v>0</v>
      </c>
      <c r="N118" s="152">
        <f t="shared" si="197"/>
        <v>0</v>
      </c>
      <c r="O118" s="205">
        <f t="shared" si="197"/>
        <v>0</v>
      </c>
      <c r="P118" s="152">
        <f t="shared" si="197"/>
        <v>0</v>
      </c>
      <c r="Q118" s="152">
        <f>-Q21-SUM(Q119:Q122)</f>
        <v>0</v>
      </c>
      <c r="R118" s="152">
        <f>-R21-SUM(R119:R123)</f>
        <v>0</v>
      </c>
      <c r="S118" s="152">
        <f>-S21-SUM(S119:S123)</f>
        <v>0</v>
      </c>
      <c r="T118" s="152">
        <f>-T21-SUM(T119:T123)</f>
        <v>0</v>
      </c>
      <c r="U118" s="152">
        <f>-U21-SUM(U119:U123)</f>
        <v>0</v>
      </c>
      <c r="V118" s="153">
        <f>-V21-SUM(V119:V122)</f>
        <v>0</v>
      </c>
      <c r="W118" s="152">
        <f>-W21-SUM(W119:W123)</f>
        <v>0</v>
      </c>
      <c r="X118" s="152">
        <f>-X21-SUM(X119:X123)-X26-X130</f>
        <v>-800000</v>
      </c>
      <c r="Y118" s="152">
        <f>-Y21-SUM(Y119:Y123)-Y26-Y130</f>
        <v>-800000</v>
      </c>
      <c r="Z118" s="152">
        <f t="shared" ref="Z118:AL118" si="198">-Z21-SUM(Z119:Z123)</f>
        <v>0</v>
      </c>
      <c r="AA118" s="152">
        <f t="shared" si="198"/>
        <v>0</v>
      </c>
      <c r="AB118" s="205">
        <f t="shared" si="198"/>
        <v>0</v>
      </c>
      <c r="AC118" s="152">
        <f t="shared" si="198"/>
        <v>0</v>
      </c>
      <c r="AD118" s="152">
        <f t="shared" si="198"/>
        <v>0</v>
      </c>
      <c r="AE118" s="152">
        <f t="shared" si="198"/>
        <v>0</v>
      </c>
      <c r="AF118" s="152">
        <f t="shared" si="198"/>
        <v>0</v>
      </c>
      <c r="AG118" s="152">
        <f t="shared" si="198"/>
        <v>0</v>
      </c>
      <c r="AH118" s="152">
        <f t="shared" si="198"/>
        <v>0</v>
      </c>
      <c r="AI118" s="152">
        <f t="shared" si="198"/>
        <v>0</v>
      </c>
      <c r="AJ118" s="152">
        <f t="shared" si="198"/>
        <v>-205</v>
      </c>
      <c r="AK118" s="152">
        <f t="shared" si="198"/>
        <v>0</v>
      </c>
      <c r="AL118" s="205">
        <f t="shared" si="198"/>
        <v>-205</v>
      </c>
      <c r="AM118" s="152">
        <f>-AM21-SUM(AM119:AM122)</f>
        <v>0</v>
      </c>
      <c r="AN118" s="152">
        <f t="shared" ref="AN118:AV118" si="199">-AN21-SUM(AN119:AN123)</f>
        <v>0</v>
      </c>
      <c r="AO118" s="152">
        <f t="shared" si="199"/>
        <v>0</v>
      </c>
      <c r="AP118" s="152">
        <f t="shared" si="199"/>
        <v>0</v>
      </c>
      <c r="AQ118" s="152">
        <f t="shared" si="199"/>
        <v>0</v>
      </c>
      <c r="AR118" s="152">
        <f t="shared" si="199"/>
        <v>0</v>
      </c>
      <c r="AS118" s="152">
        <f t="shared" si="199"/>
        <v>0</v>
      </c>
      <c r="AT118" s="152">
        <f t="shared" si="199"/>
        <v>0</v>
      </c>
      <c r="AU118" s="152">
        <f t="shared" si="199"/>
        <v>0</v>
      </c>
      <c r="AV118" s="152">
        <f t="shared" si="199"/>
        <v>0</v>
      </c>
      <c r="AW118" s="152">
        <f>-AW21-SUM(AW119:AW122)</f>
        <v>0</v>
      </c>
      <c r="AX118" s="152">
        <f>-AX21-SUM(AX119:AX122)</f>
        <v>0</v>
      </c>
      <c r="AY118" s="152">
        <f>-AY21-SUM(AY119:AY122)</f>
        <v>0</v>
      </c>
      <c r="AZ118" s="152">
        <f>-AZ21-SUM(AZ119:AZ123)</f>
        <v>0</v>
      </c>
      <c r="BA118" s="152">
        <f>-BA21-SUM(BA119:BA123)</f>
        <v>0</v>
      </c>
      <c r="BB118" s="152">
        <f>-BB21-SUM(BB119:BB122)</f>
        <v>0</v>
      </c>
      <c r="BC118" s="152">
        <f>-BC21-SUM(BC119:BC123)</f>
        <v>0</v>
      </c>
      <c r="BD118" s="152">
        <f>-BD21-SUM(BD119:BD123)</f>
        <v>0</v>
      </c>
      <c r="BE118" s="152">
        <f>-BE21-SUM(BE119:BE123)</f>
        <v>0</v>
      </c>
      <c r="BF118" s="152">
        <f>-BF21-SUM(BF119:BF123)</f>
        <v>0</v>
      </c>
      <c r="BG118" s="152">
        <f>-BG21-SUM(BG119:BG123)</f>
        <v>0</v>
      </c>
      <c r="BH118" s="152">
        <f>-BH21-SUM(BH119:BH122)</f>
        <v>0</v>
      </c>
      <c r="BI118" s="152">
        <f t="shared" ref="BI118:BQ118" si="200">-BI21-SUM(BI119:BI123)</f>
        <v>0</v>
      </c>
      <c r="BJ118" s="152">
        <f t="shared" si="200"/>
        <v>0</v>
      </c>
      <c r="BK118" s="152">
        <f t="shared" si="200"/>
        <v>0</v>
      </c>
      <c r="BL118" s="152">
        <f t="shared" si="200"/>
        <v>0</v>
      </c>
      <c r="BM118" s="152">
        <f t="shared" si="200"/>
        <v>0</v>
      </c>
      <c r="BN118" s="152">
        <f t="shared" si="200"/>
        <v>0</v>
      </c>
      <c r="BO118" s="152">
        <f t="shared" si="200"/>
        <v>0</v>
      </c>
      <c r="BP118" s="152">
        <f t="shared" si="200"/>
        <v>0</v>
      </c>
      <c r="BQ118" s="152">
        <f t="shared" si="200"/>
        <v>0</v>
      </c>
      <c r="BR118" s="152">
        <f>-BR21-SUM(BR119:BR123)+BR120</f>
        <v>0</v>
      </c>
      <c r="BS118" s="152">
        <f>-BS21-SUM(BS119:BS123)</f>
        <v>0</v>
      </c>
      <c r="BT118" s="152">
        <f>-BT21-SUM(BT119:BT123)</f>
        <v>0</v>
      </c>
      <c r="BU118" s="152">
        <f>-BU21-SUM(BU119:BU123)</f>
        <v>0</v>
      </c>
      <c r="BV118" s="152">
        <f>-BV21-SUM(BV119:BV122)</f>
        <v>0</v>
      </c>
      <c r="BW118" s="152">
        <f>-BW21-SUM(BW119:BW123)</f>
        <v>0</v>
      </c>
      <c r="BX118" s="152">
        <f>-BX21-SUM(BX119:BX123)</f>
        <v>0</v>
      </c>
      <c r="BY118" s="152">
        <f>-BY21-SUM(BY119:BY122)</f>
        <v>0</v>
      </c>
      <c r="BZ118" s="152">
        <f t="shared" ref="BZ118:CM118" si="201">-BZ21-SUM(BZ119:BZ123)</f>
        <v>0</v>
      </c>
      <c r="CA118" s="152">
        <f t="shared" si="201"/>
        <v>0</v>
      </c>
      <c r="CB118" s="152">
        <f t="shared" si="201"/>
        <v>0</v>
      </c>
      <c r="CC118" s="152">
        <f t="shared" si="201"/>
        <v>0</v>
      </c>
      <c r="CD118" s="152">
        <f t="shared" si="201"/>
        <v>0</v>
      </c>
      <c r="CE118" s="152">
        <f t="shared" si="201"/>
        <v>0</v>
      </c>
      <c r="CF118" s="152">
        <f t="shared" si="201"/>
        <v>0</v>
      </c>
      <c r="CG118" s="152">
        <f t="shared" si="201"/>
        <v>0</v>
      </c>
      <c r="CH118" s="152">
        <f t="shared" si="201"/>
        <v>0</v>
      </c>
      <c r="CI118" s="152">
        <f t="shared" si="201"/>
        <v>0</v>
      </c>
      <c r="CJ118" s="152">
        <f t="shared" si="201"/>
        <v>0</v>
      </c>
      <c r="CK118" s="152">
        <f t="shared" si="201"/>
        <v>0</v>
      </c>
      <c r="CL118" s="152">
        <f t="shared" si="201"/>
        <v>0</v>
      </c>
      <c r="CM118" s="152">
        <f t="shared" si="201"/>
        <v>0</v>
      </c>
      <c r="CN118" s="152">
        <f>-CN21-SUM(CN119:CN123)+CN120</f>
        <v>0</v>
      </c>
      <c r="CO118" s="152">
        <f>-CO21-SUM(CO119:CO123)+CO120</f>
        <v>0</v>
      </c>
      <c r="CP118" s="152"/>
      <c r="CQ118" s="205">
        <f t="shared" ref="CQ118:CZ118" si="202">-CQ21-SUM(CQ119:CQ123)</f>
        <v>-2000000</v>
      </c>
      <c r="CR118" s="205">
        <f t="shared" si="202"/>
        <v>-2000205</v>
      </c>
      <c r="CS118" s="205">
        <f t="shared" si="202"/>
        <v>0</v>
      </c>
      <c r="CT118" s="209">
        <f t="shared" si="202"/>
        <v>0</v>
      </c>
      <c r="CU118" s="152">
        <f t="shared" si="202"/>
        <v>0</v>
      </c>
      <c r="CV118" s="152">
        <f t="shared" si="202"/>
        <v>0</v>
      </c>
      <c r="CW118" s="212">
        <f t="shared" si="202"/>
        <v>0</v>
      </c>
      <c r="CX118" s="212">
        <f t="shared" si="202"/>
        <v>0</v>
      </c>
      <c r="CY118" s="212">
        <f t="shared" si="202"/>
        <v>0</v>
      </c>
      <c r="CZ118" s="205">
        <f t="shared" si="202"/>
        <v>0</v>
      </c>
      <c r="DA118" s="212">
        <f>-DA21-DA26-SUM(DA119:DA123)-DA130</f>
        <v>-5773963.72</v>
      </c>
      <c r="DB118" s="193"/>
    </row>
    <row r="119" spans="1:106">
      <c r="A119" s="154">
        <f t="shared" ref="A119:A124" si="203">MAX(A111:A118)+1</f>
        <v>41</v>
      </c>
      <c r="B119" s="194"/>
      <c r="C119" s="148" t="s">
        <v>863</v>
      </c>
      <c r="D119" s="148" t="s">
        <v>13951</v>
      </c>
      <c r="E119" s="199">
        <f>+F119+CS119+CZ119+DA119</f>
        <v>0</v>
      </c>
      <c r="F119" s="200">
        <f>SUM(G119:K119,M119:N119,P119:U119,W119:X119,Z119:AA119,AC119:AK119,AM119:CP119)</f>
        <v>0</v>
      </c>
      <c r="G119" s="201"/>
      <c r="H119" s="201"/>
      <c r="I119" s="201"/>
      <c r="J119" s="201"/>
      <c r="K119" s="201"/>
      <c r="L119" s="206">
        <f>+SUM(G119:K119)</f>
        <v>0</v>
      </c>
      <c r="M119" s="201"/>
      <c r="N119" s="201"/>
      <c r="O119" s="206">
        <f>+SUM(M119:N119)</f>
        <v>0</v>
      </c>
      <c r="P119" s="201"/>
      <c r="Q119" s="201"/>
      <c r="R119" s="201"/>
      <c r="S119" s="201"/>
      <c r="T119" s="201"/>
      <c r="U119" s="201"/>
      <c r="V119" s="200">
        <f>+SUM(P119:U119)</f>
        <v>0</v>
      </c>
      <c r="W119" s="201"/>
      <c r="X119" s="201"/>
      <c r="Y119" s="206">
        <f>SUM(V119:X119)</f>
        <v>0</v>
      </c>
      <c r="Z119" s="201"/>
      <c r="AA119" s="201"/>
      <c r="AB119" s="206">
        <f>+SUM(Z119:AA119)</f>
        <v>0</v>
      </c>
      <c r="AC119" s="201"/>
      <c r="AD119" s="201"/>
      <c r="AE119" s="201"/>
      <c r="AF119" s="201"/>
      <c r="AG119" s="201"/>
      <c r="AH119" s="201"/>
      <c r="AI119" s="201"/>
      <c r="AJ119" s="201"/>
      <c r="AK119" s="201"/>
      <c r="AL119" s="206">
        <f>SUM(AF119:AK119)</f>
        <v>0</v>
      </c>
      <c r="AM119" s="201"/>
      <c r="AN119" s="201"/>
      <c r="AO119" s="201"/>
      <c r="AP119" s="201"/>
      <c r="AQ119" s="201"/>
      <c r="AR119" s="201"/>
      <c r="AS119" s="201"/>
      <c r="AT119" s="201"/>
      <c r="AU119" s="201"/>
      <c r="AV119" s="201"/>
      <c r="AW119" s="201"/>
      <c r="AX119" s="201"/>
      <c r="AY119" s="201"/>
      <c r="AZ119" s="201"/>
      <c r="BA119" s="201"/>
      <c r="BB119" s="201"/>
      <c r="BC119" s="201"/>
      <c r="BD119" s="201"/>
      <c r="BE119" s="201"/>
      <c r="BF119" s="201"/>
      <c r="BG119" s="201"/>
      <c r="BH119" s="201"/>
      <c r="BI119" s="201"/>
      <c r="BJ119" s="201"/>
      <c r="BK119" s="201"/>
      <c r="BL119" s="201"/>
      <c r="BM119" s="201"/>
      <c r="BN119" s="201"/>
      <c r="BO119" s="201"/>
      <c r="BP119" s="201"/>
      <c r="BQ119" s="201"/>
      <c r="BR119" s="201"/>
      <c r="BS119" s="201"/>
      <c r="BT119" s="201"/>
      <c r="BU119" s="201"/>
      <c r="BV119" s="201"/>
      <c r="BW119" s="201"/>
      <c r="BX119" s="201"/>
      <c r="BY119" s="201"/>
      <c r="BZ119" s="201"/>
      <c r="CA119" s="201"/>
      <c r="CB119" s="201"/>
      <c r="CC119" s="201"/>
      <c r="CD119" s="201"/>
      <c r="CE119" s="201"/>
      <c r="CF119" s="201"/>
      <c r="CG119" s="201"/>
      <c r="CH119" s="201"/>
      <c r="CI119" s="201"/>
      <c r="CJ119" s="201"/>
      <c r="CK119" s="201"/>
      <c r="CL119" s="201"/>
      <c r="CM119" s="201"/>
      <c r="CN119" s="201"/>
      <c r="CO119" s="201"/>
      <c r="CP119" s="201"/>
      <c r="CQ119" s="206">
        <f>+SUM(AM119:CP119)</f>
        <v>0</v>
      </c>
      <c r="CR119" s="206">
        <f>SUM(AL119,CQ119)</f>
        <v>0</v>
      </c>
      <c r="CS119" s="206">
        <f>SUM(CY119:CY119)</f>
        <v>0</v>
      </c>
      <c r="CT119" s="210"/>
      <c r="CU119" s="201"/>
      <c r="CV119" s="201"/>
      <c r="CW119" s="213"/>
      <c r="CX119" s="213"/>
      <c r="CY119" s="213"/>
      <c r="CZ119" s="206"/>
      <c r="DA119" s="206"/>
      <c r="DB119" s="193"/>
    </row>
    <row r="120" spans="1:106">
      <c r="A120" s="154">
        <f t="shared" si="203"/>
        <v>42</v>
      </c>
      <c r="B120" s="194"/>
      <c r="C120" s="148" t="s">
        <v>863</v>
      </c>
      <c r="D120" s="148" t="s">
        <v>13952</v>
      </c>
      <c r="E120" s="199">
        <f>+F120+CS120+CZ120+DA120</f>
        <v>2000000</v>
      </c>
      <c r="F120" s="200">
        <f>SUM(G120:K120,M120:N120,P120:U120,W120:X120,Z120:AA120,AC120:AK120,AM120:CP120)</f>
        <v>2000000</v>
      </c>
      <c r="G120" s="201"/>
      <c r="H120" s="201"/>
      <c r="I120" s="201"/>
      <c r="J120" s="201"/>
      <c r="K120" s="201"/>
      <c r="L120" s="206">
        <f>+SUM(G120:K120)</f>
        <v>0</v>
      </c>
      <c r="M120" s="201"/>
      <c r="N120" s="201"/>
      <c r="O120" s="206">
        <f>+SUM(M120:N120)</f>
        <v>0</v>
      </c>
      <c r="P120" s="201"/>
      <c r="Q120" s="201"/>
      <c r="R120" s="201"/>
      <c r="S120" s="201"/>
      <c r="T120" s="201"/>
      <c r="U120" s="201"/>
      <c r="V120" s="200">
        <f>+SUM(P120:U120)</f>
        <v>0</v>
      </c>
      <c r="W120" s="201"/>
      <c r="X120" s="201"/>
      <c r="Y120" s="206">
        <f>SUM(V120:X120)</f>
        <v>0</v>
      </c>
      <c r="Z120" s="201"/>
      <c r="AA120" s="201"/>
      <c r="AB120" s="206">
        <f>+SUM(Z120:AA120)</f>
        <v>0</v>
      </c>
      <c r="AC120" s="201"/>
      <c r="AD120" s="201"/>
      <c r="AE120" s="201"/>
      <c r="AF120" s="201"/>
      <c r="AG120" s="201"/>
      <c r="AH120" s="201"/>
      <c r="AI120" s="201"/>
      <c r="AJ120" s="201"/>
      <c r="AK120" s="201"/>
      <c r="AL120" s="206">
        <f>SUM(AF120:AK120)</f>
        <v>0</v>
      </c>
      <c r="AM120" s="201"/>
      <c r="AN120" s="201"/>
      <c r="AO120" s="201"/>
      <c r="AP120" s="201"/>
      <c r="AQ120" s="201"/>
      <c r="AR120" s="201"/>
      <c r="AS120" s="201"/>
      <c r="AT120" s="201"/>
      <c r="AU120" s="201"/>
      <c r="AV120" s="201"/>
      <c r="AW120" s="201"/>
      <c r="AX120" s="201"/>
      <c r="AY120" s="201"/>
      <c r="AZ120" s="201"/>
      <c r="BA120" s="201"/>
      <c r="BB120" s="201"/>
      <c r="BC120" s="201"/>
      <c r="BD120" s="201"/>
      <c r="BE120" s="201"/>
      <c r="BF120" s="201"/>
      <c r="BG120" s="201"/>
      <c r="BH120" s="201"/>
      <c r="BI120" s="201"/>
      <c r="BJ120" s="201"/>
      <c r="BK120" s="201"/>
      <c r="BL120" s="201"/>
      <c r="BM120" s="201"/>
      <c r="BN120" s="201"/>
      <c r="BO120" s="201"/>
      <c r="BP120" s="201"/>
      <c r="BQ120" s="201"/>
      <c r="BR120" s="201"/>
      <c r="BS120" s="201"/>
      <c r="BT120" s="201"/>
      <c r="BU120" s="201"/>
      <c r="BV120" s="201"/>
      <c r="BW120" s="201"/>
      <c r="BX120" s="201"/>
      <c r="BY120" s="201"/>
      <c r="BZ120" s="201"/>
      <c r="CA120" s="201"/>
      <c r="CB120" s="201"/>
      <c r="CC120" s="201"/>
      <c r="CD120" s="201"/>
      <c r="CE120" s="201"/>
      <c r="CF120" s="201"/>
      <c r="CG120" s="201"/>
      <c r="CH120" s="201"/>
      <c r="CI120" s="201"/>
      <c r="CJ120" s="201"/>
      <c r="CK120" s="201"/>
      <c r="CL120" s="201"/>
      <c r="CM120" s="201"/>
      <c r="CN120" s="201">
        <v>1000000</v>
      </c>
      <c r="CO120" s="201">
        <v>1000000</v>
      </c>
      <c r="CP120" s="201"/>
      <c r="CQ120" s="206">
        <f>+SUM(AM120:CP120)</f>
        <v>2000000</v>
      </c>
      <c r="CR120" s="206">
        <f>SUM(AL120,CQ120)</f>
        <v>2000000</v>
      </c>
      <c r="CS120" s="206">
        <f>SUM(CY120:CY120)</f>
        <v>0</v>
      </c>
      <c r="CT120" s="210"/>
      <c r="CU120" s="201"/>
      <c r="CV120" s="201"/>
      <c r="CW120" s="213"/>
      <c r="CX120" s="213"/>
      <c r="CY120" s="213"/>
      <c r="CZ120" s="206"/>
      <c r="DA120" s="206"/>
      <c r="DB120" s="193"/>
    </row>
    <row r="121" spans="1:106">
      <c r="A121" s="154">
        <f t="shared" si="203"/>
        <v>43</v>
      </c>
      <c r="B121" s="194"/>
      <c r="C121" s="148" t="s">
        <v>863</v>
      </c>
      <c r="D121" s="148" t="s">
        <v>13953</v>
      </c>
      <c r="E121" s="199">
        <f>+F121+CS121+CZ121+DA121</f>
        <v>1200000</v>
      </c>
      <c r="F121" s="200">
        <f>SUM(G121:K121,M121:N121,P121:U121,W121:X121,Z121:AA121,AC121:AK121,AM121:CP121)</f>
        <v>0</v>
      </c>
      <c r="G121" s="201"/>
      <c r="H121" s="201"/>
      <c r="I121" s="201"/>
      <c r="J121" s="201"/>
      <c r="K121" s="201"/>
      <c r="L121" s="206">
        <f>+SUM(G121:K121)</f>
        <v>0</v>
      </c>
      <c r="M121" s="201"/>
      <c r="N121" s="201"/>
      <c r="O121" s="206">
        <f>+SUM(M121:N121)</f>
        <v>0</v>
      </c>
      <c r="P121" s="201"/>
      <c r="Q121" s="201"/>
      <c r="R121" s="201"/>
      <c r="S121" s="201"/>
      <c r="T121" s="201"/>
      <c r="U121" s="201"/>
      <c r="V121" s="200">
        <f>+SUM(P121:U121)</f>
        <v>0</v>
      </c>
      <c r="W121" s="201"/>
      <c r="X121" s="201"/>
      <c r="Y121" s="206">
        <f>SUM(V121:X121)</f>
        <v>0</v>
      </c>
      <c r="Z121" s="201"/>
      <c r="AA121" s="201"/>
      <c r="AB121" s="206">
        <f>+SUM(Z121:AA121)</f>
        <v>0</v>
      </c>
      <c r="AC121" s="201"/>
      <c r="AD121" s="201"/>
      <c r="AE121" s="201"/>
      <c r="AF121" s="201"/>
      <c r="AG121" s="201"/>
      <c r="AH121" s="201"/>
      <c r="AI121" s="201"/>
      <c r="AJ121" s="201"/>
      <c r="AK121" s="201"/>
      <c r="AL121" s="206">
        <f>SUM(AF121:AK121)</f>
        <v>0</v>
      </c>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6">
        <f>+SUM(AM121:CP121)</f>
        <v>0</v>
      </c>
      <c r="CR121" s="206">
        <f>SUM(AL121,CQ121)</f>
        <v>0</v>
      </c>
      <c r="CS121" s="206">
        <f>SUM(CY121:CY121)</f>
        <v>0</v>
      </c>
      <c r="CT121" s="210"/>
      <c r="CU121" s="201"/>
      <c r="CV121" s="201"/>
      <c r="CW121" s="213"/>
      <c r="CX121" s="213"/>
      <c r="CY121" s="213"/>
      <c r="CZ121" s="206"/>
      <c r="DA121" s="206">
        <v>1200000</v>
      </c>
      <c r="DB121" s="193" t="s">
        <v>13885</v>
      </c>
    </row>
    <row r="122" spans="1:106">
      <c r="A122" s="154">
        <f t="shared" si="203"/>
        <v>44</v>
      </c>
      <c r="B122" s="194"/>
      <c r="C122" s="148" t="s">
        <v>863</v>
      </c>
      <c r="D122" s="148" t="s">
        <v>13954</v>
      </c>
      <c r="E122" s="199">
        <f>+F122+CS122+CZ122+DA122</f>
        <v>0</v>
      </c>
      <c r="F122" s="200">
        <f>SUM(G122:K122,M122:N122,P122:U122,W122:X122,Z122:AA122,AC122:AK122,AM122:CP122)</f>
        <v>0</v>
      </c>
      <c r="G122" s="201"/>
      <c r="H122" s="201"/>
      <c r="I122" s="201"/>
      <c r="J122" s="201"/>
      <c r="K122" s="201"/>
      <c r="L122" s="206">
        <f>+SUM(G122:K122)</f>
        <v>0</v>
      </c>
      <c r="M122" s="201"/>
      <c r="N122" s="201"/>
      <c r="O122" s="206">
        <f>+SUM(M122:N122)</f>
        <v>0</v>
      </c>
      <c r="P122" s="201"/>
      <c r="Q122" s="201"/>
      <c r="R122" s="201"/>
      <c r="S122" s="201"/>
      <c r="T122" s="201"/>
      <c r="U122" s="201"/>
      <c r="V122" s="200">
        <f>+SUM(P122:U122)</f>
        <v>0</v>
      </c>
      <c r="W122" s="201"/>
      <c r="X122" s="201"/>
      <c r="Y122" s="206">
        <f>SUM(V122:X122)</f>
        <v>0</v>
      </c>
      <c r="Z122" s="201"/>
      <c r="AA122" s="201"/>
      <c r="AB122" s="206">
        <f>+SUM(Z122:AA122)</f>
        <v>0</v>
      </c>
      <c r="AC122" s="201"/>
      <c r="AD122" s="201"/>
      <c r="AE122" s="201"/>
      <c r="AF122" s="201"/>
      <c r="AG122" s="201"/>
      <c r="AH122" s="201"/>
      <c r="AI122" s="201"/>
      <c r="AJ122" s="201"/>
      <c r="AK122" s="201"/>
      <c r="AL122" s="206">
        <f>SUM(AF122:AK122)</f>
        <v>0</v>
      </c>
      <c r="AM122" s="201"/>
      <c r="AN122" s="201"/>
      <c r="AO122" s="201"/>
      <c r="AP122" s="201"/>
      <c r="AQ122" s="201"/>
      <c r="AR122" s="201"/>
      <c r="AS122" s="201"/>
      <c r="AT122" s="201"/>
      <c r="AU122" s="201"/>
      <c r="AV122" s="201"/>
      <c r="AW122" s="201"/>
      <c r="AX122" s="201"/>
      <c r="AY122" s="201"/>
      <c r="AZ122" s="201"/>
      <c r="BA122" s="201"/>
      <c r="BB122" s="201"/>
      <c r="BC122" s="201"/>
      <c r="BD122" s="201"/>
      <c r="BE122" s="201"/>
      <c r="BF122" s="201"/>
      <c r="BG122" s="201"/>
      <c r="BH122" s="201"/>
      <c r="BI122" s="201"/>
      <c r="BJ122" s="201"/>
      <c r="BK122" s="201"/>
      <c r="BL122" s="201"/>
      <c r="BM122" s="201"/>
      <c r="BN122" s="201"/>
      <c r="BO122" s="201"/>
      <c r="BP122" s="201"/>
      <c r="BQ122" s="201"/>
      <c r="BR122" s="201"/>
      <c r="BS122" s="201"/>
      <c r="BT122" s="201"/>
      <c r="BU122" s="201"/>
      <c r="BV122" s="201"/>
      <c r="BW122" s="201"/>
      <c r="BX122" s="201"/>
      <c r="BY122" s="201"/>
      <c r="BZ122" s="201"/>
      <c r="CA122" s="201"/>
      <c r="CB122" s="201"/>
      <c r="CC122" s="201"/>
      <c r="CD122" s="201"/>
      <c r="CE122" s="201"/>
      <c r="CF122" s="201"/>
      <c r="CG122" s="201"/>
      <c r="CH122" s="201"/>
      <c r="CI122" s="201"/>
      <c r="CJ122" s="201"/>
      <c r="CK122" s="201"/>
      <c r="CL122" s="201"/>
      <c r="CM122" s="201"/>
      <c r="CN122" s="201"/>
      <c r="CO122" s="201"/>
      <c r="CP122" s="201"/>
      <c r="CQ122" s="206">
        <f>+SUM(AM122:CP122)</f>
        <v>0</v>
      </c>
      <c r="CR122" s="206">
        <f>SUM(AL122,CQ122)</f>
        <v>0</v>
      </c>
      <c r="CS122" s="206">
        <f>SUM(CY122:CY122)</f>
        <v>0</v>
      </c>
      <c r="CT122" s="210"/>
      <c r="CU122" s="201"/>
      <c r="CV122" s="201"/>
      <c r="CW122" s="213"/>
      <c r="CX122" s="213"/>
      <c r="CY122" s="213"/>
      <c r="CZ122" s="206"/>
      <c r="DA122" s="206"/>
      <c r="DB122" s="193"/>
    </row>
    <row r="123" spans="1:106">
      <c r="A123" s="154">
        <f t="shared" si="203"/>
        <v>45</v>
      </c>
      <c r="B123" s="194"/>
      <c r="C123" s="148" t="s">
        <v>863</v>
      </c>
      <c r="D123" s="148" t="s">
        <v>13955</v>
      </c>
      <c r="E123" s="199">
        <f>+F123+CS123+CZ123+DA123</f>
        <v>0</v>
      </c>
      <c r="F123" s="200">
        <f>SUM(G123:K123,M123:N123,P123:U123,W123:X123,Z123:AA123,AC123:AK123,AM123:CP123)</f>
        <v>0</v>
      </c>
      <c r="G123" s="201"/>
      <c r="H123" s="201"/>
      <c r="I123" s="201"/>
      <c r="J123" s="201"/>
      <c r="K123" s="201"/>
      <c r="L123" s="206">
        <f>+SUM(G123:K123)</f>
        <v>0</v>
      </c>
      <c r="M123" s="201"/>
      <c r="N123" s="201"/>
      <c r="O123" s="206">
        <f>+SUM(M123:N123)</f>
        <v>0</v>
      </c>
      <c r="P123" s="201"/>
      <c r="Q123" s="201"/>
      <c r="R123" s="201"/>
      <c r="S123" s="201"/>
      <c r="T123" s="201"/>
      <c r="U123" s="201"/>
      <c r="V123" s="200">
        <f>+SUM(P123:U123)</f>
        <v>0</v>
      </c>
      <c r="W123" s="201"/>
      <c r="X123" s="201"/>
      <c r="Y123" s="206">
        <f>SUM(V123:X123)</f>
        <v>0</v>
      </c>
      <c r="Z123" s="201"/>
      <c r="AA123" s="201"/>
      <c r="AB123" s="206">
        <f>+SUM(Z123:AA123)</f>
        <v>0</v>
      </c>
      <c r="AC123" s="201"/>
      <c r="AD123" s="201"/>
      <c r="AE123" s="201"/>
      <c r="AF123" s="201"/>
      <c r="AG123" s="201"/>
      <c r="AH123" s="201"/>
      <c r="AI123" s="201"/>
      <c r="AJ123" s="201"/>
      <c r="AK123" s="201"/>
      <c r="AL123" s="206">
        <f>SUM(AF123:AK123)</f>
        <v>0</v>
      </c>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6">
        <f>+SUM(AM123:CP123)</f>
        <v>0</v>
      </c>
      <c r="CR123" s="206">
        <f>SUM(AL123,CQ123)</f>
        <v>0</v>
      </c>
      <c r="CS123" s="206">
        <f>SUM(CY123:CY123)</f>
        <v>0</v>
      </c>
      <c r="CT123" s="210"/>
      <c r="CU123" s="201"/>
      <c r="CV123" s="201"/>
      <c r="CW123" s="213"/>
      <c r="CX123" s="213"/>
      <c r="CY123" s="213"/>
      <c r="CZ123" s="206"/>
      <c r="DA123" s="206"/>
      <c r="DB123" s="193"/>
    </row>
    <row r="124" spans="1:106">
      <c r="A124" s="154">
        <f t="shared" si="203"/>
        <v>46</v>
      </c>
      <c r="B124" s="161"/>
      <c r="D124" s="154" t="s">
        <v>13956</v>
      </c>
      <c r="E124" s="198">
        <f t="shared" ref="E124:AM124" si="204">SUM(E118:E123)</f>
        <v>-205</v>
      </c>
      <c r="F124" s="153">
        <f t="shared" si="204"/>
        <v>-205</v>
      </c>
      <c r="G124" s="152">
        <f t="shared" si="204"/>
        <v>0</v>
      </c>
      <c r="H124" s="152">
        <f t="shared" si="204"/>
        <v>0</v>
      </c>
      <c r="I124" s="152">
        <f t="shared" si="204"/>
        <v>0</v>
      </c>
      <c r="J124" s="152">
        <f t="shared" si="204"/>
        <v>0</v>
      </c>
      <c r="K124" s="152">
        <f t="shared" si="204"/>
        <v>0</v>
      </c>
      <c r="L124" s="205">
        <f t="shared" si="204"/>
        <v>0</v>
      </c>
      <c r="M124" s="152">
        <f t="shared" si="204"/>
        <v>0</v>
      </c>
      <c r="N124" s="152">
        <f t="shared" si="204"/>
        <v>0</v>
      </c>
      <c r="O124" s="205">
        <f t="shared" si="204"/>
        <v>0</v>
      </c>
      <c r="P124" s="152">
        <f t="shared" si="204"/>
        <v>0</v>
      </c>
      <c r="Q124" s="152">
        <f t="shared" si="204"/>
        <v>0</v>
      </c>
      <c r="R124" s="152">
        <f t="shared" si="204"/>
        <v>0</v>
      </c>
      <c r="S124" s="152">
        <f t="shared" si="204"/>
        <v>0</v>
      </c>
      <c r="T124" s="152">
        <f t="shared" si="204"/>
        <v>0</v>
      </c>
      <c r="U124" s="152">
        <f t="shared" si="204"/>
        <v>0</v>
      </c>
      <c r="V124" s="153">
        <f t="shared" si="204"/>
        <v>0</v>
      </c>
      <c r="W124" s="152">
        <f t="shared" si="204"/>
        <v>0</v>
      </c>
      <c r="X124" s="152">
        <f t="shared" si="204"/>
        <v>-800000</v>
      </c>
      <c r="Y124" s="205">
        <f t="shared" si="204"/>
        <v>-800000</v>
      </c>
      <c r="Z124" s="152">
        <f t="shared" si="204"/>
        <v>0</v>
      </c>
      <c r="AA124" s="152">
        <f t="shared" si="204"/>
        <v>0</v>
      </c>
      <c r="AB124" s="205">
        <f t="shared" si="204"/>
        <v>0</v>
      </c>
      <c r="AC124" s="152">
        <f t="shared" si="204"/>
        <v>0</v>
      </c>
      <c r="AD124" s="152">
        <f t="shared" si="204"/>
        <v>0</v>
      </c>
      <c r="AE124" s="152">
        <f t="shared" si="204"/>
        <v>0</v>
      </c>
      <c r="AF124" s="152">
        <f t="shared" si="204"/>
        <v>0</v>
      </c>
      <c r="AG124" s="152">
        <f t="shared" si="204"/>
        <v>0</v>
      </c>
      <c r="AH124" s="152">
        <f t="shared" si="204"/>
        <v>0</v>
      </c>
      <c r="AI124" s="152">
        <f t="shared" si="204"/>
        <v>0</v>
      </c>
      <c r="AJ124" s="152">
        <f t="shared" si="204"/>
        <v>-205</v>
      </c>
      <c r="AK124" s="152">
        <f t="shared" si="204"/>
        <v>0</v>
      </c>
      <c r="AL124" s="205">
        <f t="shared" si="204"/>
        <v>-205</v>
      </c>
      <c r="AM124" s="152">
        <f t="shared" si="204"/>
        <v>0</v>
      </c>
      <c r="AN124" s="152">
        <f>SUM(AN119:AN123)</f>
        <v>0</v>
      </c>
      <c r="AO124" s="152">
        <f>SUM(AO119:AO123)</f>
        <v>0</v>
      </c>
      <c r="AP124" s="152">
        <f t="shared" ref="AP124:DA124" si="205">SUM(AP118:AP123)</f>
        <v>0</v>
      </c>
      <c r="AQ124" s="152">
        <f t="shared" si="205"/>
        <v>0</v>
      </c>
      <c r="AR124" s="152">
        <f t="shared" si="205"/>
        <v>0</v>
      </c>
      <c r="AS124" s="152">
        <f t="shared" si="205"/>
        <v>0</v>
      </c>
      <c r="AT124" s="152">
        <f t="shared" si="205"/>
        <v>0</v>
      </c>
      <c r="AU124" s="152">
        <f t="shared" si="205"/>
        <v>0</v>
      </c>
      <c r="AV124" s="152">
        <f t="shared" si="205"/>
        <v>0</v>
      </c>
      <c r="AW124" s="152">
        <f t="shared" si="205"/>
        <v>0</v>
      </c>
      <c r="AX124" s="152">
        <f t="shared" si="205"/>
        <v>0</v>
      </c>
      <c r="AY124" s="152">
        <f t="shared" si="205"/>
        <v>0</v>
      </c>
      <c r="AZ124" s="152">
        <f t="shared" si="205"/>
        <v>0</v>
      </c>
      <c r="BA124" s="152">
        <f t="shared" si="205"/>
        <v>0</v>
      </c>
      <c r="BB124" s="152">
        <f t="shared" si="205"/>
        <v>0</v>
      </c>
      <c r="BC124" s="152">
        <f t="shared" si="205"/>
        <v>0</v>
      </c>
      <c r="BD124" s="152">
        <f t="shared" si="205"/>
        <v>0</v>
      </c>
      <c r="BE124" s="152">
        <f t="shared" si="205"/>
        <v>0</v>
      </c>
      <c r="BF124" s="152">
        <f t="shared" si="205"/>
        <v>0</v>
      </c>
      <c r="BG124" s="152">
        <f t="shared" si="205"/>
        <v>0</v>
      </c>
      <c r="BH124" s="152">
        <f t="shared" si="205"/>
        <v>0</v>
      </c>
      <c r="BI124" s="152">
        <f t="shared" si="205"/>
        <v>0</v>
      </c>
      <c r="BJ124" s="152">
        <f t="shared" si="205"/>
        <v>0</v>
      </c>
      <c r="BK124" s="152">
        <f t="shared" si="205"/>
        <v>0</v>
      </c>
      <c r="BL124" s="152">
        <f t="shared" si="205"/>
        <v>0</v>
      </c>
      <c r="BM124" s="152">
        <f t="shared" si="205"/>
        <v>0</v>
      </c>
      <c r="BN124" s="152">
        <f t="shared" si="205"/>
        <v>0</v>
      </c>
      <c r="BO124" s="152">
        <f t="shared" si="205"/>
        <v>0</v>
      </c>
      <c r="BP124" s="152">
        <f t="shared" si="205"/>
        <v>0</v>
      </c>
      <c r="BQ124" s="152">
        <f t="shared" si="205"/>
        <v>0</v>
      </c>
      <c r="BR124" s="152">
        <f t="shared" si="205"/>
        <v>0</v>
      </c>
      <c r="BS124" s="152">
        <f t="shared" si="205"/>
        <v>0</v>
      </c>
      <c r="BT124" s="152">
        <f t="shared" si="205"/>
        <v>0</v>
      </c>
      <c r="BU124" s="152">
        <f t="shared" si="205"/>
        <v>0</v>
      </c>
      <c r="BV124" s="152">
        <f t="shared" si="205"/>
        <v>0</v>
      </c>
      <c r="BW124" s="152">
        <f t="shared" si="205"/>
        <v>0</v>
      </c>
      <c r="BX124" s="152">
        <f t="shared" si="205"/>
        <v>0</v>
      </c>
      <c r="BY124" s="152">
        <f t="shared" si="205"/>
        <v>0</v>
      </c>
      <c r="BZ124" s="152">
        <f t="shared" si="205"/>
        <v>0</v>
      </c>
      <c r="CA124" s="152">
        <f t="shared" si="205"/>
        <v>0</v>
      </c>
      <c r="CB124" s="152">
        <f t="shared" si="205"/>
        <v>0</v>
      </c>
      <c r="CC124" s="152">
        <f t="shared" si="205"/>
        <v>0</v>
      </c>
      <c r="CD124" s="152">
        <f t="shared" si="205"/>
        <v>0</v>
      </c>
      <c r="CE124" s="152">
        <f t="shared" si="205"/>
        <v>0</v>
      </c>
      <c r="CF124" s="152">
        <f t="shared" si="205"/>
        <v>0</v>
      </c>
      <c r="CG124" s="152">
        <f t="shared" si="205"/>
        <v>0</v>
      </c>
      <c r="CH124" s="152">
        <f t="shared" si="205"/>
        <v>0</v>
      </c>
      <c r="CI124" s="152">
        <f t="shared" si="205"/>
        <v>0</v>
      </c>
      <c r="CJ124" s="152">
        <f t="shared" si="205"/>
        <v>0</v>
      </c>
      <c r="CK124" s="152">
        <f t="shared" si="205"/>
        <v>0</v>
      </c>
      <c r="CL124" s="152">
        <f t="shared" si="205"/>
        <v>0</v>
      </c>
      <c r="CM124" s="152">
        <f t="shared" si="205"/>
        <v>0</v>
      </c>
      <c r="CN124" s="152">
        <f t="shared" si="205"/>
        <v>1000000</v>
      </c>
      <c r="CO124" s="152">
        <f t="shared" si="205"/>
        <v>1000000</v>
      </c>
      <c r="CP124" s="152">
        <f t="shared" si="205"/>
        <v>0</v>
      </c>
      <c r="CQ124" s="205">
        <f t="shared" si="205"/>
        <v>0</v>
      </c>
      <c r="CR124" s="205">
        <f t="shared" si="205"/>
        <v>-205</v>
      </c>
      <c r="CS124" s="205">
        <f t="shared" si="205"/>
        <v>0</v>
      </c>
      <c r="CT124" s="209">
        <f t="shared" si="205"/>
        <v>0</v>
      </c>
      <c r="CU124" s="152">
        <f t="shared" si="205"/>
        <v>0</v>
      </c>
      <c r="CV124" s="152">
        <f t="shared" si="205"/>
        <v>0</v>
      </c>
      <c r="CW124" s="212">
        <f t="shared" si="205"/>
        <v>0</v>
      </c>
      <c r="CX124" s="212">
        <f t="shared" si="205"/>
        <v>0</v>
      </c>
      <c r="CY124" s="212">
        <f t="shared" si="205"/>
        <v>0</v>
      </c>
      <c r="CZ124" s="205">
        <f t="shared" si="205"/>
        <v>0</v>
      </c>
      <c r="DA124" s="205">
        <f t="shared" si="205"/>
        <v>-4573963.72</v>
      </c>
      <c r="DB124" s="193"/>
    </row>
    <row r="125" spans="2:106">
      <c r="B125" s="161"/>
      <c r="E125" s="149"/>
      <c r="F125" s="152"/>
      <c r="G125" s="152"/>
      <c r="H125" s="152"/>
      <c r="I125" s="152"/>
      <c r="J125" s="152"/>
      <c r="K125" s="152"/>
      <c r="L125" s="205"/>
      <c r="M125" s="152"/>
      <c r="N125" s="152"/>
      <c r="O125" s="205"/>
      <c r="P125" s="152"/>
      <c r="Q125" s="152"/>
      <c r="R125" s="152"/>
      <c r="S125" s="152"/>
      <c r="T125" s="152"/>
      <c r="U125" s="152"/>
      <c r="V125" s="153"/>
      <c r="W125" s="152"/>
      <c r="X125" s="152"/>
      <c r="Y125" s="205"/>
      <c r="Z125" s="152"/>
      <c r="AA125" s="152"/>
      <c r="AB125" s="205"/>
      <c r="AC125" s="152"/>
      <c r="AD125" s="152"/>
      <c r="AE125" s="152"/>
      <c r="AF125" s="152"/>
      <c r="AG125" s="152"/>
      <c r="AH125" s="152"/>
      <c r="AI125" s="152"/>
      <c r="AJ125" s="152"/>
      <c r="AK125" s="152"/>
      <c r="AL125" s="205"/>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205"/>
      <c r="CR125" s="205"/>
      <c r="CS125" s="205"/>
      <c r="CT125" s="209"/>
      <c r="CU125" s="152"/>
      <c r="CV125" s="152"/>
      <c r="CW125" s="212"/>
      <c r="CX125" s="212"/>
      <c r="CY125" s="212"/>
      <c r="CZ125" s="205"/>
      <c r="DA125" s="205"/>
      <c r="DB125" s="193"/>
    </row>
    <row r="126" spans="2:106">
      <c r="B126" s="161"/>
      <c r="D126" s="154" t="s">
        <v>13957</v>
      </c>
      <c r="E126" s="149"/>
      <c r="F126" s="152"/>
      <c r="G126" s="152"/>
      <c r="H126" s="152"/>
      <c r="I126" s="152"/>
      <c r="J126" s="152"/>
      <c r="K126" s="152"/>
      <c r="L126" s="205"/>
      <c r="M126" s="152"/>
      <c r="N126" s="152"/>
      <c r="O126" s="205"/>
      <c r="P126" s="152"/>
      <c r="Q126" s="152"/>
      <c r="R126" s="152"/>
      <c r="S126" s="152"/>
      <c r="T126" s="152"/>
      <c r="U126" s="152"/>
      <c r="V126" s="153"/>
      <c r="W126" s="152"/>
      <c r="X126" s="152"/>
      <c r="Y126" s="205"/>
      <c r="Z126" s="152"/>
      <c r="AA126" s="152"/>
      <c r="AB126" s="205"/>
      <c r="AC126" s="152"/>
      <c r="AD126" s="152"/>
      <c r="AE126" s="152"/>
      <c r="AF126" s="152"/>
      <c r="AG126" s="152"/>
      <c r="AH126" s="152"/>
      <c r="AI126" s="152"/>
      <c r="AJ126" s="152"/>
      <c r="AK126" s="152"/>
      <c r="AL126" s="205"/>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205"/>
      <c r="CR126" s="205"/>
      <c r="CS126" s="205"/>
      <c r="CT126" s="209"/>
      <c r="CU126" s="152"/>
      <c r="CV126" s="152"/>
      <c r="CW126" s="212"/>
      <c r="CX126" s="212"/>
      <c r="CY126" s="212"/>
      <c r="CZ126" s="205"/>
      <c r="DA126" s="205"/>
      <c r="DB126" s="193"/>
    </row>
    <row r="127" spans="1:106">
      <c r="A127" s="154">
        <f>MAX(A122:A125)+1</f>
        <v>47</v>
      </c>
      <c r="B127" s="194" t="s">
        <v>13958</v>
      </c>
      <c r="C127" s="148" t="s">
        <v>13886</v>
      </c>
      <c r="D127" s="148" t="s">
        <v>13959</v>
      </c>
      <c r="E127" s="199">
        <f>+F127+CS127+CZ127+DA127</f>
        <v>0</v>
      </c>
      <c r="F127" s="200">
        <f>SUM(G127:K127,M127:N127,P127:U127,W127:X127,Z127:AA127,AC127:AK127,AM127:CP127)</f>
        <v>0</v>
      </c>
      <c r="G127" s="201"/>
      <c r="H127" s="201"/>
      <c r="I127" s="201"/>
      <c r="J127" s="201"/>
      <c r="K127" s="201"/>
      <c r="L127" s="206">
        <f>+SUM(G127:K127)</f>
        <v>0</v>
      </c>
      <c r="M127" s="201"/>
      <c r="N127" s="201"/>
      <c r="O127" s="206">
        <f>+SUM(M127:N127)</f>
        <v>0</v>
      </c>
      <c r="P127" s="201"/>
      <c r="Q127" s="201"/>
      <c r="R127" s="201"/>
      <c r="S127" s="201"/>
      <c r="T127" s="201"/>
      <c r="U127" s="201"/>
      <c r="V127" s="200">
        <f>+SUM(P127:U127)</f>
        <v>0</v>
      </c>
      <c r="W127" s="201"/>
      <c r="X127" s="201"/>
      <c r="Y127" s="206">
        <f>SUM(V127:X127)</f>
        <v>0</v>
      </c>
      <c r="Z127" s="201"/>
      <c r="AA127" s="201"/>
      <c r="AB127" s="206">
        <f>+SUM(Z127:AA127)</f>
        <v>0</v>
      </c>
      <c r="AC127" s="201"/>
      <c r="AD127" s="201"/>
      <c r="AE127" s="201"/>
      <c r="AF127" s="201"/>
      <c r="AG127" s="201"/>
      <c r="AH127" s="201"/>
      <c r="AI127" s="201"/>
      <c r="AJ127" s="201"/>
      <c r="AK127" s="201"/>
      <c r="AL127" s="206">
        <f>SUM(AF127:AK127)</f>
        <v>0</v>
      </c>
      <c r="AM127" s="201"/>
      <c r="AN127" s="201"/>
      <c r="AO127" s="201"/>
      <c r="AP127" s="201"/>
      <c r="AQ127" s="201"/>
      <c r="AR127" s="201"/>
      <c r="AS127" s="201"/>
      <c r="AT127" s="201"/>
      <c r="AU127" s="201"/>
      <c r="AV127" s="201"/>
      <c r="AW127" s="201"/>
      <c r="AX127" s="201"/>
      <c r="AY127" s="201"/>
      <c r="AZ127" s="201"/>
      <c r="BA127" s="201"/>
      <c r="BB127" s="201"/>
      <c r="BC127" s="201"/>
      <c r="BD127" s="201"/>
      <c r="BE127" s="201"/>
      <c r="BF127" s="201"/>
      <c r="BG127" s="201"/>
      <c r="BH127" s="201"/>
      <c r="BI127" s="201"/>
      <c r="BJ127" s="201"/>
      <c r="BK127" s="201"/>
      <c r="BL127" s="201"/>
      <c r="BM127" s="201"/>
      <c r="BN127" s="201"/>
      <c r="BO127" s="201"/>
      <c r="BP127" s="201"/>
      <c r="BQ127" s="201"/>
      <c r="BR127" s="201"/>
      <c r="BS127" s="201"/>
      <c r="BT127" s="201"/>
      <c r="BU127" s="201"/>
      <c r="BV127" s="201"/>
      <c r="BW127" s="201"/>
      <c r="BX127" s="201"/>
      <c r="BY127" s="201"/>
      <c r="BZ127" s="201"/>
      <c r="CA127" s="201"/>
      <c r="CB127" s="201"/>
      <c r="CC127" s="201"/>
      <c r="CD127" s="201"/>
      <c r="CE127" s="201"/>
      <c r="CF127" s="201"/>
      <c r="CG127" s="201"/>
      <c r="CH127" s="201"/>
      <c r="CI127" s="201"/>
      <c r="CJ127" s="201"/>
      <c r="CK127" s="201"/>
      <c r="CL127" s="201"/>
      <c r="CM127" s="201"/>
      <c r="CN127" s="201"/>
      <c r="CO127" s="201"/>
      <c r="CP127" s="201"/>
      <c r="CQ127" s="206">
        <f>+SUM(AM127:CP127)</f>
        <v>0</v>
      </c>
      <c r="CR127" s="206">
        <f>SUM(AL127,CQ127)</f>
        <v>0</v>
      </c>
      <c r="CS127" s="206">
        <f>SUM(CY127:CY127)</f>
        <v>0</v>
      </c>
      <c r="CT127" s="210"/>
      <c r="CU127" s="201"/>
      <c r="CV127" s="201"/>
      <c r="CW127" s="213"/>
      <c r="CX127" s="213"/>
      <c r="CY127" s="213"/>
      <c r="CZ127" s="206"/>
      <c r="DA127" s="206"/>
      <c r="DB127" s="193"/>
    </row>
    <row r="128" spans="1:106">
      <c r="A128" s="154">
        <f>MAX(A123:A127)+1</f>
        <v>48</v>
      </c>
      <c r="B128" s="194" t="s">
        <v>13958</v>
      </c>
      <c r="C128" s="148" t="s">
        <v>13886</v>
      </c>
      <c r="D128" s="148" t="s">
        <v>13960</v>
      </c>
      <c r="E128" s="199">
        <f>+F128+CS128+CZ128+DA128</f>
        <v>0</v>
      </c>
      <c r="F128" s="200">
        <f>SUM(G128:K128,M128:N128,P128:U128,W128:X128,Z128:AA128,AC128:AK128,AM128:CP128)</f>
        <v>0</v>
      </c>
      <c r="G128" s="201"/>
      <c r="H128" s="201"/>
      <c r="I128" s="201"/>
      <c r="J128" s="201"/>
      <c r="K128" s="201"/>
      <c r="L128" s="206">
        <f>+SUM(G128:K128)</f>
        <v>0</v>
      </c>
      <c r="M128" s="201"/>
      <c r="N128" s="201"/>
      <c r="O128" s="206">
        <f>+SUM(M128:N128)</f>
        <v>0</v>
      </c>
      <c r="P128" s="201"/>
      <c r="Q128" s="201"/>
      <c r="R128" s="201"/>
      <c r="S128" s="201"/>
      <c r="T128" s="201"/>
      <c r="U128" s="201"/>
      <c r="V128" s="200">
        <f>+SUM(P128:U128)</f>
        <v>0</v>
      </c>
      <c r="W128" s="201"/>
      <c r="X128" s="201"/>
      <c r="Y128" s="206">
        <f>SUM(V128:X128)</f>
        <v>0</v>
      </c>
      <c r="Z128" s="201"/>
      <c r="AA128" s="201"/>
      <c r="AB128" s="206">
        <f>+SUM(Z128:AA128)</f>
        <v>0</v>
      </c>
      <c r="AC128" s="201"/>
      <c r="AD128" s="201"/>
      <c r="AE128" s="201"/>
      <c r="AF128" s="201"/>
      <c r="AG128" s="201"/>
      <c r="AH128" s="201"/>
      <c r="AI128" s="201"/>
      <c r="AJ128" s="201"/>
      <c r="AK128" s="201"/>
      <c r="AL128" s="206">
        <f>SUM(AF128:AK128)</f>
        <v>0</v>
      </c>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6">
        <f>+SUM(AM128:CP128)</f>
        <v>0</v>
      </c>
      <c r="CR128" s="206">
        <f>SUM(AL128,CQ128)</f>
        <v>0</v>
      </c>
      <c r="CS128" s="206">
        <f>SUM(CY128:CY128)</f>
        <v>0</v>
      </c>
      <c r="CT128" s="210"/>
      <c r="CU128" s="201"/>
      <c r="CV128" s="201"/>
      <c r="CW128" s="213"/>
      <c r="CX128" s="213"/>
      <c r="CY128" s="213"/>
      <c r="CZ128" s="206"/>
      <c r="DA128" s="206"/>
      <c r="DB128" s="193"/>
    </row>
    <row r="129" spans="1:106">
      <c r="A129" s="154">
        <f>MAX(A124:A128)+1</f>
        <v>49</v>
      </c>
      <c r="B129" s="194" t="s">
        <v>13958</v>
      </c>
      <c r="C129" s="148" t="s">
        <v>13886</v>
      </c>
      <c r="D129" s="148" t="s">
        <v>13961</v>
      </c>
      <c r="E129" s="199">
        <f>+F129+CS129+CZ129+DA129</f>
        <v>0</v>
      </c>
      <c r="F129" s="200">
        <f>SUM(G129:K129,M129:N129,P129:U129,W129:X129,Z129:AA129,AC129:AK129,AM129:CP129)</f>
        <v>0</v>
      </c>
      <c r="G129" s="201"/>
      <c r="H129" s="201"/>
      <c r="I129" s="201"/>
      <c r="J129" s="201"/>
      <c r="K129" s="201"/>
      <c r="L129" s="206">
        <f>+SUM(G129:K129)</f>
        <v>0</v>
      </c>
      <c r="M129" s="201"/>
      <c r="N129" s="201"/>
      <c r="O129" s="206">
        <f>+SUM(M129:N129)</f>
        <v>0</v>
      </c>
      <c r="P129" s="201"/>
      <c r="Q129" s="201"/>
      <c r="R129" s="201"/>
      <c r="S129" s="201"/>
      <c r="T129" s="201"/>
      <c r="U129" s="201"/>
      <c r="V129" s="200">
        <f>+SUM(P129:U129)</f>
        <v>0</v>
      </c>
      <c r="W129" s="201"/>
      <c r="X129" s="201"/>
      <c r="Y129" s="206">
        <f>SUM(V129:X129)</f>
        <v>0</v>
      </c>
      <c r="Z129" s="201"/>
      <c r="AA129" s="201"/>
      <c r="AB129" s="206">
        <f>+SUM(Z129:AA129)</f>
        <v>0</v>
      </c>
      <c r="AC129" s="201"/>
      <c r="AD129" s="201"/>
      <c r="AE129" s="201"/>
      <c r="AF129" s="201"/>
      <c r="AG129" s="201"/>
      <c r="AH129" s="201"/>
      <c r="AI129" s="201"/>
      <c r="AJ129" s="201"/>
      <c r="AK129" s="201"/>
      <c r="AL129" s="206">
        <f>SUM(AF129:AK129)</f>
        <v>0</v>
      </c>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201"/>
      <c r="BQ129" s="201"/>
      <c r="BR129" s="201"/>
      <c r="BS129" s="201"/>
      <c r="BT129" s="201"/>
      <c r="BU129" s="201"/>
      <c r="BV129" s="201"/>
      <c r="BW129" s="201"/>
      <c r="BX129" s="201"/>
      <c r="BY129" s="201"/>
      <c r="BZ129" s="201"/>
      <c r="CA129" s="201"/>
      <c r="CB129" s="201"/>
      <c r="CC129" s="201"/>
      <c r="CD129" s="201"/>
      <c r="CE129" s="201"/>
      <c r="CF129" s="201"/>
      <c r="CG129" s="201"/>
      <c r="CH129" s="201"/>
      <c r="CI129" s="201"/>
      <c r="CJ129" s="201"/>
      <c r="CK129" s="201"/>
      <c r="CL129" s="201"/>
      <c r="CM129" s="201"/>
      <c r="CN129" s="201"/>
      <c r="CO129" s="201"/>
      <c r="CP129" s="201"/>
      <c r="CQ129" s="206">
        <f>+SUM(AM129:CP129)</f>
        <v>0</v>
      </c>
      <c r="CR129" s="206">
        <f>SUM(AL129,CQ129)</f>
        <v>0</v>
      </c>
      <c r="CS129" s="206">
        <f>SUM(CY129:CY129)</f>
        <v>0</v>
      </c>
      <c r="CT129" s="210"/>
      <c r="CU129" s="201"/>
      <c r="CV129" s="201"/>
      <c r="CW129" s="213"/>
      <c r="CX129" s="213"/>
      <c r="CY129" s="213"/>
      <c r="CZ129" s="206"/>
      <c r="DA129" s="206"/>
      <c r="DB129" s="193"/>
    </row>
    <row r="130" spans="1:106">
      <c r="A130" s="154">
        <f>MAX(A124:A129)+1</f>
        <v>50</v>
      </c>
      <c r="B130" s="194" t="s">
        <v>13962</v>
      </c>
      <c r="C130" s="148" t="s">
        <v>13885</v>
      </c>
      <c r="D130" s="148" t="s">
        <v>13963</v>
      </c>
      <c r="E130" s="199">
        <f>+F130+CS130+CZ130+DA130</f>
        <v>0</v>
      </c>
      <c r="F130" s="200">
        <f>SUM(G130:K130,M130:N130,P130:U130,W130:X130,Z130:AA130,AC130:AK130,AM130:CP130)</f>
        <v>0</v>
      </c>
      <c r="G130" s="201"/>
      <c r="H130" s="201"/>
      <c r="I130" s="201"/>
      <c r="J130" s="201"/>
      <c r="K130" s="201"/>
      <c r="L130" s="206">
        <f>+SUM(G130:K130)</f>
        <v>0</v>
      </c>
      <c r="M130" s="201"/>
      <c r="N130" s="201"/>
      <c r="O130" s="206">
        <f>+SUM(M130:N130)</f>
        <v>0</v>
      </c>
      <c r="P130" s="201"/>
      <c r="Q130" s="201"/>
      <c r="R130" s="201"/>
      <c r="S130" s="201"/>
      <c r="T130" s="201"/>
      <c r="U130" s="201"/>
      <c r="V130" s="200">
        <f>+SUM(P130:U130)</f>
        <v>0</v>
      </c>
      <c r="W130" s="201"/>
      <c r="X130" s="201"/>
      <c r="Y130" s="206">
        <f>SUM(V130:X130)</f>
        <v>0</v>
      </c>
      <c r="Z130" s="201"/>
      <c r="AA130" s="201"/>
      <c r="AB130" s="206">
        <f>+SUM(Z130:AA130)</f>
        <v>0</v>
      </c>
      <c r="AC130" s="201"/>
      <c r="AD130" s="201"/>
      <c r="AE130" s="201"/>
      <c r="AF130" s="201"/>
      <c r="AG130" s="201"/>
      <c r="AH130" s="201"/>
      <c r="AI130" s="201"/>
      <c r="AJ130" s="201"/>
      <c r="AK130" s="201"/>
      <c r="AL130" s="206">
        <f>SUM(AF130:AK130)</f>
        <v>0</v>
      </c>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6">
        <f>+SUM(AM130:CP130)</f>
        <v>0</v>
      </c>
      <c r="CR130" s="206">
        <f>SUM(AL130,CQ130)</f>
        <v>0</v>
      </c>
      <c r="CS130" s="206">
        <f>SUM(CY130:CY130)</f>
        <v>0</v>
      </c>
      <c r="CT130" s="210"/>
      <c r="CU130" s="201"/>
      <c r="CV130" s="201"/>
      <c r="CW130" s="213"/>
      <c r="CX130" s="213"/>
      <c r="CY130" s="213"/>
      <c r="CZ130" s="206"/>
      <c r="DA130" s="206"/>
      <c r="DB130" s="193"/>
    </row>
    <row r="131" spans="1:106">
      <c r="A131" s="154">
        <f>MAX(A125:A130)+1</f>
        <v>51</v>
      </c>
      <c r="B131" s="161"/>
      <c r="D131" s="154" t="s">
        <v>13964</v>
      </c>
      <c r="E131" s="198">
        <f>+F131+CS131+CZ131+DA131</f>
        <v>0</v>
      </c>
      <c r="F131" s="153">
        <f>SUM(G131:K131,M131:N131,P131:U131,W131:X131,Z131:AA131,AC131:AK131,AM131:CP131)</f>
        <v>0</v>
      </c>
      <c r="G131" s="152">
        <f>SUM(G127:G130)</f>
        <v>0</v>
      </c>
      <c r="H131" s="152">
        <f>SUM(H127:H130)</f>
        <v>0</v>
      </c>
      <c r="I131" s="152">
        <f>SUM(I127:I130)</f>
        <v>0</v>
      </c>
      <c r="J131" s="152">
        <f>SUM(J127:J130)</f>
        <v>0</v>
      </c>
      <c r="K131" s="152">
        <f>SUM(K127:K130)</f>
        <v>0</v>
      </c>
      <c r="L131" s="205">
        <f>+SUM(G131:K131)</f>
        <v>0</v>
      </c>
      <c r="M131" s="152">
        <f>SUM(M127:M130)</f>
        <v>0</v>
      </c>
      <c r="N131" s="152">
        <f>SUM(N127:N130)</f>
        <v>0</v>
      </c>
      <c r="O131" s="205">
        <f>+SUM(M131:N131)</f>
        <v>0</v>
      </c>
      <c r="P131" s="152">
        <f t="shared" ref="P131:U131" si="206">SUM(P127:P130)</f>
        <v>0</v>
      </c>
      <c r="Q131" s="152">
        <f t="shared" si="206"/>
        <v>0</v>
      </c>
      <c r="R131" s="152">
        <f t="shared" si="206"/>
        <v>0</v>
      </c>
      <c r="S131" s="152">
        <f t="shared" si="206"/>
        <v>0</v>
      </c>
      <c r="T131" s="152">
        <f t="shared" si="206"/>
        <v>0</v>
      </c>
      <c r="U131" s="152">
        <f t="shared" si="206"/>
        <v>0</v>
      </c>
      <c r="V131" s="153">
        <f>+SUM(P131:U131)</f>
        <v>0</v>
      </c>
      <c r="W131" s="152">
        <f>SUM(W127:W130)</f>
        <v>0</v>
      </c>
      <c r="X131" s="152">
        <f>SUM(X127:X130)</f>
        <v>0</v>
      </c>
      <c r="Y131" s="205">
        <f>SUM(V131:X131)</f>
        <v>0</v>
      </c>
      <c r="Z131" s="152">
        <f>SUM(Z127:Z130)</f>
        <v>0</v>
      </c>
      <c r="AA131" s="152">
        <f>SUM(AA127:AA130)</f>
        <v>0</v>
      </c>
      <c r="AB131" s="205">
        <f>+SUM(Z131:AA131)</f>
        <v>0</v>
      </c>
      <c r="AC131" s="152">
        <f t="shared" ref="AC131:AK131" si="207">SUM(AC127:AC130)</f>
        <v>0</v>
      </c>
      <c r="AD131" s="152">
        <f t="shared" si="207"/>
        <v>0</v>
      </c>
      <c r="AE131" s="152">
        <f t="shared" si="207"/>
        <v>0</v>
      </c>
      <c r="AF131" s="152">
        <f t="shared" si="207"/>
        <v>0</v>
      </c>
      <c r="AG131" s="152">
        <f t="shared" si="207"/>
        <v>0</v>
      </c>
      <c r="AH131" s="152">
        <f t="shared" si="207"/>
        <v>0</v>
      </c>
      <c r="AI131" s="152">
        <f t="shared" si="207"/>
        <v>0</v>
      </c>
      <c r="AJ131" s="152">
        <f t="shared" si="207"/>
        <v>0</v>
      </c>
      <c r="AK131" s="152">
        <f t="shared" si="207"/>
        <v>0</v>
      </c>
      <c r="AL131" s="205">
        <f>SUM(AF131:AK131)</f>
        <v>0</v>
      </c>
      <c r="AM131" s="152">
        <f t="shared" ref="AM131:CO131" si="208">SUM(AM127:AM130)</f>
        <v>0</v>
      </c>
      <c r="AN131" s="152">
        <f t="shared" si="208"/>
        <v>0</v>
      </c>
      <c r="AO131" s="152">
        <f t="shared" si="208"/>
        <v>0</v>
      </c>
      <c r="AP131" s="152">
        <f t="shared" si="208"/>
        <v>0</v>
      </c>
      <c r="AQ131" s="152">
        <f t="shared" si="208"/>
        <v>0</v>
      </c>
      <c r="AR131" s="152">
        <f t="shared" si="208"/>
        <v>0</v>
      </c>
      <c r="AS131" s="152">
        <f t="shared" si="208"/>
        <v>0</v>
      </c>
      <c r="AT131" s="152">
        <f t="shared" si="208"/>
        <v>0</v>
      </c>
      <c r="AU131" s="152">
        <f t="shared" si="208"/>
        <v>0</v>
      </c>
      <c r="AV131" s="152">
        <f t="shared" si="208"/>
        <v>0</v>
      </c>
      <c r="AW131" s="152">
        <f t="shared" si="208"/>
        <v>0</v>
      </c>
      <c r="AX131" s="152">
        <f t="shared" si="208"/>
        <v>0</v>
      </c>
      <c r="AY131" s="152">
        <f t="shared" si="208"/>
        <v>0</v>
      </c>
      <c r="AZ131" s="152">
        <f t="shared" si="208"/>
        <v>0</v>
      </c>
      <c r="BA131" s="152">
        <f t="shared" si="208"/>
        <v>0</v>
      </c>
      <c r="BB131" s="152">
        <f t="shared" si="208"/>
        <v>0</v>
      </c>
      <c r="BC131" s="152">
        <f t="shared" si="208"/>
        <v>0</v>
      </c>
      <c r="BD131" s="152">
        <f t="shared" si="208"/>
        <v>0</v>
      </c>
      <c r="BE131" s="152">
        <f t="shared" si="208"/>
        <v>0</v>
      </c>
      <c r="BF131" s="152">
        <f t="shared" si="208"/>
        <v>0</v>
      </c>
      <c r="BG131" s="152">
        <f t="shared" si="208"/>
        <v>0</v>
      </c>
      <c r="BH131" s="152">
        <f t="shared" si="208"/>
        <v>0</v>
      </c>
      <c r="BI131" s="152">
        <f t="shared" si="208"/>
        <v>0</v>
      </c>
      <c r="BJ131" s="152">
        <f t="shared" si="208"/>
        <v>0</v>
      </c>
      <c r="BK131" s="152">
        <f t="shared" si="208"/>
        <v>0</v>
      </c>
      <c r="BL131" s="152">
        <f t="shared" si="208"/>
        <v>0</v>
      </c>
      <c r="BM131" s="152">
        <f t="shared" si="208"/>
        <v>0</v>
      </c>
      <c r="BN131" s="152">
        <f t="shared" si="208"/>
        <v>0</v>
      </c>
      <c r="BO131" s="152">
        <f t="shared" si="208"/>
        <v>0</v>
      </c>
      <c r="BP131" s="152">
        <f t="shared" si="208"/>
        <v>0</v>
      </c>
      <c r="BQ131" s="152">
        <f t="shared" si="208"/>
        <v>0</v>
      </c>
      <c r="BR131" s="152">
        <f t="shared" si="208"/>
        <v>0</v>
      </c>
      <c r="BS131" s="152">
        <f t="shared" si="208"/>
        <v>0</v>
      </c>
      <c r="BT131" s="152">
        <f t="shared" si="208"/>
        <v>0</v>
      </c>
      <c r="BU131" s="152">
        <f t="shared" si="208"/>
        <v>0</v>
      </c>
      <c r="BV131" s="152">
        <f t="shared" si="208"/>
        <v>0</v>
      </c>
      <c r="BW131" s="152">
        <f t="shared" si="208"/>
        <v>0</v>
      </c>
      <c r="BX131" s="152">
        <f t="shared" si="208"/>
        <v>0</v>
      </c>
      <c r="BY131" s="152">
        <f t="shared" si="208"/>
        <v>0</v>
      </c>
      <c r="BZ131" s="152">
        <f t="shared" si="208"/>
        <v>0</v>
      </c>
      <c r="CA131" s="152">
        <f t="shared" si="208"/>
        <v>0</v>
      </c>
      <c r="CB131" s="152">
        <f t="shared" si="208"/>
        <v>0</v>
      </c>
      <c r="CC131" s="152">
        <f t="shared" si="208"/>
        <v>0</v>
      </c>
      <c r="CD131" s="152">
        <f t="shared" si="208"/>
        <v>0</v>
      </c>
      <c r="CE131" s="152">
        <f t="shared" si="208"/>
        <v>0</v>
      </c>
      <c r="CF131" s="152">
        <f t="shared" si="208"/>
        <v>0</v>
      </c>
      <c r="CG131" s="152">
        <f t="shared" si="208"/>
        <v>0</v>
      </c>
      <c r="CH131" s="152">
        <f t="shared" si="208"/>
        <v>0</v>
      </c>
      <c r="CI131" s="152">
        <f t="shared" si="208"/>
        <v>0</v>
      </c>
      <c r="CJ131" s="152">
        <f t="shared" si="208"/>
        <v>0</v>
      </c>
      <c r="CK131" s="152">
        <f t="shared" si="208"/>
        <v>0</v>
      </c>
      <c r="CL131" s="152">
        <f t="shared" si="208"/>
        <v>0</v>
      </c>
      <c r="CM131" s="152">
        <f t="shared" si="208"/>
        <v>0</v>
      </c>
      <c r="CN131" s="152">
        <f t="shared" si="208"/>
        <v>0</v>
      </c>
      <c r="CO131" s="152">
        <f t="shared" si="208"/>
        <v>0</v>
      </c>
      <c r="CP131" s="152"/>
      <c r="CQ131" s="205">
        <f>+SUM(AM131:CP131)</f>
        <v>0</v>
      </c>
      <c r="CR131" s="205">
        <f>SUM(AL131,CQ131)</f>
        <v>0</v>
      </c>
      <c r="CS131" s="205">
        <f>SUM(CY131:CY131)</f>
        <v>0</v>
      </c>
      <c r="CT131" s="209">
        <f t="shared" ref="CT131:DA131" si="209">SUM(CT127:CT130)</f>
        <v>0</v>
      </c>
      <c r="CU131" s="152">
        <f t="shared" si="209"/>
        <v>0</v>
      </c>
      <c r="CV131" s="152">
        <f t="shared" si="209"/>
        <v>0</v>
      </c>
      <c r="CW131" s="212">
        <f t="shared" si="209"/>
        <v>0</v>
      </c>
      <c r="CX131" s="212">
        <f t="shared" si="209"/>
        <v>0</v>
      </c>
      <c r="CY131" s="212">
        <f t="shared" si="209"/>
        <v>0</v>
      </c>
      <c r="CZ131" s="205">
        <f t="shared" si="209"/>
        <v>0</v>
      </c>
      <c r="DA131" s="205">
        <f t="shared" si="209"/>
        <v>0</v>
      </c>
      <c r="DB131" s="193"/>
    </row>
    <row r="132" spans="2:106">
      <c r="B132" s="161"/>
      <c r="E132" s="198"/>
      <c r="F132" s="153"/>
      <c r="G132" s="152"/>
      <c r="H132" s="152"/>
      <c r="I132" s="152"/>
      <c r="J132" s="152"/>
      <c r="K132" s="152"/>
      <c r="L132" s="205"/>
      <c r="M132" s="152"/>
      <c r="N132" s="152"/>
      <c r="O132" s="205"/>
      <c r="P132" s="152"/>
      <c r="Q132" s="152"/>
      <c r="R132" s="152"/>
      <c r="S132" s="152"/>
      <c r="T132" s="152"/>
      <c r="U132" s="152"/>
      <c r="V132" s="153"/>
      <c r="W132" s="152"/>
      <c r="X132" s="152"/>
      <c r="Y132" s="205"/>
      <c r="Z132" s="152"/>
      <c r="AA132" s="152"/>
      <c r="AB132" s="205"/>
      <c r="AC132" s="152"/>
      <c r="AD132" s="152"/>
      <c r="AE132" s="152"/>
      <c r="AF132" s="152"/>
      <c r="AG132" s="152"/>
      <c r="AH132" s="152"/>
      <c r="AI132" s="152"/>
      <c r="AJ132" s="152"/>
      <c r="AK132" s="152"/>
      <c r="AL132" s="205"/>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205"/>
      <c r="CR132" s="205"/>
      <c r="CS132" s="205"/>
      <c r="CT132" s="209"/>
      <c r="CU132" s="152"/>
      <c r="CV132" s="152"/>
      <c r="CW132" s="212"/>
      <c r="CX132" s="212"/>
      <c r="CY132" s="212"/>
      <c r="CZ132" s="205"/>
      <c r="DA132" s="205"/>
      <c r="DB132" s="193"/>
    </row>
    <row r="133" spans="1:106">
      <c r="A133" s="154">
        <f>MAX(A124:A132)+1</f>
        <v>52</v>
      </c>
      <c r="B133" s="161"/>
      <c r="D133" s="154" t="s">
        <v>13965</v>
      </c>
      <c r="E133" s="198">
        <f t="shared" ref="E133:BP133" ca="true" si="210">+E116+E124+E131</f>
        <v>-4727358.02000001</v>
      </c>
      <c r="F133" s="153">
        <f t="shared" ca="true" si="210"/>
        <v>-3965123.14000001</v>
      </c>
      <c r="G133" s="152">
        <f t="shared" si="210"/>
        <v>603489.649999993</v>
      </c>
      <c r="H133" s="152">
        <f t="shared" si="210"/>
        <v>-23753.2699999999</v>
      </c>
      <c r="I133" s="152">
        <f t="shared" si="210"/>
        <v>56792.96</v>
      </c>
      <c r="J133" s="152">
        <f t="shared" si="210"/>
        <v>28906.28</v>
      </c>
      <c r="K133" s="152">
        <f t="shared" si="210"/>
        <v>19838.28</v>
      </c>
      <c r="L133" s="205">
        <f t="shared" si="210"/>
        <v>685273.899999993</v>
      </c>
      <c r="M133" s="152">
        <f t="shared" si="210"/>
        <v>72181.58</v>
      </c>
      <c r="N133" s="152">
        <f t="shared" si="210"/>
        <v>77016.96</v>
      </c>
      <c r="O133" s="205">
        <f t="shared" si="210"/>
        <v>149198.54</v>
      </c>
      <c r="P133" s="152">
        <f t="shared" ca="true" si="210"/>
        <v>4008.11</v>
      </c>
      <c r="Q133" s="152">
        <f t="shared" ca="true" si="210"/>
        <v>1380.74</v>
      </c>
      <c r="R133" s="152">
        <f t="shared" ca="true" si="210"/>
        <v>5164.96</v>
      </c>
      <c r="S133" s="152">
        <f t="shared" ca="true" si="210"/>
        <v>3926.95</v>
      </c>
      <c r="T133" s="152">
        <f t="shared" ca="true" si="210"/>
        <v>2037.62</v>
      </c>
      <c r="U133" s="152">
        <f t="shared" ca="true" si="210"/>
        <v>9835.26</v>
      </c>
      <c r="V133" s="153">
        <f t="shared" ca="true" si="210"/>
        <v>26353.64</v>
      </c>
      <c r="W133" s="152">
        <f t="shared" ca="true" si="210"/>
        <v>3014.16</v>
      </c>
      <c r="X133" s="152">
        <f t="shared" ca="true" si="210"/>
        <v>-788632.03</v>
      </c>
      <c r="Y133" s="205">
        <f t="shared" ca="true" si="210"/>
        <v>-759264.23</v>
      </c>
      <c r="Z133" s="152">
        <f t="shared" ca="true" si="210"/>
        <v>2312.51000000003</v>
      </c>
      <c r="AA133" s="152">
        <f t="shared" ca="true" si="210"/>
        <v>-3035.66</v>
      </c>
      <c r="AB133" s="205">
        <f t="shared" ca="true" si="210"/>
        <v>-723.149999999965</v>
      </c>
      <c r="AC133" s="152">
        <f t="shared" ca="true" si="210"/>
        <v>-15889.61</v>
      </c>
      <c r="AD133" s="152">
        <f t="shared" ca="true" si="210"/>
        <v>-66276.66</v>
      </c>
      <c r="AE133" s="152">
        <f t="shared" ca="true" si="210"/>
        <v>-151990.27</v>
      </c>
      <c r="AF133" s="152">
        <f t="shared" ca="true" si="210"/>
        <v>-11385.94</v>
      </c>
      <c r="AG133" s="152">
        <f t="shared" ca="true" si="210"/>
        <v>19452.03</v>
      </c>
      <c r="AH133" s="152">
        <f t="shared" ca="true" si="210"/>
        <v>8598.07999999999</v>
      </c>
      <c r="AI133" s="152">
        <f t="shared" ca="true" si="210"/>
        <v>13319.29</v>
      </c>
      <c r="AJ133" s="152">
        <f t="shared" ca="true" si="210"/>
        <v>7549.06999999999</v>
      </c>
      <c r="AK133" s="152">
        <f t="shared" ca="true" si="210"/>
        <v>-3307.52999999986</v>
      </c>
      <c r="AL133" s="205">
        <f t="shared" ca="true" si="210"/>
        <v>34225.0000000001</v>
      </c>
      <c r="AM133" s="152">
        <f t="shared" ca="true" si="210"/>
        <v>-66.3</v>
      </c>
      <c r="AN133" s="152">
        <f t="shared" ca="true" si="210"/>
        <v>-83895.54</v>
      </c>
      <c r="AO133" s="152">
        <f t="shared" ca="true" si="210"/>
        <v>-76458.1</v>
      </c>
      <c r="AP133" s="152">
        <f t="shared" ca="true" si="210"/>
        <v>0</v>
      </c>
      <c r="AQ133" s="152">
        <f t="shared" ca="true" si="210"/>
        <v>-33445.76</v>
      </c>
      <c r="AR133" s="152">
        <f t="shared" ca="true" si="210"/>
        <v>0</v>
      </c>
      <c r="AS133" s="152">
        <f t="shared" ca="true" si="210"/>
        <v>1517.71</v>
      </c>
      <c r="AT133" s="152">
        <f t="shared" ca="true" si="210"/>
        <v>15776.76</v>
      </c>
      <c r="AU133" s="152">
        <f t="shared" ca="true" si="210"/>
        <v>44432.32</v>
      </c>
      <c r="AV133" s="152">
        <f t="shared" ca="true" si="210"/>
        <v>13390.21</v>
      </c>
      <c r="AW133" s="152">
        <f t="shared" ca="true" si="210"/>
        <v>0</v>
      </c>
      <c r="AX133" s="152">
        <f t="shared" ca="true" si="210"/>
        <v>0</v>
      </c>
      <c r="AY133" s="152">
        <f t="shared" ca="true" si="210"/>
        <v>0</v>
      </c>
      <c r="AZ133" s="152">
        <f t="shared" ca="true" si="210"/>
        <v>14114.58</v>
      </c>
      <c r="BA133" s="152">
        <f t="shared" ca="true" si="210"/>
        <v>9475.44</v>
      </c>
      <c r="BB133" s="152">
        <f t="shared" ca="true" si="210"/>
        <v>0</v>
      </c>
      <c r="BC133" s="152">
        <f t="shared" ca="true" si="210"/>
        <v>15783.57</v>
      </c>
      <c r="BD133" s="152">
        <f t="shared" ca="true" si="210"/>
        <v>11587.09</v>
      </c>
      <c r="BE133" s="152">
        <f t="shared" ca="true" si="210"/>
        <v>13358.59</v>
      </c>
      <c r="BF133" s="152">
        <f t="shared" ca="true" si="210"/>
        <v>6031.69</v>
      </c>
      <c r="BG133" s="152">
        <f t="shared" ca="true" si="210"/>
        <v>11640.57</v>
      </c>
      <c r="BH133" s="152">
        <f t="shared" ca="true" si="210"/>
        <v>0</v>
      </c>
      <c r="BI133" s="152">
        <f t="shared" ca="true" si="210"/>
        <v>5083.88000000001</v>
      </c>
      <c r="BJ133" s="152">
        <f t="shared" ca="true" si="210"/>
        <v>0</v>
      </c>
      <c r="BK133" s="152">
        <f t="shared" ca="true" si="210"/>
        <v>-4292.4</v>
      </c>
      <c r="BL133" s="152">
        <f t="shared" ca="true" si="210"/>
        <v>10829.35</v>
      </c>
      <c r="BM133" s="152">
        <f t="shared" ca="true" si="210"/>
        <v>8792.04</v>
      </c>
      <c r="BN133" s="152">
        <f t="shared" ca="true" si="210"/>
        <v>1351.89</v>
      </c>
      <c r="BO133" s="152">
        <f t="shared" ca="true" si="210"/>
        <v>0</v>
      </c>
      <c r="BP133" s="152">
        <f t="shared" ca="true" si="210"/>
        <v>13153.37</v>
      </c>
      <c r="BQ133" s="152">
        <f t="shared" ref="BQ133:DA133" ca="true" si="211">+BQ116+BQ124+BQ131</f>
        <v>9305.68000000001</v>
      </c>
      <c r="BR133" s="152">
        <f t="shared" ca="true" si="211"/>
        <v>-578361.16</v>
      </c>
      <c r="BS133" s="152">
        <f t="shared" ca="true" si="211"/>
        <v>-13108.36</v>
      </c>
      <c r="BT133" s="152">
        <f t="shared" ca="true" si="211"/>
        <v>0</v>
      </c>
      <c r="BU133" s="152">
        <f t="shared" ca="true" si="211"/>
        <v>-147.009999999999</v>
      </c>
      <c r="BV133" s="152">
        <f t="shared" ca="true" si="211"/>
        <v>0</v>
      </c>
      <c r="BW133" s="152">
        <f t="shared" ca="true" si="211"/>
        <v>-2888.37999999998</v>
      </c>
      <c r="BX133" s="152">
        <f t="shared" ca="true" si="211"/>
        <v>-184952.54</v>
      </c>
      <c r="BY133" s="152">
        <f t="shared" ca="true" si="211"/>
        <v>0</v>
      </c>
      <c r="BZ133" s="152">
        <f t="shared" ca="true" si="211"/>
        <v>-315113.57</v>
      </c>
      <c r="CA133" s="152">
        <f t="shared" ca="true" si="211"/>
        <v>-28707.69</v>
      </c>
      <c r="CB133" s="152">
        <f t="shared" ca="true" si="211"/>
        <v>-8718.45</v>
      </c>
      <c r="CC133" s="152">
        <f t="shared" ca="true" si="211"/>
        <v>-9042.1</v>
      </c>
      <c r="CD133" s="152">
        <f t="shared" ca="true" si="211"/>
        <v>4990.3</v>
      </c>
      <c r="CE133" s="152">
        <f t="shared" ca="true" si="211"/>
        <v>-66188.66</v>
      </c>
      <c r="CF133" s="152">
        <f t="shared" ca="true" si="211"/>
        <v>28151.25</v>
      </c>
      <c r="CG133" s="152">
        <f t="shared" ca="true" si="211"/>
        <v>-2073.5</v>
      </c>
      <c r="CH133" s="152">
        <f t="shared" ca="true" si="211"/>
        <v>-63428.03</v>
      </c>
      <c r="CI133" s="152">
        <f t="shared" ca="true" si="211"/>
        <v>-44191.51</v>
      </c>
      <c r="CJ133" s="152">
        <f t="shared" ca="true" si="211"/>
        <v>-45463.17</v>
      </c>
      <c r="CK133" s="152">
        <f t="shared" ca="true" si="211"/>
        <v>-3031.96</v>
      </c>
      <c r="CL133" s="152">
        <f t="shared" ca="true" si="211"/>
        <v>-9352.26000000002</v>
      </c>
      <c r="CM133" s="152">
        <f t="shared" ca="true" si="211"/>
        <v>-171389.13</v>
      </c>
      <c r="CN133" s="152">
        <f t="shared" ca="true" si="211"/>
        <v>-16725.5999999999</v>
      </c>
      <c r="CO133" s="152">
        <f t="shared" ca="true" si="211"/>
        <v>-1117401.77</v>
      </c>
      <c r="CP133" s="152">
        <f t="shared" si="211"/>
        <v>0</v>
      </c>
      <c r="CQ133" s="205">
        <f t="shared" ca="true" si="211"/>
        <v>-4639676.66</v>
      </c>
      <c r="CR133" s="205">
        <f t="shared" ca="true" si="211"/>
        <v>-4605451.66</v>
      </c>
      <c r="CS133" s="205">
        <f t="shared" ca="true" si="211"/>
        <v>-174417.78</v>
      </c>
      <c r="CT133" s="209">
        <f t="shared" ca="true" si="211"/>
        <v>0</v>
      </c>
      <c r="CU133" s="152">
        <f t="shared" ca="true" si="211"/>
        <v>-155489.35</v>
      </c>
      <c r="CV133" s="152">
        <f t="shared" ca="true" si="211"/>
        <v>-37798.74</v>
      </c>
      <c r="CW133" s="212">
        <f t="shared" ca="true" si="211"/>
        <v>18870.31</v>
      </c>
      <c r="CX133" s="212">
        <f t="shared" ca="true" si="211"/>
        <v>0</v>
      </c>
      <c r="CY133" s="212">
        <f t="shared" ca="true" si="211"/>
        <v>-174417.78</v>
      </c>
      <c r="CZ133" s="205">
        <f t="shared" si="211"/>
        <v>0</v>
      </c>
      <c r="DA133" s="205">
        <f t="shared" si="211"/>
        <v>-5161780.82</v>
      </c>
      <c r="DB133" s="193"/>
    </row>
    <row r="134" spans="2:106">
      <c r="B134" s="161"/>
      <c r="E134" s="169"/>
      <c r="F134" s="153"/>
      <c r="G134" s="152"/>
      <c r="H134" s="152"/>
      <c r="I134" s="152"/>
      <c r="J134" s="152"/>
      <c r="K134" s="152"/>
      <c r="L134" s="205"/>
      <c r="M134" s="152"/>
      <c r="N134" s="152"/>
      <c r="O134" s="205"/>
      <c r="P134" s="152"/>
      <c r="Q134" s="152"/>
      <c r="R134" s="152"/>
      <c r="S134" s="152"/>
      <c r="T134" s="152"/>
      <c r="U134" s="152"/>
      <c r="V134" s="153"/>
      <c r="W134" s="152"/>
      <c r="X134" s="152"/>
      <c r="Y134" s="205"/>
      <c r="Z134" s="152"/>
      <c r="AA134" s="152"/>
      <c r="AB134" s="205"/>
      <c r="AC134" s="152"/>
      <c r="AD134" s="152"/>
      <c r="AE134" s="152"/>
      <c r="AF134" s="152"/>
      <c r="AG134" s="152"/>
      <c r="AH134" s="152"/>
      <c r="AI134" s="152"/>
      <c r="AJ134" s="152"/>
      <c r="AK134" s="152"/>
      <c r="AL134" s="205"/>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205"/>
      <c r="CR134" s="205"/>
      <c r="CS134" s="205"/>
      <c r="CT134" s="209"/>
      <c r="CU134" s="152"/>
      <c r="CV134" s="152"/>
      <c r="CW134" s="212"/>
      <c r="CX134" s="212"/>
      <c r="CY134" s="212"/>
      <c r="CZ134" s="205"/>
      <c r="DA134" s="205"/>
      <c r="DB134" s="193"/>
    </row>
    <row r="135" spans="2:106">
      <c r="B135" s="161"/>
      <c r="D135" s="217" t="s">
        <v>13966</v>
      </c>
      <c r="E135" s="169"/>
      <c r="F135" s="153"/>
      <c r="G135" s="152"/>
      <c r="H135" s="152"/>
      <c r="I135" s="152"/>
      <c r="J135" s="152"/>
      <c r="K135" s="152"/>
      <c r="L135" s="205"/>
      <c r="M135" s="152"/>
      <c r="N135" s="152"/>
      <c r="O135" s="205"/>
      <c r="P135" s="152"/>
      <c r="Q135" s="152"/>
      <c r="R135" s="152"/>
      <c r="S135" s="152"/>
      <c r="T135" s="152"/>
      <c r="U135" s="152"/>
      <c r="V135" s="153"/>
      <c r="W135" s="152"/>
      <c r="X135" s="152"/>
      <c r="Y135" s="205"/>
      <c r="Z135" s="152"/>
      <c r="AA135" s="152"/>
      <c r="AB135" s="205"/>
      <c r="AC135" s="152"/>
      <c r="AD135" s="152"/>
      <c r="AE135" s="152"/>
      <c r="AF135" s="152"/>
      <c r="AG135" s="152"/>
      <c r="AH135" s="152"/>
      <c r="AI135" s="152"/>
      <c r="AJ135" s="152"/>
      <c r="AK135" s="152"/>
      <c r="AL135" s="205"/>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205"/>
      <c r="CR135" s="205"/>
      <c r="CS135" s="205"/>
      <c r="CT135" s="209"/>
      <c r="CU135" s="152"/>
      <c r="CV135" s="152"/>
      <c r="CW135" s="212"/>
      <c r="CX135" s="212"/>
      <c r="CY135" s="212"/>
      <c r="CZ135" s="205"/>
      <c r="DA135" s="205"/>
      <c r="DB135" s="193"/>
    </row>
    <row r="136" spans="2:105">
      <c r="B136" s="161" t="s">
        <v>13967</v>
      </c>
      <c r="C136" s="154" t="s">
        <v>13946</v>
      </c>
      <c r="E136" s="153">
        <f t="shared" ref="E136:BP136" si="212">-E30-E29-E113-SUM(E137:E145)</f>
        <v>592493.78</v>
      </c>
      <c r="F136" s="153">
        <f t="shared" si="212"/>
        <v>-1665469.61</v>
      </c>
      <c r="G136" s="152">
        <f t="shared" si="212"/>
        <v>-523</v>
      </c>
      <c r="H136" s="152">
        <f t="shared" si="212"/>
        <v>0</v>
      </c>
      <c r="I136" s="152">
        <f t="shared" si="212"/>
        <v>0</v>
      </c>
      <c r="J136" s="152">
        <f t="shared" si="212"/>
        <v>0</v>
      </c>
      <c r="K136" s="152">
        <f t="shared" si="212"/>
        <v>523</v>
      </c>
      <c r="L136" s="205">
        <f t="shared" si="212"/>
        <v>0</v>
      </c>
      <c r="M136" s="152">
        <f t="shared" si="212"/>
        <v>0</v>
      </c>
      <c r="N136" s="152">
        <f t="shared" si="212"/>
        <v>0</v>
      </c>
      <c r="O136" s="205">
        <f t="shared" si="212"/>
        <v>0</v>
      </c>
      <c r="P136" s="152">
        <f t="shared" si="212"/>
        <v>0</v>
      </c>
      <c r="Q136" s="152">
        <f t="shared" si="212"/>
        <v>0</v>
      </c>
      <c r="R136" s="152">
        <f t="shared" si="212"/>
        <v>0</v>
      </c>
      <c r="S136" s="152">
        <f t="shared" si="212"/>
        <v>0</v>
      </c>
      <c r="T136" s="152">
        <f t="shared" si="212"/>
        <v>0</v>
      </c>
      <c r="U136" s="152">
        <f t="shared" si="212"/>
        <v>0</v>
      </c>
      <c r="V136" s="153">
        <f t="shared" si="212"/>
        <v>0</v>
      </c>
      <c r="W136" s="152">
        <f t="shared" si="212"/>
        <v>0</v>
      </c>
      <c r="X136" s="152">
        <f t="shared" si="212"/>
        <v>-998461.54</v>
      </c>
      <c r="Y136" s="205">
        <f t="shared" si="212"/>
        <v>-998461.54</v>
      </c>
      <c r="Z136" s="152">
        <f t="shared" si="212"/>
        <v>-650000</v>
      </c>
      <c r="AA136" s="152">
        <f t="shared" si="212"/>
        <v>0</v>
      </c>
      <c r="AB136" s="205">
        <f t="shared" si="212"/>
        <v>-650000</v>
      </c>
      <c r="AC136" s="152">
        <f t="shared" si="212"/>
        <v>50000</v>
      </c>
      <c r="AD136" s="152">
        <f t="shared" si="212"/>
        <v>40000</v>
      </c>
      <c r="AE136" s="152">
        <f t="shared" si="212"/>
        <v>-100000</v>
      </c>
      <c r="AF136" s="152">
        <f t="shared" si="212"/>
        <v>0</v>
      </c>
      <c r="AG136" s="152">
        <f t="shared" si="212"/>
        <v>0</v>
      </c>
      <c r="AH136" s="152">
        <f t="shared" si="212"/>
        <v>20000</v>
      </c>
      <c r="AI136" s="152">
        <f t="shared" si="212"/>
        <v>50000</v>
      </c>
      <c r="AJ136" s="152">
        <f t="shared" si="212"/>
        <v>0</v>
      </c>
      <c r="AK136" s="152">
        <f t="shared" si="212"/>
        <v>-90000</v>
      </c>
      <c r="AL136" s="205">
        <f t="shared" si="212"/>
        <v>-20000</v>
      </c>
      <c r="AM136" s="152">
        <f t="shared" si="212"/>
        <v>18249.98</v>
      </c>
      <c r="AN136" s="152">
        <f t="shared" si="212"/>
        <v>0</v>
      </c>
      <c r="AO136" s="152">
        <f t="shared" si="212"/>
        <v>-400000</v>
      </c>
      <c r="AP136" s="152">
        <f t="shared" si="212"/>
        <v>0</v>
      </c>
      <c r="AQ136" s="152">
        <f t="shared" si="212"/>
        <v>20000</v>
      </c>
      <c r="AR136" s="152">
        <f t="shared" si="212"/>
        <v>0</v>
      </c>
      <c r="AS136" s="152">
        <f t="shared" si="212"/>
        <v>0</v>
      </c>
      <c r="AT136" s="152">
        <f t="shared" si="212"/>
        <v>0</v>
      </c>
      <c r="AU136" s="152">
        <f t="shared" si="212"/>
        <v>-14000</v>
      </c>
      <c r="AV136" s="152">
        <f t="shared" si="212"/>
        <v>0</v>
      </c>
      <c r="AW136" s="152">
        <f t="shared" si="212"/>
        <v>0</v>
      </c>
      <c r="AX136" s="152">
        <f t="shared" si="212"/>
        <v>0</v>
      </c>
      <c r="AY136" s="152">
        <f t="shared" si="212"/>
        <v>0</v>
      </c>
      <c r="AZ136" s="152">
        <f t="shared" si="212"/>
        <v>0</v>
      </c>
      <c r="BA136" s="152">
        <f t="shared" si="212"/>
        <v>0</v>
      </c>
      <c r="BB136" s="152">
        <f t="shared" si="212"/>
        <v>0</v>
      </c>
      <c r="BC136" s="152">
        <f t="shared" si="212"/>
        <v>0</v>
      </c>
      <c r="BD136" s="152">
        <f t="shared" si="212"/>
        <v>0</v>
      </c>
      <c r="BE136" s="152">
        <f t="shared" si="212"/>
        <v>-500</v>
      </c>
      <c r="BF136" s="152">
        <f t="shared" si="212"/>
        <v>0</v>
      </c>
      <c r="BG136" s="152">
        <f t="shared" si="212"/>
        <v>0</v>
      </c>
      <c r="BH136" s="152">
        <f t="shared" si="212"/>
        <v>0</v>
      </c>
      <c r="BI136" s="152">
        <f t="shared" si="212"/>
        <v>0</v>
      </c>
      <c r="BJ136" s="152">
        <f t="shared" si="212"/>
        <v>0</v>
      </c>
      <c r="BK136" s="152">
        <f t="shared" si="212"/>
        <v>5000</v>
      </c>
      <c r="BL136" s="152">
        <f t="shared" si="212"/>
        <v>40000</v>
      </c>
      <c r="BM136" s="152">
        <f t="shared" si="212"/>
        <v>0</v>
      </c>
      <c r="BN136" s="152">
        <f t="shared" si="212"/>
        <v>0</v>
      </c>
      <c r="BO136" s="152">
        <f t="shared" si="212"/>
        <v>0</v>
      </c>
      <c r="BP136" s="152">
        <f t="shared" si="212"/>
        <v>0</v>
      </c>
      <c r="BQ136" s="152">
        <f t="shared" ref="BQ136:DA136" si="213">-BQ30-BQ29-BQ113-SUM(BQ137:BQ145)</f>
        <v>0</v>
      </c>
      <c r="BR136" s="152">
        <f t="shared" si="213"/>
        <v>50000</v>
      </c>
      <c r="BS136" s="152">
        <f t="shared" si="213"/>
        <v>0</v>
      </c>
      <c r="BT136" s="152">
        <f t="shared" si="213"/>
        <v>0</v>
      </c>
      <c r="BU136" s="152">
        <f t="shared" si="213"/>
        <v>0</v>
      </c>
      <c r="BV136" s="152">
        <f t="shared" si="213"/>
        <v>0</v>
      </c>
      <c r="BW136" s="152">
        <f t="shared" si="213"/>
        <v>180000</v>
      </c>
      <c r="BX136" s="152">
        <f t="shared" si="213"/>
        <v>0</v>
      </c>
      <c r="BY136" s="152">
        <f t="shared" si="213"/>
        <v>0</v>
      </c>
      <c r="BZ136" s="152">
        <f t="shared" si="213"/>
        <v>0.340000000000146</v>
      </c>
      <c r="CA136" s="152">
        <f t="shared" si="213"/>
        <v>60000</v>
      </c>
      <c r="CB136" s="152">
        <f t="shared" si="213"/>
        <v>5000</v>
      </c>
      <c r="CC136" s="152">
        <f t="shared" si="213"/>
        <v>0</v>
      </c>
      <c r="CD136" s="152">
        <f t="shared" si="213"/>
        <v>50000</v>
      </c>
      <c r="CE136" s="152">
        <f t="shared" si="213"/>
        <v>0</v>
      </c>
      <c r="CF136" s="152">
        <f t="shared" si="213"/>
        <v>-758.39</v>
      </c>
      <c r="CG136" s="152">
        <f t="shared" si="213"/>
        <v>0</v>
      </c>
      <c r="CH136" s="152">
        <f t="shared" si="213"/>
        <v>0</v>
      </c>
      <c r="CI136" s="152">
        <f t="shared" si="213"/>
        <v>0</v>
      </c>
      <c r="CJ136" s="152">
        <f t="shared" si="213"/>
        <v>0</v>
      </c>
      <c r="CK136" s="152">
        <f t="shared" si="213"/>
        <v>0</v>
      </c>
      <c r="CL136" s="152">
        <f t="shared" si="213"/>
        <v>0</v>
      </c>
      <c r="CM136" s="152">
        <f t="shared" si="213"/>
        <v>0</v>
      </c>
      <c r="CN136" s="152">
        <f t="shared" si="213"/>
        <v>0</v>
      </c>
      <c r="CO136" s="152">
        <f t="shared" si="213"/>
        <v>0</v>
      </c>
      <c r="CP136" s="152">
        <f t="shared" si="213"/>
        <v>0</v>
      </c>
      <c r="CQ136" s="205">
        <f t="shared" si="213"/>
        <v>12991.93</v>
      </c>
      <c r="CR136" s="205">
        <f t="shared" si="213"/>
        <v>-7008.07000000001</v>
      </c>
      <c r="CS136" s="205">
        <f t="shared" si="213"/>
        <v>-55000</v>
      </c>
      <c r="CT136" s="209">
        <f t="shared" si="213"/>
        <v>0</v>
      </c>
      <c r="CU136" s="152">
        <f t="shared" si="213"/>
        <v>-5000</v>
      </c>
      <c r="CV136" s="152">
        <f t="shared" si="213"/>
        <v>40000</v>
      </c>
      <c r="CW136" s="212">
        <f t="shared" si="213"/>
        <v>0</v>
      </c>
      <c r="CX136" s="212">
        <f t="shared" si="213"/>
        <v>0</v>
      </c>
      <c r="CY136" s="212">
        <f t="shared" si="213"/>
        <v>35000</v>
      </c>
      <c r="CZ136" s="152">
        <f t="shared" si="213"/>
        <v>0</v>
      </c>
      <c r="DA136" s="152">
        <f t="shared" si="213"/>
        <v>2312963.39</v>
      </c>
    </row>
    <row r="137" spans="1:106">
      <c r="A137" s="154">
        <f>MAX(A128:A136)+1</f>
        <v>53</v>
      </c>
      <c r="B137" s="194"/>
      <c r="C137" s="148" t="s">
        <v>13946</v>
      </c>
      <c r="D137" s="148" t="s">
        <v>13968</v>
      </c>
      <c r="E137" s="200">
        <f>+F137+CS137+CZ137+DA137</f>
        <v>0</v>
      </c>
      <c r="F137" s="200">
        <f>SUM(G137:K137,M137:N137,P137:U137,W137:X137,Z137:AA137,AC137:AK137,AM137:CP137)</f>
        <v>0</v>
      </c>
      <c r="G137" s="201"/>
      <c r="H137" s="201"/>
      <c r="I137" s="201"/>
      <c r="J137" s="201"/>
      <c r="K137" s="201"/>
      <c r="L137" s="206">
        <f>+SUM(G137:K137)</f>
        <v>0</v>
      </c>
      <c r="M137" s="201"/>
      <c r="N137" s="201"/>
      <c r="O137" s="206">
        <f>+SUM(M137:N137)</f>
        <v>0</v>
      </c>
      <c r="P137" s="201"/>
      <c r="Q137" s="201"/>
      <c r="R137" s="201"/>
      <c r="S137" s="201"/>
      <c r="T137" s="201"/>
      <c r="U137" s="201"/>
      <c r="V137" s="200">
        <f>+SUM(P137:U137)</f>
        <v>0</v>
      </c>
      <c r="W137" s="201"/>
      <c r="X137" s="201"/>
      <c r="Y137" s="206">
        <f>SUM(V137:X137)</f>
        <v>0</v>
      </c>
      <c r="Z137" s="201"/>
      <c r="AA137" s="201"/>
      <c r="AB137" s="206">
        <f>+SUM(Z137:AA137)</f>
        <v>0</v>
      </c>
      <c r="AC137" s="201"/>
      <c r="AD137" s="201"/>
      <c r="AE137" s="201"/>
      <c r="AF137" s="201"/>
      <c r="AG137" s="201"/>
      <c r="AH137" s="201"/>
      <c r="AI137" s="201"/>
      <c r="AJ137" s="201"/>
      <c r="AK137" s="201"/>
      <c r="AL137" s="206">
        <f>SUM(AF137:AK137)</f>
        <v>0</v>
      </c>
      <c r="AM137" s="201"/>
      <c r="AN137" s="201"/>
      <c r="AO137" s="201"/>
      <c r="AP137" s="201"/>
      <c r="AQ137" s="201"/>
      <c r="AR137" s="201"/>
      <c r="AS137" s="201"/>
      <c r="AT137" s="201"/>
      <c r="AU137" s="201"/>
      <c r="AV137" s="201"/>
      <c r="AW137" s="201"/>
      <c r="AX137" s="201"/>
      <c r="AY137" s="201"/>
      <c r="AZ137" s="201"/>
      <c r="BA137" s="201"/>
      <c r="BB137" s="201"/>
      <c r="BC137" s="201"/>
      <c r="BD137" s="201"/>
      <c r="BE137" s="201"/>
      <c r="BF137" s="201"/>
      <c r="BG137" s="201"/>
      <c r="BH137" s="201"/>
      <c r="BI137" s="201"/>
      <c r="BJ137" s="201"/>
      <c r="BK137" s="201"/>
      <c r="BL137" s="201"/>
      <c r="BM137" s="201"/>
      <c r="BN137" s="201"/>
      <c r="BO137" s="201"/>
      <c r="BP137" s="201"/>
      <c r="BQ137" s="201"/>
      <c r="BR137" s="201"/>
      <c r="BS137" s="201"/>
      <c r="BT137" s="201"/>
      <c r="BU137" s="201"/>
      <c r="BV137" s="201"/>
      <c r="BW137" s="201"/>
      <c r="BX137" s="201"/>
      <c r="BY137" s="201"/>
      <c r="BZ137" s="201"/>
      <c r="CA137" s="201"/>
      <c r="CB137" s="201"/>
      <c r="CC137" s="201"/>
      <c r="CD137" s="201"/>
      <c r="CE137" s="201"/>
      <c r="CF137" s="201"/>
      <c r="CG137" s="201"/>
      <c r="CH137" s="201"/>
      <c r="CI137" s="201"/>
      <c r="CJ137" s="201"/>
      <c r="CK137" s="201"/>
      <c r="CL137" s="201"/>
      <c r="CM137" s="201"/>
      <c r="CN137" s="201"/>
      <c r="CO137" s="201"/>
      <c r="CP137" s="201"/>
      <c r="CQ137" s="206">
        <f>+SUM(AM137:CP137)</f>
        <v>0</v>
      </c>
      <c r="CR137" s="206">
        <f>SUM(AL137,CQ137)</f>
        <v>0</v>
      </c>
      <c r="CS137" s="206">
        <f>SUM(CY137:CY137)</f>
        <v>0</v>
      </c>
      <c r="CT137" s="210"/>
      <c r="CU137" s="201"/>
      <c r="CV137" s="201"/>
      <c r="CW137" s="213"/>
      <c r="CX137" s="213"/>
      <c r="CY137" s="213">
        <f>CT137+CU137+CV137+CW137+CX137</f>
        <v>0</v>
      </c>
      <c r="CZ137" s="206"/>
      <c r="DA137" s="213"/>
      <c r="DB137" s="193"/>
    </row>
    <row r="138" spans="1:106">
      <c r="A138" s="154">
        <f>MAX(A129:A137)+1</f>
        <v>54</v>
      </c>
      <c r="B138" s="194"/>
      <c r="C138" s="148" t="s">
        <v>13946</v>
      </c>
      <c r="D138" s="148" t="s">
        <v>13969</v>
      </c>
      <c r="E138" s="200">
        <f>+F138+CS138+CZ138+DA138</f>
        <v>385500</v>
      </c>
      <c r="F138" s="200">
        <f>SUM(G138:K138,M138:N138,P138:U138,W138:X138,Z138:AA138,AC138:AK138,AM138:CP138)</f>
        <v>200500</v>
      </c>
      <c r="G138" s="201"/>
      <c r="H138" s="201"/>
      <c r="I138" s="201"/>
      <c r="J138" s="201"/>
      <c r="K138" s="201"/>
      <c r="L138" s="206">
        <f>+SUM(G138:K138)</f>
        <v>0</v>
      </c>
      <c r="M138" s="201"/>
      <c r="N138" s="201"/>
      <c r="O138" s="206">
        <f>+SUM(M138:N138)</f>
        <v>0</v>
      </c>
      <c r="P138" s="201"/>
      <c r="Q138" s="201"/>
      <c r="R138" s="201"/>
      <c r="S138" s="201"/>
      <c r="T138" s="201"/>
      <c r="U138" s="201"/>
      <c r="V138" s="200">
        <f>+SUM(P138:U138)</f>
        <v>0</v>
      </c>
      <c r="W138" s="201"/>
      <c r="X138" s="201"/>
      <c r="Y138" s="206">
        <f>SUM(V138:X138)</f>
        <v>0</v>
      </c>
      <c r="Z138" s="201"/>
      <c r="AA138" s="201"/>
      <c r="AB138" s="206">
        <f>+SUM(Z138:AA138)</f>
        <v>0</v>
      </c>
      <c r="AC138" s="201"/>
      <c r="AD138" s="201"/>
      <c r="AE138" s="201">
        <v>100000</v>
      </c>
      <c r="AF138" s="201"/>
      <c r="AG138" s="201"/>
      <c r="AH138" s="201"/>
      <c r="AI138" s="201"/>
      <c r="AJ138" s="201"/>
      <c r="AK138" s="201">
        <v>100000</v>
      </c>
      <c r="AL138" s="206">
        <f>SUM(AF138:AK138)</f>
        <v>100000</v>
      </c>
      <c r="AM138" s="201"/>
      <c r="AN138" s="201"/>
      <c r="AO138" s="201"/>
      <c r="AP138" s="201"/>
      <c r="AQ138" s="201"/>
      <c r="AR138" s="201"/>
      <c r="AS138" s="201"/>
      <c r="AT138" s="201"/>
      <c r="AU138" s="201"/>
      <c r="AV138" s="201"/>
      <c r="AW138" s="201"/>
      <c r="AX138" s="201"/>
      <c r="AY138" s="201"/>
      <c r="AZ138" s="201"/>
      <c r="BA138" s="201"/>
      <c r="BB138" s="201"/>
      <c r="BC138" s="201"/>
      <c r="BD138" s="201"/>
      <c r="BE138" s="201">
        <v>500</v>
      </c>
      <c r="BF138" s="201"/>
      <c r="BG138" s="201"/>
      <c r="BH138" s="201"/>
      <c r="BI138" s="201"/>
      <c r="BJ138" s="201"/>
      <c r="BK138" s="201"/>
      <c r="BL138" s="201"/>
      <c r="BM138" s="201"/>
      <c r="BN138" s="201"/>
      <c r="BO138" s="201"/>
      <c r="BP138" s="201"/>
      <c r="BQ138" s="201"/>
      <c r="BR138" s="201"/>
      <c r="BS138" s="201"/>
      <c r="BT138" s="201"/>
      <c r="BU138" s="201"/>
      <c r="BV138" s="201"/>
      <c r="BW138" s="201"/>
      <c r="BX138" s="201"/>
      <c r="BY138" s="201"/>
      <c r="BZ138" s="201"/>
      <c r="CA138" s="201"/>
      <c r="CB138" s="201"/>
      <c r="CC138" s="201"/>
      <c r="CD138" s="201"/>
      <c r="CE138" s="201"/>
      <c r="CF138" s="201"/>
      <c r="CG138" s="201"/>
      <c r="CH138" s="201"/>
      <c r="CI138" s="201"/>
      <c r="CJ138" s="201"/>
      <c r="CK138" s="201"/>
      <c r="CL138" s="201"/>
      <c r="CM138" s="201"/>
      <c r="CN138" s="201"/>
      <c r="CO138" s="201"/>
      <c r="CP138" s="201"/>
      <c r="CQ138" s="206">
        <f>+SUM(AM138:CP138)</f>
        <v>500</v>
      </c>
      <c r="CR138" s="206">
        <f>SUM(AL138,CQ138)</f>
        <v>100500</v>
      </c>
      <c r="CS138" s="206">
        <v>185000</v>
      </c>
      <c r="CT138" s="210"/>
      <c r="CU138" s="201">
        <v>95000</v>
      </c>
      <c r="CV138" s="201"/>
      <c r="CW138" s="213"/>
      <c r="CX138" s="213"/>
      <c r="CY138" s="213">
        <f>CT138+CU138+CV138+CW138+CX138</f>
        <v>95000</v>
      </c>
      <c r="CZ138" s="206"/>
      <c r="DA138" s="250"/>
      <c r="DB138" s="193"/>
    </row>
    <row r="139" spans="2:105">
      <c r="B139" s="161"/>
      <c r="D139" s="151"/>
      <c r="E139" s="153"/>
      <c r="F139" s="153"/>
      <c r="G139" s="152"/>
      <c r="H139" s="152"/>
      <c r="I139" s="152"/>
      <c r="J139" s="152"/>
      <c r="K139" s="152"/>
      <c r="L139" s="205"/>
      <c r="M139" s="152"/>
      <c r="N139" s="152"/>
      <c r="O139" s="205"/>
      <c r="P139" s="152"/>
      <c r="Q139" s="152"/>
      <c r="R139" s="152"/>
      <c r="S139" s="152"/>
      <c r="T139" s="152"/>
      <c r="U139" s="152"/>
      <c r="V139" s="153"/>
      <c r="W139" s="152"/>
      <c r="X139" s="152"/>
      <c r="Y139" s="205"/>
      <c r="Z139" s="152"/>
      <c r="AA139" s="152"/>
      <c r="AB139" s="205"/>
      <c r="AC139" s="152"/>
      <c r="AD139" s="152"/>
      <c r="AE139" s="152"/>
      <c r="AF139" s="152"/>
      <c r="AG139" s="152"/>
      <c r="AH139" s="152"/>
      <c r="AI139" s="152"/>
      <c r="AJ139" s="152"/>
      <c r="AK139" s="152"/>
      <c r="AL139" s="205"/>
      <c r="AM139" s="152"/>
      <c r="AN139" s="152"/>
      <c r="AO139" s="152"/>
      <c r="AP139" s="152"/>
      <c r="AQ139" s="152"/>
      <c r="AR139" s="152"/>
      <c r="AS139" s="152"/>
      <c r="AT139" s="152"/>
      <c r="AU139" s="152"/>
      <c r="AV139" s="152"/>
      <c r="AW139" s="152"/>
      <c r="AX139" s="152"/>
      <c r="AY139" s="152"/>
      <c r="AZ139" s="152"/>
      <c r="BA139" s="152"/>
      <c r="BB139" s="152"/>
      <c r="BC139" s="152"/>
      <c r="BD139" s="152"/>
      <c r="BE139" s="152"/>
      <c r="BF139" s="152"/>
      <c r="BG139" s="152"/>
      <c r="BH139" s="152"/>
      <c r="BI139" s="152"/>
      <c r="BJ139" s="152"/>
      <c r="BK139" s="152"/>
      <c r="BL139" s="152"/>
      <c r="BM139" s="152"/>
      <c r="BN139" s="152"/>
      <c r="BO139" s="152"/>
      <c r="BP139" s="152"/>
      <c r="BQ139" s="152"/>
      <c r="BR139" s="152"/>
      <c r="BS139" s="152"/>
      <c r="BT139" s="152"/>
      <c r="BU139" s="152"/>
      <c r="BV139" s="152"/>
      <c r="BW139" s="152"/>
      <c r="BX139" s="152"/>
      <c r="BY139" s="152"/>
      <c r="BZ139" s="152"/>
      <c r="CA139" s="152"/>
      <c r="CB139" s="152"/>
      <c r="CC139" s="152"/>
      <c r="CD139" s="152"/>
      <c r="CE139" s="152"/>
      <c r="CF139" s="152"/>
      <c r="CG139" s="152"/>
      <c r="CH139" s="152"/>
      <c r="CI139" s="152"/>
      <c r="CJ139" s="152"/>
      <c r="CK139" s="152"/>
      <c r="CL139" s="152"/>
      <c r="CM139" s="152"/>
      <c r="CN139" s="152"/>
      <c r="CO139" s="152"/>
      <c r="CP139" s="152"/>
      <c r="CQ139" s="205"/>
      <c r="CR139" s="205"/>
      <c r="CS139" s="205"/>
      <c r="CT139" s="209"/>
      <c r="CU139" s="152"/>
      <c r="CV139" s="152"/>
      <c r="CW139" s="212"/>
      <c r="CX139" s="212"/>
      <c r="CY139" s="212"/>
      <c r="CZ139" s="205"/>
      <c r="DA139" s="212"/>
    </row>
    <row r="140" spans="2:105">
      <c r="B140" s="161"/>
      <c r="D140" s="217" t="s">
        <v>13970</v>
      </c>
      <c r="E140" s="153"/>
      <c r="F140" s="153"/>
      <c r="G140" s="152"/>
      <c r="H140" s="152"/>
      <c r="I140" s="152"/>
      <c r="J140" s="152"/>
      <c r="K140" s="152"/>
      <c r="L140" s="205"/>
      <c r="M140" s="152"/>
      <c r="N140" s="152"/>
      <c r="O140" s="205"/>
      <c r="P140" s="152"/>
      <c r="Q140" s="152"/>
      <c r="R140" s="152"/>
      <c r="S140" s="152"/>
      <c r="T140" s="152"/>
      <c r="U140" s="152"/>
      <c r="V140" s="153"/>
      <c r="W140" s="152"/>
      <c r="X140" s="152"/>
      <c r="Y140" s="205"/>
      <c r="Z140" s="152"/>
      <c r="AA140" s="152"/>
      <c r="AB140" s="205"/>
      <c r="AC140" s="152"/>
      <c r="AD140" s="152"/>
      <c r="AE140" s="152"/>
      <c r="AF140" s="152"/>
      <c r="AG140" s="152"/>
      <c r="AH140" s="152"/>
      <c r="AI140" s="152"/>
      <c r="AJ140" s="152"/>
      <c r="AK140" s="152"/>
      <c r="AL140" s="205"/>
      <c r="AM140" s="152"/>
      <c r="AN140" s="152"/>
      <c r="AO140" s="152"/>
      <c r="AP140" s="152"/>
      <c r="AQ140" s="152"/>
      <c r="AR140" s="152"/>
      <c r="AS140" s="152"/>
      <c r="AT140" s="152"/>
      <c r="AU140" s="152"/>
      <c r="AV140" s="152"/>
      <c r="AW140" s="152"/>
      <c r="AX140" s="152"/>
      <c r="AY140" s="152"/>
      <c r="AZ140" s="152"/>
      <c r="BA140" s="152"/>
      <c r="BB140" s="152"/>
      <c r="BC140" s="152"/>
      <c r="BD140" s="152"/>
      <c r="BE140" s="152"/>
      <c r="BF140" s="152"/>
      <c r="BG140" s="152"/>
      <c r="BH140" s="152"/>
      <c r="BI140" s="152"/>
      <c r="BJ140" s="152"/>
      <c r="BK140" s="152"/>
      <c r="BL140" s="152"/>
      <c r="BM140" s="152"/>
      <c r="BN140" s="152"/>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c r="CO140" s="152"/>
      <c r="CP140" s="152"/>
      <c r="CQ140" s="205"/>
      <c r="CR140" s="205"/>
      <c r="CS140" s="205"/>
      <c r="CT140" s="209"/>
      <c r="CU140" s="152"/>
      <c r="CV140" s="152"/>
      <c r="CW140" s="212"/>
      <c r="CX140" s="212"/>
      <c r="CY140" s="212"/>
      <c r="CZ140" s="205"/>
      <c r="DA140" s="212"/>
    </row>
    <row r="141" spans="1:106">
      <c r="A141" s="154">
        <f>MAX(A132:A140)+1</f>
        <v>55</v>
      </c>
      <c r="B141" s="194"/>
      <c r="C141" s="148" t="s">
        <v>13867</v>
      </c>
      <c r="D141" s="148" t="s">
        <v>13971</v>
      </c>
      <c r="E141" s="200">
        <f>+F141+CS141+CZ141+DA141</f>
        <v>-25000</v>
      </c>
      <c r="F141" s="200">
        <f>SUM(G141:K141,M141:N141,P141:U141,W141:X141,Z141:AA141,AC141:AK141,AM141:CP141)</f>
        <v>-25000</v>
      </c>
      <c r="G141" s="201">
        <v>-22500</v>
      </c>
      <c r="H141" s="201">
        <v>-1400</v>
      </c>
      <c r="I141" s="201"/>
      <c r="J141" s="201">
        <v>-1100</v>
      </c>
      <c r="K141" s="201"/>
      <c r="L141" s="206">
        <f>+SUM(G141:K141)</f>
        <v>-25000</v>
      </c>
      <c r="M141" s="201"/>
      <c r="N141" s="201"/>
      <c r="O141" s="206">
        <f>+SUM(M141:N141)</f>
        <v>0</v>
      </c>
      <c r="P141" s="201"/>
      <c r="Q141" s="201"/>
      <c r="R141" s="201"/>
      <c r="S141" s="201"/>
      <c r="T141" s="201"/>
      <c r="U141" s="201"/>
      <c r="V141" s="200">
        <f>+SUM(P141:U141)</f>
        <v>0</v>
      </c>
      <c r="W141" s="201"/>
      <c r="X141" s="201"/>
      <c r="Y141" s="206">
        <f>SUM(V141:X141)</f>
        <v>0</v>
      </c>
      <c r="Z141" s="201"/>
      <c r="AA141" s="201"/>
      <c r="AB141" s="206">
        <f>+SUM(Z141:AA141)</f>
        <v>0</v>
      </c>
      <c r="AC141" s="201"/>
      <c r="AD141" s="201"/>
      <c r="AE141" s="201"/>
      <c r="AF141" s="201"/>
      <c r="AG141" s="201"/>
      <c r="AH141" s="201"/>
      <c r="AI141" s="201"/>
      <c r="AJ141" s="201"/>
      <c r="AK141" s="201"/>
      <c r="AL141" s="206">
        <f>SUM(AF141:AK141)</f>
        <v>0</v>
      </c>
      <c r="AM141" s="201"/>
      <c r="AN141" s="201"/>
      <c r="AO141" s="201"/>
      <c r="AP141" s="201"/>
      <c r="AQ141" s="201"/>
      <c r="AR141" s="201"/>
      <c r="AS141" s="201"/>
      <c r="AT141" s="201"/>
      <c r="AU141" s="201"/>
      <c r="AV141" s="201"/>
      <c r="AW141" s="201"/>
      <c r="AX141" s="201"/>
      <c r="AY141" s="201"/>
      <c r="AZ141" s="201"/>
      <c r="BA141" s="201"/>
      <c r="BB141" s="201"/>
      <c r="BC141" s="201"/>
      <c r="BD141" s="201"/>
      <c r="BE141" s="201"/>
      <c r="BF141" s="201"/>
      <c r="BG141" s="201"/>
      <c r="BH141" s="201"/>
      <c r="BI141" s="201"/>
      <c r="BJ141" s="201"/>
      <c r="BK141" s="201"/>
      <c r="BL141" s="201"/>
      <c r="BM141" s="201"/>
      <c r="BN141" s="201"/>
      <c r="BO141" s="201"/>
      <c r="BP141" s="201"/>
      <c r="BQ141" s="201"/>
      <c r="BR141" s="201"/>
      <c r="BS141" s="201"/>
      <c r="BT141" s="201"/>
      <c r="BU141" s="201"/>
      <c r="BV141" s="201"/>
      <c r="BW141" s="201"/>
      <c r="BX141" s="201"/>
      <c r="BY141" s="201"/>
      <c r="BZ141" s="201"/>
      <c r="CA141" s="201"/>
      <c r="CB141" s="201"/>
      <c r="CC141" s="201"/>
      <c r="CD141" s="201"/>
      <c r="CE141" s="201"/>
      <c r="CF141" s="201"/>
      <c r="CG141" s="201"/>
      <c r="CH141" s="201"/>
      <c r="CI141" s="201"/>
      <c r="CJ141" s="201"/>
      <c r="CK141" s="201"/>
      <c r="CL141" s="201"/>
      <c r="CM141" s="201"/>
      <c r="CN141" s="201"/>
      <c r="CO141" s="201"/>
      <c r="CP141" s="201"/>
      <c r="CQ141" s="206">
        <f>+SUM(AM141:CP141)</f>
        <v>0</v>
      </c>
      <c r="CR141" s="206">
        <f>SUM(AL141,CQ141)</f>
        <v>0</v>
      </c>
      <c r="CS141" s="206">
        <f>SUM(CY141:CY141)</f>
        <v>0</v>
      </c>
      <c r="CT141" s="210"/>
      <c r="CU141" s="201"/>
      <c r="CV141" s="201"/>
      <c r="CW141" s="213"/>
      <c r="CX141" s="213"/>
      <c r="CY141" s="213">
        <f>CT141+CU141+CW141+CX141</f>
        <v>0</v>
      </c>
      <c r="CZ141" s="206"/>
      <c r="DA141" s="213"/>
      <c r="DB141" s="193"/>
    </row>
    <row r="142" spans="1:106">
      <c r="A142" s="154">
        <f>MAX(A133:A141)+1</f>
        <v>56</v>
      </c>
      <c r="B142" s="194"/>
      <c r="C142" s="148" t="s">
        <v>13867</v>
      </c>
      <c r="D142" s="148" t="s">
        <v>13972</v>
      </c>
      <c r="E142" s="200">
        <f>+F142+CS142+CZ142+DA142</f>
        <v>-5917</v>
      </c>
      <c r="F142" s="200">
        <f>SUM(G142:K142,M142:N142,P142:U142,W142:X142,Z142:AA142,AC142:AK142,AM142:CP142)</f>
        <v>-5917</v>
      </c>
      <c r="G142" s="201"/>
      <c r="H142" s="201"/>
      <c r="I142" s="201"/>
      <c r="J142" s="201"/>
      <c r="K142" s="201"/>
      <c r="L142" s="206">
        <f>+SUM(G142:K142)</f>
        <v>0</v>
      </c>
      <c r="M142" s="201"/>
      <c r="N142" s="201"/>
      <c r="O142" s="206">
        <f>+SUM(M142:N142)</f>
        <v>0</v>
      </c>
      <c r="P142" s="201"/>
      <c r="Q142" s="201"/>
      <c r="R142" s="201"/>
      <c r="S142" s="201"/>
      <c r="T142" s="201"/>
      <c r="U142" s="201"/>
      <c r="V142" s="200">
        <f>+SUM(P142:U142)</f>
        <v>0</v>
      </c>
      <c r="W142" s="201"/>
      <c r="X142" s="201"/>
      <c r="Y142" s="206">
        <f>SUM(V142:X142)</f>
        <v>0</v>
      </c>
      <c r="Z142" s="201"/>
      <c r="AA142" s="201"/>
      <c r="AB142" s="206">
        <f>+SUM(Z142:AA142)</f>
        <v>0</v>
      </c>
      <c r="AC142" s="201"/>
      <c r="AD142" s="201"/>
      <c r="AE142" s="201"/>
      <c r="AF142" s="201"/>
      <c r="AG142" s="201"/>
      <c r="AH142" s="201"/>
      <c r="AI142" s="201"/>
      <c r="AJ142" s="201"/>
      <c r="AK142" s="201"/>
      <c r="AL142" s="206">
        <f>SUM(AF142:AK142)</f>
        <v>0</v>
      </c>
      <c r="AM142" s="201"/>
      <c r="AN142" s="201"/>
      <c r="AO142" s="201"/>
      <c r="AP142" s="201"/>
      <c r="AQ142" s="201"/>
      <c r="AR142" s="201"/>
      <c r="AS142" s="201"/>
      <c r="AT142" s="201"/>
      <c r="AU142" s="201"/>
      <c r="AV142" s="201"/>
      <c r="AW142" s="201"/>
      <c r="AX142" s="201"/>
      <c r="AY142" s="201"/>
      <c r="AZ142" s="201"/>
      <c r="BA142" s="201"/>
      <c r="BB142" s="201"/>
      <c r="BC142" s="201"/>
      <c r="BD142" s="201"/>
      <c r="BE142" s="201"/>
      <c r="BF142" s="201"/>
      <c r="BG142" s="201"/>
      <c r="BH142" s="201"/>
      <c r="BI142" s="201"/>
      <c r="BJ142" s="201"/>
      <c r="BK142" s="201"/>
      <c r="BL142" s="201"/>
      <c r="BM142" s="201"/>
      <c r="BN142" s="201"/>
      <c r="BO142" s="201"/>
      <c r="BP142" s="201"/>
      <c r="BQ142" s="201"/>
      <c r="BR142" s="201"/>
      <c r="BS142" s="201"/>
      <c r="BT142" s="201"/>
      <c r="BU142" s="201"/>
      <c r="BV142" s="201"/>
      <c r="BW142" s="201"/>
      <c r="BX142" s="201"/>
      <c r="BY142" s="201"/>
      <c r="BZ142" s="201">
        <v>-5917</v>
      </c>
      <c r="CA142" s="201"/>
      <c r="CB142" s="201"/>
      <c r="CC142" s="201"/>
      <c r="CD142" s="201"/>
      <c r="CE142" s="201"/>
      <c r="CF142" s="201"/>
      <c r="CG142" s="201"/>
      <c r="CH142" s="201"/>
      <c r="CI142" s="201"/>
      <c r="CJ142" s="201"/>
      <c r="CK142" s="201"/>
      <c r="CL142" s="201"/>
      <c r="CM142" s="201"/>
      <c r="CN142" s="201"/>
      <c r="CO142" s="201"/>
      <c r="CP142" s="201"/>
      <c r="CQ142" s="206">
        <f>+SUM(AM142:CP142)</f>
        <v>-5917</v>
      </c>
      <c r="CR142" s="206">
        <f>SUM(AL142,CQ142)</f>
        <v>-5917</v>
      </c>
      <c r="CS142" s="206">
        <f>SUM(CY142:CY142)</f>
        <v>0</v>
      </c>
      <c r="CT142" s="210"/>
      <c r="CU142" s="201"/>
      <c r="CV142" s="201"/>
      <c r="CW142" s="213"/>
      <c r="CX142" s="213"/>
      <c r="CY142" s="213">
        <f>CT142+CU142+CW142+CX142</f>
        <v>0</v>
      </c>
      <c r="CZ142" s="206"/>
      <c r="DA142" s="213"/>
      <c r="DB142" s="193"/>
    </row>
    <row r="143" spans="2:105">
      <c r="B143" s="161"/>
      <c r="D143" s="151"/>
      <c r="E143" s="153"/>
      <c r="F143" s="153"/>
      <c r="G143" s="152"/>
      <c r="H143" s="152"/>
      <c r="I143" s="152"/>
      <c r="J143" s="152"/>
      <c r="K143" s="152"/>
      <c r="L143" s="205"/>
      <c r="M143" s="152"/>
      <c r="N143" s="152"/>
      <c r="O143" s="205"/>
      <c r="P143" s="152"/>
      <c r="Q143" s="152"/>
      <c r="R143" s="152"/>
      <c r="S143" s="152"/>
      <c r="T143" s="152"/>
      <c r="U143" s="152"/>
      <c r="V143" s="153"/>
      <c r="W143" s="152"/>
      <c r="X143" s="152"/>
      <c r="Y143" s="205"/>
      <c r="Z143" s="152"/>
      <c r="AA143" s="152"/>
      <c r="AB143" s="205"/>
      <c r="AC143" s="152"/>
      <c r="AD143" s="152"/>
      <c r="AE143" s="152"/>
      <c r="AF143" s="152"/>
      <c r="AG143" s="152"/>
      <c r="AH143" s="152"/>
      <c r="AI143" s="152"/>
      <c r="AJ143" s="152"/>
      <c r="AK143" s="152"/>
      <c r="AL143" s="205"/>
      <c r="AM143" s="152"/>
      <c r="AN143" s="152"/>
      <c r="AO143" s="152"/>
      <c r="AP143" s="152"/>
      <c r="AQ143" s="152"/>
      <c r="AR143" s="152"/>
      <c r="AS143" s="152"/>
      <c r="AT143" s="152"/>
      <c r="AU143" s="152"/>
      <c r="AV143" s="152"/>
      <c r="AW143" s="152"/>
      <c r="AX143" s="152"/>
      <c r="AY143" s="152"/>
      <c r="AZ143" s="152"/>
      <c r="BA143" s="152"/>
      <c r="BB143" s="152"/>
      <c r="BC143" s="152"/>
      <c r="BD143" s="152"/>
      <c r="BE143" s="152"/>
      <c r="BF143" s="152"/>
      <c r="BG143" s="152"/>
      <c r="BH143" s="152"/>
      <c r="BI143" s="152"/>
      <c r="BJ143" s="152"/>
      <c r="BK143" s="152"/>
      <c r="BL143" s="152"/>
      <c r="BM143" s="152"/>
      <c r="BN143" s="152"/>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c r="CO143" s="152"/>
      <c r="CP143" s="152"/>
      <c r="CQ143" s="205"/>
      <c r="CR143" s="205"/>
      <c r="CS143" s="205"/>
      <c r="CT143" s="209"/>
      <c r="CU143" s="152"/>
      <c r="CV143" s="152"/>
      <c r="CW143" s="212"/>
      <c r="CX143" s="212"/>
      <c r="CY143" s="212"/>
      <c r="CZ143" s="205"/>
      <c r="DA143" s="212"/>
    </row>
    <row r="144" spans="1:106">
      <c r="A144" s="154">
        <f>MAX(A135:A143)+1</f>
        <v>57</v>
      </c>
      <c r="B144" s="194"/>
      <c r="C144" s="148" t="s">
        <v>13888</v>
      </c>
      <c r="D144" s="148" t="s">
        <v>13973</v>
      </c>
      <c r="E144" s="200">
        <f>+F144+CS144+CZ144+DA144</f>
        <v>252000</v>
      </c>
      <c r="F144" s="200">
        <f>SUM(G144:K144,M144:N144,P144:U144,W144:X144,Z144:AA144,AC144:AK144,AM144:CP144)</f>
        <v>252000</v>
      </c>
      <c r="G144" s="201">
        <v>523</v>
      </c>
      <c r="H144" s="201">
        <f>-H30</f>
        <v>0</v>
      </c>
      <c r="I144" s="201">
        <f>-I30</f>
        <v>0</v>
      </c>
      <c r="J144" s="201">
        <f>-J30</f>
        <v>0</v>
      </c>
      <c r="K144" s="201">
        <v>-523</v>
      </c>
      <c r="L144" s="206">
        <f>+SUM(G144:K144)</f>
        <v>0</v>
      </c>
      <c r="M144" s="201">
        <f>-M30</f>
        <v>0</v>
      </c>
      <c r="N144" s="201">
        <f>-N30</f>
        <v>0</v>
      </c>
      <c r="O144" s="206">
        <f>+SUM(M144:N144)</f>
        <v>0</v>
      </c>
      <c r="P144" s="201">
        <f t="shared" ref="P144:U144" si="214">-P30</f>
        <v>0</v>
      </c>
      <c r="Q144" s="201">
        <f t="shared" si="214"/>
        <v>0</v>
      </c>
      <c r="R144" s="201">
        <f t="shared" si="214"/>
        <v>0</v>
      </c>
      <c r="S144" s="201">
        <f t="shared" si="214"/>
        <v>0</v>
      </c>
      <c r="T144" s="201">
        <f t="shared" si="214"/>
        <v>0</v>
      </c>
      <c r="U144" s="201">
        <f t="shared" si="214"/>
        <v>0</v>
      </c>
      <c r="V144" s="200">
        <f>+SUM(P144:U144)</f>
        <v>0</v>
      </c>
      <c r="W144" s="201"/>
      <c r="X144" s="201"/>
      <c r="Y144" s="206">
        <f>SUM(V144:X144)</f>
        <v>0</v>
      </c>
      <c r="Z144" s="201">
        <f>-Z30</f>
        <v>0</v>
      </c>
      <c r="AA144" s="201">
        <f>-AA30</f>
        <v>0</v>
      </c>
      <c r="AB144" s="206">
        <f>+SUM(Z144:AA144)</f>
        <v>0</v>
      </c>
      <c r="AC144" s="201">
        <f t="shared" ref="AC144:AK144" si="215">-AC30</f>
        <v>0</v>
      </c>
      <c r="AD144" s="201">
        <f t="shared" si="215"/>
        <v>0</v>
      </c>
      <c r="AE144" s="201">
        <f t="shared" si="215"/>
        <v>0</v>
      </c>
      <c r="AF144" s="201">
        <f t="shared" si="215"/>
        <v>0</v>
      </c>
      <c r="AG144" s="201">
        <f t="shared" si="215"/>
        <v>0</v>
      </c>
      <c r="AH144" s="201">
        <f t="shared" si="215"/>
        <v>0</v>
      </c>
      <c r="AI144" s="201">
        <f t="shared" si="215"/>
        <v>0</v>
      </c>
      <c r="AJ144" s="201">
        <f t="shared" si="215"/>
        <v>0</v>
      </c>
      <c r="AK144" s="201">
        <f t="shared" si="215"/>
        <v>0</v>
      </c>
      <c r="AL144" s="206">
        <f>SUM(AF144:AK144)</f>
        <v>0</v>
      </c>
      <c r="AM144" s="201">
        <f t="shared" ref="AM144:AW144" si="216">-AM30</f>
        <v>0</v>
      </c>
      <c r="AN144" s="201">
        <f t="shared" si="216"/>
        <v>0</v>
      </c>
      <c r="AO144" s="201">
        <f t="shared" si="216"/>
        <v>0</v>
      </c>
      <c r="AP144" s="201">
        <f t="shared" si="216"/>
        <v>0</v>
      </c>
      <c r="AQ144" s="201">
        <f t="shared" si="216"/>
        <v>0</v>
      </c>
      <c r="AR144" s="201">
        <f t="shared" si="216"/>
        <v>0</v>
      </c>
      <c r="AS144" s="201">
        <f t="shared" si="216"/>
        <v>0</v>
      </c>
      <c r="AT144" s="201">
        <f t="shared" si="216"/>
        <v>0</v>
      </c>
      <c r="AU144" s="201">
        <f t="shared" si="216"/>
        <v>0</v>
      </c>
      <c r="AV144" s="201">
        <f t="shared" si="216"/>
        <v>0</v>
      </c>
      <c r="AW144" s="201">
        <f t="shared" si="216"/>
        <v>0</v>
      </c>
      <c r="AX144" s="201">
        <v>0</v>
      </c>
      <c r="AY144" s="201">
        <f t="shared" ref="AY144:CO144" si="217">-AY30</f>
        <v>0</v>
      </c>
      <c r="AZ144" s="201">
        <f t="shared" si="217"/>
        <v>0</v>
      </c>
      <c r="BA144" s="201">
        <f t="shared" si="217"/>
        <v>0</v>
      </c>
      <c r="BB144" s="201">
        <f t="shared" si="217"/>
        <v>0</v>
      </c>
      <c r="BC144" s="201">
        <f t="shared" si="217"/>
        <v>0</v>
      </c>
      <c r="BD144" s="201">
        <f t="shared" si="217"/>
        <v>0</v>
      </c>
      <c r="BE144" s="201">
        <f t="shared" si="217"/>
        <v>0</v>
      </c>
      <c r="BF144" s="201">
        <f t="shared" si="217"/>
        <v>0</v>
      </c>
      <c r="BG144" s="201">
        <f t="shared" si="217"/>
        <v>0</v>
      </c>
      <c r="BH144" s="201">
        <f t="shared" si="217"/>
        <v>0</v>
      </c>
      <c r="BI144" s="201">
        <f t="shared" si="217"/>
        <v>0</v>
      </c>
      <c r="BJ144" s="201">
        <f t="shared" si="217"/>
        <v>0</v>
      </c>
      <c r="BK144" s="201">
        <f t="shared" si="217"/>
        <v>0</v>
      </c>
      <c r="BL144" s="201">
        <f t="shared" si="217"/>
        <v>0</v>
      </c>
      <c r="BM144" s="201">
        <f t="shared" si="217"/>
        <v>0</v>
      </c>
      <c r="BN144" s="201">
        <f t="shared" si="217"/>
        <v>0</v>
      </c>
      <c r="BO144" s="201">
        <f t="shared" si="217"/>
        <v>0</v>
      </c>
      <c r="BP144" s="201">
        <f t="shared" si="217"/>
        <v>0</v>
      </c>
      <c r="BQ144" s="201">
        <f t="shared" si="217"/>
        <v>0</v>
      </c>
      <c r="BR144" s="201">
        <f t="shared" si="217"/>
        <v>0</v>
      </c>
      <c r="BS144" s="201">
        <f t="shared" si="217"/>
        <v>0</v>
      </c>
      <c r="BT144" s="201">
        <f t="shared" si="217"/>
        <v>0</v>
      </c>
      <c r="BU144" s="201">
        <f t="shared" si="217"/>
        <v>0</v>
      </c>
      <c r="BV144" s="201">
        <f t="shared" si="217"/>
        <v>0</v>
      </c>
      <c r="BW144" s="201">
        <f t="shared" si="217"/>
        <v>0</v>
      </c>
      <c r="BX144" s="201">
        <f t="shared" si="217"/>
        <v>0</v>
      </c>
      <c r="BY144" s="201">
        <f t="shared" si="217"/>
        <v>0</v>
      </c>
      <c r="BZ144" s="201">
        <f t="shared" si="217"/>
        <v>5000</v>
      </c>
      <c r="CA144" s="201">
        <f t="shared" si="217"/>
        <v>0</v>
      </c>
      <c r="CB144" s="201">
        <f t="shared" si="217"/>
        <v>0</v>
      </c>
      <c r="CC144" s="201">
        <f t="shared" si="217"/>
        <v>0</v>
      </c>
      <c r="CD144" s="201">
        <f t="shared" si="217"/>
        <v>0</v>
      </c>
      <c r="CE144" s="201">
        <f t="shared" si="217"/>
        <v>35000</v>
      </c>
      <c r="CF144" s="201">
        <f t="shared" si="217"/>
        <v>0</v>
      </c>
      <c r="CG144" s="201">
        <f t="shared" si="217"/>
        <v>0</v>
      </c>
      <c r="CH144" s="201">
        <f t="shared" si="217"/>
        <v>35000</v>
      </c>
      <c r="CI144" s="201">
        <f t="shared" si="217"/>
        <v>27000</v>
      </c>
      <c r="CJ144" s="201">
        <f t="shared" si="217"/>
        <v>63000</v>
      </c>
      <c r="CK144" s="201">
        <f t="shared" si="217"/>
        <v>5000</v>
      </c>
      <c r="CL144" s="201">
        <f t="shared" si="217"/>
        <v>17000</v>
      </c>
      <c r="CM144" s="201">
        <f t="shared" si="217"/>
        <v>65000</v>
      </c>
      <c r="CN144" s="201">
        <f t="shared" si="217"/>
        <v>0</v>
      </c>
      <c r="CO144" s="201">
        <f t="shared" si="217"/>
        <v>0</v>
      </c>
      <c r="CP144" s="201"/>
      <c r="CQ144" s="206">
        <f>+SUM(AM144:CP144)</f>
        <v>252000</v>
      </c>
      <c r="CR144" s="206">
        <f>SUM(AL144,CQ144)</f>
        <v>252000</v>
      </c>
      <c r="CS144" s="206">
        <f>SUM(CY144:CY144)</f>
        <v>0</v>
      </c>
      <c r="CT144" s="210"/>
      <c r="CU144" s="201">
        <f>-CU30</f>
        <v>0</v>
      </c>
      <c r="CV144" s="201">
        <f>-CV30</f>
        <v>0</v>
      </c>
      <c r="CW144" s="201">
        <f>-CW30</f>
        <v>0</v>
      </c>
      <c r="CX144" s="213">
        <f>-CX30</f>
        <v>0</v>
      </c>
      <c r="CY144" s="213">
        <f>CT144+CU144+CW144+CX144</f>
        <v>0</v>
      </c>
      <c r="CZ144" s="213"/>
      <c r="DA144" s="213"/>
      <c r="DB144" s="193"/>
    </row>
    <row r="145" spans="1:106">
      <c r="A145" s="154">
        <f>MAX(A136:A144)+1</f>
        <v>58</v>
      </c>
      <c r="B145" s="194"/>
      <c r="C145" s="148" t="s">
        <v>13867</v>
      </c>
      <c r="D145" s="148" t="s">
        <v>13970</v>
      </c>
      <c r="E145" s="200">
        <f>+F145+CS145+CZ145+DA145</f>
        <v>-1415705</v>
      </c>
      <c r="F145" s="200">
        <f>SUM(G145:K145,M145:N145,P145:U145,W145:X145,Z145:AA145,AC145:AK145,AM145:CP145)</f>
        <v>-480000</v>
      </c>
      <c r="G145" s="201"/>
      <c r="H145" s="201"/>
      <c r="I145" s="201"/>
      <c r="J145" s="201"/>
      <c r="K145" s="201"/>
      <c r="L145" s="206">
        <f>+SUM(G145:K145)</f>
        <v>0</v>
      </c>
      <c r="M145" s="201"/>
      <c r="N145" s="201"/>
      <c r="O145" s="206">
        <f>+SUM(M145:N145)</f>
        <v>0</v>
      </c>
      <c r="P145" s="201"/>
      <c r="Q145" s="201"/>
      <c r="R145" s="201"/>
      <c r="S145" s="201"/>
      <c r="T145" s="201"/>
      <c r="U145" s="201"/>
      <c r="V145" s="200">
        <f>+SUM(P145:U145)</f>
        <v>0</v>
      </c>
      <c r="W145" s="201"/>
      <c r="X145" s="201"/>
      <c r="Y145" s="206">
        <f>SUM(V145:X145)</f>
        <v>0</v>
      </c>
      <c r="Z145" s="201"/>
      <c r="AA145" s="201"/>
      <c r="AB145" s="206">
        <f>+SUM(Z145:AA145)</f>
        <v>0</v>
      </c>
      <c r="AC145" s="201">
        <v>-100000</v>
      </c>
      <c r="AD145" s="201">
        <v>-40000</v>
      </c>
      <c r="AE145" s="201"/>
      <c r="AF145" s="201"/>
      <c r="AG145" s="201"/>
      <c r="AH145" s="201">
        <v>-20000</v>
      </c>
      <c r="AI145" s="201">
        <v>-50000</v>
      </c>
      <c r="AJ145" s="201"/>
      <c r="AK145" s="201"/>
      <c r="AL145" s="206">
        <f>SUM(AF145:AK145)</f>
        <v>-70000</v>
      </c>
      <c r="AM145" s="201"/>
      <c r="AN145" s="201"/>
      <c r="AO145" s="201"/>
      <c r="AP145" s="201"/>
      <c r="AQ145" s="201"/>
      <c r="AR145" s="201"/>
      <c r="AS145" s="201"/>
      <c r="AT145" s="201"/>
      <c r="AU145" s="201"/>
      <c r="AV145" s="201"/>
      <c r="AW145" s="201"/>
      <c r="AX145" s="201"/>
      <c r="AY145" s="201"/>
      <c r="AZ145" s="201"/>
      <c r="BA145" s="201"/>
      <c r="BB145" s="201"/>
      <c r="BC145" s="201"/>
      <c r="BD145" s="201"/>
      <c r="BE145" s="201"/>
      <c r="BF145" s="201"/>
      <c r="BG145" s="201"/>
      <c r="BH145" s="201"/>
      <c r="BI145" s="201"/>
      <c r="BJ145" s="201"/>
      <c r="BK145" s="201"/>
      <c r="BL145" s="201">
        <v>-40000</v>
      </c>
      <c r="BM145" s="201"/>
      <c r="BN145" s="201"/>
      <c r="BO145" s="201"/>
      <c r="BP145" s="201"/>
      <c r="BQ145" s="201"/>
      <c r="BR145" s="201"/>
      <c r="BS145" s="201"/>
      <c r="BT145" s="201"/>
      <c r="BU145" s="201"/>
      <c r="BV145" s="201"/>
      <c r="BW145" s="201">
        <v>-180000</v>
      </c>
      <c r="BX145" s="201"/>
      <c r="BY145" s="201"/>
      <c r="BZ145" s="201"/>
      <c r="CA145" s="201"/>
      <c r="CB145" s="201"/>
      <c r="CC145" s="201"/>
      <c r="CD145" s="201">
        <v>-50000</v>
      </c>
      <c r="CE145" s="201"/>
      <c r="CF145" s="201"/>
      <c r="CG145" s="201"/>
      <c r="CH145" s="201"/>
      <c r="CI145" s="201"/>
      <c r="CJ145" s="201"/>
      <c r="CK145" s="201"/>
      <c r="CL145" s="201"/>
      <c r="CM145" s="201"/>
      <c r="CN145" s="201"/>
      <c r="CO145" s="201"/>
      <c r="CP145" s="201"/>
      <c r="CQ145" s="206">
        <f>+SUM(AM145:CP145)</f>
        <v>-270000</v>
      </c>
      <c r="CR145" s="206">
        <f>SUM(AL145,CQ145)</f>
        <v>-340000</v>
      </c>
      <c r="CS145" s="206">
        <f>SUM(CY145:CY145)</f>
        <v>0</v>
      </c>
      <c r="CT145" s="210"/>
      <c r="CU145" s="201"/>
      <c r="CV145" s="201"/>
      <c r="CW145" s="213"/>
      <c r="CX145" s="213"/>
      <c r="CY145" s="213">
        <f>CT145+CU145+CW145+CX145</f>
        <v>0</v>
      </c>
      <c r="CZ145" s="206"/>
      <c r="DA145" s="250">
        <v>-935705</v>
      </c>
      <c r="DB145" s="193"/>
    </row>
    <row r="146" spans="2:106">
      <c r="B146" s="161"/>
      <c r="E146" s="153"/>
      <c r="F146" s="153"/>
      <c r="G146" s="152"/>
      <c r="H146" s="152"/>
      <c r="I146" s="152"/>
      <c r="J146" s="152"/>
      <c r="K146" s="152"/>
      <c r="L146" s="205"/>
      <c r="M146" s="152"/>
      <c r="N146" s="152"/>
      <c r="O146" s="205"/>
      <c r="P146" s="152"/>
      <c r="Q146" s="152"/>
      <c r="R146" s="152"/>
      <c r="S146" s="152"/>
      <c r="T146" s="152"/>
      <c r="U146" s="152"/>
      <c r="V146" s="153"/>
      <c r="W146" s="152"/>
      <c r="X146" s="152"/>
      <c r="Y146" s="205"/>
      <c r="Z146" s="152"/>
      <c r="AA146" s="152"/>
      <c r="AB146" s="205"/>
      <c r="AC146" s="152"/>
      <c r="AD146" s="152"/>
      <c r="AE146" s="152"/>
      <c r="AF146" s="152"/>
      <c r="AG146" s="152"/>
      <c r="AH146" s="152"/>
      <c r="AI146" s="152"/>
      <c r="AJ146" s="152"/>
      <c r="AK146" s="152"/>
      <c r="AL146" s="205"/>
      <c r="AM146" s="152"/>
      <c r="AN146" s="152"/>
      <c r="AO146" s="152"/>
      <c r="AP146" s="152"/>
      <c r="AQ146" s="152"/>
      <c r="AR146" s="152"/>
      <c r="AS146" s="152"/>
      <c r="AT146" s="152"/>
      <c r="AU146" s="152"/>
      <c r="AV146" s="152"/>
      <c r="AW146" s="152"/>
      <c r="AX146" s="152"/>
      <c r="AY146" s="152"/>
      <c r="AZ146" s="152"/>
      <c r="BA146" s="152"/>
      <c r="BB146" s="152"/>
      <c r="BC146" s="152"/>
      <c r="BD146" s="152"/>
      <c r="BE146" s="152"/>
      <c r="BF146" s="152"/>
      <c r="BG146" s="152"/>
      <c r="BH146" s="152"/>
      <c r="BI146" s="152"/>
      <c r="BJ146" s="152"/>
      <c r="BK146" s="152"/>
      <c r="BL146" s="152"/>
      <c r="BM146" s="152"/>
      <c r="BN146" s="152"/>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c r="CO146" s="152"/>
      <c r="CP146" s="152"/>
      <c r="CQ146" s="205"/>
      <c r="CR146" s="205"/>
      <c r="CS146" s="205"/>
      <c r="CT146" s="209"/>
      <c r="CU146" s="152"/>
      <c r="CV146" s="152"/>
      <c r="CW146" s="212"/>
      <c r="CX146" s="212"/>
      <c r="CY146" s="212"/>
      <c r="CZ146" s="205"/>
      <c r="DA146" s="205"/>
      <c r="DB146" s="193"/>
    </row>
    <row r="147" spans="1:106">
      <c r="A147" s="154">
        <f t="shared" ref="A147:A152" si="218">MAX(A141:A146)+1</f>
        <v>59</v>
      </c>
      <c r="B147" s="161" t="s">
        <v>13870</v>
      </c>
      <c r="D147" s="154" t="s">
        <v>13974</v>
      </c>
      <c r="E147" s="198" t="e">
        <f t="shared" ref="E147:E152" ca="true" si="219">+F147+CS147+CZ147+DA147</f>
        <v>#REF!</v>
      </c>
      <c r="F147" s="153" t="e">
        <f t="shared" ref="F147:F152" ca="true" si="220">SUM(G147:K147,M147:N147,P147:U147,W147:X147,Z147:AA147,AC147:AK147,AM147:CP147)</f>
        <v>#REF!</v>
      </c>
      <c r="G147" s="152">
        <f>-SUMIF($B$9:$B$53,$B147,G$9:G$53)</f>
        <v>76807.08</v>
      </c>
      <c r="H147" s="152">
        <f>-SUMIF($B$9:$B$53,$B147,H$9:H$53)</f>
        <v>29291.88</v>
      </c>
      <c r="I147" s="152">
        <f>-SUMIF($B$9:$B$53,$B147,I$9:I$53)</f>
        <v>11148.17</v>
      </c>
      <c r="J147" s="152">
        <f>-SUMIF($B$9:$B$53,$B147,J$9:J$53)</f>
        <v>5299.21</v>
      </c>
      <c r="K147" s="152">
        <f>-SUMIF($B$9:$B$53,$B147,K$9:K$53)</f>
        <v>-547.88</v>
      </c>
      <c r="L147" s="205">
        <f t="shared" ref="L147:L152" si="221">+SUM(G147:K147)</f>
        <v>121998.46</v>
      </c>
      <c r="M147" s="152">
        <f>-SUMIF($B$9:$B$53,$B147,M$9:M$53)</f>
        <v>-5765.49</v>
      </c>
      <c r="N147" s="152">
        <f>-SUMIF($B$9:$B$53,$B147,N$9:N$53)</f>
        <v>-6117.39</v>
      </c>
      <c r="O147" s="205">
        <f t="shared" ref="O147:O152" si="222">+SUM(M147:N147)</f>
        <v>-11882.88</v>
      </c>
      <c r="P147" s="152">
        <f ca="true">-SUMIF($B$9:$B$53,$B147,P$9:P$53)</f>
        <v>-23.32</v>
      </c>
      <c r="Q147" s="152">
        <f ca="true">-SUMIF($B$9:$B$53,$B147,Q$9:Q$53)</f>
        <v>-23.32</v>
      </c>
      <c r="R147" s="152">
        <f ca="true">-SUMIF($B$9:$B$53,$B147,R$9:R$53)</f>
        <v>-23.32</v>
      </c>
      <c r="S147" s="152">
        <f ca="true">-SUMIF($B$9:$B$53,$B147,S$9:S$53)</f>
        <v>-23.32</v>
      </c>
      <c r="T147" s="152" t="e">
        <f ca="true">-SUMIF($B$9:$B$53,$B147,T$9:T$53)</f>
        <v>#REF!</v>
      </c>
      <c r="U147" s="152" t="e">
        <f ca="true">-SUMIF($B$9:$B$53,$B147,U$9:U$53)</f>
        <v>#REF!</v>
      </c>
      <c r="V147" s="153" t="e">
        <f t="shared" ref="V147:V152" ca="true" si="223">+SUM(P147:U147)</f>
        <v>#REF!</v>
      </c>
      <c r="W147" s="152" t="e">
        <f ca="true">-SUMIF($B$9:$B$53,$B147,W$9:W$53)</f>
        <v>#REF!</v>
      </c>
      <c r="X147" s="152" t="e">
        <f ca="true">-SUMIF($B$9:$B$53,$B147,X$9:X$53)</f>
        <v>#REF!</v>
      </c>
      <c r="Y147" s="205" t="e">
        <f t="shared" ref="Y147:Y152" ca="true" si="224">SUM(V147:X147)</f>
        <v>#REF!</v>
      </c>
      <c r="Z147" s="152" t="e">
        <f ca="true">-SUMIF($B$9:$B$53,$B147,Z$9:Z$53)</f>
        <v>#REF!</v>
      </c>
      <c r="AA147" s="152" t="e">
        <f ca="true">-SUMIF($B$9:$B$53,$B147,AA$9:AA$53)</f>
        <v>#REF!</v>
      </c>
      <c r="AB147" s="205" t="e">
        <f t="shared" ref="AB147:AB152" ca="true" si="225">+SUM(Z147:AA147)</f>
        <v>#REF!</v>
      </c>
      <c r="AC147" s="152" t="e">
        <f ca="true">-SUMIF($B$9:$B$53,$B147,AC$9:AC$53)</f>
        <v>#REF!</v>
      </c>
      <c r="AD147" s="152" t="e">
        <f ca="true">-SUMIF($B$9:$B$53,$B147,AD$9:AD$53)</f>
        <v>#REF!</v>
      </c>
      <c r="AE147" s="152" t="e">
        <f ca="true">-SUMIF($B$9:$B$53,$B147,AE$9:AE$53)</f>
        <v>#REF!</v>
      </c>
      <c r="AF147" s="152" t="e">
        <f ca="true">-SUMIF($B$9:$B$53,$B147,AF$9:AF$53)</f>
        <v>#REF!</v>
      </c>
      <c r="AG147" s="152" t="e">
        <f ca="true">-SUMIF($B$9:$B$53,$B147,AG$9:AG$53)</f>
        <v>#REF!</v>
      </c>
      <c r="AH147" s="152" t="e">
        <f ca="true">-SUMIF($B$9:$B$53,$B147,AH$9:AH$53)</f>
        <v>#REF!</v>
      </c>
      <c r="AI147" s="152" t="e">
        <f ca="true">-SUMIF($B$9:$B$53,$B147,AI$9:AI$53)</f>
        <v>#REF!</v>
      </c>
      <c r="AJ147" s="152" t="e">
        <f ca="true">-SUMIF($B$9:$B$53,$B147,AJ$9:AJ$53)</f>
        <v>#REF!</v>
      </c>
      <c r="AK147" s="152" t="e">
        <f ca="true">-SUMIF($B$9:$B$53,$B147,AK$9:AK$53)</f>
        <v>#REF!</v>
      </c>
      <c r="AL147" s="205" t="e">
        <f t="shared" ref="AL147:AL152" ca="true" si="226">SUM(AF147:AK147)</f>
        <v>#REF!</v>
      </c>
      <c r="AM147" s="152" t="e">
        <f ca="true">-SUMIF($B$9:$B$53,$B147,AM$9:AM$53)</f>
        <v>#REF!</v>
      </c>
      <c r="AN147" s="152" t="e">
        <f ca="true">-SUMIF($B$9:$B$53,$B147,AN$9:AN$53)</f>
        <v>#REF!</v>
      </c>
      <c r="AO147" s="152" t="e">
        <f ca="true">-SUMIF($B$9:$B$53,$B147,AO$9:AO$53)</f>
        <v>#REF!</v>
      </c>
      <c r="AP147" s="152" t="e">
        <f ca="true">-SUMIF($B$9:$B$53,$B147,AP$9:AP$53)</f>
        <v>#REF!</v>
      </c>
      <c r="AQ147" s="152" t="e">
        <f ca="true">-SUMIF($B$9:$B$53,$B147,AQ$9:AQ$53)</f>
        <v>#REF!</v>
      </c>
      <c r="AR147" s="152" t="e">
        <f ca="true">-SUMIF($B$9:$B$53,$B147,AR$9:AR$53)</f>
        <v>#REF!</v>
      </c>
      <c r="AS147" s="152" t="e">
        <f ca="true">-SUMIF($B$9:$B$53,$B147,AS$9:AS$53)</f>
        <v>#REF!</v>
      </c>
      <c r="AT147" s="152" t="e">
        <f ca="true">-SUMIF($B$9:$B$53,$B147,AT$9:AT$53)</f>
        <v>#REF!</v>
      </c>
      <c r="AU147" s="152" t="e">
        <f ca="true">-SUMIF($B$9:$B$53,$B147,AU$9:AU$53)</f>
        <v>#REF!</v>
      </c>
      <c r="AV147" s="152" t="e">
        <f ca="true">-SUMIF($B$9:$B$53,$B147,AV$9:AV$53)</f>
        <v>#REF!</v>
      </c>
      <c r="AW147" s="152" t="e">
        <f ca="true">-SUMIF($B$9:$B$53,$B147,AW$9:AW$53)</f>
        <v>#REF!</v>
      </c>
      <c r="AX147" s="152" t="e">
        <f ca="true">-SUMIF($B$9:$B$53,$B147,AX$9:AX$53)</f>
        <v>#REF!</v>
      </c>
      <c r="AY147" s="152" t="e">
        <f ca="true">-SUMIF($B$9:$B$53,$B147,AY$9:AY$53)</f>
        <v>#REF!</v>
      </c>
      <c r="AZ147" s="152" t="e">
        <f ca="true">-SUMIF($B$9:$B$53,$B147,AZ$9:AZ$53)</f>
        <v>#REF!</v>
      </c>
      <c r="BA147" s="152" t="e">
        <f ca="true">-SUMIF($B$9:$B$53,$B147,BA$9:BA$53)</f>
        <v>#REF!</v>
      </c>
      <c r="BB147" s="152" t="e">
        <f ca="true">-SUMIF($B$9:$B$53,$B147,BB$9:BB$53)</f>
        <v>#REF!</v>
      </c>
      <c r="BC147" s="152" t="e">
        <f ca="true">-SUMIF($B$9:$B$53,$B147,BC$9:BC$53)</f>
        <v>#REF!</v>
      </c>
      <c r="BD147" s="152" t="e">
        <f ca="true">-SUMIF($B$9:$B$53,$B147,BD$9:BD$53)</f>
        <v>#REF!</v>
      </c>
      <c r="BE147" s="152" t="e">
        <f ca="true">-SUMIF($B$9:$B$53,$B147,BE$9:BE$53)</f>
        <v>#REF!</v>
      </c>
      <c r="BF147" s="152" t="e">
        <f ca="true">-SUMIF($B$9:$B$53,$B147,BF$9:BF$53)</f>
        <v>#REF!</v>
      </c>
      <c r="BG147" s="152" t="e">
        <f ca="true">-SUMIF($B$9:$B$53,$B147,BG$9:BG$53)</f>
        <v>#REF!</v>
      </c>
      <c r="BH147" s="152" t="e">
        <f ca="true">-SUMIF($B$9:$B$53,$B147,BH$9:BH$53)</f>
        <v>#REF!</v>
      </c>
      <c r="BI147" s="152" t="e">
        <f ca="true">-SUMIF($B$9:$B$53,$B147,BI$9:BI$53)</f>
        <v>#REF!</v>
      </c>
      <c r="BJ147" s="152" t="e">
        <f ca="true">-SUMIF($B$9:$B$53,$B147,BJ$9:BJ$53)</f>
        <v>#REF!</v>
      </c>
      <c r="BK147" s="152" t="e">
        <f ca="true">-SUMIF($B$9:$B$53,$B147,BK$9:BK$53)</f>
        <v>#REF!</v>
      </c>
      <c r="BL147" s="152" t="e">
        <f ca="true">-SUMIF($B$9:$B$53,$B147,BL$9:BL$53)</f>
        <v>#REF!</v>
      </c>
      <c r="BM147" s="152" t="e">
        <f ca="true">-SUMIF($B$9:$B$53,$B147,BM$9:BM$53)</f>
        <v>#REF!</v>
      </c>
      <c r="BN147" s="152" t="e">
        <f ca="true">-SUMIF($B$9:$B$53,$B147,BN$9:BN$53)</f>
        <v>#REF!</v>
      </c>
      <c r="BO147" s="152" t="e">
        <f ca="true">-SUMIF($B$9:$B$53,$B147,BO$9:BO$53)</f>
        <v>#REF!</v>
      </c>
      <c r="BP147" s="152" t="e">
        <f ca="true">-SUMIF($B$9:$B$53,$B147,BP$9:BP$53)</f>
        <v>#REF!</v>
      </c>
      <c r="BQ147" s="152" t="e">
        <f ca="true">-SUMIF($B$9:$B$53,$B147,BQ$9:BQ$53)</f>
        <v>#REF!</v>
      </c>
      <c r="BR147" s="152" t="e">
        <f ca="true">-SUMIF($B$9:$B$53,$B147,BR$9:BR$53)</f>
        <v>#REF!</v>
      </c>
      <c r="BS147" s="152" t="e">
        <f ca="true">-SUMIF($B$9:$B$53,$B147,BS$9:BS$53)</f>
        <v>#REF!</v>
      </c>
      <c r="BT147" s="152" t="e">
        <f ca="true">-SUMIF($B$9:$B$53,$B147,BT$9:BT$53)</f>
        <v>#REF!</v>
      </c>
      <c r="BU147" s="152" t="e">
        <f ca="true">-SUMIF($B$9:$B$53,$B147,BU$9:BU$53)</f>
        <v>#REF!</v>
      </c>
      <c r="BV147" s="152" t="e">
        <f ca="true">-SUMIF($B$9:$B$53,$B147,BV$9:BV$53)</f>
        <v>#REF!</v>
      </c>
      <c r="BW147" s="152" t="e">
        <f ca="true">-SUMIF($B$9:$B$53,$B147,BW$9:BW$53)</f>
        <v>#REF!</v>
      </c>
      <c r="BX147" s="152" t="e">
        <f ca="true">-SUMIF($B$9:$B$53,$B147,BX$9:BX$53)</f>
        <v>#REF!</v>
      </c>
      <c r="BY147" s="152" t="e">
        <f ca="true">-SUMIF($B$9:$B$53,$B147,BY$9:BY$53)</f>
        <v>#REF!</v>
      </c>
      <c r="BZ147" s="152" t="e">
        <f ca="true">-SUMIF($B$9:$B$53,$B147,BZ$9:BZ$53)</f>
        <v>#REF!</v>
      </c>
      <c r="CA147" s="152" t="e">
        <f ca="true">-SUMIF($B$9:$B$53,$B147,CA$9:CA$53)</f>
        <v>#REF!</v>
      </c>
      <c r="CB147" s="152" t="e">
        <f ca="true">-SUMIF($B$9:$B$53,$B147,CB$9:CB$53)</f>
        <v>#REF!</v>
      </c>
      <c r="CC147" s="152" t="e">
        <f ca="true">-SUMIF($B$9:$B$53,$B147,CC$9:CC$53)</f>
        <v>#REF!</v>
      </c>
      <c r="CD147" s="152" t="e">
        <f ca="true">-SUMIF($B$9:$B$53,$B147,CD$9:CD$53)</f>
        <v>#REF!</v>
      </c>
      <c r="CE147" s="152" t="e">
        <f ca="true">-SUMIF($B$9:$B$53,$B147,CE$9:CE$53)</f>
        <v>#REF!</v>
      </c>
      <c r="CF147" s="152" t="e">
        <f ca="true">-SUMIF($B$9:$B$53,$B147,CF$9:CF$53)</f>
        <v>#REF!</v>
      </c>
      <c r="CG147" s="152" t="e">
        <f ca="true">-SUMIF($B$9:$B$53,$B147,CG$9:CG$53)</f>
        <v>#REF!</v>
      </c>
      <c r="CH147" s="152" t="e">
        <f ca="true">-SUMIF($B$9:$B$53,$B147,CH$9:CH$53)</f>
        <v>#REF!</v>
      </c>
      <c r="CI147" s="152" t="e">
        <f ca="true">-SUMIF($B$9:$B$53,$B147,CI$9:CI$53)</f>
        <v>#REF!</v>
      </c>
      <c r="CJ147" s="152" t="e">
        <f ca="true">-SUMIF($B$9:$B$53,$B147,CJ$9:CJ$53)</f>
        <v>#REF!</v>
      </c>
      <c r="CK147" s="152" t="e">
        <f ca="true">-SUMIF($B$9:$B$53,$B147,CK$9:CK$53)</f>
        <v>#REF!</v>
      </c>
      <c r="CL147" s="152" t="e">
        <f ca="true">-SUMIF($B$9:$B$53,$B147,CL$9:CL$53)</f>
        <v>#REF!</v>
      </c>
      <c r="CM147" s="152" t="e">
        <f ca="true">-SUMIF($B$9:$B$53,$B147,CM$9:CM$53)</f>
        <v>#REF!</v>
      </c>
      <c r="CN147" s="152" t="e">
        <f ca="true">-SUMIF($B$9:$B$53,$B147,CN$9:CN$53)</f>
        <v>#REF!</v>
      </c>
      <c r="CO147" s="152" t="e">
        <f ca="true">-SUMIF($B$9:$B$53,$B147,CO$9:CO$53)</f>
        <v>#REF!</v>
      </c>
      <c r="CP147" s="152"/>
      <c r="CQ147" s="205" t="e">
        <f t="shared" ref="CQ147:CQ152" ca="true" si="227">+SUM(AM147:CP147)</f>
        <v>#REF!</v>
      </c>
      <c r="CR147" s="205" t="e">
        <f t="shared" ref="CR147:CR152" ca="true" si="228">SUM(AL147,CQ147)</f>
        <v>#REF!</v>
      </c>
      <c r="CS147" s="205" t="e">
        <f t="shared" ref="CS147:CS152" ca="true" si="229">SUM(CY147:CY147)</f>
        <v>#REF!</v>
      </c>
      <c r="CT147" s="209" t="e">
        <f ca="true">-SUMIF($B$9:$B$53,$B147,CT$9:CT$53)</f>
        <v>#REF!</v>
      </c>
      <c r="CU147" s="152" t="e">
        <f ca="true">-SUMIF($B$9:$B$53,$B147,CU$9:CU$53)</f>
        <v>#REF!</v>
      </c>
      <c r="CV147" s="152" t="e">
        <f ca="true">-SUMIF($B$9:$B$53,$B147,CV$9:CV$53)</f>
        <v>#REF!</v>
      </c>
      <c r="CW147" s="212" t="e">
        <f ca="true">-SUMIF($B$9:$B$53,$B147,CW$9:CW$53)</f>
        <v>#REF!</v>
      </c>
      <c r="CX147" s="212">
        <f ca="true">-SUMIF($B$9:$B$53,$B147,CX$9:CX$53)</f>
        <v>0</v>
      </c>
      <c r="CY147" s="212" t="e">
        <f ca="true">-SUMIF($B$9:$B$53,$B147,CY$9:CY$53)</f>
        <v>#REF!</v>
      </c>
      <c r="CZ147" s="205">
        <f>-SUMIF($B$9:$B$53,$B147,CZ$9:CZ$53)</f>
        <v>0</v>
      </c>
      <c r="DA147" s="205">
        <f>-SUMIF($B$9:$B$53,$B147,DA$9:DA$53)</f>
        <v>0</v>
      </c>
      <c r="DB147" s="193"/>
    </row>
    <row r="148" spans="1:106">
      <c r="A148" s="154">
        <f t="shared" si="218"/>
        <v>60</v>
      </c>
      <c r="B148" s="161" t="s">
        <v>13868</v>
      </c>
      <c r="D148" s="154" t="s">
        <v>13975</v>
      </c>
      <c r="E148" s="198">
        <f t="shared" ca="true" si="219"/>
        <v>278729.27</v>
      </c>
      <c r="F148" s="153">
        <f t="shared" ca="true" si="220"/>
        <v>278729.27</v>
      </c>
      <c r="G148" s="228">
        <f>-SUMIF($B$9:$B$53,$B148,G$9:G$53)</f>
        <v>333378.64</v>
      </c>
      <c r="H148" s="152">
        <f>-SUMIF($B$9:$B$53,$B148,H$9:H$53)</f>
        <v>-50268.28</v>
      </c>
      <c r="I148" s="152">
        <f>-SUMIF($B$9:$B$53,$B148,I$9:I$53)</f>
        <v>-264947.53</v>
      </c>
      <c r="J148" s="152">
        <f>-SUMIF($B$9:$B$53,$B148,J$9:J$53)</f>
        <v>-59458.47</v>
      </c>
      <c r="K148" s="152">
        <f>-SUMIF($B$9:$B$53,$B148,K$9:K$53)</f>
        <v>1132</v>
      </c>
      <c r="L148" s="205">
        <f t="shared" si="221"/>
        <v>-40163.64</v>
      </c>
      <c r="M148" s="152">
        <f>-SUMIF($B$9:$B$53,$B148,M$9:M$53)</f>
        <v>220356.94</v>
      </c>
      <c r="N148" s="152">
        <f>-SUMIF($B$9:$B$53,$B148,N$9:N$53)</f>
        <v>-120014.86</v>
      </c>
      <c r="O148" s="205">
        <f t="shared" si="222"/>
        <v>100342.08</v>
      </c>
      <c r="P148" s="152">
        <f ca="true">-SUMIF($B$9:$B$53,$B148,P$9:P$53)</f>
        <v>-4318.54</v>
      </c>
      <c r="Q148" s="152">
        <f ca="true">-SUMIF($B$9:$B$53,$B148,Q$9:Q$53)</f>
        <v>-2059.28</v>
      </c>
      <c r="R148" s="152">
        <f ca="true">-SUMIF($B$9:$B$53,$B148,R$9:R$53)</f>
        <v>-1090.17</v>
      </c>
      <c r="S148" s="152">
        <f ca="true">-SUMIF($B$9:$B$53,$B148,S$9:S$53)</f>
        <v>-740.71</v>
      </c>
      <c r="T148" s="152">
        <f ca="true">-SUMIF($B$9:$B$53,$B148,T$9:T$53)</f>
        <v>-586.54</v>
      </c>
      <c r="U148" s="152">
        <f ca="true">-SUMIF($B$9:$B$53,$B148,U$9:U$53)</f>
        <v>0</v>
      </c>
      <c r="V148" s="153">
        <f t="shared" ca="true" si="223"/>
        <v>-8795.24</v>
      </c>
      <c r="W148" s="152">
        <f ca="true">-SUMIF($B$9:$B$53,$B148,W$9:W$53)</f>
        <v>-1168.71</v>
      </c>
      <c r="X148" s="228">
        <f ca="true">-SUMIF($B$9:$B$53,$B148,X$9:X$53)</f>
        <v>0</v>
      </c>
      <c r="Y148" s="205">
        <f t="shared" ca="true" si="224"/>
        <v>-9963.95</v>
      </c>
      <c r="Z148" s="152">
        <f ca="true">-SUMIF($B$9:$B$53,$B148,Z$9:Z$53)</f>
        <v>-74959.82</v>
      </c>
      <c r="AA148" s="152">
        <f ca="true">-SUMIF($B$9:$B$53,$B148,AA$9:AA$53)</f>
        <v>-19900.16</v>
      </c>
      <c r="AB148" s="205">
        <f t="shared" ca="true" si="225"/>
        <v>-94859.98</v>
      </c>
      <c r="AC148" s="152">
        <f ca="true">-SUMIF($B$9:$B$53,$B148,AC$9:AC$53)</f>
        <v>0</v>
      </c>
      <c r="AD148" s="152">
        <f ca="true">-SUMIF($B$9:$B$53,$B148,AD$9:AD$53)</f>
        <v>0</v>
      </c>
      <c r="AE148" s="152">
        <f ca="true">-SUMIF($B$9:$B$53,$B148,AE$9:AE$53)</f>
        <v>87340.17</v>
      </c>
      <c r="AF148" s="152">
        <f ca="true">-SUMIF($B$9:$B$53,$B148,AF$9:AF$53)</f>
        <v>673.34</v>
      </c>
      <c r="AG148" s="152">
        <f ca="true">-SUMIF($B$9:$B$53,$B148,AG$9:AG$53)</f>
        <v>191.33</v>
      </c>
      <c r="AH148" s="152">
        <f ca="true">-SUMIF($B$9:$B$53,$B148,AH$9:AH$53)</f>
        <v>4445.79</v>
      </c>
      <c r="AI148" s="152">
        <f ca="true">-SUMIF($B$9:$B$53,$B148,AI$9:AI$53)</f>
        <v>2146.52</v>
      </c>
      <c r="AJ148" s="152">
        <f ca="true">-SUMIF($B$9:$B$53,$B148,AJ$9:AJ$53)</f>
        <v>5471.16</v>
      </c>
      <c r="AK148" s="152">
        <f ca="true">-SUMIF($B$9:$B$53,$B148,AK$9:AK$53)</f>
        <v>-100981.17</v>
      </c>
      <c r="AL148" s="205">
        <f t="shared" ca="true" si="226"/>
        <v>-88053.0299999999</v>
      </c>
      <c r="AM148" s="152">
        <f ca="true">-SUMIF($B$9:$B$53,$B148,AM$9:AM$53)</f>
        <v>0</v>
      </c>
      <c r="AN148" s="152">
        <f ca="true">-SUMIF($B$9:$B$53,$B148,AN$9:AN$53)</f>
        <v>1649.18</v>
      </c>
      <c r="AO148" s="152">
        <f ca="true">-SUMIF($B$9:$B$53,$B148,AO$9:AO$53)</f>
        <v>-929.18</v>
      </c>
      <c r="AP148" s="152">
        <f ca="true">-SUMIF($B$9:$B$53,$B148,AP$9:AP$53)</f>
        <v>0</v>
      </c>
      <c r="AQ148" s="152">
        <f ca="true">-SUMIF($B$9:$B$53,$B148,AQ$9:AQ$53)</f>
        <v>-2426.66</v>
      </c>
      <c r="AR148" s="152">
        <f ca="true">-SUMIF($B$9:$B$53,$B148,AR$9:AR$53)-AR136</f>
        <v>0</v>
      </c>
      <c r="AS148" s="152">
        <f ca="true">-SUMIF($B$9:$B$53,$B148,AS$9:AS$53)-AS136</f>
        <v>3920.78</v>
      </c>
      <c r="AT148" s="152">
        <f ca="true">-SUMIF($B$9:$B$53,$B148,AT$9:AT$53)-AT136</f>
        <v>1908.34</v>
      </c>
      <c r="AU148" s="152">
        <f ca="true">-SUMIF($B$9:$B$53,$B148,AU$9:AU$53)</f>
        <v>-285.42</v>
      </c>
      <c r="AV148" s="152">
        <f ca="true">-SUMIF($B$9:$B$53,$B148,AV$9:AV$53)</f>
        <v>5546.1</v>
      </c>
      <c r="AW148" s="152">
        <f ca="true">-SUMIF($B$9:$B$53,$B148,AW$9:AW$53)</f>
        <v>0</v>
      </c>
      <c r="AX148" s="152">
        <f ca="true">-SUMIF($B$9:$B$53,$B148,AX$9:AX$53)</f>
        <v>0</v>
      </c>
      <c r="AY148" s="152">
        <f ca="true">-SUMIF($B$9:$B$53,$B148,AY$9:AY$53)</f>
        <v>0</v>
      </c>
      <c r="AZ148" s="152">
        <f ca="true">-SUMIF($B$9:$B$53,$B148,AZ$9:AZ$53)</f>
        <v>3448.57</v>
      </c>
      <c r="BA148" s="152">
        <f ca="true">-SUMIF($B$9:$B$53,$B148,BA$9:BA$53)</f>
        <v>2474.37</v>
      </c>
      <c r="BB148" s="152">
        <f ca="true">-SUMIF($B$9:$B$53,$B148,BB$9:BB$53)</f>
        <v>0</v>
      </c>
      <c r="BC148" s="152">
        <f ca="true">-SUMIF($B$9:$B$53,$B148,BC$9:BC$53)</f>
        <v>7726.72</v>
      </c>
      <c r="BD148" s="152">
        <f ca="true">-SUMIF($B$9:$B$53,$B148,BD$9:BD$53)</f>
        <v>1730.93</v>
      </c>
      <c r="BE148" s="152">
        <f ca="true">-SUMIF($B$9:$B$53,$B148,BE$9:BE$53)</f>
        <v>2199.49</v>
      </c>
      <c r="BF148" s="152">
        <f ca="true">-SUMIF($B$9:$B$53,$B148,BF$9:BF$53)</f>
        <v>2170.02</v>
      </c>
      <c r="BG148" s="152">
        <f ca="true">-SUMIF($B$9:$B$53,$B148,BG$9:BG$53)</f>
        <v>2662.47</v>
      </c>
      <c r="BH148" s="152">
        <f ca="true">-SUMIF($B$9:$B$53,$B148,BH$9:BH$53)</f>
        <v>0</v>
      </c>
      <c r="BI148" s="152">
        <f ca="true">-SUMIF($B$9:$B$53,$B148,BI$9:BI$53)</f>
        <v>1986.24</v>
      </c>
      <c r="BJ148" s="152">
        <f ca="true">-SUMIF($B$9:$B$53,$B148,BJ$9:BJ$53)</f>
        <v>0</v>
      </c>
      <c r="BK148" s="152">
        <f ca="true">-SUMIF($B$9:$B$53,$B148,BK$9:BK$53)</f>
        <v>823.96</v>
      </c>
      <c r="BL148" s="152">
        <f ca="true">-SUMIF($B$9:$B$53,$B148,BL$9:BL$53)</f>
        <v>835.66</v>
      </c>
      <c r="BM148" s="152">
        <f ca="true">-SUMIF($B$9:$B$53,$B148,BM$9:BM$53)</f>
        <v>684.66</v>
      </c>
      <c r="BN148" s="152">
        <f ca="true">-SUMIF($B$9:$B$53,$B148,BN$9:BN$53)</f>
        <v>858.39</v>
      </c>
      <c r="BO148" s="152">
        <f ca="true">-SUMIF($B$9:$B$53,$B148,BO$9:BO$53)</f>
        <v>0</v>
      </c>
      <c r="BP148" s="152">
        <f ca="true">-SUMIF($B$9:$B$53,$B148,BP$9:BP$53)</f>
        <v>4951.21</v>
      </c>
      <c r="BQ148" s="152">
        <f ca="true">-SUMIF($B$9:$B$53,$B148,BQ$9:BQ$53)</f>
        <v>4381.33</v>
      </c>
      <c r="BR148" s="152">
        <f ca="true">-SUMIF($B$9:$B$53,$B148,BR$9:BR$53)</f>
        <v>163483.68</v>
      </c>
      <c r="BS148" s="152">
        <f ca="true">-SUMIF($B$9:$B$53,$B148,BS$9:BS$53)</f>
        <v>-362.76</v>
      </c>
      <c r="BT148" s="152">
        <f ca="true">-SUMIF($B$9:$B$53,$B148,BT$9:BT$53)</f>
        <v>0</v>
      </c>
      <c r="BU148" s="152">
        <f ca="true">-SUMIF($B$9:$B$53,$B148,BU$9:BU$53)</f>
        <v>0</v>
      </c>
      <c r="BV148" s="152">
        <f ca="true">-SUMIF($B$9:$B$53,$B148,BV$9:BV$53)</f>
        <v>0</v>
      </c>
      <c r="BW148" s="152">
        <f ca="true">-SUMIF($B$9:$B$53,$B148,BW$9:BW$53)</f>
        <v>-51617.3</v>
      </c>
      <c r="BX148" s="152">
        <f ca="true">-SUMIF($B$9:$B$53,$B148,BX$9:BX$53)</f>
        <v>7081.81</v>
      </c>
      <c r="BY148" s="152">
        <f ca="true">-SUMIF($B$9:$B$53,$B148,BY$9:BY$53)</f>
        <v>0</v>
      </c>
      <c r="BZ148" s="152">
        <f ca="true">-SUMIF($B$9:$B$53,$B148,BZ$9:BZ$53)</f>
        <v>69909.7</v>
      </c>
      <c r="CA148" s="152">
        <f ca="true">-SUMIF($B$9:$B$53,$B148,CA$9:CA$53)</f>
        <v>1037.82</v>
      </c>
      <c r="CB148" s="152">
        <f ca="true">-SUMIF($B$9:$B$53,$B148,CB$9:CB$53)</f>
        <v>5097.19</v>
      </c>
      <c r="CC148" s="152">
        <f ca="true">-SUMIF($B$9:$B$53,$B148,CC$9:CC$53)</f>
        <v>5032.4</v>
      </c>
      <c r="CD148" s="152">
        <f ca="true">-SUMIF($B$9:$B$53,$B148,CD$9:CD$53)</f>
        <v>3709.43</v>
      </c>
      <c r="CE148" s="152">
        <f ca="true">-SUMIF($B$9:$B$53,$B148,CE$9:CE$53)</f>
        <v>15207.34</v>
      </c>
      <c r="CF148" s="152">
        <f ca="true">-SUMIF($B$9:$B$53,$B148,CF$9:CF$53)</f>
        <v>0</v>
      </c>
      <c r="CG148" s="152">
        <f ca="true">-SUMIF($B$9:$B$53,$B148,CG$9:CG$53)</f>
        <v>32.4</v>
      </c>
      <c r="CH148" s="152">
        <f ca="true">-SUMIF($B$9:$B$53,$B148,CH$9:CH$53)</f>
        <v>10105.67</v>
      </c>
      <c r="CI148" s="152">
        <f ca="true">-SUMIF($B$9:$B$53,$B148,CI$9:CI$53)</f>
        <v>139.31</v>
      </c>
      <c r="CJ148" s="152">
        <f ca="true">-SUMIF($B$9:$B$53,$B148,CJ$9:CJ$53)</f>
        <v>4170.69</v>
      </c>
      <c r="CK148" s="152">
        <f ca="true">-SUMIF($B$9:$B$53,$B148,CK$9:CK$53)</f>
        <v>32.4</v>
      </c>
      <c r="CL148" s="152">
        <f ca="true">-SUMIF($B$9:$B$53,$B148,CL$9:CL$53)</f>
        <v>100.43</v>
      </c>
      <c r="CM148" s="152">
        <f ca="true">-SUMIF($B$9:$B$53,$B148,CM$9:CM$53)</f>
        <v>14165.94</v>
      </c>
      <c r="CN148" s="152">
        <f ca="true">-SUMIF($B$9:$B$53,$B148,CN$9:CN$53)</f>
        <v>22313.07</v>
      </c>
      <c r="CO148" s="152">
        <f ca="true">-SUMIF($B$9:$B$53,$B148,CO$9:CO$53)</f>
        <v>8131.24</v>
      </c>
      <c r="CP148" s="152"/>
      <c r="CQ148" s="205">
        <f t="shared" ca="true" si="227"/>
        <v>324087.62</v>
      </c>
      <c r="CR148" s="205">
        <f t="shared" ca="true" si="228"/>
        <v>236034.59</v>
      </c>
      <c r="CS148" s="205">
        <f t="shared" ca="true" si="229"/>
        <v>0</v>
      </c>
      <c r="CT148" s="209">
        <f ca="true">-SUMIF($B$9:$B$53,$B148,CT$9:CT$53)</f>
        <v>0</v>
      </c>
      <c r="CU148" s="152">
        <f ca="true">-SUMIF($B$9:$B$53,$B148,CU$9:CU$53)</f>
        <v>0</v>
      </c>
      <c r="CV148" s="152">
        <f ca="true">-SUMIF($B$9:$B$53,$B148,CV$9:CV$53)</f>
        <v>0</v>
      </c>
      <c r="CW148" s="212">
        <f ca="true">-SUMIF($B$9:$B$53,$B148,CW$9:CW$53)</f>
        <v>0</v>
      </c>
      <c r="CX148" s="152">
        <f ca="true">-SUMIF($B$9:$B$53,$B148,CX$9:CX$53)</f>
        <v>0</v>
      </c>
      <c r="CY148" s="212">
        <f ca="true">CT148+CW148+CX148</f>
        <v>0</v>
      </c>
      <c r="CZ148" s="205">
        <f>-SUMIF($B$9:$B$53,$B148,CZ$9:CZ$53)</f>
        <v>0</v>
      </c>
      <c r="DA148" s="205">
        <f>-SUMIF($B$9:$B$53,$B148,DA$9:DA$53)</f>
        <v>0</v>
      </c>
      <c r="DB148" s="193"/>
    </row>
    <row r="149" spans="1:106">
      <c r="A149" s="154">
        <f t="shared" si="218"/>
        <v>61</v>
      </c>
      <c r="B149" s="161"/>
      <c r="D149" s="154" t="s">
        <v>13976</v>
      </c>
      <c r="E149" s="198" t="e">
        <f t="shared" ca="true" si="219"/>
        <v>#REF!</v>
      </c>
      <c r="F149" s="153" t="e">
        <f t="shared" ca="true" si="220"/>
        <v>#REF!</v>
      </c>
      <c r="G149" s="152" t="e">
        <f ca="true">G56</f>
        <v>#REF!</v>
      </c>
      <c r="H149" s="152" t="e">
        <f ca="true">H56</f>
        <v>#REF!</v>
      </c>
      <c r="I149" s="152" t="e">
        <f ca="true">I56</f>
        <v>#REF!</v>
      </c>
      <c r="J149" s="152" t="e">
        <f ca="true">J56</f>
        <v>#REF!</v>
      </c>
      <c r="K149" s="152" t="e">
        <f ca="true">K56</f>
        <v>#REF!</v>
      </c>
      <c r="L149" s="205" t="e">
        <f t="shared" ca="true" si="221"/>
        <v>#REF!</v>
      </c>
      <c r="M149" s="152" t="e">
        <f ca="true">M56</f>
        <v>#REF!</v>
      </c>
      <c r="N149" s="152" t="e">
        <f ca="true">N56</f>
        <v>#REF!</v>
      </c>
      <c r="O149" s="205" t="e">
        <f t="shared" ca="true" si="222"/>
        <v>#REF!</v>
      </c>
      <c r="P149" s="152" t="e">
        <f t="shared" ref="P149:U149" ca="true" si="230">P56</f>
        <v>#REF!</v>
      </c>
      <c r="Q149" s="152" t="e">
        <f t="shared" ca="true" si="230"/>
        <v>#REF!</v>
      </c>
      <c r="R149" s="152" t="e">
        <f t="shared" ca="true" si="230"/>
        <v>#REF!</v>
      </c>
      <c r="S149" s="152" t="e">
        <f t="shared" ca="true" si="230"/>
        <v>#REF!</v>
      </c>
      <c r="T149" s="152" t="e">
        <f t="shared" ca="true" si="230"/>
        <v>#REF!</v>
      </c>
      <c r="U149" s="152" t="e">
        <f t="shared" ca="true" si="230"/>
        <v>#REF!</v>
      </c>
      <c r="V149" s="153" t="e">
        <f t="shared" ca="true" si="223"/>
        <v>#REF!</v>
      </c>
      <c r="W149" s="152" t="e">
        <f ca="true">W56</f>
        <v>#REF!</v>
      </c>
      <c r="X149" s="152" t="e">
        <f ca="true">X56</f>
        <v>#REF!</v>
      </c>
      <c r="Y149" s="205" t="e">
        <f t="shared" ca="true" si="224"/>
        <v>#REF!</v>
      </c>
      <c r="Z149" s="152" t="e">
        <f ca="true">Z56</f>
        <v>#REF!</v>
      </c>
      <c r="AA149" s="152" t="e">
        <f ca="true">AA56</f>
        <v>#REF!</v>
      </c>
      <c r="AB149" s="205" t="e">
        <f t="shared" ca="true" si="225"/>
        <v>#REF!</v>
      </c>
      <c r="AC149" s="152" t="e">
        <f t="shared" ref="AC149:AK149" ca="true" si="231">AC56</f>
        <v>#REF!</v>
      </c>
      <c r="AD149" s="152" t="e">
        <f t="shared" ca="true" si="231"/>
        <v>#REF!</v>
      </c>
      <c r="AE149" s="152" t="e">
        <f t="shared" ca="true" si="231"/>
        <v>#REF!</v>
      </c>
      <c r="AF149" s="152" t="e">
        <f t="shared" ca="true" si="231"/>
        <v>#REF!</v>
      </c>
      <c r="AG149" s="152" t="e">
        <f t="shared" ca="true" si="231"/>
        <v>#REF!</v>
      </c>
      <c r="AH149" s="152" t="e">
        <f t="shared" ca="true" si="231"/>
        <v>#REF!</v>
      </c>
      <c r="AI149" s="152" t="e">
        <f t="shared" ca="true" si="231"/>
        <v>#REF!</v>
      </c>
      <c r="AJ149" s="152" t="e">
        <f t="shared" ca="true" si="231"/>
        <v>#REF!</v>
      </c>
      <c r="AK149" s="152" t="e">
        <f t="shared" ca="true" si="231"/>
        <v>#REF!</v>
      </c>
      <c r="AL149" s="205" t="e">
        <f t="shared" ca="true" si="226"/>
        <v>#REF!</v>
      </c>
      <c r="AM149" s="152" t="e">
        <f t="shared" ref="AM149:CO149" ca="true" si="232">AM56</f>
        <v>#REF!</v>
      </c>
      <c r="AN149" s="152" t="e">
        <f t="shared" ca="true" si="232"/>
        <v>#REF!</v>
      </c>
      <c r="AO149" s="152" t="e">
        <f t="shared" ca="true" si="232"/>
        <v>#REF!</v>
      </c>
      <c r="AP149" s="152" t="e">
        <f t="shared" ca="true" si="232"/>
        <v>#REF!</v>
      </c>
      <c r="AQ149" s="152" t="e">
        <f t="shared" ca="true" si="232"/>
        <v>#REF!</v>
      </c>
      <c r="AR149" s="152" t="e">
        <f t="shared" ca="true" si="232"/>
        <v>#REF!</v>
      </c>
      <c r="AS149" s="152" t="e">
        <f t="shared" ca="true" si="232"/>
        <v>#REF!</v>
      </c>
      <c r="AT149" s="152" t="e">
        <f t="shared" ca="true" si="232"/>
        <v>#REF!</v>
      </c>
      <c r="AU149" s="152" t="e">
        <f t="shared" ca="true" si="232"/>
        <v>#REF!</v>
      </c>
      <c r="AV149" s="152" t="e">
        <f t="shared" ca="true" si="232"/>
        <v>#REF!</v>
      </c>
      <c r="AW149" s="152" t="e">
        <f t="shared" ca="true" si="232"/>
        <v>#REF!</v>
      </c>
      <c r="AX149" s="152" t="e">
        <f t="shared" ca="true" si="232"/>
        <v>#REF!</v>
      </c>
      <c r="AY149" s="152" t="e">
        <f t="shared" ca="true" si="232"/>
        <v>#REF!</v>
      </c>
      <c r="AZ149" s="152" t="e">
        <f t="shared" ca="true" si="232"/>
        <v>#REF!</v>
      </c>
      <c r="BA149" s="152" t="e">
        <f t="shared" ca="true" si="232"/>
        <v>#REF!</v>
      </c>
      <c r="BB149" s="152" t="e">
        <f t="shared" ca="true" si="232"/>
        <v>#REF!</v>
      </c>
      <c r="BC149" s="152" t="e">
        <f t="shared" ca="true" si="232"/>
        <v>#REF!</v>
      </c>
      <c r="BD149" s="152" t="e">
        <f t="shared" ca="true" si="232"/>
        <v>#REF!</v>
      </c>
      <c r="BE149" s="152" t="e">
        <f t="shared" ca="true" si="232"/>
        <v>#REF!</v>
      </c>
      <c r="BF149" s="152" t="e">
        <f t="shared" ca="true" si="232"/>
        <v>#REF!</v>
      </c>
      <c r="BG149" s="152" t="e">
        <f t="shared" ca="true" si="232"/>
        <v>#REF!</v>
      </c>
      <c r="BH149" s="152" t="e">
        <f t="shared" ca="true" si="232"/>
        <v>#REF!</v>
      </c>
      <c r="BI149" s="152" t="e">
        <f t="shared" ca="true" si="232"/>
        <v>#REF!</v>
      </c>
      <c r="BJ149" s="152" t="e">
        <f t="shared" ca="true" si="232"/>
        <v>#REF!</v>
      </c>
      <c r="BK149" s="152" t="e">
        <f t="shared" ca="true" si="232"/>
        <v>#REF!</v>
      </c>
      <c r="BL149" s="152" t="e">
        <f t="shared" ca="true" si="232"/>
        <v>#REF!</v>
      </c>
      <c r="BM149" s="152" t="e">
        <f t="shared" ca="true" si="232"/>
        <v>#REF!</v>
      </c>
      <c r="BN149" s="152" t="e">
        <f t="shared" ca="true" si="232"/>
        <v>#REF!</v>
      </c>
      <c r="BO149" s="152" t="e">
        <f t="shared" ca="true" si="232"/>
        <v>#REF!</v>
      </c>
      <c r="BP149" s="152" t="e">
        <f t="shared" ca="true" si="232"/>
        <v>#REF!</v>
      </c>
      <c r="BQ149" s="152" t="e">
        <f t="shared" ca="true" si="232"/>
        <v>#REF!</v>
      </c>
      <c r="BR149" s="152" t="e">
        <f t="shared" ca="true" si="232"/>
        <v>#REF!</v>
      </c>
      <c r="BS149" s="152" t="e">
        <f t="shared" ca="true" si="232"/>
        <v>#REF!</v>
      </c>
      <c r="BT149" s="152" t="e">
        <f t="shared" ca="true" si="232"/>
        <v>#REF!</v>
      </c>
      <c r="BU149" s="152" t="e">
        <f t="shared" ca="true" si="232"/>
        <v>#REF!</v>
      </c>
      <c r="BV149" s="152" t="e">
        <f t="shared" ca="true" si="232"/>
        <v>#REF!</v>
      </c>
      <c r="BW149" s="152" t="e">
        <f t="shared" ca="true" si="232"/>
        <v>#REF!</v>
      </c>
      <c r="BX149" s="152" t="e">
        <f t="shared" ca="true" si="232"/>
        <v>#REF!</v>
      </c>
      <c r="BY149" s="152" t="e">
        <f t="shared" ca="true" si="232"/>
        <v>#REF!</v>
      </c>
      <c r="BZ149" s="152" t="e">
        <f t="shared" ca="true" si="232"/>
        <v>#REF!</v>
      </c>
      <c r="CA149" s="152" t="e">
        <f t="shared" ca="true" si="232"/>
        <v>#REF!</v>
      </c>
      <c r="CB149" s="152" t="e">
        <f t="shared" ca="true" si="232"/>
        <v>#REF!</v>
      </c>
      <c r="CC149" s="152" t="e">
        <f t="shared" ca="true" si="232"/>
        <v>#REF!</v>
      </c>
      <c r="CD149" s="152" t="e">
        <f t="shared" ca="true" si="232"/>
        <v>#REF!</v>
      </c>
      <c r="CE149" s="152" t="e">
        <f t="shared" ca="true" si="232"/>
        <v>#REF!</v>
      </c>
      <c r="CF149" s="152" t="e">
        <f t="shared" ca="true" si="232"/>
        <v>#REF!</v>
      </c>
      <c r="CG149" s="152" t="e">
        <f t="shared" ca="true" si="232"/>
        <v>#REF!</v>
      </c>
      <c r="CH149" s="152" t="e">
        <f t="shared" ca="true" si="232"/>
        <v>#REF!</v>
      </c>
      <c r="CI149" s="152" t="e">
        <f t="shared" ca="true" si="232"/>
        <v>#REF!</v>
      </c>
      <c r="CJ149" s="152" t="e">
        <f t="shared" ca="true" si="232"/>
        <v>#REF!</v>
      </c>
      <c r="CK149" s="152" t="e">
        <f t="shared" ca="true" si="232"/>
        <v>#REF!</v>
      </c>
      <c r="CL149" s="152" t="e">
        <f t="shared" ca="true" si="232"/>
        <v>#REF!</v>
      </c>
      <c r="CM149" s="152" t="e">
        <f t="shared" ca="true" si="232"/>
        <v>#REF!</v>
      </c>
      <c r="CN149" s="152" t="e">
        <f t="shared" ca="true" si="232"/>
        <v>#REF!</v>
      </c>
      <c r="CO149" s="152" t="e">
        <f t="shared" ca="true" si="232"/>
        <v>#REF!</v>
      </c>
      <c r="CP149" s="152"/>
      <c r="CQ149" s="205" t="e">
        <f t="shared" ca="true" si="227"/>
        <v>#REF!</v>
      </c>
      <c r="CR149" s="205" t="e">
        <f t="shared" ca="true" si="228"/>
        <v>#REF!</v>
      </c>
      <c r="CS149" s="205" t="e">
        <f t="shared" ca="true" si="229"/>
        <v>#REF!</v>
      </c>
      <c r="CT149" s="209" t="e">
        <f t="shared" ref="CT149:DA149" ca="true" si="233">CT56</f>
        <v>#REF!</v>
      </c>
      <c r="CU149" s="152" t="e">
        <f t="shared" ca="true" si="233"/>
        <v>#REF!</v>
      </c>
      <c r="CV149" s="152" t="e">
        <f t="shared" ca="true" si="233"/>
        <v>#REF!</v>
      </c>
      <c r="CW149" s="212" t="e">
        <f t="shared" ca="true" si="233"/>
        <v>#REF!</v>
      </c>
      <c r="CX149" s="212">
        <f t="shared" ca="true" si="233"/>
        <v>0</v>
      </c>
      <c r="CY149" s="212" t="e">
        <f t="shared" ca="true" si="233"/>
        <v>#REF!</v>
      </c>
      <c r="CZ149" s="205" t="e">
        <f t="shared" ca="true" si="233"/>
        <v>#REF!</v>
      </c>
      <c r="DA149" s="205" t="e">
        <f t="shared" ca="true" si="233"/>
        <v>#REF!</v>
      </c>
      <c r="DB149" s="193"/>
    </row>
    <row r="150" spans="1:106">
      <c r="A150" s="154">
        <f t="shared" si="218"/>
        <v>62</v>
      </c>
      <c r="B150" s="161"/>
      <c r="D150" s="154" t="s">
        <v>13903</v>
      </c>
      <c r="E150" s="198" t="e">
        <f t="shared" ca="true" si="219"/>
        <v>#REF!</v>
      </c>
      <c r="F150" s="153" t="e">
        <f t="shared" ca="true" si="220"/>
        <v>#REF!</v>
      </c>
      <c r="G150" s="152">
        <f ca="true">G57</f>
        <v>-102443.39</v>
      </c>
      <c r="H150" s="152">
        <f ca="true">H57</f>
        <v>0</v>
      </c>
      <c r="I150" s="152">
        <f ca="true">I57</f>
        <v>0</v>
      </c>
      <c r="J150" s="152">
        <f ca="true">J57</f>
        <v>0</v>
      </c>
      <c r="K150" s="152">
        <f ca="true">K57</f>
        <v>-50.33</v>
      </c>
      <c r="L150" s="205">
        <f t="shared" ca="true" si="221"/>
        <v>-102493.72</v>
      </c>
      <c r="M150" s="152">
        <f ca="true">M57</f>
        <v>-3392.44</v>
      </c>
      <c r="N150" s="152">
        <f ca="true">N57</f>
        <v>-3306.58</v>
      </c>
      <c r="O150" s="205">
        <f t="shared" ca="true" si="222"/>
        <v>-6699.02</v>
      </c>
      <c r="P150" s="152" t="e">
        <f t="shared" ref="P150:U150" ca="true" si="234">P57</f>
        <v>#REF!</v>
      </c>
      <c r="Q150" s="152" t="e">
        <f t="shared" ca="true" si="234"/>
        <v>#REF!</v>
      </c>
      <c r="R150" s="152" t="e">
        <f t="shared" ca="true" si="234"/>
        <v>#REF!</v>
      </c>
      <c r="S150" s="152" t="e">
        <f t="shared" ca="true" si="234"/>
        <v>#REF!</v>
      </c>
      <c r="T150" s="152">
        <f t="shared" ca="true" si="234"/>
        <v>0</v>
      </c>
      <c r="U150" s="152">
        <f t="shared" ca="true" si="234"/>
        <v>0</v>
      </c>
      <c r="V150" s="153" t="e">
        <f t="shared" ca="true" si="223"/>
        <v>#REF!</v>
      </c>
      <c r="W150" s="152">
        <f ca="true">W57</f>
        <v>0</v>
      </c>
      <c r="X150" s="152">
        <f ca="true">X57</f>
        <v>0</v>
      </c>
      <c r="Y150" s="205" t="e">
        <f t="shared" ca="true" si="224"/>
        <v>#REF!</v>
      </c>
      <c r="Z150" s="152">
        <f ca="true">Z57</f>
        <v>0</v>
      </c>
      <c r="AA150" s="152">
        <f ca="true">AA57</f>
        <v>0</v>
      </c>
      <c r="AB150" s="205">
        <f t="shared" ca="true" si="225"/>
        <v>0</v>
      </c>
      <c r="AC150" s="152">
        <f t="shared" ref="AC150:AK150" ca="true" si="235">AC57</f>
        <v>0</v>
      </c>
      <c r="AD150" s="152">
        <f t="shared" ca="true" si="235"/>
        <v>0</v>
      </c>
      <c r="AE150" s="152">
        <f t="shared" ca="true" si="235"/>
        <v>0</v>
      </c>
      <c r="AF150" s="152">
        <f t="shared" ca="true" si="235"/>
        <v>0</v>
      </c>
      <c r="AG150" s="152">
        <f t="shared" ca="true" si="235"/>
        <v>0</v>
      </c>
      <c r="AH150" s="152">
        <f t="shared" ca="true" si="235"/>
        <v>0</v>
      </c>
      <c r="AI150" s="152">
        <f t="shared" ca="true" si="235"/>
        <v>0</v>
      </c>
      <c r="AJ150" s="152">
        <f t="shared" ca="true" si="235"/>
        <v>0</v>
      </c>
      <c r="AK150" s="152">
        <f t="shared" ca="true" si="235"/>
        <v>0</v>
      </c>
      <c r="AL150" s="205">
        <f t="shared" ca="true" si="226"/>
        <v>0</v>
      </c>
      <c r="AM150" s="152">
        <f t="shared" ref="AM150:CO150" ca="true" si="236">AM57</f>
        <v>0</v>
      </c>
      <c r="AN150" s="152">
        <f t="shared" ca="true" si="236"/>
        <v>0</v>
      </c>
      <c r="AO150" s="152">
        <f t="shared" ca="true" si="236"/>
        <v>0</v>
      </c>
      <c r="AP150" s="152">
        <f t="shared" ca="true" si="236"/>
        <v>0</v>
      </c>
      <c r="AQ150" s="152">
        <f t="shared" ca="true" si="236"/>
        <v>0</v>
      </c>
      <c r="AR150" s="152">
        <f t="shared" ca="true" si="236"/>
        <v>0</v>
      </c>
      <c r="AS150" s="152">
        <f t="shared" ca="true" si="236"/>
        <v>0</v>
      </c>
      <c r="AT150" s="152">
        <f t="shared" ca="true" si="236"/>
        <v>0</v>
      </c>
      <c r="AU150" s="152">
        <f t="shared" ca="true" si="236"/>
        <v>0</v>
      </c>
      <c r="AV150" s="152">
        <f t="shared" ca="true" si="236"/>
        <v>0</v>
      </c>
      <c r="AW150" s="152">
        <f t="shared" ca="true" si="236"/>
        <v>0</v>
      </c>
      <c r="AX150" s="152">
        <f t="shared" ca="true" si="236"/>
        <v>0</v>
      </c>
      <c r="AY150" s="152">
        <f t="shared" ca="true" si="236"/>
        <v>0</v>
      </c>
      <c r="AZ150" s="152">
        <f t="shared" ca="true" si="236"/>
        <v>0</v>
      </c>
      <c r="BA150" s="152">
        <f t="shared" ca="true" si="236"/>
        <v>0</v>
      </c>
      <c r="BB150" s="152">
        <f t="shared" ca="true" si="236"/>
        <v>0</v>
      </c>
      <c r="BC150" s="152">
        <f t="shared" ca="true" si="236"/>
        <v>0</v>
      </c>
      <c r="BD150" s="152">
        <f t="shared" ca="true" si="236"/>
        <v>0</v>
      </c>
      <c r="BE150" s="152">
        <f t="shared" ca="true" si="236"/>
        <v>0</v>
      </c>
      <c r="BF150" s="152">
        <f t="shared" ca="true" si="236"/>
        <v>0</v>
      </c>
      <c r="BG150" s="152">
        <f t="shared" ca="true" si="236"/>
        <v>0</v>
      </c>
      <c r="BH150" s="152">
        <f t="shared" ca="true" si="236"/>
        <v>0</v>
      </c>
      <c r="BI150" s="152">
        <f t="shared" ca="true" si="236"/>
        <v>0</v>
      </c>
      <c r="BJ150" s="152">
        <f t="shared" ca="true" si="236"/>
        <v>0</v>
      </c>
      <c r="BK150" s="152">
        <f t="shared" ca="true" si="236"/>
        <v>0</v>
      </c>
      <c r="BL150" s="152">
        <f t="shared" ca="true" si="236"/>
        <v>0</v>
      </c>
      <c r="BM150" s="152">
        <f t="shared" ca="true" si="236"/>
        <v>0</v>
      </c>
      <c r="BN150" s="152">
        <f t="shared" ca="true" si="236"/>
        <v>0</v>
      </c>
      <c r="BO150" s="152">
        <f t="shared" ca="true" si="236"/>
        <v>0</v>
      </c>
      <c r="BP150" s="152">
        <f t="shared" ca="true" si="236"/>
        <v>0</v>
      </c>
      <c r="BQ150" s="152">
        <f t="shared" ca="true" si="236"/>
        <v>0</v>
      </c>
      <c r="BR150" s="152">
        <f t="shared" ca="true" si="236"/>
        <v>0</v>
      </c>
      <c r="BS150" s="152">
        <f t="shared" ca="true" si="236"/>
        <v>0</v>
      </c>
      <c r="BT150" s="152">
        <f t="shared" ca="true" si="236"/>
        <v>0</v>
      </c>
      <c r="BU150" s="152">
        <f t="shared" ca="true" si="236"/>
        <v>0</v>
      </c>
      <c r="BV150" s="152">
        <f t="shared" ca="true" si="236"/>
        <v>0</v>
      </c>
      <c r="BW150" s="152">
        <f t="shared" ca="true" si="236"/>
        <v>0</v>
      </c>
      <c r="BX150" s="152">
        <f t="shared" ca="true" si="236"/>
        <v>0</v>
      </c>
      <c r="BY150" s="152">
        <f t="shared" ca="true" si="236"/>
        <v>0</v>
      </c>
      <c r="BZ150" s="152">
        <f t="shared" ca="true" si="236"/>
        <v>0</v>
      </c>
      <c r="CA150" s="152">
        <f t="shared" ca="true" si="236"/>
        <v>0</v>
      </c>
      <c r="CB150" s="152">
        <f t="shared" ca="true" si="236"/>
        <v>0</v>
      </c>
      <c r="CC150" s="152">
        <f t="shared" ca="true" si="236"/>
        <v>0</v>
      </c>
      <c r="CD150" s="152">
        <f t="shared" ca="true" si="236"/>
        <v>0</v>
      </c>
      <c r="CE150" s="152">
        <f t="shared" ca="true" si="236"/>
        <v>0</v>
      </c>
      <c r="CF150" s="152">
        <f t="shared" ca="true" si="236"/>
        <v>0</v>
      </c>
      <c r="CG150" s="152">
        <f t="shared" ca="true" si="236"/>
        <v>0</v>
      </c>
      <c r="CH150" s="152">
        <f t="shared" ca="true" si="236"/>
        <v>0</v>
      </c>
      <c r="CI150" s="152">
        <f t="shared" ca="true" si="236"/>
        <v>0</v>
      </c>
      <c r="CJ150" s="152">
        <f t="shared" ca="true" si="236"/>
        <v>0</v>
      </c>
      <c r="CK150" s="152">
        <f t="shared" ca="true" si="236"/>
        <v>0</v>
      </c>
      <c r="CL150" s="152">
        <f t="shared" ca="true" si="236"/>
        <v>0</v>
      </c>
      <c r="CM150" s="152">
        <f t="shared" ca="true" si="236"/>
        <v>0</v>
      </c>
      <c r="CN150" s="152">
        <f t="shared" ca="true" si="236"/>
        <v>0</v>
      </c>
      <c r="CO150" s="152">
        <f t="shared" ca="true" si="236"/>
        <v>0</v>
      </c>
      <c r="CP150" s="152"/>
      <c r="CQ150" s="205">
        <f t="shared" ca="true" si="227"/>
        <v>0</v>
      </c>
      <c r="CR150" s="205">
        <f t="shared" ca="true" si="228"/>
        <v>0</v>
      </c>
      <c r="CS150" s="205">
        <f t="shared" ca="true" si="229"/>
        <v>0</v>
      </c>
      <c r="CT150" s="209">
        <f t="shared" ref="CT150:DA150" ca="true" si="237">CT57</f>
        <v>0</v>
      </c>
      <c r="CU150" s="152">
        <f t="shared" ca="true" si="237"/>
        <v>0</v>
      </c>
      <c r="CV150" s="152">
        <f t="shared" ca="true" si="237"/>
        <v>0</v>
      </c>
      <c r="CW150" s="212">
        <f t="shared" ca="true" si="237"/>
        <v>0</v>
      </c>
      <c r="CX150" s="212">
        <f t="shared" ca="true" si="237"/>
        <v>0</v>
      </c>
      <c r="CY150" s="212">
        <f t="shared" ca="true" si="237"/>
        <v>0</v>
      </c>
      <c r="CZ150" s="205">
        <f t="shared" ca="true" si="237"/>
        <v>0</v>
      </c>
      <c r="DA150" s="205">
        <f t="shared" ca="true" si="237"/>
        <v>2991165.62</v>
      </c>
      <c r="DB150" s="193"/>
    </row>
    <row r="151" spans="1:106">
      <c r="A151" s="154">
        <f t="shared" si="218"/>
        <v>63</v>
      </c>
      <c r="B151" s="161"/>
      <c r="D151" s="154" t="s">
        <v>13977</v>
      </c>
      <c r="E151" s="198" t="e">
        <f t="shared" ca="true" si="219"/>
        <v>#REF!</v>
      </c>
      <c r="F151" s="153" t="e">
        <f t="shared" ca="true" si="220"/>
        <v>#REF!</v>
      </c>
      <c r="G151" s="152" t="e">
        <f ca="true">G58</f>
        <v>#REF!</v>
      </c>
      <c r="H151" s="152" t="e">
        <f ca="true">H58</f>
        <v>#REF!</v>
      </c>
      <c r="I151" s="152" t="e">
        <f ca="true">I58</f>
        <v>#REF!</v>
      </c>
      <c r="J151" s="152" t="e">
        <f ca="true">J58</f>
        <v>#REF!</v>
      </c>
      <c r="K151" s="152" t="e">
        <f ca="true">K58</f>
        <v>#REF!</v>
      </c>
      <c r="L151" s="205" t="e">
        <f t="shared" ca="true" si="221"/>
        <v>#REF!</v>
      </c>
      <c r="M151" s="152" t="e">
        <f ca="true">M58</f>
        <v>#REF!</v>
      </c>
      <c r="N151" s="152" t="e">
        <f ca="true">N58</f>
        <v>#REF!</v>
      </c>
      <c r="O151" s="205" t="e">
        <f t="shared" ca="true" si="222"/>
        <v>#REF!</v>
      </c>
      <c r="P151" s="152" t="e">
        <f t="shared" ref="P151:U151" ca="true" si="238">P58</f>
        <v>#REF!</v>
      </c>
      <c r="Q151" s="152" t="e">
        <f t="shared" ca="true" si="238"/>
        <v>#REF!</v>
      </c>
      <c r="R151" s="152" t="e">
        <f t="shared" ca="true" si="238"/>
        <v>#REF!</v>
      </c>
      <c r="S151" s="152" t="e">
        <f t="shared" ca="true" si="238"/>
        <v>#REF!</v>
      </c>
      <c r="T151" s="152" t="e">
        <f t="shared" ca="true" si="238"/>
        <v>#REF!</v>
      </c>
      <c r="U151" s="152" t="e">
        <f t="shared" ca="true" si="238"/>
        <v>#REF!</v>
      </c>
      <c r="V151" s="153" t="e">
        <f t="shared" ca="true" si="223"/>
        <v>#REF!</v>
      </c>
      <c r="W151" s="152" t="e">
        <f ca="true">W58</f>
        <v>#REF!</v>
      </c>
      <c r="X151" s="152" t="e">
        <f ca="true">X58</f>
        <v>#REF!</v>
      </c>
      <c r="Y151" s="205" t="e">
        <f t="shared" ca="true" si="224"/>
        <v>#REF!</v>
      </c>
      <c r="Z151" s="152" t="e">
        <f ca="true">Z58</f>
        <v>#REF!</v>
      </c>
      <c r="AA151" s="152" t="e">
        <f ca="true">AA58</f>
        <v>#REF!</v>
      </c>
      <c r="AB151" s="205" t="e">
        <f t="shared" ca="true" si="225"/>
        <v>#REF!</v>
      </c>
      <c r="AC151" s="152" t="e">
        <f t="shared" ref="AC151:AK151" ca="true" si="239">AC58</f>
        <v>#REF!</v>
      </c>
      <c r="AD151" s="152" t="e">
        <f t="shared" ca="true" si="239"/>
        <v>#REF!</v>
      </c>
      <c r="AE151" s="152" t="e">
        <f t="shared" ca="true" si="239"/>
        <v>#REF!</v>
      </c>
      <c r="AF151" s="152" t="e">
        <f t="shared" ca="true" si="239"/>
        <v>#REF!</v>
      </c>
      <c r="AG151" s="152" t="e">
        <f t="shared" ca="true" si="239"/>
        <v>#REF!</v>
      </c>
      <c r="AH151" s="152" t="e">
        <f t="shared" ca="true" si="239"/>
        <v>#REF!</v>
      </c>
      <c r="AI151" s="152" t="e">
        <f t="shared" ca="true" si="239"/>
        <v>#REF!</v>
      </c>
      <c r="AJ151" s="152" t="e">
        <f t="shared" ca="true" si="239"/>
        <v>#REF!</v>
      </c>
      <c r="AK151" s="152" t="e">
        <f t="shared" ca="true" si="239"/>
        <v>#REF!</v>
      </c>
      <c r="AL151" s="205" t="e">
        <f t="shared" ca="true" si="226"/>
        <v>#REF!</v>
      </c>
      <c r="AM151" s="152" t="e">
        <f t="shared" ref="AM151:CO151" ca="true" si="240">AM58</f>
        <v>#REF!</v>
      </c>
      <c r="AN151" s="152" t="e">
        <f t="shared" ca="true" si="240"/>
        <v>#REF!</v>
      </c>
      <c r="AO151" s="152" t="e">
        <f t="shared" ca="true" si="240"/>
        <v>#REF!</v>
      </c>
      <c r="AP151" s="152" t="e">
        <f t="shared" ca="true" si="240"/>
        <v>#REF!</v>
      </c>
      <c r="AQ151" s="152" t="e">
        <f t="shared" ca="true" si="240"/>
        <v>#REF!</v>
      </c>
      <c r="AR151" s="152" t="e">
        <f t="shared" ca="true" si="240"/>
        <v>#REF!</v>
      </c>
      <c r="AS151" s="152" t="e">
        <f t="shared" ca="true" si="240"/>
        <v>#REF!</v>
      </c>
      <c r="AT151" s="152" t="e">
        <f t="shared" ca="true" si="240"/>
        <v>#REF!</v>
      </c>
      <c r="AU151" s="152" t="e">
        <f t="shared" ca="true" si="240"/>
        <v>#REF!</v>
      </c>
      <c r="AV151" s="152" t="e">
        <f t="shared" ca="true" si="240"/>
        <v>#REF!</v>
      </c>
      <c r="AW151" s="152" t="e">
        <f t="shared" ca="true" si="240"/>
        <v>#REF!</v>
      </c>
      <c r="AX151" s="152" t="e">
        <f t="shared" ca="true" si="240"/>
        <v>#REF!</v>
      </c>
      <c r="AY151" s="152" t="e">
        <f t="shared" ca="true" si="240"/>
        <v>#REF!</v>
      </c>
      <c r="AZ151" s="152" t="e">
        <f t="shared" ca="true" si="240"/>
        <v>#REF!</v>
      </c>
      <c r="BA151" s="152" t="e">
        <f t="shared" ca="true" si="240"/>
        <v>#REF!</v>
      </c>
      <c r="BB151" s="152" t="e">
        <f t="shared" ca="true" si="240"/>
        <v>#REF!</v>
      </c>
      <c r="BC151" s="152" t="e">
        <f t="shared" ca="true" si="240"/>
        <v>#REF!</v>
      </c>
      <c r="BD151" s="152" t="e">
        <f t="shared" ca="true" si="240"/>
        <v>#REF!</v>
      </c>
      <c r="BE151" s="152" t="e">
        <f t="shared" ca="true" si="240"/>
        <v>#REF!</v>
      </c>
      <c r="BF151" s="152" t="e">
        <f t="shared" ca="true" si="240"/>
        <v>#REF!</v>
      </c>
      <c r="BG151" s="152" t="e">
        <f t="shared" ca="true" si="240"/>
        <v>#REF!</v>
      </c>
      <c r="BH151" s="152" t="e">
        <f t="shared" ca="true" si="240"/>
        <v>#REF!</v>
      </c>
      <c r="BI151" s="152" t="e">
        <f t="shared" ca="true" si="240"/>
        <v>#REF!</v>
      </c>
      <c r="BJ151" s="152" t="e">
        <f t="shared" ca="true" si="240"/>
        <v>#REF!</v>
      </c>
      <c r="BK151" s="152" t="e">
        <f t="shared" ca="true" si="240"/>
        <v>#REF!</v>
      </c>
      <c r="BL151" s="152" t="e">
        <f t="shared" ca="true" si="240"/>
        <v>#REF!</v>
      </c>
      <c r="BM151" s="152" t="e">
        <f t="shared" ca="true" si="240"/>
        <v>#REF!</v>
      </c>
      <c r="BN151" s="152" t="e">
        <f t="shared" ca="true" si="240"/>
        <v>#REF!</v>
      </c>
      <c r="BO151" s="152" t="e">
        <f t="shared" ca="true" si="240"/>
        <v>#REF!</v>
      </c>
      <c r="BP151" s="152" t="e">
        <f t="shared" ca="true" si="240"/>
        <v>#REF!</v>
      </c>
      <c r="BQ151" s="152" t="e">
        <f t="shared" ca="true" si="240"/>
        <v>#REF!</v>
      </c>
      <c r="BR151" s="152" t="e">
        <f t="shared" ca="true" si="240"/>
        <v>#REF!</v>
      </c>
      <c r="BS151" s="152" t="e">
        <f t="shared" ca="true" si="240"/>
        <v>#REF!</v>
      </c>
      <c r="BT151" s="152" t="e">
        <f t="shared" ca="true" si="240"/>
        <v>#REF!</v>
      </c>
      <c r="BU151" s="152" t="e">
        <f t="shared" ca="true" si="240"/>
        <v>#REF!</v>
      </c>
      <c r="BV151" s="152" t="e">
        <f t="shared" ca="true" si="240"/>
        <v>#REF!</v>
      </c>
      <c r="BW151" s="152" t="e">
        <f t="shared" ca="true" si="240"/>
        <v>#REF!</v>
      </c>
      <c r="BX151" s="152" t="e">
        <f t="shared" ca="true" si="240"/>
        <v>#REF!</v>
      </c>
      <c r="BY151" s="152" t="e">
        <f t="shared" ca="true" si="240"/>
        <v>#REF!</v>
      </c>
      <c r="BZ151" s="152" t="e">
        <f t="shared" ca="true" si="240"/>
        <v>#REF!</v>
      </c>
      <c r="CA151" s="152" t="e">
        <f t="shared" ca="true" si="240"/>
        <v>#REF!</v>
      </c>
      <c r="CB151" s="152" t="e">
        <f t="shared" ca="true" si="240"/>
        <v>#REF!</v>
      </c>
      <c r="CC151" s="152" t="e">
        <f t="shared" ca="true" si="240"/>
        <v>#REF!</v>
      </c>
      <c r="CD151" s="152" t="e">
        <f t="shared" ca="true" si="240"/>
        <v>#REF!</v>
      </c>
      <c r="CE151" s="152" t="e">
        <f t="shared" ca="true" si="240"/>
        <v>#REF!</v>
      </c>
      <c r="CF151" s="152" t="e">
        <f t="shared" ca="true" si="240"/>
        <v>#REF!</v>
      </c>
      <c r="CG151" s="152" t="e">
        <f t="shared" ca="true" si="240"/>
        <v>#REF!</v>
      </c>
      <c r="CH151" s="152" t="e">
        <f t="shared" ca="true" si="240"/>
        <v>#REF!</v>
      </c>
      <c r="CI151" s="152" t="e">
        <f t="shared" ca="true" si="240"/>
        <v>#REF!</v>
      </c>
      <c r="CJ151" s="152" t="e">
        <f t="shared" ca="true" si="240"/>
        <v>#REF!</v>
      </c>
      <c r="CK151" s="152" t="e">
        <f t="shared" ca="true" si="240"/>
        <v>#REF!</v>
      </c>
      <c r="CL151" s="152" t="e">
        <f t="shared" ca="true" si="240"/>
        <v>#REF!</v>
      </c>
      <c r="CM151" s="152" t="e">
        <f t="shared" ca="true" si="240"/>
        <v>#REF!</v>
      </c>
      <c r="CN151" s="152" t="e">
        <f t="shared" ca="true" si="240"/>
        <v>#REF!</v>
      </c>
      <c r="CO151" s="152" t="e">
        <f t="shared" ca="true" si="240"/>
        <v>#REF!</v>
      </c>
      <c r="CP151" s="152"/>
      <c r="CQ151" s="205" t="e">
        <f t="shared" ca="true" si="227"/>
        <v>#REF!</v>
      </c>
      <c r="CR151" s="205" t="e">
        <f t="shared" ca="true" si="228"/>
        <v>#REF!</v>
      </c>
      <c r="CS151" s="205" t="e">
        <f t="shared" ca="true" si="229"/>
        <v>#REF!</v>
      </c>
      <c r="CT151" s="209" t="e">
        <f t="shared" ref="CT151:DA151" ca="true" si="241">CT58</f>
        <v>#REF!</v>
      </c>
      <c r="CU151" s="152" t="e">
        <f t="shared" ca="true" si="241"/>
        <v>#REF!</v>
      </c>
      <c r="CV151" s="152" t="e">
        <f t="shared" ca="true" si="241"/>
        <v>#REF!</v>
      </c>
      <c r="CW151" s="212" t="e">
        <f t="shared" ca="true" si="241"/>
        <v>#REF!</v>
      </c>
      <c r="CX151" s="212">
        <f t="shared" ca="true" si="241"/>
        <v>0</v>
      </c>
      <c r="CY151" s="212" t="e">
        <f t="shared" ca="true" si="241"/>
        <v>#REF!</v>
      </c>
      <c r="CZ151" s="205" t="e">
        <f t="shared" ca="true" si="241"/>
        <v>#REF!</v>
      </c>
      <c r="DA151" s="205" t="e">
        <f t="shared" ca="true" si="241"/>
        <v>#REF!</v>
      </c>
      <c r="DB151" s="193"/>
    </row>
    <row r="152" spans="1:106">
      <c r="A152" s="154">
        <f t="shared" si="218"/>
        <v>64</v>
      </c>
      <c r="B152" s="161"/>
      <c r="D152" s="154" t="s">
        <v>13906</v>
      </c>
      <c r="E152" s="198">
        <f t="shared" ca="true" si="219"/>
        <v>5226560.77</v>
      </c>
      <c r="F152" s="153">
        <f t="shared" ca="true" si="220"/>
        <v>4709518.58</v>
      </c>
      <c r="G152" s="152">
        <f ca="true">G59</f>
        <v>496003.02</v>
      </c>
      <c r="H152" s="152">
        <f ca="true">H59</f>
        <v>29442.85</v>
      </c>
      <c r="I152" s="152">
        <f ca="true">I59</f>
        <v>13902.15</v>
      </c>
      <c r="J152" s="152">
        <f ca="true">J59</f>
        <v>0</v>
      </c>
      <c r="K152" s="152">
        <f ca="true">K59</f>
        <v>2017.35</v>
      </c>
      <c r="L152" s="205">
        <f t="shared" ca="true" si="221"/>
        <v>541365.37</v>
      </c>
      <c r="M152" s="152">
        <f ca="true">M59</f>
        <v>104095.41</v>
      </c>
      <c r="N152" s="152">
        <f ca="true">N59</f>
        <v>92855.26</v>
      </c>
      <c r="O152" s="205">
        <f t="shared" ca="true" si="222"/>
        <v>196950.67</v>
      </c>
      <c r="P152" s="152">
        <f t="shared" ref="P152:U152" ca="true" si="242">P59</f>
        <v>74.75</v>
      </c>
      <c r="Q152" s="152">
        <f t="shared" ca="true" si="242"/>
        <v>3709.33</v>
      </c>
      <c r="R152" s="152">
        <f t="shared" ca="true" si="242"/>
        <v>1998.86</v>
      </c>
      <c r="S152" s="152">
        <f t="shared" ca="true" si="242"/>
        <v>1382.08</v>
      </c>
      <c r="T152" s="152">
        <f t="shared" ca="true" si="242"/>
        <v>1035.21</v>
      </c>
      <c r="U152" s="152">
        <f t="shared" ca="true" si="242"/>
        <v>0</v>
      </c>
      <c r="V152" s="153">
        <f t="shared" ca="true" si="223"/>
        <v>8200.23</v>
      </c>
      <c r="W152" s="152">
        <f ca="true">W59</f>
        <v>2062.72</v>
      </c>
      <c r="X152" s="152">
        <f ca="true">X59</f>
        <v>510.42</v>
      </c>
      <c r="Y152" s="205">
        <f t="shared" ca="true" si="224"/>
        <v>10773.37</v>
      </c>
      <c r="Z152" s="152">
        <f ca="true">Z59</f>
        <v>28369.57</v>
      </c>
      <c r="AA152" s="152">
        <f ca="true">AA59</f>
        <v>154.24</v>
      </c>
      <c r="AB152" s="205">
        <f t="shared" ca="true" si="225"/>
        <v>28523.81</v>
      </c>
      <c r="AC152" s="152">
        <f t="shared" ref="AC152:AK152" ca="true" si="243">AC59</f>
        <v>52957.57</v>
      </c>
      <c r="AD152" s="152">
        <f t="shared" ca="true" si="243"/>
        <v>28531.25</v>
      </c>
      <c r="AE152" s="152">
        <f t="shared" ca="true" si="243"/>
        <v>132734.02</v>
      </c>
      <c r="AF152" s="152">
        <f t="shared" ca="true" si="243"/>
        <v>28221.63</v>
      </c>
      <c r="AG152" s="152">
        <f t="shared" ca="true" si="243"/>
        <v>44790.77</v>
      </c>
      <c r="AH152" s="152">
        <f t="shared" ca="true" si="243"/>
        <v>20869.94</v>
      </c>
      <c r="AI152" s="152">
        <f t="shared" ca="true" si="243"/>
        <v>5112.48</v>
      </c>
      <c r="AJ152" s="152">
        <f t="shared" ca="true" si="243"/>
        <v>16789.42</v>
      </c>
      <c r="AK152" s="152">
        <f t="shared" ca="true" si="243"/>
        <v>222509.69</v>
      </c>
      <c r="AL152" s="205">
        <f t="shared" ca="true" si="226"/>
        <v>338293.93</v>
      </c>
      <c r="AM152" s="152">
        <f t="shared" ref="AM152:CO152" ca="true" si="244">AM59</f>
        <v>25357.47</v>
      </c>
      <c r="AN152" s="152">
        <f t="shared" ca="true" si="244"/>
        <v>138499.18</v>
      </c>
      <c r="AO152" s="152">
        <f t="shared" ca="true" si="244"/>
        <v>44467.84</v>
      </c>
      <c r="AP152" s="152">
        <f t="shared" ca="true" si="244"/>
        <v>0</v>
      </c>
      <c r="AQ152" s="152">
        <f t="shared" ca="true" si="244"/>
        <v>53506.09</v>
      </c>
      <c r="AR152" s="152">
        <f t="shared" ca="true" si="244"/>
        <v>0</v>
      </c>
      <c r="AS152" s="152">
        <f t="shared" ca="true" si="244"/>
        <v>56636.19</v>
      </c>
      <c r="AT152" s="152">
        <f t="shared" ca="true" si="244"/>
        <v>32618.34</v>
      </c>
      <c r="AU152" s="152">
        <f t="shared" ca="true" si="244"/>
        <v>1227.5</v>
      </c>
      <c r="AV152" s="152">
        <f t="shared" ca="true" si="244"/>
        <v>12976.84</v>
      </c>
      <c r="AW152" s="152">
        <f t="shared" ca="true" si="244"/>
        <v>0</v>
      </c>
      <c r="AX152" s="152">
        <f t="shared" ca="true" si="244"/>
        <v>0</v>
      </c>
      <c r="AY152" s="152">
        <f t="shared" ca="true" si="244"/>
        <v>0</v>
      </c>
      <c r="AZ152" s="152">
        <f t="shared" ca="true" si="244"/>
        <v>27713.16</v>
      </c>
      <c r="BA152" s="152">
        <f t="shared" ca="true" si="244"/>
        <v>14450.88</v>
      </c>
      <c r="BB152" s="152">
        <f t="shared" ca="true" si="244"/>
        <v>0</v>
      </c>
      <c r="BC152" s="152">
        <f t="shared" ca="true" si="244"/>
        <v>38924.18</v>
      </c>
      <c r="BD152" s="152">
        <f t="shared" ca="true" si="244"/>
        <v>6455.83</v>
      </c>
      <c r="BE152" s="152">
        <f t="shared" ca="true" si="244"/>
        <v>18397.17</v>
      </c>
      <c r="BF152" s="152">
        <f t="shared" ca="true" si="244"/>
        <v>1101.36</v>
      </c>
      <c r="BG152" s="152">
        <f t="shared" ca="true" si="244"/>
        <v>9093.27</v>
      </c>
      <c r="BH152" s="152">
        <f t="shared" ca="true" si="244"/>
        <v>0</v>
      </c>
      <c r="BI152" s="152">
        <f t="shared" ca="true" si="244"/>
        <v>8755.57</v>
      </c>
      <c r="BJ152" s="152">
        <f t="shared" ca="true" si="244"/>
        <v>0</v>
      </c>
      <c r="BK152" s="152">
        <f t="shared" ca="true" si="244"/>
        <v>4562.79</v>
      </c>
      <c r="BL152" s="152">
        <f t="shared" ca="true" si="244"/>
        <v>24004.55</v>
      </c>
      <c r="BM152" s="152">
        <f t="shared" ca="true" si="244"/>
        <v>1958.73</v>
      </c>
      <c r="BN152" s="152">
        <f t="shared" ca="true" si="244"/>
        <v>255</v>
      </c>
      <c r="BO152" s="152">
        <f t="shared" ca="true" si="244"/>
        <v>0</v>
      </c>
      <c r="BP152" s="152">
        <f t="shared" ca="true" si="244"/>
        <v>10369.87</v>
      </c>
      <c r="BQ152" s="152">
        <f t="shared" ca="true" si="244"/>
        <v>13348.13</v>
      </c>
      <c r="BR152" s="152">
        <f t="shared" ca="true" si="244"/>
        <v>486227.13</v>
      </c>
      <c r="BS152" s="152">
        <f t="shared" ca="true" si="244"/>
        <v>0</v>
      </c>
      <c r="BT152" s="152">
        <f t="shared" ca="true" si="244"/>
        <v>0</v>
      </c>
      <c r="BU152" s="152">
        <f t="shared" ca="true" si="244"/>
        <v>0</v>
      </c>
      <c r="BV152" s="152">
        <f t="shared" ca="true" si="244"/>
        <v>0</v>
      </c>
      <c r="BW152" s="152">
        <f t="shared" ca="true" si="244"/>
        <v>149363.46</v>
      </c>
      <c r="BX152" s="152">
        <f t="shared" ca="true" si="244"/>
        <v>389738.6</v>
      </c>
      <c r="BY152" s="152">
        <f t="shared" ca="true" si="244"/>
        <v>0</v>
      </c>
      <c r="BZ152" s="152">
        <f t="shared" ca="true" si="244"/>
        <v>907751.84</v>
      </c>
      <c r="CA152" s="152">
        <f t="shared" ca="true" si="244"/>
        <v>9289.13</v>
      </c>
      <c r="CB152" s="152">
        <f t="shared" ca="true" si="244"/>
        <v>7904.51</v>
      </c>
      <c r="CC152" s="152">
        <f t="shared" ca="true" si="244"/>
        <v>16582.01</v>
      </c>
      <c r="CD152" s="152">
        <f t="shared" ca="true" si="244"/>
        <v>70919.39</v>
      </c>
      <c r="CE152" s="152">
        <f t="shared" ca="true" si="244"/>
        <v>71933.9</v>
      </c>
      <c r="CF152" s="152">
        <f t="shared" ca="true" si="244"/>
        <v>0</v>
      </c>
      <c r="CG152" s="152">
        <f t="shared" ca="true" si="244"/>
        <v>8402.44</v>
      </c>
      <c r="CH152" s="152">
        <f t="shared" ca="true" si="244"/>
        <v>7686.2</v>
      </c>
      <c r="CI152" s="152">
        <f t="shared" ca="true" si="244"/>
        <v>22800.72</v>
      </c>
      <c r="CJ152" s="152">
        <f t="shared" ca="true" si="244"/>
        <v>40054.25</v>
      </c>
      <c r="CK152" s="152">
        <f t="shared" ca="true" si="244"/>
        <v>10984.23</v>
      </c>
      <c r="CL152" s="152">
        <f t="shared" ca="true" si="244"/>
        <v>28388.03</v>
      </c>
      <c r="CM152" s="152">
        <f t="shared" ca="true" si="244"/>
        <v>133118.63</v>
      </c>
      <c r="CN152" s="152">
        <f t="shared" ca="true" si="244"/>
        <v>378275.11</v>
      </c>
      <c r="CO152" s="152">
        <f t="shared" ca="true" si="244"/>
        <v>95289.07</v>
      </c>
      <c r="CP152" s="152"/>
      <c r="CQ152" s="205">
        <f t="shared" ca="true" si="227"/>
        <v>3379388.59</v>
      </c>
      <c r="CR152" s="205">
        <f t="shared" ca="true" si="228"/>
        <v>3717682.52</v>
      </c>
      <c r="CS152" s="205">
        <f t="shared" ca="true" si="229"/>
        <v>306857.19</v>
      </c>
      <c r="CT152" s="209">
        <f t="shared" ref="CT152:DA152" ca="true" si="245">CT59</f>
        <v>0</v>
      </c>
      <c r="CU152" s="152">
        <f t="shared" ca="true" si="245"/>
        <v>176028.25</v>
      </c>
      <c r="CV152" s="152">
        <f t="shared" ca="true" si="245"/>
        <v>36060.13</v>
      </c>
      <c r="CW152" s="212">
        <f t="shared" ca="true" si="245"/>
        <v>94768.81</v>
      </c>
      <c r="CX152" s="212">
        <f t="shared" ca="true" si="245"/>
        <v>0</v>
      </c>
      <c r="CY152" s="212">
        <f t="shared" ca="true" si="245"/>
        <v>306857.19</v>
      </c>
      <c r="CZ152" s="205">
        <f t="shared" ca="true" si="245"/>
        <v>0</v>
      </c>
      <c r="DA152" s="205">
        <f t="shared" ca="true" si="245"/>
        <v>210185</v>
      </c>
      <c r="DB152" s="193"/>
    </row>
    <row r="153" spans="2:106">
      <c r="B153" s="161"/>
      <c r="E153" s="198"/>
      <c r="F153" s="153"/>
      <c r="G153" s="152"/>
      <c r="H153" s="152"/>
      <c r="I153" s="152"/>
      <c r="J153" s="152"/>
      <c r="K153" s="152"/>
      <c r="L153" s="205"/>
      <c r="M153" s="152"/>
      <c r="N153" s="152"/>
      <c r="O153" s="205"/>
      <c r="P153" s="152"/>
      <c r="Q153" s="152"/>
      <c r="R153" s="152"/>
      <c r="S153" s="152"/>
      <c r="T153" s="152"/>
      <c r="U153" s="152"/>
      <c r="V153" s="153"/>
      <c r="W153" s="152"/>
      <c r="X153" s="152"/>
      <c r="Y153" s="205"/>
      <c r="Z153" s="152"/>
      <c r="AA153" s="152"/>
      <c r="AB153" s="205"/>
      <c r="AC153" s="152"/>
      <c r="AD153" s="152"/>
      <c r="AE153" s="152"/>
      <c r="AF153" s="152"/>
      <c r="AG153" s="152"/>
      <c r="AH153" s="152"/>
      <c r="AI153" s="152"/>
      <c r="AJ153" s="152"/>
      <c r="AK153" s="152"/>
      <c r="AL153" s="205"/>
      <c r="AM153" s="152"/>
      <c r="AN153" s="152"/>
      <c r="AO153" s="152"/>
      <c r="AP153" s="152"/>
      <c r="AQ153" s="152"/>
      <c r="AR153" s="152"/>
      <c r="AS153" s="152"/>
      <c r="AT153" s="152"/>
      <c r="AU153" s="152"/>
      <c r="AV153" s="152"/>
      <c r="AW153" s="152"/>
      <c r="AX153" s="152"/>
      <c r="AY153" s="152"/>
      <c r="AZ153" s="152"/>
      <c r="BA153" s="152"/>
      <c r="BB153" s="152"/>
      <c r="BC153" s="152"/>
      <c r="BD153" s="152"/>
      <c r="BE153" s="152"/>
      <c r="BF153" s="152"/>
      <c r="BG153" s="152"/>
      <c r="BH153" s="152"/>
      <c r="BI153" s="152"/>
      <c r="BJ153" s="152"/>
      <c r="BK153" s="152"/>
      <c r="BL153" s="152"/>
      <c r="BM153" s="152"/>
      <c r="BN153" s="152"/>
      <c r="BO153" s="152"/>
      <c r="BP153" s="152"/>
      <c r="BQ153" s="152"/>
      <c r="BR153" s="152"/>
      <c r="BS153" s="152"/>
      <c r="BT153" s="152"/>
      <c r="BU153" s="152"/>
      <c r="BV153" s="152"/>
      <c r="BW153" s="152"/>
      <c r="BX153" s="152"/>
      <c r="BY153" s="152"/>
      <c r="BZ153" s="152"/>
      <c r="CA153" s="152"/>
      <c r="CB153" s="152"/>
      <c r="CC153" s="152"/>
      <c r="CD153" s="152"/>
      <c r="CE153" s="152"/>
      <c r="CF153" s="152"/>
      <c r="CG153" s="152"/>
      <c r="CH153" s="152"/>
      <c r="CI153" s="152"/>
      <c r="CJ153" s="152"/>
      <c r="CK153" s="152"/>
      <c r="CL153" s="152"/>
      <c r="CM153" s="152"/>
      <c r="CN153" s="152"/>
      <c r="CO153" s="152"/>
      <c r="CP153" s="152"/>
      <c r="CQ153" s="205"/>
      <c r="CR153" s="205"/>
      <c r="CS153" s="205"/>
      <c r="CT153" s="209"/>
      <c r="CU153" s="152"/>
      <c r="CV153" s="152"/>
      <c r="CW153" s="212"/>
      <c r="CX153" s="212"/>
      <c r="CY153" s="212"/>
      <c r="CZ153" s="205"/>
      <c r="DA153" s="205"/>
      <c r="DB153" s="193"/>
    </row>
    <row r="154" spans="1:106">
      <c r="A154" s="154">
        <f>MAX(A148:A153)+1</f>
        <v>65</v>
      </c>
      <c r="B154" s="161"/>
      <c r="D154" s="154" t="s">
        <v>13978</v>
      </c>
      <c r="E154" s="198" t="e">
        <f t="shared" ref="E154:BP154" ca="true" si="246">SUM(E133:E152)</f>
        <v>#REF!</v>
      </c>
      <c r="F154" s="153" t="e">
        <f t="shared" ca="true" si="246"/>
        <v>#REF!</v>
      </c>
      <c r="G154" s="152" t="e">
        <f t="shared" ca="true" si="246"/>
        <v>#REF!</v>
      </c>
      <c r="H154" s="152" t="e">
        <f t="shared" ca="true" si="246"/>
        <v>#REF!</v>
      </c>
      <c r="I154" s="152" t="e">
        <f t="shared" ca="true" si="246"/>
        <v>#REF!</v>
      </c>
      <c r="J154" s="152" t="e">
        <f t="shared" ca="true" si="246"/>
        <v>#REF!</v>
      </c>
      <c r="K154" s="152" t="e">
        <f t="shared" ca="true" si="246"/>
        <v>#REF!</v>
      </c>
      <c r="L154" s="205" t="e">
        <f t="shared" ca="true" si="246"/>
        <v>#REF!</v>
      </c>
      <c r="M154" s="152" t="e">
        <f t="shared" ca="true" si="246"/>
        <v>#REF!</v>
      </c>
      <c r="N154" s="152" t="e">
        <f t="shared" ca="true" si="246"/>
        <v>#REF!</v>
      </c>
      <c r="O154" s="205" t="e">
        <f t="shared" ca="true" si="246"/>
        <v>#REF!</v>
      </c>
      <c r="P154" s="152" t="e">
        <f t="shared" ca="true" si="246"/>
        <v>#REF!</v>
      </c>
      <c r="Q154" s="152" t="e">
        <f t="shared" ca="true" si="246"/>
        <v>#REF!</v>
      </c>
      <c r="R154" s="152" t="e">
        <f t="shared" ca="true" si="246"/>
        <v>#REF!</v>
      </c>
      <c r="S154" s="152" t="e">
        <f t="shared" ca="true" si="246"/>
        <v>#REF!</v>
      </c>
      <c r="T154" s="152" t="e">
        <f t="shared" ca="true" si="246"/>
        <v>#REF!</v>
      </c>
      <c r="U154" s="152" t="e">
        <f t="shared" ca="true" si="246"/>
        <v>#REF!</v>
      </c>
      <c r="V154" s="153" t="e">
        <f t="shared" ca="true" si="246"/>
        <v>#REF!</v>
      </c>
      <c r="W154" s="152" t="e">
        <f t="shared" ca="true" si="246"/>
        <v>#REF!</v>
      </c>
      <c r="X154" s="152" t="e">
        <f t="shared" ca="true" si="246"/>
        <v>#REF!</v>
      </c>
      <c r="Y154" s="205" t="e">
        <f t="shared" ca="true" si="246"/>
        <v>#REF!</v>
      </c>
      <c r="Z154" s="152" t="e">
        <f t="shared" ca="true" si="246"/>
        <v>#REF!</v>
      </c>
      <c r="AA154" s="152" t="e">
        <f t="shared" ca="true" si="246"/>
        <v>#REF!</v>
      </c>
      <c r="AB154" s="205" t="e">
        <f t="shared" ca="true" si="246"/>
        <v>#REF!</v>
      </c>
      <c r="AC154" s="152" t="e">
        <f t="shared" ca="true" si="246"/>
        <v>#REF!</v>
      </c>
      <c r="AD154" s="152" t="e">
        <f t="shared" ca="true" si="246"/>
        <v>#REF!</v>
      </c>
      <c r="AE154" s="152" t="e">
        <f t="shared" ca="true" si="246"/>
        <v>#REF!</v>
      </c>
      <c r="AF154" s="152" t="e">
        <f t="shared" ca="true" si="246"/>
        <v>#REF!</v>
      </c>
      <c r="AG154" s="152" t="e">
        <f t="shared" ca="true" si="246"/>
        <v>#REF!</v>
      </c>
      <c r="AH154" s="152" t="e">
        <f t="shared" ca="true" si="246"/>
        <v>#REF!</v>
      </c>
      <c r="AI154" s="152" t="e">
        <f t="shared" ca="true" si="246"/>
        <v>#REF!</v>
      </c>
      <c r="AJ154" s="152" t="e">
        <f t="shared" ca="true" si="246"/>
        <v>#REF!</v>
      </c>
      <c r="AK154" s="152" t="e">
        <f t="shared" ca="true" si="246"/>
        <v>#REF!</v>
      </c>
      <c r="AL154" s="205" t="e">
        <f t="shared" ca="true" si="246"/>
        <v>#REF!</v>
      </c>
      <c r="AM154" s="152" t="e">
        <f t="shared" ca="true" si="246"/>
        <v>#REF!</v>
      </c>
      <c r="AN154" s="152" t="e">
        <f t="shared" ca="true" si="246"/>
        <v>#REF!</v>
      </c>
      <c r="AO154" s="152" t="e">
        <f t="shared" ca="true" si="246"/>
        <v>#REF!</v>
      </c>
      <c r="AP154" s="152" t="e">
        <f t="shared" ca="true" si="246"/>
        <v>#REF!</v>
      </c>
      <c r="AQ154" s="152" t="e">
        <f t="shared" ca="true" si="246"/>
        <v>#REF!</v>
      </c>
      <c r="AR154" s="152" t="e">
        <f t="shared" ca="true" si="246"/>
        <v>#REF!</v>
      </c>
      <c r="AS154" s="152" t="e">
        <f t="shared" ca="true" si="246"/>
        <v>#REF!</v>
      </c>
      <c r="AT154" s="152" t="e">
        <f t="shared" ca="true" si="246"/>
        <v>#REF!</v>
      </c>
      <c r="AU154" s="152" t="e">
        <f t="shared" ca="true" si="246"/>
        <v>#REF!</v>
      </c>
      <c r="AV154" s="152" t="e">
        <f t="shared" ca="true" si="246"/>
        <v>#REF!</v>
      </c>
      <c r="AW154" s="152" t="e">
        <f t="shared" ca="true" si="246"/>
        <v>#REF!</v>
      </c>
      <c r="AX154" s="152" t="e">
        <f t="shared" ca="true" si="246"/>
        <v>#REF!</v>
      </c>
      <c r="AY154" s="152" t="e">
        <f t="shared" ca="true" si="246"/>
        <v>#REF!</v>
      </c>
      <c r="AZ154" s="152" t="e">
        <f t="shared" ca="true" si="246"/>
        <v>#REF!</v>
      </c>
      <c r="BA154" s="152" t="e">
        <f t="shared" ca="true" si="246"/>
        <v>#REF!</v>
      </c>
      <c r="BB154" s="152" t="e">
        <f t="shared" ca="true" si="246"/>
        <v>#REF!</v>
      </c>
      <c r="BC154" s="152" t="e">
        <f t="shared" ca="true" si="246"/>
        <v>#REF!</v>
      </c>
      <c r="BD154" s="152" t="e">
        <f t="shared" ca="true" si="246"/>
        <v>#REF!</v>
      </c>
      <c r="BE154" s="152" t="e">
        <f t="shared" ca="true" si="246"/>
        <v>#REF!</v>
      </c>
      <c r="BF154" s="152" t="e">
        <f t="shared" ca="true" si="246"/>
        <v>#REF!</v>
      </c>
      <c r="BG154" s="152" t="e">
        <f t="shared" ca="true" si="246"/>
        <v>#REF!</v>
      </c>
      <c r="BH154" s="152" t="e">
        <f t="shared" ca="true" si="246"/>
        <v>#REF!</v>
      </c>
      <c r="BI154" s="152" t="e">
        <f t="shared" ca="true" si="246"/>
        <v>#REF!</v>
      </c>
      <c r="BJ154" s="152" t="e">
        <f t="shared" ca="true" si="246"/>
        <v>#REF!</v>
      </c>
      <c r="BK154" s="152" t="e">
        <f t="shared" ca="true" si="246"/>
        <v>#REF!</v>
      </c>
      <c r="BL154" s="152" t="e">
        <f t="shared" ca="true" si="246"/>
        <v>#REF!</v>
      </c>
      <c r="BM154" s="152" t="e">
        <f t="shared" ca="true" si="246"/>
        <v>#REF!</v>
      </c>
      <c r="BN154" s="152" t="e">
        <f t="shared" ca="true" si="246"/>
        <v>#REF!</v>
      </c>
      <c r="BO154" s="152" t="e">
        <f t="shared" ca="true" si="246"/>
        <v>#REF!</v>
      </c>
      <c r="BP154" s="152" t="e">
        <f t="shared" ca="true" si="246"/>
        <v>#REF!</v>
      </c>
      <c r="BQ154" s="152" t="e">
        <f t="shared" ref="BQ154:DA154" ca="true" si="247">SUM(BQ133:BQ152)</f>
        <v>#REF!</v>
      </c>
      <c r="BR154" s="152" t="e">
        <f t="shared" ca="true" si="247"/>
        <v>#REF!</v>
      </c>
      <c r="BS154" s="152" t="e">
        <f t="shared" ca="true" si="247"/>
        <v>#REF!</v>
      </c>
      <c r="BT154" s="152" t="e">
        <f t="shared" ca="true" si="247"/>
        <v>#REF!</v>
      </c>
      <c r="BU154" s="152" t="e">
        <f t="shared" ca="true" si="247"/>
        <v>#REF!</v>
      </c>
      <c r="BV154" s="152" t="e">
        <f t="shared" ca="true" si="247"/>
        <v>#REF!</v>
      </c>
      <c r="BW154" s="152" t="e">
        <f t="shared" ca="true" si="247"/>
        <v>#REF!</v>
      </c>
      <c r="BX154" s="152" t="e">
        <f t="shared" ca="true" si="247"/>
        <v>#REF!</v>
      </c>
      <c r="BY154" s="152" t="e">
        <f t="shared" ca="true" si="247"/>
        <v>#REF!</v>
      </c>
      <c r="BZ154" s="152" t="e">
        <f t="shared" ca="true" si="247"/>
        <v>#REF!</v>
      </c>
      <c r="CA154" s="152" t="e">
        <f t="shared" ca="true" si="247"/>
        <v>#REF!</v>
      </c>
      <c r="CB154" s="152" t="e">
        <f t="shared" ca="true" si="247"/>
        <v>#REF!</v>
      </c>
      <c r="CC154" s="152" t="e">
        <f t="shared" ca="true" si="247"/>
        <v>#REF!</v>
      </c>
      <c r="CD154" s="152" t="e">
        <f t="shared" ca="true" si="247"/>
        <v>#REF!</v>
      </c>
      <c r="CE154" s="152" t="e">
        <f t="shared" ca="true" si="247"/>
        <v>#REF!</v>
      </c>
      <c r="CF154" s="152" t="e">
        <f t="shared" ca="true" si="247"/>
        <v>#REF!</v>
      </c>
      <c r="CG154" s="152" t="e">
        <f t="shared" ca="true" si="247"/>
        <v>#REF!</v>
      </c>
      <c r="CH154" s="152" t="e">
        <f t="shared" ca="true" si="247"/>
        <v>#REF!</v>
      </c>
      <c r="CI154" s="152" t="e">
        <f t="shared" ca="true" si="247"/>
        <v>#REF!</v>
      </c>
      <c r="CJ154" s="152" t="e">
        <f t="shared" ca="true" si="247"/>
        <v>#REF!</v>
      </c>
      <c r="CK154" s="152" t="e">
        <f t="shared" ca="true" si="247"/>
        <v>#REF!</v>
      </c>
      <c r="CL154" s="152" t="e">
        <f t="shared" ca="true" si="247"/>
        <v>#REF!</v>
      </c>
      <c r="CM154" s="152" t="e">
        <f t="shared" ca="true" si="247"/>
        <v>#REF!</v>
      </c>
      <c r="CN154" s="152" t="e">
        <f t="shared" ca="true" si="247"/>
        <v>#REF!</v>
      </c>
      <c r="CO154" s="152" t="e">
        <f t="shared" ca="true" si="247"/>
        <v>#REF!</v>
      </c>
      <c r="CP154" s="152">
        <f t="shared" si="247"/>
        <v>0</v>
      </c>
      <c r="CQ154" s="205" t="e">
        <f t="shared" ca="true" si="247"/>
        <v>#REF!</v>
      </c>
      <c r="CR154" s="205" t="e">
        <f t="shared" ca="true" si="247"/>
        <v>#REF!</v>
      </c>
      <c r="CS154" s="205" t="e">
        <f t="shared" ca="true" si="247"/>
        <v>#REF!</v>
      </c>
      <c r="CT154" s="209" t="e">
        <f t="shared" ca="true" si="247"/>
        <v>#REF!</v>
      </c>
      <c r="CU154" s="152" t="e">
        <f t="shared" ca="true" si="247"/>
        <v>#REF!</v>
      </c>
      <c r="CV154" s="152" t="e">
        <f t="shared" ca="true" si="247"/>
        <v>#REF!</v>
      </c>
      <c r="CW154" s="212" t="e">
        <f t="shared" ca="true" si="247"/>
        <v>#REF!</v>
      </c>
      <c r="CX154" s="212">
        <f t="shared" ca="true" si="247"/>
        <v>0</v>
      </c>
      <c r="CY154" s="212" t="e">
        <f t="shared" ca="true" si="247"/>
        <v>#REF!</v>
      </c>
      <c r="CZ154" s="205" t="e">
        <f t="shared" ca="true" si="247"/>
        <v>#REF!</v>
      </c>
      <c r="DA154" s="205" t="e">
        <f t="shared" ca="true" si="247"/>
        <v>#REF!</v>
      </c>
      <c r="DB154" s="193"/>
    </row>
    <row r="155" spans="2:106">
      <c r="B155" s="161"/>
      <c r="E155" s="149"/>
      <c r="F155" s="152"/>
      <c r="G155" s="152"/>
      <c r="H155" s="152"/>
      <c r="I155" s="152"/>
      <c r="J155" s="152"/>
      <c r="K155" s="152"/>
      <c r="L155" s="205"/>
      <c r="M155" s="152"/>
      <c r="N155" s="152"/>
      <c r="O155" s="205">
        <f>SUM(M155:N155)</f>
        <v>0</v>
      </c>
      <c r="P155" s="152"/>
      <c r="Q155" s="152"/>
      <c r="R155" s="152"/>
      <c r="S155" s="152"/>
      <c r="T155" s="152"/>
      <c r="U155" s="152"/>
      <c r="V155" s="153">
        <f>SUM(P155:U155)</f>
        <v>0</v>
      </c>
      <c r="W155" s="152"/>
      <c r="X155" s="152"/>
      <c r="Y155" s="205">
        <f>SUM(V155:X155)</f>
        <v>0</v>
      </c>
      <c r="Z155" s="152"/>
      <c r="AA155" s="152"/>
      <c r="AB155" s="205">
        <f>SUM(Z155:AA155)</f>
        <v>0</v>
      </c>
      <c r="AC155" s="152"/>
      <c r="AD155" s="152"/>
      <c r="AE155" s="152"/>
      <c r="AF155" s="152"/>
      <c r="AG155" s="152"/>
      <c r="AH155" s="152"/>
      <c r="AI155" s="152"/>
      <c r="AJ155" s="152"/>
      <c r="AK155" s="152"/>
      <c r="AL155" s="205">
        <f>SUM(AF155:AK155)</f>
        <v>0</v>
      </c>
      <c r="AM155" s="152"/>
      <c r="AN155" s="152"/>
      <c r="AO155" s="152"/>
      <c r="AP155" s="152"/>
      <c r="AQ155" s="152"/>
      <c r="AR155" s="152"/>
      <c r="AS155" s="152"/>
      <c r="AT155" s="152"/>
      <c r="AU155" s="152"/>
      <c r="AV155" s="152"/>
      <c r="AW155" s="152"/>
      <c r="AX155" s="152"/>
      <c r="AY155" s="152"/>
      <c r="AZ155" s="152"/>
      <c r="BA155" s="152"/>
      <c r="BB155" s="152"/>
      <c r="BC155" s="152"/>
      <c r="BD155" s="152"/>
      <c r="BE155" s="152"/>
      <c r="BF155" s="152"/>
      <c r="BG155" s="152"/>
      <c r="BH155" s="152"/>
      <c r="BI155" s="152"/>
      <c r="BJ155" s="152"/>
      <c r="BK155" s="152"/>
      <c r="BL155" s="152"/>
      <c r="BM155" s="152"/>
      <c r="BN155" s="152"/>
      <c r="BO155" s="152"/>
      <c r="BP155" s="152"/>
      <c r="BQ155" s="152"/>
      <c r="BR155" s="152"/>
      <c r="BS155" s="152"/>
      <c r="BT155" s="152"/>
      <c r="BU155" s="152"/>
      <c r="BV155" s="152"/>
      <c r="BW155" s="152"/>
      <c r="BX155" s="152"/>
      <c r="BY155" s="152"/>
      <c r="BZ155" s="152"/>
      <c r="CA155" s="152"/>
      <c r="CB155" s="152"/>
      <c r="CC155" s="152"/>
      <c r="CD155" s="152"/>
      <c r="CE155" s="152"/>
      <c r="CF155" s="152"/>
      <c r="CG155" s="152"/>
      <c r="CH155" s="152"/>
      <c r="CI155" s="152"/>
      <c r="CJ155" s="152"/>
      <c r="CK155" s="152"/>
      <c r="CL155" s="152"/>
      <c r="CM155" s="152"/>
      <c r="CN155" s="152"/>
      <c r="CO155" s="152"/>
      <c r="CP155" s="152"/>
      <c r="CQ155" s="205">
        <f>SUM(AM155:CP155)</f>
        <v>0</v>
      </c>
      <c r="CR155" s="205">
        <f>SUM(AF155:AK155,AM155:CP155,)</f>
        <v>0</v>
      </c>
      <c r="CS155" s="205">
        <f>SUM(CY155:CY155)</f>
        <v>0</v>
      </c>
      <c r="CT155" s="209"/>
      <c r="CU155" s="152"/>
      <c r="CV155" s="152"/>
      <c r="CW155" s="212"/>
      <c r="CX155" s="212"/>
      <c r="CY155" s="212"/>
      <c r="CZ155" s="205"/>
      <c r="DA155" s="205"/>
      <c r="DB155" s="193"/>
    </row>
    <row r="156" spans="1:106">
      <c r="A156" s="154">
        <f t="shared" ref="A156:A162" si="248">MAX(A150:A155)+1</f>
        <v>66</v>
      </c>
      <c r="B156" s="161"/>
      <c r="D156" s="154" t="s">
        <v>13979</v>
      </c>
      <c r="E156" s="149">
        <v>8493520.21</v>
      </c>
      <c r="F156" s="152"/>
      <c r="G156" s="152"/>
      <c r="H156" s="152"/>
      <c r="I156" s="152"/>
      <c r="J156" s="152"/>
      <c r="K156" s="152"/>
      <c r="L156" s="205"/>
      <c r="M156" s="152"/>
      <c r="N156" s="152"/>
      <c r="O156" s="205"/>
      <c r="P156" s="152"/>
      <c r="Q156" s="152"/>
      <c r="R156" s="152"/>
      <c r="S156" s="152"/>
      <c r="T156" s="152"/>
      <c r="U156" s="152"/>
      <c r="V156" s="153"/>
      <c r="W156" s="152"/>
      <c r="X156" s="152"/>
      <c r="Y156" s="205"/>
      <c r="Z156" s="152"/>
      <c r="AA156" s="152"/>
      <c r="AB156" s="205"/>
      <c r="AC156" s="152"/>
      <c r="AD156" s="152"/>
      <c r="AE156" s="152"/>
      <c r="AF156" s="152"/>
      <c r="AG156" s="152"/>
      <c r="AH156" s="152"/>
      <c r="AI156" s="152"/>
      <c r="AJ156" s="152"/>
      <c r="AK156" s="152"/>
      <c r="AL156" s="205"/>
      <c r="AM156" s="152"/>
      <c r="AN156" s="152"/>
      <c r="AO156" s="152"/>
      <c r="AP156" s="152"/>
      <c r="AQ156" s="152"/>
      <c r="AR156" s="152"/>
      <c r="AS156" s="152"/>
      <c r="AT156" s="152"/>
      <c r="AU156" s="152"/>
      <c r="AV156" s="152"/>
      <c r="AW156" s="152"/>
      <c r="AX156" s="152"/>
      <c r="AY156" s="152"/>
      <c r="AZ156" s="152"/>
      <c r="BA156" s="152"/>
      <c r="BB156" s="152"/>
      <c r="BC156" s="152"/>
      <c r="BD156" s="152"/>
      <c r="BE156" s="152"/>
      <c r="BF156" s="152"/>
      <c r="BG156" s="152"/>
      <c r="BH156" s="152"/>
      <c r="BI156" s="152"/>
      <c r="BJ156" s="152"/>
      <c r="BK156" s="152"/>
      <c r="BL156" s="152"/>
      <c r="BM156" s="152"/>
      <c r="BN156" s="152"/>
      <c r="BO156" s="152"/>
      <c r="BP156" s="152"/>
      <c r="BQ156" s="152"/>
      <c r="BR156" s="152"/>
      <c r="BS156" s="152"/>
      <c r="BT156" s="152"/>
      <c r="BU156" s="152"/>
      <c r="BV156" s="152"/>
      <c r="BW156" s="152"/>
      <c r="BX156" s="152"/>
      <c r="BY156" s="152"/>
      <c r="BZ156" s="152"/>
      <c r="CA156" s="152"/>
      <c r="CB156" s="152"/>
      <c r="CC156" s="152"/>
      <c r="CD156" s="152"/>
      <c r="CE156" s="152"/>
      <c r="CF156" s="152"/>
      <c r="CG156" s="152"/>
      <c r="CH156" s="152"/>
      <c r="CI156" s="152"/>
      <c r="CJ156" s="152"/>
      <c r="CK156" s="152"/>
      <c r="CL156" s="152"/>
      <c r="CM156" s="152"/>
      <c r="CN156" s="152"/>
      <c r="CO156" s="152"/>
      <c r="CP156" s="152"/>
      <c r="CQ156" s="205"/>
      <c r="CR156" s="205"/>
      <c r="CS156" s="205"/>
      <c r="CT156" s="209"/>
      <c r="CU156" s="152"/>
      <c r="CV156" s="152"/>
      <c r="CW156" s="212"/>
      <c r="CX156" s="212"/>
      <c r="CY156" s="212"/>
      <c r="CZ156" s="205"/>
      <c r="DA156" s="205"/>
      <c r="DB156" s="193"/>
    </row>
    <row r="157" spans="1:106">
      <c r="A157" s="154">
        <f t="shared" si="248"/>
        <v>67</v>
      </c>
      <c r="B157" s="161"/>
      <c r="D157" s="154" t="s">
        <v>13980</v>
      </c>
      <c r="E157" s="149"/>
      <c r="F157" s="152"/>
      <c r="G157" s="152"/>
      <c r="H157" s="152"/>
      <c r="I157" s="152"/>
      <c r="J157" s="152"/>
      <c r="K157" s="152"/>
      <c r="L157" s="205"/>
      <c r="M157" s="152"/>
      <c r="N157" s="152"/>
      <c r="O157" s="205"/>
      <c r="P157" s="152"/>
      <c r="Q157" s="152"/>
      <c r="R157" s="152"/>
      <c r="S157" s="152"/>
      <c r="T157" s="152"/>
      <c r="U157" s="152"/>
      <c r="V157" s="153"/>
      <c r="W157" s="152"/>
      <c r="X157" s="152"/>
      <c r="Y157" s="205"/>
      <c r="Z157" s="152"/>
      <c r="AA157" s="152"/>
      <c r="AB157" s="205"/>
      <c r="AC157" s="152"/>
      <c r="AD157" s="152"/>
      <c r="AE157" s="152"/>
      <c r="AF157" s="152"/>
      <c r="AG157" s="152"/>
      <c r="AH157" s="152"/>
      <c r="AI157" s="152"/>
      <c r="AJ157" s="152"/>
      <c r="AK157" s="152"/>
      <c r="AL157" s="205"/>
      <c r="AM157" s="152"/>
      <c r="AN157" s="152"/>
      <c r="AO157" s="152"/>
      <c r="AP157" s="152"/>
      <c r="AQ157" s="152"/>
      <c r="AR157" s="152"/>
      <c r="AS157" s="152"/>
      <c r="AT157" s="152"/>
      <c r="AU157" s="152"/>
      <c r="AV157" s="152"/>
      <c r="AW157" s="152"/>
      <c r="AX157" s="152"/>
      <c r="AY157" s="152"/>
      <c r="AZ157" s="152"/>
      <c r="BA157" s="152"/>
      <c r="BB157" s="152"/>
      <c r="BC157" s="152"/>
      <c r="BD157" s="152"/>
      <c r="BE157" s="152"/>
      <c r="BF157" s="152"/>
      <c r="BG157" s="152"/>
      <c r="BH157" s="152"/>
      <c r="BI157" s="152"/>
      <c r="BJ157" s="152"/>
      <c r="BK157" s="152"/>
      <c r="BL157" s="152"/>
      <c r="BM157" s="152"/>
      <c r="BN157" s="152"/>
      <c r="BO157" s="152"/>
      <c r="BP157" s="152"/>
      <c r="BQ157" s="152"/>
      <c r="BR157" s="152"/>
      <c r="BS157" s="152"/>
      <c r="BT157" s="152"/>
      <c r="BU157" s="152"/>
      <c r="BV157" s="152"/>
      <c r="BW157" s="152"/>
      <c r="BX157" s="152"/>
      <c r="BY157" s="152"/>
      <c r="BZ157" s="152"/>
      <c r="CA157" s="152"/>
      <c r="CB157" s="152"/>
      <c r="CC157" s="152"/>
      <c r="CD157" s="152"/>
      <c r="CE157" s="152"/>
      <c r="CF157" s="152"/>
      <c r="CG157" s="152"/>
      <c r="CH157" s="152"/>
      <c r="CI157" s="152"/>
      <c r="CJ157" s="152"/>
      <c r="CK157" s="152"/>
      <c r="CL157" s="152"/>
      <c r="CM157" s="152"/>
      <c r="CN157" s="152"/>
      <c r="CO157" s="152"/>
      <c r="CP157" s="152"/>
      <c r="CQ157" s="205"/>
      <c r="CR157" s="205"/>
      <c r="CS157" s="205"/>
      <c r="CT157" s="209"/>
      <c r="CU157" s="152"/>
      <c r="CV157" s="152"/>
      <c r="CW157" s="212"/>
      <c r="CX157" s="212"/>
      <c r="CY157" s="212"/>
      <c r="CZ157" s="205"/>
      <c r="DA157" s="205"/>
      <c r="DB157" s="193"/>
    </row>
    <row r="158" spans="1:106">
      <c r="A158" s="154">
        <f t="shared" si="248"/>
        <v>68</v>
      </c>
      <c r="B158" s="161"/>
      <c r="D158" s="154" t="s">
        <v>13981</v>
      </c>
      <c r="E158" s="149">
        <v>2635000</v>
      </c>
      <c r="F158" s="152"/>
      <c r="G158" s="152"/>
      <c r="H158" s="152"/>
      <c r="I158" s="152"/>
      <c r="J158" s="152"/>
      <c r="K158" s="152"/>
      <c r="L158" s="205"/>
      <c r="M158" s="152"/>
      <c r="N158" s="152"/>
      <c r="O158" s="205"/>
      <c r="P158" s="152"/>
      <c r="Q158" s="152"/>
      <c r="R158" s="152"/>
      <c r="S158" s="152"/>
      <c r="T158" s="152"/>
      <c r="U158" s="152"/>
      <c r="V158" s="153"/>
      <c r="W158" s="152"/>
      <c r="X158" s="152"/>
      <c r="Y158" s="205"/>
      <c r="Z158" s="152"/>
      <c r="AA158" s="152"/>
      <c r="AB158" s="205"/>
      <c r="AC158" s="152"/>
      <c r="AD158" s="152"/>
      <c r="AE158" s="152"/>
      <c r="AF158" s="152"/>
      <c r="AG158" s="152"/>
      <c r="AH158" s="152"/>
      <c r="AI158" s="152"/>
      <c r="AJ158" s="152"/>
      <c r="AK158" s="152"/>
      <c r="AL158" s="205"/>
      <c r="AM158" s="152"/>
      <c r="AN158" s="152"/>
      <c r="AO158" s="152"/>
      <c r="AP158" s="152"/>
      <c r="AQ158" s="152"/>
      <c r="AR158" s="152"/>
      <c r="AS158" s="152"/>
      <c r="AT158" s="152"/>
      <c r="AU158" s="152"/>
      <c r="AV158" s="152"/>
      <c r="AW158" s="152"/>
      <c r="AX158" s="152"/>
      <c r="AY158" s="152"/>
      <c r="AZ158" s="152"/>
      <c r="BA158" s="152"/>
      <c r="BB158" s="152"/>
      <c r="BC158" s="152"/>
      <c r="BD158" s="152"/>
      <c r="BE158" s="152"/>
      <c r="BF158" s="152"/>
      <c r="BG158" s="152"/>
      <c r="BH158" s="152"/>
      <c r="BI158" s="152"/>
      <c r="BJ158" s="152"/>
      <c r="BK158" s="152"/>
      <c r="BL158" s="152"/>
      <c r="BM158" s="152"/>
      <c r="BN158" s="152"/>
      <c r="BO158" s="152"/>
      <c r="BP158" s="152"/>
      <c r="BQ158" s="152"/>
      <c r="BR158" s="152"/>
      <c r="BS158" s="152"/>
      <c r="BT158" s="152"/>
      <c r="BU158" s="152"/>
      <c r="BV158" s="152"/>
      <c r="BW158" s="152"/>
      <c r="BX158" s="152"/>
      <c r="BY158" s="152"/>
      <c r="BZ158" s="152"/>
      <c r="CA158" s="152"/>
      <c r="CB158" s="152"/>
      <c r="CC158" s="152"/>
      <c r="CD158" s="152"/>
      <c r="CE158" s="152"/>
      <c r="CF158" s="152"/>
      <c r="CG158" s="152"/>
      <c r="CH158" s="152"/>
      <c r="CI158" s="152"/>
      <c r="CJ158" s="152"/>
      <c r="CK158" s="152"/>
      <c r="CL158" s="152"/>
      <c r="CM158" s="152"/>
      <c r="CN158" s="152"/>
      <c r="CO158" s="152"/>
      <c r="CP158" s="152"/>
      <c r="CQ158" s="205"/>
      <c r="CR158" s="205"/>
      <c r="CS158" s="205"/>
      <c r="CT158" s="209"/>
      <c r="CU158" s="152"/>
      <c r="CV158" s="152"/>
      <c r="CW158" s="212"/>
      <c r="CX158" s="212"/>
      <c r="CY158" s="212"/>
      <c r="CZ158" s="205"/>
      <c r="DA158" s="205"/>
      <c r="DB158" s="193"/>
    </row>
    <row r="159" spans="1:106">
      <c r="A159" s="154">
        <f t="shared" si="248"/>
        <v>69</v>
      </c>
      <c r="B159" s="161"/>
      <c r="D159" s="154" t="s">
        <v>13982</v>
      </c>
      <c r="E159" s="149"/>
      <c r="F159" s="152"/>
      <c r="G159" s="152"/>
      <c r="H159" s="152"/>
      <c r="I159" s="152"/>
      <c r="J159" s="152"/>
      <c r="K159" s="152"/>
      <c r="L159" s="205"/>
      <c r="M159" s="152"/>
      <c r="N159" s="152"/>
      <c r="O159" s="205"/>
      <c r="P159" s="152"/>
      <c r="Q159" s="152"/>
      <c r="R159" s="152"/>
      <c r="S159" s="152"/>
      <c r="T159" s="152"/>
      <c r="U159" s="152"/>
      <c r="V159" s="153"/>
      <c r="W159" s="152"/>
      <c r="X159" s="152"/>
      <c r="Y159" s="205"/>
      <c r="Z159" s="152"/>
      <c r="AA159" s="152"/>
      <c r="AB159" s="205"/>
      <c r="AC159" s="152"/>
      <c r="AD159" s="152"/>
      <c r="AE159" s="152"/>
      <c r="AF159" s="152"/>
      <c r="AG159" s="152"/>
      <c r="AH159" s="152"/>
      <c r="AI159" s="152"/>
      <c r="AJ159" s="152"/>
      <c r="AK159" s="152"/>
      <c r="AL159" s="205"/>
      <c r="AM159" s="152"/>
      <c r="AN159" s="152"/>
      <c r="AO159" s="152"/>
      <c r="AP159" s="152"/>
      <c r="AQ159" s="152"/>
      <c r="AR159" s="152"/>
      <c r="AS159" s="152"/>
      <c r="AT159" s="152"/>
      <c r="AU159" s="152"/>
      <c r="AV159" s="152"/>
      <c r="AW159" s="152"/>
      <c r="AX159" s="152"/>
      <c r="AY159" s="152"/>
      <c r="AZ159" s="152"/>
      <c r="BA159" s="152"/>
      <c r="BB159" s="152"/>
      <c r="BC159" s="152"/>
      <c r="BD159" s="152"/>
      <c r="BE159" s="152"/>
      <c r="BF159" s="152"/>
      <c r="BG159" s="152"/>
      <c r="BH159" s="152"/>
      <c r="BI159" s="152"/>
      <c r="BJ159" s="152"/>
      <c r="BK159" s="152"/>
      <c r="BL159" s="152"/>
      <c r="BM159" s="152"/>
      <c r="BN159" s="152"/>
      <c r="BO159" s="152"/>
      <c r="BP159" s="152"/>
      <c r="BQ159" s="152"/>
      <c r="BR159" s="152"/>
      <c r="BS159" s="152"/>
      <c r="BT159" s="152"/>
      <c r="BU159" s="152"/>
      <c r="BV159" s="152"/>
      <c r="BW159" s="152"/>
      <c r="BX159" s="152"/>
      <c r="BY159" s="152"/>
      <c r="BZ159" s="152"/>
      <c r="CA159" s="152"/>
      <c r="CB159" s="152"/>
      <c r="CC159" s="152"/>
      <c r="CD159" s="152"/>
      <c r="CE159" s="152"/>
      <c r="CF159" s="152"/>
      <c r="CG159" s="152"/>
      <c r="CH159" s="152"/>
      <c r="CI159" s="152"/>
      <c r="CJ159" s="152"/>
      <c r="CK159" s="152"/>
      <c r="CL159" s="152"/>
      <c r="CM159" s="152"/>
      <c r="CN159" s="152"/>
      <c r="CO159" s="152"/>
      <c r="CP159" s="152"/>
      <c r="CQ159" s="205"/>
      <c r="CR159" s="205"/>
      <c r="CS159" s="205"/>
      <c r="CT159" s="209"/>
      <c r="CU159" s="152"/>
      <c r="CV159" s="152"/>
      <c r="CW159" s="212"/>
      <c r="CX159" s="212"/>
      <c r="CY159" s="212"/>
      <c r="CZ159" s="205"/>
      <c r="DA159" s="205"/>
      <c r="DB159" s="193"/>
    </row>
    <row r="160" spans="1:106">
      <c r="A160" s="154">
        <f t="shared" si="248"/>
        <v>70</v>
      </c>
      <c r="B160" s="161"/>
      <c r="D160" s="154" t="s">
        <v>13983</v>
      </c>
      <c r="E160" s="149"/>
      <c r="F160" s="152"/>
      <c r="G160" s="152"/>
      <c r="H160" s="152"/>
      <c r="I160" s="152"/>
      <c r="J160" s="152"/>
      <c r="K160" s="152"/>
      <c r="L160" s="205"/>
      <c r="M160" s="152"/>
      <c r="N160" s="152"/>
      <c r="O160" s="205"/>
      <c r="P160" s="152"/>
      <c r="Q160" s="152"/>
      <c r="R160" s="152"/>
      <c r="S160" s="152"/>
      <c r="T160" s="152"/>
      <c r="U160" s="152"/>
      <c r="V160" s="153"/>
      <c r="W160" s="152"/>
      <c r="X160" s="152"/>
      <c r="Y160" s="205"/>
      <c r="Z160" s="152"/>
      <c r="AA160" s="152"/>
      <c r="AB160" s="205"/>
      <c r="AC160" s="152"/>
      <c r="AD160" s="152"/>
      <c r="AE160" s="152"/>
      <c r="AF160" s="152"/>
      <c r="AG160" s="152"/>
      <c r="AH160" s="152"/>
      <c r="AI160" s="152"/>
      <c r="AJ160" s="152"/>
      <c r="AK160" s="152"/>
      <c r="AL160" s="205"/>
      <c r="AM160" s="152"/>
      <c r="AN160" s="152"/>
      <c r="AO160" s="152"/>
      <c r="AP160" s="152"/>
      <c r="AQ160" s="152"/>
      <c r="AR160" s="152"/>
      <c r="AS160" s="152"/>
      <c r="AT160" s="152"/>
      <c r="AU160" s="152"/>
      <c r="AV160" s="152"/>
      <c r="AW160" s="152"/>
      <c r="AX160" s="152"/>
      <c r="AY160" s="152"/>
      <c r="AZ160" s="152"/>
      <c r="BA160" s="152"/>
      <c r="BB160" s="152"/>
      <c r="BC160" s="152"/>
      <c r="BD160" s="152"/>
      <c r="BE160" s="152"/>
      <c r="BF160" s="152"/>
      <c r="BG160" s="152"/>
      <c r="BH160" s="152"/>
      <c r="BI160" s="152"/>
      <c r="BJ160" s="152"/>
      <c r="BK160" s="152"/>
      <c r="BL160" s="152"/>
      <c r="BM160" s="152"/>
      <c r="BN160" s="152"/>
      <c r="BO160" s="152"/>
      <c r="BP160" s="152"/>
      <c r="BQ160" s="152"/>
      <c r="BR160" s="152"/>
      <c r="BS160" s="152"/>
      <c r="BT160" s="152"/>
      <c r="BU160" s="152"/>
      <c r="BV160" s="152"/>
      <c r="BW160" s="152"/>
      <c r="BX160" s="152"/>
      <c r="BY160" s="152"/>
      <c r="BZ160" s="152"/>
      <c r="CA160" s="152"/>
      <c r="CB160" s="152"/>
      <c r="CC160" s="152"/>
      <c r="CD160" s="152"/>
      <c r="CE160" s="152"/>
      <c r="CF160" s="152"/>
      <c r="CG160" s="152"/>
      <c r="CH160" s="152"/>
      <c r="CI160" s="152"/>
      <c r="CJ160" s="152"/>
      <c r="CK160" s="152"/>
      <c r="CL160" s="152"/>
      <c r="CM160" s="152"/>
      <c r="CN160" s="152"/>
      <c r="CO160" s="152"/>
      <c r="CP160" s="152"/>
      <c r="CQ160" s="205"/>
      <c r="CR160" s="205"/>
      <c r="CS160" s="205"/>
      <c r="CT160" s="209"/>
      <c r="CU160" s="152"/>
      <c r="CV160" s="152"/>
      <c r="CW160" s="212"/>
      <c r="CX160" s="212"/>
      <c r="CY160" s="212"/>
      <c r="CZ160" s="205"/>
      <c r="DA160" s="205"/>
      <c r="DB160" s="193"/>
    </row>
    <row r="161" spans="1:106">
      <c r="A161" s="154">
        <f t="shared" si="248"/>
        <v>71</v>
      </c>
      <c r="B161" s="161"/>
      <c r="D161" s="154" t="s">
        <v>13984</v>
      </c>
      <c r="E161" s="149">
        <f>SUM(E156:E160)</f>
        <v>11128520.21</v>
      </c>
      <c r="F161" s="152"/>
      <c r="G161" s="152"/>
      <c r="H161" s="152"/>
      <c r="I161" s="152"/>
      <c r="J161" s="152"/>
      <c r="K161" s="152"/>
      <c r="L161" s="205"/>
      <c r="M161" s="152"/>
      <c r="N161" s="152"/>
      <c r="O161" s="205"/>
      <c r="P161" s="152"/>
      <c r="Q161" s="152"/>
      <c r="R161" s="152"/>
      <c r="S161" s="152"/>
      <c r="T161" s="152"/>
      <c r="U161" s="152"/>
      <c r="V161" s="153"/>
      <c r="W161" s="152"/>
      <c r="X161" s="152"/>
      <c r="Y161" s="205"/>
      <c r="Z161" s="152"/>
      <c r="AA161" s="152"/>
      <c r="AB161" s="205"/>
      <c r="AC161" s="152"/>
      <c r="AD161" s="152"/>
      <c r="AE161" s="152"/>
      <c r="AF161" s="152"/>
      <c r="AG161" s="152"/>
      <c r="AH161" s="152"/>
      <c r="AI161" s="152"/>
      <c r="AJ161" s="152"/>
      <c r="AK161" s="152"/>
      <c r="AL161" s="205"/>
      <c r="AM161" s="152"/>
      <c r="AN161" s="152"/>
      <c r="AO161" s="152"/>
      <c r="AP161" s="152"/>
      <c r="AQ161" s="152"/>
      <c r="AR161" s="152"/>
      <c r="AS161" s="152"/>
      <c r="AT161" s="152"/>
      <c r="AU161" s="152"/>
      <c r="AV161" s="152"/>
      <c r="AW161" s="152"/>
      <c r="AX161" s="152"/>
      <c r="AY161" s="152"/>
      <c r="AZ161" s="152"/>
      <c r="BA161" s="152"/>
      <c r="BB161" s="152"/>
      <c r="BC161" s="152"/>
      <c r="BD161" s="152"/>
      <c r="BE161" s="152"/>
      <c r="BF161" s="152"/>
      <c r="BG161" s="152"/>
      <c r="BH161" s="152"/>
      <c r="BI161" s="152"/>
      <c r="BJ161" s="152"/>
      <c r="BK161" s="152"/>
      <c r="BL161" s="152"/>
      <c r="BM161" s="152"/>
      <c r="BN161" s="152"/>
      <c r="BO161" s="152"/>
      <c r="BP161" s="152"/>
      <c r="BQ161" s="152"/>
      <c r="BR161" s="152"/>
      <c r="BS161" s="152"/>
      <c r="BT161" s="152"/>
      <c r="BU161" s="152"/>
      <c r="BV161" s="152"/>
      <c r="BW161" s="152"/>
      <c r="BX161" s="152"/>
      <c r="BY161" s="152"/>
      <c r="BZ161" s="152"/>
      <c r="CA161" s="152"/>
      <c r="CB161" s="152"/>
      <c r="CC161" s="152"/>
      <c r="CD161" s="152"/>
      <c r="CE161" s="152"/>
      <c r="CF161" s="152"/>
      <c r="CG161" s="152"/>
      <c r="CH161" s="152"/>
      <c r="CI161" s="152"/>
      <c r="CJ161" s="152"/>
      <c r="CK161" s="152"/>
      <c r="CL161" s="152"/>
      <c r="CM161" s="152"/>
      <c r="CN161" s="152"/>
      <c r="CO161" s="152"/>
      <c r="CP161" s="152"/>
      <c r="CQ161" s="205"/>
      <c r="CR161" s="205"/>
      <c r="CS161" s="205"/>
      <c r="CT161" s="209"/>
      <c r="CU161" s="152"/>
      <c r="CV161" s="152"/>
      <c r="CW161" s="212"/>
      <c r="CX161" s="212"/>
      <c r="CY161" s="212"/>
      <c r="CZ161" s="205"/>
      <c r="DA161" s="205"/>
      <c r="DB161" s="193"/>
    </row>
    <row r="162" spans="1:106">
      <c r="A162" s="154">
        <f t="shared" si="248"/>
        <v>72</v>
      </c>
      <c r="B162" s="161"/>
      <c r="D162" s="154" t="s">
        <v>13985</v>
      </c>
      <c r="E162" s="149">
        <f>+E161-E156</f>
        <v>2635000</v>
      </c>
      <c r="F162" s="152"/>
      <c r="G162" s="152"/>
      <c r="H162" s="152"/>
      <c r="I162" s="152"/>
      <c r="J162" s="152"/>
      <c r="K162" s="152"/>
      <c r="L162" s="205"/>
      <c r="M162" s="152"/>
      <c r="N162" s="152"/>
      <c r="O162" s="205"/>
      <c r="P162" s="152"/>
      <c r="Q162" s="152"/>
      <c r="R162" s="152"/>
      <c r="S162" s="152"/>
      <c r="T162" s="152"/>
      <c r="U162" s="152"/>
      <c r="V162" s="153"/>
      <c r="W162" s="152"/>
      <c r="X162" s="152"/>
      <c r="Y162" s="205"/>
      <c r="Z162" s="152"/>
      <c r="AA162" s="152"/>
      <c r="AB162" s="205"/>
      <c r="AC162" s="152"/>
      <c r="AD162" s="152"/>
      <c r="AE162" s="152"/>
      <c r="AF162" s="152"/>
      <c r="AG162" s="152"/>
      <c r="AH162" s="152"/>
      <c r="AI162" s="152"/>
      <c r="AJ162" s="152"/>
      <c r="AK162" s="152"/>
      <c r="AL162" s="205"/>
      <c r="AM162" s="152"/>
      <c r="AN162" s="152"/>
      <c r="AO162" s="152"/>
      <c r="AP162" s="152"/>
      <c r="AQ162" s="152"/>
      <c r="AR162" s="152"/>
      <c r="AS162" s="152"/>
      <c r="AT162" s="152"/>
      <c r="AU162" s="152"/>
      <c r="AV162" s="152"/>
      <c r="AW162" s="152"/>
      <c r="AX162" s="152"/>
      <c r="AY162" s="152"/>
      <c r="AZ162" s="152"/>
      <c r="BA162" s="152"/>
      <c r="BB162" s="152"/>
      <c r="BC162" s="152"/>
      <c r="BD162" s="152"/>
      <c r="BE162" s="152"/>
      <c r="BF162" s="152"/>
      <c r="BG162" s="152"/>
      <c r="BH162" s="152"/>
      <c r="BI162" s="152"/>
      <c r="BJ162" s="152"/>
      <c r="BK162" s="152"/>
      <c r="BL162" s="152"/>
      <c r="BM162" s="152"/>
      <c r="BN162" s="152"/>
      <c r="BO162" s="152"/>
      <c r="BP162" s="152"/>
      <c r="BQ162" s="152"/>
      <c r="BR162" s="152"/>
      <c r="BS162" s="152"/>
      <c r="BT162" s="152"/>
      <c r="BU162" s="152"/>
      <c r="BV162" s="152"/>
      <c r="BW162" s="152"/>
      <c r="BX162" s="152"/>
      <c r="BY162" s="152"/>
      <c r="BZ162" s="152"/>
      <c r="CA162" s="152"/>
      <c r="CB162" s="152"/>
      <c r="CC162" s="152"/>
      <c r="CD162" s="152"/>
      <c r="CE162" s="152"/>
      <c r="CF162" s="152"/>
      <c r="CG162" s="152"/>
      <c r="CH162" s="152"/>
      <c r="CI162" s="152"/>
      <c r="CJ162" s="152"/>
      <c r="CK162" s="152"/>
      <c r="CL162" s="152"/>
      <c r="CM162" s="152"/>
      <c r="CN162" s="152"/>
      <c r="CO162" s="152"/>
      <c r="CP162" s="152"/>
      <c r="CQ162" s="205"/>
      <c r="CR162" s="205"/>
      <c r="CS162" s="205"/>
      <c r="CT162" s="209"/>
      <c r="CU162" s="152"/>
      <c r="CV162" s="152"/>
      <c r="CW162" s="212"/>
      <c r="CX162" s="212"/>
      <c r="CY162" s="212"/>
      <c r="CZ162" s="205"/>
      <c r="DA162" s="205"/>
      <c r="DB162" s="193"/>
    </row>
    <row r="163" spans="2:106">
      <c r="B163" s="161"/>
      <c r="E163" s="149"/>
      <c r="F163" s="152"/>
      <c r="G163" s="152"/>
      <c r="H163" s="152"/>
      <c r="I163" s="152"/>
      <c r="J163" s="152"/>
      <c r="K163" s="152"/>
      <c r="L163" s="205"/>
      <c r="M163" s="152"/>
      <c r="N163" s="152"/>
      <c r="O163" s="205"/>
      <c r="P163" s="152"/>
      <c r="Q163" s="152"/>
      <c r="R163" s="152"/>
      <c r="S163" s="152"/>
      <c r="T163" s="152"/>
      <c r="U163" s="152"/>
      <c r="V163" s="153"/>
      <c r="W163" s="152"/>
      <c r="X163" s="152"/>
      <c r="Y163" s="205"/>
      <c r="Z163" s="152"/>
      <c r="AA163" s="152"/>
      <c r="AB163" s="205"/>
      <c r="AC163" s="152"/>
      <c r="AD163" s="152"/>
      <c r="AE163" s="152"/>
      <c r="AF163" s="152"/>
      <c r="AG163" s="152"/>
      <c r="AH163" s="152"/>
      <c r="AI163" s="152"/>
      <c r="AJ163" s="152"/>
      <c r="AK163" s="152"/>
      <c r="AL163" s="205"/>
      <c r="AM163" s="152"/>
      <c r="AN163" s="152"/>
      <c r="AO163" s="152"/>
      <c r="AP163" s="152"/>
      <c r="AQ163" s="152"/>
      <c r="AR163" s="152"/>
      <c r="AS163" s="152"/>
      <c r="AT163" s="152"/>
      <c r="AU163" s="152"/>
      <c r="AV163" s="152"/>
      <c r="AW163" s="152"/>
      <c r="AX163" s="152"/>
      <c r="AY163" s="152"/>
      <c r="AZ163" s="152"/>
      <c r="BA163" s="152"/>
      <c r="BB163" s="152"/>
      <c r="BC163" s="152"/>
      <c r="BD163" s="152"/>
      <c r="BE163" s="152"/>
      <c r="BF163" s="152"/>
      <c r="BG163" s="152"/>
      <c r="BH163" s="152"/>
      <c r="BI163" s="152"/>
      <c r="BJ163" s="152"/>
      <c r="BK163" s="152"/>
      <c r="BL163" s="152"/>
      <c r="BM163" s="152"/>
      <c r="BN163" s="152"/>
      <c r="BO163" s="152"/>
      <c r="BP163" s="152"/>
      <c r="BQ163" s="152"/>
      <c r="BR163" s="152"/>
      <c r="BS163" s="152"/>
      <c r="BT163" s="152"/>
      <c r="BU163" s="152"/>
      <c r="BV163" s="152"/>
      <c r="BW163" s="152"/>
      <c r="BX163" s="152"/>
      <c r="BY163" s="152"/>
      <c r="BZ163" s="152"/>
      <c r="CA163" s="152"/>
      <c r="CB163" s="152"/>
      <c r="CC163" s="152"/>
      <c r="CD163" s="152"/>
      <c r="CE163" s="152"/>
      <c r="CF163" s="152"/>
      <c r="CG163" s="152"/>
      <c r="CH163" s="152"/>
      <c r="CI163" s="152"/>
      <c r="CJ163" s="152"/>
      <c r="CK163" s="152"/>
      <c r="CL163" s="152"/>
      <c r="CM163" s="152"/>
      <c r="CN163" s="152"/>
      <c r="CO163" s="152"/>
      <c r="CP163" s="152"/>
      <c r="CQ163" s="205"/>
      <c r="CR163" s="205"/>
      <c r="CS163" s="205"/>
      <c r="CT163" s="209"/>
      <c r="CU163" s="152"/>
      <c r="CV163" s="152"/>
      <c r="CW163" s="212"/>
      <c r="CX163" s="212"/>
      <c r="CY163" s="212"/>
      <c r="CZ163" s="205"/>
      <c r="DA163" s="205"/>
      <c r="DB163" s="193"/>
    </row>
    <row r="164" spans="1:106">
      <c r="A164" s="154">
        <f t="shared" ref="A164:A169" si="249">MAX(A158:A163)+1</f>
        <v>73</v>
      </c>
      <c r="B164" s="161"/>
      <c r="D164" s="154" t="s">
        <v>13986</v>
      </c>
      <c r="E164" s="198" t="e">
        <f ca="true">+F164+CS164+CZ164+DA164</f>
        <v>#REF!</v>
      </c>
      <c r="F164" s="153" t="e">
        <f ca="true">SUM(G164:K164,M164:N164,P164:U164,W164:X164,Z164:AA164,AC164:AK164,AM164:CP164)</f>
        <v>#REF!</v>
      </c>
      <c r="G164" s="152" t="e">
        <f ca="true">G55</f>
        <v>#REF!</v>
      </c>
      <c r="H164" s="152" t="e">
        <f ca="true">H55</f>
        <v>#REF!</v>
      </c>
      <c r="I164" s="152" t="e">
        <f ca="true">I55</f>
        <v>#REF!</v>
      </c>
      <c r="J164" s="152" t="e">
        <f ca="true">J55</f>
        <v>#REF!</v>
      </c>
      <c r="K164" s="152" t="e">
        <f ca="true">K55</f>
        <v>#REF!</v>
      </c>
      <c r="L164" s="205" t="e">
        <f ca="true">+SUM(G164:K164)</f>
        <v>#REF!</v>
      </c>
      <c r="M164" s="152" t="e">
        <f ca="true">M55</f>
        <v>#REF!</v>
      </c>
      <c r="N164" s="152" t="e">
        <f ca="true">N55</f>
        <v>#REF!</v>
      </c>
      <c r="O164" s="205" t="e">
        <f ca="true">+SUM(M164:N164)</f>
        <v>#REF!</v>
      </c>
      <c r="P164" s="152" t="e">
        <f t="shared" ref="P164:U164" ca="true" si="250">P55</f>
        <v>#REF!</v>
      </c>
      <c r="Q164" s="152" t="e">
        <f t="shared" ca="true" si="250"/>
        <v>#REF!</v>
      </c>
      <c r="R164" s="152" t="e">
        <f t="shared" ca="true" si="250"/>
        <v>#REF!</v>
      </c>
      <c r="S164" s="152" t="e">
        <f t="shared" ca="true" si="250"/>
        <v>#REF!</v>
      </c>
      <c r="T164" s="152" t="e">
        <f t="shared" ca="true" si="250"/>
        <v>#REF!</v>
      </c>
      <c r="U164" s="152" t="e">
        <f t="shared" ca="true" si="250"/>
        <v>#REF!</v>
      </c>
      <c r="V164" s="153" t="e">
        <f ca="true">+SUM(P164:U164)</f>
        <v>#REF!</v>
      </c>
      <c r="W164" s="152" t="e">
        <f ca="true">W55</f>
        <v>#REF!</v>
      </c>
      <c r="X164" s="152" t="e">
        <f ca="true">X55</f>
        <v>#REF!</v>
      </c>
      <c r="Y164" s="205" t="e">
        <f ca="true">SUM(V164:X164)</f>
        <v>#REF!</v>
      </c>
      <c r="Z164" s="152" t="e">
        <f ca="true">Z55</f>
        <v>#REF!</v>
      </c>
      <c r="AA164" s="152" t="e">
        <f ca="true">AA55</f>
        <v>#REF!</v>
      </c>
      <c r="AB164" s="205" t="e">
        <f ca="true">+SUM(Z164:AA164)</f>
        <v>#REF!</v>
      </c>
      <c r="AC164" s="152" t="e">
        <f t="shared" ref="AC164:AK164" ca="true" si="251">AC55</f>
        <v>#REF!</v>
      </c>
      <c r="AD164" s="152" t="e">
        <f t="shared" ca="true" si="251"/>
        <v>#REF!</v>
      </c>
      <c r="AE164" s="152" t="e">
        <f t="shared" ca="true" si="251"/>
        <v>#REF!</v>
      </c>
      <c r="AF164" s="152" t="e">
        <f t="shared" ca="true" si="251"/>
        <v>#REF!</v>
      </c>
      <c r="AG164" s="152" t="e">
        <f t="shared" ca="true" si="251"/>
        <v>#REF!</v>
      </c>
      <c r="AH164" s="152" t="e">
        <f t="shared" ca="true" si="251"/>
        <v>#REF!</v>
      </c>
      <c r="AI164" s="152" t="e">
        <f t="shared" ca="true" si="251"/>
        <v>#REF!</v>
      </c>
      <c r="AJ164" s="152" t="e">
        <f t="shared" ca="true" si="251"/>
        <v>#REF!</v>
      </c>
      <c r="AK164" s="152" t="e">
        <f t="shared" ca="true" si="251"/>
        <v>#REF!</v>
      </c>
      <c r="AL164" s="205" t="e">
        <f ca="true">SUM(AF164:AK164)</f>
        <v>#REF!</v>
      </c>
      <c r="AM164" s="152" t="e">
        <f t="shared" ref="AM164:CO164" ca="true" si="252">AM55</f>
        <v>#REF!</v>
      </c>
      <c r="AN164" s="152" t="e">
        <f t="shared" ca="true" si="252"/>
        <v>#REF!</v>
      </c>
      <c r="AO164" s="152" t="e">
        <f t="shared" ca="true" si="252"/>
        <v>#REF!</v>
      </c>
      <c r="AP164" s="152" t="e">
        <f t="shared" ca="true" si="252"/>
        <v>#REF!</v>
      </c>
      <c r="AQ164" s="152" t="e">
        <f t="shared" ca="true" si="252"/>
        <v>#REF!</v>
      </c>
      <c r="AR164" s="152" t="e">
        <f t="shared" ca="true" si="252"/>
        <v>#REF!</v>
      </c>
      <c r="AS164" s="152" t="e">
        <f t="shared" ca="true" si="252"/>
        <v>#REF!</v>
      </c>
      <c r="AT164" s="152" t="e">
        <f t="shared" ca="true" si="252"/>
        <v>#REF!</v>
      </c>
      <c r="AU164" s="152" t="e">
        <f t="shared" ca="true" si="252"/>
        <v>#REF!</v>
      </c>
      <c r="AV164" s="152" t="e">
        <f t="shared" ca="true" si="252"/>
        <v>#REF!</v>
      </c>
      <c r="AW164" s="152" t="e">
        <f t="shared" ca="true" si="252"/>
        <v>#REF!</v>
      </c>
      <c r="AX164" s="152" t="e">
        <f t="shared" ca="true" si="252"/>
        <v>#REF!</v>
      </c>
      <c r="AY164" s="152" t="e">
        <f t="shared" ca="true" si="252"/>
        <v>#REF!</v>
      </c>
      <c r="AZ164" s="152" t="e">
        <f t="shared" ca="true" si="252"/>
        <v>#REF!</v>
      </c>
      <c r="BA164" s="152" t="e">
        <f t="shared" ca="true" si="252"/>
        <v>#REF!</v>
      </c>
      <c r="BB164" s="152" t="e">
        <f t="shared" ca="true" si="252"/>
        <v>#REF!</v>
      </c>
      <c r="BC164" s="152" t="e">
        <f t="shared" ca="true" si="252"/>
        <v>#REF!</v>
      </c>
      <c r="BD164" s="152" t="e">
        <f t="shared" ca="true" si="252"/>
        <v>#REF!</v>
      </c>
      <c r="BE164" s="152" t="e">
        <f t="shared" ca="true" si="252"/>
        <v>#REF!</v>
      </c>
      <c r="BF164" s="152" t="e">
        <f t="shared" ca="true" si="252"/>
        <v>#REF!</v>
      </c>
      <c r="BG164" s="152" t="e">
        <f t="shared" ca="true" si="252"/>
        <v>#REF!</v>
      </c>
      <c r="BH164" s="152" t="e">
        <f t="shared" ca="true" si="252"/>
        <v>#REF!</v>
      </c>
      <c r="BI164" s="152" t="e">
        <f t="shared" ca="true" si="252"/>
        <v>#REF!</v>
      </c>
      <c r="BJ164" s="152" t="e">
        <f t="shared" ca="true" si="252"/>
        <v>#REF!</v>
      </c>
      <c r="BK164" s="152" t="e">
        <f t="shared" ca="true" si="252"/>
        <v>#REF!</v>
      </c>
      <c r="BL164" s="152" t="e">
        <f t="shared" ca="true" si="252"/>
        <v>#REF!</v>
      </c>
      <c r="BM164" s="152" t="e">
        <f t="shared" ca="true" si="252"/>
        <v>#REF!</v>
      </c>
      <c r="BN164" s="152" t="e">
        <f t="shared" ca="true" si="252"/>
        <v>#REF!</v>
      </c>
      <c r="BO164" s="152" t="e">
        <f t="shared" ca="true" si="252"/>
        <v>#REF!</v>
      </c>
      <c r="BP164" s="152" t="e">
        <f t="shared" ca="true" si="252"/>
        <v>#REF!</v>
      </c>
      <c r="BQ164" s="152" t="e">
        <f t="shared" ca="true" si="252"/>
        <v>#REF!</v>
      </c>
      <c r="BR164" s="152" t="e">
        <f t="shared" ca="true" si="252"/>
        <v>#REF!</v>
      </c>
      <c r="BS164" s="152" t="e">
        <f t="shared" ca="true" si="252"/>
        <v>#REF!</v>
      </c>
      <c r="BT164" s="152" t="e">
        <f t="shared" ca="true" si="252"/>
        <v>#REF!</v>
      </c>
      <c r="BU164" s="152" t="e">
        <f t="shared" ca="true" si="252"/>
        <v>#REF!</v>
      </c>
      <c r="BV164" s="152" t="e">
        <f t="shared" ca="true" si="252"/>
        <v>#REF!</v>
      </c>
      <c r="BW164" s="152" t="e">
        <f t="shared" ca="true" si="252"/>
        <v>#REF!</v>
      </c>
      <c r="BX164" s="152" t="e">
        <f t="shared" ca="true" si="252"/>
        <v>#REF!</v>
      </c>
      <c r="BY164" s="152" t="e">
        <f t="shared" ca="true" si="252"/>
        <v>#REF!</v>
      </c>
      <c r="BZ164" s="152" t="e">
        <f t="shared" ca="true" si="252"/>
        <v>#REF!</v>
      </c>
      <c r="CA164" s="152" t="e">
        <f t="shared" ca="true" si="252"/>
        <v>#REF!</v>
      </c>
      <c r="CB164" s="152" t="e">
        <f t="shared" ca="true" si="252"/>
        <v>#REF!</v>
      </c>
      <c r="CC164" s="152" t="e">
        <f t="shared" ca="true" si="252"/>
        <v>#REF!</v>
      </c>
      <c r="CD164" s="152" t="e">
        <f t="shared" ca="true" si="252"/>
        <v>#REF!</v>
      </c>
      <c r="CE164" s="152" t="e">
        <f t="shared" ca="true" si="252"/>
        <v>#REF!</v>
      </c>
      <c r="CF164" s="152" t="e">
        <f t="shared" ca="true" si="252"/>
        <v>#REF!</v>
      </c>
      <c r="CG164" s="152" t="e">
        <f t="shared" ca="true" si="252"/>
        <v>#REF!</v>
      </c>
      <c r="CH164" s="152" t="e">
        <f t="shared" ca="true" si="252"/>
        <v>#REF!</v>
      </c>
      <c r="CI164" s="152" t="e">
        <f t="shared" ca="true" si="252"/>
        <v>#REF!</v>
      </c>
      <c r="CJ164" s="152" t="e">
        <f t="shared" ca="true" si="252"/>
        <v>#REF!</v>
      </c>
      <c r="CK164" s="152" t="e">
        <f t="shared" ca="true" si="252"/>
        <v>#REF!</v>
      </c>
      <c r="CL164" s="152" t="e">
        <f t="shared" ca="true" si="252"/>
        <v>#REF!</v>
      </c>
      <c r="CM164" s="152" t="e">
        <f t="shared" ca="true" si="252"/>
        <v>#REF!</v>
      </c>
      <c r="CN164" s="152" t="e">
        <f t="shared" ca="true" si="252"/>
        <v>#REF!</v>
      </c>
      <c r="CO164" s="152" t="e">
        <f t="shared" ca="true" si="252"/>
        <v>#REF!</v>
      </c>
      <c r="CP164" s="152"/>
      <c r="CQ164" s="205" t="e">
        <f ca="true">+SUM(AM164:CP164)</f>
        <v>#REF!</v>
      </c>
      <c r="CR164" s="205" t="e">
        <f ca="true">SUM(AL164,CQ164)</f>
        <v>#REF!</v>
      </c>
      <c r="CS164" s="205" t="e">
        <f ca="true">SUM(CY164:CY164)</f>
        <v>#REF!</v>
      </c>
      <c r="CT164" s="209" t="e">
        <f t="shared" ref="CT164:DA164" ca="true" si="253">CT55</f>
        <v>#REF!</v>
      </c>
      <c r="CU164" s="152" t="e">
        <f t="shared" ca="true" si="253"/>
        <v>#REF!</v>
      </c>
      <c r="CV164" s="152" t="e">
        <f t="shared" ca="true" si="253"/>
        <v>#REF!</v>
      </c>
      <c r="CW164" s="212" t="e">
        <f t="shared" ca="true" si="253"/>
        <v>#REF!</v>
      </c>
      <c r="CX164" s="212">
        <f t="shared" ca="true" si="253"/>
        <v>0</v>
      </c>
      <c r="CY164" s="212" t="e">
        <f t="shared" ca="true" si="253"/>
        <v>#REF!</v>
      </c>
      <c r="CZ164" s="205" t="e">
        <f t="shared" ca="true" si="253"/>
        <v>#REF!</v>
      </c>
      <c r="DA164" s="205" t="e">
        <f t="shared" ca="true" si="253"/>
        <v>#REF!</v>
      </c>
      <c r="DB164" s="193"/>
    </row>
    <row r="165" spans="1:106">
      <c r="A165" s="154">
        <f t="shared" si="249"/>
        <v>74</v>
      </c>
      <c r="B165" s="161"/>
      <c r="D165" s="154" t="s">
        <v>13987</v>
      </c>
      <c r="E165" s="198" t="e">
        <f ca="true">+F165+CS165+CZ165+DA165</f>
        <v>#REF!</v>
      </c>
      <c r="F165" s="153" t="e">
        <f ca="true">SUM(G165:K165,M165:N165,P165:U165,W165:X165,Z165:AA165,AC165:AK165,AM165:CP165)</f>
        <v>#REF!</v>
      </c>
      <c r="G165" s="152" t="e">
        <f ca="true">SUM(G154:G164)</f>
        <v>#REF!</v>
      </c>
      <c r="H165" s="152" t="e">
        <f ca="true">SUM(H154:H164)</f>
        <v>#REF!</v>
      </c>
      <c r="I165" s="152" t="e">
        <f ca="true">SUM(I154:I164)</f>
        <v>#REF!</v>
      </c>
      <c r="J165" s="152" t="e">
        <f ca="true">SUM(J154:J164)</f>
        <v>#REF!</v>
      </c>
      <c r="K165" s="152" t="e">
        <f ca="true">SUM(K154:K164)</f>
        <v>#REF!</v>
      </c>
      <c r="L165" s="205" t="e">
        <f ca="true">+SUM(G165:K165)</f>
        <v>#REF!</v>
      </c>
      <c r="M165" s="152" t="e">
        <f ca="true">SUM(M154:M164)</f>
        <v>#REF!</v>
      </c>
      <c r="N165" s="152" t="e">
        <f ca="true">SUM(N154:N164)</f>
        <v>#REF!</v>
      </c>
      <c r="O165" s="205" t="e">
        <f ca="true">+SUM(M165:N165)</f>
        <v>#REF!</v>
      </c>
      <c r="P165" s="152" t="e">
        <f t="shared" ref="P165:U165" ca="true" si="254">SUM(P154:P164)</f>
        <v>#REF!</v>
      </c>
      <c r="Q165" s="152" t="e">
        <f t="shared" ca="true" si="254"/>
        <v>#REF!</v>
      </c>
      <c r="R165" s="152" t="e">
        <f t="shared" ca="true" si="254"/>
        <v>#REF!</v>
      </c>
      <c r="S165" s="152" t="e">
        <f t="shared" ca="true" si="254"/>
        <v>#REF!</v>
      </c>
      <c r="T165" s="152" t="e">
        <f t="shared" ca="true" si="254"/>
        <v>#REF!</v>
      </c>
      <c r="U165" s="152" t="e">
        <f t="shared" ca="true" si="254"/>
        <v>#REF!</v>
      </c>
      <c r="V165" s="153" t="e">
        <f ca="true">+SUM(P165:U165)</f>
        <v>#REF!</v>
      </c>
      <c r="W165" s="152" t="e">
        <f ca="true">SUM(W154:W164)</f>
        <v>#REF!</v>
      </c>
      <c r="X165" s="152" t="e">
        <f ca="true">SUM(X154:X164)</f>
        <v>#REF!</v>
      </c>
      <c r="Y165" s="205" t="e">
        <f ca="true">SUM(V165:X165)</f>
        <v>#REF!</v>
      </c>
      <c r="Z165" s="152" t="e">
        <f ca="true">SUM(Z154:Z164)</f>
        <v>#REF!</v>
      </c>
      <c r="AA165" s="152" t="e">
        <f ca="true">SUM(AA154:AA164)</f>
        <v>#REF!</v>
      </c>
      <c r="AB165" s="205" t="e">
        <f ca="true">+SUM(Z165:AA165)</f>
        <v>#REF!</v>
      </c>
      <c r="AC165" s="152" t="e">
        <f t="shared" ref="AC165:AK165" ca="true" si="255">SUM(AC154:AC164)</f>
        <v>#REF!</v>
      </c>
      <c r="AD165" s="152" t="e">
        <f t="shared" ca="true" si="255"/>
        <v>#REF!</v>
      </c>
      <c r="AE165" s="152" t="e">
        <f t="shared" ca="true" si="255"/>
        <v>#REF!</v>
      </c>
      <c r="AF165" s="152" t="e">
        <f t="shared" ca="true" si="255"/>
        <v>#REF!</v>
      </c>
      <c r="AG165" s="152" t="e">
        <f t="shared" ca="true" si="255"/>
        <v>#REF!</v>
      </c>
      <c r="AH165" s="152" t="e">
        <f t="shared" ca="true" si="255"/>
        <v>#REF!</v>
      </c>
      <c r="AI165" s="152" t="e">
        <f t="shared" ca="true" si="255"/>
        <v>#REF!</v>
      </c>
      <c r="AJ165" s="152" t="e">
        <f t="shared" ca="true" si="255"/>
        <v>#REF!</v>
      </c>
      <c r="AK165" s="152" t="e">
        <f t="shared" ca="true" si="255"/>
        <v>#REF!</v>
      </c>
      <c r="AL165" s="205" t="e">
        <f ca="true">SUM(AF165:AK165)</f>
        <v>#REF!</v>
      </c>
      <c r="AM165" s="152" t="e">
        <f t="shared" ref="AM165:CO165" ca="true" si="256">SUM(AM154:AM164)</f>
        <v>#REF!</v>
      </c>
      <c r="AN165" s="152" t="e">
        <f t="shared" ca="true" si="256"/>
        <v>#REF!</v>
      </c>
      <c r="AO165" s="152" t="e">
        <f t="shared" ca="true" si="256"/>
        <v>#REF!</v>
      </c>
      <c r="AP165" s="152" t="e">
        <f t="shared" ca="true" si="256"/>
        <v>#REF!</v>
      </c>
      <c r="AQ165" s="152" t="e">
        <f t="shared" ca="true" si="256"/>
        <v>#REF!</v>
      </c>
      <c r="AR165" s="152" t="e">
        <f t="shared" ca="true" si="256"/>
        <v>#REF!</v>
      </c>
      <c r="AS165" s="152" t="e">
        <f t="shared" ca="true" si="256"/>
        <v>#REF!</v>
      </c>
      <c r="AT165" s="152" t="e">
        <f t="shared" ca="true" si="256"/>
        <v>#REF!</v>
      </c>
      <c r="AU165" s="152" t="e">
        <f t="shared" ca="true" si="256"/>
        <v>#REF!</v>
      </c>
      <c r="AV165" s="152" t="e">
        <f t="shared" ca="true" si="256"/>
        <v>#REF!</v>
      </c>
      <c r="AW165" s="152" t="e">
        <f t="shared" ca="true" si="256"/>
        <v>#REF!</v>
      </c>
      <c r="AX165" s="152" t="e">
        <f t="shared" ca="true" si="256"/>
        <v>#REF!</v>
      </c>
      <c r="AY165" s="152" t="e">
        <f t="shared" ca="true" si="256"/>
        <v>#REF!</v>
      </c>
      <c r="AZ165" s="152" t="e">
        <f t="shared" ca="true" si="256"/>
        <v>#REF!</v>
      </c>
      <c r="BA165" s="152" t="e">
        <f t="shared" ca="true" si="256"/>
        <v>#REF!</v>
      </c>
      <c r="BB165" s="152" t="e">
        <f t="shared" ca="true" si="256"/>
        <v>#REF!</v>
      </c>
      <c r="BC165" s="152" t="e">
        <f t="shared" ca="true" si="256"/>
        <v>#REF!</v>
      </c>
      <c r="BD165" s="152" t="e">
        <f t="shared" ca="true" si="256"/>
        <v>#REF!</v>
      </c>
      <c r="BE165" s="152" t="e">
        <f t="shared" ca="true" si="256"/>
        <v>#REF!</v>
      </c>
      <c r="BF165" s="152" t="e">
        <f t="shared" ca="true" si="256"/>
        <v>#REF!</v>
      </c>
      <c r="BG165" s="152" t="e">
        <f t="shared" ca="true" si="256"/>
        <v>#REF!</v>
      </c>
      <c r="BH165" s="152" t="e">
        <f t="shared" ca="true" si="256"/>
        <v>#REF!</v>
      </c>
      <c r="BI165" s="152" t="e">
        <f t="shared" ca="true" si="256"/>
        <v>#REF!</v>
      </c>
      <c r="BJ165" s="152" t="e">
        <f t="shared" ca="true" si="256"/>
        <v>#REF!</v>
      </c>
      <c r="BK165" s="152" t="e">
        <f t="shared" ca="true" si="256"/>
        <v>#REF!</v>
      </c>
      <c r="BL165" s="152" t="e">
        <f t="shared" ca="true" si="256"/>
        <v>#REF!</v>
      </c>
      <c r="BM165" s="152" t="e">
        <f t="shared" ca="true" si="256"/>
        <v>#REF!</v>
      </c>
      <c r="BN165" s="152" t="e">
        <f t="shared" ca="true" si="256"/>
        <v>#REF!</v>
      </c>
      <c r="BO165" s="152" t="e">
        <f t="shared" ca="true" si="256"/>
        <v>#REF!</v>
      </c>
      <c r="BP165" s="152" t="e">
        <f t="shared" ca="true" si="256"/>
        <v>#REF!</v>
      </c>
      <c r="BQ165" s="152" t="e">
        <f t="shared" ca="true" si="256"/>
        <v>#REF!</v>
      </c>
      <c r="BR165" s="152" t="e">
        <f t="shared" ca="true" si="256"/>
        <v>#REF!</v>
      </c>
      <c r="BS165" s="152" t="e">
        <f t="shared" ca="true" si="256"/>
        <v>#REF!</v>
      </c>
      <c r="BT165" s="152" t="e">
        <f t="shared" ca="true" si="256"/>
        <v>#REF!</v>
      </c>
      <c r="BU165" s="152" t="e">
        <f t="shared" ca="true" si="256"/>
        <v>#REF!</v>
      </c>
      <c r="BV165" s="152" t="e">
        <f t="shared" ca="true" si="256"/>
        <v>#REF!</v>
      </c>
      <c r="BW165" s="152" t="e">
        <f t="shared" ca="true" si="256"/>
        <v>#REF!</v>
      </c>
      <c r="BX165" s="152" t="e">
        <f t="shared" ca="true" si="256"/>
        <v>#REF!</v>
      </c>
      <c r="BY165" s="152" t="e">
        <f t="shared" ca="true" si="256"/>
        <v>#REF!</v>
      </c>
      <c r="BZ165" s="152" t="e">
        <f t="shared" ca="true" si="256"/>
        <v>#REF!</v>
      </c>
      <c r="CA165" s="152" t="e">
        <f t="shared" ca="true" si="256"/>
        <v>#REF!</v>
      </c>
      <c r="CB165" s="152" t="e">
        <f t="shared" ca="true" si="256"/>
        <v>#REF!</v>
      </c>
      <c r="CC165" s="152" t="e">
        <f t="shared" ca="true" si="256"/>
        <v>#REF!</v>
      </c>
      <c r="CD165" s="152" t="e">
        <f t="shared" ca="true" si="256"/>
        <v>#REF!</v>
      </c>
      <c r="CE165" s="152" t="e">
        <f t="shared" ca="true" si="256"/>
        <v>#REF!</v>
      </c>
      <c r="CF165" s="152" t="e">
        <f t="shared" ca="true" si="256"/>
        <v>#REF!</v>
      </c>
      <c r="CG165" s="152" t="e">
        <f t="shared" ca="true" si="256"/>
        <v>#REF!</v>
      </c>
      <c r="CH165" s="152" t="e">
        <f t="shared" ca="true" si="256"/>
        <v>#REF!</v>
      </c>
      <c r="CI165" s="152" t="e">
        <f t="shared" ca="true" si="256"/>
        <v>#REF!</v>
      </c>
      <c r="CJ165" s="152" t="e">
        <f t="shared" ca="true" si="256"/>
        <v>#REF!</v>
      </c>
      <c r="CK165" s="152" t="e">
        <f t="shared" ca="true" si="256"/>
        <v>#REF!</v>
      </c>
      <c r="CL165" s="152" t="e">
        <f t="shared" ca="true" si="256"/>
        <v>#REF!</v>
      </c>
      <c r="CM165" s="152" t="e">
        <f t="shared" ca="true" si="256"/>
        <v>#REF!</v>
      </c>
      <c r="CN165" s="152" t="e">
        <f t="shared" ca="true" si="256"/>
        <v>#REF!</v>
      </c>
      <c r="CO165" s="152" t="e">
        <f t="shared" ca="true" si="256"/>
        <v>#REF!</v>
      </c>
      <c r="CP165" s="152"/>
      <c r="CQ165" s="205" t="e">
        <f ca="true">+SUM(AM165:CP165)</f>
        <v>#REF!</v>
      </c>
      <c r="CR165" s="205" t="e">
        <f ca="true">SUM(AL165,CQ165)</f>
        <v>#REF!</v>
      </c>
      <c r="CS165" s="205" t="e">
        <f ca="true">SUM(CY165:CY165)</f>
        <v>#REF!</v>
      </c>
      <c r="CT165" s="209" t="e">
        <f t="shared" ref="CT165:DA165" ca="true" si="257">SUM(CT154:CT164)</f>
        <v>#REF!</v>
      </c>
      <c r="CU165" s="152" t="e">
        <f t="shared" ca="true" si="257"/>
        <v>#REF!</v>
      </c>
      <c r="CV165" s="152" t="e">
        <f t="shared" ca="true" si="257"/>
        <v>#REF!</v>
      </c>
      <c r="CW165" s="212" t="e">
        <f t="shared" ca="true" si="257"/>
        <v>#REF!</v>
      </c>
      <c r="CX165" s="212">
        <f t="shared" ca="true" si="257"/>
        <v>0</v>
      </c>
      <c r="CY165" s="212" t="e">
        <f t="shared" ca="true" si="257"/>
        <v>#REF!</v>
      </c>
      <c r="CZ165" s="205" t="e">
        <f t="shared" ca="true" si="257"/>
        <v>#REF!</v>
      </c>
      <c r="DA165" s="205" t="e">
        <f t="shared" ca="true" si="257"/>
        <v>#REF!</v>
      </c>
      <c r="DB165" s="193"/>
    </row>
    <row r="166" spans="1:106">
      <c r="A166" s="154">
        <f t="shared" si="249"/>
        <v>75</v>
      </c>
      <c r="B166" s="161"/>
      <c r="D166" s="154" t="s">
        <v>13988</v>
      </c>
      <c r="E166" s="198">
        <f ca="true">+F166+CS166+CZ166+DA166</f>
        <v>6119172.92</v>
      </c>
      <c r="F166" s="153">
        <f ca="true">SUM(G166:K166,M166:N166,P166:U166,W166:X166,Z166:AA166,AC166:AK166,AM166:CP166)</f>
        <v>5830011.28</v>
      </c>
      <c r="G166" s="152">
        <f ca="true">G61</f>
        <v>2464107.35</v>
      </c>
      <c r="H166" s="152">
        <f ca="true">H61</f>
        <v>0</v>
      </c>
      <c r="I166" s="152">
        <f ca="true">I61</f>
        <v>0</v>
      </c>
      <c r="J166" s="152">
        <f ca="true">J61</f>
        <v>0</v>
      </c>
      <c r="K166" s="152">
        <f ca="true">K61</f>
        <v>22042.25</v>
      </c>
      <c r="L166" s="205">
        <f ca="true">+SUM(G166:K166)</f>
        <v>2486149.6</v>
      </c>
      <c r="M166" s="152">
        <f ca="true">M61</f>
        <v>1726370.53</v>
      </c>
      <c r="N166" s="152">
        <f ca="true">N61</f>
        <v>0</v>
      </c>
      <c r="O166" s="205">
        <f ca="true">+SUM(M166:N166)</f>
        <v>1726370.53</v>
      </c>
      <c r="P166" s="152">
        <f t="shared" ref="P166:U166" ca="true" si="258">P61</f>
        <v>120821.63</v>
      </c>
      <c r="Q166" s="152">
        <f t="shared" ca="true" si="258"/>
        <v>7586.11</v>
      </c>
      <c r="R166" s="152">
        <f t="shared" ca="true" si="258"/>
        <v>15212.52</v>
      </c>
      <c r="S166" s="152">
        <f t="shared" ca="true" si="258"/>
        <v>11142.28</v>
      </c>
      <c r="T166" s="152">
        <f t="shared" ca="true" si="258"/>
        <v>7278.2</v>
      </c>
      <c r="U166" s="152">
        <f t="shared" ca="true" si="258"/>
        <v>22234.57</v>
      </c>
      <c r="V166" s="153">
        <f ca="true">+SUM(P166:U166)</f>
        <v>184275.31</v>
      </c>
      <c r="W166" s="152">
        <f ca="true">W61</f>
        <v>41467.04</v>
      </c>
      <c r="X166" s="152">
        <f ca="true">X61</f>
        <v>66457.56</v>
      </c>
      <c r="Y166" s="205">
        <f ca="true">SUM(V166:X166)</f>
        <v>292199.91</v>
      </c>
      <c r="Z166" s="152">
        <f ca="true">Z61</f>
        <v>67126.53</v>
      </c>
      <c r="AA166" s="152">
        <f ca="true">AA61</f>
        <v>-785.55</v>
      </c>
      <c r="AB166" s="205">
        <f ca="true">+SUM(Z166:AA166)</f>
        <v>66340.98</v>
      </c>
      <c r="AC166" s="152">
        <f t="shared" ref="AC166:AK166" ca="true" si="259">AC61</f>
        <v>73090.45</v>
      </c>
      <c r="AD166" s="152">
        <f t="shared" ca="true" si="259"/>
        <v>16727.2</v>
      </c>
      <c r="AE166" s="152">
        <f t="shared" ca="true" si="259"/>
        <v>9599.42</v>
      </c>
      <c r="AF166" s="152">
        <f t="shared" ca="true" si="259"/>
        <v>21519.96</v>
      </c>
      <c r="AG166" s="152">
        <f t="shared" ca="true" si="259"/>
        <v>28968.29</v>
      </c>
      <c r="AH166" s="152">
        <f t="shared" ca="true" si="259"/>
        <v>15854.98</v>
      </c>
      <c r="AI166" s="152">
        <f t="shared" ca="true" si="259"/>
        <v>21855.01</v>
      </c>
      <c r="AJ166" s="152">
        <f t="shared" ca="true" si="259"/>
        <v>29907.08</v>
      </c>
      <c r="AK166" s="152">
        <f t="shared" ca="true" si="259"/>
        <v>26237.78</v>
      </c>
      <c r="AL166" s="205">
        <f ca="true">SUM(AF166:AK166)</f>
        <v>144343.1</v>
      </c>
      <c r="AM166" s="152">
        <f t="shared" ref="AM166:CO166" ca="true" si="260">AM61</f>
        <v>39.69</v>
      </c>
      <c r="AN166" s="152">
        <f t="shared" ca="true" si="260"/>
        <v>14314.7</v>
      </c>
      <c r="AO166" s="152">
        <f t="shared" ca="true" si="260"/>
        <v>30165.97</v>
      </c>
      <c r="AP166" s="152">
        <f t="shared" ca="true" si="260"/>
        <v>0</v>
      </c>
      <c r="AQ166" s="152">
        <f t="shared" ca="true" si="260"/>
        <v>33100.88</v>
      </c>
      <c r="AR166" s="152">
        <f t="shared" ca="true" si="260"/>
        <v>0</v>
      </c>
      <c r="AS166" s="152">
        <f t="shared" ca="true" si="260"/>
        <v>11078.66</v>
      </c>
      <c r="AT166" s="152">
        <f t="shared" ca="true" si="260"/>
        <v>15067.99</v>
      </c>
      <c r="AU166" s="152">
        <f t="shared" ca="true" si="260"/>
        <v>20277.41</v>
      </c>
      <c r="AV166" s="152">
        <f t="shared" ca="true" si="260"/>
        <v>21033.44</v>
      </c>
      <c r="AW166" s="152">
        <f t="shared" ca="true" si="260"/>
        <v>0</v>
      </c>
      <c r="AX166" s="152">
        <f t="shared" ca="true" si="260"/>
        <v>0</v>
      </c>
      <c r="AY166" s="152">
        <f t="shared" ca="true" si="260"/>
        <v>0</v>
      </c>
      <c r="AZ166" s="152">
        <f t="shared" ca="true" si="260"/>
        <v>6178.86</v>
      </c>
      <c r="BA166" s="152">
        <f t="shared" ca="true" si="260"/>
        <v>23298.94</v>
      </c>
      <c r="BB166" s="152">
        <f t="shared" ca="true" si="260"/>
        <v>0</v>
      </c>
      <c r="BC166" s="152">
        <f t="shared" ca="true" si="260"/>
        <v>35702.52</v>
      </c>
      <c r="BD166" s="152">
        <f t="shared" ca="true" si="260"/>
        <v>21855.01</v>
      </c>
      <c r="BE166" s="152">
        <f t="shared" ca="true" si="260"/>
        <v>19084.84</v>
      </c>
      <c r="BF166" s="152">
        <f t="shared" ca="true" si="260"/>
        <v>53574.87</v>
      </c>
      <c r="BG166" s="152">
        <f t="shared" ca="true" si="260"/>
        <v>31330.48</v>
      </c>
      <c r="BH166" s="152">
        <f t="shared" ca="true" si="260"/>
        <v>0</v>
      </c>
      <c r="BI166" s="152">
        <f t="shared" ca="true" si="260"/>
        <v>23186.23</v>
      </c>
      <c r="BJ166" s="152">
        <f t="shared" ca="true" si="260"/>
        <v>0</v>
      </c>
      <c r="BK166" s="152">
        <f t="shared" ca="true" si="260"/>
        <v>2850.56</v>
      </c>
      <c r="BL166" s="152">
        <f t="shared" ca="true" si="260"/>
        <v>21171.73</v>
      </c>
      <c r="BM166" s="152">
        <f t="shared" ca="true" si="260"/>
        <v>35026.5</v>
      </c>
      <c r="BN166" s="152">
        <f t="shared" ca="true" si="260"/>
        <v>20589.16</v>
      </c>
      <c r="BO166" s="152">
        <f t="shared" ca="true" si="260"/>
        <v>0</v>
      </c>
      <c r="BP166" s="152">
        <f t="shared" ca="true" si="260"/>
        <v>23825.11</v>
      </c>
      <c r="BQ166" s="152">
        <f t="shared" ca="true" si="260"/>
        <v>21038.79</v>
      </c>
      <c r="BR166" s="152">
        <f t="shared" ca="true" si="260"/>
        <v>12091.58</v>
      </c>
      <c r="BS166" s="152">
        <f t="shared" ca="true" si="260"/>
        <v>0</v>
      </c>
      <c r="BT166" s="152">
        <f t="shared" ca="true" si="260"/>
        <v>0</v>
      </c>
      <c r="BU166" s="152">
        <f t="shared" ca="true" si="260"/>
        <v>0</v>
      </c>
      <c r="BV166" s="152">
        <f t="shared" ca="true" si="260"/>
        <v>0</v>
      </c>
      <c r="BW166" s="152">
        <f t="shared" ca="true" si="260"/>
        <v>78548.95</v>
      </c>
      <c r="BX166" s="152">
        <f t="shared" ca="true" si="260"/>
        <v>65438.26</v>
      </c>
      <c r="BY166" s="152">
        <f t="shared" ca="true" si="260"/>
        <v>0</v>
      </c>
      <c r="BZ166" s="152">
        <f t="shared" ca="true" si="260"/>
        <v>9655.37</v>
      </c>
      <c r="CA166" s="152">
        <f t="shared" ca="true" si="260"/>
        <v>42631.54</v>
      </c>
      <c r="CB166" s="152">
        <f t="shared" ca="true" si="260"/>
        <v>41137.04</v>
      </c>
      <c r="CC166" s="152">
        <f t="shared" ca="true" si="260"/>
        <v>17464.09</v>
      </c>
      <c r="CD166" s="152">
        <f t="shared" ca="true" si="260"/>
        <v>24985.08</v>
      </c>
      <c r="CE166" s="152">
        <f t="shared" ca="true" si="260"/>
        <v>27429.89</v>
      </c>
      <c r="CF166" s="152">
        <f t="shared" ca="true" si="260"/>
        <v>0</v>
      </c>
      <c r="CG166" s="152">
        <f t="shared" ca="true" si="260"/>
        <v>5828.43</v>
      </c>
      <c r="CH166" s="152">
        <f t="shared" ca="true" si="260"/>
        <v>1563.76</v>
      </c>
      <c r="CI166" s="152">
        <f t="shared" ca="true" si="260"/>
        <v>16687.57</v>
      </c>
      <c r="CJ166" s="152">
        <f t="shared" ca="true" si="260"/>
        <v>23082</v>
      </c>
      <c r="CK166" s="152">
        <f t="shared" ca="true" si="260"/>
        <v>5369.29</v>
      </c>
      <c r="CL166" s="152">
        <f t="shared" ca="true" si="260"/>
        <v>18775.38</v>
      </c>
      <c r="CM166" s="152">
        <f t="shared" ca="true" si="260"/>
        <v>47269.03</v>
      </c>
      <c r="CN166" s="152">
        <f t="shared" ca="true" si="260"/>
        <v>51430.9</v>
      </c>
      <c r="CO166" s="152">
        <f t="shared" ca="true" si="260"/>
        <v>42009.59</v>
      </c>
      <c r="CP166" s="152"/>
      <c r="CQ166" s="205">
        <f ca="true">+SUM(AM166:CP166)</f>
        <v>1015190.09</v>
      </c>
      <c r="CR166" s="205">
        <f ca="true">SUM(AL166,CQ166)</f>
        <v>1159533.19</v>
      </c>
      <c r="CS166" s="205">
        <f ca="true">SUM(CY166:CY166)</f>
        <v>171317.57</v>
      </c>
      <c r="CT166" s="209">
        <f t="shared" ref="CT166:DA166" ca="true" si="261">CT61</f>
        <v>0</v>
      </c>
      <c r="CU166" s="152">
        <f t="shared" ca="true" si="261"/>
        <v>22652.59</v>
      </c>
      <c r="CV166" s="152">
        <f t="shared" ca="true" si="261"/>
        <v>148664.98</v>
      </c>
      <c r="CW166" s="212">
        <f t="shared" ca="true" si="261"/>
        <v>0</v>
      </c>
      <c r="CX166" s="212">
        <f t="shared" ca="true" si="261"/>
        <v>0</v>
      </c>
      <c r="CY166" s="212">
        <f t="shared" ca="true" si="261"/>
        <v>171317.57</v>
      </c>
      <c r="CZ166" s="205">
        <f t="shared" ca="true" si="261"/>
        <v>0</v>
      </c>
      <c r="DA166" s="205">
        <f t="shared" ca="true" si="261"/>
        <v>117844.07</v>
      </c>
      <c r="DB166" s="193"/>
    </row>
    <row r="167" spans="1:106">
      <c r="A167" s="154">
        <f t="shared" si="249"/>
        <v>76</v>
      </c>
      <c r="B167" s="161"/>
      <c r="D167" s="154" t="s">
        <v>13909</v>
      </c>
      <c r="E167" s="198" t="e">
        <f ca="true">+F167+CS167+CZ167+DA167</f>
        <v>#REF!</v>
      </c>
      <c r="F167" s="153" t="e">
        <f ca="true">SUM(G167:K167,M167:N167,P167:U167,W167:X167,Z167:AA167,AC167:AK167,AM167:CP167)</f>
        <v>#REF!</v>
      </c>
      <c r="G167" s="152" t="e">
        <f ca="true">G165-G166</f>
        <v>#REF!</v>
      </c>
      <c r="H167" s="152" t="e">
        <f ca="true">H165-H166</f>
        <v>#REF!</v>
      </c>
      <c r="I167" s="152" t="e">
        <f ca="true">I165-I166</f>
        <v>#REF!</v>
      </c>
      <c r="J167" s="152" t="e">
        <f ca="true">J165-J166</f>
        <v>#REF!</v>
      </c>
      <c r="K167" s="152" t="e">
        <f ca="true">K165-K166</f>
        <v>#REF!</v>
      </c>
      <c r="L167" s="205" t="e">
        <f ca="true">+SUM(G167:K167)</f>
        <v>#REF!</v>
      </c>
      <c r="M167" s="152" t="e">
        <f ca="true">M165-M166</f>
        <v>#REF!</v>
      </c>
      <c r="N167" s="152" t="e">
        <f ca="true">N165-N166</f>
        <v>#REF!</v>
      </c>
      <c r="O167" s="205" t="e">
        <f ca="true">+SUM(M167:N167)</f>
        <v>#REF!</v>
      </c>
      <c r="P167" s="152" t="e">
        <f t="shared" ref="P167:U167" ca="true" si="262">P165-P166</f>
        <v>#REF!</v>
      </c>
      <c r="Q167" s="152" t="e">
        <f t="shared" ca="true" si="262"/>
        <v>#REF!</v>
      </c>
      <c r="R167" s="152" t="e">
        <f t="shared" ca="true" si="262"/>
        <v>#REF!</v>
      </c>
      <c r="S167" s="152" t="e">
        <f t="shared" ca="true" si="262"/>
        <v>#REF!</v>
      </c>
      <c r="T167" s="152" t="e">
        <f t="shared" ca="true" si="262"/>
        <v>#REF!</v>
      </c>
      <c r="U167" s="152" t="e">
        <f t="shared" ca="true" si="262"/>
        <v>#REF!</v>
      </c>
      <c r="V167" s="153" t="e">
        <f ca="true">+SUM(P167:U167)</f>
        <v>#REF!</v>
      </c>
      <c r="W167" s="152" t="e">
        <f ca="true">W165-W166</f>
        <v>#REF!</v>
      </c>
      <c r="X167" s="152" t="e">
        <f ca="true">X165-X166</f>
        <v>#REF!</v>
      </c>
      <c r="Y167" s="205" t="e">
        <f ca="true">SUM(V167:X167)</f>
        <v>#REF!</v>
      </c>
      <c r="Z167" s="152" t="e">
        <f ca="true">Z165-Z166</f>
        <v>#REF!</v>
      </c>
      <c r="AA167" s="152" t="e">
        <f ca="true">AA165-AA166</f>
        <v>#REF!</v>
      </c>
      <c r="AB167" s="205" t="e">
        <f ca="true">+SUM(Z167:AA167)</f>
        <v>#REF!</v>
      </c>
      <c r="AC167" s="152" t="e">
        <f t="shared" ref="AC167:AK167" ca="true" si="263">AC165-AC166</f>
        <v>#REF!</v>
      </c>
      <c r="AD167" s="152" t="e">
        <f t="shared" ca="true" si="263"/>
        <v>#REF!</v>
      </c>
      <c r="AE167" s="152" t="e">
        <f t="shared" ca="true" si="263"/>
        <v>#REF!</v>
      </c>
      <c r="AF167" s="152" t="e">
        <f t="shared" ca="true" si="263"/>
        <v>#REF!</v>
      </c>
      <c r="AG167" s="152" t="e">
        <f t="shared" ca="true" si="263"/>
        <v>#REF!</v>
      </c>
      <c r="AH167" s="152" t="e">
        <f t="shared" ca="true" si="263"/>
        <v>#REF!</v>
      </c>
      <c r="AI167" s="152" t="e">
        <f t="shared" ca="true" si="263"/>
        <v>#REF!</v>
      </c>
      <c r="AJ167" s="152" t="e">
        <f t="shared" ca="true" si="263"/>
        <v>#REF!</v>
      </c>
      <c r="AK167" s="152" t="e">
        <f t="shared" ca="true" si="263"/>
        <v>#REF!</v>
      </c>
      <c r="AL167" s="205" t="e">
        <f ca="true">SUM(AF167:AK167)</f>
        <v>#REF!</v>
      </c>
      <c r="AM167" s="152" t="e">
        <f t="shared" ref="AM167:CO167" ca="true" si="264">AM165-AM166</f>
        <v>#REF!</v>
      </c>
      <c r="AN167" s="152" t="e">
        <f t="shared" ca="true" si="264"/>
        <v>#REF!</v>
      </c>
      <c r="AO167" s="152" t="e">
        <f t="shared" ca="true" si="264"/>
        <v>#REF!</v>
      </c>
      <c r="AP167" s="152" t="e">
        <f t="shared" ca="true" si="264"/>
        <v>#REF!</v>
      </c>
      <c r="AQ167" s="152" t="e">
        <f t="shared" ca="true" si="264"/>
        <v>#REF!</v>
      </c>
      <c r="AR167" s="152" t="e">
        <f t="shared" ca="true" si="264"/>
        <v>#REF!</v>
      </c>
      <c r="AS167" s="152" t="e">
        <f t="shared" ca="true" si="264"/>
        <v>#REF!</v>
      </c>
      <c r="AT167" s="152" t="e">
        <f t="shared" ca="true" si="264"/>
        <v>#REF!</v>
      </c>
      <c r="AU167" s="152" t="e">
        <f t="shared" ca="true" si="264"/>
        <v>#REF!</v>
      </c>
      <c r="AV167" s="152" t="e">
        <f t="shared" ca="true" si="264"/>
        <v>#REF!</v>
      </c>
      <c r="AW167" s="152" t="e">
        <f t="shared" ca="true" si="264"/>
        <v>#REF!</v>
      </c>
      <c r="AX167" s="152" t="e">
        <f t="shared" ca="true" si="264"/>
        <v>#REF!</v>
      </c>
      <c r="AY167" s="152" t="e">
        <f t="shared" ca="true" si="264"/>
        <v>#REF!</v>
      </c>
      <c r="AZ167" s="152" t="e">
        <f t="shared" ca="true" si="264"/>
        <v>#REF!</v>
      </c>
      <c r="BA167" s="152" t="e">
        <f t="shared" ca="true" si="264"/>
        <v>#REF!</v>
      </c>
      <c r="BB167" s="152" t="e">
        <f t="shared" ca="true" si="264"/>
        <v>#REF!</v>
      </c>
      <c r="BC167" s="152" t="e">
        <f t="shared" ca="true" si="264"/>
        <v>#REF!</v>
      </c>
      <c r="BD167" s="152" t="e">
        <f t="shared" ca="true" si="264"/>
        <v>#REF!</v>
      </c>
      <c r="BE167" s="152" t="e">
        <f t="shared" ca="true" si="264"/>
        <v>#REF!</v>
      </c>
      <c r="BF167" s="152" t="e">
        <f t="shared" ca="true" si="264"/>
        <v>#REF!</v>
      </c>
      <c r="BG167" s="152" t="e">
        <f t="shared" ca="true" si="264"/>
        <v>#REF!</v>
      </c>
      <c r="BH167" s="152" t="e">
        <f t="shared" ca="true" si="264"/>
        <v>#REF!</v>
      </c>
      <c r="BI167" s="152" t="e">
        <f t="shared" ca="true" si="264"/>
        <v>#REF!</v>
      </c>
      <c r="BJ167" s="152" t="e">
        <f t="shared" ca="true" si="264"/>
        <v>#REF!</v>
      </c>
      <c r="BK167" s="152" t="e">
        <f t="shared" ca="true" si="264"/>
        <v>#REF!</v>
      </c>
      <c r="BL167" s="152" t="e">
        <f t="shared" ca="true" si="264"/>
        <v>#REF!</v>
      </c>
      <c r="BM167" s="152" t="e">
        <f t="shared" ca="true" si="264"/>
        <v>#REF!</v>
      </c>
      <c r="BN167" s="152" t="e">
        <f t="shared" ca="true" si="264"/>
        <v>#REF!</v>
      </c>
      <c r="BO167" s="152" t="e">
        <f t="shared" ca="true" si="264"/>
        <v>#REF!</v>
      </c>
      <c r="BP167" s="152" t="e">
        <f t="shared" ca="true" si="264"/>
        <v>#REF!</v>
      </c>
      <c r="BQ167" s="152" t="e">
        <f t="shared" ca="true" si="264"/>
        <v>#REF!</v>
      </c>
      <c r="BR167" s="152" t="e">
        <f t="shared" ca="true" si="264"/>
        <v>#REF!</v>
      </c>
      <c r="BS167" s="152" t="e">
        <f t="shared" ca="true" si="264"/>
        <v>#REF!</v>
      </c>
      <c r="BT167" s="152" t="e">
        <f t="shared" ca="true" si="264"/>
        <v>#REF!</v>
      </c>
      <c r="BU167" s="152" t="e">
        <f t="shared" ca="true" si="264"/>
        <v>#REF!</v>
      </c>
      <c r="BV167" s="152" t="e">
        <f t="shared" ca="true" si="264"/>
        <v>#REF!</v>
      </c>
      <c r="BW167" s="152" t="e">
        <f t="shared" ca="true" si="264"/>
        <v>#REF!</v>
      </c>
      <c r="BX167" s="152" t="e">
        <f t="shared" ca="true" si="264"/>
        <v>#REF!</v>
      </c>
      <c r="BY167" s="152" t="e">
        <f t="shared" ca="true" si="264"/>
        <v>#REF!</v>
      </c>
      <c r="BZ167" s="152" t="e">
        <f t="shared" ca="true" si="264"/>
        <v>#REF!</v>
      </c>
      <c r="CA167" s="152" t="e">
        <f t="shared" ca="true" si="264"/>
        <v>#REF!</v>
      </c>
      <c r="CB167" s="152" t="e">
        <f t="shared" ca="true" si="264"/>
        <v>#REF!</v>
      </c>
      <c r="CC167" s="152" t="e">
        <f t="shared" ca="true" si="264"/>
        <v>#REF!</v>
      </c>
      <c r="CD167" s="152" t="e">
        <f t="shared" ca="true" si="264"/>
        <v>#REF!</v>
      </c>
      <c r="CE167" s="152" t="e">
        <f t="shared" ca="true" si="264"/>
        <v>#REF!</v>
      </c>
      <c r="CF167" s="152" t="e">
        <f t="shared" ca="true" si="264"/>
        <v>#REF!</v>
      </c>
      <c r="CG167" s="152" t="e">
        <f t="shared" ca="true" si="264"/>
        <v>#REF!</v>
      </c>
      <c r="CH167" s="152" t="e">
        <f t="shared" ca="true" si="264"/>
        <v>#REF!</v>
      </c>
      <c r="CI167" s="152" t="e">
        <f t="shared" ca="true" si="264"/>
        <v>#REF!</v>
      </c>
      <c r="CJ167" s="152" t="e">
        <f t="shared" ca="true" si="264"/>
        <v>#REF!</v>
      </c>
      <c r="CK167" s="152" t="e">
        <f t="shared" ca="true" si="264"/>
        <v>#REF!</v>
      </c>
      <c r="CL167" s="152" t="e">
        <f t="shared" ca="true" si="264"/>
        <v>#REF!</v>
      </c>
      <c r="CM167" s="152" t="e">
        <f t="shared" ca="true" si="264"/>
        <v>#REF!</v>
      </c>
      <c r="CN167" s="152" t="e">
        <f t="shared" ca="true" si="264"/>
        <v>#REF!</v>
      </c>
      <c r="CO167" s="152" t="e">
        <f t="shared" ca="true" si="264"/>
        <v>#REF!</v>
      </c>
      <c r="CP167" s="152"/>
      <c r="CQ167" s="205" t="e">
        <f ca="true">+SUM(AM167:CP167)</f>
        <v>#REF!</v>
      </c>
      <c r="CR167" s="205" t="e">
        <f ca="true">SUM(AL167,CQ167)</f>
        <v>#REF!</v>
      </c>
      <c r="CS167" s="205" t="e">
        <f ca="true">SUM(CY167:CY167)</f>
        <v>#REF!</v>
      </c>
      <c r="CT167" s="209" t="e">
        <f t="shared" ref="CT167:DA167" ca="true" si="265">CT165-CT166</f>
        <v>#REF!</v>
      </c>
      <c r="CU167" s="152" t="e">
        <f t="shared" ca="true" si="265"/>
        <v>#REF!</v>
      </c>
      <c r="CV167" s="152" t="e">
        <f t="shared" ca="true" si="265"/>
        <v>#REF!</v>
      </c>
      <c r="CW167" s="212" t="e">
        <f t="shared" ca="true" si="265"/>
        <v>#REF!</v>
      </c>
      <c r="CX167" s="212">
        <f t="shared" ca="true" si="265"/>
        <v>0</v>
      </c>
      <c r="CY167" s="212" t="e">
        <f t="shared" ca="true" si="265"/>
        <v>#REF!</v>
      </c>
      <c r="CZ167" s="205" t="e">
        <f t="shared" ca="true" si="265"/>
        <v>#REF!</v>
      </c>
      <c r="DA167" s="205" t="e">
        <f t="shared" ca="true" si="265"/>
        <v>#REF!</v>
      </c>
      <c r="DB167" s="193"/>
    </row>
    <row r="168" spans="1:106">
      <c r="A168" s="154">
        <f t="shared" si="249"/>
        <v>77</v>
      </c>
      <c r="B168" s="161"/>
      <c r="D168" s="154" t="s">
        <v>13989</v>
      </c>
      <c r="E168" s="149" t="e">
        <f ca="true">+E164+E156</f>
        <v>#REF!</v>
      </c>
      <c r="F168" s="171"/>
      <c r="G168" s="171"/>
      <c r="H168" s="171"/>
      <c r="I168" s="171"/>
      <c r="J168" s="171"/>
      <c r="K168" s="171"/>
      <c r="L168" s="178"/>
      <c r="M168" s="171"/>
      <c r="N168" s="171"/>
      <c r="O168" s="178"/>
      <c r="P168" s="171"/>
      <c r="Q168" s="171"/>
      <c r="R168" s="171"/>
      <c r="S168" s="171"/>
      <c r="T168" s="171"/>
      <c r="U168" s="171"/>
      <c r="V168" s="169"/>
      <c r="W168" s="171"/>
      <c r="X168" s="171"/>
      <c r="Y168" s="178"/>
      <c r="Z168" s="171"/>
      <c r="AA168" s="171"/>
      <c r="AB168" s="178"/>
      <c r="AC168" s="171"/>
      <c r="AD168" s="171"/>
      <c r="AE168" s="171"/>
      <c r="AF168" s="171"/>
      <c r="AG168" s="171"/>
      <c r="AH168" s="171"/>
      <c r="AI168" s="171"/>
      <c r="AJ168" s="171"/>
      <c r="AK168" s="171"/>
      <c r="AL168" s="178"/>
      <c r="AM168" s="171"/>
      <c r="AN168" s="171"/>
      <c r="AO168" s="171"/>
      <c r="AP168" s="171"/>
      <c r="AQ168" s="171"/>
      <c r="AR168" s="171"/>
      <c r="AS168" s="171"/>
      <c r="AT168" s="171"/>
      <c r="AU168" s="171"/>
      <c r="AV168" s="171"/>
      <c r="AW168" s="171"/>
      <c r="AX168" s="171"/>
      <c r="AY168" s="171"/>
      <c r="AZ168" s="171"/>
      <c r="BA168" s="171"/>
      <c r="BB168" s="171"/>
      <c r="BC168" s="171"/>
      <c r="BD168" s="171"/>
      <c r="BE168" s="171"/>
      <c r="BF168" s="171"/>
      <c r="BG168" s="171"/>
      <c r="BH168" s="171"/>
      <c r="BI168" s="171"/>
      <c r="BJ168" s="171"/>
      <c r="BK168" s="171"/>
      <c r="BL168" s="171"/>
      <c r="BM168" s="171"/>
      <c r="BN168" s="171"/>
      <c r="BO168" s="171"/>
      <c r="BP168" s="171"/>
      <c r="BQ168" s="171"/>
      <c r="BR168" s="171"/>
      <c r="BS168" s="171"/>
      <c r="BT168" s="171"/>
      <c r="BU168" s="171"/>
      <c r="BV168" s="171"/>
      <c r="BW168" s="171"/>
      <c r="BX168" s="171"/>
      <c r="BY168" s="171"/>
      <c r="BZ168" s="171"/>
      <c r="CA168" s="171"/>
      <c r="CB168" s="171"/>
      <c r="CC168" s="171"/>
      <c r="CD168" s="171"/>
      <c r="CE168" s="171"/>
      <c r="CF168" s="171"/>
      <c r="CG168" s="171"/>
      <c r="CH168" s="171"/>
      <c r="CI168" s="171"/>
      <c r="CJ168" s="171"/>
      <c r="CK168" s="171"/>
      <c r="CL168" s="171"/>
      <c r="CM168" s="171"/>
      <c r="CN168" s="171"/>
      <c r="CO168" s="171"/>
      <c r="CP168" s="171"/>
      <c r="CQ168" s="178"/>
      <c r="CR168" s="178"/>
      <c r="CS168" s="178"/>
      <c r="CT168" s="186"/>
      <c r="CU168" s="171"/>
      <c r="CV168" s="171"/>
      <c r="CW168" s="190"/>
      <c r="CX168" s="190"/>
      <c r="CY168" s="190"/>
      <c r="CZ168" s="178"/>
      <c r="DA168" s="178"/>
      <c r="DB168" s="193"/>
    </row>
    <row r="169" spans="1:106">
      <c r="A169" s="154">
        <f t="shared" si="249"/>
        <v>78</v>
      </c>
      <c r="B169" s="161"/>
      <c r="D169" s="154" t="s">
        <v>13990</v>
      </c>
      <c r="E169" s="149" t="e">
        <f ca="true">+E165+E161</f>
        <v>#REF!</v>
      </c>
      <c r="F169" s="171"/>
      <c r="G169" s="171"/>
      <c r="H169" s="171"/>
      <c r="I169" s="171"/>
      <c r="J169" s="171"/>
      <c r="K169" s="171"/>
      <c r="L169" s="178"/>
      <c r="M169" s="171"/>
      <c r="N169" s="171"/>
      <c r="O169" s="178"/>
      <c r="P169" s="171"/>
      <c r="Q169" s="171"/>
      <c r="R169" s="171"/>
      <c r="S169" s="171"/>
      <c r="T169" s="171"/>
      <c r="U169" s="171"/>
      <c r="V169" s="169"/>
      <c r="W169" s="171"/>
      <c r="X169" s="171"/>
      <c r="Y169" s="178"/>
      <c r="Z169" s="171"/>
      <c r="AA169" s="171"/>
      <c r="AB169" s="178"/>
      <c r="AC169" s="171"/>
      <c r="AD169" s="171"/>
      <c r="AE169" s="171"/>
      <c r="AF169" s="171"/>
      <c r="AG169" s="171"/>
      <c r="AH169" s="171"/>
      <c r="AI169" s="171"/>
      <c r="AJ169" s="171"/>
      <c r="AK169" s="171"/>
      <c r="AL169" s="178"/>
      <c r="AM169" s="171"/>
      <c r="AN169" s="171"/>
      <c r="AO169" s="171"/>
      <c r="AP169" s="171"/>
      <c r="AQ169" s="171"/>
      <c r="AR169" s="171"/>
      <c r="AS169" s="171"/>
      <c r="AT169" s="171"/>
      <c r="AU169" s="171"/>
      <c r="AV169" s="171"/>
      <c r="AW169" s="171"/>
      <c r="AX169" s="171"/>
      <c r="AY169" s="171"/>
      <c r="AZ169" s="171"/>
      <c r="BA169" s="171"/>
      <c r="BB169" s="171"/>
      <c r="BC169" s="171"/>
      <c r="BD169" s="171"/>
      <c r="BE169" s="171"/>
      <c r="BF169" s="171"/>
      <c r="BG169" s="171"/>
      <c r="BH169" s="171"/>
      <c r="BI169" s="171"/>
      <c r="BJ169" s="171"/>
      <c r="BK169" s="171"/>
      <c r="BL169" s="171"/>
      <c r="BM169" s="171"/>
      <c r="BN169" s="171"/>
      <c r="BO169" s="171"/>
      <c r="BP169" s="171"/>
      <c r="BQ169" s="171"/>
      <c r="BR169" s="171"/>
      <c r="BS169" s="171"/>
      <c r="BT169" s="171"/>
      <c r="BU169" s="171"/>
      <c r="BV169" s="171"/>
      <c r="BW169" s="171"/>
      <c r="BX169" s="171"/>
      <c r="BY169" s="171"/>
      <c r="BZ169" s="171"/>
      <c r="CA169" s="171"/>
      <c r="CB169" s="171"/>
      <c r="CC169" s="171"/>
      <c r="CD169" s="171"/>
      <c r="CE169" s="171"/>
      <c r="CF169" s="171"/>
      <c r="CG169" s="171"/>
      <c r="CH169" s="171"/>
      <c r="CI169" s="171"/>
      <c r="CJ169" s="171"/>
      <c r="CK169" s="171"/>
      <c r="CL169" s="171"/>
      <c r="CM169" s="171"/>
      <c r="CN169" s="171"/>
      <c r="CO169" s="171"/>
      <c r="CP169" s="171"/>
      <c r="CQ169" s="178"/>
      <c r="CR169" s="178"/>
      <c r="CS169" s="178"/>
      <c r="CT169" s="186"/>
      <c r="CU169" s="171"/>
      <c r="CV169" s="171"/>
      <c r="CW169" s="190"/>
      <c r="CX169" s="190"/>
      <c r="CY169" s="190"/>
      <c r="CZ169" s="178"/>
      <c r="DA169" s="178"/>
      <c r="DB169" s="193"/>
    </row>
    <row r="170" spans="2:106">
      <c r="B170" s="161"/>
      <c r="E170" s="171"/>
      <c r="F170" s="171"/>
      <c r="G170" s="171"/>
      <c r="H170" s="171"/>
      <c r="I170" s="171"/>
      <c r="J170" s="171"/>
      <c r="K170" s="171"/>
      <c r="L170" s="178"/>
      <c r="M170" s="171"/>
      <c r="N170" s="171"/>
      <c r="O170" s="178"/>
      <c r="P170" s="171"/>
      <c r="Q170" s="171"/>
      <c r="R170" s="171"/>
      <c r="S170" s="171"/>
      <c r="T170" s="171"/>
      <c r="U170" s="171"/>
      <c r="V170" s="169"/>
      <c r="W170" s="171"/>
      <c r="X170" s="171"/>
      <c r="Y170" s="178"/>
      <c r="Z170" s="171"/>
      <c r="AA170" s="171"/>
      <c r="AB170" s="178"/>
      <c r="AC170" s="171"/>
      <c r="AD170" s="171"/>
      <c r="AE170" s="171"/>
      <c r="AF170" s="171"/>
      <c r="AG170" s="171"/>
      <c r="AH170" s="171"/>
      <c r="AI170" s="171"/>
      <c r="AJ170" s="171"/>
      <c r="AK170" s="171"/>
      <c r="AL170" s="178"/>
      <c r="AM170" s="171"/>
      <c r="AN170" s="171"/>
      <c r="AO170" s="171"/>
      <c r="AP170" s="171"/>
      <c r="AQ170" s="171"/>
      <c r="AR170" s="171"/>
      <c r="AS170" s="171"/>
      <c r="AT170" s="171"/>
      <c r="AU170" s="171"/>
      <c r="AV170" s="171"/>
      <c r="AW170" s="171"/>
      <c r="AX170" s="171"/>
      <c r="AY170" s="171"/>
      <c r="AZ170" s="171"/>
      <c r="BA170" s="171"/>
      <c r="BB170" s="171"/>
      <c r="BC170" s="171"/>
      <c r="BD170" s="171"/>
      <c r="BE170" s="171"/>
      <c r="BF170" s="171"/>
      <c r="BG170" s="171"/>
      <c r="BH170" s="171"/>
      <c r="BI170" s="171"/>
      <c r="BJ170" s="171"/>
      <c r="BK170" s="171"/>
      <c r="BL170" s="171"/>
      <c r="BM170" s="171"/>
      <c r="BN170" s="171"/>
      <c r="BO170" s="171"/>
      <c r="BP170" s="171"/>
      <c r="BQ170" s="171"/>
      <c r="BR170" s="171"/>
      <c r="BS170" s="171"/>
      <c r="BT170" s="171"/>
      <c r="BU170" s="171"/>
      <c r="BV170" s="171"/>
      <c r="BW170" s="171"/>
      <c r="BX170" s="171"/>
      <c r="BY170" s="171"/>
      <c r="BZ170" s="171"/>
      <c r="CA170" s="171"/>
      <c r="CB170" s="171"/>
      <c r="CC170" s="171"/>
      <c r="CD170" s="171"/>
      <c r="CE170" s="171"/>
      <c r="CF170" s="171"/>
      <c r="CG170" s="171"/>
      <c r="CH170" s="171"/>
      <c r="CI170" s="171"/>
      <c r="CJ170" s="171"/>
      <c r="CK170" s="171"/>
      <c r="CL170" s="171"/>
      <c r="CM170" s="171"/>
      <c r="CN170" s="171"/>
      <c r="CO170" s="171"/>
      <c r="CP170" s="171"/>
      <c r="CQ170" s="178"/>
      <c r="CR170" s="178"/>
      <c r="CS170" s="178"/>
      <c r="CT170" s="186"/>
      <c r="CU170" s="171"/>
      <c r="CV170" s="171"/>
      <c r="CW170" s="190"/>
      <c r="CX170" s="190"/>
      <c r="CY170" s="190"/>
      <c r="CZ170" s="178"/>
      <c r="DA170" s="178"/>
      <c r="DB170" s="193"/>
    </row>
    <row r="171" spans="1:106">
      <c r="A171" s="218"/>
      <c r="B171" s="219"/>
      <c r="C171" s="218"/>
      <c r="D171" s="218" t="s">
        <v>13991</v>
      </c>
      <c r="E171" s="229">
        <f t="shared" ref="E171:BP171" si="266">SUM(E136:E145)</f>
        <v>-216628.22</v>
      </c>
      <c r="F171" s="230">
        <f t="shared" si="266"/>
        <v>-1723886.61</v>
      </c>
      <c r="G171" s="231">
        <f t="shared" si="266"/>
        <v>-22500</v>
      </c>
      <c r="H171" s="231">
        <f t="shared" si="266"/>
        <v>-1400</v>
      </c>
      <c r="I171" s="231">
        <f t="shared" si="266"/>
        <v>0</v>
      </c>
      <c r="J171" s="231">
        <f t="shared" si="266"/>
        <v>-1100</v>
      </c>
      <c r="K171" s="231">
        <f t="shared" si="266"/>
        <v>0</v>
      </c>
      <c r="L171" s="236">
        <f t="shared" si="266"/>
        <v>-25000</v>
      </c>
      <c r="M171" s="231">
        <f t="shared" si="266"/>
        <v>0</v>
      </c>
      <c r="N171" s="231">
        <f t="shared" si="266"/>
        <v>0</v>
      </c>
      <c r="O171" s="236">
        <f t="shared" si="266"/>
        <v>0</v>
      </c>
      <c r="P171" s="231">
        <f t="shared" si="266"/>
        <v>0</v>
      </c>
      <c r="Q171" s="231">
        <f t="shared" si="266"/>
        <v>0</v>
      </c>
      <c r="R171" s="231">
        <f t="shared" si="266"/>
        <v>0</v>
      </c>
      <c r="S171" s="231">
        <f t="shared" si="266"/>
        <v>0</v>
      </c>
      <c r="T171" s="231">
        <f t="shared" si="266"/>
        <v>0</v>
      </c>
      <c r="U171" s="231">
        <f t="shared" si="266"/>
        <v>0</v>
      </c>
      <c r="V171" s="230">
        <f t="shared" si="266"/>
        <v>0</v>
      </c>
      <c r="W171" s="231">
        <f t="shared" si="266"/>
        <v>0</v>
      </c>
      <c r="X171" s="231">
        <f t="shared" si="266"/>
        <v>-998461.54</v>
      </c>
      <c r="Y171" s="236">
        <f t="shared" si="266"/>
        <v>-998461.54</v>
      </c>
      <c r="Z171" s="231">
        <f t="shared" si="266"/>
        <v>-650000</v>
      </c>
      <c r="AA171" s="231">
        <f t="shared" si="266"/>
        <v>0</v>
      </c>
      <c r="AB171" s="236">
        <f t="shared" si="266"/>
        <v>-650000</v>
      </c>
      <c r="AC171" s="231">
        <f t="shared" si="266"/>
        <v>-50000</v>
      </c>
      <c r="AD171" s="231">
        <f t="shared" si="266"/>
        <v>0</v>
      </c>
      <c r="AE171" s="231">
        <f t="shared" si="266"/>
        <v>0</v>
      </c>
      <c r="AF171" s="231">
        <f t="shared" si="266"/>
        <v>0</v>
      </c>
      <c r="AG171" s="231">
        <f t="shared" si="266"/>
        <v>0</v>
      </c>
      <c r="AH171" s="231">
        <f t="shared" si="266"/>
        <v>0</v>
      </c>
      <c r="AI171" s="231">
        <f t="shared" si="266"/>
        <v>0</v>
      </c>
      <c r="AJ171" s="231">
        <f t="shared" si="266"/>
        <v>0</v>
      </c>
      <c r="AK171" s="231">
        <f t="shared" si="266"/>
        <v>10000</v>
      </c>
      <c r="AL171" s="236">
        <f t="shared" si="266"/>
        <v>10000</v>
      </c>
      <c r="AM171" s="231">
        <f t="shared" si="266"/>
        <v>18249.98</v>
      </c>
      <c r="AN171" s="231">
        <f t="shared" si="266"/>
        <v>0</v>
      </c>
      <c r="AO171" s="231">
        <f t="shared" si="266"/>
        <v>-400000</v>
      </c>
      <c r="AP171" s="231">
        <f t="shared" si="266"/>
        <v>0</v>
      </c>
      <c r="AQ171" s="231">
        <f t="shared" si="266"/>
        <v>20000</v>
      </c>
      <c r="AR171" s="231">
        <f t="shared" si="266"/>
        <v>0</v>
      </c>
      <c r="AS171" s="231">
        <f t="shared" si="266"/>
        <v>0</v>
      </c>
      <c r="AT171" s="231">
        <f t="shared" si="266"/>
        <v>0</v>
      </c>
      <c r="AU171" s="231">
        <f t="shared" si="266"/>
        <v>-14000</v>
      </c>
      <c r="AV171" s="231">
        <f t="shared" si="266"/>
        <v>0</v>
      </c>
      <c r="AW171" s="231">
        <f t="shared" si="266"/>
        <v>0</v>
      </c>
      <c r="AX171" s="231">
        <f t="shared" si="266"/>
        <v>0</v>
      </c>
      <c r="AY171" s="231">
        <f t="shared" si="266"/>
        <v>0</v>
      </c>
      <c r="AZ171" s="231">
        <f t="shared" si="266"/>
        <v>0</v>
      </c>
      <c r="BA171" s="231">
        <f t="shared" si="266"/>
        <v>0</v>
      </c>
      <c r="BB171" s="231">
        <f t="shared" si="266"/>
        <v>0</v>
      </c>
      <c r="BC171" s="231">
        <f t="shared" si="266"/>
        <v>0</v>
      </c>
      <c r="BD171" s="231">
        <f t="shared" si="266"/>
        <v>0</v>
      </c>
      <c r="BE171" s="231">
        <f t="shared" si="266"/>
        <v>0</v>
      </c>
      <c r="BF171" s="231">
        <f t="shared" si="266"/>
        <v>0</v>
      </c>
      <c r="BG171" s="231">
        <f t="shared" si="266"/>
        <v>0</v>
      </c>
      <c r="BH171" s="231">
        <f t="shared" si="266"/>
        <v>0</v>
      </c>
      <c r="BI171" s="231">
        <f t="shared" si="266"/>
        <v>0</v>
      </c>
      <c r="BJ171" s="231">
        <f t="shared" si="266"/>
        <v>0</v>
      </c>
      <c r="BK171" s="231">
        <f t="shared" si="266"/>
        <v>5000</v>
      </c>
      <c r="BL171" s="231">
        <f t="shared" si="266"/>
        <v>0</v>
      </c>
      <c r="BM171" s="231">
        <f t="shared" si="266"/>
        <v>0</v>
      </c>
      <c r="BN171" s="231">
        <f t="shared" si="266"/>
        <v>0</v>
      </c>
      <c r="BO171" s="231">
        <f t="shared" si="266"/>
        <v>0</v>
      </c>
      <c r="BP171" s="231">
        <f t="shared" si="266"/>
        <v>0</v>
      </c>
      <c r="BQ171" s="231">
        <f t="shared" ref="BQ171:DA171" si="267">SUM(BQ136:BQ145)</f>
        <v>0</v>
      </c>
      <c r="BR171" s="231">
        <f t="shared" si="267"/>
        <v>50000</v>
      </c>
      <c r="BS171" s="231">
        <f t="shared" si="267"/>
        <v>0</v>
      </c>
      <c r="BT171" s="231">
        <f t="shared" si="267"/>
        <v>0</v>
      </c>
      <c r="BU171" s="231">
        <f t="shared" si="267"/>
        <v>0</v>
      </c>
      <c r="BV171" s="231">
        <f t="shared" si="267"/>
        <v>0</v>
      </c>
      <c r="BW171" s="231">
        <f t="shared" si="267"/>
        <v>0</v>
      </c>
      <c r="BX171" s="231">
        <f t="shared" si="267"/>
        <v>0</v>
      </c>
      <c r="BY171" s="231">
        <f t="shared" si="267"/>
        <v>0</v>
      </c>
      <c r="BZ171" s="231">
        <f t="shared" si="267"/>
        <v>-916.66</v>
      </c>
      <c r="CA171" s="231">
        <f t="shared" si="267"/>
        <v>60000</v>
      </c>
      <c r="CB171" s="231">
        <f t="shared" si="267"/>
        <v>5000</v>
      </c>
      <c r="CC171" s="231">
        <f t="shared" si="267"/>
        <v>0</v>
      </c>
      <c r="CD171" s="231">
        <f t="shared" si="267"/>
        <v>0</v>
      </c>
      <c r="CE171" s="231">
        <f t="shared" si="267"/>
        <v>35000</v>
      </c>
      <c r="CF171" s="231">
        <f t="shared" si="267"/>
        <v>-758.39</v>
      </c>
      <c r="CG171" s="231">
        <f t="shared" si="267"/>
        <v>0</v>
      </c>
      <c r="CH171" s="231">
        <f t="shared" si="267"/>
        <v>35000</v>
      </c>
      <c r="CI171" s="231">
        <f t="shared" si="267"/>
        <v>27000</v>
      </c>
      <c r="CJ171" s="231">
        <f t="shared" si="267"/>
        <v>63000</v>
      </c>
      <c r="CK171" s="231">
        <f t="shared" si="267"/>
        <v>5000</v>
      </c>
      <c r="CL171" s="231">
        <f t="shared" si="267"/>
        <v>17000</v>
      </c>
      <c r="CM171" s="231">
        <f t="shared" si="267"/>
        <v>65000</v>
      </c>
      <c r="CN171" s="231">
        <f t="shared" si="267"/>
        <v>0</v>
      </c>
      <c r="CO171" s="231">
        <f t="shared" si="267"/>
        <v>0</v>
      </c>
      <c r="CP171" s="231">
        <f t="shared" si="267"/>
        <v>0</v>
      </c>
      <c r="CQ171" s="236">
        <f t="shared" si="267"/>
        <v>-10425.07</v>
      </c>
      <c r="CR171" s="236">
        <f t="shared" si="267"/>
        <v>-425.070000000007</v>
      </c>
      <c r="CS171" s="236">
        <f t="shared" si="267"/>
        <v>130000</v>
      </c>
      <c r="CT171" s="244">
        <f t="shared" si="267"/>
        <v>0</v>
      </c>
      <c r="CU171" s="231">
        <f t="shared" si="267"/>
        <v>90000</v>
      </c>
      <c r="CV171" s="231">
        <f t="shared" si="267"/>
        <v>40000</v>
      </c>
      <c r="CW171" s="247">
        <f t="shared" si="267"/>
        <v>0</v>
      </c>
      <c r="CX171" s="247">
        <f t="shared" si="267"/>
        <v>0</v>
      </c>
      <c r="CY171" s="247">
        <f t="shared" si="267"/>
        <v>130000</v>
      </c>
      <c r="CZ171" s="236">
        <f t="shared" si="267"/>
        <v>0</v>
      </c>
      <c r="DA171" s="236">
        <f t="shared" si="267"/>
        <v>1377258.39</v>
      </c>
      <c r="DB171" s="251"/>
    </row>
    <row r="172" spans="1:106">
      <c r="A172" s="218"/>
      <c r="B172" s="219"/>
      <c r="C172" s="218" t="s">
        <v>13992</v>
      </c>
      <c r="D172" s="218" t="s">
        <v>6026</v>
      </c>
      <c r="E172" s="232">
        <f ca="true">+F172+CS172+CZ172+DA172</f>
        <v>0</v>
      </c>
      <c r="F172" s="233">
        <f ca="true">SUM(G172:K172,M172:N172,P172:U172,W172:X172,Z172:AA172,AC172:AK172,AM172:CP172)</f>
        <v>0</v>
      </c>
      <c r="G172" s="233">
        <f ca="true">SUMIF($C$65:$C$167,$D172,G$65:G$167)+G$41</f>
        <v>0</v>
      </c>
      <c r="H172" s="233">
        <f ca="true">SUMIF($C$65:$C$167,$D172,H$65:H$167)+H$41</f>
        <v>0</v>
      </c>
      <c r="I172" s="233">
        <f ca="true">SUMIF($C$65:$C$167,$D172,I$65:I$167)+I$41</f>
        <v>0</v>
      </c>
      <c r="J172" s="233">
        <f ca="true">SUMIF($C$65:$C$167,$D172,J$65:J$167)+J$41</f>
        <v>0</v>
      </c>
      <c r="K172" s="233">
        <f ca="true">SUMIF($C$65:$C$167,$D172,K$65:K$167)+K$41</f>
        <v>0</v>
      </c>
      <c r="L172" s="237">
        <f ca="true">+SUM(G172:K172)</f>
        <v>0</v>
      </c>
      <c r="M172" s="233">
        <f ca="true">SUMIF($C$65:$C$167,$D172,M$65:M$167)+M$41</f>
        <v>0</v>
      </c>
      <c r="N172" s="233">
        <f ca="true">SUMIF($C$65:$C$167,$D172,N$65:N$167)+N$41</f>
        <v>0</v>
      </c>
      <c r="O172" s="237">
        <f ca="true">+SUM(M172:N172)</f>
        <v>0</v>
      </c>
      <c r="P172" s="233">
        <f ca="true">SUMIF($C$65:$C$167,$D172,P$65:P$167)+P$41</f>
        <v>0</v>
      </c>
      <c r="Q172" s="233">
        <f ca="true">SUMIF($C$65:$C$167,$D172,Q$65:Q$167)+Q$41</f>
        <v>0</v>
      </c>
      <c r="R172" s="233">
        <f ca="true">SUMIF($C$65:$C$167,$D172,R$65:R$167)+R$41</f>
        <v>0</v>
      </c>
      <c r="S172" s="233">
        <f ca="true">SUMIF($C$65:$C$167,$D172,S$65:S$167)+S$41</f>
        <v>0</v>
      </c>
      <c r="T172" s="233">
        <f ca="true">SUMIF($C$65:$C$167,$D172,T$65:T$167)+T$41</f>
        <v>0</v>
      </c>
      <c r="U172" s="233">
        <f ca="true">SUMIF($C$65:$C$167,$D172,U$65:U$167)+U$41</f>
        <v>0</v>
      </c>
      <c r="V172" s="233">
        <f ca="true">+SUM(P172:U172)</f>
        <v>0</v>
      </c>
      <c r="W172" s="233">
        <f ca="true">SUMIF($C$65:$C$167,$D172,W$65:W$167)+W$41</f>
        <v>0</v>
      </c>
      <c r="X172" s="233">
        <f ca="true">SUMIF($C$65:$C$167,$D172,X$65:X$167)+X$41</f>
        <v>0</v>
      </c>
      <c r="Y172" s="237">
        <f ca="true">SUM(V172:X172)</f>
        <v>0</v>
      </c>
      <c r="Z172" s="233">
        <f ca="true">SUMIF($C$65:$C$167,$D172,Z$65:Z$167)+Z$41</f>
        <v>0</v>
      </c>
      <c r="AA172" s="233">
        <f ca="true">SUMIF($C$65:$C$167,$D172,AA$65:AA$167)+AA$41</f>
        <v>0</v>
      </c>
      <c r="AB172" s="237">
        <f ca="true">+SUM(Z172:AA172)</f>
        <v>0</v>
      </c>
      <c r="AC172" s="233">
        <f ca="true">SUMIF($C$65:$C$167,$D172,AC$65:AC$167)+AC$41</f>
        <v>0</v>
      </c>
      <c r="AD172" s="233">
        <f ca="true">SUMIF($C$65:$C$167,$D172,AD$65:AD$167)+AD$41</f>
        <v>0</v>
      </c>
      <c r="AE172" s="233">
        <f ca="true">SUMIF($C$65:$C$167,$D172,AE$65:AE$167)+AE$41</f>
        <v>0</v>
      </c>
      <c r="AF172" s="233">
        <f ca="true">SUMIF($C$65:$C$167,$D172,AF$65:AF$167)+AF$41</f>
        <v>0</v>
      </c>
      <c r="AG172" s="233">
        <f ca="true">SUMIF($C$65:$C$167,$D172,AG$65:AG$167)+AG$41</f>
        <v>0</v>
      </c>
      <c r="AH172" s="233">
        <f ca="true">SUMIF($C$65:$C$167,$D172,AH$65:AH$167)+AH$41</f>
        <v>0</v>
      </c>
      <c r="AI172" s="233">
        <f ca="true">SUMIF($C$65:$C$167,$D172,AI$65:AI$167)+AI$41</f>
        <v>0</v>
      </c>
      <c r="AJ172" s="233">
        <f ca="true">SUMIF($C$65:$C$167,$D172,AJ$65:AJ$167)+AJ$41</f>
        <v>0</v>
      </c>
      <c r="AK172" s="233">
        <f ca="true">SUMIF($C$65:$C$167,$D172,AK$65:AK$167)+AK$41</f>
        <v>0</v>
      </c>
      <c r="AL172" s="237">
        <f ca="true">SUM(AF172:AK172)</f>
        <v>0</v>
      </c>
      <c r="AM172" s="233">
        <f ca="true">SUMIF($C$65:$C$167,$D172,AM$65:AM$167)+AM$41</f>
        <v>0</v>
      </c>
      <c r="AN172" s="233">
        <f ca="true">SUMIF($C$65:$C$167,$D172,AN$65:AN$167)+AN$41</f>
        <v>0</v>
      </c>
      <c r="AO172" s="233">
        <f ca="true">SUMIF($C$65:$C$167,$D172,AO$65:AO$167)+AO$41</f>
        <v>0</v>
      </c>
      <c r="AP172" s="233">
        <f ca="true">SUMIF($C$65:$C$167,$D172,AP$65:AP$167)+AP$41</f>
        <v>0</v>
      </c>
      <c r="AQ172" s="233">
        <f ca="true">SUMIF($C$65:$C$167,$D172,AQ$65:AQ$167)+AQ$41</f>
        <v>0</v>
      </c>
      <c r="AR172" s="233">
        <f ca="true">SUMIF($C$65:$C$167,$D172,AR$65:AR$167)+AR$41</f>
        <v>0</v>
      </c>
      <c r="AS172" s="233">
        <f ca="true">SUMIF($C$65:$C$167,$D172,AS$65:AS$167)+AS$41</f>
        <v>0</v>
      </c>
      <c r="AT172" s="233">
        <f ca="true">SUMIF($C$65:$C$167,$D172,AT$65:AT$167)+AT$41</f>
        <v>0</v>
      </c>
      <c r="AU172" s="233">
        <f ca="true">SUMIF($C$65:$C$167,$D172,AU$65:AU$167)+AU$41</f>
        <v>0</v>
      </c>
      <c r="AV172" s="233">
        <f ca="true">SUMIF($C$65:$C$167,$D172,AV$65:AV$167)+AV$41</f>
        <v>0</v>
      </c>
      <c r="AW172" s="233">
        <f ca="true">SUMIF($C$65:$C$167,$D172,AW$65:AW$167)+AW$41</f>
        <v>0</v>
      </c>
      <c r="AX172" s="233">
        <f ca="true">SUMIF($C$65:$C$167,$D172,AX$65:AX$167)+AX$41</f>
        <v>0</v>
      </c>
      <c r="AY172" s="233">
        <f ca="true">SUMIF($C$65:$C$167,$D172,AY$65:AY$167)+AY$41</f>
        <v>0</v>
      </c>
      <c r="AZ172" s="233">
        <f ca="true">SUMIF($C$65:$C$167,$D172,AZ$65:AZ$167)+AZ$41</f>
        <v>0</v>
      </c>
      <c r="BA172" s="233">
        <f ca="true">SUMIF($C$65:$C$167,$D172,BA$65:BA$167)+BA$41</f>
        <v>0</v>
      </c>
      <c r="BB172" s="233">
        <f ca="true">SUMIF($C$65:$C$167,$D172,BB$65:BB$167)+BB$41</f>
        <v>0</v>
      </c>
      <c r="BC172" s="233">
        <f ca="true">SUMIF($C$65:$C$167,$D172,BC$65:BC$167)+BC$41</f>
        <v>0</v>
      </c>
      <c r="BD172" s="233">
        <f ca="true">SUMIF($C$65:$C$167,$D172,BD$65:BD$167)+BD$41</f>
        <v>0</v>
      </c>
      <c r="BE172" s="233">
        <f ca="true">SUMIF($C$65:$C$167,$D172,BE$65:BE$167)+BE$41</f>
        <v>0</v>
      </c>
      <c r="BF172" s="233">
        <f ca="true">SUMIF($C$65:$C$167,$D172,BF$65:BF$167)+BF$41</f>
        <v>0</v>
      </c>
      <c r="BG172" s="233">
        <f ca="true">SUMIF($C$65:$C$167,$D172,BG$65:BG$167)+BG$41</f>
        <v>0</v>
      </c>
      <c r="BH172" s="233">
        <f ca="true">SUMIF($C$65:$C$167,$D172,BH$65:BH$167)+BH$41</f>
        <v>0</v>
      </c>
      <c r="BI172" s="233">
        <f ca="true">SUMIF($C$65:$C$167,$D172,BI$65:BI$167)+BI$41</f>
        <v>0</v>
      </c>
      <c r="BJ172" s="233">
        <f ca="true">SUMIF($C$65:$C$167,$D172,BJ$65:BJ$167)+BJ$41</f>
        <v>0</v>
      </c>
      <c r="BK172" s="233">
        <f ca="true">SUMIF($C$65:$C$167,$D172,BK$65:BK$167)+BK$41</f>
        <v>0</v>
      </c>
      <c r="BL172" s="233">
        <f ca="true">SUMIF($C$65:$C$167,$D172,BL$65:BL$167)+BL$41</f>
        <v>0</v>
      </c>
      <c r="BM172" s="233">
        <f ca="true">SUMIF($C$65:$C$167,$D172,BM$65:BM$167)+BM$41</f>
        <v>0</v>
      </c>
      <c r="BN172" s="233">
        <f ca="true">SUMIF($C$65:$C$167,$D172,BN$65:BN$167)+BN$41</f>
        <v>0</v>
      </c>
      <c r="BO172" s="233">
        <f ca="true">SUMIF($C$65:$C$167,$D172,BO$65:BO$167)+BO$41</f>
        <v>0</v>
      </c>
      <c r="BP172" s="233">
        <f ca="true">SUMIF($C$65:$C$167,$D172,BP$65:BP$167)+BP$41</f>
        <v>0</v>
      </c>
      <c r="BQ172" s="233">
        <f ca="true">SUMIF($C$65:$C$167,$D172,BQ$65:BQ$167)+BQ$41</f>
        <v>0</v>
      </c>
      <c r="BR172" s="233">
        <f ca="true">SUMIF($C$65:$C$167,$D172,BR$65:BR$167)+BR$41</f>
        <v>0</v>
      </c>
      <c r="BS172" s="233">
        <f ca="true">SUMIF($C$65:$C$167,$D172,BS$65:BS$167)+BS$41</f>
        <v>0</v>
      </c>
      <c r="BT172" s="233">
        <f ca="true">SUMIF($C$65:$C$167,$D172,BT$65:BT$167)+BT$41</f>
        <v>0</v>
      </c>
      <c r="BU172" s="233">
        <f ca="true">SUMIF($C$65:$C$167,$D172,BU$65:BU$167)+BU$41</f>
        <v>0</v>
      </c>
      <c r="BV172" s="233">
        <f ca="true">SUMIF($C$65:$C$167,$D172,BV$65:BV$167)+BV$41</f>
        <v>0</v>
      </c>
      <c r="BW172" s="233">
        <f ca="true">SUMIF($C$65:$C$167,$D172,BW$65:BW$167)+BW$41</f>
        <v>0</v>
      </c>
      <c r="BX172" s="233">
        <f ca="true">SUMIF($C$65:$C$167,$D172,BX$65:BX$167)+BX$41</f>
        <v>0</v>
      </c>
      <c r="BY172" s="233">
        <f ca="true">SUMIF($C$65:$C$167,$D172,BY$65:BY$167)+BY$41</f>
        <v>0</v>
      </c>
      <c r="BZ172" s="233">
        <f ca="true">SUMIF($C$65:$C$167,$D172,BZ$65:BZ$167)+BZ$41</f>
        <v>0</v>
      </c>
      <c r="CA172" s="233">
        <f ca="true">SUMIF($C$65:$C$167,$D172,CA$65:CA$167)+CA$41</f>
        <v>0</v>
      </c>
      <c r="CB172" s="233">
        <f ca="true">SUMIF($C$65:$C$167,$D172,CB$65:CB$167)+CB$41</f>
        <v>0</v>
      </c>
      <c r="CC172" s="233">
        <f ca="true">SUMIF($C$65:$C$167,$D172,CC$65:CC$167)+CC$41</f>
        <v>0</v>
      </c>
      <c r="CD172" s="233">
        <f ca="true">SUMIF($C$65:$C$167,$D172,CD$65:CD$167)+CD$41</f>
        <v>0</v>
      </c>
      <c r="CE172" s="233">
        <f ca="true">SUMIF($C$65:$C$167,$D172,CE$65:CE$167)+CE$41</f>
        <v>0</v>
      </c>
      <c r="CF172" s="233">
        <f ca="true">SUMIF($C$65:$C$167,$D172,CF$65:CF$167)+CF$41</f>
        <v>0</v>
      </c>
      <c r="CG172" s="233">
        <f ca="true">SUMIF($C$65:$C$167,$D172,CG$65:CG$167)+CG$41</f>
        <v>0</v>
      </c>
      <c r="CH172" s="233">
        <f ca="true">SUMIF($C$65:$C$167,$D172,CH$65:CH$167)+CH$41</f>
        <v>0</v>
      </c>
      <c r="CI172" s="233">
        <f ca="true">SUMIF($C$65:$C$167,$D172,CI$65:CI$167)+CI$41</f>
        <v>0</v>
      </c>
      <c r="CJ172" s="233">
        <f ca="true">SUMIF($C$65:$C$167,$D172,CJ$65:CJ$167)+CJ$41</f>
        <v>0</v>
      </c>
      <c r="CK172" s="233">
        <f ca="true">SUMIF($C$65:$C$167,$D172,CK$65:CK$167)+CK$41</f>
        <v>0</v>
      </c>
      <c r="CL172" s="233">
        <f ca="true">SUMIF($C$65:$C$167,$D172,CL$65:CL$167)+CL$41</f>
        <v>0</v>
      </c>
      <c r="CM172" s="233">
        <f ca="true">SUMIF($C$65:$C$167,$D172,CM$65:CM$167)+CM$41</f>
        <v>0</v>
      </c>
      <c r="CN172" s="233">
        <f ca="true">SUMIF($C$65:$C$167,$D172,CN$65:CN$167)+CN$41</f>
        <v>0</v>
      </c>
      <c r="CO172" s="233">
        <f ca="true">SUMIF($C$65:$C$167,$D172,CO$65:CO$167)+CO$41</f>
        <v>0</v>
      </c>
      <c r="CP172" s="233"/>
      <c r="CQ172" s="237">
        <f ca="true">+SUM(AM172:CP172)</f>
        <v>0</v>
      </c>
      <c r="CR172" s="237">
        <f ca="true">SUM(AL172,CQ172)</f>
        <v>0</v>
      </c>
      <c r="CS172" s="237">
        <f ca="true">SUM(CY172:CY172)</f>
        <v>0</v>
      </c>
      <c r="CT172" s="245">
        <f ca="true">SUMIF($C$65:$C$167,$D172,CT$65:CT$167)+CT$41</f>
        <v>0</v>
      </c>
      <c r="CU172" s="233">
        <f ca="true">SUMIF($C$65:$C$167,$D172,CU$65:CU$167)+CU$41</f>
        <v>0</v>
      </c>
      <c r="CV172" s="233">
        <f ca="true">SUMIF($C$65:$C$167,$D172,CV$65:CV$167)+CV$41</f>
        <v>0</v>
      </c>
      <c r="CW172" s="237">
        <f ca="true">SUMIF($C$65:$C$167,$D172,CW$65:CW$167)+CW$41</f>
        <v>0</v>
      </c>
      <c r="CX172" s="237">
        <f ca="true">SUMIF($C$65:$C$167,$D172,CX$65:CX$167)+CX$41</f>
        <v>0</v>
      </c>
      <c r="CY172" s="237">
        <f ca="true">SUMIF($C$65:$C$167,$D172,CY$65:CY$167)+CY$41</f>
        <v>0</v>
      </c>
      <c r="CZ172" s="237">
        <f ca="true">SUMIF($C$65:$C$167,$D172,CZ$65:CZ$167)+CZ$41</f>
        <v>0</v>
      </c>
      <c r="DA172" s="237">
        <f ca="true">SUMIF($C$65:$C$167,$D172,DA$65:DA$167)+DA$41</f>
        <v>0</v>
      </c>
      <c r="DB172" s="251"/>
    </row>
    <row r="173" spans="1:106" s="149" customFormat="true">
      <c r="A173" s="220"/>
      <c r="B173" s="221"/>
      <c r="C173" s="220"/>
      <c r="D173" s="220" t="s">
        <v>13946</v>
      </c>
      <c r="E173" s="229">
        <f ca="true">+F173+CS173+CZ173+DA173</f>
        <v>1194622</v>
      </c>
      <c r="F173" s="220">
        <f ca="true">SUM(G173:K173,M173:N173,P173:U173,W173:X173,Z173:AA173,AC173:AK173,AM173:CP173)</f>
        <v>510917</v>
      </c>
      <c r="G173" s="220">
        <f ca="true">SUMIF($C$65:$C$167,$D173,G$65:G$167)+G$29</f>
        <v>21977</v>
      </c>
      <c r="H173" s="220">
        <f ca="true">SUMIF($C$65:$C$167,$D173,H$65:H$167)+H$29</f>
        <v>1400</v>
      </c>
      <c r="I173" s="220">
        <f ca="true">SUMIF($C$65:$C$167,$D173,I$65:I$167)+I$29</f>
        <v>0</v>
      </c>
      <c r="J173" s="220">
        <f ca="true">SUMIF($C$65:$C$167,$D173,J$65:J$167)+J$29</f>
        <v>1100</v>
      </c>
      <c r="K173" s="220">
        <f ca="true">SUMIF($C$65:$C$167,$D173,K$65:K$167)+K$29</f>
        <v>523</v>
      </c>
      <c r="L173" s="238">
        <f ca="true">+SUM(G173:K173)</f>
        <v>25000</v>
      </c>
      <c r="M173" s="220">
        <f ca="true">SUMIF($C$65:$C$167,$D173,M$65:M$167)+M$29</f>
        <v>0</v>
      </c>
      <c r="N173" s="220">
        <f ca="true">SUMIF($C$65:$C$167,$D173,N$65:N$167)+N$29</f>
        <v>0</v>
      </c>
      <c r="O173" s="238">
        <f ca="true">+SUM(M173:N173)</f>
        <v>0</v>
      </c>
      <c r="P173" s="220">
        <f ca="true">SUMIF($C$65:$C$167,$D173,P$65:P$167)+P$29</f>
        <v>0</v>
      </c>
      <c r="Q173" s="220">
        <f ca="true">SUMIF($C$65:$C$167,$D173,Q$65:Q$167)+Q$29</f>
        <v>0</v>
      </c>
      <c r="R173" s="220">
        <f ca="true">SUMIF($C$65:$C$167,$D173,R$65:R$167)+R$29</f>
        <v>0</v>
      </c>
      <c r="S173" s="220">
        <f ca="true">SUMIF($C$65:$C$167,$D173,S$65:S$167)+S$29</f>
        <v>0</v>
      </c>
      <c r="T173" s="220">
        <f ca="true">SUMIF($C$65:$C$167,$D173,T$65:T$167)+T$29</f>
        <v>0</v>
      </c>
      <c r="U173" s="220">
        <f ca="true">SUMIF($C$65:$C$167,$D173,U$65:U$167)+U$29</f>
        <v>0</v>
      </c>
      <c r="V173" s="220">
        <f ca="true">+SUM(P173:U173)</f>
        <v>0</v>
      </c>
      <c r="W173" s="220">
        <f ca="true">SUMIF($C$65:$C$167,$D173,W$65:W$167)+W$29</f>
        <v>0</v>
      </c>
      <c r="X173" s="220">
        <f ca="true">SUMIF($C$65:$C$167,$D173,X$65:X$167)+X$29</f>
        <v>0</v>
      </c>
      <c r="Y173" s="238">
        <f ca="true">SUM(V173:X173)</f>
        <v>0</v>
      </c>
      <c r="Z173" s="220">
        <f ca="true">SUMIF($C$65:$C$167,$D173,Z$65:Z$167)+Z$29</f>
        <v>0</v>
      </c>
      <c r="AA173" s="220">
        <f ca="true">SUMIF($C$65:$C$167,$D173,AA$65:AA$167)+AA$29</f>
        <v>0</v>
      </c>
      <c r="AB173" s="238">
        <f ca="true">+SUM(Z173:AA173)</f>
        <v>0</v>
      </c>
      <c r="AC173" s="220">
        <f ca="true">SUMIF($C$65:$C$167,$D173,AC$65:AC$167)+AC$29</f>
        <v>100000</v>
      </c>
      <c r="AD173" s="220">
        <f ca="true">SUMIF($C$65:$C$167,$D173,AD$65:AD$167)+AD$29</f>
        <v>40000</v>
      </c>
      <c r="AE173" s="220">
        <f ca="true">SUMIF($C$65:$C$167,$D173,AE$65:AE$167)+AE$29</f>
        <v>0</v>
      </c>
      <c r="AF173" s="220">
        <f ca="true">SUMIF($C$65:$C$167,$D173,AF$65:AF$167)+AF$29</f>
        <v>0</v>
      </c>
      <c r="AG173" s="220">
        <f ca="true">SUMIF($C$65:$C$167,$D173,AG$65:AG$167)+AG$29</f>
        <v>0</v>
      </c>
      <c r="AH173" s="220">
        <f ca="true">SUMIF($C$65:$C$167,$D173,AH$65:AH$167)+AH$29</f>
        <v>20000</v>
      </c>
      <c r="AI173" s="220">
        <f ca="true">SUMIF($C$65:$C$167,$D173,AI$65:AI$167)+AI$29</f>
        <v>50000</v>
      </c>
      <c r="AJ173" s="220">
        <f ca="true">SUMIF($C$65:$C$167,$D173,AJ$65:AJ$167)+AJ$29</f>
        <v>0</v>
      </c>
      <c r="AK173" s="220">
        <f ca="true">SUMIF($C$65:$C$167,$D173,AK$65:AK$167)+AK$29</f>
        <v>0</v>
      </c>
      <c r="AL173" s="238">
        <f ca="true">SUM(AF173:AK173)</f>
        <v>70000</v>
      </c>
      <c r="AM173" s="220">
        <f ca="true">SUMIF($C$65:$C$167,$D173,AM$65:AM$167)+AM$29</f>
        <v>0</v>
      </c>
      <c r="AN173" s="220">
        <f ca="true">SUMIF($C$65:$C$167,$D173,AN$65:AN$167)+AN$29</f>
        <v>0</v>
      </c>
      <c r="AO173" s="220">
        <f ca="true">SUMIF($C$65:$C$167,$D173,AO$65:AO$167)+AO$29</f>
        <v>0</v>
      </c>
      <c r="AP173" s="220">
        <f ca="true">SUMIF($C$65:$C$167,$D173,AP$65:AP$167)+AP$29</f>
        <v>0</v>
      </c>
      <c r="AQ173" s="220">
        <f ca="true">SUMIF($C$65:$C$167,$D173,AQ$65:AQ$167)+AQ$29</f>
        <v>0</v>
      </c>
      <c r="AR173" s="220">
        <f ca="true">SUMIF($C$65:$C$167,$D173,AR$65:AR$167)+AR$29</f>
        <v>0</v>
      </c>
      <c r="AS173" s="220">
        <f ca="true">SUMIF($C$65:$C$167,$D173,AS$65:AS$167)+AS$29</f>
        <v>0</v>
      </c>
      <c r="AT173" s="220">
        <f ca="true">SUMIF($C$65:$C$167,$D173,AT$65:AT$167)+AT$29</f>
        <v>0</v>
      </c>
      <c r="AU173" s="220">
        <f ca="true">SUMIF($C$65:$C$167,$D173,AU$65:AU$167)+AU$29</f>
        <v>0</v>
      </c>
      <c r="AV173" s="220">
        <f ca="true">SUMIF($C$65:$C$167,$D173,AV$65:AV$167)+AV$29</f>
        <v>0</v>
      </c>
      <c r="AW173" s="220">
        <f ca="true">SUMIF($C$65:$C$167,$D173,AW$65:AW$167)+AW$29</f>
        <v>0</v>
      </c>
      <c r="AX173" s="220">
        <f ca="true">SUMIF($C$65:$C$167,$D173,AX$65:AX$167)+AX$29</f>
        <v>0</v>
      </c>
      <c r="AY173" s="220">
        <f ca="true">SUMIF($C$65:$C$167,$D173,AY$65:AY$167)+AY$29</f>
        <v>0</v>
      </c>
      <c r="AZ173" s="220">
        <f ca="true">SUMIF($C$65:$C$167,$D173,AZ$65:AZ$167)+AZ$29</f>
        <v>0</v>
      </c>
      <c r="BA173" s="220">
        <f ca="true">SUMIF($C$65:$C$167,$D173,BA$65:BA$167)+BA$29</f>
        <v>0</v>
      </c>
      <c r="BB173" s="220">
        <f ca="true">SUMIF($C$65:$C$167,$D173,BB$65:BB$167)+BB$29</f>
        <v>0</v>
      </c>
      <c r="BC173" s="220">
        <f ca="true">SUMIF($C$65:$C$167,$D173,BC$65:BC$167)+BC$29</f>
        <v>0</v>
      </c>
      <c r="BD173" s="220">
        <f ca="true">SUMIF($C$65:$C$167,$D173,BD$65:BD$167)+BD$29</f>
        <v>0</v>
      </c>
      <c r="BE173" s="220">
        <f ca="true">SUMIF($C$65:$C$167,$D173,BE$65:BE$167)+BE$29</f>
        <v>0</v>
      </c>
      <c r="BF173" s="220">
        <f ca="true">SUMIF($C$65:$C$167,$D173,BF$65:BF$167)+BF$29</f>
        <v>0</v>
      </c>
      <c r="BG173" s="220">
        <f ca="true">SUMIF($C$65:$C$167,$D173,BG$65:BG$167)+BG$29</f>
        <v>0</v>
      </c>
      <c r="BH173" s="220">
        <f ca="true">SUMIF($C$65:$C$167,$D173,BH$65:BH$167)+BH$29</f>
        <v>0</v>
      </c>
      <c r="BI173" s="220">
        <f ca="true">SUMIF($C$65:$C$167,$D173,BI$65:BI$167)+BI$29</f>
        <v>0</v>
      </c>
      <c r="BJ173" s="220">
        <f ca="true">SUMIF($C$65:$C$167,$D173,BJ$65:BJ$167)+BJ$29</f>
        <v>0</v>
      </c>
      <c r="BK173" s="220">
        <f ca="true">SUMIF($C$65:$C$167,$D173,BK$65:BK$167)+BK$29</f>
        <v>0</v>
      </c>
      <c r="BL173" s="220">
        <f ca="true">SUMIF($C$65:$C$167,$D173,BL$65:BL$167)+BL$29</f>
        <v>40000</v>
      </c>
      <c r="BM173" s="220">
        <f ca="true">SUMIF($C$65:$C$167,$D173,BM$65:BM$167)+BM$29</f>
        <v>0</v>
      </c>
      <c r="BN173" s="220">
        <f ca="true">SUMIF($C$65:$C$167,$D173,BN$65:BN$167)+BN$29</f>
        <v>0</v>
      </c>
      <c r="BO173" s="220">
        <f ca="true">SUMIF($C$65:$C$167,$D173,BO$65:BO$167)+BO$29</f>
        <v>0</v>
      </c>
      <c r="BP173" s="220">
        <f ca="true">SUMIF($C$65:$C$167,$D173,BP$65:BP$167)+BP$29</f>
        <v>0</v>
      </c>
      <c r="BQ173" s="220">
        <f ca="true">SUMIF($C$65:$C$167,$D173,BQ$65:BQ$167)+BQ$29</f>
        <v>0</v>
      </c>
      <c r="BR173" s="220">
        <f ca="true">SUMIF($C$65:$C$167,$D173,BR$65:BR$167)+BR$29</f>
        <v>0</v>
      </c>
      <c r="BS173" s="220">
        <f ca="true">SUMIF($C$65:$C$167,$D173,BS$65:BS$167)+BS$29</f>
        <v>0</v>
      </c>
      <c r="BT173" s="220">
        <f ca="true">SUMIF($C$65:$C$167,$D173,BT$65:BT$167)+BT$29</f>
        <v>0</v>
      </c>
      <c r="BU173" s="220">
        <f ca="true">SUMIF($C$65:$C$167,$D173,BU$65:BU$167)+BU$29</f>
        <v>0</v>
      </c>
      <c r="BV173" s="220">
        <f ca="true">SUMIF($C$65:$C$167,$D173,BV$65:BV$167)+BV$29</f>
        <v>0</v>
      </c>
      <c r="BW173" s="220">
        <f ca="true">SUMIF($C$65:$C$167,$D173,BW$65:BW$167)+BW$29</f>
        <v>180000</v>
      </c>
      <c r="BX173" s="220">
        <f ca="true">SUMIF($C$65:$C$167,$D173,BX$65:BX$167)+BX$29</f>
        <v>0</v>
      </c>
      <c r="BY173" s="220">
        <f ca="true">SUMIF($C$65:$C$167,$D173,BY$65:BY$167)+BY$29</f>
        <v>0</v>
      </c>
      <c r="BZ173" s="220">
        <f ca="true">SUMIF($C$65:$C$167,$D173,BZ$65:BZ$167)+BZ$29</f>
        <v>5917</v>
      </c>
      <c r="CA173" s="220">
        <f ca="true">SUMIF($C$65:$C$167,$D173,CA$65:CA$167)+CA$29</f>
        <v>0</v>
      </c>
      <c r="CB173" s="220">
        <f ca="true">SUMIF($C$65:$C$167,$D173,CB$65:CB$167)+CB$29</f>
        <v>0</v>
      </c>
      <c r="CC173" s="220">
        <f ca="true">SUMIF($C$65:$C$167,$D173,CC$65:CC$167)+CC$29</f>
        <v>0</v>
      </c>
      <c r="CD173" s="220">
        <f ca="true">SUMIF($C$65:$C$167,$D173,CD$65:CD$167)+CD$29</f>
        <v>50000</v>
      </c>
      <c r="CE173" s="220">
        <f ca="true">SUMIF($C$65:$C$167,$D173,CE$65:CE$167)+CE$29</f>
        <v>0</v>
      </c>
      <c r="CF173" s="220">
        <f ca="true">SUMIF($C$65:$C$167,$D173,CF$65:CF$167)+CF$29</f>
        <v>0</v>
      </c>
      <c r="CG173" s="220">
        <f ca="true">SUMIF($C$65:$C$167,$D173,CG$65:CG$167)+CG$29</f>
        <v>0</v>
      </c>
      <c r="CH173" s="220">
        <f ca="true">SUMIF($C$65:$C$167,$D173,CH$65:CH$167)+CH$29</f>
        <v>0</v>
      </c>
      <c r="CI173" s="220">
        <f ca="true">SUMIF($C$65:$C$167,$D173,CI$65:CI$167)+CI$29</f>
        <v>0</v>
      </c>
      <c r="CJ173" s="220">
        <f ca="true">SUMIF($C$65:$C$167,$D173,CJ$65:CJ$167)+CJ$29</f>
        <v>0</v>
      </c>
      <c r="CK173" s="220">
        <f ca="true">SUMIF($C$65:$C$167,$D173,CK$65:CK$167)+CK$29</f>
        <v>0</v>
      </c>
      <c r="CL173" s="220">
        <f ca="true">SUMIF($C$65:$C$167,$D173,CL$65:CL$167)+CL$29</f>
        <v>0</v>
      </c>
      <c r="CM173" s="220">
        <f ca="true">SUMIF($C$65:$C$167,$D173,CM$65:CM$167)+CM$29</f>
        <v>0</v>
      </c>
      <c r="CN173" s="220">
        <f ca="true">SUMIF($C$65:$C$167,$D173,CN$65:CN$167)+CN$29</f>
        <v>0</v>
      </c>
      <c r="CO173" s="220">
        <f ca="true">SUMIF($C$65:$C$167,$D173,CO$65:CO$167)+CO$29</f>
        <v>0</v>
      </c>
      <c r="CP173" s="220"/>
      <c r="CQ173" s="238">
        <f ca="true">+SUM(AM173:CP173)</f>
        <v>275917</v>
      </c>
      <c r="CR173" s="238">
        <f ca="true">SUM(AL173,CQ173)</f>
        <v>345917</v>
      </c>
      <c r="CS173" s="238">
        <f ca="true">SUM(CY173:CY173)</f>
        <v>0</v>
      </c>
      <c r="CT173" s="221">
        <f ca="true">SUMIF($C$65:$C$167,$D173,CT$65:CT$167)+CT$29</f>
        <v>0</v>
      </c>
      <c r="CU173" s="220">
        <f ca="true">SUMIF($C$65:$C$167,$D173,CU$65:CU$167)+CU$29</f>
        <v>0</v>
      </c>
      <c r="CV173" s="220">
        <f ca="true">SUMIF($C$65:$C$167,$D173,CV$65:CV$167)+CV$29</f>
        <v>0</v>
      </c>
      <c r="CW173" s="238">
        <f ca="true">SUMIF($C$65:$C$167,$D173,CW$65:CW$167)+CW$29</f>
        <v>0</v>
      </c>
      <c r="CX173" s="238">
        <f ca="true">SUMIF($C$65:$C$167,$D173,CX$65:CX$167)+CX$29</f>
        <v>0</v>
      </c>
      <c r="CY173" s="238">
        <f ca="true">SUMIF($C$65:$C$167,$D173,CY$65:CY$167)+CY$29</f>
        <v>0</v>
      </c>
      <c r="CZ173" s="238">
        <f ca="true">SUMIF($C$65:$C$167,$D173,CZ$65:CZ$167)+CZ$29</f>
        <v>0</v>
      </c>
      <c r="DA173" s="238">
        <f ca="true">SUMIF($C$65:$C$167,$D173,DA$65:DA$167)+DA$29</f>
        <v>683705</v>
      </c>
      <c r="DB173" s="252"/>
    </row>
    <row r="174" spans="1:106" s="149" customFormat="true">
      <c r="A174" s="220"/>
      <c r="B174" s="221"/>
      <c r="C174" s="220"/>
      <c r="D174" s="220" t="s">
        <v>13867</v>
      </c>
      <c r="E174" s="229">
        <f ca="true">+F174+CS174+CZ174+DA174</f>
        <v>-2242941.93</v>
      </c>
      <c r="F174" s="220">
        <f ca="true">SUM(G174:K174,M174:N174,P174:U174,W174:X174,Z174:AA174,AC174:AK174,AM174:CP174)</f>
        <v>-1307236.93</v>
      </c>
      <c r="G174" s="220">
        <f ca="true">SUMIF($C$65:$C$167,$D174,G$65:G$167)+G$10</f>
        <v>-40523.38</v>
      </c>
      <c r="H174" s="220">
        <f ca="true">SUMIF($C$65:$C$167,$D174,H$65:H$167)+H$10</f>
        <v>-1400</v>
      </c>
      <c r="I174" s="220">
        <f ca="true">SUMIF($C$65:$C$167,$D174,I$65:I$167)+I$10</f>
        <v>0</v>
      </c>
      <c r="J174" s="220">
        <f ca="true">SUMIF($C$65:$C$167,$D174,J$65:J$167)+J$10</f>
        <v>-1100</v>
      </c>
      <c r="K174" s="220">
        <f ca="true">SUMIF($C$65:$C$167,$D174,K$65:K$167)+K$10</f>
        <v>0</v>
      </c>
      <c r="L174" s="238">
        <f ca="true">+SUM(G174:K174)</f>
        <v>-43023.38</v>
      </c>
      <c r="M174" s="220">
        <f ca="true">SUMIF($C$65:$C$167,$D174,M$65:M$167)+M$10</f>
        <v>24276.86</v>
      </c>
      <c r="N174" s="220">
        <f ca="true">SUMIF($C$65:$C$167,$D174,N$65:N$167)+N$10</f>
        <v>0</v>
      </c>
      <c r="O174" s="238">
        <f ca="true">+SUM(M174:N174)</f>
        <v>24276.86</v>
      </c>
      <c r="P174" s="220">
        <f ca="true">SUMIF($C$65:$C$167,$D174,P$65:P$167)+P$10</f>
        <v>0</v>
      </c>
      <c r="Q174" s="220">
        <f ca="true">SUMIF($C$65:$C$167,$D174,Q$65:Q$167)+Q$10</f>
        <v>0</v>
      </c>
      <c r="R174" s="220">
        <f ca="true">SUMIF($C$65:$C$167,$D174,R$65:R$167)+R$10</f>
        <v>0</v>
      </c>
      <c r="S174" s="220">
        <f ca="true">SUMIF($C$65:$C$167,$D174,S$65:S$167)+S$10</f>
        <v>0</v>
      </c>
      <c r="T174" s="220">
        <f ca="true">SUMIF($C$65:$C$167,$D174,T$65:T$167)+T$10</f>
        <v>0</v>
      </c>
      <c r="U174" s="220">
        <f ca="true">SUMIF($C$65:$C$167,$D174,U$65:U$167)+U$10</f>
        <v>0</v>
      </c>
      <c r="V174" s="220">
        <f ca="true">+SUM(P174:U174)</f>
        <v>0</v>
      </c>
      <c r="W174" s="220">
        <f ca="true">SUMIF($C$65:$C$167,$D174,W$65:W$167)+W$10</f>
        <v>0</v>
      </c>
      <c r="X174" s="220">
        <f ca="true">SUMIF($C$65:$C$167,$D174,X$65:X$167)+X$10</f>
        <v>-802573.41</v>
      </c>
      <c r="Y174" s="238">
        <f ca="true">SUM(V174:X174)</f>
        <v>-802573.41</v>
      </c>
      <c r="Z174" s="220">
        <f ca="true">SUMIF($C$65:$C$167,$D174,Z$65:Z$167)+Z$10</f>
        <v>0</v>
      </c>
      <c r="AA174" s="220">
        <f ca="true">SUMIF($C$65:$C$167,$D174,AA$65:AA$167)+AA$10</f>
        <v>0</v>
      </c>
      <c r="AB174" s="238">
        <f ca="true">+SUM(Z174:AA174)</f>
        <v>0</v>
      </c>
      <c r="AC174" s="220">
        <f ca="true">SUMIF($C$65:$C$167,$D174,AC$65:AC$167)+AC$10</f>
        <v>-100000</v>
      </c>
      <c r="AD174" s="220">
        <f ca="true">SUMIF($C$65:$C$167,$D174,AD$65:AD$167)+AD$10</f>
        <v>-40000</v>
      </c>
      <c r="AE174" s="220">
        <f ca="true">SUMIF($C$65:$C$167,$D174,AE$65:AE$167)+AE$10</f>
        <v>0</v>
      </c>
      <c r="AF174" s="220">
        <f ca="true">SUMIF($C$65:$C$167,$D174,AF$65:AF$167)+AF$10</f>
        <v>0</v>
      </c>
      <c r="AG174" s="220">
        <f ca="true">SUMIF($C$65:$C$167,$D174,AG$65:AG$167)+AG$10</f>
        <v>0</v>
      </c>
      <c r="AH174" s="220">
        <f ca="true">SUMIF($C$65:$C$167,$D174,AH$65:AH$167)+AH$10</f>
        <v>-20000</v>
      </c>
      <c r="AI174" s="220">
        <f ca="true">SUMIF($C$65:$C$167,$D174,AI$65:AI$167)+AI$10</f>
        <v>-50000</v>
      </c>
      <c r="AJ174" s="220">
        <f ca="true">SUMIF($C$65:$C$167,$D174,AJ$65:AJ$167)+AJ$10</f>
        <v>0</v>
      </c>
      <c r="AK174" s="220">
        <f ca="true">SUMIF($C$65:$C$167,$D174,AK$65:AK$167)+AK$10</f>
        <v>0</v>
      </c>
      <c r="AL174" s="238">
        <f ca="true">SUM(AF174:AK174)</f>
        <v>-70000</v>
      </c>
      <c r="AM174" s="220">
        <f ca="true">SUMIF($C$65:$C$167,$D174,AM$65:AM$167)+AM$10</f>
        <v>0</v>
      </c>
      <c r="AN174" s="220">
        <f ca="true">SUMIF($C$65:$C$167,$D174,AN$65:AN$167)+AN$10</f>
        <v>0</v>
      </c>
      <c r="AO174" s="220">
        <f ca="true">SUMIF($C$65:$C$167,$D174,AO$65:AO$167)+AO$10</f>
        <v>0</v>
      </c>
      <c r="AP174" s="220">
        <f ca="true">SUMIF($C$65:$C$167,$D174,AP$65:AP$167)+AP$10</f>
        <v>0</v>
      </c>
      <c r="AQ174" s="220">
        <f ca="true">SUMIF($C$65:$C$167,$D174,AQ$65:AQ$167)+AQ$10</f>
        <v>0</v>
      </c>
      <c r="AR174" s="220">
        <f ca="true">SUMIF($C$65:$C$167,$D174,AR$65:AR$167)+AR$10</f>
        <v>0</v>
      </c>
      <c r="AS174" s="220">
        <f ca="true">SUMIF($C$65:$C$167,$D174,AS$65:AS$167)+AS$10</f>
        <v>0</v>
      </c>
      <c r="AT174" s="220">
        <f ca="true">SUMIF($C$65:$C$167,$D174,AT$65:AT$167)+AT$10</f>
        <v>0</v>
      </c>
      <c r="AU174" s="220">
        <f ca="true">SUMIF($C$65:$C$167,$D174,AU$65:AU$167)+AU$10</f>
        <v>0</v>
      </c>
      <c r="AV174" s="220">
        <f ca="true">SUMIF($C$65:$C$167,$D174,AV$65:AV$167)+AV$10</f>
        <v>0</v>
      </c>
      <c r="AW174" s="220">
        <f ca="true">SUMIF($C$65:$C$167,$D174,AW$65:AW$167)+AW$10</f>
        <v>0</v>
      </c>
      <c r="AX174" s="220">
        <f ca="true">SUMIF($C$65:$C$167,$D174,AX$65:AX$167)+AX$10</f>
        <v>0</v>
      </c>
      <c r="AY174" s="220">
        <f ca="true">SUMIF($C$65:$C$167,$D174,AY$65:AY$167)+AY$10</f>
        <v>0</v>
      </c>
      <c r="AZ174" s="220">
        <f ca="true">SUMIF($C$65:$C$167,$D174,AZ$65:AZ$167)+AZ$10</f>
        <v>0</v>
      </c>
      <c r="BA174" s="220">
        <f ca="true">SUMIF($C$65:$C$167,$D174,BA$65:BA$167)+BA$10</f>
        <v>0</v>
      </c>
      <c r="BB174" s="220">
        <f ca="true">SUMIF($C$65:$C$167,$D174,BB$65:BB$167)+BB$10</f>
        <v>0</v>
      </c>
      <c r="BC174" s="220">
        <f ca="true">SUMIF($C$65:$C$167,$D174,BC$65:BC$167)+BC$10</f>
        <v>0</v>
      </c>
      <c r="BD174" s="220">
        <f ca="true">SUMIF($C$65:$C$167,$D174,BD$65:BD$167)+BD$10</f>
        <v>0</v>
      </c>
      <c r="BE174" s="220">
        <f ca="true">SUMIF($C$65:$C$167,$D174,BE$65:BE$167)+BE$10</f>
        <v>0</v>
      </c>
      <c r="BF174" s="220">
        <f ca="true">SUMIF($C$65:$C$167,$D174,BF$65:BF$167)+BF$10</f>
        <v>0</v>
      </c>
      <c r="BG174" s="220">
        <f ca="true">SUMIF($C$65:$C$167,$D174,BG$65:BG$167)+BG$10</f>
        <v>0</v>
      </c>
      <c r="BH174" s="220">
        <f ca="true">SUMIF($C$65:$C$167,$D174,BH$65:BH$167)+BH$10</f>
        <v>0</v>
      </c>
      <c r="BI174" s="220">
        <f ca="true">SUMIF($C$65:$C$167,$D174,BI$65:BI$167)+BI$10</f>
        <v>0</v>
      </c>
      <c r="BJ174" s="220">
        <f ca="true">SUMIF($C$65:$C$167,$D174,BJ$65:BJ$167)+BJ$10</f>
        <v>0</v>
      </c>
      <c r="BK174" s="220">
        <f ca="true">SUMIF($C$65:$C$167,$D174,BK$65:BK$167)+BK$10</f>
        <v>0</v>
      </c>
      <c r="BL174" s="220">
        <f ca="true">SUMIF($C$65:$C$167,$D174,BL$65:BL$167)+BL$10</f>
        <v>-40000</v>
      </c>
      <c r="BM174" s="220">
        <f ca="true">SUMIF($C$65:$C$167,$D174,BM$65:BM$167)+BM$10</f>
        <v>0</v>
      </c>
      <c r="BN174" s="220">
        <f ca="true">SUMIF($C$65:$C$167,$D174,BN$65:BN$167)+BN$10</f>
        <v>0</v>
      </c>
      <c r="BO174" s="220">
        <f ca="true">SUMIF($C$65:$C$167,$D174,BO$65:BO$167)+BO$10</f>
        <v>0</v>
      </c>
      <c r="BP174" s="220">
        <f ca="true">SUMIF($C$65:$C$167,$D174,BP$65:BP$167)+BP$10</f>
        <v>0</v>
      </c>
      <c r="BQ174" s="220">
        <f ca="true">SUMIF($C$65:$C$167,$D174,BQ$65:BQ$167)+BQ$10</f>
        <v>0</v>
      </c>
      <c r="BR174" s="220">
        <f ca="true">SUMIF($C$65:$C$167,$D174,BR$65:BR$167)+BR$10</f>
        <v>0</v>
      </c>
      <c r="BS174" s="220">
        <f ca="true">SUMIF($C$65:$C$167,$D174,BS$65:BS$167)+BS$10</f>
        <v>0</v>
      </c>
      <c r="BT174" s="220">
        <f ca="true">SUMIF($C$65:$C$167,$D174,BT$65:BT$167)+BT$10</f>
        <v>0</v>
      </c>
      <c r="BU174" s="220">
        <f ca="true">SUMIF($C$65:$C$167,$D174,BU$65:BU$167)+BU$10</f>
        <v>0</v>
      </c>
      <c r="BV174" s="220">
        <f ca="true">SUMIF($C$65:$C$167,$D174,BV$65:BV$167)+BV$10</f>
        <v>0</v>
      </c>
      <c r="BW174" s="220">
        <f ca="true">SUMIF($C$65:$C$167,$D174,BW$65:BW$167)+BW$10</f>
        <v>-180000</v>
      </c>
      <c r="BX174" s="220">
        <f ca="true">SUMIF($C$65:$C$167,$D174,BX$65:BX$167)+BX$10</f>
        <v>0</v>
      </c>
      <c r="BY174" s="220">
        <f ca="true">SUMIF($C$65:$C$167,$D174,BY$65:BY$167)+BY$10</f>
        <v>0</v>
      </c>
      <c r="BZ174" s="220">
        <f ca="true">SUMIF($C$65:$C$167,$D174,BZ$65:BZ$167)+BZ$10</f>
        <v>-5917</v>
      </c>
      <c r="CA174" s="220">
        <f ca="true">SUMIF($C$65:$C$167,$D174,CA$65:CA$167)+CA$10</f>
        <v>0</v>
      </c>
      <c r="CB174" s="220">
        <f ca="true">SUMIF($C$65:$C$167,$D174,CB$65:CB$167)+CB$10</f>
        <v>0</v>
      </c>
      <c r="CC174" s="220">
        <f ca="true">SUMIF($C$65:$C$167,$D174,CC$65:CC$167)+CC$10</f>
        <v>0</v>
      </c>
      <c r="CD174" s="220">
        <f ca="true">SUMIF($C$65:$C$167,$D174,CD$65:CD$167)+CD$10</f>
        <v>-50000</v>
      </c>
      <c r="CE174" s="220">
        <f ca="true">SUMIF($C$65:$C$167,$D174,CE$65:CE$167)+CE$10</f>
        <v>0</v>
      </c>
      <c r="CF174" s="220">
        <f ca="true">SUMIF($C$65:$C$167,$D174,CF$65:CF$167)+CF$10</f>
        <v>0</v>
      </c>
      <c r="CG174" s="220">
        <f ca="true">SUMIF($C$65:$C$167,$D174,CG$65:CG$167)+CG$10</f>
        <v>0</v>
      </c>
      <c r="CH174" s="220">
        <f ca="true">SUMIF($C$65:$C$167,$D174,CH$65:CH$167)+CH$10</f>
        <v>0</v>
      </c>
      <c r="CI174" s="220">
        <f ca="true">SUMIF($C$65:$C$167,$D174,CI$65:CI$167)+CI$10</f>
        <v>0</v>
      </c>
      <c r="CJ174" s="220">
        <f ca="true">SUMIF($C$65:$C$167,$D174,CJ$65:CJ$167)+CJ$10</f>
        <v>0</v>
      </c>
      <c r="CK174" s="220">
        <f ca="true">SUMIF($C$65:$C$167,$D174,CK$65:CK$167)+CK$10</f>
        <v>0</v>
      </c>
      <c r="CL174" s="220">
        <f ca="true">SUMIF($C$65:$C$167,$D174,CL$65:CL$167)+CL$10</f>
        <v>0</v>
      </c>
      <c r="CM174" s="220">
        <f ca="true">SUMIF($C$65:$C$167,$D174,CM$65:CM$167)+CM$10</f>
        <v>0</v>
      </c>
      <c r="CN174" s="220">
        <f ca="true">SUMIF($C$65:$C$167,$D174,CN$65:CN$167)+CN$10</f>
        <v>0</v>
      </c>
      <c r="CO174" s="220">
        <f ca="true">SUMIF($C$65:$C$167,$D174,CO$65:CO$167)+CO$10</f>
        <v>0</v>
      </c>
      <c r="CP174" s="220"/>
      <c r="CQ174" s="238">
        <f ca="true">+SUM(AM174:CP174)</f>
        <v>-275917</v>
      </c>
      <c r="CR174" s="238">
        <f ca="true">SUM(AL174,CQ174)</f>
        <v>-345917</v>
      </c>
      <c r="CS174" s="238">
        <f ca="true">SUM(CY174:CY174)</f>
        <v>0</v>
      </c>
      <c r="CT174" s="221">
        <f ca="true">SUMIF($C$65:$C$167,$D174,CT$65:CT$167)+CT$10</f>
        <v>0</v>
      </c>
      <c r="CU174" s="220">
        <f ca="true">SUMIF($C$65:$C$167,$D174,CU$65:CU$167)+CU$10</f>
        <v>0</v>
      </c>
      <c r="CV174" s="220">
        <f ca="true">SUMIF($C$65:$C$167,$D174,CV$65:CV$167)+CV$10</f>
        <v>0</v>
      </c>
      <c r="CW174" s="238">
        <f ca="true">SUMIF($C$65:$C$167,$D174,CW$65:CW$167)+CW$10</f>
        <v>0</v>
      </c>
      <c r="CX174" s="238">
        <f ca="true">SUMIF($C$65:$C$167,$D174,CX$65:CX$167)+CX$10</f>
        <v>0</v>
      </c>
      <c r="CY174" s="238">
        <f ca="true">SUMIF($C$65:$C$167,$D174,CY$65:CY$167)+CY$10</f>
        <v>0</v>
      </c>
      <c r="CZ174" s="238">
        <f ca="true">SUMIF($C$65:$C$167,$D174,CZ$65:CZ$167)+CZ$10</f>
        <v>0</v>
      </c>
      <c r="DA174" s="238">
        <f ca="true">SUMIF($C$65:$C$167,$D174,DA$65:DA$167)+DA$10</f>
        <v>-935705</v>
      </c>
      <c r="DB174" s="252"/>
    </row>
    <row r="175" spans="1:106" s="149" customFormat="true">
      <c r="A175" s="220"/>
      <c r="B175" s="221"/>
      <c r="C175" s="220"/>
      <c r="D175" s="220" t="s">
        <v>13886</v>
      </c>
      <c r="E175" s="229">
        <f ca="true">+F175+CS175+CZ175+DA175</f>
        <v>-2000000</v>
      </c>
      <c r="F175" s="220">
        <f ca="true">SUM(G175:K175,M175:N175,P175:U175,W175:X175,Z175:AA175,AC175:AK175,AM175:CP175)</f>
        <v>-2000000</v>
      </c>
      <c r="G175" s="220">
        <f ca="true">SUMIF($C$65:$C$167,$D175,G$65:G$167)+G$27</f>
        <v>0</v>
      </c>
      <c r="H175" s="220">
        <f ca="true">SUMIF($C$65:$C$167,$D175,H$65:H$167)+H$27</f>
        <v>0</v>
      </c>
      <c r="I175" s="220">
        <f ca="true">SUMIF($C$65:$C$167,$D175,I$65:I$167)+I$27</f>
        <v>0</v>
      </c>
      <c r="J175" s="220">
        <f ca="true">SUMIF($C$65:$C$167,$D175,J$65:J$167)+J$27</f>
        <v>0</v>
      </c>
      <c r="K175" s="220">
        <f ca="true">SUMIF($C$65:$C$167,$D175,K$65:K$167)+K$27</f>
        <v>0</v>
      </c>
      <c r="L175" s="238">
        <f ca="true">+SUM(G175:K175)</f>
        <v>0</v>
      </c>
      <c r="M175" s="220">
        <f ca="true">SUMIF($C$65:$C$167,$D175,M$65:M$167)+M$27</f>
        <v>0</v>
      </c>
      <c r="N175" s="220">
        <f ca="true">SUMIF($C$65:$C$167,$D175,N$65:N$167)+N$27</f>
        <v>0</v>
      </c>
      <c r="O175" s="238">
        <f ca="true">+SUM(M175:N175)</f>
        <v>0</v>
      </c>
      <c r="P175" s="220">
        <f ca="true">SUMIF($C$65:$C$167,$D175,P$65:P$167)+P$27</f>
        <v>0</v>
      </c>
      <c r="Q175" s="220">
        <f ca="true">SUMIF($C$65:$C$167,$D175,Q$65:Q$167)+Q$27</f>
        <v>0</v>
      </c>
      <c r="R175" s="220">
        <f ca="true">SUMIF($C$65:$C$167,$D175,R$65:R$167)+R$27</f>
        <v>0</v>
      </c>
      <c r="S175" s="220">
        <f ca="true">SUMIF($C$65:$C$167,$D175,S$65:S$167)+S$27</f>
        <v>0</v>
      </c>
      <c r="T175" s="220">
        <f ca="true">SUMIF($C$65:$C$167,$D175,T$65:T$167)+T$27</f>
        <v>0</v>
      </c>
      <c r="U175" s="220">
        <f ca="true">SUMIF($C$65:$C$167,$D175,U$65:U$167)+U$27</f>
        <v>0</v>
      </c>
      <c r="V175" s="220">
        <f ca="true">+SUM(P175:U175)</f>
        <v>0</v>
      </c>
      <c r="W175" s="220">
        <f ca="true">SUMIF($C$65:$C$167,$D175,W$65:W$167)+W$27</f>
        <v>0</v>
      </c>
      <c r="X175" s="220">
        <f ca="true">SUMIF($C$65:$C$167,$D175,X$65:X$167)+X$27</f>
        <v>0</v>
      </c>
      <c r="Y175" s="238">
        <f ca="true">SUM(V175:X175)</f>
        <v>0</v>
      </c>
      <c r="Z175" s="220">
        <f ca="true">SUMIF($C$65:$C$167,$D175,Z$65:Z$167)+Z$27</f>
        <v>0</v>
      </c>
      <c r="AA175" s="220">
        <f ca="true">SUMIF($C$65:$C$167,$D175,AA$65:AA$167)+AA$27</f>
        <v>0</v>
      </c>
      <c r="AB175" s="238">
        <f ca="true">+SUM(Z175:AA175)</f>
        <v>0</v>
      </c>
      <c r="AC175" s="220">
        <f ca="true">SUMIF($C$65:$C$167,$D175,AC$65:AC$167)+AC$27</f>
        <v>0</v>
      </c>
      <c r="AD175" s="220">
        <f ca="true">SUMIF($C$65:$C$167,$D175,AD$65:AD$167)+AD$27</f>
        <v>0</v>
      </c>
      <c r="AE175" s="220">
        <f ca="true">SUMIF($C$65:$C$167,$D175,AE$65:AE$167)+AE$27</f>
        <v>0</v>
      </c>
      <c r="AF175" s="220">
        <f ca="true">SUMIF($C$65:$C$167,$D175,AF$65:AF$167)+AF$27</f>
        <v>0</v>
      </c>
      <c r="AG175" s="220">
        <f ca="true">SUMIF($C$65:$C$167,$D175,AG$65:AG$167)+AG$27</f>
        <v>0</v>
      </c>
      <c r="AH175" s="220">
        <f ca="true">SUMIF($C$65:$C$167,$D175,AH$65:AH$167)+AH$27</f>
        <v>0</v>
      </c>
      <c r="AI175" s="220">
        <f ca="true">SUMIF($C$65:$C$167,$D175,AI$65:AI$167)+AI$27</f>
        <v>0</v>
      </c>
      <c r="AJ175" s="220">
        <f ca="true">SUMIF($C$65:$C$167,$D175,AJ$65:AJ$167)+AJ$27</f>
        <v>0</v>
      </c>
      <c r="AK175" s="220">
        <f ca="true">SUMIF($C$65:$C$167,$D175,AK$65:AK$167)+AK$27</f>
        <v>0</v>
      </c>
      <c r="AL175" s="238">
        <f ca="true">SUM(AF175:AK175)</f>
        <v>0</v>
      </c>
      <c r="AM175" s="220">
        <f ca="true">SUMIF($C$65:$C$167,$D175,AM$65:AM$167)+AM$27</f>
        <v>0</v>
      </c>
      <c r="AN175" s="220">
        <f ca="true">SUMIF($C$65:$C$167,$D175,AN$65:AN$167)+AN$27</f>
        <v>0</v>
      </c>
      <c r="AO175" s="220">
        <f ca="true">SUMIF($C$65:$C$167,$D175,AO$65:AO$167)+AO$27</f>
        <v>0</v>
      </c>
      <c r="AP175" s="220">
        <f ca="true">SUMIF($C$65:$C$167,$D175,AP$65:AP$167)+AP$27</f>
        <v>0</v>
      </c>
      <c r="AQ175" s="220">
        <f ca="true">SUMIF($C$65:$C$167,$D175,AQ$65:AQ$167)+AQ$27</f>
        <v>0</v>
      </c>
      <c r="AR175" s="220">
        <f ca="true">SUMIF($C$65:$C$167,$D175,AR$65:AR$167)+AR$27</f>
        <v>0</v>
      </c>
      <c r="AS175" s="220">
        <f ca="true">SUMIF($C$65:$C$167,$D175,AS$65:AS$167)+AS$27</f>
        <v>0</v>
      </c>
      <c r="AT175" s="220">
        <f ca="true">SUMIF($C$65:$C$167,$D175,AT$65:AT$167)+AT$27</f>
        <v>0</v>
      </c>
      <c r="AU175" s="220">
        <f ca="true">SUMIF($C$65:$C$167,$D175,AU$65:AU$167)+AU$27</f>
        <v>0</v>
      </c>
      <c r="AV175" s="220">
        <f ca="true">SUMIF($C$65:$C$167,$D175,AV$65:AV$167)+AV$27</f>
        <v>0</v>
      </c>
      <c r="AW175" s="220">
        <f ca="true">SUMIF($C$65:$C$167,$D175,AW$65:AW$167)+AW$27</f>
        <v>0</v>
      </c>
      <c r="AX175" s="220">
        <f ca="true">SUMIF($C$65:$C$167,$D175,AX$65:AX$167)+AX$27</f>
        <v>0</v>
      </c>
      <c r="AY175" s="220">
        <f ca="true">SUMIF($C$65:$C$167,$D175,AY$65:AY$167)+AY$27</f>
        <v>0</v>
      </c>
      <c r="AZ175" s="220">
        <f ca="true">SUMIF($C$65:$C$167,$D175,AZ$65:AZ$167)+AZ$27</f>
        <v>0</v>
      </c>
      <c r="BA175" s="220">
        <f ca="true">SUMIF($C$65:$C$167,$D175,BA$65:BA$167)+BA$27</f>
        <v>0</v>
      </c>
      <c r="BB175" s="220">
        <f ca="true">SUMIF($C$65:$C$167,$D175,BB$65:BB$167)+BB$27</f>
        <v>0</v>
      </c>
      <c r="BC175" s="220">
        <f ca="true">SUMIF($C$65:$C$167,$D175,BC$65:BC$167)+BC$27</f>
        <v>0</v>
      </c>
      <c r="BD175" s="220">
        <f ca="true">SUMIF($C$65:$C$167,$D175,BD$65:BD$167)+BD$27</f>
        <v>0</v>
      </c>
      <c r="BE175" s="220">
        <f ca="true">SUMIF($C$65:$C$167,$D175,BE$65:BE$167)+BE$27</f>
        <v>0</v>
      </c>
      <c r="BF175" s="220">
        <f ca="true">SUMIF($C$65:$C$167,$D175,BF$65:BF$167)+BF$27</f>
        <v>0</v>
      </c>
      <c r="BG175" s="220">
        <f ca="true">SUMIF($C$65:$C$167,$D175,BG$65:BG$167)+BG$27</f>
        <v>0</v>
      </c>
      <c r="BH175" s="220">
        <f ca="true">SUMIF($C$65:$C$167,$D175,BH$65:BH$167)+BH$27</f>
        <v>0</v>
      </c>
      <c r="BI175" s="220">
        <f ca="true">SUMIF($C$65:$C$167,$D175,BI$65:BI$167)+BI$27</f>
        <v>0</v>
      </c>
      <c r="BJ175" s="220">
        <f ca="true">SUMIF($C$65:$C$167,$D175,BJ$65:BJ$167)+BJ$27</f>
        <v>0</v>
      </c>
      <c r="BK175" s="220">
        <f ca="true">SUMIF($C$65:$C$167,$D175,BK$65:BK$167)+BK$27</f>
        <v>0</v>
      </c>
      <c r="BL175" s="220">
        <f ca="true">SUMIF($C$65:$C$167,$D175,BL$65:BL$167)+BL$27</f>
        <v>0</v>
      </c>
      <c r="BM175" s="220">
        <f ca="true">SUMIF($C$65:$C$167,$D175,BM$65:BM$167)+BM$27</f>
        <v>0</v>
      </c>
      <c r="BN175" s="220">
        <f ca="true">SUMIF($C$65:$C$167,$D175,BN$65:BN$167)+BN$27</f>
        <v>0</v>
      </c>
      <c r="BO175" s="220">
        <f ca="true">SUMIF($C$65:$C$167,$D175,BO$65:BO$167)+BO$27</f>
        <v>0</v>
      </c>
      <c r="BP175" s="220">
        <f ca="true">SUMIF($C$65:$C$167,$D175,BP$65:BP$167)+BP$27</f>
        <v>0</v>
      </c>
      <c r="BQ175" s="220">
        <f ca="true">SUMIF($C$65:$C$167,$D175,BQ$65:BQ$167)+BQ$27</f>
        <v>0</v>
      </c>
      <c r="BR175" s="220">
        <f ca="true">SUMIF($C$65:$C$167,$D175,BR$65:BR$167)+BR$27</f>
        <v>0</v>
      </c>
      <c r="BS175" s="220">
        <f ca="true">SUMIF($C$65:$C$167,$D175,BS$65:BS$167)+BS$27</f>
        <v>0</v>
      </c>
      <c r="BT175" s="220">
        <f ca="true">SUMIF($C$65:$C$167,$D175,BT$65:BT$167)+BT$27</f>
        <v>0</v>
      </c>
      <c r="BU175" s="220">
        <f ca="true">SUMIF($C$65:$C$167,$D175,BU$65:BU$167)+BU$27</f>
        <v>0</v>
      </c>
      <c r="BV175" s="220">
        <f ca="true">SUMIF($C$65:$C$167,$D175,BV$65:BV$167)+BV$27</f>
        <v>0</v>
      </c>
      <c r="BW175" s="220">
        <f ca="true">SUMIF($C$65:$C$167,$D175,BW$65:BW$167)+BW$27</f>
        <v>0</v>
      </c>
      <c r="BX175" s="220">
        <f ca="true">SUMIF($C$65:$C$167,$D175,BX$65:BX$167)+BX$27</f>
        <v>0</v>
      </c>
      <c r="BY175" s="220">
        <f ca="true">SUMIF($C$65:$C$167,$D175,BY$65:BY$167)+BY$27</f>
        <v>0</v>
      </c>
      <c r="BZ175" s="220">
        <f ca="true">SUMIF($C$65:$C$167,$D175,BZ$65:BZ$167)+BZ$27</f>
        <v>0</v>
      </c>
      <c r="CA175" s="220">
        <f ca="true">SUMIF($C$65:$C$167,$D175,CA$65:CA$167)+CA$27</f>
        <v>0</v>
      </c>
      <c r="CB175" s="220">
        <f ca="true">SUMIF($C$65:$C$167,$D175,CB$65:CB$167)+CB$27</f>
        <v>0</v>
      </c>
      <c r="CC175" s="220">
        <f ca="true">SUMIF($C$65:$C$167,$D175,CC$65:CC$167)+CC$27</f>
        <v>0</v>
      </c>
      <c r="CD175" s="220">
        <f ca="true">SUMIF($C$65:$C$167,$D175,CD$65:CD$167)+CD$27</f>
        <v>0</v>
      </c>
      <c r="CE175" s="220">
        <f ca="true">SUMIF($C$65:$C$167,$D175,CE$65:CE$167)+CE$27</f>
        <v>0</v>
      </c>
      <c r="CF175" s="220">
        <f ca="true">SUMIF($C$65:$C$167,$D175,CF$65:CF$167)+CF$27</f>
        <v>0</v>
      </c>
      <c r="CG175" s="220">
        <f ca="true">SUMIF($C$65:$C$167,$D175,CG$65:CG$167)+CG$27</f>
        <v>0</v>
      </c>
      <c r="CH175" s="220">
        <f ca="true">SUMIF($C$65:$C$167,$D175,CH$65:CH$167)+CH$27</f>
        <v>0</v>
      </c>
      <c r="CI175" s="220">
        <f ca="true">SUMIF($C$65:$C$167,$D175,CI$65:CI$167)+CI$27</f>
        <v>0</v>
      </c>
      <c r="CJ175" s="220">
        <f ca="true">SUMIF($C$65:$C$167,$D175,CJ$65:CJ$167)+CJ$27</f>
        <v>0</v>
      </c>
      <c r="CK175" s="220">
        <f ca="true">SUMIF($C$65:$C$167,$D175,CK$65:CK$167)+CK$27</f>
        <v>0</v>
      </c>
      <c r="CL175" s="220">
        <f ca="true">SUMIF($C$65:$C$167,$D175,CL$65:CL$167)+CL$27</f>
        <v>0</v>
      </c>
      <c r="CM175" s="220">
        <f ca="true">SUMIF($C$65:$C$167,$D175,CM$65:CM$167)+CM$27</f>
        <v>0</v>
      </c>
      <c r="CN175" s="220">
        <f ca="true">SUMIF($C$65:$C$167,$D175,CN$65:CN$167)+CN$27</f>
        <v>-1000000</v>
      </c>
      <c r="CO175" s="220">
        <f ca="true">SUMIF($C$65:$C$167,$D175,CO$65:CO$167)+CO$27</f>
        <v>-1000000</v>
      </c>
      <c r="CP175" s="220"/>
      <c r="CQ175" s="238">
        <f ca="true">+SUM(AM175:CP175)</f>
        <v>-2000000</v>
      </c>
      <c r="CR175" s="238">
        <f ca="true">SUM(AL175,CQ175)</f>
        <v>-2000000</v>
      </c>
      <c r="CS175" s="238">
        <f ca="true">SUM(CY175:CY175)</f>
        <v>0</v>
      </c>
      <c r="CT175" s="221">
        <f ca="true">SUMIF($C$65:$C$167,$D175,CT$65:CT$167)+CT$27</f>
        <v>0</v>
      </c>
      <c r="CU175" s="220">
        <f ca="true">SUMIF($C$65:$C$167,$D175,CU$65:CU$167)+CU$27</f>
        <v>0</v>
      </c>
      <c r="CV175" s="220">
        <f ca="true">SUMIF($C$65:$C$167,$D175,CV$65:CV$167)+CV$27</f>
        <v>0</v>
      </c>
      <c r="CW175" s="238">
        <f ca="true">SUMIF($C$65:$C$167,$D175,CW$65:CW$167)+CW$27</f>
        <v>0</v>
      </c>
      <c r="CX175" s="238">
        <f ca="true">SUMIF($C$65:$C$167,$D175,CX$65:CX$167)+CX$27</f>
        <v>0</v>
      </c>
      <c r="CY175" s="238">
        <f ca="true">SUMIF($C$65:$C$167,$D175,CY$65:CY$167)+CY$27</f>
        <v>0</v>
      </c>
      <c r="CZ175" s="238">
        <f ca="true">SUMIF($C$65:$C$167,$D175,CZ$65:CZ$167)+CZ$27</f>
        <v>0</v>
      </c>
      <c r="DA175" s="238">
        <f ca="true">SUMIF($C$65:$C$167,$D175,DA$65:DA$167)+DA$27</f>
        <v>0</v>
      </c>
      <c r="DB175" s="252"/>
    </row>
    <row r="176" spans="1:106" s="149" customFormat="true">
      <c r="A176" s="220"/>
      <c r="B176" s="221"/>
      <c r="C176" s="220"/>
      <c r="D176" s="220" t="s">
        <v>863</v>
      </c>
      <c r="E176" s="229">
        <f ca="true">+F176+CS176+CZ176+DA176</f>
        <v>3200205</v>
      </c>
      <c r="F176" s="220">
        <f ca="true">SUM(G176:K176,M176:N176,P176:U176,W176:X176,Z176:AA176,AC176:AK176,AM176:CP176)</f>
        <v>2000205</v>
      </c>
      <c r="G176" s="220">
        <f ca="true">SUMIF($C$65:$C$167,$D176,G$65:G$167)+G$21</f>
        <v>0</v>
      </c>
      <c r="H176" s="220">
        <f ca="true">SUMIF($C$65:$C$167,$D176,H$65:H$167)+H$21</f>
        <v>0</v>
      </c>
      <c r="I176" s="220">
        <f ca="true">SUMIF($C$65:$C$167,$D176,I$65:I$167)+I$21</f>
        <v>0</v>
      </c>
      <c r="J176" s="220">
        <f ca="true">SUMIF($C$65:$C$167,$D176,J$65:J$167)+J$21</f>
        <v>0</v>
      </c>
      <c r="K176" s="220">
        <f ca="true">SUMIF($C$65:$C$167,$D176,K$65:K$167)+K$21</f>
        <v>0</v>
      </c>
      <c r="L176" s="238">
        <f ca="true">+SUM(G176:K176)</f>
        <v>0</v>
      </c>
      <c r="M176" s="220">
        <f ca="true">SUMIF($C$65:$C$167,$D176,M$65:M$167)+M$21</f>
        <v>0</v>
      </c>
      <c r="N176" s="220">
        <f ca="true">SUMIF($C$65:$C$167,$D176,N$65:N$167)+N$21</f>
        <v>0</v>
      </c>
      <c r="O176" s="238">
        <f ca="true">+SUM(M176:N176)</f>
        <v>0</v>
      </c>
      <c r="P176" s="220">
        <f ca="true">SUMIF($C$65:$C$167,$D176,P$65:P$167)+P$21</f>
        <v>0</v>
      </c>
      <c r="Q176" s="220">
        <f ca="true">SUMIF($C$65:$C$167,$D176,Q$65:Q$167)+Q$21</f>
        <v>0</v>
      </c>
      <c r="R176" s="220">
        <f ca="true">SUMIF($C$65:$C$167,$D176,R$65:R$167)+R$21</f>
        <v>0</v>
      </c>
      <c r="S176" s="220">
        <f ca="true">SUMIF($C$65:$C$167,$D176,S$65:S$167)+S$21</f>
        <v>0</v>
      </c>
      <c r="T176" s="220">
        <f ca="true">SUMIF($C$65:$C$167,$D176,T$65:T$167)+T$21</f>
        <v>0</v>
      </c>
      <c r="U176" s="220">
        <f ca="true">SUMIF($C$65:$C$167,$D176,U$65:U$167)+U$21</f>
        <v>0</v>
      </c>
      <c r="V176" s="220">
        <f ca="true">+SUM(P176:U176)</f>
        <v>0</v>
      </c>
      <c r="W176" s="220">
        <f ca="true">SUMIF($C$65:$C$167,$D176,W$65:W$167)+W$21</f>
        <v>0</v>
      </c>
      <c r="X176" s="220">
        <f ca="true">SUMIF($C$65:$C$167,$D176,X$65:X$167)+X$21</f>
        <v>0</v>
      </c>
      <c r="Y176" s="238">
        <f ca="true">SUM(V176:X176)</f>
        <v>0</v>
      </c>
      <c r="Z176" s="220">
        <f ca="true">SUMIF($C$65:$C$167,$D176,Z$65:Z$167)+Z$21</f>
        <v>0</v>
      </c>
      <c r="AA176" s="220">
        <f ca="true">SUMIF($C$65:$C$167,$D176,AA$65:AA$167)+AA$21</f>
        <v>0</v>
      </c>
      <c r="AB176" s="238">
        <f ca="true">+SUM(Z176:AA176)</f>
        <v>0</v>
      </c>
      <c r="AC176" s="220">
        <f ca="true">SUMIF($C$65:$C$167,$D176,AC$65:AC$167)+AC$21</f>
        <v>0</v>
      </c>
      <c r="AD176" s="220">
        <f ca="true">SUMIF($C$65:$C$167,$D176,AD$65:AD$167)+AD$21</f>
        <v>0</v>
      </c>
      <c r="AE176" s="220">
        <f ca="true">SUMIF($C$65:$C$167,$D176,AE$65:AE$167)+AE$21</f>
        <v>0</v>
      </c>
      <c r="AF176" s="220">
        <f ca="true">SUMIF($C$65:$C$167,$D176,AF$65:AF$167)+AF$21</f>
        <v>0</v>
      </c>
      <c r="AG176" s="220">
        <f ca="true">SUMIF($C$65:$C$167,$D176,AG$65:AG$167)+AG$21</f>
        <v>0</v>
      </c>
      <c r="AH176" s="220">
        <f ca="true">SUMIF($C$65:$C$167,$D176,AH$65:AH$167)+AH$21</f>
        <v>0</v>
      </c>
      <c r="AI176" s="220">
        <f ca="true">SUMIF($C$65:$C$167,$D176,AI$65:AI$167)+AI$21</f>
        <v>0</v>
      </c>
      <c r="AJ176" s="220">
        <f ca="true">SUMIF($C$65:$C$167,$D176,AJ$65:AJ$167)+AJ$21</f>
        <v>205</v>
      </c>
      <c r="AK176" s="220">
        <f ca="true">SUMIF($C$65:$C$167,$D176,AK$65:AK$167)+AK$21</f>
        <v>0</v>
      </c>
      <c r="AL176" s="238">
        <f ca="true">SUM(AF176:AK176)</f>
        <v>205</v>
      </c>
      <c r="AM176" s="220">
        <f ca="true">SUMIF($C$65:$C$167,$D176,AM$65:AM$167)+AM$21</f>
        <v>0</v>
      </c>
      <c r="AN176" s="220">
        <f ca="true">SUMIF($C$65:$C$167,$D176,AN$65:AN$167)+AN$21</f>
        <v>0</v>
      </c>
      <c r="AO176" s="220">
        <f ca="true">SUMIF($C$65:$C$167,$D176,AO$65:AO$167)+AO$21</f>
        <v>0</v>
      </c>
      <c r="AP176" s="220">
        <f ca="true">SUMIF($C$65:$C$167,$D176,AP$65:AP$167)+AP$21</f>
        <v>0</v>
      </c>
      <c r="AQ176" s="220">
        <f ca="true">SUMIF($C$65:$C$167,$D176,AQ$65:AQ$167)+AQ$21</f>
        <v>0</v>
      </c>
      <c r="AR176" s="220">
        <f ca="true">SUMIF($C$65:$C$167,$D176,AR$65:AR$167)+AR$21</f>
        <v>0</v>
      </c>
      <c r="AS176" s="220">
        <f ca="true">SUMIF($C$65:$C$167,$D176,AS$65:AS$167)+AS$21</f>
        <v>0</v>
      </c>
      <c r="AT176" s="220">
        <f ca="true">SUMIF($C$65:$C$167,$D176,AT$65:AT$167)+AT$21</f>
        <v>0</v>
      </c>
      <c r="AU176" s="220">
        <f ca="true">SUMIF($C$65:$C$167,$D176,AU$65:AU$167)+AU$21</f>
        <v>0</v>
      </c>
      <c r="AV176" s="220">
        <f ca="true">SUMIF($C$65:$C$167,$D176,AV$65:AV$167)+AV$21</f>
        <v>0</v>
      </c>
      <c r="AW176" s="220">
        <f ca="true">SUMIF($C$65:$C$167,$D176,AW$65:AW$167)+AW$21</f>
        <v>0</v>
      </c>
      <c r="AX176" s="220">
        <f ca="true">SUMIF($C$65:$C$167,$D176,AX$65:AX$167)+AX$21</f>
        <v>0</v>
      </c>
      <c r="AY176" s="220">
        <f ca="true">SUMIF($C$65:$C$167,$D176,AY$65:AY$167)+AY$21</f>
        <v>0</v>
      </c>
      <c r="AZ176" s="220">
        <f ca="true">SUMIF($C$65:$C$167,$D176,AZ$65:AZ$167)+AZ$21</f>
        <v>0</v>
      </c>
      <c r="BA176" s="220">
        <f ca="true">SUMIF($C$65:$C$167,$D176,BA$65:BA$167)+BA$21</f>
        <v>0</v>
      </c>
      <c r="BB176" s="220">
        <f ca="true">SUMIF($C$65:$C$167,$D176,BB$65:BB$167)+BB$21</f>
        <v>0</v>
      </c>
      <c r="BC176" s="220">
        <f ca="true">SUMIF($C$65:$C$167,$D176,BC$65:BC$167)+BC$21</f>
        <v>0</v>
      </c>
      <c r="BD176" s="220">
        <f ca="true">SUMIF($C$65:$C$167,$D176,BD$65:BD$167)+BD$21</f>
        <v>0</v>
      </c>
      <c r="BE176" s="220">
        <f ca="true">SUMIF($C$65:$C$167,$D176,BE$65:BE$167)+BE$21</f>
        <v>0</v>
      </c>
      <c r="BF176" s="220">
        <f ca="true">SUMIF($C$65:$C$167,$D176,BF$65:BF$167)+BF$21</f>
        <v>0</v>
      </c>
      <c r="BG176" s="220">
        <f ca="true">SUMIF($C$65:$C$167,$D176,BG$65:BG$167)+BG$21</f>
        <v>0</v>
      </c>
      <c r="BH176" s="220">
        <f ca="true">SUMIF($C$65:$C$167,$D176,BH$65:BH$167)+BH$21</f>
        <v>0</v>
      </c>
      <c r="BI176" s="220">
        <f ca="true">SUMIF($C$65:$C$167,$D176,BI$65:BI$167)+BI$21</f>
        <v>0</v>
      </c>
      <c r="BJ176" s="220">
        <f ca="true">SUMIF($C$65:$C$167,$D176,BJ$65:BJ$167)+BJ$21</f>
        <v>0</v>
      </c>
      <c r="BK176" s="220">
        <f ca="true">SUMIF($C$65:$C$167,$D176,BK$65:BK$167)+BK$21</f>
        <v>0</v>
      </c>
      <c r="BL176" s="220">
        <f ca="true">SUMIF($C$65:$C$167,$D176,BL$65:BL$167)+BL$21</f>
        <v>0</v>
      </c>
      <c r="BM176" s="220">
        <f ca="true">SUMIF($C$65:$C$167,$D176,BM$65:BM$167)+BM$21</f>
        <v>0</v>
      </c>
      <c r="BN176" s="220">
        <f ca="true">SUMIF($C$65:$C$167,$D176,BN$65:BN$167)+BN$21</f>
        <v>0</v>
      </c>
      <c r="BO176" s="220">
        <f ca="true">SUMIF($C$65:$C$167,$D176,BO$65:BO$167)+BO$21</f>
        <v>0</v>
      </c>
      <c r="BP176" s="220">
        <f ca="true">SUMIF($C$65:$C$167,$D176,BP$65:BP$167)+BP$21</f>
        <v>0</v>
      </c>
      <c r="BQ176" s="220">
        <f ca="true">SUMIF($C$65:$C$167,$D176,BQ$65:BQ$167)+BQ$21</f>
        <v>0</v>
      </c>
      <c r="BR176" s="220">
        <f ca="true">SUMIF($C$65:$C$167,$D176,BR$65:BR$167)+BR$21</f>
        <v>0</v>
      </c>
      <c r="BS176" s="220">
        <f ca="true">SUMIF($C$65:$C$167,$D176,BS$65:BS$167)+BS$21</f>
        <v>0</v>
      </c>
      <c r="BT176" s="220">
        <f ca="true">SUMIF($C$65:$C$167,$D176,BT$65:BT$167)+BT$21</f>
        <v>0</v>
      </c>
      <c r="BU176" s="220">
        <f ca="true">SUMIF($C$65:$C$167,$D176,BU$65:BU$167)+BU$21</f>
        <v>0</v>
      </c>
      <c r="BV176" s="220">
        <f ca="true">SUMIF($C$65:$C$167,$D176,BV$65:BV$167)+BV$21</f>
        <v>0</v>
      </c>
      <c r="BW176" s="220">
        <f ca="true">SUMIF($C$65:$C$167,$D176,BW$65:BW$167)+BW$21</f>
        <v>0</v>
      </c>
      <c r="BX176" s="220">
        <f ca="true">SUMIF($C$65:$C$167,$D176,BX$65:BX$167)+BX$21</f>
        <v>0</v>
      </c>
      <c r="BY176" s="220">
        <f ca="true">SUMIF($C$65:$C$167,$D176,BY$65:BY$167)+BY$21</f>
        <v>0</v>
      </c>
      <c r="BZ176" s="220">
        <f ca="true">SUMIF($C$65:$C$167,$D176,BZ$65:BZ$167)+BZ$21</f>
        <v>0</v>
      </c>
      <c r="CA176" s="220">
        <f ca="true">SUMIF($C$65:$C$167,$D176,CA$65:CA$167)+CA$21</f>
        <v>0</v>
      </c>
      <c r="CB176" s="220">
        <f ca="true">SUMIF($C$65:$C$167,$D176,CB$65:CB$167)+CB$21</f>
        <v>0</v>
      </c>
      <c r="CC176" s="220">
        <f ca="true">SUMIF($C$65:$C$167,$D176,CC$65:CC$167)+CC$21</f>
        <v>0</v>
      </c>
      <c r="CD176" s="220">
        <f ca="true">SUMIF($C$65:$C$167,$D176,CD$65:CD$167)+CD$21</f>
        <v>0</v>
      </c>
      <c r="CE176" s="220">
        <f ca="true">SUMIF($C$65:$C$167,$D176,CE$65:CE$167)+CE$21</f>
        <v>0</v>
      </c>
      <c r="CF176" s="220">
        <f ca="true">SUMIF($C$65:$C$167,$D176,CF$65:CF$167)+CF$21</f>
        <v>0</v>
      </c>
      <c r="CG176" s="220">
        <f ca="true">SUMIF($C$65:$C$167,$D176,CG$65:CG$167)+CG$21</f>
        <v>0</v>
      </c>
      <c r="CH176" s="220">
        <f ca="true">SUMIF($C$65:$C$167,$D176,CH$65:CH$167)+CH$21</f>
        <v>0</v>
      </c>
      <c r="CI176" s="220">
        <f ca="true">SUMIF($C$65:$C$167,$D176,CI$65:CI$167)+CI$21</f>
        <v>0</v>
      </c>
      <c r="CJ176" s="220">
        <f ca="true">SUMIF($C$65:$C$167,$D176,CJ$65:CJ$167)+CJ$21</f>
        <v>0</v>
      </c>
      <c r="CK176" s="220">
        <f ca="true">SUMIF($C$65:$C$167,$D176,CK$65:CK$167)+CK$21</f>
        <v>0</v>
      </c>
      <c r="CL176" s="220">
        <f ca="true">SUMIF($C$65:$C$167,$D176,CL$65:CL$167)+CL$21</f>
        <v>0</v>
      </c>
      <c r="CM176" s="220">
        <f ca="true">SUMIF($C$65:$C$167,$D176,CM$65:CM$167)+CM$21</f>
        <v>0</v>
      </c>
      <c r="CN176" s="220">
        <f ca="true">SUMIF($C$65:$C$167,$D176,CN$65:CN$167)+CN$21</f>
        <v>1000000</v>
      </c>
      <c r="CO176" s="220">
        <f ca="true">SUMIF($C$65:$C$167,$D176,CO$65:CO$167)+CO$21</f>
        <v>1000000</v>
      </c>
      <c r="CP176" s="220"/>
      <c r="CQ176" s="238">
        <f ca="true">+SUM(AM176:CP176)</f>
        <v>2000000</v>
      </c>
      <c r="CR176" s="238">
        <f ca="true">SUM(AL176,CQ176)</f>
        <v>2000205</v>
      </c>
      <c r="CS176" s="238">
        <f ca="true">SUM(CY176:CY176)</f>
        <v>0</v>
      </c>
      <c r="CT176" s="221">
        <f ca="true">SUMIF($C$65:$C$167,$D176,CT$65:CT$167)+CT$21</f>
        <v>0</v>
      </c>
      <c r="CU176" s="220">
        <f ca="true">SUMIF($C$65:$C$167,$D176,CU$65:CU$167)+CU$21</f>
        <v>0</v>
      </c>
      <c r="CV176" s="220">
        <f ca="true">SUMIF($C$65:$C$167,$D176,CV$65:CV$167)+CV$21</f>
        <v>0</v>
      </c>
      <c r="CW176" s="238">
        <f ca="true">SUMIF($C$65:$C$167,$D176,CW$65:CW$167)+CW$21</f>
        <v>0</v>
      </c>
      <c r="CX176" s="238">
        <f ca="true">SUMIF($C$65:$C$167,$D176,CX$65:CX$167)+CX$21</f>
        <v>0</v>
      </c>
      <c r="CY176" s="238">
        <f ca="true">SUMIF($C$65:$C$167,$D176,CY$65:CY$167)+CY$21</f>
        <v>0</v>
      </c>
      <c r="CZ176" s="238">
        <f ca="true">SUMIF($C$65:$C$167,$D176,CZ$65:CZ$167)+CZ$21</f>
        <v>0</v>
      </c>
      <c r="DA176" s="238">
        <f ca="true">SUMIF($C$65:$C$167,$D176,DA$65:DA$167)+DA$21</f>
        <v>1200000</v>
      </c>
      <c r="DB176" s="252"/>
    </row>
    <row r="177" spans="2:106" s="149" customFormat="true">
      <c r="B177" s="222"/>
      <c r="L177" s="239"/>
      <c r="O177" s="239"/>
      <c r="V177" s="198"/>
      <c r="Y177" s="239"/>
      <c r="AB177" s="239"/>
      <c r="AL177" s="239"/>
      <c r="CQ177" s="239"/>
      <c r="CR177" s="239"/>
      <c r="CS177" s="239"/>
      <c r="CT177" s="222"/>
      <c r="CW177" s="248"/>
      <c r="CX177" s="248"/>
      <c r="CY177" s="248"/>
      <c r="CZ177" s="239"/>
      <c r="DA177" s="239"/>
      <c r="DB177" s="253"/>
    </row>
    <row r="178" spans="1:106" ht="5.45" customHeight="true">
      <c r="A178" s="165"/>
      <c r="B178" s="166"/>
      <c r="C178" s="165"/>
      <c r="D178" s="165"/>
      <c r="E178" s="173"/>
      <c r="F178" s="173"/>
      <c r="G178" s="174"/>
      <c r="H178" s="174"/>
      <c r="I178" s="174"/>
      <c r="J178" s="174"/>
      <c r="K178" s="174"/>
      <c r="L178" s="179"/>
      <c r="M178" s="174"/>
      <c r="N178" s="174"/>
      <c r="O178" s="179"/>
      <c r="P178" s="174"/>
      <c r="Q178" s="174"/>
      <c r="R178" s="174"/>
      <c r="S178" s="174"/>
      <c r="T178" s="174"/>
      <c r="U178" s="174"/>
      <c r="V178" s="173"/>
      <c r="W178" s="174"/>
      <c r="X178" s="174"/>
      <c r="Y178" s="179"/>
      <c r="Z178" s="174"/>
      <c r="AA178" s="174"/>
      <c r="AB178" s="179"/>
      <c r="AC178" s="174"/>
      <c r="AD178" s="174"/>
      <c r="AE178" s="174"/>
      <c r="AF178" s="174"/>
      <c r="AG178" s="174"/>
      <c r="AH178" s="174"/>
      <c r="AI178" s="174"/>
      <c r="AJ178" s="174"/>
      <c r="AK178" s="174"/>
      <c r="AL178" s="179"/>
      <c r="AM178" s="174"/>
      <c r="AN178" s="174"/>
      <c r="AO178" s="174"/>
      <c r="AP178" s="174"/>
      <c r="AQ178" s="174"/>
      <c r="AR178" s="174"/>
      <c r="AS178" s="174"/>
      <c r="AT178" s="174"/>
      <c r="AU178" s="174"/>
      <c r="AV178" s="174"/>
      <c r="AW178" s="174"/>
      <c r="AX178" s="174"/>
      <c r="AY178" s="174"/>
      <c r="AZ178" s="174"/>
      <c r="BA178" s="174"/>
      <c r="BB178" s="174"/>
      <c r="BC178" s="174"/>
      <c r="BD178" s="174"/>
      <c r="BE178" s="174"/>
      <c r="BF178" s="174"/>
      <c r="BG178" s="174"/>
      <c r="BH178" s="174"/>
      <c r="BI178" s="174"/>
      <c r="BJ178" s="174"/>
      <c r="BK178" s="174"/>
      <c r="BL178" s="174"/>
      <c r="BM178" s="174"/>
      <c r="BN178" s="174"/>
      <c r="BO178" s="174"/>
      <c r="BP178" s="174"/>
      <c r="BQ178" s="174"/>
      <c r="BR178" s="174"/>
      <c r="BS178" s="174"/>
      <c r="BT178" s="174"/>
      <c r="BU178" s="174"/>
      <c r="BV178" s="174"/>
      <c r="BW178" s="174"/>
      <c r="BX178" s="174"/>
      <c r="BY178" s="174"/>
      <c r="BZ178" s="174"/>
      <c r="CA178" s="174"/>
      <c r="CB178" s="174"/>
      <c r="CC178" s="174"/>
      <c r="CD178" s="174"/>
      <c r="CE178" s="174"/>
      <c r="CF178" s="174"/>
      <c r="CG178" s="174"/>
      <c r="CH178" s="174"/>
      <c r="CI178" s="174"/>
      <c r="CJ178" s="174"/>
      <c r="CK178" s="174"/>
      <c r="CL178" s="174"/>
      <c r="CM178" s="174"/>
      <c r="CN178" s="174"/>
      <c r="CO178" s="174"/>
      <c r="CP178" s="174"/>
      <c r="CQ178" s="179"/>
      <c r="CR178" s="179"/>
      <c r="CS178" s="179"/>
      <c r="CT178" s="187"/>
      <c r="CU178" s="174"/>
      <c r="CV178" s="174"/>
      <c r="CW178" s="192"/>
      <c r="CX178" s="192"/>
      <c r="CY178" s="192"/>
      <c r="CZ178" s="179"/>
      <c r="DA178" s="179"/>
      <c r="DB178" s="193"/>
    </row>
    <row r="179" spans="2:105" ht="5.45" customHeight="true">
      <c r="B179" s="161"/>
      <c r="E179" s="169"/>
      <c r="F179" s="169"/>
      <c r="G179" s="171"/>
      <c r="H179" s="171"/>
      <c r="I179" s="171"/>
      <c r="J179" s="171"/>
      <c r="K179" s="171"/>
      <c r="L179" s="178"/>
      <c r="M179" s="171"/>
      <c r="N179" s="171"/>
      <c r="O179" s="178"/>
      <c r="P179" s="171"/>
      <c r="Q179" s="171"/>
      <c r="R179" s="171"/>
      <c r="S179" s="171"/>
      <c r="T179" s="171"/>
      <c r="U179" s="171"/>
      <c r="V179" s="169"/>
      <c r="W179" s="171"/>
      <c r="X179" s="171"/>
      <c r="Y179" s="178"/>
      <c r="Z179" s="171"/>
      <c r="AA179" s="171"/>
      <c r="AB179" s="178"/>
      <c r="AC179" s="171"/>
      <c r="AD179" s="171"/>
      <c r="AE179" s="171"/>
      <c r="AF179" s="171"/>
      <c r="AG179" s="171"/>
      <c r="AH179" s="171"/>
      <c r="AI179" s="171"/>
      <c r="AJ179" s="171"/>
      <c r="AK179" s="171"/>
      <c r="AL179" s="178"/>
      <c r="AM179" s="171"/>
      <c r="AN179" s="171"/>
      <c r="AO179" s="171"/>
      <c r="AP179" s="171"/>
      <c r="AQ179" s="171"/>
      <c r="AR179" s="171"/>
      <c r="AS179" s="171"/>
      <c r="AT179" s="171"/>
      <c r="AU179" s="171"/>
      <c r="AV179" s="171"/>
      <c r="AW179" s="171"/>
      <c r="AX179" s="171"/>
      <c r="AY179" s="171"/>
      <c r="AZ179" s="171"/>
      <c r="BA179" s="171"/>
      <c r="BB179" s="171"/>
      <c r="BC179" s="171"/>
      <c r="BD179" s="171"/>
      <c r="BE179" s="171"/>
      <c r="BF179" s="171"/>
      <c r="BG179" s="171"/>
      <c r="BH179" s="171"/>
      <c r="BI179" s="171"/>
      <c r="BJ179" s="171"/>
      <c r="BK179" s="171"/>
      <c r="BL179" s="171"/>
      <c r="BM179" s="171"/>
      <c r="BN179" s="171"/>
      <c r="BO179" s="171"/>
      <c r="BP179" s="171"/>
      <c r="BQ179" s="171"/>
      <c r="BR179" s="171"/>
      <c r="BS179" s="171"/>
      <c r="BT179" s="171"/>
      <c r="BU179" s="171"/>
      <c r="BV179" s="171"/>
      <c r="BW179" s="171"/>
      <c r="BX179" s="171"/>
      <c r="BY179" s="171"/>
      <c r="BZ179" s="171"/>
      <c r="CA179" s="171"/>
      <c r="CB179" s="171"/>
      <c r="CC179" s="171"/>
      <c r="CD179" s="171"/>
      <c r="CE179" s="171"/>
      <c r="CF179" s="171"/>
      <c r="CG179" s="171"/>
      <c r="CH179" s="171"/>
      <c r="CI179" s="171"/>
      <c r="CJ179" s="171"/>
      <c r="CK179" s="171"/>
      <c r="CL179" s="171"/>
      <c r="CM179" s="171"/>
      <c r="CN179" s="171"/>
      <c r="CO179" s="171"/>
      <c r="CP179" s="171"/>
      <c r="CQ179" s="178"/>
      <c r="CR179" s="178"/>
      <c r="CS179" s="178"/>
      <c r="CT179" s="186"/>
      <c r="CU179" s="171"/>
      <c r="CV179" s="171"/>
      <c r="CW179" s="190"/>
      <c r="CX179" s="190"/>
      <c r="CY179" s="190"/>
      <c r="CZ179" s="178"/>
      <c r="DA179" s="178"/>
    </row>
    <row r="180" spans="1:106" s="150" customFormat="true" ht="16.5" customHeight="true">
      <c r="A180" s="223"/>
      <c r="B180" s="224" t="s">
        <v>13766</v>
      </c>
      <c r="C180" s="225" t="s">
        <v>13767</v>
      </c>
      <c r="D180" s="225" t="s">
        <v>13768</v>
      </c>
      <c r="E180" s="225" t="s">
        <v>13769</v>
      </c>
      <c r="F180" s="225" t="s">
        <v>13770</v>
      </c>
      <c r="G180" s="225" t="s">
        <v>13771</v>
      </c>
      <c r="H180" s="225" t="s">
        <v>13993</v>
      </c>
      <c r="I180" s="225" t="s">
        <v>13994</v>
      </c>
      <c r="J180" s="225" t="s">
        <v>13995</v>
      </c>
      <c r="K180" s="225" t="s">
        <v>13996</v>
      </c>
      <c r="L180" s="240" t="s">
        <v>13776</v>
      </c>
      <c r="M180" s="225" t="s">
        <v>13997</v>
      </c>
      <c r="N180" s="225" t="s">
        <v>13998</v>
      </c>
      <c r="O180" s="225" t="s">
        <v>13779</v>
      </c>
      <c r="P180" s="242" t="s">
        <v>13780</v>
      </c>
      <c r="Q180" s="243" t="s">
        <v>13781</v>
      </c>
      <c r="R180" s="243" t="s">
        <v>13782</v>
      </c>
      <c r="S180" s="243" t="s">
        <v>13783</v>
      </c>
      <c r="T180" s="243" t="s">
        <v>13784</v>
      </c>
      <c r="U180" s="243" t="s">
        <v>13785</v>
      </c>
      <c r="V180" s="225" t="s">
        <v>13786</v>
      </c>
      <c r="W180" s="225" t="s">
        <v>13787</v>
      </c>
      <c r="X180" s="225" t="s">
        <v>13788</v>
      </c>
      <c r="Y180" s="240" t="s">
        <v>13789</v>
      </c>
      <c r="Z180" s="225" t="s">
        <v>13999</v>
      </c>
      <c r="AA180" s="225" t="s">
        <v>13791</v>
      </c>
      <c r="AB180" s="240" t="s">
        <v>13792</v>
      </c>
      <c r="AC180" s="225" t="s">
        <v>13793</v>
      </c>
      <c r="AD180" s="225" t="s">
        <v>13794</v>
      </c>
      <c r="AE180" s="225" t="s">
        <v>13795</v>
      </c>
      <c r="AF180" s="225" t="s">
        <v>13796</v>
      </c>
      <c r="AG180" s="225" t="s">
        <v>13797</v>
      </c>
      <c r="AH180" s="225" t="s">
        <v>13798</v>
      </c>
      <c r="AI180" s="225" t="s">
        <v>13799</v>
      </c>
      <c r="AJ180" s="225" t="s">
        <v>13800</v>
      </c>
      <c r="AK180" s="225" t="s">
        <v>14000</v>
      </c>
      <c r="AL180" s="240" t="s">
        <v>13763</v>
      </c>
      <c r="AM180" s="225" t="s">
        <v>13802</v>
      </c>
      <c r="AN180" s="225" t="s">
        <v>13803</v>
      </c>
      <c r="AO180" s="225" t="s">
        <v>13804</v>
      </c>
      <c r="AP180" s="225" t="s">
        <v>13805</v>
      </c>
      <c r="AQ180" s="225" t="s">
        <v>13806</v>
      </c>
      <c r="AR180" s="225" t="s">
        <v>13807</v>
      </c>
      <c r="AS180" s="225" t="s">
        <v>13808</v>
      </c>
      <c r="AT180" s="225" t="s">
        <v>13809</v>
      </c>
      <c r="AU180" s="225" t="s">
        <v>13810</v>
      </c>
      <c r="AV180" s="225" t="s">
        <v>13811</v>
      </c>
      <c r="AW180" s="225" t="s">
        <v>13812</v>
      </c>
      <c r="AX180" s="225" t="s">
        <v>13813</v>
      </c>
      <c r="AY180" s="225" t="s">
        <v>13814</v>
      </c>
      <c r="AZ180" s="225" t="s">
        <v>13815</v>
      </c>
      <c r="BA180" s="225" t="s">
        <v>13816</v>
      </c>
      <c r="BB180" s="225" t="s">
        <v>13817</v>
      </c>
      <c r="BC180" s="225" t="s">
        <v>13818</v>
      </c>
      <c r="BD180" s="225" t="s">
        <v>13819</v>
      </c>
      <c r="BE180" s="225" t="s">
        <v>13820</v>
      </c>
      <c r="BF180" s="225" t="s">
        <v>13821</v>
      </c>
      <c r="BG180" s="225" t="s">
        <v>13822</v>
      </c>
      <c r="BH180" s="225" t="s">
        <v>13823</v>
      </c>
      <c r="BI180" s="225" t="s">
        <v>13824</v>
      </c>
      <c r="BJ180" s="225" t="s">
        <v>13825</v>
      </c>
      <c r="BK180" s="225" t="s">
        <v>13826</v>
      </c>
      <c r="BL180" s="225" t="s">
        <v>13827</v>
      </c>
      <c r="BM180" s="225" t="s">
        <v>13828</v>
      </c>
      <c r="BN180" s="225" t="s">
        <v>13829</v>
      </c>
      <c r="BO180" s="225" t="s">
        <v>13830</v>
      </c>
      <c r="BP180" s="225" t="s">
        <v>13831</v>
      </c>
      <c r="BQ180" s="225" t="s">
        <v>13832</v>
      </c>
      <c r="BR180" s="225" t="s">
        <v>13833</v>
      </c>
      <c r="BS180" s="225" t="s">
        <v>13834</v>
      </c>
      <c r="BT180" s="225" t="s">
        <v>13835</v>
      </c>
      <c r="BU180" s="225" t="s">
        <v>13836</v>
      </c>
      <c r="BV180" s="225" t="s">
        <v>13837</v>
      </c>
      <c r="BW180" s="225" t="s">
        <v>13838</v>
      </c>
      <c r="BX180" s="225" t="s">
        <v>13839</v>
      </c>
      <c r="BY180" s="225" t="s">
        <v>13840</v>
      </c>
      <c r="BZ180" s="225" t="s">
        <v>13841</v>
      </c>
      <c r="CA180" s="225" t="s">
        <v>13842</v>
      </c>
      <c r="CB180" s="225" t="s">
        <v>13843</v>
      </c>
      <c r="CC180" s="225" t="s">
        <v>13844</v>
      </c>
      <c r="CD180" s="225" t="s">
        <v>13845</v>
      </c>
      <c r="CE180" s="225" t="s">
        <v>13846</v>
      </c>
      <c r="CF180" s="225" t="s">
        <v>13847</v>
      </c>
      <c r="CG180" s="225" t="s">
        <v>13848</v>
      </c>
      <c r="CH180" s="225" t="s">
        <v>13849</v>
      </c>
      <c r="CI180" s="225" t="s">
        <v>13850</v>
      </c>
      <c r="CJ180" s="225" t="s">
        <v>13851</v>
      </c>
      <c r="CK180" s="225" t="s">
        <v>13852</v>
      </c>
      <c r="CL180" s="225" t="s">
        <v>13853</v>
      </c>
      <c r="CM180" s="225" t="s">
        <v>13854</v>
      </c>
      <c r="CN180" s="225" t="s">
        <v>13855</v>
      </c>
      <c r="CO180" s="225" t="s">
        <v>13856</v>
      </c>
      <c r="CP180" s="225"/>
      <c r="CQ180" s="240" t="s">
        <v>13857</v>
      </c>
      <c r="CR180" s="240" t="s">
        <v>13765</v>
      </c>
      <c r="CS180" s="240" t="s">
        <v>13858</v>
      </c>
      <c r="CT180" s="224" t="s">
        <v>13859</v>
      </c>
      <c r="CU180" s="225" t="s">
        <v>13860</v>
      </c>
      <c r="CV180" s="225" t="s">
        <v>13861</v>
      </c>
      <c r="CW180" s="240" t="s">
        <v>13862</v>
      </c>
      <c r="CX180" s="240" t="s">
        <v>13863</v>
      </c>
      <c r="CY180" s="240" t="s">
        <v>13857</v>
      </c>
      <c r="CZ180" s="240" t="s">
        <v>13864</v>
      </c>
      <c r="DA180" s="240" t="s">
        <v>13865</v>
      </c>
      <c r="DB180" s="254"/>
    </row>
    <row r="181" spans="1:106">
      <c r="A181" s="226">
        <v>4</v>
      </c>
      <c r="B181" s="227">
        <v>166</v>
      </c>
      <c r="C181" s="226"/>
      <c r="D181" s="226" t="str">
        <f>IF(D65="","",D65)</f>
        <v>Net Income</v>
      </c>
      <c r="E181" s="234">
        <f ca="true">+F181+CS181+CZ181+DA181</f>
        <v>256</v>
      </c>
      <c r="F181" s="234">
        <f ca="true">SUM(G181:K181,M181:N181,P181:U181,W181:X181,Z181:AA181,AC181:AK181,AM181:CP181)</f>
        <v>218</v>
      </c>
      <c r="G181" s="235">
        <f>ROUND(G65/1000,0)</f>
        <v>830</v>
      </c>
      <c r="H181" s="235">
        <f>ROUND(H65/1000,0)</f>
        <v>-24</v>
      </c>
      <c r="I181" s="235">
        <f>ROUND(I65/1000,0)</f>
        <v>57</v>
      </c>
      <c r="J181" s="235">
        <f>ROUND(J65/1000,0)</f>
        <v>29</v>
      </c>
      <c r="K181" s="235">
        <f>ROUND(K65/1000,0)</f>
        <v>20</v>
      </c>
      <c r="L181" s="241">
        <f>+SUM(G181:K181)</f>
        <v>912</v>
      </c>
      <c r="M181" s="235">
        <f>ROUND(M65/1000,0)</f>
        <v>88</v>
      </c>
      <c r="N181" s="235">
        <f>ROUND(N65/1000,0)</f>
        <v>93</v>
      </c>
      <c r="O181" s="241">
        <f>+SUM(M181:N181)</f>
        <v>181</v>
      </c>
      <c r="P181" s="235">
        <f t="shared" ref="P181:U181" ca="true" si="268">ROUND(P65/1000,0)</f>
        <v>14</v>
      </c>
      <c r="Q181" s="235">
        <f t="shared" ca="true" si="268"/>
        <v>14</v>
      </c>
      <c r="R181" s="235">
        <f t="shared" ca="true" si="268"/>
        <v>12</v>
      </c>
      <c r="S181" s="235">
        <f t="shared" ca="true" si="268"/>
        <v>8</v>
      </c>
      <c r="T181" s="235">
        <f t="shared" ca="true" si="268"/>
        <v>6</v>
      </c>
      <c r="U181" s="235">
        <f t="shared" ca="true" si="268"/>
        <v>10</v>
      </c>
      <c r="V181" s="234">
        <f ca="true">+SUM(P181:U181)</f>
        <v>64</v>
      </c>
      <c r="W181" s="235">
        <f ca="true">ROUND(W65/1000,0)</f>
        <v>10</v>
      </c>
      <c r="X181" s="235">
        <f ca="true">ROUND(X65/1000,0)</f>
        <v>11</v>
      </c>
      <c r="Y181" s="241">
        <f ca="true">SUM(V181:X181)</f>
        <v>85</v>
      </c>
      <c r="Z181" s="235">
        <f ca="true">ROUND(Z65/1000,0)</f>
        <v>2</v>
      </c>
      <c r="AA181" s="235">
        <f ca="true">ROUND(AA65/1000,0)</f>
        <v>-3</v>
      </c>
      <c r="AB181" s="241">
        <f ca="true">+SUM(Z181:AA181)</f>
        <v>-1</v>
      </c>
      <c r="AC181" s="235">
        <f t="shared" ref="AC181:AK181" ca="true" si="269">ROUND(AC65/1000,0)</f>
        <v>-16</v>
      </c>
      <c r="AD181" s="235">
        <f t="shared" ca="true" si="269"/>
        <v>-66</v>
      </c>
      <c r="AE181" s="235">
        <f t="shared" ca="true" si="269"/>
        <v>-152</v>
      </c>
      <c r="AF181" s="235">
        <f t="shared" ca="true" si="269"/>
        <v>-7</v>
      </c>
      <c r="AG181" s="235">
        <f t="shared" ca="true" si="269"/>
        <v>31</v>
      </c>
      <c r="AH181" s="235">
        <f t="shared" ca="true" si="269"/>
        <v>14</v>
      </c>
      <c r="AI181" s="235">
        <f t="shared" ca="true" si="269"/>
        <v>23</v>
      </c>
      <c r="AJ181" s="235">
        <f t="shared" ca="true" si="269"/>
        <v>20</v>
      </c>
      <c r="AK181" s="235">
        <f t="shared" ca="true" si="269"/>
        <v>21</v>
      </c>
      <c r="AL181" s="241">
        <f ca="true">SUM(AF181:AK181)</f>
        <v>102</v>
      </c>
      <c r="AM181" s="235">
        <f t="shared" ref="AM181:CO181" ca="true" si="270">ROUND(AM65/1000,0)</f>
        <v>0</v>
      </c>
      <c r="AN181" s="235">
        <f t="shared" ca="true" si="270"/>
        <v>-32</v>
      </c>
      <c r="AO181" s="235">
        <f t="shared" ca="true" si="270"/>
        <v>-41</v>
      </c>
      <c r="AP181" s="235">
        <f t="shared" ca="true" si="270"/>
        <v>0</v>
      </c>
      <c r="AQ181" s="235">
        <f t="shared" ca="true" si="270"/>
        <v>26</v>
      </c>
      <c r="AR181" s="235">
        <f t="shared" ca="true" si="270"/>
        <v>0</v>
      </c>
      <c r="AS181" s="235">
        <f t="shared" ca="true" si="270"/>
        <v>7</v>
      </c>
      <c r="AT181" s="235">
        <f t="shared" ca="true" si="270"/>
        <v>20</v>
      </c>
      <c r="AU181" s="235">
        <f t="shared" ca="true" si="270"/>
        <v>4</v>
      </c>
      <c r="AV181" s="235">
        <f t="shared" ca="true" si="270"/>
        <v>25</v>
      </c>
      <c r="AW181" s="235">
        <f t="shared" ca="true" si="270"/>
        <v>0</v>
      </c>
      <c r="AX181" s="235">
        <f t="shared" ca="true" si="270"/>
        <v>0</v>
      </c>
      <c r="AY181" s="235">
        <f t="shared" ca="true" si="270"/>
        <v>0</v>
      </c>
      <c r="AZ181" s="235">
        <f t="shared" ca="true" si="270"/>
        <v>19</v>
      </c>
      <c r="BA181" s="235">
        <f t="shared" ca="true" si="270"/>
        <v>14</v>
      </c>
      <c r="BB181" s="235">
        <f t="shared" ca="true" si="270"/>
        <v>0</v>
      </c>
      <c r="BC181" s="235">
        <f t="shared" ca="true" si="270"/>
        <v>30</v>
      </c>
      <c r="BD181" s="235">
        <f t="shared" ca="true" si="270"/>
        <v>16</v>
      </c>
      <c r="BE181" s="235">
        <f t="shared" ca="true" si="270"/>
        <v>18</v>
      </c>
      <c r="BF181" s="235">
        <f t="shared" ca="true" si="270"/>
        <v>9</v>
      </c>
      <c r="BG181" s="235">
        <f t="shared" ca="true" si="270"/>
        <v>15</v>
      </c>
      <c r="BH181" s="235">
        <f t="shared" ca="true" si="270"/>
        <v>0</v>
      </c>
      <c r="BI181" s="235">
        <f t="shared" ca="true" si="270"/>
        <v>10</v>
      </c>
      <c r="BJ181" s="235">
        <f t="shared" ca="true" si="270"/>
        <v>0</v>
      </c>
      <c r="BK181" s="235">
        <f t="shared" ca="true" si="270"/>
        <v>-4</v>
      </c>
      <c r="BL181" s="235">
        <f t="shared" ca="true" si="270"/>
        <v>13</v>
      </c>
      <c r="BM181" s="235">
        <f t="shared" ca="true" si="270"/>
        <v>12</v>
      </c>
      <c r="BN181" s="235">
        <f t="shared" ca="true" si="270"/>
        <v>5</v>
      </c>
      <c r="BO181" s="235">
        <f t="shared" ca="true" si="270"/>
        <v>0</v>
      </c>
      <c r="BP181" s="235">
        <f t="shared" ca="true" si="270"/>
        <v>18</v>
      </c>
      <c r="BQ181" s="235">
        <f t="shared" ca="true" si="270"/>
        <v>14</v>
      </c>
      <c r="BR181" s="235">
        <f t="shared" ca="true" si="270"/>
        <v>-199</v>
      </c>
      <c r="BS181" s="235">
        <f t="shared" ca="true" si="270"/>
        <v>-8</v>
      </c>
      <c r="BT181" s="235">
        <f t="shared" ca="true" si="270"/>
        <v>0</v>
      </c>
      <c r="BU181" s="235">
        <f t="shared" ca="true" si="270"/>
        <v>0</v>
      </c>
      <c r="BV181" s="235">
        <f t="shared" ca="true" si="270"/>
        <v>0</v>
      </c>
      <c r="BW181" s="235">
        <f t="shared" ca="true" si="270"/>
        <v>66</v>
      </c>
      <c r="BX181" s="235">
        <f t="shared" ca="true" si="270"/>
        <v>96</v>
      </c>
      <c r="BY181" s="235">
        <f t="shared" ca="true" si="270"/>
        <v>0</v>
      </c>
      <c r="BZ181" s="235">
        <f t="shared" ca="true" si="270"/>
        <v>-89</v>
      </c>
      <c r="CA181" s="235">
        <f t="shared" ca="true" si="270"/>
        <v>-16</v>
      </c>
      <c r="CB181" s="235">
        <f t="shared" ca="true" si="270"/>
        <v>-9</v>
      </c>
      <c r="CC181" s="235">
        <f t="shared" ca="true" si="270"/>
        <v>-9</v>
      </c>
      <c r="CD181" s="235">
        <f t="shared" ca="true" si="270"/>
        <v>9</v>
      </c>
      <c r="CE181" s="235">
        <f t="shared" ca="true" si="270"/>
        <v>-49</v>
      </c>
      <c r="CF181" s="235">
        <f t="shared" ca="true" si="270"/>
        <v>28</v>
      </c>
      <c r="CG181" s="235">
        <f t="shared" ca="true" si="270"/>
        <v>-2</v>
      </c>
      <c r="CH181" s="235">
        <f t="shared" ca="true" si="270"/>
        <v>-63</v>
      </c>
      <c r="CI181" s="235">
        <f t="shared" ca="true" si="270"/>
        <v>-44</v>
      </c>
      <c r="CJ181" s="235">
        <f t="shared" ca="true" si="270"/>
        <v>-45</v>
      </c>
      <c r="CK181" s="235">
        <f t="shared" ca="true" si="270"/>
        <v>-3</v>
      </c>
      <c r="CL181" s="235">
        <f t="shared" ca="true" si="270"/>
        <v>-9</v>
      </c>
      <c r="CM181" s="235">
        <f t="shared" ca="true" si="270"/>
        <v>-135</v>
      </c>
      <c r="CN181" s="235">
        <f t="shared" ca="true" si="270"/>
        <v>-373</v>
      </c>
      <c r="CO181" s="235">
        <f t="shared" ca="true" si="270"/>
        <v>-171</v>
      </c>
      <c r="CP181" s="235"/>
      <c r="CQ181" s="241">
        <f ca="true">+SUM(AM181:CP181)</f>
        <v>-827</v>
      </c>
      <c r="CR181" s="241">
        <f ca="true">SUM(AL181,CQ181)</f>
        <v>-725</v>
      </c>
      <c r="CS181" s="241">
        <f ca="true">SUM(CY181:CY181)</f>
        <v>-174</v>
      </c>
      <c r="CT181" s="246">
        <f ca="true">ROUND(CT65/1000,0)</f>
        <v>0</v>
      </c>
      <c r="CU181" s="235">
        <f ca="true">ROUND(CU65/1000,0)</f>
        <v>-155</v>
      </c>
      <c r="CV181" s="235">
        <f ca="true">ROUND(CV65/1000,0)</f>
        <v>-38</v>
      </c>
      <c r="CW181" s="249">
        <f ca="true">ROUND(CW65/1000,0)</f>
        <v>19</v>
      </c>
      <c r="CX181" s="249">
        <f ca="true">ROUND(CX65/1000,0)</f>
        <v>0</v>
      </c>
      <c r="CY181" s="249">
        <f ca="true">SUM(CT181:CX181)</f>
        <v>-174</v>
      </c>
      <c r="CZ181" s="241">
        <f>ROUND(CZ65/1000,0)</f>
        <v>0</v>
      </c>
      <c r="DA181" s="241">
        <f>ROUND(DA65/1000,0)</f>
        <v>212</v>
      </c>
      <c r="DB181" s="193" t="s">
        <v>13890</v>
      </c>
    </row>
    <row r="182" spans="1:106">
      <c r="A182" s="226"/>
      <c r="B182" s="227"/>
      <c r="C182" s="226"/>
      <c r="D182" s="226" t="s">
        <v>13937</v>
      </c>
      <c r="E182" s="234"/>
      <c r="F182" s="234"/>
      <c r="G182" s="235"/>
      <c r="H182" s="235"/>
      <c r="I182" s="235"/>
      <c r="J182" s="235"/>
      <c r="K182" s="235"/>
      <c r="L182" s="241"/>
      <c r="M182" s="235"/>
      <c r="N182" s="235"/>
      <c r="O182" s="241"/>
      <c r="P182" s="235"/>
      <c r="Q182" s="235"/>
      <c r="R182" s="235"/>
      <c r="S182" s="235"/>
      <c r="T182" s="235"/>
      <c r="U182" s="235"/>
      <c r="V182" s="234"/>
      <c r="W182" s="235"/>
      <c r="X182" s="235"/>
      <c r="Y182" s="241"/>
      <c r="Z182" s="235"/>
      <c r="AA182" s="235"/>
      <c r="AB182" s="241"/>
      <c r="AC182" s="235"/>
      <c r="AD182" s="235"/>
      <c r="AE182" s="235"/>
      <c r="AF182" s="235"/>
      <c r="AG182" s="235"/>
      <c r="AH182" s="235"/>
      <c r="AI182" s="235"/>
      <c r="AJ182" s="235"/>
      <c r="AK182" s="235"/>
      <c r="AL182" s="241"/>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c r="BQ182" s="235"/>
      <c r="BR182" s="235"/>
      <c r="BS182" s="235"/>
      <c r="BT182" s="235"/>
      <c r="BU182" s="235"/>
      <c r="BV182" s="235"/>
      <c r="BW182" s="235"/>
      <c r="BX182" s="235"/>
      <c r="BY182" s="235"/>
      <c r="BZ182" s="235"/>
      <c r="CA182" s="235"/>
      <c r="CB182" s="235"/>
      <c r="CC182" s="235"/>
      <c r="CD182" s="235"/>
      <c r="CE182" s="235"/>
      <c r="CF182" s="235"/>
      <c r="CG182" s="235"/>
      <c r="CH182" s="235"/>
      <c r="CI182" s="235"/>
      <c r="CJ182" s="235"/>
      <c r="CK182" s="235"/>
      <c r="CL182" s="235"/>
      <c r="CM182" s="235"/>
      <c r="CN182" s="235"/>
      <c r="CO182" s="235"/>
      <c r="CP182" s="235"/>
      <c r="CQ182" s="241"/>
      <c r="CR182" s="241"/>
      <c r="CS182" s="241"/>
      <c r="CT182" s="246"/>
      <c r="CU182" s="235"/>
      <c r="CV182" s="235"/>
      <c r="CW182" s="249"/>
      <c r="CX182" s="249"/>
      <c r="CY182" s="249"/>
      <c r="CZ182" s="241"/>
      <c r="DA182" s="241"/>
      <c r="DB182" s="193"/>
    </row>
    <row r="183" spans="1:106">
      <c r="A183" s="226">
        <f>+A181+1</f>
        <v>5</v>
      </c>
      <c r="B183" s="227">
        <f>B181+1</f>
        <v>167</v>
      </c>
      <c r="C183" s="226"/>
      <c r="D183" s="226" t="str">
        <f t="shared" ref="D183:D188" si="271">IF(D66="","",D66)</f>
        <v>Depreciation</v>
      </c>
      <c r="E183" s="234">
        <f t="shared" ref="E183:E201" si="272">+F183+CS183+CZ183+DA183</f>
        <v>0</v>
      </c>
      <c r="F183" s="234">
        <f t="shared" ref="F183:F201" si="273">SUM(G183:K183,M183:N183,P183:U183,W183:X183,Z183:AA183,AC183:AK183,AM183:CP183)</f>
        <v>0</v>
      </c>
      <c r="G183" s="235">
        <f t="shared" ref="G183:G201" si="274">ROUND(G66/1000,0)</f>
        <v>0</v>
      </c>
      <c r="H183" s="235">
        <f t="shared" ref="H183:H201" si="275">ROUND(H66/1000,0)</f>
        <v>0</v>
      </c>
      <c r="I183" s="235">
        <f t="shared" ref="I183:I201" si="276">ROUND(I66/1000,0)</f>
        <v>0</v>
      </c>
      <c r="J183" s="235">
        <f t="shared" ref="J183:J201" si="277">ROUND(J66/1000,0)</f>
        <v>0</v>
      </c>
      <c r="K183" s="235">
        <f t="shared" ref="K183:K201" si="278">ROUND(K66/1000,0)</f>
        <v>0</v>
      </c>
      <c r="L183" s="241">
        <f t="shared" ref="L183:L201" si="279">+SUM(G183:K183)</f>
        <v>0</v>
      </c>
      <c r="M183" s="235">
        <f t="shared" ref="M183:M201" si="280">ROUND(M66/1000,0)</f>
        <v>0</v>
      </c>
      <c r="N183" s="235">
        <f t="shared" ref="N183:N201" si="281">ROUND(N66/1000,0)</f>
        <v>0</v>
      </c>
      <c r="O183" s="241">
        <f t="shared" ref="O183:O201" si="282">+SUM(M183:N183)</f>
        <v>0</v>
      </c>
      <c r="P183" s="235">
        <f t="shared" ref="P183:U183" si="283">ROUND(P66/1000,0)</f>
        <v>0</v>
      </c>
      <c r="Q183" s="235">
        <f t="shared" si="283"/>
        <v>0</v>
      </c>
      <c r="R183" s="235">
        <f t="shared" si="283"/>
        <v>0</v>
      </c>
      <c r="S183" s="235">
        <f t="shared" si="283"/>
        <v>0</v>
      </c>
      <c r="T183" s="235">
        <f t="shared" si="283"/>
        <v>0</v>
      </c>
      <c r="U183" s="235">
        <f t="shared" si="283"/>
        <v>0</v>
      </c>
      <c r="V183" s="234">
        <f t="shared" ref="V183:V201" si="284">+SUM(P183:U183)</f>
        <v>0</v>
      </c>
      <c r="W183" s="235">
        <f t="shared" ref="W183:W201" si="285">ROUND(W66/1000,0)</f>
        <v>0</v>
      </c>
      <c r="X183" s="235">
        <f t="shared" ref="X183:X201" si="286">ROUND(X66/1000,0)</f>
        <v>0</v>
      </c>
      <c r="Y183" s="241">
        <f t="shared" ref="Y183:Y201" si="287">SUM(V183:X183)</f>
        <v>0</v>
      </c>
      <c r="Z183" s="235">
        <f t="shared" ref="Z183:Z201" si="288">ROUND(Z66/1000,0)</f>
        <v>0</v>
      </c>
      <c r="AA183" s="235">
        <f t="shared" ref="AA183:AA201" si="289">ROUND(AA66/1000,0)</f>
        <v>0</v>
      </c>
      <c r="AB183" s="241">
        <f t="shared" ref="AB183:AB201" si="290">+SUM(Z183:AA183)</f>
        <v>0</v>
      </c>
      <c r="AC183" s="235">
        <f t="shared" ref="AC183:AK183" si="291">ROUND(AC66/1000,0)</f>
        <v>0</v>
      </c>
      <c r="AD183" s="235">
        <f t="shared" si="291"/>
        <v>0</v>
      </c>
      <c r="AE183" s="235">
        <f t="shared" si="291"/>
        <v>0</v>
      </c>
      <c r="AF183" s="235">
        <f t="shared" si="291"/>
        <v>0</v>
      </c>
      <c r="AG183" s="235">
        <f t="shared" si="291"/>
        <v>0</v>
      </c>
      <c r="AH183" s="235">
        <f t="shared" si="291"/>
        <v>0</v>
      </c>
      <c r="AI183" s="235">
        <f t="shared" si="291"/>
        <v>0</v>
      </c>
      <c r="AJ183" s="235">
        <f t="shared" si="291"/>
        <v>0</v>
      </c>
      <c r="AK183" s="235">
        <f t="shared" si="291"/>
        <v>0</v>
      </c>
      <c r="AL183" s="241">
        <f t="shared" ref="AL183:AL201" si="292">SUM(AF183:AK183)</f>
        <v>0</v>
      </c>
      <c r="AM183" s="235">
        <f t="shared" ref="AM183:CO183" si="293">ROUND(AM66/1000,0)</f>
        <v>0</v>
      </c>
      <c r="AN183" s="235">
        <f t="shared" si="293"/>
        <v>0</v>
      </c>
      <c r="AO183" s="235">
        <f t="shared" si="293"/>
        <v>0</v>
      </c>
      <c r="AP183" s="235">
        <f t="shared" si="293"/>
        <v>0</v>
      </c>
      <c r="AQ183" s="235">
        <f t="shared" si="293"/>
        <v>0</v>
      </c>
      <c r="AR183" s="235">
        <f t="shared" si="293"/>
        <v>0</v>
      </c>
      <c r="AS183" s="235">
        <f t="shared" si="293"/>
        <v>0</v>
      </c>
      <c r="AT183" s="235">
        <f t="shared" si="293"/>
        <v>0</v>
      </c>
      <c r="AU183" s="235">
        <f t="shared" si="293"/>
        <v>0</v>
      </c>
      <c r="AV183" s="235">
        <f t="shared" si="293"/>
        <v>0</v>
      </c>
      <c r="AW183" s="235">
        <f t="shared" si="293"/>
        <v>0</v>
      </c>
      <c r="AX183" s="235">
        <f t="shared" si="293"/>
        <v>0</v>
      </c>
      <c r="AY183" s="235">
        <f t="shared" si="293"/>
        <v>0</v>
      </c>
      <c r="AZ183" s="235">
        <f t="shared" si="293"/>
        <v>0</v>
      </c>
      <c r="BA183" s="235">
        <f t="shared" si="293"/>
        <v>0</v>
      </c>
      <c r="BB183" s="235">
        <f t="shared" si="293"/>
        <v>0</v>
      </c>
      <c r="BC183" s="235">
        <f t="shared" si="293"/>
        <v>0</v>
      </c>
      <c r="BD183" s="235">
        <f t="shared" si="293"/>
        <v>0</v>
      </c>
      <c r="BE183" s="235">
        <f t="shared" si="293"/>
        <v>0</v>
      </c>
      <c r="BF183" s="235">
        <f t="shared" si="293"/>
        <v>0</v>
      </c>
      <c r="BG183" s="235">
        <f t="shared" si="293"/>
        <v>0</v>
      </c>
      <c r="BH183" s="235">
        <f t="shared" si="293"/>
        <v>0</v>
      </c>
      <c r="BI183" s="235">
        <f t="shared" si="293"/>
        <v>0</v>
      </c>
      <c r="BJ183" s="235">
        <f t="shared" si="293"/>
        <v>0</v>
      </c>
      <c r="BK183" s="235">
        <f t="shared" si="293"/>
        <v>0</v>
      </c>
      <c r="BL183" s="235">
        <f t="shared" si="293"/>
        <v>0</v>
      </c>
      <c r="BM183" s="235">
        <f t="shared" si="293"/>
        <v>0</v>
      </c>
      <c r="BN183" s="235">
        <f t="shared" si="293"/>
        <v>0</v>
      </c>
      <c r="BO183" s="235">
        <f t="shared" si="293"/>
        <v>0</v>
      </c>
      <c r="BP183" s="235">
        <f t="shared" si="293"/>
        <v>0</v>
      </c>
      <c r="BQ183" s="235">
        <f t="shared" si="293"/>
        <v>0</v>
      </c>
      <c r="BR183" s="235">
        <f t="shared" si="293"/>
        <v>0</v>
      </c>
      <c r="BS183" s="235">
        <f t="shared" si="293"/>
        <v>0</v>
      </c>
      <c r="BT183" s="235">
        <f t="shared" si="293"/>
        <v>0</v>
      </c>
      <c r="BU183" s="235">
        <f t="shared" si="293"/>
        <v>0</v>
      </c>
      <c r="BV183" s="235">
        <f t="shared" si="293"/>
        <v>0</v>
      </c>
      <c r="BW183" s="235">
        <f t="shared" si="293"/>
        <v>0</v>
      </c>
      <c r="BX183" s="235">
        <f t="shared" si="293"/>
        <v>0</v>
      </c>
      <c r="BY183" s="235">
        <f t="shared" si="293"/>
        <v>0</v>
      </c>
      <c r="BZ183" s="235">
        <f t="shared" si="293"/>
        <v>0</v>
      </c>
      <c r="CA183" s="235">
        <f t="shared" si="293"/>
        <v>0</v>
      </c>
      <c r="CB183" s="235">
        <f t="shared" si="293"/>
        <v>0</v>
      </c>
      <c r="CC183" s="235">
        <f t="shared" si="293"/>
        <v>0</v>
      </c>
      <c r="CD183" s="235">
        <f t="shared" si="293"/>
        <v>0</v>
      </c>
      <c r="CE183" s="235">
        <f t="shared" si="293"/>
        <v>0</v>
      </c>
      <c r="CF183" s="235">
        <f t="shared" si="293"/>
        <v>0</v>
      </c>
      <c r="CG183" s="235">
        <f t="shared" si="293"/>
        <v>0</v>
      </c>
      <c r="CH183" s="235">
        <f t="shared" si="293"/>
        <v>0</v>
      </c>
      <c r="CI183" s="235">
        <f t="shared" si="293"/>
        <v>0</v>
      </c>
      <c r="CJ183" s="235">
        <f t="shared" si="293"/>
        <v>0</v>
      </c>
      <c r="CK183" s="235">
        <f t="shared" si="293"/>
        <v>0</v>
      </c>
      <c r="CL183" s="235">
        <f t="shared" si="293"/>
        <v>0</v>
      </c>
      <c r="CM183" s="235">
        <f t="shared" si="293"/>
        <v>0</v>
      </c>
      <c r="CN183" s="235">
        <f t="shared" si="293"/>
        <v>0</v>
      </c>
      <c r="CO183" s="235">
        <f t="shared" si="293"/>
        <v>0</v>
      </c>
      <c r="CP183" s="235"/>
      <c r="CQ183" s="241">
        <f t="shared" ref="CQ183:CQ201" si="294">+SUM(AM183:CP183)</f>
        <v>0</v>
      </c>
      <c r="CR183" s="241">
        <f t="shared" ref="CR183:CR201" si="295">SUM(AL183,CQ183)</f>
        <v>0</v>
      </c>
      <c r="CS183" s="241">
        <f t="shared" ref="CS183:CS201" si="296">SUM(CY183:CY183)</f>
        <v>0</v>
      </c>
      <c r="CT183" s="246">
        <f t="shared" ref="CT183:CT201" si="297">ROUND(CT66/1000,0)</f>
        <v>0</v>
      </c>
      <c r="CU183" s="235">
        <f t="shared" ref="CU183:CU201" si="298">ROUND(CU66/1000,0)</f>
        <v>0</v>
      </c>
      <c r="CV183" s="235">
        <f t="shared" ref="CV183:CV201" si="299">ROUND(CV66/1000,0)</f>
        <v>0</v>
      </c>
      <c r="CW183" s="249">
        <f t="shared" ref="CW183:CW201" si="300">ROUND(CW66/1000,0)</f>
        <v>0</v>
      </c>
      <c r="CX183" s="249">
        <f t="shared" ref="CX183:CX201" si="301">ROUND(CX66/1000,0)</f>
        <v>0</v>
      </c>
      <c r="CY183" s="249">
        <f t="shared" ref="CY183:CY201" si="302">SUM(CT183:CX183)</f>
        <v>0</v>
      </c>
      <c r="CZ183" s="241">
        <f t="shared" ref="CZ183:CZ201" si="303">ROUND(CZ66/1000,0)</f>
        <v>0</v>
      </c>
      <c r="DA183" s="241">
        <f t="shared" ref="DA183:DA201" si="304">ROUND(DA66/1000,0)</f>
        <v>0</v>
      </c>
      <c r="DB183" s="193" t="s">
        <v>14001</v>
      </c>
    </row>
    <row r="184" spans="1:106">
      <c r="A184" s="226">
        <f>+A183+1</f>
        <v>6</v>
      </c>
      <c r="B184" s="227">
        <f>B183+1</f>
        <v>168</v>
      </c>
      <c r="C184" s="226"/>
      <c r="D184" s="226" t="str">
        <f t="shared" si="271"/>
        <v>Gain/Loss on Disposal of Assets</v>
      </c>
      <c r="E184" s="234">
        <f t="shared" si="272"/>
        <v>0</v>
      </c>
      <c r="F184" s="234">
        <f t="shared" si="273"/>
        <v>0</v>
      </c>
      <c r="G184" s="235">
        <f t="shared" si="274"/>
        <v>0</v>
      </c>
      <c r="H184" s="235">
        <f t="shared" si="275"/>
        <v>0</v>
      </c>
      <c r="I184" s="235">
        <f t="shared" si="276"/>
        <v>0</v>
      </c>
      <c r="J184" s="235">
        <f t="shared" si="277"/>
        <v>0</v>
      </c>
      <c r="K184" s="235">
        <f t="shared" si="278"/>
        <v>0</v>
      </c>
      <c r="L184" s="241">
        <f t="shared" si="279"/>
        <v>0</v>
      </c>
      <c r="M184" s="235">
        <f t="shared" si="280"/>
        <v>0</v>
      </c>
      <c r="N184" s="235">
        <f t="shared" si="281"/>
        <v>0</v>
      </c>
      <c r="O184" s="241">
        <f t="shared" si="282"/>
        <v>0</v>
      </c>
      <c r="P184" s="235">
        <f t="shared" ref="P184:U184" si="305">ROUND(P67/1000,0)</f>
        <v>0</v>
      </c>
      <c r="Q184" s="235">
        <f t="shared" si="305"/>
        <v>0</v>
      </c>
      <c r="R184" s="235">
        <f t="shared" si="305"/>
        <v>0</v>
      </c>
      <c r="S184" s="235">
        <f t="shared" si="305"/>
        <v>0</v>
      </c>
      <c r="T184" s="235">
        <f t="shared" si="305"/>
        <v>0</v>
      </c>
      <c r="U184" s="235">
        <f t="shared" si="305"/>
        <v>0</v>
      </c>
      <c r="V184" s="234">
        <f t="shared" si="284"/>
        <v>0</v>
      </c>
      <c r="W184" s="235">
        <f t="shared" si="285"/>
        <v>0</v>
      </c>
      <c r="X184" s="235">
        <f t="shared" si="286"/>
        <v>0</v>
      </c>
      <c r="Y184" s="241">
        <f t="shared" si="287"/>
        <v>0</v>
      </c>
      <c r="Z184" s="235">
        <f t="shared" si="288"/>
        <v>0</v>
      </c>
      <c r="AA184" s="235">
        <f t="shared" si="289"/>
        <v>0</v>
      </c>
      <c r="AB184" s="241">
        <f t="shared" si="290"/>
        <v>0</v>
      </c>
      <c r="AC184" s="235">
        <f t="shared" ref="AC184:AK184" si="306">ROUND(AC67/1000,0)</f>
        <v>0</v>
      </c>
      <c r="AD184" s="235">
        <f t="shared" si="306"/>
        <v>0</v>
      </c>
      <c r="AE184" s="235">
        <f t="shared" si="306"/>
        <v>0</v>
      </c>
      <c r="AF184" s="235">
        <f t="shared" si="306"/>
        <v>0</v>
      </c>
      <c r="AG184" s="235">
        <f t="shared" si="306"/>
        <v>0</v>
      </c>
      <c r="AH184" s="235">
        <f t="shared" si="306"/>
        <v>0</v>
      </c>
      <c r="AI184" s="235">
        <f t="shared" si="306"/>
        <v>0</v>
      </c>
      <c r="AJ184" s="235">
        <f t="shared" si="306"/>
        <v>0</v>
      </c>
      <c r="AK184" s="235">
        <f t="shared" si="306"/>
        <v>0</v>
      </c>
      <c r="AL184" s="241">
        <f t="shared" si="292"/>
        <v>0</v>
      </c>
      <c r="AM184" s="235">
        <f t="shared" ref="AM184:CO184" si="307">ROUND(AM67/1000,0)</f>
        <v>0</v>
      </c>
      <c r="AN184" s="235">
        <f t="shared" si="307"/>
        <v>0</v>
      </c>
      <c r="AO184" s="235">
        <f t="shared" si="307"/>
        <v>0</v>
      </c>
      <c r="AP184" s="235">
        <f t="shared" si="307"/>
        <v>0</v>
      </c>
      <c r="AQ184" s="235">
        <f t="shared" si="307"/>
        <v>0</v>
      </c>
      <c r="AR184" s="235">
        <f t="shared" si="307"/>
        <v>0</v>
      </c>
      <c r="AS184" s="235">
        <f t="shared" si="307"/>
        <v>0</v>
      </c>
      <c r="AT184" s="235">
        <f t="shared" si="307"/>
        <v>0</v>
      </c>
      <c r="AU184" s="235">
        <f t="shared" si="307"/>
        <v>0</v>
      </c>
      <c r="AV184" s="235">
        <f t="shared" si="307"/>
        <v>0</v>
      </c>
      <c r="AW184" s="235">
        <f t="shared" si="307"/>
        <v>0</v>
      </c>
      <c r="AX184" s="235">
        <f t="shared" si="307"/>
        <v>0</v>
      </c>
      <c r="AY184" s="235">
        <f t="shared" si="307"/>
        <v>0</v>
      </c>
      <c r="AZ184" s="235">
        <f t="shared" si="307"/>
        <v>0</v>
      </c>
      <c r="BA184" s="235">
        <f t="shared" si="307"/>
        <v>0</v>
      </c>
      <c r="BB184" s="235">
        <f t="shared" si="307"/>
        <v>0</v>
      </c>
      <c r="BC184" s="235">
        <f t="shared" si="307"/>
        <v>0</v>
      </c>
      <c r="BD184" s="235">
        <f t="shared" si="307"/>
        <v>0</v>
      </c>
      <c r="BE184" s="235">
        <f t="shared" si="307"/>
        <v>0</v>
      </c>
      <c r="BF184" s="235">
        <f t="shared" si="307"/>
        <v>0</v>
      </c>
      <c r="BG184" s="235">
        <f t="shared" si="307"/>
        <v>0</v>
      </c>
      <c r="BH184" s="235">
        <f t="shared" si="307"/>
        <v>0</v>
      </c>
      <c r="BI184" s="235">
        <f t="shared" si="307"/>
        <v>0</v>
      </c>
      <c r="BJ184" s="235">
        <f t="shared" si="307"/>
        <v>0</v>
      </c>
      <c r="BK184" s="235">
        <f t="shared" si="307"/>
        <v>0</v>
      </c>
      <c r="BL184" s="235">
        <f t="shared" si="307"/>
        <v>0</v>
      </c>
      <c r="BM184" s="235">
        <f t="shared" si="307"/>
        <v>0</v>
      </c>
      <c r="BN184" s="235">
        <f t="shared" si="307"/>
        <v>0</v>
      </c>
      <c r="BO184" s="235">
        <f t="shared" si="307"/>
        <v>0</v>
      </c>
      <c r="BP184" s="235">
        <f t="shared" si="307"/>
        <v>0</v>
      </c>
      <c r="BQ184" s="235">
        <f t="shared" si="307"/>
        <v>0</v>
      </c>
      <c r="BR184" s="235">
        <f t="shared" si="307"/>
        <v>0</v>
      </c>
      <c r="BS184" s="235">
        <f t="shared" si="307"/>
        <v>0</v>
      </c>
      <c r="BT184" s="235">
        <f t="shared" si="307"/>
        <v>0</v>
      </c>
      <c r="BU184" s="235">
        <f t="shared" si="307"/>
        <v>0</v>
      </c>
      <c r="BV184" s="235">
        <f t="shared" si="307"/>
        <v>0</v>
      </c>
      <c r="BW184" s="235">
        <f t="shared" si="307"/>
        <v>0</v>
      </c>
      <c r="BX184" s="235">
        <f t="shared" si="307"/>
        <v>0</v>
      </c>
      <c r="BY184" s="235">
        <f t="shared" si="307"/>
        <v>0</v>
      </c>
      <c r="BZ184" s="235">
        <f t="shared" si="307"/>
        <v>0</v>
      </c>
      <c r="CA184" s="235">
        <f t="shared" si="307"/>
        <v>0</v>
      </c>
      <c r="CB184" s="235">
        <f t="shared" si="307"/>
        <v>0</v>
      </c>
      <c r="CC184" s="235">
        <f t="shared" si="307"/>
        <v>0</v>
      </c>
      <c r="CD184" s="235">
        <f t="shared" si="307"/>
        <v>0</v>
      </c>
      <c r="CE184" s="235">
        <f t="shared" si="307"/>
        <v>0</v>
      </c>
      <c r="CF184" s="235">
        <f t="shared" si="307"/>
        <v>0</v>
      </c>
      <c r="CG184" s="235">
        <f t="shared" si="307"/>
        <v>0</v>
      </c>
      <c r="CH184" s="235">
        <f t="shared" si="307"/>
        <v>0</v>
      </c>
      <c r="CI184" s="235">
        <f t="shared" si="307"/>
        <v>0</v>
      </c>
      <c r="CJ184" s="235">
        <f t="shared" si="307"/>
        <v>0</v>
      </c>
      <c r="CK184" s="235">
        <f t="shared" si="307"/>
        <v>0</v>
      </c>
      <c r="CL184" s="235">
        <f t="shared" si="307"/>
        <v>0</v>
      </c>
      <c r="CM184" s="235">
        <f t="shared" si="307"/>
        <v>0</v>
      </c>
      <c r="CN184" s="235">
        <f t="shared" si="307"/>
        <v>0</v>
      </c>
      <c r="CO184" s="235">
        <f t="shared" si="307"/>
        <v>0</v>
      </c>
      <c r="CP184" s="235"/>
      <c r="CQ184" s="241">
        <f t="shared" si="294"/>
        <v>0</v>
      </c>
      <c r="CR184" s="241">
        <f t="shared" si="295"/>
        <v>0</v>
      </c>
      <c r="CS184" s="241">
        <f t="shared" si="296"/>
        <v>0</v>
      </c>
      <c r="CT184" s="246">
        <f t="shared" si="297"/>
        <v>0</v>
      </c>
      <c r="CU184" s="235">
        <f t="shared" si="298"/>
        <v>0</v>
      </c>
      <c r="CV184" s="235">
        <f t="shared" si="299"/>
        <v>0</v>
      </c>
      <c r="CW184" s="249">
        <f t="shared" si="300"/>
        <v>0</v>
      </c>
      <c r="CX184" s="249">
        <f t="shared" si="301"/>
        <v>0</v>
      </c>
      <c r="CY184" s="249">
        <f t="shared" si="302"/>
        <v>0</v>
      </c>
      <c r="CZ184" s="241">
        <f t="shared" si="303"/>
        <v>0</v>
      </c>
      <c r="DA184" s="241">
        <f t="shared" si="304"/>
        <v>0</v>
      </c>
      <c r="DB184" s="193" t="s">
        <v>13912</v>
      </c>
    </row>
    <row r="185" spans="1:106">
      <c r="A185" s="226">
        <f>+A184+1</f>
        <v>7</v>
      </c>
      <c r="B185" s="227">
        <f>B184+1</f>
        <v>169</v>
      </c>
      <c r="C185" s="226"/>
      <c r="D185" s="226" t="str">
        <f t="shared" si="271"/>
        <v>Interest</v>
      </c>
      <c r="E185" s="234">
        <f t="shared" si="272"/>
        <v>3759</v>
      </c>
      <c r="F185" s="234">
        <f t="shared" si="273"/>
        <v>3634</v>
      </c>
      <c r="G185" s="235">
        <f t="shared" si="274"/>
        <v>88</v>
      </c>
      <c r="H185" s="235">
        <f t="shared" si="275"/>
        <v>10</v>
      </c>
      <c r="I185" s="235">
        <f t="shared" si="276"/>
        <v>4</v>
      </c>
      <c r="J185" s="235">
        <f t="shared" si="277"/>
        <v>6</v>
      </c>
      <c r="K185" s="235">
        <f t="shared" si="278"/>
        <v>0</v>
      </c>
      <c r="L185" s="241">
        <f t="shared" si="279"/>
        <v>108</v>
      </c>
      <c r="M185" s="235">
        <f t="shared" si="280"/>
        <v>8</v>
      </c>
      <c r="N185" s="235">
        <f t="shared" si="281"/>
        <v>8</v>
      </c>
      <c r="O185" s="241">
        <f t="shared" si="282"/>
        <v>16</v>
      </c>
      <c r="P185" s="235">
        <f t="shared" ref="P185:U185" si="308">ROUND(P68/1000,0)</f>
        <v>15</v>
      </c>
      <c r="Q185" s="235">
        <f t="shared" si="308"/>
        <v>20</v>
      </c>
      <c r="R185" s="235">
        <f t="shared" si="308"/>
        <v>10</v>
      </c>
      <c r="S185" s="235">
        <f t="shared" si="308"/>
        <v>7</v>
      </c>
      <c r="T185" s="235">
        <f t="shared" si="308"/>
        <v>6</v>
      </c>
      <c r="U185" s="235">
        <f t="shared" si="308"/>
        <v>0</v>
      </c>
      <c r="V185" s="234">
        <f t="shared" si="284"/>
        <v>58</v>
      </c>
      <c r="W185" s="235">
        <f t="shared" si="285"/>
        <v>11</v>
      </c>
      <c r="X185" s="235">
        <f t="shared" si="286"/>
        <v>0</v>
      </c>
      <c r="Y185" s="241">
        <f t="shared" si="287"/>
        <v>69</v>
      </c>
      <c r="Z185" s="235">
        <f t="shared" si="288"/>
        <v>0</v>
      </c>
      <c r="AA185" s="235">
        <f t="shared" si="289"/>
        <v>0</v>
      </c>
      <c r="AB185" s="241">
        <f t="shared" si="290"/>
        <v>0</v>
      </c>
      <c r="AC185" s="235">
        <f t="shared" ref="AC185:AK185" si="309">ROUND(AC68/1000,0)</f>
        <v>0</v>
      </c>
      <c r="AD185" s="235">
        <f t="shared" si="309"/>
        <v>0</v>
      </c>
      <c r="AE185" s="235">
        <f t="shared" si="309"/>
        <v>0</v>
      </c>
      <c r="AF185" s="235">
        <f t="shared" si="309"/>
        <v>12</v>
      </c>
      <c r="AG185" s="235">
        <f t="shared" si="309"/>
        <v>26</v>
      </c>
      <c r="AH185" s="235">
        <f t="shared" si="309"/>
        <v>17</v>
      </c>
      <c r="AI185" s="235">
        <f t="shared" si="309"/>
        <v>23</v>
      </c>
      <c r="AJ185" s="235">
        <f t="shared" si="309"/>
        <v>29</v>
      </c>
      <c r="AK185" s="235">
        <f t="shared" si="309"/>
        <v>1</v>
      </c>
      <c r="AL185" s="241">
        <f t="shared" si="292"/>
        <v>108</v>
      </c>
      <c r="AM185" s="235">
        <f t="shared" ref="AM185:CO185" si="310">ROUND(AM68/1000,0)</f>
        <v>0</v>
      </c>
      <c r="AN185" s="235">
        <f t="shared" si="310"/>
        <v>57</v>
      </c>
      <c r="AO185" s="235">
        <f t="shared" si="310"/>
        <v>30</v>
      </c>
      <c r="AP185" s="235">
        <f t="shared" si="310"/>
        <v>0</v>
      </c>
      <c r="AQ185" s="235">
        <f t="shared" si="310"/>
        <v>78</v>
      </c>
      <c r="AR185" s="235">
        <f t="shared" si="310"/>
        <v>0</v>
      </c>
      <c r="AS185" s="235">
        <f t="shared" si="310"/>
        <v>18</v>
      </c>
      <c r="AT185" s="235">
        <f t="shared" si="310"/>
        <v>8</v>
      </c>
      <c r="AU185" s="235">
        <f t="shared" si="310"/>
        <v>8</v>
      </c>
      <c r="AV185" s="235">
        <f t="shared" si="310"/>
        <v>15</v>
      </c>
      <c r="AW185" s="235">
        <f t="shared" si="310"/>
        <v>0</v>
      </c>
      <c r="AX185" s="235">
        <f t="shared" si="310"/>
        <v>0</v>
      </c>
      <c r="AY185" s="235">
        <f t="shared" si="310"/>
        <v>0</v>
      </c>
      <c r="AZ185" s="235">
        <f t="shared" si="310"/>
        <v>9</v>
      </c>
      <c r="BA185" s="235">
        <f t="shared" si="310"/>
        <v>9</v>
      </c>
      <c r="BB185" s="235">
        <f t="shared" si="310"/>
        <v>0</v>
      </c>
      <c r="BC185" s="235">
        <f t="shared" si="310"/>
        <v>25</v>
      </c>
      <c r="BD185" s="235">
        <f t="shared" si="310"/>
        <v>7</v>
      </c>
      <c r="BE185" s="235">
        <f t="shared" si="310"/>
        <v>11</v>
      </c>
      <c r="BF185" s="235">
        <f t="shared" si="310"/>
        <v>6</v>
      </c>
      <c r="BG185" s="235">
        <f t="shared" si="310"/>
        <v>8</v>
      </c>
      <c r="BH185" s="235">
        <f t="shared" si="310"/>
        <v>0</v>
      </c>
      <c r="BI185" s="235">
        <f t="shared" si="310"/>
        <v>12</v>
      </c>
      <c r="BJ185" s="235">
        <f t="shared" si="310"/>
        <v>0</v>
      </c>
      <c r="BK185" s="235">
        <f t="shared" si="310"/>
        <v>1</v>
      </c>
      <c r="BL185" s="235">
        <f t="shared" si="310"/>
        <v>7</v>
      </c>
      <c r="BM185" s="235">
        <f t="shared" si="310"/>
        <v>7</v>
      </c>
      <c r="BN185" s="235">
        <f t="shared" si="310"/>
        <v>10</v>
      </c>
      <c r="BO185" s="235">
        <f t="shared" si="310"/>
        <v>0</v>
      </c>
      <c r="BP185" s="235">
        <f t="shared" si="310"/>
        <v>28</v>
      </c>
      <c r="BQ185" s="235">
        <f t="shared" si="310"/>
        <v>11</v>
      </c>
      <c r="BR185" s="235">
        <f t="shared" si="310"/>
        <v>552</v>
      </c>
      <c r="BS185" s="235">
        <f t="shared" si="310"/>
        <v>3</v>
      </c>
      <c r="BT185" s="235">
        <f t="shared" si="310"/>
        <v>0</v>
      </c>
      <c r="BU185" s="235">
        <f t="shared" si="310"/>
        <v>0</v>
      </c>
      <c r="BV185" s="235">
        <f t="shared" si="310"/>
        <v>0</v>
      </c>
      <c r="BW185" s="235">
        <f t="shared" si="310"/>
        <v>105</v>
      </c>
      <c r="BX185" s="235">
        <f t="shared" si="310"/>
        <v>193</v>
      </c>
      <c r="BY185" s="235">
        <f t="shared" si="310"/>
        <v>0</v>
      </c>
      <c r="BZ185" s="235">
        <f t="shared" si="310"/>
        <v>256</v>
      </c>
      <c r="CA185" s="235">
        <f t="shared" si="310"/>
        <v>7</v>
      </c>
      <c r="CB185" s="235">
        <f t="shared" si="310"/>
        <v>44</v>
      </c>
      <c r="CC185" s="235">
        <f t="shared" si="310"/>
        <v>22</v>
      </c>
      <c r="CD185" s="235">
        <f t="shared" si="310"/>
        <v>11</v>
      </c>
      <c r="CE185" s="235">
        <f t="shared" si="310"/>
        <v>108</v>
      </c>
      <c r="CF185" s="235">
        <f t="shared" si="310"/>
        <v>79</v>
      </c>
      <c r="CG185" s="235">
        <f t="shared" si="310"/>
        <v>12</v>
      </c>
      <c r="CH185" s="235">
        <f t="shared" si="310"/>
        <v>70</v>
      </c>
      <c r="CI185" s="235">
        <f t="shared" si="310"/>
        <v>89</v>
      </c>
      <c r="CJ185" s="235">
        <f t="shared" si="310"/>
        <v>116</v>
      </c>
      <c r="CK185" s="235">
        <f t="shared" si="310"/>
        <v>12</v>
      </c>
      <c r="CL185" s="235">
        <f t="shared" si="310"/>
        <v>37</v>
      </c>
      <c r="CM185" s="235">
        <f t="shared" si="310"/>
        <v>290</v>
      </c>
      <c r="CN185" s="235">
        <f t="shared" si="310"/>
        <v>625</v>
      </c>
      <c r="CO185" s="235">
        <f t="shared" si="310"/>
        <v>337</v>
      </c>
      <c r="CP185" s="235"/>
      <c r="CQ185" s="241">
        <f t="shared" si="294"/>
        <v>3333</v>
      </c>
      <c r="CR185" s="241">
        <f t="shared" si="295"/>
        <v>3441</v>
      </c>
      <c r="CS185" s="241">
        <f t="shared" si="296"/>
        <v>19</v>
      </c>
      <c r="CT185" s="246">
        <f t="shared" si="297"/>
        <v>0</v>
      </c>
      <c r="CU185" s="235">
        <f t="shared" si="298"/>
        <v>0</v>
      </c>
      <c r="CV185" s="235">
        <f t="shared" si="299"/>
        <v>19</v>
      </c>
      <c r="CW185" s="249">
        <f t="shared" si="300"/>
        <v>0</v>
      </c>
      <c r="CX185" s="249">
        <f t="shared" si="301"/>
        <v>0</v>
      </c>
      <c r="CY185" s="249">
        <f t="shared" si="302"/>
        <v>19</v>
      </c>
      <c r="CZ185" s="241">
        <f t="shared" si="303"/>
        <v>0</v>
      </c>
      <c r="DA185" s="241">
        <f t="shared" si="304"/>
        <v>106</v>
      </c>
      <c r="DB185" s="193" t="s">
        <v>13913</v>
      </c>
    </row>
    <row r="186" spans="1:106">
      <c r="A186" s="226">
        <f>+A185+1</f>
        <v>8</v>
      </c>
      <c r="B186" s="227">
        <f>B185+1</f>
        <v>170</v>
      </c>
      <c r="C186" s="226"/>
      <c r="D186" s="226" t="str">
        <f t="shared" si="271"/>
        <v>Income Tax Expensed</v>
      </c>
      <c r="E186" s="234">
        <f t="shared" si="272"/>
        <v>-7</v>
      </c>
      <c r="F186" s="234">
        <f t="shared" si="273"/>
        <v>-7</v>
      </c>
      <c r="G186" s="235">
        <f t="shared" si="274"/>
        <v>0</v>
      </c>
      <c r="H186" s="235">
        <f t="shared" si="275"/>
        <v>0</v>
      </c>
      <c r="I186" s="235">
        <f t="shared" si="276"/>
        <v>0</v>
      </c>
      <c r="J186" s="235">
        <f t="shared" si="277"/>
        <v>0</v>
      </c>
      <c r="K186" s="235">
        <f t="shared" si="278"/>
        <v>0</v>
      </c>
      <c r="L186" s="241">
        <f t="shared" si="279"/>
        <v>0</v>
      </c>
      <c r="M186" s="235">
        <f t="shared" si="280"/>
        <v>0</v>
      </c>
      <c r="N186" s="235">
        <f t="shared" si="281"/>
        <v>0</v>
      </c>
      <c r="O186" s="241">
        <f t="shared" si="282"/>
        <v>0</v>
      </c>
      <c r="P186" s="235">
        <f t="shared" ref="P186:U186" si="311">ROUND(P69/1000,0)</f>
        <v>0</v>
      </c>
      <c r="Q186" s="235">
        <f t="shared" si="311"/>
        <v>0</v>
      </c>
      <c r="R186" s="235">
        <f t="shared" si="311"/>
        <v>0</v>
      </c>
      <c r="S186" s="235">
        <f t="shared" si="311"/>
        <v>0</v>
      </c>
      <c r="T186" s="235">
        <f t="shared" si="311"/>
        <v>-1</v>
      </c>
      <c r="U186" s="235">
        <f t="shared" si="311"/>
        <v>0</v>
      </c>
      <c r="V186" s="234">
        <f t="shared" si="284"/>
        <v>-1</v>
      </c>
      <c r="W186" s="235">
        <f t="shared" si="285"/>
        <v>0</v>
      </c>
      <c r="X186" s="235">
        <f t="shared" si="286"/>
        <v>0</v>
      </c>
      <c r="Y186" s="241">
        <f t="shared" si="287"/>
        <v>-1</v>
      </c>
      <c r="Z186" s="235">
        <f t="shared" si="288"/>
        <v>0</v>
      </c>
      <c r="AA186" s="235">
        <f t="shared" si="289"/>
        <v>0</v>
      </c>
      <c r="AB186" s="241">
        <f t="shared" si="290"/>
        <v>0</v>
      </c>
      <c r="AC186" s="235">
        <f t="shared" ref="AC186:AK186" si="312">ROUND(AC69/1000,0)</f>
        <v>0</v>
      </c>
      <c r="AD186" s="235">
        <f t="shared" si="312"/>
        <v>0</v>
      </c>
      <c r="AE186" s="235">
        <f t="shared" si="312"/>
        <v>1</v>
      </c>
      <c r="AF186" s="235">
        <f t="shared" si="312"/>
        <v>0</v>
      </c>
      <c r="AG186" s="235">
        <f t="shared" si="312"/>
        <v>0</v>
      </c>
      <c r="AH186" s="235">
        <f t="shared" si="312"/>
        <v>0</v>
      </c>
      <c r="AI186" s="235">
        <f t="shared" si="312"/>
        <v>0</v>
      </c>
      <c r="AJ186" s="235">
        <f t="shared" si="312"/>
        <v>-7</v>
      </c>
      <c r="AK186" s="235">
        <f t="shared" si="312"/>
        <v>0</v>
      </c>
      <c r="AL186" s="241">
        <f t="shared" si="292"/>
        <v>-7</v>
      </c>
      <c r="AM186" s="235">
        <f t="shared" ref="AM186:CO186" si="313">ROUND(AM69/1000,0)</f>
        <v>0</v>
      </c>
      <c r="AN186" s="235">
        <f t="shared" si="313"/>
        <v>0</v>
      </c>
      <c r="AO186" s="235">
        <f t="shared" si="313"/>
        <v>0</v>
      </c>
      <c r="AP186" s="235">
        <f t="shared" si="313"/>
        <v>0</v>
      </c>
      <c r="AQ186" s="235">
        <f t="shared" si="313"/>
        <v>0</v>
      </c>
      <c r="AR186" s="235">
        <f t="shared" si="313"/>
        <v>0</v>
      </c>
      <c r="AS186" s="235">
        <f t="shared" si="313"/>
        <v>0</v>
      </c>
      <c r="AT186" s="235">
        <f t="shared" si="313"/>
        <v>0</v>
      </c>
      <c r="AU186" s="235">
        <f t="shared" si="313"/>
        <v>0</v>
      </c>
      <c r="AV186" s="235">
        <f t="shared" si="313"/>
        <v>0</v>
      </c>
      <c r="AW186" s="235">
        <f t="shared" si="313"/>
        <v>0</v>
      </c>
      <c r="AX186" s="235">
        <f t="shared" si="313"/>
        <v>0</v>
      </c>
      <c r="AY186" s="235">
        <f t="shared" si="313"/>
        <v>0</v>
      </c>
      <c r="AZ186" s="235">
        <f t="shared" si="313"/>
        <v>0</v>
      </c>
      <c r="BA186" s="235">
        <f t="shared" si="313"/>
        <v>0</v>
      </c>
      <c r="BB186" s="235">
        <f t="shared" si="313"/>
        <v>0</v>
      </c>
      <c r="BC186" s="235">
        <f t="shared" si="313"/>
        <v>0</v>
      </c>
      <c r="BD186" s="235">
        <f t="shared" si="313"/>
        <v>0</v>
      </c>
      <c r="BE186" s="235">
        <f t="shared" si="313"/>
        <v>0</v>
      </c>
      <c r="BF186" s="235">
        <f t="shared" si="313"/>
        <v>0</v>
      </c>
      <c r="BG186" s="235">
        <f t="shared" si="313"/>
        <v>0</v>
      </c>
      <c r="BH186" s="235">
        <f t="shared" si="313"/>
        <v>0</v>
      </c>
      <c r="BI186" s="235">
        <f t="shared" si="313"/>
        <v>0</v>
      </c>
      <c r="BJ186" s="235">
        <f t="shared" si="313"/>
        <v>0</v>
      </c>
      <c r="BK186" s="235">
        <f t="shared" si="313"/>
        <v>0</v>
      </c>
      <c r="BL186" s="235">
        <f t="shared" si="313"/>
        <v>0</v>
      </c>
      <c r="BM186" s="235">
        <f t="shared" si="313"/>
        <v>0</v>
      </c>
      <c r="BN186" s="235">
        <f t="shared" si="313"/>
        <v>0</v>
      </c>
      <c r="BO186" s="235">
        <f t="shared" si="313"/>
        <v>0</v>
      </c>
      <c r="BP186" s="235">
        <f t="shared" si="313"/>
        <v>0</v>
      </c>
      <c r="BQ186" s="235">
        <f t="shared" si="313"/>
        <v>0</v>
      </c>
      <c r="BR186" s="235">
        <f t="shared" si="313"/>
        <v>0</v>
      </c>
      <c r="BS186" s="235">
        <f t="shared" si="313"/>
        <v>0</v>
      </c>
      <c r="BT186" s="235">
        <f t="shared" si="313"/>
        <v>0</v>
      </c>
      <c r="BU186" s="235">
        <f t="shared" si="313"/>
        <v>0</v>
      </c>
      <c r="BV186" s="235">
        <f t="shared" si="313"/>
        <v>0</v>
      </c>
      <c r="BW186" s="235">
        <f t="shared" si="313"/>
        <v>0</v>
      </c>
      <c r="BX186" s="235">
        <f t="shared" si="313"/>
        <v>0</v>
      </c>
      <c r="BY186" s="235">
        <f t="shared" si="313"/>
        <v>0</v>
      </c>
      <c r="BZ186" s="235">
        <f t="shared" si="313"/>
        <v>0</v>
      </c>
      <c r="CA186" s="235">
        <f t="shared" si="313"/>
        <v>0</v>
      </c>
      <c r="CB186" s="235">
        <f t="shared" si="313"/>
        <v>0</v>
      </c>
      <c r="CC186" s="235">
        <f t="shared" si="313"/>
        <v>0</v>
      </c>
      <c r="CD186" s="235">
        <f t="shared" si="313"/>
        <v>0</v>
      </c>
      <c r="CE186" s="235">
        <f t="shared" si="313"/>
        <v>0</v>
      </c>
      <c r="CF186" s="235">
        <f t="shared" si="313"/>
        <v>0</v>
      </c>
      <c r="CG186" s="235">
        <f t="shared" si="313"/>
        <v>0</v>
      </c>
      <c r="CH186" s="235">
        <f t="shared" si="313"/>
        <v>0</v>
      </c>
      <c r="CI186" s="235">
        <f t="shared" si="313"/>
        <v>0</v>
      </c>
      <c r="CJ186" s="235">
        <f t="shared" si="313"/>
        <v>0</v>
      </c>
      <c r="CK186" s="235">
        <f t="shared" si="313"/>
        <v>0</v>
      </c>
      <c r="CL186" s="235">
        <f t="shared" si="313"/>
        <v>0</v>
      </c>
      <c r="CM186" s="235">
        <f t="shared" si="313"/>
        <v>0</v>
      </c>
      <c r="CN186" s="235">
        <f t="shared" si="313"/>
        <v>0</v>
      </c>
      <c r="CO186" s="235">
        <f t="shared" si="313"/>
        <v>0</v>
      </c>
      <c r="CP186" s="235"/>
      <c r="CQ186" s="241">
        <f t="shared" si="294"/>
        <v>0</v>
      </c>
      <c r="CR186" s="241">
        <f t="shared" si="295"/>
        <v>-7</v>
      </c>
      <c r="CS186" s="241">
        <f t="shared" si="296"/>
        <v>0</v>
      </c>
      <c r="CT186" s="246">
        <f t="shared" si="297"/>
        <v>0</v>
      </c>
      <c r="CU186" s="235">
        <f t="shared" si="298"/>
        <v>0</v>
      </c>
      <c r="CV186" s="235">
        <f t="shared" si="299"/>
        <v>0</v>
      </c>
      <c r="CW186" s="249">
        <f t="shared" si="300"/>
        <v>0</v>
      </c>
      <c r="CX186" s="249">
        <f t="shared" si="301"/>
        <v>0</v>
      </c>
      <c r="CY186" s="249">
        <f t="shared" si="302"/>
        <v>0</v>
      </c>
      <c r="CZ186" s="241">
        <f t="shared" si="303"/>
        <v>0</v>
      </c>
      <c r="DA186" s="241">
        <f t="shared" si="304"/>
        <v>0</v>
      </c>
      <c r="DB186" s="193" t="s">
        <v>13914</v>
      </c>
    </row>
    <row r="187" spans="1:106">
      <c r="A187" s="226">
        <f>+A186+1</f>
        <v>9</v>
      </c>
      <c r="B187" s="227">
        <f>B186+1</f>
        <v>171</v>
      </c>
      <c r="C187" s="226"/>
      <c r="D187" s="226" t="str">
        <f t="shared" si="271"/>
        <v>Other Excludable from EBITDA</v>
      </c>
      <c r="E187" s="234">
        <f t="shared" si="272"/>
        <v>0</v>
      </c>
      <c r="F187" s="234">
        <f t="shared" si="273"/>
        <v>0</v>
      </c>
      <c r="G187" s="235">
        <f t="shared" si="274"/>
        <v>0</v>
      </c>
      <c r="H187" s="235">
        <f t="shared" si="275"/>
        <v>0</v>
      </c>
      <c r="I187" s="235">
        <f t="shared" si="276"/>
        <v>0</v>
      </c>
      <c r="J187" s="235">
        <f t="shared" si="277"/>
        <v>0</v>
      </c>
      <c r="K187" s="235">
        <f t="shared" si="278"/>
        <v>0</v>
      </c>
      <c r="L187" s="241">
        <f t="shared" si="279"/>
        <v>0</v>
      </c>
      <c r="M187" s="235">
        <f t="shared" si="280"/>
        <v>0</v>
      </c>
      <c r="N187" s="235">
        <f t="shared" si="281"/>
        <v>0</v>
      </c>
      <c r="O187" s="241">
        <f t="shared" si="282"/>
        <v>0</v>
      </c>
      <c r="P187" s="235">
        <f t="shared" ref="P187:U187" si="314">ROUND(P70/1000,0)</f>
        <v>0</v>
      </c>
      <c r="Q187" s="235">
        <f t="shared" si="314"/>
        <v>0</v>
      </c>
      <c r="R187" s="235">
        <f t="shared" si="314"/>
        <v>0</v>
      </c>
      <c r="S187" s="235">
        <f t="shared" si="314"/>
        <v>0</v>
      </c>
      <c r="T187" s="235">
        <f t="shared" si="314"/>
        <v>0</v>
      </c>
      <c r="U187" s="235">
        <f t="shared" si="314"/>
        <v>0</v>
      </c>
      <c r="V187" s="234">
        <f t="shared" si="284"/>
        <v>0</v>
      </c>
      <c r="W187" s="235">
        <f t="shared" si="285"/>
        <v>0</v>
      </c>
      <c r="X187" s="235">
        <f t="shared" si="286"/>
        <v>0</v>
      </c>
      <c r="Y187" s="241">
        <f t="shared" si="287"/>
        <v>0</v>
      </c>
      <c r="Z187" s="235">
        <f t="shared" si="288"/>
        <v>0</v>
      </c>
      <c r="AA187" s="235">
        <f t="shared" si="289"/>
        <v>0</v>
      </c>
      <c r="AB187" s="241">
        <f t="shared" si="290"/>
        <v>0</v>
      </c>
      <c r="AC187" s="235">
        <f t="shared" ref="AC187:AK187" si="315">ROUND(AC70/1000,0)</f>
        <v>0</v>
      </c>
      <c r="AD187" s="235">
        <f t="shared" si="315"/>
        <v>0</v>
      </c>
      <c r="AE187" s="235">
        <f t="shared" si="315"/>
        <v>0</v>
      </c>
      <c r="AF187" s="235">
        <f t="shared" si="315"/>
        <v>0</v>
      </c>
      <c r="AG187" s="235">
        <f t="shared" si="315"/>
        <v>0</v>
      </c>
      <c r="AH187" s="235">
        <f t="shared" si="315"/>
        <v>0</v>
      </c>
      <c r="AI187" s="235">
        <f t="shared" si="315"/>
        <v>0</v>
      </c>
      <c r="AJ187" s="235">
        <f t="shared" si="315"/>
        <v>0</v>
      </c>
      <c r="AK187" s="235">
        <f t="shared" si="315"/>
        <v>0</v>
      </c>
      <c r="AL187" s="241">
        <f t="shared" si="292"/>
        <v>0</v>
      </c>
      <c r="AM187" s="235">
        <f t="shared" ref="AM187:CO187" si="316">ROUND(AM70/1000,0)</f>
        <v>0</v>
      </c>
      <c r="AN187" s="235">
        <f t="shared" si="316"/>
        <v>0</v>
      </c>
      <c r="AO187" s="235">
        <f t="shared" si="316"/>
        <v>0</v>
      </c>
      <c r="AP187" s="235">
        <f t="shared" si="316"/>
        <v>0</v>
      </c>
      <c r="AQ187" s="235">
        <f t="shared" si="316"/>
        <v>0</v>
      </c>
      <c r="AR187" s="235">
        <f t="shared" si="316"/>
        <v>0</v>
      </c>
      <c r="AS187" s="235">
        <f t="shared" si="316"/>
        <v>0</v>
      </c>
      <c r="AT187" s="235">
        <f t="shared" si="316"/>
        <v>0</v>
      </c>
      <c r="AU187" s="235">
        <f t="shared" si="316"/>
        <v>0</v>
      </c>
      <c r="AV187" s="235">
        <f t="shared" si="316"/>
        <v>0</v>
      </c>
      <c r="AW187" s="235">
        <f t="shared" si="316"/>
        <v>0</v>
      </c>
      <c r="AX187" s="235">
        <f t="shared" si="316"/>
        <v>0</v>
      </c>
      <c r="AY187" s="235">
        <f t="shared" si="316"/>
        <v>0</v>
      </c>
      <c r="AZ187" s="235">
        <f t="shared" si="316"/>
        <v>0</v>
      </c>
      <c r="BA187" s="235">
        <f t="shared" si="316"/>
        <v>0</v>
      </c>
      <c r="BB187" s="235">
        <f t="shared" si="316"/>
        <v>0</v>
      </c>
      <c r="BC187" s="235">
        <f t="shared" si="316"/>
        <v>0</v>
      </c>
      <c r="BD187" s="235">
        <f t="shared" si="316"/>
        <v>0</v>
      </c>
      <c r="BE187" s="235">
        <f t="shared" si="316"/>
        <v>0</v>
      </c>
      <c r="BF187" s="235">
        <f t="shared" si="316"/>
        <v>0</v>
      </c>
      <c r="BG187" s="235">
        <f t="shared" si="316"/>
        <v>0</v>
      </c>
      <c r="BH187" s="235">
        <f t="shared" si="316"/>
        <v>0</v>
      </c>
      <c r="BI187" s="235">
        <f t="shared" si="316"/>
        <v>0</v>
      </c>
      <c r="BJ187" s="235">
        <f t="shared" si="316"/>
        <v>0</v>
      </c>
      <c r="BK187" s="235">
        <f t="shared" si="316"/>
        <v>0</v>
      </c>
      <c r="BL187" s="235">
        <f t="shared" si="316"/>
        <v>0</v>
      </c>
      <c r="BM187" s="235">
        <f t="shared" si="316"/>
        <v>0</v>
      </c>
      <c r="BN187" s="235">
        <f t="shared" si="316"/>
        <v>0</v>
      </c>
      <c r="BO187" s="235">
        <f t="shared" si="316"/>
        <v>0</v>
      </c>
      <c r="BP187" s="235">
        <f t="shared" si="316"/>
        <v>0</v>
      </c>
      <c r="BQ187" s="235">
        <f t="shared" si="316"/>
        <v>0</v>
      </c>
      <c r="BR187" s="235">
        <f t="shared" si="316"/>
        <v>0</v>
      </c>
      <c r="BS187" s="235">
        <f t="shared" si="316"/>
        <v>0</v>
      </c>
      <c r="BT187" s="235">
        <f t="shared" si="316"/>
        <v>0</v>
      </c>
      <c r="BU187" s="235">
        <f t="shared" si="316"/>
        <v>0</v>
      </c>
      <c r="BV187" s="235">
        <f t="shared" si="316"/>
        <v>0</v>
      </c>
      <c r="BW187" s="235">
        <f t="shared" si="316"/>
        <v>0</v>
      </c>
      <c r="BX187" s="235">
        <f t="shared" si="316"/>
        <v>0</v>
      </c>
      <c r="BY187" s="235">
        <f t="shared" si="316"/>
        <v>0</v>
      </c>
      <c r="BZ187" s="235">
        <f t="shared" si="316"/>
        <v>0</v>
      </c>
      <c r="CA187" s="235">
        <f t="shared" si="316"/>
        <v>0</v>
      </c>
      <c r="CB187" s="235">
        <f t="shared" si="316"/>
        <v>0</v>
      </c>
      <c r="CC187" s="235">
        <f t="shared" si="316"/>
        <v>0</v>
      </c>
      <c r="CD187" s="235">
        <f t="shared" si="316"/>
        <v>0</v>
      </c>
      <c r="CE187" s="235">
        <f t="shared" si="316"/>
        <v>0</v>
      </c>
      <c r="CF187" s="235">
        <f t="shared" si="316"/>
        <v>0</v>
      </c>
      <c r="CG187" s="235">
        <f t="shared" si="316"/>
        <v>0</v>
      </c>
      <c r="CH187" s="235">
        <f t="shared" si="316"/>
        <v>0</v>
      </c>
      <c r="CI187" s="235">
        <f t="shared" si="316"/>
        <v>0</v>
      </c>
      <c r="CJ187" s="235">
        <f t="shared" si="316"/>
        <v>0</v>
      </c>
      <c r="CK187" s="235">
        <f t="shared" si="316"/>
        <v>0</v>
      </c>
      <c r="CL187" s="235">
        <f t="shared" si="316"/>
        <v>0</v>
      </c>
      <c r="CM187" s="235">
        <f t="shared" si="316"/>
        <v>0</v>
      </c>
      <c r="CN187" s="235">
        <f t="shared" si="316"/>
        <v>0</v>
      </c>
      <c r="CO187" s="235">
        <f t="shared" si="316"/>
        <v>0</v>
      </c>
      <c r="CP187" s="235"/>
      <c r="CQ187" s="241">
        <f t="shared" si="294"/>
        <v>0</v>
      </c>
      <c r="CR187" s="241">
        <f t="shared" si="295"/>
        <v>0</v>
      </c>
      <c r="CS187" s="241">
        <f t="shared" si="296"/>
        <v>0</v>
      </c>
      <c r="CT187" s="246">
        <f t="shared" si="297"/>
        <v>0</v>
      </c>
      <c r="CU187" s="235">
        <f t="shared" si="298"/>
        <v>0</v>
      </c>
      <c r="CV187" s="235">
        <f t="shared" si="299"/>
        <v>0</v>
      </c>
      <c r="CW187" s="249">
        <f t="shared" si="300"/>
        <v>0</v>
      </c>
      <c r="CX187" s="249">
        <f t="shared" si="301"/>
        <v>0</v>
      </c>
      <c r="CY187" s="249">
        <f t="shared" si="302"/>
        <v>0</v>
      </c>
      <c r="CZ187" s="241">
        <f t="shared" si="303"/>
        <v>0</v>
      </c>
      <c r="DA187" s="241">
        <f t="shared" si="304"/>
        <v>0</v>
      </c>
      <c r="DB187" s="193" t="s">
        <v>13915</v>
      </c>
    </row>
    <row r="188" spans="1:106">
      <c r="A188" s="226">
        <f>+A187+1</f>
        <v>10</v>
      </c>
      <c r="B188" s="227">
        <f>B187+1</f>
        <v>172</v>
      </c>
      <c r="C188" s="226"/>
      <c r="D188" s="226" t="str">
        <f t="shared" si="271"/>
        <v>Non-Cash/Accounting Adjustments</v>
      </c>
      <c r="E188" s="234">
        <f t="shared" si="272"/>
        <v>0</v>
      </c>
      <c r="F188" s="234">
        <f t="shared" si="273"/>
        <v>0</v>
      </c>
      <c r="G188" s="235">
        <f t="shared" si="274"/>
        <v>0</v>
      </c>
      <c r="H188" s="235">
        <f t="shared" si="275"/>
        <v>0</v>
      </c>
      <c r="I188" s="235">
        <f t="shared" si="276"/>
        <v>0</v>
      </c>
      <c r="J188" s="235">
        <f t="shared" si="277"/>
        <v>0</v>
      </c>
      <c r="K188" s="235">
        <f t="shared" si="278"/>
        <v>0</v>
      </c>
      <c r="L188" s="241">
        <f t="shared" si="279"/>
        <v>0</v>
      </c>
      <c r="M188" s="235">
        <f t="shared" si="280"/>
        <v>0</v>
      </c>
      <c r="N188" s="235">
        <f t="shared" si="281"/>
        <v>0</v>
      </c>
      <c r="O188" s="241">
        <f t="shared" si="282"/>
        <v>0</v>
      </c>
      <c r="P188" s="235">
        <f t="shared" ref="P188:U188" si="317">ROUND(P71/1000,0)</f>
        <v>0</v>
      </c>
      <c r="Q188" s="235">
        <f t="shared" si="317"/>
        <v>0</v>
      </c>
      <c r="R188" s="235">
        <f t="shared" si="317"/>
        <v>0</v>
      </c>
      <c r="S188" s="235">
        <f t="shared" si="317"/>
        <v>0</v>
      </c>
      <c r="T188" s="235">
        <f t="shared" si="317"/>
        <v>0</v>
      </c>
      <c r="U188" s="235">
        <f t="shared" si="317"/>
        <v>0</v>
      </c>
      <c r="V188" s="234">
        <f t="shared" si="284"/>
        <v>0</v>
      </c>
      <c r="W188" s="235">
        <f t="shared" si="285"/>
        <v>0</v>
      </c>
      <c r="X188" s="235">
        <f t="shared" si="286"/>
        <v>0</v>
      </c>
      <c r="Y188" s="241">
        <f t="shared" si="287"/>
        <v>0</v>
      </c>
      <c r="Z188" s="235">
        <f t="shared" si="288"/>
        <v>0</v>
      </c>
      <c r="AA188" s="235">
        <f t="shared" si="289"/>
        <v>0</v>
      </c>
      <c r="AB188" s="241">
        <f t="shared" si="290"/>
        <v>0</v>
      </c>
      <c r="AC188" s="235">
        <f t="shared" ref="AC188:AK188" si="318">ROUND(AC71/1000,0)</f>
        <v>0</v>
      </c>
      <c r="AD188" s="235">
        <f t="shared" si="318"/>
        <v>0</v>
      </c>
      <c r="AE188" s="235">
        <f t="shared" si="318"/>
        <v>0</v>
      </c>
      <c r="AF188" s="235">
        <f t="shared" si="318"/>
        <v>0</v>
      </c>
      <c r="AG188" s="235">
        <f t="shared" si="318"/>
        <v>0</v>
      </c>
      <c r="AH188" s="235">
        <f t="shared" si="318"/>
        <v>0</v>
      </c>
      <c r="AI188" s="235">
        <f t="shared" si="318"/>
        <v>0</v>
      </c>
      <c r="AJ188" s="235">
        <f t="shared" si="318"/>
        <v>0</v>
      </c>
      <c r="AK188" s="235">
        <f t="shared" si="318"/>
        <v>0</v>
      </c>
      <c r="AL188" s="241">
        <f t="shared" si="292"/>
        <v>0</v>
      </c>
      <c r="AM188" s="235">
        <f t="shared" ref="AM188:CO188" si="319">ROUND(AM71/1000,0)</f>
        <v>0</v>
      </c>
      <c r="AN188" s="235">
        <f t="shared" si="319"/>
        <v>0</v>
      </c>
      <c r="AO188" s="235">
        <f t="shared" si="319"/>
        <v>0</v>
      </c>
      <c r="AP188" s="235">
        <f t="shared" si="319"/>
        <v>0</v>
      </c>
      <c r="AQ188" s="235">
        <f t="shared" si="319"/>
        <v>0</v>
      </c>
      <c r="AR188" s="235">
        <f t="shared" si="319"/>
        <v>0</v>
      </c>
      <c r="AS188" s="235">
        <f t="shared" si="319"/>
        <v>0</v>
      </c>
      <c r="AT188" s="235">
        <f t="shared" si="319"/>
        <v>0</v>
      </c>
      <c r="AU188" s="235">
        <f t="shared" si="319"/>
        <v>0</v>
      </c>
      <c r="AV188" s="235">
        <f t="shared" si="319"/>
        <v>0</v>
      </c>
      <c r="AW188" s="235">
        <f t="shared" si="319"/>
        <v>0</v>
      </c>
      <c r="AX188" s="235">
        <f t="shared" si="319"/>
        <v>0</v>
      </c>
      <c r="AY188" s="235">
        <f t="shared" si="319"/>
        <v>0</v>
      </c>
      <c r="AZ188" s="235">
        <f t="shared" si="319"/>
        <v>0</v>
      </c>
      <c r="BA188" s="235">
        <f t="shared" si="319"/>
        <v>0</v>
      </c>
      <c r="BB188" s="235">
        <f t="shared" si="319"/>
        <v>0</v>
      </c>
      <c r="BC188" s="235">
        <f t="shared" si="319"/>
        <v>0</v>
      </c>
      <c r="BD188" s="235">
        <f t="shared" si="319"/>
        <v>0</v>
      </c>
      <c r="BE188" s="235">
        <f t="shared" si="319"/>
        <v>0</v>
      </c>
      <c r="BF188" s="235">
        <f t="shared" si="319"/>
        <v>0</v>
      </c>
      <c r="BG188" s="235">
        <f t="shared" si="319"/>
        <v>0</v>
      </c>
      <c r="BH188" s="235">
        <f t="shared" si="319"/>
        <v>0</v>
      </c>
      <c r="BI188" s="235">
        <f t="shared" si="319"/>
        <v>0</v>
      </c>
      <c r="BJ188" s="235">
        <f t="shared" si="319"/>
        <v>0</v>
      </c>
      <c r="BK188" s="235">
        <f t="shared" si="319"/>
        <v>0</v>
      </c>
      <c r="BL188" s="235">
        <f t="shared" si="319"/>
        <v>0</v>
      </c>
      <c r="BM188" s="235">
        <f t="shared" si="319"/>
        <v>0</v>
      </c>
      <c r="BN188" s="235">
        <f t="shared" si="319"/>
        <v>0</v>
      </c>
      <c r="BO188" s="235">
        <f t="shared" si="319"/>
        <v>0</v>
      </c>
      <c r="BP188" s="235">
        <f t="shared" si="319"/>
        <v>0</v>
      </c>
      <c r="BQ188" s="235">
        <f t="shared" si="319"/>
        <v>0</v>
      </c>
      <c r="BR188" s="235">
        <f t="shared" si="319"/>
        <v>0</v>
      </c>
      <c r="BS188" s="235">
        <f t="shared" si="319"/>
        <v>0</v>
      </c>
      <c r="BT188" s="235">
        <f t="shared" si="319"/>
        <v>0</v>
      </c>
      <c r="BU188" s="235">
        <f t="shared" si="319"/>
        <v>0</v>
      </c>
      <c r="BV188" s="235">
        <f t="shared" si="319"/>
        <v>0</v>
      </c>
      <c r="BW188" s="235">
        <f t="shared" si="319"/>
        <v>0</v>
      </c>
      <c r="BX188" s="235">
        <f t="shared" si="319"/>
        <v>0</v>
      </c>
      <c r="BY188" s="235">
        <f t="shared" si="319"/>
        <v>0</v>
      </c>
      <c r="BZ188" s="235">
        <f t="shared" si="319"/>
        <v>0</v>
      </c>
      <c r="CA188" s="235">
        <f t="shared" si="319"/>
        <v>0</v>
      </c>
      <c r="CB188" s="235">
        <f t="shared" si="319"/>
        <v>0</v>
      </c>
      <c r="CC188" s="235">
        <f t="shared" si="319"/>
        <v>0</v>
      </c>
      <c r="CD188" s="235">
        <f t="shared" si="319"/>
        <v>0</v>
      </c>
      <c r="CE188" s="235">
        <f t="shared" si="319"/>
        <v>0</v>
      </c>
      <c r="CF188" s="235">
        <f t="shared" si="319"/>
        <v>0</v>
      </c>
      <c r="CG188" s="235">
        <f t="shared" si="319"/>
        <v>0</v>
      </c>
      <c r="CH188" s="235">
        <f t="shared" si="319"/>
        <v>0</v>
      </c>
      <c r="CI188" s="235">
        <f t="shared" si="319"/>
        <v>0</v>
      </c>
      <c r="CJ188" s="235">
        <f t="shared" si="319"/>
        <v>0</v>
      </c>
      <c r="CK188" s="235">
        <f t="shared" si="319"/>
        <v>0</v>
      </c>
      <c r="CL188" s="235">
        <f t="shared" si="319"/>
        <v>0</v>
      </c>
      <c r="CM188" s="235">
        <f t="shared" si="319"/>
        <v>0</v>
      </c>
      <c r="CN188" s="235">
        <f t="shared" si="319"/>
        <v>0</v>
      </c>
      <c r="CO188" s="235">
        <f t="shared" si="319"/>
        <v>0</v>
      </c>
      <c r="CP188" s="235"/>
      <c r="CQ188" s="241">
        <f t="shared" si="294"/>
        <v>0</v>
      </c>
      <c r="CR188" s="241">
        <f t="shared" si="295"/>
        <v>0</v>
      </c>
      <c r="CS188" s="241">
        <f t="shared" si="296"/>
        <v>0</v>
      </c>
      <c r="CT188" s="246">
        <f t="shared" si="297"/>
        <v>0</v>
      </c>
      <c r="CU188" s="235">
        <f t="shared" si="298"/>
        <v>0</v>
      </c>
      <c r="CV188" s="235">
        <f t="shared" si="299"/>
        <v>0</v>
      </c>
      <c r="CW188" s="249">
        <f t="shared" si="300"/>
        <v>0</v>
      </c>
      <c r="CX188" s="249">
        <f t="shared" si="301"/>
        <v>0</v>
      </c>
      <c r="CY188" s="249">
        <f t="shared" si="302"/>
        <v>0</v>
      </c>
      <c r="CZ188" s="241">
        <f t="shared" si="303"/>
        <v>0</v>
      </c>
      <c r="DA188" s="241">
        <f t="shared" si="304"/>
        <v>0</v>
      </c>
      <c r="DB188" s="193" t="s">
        <v>13916</v>
      </c>
    </row>
    <row r="189" spans="1:106">
      <c r="A189" s="226"/>
      <c r="B189" s="227"/>
      <c r="C189" s="226"/>
      <c r="D189" s="226" t="s">
        <v>13917</v>
      </c>
      <c r="E189" s="234">
        <f t="shared" si="272"/>
        <v>497</v>
      </c>
      <c r="F189" s="234">
        <f t="shared" si="273"/>
        <v>497</v>
      </c>
      <c r="G189" s="235">
        <f t="shared" si="274"/>
        <v>0</v>
      </c>
      <c r="H189" s="235">
        <f t="shared" si="275"/>
        <v>0</v>
      </c>
      <c r="I189" s="235">
        <f t="shared" si="276"/>
        <v>0</v>
      </c>
      <c r="J189" s="235">
        <f t="shared" si="277"/>
        <v>0</v>
      </c>
      <c r="K189" s="235">
        <f t="shared" si="278"/>
        <v>0</v>
      </c>
      <c r="L189" s="241">
        <f t="shared" si="279"/>
        <v>0</v>
      </c>
      <c r="M189" s="235">
        <f t="shared" si="280"/>
        <v>0</v>
      </c>
      <c r="N189" s="235">
        <f t="shared" si="281"/>
        <v>0</v>
      </c>
      <c r="O189" s="241">
        <f t="shared" si="282"/>
        <v>0</v>
      </c>
      <c r="P189" s="235">
        <f t="shared" ref="P189:U189" si="320">ROUND(P72/1000,0)</f>
        <v>0</v>
      </c>
      <c r="Q189" s="235">
        <f t="shared" si="320"/>
        <v>0</v>
      </c>
      <c r="R189" s="235">
        <f t="shared" si="320"/>
        <v>0</v>
      </c>
      <c r="S189" s="235">
        <f t="shared" si="320"/>
        <v>0</v>
      </c>
      <c r="T189" s="235">
        <f t="shared" si="320"/>
        <v>0</v>
      </c>
      <c r="U189" s="235">
        <f t="shared" si="320"/>
        <v>0</v>
      </c>
      <c r="V189" s="234">
        <f t="shared" si="284"/>
        <v>0</v>
      </c>
      <c r="W189" s="235">
        <f t="shared" si="285"/>
        <v>0</v>
      </c>
      <c r="X189" s="235">
        <f t="shared" si="286"/>
        <v>0</v>
      </c>
      <c r="Y189" s="241">
        <f t="shared" si="287"/>
        <v>0</v>
      </c>
      <c r="Z189" s="235">
        <f t="shared" si="288"/>
        <v>0</v>
      </c>
      <c r="AA189" s="235">
        <f t="shared" si="289"/>
        <v>0</v>
      </c>
      <c r="AB189" s="241">
        <f t="shared" si="290"/>
        <v>0</v>
      </c>
      <c r="AC189" s="235">
        <f t="shared" ref="AC189:AK189" si="321">ROUND(AC72/1000,0)</f>
        <v>0</v>
      </c>
      <c r="AD189" s="235">
        <f t="shared" si="321"/>
        <v>0</v>
      </c>
      <c r="AE189" s="235">
        <f t="shared" si="321"/>
        <v>0</v>
      </c>
      <c r="AF189" s="235">
        <f t="shared" si="321"/>
        <v>0</v>
      </c>
      <c r="AG189" s="235">
        <f t="shared" si="321"/>
        <v>0</v>
      </c>
      <c r="AH189" s="235">
        <f t="shared" si="321"/>
        <v>0</v>
      </c>
      <c r="AI189" s="235">
        <f t="shared" si="321"/>
        <v>0</v>
      </c>
      <c r="AJ189" s="235">
        <f t="shared" si="321"/>
        <v>0</v>
      </c>
      <c r="AK189" s="235">
        <f t="shared" si="321"/>
        <v>0</v>
      </c>
      <c r="AL189" s="241">
        <f t="shared" si="292"/>
        <v>0</v>
      </c>
      <c r="AM189" s="235">
        <f t="shared" ref="AM189:CO189" si="322">ROUND(AM72/1000,0)</f>
        <v>0</v>
      </c>
      <c r="AN189" s="235">
        <f t="shared" si="322"/>
        <v>12</v>
      </c>
      <c r="AO189" s="235">
        <f t="shared" si="322"/>
        <v>9</v>
      </c>
      <c r="AP189" s="235">
        <f t="shared" si="322"/>
        <v>0</v>
      </c>
      <c r="AQ189" s="235">
        <f t="shared" si="322"/>
        <v>11</v>
      </c>
      <c r="AR189" s="235">
        <f t="shared" si="322"/>
        <v>0</v>
      </c>
      <c r="AS189" s="235">
        <f t="shared" si="322"/>
        <v>0</v>
      </c>
      <c r="AT189" s="235">
        <f t="shared" si="322"/>
        <v>0</v>
      </c>
      <c r="AU189" s="235">
        <f t="shared" si="322"/>
        <v>7</v>
      </c>
      <c r="AV189" s="235">
        <f t="shared" si="322"/>
        <v>0</v>
      </c>
      <c r="AW189" s="235">
        <f t="shared" si="322"/>
        <v>0</v>
      </c>
      <c r="AX189" s="235">
        <f t="shared" si="322"/>
        <v>0</v>
      </c>
      <c r="AY189" s="235">
        <f t="shared" si="322"/>
        <v>0</v>
      </c>
      <c r="AZ189" s="235">
        <f t="shared" si="322"/>
        <v>0</v>
      </c>
      <c r="BA189" s="235">
        <f t="shared" si="322"/>
        <v>0</v>
      </c>
      <c r="BB189" s="235">
        <f t="shared" si="322"/>
        <v>0</v>
      </c>
      <c r="BC189" s="235">
        <f t="shared" si="322"/>
        <v>0</v>
      </c>
      <c r="BD189" s="235">
        <f t="shared" si="322"/>
        <v>0</v>
      </c>
      <c r="BE189" s="235">
        <f t="shared" si="322"/>
        <v>0</v>
      </c>
      <c r="BF189" s="235">
        <f t="shared" si="322"/>
        <v>0</v>
      </c>
      <c r="BG189" s="235">
        <f t="shared" si="322"/>
        <v>0</v>
      </c>
      <c r="BH189" s="235">
        <f t="shared" si="322"/>
        <v>0</v>
      </c>
      <c r="BI189" s="235">
        <f t="shared" si="322"/>
        <v>0</v>
      </c>
      <c r="BJ189" s="235">
        <f t="shared" si="322"/>
        <v>0</v>
      </c>
      <c r="BK189" s="235">
        <f t="shared" si="322"/>
        <v>0</v>
      </c>
      <c r="BL189" s="235">
        <f t="shared" si="322"/>
        <v>0</v>
      </c>
      <c r="BM189" s="235">
        <f t="shared" si="322"/>
        <v>0</v>
      </c>
      <c r="BN189" s="235">
        <f t="shared" si="322"/>
        <v>0</v>
      </c>
      <c r="BO189" s="235">
        <f t="shared" si="322"/>
        <v>0</v>
      </c>
      <c r="BP189" s="235">
        <f t="shared" si="322"/>
        <v>0</v>
      </c>
      <c r="BQ189" s="235">
        <f t="shared" si="322"/>
        <v>0</v>
      </c>
      <c r="BR189" s="235">
        <f t="shared" si="322"/>
        <v>85</v>
      </c>
      <c r="BS189" s="235">
        <f t="shared" si="322"/>
        <v>1</v>
      </c>
      <c r="BT189" s="235">
        <f t="shared" si="322"/>
        <v>0</v>
      </c>
      <c r="BU189" s="235">
        <f t="shared" si="322"/>
        <v>0</v>
      </c>
      <c r="BV189" s="235">
        <f t="shared" si="322"/>
        <v>0</v>
      </c>
      <c r="BW189" s="235">
        <f t="shared" si="322"/>
        <v>16</v>
      </c>
      <c r="BX189" s="235">
        <f t="shared" si="322"/>
        <v>19</v>
      </c>
      <c r="BY189" s="235">
        <f t="shared" si="322"/>
        <v>0</v>
      </c>
      <c r="BZ189" s="235">
        <f t="shared" si="322"/>
        <v>47</v>
      </c>
      <c r="CA189" s="235">
        <f t="shared" si="322"/>
        <v>0</v>
      </c>
      <c r="CB189" s="235">
        <f t="shared" si="322"/>
        <v>0</v>
      </c>
      <c r="CC189" s="235">
        <f t="shared" si="322"/>
        <v>0</v>
      </c>
      <c r="CD189" s="235">
        <f t="shared" si="322"/>
        <v>0</v>
      </c>
      <c r="CE189" s="235">
        <f t="shared" si="322"/>
        <v>3</v>
      </c>
      <c r="CF189" s="235">
        <f t="shared" si="322"/>
        <v>0</v>
      </c>
      <c r="CG189" s="235">
        <f t="shared" si="322"/>
        <v>0</v>
      </c>
      <c r="CH189" s="235">
        <f t="shared" si="322"/>
        <v>0</v>
      </c>
      <c r="CI189" s="235">
        <f t="shared" si="322"/>
        <v>0</v>
      </c>
      <c r="CJ189" s="235">
        <f t="shared" si="322"/>
        <v>0</v>
      </c>
      <c r="CK189" s="235">
        <f t="shared" si="322"/>
        <v>0</v>
      </c>
      <c r="CL189" s="235">
        <f t="shared" si="322"/>
        <v>0</v>
      </c>
      <c r="CM189" s="235">
        <f t="shared" si="322"/>
        <v>9</v>
      </c>
      <c r="CN189" s="235">
        <f t="shared" si="322"/>
        <v>100</v>
      </c>
      <c r="CO189" s="235">
        <f t="shared" si="322"/>
        <v>178</v>
      </c>
      <c r="CP189" s="235"/>
      <c r="CQ189" s="241">
        <f t="shared" si="294"/>
        <v>497</v>
      </c>
      <c r="CR189" s="241">
        <f t="shared" si="295"/>
        <v>497</v>
      </c>
      <c r="CS189" s="241">
        <f t="shared" si="296"/>
        <v>0</v>
      </c>
      <c r="CT189" s="246">
        <f t="shared" si="297"/>
        <v>0</v>
      </c>
      <c r="CU189" s="235">
        <f t="shared" si="298"/>
        <v>0</v>
      </c>
      <c r="CV189" s="235">
        <f t="shared" si="299"/>
        <v>0</v>
      </c>
      <c r="CW189" s="249">
        <f t="shared" si="300"/>
        <v>0</v>
      </c>
      <c r="CX189" s="249">
        <f t="shared" si="301"/>
        <v>0</v>
      </c>
      <c r="CY189" s="249">
        <f t="shared" si="302"/>
        <v>0</v>
      </c>
      <c r="CZ189" s="241">
        <f t="shared" si="303"/>
        <v>0</v>
      </c>
      <c r="DA189" s="241">
        <f t="shared" si="304"/>
        <v>0</v>
      </c>
      <c r="DB189" s="193"/>
    </row>
    <row r="190" spans="1:106">
      <c r="A190" s="226"/>
      <c r="B190" s="227"/>
      <c r="C190" s="226"/>
      <c r="D190" s="226" t="s">
        <v>13918</v>
      </c>
      <c r="E190" s="234">
        <f t="shared" si="272"/>
        <v>-1454</v>
      </c>
      <c r="F190" s="234">
        <f t="shared" si="273"/>
        <v>-1454</v>
      </c>
      <c r="G190" s="235">
        <f t="shared" si="274"/>
        <v>0</v>
      </c>
      <c r="H190" s="235">
        <f t="shared" si="275"/>
        <v>0</v>
      </c>
      <c r="I190" s="235">
        <f t="shared" si="276"/>
        <v>0</v>
      </c>
      <c r="J190" s="235">
        <f t="shared" si="277"/>
        <v>0</v>
      </c>
      <c r="K190" s="235">
        <f t="shared" si="278"/>
        <v>0</v>
      </c>
      <c r="L190" s="241">
        <f t="shared" si="279"/>
        <v>0</v>
      </c>
      <c r="M190" s="235">
        <f t="shared" si="280"/>
        <v>0</v>
      </c>
      <c r="N190" s="235">
        <f t="shared" si="281"/>
        <v>0</v>
      </c>
      <c r="O190" s="241">
        <f t="shared" si="282"/>
        <v>0</v>
      </c>
      <c r="P190" s="235">
        <f t="shared" ref="P190:U190" si="323">ROUND(P73/1000,0)</f>
        <v>0</v>
      </c>
      <c r="Q190" s="235">
        <f t="shared" si="323"/>
        <v>0</v>
      </c>
      <c r="R190" s="235">
        <f t="shared" si="323"/>
        <v>0</v>
      </c>
      <c r="S190" s="235">
        <f t="shared" si="323"/>
        <v>0</v>
      </c>
      <c r="T190" s="235">
        <f t="shared" si="323"/>
        <v>0</v>
      </c>
      <c r="U190" s="235">
        <f t="shared" si="323"/>
        <v>0</v>
      </c>
      <c r="V190" s="234">
        <f t="shared" si="284"/>
        <v>0</v>
      </c>
      <c r="W190" s="235">
        <f t="shared" si="285"/>
        <v>0</v>
      </c>
      <c r="X190" s="235">
        <f t="shared" si="286"/>
        <v>0</v>
      </c>
      <c r="Y190" s="241">
        <f t="shared" si="287"/>
        <v>0</v>
      </c>
      <c r="Z190" s="235">
        <f t="shared" si="288"/>
        <v>0</v>
      </c>
      <c r="AA190" s="235">
        <f t="shared" si="289"/>
        <v>0</v>
      </c>
      <c r="AB190" s="241">
        <f t="shared" si="290"/>
        <v>0</v>
      </c>
      <c r="AC190" s="235">
        <f t="shared" ref="AC190:AK190" si="324">ROUND(AC73/1000,0)</f>
        <v>0</v>
      </c>
      <c r="AD190" s="235">
        <f t="shared" si="324"/>
        <v>0</v>
      </c>
      <c r="AE190" s="235">
        <f t="shared" si="324"/>
        <v>0</v>
      </c>
      <c r="AF190" s="235">
        <f t="shared" si="324"/>
        <v>0</v>
      </c>
      <c r="AG190" s="235">
        <f t="shared" si="324"/>
        <v>0</v>
      </c>
      <c r="AH190" s="235">
        <f t="shared" si="324"/>
        <v>0</v>
      </c>
      <c r="AI190" s="235">
        <f t="shared" si="324"/>
        <v>0</v>
      </c>
      <c r="AJ190" s="235">
        <f t="shared" si="324"/>
        <v>0</v>
      </c>
      <c r="AK190" s="235">
        <f t="shared" si="324"/>
        <v>0</v>
      </c>
      <c r="AL190" s="241">
        <f t="shared" si="292"/>
        <v>0</v>
      </c>
      <c r="AM190" s="235">
        <f t="shared" ref="AM190:CO190" si="325">ROUND(AM73/1000,0)</f>
        <v>0</v>
      </c>
      <c r="AN190" s="235">
        <f t="shared" si="325"/>
        <v>-67</v>
      </c>
      <c r="AO190" s="235">
        <f t="shared" si="325"/>
        <v>-59</v>
      </c>
      <c r="AP190" s="235">
        <f t="shared" si="325"/>
        <v>0</v>
      </c>
      <c r="AQ190" s="235">
        <f t="shared" si="325"/>
        <v>-73</v>
      </c>
      <c r="AR190" s="235">
        <f t="shared" si="325"/>
        <v>0</v>
      </c>
      <c r="AS190" s="235">
        <f t="shared" si="325"/>
        <v>0</v>
      </c>
      <c r="AT190" s="235">
        <f t="shared" si="325"/>
        <v>0</v>
      </c>
      <c r="AU190" s="235">
        <f t="shared" si="325"/>
        <v>39</v>
      </c>
      <c r="AV190" s="235">
        <f t="shared" si="325"/>
        <v>0</v>
      </c>
      <c r="AW190" s="235">
        <f t="shared" si="325"/>
        <v>0</v>
      </c>
      <c r="AX190" s="235">
        <f t="shared" si="325"/>
        <v>0</v>
      </c>
      <c r="AY190" s="235">
        <f t="shared" si="325"/>
        <v>0</v>
      </c>
      <c r="AZ190" s="235">
        <f t="shared" si="325"/>
        <v>0</v>
      </c>
      <c r="BA190" s="235">
        <f t="shared" si="325"/>
        <v>0</v>
      </c>
      <c r="BB190" s="235">
        <f t="shared" si="325"/>
        <v>0</v>
      </c>
      <c r="BC190" s="235">
        <f t="shared" si="325"/>
        <v>0</v>
      </c>
      <c r="BD190" s="235">
        <f t="shared" si="325"/>
        <v>0</v>
      </c>
      <c r="BE190" s="235">
        <f t="shared" si="325"/>
        <v>0</v>
      </c>
      <c r="BF190" s="235">
        <f t="shared" si="325"/>
        <v>0</v>
      </c>
      <c r="BG190" s="235">
        <f t="shared" si="325"/>
        <v>0</v>
      </c>
      <c r="BH190" s="235">
        <f t="shared" si="325"/>
        <v>0</v>
      </c>
      <c r="BI190" s="235">
        <f t="shared" si="325"/>
        <v>0</v>
      </c>
      <c r="BJ190" s="235">
        <f t="shared" si="325"/>
        <v>0</v>
      </c>
      <c r="BK190" s="235">
        <f t="shared" si="325"/>
        <v>0</v>
      </c>
      <c r="BL190" s="235">
        <f t="shared" si="325"/>
        <v>0</v>
      </c>
      <c r="BM190" s="235">
        <f t="shared" si="325"/>
        <v>0</v>
      </c>
      <c r="BN190" s="235">
        <f t="shared" si="325"/>
        <v>0</v>
      </c>
      <c r="BO190" s="235">
        <f t="shared" si="325"/>
        <v>0</v>
      </c>
      <c r="BP190" s="235">
        <f t="shared" si="325"/>
        <v>0</v>
      </c>
      <c r="BQ190" s="235">
        <f t="shared" si="325"/>
        <v>0</v>
      </c>
      <c r="BR190" s="235">
        <f t="shared" si="325"/>
        <v>-470</v>
      </c>
      <c r="BS190" s="235">
        <f t="shared" si="325"/>
        <v>-4</v>
      </c>
      <c r="BT190" s="235">
        <f t="shared" si="325"/>
        <v>0</v>
      </c>
      <c r="BU190" s="235">
        <f t="shared" si="325"/>
        <v>0</v>
      </c>
      <c r="BV190" s="235">
        <f t="shared" si="325"/>
        <v>0</v>
      </c>
      <c r="BW190" s="235">
        <f t="shared" si="325"/>
        <v>-89</v>
      </c>
      <c r="BX190" s="235">
        <f t="shared" si="325"/>
        <v>-303</v>
      </c>
      <c r="BY190" s="235">
        <f t="shared" si="325"/>
        <v>0</v>
      </c>
      <c r="BZ190" s="235">
        <f t="shared" si="325"/>
        <v>-277</v>
      </c>
      <c r="CA190" s="235">
        <f t="shared" si="325"/>
        <v>-9</v>
      </c>
      <c r="CB190" s="235">
        <f t="shared" si="325"/>
        <v>0</v>
      </c>
      <c r="CC190" s="235">
        <f t="shared" si="325"/>
        <v>0</v>
      </c>
      <c r="CD190" s="235">
        <f t="shared" si="325"/>
        <v>3</v>
      </c>
      <c r="CE190" s="235">
        <f t="shared" si="325"/>
        <v>-21</v>
      </c>
      <c r="CF190" s="235">
        <f t="shared" si="325"/>
        <v>0</v>
      </c>
      <c r="CG190" s="235">
        <f t="shared" si="325"/>
        <v>0</v>
      </c>
      <c r="CH190" s="235">
        <f t="shared" si="325"/>
        <v>0</v>
      </c>
      <c r="CI190" s="235">
        <f t="shared" si="325"/>
        <v>0</v>
      </c>
      <c r="CJ190" s="235">
        <f t="shared" si="325"/>
        <v>0</v>
      </c>
      <c r="CK190" s="235">
        <f t="shared" si="325"/>
        <v>0</v>
      </c>
      <c r="CL190" s="235">
        <f t="shared" si="325"/>
        <v>0</v>
      </c>
      <c r="CM190" s="235">
        <f t="shared" si="325"/>
        <v>-50</v>
      </c>
      <c r="CN190" s="235">
        <f t="shared" si="325"/>
        <v>0</v>
      </c>
      <c r="CO190" s="235">
        <f t="shared" si="325"/>
        <v>-74</v>
      </c>
      <c r="CP190" s="235"/>
      <c r="CQ190" s="241">
        <f t="shared" si="294"/>
        <v>-1454</v>
      </c>
      <c r="CR190" s="241">
        <f t="shared" si="295"/>
        <v>-1454</v>
      </c>
      <c r="CS190" s="241">
        <f t="shared" si="296"/>
        <v>0</v>
      </c>
      <c r="CT190" s="246">
        <f t="shared" si="297"/>
        <v>0</v>
      </c>
      <c r="CU190" s="235">
        <f t="shared" si="298"/>
        <v>0</v>
      </c>
      <c r="CV190" s="235">
        <f t="shared" si="299"/>
        <v>0</v>
      </c>
      <c r="CW190" s="249">
        <f t="shared" si="300"/>
        <v>0</v>
      </c>
      <c r="CX190" s="249">
        <f t="shared" si="301"/>
        <v>0</v>
      </c>
      <c r="CY190" s="249">
        <f t="shared" si="302"/>
        <v>0</v>
      </c>
      <c r="CZ190" s="241">
        <f t="shared" si="303"/>
        <v>0</v>
      </c>
      <c r="DA190" s="241">
        <f t="shared" si="304"/>
        <v>0</v>
      </c>
      <c r="DB190" s="193"/>
    </row>
    <row r="191" spans="1:106">
      <c r="A191" s="226">
        <f>+A188+1</f>
        <v>11</v>
      </c>
      <c r="B191" s="227">
        <f>B188+1</f>
        <v>173</v>
      </c>
      <c r="C191" s="226"/>
      <c r="D191" s="226" t="s">
        <v>3864</v>
      </c>
      <c r="E191" s="234">
        <f t="shared" si="272"/>
        <v>25</v>
      </c>
      <c r="F191" s="234">
        <f t="shared" si="273"/>
        <v>25</v>
      </c>
      <c r="G191" s="235">
        <f t="shared" si="274"/>
        <v>0</v>
      </c>
      <c r="H191" s="235">
        <f t="shared" si="275"/>
        <v>0</v>
      </c>
      <c r="I191" s="235">
        <f t="shared" si="276"/>
        <v>0</v>
      </c>
      <c r="J191" s="235">
        <f t="shared" si="277"/>
        <v>0</v>
      </c>
      <c r="K191" s="235">
        <f t="shared" si="278"/>
        <v>0</v>
      </c>
      <c r="L191" s="241">
        <f t="shared" si="279"/>
        <v>0</v>
      </c>
      <c r="M191" s="235">
        <f t="shared" si="280"/>
        <v>0</v>
      </c>
      <c r="N191" s="235">
        <f t="shared" si="281"/>
        <v>0</v>
      </c>
      <c r="O191" s="241">
        <f t="shared" si="282"/>
        <v>0</v>
      </c>
      <c r="P191" s="235">
        <f t="shared" ref="P191:U191" si="326">ROUND(P74/1000,0)</f>
        <v>0</v>
      </c>
      <c r="Q191" s="235">
        <f t="shared" si="326"/>
        <v>0</v>
      </c>
      <c r="R191" s="235">
        <f t="shared" si="326"/>
        <v>0</v>
      </c>
      <c r="S191" s="235">
        <f t="shared" si="326"/>
        <v>0</v>
      </c>
      <c r="T191" s="235">
        <f t="shared" si="326"/>
        <v>0</v>
      </c>
      <c r="U191" s="235">
        <f t="shared" si="326"/>
        <v>0</v>
      </c>
      <c r="V191" s="234">
        <f t="shared" si="284"/>
        <v>0</v>
      </c>
      <c r="W191" s="235">
        <f t="shared" si="285"/>
        <v>0</v>
      </c>
      <c r="X191" s="235">
        <f t="shared" si="286"/>
        <v>0</v>
      </c>
      <c r="Y191" s="241">
        <f t="shared" si="287"/>
        <v>0</v>
      </c>
      <c r="Z191" s="235">
        <f t="shared" si="288"/>
        <v>0</v>
      </c>
      <c r="AA191" s="235">
        <f t="shared" si="289"/>
        <v>0</v>
      </c>
      <c r="AB191" s="241">
        <f t="shared" si="290"/>
        <v>0</v>
      </c>
      <c r="AC191" s="235">
        <f t="shared" ref="AC191:AK191" si="327">ROUND(AC74/1000,0)</f>
        <v>0</v>
      </c>
      <c r="AD191" s="235">
        <f t="shared" si="327"/>
        <v>0</v>
      </c>
      <c r="AE191" s="235">
        <f t="shared" si="327"/>
        <v>0</v>
      </c>
      <c r="AF191" s="235">
        <f t="shared" si="327"/>
        <v>0</v>
      </c>
      <c r="AG191" s="235">
        <f t="shared" si="327"/>
        <v>0</v>
      </c>
      <c r="AH191" s="235">
        <f t="shared" si="327"/>
        <v>0</v>
      </c>
      <c r="AI191" s="235">
        <f t="shared" si="327"/>
        <v>0</v>
      </c>
      <c r="AJ191" s="235">
        <f t="shared" si="327"/>
        <v>0</v>
      </c>
      <c r="AK191" s="235">
        <f t="shared" si="327"/>
        <v>24</v>
      </c>
      <c r="AL191" s="241">
        <f t="shared" si="292"/>
        <v>24</v>
      </c>
      <c r="AM191" s="235">
        <f t="shared" ref="AM191:CO191" si="328">ROUND(AM74/1000,0)</f>
        <v>0</v>
      </c>
      <c r="AN191" s="235">
        <f t="shared" si="328"/>
        <v>0</v>
      </c>
      <c r="AO191" s="235">
        <f t="shared" si="328"/>
        <v>-4</v>
      </c>
      <c r="AP191" s="235">
        <f t="shared" si="328"/>
        <v>0</v>
      </c>
      <c r="AQ191" s="235">
        <f t="shared" si="328"/>
        <v>0</v>
      </c>
      <c r="AR191" s="235">
        <f t="shared" si="328"/>
        <v>0</v>
      </c>
      <c r="AS191" s="235">
        <f t="shared" si="328"/>
        <v>0</v>
      </c>
      <c r="AT191" s="235">
        <f t="shared" si="328"/>
        <v>0</v>
      </c>
      <c r="AU191" s="235">
        <f t="shared" si="328"/>
        <v>3</v>
      </c>
      <c r="AV191" s="235">
        <f t="shared" si="328"/>
        <v>0</v>
      </c>
      <c r="AW191" s="235">
        <f t="shared" si="328"/>
        <v>0</v>
      </c>
      <c r="AX191" s="235">
        <f t="shared" si="328"/>
        <v>0</v>
      </c>
      <c r="AY191" s="235">
        <f t="shared" si="328"/>
        <v>0</v>
      </c>
      <c r="AZ191" s="235">
        <f t="shared" si="328"/>
        <v>0</v>
      </c>
      <c r="BA191" s="235">
        <f t="shared" si="328"/>
        <v>0</v>
      </c>
      <c r="BB191" s="235">
        <f t="shared" si="328"/>
        <v>0</v>
      </c>
      <c r="BC191" s="235">
        <f t="shared" si="328"/>
        <v>0</v>
      </c>
      <c r="BD191" s="235">
        <f t="shared" si="328"/>
        <v>0</v>
      </c>
      <c r="BE191" s="235">
        <f t="shared" si="328"/>
        <v>0</v>
      </c>
      <c r="BF191" s="235">
        <f t="shared" si="328"/>
        <v>0</v>
      </c>
      <c r="BG191" s="235">
        <f t="shared" si="328"/>
        <v>0</v>
      </c>
      <c r="BH191" s="235">
        <f t="shared" si="328"/>
        <v>0</v>
      </c>
      <c r="BI191" s="235">
        <f t="shared" si="328"/>
        <v>0</v>
      </c>
      <c r="BJ191" s="235">
        <f t="shared" si="328"/>
        <v>0</v>
      </c>
      <c r="BK191" s="235">
        <f t="shared" si="328"/>
        <v>0</v>
      </c>
      <c r="BL191" s="235">
        <f t="shared" si="328"/>
        <v>0</v>
      </c>
      <c r="BM191" s="235">
        <f t="shared" si="328"/>
        <v>0</v>
      </c>
      <c r="BN191" s="235">
        <f t="shared" si="328"/>
        <v>0</v>
      </c>
      <c r="BO191" s="235">
        <f t="shared" si="328"/>
        <v>0</v>
      </c>
      <c r="BP191" s="235">
        <f t="shared" si="328"/>
        <v>0</v>
      </c>
      <c r="BQ191" s="235">
        <f t="shared" si="328"/>
        <v>0</v>
      </c>
      <c r="BR191" s="235">
        <f t="shared" si="328"/>
        <v>0</v>
      </c>
      <c r="BS191" s="235">
        <f t="shared" si="328"/>
        <v>0</v>
      </c>
      <c r="BT191" s="235">
        <f t="shared" si="328"/>
        <v>0</v>
      </c>
      <c r="BU191" s="235">
        <f t="shared" si="328"/>
        <v>0</v>
      </c>
      <c r="BV191" s="235">
        <f t="shared" si="328"/>
        <v>0</v>
      </c>
      <c r="BW191" s="235">
        <f t="shared" si="328"/>
        <v>0</v>
      </c>
      <c r="BX191" s="235">
        <f t="shared" si="328"/>
        <v>0</v>
      </c>
      <c r="BY191" s="235">
        <f t="shared" si="328"/>
        <v>0</v>
      </c>
      <c r="BZ191" s="235">
        <f t="shared" si="328"/>
        <v>0</v>
      </c>
      <c r="CA191" s="235">
        <f t="shared" si="328"/>
        <v>2</v>
      </c>
      <c r="CB191" s="235">
        <f t="shared" si="328"/>
        <v>0</v>
      </c>
      <c r="CC191" s="235">
        <f t="shared" si="328"/>
        <v>0</v>
      </c>
      <c r="CD191" s="235">
        <f t="shared" si="328"/>
        <v>0</v>
      </c>
      <c r="CE191" s="235">
        <f t="shared" si="328"/>
        <v>0</v>
      </c>
      <c r="CF191" s="235">
        <f t="shared" si="328"/>
        <v>0</v>
      </c>
      <c r="CG191" s="235">
        <f t="shared" si="328"/>
        <v>0</v>
      </c>
      <c r="CH191" s="235">
        <f t="shared" si="328"/>
        <v>0</v>
      </c>
      <c r="CI191" s="235">
        <f t="shared" si="328"/>
        <v>0</v>
      </c>
      <c r="CJ191" s="235">
        <f t="shared" si="328"/>
        <v>0</v>
      </c>
      <c r="CK191" s="235">
        <f t="shared" si="328"/>
        <v>0</v>
      </c>
      <c r="CL191" s="235">
        <f t="shared" si="328"/>
        <v>0</v>
      </c>
      <c r="CM191" s="235">
        <f t="shared" si="328"/>
        <v>0</v>
      </c>
      <c r="CN191" s="235">
        <f t="shared" si="328"/>
        <v>0</v>
      </c>
      <c r="CO191" s="235">
        <f t="shared" si="328"/>
        <v>0</v>
      </c>
      <c r="CP191" s="235"/>
      <c r="CQ191" s="241">
        <f t="shared" si="294"/>
        <v>1</v>
      </c>
      <c r="CR191" s="241">
        <f t="shared" si="295"/>
        <v>25</v>
      </c>
      <c r="CS191" s="241">
        <f t="shared" si="296"/>
        <v>0</v>
      </c>
      <c r="CT191" s="246">
        <f t="shared" si="297"/>
        <v>0</v>
      </c>
      <c r="CU191" s="235">
        <f t="shared" si="298"/>
        <v>0</v>
      </c>
      <c r="CV191" s="235">
        <f t="shared" si="299"/>
        <v>0</v>
      </c>
      <c r="CW191" s="249">
        <f t="shared" si="300"/>
        <v>0</v>
      </c>
      <c r="CX191" s="249">
        <f t="shared" si="301"/>
        <v>0</v>
      </c>
      <c r="CY191" s="249">
        <f t="shared" si="302"/>
        <v>0</v>
      </c>
      <c r="CZ191" s="241">
        <f t="shared" si="303"/>
        <v>0</v>
      </c>
      <c r="DA191" s="241">
        <f t="shared" si="304"/>
        <v>0</v>
      </c>
      <c r="DB191" s="193" t="s">
        <v>3864</v>
      </c>
    </row>
    <row r="192" spans="1:106">
      <c r="A192" s="226">
        <f>+A191+1</f>
        <v>12</v>
      </c>
      <c r="B192" s="227">
        <f>B191+1</f>
        <v>174</v>
      </c>
      <c r="C192" s="226"/>
      <c r="D192" s="226" t="str">
        <f>IF(D75="","",D75)</f>
        <v>Settlement or one time expenses</v>
      </c>
      <c r="E192" s="234">
        <f t="shared" si="272"/>
        <v>0</v>
      </c>
      <c r="F192" s="234">
        <f t="shared" si="273"/>
        <v>0</v>
      </c>
      <c r="G192" s="235">
        <f t="shared" si="274"/>
        <v>0</v>
      </c>
      <c r="H192" s="235">
        <f t="shared" si="275"/>
        <v>0</v>
      </c>
      <c r="I192" s="235">
        <f t="shared" si="276"/>
        <v>0</v>
      </c>
      <c r="J192" s="235">
        <f t="shared" si="277"/>
        <v>0</v>
      </c>
      <c r="K192" s="235">
        <f t="shared" si="278"/>
        <v>0</v>
      </c>
      <c r="L192" s="241">
        <f t="shared" si="279"/>
        <v>0</v>
      </c>
      <c r="M192" s="235">
        <f t="shared" si="280"/>
        <v>0</v>
      </c>
      <c r="N192" s="235">
        <f t="shared" si="281"/>
        <v>0</v>
      </c>
      <c r="O192" s="241">
        <f t="shared" si="282"/>
        <v>0</v>
      </c>
      <c r="P192" s="235">
        <f t="shared" ref="P192:U192" si="329">ROUND(P75/1000,0)</f>
        <v>0</v>
      </c>
      <c r="Q192" s="235">
        <f t="shared" si="329"/>
        <v>0</v>
      </c>
      <c r="R192" s="235">
        <f t="shared" si="329"/>
        <v>0</v>
      </c>
      <c r="S192" s="235">
        <f t="shared" si="329"/>
        <v>0</v>
      </c>
      <c r="T192" s="235">
        <f t="shared" si="329"/>
        <v>0</v>
      </c>
      <c r="U192" s="235">
        <f t="shared" si="329"/>
        <v>0</v>
      </c>
      <c r="V192" s="234">
        <f t="shared" si="284"/>
        <v>0</v>
      </c>
      <c r="W192" s="235">
        <f t="shared" si="285"/>
        <v>0</v>
      </c>
      <c r="X192" s="235">
        <f t="shared" si="286"/>
        <v>0</v>
      </c>
      <c r="Y192" s="241">
        <f t="shared" si="287"/>
        <v>0</v>
      </c>
      <c r="Z192" s="235">
        <f t="shared" si="288"/>
        <v>0</v>
      </c>
      <c r="AA192" s="235">
        <f t="shared" si="289"/>
        <v>0</v>
      </c>
      <c r="AB192" s="241">
        <f t="shared" si="290"/>
        <v>0</v>
      </c>
      <c r="AC192" s="235">
        <f t="shared" ref="AC192:AK192" si="330">ROUND(AC75/1000,0)</f>
        <v>0</v>
      </c>
      <c r="AD192" s="235">
        <f t="shared" si="330"/>
        <v>0</v>
      </c>
      <c r="AE192" s="235">
        <f t="shared" si="330"/>
        <v>0</v>
      </c>
      <c r="AF192" s="235">
        <f t="shared" si="330"/>
        <v>0</v>
      </c>
      <c r="AG192" s="235">
        <f t="shared" si="330"/>
        <v>0</v>
      </c>
      <c r="AH192" s="235">
        <f t="shared" si="330"/>
        <v>0</v>
      </c>
      <c r="AI192" s="235">
        <f t="shared" si="330"/>
        <v>0</v>
      </c>
      <c r="AJ192" s="235">
        <f t="shared" si="330"/>
        <v>0</v>
      </c>
      <c r="AK192" s="235">
        <f t="shared" si="330"/>
        <v>0</v>
      </c>
      <c r="AL192" s="241">
        <f t="shared" si="292"/>
        <v>0</v>
      </c>
      <c r="AM192" s="235">
        <f t="shared" ref="AM192:CO192" si="331">ROUND(AM75/1000,0)</f>
        <v>0</v>
      </c>
      <c r="AN192" s="235">
        <f t="shared" si="331"/>
        <v>0</v>
      </c>
      <c r="AO192" s="235">
        <f t="shared" si="331"/>
        <v>0</v>
      </c>
      <c r="AP192" s="235">
        <f t="shared" si="331"/>
        <v>0</v>
      </c>
      <c r="AQ192" s="235">
        <f t="shared" si="331"/>
        <v>0</v>
      </c>
      <c r="AR192" s="235">
        <f t="shared" si="331"/>
        <v>0</v>
      </c>
      <c r="AS192" s="235">
        <f t="shared" si="331"/>
        <v>0</v>
      </c>
      <c r="AT192" s="235">
        <f t="shared" si="331"/>
        <v>0</v>
      </c>
      <c r="AU192" s="235">
        <f t="shared" si="331"/>
        <v>0</v>
      </c>
      <c r="AV192" s="235">
        <f t="shared" si="331"/>
        <v>0</v>
      </c>
      <c r="AW192" s="235">
        <f t="shared" si="331"/>
        <v>0</v>
      </c>
      <c r="AX192" s="235">
        <f t="shared" si="331"/>
        <v>0</v>
      </c>
      <c r="AY192" s="235">
        <f t="shared" si="331"/>
        <v>0</v>
      </c>
      <c r="AZ192" s="235">
        <f t="shared" si="331"/>
        <v>0</v>
      </c>
      <c r="BA192" s="235">
        <f t="shared" si="331"/>
        <v>0</v>
      </c>
      <c r="BB192" s="235">
        <f t="shared" si="331"/>
        <v>0</v>
      </c>
      <c r="BC192" s="235">
        <f t="shared" si="331"/>
        <v>0</v>
      </c>
      <c r="BD192" s="235">
        <f t="shared" si="331"/>
        <v>0</v>
      </c>
      <c r="BE192" s="235">
        <f t="shared" si="331"/>
        <v>0</v>
      </c>
      <c r="BF192" s="235">
        <f t="shared" si="331"/>
        <v>0</v>
      </c>
      <c r="BG192" s="235">
        <f t="shared" si="331"/>
        <v>0</v>
      </c>
      <c r="BH192" s="235">
        <f t="shared" si="331"/>
        <v>0</v>
      </c>
      <c r="BI192" s="235">
        <f t="shared" si="331"/>
        <v>0</v>
      </c>
      <c r="BJ192" s="235">
        <f t="shared" si="331"/>
        <v>0</v>
      </c>
      <c r="BK192" s="235">
        <f t="shared" si="331"/>
        <v>0</v>
      </c>
      <c r="BL192" s="235">
        <f t="shared" si="331"/>
        <v>0</v>
      </c>
      <c r="BM192" s="235">
        <f t="shared" si="331"/>
        <v>0</v>
      </c>
      <c r="BN192" s="235">
        <f t="shared" si="331"/>
        <v>0</v>
      </c>
      <c r="BO192" s="235">
        <f t="shared" si="331"/>
        <v>0</v>
      </c>
      <c r="BP192" s="235">
        <f t="shared" si="331"/>
        <v>0</v>
      </c>
      <c r="BQ192" s="235">
        <f t="shared" si="331"/>
        <v>0</v>
      </c>
      <c r="BR192" s="235">
        <f t="shared" si="331"/>
        <v>0</v>
      </c>
      <c r="BS192" s="235">
        <f t="shared" si="331"/>
        <v>0</v>
      </c>
      <c r="BT192" s="235">
        <f t="shared" si="331"/>
        <v>0</v>
      </c>
      <c r="BU192" s="235">
        <f t="shared" si="331"/>
        <v>0</v>
      </c>
      <c r="BV192" s="235">
        <f t="shared" si="331"/>
        <v>0</v>
      </c>
      <c r="BW192" s="235">
        <f t="shared" si="331"/>
        <v>0</v>
      </c>
      <c r="BX192" s="235">
        <f t="shared" si="331"/>
        <v>0</v>
      </c>
      <c r="BY192" s="235">
        <f t="shared" si="331"/>
        <v>0</v>
      </c>
      <c r="BZ192" s="235">
        <f t="shared" si="331"/>
        <v>0</v>
      </c>
      <c r="CA192" s="235">
        <f t="shared" si="331"/>
        <v>0</v>
      </c>
      <c r="CB192" s="235">
        <f t="shared" si="331"/>
        <v>0</v>
      </c>
      <c r="CC192" s="235">
        <f t="shared" si="331"/>
        <v>0</v>
      </c>
      <c r="CD192" s="235">
        <f t="shared" si="331"/>
        <v>0</v>
      </c>
      <c r="CE192" s="235">
        <f t="shared" si="331"/>
        <v>0</v>
      </c>
      <c r="CF192" s="235">
        <f t="shared" si="331"/>
        <v>0</v>
      </c>
      <c r="CG192" s="235">
        <f t="shared" si="331"/>
        <v>0</v>
      </c>
      <c r="CH192" s="235">
        <f t="shared" si="331"/>
        <v>0</v>
      </c>
      <c r="CI192" s="235">
        <f t="shared" si="331"/>
        <v>0</v>
      </c>
      <c r="CJ192" s="235">
        <f t="shared" si="331"/>
        <v>0</v>
      </c>
      <c r="CK192" s="235">
        <f t="shared" si="331"/>
        <v>0</v>
      </c>
      <c r="CL192" s="235">
        <f t="shared" si="331"/>
        <v>0</v>
      </c>
      <c r="CM192" s="235">
        <f t="shared" si="331"/>
        <v>0</v>
      </c>
      <c r="CN192" s="235">
        <f t="shared" si="331"/>
        <v>0</v>
      </c>
      <c r="CO192" s="235">
        <f t="shared" si="331"/>
        <v>0</v>
      </c>
      <c r="CP192" s="235"/>
      <c r="CQ192" s="241">
        <f t="shared" si="294"/>
        <v>0</v>
      </c>
      <c r="CR192" s="241">
        <f t="shared" si="295"/>
        <v>0</v>
      </c>
      <c r="CS192" s="241">
        <f t="shared" si="296"/>
        <v>0</v>
      </c>
      <c r="CT192" s="246">
        <f t="shared" si="297"/>
        <v>0</v>
      </c>
      <c r="CU192" s="235">
        <f t="shared" si="298"/>
        <v>0</v>
      </c>
      <c r="CV192" s="235">
        <f t="shared" si="299"/>
        <v>0</v>
      </c>
      <c r="CW192" s="249">
        <f t="shared" si="300"/>
        <v>0</v>
      </c>
      <c r="CX192" s="249">
        <f t="shared" si="301"/>
        <v>0</v>
      </c>
      <c r="CY192" s="249">
        <f t="shared" si="302"/>
        <v>0</v>
      </c>
      <c r="CZ192" s="241">
        <f t="shared" si="303"/>
        <v>0</v>
      </c>
      <c r="DA192" s="241">
        <f t="shared" si="304"/>
        <v>0</v>
      </c>
      <c r="DB192" s="193" t="s">
        <v>13919</v>
      </c>
    </row>
    <row r="193" spans="1:106">
      <c r="A193" s="226">
        <f>+A192+1</f>
        <v>13</v>
      </c>
      <c r="B193" s="227">
        <f>B192+1</f>
        <v>175</v>
      </c>
      <c r="C193" s="226"/>
      <c r="D193" s="226" t="str">
        <f>IF(D76="","",D76)</f>
        <v>Remodel &amp; IE - Add Back</v>
      </c>
      <c r="E193" s="234">
        <f t="shared" si="272"/>
        <v>0</v>
      </c>
      <c r="F193" s="234">
        <f t="shared" si="273"/>
        <v>0</v>
      </c>
      <c r="G193" s="235">
        <f t="shared" si="274"/>
        <v>0</v>
      </c>
      <c r="H193" s="235">
        <f t="shared" si="275"/>
        <v>0</v>
      </c>
      <c r="I193" s="235">
        <f t="shared" si="276"/>
        <v>0</v>
      </c>
      <c r="J193" s="235">
        <f t="shared" si="277"/>
        <v>0</v>
      </c>
      <c r="K193" s="235">
        <f t="shared" si="278"/>
        <v>0</v>
      </c>
      <c r="L193" s="241">
        <f t="shared" si="279"/>
        <v>0</v>
      </c>
      <c r="M193" s="235">
        <f t="shared" si="280"/>
        <v>0</v>
      </c>
      <c r="N193" s="235">
        <f t="shared" si="281"/>
        <v>0</v>
      </c>
      <c r="O193" s="241">
        <f t="shared" si="282"/>
        <v>0</v>
      </c>
      <c r="P193" s="235">
        <f t="shared" ref="P193:U193" si="332">ROUND(P76/1000,0)</f>
        <v>0</v>
      </c>
      <c r="Q193" s="235">
        <f t="shared" si="332"/>
        <v>0</v>
      </c>
      <c r="R193" s="235">
        <f t="shared" si="332"/>
        <v>0</v>
      </c>
      <c r="S193" s="235">
        <f t="shared" si="332"/>
        <v>0</v>
      </c>
      <c r="T193" s="235">
        <f t="shared" si="332"/>
        <v>0</v>
      </c>
      <c r="U193" s="235">
        <f t="shared" si="332"/>
        <v>0</v>
      </c>
      <c r="V193" s="234">
        <f t="shared" si="284"/>
        <v>0</v>
      </c>
      <c r="W193" s="235">
        <f t="shared" si="285"/>
        <v>0</v>
      </c>
      <c r="X193" s="235">
        <f t="shared" si="286"/>
        <v>0</v>
      </c>
      <c r="Y193" s="241">
        <f t="shared" si="287"/>
        <v>0</v>
      </c>
      <c r="Z193" s="235">
        <f t="shared" si="288"/>
        <v>0</v>
      </c>
      <c r="AA193" s="235">
        <f t="shared" si="289"/>
        <v>0</v>
      </c>
      <c r="AB193" s="241">
        <f t="shared" si="290"/>
        <v>0</v>
      </c>
      <c r="AC193" s="235">
        <f t="shared" ref="AC193:AK193" si="333">ROUND(AC76/1000,0)</f>
        <v>0</v>
      </c>
      <c r="AD193" s="235">
        <f t="shared" si="333"/>
        <v>0</v>
      </c>
      <c r="AE193" s="235">
        <f t="shared" si="333"/>
        <v>0</v>
      </c>
      <c r="AF193" s="235">
        <f t="shared" si="333"/>
        <v>0</v>
      </c>
      <c r="AG193" s="235">
        <f t="shared" si="333"/>
        <v>0</v>
      </c>
      <c r="AH193" s="235">
        <f t="shared" si="333"/>
        <v>0</v>
      </c>
      <c r="AI193" s="235">
        <f t="shared" si="333"/>
        <v>0</v>
      </c>
      <c r="AJ193" s="235">
        <f t="shared" si="333"/>
        <v>0</v>
      </c>
      <c r="AK193" s="235">
        <f t="shared" si="333"/>
        <v>0</v>
      </c>
      <c r="AL193" s="241">
        <f t="shared" si="292"/>
        <v>0</v>
      </c>
      <c r="AM193" s="235">
        <f t="shared" ref="AM193:CO193" si="334">ROUND(AM76/1000,0)</f>
        <v>0</v>
      </c>
      <c r="AN193" s="235">
        <f t="shared" si="334"/>
        <v>0</v>
      </c>
      <c r="AO193" s="235">
        <f t="shared" si="334"/>
        <v>0</v>
      </c>
      <c r="AP193" s="235">
        <f t="shared" si="334"/>
        <v>0</v>
      </c>
      <c r="AQ193" s="235">
        <f t="shared" si="334"/>
        <v>0</v>
      </c>
      <c r="AR193" s="235">
        <f t="shared" si="334"/>
        <v>0</v>
      </c>
      <c r="AS193" s="235">
        <f t="shared" si="334"/>
        <v>0</v>
      </c>
      <c r="AT193" s="235">
        <f t="shared" si="334"/>
        <v>0</v>
      </c>
      <c r="AU193" s="235">
        <f t="shared" si="334"/>
        <v>0</v>
      </c>
      <c r="AV193" s="235">
        <f t="shared" si="334"/>
        <v>0</v>
      </c>
      <c r="AW193" s="235">
        <f t="shared" si="334"/>
        <v>0</v>
      </c>
      <c r="AX193" s="235">
        <f t="shared" si="334"/>
        <v>0</v>
      </c>
      <c r="AY193" s="235">
        <f t="shared" si="334"/>
        <v>0</v>
      </c>
      <c r="AZ193" s="235">
        <f t="shared" si="334"/>
        <v>0</v>
      </c>
      <c r="BA193" s="235">
        <f t="shared" si="334"/>
        <v>0</v>
      </c>
      <c r="BB193" s="235">
        <f t="shared" si="334"/>
        <v>0</v>
      </c>
      <c r="BC193" s="235">
        <f t="shared" si="334"/>
        <v>0</v>
      </c>
      <c r="BD193" s="235">
        <f t="shared" si="334"/>
        <v>0</v>
      </c>
      <c r="BE193" s="235">
        <f t="shared" si="334"/>
        <v>0</v>
      </c>
      <c r="BF193" s="235">
        <f t="shared" si="334"/>
        <v>0</v>
      </c>
      <c r="BG193" s="235">
        <f t="shared" si="334"/>
        <v>0</v>
      </c>
      <c r="BH193" s="235">
        <f t="shared" si="334"/>
        <v>0</v>
      </c>
      <c r="BI193" s="235">
        <f t="shared" si="334"/>
        <v>0</v>
      </c>
      <c r="BJ193" s="235">
        <f t="shared" si="334"/>
        <v>0</v>
      </c>
      <c r="BK193" s="235">
        <f t="shared" si="334"/>
        <v>0</v>
      </c>
      <c r="BL193" s="235">
        <f t="shared" si="334"/>
        <v>0</v>
      </c>
      <c r="BM193" s="235">
        <f t="shared" si="334"/>
        <v>0</v>
      </c>
      <c r="BN193" s="235">
        <f t="shared" si="334"/>
        <v>0</v>
      </c>
      <c r="BO193" s="235">
        <f t="shared" si="334"/>
        <v>0</v>
      </c>
      <c r="BP193" s="235">
        <f t="shared" si="334"/>
        <v>0</v>
      </c>
      <c r="BQ193" s="235">
        <f t="shared" si="334"/>
        <v>0</v>
      </c>
      <c r="BR193" s="235">
        <f t="shared" si="334"/>
        <v>0</v>
      </c>
      <c r="BS193" s="235">
        <f t="shared" si="334"/>
        <v>0</v>
      </c>
      <c r="BT193" s="235">
        <f t="shared" si="334"/>
        <v>0</v>
      </c>
      <c r="BU193" s="235">
        <f t="shared" si="334"/>
        <v>0</v>
      </c>
      <c r="BV193" s="235">
        <f t="shared" si="334"/>
        <v>0</v>
      </c>
      <c r="BW193" s="235">
        <f t="shared" si="334"/>
        <v>0</v>
      </c>
      <c r="BX193" s="235">
        <f t="shared" si="334"/>
        <v>0</v>
      </c>
      <c r="BY193" s="235">
        <f t="shared" si="334"/>
        <v>0</v>
      </c>
      <c r="BZ193" s="235">
        <f t="shared" si="334"/>
        <v>0</v>
      </c>
      <c r="CA193" s="235">
        <f t="shared" si="334"/>
        <v>0</v>
      </c>
      <c r="CB193" s="235">
        <f t="shared" si="334"/>
        <v>0</v>
      </c>
      <c r="CC193" s="235">
        <f t="shared" si="334"/>
        <v>0</v>
      </c>
      <c r="CD193" s="235">
        <f t="shared" si="334"/>
        <v>0</v>
      </c>
      <c r="CE193" s="235">
        <f t="shared" si="334"/>
        <v>0</v>
      </c>
      <c r="CF193" s="235">
        <f t="shared" si="334"/>
        <v>0</v>
      </c>
      <c r="CG193" s="235">
        <f t="shared" si="334"/>
        <v>0</v>
      </c>
      <c r="CH193" s="235">
        <f t="shared" si="334"/>
        <v>0</v>
      </c>
      <c r="CI193" s="235">
        <f t="shared" si="334"/>
        <v>0</v>
      </c>
      <c r="CJ193" s="235">
        <f t="shared" si="334"/>
        <v>0</v>
      </c>
      <c r="CK193" s="235">
        <f t="shared" si="334"/>
        <v>0</v>
      </c>
      <c r="CL193" s="235">
        <f t="shared" si="334"/>
        <v>0</v>
      </c>
      <c r="CM193" s="235">
        <f t="shared" si="334"/>
        <v>0</v>
      </c>
      <c r="CN193" s="235">
        <f t="shared" si="334"/>
        <v>0</v>
      </c>
      <c r="CO193" s="235">
        <f t="shared" si="334"/>
        <v>0</v>
      </c>
      <c r="CP193" s="235"/>
      <c r="CQ193" s="241">
        <f t="shared" si="294"/>
        <v>0</v>
      </c>
      <c r="CR193" s="241">
        <f t="shared" si="295"/>
        <v>0</v>
      </c>
      <c r="CS193" s="241">
        <f t="shared" si="296"/>
        <v>0</v>
      </c>
      <c r="CT193" s="246">
        <f t="shared" si="297"/>
        <v>0</v>
      </c>
      <c r="CU193" s="235">
        <f t="shared" si="298"/>
        <v>0</v>
      </c>
      <c r="CV193" s="235">
        <f t="shared" si="299"/>
        <v>0</v>
      </c>
      <c r="CW193" s="249">
        <f t="shared" si="300"/>
        <v>0</v>
      </c>
      <c r="CX193" s="249">
        <f t="shared" si="301"/>
        <v>0</v>
      </c>
      <c r="CY193" s="249">
        <f t="shared" si="302"/>
        <v>0</v>
      </c>
      <c r="CZ193" s="241">
        <f t="shared" si="303"/>
        <v>0</v>
      </c>
      <c r="DA193" s="241">
        <f t="shared" si="304"/>
        <v>0</v>
      </c>
      <c r="DB193" s="193" t="s">
        <v>13920</v>
      </c>
    </row>
    <row r="194" spans="1:106">
      <c r="A194" s="226">
        <f>+A193+1</f>
        <v>14</v>
      </c>
      <c r="B194" s="227">
        <f>B193+1</f>
        <v>176</v>
      </c>
      <c r="C194" s="226"/>
      <c r="D194" s="226" t="str">
        <f>IF(D77="","",D77)</f>
        <v>New Product - Add Back</v>
      </c>
      <c r="E194" s="234">
        <f t="shared" si="272"/>
        <v>0</v>
      </c>
      <c r="F194" s="234">
        <f t="shared" si="273"/>
        <v>0</v>
      </c>
      <c r="G194" s="235">
        <f t="shared" si="274"/>
        <v>0</v>
      </c>
      <c r="H194" s="235">
        <f t="shared" si="275"/>
        <v>0</v>
      </c>
      <c r="I194" s="235">
        <f t="shared" si="276"/>
        <v>0</v>
      </c>
      <c r="J194" s="235">
        <f t="shared" si="277"/>
        <v>0</v>
      </c>
      <c r="K194" s="235">
        <f t="shared" si="278"/>
        <v>0</v>
      </c>
      <c r="L194" s="241">
        <f t="shared" si="279"/>
        <v>0</v>
      </c>
      <c r="M194" s="235">
        <f t="shared" si="280"/>
        <v>0</v>
      </c>
      <c r="N194" s="235">
        <f t="shared" si="281"/>
        <v>0</v>
      </c>
      <c r="O194" s="241">
        <f t="shared" si="282"/>
        <v>0</v>
      </c>
      <c r="P194" s="235">
        <f t="shared" ref="P194:U194" si="335">ROUND(P77/1000,0)</f>
        <v>0</v>
      </c>
      <c r="Q194" s="235">
        <f t="shared" si="335"/>
        <v>0</v>
      </c>
      <c r="R194" s="235">
        <f t="shared" si="335"/>
        <v>0</v>
      </c>
      <c r="S194" s="235">
        <f t="shared" si="335"/>
        <v>0</v>
      </c>
      <c r="T194" s="235">
        <f t="shared" si="335"/>
        <v>0</v>
      </c>
      <c r="U194" s="235">
        <f t="shared" si="335"/>
        <v>0</v>
      </c>
      <c r="V194" s="234">
        <f t="shared" si="284"/>
        <v>0</v>
      </c>
      <c r="W194" s="235">
        <f t="shared" si="285"/>
        <v>0</v>
      </c>
      <c r="X194" s="235">
        <f t="shared" si="286"/>
        <v>0</v>
      </c>
      <c r="Y194" s="241">
        <f t="shared" si="287"/>
        <v>0</v>
      </c>
      <c r="Z194" s="235">
        <f t="shared" si="288"/>
        <v>0</v>
      </c>
      <c r="AA194" s="235">
        <f t="shared" si="289"/>
        <v>0</v>
      </c>
      <c r="AB194" s="241">
        <f t="shared" si="290"/>
        <v>0</v>
      </c>
      <c r="AC194" s="235">
        <f t="shared" ref="AC194:AK194" si="336">ROUND(AC77/1000,0)</f>
        <v>0</v>
      </c>
      <c r="AD194" s="235">
        <f t="shared" si="336"/>
        <v>0</v>
      </c>
      <c r="AE194" s="235">
        <f t="shared" si="336"/>
        <v>0</v>
      </c>
      <c r="AF194" s="235">
        <f t="shared" si="336"/>
        <v>0</v>
      </c>
      <c r="AG194" s="235">
        <f t="shared" si="336"/>
        <v>0</v>
      </c>
      <c r="AH194" s="235">
        <f t="shared" si="336"/>
        <v>0</v>
      </c>
      <c r="AI194" s="235">
        <f t="shared" si="336"/>
        <v>0</v>
      </c>
      <c r="AJ194" s="235">
        <f t="shared" si="336"/>
        <v>0</v>
      </c>
      <c r="AK194" s="235">
        <f t="shared" si="336"/>
        <v>0</v>
      </c>
      <c r="AL194" s="241">
        <f t="shared" si="292"/>
        <v>0</v>
      </c>
      <c r="AM194" s="235">
        <f t="shared" ref="AM194:CO194" si="337">ROUND(AM77/1000,0)</f>
        <v>0</v>
      </c>
      <c r="AN194" s="235">
        <f t="shared" si="337"/>
        <v>0</v>
      </c>
      <c r="AO194" s="235">
        <f t="shared" si="337"/>
        <v>0</v>
      </c>
      <c r="AP194" s="235">
        <f t="shared" si="337"/>
        <v>0</v>
      </c>
      <c r="AQ194" s="235">
        <f t="shared" si="337"/>
        <v>0</v>
      </c>
      <c r="AR194" s="235">
        <f t="shared" si="337"/>
        <v>0</v>
      </c>
      <c r="AS194" s="235">
        <f t="shared" si="337"/>
        <v>0</v>
      </c>
      <c r="AT194" s="235">
        <f t="shared" si="337"/>
        <v>0</v>
      </c>
      <c r="AU194" s="235">
        <f t="shared" si="337"/>
        <v>0</v>
      </c>
      <c r="AV194" s="235">
        <f t="shared" si="337"/>
        <v>0</v>
      </c>
      <c r="AW194" s="235">
        <f t="shared" si="337"/>
        <v>0</v>
      </c>
      <c r="AX194" s="235">
        <f t="shared" si="337"/>
        <v>0</v>
      </c>
      <c r="AY194" s="235">
        <f t="shared" si="337"/>
        <v>0</v>
      </c>
      <c r="AZ194" s="235">
        <f t="shared" si="337"/>
        <v>0</v>
      </c>
      <c r="BA194" s="235">
        <f t="shared" si="337"/>
        <v>0</v>
      </c>
      <c r="BB194" s="235">
        <f t="shared" si="337"/>
        <v>0</v>
      </c>
      <c r="BC194" s="235">
        <f t="shared" si="337"/>
        <v>0</v>
      </c>
      <c r="BD194" s="235">
        <f t="shared" si="337"/>
        <v>0</v>
      </c>
      <c r="BE194" s="235">
        <f t="shared" si="337"/>
        <v>0</v>
      </c>
      <c r="BF194" s="235">
        <f t="shared" si="337"/>
        <v>0</v>
      </c>
      <c r="BG194" s="235">
        <f t="shared" si="337"/>
        <v>0</v>
      </c>
      <c r="BH194" s="235">
        <f t="shared" si="337"/>
        <v>0</v>
      </c>
      <c r="BI194" s="235">
        <f t="shared" si="337"/>
        <v>0</v>
      </c>
      <c r="BJ194" s="235">
        <f t="shared" si="337"/>
        <v>0</v>
      </c>
      <c r="BK194" s="235">
        <f t="shared" si="337"/>
        <v>0</v>
      </c>
      <c r="BL194" s="235">
        <f t="shared" si="337"/>
        <v>0</v>
      </c>
      <c r="BM194" s="235">
        <f t="shared" si="337"/>
        <v>0</v>
      </c>
      <c r="BN194" s="235">
        <f t="shared" si="337"/>
        <v>0</v>
      </c>
      <c r="BO194" s="235">
        <f t="shared" si="337"/>
        <v>0</v>
      </c>
      <c r="BP194" s="235">
        <f t="shared" si="337"/>
        <v>0</v>
      </c>
      <c r="BQ194" s="235">
        <f t="shared" si="337"/>
        <v>0</v>
      </c>
      <c r="BR194" s="235">
        <f t="shared" si="337"/>
        <v>0</v>
      </c>
      <c r="BS194" s="235">
        <f t="shared" si="337"/>
        <v>0</v>
      </c>
      <c r="BT194" s="235">
        <f t="shared" si="337"/>
        <v>0</v>
      </c>
      <c r="BU194" s="235">
        <f t="shared" si="337"/>
        <v>0</v>
      </c>
      <c r="BV194" s="235">
        <f t="shared" si="337"/>
        <v>0</v>
      </c>
      <c r="BW194" s="235">
        <f t="shared" si="337"/>
        <v>0</v>
      </c>
      <c r="BX194" s="235">
        <f t="shared" si="337"/>
        <v>0</v>
      </c>
      <c r="BY194" s="235">
        <f t="shared" si="337"/>
        <v>0</v>
      </c>
      <c r="BZ194" s="235">
        <f t="shared" si="337"/>
        <v>0</v>
      </c>
      <c r="CA194" s="235">
        <f t="shared" si="337"/>
        <v>0</v>
      </c>
      <c r="CB194" s="235">
        <f t="shared" si="337"/>
        <v>0</v>
      </c>
      <c r="CC194" s="235">
        <f t="shared" si="337"/>
        <v>0</v>
      </c>
      <c r="CD194" s="235">
        <f t="shared" si="337"/>
        <v>0</v>
      </c>
      <c r="CE194" s="235">
        <f t="shared" si="337"/>
        <v>0</v>
      </c>
      <c r="CF194" s="235">
        <f t="shared" si="337"/>
        <v>0</v>
      </c>
      <c r="CG194" s="235">
        <f t="shared" si="337"/>
        <v>0</v>
      </c>
      <c r="CH194" s="235">
        <f t="shared" si="337"/>
        <v>0</v>
      </c>
      <c r="CI194" s="235">
        <f t="shared" si="337"/>
        <v>0</v>
      </c>
      <c r="CJ194" s="235">
        <f t="shared" si="337"/>
        <v>0</v>
      </c>
      <c r="CK194" s="235">
        <f t="shared" si="337"/>
        <v>0</v>
      </c>
      <c r="CL194" s="235">
        <f t="shared" si="337"/>
        <v>0</v>
      </c>
      <c r="CM194" s="235">
        <f t="shared" si="337"/>
        <v>0</v>
      </c>
      <c r="CN194" s="235">
        <f t="shared" si="337"/>
        <v>0</v>
      </c>
      <c r="CO194" s="235">
        <f t="shared" si="337"/>
        <v>0</v>
      </c>
      <c r="CP194" s="235"/>
      <c r="CQ194" s="241">
        <f t="shared" si="294"/>
        <v>0</v>
      </c>
      <c r="CR194" s="241">
        <f t="shared" si="295"/>
        <v>0</v>
      </c>
      <c r="CS194" s="241">
        <f t="shared" si="296"/>
        <v>0</v>
      </c>
      <c r="CT194" s="246">
        <f t="shared" si="297"/>
        <v>0</v>
      </c>
      <c r="CU194" s="235">
        <f t="shared" si="298"/>
        <v>0</v>
      </c>
      <c r="CV194" s="235">
        <f t="shared" si="299"/>
        <v>0</v>
      </c>
      <c r="CW194" s="249">
        <f t="shared" si="300"/>
        <v>0</v>
      </c>
      <c r="CX194" s="249">
        <f t="shared" si="301"/>
        <v>0</v>
      </c>
      <c r="CY194" s="249">
        <f t="shared" si="302"/>
        <v>0</v>
      </c>
      <c r="CZ194" s="241">
        <f t="shared" si="303"/>
        <v>0</v>
      </c>
      <c r="DA194" s="241">
        <f t="shared" si="304"/>
        <v>0</v>
      </c>
      <c r="DB194" s="193" t="s">
        <v>13921</v>
      </c>
    </row>
    <row r="195" spans="1:106">
      <c r="A195" s="226">
        <f>+A194+1</f>
        <v>15</v>
      </c>
      <c r="B195" s="227">
        <f>B194+1</f>
        <v>177</v>
      </c>
      <c r="C195" s="226"/>
      <c r="D195" s="226" t="str">
        <f>IF(D78="","",D78)</f>
        <v>New Store Cost - Add Back</v>
      </c>
      <c r="E195" s="234">
        <f t="shared" si="272"/>
        <v>0</v>
      </c>
      <c r="F195" s="234">
        <f t="shared" si="273"/>
        <v>0</v>
      </c>
      <c r="G195" s="235">
        <f t="shared" si="274"/>
        <v>0</v>
      </c>
      <c r="H195" s="235">
        <f t="shared" si="275"/>
        <v>0</v>
      </c>
      <c r="I195" s="235">
        <f t="shared" si="276"/>
        <v>0</v>
      </c>
      <c r="J195" s="235">
        <f t="shared" si="277"/>
        <v>0</v>
      </c>
      <c r="K195" s="235">
        <f t="shared" si="278"/>
        <v>0</v>
      </c>
      <c r="L195" s="241">
        <f t="shared" si="279"/>
        <v>0</v>
      </c>
      <c r="M195" s="235">
        <f t="shared" si="280"/>
        <v>0</v>
      </c>
      <c r="N195" s="235">
        <f t="shared" si="281"/>
        <v>0</v>
      </c>
      <c r="O195" s="241">
        <f t="shared" si="282"/>
        <v>0</v>
      </c>
      <c r="P195" s="235">
        <f t="shared" ref="P195:U195" si="338">ROUND(P78/1000,0)</f>
        <v>0</v>
      </c>
      <c r="Q195" s="235">
        <f t="shared" si="338"/>
        <v>0</v>
      </c>
      <c r="R195" s="235">
        <f t="shared" si="338"/>
        <v>0</v>
      </c>
      <c r="S195" s="235">
        <f t="shared" si="338"/>
        <v>0</v>
      </c>
      <c r="T195" s="235">
        <f t="shared" si="338"/>
        <v>0</v>
      </c>
      <c r="U195" s="235">
        <f t="shared" si="338"/>
        <v>0</v>
      </c>
      <c r="V195" s="234">
        <f t="shared" si="284"/>
        <v>0</v>
      </c>
      <c r="W195" s="235">
        <f t="shared" si="285"/>
        <v>0</v>
      </c>
      <c r="X195" s="235">
        <f t="shared" si="286"/>
        <v>0</v>
      </c>
      <c r="Y195" s="241">
        <f t="shared" si="287"/>
        <v>0</v>
      </c>
      <c r="Z195" s="235">
        <f t="shared" si="288"/>
        <v>0</v>
      </c>
      <c r="AA195" s="235">
        <f t="shared" si="289"/>
        <v>0</v>
      </c>
      <c r="AB195" s="241">
        <f t="shared" si="290"/>
        <v>0</v>
      </c>
      <c r="AC195" s="235">
        <f t="shared" ref="AC195:AK195" si="339">ROUND(AC78/1000,0)</f>
        <v>0</v>
      </c>
      <c r="AD195" s="235">
        <f t="shared" si="339"/>
        <v>0</v>
      </c>
      <c r="AE195" s="235">
        <f t="shared" si="339"/>
        <v>0</v>
      </c>
      <c r="AF195" s="235">
        <f t="shared" si="339"/>
        <v>0</v>
      </c>
      <c r="AG195" s="235">
        <f t="shared" si="339"/>
        <v>0</v>
      </c>
      <c r="AH195" s="235">
        <f t="shared" si="339"/>
        <v>0</v>
      </c>
      <c r="AI195" s="235">
        <f t="shared" si="339"/>
        <v>0</v>
      </c>
      <c r="AJ195" s="235">
        <f t="shared" si="339"/>
        <v>0</v>
      </c>
      <c r="AK195" s="235">
        <f t="shared" si="339"/>
        <v>0</v>
      </c>
      <c r="AL195" s="241">
        <f t="shared" si="292"/>
        <v>0</v>
      </c>
      <c r="AM195" s="235">
        <f t="shared" ref="AM195:CO195" si="340">ROUND(AM78/1000,0)</f>
        <v>0</v>
      </c>
      <c r="AN195" s="235">
        <f t="shared" si="340"/>
        <v>0</v>
      </c>
      <c r="AO195" s="235">
        <f t="shared" si="340"/>
        <v>0</v>
      </c>
      <c r="AP195" s="235">
        <f t="shared" si="340"/>
        <v>0</v>
      </c>
      <c r="AQ195" s="235">
        <f t="shared" si="340"/>
        <v>0</v>
      </c>
      <c r="AR195" s="235">
        <f t="shared" si="340"/>
        <v>0</v>
      </c>
      <c r="AS195" s="235">
        <f t="shared" si="340"/>
        <v>0</v>
      </c>
      <c r="AT195" s="235">
        <f t="shared" si="340"/>
        <v>0</v>
      </c>
      <c r="AU195" s="235">
        <f t="shared" si="340"/>
        <v>0</v>
      </c>
      <c r="AV195" s="235">
        <f t="shared" si="340"/>
        <v>0</v>
      </c>
      <c r="AW195" s="235">
        <f t="shared" si="340"/>
        <v>0</v>
      </c>
      <c r="AX195" s="235">
        <f t="shared" si="340"/>
        <v>0</v>
      </c>
      <c r="AY195" s="235">
        <f t="shared" si="340"/>
        <v>0</v>
      </c>
      <c r="AZ195" s="235">
        <f t="shared" si="340"/>
        <v>0</v>
      </c>
      <c r="BA195" s="235">
        <f t="shared" si="340"/>
        <v>0</v>
      </c>
      <c r="BB195" s="235">
        <f t="shared" si="340"/>
        <v>0</v>
      </c>
      <c r="BC195" s="235">
        <f t="shared" si="340"/>
        <v>0</v>
      </c>
      <c r="BD195" s="235">
        <f t="shared" si="340"/>
        <v>0</v>
      </c>
      <c r="BE195" s="235">
        <f t="shared" si="340"/>
        <v>0</v>
      </c>
      <c r="BF195" s="235">
        <f t="shared" si="340"/>
        <v>0</v>
      </c>
      <c r="BG195" s="235">
        <f t="shared" si="340"/>
        <v>0</v>
      </c>
      <c r="BH195" s="235">
        <f t="shared" si="340"/>
        <v>0</v>
      </c>
      <c r="BI195" s="235">
        <f t="shared" si="340"/>
        <v>0</v>
      </c>
      <c r="BJ195" s="235">
        <f t="shared" si="340"/>
        <v>0</v>
      </c>
      <c r="BK195" s="235">
        <f t="shared" si="340"/>
        <v>0</v>
      </c>
      <c r="BL195" s="235">
        <f t="shared" si="340"/>
        <v>0</v>
      </c>
      <c r="BM195" s="235">
        <f t="shared" si="340"/>
        <v>0</v>
      </c>
      <c r="BN195" s="235">
        <f t="shared" si="340"/>
        <v>0</v>
      </c>
      <c r="BO195" s="235">
        <f t="shared" si="340"/>
        <v>0</v>
      </c>
      <c r="BP195" s="235">
        <f t="shared" si="340"/>
        <v>0</v>
      </c>
      <c r="BQ195" s="235">
        <f t="shared" si="340"/>
        <v>0</v>
      </c>
      <c r="BR195" s="235">
        <f t="shared" si="340"/>
        <v>0</v>
      </c>
      <c r="BS195" s="235">
        <f t="shared" si="340"/>
        <v>0</v>
      </c>
      <c r="BT195" s="235">
        <f t="shared" si="340"/>
        <v>0</v>
      </c>
      <c r="BU195" s="235">
        <f t="shared" si="340"/>
        <v>0</v>
      </c>
      <c r="BV195" s="235">
        <f t="shared" si="340"/>
        <v>0</v>
      </c>
      <c r="BW195" s="235">
        <f t="shared" si="340"/>
        <v>0</v>
      </c>
      <c r="BX195" s="235">
        <f t="shared" si="340"/>
        <v>0</v>
      </c>
      <c r="BY195" s="235">
        <f t="shared" si="340"/>
        <v>0</v>
      </c>
      <c r="BZ195" s="235">
        <f t="shared" si="340"/>
        <v>0</v>
      </c>
      <c r="CA195" s="235">
        <f t="shared" si="340"/>
        <v>0</v>
      </c>
      <c r="CB195" s="235">
        <f t="shared" si="340"/>
        <v>0</v>
      </c>
      <c r="CC195" s="235">
        <f t="shared" si="340"/>
        <v>0</v>
      </c>
      <c r="CD195" s="235">
        <f t="shared" si="340"/>
        <v>0</v>
      </c>
      <c r="CE195" s="235">
        <f t="shared" si="340"/>
        <v>0</v>
      </c>
      <c r="CF195" s="235">
        <f t="shared" si="340"/>
        <v>0</v>
      </c>
      <c r="CG195" s="235">
        <f t="shared" si="340"/>
        <v>0</v>
      </c>
      <c r="CH195" s="235">
        <f t="shared" si="340"/>
        <v>0</v>
      </c>
      <c r="CI195" s="235">
        <f t="shared" si="340"/>
        <v>0</v>
      </c>
      <c r="CJ195" s="235">
        <f t="shared" si="340"/>
        <v>0</v>
      </c>
      <c r="CK195" s="235">
        <f t="shared" si="340"/>
        <v>0</v>
      </c>
      <c r="CL195" s="235">
        <f t="shared" si="340"/>
        <v>0</v>
      </c>
      <c r="CM195" s="235">
        <f t="shared" si="340"/>
        <v>0</v>
      </c>
      <c r="CN195" s="235">
        <f t="shared" si="340"/>
        <v>0</v>
      </c>
      <c r="CO195" s="235">
        <f t="shared" si="340"/>
        <v>0</v>
      </c>
      <c r="CP195" s="235"/>
      <c r="CQ195" s="241">
        <f t="shared" si="294"/>
        <v>0</v>
      </c>
      <c r="CR195" s="241">
        <f t="shared" si="295"/>
        <v>0</v>
      </c>
      <c r="CS195" s="241">
        <f t="shared" si="296"/>
        <v>0</v>
      </c>
      <c r="CT195" s="246">
        <f t="shared" si="297"/>
        <v>0</v>
      </c>
      <c r="CU195" s="235">
        <f t="shared" si="298"/>
        <v>0</v>
      </c>
      <c r="CV195" s="235">
        <f t="shared" si="299"/>
        <v>0</v>
      </c>
      <c r="CW195" s="249">
        <f t="shared" si="300"/>
        <v>0</v>
      </c>
      <c r="CX195" s="249">
        <f t="shared" si="301"/>
        <v>0</v>
      </c>
      <c r="CY195" s="249">
        <f t="shared" si="302"/>
        <v>0</v>
      </c>
      <c r="CZ195" s="241">
        <f t="shared" si="303"/>
        <v>0</v>
      </c>
      <c r="DA195" s="241">
        <f t="shared" si="304"/>
        <v>0</v>
      </c>
      <c r="DB195" s="193" t="s">
        <v>13922</v>
      </c>
    </row>
    <row r="196" spans="1:106">
      <c r="A196" s="226">
        <f>+A195+1</f>
        <v>16</v>
      </c>
      <c r="B196" s="227">
        <f>B195+1</f>
        <v>178</v>
      </c>
      <c r="C196" s="226"/>
      <c r="D196" s="226" t="str">
        <f>IF(D79="","",D79)</f>
        <v>PM Expenses - Add Back</v>
      </c>
      <c r="E196" s="234">
        <f t="shared" si="272"/>
        <v>290</v>
      </c>
      <c r="F196" s="234">
        <f t="shared" si="273"/>
        <v>290</v>
      </c>
      <c r="G196" s="235">
        <f t="shared" si="274"/>
        <v>0</v>
      </c>
      <c r="H196" s="235">
        <f t="shared" si="275"/>
        <v>0</v>
      </c>
      <c r="I196" s="235">
        <f t="shared" si="276"/>
        <v>0</v>
      </c>
      <c r="J196" s="235">
        <f t="shared" si="277"/>
        <v>0</v>
      </c>
      <c r="K196" s="235">
        <f t="shared" si="278"/>
        <v>0</v>
      </c>
      <c r="L196" s="241">
        <f t="shared" si="279"/>
        <v>0</v>
      </c>
      <c r="M196" s="235">
        <f t="shared" si="280"/>
        <v>0</v>
      </c>
      <c r="N196" s="235">
        <f t="shared" si="281"/>
        <v>0</v>
      </c>
      <c r="O196" s="241">
        <f t="shared" si="282"/>
        <v>0</v>
      </c>
      <c r="P196" s="235">
        <f t="shared" ref="P196:U196" si="341">ROUND(P79/1000,0)</f>
        <v>0</v>
      </c>
      <c r="Q196" s="235">
        <f t="shared" si="341"/>
        <v>0</v>
      </c>
      <c r="R196" s="235">
        <f t="shared" si="341"/>
        <v>0</v>
      </c>
      <c r="S196" s="235">
        <f t="shared" si="341"/>
        <v>0</v>
      </c>
      <c r="T196" s="235">
        <f t="shared" si="341"/>
        <v>0</v>
      </c>
      <c r="U196" s="235">
        <f t="shared" si="341"/>
        <v>0</v>
      </c>
      <c r="V196" s="234">
        <f t="shared" si="284"/>
        <v>0</v>
      </c>
      <c r="W196" s="235">
        <f t="shared" si="285"/>
        <v>0</v>
      </c>
      <c r="X196" s="235">
        <f t="shared" si="286"/>
        <v>0</v>
      </c>
      <c r="Y196" s="241">
        <f t="shared" si="287"/>
        <v>0</v>
      </c>
      <c r="Z196" s="235">
        <f t="shared" si="288"/>
        <v>0</v>
      </c>
      <c r="AA196" s="235">
        <f t="shared" si="289"/>
        <v>0</v>
      </c>
      <c r="AB196" s="241">
        <f t="shared" si="290"/>
        <v>0</v>
      </c>
      <c r="AC196" s="235">
        <f t="shared" ref="AC196:AK196" si="342">ROUND(AC79/1000,0)</f>
        <v>0</v>
      </c>
      <c r="AD196" s="235">
        <f t="shared" si="342"/>
        <v>0</v>
      </c>
      <c r="AE196" s="235">
        <f t="shared" si="342"/>
        <v>0</v>
      </c>
      <c r="AF196" s="235">
        <f t="shared" si="342"/>
        <v>3</v>
      </c>
      <c r="AG196" s="235">
        <f t="shared" si="342"/>
        <v>5</v>
      </c>
      <c r="AH196" s="235">
        <f t="shared" si="342"/>
        <v>0</v>
      </c>
      <c r="AI196" s="235">
        <f t="shared" si="342"/>
        <v>0</v>
      </c>
      <c r="AJ196" s="235">
        <f t="shared" si="342"/>
        <v>8</v>
      </c>
      <c r="AK196" s="235">
        <f t="shared" si="342"/>
        <v>0</v>
      </c>
      <c r="AL196" s="241">
        <f t="shared" si="292"/>
        <v>16</v>
      </c>
      <c r="AM196" s="235">
        <f t="shared" ref="AM196:CO196" si="343">ROUND(AM79/1000,0)</f>
        <v>0</v>
      </c>
      <c r="AN196" s="235">
        <f t="shared" si="343"/>
        <v>6</v>
      </c>
      <c r="AO196" s="235">
        <f t="shared" si="343"/>
        <v>12</v>
      </c>
      <c r="AP196" s="235">
        <f t="shared" si="343"/>
        <v>0</v>
      </c>
      <c r="AQ196" s="235">
        <f t="shared" si="343"/>
        <v>12</v>
      </c>
      <c r="AR196" s="235">
        <f t="shared" si="343"/>
        <v>0</v>
      </c>
      <c r="AS196" s="235">
        <f t="shared" si="343"/>
        <v>0</v>
      </c>
      <c r="AT196" s="235">
        <f t="shared" si="343"/>
        <v>0</v>
      </c>
      <c r="AU196" s="235">
        <f t="shared" si="343"/>
        <v>0</v>
      </c>
      <c r="AV196" s="235">
        <f t="shared" si="343"/>
        <v>0</v>
      </c>
      <c r="AW196" s="235">
        <f t="shared" si="343"/>
        <v>0</v>
      </c>
      <c r="AX196" s="235">
        <f t="shared" si="343"/>
        <v>0</v>
      </c>
      <c r="AY196" s="235">
        <f t="shared" si="343"/>
        <v>0</v>
      </c>
      <c r="AZ196" s="235">
        <f t="shared" si="343"/>
        <v>2</v>
      </c>
      <c r="BA196" s="235">
        <f t="shared" si="343"/>
        <v>0</v>
      </c>
      <c r="BB196" s="235">
        <f t="shared" si="343"/>
        <v>0</v>
      </c>
      <c r="BC196" s="235">
        <f t="shared" si="343"/>
        <v>16</v>
      </c>
      <c r="BD196" s="235">
        <f t="shared" si="343"/>
        <v>1</v>
      </c>
      <c r="BE196" s="235">
        <f t="shared" si="343"/>
        <v>0</v>
      </c>
      <c r="BF196" s="235">
        <f t="shared" si="343"/>
        <v>0</v>
      </c>
      <c r="BG196" s="235">
        <f t="shared" si="343"/>
        <v>0</v>
      </c>
      <c r="BH196" s="235">
        <f t="shared" si="343"/>
        <v>0</v>
      </c>
      <c r="BI196" s="235">
        <f t="shared" si="343"/>
        <v>0</v>
      </c>
      <c r="BJ196" s="235">
        <f t="shared" si="343"/>
        <v>0</v>
      </c>
      <c r="BK196" s="235">
        <f t="shared" si="343"/>
        <v>1</v>
      </c>
      <c r="BL196" s="235">
        <f t="shared" si="343"/>
        <v>0</v>
      </c>
      <c r="BM196" s="235">
        <f t="shared" si="343"/>
        <v>0</v>
      </c>
      <c r="BN196" s="235">
        <f t="shared" si="343"/>
        <v>0</v>
      </c>
      <c r="BO196" s="235">
        <f t="shared" si="343"/>
        <v>0</v>
      </c>
      <c r="BP196" s="235">
        <f t="shared" si="343"/>
        <v>1</v>
      </c>
      <c r="BQ196" s="235">
        <f t="shared" si="343"/>
        <v>2</v>
      </c>
      <c r="BR196" s="235">
        <f t="shared" si="343"/>
        <v>11</v>
      </c>
      <c r="BS196" s="235">
        <f t="shared" si="343"/>
        <v>0</v>
      </c>
      <c r="BT196" s="235">
        <f t="shared" si="343"/>
        <v>0</v>
      </c>
      <c r="BU196" s="235">
        <f t="shared" si="343"/>
        <v>0</v>
      </c>
      <c r="BV196" s="235">
        <f t="shared" si="343"/>
        <v>0</v>
      </c>
      <c r="BW196" s="235">
        <f t="shared" si="343"/>
        <v>7</v>
      </c>
      <c r="BX196" s="235">
        <f t="shared" si="343"/>
        <v>14</v>
      </c>
      <c r="BY196" s="235">
        <f t="shared" si="343"/>
        <v>0</v>
      </c>
      <c r="BZ196" s="235">
        <f t="shared" si="343"/>
        <v>19</v>
      </c>
      <c r="CA196" s="235">
        <f t="shared" si="343"/>
        <v>0</v>
      </c>
      <c r="CB196" s="235">
        <f t="shared" si="343"/>
        <v>1</v>
      </c>
      <c r="CC196" s="235">
        <f t="shared" si="343"/>
        <v>0</v>
      </c>
      <c r="CD196" s="235">
        <f t="shared" si="343"/>
        <v>8</v>
      </c>
      <c r="CE196" s="235">
        <f t="shared" si="343"/>
        <v>10</v>
      </c>
      <c r="CF196" s="235">
        <f t="shared" si="343"/>
        <v>12</v>
      </c>
      <c r="CG196" s="235">
        <f t="shared" si="343"/>
        <v>0</v>
      </c>
      <c r="CH196" s="235">
        <f t="shared" si="343"/>
        <v>4</v>
      </c>
      <c r="CI196" s="235">
        <f t="shared" si="343"/>
        <v>7</v>
      </c>
      <c r="CJ196" s="235">
        <f t="shared" si="343"/>
        <v>24</v>
      </c>
      <c r="CK196" s="235">
        <f t="shared" si="343"/>
        <v>1</v>
      </c>
      <c r="CL196" s="235">
        <f t="shared" si="343"/>
        <v>8</v>
      </c>
      <c r="CM196" s="235">
        <f t="shared" si="343"/>
        <v>11</v>
      </c>
      <c r="CN196" s="235">
        <f t="shared" si="343"/>
        <v>69</v>
      </c>
      <c r="CO196" s="235">
        <f t="shared" si="343"/>
        <v>15</v>
      </c>
      <c r="CP196" s="235"/>
      <c r="CQ196" s="241">
        <f t="shared" si="294"/>
        <v>274</v>
      </c>
      <c r="CR196" s="241">
        <f t="shared" si="295"/>
        <v>290</v>
      </c>
      <c r="CS196" s="241">
        <f t="shared" si="296"/>
        <v>0</v>
      </c>
      <c r="CT196" s="246">
        <f t="shared" si="297"/>
        <v>0</v>
      </c>
      <c r="CU196" s="235">
        <f t="shared" si="298"/>
        <v>0</v>
      </c>
      <c r="CV196" s="235">
        <f t="shared" si="299"/>
        <v>0</v>
      </c>
      <c r="CW196" s="249">
        <f t="shared" si="300"/>
        <v>0</v>
      </c>
      <c r="CX196" s="249">
        <f t="shared" si="301"/>
        <v>0</v>
      </c>
      <c r="CY196" s="249">
        <f t="shared" si="302"/>
        <v>0</v>
      </c>
      <c r="CZ196" s="241">
        <f t="shared" si="303"/>
        <v>0</v>
      </c>
      <c r="DA196" s="241">
        <f t="shared" si="304"/>
        <v>0</v>
      </c>
      <c r="DB196" s="193" t="s">
        <v>13923</v>
      </c>
    </row>
    <row r="197" spans="1:106">
      <c r="A197" s="226"/>
      <c r="B197" s="227"/>
      <c r="C197" s="226"/>
      <c r="D197" s="226" t="s">
        <v>13924</v>
      </c>
      <c r="E197" s="234">
        <f t="shared" si="272"/>
        <v>92</v>
      </c>
      <c r="F197" s="234">
        <f t="shared" si="273"/>
        <v>92</v>
      </c>
      <c r="G197" s="235">
        <f t="shared" si="274"/>
        <v>0</v>
      </c>
      <c r="H197" s="235">
        <f t="shared" si="275"/>
        <v>0</v>
      </c>
      <c r="I197" s="235">
        <f t="shared" si="276"/>
        <v>0</v>
      </c>
      <c r="J197" s="235">
        <f t="shared" si="277"/>
        <v>0</v>
      </c>
      <c r="K197" s="235">
        <f t="shared" si="278"/>
        <v>0</v>
      </c>
      <c r="L197" s="241">
        <f t="shared" si="279"/>
        <v>0</v>
      </c>
      <c r="M197" s="235">
        <f t="shared" si="280"/>
        <v>0</v>
      </c>
      <c r="N197" s="235">
        <f t="shared" si="281"/>
        <v>0</v>
      </c>
      <c r="O197" s="241">
        <f t="shared" si="282"/>
        <v>0</v>
      </c>
      <c r="P197" s="235">
        <f t="shared" ref="P197:U197" si="344">ROUND(P80/1000,0)</f>
        <v>0</v>
      </c>
      <c r="Q197" s="235">
        <f t="shared" si="344"/>
        <v>0</v>
      </c>
      <c r="R197" s="235">
        <f t="shared" si="344"/>
        <v>0</v>
      </c>
      <c r="S197" s="235">
        <f t="shared" si="344"/>
        <v>0</v>
      </c>
      <c r="T197" s="235">
        <f t="shared" si="344"/>
        <v>0</v>
      </c>
      <c r="U197" s="235">
        <f t="shared" si="344"/>
        <v>0</v>
      </c>
      <c r="V197" s="234">
        <f t="shared" si="284"/>
        <v>0</v>
      </c>
      <c r="W197" s="235">
        <f t="shared" si="285"/>
        <v>0</v>
      </c>
      <c r="X197" s="235">
        <f t="shared" si="286"/>
        <v>0</v>
      </c>
      <c r="Y197" s="241">
        <f t="shared" si="287"/>
        <v>0</v>
      </c>
      <c r="Z197" s="235">
        <f t="shared" si="288"/>
        <v>0</v>
      </c>
      <c r="AA197" s="235">
        <f t="shared" si="289"/>
        <v>0</v>
      </c>
      <c r="AB197" s="241">
        <f t="shared" si="290"/>
        <v>0</v>
      </c>
      <c r="AC197" s="235">
        <f t="shared" ref="AC197:AK197" si="345">ROUND(AC80/1000,0)</f>
        <v>0</v>
      </c>
      <c r="AD197" s="235">
        <f t="shared" si="345"/>
        <v>0</v>
      </c>
      <c r="AE197" s="235">
        <f t="shared" si="345"/>
        <v>0</v>
      </c>
      <c r="AF197" s="235">
        <f t="shared" si="345"/>
        <v>0</v>
      </c>
      <c r="AG197" s="235">
        <f t="shared" si="345"/>
        <v>0</v>
      </c>
      <c r="AH197" s="235">
        <f t="shared" si="345"/>
        <v>0</v>
      </c>
      <c r="AI197" s="235">
        <f t="shared" si="345"/>
        <v>0</v>
      </c>
      <c r="AJ197" s="235">
        <f t="shared" si="345"/>
        <v>0</v>
      </c>
      <c r="AK197" s="235">
        <f t="shared" si="345"/>
        <v>0</v>
      </c>
      <c r="AL197" s="241">
        <f t="shared" si="292"/>
        <v>0</v>
      </c>
      <c r="AM197" s="235">
        <f t="shared" ref="AM197:CO197" si="346">ROUND(AM80/1000,0)</f>
        <v>0</v>
      </c>
      <c r="AN197" s="235">
        <f t="shared" si="346"/>
        <v>1</v>
      </c>
      <c r="AO197" s="235">
        <f t="shared" si="346"/>
        <v>7</v>
      </c>
      <c r="AP197" s="235">
        <f t="shared" si="346"/>
        <v>0</v>
      </c>
      <c r="AQ197" s="235">
        <f t="shared" si="346"/>
        <v>0</v>
      </c>
      <c r="AR197" s="235">
        <f t="shared" si="346"/>
        <v>0</v>
      </c>
      <c r="AS197" s="235">
        <f t="shared" si="346"/>
        <v>0</v>
      </c>
      <c r="AT197" s="235">
        <f t="shared" si="346"/>
        <v>0</v>
      </c>
      <c r="AU197" s="235">
        <f t="shared" si="346"/>
        <v>0</v>
      </c>
      <c r="AV197" s="235">
        <f t="shared" si="346"/>
        <v>0</v>
      </c>
      <c r="AW197" s="235">
        <f t="shared" si="346"/>
        <v>0</v>
      </c>
      <c r="AX197" s="235">
        <f t="shared" si="346"/>
        <v>0</v>
      </c>
      <c r="AY197" s="235">
        <f t="shared" si="346"/>
        <v>0</v>
      </c>
      <c r="AZ197" s="235">
        <f t="shared" si="346"/>
        <v>0</v>
      </c>
      <c r="BA197" s="235">
        <f t="shared" si="346"/>
        <v>0</v>
      </c>
      <c r="BB197" s="235">
        <f t="shared" si="346"/>
        <v>0</v>
      </c>
      <c r="BC197" s="235">
        <f t="shared" si="346"/>
        <v>0</v>
      </c>
      <c r="BD197" s="235">
        <f t="shared" si="346"/>
        <v>0</v>
      </c>
      <c r="BE197" s="235">
        <f t="shared" si="346"/>
        <v>0</v>
      </c>
      <c r="BF197" s="235">
        <f t="shared" si="346"/>
        <v>0</v>
      </c>
      <c r="BG197" s="235">
        <f t="shared" si="346"/>
        <v>0</v>
      </c>
      <c r="BH197" s="235">
        <f t="shared" si="346"/>
        <v>0</v>
      </c>
      <c r="BI197" s="235">
        <f t="shared" si="346"/>
        <v>0</v>
      </c>
      <c r="BJ197" s="235">
        <f t="shared" si="346"/>
        <v>0</v>
      </c>
      <c r="BK197" s="235">
        <f t="shared" si="346"/>
        <v>0</v>
      </c>
      <c r="BL197" s="235">
        <f t="shared" si="346"/>
        <v>0</v>
      </c>
      <c r="BM197" s="235">
        <f t="shared" si="346"/>
        <v>0</v>
      </c>
      <c r="BN197" s="235">
        <f t="shared" si="346"/>
        <v>0</v>
      </c>
      <c r="BO197" s="235">
        <f t="shared" si="346"/>
        <v>0</v>
      </c>
      <c r="BP197" s="235">
        <f t="shared" si="346"/>
        <v>0</v>
      </c>
      <c r="BQ197" s="235">
        <f t="shared" si="346"/>
        <v>0</v>
      </c>
      <c r="BR197" s="235">
        <f t="shared" si="346"/>
        <v>6</v>
      </c>
      <c r="BS197" s="235">
        <f t="shared" si="346"/>
        <v>0</v>
      </c>
      <c r="BT197" s="235">
        <f t="shared" si="346"/>
        <v>0</v>
      </c>
      <c r="BU197" s="235">
        <f t="shared" si="346"/>
        <v>0</v>
      </c>
      <c r="BV197" s="235">
        <f t="shared" si="346"/>
        <v>0</v>
      </c>
      <c r="BW197" s="235">
        <f t="shared" si="346"/>
        <v>2</v>
      </c>
      <c r="BX197" s="235">
        <f t="shared" si="346"/>
        <v>0</v>
      </c>
      <c r="BY197" s="235">
        <f t="shared" si="346"/>
        <v>0</v>
      </c>
      <c r="BZ197" s="235">
        <f t="shared" si="346"/>
        <v>5</v>
      </c>
      <c r="CA197" s="235">
        <f t="shared" si="346"/>
        <v>0</v>
      </c>
      <c r="CB197" s="235">
        <f t="shared" si="346"/>
        <v>0</v>
      </c>
      <c r="CC197" s="235">
        <f t="shared" si="346"/>
        <v>0</v>
      </c>
      <c r="CD197" s="235">
        <f t="shared" si="346"/>
        <v>0</v>
      </c>
      <c r="CE197" s="235">
        <f t="shared" si="346"/>
        <v>0</v>
      </c>
      <c r="CF197" s="235">
        <f t="shared" si="346"/>
        <v>0</v>
      </c>
      <c r="CG197" s="235">
        <f t="shared" si="346"/>
        <v>0</v>
      </c>
      <c r="CH197" s="235">
        <f t="shared" si="346"/>
        <v>0</v>
      </c>
      <c r="CI197" s="235">
        <f t="shared" si="346"/>
        <v>0</v>
      </c>
      <c r="CJ197" s="235">
        <f t="shared" si="346"/>
        <v>0</v>
      </c>
      <c r="CK197" s="235">
        <f t="shared" si="346"/>
        <v>0</v>
      </c>
      <c r="CL197" s="235">
        <f t="shared" si="346"/>
        <v>0</v>
      </c>
      <c r="CM197" s="235">
        <f t="shared" si="346"/>
        <v>4</v>
      </c>
      <c r="CN197" s="235">
        <f t="shared" si="346"/>
        <v>7</v>
      </c>
      <c r="CO197" s="235">
        <f t="shared" si="346"/>
        <v>60</v>
      </c>
      <c r="CP197" s="235"/>
      <c r="CQ197" s="241">
        <f t="shared" si="294"/>
        <v>92</v>
      </c>
      <c r="CR197" s="241">
        <f t="shared" si="295"/>
        <v>92</v>
      </c>
      <c r="CS197" s="241">
        <f t="shared" si="296"/>
        <v>0</v>
      </c>
      <c r="CT197" s="246">
        <f t="shared" si="297"/>
        <v>0</v>
      </c>
      <c r="CU197" s="235">
        <f t="shared" si="298"/>
        <v>0</v>
      </c>
      <c r="CV197" s="235">
        <f t="shared" si="299"/>
        <v>0</v>
      </c>
      <c r="CW197" s="249">
        <f t="shared" si="300"/>
        <v>0</v>
      </c>
      <c r="CX197" s="249">
        <f t="shared" si="301"/>
        <v>0</v>
      </c>
      <c r="CY197" s="249">
        <f t="shared" si="302"/>
        <v>0</v>
      </c>
      <c r="CZ197" s="241">
        <f t="shared" si="303"/>
        <v>0</v>
      </c>
      <c r="DA197" s="241">
        <f t="shared" si="304"/>
        <v>0</v>
      </c>
      <c r="DB197" s="193"/>
    </row>
    <row r="198" spans="1:106">
      <c r="A198" s="226"/>
      <c r="B198" s="227"/>
      <c r="C198" s="226"/>
      <c r="D198" s="226" t="s">
        <v>13875</v>
      </c>
      <c r="E198" s="234">
        <f t="shared" si="272"/>
        <v>0</v>
      </c>
      <c r="F198" s="234">
        <f t="shared" si="273"/>
        <v>0</v>
      </c>
      <c r="G198" s="235">
        <f t="shared" si="274"/>
        <v>0</v>
      </c>
      <c r="H198" s="235">
        <f t="shared" si="275"/>
        <v>0</v>
      </c>
      <c r="I198" s="235">
        <f t="shared" si="276"/>
        <v>0</v>
      </c>
      <c r="J198" s="235">
        <f t="shared" si="277"/>
        <v>0</v>
      </c>
      <c r="K198" s="235">
        <f t="shared" si="278"/>
        <v>0</v>
      </c>
      <c r="L198" s="241">
        <f t="shared" si="279"/>
        <v>0</v>
      </c>
      <c r="M198" s="235">
        <f t="shared" si="280"/>
        <v>0</v>
      </c>
      <c r="N198" s="235">
        <f t="shared" si="281"/>
        <v>0</v>
      </c>
      <c r="O198" s="241">
        <f t="shared" si="282"/>
        <v>0</v>
      </c>
      <c r="P198" s="235">
        <f t="shared" ref="P198:U198" si="347">ROUND(P81/1000,0)</f>
        <v>0</v>
      </c>
      <c r="Q198" s="235">
        <f t="shared" si="347"/>
        <v>0</v>
      </c>
      <c r="R198" s="235">
        <f t="shared" si="347"/>
        <v>0</v>
      </c>
      <c r="S198" s="235">
        <f t="shared" si="347"/>
        <v>0</v>
      </c>
      <c r="T198" s="235">
        <f t="shared" si="347"/>
        <v>0</v>
      </c>
      <c r="U198" s="235">
        <f t="shared" si="347"/>
        <v>0</v>
      </c>
      <c r="V198" s="234">
        <f t="shared" si="284"/>
        <v>0</v>
      </c>
      <c r="W198" s="235">
        <f t="shared" si="285"/>
        <v>0</v>
      </c>
      <c r="X198" s="235">
        <f t="shared" si="286"/>
        <v>0</v>
      </c>
      <c r="Y198" s="241">
        <f t="shared" si="287"/>
        <v>0</v>
      </c>
      <c r="Z198" s="235">
        <f t="shared" si="288"/>
        <v>0</v>
      </c>
      <c r="AA198" s="235">
        <f t="shared" si="289"/>
        <v>0</v>
      </c>
      <c r="AB198" s="241">
        <f t="shared" si="290"/>
        <v>0</v>
      </c>
      <c r="AC198" s="235">
        <f t="shared" ref="AC198:AK198" si="348">ROUND(AC81/1000,0)</f>
        <v>0</v>
      </c>
      <c r="AD198" s="235">
        <f t="shared" si="348"/>
        <v>0</v>
      </c>
      <c r="AE198" s="235">
        <f t="shared" si="348"/>
        <v>0</v>
      </c>
      <c r="AF198" s="235">
        <f t="shared" si="348"/>
        <v>0</v>
      </c>
      <c r="AG198" s="235">
        <f t="shared" si="348"/>
        <v>0</v>
      </c>
      <c r="AH198" s="235">
        <f t="shared" si="348"/>
        <v>0</v>
      </c>
      <c r="AI198" s="235">
        <f t="shared" si="348"/>
        <v>0</v>
      </c>
      <c r="AJ198" s="235">
        <f t="shared" si="348"/>
        <v>0</v>
      </c>
      <c r="AK198" s="235">
        <f t="shared" si="348"/>
        <v>0</v>
      </c>
      <c r="AL198" s="241">
        <f t="shared" si="292"/>
        <v>0</v>
      </c>
      <c r="AM198" s="235">
        <f t="shared" ref="AM198:CO198" si="349">ROUND(AM81/1000,0)</f>
        <v>0</v>
      </c>
      <c r="AN198" s="235">
        <f t="shared" si="349"/>
        <v>0</v>
      </c>
      <c r="AO198" s="235">
        <f t="shared" si="349"/>
        <v>0</v>
      </c>
      <c r="AP198" s="235">
        <f t="shared" si="349"/>
        <v>0</v>
      </c>
      <c r="AQ198" s="235">
        <f t="shared" si="349"/>
        <v>0</v>
      </c>
      <c r="AR198" s="235">
        <f t="shared" si="349"/>
        <v>0</v>
      </c>
      <c r="AS198" s="235">
        <f t="shared" si="349"/>
        <v>0</v>
      </c>
      <c r="AT198" s="235">
        <f t="shared" si="349"/>
        <v>0</v>
      </c>
      <c r="AU198" s="235">
        <f t="shared" si="349"/>
        <v>0</v>
      </c>
      <c r="AV198" s="235">
        <f t="shared" si="349"/>
        <v>0</v>
      </c>
      <c r="AW198" s="235">
        <f t="shared" si="349"/>
        <v>0</v>
      </c>
      <c r="AX198" s="235">
        <f t="shared" si="349"/>
        <v>0</v>
      </c>
      <c r="AY198" s="235">
        <f t="shared" si="349"/>
        <v>0</v>
      </c>
      <c r="AZ198" s="235">
        <f t="shared" si="349"/>
        <v>0</v>
      </c>
      <c r="BA198" s="235">
        <f t="shared" si="349"/>
        <v>0</v>
      </c>
      <c r="BB198" s="235">
        <f t="shared" si="349"/>
        <v>0</v>
      </c>
      <c r="BC198" s="235">
        <f t="shared" si="349"/>
        <v>0</v>
      </c>
      <c r="BD198" s="235">
        <f t="shared" si="349"/>
        <v>0</v>
      </c>
      <c r="BE198" s="235">
        <f t="shared" si="349"/>
        <v>0</v>
      </c>
      <c r="BF198" s="235">
        <f t="shared" si="349"/>
        <v>0</v>
      </c>
      <c r="BG198" s="235">
        <f t="shared" si="349"/>
        <v>0</v>
      </c>
      <c r="BH198" s="235">
        <f t="shared" si="349"/>
        <v>0</v>
      </c>
      <c r="BI198" s="235">
        <f t="shared" si="349"/>
        <v>0</v>
      </c>
      <c r="BJ198" s="235">
        <f t="shared" si="349"/>
        <v>0</v>
      </c>
      <c r="BK198" s="235">
        <f t="shared" si="349"/>
        <v>0</v>
      </c>
      <c r="BL198" s="235">
        <f t="shared" si="349"/>
        <v>0</v>
      </c>
      <c r="BM198" s="235">
        <f t="shared" si="349"/>
        <v>0</v>
      </c>
      <c r="BN198" s="235">
        <f t="shared" si="349"/>
        <v>0</v>
      </c>
      <c r="BO198" s="235">
        <f t="shared" si="349"/>
        <v>0</v>
      </c>
      <c r="BP198" s="235">
        <f t="shared" si="349"/>
        <v>0</v>
      </c>
      <c r="BQ198" s="235">
        <f t="shared" si="349"/>
        <v>0</v>
      </c>
      <c r="BR198" s="235">
        <f t="shared" si="349"/>
        <v>0</v>
      </c>
      <c r="BS198" s="235">
        <f t="shared" si="349"/>
        <v>0</v>
      </c>
      <c r="BT198" s="235">
        <f t="shared" si="349"/>
        <v>0</v>
      </c>
      <c r="BU198" s="235">
        <f t="shared" si="349"/>
        <v>0</v>
      </c>
      <c r="BV198" s="235">
        <f t="shared" si="349"/>
        <v>0</v>
      </c>
      <c r="BW198" s="235">
        <f t="shared" si="349"/>
        <v>0</v>
      </c>
      <c r="BX198" s="235">
        <f t="shared" si="349"/>
        <v>0</v>
      </c>
      <c r="BY198" s="235">
        <f t="shared" si="349"/>
        <v>0</v>
      </c>
      <c r="BZ198" s="235">
        <f t="shared" si="349"/>
        <v>0</v>
      </c>
      <c r="CA198" s="235">
        <f t="shared" si="349"/>
        <v>0</v>
      </c>
      <c r="CB198" s="235">
        <f t="shared" si="349"/>
        <v>0</v>
      </c>
      <c r="CC198" s="235">
        <f t="shared" si="349"/>
        <v>0</v>
      </c>
      <c r="CD198" s="235">
        <f t="shared" si="349"/>
        <v>0</v>
      </c>
      <c r="CE198" s="235">
        <f t="shared" si="349"/>
        <v>0</v>
      </c>
      <c r="CF198" s="235">
        <f t="shared" si="349"/>
        <v>0</v>
      </c>
      <c r="CG198" s="235">
        <f t="shared" si="349"/>
        <v>0</v>
      </c>
      <c r="CH198" s="235">
        <f t="shared" si="349"/>
        <v>0</v>
      </c>
      <c r="CI198" s="235">
        <f t="shared" si="349"/>
        <v>0</v>
      </c>
      <c r="CJ198" s="235">
        <f t="shared" si="349"/>
        <v>0</v>
      </c>
      <c r="CK198" s="235">
        <f t="shared" si="349"/>
        <v>0</v>
      </c>
      <c r="CL198" s="235">
        <f t="shared" si="349"/>
        <v>0</v>
      </c>
      <c r="CM198" s="235">
        <f t="shared" si="349"/>
        <v>0</v>
      </c>
      <c r="CN198" s="235">
        <f t="shared" si="349"/>
        <v>0</v>
      </c>
      <c r="CO198" s="235">
        <f t="shared" si="349"/>
        <v>0</v>
      </c>
      <c r="CP198" s="235"/>
      <c r="CQ198" s="241">
        <f t="shared" si="294"/>
        <v>0</v>
      </c>
      <c r="CR198" s="241">
        <f t="shared" si="295"/>
        <v>0</v>
      </c>
      <c r="CS198" s="241">
        <f t="shared" si="296"/>
        <v>0</v>
      </c>
      <c r="CT198" s="246">
        <f t="shared" si="297"/>
        <v>0</v>
      </c>
      <c r="CU198" s="235">
        <f t="shared" si="298"/>
        <v>0</v>
      </c>
      <c r="CV198" s="235">
        <f t="shared" si="299"/>
        <v>0</v>
      </c>
      <c r="CW198" s="249">
        <f t="shared" si="300"/>
        <v>0</v>
      </c>
      <c r="CX198" s="249">
        <f t="shared" si="301"/>
        <v>0</v>
      </c>
      <c r="CY198" s="249">
        <f t="shared" si="302"/>
        <v>0</v>
      </c>
      <c r="CZ198" s="241">
        <f t="shared" si="303"/>
        <v>0</v>
      </c>
      <c r="DA198" s="241">
        <f t="shared" si="304"/>
        <v>0</v>
      </c>
      <c r="DB198" s="193"/>
    </row>
    <row r="199" spans="1:106">
      <c r="A199" s="226">
        <f>+A196+1</f>
        <v>17</v>
      </c>
      <c r="B199" s="227">
        <f>B196+1</f>
        <v>179</v>
      </c>
      <c r="C199" s="226"/>
      <c r="D199" s="226" t="str">
        <f>IF(D82="","",D82)</f>
        <v>Shareholder Tax Payments - Add Back</v>
      </c>
      <c r="E199" s="234">
        <f t="shared" si="272"/>
        <v>0</v>
      </c>
      <c r="F199" s="234">
        <f t="shared" si="273"/>
        <v>0</v>
      </c>
      <c r="G199" s="235">
        <f t="shared" si="274"/>
        <v>0</v>
      </c>
      <c r="H199" s="235">
        <f t="shared" si="275"/>
        <v>0</v>
      </c>
      <c r="I199" s="235">
        <f t="shared" si="276"/>
        <v>0</v>
      </c>
      <c r="J199" s="235">
        <f t="shared" si="277"/>
        <v>0</v>
      </c>
      <c r="K199" s="235">
        <f t="shared" si="278"/>
        <v>0</v>
      </c>
      <c r="L199" s="241">
        <f t="shared" si="279"/>
        <v>0</v>
      </c>
      <c r="M199" s="235">
        <f t="shared" si="280"/>
        <v>0</v>
      </c>
      <c r="N199" s="235">
        <f t="shared" si="281"/>
        <v>0</v>
      </c>
      <c r="O199" s="241">
        <f t="shared" si="282"/>
        <v>0</v>
      </c>
      <c r="P199" s="235">
        <f t="shared" ref="P199:U199" si="350">ROUND(P82/1000,0)</f>
        <v>0</v>
      </c>
      <c r="Q199" s="235">
        <f t="shared" si="350"/>
        <v>0</v>
      </c>
      <c r="R199" s="235">
        <f t="shared" si="350"/>
        <v>0</v>
      </c>
      <c r="S199" s="235">
        <f t="shared" si="350"/>
        <v>0</v>
      </c>
      <c r="T199" s="235">
        <f t="shared" si="350"/>
        <v>0</v>
      </c>
      <c r="U199" s="235">
        <f t="shared" si="350"/>
        <v>0</v>
      </c>
      <c r="V199" s="234">
        <f t="shared" si="284"/>
        <v>0</v>
      </c>
      <c r="W199" s="235">
        <f t="shared" si="285"/>
        <v>0</v>
      </c>
      <c r="X199" s="235">
        <f t="shared" si="286"/>
        <v>0</v>
      </c>
      <c r="Y199" s="241">
        <f t="shared" si="287"/>
        <v>0</v>
      </c>
      <c r="Z199" s="235">
        <f t="shared" si="288"/>
        <v>0</v>
      </c>
      <c r="AA199" s="235">
        <f t="shared" si="289"/>
        <v>0</v>
      </c>
      <c r="AB199" s="241">
        <f t="shared" si="290"/>
        <v>0</v>
      </c>
      <c r="AC199" s="235">
        <f t="shared" ref="AC199:AK199" si="351">ROUND(AC82/1000,0)</f>
        <v>0</v>
      </c>
      <c r="AD199" s="235">
        <f t="shared" si="351"/>
        <v>0</v>
      </c>
      <c r="AE199" s="235">
        <f t="shared" si="351"/>
        <v>0</v>
      </c>
      <c r="AF199" s="235">
        <f t="shared" si="351"/>
        <v>0</v>
      </c>
      <c r="AG199" s="235">
        <f t="shared" si="351"/>
        <v>0</v>
      </c>
      <c r="AH199" s="235">
        <f t="shared" si="351"/>
        <v>0</v>
      </c>
      <c r="AI199" s="235">
        <f t="shared" si="351"/>
        <v>0</v>
      </c>
      <c r="AJ199" s="235">
        <f t="shared" si="351"/>
        <v>0</v>
      </c>
      <c r="AK199" s="235">
        <f t="shared" si="351"/>
        <v>0</v>
      </c>
      <c r="AL199" s="241">
        <f t="shared" si="292"/>
        <v>0</v>
      </c>
      <c r="AM199" s="235">
        <f t="shared" ref="AM199:CO199" si="352">ROUND(AM82/1000,0)</f>
        <v>0</v>
      </c>
      <c r="AN199" s="235">
        <f t="shared" si="352"/>
        <v>0</v>
      </c>
      <c r="AO199" s="235">
        <f t="shared" si="352"/>
        <v>0</v>
      </c>
      <c r="AP199" s="235">
        <f t="shared" si="352"/>
        <v>0</v>
      </c>
      <c r="AQ199" s="235">
        <f t="shared" si="352"/>
        <v>0</v>
      </c>
      <c r="AR199" s="235">
        <f t="shared" si="352"/>
        <v>0</v>
      </c>
      <c r="AS199" s="235">
        <f t="shared" si="352"/>
        <v>0</v>
      </c>
      <c r="AT199" s="235">
        <f t="shared" si="352"/>
        <v>0</v>
      </c>
      <c r="AU199" s="235">
        <f t="shared" si="352"/>
        <v>0</v>
      </c>
      <c r="AV199" s="235">
        <f t="shared" si="352"/>
        <v>0</v>
      </c>
      <c r="AW199" s="235">
        <f t="shared" si="352"/>
        <v>0</v>
      </c>
      <c r="AX199" s="235">
        <f t="shared" si="352"/>
        <v>0</v>
      </c>
      <c r="AY199" s="235">
        <f t="shared" si="352"/>
        <v>0</v>
      </c>
      <c r="AZ199" s="235">
        <f t="shared" si="352"/>
        <v>0</v>
      </c>
      <c r="BA199" s="235">
        <f t="shared" si="352"/>
        <v>0</v>
      </c>
      <c r="BB199" s="235">
        <f t="shared" si="352"/>
        <v>0</v>
      </c>
      <c r="BC199" s="235">
        <f t="shared" si="352"/>
        <v>0</v>
      </c>
      <c r="BD199" s="235">
        <f t="shared" si="352"/>
        <v>0</v>
      </c>
      <c r="BE199" s="235">
        <f t="shared" si="352"/>
        <v>0</v>
      </c>
      <c r="BF199" s="235">
        <f t="shared" si="352"/>
        <v>0</v>
      </c>
      <c r="BG199" s="235">
        <f t="shared" si="352"/>
        <v>0</v>
      </c>
      <c r="BH199" s="235">
        <f t="shared" si="352"/>
        <v>0</v>
      </c>
      <c r="BI199" s="235">
        <f t="shared" si="352"/>
        <v>0</v>
      </c>
      <c r="BJ199" s="235">
        <f t="shared" si="352"/>
        <v>0</v>
      </c>
      <c r="BK199" s="235">
        <f t="shared" si="352"/>
        <v>0</v>
      </c>
      <c r="BL199" s="235">
        <f t="shared" si="352"/>
        <v>0</v>
      </c>
      <c r="BM199" s="235">
        <f t="shared" si="352"/>
        <v>0</v>
      </c>
      <c r="BN199" s="235">
        <f t="shared" si="352"/>
        <v>0</v>
      </c>
      <c r="BO199" s="235">
        <f t="shared" si="352"/>
        <v>0</v>
      </c>
      <c r="BP199" s="235">
        <f t="shared" si="352"/>
        <v>0</v>
      </c>
      <c r="BQ199" s="235">
        <f t="shared" si="352"/>
        <v>0</v>
      </c>
      <c r="BR199" s="235">
        <f t="shared" si="352"/>
        <v>0</v>
      </c>
      <c r="BS199" s="235">
        <f t="shared" si="352"/>
        <v>0</v>
      </c>
      <c r="BT199" s="235">
        <f t="shared" si="352"/>
        <v>0</v>
      </c>
      <c r="BU199" s="235">
        <f t="shared" si="352"/>
        <v>0</v>
      </c>
      <c r="BV199" s="235">
        <f t="shared" si="352"/>
        <v>0</v>
      </c>
      <c r="BW199" s="235">
        <f t="shared" si="352"/>
        <v>0</v>
      </c>
      <c r="BX199" s="235">
        <f t="shared" si="352"/>
        <v>0</v>
      </c>
      <c r="BY199" s="235">
        <f t="shared" si="352"/>
        <v>0</v>
      </c>
      <c r="BZ199" s="235">
        <f t="shared" si="352"/>
        <v>0</v>
      </c>
      <c r="CA199" s="235">
        <f t="shared" si="352"/>
        <v>0</v>
      </c>
      <c r="CB199" s="235">
        <f t="shared" si="352"/>
        <v>0</v>
      </c>
      <c r="CC199" s="235">
        <f t="shared" si="352"/>
        <v>0</v>
      </c>
      <c r="CD199" s="235">
        <f t="shared" si="352"/>
        <v>0</v>
      </c>
      <c r="CE199" s="235">
        <f t="shared" si="352"/>
        <v>0</v>
      </c>
      <c r="CF199" s="235">
        <f t="shared" si="352"/>
        <v>0</v>
      </c>
      <c r="CG199" s="235">
        <f t="shared" si="352"/>
        <v>0</v>
      </c>
      <c r="CH199" s="235">
        <f t="shared" si="352"/>
        <v>0</v>
      </c>
      <c r="CI199" s="235">
        <f t="shared" si="352"/>
        <v>0</v>
      </c>
      <c r="CJ199" s="235">
        <f t="shared" si="352"/>
        <v>0</v>
      </c>
      <c r="CK199" s="235">
        <f t="shared" si="352"/>
        <v>0</v>
      </c>
      <c r="CL199" s="235">
        <f t="shared" si="352"/>
        <v>0</v>
      </c>
      <c r="CM199" s="235">
        <f t="shared" si="352"/>
        <v>0</v>
      </c>
      <c r="CN199" s="235">
        <f t="shared" si="352"/>
        <v>0</v>
      </c>
      <c r="CO199" s="235">
        <f t="shared" si="352"/>
        <v>0</v>
      </c>
      <c r="CP199" s="235"/>
      <c r="CQ199" s="241">
        <f t="shared" si="294"/>
        <v>0</v>
      </c>
      <c r="CR199" s="241">
        <f t="shared" si="295"/>
        <v>0</v>
      </c>
      <c r="CS199" s="241">
        <f t="shared" si="296"/>
        <v>0</v>
      </c>
      <c r="CT199" s="246">
        <f t="shared" si="297"/>
        <v>0</v>
      </c>
      <c r="CU199" s="235">
        <f t="shared" si="298"/>
        <v>0</v>
      </c>
      <c r="CV199" s="235">
        <f t="shared" si="299"/>
        <v>0</v>
      </c>
      <c r="CW199" s="249">
        <f t="shared" si="300"/>
        <v>0</v>
      </c>
      <c r="CX199" s="249">
        <f t="shared" si="301"/>
        <v>0</v>
      </c>
      <c r="CY199" s="249">
        <f t="shared" si="302"/>
        <v>0</v>
      </c>
      <c r="CZ199" s="241">
        <f t="shared" si="303"/>
        <v>0</v>
      </c>
      <c r="DA199" s="241">
        <f t="shared" si="304"/>
        <v>0</v>
      </c>
      <c r="DB199" s="193" t="s">
        <v>13925</v>
      </c>
    </row>
    <row r="200" spans="1:106">
      <c r="A200" s="226">
        <f>+A199+1</f>
        <v>18</v>
      </c>
      <c r="B200" s="227">
        <f>B199+1</f>
        <v>180</v>
      </c>
      <c r="C200" s="226"/>
      <c r="D200" s="226" t="str">
        <f>IF(D83="","",D83)</f>
        <v>Shareholder &amp; Family Payroll - Add Back</v>
      </c>
      <c r="E200" s="234">
        <f t="shared" si="272"/>
        <v>0</v>
      </c>
      <c r="F200" s="234">
        <f t="shared" si="273"/>
        <v>0</v>
      </c>
      <c r="G200" s="235">
        <f t="shared" si="274"/>
        <v>0</v>
      </c>
      <c r="H200" s="235">
        <f t="shared" si="275"/>
        <v>0</v>
      </c>
      <c r="I200" s="235">
        <f t="shared" si="276"/>
        <v>0</v>
      </c>
      <c r="J200" s="235">
        <f t="shared" si="277"/>
        <v>0</v>
      </c>
      <c r="K200" s="235">
        <f t="shared" si="278"/>
        <v>0</v>
      </c>
      <c r="L200" s="241">
        <f t="shared" si="279"/>
        <v>0</v>
      </c>
      <c r="M200" s="235">
        <f t="shared" si="280"/>
        <v>0</v>
      </c>
      <c r="N200" s="235">
        <f t="shared" si="281"/>
        <v>0</v>
      </c>
      <c r="O200" s="241">
        <f t="shared" si="282"/>
        <v>0</v>
      </c>
      <c r="P200" s="235">
        <f t="shared" ref="P200:U200" si="353">ROUND(P83/1000,0)</f>
        <v>0</v>
      </c>
      <c r="Q200" s="235">
        <f t="shared" si="353"/>
        <v>0</v>
      </c>
      <c r="R200" s="235">
        <f t="shared" si="353"/>
        <v>0</v>
      </c>
      <c r="S200" s="235">
        <f t="shared" si="353"/>
        <v>0</v>
      </c>
      <c r="T200" s="235">
        <f t="shared" si="353"/>
        <v>0</v>
      </c>
      <c r="U200" s="235">
        <f t="shared" si="353"/>
        <v>0</v>
      </c>
      <c r="V200" s="234">
        <f t="shared" si="284"/>
        <v>0</v>
      </c>
      <c r="W200" s="235">
        <f t="shared" si="285"/>
        <v>0</v>
      </c>
      <c r="X200" s="235">
        <f t="shared" si="286"/>
        <v>0</v>
      </c>
      <c r="Y200" s="241">
        <f t="shared" si="287"/>
        <v>0</v>
      </c>
      <c r="Z200" s="235">
        <f t="shared" si="288"/>
        <v>0</v>
      </c>
      <c r="AA200" s="235">
        <f t="shared" si="289"/>
        <v>0</v>
      </c>
      <c r="AB200" s="241">
        <f t="shared" si="290"/>
        <v>0</v>
      </c>
      <c r="AC200" s="235">
        <f t="shared" ref="AC200:AK200" si="354">ROUND(AC83/1000,0)</f>
        <v>0</v>
      </c>
      <c r="AD200" s="235">
        <f t="shared" si="354"/>
        <v>0</v>
      </c>
      <c r="AE200" s="235">
        <f t="shared" si="354"/>
        <v>0</v>
      </c>
      <c r="AF200" s="235">
        <f t="shared" si="354"/>
        <v>0</v>
      </c>
      <c r="AG200" s="235">
        <f t="shared" si="354"/>
        <v>0</v>
      </c>
      <c r="AH200" s="235">
        <f t="shared" si="354"/>
        <v>0</v>
      </c>
      <c r="AI200" s="235">
        <f t="shared" si="354"/>
        <v>0</v>
      </c>
      <c r="AJ200" s="235">
        <f t="shared" si="354"/>
        <v>0</v>
      </c>
      <c r="AK200" s="235">
        <f t="shared" si="354"/>
        <v>0</v>
      </c>
      <c r="AL200" s="241">
        <f t="shared" si="292"/>
        <v>0</v>
      </c>
      <c r="AM200" s="235">
        <f t="shared" ref="AM200:CO200" si="355">ROUND(AM83/1000,0)</f>
        <v>0</v>
      </c>
      <c r="AN200" s="235">
        <f t="shared" si="355"/>
        <v>0</v>
      </c>
      <c r="AO200" s="235">
        <f t="shared" si="355"/>
        <v>0</v>
      </c>
      <c r="AP200" s="235">
        <f t="shared" si="355"/>
        <v>0</v>
      </c>
      <c r="AQ200" s="235">
        <f t="shared" si="355"/>
        <v>0</v>
      </c>
      <c r="AR200" s="235">
        <f t="shared" si="355"/>
        <v>0</v>
      </c>
      <c r="AS200" s="235">
        <f t="shared" si="355"/>
        <v>0</v>
      </c>
      <c r="AT200" s="235">
        <f t="shared" si="355"/>
        <v>0</v>
      </c>
      <c r="AU200" s="235">
        <f t="shared" si="355"/>
        <v>0</v>
      </c>
      <c r="AV200" s="235">
        <f t="shared" si="355"/>
        <v>0</v>
      </c>
      <c r="AW200" s="235">
        <f t="shared" si="355"/>
        <v>0</v>
      </c>
      <c r="AX200" s="235">
        <f t="shared" si="355"/>
        <v>0</v>
      </c>
      <c r="AY200" s="235">
        <f t="shared" si="355"/>
        <v>0</v>
      </c>
      <c r="AZ200" s="235">
        <f t="shared" si="355"/>
        <v>0</v>
      </c>
      <c r="BA200" s="235">
        <f t="shared" si="355"/>
        <v>0</v>
      </c>
      <c r="BB200" s="235">
        <f t="shared" si="355"/>
        <v>0</v>
      </c>
      <c r="BC200" s="235">
        <f t="shared" si="355"/>
        <v>0</v>
      </c>
      <c r="BD200" s="235">
        <f t="shared" si="355"/>
        <v>0</v>
      </c>
      <c r="BE200" s="235">
        <f t="shared" si="355"/>
        <v>0</v>
      </c>
      <c r="BF200" s="235">
        <f t="shared" si="355"/>
        <v>0</v>
      </c>
      <c r="BG200" s="235">
        <f t="shared" si="355"/>
        <v>0</v>
      </c>
      <c r="BH200" s="235">
        <f t="shared" si="355"/>
        <v>0</v>
      </c>
      <c r="BI200" s="235">
        <f t="shared" si="355"/>
        <v>0</v>
      </c>
      <c r="BJ200" s="235">
        <f t="shared" si="355"/>
        <v>0</v>
      </c>
      <c r="BK200" s="235">
        <f t="shared" si="355"/>
        <v>0</v>
      </c>
      <c r="BL200" s="235">
        <f t="shared" si="355"/>
        <v>0</v>
      </c>
      <c r="BM200" s="235">
        <f t="shared" si="355"/>
        <v>0</v>
      </c>
      <c r="BN200" s="235">
        <f t="shared" si="355"/>
        <v>0</v>
      </c>
      <c r="BO200" s="235">
        <f t="shared" si="355"/>
        <v>0</v>
      </c>
      <c r="BP200" s="235">
        <f t="shared" si="355"/>
        <v>0</v>
      </c>
      <c r="BQ200" s="235">
        <f t="shared" si="355"/>
        <v>0</v>
      </c>
      <c r="BR200" s="235">
        <f t="shared" si="355"/>
        <v>0</v>
      </c>
      <c r="BS200" s="235">
        <f t="shared" si="355"/>
        <v>0</v>
      </c>
      <c r="BT200" s="235">
        <f t="shared" si="355"/>
        <v>0</v>
      </c>
      <c r="BU200" s="235">
        <f t="shared" si="355"/>
        <v>0</v>
      </c>
      <c r="BV200" s="235">
        <f t="shared" si="355"/>
        <v>0</v>
      </c>
      <c r="BW200" s="235">
        <f t="shared" si="355"/>
        <v>0</v>
      </c>
      <c r="BX200" s="235">
        <f t="shared" si="355"/>
        <v>0</v>
      </c>
      <c r="BY200" s="235">
        <f t="shared" si="355"/>
        <v>0</v>
      </c>
      <c r="BZ200" s="235">
        <f t="shared" si="355"/>
        <v>0</v>
      </c>
      <c r="CA200" s="235">
        <f t="shared" si="355"/>
        <v>0</v>
      </c>
      <c r="CB200" s="235">
        <f t="shared" si="355"/>
        <v>0</v>
      </c>
      <c r="CC200" s="235">
        <f t="shared" si="355"/>
        <v>0</v>
      </c>
      <c r="CD200" s="235">
        <f t="shared" si="355"/>
        <v>0</v>
      </c>
      <c r="CE200" s="235">
        <f t="shared" si="355"/>
        <v>0</v>
      </c>
      <c r="CF200" s="235">
        <f t="shared" si="355"/>
        <v>0</v>
      </c>
      <c r="CG200" s="235">
        <f t="shared" si="355"/>
        <v>0</v>
      </c>
      <c r="CH200" s="235">
        <f t="shared" si="355"/>
        <v>0</v>
      </c>
      <c r="CI200" s="235">
        <f t="shared" si="355"/>
        <v>0</v>
      </c>
      <c r="CJ200" s="235">
        <f t="shared" si="355"/>
        <v>0</v>
      </c>
      <c r="CK200" s="235">
        <f t="shared" si="355"/>
        <v>0</v>
      </c>
      <c r="CL200" s="235">
        <f t="shared" si="355"/>
        <v>0</v>
      </c>
      <c r="CM200" s="235">
        <f t="shared" si="355"/>
        <v>0</v>
      </c>
      <c r="CN200" s="235">
        <f t="shared" si="355"/>
        <v>0</v>
      </c>
      <c r="CO200" s="235">
        <f t="shared" si="355"/>
        <v>0</v>
      </c>
      <c r="CP200" s="235"/>
      <c r="CQ200" s="241">
        <f t="shared" si="294"/>
        <v>0</v>
      </c>
      <c r="CR200" s="241">
        <f t="shared" si="295"/>
        <v>0</v>
      </c>
      <c r="CS200" s="241">
        <f t="shared" si="296"/>
        <v>0</v>
      </c>
      <c r="CT200" s="246">
        <f t="shared" si="297"/>
        <v>0</v>
      </c>
      <c r="CU200" s="235">
        <f t="shared" si="298"/>
        <v>0</v>
      </c>
      <c r="CV200" s="235">
        <f t="shared" si="299"/>
        <v>0</v>
      </c>
      <c r="CW200" s="249">
        <f t="shared" si="300"/>
        <v>0</v>
      </c>
      <c r="CX200" s="249">
        <f t="shared" si="301"/>
        <v>0</v>
      </c>
      <c r="CY200" s="249">
        <f t="shared" si="302"/>
        <v>0</v>
      </c>
      <c r="CZ200" s="241">
        <f t="shared" si="303"/>
        <v>0</v>
      </c>
      <c r="DA200" s="241">
        <f t="shared" si="304"/>
        <v>0</v>
      </c>
      <c r="DB200" s="193" t="s">
        <v>13926</v>
      </c>
    </row>
    <row r="201" spans="1:106" s="151" customFormat="true">
      <c r="A201" s="151">
        <f>MAX(A195:A200)+1</f>
        <v>19</v>
      </c>
      <c r="B201" s="255">
        <f>B200+1</f>
        <v>181</v>
      </c>
      <c r="D201" s="151" t="str">
        <f>IF(D84="","",D84)</f>
        <v>2023 Operating EBITDA</v>
      </c>
      <c r="E201" s="153">
        <f t="shared" ca="true" si="272"/>
        <v>3458</v>
      </c>
      <c r="F201" s="153">
        <f t="shared" ca="true" si="273"/>
        <v>3295</v>
      </c>
      <c r="G201" s="153">
        <f t="shared" si="274"/>
        <v>918</v>
      </c>
      <c r="H201" s="153">
        <f t="shared" si="275"/>
        <v>-14</v>
      </c>
      <c r="I201" s="153">
        <f t="shared" si="276"/>
        <v>61</v>
      </c>
      <c r="J201" s="153">
        <f t="shared" si="277"/>
        <v>35</v>
      </c>
      <c r="K201" s="153">
        <f t="shared" si="278"/>
        <v>20</v>
      </c>
      <c r="L201" s="256">
        <f t="shared" si="279"/>
        <v>1020</v>
      </c>
      <c r="M201" s="153">
        <f t="shared" si="280"/>
        <v>96</v>
      </c>
      <c r="N201" s="153">
        <f t="shared" si="281"/>
        <v>100</v>
      </c>
      <c r="O201" s="256">
        <f t="shared" si="282"/>
        <v>196</v>
      </c>
      <c r="P201" s="153">
        <f t="shared" ref="P201:U201" ca="true" si="356">ROUND(P84/1000,0)</f>
        <v>29</v>
      </c>
      <c r="Q201" s="153">
        <f t="shared" ca="true" si="356"/>
        <v>34</v>
      </c>
      <c r="R201" s="153">
        <f t="shared" ca="true" si="356"/>
        <v>22</v>
      </c>
      <c r="S201" s="153">
        <f t="shared" ca="true" si="356"/>
        <v>16</v>
      </c>
      <c r="T201" s="153">
        <f t="shared" ca="true" si="356"/>
        <v>10</v>
      </c>
      <c r="U201" s="153">
        <f t="shared" ca="true" si="356"/>
        <v>10</v>
      </c>
      <c r="V201" s="257">
        <f t="shared" ca="true" si="284"/>
        <v>121</v>
      </c>
      <c r="W201" s="153">
        <f t="shared" ca="true" si="285"/>
        <v>21</v>
      </c>
      <c r="X201" s="153">
        <f t="shared" ca="true" si="286"/>
        <v>11</v>
      </c>
      <c r="Y201" s="256">
        <f t="shared" ca="true" si="287"/>
        <v>153</v>
      </c>
      <c r="Z201" s="153">
        <f t="shared" ca="true" si="288"/>
        <v>2</v>
      </c>
      <c r="AA201" s="153">
        <f t="shared" ca="true" si="289"/>
        <v>-3</v>
      </c>
      <c r="AB201" s="256">
        <f t="shared" ca="true" si="290"/>
        <v>-1</v>
      </c>
      <c r="AC201" s="153">
        <f t="shared" ref="AC201:AK201" ca="true" si="357">ROUND(AC84/1000,0)</f>
        <v>-16</v>
      </c>
      <c r="AD201" s="153">
        <f t="shared" ca="true" si="357"/>
        <v>-66</v>
      </c>
      <c r="AE201" s="153">
        <f t="shared" ca="true" si="357"/>
        <v>-151</v>
      </c>
      <c r="AF201" s="153">
        <f t="shared" ca="true" si="357"/>
        <v>8</v>
      </c>
      <c r="AG201" s="153">
        <f t="shared" ca="true" si="357"/>
        <v>63</v>
      </c>
      <c r="AH201" s="153">
        <f t="shared" ca="true" si="357"/>
        <v>31</v>
      </c>
      <c r="AI201" s="153">
        <f t="shared" ca="true" si="357"/>
        <v>45</v>
      </c>
      <c r="AJ201" s="153">
        <f t="shared" ca="true" si="357"/>
        <v>49</v>
      </c>
      <c r="AK201" s="153">
        <f t="shared" ca="true" si="357"/>
        <v>45</v>
      </c>
      <c r="AL201" s="256">
        <f t="shared" ca="true" si="292"/>
        <v>241</v>
      </c>
      <c r="AM201" s="153">
        <f t="shared" ref="AM201:CO201" ca="true" si="358">ROUND(AM84/1000,0)</f>
        <v>0</v>
      </c>
      <c r="AN201" s="153">
        <f t="shared" ca="true" si="358"/>
        <v>-23</v>
      </c>
      <c r="AO201" s="153">
        <f t="shared" ca="true" si="358"/>
        <v>-45</v>
      </c>
      <c r="AP201" s="153">
        <f t="shared" ca="true" si="358"/>
        <v>0</v>
      </c>
      <c r="AQ201" s="153">
        <f t="shared" ca="true" si="358"/>
        <v>54</v>
      </c>
      <c r="AR201" s="153">
        <f t="shared" ca="true" si="358"/>
        <v>0</v>
      </c>
      <c r="AS201" s="153">
        <f t="shared" ca="true" si="358"/>
        <v>25</v>
      </c>
      <c r="AT201" s="153">
        <f t="shared" ca="true" si="358"/>
        <v>27</v>
      </c>
      <c r="AU201" s="153">
        <f t="shared" ca="true" si="358"/>
        <v>62</v>
      </c>
      <c r="AV201" s="153">
        <f t="shared" ca="true" si="358"/>
        <v>40</v>
      </c>
      <c r="AW201" s="153">
        <f t="shared" ca="true" si="358"/>
        <v>0</v>
      </c>
      <c r="AX201" s="153">
        <f t="shared" ca="true" si="358"/>
        <v>0</v>
      </c>
      <c r="AY201" s="153">
        <f t="shared" ca="true" si="358"/>
        <v>0</v>
      </c>
      <c r="AZ201" s="153">
        <f t="shared" ca="true" si="358"/>
        <v>31</v>
      </c>
      <c r="BA201" s="153">
        <f t="shared" ca="true" si="358"/>
        <v>23</v>
      </c>
      <c r="BB201" s="153">
        <f t="shared" ca="true" si="358"/>
        <v>0</v>
      </c>
      <c r="BC201" s="153">
        <f t="shared" ca="true" si="358"/>
        <v>72</v>
      </c>
      <c r="BD201" s="153">
        <f t="shared" ca="true" si="358"/>
        <v>24</v>
      </c>
      <c r="BE201" s="153">
        <f t="shared" ca="true" si="358"/>
        <v>29</v>
      </c>
      <c r="BF201" s="153">
        <f t="shared" ca="true" si="358"/>
        <v>15</v>
      </c>
      <c r="BG201" s="153">
        <f t="shared" ca="true" si="358"/>
        <v>24</v>
      </c>
      <c r="BH201" s="153">
        <f t="shared" ca="true" si="358"/>
        <v>0</v>
      </c>
      <c r="BI201" s="153">
        <f t="shared" ca="true" si="358"/>
        <v>22</v>
      </c>
      <c r="BJ201" s="153">
        <f t="shared" ca="true" si="358"/>
        <v>0</v>
      </c>
      <c r="BK201" s="153">
        <f t="shared" ca="true" si="358"/>
        <v>-3</v>
      </c>
      <c r="BL201" s="153">
        <f t="shared" ca="true" si="358"/>
        <v>20</v>
      </c>
      <c r="BM201" s="153">
        <f t="shared" ca="true" si="358"/>
        <v>19</v>
      </c>
      <c r="BN201" s="153">
        <f t="shared" ca="true" si="358"/>
        <v>15</v>
      </c>
      <c r="BO201" s="153">
        <f t="shared" ca="true" si="358"/>
        <v>0</v>
      </c>
      <c r="BP201" s="153">
        <f t="shared" ca="true" si="358"/>
        <v>46</v>
      </c>
      <c r="BQ201" s="153">
        <f t="shared" ca="true" si="358"/>
        <v>27</v>
      </c>
      <c r="BR201" s="153">
        <f t="shared" ca="true" si="358"/>
        <v>-15</v>
      </c>
      <c r="BS201" s="153">
        <f t="shared" ca="true" si="358"/>
        <v>-9</v>
      </c>
      <c r="BT201" s="153">
        <f t="shared" ca="true" si="358"/>
        <v>0</v>
      </c>
      <c r="BU201" s="153">
        <f t="shared" ca="true" si="358"/>
        <v>0</v>
      </c>
      <c r="BV201" s="153">
        <f t="shared" ca="true" si="358"/>
        <v>0</v>
      </c>
      <c r="BW201" s="153">
        <f t="shared" ca="true" si="358"/>
        <v>107</v>
      </c>
      <c r="BX201" s="153">
        <f t="shared" ca="true" si="358"/>
        <v>19</v>
      </c>
      <c r="BY201" s="153">
        <f t="shared" ca="true" si="358"/>
        <v>0</v>
      </c>
      <c r="BZ201" s="153">
        <f t="shared" ca="true" si="358"/>
        <v>-40</v>
      </c>
      <c r="CA201" s="153">
        <f t="shared" ca="true" si="358"/>
        <v>-16</v>
      </c>
      <c r="CB201" s="153">
        <f t="shared" ca="true" si="358"/>
        <v>36</v>
      </c>
      <c r="CC201" s="153">
        <f t="shared" ca="true" si="358"/>
        <v>13</v>
      </c>
      <c r="CD201" s="153">
        <f t="shared" ca="true" si="358"/>
        <v>32</v>
      </c>
      <c r="CE201" s="153">
        <f t="shared" ca="true" si="358"/>
        <v>52</v>
      </c>
      <c r="CF201" s="153">
        <f t="shared" ca="true" si="358"/>
        <v>119</v>
      </c>
      <c r="CG201" s="153">
        <f t="shared" ca="true" si="358"/>
        <v>10</v>
      </c>
      <c r="CH201" s="153">
        <f t="shared" ca="true" si="358"/>
        <v>11</v>
      </c>
      <c r="CI201" s="153">
        <f t="shared" ca="true" si="358"/>
        <v>52</v>
      </c>
      <c r="CJ201" s="153">
        <f t="shared" ca="true" si="358"/>
        <v>95</v>
      </c>
      <c r="CK201" s="153">
        <f t="shared" ca="true" si="358"/>
        <v>9</v>
      </c>
      <c r="CL201" s="153">
        <f t="shared" ca="true" si="358"/>
        <v>36</v>
      </c>
      <c r="CM201" s="153">
        <f t="shared" ca="true" si="358"/>
        <v>130</v>
      </c>
      <c r="CN201" s="153">
        <f t="shared" ca="true" si="358"/>
        <v>428</v>
      </c>
      <c r="CO201" s="153">
        <f t="shared" ca="true" si="358"/>
        <v>346</v>
      </c>
      <c r="CP201" s="153"/>
      <c r="CQ201" s="256">
        <f t="shared" ca="true" si="294"/>
        <v>1919</v>
      </c>
      <c r="CR201" s="205">
        <f t="shared" ca="true" si="295"/>
        <v>2160</v>
      </c>
      <c r="CS201" s="205">
        <f t="shared" ca="true" si="296"/>
        <v>-155</v>
      </c>
      <c r="CT201" s="258">
        <f t="shared" ca="true" si="297"/>
        <v>0</v>
      </c>
      <c r="CU201" s="257">
        <f t="shared" ca="true" si="298"/>
        <v>-155</v>
      </c>
      <c r="CV201" s="257">
        <f t="shared" ca="true" si="299"/>
        <v>-19</v>
      </c>
      <c r="CW201" s="256">
        <f t="shared" ca="true" si="300"/>
        <v>19</v>
      </c>
      <c r="CX201" s="205">
        <f t="shared" ca="true" si="301"/>
        <v>0</v>
      </c>
      <c r="CY201" s="205">
        <f t="shared" ca="true" si="302"/>
        <v>-155</v>
      </c>
      <c r="CZ201" s="205">
        <f t="shared" si="303"/>
        <v>0</v>
      </c>
      <c r="DA201" s="256">
        <f t="shared" si="304"/>
        <v>318</v>
      </c>
      <c r="DB201" s="259" t="s">
        <v>14002</v>
      </c>
    </row>
    <row r="202" spans="2:105">
      <c r="B202" s="161"/>
      <c r="E202" s="149"/>
      <c r="F202" s="152"/>
      <c r="G202" s="152"/>
      <c r="H202" s="152"/>
      <c r="I202" s="152"/>
      <c r="J202" s="152"/>
      <c r="K202" s="152"/>
      <c r="L202" s="205"/>
      <c r="M202" s="152"/>
      <c r="N202" s="152"/>
      <c r="O202" s="205"/>
      <c r="P202" s="152"/>
      <c r="Q202" s="152"/>
      <c r="R202" s="152"/>
      <c r="S202" s="152"/>
      <c r="T202" s="152"/>
      <c r="U202" s="152"/>
      <c r="V202" s="153"/>
      <c r="W202" s="152"/>
      <c r="X202" s="152"/>
      <c r="Y202" s="205"/>
      <c r="Z202" s="152"/>
      <c r="AA202" s="152"/>
      <c r="AB202" s="205"/>
      <c r="AC202" s="152"/>
      <c r="AD202" s="152"/>
      <c r="AE202" s="152"/>
      <c r="AF202" s="152"/>
      <c r="AG202" s="152"/>
      <c r="AH202" s="152"/>
      <c r="AI202" s="152"/>
      <c r="AJ202" s="152"/>
      <c r="AK202" s="152"/>
      <c r="AL202" s="205"/>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c r="BG202" s="152"/>
      <c r="BH202" s="152"/>
      <c r="BI202" s="152"/>
      <c r="BJ202" s="152"/>
      <c r="BK202" s="152"/>
      <c r="BL202" s="152"/>
      <c r="BM202" s="152"/>
      <c r="BN202" s="152"/>
      <c r="BO202" s="152"/>
      <c r="BP202" s="152"/>
      <c r="BQ202" s="152"/>
      <c r="BR202" s="152"/>
      <c r="BS202" s="152"/>
      <c r="BT202" s="152"/>
      <c r="BU202" s="152"/>
      <c r="BV202" s="152"/>
      <c r="BW202" s="152"/>
      <c r="BX202" s="152"/>
      <c r="BY202" s="152"/>
      <c r="BZ202" s="152"/>
      <c r="CA202" s="152"/>
      <c r="CB202" s="152"/>
      <c r="CC202" s="152"/>
      <c r="CD202" s="152"/>
      <c r="CE202" s="152"/>
      <c r="CF202" s="152"/>
      <c r="CG202" s="152"/>
      <c r="CH202" s="152"/>
      <c r="CI202" s="152"/>
      <c r="CJ202" s="152"/>
      <c r="CK202" s="152"/>
      <c r="CL202" s="152"/>
      <c r="CM202" s="152"/>
      <c r="CN202" s="152"/>
      <c r="CO202" s="152"/>
      <c r="CP202" s="152"/>
      <c r="CQ202" s="205"/>
      <c r="CR202" s="205"/>
      <c r="CS202" s="205"/>
      <c r="CT202" s="209"/>
      <c r="CU202" s="152"/>
      <c r="CV202" s="152"/>
      <c r="CW202" s="212"/>
      <c r="CX202" s="212"/>
      <c r="CY202" s="212"/>
      <c r="CZ202" s="205"/>
      <c r="DA202" s="205"/>
    </row>
    <row r="203" spans="1:106">
      <c r="A203" s="154">
        <f t="shared" ref="A203:A209" si="359">MAX(A199:A202)+1</f>
        <v>20</v>
      </c>
      <c r="B203" s="161">
        <f t="shared" ref="B203:B209" si="360">B202+1</f>
        <v>1</v>
      </c>
      <c r="D203" s="154" t="str">
        <f t="shared" ref="D203:D209" si="361">IF(D86="","",D86)</f>
        <v>Remodel &amp; IE</v>
      </c>
      <c r="E203" s="198">
        <f t="shared" ref="E203:E223" si="362">+F203+CS203+CZ203+DA203</f>
        <v>0</v>
      </c>
      <c r="F203" s="153">
        <f t="shared" ref="F203:F223" si="363">SUM(G203:K203,M203:N203,P203:U203,W203:X203,Z203:AA203,AC203:AK203,AM203:CP203)</f>
        <v>0</v>
      </c>
      <c r="G203" s="152">
        <f t="shared" ref="G203:G223" si="364">ROUND(G86/1000,0)</f>
        <v>0</v>
      </c>
      <c r="H203" s="152">
        <f t="shared" ref="H203:H223" si="365">ROUND(H86/1000,0)</f>
        <v>0</v>
      </c>
      <c r="I203" s="152">
        <f t="shared" ref="I203:I223" si="366">ROUND(I86/1000,0)</f>
        <v>0</v>
      </c>
      <c r="J203" s="152">
        <f t="shared" ref="J203:J223" si="367">ROUND(J86/1000,0)</f>
        <v>0</v>
      </c>
      <c r="K203" s="152">
        <f t="shared" ref="K203:K223" si="368">ROUND(K86/1000,0)</f>
        <v>0</v>
      </c>
      <c r="L203" s="205">
        <f t="shared" ref="L203:L223" si="369">+SUM(G203:K203)</f>
        <v>0</v>
      </c>
      <c r="M203" s="152">
        <f t="shared" ref="M203:M223" si="370">ROUND(M86/1000,0)</f>
        <v>0</v>
      </c>
      <c r="N203" s="152">
        <f t="shared" ref="N203:N223" si="371">ROUND(N86/1000,0)</f>
        <v>0</v>
      </c>
      <c r="O203" s="205">
        <f t="shared" ref="O203:O223" si="372">+SUM(M203:N203)</f>
        <v>0</v>
      </c>
      <c r="P203" s="152">
        <f t="shared" ref="P203:U203" si="373">ROUND(P86/1000,0)</f>
        <v>0</v>
      </c>
      <c r="Q203" s="152">
        <f t="shared" si="373"/>
        <v>0</v>
      </c>
      <c r="R203" s="152">
        <f t="shared" si="373"/>
        <v>0</v>
      </c>
      <c r="S203" s="152">
        <f t="shared" si="373"/>
        <v>0</v>
      </c>
      <c r="T203" s="152">
        <f t="shared" si="373"/>
        <v>0</v>
      </c>
      <c r="U203" s="152">
        <f t="shared" si="373"/>
        <v>0</v>
      </c>
      <c r="V203" s="153">
        <f t="shared" ref="V203:V223" si="374">+SUM(P203:U203)</f>
        <v>0</v>
      </c>
      <c r="W203" s="152">
        <f t="shared" ref="W203:W223" si="375">ROUND(W86/1000,0)</f>
        <v>0</v>
      </c>
      <c r="X203" s="152">
        <f t="shared" ref="X203:X223" si="376">ROUND(X86/1000,0)</f>
        <v>0</v>
      </c>
      <c r="Y203" s="205">
        <f t="shared" ref="Y203:Y223" si="377">SUM(V203:X203)</f>
        <v>0</v>
      </c>
      <c r="Z203" s="152">
        <f t="shared" ref="Z203:Z223" si="378">ROUND(Z86/1000,0)</f>
        <v>0</v>
      </c>
      <c r="AA203" s="152">
        <f t="shared" ref="AA203:AA223" si="379">ROUND(AA86/1000,0)</f>
        <v>0</v>
      </c>
      <c r="AB203" s="205">
        <f t="shared" ref="AB203:AB223" si="380">+SUM(Z203:AA203)</f>
        <v>0</v>
      </c>
      <c r="AC203" s="152">
        <f t="shared" ref="AC203:AK203" si="381">ROUND(AC86/1000,0)</f>
        <v>0</v>
      </c>
      <c r="AD203" s="152">
        <f t="shared" si="381"/>
        <v>0</v>
      </c>
      <c r="AE203" s="152">
        <f t="shared" si="381"/>
        <v>0</v>
      </c>
      <c r="AF203" s="152">
        <f t="shared" si="381"/>
        <v>0</v>
      </c>
      <c r="AG203" s="152">
        <f t="shared" si="381"/>
        <v>0</v>
      </c>
      <c r="AH203" s="152">
        <f t="shared" si="381"/>
        <v>0</v>
      </c>
      <c r="AI203" s="152">
        <f t="shared" si="381"/>
        <v>0</v>
      </c>
      <c r="AJ203" s="152">
        <f t="shared" si="381"/>
        <v>0</v>
      </c>
      <c r="AK203" s="152">
        <f t="shared" si="381"/>
        <v>0</v>
      </c>
      <c r="AL203" s="205">
        <f t="shared" ref="AL203:AL223" si="382">SUM(AF203:AK203)</f>
        <v>0</v>
      </c>
      <c r="AM203" s="152">
        <f t="shared" ref="AM203:CO203" si="383">ROUND(AM86/1000,0)</f>
        <v>0</v>
      </c>
      <c r="AN203" s="152">
        <f t="shared" si="383"/>
        <v>0</v>
      </c>
      <c r="AO203" s="152">
        <f t="shared" si="383"/>
        <v>0</v>
      </c>
      <c r="AP203" s="152">
        <f t="shared" si="383"/>
        <v>0</v>
      </c>
      <c r="AQ203" s="152">
        <f t="shared" si="383"/>
        <v>0</v>
      </c>
      <c r="AR203" s="152">
        <f t="shared" si="383"/>
        <v>0</v>
      </c>
      <c r="AS203" s="152">
        <f t="shared" si="383"/>
        <v>0</v>
      </c>
      <c r="AT203" s="152">
        <f t="shared" si="383"/>
        <v>0</v>
      </c>
      <c r="AU203" s="152">
        <f t="shared" si="383"/>
        <v>0</v>
      </c>
      <c r="AV203" s="152">
        <f t="shared" si="383"/>
        <v>0</v>
      </c>
      <c r="AW203" s="152">
        <f t="shared" si="383"/>
        <v>0</v>
      </c>
      <c r="AX203" s="152">
        <f t="shared" si="383"/>
        <v>0</v>
      </c>
      <c r="AY203" s="152">
        <f t="shared" si="383"/>
        <v>0</v>
      </c>
      <c r="AZ203" s="152">
        <f t="shared" si="383"/>
        <v>0</v>
      </c>
      <c r="BA203" s="152">
        <f t="shared" si="383"/>
        <v>0</v>
      </c>
      <c r="BB203" s="152">
        <f t="shared" si="383"/>
        <v>0</v>
      </c>
      <c r="BC203" s="152">
        <f t="shared" si="383"/>
        <v>0</v>
      </c>
      <c r="BD203" s="152">
        <f t="shared" si="383"/>
        <v>0</v>
      </c>
      <c r="BE203" s="152">
        <f t="shared" si="383"/>
        <v>0</v>
      </c>
      <c r="BF203" s="152">
        <f t="shared" si="383"/>
        <v>0</v>
      </c>
      <c r="BG203" s="152">
        <f t="shared" si="383"/>
        <v>0</v>
      </c>
      <c r="BH203" s="152">
        <f t="shared" si="383"/>
        <v>0</v>
      </c>
      <c r="BI203" s="152">
        <f t="shared" si="383"/>
        <v>0</v>
      </c>
      <c r="BJ203" s="152">
        <f t="shared" si="383"/>
        <v>0</v>
      </c>
      <c r="BK203" s="152">
        <f t="shared" si="383"/>
        <v>0</v>
      </c>
      <c r="BL203" s="152">
        <f t="shared" si="383"/>
        <v>0</v>
      </c>
      <c r="BM203" s="152">
        <f t="shared" si="383"/>
        <v>0</v>
      </c>
      <c r="BN203" s="152">
        <f t="shared" si="383"/>
        <v>0</v>
      </c>
      <c r="BO203" s="152">
        <f t="shared" si="383"/>
        <v>0</v>
      </c>
      <c r="BP203" s="152">
        <f t="shared" si="383"/>
        <v>0</v>
      </c>
      <c r="BQ203" s="152">
        <f t="shared" si="383"/>
        <v>0</v>
      </c>
      <c r="BR203" s="152">
        <f t="shared" si="383"/>
        <v>0</v>
      </c>
      <c r="BS203" s="152">
        <f t="shared" si="383"/>
        <v>0</v>
      </c>
      <c r="BT203" s="152">
        <f t="shared" si="383"/>
        <v>0</v>
      </c>
      <c r="BU203" s="152">
        <f t="shared" si="383"/>
        <v>0</v>
      </c>
      <c r="BV203" s="152">
        <f t="shared" si="383"/>
        <v>0</v>
      </c>
      <c r="BW203" s="152">
        <f t="shared" si="383"/>
        <v>0</v>
      </c>
      <c r="BX203" s="152">
        <f t="shared" si="383"/>
        <v>0</v>
      </c>
      <c r="BY203" s="152">
        <f t="shared" si="383"/>
        <v>0</v>
      </c>
      <c r="BZ203" s="152">
        <f t="shared" si="383"/>
        <v>0</v>
      </c>
      <c r="CA203" s="152">
        <f t="shared" si="383"/>
        <v>0</v>
      </c>
      <c r="CB203" s="152">
        <f t="shared" si="383"/>
        <v>0</v>
      </c>
      <c r="CC203" s="152">
        <f t="shared" si="383"/>
        <v>0</v>
      </c>
      <c r="CD203" s="152">
        <f t="shared" si="383"/>
        <v>0</v>
      </c>
      <c r="CE203" s="152">
        <f t="shared" si="383"/>
        <v>0</v>
      </c>
      <c r="CF203" s="152">
        <f t="shared" si="383"/>
        <v>0</v>
      </c>
      <c r="CG203" s="152">
        <f t="shared" si="383"/>
        <v>0</v>
      </c>
      <c r="CH203" s="152">
        <f t="shared" si="383"/>
        <v>0</v>
      </c>
      <c r="CI203" s="152">
        <f t="shared" si="383"/>
        <v>0</v>
      </c>
      <c r="CJ203" s="152">
        <f t="shared" si="383"/>
        <v>0</v>
      </c>
      <c r="CK203" s="152">
        <f t="shared" si="383"/>
        <v>0</v>
      </c>
      <c r="CL203" s="152">
        <f t="shared" si="383"/>
        <v>0</v>
      </c>
      <c r="CM203" s="152">
        <f t="shared" si="383"/>
        <v>0</v>
      </c>
      <c r="CN203" s="152">
        <f t="shared" si="383"/>
        <v>0</v>
      </c>
      <c r="CO203" s="152">
        <f t="shared" si="383"/>
        <v>0</v>
      </c>
      <c r="CP203" s="152"/>
      <c r="CQ203" s="205">
        <f t="shared" ref="CQ203:CQ223" si="384">+SUM(AM203:CP203)</f>
        <v>0</v>
      </c>
      <c r="CR203" s="205">
        <f t="shared" ref="CR203:CR223" si="385">SUM(AL203,CQ203)</f>
        <v>0</v>
      </c>
      <c r="CS203" s="205">
        <f t="shared" ref="CS203:CS223" si="386">SUM(CY203:CY203)</f>
        <v>0</v>
      </c>
      <c r="CT203" s="209">
        <f t="shared" ref="CT203:CT223" si="387">ROUND(CT86/1000,0)</f>
        <v>0</v>
      </c>
      <c r="CU203" s="152">
        <f t="shared" ref="CU203:CU223" si="388">ROUND(CU86/1000,0)</f>
        <v>0</v>
      </c>
      <c r="CV203" s="152">
        <f t="shared" ref="CV203:CV223" si="389">ROUND(CV86/1000,0)</f>
        <v>0</v>
      </c>
      <c r="CW203" s="212">
        <f t="shared" ref="CW203:CW223" si="390">ROUND(CW86/1000,0)</f>
        <v>0</v>
      </c>
      <c r="CX203" s="212">
        <f t="shared" ref="CX203:CX223" si="391">ROUND(CX86/1000,0)</f>
        <v>0</v>
      </c>
      <c r="CY203" s="212">
        <f t="shared" ref="CY203:CY223" si="392">SUM(CT203:CX203)</f>
        <v>0</v>
      </c>
      <c r="CZ203" s="205">
        <f t="shared" ref="CZ203:CZ223" si="393">ROUND(CZ86/1000,0)</f>
        <v>0</v>
      </c>
      <c r="DA203" s="205">
        <f t="shared" ref="DA203:DA223" si="394">ROUND(DA86/1000,0)</f>
        <v>0</v>
      </c>
      <c r="DB203" s="155" t="s">
        <v>13928</v>
      </c>
    </row>
    <row r="204" spans="1:106">
      <c r="A204" s="154">
        <f t="shared" si="359"/>
        <v>21</v>
      </c>
      <c r="B204" s="161">
        <f t="shared" si="360"/>
        <v>2</v>
      </c>
      <c r="D204" s="154" t="str">
        <f t="shared" si="361"/>
        <v>New Product</v>
      </c>
      <c r="E204" s="198">
        <f t="shared" si="362"/>
        <v>0</v>
      </c>
      <c r="F204" s="153">
        <f t="shared" si="363"/>
        <v>0</v>
      </c>
      <c r="G204" s="152">
        <f t="shared" si="364"/>
        <v>0</v>
      </c>
      <c r="H204" s="152">
        <f t="shared" si="365"/>
        <v>0</v>
      </c>
      <c r="I204" s="152">
        <f t="shared" si="366"/>
        <v>0</v>
      </c>
      <c r="J204" s="152">
        <f t="shared" si="367"/>
        <v>0</v>
      </c>
      <c r="K204" s="152">
        <f t="shared" si="368"/>
        <v>0</v>
      </c>
      <c r="L204" s="205">
        <f t="shared" si="369"/>
        <v>0</v>
      </c>
      <c r="M204" s="152">
        <f t="shared" si="370"/>
        <v>0</v>
      </c>
      <c r="N204" s="152">
        <f t="shared" si="371"/>
        <v>0</v>
      </c>
      <c r="O204" s="205">
        <f t="shared" si="372"/>
        <v>0</v>
      </c>
      <c r="P204" s="152">
        <f t="shared" ref="P204:U204" si="395">ROUND(P87/1000,0)</f>
        <v>0</v>
      </c>
      <c r="Q204" s="152">
        <f t="shared" si="395"/>
        <v>0</v>
      </c>
      <c r="R204" s="152">
        <f t="shared" si="395"/>
        <v>0</v>
      </c>
      <c r="S204" s="152">
        <f t="shared" si="395"/>
        <v>0</v>
      </c>
      <c r="T204" s="152">
        <f t="shared" si="395"/>
        <v>0</v>
      </c>
      <c r="U204" s="152">
        <f t="shared" si="395"/>
        <v>0</v>
      </c>
      <c r="V204" s="153">
        <f t="shared" si="374"/>
        <v>0</v>
      </c>
      <c r="W204" s="152">
        <f t="shared" si="375"/>
        <v>0</v>
      </c>
      <c r="X204" s="152">
        <f t="shared" si="376"/>
        <v>0</v>
      </c>
      <c r="Y204" s="205">
        <f t="shared" si="377"/>
        <v>0</v>
      </c>
      <c r="Z204" s="152">
        <f t="shared" si="378"/>
        <v>0</v>
      </c>
      <c r="AA204" s="152">
        <f t="shared" si="379"/>
        <v>0</v>
      </c>
      <c r="AB204" s="205">
        <f t="shared" si="380"/>
        <v>0</v>
      </c>
      <c r="AC204" s="152">
        <f t="shared" ref="AC204:AK204" si="396">ROUND(AC87/1000,0)</f>
        <v>0</v>
      </c>
      <c r="AD204" s="152">
        <f t="shared" si="396"/>
        <v>0</v>
      </c>
      <c r="AE204" s="152">
        <f t="shared" si="396"/>
        <v>0</v>
      </c>
      <c r="AF204" s="152">
        <f t="shared" si="396"/>
        <v>0</v>
      </c>
      <c r="AG204" s="152">
        <f t="shared" si="396"/>
        <v>0</v>
      </c>
      <c r="AH204" s="152">
        <f t="shared" si="396"/>
        <v>0</v>
      </c>
      <c r="AI204" s="152">
        <f t="shared" si="396"/>
        <v>0</v>
      </c>
      <c r="AJ204" s="152">
        <f t="shared" si="396"/>
        <v>0</v>
      </c>
      <c r="AK204" s="152">
        <f t="shared" si="396"/>
        <v>0</v>
      </c>
      <c r="AL204" s="205">
        <f t="shared" si="382"/>
        <v>0</v>
      </c>
      <c r="AM204" s="152">
        <f t="shared" ref="AM204:CO204" si="397">ROUND(AM87/1000,0)</f>
        <v>0</v>
      </c>
      <c r="AN204" s="152">
        <f t="shared" si="397"/>
        <v>0</v>
      </c>
      <c r="AO204" s="152">
        <f t="shared" si="397"/>
        <v>0</v>
      </c>
      <c r="AP204" s="152">
        <f t="shared" si="397"/>
        <v>0</v>
      </c>
      <c r="AQ204" s="152">
        <f t="shared" si="397"/>
        <v>0</v>
      </c>
      <c r="AR204" s="152">
        <f t="shared" si="397"/>
        <v>0</v>
      </c>
      <c r="AS204" s="152">
        <f t="shared" si="397"/>
        <v>0</v>
      </c>
      <c r="AT204" s="152">
        <f t="shared" si="397"/>
        <v>0</v>
      </c>
      <c r="AU204" s="152">
        <f t="shared" si="397"/>
        <v>0</v>
      </c>
      <c r="AV204" s="152">
        <f t="shared" si="397"/>
        <v>0</v>
      </c>
      <c r="AW204" s="152">
        <f t="shared" si="397"/>
        <v>0</v>
      </c>
      <c r="AX204" s="152">
        <f t="shared" si="397"/>
        <v>0</v>
      </c>
      <c r="AY204" s="152">
        <f t="shared" si="397"/>
        <v>0</v>
      </c>
      <c r="AZ204" s="152">
        <f t="shared" si="397"/>
        <v>0</v>
      </c>
      <c r="BA204" s="152">
        <f t="shared" si="397"/>
        <v>0</v>
      </c>
      <c r="BB204" s="152">
        <f t="shared" si="397"/>
        <v>0</v>
      </c>
      <c r="BC204" s="152">
        <f t="shared" si="397"/>
        <v>0</v>
      </c>
      <c r="BD204" s="152">
        <f t="shared" si="397"/>
        <v>0</v>
      </c>
      <c r="BE204" s="152">
        <f t="shared" si="397"/>
        <v>0</v>
      </c>
      <c r="BF204" s="152">
        <f t="shared" si="397"/>
        <v>0</v>
      </c>
      <c r="BG204" s="152">
        <f t="shared" si="397"/>
        <v>0</v>
      </c>
      <c r="BH204" s="152">
        <f t="shared" si="397"/>
        <v>0</v>
      </c>
      <c r="BI204" s="152">
        <f t="shared" si="397"/>
        <v>0</v>
      </c>
      <c r="BJ204" s="152">
        <f t="shared" si="397"/>
        <v>0</v>
      </c>
      <c r="BK204" s="152">
        <f t="shared" si="397"/>
        <v>0</v>
      </c>
      <c r="BL204" s="152">
        <f t="shared" si="397"/>
        <v>0</v>
      </c>
      <c r="BM204" s="152">
        <f t="shared" si="397"/>
        <v>0</v>
      </c>
      <c r="BN204" s="152">
        <f t="shared" si="397"/>
        <v>0</v>
      </c>
      <c r="BO204" s="152">
        <f t="shared" si="397"/>
        <v>0</v>
      </c>
      <c r="BP204" s="152">
        <f t="shared" si="397"/>
        <v>0</v>
      </c>
      <c r="BQ204" s="152">
        <f t="shared" si="397"/>
        <v>0</v>
      </c>
      <c r="BR204" s="152">
        <f t="shared" si="397"/>
        <v>0</v>
      </c>
      <c r="BS204" s="152">
        <f t="shared" si="397"/>
        <v>0</v>
      </c>
      <c r="BT204" s="152">
        <f t="shared" si="397"/>
        <v>0</v>
      </c>
      <c r="BU204" s="152">
        <f t="shared" si="397"/>
        <v>0</v>
      </c>
      <c r="BV204" s="152">
        <f t="shared" si="397"/>
        <v>0</v>
      </c>
      <c r="BW204" s="152">
        <f t="shared" si="397"/>
        <v>0</v>
      </c>
      <c r="BX204" s="152">
        <f t="shared" si="397"/>
        <v>0</v>
      </c>
      <c r="BY204" s="152">
        <f t="shared" si="397"/>
        <v>0</v>
      </c>
      <c r="BZ204" s="152">
        <f t="shared" si="397"/>
        <v>0</v>
      </c>
      <c r="CA204" s="152">
        <f t="shared" si="397"/>
        <v>0</v>
      </c>
      <c r="CB204" s="152">
        <f t="shared" si="397"/>
        <v>0</v>
      </c>
      <c r="CC204" s="152">
        <f t="shared" si="397"/>
        <v>0</v>
      </c>
      <c r="CD204" s="152">
        <f t="shared" si="397"/>
        <v>0</v>
      </c>
      <c r="CE204" s="152">
        <f t="shared" si="397"/>
        <v>0</v>
      </c>
      <c r="CF204" s="152">
        <f t="shared" si="397"/>
        <v>0</v>
      </c>
      <c r="CG204" s="152">
        <f t="shared" si="397"/>
        <v>0</v>
      </c>
      <c r="CH204" s="152">
        <f t="shared" si="397"/>
        <v>0</v>
      </c>
      <c r="CI204" s="152">
        <f t="shared" si="397"/>
        <v>0</v>
      </c>
      <c r="CJ204" s="152">
        <f t="shared" si="397"/>
        <v>0</v>
      </c>
      <c r="CK204" s="152">
        <f t="shared" si="397"/>
        <v>0</v>
      </c>
      <c r="CL204" s="152">
        <f t="shared" si="397"/>
        <v>0</v>
      </c>
      <c r="CM204" s="152">
        <f t="shared" si="397"/>
        <v>0</v>
      </c>
      <c r="CN204" s="152">
        <f t="shared" si="397"/>
        <v>0</v>
      </c>
      <c r="CO204" s="152">
        <f t="shared" si="397"/>
        <v>0</v>
      </c>
      <c r="CP204" s="152"/>
      <c r="CQ204" s="205">
        <f t="shared" si="384"/>
        <v>0</v>
      </c>
      <c r="CR204" s="205">
        <f t="shared" si="385"/>
        <v>0</v>
      </c>
      <c r="CS204" s="205">
        <f t="shared" si="386"/>
        <v>0</v>
      </c>
      <c r="CT204" s="209">
        <f t="shared" si="387"/>
        <v>0</v>
      </c>
      <c r="CU204" s="152">
        <f t="shared" si="388"/>
        <v>0</v>
      </c>
      <c r="CV204" s="152">
        <f t="shared" si="389"/>
        <v>0</v>
      </c>
      <c r="CW204" s="212">
        <f t="shared" si="390"/>
        <v>0</v>
      </c>
      <c r="CX204" s="212">
        <f t="shared" si="391"/>
        <v>0</v>
      </c>
      <c r="CY204" s="212">
        <f t="shared" si="392"/>
        <v>0</v>
      </c>
      <c r="CZ204" s="205">
        <f t="shared" si="393"/>
        <v>0</v>
      </c>
      <c r="DA204" s="205">
        <f t="shared" si="394"/>
        <v>0</v>
      </c>
      <c r="DB204" s="155" t="s">
        <v>13929</v>
      </c>
    </row>
    <row r="205" spans="1:106">
      <c r="A205" s="154">
        <f t="shared" si="359"/>
        <v>22</v>
      </c>
      <c r="B205" s="161">
        <f t="shared" si="360"/>
        <v>3</v>
      </c>
      <c r="D205" s="154" t="str">
        <f t="shared" si="361"/>
        <v>New Site</v>
      </c>
      <c r="E205" s="198">
        <f t="shared" si="362"/>
        <v>0</v>
      </c>
      <c r="F205" s="153">
        <f t="shared" si="363"/>
        <v>0</v>
      </c>
      <c r="G205" s="152">
        <f t="shared" si="364"/>
        <v>0</v>
      </c>
      <c r="H205" s="152">
        <f t="shared" si="365"/>
        <v>0</v>
      </c>
      <c r="I205" s="152">
        <f t="shared" si="366"/>
        <v>0</v>
      </c>
      <c r="J205" s="152">
        <f t="shared" si="367"/>
        <v>0</v>
      </c>
      <c r="K205" s="152">
        <f t="shared" si="368"/>
        <v>0</v>
      </c>
      <c r="L205" s="205">
        <f t="shared" si="369"/>
        <v>0</v>
      </c>
      <c r="M205" s="152">
        <f t="shared" si="370"/>
        <v>0</v>
      </c>
      <c r="N205" s="152">
        <f t="shared" si="371"/>
        <v>0</v>
      </c>
      <c r="O205" s="205">
        <f t="shared" si="372"/>
        <v>0</v>
      </c>
      <c r="P205" s="152">
        <f t="shared" ref="P205:U205" si="398">ROUND(P88/1000,0)</f>
        <v>0</v>
      </c>
      <c r="Q205" s="152">
        <f t="shared" si="398"/>
        <v>0</v>
      </c>
      <c r="R205" s="152">
        <f t="shared" si="398"/>
        <v>0</v>
      </c>
      <c r="S205" s="152">
        <f t="shared" si="398"/>
        <v>0</v>
      </c>
      <c r="T205" s="152">
        <f t="shared" si="398"/>
        <v>0</v>
      </c>
      <c r="U205" s="152">
        <f t="shared" si="398"/>
        <v>0</v>
      </c>
      <c r="V205" s="153">
        <f t="shared" si="374"/>
        <v>0</v>
      </c>
      <c r="W205" s="152">
        <f t="shared" si="375"/>
        <v>0</v>
      </c>
      <c r="X205" s="152">
        <f t="shared" si="376"/>
        <v>0</v>
      </c>
      <c r="Y205" s="205">
        <f t="shared" si="377"/>
        <v>0</v>
      </c>
      <c r="Z205" s="152">
        <f t="shared" si="378"/>
        <v>0</v>
      </c>
      <c r="AA205" s="152">
        <f t="shared" si="379"/>
        <v>0</v>
      </c>
      <c r="AB205" s="205">
        <f t="shared" si="380"/>
        <v>0</v>
      </c>
      <c r="AC205" s="152">
        <f t="shared" ref="AC205:AK205" si="399">ROUND(AC88/1000,0)</f>
        <v>0</v>
      </c>
      <c r="AD205" s="152">
        <f t="shared" si="399"/>
        <v>0</v>
      </c>
      <c r="AE205" s="152">
        <f t="shared" si="399"/>
        <v>0</v>
      </c>
      <c r="AF205" s="152">
        <f t="shared" si="399"/>
        <v>0</v>
      </c>
      <c r="AG205" s="152">
        <f t="shared" si="399"/>
        <v>0</v>
      </c>
      <c r="AH205" s="152">
        <f t="shared" si="399"/>
        <v>0</v>
      </c>
      <c r="AI205" s="152">
        <f t="shared" si="399"/>
        <v>0</v>
      </c>
      <c r="AJ205" s="152">
        <f t="shared" si="399"/>
        <v>0</v>
      </c>
      <c r="AK205" s="152">
        <f t="shared" si="399"/>
        <v>0</v>
      </c>
      <c r="AL205" s="205">
        <f t="shared" si="382"/>
        <v>0</v>
      </c>
      <c r="AM205" s="152">
        <f t="shared" ref="AM205:CO205" si="400">ROUND(AM88/1000,0)</f>
        <v>0</v>
      </c>
      <c r="AN205" s="152">
        <f t="shared" si="400"/>
        <v>0</v>
      </c>
      <c r="AO205" s="152">
        <f t="shared" si="400"/>
        <v>0</v>
      </c>
      <c r="AP205" s="152">
        <f t="shared" si="400"/>
        <v>0</v>
      </c>
      <c r="AQ205" s="152">
        <f t="shared" si="400"/>
        <v>0</v>
      </c>
      <c r="AR205" s="152">
        <f t="shared" si="400"/>
        <v>0</v>
      </c>
      <c r="AS205" s="152">
        <f t="shared" si="400"/>
        <v>0</v>
      </c>
      <c r="AT205" s="152">
        <f t="shared" si="400"/>
        <v>0</v>
      </c>
      <c r="AU205" s="152">
        <f t="shared" si="400"/>
        <v>0</v>
      </c>
      <c r="AV205" s="152">
        <f t="shared" si="400"/>
        <v>0</v>
      </c>
      <c r="AW205" s="152">
        <f t="shared" si="400"/>
        <v>0</v>
      </c>
      <c r="AX205" s="152">
        <f t="shared" si="400"/>
        <v>0</v>
      </c>
      <c r="AY205" s="152">
        <f t="shared" si="400"/>
        <v>0</v>
      </c>
      <c r="AZ205" s="152">
        <f t="shared" si="400"/>
        <v>0</v>
      </c>
      <c r="BA205" s="152">
        <f t="shared" si="400"/>
        <v>0</v>
      </c>
      <c r="BB205" s="152">
        <f t="shared" si="400"/>
        <v>0</v>
      </c>
      <c r="BC205" s="152">
        <f t="shared" si="400"/>
        <v>0</v>
      </c>
      <c r="BD205" s="152">
        <f t="shared" si="400"/>
        <v>0</v>
      </c>
      <c r="BE205" s="152">
        <f t="shared" si="400"/>
        <v>0</v>
      </c>
      <c r="BF205" s="152">
        <f t="shared" si="400"/>
        <v>0</v>
      </c>
      <c r="BG205" s="152">
        <f t="shared" si="400"/>
        <v>0</v>
      </c>
      <c r="BH205" s="152">
        <f t="shared" si="400"/>
        <v>0</v>
      </c>
      <c r="BI205" s="152">
        <f t="shared" si="400"/>
        <v>0</v>
      </c>
      <c r="BJ205" s="152">
        <f t="shared" si="400"/>
        <v>0</v>
      </c>
      <c r="BK205" s="152">
        <f t="shared" si="400"/>
        <v>0</v>
      </c>
      <c r="BL205" s="152">
        <f t="shared" si="400"/>
        <v>0</v>
      </c>
      <c r="BM205" s="152">
        <f t="shared" si="400"/>
        <v>0</v>
      </c>
      <c r="BN205" s="152">
        <f t="shared" si="400"/>
        <v>0</v>
      </c>
      <c r="BO205" s="152">
        <f t="shared" si="400"/>
        <v>0</v>
      </c>
      <c r="BP205" s="152">
        <f t="shared" si="400"/>
        <v>0</v>
      </c>
      <c r="BQ205" s="152">
        <f t="shared" si="400"/>
        <v>0</v>
      </c>
      <c r="BR205" s="152">
        <f t="shared" si="400"/>
        <v>0</v>
      </c>
      <c r="BS205" s="152">
        <f t="shared" si="400"/>
        <v>0</v>
      </c>
      <c r="BT205" s="152">
        <f t="shared" si="400"/>
        <v>0</v>
      </c>
      <c r="BU205" s="152">
        <f t="shared" si="400"/>
        <v>0</v>
      </c>
      <c r="BV205" s="152">
        <f t="shared" si="400"/>
        <v>0</v>
      </c>
      <c r="BW205" s="152">
        <f t="shared" si="400"/>
        <v>0</v>
      </c>
      <c r="BX205" s="152">
        <f t="shared" si="400"/>
        <v>0</v>
      </c>
      <c r="BY205" s="152">
        <f t="shared" si="400"/>
        <v>0</v>
      </c>
      <c r="BZ205" s="152">
        <f t="shared" si="400"/>
        <v>0</v>
      </c>
      <c r="CA205" s="152">
        <f t="shared" si="400"/>
        <v>0</v>
      </c>
      <c r="CB205" s="152">
        <f t="shared" si="400"/>
        <v>0</v>
      </c>
      <c r="CC205" s="152">
        <f t="shared" si="400"/>
        <v>0</v>
      </c>
      <c r="CD205" s="152">
        <f t="shared" si="400"/>
        <v>0</v>
      </c>
      <c r="CE205" s="152">
        <f t="shared" si="400"/>
        <v>0</v>
      </c>
      <c r="CF205" s="152">
        <f t="shared" si="400"/>
        <v>0</v>
      </c>
      <c r="CG205" s="152">
        <f t="shared" si="400"/>
        <v>0</v>
      </c>
      <c r="CH205" s="152">
        <f t="shared" si="400"/>
        <v>0</v>
      </c>
      <c r="CI205" s="152">
        <f t="shared" si="400"/>
        <v>0</v>
      </c>
      <c r="CJ205" s="152">
        <f t="shared" si="400"/>
        <v>0</v>
      </c>
      <c r="CK205" s="152">
        <f t="shared" si="400"/>
        <v>0</v>
      </c>
      <c r="CL205" s="152">
        <f t="shared" si="400"/>
        <v>0</v>
      </c>
      <c r="CM205" s="152">
        <f t="shared" si="400"/>
        <v>0</v>
      </c>
      <c r="CN205" s="152">
        <f t="shared" si="400"/>
        <v>0</v>
      </c>
      <c r="CO205" s="152">
        <f t="shared" si="400"/>
        <v>0</v>
      </c>
      <c r="CP205" s="152"/>
      <c r="CQ205" s="205">
        <f t="shared" si="384"/>
        <v>0</v>
      </c>
      <c r="CR205" s="205">
        <f t="shared" si="385"/>
        <v>0</v>
      </c>
      <c r="CS205" s="205">
        <f t="shared" si="386"/>
        <v>0</v>
      </c>
      <c r="CT205" s="209">
        <f t="shared" si="387"/>
        <v>0</v>
      </c>
      <c r="CU205" s="152">
        <f t="shared" si="388"/>
        <v>0</v>
      </c>
      <c r="CV205" s="152">
        <f t="shared" si="389"/>
        <v>0</v>
      </c>
      <c r="CW205" s="212">
        <f t="shared" si="390"/>
        <v>0</v>
      </c>
      <c r="CX205" s="212">
        <f t="shared" si="391"/>
        <v>0</v>
      </c>
      <c r="CY205" s="212">
        <f t="shared" si="392"/>
        <v>0</v>
      </c>
      <c r="CZ205" s="205">
        <f t="shared" si="393"/>
        <v>0</v>
      </c>
      <c r="DA205" s="205">
        <f t="shared" si="394"/>
        <v>0</v>
      </c>
      <c r="DB205" s="155" t="s">
        <v>13930</v>
      </c>
    </row>
    <row r="206" spans="1:106">
      <c r="A206" s="154">
        <f t="shared" si="359"/>
        <v>23</v>
      </c>
      <c r="B206" s="161">
        <f t="shared" si="360"/>
        <v>4</v>
      </c>
      <c r="D206" s="154" t="str">
        <f t="shared" si="361"/>
        <v>PM Expenses</v>
      </c>
      <c r="E206" s="198">
        <f t="shared" si="362"/>
        <v>-290</v>
      </c>
      <c r="F206" s="153">
        <f t="shared" si="363"/>
        <v>-290</v>
      </c>
      <c r="G206" s="152">
        <f t="shared" si="364"/>
        <v>0</v>
      </c>
      <c r="H206" s="152">
        <f t="shared" si="365"/>
        <v>0</v>
      </c>
      <c r="I206" s="152">
        <f t="shared" si="366"/>
        <v>0</v>
      </c>
      <c r="J206" s="152">
        <f t="shared" si="367"/>
        <v>0</v>
      </c>
      <c r="K206" s="152">
        <f t="shared" si="368"/>
        <v>0</v>
      </c>
      <c r="L206" s="205">
        <f t="shared" si="369"/>
        <v>0</v>
      </c>
      <c r="M206" s="152">
        <f t="shared" si="370"/>
        <v>0</v>
      </c>
      <c r="N206" s="152">
        <f t="shared" si="371"/>
        <v>0</v>
      </c>
      <c r="O206" s="205">
        <f t="shared" si="372"/>
        <v>0</v>
      </c>
      <c r="P206" s="152">
        <f t="shared" ref="P206:U206" si="401">ROUND(P89/1000,0)</f>
        <v>0</v>
      </c>
      <c r="Q206" s="152">
        <f t="shared" si="401"/>
        <v>0</v>
      </c>
      <c r="R206" s="152">
        <f t="shared" si="401"/>
        <v>0</v>
      </c>
      <c r="S206" s="152">
        <f t="shared" si="401"/>
        <v>0</v>
      </c>
      <c r="T206" s="152">
        <f t="shared" si="401"/>
        <v>0</v>
      </c>
      <c r="U206" s="152">
        <f t="shared" si="401"/>
        <v>0</v>
      </c>
      <c r="V206" s="153">
        <f t="shared" si="374"/>
        <v>0</v>
      </c>
      <c r="W206" s="152">
        <f t="shared" si="375"/>
        <v>0</v>
      </c>
      <c r="X206" s="152">
        <f t="shared" si="376"/>
        <v>0</v>
      </c>
      <c r="Y206" s="205">
        <f t="shared" si="377"/>
        <v>0</v>
      </c>
      <c r="Z206" s="152">
        <f t="shared" si="378"/>
        <v>0</v>
      </c>
      <c r="AA206" s="152">
        <f t="shared" si="379"/>
        <v>0</v>
      </c>
      <c r="AB206" s="205">
        <f t="shared" si="380"/>
        <v>0</v>
      </c>
      <c r="AC206" s="152">
        <f t="shared" ref="AC206:AK206" si="402">ROUND(AC89/1000,0)</f>
        <v>0</v>
      </c>
      <c r="AD206" s="152">
        <f t="shared" si="402"/>
        <v>0</v>
      </c>
      <c r="AE206" s="152">
        <f t="shared" si="402"/>
        <v>0</v>
      </c>
      <c r="AF206" s="152">
        <f t="shared" si="402"/>
        <v>-3</v>
      </c>
      <c r="AG206" s="152">
        <f t="shared" si="402"/>
        <v>-5</v>
      </c>
      <c r="AH206" s="152">
        <f t="shared" si="402"/>
        <v>0</v>
      </c>
      <c r="AI206" s="152">
        <f t="shared" si="402"/>
        <v>0</v>
      </c>
      <c r="AJ206" s="152">
        <f t="shared" si="402"/>
        <v>-8</v>
      </c>
      <c r="AK206" s="152">
        <f t="shared" si="402"/>
        <v>0</v>
      </c>
      <c r="AL206" s="205">
        <f t="shared" si="382"/>
        <v>-16</v>
      </c>
      <c r="AM206" s="152">
        <f t="shared" ref="AM206:CO206" si="403">ROUND(AM89/1000,0)</f>
        <v>0</v>
      </c>
      <c r="AN206" s="152">
        <f t="shared" si="403"/>
        <v>-6</v>
      </c>
      <c r="AO206" s="152">
        <f t="shared" si="403"/>
        <v>-12</v>
      </c>
      <c r="AP206" s="152">
        <f t="shared" si="403"/>
        <v>0</v>
      </c>
      <c r="AQ206" s="152">
        <f t="shared" si="403"/>
        <v>-12</v>
      </c>
      <c r="AR206" s="152">
        <f t="shared" si="403"/>
        <v>0</v>
      </c>
      <c r="AS206" s="152">
        <f t="shared" si="403"/>
        <v>0</v>
      </c>
      <c r="AT206" s="152">
        <f t="shared" si="403"/>
        <v>0</v>
      </c>
      <c r="AU206" s="152">
        <f t="shared" si="403"/>
        <v>0</v>
      </c>
      <c r="AV206" s="152">
        <f t="shared" si="403"/>
        <v>0</v>
      </c>
      <c r="AW206" s="152">
        <f t="shared" si="403"/>
        <v>0</v>
      </c>
      <c r="AX206" s="152">
        <f t="shared" si="403"/>
        <v>0</v>
      </c>
      <c r="AY206" s="152">
        <f t="shared" si="403"/>
        <v>0</v>
      </c>
      <c r="AZ206" s="152">
        <f t="shared" si="403"/>
        <v>-2</v>
      </c>
      <c r="BA206" s="152">
        <f t="shared" si="403"/>
        <v>0</v>
      </c>
      <c r="BB206" s="152">
        <f t="shared" si="403"/>
        <v>0</v>
      </c>
      <c r="BC206" s="152">
        <f t="shared" si="403"/>
        <v>-16</v>
      </c>
      <c r="BD206" s="152">
        <f t="shared" si="403"/>
        <v>-1</v>
      </c>
      <c r="BE206" s="152">
        <f t="shared" si="403"/>
        <v>0</v>
      </c>
      <c r="BF206" s="152">
        <f t="shared" si="403"/>
        <v>0</v>
      </c>
      <c r="BG206" s="152">
        <f t="shared" si="403"/>
        <v>0</v>
      </c>
      <c r="BH206" s="152">
        <f t="shared" si="403"/>
        <v>0</v>
      </c>
      <c r="BI206" s="152">
        <f t="shared" si="403"/>
        <v>0</v>
      </c>
      <c r="BJ206" s="152">
        <f t="shared" si="403"/>
        <v>0</v>
      </c>
      <c r="BK206" s="152">
        <f t="shared" si="403"/>
        <v>-1</v>
      </c>
      <c r="BL206" s="152">
        <f t="shared" si="403"/>
        <v>0</v>
      </c>
      <c r="BM206" s="152">
        <f t="shared" si="403"/>
        <v>0</v>
      </c>
      <c r="BN206" s="152">
        <f t="shared" si="403"/>
        <v>0</v>
      </c>
      <c r="BO206" s="152">
        <f t="shared" si="403"/>
        <v>0</v>
      </c>
      <c r="BP206" s="152">
        <f t="shared" si="403"/>
        <v>-1</v>
      </c>
      <c r="BQ206" s="152">
        <f t="shared" si="403"/>
        <v>-2</v>
      </c>
      <c r="BR206" s="152">
        <f t="shared" si="403"/>
        <v>-11</v>
      </c>
      <c r="BS206" s="152">
        <f t="shared" si="403"/>
        <v>0</v>
      </c>
      <c r="BT206" s="152">
        <f t="shared" si="403"/>
        <v>0</v>
      </c>
      <c r="BU206" s="152">
        <f t="shared" si="403"/>
        <v>0</v>
      </c>
      <c r="BV206" s="152">
        <f t="shared" si="403"/>
        <v>0</v>
      </c>
      <c r="BW206" s="152">
        <f t="shared" si="403"/>
        <v>-7</v>
      </c>
      <c r="BX206" s="152">
        <f t="shared" si="403"/>
        <v>-14</v>
      </c>
      <c r="BY206" s="152">
        <f t="shared" si="403"/>
        <v>0</v>
      </c>
      <c r="BZ206" s="152">
        <f t="shared" si="403"/>
        <v>-19</v>
      </c>
      <c r="CA206" s="152">
        <f t="shared" si="403"/>
        <v>0</v>
      </c>
      <c r="CB206" s="152">
        <f t="shared" si="403"/>
        <v>-1</v>
      </c>
      <c r="CC206" s="152">
        <f t="shared" si="403"/>
        <v>0</v>
      </c>
      <c r="CD206" s="152">
        <f t="shared" si="403"/>
        <v>-8</v>
      </c>
      <c r="CE206" s="152">
        <f t="shared" si="403"/>
        <v>-10</v>
      </c>
      <c r="CF206" s="152">
        <f t="shared" si="403"/>
        <v>-12</v>
      </c>
      <c r="CG206" s="152">
        <f t="shared" si="403"/>
        <v>0</v>
      </c>
      <c r="CH206" s="152">
        <f t="shared" si="403"/>
        <v>-4</v>
      </c>
      <c r="CI206" s="152">
        <f t="shared" si="403"/>
        <v>-7</v>
      </c>
      <c r="CJ206" s="152">
        <f t="shared" si="403"/>
        <v>-24</v>
      </c>
      <c r="CK206" s="152">
        <f t="shared" si="403"/>
        <v>-1</v>
      </c>
      <c r="CL206" s="152">
        <f t="shared" si="403"/>
        <v>-8</v>
      </c>
      <c r="CM206" s="152">
        <f t="shared" si="403"/>
        <v>-11</v>
      </c>
      <c r="CN206" s="152">
        <f t="shared" si="403"/>
        <v>-69</v>
      </c>
      <c r="CO206" s="152">
        <f t="shared" si="403"/>
        <v>-15</v>
      </c>
      <c r="CP206" s="152"/>
      <c r="CQ206" s="205">
        <f t="shared" si="384"/>
        <v>-274</v>
      </c>
      <c r="CR206" s="205">
        <f t="shared" si="385"/>
        <v>-290</v>
      </c>
      <c r="CS206" s="205">
        <f t="shared" si="386"/>
        <v>0</v>
      </c>
      <c r="CT206" s="209">
        <f t="shared" si="387"/>
        <v>0</v>
      </c>
      <c r="CU206" s="152">
        <f t="shared" si="388"/>
        <v>0</v>
      </c>
      <c r="CV206" s="152">
        <f t="shared" si="389"/>
        <v>0</v>
      </c>
      <c r="CW206" s="212">
        <f t="shared" si="390"/>
        <v>0</v>
      </c>
      <c r="CX206" s="212">
        <f t="shared" si="391"/>
        <v>0</v>
      </c>
      <c r="CY206" s="212">
        <f t="shared" si="392"/>
        <v>0</v>
      </c>
      <c r="CZ206" s="205">
        <f t="shared" si="393"/>
        <v>0</v>
      </c>
      <c r="DA206" s="205">
        <f t="shared" si="394"/>
        <v>0</v>
      </c>
      <c r="DB206" s="155" t="s">
        <v>13899</v>
      </c>
    </row>
    <row r="207" spans="1:106">
      <c r="A207" s="226">
        <f t="shared" si="359"/>
        <v>24</v>
      </c>
      <c r="B207" s="227">
        <f t="shared" si="360"/>
        <v>5</v>
      </c>
      <c r="C207" s="226"/>
      <c r="D207" s="226" t="str">
        <f t="shared" si="361"/>
        <v>Other Capital</v>
      </c>
      <c r="E207" s="234">
        <f t="shared" si="362"/>
        <v>0</v>
      </c>
      <c r="F207" s="234">
        <f t="shared" si="363"/>
        <v>0</v>
      </c>
      <c r="G207" s="235">
        <f t="shared" si="364"/>
        <v>0</v>
      </c>
      <c r="H207" s="235">
        <f t="shared" si="365"/>
        <v>0</v>
      </c>
      <c r="I207" s="235">
        <f t="shared" si="366"/>
        <v>0</v>
      </c>
      <c r="J207" s="235">
        <f t="shared" si="367"/>
        <v>0</v>
      </c>
      <c r="K207" s="235">
        <f t="shared" si="368"/>
        <v>0</v>
      </c>
      <c r="L207" s="241">
        <f t="shared" si="369"/>
        <v>0</v>
      </c>
      <c r="M207" s="235">
        <f t="shared" si="370"/>
        <v>0</v>
      </c>
      <c r="N207" s="235">
        <f t="shared" si="371"/>
        <v>0</v>
      </c>
      <c r="O207" s="241">
        <f t="shared" si="372"/>
        <v>0</v>
      </c>
      <c r="P207" s="235">
        <f t="shared" ref="P207:U207" si="404">ROUND(P90/1000,0)</f>
        <v>0</v>
      </c>
      <c r="Q207" s="235">
        <f t="shared" si="404"/>
        <v>0</v>
      </c>
      <c r="R207" s="235">
        <f t="shared" si="404"/>
        <v>0</v>
      </c>
      <c r="S207" s="235">
        <f t="shared" si="404"/>
        <v>0</v>
      </c>
      <c r="T207" s="235">
        <f t="shared" si="404"/>
        <v>0</v>
      </c>
      <c r="U207" s="235">
        <f t="shared" si="404"/>
        <v>0</v>
      </c>
      <c r="V207" s="234">
        <f t="shared" si="374"/>
        <v>0</v>
      </c>
      <c r="W207" s="235">
        <f t="shared" si="375"/>
        <v>0</v>
      </c>
      <c r="X207" s="235">
        <f t="shared" si="376"/>
        <v>0</v>
      </c>
      <c r="Y207" s="241">
        <f t="shared" si="377"/>
        <v>0</v>
      </c>
      <c r="Z207" s="235">
        <f t="shared" si="378"/>
        <v>0</v>
      </c>
      <c r="AA207" s="235">
        <f t="shared" si="379"/>
        <v>0</v>
      </c>
      <c r="AB207" s="241">
        <f t="shared" si="380"/>
        <v>0</v>
      </c>
      <c r="AC207" s="235">
        <f t="shared" ref="AC207:AK207" si="405">ROUND(AC90/1000,0)</f>
        <v>0</v>
      </c>
      <c r="AD207" s="235">
        <f t="shared" si="405"/>
        <v>0</v>
      </c>
      <c r="AE207" s="235">
        <f t="shared" si="405"/>
        <v>0</v>
      </c>
      <c r="AF207" s="235">
        <f t="shared" si="405"/>
        <v>0</v>
      </c>
      <c r="AG207" s="235">
        <f t="shared" si="405"/>
        <v>0</v>
      </c>
      <c r="AH207" s="235">
        <f t="shared" si="405"/>
        <v>0</v>
      </c>
      <c r="AI207" s="235">
        <f t="shared" si="405"/>
        <v>0</v>
      </c>
      <c r="AJ207" s="235">
        <f t="shared" si="405"/>
        <v>0</v>
      </c>
      <c r="AK207" s="235">
        <f t="shared" si="405"/>
        <v>0</v>
      </c>
      <c r="AL207" s="241">
        <f t="shared" si="382"/>
        <v>0</v>
      </c>
      <c r="AM207" s="235">
        <f t="shared" ref="AM207:CO207" si="406">ROUND(AM90/1000,0)</f>
        <v>0</v>
      </c>
      <c r="AN207" s="235">
        <f t="shared" si="406"/>
        <v>0</v>
      </c>
      <c r="AO207" s="235">
        <f t="shared" si="406"/>
        <v>0</v>
      </c>
      <c r="AP207" s="235">
        <f t="shared" si="406"/>
        <v>0</v>
      </c>
      <c r="AQ207" s="235">
        <f t="shared" si="406"/>
        <v>0</v>
      </c>
      <c r="AR207" s="235">
        <f t="shared" si="406"/>
        <v>0</v>
      </c>
      <c r="AS207" s="235">
        <f t="shared" si="406"/>
        <v>0</v>
      </c>
      <c r="AT207" s="235">
        <f t="shared" si="406"/>
        <v>0</v>
      </c>
      <c r="AU207" s="235">
        <f t="shared" si="406"/>
        <v>0</v>
      </c>
      <c r="AV207" s="235">
        <f t="shared" si="406"/>
        <v>0</v>
      </c>
      <c r="AW207" s="235">
        <f t="shared" si="406"/>
        <v>0</v>
      </c>
      <c r="AX207" s="235">
        <f t="shared" si="406"/>
        <v>0</v>
      </c>
      <c r="AY207" s="235">
        <f t="shared" si="406"/>
        <v>0</v>
      </c>
      <c r="AZ207" s="235">
        <f t="shared" si="406"/>
        <v>0</v>
      </c>
      <c r="BA207" s="235">
        <f t="shared" si="406"/>
        <v>0</v>
      </c>
      <c r="BB207" s="235">
        <f t="shared" si="406"/>
        <v>0</v>
      </c>
      <c r="BC207" s="235">
        <f t="shared" si="406"/>
        <v>0</v>
      </c>
      <c r="BD207" s="235">
        <f t="shared" si="406"/>
        <v>0</v>
      </c>
      <c r="BE207" s="235">
        <f t="shared" si="406"/>
        <v>0</v>
      </c>
      <c r="BF207" s="235">
        <f t="shared" si="406"/>
        <v>0</v>
      </c>
      <c r="BG207" s="235">
        <f t="shared" si="406"/>
        <v>0</v>
      </c>
      <c r="BH207" s="235">
        <f t="shared" si="406"/>
        <v>0</v>
      </c>
      <c r="BI207" s="235">
        <f t="shared" si="406"/>
        <v>0</v>
      </c>
      <c r="BJ207" s="235">
        <f t="shared" si="406"/>
        <v>0</v>
      </c>
      <c r="BK207" s="235">
        <f t="shared" si="406"/>
        <v>0</v>
      </c>
      <c r="BL207" s="235">
        <f t="shared" si="406"/>
        <v>0</v>
      </c>
      <c r="BM207" s="235">
        <f t="shared" si="406"/>
        <v>0</v>
      </c>
      <c r="BN207" s="235">
        <f t="shared" si="406"/>
        <v>0</v>
      </c>
      <c r="BO207" s="235">
        <f t="shared" si="406"/>
        <v>0</v>
      </c>
      <c r="BP207" s="235">
        <f t="shared" si="406"/>
        <v>0</v>
      </c>
      <c r="BQ207" s="235">
        <f t="shared" si="406"/>
        <v>0</v>
      </c>
      <c r="BR207" s="235">
        <f t="shared" si="406"/>
        <v>0</v>
      </c>
      <c r="BS207" s="235">
        <f t="shared" si="406"/>
        <v>0</v>
      </c>
      <c r="BT207" s="235">
        <f t="shared" si="406"/>
        <v>0</v>
      </c>
      <c r="BU207" s="235">
        <f t="shared" si="406"/>
        <v>0</v>
      </c>
      <c r="BV207" s="235">
        <f t="shared" si="406"/>
        <v>0</v>
      </c>
      <c r="BW207" s="235">
        <f t="shared" si="406"/>
        <v>0</v>
      </c>
      <c r="BX207" s="235">
        <f t="shared" si="406"/>
        <v>0</v>
      </c>
      <c r="BY207" s="235">
        <f t="shared" si="406"/>
        <v>0</v>
      </c>
      <c r="BZ207" s="235">
        <f t="shared" si="406"/>
        <v>0</v>
      </c>
      <c r="CA207" s="235">
        <f t="shared" si="406"/>
        <v>0</v>
      </c>
      <c r="CB207" s="235">
        <f t="shared" si="406"/>
        <v>0</v>
      </c>
      <c r="CC207" s="235">
        <f t="shared" si="406"/>
        <v>0</v>
      </c>
      <c r="CD207" s="235">
        <f t="shared" si="406"/>
        <v>0</v>
      </c>
      <c r="CE207" s="235">
        <f t="shared" si="406"/>
        <v>0</v>
      </c>
      <c r="CF207" s="235">
        <f t="shared" si="406"/>
        <v>0</v>
      </c>
      <c r="CG207" s="235">
        <f t="shared" si="406"/>
        <v>0</v>
      </c>
      <c r="CH207" s="235">
        <f t="shared" si="406"/>
        <v>0</v>
      </c>
      <c r="CI207" s="235">
        <f t="shared" si="406"/>
        <v>0</v>
      </c>
      <c r="CJ207" s="235">
        <f t="shared" si="406"/>
        <v>0</v>
      </c>
      <c r="CK207" s="235">
        <f t="shared" si="406"/>
        <v>0</v>
      </c>
      <c r="CL207" s="235">
        <f t="shared" si="406"/>
        <v>0</v>
      </c>
      <c r="CM207" s="235">
        <f t="shared" si="406"/>
        <v>0</v>
      </c>
      <c r="CN207" s="235">
        <f t="shared" si="406"/>
        <v>0</v>
      </c>
      <c r="CO207" s="235">
        <f t="shared" si="406"/>
        <v>0</v>
      </c>
      <c r="CP207" s="235"/>
      <c r="CQ207" s="241">
        <f t="shared" si="384"/>
        <v>0</v>
      </c>
      <c r="CR207" s="241">
        <f t="shared" si="385"/>
        <v>0</v>
      </c>
      <c r="CS207" s="241">
        <f t="shared" si="386"/>
        <v>0</v>
      </c>
      <c r="CT207" s="246">
        <f t="shared" si="387"/>
        <v>0</v>
      </c>
      <c r="CU207" s="235">
        <f t="shared" si="388"/>
        <v>0</v>
      </c>
      <c r="CV207" s="235">
        <f t="shared" si="389"/>
        <v>0</v>
      </c>
      <c r="CW207" s="249">
        <f t="shared" si="390"/>
        <v>0</v>
      </c>
      <c r="CX207" s="249">
        <f t="shared" si="391"/>
        <v>0</v>
      </c>
      <c r="CY207" s="249">
        <f t="shared" si="392"/>
        <v>0</v>
      </c>
      <c r="CZ207" s="241">
        <f t="shared" si="393"/>
        <v>0</v>
      </c>
      <c r="DA207" s="241">
        <f t="shared" si="394"/>
        <v>0</v>
      </c>
      <c r="DB207" s="193" t="s">
        <v>13931</v>
      </c>
    </row>
    <row r="208" spans="1:106">
      <c r="A208" s="154">
        <f t="shared" si="359"/>
        <v>25</v>
      </c>
      <c r="B208" s="161">
        <f t="shared" si="360"/>
        <v>6</v>
      </c>
      <c r="D208" s="154" t="str">
        <f t="shared" si="361"/>
        <v>Total Capital Expenditures</v>
      </c>
      <c r="E208" s="198">
        <f t="shared" si="362"/>
        <v>-290</v>
      </c>
      <c r="F208" s="153">
        <f t="shared" si="363"/>
        <v>-290</v>
      </c>
      <c r="G208" s="152">
        <f t="shared" si="364"/>
        <v>0</v>
      </c>
      <c r="H208" s="152">
        <f t="shared" si="365"/>
        <v>0</v>
      </c>
      <c r="I208" s="152">
        <f t="shared" si="366"/>
        <v>0</v>
      </c>
      <c r="J208" s="152">
        <f t="shared" si="367"/>
        <v>0</v>
      </c>
      <c r="K208" s="152">
        <f t="shared" si="368"/>
        <v>0</v>
      </c>
      <c r="L208" s="205">
        <f t="shared" si="369"/>
        <v>0</v>
      </c>
      <c r="M208" s="152">
        <f t="shared" si="370"/>
        <v>0</v>
      </c>
      <c r="N208" s="152">
        <f t="shared" si="371"/>
        <v>0</v>
      </c>
      <c r="O208" s="205">
        <f t="shared" si="372"/>
        <v>0</v>
      </c>
      <c r="P208" s="152">
        <f t="shared" ref="P208:U208" si="407">ROUND(P91/1000,0)</f>
        <v>0</v>
      </c>
      <c r="Q208" s="152">
        <f t="shared" si="407"/>
        <v>0</v>
      </c>
      <c r="R208" s="152">
        <f t="shared" si="407"/>
        <v>0</v>
      </c>
      <c r="S208" s="152">
        <f t="shared" si="407"/>
        <v>0</v>
      </c>
      <c r="T208" s="152">
        <f t="shared" si="407"/>
        <v>0</v>
      </c>
      <c r="U208" s="152">
        <f t="shared" si="407"/>
        <v>0</v>
      </c>
      <c r="V208" s="153">
        <f t="shared" si="374"/>
        <v>0</v>
      </c>
      <c r="W208" s="152">
        <f t="shared" si="375"/>
        <v>0</v>
      </c>
      <c r="X208" s="152">
        <f t="shared" si="376"/>
        <v>0</v>
      </c>
      <c r="Y208" s="205">
        <f t="shared" si="377"/>
        <v>0</v>
      </c>
      <c r="Z208" s="152">
        <f t="shared" si="378"/>
        <v>0</v>
      </c>
      <c r="AA208" s="152">
        <f t="shared" si="379"/>
        <v>0</v>
      </c>
      <c r="AB208" s="205">
        <f t="shared" si="380"/>
        <v>0</v>
      </c>
      <c r="AC208" s="152">
        <f t="shared" ref="AC208:AK208" si="408">ROUND(AC91/1000,0)</f>
        <v>0</v>
      </c>
      <c r="AD208" s="152">
        <f t="shared" si="408"/>
        <v>0</v>
      </c>
      <c r="AE208" s="152">
        <f t="shared" si="408"/>
        <v>0</v>
      </c>
      <c r="AF208" s="152">
        <f t="shared" si="408"/>
        <v>-3</v>
      </c>
      <c r="AG208" s="152">
        <f t="shared" si="408"/>
        <v>-5</v>
      </c>
      <c r="AH208" s="152">
        <f t="shared" si="408"/>
        <v>0</v>
      </c>
      <c r="AI208" s="152">
        <f t="shared" si="408"/>
        <v>0</v>
      </c>
      <c r="AJ208" s="152">
        <f t="shared" si="408"/>
        <v>-8</v>
      </c>
      <c r="AK208" s="152">
        <f t="shared" si="408"/>
        <v>0</v>
      </c>
      <c r="AL208" s="205">
        <f t="shared" si="382"/>
        <v>-16</v>
      </c>
      <c r="AM208" s="152">
        <f t="shared" ref="AM208:CO208" si="409">ROUND(AM91/1000,0)</f>
        <v>0</v>
      </c>
      <c r="AN208" s="152">
        <f t="shared" si="409"/>
        <v>-6</v>
      </c>
      <c r="AO208" s="152">
        <f t="shared" si="409"/>
        <v>-12</v>
      </c>
      <c r="AP208" s="152">
        <f t="shared" si="409"/>
        <v>0</v>
      </c>
      <c r="AQ208" s="152">
        <f t="shared" si="409"/>
        <v>-12</v>
      </c>
      <c r="AR208" s="152">
        <f t="shared" si="409"/>
        <v>0</v>
      </c>
      <c r="AS208" s="152">
        <f t="shared" si="409"/>
        <v>0</v>
      </c>
      <c r="AT208" s="152">
        <f t="shared" si="409"/>
        <v>0</v>
      </c>
      <c r="AU208" s="152">
        <f t="shared" si="409"/>
        <v>0</v>
      </c>
      <c r="AV208" s="152">
        <f t="shared" si="409"/>
        <v>0</v>
      </c>
      <c r="AW208" s="152">
        <f t="shared" si="409"/>
        <v>0</v>
      </c>
      <c r="AX208" s="152">
        <f t="shared" si="409"/>
        <v>0</v>
      </c>
      <c r="AY208" s="152">
        <f t="shared" si="409"/>
        <v>0</v>
      </c>
      <c r="AZ208" s="152">
        <f t="shared" si="409"/>
        <v>-2</v>
      </c>
      <c r="BA208" s="152">
        <f t="shared" si="409"/>
        <v>0</v>
      </c>
      <c r="BB208" s="152">
        <f t="shared" si="409"/>
        <v>0</v>
      </c>
      <c r="BC208" s="152">
        <f t="shared" si="409"/>
        <v>-16</v>
      </c>
      <c r="BD208" s="152">
        <f t="shared" si="409"/>
        <v>-1</v>
      </c>
      <c r="BE208" s="152">
        <f t="shared" si="409"/>
        <v>0</v>
      </c>
      <c r="BF208" s="152">
        <f t="shared" si="409"/>
        <v>0</v>
      </c>
      <c r="BG208" s="152">
        <f t="shared" si="409"/>
        <v>0</v>
      </c>
      <c r="BH208" s="152">
        <f t="shared" si="409"/>
        <v>0</v>
      </c>
      <c r="BI208" s="152">
        <f t="shared" si="409"/>
        <v>0</v>
      </c>
      <c r="BJ208" s="152">
        <f t="shared" si="409"/>
        <v>0</v>
      </c>
      <c r="BK208" s="152">
        <f t="shared" si="409"/>
        <v>-1</v>
      </c>
      <c r="BL208" s="152">
        <f t="shared" si="409"/>
        <v>0</v>
      </c>
      <c r="BM208" s="152">
        <f t="shared" si="409"/>
        <v>0</v>
      </c>
      <c r="BN208" s="152">
        <f t="shared" si="409"/>
        <v>0</v>
      </c>
      <c r="BO208" s="152">
        <f t="shared" si="409"/>
        <v>0</v>
      </c>
      <c r="BP208" s="152">
        <f t="shared" si="409"/>
        <v>-1</v>
      </c>
      <c r="BQ208" s="152">
        <f t="shared" si="409"/>
        <v>-2</v>
      </c>
      <c r="BR208" s="152">
        <f t="shared" si="409"/>
        <v>-11</v>
      </c>
      <c r="BS208" s="152">
        <f t="shared" si="409"/>
        <v>0</v>
      </c>
      <c r="BT208" s="152">
        <f t="shared" si="409"/>
        <v>0</v>
      </c>
      <c r="BU208" s="152">
        <f t="shared" si="409"/>
        <v>0</v>
      </c>
      <c r="BV208" s="152">
        <f t="shared" si="409"/>
        <v>0</v>
      </c>
      <c r="BW208" s="152">
        <f t="shared" si="409"/>
        <v>-7</v>
      </c>
      <c r="BX208" s="152">
        <f t="shared" si="409"/>
        <v>-14</v>
      </c>
      <c r="BY208" s="152">
        <f t="shared" si="409"/>
        <v>0</v>
      </c>
      <c r="BZ208" s="152">
        <f t="shared" si="409"/>
        <v>-19</v>
      </c>
      <c r="CA208" s="152">
        <f t="shared" si="409"/>
        <v>0</v>
      </c>
      <c r="CB208" s="152">
        <f t="shared" si="409"/>
        <v>-1</v>
      </c>
      <c r="CC208" s="152">
        <f t="shared" si="409"/>
        <v>0</v>
      </c>
      <c r="CD208" s="152">
        <f t="shared" si="409"/>
        <v>-8</v>
      </c>
      <c r="CE208" s="152">
        <f t="shared" si="409"/>
        <v>-10</v>
      </c>
      <c r="CF208" s="152">
        <f t="shared" si="409"/>
        <v>-12</v>
      </c>
      <c r="CG208" s="152">
        <f t="shared" si="409"/>
        <v>0</v>
      </c>
      <c r="CH208" s="152">
        <f t="shared" si="409"/>
        <v>-4</v>
      </c>
      <c r="CI208" s="152">
        <f t="shared" si="409"/>
        <v>-7</v>
      </c>
      <c r="CJ208" s="152">
        <f t="shared" si="409"/>
        <v>-24</v>
      </c>
      <c r="CK208" s="152">
        <f t="shared" si="409"/>
        <v>-1</v>
      </c>
      <c r="CL208" s="152">
        <f t="shared" si="409"/>
        <v>-8</v>
      </c>
      <c r="CM208" s="152">
        <f t="shared" si="409"/>
        <v>-11</v>
      </c>
      <c r="CN208" s="152">
        <f t="shared" si="409"/>
        <v>-69</v>
      </c>
      <c r="CO208" s="152">
        <f t="shared" si="409"/>
        <v>-15</v>
      </c>
      <c r="CP208" s="152"/>
      <c r="CQ208" s="205">
        <f t="shared" si="384"/>
        <v>-274</v>
      </c>
      <c r="CR208" s="205">
        <f t="shared" si="385"/>
        <v>-290</v>
      </c>
      <c r="CS208" s="205">
        <f t="shared" si="386"/>
        <v>0</v>
      </c>
      <c r="CT208" s="209">
        <f t="shared" si="387"/>
        <v>0</v>
      </c>
      <c r="CU208" s="152">
        <f t="shared" si="388"/>
        <v>0</v>
      </c>
      <c r="CV208" s="152">
        <f t="shared" si="389"/>
        <v>0</v>
      </c>
      <c r="CW208" s="212">
        <f t="shared" si="390"/>
        <v>0</v>
      </c>
      <c r="CX208" s="212">
        <f t="shared" si="391"/>
        <v>0</v>
      </c>
      <c r="CY208" s="212">
        <f t="shared" si="392"/>
        <v>0</v>
      </c>
      <c r="CZ208" s="205">
        <f t="shared" si="393"/>
        <v>0</v>
      </c>
      <c r="DA208" s="205">
        <f t="shared" si="394"/>
        <v>0</v>
      </c>
      <c r="DB208" s="155" t="s">
        <v>13932</v>
      </c>
    </row>
    <row r="209" spans="1:106">
      <c r="A209" s="154">
        <f t="shared" si="359"/>
        <v>26</v>
      </c>
      <c r="B209" s="161">
        <f t="shared" si="360"/>
        <v>7</v>
      </c>
      <c r="D209" s="154" t="str">
        <f t="shared" si="361"/>
        <v>Legal Settlements</v>
      </c>
      <c r="E209" s="198">
        <f t="shared" si="362"/>
        <v>0</v>
      </c>
      <c r="F209" s="153">
        <f t="shared" si="363"/>
        <v>0</v>
      </c>
      <c r="G209" s="152">
        <f t="shared" si="364"/>
        <v>0</v>
      </c>
      <c r="H209" s="152">
        <f t="shared" si="365"/>
        <v>0</v>
      </c>
      <c r="I209" s="152">
        <f t="shared" si="366"/>
        <v>0</v>
      </c>
      <c r="J209" s="152">
        <f t="shared" si="367"/>
        <v>0</v>
      </c>
      <c r="K209" s="152">
        <f t="shared" si="368"/>
        <v>0</v>
      </c>
      <c r="L209" s="205">
        <f t="shared" si="369"/>
        <v>0</v>
      </c>
      <c r="M209" s="152">
        <f t="shared" si="370"/>
        <v>0</v>
      </c>
      <c r="N209" s="152">
        <f t="shared" si="371"/>
        <v>0</v>
      </c>
      <c r="O209" s="205">
        <f t="shared" si="372"/>
        <v>0</v>
      </c>
      <c r="P209" s="152">
        <f t="shared" ref="P209:U209" si="410">ROUND(P92/1000,0)</f>
        <v>0</v>
      </c>
      <c r="Q209" s="152">
        <f t="shared" si="410"/>
        <v>0</v>
      </c>
      <c r="R209" s="152">
        <f t="shared" si="410"/>
        <v>0</v>
      </c>
      <c r="S209" s="152">
        <f t="shared" si="410"/>
        <v>0</v>
      </c>
      <c r="T209" s="152">
        <f t="shared" si="410"/>
        <v>0</v>
      </c>
      <c r="U209" s="152">
        <f t="shared" si="410"/>
        <v>0</v>
      </c>
      <c r="V209" s="153">
        <f t="shared" si="374"/>
        <v>0</v>
      </c>
      <c r="W209" s="152">
        <f t="shared" si="375"/>
        <v>0</v>
      </c>
      <c r="X209" s="152">
        <f t="shared" si="376"/>
        <v>0</v>
      </c>
      <c r="Y209" s="205">
        <f t="shared" si="377"/>
        <v>0</v>
      </c>
      <c r="Z209" s="152">
        <f t="shared" si="378"/>
        <v>0</v>
      </c>
      <c r="AA209" s="152">
        <f t="shared" si="379"/>
        <v>0</v>
      </c>
      <c r="AB209" s="205">
        <f t="shared" si="380"/>
        <v>0</v>
      </c>
      <c r="AC209" s="152">
        <f t="shared" ref="AC209:AK209" si="411">ROUND(AC92/1000,0)</f>
        <v>0</v>
      </c>
      <c r="AD209" s="152">
        <f t="shared" si="411"/>
        <v>0</v>
      </c>
      <c r="AE209" s="152">
        <f t="shared" si="411"/>
        <v>0</v>
      </c>
      <c r="AF209" s="152">
        <f t="shared" si="411"/>
        <v>0</v>
      </c>
      <c r="AG209" s="152">
        <f t="shared" si="411"/>
        <v>0</v>
      </c>
      <c r="AH209" s="152">
        <f t="shared" si="411"/>
        <v>0</v>
      </c>
      <c r="AI209" s="152">
        <f t="shared" si="411"/>
        <v>0</v>
      </c>
      <c r="AJ209" s="152">
        <f t="shared" si="411"/>
        <v>0</v>
      </c>
      <c r="AK209" s="152">
        <f t="shared" si="411"/>
        <v>0</v>
      </c>
      <c r="AL209" s="205">
        <f t="shared" si="382"/>
        <v>0</v>
      </c>
      <c r="AM209" s="152">
        <f t="shared" ref="AM209:CO209" si="412">ROUND(AM92/1000,0)</f>
        <v>0</v>
      </c>
      <c r="AN209" s="152">
        <f t="shared" si="412"/>
        <v>0</v>
      </c>
      <c r="AO209" s="152">
        <f t="shared" si="412"/>
        <v>0</v>
      </c>
      <c r="AP209" s="152">
        <f t="shared" si="412"/>
        <v>0</v>
      </c>
      <c r="AQ209" s="152">
        <f t="shared" si="412"/>
        <v>0</v>
      </c>
      <c r="AR209" s="152">
        <f t="shared" si="412"/>
        <v>0</v>
      </c>
      <c r="AS209" s="152">
        <f t="shared" si="412"/>
        <v>0</v>
      </c>
      <c r="AT209" s="152">
        <f t="shared" si="412"/>
        <v>0</v>
      </c>
      <c r="AU209" s="152">
        <f t="shared" si="412"/>
        <v>0</v>
      </c>
      <c r="AV209" s="152">
        <f t="shared" si="412"/>
        <v>0</v>
      </c>
      <c r="AW209" s="152">
        <f t="shared" si="412"/>
        <v>0</v>
      </c>
      <c r="AX209" s="152">
        <f t="shared" si="412"/>
        <v>0</v>
      </c>
      <c r="AY209" s="152">
        <f t="shared" si="412"/>
        <v>0</v>
      </c>
      <c r="AZ209" s="152">
        <f t="shared" si="412"/>
        <v>0</v>
      </c>
      <c r="BA209" s="152">
        <f t="shared" si="412"/>
        <v>0</v>
      </c>
      <c r="BB209" s="152">
        <f t="shared" si="412"/>
        <v>0</v>
      </c>
      <c r="BC209" s="152">
        <f t="shared" si="412"/>
        <v>0</v>
      </c>
      <c r="BD209" s="152">
        <f t="shared" si="412"/>
        <v>0</v>
      </c>
      <c r="BE209" s="152">
        <f t="shared" si="412"/>
        <v>0</v>
      </c>
      <c r="BF209" s="152">
        <f t="shared" si="412"/>
        <v>0</v>
      </c>
      <c r="BG209" s="152">
        <f t="shared" si="412"/>
        <v>0</v>
      </c>
      <c r="BH209" s="152">
        <f t="shared" si="412"/>
        <v>0</v>
      </c>
      <c r="BI209" s="152">
        <f t="shared" si="412"/>
        <v>0</v>
      </c>
      <c r="BJ209" s="152">
        <f t="shared" si="412"/>
        <v>0</v>
      </c>
      <c r="BK209" s="152">
        <f t="shared" si="412"/>
        <v>0</v>
      </c>
      <c r="BL209" s="152">
        <f t="shared" si="412"/>
        <v>0</v>
      </c>
      <c r="BM209" s="152">
        <f t="shared" si="412"/>
        <v>0</v>
      </c>
      <c r="BN209" s="152">
        <f t="shared" si="412"/>
        <v>0</v>
      </c>
      <c r="BO209" s="152">
        <f t="shared" si="412"/>
        <v>0</v>
      </c>
      <c r="BP209" s="152">
        <f t="shared" si="412"/>
        <v>0</v>
      </c>
      <c r="BQ209" s="152">
        <f t="shared" si="412"/>
        <v>0</v>
      </c>
      <c r="BR209" s="152">
        <f t="shared" si="412"/>
        <v>0</v>
      </c>
      <c r="BS209" s="152">
        <f t="shared" si="412"/>
        <v>0</v>
      </c>
      <c r="BT209" s="152">
        <f t="shared" si="412"/>
        <v>0</v>
      </c>
      <c r="BU209" s="152">
        <f t="shared" si="412"/>
        <v>0</v>
      </c>
      <c r="BV209" s="152">
        <f t="shared" si="412"/>
        <v>0</v>
      </c>
      <c r="BW209" s="152">
        <f t="shared" si="412"/>
        <v>0</v>
      </c>
      <c r="BX209" s="152">
        <f t="shared" si="412"/>
        <v>0</v>
      </c>
      <c r="BY209" s="152">
        <f t="shared" si="412"/>
        <v>0</v>
      </c>
      <c r="BZ209" s="152">
        <f t="shared" si="412"/>
        <v>0</v>
      </c>
      <c r="CA209" s="152">
        <f t="shared" si="412"/>
        <v>0</v>
      </c>
      <c r="CB209" s="152">
        <f t="shared" si="412"/>
        <v>0</v>
      </c>
      <c r="CC209" s="152">
        <f t="shared" si="412"/>
        <v>0</v>
      </c>
      <c r="CD209" s="152">
        <f t="shared" si="412"/>
        <v>0</v>
      </c>
      <c r="CE209" s="152">
        <f t="shared" si="412"/>
        <v>0</v>
      </c>
      <c r="CF209" s="152">
        <f t="shared" si="412"/>
        <v>0</v>
      </c>
      <c r="CG209" s="152">
        <f t="shared" si="412"/>
        <v>0</v>
      </c>
      <c r="CH209" s="152">
        <f t="shared" si="412"/>
        <v>0</v>
      </c>
      <c r="CI209" s="152">
        <f t="shared" si="412"/>
        <v>0</v>
      </c>
      <c r="CJ209" s="152">
        <f t="shared" si="412"/>
        <v>0</v>
      </c>
      <c r="CK209" s="152">
        <f t="shared" si="412"/>
        <v>0</v>
      </c>
      <c r="CL209" s="152">
        <f t="shared" si="412"/>
        <v>0</v>
      </c>
      <c r="CM209" s="152">
        <f t="shared" si="412"/>
        <v>0</v>
      </c>
      <c r="CN209" s="152">
        <f t="shared" si="412"/>
        <v>0</v>
      </c>
      <c r="CO209" s="152">
        <f t="shared" si="412"/>
        <v>0</v>
      </c>
      <c r="CP209" s="152"/>
      <c r="CQ209" s="205">
        <f t="shared" si="384"/>
        <v>0</v>
      </c>
      <c r="CR209" s="205">
        <f t="shared" si="385"/>
        <v>0</v>
      </c>
      <c r="CS209" s="205">
        <f t="shared" si="386"/>
        <v>0</v>
      </c>
      <c r="CT209" s="209">
        <f t="shared" si="387"/>
        <v>0</v>
      </c>
      <c r="CU209" s="152">
        <f t="shared" si="388"/>
        <v>0</v>
      </c>
      <c r="CV209" s="152">
        <f t="shared" si="389"/>
        <v>0</v>
      </c>
      <c r="CW209" s="212">
        <f t="shared" si="390"/>
        <v>0</v>
      </c>
      <c r="CX209" s="212">
        <f t="shared" si="391"/>
        <v>0</v>
      </c>
      <c r="CY209" s="212">
        <f t="shared" si="392"/>
        <v>0</v>
      </c>
      <c r="CZ209" s="205">
        <f t="shared" si="393"/>
        <v>0</v>
      </c>
      <c r="DA209" s="205">
        <f t="shared" si="394"/>
        <v>0</v>
      </c>
      <c r="DB209" s="155" t="s">
        <v>13933</v>
      </c>
    </row>
    <row r="210" spans="2:105">
      <c r="B210" s="161"/>
      <c r="C210" s="195"/>
      <c r="D210" s="154" t="s">
        <v>13934</v>
      </c>
      <c r="E210" s="198">
        <f t="shared" si="362"/>
        <v>0</v>
      </c>
      <c r="F210" s="153">
        <f t="shared" si="363"/>
        <v>0</v>
      </c>
      <c r="G210" s="152">
        <f t="shared" si="364"/>
        <v>0</v>
      </c>
      <c r="H210" s="152">
        <f t="shared" si="365"/>
        <v>0</v>
      </c>
      <c r="I210" s="152">
        <f t="shared" si="366"/>
        <v>0</v>
      </c>
      <c r="J210" s="152">
        <f t="shared" si="367"/>
        <v>0</v>
      </c>
      <c r="K210" s="152">
        <f t="shared" si="368"/>
        <v>0</v>
      </c>
      <c r="L210" s="205">
        <f t="shared" si="369"/>
        <v>0</v>
      </c>
      <c r="M210" s="152">
        <f t="shared" si="370"/>
        <v>0</v>
      </c>
      <c r="N210" s="152">
        <f t="shared" si="371"/>
        <v>0</v>
      </c>
      <c r="O210" s="205">
        <f t="shared" si="372"/>
        <v>0</v>
      </c>
      <c r="P210" s="152">
        <f t="shared" ref="P210:U210" si="413">ROUND(P93/1000,0)</f>
        <v>0</v>
      </c>
      <c r="Q210" s="152">
        <f t="shared" si="413"/>
        <v>0</v>
      </c>
      <c r="R210" s="152">
        <f t="shared" si="413"/>
        <v>0</v>
      </c>
      <c r="S210" s="152">
        <f t="shared" si="413"/>
        <v>0</v>
      </c>
      <c r="T210" s="152">
        <f t="shared" si="413"/>
        <v>0</v>
      </c>
      <c r="U210" s="152">
        <f t="shared" si="413"/>
        <v>0</v>
      </c>
      <c r="V210" s="153">
        <f t="shared" si="374"/>
        <v>0</v>
      </c>
      <c r="W210" s="152">
        <f t="shared" si="375"/>
        <v>0</v>
      </c>
      <c r="X210" s="152">
        <f t="shared" si="376"/>
        <v>0</v>
      </c>
      <c r="Y210" s="205">
        <f t="shared" si="377"/>
        <v>0</v>
      </c>
      <c r="Z210" s="152">
        <f t="shared" si="378"/>
        <v>0</v>
      </c>
      <c r="AA210" s="152">
        <f t="shared" si="379"/>
        <v>0</v>
      </c>
      <c r="AB210" s="205">
        <f t="shared" si="380"/>
        <v>0</v>
      </c>
      <c r="AC210" s="152">
        <f t="shared" ref="AC210:AK210" si="414">ROUND(AC93/1000,0)</f>
        <v>0</v>
      </c>
      <c r="AD210" s="152">
        <f t="shared" si="414"/>
        <v>0</v>
      </c>
      <c r="AE210" s="152">
        <f t="shared" si="414"/>
        <v>0</v>
      </c>
      <c r="AF210" s="152">
        <f t="shared" si="414"/>
        <v>0</v>
      </c>
      <c r="AG210" s="152">
        <f t="shared" si="414"/>
        <v>0</v>
      </c>
      <c r="AH210" s="152">
        <f t="shared" si="414"/>
        <v>0</v>
      </c>
      <c r="AI210" s="152">
        <f t="shared" si="414"/>
        <v>0</v>
      </c>
      <c r="AJ210" s="152">
        <f t="shared" si="414"/>
        <v>0</v>
      </c>
      <c r="AK210" s="152">
        <f t="shared" si="414"/>
        <v>0</v>
      </c>
      <c r="AL210" s="205">
        <f t="shared" si="382"/>
        <v>0</v>
      </c>
      <c r="AM210" s="152">
        <f t="shared" ref="AM210:CO210" si="415">ROUND(AM93/1000,0)</f>
        <v>0</v>
      </c>
      <c r="AN210" s="152">
        <f t="shared" si="415"/>
        <v>0</v>
      </c>
      <c r="AO210" s="152">
        <f t="shared" si="415"/>
        <v>0</v>
      </c>
      <c r="AP210" s="152">
        <f t="shared" si="415"/>
        <v>0</v>
      </c>
      <c r="AQ210" s="152">
        <f t="shared" si="415"/>
        <v>0</v>
      </c>
      <c r="AR210" s="152">
        <f t="shared" si="415"/>
        <v>0</v>
      </c>
      <c r="AS210" s="152">
        <f t="shared" si="415"/>
        <v>0</v>
      </c>
      <c r="AT210" s="152">
        <f t="shared" si="415"/>
        <v>0</v>
      </c>
      <c r="AU210" s="152">
        <f t="shared" si="415"/>
        <v>0</v>
      </c>
      <c r="AV210" s="152">
        <f t="shared" si="415"/>
        <v>0</v>
      </c>
      <c r="AW210" s="152">
        <f t="shared" si="415"/>
        <v>0</v>
      </c>
      <c r="AX210" s="152">
        <f t="shared" si="415"/>
        <v>0</v>
      </c>
      <c r="AY210" s="152">
        <f t="shared" si="415"/>
        <v>0</v>
      </c>
      <c r="AZ210" s="152">
        <f t="shared" si="415"/>
        <v>0</v>
      </c>
      <c r="BA210" s="152">
        <f t="shared" si="415"/>
        <v>0</v>
      </c>
      <c r="BB210" s="152">
        <f t="shared" si="415"/>
        <v>0</v>
      </c>
      <c r="BC210" s="152">
        <f t="shared" si="415"/>
        <v>0</v>
      </c>
      <c r="BD210" s="152">
        <f t="shared" si="415"/>
        <v>0</v>
      </c>
      <c r="BE210" s="152">
        <f t="shared" si="415"/>
        <v>0</v>
      </c>
      <c r="BF210" s="152">
        <f t="shared" si="415"/>
        <v>0</v>
      </c>
      <c r="BG210" s="152">
        <f t="shared" si="415"/>
        <v>0</v>
      </c>
      <c r="BH210" s="152">
        <f t="shared" si="415"/>
        <v>0</v>
      </c>
      <c r="BI210" s="152">
        <f t="shared" si="415"/>
        <v>0</v>
      </c>
      <c r="BJ210" s="152">
        <f t="shared" si="415"/>
        <v>0</v>
      </c>
      <c r="BK210" s="152">
        <f t="shared" si="415"/>
        <v>0</v>
      </c>
      <c r="BL210" s="152">
        <f t="shared" si="415"/>
        <v>0</v>
      </c>
      <c r="BM210" s="152">
        <f t="shared" si="415"/>
        <v>0</v>
      </c>
      <c r="BN210" s="152">
        <f t="shared" si="415"/>
        <v>0</v>
      </c>
      <c r="BO210" s="152">
        <f t="shared" si="415"/>
        <v>0</v>
      </c>
      <c r="BP210" s="152">
        <f t="shared" si="415"/>
        <v>0</v>
      </c>
      <c r="BQ210" s="152">
        <f t="shared" si="415"/>
        <v>0</v>
      </c>
      <c r="BR210" s="152">
        <f t="shared" si="415"/>
        <v>0</v>
      </c>
      <c r="BS210" s="152">
        <f t="shared" si="415"/>
        <v>0</v>
      </c>
      <c r="BT210" s="152">
        <f t="shared" si="415"/>
        <v>0</v>
      </c>
      <c r="BU210" s="152">
        <f t="shared" si="415"/>
        <v>0</v>
      </c>
      <c r="BV210" s="152">
        <f t="shared" si="415"/>
        <v>0</v>
      </c>
      <c r="BW210" s="152">
        <f t="shared" si="415"/>
        <v>0</v>
      </c>
      <c r="BX210" s="152">
        <f t="shared" si="415"/>
        <v>0</v>
      </c>
      <c r="BY210" s="152">
        <f t="shared" si="415"/>
        <v>0</v>
      </c>
      <c r="BZ210" s="152">
        <f t="shared" si="415"/>
        <v>0</v>
      </c>
      <c r="CA210" s="152">
        <f t="shared" si="415"/>
        <v>0</v>
      </c>
      <c r="CB210" s="152">
        <f t="shared" si="415"/>
        <v>0</v>
      </c>
      <c r="CC210" s="152">
        <f t="shared" si="415"/>
        <v>0</v>
      </c>
      <c r="CD210" s="152">
        <f t="shared" si="415"/>
        <v>0</v>
      </c>
      <c r="CE210" s="152">
        <f t="shared" si="415"/>
        <v>0</v>
      </c>
      <c r="CF210" s="152">
        <f t="shared" si="415"/>
        <v>0</v>
      </c>
      <c r="CG210" s="152">
        <f t="shared" si="415"/>
        <v>0</v>
      </c>
      <c r="CH210" s="152">
        <f t="shared" si="415"/>
        <v>0</v>
      </c>
      <c r="CI210" s="152">
        <f t="shared" si="415"/>
        <v>0</v>
      </c>
      <c r="CJ210" s="152">
        <f t="shared" si="415"/>
        <v>0</v>
      </c>
      <c r="CK210" s="152">
        <f t="shared" si="415"/>
        <v>0</v>
      </c>
      <c r="CL210" s="152">
        <f t="shared" si="415"/>
        <v>0</v>
      </c>
      <c r="CM210" s="152">
        <f t="shared" si="415"/>
        <v>0</v>
      </c>
      <c r="CN210" s="152">
        <f t="shared" si="415"/>
        <v>0</v>
      </c>
      <c r="CO210" s="152">
        <f t="shared" si="415"/>
        <v>0</v>
      </c>
      <c r="CP210" s="152"/>
      <c r="CQ210" s="205">
        <f t="shared" si="384"/>
        <v>0</v>
      </c>
      <c r="CR210" s="205">
        <f t="shared" si="385"/>
        <v>0</v>
      </c>
      <c r="CS210" s="205">
        <f t="shared" si="386"/>
        <v>0</v>
      </c>
      <c r="CT210" s="209">
        <f t="shared" si="387"/>
        <v>0</v>
      </c>
      <c r="CU210" s="152">
        <f t="shared" si="388"/>
        <v>0</v>
      </c>
      <c r="CV210" s="152">
        <f t="shared" si="389"/>
        <v>0</v>
      </c>
      <c r="CW210" s="212">
        <f t="shared" si="390"/>
        <v>0</v>
      </c>
      <c r="CX210" s="212">
        <f t="shared" si="391"/>
        <v>0</v>
      </c>
      <c r="CY210" s="212">
        <f t="shared" si="392"/>
        <v>0</v>
      </c>
      <c r="CZ210" s="205">
        <f t="shared" si="393"/>
        <v>0</v>
      </c>
      <c r="DA210" s="205">
        <f t="shared" si="394"/>
        <v>0</v>
      </c>
    </row>
    <row r="211" spans="2:105">
      <c r="B211" s="161"/>
      <c r="C211" s="195"/>
      <c r="D211" s="154" t="s">
        <v>13935</v>
      </c>
      <c r="E211" s="198">
        <f t="shared" si="362"/>
        <v>0</v>
      </c>
      <c r="F211" s="153">
        <f t="shared" si="363"/>
        <v>0</v>
      </c>
      <c r="G211" s="152">
        <f t="shared" si="364"/>
        <v>0</v>
      </c>
      <c r="H211" s="152">
        <f t="shared" si="365"/>
        <v>0</v>
      </c>
      <c r="I211" s="152">
        <f t="shared" si="366"/>
        <v>0</v>
      </c>
      <c r="J211" s="152">
        <f t="shared" si="367"/>
        <v>0</v>
      </c>
      <c r="K211" s="152">
        <f t="shared" si="368"/>
        <v>0</v>
      </c>
      <c r="L211" s="205">
        <f t="shared" si="369"/>
        <v>0</v>
      </c>
      <c r="M211" s="152">
        <f t="shared" si="370"/>
        <v>0</v>
      </c>
      <c r="N211" s="152">
        <f t="shared" si="371"/>
        <v>0</v>
      </c>
      <c r="O211" s="205">
        <f t="shared" si="372"/>
        <v>0</v>
      </c>
      <c r="P211" s="152">
        <f t="shared" ref="P211:U211" si="416">ROUND(P94/1000,0)</f>
        <v>0</v>
      </c>
      <c r="Q211" s="152">
        <f t="shared" si="416"/>
        <v>0</v>
      </c>
      <c r="R211" s="152">
        <f t="shared" si="416"/>
        <v>0</v>
      </c>
      <c r="S211" s="152">
        <f t="shared" si="416"/>
        <v>0</v>
      </c>
      <c r="T211" s="152">
        <f t="shared" si="416"/>
        <v>0</v>
      </c>
      <c r="U211" s="152">
        <f t="shared" si="416"/>
        <v>0</v>
      </c>
      <c r="V211" s="153">
        <f t="shared" si="374"/>
        <v>0</v>
      </c>
      <c r="W211" s="152">
        <f t="shared" si="375"/>
        <v>0</v>
      </c>
      <c r="X211" s="152">
        <f t="shared" si="376"/>
        <v>0</v>
      </c>
      <c r="Y211" s="205">
        <f t="shared" si="377"/>
        <v>0</v>
      </c>
      <c r="Z211" s="152">
        <f t="shared" si="378"/>
        <v>0</v>
      </c>
      <c r="AA211" s="152">
        <f t="shared" si="379"/>
        <v>0</v>
      </c>
      <c r="AB211" s="205">
        <f t="shared" si="380"/>
        <v>0</v>
      </c>
      <c r="AC211" s="152">
        <f t="shared" ref="AC211:AK211" si="417">ROUND(AC94/1000,0)</f>
        <v>0</v>
      </c>
      <c r="AD211" s="152">
        <f t="shared" si="417"/>
        <v>0</v>
      </c>
      <c r="AE211" s="152">
        <f t="shared" si="417"/>
        <v>0</v>
      </c>
      <c r="AF211" s="152">
        <f t="shared" si="417"/>
        <v>0</v>
      </c>
      <c r="AG211" s="152">
        <f t="shared" si="417"/>
        <v>0</v>
      </c>
      <c r="AH211" s="152">
        <f t="shared" si="417"/>
        <v>0</v>
      </c>
      <c r="AI211" s="152">
        <f t="shared" si="417"/>
        <v>0</v>
      </c>
      <c r="AJ211" s="152">
        <f t="shared" si="417"/>
        <v>0</v>
      </c>
      <c r="AK211" s="152">
        <f t="shared" si="417"/>
        <v>0</v>
      </c>
      <c r="AL211" s="205">
        <f t="shared" si="382"/>
        <v>0</v>
      </c>
      <c r="AM211" s="152">
        <f t="shared" ref="AM211:CO211" si="418">ROUND(AM94/1000,0)</f>
        <v>0</v>
      </c>
      <c r="AN211" s="152">
        <f t="shared" si="418"/>
        <v>0</v>
      </c>
      <c r="AO211" s="152">
        <f t="shared" si="418"/>
        <v>0</v>
      </c>
      <c r="AP211" s="152">
        <f t="shared" si="418"/>
        <v>0</v>
      </c>
      <c r="AQ211" s="152">
        <f t="shared" si="418"/>
        <v>0</v>
      </c>
      <c r="AR211" s="152">
        <f t="shared" si="418"/>
        <v>0</v>
      </c>
      <c r="AS211" s="152">
        <f t="shared" si="418"/>
        <v>0</v>
      </c>
      <c r="AT211" s="152">
        <f t="shared" si="418"/>
        <v>0</v>
      </c>
      <c r="AU211" s="152">
        <f t="shared" si="418"/>
        <v>0</v>
      </c>
      <c r="AV211" s="152">
        <f t="shared" si="418"/>
        <v>0</v>
      </c>
      <c r="AW211" s="152">
        <f t="shared" si="418"/>
        <v>0</v>
      </c>
      <c r="AX211" s="152">
        <f t="shared" si="418"/>
        <v>0</v>
      </c>
      <c r="AY211" s="152">
        <f t="shared" si="418"/>
        <v>0</v>
      </c>
      <c r="AZ211" s="152">
        <f t="shared" si="418"/>
        <v>0</v>
      </c>
      <c r="BA211" s="152">
        <f t="shared" si="418"/>
        <v>0</v>
      </c>
      <c r="BB211" s="152">
        <f t="shared" si="418"/>
        <v>0</v>
      </c>
      <c r="BC211" s="152">
        <f t="shared" si="418"/>
        <v>0</v>
      </c>
      <c r="BD211" s="152">
        <f t="shared" si="418"/>
        <v>0</v>
      </c>
      <c r="BE211" s="152">
        <f t="shared" si="418"/>
        <v>0</v>
      </c>
      <c r="BF211" s="152">
        <f t="shared" si="418"/>
        <v>0</v>
      </c>
      <c r="BG211" s="152">
        <f t="shared" si="418"/>
        <v>0</v>
      </c>
      <c r="BH211" s="152">
        <f t="shared" si="418"/>
        <v>0</v>
      </c>
      <c r="BI211" s="152">
        <f t="shared" si="418"/>
        <v>0</v>
      </c>
      <c r="BJ211" s="152">
        <f t="shared" si="418"/>
        <v>0</v>
      </c>
      <c r="BK211" s="152">
        <f t="shared" si="418"/>
        <v>0</v>
      </c>
      <c r="BL211" s="152">
        <f t="shared" si="418"/>
        <v>0</v>
      </c>
      <c r="BM211" s="152">
        <f t="shared" si="418"/>
        <v>0</v>
      </c>
      <c r="BN211" s="152">
        <f t="shared" si="418"/>
        <v>0</v>
      </c>
      <c r="BO211" s="152">
        <f t="shared" si="418"/>
        <v>0</v>
      </c>
      <c r="BP211" s="152">
        <f t="shared" si="418"/>
        <v>0</v>
      </c>
      <c r="BQ211" s="152">
        <f t="shared" si="418"/>
        <v>0</v>
      </c>
      <c r="BR211" s="152">
        <f t="shared" si="418"/>
        <v>0</v>
      </c>
      <c r="BS211" s="152">
        <f t="shared" si="418"/>
        <v>0</v>
      </c>
      <c r="BT211" s="152">
        <f t="shared" si="418"/>
        <v>0</v>
      </c>
      <c r="BU211" s="152">
        <f t="shared" si="418"/>
        <v>0</v>
      </c>
      <c r="BV211" s="152">
        <f t="shared" si="418"/>
        <v>0</v>
      </c>
      <c r="BW211" s="152">
        <f t="shared" si="418"/>
        <v>0</v>
      </c>
      <c r="BX211" s="152">
        <f t="shared" si="418"/>
        <v>0</v>
      </c>
      <c r="BY211" s="152">
        <f t="shared" si="418"/>
        <v>0</v>
      </c>
      <c r="BZ211" s="152">
        <f t="shared" si="418"/>
        <v>0</v>
      </c>
      <c r="CA211" s="152">
        <f t="shared" si="418"/>
        <v>0</v>
      </c>
      <c r="CB211" s="152">
        <f t="shared" si="418"/>
        <v>0</v>
      </c>
      <c r="CC211" s="152">
        <f t="shared" si="418"/>
        <v>0</v>
      </c>
      <c r="CD211" s="152">
        <f t="shared" si="418"/>
        <v>0</v>
      </c>
      <c r="CE211" s="152">
        <f t="shared" si="418"/>
        <v>0</v>
      </c>
      <c r="CF211" s="152">
        <f t="shared" si="418"/>
        <v>0</v>
      </c>
      <c r="CG211" s="152">
        <f t="shared" si="418"/>
        <v>0</v>
      </c>
      <c r="CH211" s="152">
        <f t="shared" si="418"/>
        <v>0</v>
      </c>
      <c r="CI211" s="152">
        <f t="shared" si="418"/>
        <v>0</v>
      </c>
      <c r="CJ211" s="152">
        <f t="shared" si="418"/>
        <v>0</v>
      </c>
      <c r="CK211" s="152">
        <f t="shared" si="418"/>
        <v>0</v>
      </c>
      <c r="CL211" s="152">
        <f t="shared" si="418"/>
        <v>0</v>
      </c>
      <c r="CM211" s="152">
        <f t="shared" si="418"/>
        <v>0</v>
      </c>
      <c r="CN211" s="152">
        <f t="shared" si="418"/>
        <v>0</v>
      </c>
      <c r="CO211" s="152">
        <f t="shared" si="418"/>
        <v>0</v>
      </c>
      <c r="CP211" s="152"/>
      <c r="CQ211" s="205">
        <f t="shared" si="384"/>
        <v>0</v>
      </c>
      <c r="CR211" s="205">
        <f t="shared" si="385"/>
        <v>0</v>
      </c>
      <c r="CS211" s="205">
        <f t="shared" si="386"/>
        <v>0</v>
      </c>
      <c r="CT211" s="209">
        <f t="shared" si="387"/>
        <v>0</v>
      </c>
      <c r="CU211" s="152">
        <f t="shared" si="388"/>
        <v>0</v>
      </c>
      <c r="CV211" s="152">
        <f t="shared" si="389"/>
        <v>0</v>
      </c>
      <c r="CW211" s="212">
        <f t="shared" si="390"/>
        <v>0</v>
      </c>
      <c r="CX211" s="212">
        <f t="shared" si="391"/>
        <v>0</v>
      </c>
      <c r="CY211" s="212">
        <f t="shared" si="392"/>
        <v>0</v>
      </c>
      <c r="CZ211" s="205">
        <f t="shared" si="393"/>
        <v>0</v>
      </c>
      <c r="DA211" s="205">
        <f t="shared" si="394"/>
        <v>0</v>
      </c>
    </row>
    <row r="212" spans="2:105">
      <c r="B212" s="161"/>
      <c r="C212" s="195"/>
      <c r="D212" s="154" t="s">
        <v>13936</v>
      </c>
      <c r="E212" s="198">
        <f t="shared" si="362"/>
        <v>0</v>
      </c>
      <c r="F212" s="153">
        <f t="shared" si="363"/>
        <v>0</v>
      </c>
      <c r="G212" s="152">
        <f t="shared" si="364"/>
        <v>0</v>
      </c>
      <c r="H212" s="152">
        <f t="shared" si="365"/>
        <v>0</v>
      </c>
      <c r="I212" s="152">
        <f t="shared" si="366"/>
        <v>0</v>
      </c>
      <c r="J212" s="152">
        <f t="shared" si="367"/>
        <v>0</v>
      </c>
      <c r="K212" s="152">
        <f t="shared" si="368"/>
        <v>0</v>
      </c>
      <c r="L212" s="205">
        <f t="shared" si="369"/>
        <v>0</v>
      </c>
      <c r="M212" s="152">
        <f t="shared" si="370"/>
        <v>0</v>
      </c>
      <c r="N212" s="152">
        <f t="shared" si="371"/>
        <v>0</v>
      </c>
      <c r="O212" s="205">
        <f t="shared" si="372"/>
        <v>0</v>
      </c>
      <c r="P212" s="152">
        <f t="shared" ref="P212:U212" si="419">ROUND(P95/1000,0)</f>
        <v>0</v>
      </c>
      <c r="Q212" s="152">
        <f t="shared" si="419"/>
        <v>0</v>
      </c>
      <c r="R212" s="152">
        <f t="shared" si="419"/>
        <v>0</v>
      </c>
      <c r="S212" s="152">
        <f t="shared" si="419"/>
        <v>0</v>
      </c>
      <c r="T212" s="152">
        <f t="shared" si="419"/>
        <v>0</v>
      </c>
      <c r="U212" s="152">
        <f t="shared" si="419"/>
        <v>0</v>
      </c>
      <c r="V212" s="153">
        <f t="shared" si="374"/>
        <v>0</v>
      </c>
      <c r="W212" s="152">
        <f t="shared" si="375"/>
        <v>0</v>
      </c>
      <c r="X212" s="152">
        <f t="shared" si="376"/>
        <v>0</v>
      </c>
      <c r="Y212" s="205">
        <f t="shared" si="377"/>
        <v>0</v>
      </c>
      <c r="Z212" s="152">
        <f t="shared" si="378"/>
        <v>0</v>
      </c>
      <c r="AA212" s="152">
        <f t="shared" si="379"/>
        <v>0</v>
      </c>
      <c r="AB212" s="205">
        <f t="shared" si="380"/>
        <v>0</v>
      </c>
      <c r="AC212" s="152">
        <f t="shared" ref="AC212:AK212" si="420">ROUND(AC95/1000,0)</f>
        <v>0</v>
      </c>
      <c r="AD212" s="152">
        <f t="shared" si="420"/>
        <v>0</v>
      </c>
      <c r="AE212" s="152">
        <f t="shared" si="420"/>
        <v>0</v>
      </c>
      <c r="AF212" s="152">
        <f t="shared" si="420"/>
        <v>0</v>
      </c>
      <c r="AG212" s="152">
        <f t="shared" si="420"/>
        <v>0</v>
      </c>
      <c r="AH212" s="152">
        <f t="shared" si="420"/>
        <v>0</v>
      </c>
      <c r="AI212" s="152">
        <f t="shared" si="420"/>
        <v>0</v>
      </c>
      <c r="AJ212" s="152">
        <f t="shared" si="420"/>
        <v>0</v>
      </c>
      <c r="AK212" s="152">
        <f t="shared" si="420"/>
        <v>0</v>
      </c>
      <c r="AL212" s="205">
        <f t="shared" si="382"/>
        <v>0</v>
      </c>
      <c r="AM212" s="152">
        <f t="shared" ref="AM212:CO212" si="421">ROUND(AM95/1000,0)</f>
        <v>0</v>
      </c>
      <c r="AN212" s="152">
        <f t="shared" si="421"/>
        <v>0</v>
      </c>
      <c r="AO212" s="152">
        <f t="shared" si="421"/>
        <v>0</v>
      </c>
      <c r="AP212" s="152">
        <f t="shared" si="421"/>
        <v>0</v>
      </c>
      <c r="AQ212" s="152">
        <f t="shared" si="421"/>
        <v>0</v>
      </c>
      <c r="AR212" s="152">
        <f t="shared" si="421"/>
        <v>0</v>
      </c>
      <c r="AS212" s="152">
        <f t="shared" si="421"/>
        <v>0</v>
      </c>
      <c r="AT212" s="152">
        <f t="shared" si="421"/>
        <v>0</v>
      </c>
      <c r="AU212" s="152">
        <f t="shared" si="421"/>
        <v>0</v>
      </c>
      <c r="AV212" s="152">
        <f t="shared" si="421"/>
        <v>0</v>
      </c>
      <c r="AW212" s="152">
        <f t="shared" si="421"/>
        <v>0</v>
      </c>
      <c r="AX212" s="152">
        <f t="shared" si="421"/>
        <v>0</v>
      </c>
      <c r="AY212" s="152">
        <f t="shared" si="421"/>
        <v>0</v>
      </c>
      <c r="AZ212" s="152">
        <f t="shared" si="421"/>
        <v>0</v>
      </c>
      <c r="BA212" s="152">
        <f t="shared" si="421"/>
        <v>0</v>
      </c>
      <c r="BB212" s="152">
        <f t="shared" si="421"/>
        <v>0</v>
      </c>
      <c r="BC212" s="152">
        <f t="shared" si="421"/>
        <v>0</v>
      </c>
      <c r="BD212" s="152">
        <f t="shared" si="421"/>
        <v>0</v>
      </c>
      <c r="BE212" s="152">
        <f t="shared" si="421"/>
        <v>0</v>
      </c>
      <c r="BF212" s="152">
        <f t="shared" si="421"/>
        <v>0</v>
      </c>
      <c r="BG212" s="152">
        <f t="shared" si="421"/>
        <v>0</v>
      </c>
      <c r="BH212" s="152">
        <f t="shared" si="421"/>
        <v>0</v>
      </c>
      <c r="BI212" s="152">
        <f t="shared" si="421"/>
        <v>0</v>
      </c>
      <c r="BJ212" s="152">
        <f t="shared" si="421"/>
        <v>0</v>
      </c>
      <c r="BK212" s="152">
        <f t="shared" si="421"/>
        <v>0</v>
      </c>
      <c r="BL212" s="152">
        <f t="shared" si="421"/>
        <v>0</v>
      </c>
      <c r="BM212" s="152">
        <f t="shared" si="421"/>
        <v>0</v>
      </c>
      <c r="BN212" s="152">
        <f t="shared" si="421"/>
        <v>0</v>
      </c>
      <c r="BO212" s="152">
        <f t="shared" si="421"/>
        <v>0</v>
      </c>
      <c r="BP212" s="152">
        <f t="shared" si="421"/>
        <v>0</v>
      </c>
      <c r="BQ212" s="152">
        <f t="shared" si="421"/>
        <v>0</v>
      </c>
      <c r="BR212" s="152">
        <f t="shared" si="421"/>
        <v>0</v>
      </c>
      <c r="BS212" s="152">
        <f t="shared" si="421"/>
        <v>0</v>
      </c>
      <c r="BT212" s="152">
        <f t="shared" si="421"/>
        <v>0</v>
      </c>
      <c r="BU212" s="152">
        <f t="shared" si="421"/>
        <v>0</v>
      </c>
      <c r="BV212" s="152">
        <f t="shared" si="421"/>
        <v>0</v>
      </c>
      <c r="BW212" s="152">
        <f t="shared" si="421"/>
        <v>0</v>
      </c>
      <c r="BX212" s="152">
        <f t="shared" si="421"/>
        <v>0</v>
      </c>
      <c r="BY212" s="152">
        <f t="shared" si="421"/>
        <v>0</v>
      </c>
      <c r="BZ212" s="152">
        <f t="shared" si="421"/>
        <v>0</v>
      </c>
      <c r="CA212" s="152">
        <f t="shared" si="421"/>
        <v>0</v>
      </c>
      <c r="CB212" s="152">
        <f t="shared" si="421"/>
        <v>0</v>
      </c>
      <c r="CC212" s="152">
        <f t="shared" si="421"/>
        <v>0</v>
      </c>
      <c r="CD212" s="152">
        <f t="shared" si="421"/>
        <v>0</v>
      </c>
      <c r="CE212" s="152">
        <f t="shared" si="421"/>
        <v>0</v>
      </c>
      <c r="CF212" s="152">
        <f t="shared" si="421"/>
        <v>0</v>
      </c>
      <c r="CG212" s="152">
        <f t="shared" si="421"/>
        <v>0</v>
      </c>
      <c r="CH212" s="152">
        <f t="shared" si="421"/>
        <v>0</v>
      </c>
      <c r="CI212" s="152">
        <f t="shared" si="421"/>
        <v>0</v>
      </c>
      <c r="CJ212" s="152">
        <f t="shared" si="421"/>
        <v>0</v>
      </c>
      <c r="CK212" s="152">
        <f t="shared" si="421"/>
        <v>0</v>
      </c>
      <c r="CL212" s="152">
        <f t="shared" si="421"/>
        <v>0</v>
      </c>
      <c r="CM212" s="152">
        <f t="shared" si="421"/>
        <v>0</v>
      </c>
      <c r="CN212" s="152">
        <f t="shared" si="421"/>
        <v>0</v>
      </c>
      <c r="CO212" s="152">
        <f t="shared" si="421"/>
        <v>0</v>
      </c>
      <c r="CP212" s="152"/>
      <c r="CQ212" s="205">
        <f t="shared" si="384"/>
        <v>0</v>
      </c>
      <c r="CR212" s="205">
        <f t="shared" si="385"/>
        <v>0</v>
      </c>
      <c r="CS212" s="205">
        <f t="shared" si="386"/>
        <v>0</v>
      </c>
      <c r="CT212" s="209">
        <f t="shared" si="387"/>
        <v>0</v>
      </c>
      <c r="CU212" s="152">
        <f t="shared" si="388"/>
        <v>0</v>
      </c>
      <c r="CV212" s="152">
        <f t="shared" si="389"/>
        <v>0</v>
      </c>
      <c r="CW212" s="212">
        <f t="shared" si="390"/>
        <v>0</v>
      </c>
      <c r="CX212" s="212">
        <f t="shared" si="391"/>
        <v>0</v>
      </c>
      <c r="CY212" s="212">
        <f t="shared" si="392"/>
        <v>0</v>
      </c>
      <c r="CZ212" s="205">
        <f t="shared" si="393"/>
        <v>0</v>
      </c>
      <c r="DA212" s="205">
        <f t="shared" si="394"/>
        <v>0</v>
      </c>
    </row>
    <row r="213" spans="2:105">
      <c r="B213" s="161"/>
      <c r="C213" s="195"/>
      <c r="D213" s="154" t="s">
        <v>13875</v>
      </c>
      <c r="E213" s="198">
        <f t="shared" si="362"/>
        <v>0</v>
      </c>
      <c r="F213" s="153">
        <f t="shared" si="363"/>
        <v>0</v>
      </c>
      <c r="G213" s="152">
        <f t="shared" si="364"/>
        <v>0</v>
      </c>
      <c r="H213" s="152">
        <f t="shared" si="365"/>
        <v>0</v>
      </c>
      <c r="I213" s="152">
        <f t="shared" si="366"/>
        <v>0</v>
      </c>
      <c r="J213" s="152">
        <f t="shared" si="367"/>
        <v>0</v>
      </c>
      <c r="K213" s="152">
        <f t="shared" si="368"/>
        <v>0</v>
      </c>
      <c r="L213" s="205">
        <f t="shared" si="369"/>
        <v>0</v>
      </c>
      <c r="M213" s="152">
        <f t="shared" si="370"/>
        <v>0</v>
      </c>
      <c r="N213" s="152">
        <f t="shared" si="371"/>
        <v>0</v>
      </c>
      <c r="O213" s="205">
        <f t="shared" si="372"/>
        <v>0</v>
      </c>
      <c r="P213" s="152">
        <f t="shared" ref="P213:U213" si="422">ROUND(P96/1000,0)</f>
        <v>0</v>
      </c>
      <c r="Q213" s="152">
        <f t="shared" si="422"/>
        <v>0</v>
      </c>
      <c r="R213" s="152">
        <f t="shared" si="422"/>
        <v>0</v>
      </c>
      <c r="S213" s="152">
        <f t="shared" si="422"/>
        <v>0</v>
      </c>
      <c r="T213" s="152">
        <f t="shared" si="422"/>
        <v>0</v>
      </c>
      <c r="U213" s="152">
        <f t="shared" si="422"/>
        <v>0</v>
      </c>
      <c r="V213" s="153">
        <f t="shared" si="374"/>
        <v>0</v>
      </c>
      <c r="W213" s="152">
        <f t="shared" si="375"/>
        <v>0</v>
      </c>
      <c r="X213" s="152">
        <f t="shared" si="376"/>
        <v>0</v>
      </c>
      <c r="Y213" s="205">
        <f t="shared" si="377"/>
        <v>0</v>
      </c>
      <c r="Z213" s="152">
        <f t="shared" si="378"/>
        <v>0</v>
      </c>
      <c r="AA213" s="152">
        <f t="shared" si="379"/>
        <v>0</v>
      </c>
      <c r="AB213" s="205">
        <f t="shared" si="380"/>
        <v>0</v>
      </c>
      <c r="AC213" s="152">
        <f t="shared" ref="AC213:AK213" si="423">ROUND(AC96/1000,0)</f>
        <v>0</v>
      </c>
      <c r="AD213" s="152">
        <f t="shared" si="423"/>
        <v>0</v>
      </c>
      <c r="AE213" s="152">
        <f t="shared" si="423"/>
        <v>0</v>
      </c>
      <c r="AF213" s="152">
        <f t="shared" si="423"/>
        <v>0</v>
      </c>
      <c r="AG213" s="152">
        <f t="shared" si="423"/>
        <v>0</v>
      </c>
      <c r="AH213" s="152">
        <f t="shared" si="423"/>
        <v>0</v>
      </c>
      <c r="AI213" s="152">
        <f t="shared" si="423"/>
        <v>0</v>
      </c>
      <c r="AJ213" s="152">
        <f t="shared" si="423"/>
        <v>0</v>
      </c>
      <c r="AK213" s="152">
        <f t="shared" si="423"/>
        <v>0</v>
      </c>
      <c r="AL213" s="205">
        <f t="shared" si="382"/>
        <v>0</v>
      </c>
      <c r="AM213" s="152">
        <f t="shared" ref="AM213:CO213" si="424">ROUND(AM96/1000,0)</f>
        <v>0</v>
      </c>
      <c r="AN213" s="152">
        <f t="shared" si="424"/>
        <v>0</v>
      </c>
      <c r="AO213" s="152">
        <f t="shared" si="424"/>
        <v>0</v>
      </c>
      <c r="AP213" s="152">
        <f t="shared" si="424"/>
        <v>0</v>
      </c>
      <c r="AQ213" s="152">
        <f t="shared" si="424"/>
        <v>0</v>
      </c>
      <c r="AR213" s="152">
        <f t="shared" si="424"/>
        <v>0</v>
      </c>
      <c r="AS213" s="152">
        <f t="shared" si="424"/>
        <v>0</v>
      </c>
      <c r="AT213" s="152">
        <f t="shared" si="424"/>
        <v>0</v>
      </c>
      <c r="AU213" s="152">
        <f t="shared" si="424"/>
        <v>0</v>
      </c>
      <c r="AV213" s="152">
        <f t="shared" si="424"/>
        <v>0</v>
      </c>
      <c r="AW213" s="152">
        <f t="shared" si="424"/>
        <v>0</v>
      </c>
      <c r="AX213" s="152">
        <f t="shared" si="424"/>
        <v>0</v>
      </c>
      <c r="AY213" s="152">
        <f t="shared" si="424"/>
        <v>0</v>
      </c>
      <c r="AZ213" s="152">
        <f t="shared" si="424"/>
        <v>0</v>
      </c>
      <c r="BA213" s="152">
        <f t="shared" si="424"/>
        <v>0</v>
      </c>
      <c r="BB213" s="152">
        <f t="shared" si="424"/>
        <v>0</v>
      </c>
      <c r="BC213" s="152">
        <f t="shared" si="424"/>
        <v>0</v>
      </c>
      <c r="BD213" s="152">
        <f t="shared" si="424"/>
        <v>0</v>
      </c>
      <c r="BE213" s="152">
        <f t="shared" si="424"/>
        <v>0</v>
      </c>
      <c r="BF213" s="152">
        <f t="shared" si="424"/>
        <v>0</v>
      </c>
      <c r="BG213" s="152">
        <f t="shared" si="424"/>
        <v>0</v>
      </c>
      <c r="BH213" s="152">
        <f t="shared" si="424"/>
        <v>0</v>
      </c>
      <c r="BI213" s="152">
        <f t="shared" si="424"/>
        <v>0</v>
      </c>
      <c r="BJ213" s="152">
        <f t="shared" si="424"/>
        <v>0</v>
      </c>
      <c r="BK213" s="152">
        <f t="shared" si="424"/>
        <v>0</v>
      </c>
      <c r="BL213" s="152">
        <f t="shared" si="424"/>
        <v>0</v>
      </c>
      <c r="BM213" s="152">
        <f t="shared" si="424"/>
        <v>0</v>
      </c>
      <c r="BN213" s="152">
        <f t="shared" si="424"/>
        <v>0</v>
      </c>
      <c r="BO213" s="152">
        <f t="shared" si="424"/>
        <v>0</v>
      </c>
      <c r="BP213" s="152">
        <f t="shared" si="424"/>
        <v>0</v>
      </c>
      <c r="BQ213" s="152">
        <f t="shared" si="424"/>
        <v>0</v>
      </c>
      <c r="BR213" s="152">
        <f t="shared" si="424"/>
        <v>0</v>
      </c>
      <c r="BS213" s="152">
        <f t="shared" si="424"/>
        <v>0</v>
      </c>
      <c r="BT213" s="152">
        <f t="shared" si="424"/>
        <v>0</v>
      </c>
      <c r="BU213" s="152">
        <f t="shared" si="424"/>
        <v>0</v>
      </c>
      <c r="BV213" s="152">
        <f t="shared" si="424"/>
        <v>0</v>
      </c>
      <c r="BW213" s="152">
        <f t="shared" si="424"/>
        <v>0</v>
      </c>
      <c r="BX213" s="152">
        <f t="shared" si="424"/>
        <v>0</v>
      </c>
      <c r="BY213" s="152">
        <f t="shared" si="424"/>
        <v>0</v>
      </c>
      <c r="BZ213" s="152">
        <f t="shared" si="424"/>
        <v>0</v>
      </c>
      <c r="CA213" s="152">
        <f t="shared" si="424"/>
        <v>0</v>
      </c>
      <c r="CB213" s="152">
        <f t="shared" si="424"/>
        <v>0</v>
      </c>
      <c r="CC213" s="152">
        <f t="shared" si="424"/>
        <v>0</v>
      </c>
      <c r="CD213" s="152">
        <f t="shared" si="424"/>
        <v>0</v>
      </c>
      <c r="CE213" s="152">
        <f t="shared" si="424"/>
        <v>0</v>
      </c>
      <c r="CF213" s="152">
        <f t="shared" si="424"/>
        <v>0</v>
      </c>
      <c r="CG213" s="152">
        <f t="shared" si="424"/>
        <v>0</v>
      </c>
      <c r="CH213" s="152">
        <f t="shared" si="424"/>
        <v>0</v>
      </c>
      <c r="CI213" s="152">
        <f t="shared" si="424"/>
        <v>0</v>
      </c>
      <c r="CJ213" s="152">
        <f t="shared" si="424"/>
        <v>0</v>
      </c>
      <c r="CK213" s="152">
        <f t="shared" si="424"/>
        <v>0</v>
      </c>
      <c r="CL213" s="152">
        <f t="shared" si="424"/>
        <v>0</v>
      </c>
      <c r="CM213" s="152">
        <f t="shared" si="424"/>
        <v>0</v>
      </c>
      <c r="CN213" s="152">
        <f t="shared" si="424"/>
        <v>0</v>
      </c>
      <c r="CO213" s="152">
        <f t="shared" si="424"/>
        <v>0</v>
      </c>
      <c r="CP213" s="152"/>
      <c r="CQ213" s="205">
        <f t="shared" si="384"/>
        <v>0</v>
      </c>
      <c r="CR213" s="205">
        <f t="shared" si="385"/>
        <v>0</v>
      </c>
      <c r="CS213" s="205">
        <f t="shared" si="386"/>
        <v>0</v>
      </c>
      <c r="CT213" s="209">
        <f t="shared" si="387"/>
        <v>0</v>
      </c>
      <c r="CU213" s="152">
        <f t="shared" si="388"/>
        <v>0</v>
      </c>
      <c r="CV213" s="152">
        <f t="shared" si="389"/>
        <v>0</v>
      </c>
      <c r="CW213" s="212">
        <f t="shared" si="390"/>
        <v>0</v>
      </c>
      <c r="CX213" s="212">
        <f t="shared" si="391"/>
        <v>0</v>
      </c>
      <c r="CY213" s="212">
        <f t="shared" si="392"/>
        <v>0</v>
      </c>
      <c r="CZ213" s="205">
        <f t="shared" si="393"/>
        <v>0</v>
      </c>
      <c r="DA213" s="205">
        <f t="shared" si="394"/>
        <v>0</v>
      </c>
    </row>
    <row r="214" spans="2:105">
      <c r="B214" s="161"/>
      <c r="C214" s="195"/>
      <c r="D214" s="154" t="s">
        <v>13876</v>
      </c>
      <c r="E214" s="198">
        <f t="shared" si="362"/>
        <v>14</v>
      </c>
      <c r="F214" s="153">
        <f t="shared" si="363"/>
        <v>14</v>
      </c>
      <c r="G214" s="152">
        <f t="shared" si="364"/>
        <v>0</v>
      </c>
      <c r="H214" s="152">
        <f t="shared" si="365"/>
        <v>0</v>
      </c>
      <c r="I214" s="152">
        <f t="shared" si="366"/>
        <v>0</v>
      </c>
      <c r="J214" s="152">
        <f t="shared" si="367"/>
        <v>0</v>
      </c>
      <c r="K214" s="152">
        <f t="shared" si="368"/>
        <v>0</v>
      </c>
      <c r="L214" s="205">
        <f t="shared" si="369"/>
        <v>0</v>
      </c>
      <c r="M214" s="152">
        <f t="shared" si="370"/>
        <v>0</v>
      </c>
      <c r="N214" s="152">
        <f t="shared" si="371"/>
        <v>0</v>
      </c>
      <c r="O214" s="205">
        <f t="shared" si="372"/>
        <v>0</v>
      </c>
      <c r="P214" s="152">
        <f t="shared" ref="P214:U214" si="425">ROUND(P97/1000,0)</f>
        <v>0</v>
      </c>
      <c r="Q214" s="152">
        <f t="shared" si="425"/>
        <v>0</v>
      </c>
      <c r="R214" s="152">
        <f t="shared" si="425"/>
        <v>0</v>
      </c>
      <c r="S214" s="152">
        <f t="shared" si="425"/>
        <v>0</v>
      </c>
      <c r="T214" s="152">
        <f t="shared" si="425"/>
        <v>0</v>
      </c>
      <c r="U214" s="152">
        <f t="shared" si="425"/>
        <v>0</v>
      </c>
      <c r="V214" s="153">
        <f t="shared" si="374"/>
        <v>0</v>
      </c>
      <c r="W214" s="152">
        <f t="shared" si="375"/>
        <v>0</v>
      </c>
      <c r="X214" s="152">
        <f t="shared" si="376"/>
        <v>0</v>
      </c>
      <c r="Y214" s="205">
        <f t="shared" si="377"/>
        <v>0</v>
      </c>
      <c r="Z214" s="152">
        <f t="shared" si="378"/>
        <v>0</v>
      </c>
      <c r="AA214" s="152">
        <f t="shared" si="379"/>
        <v>0</v>
      </c>
      <c r="AB214" s="205">
        <f t="shared" si="380"/>
        <v>0</v>
      </c>
      <c r="AC214" s="152">
        <f t="shared" ref="AC214:AK214" si="426">ROUND(AC97/1000,0)</f>
        <v>0</v>
      </c>
      <c r="AD214" s="152">
        <f t="shared" si="426"/>
        <v>0</v>
      </c>
      <c r="AE214" s="152">
        <f t="shared" si="426"/>
        <v>0</v>
      </c>
      <c r="AF214" s="152">
        <f t="shared" si="426"/>
        <v>0</v>
      </c>
      <c r="AG214" s="152">
        <f t="shared" si="426"/>
        <v>0</v>
      </c>
      <c r="AH214" s="152">
        <f t="shared" si="426"/>
        <v>0</v>
      </c>
      <c r="AI214" s="152">
        <f t="shared" si="426"/>
        <v>0</v>
      </c>
      <c r="AJ214" s="152">
        <f t="shared" si="426"/>
        <v>0</v>
      </c>
      <c r="AK214" s="152">
        <f t="shared" si="426"/>
        <v>0</v>
      </c>
      <c r="AL214" s="205">
        <f t="shared" si="382"/>
        <v>0</v>
      </c>
      <c r="AM214" s="152">
        <f t="shared" ref="AM214:CO214" si="427">ROUND(AM97/1000,0)</f>
        <v>0</v>
      </c>
      <c r="AN214" s="152">
        <f t="shared" si="427"/>
        <v>2</v>
      </c>
      <c r="AO214" s="152">
        <f t="shared" si="427"/>
        <v>3</v>
      </c>
      <c r="AP214" s="152">
        <f t="shared" si="427"/>
        <v>0</v>
      </c>
      <c r="AQ214" s="152">
        <f t="shared" si="427"/>
        <v>3</v>
      </c>
      <c r="AR214" s="152">
        <f t="shared" si="427"/>
        <v>0</v>
      </c>
      <c r="AS214" s="152">
        <f t="shared" si="427"/>
        <v>0</v>
      </c>
      <c r="AT214" s="152">
        <f t="shared" si="427"/>
        <v>0</v>
      </c>
      <c r="AU214" s="152">
        <f t="shared" si="427"/>
        <v>0</v>
      </c>
      <c r="AV214" s="152">
        <f t="shared" si="427"/>
        <v>0</v>
      </c>
      <c r="AW214" s="152">
        <f t="shared" si="427"/>
        <v>0</v>
      </c>
      <c r="AX214" s="152">
        <f t="shared" si="427"/>
        <v>0</v>
      </c>
      <c r="AY214" s="152">
        <f t="shared" si="427"/>
        <v>0</v>
      </c>
      <c r="AZ214" s="152">
        <f t="shared" si="427"/>
        <v>0</v>
      </c>
      <c r="BA214" s="152">
        <f t="shared" si="427"/>
        <v>0</v>
      </c>
      <c r="BB214" s="152">
        <f t="shared" si="427"/>
        <v>0</v>
      </c>
      <c r="BC214" s="152">
        <f t="shared" si="427"/>
        <v>0</v>
      </c>
      <c r="BD214" s="152">
        <f t="shared" si="427"/>
        <v>0</v>
      </c>
      <c r="BE214" s="152">
        <f t="shared" si="427"/>
        <v>0</v>
      </c>
      <c r="BF214" s="152">
        <f t="shared" si="427"/>
        <v>0</v>
      </c>
      <c r="BG214" s="152">
        <f t="shared" si="427"/>
        <v>0</v>
      </c>
      <c r="BH214" s="152">
        <f t="shared" si="427"/>
        <v>0</v>
      </c>
      <c r="BI214" s="152">
        <f t="shared" si="427"/>
        <v>0</v>
      </c>
      <c r="BJ214" s="152">
        <f t="shared" si="427"/>
        <v>0</v>
      </c>
      <c r="BK214" s="152">
        <f t="shared" si="427"/>
        <v>0</v>
      </c>
      <c r="BL214" s="152">
        <f t="shared" si="427"/>
        <v>0</v>
      </c>
      <c r="BM214" s="152">
        <f t="shared" si="427"/>
        <v>0</v>
      </c>
      <c r="BN214" s="152">
        <f t="shared" si="427"/>
        <v>0</v>
      </c>
      <c r="BO214" s="152">
        <f t="shared" si="427"/>
        <v>0</v>
      </c>
      <c r="BP214" s="152">
        <f t="shared" si="427"/>
        <v>0</v>
      </c>
      <c r="BQ214" s="152">
        <f t="shared" si="427"/>
        <v>0</v>
      </c>
      <c r="BR214" s="152">
        <f t="shared" si="427"/>
        <v>0</v>
      </c>
      <c r="BS214" s="152">
        <f t="shared" si="427"/>
        <v>0</v>
      </c>
      <c r="BT214" s="152">
        <f t="shared" si="427"/>
        <v>0</v>
      </c>
      <c r="BU214" s="152">
        <f t="shared" si="427"/>
        <v>0</v>
      </c>
      <c r="BV214" s="152">
        <f t="shared" si="427"/>
        <v>0</v>
      </c>
      <c r="BW214" s="152">
        <f t="shared" si="427"/>
        <v>3</v>
      </c>
      <c r="BX214" s="152">
        <f t="shared" si="427"/>
        <v>3</v>
      </c>
      <c r="BY214" s="152">
        <f t="shared" si="427"/>
        <v>0</v>
      </c>
      <c r="BZ214" s="152">
        <f t="shared" si="427"/>
        <v>0</v>
      </c>
      <c r="CA214" s="152">
        <f t="shared" si="427"/>
        <v>0</v>
      </c>
      <c r="CB214" s="152">
        <f t="shared" si="427"/>
        <v>0</v>
      </c>
      <c r="CC214" s="152">
        <f t="shared" si="427"/>
        <v>0</v>
      </c>
      <c r="CD214" s="152">
        <f t="shared" si="427"/>
        <v>0</v>
      </c>
      <c r="CE214" s="152">
        <f t="shared" si="427"/>
        <v>0</v>
      </c>
      <c r="CF214" s="152">
        <f t="shared" si="427"/>
        <v>0</v>
      </c>
      <c r="CG214" s="152">
        <f t="shared" si="427"/>
        <v>0</v>
      </c>
      <c r="CH214" s="152">
        <f t="shared" si="427"/>
        <v>0</v>
      </c>
      <c r="CI214" s="152">
        <f t="shared" si="427"/>
        <v>0</v>
      </c>
      <c r="CJ214" s="152">
        <f t="shared" si="427"/>
        <v>0</v>
      </c>
      <c r="CK214" s="152">
        <f t="shared" si="427"/>
        <v>0</v>
      </c>
      <c r="CL214" s="152">
        <f t="shared" si="427"/>
        <v>0</v>
      </c>
      <c r="CM214" s="152">
        <f t="shared" si="427"/>
        <v>0</v>
      </c>
      <c r="CN214" s="152">
        <f t="shared" si="427"/>
        <v>0</v>
      </c>
      <c r="CO214" s="152">
        <f t="shared" si="427"/>
        <v>0</v>
      </c>
      <c r="CP214" s="152"/>
      <c r="CQ214" s="205">
        <f t="shared" si="384"/>
        <v>14</v>
      </c>
      <c r="CR214" s="205">
        <f t="shared" si="385"/>
        <v>14</v>
      </c>
      <c r="CS214" s="205">
        <f t="shared" si="386"/>
        <v>0</v>
      </c>
      <c r="CT214" s="209">
        <f t="shared" si="387"/>
        <v>0</v>
      </c>
      <c r="CU214" s="152">
        <f t="shared" si="388"/>
        <v>0</v>
      </c>
      <c r="CV214" s="152">
        <f t="shared" si="389"/>
        <v>0</v>
      </c>
      <c r="CW214" s="212">
        <f t="shared" si="390"/>
        <v>0</v>
      </c>
      <c r="CX214" s="212">
        <f t="shared" si="391"/>
        <v>0</v>
      </c>
      <c r="CY214" s="212">
        <f t="shared" si="392"/>
        <v>0</v>
      </c>
      <c r="CZ214" s="205">
        <f t="shared" si="393"/>
        <v>0</v>
      </c>
      <c r="DA214" s="205">
        <f t="shared" si="394"/>
        <v>0</v>
      </c>
    </row>
    <row r="215" spans="2:105">
      <c r="B215" s="161"/>
      <c r="C215" s="195"/>
      <c r="D215" s="154" t="s">
        <v>13878</v>
      </c>
      <c r="E215" s="198">
        <f t="shared" si="362"/>
        <v>0</v>
      </c>
      <c r="F215" s="153">
        <f t="shared" si="363"/>
        <v>0</v>
      </c>
      <c r="G215" s="152">
        <f t="shared" si="364"/>
        <v>0</v>
      </c>
      <c r="H215" s="152">
        <f t="shared" si="365"/>
        <v>0</v>
      </c>
      <c r="I215" s="152">
        <f t="shared" si="366"/>
        <v>0</v>
      </c>
      <c r="J215" s="152">
        <f t="shared" si="367"/>
        <v>0</v>
      </c>
      <c r="K215" s="152">
        <f t="shared" si="368"/>
        <v>0</v>
      </c>
      <c r="L215" s="205">
        <f t="shared" si="369"/>
        <v>0</v>
      </c>
      <c r="M215" s="152">
        <f t="shared" si="370"/>
        <v>0</v>
      </c>
      <c r="N215" s="152">
        <f t="shared" si="371"/>
        <v>0</v>
      </c>
      <c r="O215" s="205">
        <f t="shared" si="372"/>
        <v>0</v>
      </c>
      <c r="P215" s="152">
        <f t="shared" ref="P215:U215" si="428">ROUND(P98/1000,0)</f>
        <v>0</v>
      </c>
      <c r="Q215" s="152">
        <f t="shared" si="428"/>
        <v>0</v>
      </c>
      <c r="R215" s="152">
        <f t="shared" si="428"/>
        <v>0</v>
      </c>
      <c r="S215" s="152">
        <f t="shared" si="428"/>
        <v>0</v>
      </c>
      <c r="T215" s="152">
        <f t="shared" si="428"/>
        <v>0</v>
      </c>
      <c r="U215" s="152">
        <f t="shared" si="428"/>
        <v>0</v>
      </c>
      <c r="V215" s="153">
        <f t="shared" si="374"/>
        <v>0</v>
      </c>
      <c r="W215" s="152">
        <f t="shared" si="375"/>
        <v>0</v>
      </c>
      <c r="X215" s="152">
        <f t="shared" si="376"/>
        <v>0</v>
      </c>
      <c r="Y215" s="205">
        <f t="shared" si="377"/>
        <v>0</v>
      </c>
      <c r="Z215" s="152">
        <f t="shared" si="378"/>
        <v>0</v>
      </c>
      <c r="AA215" s="152">
        <f t="shared" si="379"/>
        <v>0</v>
      </c>
      <c r="AB215" s="205">
        <f t="shared" si="380"/>
        <v>0</v>
      </c>
      <c r="AC215" s="152">
        <f t="shared" ref="AC215:AK215" si="429">ROUND(AC98/1000,0)</f>
        <v>0</v>
      </c>
      <c r="AD215" s="152">
        <f t="shared" si="429"/>
        <v>0</v>
      </c>
      <c r="AE215" s="152">
        <f t="shared" si="429"/>
        <v>0</v>
      </c>
      <c r="AF215" s="152">
        <f t="shared" si="429"/>
        <v>0</v>
      </c>
      <c r="AG215" s="152">
        <f t="shared" si="429"/>
        <v>0</v>
      </c>
      <c r="AH215" s="152">
        <f t="shared" si="429"/>
        <v>0</v>
      </c>
      <c r="AI215" s="152">
        <f t="shared" si="429"/>
        <v>0</v>
      </c>
      <c r="AJ215" s="152">
        <f t="shared" si="429"/>
        <v>0</v>
      </c>
      <c r="AK215" s="152">
        <f t="shared" si="429"/>
        <v>0</v>
      </c>
      <c r="AL215" s="205">
        <f t="shared" si="382"/>
        <v>0</v>
      </c>
      <c r="AM215" s="152">
        <f t="shared" ref="AM215:CO215" si="430">ROUND(AM98/1000,0)</f>
        <v>0</v>
      </c>
      <c r="AN215" s="152">
        <f t="shared" si="430"/>
        <v>0</v>
      </c>
      <c r="AO215" s="152">
        <f t="shared" si="430"/>
        <v>0</v>
      </c>
      <c r="AP215" s="152">
        <f t="shared" si="430"/>
        <v>0</v>
      </c>
      <c r="AQ215" s="152">
        <f t="shared" si="430"/>
        <v>0</v>
      </c>
      <c r="AR215" s="152">
        <f t="shared" si="430"/>
        <v>0</v>
      </c>
      <c r="AS215" s="152">
        <f t="shared" si="430"/>
        <v>0</v>
      </c>
      <c r="AT215" s="152">
        <f t="shared" si="430"/>
        <v>0</v>
      </c>
      <c r="AU215" s="152">
        <f t="shared" si="430"/>
        <v>0</v>
      </c>
      <c r="AV215" s="152">
        <f t="shared" si="430"/>
        <v>0</v>
      </c>
      <c r="AW215" s="152">
        <f t="shared" si="430"/>
        <v>0</v>
      </c>
      <c r="AX215" s="152">
        <f t="shared" si="430"/>
        <v>0</v>
      </c>
      <c r="AY215" s="152">
        <f t="shared" si="430"/>
        <v>0</v>
      </c>
      <c r="AZ215" s="152">
        <f t="shared" si="430"/>
        <v>0</v>
      </c>
      <c r="BA215" s="152">
        <f t="shared" si="430"/>
        <v>0</v>
      </c>
      <c r="BB215" s="152">
        <f t="shared" si="430"/>
        <v>0</v>
      </c>
      <c r="BC215" s="152">
        <f t="shared" si="430"/>
        <v>0</v>
      </c>
      <c r="BD215" s="152">
        <f t="shared" si="430"/>
        <v>0</v>
      </c>
      <c r="BE215" s="152">
        <f t="shared" si="430"/>
        <v>0</v>
      </c>
      <c r="BF215" s="152">
        <f t="shared" si="430"/>
        <v>0</v>
      </c>
      <c r="BG215" s="152">
        <f t="shared" si="430"/>
        <v>0</v>
      </c>
      <c r="BH215" s="152">
        <f t="shared" si="430"/>
        <v>0</v>
      </c>
      <c r="BI215" s="152">
        <f t="shared" si="430"/>
        <v>0</v>
      </c>
      <c r="BJ215" s="152">
        <f t="shared" si="430"/>
        <v>0</v>
      </c>
      <c r="BK215" s="152">
        <f t="shared" si="430"/>
        <v>0</v>
      </c>
      <c r="BL215" s="152">
        <f t="shared" si="430"/>
        <v>0</v>
      </c>
      <c r="BM215" s="152">
        <f t="shared" si="430"/>
        <v>0</v>
      </c>
      <c r="BN215" s="152">
        <f t="shared" si="430"/>
        <v>0</v>
      </c>
      <c r="BO215" s="152">
        <f t="shared" si="430"/>
        <v>0</v>
      </c>
      <c r="BP215" s="152">
        <f t="shared" si="430"/>
        <v>0</v>
      </c>
      <c r="BQ215" s="152">
        <f t="shared" si="430"/>
        <v>0</v>
      </c>
      <c r="BR215" s="152">
        <f t="shared" si="430"/>
        <v>0</v>
      </c>
      <c r="BS215" s="152">
        <f t="shared" si="430"/>
        <v>0</v>
      </c>
      <c r="BT215" s="152">
        <f t="shared" si="430"/>
        <v>0</v>
      </c>
      <c r="BU215" s="152">
        <f t="shared" si="430"/>
        <v>0</v>
      </c>
      <c r="BV215" s="152">
        <f t="shared" si="430"/>
        <v>0</v>
      </c>
      <c r="BW215" s="152">
        <f t="shared" si="430"/>
        <v>0</v>
      </c>
      <c r="BX215" s="152">
        <f t="shared" si="430"/>
        <v>0</v>
      </c>
      <c r="BY215" s="152">
        <f t="shared" si="430"/>
        <v>0</v>
      </c>
      <c r="BZ215" s="152">
        <f t="shared" si="430"/>
        <v>0</v>
      </c>
      <c r="CA215" s="152">
        <f t="shared" si="430"/>
        <v>0</v>
      </c>
      <c r="CB215" s="152">
        <f t="shared" si="430"/>
        <v>0</v>
      </c>
      <c r="CC215" s="152">
        <f t="shared" si="430"/>
        <v>0</v>
      </c>
      <c r="CD215" s="152">
        <f t="shared" si="430"/>
        <v>0</v>
      </c>
      <c r="CE215" s="152">
        <f t="shared" si="430"/>
        <v>0</v>
      </c>
      <c r="CF215" s="152">
        <f t="shared" si="430"/>
        <v>0</v>
      </c>
      <c r="CG215" s="152">
        <f t="shared" si="430"/>
        <v>0</v>
      </c>
      <c r="CH215" s="152">
        <f t="shared" si="430"/>
        <v>0</v>
      </c>
      <c r="CI215" s="152">
        <f t="shared" si="430"/>
        <v>0</v>
      </c>
      <c r="CJ215" s="152">
        <f t="shared" si="430"/>
        <v>0</v>
      </c>
      <c r="CK215" s="152">
        <f t="shared" si="430"/>
        <v>0</v>
      </c>
      <c r="CL215" s="152">
        <f t="shared" si="430"/>
        <v>0</v>
      </c>
      <c r="CM215" s="152">
        <f t="shared" si="430"/>
        <v>0</v>
      </c>
      <c r="CN215" s="152">
        <f t="shared" si="430"/>
        <v>0</v>
      </c>
      <c r="CO215" s="152">
        <f t="shared" si="430"/>
        <v>0</v>
      </c>
      <c r="CP215" s="152"/>
      <c r="CQ215" s="205">
        <f t="shared" si="384"/>
        <v>0</v>
      </c>
      <c r="CR215" s="205">
        <f t="shared" si="385"/>
        <v>0</v>
      </c>
      <c r="CS215" s="205">
        <f t="shared" si="386"/>
        <v>0</v>
      </c>
      <c r="CT215" s="209">
        <f t="shared" si="387"/>
        <v>0</v>
      </c>
      <c r="CU215" s="152">
        <f t="shared" si="388"/>
        <v>0</v>
      </c>
      <c r="CV215" s="152">
        <f t="shared" si="389"/>
        <v>0</v>
      </c>
      <c r="CW215" s="212">
        <f t="shared" si="390"/>
        <v>0</v>
      </c>
      <c r="CX215" s="212">
        <f t="shared" si="391"/>
        <v>0</v>
      </c>
      <c r="CY215" s="212">
        <f t="shared" si="392"/>
        <v>0</v>
      </c>
      <c r="CZ215" s="205">
        <f t="shared" si="393"/>
        <v>0</v>
      </c>
      <c r="DA215" s="205">
        <f t="shared" si="394"/>
        <v>0</v>
      </c>
    </row>
    <row r="216" spans="2:105">
      <c r="B216" s="161"/>
      <c r="C216" s="195"/>
      <c r="D216" s="154" t="s">
        <v>13937</v>
      </c>
      <c r="E216" s="198">
        <f t="shared" si="362"/>
        <v>0</v>
      </c>
      <c r="F216" s="153">
        <f t="shared" si="363"/>
        <v>0</v>
      </c>
      <c r="G216" s="152">
        <f t="shared" si="364"/>
        <v>0</v>
      </c>
      <c r="H216" s="152">
        <f t="shared" si="365"/>
        <v>0</v>
      </c>
      <c r="I216" s="152">
        <f t="shared" si="366"/>
        <v>0</v>
      </c>
      <c r="J216" s="152">
        <f t="shared" si="367"/>
        <v>0</v>
      </c>
      <c r="K216" s="152">
        <f t="shared" si="368"/>
        <v>0</v>
      </c>
      <c r="L216" s="205">
        <f t="shared" si="369"/>
        <v>0</v>
      </c>
      <c r="M216" s="152">
        <f t="shared" si="370"/>
        <v>0</v>
      </c>
      <c r="N216" s="152">
        <f t="shared" si="371"/>
        <v>0</v>
      </c>
      <c r="O216" s="205">
        <f t="shared" si="372"/>
        <v>0</v>
      </c>
      <c r="P216" s="152">
        <f t="shared" ref="P216:U216" si="431">ROUND(P99/1000,0)</f>
        <v>0</v>
      </c>
      <c r="Q216" s="152">
        <f t="shared" si="431"/>
        <v>0</v>
      </c>
      <c r="R216" s="152">
        <f t="shared" si="431"/>
        <v>0</v>
      </c>
      <c r="S216" s="152">
        <f t="shared" si="431"/>
        <v>0</v>
      </c>
      <c r="T216" s="152">
        <f t="shared" si="431"/>
        <v>0</v>
      </c>
      <c r="U216" s="152">
        <f t="shared" si="431"/>
        <v>0</v>
      </c>
      <c r="V216" s="153">
        <f t="shared" si="374"/>
        <v>0</v>
      </c>
      <c r="W216" s="152">
        <f t="shared" si="375"/>
        <v>0</v>
      </c>
      <c r="X216" s="152">
        <f t="shared" si="376"/>
        <v>0</v>
      </c>
      <c r="Y216" s="205">
        <f t="shared" si="377"/>
        <v>0</v>
      </c>
      <c r="Z216" s="152">
        <f t="shared" si="378"/>
        <v>0</v>
      </c>
      <c r="AA216" s="152">
        <f t="shared" si="379"/>
        <v>0</v>
      </c>
      <c r="AB216" s="205">
        <f t="shared" si="380"/>
        <v>0</v>
      </c>
      <c r="AC216" s="152">
        <f t="shared" ref="AC216:AK216" si="432">ROUND(AC99/1000,0)</f>
        <v>0</v>
      </c>
      <c r="AD216" s="152">
        <f t="shared" si="432"/>
        <v>0</v>
      </c>
      <c r="AE216" s="152">
        <f t="shared" si="432"/>
        <v>0</v>
      </c>
      <c r="AF216" s="152">
        <f t="shared" si="432"/>
        <v>0</v>
      </c>
      <c r="AG216" s="152">
        <f t="shared" si="432"/>
        <v>0</v>
      </c>
      <c r="AH216" s="152">
        <f t="shared" si="432"/>
        <v>0</v>
      </c>
      <c r="AI216" s="152">
        <f t="shared" si="432"/>
        <v>0</v>
      </c>
      <c r="AJ216" s="152">
        <f t="shared" si="432"/>
        <v>0</v>
      </c>
      <c r="AK216" s="152">
        <f t="shared" si="432"/>
        <v>0</v>
      </c>
      <c r="AL216" s="205">
        <f t="shared" si="382"/>
        <v>0</v>
      </c>
      <c r="AM216" s="152">
        <f t="shared" ref="AM216:CO216" si="433">ROUND(AM99/1000,0)</f>
        <v>0</v>
      </c>
      <c r="AN216" s="152">
        <f t="shared" si="433"/>
        <v>0</v>
      </c>
      <c r="AO216" s="152">
        <f t="shared" si="433"/>
        <v>0</v>
      </c>
      <c r="AP216" s="152">
        <f t="shared" si="433"/>
        <v>0</v>
      </c>
      <c r="AQ216" s="152">
        <f t="shared" si="433"/>
        <v>0</v>
      </c>
      <c r="AR216" s="152">
        <f t="shared" si="433"/>
        <v>0</v>
      </c>
      <c r="AS216" s="152">
        <f t="shared" si="433"/>
        <v>0</v>
      </c>
      <c r="AT216" s="152">
        <f t="shared" si="433"/>
        <v>0</v>
      </c>
      <c r="AU216" s="152">
        <f t="shared" si="433"/>
        <v>0</v>
      </c>
      <c r="AV216" s="152">
        <f t="shared" si="433"/>
        <v>0</v>
      </c>
      <c r="AW216" s="152">
        <f t="shared" si="433"/>
        <v>0</v>
      </c>
      <c r="AX216" s="152">
        <f t="shared" si="433"/>
        <v>0</v>
      </c>
      <c r="AY216" s="152">
        <f t="shared" si="433"/>
        <v>0</v>
      </c>
      <c r="AZ216" s="152">
        <f t="shared" si="433"/>
        <v>0</v>
      </c>
      <c r="BA216" s="152">
        <f t="shared" si="433"/>
        <v>0</v>
      </c>
      <c r="BB216" s="152">
        <f t="shared" si="433"/>
        <v>0</v>
      </c>
      <c r="BC216" s="152">
        <f t="shared" si="433"/>
        <v>0</v>
      </c>
      <c r="BD216" s="152">
        <f t="shared" si="433"/>
        <v>0</v>
      </c>
      <c r="BE216" s="152">
        <f t="shared" si="433"/>
        <v>0</v>
      </c>
      <c r="BF216" s="152">
        <f t="shared" si="433"/>
        <v>0</v>
      </c>
      <c r="BG216" s="152">
        <f t="shared" si="433"/>
        <v>0</v>
      </c>
      <c r="BH216" s="152">
        <f t="shared" si="433"/>
        <v>0</v>
      </c>
      <c r="BI216" s="152">
        <f t="shared" si="433"/>
        <v>0</v>
      </c>
      <c r="BJ216" s="152">
        <f t="shared" si="433"/>
        <v>0</v>
      </c>
      <c r="BK216" s="152">
        <f t="shared" si="433"/>
        <v>0</v>
      </c>
      <c r="BL216" s="152">
        <f t="shared" si="433"/>
        <v>0</v>
      </c>
      <c r="BM216" s="152">
        <f t="shared" si="433"/>
        <v>0</v>
      </c>
      <c r="BN216" s="152">
        <f t="shared" si="433"/>
        <v>0</v>
      </c>
      <c r="BO216" s="152">
        <f t="shared" si="433"/>
        <v>0</v>
      </c>
      <c r="BP216" s="152">
        <f t="shared" si="433"/>
        <v>0</v>
      </c>
      <c r="BQ216" s="152">
        <f t="shared" si="433"/>
        <v>0</v>
      </c>
      <c r="BR216" s="152">
        <f t="shared" si="433"/>
        <v>0</v>
      </c>
      <c r="BS216" s="152">
        <f t="shared" si="433"/>
        <v>0</v>
      </c>
      <c r="BT216" s="152">
        <f t="shared" si="433"/>
        <v>0</v>
      </c>
      <c r="BU216" s="152">
        <f t="shared" si="433"/>
        <v>0</v>
      </c>
      <c r="BV216" s="152">
        <f t="shared" si="433"/>
        <v>0</v>
      </c>
      <c r="BW216" s="152">
        <f t="shared" si="433"/>
        <v>0</v>
      </c>
      <c r="BX216" s="152">
        <f t="shared" si="433"/>
        <v>0</v>
      </c>
      <c r="BY216" s="152">
        <f t="shared" si="433"/>
        <v>0</v>
      </c>
      <c r="BZ216" s="152">
        <f t="shared" si="433"/>
        <v>0</v>
      </c>
      <c r="CA216" s="152">
        <f t="shared" si="433"/>
        <v>0</v>
      </c>
      <c r="CB216" s="152">
        <f t="shared" si="433"/>
        <v>0</v>
      </c>
      <c r="CC216" s="152">
        <f t="shared" si="433"/>
        <v>0</v>
      </c>
      <c r="CD216" s="152">
        <f t="shared" si="433"/>
        <v>0</v>
      </c>
      <c r="CE216" s="152">
        <f t="shared" si="433"/>
        <v>0</v>
      </c>
      <c r="CF216" s="152">
        <f t="shared" si="433"/>
        <v>0</v>
      </c>
      <c r="CG216" s="152">
        <f t="shared" si="433"/>
        <v>0</v>
      </c>
      <c r="CH216" s="152">
        <f t="shared" si="433"/>
        <v>0</v>
      </c>
      <c r="CI216" s="152">
        <f t="shared" si="433"/>
        <v>0</v>
      </c>
      <c r="CJ216" s="152">
        <f t="shared" si="433"/>
        <v>0</v>
      </c>
      <c r="CK216" s="152">
        <f t="shared" si="433"/>
        <v>0</v>
      </c>
      <c r="CL216" s="152">
        <f t="shared" si="433"/>
        <v>0</v>
      </c>
      <c r="CM216" s="152">
        <f t="shared" si="433"/>
        <v>0</v>
      </c>
      <c r="CN216" s="152">
        <f t="shared" si="433"/>
        <v>0</v>
      </c>
      <c r="CO216" s="152">
        <f t="shared" si="433"/>
        <v>0</v>
      </c>
      <c r="CP216" s="152"/>
      <c r="CQ216" s="205">
        <f t="shared" si="384"/>
        <v>0</v>
      </c>
      <c r="CR216" s="205">
        <f t="shared" si="385"/>
        <v>0</v>
      </c>
      <c r="CS216" s="205">
        <f t="shared" si="386"/>
        <v>0</v>
      </c>
      <c r="CT216" s="209">
        <f t="shared" si="387"/>
        <v>0</v>
      </c>
      <c r="CU216" s="152">
        <f t="shared" si="388"/>
        <v>0</v>
      </c>
      <c r="CV216" s="152">
        <f t="shared" si="389"/>
        <v>0</v>
      </c>
      <c r="CW216" s="212">
        <f t="shared" si="390"/>
        <v>0</v>
      </c>
      <c r="CX216" s="212">
        <f t="shared" si="391"/>
        <v>0</v>
      </c>
      <c r="CY216" s="212">
        <f t="shared" si="392"/>
        <v>0</v>
      </c>
      <c r="CZ216" s="205">
        <f t="shared" si="393"/>
        <v>0</v>
      </c>
      <c r="DA216" s="205">
        <f t="shared" si="394"/>
        <v>0</v>
      </c>
    </row>
    <row r="217" spans="2:105">
      <c r="B217" s="161"/>
      <c r="C217" s="195"/>
      <c r="D217" s="154" t="s">
        <v>13891</v>
      </c>
      <c r="E217" s="198">
        <f t="shared" si="362"/>
        <v>-2</v>
      </c>
      <c r="F217" s="153">
        <f t="shared" si="363"/>
        <v>-2</v>
      </c>
      <c r="G217" s="152">
        <f t="shared" si="364"/>
        <v>0</v>
      </c>
      <c r="H217" s="152">
        <f t="shared" si="365"/>
        <v>0</v>
      </c>
      <c r="I217" s="152">
        <f t="shared" si="366"/>
        <v>0</v>
      </c>
      <c r="J217" s="152">
        <f t="shared" si="367"/>
        <v>0</v>
      </c>
      <c r="K217" s="152">
        <f t="shared" si="368"/>
        <v>0</v>
      </c>
      <c r="L217" s="205">
        <f t="shared" si="369"/>
        <v>0</v>
      </c>
      <c r="M217" s="152">
        <f t="shared" si="370"/>
        <v>0</v>
      </c>
      <c r="N217" s="152">
        <f t="shared" si="371"/>
        <v>0</v>
      </c>
      <c r="O217" s="205">
        <f t="shared" si="372"/>
        <v>0</v>
      </c>
      <c r="P217" s="152">
        <f t="shared" ref="P217:U217" si="434">ROUND(P100/1000,0)</f>
        <v>0</v>
      </c>
      <c r="Q217" s="152">
        <f t="shared" si="434"/>
        <v>0</v>
      </c>
      <c r="R217" s="152">
        <f t="shared" si="434"/>
        <v>0</v>
      </c>
      <c r="S217" s="152">
        <f t="shared" si="434"/>
        <v>0</v>
      </c>
      <c r="T217" s="152">
        <f t="shared" si="434"/>
        <v>0</v>
      </c>
      <c r="U217" s="152">
        <f t="shared" si="434"/>
        <v>0</v>
      </c>
      <c r="V217" s="153">
        <f t="shared" si="374"/>
        <v>0</v>
      </c>
      <c r="W217" s="152">
        <f t="shared" si="375"/>
        <v>0</v>
      </c>
      <c r="X217" s="152">
        <f t="shared" si="376"/>
        <v>0</v>
      </c>
      <c r="Y217" s="205">
        <f t="shared" si="377"/>
        <v>0</v>
      </c>
      <c r="Z217" s="152">
        <f t="shared" si="378"/>
        <v>0</v>
      </c>
      <c r="AA217" s="152">
        <f t="shared" si="379"/>
        <v>0</v>
      </c>
      <c r="AB217" s="205">
        <f t="shared" si="380"/>
        <v>0</v>
      </c>
      <c r="AC217" s="152">
        <f t="shared" ref="AC217:AK217" si="435">ROUND(AC100/1000,0)</f>
        <v>0</v>
      </c>
      <c r="AD217" s="152">
        <f t="shared" si="435"/>
        <v>0</v>
      </c>
      <c r="AE217" s="152">
        <f t="shared" si="435"/>
        <v>0</v>
      </c>
      <c r="AF217" s="152">
        <f t="shared" si="435"/>
        <v>0</v>
      </c>
      <c r="AG217" s="152">
        <f t="shared" si="435"/>
        <v>0</v>
      </c>
      <c r="AH217" s="152">
        <f t="shared" si="435"/>
        <v>0</v>
      </c>
      <c r="AI217" s="152">
        <f t="shared" si="435"/>
        <v>0</v>
      </c>
      <c r="AJ217" s="152">
        <f t="shared" si="435"/>
        <v>0</v>
      </c>
      <c r="AK217" s="152">
        <f t="shared" si="435"/>
        <v>0</v>
      </c>
      <c r="AL217" s="205">
        <f t="shared" si="382"/>
        <v>0</v>
      </c>
      <c r="AM217" s="152">
        <f t="shared" ref="AM217:CO217" si="436">ROUND(AM100/1000,0)</f>
        <v>0</v>
      </c>
      <c r="AN217" s="152">
        <f t="shared" si="436"/>
        <v>0</v>
      </c>
      <c r="AO217" s="152">
        <f t="shared" si="436"/>
        <v>0</v>
      </c>
      <c r="AP217" s="152">
        <f t="shared" si="436"/>
        <v>0</v>
      </c>
      <c r="AQ217" s="152">
        <f t="shared" si="436"/>
        <v>0</v>
      </c>
      <c r="AR217" s="152">
        <f t="shared" si="436"/>
        <v>0</v>
      </c>
      <c r="AS217" s="152">
        <f t="shared" si="436"/>
        <v>0</v>
      </c>
      <c r="AT217" s="152">
        <f t="shared" si="436"/>
        <v>0</v>
      </c>
      <c r="AU217" s="152">
        <f t="shared" si="436"/>
        <v>0</v>
      </c>
      <c r="AV217" s="152">
        <f t="shared" si="436"/>
        <v>0</v>
      </c>
      <c r="AW217" s="152">
        <f t="shared" si="436"/>
        <v>0</v>
      </c>
      <c r="AX217" s="152">
        <f t="shared" si="436"/>
        <v>0</v>
      </c>
      <c r="AY217" s="152">
        <f t="shared" si="436"/>
        <v>0</v>
      </c>
      <c r="AZ217" s="152">
        <f t="shared" si="436"/>
        <v>0</v>
      </c>
      <c r="BA217" s="152">
        <f t="shared" si="436"/>
        <v>0</v>
      </c>
      <c r="BB217" s="152">
        <f t="shared" si="436"/>
        <v>0</v>
      </c>
      <c r="BC217" s="152">
        <f t="shared" si="436"/>
        <v>0</v>
      </c>
      <c r="BD217" s="152">
        <f t="shared" si="436"/>
        <v>0</v>
      </c>
      <c r="BE217" s="152">
        <f t="shared" si="436"/>
        <v>0</v>
      </c>
      <c r="BF217" s="152">
        <f t="shared" si="436"/>
        <v>0</v>
      </c>
      <c r="BG217" s="152">
        <f t="shared" si="436"/>
        <v>0</v>
      </c>
      <c r="BH217" s="152">
        <f t="shared" si="436"/>
        <v>0</v>
      </c>
      <c r="BI217" s="152">
        <f t="shared" si="436"/>
        <v>0</v>
      </c>
      <c r="BJ217" s="152">
        <f t="shared" si="436"/>
        <v>0</v>
      </c>
      <c r="BK217" s="152">
        <f t="shared" si="436"/>
        <v>0</v>
      </c>
      <c r="BL217" s="152">
        <f t="shared" si="436"/>
        <v>0</v>
      </c>
      <c r="BM217" s="152">
        <f t="shared" si="436"/>
        <v>0</v>
      </c>
      <c r="BN217" s="152">
        <f t="shared" si="436"/>
        <v>0</v>
      </c>
      <c r="BO217" s="152">
        <f t="shared" si="436"/>
        <v>0</v>
      </c>
      <c r="BP217" s="152">
        <f t="shared" si="436"/>
        <v>0</v>
      </c>
      <c r="BQ217" s="152">
        <f t="shared" si="436"/>
        <v>0</v>
      </c>
      <c r="BR217" s="152">
        <f t="shared" si="436"/>
        <v>0</v>
      </c>
      <c r="BS217" s="152">
        <f t="shared" si="436"/>
        <v>0</v>
      </c>
      <c r="BT217" s="152">
        <f t="shared" si="436"/>
        <v>0</v>
      </c>
      <c r="BU217" s="152">
        <f t="shared" si="436"/>
        <v>0</v>
      </c>
      <c r="BV217" s="152">
        <f t="shared" si="436"/>
        <v>0</v>
      </c>
      <c r="BW217" s="152">
        <f t="shared" si="436"/>
        <v>0</v>
      </c>
      <c r="BX217" s="152">
        <f t="shared" si="436"/>
        <v>0</v>
      </c>
      <c r="BY217" s="152">
        <f t="shared" si="436"/>
        <v>0</v>
      </c>
      <c r="BZ217" s="152">
        <f t="shared" si="436"/>
        <v>0</v>
      </c>
      <c r="CA217" s="152">
        <f t="shared" si="436"/>
        <v>0</v>
      </c>
      <c r="CB217" s="152">
        <f t="shared" si="436"/>
        <v>0</v>
      </c>
      <c r="CC217" s="152">
        <f t="shared" si="436"/>
        <v>0</v>
      </c>
      <c r="CD217" s="152">
        <f t="shared" si="436"/>
        <v>0</v>
      </c>
      <c r="CE217" s="152">
        <f t="shared" si="436"/>
        <v>0</v>
      </c>
      <c r="CF217" s="152">
        <f t="shared" si="436"/>
        <v>0</v>
      </c>
      <c r="CG217" s="152">
        <f t="shared" si="436"/>
        <v>0</v>
      </c>
      <c r="CH217" s="152">
        <f t="shared" si="436"/>
        <v>0</v>
      </c>
      <c r="CI217" s="152">
        <f t="shared" si="436"/>
        <v>0</v>
      </c>
      <c r="CJ217" s="152">
        <f t="shared" si="436"/>
        <v>0</v>
      </c>
      <c r="CK217" s="152">
        <f t="shared" si="436"/>
        <v>0</v>
      </c>
      <c r="CL217" s="152">
        <f t="shared" si="436"/>
        <v>0</v>
      </c>
      <c r="CM217" s="152">
        <f t="shared" si="436"/>
        <v>0</v>
      </c>
      <c r="CN217" s="152">
        <f t="shared" si="436"/>
        <v>-1</v>
      </c>
      <c r="CO217" s="152">
        <f t="shared" si="436"/>
        <v>-1</v>
      </c>
      <c r="CP217" s="152"/>
      <c r="CQ217" s="205">
        <f t="shared" si="384"/>
        <v>-2</v>
      </c>
      <c r="CR217" s="205">
        <f t="shared" si="385"/>
        <v>-2</v>
      </c>
      <c r="CS217" s="205">
        <f t="shared" si="386"/>
        <v>0</v>
      </c>
      <c r="CT217" s="209">
        <f t="shared" si="387"/>
        <v>0</v>
      </c>
      <c r="CU217" s="152">
        <f t="shared" si="388"/>
        <v>0</v>
      </c>
      <c r="CV217" s="152">
        <f t="shared" si="389"/>
        <v>0</v>
      </c>
      <c r="CW217" s="212">
        <f t="shared" si="390"/>
        <v>0</v>
      </c>
      <c r="CX217" s="212">
        <f t="shared" si="391"/>
        <v>0</v>
      </c>
      <c r="CY217" s="212">
        <f t="shared" si="392"/>
        <v>0</v>
      </c>
      <c r="CZ217" s="205">
        <f t="shared" si="393"/>
        <v>0</v>
      </c>
      <c r="DA217" s="205">
        <f t="shared" si="394"/>
        <v>0</v>
      </c>
    </row>
    <row r="218" spans="2:105">
      <c r="B218" s="161"/>
      <c r="C218" s="195"/>
      <c r="D218" s="154" t="s">
        <v>13877</v>
      </c>
      <c r="E218" s="198">
        <f t="shared" si="362"/>
        <v>0</v>
      </c>
      <c r="F218" s="153">
        <f t="shared" si="363"/>
        <v>0</v>
      </c>
      <c r="G218" s="152">
        <f t="shared" si="364"/>
        <v>0</v>
      </c>
      <c r="H218" s="152">
        <f t="shared" si="365"/>
        <v>0</v>
      </c>
      <c r="I218" s="152">
        <f t="shared" si="366"/>
        <v>0</v>
      </c>
      <c r="J218" s="152">
        <f t="shared" si="367"/>
        <v>0</v>
      </c>
      <c r="K218" s="152">
        <f t="shared" si="368"/>
        <v>0</v>
      </c>
      <c r="L218" s="205">
        <f t="shared" si="369"/>
        <v>0</v>
      </c>
      <c r="M218" s="152">
        <f t="shared" si="370"/>
        <v>0</v>
      </c>
      <c r="N218" s="152">
        <f t="shared" si="371"/>
        <v>0</v>
      </c>
      <c r="O218" s="205">
        <f t="shared" si="372"/>
        <v>0</v>
      </c>
      <c r="P218" s="152">
        <f t="shared" ref="P218:U218" si="437">ROUND(P101/1000,0)</f>
        <v>0</v>
      </c>
      <c r="Q218" s="152">
        <f t="shared" si="437"/>
        <v>0</v>
      </c>
      <c r="R218" s="152">
        <f t="shared" si="437"/>
        <v>0</v>
      </c>
      <c r="S218" s="152">
        <f t="shared" si="437"/>
        <v>0</v>
      </c>
      <c r="T218" s="152">
        <f t="shared" si="437"/>
        <v>0</v>
      </c>
      <c r="U218" s="152">
        <f t="shared" si="437"/>
        <v>0</v>
      </c>
      <c r="V218" s="153">
        <f t="shared" si="374"/>
        <v>0</v>
      </c>
      <c r="W218" s="152">
        <f t="shared" si="375"/>
        <v>0</v>
      </c>
      <c r="X218" s="152">
        <f t="shared" si="376"/>
        <v>0</v>
      </c>
      <c r="Y218" s="205">
        <f t="shared" si="377"/>
        <v>0</v>
      </c>
      <c r="Z218" s="152">
        <f t="shared" si="378"/>
        <v>0</v>
      </c>
      <c r="AA218" s="152">
        <f t="shared" si="379"/>
        <v>0</v>
      </c>
      <c r="AB218" s="205">
        <f t="shared" si="380"/>
        <v>0</v>
      </c>
      <c r="AC218" s="152">
        <f t="shared" ref="AC218:AK218" si="438">ROUND(AC101/1000,0)</f>
        <v>0</v>
      </c>
      <c r="AD218" s="152">
        <f t="shared" si="438"/>
        <v>0</v>
      </c>
      <c r="AE218" s="152">
        <f t="shared" si="438"/>
        <v>0</v>
      </c>
      <c r="AF218" s="152">
        <f t="shared" si="438"/>
        <v>0</v>
      </c>
      <c r="AG218" s="152">
        <f t="shared" si="438"/>
        <v>0</v>
      </c>
      <c r="AH218" s="152">
        <f t="shared" si="438"/>
        <v>0</v>
      </c>
      <c r="AI218" s="152">
        <f t="shared" si="438"/>
        <v>0</v>
      </c>
      <c r="AJ218" s="152">
        <f t="shared" si="438"/>
        <v>0</v>
      </c>
      <c r="AK218" s="152">
        <f t="shared" si="438"/>
        <v>0</v>
      </c>
      <c r="AL218" s="205">
        <f t="shared" si="382"/>
        <v>0</v>
      </c>
      <c r="AM218" s="152">
        <f t="shared" ref="AM218:CO218" si="439">ROUND(AM101/1000,0)</f>
        <v>0</v>
      </c>
      <c r="AN218" s="152">
        <f t="shared" si="439"/>
        <v>0</v>
      </c>
      <c r="AO218" s="152">
        <f t="shared" si="439"/>
        <v>0</v>
      </c>
      <c r="AP218" s="152">
        <f t="shared" si="439"/>
        <v>0</v>
      </c>
      <c r="AQ218" s="152">
        <f t="shared" si="439"/>
        <v>0</v>
      </c>
      <c r="AR218" s="152">
        <f t="shared" si="439"/>
        <v>0</v>
      </c>
      <c r="AS218" s="152">
        <f t="shared" si="439"/>
        <v>0</v>
      </c>
      <c r="AT218" s="152">
        <f t="shared" si="439"/>
        <v>0</v>
      </c>
      <c r="AU218" s="152">
        <f t="shared" si="439"/>
        <v>0</v>
      </c>
      <c r="AV218" s="152">
        <f t="shared" si="439"/>
        <v>0</v>
      </c>
      <c r="AW218" s="152">
        <f t="shared" si="439"/>
        <v>0</v>
      </c>
      <c r="AX218" s="152">
        <f t="shared" si="439"/>
        <v>0</v>
      </c>
      <c r="AY218" s="152">
        <f t="shared" si="439"/>
        <v>0</v>
      </c>
      <c r="AZ218" s="152">
        <f t="shared" si="439"/>
        <v>0</v>
      </c>
      <c r="BA218" s="152">
        <f t="shared" si="439"/>
        <v>0</v>
      </c>
      <c r="BB218" s="152">
        <f t="shared" si="439"/>
        <v>0</v>
      </c>
      <c r="BC218" s="152">
        <f t="shared" si="439"/>
        <v>0</v>
      </c>
      <c r="BD218" s="152">
        <f t="shared" si="439"/>
        <v>0</v>
      </c>
      <c r="BE218" s="152">
        <f t="shared" si="439"/>
        <v>0</v>
      </c>
      <c r="BF218" s="152">
        <f t="shared" si="439"/>
        <v>0</v>
      </c>
      <c r="BG218" s="152">
        <f t="shared" si="439"/>
        <v>0</v>
      </c>
      <c r="BH218" s="152">
        <f t="shared" si="439"/>
        <v>0</v>
      </c>
      <c r="BI218" s="152">
        <f t="shared" si="439"/>
        <v>0</v>
      </c>
      <c r="BJ218" s="152">
        <f t="shared" si="439"/>
        <v>0</v>
      </c>
      <c r="BK218" s="152">
        <f t="shared" si="439"/>
        <v>0</v>
      </c>
      <c r="BL218" s="152">
        <f t="shared" si="439"/>
        <v>0</v>
      </c>
      <c r="BM218" s="152">
        <f t="shared" si="439"/>
        <v>0</v>
      </c>
      <c r="BN218" s="152">
        <f t="shared" si="439"/>
        <v>0</v>
      </c>
      <c r="BO218" s="152">
        <f t="shared" si="439"/>
        <v>0</v>
      </c>
      <c r="BP218" s="152">
        <f t="shared" si="439"/>
        <v>0</v>
      </c>
      <c r="BQ218" s="152">
        <f t="shared" si="439"/>
        <v>0</v>
      </c>
      <c r="BR218" s="152">
        <f t="shared" si="439"/>
        <v>0</v>
      </c>
      <c r="BS218" s="152">
        <f t="shared" si="439"/>
        <v>0</v>
      </c>
      <c r="BT218" s="152">
        <f t="shared" si="439"/>
        <v>0</v>
      </c>
      <c r="BU218" s="152">
        <f t="shared" si="439"/>
        <v>0</v>
      </c>
      <c r="BV218" s="152">
        <f t="shared" si="439"/>
        <v>0</v>
      </c>
      <c r="BW218" s="152">
        <f t="shared" si="439"/>
        <v>0</v>
      </c>
      <c r="BX218" s="152">
        <f t="shared" si="439"/>
        <v>0</v>
      </c>
      <c r="BY218" s="152">
        <f t="shared" si="439"/>
        <v>0</v>
      </c>
      <c r="BZ218" s="152">
        <f t="shared" si="439"/>
        <v>0</v>
      </c>
      <c r="CA218" s="152">
        <f t="shared" si="439"/>
        <v>0</v>
      </c>
      <c r="CB218" s="152">
        <f t="shared" si="439"/>
        <v>0</v>
      </c>
      <c r="CC218" s="152">
        <f t="shared" si="439"/>
        <v>0</v>
      </c>
      <c r="CD218" s="152">
        <f t="shared" si="439"/>
        <v>0</v>
      </c>
      <c r="CE218" s="152">
        <f t="shared" si="439"/>
        <v>0</v>
      </c>
      <c r="CF218" s="152">
        <f t="shared" si="439"/>
        <v>0</v>
      </c>
      <c r="CG218" s="152">
        <f t="shared" si="439"/>
        <v>0</v>
      </c>
      <c r="CH218" s="152">
        <f t="shared" si="439"/>
        <v>0</v>
      </c>
      <c r="CI218" s="152">
        <f t="shared" si="439"/>
        <v>0</v>
      </c>
      <c r="CJ218" s="152">
        <f t="shared" si="439"/>
        <v>0</v>
      </c>
      <c r="CK218" s="152">
        <f t="shared" si="439"/>
        <v>0</v>
      </c>
      <c r="CL218" s="152">
        <f t="shared" si="439"/>
        <v>0</v>
      </c>
      <c r="CM218" s="152">
        <f t="shared" si="439"/>
        <v>0</v>
      </c>
      <c r="CN218" s="152">
        <f t="shared" si="439"/>
        <v>0</v>
      </c>
      <c r="CO218" s="152">
        <f t="shared" si="439"/>
        <v>0</v>
      </c>
      <c r="CP218" s="152"/>
      <c r="CQ218" s="205">
        <f t="shared" si="384"/>
        <v>0</v>
      </c>
      <c r="CR218" s="205">
        <f t="shared" si="385"/>
        <v>0</v>
      </c>
      <c r="CS218" s="205">
        <f t="shared" si="386"/>
        <v>0</v>
      </c>
      <c r="CT218" s="209">
        <f t="shared" si="387"/>
        <v>0</v>
      </c>
      <c r="CU218" s="152">
        <f t="shared" si="388"/>
        <v>0</v>
      </c>
      <c r="CV218" s="152">
        <f t="shared" si="389"/>
        <v>0</v>
      </c>
      <c r="CW218" s="212">
        <f t="shared" si="390"/>
        <v>0</v>
      </c>
      <c r="CX218" s="212">
        <f t="shared" si="391"/>
        <v>0</v>
      </c>
      <c r="CY218" s="212">
        <f t="shared" si="392"/>
        <v>0</v>
      </c>
      <c r="CZ218" s="205">
        <f t="shared" si="393"/>
        <v>0</v>
      </c>
      <c r="DA218" s="205">
        <f t="shared" si="394"/>
        <v>0</v>
      </c>
    </row>
    <row r="219" spans="2:105">
      <c r="B219" s="161"/>
      <c r="C219" s="195"/>
      <c r="D219" s="154" t="s">
        <v>13938</v>
      </c>
      <c r="E219" s="198">
        <f t="shared" si="362"/>
        <v>0</v>
      </c>
      <c r="F219" s="153">
        <f t="shared" si="363"/>
        <v>0</v>
      </c>
      <c r="G219" s="152">
        <f t="shared" si="364"/>
        <v>0</v>
      </c>
      <c r="H219" s="152">
        <f t="shared" si="365"/>
        <v>0</v>
      </c>
      <c r="I219" s="152">
        <f t="shared" si="366"/>
        <v>0</v>
      </c>
      <c r="J219" s="152">
        <f t="shared" si="367"/>
        <v>0</v>
      </c>
      <c r="K219" s="152">
        <f t="shared" si="368"/>
        <v>0</v>
      </c>
      <c r="L219" s="205">
        <f t="shared" si="369"/>
        <v>0</v>
      </c>
      <c r="M219" s="152">
        <f t="shared" si="370"/>
        <v>0</v>
      </c>
      <c r="N219" s="152">
        <f t="shared" si="371"/>
        <v>0</v>
      </c>
      <c r="O219" s="205">
        <f t="shared" si="372"/>
        <v>0</v>
      </c>
      <c r="P219" s="152">
        <f t="shared" ref="P219:U219" si="440">ROUND(P102/1000,0)</f>
        <v>0</v>
      </c>
      <c r="Q219" s="152">
        <f t="shared" si="440"/>
        <v>0</v>
      </c>
      <c r="R219" s="152">
        <f t="shared" si="440"/>
        <v>0</v>
      </c>
      <c r="S219" s="152">
        <f t="shared" si="440"/>
        <v>0</v>
      </c>
      <c r="T219" s="152">
        <f t="shared" si="440"/>
        <v>0</v>
      </c>
      <c r="U219" s="152">
        <f t="shared" si="440"/>
        <v>0</v>
      </c>
      <c r="V219" s="153">
        <f t="shared" si="374"/>
        <v>0</v>
      </c>
      <c r="W219" s="152">
        <f t="shared" si="375"/>
        <v>0</v>
      </c>
      <c r="X219" s="152">
        <f t="shared" si="376"/>
        <v>0</v>
      </c>
      <c r="Y219" s="205">
        <f t="shared" si="377"/>
        <v>0</v>
      </c>
      <c r="Z219" s="152">
        <f t="shared" si="378"/>
        <v>0</v>
      </c>
      <c r="AA219" s="152">
        <f t="shared" si="379"/>
        <v>0</v>
      </c>
      <c r="AB219" s="205">
        <f t="shared" si="380"/>
        <v>0</v>
      </c>
      <c r="AC219" s="152">
        <f t="shared" ref="AC219:AK219" si="441">ROUND(AC102/1000,0)</f>
        <v>0</v>
      </c>
      <c r="AD219" s="152">
        <f t="shared" si="441"/>
        <v>0</v>
      </c>
      <c r="AE219" s="152">
        <f t="shared" si="441"/>
        <v>0</v>
      </c>
      <c r="AF219" s="152">
        <f t="shared" si="441"/>
        <v>0</v>
      </c>
      <c r="AG219" s="152">
        <f t="shared" si="441"/>
        <v>0</v>
      </c>
      <c r="AH219" s="152">
        <f t="shared" si="441"/>
        <v>0</v>
      </c>
      <c r="AI219" s="152">
        <f t="shared" si="441"/>
        <v>0</v>
      </c>
      <c r="AJ219" s="152">
        <f t="shared" si="441"/>
        <v>0</v>
      </c>
      <c r="AK219" s="152">
        <f t="shared" si="441"/>
        <v>0</v>
      </c>
      <c r="AL219" s="205">
        <f t="shared" si="382"/>
        <v>0</v>
      </c>
      <c r="AM219" s="152">
        <f t="shared" ref="AM219:CO219" si="442">ROUND(AM102/1000,0)</f>
        <v>0</v>
      </c>
      <c r="AN219" s="152">
        <f t="shared" si="442"/>
        <v>0</v>
      </c>
      <c r="AO219" s="152">
        <f t="shared" si="442"/>
        <v>0</v>
      </c>
      <c r="AP219" s="152">
        <f t="shared" si="442"/>
        <v>0</v>
      </c>
      <c r="AQ219" s="152">
        <f t="shared" si="442"/>
        <v>0</v>
      </c>
      <c r="AR219" s="152">
        <f t="shared" si="442"/>
        <v>0</v>
      </c>
      <c r="AS219" s="152">
        <f t="shared" si="442"/>
        <v>0</v>
      </c>
      <c r="AT219" s="152">
        <f t="shared" si="442"/>
        <v>0</v>
      </c>
      <c r="AU219" s="152">
        <f t="shared" si="442"/>
        <v>0</v>
      </c>
      <c r="AV219" s="152">
        <f t="shared" si="442"/>
        <v>0</v>
      </c>
      <c r="AW219" s="152">
        <f t="shared" si="442"/>
        <v>0</v>
      </c>
      <c r="AX219" s="152">
        <f t="shared" si="442"/>
        <v>0</v>
      </c>
      <c r="AY219" s="152">
        <f t="shared" si="442"/>
        <v>0</v>
      </c>
      <c r="AZ219" s="152">
        <f t="shared" si="442"/>
        <v>0</v>
      </c>
      <c r="BA219" s="152">
        <f t="shared" si="442"/>
        <v>0</v>
      </c>
      <c r="BB219" s="152">
        <f t="shared" si="442"/>
        <v>0</v>
      </c>
      <c r="BC219" s="152">
        <f t="shared" si="442"/>
        <v>0</v>
      </c>
      <c r="BD219" s="152">
        <f t="shared" si="442"/>
        <v>0</v>
      </c>
      <c r="BE219" s="152">
        <f t="shared" si="442"/>
        <v>0</v>
      </c>
      <c r="BF219" s="152">
        <f t="shared" si="442"/>
        <v>0</v>
      </c>
      <c r="BG219" s="152">
        <f t="shared" si="442"/>
        <v>0</v>
      </c>
      <c r="BH219" s="152">
        <f t="shared" si="442"/>
        <v>0</v>
      </c>
      <c r="BI219" s="152">
        <f t="shared" si="442"/>
        <v>0</v>
      </c>
      <c r="BJ219" s="152">
        <f t="shared" si="442"/>
        <v>0</v>
      </c>
      <c r="BK219" s="152">
        <f t="shared" si="442"/>
        <v>0</v>
      </c>
      <c r="BL219" s="152">
        <f t="shared" si="442"/>
        <v>0</v>
      </c>
      <c r="BM219" s="152">
        <f t="shared" si="442"/>
        <v>0</v>
      </c>
      <c r="BN219" s="152">
        <f t="shared" si="442"/>
        <v>0</v>
      </c>
      <c r="BO219" s="152">
        <f t="shared" si="442"/>
        <v>0</v>
      </c>
      <c r="BP219" s="152">
        <f t="shared" si="442"/>
        <v>0</v>
      </c>
      <c r="BQ219" s="152">
        <f t="shared" si="442"/>
        <v>0</v>
      </c>
      <c r="BR219" s="152">
        <f t="shared" si="442"/>
        <v>0</v>
      </c>
      <c r="BS219" s="152">
        <f t="shared" si="442"/>
        <v>0</v>
      </c>
      <c r="BT219" s="152">
        <f t="shared" si="442"/>
        <v>0</v>
      </c>
      <c r="BU219" s="152">
        <f t="shared" si="442"/>
        <v>0</v>
      </c>
      <c r="BV219" s="152">
        <f t="shared" si="442"/>
        <v>0</v>
      </c>
      <c r="BW219" s="152">
        <f t="shared" si="442"/>
        <v>0</v>
      </c>
      <c r="BX219" s="152">
        <f t="shared" si="442"/>
        <v>0</v>
      </c>
      <c r="BY219" s="152">
        <f t="shared" si="442"/>
        <v>0</v>
      </c>
      <c r="BZ219" s="152">
        <f t="shared" si="442"/>
        <v>0</v>
      </c>
      <c r="CA219" s="152">
        <f t="shared" si="442"/>
        <v>0</v>
      </c>
      <c r="CB219" s="152">
        <f t="shared" si="442"/>
        <v>0</v>
      </c>
      <c r="CC219" s="152">
        <f t="shared" si="442"/>
        <v>0</v>
      </c>
      <c r="CD219" s="152">
        <f t="shared" si="442"/>
        <v>0</v>
      </c>
      <c r="CE219" s="152">
        <f t="shared" si="442"/>
        <v>0</v>
      </c>
      <c r="CF219" s="152">
        <f t="shared" si="442"/>
        <v>0</v>
      </c>
      <c r="CG219" s="152">
        <f t="shared" si="442"/>
        <v>0</v>
      </c>
      <c r="CH219" s="152">
        <f t="shared" si="442"/>
        <v>0</v>
      </c>
      <c r="CI219" s="152">
        <f t="shared" si="442"/>
        <v>0</v>
      </c>
      <c r="CJ219" s="152">
        <f t="shared" si="442"/>
        <v>0</v>
      </c>
      <c r="CK219" s="152">
        <f t="shared" si="442"/>
        <v>0</v>
      </c>
      <c r="CL219" s="152">
        <f t="shared" si="442"/>
        <v>0</v>
      </c>
      <c r="CM219" s="152">
        <f t="shared" si="442"/>
        <v>0</v>
      </c>
      <c r="CN219" s="152">
        <f t="shared" si="442"/>
        <v>0</v>
      </c>
      <c r="CO219" s="152">
        <f t="shared" si="442"/>
        <v>0</v>
      </c>
      <c r="CP219" s="152"/>
      <c r="CQ219" s="205">
        <f t="shared" si="384"/>
        <v>0</v>
      </c>
      <c r="CR219" s="205">
        <f t="shared" si="385"/>
        <v>0</v>
      </c>
      <c r="CS219" s="205">
        <f t="shared" si="386"/>
        <v>0</v>
      </c>
      <c r="CT219" s="209">
        <f t="shared" si="387"/>
        <v>0</v>
      </c>
      <c r="CU219" s="152">
        <f t="shared" si="388"/>
        <v>0</v>
      </c>
      <c r="CV219" s="152">
        <f t="shared" si="389"/>
        <v>0</v>
      </c>
      <c r="CW219" s="212">
        <f t="shared" si="390"/>
        <v>0</v>
      </c>
      <c r="CX219" s="212">
        <f t="shared" si="391"/>
        <v>0</v>
      </c>
      <c r="CY219" s="212">
        <f t="shared" si="392"/>
        <v>0</v>
      </c>
      <c r="CZ219" s="205">
        <f t="shared" si="393"/>
        <v>0</v>
      </c>
      <c r="DA219" s="205">
        <f t="shared" si="394"/>
        <v>0</v>
      </c>
    </row>
    <row r="220" spans="2:106">
      <c r="B220" s="161"/>
      <c r="C220" s="195"/>
      <c r="D220" s="154" t="s">
        <v>3864</v>
      </c>
      <c r="E220" s="198">
        <f t="shared" si="362"/>
        <v>-25</v>
      </c>
      <c r="F220" s="153">
        <f t="shared" si="363"/>
        <v>-25</v>
      </c>
      <c r="G220" s="152">
        <f t="shared" si="364"/>
        <v>0</v>
      </c>
      <c r="H220" s="152">
        <f t="shared" si="365"/>
        <v>0</v>
      </c>
      <c r="I220" s="152">
        <f t="shared" si="366"/>
        <v>0</v>
      </c>
      <c r="J220" s="152">
        <f t="shared" si="367"/>
        <v>0</v>
      </c>
      <c r="K220" s="152">
        <f t="shared" si="368"/>
        <v>0</v>
      </c>
      <c r="L220" s="205">
        <f t="shared" si="369"/>
        <v>0</v>
      </c>
      <c r="M220" s="152">
        <f t="shared" si="370"/>
        <v>0</v>
      </c>
      <c r="N220" s="152">
        <f t="shared" si="371"/>
        <v>0</v>
      </c>
      <c r="O220" s="205">
        <f t="shared" si="372"/>
        <v>0</v>
      </c>
      <c r="P220" s="152">
        <f t="shared" ref="P220:U220" si="443">ROUND(P103/1000,0)</f>
        <v>0</v>
      </c>
      <c r="Q220" s="152">
        <f t="shared" si="443"/>
        <v>0</v>
      </c>
      <c r="R220" s="152">
        <f t="shared" si="443"/>
        <v>0</v>
      </c>
      <c r="S220" s="152">
        <f t="shared" si="443"/>
        <v>0</v>
      </c>
      <c r="T220" s="152">
        <f t="shared" si="443"/>
        <v>0</v>
      </c>
      <c r="U220" s="152">
        <f t="shared" si="443"/>
        <v>0</v>
      </c>
      <c r="V220" s="153">
        <f t="shared" si="374"/>
        <v>0</v>
      </c>
      <c r="W220" s="152">
        <f t="shared" si="375"/>
        <v>0</v>
      </c>
      <c r="X220" s="152">
        <f t="shared" si="376"/>
        <v>0</v>
      </c>
      <c r="Y220" s="205">
        <f t="shared" si="377"/>
        <v>0</v>
      </c>
      <c r="Z220" s="152">
        <f t="shared" si="378"/>
        <v>0</v>
      </c>
      <c r="AA220" s="152">
        <f t="shared" si="379"/>
        <v>0</v>
      </c>
      <c r="AB220" s="205">
        <f t="shared" si="380"/>
        <v>0</v>
      </c>
      <c r="AC220" s="152">
        <f t="shared" ref="AC220:AK220" si="444">ROUND(AC103/1000,0)</f>
        <v>0</v>
      </c>
      <c r="AD220" s="152">
        <f t="shared" si="444"/>
        <v>0</v>
      </c>
      <c r="AE220" s="152">
        <f t="shared" si="444"/>
        <v>0</v>
      </c>
      <c r="AF220" s="152">
        <f t="shared" si="444"/>
        <v>0</v>
      </c>
      <c r="AG220" s="152">
        <f t="shared" si="444"/>
        <v>0</v>
      </c>
      <c r="AH220" s="152">
        <f t="shared" si="444"/>
        <v>0</v>
      </c>
      <c r="AI220" s="152">
        <f t="shared" si="444"/>
        <v>0</v>
      </c>
      <c r="AJ220" s="152">
        <f t="shared" si="444"/>
        <v>0</v>
      </c>
      <c r="AK220" s="152">
        <f t="shared" si="444"/>
        <v>-24</v>
      </c>
      <c r="AL220" s="205">
        <f t="shared" si="382"/>
        <v>-24</v>
      </c>
      <c r="AM220" s="152">
        <f t="shared" ref="AM220:CO220" si="445">ROUND(AM103/1000,0)</f>
        <v>0</v>
      </c>
      <c r="AN220" s="152">
        <f t="shared" si="445"/>
        <v>0</v>
      </c>
      <c r="AO220" s="152">
        <f t="shared" si="445"/>
        <v>4</v>
      </c>
      <c r="AP220" s="152">
        <f t="shared" si="445"/>
        <v>0</v>
      </c>
      <c r="AQ220" s="152">
        <f t="shared" si="445"/>
        <v>0</v>
      </c>
      <c r="AR220" s="152">
        <f t="shared" si="445"/>
        <v>0</v>
      </c>
      <c r="AS220" s="152">
        <f t="shared" si="445"/>
        <v>0</v>
      </c>
      <c r="AT220" s="152">
        <f t="shared" si="445"/>
        <v>0</v>
      </c>
      <c r="AU220" s="152">
        <f t="shared" si="445"/>
        <v>-3</v>
      </c>
      <c r="AV220" s="152">
        <f t="shared" si="445"/>
        <v>0</v>
      </c>
      <c r="AW220" s="152">
        <f t="shared" si="445"/>
        <v>0</v>
      </c>
      <c r="AX220" s="152">
        <f t="shared" si="445"/>
        <v>0</v>
      </c>
      <c r="AY220" s="152">
        <f t="shared" si="445"/>
        <v>0</v>
      </c>
      <c r="AZ220" s="152">
        <f t="shared" si="445"/>
        <v>0</v>
      </c>
      <c r="BA220" s="152">
        <f t="shared" si="445"/>
        <v>0</v>
      </c>
      <c r="BB220" s="152">
        <f t="shared" si="445"/>
        <v>0</v>
      </c>
      <c r="BC220" s="152">
        <f t="shared" si="445"/>
        <v>0</v>
      </c>
      <c r="BD220" s="152">
        <f t="shared" si="445"/>
        <v>0</v>
      </c>
      <c r="BE220" s="152">
        <f t="shared" si="445"/>
        <v>0</v>
      </c>
      <c r="BF220" s="152">
        <f t="shared" si="445"/>
        <v>0</v>
      </c>
      <c r="BG220" s="152">
        <f t="shared" si="445"/>
        <v>0</v>
      </c>
      <c r="BH220" s="152">
        <f t="shared" si="445"/>
        <v>0</v>
      </c>
      <c r="BI220" s="152">
        <f t="shared" si="445"/>
        <v>0</v>
      </c>
      <c r="BJ220" s="152">
        <f t="shared" si="445"/>
        <v>0</v>
      </c>
      <c r="BK220" s="152">
        <f t="shared" si="445"/>
        <v>0</v>
      </c>
      <c r="BL220" s="152">
        <f t="shared" si="445"/>
        <v>0</v>
      </c>
      <c r="BM220" s="152">
        <f t="shared" si="445"/>
        <v>0</v>
      </c>
      <c r="BN220" s="152">
        <f t="shared" si="445"/>
        <v>0</v>
      </c>
      <c r="BO220" s="152">
        <f t="shared" si="445"/>
        <v>0</v>
      </c>
      <c r="BP220" s="152">
        <f t="shared" si="445"/>
        <v>0</v>
      </c>
      <c r="BQ220" s="152">
        <f t="shared" si="445"/>
        <v>0</v>
      </c>
      <c r="BR220" s="152">
        <f t="shared" si="445"/>
        <v>0</v>
      </c>
      <c r="BS220" s="152">
        <f t="shared" si="445"/>
        <v>0</v>
      </c>
      <c r="BT220" s="152">
        <f t="shared" si="445"/>
        <v>0</v>
      </c>
      <c r="BU220" s="152">
        <f t="shared" si="445"/>
        <v>0</v>
      </c>
      <c r="BV220" s="152">
        <f t="shared" si="445"/>
        <v>0</v>
      </c>
      <c r="BW220" s="152">
        <f t="shared" si="445"/>
        <v>0</v>
      </c>
      <c r="BX220" s="152">
        <f t="shared" si="445"/>
        <v>0</v>
      </c>
      <c r="BY220" s="152">
        <f t="shared" si="445"/>
        <v>0</v>
      </c>
      <c r="BZ220" s="152">
        <f t="shared" si="445"/>
        <v>0</v>
      </c>
      <c r="CA220" s="152">
        <f t="shared" si="445"/>
        <v>-2</v>
      </c>
      <c r="CB220" s="152">
        <f t="shared" si="445"/>
        <v>0</v>
      </c>
      <c r="CC220" s="152">
        <f t="shared" si="445"/>
        <v>0</v>
      </c>
      <c r="CD220" s="152">
        <f t="shared" si="445"/>
        <v>0</v>
      </c>
      <c r="CE220" s="152">
        <f t="shared" si="445"/>
        <v>0</v>
      </c>
      <c r="CF220" s="152">
        <f t="shared" si="445"/>
        <v>0</v>
      </c>
      <c r="CG220" s="152">
        <f t="shared" si="445"/>
        <v>0</v>
      </c>
      <c r="CH220" s="152">
        <f t="shared" si="445"/>
        <v>0</v>
      </c>
      <c r="CI220" s="152">
        <f t="shared" si="445"/>
        <v>0</v>
      </c>
      <c r="CJ220" s="152">
        <f t="shared" si="445"/>
        <v>0</v>
      </c>
      <c r="CK220" s="152">
        <f t="shared" si="445"/>
        <v>0</v>
      </c>
      <c r="CL220" s="152">
        <f t="shared" si="445"/>
        <v>0</v>
      </c>
      <c r="CM220" s="152">
        <f t="shared" si="445"/>
        <v>0</v>
      </c>
      <c r="CN220" s="152">
        <f t="shared" si="445"/>
        <v>0</v>
      </c>
      <c r="CO220" s="152">
        <f t="shared" si="445"/>
        <v>0</v>
      </c>
      <c r="CP220" s="152"/>
      <c r="CQ220" s="205">
        <f t="shared" si="384"/>
        <v>-1</v>
      </c>
      <c r="CR220" s="205">
        <f t="shared" si="385"/>
        <v>-25</v>
      </c>
      <c r="CS220" s="205">
        <f t="shared" si="386"/>
        <v>0</v>
      </c>
      <c r="CT220" s="209">
        <f t="shared" si="387"/>
        <v>0</v>
      </c>
      <c r="CU220" s="152">
        <f t="shared" si="388"/>
        <v>0</v>
      </c>
      <c r="CV220" s="152">
        <f t="shared" si="389"/>
        <v>0</v>
      </c>
      <c r="CW220" s="212">
        <f t="shared" si="390"/>
        <v>0</v>
      </c>
      <c r="CX220" s="212">
        <f t="shared" si="391"/>
        <v>0</v>
      </c>
      <c r="CY220" s="212">
        <f t="shared" si="392"/>
        <v>0</v>
      </c>
      <c r="CZ220" s="205">
        <f t="shared" si="393"/>
        <v>0</v>
      </c>
      <c r="DA220" s="205">
        <f t="shared" si="394"/>
        <v>0</v>
      </c>
      <c r="DB220" s="155" t="s">
        <v>3864</v>
      </c>
    </row>
    <row r="221" spans="1:106">
      <c r="A221" s="226">
        <f>MAX(A206:A209)+1</f>
        <v>27</v>
      </c>
      <c r="B221" s="227">
        <f>B209+1</f>
        <v>8</v>
      </c>
      <c r="C221" s="226"/>
      <c r="D221" s="226" t="str">
        <f>IF(D104="","",D104)</f>
        <v>Loan Principal Payments</v>
      </c>
      <c r="E221" s="234">
        <f t="shared" si="362"/>
        <v>-4104</v>
      </c>
      <c r="F221" s="234">
        <f t="shared" si="363"/>
        <v>-3304</v>
      </c>
      <c r="G221" s="235">
        <f t="shared" si="364"/>
        <v>-227</v>
      </c>
      <c r="H221" s="235">
        <f t="shared" si="365"/>
        <v>0</v>
      </c>
      <c r="I221" s="235">
        <f t="shared" si="366"/>
        <v>0</v>
      </c>
      <c r="J221" s="235">
        <f t="shared" si="367"/>
        <v>0</v>
      </c>
      <c r="K221" s="235">
        <f t="shared" si="368"/>
        <v>0</v>
      </c>
      <c r="L221" s="241">
        <f t="shared" si="369"/>
        <v>-227</v>
      </c>
      <c r="M221" s="235">
        <f t="shared" si="370"/>
        <v>-16</v>
      </c>
      <c r="N221" s="235">
        <f t="shared" si="371"/>
        <v>-16</v>
      </c>
      <c r="O221" s="241">
        <f t="shared" si="372"/>
        <v>-32</v>
      </c>
      <c r="P221" s="235">
        <f t="shared" ref="P221:U221" si="446">ROUND(P104/1000,0)</f>
        <v>-10</v>
      </c>
      <c r="Q221" s="235">
        <f t="shared" si="446"/>
        <v>-13</v>
      </c>
      <c r="R221" s="235">
        <f t="shared" si="446"/>
        <v>-7</v>
      </c>
      <c r="S221" s="235">
        <f t="shared" si="446"/>
        <v>-5</v>
      </c>
      <c r="T221" s="235">
        <f t="shared" si="446"/>
        <v>-4</v>
      </c>
      <c r="U221" s="235">
        <f t="shared" si="446"/>
        <v>0</v>
      </c>
      <c r="V221" s="234">
        <f t="shared" si="374"/>
        <v>-39</v>
      </c>
      <c r="W221" s="235">
        <f t="shared" si="375"/>
        <v>-7</v>
      </c>
      <c r="X221" s="235">
        <f t="shared" si="376"/>
        <v>0</v>
      </c>
      <c r="Y221" s="241">
        <f t="shared" si="377"/>
        <v>-46</v>
      </c>
      <c r="Z221" s="235">
        <f t="shared" si="378"/>
        <v>0</v>
      </c>
      <c r="AA221" s="235">
        <f t="shared" si="379"/>
        <v>0</v>
      </c>
      <c r="AB221" s="241">
        <f t="shared" si="380"/>
        <v>0</v>
      </c>
      <c r="AC221" s="235">
        <f t="shared" ref="AC221:AK221" si="447">ROUND(AC104/1000,0)</f>
        <v>0</v>
      </c>
      <c r="AD221" s="235">
        <f t="shared" si="447"/>
        <v>0</v>
      </c>
      <c r="AE221" s="235">
        <f t="shared" si="447"/>
        <v>0</v>
      </c>
      <c r="AF221" s="235">
        <f t="shared" si="447"/>
        <v>-5</v>
      </c>
      <c r="AG221" s="235">
        <f t="shared" si="447"/>
        <v>-11</v>
      </c>
      <c r="AH221" s="235">
        <f t="shared" si="447"/>
        <v>-5</v>
      </c>
      <c r="AI221" s="235">
        <f t="shared" si="447"/>
        <v>-9</v>
      </c>
      <c r="AJ221" s="235">
        <f t="shared" si="447"/>
        <v>-12</v>
      </c>
      <c r="AK221" s="235">
        <f t="shared" si="447"/>
        <v>0</v>
      </c>
      <c r="AL221" s="241">
        <f t="shared" si="382"/>
        <v>-42</v>
      </c>
      <c r="AM221" s="235">
        <f t="shared" ref="AM221:CO221" si="448">ROUND(AM104/1000,0)</f>
        <v>0</v>
      </c>
      <c r="AN221" s="235">
        <f t="shared" si="448"/>
        <v>0</v>
      </c>
      <c r="AO221" s="235">
        <f t="shared" si="448"/>
        <v>0</v>
      </c>
      <c r="AP221" s="235">
        <f t="shared" si="448"/>
        <v>0</v>
      </c>
      <c r="AQ221" s="235">
        <f t="shared" si="448"/>
        <v>0</v>
      </c>
      <c r="AR221" s="235">
        <f t="shared" si="448"/>
        <v>0</v>
      </c>
      <c r="AS221" s="235">
        <f t="shared" si="448"/>
        <v>-5</v>
      </c>
      <c r="AT221" s="235">
        <f t="shared" si="448"/>
        <v>-4</v>
      </c>
      <c r="AU221" s="235">
        <f t="shared" si="448"/>
        <v>-3</v>
      </c>
      <c r="AV221" s="235">
        <f t="shared" si="448"/>
        <v>-12</v>
      </c>
      <c r="AW221" s="235">
        <f t="shared" si="448"/>
        <v>0</v>
      </c>
      <c r="AX221" s="235">
        <f t="shared" si="448"/>
        <v>0</v>
      </c>
      <c r="AY221" s="235">
        <f t="shared" si="448"/>
        <v>0</v>
      </c>
      <c r="AZ221" s="235">
        <f t="shared" si="448"/>
        <v>-5</v>
      </c>
      <c r="BA221" s="235">
        <f t="shared" si="448"/>
        <v>-4</v>
      </c>
      <c r="BB221" s="235">
        <f t="shared" si="448"/>
        <v>0</v>
      </c>
      <c r="BC221" s="235">
        <f t="shared" si="448"/>
        <v>-14</v>
      </c>
      <c r="BD221" s="235">
        <f t="shared" si="448"/>
        <v>-4</v>
      </c>
      <c r="BE221" s="235">
        <f t="shared" si="448"/>
        <v>-5</v>
      </c>
      <c r="BF221" s="235">
        <f t="shared" si="448"/>
        <v>-3</v>
      </c>
      <c r="BG221" s="235">
        <f t="shared" si="448"/>
        <v>-4</v>
      </c>
      <c r="BH221" s="235">
        <f t="shared" si="448"/>
        <v>0</v>
      </c>
      <c r="BI221" s="235">
        <f t="shared" si="448"/>
        <v>-5</v>
      </c>
      <c r="BJ221" s="235">
        <f t="shared" si="448"/>
        <v>0</v>
      </c>
      <c r="BK221" s="235">
        <f t="shared" si="448"/>
        <v>0</v>
      </c>
      <c r="BL221" s="235">
        <f t="shared" si="448"/>
        <v>-3</v>
      </c>
      <c r="BM221" s="235">
        <f t="shared" si="448"/>
        <v>-3</v>
      </c>
      <c r="BN221" s="235">
        <f t="shared" si="448"/>
        <v>-4</v>
      </c>
      <c r="BO221" s="235">
        <f t="shared" si="448"/>
        <v>0</v>
      </c>
      <c r="BP221" s="235">
        <f t="shared" si="448"/>
        <v>-5</v>
      </c>
      <c r="BQ221" s="235">
        <f t="shared" si="448"/>
        <v>-4</v>
      </c>
      <c r="BR221" s="235">
        <f t="shared" si="448"/>
        <v>0</v>
      </c>
      <c r="BS221" s="235">
        <f t="shared" si="448"/>
        <v>-1</v>
      </c>
      <c r="BT221" s="235">
        <f t="shared" si="448"/>
        <v>0</v>
      </c>
      <c r="BU221" s="235">
        <f t="shared" si="448"/>
        <v>0</v>
      </c>
      <c r="BV221" s="235">
        <f t="shared" si="448"/>
        <v>0</v>
      </c>
      <c r="BW221" s="235">
        <f t="shared" si="448"/>
        <v>0</v>
      </c>
      <c r="BX221" s="235">
        <f t="shared" si="448"/>
        <v>0</v>
      </c>
      <c r="BY221" s="235">
        <f t="shared" si="448"/>
        <v>0</v>
      </c>
      <c r="BZ221" s="235">
        <f t="shared" si="448"/>
        <v>0</v>
      </c>
      <c r="CA221" s="235">
        <f t="shared" si="448"/>
        <v>-2</v>
      </c>
      <c r="CB221" s="235">
        <f t="shared" si="448"/>
        <v>0</v>
      </c>
      <c r="CC221" s="235">
        <f t="shared" si="448"/>
        <v>0</v>
      </c>
      <c r="CD221" s="235">
        <f t="shared" si="448"/>
        <v>-7</v>
      </c>
      <c r="CE221" s="235">
        <f t="shared" si="448"/>
        <v>0</v>
      </c>
      <c r="CF221" s="235">
        <f t="shared" si="448"/>
        <v>0</v>
      </c>
      <c r="CG221" s="235">
        <f t="shared" si="448"/>
        <v>0</v>
      </c>
      <c r="CH221" s="235">
        <f t="shared" si="448"/>
        <v>0</v>
      </c>
      <c r="CI221" s="235">
        <f t="shared" si="448"/>
        <v>0</v>
      </c>
      <c r="CJ221" s="235">
        <f t="shared" si="448"/>
        <v>0</v>
      </c>
      <c r="CK221" s="235">
        <f t="shared" si="448"/>
        <v>0</v>
      </c>
      <c r="CL221" s="235">
        <f t="shared" si="448"/>
        <v>0</v>
      </c>
      <c r="CM221" s="235">
        <f t="shared" si="448"/>
        <v>0</v>
      </c>
      <c r="CN221" s="235">
        <f t="shared" si="448"/>
        <v>-750</v>
      </c>
      <c r="CO221" s="235">
        <f t="shared" si="448"/>
        <v>-2110</v>
      </c>
      <c r="CP221" s="235"/>
      <c r="CQ221" s="241">
        <f t="shared" si="384"/>
        <v>-2957</v>
      </c>
      <c r="CR221" s="241">
        <f t="shared" si="385"/>
        <v>-2999</v>
      </c>
      <c r="CS221" s="241">
        <f t="shared" si="386"/>
        <v>0</v>
      </c>
      <c r="CT221" s="246">
        <f t="shared" si="387"/>
        <v>0</v>
      </c>
      <c r="CU221" s="235">
        <f t="shared" si="388"/>
        <v>0</v>
      </c>
      <c r="CV221" s="235">
        <f t="shared" si="389"/>
        <v>0</v>
      </c>
      <c r="CW221" s="249">
        <f t="shared" si="390"/>
        <v>0</v>
      </c>
      <c r="CX221" s="249">
        <f t="shared" si="391"/>
        <v>0</v>
      </c>
      <c r="CY221" s="249">
        <f t="shared" si="392"/>
        <v>0</v>
      </c>
      <c r="CZ221" s="241">
        <f t="shared" si="393"/>
        <v>0</v>
      </c>
      <c r="DA221" s="241">
        <f t="shared" si="394"/>
        <v>-800</v>
      </c>
      <c r="DB221" s="193" t="s">
        <v>13939</v>
      </c>
    </row>
    <row r="222" spans="1:106">
      <c r="A222" s="154">
        <f>MAX(A207:A221)+1</f>
        <v>28</v>
      </c>
      <c r="B222" s="161">
        <f>B221+1</f>
        <v>9</v>
      </c>
      <c r="D222" s="154" t="str">
        <f>IF(D105="","",D105)</f>
        <v>Interest Expense</v>
      </c>
      <c r="E222" s="198">
        <f t="shared" si="362"/>
        <v>-3759</v>
      </c>
      <c r="F222" s="153">
        <f t="shared" si="363"/>
        <v>-3634</v>
      </c>
      <c r="G222" s="152">
        <f t="shared" si="364"/>
        <v>-88</v>
      </c>
      <c r="H222" s="152">
        <f t="shared" si="365"/>
        <v>-10</v>
      </c>
      <c r="I222" s="152">
        <f t="shared" si="366"/>
        <v>-4</v>
      </c>
      <c r="J222" s="152">
        <f t="shared" si="367"/>
        <v>-6</v>
      </c>
      <c r="K222" s="152">
        <f t="shared" si="368"/>
        <v>0</v>
      </c>
      <c r="L222" s="205">
        <f t="shared" si="369"/>
        <v>-108</v>
      </c>
      <c r="M222" s="152">
        <f t="shared" si="370"/>
        <v>-8</v>
      </c>
      <c r="N222" s="152">
        <f t="shared" si="371"/>
        <v>-8</v>
      </c>
      <c r="O222" s="205">
        <f t="shared" si="372"/>
        <v>-16</v>
      </c>
      <c r="P222" s="152">
        <f t="shared" ref="P222:U222" si="449">ROUND(P105/1000,0)</f>
        <v>-15</v>
      </c>
      <c r="Q222" s="152">
        <f t="shared" si="449"/>
        <v>-20</v>
      </c>
      <c r="R222" s="152">
        <f t="shared" si="449"/>
        <v>-10</v>
      </c>
      <c r="S222" s="152">
        <f t="shared" si="449"/>
        <v>-7</v>
      </c>
      <c r="T222" s="152">
        <f t="shared" si="449"/>
        <v>-6</v>
      </c>
      <c r="U222" s="152">
        <f t="shared" si="449"/>
        <v>0</v>
      </c>
      <c r="V222" s="153">
        <f t="shared" si="374"/>
        <v>-58</v>
      </c>
      <c r="W222" s="152">
        <f t="shared" si="375"/>
        <v>-11</v>
      </c>
      <c r="X222" s="152">
        <f t="shared" si="376"/>
        <v>0</v>
      </c>
      <c r="Y222" s="205">
        <f t="shared" si="377"/>
        <v>-69</v>
      </c>
      <c r="Z222" s="152">
        <f t="shared" si="378"/>
        <v>0</v>
      </c>
      <c r="AA222" s="152">
        <f t="shared" si="379"/>
        <v>0</v>
      </c>
      <c r="AB222" s="205">
        <f t="shared" si="380"/>
        <v>0</v>
      </c>
      <c r="AC222" s="152">
        <f t="shared" ref="AC222:AK222" si="450">ROUND(AC105/1000,0)</f>
        <v>0</v>
      </c>
      <c r="AD222" s="152">
        <f t="shared" si="450"/>
        <v>0</v>
      </c>
      <c r="AE222" s="152">
        <f t="shared" si="450"/>
        <v>0</v>
      </c>
      <c r="AF222" s="152">
        <f t="shared" si="450"/>
        <v>-12</v>
      </c>
      <c r="AG222" s="152">
        <f t="shared" si="450"/>
        <v>-26</v>
      </c>
      <c r="AH222" s="152">
        <f t="shared" si="450"/>
        <v>-17</v>
      </c>
      <c r="AI222" s="152">
        <f t="shared" si="450"/>
        <v>-23</v>
      </c>
      <c r="AJ222" s="152">
        <f t="shared" si="450"/>
        <v>-29</v>
      </c>
      <c r="AK222" s="152">
        <f t="shared" si="450"/>
        <v>-1</v>
      </c>
      <c r="AL222" s="205">
        <f t="shared" si="382"/>
        <v>-108</v>
      </c>
      <c r="AM222" s="152">
        <f t="shared" ref="AM222:CO222" si="451">ROUND(AM105/1000,0)</f>
        <v>0</v>
      </c>
      <c r="AN222" s="152">
        <f t="shared" si="451"/>
        <v>-57</v>
      </c>
      <c r="AO222" s="152">
        <f t="shared" si="451"/>
        <v>-30</v>
      </c>
      <c r="AP222" s="152">
        <f t="shared" si="451"/>
        <v>0</v>
      </c>
      <c r="AQ222" s="152">
        <f t="shared" si="451"/>
        <v>-78</v>
      </c>
      <c r="AR222" s="152">
        <f t="shared" si="451"/>
        <v>0</v>
      </c>
      <c r="AS222" s="152">
        <f t="shared" si="451"/>
        <v>-18</v>
      </c>
      <c r="AT222" s="152">
        <f t="shared" si="451"/>
        <v>-8</v>
      </c>
      <c r="AU222" s="152">
        <f t="shared" si="451"/>
        <v>-8</v>
      </c>
      <c r="AV222" s="152">
        <f t="shared" si="451"/>
        <v>-15</v>
      </c>
      <c r="AW222" s="152">
        <f t="shared" si="451"/>
        <v>0</v>
      </c>
      <c r="AX222" s="152">
        <f t="shared" si="451"/>
        <v>0</v>
      </c>
      <c r="AY222" s="152">
        <f t="shared" si="451"/>
        <v>0</v>
      </c>
      <c r="AZ222" s="152">
        <f t="shared" si="451"/>
        <v>-9</v>
      </c>
      <c r="BA222" s="152">
        <f t="shared" si="451"/>
        <v>-9</v>
      </c>
      <c r="BB222" s="152">
        <f t="shared" si="451"/>
        <v>0</v>
      </c>
      <c r="BC222" s="152">
        <f t="shared" si="451"/>
        <v>-25</v>
      </c>
      <c r="BD222" s="152">
        <f t="shared" si="451"/>
        <v>-7</v>
      </c>
      <c r="BE222" s="152">
        <f t="shared" si="451"/>
        <v>-11</v>
      </c>
      <c r="BF222" s="152">
        <f t="shared" si="451"/>
        <v>-6</v>
      </c>
      <c r="BG222" s="152">
        <f t="shared" si="451"/>
        <v>-8</v>
      </c>
      <c r="BH222" s="152">
        <f t="shared" si="451"/>
        <v>0</v>
      </c>
      <c r="BI222" s="152">
        <f t="shared" si="451"/>
        <v>-12</v>
      </c>
      <c r="BJ222" s="152">
        <f t="shared" si="451"/>
        <v>0</v>
      </c>
      <c r="BK222" s="152">
        <f t="shared" si="451"/>
        <v>-1</v>
      </c>
      <c r="BL222" s="152">
        <f t="shared" si="451"/>
        <v>-7</v>
      </c>
      <c r="BM222" s="152">
        <f t="shared" si="451"/>
        <v>-7</v>
      </c>
      <c r="BN222" s="152">
        <f t="shared" si="451"/>
        <v>-10</v>
      </c>
      <c r="BO222" s="152">
        <f t="shared" si="451"/>
        <v>0</v>
      </c>
      <c r="BP222" s="152">
        <f t="shared" si="451"/>
        <v>-28</v>
      </c>
      <c r="BQ222" s="152">
        <f t="shared" si="451"/>
        <v>-11</v>
      </c>
      <c r="BR222" s="152">
        <f t="shared" si="451"/>
        <v>-552</v>
      </c>
      <c r="BS222" s="152">
        <f t="shared" si="451"/>
        <v>-3</v>
      </c>
      <c r="BT222" s="152">
        <f t="shared" si="451"/>
        <v>0</v>
      </c>
      <c r="BU222" s="152">
        <f t="shared" si="451"/>
        <v>0</v>
      </c>
      <c r="BV222" s="152">
        <f t="shared" si="451"/>
        <v>0</v>
      </c>
      <c r="BW222" s="152">
        <f t="shared" si="451"/>
        <v>-105</v>
      </c>
      <c r="BX222" s="152">
        <f t="shared" si="451"/>
        <v>-193</v>
      </c>
      <c r="BY222" s="152">
        <f t="shared" si="451"/>
        <v>0</v>
      </c>
      <c r="BZ222" s="152">
        <f t="shared" si="451"/>
        <v>-256</v>
      </c>
      <c r="CA222" s="152">
        <f t="shared" si="451"/>
        <v>-7</v>
      </c>
      <c r="CB222" s="152">
        <f t="shared" si="451"/>
        <v>-44</v>
      </c>
      <c r="CC222" s="152">
        <f t="shared" si="451"/>
        <v>-22</v>
      </c>
      <c r="CD222" s="152">
        <f t="shared" si="451"/>
        <v>-11</v>
      </c>
      <c r="CE222" s="152">
        <f t="shared" si="451"/>
        <v>-108</v>
      </c>
      <c r="CF222" s="152">
        <f t="shared" si="451"/>
        <v>-79</v>
      </c>
      <c r="CG222" s="152">
        <f t="shared" si="451"/>
        <v>-12</v>
      </c>
      <c r="CH222" s="152">
        <f t="shared" si="451"/>
        <v>-70</v>
      </c>
      <c r="CI222" s="152">
        <f t="shared" si="451"/>
        <v>-89</v>
      </c>
      <c r="CJ222" s="152">
        <f t="shared" si="451"/>
        <v>-116</v>
      </c>
      <c r="CK222" s="152">
        <f t="shared" si="451"/>
        <v>-12</v>
      </c>
      <c r="CL222" s="152">
        <f t="shared" si="451"/>
        <v>-37</v>
      </c>
      <c r="CM222" s="152">
        <f t="shared" si="451"/>
        <v>-290</v>
      </c>
      <c r="CN222" s="152">
        <f t="shared" si="451"/>
        <v>-625</v>
      </c>
      <c r="CO222" s="152">
        <f t="shared" si="451"/>
        <v>-337</v>
      </c>
      <c r="CP222" s="152"/>
      <c r="CQ222" s="205">
        <f t="shared" si="384"/>
        <v>-3333</v>
      </c>
      <c r="CR222" s="205">
        <f t="shared" si="385"/>
        <v>-3441</v>
      </c>
      <c r="CS222" s="205">
        <f t="shared" si="386"/>
        <v>-19</v>
      </c>
      <c r="CT222" s="209">
        <f t="shared" si="387"/>
        <v>0</v>
      </c>
      <c r="CU222" s="152">
        <f t="shared" si="388"/>
        <v>0</v>
      </c>
      <c r="CV222" s="152">
        <f t="shared" si="389"/>
        <v>-19</v>
      </c>
      <c r="CW222" s="212">
        <f t="shared" si="390"/>
        <v>0</v>
      </c>
      <c r="CX222" s="212">
        <f t="shared" si="391"/>
        <v>0</v>
      </c>
      <c r="CY222" s="212">
        <f t="shared" si="392"/>
        <v>-19</v>
      </c>
      <c r="CZ222" s="205">
        <f t="shared" si="393"/>
        <v>0</v>
      </c>
      <c r="DA222" s="205">
        <f t="shared" si="394"/>
        <v>-106</v>
      </c>
      <c r="DB222" s="155" t="s">
        <v>3325</v>
      </c>
    </row>
    <row r="223" spans="1:106">
      <c r="A223" s="154">
        <f>MAX(A208:A222)+1</f>
        <v>29</v>
      </c>
      <c r="B223" s="161">
        <f>B222+1</f>
        <v>10</v>
      </c>
      <c r="D223" s="154" t="str">
        <f>IF(D106="","",D106)</f>
        <v>Net Debt Service</v>
      </c>
      <c r="E223" s="198">
        <f t="shared" si="362"/>
        <v>-7876</v>
      </c>
      <c r="F223" s="153">
        <f t="shared" si="363"/>
        <v>-6951</v>
      </c>
      <c r="G223" s="152">
        <f t="shared" si="364"/>
        <v>-314</v>
      </c>
      <c r="H223" s="152">
        <f t="shared" si="365"/>
        <v>-10</v>
      </c>
      <c r="I223" s="152">
        <f t="shared" si="366"/>
        <v>-4</v>
      </c>
      <c r="J223" s="152">
        <f t="shared" si="367"/>
        <v>-6</v>
      </c>
      <c r="K223" s="152">
        <f t="shared" si="368"/>
        <v>0</v>
      </c>
      <c r="L223" s="205">
        <f t="shared" si="369"/>
        <v>-334</v>
      </c>
      <c r="M223" s="152">
        <f t="shared" si="370"/>
        <v>-23</v>
      </c>
      <c r="N223" s="152">
        <f t="shared" si="371"/>
        <v>-23</v>
      </c>
      <c r="O223" s="205">
        <f t="shared" si="372"/>
        <v>-46</v>
      </c>
      <c r="P223" s="152">
        <f t="shared" ref="P223:U223" si="452">ROUND(P106/1000,0)</f>
        <v>-25</v>
      </c>
      <c r="Q223" s="152">
        <f t="shared" si="452"/>
        <v>-32</v>
      </c>
      <c r="R223" s="152">
        <f t="shared" si="452"/>
        <v>-17</v>
      </c>
      <c r="S223" s="152">
        <f t="shared" si="452"/>
        <v>-12</v>
      </c>
      <c r="T223" s="152">
        <f t="shared" si="452"/>
        <v>-9</v>
      </c>
      <c r="U223" s="152">
        <f t="shared" si="452"/>
        <v>0</v>
      </c>
      <c r="V223" s="153">
        <f t="shared" si="374"/>
        <v>-95</v>
      </c>
      <c r="W223" s="152">
        <f t="shared" si="375"/>
        <v>-18</v>
      </c>
      <c r="X223" s="152">
        <f t="shared" si="376"/>
        <v>0</v>
      </c>
      <c r="Y223" s="205">
        <f t="shared" si="377"/>
        <v>-113</v>
      </c>
      <c r="Z223" s="152">
        <f t="shared" si="378"/>
        <v>0</v>
      </c>
      <c r="AA223" s="152">
        <f t="shared" si="379"/>
        <v>0</v>
      </c>
      <c r="AB223" s="205">
        <f t="shared" si="380"/>
        <v>0</v>
      </c>
      <c r="AC223" s="152">
        <f t="shared" ref="AC223:AK223" si="453">ROUND(AC106/1000,0)</f>
        <v>0</v>
      </c>
      <c r="AD223" s="152">
        <f t="shared" si="453"/>
        <v>0</v>
      </c>
      <c r="AE223" s="152">
        <f t="shared" si="453"/>
        <v>0</v>
      </c>
      <c r="AF223" s="152">
        <f t="shared" si="453"/>
        <v>-17</v>
      </c>
      <c r="AG223" s="152">
        <f t="shared" si="453"/>
        <v>-38</v>
      </c>
      <c r="AH223" s="152">
        <f t="shared" si="453"/>
        <v>-22</v>
      </c>
      <c r="AI223" s="152">
        <f t="shared" si="453"/>
        <v>-32</v>
      </c>
      <c r="AJ223" s="152">
        <f t="shared" si="453"/>
        <v>-41</v>
      </c>
      <c r="AK223" s="152">
        <f t="shared" si="453"/>
        <v>-25</v>
      </c>
      <c r="AL223" s="205">
        <f t="shared" si="382"/>
        <v>-175</v>
      </c>
      <c r="AM223" s="152">
        <f t="shared" ref="AM223:CO223" si="454">ROUND(AM106/1000,0)</f>
        <v>0</v>
      </c>
      <c r="AN223" s="152">
        <f t="shared" si="454"/>
        <v>-55</v>
      </c>
      <c r="AO223" s="152">
        <f t="shared" si="454"/>
        <v>-23</v>
      </c>
      <c r="AP223" s="152">
        <f t="shared" si="454"/>
        <v>0</v>
      </c>
      <c r="AQ223" s="152">
        <f t="shared" si="454"/>
        <v>-76</v>
      </c>
      <c r="AR223" s="152">
        <f t="shared" si="454"/>
        <v>0</v>
      </c>
      <c r="AS223" s="152">
        <f t="shared" si="454"/>
        <v>-23</v>
      </c>
      <c r="AT223" s="152">
        <f t="shared" si="454"/>
        <v>-12</v>
      </c>
      <c r="AU223" s="152">
        <f t="shared" si="454"/>
        <v>-14</v>
      </c>
      <c r="AV223" s="152">
        <f t="shared" si="454"/>
        <v>-27</v>
      </c>
      <c r="AW223" s="152">
        <f t="shared" si="454"/>
        <v>0</v>
      </c>
      <c r="AX223" s="152">
        <f t="shared" si="454"/>
        <v>0</v>
      </c>
      <c r="AY223" s="152">
        <f t="shared" si="454"/>
        <v>0</v>
      </c>
      <c r="AZ223" s="152">
        <f t="shared" si="454"/>
        <v>-14</v>
      </c>
      <c r="BA223" s="152">
        <f t="shared" si="454"/>
        <v>-13</v>
      </c>
      <c r="BB223" s="152">
        <f t="shared" si="454"/>
        <v>0</v>
      </c>
      <c r="BC223" s="152">
        <f t="shared" si="454"/>
        <v>-40</v>
      </c>
      <c r="BD223" s="152">
        <f t="shared" si="454"/>
        <v>-12</v>
      </c>
      <c r="BE223" s="152">
        <f t="shared" si="454"/>
        <v>-16</v>
      </c>
      <c r="BF223" s="152">
        <f t="shared" si="454"/>
        <v>-9</v>
      </c>
      <c r="BG223" s="152">
        <f t="shared" si="454"/>
        <v>-12</v>
      </c>
      <c r="BH223" s="152">
        <f t="shared" si="454"/>
        <v>0</v>
      </c>
      <c r="BI223" s="152">
        <f t="shared" si="454"/>
        <v>-17</v>
      </c>
      <c r="BJ223" s="152">
        <f t="shared" si="454"/>
        <v>0</v>
      </c>
      <c r="BK223" s="152">
        <f t="shared" si="454"/>
        <v>-1</v>
      </c>
      <c r="BL223" s="152">
        <f t="shared" si="454"/>
        <v>-9</v>
      </c>
      <c r="BM223" s="152">
        <f t="shared" si="454"/>
        <v>-10</v>
      </c>
      <c r="BN223" s="152">
        <f t="shared" si="454"/>
        <v>-14</v>
      </c>
      <c r="BO223" s="152">
        <f t="shared" si="454"/>
        <v>0</v>
      </c>
      <c r="BP223" s="152">
        <f t="shared" si="454"/>
        <v>-33</v>
      </c>
      <c r="BQ223" s="152">
        <f t="shared" si="454"/>
        <v>-16</v>
      </c>
      <c r="BR223" s="152">
        <f t="shared" si="454"/>
        <v>-552</v>
      </c>
      <c r="BS223" s="152">
        <f t="shared" si="454"/>
        <v>-4</v>
      </c>
      <c r="BT223" s="152">
        <f t="shared" si="454"/>
        <v>0</v>
      </c>
      <c r="BU223" s="152">
        <f t="shared" si="454"/>
        <v>0</v>
      </c>
      <c r="BV223" s="152">
        <f t="shared" si="454"/>
        <v>0</v>
      </c>
      <c r="BW223" s="152">
        <f t="shared" si="454"/>
        <v>-103</v>
      </c>
      <c r="BX223" s="152">
        <f t="shared" si="454"/>
        <v>-190</v>
      </c>
      <c r="BY223" s="152">
        <f t="shared" si="454"/>
        <v>0</v>
      </c>
      <c r="BZ223" s="152">
        <f t="shared" si="454"/>
        <v>-256</v>
      </c>
      <c r="CA223" s="152">
        <f t="shared" si="454"/>
        <v>-11</v>
      </c>
      <c r="CB223" s="152">
        <f t="shared" si="454"/>
        <v>-44</v>
      </c>
      <c r="CC223" s="152">
        <f t="shared" si="454"/>
        <v>-22</v>
      </c>
      <c r="CD223" s="152">
        <f t="shared" si="454"/>
        <v>-18</v>
      </c>
      <c r="CE223" s="152">
        <f t="shared" si="454"/>
        <v>-108</v>
      </c>
      <c r="CF223" s="152">
        <f t="shared" si="454"/>
        <v>-79</v>
      </c>
      <c r="CG223" s="152">
        <f t="shared" si="454"/>
        <v>-12</v>
      </c>
      <c r="CH223" s="152">
        <f t="shared" si="454"/>
        <v>-70</v>
      </c>
      <c r="CI223" s="152">
        <f t="shared" si="454"/>
        <v>-89</v>
      </c>
      <c r="CJ223" s="152">
        <f t="shared" si="454"/>
        <v>-116</v>
      </c>
      <c r="CK223" s="152">
        <f t="shared" si="454"/>
        <v>-12</v>
      </c>
      <c r="CL223" s="152">
        <f t="shared" si="454"/>
        <v>-37</v>
      </c>
      <c r="CM223" s="152">
        <f t="shared" si="454"/>
        <v>-290</v>
      </c>
      <c r="CN223" s="152">
        <f t="shared" si="454"/>
        <v>-1376</v>
      </c>
      <c r="CO223" s="152">
        <f t="shared" si="454"/>
        <v>-2448</v>
      </c>
      <c r="CP223" s="152"/>
      <c r="CQ223" s="205">
        <f t="shared" si="384"/>
        <v>-6283</v>
      </c>
      <c r="CR223" s="205">
        <f t="shared" si="385"/>
        <v>-6458</v>
      </c>
      <c r="CS223" s="205">
        <f t="shared" si="386"/>
        <v>-19</v>
      </c>
      <c r="CT223" s="209">
        <f t="shared" si="387"/>
        <v>0</v>
      </c>
      <c r="CU223" s="152">
        <f t="shared" si="388"/>
        <v>0</v>
      </c>
      <c r="CV223" s="152">
        <f t="shared" si="389"/>
        <v>-19</v>
      </c>
      <c r="CW223" s="212">
        <f t="shared" si="390"/>
        <v>0</v>
      </c>
      <c r="CX223" s="212">
        <f t="shared" si="391"/>
        <v>0</v>
      </c>
      <c r="CY223" s="212">
        <f t="shared" si="392"/>
        <v>-19</v>
      </c>
      <c r="CZ223" s="205">
        <f t="shared" si="393"/>
        <v>0</v>
      </c>
      <c r="DA223" s="205">
        <f t="shared" si="394"/>
        <v>-906</v>
      </c>
      <c r="DB223" s="155" t="s">
        <v>14003</v>
      </c>
    </row>
    <row r="224" spans="2:105">
      <c r="B224" s="161"/>
      <c r="E224" s="198"/>
      <c r="F224" s="153"/>
      <c r="G224" s="152"/>
      <c r="H224" s="152"/>
      <c r="I224" s="152"/>
      <c r="J224" s="152"/>
      <c r="K224" s="152"/>
      <c r="L224" s="205"/>
      <c r="M224" s="152"/>
      <c r="N224" s="152"/>
      <c r="O224" s="205"/>
      <c r="P224" s="152"/>
      <c r="Q224" s="152"/>
      <c r="R224" s="152"/>
      <c r="S224" s="152"/>
      <c r="T224" s="152"/>
      <c r="U224" s="152"/>
      <c r="V224" s="153"/>
      <c r="W224" s="152"/>
      <c r="X224" s="152"/>
      <c r="Y224" s="205"/>
      <c r="Z224" s="152"/>
      <c r="AA224" s="152"/>
      <c r="AB224" s="205"/>
      <c r="AC224" s="152"/>
      <c r="AD224" s="152"/>
      <c r="AE224" s="152"/>
      <c r="AF224" s="152"/>
      <c r="AG224" s="152"/>
      <c r="AH224" s="152"/>
      <c r="AI224" s="152"/>
      <c r="AJ224" s="152"/>
      <c r="AK224" s="152"/>
      <c r="AL224" s="205"/>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c r="BH224" s="152"/>
      <c r="BI224" s="152"/>
      <c r="BJ224" s="152"/>
      <c r="BK224" s="152"/>
      <c r="BL224" s="152"/>
      <c r="BM224" s="152"/>
      <c r="BN224" s="152"/>
      <c r="BO224" s="152"/>
      <c r="BP224" s="152"/>
      <c r="BQ224" s="152"/>
      <c r="BR224" s="152"/>
      <c r="BS224" s="152"/>
      <c r="BT224" s="152"/>
      <c r="BU224" s="152"/>
      <c r="BV224" s="152"/>
      <c r="BW224" s="152"/>
      <c r="BX224" s="152"/>
      <c r="BY224" s="152"/>
      <c r="BZ224" s="152"/>
      <c r="CA224" s="152"/>
      <c r="CB224" s="152"/>
      <c r="CC224" s="152"/>
      <c r="CD224" s="152"/>
      <c r="CE224" s="152"/>
      <c r="CF224" s="152"/>
      <c r="CG224" s="152"/>
      <c r="CH224" s="152"/>
      <c r="CI224" s="152"/>
      <c r="CJ224" s="152"/>
      <c r="CK224" s="152"/>
      <c r="CL224" s="152"/>
      <c r="CM224" s="152"/>
      <c r="CN224" s="152"/>
      <c r="CO224" s="152"/>
      <c r="CP224" s="152"/>
      <c r="CQ224" s="205"/>
      <c r="CR224" s="205"/>
      <c r="CS224" s="205"/>
      <c r="CT224" s="209"/>
      <c r="CU224" s="152"/>
      <c r="CV224" s="152"/>
      <c r="CW224" s="212"/>
      <c r="CX224" s="212"/>
      <c r="CY224" s="212"/>
      <c r="CZ224" s="205"/>
      <c r="DA224" s="205"/>
    </row>
    <row r="225" spans="1:106">
      <c r="A225" s="154">
        <f>MAX(A208:A224)+1</f>
        <v>30</v>
      </c>
      <c r="B225" s="161">
        <f>B224+1</f>
        <v>1</v>
      </c>
      <c r="D225" s="154" t="str">
        <f>IF(D108="","",D108)</f>
        <v>Operating Cashflow Pre-Tax (Due to Restricted)</v>
      </c>
      <c r="E225" s="198">
        <f ca="true">+F225+CS225+CZ225+DA225</f>
        <v>-4732</v>
      </c>
      <c r="F225" s="153">
        <f ca="true">SUM(G225:K225,M225:N225,P225:U225,W225:X225,Z225:AA225,AC225:AK225,AM225:CP225)</f>
        <v>-3970</v>
      </c>
      <c r="G225" s="152">
        <f>ROUND(G108/1000,0)</f>
        <v>603</v>
      </c>
      <c r="H225" s="152">
        <f>ROUND(H108/1000,0)</f>
        <v>-24</v>
      </c>
      <c r="I225" s="152">
        <f>ROUND(I108/1000,0)</f>
        <v>57</v>
      </c>
      <c r="J225" s="152">
        <f>ROUND(J108/1000,0)</f>
        <v>29</v>
      </c>
      <c r="K225" s="152">
        <f>ROUND(K108/1000,0)</f>
        <v>20</v>
      </c>
      <c r="L225" s="205">
        <f>+SUM(G225:K225)</f>
        <v>685</v>
      </c>
      <c r="M225" s="152">
        <f>ROUND(M108/1000,0)</f>
        <v>72</v>
      </c>
      <c r="N225" s="152">
        <f>ROUND(N108/1000,0)</f>
        <v>77</v>
      </c>
      <c r="O225" s="205">
        <f>+SUM(M225:N225)</f>
        <v>149</v>
      </c>
      <c r="P225" s="152">
        <f t="shared" ref="P225:U225" ca="true" si="455">ROUND(P108/1000,0)</f>
        <v>4</v>
      </c>
      <c r="Q225" s="152">
        <f t="shared" ca="true" si="455"/>
        <v>1</v>
      </c>
      <c r="R225" s="152">
        <f t="shared" ca="true" si="455"/>
        <v>5</v>
      </c>
      <c r="S225" s="152">
        <f t="shared" ca="true" si="455"/>
        <v>4</v>
      </c>
      <c r="T225" s="152">
        <f t="shared" ca="true" si="455"/>
        <v>1</v>
      </c>
      <c r="U225" s="152">
        <f t="shared" ca="true" si="455"/>
        <v>10</v>
      </c>
      <c r="V225" s="153">
        <f ca="true">+SUM(P225:U225)</f>
        <v>25</v>
      </c>
      <c r="W225" s="152">
        <f ca="true">ROUND(W108/1000,0)</f>
        <v>3</v>
      </c>
      <c r="X225" s="152">
        <f ca="true">ROUND(X108/1000,0)</f>
        <v>11</v>
      </c>
      <c r="Y225" s="205">
        <f ca="true">SUM(V225:X225)</f>
        <v>39</v>
      </c>
      <c r="Z225" s="152">
        <f ca="true">ROUND(Z108/1000,0)</f>
        <v>2</v>
      </c>
      <c r="AA225" s="152">
        <f ca="true">ROUND(AA108/1000,0)</f>
        <v>-3</v>
      </c>
      <c r="AB225" s="205">
        <f ca="true">+SUM(Z225:AA225)</f>
        <v>-1</v>
      </c>
      <c r="AC225" s="152">
        <f t="shared" ref="AC225:AK225" ca="true" si="456">ROUND(AC108/1000,0)</f>
        <v>-16</v>
      </c>
      <c r="AD225" s="152">
        <f t="shared" ca="true" si="456"/>
        <v>-66</v>
      </c>
      <c r="AE225" s="152">
        <f t="shared" ca="true" si="456"/>
        <v>-151</v>
      </c>
      <c r="AF225" s="152">
        <f t="shared" ca="true" si="456"/>
        <v>-11</v>
      </c>
      <c r="AG225" s="152">
        <f t="shared" ca="true" si="456"/>
        <v>19</v>
      </c>
      <c r="AH225" s="152">
        <f t="shared" ca="true" si="456"/>
        <v>9</v>
      </c>
      <c r="AI225" s="152">
        <f t="shared" ca="true" si="456"/>
        <v>13</v>
      </c>
      <c r="AJ225" s="152">
        <f t="shared" ca="true" si="456"/>
        <v>1</v>
      </c>
      <c r="AK225" s="152">
        <f t="shared" ca="true" si="456"/>
        <v>-3</v>
      </c>
      <c r="AL225" s="205">
        <f ca="true">SUM(AF225:AK225)</f>
        <v>28</v>
      </c>
      <c r="AM225" s="152">
        <f t="shared" ref="AM225:CO225" ca="true" si="457">ROUND(AM108/1000,0)</f>
        <v>0</v>
      </c>
      <c r="AN225" s="152">
        <f t="shared" ca="true" si="457"/>
        <v>-84</v>
      </c>
      <c r="AO225" s="152">
        <f t="shared" ca="true" si="457"/>
        <v>-76</v>
      </c>
      <c r="AP225" s="152">
        <f t="shared" ca="true" si="457"/>
        <v>0</v>
      </c>
      <c r="AQ225" s="152">
        <f t="shared" ca="true" si="457"/>
        <v>-33</v>
      </c>
      <c r="AR225" s="152">
        <f t="shared" ca="true" si="457"/>
        <v>0</v>
      </c>
      <c r="AS225" s="152">
        <f t="shared" ca="true" si="457"/>
        <v>2</v>
      </c>
      <c r="AT225" s="152">
        <f t="shared" ca="true" si="457"/>
        <v>16</v>
      </c>
      <c r="AU225" s="152">
        <f t="shared" ca="true" si="457"/>
        <v>44</v>
      </c>
      <c r="AV225" s="152">
        <f t="shared" ca="true" si="457"/>
        <v>13</v>
      </c>
      <c r="AW225" s="152">
        <f t="shared" ca="true" si="457"/>
        <v>0</v>
      </c>
      <c r="AX225" s="152">
        <f t="shared" ca="true" si="457"/>
        <v>0</v>
      </c>
      <c r="AY225" s="152">
        <f t="shared" ca="true" si="457"/>
        <v>0</v>
      </c>
      <c r="AZ225" s="152">
        <f t="shared" ca="true" si="457"/>
        <v>14</v>
      </c>
      <c r="BA225" s="152">
        <f t="shared" ca="true" si="457"/>
        <v>9</v>
      </c>
      <c r="BB225" s="152">
        <f t="shared" ca="true" si="457"/>
        <v>0</v>
      </c>
      <c r="BC225" s="152">
        <f t="shared" ca="true" si="457"/>
        <v>16</v>
      </c>
      <c r="BD225" s="152">
        <f t="shared" ca="true" si="457"/>
        <v>12</v>
      </c>
      <c r="BE225" s="152">
        <f t="shared" ca="true" si="457"/>
        <v>13</v>
      </c>
      <c r="BF225" s="152">
        <f t="shared" ca="true" si="457"/>
        <v>6</v>
      </c>
      <c r="BG225" s="152">
        <f t="shared" ca="true" si="457"/>
        <v>12</v>
      </c>
      <c r="BH225" s="152">
        <f t="shared" ca="true" si="457"/>
        <v>0</v>
      </c>
      <c r="BI225" s="152">
        <f t="shared" ca="true" si="457"/>
        <v>5</v>
      </c>
      <c r="BJ225" s="152">
        <f t="shared" ca="true" si="457"/>
        <v>0</v>
      </c>
      <c r="BK225" s="152">
        <f t="shared" ca="true" si="457"/>
        <v>-4</v>
      </c>
      <c r="BL225" s="152">
        <f t="shared" ca="true" si="457"/>
        <v>11</v>
      </c>
      <c r="BM225" s="152">
        <f t="shared" ca="true" si="457"/>
        <v>9</v>
      </c>
      <c r="BN225" s="152">
        <f t="shared" ca="true" si="457"/>
        <v>1</v>
      </c>
      <c r="BO225" s="152">
        <f t="shared" ca="true" si="457"/>
        <v>0</v>
      </c>
      <c r="BP225" s="152">
        <f t="shared" ca="true" si="457"/>
        <v>13</v>
      </c>
      <c r="BQ225" s="152">
        <f t="shared" ca="true" si="457"/>
        <v>9</v>
      </c>
      <c r="BR225" s="152">
        <f t="shared" ca="true" si="457"/>
        <v>-578</v>
      </c>
      <c r="BS225" s="152">
        <f t="shared" ca="true" si="457"/>
        <v>-13</v>
      </c>
      <c r="BT225" s="152">
        <f t="shared" ca="true" si="457"/>
        <v>0</v>
      </c>
      <c r="BU225" s="152">
        <f t="shared" ca="true" si="457"/>
        <v>0</v>
      </c>
      <c r="BV225" s="152">
        <f t="shared" ca="true" si="457"/>
        <v>0</v>
      </c>
      <c r="BW225" s="152">
        <f t="shared" ca="true" si="457"/>
        <v>-3</v>
      </c>
      <c r="BX225" s="152">
        <f t="shared" ca="true" si="457"/>
        <v>-185</v>
      </c>
      <c r="BY225" s="152">
        <f t="shared" ca="true" si="457"/>
        <v>0</v>
      </c>
      <c r="BZ225" s="152">
        <f t="shared" ca="true" si="457"/>
        <v>-315</v>
      </c>
      <c r="CA225" s="152">
        <f t="shared" ca="true" si="457"/>
        <v>-29</v>
      </c>
      <c r="CB225" s="152">
        <f t="shared" ca="true" si="457"/>
        <v>-9</v>
      </c>
      <c r="CC225" s="152">
        <f t="shared" ca="true" si="457"/>
        <v>-9</v>
      </c>
      <c r="CD225" s="152">
        <f t="shared" ca="true" si="457"/>
        <v>5</v>
      </c>
      <c r="CE225" s="152">
        <f t="shared" ca="true" si="457"/>
        <v>-66</v>
      </c>
      <c r="CF225" s="152">
        <f t="shared" ca="true" si="457"/>
        <v>28</v>
      </c>
      <c r="CG225" s="152">
        <f t="shared" ca="true" si="457"/>
        <v>-2</v>
      </c>
      <c r="CH225" s="152">
        <f t="shared" ca="true" si="457"/>
        <v>-63</v>
      </c>
      <c r="CI225" s="152">
        <f t="shared" ca="true" si="457"/>
        <v>-44</v>
      </c>
      <c r="CJ225" s="152">
        <f t="shared" ca="true" si="457"/>
        <v>-45</v>
      </c>
      <c r="CK225" s="152">
        <f t="shared" ca="true" si="457"/>
        <v>-3</v>
      </c>
      <c r="CL225" s="152">
        <f t="shared" ca="true" si="457"/>
        <v>-9</v>
      </c>
      <c r="CM225" s="152">
        <f t="shared" ca="true" si="457"/>
        <v>-171</v>
      </c>
      <c r="CN225" s="152">
        <f t="shared" ca="true" si="457"/>
        <v>-1017</v>
      </c>
      <c r="CO225" s="152">
        <f t="shared" ca="true" si="457"/>
        <v>-2117</v>
      </c>
      <c r="CP225" s="152"/>
      <c r="CQ225" s="205">
        <f ca="true">+SUM(AM225:CP225)</f>
        <v>-4637</v>
      </c>
      <c r="CR225" s="205">
        <f ca="true">SUM(AL225,CQ225)</f>
        <v>-4609</v>
      </c>
      <c r="CS225" s="205">
        <f ca="true">SUM(CY225:CY225)</f>
        <v>-174</v>
      </c>
      <c r="CT225" s="209">
        <f ca="true">ROUND(CT108/1000,0)</f>
        <v>0</v>
      </c>
      <c r="CU225" s="152">
        <f ca="true">ROUND(CU108/1000,0)</f>
        <v>-155</v>
      </c>
      <c r="CV225" s="152">
        <f ca="true">ROUND(CV108/1000,0)</f>
        <v>-38</v>
      </c>
      <c r="CW225" s="212">
        <f ca="true">ROUND(CW108/1000,0)</f>
        <v>19</v>
      </c>
      <c r="CX225" s="212">
        <f ca="true">ROUND(CX108/1000,0)</f>
        <v>0</v>
      </c>
      <c r="CY225" s="212">
        <f ca="true">SUM(CT225:CX225)</f>
        <v>-174</v>
      </c>
      <c r="CZ225" s="205">
        <f>ROUND(CZ108/1000,0)</f>
        <v>0</v>
      </c>
      <c r="DA225" s="205">
        <f>ROUND(DA108/1000,0)</f>
        <v>-588</v>
      </c>
      <c r="DB225" s="155" t="s">
        <v>13941</v>
      </c>
    </row>
    <row r="226" spans="2:105">
      <c r="B226" s="161"/>
      <c r="E226" s="198"/>
      <c r="F226" s="153"/>
      <c r="G226" s="152"/>
      <c r="H226" s="152"/>
      <c r="I226" s="152"/>
      <c r="J226" s="152"/>
      <c r="K226" s="152"/>
      <c r="L226" s="205"/>
      <c r="M226" s="152"/>
      <c r="N226" s="152"/>
      <c r="O226" s="205"/>
      <c r="P226" s="152"/>
      <c r="Q226" s="152"/>
      <c r="R226" s="152"/>
      <c r="S226" s="152"/>
      <c r="T226" s="152"/>
      <c r="U226" s="152"/>
      <c r="V226" s="153"/>
      <c r="W226" s="152"/>
      <c r="X226" s="152"/>
      <c r="Y226" s="205"/>
      <c r="Z226" s="152"/>
      <c r="AA226" s="152"/>
      <c r="AB226" s="205"/>
      <c r="AC226" s="152"/>
      <c r="AD226" s="152"/>
      <c r="AE226" s="152"/>
      <c r="AF226" s="152"/>
      <c r="AG226" s="152"/>
      <c r="AH226" s="152"/>
      <c r="AI226" s="152"/>
      <c r="AJ226" s="152"/>
      <c r="AK226" s="152"/>
      <c r="AL226" s="205"/>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c r="BG226" s="152"/>
      <c r="BH226" s="152"/>
      <c r="BI226" s="152"/>
      <c r="BJ226" s="152"/>
      <c r="BK226" s="152"/>
      <c r="BL226" s="152"/>
      <c r="BM226" s="152"/>
      <c r="BN226" s="152"/>
      <c r="BO226" s="152"/>
      <c r="BP226" s="152"/>
      <c r="BQ226" s="152"/>
      <c r="BR226" s="152"/>
      <c r="BS226" s="152"/>
      <c r="BT226" s="152"/>
      <c r="BU226" s="152"/>
      <c r="BV226" s="152"/>
      <c r="BW226" s="152"/>
      <c r="BX226" s="152"/>
      <c r="BY226" s="152"/>
      <c r="BZ226" s="152"/>
      <c r="CA226" s="152"/>
      <c r="CB226" s="152"/>
      <c r="CC226" s="152"/>
      <c r="CD226" s="152"/>
      <c r="CE226" s="152"/>
      <c r="CF226" s="152"/>
      <c r="CG226" s="152"/>
      <c r="CH226" s="152"/>
      <c r="CI226" s="152"/>
      <c r="CJ226" s="152"/>
      <c r="CK226" s="152"/>
      <c r="CL226" s="152"/>
      <c r="CM226" s="152"/>
      <c r="CN226" s="152"/>
      <c r="CO226" s="152"/>
      <c r="CP226" s="152"/>
      <c r="CQ226" s="205"/>
      <c r="CR226" s="205"/>
      <c r="CS226" s="205"/>
      <c r="CT226" s="209"/>
      <c r="CU226" s="152"/>
      <c r="CV226" s="152"/>
      <c r="CW226" s="212"/>
      <c r="CX226" s="212"/>
      <c r="CY226" s="212"/>
      <c r="CZ226" s="205"/>
      <c r="DA226" s="205"/>
    </row>
    <row r="227" spans="1:106">
      <c r="A227" s="154">
        <f>MAX(A221:A226)+1</f>
        <v>31</v>
      </c>
      <c r="B227" s="161">
        <f>B226+1</f>
        <v>1</v>
      </c>
      <c r="D227" s="154" t="str">
        <f>IF(D110="","",D110)</f>
        <v>Company Income Tax Expenses Paid</v>
      </c>
      <c r="E227" s="153">
        <f>+F227+CS227+CZ227+DA227</f>
        <v>7</v>
      </c>
      <c r="F227" s="153">
        <f>SUM(G227:K227,M227:N227,P227:U227,W227:X227,Z227:AA227,AC227:AK227,AM227:CP227)</f>
        <v>7</v>
      </c>
      <c r="G227" s="152">
        <f>ROUND(G110/1000,0)</f>
        <v>0</v>
      </c>
      <c r="H227" s="152">
        <f>ROUND(H110/1000,0)</f>
        <v>0</v>
      </c>
      <c r="I227" s="152">
        <f>ROUND(I110/1000,0)</f>
        <v>0</v>
      </c>
      <c r="J227" s="152">
        <f>ROUND(J110/1000,0)</f>
        <v>0</v>
      </c>
      <c r="K227" s="152">
        <f>ROUND(K110/1000,0)</f>
        <v>0</v>
      </c>
      <c r="L227" s="205">
        <f>+SUM(G227:K227)</f>
        <v>0</v>
      </c>
      <c r="M227" s="152">
        <f>ROUND(M110/1000,0)</f>
        <v>0</v>
      </c>
      <c r="N227" s="152">
        <f>ROUND(N110/1000,0)</f>
        <v>0</v>
      </c>
      <c r="O227" s="205">
        <f>+SUM(M227:N227)</f>
        <v>0</v>
      </c>
      <c r="P227" s="152">
        <f t="shared" ref="P227:U227" si="458">ROUND(P110/1000,0)</f>
        <v>0</v>
      </c>
      <c r="Q227" s="152">
        <f t="shared" si="458"/>
        <v>0</v>
      </c>
      <c r="R227" s="152">
        <f t="shared" si="458"/>
        <v>0</v>
      </c>
      <c r="S227" s="152">
        <f t="shared" si="458"/>
        <v>0</v>
      </c>
      <c r="T227" s="152">
        <f t="shared" si="458"/>
        <v>1</v>
      </c>
      <c r="U227" s="152">
        <f t="shared" si="458"/>
        <v>0</v>
      </c>
      <c r="V227" s="153">
        <f>+SUM(P227:U227)</f>
        <v>1</v>
      </c>
      <c r="W227" s="152">
        <f>ROUND(W110/1000,0)</f>
        <v>0</v>
      </c>
      <c r="X227" s="152">
        <f>ROUND(X110/1000,0)</f>
        <v>0</v>
      </c>
      <c r="Y227" s="205">
        <f>SUM(V227:X227)</f>
        <v>1</v>
      </c>
      <c r="Z227" s="152">
        <f>ROUND(Z110/1000,0)</f>
        <v>0</v>
      </c>
      <c r="AA227" s="152">
        <f>ROUND(AA110/1000,0)</f>
        <v>0</v>
      </c>
      <c r="AB227" s="205">
        <f>+SUM(Z227:AA227)</f>
        <v>0</v>
      </c>
      <c r="AC227" s="152">
        <f t="shared" ref="AC227:AK227" si="459">ROUND(AC110/1000,0)</f>
        <v>0</v>
      </c>
      <c r="AD227" s="152">
        <f t="shared" si="459"/>
        <v>0</v>
      </c>
      <c r="AE227" s="152">
        <f t="shared" si="459"/>
        <v>-1</v>
      </c>
      <c r="AF227" s="152">
        <f t="shared" si="459"/>
        <v>0</v>
      </c>
      <c r="AG227" s="152">
        <f t="shared" si="459"/>
        <v>0</v>
      </c>
      <c r="AH227" s="152">
        <f t="shared" si="459"/>
        <v>0</v>
      </c>
      <c r="AI227" s="152">
        <f t="shared" si="459"/>
        <v>0</v>
      </c>
      <c r="AJ227" s="152">
        <f t="shared" si="459"/>
        <v>7</v>
      </c>
      <c r="AK227" s="152">
        <f t="shared" si="459"/>
        <v>0</v>
      </c>
      <c r="AL227" s="205">
        <f>SUM(AF227:AK227)</f>
        <v>7</v>
      </c>
      <c r="AM227" s="152">
        <f t="shared" ref="AM227:CO227" si="460">ROUND(AM110/1000,0)</f>
        <v>0</v>
      </c>
      <c r="AN227" s="152">
        <f t="shared" si="460"/>
        <v>0</v>
      </c>
      <c r="AO227" s="152">
        <f t="shared" si="460"/>
        <v>0</v>
      </c>
      <c r="AP227" s="152">
        <f t="shared" si="460"/>
        <v>0</v>
      </c>
      <c r="AQ227" s="152">
        <f t="shared" si="460"/>
        <v>0</v>
      </c>
      <c r="AR227" s="152">
        <f t="shared" si="460"/>
        <v>0</v>
      </c>
      <c r="AS227" s="152">
        <f t="shared" si="460"/>
        <v>0</v>
      </c>
      <c r="AT227" s="152">
        <f t="shared" si="460"/>
        <v>0</v>
      </c>
      <c r="AU227" s="152">
        <f t="shared" si="460"/>
        <v>0</v>
      </c>
      <c r="AV227" s="152">
        <f t="shared" si="460"/>
        <v>0</v>
      </c>
      <c r="AW227" s="152">
        <f t="shared" si="460"/>
        <v>0</v>
      </c>
      <c r="AX227" s="152">
        <f t="shared" si="460"/>
        <v>0</v>
      </c>
      <c r="AY227" s="152">
        <f t="shared" si="460"/>
        <v>0</v>
      </c>
      <c r="AZ227" s="152">
        <f t="shared" si="460"/>
        <v>0</v>
      </c>
      <c r="BA227" s="152">
        <f t="shared" si="460"/>
        <v>0</v>
      </c>
      <c r="BB227" s="152">
        <f t="shared" si="460"/>
        <v>0</v>
      </c>
      <c r="BC227" s="152">
        <f t="shared" si="460"/>
        <v>0</v>
      </c>
      <c r="BD227" s="152">
        <f t="shared" si="460"/>
        <v>0</v>
      </c>
      <c r="BE227" s="152">
        <f t="shared" si="460"/>
        <v>0</v>
      </c>
      <c r="BF227" s="152">
        <f t="shared" si="460"/>
        <v>0</v>
      </c>
      <c r="BG227" s="152">
        <f t="shared" si="460"/>
        <v>0</v>
      </c>
      <c r="BH227" s="152">
        <f t="shared" si="460"/>
        <v>0</v>
      </c>
      <c r="BI227" s="152">
        <f t="shared" si="460"/>
        <v>0</v>
      </c>
      <c r="BJ227" s="152">
        <f t="shared" si="460"/>
        <v>0</v>
      </c>
      <c r="BK227" s="152">
        <f t="shared" si="460"/>
        <v>0</v>
      </c>
      <c r="BL227" s="152">
        <f t="shared" si="460"/>
        <v>0</v>
      </c>
      <c r="BM227" s="152">
        <f t="shared" si="460"/>
        <v>0</v>
      </c>
      <c r="BN227" s="152">
        <f t="shared" si="460"/>
        <v>0</v>
      </c>
      <c r="BO227" s="152">
        <f t="shared" si="460"/>
        <v>0</v>
      </c>
      <c r="BP227" s="152">
        <f t="shared" si="460"/>
        <v>0</v>
      </c>
      <c r="BQ227" s="152">
        <f t="shared" si="460"/>
        <v>0</v>
      </c>
      <c r="BR227" s="152">
        <f t="shared" si="460"/>
        <v>0</v>
      </c>
      <c r="BS227" s="152">
        <f t="shared" si="460"/>
        <v>0</v>
      </c>
      <c r="BT227" s="152">
        <f t="shared" si="460"/>
        <v>0</v>
      </c>
      <c r="BU227" s="152">
        <f t="shared" si="460"/>
        <v>0</v>
      </c>
      <c r="BV227" s="152">
        <f t="shared" si="460"/>
        <v>0</v>
      </c>
      <c r="BW227" s="152">
        <f t="shared" si="460"/>
        <v>0</v>
      </c>
      <c r="BX227" s="152">
        <f t="shared" si="460"/>
        <v>0</v>
      </c>
      <c r="BY227" s="152">
        <f t="shared" si="460"/>
        <v>0</v>
      </c>
      <c r="BZ227" s="152">
        <f t="shared" si="460"/>
        <v>0</v>
      </c>
      <c r="CA227" s="152">
        <f t="shared" si="460"/>
        <v>0</v>
      </c>
      <c r="CB227" s="152">
        <f t="shared" si="460"/>
        <v>0</v>
      </c>
      <c r="CC227" s="152">
        <f t="shared" si="460"/>
        <v>0</v>
      </c>
      <c r="CD227" s="152">
        <f t="shared" si="460"/>
        <v>0</v>
      </c>
      <c r="CE227" s="152">
        <f t="shared" si="460"/>
        <v>0</v>
      </c>
      <c r="CF227" s="152">
        <f t="shared" si="460"/>
        <v>0</v>
      </c>
      <c r="CG227" s="152">
        <f t="shared" si="460"/>
        <v>0</v>
      </c>
      <c r="CH227" s="152">
        <f t="shared" si="460"/>
        <v>0</v>
      </c>
      <c r="CI227" s="152">
        <f t="shared" si="460"/>
        <v>0</v>
      </c>
      <c r="CJ227" s="152">
        <f t="shared" si="460"/>
        <v>0</v>
      </c>
      <c r="CK227" s="152">
        <f t="shared" si="460"/>
        <v>0</v>
      </c>
      <c r="CL227" s="152">
        <f t="shared" si="460"/>
        <v>0</v>
      </c>
      <c r="CM227" s="152">
        <f t="shared" si="460"/>
        <v>0</v>
      </c>
      <c r="CN227" s="152">
        <f t="shared" si="460"/>
        <v>0</v>
      </c>
      <c r="CO227" s="152">
        <f t="shared" si="460"/>
        <v>0</v>
      </c>
      <c r="CP227" s="152"/>
      <c r="CQ227" s="205">
        <f>+SUM(AM227:CP227)</f>
        <v>0</v>
      </c>
      <c r="CR227" s="205">
        <f>SUM(AL227,CQ227)</f>
        <v>7</v>
      </c>
      <c r="CS227" s="205">
        <f>SUM(CY227:CY227)</f>
        <v>0</v>
      </c>
      <c r="CT227" s="209">
        <f>ROUND(CT110/1000,0)</f>
        <v>0</v>
      </c>
      <c r="CU227" s="152">
        <f>ROUND(CU110/1000,0)</f>
        <v>0</v>
      </c>
      <c r="CV227" s="152">
        <f>ROUND(CV110/1000,0)</f>
        <v>0</v>
      </c>
      <c r="CW227" s="212">
        <f>ROUND(CW110/1000,0)</f>
        <v>0</v>
      </c>
      <c r="CX227" s="212">
        <f>ROUND(CX110/1000,0)</f>
        <v>0</v>
      </c>
      <c r="CY227" s="212">
        <f>SUM(CT227:CX227)</f>
        <v>0</v>
      </c>
      <c r="CZ227" s="205">
        <f>ROUND(CZ110/1000,0)</f>
        <v>0</v>
      </c>
      <c r="DA227" s="205">
        <f>ROUND(DA110/1000,0)</f>
        <v>0</v>
      </c>
      <c r="DB227" s="155" t="s">
        <v>13943</v>
      </c>
    </row>
    <row r="228" spans="1:106">
      <c r="A228" s="226">
        <f>MAX(A222:A227)+1</f>
        <v>32</v>
      </c>
      <c r="B228" s="227">
        <f>B227+1</f>
        <v>2</v>
      </c>
      <c r="C228" s="226"/>
      <c r="D228" s="226" t="str">
        <f>IF(D111="","",D111)</f>
        <v>Income Taxes Paid Through Payroll</v>
      </c>
      <c r="E228" s="234">
        <f>+F228+CS228+CZ228+DA228</f>
        <v>0</v>
      </c>
      <c r="F228" s="234">
        <f>SUM(G228:K228,M228:N228,P228:U228,W228:X228,Z228:AA228,AC228:AK228,AM228:CP228)</f>
        <v>0</v>
      </c>
      <c r="G228" s="235">
        <f>ROUND(G111/1000,0)</f>
        <v>0</v>
      </c>
      <c r="H228" s="235">
        <f>ROUND(H111/1000,0)</f>
        <v>0</v>
      </c>
      <c r="I228" s="235">
        <f>ROUND(I111/1000,0)</f>
        <v>0</v>
      </c>
      <c r="J228" s="235">
        <f>ROUND(J111/1000,0)</f>
        <v>0</v>
      </c>
      <c r="K228" s="235">
        <f>ROUND(K111/1000,0)</f>
        <v>0</v>
      </c>
      <c r="L228" s="241">
        <f>+SUM(G228:K228)</f>
        <v>0</v>
      </c>
      <c r="M228" s="235">
        <f>ROUND(M111/1000,0)</f>
        <v>0</v>
      </c>
      <c r="N228" s="235">
        <f>ROUND(N111/1000,0)</f>
        <v>0</v>
      </c>
      <c r="O228" s="241">
        <f>+SUM(M228:N228)</f>
        <v>0</v>
      </c>
      <c r="P228" s="235">
        <f t="shared" ref="P228:U228" si="461">ROUND(P111/1000,0)</f>
        <v>0</v>
      </c>
      <c r="Q228" s="235">
        <f t="shared" si="461"/>
        <v>0</v>
      </c>
      <c r="R228" s="235">
        <f t="shared" si="461"/>
        <v>0</v>
      </c>
      <c r="S228" s="235">
        <f t="shared" si="461"/>
        <v>0</v>
      </c>
      <c r="T228" s="235">
        <f t="shared" si="461"/>
        <v>0</v>
      </c>
      <c r="U228" s="235">
        <f t="shared" si="461"/>
        <v>0</v>
      </c>
      <c r="V228" s="234">
        <f>+SUM(P228:U228)</f>
        <v>0</v>
      </c>
      <c r="W228" s="235">
        <f>ROUND(W111/1000,0)</f>
        <v>0</v>
      </c>
      <c r="X228" s="235">
        <f>ROUND(X111/1000,0)</f>
        <v>0</v>
      </c>
      <c r="Y228" s="241">
        <f>SUM(V228:X228)</f>
        <v>0</v>
      </c>
      <c r="Z228" s="235">
        <f>ROUND(Z111/1000,0)</f>
        <v>0</v>
      </c>
      <c r="AA228" s="235">
        <f>ROUND(AA111/1000,0)</f>
        <v>0</v>
      </c>
      <c r="AB228" s="241">
        <f>+SUM(Z228:AA228)</f>
        <v>0</v>
      </c>
      <c r="AC228" s="235">
        <f t="shared" ref="AC228:AK228" si="462">ROUND(AC111/1000,0)</f>
        <v>0</v>
      </c>
      <c r="AD228" s="235">
        <f t="shared" si="462"/>
        <v>0</v>
      </c>
      <c r="AE228" s="235">
        <f t="shared" si="462"/>
        <v>0</v>
      </c>
      <c r="AF228" s="235">
        <f t="shared" si="462"/>
        <v>0</v>
      </c>
      <c r="AG228" s="235">
        <f t="shared" si="462"/>
        <v>0</v>
      </c>
      <c r="AH228" s="235">
        <f t="shared" si="462"/>
        <v>0</v>
      </c>
      <c r="AI228" s="235">
        <f t="shared" si="462"/>
        <v>0</v>
      </c>
      <c r="AJ228" s="235">
        <f t="shared" si="462"/>
        <v>0</v>
      </c>
      <c r="AK228" s="235">
        <f t="shared" si="462"/>
        <v>0</v>
      </c>
      <c r="AL228" s="241">
        <f>SUM(AF228:AK228)</f>
        <v>0</v>
      </c>
      <c r="AM228" s="235">
        <f t="shared" ref="AM228:CO228" si="463">ROUND(AM111/1000,0)</f>
        <v>0</v>
      </c>
      <c r="AN228" s="235">
        <f t="shared" si="463"/>
        <v>0</v>
      </c>
      <c r="AO228" s="235">
        <f t="shared" si="463"/>
        <v>0</v>
      </c>
      <c r="AP228" s="235">
        <f t="shared" si="463"/>
        <v>0</v>
      </c>
      <c r="AQ228" s="235">
        <f t="shared" si="463"/>
        <v>0</v>
      </c>
      <c r="AR228" s="235">
        <f t="shared" si="463"/>
        <v>0</v>
      </c>
      <c r="AS228" s="235">
        <f t="shared" si="463"/>
        <v>0</v>
      </c>
      <c r="AT228" s="235">
        <f t="shared" si="463"/>
        <v>0</v>
      </c>
      <c r="AU228" s="235">
        <f t="shared" si="463"/>
        <v>0</v>
      </c>
      <c r="AV228" s="235">
        <f t="shared" si="463"/>
        <v>0</v>
      </c>
      <c r="AW228" s="235">
        <f t="shared" si="463"/>
        <v>0</v>
      </c>
      <c r="AX228" s="235">
        <f t="shared" si="463"/>
        <v>0</v>
      </c>
      <c r="AY228" s="235">
        <f t="shared" si="463"/>
        <v>0</v>
      </c>
      <c r="AZ228" s="235">
        <f t="shared" si="463"/>
        <v>0</v>
      </c>
      <c r="BA228" s="235">
        <f t="shared" si="463"/>
        <v>0</v>
      </c>
      <c r="BB228" s="235">
        <f t="shared" si="463"/>
        <v>0</v>
      </c>
      <c r="BC228" s="235">
        <f t="shared" si="463"/>
        <v>0</v>
      </c>
      <c r="BD228" s="235">
        <f t="shared" si="463"/>
        <v>0</v>
      </c>
      <c r="BE228" s="235">
        <f t="shared" si="463"/>
        <v>0</v>
      </c>
      <c r="BF228" s="235">
        <f t="shared" si="463"/>
        <v>0</v>
      </c>
      <c r="BG228" s="235">
        <f t="shared" si="463"/>
        <v>0</v>
      </c>
      <c r="BH228" s="235">
        <f t="shared" si="463"/>
        <v>0</v>
      </c>
      <c r="BI228" s="235">
        <f t="shared" si="463"/>
        <v>0</v>
      </c>
      <c r="BJ228" s="235">
        <f t="shared" si="463"/>
        <v>0</v>
      </c>
      <c r="BK228" s="235">
        <f t="shared" si="463"/>
        <v>0</v>
      </c>
      <c r="BL228" s="235">
        <f t="shared" si="463"/>
        <v>0</v>
      </c>
      <c r="BM228" s="235">
        <f t="shared" si="463"/>
        <v>0</v>
      </c>
      <c r="BN228" s="235">
        <f t="shared" si="463"/>
        <v>0</v>
      </c>
      <c r="BO228" s="235">
        <f t="shared" si="463"/>
        <v>0</v>
      </c>
      <c r="BP228" s="235">
        <f t="shared" si="463"/>
        <v>0</v>
      </c>
      <c r="BQ228" s="235">
        <f t="shared" si="463"/>
        <v>0</v>
      </c>
      <c r="BR228" s="235">
        <f t="shared" si="463"/>
        <v>0</v>
      </c>
      <c r="BS228" s="235">
        <f t="shared" si="463"/>
        <v>0</v>
      </c>
      <c r="BT228" s="235">
        <f t="shared" si="463"/>
        <v>0</v>
      </c>
      <c r="BU228" s="235">
        <f t="shared" si="463"/>
        <v>0</v>
      </c>
      <c r="BV228" s="235">
        <f t="shared" si="463"/>
        <v>0</v>
      </c>
      <c r="BW228" s="235">
        <f t="shared" si="463"/>
        <v>0</v>
      </c>
      <c r="BX228" s="235">
        <f t="shared" si="463"/>
        <v>0</v>
      </c>
      <c r="BY228" s="235">
        <f t="shared" si="463"/>
        <v>0</v>
      </c>
      <c r="BZ228" s="235">
        <f t="shared" si="463"/>
        <v>0</v>
      </c>
      <c r="CA228" s="235">
        <f t="shared" si="463"/>
        <v>0</v>
      </c>
      <c r="CB228" s="235">
        <f t="shared" si="463"/>
        <v>0</v>
      </c>
      <c r="CC228" s="235">
        <f t="shared" si="463"/>
        <v>0</v>
      </c>
      <c r="CD228" s="235">
        <f t="shared" si="463"/>
        <v>0</v>
      </c>
      <c r="CE228" s="235">
        <f t="shared" si="463"/>
        <v>0</v>
      </c>
      <c r="CF228" s="235">
        <f t="shared" si="463"/>
        <v>0</v>
      </c>
      <c r="CG228" s="235">
        <f t="shared" si="463"/>
        <v>0</v>
      </c>
      <c r="CH228" s="235">
        <f t="shared" si="463"/>
        <v>0</v>
      </c>
      <c r="CI228" s="235">
        <f t="shared" si="463"/>
        <v>0</v>
      </c>
      <c r="CJ228" s="235">
        <f t="shared" si="463"/>
        <v>0</v>
      </c>
      <c r="CK228" s="235">
        <f t="shared" si="463"/>
        <v>0</v>
      </c>
      <c r="CL228" s="235">
        <f t="shared" si="463"/>
        <v>0</v>
      </c>
      <c r="CM228" s="235">
        <f t="shared" si="463"/>
        <v>0</v>
      </c>
      <c r="CN228" s="235">
        <f t="shared" si="463"/>
        <v>0</v>
      </c>
      <c r="CO228" s="235">
        <f t="shared" si="463"/>
        <v>0</v>
      </c>
      <c r="CP228" s="235"/>
      <c r="CQ228" s="241">
        <f>+SUM(AM228:CP228)</f>
        <v>0</v>
      </c>
      <c r="CR228" s="241">
        <f>SUM(AL228,CQ228)</f>
        <v>0</v>
      </c>
      <c r="CS228" s="241">
        <f>SUM(CY228:CY228)</f>
        <v>0</v>
      </c>
      <c r="CT228" s="246">
        <f>ROUND(CT111/1000,0)</f>
        <v>0</v>
      </c>
      <c r="CU228" s="235">
        <f>ROUND(CU111/1000,0)</f>
        <v>0</v>
      </c>
      <c r="CV228" s="235">
        <f>ROUND(CV111/1000,0)</f>
        <v>0</v>
      </c>
      <c r="CW228" s="249">
        <f>ROUND(CW111/1000,0)</f>
        <v>0</v>
      </c>
      <c r="CX228" s="249">
        <f>ROUND(CX111/1000,0)</f>
        <v>0</v>
      </c>
      <c r="CY228" s="249">
        <f>SUM(CT228:CX228)</f>
        <v>0</v>
      </c>
      <c r="CZ228" s="241">
        <f>ROUND(CZ111/1000,0)</f>
        <v>0</v>
      </c>
      <c r="DA228" s="241">
        <f>ROUND(DA111/1000,0)</f>
        <v>0</v>
      </c>
      <c r="DB228" s="193" t="s">
        <v>13944</v>
      </c>
    </row>
    <row r="229" spans="1:106">
      <c r="A229" s="226">
        <f>MAX(A223:A228)+1</f>
        <v>33</v>
      </c>
      <c r="B229" s="227">
        <f>B228+1</f>
        <v>3</v>
      </c>
      <c r="C229" s="226"/>
      <c r="D229" s="226" t="str">
        <f>IF(D112="","",D112)</f>
        <v>Owner Tax Payments Coded to Income Tax Expense</v>
      </c>
      <c r="E229" s="234">
        <f>+F229+CS229+CZ229+DA229</f>
        <v>0</v>
      </c>
      <c r="F229" s="234">
        <f>SUM(G229:K229,M229:N229,P229:U229,W229:X229,Z229:AA229,AC229:AK229,AM229:CP229)</f>
        <v>0</v>
      </c>
      <c r="G229" s="235">
        <f>ROUND(G112/1000,0)</f>
        <v>0</v>
      </c>
      <c r="H229" s="235">
        <f>ROUND(H112/1000,0)</f>
        <v>0</v>
      </c>
      <c r="I229" s="235">
        <f>ROUND(I112/1000,0)</f>
        <v>0</v>
      </c>
      <c r="J229" s="235">
        <f>ROUND(J112/1000,0)</f>
        <v>0</v>
      </c>
      <c r="K229" s="235">
        <f>ROUND(K112/1000,0)</f>
        <v>0</v>
      </c>
      <c r="L229" s="241">
        <f>+SUM(G229:K229)</f>
        <v>0</v>
      </c>
      <c r="M229" s="235">
        <f>ROUND(M112/1000,0)</f>
        <v>0</v>
      </c>
      <c r="N229" s="235">
        <f>ROUND(N112/1000,0)</f>
        <v>0</v>
      </c>
      <c r="O229" s="241">
        <f>+SUM(M229:N229)</f>
        <v>0</v>
      </c>
      <c r="P229" s="235">
        <f t="shared" ref="P229:U229" si="464">ROUND(P112/1000,0)</f>
        <v>0</v>
      </c>
      <c r="Q229" s="235">
        <f t="shared" si="464"/>
        <v>0</v>
      </c>
      <c r="R229" s="235">
        <f t="shared" si="464"/>
        <v>0</v>
      </c>
      <c r="S229" s="235">
        <f t="shared" si="464"/>
        <v>0</v>
      </c>
      <c r="T229" s="235">
        <f t="shared" si="464"/>
        <v>0</v>
      </c>
      <c r="U229" s="235">
        <f t="shared" si="464"/>
        <v>0</v>
      </c>
      <c r="V229" s="234">
        <f>+SUM(P229:U229)</f>
        <v>0</v>
      </c>
      <c r="W229" s="235">
        <f>ROUND(W112/1000,0)</f>
        <v>0</v>
      </c>
      <c r="X229" s="235">
        <f>ROUND(X112/1000,0)</f>
        <v>0</v>
      </c>
      <c r="Y229" s="241">
        <f>SUM(V229:X229)</f>
        <v>0</v>
      </c>
      <c r="Z229" s="235">
        <f>ROUND(Z112/1000,0)</f>
        <v>0</v>
      </c>
      <c r="AA229" s="235">
        <f>ROUND(AA112/1000,0)</f>
        <v>0</v>
      </c>
      <c r="AB229" s="241">
        <f>+SUM(Z229:AA229)</f>
        <v>0</v>
      </c>
      <c r="AC229" s="235">
        <f t="shared" ref="AC229:AK229" si="465">ROUND(AC112/1000,0)</f>
        <v>0</v>
      </c>
      <c r="AD229" s="235">
        <f t="shared" si="465"/>
        <v>0</v>
      </c>
      <c r="AE229" s="235">
        <f t="shared" si="465"/>
        <v>0</v>
      </c>
      <c r="AF229" s="235">
        <f t="shared" si="465"/>
        <v>0</v>
      </c>
      <c r="AG229" s="235">
        <f t="shared" si="465"/>
        <v>0</v>
      </c>
      <c r="AH229" s="235">
        <f t="shared" si="465"/>
        <v>0</v>
      </c>
      <c r="AI229" s="235">
        <f t="shared" si="465"/>
        <v>0</v>
      </c>
      <c r="AJ229" s="235">
        <f t="shared" si="465"/>
        <v>0</v>
      </c>
      <c r="AK229" s="235">
        <f t="shared" si="465"/>
        <v>0</v>
      </c>
      <c r="AL229" s="241">
        <f>SUM(AF229:AK229)</f>
        <v>0</v>
      </c>
      <c r="AM229" s="235">
        <f t="shared" ref="AM229:CO229" si="466">ROUND(AM112/1000,0)</f>
        <v>0</v>
      </c>
      <c r="AN229" s="235">
        <f t="shared" si="466"/>
        <v>0</v>
      </c>
      <c r="AO229" s="235">
        <f t="shared" si="466"/>
        <v>0</v>
      </c>
      <c r="AP229" s="235">
        <f t="shared" si="466"/>
        <v>0</v>
      </c>
      <c r="AQ229" s="235">
        <f t="shared" si="466"/>
        <v>0</v>
      </c>
      <c r="AR229" s="235">
        <f t="shared" si="466"/>
        <v>0</v>
      </c>
      <c r="AS229" s="235">
        <f t="shared" si="466"/>
        <v>0</v>
      </c>
      <c r="AT229" s="235">
        <f t="shared" si="466"/>
        <v>0</v>
      </c>
      <c r="AU229" s="235">
        <f t="shared" si="466"/>
        <v>0</v>
      </c>
      <c r="AV229" s="235">
        <f t="shared" si="466"/>
        <v>0</v>
      </c>
      <c r="AW229" s="235">
        <f t="shared" si="466"/>
        <v>0</v>
      </c>
      <c r="AX229" s="235">
        <f t="shared" si="466"/>
        <v>0</v>
      </c>
      <c r="AY229" s="235">
        <f t="shared" si="466"/>
        <v>0</v>
      </c>
      <c r="AZ229" s="235">
        <f t="shared" si="466"/>
        <v>0</v>
      </c>
      <c r="BA229" s="235">
        <f t="shared" si="466"/>
        <v>0</v>
      </c>
      <c r="BB229" s="235">
        <f t="shared" si="466"/>
        <v>0</v>
      </c>
      <c r="BC229" s="235">
        <f t="shared" si="466"/>
        <v>0</v>
      </c>
      <c r="BD229" s="235">
        <f t="shared" si="466"/>
        <v>0</v>
      </c>
      <c r="BE229" s="235">
        <f t="shared" si="466"/>
        <v>0</v>
      </c>
      <c r="BF229" s="235">
        <f t="shared" si="466"/>
        <v>0</v>
      </c>
      <c r="BG229" s="235">
        <f t="shared" si="466"/>
        <v>0</v>
      </c>
      <c r="BH229" s="235">
        <f t="shared" si="466"/>
        <v>0</v>
      </c>
      <c r="BI229" s="235">
        <f t="shared" si="466"/>
        <v>0</v>
      </c>
      <c r="BJ229" s="235">
        <f t="shared" si="466"/>
        <v>0</v>
      </c>
      <c r="BK229" s="235">
        <f t="shared" si="466"/>
        <v>0</v>
      </c>
      <c r="BL229" s="235">
        <f t="shared" si="466"/>
        <v>0</v>
      </c>
      <c r="BM229" s="235">
        <f t="shared" si="466"/>
        <v>0</v>
      </c>
      <c r="BN229" s="235">
        <f t="shared" si="466"/>
        <v>0</v>
      </c>
      <c r="BO229" s="235">
        <f t="shared" si="466"/>
        <v>0</v>
      </c>
      <c r="BP229" s="235">
        <f t="shared" si="466"/>
        <v>0</v>
      </c>
      <c r="BQ229" s="235">
        <f t="shared" si="466"/>
        <v>0</v>
      </c>
      <c r="BR229" s="235">
        <f t="shared" si="466"/>
        <v>0</v>
      </c>
      <c r="BS229" s="235">
        <f t="shared" si="466"/>
        <v>0</v>
      </c>
      <c r="BT229" s="235">
        <f t="shared" si="466"/>
        <v>0</v>
      </c>
      <c r="BU229" s="235">
        <f t="shared" si="466"/>
        <v>0</v>
      </c>
      <c r="BV229" s="235">
        <f t="shared" si="466"/>
        <v>0</v>
      </c>
      <c r="BW229" s="235">
        <f t="shared" si="466"/>
        <v>0</v>
      </c>
      <c r="BX229" s="235">
        <f t="shared" si="466"/>
        <v>0</v>
      </c>
      <c r="BY229" s="235">
        <f t="shared" si="466"/>
        <v>0</v>
      </c>
      <c r="BZ229" s="235">
        <f t="shared" si="466"/>
        <v>0</v>
      </c>
      <c r="CA229" s="235">
        <f t="shared" si="466"/>
        <v>0</v>
      </c>
      <c r="CB229" s="235">
        <f t="shared" si="466"/>
        <v>0</v>
      </c>
      <c r="CC229" s="235">
        <f t="shared" si="466"/>
        <v>0</v>
      </c>
      <c r="CD229" s="235">
        <f t="shared" si="466"/>
        <v>0</v>
      </c>
      <c r="CE229" s="235">
        <f t="shared" si="466"/>
        <v>0</v>
      </c>
      <c r="CF229" s="235">
        <f t="shared" si="466"/>
        <v>0</v>
      </c>
      <c r="CG229" s="235">
        <f t="shared" si="466"/>
        <v>0</v>
      </c>
      <c r="CH229" s="235">
        <f t="shared" si="466"/>
        <v>0</v>
      </c>
      <c r="CI229" s="235">
        <f t="shared" si="466"/>
        <v>0</v>
      </c>
      <c r="CJ229" s="235">
        <f t="shared" si="466"/>
        <v>0</v>
      </c>
      <c r="CK229" s="235">
        <f t="shared" si="466"/>
        <v>0</v>
      </c>
      <c r="CL229" s="235">
        <f t="shared" si="466"/>
        <v>0</v>
      </c>
      <c r="CM229" s="235">
        <f t="shared" si="466"/>
        <v>0</v>
      </c>
      <c r="CN229" s="235">
        <f t="shared" si="466"/>
        <v>0</v>
      </c>
      <c r="CO229" s="235">
        <f t="shared" si="466"/>
        <v>0</v>
      </c>
      <c r="CP229" s="235"/>
      <c r="CQ229" s="241">
        <f>+SUM(AM229:CP229)</f>
        <v>0</v>
      </c>
      <c r="CR229" s="241">
        <f>SUM(AL229,CQ229)</f>
        <v>0</v>
      </c>
      <c r="CS229" s="241">
        <f>SUM(CY229:CY229)</f>
        <v>0</v>
      </c>
      <c r="CT229" s="246">
        <f>ROUND(CT112/1000,0)</f>
        <v>0</v>
      </c>
      <c r="CU229" s="235">
        <f>ROUND(CU112/1000,0)</f>
        <v>0</v>
      </c>
      <c r="CV229" s="235">
        <f>ROUND(CV112/1000,0)</f>
        <v>0</v>
      </c>
      <c r="CW229" s="249">
        <f>ROUND(CW112/1000,0)</f>
        <v>0</v>
      </c>
      <c r="CX229" s="249">
        <f>ROUND(CX112/1000,0)</f>
        <v>0</v>
      </c>
      <c r="CY229" s="249">
        <f>SUM(CT229:CX229)</f>
        <v>0</v>
      </c>
      <c r="CZ229" s="241">
        <f>ROUND(CZ112/1000,0)</f>
        <v>0</v>
      </c>
      <c r="DA229" s="241">
        <f>ROUND(DA112/1000,0)</f>
        <v>0</v>
      </c>
      <c r="DB229" s="193" t="s">
        <v>13945</v>
      </c>
    </row>
    <row r="230" spans="1:106">
      <c r="A230" s="226">
        <f>MAX(A224:A229)+1</f>
        <v>34</v>
      </c>
      <c r="B230" s="227">
        <f>B229+1</f>
        <v>4</v>
      </c>
      <c r="C230" s="226"/>
      <c r="D230" s="226" t="str">
        <f>IF(D113="","",D113)</f>
        <v>Owner Tax Payments coded to distributions</v>
      </c>
      <c r="E230" s="234">
        <f>+F230+CS230+CZ230+DA230</f>
        <v>0</v>
      </c>
      <c r="F230" s="234">
        <f>SUM(G230:K230,M230:N230,P230:U230,W230:X230,Z230:AA230,AC230:AK230,AM230:CP230)</f>
        <v>0</v>
      </c>
      <c r="G230" s="235">
        <f>ROUND(G113/1000,0)</f>
        <v>0</v>
      </c>
      <c r="H230" s="235">
        <f>ROUND(H113/1000,0)</f>
        <v>0</v>
      </c>
      <c r="I230" s="235">
        <f>ROUND(I113/1000,0)</f>
        <v>0</v>
      </c>
      <c r="J230" s="235">
        <f>ROUND(J113/1000,0)</f>
        <v>0</v>
      </c>
      <c r="K230" s="235">
        <f>ROUND(K113/1000,0)</f>
        <v>0</v>
      </c>
      <c r="L230" s="241">
        <f>+SUM(G230:K230)</f>
        <v>0</v>
      </c>
      <c r="M230" s="235">
        <f>ROUND(M113/1000,0)</f>
        <v>0</v>
      </c>
      <c r="N230" s="235">
        <f>ROUND(N113/1000,0)</f>
        <v>0</v>
      </c>
      <c r="O230" s="241">
        <f>+SUM(M230:N230)</f>
        <v>0</v>
      </c>
      <c r="P230" s="235">
        <f t="shared" ref="P230:U230" si="467">ROUND(P113/1000,0)</f>
        <v>0</v>
      </c>
      <c r="Q230" s="235">
        <f t="shared" si="467"/>
        <v>0</v>
      </c>
      <c r="R230" s="235">
        <f t="shared" si="467"/>
        <v>0</v>
      </c>
      <c r="S230" s="235">
        <f t="shared" si="467"/>
        <v>0</v>
      </c>
      <c r="T230" s="235">
        <f t="shared" si="467"/>
        <v>0</v>
      </c>
      <c r="U230" s="235">
        <f t="shared" si="467"/>
        <v>0</v>
      </c>
      <c r="V230" s="234">
        <f>+SUM(P230:U230)</f>
        <v>0</v>
      </c>
      <c r="W230" s="235">
        <f>ROUND(W113/1000,0)</f>
        <v>0</v>
      </c>
      <c r="X230" s="235">
        <f>ROUND(X113/1000,0)</f>
        <v>0</v>
      </c>
      <c r="Y230" s="241">
        <f>SUM(V230:X230)</f>
        <v>0</v>
      </c>
      <c r="Z230" s="235">
        <f>ROUND(Z113/1000,0)</f>
        <v>0</v>
      </c>
      <c r="AA230" s="235">
        <f>ROUND(AA113/1000,0)</f>
        <v>0</v>
      </c>
      <c r="AB230" s="241">
        <f>+SUM(Z230:AA230)</f>
        <v>0</v>
      </c>
      <c r="AC230" s="235">
        <f t="shared" ref="AC230:AK230" si="468">ROUND(AC113/1000,0)</f>
        <v>0</v>
      </c>
      <c r="AD230" s="235">
        <f t="shared" si="468"/>
        <v>0</v>
      </c>
      <c r="AE230" s="235">
        <f t="shared" si="468"/>
        <v>0</v>
      </c>
      <c r="AF230" s="235">
        <f t="shared" si="468"/>
        <v>0</v>
      </c>
      <c r="AG230" s="235">
        <f t="shared" si="468"/>
        <v>0</v>
      </c>
      <c r="AH230" s="235">
        <f t="shared" si="468"/>
        <v>0</v>
      </c>
      <c r="AI230" s="235">
        <f t="shared" si="468"/>
        <v>0</v>
      </c>
      <c r="AJ230" s="235">
        <f t="shared" si="468"/>
        <v>0</v>
      </c>
      <c r="AK230" s="235">
        <f t="shared" si="468"/>
        <v>0</v>
      </c>
      <c r="AL230" s="241">
        <f>SUM(AF230:AK230)</f>
        <v>0</v>
      </c>
      <c r="AM230" s="235">
        <f t="shared" ref="AM230:CO230" si="469">ROUND(AM113/1000,0)</f>
        <v>0</v>
      </c>
      <c r="AN230" s="235">
        <f t="shared" si="469"/>
        <v>0</v>
      </c>
      <c r="AO230" s="235">
        <f t="shared" si="469"/>
        <v>0</v>
      </c>
      <c r="AP230" s="235">
        <f t="shared" si="469"/>
        <v>0</v>
      </c>
      <c r="AQ230" s="235">
        <f t="shared" si="469"/>
        <v>0</v>
      </c>
      <c r="AR230" s="235">
        <f t="shared" si="469"/>
        <v>0</v>
      </c>
      <c r="AS230" s="235">
        <f t="shared" si="469"/>
        <v>0</v>
      </c>
      <c r="AT230" s="235">
        <f t="shared" si="469"/>
        <v>0</v>
      </c>
      <c r="AU230" s="235">
        <f t="shared" si="469"/>
        <v>0</v>
      </c>
      <c r="AV230" s="235">
        <f t="shared" si="469"/>
        <v>0</v>
      </c>
      <c r="AW230" s="235">
        <f t="shared" si="469"/>
        <v>0</v>
      </c>
      <c r="AX230" s="235">
        <f t="shared" si="469"/>
        <v>0</v>
      </c>
      <c r="AY230" s="235">
        <f t="shared" si="469"/>
        <v>0</v>
      </c>
      <c r="AZ230" s="235">
        <f t="shared" si="469"/>
        <v>0</v>
      </c>
      <c r="BA230" s="235">
        <f t="shared" si="469"/>
        <v>0</v>
      </c>
      <c r="BB230" s="235">
        <f t="shared" si="469"/>
        <v>0</v>
      </c>
      <c r="BC230" s="235">
        <f t="shared" si="469"/>
        <v>0</v>
      </c>
      <c r="BD230" s="235">
        <f t="shared" si="469"/>
        <v>0</v>
      </c>
      <c r="BE230" s="235">
        <f t="shared" si="469"/>
        <v>0</v>
      </c>
      <c r="BF230" s="235">
        <f t="shared" si="469"/>
        <v>0</v>
      </c>
      <c r="BG230" s="235">
        <f t="shared" si="469"/>
        <v>0</v>
      </c>
      <c r="BH230" s="235">
        <f t="shared" si="469"/>
        <v>0</v>
      </c>
      <c r="BI230" s="235">
        <f t="shared" si="469"/>
        <v>0</v>
      </c>
      <c r="BJ230" s="235">
        <f t="shared" si="469"/>
        <v>0</v>
      </c>
      <c r="BK230" s="235">
        <f t="shared" si="469"/>
        <v>0</v>
      </c>
      <c r="BL230" s="235">
        <f t="shared" si="469"/>
        <v>0</v>
      </c>
      <c r="BM230" s="235">
        <f t="shared" si="469"/>
        <v>0</v>
      </c>
      <c r="BN230" s="235">
        <f t="shared" si="469"/>
        <v>0</v>
      </c>
      <c r="BO230" s="235">
        <f t="shared" si="469"/>
        <v>0</v>
      </c>
      <c r="BP230" s="235">
        <f t="shared" si="469"/>
        <v>0</v>
      </c>
      <c r="BQ230" s="235">
        <f t="shared" si="469"/>
        <v>0</v>
      </c>
      <c r="BR230" s="235">
        <f t="shared" si="469"/>
        <v>0</v>
      </c>
      <c r="BS230" s="235">
        <f t="shared" si="469"/>
        <v>0</v>
      </c>
      <c r="BT230" s="235">
        <f t="shared" si="469"/>
        <v>0</v>
      </c>
      <c r="BU230" s="235">
        <f t="shared" si="469"/>
        <v>0</v>
      </c>
      <c r="BV230" s="235">
        <f t="shared" si="469"/>
        <v>0</v>
      </c>
      <c r="BW230" s="235">
        <f t="shared" si="469"/>
        <v>0</v>
      </c>
      <c r="BX230" s="235">
        <f t="shared" si="469"/>
        <v>0</v>
      </c>
      <c r="BY230" s="235">
        <f t="shared" si="469"/>
        <v>0</v>
      </c>
      <c r="BZ230" s="235">
        <f t="shared" si="469"/>
        <v>0</v>
      </c>
      <c r="CA230" s="235">
        <f t="shared" si="469"/>
        <v>0</v>
      </c>
      <c r="CB230" s="235">
        <f t="shared" si="469"/>
        <v>0</v>
      </c>
      <c r="CC230" s="235">
        <f t="shared" si="469"/>
        <v>0</v>
      </c>
      <c r="CD230" s="235">
        <f t="shared" si="469"/>
        <v>0</v>
      </c>
      <c r="CE230" s="235">
        <f t="shared" si="469"/>
        <v>0</v>
      </c>
      <c r="CF230" s="235">
        <f t="shared" si="469"/>
        <v>0</v>
      </c>
      <c r="CG230" s="235">
        <f t="shared" si="469"/>
        <v>0</v>
      </c>
      <c r="CH230" s="235">
        <f t="shared" si="469"/>
        <v>0</v>
      </c>
      <c r="CI230" s="235">
        <f t="shared" si="469"/>
        <v>0</v>
      </c>
      <c r="CJ230" s="235">
        <f t="shared" si="469"/>
        <v>0</v>
      </c>
      <c r="CK230" s="235">
        <f t="shared" si="469"/>
        <v>0</v>
      </c>
      <c r="CL230" s="235">
        <f t="shared" si="469"/>
        <v>0</v>
      </c>
      <c r="CM230" s="235">
        <f t="shared" si="469"/>
        <v>0</v>
      </c>
      <c r="CN230" s="235">
        <f t="shared" si="469"/>
        <v>0</v>
      </c>
      <c r="CO230" s="235">
        <f t="shared" si="469"/>
        <v>0</v>
      </c>
      <c r="CP230" s="235"/>
      <c r="CQ230" s="241">
        <f>+SUM(AM230:CP230)</f>
        <v>0</v>
      </c>
      <c r="CR230" s="241">
        <f>SUM(AL230,CQ230)</f>
        <v>0</v>
      </c>
      <c r="CS230" s="241">
        <f>SUM(CY230:CY230)</f>
        <v>0</v>
      </c>
      <c r="CT230" s="246">
        <f>ROUND(CT113/1000,0)</f>
        <v>0</v>
      </c>
      <c r="CU230" s="235">
        <f>ROUND(CU113/1000,0)</f>
        <v>0</v>
      </c>
      <c r="CV230" s="235">
        <f>ROUND(CV113/1000,0)</f>
        <v>0</v>
      </c>
      <c r="CW230" s="249">
        <f>ROUND(CW113/1000,0)</f>
        <v>0</v>
      </c>
      <c r="CX230" s="249">
        <f>ROUND(CX113/1000,0)</f>
        <v>0</v>
      </c>
      <c r="CY230" s="249">
        <f>SUM(CT230:CX230)</f>
        <v>0</v>
      </c>
      <c r="CZ230" s="241">
        <f>ROUND(CZ113/1000,0)</f>
        <v>0</v>
      </c>
      <c r="DA230" s="241">
        <f>ROUND(DA113/1000,0)</f>
        <v>0</v>
      </c>
      <c r="DB230" s="193" t="s">
        <v>13947</v>
      </c>
    </row>
    <row r="231" spans="1:106">
      <c r="A231" s="154">
        <f>MAX(A225:A230)+1</f>
        <v>35</v>
      </c>
      <c r="B231" s="161">
        <f>B230+1</f>
        <v>5</v>
      </c>
      <c r="D231" s="154" t="str">
        <f>IF(D114="","",D114)</f>
        <v>Total Income Tax Payments</v>
      </c>
      <c r="E231" s="198">
        <f>+F231+CS231+CZ231+DA231</f>
        <v>7</v>
      </c>
      <c r="F231" s="153">
        <f>SUM(G231:K231,M231:N231,P231:U231,W231:X231,Z231:AA231,AC231:AK231,AM231:CP231)</f>
        <v>7</v>
      </c>
      <c r="G231" s="152">
        <f>ROUND(G114/1000,0)</f>
        <v>0</v>
      </c>
      <c r="H231" s="152">
        <f>ROUND(H114/1000,0)</f>
        <v>0</v>
      </c>
      <c r="I231" s="152">
        <f>ROUND(I114/1000,0)</f>
        <v>0</v>
      </c>
      <c r="J231" s="152">
        <f>ROUND(J114/1000,0)</f>
        <v>0</v>
      </c>
      <c r="K231" s="152">
        <f>ROUND(K114/1000,0)</f>
        <v>0</v>
      </c>
      <c r="L231" s="205">
        <f>+SUM(G231:K231)</f>
        <v>0</v>
      </c>
      <c r="M231" s="152">
        <f>ROUND(M114/1000,0)</f>
        <v>0</v>
      </c>
      <c r="N231" s="152">
        <f>ROUND(N114/1000,0)</f>
        <v>0</v>
      </c>
      <c r="O231" s="205">
        <f>+SUM(M231:N231)</f>
        <v>0</v>
      </c>
      <c r="P231" s="152">
        <f t="shared" ref="P231:U231" si="470">ROUND(P114/1000,0)</f>
        <v>0</v>
      </c>
      <c r="Q231" s="152">
        <f t="shared" si="470"/>
        <v>0</v>
      </c>
      <c r="R231" s="152">
        <f t="shared" si="470"/>
        <v>0</v>
      </c>
      <c r="S231" s="152">
        <f t="shared" si="470"/>
        <v>0</v>
      </c>
      <c r="T231" s="152">
        <f t="shared" si="470"/>
        <v>1</v>
      </c>
      <c r="U231" s="152">
        <f t="shared" si="470"/>
        <v>0</v>
      </c>
      <c r="V231" s="153">
        <f>+SUM(P231:U231)</f>
        <v>1</v>
      </c>
      <c r="W231" s="152">
        <f>ROUND(W114/1000,0)</f>
        <v>0</v>
      </c>
      <c r="X231" s="152">
        <f>ROUND(X114/1000,0)</f>
        <v>0</v>
      </c>
      <c r="Y231" s="205">
        <f>SUM(V231:X231)</f>
        <v>1</v>
      </c>
      <c r="Z231" s="152">
        <f>ROUND(Z114/1000,0)</f>
        <v>0</v>
      </c>
      <c r="AA231" s="152">
        <f>ROUND(AA114/1000,0)</f>
        <v>0</v>
      </c>
      <c r="AB231" s="205">
        <f>+SUM(Z231:AA231)</f>
        <v>0</v>
      </c>
      <c r="AC231" s="152">
        <f t="shared" ref="AC231:AK231" si="471">ROUND(AC114/1000,0)</f>
        <v>0</v>
      </c>
      <c r="AD231" s="152">
        <f t="shared" si="471"/>
        <v>0</v>
      </c>
      <c r="AE231" s="152">
        <f t="shared" si="471"/>
        <v>-1</v>
      </c>
      <c r="AF231" s="152">
        <f t="shared" si="471"/>
        <v>0</v>
      </c>
      <c r="AG231" s="152">
        <f t="shared" si="471"/>
        <v>0</v>
      </c>
      <c r="AH231" s="152">
        <f t="shared" si="471"/>
        <v>0</v>
      </c>
      <c r="AI231" s="152">
        <f t="shared" si="471"/>
        <v>0</v>
      </c>
      <c r="AJ231" s="152">
        <f t="shared" si="471"/>
        <v>7</v>
      </c>
      <c r="AK231" s="152">
        <f t="shared" si="471"/>
        <v>0</v>
      </c>
      <c r="AL231" s="205">
        <f>SUM(AF231:AK231)</f>
        <v>7</v>
      </c>
      <c r="AM231" s="152">
        <f t="shared" ref="AM231:CO231" si="472">ROUND(AM114/1000,0)</f>
        <v>0</v>
      </c>
      <c r="AN231" s="152">
        <f t="shared" si="472"/>
        <v>0</v>
      </c>
      <c r="AO231" s="152">
        <f t="shared" si="472"/>
        <v>0</v>
      </c>
      <c r="AP231" s="152">
        <f t="shared" si="472"/>
        <v>0</v>
      </c>
      <c r="AQ231" s="152">
        <f t="shared" si="472"/>
        <v>0</v>
      </c>
      <c r="AR231" s="152">
        <f t="shared" si="472"/>
        <v>0</v>
      </c>
      <c r="AS231" s="152">
        <f t="shared" si="472"/>
        <v>0</v>
      </c>
      <c r="AT231" s="152">
        <f t="shared" si="472"/>
        <v>0</v>
      </c>
      <c r="AU231" s="152">
        <f t="shared" si="472"/>
        <v>0</v>
      </c>
      <c r="AV231" s="152">
        <f t="shared" si="472"/>
        <v>0</v>
      </c>
      <c r="AW231" s="152">
        <f t="shared" si="472"/>
        <v>0</v>
      </c>
      <c r="AX231" s="152">
        <f t="shared" si="472"/>
        <v>0</v>
      </c>
      <c r="AY231" s="152">
        <f t="shared" si="472"/>
        <v>0</v>
      </c>
      <c r="AZ231" s="152">
        <f t="shared" si="472"/>
        <v>0</v>
      </c>
      <c r="BA231" s="152">
        <f t="shared" si="472"/>
        <v>0</v>
      </c>
      <c r="BB231" s="152">
        <f t="shared" si="472"/>
        <v>0</v>
      </c>
      <c r="BC231" s="152">
        <f t="shared" si="472"/>
        <v>0</v>
      </c>
      <c r="BD231" s="152">
        <f t="shared" si="472"/>
        <v>0</v>
      </c>
      <c r="BE231" s="152">
        <f t="shared" si="472"/>
        <v>0</v>
      </c>
      <c r="BF231" s="152">
        <f t="shared" si="472"/>
        <v>0</v>
      </c>
      <c r="BG231" s="152">
        <f t="shared" si="472"/>
        <v>0</v>
      </c>
      <c r="BH231" s="152">
        <f t="shared" si="472"/>
        <v>0</v>
      </c>
      <c r="BI231" s="152">
        <f t="shared" si="472"/>
        <v>0</v>
      </c>
      <c r="BJ231" s="152">
        <f t="shared" si="472"/>
        <v>0</v>
      </c>
      <c r="BK231" s="152">
        <f t="shared" si="472"/>
        <v>0</v>
      </c>
      <c r="BL231" s="152">
        <f t="shared" si="472"/>
        <v>0</v>
      </c>
      <c r="BM231" s="152">
        <f t="shared" si="472"/>
        <v>0</v>
      </c>
      <c r="BN231" s="152">
        <f t="shared" si="472"/>
        <v>0</v>
      </c>
      <c r="BO231" s="152">
        <f t="shared" si="472"/>
        <v>0</v>
      </c>
      <c r="BP231" s="152">
        <f t="shared" si="472"/>
        <v>0</v>
      </c>
      <c r="BQ231" s="152">
        <f t="shared" si="472"/>
        <v>0</v>
      </c>
      <c r="BR231" s="152">
        <f t="shared" si="472"/>
        <v>0</v>
      </c>
      <c r="BS231" s="152">
        <f t="shared" si="472"/>
        <v>0</v>
      </c>
      <c r="BT231" s="152">
        <f t="shared" si="472"/>
        <v>0</v>
      </c>
      <c r="BU231" s="152">
        <f t="shared" si="472"/>
        <v>0</v>
      </c>
      <c r="BV231" s="152">
        <f t="shared" si="472"/>
        <v>0</v>
      </c>
      <c r="BW231" s="152">
        <f t="shared" si="472"/>
        <v>0</v>
      </c>
      <c r="BX231" s="152">
        <f t="shared" si="472"/>
        <v>0</v>
      </c>
      <c r="BY231" s="152">
        <f t="shared" si="472"/>
        <v>0</v>
      </c>
      <c r="BZ231" s="152">
        <f t="shared" si="472"/>
        <v>0</v>
      </c>
      <c r="CA231" s="152">
        <f t="shared" si="472"/>
        <v>0</v>
      </c>
      <c r="CB231" s="152">
        <f t="shared" si="472"/>
        <v>0</v>
      </c>
      <c r="CC231" s="152">
        <f t="shared" si="472"/>
        <v>0</v>
      </c>
      <c r="CD231" s="152">
        <f t="shared" si="472"/>
        <v>0</v>
      </c>
      <c r="CE231" s="152">
        <f t="shared" si="472"/>
        <v>0</v>
      </c>
      <c r="CF231" s="152">
        <f t="shared" si="472"/>
        <v>0</v>
      </c>
      <c r="CG231" s="152">
        <f t="shared" si="472"/>
        <v>0</v>
      </c>
      <c r="CH231" s="152">
        <f t="shared" si="472"/>
        <v>0</v>
      </c>
      <c r="CI231" s="152">
        <f t="shared" si="472"/>
        <v>0</v>
      </c>
      <c r="CJ231" s="152">
        <f t="shared" si="472"/>
        <v>0</v>
      </c>
      <c r="CK231" s="152">
        <f t="shared" si="472"/>
        <v>0</v>
      </c>
      <c r="CL231" s="152">
        <f t="shared" si="472"/>
        <v>0</v>
      </c>
      <c r="CM231" s="152">
        <f t="shared" si="472"/>
        <v>0</v>
      </c>
      <c r="CN231" s="152">
        <f t="shared" si="472"/>
        <v>0</v>
      </c>
      <c r="CO231" s="152">
        <f t="shared" si="472"/>
        <v>0</v>
      </c>
      <c r="CP231" s="152"/>
      <c r="CQ231" s="205">
        <f>+SUM(AM231:CP231)</f>
        <v>0</v>
      </c>
      <c r="CR231" s="205">
        <f>SUM(AL231,CQ231)</f>
        <v>7</v>
      </c>
      <c r="CS231" s="205">
        <f>SUM(CY231:CY231)</f>
        <v>0</v>
      </c>
      <c r="CT231" s="209">
        <f>ROUND(CT114/1000,0)</f>
        <v>0</v>
      </c>
      <c r="CU231" s="152">
        <f>ROUND(CU114/1000,0)</f>
        <v>0</v>
      </c>
      <c r="CV231" s="152">
        <f>ROUND(CV114/1000,0)</f>
        <v>0</v>
      </c>
      <c r="CW231" s="212">
        <f>ROUND(CW114/1000,0)</f>
        <v>0</v>
      </c>
      <c r="CX231" s="212">
        <f>ROUND(CX114/1000,0)</f>
        <v>0</v>
      </c>
      <c r="CY231" s="212">
        <f>SUM(CT231:CX231)</f>
        <v>0</v>
      </c>
      <c r="CZ231" s="205">
        <f>ROUND(CZ114/1000,0)</f>
        <v>0</v>
      </c>
      <c r="DA231" s="205">
        <f>ROUND(DA114/1000,0)</f>
        <v>0</v>
      </c>
      <c r="DB231" s="155" t="s">
        <v>13948</v>
      </c>
    </row>
    <row r="232" spans="2:105">
      <c r="B232" s="161"/>
      <c r="E232" s="198"/>
      <c r="F232" s="153"/>
      <c r="G232" s="152"/>
      <c r="H232" s="152"/>
      <c r="I232" s="152"/>
      <c r="J232" s="152"/>
      <c r="K232" s="152"/>
      <c r="L232" s="205"/>
      <c r="M232" s="152"/>
      <c r="N232" s="152"/>
      <c r="O232" s="205"/>
      <c r="P232" s="152"/>
      <c r="Q232" s="152"/>
      <c r="R232" s="152"/>
      <c r="S232" s="152"/>
      <c r="T232" s="152"/>
      <c r="U232" s="152"/>
      <c r="V232" s="153"/>
      <c r="W232" s="152"/>
      <c r="X232" s="152"/>
      <c r="Y232" s="206"/>
      <c r="Z232" s="152"/>
      <c r="AA232" s="152"/>
      <c r="AB232" s="205"/>
      <c r="AC232" s="152"/>
      <c r="AD232" s="152"/>
      <c r="AE232" s="152"/>
      <c r="AF232" s="152"/>
      <c r="AG232" s="152"/>
      <c r="AH232" s="152"/>
      <c r="AI232" s="152"/>
      <c r="AJ232" s="152"/>
      <c r="AK232" s="152"/>
      <c r="AL232" s="205"/>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c r="BG232" s="152"/>
      <c r="BH232" s="152"/>
      <c r="BI232" s="152"/>
      <c r="BJ232" s="152"/>
      <c r="BK232" s="152"/>
      <c r="BL232" s="152"/>
      <c r="BM232" s="152"/>
      <c r="BN232" s="152"/>
      <c r="BO232" s="152"/>
      <c r="BP232" s="152"/>
      <c r="BQ232" s="152"/>
      <c r="BR232" s="152"/>
      <c r="BS232" s="152"/>
      <c r="BT232" s="152"/>
      <c r="BU232" s="152"/>
      <c r="BV232" s="152"/>
      <c r="BW232" s="152"/>
      <c r="BX232" s="152"/>
      <c r="BY232" s="152"/>
      <c r="BZ232" s="152"/>
      <c r="CA232" s="152"/>
      <c r="CB232" s="152"/>
      <c r="CC232" s="152"/>
      <c r="CD232" s="152"/>
      <c r="CE232" s="152"/>
      <c r="CF232" s="152"/>
      <c r="CG232" s="152"/>
      <c r="CH232" s="152"/>
      <c r="CI232" s="152"/>
      <c r="CJ232" s="152"/>
      <c r="CK232" s="152"/>
      <c r="CL232" s="152"/>
      <c r="CM232" s="152"/>
      <c r="CN232" s="152"/>
      <c r="CO232" s="152"/>
      <c r="CP232" s="152"/>
      <c r="CQ232" s="205"/>
      <c r="CR232" s="205"/>
      <c r="CS232" s="205"/>
      <c r="CT232" s="209"/>
      <c r="CU232" s="152"/>
      <c r="CV232" s="152"/>
      <c r="CW232" s="212"/>
      <c r="CX232" s="212"/>
      <c r="CY232" s="212"/>
      <c r="CZ232" s="205"/>
      <c r="DA232" s="205"/>
    </row>
    <row r="233" spans="1:106">
      <c r="A233" s="154">
        <f>MAX(A227:A232)+1</f>
        <v>36</v>
      </c>
      <c r="B233" s="161">
        <f>B232+1</f>
        <v>1</v>
      </c>
      <c r="D233" s="154" t="str">
        <f>IF(D116="","",D116)</f>
        <v>Operating Cashflow After Tax</v>
      </c>
      <c r="E233" s="198">
        <f ca="true">+F233+CS233+CZ233+DA233</f>
        <v>-4725</v>
      </c>
      <c r="F233" s="153">
        <f ca="true">SUM(G233:K233,M233:N233,P233:U233,W233:X233,Z233:AA233,AC233:AK233,AM233:CP233)</f>
        <v>-3963</v>
      </c>
      <c r="G233" s="152">
        <f>ROUND(G116/1000,0)</f>
        <v>603</v>
      </c>
      <c r="H233" s="152">
        <f>ROUND(H116/1000,0)</f>
        <v>-24</v>
      </c>
      <c r="I233" s="152">
        <f>ROUND(I116/1000,0)</f>
        <v>57</v>
      </c>
      <c r="J233" s="152">
        <f>ROUND(J116/1000,0)</f>
        <v>29</v>
      </c>
      <c r="K233" s="152">
        <f>ROUND(K116/1000,0)</f>
        <v>20</v>
      </c>
      <c r="L233" s="205">
        <f>+SUM(G233:K233)</f>
        <v>685</v>
      </c>
      <c r="M233" s="152">
        <f>ROUND(M116/1000,0)</f>
        <v>72</v>
      </c>
      <c r="N233" s="152">
        <f>ROUND(N116/1000,0)</f>
        <v>77</v>
      </c>
      <c r="O233" s="205">
        <f>+SUM(M233:N233)</f>
        <v>149</v>
      </c>
      <c r="P233" s="152">
        <f t="shared" ref="P233:U233" ca="true" si="473">ROUND(P116/1000,0)</f>
        <v>4</v>
      </c>
      <c r="Q233" s="152">
        <f t="shared" ca="true" si="473"/>
        <v>1</v>
      </c>
      <c r="R233" s="152">
        <f t="shared" ca="true" si="473"/>
        <v>5</v>
      </c>
      <c r="S233" s="152">
        <f t="shared" ca="true" si="473"/>
        <v>4</v>
      </c>
      <c r="T233" s="152">
        <f t="shared" ca="true" si="473"/>
        <v>2</v>
      </c>
      <c r="U233" s="152">
        <f t="shared" ca="true" si="473"/>
        <v>10</v>
      </c>
      <c r="V233" s="153">
        <f ca="true">+SUM(P233:U233)</f>
        <v>26</v>
      </c>
      <c r="W233" s="152">
        <f ca="true">ROUND(W116/1000,0)</f>
        <v>3</v>
      </c>
      <c r="X233" s="152">
        <f ca="true">ROUND(X116/1000,0)</f>
        <v>11</v>
      </c>
      <c r="Y233" s="206">
        <f ca="true">SUM(V233:X233)</f>
        <v>40</v>
      </c>
      <c r="Z233" s="152">
        <f ca="true">ROUND(Z116/1000,0)</f>
        <v>2</v>
      </c>
      <c r="AA233" s="152">
        <f ca="true">ROUND(AA116/1000,0)</f>
        <v>-3</v>
      </c>
      <c r="AB233" s="205">
        <f ca="true">+SUM(Z233:AA233)</f>
        <v>-1</v>
      </c>
      <c r="AC233" s="152">
        <f t="shared" ref="AC233:AK233" ca="true" si="474">ROUND(AC116/1000,0)</f>
        <v>-16</v>
      </c>
      <c r="AD233" s="152">
        <f t="shared" ca="true" si="474"/>
        <v>-66</v>
      </c>
      <c r="AE233" s="152">
        <f t="shared" ca="true" si="474"/>
        <v>-152</v>
      </c>
      <c r="AF233" s="152">
        <f t="shared" ca="true" si="474"/>
        <v>-11</v>
      </c>
      <c r="AG233" s="152">
        <f t="shared" ca="true" si="474"/>
        <v>19</v>
      </c>
      <c r="AH233" s="152">
        <f t="shared" ca="true" si="474"/>
        <v>9</v>
      </c>
      <c r="AI233" s="152">
        <f t="shared" ca="true" si="474"/>
        <v>13</v>
      </c>
      <c r="AJ233" s="152">
        <f t="shared" ca="true" si="474"/>
        <v>8</v>
      </c>
      <c r="AK233" s="152">
        <f t="shared" ca="true" si="474"/>
        <v>-3</v>
      </c>
      <c r="AL233" s="205">
        <f ca="true">SUM(AF233:AK233)</f>
        <v>35</v>
      </c>
      <c r="AM233" s="152">
        <f t="shared" ref="AM233:CO233" ca="true" si="475">ROUND(AM116/1000,0)</f>
        <v>0</v>
      </c>
      <c r="AN233" s="152">
        <f t="shared" ca="true" si="475"/>
        <v>-84</v>
      </c>
      <c r="AO233" s="152">
        <f t="shared" ca="true" si="475"/>
        <v>-76</v>
      </c>
      <c r="AP233" s="152">
        <f t="shared" ca="true" si="475"/>
        <v>0</v>
      </c>
      <c r="AQ233" s="152">
        <f t="shared" ca="true" si="475"/>
        <v>-33</v>
      </c>
      <c r="AR233" s="152">
        <f t="shared" ca="true" si="475"/>
        <v>0</v>
      </c>
      <c r="AS233" s="152">
        <f t="shared" ca="true" si="475"/>
        <v>2</v>
      </c>
      <c r="AT233" s="152">
        <f t="shared" ca="true" si="475"/>
        <v>16</v>
      </c>
      <c r="AU233" s="152">
        <f t="shared" ca="true" si="475"/>
        <v>44</v>
      </c>
      <c r="AV233" s="152">
        <f t="shared" ca="true" si="475"/>
        <v>13</v>
      </c>
      <c r="AW233" s="152">
        <f t="shared" ca="true" si="475"/>
        <v>0</v>
      </c>
      <c r="AX233" s="152">
        <f t="shared" ca="true" si="475"/>
        <v>0</v>
      </c>
      <c r="AY233" s="152">
        <f t="shared" ca="true" si="475"/>
        <v>0</v>
      </c>
      <c r="AZ233" s="152">
        <f t="shared" ca="true" si="475"/>
        <v>14</v>
      </c>
      <c r="BA233" s="152">
        <f t="shared" ca="true" si="475"/>
        <v>9</v>
      </c>
      <c r="BB233" s="152">
        <f t="shared" ca="true" si="475"/>
        <v>0</v>
      </c>
      <c r="BC233" s="152">
        <f t="shared" ca="true" si="475"/>
        <v>16</v>
      </c>
      <c r="BD233" s="152">
        <f t="shared" ca="true" si="475"/>
        <v>12</v>
      </c>
      <c r="BE233" s="152">
        <f t="shared" ca="true" si="475"/>
        <v>13</v>
      </c>
      <c r="BF233" s="152">
        <f t="shared" ca="true" si="475"/>
        <v>6</v>
      </c>
      <c r="BG233" s="152">
        <f t="shared" ca="true" si="475"/>
        <v>12</v>
      </c>
      <c r="BH233" s="152">
        <f t="shared" ca="true" si="475"/>
        <v>0</v>
      </c>
      <c r="BI233" s="152">
        <f t="shared" ca="true" si="475"/>
        <v>5</v>
      </c>
      <c r="BJ233" s="152">
        <f t="shared" ca="true" si="475"/>
        <v>0</v>
      </c>
      <c r="BK233" s="152">
        <f t="shared" ca="true" si="475"/>
        <v>-4</v>
      </c>
      <c r="BL233" s="152">
        <f t="shared" ca="true" si="475"/>
        <v>11</v>
      </c>
      <c r="BM233" s="152">
        <f t="shared" ca="true" si="475"/>
        <v>9</v>
      </c>
      <c r="BN233" s="152">
        <f t="shared" ca="true" si="475"/>
        <v>1</v>
      </c>
      <c r="BO233" s="152">
        <f t="shared" ca="true" si="475"/>
        <v>0</v>
      </c>
      <c r="BP233" s="152">
        <f t="shared" ca="true" si="475"/>
        <v>13</v>
      </c>
      <c r="BQ233" s="152">
        <f t="shared" ca="true" si="475"/>
        <v>9</v>
      </c>
      <c r="BR233" s="152">
        <f t="shared" ca="true" si="475"/>
        <v>-578</v>
      </c>
      <c r="BS233" s="152">
        <f t="shared" ca="true" si="475"/>
        <v>-13</v>
      </c>
      <c r="BT233" s="152">
        <f t="shared" ca="true" si="475"/>
        <v>0</v>
      </c>
      <c r="BU233" s="152">
        <f t="shared" ca="true" si="475"/>
        <v>0</v>
      </c>
      <c r="BV233" s="152">
        <f t="shared" ca="true" si="475"/>
        <v>0</v>
      </c>
      <c r="BW233" s="152">
        <f t="shared" ca="true" si="475"/>
        <v>-3</v>
      </c>
      <c r="BX233" s="152">
        <f t="shared" ca="true" si="475"/>
        <v>-185</v>
      </c>
      <c r="BY233" s="152">
        <f t="shared" ca="true" si="475"/>
        <v>0</v>
      </c>
      <c r="BZ233" s="152">
        <f t="shared" ca="true" si="475"/>
        <v>-315</v>
      </c>
      <c r="CA233" s="152">
        <f t="shared" ca="true" si="475"/>
        <v>-29</v>
      </c>
      <c r="CB233" s="152">
        <f t="shared" ca="true" si="475"/>
        <v>-9</v>
      </c>
      <c r="CC233" s="152">
        <f t="shared" ca="true" si="475"/>
        <v>-9</v>
      </c>
      <c r="CD233" s="152">
        <f t="shared" ca="true" si="475"/>
        <v>5</v>
      </c>
      <c r="CE233" s="152">
        <f t="shared" ca="true" si="475"/>
        <v>-66</v>
      </c>
      <c r="CF233" s="152">
        <f t="shared" ca="true" si="475"/>
        <v>28</v>
      </c>
      <c r="CG233" s="152">
        <f t="shared" ca="true" si="475"/>
        <v>-2</v>
      </c>
      <c r="CH233" s="152">
        <f t="shared" ca="true" si="475"/>
        <v>-63</v>
      </c>
      <c r="CI233" s="152">
        <f t="shared" ca="true" si="475"/>
        <v>-44</v>
      </c>
      <c r="CJ233" s="152">
        <f t="shared" ca="true" si="475"/>
        <v>-45</v>
      </c>
      <c r="CK233" s="152">
        <f t="shared" ca="true" si="475"/>
        <v>-3</v>
      </c>
      <c r="CL233" s="152">
        <f t="shared" ca="true" si="475"/>
        <v>-9</v>
      </c>
      <c r="CM233" s="152">
        <f t="shared" ca="true" si="475"/>
        <v>-171</v>
      </c>
      <c r="CN233" s="152">
        <f t="shared" ca="true" si="475"/>
        <v>-1017</v>
      </c>
      <c r="CO233" s="152">
        <f t="shared" ca="true" si="475"/>
        <v>-2117</v>
      </c>
      <c r="CP233" s="152"/>
      <c r="CQ233" s="205">
        <f ca="true">+SUM(AM233:CP233)</f>
        <v>-4637</v>
      </c>
      <c r="CR233" s="205">
        <f ca="true">SUM(AL233,CQ233)</f>
        <v>-4602</v>
      </c>
      <c r="CS233" s="205">
        <f ca="true">SUM(CY233:CY233)</f>
        <v>-174</v>
      </c>
      <c r="CT233" s="209">
        <f ca="true">ROUND(CT116/1000,0)</f>
        <v>0</v>
      </c>
      <c r="CU233" s="152">
        <f ca="true">ROUND(CU116/1000,0)</f>
        <v>-155</v>
      </c>
      <c r="CV233" s="152">
        <f ca="true">ROUND(CV116/1000,0)</f>
        <v>-38</v>
      </c>
      <c r="CW233" s="212">
        <f ca="true">ROUND(CW116/1000,0)</f>
        <v>19</v>
      </c>
      <c r="CX233" s="212">
        <f ca="true">ROUND(CX116/1000,0)</f>
        <v>0</v>
      </c>
      <c r="CY233" s="212">
        <f ca="true">SUM(CT233:CX233)</f>
        <v>-174</v>
      </c>
      <c r="CZ233" s="205">
        <f>ROUND(CZ116/1000,0)</f>
        <v>0</v>
      </c>
      <c r="DA233" s="205">
        <f>ROUND(DA116/1000,0)</f>
        <v>-588</v>
      </c>
      <c r="DB233" s="155" t="s">
        <v>13949</v>
      </c>
    </row>
    <row r="234" spans="2:105">
      <c r="B234" s="161"/>
      <c r="E234" s="198"/>
      <c r="F234" s="153"/>
      <c r="G234" s="152"/>
      <c r="H234" s="152"/>
      <c r="I234" s="152"/>
      <c r="J234" s="152"/>
      <c r="K234" s="152"/>
      <c r="L234" s="205"/>
      <c r="M234" s="152"/>
      <c r="N234" s="152"/>
      <c r="O234" s="205"/>
      <c r="P234" s="152"/>
      <c r="Q234" s="152"/>
      <c r="R234" s="152"/>
      <c r="S234" s="152"/>
      <c r="T234" s="152"/>
      <c r="U234" s="152"/>
      <c r="V234" s="153"/>
      <c r="W234" s="152"/>
      <c r="X234" s="152"/>
      <c r="Y234" s="206"/>
      <c r="Z234" s="152"/>
      <c r="AA234" s="152"/>
      <c r="AB234" s="205"/>
      <c r="AC234" s="152"/>
      <c r="AD234" s="152"/>
      <c r="AE234" s="152"/>
      <c r="AF234" s="152"/>
      <c r="AG234" s="152"/>
      <c r="AH234" s="152"/>
      <c r="AI234" s="152"/>
      <c r="AJ234" s="152"/>
      <c r="AK234" s="152"/>
      <c r="AL234" s="205"/>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c r="BG234" s="152"/>
      <c r="BH234" s="152"/>
      <c r="BI234" s="152"/>
      <c r="BJ234" s="152"/>
      <c r="BK234" s="152"/>
      <c r="BL234" s="152"/>
      <c r="BM234" s="152"/>
      <c r="BN234" s="152"/>
      <c r="BO234" s="152"/>
      <c r="BP234" s="152"/>
      <c r="BQ234" s="152"/>
      <c r="BR234" s="152"/>
      <c r="BS234" s="152"/>
      <c r="BT234" s="152"/>
      <c r="BU234" s="152"/>
      <c r="BV234" s="152"/>
      <c r="BW234" s="152"/>
      <c r="BX234" s="152"/>
      <c r="BY234" s="152"/>
      <c r="BZ234" s="152"/>
      <c r="CA234" s="152"/>
      <c r="CB234" s="152"/>
      <c r="CC234" s="152"/>
      <c r="CD234" s="152"/>
      <c r="CE234" s="152"/>
      <c r="CF234" s="152"/>
      <c r="CG234" s="152"/>
      <c r="CH234" s="152"/>
      <c r="CI234" s="152"/>
      <c r="CJ234" s="152"/>
      <c r="CK234" s="152"/>
      <c r="CL234" s="152"/>
      <c r="CM234" s="152"/>
      <c r="CN234" s="152"/>
      <c r="CO234" s="152"/>
      <c r="CP234" s="152"/>
      <c r="CQ234" s="205"/>
      <c r="CR234" s="205"/>
      <c r="CS234" s="205"/>
      <c r="CT234" s="209"/>
      <c r="CU234" s="152"/>
      <c r="CV234" s="152"/>
      <c r="CW234" s="212"/>
      <c r="CX234" s="212"/>
      <c r="CY234" s="212"/>
      <c r="CZ234" s="205"/>
      <c r="DA234" s="205"/>
    </row>
    <row r="235" spans="2:105">
      <c r="B235" s="161">
        <f t="shared" ref="B235:B241" si="476">B234+1</f>
        <v>1</v>
      </c>
      <c r="D235" s="154" t="str">
        <f t="shared" ref="D235:D241" si="477">IF(D118="","",D118)</f>
        <v>Incoming:</v>
      </c>
      <c r="E235" s="198"/>
      <c r="F235" s="153"/>
      <c r="G235" s="152"/>
      <c r="H235" s="152"/>
      <c r="I235" s="152"/>
      <c r="J235" s="152"/>
      <c r="K235" s="152"/>
      <c r="L235" s="205"/>
      <c r="M235" s="152"/>
      <c r="N235" s="152"/>
      <c r="O235" s="205"/>
      <c r="P235" s="152"/>
      <c r="Q235" s="152"/>
      <c r="R235" s="152"/>
      <c r="S235" s="152"/>
      <c r="T235" s="152"/>
      <c r="U235" s="152"/>
      <c r="V235" s="153"/>
      <c r="W235" s="152"/>
      <c r="X235" s="152"/>
      <c r="Y235" s="206"/>
      <c r="Z235" s="152"/>
      <c r="AA235" s="152"/>
      <c r="AB235" s="205"/>
      <c r="AC235" s="152"/>
      <c r="AD235" s="152"/>
      <c r="AE235" s="152"/>
      <c r="AF235" s="152"/>
      <c r="AG235" s="152"/>
      <c r="AH235" s="152"/>
      <c r="AI235" s="152"/>
      <c r="AJ235" s="152"/>
      <c r="AK235" s="152"/>
      <c r="AL235" s="205"/>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c r="BG235" s="152"/>
      <c r="BH235" s="152"/>
      <c r="BI235" s="152"/>
      <c r="BJ235" s="152"/>
      <c r="BK235" s="152"/>
      <c r="BL235" s="152"/>
      <c r="BM235" s="152"/>
      <c r="BN235" s="152"/>
      <c r="BO235" s="152"/>
      <c r="BP235" s="152"/>
      <c r="BQ235" s="152"/>
      <c r="BR235" s="152"/>
      <c r="BS235" s="152"/>
      <c r="BT235" s="152"/>
      <c r="BU235" s="152"/>
      <c r="BV235" s="152"/>
      <c r="BW235" s="152"/>
      <c r="BX235" s="152"/>
      <c r="BY235" s="152"/>
      <c r="BZ235" s="152"/>
      <c r="CA235" s="152"/>
      <c r="CB235" s="152"/>
      <c r="CC235" s="152"/>
      <c r="CD235" s="152"/>
      <c r="CE235" s="152"/>
      <c r="CF235" s="152"/>
      <c r="CG235" s="152"/>
      <c r="CH235" s="152"/>
      <c r="CI235" s="152"/>
      <c r="CJ235" s="152"/>
      <c r="CK235" s="152"/>
      <c r="CL235" s="152"/>
      <c r="CM235" s="152"/>
      <c r="CN235" s="152"/>
      <c r="CO235" s="152"/>
      <c r="CP235" s="152"/>
      <c r="CQ235" s="205"/>
      <c r="CR235" s="205"/>
      <c r="CS235" s="205"/>
      <c r="CT235" s="209"/>
      <c r="CU235" s="152"/>
      <c r="CV235" s="152"/>
      <c r="CW235" s="212"/>
      <c r="CX235" s="212"/>
      <c r="CY235" s="212"/>
      <c r="CZ235" s="205"/>
      <c r="DA235" s="205"/>
    </row>
    <row r="236" spans="1:106">
      <c r="A236" s="226">
        <f t="shared" ref="A236:A241" si="478">MAX(A230:A235)+1</f>
        <v>37</v>
      </c>
      <c r="B236" s="227">
        <f t="shared" si="476"/>
        <v>2</v>
      </c>
      <c r="C236" s="226"/>
      <c r="D236" s="226" t="str">
        <f t="shared" si="477"/>
        <v>Reimbursement of Deposit</v>
      </c>
      <c r="E236" s="234">
        <f t="shared" ref="E236:E241" si="479">+F236+CS236+CZ236+DA236</f>
        <v>0</v>
      </c>
      <c r="F236" s="234">
        <f t="shared" ref="F236:F241" si="480">SUM(G236:K236,M236:N236,P236:U236,W236:X236,Z236:AA236,AC236:AK236,AM236:CP236)</f>
        <v>0</v>
      </c>
      <c r="G236" s="235">
        <f t="shared" ref="G236:G241" si="481">ROUND(G119/1000,0)</f>
        <v>0</v>
      </c>
      <c r="H236" s="235">
        <f t="shared" ref="H236:H241" si="482">ROUND(H119/1000,0)</f>
        <v>0</v>
      </c>
      <c r="I236" s="235">
        <f t="shared" ref="I236:I241" si="483">ROUND(I119/1000,0)</f>
        <v>0</v>
      </c>
      <c r="J236" s="235">
        <f t="shared" ref="J236:J241" si="484">ROUND(J119/1000,0)</f>
        <v>0</v>
      </c>
      <c r="K236" s="235">
        <f t="shared" ref="K236:K241" si="485">ROUND(K119/1000,0)</f>
        <v>0</v>
      </c>
      <c r="L236" s="241">
        <f t="shared" ref="L236:L241" si="486">+SUM(G236:K236)</f>
        <v>0</v>
      </c>
      <c r="M236" s="235">
        <f t="shared" ref="M236:M241" si="487">ROUND(M119/1000,0)</f>
        <v>0</v>
      </c>
      <c r="N236" s="235">
        <f t="shared" ref="N236:N241" si="488">ROUND(N119/1000,0)</f>
        <v>0</v>
      </c>
      <c r="O236" s="241">
        <f t="shared" ref="O236:O241" si="489">+SUM(M236:N236)</f>
        <v>0</v>
      </c>
      <c r="P236" s="235">
        <f t="shared" ref="P236:U236" si="490">ROUND(P119/1000,0)</f>
        <v>0</v>
      </c>
      <c r="Q236" s="235">
        <f t="shared" si="490"/>
        <v>0</v>
      </c>
      <c r="R236" s="235">
        <f t="shared" si="490"/>
        <v>0</v>
      </c>
      <c r="S236" s="235">
        <f t="shared" si="490"/>
        <v>0</v>
      </c>
      <c r="T236" s="235">
        <f t="shared" si="490"/>
        <v>0</v>
      </c>
      <c r="U236" s="235">
        <f t="shared" si="490"/>
        <v>0</v>
      </c>
      <c r="V236" s="234">
        <f t="shared" ref="V236:V241" si="491">+SUM(P236:U236)</f>
        <v>0</v>
      </c>
      <c r="W236" s="235">
        <f t="shared" ref="W236:W241" si="492">ROUND(W119/1000,0)</f>
        <v>0</v>
      </c>
      <c r="X236" s="235">
        <f t="shared" ref="X236:X241" si="493">ROUND(X119/1000,0)</f>
        <v>0</v>
      </c>
      <c r="Y236" s="241">
        <f t="shared" ref="Y236:Y241" si="494">SUM(V236:X236)</f>
        <v>0</v>
      </c>
      <c r="Z236" s="235">
        <f t="shared" ref="Z236:Z241" si="495">ROUND(Z119/1000,0)</f>
        <v>0</v>
      </c>
      <c r="AA236" s="235">
        <f t="shared" ref="AA236:AA241" si="496">ROUND(AA119/1000,0)</f>
        <v>0</v>
      </c>
      <c r="AB236" s="241">
        <f t="shared" ref="AB236:AB241" si="497">+SUM(Z236:AA236)</f>
        <v>0</v>
      </c>
      <c r="AC236" s="235">
        <f t="shared" ref="AC236:AK236" si="498">ROUND(AC119/1000,0)</f>
        <v>0</v>
      </c>
      <c r="AD236" s="235">
        <f t="shared" si="498"/>
        <v>0</v>
      </c>
      <c r="AE236" s="235">
        <f t="shared" si="498"/>
        <v>0</v>
      </c>
      <c r="AF236" s="235">
        <f t="shared" si="498"/>
        <v>0</v>
      </c>
      <c r="AG236" s="235">
        <f t="shared" si="498"/>
        <v>0</v>
      </c>
      <c r="AH236" s="235">
        <f t="shared" si="498"/>
        <v>0</v>
      </c>
      <c r="AI236" s="235">
        <f t="shared" si="498"/>
        <v>0</v>
      </c>
      <c r="AJ236" s="235">
        <f t="shared" si="498"/>
        <v>0</v>
      </c>
      <c r="AK236" s="235">
        <f t="shared" si="498"/>
        <v>0</v>
      </c>
      <c r="AL236" s="241">
        <f t="shared" ref="AL236:AL241" si="499">SUM(AF236:AK236)</f>
        <v>0</v>
      </c>
      <c r="AM236" s="235">
        <f t="shared" ref="AM236:CO236" si="500">ROUND(AM119/1000,0)</f>
        <v>0</v>
      </c>
      <c r="AN236" s="235">
        <f t="shared" si="500"/>
        <v>0</v>
      </c>
      <c r="AO236" s="235">
        <f t="shared" si="500"/>
        <v>0</v>
      </c>
      <c r="AP236" s="235">
        <f t="shared" si="500"/>
        <v>0</v>
      </c>
      <c r="AQ236" s="235">
        <f t="shared" si="500"/>
        <v>0</v>
      </c>
      <c r="AR236" s="235">
        <f t="shared" si="500"/>
        <v>0</v>
      </c>
      <c r="AS236" s="235">
        <f t="shared" si="500"/>
        <v>0</v>
      </c>
      <c r="AT236" s="235">
        <f t="shared" si="500"/>
        <v>0</v>
      </c>
      <c r="AU236" s="235">
        <f t="shared" si="500"/>
        <v>0</v>
      </c>
      <c r="AV236" s="235">
        <f t="shared" si="500"/>
        <v>0</v>
      </c>
      <c r="AW236" s="235">
        <f t="shared" si="500"/>
        <v>0</v>
      </c>
      <c r="AX236" s="235">
        <f t="shared" si="500"/>
        <v>0</v>
      </c>
      <c r="AY236" s="235">
        <f t="shared" si="500"/>
        <v>0</v>
      </c>
      <c r="AZ236" s="235">
        <f t="shared" si="500"/>
        <v>0</v>
      </c>
      <c r="BA236" s="235">
        <f t="shared" si="500"/>
        <v>0</v>
      </c>
      <c r="BB236" s="235">
        <f t="shared" si="500"/>
        <v>0</v>
      </c>
      <c r="BC236" s="235">
        <f t="shared" si="500"/>
        <v>0</v>
      </c>
      <c r="BD236" s="235">
        <f t="shared" si="500"/>
        <v>0</v>
      </c>
      <c r="BE236" s="235">
        <f t="shared" si="500"/>
        <v>0</v>
      </c>
      <c r="BF236" s="235">
        <f t="shared" si="500"/>
        <v>0</v>
      </c>
      <c r="BG236" s="235">
        <f t="shared" si="500"/>
        <v>0</v>
      </c>
      <c r="BH236" s="235">
        <f t="shared" si="500"/>
        <v>0</v>
      </c>
      <c r="BI236" s="235">
        <f t="shared" si="500"/>
        <v>0</v>
      </c>
      <c r="BJ236" s="235">
        <f t="shared" si="500"/>
        <v>0</v>
      </c>
      <c r="BK236" s="235">
        <f t="shared" si="500"/>
        <v>0</v>
      </c>
      <c r="BL236" s="235">
        <f t="shared" si="500"/>
        <v>0</v>
      </c>
      <c r="BM236" s="235">
        <f t="shared" si="500"/>
        <v>0</v>
      </c>
      <c r="BN236" s="235">
        <f t="shared" si="500"/>
        <v>0</v>
      </c>
      <c r="BO236" s="235">
        <f t="shared" si="500"/>
        <v>0</v>
      </c>
      <c r="BP236" s="235">
        <f t="shared" si="500"/>
        <v>0</v>
      </c>
      <c r="BQ236" s="235">
        <f t="shared" si="500"/>
        <v>0</v>
      </c>
      <c r="BR236" s="235">
        <f t="shared" si="500"/>
        <v>0</v>
      </c>
      <c r="BS236" s="235">
        <f t="shared" si="500"/>
        <v>0</v>
      </c>
      <c r="BT236" s="235">
        <f t="shared" si="500"/>
        <v>0</v>
      </c>
      <c r="BU236" s="235">
        <f t="shared" si="500"/>
        <v>0</v>
      </c>
      <c r="BV236" s="235">
        <f t="shared" si="500"/>
        <v>0</v>
      </c>
      <c r="BW236" s="235">
        <f t="shared" si="500"/>
        <v>0</v>
      </c>
      <c r="BX236" s="235">
        <f t="shared" si="500"/>
        <v>0</v>
      </c>
      <c r="BY236" s="235">
        <f t="shared" si="500"/>
        <v>0</v>
      </c>
      <c r="BZ236" s="235">
        <f t="shared" si="500"/>
        <v>0</v>
      </c>
      <c r="CA236" s="235">
        <f t="shared" si="500"/>
        <v>0</v>
      </c>
      <c r="CB236" s="235">
        <f t="shared" si="500"/>
        <v>0</v>
      </c>
      <c r="CC236" s="235">
        <f t="shared" si="500"/>
        <v>0</v>
      </c>
      <c r="CD236" s="235">
        <f t="shared" si="500"/>
        <v>0</v>
      </c>
      <c r="CE236" s="235">
        <f t="shared" si="500"/>
        <v>0</v>
      </c>
      <c r="CF236" s="235">
        <f t="shared" si="500"/>
        <v>0</v>
      </c>
      <c r="CG236" s="235">
        <f t="shared" si="500"/>
        <v>0</v>
      </c>
      <c r="CH236" s="235">
        <f t="shared" si="500"/>
        <v>0</v>
      </c>
      <c r="CI236" s="235">
        <f t="shared" si="500"/>
        <v>0</v>
      </c>
      <c r="CJ236" s="235">
        <f t="shared" si="500"/>
        <v>0</v>
      </c>
      <c r="CK236" s="235">
        <f t="shared" si="500"/>
        <v>0</v>
      </c>
      <c r="CL236" s="235">
        <f t="shared" si="500"/>
        <v>0</v>
      </c>
      <c r="CM236" s="235">
        <f t="shared" si="500"/>
        <v>0</v>
      </c>
      <c r="CN236" s="235">
        <f t="shared" si="500"/>
        <v>0</v>
      </c>
      <c r="CO236" s="235">
        <f t="shared" si="500"/>
        <v>0</v>
      </c>
      <c r="CP236" s="235"/>
      <c r="CQ236" s="241">
        <f t="shared" ref="CQ236:CQ241" si="501">+SUM(AM236:CP236)</f>
        <v>0</v>
      </c>
      <c r="CR236" s="241">
        <f t="shared" ref="CR236:CR241" si="502">SUM(AL236,CQ236)</f>
        <v>0</v>
      </c>
      <c r="CS236" s="241">
        <f t="shared" ref="CS236:CS241" si="503">SUM(CY236:CY236)</f>
        <v>0</v>
      </c>
      <c r="CT236" s="246">
        <f t="shared" ref="CT236:CT241" si="504">ROUND(CT119/1000,0)</f>
        <v>0</v>
      </c>
      <c r="CU236" s="235">
        <f t="shared" ref="CU236:CU241" si="505">ROUND(CU119/1000,0)</f>
        <v>0</v>
      </c>
      <c r="CV236" s="235">
        <f t="shared" ref="CV236:CV241" si="506">ROUND(CV119/1000,0)</f>
        <v>0</v>
      </c>
      <c r="CW236" s="249">
        <f t="shared" ref="CW236:CW241" si="507">ROUND(CW119/1000,0)</f>
        <v>0</v>
      </c>
      <c r="CX236" s="249">
        <f t="shared" ref="CX236:CX241" si="508">ROUND(CX119/1000,0)</f>
        <v>0</v>
      </c>
      <c r="CY236" s="249">
        <f t="shared" ref="CY236:CY241" si="509">SUM(CT236:CX236)</f>
        <v>0</v>
      </c>
      <c r="CZ236" s="241">
        <f t="shared" ref="CZ236:CZ241" si="510">ROUND(CZ119/1000,0)</f>
        <v>0</v>
      </c>
      <c r="DA236" s="241">
        <f t="shared" ref="DA236:DA241" si="511">ROUND(DA119/1000,0)</f>
        <v>0</v>
      </c>
      <c r="DB236" s="193" t="s">
        <v>14004</v>
      </c>
    </row>
    <row r="237" spans="1:106">
      <c r="A237" s="226">
        <f t="shared" si="478"/>
        <v>38</v>
      </c>
      <c r="B237" s="227">
        <f t="shared" si="476"/>
        <v>3</v>
      </c>
      <c r="C237" s="226"/>
      <c r="D237" s="226" t="str">
        <f t="shared" si="477"/>
        <v>Loan Funding Against Assets</v>
      </c>
      <c r="E237" s="234">
        <f t="shared" si="479"/>
        <v>2000</v>
      </c>
      <c r="F237" s="234">
        <f t="shared" si="480"/>
        <v>2000</v>
      </c>
      <c r="G237" s="235">
        <f t="shared" si="481"/>
        <v>0</v>
      </c>
      <c r="H237" s="235">
        <f t="shared" si="482"/>
        <v>0</v>
      </c>
      <c r="I237" s="235">
        <f t="shared" si="483"/>
        <v>0</v>
      </c>
      <c r="J237" s="235">
        <f t="shared" si="484"/>
        <v>0</v>
      </c>
      <c r="K237" s="235">
        <f t="shared" si="485"/>
        <v>0</v>
      </c>
      <c r="L237" s="241">
        <f t="shared" si="486"/>
        <v>0</v>
      </c>
      <c r="M237" s="235">
        <f t="shared" si="487"/>
        <v>0</v>
      </c>
      <c r="N237" s="235">
        <f t="shared" si="488"/>
        <v>0</v>
      </c>
      <c r="O237" s="241">
        <f t="shared" si="489"/>
        <v>0</v>
      </c>
      <c r="P237" s="235">
        <f t="shared" ref="P237:U237" si="512">ROUND(P120/1000,0)</f>
        <v>0</v>
      </c>
      <c r="Q237" s="235">
        <f t="shared" si="512"/>
        <v>0</v>
      </c>
      <c r="R237" s="235">
        <f t="shared" si="512"/>
        <v>0</v>
      </c>
      <c r="S237" s="235">
        <f t="shared" si="512"/>
        <v>0</v>
      </c>
      <c r="T237" s="235">
        <f t="shared" si="512"/>
        <v>0</v>
      </c>
      <c r="U237" s="235">
        <f t="shared" si="512"/>
        <v>0</v>
      </c>
      <c r="V237" s="234">
        <f t="shared" si="491"/>
        <v>0</v>
      </c>
      <c r="W237" s="235">
        <f t="shared" si="492"/>
        <v>0</v>
      </c>
      <c r="X237" s="235">
        <f t="shared" si="493"/>
        <v>0</v>
      </c>
      <c r="Y237" s="241">
        <f t="shared" si="494"/>
        <v>0</v>
      </c>
      <c r="Z237" s="235">
        <f t="shared" si="495"/>
        <v>0</v>
      </c>
      <c r="AA237" s="235">
        <f t="shared" si="496"/>
        <v>0</v>
      </c>
      <c r="AB237" s="241">
        <f t="shared" si="497"/>
        <v>0</v>
      </c>
      <c r="AC237" s="235">
        <f t="shared" ref="AC237:AK237" si="513">ROUND(AC120/1000,0)</f>
        <v>0</v>
      </c>
      <c r="AD237" s="235">
        <f t="shared" si="513"/>
        <v>0</v>
      </c>
      <c r="AE237" s="235">
        <f t="shared" si="513"/>
        <v>0</v>
      </c>
      <c r="AF237" s="235">
        <f t="shared" si="513"/>
        <v>0</v>
      </c>
      <c r="AG237" s="235">
        <f t="shared" si="513"/>
        <v>0</v>
      </c>
      <c r="AH237" s="235">
        <f t="shared" si="513"/>
        <v>0</v>
      </c>
      <c r="AI237" s="235">
        <f t="shared" si="513"/>
        <v>0</v>
      </c>
      <c r="AJ237" s="235">
        <f t="shared" si="513"/>
        <v>0</v>
      </c>
      <c r="AK237" s="235">
        <f t="shared" si="513"/>
        <v>0</v>
      </c>
      <c r="AL237" s="241">
        <f t="shared" si="499"/>
        <v>0</v>
      </c>
      <c r="AM237" s="235">
        <f t="shared" ref="AM237:CO237" si="514">ROUND(AM120/1000,0)</f>
        <v>0</v>
      </c>
      <c r="AN237" s="235">
        <f t="shared" si="514"/>
        <v>0</v>
      </c>
      <c r="AO237" s="235">
        <f t="shared" si="514"/>
        <v>0</v>
      </c>
      <c r="AP237" s="235">
        <f t="shared" si="514"/>
        <v>0</v>
      </c>
      <c r="AQ237" s="235">
        <f t="shared" si="514"/>
        <v>0</v>
      </c>
      <c r="AR237" s="235">
        <f t="shared" si="514"/>
        <v>0</v>
      </c>
      <c r="AS237" s="235">
        <f t="shared" si="514"/>
        <v>0</v>
      </c>
      <c r="AT237" s="235">
        <f t="shared" si="514"/>
        <v>0</v>
      </c>
      <c r="AU237" s="235">
        <f t="shared" si="514"/>
        <v>0</v>
      </c>
      <c r="AV237" s="235">
        <f t="shared" si="514"/>
        <v>0</v>
      </c>
      <c r="AW237" s="235">
        <f t="shared" si="514"/>
        <v>0</v>
      </c>
      <c r="AX237" s="235">
        <f t="shared" si="514"/>
        <v>0</v>
      </c>
      <c r="AY237" s="235">
        <f t="shared" si="514"/>
        <v>0</v>
      </c>
      <c r="AZ237" s="235">
        <f t="shared" si="514"/>
        <v>0</v>
      </c>
      <c r="BA237" s="235">
        <f t="shared" si="514"/>
        <v>0</v>
      </c>
      <c r="BB237" s="235">
        <f t="shared" si="514"/>
        <v>0</v>
      </c>
      <c r="BC237" s="235">
        <f t="shared" si="514"/>
        <v>0</v>
      </c>
      <c r="BD237" s="235">
        <f t="shared" si="514"/>
        <v>0</v>
      </c>
      <c r="BE237" s="235">
        <f t="shared" si="514"/>
        <v>0</v>
      </c>
      <c r="BF237" s="235">
        <f t="shared" si="514"/>
        <v>0</v>
      </c>
      <c r="BG237" s="235">
        <f t="shared" si="514"/>
        <v>0</v>
      </c>
      <c r="BH237" s="235">
        <f t="shared" si="514"/>
        <v>0</v>
      </c>
      <c r="BI237" s="235">
        <f t="shared" si="514"/>
        <v>0</v>
      </c>
      <c r="BJ237" s="235">
        <f t="shared" si="514"/>
        <v>0</v>
      </c>
      <c r="BK237" s="235">
        <f t="shared" si="514"/>
        <v>0</v>
      </c>
      <c r="BL237" s="235">
        <f t="shared" si="514"/>
        <v>0</v>
      </c>
      <c r="BM237" s="235">
        <f t="shared" si="514"/>
        <v>0</v>
      </c>
      <c r="BN237" s="235">
        <f t="shared" si="514"/>
        <v>0</v>
      </c>
      <c r="BO237" s="235">
        <f t="shared" si="514"/>
        <v>0</v>
      </c>
      <c r="BP237" s="235">
        <f t="shared" si="514"/>
        <v>0</v>
      </c>
      <c r="BQ237" s="235">
        <f t="shared" si="514"/>
        <v>0</v>
      </c>
      <c r="BR237" s="235">
        <f t="shared" si="514"/>
        <v>0</v>
      </c>
      <c r="BS237" s="235">
        <f t="shared" si="514"/>
        <v>0</v>
      </c>
      <c r="BT237" s="235">
        <f t="shared" si="514"/>
        <v>0</v>
      </c>
      <c r="BU237" s="235">
        <f t="shared" si="514"/>
        <v>0</v>
      </c>
      <c r="BV237" s="235">
        <f t="shared" si="514"/>
        <v>0</v>
      </c>
      <c r="BW237" s="235">
        <f t="shared" si="514"/>
        <v>0</v>
      </c>
      <c r="BX237" s="235">
        <f t="shared" si="514"/>
        <v>0</v>
      </c>
      <c r="BY237" s="235">
        <f t="shared" si="514"/>
        <v>0</v>
      </c>
      <c r="BZ237" s="235">
        <f t="shared" si="514"/>
        <v>0</v>
      </c>
      <c r="CA237" s="235">
        <f t="shared" si="514"/>
        <v>0</v>
      </c>
      <c r="CB237" s="235">
        <f t="shared" si="514"/>
        <v>0</v>
      </c>
      <c r="CC237" s="235">
        <f t="shared" si="514"/>
        <v>0</v>
      </c>
      <c r="CD237" s="235">
        <f t="shared" si="514"/>
        <v>0</v>
      </c>
      <c r="CE237" s="235">
        <f t="shared" si="514"/>
        <v>0</v>
      </c>
      <c r="CF237" s="235">
        <f t="shared" si="514"/>
        <v>0</v>
      </c>
      <c r="CG237" s="235">
        <f t="shared" si="514"/>
        <v>0</v>
      </c>
      <c r="CH237" s="235">
        <f t="shared" si="514"/>
        <v>0</v>
      </c>
      <c r="CI237" s="235">
        <f t="shared" si="514"/>
        <v>0</v>
      </c>
      <c r="CJ237" s="235">
        <f t="shared" si="514"/>
        <v>0</v>
      </c>
      <c r="CK237" s="235">
        <f t="shared" si="514"/>
        <v>0</v>
      </c>
      <c r="CL237" s="235">
        <f t="shared" si="514"/>
        <v>0</v>
      </c>
      <c r="CM237" s="235">
        <f t="shared" si="514"/>
        <v>0</v>
      </c>
      <c r="CN237" s="235">
        <f t="shared" si="514"/>
        <v>1000</v>
      </c>
      <c r="CO237" s="235">
        <f t="shared" si="514"/>
        <v>1000</v>
      </c>
      <c r="CP237" s="235"/>
      <c r="CQ237" s="241">
        <f t="shared" si="501"/>
        <v>2000</v>
      </c>
      <c r="CR237" s="241">
        <f t="shared" si="502"/>
        <v>2000</v>
      </c>
      <c r="CS237" s="241">
        <f t="shared" si="503"/>
        <v>0</v>
      </c>
      <c r="CT237" s="246">
        <f t="shared" si="504"/>
        <v>0</v>
      </c>
      <c r="CU237" s="235">
        <f t="shared" si="505"/>
        <v>0</v>
      </c>
      <c r="CV237" s="235">
        <f t="shared" si="506"/>
        <v>0</v>
      </c>
      <c r="CW237" s="249">
        <f t="shared" si="507"/>
        <v>0</v>
      </c>
      <c r="CX237" s="249">
        <f t="shared" si="508"/>
        <v>0</v>
      </c>
      <c r="CY237" s="249">
        <f t="shared" si="509"/>
        <v>0</v>
      </c>
      <c r="CZ237" s="241">
        <f t="shared" si="510"/>
        <v>0</v>
      </c>
      <c r="DA237" s="241">
        <f t="shared" si="511"/>
        <v>0</v>
      </c>
      <c r="DB237" s="193" t="s">
        <v>14005</v>
      </c>
    </row>
    <row r="238" spans="1:106">
      <c r="A238" s="226">
        <f t="shared" si="478"/>
        <v>39</v>
      </c>
      <c r="B238" s="227">
        <f t="shared" si="476"/>
        <v>4</v>
      </c>
      <c r="C238" s="226"/>
      <c r="D238" s="226" t="str">
        <f t="shared" si="477"/>
        <v>Line of Credit Advance</v>
      </c>
      <c r="E238" s="234">
        <f t="shared" si="479"/>
        <v>1200</v>
      </c>
      <c r="F238" s="234">
        <f t="shared" si="480"/>
        <v>0</v>
      </c>
      <c r="G238" s="235">
        <f t="shared" si="481"/>
        <v>0</v>
      </c>
      <c r="H238" s="235">
        <f t="shared" si="482"/>
        <v>0</v>
      </c>
      <c r="I238" s="235">
        <f t="shared" si="483"/>
        <v>0</v>
      </c>
      <c r="J238" s="235">
        <f t="shared" si="484"/>
        <v>0</v>
      </c>
      <c r="K238" s="235">
        <f t="shared" si="485"/>
        <v>0</v>
      </c>
      <c r="L238" s="241">
        <f t="shared" si="486"/>
        <v>0</v>
      </c>
      <c r="M238" s="235">
        <f t="shared" si="487"/>
        <v>0</v>
      </c>
      <c r="N238" s="235">
        <f t="shared" si="488"/>
        <v>0</v>
      </c>
      <c r="O238" s="241">
        <f t="shared" si="489"/>
        <v>0</v>
      </c>
      <c r="P238" s="235">
        <f t="shared" ref="P238:U238" si="515">ROUND(P121/1000,0)</f>
        <v>0</v>
      </c>
      <c r="Q238" s="235">
        <f t="shared" si="515"/>
        <v>0</v>
      </c>
      <c r="R238" s="235">
        <f t="shared" si="515"/>
        <v>0</v>
      </c>
      <c r="S238" s="235">
        <f t="shared" si="515"/>
        <v>0</v>
      </c>
      <c r="T238" s="235">
        <f t="shared" si="515"/>
        <v>0</v>
      </c>
      <c r="U238" s="235">
        <f t="shared" si="515"/>
        <v>0</v>
      </c>
      <c r="V238" s="234">
        <f t="shared" si="491"/>
        <v>0</v>
      </c>
      <c r="W238" s="235">
        <f t="shared" si="492"/>
        <v>0</v>
      </c>
      <c r="X238" s="235">
        <f t="shared" si="493"/>
        <v>0</v>
      </c>
      <c r="Y238" s="241">
        <f t="shared" si="494"/>
        <v>0</v>
      </c>
      <c r="Z238" s="235">
        <f t="shared" si="495"/>
        <v>0</v>
      </c>
      <c r="AA238" s="235">
        <f t="shared" si="496"/>
        <v>0</v>
      </c>
      <c r="AB238" s="241">
        <f t="shared" si="497"/>
        <v>0</v>
      </c>
      <c r="AC238" s="235">
        <f t="shared" ref="AC238:AK238" si="516">ROUND(AC121/1000,0)</f>
        <v>0</v>
      </c>
      <c r="AD238" s="235">
        <f t="shared" si="516"/>
        <v>0</v>
      </c>
      <c r="AE238" s="235">
        <f t="shared" si="516"/>
        <v>0</v>
      </c>
      <c r="AF238" s="235">
        <f t="shared" si="516"/>
        <v>0</v>
      </c>
      <c r="AG238" s="235">
        <f t="shared" si="516"/>
        <v>0</v>
      </c>
      <c r="AH238" s="235">
        <f t="shared" si="516"/>
        <v>0</v>
      </c>
      <c r="AI238" s="235">
        <f t="shared" si="516"/>
        <v>0</v>
      </c>
      <c r="AJ238" s="235">
        <f t="shared" si="516"/>
        <v>0</v>
      </c>
      <c r="AK238" s="235">
        <f t="shared" si="516"/>
        <v>0</v>
      </c>
      <c r="AL238" s="241">
        <f t="shared" si="499"/>
        <v>0</v>
      </c>
      <c r="AM238" s="235">
        <f t="shared" ref="AM238:CO238" si="517">ROUND(AM121/1000,0)</f>
        <v>0</v>
      </c>
      <c r="AN238" s="235">
        <f t="shared" si="517"/>
        <v>0</v>
      </c>
      <c r="AO238" s="235">
        <f t="shared" si="517"/>
        <v>0</v>
      </c>
      <c r="AP238" s="235">
        <f t="shared" si="517"/>
        <v>0</v>
      </c>
      <c r="AQ238" s="235">
        <f t="shared" si="517"/>
        <v>0</v>
      </c>
      <c r="AR238" s="235">
        <f t="shared" si="517"/>
        <v>0</v>
      </c>
      <c r="AS238" s="235">
        <f t="shared" si="517"/>
        <v>0</v>
      </c>
      <c r="AT238" s="235">
        <f t="shared" si="517"/>
        <v>0</v>
      </c>
      <c r="AU238" s="235">
        <f t="shared" si="517"/>
        <v>0</v>
      </c>
      <c r="AV238" s="235">
        <f t="shared" si="517"/>
        <v>0</v>
      </c>
      <c r="AW238" s="235">
        <f t="shared" si="517"/>
        <v>0</v>
      </c>
      <c r="AX238" s="235">
        <f t="shared" si="517"/>
        <v>0</v>
      </c>
      <c r="AY238" s="235">
        <f t="shared" si="517"/>
        <v>0</v>
      </c>
      <c r="AZ238" s="235">
        <f t="shared" si="517"/>
        <v>0</v>
      </c>
      <c r="BA238" s="235">
        <f t="shared" si="517"/>
        <v>0</v>
      </c>
      <c r="BB238" s="235">
        <f t="shared" si="517"/>
        <v>0</v>
      </c>
      <c r="BC238" s="235">
        <f t="shared" si="517"/>
        <v>0</v>
      </c>
      <c r="BD238" s="235">
        <f t="shared" si="517"/>
        <v>0</v>
      </c>
      <c r="BE238" s="235">
        <f t="shared" si="517"/>
        <v>0</v>
      </c>
      <c r="BF238" s="235">
        <f t="shared" si="517"/>
        <v>0</v>
      </c>
      <c r="BG238" s="235">
        <f t="shared" si="517"/>
        <v>0</v>
      </c>
      <c r="BH238" s="235">
        <f t="shared" si="517"/>
        <v>0</v>
      </c>
      <c r="BI238" s="235">
        <f t="shared" si="517"/>
        <v>0</v>
      </c>
      <c r="BJ238" s="235">
        <f t="shared" si="517"/>
        <v>0</v>
      </c>
      <c r="BK238" s="235">
        <f t="shared" si="517"/>
        <v>0</v>
      </c>
      <c r="BL238" s="235">
        <f t="shared" si="517"/>
        <v>0</v>
      </c>
      <c r="BM238" s="235">
        <f t="shared" si="517"/>
        <v>0</v>
      </c>
      <c r="BN238" s="235">
        <f t="shared" si="517"/>
        <v>0</v>
      </c>
      <c r="BO238" s="235">
        <f t="shared" si="517"/>
        <v>0</v>
      </c>
      <c r="BP238" s="235">
        <f t="shared" si="517"/>
        <v>0</v>
      </c>
      <c r="BQ238" s="235">
        <f t="shared" si="517"/>
        <v>0</v>
      </c>
      <c r="BR238" s="235">
        <f t="shared" si="517"/>
        <v>0</v>
      </c>
      <c r="BS238" s="235">
        <f t="shared" si="517"/>
        <v>0</v>
      </c>
      <c r="BT238" s="235">
        <f t="shared" si="517"/>
        <v>0</v>
      </c>
      <c r="BU238" s="235">
        <f t="shared" si="517"/>
        <v>0</v>
      </c>
      <c r="BV238" s="235">
        <f t="shared" si="517"/>
        <v>0</v>
      </c>
      <c r="BW238" s="235">
        <f t="shared" si="517"/>
        <v>0</v>
      </c>
      <c r="BX238" s="235">
        <f t="shared" si="517"/>
        <v>0</v>
      </c>
      <c r="BY238" s="235">
        <f t="shared" si="517"/>
        <v>0</v>
      </c>
      <c r="BZ238" s="235">
        <f t="shared" si="517"/>
        <v>0</v>
      </c>
      <c r="CA238" s="235">
        <f t="shared" si="517"/>
        <v>0</v>
      </c>
      <c r="CB238" s="235">
        <f t="shared" si="517"/>
        <v>0</v>
      </c>
      <c r="CC238" s="235">
        <f t="shared" si="517"/>
        <v>0</v>
      </c>
      <c r="CD238" s="235">
        <f t="shared" si="517"/>
        <v>0</v>
      </c>
      <c r="CE238" s="235">
        <f t="shared" si="517"/>
        <v>0</v>
      </c>
      <c r="CF238" s="235">
        <f t="shared" si="517"/>
        <v>0</v>
      </c>
      <c r="CG238" s="235">
        <f t="shared" si="517"/>
        <v>0</v>
      </c>
      <c r="CH238" s="235">
        <f t="shared" si="517"/>
        <v>0</v>
      </c>
      <c r="CI238" s="235">
        <f t="shared" si="517"/>
        <v>0</v>
      </c>
      <c r="CJ238" s="235">
        <f t="shared" si="517"/>
        <v>0</v>
      </c>
      <c r="CK238" s="235">
        <f t="shared" si="517"/>
        <v>0</v>
      </c>
      <c r="CL238" s="235">
        <f t="shared" si="517"/>
        <v>0</v>
      </c>
      <c r="CM238" s="235">
        <f t="shared" si="517"/>
        <v>0</v>
      </c>
      <c r="CN238" s="235">
        <f t="shared" si="517"/>
        <v>0</v>
      </c>
      <c r="CO238" s="235">
        <f t="shared" si="517"/>
        <v>0</v>
      </c>
      <c r="CP238" s="235"/>
      <c r="CQ238" s="241">
        <f t="shared" si="501"/>
        <v>0</v>
      </c>
      <c r="CR238" s="241">
        <f t="shared" si="502"/>
        <v>0</v>
      </c>
      <c r="CS238" s="241">
        <f t="shared" si="503"/>
        <v>0</v>
      </c>
      <c r="CT238" s="246">
        <f t="shared" si="504"/>
        <v>0</v>
      </c>
      <c r="CU238" s="235">
        <f t="shared" si="505"/>
        <v>0</v>
      </c>
      <c r="CV238" s="235">
        <f t="shared" si="506"/>
        <v>0</v>
      </c>
      <c r="CW238" s="249">
        <f t="shared" si="507"/>
        <v>0</v>
      </c>
      <c r="CX238" s="249">
        <f t="shared" si="508"/>
        <v>0</v>
      </c>
      <c r="CY238" s="249">
        <f t="shared" si="509"/>
        <v>0</v>
      </c>
      <c r="CZ238" s="241">
        <f t="shared" si="510"/>
        <v>0</v>
      </c>
      <c r="DA238" s="241">
        <f t="shared" si="511"/>
        <v>1200</v>
      </c>
      <c r="DB238" s="193" t="s">
        <v>13961</v>
      </c>
    </row>
    <row r="239" spans="1:106">
      <c r="A239" s="226">
        <f t="shared" si="478"/>
        <v>40</v>
      </c>
      <c r="B239" s="227">
        <f t="shared" si="476"/>
        <v>5</v>
      </c>
      <c r="C239" s="226"/>
      <c r="D239" s="226" t="str">
        <f t="shared" si="477"/>
        <v>Acquisition Deposit Received from Buyer</v>
      </c>
      <c r="E239" s="234">
        <f t="shared" si="479"/>
        <v>0</v>
      </c>
      <c r="F239" s="234">
        <f t="shared" si="480"/>
        <v>0</v>
      </c>
      <c r="G239" s="235">
        <f t="shared" si="481"/>
        <v>0</v>
      </c>
      <c r="H239" s="235">
        <f t="shared" si="482"/>
        <v>0</v>
      </c>
      <c r="I239" s="235">
        <f t="shared" si="483"/>
        <v>0</v>
      </c>
      <c r="J239" s="235">
        <f t="shared" si="484"/>
        <v>0</v>
      </c>
      <c r="K239" s="235">
        <f t="shared" si="485"/>
        <v>0</v>
      </c>
      <c r="L239" s="241">
        <f t="shared" si="486"/>
        <v>0</v>
      </c>
      <c r="M239" s="235">
        <f t="shared" si="487"/>
        <v>0</v>
      </c>
      <c r="N239" s="235">
        <f t="shared" si="488"/>
        <v>0</v>
      </c>
      <c r="O239" s="241">
        <f t="shared" si="489"/>
        <v>0</v>
      </c>
      <c r="P239" s="235">
        <f t="shared" ref="P239:U239" si="518">ROUND(P122/1000,0)</f>
        <v>0</v>
      </c>
      <c r="Q239" s="235">
        <f t="shared" si="518"/>
        <v>0</v>
      </c>
      <c r="R239" s="235">
        <f t="shared" si="518"/>
        <v>0</v>
      </c>
      <c r="S239" s="235">
        <f t="shared" si="518"/>
        <v>0</v>
      </c>
      <c r="T239" s="235">
        <f t="shared" si="518"/>
        <v>0</v>
      </c>
      <c r="U239" s="235">
        <f t="shared" si="518"/>
        <v>0</v>
      </c>
      <c r="V239" s="234">
        <f t="shared" si="491"/>
        <v>0</v>
      </c>
      <c r="W239" s="235">
        <f t="shared" si="492"/>
        <v>0</v>
      </c>
      <c r="X239" s="235">
        <f t="shared" si="493"/>
        <v>0</v>
      </c>
      <c r="Y239" s="241">
        <f t="shared" si="494"/>
        <v>0</v>
      </c>
      <c r="Z239" s="235">
        <f t="shared" si="495"/>
        <v>0</v>
      </c>
      <c r="AA239" s="235">
        <f t="shared" si="496"/>
        <v>0</v>
      </c>
      <c r="AB239" s="241">
        <f t="shared" si="497"/>
        <v>0</v>
      </c>
      <c r="AC239" s="235">
        <f t="shared" ref="AC239:AK239" si="519">ROUND(AC122/1000,0)</f>
        <v>0</v>
      </c>
      <c r="AD239" s="235">
        <f t="shared" si="519"/>
        <v>0</v>
      </c>
      <c r="AE239" s="235">
        <f t="shared" si="519"/>
        <v>0</v>
      </c>
      <c r="AF239" s="235">
        <f t="shared" si="519"/>
        <v>0</v>
      </c>
      <c r="AG239" s="235">
        <f t="shared" si="519"/>
        <v>0</v>
      </c>
      <c r="AH239" s="235">
        <f t="shared" si="519"/>
        <v>0</v>
      </c>
      <c r="AI239" s="235">
        <f t="shared" si="519"/>
        <v>0</v>
      </c>
      <c r="AJ239" s="235">
        <f t="shared" si="519"/>
        <v>0</v>
      </c>
      <c r="AK239" s="235">
        <f t="shared" si="519"/>
        <v>0</v>
      </c>
      <c r="AL239" s="241">
        <f t="shared" si="499"/>
        <v>0</v>
      </c>
      <c r="AM239" s="235">
        <f t="shared" ref="AM239:AW239" si="520">ROUND(AM122/1000,0)</f>
        <v>0</v>
      </c>
      <c r="AN239" s="235">
        <f t="shared" si="520"/>
        <v>0</v>
      </c>
      <c r="AO239" s="235">
        <f t="shared" si="520"/>
        <v>0</v>
      </c>
      <c r="AP239" s="235">
        <f t="shared" si="520"/>
        <v>0</v>
      </c>
      <c r="AQ239" s="235">
        <f t="shared" si="520"/>
        <v>0</v>
      </c>
      <c r="AR239" s="235">
        <f t="shared" si="520"/>
        <v>0</v>
      </c>
      <c r="AS239" s="235">
        <f t="shared" si="520"/>
        <v>0</v>
      </c>
      <c r="AT239" s="235">
        <f t="shared" si="520"/>
        <v>0</v>
      </c>
      <c r="AU239" s="235">
        <f t="shared" si="520"/>
        <v>0</v>
      </c>
      <c r="AV239" s="235">
        <f t="shared" si="520"/>
        <v>0</v>
      </c>
      <c r="AW239" s="235">
        <f t="shared" si="520"/>
        <v>0</v>
      </c>
      <c r="AX239" s="235">
        <v>0</v>
      </c>
      <c r="AY239" s="235">
        <f t="shared" ref="AY239:CO239" si="521">ROUND(AY122/1000,0)</f>
        <v>0</v>
      </c>
      <c r="AZ239" s="235">
        <f t="shared" si="521"/>
        <v>0</v>
      </c>
      <c r="BA239" s="235">
        <f t="shared" si="521"/>
        <v>0</v>
      </c>
      <c r="BB239" s="235">
        <f t="shared" si="521"/>
        <v>0</v>
      </c>
      <c r="BC239" s="235">
        <f t="shared" si="521"/>
        <v>0</v>
      </c>
      <c r="BD239" s="235">
        <f t="shared" si="521"/>
        <v>0</v>
      </c>
      <c r="BE239" s="235">
        <f t="shared" si="521"/>
        <v>0</v>
      </c>
      <c r="BF239" s="235">
        <f t="shared" si="521"/>
        <v>0</v>
      </c>
      <c r="BG239" s="235">
        <f t="shared" si="521"/>
        <v>0</v>
      </c>
      <c r="BH239" s="235">
        <f t="shared" si="521"/>
        <v>0</v>
      </c>
      <c r="BI239" s="235">
        <f t="shared" si="521"/>
        <v>0</v>
      </c>
      <c r="BJ239" s="235">
        <f t="shared" si="521"/>
        <v>0</v>
      </c>
      <c r="BK239" s="235">
        <f t="shared" si="521"/>
        <v>0</v>
      </c>
      <c r="BL239" s="235">
        <f t="shared" si="521"/>
        <v>0</v>
      </c>
      <c r="BM239" s="235">
        <f t="shared" si="521"/>
        <v>0</v>
      </c>
      <c r="BN239" s="235">
        <f t="shared" si="521"/>
        <v>0</v>
      </c>
      <c r="BO239" s="235">
        <f t="shared" si="521"/>
        <v>0</v>
      </c>
      <c r="BP239" s="235">
        <f t="shared" si="521"/>
        <v>0</v>
      </c>
      <c r="BQ239" s="235">
        <f t="shared" si="521"/>
        <v>0</v>
      </c>
      <c r="BR239" s="235">
        <f t="shared" si="521"/>
        <v>0</v>
      </c>
      <c r="BS239" s="235">
        <f t="shared" si="521"/>
        <v>0</v>
      </c>
      <c r="BT239" s="235">
        <f t="shared" si="521"/>
        <v>0</v>
      </c>
      <c r="BU239" s="235">
        <f t="shared" si="521"/>
        <v>0</v>
      </c>
      <c r="BV239" s="235">
        <f t="shared" si="521"/>
        <v>0</v>
      </c>
      <c r="BW239" s="235">
        <f t="shared" si="521"/>
        <v>0</v>
      </c>
      <c r="BX239" s="235">
        <f t="shared" si="521"/>
        <v>0</v>
      </c>
      <c r="BY239" s="235">
        <f t="shared" si="521"/>
        <v>0</v>
      </c>
      <c r="BZ239" s="235">
        <f t="shared" si="521"/>
        <v>0</v>
      </c>
      <c r="CA239" s="235">
        <f t="shared" si="521"/>
        <v>0</v>
      </c>
      <c r="CB239" s="235">
        <f t="shared" si="521"/>
        <v>0</v>
      </c>
      <c r="CC239" s="235">
        <f t="shared" si="521"/>
        <v>0</v>
      </c>
      <c r="CD239" s="235">
        <f t="shared" si="521"/>
        <v>0</v>
      </c>
      <c r="CE239" s="235">
        <f t="shared" si="521"/>
        <v>0</v>
      </c>
      <c r="CF239" s="235">
        <f t="shared" si="521"/>
        <v>0</v>
      </c>
      <c r="CG239" s="235">
        <f t="shared" si="521"/>
        <v>0</v>
      </c>
      <c r="CH239" s="235">
        <f t="shared" si="521"/>
        <v>0</v>
      </c>
      <c r="CI239" s="235">
        <f t="shared" si="521"/>
        <v>0</v>
      </c>
      <c r="CJ239" s="235">
        <f t="shared" si="521"/>
        <v>0</v>
      </c>
      <c r="CK239" s="235">
        <f t="shared" si="521"/>
        <v>0</v>
      </c>
      <c r="CL239" s="235">
        <f t="shared" si="521"/>
        <v>0</v>
      </c>
      <c r="CM239" s="235">
        <f t="shared" si="521"/>
        <v>0</v>
      </c>
      <c r="CN239" s="235">
        <f t="shared" si="521"/>
        <v>0</v>
      </c>
      <c r="CO239" s="235">
        <f t="shared" si="521"/>
        <v>0</v>
      </c>
      <c r="CP239" s="235"/>
      <c r="CQ239" s="241">
        <f t="shared" si="501"/>
        <v>0</v>
      </c>
      <c r="CR239" s="241">
        <f t="shared" si="502"/>
        <v>0</v>
      </c>
      <c r="CS239" s="241">
        <f t="shared" si="503"/>
        <v>0</v>
      </c>
      <c r="CT239" s="246">
        <f t="shared" si="504"/>
        <v>0</v>
      </c>
      <c r="CU239" s="235">
        <f t="shared" si="505"/>
        <v>0</v>
      </c>
      <c r="CV239" s="235">
        <f t="shared" si="506"/>
        <v>0</v>
      </c>
      <c r="CW239" s="249">
        <f t="shared" si="507"/>
        <v>0</v>
      </c>
      <c r="CX239" s="249">
        <f t="shared" si="508"/>
        <v>0</v>
      </c>
      <c r="CY239" s="249">
        <f t="shared" si="509"/>
        <v>0</v>
      </c>
      <c r="CZ239" s="241">
        <f t="shared" si="510"/>
        <v>0</v>
      </c>
      <c r="DA239" s="241">
        <f t="shared" si="511"/>
        <v>0</v>
      </c>
      <c r="DB239" s="193" t="s">
        <v>14006</v>
      </c>
    </row>
    <row r="240" spans="1:106">
      <c r="A240" s="226">
        <f t="shared" si="478"/>
        <v>41</v>
      </c>
      <c r="B240" s="227">
        <f t="shared" si="476"/>
        <v>6</v>
      </c>
      <c r="C240" s="226"/>
      <c r="D240" s="226" t="str">
        <f t="shared" si="477"/>
        <v>Asset Sale / Divestiture Proceeds</v>
      </c>
      <c r="E240" s="234">
        <f t="shared" si="479"/>
        <v>0</v>
      </c>
      <c r="F240" s="234">
        <f t="shared" si="480"/>
        <v>0</v>
      </c>
      <c r="G240" s="235">
        <f t="shared" si="481"/>
        <v>0</v>
      </c>
      <c r="H240" s="235">
        <f t="shared" si="482"/>
        <v>0</v>
      </c>
      <c r="I240" s="235">
        <f t="shared" si="483"/>
        <v>0</v>
      </c>
      <c r="J240" s="235">
        <f t="shared" si="484"/>
        <v>0</v>
      </c>
      <c r="K240" s="235">
        <f t="shared" si="485"/>
        <v>0</v>
      </c>
      <c r="L240" s="241">
        <f t="shared" si="486"/>
        <v>0</v>
      </c>
      <c r="M240" s="235">
        <f t="shared" si="487"/>
        <v>0</v>
      </c>
      <c r="N240" s="235">
        <f t="shared" si="488"/>
        <v>0</v>
      </c>
      <c r="O240" s="241">
        <f t="shared" si="489"/>
        <v>0</v>
      </c>
      <c r="P240" s="235">
        <f t="shared" ref="P240:U240" si="522">ROUND(P123/1000,0)</f>
        <v>0</v>
      </c>
      <c r="Q240" s="235">
        <f t="shared" si="522"/>
        <v>0</v>
      </c>
      <c r="R240" s="235">
        <f t="shared" si="522"/>
        <v>0</v>
      </c>
      <c r="S240" s="235">
        <f t="shared" si="522"/>
        <v>0</v>
      </c>
      <c r="T240" s="235">
        <f t="shared" si="522"/>
        <v>0</v>
      </c>
      <c r="U240" s="235">
        <f t="shared" si="522"/>
        <v>0</v>
      </c>
      <c r="V240" s="234">
        <f t="shared" si="491"/>
        <v>0</v>
      </c>
      <c r="W240" s="235">
        <f t="shared" si="492"/>
        <v>0</v>
      </c>
      <c r="X240" s="235">
        <f t="shared" si="493"/>
        <v>0</v>
      </c>
      <c r="Y240" s="241">
        <f t="shared" si="494"/>
        <v>0</v>
      </c>
      <c r="Z240" s="235">
        <f t="shared" si="495"/>
        <v>0</v>
      </c>
      <c r="AA240" s="235">
        <f t="shared" si="496"/>
        <v>0</v>
      </c>
      <c r="AB240" s="241">
        <f t="shared" si="497"/>
        <v>0</v>
      </c>
      <c r="AC240" s="235">
        <f t="shared" ref="AC240:AK240" si="523">ROUND(AC123/1000,0)</f>
        <v>0</v>
      </c>
      <c r="AD240" s="235">
        <f t="shared" si="523"/>
        <v>0</v>
      </c>
      <c r="AE240" s="235">
        <f t="shared" si="523"/>
        <v>0</v>
      </c>
      <c r="AF240" s="235">
        <f t="shared" si="523"/>
        <v>0</v>
      </c>
      <c r="AG240" s="235">
        <f t="shared" si="523"/>
        <v>0</v>
      </c>
      <c r="AH240" s="235">
        <f t="shared" si="523"/>
        <v>0</v>
      </c>
      <c r="AI240" s="235">
        <f t="shared" si="523"/>
        <v>0</v>
      </c>
      <c r="AJ240" s="235">
        <f t="shared" si="523"/>
        <v>0</v>
      </c>
      <c r="AK240" s="235">
        <f t="shared" si="523"/>
        <v>0</v>
      </c>
      <c r="AL240" s="241">
        <f t="shared" si="499"/>
        <v>0</v>
      </c>
      <c r="AM240" s="235">
        <f t="shared" ref="AM240:CO240" si="524">ROUND(AM123/1000,0)</f>
        <v>0</v>
      </c>
      <c r="AN240" s="235">
        <f t="shared" si="524"/>
        <v>0</v>
      </c>
      <c r="AO240" s="235">
        <f t="shared" si="524"/>
        <v>0</v>
      </c>
      <c r="AP240" s="235">
        <f t="shared" si="524"/>
        <v>0</v>
      </c>
      <c r="AQ240" s="235">
        <f t="shared" si="524"/>
        <v>0</v>
      </c>
      <c r="AR240" s="235">
        <f t="shared" si="524"/>
        <v>0</v>
      </c>
      <c r="AS240" s="235">
        <f t="shared" si="524"/>
        <v>0</v>
      </c>
      <c r="AT240" s="235">
        <f t="shared" si="524"/>
        <v>0</v>
      </c>
      <c r="AU240" s="235">
        <f t="shared" si="524"/>
        <v>0</v>
      </c>
      <c r="AV240" s="235">
        <f t="shared" si="524"/>
        <v>0</v>
      </c>
      <c r="AW240" s="235">
        <f t="shared" si="524"/>
        <v>0</v>
      </c>
      <c r="AX240" s="235">
        <f t="shared" si="524"/>
        <v>0</v>
      </c>
      <c r="AY240" s="235">
        <f t="shared" si="524"/>
        <v>0</v>
      </c>
      <c r="AZ240" s="235">
        <f t="shared" si="524"/>
        <v>0</v>
      </c>
      <c r="BA240" s="235">
        <f t="shared" si="524"/>
        <v>0</v>
      </c>
      <c r="BB240" s="235">
        <f t="shared" si="524"/>
        <v>0</v>
      </c>
      <c r="BC240" s="235">
        <f t="shared" si="524"/>
        <v>0</v>
      </c>
      <c r="BD240" s="235">
        <f t="shared" si="524"/>
        <v>0</v>
      </c>
      <c r="BE240" s="235">
        <f t="shared" si="524"/>
        <v>0</v>
      </c>
      <c r="BF240" s="235">
        <f t="shared" si="524"/>
        <v>0</v>
      </c>
      <c r="BG240" s="235">
        <f t="shared" si="524"/>
        <v>0</v>
      </c>
      <c r="BH240" s="235">
        <f t="shared" si="524"/>
        <v>0</v>
      </c>
      <c r="BI240" s="235">
        <f t="shared" si="524"/>
        <v>0</v>
      </c>
      <c r="BJ240" s="235">
        <f t="shared" si="524"/>
        <v>0</v>
      </c>
      <c r="BK240" s="235">
        <f t="shared" si="524"/>
        <v>0</v>
      </c>
      <c r="BL240" s="235">
        <f t="shared" si="524"/>
        <v>0</v>
      </c>
      <c r="BM240" s="235">
        <f t="shared" si="524"/>
        <v>0</v>
      </c>
      <c r="BN240" s="235">
        <f t="shared" si="524"/>
        <v>0</v>
      </c>
      <c r="BO240" s="235">
        <f t="shared" si="524"/>
        <v>0</v>
      </c>
      <c r="BP240" s="235">
        <f t="shared" si="524"/>
        <v>0</v>
      </c>
      <c r="BQ240" s="235">
        <f t="shared" si="524"/>
        <v>0</v>
      </c>
      <c r="BR240" s="235">
        <f t="shared" si="524"/>
        <v>0</v>
      </c>
      <c r="BS240" s="235">
        <f t="shared" si="524"/>
        <v>0</v>
      </c>
      <c r="BT240" s="235">
        <f t="shared" si="524"/>
        <v>0</v>
      </c>
      <c r="BU240" s="235">
        <f t="shared" si="524"/>
        <v>0</v>
      </c>
      <c r="BV240" s="235">
        <f t="shared" si="524"/>
        <v>0</v>
      </c>
      <c r="BW240" s="235">
        <f t="shared" si="524"/>
        <v>0</v>
      </c>
      <c r="BX240" s="235">
        <f t="shared" si="524"/>
        <v>0</v>
      </c>
      <c r="BY240" s="235">
        <f t="shared" si="524"/>
        <v>0</v>
      </c>
      <c r="BZ240" s="235">
        <f t="shared" si="524"/>
        <v>0</v>
      </c>
      <c r="CA240" s="235">
        <f t="shared" si="524"/>
        <v>0</v>
      </c>
      <c r="CB240" s="235">
        <f t="shared" si="524"/>
        <v>0</v>
      </c>
      <c r="CC240" s="235">
        <f t="shared" si="524"/>
        <v>0</v>
      </c>
      <c r="CD240" s="235">
        <f t="shared" si="524"/>
        <v>0</v>
      </c>
      <c r="CE240" s="235">
        <f t="shared" si="524"/>
        <v>0</v>
      </c>
      <c r="CF240" s="235">
        <f t="shared" si="524"/>
        <v>0</v>
      </c>
      <c r="CG240" s="235">
        <f t="shared" si="524"/>
        <v>0</v>
      </c>
      <c r="CH240" s="235">
        <f t="shared" si="524"/>
        <v>0</v>
      </c>
      <c r="CI240" s="235">
        <f t="shared" si="524"/>
        <v>0</v>
      </c>
      <c r="CJ240" s="235">
        <f t="shared" si="524"/>
        <v>0</v>
      </c>
      <c r="CK240" s="235">
        <f t="shared" si="524"/>
        <v>0</v>
      </c>
      <c r="CL240" s="235">
        <f t="shared" si="524"/>
        <v>0</v>
      </c>
      <c r="CM240" s="235">
        <f t="shared" si="524"/>
        <v>0</v>
      </c>
      <c r="CN240" s="235">
        <f t="shared" si="524"/>
        <v>0</v>
      </c>
      <c r="CO240" s="235">
        <f t="shared" si="524"/>
        <v>0</v>
      </c>
      <c r="CP240" s="235"/>
      <c r="CQ240" s="241">
        <f t="shared" si="501"/>
        <v>0</v>
      </c>
      <c r="CR240" s="241">
        <f t="shared" si="502"/>
        <v>0</v>
      </c>
      <c r="CS240" s="241">
        <f t="shared" si="503"/>
        <v>0</v>
      </c>
      <c r="CT240" s="246">
        <f t="shared" si="504"/>
        <v>0</v>
      </c>
      <c r="CU240" s="235">
        <f t="shared" si="505"/>
        <v>0</v>
      </c>
      <c r="CV240" s="235">
        <f t="shared" si="506"/>
        <v>0</v>
      </c>
      <c r="CW240" s="249">
        <f t="shared" si="507"/>
        <v>0</v>
      </c>
      <c r="CX240" s="249">
        <f t="shared" si="508"/>
        <v>0</v>
      </c>
      <c r="CY240" s="249">
        <f t="shared" si="509"/>
        <v>0</v>
      </c>
      <c r="CZ240" s="241">
        <f t="shared" si="510"/>
        <v>0</v>
      </c>
      <c r="DA240" s="241">
        <f t="shared" si="511"/>
        <v>0</v>
      </c>
      <c r="DB240" s="193" t="s">
        <v>14007</v>
      </c>
    </row>
    <row r="241" spans="1:106">
      <c r="A241" s="154">
        <f t="shared" si="478"/>
        <v>42</v>
      </c>
      <c r="B241" s="161">
        <f t="shared" si="476"/>
        <v>7</v>
      </c>
      <c r="D241" s="154" t="str">
        <f t="shared" si="477"/>
        <v>Total Incoming: Divestiture / Financing</v>
      </c>
      <c r="E241" s="198">
        <f t="shared" si="479"/>
        <v>-3374</v>
      </c>
      <c r="F241" s="153">
        <f t="shared" si="480"/>
        <v>1200</v>
      </c>
      <c r="G241" s="200">
        <f t="shared" si="481"/>
        <v>0</v>
      </c>
      <c r="H241" s="200">
        <f t="shared" si="482"/>
        <v>0</v>
      </c>
      <c r="I241" s="200">
        <f t="shared" si="483"/>
        <v>0</v>
      </c>
      <c r="J241" s="200">
        <f t="shared" si="484"/>
        <v>0</v>
      </c>
      <c r="K241" s="200">
        <f t="shared" si="485"/>
        <v>0</v>
      </c>
      <c r="L241" s="206">
        <f t="shared" si="486"/>
        <v>0</v>
      </c>
      <c r="M241" s="152">
        <f t="shared" si="487"/>
        <v>0</v>
      </c>
      <c r="N241" s="152">
        <f t="shared" si="488"/>
        <v>0</v>
      </c>
      <c r="O241" s="206">
        <f t="shared" si="489"/>
        <v>0</v>
      </c>
      <c r="P241" s="152">
        <f t="shared" ref="P241:U241" si="525">ROUND(P124/1000,0)</f>
        <v>0</v>
      </c>
      <c r="Q241" s="152">
        <f t="shared" si="525"/>
        <v>0</v>
      </c>
      <c r="R241" s="152">
        <f t="shared" si="525"/>
        <v>0</v>
      </c>
      <c r="S241" s="152">
        <f t="shared" si="525"/>
        <v>0</v>
      </c>
      <c r="T241" s="152">
        <f t="shared" si="525"/>
        <v>0</v>
      </c>
      <c r="U241" s="152">
        <f t="shared" si="525"/>
        <v>0</v>
      </c>
      <c r="V241" s="153">
        <f t="shared" si="491"/>
        <v>0</v>
      </c>
      <c r="W241" s="152">
        <f t="shared" si="492"/>
        <v>0</v>
      </c>
      <c r="X241" s="152">
        <f t="shared" si="493"/>
        <v>-800</v>
      </c>
      <c r="Y241" s="206">
        <f t="shared" si="494"/>
        <v>-800</v>
      </c>
      <c r="Z241" s="152">
        <f t="shared" si="495"/>
        <v>0</v>
      </c>
      <c r="AA241" s="152">
        <f t="shared" si="496"/>
        <v>0</v>
      </c>
      <c r="AB241" s="205">
        <f t="shared" si="497"/>
        <v>0</v>
      </c>
      <c r="AC241" s="152">
        <f t="shared" ref="AC241:AK241" si="526">ROUND(AC124/1000,0)</f>
        <v>0</v>
      </c>
      <c r="AD241" s="152">
        <f t="shared" si="526"/>
        <v>0</v>
      </c>
      <c r="AE241" s="152">
        <f t="shared" si="526"/>
        <v>0</v>
      </c>
      <c r="AF241" s="152">
        <f t="shared" si="526"/>
        <v>0</v>
      </c>
      <c r="AG241" s="152">
        <f t="shared" si="526"/>
        <v>0</v>
      </c>
      <c r="AH241" s="152">
        <f t="shared" si="526"/>
        <v>0</v>
      </c>
      <c r="AI241" s="152">
        <f t="shared" si="526"/>
        <v>0</v>
      </c>
      <c r="AJ241" s="152">
        <f t="shared" si="526"/>
        <v>0</v>
      </c>
      <c r="AK241" s="152">
        <f t="shared" si="526"/>
        <v>0</v>
      </c>
      <c r="AL241" s="205">
        <f t="shared" si="499"/>
        <v>0</v>
      </c>
      <c r="AM241" s="152">
        <f>ROUND(AM124/1000,0)</f>
        <v>0</v>
      </c>
      <c r="AN241" s="152">
        <f>ROUND(AN118/1000,0)</f>
        <v>0</v>
      </c>
      <c r="AO241" s="152">
        <f t="shared" ref="AO241:CO241" si="527">ROUND(AO124/1000,0)</f>
        <v>0</v>
      </c>
      <c r="AP241" s="152">
        <f t="shared" si="527"/>
        <v>0</v>
      </c>
      <c r="AQ241" s="152">
        <f t="shared" si="527"/>
        <v>0</v>
      </c>
      <c r="AR241" s="152">
        <f t="shared" si="527"/>
        <v>0</v>
      </c>
      <c r="AS241" s="152">
        <f t="shared" si="527"/>
        <v>0</v>
      </c>
      <c r="AT241" s="152">
        <f t="shared" si="527"/>
        <v>0</v>
      </c>
      <c r="AU241" s="152">
        <f t="shared" si="527"/>
        <v>0</v>
      </c>
      <c r="AV241" s="152">
        <f t="shared" si="527"/>
        <v>0</v>
      </c>
      <c r="AW241" s="152">
        <f t="shared" si="527"/>
        <v>0</v>
      </c>
      <c r="AX241" s="152">
        <f t="shared" si="527"/>
        <v>0</v>
      </c>
      <c r="AY241" s="152">
        <f t="shared" si="527"/>
        <v>0</v>
      </c>
      <c r="AZ241" s="152">
        <f t="shared" si="527"/>
        <v>0</v>
      </c>
      <c r="BA241" s="152">
        <f t="shared" si="527"/>
        <v>0</v>
      </c>
      <c r="BB241" s="152">
        <f t="shared" si="527"/>
        <v>0</v>
      </c>
      <c r="BC241" s="152">
        <f t="shared" si="527"/>
        <v>0</v>
      </c>
      <c r="BD241" s="152">
        <f t="shared" si="527"/>
        <v>0</v>
      </c>
      <c r="BE241" s="152">
        <f t="shared" si="527"/>
        <v>0</v>
      </c>
      <c r="BF241" s="152">
        <f t="shared" si="527"/>
        <v>0</v>
      </c>
      <c r="BG241" s="152">
        <f t="shared" si="527"/>
        <v>0</v>
      </c>
      <c r="BH241" s="152">
        <f t="shared" si="527"/>
        <v>0</v>
      </c>
      <c r="BI241" s="152">
        <f t="shared" si="527"/>
        <v>0</v>
      </c>
      <c r="BJ241" s="152">
        <f t="shared" si="527"/>
        <v>0</v>
      </c>
      <c r="BK241" s="152">
        <f t="shared" si="527"/>
        <v>0</v>
      </c>
      <c r="BL241" s="152">
        <f t="shared" si="527"/>
        <v>0</v>
      </c>
      <c r="BM241" s="152">
        <f t="shared" si="527"/>
        <v>0</v>
      </c>
      <c r="BN241" s="152">
        <f t="shared" si="527"/>
        <v>0</v>
      </c>
      <c r="BO241" s="152">
        <f t="shared" si="527"/>
        <v>0</v>
      </c>
      <c r="BP241" s="152">
        <f t="shared" si="527"/>
        <v>0</v>
      </c>
      <c r="BQ241" s="152">
        <f t="shared" si="527"/>
        <v>0</v>
      </c>
      <c r="BR241" s="152">
        <f t="shared" si="527"/>
        <v>0</v>
      </c>
      <c r="BS241" s="152">
        <f t="shared" si="527"/>
        <v>0</v>
      </c>
      <c r="BT241" s="152">
        <f t="shared" si="527"/>
        <v>0</v>
      </c>
      <c r="BU241" s="152">
        <f t="shared" si="527"/>
        <v>0</v>
      </c>
      <c r="BV241" s="152">
        <f t="shared" si="527"/>
        <v>0</v>
      </c>
      <c r="BW241" s="152">
        <f t="shared" si="527"/>
        <v>0</v>
      </c>
      <c r="BX241" s="152">
        <f t="shared" si="527"/>
        <v>0</v>
      </c>
      <c r="BY241" s="152">
        <f t="shared" si="527"/>
        <v>0</v>
      </c>
      <c r="BZ241" s="152">
        <f t="shared" si="527"/>
        <v>0</v>
      </c>
      <c r="CA241" s="152">
        <f t="shared" si="527"/>
        <v>0</v>
      </c>
      <c r="CB241" s="152">
        <f t="shared" si="527"/>
        <v>0</v>
      </c>
      <c r="CC241" s="152">
        <f t="shared" si="527"/>
        <v>0</v>
      </c>
      <c r="CD241" s="152">
        <f t="shared" si="527"/>
        <v>0</v>
      </c>
      <c r="CE241" s="152">
        <f t="shared" si="527"/>
        <v>0</v>
      </c>
      <c r="CF241" s="152">
        <f t="shared" si="527"/>
        <v>0</v>
      </c>
      <c r="CG241" s="152">
        <f t="shared" si="527"/>
        <v>0</v>
      </c>
      <c r="CH241" s="152">
        <f t="shared" si="527"/>
        <v>0</v>
      </c>
      <c r="CI241" s="152">
        <f t="shared" si="527"/>
        <v>0</v>
      </c>
      <c r="CJ241" s="152">
        <f t="shared" si="527"/>
        <v>0</v>
      </c>
      <c r="CK241" s="152">
        <f t="shared" si="527"/>
        <v>0</v>
      </c>
      <c r="CL241" s="152">
        <f t="shared" si="527"/>
        <v>0</v>
      </c>
      <c r="CM241" s="152">
        <f t="shared" si="527"/>
        <v>0</v>
      </c>
      <c r="CN241" s="152">
        <f t="shared" si="527"/>
        <v>1000</v>
      </c>
      <c r="CO241" s="152">
        <f t="shared" si="527"/>
        <v>1000</v>
      </c>
      <c r="CP241" s="152"/>
      <c r="CQ241" s="205">
        <f t="shared" si="501"/>
        <v>2000</v>
      </c>
      <c r="CR241" s="205">
        <f t="shared" si="502"/>
        <v>2000</v>
      </c>
      <c r="CS241" s="205">
        <f t="shared" si="503"/>
        <v>0</v>
      </c>
      <c r="CT241" s="209">
        <f t="shared" si="504"/>
        <v>0</v>
      </c>
      <c r="CU241" s="152">
        <f t="shared" si="505"/>
        <v>0</v>
      </c>
      <c r="CV241" s="152">
        <f t="shared" si="506"/>
        <v>0</v>
      </c>
      <c r="CW241" s="212">
        <f t="shared" si="507"/>
        <v>0</v>
      </c>
      <c r="CX241" s="212">
        <f t="shared" si="508"/>
        <v>0</v>
      </c>
      <c r="CY241" s="212">
        <f t="shared" si="509"/>
        <v>0</v>
      </c>
      <c r="CZ241" s="205">
        <f t="shared" si="510"/>
        <v>0</v>
      </c>
      <c r="DA241" s="205">
        <f t="shared" si="511"/>
        <v>-4574</v>
      </c>
      <c r="DB241" s="155" t="s">
        <v>14008</v>
      </c>
    </row>
    <row r="242" spans="2:105">
      <c r="B242" s="161"/>
      <c r="E242" s="149"/>
      <c r="F242" s="152"/>
      <c r="G242" s="152"/>
      <c r="H242" s="152"/>
      <c r="I242" s="152"/>
      <c r="J242" s="152"/>
      <c r="K242" s="152"/>
      <c r="L242" s="205"/>
      <c r="M242" s="152"/>
      <c r="N242" s="152"/>
      <c r="O242" s="205"/>
      <c r="P242" s="152"/>
      <c r="Q242" s="152"/>
      <c r="R242" s="152"/>
      <c r="S242" s="152"/>
      <c r="T242" s="152"/>
      <c r="U242" s="152"/>
      <c r="V242" s="153"/>
      <c r="W242" s="152"/>
      <c r="X242" s="152"/>
      <c r="Y242" s="206"/>
      <c r="Z242" s="152"/>
      <c r="AA242" s="152"/>
      <c r="AB242" s="205"/>
      <c r="AC242" s="152"/>
      <c r="AD242" s="152"/>
      <c r="AE242" s="152"/>
      <c r="AF242" s="152"/>
      <c r="AG242" s="152"/>
      <c r="AH242" s="152"/>
      <c r="AI242" s="152"/>
      <c r="AJ242" s="152"/>
      <c r="AK242" s="152"/>
      <c r="AL242" s="205"/>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c r="BG242" s="152"/>
      <c r="BH242" s="152"/>
      <c r="BI242" s="152"/>
      <c r="BJ242" s="152"/>
      <c r="BK242" s="152"/>
      <c r="BL242" s="152"/>
      <c r="BM242" s="152"/>
      <c r="BN242" s="152"/>
      <c r="BO242" s="152"/>
      <c r="BP242" s="152"/>
      <c r="BQ242" s="152"/>
      <c r="BR242" s="152"/>
      <c r="BS242" s="152"/>
      <c r="BT242" s="152"/>
      <c r="BU242" s="152"/>
      <c r="BV242" s="152"/>
      <c r="BW242" s="152"/>
      <c r="BX242" s="152"/>
      <c r="BY242" s="152"/>
      <c r="BZ242" s="152"/>
      <c r="CA242" s="152"/>
      <c r="CB242" s="152"/>
      <c r="CC242" s="152"/>
      <c r="CD242" s="152"/>
      <c r="CE242" s="152"/>
      <c r="CF242" s="152"/>
      <c r="CG242" s="152"/>
      <c r="CH242" s="152"/>
      <c r="CI242" s="152"/>
      <c r="CJ242" s="152"/>
      <c r="CK242" s="152"/>
      <c r="CL242" s="152"/>
      <c r="CM242" s="152"/>
      <c r="CN242" s="152"/>
      <c r="CO242" s="152"/>
      <c r="CP242" s="152"/>
      <c r="CQ242" s="205"/>
      <c r="CR242" s="205"/>
      <c r="CS242" s="205"/>
      <c r="CT242" s="209"/>
      <c r="CU242" s="152"/>
      <c r="CV242" s="152"/>
      <c r="CW242" s="212"/>
      <c r="CX242" s="212"/>
      <c r="CY242" s="212"/>
      <c r="CZ242" s="205"/>
      <c r="DA242" s="205"/>
    </row>
    <row r="243" spans="2:106">
      <c r="B243" s="161">
        <f t="shared" ref="B243:B248" si="528">B242+1</f>
        <v>1</v>
      </c>
      <c r="D243" s="154" t="str">
        <f t="shared" ref="D243:D248" si="529">IF(D126="","",D126)</f>
        <v>Outgoing:</v>
      </c>
      <c r="E243" s="149"/>
      <c r="F243" s="152"/>
      <c r="G243" s="152"/>
      <c r="H243" s="152"/>
      <c r="I243" s="152"/>
      <c r="J243" s="152"/>
      <c r="K243" s="152"/>
      <c r="L243" s="205"/>
      <c r="M243" s="152"/>
      <c r="N243" s="152"/>
      <c r="O243" s="205"/>
      <c r="P243" s="152"/>
      <c r="Q243" s="152"/>
      <c r="R243" s="152"/>
      <c r="S243" s="152"/>
      <c r="T243" s="152"/>
      <c r="U243" s="152"/>
      <c r="V243" s="153"/>
      <c r="W243" s="152"/>
      <c r="X243" s="152"/>
      <c r="Y243" s="206"/>
      <c r="Z243" s="152"/>
      <c r="AA243" s="152"/>
      <c r="AB243" s="205"/>
      <c r="AC243" s="152"/>
      <c r="AD243" s="152"/>
      <c r="AE243" s="152"/>
      <c r="AF243" s="152"/>
      <c r="AG243" s="152"/>
      <c r="AH243" s="152"/>
      <c r="AI243" s="152"/>
      <c r="AJ243" s="152"/>
      <c r="AK243" s="152"/>
      <c r="AL243" s="205"/>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c r="BG243" s="152"/>
      <c r="BH243" s="152"/>
      <c r="BI243" s="152"/>
      <c r="BJ243" s="152"/>
      <c r="BK243" s="152"/>
      <c r="BL243" s="152"/>
      <c r="BM243" s="152"/>
      <c r="BN243" s="152"/>
      <c r="BO243" s="152"/>
      <c r="BP243" s="152"/>
      <c r="BQ243" s="152"/>
      <c r="BR243" s="152"/>
      <c r="BS243" s="152"/>
      <c r="BT243" s="152"/>
      <c r="BU243" s="152"/>
      <c r="BV243" s="152"/>
      <c r="BW243" s="152"/>
      <c r="BX243" s="152"/>
      <c r="BY243" s="152"/>
      <c r="BZ243" s="152"/>
      <c r="CA243" s="152"/>
      <c r="CB243" s="152"/>
      <c r="CC243" s="152"/>
      <c r="CD243" s="152"/>
      <c r="CE243" s="152"/>
      <c r="CF243" s="152"/>
      <c r="CG243" s="152"/>
      <c r="CH243" s="152"/>
      <c r="CI243" s="152"/>
      <c r="CJ243" s="152"/>
      <c r="CK243" s="152"/>
      <c r="CL243" s="152"/>
      <c r="CM243" s="152"/>
      <c r="CN243" s="152"/>
      <c r="CO243" s="152"/>
      <c r="CP243" s="152"/>
      <c r="CQ243" s="205"/>
      <c r="CR243" s="205"/>
      <c r="CS243" s="205"/>
      <c r="CT243" s="209"/>
      <c r="CU243" s="152"/>
      <c r="CV243" s="152"/>
      <c r="CW243" s="212"/>
      <c r="CX243" s="212"/>
      <c r="CY243" s="212"/>
      <c r="CZ243" s="205"/>
      <c r="DA243" s="205"/>
      <c r="DB243" s="155" t="s">
        <v>14009</v>
      </c>
    </row>
    <row r="244" spans="1:106">
      <c r="A244" s="226">
        <f>MAX(A238:A243)+1</f>
        <v>43</v>
      </c>
      <c r="B244" s="227">
        <f t="shared" si="528"/>
        <v>2</v>
      </c>
      <c r="C244" s="226"/>
      <c r="D244" s="226" t="str">
        <f t="shared" si="529"/>
        <v>Loan PayOff</v>
      </c>
      <c r="E244" s="234">
        <f>+F244+CS244+CZ244+DA244</f>
        <v>0</v>
      </c>
      <c r="F244" s="234">
        <f>SUM(G244:K244,M244:N244,P244:U244,W244:X244,Z244:AA244,AC244:AK244,AM244:CP244)</f>
        <v>0</v>
      </c>
      <c r="G244" s="235">
        <f>ROUND(G127/1000,0)</f>
        <v>0</v>
      </c>
      <c r="H244" s="235">
        <f>ROUND(H127/1000,0)</f>
        <v>0</v>
      </c>
      <c r="I244" s="235">
        <f>ROUND(I127/1000,0)</f>
        <v>0</v>
      </c>
      <c r="J244" s="235">
        <f>ROUND(J127/1000,0)</f>
        <v>0</v>
      </c>
      <c r="K244" s="235">
        <f>ROUND(K127/1000,0)</f>
        <v>0</v>
      </c>
      <c r="L244" s="241">
        <f>+SUM(G244:K244)</f>
        <v>0</v>
      </c>
      <c r="M244" s="235">
        <f>ROUND(M127/1000,0)</f>
        <v>0</v>
      </c>
      <c r="N244" s="235">
        <f>ROUND(N127/1000,0)</f>
        <v>0</v>
      </c>
      <c r="O244" s="241">
        <f>+SUM(M244:N244)</f>
        <v>0</v>
      </c>
      <c r="P244" s="235">
        <f t="shared" ref="P244:U244" si="530">ROUND(P127/1000,0)</f>
        <v>0</v>
      </c>
      <c r="Q244" s="235">
        <f t="shared" si="530"/>
        <v>0</v>
      </c>
      <c r="R244" s="235">
        <f t="shared" si="530"/>
        <v>0</v>
      </c>
      <c r="S244" s="235">
        <f t="shared" si="530"/>
        <v>0</v>
      </c>
      <c r="T244" s="235">
        <f t="shared" si="530"/>
        <v>0</v>
      </c>
      <c r="U244" s="235">
        <f t="shared" si="530"/>
        <v>0</v>
      </c>
      <c r="V244" s="234">
        <f>+SUM(P244:U244)</f>
        <v>0</v>
      </c>
      <c r="W244" s="235">
        <f>ROUND(W127/1000,0)</f>
        <v>0</v>
      </c>
      <c r="X244" s="235">
        <f>ROUND(X127/1000,0)</f>
        <v>0</v>
      </c>
      <c r="Y244" s="241">
        <f>SUM(V244:X244)</f>
        <v>0</v>
      </c>
      <c r="Z244" s="235">
        <f>ROUND(Z127/1000,0)</f>
        <v>0</v>
      </c>
      <c r="AA244" s="235">
        <f>ROUND(AA127/1000,0)</f>
        <v>0</v>
      </c>
      <c r="AB244" s="241">
        <f>+SUM(Z244:AA244)</f>
        <v>0</v>
      </c>
      <c r="AC244" s="235">
        <f t="shared" ref="AC244:AK244" si="531">ROUND(AC127/1000,0)</f>
        <v>0</v>
      </c>
      <c r="AD244" s="235">
        <f t="shared" si="531"/>
        <v>0</v>
      </c>
      <c r="AE244" s="235">
        <f t="shared" si="531"/>
        <v>0</v>
      </c>
      <c r="AF244" s="235">
        <f t="shared" si="531"/>
        <v>0</v>
      </c>
      <c r="AG244" s="235">
        <f t="shared" si="531"/>
        <v>0</v>
      </c>
      <c r="AH244" s="235">
        <f t="shared" si="531"/>
        <v>0</v>
      </c>
      <c r="AI244" s="235">
        <f t="shared" si="531"/>
        <v>0</v>
      </c>
      <c r="AJ244" s="235">
        <f t="shared" si="531"/>
        <v>0</v>
      </c>
      <c r="AK244" s="235">
        <f t="shared" si="531"/>
        <v>0</v>
      </c>
      <c r="AL244" s="241">
        <f>SUM(AF244:AK244)</f>
        <v>0</v>
      </c>
      <c r="AM244" s="235">
        <f t="shared" ref="AM244:CO244" si="532">ROUND(AM127/1000,0)</f>
        <v>0</v>
      </c>
      <c r="AN244" s="235">
        <f t="shared" si="532"/>
        <v>0</v>
      </c>
      <c r="AO244" s="235">
        <f t="shared" si="532"/>
        <v>0</v>
      </c>
      <c r="AP244" s="235">
        <f t="shared" si="532"/>
        <v>0</v>
      </c>
      <c r="AQ244" s="235">
        <f t="shared" si="532"/>
        <v>0</v>
      </c>
      <c r="AR244" s="235">
        <f t="shared" si="532"/>
        <v>0</v>
      </c>
      <c r="AS244" s="235">
        <f t="shared" si="532"/>
        <v>0</v>
      </c>
      <c r="AT244" s="235">
        <f t="shared" si="532"/>
        <v>0</v>
      </c>
      <c r="AU244" s="235">
        <f t="shared" si="532"/>
        <v>0</v>
      </c>
      <c r="AV244" s="235">
        <f t="shared" si="532"/>
        <v>0</v>
      </c>
      <c r="AW244" s="235">
        <f t="shared" si="532"/>
        <v>0</v>
      </c>
      <c r="AX244" s="235">
        <f t="shared" si="532"/>
        <v>0</v>
      </c>
      <c r="AY244" s="235">
        <f t="shared" si="532"/>
        <v>0</v>
      </c>
      <c r="AZ244" s="235">
        <f t="shared" si="532"/>
        <v>0</v>
      </c>
      <c r="BA244" s="235">
        <f t="shared" si="532"/>
        <v>0</v>
      </c>
      <c r="BB244" s="235">
        <f t="shared" si="532"/>
        <v>0</v>
      </c>
      <c r="BC244" s="235">
        <f t="shared" si="532"/>
        <v>0</v>
      </c>
      <c r="BD244" s="235">
        <f t="shared" si="532"/>
        <v>0</v>
      </c>
      <c r="BE244" s="235">
        <f t="shared" si="532"/>
        <v>0</v>
      </c>
      <c r="BF244" s="235">
        <f t="shared" si="532"/>
        <v>0</v>
      </c>
      <c r="BG244" s="235">
        <f t="shared" si="532"/>
        <v>0</v>
      </c>
      <c r="BH244" s="235">
        <f t="shared" si="532"/>
        <v>0</v>
      </c>
      <c r="BI244" s="235">
        <f t="shared" si="532"/>
        <v>0</v>
      </c>
      <c r="BJ244" s="235">
        <f t="shared" si="532"/>
        <v>0</v>
      </c>
      <c r="BK244" s="235">
        <f t="shared" si="532"/>
        <v>0</v>
      </c>
      <c r="BL244" s="235">
        <f t="shared" si="532"/>
        <v>0</v>
      </c>
      <c r="BM244" s="235">
        <f t="shared" si="532"/>
        <v>0</v>
      </c>
      <c r="BN244" s="235">
        <f t="shared" si="532"/>
        <v>0</v>
      </c>
      <c r="BO244" s="235">
        <f t="shared" si="532"/>
        <v>0</v>
      </c>
      <c r="BP244" s="235">
        <f t="shared" si="532"/>
        <v>0</v>
      </c>
      <c r="BQ244" s="235">
        <f t="shared" si="532"/>
        <v>0</v>
      </c>
      <c r="BR244" s="235">
        <f t="shared" si="532"/>
        <v>0</v>
      </c>
      <c r="BS244" s="235">
        <f t="shared" si="532"/>
        <v>0</v>
      </c>
      <c r="BT244" s="235">
        <f t="shared" si="532"/>
        <v>0</v>
      </c>
      <c r="BU244" s="235">
        <f t="shared" si="532"/>
        <v>0</v>
      </c>
      <c r="BV244" s="235">
        <f t="shared" si="532"/>
        <v>0</v>
      </c>
      <c r="BW244" s="235">
        <f t="shared" si="532"/>
        <v>0</v>
      </c>
      <c r="BX244" s="235">
        <f t="shared" si="532"/>
        <v>0</v>
      </c>
      <c r="BY244" s="235">
        <f t="shared" si="532"/>
        <v>0</v>
      </c>
      <c r="BZ244" s="235">
        <f t="shared" si="532"/>
        <v>0</v>
      </c>
      <c r="CA244" s="235">
        <f t="shared" si="532"/>
        <v>0</v>
      </c>
      <c r="CB244" s="235">
        <f t="shared" si="532"/>
        <v>0</v>
      </c>
      <c r="CC244" s="235">
        <f t="shared" si="532"/>
        <v>0</v>
      </c>
      <c r="CD244" s="235">
        <f t="shared" si="532"/>
        <v>0</v>
      </c>
      <c r="CE244" s="235">
        <f t="shared" si="532"/>
        <v>0</v>
      </c>
      <c r="CF244" s="235">
        <f t="shared" si="532"/>
        <v>0</v>
      </c>
      <c r="CG244" s="235">
        <f t="shared" si="532"/>
        <v>0</v>
      </c>
      <c r="CH244" s="235">
        <f t="shared" si="532"/>
        <v>0</v>
      </c>
      <c r="CI244" s="235">
        <f t="shared" si="532"/>
        <v>0</v>
      </c>
      <c r="CJ244" s="235">
        <f t="shared" si="532"/>
        <v>0</v>
      </c>
      <c r="CK244" s="235">
        <f t="shared" si="532"/>
        <v>0</v>
      </c>
      <c r="CL244" s="235">
        <f t="shared" si="532"/>
        <v>0</v>
      </c>
      <c r="CM244" s="235">
        <f t="shared" si="532"/>
        <v>0</v>
      </c>
      <c r="CN244" s="235">
        <f t="shared" si="532"/>
        <v>0</v>
      </c>
      <c r="CO244" s="235">
        <f t="shared" si="532"/>
        <v>0</v>
      </c>
      <c r="CP244" s="235"/>
      <c r="CQ244" s="241">
        <f>+SUM(AM244:CP244)</f>
        <v>0</v>
      </c>
      <c r="CR244" s="241">
        <f>SUM(AL244,CQ244)</f>
        <v>0</v>
      </c>
      <c r="CS244" s="241">
        <f>SUM(CY244:CY244)</f>
        <v>0</v>
      </c>
      <c r="CT244" s="246">
        <f>ROUND(CT127/1000,0)</f>
        <v>0</v>
      </c>
      <c r="CU244" s="235">
        <f>ROUND(CU127/1000,0)</f>
        <v>0</v>
      </c>
      <c r="CV244" s="235">
        <f>ROUND(CV127/1000,0)</f>
        <v>0</v>
      </c>
      <c r="CW244" s="249">
        <f>ROUND(CW127/1000,0)</f>
        <v>0</v>
      </c>
      <c r="CX244" s="249">
        <f>ROUND(CX127/1000,0)</f>
        <v>0</v>
      </c>
      <c r="CY244" s="249">
        <f>SUM(CT244:CX244)</f>
        <v>0</v>
      </c>
      <c r="CZ244" s="241">
        <f>ROUND(CZ127/1000,0)</f>
        <v>0</v>
      </c>
      <c r="DA244" s="241">
        <f>ROUND(DA127/1000,0)</f>
        <v>0</v>
      </c>
      <c r="DB244" s="193"/>
    </row>
    <row r="245" spans="1:106">
      <c r="A245" s="226">
        <f>MAX(A239:A244)+1</f>
        <v>44</v>
      </c>
      <c r="B245" s="227">
        <f t="shared" si="528"/>
        <v>3</v>
      </c>
      <c r="C245" s="226"/>
      <c r="D245" s="226" t="str">
        <f t="shared" si="529"/>
        <v>Acquisition Deposit Paid to Seller</v>
      </c>
      <c r="E245" s="234">
        <f>+F245+CS245+CZ245+DA245</f>
        <v>0</v>
      </c>
      <c r="F245" s="234">
        <f>SUM(G245:K245,M245:N245,P245:U245,W245:X245,Z245:AA245,AC245:AK245,AM245:CP245)</f>
        <v>0</v>
      </c>
      <c r="G245" s="235">
        <f>ROUND(G128/1000,0)</f>
        <v>0</v>
      </c>
      <c r="H245" s="235">
        <f>ROUND(H128/1000,0)</f>
        <v>0</v>
      </c>
      <c r="I245" s="235">
        <f>ROUND(I128/1000,0)</f>
        <v>0</v>
      </c>
      <c r="J245" s="235">
        <f>ROUND(J128/1000,0)</f>
        <v>0</v>
      </c>
      <c r="K245" s="235">
        <f>ROUND(K128/1000,0)</f>
        <v>0</v>
      </c>
      <c r="L245" s="241">
        <f>+SUM(G245:K245)</f>
        <v>0</v>
      </c>
      <c r="M245" s="235">
        <f>ROUND(M128/1000,0)</f>
        <v>0</v>
      </c>
      <c r="N245" s="235">
        <f>ROUND(N128/1000,0)</f>
        <v>0</v>
      </c>
      <c r="O245" s="241">
        <f>+SUM(M245:N245)</f>
        <v>0</v>
      </c>
      <c r="P245" s="235">
        <f t="shared" ref="P245:U245" si="533">ROUND(P128/1000,0)</f>
        <v>0</v>
      </c>
      <c r="Q245" s="235">
        <f t="shared" si="533"/>
        <v>0</v>
      </c>
      <c r="R245" s="235">
        <f t="shared" si="533"/>
        <v>0</v>
      </c>
      <c r="S245" s="235">
        <f t="shared" si="533"/>
        <v>0</v>
      </c>
      <c r="T245" s="235">
        <f t="shared" si="533"/>
        <v>0</v>
      </c>
      <c r="U245" s="235">
        <f t="shared" si="533"/>
        <v>0</v>
      </c>
      <c r="V245" s="234">
        <f>+SUM(P245:U245)</f>
        <v>0</v>
      </c>
      <c r="W245" s="235">
        <f>ROUND(W128/1000,0)</f>
        <v>0</v>
      </c>
      <c r="X245" s="235">
        <f>ROUND(X128/1000,0)</f>
        <v>0</v>
      </c>
      <c r="Y245" s="241">
        <f>SUM(V245:X245)</f>
        <v>0</v>
      </c>
      <c r="Z245" s="235">
        <f>ROUND(Z128/1000,0)</f>
        <v>0</v>
      </c>
      <c r="AA245" s="235">
        <f>ROUND(AA128/1000,0)</f>
        <v>0</v>
      </c>
      <c r="AB245" s="241">
        <f>+SUM(Z245:AA245)</f>
        <v>0</v>
      </c>
      <c r="AC245" s="235">
        <f t="shared" ref="AC245:AK245" si="534">ROUND(AC128/1000,0)</f>
        <v>0</v>
      </c>
      <c r="AD245" s="235">
        <f t="shared" si="534"/>
        <v>0</v>
      </c>
      <c r="AE245" s="235">
        <f t="shared" si="534"/>
        <v>0</v>
      </c>
      <c r="AF245" s="235">
        <f t="shared" si="534"/>
        <v>0</v>
      </c>
      <c r="AG245" s="235">
        <f t="shared" si="534"/>
        <v>0</v>
      </c>
      <c r="AH245" s="235">
        <f t="shared" si="534"/>
        <v>0</v>
      </c>
      <c r="AI245" s="235">
        <f t="shared" si="534"/>
        <v>0</v>
      </c>
      <c r="AJ245" s="235">
        <f t="shared" si="534"/>
        <v>0</v>
      </c>
      <c r="AK245" s="235">
        <f t="shared" si="534"/>
        <v>0</v>
      </c>
      <c r="AL245" s="241">
        <f>SUM(AF245:AK245)</f>
        <v>0</v>
      </c>
      <c r="AM245" s="235">
        <f t="shared" ref="AM245:AW245" si="535">ROUND(AM128/1000,0)</f>
        <v>0</v>
      </c>
      <c r="AN245" s="235">
        <f t="shared" si="535"/>
        <v>0</v>
      </c>
      <c r="AO245" s="235">
        <f t="shared" si="535"/>
        <v>0</v>
      </c>
      <c r="AP245" s="235">
        <f t="shared" si="535"/>
        <v>0</v>
      </c>
      <c r="AQ245" s="235">
        <f t="shared" si="535"/>
        <v>0</v>
      </c>
      <c r="AR245" s="235">
        <f t="shared" si="535"/>
        <v>0</v>
      </c>
      <c r="AS245" s="235">
        <f t="shared" si="535"/>
        <v>0</v>
      </c>
      <c r="AT245" s="235">
        <f t="shared" si="535"/>
        <v>0</v>
      </c>
      <c r="AU245" s="235">
        <f t="shared" si="535"/>
        <v>0</v>
      </c>
      <c r="AV245" s="235">
        <f t="shared" si="535"/>
        <v>0</v>
      </c>
      <c r="AW245" s="235">
        <f t="shared" si="535"/>
        <v>0</v>
      </c>
      <c r="AX245" s="235">
        <v>0</v>
      </c>
      <c r="AY245" s="235">
        <f t="shared" ref="AY245:CO245" si="536">ROUND(AY128/1000,0)</f>
        <v>0</v>
      </c>
      <c r="AZ245" s="235">
        <f t="shared" si="536"/>
        <v>0</v>
      </c>
      <c r="BA245" s="235">
        <f t="shared" si="536"/>
        <v>0</v>
      </c>
      <c r="BB245" s="235">
        <f t="shared" si="536"/>
        <v>0</v>
      </c>
      <c r="BC245" s="235">
        <f t="shared" si="536"/>
        <v>0</v>
      </c>
      <c r="BD245" s="235">
        <f t="shared" si="536"/>
        <v>0</v>
      </c>
      <c r="BE245" s="235">
        <f t="shared" si="536"/>
        <v>0</v>
      </c>
      <c r="BF245" s="235">
        <f t="shared" si="536"/>
        <v>0</v>
      </c>
      <c r="BG245" s="235">
        <f t="shared" si="536"/>
        <v>0</v>
      </c>
      <c r="BH245" s="235">
        <f t="shared" si="536"/>
        <v>0</v>
      </c>
      <c r="BI245" s="235">
        <f t="shared" si="536"/>
        <v>0</v>
      </c>
      <c r="BJ245" s="235">
        <f t="shared" si="536"/>
        <v>0</v>
      </c>
      <c r="BK245" s="235">
        <f t="shared" si="536"/>
        <v>0</v>
      </c>
      <c r="BL245" s="235">
        <f t="shared" si="536"/>
        <v>0</v>
      </c>
      <c r="BM245" s="235">
        <f t="shared" si="536"/>
        <v>0</v>
      </c>
      <c r="BN245" s="235">
        <f t="shared" si="536"/>
        <v>0</v>
      </c>
      <c r="BO245" s="235">
        <f t="shared" si="536"/>
        <v>0</v>
      </c>
      <c r="BP245" s="235">
        <f t="shared" si="536"/>
        <v>0</v>
      </c>
      <c r="BQ245" s="235">
        <f t="shared" si="536"/>
        <v>0</v>
      </c>
      <c r="BR245" s="235">
        <f t="shared" si="536"/>
        <v>0</v>
      </c>
      <c r="BS245" s="235">
        <f t="shared" si="536"/>
        <v>0</v>
      </c>
      <c r="BT245" s="235">
        <f t="shared" si="536"/>
        <v>0</v>
      </c>
      <c r="BU245" s="235">
        <f t="shared" si="536"/>
        <v>0</v>
      </c>
      <c r="BV245" s="235">
        <f t="shared" si="536"/>
        <v>0</v>
      </c>
      <c r="BW245" s="235">
        <f t="shared" si="536"/>
        <v>0</v>
      </c>
      <c r="BX245" s="235">
        <f t="shared" si="536"/>
        <v>0</v>
      </c>
      <c r="BY245" s="235">
        <f t="shared" si="536"/>
        <v>0</v>
      </c>
      <c r="BZ245" s="235">
        <f t="shared" si="536"/>
        <v>0</v>
      </c>
      <c r="CA245" s="235">
        <f t="shared" si="536"/>
        <v>0</v>
      </c>
      <c r="CB245" s="235">
        <f t="shared" si="536"/>
        <v>0</v>
      </c>
      <c r="CC245" s="235">
        <f t="shared" si="536"/>
        <v>0</v>
      </c>
      <c r="CD245" s="235">
        <f t="shared" si="536"/>
        <v>0</v>
      </c>
      <c r="CE245" s="235">
        <f t="shared" si="536"/>
        <v>0</v>
      </c>
      <c r="CF245" s="235">
        <f t="shared" si="536"/>
        <v>0</v>
      </c>
      <c r="CG245" s="235">
        <f t="shared" si="536"/>
        <v>0</v>
      </c>
      <c r="CH245" s="235">
        <f t="shared" si="536"/>
        <v>0</v>
      </c>
      <c r="CI245" s="235">
        <f t="shared" si="536"/>
        <v>0</v>
      </c>
      <c r="CJ245" s="235">
        <f t="shared" si="536"/>
        <v>0</v>
      </c>
      <c r="CK245" s="235">
        <f t="shared" si="536"/>
        <v>0</v>
      </c>
      <c r="CL245" s="235">
        <f t="shared" si="536"/>
        <v>0</v>
      </c>
      <c r="CM245" s="235">
        <f t="shared" si="536"/>
        <v>0</v>
      </c>
      <c r="CN245" s="235">
        <f t="shared" si="536"/>
        <v>0</v>
      </c>
      <c r="CO245" s="235">
        <f t="shared" si="536"/>
        <v>0</v>
      </c>
      <c r="CP245" s="235"/>
      <c r="CQ245" s="241">
        <f>+SUM(AM245:CP245)</f>
        <v>0</v>
      </c>
      <c r="CR245" s="241">
        <f>SUM(AL245,CQ245)</f>
        <v>0</v>
      </c>
      <c r="CS245" s="241">
        <f>SUM(CY245:CY245)</f>
        <v>0</v>
      </c>
      <c r="CT245" s="246">
        <f>ROUND(CT128/1000,0)</f>
        <v>0</v>
      </c>
      <c r="CU245" s="235">
        <f>ROUND(CU128/1000,0)</f>
        <v>0</v>
      </c>
      <c r="CV245" s="235">
        <f>ROUND(CV128/1000,0)</f>
        <v>0</v>
      </c>
      <c r="CW245" s="249">
        <f>ROUND(CW128/1000,0)</f>
        <v>0</v>
      </c>
      <c r="CX245" s="249">
        <f>ROUND(CX128/1000,0)</f>
        <v>0</v>
      </c>
      <c r="CY245" s="249">
        <f>SUM(CT245:CX245)</f>
        <v>0</v>
      </c>
      <c r="CZ245" s="241">
        <f>ROUND(CZ128/1000,0)</f>
        <v>0</v>
      </c>
      <c r="DA245" s="241">
        <f>ROUND(DA128/1000,0)</f>
        <v>0</v>
      </c>
      <c r="DB245" s="193" t="s">
        <v>14010</v>
      </c>
    </row>
    <row r="246" spans="1:106">
      <c r="A246" s="226">
        <f>MAX(A240:A245)+1</f>
        <v>45</v>
      </c>
      <c r="B246" s="227">
        <f t="shared" si="528"/>
        <v>4</v>
      </c>
      <c r="C246" s="226"/>
      <c r="D246" s="226" t="str">
        <f t="shared" si="529"/>
        <v>Acquisition Purchase Price</v>
      </c>
      <c r="E246" s="234">
        <f>+F246+CS246+CZ246+DA246</f>
        <v>0</v>
      </c>
      <c r="F246" s="234">
        <f>SUM(G246:K246,M246:N246,P246:U246,W246:X246,Z246:AA246,AC246:AK246,AM246:CP246)</f>
        <v>0</v>
      </c>
      <c r="G246" s="235">
        <f>ROUND(G129/1000,0)</f>
        <v>0</v>
      </c>
      <c r="H246" s="235">
        <f>ROUND(H129/1000,0)</f>
        <v>0</v>
      </c>
      <c r="I246" s="235">
        <f>ROUND(I129/1000,0)</f>
        <v>0</v>
      </c>
      <c r="J246" s="235">
        <f>ROUND(J129/1000,0)</f>
        <v>0</v>
      </c>
      <c r="K246" s="235">
        <f>ROUND(K129/1000,0)</f>
        <v>0</v>
      </c>
      <c r="L246" s="241">
        <f>+SUM(G246:K246)</f>
        <v>0</v>
      </c>
      <c r="M246" s="235">
        <f>ROUND(M129/1000,0)</f>
        <v>0</v>
      </c>
      <c r="N246" s="235">
        <f>ROUND(N129/1000,0)</f>
        <v>0</v>
      </c>
      <c r="O246" s="241">
        <f>+SUM(M246:N246)</f>
        <v>0</v>
      </c>
      <c r="P246" s="235">
        <f t="shared" ref="P246:U246" si="537">ROUND(P129/1000,0)</f>
        <v>0</v>
      </c>
      <c r="Q246" s="235">
        <f t="shared" si="537"/>
        <v>0</v>
      </c>
      <c r="R246" s="235">
        <f t="shared" si="537"/>
        <v>0</v>
      </c>
      <c r="S246" s="235">
        <f t="shared" si="537"/>
        <v>0</v>
      </c>
      <c r="T246" s="235">
        <f t="shared" si="537"/>
        <v>0</v>
      </c>
      <c r="U246" s="235">
        <f t="shared" si="537"/>
        <v>0</v>
      </c>
      <c r="V246" s="234">
        <f>+SUM(P246:U246)</f>
        <v>0</v>
      </c>
      <c r="W246" s="235">
        <f>ROUND(W129/1000,0)</f>
        <v>0</v>
      </c>
      <c r="X246" s="235">
        <f>ROUND(X129/1000,0)</f>
        <v>0</v>
      </c>
      <c r="Y246" s="241">
        <f>SUM(V246:X246)</f>
        <v>0</v>
      </c>
      <c r="Z246" s="235">
        <f>ROUND(Z129/1000,0)</f>
        <v>0</v>
      </c>
      <c r="AA246" s="235">
        <f>ROUND(AA129/1000,0)</f>
        <v>0</v>
      </c>
      <c r="AB246" s="241">
        <f>+SUM(Z246:AA246)</f>
        <v>0</v>
      </c>
      <c r="AC246" s="235">
        <f t="shared" ref="AC246:AK246" si="538">ROUND(AC129/1000,0)</f>
        <v>0</v>
      </c>
      <c r="AD246" s="235">
        <f t="shared" si="538"/>
        <v>0</v>
      </c>
      <c r="AE246" s="235">
        <f t="shared" si="538"/>
        <v>0</v>
      </c>
      <c r="AF246" s="235">
        <f t="shared" si="538"/>
        <v>0</v>
      </c>
      <c r="AG246" s="235">
        <f t="shared" si="538"/>
        <v>0</v>
      </c>
      <c r="AH246" s="235">
        <f t="shared" si="538"/>
        <v>0</v>
      </c>
      <c r="AI246" s="235">
        <f t="shared" si="538"/>
        <v>0</v>
      </c>
      <c r="AJ246" s="235">
        <f t="shared" si="538"/>
        <v>0</v>
      </c>
      <c r="AK246" s="235">
        <f t="shared" si="538"/>
        <v>0</v>
      </c>
      <c r="AL246" s="241">
        <f>SUM(AF246:AK246)</f>
        <v>0</v>
      </c>
      <c r="AM246" s="235">
        <f t="shared" ref="AM246:CO246" si="539">ROUND(AM129/1000,0)</f>
        <v>0</v>
      </c>
      <c r="AN246" s="235">
        <f t="shared" si="539"/>
        <v>0</v>
      </c>
      <c r="AO246" s="235">
        <f t="shared" si="539"/>
        <v>0</v>
      </c>
      <c r="AP246" s="235">
        <f t="shared" si="539"/>
        <v>0</v>
      </c>
      <c r="AQ246" s="235">
        <f t="shared" si="539"/>
        <v>0</v>
      </c>
      <c r="AR246" s="235">
        <f t="shared" si="539"/>
        <v>0</v>
      </c>
      <c r="AS246" s="235">
        <f t="shared" si="539"/>
        <v>0</v>
      </c>
      <c r="AT246" s="235">
        <f t="shared" si="539"/>
        <v>0</v>
      </c>
      <c r="AU246" s="235">
        <f t="shared" si="539"/>
        <v>0</v>
      </c>
      <c r="AV246" s="235">
        <f t="shared" si="539"/>
        <v>0</v>
      </c>
      <c r="AW246" s="235">
        <f t="shared" si="539"/>
        <v>0</v>
      </c>
      <c r="AX246" s="235">
        <f t="shared" si="539"/>
        <v>0</v>
      </c>
      <c r="AY246" s="235">
        <f t="shared" si="539"/>
        <v>0</v>
      </c>
      <c r="AZ246" s="235">
        <f t="shared" si="539"/>
        <v>0</v>
      </c>
      <c r="BA246" s="235">
        <f t="shared" si="539"/>
        <v>0</v>
      </c>
      <c r="BB246" s="235">
        <f t="shared" si="539"/>
        <v>0</v>
      </c>
      <c r="BC246" s="235">
        <f t="shared" si="539"/>
        <v>0</v>
      </c>
      <c r="BD246" s="235">
        <f t="shared" si="539"/>
        <v>0</v>
      </c>
      <c r="BE246" s="235">
        <f t="shared" si="539"/>
        <v>0</v>
      </c>
      <c r="BF246" s="235">
        <f t="shared" si="539"/>
        <v>0</v>
      </c>
      <c r="BG246" s="235">
        <f t="shared" si="539"/>
        <v>0</v>
      </c>
      <c r="BH246" s="235">
        <f t="shared" si="539"/>
        <v>0</v>
      </c>
      <c r="BI246" s="235">
        <f t="shared" si="539"/>
        <v>0</v>
      </c>
      <c r="BJ246" s="235">
        <f t="shared" si="539"/>
        <v>0</v>
      </c>
      <c r="BK246" s="235">
        <f t="shared" si="539"/>
        <v>0</v>
      </c>
      <c r="BL246" s="235">
        <f t="shared" si="539"/>
        <v>0</v>
      </c>
      <c r="BM246" s="235">
        <f t="shared" si="539"/>
        <v>0</v>
      </c>
      <c r="BN246" s="235">
        <f t="shared" si="539"/>
        <v>0</v>
      </c>
      <c r="BO246" s="235">
        <f t="shared" si="539"/>
        <v>0</v>
      </c>
      <c r="BP246" s="235">
        <f t="shared" si="539"/>
        <v>0</v>
      </c>
      <c r="BQ246" s="235">
        <f t="shared" si="539"/>
        <v>0</v>
      </c>
      <c r="BR246" s="235">
        <f t="shared" si="539"/>
        <v>0</v>
      </c>
      <c r="BS246" s="235">
        <f t="shared" si="539"/>
        <v>0</v>
      </c>
      <c r="BT246" s="235">
        <f t="shared" si="539"/>
        <v>0</v>
      </c>
      <c r="BU246" s="235">
        <f t="shared" si="539"/>
        <v>0</v>
      </c>
      <c r="BV246" s="235">
        <f t="shared" si="539"/>
        <v>0</v>
      </c>
      <c r="BW246" s="235">
        <f t="shared" si="539"/>
        <v>0</v>
      </c>
      <c r="BX246" s="235">
        <f t="shared" si="539"/>
        <v>0</v>
      </c>
      <c r="BY246" s="235">
        <f t="shared" si="539"/>
        <v>0</v>
      </c>
      <c r="BZ246" s="235">
        <f t="shared" si="539"/>
        <v>0</v>
      </c>
      <c r="CA246" s="235">
        <f t="shared" si="539"/>
        <v>0</v>
      </c>
      <c r="CB246" s="235">
        <f t="shared" si="539"/>
        <v>0</v>
      </c>
      <c r="CC246" s="235">
        <f t="shared" si="539"/>
        <v>0</v>
      </c>
      <c r="CD246" s="235">
        <f t="shared" si="539"/>
        <v>0</v>
      </c>
      <c r="CE246" s="235">
        <f t="shared" si="539"/>
        <v>0</v>
      </c>
      <c r="CF246" s="235">
        <f t="shared" si="539"/>
        <v>0</v>
      </c>
      <c r="CG246" s="235">
        <f t="shared" si="539"/>
        <v>0</v>
      </c>
      <c r="CH246" s="235">
        <f t="shared" si="539"/>
        <v>0</v>
      </c>
      <c r="CI246" s="235">
        <f t="shared" si="539"/>
        <v>0</v>
      </c>
      <c r="CJ246" s="235">
        <f t="shared" si="539"/>
        <v>0</v>
      </c>
      <c r="CK246" s="235">
        <f t="shared" si="539"/>
        <v>0</v>
      </c>
      <c r="CL246" s="235">
        <f t="shared" si="539"/>
        <v>0</v>
      </c>
      <c r="CM246" s="235">
        <f t="shared" si="539"/>
        <v>0</v>
      </c>
      <c r="CN246" s="235">
        <f t="shared" si="539"/>
        <v>0</v>
      </c>
      <c r="CO246" s="235">
        <f t="shared" si="539"/>
        <v>0</v>
      </c>
      <c r="CP246" s="235"/>
      <c r="CQ246" s="241">
        <f>+SUM(AM246:CP246)</f>
        <v>0</v>
      </c>
      <c r="CR246" s="241">
        <f>SUM(AL246,CQ246)</f>
        <v>0</v>
      </c>
      <c r="CS246" s="241">
        <f>SUM(CY246:CY246)</f>
        <v>0</v>
      </c>
      <c r="CT246" s="246">
        <f>ROUND(CT129/1000,0)</f>
        <v>0</v>
      </c>
      <c r="CU246" s="235">
        <f>ROUND(CU129/1000,0)</f>
        <v>0</v>
      </c>
      <c r="CV246" s="235">
        <f>ROUND(CV129/1000,0)</f>
        <v>0</v>
      </c>
      <c r="CW246" s="249">
        <f>ROUND(CW129/1000,0)</f>
        <v>0</v>
      </c>
      <c r="CX246" s="249">
        <f>ROUND(CX129/1000,0)</f>
        <v>0</v>
      </c>
      <c r="CY246" s="249">
        <f>SUM(CT246:CX246)</f>
        <v>0</v>
      </c>
      <c r="CZ246" s="241">
        <f>ROUND(CZ129/1000,0)</f>
        <v>0</v>
      </c>
      <c r="DA246" s="241">
        <f>ROUND(DA129/1000,0)</f>
        <v>0</v>
      </c>
      <c r="DB246" s="193" t="s">
        <v>14011</v>
      </c>
    </row>
    <row r="247" spans="1:106">
      <c r="A247" s="226">
        <f>MAX(A241:A246)+1</f>
        <v>46</v>
      </c>
      <c r="B247" s="227">
        <f t="shared" si="528"/>
        <v>5</v>
      </c>
      <c r="C247" s="226"/>
      <c r="D247" s="226" t="str">
        <f t="shared" si="529"/>
        <v>Credit Line (Payback)</v>
      </c>
      <c r="E247" s="234">
        <f>+F247+CS247+CZ247+DA247</f>
        <v>0</v>
      </c>
      <c r="F247" s="234">
        <f>SUM(G247:K247,M247:N247,P247:U247,W247:X247,Z247:AA247,AC247:AK247,AM247:CP247)</f>
        <v>0</v>
      </c>
      <c r="G247" s="235">
        <f>ROUND(G130/1000,0)</f>
        <v>0</v>
      </c>
      <c r="H247" s="235">
        <f>ROUND(H130/1000,0)</f>
        <v>0</v>
      </c>
      <c r="I247" s="235">
        <f>ROUND(I130/1000,0)</f>
        <v>0</v>
      </c>
      <c r="J247" s="235">
        <f>ROUND(J130/1000,0)</f>
        <v>0</v>
      </c>
      <c r="K247" s="235">
        <f>ROUND(K130/1000,0)</f>
        <v>0</v>
      </c>
      <c r="L247" s="241">
        <f>+SUM(G247:K247)</f>
        <v>0</v>
      </c>
      <c r="M247" s="235">
        <f>ROUND(M130/1000,0)</f>
        <v>0</v>
      </c>
      <c r="N247" s="235">
        <f>ROUND(N130/1000,0)</f>
        <v>0</v>
      </c>
      <c r="O247" s="241">
        <f>+SUM(M247:N247)</f>
        <v>0</v>
      </c>
      <c r="P247" s="235">
        <f t="shared" ref="P247:U247" si="540">ROUND(P130/1000,0)</f>
        <v>0</v>
      </c>
      <c r="Q247" s="235">
        <f t="shared" si="540"/>
        <v>0</v>
      </c>
      <c r="R247" s="235">
        <f t="shared" si="540"/>
        <v>0</v>
      </c>
      <c r="S247" s="235">
        <f t="shared" si="540"/>
        <v>0</v>
      </c>
      <c r="T247" s="235">
        <f t="shared" si="540"/>
        <v>0</v>
      </c>
      <c r="U247" s="235">
        <f t="shared" si="540"/>
        <v>0</v>
      </c>
      <c r="V247" s="234">
        <f>+SUM(P247:U247)</f>
        <v>0</v>
      </c>
      <c r="W247" s="235">
        <f>ROUND(W130/1000,0)</f>
        <v>0</v>
      </c>
      <c r="X247" s="235">
        <f>ROUND(X130/1000,0)</f>
        <v>0</v>
      </c>
      <c r="Y247" s="241">
        <f>SUM(V247:X247)</f>
        <v>0</v>
      </c>
      <c r="Z247" s="235">
        <f>ROUND(Z130/1000,0)</f>
        <v>0</v>
      </c>
      <c r="AA247" s="235">
        <f>ROUND(AA130/1000,0)</f>
        <v>0</v>
      </c>
      <c r="AB247" s="241">
        <f>+SUM(Z247:AA247)</f>
        <v>0</v>
      </c>
      <c r="AC247" s="235">
        <f t="shared" ref="AC247:AK247" si="541">ROUND(AC130/1000,0)</f>
        <v>0</v>
      </c>
      <c r="AD247" s="235">
        <f t="shared" si="541"/>
        <v>0</v>
      </c>
      <c r="AE247" s="235">
        <f t="shared" si="541"/>
        <v>0</v>
      </c>
      <c r="AF247" s="235">
        <f t="shared" si="541"/>
        <v>0</v>
      </c>
      <c r="AG247" s="235">
        <f t="shared" si="541"/>
        <v>0</v>
      </c>
      <c r="AH247" s="235">
        <f t="shared" si="541"/>
        <v>0</v>
      </c>
      <c r="AI247" s="235">
        <f t="shared" si="541"/>
        <v>0</v>
      </c>
      <c r="AJ247" s="235">
        <f t="shared" si="541"/>
        <v>0</v>
      </c>
      <c r="AK247" s="235">
        <f t="shared" si="541"/>
        <v>0</v>
      </c>
      <c r="AL247" s="241">
        <f>SUM(AF247:AK247)</f>
        <v>0</v>
      </c>
      <c r="AM247" s="235">
        <f t="shared" ref="AM247:CO247" si="542">ROUND(AM130/1000,0)</f>
        <v>0</v>
      </c>
      <c r="AN247" s="235">
        <f t="shared" si="542"/>
        <v>0</v>
      </c>
      <c r="AO247" s="235">
        <f t="shared" si="542"/>
        <v>0</v>
      </c>
      <c r="AP247" s="235">
        <f t="shared" si="542"/>
        <v>0</v>
      </c>
      <c r="AQ247" s="235">
        <f t="shared" si="542"/>
        <v>0</v>
      </c>
      <c r="AR247" s="235">
        <f t="shared" si="542"/>
        <v>0</v>
      </c>
      <c r="AS247" s="235">
        <f t="shared" si="542"/>
        <v>0</v>
      </c>
      <c r="AT247" s="235">
        <f t="shared" si="542"/>
        <v>0</v>
      </c>
      <c r="AU247" s="235">
        <f t="shared" si="542"/>
        <v>0</v>
      </c>
      <c r="AV247" s="235">
        <f t="shared" si="542"/>
        <v>0</v>
      </c>
      <c r="AW247" s="235">
        <f t="shared" si="542"/>
        <v>0</v>
      </c>
      <c r="AX247" s="235">
        <f t="shared" si="542"/>
        <v>0</v>
      </c>
      <c r="AY247" s="235">
        <f t="shared" si="542"/>
        <v>0</v>
      </c>
      <c r="AZ247" s="235">
        <f t="shared" si="542"/>
        <v>0</v>
      </c>
      <c r="BA247" s="235">
        <f t="shared" si="542"/>
        <v>0</v>
      </c>
      <c r="BB247" s="235">
        <f t="shared" si="542"/>
        <v>0</v>
      </c>
      <c r="BC247" s="235">
        <f t="shared" si="542"/>
        <v>0</v>
      </c>
      <c r="BD247" s="235">
        <f t="shared" si="542"/>
        <v>0</v>
      </c>
      <c r="BE247" s="235">
        <f t="shared" si="542"/>
        <v>0</v>
      </c>
      <c r="BF247" s="235">
        <f t="shared" si="542"/>
        <v>0</v>
      </c>
      <c r="BG247" s="235">
        <f t="shared" si="542"/>
        <v>0</v>
      </c>
      <c r="BH247" s="235">
        <f t="shared" si="542"/>
        <v>0</v>
      </c>
      <c r="BI247" s="235">
        <f t="shared" si="542"/>
        <v>0</v>
      </c>
      <c r="BJ247" s="235">
        <f t="shared" si="542"/>
        <v>0</v>
      </c>
      <c r="BK247" s="235">
        <f t="shared" si="542"/>
        <v>0</v>
      </c>
      <c r="BL247" s="235">
        <f t="shared" si="542"/>
        <v>0</v>
      </c>
      <c r="BM247" s="235">
        <f t="shared" si="542"/>
        <v>0</v>
      </c>
      <c r="BN247" s="235">
        <f t="shared" si="542"/>
        <v>0</v>
      </c>
      <c r="BO247" s="235">
        <f t="shared" si="542"/>
        <v>0</v>
      </c>
      <c r="BP247" s="235">
        <f t="shared" si="542"/>
        <v>0</v>
      </c>
      <c r="BQ247" s="235">
        <f t="shared" si="542"/>
        <v>0</v>
      </c>
      <c r="BR247" s="235">
        <f t="shared" si="542"/>
        <v>0</v>
      </c>
      <c r="BS247" s="235">
        <f t="shared" si="542"/>
        <v>0</v>
      </c>
      <c r="BT247" s="235">
        <f t="shared" si="542"/>
        <v>0</v>
      </c>
      <c r="BU247" s="235">
        <f t="shared" si="542"/>
        <v>0</v>
      </c>
      <c r="BV247" s="235">
        <f t="shared" si="542"/>
        <v>0</v>
      </c>
      <c r="BW247" s="235">
        <f t="shared" si="542"/>
        <v>0</v>
      </c>
      <c r="BX247" s="235">
        <f t="shared" si="542"/>
        <v>0</v>
      </c>
      <c r="BY247" s="235">
        <f t="shared" si="542"/>
        <v>0</v>
      </c>
      <c r="BZ247" s="235">
        <f t="shared" si="542"/>
        <v>0</v>
      </c>
      <c r="CA247" s="235">
        <f t="shared" si="542"/>
        <v>0</v>
      </c>
      <c r="CB247" s="235">
        <f t="shared" si="542"/>
        <v>0</v>
      </c>
      <c r="CC247" s="235">
        <f t="shared" si="542"/>
        <v>0</v>
      </c>
      <c r="CD247" s="235">
        <f t="shared" si="542"/>
        <v>0</v>
      </c>
      <c r="CE247" s="235">
        <f t="shared" si="542"/>
        <v>0</v>
      </c>
      <c r="CF247" s="235">
        <f t="shared" si="542"/>
        <v>0</v>
      </c>
      <c r="CG247" s="235">
        <f t="shared" si="542"/>
        <v>0</v>
      </c>
      <c r="CH247" s="235">
        <f t="shared" si="542"/>
        <v>0</v>
      </c>
      <c r="CI247" s="235">
        <f t="shared" si="542"/>
        <v>0</v>
      </c>
      <c r="CJ247" s="235">
        <f t="shared" si="542"/>
        <v>0</v>
      </c>
      <c r="CK247" s="235">
        <f t="shared" si="542"/>
        <v>0</v>
      </c>
      <c r="CL247" s="235">
        <f t="shared" si="542"/>
        <v>0</v>
      </c>
      <c r="CM247" s="235">
        <f t="shared" si="542"/>
        <v>0</v>
      </c>
      <c r="CN247" s="235">
        <f t="shared" si="542"/>
        <v>0</v>
      </c>
      <c r="CO247" s="235">
        <f t="shared" si="542"/>
        <v>0</v>
      </c>
      <c r="CP247" s="235"/>
      <c r="CQ247" s="241">
        <f>+SUM(AM247:CP247)</f>
        <v>0</v>
      </c>
      <c r="CR247" s="241">
        <f>SUM(AL247,CQ247)</f>
        <v>0</v>
      </c>
      <c r="CS247" s="241">
        <f>SUM(CY247:CY247)</f>
        <v>0</v>
      </c>
      <c r="CT247" s="246">
        <f>ROUND(CT130/1000,0)</f>
        <v>0</v>
      </c>
      <c r="CU247" s="235">
        <f>ROUND(CU130/1000,0)</f>
        <v>0</v>
      </c>
      <c r="CV247" s="235">
        <f>ROUND(CV130/1000,0)</f>
        <v>0</v>
      </c>
      <c r="CW247" s="249">
        <f>ROUND(CW130/1000,0)</f>
        <v>0</v>
      </c>
      <c r="CX247" s="249">
        <f>ROUND(CX130/1000,0)</f>
        <v>0</v>
      </c>
      <c r="CY247" s="249">
        <f>SUM(CT247:CX247)</f>
        <v>0</v>
      </c>
      <c r="CZ247" s="241">
        <f>ROUND(CZ130/1000,0)</f>
        <v>0</v>
      </c>
      <c r="DA247" s="241">
        <f>ROUND(DA130/1000,0)</f>
        <v>0</v>
      </c>
      <c r="DB247" s="193" t="s">
        <v>14012</v>
      </c>
    </row>
    <row r="248" spans="1:106">
      <c r="A248" s="154">
        <f>MAX(A242:A247)+1</f>
        <v>47</v>
      </c>
      <c r="B248" s="161">
        <f t="shared" si="528"/>
        <v>6</v>
      </c>
      <c r="D248" s="154" t="str">
        <f t="shared" si="529"/>
        <v>Total Outgoing: Acquisition / Loan Repay</v>
      </c>
      <c r="E248" s="198">
        <f>+F248+CS248+CZ248+DA248</f>
        <v>0</v>
      </c>
      <c r="F248" s="153">
        <f>SUM(G248:K248,M248:N248,P248:U248,W248:X248,Z248:AA248,AC248:AK248,AM248:CP248)</f>
        <v>0</v>
      </c>
      <c r="G248" s="152">
        <f>ROUND(G131/1000,0)</f>
        <v>0</v>
      </c>
      <c r="H248" s="152">
        <f>ROUND(H131/1000,0)</f>
        <v>0</v>
      </c>
      <c r="I248" s="152">
        <f>ROUND(I131/1000,0)</f>
        <v>0</v>
      </c>
      <c r="J248" s="152">
        <f>ROUND(J131/1000,0)</f>
        <v>0</v>
      </c>
      <c r="K248" s="152">
        <f>ROUND(K131/1000,0)</f>
        <v>0</v>
      </c>
      <c r="L248" s="205">
        <f>+SUM(G248:K248)</f>
        <v>0</v>
      </c>
      <c r="M248" s="152">
        <f>ROUND(M131/1000,0)</f>
        <v>0</v>
      </c>
      <c r="N248" s="152">
        <f>ROUND(N131/1000,0)</f>
        <v>0</v>
      </c>
      <c r="O248" s="205">
        <f>+SUM(M248:N248)</f>
        <v>0</v>
      </c>
      <c r="P248" s="152">
        <f t="shared" ref="P248:U248" si="543">ROUND(P131/1000,0)</f>
        <v>0</v>
      </c>
      <c r="Q248" s="152">
        <f t="shared" si="543"/>
        <v>0</v>
      </c>
      <c r="R248" s="152">
        <f t="shared" si="543"/>
        <v>0</v>
      </c>
      <c r="S248" s="152">
        <f t="shared" si="543"/>
        <v>0</v>
      </c>
      <c r="T248" s="152">
        <f t="shared" si="543"/>
        <v>0</v>
      </c>
      <c r="U248" s="152">
        <f t="shared" si="543"/>
        <v>0</v>
      </c>
      <c r="V248" s="153">
        <f>+SUM(P248:U248)</f>
        <v>0</v>
      </c>
      <c r="W248" s="152">
        <f>ROUND(W131/1000,0)</f>
        <v>0</v>
      </c>
      <c r="X248" s="152">
        <f>ROUND(X131/1000,0)</f>
        <v>0</v>
      </c>
      <c r="Y248" s="205">
        <f>SUM(V248:X248)</f>
        <v>0</v>
      </c>
      <c r="Z248" s="152">
        <f>ROUND(Z131/1000,0)</f>
        <v>0</v>
      </c>
      <c r="AA248" s="152">
        <f>ROUND(AA131/1000,0)</f>
        <v>0</v>
      </c>
      <c r="AB248" s="205">
        <f>+SUM(Z248:AA248)</f>
        <v>0</v>
      </c>
      <c r="AC248" s="152">
        <f t="shared" ref="AC248:AK248" si="544">ROUND(AC131/1000,0)</f>
        <v>0</v>
      </c>
      <c r="AD248" s="152">
        <f t="shared" si="544"/>
        <v>0</v>
      </c>
      <c r="AE248" s="152">
        <f t="shared" si="544"/>
        <v>0</v>
      </c>
      <c r="AF248" s="152">
        <f t="shared" si="544"/>
        <v>0</v>
      </c>
      <c r="AG248" s="152">
        <f t="shared" si="544"/>
        <v>0</v>
      </c>
      <c r="AH248" s="152">
        <f t="shared" si="544"/>
        <v>0</v>
      </c>
      <c r="AI248" s="152">
        <f t="shared" si="544"/>
        <v>0</v>
      </c>
      <c r="AJ248" s="152">
        <f t="shared" si="544"/>
        <v>0</v>
      </c>
      <c r="AK248" s="152">
        <f t="shared" si="544"/>
        <v>0</v>
      </c>
      <c r="AL248" s="205">
        <f>SUM(AF248:AK248)</f>
        <v>0</v>
      </c>
      <c r="AM248" s="152">
        <f t="shared" ref="AM248:CO248" si="545">ROUND(AM131/1000,0)</f>
        <v>0</v>
      </c>
      <c r="AN248" s="152">
        <f t="shared" si="545"/>
        <v>0</v>
      </c>
      <c r="AO248" s="152">
        <f t="shared" si="545"/>
        <v>0</v>
      </c>
      <c r="AP248" s="152">
        <f t="shared" si="545"/>
        <v>0</v>
      </c>
      <c r="AQ248" s="152">
        <f t="shared" si="545"/>
        <v>0</v>
      </c>
      <c r="AR248" s="152">
        <f t="shared" si="545"/>
        <v>0</v>
      </c>
      <c r="AS248" s="152">
        <f t="shared" si="545"/>
        <v>0</v>
      </c>
      <c r="AT248" s="152">
        <f t="shared" si="545"/>
        <v>0</v>
      </c>
      <c r="AU248" s="152">
        <f t="shared" si="545"/>
        <v>0</v>
      </c>
      <c r="AV248" s="152">
        <f t="shared" si="545"/>
        <v>0</v>
      </c>
      <c r="AW248" s="152">
        <f t="shared" si="545"/>
        <v>0</v>
      </c>
      <c r="AX248" s="152">
        <f t="shared" si="545"/>
        <v>0</v>
      </c>
      <c r="AY248" s="152">
        <f t="shared" si="545"/>
        <v>0</v>
      </c>
      <c r="AZ248" s="152">
        <f t="shared" si="545"/>
        <v>0</v>
      </c>
      <c r="BA248" s="152">
        <f t="shared" si="545"/>
        <v>0</v>
      </c>
      <c r="BB248" s="152">
        <f t="shared" si="545"/>
        <v>0</v>
      </c>
      <c r="BC248" s="152">
        <f t="shared" si="545"/>
        <v>0</v>
      </c>
      <c r="BD248" s="152">
        <f t="shared" si="545"/>
        <v>0</v>
      </c>
      <c r="BE248" s="152">
        <f t="shared" si="545"/>
        <v>0</v>
      </c>
      <c r="BF248" s="152">
        <f t="shared" si="545"/>
        <v>0</v>
      </c>
      <c r="BG248" s="152">
        <f t="shared" si="545"/>
        <v>0</v>
      </c>
      <c r="BH248" s="152">
        <f t="shared" si="545"/>
        <v>0</v>
      </c>
      <c r="BI248" s="152">
        <f t="shared" si="545"/>
        <v>0</v>
      </c>
      <c r="BJ248" s="152">
        <f t="shared" si="545"/>
        <v>0</v>
      </c>
      <c r="BK248" s="152">
        <f t="shared" si="545"/>
        <v>0</v>
      </c>
      <c r="BL248" s="152">
        <f t="shared" si="545"/>
        <v>0</v>
      </c>
      <c r="BM248" s="152">
        <f t="shared" si="545"/>
        <v>0</v>
      </c>
      <c r="BN248" s="152">
        <f t="shared" si="545"/>
        <v>0</v>
      </c>
      <c r="BO248" s="152">
        <f t="shared" si="545"/>
        <v>0</v>
      </c>
      <c r="BP248" s="152">
        <f t="shared" si="545"/>
        <v>0</v>
      </c>
      <c r="BQ248" s="152">
        <f t="shared" si="545"/>
        <v>0</v>
      </c>
      <c r="BR248" s="152">
        <f t="shared" si="545"/>
        <v>0</v>
      </c>
      <c r="BS248" s="152">
        <f t="shared" si="545"/>
        <v>0</v>
      </c>
      <c r="BT248" s="152">
        <f t="shared" si="545"/>
        <v>0</v>
      </c>
      <c r="BU248" s="152">
        <f t="shared" si="545"/>
        <v>0</v>
      </c>
      <c r="BV248" s="152">
        <f t="shared" si="545"/>
        <v>0</v>
      </c>
      <c r="BW248" s="152">
        <f t="shared" si="545"/>
        <v>0</v>
      </c>
      <c r="BX248" s="152">
        <f t="shared" si="545"/>
        <v>0</v>
      </c>
      <c r="BY248" s="152">
        <f t="shared" si="545"/>
        <v>0</v>
      </c>
      <c r="BZ248" s="152">
        <f t="shared" si="545"/>
        <v>0</v>
      </c>
      <c r="CA248" s="152">
        <f t="shared" si="545"/>
        <v>0</v>
      </c>
      <c r="CB248" s="152">
        <f t="shared" si="545"/>
        <v>0</v>
      </c>
      <c r="CC248" s="152">
        <f t="shared" si="545"/>
        <v>0</v>
      </c>
      <c r="CD248" s="152">
        <f t="shared" si="545"/>
        <v>0</v>
      </c>
      <c r="CE248" s="152">
        <f t="shared" si="545"/>
        <v>0</v>
      </c>
      <c r="CF248" s="152">
        <f t="shared" si="545"/>
        <v>0</v>
      </c>
      <c r="CG248" s="152">
        <f t="shared" si="545"/>
        <v>0</v>
      </c>
      <c r="CH248" s="152">
        <f t="shared" si="545"/>
        <v>0</v>
      </c>
      <c r="CI248" s="152">
        <f t="shared" si="545"/>
        <v>0</v>
      </c>
      <c r="CJ248" s="152">
        <f t="shared" si="545"/>
        <v>0</v>
      </c>
      <c r="CK248" s="152">
        <f t="shared" si="545"/>
        <v>0</v>
      </c>
      <c r="CL248" s="152">
        <f t="shared" si="545"/>
        <v>0</v>
      </c>
      <c r="CM248" s="152">
        <f t="shared" si="545"/>
        <v>0</v>
      </c>
      <c r="CN248" s="152">
        <f t="shared" si="545"/>
        <v>0</v>
      </c>
      <c r="CO248" s="152">
        <f t="shared" si="545"/>
        <v>0</v>
      </c>
      <c r="CP248" s="152"/>
      <c r="CQ248" s="205">
        <f>+SUM(AM248:CP248)</f>
        <v>0</v>
      </c>
      <c r="CR248" s="205">
        <f>SUM(AL248,CQ248)</f>
        <v>0</v>
      </c>
      <c r="CS248" s="205">
        <f>SUM(CY248:CY248)</f>
        <v>0</v>
      </c>
      <c r="CT248" s="209">
        <f>ROUND(CT131/1000,0)</f>
        <v>0</v>
      </c>
      <c r="CU248" s="152">
        <f>ROUND(CU131/1000,0)</f>
        <v>0</v>
      </c>
      <c r="CV248" s="152">
        <f>ROUND(CV131/1000,0)</f>
        <v>0</v>
      </c>
      <c r="CW248" s="212">
        <f>ROUND(CW131/1000,0)</f>
        <v>0</v>
      </c>
      <c r="CX248" s="212">
        <f>ROUND(CX131/1000,0)</f>
        <v>0</v>
      </c>
      <c r="CY248" s="212">
        <f>SUM(CT248:CX248)</f>
        <v>0</v>
      </c>
      <c r="CZ248" s="205">
        <f>ROUND(CZ131/1000,0)</f>
        <v>0</v>
      </c>
      <c r="DA248" s="205">
        <f>ROUND(DA131/1000,0)</f>
        <v>0</v>
      </c>
      <c r="DB248" s="155" t="s">
        <v>13953</v>
      </c>
    </row>
    <row r="249" spans="2:105">
      <c r="B249" s="161"/>
      <c r="E249" s="198"/>
      <c r="F249" s="153"/>
      <c r="G249" s="152"/>
      <c r="H249" s="152"/>
      <c r="I249" s="152"/>
      <c r="J249" s="152"/>
      <c r="K249" s="152"/>
      <c r="L249" s="205"/>
      <c r="M249" s="152"/>
      <c r="N249" s="152"/>
      <c r="O249" s="205"/>
      <c r="P249" s="152"/>
      <c r="Q249" s="152"/>
      <c r="R249" s="152"/>
      <c r="S249" s="152"/>
      <c r="T249" s="152"/>
      <c r="U249" s="152"/>
      <c r="V249" s="153"/>
      <c r="W249" s="152"/>
      <c r="X249" s="152"/>
      <c r="Y249" s="205"/>
      <c r="Z249" s="152"/>
      <c r="AA249" s="152"/>
      <c r="AB249" s="205"/>
      <c r="AC249" s="152"/>
      <c r="AD249" s="152"/>
      <c r="AE249" s="152"/>
      <c r="AF249" s="152"/>
      <c r="AG249" s="152"/>
      <c r="AH249" s="152"/>
      <c r="AI249" s="152"/>
      <c r="AJ249" s="152"/>
      <c r="AK249" s="152"/>
      <c r="AL249" s="205"/>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c r="BG249" s="152"/>
      <c r="BH249" s="152"/>
      <c r="BI249" s="152"/>
      <c r="BJ249" s="152"/>
      <c r="BK249" s="152"/>
      <c r="BL249" s="152"/>
      <c r="BM249" s="152"/>
      <c r="BN249" s="152"/>
      <c r="BO249" s="152"/>
      <c r="BP249" s="152"/>
      <c r="BQ249" s="152"/>
      <c r="BR249" s="152"/>
      <c r="BS249" s="152"/>
      <c r="BT249" s="152"/>
      <c r="BU249" s="152"/>
      <c r="BV249" s="152"/>
      <c r="BW249" s="152"/>
      <c r="BX249" s="152"/>
      <c r="BY249" s="152"/>
      <c r="BZ249" s="152"/>
      <c r="CA249" s="152"/>
      <c r="CB249" s="152"/>
      <c r="CC249" s="152"/>
      <c r="CD249" s="152"/>
      <c r="CE249" s="152"/>
      <c r="CF249" s="152"/>
      <c r="CG249" s="152"/>
      <c r="CH249" s="152"/>
      <c r="CI249" s="152"/>
      <c r="CJ249" s="152"/>
      <c r="CK249" s="152"/>
      <c r="CL249" s="152"/>
      <c r="CM249" s="152"/>
      <c r="CN249" s="152"/>
      <c r="CO249" s="152"/>
      <c r="CP249" s="152"/>
      <c r="CQ249" s="205"/>
      <c r="CR249" s="205"/>
      <c r="CS249" s="205"/>
      <c r="CT249" s="209"/>
      <c r="CU249" s="152"/>
      <c r="CV249" s="152"/>
      <c r="CW249" s="212"/>
      <c r="CX249" s="212"/>
      <c r="CY249" s="212"/>
      <c r="CZ249" s="205"/>
      <c r="DA249" s="205"/>
    </row>
    <row r="250" spans="1:106">
      <c r="A250" s="154">
        <f>MAX(A244:A249)+1</f>
        <v>48</v>
      </c>
      <c r="B250" s="161">
        <f>B249+1</f>
        <v>1</v>
      </c>
      <c r="D250" s="154" t="str">
        <f>IF(D133="","",D133)</f>
        <v>Net Cash Flow before transfers</v>
      </c>
      <c r="E250" s="198">
        <f ca="true">+F250+CS250+CZ250+DA250</f>
        <v>-8099</v>
      </c>
      <c r="F250" s="153">
        <f ca="true">SUM(G250:K250,M250:N250,P250:U250,W250:X250,Z250:AA250,AC250:AK250,AM250:CP250)</f>
        <v>-2763</v>
      </c>
      <c r="G250" s="152">
        <f>ROUND(G133/1000,0)</f>
        <v>603</v>
      </c>
      <c r="H250" s="152">
        <f>ROUND(H133/1000,0)</f>
        <v>-24</v>
      </c>
      <c r="I250" s="152">
        <f>ROUND(I133/1000,0)</f>
        <v>57</v>
      </c>
      <c r="J250" s="152">
        <f>ROUND(J133/1000,0)</f>
        <v>29</v>
      </c>
      <c r="K250" s="152">
        <f>ROUND(K133/1000,0)</f>
        <v>20</v>
      </c>
      <c r="L250" s="205">
        <f>+SUM(G250:K250)</f>
        <v>685</v>
      </c>
      <c r="M250" s="152">
        <f>ROUND(M133/1000,0)</f>
        <v>72</v>
      </c>
      <c r="N250" s="152">
        <f>ROUND(N133/1000,0)</f>
        <v>77</v>
      </c>
      <c r="O250" s="205">
        <f>+SUM(M250:N250)</f>
        <v>149</v>
      </c>
      <c r="P250" s="152">
        <f t="shared" ref="P250:U250" ca="true" si="546">ROUND(P133/1000,0)</f>
        <v>4</v>
      </c>
      <c r="Q250" s="152">
        <f t="shared" ca="true" si="546"/>
        <v>1</v>
      </c>
      <c r="R250" s="152">
        <f t="shared" ca="true" si="546"/>
        <v>5</v>
      </c>
      <c r="S250" s="152">
        <f t="shared" ca="true" si="546"/>
        <v>4</v>
      </c>
      <c r="T250" s="152">
        <f t="shared" ca="true" si="546"/>
        <v>2</v>
      </c>
      <c r="U250" s="152">
        <f t="shared" ca="true" si="546"/>
        <v>10</v>
      </c>
      <c r="V250" s="153">
        <f ca="true">+SUM(P250:U250)</f>
        <v>26</v>
      </c>
      <c r="W250" s="152">
        <f ca="true">ROUND(W133/1000,0)</f>
        <v>3</v>
      </c>
      <c r="X250" s="152">
        <f ca="true">ROUND(X133/1000,0)</f>
        <v>-789</v>
      </c>
      <c r="Y250" s="206">
        <f ca="true">SUM(V250:X250)</f>
        <v>-760</v>
      </c>
      <c r="Z250" s="152">
        <f ca="true">ROUND(Z133/1000,0)</f>
        <v>2</v>
      </c>
      <c r="AA250" s="152">
        <f ca="true">ROUND(AA133/1000,0)</f>
        <v>-3</v>
      </c>
      <c r="AB250" s="205">
        <f ca="true">+SUM(Z250:AA250)</f>
        <v>-1</v>
      </c>
      <c r="AC250" s="152">
        <f t="shared" ref="AC250:AK250" ca="true" si="547">ROUND(AC133/1000,0)</f>
        <v>-16</v>
      </c>
      <c r="AD250" s="152">
        <f t="shared" ca="true" si="547"/>
        <v>-66</v>
      </c>
      <c r="AE250" s="152">
        <f t="shared" ca="true" si="547"/>
        <v>-152</v>
      </c>
      <c r="AF250" s="152">
        <f t="shared" ca="true" si="547"/>
        <v>-11</v>
      </c>
      <c r="AG250" s="152">
        <f t="shared" ca="true" si="547"/>
        <v>19</v>
      </c>
      <c r="AH250" s="152">
        <f t="shared" ca="true" si="547"/>
        <v>9</v>
      </c>
      <c r="AI250" s="152">
        <f t="shared" ca="true" si="547"/>
        <v>13</v>
      </c>
      <c r="AJ250" s="152">
        <f t="shared" ca="true" si="547"/>
        <v>8</v>
      </c>
      <c r="AK250" s="152">
        <f t="shared" ca="true" si="547"/>
        <v>-3</v>
      </c>
      <c r="AL250" s="205">
        <f ca="true">SUM(AF250:AK250)</f>
        <v>35</v>
      </c>
      <c r="AM250" s="152">
        <f t="shared" ref="AM250:CO250" ca="true" si="548">ROUND(AM133/1000,0)</f>
        <v>0</v>
      </c>
      <c r="AN250" s="152">
        <f t="shared" ca="true" si="548"/>
        <v>-84</v>
      </c>
      <c r="AO250" s="152">
        <f t="shared" ca="true" si="548"/>
        <v>-76</v>
      </c>
      <c r="AP250" s="152">
        <f t="shared" ca="true" si="548"/>
        <v>0</v>
      </c>
      <c r="AQ250" s="152">
        <f t="shared" ca="true" si="548"/>
        <v>-33</v>
      </c>
      <c r="AR250" s="152">
        <f t="shared" ca="true" si="548"/>
        <v>0</v>
      </c>
      <c r="AS250" s="152">
        <f t="shared" ca="true" si="548"/>
        <v>2</v>
      </c>
      <c r="AT250" s="152">
        <f t="shared" ca="true" si="548"/>
        <v>16</v>
      </c>
      <c r="AU250" s="152">
        <f t="shared" ca="true" si="548"/>
        <v>44</v>
      </c>
      <c r="AV250" s="152">
        <f t="shared" ca="true" si="548"/>
        <v>13</v>
      </c>
      <c r="AW250" s="152">
        <f t="shared" ca="true" si="548"/>
        <v>0</v>
      </c>
      <c r="AX250" s="152">
        <f t="shared" ca="true" si="548"/>
        <v>0</v>
      </c>
      <c r="AY250" s="152">
        <f t="shared" ca="true" si="548"/>
        <v>0</v>
      </c>
      <c r="AZ250" s="152">
        <f t="shared" ca="true" si="548"/>
        <v>14</v>
      </c>
      <c r="BA250" s="152">
        <f t="shared" ca="true" si="548"/>
        <v>9</v>
      </c>
      <c r="BB250" s="152">
        <f t="shared" ca="true" si="548"/>
        <v>0</v>
      </c>
      <c r="BC250" s="152">
        <f t="shared" ca="true" si="548"/>
        <v>16</v>
      </c>
      <c r="BD250" s="152">
        <f t="shared" ca="true" si="548"/>
        <v>12</v>
      </c>
      <c r="BE250" s="152">
        <f t="shared" ca="true" si="548"/>
        <v>13</v>
      </c>
      <c r="BF250" s="152">
        <f t="shared" ca="true" si="548"/>
        <v>6</v>
      </c>
      <c r="BG250" s="152">
        <f t="shared" ca="true" si="548"/>
        <v>12</v>
      </c>
      <c r="BH250" s="152">
        <f t="shared" ca="true" si="548"/>
        <v>0</v>
      </c>
      <c r="BI250" s="152">
        <f t="shared" ca="true" si="548"/>
        <v>5</v>
      </c>
      <c r="BJ250" s="152">
        <f t="shared" ca="true" si="548"/>
        <v>0</v>
      </c>
      <c r="BK250" s="152">
        <f t="shared" ca="true" si="548"/>
        <v>-4</v>
      </c>
      <c r="BL250" s="152">
        <f t="shared" ca="true" si="548"/>
        <v>11</v>
      </c>
      <c r="BM250" s="152">
        <f t="shared" ca="true" si="548"/>
        <v>9</v>
      </c>
      <c r="BN250" s="152">
        <f t="shared" ca="true" si="548"/>
        <v>1</v>
      </c>
      <c r="BO250" s="152">
        <f t="shared" ca="true" si="548"/>
        <v>0</v>
      </c>
      <c r="BP250" s="152">
        <f t="shared" ca="true" si="548"/>
        <v>13</v>
      </c>
      <c r="BQ250" s="152">
        <f t="shared" ca="true" si="548"/>
        <v>9</v>
      </c>
      <c r="BR250" s="152">
        <f t="shared" ca="true" si="548"/>
        <v>-578</v>
      </c>
      <c r="BS250" s="152">
        <f t="shared" ca="true" si="548"/>
        <v>-13</v>
      </c>
      <c r="BT250" s="152">
        <f t="shared" ca="true" si="548"/>
        <v>0</v>
      </c>
      <c r="BU250" s="152">
        <f t="shared" ca="true" si="548"/>
        <v>0</v>
      </c>
      <c r="BV250" s="152">
        <f t="shared" ca="true" si="548"/>
        <v>0</v>
      </c>
      <c r="BW250" s="152">
        <f t="shared" ca="true" si="548"/>
        <v>-3</v>
      </c>
      <c r="BX250" s="152">
        <f t="shared" ca="true" si="548"/>
        <v>-185</v>
      </c>
      <c r="BY250" s="152">
        <f t="shared" ca="true" si="548"/>
        <v>0</v>
      </c>
      <c r="BZ250" s="152">
        <f t="shared" ca="true" si="548"/>
        <v>-315</v>
      </c>
      <c r="CA250" s="152">
        <f t="shared" ca="true" si="548"/>
        <v>-29</v>
      </c>
      <c r="CB250" s="152">
        <f t="shared" ca="true" si="548"/>
        <v>-9</v>
      </c>
      <c r="CC250" s="152">
        <f t="shared" ca="true" si="548"/>
        <v>-9</v>
      </c>
      <c r="CD250" s="152">
        <f t="shared" ca="true" si="548"/>
        <v>5</v>
      </c>
      <c r="CE250" s="152">
        <f t="shared" ca="true" si="548"/>
        <v>-66</v>
      </c>
      <c r="CF250" s="152">
        <f t="shared" ca="true" si="548"/>
        <v>28</v>
      </c>
      <c r="CG250" s="152">
        <f t="shared" ca="true" si="548"/>
        <v>-2</v>
      </c>
      <c r="CH250" s="152">
        <f t="shared" ca="true" si="548"/>
        <v>-63</v>
      </c>
      <c r="CI250" s="152">
        <f t="shared" ca="true" si="548"/>
        <v>-44</v>
      </c>
      <c r="CJ250" s="152">
        <f t="shared" ca="true" si="548"/>
        <v>-45</v>
      </c>
      <c r="CK250" s="152">
        <f t="shared" ca="true" si="548"/>
        <v>-3</v>
      </c>
      <c r="CL250" s="152">
        <f t="shared" ca="true" si="548"/>
        <v>-9</v>
      </c>
      <c r="CM250" s="152">
        <f t="shared" ca="true" si="548"/>
        <v>-171</v>
      </c>
      <c r="CN250" s="152">
        <f t="shared" ca="true" si="548"/>
        <v>-17</v>
      </c>
      <c r="CO250" s="152">
        <f t="shared" ca="true" si="548"/>
        <v>-1117</v>
      </c>
      <c r="CP250" s="152"/>
      <c r="CQ250" s="205">
        <f ca="true">+SUM(AM250:CP250)</f>
        <v>-2637</v>
      </c>
      <c r="CR250" s="205">
        <f ca="true">SUM(AL250,CQ250)</f>
        <v>-2602</v>
      </c>
      <c r="CS250" s="205">
        <f ca="true">SUM(CY250:CY250)</f>
        <v>-174</v>
      </c>
      <c r="CT250" s="209">
        <f ca="true">ROUND(CT133/1000,0)</f>
        <v>0</v>
      </c>
      <c r="CU250" s="152">
        <f ca="true">ROUND(CU133/1000,0)</f>
        <v>-155</v>
      </c>
      <c r="CV250" s="152">
        <f ca="true">ROUND(CV133/1000,0)</f>
        <v>-38</v>
      </c>
      <c r="CW250" s="212">
        <f ca="true">ROUND(CW133/1000,0)</f>
        <v>19</v>
      </c>
      <c r="CX250" s="212">
        <f ca="true">ROUND(CX133/1000,0)</f>
        <v>0</v>
      </c>
      <c r="CY250" s="212">
        <f ca="true">SUM(CT250:CX250)</f>
        <v>-174</v>
      </c>
      <c r="CZ250" s="205">
        <f>ROUND(CZ133/1000,0)</f>
        <v>0</v>
      </c>
      <c r="DA250" s="205">
        <f>ROUND(DA133/1000,0)</f>
        <v>-5162</v>
      </c>
      <c r="DB250" s="155" t="s">
        <v>14013</v>
      </c>
    </row>
    <row r="251" spans="2:105">
      <c r="B251" s="161"/>
      <c r="E251" s="169"/>
      <c r="F251" s="153"/>
      <c r="G251" s="152"/>
      <c r="H251" s="152"/>
      <c r="I251" s="152"/>
      <c r="J251" s="152"/>
      <c r="K251" s="152"/>
      <c r="L251" s="205"/>
      <c r="M251" s="152"/>
      <c r="N251" s="152"/>
      <c r="O251" s="205"/>
      <c r="P251" s="152"/>
      <c r="Q251" s="152"/>
      <c r="R251" s="152"/>
      <c r="S251" s="152"/>
      <c r="T251" s="152"/>
      <c r="U251" s="152"/>
      <c r="V251" s="153"/>
      <c r="W251" s="152"/>
      <c r="X251" s="152"/>
      <c r="Y251" s="206"/>
      <c r="Z251" s="152"/>
      <c r="AA251" s="152"/>
      <c r="AB251" s="205"/>
      <c r="AC251" s="152"/>
      <c r="AD251" s="152"/>
      <c r="AE251" s="152"/>
      <c r="AF251" s="152"/>
      <c r="AG251" s="152"/>
      <c r="AH251" s="152"/>
      <c r="AI251" s="152"/>
      <c r="AJ251" s="152"/>
      <c r="AK251" s="152"/>
      <c r="AL251" s="205"/>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c r="BH251" s="152"/>
      <c r="BI251" s="152"/>
      <c r="BJ251" s="152"/>
      <c r="BK251" s="152"/>
      <c r="BL251" s="152"/>
      <c r="BM251" s="152"/>
      <c r="BN251" s="152"/>
      <c r="BO251" s="152"/>
      <c r="BP251" s="152"/>
      <c r="BQ251" s="152"/>
      <c r="BR251" s="152"/>
      <c r="BS251" s="152"/>
      <c r="BT251" s="152"/>
      <c r="BU251" s="152"/>
      <c r="BV251" s="152"/>
      <c r="BW251" s="152"/>
      <c r="BX251" s="152"/>
      <c r="BY251" s="152"/>
      <c r="BZ251" s="152"/>
      <c r="CA251" s="152"/>
      <c r="CB251" s="152"/>
      <c r="CC251" s="152"/>
      <c r="CD251" s="152"/>
      <c r="CE251" s="152"/>
      <c r="CF251" s="152"/>
      <c r="CG251" s="152"/>
      <c r="CH251" s="152"/>
      <c r="CI251" s="152"/>
      <c r="CJ251" s="152"/>
      <c r="CK251" s="152"/>
      <c r="CL251" s="152"/>
      <c r="CM251" s="152"/>
      <c r="CN251" s="152"/>
      <c r="CO251" s="152"/>
      <c r="CP251" s="152"/>
      <c r="CQ251" s="205"/>
      <c r="CR251" s="205"/>
      <c r="CS251" s="205"/>
      <c r="CT251" s="209"/>
      <c r="CU251" s="152"/>
      <c r="CV251" s="152"/>
      <c r="CW251" s="212"/>
      <c r="CX251" s="212"/>
      <c r="CY251" s="212"/>
      <c r="CZ251" s="205"/>
      <c r="DA251" s="205"/>
    </row>
    <row r="252" spans="2:106">
      <c r="B252" s="161">
        <f>B251+1</f>
        <v>1</v>
      </c>
      <c r="D252" s="154" t="str">
        <f>IF(D135="","",D135)</f>
        <v>Incoming: Transfers / Equity from (needs to be only going out of the company)</v>
      </c>
      <c r="E252" s="169"/>
      <c r="F252" s="153"/>
      <c r="G252" s="152"/>
      <c r="H252" s="152"/>
      <c r="I252" s="152"/>
      <c r="J252" s="152"/>
      <c r="K252" s="152"/>
      <c r="L252" s="205"/>
      <c r="M252" s="152"/>
      <c r="N252" s="152"/>
      <c r="O252" s="205"/>
      <c r="P252" s="152"/>
      <c r="Q252" s="152"/>
      <c r="R252" s="152"/>
      <c r="S252" s="152"/>
      <c r="T252" s="152"/>
      <c r="U252" s="152"/>
      <c r="V252" s="153"/>
      <c r="W252" s="152"/>
      <c r="X252" s="152"/>
      <c r="Y252" s="205"/>
      <c r="Z252" s="152"/>
      <c r="AA252" s="152"/>
      <c r="AB252" s="205"/>
      <c r="AC252" s="152"/>
      <c r="AD252" s="152"/>
      <c r="AE252" s="152"/>
      <c r="AF252" s="152"/>
      <c r="AG252" s="152"/>
      <c r="AH252" s="152"/>
      <c r="AI252" s="152"/>
      <c r="AJ252" s="152"/>
      <c r="AK252" s="152"/>
      <c r="AL252" s="205"/>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c r="BG252" s="152"/>
      <c r="BH252" s="152"/>
      <c r="BI252" s="152"/>
      <c r="BJ252" s="152"/>
      <c r="BK252" s="152"/>
      <c r="BL252" s="152"/>
      <c r="BM252" s="152"/>
      <c r="BN252" s="152"/>
      <c r="BO252" s="152"/>
      <c r="BP252" s="152"/>
      <c r="BQ252" s="152"/>
      <c r="BR252" s="152"/>
      <c r="BS252" s="152"/>
      <c r="BT252" s="152"/>
      <c r="BU252" s="152"/>
      <c r="BV252" s="152"/>
      <c r="BW252" s="152"/>
      <c r="BX252" s="152"/>
      <c r="BY252" s="152"/>
      <c r="BZ252" s="152"/>
      <c r="CA252" s="152"/>
      <c r="CB252" s="152"/>
      <c r="CC252" s="152"/>
      <c r="CD252" s="152"/>
      <c r="CE252" s="152"/>
      <c r="CF252" s="152"/>
      <c r="CG252" s="152"/>
      <c r="CH252" s="152"/>
      <c r="CI252" s="152"/>
      <c r="CJ252" s="152"/>
      <c r="CK252" s="152"/>
      <c r="CL252" s="152"/>
      <c r="CM252" s="152"/>
      <c r="CN252" s="152"/>
      <c r="CO252" s="152"/>
      <c r="CP252" s="152"/>
      <c r="CQ252" s="205"/>
      <c r="CR252" s="205"/>
      <c r="CS252" s="205"/>
      <c r="CT252" s="209"/>
      <c r="CU252" s="152"/>
      <c r="CV252" s="152"/>
      <c r="CW252" s="212"/>
      <c r="CX252" s="212"/>
      <c r="CY252" s="212"/>
      <c r="CZ252" s="205"/>
      <c r="DA252" s="205"/>
      <c r="DB252" s="260" t="s">
        <v>13965</v>
      </c>
    </row>
    <row r="253" spans="2:105">
      <c r="B253" s="161">
        <f>B252+1</f>
        <v>2</v>
      </c>
      <c r="D253" s="154" t="str">
        <f>IF(D136="","",D136)</f>
      </c>
      <c r="E253" s="153"/>
      <c r="F253" s="153"/>
      <c r="G253" s="152"/>
      <c r="H253" s="152"/>
      <c r="I253" s="152"/>
      <c r="J253" s="152"/>
      <c r="K253" s="152"/>
      <c r="L253" s="205"/>
      <c r="M253" s="152"/>
      <c r="N253" s="152"/>
      <c r="O253" s="205"/>
      <c r="P253" s="152"/>
      <c r="Q253" s="152"/>
      <c r="R253" s="152"/>
      <c r="S253" s="152"/>
      <c r="T253" s="152"/>
      <c r="U253" s="152"/>
      <c r="V253" s="153"/>
      <c r="W253" s="152"/>
      <c r="X253" s="152"/>
      <c r="Y253" s="205"/>
      <c r="Z253" s="152"/>
      <c r="AA253" s="152"/>
      <c r="AB253" s="205"/>
      <c r="AC253" s="152"/>
      <c r="AD253" s="152"/>
      <c r="AE253" s="152"/>
      <c r="AF253" s="152"/>
      <c r="AG253" s="152"/>
      <c r="AH253" s="152"/>
      <c r="AI253" s="152"/>
      <c r="AJ253" s="152"/>
      <c r="AK253" s="152"/>
      <c r="AL253" s="205"/>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c r="BG253" s="152"/>
      <c r="BH253" s="152"/>
      <c r="BI253" s="152"/>
      <c r="BJ253" s="152"/>
      <c r="BK253" s="152"/>
      <c r="BL253" s="152"/>
      <c r="BM253" s="152"/>
      <c r="BN253" s="152"/>
      <c r="BO253" s="152"/>
      <c r="BP253" s="152"/>
      <c r="BQ253" s="152"/>
      <c r="BR253" s="152"/>
      <c r="BS253" s="152"/>
      <c r="BT253" s="152"/>
      <c r="BU253" s="152"/>
      <c r="BV253" s="152"/>
      <c r="BW253" s="152"/>
      <c r="BX253" s="152"/>
      <c r="BY253" s="152"/>
      <c r="BZ253" s="152"/>
      <c r="CA253" s="152"/>
      <c r="CB253" s="152"/>
      <c r="CC253" s="152"/>
      <c r="CD253" s="152"/>
      <c r="CE253" s="152"/>
      <c r="CF253" s="152"/>
      <c r="CG253" s="152"/>
      <c r="CH253" s="152"/>
      <c r="CI253" s="152"/>
      <c r="CJ253" s="152"/>
      <c r="CK253" s="152"/>
      <c r="CL253" s="152"/>
      <c r="CM253" s="152"/>
      <c r="CN253" s="152"/>
      <c r="CO253" s="152"/>
      <c r="CP253" s="152"/>
      <c r="CQ253" s="205"/>
      <c r="CR253" s="205"/>
      <c r="CS253" s="205"/>
      <c r="CT253" s="209"/>
      <c r="CU253" s="152"/>
      <c r="CV253" s="152"/>
      <c r="CW253" s="212"/>
      <c r="CX253" s="212"/>
      <c r="CY253" s="212"/>
      <c r="CZ253" s="205"/>
      <c r="DA253" s="205"/>
    </row>
    <row r="254" spans="1:106">
      <c r="A254" s="226">
        <f>MAX(A248:A253)+1</f>
        <v>49</v>
      </c>
      <c r="B254" s="227">
        <f>B253+1</f>
        <v>3</v>
      </c>
      <c r="C254" s="226"/>
      <c r="D254" s="226" t="s">
        <v>13968</v>
      </c>
      <c r="E254" s="234">
        <f>+F254+CS254+CZ254+DA254</f>
        <v>0</v>
      </c>
      <c r="F254" s="234">
        <f>SUM(G254:K254,M254:N254,P254:U254,W254:X254,Z254:AA254,AC254:AK254,AM254:CP254)</f>
        <v>0</v>
      </c>
      <c r="G254" s="235">
        <f>ROUND(G137/1000,0)</f>
        <v>0</v>
      </c>
      <c r="H254" s="235">
        <f>ROUND(H137/1000,0)</f>
        <v>0</v>
      </c>
      <c r="I254" s="235">
        <f>ROUND(I137/1000,0)</f>
        <v>0</v>
      </c>
      <c r="J254" s="235">
        <f>ROUND(J137/1000,0)</f>
        <v>0</v>
      </c>
      <c r="K254" s="235">
        <f>ROUND(K137/1000,0)</f>
        <v>0</v>
      </c>
      <c r="L254" s="241">
        <f>+SUM(G254:K254)</f>
        <v>0</v>
      </c>
      <c r="M254" s="235">
        <f>ROUND(M137/1000,0)</f>
        <v>0</v>
      </c>
      <c r="N254" s="235">
        <f>ROUND(N137/1000,0)</f>
        <v>0</v>
      </c>
      <c r="O254" s="241">
        <f>+SUM(M254:N254)</f>
        <v>0</v>
      </c>
      <c r="P254" s="235">
        <f t="shared" ref="P254:U254" si="549">ROUND(P137/1000,0)</f>
        <v>0</v>
      </c>
      <c r="Q254" s="235">
        <f t="shared" si="549"/>
        <v>0</v>
      </c>
      <c r="R254" s="235">
        <f t="shared" si="549"/>
        <v>0</v>
      </c>
      <c r="S254" s="235">
        <f t="shared" si="549"/>
        <v>0</v>
      </c>
      <c r="T254" s="235">
        <f t="shared" si="549"/>
        <v>0</v>
      </c>
      <c r="U254" s="235">
        <f t="shared" si="549"/>
        <v>0</v>
      </c>
      <c r="V254" s="234">
        <f>+SUM(P254:U254)</f>
        <v>0</v>
      </c>
      <c r="W254" s="235">
        <f>ROUND(W137/1000,0)</f>
        <v>0</v>
      </c>
      <c r="X254" s="235">
        <f>ROUND(X137/1000,0)</f>
        <v>0</v>
      </c>
      <c r="Y254" s="241">
        <f>SUM(V254:X254)</f>
        <v>0</v>
      </c>
      <c r="Z254" s="235">
        <f>ROUND(Z137/1000,0)</f>
        <v>0</v>
      </c>
      <c r="AA254" s="235">
        <f>ROUND(AA137/1000,0)</f>
        <v>0</v>
      </c>
      <c r="AB254" s="241">
        <f>+SUM(Z254:AA254)</f>
        <v>0</v>
      </c>
      <c r="AC254" s="235">
        <f t="shared" ref="AC254:AK254" si="550">ROUND(AC137/1000,0)</f>
        <v>0</v>
      </c>
      <c r="AD254" s="235">
        <f t="shared" si="550"/>
        <v>0</v>
      </c>
      <c r="AE254" s="235">
        <f t="shared" si="550"/>
        <v>0</v>
      </c>
      <c r="AF254" s="235">
        <f t="shared" si="550"/>
        <v>0</v>
      </c>
      <c r="AG254" s="235">
        <f t="shared" si="550"/>
        <v>0</v>
      </c>
      <c r="AH254" s="235">
        <f t="shared" si="550"/>
        <v>0</v>
      </c>
      <c r="AI254" s="235">
        <f t="shared" si="550"/>
        <v>0</v>
      </c>
      <c r="AJ254" s="235">
        <f t="shared" si="550"/>
        <v>0</v>
      </c>
      <c r="AK254" s="235">
        <f t="shared" si="550"/>
        <v>0</v>
      </c>
      <c r="AL254" s="241">
        <f>SUM(AF254:AK254)</f>
        <v>0</v>
      </c>
      <c r="AM254" s="235">
        <f t="shared" ref="AM254:CO254" si="551">ROUND(AM137/1000,0)</f>
        <v>0</v>
      </c>
      <c r="AN254" s="235">
        <f t="shared" si="551"/>
        <v>0</v>
      </c>
      <c r="AO254" s="235">
        <f t="shared" si="551"/>
        <v>0</v>
      </c>
      <c r="AP254" s="235">
        <f t="shared" si="551"/>
        <v>0</v>
      </c>
      <c r="AQ254" s="235">
        <f t="shared" si="551"/>
        <v>0</v>
      </c>
      <c r="AR254" s="235">
        <f t="shared" si="551"/>
        <v>0</v>
      </c>
      <c r="AS254" s="235">
        <f t="shared" si="551"/>
        <v>0</v>
      </c>
      <c r="AT254" s="235">
        <f t="shared" si="551"/>
        <v>0</v>
      </c>
      <c r="AU254" s="235">
        <f t="shared" si="551"/>
        <v>0</v>
      </c>
      <c r="AV254" s="235">
        <f t="shared" si="551"/>
        <v>0</v>
      </c>
      <c r="AW254" s="235">
        <f t="shared" si="551"/>
        <v>0</v>
      </c>
      <c r="AX254" s="235">
        <f t="shared" si="551"/>
        <v>0</v>
      </c>
      <c r="AY254" s="235">
        <f t="shared" si="551"/>
        <v>0</v>
      </c>
      <c r="AZ254" s="235">
        <f t="shared" si="551"/>
        <v>0</v>
      </c>
      <c r="BA254" s="235">
        <f t="shared" si="551"/>
        <v>0</v>
      </c>
      <c r="BB254" s="235">
        <f t="shared" si="551"/>
        <v>0</v>
      </c>
      <c r="BC254" s="235">
        <f t="shared" si="551"/>
        <v>0</v>
      </c>
      <c r="BD254" s="235">
        <f t="shared" si="551"/>
        <v>0</v>
      </c>
      <c r="BE254" s="235">
        <f t="shared" si="551"/>
        <v>0</v>
      </c>
      <c r="BF254" s="235">
        <f t="shared" si="551"/>
        <v>0</v>
      </c>
      <c r="BG254" s="235">
        <f t="shared" si="551"/>
        <v>0</v>
      </c>
      <c r="BH254" s="235">
        <f t="shared" si="551"/>
        <v>0</v>
      </c>
      <c r="BI254" s="235">
        <f t="shared" si="551"/>
        <v>0</v>
      </c>
      <c r="BJ254" s="235">
        <f t="shared" si="551"/>
        <v>0</v>
      </c>
      <c r="BK254" s="235">
        <f t="shared" si="551"/>
        <v>0</v>
      </c>
      <c r="BL254" s="235">
        <f t="shared" si="551"/>
        <v>0</v>
      </c>
      <c r="BM254" s="235">
        <f t="shared" si="551"/>
        <v>0</v>
      </c>
      <c r="BN254" s="235">
        <f t="shared" si="551"/>
        <v>0</v>
      </c>
      <c r="BO254" s="235">
        <f t="shared" si="551"/>
        <v>0</v>
      </c>
      <c r="BP254" s="235">
        <f t="shared" si="551"/>
        <v>0</v>
      </c>
      <c r="BQ254" s="235">
        <f t="shared" si="551"/>
        <v>0</v>
      </c>
      <c r="BR254" s="235">
        <f t="shared" si="551"/>
        <v>0</v>
      </c>
      <c r="BS254" s="235">
        <f t="shared" si="551"/>
        <v>0</v>
      </c>
      <c r="BT254" s="235">
        <f t="shared" si="551"/>
        <v>0</v>
      </c>
      <c r="BU254" s="235">
        <f t="shared" si="551"/>
        <v>0</v>
      </c>
      <c r="BV254" s="235">
        <f t="shared" si="551"/>
        <v>0</v>
      </c>
      <c r="BW254" s="235">
        <f t="shared" si="551"/>
        <v>0</v>
      </c>
      <c r="BX254" s="235">
        <f t="shared" si="551"/>
        <v>0</v>
      </c>
      <c r="BY254" s="235">
        <f t="shared" si="551"/>
        <v>0</v>
      </c>
      <c r="BZ254" s="235">
        <f t="shared" si="551"/>
        <v>0</v>
      </c>
      <c r="CA254" s="235">
        <f t="shared" si="551"/>
        <v>0</v>
      </c>
      <c r="CB254" s="235">
        <f t="shared" si="551"/>
        <v>0</v>
      </c>
      <c r="CC254" s="235">
        <f t="shared" si="551"/>
        <v>0</v>
      </c>
      <c r="CD254" s="235">
        <f t="shared" si="551"/>
        <v>0</v>
      </c>
      <c r="CE254" s="235">
        <f t="shared" si="551"/>
        <v>0</v>
      </c>
      <c r="CF254" s="235">
        <f t="shared" si="551"/>
        <v>0</v>
      </c>
      <c r="CG254" s="235">
        <f t="shared" si="551"/>
        <v>0</v>
      </c>
      <c r="CH254" s="235">
        <f t="shared" si="551"/>
        <v>0</v>
      </c>
      <c r="CI254" s="235">
        <f t="shared" si="551"/>
        <v>0</v>
      </c>
      <c r="CJ254" s="235">
        <f t="shared" si="551"/>
        <v>0</v>
      </c>
      <c r="CK254" s="235">
        <f t="shared" si="551"/>
        <v>0</v>
      </c>
      <c r="CL254" s="235">
        <f t="shared" si="551"/>
        <v>0</v>
      </c>
      <c r="CM254" s="235">
        <f t="shared" si="551"/>
        <v>0</v>
      </c>
      <c r="CN254" s="235">
        <f t="shared" si="551"/>
        <v>0</v>
      </c>
      <c r="CO254" s="235">
        <f t="shared" si="551"/>
        <v>0</v>
      </c>
      <c r="CP254" s="235"/>
      <c r="CQ254" s="241">
        <f>+SUM(AM254:CP254)</f>
        <v>0</v>
      </c>
      <c r="CR254" s="241">
        <f>SUM(AL254,CQ254)</f>
        <v>0</v>
      </c>
      <c r="CS254" s="241">
        <f>SUM(CY254:CY254)</f>
        <v>0</v>
      </c>
      <c r="CT254" s="246">
        <f>ROUND(CT137/1000,0)</f>
        <v>0</v>
      </c>
      <c r="CU254" s="235">
        <f>ROUND(CU137/1000,0)</f>
        <v>0</v>
      </c>
      <c r="CV254" s="235">
        <f>ROUND(CV137/1000,0)</f>
        <v>0</v>
      </c>
      <c r="CW254" s="249">
        <f>ROUND(CW137/1000,0)</f>
        <v>0</v>
      </c>
      <c r="CX254" s="249">
        <f>ROUND(CX137/1000,0)</f>
        <v>0</v>
      </c>
      <c r="CY254" s="249">
        <f>SUM(CT254:CX254)</f>
        <v>0</v>
      </c>
      <c r="CZ254" s="241">
        <f>ROUND(CZ137/1000,0)</f>
        <v>0</v>
      </c>
      <c r="DA254" s="241">
        <f>ROUND(DA137/1000,0)</f>
        <v>0</v>
      </c>
      <c r="DB254" s="193" t="s">
        <v>14014</v>
      </c>
    </row>
    <row r="255" spans="1:106">
      <c r="A255" s="226">
        <f>MAX(A249:A254)+1</f>
        <v>50</v>
      </c>
      <c r="B255" s="227">
        <f>B254+1</f>
        <v>4</v>
      </c>
      <c r="C255" s="226"/>
      <c r="D255" s="226" t="str">
        <f>IF(D138="","",D138)</f>
        <v>Incoming: Transfers / Equity from</v>
      </c>
      <c r="E255" s="234">
        <f>+F255+CS255+CZ255+DA255</f>
        <v>296</v>
      </c>
      <c r="F255" s="234">
        <f>SUM(G255:K255,M255:N255,P255:U255,W255:X255,Z255:AA255,AC255:AK255,AM255:CP255)</f>
        <v>201</v>
      </c>
      <c r="G255" s="235">
        <f>ROUND(G138/1000,0)</f>
        <v>0</v>
      </c>
      <c r="H255" s="235">
        <f>ROUND(H138/1000,0)</f>
        <v>0</v>
      </c>
      <c r="I255" s="235">
        <f>ROUND(I138/1000,0)</f>
        <v>0</v>
      </c>
      <c r="J255" s="235">
        <f>ROUND(J138/1000,0)</f>
        <v>0</v>
      </c>
      <c r="K255" s="235">
        <f>ROUND(K138/1000,0)</f>
        <v>0</v>
      </c>
      <c r="L255" s="241">
        <f>+SUM(G255:K255)</f>
        <v>0</v>
      </c>
      <c r="M255" s="235">
        <f>ROUND(M138/1000,0)</f>
        <v>0</v>
      </c>
      <c r="N255" s="235">
        <f>ROUND(N138/1000,0)</f>
        <v>0</v>
      </c>
      <c r="O255" s="241">
        <f>+SUM(M255:N255)</f>
        <v>0</v>
      </c>
      <c r="P255" s="235">
        <f t="shared" ref="P255:U255" si="552">ROUND(P138/1000,0)</f>
        <v>0</v>
      </c>
      <c r="Q255" s="235">
        <f t="shared" si="552"/>
        <v>0</v>
      </c>
      <c r="R255" s="235">
        <f t="shared" si="552"/>
        <v>0</v>
      </c>
      <c r="S255" s="235">
        <f t="shared" si="552"/>
        <v>0</v>
      </c>
      <c r="T255" s="235">
        <f t="shared" si="552"/>
        <v>0</v>
      </c>
      <c r="U255" s="235">
        <f t="shared" si="552"/>
        <v>0</v>
      </c>
      <c r="V255" s="234">
        <f>+SUM(P255:U255)</f>
        <v>0</v>
      </c>
      <c r="W255" s="235">
        <f>ROUND(W138/1000,0)</f>
        <v>0</v>
      </c>
      <c r="X255" s="235">
        <f>ROUND(X138/1000,0)</f>
        <v>0</v>
      </c>
      <c r="Y255" s="241">
        <f>SUM(V255:X255)</f>
        <v>0</v>
      </c>
      <c r="Z255" s="235">
        <f>ROUND(Z138/1000,0)</f>
        <v>0</v>
      </c>
      <c r="AA255" s="235">
        <f>ROUND(AA138/1000,0)</f>
        <v>0</v>
      </c>
      <c r="AB255" s="241">
        <f>+SUM(Z255:AA255)</f>
        <v>0</v>
      </c>
      <c r="AC255" s="235">
        <f t="shared" ref="AC255:AK255" si="553">ROUND(AC138/1000,0)</f>
        <v>0</v>
      </c>
      <c r="AD255" s="235">
        <f t="shared" si="553"/>
        <v>0</v>
      </c>
      <c r="AE255" s="235">
        <f t="shared" si="553"/>
        <v>100</v>
      </c>
      <c r="AF255" s="235">
        <f t="shared" si="553"/>
        <v>0</v>
      </c>
      <c r="AG255" s="235">
        <f t="shared" si="553"/>
        <v>0</v>
      </c>
      <c r="AH255" s="235">
        <f t="shared" si="553"/>
        <v>0</v>
      </c>
      <c r="AI255" s="235">
        <f t="shared" si="553"/>
        <v>0</v>
      </c>
      <c r="AJ255" s="235">
        <f t="shared" si="553"/>
        <v>0</v>
      </c>
      <c r="AK255" s="235">
        <f t="shared" si="553"/>
        <v>100</v>
      </c>
      <c r="AL255" s="241">
        <f>SUM(AF255:AK255)</f>
        <v>100</v>
      </c>
      <c r="AM255" s="235">
        <f t="shared" ref="AM255:CO255" si="554">ROUND(AM138/1000,0)</f>
        <v>0</v>
      </c>
      <c r="AN255" s="235">
        <f t="shared" si="554"/>
        <v>0</v>
      </c>
      <c r="AO255" s="235">
        <f t="shared" si="554"/>
        <v>0</v>
      </c>
      <c r="AP255" s="235">
        <f t="shared" si="554"/>
        <v>0</v>
      </c>
      <c r="AQ255" s="235">
        <f t="shared" si="554"/>
        <v>0</v>
      </c>
      <c r="AR255" s="235">
        <f t="shared" si="554"/>
        <v>0</v>
      </c>
      <c r="AS255" s="235">
        <f t="shared" si="554"/>
        <v>0</v>
      </c>
      <c r="AT255" s="235">
        <f t="shared" si="554"/>
        <v>0</v>
      </c>
      <c r="AU255" s="235">
        <f t="shared" si="554"/>
        <v>0</v>
      </c>
      <c r="AV255" s="235">
        <f t="shared" si="554"/>
        <v>0</v>
      </c>
      <c r="AW255" s="235">
        <f t="shared" si="554"/>
        <v>0</v>
      </c>
      <c r="AX255" s="235">
        <f t="shared" si="554"/>
        <v>0</v>
      </c>
      <c r="AY255" s="235">
        <f t="shared" si="554"/>
        <v>0</v>
      </c>
      <c r="AZ255" s="235">
        <f t="shared" si="554"/>
        <v>0</v>
      </c>
      <c r="BA255" s="235">
        <f t="shared" si="554"/>
        <v>0</v>
      </c>
      <c r="BB255" s="235">
        <f t="shared" si="554"/>
        <v>0</v>
      </c>
      <c r="BC255" s="235">
        <f t="shared" si="554"/>
        <v>0</v>
      </c>
      <c r="BD255" s="235">
        <f t="shared" si="554"/>
        <v>0</v>
      </c>
      <c r="BE255" s="235">
        <f t="shared" si="554"/>
        <v>1</v>
      </c>
      <c r="BF255" s="235">
        <f t="shared" si="554"/>
        <v>0</v>
      </c>
      <c r="BG255" s="235">
        <f t="shared" si="554"/>
        <v>0</v>
      </c>
      <c r="BH255" s="235">
        <f t="shared" si="554"/>
        <v>0</v>
      </c>
      <c r="BI255" s="235">
        <f t="shared" si="554"/>
        <v>0</v>
      </c>
      <c r="BJ255" s="235">
        <f t="shared" si="554"/>
        <v>0</v>
      </c>
      <c r="BK255" s="235">
        <f t="shared" si="554"/>
        <v>0</v>
      </c>
      <c r="BL255" s="235">
        <f t="shared" si="554"/>
        <v>0</v>
      </c>
      <c r="BM255" s="235">
        <f t="shared" si="554"/>
        <v>0</v>
      </c>
      <c r="BN255" s="235">
        <f t="shared" si="554"/>
        <v>0</v>
      </c>
      <c r="BO255" s="235">
        <f t="shared" si="554"/>
        <v>0</v>
      </c>
      <c r="BP255" s="235">
        <f t="shared" si="554"/>
        <v>0</v>
      </c>
      <c r="BQ255" s="235">
        <f t="shared" si="554"/>
        <v>0</v>
      </c>
      <c r="BR255" s="235">
        <f t="shared" si="554"/>
        <v>0</v>
      </c>
      <c r="BS255" s="235">
        <f t="shared" si="554"/>
        <v>0</v>
      </c>
      <c r="BT255" s="235">
        <f t="shared" si="554"/>
        <v>0</v>
      </c>
      <c r="BU255" s="235">
        <f t="shared" si="554"/>
        <v>0</v>
      </c>
      <c r="BV255" s="235">
        <f t="shared" si="554"/>
        <v>0</v>
      </c>
      <c r="BW255" s="235">
        <f t="shared" si="554"/>
        <v>0</v>
      </c>
      <c r="BX255" s="235">
        <f t="shared" si="554"/>
        <v>0</v>
      </c>
      <c r="BY255" s="235">
        <f t="shared" si="554"/>
        <v>0</v>
      </c>
      <c r="BZ255" s="235">
        <f t="shared" si="554"/>
        <v>0</v>
      </c>
      <c r="CA255" s="235">
        <f t="shared" si="554"/>
        <v>0</v>
      </c>
      <c r="CB255" s="235">
        <f t="shared" si="554"/>
        <v>0</v>
      </c>
      <c r="CC255" s="235">
        <f t="shared" si="554"/>
        <v>0</v>
      </c>
      <c r="CD255" s="235">
        <f t="shared" si="554"/>
        <v>0</v>
      </c>
      <c r="CE255" s="235">
        <f t="shared" si="554"/>
        <v>0</v>
      </c>
      <c r="CF255" s="235">
        <f t="shared" si="554"/>
        <v>0</v>
      </c>
      <c r="CG255" s="235">
        <f t="shared" si="554"/>
        <v>0</v>
      </c>
      <c r="CH255" s="235">
        <f t="shared" si="554"/>
        <v>0</v>
      </c>
      <c r="CI255" s="235">
        <f t="shared" si="554"/>
        <v>0</v>
      </c>
      <c r="CJ255" s="235">
        <f t="shared" si="554"/>
        <v>0</v>
      </c>
      <c r="CK255" s="235">
        <f t="shared" si="554"/>
        <v>0</v>
      </c>
      <c r="CL255" s="235">
        <f t="shared" si="554"/>
        <v>0</v>
      </c>
      <c r="CM255" s="235">
        <f t="shared" si="554"/>
        <v>0</v>
      </c>
      <c r="CN255" s="235">
        <f t="shared" si="554"/>
        <v>0</v>
      </c>
      <c r="CO255" s="235">
        <f t="shared" si="554"/>
        <v>0</v>
      </c>
      <c r="CP255" s="235"/>
      <c r="CQ255" s="241">
        <f>+SUM(AM255:CP255)</f>
        <v>1</v>
      </c>
      <c r="CR255" s="241">
        <f>SUM(AL255,CQ255)</f>
        <v>101</v>
      </c>
      <c r="CS255" s="241">
        <f>SUM(CY255:CY255)</f>
        <v>95</v>
      </c>
      <c r="CT255" s="246">
        <f>ROUND(CT138/1000,0)</f>
        <v>0</v>
      </c>
      <c r="CU255" s="235">
        <f>ROUND(CU138/1000,0)</f>
        <v>95</v>
      </c>
      <c r="CV255" s="235">
        <f>ROUND(CV138/1000,0)</f>
        <v>0</v>
      </c>
      <c r="CW255" s="249">
        <f>ROUND(CW138/1000,0)</f>
        <v>0</v>
      </c>
      <c r="CX255" s="249">
        <f>ROUND(CX138/1000,0)</f>
        <v>0</v>
      </c>
      <c r="CY255" s="249">
        <f>SUM(CT255:CX255)</f>
        <v>95</v>
      </c>
      <c r="CZ255" s="241">
        <f>ROUND(CZ138/1000,0)</f>
        <v>0</v>
      </c>
      <c r="DA255" s="241">
        <f>ROUND(DA138/1000,0)</f>
        <v>0</v>
      </c>
      <c r="DB255" s="193" t="s">
        <v>14015</v>
      </c>
    </row>
    <row r="256" spans="2:105">
      <c r="B256" s="161"/>
      <c r="E256" s="153"/>
      <c r="F256" s="153"/>
      <c r="G256" s="152"/>
      <c r="H256" s="152"/>
      <c r="I256" s="152"/>
      <c r="J256" s="152"/>
      <c r="K256" s="152"/>
      <c r="L256" s="205"/>
      <c r="M256" s="152"/>
      <c r="N256" s="152"/>
      <c r="O256" s="205"/>
      <c r="P256" s="152"/>
      <c r="Q256" s="152"/>
      <c r="R256" s="152"/>
      <c r="S256" s="152"/>
      <c r="T256" s="152"/>
      <c r="U256" s="152"/>
      <c r="V256" s="153"/>
      <c r="W256" s="152"/>
      <c r="X256" s="152"/>
      <c r="Y256" s="205"/>
      <c r="Z256" s="152"/>
      <c r="AA256" s="152"/>
      <c r="AB256" s="205"/>
      <c r="AC256" s="152"/>
      <c r="AD256" s="152"/>
      <c r="AE256" s="152"/>
      <c r="AF256" s="152"/>
      <c r="AG256" s="152"/>
      <c r="AH256" s="152"/>
      <c r="AI256" s="152"/>
      <c r="AJ256" s="152"/>
      <c r="AK256" s="152"/>
      <c r="AL256" s="205"/>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c r="BG256" s="152"/>
      <c r="BH256" s="152"/>
      <c r="BI256" s="152"/>
      <c r="BJ256" s="152"/>
      <c r="BK256" s="152"/>
      <c r="BL256" s="152"/>
      <c r="BM256" s="152"/>
      <c r="BN256" s="152"/>
      <c r="BO256" s="152"/>
      <c r="BP256" s="152"/>
      <c r="BQ256" s="152"/>
      <c r="BR256" s="152"/>
      <c r="BS256" s="152"/>
      <c r="BT256" s="152"/>
      <c r="BU256" s="152"/>
      <c r="BV256" s="152"/>
      <c r="BW256" s="152"/>
      <c r="BX256" s="152"/>
      <c r="BY256" s="152"/>
      <c r="BZ256" s="152"/>
      <c r="CA256" s="152"/>
      <c r="CB256" s="152"/>
      <c r="CC256" s="152"/>
      <c r="CD256" s="152"/>
      <c r="CE256" s="152"/>
      <c r="CF256" s="152"/>
      <c r="CG256" s="152"/>
      <c r="CH256" s="152"/>
      <c r="CI256" s="152"/>
      <c r="CJ256" s="152"/>
      <c r="CK256" s="152"/>
      <c r="CL256" s="152"/>
      <c r="CM256" s="152"/>
      <c r="CN256" s="152"/>
      <c r="CO256" s="152"/>
      <c r="CP256" s="152"/>
      <c r="CQ256" s="205"/>
      <c r="CR256" s="205"/>
      <c r="CS256" s="205"/>
      <c r="CT256" s="209"/>
      <c r="CU256" s="152"/>
      <c r="CV256" s="152"/>
      <c r="CW256" s="212"/>
      <c r="CX256" s="212"/>
      <c r="CY256" s="212"/>
      <c r="CZ256" s="205"/>
      <c r="DA256" s="205"/>
    </row>
    <row r="257" spans="2:106">
      <c r="B257" s="161">
        <f>B256+1</f>
        <v>1</v>
      </c>
      <c r="D257" s="154" t="str">
        <f>IF(D140="","",D140)</f>
        <v>Outgoing: Transfers / Equity to</v>
      </c>
      <c r="E257" s="153"/>
      <c r="F257" s="153"/>
      <c r="G257" s="152"/>
      <c r="H257" s="152"/>
      <c r="I257" s="152"/>
      <c r="J257" s="152"/>
      <c r="K257" s="152"/>
      <c r="L257" s="205"/>
      <c r="M257" s="152"/>
      <c r="N257" s="152"/>
      <c r="O257" s="205"/>
      <c r="P257" s="152"/>
      <c r="Q257" s="152"/>
      <c r="R257" s="152"/>
      <c r="S257" s="152"/>
      <c r="T257" s="152"/>
      <c r="U257" s="152"/>
      <c r="V257" s="153"/>
      <c r="W257" s="152"/>
      <c r="X257" s="152"/>
      <c r="Y257" s="206"/>
      <c r="Z257" s="152"/>
      <c r="AA257" s="152"/>
      <c r="AB257" s="205"/>
      <c r="AC257" s="152"/>
      <c r="AD257" s="152"/>
      <c r="AE257" s="152"/>
      <c r="AF257" s="152"/>
      <c r="AG257" s="152"/>
      <c r="AH257" s="152"/>
      <c r="AI257" s="152"/>
      <c r="AJ257" s="152"/>
      <c r="AK257" s="152"/>
      <c r="AL257" s="205"/>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c r="BH257" s="152"/>
      <c r="BI257" s="152"/>
      <c r="BJ257" s="152"/>
      <c r="BK257" s="152"/>
      <c r="BL257" s="152"/>
      <c r="BM257" s="152"/>
      <c r="BN257" s="152"/>
      <c r="BO257" s="152"/>
      <c r="BP257" s="152"/>
      <c r="BQ257" s="152"/>
      <c r="BR257" s="152"/>
      <c r="BS257" s="152"/>
      <c r="BT257" s="152"/>
      <c r="BU257" s="152"/>
      <c r="BV257" s="152"/>
      <c r="BW257" s="152"/>
      <c r="BX257" s="152"/>
      <c r="BY257" s="152"/>
      <c r="BZ257" s="152"/>
      <c r="CA257" s="152"/>
      <c r="CB257" s="152"/>
      <c r="CC257" s="152"/>
      <c r="CD257" s="152"/>
      <c r="CE257" s="152"/>
      <c r="CF257" s="152"/>
      <c r="CG257" s="152"/>
      <c r="CH257" s="152"/>
      <c r="CI257" s="152"/>
      <c r="CJ257" s="152"/>
      <c r="CK257" s="152"/>
      <c r="CL257" s="152"/>
      <c r="CM257" s="152"/>
      <c r="CN257" s="152"/>
      <c r="CO257" s="152"/>
      <c r="CP257" s="152"/>
      <c r="CQ257" s="205"/>
      <c r="CR257" s="205"/>
      <c r="CS257" s="205"/>
      <c r="CT257" s="209"/>
      <c r="CU257" s="152"/>
      <c r="CV257" s="152"/>
      <c r="CW257" s="212"/>
      <c r="CX257" s="212"/>
      <c r="CY257" s="212"/>
      <c r="CZ257" s="205"/>
      <c r="DA257" s="205"/>
      <c r="DB257" s="155" t="s">
        <v>14016</v>
      </c>
    </row>
    <row r="258" spans="1:106">
      <c r="A258" s="226">
        <f>MAX(A252:A257)+1</f>
        <v>51</v>
      </c>
      <c r="B258" s="227">
        <f>B257+1</f>
        <v>2</v>
      </c>
      <c r="C258" s="226" t="str">
        <f>IF(D141="","",D141)</f>
        <v>SH Distn to HD Personal (outgoing)</v>
      </c>
      <c r="D258" s="226" t="s">
        <v>14017</v>
      </c>
      <c r="E258" s="234">
        <f>+F258+CS258+CZ258+DA258</f>
        <v>-25</v>
      </c>
      <c r="F258" s="234">
        <f>SUM(G258:K258,M258:N258,P258:U258,W258:X258,Z258:AA258,AC258:AK258,AM258:CP258)</f>
        <v>-25</v>
      </c>
      <c r="G258" s="235">
        <f>ROUND(G141/1000,0)</f>
        <v>-23</v>
      </c>
      <c r="H258" s="235">
        <f>ROUND(H141/1000,0)</f>
        <v>-1</v>
      </c>
      <c r="I258" s="235">
        <f>ROUND(I141/1000,0)</f>
        <v>0</v>
      </c>
      <c r="J258" s="235">
        <f>ROUND(J141/1000,0)</f>
        <v>-1</v>
      </c>
      <c r="K258" s="235">
        <f>ROUND(K141/1000,0)</f>
        <v>0</v>
      </c>
      <c r="L258" s="241">
        <f>+SUM(G258:K258)</f>
        <v>-25</v>
      </c>
      <c r="M258" s="235">
        <f>ROUND(M141/1000,0)</f>
        <v>0</v>
      </c>
      <c r="N258" s="235">
        <f>ROUND(N141/1000,0)</f>
        <v>0</v>
      </c>
      <c r="O258" s="241">
        <f>+SUM(M258:N258)</f>
        <v>0</v>
      </c>
      <c r="P258" s="235">
        <f t="shared" ref="P258:U258" si="555">ROUND(P141/1000,0)</f>
        <v>0</v>
      </c>
      <c r="Q258" s="235">
        <f t="shared" si="555"/>
        <v>0</v>
      </c>
      <c r="R258" s="235">
        <f t="shared" si="555"/>
        <v>0</v>
      </c>
      <c r="S258" s="235">
        <f t="shared" si="555"/>
        <v>0</v>
      </c>
      <c r="T258" s="235">
        <f t="shared" si="555"/>
        <v>0</v>
      </c>
      <c r="U258" s="235">
        <f t="shared" si="555"/>
        <v>0</v>
      </c>
      <c r="V258" s="234">
        <f>+SUM(P258:U258)</f>
        <v>0</v>
      </c>
      <c r="W258" s="235">
        <f>ROUND(W141/1000,0)</f>
        <v>0</v>
      </c>
      <c r="X258" s="235">
        <f>ROUND(X141/1000,0)</f>
        <v>0</v>
      </c>
      <c r="Y258" s="241">
        <f>SUM(V258:X258)</f>
        <v>0</v>
      </c>
      <c r="Z258" s="235">
        <f>ROUND(Z141/1000,0)</f>
        <v>0</v>
      </c>
      <c r="AA258" s="235">
        <f>ROUND(AA141/1000,0)</f>
        <v>0</v>
      </c>
      <c r="AB258" s="241">
        <f>+SUM(Z258:AA258)</f>
        <v>0</v>
      </c>
      <c r="AC258" s="235">
        <f t="shared" ref="AC258:AK258" si="556">ROUND(AC141/1000,0)</f>
        <v>0</v>
      </c>
      <c r="AD258" s="235">
        <f t="shared" si="556"/>
        <v>0</v>
      </c>
      <c r="AE258" s="235">
        <f t="shared" si="556"/>
        <v>0</v>
      </c>
      <c r="AF258" s="235">
        <f t="shared" si="556"/>
        <v>0</v>
      </c>
      <c r="AG258" s="235">
        <f t="shared" si="556"/>
        <v>0</v>
      </c>
      <c r="AH258" s="235">
        <f t="shared" si="556"/>
        <v>0</v>
      </c>
      <c r="AI258" s="235">
        <f t="shared" si="556"/>
        <v>0</v>
      </c>
      <c r="AJ258" s="235">
        <f t="shared" si="556"/>
        <v>0</v>
      </c>
      <c r="AK258" s="235">
        <f t="shared" si="556"/>
        <v>0</v>
      </c>
      <c r="AL258" s="241">
        <f>SUM(AF258:AK258)</f>
        <v>0</v>
      </c>
      <c r="AM258" s="235">
        <f t="shared" ref="AM258:CO258" si="557">ROUND(AM141/1000,0)</f>
        <v>0</v>
      </c>
      <c r="AN258" s="235">
        <f t="shared" si="557"/>
        <v>0</v>
      </c>
      <c r="AO258" s="235">
        <f t="shared" si="557"/>
        <v>0</v>
      </c>
      <c r="AP258" s="235">
        <f t="shared" si="557"/>
        <v>0</v>
      </c>
      <c r="AQ258" s="235">
        <f t="shared" si="557"/>
        <v>0</v>
      </c>
      <c r="AR258" s="235">
        <f t="shared" si="557"/>
        <v>0</v>
      </c>
      <c r="AS258" s="235">
        <f t="shared" si="557"/>
        <v>0</v>
      </c>
      <c r="AT258" s="235">
        <f t="shared" si="557"/>
        <v>0</v>
      </c>
      <c r="AU258" s="235">
        <f t="shared" si="557"/>
        <v>0</v>
      </c>
      <c r="AV258" s="235">
        <f t="shared" si="557"/>
        <v>0</v>
      </c>
      <c r="AW258" s="235">
        <f t="shared" si="557"/>
        <v>0</v>
      </c>
      <c r="AX258" s="235">
        <f t="shared" si="557"/>
        <v>0</v>
      </c>
      <c r="AY258" s="235">
        <f t="shared" si="557"/>
        <v>0</v>
      </c>
      <c r="AZ258" s="235">
        <f t="shared" si="557"/>
        <v>0</v>
      </c>
      <c r="BA258" s="235">
        <f t="shared" si="557"/>
        <v>0</v>
      </c>
      <c r="BB258" s="235">
        <f t="shared" si="557"/>
        <v>0</v>
      </c>
      <c r="BC258" s="235">
        <f t="shared" si="557"/>
        <v>0</v>
      </c>
      <c r="BD258" s="235">
        <f t="shared" si="557"/>
        <v>0</v>
      </c>
      <c r="BE258" s="235">
        <f t="shared" si="557"/>
        <v>0</v>
      </c>
      <c r="BF258" s="235">
        <f t="shared" si="557"/>
        <v>0</v>
      </c>
      <c r="BG258" s="235">
        <f t="shared" si="557"/>
        <v>0</v>
      </c>
      <c r="BH258" s="235">
        <f t="shared" si="557"/>
        <v>0</v>
      </c>
      <c r="BI258" s="235">
        <f t="shared" si="557"/>
        <v>0</v>
      </c>
      <c r="BJ258" s="235">
        <f t="shared" si="557"/>
        <v>0</v>
      </c>
      <c r="BK258" s="235">
        <f t="shared" si="557"/>
        <v>0</v>
      </c>
      <c r="BL258" s="235">
        <f t="shared" si="557"/>
        <v>0</v>
      </c>
      <c r="BM258" s="235">
        <f t="shared" si="557"/>
        <v>0</v>
      </c>
      <c r="BN258" s="235">
        <f t="shared" si="557"/>
        <v>0</v>
      </c>
      <c r="BO258" s="235">
        <f t="shared" si="557"/>
        <v>0</v>
      </c>
      <c r="BP258" s="235">
        <f t="shared" si="557"/>
        <v>0</v>
      </c>
      <c r="BQ258" s="235">
        <f t="shared" si="557"/>
        <v>0</v>
      </c>
      <c r="BR258" s="235">
        <f t="shared" si="557"/>
        <v>0</v>
      </c>
      <c r="BS258" s="235">
        <f t="shared" si="557"/>
        <v>0</v>
      </c>
      <c r="BT258" s="235">
        <f t="shared" si="557"/>
        <v>0</v>
      </c>
      <c r="BU258" s="235">
        <f t="shared" si="557"/>
        <v>0</v>
      </c>
      <c r="BV258" s="235">
        <f t="shared" si="557"/>
        <v>0</v>
      </c>
      <c r="BW258" s="235">
        <f t="shared" si="557"/>
        <v>0</v>
      </c>
      <c r="BX258" s="235">
        <f t="shared" si="557"/>
        <v>0</v>
      </c>
      <c r="BY258" s="235">
        <f t="shared" si="557"/>
        <v>0</v>
      </c>
      <c r="BZ258" s="235">
        <f t="shared" si="557"/>
        <v>0</v>
      </c>
      <c r="CA258" s="235">
        <f t="shared" si="557"/>
        <v>0</v>
      </c>
      <c r="CB258" s="235">
        <f t="shared" si="557"/>
        <v>0</v>
      </c>
      <c r="CC258" s="235">
        <f t="shared" si="557"/>
        <v>0</v>
      </c>
      <c r="CD258" s="235">
        <f t="shared" si="557"/>
        <v>0</v>
      </c>
      <c r="CE258" s="235">
        <f t="shared" si="557"/>
        <v>0</v>
      </c>
      <c r="CF258" s="235">
        <f t="shared" si="557"/>
        <v>0</v>
      </c>
      <c r="CG258" s="235">
        <f t="shared" si="557"/>
        <v>0</v>
      </c>
      <c r="CH258" s="235">
        <f t="shared" si="557"/>
        <v>0</v>
      </c>
      <c r="CI258" s="235">
        <f t="shared" si="557"/>
        <v>0</v>
      </c>
      <c r="CJ258" s="235">
        <f t="shared" si="557"/>
        <v>0</v>
      </c>
      <c r="CK258" s="235">
        <f t="shared" si="557"/>
        <v>0</v>
      </c>
      <c r="CL258" s="235">
        <f t="shared" si="557"/>
        <v>0</v>
      </c>
      <c r="CM258" s="235">
        <f t="shared" si="557"/>
        <v>0</v>
      </c>
      <c r="CN258" s="235">
        <f t="shared" si="557"/>
        <v>0</v>
      </c>
      <c r="CO258" s="235">
        <f t="shared" si="557"/>
        <v>0</v>
      </c>
      <c r="CP258" s="235"/>
      <c r="CQ258" s="241">
        <f>+SUM(AM258:CP258)</f>
        <v>0</v>
      </c>
      <c r="CR258" s="241">
        <f>SUM(AL258,CQ258)</f>
        <v>0</v>
      </c>
      <c r="CS258" s="241">
        <f>SUM(CY258:CY258)</f>
        <v>0</v>
      </c>
      <c r="CT258" s="246">
        <f>ROUND(CT141/1000,0)</f>
        <v>0</v>
      </c>
      <c r="CU258" s="235">
        <f>ROUND(CU141/1000,0)</f>
        <v>0</v>
      </c>
      <c r="CV258" s="235">
        <f>ROUND(CV141/1000,0)</f>
        <v>0</v>
      </c>
      <c r="CW258" s="249">
        <f>ROUND(CW141/1000,0)</f>
        <v>0</v>
      </c>
      <c r="CX258" s="249">
        <f>ROUND(CX141/1000,0)</f>
        <v>0</v>
      </c>
      <c r="CY258" s="249">
        <f>SUM(CT258:CX258)</f>
        <v>0</v>
      </c>
      <c r="CZ258" s="241">
        <f>ROUND(CZ141/1000,0)</f>
        <v>0</v>
      </c>
      <c r="DA258" s="241">
        <f>ROUND(DA141/1000,0)</f>
        <v>0</v>
      </c>
      <c r="DB258" s="193" t="s">
        <v>14018</v>
      </c>
    </row>
    <row r="259" spans="1:106">
      <c r="A259" s="226">
        <f>MAX(A253:A258)+1</f>
        <v>52</v>
      </c>
      <c r="B259" s="227">
        <f>B258+1</f>
        <v>3</v>
      </c>
      <c r="C259" s="226"/>
      <c r="D259" s="226" t="str">
        <f>IF(D142="","",D142)</f>
        <v>SH Distn to Minortity SH</v>
      </c>
      <c r="E259" s="234">
        <f>+F259+CS259+CZ259+DA259</f>
        <v>-6</v>
      </c>
      <c r="F259" s="234">
        <f>SUM(G259:K259,M259:N259,P259:U259,W259:X259,Z259:AA259,AC259:AK259,AM259:CP259)</f>
        <v>-6</v>
      </c>
      <c r="G259" s="235">
        <f>ROUND(G142/1000,0)</f>
        <v>0</v>
      </c>
      <c r="H259" s="235">
        <f>ROUND(H142/1000,0)</f>
        <v>0</v>
      </c>
      <c r="I259" s="235">
        <f>ROUND(I142/1000,0)</f>
        <v>0</v>
      </c>
      <c r="J259" s="235">
        <f>ROUND(J142/1000,0)</f>
        <v>0</v>
      </c>
      <c r="K259" s="235">
        <f>ROUND(K142/1000,0)</f>
        <v>0</v>
      </c>
      <c r="L259" s="241">
        <f>+SUM(G259:K259)</f>
        <v>0</v>
      </c>
      <c r="M259" s="235">
        <f>ROUND(M142/1000,0)</f>
        <v>0</v>
      </c>
      <c r="N259" s="235">
        <f>ROUND(N142/1000,0)</f>
        <v>0</v>
      </c>
      <c r="O259" s="241">
        <f>+SUM(M259:N259)</f>
        <v>0</v>
      </c>
      <c r="P259" s="235">
        <f t="shared" ref="P259:U259" si="558">ROUND(P142/1000,0)</f>
        <v>0</v>
      </c>
      <c r="Q259" s="235">
        <f t="shared" si="558"/>
        <v>0</v>
      </c>
      <c r="R259" s="235">
        <f t="shared" si="558"/>
        <v>0</v>
      </c>
      <c r="S259" s="235">
        <f t="shared" si="558"/>
        <v>0</v>
      </c>
      <c r="T259" s="235">
        <f t="shared" si="558"/>
        <v>0</v>
      </c>
      <c r="U259" s="235">
        <f t="shared" si="558"/>
        <v>0</v>
      </c>
      <c r="V259" s="234">
        <f>+SUM(P259:U259)</f>
        <v>0</v>
      </c>
      <c r="W259" s="235">
        <f>ROUND(W142/1000,0)</f>
        <v>0</v>
      </c>
      <c r="X259" s="235">
        <f>ROUND(X142/1000,0)</f>
        <v>0</v>
      </c>
      <c r="Y259" s="241">
        <f>SUM(V259:X259)</f>
        <v>0</v>
      </c>
      <c r="Z259" s="235">
        <f>ROUND(Z142/1000,0)</f>
        <v>0</v>
      </c>
      <c r="AA259" s="235">
        <f>ROUND(AA142/1000,0)</f>
        <v>0</v>
      </c>
      <c r="AB259" s="241">
        <f>+SUM(Z259:AA259)</f>
        <v>0</v>
      </c>
      <c r="AC259" s="235">
        <f t="shared" ref="AC259:AK259" si="559">ROUND(AC142/1000,0)</f>
        <v>0</v>
      </c>
      <c r="AD259" s="235">
        <f t="shared" si="559"/>
        <v>0</v>
      </c>
      <c r="AE259" s="235">
        <f t="shared" si="559"/>
        <v>0</v>
      </c>
      <c r="AF259" s="235">
        <f t="shared" si="559"/>
        <v>0</v>
      </c>
      <c r="AG259" s="235">
        <f t="shared" si="559"/>
        <v>0</v>
      </c>
      <c r="AH259" s="235">
        <f t="shared" si="559"/>
        <v>0</v>
      </c>
      <c r="AI259" s="235">
        <f t="shared" si="559"/>
        <v>0</v>
      </c>
      <c r="AJ259" s="235">
        <f t="shared" si="559"/>
        <v>0</v>
      </c>
      <c r="AK259" s="235">
        <f t="shared" si="559"/>
        <v>0</v>
      </c>
      <c r="AL259" s="241">
        <f>SUM(AF259:AK259)</f>
        <v>0</v>
      </c>
      <c r="AM259" s="235">
        <f t="shared" ref="AM259:CO259" si="560">ROUND(AM142/1000,0)</f>
        <v>0</v>
      </c>
      <c r="AN259" s="235">
        <f t="shared" si="560"/>
        <v>0</v>
      </c>
      <c r="AO259" s="235">
        <f t="shared" si="560"/>
        <v>0</v>
      </c>
      <c r="AP259" s="235">
        <f t="shared" si="560"/>
        <v>0</v>
      </c>
      <c r="AQ259" s="235">
        <f t="shared" si="560"/>
        <v>0</v>
      </c>
      <c r="AR259" s="235">
        <f t="shared" si="560"/>
        <v>0</v>
      </c>
      <c r="AS259" s="235">
        <f t="shared" si="560"/>
        <v>0</v>
      </c>
      <c r="AT259" s="235">
        <f t="shared" si="560"/>
        <v>0</v>
      </c>
      <c r="AU259" s="235">
        <f t="shared" si="560"/>
        <v>0</v>
      </c>
      <c r="AV259" s="235">
        <f t="shared" si="560"/>
        <v>0</v>
      </c>
      <c r="AW259" s="235">
        <f t="shared" si="560"/>
        <v>0</v>
      </c>
      <c r="AX259" s="235">
        <f t="shared" si="560"/>
        <v>0</v>
      </c>
      <c r="AY259" s="235">
        <f t="shared" si="560"/>
        <v>0</v>
      </c>
      <c r="AZ259" s="235">
        <f t="shared" si="560"/>
        <v>0</v>
      </c>
      <c r="BA259" s="235">
        <f t="shared" si="560"/>
        <v>0</v>
      </c>
      <c r="BB259" s="235">
        <f t="shared" si="560"/>
        <v>0</v>
      </c>
      <c r="BC259" s="235">
        <f t="shared" si="560"/>
        <v>0</v>
      </c>
      <c r="BD259" s="235">
        <f t="shared" si="560"/>
        <v>0</v>
      </c>
      <c r="BE259" s="235">
        <f t="shared" si="560"/>
        <v>0</v>
      </c>
      <c r="BF259" s="235">
        <f t="shared" si="560"/>
        <v>0</v>
      </c>
      <c r="BG259" s="235">
        <f t="shared" si="560"/>
        <v>0</v>
      </c>
      <c r="BH259" s="235">
        <f t="shared" si="560"/>
        <v>0</v>
      </c>
      <c r="BI259" s="235">
        <f t="shared" si="560"/>
        <v>0</v>
      </c>
      <c r="BJ259" s="235">
        <f t="shared" si="560"/>
        <v>0</v>
      </c>
      <c r="BK259" s="235">
        <f t="shared" si="560"/>
        <v>0</v>
      </c>
      <c r="BL259" s="235">
        <f t="shared" si="560"/>
        <v>0</v>
      </c>
      <c r="BM259" s="235">
        <f t="shared" si="560"/>
        <v>0</v>
      </c>
      <c r="BN259" s="235">
        <f t="shared" si="560"/>
        <v>0</v>
      </c>
      <c r="BO259" s="235">
        <f t="shared" si="560"/>
        <v>0</v>
      </c>
      <c r="BP259" s="235">
        <f t="shared" si="560"/>
        <v>0</v>
      </c>
      <c r="BQ259" s="235">
        <f t="shared" si="560"/>
        <v>0</v>
      </c>
      <c r="BR259" s="235">
        <f t="shared" si="560"/>
        <v>0</v>
      </c>
      <c r="BS259" s="235">
        <f t="shared" si="560"/>
        <v>0</v>
      </c>
      <c r="BT259" s="235">
        <f t="shared" si="560"/>
        <v>0</v>
      </c>
      <c r="BU259" s="235">
        <f t="shared" si="560"/>
        <v>0</v>
      </c>
      <c r="BV259" s="235">
        <f t="shared" si="560"/>
        <v>0</v>
      </c>
      <c r="BW259" s="235">
        <f t="shared" si="560"/>
        <v>0</v>
      </c>
      <c r="BX259" s="235">
        <f t="shared" si="560"/>
        <v>0</v>
      </c>
      <c r="BY259" s="235">
        <f t="shared" si="560"/>
        <v>0</v>
      </c>
      <c r="BZ259" s="235">
        <f t="shared" si="560"/>
        <v>-6</v>
      </c>
      <c r="CA259" s="235">
        <f t="shared" si="560"/>
        <v>0</v>
      </c>
      <c r="CB259" s="235">
        <f t="shared" si="560"/>
        <v>0</v>
      </c>
      <c r="CC259" s="235">
        <f t="shared" si="560"/>
        <v>0</v>
      </c>
      <c r="CD259" s="235">
        <f t="shared" si="560"/>
        <v>0</v>
      </c>
      <c r="CE259" s="235">
        <f t="shared" si="560"/>
        <v>0</v>
      </c>
      <c r="CF259" s="235">
        <f t="shared" si="560"/>
        <v>0</v>
      </c>
      <c r="CG259" s="235">
        <f t="shared" si="560"/>
        <v>0</v>
      </c>
      <c r="CH259" s="235">
        <f t="shared" si="560"/>
        <v>0</v>
      </c>
      <c r="CI259" s="235">
        <f t="shared" si="560"/>
        <v>0</v>
      </c>
      <c r="CJ259" s="235">
        <f t="shared" si="560"/>
        <v>0</v>
      </c>
      <c r="CK259" s="235">
        <f t="shared" si="560"/>
        <v>0</v>
      </c>
      <c r="CL259" s="235">
        <f t="shared" si="560"/>
        <v>0</v>
      </c>
      <c r="CM259" s="235">
        <f t="shared" si="560"/>
        <v>0</v>
      </c>
      <c r="CN259" s="235">
        <f t="shared" si="560"/>
        <v>0</v>
      </c>
      <c r="CO259" s="235">
        <f t="shared" si="560"/>
        <v>0</v>
      </c>
      <c r="CP259" s="235"/>
      <c r="CQ259" s="241">
        <f>+SUM(AM259:CP259)</f>
        <v>-6</v>
      </c>
      <c r="CR259" s="241">
        <f>SUM(AL259,CQ259)</f>
        <v>-6</v>
      </c>
      <c r="CS259" s="241">
        <f>SUM(CY259:CY259)</f>
        <v>0</v>
      </c>
      <c r="CT259" s="246">
        <f>ROUND(CT142/1000,0)</f>
        <v>0</v>
      </c>
      <c r="CU259" s="235">
        <f>ROUND(CU142/1000,0)</f>
        <v>0</v>
      </c>
      <c r="CV259" s="235">
        <f>ROUND(CV142/1000,0)</f>
        <v>0</v>
      </c>
      <c r="CW259" s="249">
        <f>ROUND(CW142/1000,0)</f>
        <v>0</v>
      </c>
      <c r="CX259" s="249">
        <f>ROUND(CX142/1000,0)</f>
        <v>0</v>
      </c>
      <c r="CY259" s="249">
        <f>SUM(CT259:CX259)</f>
        <v>0</v>
      </c>
      <c r="CZ259" s="241">
        <f>ROUND(CZ142/1000,0)</f>
        <v>0</v>
      </c>
      <c r="DA259" s="241">
        <f>ROUND(DA142/1000,0)</f>
        <v>0</v>
      </c>
      <c r="DB259" s="193" t="s">
        <v>14019</v>
      </c>
    </row>
    <row r="260" spans="2:105">
      <c r="B260" s="161"/>
      <c r="E260" s="153"/>
      <c r="F260" s="153"/>
      <c r="G260" s="152"/>
      <c r="H260" s="152"/>
      <c r="I260" s="152"/>
      <c r="J260" s="152"/>
      <c r="K260" s="152"/>
      <c r="L260" s="205"/>
      <c r="M260" s="152"/>
      <c r="N260" s="152"/>
      <c r="O260" s="205"/>
      <c r="P260" s="152"/>
      <c r="Q260" s="152"/>
      <c r="R260" s="152"/>
      <c r="S260" s="152"/>
      <c r="T260" s="152"/>
      <c r="U260" s="152"/>
      <c r="V260" s="153"/>
      <c r="W260" s="152"/>
      <c r="X260" s="152"/>
      <c r="Y260" s="205"/>
      <c r="Z260" s="152"/>
      <c r="AA260" s="152"/>
      <c r="AB260" s="205"/>
      <c r="AC260" s="152"/>
      <c r="AD260" s="152"/>
      <c r="AE260" s="152"/>
      <c r="AF260" s="152"/>
      <c r="AG260" s="152"/>
      <c r="AH260" s="152"/>
      <c r="AI260" s="152"/>
      <c r="AJ260" s="152"/>
      <c r="AK260" s="152"/>
      <c r="AL260" s="205"/>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c r="BH260" s="152"/>
      <c r="BI260" s="152"/>
      <c r="BJ260" s="152"/>
      <c r="BK260" s="152"/>
      <c r="BL260" s="152"/>
      <c r="BM260" s="152"/>
      <c r="BN260" s="152"/>
      <c r="BO260" s="152"/>
      <c r="BP260" s="152"/>
      <c r="BQ260" s="152"/>
      <c r="BR260" s="152"/>
      <c r="BS260" s="152"/>
      <c r="BT260" s="152"/>
      <c r="BU260" s="152"/>
      <c r="BV260" s="152"/>
      <c r="BW260" s="152"/>
      <c r="BX260" s="152"/>
      <c r="BY260" s="152"/>
      <c r="BZ260" s="152"/>
      <c r="CA260" s="152"/>
      <c r="CB260" s="152"/>
      <c r="CC260" s="152"/>
      <c r="CD260" s="152"/>
      <c r="CE260" s="152"/>
      <c r="CF260" s="152"/>
      <c r="CG260" s="152"/>
      <c r="CH260" s="152"/>
      <c r="CI260" s="152"/>
      <c r="CJ260" s="152"/>
      <c r="CK260" s="152"/>
      <c r="CL260" s="152"/>
      <c r="CM260" s="152"/>
      <c r="CN260" s="152"/>
      <c r="CO260" s="152"/>
      <c r="CP260" s="152"/>
      <c r="CQ260" s="205"/>
      <c r="CR260" s="205"/>
      <c r="CS260" s="205"/>
      <c r="CT260" s="209"/>
      <c r="CU260" s="152"/>
      <c r="CV260" s="152"/>
      <c r="CW260" s="212"/>
      <c r="CX260" s="212"/>
      <c r="CY260" s="212"/>
      <c r="CZ260" s="205"/>
      <c r="DA260" s="205"/>
    </row>
    <row r="261" spans="1:106">
      <c r="A261" s="226">
        <f>MAX(A255:A260)+1</f>
        <v>53</v>
      </c>
      <c r="B261" s="227">
        <f>B260+1</f>
        <v>1</v>
      </c>
      <c r="C261" s="226"/>
      <c r="D261" s="226" t="s">
        <v>14018</v>
      </c>
      <c r="E261" s="234">
        <f>+F261+CS261+CZ261+DA261</f>
        <v>252</v>
      </c>
      <c r="F261" s="234">
        <f>SUM(G261:K261,M261:N261,P261:U261,W261:X261,Z261:AA261,AC261:AK261,AM261:CP261)</f>
        <v>252</v>
      </c>
      <c r="G261" s="235">
        <f>ROUND(G144/1000,0)</f>
        <v>1</v>
      </c>
      <c r="H261" s="235">
        <f>ROUND(H144/1000,0)</f>
        <v>0</v>
      </c>
      <c r="I261" s="235">
        <f>ROUND(I144/1000,0)</f>
        <v>0</v>
      </c>
      <c r="J261" s="235">
        <f>ROUND(J144/1000,0)</f>
        <v>0</v>
      </c>
      <c r="K261" s="235">
        <f>ROUND(K144/1000,0)</f>
        <v>-1</v>
      </c>
      <c r="L261" s="241">
        <f>+SUM(G261:K261)</f>
        <v>0</v>
      </c>
      <c r="M261" s="235">
        <f>ROUND(M144/1000,0)</f>
        <v>0</v>
      </c>
      <c r="N261" s="235">
        <f>ROUND(N144/1000,0)</f>
        <v>0</v>
      </c>
      <c r="O261" s="241">
        <f>+SUM(M261:N261)</f>
        <v>0</v>
      </c>
      <c r="P261" s="235">
        <f t="shared" ref="P261:U261" si="561">ROUND(P144/1000,0)</f>
        <v>0</v>
      </c>
      <c r="Q261" s="235">
        <f t="shared" si="561"/>
        <v>0</v>
      </c>
      <c r="R261" s="235">
        <f t="shared" si="561"/>
        <v>0</v>
      </c>
      <c r="S261" s="235">
        <f t="shared" si="561"/>
        <v>0</v>
      </c>
      <c r="T261" s="235">
        <f t="shared" si="561"/>
        <v>0</v>
      </c>
      <c r="U261" s="235">
        <f t="shared" si="561"/>
        <v>0</v>
      </c>
      <c r="V261" s="234">
        <f>+SUM(P261:U261)</f>
        <v>0</v>
      </c>
      <c r="W261" s="235">
        <f>ROUND(W144/1000,0)</f>
        <v>0</v>
      </c>
      <c r="X261" s="235">
        <f>ROUND(X144/1000,0)</f>
        <v>0</v>
      </c>
      <c r="Y261" s="241">
        <f>SUM(V261:X261)</f>
        <v>0</v>
      </c>
      <c r="Z261" s="235">
        <f>ROUND(Z144/1000,0)</f>
        <v>0</v>
      </c>
      <c r="AA261" s="235">
        <f>ROUND(AA144/1000,0)</f>
        <v>0</v>
      </c>
      <c r="AB261" s="241">
        <f>+SUM(Z261:AA261)</f>
        <v>0</v>
      </c>
      <c r="AC261" s="235">
        <f t="shared" ref="AC261:AK261" si="562">ROUND(AC144/1000,0)</f>
        <v>0</v>
      </c>
      <c r="AD261" s="235">
        <f t="shared" si="562"/>
        <v>0</v>
      </c>
      <c r="AE261" s="235">
        <f t="shared" si="562"/>
        <v>0</v>
      </c>
      <c r="AF261" s="235">
        <f t="shared" si="562"/>
        <v>0</v>
      </c>
      <c r="AG261" s="235">
        <f t="shared" si="562"/>
        <v>0</v>
      </c>
      <c r="AH261" s="235">
        <f t="shared" si="562"/>
        <v>0</v>
      </c>
      <c r="AI261" s="235">
        <f t="shared" si="562"/>
        <v>0</v>
      </c>
      <c r="AJ261" s="235">
        <f t="shared" si="562"/>
        <v>0</v>
      </c>
      <c r="AK261" s="235">
        <f t="shared" si="562"/>
        <v>0</v>
      </c>
      <c r="AL261" s="241">
        <f>SUM(AF261:AK261)</f>
        <v>0</v>
      </c>
      <c r="AM261" s="235">
        <f t="shared" ref="AM261:CO261" si="563">ROUND(AM144/1000,0)</f>
        <v>0</v>
      </c>
      <c r="AN261" s="235">
        <f t="shared" si="563"/>
        <v>0</v>
      </c>
      <c r="AO261" s="235">
        <f t="shared" si="563"/>
        <v>0</v>
      </c>
      <c r="AP261" s="235">
        <f t="shared" si="563"/>
        <v>0</v>
      </c>
      <c r="AQ261" s="235">
        <f t="shared" si="563"/>
        <v>0</v>
      </c>
      <c r="AR261" s="235">
        <f t="shared" si="563"/>
        <v>0</v>
      </c>
      <c r="AS261" s="235">
        <f t="shared" si="563"/>
        <v>0</v>
      </c>
      <c r="AT261" s="235">
        <f t="shared" si="563"/>
        <v>0</v>
      </c>
      <c r="AU261" s="235">
        <f t="shared" si="563"/>
        <v>0</v>
      </c>
      <c r="AV261" s="235">
        <f t="shared" si="563"/>
        <v>0</v>
      </c>
      <c r="AW261" s="235">
        <f t="shared" si="563"/>
        <v>0</v>
      </c>
      <c r="AX261" s="235">
        <f t="shared" si="563"/>
        <v>0</v>
      </c>
      <c r="AY261" s="235">
        <f t="shared" si="563"/>
        <v>0</v>
      </c>
      <c r="AZ261" s="235">
        <f t="shared" si="563"/>
        <v>0</v>
      </c>
      <c r="BA261" s="235">
        <f t="shared" si="563"/>
        <v>0</v>
      </c>
      <c r="BB261" s="235">
        <f t="shared" si="563"/>
        <v>0</v>
      </c>
      <c r="BC261" s="235">
        <f t="shared" si="563"/>
        <v>0</v>
      </c>
      <c r="BD261" s="235">
        <f t="shared" si="563"/>
        <v>0</v>
      </c>
      <c r="BE261" s="235">
        <f t="shared" si="563"/>
        <v>0</v>
      </c>
      <c r="BF261" s="235">
        <f t="shared" si="563"/>
        <v>0</v>
      </c>
      <c r="BG261" s="235">
        <f t="shared" si="563"/>
        <v>0</v>
      </c>
      <c r="BH261" s="235">
        <f t="shared" si="563"/>
        <v>0</v>
      </c>
      <c r="BI261" s="235">
        <f t="shared" si="563"/>
        <v>0</v>
      </c>
      <c r="BJ261" s="235">
        <f t="shared" si="563"/>
        <v>0</v>
      </c>
      <c r="BK261" s="235">
        <f t="shared" si="563"/>
        <v>0</v>
      </c>
      <c r="BL261" s="235">
        <f t="shared" si="563"/>
        <v>0</v>
      </c>
      <c r="BM261" s="235">
        <f t="shared" si="563"/>
        <v>0</v>
      </c>
      <c r="BN261" s="235">
        <f t="shared" si="563"/>
        <v>0</v>
      </c>
      <c r="BO261" s="235">
        <f t="shared" si="563"/>
        <v>0</v>
      </c>
      <c r="BP261" s="235">
        <f t="shared" si="563"/>
        <v>0</v>
      </c>
      <c r="BQ261" s="235">
        <f t="shared" si="563"/>
        <v>0</v>
      </c>
      <c r="BR261" s="235">
        <f t="shared" si="563"/>
        <v>0</v>
      </c>
      <c r="BS261" s="235">
        <f t="shared" si="563"/>
        <v>0</v>
      </c>
      <c r="BT261" s="235">
        <f t="shared" si="563"/>
        <v>0</v>
      </c>
      <c r="BU261" s="235">
        <f t="shared" si="563"/>
        <v>0</v>
      </c>
      <c r="BV261" s="235">
        <f t="shared" si="563"/>
        <v>0</v>
      </c>
      <c r="BW261" s="235">
        <f t="shared" si="563"/>
        <v>0</v>
      </c>
      <c r="BX261" s="235">
        <f t="shared" si="563"/>
        <v>0</v>
      </c>
      <c r="BY261" s="235">
        <f t="shared" si="563"/>
        <v>0</v>
      </c>
      <c r="BZ261" s="235">
        <f t="shared" si="563"/>
        <v>5</v>
      </c>
      <c r="CA261" s="235">
        <f t="shared" si="563"/>
        <v>0</v>
      </c>
      <c r="CB261" s="235">
        <f t="shared" si="563"/>
        <v>0</v>
      </c>
      <c r="CC261" s="235">
        <f t="shared" si="563"/>
        <v>0</v>
      </c>
      <c r="CD261" s="235">
        <f t="shared" si="563"/>
        <v>0</v>
      </c>
      <c r="CE261" s="235">
        <f t="shared" si="563"/>
        <v>35</v>
      </c>
      <c r="CF261" s="235">
        <f t="shared" si="563"/>
        <v>0</v>
      </c>
      <c r="CG261" s="235">
        <f t="shared" si="563"/>
        <v>0</v>
      </c>
      <c r="CH261" s="235">
        <f t="shared" si="563"/>
        <v>35</v>
      </c>
      <c r="CI261" s="235">
        <f t="shared" si="563"/>
        <v>27</v>
      </c>
      <c r="CJ261" s="235">
        <f t="shared" si="563"/>
        <v>63</v>
      </c>
      <c r="CK261" s="235">
        <f t="shared" si="563"/>
        <v>5</v>
      </c>
      <c r="CL261" s="235">
        <f t="shared" si="563"/>
        <v>17</v>
      </c>
      <c r="CM261" s="235">
        <f t="shared" si="563"/>
        <v>65</v>
      </c>
      <c r="CN261" s="235">
        <f t="shared" si="563"/>
        <v>0</v>
      </c>
      <c r="CO261" s="235">
        <f t="shared" si="563"/>
        <v>0</v>
      </c>
      <c r="CP261" s="235"/>
      <c r="CQ261" s="241">
        <f>+SUM(AM261:CP261)</f>
        <v>252</v>
      </c>
      <c r="CR261" s="241">
        <f>SUM(AL261,CQ261)</f>
        <v>252</v>
      </c>
      <c r="CS261" s="241">
        <f>SUM(CY261:CY261)</f>
        <v>0</v>
      </c>
      <c r="CT261" s="246">
        <f>ROUND(CT144/1000,0)</f>
        <v>0</v>
      </c>
      <c r="CU261" s="235">
        <f>ROUND(CU144/1000,0)</f>
        <v>0</v>
      </c>
      <c r="CV261" s="235">
        <f>ROUND(CV144/1000,0)</f>
        <v>0</v>
      </c>
      <c r="CW261" s="249">
        <f>ROUND(CW144/1000,0)</f>
        <v>0</v>
      </c>
      <c r="CX261" s="249">
        <f>ROUND(CX144/1000,0)</f>
        <v>0</v>
      </c>
      <c r="CY261" s="249">
        <f>SUM(CT261:CX261)</f>
        <v>0</v>
      </c>
      <c r="CZ261" s="241">
        <f>ROUND(CZ144/1000,0)</f>
        <v>0</v>
      </c>
      <c r="DA261" s="241">
        <f>ROUND(DA144/1000,0)</f>
        <v>0</v>
      </c>
      <c r="DB261" s="193" t="s">
        <v>14020</v>
      </c>
    </row>
    <row r="262" spans="1:106">
      <c r="A262" s="226">
        <f>MAX(A256:A261)+1</f>
        <v>54</v>
      </c>
      <c r="B262" s="227">
        <f>B261+1</f>
        <v>2</v>
      </c>
      <c r="C262" s="226"/>
      <c r="D262" s="226" t="str">
        <f>IF(D145="","",D145)</f>
        <v>Outgoing: Transfers / Equity to</v>
      </c>
      <c r="E262" s="234">
        <f>+F262+CS262+CZ262+DA262</f>
        <v>-1416</v>
      </c>
      <c r="F262" s="234">
        <f>SUM(G262:K262,M262:N262,P262:U262,W262:X262,Z262:AA262,AC262:AK262,AM262:CP262)</f>
        <v>-480</v>
      </c>
      <c r="G262" s="235">
        <f>ROUND(G145/1000,0)</f>
        <v>0</v>
      </c>
      <c r="H262" s="235">
        <f>ROUND(H145/1000,0)</f>
        <v>0</v>
      </c>
      <c r="I262" s="235">
        <f>ROUND(I145/1000,0)</f>
        <v>0</v>
      </c>
      <c r="J262" s="235">
        <f>ROUND(J145/1000,0)</f>
        <v>0</v>
      </c>
      <c r="K262" s="235">
        <f>ROUND(K145/1000,0)</f>
        <v>0</v>
      </c>
      <c r="L262" s="241">
        <f>+SUM(G262:K262)</f>
        <v>0</v>
      </c>
      <c r="M262" s="235">
        <f>ROUND(M145/1000,0)</f>
        <v>0</v>
      </c>
      <c r="N262" s="235">
        <f>ROUND(N145/1000,0)</f>
        <v>0</v>
      </c>
      <c r="O262" s="241">
        <f>+SUM(M262:N262)</f>
        <v>0</v>
      </c>
      <c r="P262" s="235">
        <f t="shared" ref="P262:U262" si="564">ROUND(P145/1000,0)</f>
        <v>0</v>
      </c>
      <c r="Q262" s="235">
        <f t="shared" si="564"/>
        <v>0</v>
      </c>
      <c r="R262" s="235">
        <f t="shared" si="564"/>
        <v>0</v>
      </c>
      <c r="S262" s="235">
        <f t="shared" si="564"/>
        <v>0</v>
      </c>
      <c r="T262" s="235">
        <f t="shared" si="564"/>
        <v>0</v>
      </c>
      <c r="U262" s="235">
        <f t="shared" si="564"/>
        <v>0</v>
      </c>
      <c r="V262" s="234">
        <f>+SUM(P262:U262)</f>
        <v>0</v>
      </c>
      <c r="W262" s="235">
        <f>ROUND(W145/1000,0)</f>
        <v>0</v>
      </c>
      <c r="X262" s="235">
        <f>ROUND(X145/1000,0)</f>
        <v>0</v>
      </c>
      <c r="Y262" s="241">
        <f>SUM(V262:X262)</f>
        <v>0</v>
      </c>
      <c r="Z262" s="235">
        <f>ROUND(Z145/1000,0)</f>
        <v>0</v>
      </c>
      <c r="AA262" s="235">
        <f>ROUND(AA145/1000,0)</f>
        <v>0</v>
      </c>
      <c r="AB262" s="241">
        <f>+SUM(Z262:AA262)</f>
        <v>0</v>
      </c>
      <c r="AC262" s="235">
        <f t="shared" ref="AC262:AK262" si="565">ROUND(AC145/1000,0)</f>
        <v>-100</v>
      </c>
      <c r="AD262" s="235">
        <f t="shared" si="565"/>
        <v>-40</v>
      </c>
      <c r="AE262" s="235">
        <f t="shared" si="565"/>
        <v>0</v>
      </c>
      <c r="AF262" s="235">
        <f t="shared" si="565"/>
        <v>0</v>
      </c>
      <c r="AG262" s="235">
        <f t="shared" si="565"/>
        <v>0</v>
      </c>
      <c r="AH262" s="235">
        <f t="shared" si="565"/>
        <v>-20</v>
      </c>
      <c r="AI262" s="235">
        <f t="shared" si="565"/>
        <v>-50</v>
      </c>
      <c r="AJ262" s="235">
        <f t="shared" si="565"/>
        <v>0</v>
      </c>
      <c r="AK262" s="235">
        <f t="shared" si="565"/>
        <v>0</v>
      </c>
      <c r="AL262" s="241">
        <f>SUM(AF262:AK262)</f>
        <v>-70</v>
      </c>
      <c r="AM262" s="235">
        <f t="shared" ref="AM262:CO262" si="566">ROUND(AM145/1000,0)</f>
        <v>0</v>
      </c>
      <c r="AN262" s="235">
        <f t="shared" si="566"/>
        <v>0</v>
      </c>
      <c r="AO262" s="235">
        <f t="shared" si="566"/>
        <v>0</v>
      </c>
      <c r="AP262" s="235">
        <f t="shared" si="566"/>
        <v>0</v>
      </c>
      <c r="AQ262" s="235">
        <f t="shared" si="566"/>
        <v>0</v>
      </c>
      <c r="AR262" s="235">
        <f t="shared" si="566"/>
        <v>0</v>
      </c>
      <c r="AS262" s="235">
        <f t="shared" si="566"/>
        <v>0</v>
      </c>
      <c r="AT262" s="235">
        <f t="shared" si="566"/>
        <v>0</v>
      </c>
      <c r="AU262" s="235">
        <f t="shared" si="566"/>
        <v>0</v>
      </c>
      <c r="AV262" s="235">
        <f t="shared" si="566"/>
        <v>0</v>
      </c>
      <c r="AW262" s="235">
        <f t="shared" si="566"/>
        <v>0</v>
      </c>
      <c r="AX262" s="235">
        <f t="shared" si="566"/>
        <v>0</v>
      </c>
      <c r="AY262" s="235">
        <f t="shared" si="566"/>
        <v>0</v>
      </c>
      <c r="AZ262" s="235">
        <f t="shared" si="566"/>
        <v>0</v>
      </c>
      <c r="BA262" s="235">
        <f t="shared" si="566"/>
        <v>0</v>
      </c>
      <c r="BB262" s="235">
        <f t="shared" si="566"/>
        <v>0</v>
      </c>
      <c r="BC262" s="235">
        <f t="shared" si="566"/>
        <v>0</v>
      </c>
      <c r="BD262" s="235">
        <f t="shared" si="566"/>
        <v>0</v>
      </c>
      <c r="BE262" s="235">
        <f t="shared" si="566"/>
        <v>0</v>
      </c>
      <c r="BF262" s="235">
        <f t="shared" si="566"/>
        <v>0</v>
      </c>
      <c r="BG262" s="235">
        <f t="shared" si="566"/>
        <v>0</v>
      </c>
      <c r="BH262" s="235">
        <f t="shared" si="566"/>
        <v>0</v>
      </c>
      <c r="BI262" s="235">
        <f t="shared" si="566"/>
        <v>0</v>
      </c>
      <c r="BJ262" s="235">
        <f t="shared" si="566"/>
        <v>0</v>
      </c>
      <c r="BK262" s="235">
        <f t="shared" si="566"/>
        <v>0</v>
      </c>
      <c r="BL262" s="235">
        <f t="shared" si="566"/>
        <v>-40</v>
      </c>
      <c r="BM262" s="235">
        <f t="shared" si="566"/>
        <v>0</v>
      </c>
      <c r="BN262" s="235">
        <f t="shared" si="566"/>
        <v>0</v>
      </c>
      <c r="BO262" s="235">
        <f t="shared" si="566"/>
        <v>0</v>
      </c>
      <c r="BP262" s="235">
        <f t="shared" si="566"/>
        <v>0</v>
      </c>
      <c r="BQ262" s="235">
        <f t="shared" si="566"/>
        <v>0</v>
      </c>
      <c r="BR262" s="235">
        <f t="shared" si="566"/>
        <v>0</v>
      </c>
      <c r="BS262" s="235">
        <f t="shared" si="566"/>
        <v>0</v>
      </c>
      <c r="BT262" s="235">
        <f t="shared" si="566"/>
        <v>0</v>
      </c>
      <c r="BU262" s="235">
        <f t="shared" si="566"/>
        <v>0</v>
      </c>
      <c r="BV262" s="235">
        <f t="shared" si="566"/>
        <v>0</v>
      </c>
      <c r="BW262" s="235">
        <f t="shared" si="566"/>
        <v>-180</v>
      </c>
      <c r="BX262" s="235">
        <f t="shared" si="566"/>
        <v>0</v>
      </c>
      <c r="BY262" s="235">
        <f t="shared" si="566"/>
        <v>0</v>
      </c>
      <c r="BZ262" s="235">
        <f t="shared" si="566"/>
        <v>0</v>
      </c>
      <c r="CA262" s="235">
        <f t="shared" si="566"/>
        <v>0</v>
      </c>
      <c r="CB262" s="235">
        <f t="shared" si="566"/>
        <v>0</v>
      </c>
      <c r="CC262" s="235">
        <f t="shared" si="566"/>
        <v>0</v>
      </c>
      <c r="CD262" s="235">
        <f t="shared" si="566"/>
        <v>-50</v>
      </c>
      <c r="CE262" s="235">
        <f t="shared" si="566"/>
        <v>0</v>
      </c>
      <c r="CF262" s="235">
        <f t="shared" si="566"/>
        <v>0</v>
      </c>
      <c r="CG262" s="235">
        <f t="shared" si="566"/>
        <v>0</v>
      </c>
      <c r="CH262" s="235">
        <f t="shared" si="566"/>
        <v>0</v>
      </c>
      <c r="CI262" s="235">
        <f t="shared" si="566"/>
        <v>0</v>
      </c>
      <c r="CJ262" s="235">
        <f t="shared" si="566"/>
        <v>0</v>
      </c>
      <c r="CK262" s="235">
        <f t="shared" si="566"/>
        <v>0</v>
      </c>
      <c r="CL262" s="235">
        <f t="shared" si="566"/>
        <v>0</v>
      </c>
      <c r="CM262" s="235">
        <f t="shared" si="566"/>
        <v>0</v>
      </c>
      <c r="CN262" s="235">
        <f t="shared" si="566"/>
        <v>0</v>
      </c>
      <c r="CO262" s="235">
        <f t="shared" si="566"/>
        <v>0</v>
      </c>
      <c r="CP262" s="235"/>
      <c r="CQ262" s="241">
        <f>+SUM(AM262:CP262)</f>
        <v>-270</v>
      </c>
      <c r="CR262" s="241">
        <f>SUM(AL262,CQ262)</f>
        <v>-340</v>
      </c>
      <c r="CS262" s="241">
        <f>SUM(CY262:CY262)</f>
        <v>0</v>
      </c>
      <c r="CT262" s="246">
        <f>ROUND(CT145/1000,0)</f>
        <v>0</v>
      </c>
      <c r="CU262" s="235">
        <f>ROUND(CU145/1000,0)</f>
        <v>0</v>
      </c>
      <c r="CV262" s="235">
        <f>ROUND(CV145/1000,0)</f>
        <v>0</v>
      </c>
      <c r="CW262" s="249">
        <f>ROUND(CW145/1000,0)</f>
        <v>0</v>
      </c>
      <c r="CX262" s="249">
        <f>ROUND(CX145/1000,0)</f>
        <v>0</v>
      </c>
      <c r="CY262" s="249">
        <f>SUM(CT262:CX262)</f>
        <v>0</v>
      </c>
      <c r="CZ262" s="241">
        <f>ROUND(CZ145/1000,0)</f>
        <v>0</v>
      </c>
      <c r="DA262" s="241">
        <f>ROUND(DA145/1000,0)</f>
        <v>-936</v>
      </c>
      <c r="DB262" s="193" t="s">
        <v>14021</v>
      </c>
    </row>
    <row r="263" spans="2:105">
      <c r="B263" s="161"/>
      <c r="E263" s="153"/>
      <c r="F263" s="153"/>
      <c r="G263" s="152"/>
      <c r="H263" s="152"/>
      <c r="I263" s="152"/>
      <c r="J263" s="152"/>
      <c r="K263" s="152"/>
      <c r="L263" s="205"/>
      <c r="M263" s="152"/>
      <c r="N263" s="152"/>
      <c r="O263" s="205"/>
      <c r="P263" s="152"/>
      <c r="Q263" s="152"/>
      <c r="R263" s="152"/>
      <c r="S263" s="152"/>
      <c r="T263" s="152"/>
      <c r="U263" s="152"/>
      <c r="V263" s="153"/>
      <c r="W263" s="152"/>
      <c r="X263" s="152"/>
      <c r="Y263" s="205"/>
      <c r="Z263" s="152"/>
      <c r="AA263" s="152"/>
      <c r="AB263" s="205"/>
      <c r="AC263" s="152"/>
      <c r="AD263" s="152"/>
      <c r="AE263" s="152"/>
      <c r="AF263" s="152"/>
      <c r="AG263" s="152"/>
      <c r="AH263" s="152"/>
      <c r="AI263" s="152"/>
      <c r="AJ263" s="152"/>
      <c r="AK263" s="152"/>
      <c r="AL263" s="205"/>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c r="BH263" s="152"/>
      <c r="BI263" s="152"/>
      <c r="BJ263" s="152"/>
      <c r="BK263" s="152"/>
      <c r="BL263" s="152"/>
      <c r="BM263" s="152"/>
      <c r="BN263" s="152"/>
      <c r="BO263" s="152"/>
      <c r="BP263" s="152"/>
      <c r="BQ263" s="152"/>
      <c r="BR263" s="152"/>
      <c r="BS263" s="152"/>
      <c r="BT263" s="152"/>
      <c r="BU263" s="152"/>
      <c r="BV263" s="152"/>
      <c r="BW263" s="152"/>
      <c r="BX263" s="152"/>
      <c r="BY263" s="152"/>
      <c r="BZ263" s="152"/>
      <c r="CA263" s="152"/>
      <c r="CB263" s="152"/>
      <c r="CC263" s="152"/>
      <c r="CD263" s="152"/>
      <c r="CE263" s="152"/>
      <c r="CF263" s="152"/>
      <c r="CG263" s="152"/>
      <c r="CH263" s="152"/>
      <c r="CI263" s="152"/>
      <c r="CJ263" s="152"/>
      <c r="CK263" s="152"/>
      <c r="CL263" s="152"/>
      <c r="CM263" s="152"/>
      <c r="CN263" s="152"/>
      <c r="CO263" s="152"/>
      <c r="CP263" s="152"/>
      <c r="CQ263" s="205"/>
      <c r="CR263" s="205"/>
      <c r="CS263" s="205"/>
      <c r="CT263" s="209"/>
      <c r="CU263" s="152"/>
      <c r="CV263" s="152"/>
      <c r="CW263" s="212"/>
      <c r="CX263" s="212"/>
      <c r="CY263" s="212"/>
      <c r="CZ263" s="205"/>
      <c r="DA263" s="205"/>
    </row>
    <row r="264" spans="1:106">
      <c r="A264" s="226">
        <f>MAX(A258:A263)+1</f>
        <v>55</v>
      </c>
      <c r="B264" s="227">
        <f t="shared" ref="B264:B269" si="567">B263+1</f>
        <v>1</v>
      </c>
      <c r="C264" s="226"/>
      <c r="D264" s="226" t="str">
        <f>IF(D147="","",D147)</f>
        <v>Working Capital Incr/(Decr)</v>
      </c>
      <c r="E264" s="234" t="e">
        <f t="shared" ref="E264:E269" ca="true" si="568">+F264+CS264+CZ264+DA264</f>
        <v>#REF!</v>
      </c>
      <c r="F264" s="234" t="e">
        <f t="shared" ref="F264:F269" ca="true" si="569">SUM(G264:K264,M264:N264,P264:U264,W264:X264,Z264:AA264,AC264:AK264,AM264:CP264)</f>
        <v>#REF!</v>
      </c>
      <c r="G264" s="235">
        <f t="shared" ref="G264:G269" si="570">ROUND(G147/1000,0)</f>
        <v>77</v>
      </c>
      <c r="H264" s="235">
        <f t="shared" ref="H264:H269" si="571">ROUND(H147/1000,0)</f>
        <v>29</v>
      </c>
      <c r="I264" s="235">
        <f t="shared" ref="I264:I269" si="572">ROUND(I147/1000,0)</f>
        <v>11</v>
      </c>
      <c r="J264" s="235">
        <f t="shared" ref="J264:J269" si="573">ROUND(J147/1000,0)</f>
        <v>5</v>
      </c>
      <c r="K264" s="235">
        <f t="shared" ref="K264:K269" si="574">ROUND(K147/1000,0)</f>
        <v>-1</v>
      </c>
      <c r="L264" s="241">
        <f t="shared" ref="L264:L269" si="575">+SUM(G264:K264)</f>
        <v>121</v>
      </c>
      <c r="M264" s="235">
        <f t="shared" ref="M264:M269" si="576">ROUND(M147/1000,0)</f>
        <v>-6</v>
      </c>
      <c r="N264" s="235">
        <f t="shared" ref="N264:N269" si="577">ROUND(N147/1000,0)</f>
        <v>-6</v>
      </c>
      <c r="O264" s="241">
        <f t="shared" ref="O264:O269" si="578">+SUM(M264:N264)</f>
        <v>-12</v>
      </c>
      <c r="P264" s="235">
        <f t="shared" ref="P264:U264" ca="true" si="579">ROUND(P147/1000,0)</f>
        <v>0</v>
      </c>
      <c r="Q264" s="235">
        <f t="shared" ca="true" si="579"/>
        <v>0</v>
      </c>
      <c r="R264" s="235">
        <f t="shared" ca="true" si="579"/>
        <v>0</v>
      </c>
      <c r="S264" s="235">
        <f t="shared" ca="true" si="579"/>
        <v>0</v>
      </c>
      <c r="T264" s="235" t="e">
        <f t="shared" ca="true" si="579"/>
        <v>#REF!</v>
      </c>
      <c r="U264" s="235" t="e">
        <f t="shared" ca="true" si="579"/>
        <v>#REF!</v>
      </c>
      <c r="V264" s="234" t="e">
        <f t="shared" ref="V264:V269" ca="true" si="580">+SUM(P264:U264)</f>
        <v>#REF!</v>
      </c>
      <c r="W264" s="235" t="e">
        <f t="shared" ref="W264:W269" ca="true" si="581">ROUND(W147/1000,0)</f>
        <v>#REF!</v>
      </c>
      <c r="X264" s="235" t="e">
        <f t="shared" ref="X264:X269" ca="true" si="582">ROUND(X147/1000,0)</f>
        <v>#REF!</v>
      </c>
      <c r="Y264" s="241" t="e">
        <f t="shared" ref="Y264:Y269" ca="true" si="583">SUM(V264:X264)</f>
        <v>#REF!</v>
      </c>
      <c r="Z264" s="235" t="e">
        <f t="shared" ref="Z264:Z269" ca="true" si="584">ROUND(Z147/1000,0)</f>
        <v>#REF!</v>
      </c>
      <c r="AA264" s="235" t="e">
        <f t="shared" ref="AA264:AA269" ca="true" si="585">ROUND(AA147/1000,0)</f>
        <v>#REF!</v>
      </c>
      <c r="AB264" s="241" t="e">
        <f t="shared" ref="AB264:AB269" ca="true" si="586">+SUM(Z264:AA264)</f>
        <v>#REF!</v>
      </c>
      <c r="AC264" s="235" t="e">
        <f t="shared" ref="AC264:AK264" ca="true" si="587">ROUND(AC147/1000,0)</f>
        <v>#REF!</v>
      </c>
      <c r="AD264" s="235" t="e">
        <f t="shared" ca="true" si="587"/>
        <v>#REF!</v>
      </c>
      <c r="AE264" s="235" t="e">
        <f t="shared" ca="true" si="587"/>
        <v>#REF!</v>
      </c>
      <c r="AF264" s="235" t="e">
        <f t="shared" ca="true" si="587"/>
        <v>#REF!</v>
      </c>
      <c r="AG264" s="235" t="e">
        <f t="shared" ca="true" si="587"/>
        <v>#REF!</v>
      </c>
      <c r="AH264" s="235" t="e">
        <f t="shared" ca="true" si="587"/>
        <v>#REF!</v>
      </c>
      <c r="AI264" s="235" t="e">
        <f t="shared" ca="true" si="587"/>
        <v>#REF!</v>
      </c>
      <c r="AJ264" s="235" t="e">
        <f t="shared" ca="true" si="587"/>
        <v>#REF!</v>
      </c>
      <c r="AK264" s="235" t="e">
        <f t="shared" ca="true" si="587"/>
        <v>#REF!</v>
      </c>
      <c r="AL264" s="241" t="e">
        <f t="shared" ref="AL264:AL269" ca="true" si="588">SUM(AF264:AK264)</f>
        <v>#REF!</v>
      </c>
      <c r="AM264" s="235" t="e">
        <f t="shared" ref="AM264:CO264" ca="true" si="589">ROUND(AM147/1000,0)</f>
        <v>#REF!</v>
      </c>
      <c r="AN264" s="235" t="e">
        <f t="shared" ca="true" si="589"/>
        <v>#REF!</v>
      </c>
      <c r="AO264" s="235" t="e">
        <f t="shared" ca="true" si="589"/>
        <v>#REF!</v>
      </c>
      <c r="AP264" s="235" t="e">
        <f t="shared" ca="true" si="589"/>
        <v>#REF!</v>
      </c>
      <c r="AQ264" s="235" t="e">
        <f t="shared" ca="true" si="589"/>
        <v>#REF!</v>
      </c>
      <c r="AR264" s="235" t="e">
        <f t="shared" ca="true" si="589"/>
        <v>#REF!</v>
      </c>
      <c r="AS264" s="235" t="e">
        <f t="shared" ca="true" si="589"/>
        <v>#REF!</v>
      </c>
      <c r="AT264" s="235" t="e">
        <f t="shared" ca="true" si="589"/>
        <v>#REF!</v>
      </c>
      <c r="AU264" s="235" t="e">
        <f t="shared" ca="true" si="589"/>
        <v>#REF!</v>
      </c>
      <c r="AV264" s="235" t="e">
        <f t="shared" ca="true" si="589"/>
        <v>#REF!</v>
      </c>
      <c r="AW264" s="235" t="e">
        <f t="shared" ca="true" si="589"/>
        <v>#REF!</v>
      </c>
      <c r="AX264" s="235" t="e">
        <f t="shared" ca="true" si="589"/>
        <v>#REF!</v>
      </c>
      <c r="AY264" s="235" t="e">
        <f t="shared" ca="true" si="589"/>
        <v>#REF!</v>
      </c>
      <c r="AZ264" s="235" t="e">
        <f t="shared" ca="true" si="589"/>
        <v>#REF!</v>
      </c>
      <c r="BA264" s="235" t="e">
        <f t="shared" ca="true" si="589"/>
        <v>#REF!</v>
      </c>
      <c r="BB264" s="235" t="e">
        <f t="shared" ca="true" si="589"/>
        <v>#REF!</v>
      </c>
      <c r="BC264" s="235" t="e">
        <f t="shared" ca="true" si="589"/>
        <v>#REF!</v>
      </c>
      <c r="BD264" s="235" t="e">
        <f t="shared" ca="true" si="589"/>
        <v>#REF!</v>
      </c>
      <c r="BE264" s="235" t="e">
        <f t="shared" ca="true" si="589"/>
        <v>#REF!</v>
      </c>
      <c r="BF264" s="235" t="e">
        <f t="shared" ca="true" si="589"/>
        <v>#REF!</v>
      </c>
      <c r="BG264" s="235" t="e">
        <f t="shared" ca="true" si="589"/>
        <v>#REF!</v>
      </c>
      <c r="BH264" s="235" t="e">
        <f t="shared" ca="true" si="589"/>
        <v>#REF!</v>
      </c>
      <c r="BI264" s="235" t="e">
        <f t="shared" ca="true" si="589"/>
        <v>#REF!</v>
      </c>
      <c r="BJ264" s="235" t="e">
        <f t="shared" ca="true" si="589"/>
        <v>#REF!</v>
      </c>
      <c r="BK264" s="235" t="e">
        <f t="shared" ca="true" si="589"/>
        <v>#REF!</v>
      </c>
      <c r="BL264" s="235" t="e">
        <f t="shared" ca="true" si="589"/>
        <v>#REF!</v>
      </c>
      <c r="BM264" s="235" t="e">
        <f t="shared" ca="true" si="589"/>
        <v>#REF!</v>
      </c>
      <c r="BN264" s="235" t="e">
        <f t="shared" ca="true" si="589"/>
        <v>#REF!</v>
      </c>
      <c r="BO264" s="235" t="e">
        <f t="shared" ca="true" si="589"/>
        <v>#REF!</v>
      </c>
      <c r="BP264" s="235" t="e">
        <f t="shared" ca="true" si="589"/>
        <v>#REF!</v>
      </c>
      <c r="BQ264" s="235" t="e">
        <f t="shared" ca="true" si="589"/>
        <v>#REF!</v>
      </c>
      <c r="BR264" s="235" t="e">
        <f t="shared" ca="true" si="589"/>
        <v>#REF!</v>
      </c>
      <c r="BS264" s="235" t="e">
        <f t="shared" ca="true" si="589"/>
        <v>#REF!</v>
      </c>
      <c r="BT264" s="235" t="e">
        <f t="shared" ca="true" si="589"/>
        <v>#REF!</v>
      </c>
      <c r="BU264" s="235" t="e">
        <f t="shared" ca="true" si="589"/>
        <v>#REF!</v>
      </c>
      <c r="BV264" s="235" t="e">
        <f t="shared" ca="true" si="589"/>
        <v>#REF!</v>
      </c>
      <c r="BW264" s="235" t="e">
        <f t="shared" ca="true" si="589"/>
        <v>#REF!</v>
      </c>
      <c r="BX264" s="235" t="e">
        <f t="shared" ca="true" si="589"/>
        <v>#REF!</v>
      </c>
      <c r="BY264" s="235" t="e">
        <f t="shared" ca="true" si="589"/>
        <v>#REF!</v>
      </c>
      <c r="BZ264" s="235" t="e">
        <f t="shared" ca="true" si="589"/>
        <v>#REF!</v>
      </c>
      <c r="CA264" s="235" t="e">
        <f t="shared" ca="true" si="589"/>
        <v>#REF!</v>
      </c>
      <c r="CB264" s="235" t="e">
        <f t="shared" ca="true" si="589"/>
        <v>#REF!</v>
      </c>
      <c r="CC264" s="235" t="e">
        <f t="shared" ca="true" si="589"/>
        <v>#REF!</v>
      </c>
      <c r="CD264" s="235" t="e">
        <f t="shared" ca="true" si="589"/>
        <v>#REF!</v>
      </c>
      <c r="CE264" s="235" t="e">
        <f t="shared" ca="true" si="589"/>
        <v>#REF!</v>
      </c>
      <c r="CF264" s="235" t="e">
        <f t="shared" ca="true" si="589"/>
        <v>#REF!</v>
      </c>
      <c r="CG264" s="235" t="e">
        <f t="shared" ca="true" si="589"/>
        <v>#REF!</v>
      </c>
      <c r="CH264" s="235" t="e">
        <f t="shared" ca="true" si="589"/>
        <v>#REF!</v>
      </c>
      <c r="CI264" s="235" t="e">
        <f t="shared" ca="true" si="589"/>
        <v>#REF!</v>
      </c>
      <c r="CJ264" s="235" t="e">
        <f t="shared" ca="true" si="589"/>
        <v>#REF!</v>
      </c>
      <c r="CK264" s="235" t="e">
        <f t="shared" ca="true" si="589"/>
        <v>#REF!</v>
      </c>
      <c r="CL264" s="235" t="e">
        <f t="shared" ca="true" si="589"/>
        <v>#REF!</v>
      </c>
      <c r="CM264" s="235" t="e">
        <f t="shared" ca="true" si="589"/>
        <v>#REF!</v>
      </c>
      <c r="CN264" s="235" t="e">
        <f t="shared" ca="true" si="589"/>
        <v>#REF!</v>
      </c>
      <c r="CO264" s="235" t="e">
        <f t="shared" ca="true" si="589"/>
        <v>#REF!</v>
      </c>
      <c r="CP264" s="235"/>
      <c r="CQ264" s="241" t="e">
        <f t="shared" ref="CQ264:CQ269" ca="true" si="590">+SUM(AM264:CP264)</f>
        <v>#REF!</v>
      </c>
      <c r="CR264" s="241" t="e">
        <f t="shared" ref="CR264:CR269" ca="true" si="591">SUM(AL264,CQ264)</f>
        <v>#REF!</v>
      </c>
      <c r="CS264" s="241" t="e">
        <f t="shared" ref="CS264:CS269" ca="true" si="592">SUM(CY264:CY264)</f>
        <v>#REF!</v>
      </c>
      <c r="CT264" s="246" t="e">
        <f t="shared" ref="CT264:CT269" ca="true" si="593">ROUND(CT147/1000,0)</f>
        <v>#REF!</v>
      </c>
      <c r="CU264" s="235" t="e">
        <f t="shared" ref="CU264:CU269" ca="true" si="594">ROUND(CU147/1000,0)</f>
        <v>#REF!</v>
      </c>
      <c r="CV264" s="235" t="e">
        <f t="shared" ref="CV264:CV269" ca="true" si="595">ROUND(CV147/1000,0)</f>
        <v>#REF!</v>
      </c>
      <c r="CW264" s="249" t="e">
        <f t="shared" ref="CW264:CW269" ca="true" si="596">ROUND(CW147/1000,0)</f>
        <v>#REF!</v>
      </c>
      <c r="CX264" s="249">
        <f t="shared" ref="CX264:CX269" ca="true" si="597">ROUND(CX147/1000,0)</f>
        <v>0</v>
      </c>
      <c r="CY264" s="249" t="e">
        <f t="shared" ref="CY264:CY269" ca="true" si="598">SUM(CT264:CX264)</f>
        <v>#REF!</v>
      </c>
      <c r="CZ264" s="241">
        <f t="shared" ref="CZ264:CZ269" si="599">ROUND(CZ147/1000,0)</f>
        <v>0</v>
      </c>
      <c r="DA264" s="241">
        <f t="shared" ref="DA264:DA269" si="600">ROUND(DA147/1000,0)</f>
        <v>0</v>
      </c>
      <c r="DB264" s="193" t="s">
        <v>14022</v>
      </c>
    </row>
    <row r="265" spans="1:106">
      <c r="A265" s="226">
        <f>MAX(A259:A264)+1</f>
        <v>56</v>
      </c>
      <c r="B265" s="227">
        <f t="shared" si="567"/>
        <v>2</v>
      </c>
      <c r="C265" s="226"/>
      <c r="D265" s="226" t="s">
        <v>14023</v>
      </c>
      <c r="E265" s="234">
        <f t="shared" ca="true" si="568"/>
        <v>277</v>
      </c>
      <c r="F265" s="234">
        <f t="shared" ca="true" si="569"/>
        <v>277</v>
      </c>
      <c r="G265" s="235">
        <f t="shared" si="570"/>
        <v>333</v>
      </c>
      <c r="H265" s="235">
        <f t="shared" si="571"/>
        <v>-50</v>
      </c>
      <c r="I265" s="235">
        <f t="shared" si="572"/>
        <v>-265</v>
      </c>
      <c r="J265" s="235">
        <f t="shared" si="573"/>
        <v>-59</v>
      </c>
      <c r="K265" s="235">
        <f t="shared" si="574"/>
        <v>1</v>
      </c>
      <c r="L265" s="241">
        <f t="shared" si="575"/>
        <v>-40</v>
      </c>
      <c r="M265" s="235">
        <f t="shared" si="576"/>
        <v>220</v>
      </c>
      <c r="N265" s="235">
        <f t="shared" si="577"/>
        <v>-120</v>
      </c>
      <c r="O265" s="241">
        <f t="shared" si="578"/>
        <v>100</v>
      </c>
      <c r="P265" s="235">
        <f t="shared" ref="P265:U265" ca="true" si="601">ROUND(P148/1000,0)</f>
        <v>-4</v>
      </c>
      <c r="Q265" s="235">
        <f t="shared" ca="true" si="601"/>
        <v>-2</v>
      </c>
      <c r="R265" s="235">
        <f t="shared" ca="true" si="601"/>
        <v>-1</v>
      </c>
      <c r="S265" s="235">
        <f t="shared" ca="true" si="601"/>
        <v>-1</v>
      </c>
      <c r="T265" s="235">
        <f t="shared" ca="true" si="601"/>
        <v>-1</v>
      </c>
      <c r="U265" s="235">
        <f t="shared" ca="true" si="601"/>
        <v>0</v>
      </c>
      <c r="V265" s="234">
        <f t="shared" ca="true" si="580"/>
        <v>-9</v>
      </c>
      <c r="W265" s="235">
        <f t="shared" ca="true" si="581"/>
        <v>-1</v>
      </c>
      <c r="X265" s="235">
        <f t="shared" ca="true" si="582"/>
        <v>0</v>
      </c>
      <c r="Y265" s="241">
        <f t="shared" ca="true" si="583"/>
        <v>-10</v>
      </c>
      <c r="Z265" s="235">
        <f t="shared" ca="true" si="584"/>
        <v>-75</v>
      </c>
      <c r="AA265" s="235">
        <f t="shared" ca="true" si="585"/>
        <v>-20</v>
      </c>
      <c r="AB265" s="241">
        <f t="shared" ca="true" si="586"/>
        <v>-95</v>
      </c>
      <c r="AC265" s="235">
        <f t="shared" ref="AC265:AK265" ca="true" si="602">ROUND(AC148/1000,0)</f>
        <v>0</v>
      </c>
      <c r="AD265" s="235">
        <f t="shared" ca="true" si="602"/>
        <v>0</v>
      </c>
      <c r="AE265" s="235">
        <f t="shared" ca="true" si="602"/>
        <v>87</v>
      </c>
      <c r="AF265" s="235">
        <f t="shared" ca="true" si="602"/>
        <v>1</v>
      </c>
      <c r="AG265" s="235">
        <f t="shared" ca="true" si="602"/>
        <v>0</v>
      </c>
      <c r="AH265" s="235">
        <f t="shared" ca="true" si="602"/>
        <v>4</v>
      </c>
      <c r="AI265" s="235">
        <f t="shared" ca="true" si="602"/>
        <v>2</v>
      </c>
      <c r="AJ265" s="235">
        <f t="shared" ca="true" si="602"/>
        <v>5</v>
      </c>
      <c r="AK265" s="235">
        <f t="shared" ca="true" si="602"/>
        <v>-101</v>
      </c>
      <c r="AL265" s="241">
        <f t="shared" ca="true" si="588"/>
        <v>-89</v>
      </c>
      <c r="AM265" s="235">
        <f t="shared" ref="AM265:CO265" ca="true" si="603">ROUND(AM148/1000,0)</f>
        <v>0</v>
      </c>
      <c r="AN265" s="235">
        <f t="shared" ca="true" si="603"/>
        <v>2</v>
      </c>
      <c r="AO265" s="235">
        <f t="shared" ca="true" si="603"/>
        <v>-1</v>
      </c>
      <c r="AP265" s="235">
        <f t="shared" ca="true" si="603"/>
        <v>0</v>
      </c>
      <c r="AQ265" s="235">
        <f t="shared" ca="true" si="603"/>
        <v>-2</v>
      </c>
      <c r="AR265" s="235">
        <f t="shared" ca="true" si="603"/>
        <v>0</v>
      </c>
      <c r="AS265" s="235">
        <f t="shared" ca="true" si="603"/>
        <v>4</v>
      </c>
      <c r="AT265" s="235">
        <f t="shared" ca="true" si="603"/>
        <v>2</v>
      </c>
      <c r="AU265" s="235">
        <f t="shared" ca="true" si="603"/>
        <v>0</v>
      </c>
      <c r="AV265" s="235">
        <f t="shared" ca="true" si="603"/>
        <v>6</v>
      </c>
      <c r="AW265" s="235">
        <f t="shared" ca="true" si="603"/>
        <v>0</v>
      </c>
      <c r="AX265" s="235">
        <f t="shared" ca="true" si="603"/>
        <v>0</v>
      </c>
      <c r="AY265" s="235">
        <f t="shared" ca="true" si="603"/>
        <v>0</v>
      </c>
      <c r="AZ265" s="235">
        <f t="shared" ca="true" si="603"/>
        <v>3</v>
      </c>
      <c r="BA265" s="235">
        <f t="shared" ca="true" si="603"/>
        <v>2</v>
      </c>
      <c r="BB265" s="235">
        <f t="shared" ca="true" si="603"/>
        <v>0</v>
      </c>
      <c r="BC265" s="235">
        <f t="shared" ca="true" si="603"/>
        <v>8</v>
      </c>
      <c r="BD265" s="235">
        <f t="shared" ca="true" si="603"/>
        <v>2</v>
      </c>
      <c r="BE265" s="235">
        <f t="shared" ca="true" si="603"/>
        <v>2</v>
      </c>
      <c r="BF265" s="235">
        <f t="shared" ca="true" si="603"/>
        <v>2</v>
      </c>
      <c r="BG265" s="235">
        <f t="shared" ca="true" si="603"/>
        <v>3</v>
      </c>
      <c r="BH265" s="235">
        <f t="shared" ca="true" si="603"/>
        <v>0</v>
      </c>
      <c r="BI265" s="235">
        <f t="shared" ca="true" si="603"/>
        <v>2</v>
      </c>
      <c r="BJ265" s="235">
        <f t="shared" ca="true" si="603"/>
        <v>0</v>
      </c>
      <c r="BK265" s="235">
        <f t="shared" ca="true" si="603"/>
        <v>1</v>
      </c>
      <c r="BL265" s="235">
        <f t="shared" ca="true" si="603"/>
        <v>1</v>
      </c>
      <c r="BM265" s="235">
        <f t="shared" ca="true" si="603"/>
        <v>1</v>
      </c>
      <c r="BN265" s="235">
        <f t="shared" ca="true" si="603"/>
        <v>1</v>
      </c>
      <c r="BO265" s="235">
        <f t="shared" ca="true" si="603"/>
        <v>0</v>
      </c>
      <c r="BP265" s="235">
        <f t="shared" ca="true" si="603"/>
        <v>5</v>
      </c>
      <c r="BQ265" s="235">
        <f t="shared" ca="true" si="603"/>
        <v>4</v>
      </c>
      <c r="BR265" s="235">
        <f t="shared" ca="true" si="603"/>
        <v>163</v>
      </c>
      <c r="BS265" s="235">
        <f t="shared" ca="true" si="603"/>
        <v>0</v>
      </c>
      <c r="BT265" s="235">
        <f t="shared" ca="true" si="603"/>
        <v>0</v>
      </c>
      <c r="BU265" s="235">
        <f t="shared" ca="true" si="603"/>
        <v>0</v>
      </c>
      <c r="BV265" s="235">
        <f t="shared" ca="true" si="603"/>
        <v>0</v>
      </c>
      <c r="BW265" s="235">
        <f t="shared" ca="true" si="603"/>
        <v>-52</v>
      </c>
      <c r="BX265" s="235">
        <f t="shared" ca="true" si="603"/>
        <v>7</v>
      </c>
      <c r="BY265" s="235">
        <f t="shared" ca="true" si="603"/>
        <v>0</v>
      </c>
      <c r="BZ265" s="235">
        <f t="shared" ca="true" si="603"/>
        <v>70</v>
      </c>
      <c r="CA265" s="235">
        <f t="shared" ca="true" si="603"/>
        <v>1</v>
      </c>
      <c r="CB265" s="235">
        <f t="shared" ca="true" si="603"/>
        <v>5</v>
      </c>
      <c r="CC265" s="235">
        <f t="shared" ca="true" si="603"/>
        <v>5</v>
      </c>
      <c r="CD265" s="235">
        <f t="shared" ca="true" si="603"/>
        <v>4</v>
      </c>
      <c r="CE265" s="235">
        <f t="shared" ca="true" si="603"/>
        <v>15</v>
      </c>
      <c r="CF265" s="235">
        <f t="shared" ca="true" si="603"/>
        <v>0</v>
      </c>
      <c r="CG265" s="235">
        <f t="shared" ca="true" si="603"/>
        <v>0</v>
      </c>
      <c r="CH265" s="235">
        <f t="shared" ca="true" si="603"/>
        <v>10</v>
      </c>
      <c r="CI265" s="235">
        <f t="shared" ca="true" si="603"/>
        <v>0</v>
      </c>
      <c r="CJ265" s="235">
        <f t="shared" ca="true" si="603"/>
        <v>4</v>
      </c>
      <c r="CK265" s="235">
        <f t="shared" ca="true" si="603"/>
        <v>0</v>
      </c>
      <c r="CL265" s="235">
        <f t="shared" ca="true" si="603"/>
        <v>0</v>
      </c>
      <c r="CM265" s="235">
        <f t="shared" ca="true" si="603"/>
        <v>14</v>
      </c>
      <c r="CN265" s="235">
        <f t="shared" ca="true" si="603"/>
        <v>22</v>
      </c>
      <c r="CO265" s="235">
        <f t="shared" ca="true" si="603"/>
        <v>8</v>
      </c>
      <c r="CP265" s="235"/>
      <c r="CQ265" s="241">
        <f t="shared" ca="true" si="590"/>
        <v>324</v>
      </c>
      <c r="CR265" s="241">
        <f t="shared" ca="true" si="591"/>
        <v>235</v>
      </c>
      <c r="CS265" s="241">
        <f t="shared" ca="true" si="592"/>
        <v>0</v>
      </c>
      <c r="CT265" s="246">
        <f t="shared" ca="true" si="593"/>
        <v>0</v>
      </c>
      <c r="CU265" s="235">
        <f t="shared" ca="true" si="594"/>
        <v>0</v>
      </c>
      <c r="CV265" s="235">
        <f t="shared" ca="true" si="595"/>
        <v>0</v>
      </c>
      <c r="CW265" s="249">
        <f t="shared" ca="true" si="596"/>
        <v>0</v>
      </c>
      <c r="CX265" s="249">
        <f t="shared" ca="true" si="597"/>
        <v>0</v>
      </c>
      <c r="CY265" s="249">
        <f t="shared" ca="true" si="598"/>
        <v>0</v>
      </c>
      <c r="CZ265" s="241">
        <f t="shared" si="599"/>
        <v>0</v>
      </c>
      <c r="DA265" s="241">
        <f t="shared" si="600"/>
        <v>0</v>
      </c>
      <c r="DB265" s="193" t="s">
        <v>14020</v>
      </c>
    </row>
    <row r="266" spans="1:106">
      <c r="A266" s="154">
        <f>MAX(A262:A265)+1</f>
        <v>57</v>
      </c>
      <c r="B266" s="161">
        <f t="shared" si="567"/>
        <v>3</v>
      </c>
      <c r="D266" s="154" t="str">
        <f>IF(D149="","",D149)</f>
        <v>Beginning Deposits in Transit/Credits</v>
      </c>
      <c r="E266" s="198" t="e">
        <f t="shared" ca="true" si="568"/>
        <v>#REF!</v>
      </c>
      <c r="F266" s="153" t="e">
        <f t="shared" ca="true" si="569"/>
        <v>#REF!</v>
      </c>
      <c r="G266" s="152" t="e">
        <f t="shared" ca="true" si="570"/>
        <v>#REF!</v>
      </c>
      <c r="H266" s="152" t="e">
        <f t="shared" ca="true" si="571"/>
        <v>#REF!</v>
      </c>
      <c r="I266" s="152" t="e">
        <f t="shared" ca="true" si="572"/>
        <v>#REF!</v>
      </c>
      <c r="J266" s="152" t="e">
        <f t="shared" ca="true" si="573"/>
        <v>#REF!</v>
      </c>
      <c r="K266" s="152" t="e">
        <f t="shared" ca="true" si="574"/>
        <v>#REF!</v>
      </c>
      <c r="L266" s="205" t="e">
        <f t="shared" ca="true" si="575"/>
        <v>#REF!</v>
      </c>
      <c r="M266" s="152" t="e">
        <f t="shared" ca="true" si="576"/>
        <v>#REF!</v>
      </c>
      <c r="N266" s="152" t="e">
        <f t="shared" ca="true" si="577"/>
        <v>#REF!</v>
      </c>
      <c r="O266" s="205" t="e">
        <f t="shared" ca="true" si="578"/>
        <v>#REF!</v>
      </c>
      <c r="P266" s="152" t="e">
        <f t="shared" ref="P266:U266" ca="true" si="604">ROUND(P149/1000,0)</f>
        <v>#REF!</v>
      </c>
      <c r="Q266" s="152" t="e">
        <f t="shared" ca="true" si="604"/>
        <v>#REF!</v>
      </c>
      <c r="R266" s="152" t="e">
        <f t="shared" ca="true" si="604"/>
        <v>#REF!</v>
      </c>
      <c r="S266" s="152" t="e">
        <f t="shared" ca="true" si="604"/>
        <v>#REF!</v>
      </c>
      <c r="T266" s="152" t="e">
        <f t="shared" ca="true" si="604"/>
        <v>#REF!</v>
      </c>
      <c r="U266" s="152" t="e">
        <f t="shared" ca="true" si="604"/>
        <v>#REF!</v>
      </c>
      <c r="V266" s="152" t="e">
        <f t="shared" ca="true" si="580"/>
        <v>#REF!</v>
      </c>
      <c r="W266" s="152" t="e">
        <f t="shared" ca="true" si="581"/>
        <v>#REF!</v>
      </c>
      <c r="X266" s="152" t="e">
        <f t="shared" ca="true" si="582"/>
        <v>#REF!</v>
      </c>
      <c r="Y266" s="205" t="e">
        <f t="shared" ca="true" si="583"/>
        <v>#REF!</v>
      </c>
      <c r="Z266" s="152" t="e">
        <f t="shared" ca="true" si="584"/>
        <v>#REF!</v>
      </c>
      <c r="AA266" s="152" t="e">
        <f t="shared" ca="true" si="585"/>
        <v>#REF!</v>
      </c>
      <c r="AB266" s="205" t="e">
        <f t="shared" ca="true" si="586"/>
        <v>#REF!</v>
      </c>
      <c r="AC266" s="152" t="e">
        <f t="shared" ref="AC266:AK266" ca="true" si="605">ROUND(AC149/1000,0)</f>
        <v>#REF!</v>
      </c>
      <c r="AD266" s="152" t="e">
        <f t="shared" ca="true" si="605"/>
        <v>#REF!</v>
      </c>
      <c r="AE266" s="152" t="e">
        <f t="shared" ca="true" si="605"/>
        <v>#REF!</v>
      </c>
      <c r="AF266" s="152" t="e">
        <f t="shared" ca="true" si="605"/>
        <v>#REF!</v>
      </c>
      <c r="AG266" s="152" t="e">
        <f t="shared" ca="true" si="605"/>
        <v>#REF!</v>
      </c>
      <c r="AH266" s="152" t="e">
        <f t="shared" ca="true" si="605"/>
        <v>#REF!</v>
      </c>
      <c r="AI266" s="152" t="e">
        <f t="shared" ca="true" si="605"/>
        <v>#REF!</v>
      </c>
      <c r="AJ266" s="152" t="e">
        <f t="shared" ca="true" si="605"/>
        <v>#REF!</v>
      </c>
      <c r="AK266" s="152" t="e">
        <f t="shared" ca="true" si="605"/>
        <v>#REF!</v>
      </c>
      <c r="AL266" s="205" t="e">
        <f t="shared" ca="true" si="588"/>
        <v>#REF!</v>
      </c>
      <c r="AM266" s="152" t="e">
        <f t="shared" ref="AM266:CO266" ca="true" si="606">ROUND(AM149/1000,0)</f>
        <v>#REF!</v>
      </c>
      <c r="AN266" s="152" t="e">
        <f t="shared" ca="true" si="606"/>
        <v>#REF!</v>
      </c>
      <c r="AO266" s="152" t="e">
        <f t="shared" ca="true" si="606"/>
        <v>#REF!</v>
      </c>
      <c r="AP266" s="152" t="e">
        <f t="shared" ca="true" si="606"/>
        <v>#REF!</v>
      </c>
      <c r="AQ266" s="152" t="e">
        <f t="shared" ca="true" si="606"/>
        <v>#REF!</v>
      </c>
      <c r="AR266" s="152" t="e">
        <f t="shared" ca="true" si="606"/>
        <v>#REF!</v>
      </c>
      <c r="AS266" s="152" t="e">
        <f t="shared" ca="true" si="606"/>
        <v>#REF!</v>
      </c>
      <c r="AT266" s="152" t="e">
        <f t="shared" ca="true" si="606"/>
        <v>#REF!</v>
      </c>
      <c r="AU266" s="152" t="e">
        <f t="shared" ca="true" si="606"/>
        <v>#REF!</v>
      </c>
      <c r="AV266" s="152" t="e">
        <f t="shared" ca="true" si="606"/>
        <v>#REF!</v>
      </c>
      <c r="AW266" s="152" t="e">
        <f t="shared" ca="true" si="606"/>
        <v>#REF!</v>
      </c>
      <c r="AX266" s="152" t="e">
        <f t="shared" ca="true" si="606"/>
        <v>#REF!</v>
      </c>
      <c r="AY266" s="152" t="e">
        <f t="shared" ca="true" si="606"/>
        <v>#REF!</v>
      </c>
      <c r="AZ266" s="152" t="e">
        <f t="shared" ca="true" si="606"/>
        <v>#REF!</v>
      </c>
      <c r="BA266" s="152" t="e">
        <f t="shared" ca="true" si="606"/>
        <v>#REF!</v>
      </c>
      <c r="BB266" s="152" t="e">
        <f t="shared" ca="true" si="606"/>
        <v>#REF!</v>
      </c>
      <c r="BC266" s="152" t="e">
        <f t="shared" ca="true" si="606"/>
        <v>#REF!</v>
      </c>
      <c r="BD266" s="152" t="e">
        <f t="shared" ca="true" si="606"/>
        <v>#REF!</v>
      </c>
      <c r="BE266" s="152" t="e">
        <f t="shared" ca="true" si="606"/>
        <v>#REF!</v>
      </c>
      <c r="BF266" s="152" t="e">
        <f t="shared" ca="true" si="606"/>
        <v>#REF!</v>
      </c>
      <c r="BG266" s="152" t="e">
        <f t="shared" ca="true" si="606"/>
        <v>#REF!</v>
      </c>
      <c r="BH266" s="152" t="e">
        <f t="shared" ca="true" si="606"/>
        <v>#REF!</v>
      </c>
      <c r="BI266" s="152" t="e">
        <f t="shared" ca="true" si="606"/>
        <v>#REF!</v>
      </c>
      <c r="BJ266" s="152" t="e">
        <f t="shared" ca="true" si="606"/>
        <v>#REF!</v>
      </c>
      <c r="BK266" s="152" t="e">
        <f t="shared" ca="true" si="606"/>
        <v>#REF!</v>
      </c>
      <c r="BL266" s="152" t="e">
        <f t="shared" ca="true" si="606"/>
        <v>#REF!</v>
      </c>
      <c r="BM266" s="152" t="e">
        <f t="shared" ca="true" si="606"/>
        <v>#REF!</v>
      </c>
      <c r="BN266" s="152" t="e">
        <f t="shared" ca="true" si="606"/>
        <v>#REF!</v>
      </c>
      <c r="BO266" s="152" t="e">
        <f t="shared" ca="true" si="606"/>
        <v>#REF!</v>
      </c>
      <c r="BP266" s="152" t="e">
        <f t="shared" ca="true" si="606"/>
        <v>#REF!</v>
      </c>
      <c r="BQ266" s="152" t="e">
        <f t="shared" ca="true" si="606"/>
        <v>#REF!</v>
      </c>
      <c r="BR266" s="152" t="e">
        <f t="shared" ca="true" si="606"/>
        <v>#REF!</v>
      </c>
      <c r="BS266" s="152" t="e">
        <f t="shared" ca="true" si="606"/>
        <v>#REF!</v>
      </c>
      <c r="BT266" s="152" t="e">
        <f t="shared" ca="true" si="606"/>
        <v>#REF!</v>
      </c>
      <c r="BU266" s="152" t="e">
        <f t="shared" ca="true" si="606"/>
        <v>#REF!</v>
      </c>
      <c r="BV266" s="152" t="e">
        <f t="shared" ca="true" si="606"/>
        <v>#REF!</v>
      </c>
      <c r="BW266" s="152" t="e">
        <f t="shared" ca="true" si="606"/>
        <v>#REF!</v>
      </c>
      <c r="BX266" s="152" t="e">
        <f t="shared" ca="true" si="606"/>
        <v>#REF!</v>
      </c>
      <c r="BY266" s="152" t="e">
        <f t="shared" ca="true" si="606"/>
        <v>#REF!</v>
      </c>
      <c r="BZ266" s="152" t="e">
        <f t="shared" ca="true" si="606"/>
        <v>#REF!</v>
      </c>
      <c r="CA266" s="152" t="e">
        <f t="shared" ca="true" si="606"/>
        <v>#REF!</v>
      </c>
      <c r="CB266" s="152" t="e">
        <f t="shared" ca="true" si="606"/>
        <v>#REF!</v>
      </c>
      <c r="CC266" s="152" t="e">
        <f t="shared" ca="true" si="606"/>
        <v>#REF!</v>
      </c>
      <c r="CD266" s="152" t="e">
        <f t="shared" ca="true" si="606"/>
        <v>#REF!</v>
      </c>
      <c r="CE266" s="152" t="e">
        <f t="shared" ca="true" si="606"/>
        <v>#REF!</v>
      </c>
      <c r="CF266" s="152" t="e">
        <f t="shared" ca="true" si="606"/>
        <v>#REF!</v>
      </c>
      <c r="CG266" s="152" t="e">
        <f t="shared" ca="true" si="606"/>
        <v>#REF!</v>
      </c>
      <c r="CH266" s="152" t="e">
        <f t="shared" ca="true" si="606"/>
        <v>#REF!</v>
      </c>
      <c r="CI266" s="152" t="e">
        <f t="shared" ca="true" si="606"/>
        <v>#REF!</v>
      </c>
      <c r="CJ266" s="152" t="e">
        <f t="shared" ca="true" si="606"/>
        <v>#REF!</v>
      </c>
      <c r="CK266" s="152" t="e">
        <f t="shared" ca="true" si="606"/>
        <v>#REF!</v>
      </c>
      <c r="CL266" s="152" t="e">
        <f t="shared" ca="true" si="606"/>
        <v>#REF!</v>
      </c>
      <c r="CM266" s="152" t="e">
        <f t="shared" ca="true" si="606"/>
        <v>#REF!</v>
      </c>
      <c r="CN266" s="152" t="e">
        <f t="shared" ca="true" si="606"/>
        <v>#REF!</v>
      </c>
      <c r="CO266" s="152" t="e">
        <f t="shared" ca="true" si="606"/>
        <v>#REF!</v>
      </c>
      <c r="CP266" s="152"/>
      <c r="CQ266" s="205" t="e">
        <f t="shared" ca="true" si="590"/>
        <v>#REF!</v>
      </c>
      <c r="CR266" s="205" t="e">
        <f t="shared" ca="true" si="591"/>
        <v>#REF!</v>
      </c>
      <c r="CS266" s="205" t="e">
        <f t="shared" ca="true" si="592"/>
        <v>#REF!</v>
      </c>
      <c r="CT266" s="209" t="e">
        <f t="shared" ca="true" si="593"/>
        <v>#REF!</v>
      </c>
      <c r="CU266" s="152" t="e">
        <f t="shared" ca="true" si="594"/>
        <v>#REF!</v>
      </c>
      <c r="CV266" s="152" t="e">
        <f t="shared" ca="true" si="595"/>
        <v>#REF!</v>
      </c>
      <c r="CW266" s="212" t="e">
        <f t="shared" ca="true" si="596"/>
        <v>#REF!</v>
      </c>
      <c r="CX266" s="212">
        <f t="shared" ca="true" si="597"/>
        <v>0</v>
      </c>
      <c r="CY266" s="212" t="e">
        <f t="shared" ca="true" si="598"/>
        <v>#REF!</v>
      </c>
      <c r="CZ266" s="205" t="e">
        <f t="shared" ca="true" si="599"/>
        <v>#REF!</v>
      </c>
      <c r="DA266" s="205" t="e">
        <f t="shared" ca="true" si="600"/>
        <v>#REF!</v>
      </c>
      <c r="DB266" s="155" t="s">
        <v>13991</v>
      </c>
    </row>
    <row r="267" spans="1:106">
      <c r="A267" s="226">
        <f>MAX(A263:A266)+1</f>
        <v>58</v>
      </c>
      <c r="B267" s="227">
        <f t="shared" si="567"/>
        <v>4</v>
      </c>
      <c r="C267" s="226"/>
      <c r="D267" s="226" t="str">
        <f>IF(D150="","",D150)</f>
        <v>Ending Deposits in Transit/Credits</v>
      </c>
      <c r="E267" s="234" t="e">
        <f t="shared" ca="true" si="568"/>
        <v>#REF!</v>
      </c>
      <c r="F267" s="234" t="e">
        <f t="shared" ca="true" si="569"/>
        <v>#REF!</v>
      </c>
      <c r="G267" s="235">
        <f t="shared" ca="true" si="570"/>
        <v>-102</v>
      </c>
      <c r="H267" s="235">
        <f t="shared" ca="true" si="571"/>
        <v>0</v>
      </c>
      <c r="I267" s="235">
        <f t="shared" ca="true" si="572"/>
        <v>0</v>
      </c>
      <c r="J267" s="235">
        <f t="shared" ca="true" si="573"/>
        <v>0</v>
      </c>
      <c r="K267" s="235">
        <f t="shared" ca="true" si="574"/>
        <v>0</v>
      </c>
      <c r="L267" s="241">
        <f t="shared" ca="true" si="575"/>
        <v>-102</v>
      </c>
      <c r="M267" s="235">
        <f t="shared" ca="true" si="576"/>
        <v>-3</v>
      </c>
      <c r="N267" s="235">
        <f t="shared" ca="true" si="577"/>
        <v>-3</v>
      </c>
      <c r="O267" s="241">
        <f t="shared" ca="true" si="578"/>
        <v>-6</v>
      </c>
      <c r="P267" s="235" t="e">
        <f t="shared" ref="P267:U267" ca="true" si="607">ROUND(P150/1000,0)</f>
        <v>#REF!</v>
      </c>
      <c r="Q267" s="235" t="e">
        <f t="shared" ca="true" si="607"/>
        <v>#REF!</v>
      </c>
      <c r="R267" s="235" t="e">
        <f t="shared" ca="true" si="607"/>
        <v>#REF!</v>
      </c>
      <c r="S267" s="235" t="e">
        <f t="shared" ca="true" si="607"/>
        <v>#REF!</v>
      </c>
      <c r="T267" s="235">
        <f t="shared" ca="true" si="607"/>
        <v>0</v>
      </c>
      <c r="U267" s="235">
        <f t="shared" ca="true" si="607"/>
        <v>0</v>
      </c>
      <c r="V267" s="234" t="e">
        <f t="shared" ca="true" si="580"/>
        <v>#REF!</v>
      </c>
      <c r="W267" s="235">
        <f t="shared" ca="true" si="581"/>
        <v>0</v>
      </c>
      <c r="X267" s="235">
        <f t="shared" ca="true" si="582"/>
        <v>0</v>
      </c>
      <c r="Y267" s="241" t="e">
        <f t="shared" ca="true" si="583"/>
        <v>#REF!</v>
      </c>
      <c r="Z267" s="235">
        <f t="shared" ca="true" si="584"/>
        <v>0</v>
      </c>
      <c r="AA267" s="235">
        <f t="shared" ca="true" si="585"/>
        <v>0</v>
      </c>
      <c r="AB267" s="241">
        <f t="shared" ca="true" si="586"/>
        <v>0</v>
      </c>
      <c r="AC267" s="235">
        <f t="shared" ref="AC267:AK267" ca="true" si="608">ROUND(AC150/1000,0)</f>
        <v>0</v>
      </c>
      <c r="AD267" s="235">
        <f t="shared" ca="true" si="608"/>
        <v>0</v>
      </c>
      <c r="AE267" s="235">
        <f t="shared" ca="true" si="608"/>
        <v>0</v>
      </c>
      <c r="AF267" s="235">
        <f t="shared" ca="true" si="608"/>
        <v>0</v>
      </c>
      <c r="AG267" s="235">
        <f t="shared" ca="true" si="608"/>
        <v>0</v>
      </c>
      <c r="AH267" s="235">
        <f t="shared" ca="true" si="608"/>
        <v>0</v>
      </c>
      <c r="AI267" s="235">
        <f t="shared" ca="true" si="608"/>
        <v>0</v>
      </c>
      <c r="AJ267" s="235">
        <f t="shared" ca="true" si="608"/>
        <v>0</v>
      </c>
      <c r="AK267" s="235">
        <f t="shared" ca="true" si="608"/>
        <v>0</v>
      </c>
      <c r="AL267" s="241">
        <f t="shared" ca="true" si="588"/>
        <v>0</v>
      </c>
      <c r="AM267" s="235">
        <f t="shared" ref="AM267:CO267" ca="true" si="609">ROUND(AM150/1000,0)</f>
        <v>0</v>
      </c>
      <c r="AN267" s="235">
        <f t="shared" ca="true" si="609"/>
        <v>0</v>
      </c>
      <c r="AO267" s="235">
        <f t="shared" ca="true" si="609"/>
        <v>0</v>
      </c>
      <c r="AP267" s="235">
        <f t="shared" ca="true" si="609"/>
        <v>0</v>
      </c>
      <c r="AQ267" s="235">
        <f t="shared" ca="true" si="609"/>
        <v>0</v>
      </c>
      <c r="AR267" s="235">
        <f t="shared" ca="true" si="609"/>
        <v>0</v>
      </c>
      <c r="AS267" s="235">
        <f t="shared" ca="true" si="609"/>
        <v>0</v>
      </c>
      <c r="AT267" s="235">
        <f t="shared" ca="true" si="609"/>
        <v>0</v>
      </c>
      <c r="AU267" s="235">
        <f t="shared" ca="true" si="609"/>
        <v>0</v>
      </c>
      <c r="AV267" s="235">
        <f t="shared" ca="true" si="609"/>
        <v>0</v>
      </c>
      <c r="AW267" s="235">
        <f t="shared" ca="true" si="609"/>
        <v>0</v>
      </c>
      <c r="AX267" s="235">
        <f t="shared" ca="true" si="609"/>
        <v>0</v>
      </c>
      <c r="AY267" s="235">
        <f t="shared" ca="true" si="609"/>
        <v>0</v>
      </c>
      <c r="AZ267" s="235">
        <f t="shared" ca="true" si="609"/>
        <v>0</v>
      </c>
      <c r="BA267" s="235">
        <f t="shared" ca="true" si="609"/>
        <v>0</v>
      </c>
      <c r="BB267" s="235">
        <f t="shared" ca="true" si="609"/>
        <v>0</v>
      </c>
      <c r="BC267" s="235">
        <f t="shared" ca="true" si="609"/>
        <v>0</v>
      </c>
      <c r="BD267" s="235">
        <f t="shared" ca="true" si="609"/>
        <v>0</v>
      </c>
      <c r="BE267" s="235">
        <f t="shared" ca="true" si="609"/>
        <v>0</v>
      </c>
      <c r="BF267" s="235">
        <f t="shared" ca="true" si="609"/>
        <v>0</v>
      </c>
      <c r="BG267" s="235">
        <f t="shared" ca="true" si="609"/>
        <v>0</v>
      </c>
      <c r="BH267" s="235">
        <f t="shared" ca="true" si="609"/>
        <v>0</v>
      </c>
      <c r="BI267" s="235">
        <f t="shared" ca="true" si="609"/>
        <v>0</v>
      </c>
      <c r="BJ267" s="235">
        <f t="shared" ca="true" si="609"/>
        <v>0</v>
      </c>
      <c r="BK267" s="235">
        <f t="shared" ca="true" si="609"/>
        <v>0</v>
      </c>
      <c r="BL267" s="235">
        <f t="shared" ca="true" si="609"/>
        <v>0</v>
      </c>
      <c r="BM267" s="235">
        <f t="shared" ca="true" si="609"/>
        <v>0</v>
      </c>
      <c r="BN267" s="235">
        <f t="shared" ca="true" si="609"/>
        <v>0</v>
      </c>
      <c r="BO267" s="235">
        <f t="shared" ca="true" si="609"/>
        <v>0</v>
      </c>
      <c r="BP267" s="235">
        <f t="shared" ca="true" si="609"/>
        <v>0</v>
      </c>
      <c r="BQ267" s="235">
        <f t="shared" ca="true" si="609"/>
        <v>0</v>
      </c>
      <c r="BR267" s="235">
        <f t="shared" ca="true" si="609"/>
        <v>0</v>
      </c>
      <c r="BS267" s="235">
        <f t="shared" ca="true" si="609"/>
        <v>0</v>
      </c>
      <c r="BT267" s="235">
        <f t="shared" ca="true" si="609"/>
        <v>0</v>
      </c>
      <c r="BU267" s="235">
        <f t="shared" ca="true" si="609"/>
        <v>0</v>
      </c>
      <c r="BV267" s="235">
        <f t="shared" ca="true" si="609"/>
        <v>0</v>
      </c>
      <c r="BW267" s="235">
        <f t="shared" ca="true" si="609"/>
        <v>0</v>
      </c>
      <c r="BX267" s="235">
        <f t="shared" ca="true" si="609"/>
        <v>0</v>
      </c>
      <c r="BY267" s="235">
        <f t="shared" ca="true" si="609"/>
        <v>0</v>
      </c>
      <c r="BZ267" s="235">
        <f t="shared" ca="true" si="609"/>
        <v>0</v>
      </c>
      <c r="CA267" s="235">
        <f t="shared" ca="true" si="609"/>
        <v>0</v>
      </c>
      <c r="CB267" s="235">
        <f t="shared" ca="true" si="609"/>
        <v>0</v>
      </c>
      <c r="CC267" s="235">
        <f t="shared" ca="true" si="609"/>
        <v>0</v>
      </c>
      <c r="CD267" s="235">
        <f t="shared" ca="true" si="609"/>
        <v>0</v>
      </c>
      <c r="CE267" s="235">
        <f t="shared" ca="true" si="609"/>
        <v>0</v>
      </c>
      <c r="CF267" s="235">
        <f t="shared" ca="true" si="609"/>
        <v>0</v>
      </c>
      <c r="CG267" s="235">
        <f t="shared" ca="true" si="609"/>
        <v>0</v>
      </c>
      <c r="CH267" s="235">
        <f t="shared" ca="true" si="609"/>
        <v>0</v>
      </c>
      <c r="CI267" s="235">
        <f t="shared" ca="true" si="609"/>
        <v>0</v>
      </c>
      <c r="CJ267" s="235">
        <f t="shared" ca="true" si="609"/>
        <v>0</v>
      </c>
      <c r="CK267" s="235">
        <f t="shared" ca="true" si="609"/>
        <v>0</v>
      </c>
      <c r="CL267" s="235">
        <f t="shared" ca="true" si="609"/>
        <v>0</v>
      </c>
      <c r="CM267" s="235">
        <f t="shared" ca="true" si="609"/>
        <v>0</v>
      </c>
      <c r="CN267" s="235">
        <f t="shared" ca="true" si="609"/>
        <v>0</v>
      </c>
      <c r="CO267" s="235">
        <f t="shared" ca="true" si="609"/>
        <v>0</v>
      </c>
      <c r="CP267" s="235"/>
      <c r="CQ267" s="241">
        <f t="shared" ca="true" si="590"/>
        <v>0</v>
      </c>
      <c r="CR267" s="241">
        <f t="shared" ca="true" si="591"/>
        <v>0</v>
      </c>
      <c r="CS267" s="241">
        <f t="shared" ca="true" si="592"/>
        <v>0</v>
      </c>
      <c r="CT267" s="246">
        <f t="shared" ca="true" si="593"/>
        <v>0</v>
      </c>
      <c r="CU267" s="235">
        <f t="shared" ca="true" si="594"/>
        <v>0</v>
      </c>
      <c r="CV267" s="235">
        <f t="shared" ca="true" si="595"/>
        <v>0</v>
      </c>
      <c r="CW267" s="249">
        <f t="shared" ca="true" si="596"/>
        <v>0</v>
      </c>
      <c r="CX267" s="249">
        <f t="shared" ca="true" si="597"/>
        <v>0</v>
      </c>
      <c r="CY267" s="249">
        <f t="shared" ca="true" si="598"/>
        <v>0</v>
      </c>
      <c r="CZ267" s="241">
        <f t="shared" ca="true" si="599"/>
        <v>0</v>
      </c>
      <c r="DA267" s="241">
        <f t="shared" ca="true" si="600"/>
        <v>2991</v>
      </c>
      <c r="DB267" s="193"/>
    </row>
    <row r="268" spans="1:106">
      <c r="A268" s="154">
        <f>MAX(A264:A267)+1</f>
        <v>59</v>
      </c>
      <c r="B268" s="161">
        <f t="shared" si="567"/>
        <v>5</v>
      </c>
      <c r="D268" s="154" t="str">
        <f>IF(D151="","",D151)</f>
        <v>Beginning Outstanding Checks/Debits</v>
      </c>
      <c r="E268" s="198" t="e">
        <f t="shared" ca="true" si="568"/>
        <v>#REF!</v>
      </c>
      <c r="F268" s="153" t="e">
        <f t="shared" ca="true" si="569"/>
        <v>#REF!</v>
      </c>
      <c r="G268" s="152" t="e">
        <f t="shared" ca="true" si="570"/>
        <v>#REF!</v>
      </c>
      <c r="H268" s="152" t="e">
        <f t="shared" ca="true" si="571"/>
        <v>#REF!</v>
      </c>
      <c r="I268" s="152" t="e">
        <f t="shared" ca="true" si="572"/>
        <v>#REF!</v>
      </c>
      <c r="J268" s="152" t="e">
        <f t="shared" ca="true" si="573"/>
        <v>#REF!</v>
      </c>
      <c r="K268" s="152" t="e">
        <f t="shared" ca="true" si="574"/>
        <v>#REF!</v>
      </c>
      <c r="L268" s="205" t="e">
        <f t="shared" ca="true" si="575"/>
        <v>#REF!</v>
      </c>
      <c r="M268" s="152" t="e">
        <f t="shared" ca="true" si="576"/>
        <v>#REF!</v>
      </c>
      <c r="N268" s="152" t="e">
        <f t="shared" ca="true" si="577"/>
        <v>#REF!</v>
      </c>
      <c r="O268" s="205" t="e">
        <f t="shared" ca="true" si="578"/>
        <v>#REF!</v>
      </c>
      <c r="P268" s="152" t="e">
        <f t="shared" ref="P268:U268" ca="true" si="610">ROUND(P151/1000,0)</f>
        <v>#REF!</v>
      </c>
      <c r="Q268" s="152" t="e">
        <f t="shared" ca="true" si="610"/>
        <v>#REF!</v>
      </c>
      <c r="R268" s="152" t="e">
        <f t="shared" ca="true" si="610"/>
        <v>#REF!</v>
      </c>
      <c r="S268" s="152" t="e">
        <f t="shared" ca="true" si="610"/>
        <v>#REF!</v>
      </c>
      <c r="T268" s="152" t="e">
        <f t="shared" ca="true" si="610"/>
        <v>#REF!</v>
      </c>
      <c r="U268" s="152" t="e">
        <f t="shared" ca="true" si="610"/>
        <v>#REF!</v>
      </c>
      <c r="V268" s="153" t="e">
        <f t="shared" ca="true" si="580"/>
        <v>#REF!</v>
      </c>
      <c r="W268" s="152" t="e">
        <f t="shared" ca="true" si="581"/>
        <v>#REF!</v>
      </c>
      <c r="X268" s="152" t="e">
        <f t="shared" ca="true" si="582"/>
        <v>#REF!</v>
      </c>
      <c r="Y268" s="205" t="e">
        <f t="shared" ca="true" si="583"/>
        <v>#REF!</v>
      </c>
      <c r="Z268" s="152" t="e">
        <f t="shared" ca="true" si="584"/>
        <v>#REF!</v>
      </c>
      <c r="AA268" s="152" t="e">
        <f t="shared" ca="true" si="585"/>
        <v>#REF!</v>
      </c>
      <c r="AB268" s="205" t="e">
        <f t="shared" ca="true" si="586"/>
        <v>#REF!</v>
      </c>
      <c r="AC268" s="152" t="e">
        <f t="shared" ref="AC268:AK268" ca="true" si="611">ROUND(AC151/1000,0)</f>
        <v>#REF!</v>
      </c>
      <c r="AD268" s="152" t="e">
        <f t="shared" ca="true" si="611"/>
        <v>#REF!</v>
      </c>
      <c r="AE268" s="152" t="e">
        <f t="shared" ca="true" si="611"/>
        <v>#REF!</v>
      </c>
      <c r="AF268" s="152" t="e">
        <f t="shared" ca="true" si="611"/>
        <v>#REF!</v>
      </c>
      <c r="AG268" s="152" t="e">
        <f t="shared" ca="true" si="611"/>
        <v>#REF!</v>
      </c>
      <c r="AH268" s="152" t="e">
        <f t="shared" ca="true" si="611"/>
        <v>#REF!</v>
      </c>
      <c r="AI268" s="152" t="e">
        <f t="shared" ca="true" si="611"/>
        <v>#REF!</v>
      </c>
      <c r="AJ268" s="152" t="e">
        <f t="shared" ca="true" si="611"/>
        <v>#REF!</v>
      </c>
      <c r="AK268" s="152" t="e">
        <f t="shared" ca="true" si="611"/>
        <v>#REF!</v>
      </c>
      <c r="AL268" s="205" t="e">
        <f t="shared" ca="true" si="588"/>
        <v>#REF!</v>
      </c>
      <c r="AM268" s="152" t="e">
        <f t="shared" ref="AM268:CO268" ca="true" si="612">ROUND(AM151/1000,0)</f>
        <v>#REF!</v>
      </c>
      <c r="AN268" s="152" t="e">
        <f t="shared" ca="true" si="612"/>
        <v>#REF!</v>
      </c>
      <c r="AO268" s="152" t="e">
        <f t="shared" ca="true" si="612"/>
        <v>#REF!</v>
      </c>
      <c r="AP268" s="152" t="e">
        <f t="shared" ca="true" si="612"/>
        <v>#REF!</v>
      </c>
      <c r="AQ268" s="152" t="e">
        <f t="shared" ca="true" si="612"/>
        <v>#REF!</v>
      </c>
      <c r="AR268" s="152" t="e">
        <f t="shared" ca="true" si="612"/>
        <v>#REF!</v>
      </c>
      <c r="AS268" s="152" t="e">
        <f t="shared" ca="true" si="612"/>
        <v>#REF!</v>
      </c>
      <c r="AT268" s="152" t="e">
        <f t="shared" ca="true" si="612"/>
        <v>#REF!</v>
      </c>
      <c r="AU268" s="152" t="e">
        <f t="shared" ca="true" si="612"/>
        <v>#REF!</v>
      </c>
      <c r="AV268" s="152" t="e">
        <f t="shared" ca="true" si="612"/>
        <v>#REF!</v>
      </c>
      <c r="AW268" s="152" t="e">
        <f t="shared" ca="true" si="612"/>
        <v>#REF!</v>
      </c>
      <c r="AX268" s="152" t="e">
        <f t="shared" ca="true" si="612"/>
        <v>#REF!</v>
      </c>
      <c r="AY268" s="152" t="e">
        <f t="shared" ca="true" si="612"/>
        <v>#REF!</v>
      </c>
      <c r="AZ268" s="152" t="e">
        <f t="shared" ca="true" si="612"/>
        <v>#REF!</v>
      </c>
      <c r="BA268" s="152" t="e">
        <f t="shared" ca="true" si="612"/>
        <v>#REF!</v>
      </c>
      <c r="BB268" s="152" t="e">
        <f t="shared" ca="true" si="612"/>
        <v>#REF!</v>
      </c>
      <c r="BC268" s="152" t="e">
        <f t="shared" ca="true" si="612"/>
        <v>#REF!</v>
      </c>
      <c r="BD268" s="152" t="e">
        <f t="shared" ca="true" si="612"/>
        <v>#REF!</v>
      </c>
      <c r="BE268" s="152" t="e">
        <f t="shared" ca="true" si="612"/>
        <v>#REF!</v>
      </c>
      <c r="BF268" s="152" t="e">
        <f t="shared" ca="true" si="612"/>
        <v>#REF!</v>
      </c>
      <c r="BG268" s="152" t="e">
        <f t="shared" ca="true" si="612"/>
        <v>#REF!</v>
      </c>
      <c r="BH268" s="152" t="e">
        <f t="shared" ca="true" si="612"/>
        <v>#REF!</v>
      </c>
      <c r="BI268" s="152" t="e">
        <f t="shared" ca="true" si="612"/>
        <v>#REF!</v>
      </c>
      <c r="BJ268" s="152" t="e">
        <f t="shared" ca="true" si="612"/>
        <v>#REF!</v>
      </c>
      <c r="BK268" s="152" t="e">
        <f t="shared" ca="true" si="612"/>
        <v>#REF!</v>
      </c>
      <c r="BL268" s="152" t="e">
        <f t="shared" ca="true" si="612"/>
        <v>#REF!</v>
      </c>
      <c r="BM268" s="152" t="e">
        <f t="shared" ca="true" si="612"/>
        <v>#REF!</v>
      </c>
      <c r="BN268" s="152" t="e">
        <f t="shared" ca="true" si="612"/>
        <v>#REF!</v>
      </c>
      <c r="BO268" s="152" t="e">
        <f t="shared" ca="true" si="612"/>
        <v>#REF!</v>
      </c>
      <c r="BP268" s="152" t="e">
        <f t="shared" ca="true" si="612"/>
        <v>#REF!</v>
      </c>
      <c r="BQ268" s="152" t="e">
        <f t="shared" ca="true" si="612"/>
        <v>#REF!</v>
      </c>
      <c r="BR268" s="152" t="e">
        <f t="shared" ca="true" si="612"/>
        <v>#REF!</v>
      </c>
      <c r="BS268" s="152" t="e">
        <f t="shared" ca="true" si="612"/>
        <v>#REF!</v>
      </c>
      <c r="BT268" s="152" t="e">
        <f t="shared" ca="true" si="612"/>
        <v>#REF!</v>
      </c>
      <c r="BU268" s="152" t="e">
        <f t="shared" ca="true" si="612"/>
        <v>#REF!</v>
      </c>
      <c r="BV268" s="152" t="e">
        <f t="shared" ca="true" si="612"/>
        <v>#REF!</v>
      </c>
      <c r="BW268" s="152" t="e">
        <f t="shared" ca="true" si="612"/>
        <v>#REF!</v>
      </c>
      <c r="BX268" s="152" t="e">
        <f t="shared" ca="true" si="612"/>
        <v>#REF!</v>
      </c>
      <c r="BY268" s="152" t="e">
        <f t="shared" ca="true" si="612"/>
        <v>#REF!</v>
      </c>
      <c r="BZ268" s="152" t="e">
        <f t="shared" ca="true" si="612"/>
        <v>#REF!</v>
      </c>
      <c r="CA268" s="152" t="e">
        <f t="shared" ca="true" si="612"/>
        <v>#REF!</v>
      </c>
      <c r="CB268" s="152" t="e">
        <f t="shared" ca="true" si="612"/>
        <v>#REF!</v>
      </c>
      <c r="CC268" s="152" t="e">
        <f t="shared" ca="true" si="612"/>
        <v>#REF!</v>
      </c>
      <c r="CD268" s="152" t="e">
        <f t="shared" ca="true" si="612"/>
        <v>#REF!</v>
      </c>
      <c r="CE268" s="152" t="e">
        <f t="shared" ca="true" si="612"/>
        <v>#REF!</v>
      </c>
      <c r="CF268" s="152" t="e">
        <f t="shared" ca="true" si="612"/>
        <v>#REF!</v>
      </c>
      <c r="CG268" s="152" t="e">
        <f t="shared" ca="true" si="612"/>
        <v>#REF!</v>
      </c>
      <c r="CH268" s="152" t="e">
        <f t="shared" ca="true" si="612"/>
        <v>#REF!</v>
      </c>
      <c r="CI268" s="152" t="e">
        <f t="shared" ca="true" si="612"/>
        <v>#REF!</v>
      </c>
      <c r="CJ268" s="152" t="e">
        <f t="shared" ca="true" si="612"/>
        <v>#REF!</v>
      </c>
      <c r="CK268" s="152" t="e">
        <f t="shared" ca="true" si="612"/>
        <v>#REF!</v>
      </c>
      <c r="CL268" s="152" t="e">
        <f t="shared" ca="true" si="612"/>
        <v>#REF!</v>
      </c>
      <c r="CM268" s="152" t="e">
        <f t="shared" ca="true" si="612"/>
        <v>#REF!</v>
      </c>
      <c r="CN268" s="152" t="e">
        <f t="shared" ca="true" si="612"/>
        <v>#REF!</v>
      </c>
      <c r="CO268" s="152" t="e">
        <f t="shared" ca="true" si="612"/>
        <v>#REF!</v>
      </c>
      <c r="CP268" s="152"/>
      <c r="CQ268" s="205" t="e">
        <f t="shared" ca="true" si="590"/>
        <v>#REF!</v>
      </c>
      <c r="CR268" s="205" t="e">
        <f t="shared" ca="true" si="591"/>
        <v>#REF!</v>
      </c>
      <c r="CS268" s="205" t="e">
        <f t="shared" ca="true" si="592"/>
        <v>#REF!</v>
      </c>
      <c r="CT268" s="209" t="e">
        <f t="shared" ca="true" si="593"/>
        <v>#REF!</v>
      </c>
      <c r="CU268" s="152" t="e">
        <f t="shared" ca="true" si="594"/>
        <v>#REF!</v>
      </c>
      <c r="CV268" s="152" t="e">
        <f t="shared" ca="true" si="595"/>
        <v>#REF!</v>
      </c>
      <c r="CW268" s="212" t="e">
        <f t="shared" ca="true" si="596"/>
        <v>#REF!</v>
      </c>
      <c r="CX268" s="152">
        <f t="shared" ca="true" si="597"/>
        <v>0</v>
      </c>
      <c r="CY268" s="212" t="e">
        <f t="shared" ca="true" si="598"/>
        <v>#REF!</v>
      </c>
      <c r="CZ268" s="152" t="e">
        <f t="shared" ca="true" si="599"/>
        <v>#REF!</v>
      </c>
      <c r="DA268" s="152" t="e">
        <f t="shared" ca="true" si="600"/>
        <v>#REF!</v>
      </c>
      <c r="DB268" s="155" t="s">
        <v>13974</v>
      </c>
    </row>
    <row r="269" spans="1:106">
      <c r="A269" s="226">
        <f>MAX(A265:A268)+1</f>
        <v>60</v>
      </c>
      <c r="B269" s="227">
        <f t="shared" si="567"/>
        <v>6</v>
      </c>
      <c r="C269" s="226"/>
      <c r="D269" s="226" t="str">
        <f>IF(D152="","",D152)</f>
        <v>Ending Outstanding Checks/Debits</v>
      </c>
      <c r="E269" s="234">
        <f t="shared" ca="true" si="568"/>
        <v>5225</v>
      </c>
      <c r="F269" s="234">
        <f t="shared" ca="true" si="569"/>
        <v>4708</v>
      </c>
      <c r="G269" s="235">
        <f t="shared" ca="true" si="570"/>
        <v>496</v>
      </c>
      <c r="H269" s="235">
        <f t="shared" ca="true" si="571"/>
        <v>29</v>
      </c>
      <c r="I269" s="235">
        <f t="shared" ca="true" si="572"/>
        <v>14</v>
      </c>
      <c r="J269" s="235">
        <f t="shared" ca="true" si="573"/>
        <v>0</v>
      </c>
      <c r="K269" s="235">
        <f t="shared" ca="true" si="574"/>
        <v>2</v>
      </c>
      <c r="L269" s="241">
        <f t="shared" ca="true" si="575"/>
        <v>541</v>
      </c>
      <c r="M269" s="235">
        <f t="shared" ca="true" si="576"/>
        <v>104</v>
      </c>
      <c r="N269" s="235">
        <f t="shared" ca="true" si="577"/>
        <v>93</v>
      </c>
      <c r="O269" s="241">
        <f t="shared" ca="true" si="578"/>
        <v>197</v>
      </c>
      <c r="P269" s="235">
        <f t="shared" ref="P269:U269" ca="true" si="613">ROUND(P152/1000,0)</f>
        <v>0</v>
      </c>
      <c r="Q269" s="235">
        <f t="shared" ca="true" si="613"/>
        <v>4</v>
      </c>
      <c r="R269" s="235">
        <f t="shared" ca="true" si="613"/>
        <v>2</v>
      </c>
      <c r="S269" s="235">
        <f t="shared" ca="true" si="613"/>
        <v>1</v>
      </c>
      <c r="T269" s="235">
        <f t="shared" ca="true" si="613"/>
        <v>1</v>
      </c>
      <c r="U269" s="235">
        <f t="shared" ca="true" si="613"/>
        <v>0</v>
      </c>
      <c r="V269" s="234">
        <f t="shared" ca="true" si="580"/>
        <v>8</v>
      </c>
      <c r="W269" s="235">
        <f t="shared" ca="true" si="581"/>
        <v>2</v>
      </c>
      <c r="X269" s="235">
        <f t="shared" ca="true" si="582"/>
        <v>1</v>
      </c>
      <c r="Y269" s="241">
        <f t="shared" ca="true" si="583"/>
        <v>11</v>
      </c>
      <c r="Z269" s="235">
        <f t="shared" ca="true" si="584"/>
        <v>28</v>
      </c>
      <c r="AA269" s="235">
        <f t="shared" ca="true" si="585"/>
        <v>0</v>
      </c>
      <c r="AB269" s="241">
        <f t="shared" ca="true" si="586"/>
        <v>28</v>
      </c>
      <c r="AC269" s="235">
        <f t="shared" ref="AC269:AK269" ca="true" si="614">ROUND(AC152/1000,0)</f>
        <v>53</v>
      </c>
      <c r="AD269" s="235">
        <f t="shared" ca="true" si="614"/>
        <v>29</v>
      </c>
      <c r="AE269" s="235">
        <f t="shared" ca="true" si="614"/>
        <v>133</v>
      </c>
      <c r="AF269" s="235">
        <f t="shared" ca="true" si="614"/>
        <v>28</v>
      </c>
      <c r="AG269" s="235">
        <f t="shared" ca="true" si="614"/>
        <v>45</v>
      </c>
      <c r="AH269" s="235">
        <f t="shared" ca="true" si="614"/>
        <v>21</v>
      </c>
      <c r="AI269" s="235">
        <f t="shared" ca="true" si="614"/>
        <v>5</v>
      </c>
      <c r="AJ269" s="235">
        <f t="shared" ca="true" si="614"/>
        <v>17</v>
      </c>
      <c r="AK269" s="235">
        <f t="shared" ca="true" si="614"/>
        <v>223</v>
      </c>
      <c r="AL269" s="241">
        <f t="shared" ca="true" si="588"/>
        <v>339</v>
      </c>
      <c r="AM269" s="235">
        <f t="shared" ref="AM269:CO269" ca="true" si="615">ROUND(AM152/1000,0)</f>
        <v>25</v>
      </c>
      <c r="AN269" s="235">
        <f t="shared" ca="true" si="615"/>
        <v>138</v>
      </c>
      <c r="AO269" s="235">
        <f t="shared" ca="true" si="615"/>
        <v>44</v>
      </c>
      <c r="AP269" s="235">
        <f t="shared" ca="true" si="615"/>
        <v>0</v>
      </c>
      <c r="AQ269" s="235">
        <f t="shared" ca="true" si="615"/>
        <v>54</v>
      </c>
      <c r="AR269" s="235">
        <f t="shared" ca="true" si="615"/>
        <v>0</v>
      </c>
      <c r="AS269" s="235">
        <f t="shared" ca="true" si="615"/>
        <v>57</v>
      </c>
      <c r="AT269" s="235">
        <f t="shared" ca="true" si="615"/>
        <v>33</v>
      </c>
      <c r="AU269" s="235">
        <f t="shared" ca="true" si="615"/>
        <v>1</v>
      </c>
      <c r="AV269" s="235">
        <f t="shared" ca="true" si="615"/>
        <v>13</v>
      </c>
      <c r="AW269" s="235">
        <f t="shared" ca="true" si="615"/>
        <v>0</v>
      </c>
      <c r="AX269" s="235">
        <f t="shared" ca="true" si="615"/>
        <v>0</v>
      </c>
      <c r="AY269" s="235">
        <f t="shared" ca="true" si="615"/>
        <v>0</v>
      </c>
      <c r="AZ269" s="235">
        <f t="shared" ca="true" si="615"/>
        <v>28</v>
      </c>
      <c r="BA269" s="235">
        <f t="shared" ca="true" si="615"/>
        <v>14</v>
      </c>
      <c r="BB269" s="235">
        <f t="shared" ca="true" si="615"/>
        <v>0</v>
      </c>
      <c r="BC269" s="235">
        <f t="shared" ca="true" si="615"/>
        <v>39</v>
      </c>
      <c r="BD269" s="235">
        <f t="shared" ca="true" si="615"/>
        <v>6</v>
      </c>
      <c r="BE269" s="235">
        <f t="shared" ca="true" si="615"/>
        <v>18</v>
      </c>
      <c r="BF269" s="235">
        <f t="shared" ca="true" si="615"/>
        <v>1</v>
      </c>
      <c r="BG269" s="235">
        <f t="shared" ca="true" si="615"/>
        <v>9</v>
      </c>
      <c r="BH269" s="235">
        <f t="shared" ca="true" si="615"/>
        <v>0</v>
      </c>
      <c r="BI269" s="235">
        <f t="shared" ca="true" si="615"/>
        <v>9</v>
      </c>
      <c r="BJ269" s="235">
        <f t="shared" ca="true" si="615"/>
        <v>0</v>
      </c>
      <c r="BK269" s="235">
        <f t="shared" ca="true" si="615"/>
        <v>5</v>
      </c>
      <c r="BL269" s="235">
        <f t="shared" ca="true" si="615"/>
        <v>24</v>
      </c>
      <c r="BM269" s="235">
        <f t="shared" ca="true" si="615"/>
        <v>2</v>
      </c>
      <c r="BN269" s="235">
        <f t="shared" ca="true" si="615"/>
        <v>0</v>
      </c>
      <c r="BO269" s="235">
        <f t="shared" ca="true" si="615"/>
        <v>0</v>
      </c>
      <c r="BP269" s="235">
        <f t="shared" ca="true" si="615"/>
        <v>10</v>
      </c>
      <c r="BQ269" s="235">
        <f t="shared" ca="true" si="615"/>
        <v>13</v>
      </c>
      <c r="BR269" s="235">
        <f t="shared" ca="true" si="615"/>
        <v>486</v>
      </c>
      <c r="BS269" s="235">
        <f t="shared" ca="true" si="615"/>
        <v>0</v>
      </c>
      <c r="BT269" s="235">
        <f t="shared" ca="true" si="615"/>
        <v>0</v>
      </c>
      <c r="BU269" s="235">
        <f t="shared" ca="true" si="615"/>
        <v>0</v>
      </c>
      <c r="BV269" s="235">
        <f t="shared" ca="true" si="615"/>
        <v>0</v>
      </c>
      <c r="BW269" s="235">
        <f t="shared" ca="true" si="615"/>
        <v>149</v>
      </c>
      <c r="BX269" s="235">
        <f t="shared" ca="true" si="615"/>
        <v>390</v>
      </c>
      <c r="BY269" s="235">
        <f t="shared" ca="true" si="615"/>
        <v>0</v>
      </c>
      <c r="BZ269" s="235">
        <f t="shared" ca="true" si="615"/>
        <v>908</v>
      </c>
      <c r="CA269" s="235">
        <f t="shared" ca="true" si="615"/>
        <v>9</v>
      </c>
      <c r="CB269" s="235">
        <f t="shared" ca="true" si="615"/>
        <v>8</v>
      </c>
      <c r="CC269" s="235">
        <f t="shared" ca="true" si="615"/>
        <v>17</v>
      </c>
      <c r="CD269" s="235">
        <f t="shared" ca="true" si="615"/>
        <v>71</v>
      </c>
      <c r="CE269" s="235">
        <f t="shared" ca="true" si="615"/>
        <v>72</v>
      </c>
      <c r="CF269" s="235">
        <f t="shared" ca="true" si="615"/>
        <v>0</v>
      </c>
      <c r="CG269" s="235">
        <f t="shared" ca="true" si="615"/>
        <v>8</v>
      </c>
      <c r="CH269" s="235">
        <f t="shared" ca="true" si="615"/>
        <v>8</v>
      </c>
      <c r="CI269" s="235">
        <f t="shared" ca="true" si="615"/>
        <v>23</v>
      </c>
      <c r="CJ269" s="235">
        <f t="shared" ca="true" si="615"/>
        <v>40</v>
      </c>
      <c r="CK269" s="235">
        <f t="shared" ca="true" si="615"/>
        <v>11</v>
      </c>
      <c r="CL269" s="235">
        <f t="shared" ca="true" si="615"/>
        <v>28</v>
      </c>
      <c r="CM269" s="235">
        <f t="shared" ca="true" si="615"/>
        <v>133</v>
      </c>
      <c r="CN269" s="235">
        <f t="shared" ca="true" si="615"/>
        <v>378</v>
      </c>
      <c r="CO269" s="235">
        <f t="shared" ca="true" si="615"/>
        <v>95</v>
      </c>
      <c r="CP269" s="235"/>
      <c r="CQ269" s="241">
        <f t="shared" ca="true" si="590"/>
        <v>3377</v>
      </c>
      <c r="CR269" s="241">
        <f t="shared" ca="true" si="591"/>
        <v>3716</v>
      </c>
      <c r="CS269" s="241">
        <f t="shared" ca="true" si="592"/>
        <v>307</v>
      </c>
      <c r="CT269" s="246">
        <f t="shared" ca="true" si="593"/>
        <v>0</v>
      </c>
      <c r="CU269" s="235">
        <f t="shared" ca="true" si="594"/>
        <v>176</v>
      </c>
      <c r="CV269" s="235">
        <f t="shared" ca="true" si="595"/>
        <v>36</v>
      </c>
      <c r="CW269" s="249">
        <f t="shared" ca="true" si="596"/>
        <v>95</v>
      </c>
      <c r="CX269" s="249">
        <f t="shared" ca="true" si="597"/>
        <v>0</v>
      </c>
      <c r="CY269" s="249">
        <f t="shared" ca="true" si="598"/>
        <v>307</v>
      </c>
      <c r="CZ269" s="241">
        <f t="shared" ca="true" si="599"/>
        <v>0</v>
      </c>
      <c r="DA269" s="241">
        <f t="shared" ca="true" si="600"/>
        <v>210</v>
      </c>
      <c r="DB269" s="193" t="s">
        <v>14023</v>
      </c>
    </row>
    <row r="270" spans="2:105">
      <c r="B270" s="161"/>
      <c r="E270" s="198"/>
      <c r="F270" s="153"/>
      <c r="G270" s="152"/>
      <c r="H270" s="152"/>
      <c r="I270" s="152"/>
      <c r="J270" s="152"/>
      <c r="K270" s="152"/>
      <c r="L270" s="205"/>
      <c r="M270" s="152"/>
      <c r="N270" s="152"/>
      <c r="O270" s="205"/>
      <c r="P270" s="152"/>
      <c r="Q270" s="152"/>
      <c r="R270" s="152"/>
      <c r="S270" s="152"/>
      <c r="T270" s="152"/>
      <c r="U270" s="152"/>
      <c r="V270" s="153"/>
      <c r="W270" s="152"/>
      <c r="X270" s="152"/>
      <c r="Y270" s="205"/>
      <c r="Z270" s="152"/>
      <c r="AA270" s="152"/>
      <c r="AB270" s="205"/>
      <c r="AC270" s="152"/>
      <c r="AD270" s="152"/>
      <c r="AE270" s="152"/>
      <c r="AF270" s="152"/>
      <c r="AG270" s="152"/>
      <c r="AH270" s="152"/>
      <c r="AI270" s="152"/>
      <c r="AJ270" s="152"/>
      <c r="AK270" s="152"/>
      <c r="AL270" s="205"/>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c r="BG270" s="152"/>
      <c r="BH270" s="152"/>
      <c r="BI270" s="152"/>
      <c r="BJ270" s="152"/>
      <c r="BK270" s="152"/>
      <c r="BL270" s="152"/>
      <c r="BM270" s="152"/>
      <c r="BN270" s="152"/>
      <c r="BO270" s="152"/>
      <c r="BP270" s="152"/>
      <c r="BQ270" s="152"/>
      <c r="BR270" s="152"/>
      <c r="BS270" s="152"/>
      <c r="BT270" s="152"/>
      <c r="BU270" s="152"/>
      <c r="BV270" s="152"/>
      <c r="BW270" s="152"/>
      <c r="BX270" s="152"/>
      <c r="BY270" s="152"/>
      <c r="BZ270" s="152"/>
      <c r="CA270" s="152"/>
      <c r="CB270" s="152"/>
      <c r="CC270" s="152"/>
      <c r="CD270" s="152"/>
      <c r="CE270" s="152"/>
      <c r="CF270" s="152"/>
      <c r="CG270" s="152"/>
      <c r="CH270" s="152"/>
      <c r="CI270" s="152"/>
      <c r="CJ270" s="152"/>
      <c r="CK270" s="152"/>
      <c r="CL270" s="152"/>
      <c r="CM270" s="152"/>
      <c r="CN270" s="152"/>
      <c r="CO270" s="152"/>
      <c r="CP270" s="152"/>
      <c r="CQ270" s="205"/>
      <c r="CR270" s="205"/>
      <c r="CS270" s="205"/>
      <c r="CT270" s="209"/>
      <c r="CU270" s="152"/>
      <c r="CV270" s="152"/>
      <c r="CW270" s="212"/>
      <c r="CX270" s="212"/>
      <c r="CY270" s="212"/>
      <c r="CZ270" s="205"/>
      <c r="DA270" s="205"/>
    </row>
    <row r="271" spans="1:106">
      <c r="A271" s="195">
        <f>MAX(A267:A270)+1</f>
        <v>61</v>
      </c>
      <c r="B271" s="261">
        <f>B270+1</f>
        <v>1</v>
      </c>
      <c r="C271" s="195"/>
      <c r="D271" s="195" t="str">
        <f>IF(D154="","",D154)</f>
        <v>Total Change in Cash</v>
      </c>
      <c r="E271" s="264" t="e">
        <f ca="true">+F271+CS271+CZ271+DA271</f>
        <v>#REF!</v>
      </c>
      <c r="F271" s="265" t="e">
        <f ca="true">SUM(G271:K271,M271:N271,P271:U271,W271:X271,Z271:AA271,AC271:AK271,AM271:CP271)</f>
        <v>#REF!</v>
      </c>
      <c r="G271" s="266" t="e">
        <f ca="true">ROUND(G154/1000,0)</f>
        <v>#REF!</v>
      </c>
      <c r="H271" s="266" t="e">
        <f ca="true">ROUND(H154/1000,0)</f>
        <v>#REF!</v>
      </c>
      <c r="I271" s="266" t="e">
        <f ca="true">ROUND(I154/1000,0)</f>
        <v>#REF!</v>
      </c>
      <c r="J271" s="266" t="e">
        <f ca="true">ROUND(J154/1000,0)</f>
        <v>#REF!</v>
      </c>
      <c r="K271" s="266" t="e">
        <f ca="true">ROUND(K154/1000,0)</f>
        <v>#REF!</v>
      </c>
      <c r="L271" s="273" t="e">
        <f ca="true">+SUM(G271:K271)</f>
        <v>#REF!</v>
      </c>
      <c r="M271" s="266" t="e">
        <f ca="true">ROUND(M154/1000,0)</f>
        <v>#REF!</v>
      </c>
      <c r="N271" s="266" t="e">
        <f ca="true">ROUND(N154/1000,0)</f>
        <v>#REF!</v>
      </c>
      <c r="O271" s="273" t="e">
        <f ca="true">+SUM(M271:N271)</f>
        <v>#REF!</v>
      </c>
      <c r="P271" s="266" t="e">
        <f t="shared" ref="P271:U271" ca="true" si="616">ROUND(P154/1000,0)</f>
        <v>#REF!</v>
      </c>
      <c r="Q271" s="266" t="e">
        <f t="shared" ca="true" si="616"/>
        <v>#REF!</v>
      </c>
      <c r="R271" s="266" t="e">
        <f t="shared" ca="true" si="616"/>
        <v>#REF!</v>
      </c>
      <c r="S271" s="266" t="e">
        <f t="shared" ca="true" si="616"/>
        <v>#REF!</v>
      </c>
      <c r="T271" s="266" t="e">
        <f t="shared" ca="true" si="616"/>
        <v>#REF!</v>
      </c>
      <c r="U271" s="266" t="e">
        <f t="shared" ca="true" si="616"/>
        <v>#REF!</v>
      </c>
      <c r="V271" s="265" t="e">
        <f ca="true">+SUM(P271:U271)</f>
        <v>#REF!</v>
      </c>
      <c r="W271" s="266" t="e">
        <f ca="true">ROUND(W154/1000,0)</f>
        <v>#REF!</v>
      </c>
      <c r="X271" s="266" t="e">
        <f ca="true">ROUND(X154/1000,0)</f>
        <v>#REF!</v>
      </c>
      <c r="Y271" s="205" t="e">
        <f ca="true">SUM(V271:X271)</f>
        <v>#REF!</v>
      </c>
      <c r="Z271" s="266" t="e">
        <f ca="true">ROUND(Z154/1000,0)</f>
        <v>#REF!</v>
      </c>
      <c r="AA271" s="266" t="e">
        <f ca="true">ROUND(AA154/1000,0)</f>
        <v>#REF!</v>
      </c>
      <c r="AB271" s="273" t="e">
        <f ca="true">+SUM(Z271:AA271)</f>
        <v>#REF!</v>
      </c>
      <c r="AC271" s="266" t="e">
        <f t="shared" ref="AC271:AK271" ca="true" si="617">ROUND(AC154/1000,0)</f>
        <v>#REF!</v>
      </c>
      <c r="AD271" s="266" t="e">
        <f t="shared" ca="true" si="617"/>
        <v>#REF!</v>
      </c>
      <c r="AE271" s="266" t="e">
        <f t="shared" ca="true" si="617"/>
        <v>#REF!</v>
      </c>
      <c r="AF271" s="266" t="e">
        <f t="shared" ca="true" si="617"/>
        <v>#REF!</v>
      </c>
      <c r="AG271" s="266" t="e">
        <f t="shared" ca="true" si="617"/>
        <v>#REF!</v>
      </c>
      <c r="AH271" s="266" t="e">
        <f t="shared" ca="true" si="617"/>
        <v>#REF!</v>
      </c>
      <c r="AI271" s="266" t="e">
        <f t="shared" ca="true" si="617"/>
        <v>#REF!</v>
      </c>
      <c r="AJ271" s="266" t="e">
        <f t="shared" ca="true" si="617"/>
        <v>#REF!</v>
      </c>
      <c r="AK271" s="266" t="e">
        <f t="shared" ca="true" si="617"/>
        <v>#REF!</v>
      </c>
      <c r="AL271" s="273" t="e">
        <f ca="true">SUM(AF271:AK271)</f>
        <v>#REF!</v>
      </c>
      <c r="AM271" s="266" t="e">
        <f t="shared" ref="AM271:CO271" ca="true" si="618">ROUND(AM154/1000,0)</f>
        <v>#REF!</v>
      </c>
      <c r="AN271" s="266" t="e">
        <f t="shared" ca="true" si="618"/>
        <v>#REF!</v>
      </c>
      <c r="AO271" s="266" t="e">
        <f t="shared" ca="true" si="618"/>
        <v>#REF!</v>
      </c>
      <c r="AP271" s="266" t="e">
        <f t="shared" ca="true" si="618"/>
        <v>#REF!</v>
      </c>
      <c r="AQ271" s="266" t="e">
        <f t="shared" ca="true" si="618"/>
        <v>#REF!</v>
      </c>
      <c r="AR271" s="266" t="e">
        <f t="shared" ca="true" si="618"/>
        <v>#REF!</v>
      </c>
      <c r="AS271" s="266" t="e">
        <f t="shared" ca="true" si="618"/>
        <v>#REF!</v>
      </c>
      <c r="AT271" s="266" t="e">
        <f t="shared" ca="true" si="618"/>
        <v>#REF!</v>
      </c>
      <c r="AU271" s="266" t="e">
        <f t="shared" ca="true" si="618"/>
        <v>#REF!</v>
      </c>
      <c r="AV271" s="266" t="e">
        <f t="shared" ca="true" si="618"/>
        <v>#REF!</v>
      </c>
      <c r="AW271" s="266" t="e">
        <f t="shared" ca="true" si="618"/>
        <v>#REF!</v>
      </c>
      <c r="AX271" s="266" t="e">
        <f t="shared" ca="true" si="618"/>
        <v>#REF!</v>
      </c>
      <c r="AY271" s="266" t="e">
        <f t="shared" ca="true" si="618"/>
        <v>#REF!</v>
      </c>
      <c r="AZ271" s="266" t="e">
        <f t="shared" ca="true" si="618"/>
        <v>#REF!</v>
      </c>
      <c r="BA271" s="266" t="e">
        <f t="shared" ca="true" si="618"/>
        <v>#REF!</v>
      </c>
      <c r="BB271" s="266" t="e">
        <f t="shared" ca="true" si="618"/>
        <v>#REF!</v>
      </c>
      <c r="BC271" s="266" t="e">
        <f t="shared" ca="true" si="618"/>
        <v>#REF!</v>
      </c>
      <c r="BD271" s="266" t="e">
        <f t="shared" ca="true" si="618"/>
        <v>#REF!</v>
      </c>
      <c r="BE271" s="266" t="e">
        <f t="shared" ca="true" si="618"/>
        <v>#REF!</v>
      </c>
      <c r="BF271" s="266" t="e">
        <f t="shared" ca="true" si="618"/>
        <v>#REF!</v>
      </c>
      <c r="BG271" s="266" t="e">
        <f t="shared" ca="true" si="618"/>
        <v>#REF!</v>
      </c>
      <c r="BH271" s="266" t="e">
        <f t="shared" ca="true" si="618"/>
        <v>#REF!</v>
      </c>
      <c r="BI271" s="266" t="e">
        <f t="shared" ca="true" si="618"/>
        <v>#REF!</v>
      </c>
      <c r="BJ271" s="266" t="e">
        <f t="shared" ca="true" si="618"/>
        <v>#REF!</v>
      </c>
      <c r="BK271" s="266" t="e">
        <f t="shared" ca="true" si="618"/>
        <v>#REF!</v>
      </c>
      <c r="BL271" s="266" t="e">
        <f t="shared" ca="true" si="618"/>
        <v>#REF!</v>
      </c>
      <c r="BM271" s="266" t="e">
        <f t="shared" ca="true" si="618"/>
        <v>#REF!</v>
      </c>
      <c r="BN271" s="266" t="e">
        <f t="shared" ca="true" si="618"/>
        <v>#REF!</v>
      </c>
      <c r="BO271" s="266" t="e">
        <f t="shared" ca="true" si="618"/>
        <v>#REF!</v>
      </c>
      <c r="BP271" s="266" t="e">
        <f t="shared" ca="true" si="618"/>
        <v>#REF!</v>
      </c>
      <c r="BQ271" s="266" t="e">
        <f t="shared" ca="true" si="618"/>
        <v>#REF!</v>
      </c>
      <c r="BR271" s="266" t="e">
        <f t="shared" ca="true" si="618"/>
        <v>#REF!</v>
      </c>
      <c r="BS271" s="266" t="e">
        <f t="shared" ca="true" si="618"/>
        <v>#REF!</v>
      </c>
      <c r="BT271" s="266" t="e">
        <f t="shared" ca="true" si="618"/>
        <v>#REF!</v>
      </c>
      <c r="BU271" s="266" t="e">
        <f t="shared" ca="true" si="618"/>
        <v>#REF!</v>
      </c>
      <c r="BV271" s="266" t="e">
        <f t="shared" ca="true" si="618"/>
        <v>#REF!</v>
      </c>
      <c r="BW271" s="266" t="e">
        <f t="shared" ca="true" si="618"/>
        <v>#REF!</v>
      </c>
      <c r="BX271" s="266" t="e">
        <f t="shared" ca="true" si="618"/>
        <v>#REF!</v>
      </c>
      <c r="BY271" s="266" t="e">
        <f t="shared" ca="true" si="618"/>
        <v>#REF!</v>
      </c>
      <c r="BZ271" s="266" t="e">
        <f t="shared" ca="true" si="618"/>
        <v>#REF!</v>
      </c>
      <c r="CA271" s="266" t="e">
        <f t="shared" ca="true" si="618"/>
        <v>#REF!</v>
      </c>
      <c r="CB271" s="266" t="e">
        <f t="shared" ca="true" si="618"/>
        <v>#REF!</v>
      </c>
      <c r="CC271" s="266" t="e">
        <f t="shared" ca="true" si="618"/>
        <v>#REF!</v>
      </c>
      <c r="CD271" s="266" t="e">
        <f t="shared" ca="true" si="618"/>
        <v>#REF!</v>
      </c>
      <c r="CE271" s="266" t="e">
        <f t="shared" ca="true" si="618"/>
        <v>#REF!</v>
      </c>
      <c r="CF271" s="266" t="e">
        <f t="shared" ca="true" si="618"/>
        <v>#REF!</v>
      </c>
      <c r="CG271" s="266" t="e">
        <f t="shared" ca="true" si="618"/>
        <v>#REF!</v>
      </c>
      <c r="CH271" s="266" t="e">
        <f t="shared" ca="true" si="618"/>
        <v>#REF!</v>
      </c>
      <c r="CI271" s="266" t="e">
        <f t="shared" ca="true" si="618"/>
        <v>#REF!</v>
      </c>
      <c r="CJ271" s="266" t="e">
        <f t="shared" ca="true" si="618"/>
        <v>#REF!</v>
      </c>
      <c r="CK271" s="266" t="e">
        <f t="shared" ca="true" si="618"/>
        <v>#REF!</v>
      </c>
      <c r="CL271" s="266" t="e">
        <f t="shared" ca="true" si="618"/>
        <v>#REF!</v>
      </c>
      <c r="CM271" s="266" t="e">
        <f t="shared" ca="true" si="618"/>
        <v>#REF!</v>
      </c>
      <c r="CN271" s="266" t="e">
        <f t="shared" ca="true" si="618"/>
        <v>#REF!</v>
      </c>
      <c r="CO271" s="266" t="e">
        <f t="shared" ca="true" si="618"/>
        <v>#REF!</v>
      </c>
      <c r="CP271" s="266"/>
      <c r="CQ271" s="273" t="e">
        <f ca="true">+SUM(AM271:CP271)</f>
        <v>#REF!</v>
      </c>
      <c r="CR271" s="273" t="e">
        <f ca="true">SUM(AL271,CQ271)</f>
        <v>#REF!</v>
      </c>
      <c r="CS271" s="273" t="e">
        <f ca="true">SUM(CY271:CY271)</f>
        <v>#REF!</v>
      </c>
      <c r="CT271" s="275" t="e">
        <f ca="true">ROUND(CT154/1000,0)</f>
        <v>#REF!</v>
      </c>
      <c r="CU271" s="266" t="e">
        <f ca="true">ROUND(CU154/1000,0)</f>
        <v>#REF!</v>
      </c>
      <c r="CV271" s="266" t="e">
        <f ca="true">ROUND(CV154/1000,0)</f>
        <v>#REF!</v>
      </c>
      <c r="CW271" s="278" t="e">
        <f ca="true">ROUND(CW154/1000,0)</f>
        <v>#REF!</v>
      </c>
      <c r="CX271" s="278">
        <f ca="true">ROUND(CX154/1000,0)</f>
        <v>0</v>
      </c>
      <c r="CY271" s="278" t="e">
        <f ca="true">SUM(CT271:CX271)</f>
        <v>#REF!</v>
      </c>
      <c r="CZ271" s="273" t="e">
        <f ca="true">ROUND(CZ154/1000,0)</f>
        <v>#REF!</v>
      </c>
      <c r="DA271" s="273" t="e">
        <f ca="true">ROUND(DA154/1000,0)</f>
        <v>#REF!</v>
      </c>
      <c r="DB271" s="281" t="s">
        <v>13978</v>
      </c>
    </row>
    <row r="272" spans="2:105">
      <c r="B272" s="161"/>
      <c r="E272" s="149"/>
      <c r="F272" s="152"/>
      <c r="G272" s="152"/>
      <c r="H272" s="152"/>
      <c r="I272" s="152"/>
      <c r="J272" s="152"/>
      <c r="K272" s="152"/>
      <c r="L272" s="205"/>
      <c r="M272" s="152"/>
      <c r="N272" s="152"/>
      <c r="O272" s="205"/>
      <c r="P272" s="152"/>
      <c r="Q272" s="152"/>
      <c r="R272" s="152"/>
      <c r="S272" s="152"/>
      <c r="T272" s="152"/>
      <c r="U272" s="152"/>
      <c r="V272" s="153"/>
      <c r="W272" s="152"/>
      <c r="X272" s="152"/>
      <c r="Y272" s="205"/>
      <c r="Z272" s="152"/>
      <c r="AA272" s="152"/>
      <c r="AB272" s="205"/>
      <c r="AC272" s="152"/>
      <c r="AD272" s="152"/>
      <c r="AE272" s="152"/>
      <c r="AF272" s="152"/>
      <c r="AG272" s="152"/>
      <c r="AH272" s="152"/>
      <c r="AI272" s="152"/>
      <c r="AJ272" s="152"/>
      <c r="AK272" s="152"/>
      <c r="AL272" s="205"/>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c r="BG272" s="152"/>
      <c r="BH272" s="152"/>
      <c r="BI272" s="152"/>
      <c r="BJ272" s="152"/>
      <c r="BK272" s="152"/>
      <c r="BL272" s="152"/>
      <c r="BM272" s="152"/>
      <c r="BN272" s="152"/>
      <c r="BO272" s="152"/>
      <c r="BP272" s="152"/>
      <c r="BQ272" s="152"/>
      <c r="BR272" s="152"/>
      <c r="BS272" s="152"/>
      <c r="BT272" s="152"/>
      <c r="BU272" s="152"/>
      <c r="BV272" s="152"/>
      <c r="BW272" s="152"/>
      <c r="BX272" s="152"/>
      <c r="BY272" s="152"/>
      <c r="BZ272" s="152"/>
      <c r="CA272" s="152"/>
      <c r="CB272" s="152"/>
      <c r="CC272" s="152"/>
      <c r="CD272" s="152"/>
      <c r="CE272" s="152"/>
      <c r="CF272" s="152"/>
      <c r="CG272" s="152"/>
      <c r="CH272" s="152"/>
      <c r="CI272" s="152"/>
      <c r="CJ272" s="152"/>
      <c r="CK272" s="152"/>
      <c r="CL272" s="152"/>
      <c r="CM272" s="152"/>
      <c r="CN272" s="152"/>
      <c r="CO272" s="152"/>
      <c r="CP272" s="152"/>
      <c r="CQ272" s="205"/>
      <c r="CR272" s="205"/>
      <c r="CS272" s="205"/>
      <c r="CT272" s="209"/>
      <c r="CU272" s="152"/>
      <c r="CV272" s="152"/>
      <c r="CW272" s="212"/>
      <c r="CX272" s="212"/>
      <c r="CY272" s="212"/>
      <c r="CZ272" s="205"/>
      <c r="DA272" s="205"/>
    </row>
    <row r="273" spans="1:106">
      <c r="A273" s="154">
        <f t="shared" ref="A273:A279" si="619">MAX(A269:A272)+1</f>
        <v>62</v>
      </c>
      <c r="B273" s="161">
        <f>B272+1</f>
        <v>1</v>
      </c>
      <c r="D273" s="154" t="str">
        <f t="shared" ref="D273:D286" si="620">IF(D156="","",D156)</f>
        <v>LOC Available at Beginning of Period</v>
      </c>
      <c r="E273" s="267">
        <f t="shared" ref="E273:E279" si="621">ROUND(E156/1000,0)</f>
        <v>8494</v>
      </c>
      <c r="F273" s="152"/>
      <c r="G273" s="152">
        <f t="shared" ref="G273:G286" si="622">ROUND(G156/1000,0)</f>
        <v>0</v>
      </c>
      <c r="H273" s="152">
        <f t="shared" ref="H273:H286" si="623">ROUND(H156/1000,0)</f>
        <v>0</v>
      </c>
      <c r="I273" s="152">
        <f t="shared" ref="I273:I286" si="624">ROUND(I156/1000,0)</f>
        <v>0</v>
      </c>
      <c r="J273" s="152">
        <f t="shared" ref="J273:J286" si="625">ROUND(J156/1000,0)</f>
        <v>0</v>
      </c>
      <c r="K273" s="152">
        <f t="shared" ref="K273:K286" si="626">ROUND(K156/1000,0)</f>
        <v>0</v>
      </c>
      <c r="L273" s="205">
        <f t="shared" ref="L273:L286" si="627">+SUM(G273:K273)</f>
        <v>0</v>
      </c>
      <c r="M273" s="152">
        <f t="shared" ref="M273:M286" si="628">ROUND(M156/1000,0)</f>
        <v>0</v>
      </c>
      <c r="N273" s="152">
        <f t="shared" ref="N273:N286" si="629">ROUND(N156/1000,0)</f>
        <v>0</v>
      </c>
      <c r="O273" s="205">
        <f t="shared" ref="O273:O286" si="630">+SUM(M273:N273)</f>
        <v>0</v>
      </c>
      <c r="P273" s="152">
        <f t="shared" ref="P273:U273" si="631">ROUND(P156/1000,0)</f>
        <v>0</v>
      </c>
      <c r="Q273" s="152">
        <f t="shared" si="631"/>
        <v>0</v>
      </c>
      <c r="R273" s="152">
        <f t="shared" si="631"/>
        <v>0</v>
      </c>
      <c r="S273" s="152">
        <f t="shared" si="631"/>
        <v>0</v>
      </c>
      <c r="T273" s="152">
        <f t="shared" si="631"/>
        <v>0</v>
      </c>
      <c r="U273" s="152">
        <f t="shared" si="631"/>
        <v>0</v>
      </c>
      <c r="V273" s="153">
        <f t="shared" ref="V273:V286" si="632">+SUM(P273:U273)</f>
        <v>0</v>
      </c>
      <c r="W273" s="152">
        <f t="shared" ref="W273:W286" si="633">ROUND(W156/1000,0)</f>
        <v>0</v>
      </c>
      <c r="X273" s="152">
        <f t="shared" ref="X273:X286" si="634">ROUND(X156/1000,0)</f>
        <v>0</v>
      </c>
      <c r="Y273" s="205">
        <f t="shared" ref="Y273:Y286" si="635">SUM(V273:X273)</f>
        <v>0</v>
      </c>
      <c r="Z273" s="152">
        <f t="shared" ref="Z273:Z286" si="636">ROUND(Z156/1000,0)</f>
        <v>0</v>
      </c>
      <c r="AA273" s="152">
        <f t="shared" ref="AA273:AA286" si="637">ROUND(AA156/1000,0)</f>
        <v>0</v>
      </c>
      <c r="AB273" s="205">
        <f t="shared" ref="AB273:AB286" si="638">+SUM(Z273:AA273)</f>
        <v>0</v>
      </c>
      <c r="AC273" s="152">
        <f t="shared" ref="AC273:AK273" si="639">ROUND(AC156/1000,0)</f>
        <v>0</v>
      </c>
      <c r="AD273" s="152">
        <f t="shared" si="639"/>
        <v>0</v>
      </c>
      <c r="AE273" s="152">
        <f t="shared" si="639"/>
        <v>0</v>
      </c>
      <c r="AF273" s="152">
        <f t="shared" si="639"/>
        <v>0</v>
      </c>
      <c r="AG273" s="152">
        <f t="shared" si="639"/>
        <v>0</v>
      </c>
      <c r="AH273" s="152">
        <f t="shared" si="639"/>
        <v>0</v>
      </c>
      <c r="AI273" s="152">
        <f t="shared" si="639"/>
        <v>0</v>
      </c>
      <c r="AJ273" s="152">
        <f t="shared" si="639"/>
        <v>0</v>
      </c>
      <c r="AK273" s="152">
        <f t="shared" si="639"/>
        <v>0</v>
      </c>
      <c r="AL273" s="205">
        <f t="shared" ref="AL273:AL286" si="640">SUM(AF273:AK273)</f>
        <v>0</v>
      </c>
      <c r="AM273" s="152">
        <f t="shared" ref="AM273:CO273" si="641">ROUND(AM156/1000,0)</f>
        <v>0</v>
      </c>
      <c r="AN273" s="152">
        <f t="shared" si="641"/>
        <v>0</v>
      </c>
      <c r="AO273" s="152">
        <f t="shared" si="641"/>
        <v>0</v>
      </c>
      <c r="AP273" s="152">
        <f t="shared" si="641"/>
        <v>0</v>
      </c>
      <c r="AQ273" s="152">
        <f t="shared" si="641"/>
        <v>0</v>
      </c>
      <c r="AR273" s="152">
        <f t="shared" si="641"/>
        <v>0</v>
      </c>
      <c r="AS273" s="152">
        <f t="shared" si="641"/>
        <v>0</v>
      </c>
      <c r="AT273" s="152">
        <f t="shared" si="641"/>
        <v>0</v>
      </c>
      <c r="AU273" s="152">
        <f t="shared" si="641"/>
        <v>0</v>
      </c>
      <c r="AV273" s="152">
        <f t="shared" si="641"/>
        <v>0</v>
      </c>
      <c r="AW273" s="152">
        <f t="shared" si="641"/>
        <v>0</v>
      </c>
      <c r="AX273" s="152">
        <f t="shared" si="641"/>
        <v>0</v>
      </c>
      <c r="AY273" s="152">
        <f t="shared" si="641"/>
        <v>0</v>
      </c>
      <c r="AZ273" s="152">
        <f t="shared" si="641"/>
        <v>0</v>
      </c>
      <c r="BA273" s="152">
        <f t="shared" si="641"/>
        <v>0</v>
      </c>
      <c r="BB273" s="152">
        <f t="shared" si="641"/>
        <v>0</v>
      </c>
      <c r="BC273" s="152">
        <f t="shared" si="641"/>
        <v>0</v>
      </c>
      <c r="BD273" s="152">
        <f t="shared" si="641"/>
        <v>0</v>
      </c>
      <c r="BE273" s="152">
        <f t="shared" si="641"/>
        <v>0</v>
      </c>
      <c r="BF273" s="152">
        <f t="shared" si="641"/>
        <v>0</v>
      </c>
      <c r="BG273" s="152">
        <f t="shared" si="641"/>
        <v>0</v>
      </c>
      <c r="BH273" s="152">
        <f t="shared" si="641"/>
        <v>0</v>
      </c>
      <c r="BI273" s="152">
        <f t="shared" si="641"/>
        <v>0</v>
      </c>
      <c r="BJ273" s="152">
        <f t="shared" si="641"/>
        <v>0</v>
      </c>
      <c r="BK273" s="152">
        <f t="shared" si="641"/>
        <v>0</v>
      </c>
      <c r="BL273" s="152">
        <f t="shared" si="641"/>
        <v>0</v>
      </c>
      <c r="BM273" s="152">
        <f t="shared" si="641"/>
        <v>0</v>
      </c>
      <c r="BN273" s="152">
        <f t="shared" si="641"/>
        <v>0</v>
      </c>
      <c r="BO273" s="152">
        <f t="shared" si="641"/>
        <v>0</v>
      </c>
      <c r="BP273" s="152">
        <f t="shared" si="641"/>
        <v>0</v>
      </c>
      <c r="BQ273" s="152">
        <f t="shared" si="641"/>
        <v>0</v>
      </c>
      <c r="BR273" s="152">
        <f t="shared" si="641"/>
        <v>0</v>
      </c>
      <c r="BS273" s="152">
        <f t="shared" si="641"/>
        <v>0</v>
      </c>
      <c r="BT273" s="152">
        <f t="shared" si="641"/>
        <v>0</v>
      </c>
      <c r="BU273" s="152">
        <f t="shared" si="641"/>
        <v>0</v>
      </c>
      <c r="BV273" s="152">
        <f t="shared" si="641"/>
        <v>0</v>
      </c>
      <c r="BW273" s="152">
        <f t="shared" si="641"/>
        <v>0</v>
      </c>
      <c r="BX273" s="152">
        <f t="shared" si="641"/>
        <v>0</v>
      </c>
      <c r="BY273" s="152">
        <f t="shared" si="641"/>
        <v>0</v>
      </c>
      <c r="BZ273" s="152">
        <f t="shared" si="641"/>
        <v>0</v>
      </c>
      <c r="CA273" s="152">
        <f t="shared" si="641"/>
        <v>0</v>
      </c>
      <c r="CB273" s="152">
        <f t="shared" si="641"/>
        <v>0</v>
      </c>
      <c r="CC273" s="152">
        <f t="shared" si="641"/>
        <v>0</v>
      </c>
      <c r="CD273" s="152">
        <f t="shared" si="641"/>
        <v>0</v>
      </c>
      <c r="CE273" s="152">
        <f t="shared" si="641"/>
        <v>0</v>
      </c>
      <c r="CF273" s="152">
        <f t="shared" si="641"/>
        <v>0</v>
      </c>
      <c r="CG273" s="152">
        <f t="shared" si="641"/>
        <v>0</v>
      </c>
      <c r="CH273" s="152">
        <f t="shared" si="641"/>
        <v>0</v>
      </c>
      <c r="CI273" s="152">
        <f t="shared" si="641"/>
        <v>0</v>
      </c>
      <c r="CJ273" s="152">
        <f t="shared" si="641"/>
        <v>0</v>
      </c>
      <c r="CK273" s="152">
        <f t="shared" si="641"/>
        <v>0</v>
      </c>
      <c r="CL273" s="152">
        <f t="shared" si="641"/>
        <v>0</v>
      </c>
      <c r="CM273" s="152">
        <f t="shared" si="641"/>
        <v>0</v>
      </c>
      <c r="CN273" s="152">
        <f t="shared" si="641"/>
        <v>0</v>
      </c>
      <c r="CO273" s="152">
        <f t="shared" si="641"/>
        <v>0</v>
      </c>
      <c r="CP273" s="152"/>
      <c r="CQ273" s="205">
        <f t="shared" ref="CQ273:CQ286" si="642">+SUM(AM273:CP273)</f>
        <v>0</v>
      </c>
      <c r="CR273" s="205">
        <f t="shared" ref="CR273:CR286" si="643">SUM(AL273,CQ273)</f>
        <v>0</v>
      </c>
      <c r="CS273" s="205">
        <f t="shared" ref="CS273:CS286" si="644">SUM(CY273:CY273)</f>
        <v>0</v>
      </c>
      <c r="CT273" s="209">
        <f t="shared" ref="CT273:CT286" si="645">ROUND(CT156/1000,0)</f>
        <v>0</v>
      </c>
      <c r="CU273" s="152">
        <f t="shared" ref="CU273:CU286" si="646">ROUND(CU156/1000,0)</f>
        <v>0</v>
      </c>
      <c r="CV273" s="152">
        <f t="shared" ref="CV273:CV286" si="647">ROUND(CV156/1000,0)</f>
        <v>0</v>
      </c>
      <c r="CW273" s="212">
        <f t="shared" ref="CW273:CW286" si="648">ROUND(CW156/1000,0)</f>
        <v>0</v>
      </c>
      <c r="CX273" s="212">
        <f t="shared" ref="CX273:CX286" si="649">ROUND(CX156/1000,0)</f>
        <v>0</v>
      </c>
      <c r="CY273" s="212">
        <f t="shared" ref="CY273:CY286" si="650">SUM(CT273:CX273)</f>
        <v>0</v>
      </c>
      <c r="CZ273" s="205">
        <f t="shared" ref="CZ273:CZ286" si="651">ROUND(CZ156/1000,0)</f>
        <v>0</v>
      </c>
      <c r="DA273" s="205">
        <f t="shared" ref="DA273:DA286" si="652">ROUND(DA156/1000,0)</f>
        <v>0</v>
      </c>
      <c r="DB273" s="155" t="s">
        <v>13904</v>
      </c>
    </row>
    <row r="274" spans="1:106">
      <c r="A274" s="154">
        <f t="shared" si="619"/>
        <v>63</v>
      </c>
      <c r="B274" s="161">
        <f>B273+1</f>
        <v>2</v>
      </c>
      <c r="D274" s="154" t="str">
        <f t="shared" si="620"/>
        <v>Amount Paid Down</v>
      </c>
      <c r="E274" s="149">
        <f t="shared" si="621"/>
        <v>0</v>
      </c>
      <c r="F274" s="152"/>
      <c r="G274" s="152">
        <f t="shared" si="622"/>
        <v>0</v>
      </c>
      <c r="H274" s="152">
        <f t="shared" si="623"/>
        <v>0</v>
      </c>
      <c r="I274" s="152">
        <f t="shared" si="624"/>
        <v>0</v>
      </c>
      <c r="J274" s="152">
        <f t="shared" si="625"/>
        <v>0</v>
      </c>
      <c r="K274" s="152">
        <f t="shared" si="626"/>
        <v>0</v>
      </c>
      <c r="L274" s="205">
        <f t="shared" si="627"/>
        <v>0</v>
      </c>
      <c r="M274" s="152">
        <f t="shared" si="628"/>
        <v>0</v>
      </c>
      <c r="N274" s="152">
        <f t="shared" si="629"/>
        <v>0</v>
      </c>
      <c r="O274" s="205">
        <f t="shared" si="630"/>
        <v>0</v>
      </c>
      <c r="P274" s="152">
        <f t="shared" ref="P274:U274" si="653">ROUND(P157/1000,0)</f>
        <v>0</v>
      </c>
      <c r="Q274" s="152">
        <f t="shared" si="653"/>
        <v>0</v>
      </c>
      <c r="R274" s="152">
        <f t="shared" si="653"/>
        <v>0</v>
      </c>
      <c r="S274" s="152">
        <f t="shared" si="653"/>
        <v>0</v>
      </c>
      <c r="T274" s="152">
        <f t="shared" si="653"/>
        <v>0</v>
      </c>
      <c r="U274" s="152">
        <f t="shared" si="653"/>
        <v>0</v>
      </c>
      <c r="V274" s="153">
        <f t="shared" si="632"/>
        <v>0</v>
      </c>
      <c r="W274" s="152">
        <f t="shared" si="633"/>
        <v>0</v>
      </c>
      <c r="X274" s="152">
        <f t="shared" si="634"/>
        <v>0</v>
      </c>
      <c r="Y274" s="205">
        <f t="shared" si="635"/>
        <v>0</v>
      </c>
      <c r="Z274" s="152">
        <f t="shared" si="636"/>
        <v>0</v>
      </c>
      <c r="AA274" s="152">
        <f t="shared" si="637"/>
        <v>0</v>
      </c>
      <c r="AB274" s="205">
        <f t="shared" si="638"/>
        <v>0</v>
      </c>
      <c r="AC274" s="152">
        <f t="shared" ref="AC274:AK274" si="654">ROUND(AC157/1000,0)</f>
        <v>0</v>
      </c>
      <c r="AD274" s="152">
        <f t="shared" si="654"/>
        <v>0</v>
      </c>
      <c r="AE274" s="152">
        <f t="shared" si="654"/>
        <v>0</v>
      </c>
      <c r="AF274" s="152">
        <f t="shared" si="654"/>
        <v>0</v>
      </c>
      <c r="AG274" s="152">
        <f t="shared" si="654"/>
        <v>0</v>
      </c>
      <c r="AH274" s="152">
        <f t="shared" si="654"/>
        <v>0</v>
      </c>
      <c r="AI274" s="152">
        <f t="shared" si="654"/>
        <v>0</v>
      </c>
      <c r="AJ274" s="152">
        <f t="shared" si="654"/>
        <v>0</v>
      </c>
      <c r="AK274" s="152">
        <f t="shared" si="654"/>
        <v>0</v>
      </c>
      <c r="AL274" s="205">
        <f t="shared" si="640"/>
        <v>0</v>
      </c>
      <c r="AM274" s="152">
        <f t="shared" ref="AM274:CO274" si="655">ROUND(AM157/1000,0)</f>
        <v>0</v>
      </c>
      <c r="AN274" s="152">
        <f t="shared" si="655"/>
        <v>0</v>
      </c>
      <c r="AO274" s="152">
        <f t="shared" si="655"/>
        <v>0</v>
      </c>
      <c r="AP274" s="152">
        <f t="shared" si="655"/>
        <v>0</v>
      </c>
      <c r="AQ274" s="152">
        <f t="shared" si="655"/>
        <v>0</v>
      </c>
      <c r="AR274" s="152">
        <f t="shared" si="655"/>
        <v>0</v>
      </c>
      <c r="AS274" s="152">
        <f t="shared" si="655"/>
        <v>0</v>
      </c>
      <c r="AT274" s="152">
        <f t="shared" si="655"/>
        <v>0</v>
      </c>
      <c r="AU274" s="152">
        <f t="shared" si="655"/>
        <v>0</v>
      </c>
      <c r="AV274" s="152">
        <f t="shared" si="655"/>
        <v>0</v>
      </c>
      <c r="AW274" s="152">
        <f t="shared" si="655"/>
        <v>0</v>
      </c>
      <c r="AX274" s="152">
        <f t="shared" si="655"/>
        <v>0</v>
      </c>
      <c r="AY274" s="152">
        <f t="shared" si="655"/>
        <v>0</v>
      </c>
      <c r="AZ274" s="152">
        <f t="shared" si="655"/>
        <v>0</v>
      </c>
      <c r="BA274" s="152">
        <f t="shared" si="655"/>
        <v>0</v>
      </c>
      <c r="BB274" s="152">
        <f t="shared" si="655"/>
        <v>0</v>
      </c>
      <c r="BC274" s="152">
        <f t="shared" si="655"/>
        <v>0</v>
      </c>
      <c r="BD274" s="152">
        <f t="shared" si="655"/>
        <v>0</v>
      </c>
      <c r="BE274" s="152">
        <f t="shared" si="655"/>
        <v>0</v>
      </c>
      <c r="BF274" s="152">
        <f t="shared" si="655"/>
        <v>0</v>
      </c>
      <c r="BG274" s="152">
        <f t="shared" si="655"/>
        <v>0</v>
      </c>
      <c r="BH274" s="152">
        <f t="shared" si="655"/>
        <v>0</v>
      </c>
      <c r="BI274" s="152">
        <f t="shared" si="655"/>
        <v>0</v>
      </c>
      <c r="BJ274" s="152">
        <f t="shared" si="655"/>
        <v>0</v>
      </c>
      <c r="BK274" s="152">
        <f t="shared" si="655"/>
        <v>0</v>
      </c>
      <c r="BL274" s="152">
        <f t="shared" si="655"/>
        <v>0</v>
      </c>
      <c r="BM274" s="152">
        <f t="shared" si="655"/>
        <v>0</v>
      </c>
      <c r="BN274" s="152">
        <f t="shared" si="655"/>
        <v>0</v>
      </c>
      <c r="BO274" s="152">
        <f t="shared" si="655"/>
        <v>0</v>
      </c>
      <c r="BP274" s="152">
        <f t="shared" si="655"/>
        <v>0</v>
      </c>
      <c r="BQ274" s="152">
        <f t="shared" si="655"/>
        <v>0</v>
      </c>
      <c r="BR274" s="152">
        <f t="shared" si="655"/>
        <v>0</v>
      </c>
      <c r="BS274" s="152">
        <f t="shared" si="655"/>
        <v>0</v>
      </c>
      <c r="BT274" s="152">
        <f t="shared" si="655"/>
        <v>0</v>
      </c>
      <c r="BU274" s="152">
        <f t="shared" si="655"/>
        <v>0</v>
      </c>
      <c r="BV274" s="152">
        <f t="shared" si="655"/>
        <v>0</v>
      </c>
      <c r="BW274" s="152">
        <f t="shared" si="655"/>
        <v>0</v>
      </c>
      <c r="BX274" s="152">
        <f t="shared" si="655"/>
        <v>0</v>
      </c>
      <c r="BY274" s="152">
        <f t="shared" si="655"/>
        <v>0</v>
      </c>
      <c r="BZ274" s="152">
        <f t="shared" si="655"/>
        <v>0</v>
      </c>
      <c r="CA274" s="152">
        <f t="shared" si="655"/>
        <v>0</v>
      </c>
      <c r="CB274" s="152">
        <f t="shared" si="655"/>
        <v>0</v>
      </c>
      <c r="CC274" s="152">
        <f t="shared" si="655"/>
        <v>0</v>
      </c>
      <c r="CD274" s="152">
        <f t="shared" si="655"/>
        <v>0</v>
      </c>
      <c r="CE274" s="152">
        <f t="shared" si="655"/>
        <v>0</v>
      </c>
      <c r="CF274" s="152">
        <f t="shared" si="655"/>
        <v>0</v>
      </c>
      <c r="CG274" s="152">
        <f t="shared" si="655"/>
        <v>0</v>
      </c>
      <c r="CH274" s="152">
        <f t="shared" si="655"/>
        <v>0</v>
      </c>
      <c r="CI274" s="152">
        <f t="shared" si="655"/>
        <v>0</v>
      </c>
      <c r="CJ274" s="152">
        <f t="shared" si="655"/>
        <v>0</v>
      </c>
      <c r="CK274" s="152">
        <f t="shared" si="655"/>
        <v>0</v>
      </c>
      <c r="CL274" s="152">
        <f t="shared" si="655"/>
        <v>0</v>
      </c>
      <c r="CM274" s="152">
        <f t="shared" si="655"/>
        <v>0</v>
      </c>
      <c r="CN274" s="152">
        <f t="shared" si="655"/>
        <v>0</v>
      </c>
      <c r="CO274" s="152">
        <f t="shared" si="655"/>
        <v>0</v>
      </c>
      <c r="CP274" s="152"/>
      <c r="CQ274" s="205">
        <f t="shared" si="642"/>
        <v>0</v>
      </c>
      <c r="CR274" s="205">
        <f t="shared" si="643"/>
        <v>0</v>
      </c>
      <c r="CS274" s="205">
        <f t="shared" si="644"/>
        <v>0</v>
      </c>
      <c r="CT274" s="209">
        <f t="shared" si="645"/>
        <v>0</v>
      </c>
      <c r="CU274" s="152">
        <f t="shared" si="646"/>
        <v>0</v>
      </c>
      <c r="CV274" s="152">
        <f t="shared" si="647"/>
        <v>0</v>
      </c>
      <c r="CW274" s="212">
        <f t="shared" si="648"/>
        <v>0</v>
      </c>
      <c r="CX274" s="212">
        <f t="shared" si="649"/>
        <v>0</v>
      </c>
      <c r="CY274" s="212">
        <f t="shared" si="650"/>
        <v>0</v>
      </c>
      <c r="CZ274" s="205">
        <f t="shared" si="651"/>
        <v>0</v>
      </c>
      <c r="DA274" s="205">
        <f t="shared" si="652"/>
        <v>0</v>
      </c>
      <c r="DB274" s="155" t="s">
        <v>13902</v>
      </c>
    </row>
    <row r="275" spans="1:106">
      <c r="A275" s="154">
        <f t="shared" si="619"/>
        <v>64</v>
      </c>
      <c r="B275" s="161">
        <f>B274+1</f>
        <v>3</v>
      </c>
      <c r="D275" s="154" t="str">
        <f t="shared" si="620"/>
        <v>Amount Drawn (Operations)</v>
      </c>
      <c r="E275" s="149">
        <f t="shared" si="621"/>
        <v>2635</v>
      </c>
      <c r="F275" s="152"/>
      <c r="G275" s="152">
        <f t="shared" si="622"/>
        <v>0</v>
      </c>
      <c r="H275" s="152">
        <f t="shared" si="623"/>
        <v>0</v>
      </c>
      <c r="I275" s="152">
        <f t="shared" si="624"/>
        <v>0</v>
      </c>
      <c r="J275" s="152">
        <f t="shared" si="625"/>
        <v>0</v>
      </c>
      <c r="K275" s="152">
        <f t="shared" si="626"/>
        <v>0</v>
      </c>
      <c r="L275" s="205">
        <f t="shared" si="627"/>
        <v>0</v>
      </c>
      <c r="M275" s="152">
        <f t="shared" si="628"/>
        <v>0</v>
      </c>
      <c r="N275" s="152">
        <f t="shared" si="629"/>
        <v>0</v>
      </c>
      <c r="O275" s="205">
        <f t="shared" si="630"/>
        <v>0</v>
      </c>
      <c r="P275" s="152">
        <f t="shared" ref="P275:U275" si="656">ROUND(P158/1000,0)</f>
        <v>0</v>
      </c>
      <c r="Q275" s="152">
        <f t="shared" si="656"/>
        <v>0</v>
      </c>
      <c r="R275" s="152">
        <f t="shared" si="656"/>
        <v>0</v>
      </c>
      <c r="S275" s="152">
        <f t="shared" si="656"/>
        <v>0</v>
      </c>
      <c r="T275" s="152">
        <f t="shared" si="656"/>
        <v>0</v>
      </c>
      <c r="U275" s="152">
        <f t="shared" si="656"/>
        <v>0</v>
      </c>
      <c r="V275" s="153">
        <f t="shared" si="632"/>
        <v>0</v>
      </c>
      <c r="W275" s="152">
        <f t="shared" si="633"/>
        <v>0</v>
      </c>
      <c r="X275" s="152">
        <f t="shared" si="634"/>
        <v>0</v>
      </c>
      <c r="Y275" s="205">
        <f t="shared" si="635"/>
        <v>0</v>
      </c>
      <c r="Z275" s="152">
        <f t="shared" si="636"/>
        <v>0</v>
      </c>
      <c r="AA275" s="152">
        <f t="shared" si="637"/>
        <v>0</v>
      </c>
      <c r="AB275" s="205">
        <f t="shared" si="638"/>
        <v>0</v>
      </c>
      <c r="AC275" s="152">
        <f t="shared" ref="AC275:AK275" si="657">ROUND(AC158/1000,0)</f>
        <v>0</v>
      </c>
      <c r="AD275" s="152">
        <f t="shared" si="657"/>
        <v>0</v>
      </c>
      <c r="AE275" s="152">
        <f t="shared" si="657"/>
        <v>0</v>
      </c>
      <c r="AF275" s="152">
        <f t="shared" si="657"/>
        <v>0</v>
      </c>
      <c r="AG275" s="152">
        <f t="shared" si="657"/>
        <v>0</v>
      </c>
      <c r="AH275" s="152">
        <f t="shared" si="657"/>
        <v>0</v>
      </c>
      <c r="AI275" s="152">
        <f t="shared" si="657"/>
        <v>0</v>
      </c>
      <c r="AJ275" s="152">
        <f t="shared" si="657"/>
        <v>0</v>
      </c>
      <c r="AK275" s="152">
        <f t="shared" si="657"/>
        <v>0</v>
      </c>
      <c r="AL275" s="205">
        <f t="shared" si="640"/>
        <v>0</v>
      </c>
      <c r="AM275" s="152">
        <f t="shared" ref="AM275:CO275" si="658">ROUND(AM158/1000,0)</f>
        <v>0</v>
      </c>
      <c r="AN275" s="152">
        <f t="shared" si="658"/>
        <v>0</v>
      </c>
      <c r="AO275" s="152">
        <f t="shared" si="658"/>
        <v>0</v>
      </c>
      <c r="AP275" s="152">
        <f t="shared" si="658"/>
        <v>0</v>
      </c>
      <c r="AQ275" s="152">
        <f t="shared" si="658"/>
        <v>0</v>
      </c>
      <c r="AR275" s="152">
        <f t="shared" si="658"/>
        <v>0</v>
      </c>
      <c r="AS275" s="152">
        <f t="shared" si="658"/>
        <v>0</v>
      </c>
      <c r="AT275" s="152">
        <f t="shared" si="658"/>
        <v>0</v>
      </c>
      <c r="AU275" s="152">
        <f t="shared" si="658"/>
        <v>0</v>
      </c>
      <c r="AV275" s="152">
        <f t="shared" si="658"/>
        <v>0</v>
      </c>
      <c r="AW275" s="152">
        <f t="shared" si="658"/>
        <v>0</v>
      </c>
      <c r="AX275" s="152">
        <f t="shared" si="658"/>
        <v>0</v>
      </c>
      <c r="AY275" s="152">
        <f t="shared" si="658"/>
        <v>0</v>
      </c>
      <c r="AZ275" s="152">
        <f t="shared" si="658"/>
        <v>0</v>
      </c>
      <c r="BA275" s="152">
        <f t="shared" si="658"/>
        <v>0</v>
      </c>
      <c r="BB275" s="152">
        <f t="shared" si="658"/>
        <v>0</v>
      </c>
      <c r="BC275" s="152">
        <f t="shared" si="658"/>
        <v>0</v>
      </c>
      <c r="BD275" s="152">
        <f t="shared" si="658"/>
        <v>0</v>
      </c>
      <c r="BE275" s="152">
        <f t="shared" si="658"/>
        <v>0</v>
      </c>
      <c r="BF275" s="152">
        <f t="shared" si="658"/>
        <v>0</v>
      </c>
      <c r="BG275" s="152">
        <f t="shared" si="658"/>
        <v>0</v>
      </c>
      <c r="BH275" s="152">
        <f t="shared" si="658"/>
        <v>0</v>
      </c>
      <c r="BI275" s="152">
        <f t="shared" si="658"/>
        <v>0</v>
      </c>
      <c r="BJ275" s="152">
        <f t="shared" si="658"/>
        <v>0</v>
      </c>
      <c r="BK275" s="152">
        <f t="shared" si="658"/>
        <v>0</v>
      </c>
      <c r="BL275" s="152">
        <f t="shared" si="658"/>
        <v>0</v>
      </c>
      <c r="BM275" s="152">
        <f t="shared" si="658"/>
        <v>0</v>
      </c>
      <c r="BN275" s="152">
        <f t="shared" si="658"/>
        <v>0</v>
      </c>
      <c r="BO275" s="152">
        <f t="shared" si="658"/>
        <v>0</v>
      </c>
      <c r="BP275" s="152">
        <f t="shared" si="658"/>
        <v>0</v>
      </c>
      <c r="BQ275" s="152">
        <f t="shared" si="658"/>
        <v>0</v>
      </c>
      <c r="BR275" s="152">
        <f t="shared" si="658"/>
        <v>0</v>
      </c>
      <c r="BS275" s="152">
        <f t="shared" si="658"/>
        <v>0</v>
      </c>
      <c r="BT275" s="152">
        <f t="shared" si="658"/>
        <v>0</v>
      </c>
      <c r="BU275" s="152">
        <f t="shared" si="658"/>
        <v>0</v>
      </c>
      <c r="BV275" s="152">
        <f t="shared" si="658"/>
        <v>0</v>
      </c>
      <c r="BW275" s="152">
        <f t="shared" si="658"/>
        <v>0</v>
      </c>
      <c r="BX275" s="152">
        <f t="shared" si="658"/>
        <v>0</v>
      </c>
      <c r="BY275" s="152">
        <f t="shared" si="658"/>
        <v>0</v>
      </c>
      <c r="BZ275" s="152">
        <f t="shared" si="658"/>
        <v>0</v>
      </c>
      <c r="CA275" s="152">
        <f t="shared" si="658"/>
        <v>0</v>
      </c>
      <c r="CB275" s="152">
        <f t="shared" si="658"/>
        <v>0</v>
      </c>
      <c r="CC275" s="152">
        <f t="shared" si="658"/>
        <v>0</v>
      </c>
      <c r="CD275" s="152">
        <f t="shared" si="658"/>
        <v>0</v>
      </c>
      <c r="CE275" s="152">
        <f t="shared" si="658"/>
        <v>0</v>
      </c>
      <c r="CF275" s="152">
        <f t="shared" si="658"/>
        <v>0</v>
      </c>
      <c r="CG275" s="152">
        <f t="shared" si="658"/>
        <v>0</v>
      </c>
      <c r="CH275" s="152">
        <f t="shared" si="658"/>
        <v>0</v>
      </c>
      <c r="CI275" s="152">
        <f t="shared" si="658"/>
        <v>0</v>
      </c>
      <c r="CJ275" s="152">
        <f t="shared" si="658"/>
        <v>0</v>
      </c>
      <c r="CK275" s="152">
        <f t="shared" si="658"/>
        <v>0</v>
      </c>
      <c r="CL275" s="152">
        <f t="shared" si="658"/>
        <v>0</v>
      </c>
      <c r="CM275" s="152">
        <f t="shared" si="658"/>
        <v>0</v>
      </c>
      <c r="CN275" s="152">
        <f t="shared" si="658"/>
        <v>0</v>
      </c>
      <c r="CO275" s="152">
        <f t="shared" si="658"/>
        <v>0</v>
      </c>
      <c r="CP275" s="152"/>
      <c r="CQ275" s="205">
        <f t="shared" si="642"/>
        <v>0</v>
      </c>
      <c r="CR275" s="205">
        <f t="shared" si="643"/>
        <v>0</v>
      </c>
      <c r="CS275" s="205">
        <f t="shared" si="644"/>
        <v>0</v>
      </c>
      <c r="CT275" s="209">
        <f t="shared" si="645"/>
        <v>0</v>
      </c>
      <c r="CU275" s="152">
        <f t="shared" si="646"/>
        <v>0</v>
      </c>
      <c r="CV275" s="152">
        <f t="shared" si="647"/>
        <v>0</v>
      </c>
      <c r="CW275" s="212">
        <f t="shared" si="648"/>
        <v>0</v>
      </c>
      <c r="CX275" s="212">
        <f t="shared" si="649"/>
        <v>0</v>
      </c>
      <c r="CY275" s="212">
        <f t="shared" si="650"/>
        <v>0</v>
      </c>
      <c r="CZ275" s="205">
        <f t="shared" si="651"/>
        <v>0</v>
      </c>
      <c r="DA275" s="205">
        <f t="shared" si="652"/>
        <v>0</v>
      </c>
      <c r="DB275" s="260" t="s">
        <v>13903</v>
      </c>
    </row>
    <row r="276" spans="1:106" s="152" customFormat="true">
      <c r="A276" s="154">
        <f t="shared" si="619"/>
        <v>65</v>
      </c>
      <c r="B276" s="161">
        <f>B275+1</f>
        <v>4</v>
      </c>
      <c r="C276" s="154"/>
      <c r="D276" s="154" t="str">
        <f t="shared" si="620"/>
        <v>Amount Drawn (Acquisitions)</v>
      </c>
      <c r="E276" s="149">
        <f t="shared" si="621"/>
        <v>0</v>
      </c>
      <c r="G276" s="152">
        <f t="shared" si="622"/>
        <v>0</v>
      </c>
      <c r="H276" s="152">
        <f t="shared" si="623"/>
        <v>0</v>
      </c>
      <c r="I276" s="152">
        <f t="shared" si="624"/>
        <v>0</v>
      </c>
      <c r="J276" s="152">
        <f t="shared" si="625"/>
        <v>0</v>
      </c>
      <c r="K276" s="152">
        <f t="shared" si="626"/>
        <v>0</v>
      </c>
      <c r="L276" s="205">
        <f t="shared" si="627"/>
        <v>0</v>
      </c>
      <c r="M276" s="152">
        <f t="shared" si="628"/>
        <v>0</v>
      </c>
      <c r="N276" s="152">
        <f t="shared" si="629"/>
        <v>0</v>
      </c>
      <c r="O276" s="205">
        <f t="shared" si="630"/>
        <v>0</v>
      </c>
      <c r="P276" s="152">
        <f t="shared" ref="P276:U276" si="659">ROUND(P159/1000,0)</f>
        <v>0</v>
      </c>
      <c r="Q276" s="152">
        <f t="shared" si="659"/>
        <v>0</v>
      </c>
      <c r="R276" s="152">
        <f t="shared" si="659"/>
        <v>0</v>
      </c>
      <c r="S276" s="152">
        <f t="shared" si="659"/>
        <v>0</v>
      </c>
      <c r="T276" s="152">
        <f t="shared" si="659"/>
        <v>0</v>
      </c>
      <c r="U276" s="152">
        <f t="shared" si="659"/>
        <v>0</v>
      </c>
      <c r="V276" s="153">
        <f t="shared" si="632"/>
        <v>0</v>
      </c>
      <c r="W276" s="152">
        <f t="shared" si="633"/>
        <v>0</v>
      </c>
      <c r="X276" s="152">
        <f t="shared" si="634"/>
        <v>0</v>
      </c>
      <c r="Y276" s="205">
        <f t="shared" si="635"/>
        <v>0</v>
      </c>
      <c r="Z276" s="152">
        <f t="shared" si="636"/>
        <v>0</v>
      </c>
      <c r="AA276" s="152">
        <f t="shared" si="637"/>
        <v>0</v>
      </c>
      <c r="AB276" s="205">
        <f t="shared" si="638"/>
        <v>0</v>
      </c>
      <c r="AC276" s="152">
        <f t="shared" ref="AC276:AK276" si="660">ROUND(AC159/1000,0)</f>
        <v>0</v>
      </c>
      <c r="AD276" s="152">
        <f t="shared" si="660"/>
        <v>0</v>
      </c>
      <c r="AE276" s="152">
        <f t="shared" si="660"/>
        <v>0</v>
      </c>
      <c r="AF276" s="152">
        <f t="shared" si="660"/>
        <v>0</v>
      </c>
      <c r="AG276" s="152">
        <f t="shared" si="660"/>
        <v>0</v>
      </c>
      <c r="AH276" s="152">
        <f t="shared" si="660"/>
        <v>0</v>
      </c>
      <c r="AI276" s="152">
        <f t="shared" si="660"/>
        <v>0</v>
      </c>
      <c r="AJ276" s="152">
        <f t="shared" si="660"/>
        <v>0</v>
      </c>
      <c r="AK276" s="152">
        <f t="shared" si="660"/>
        <v>0</v>
      </c>
      <c r="AL276" s="205">
        <f t="shared" si="640"/>
        <v>0</v>
      </c>
      <c r="AM276" s="152">
        <f t="shared" ref="AM276:CO276" si="661">ROUND(AM159/1000,0)</f>
        <v>0</v>
      </c>
      <c r="AN276" s="152">
        <f t="shared" si="661"/>
        <v>0</v>
      </c>
      <c r="AO276" s="152">
        <f t="shared" si="661"/>
        <v>0</v>
      </c>
      <c r="AP276" s="152">
        <f t="shared" si="661"/>
        <v>0</v>
      </c>
      <c r="AQ276" s="152">
        <f t="shared" si="661"/>
        <v>0</v>
      </c>
      <c r="AR276" s="152">
        <f t="shared" si="661"/>
        <v>0</v>
      </c>
      <c r="AS276" s="152">
        <f t="shared" si="661"/>
        <v>0</v>
      </c>
      <c r="AT276" s="152">
        <f t="shared" si="661"/>
        <v>0</v>
      </c>
      <c r="AU276" s="152">
        <f t="shared" si="661"/>
        <v>0</v>
      </c>
      <c r="AV276" s="152">
        <f t="shared" si="661"/>
        <v>0</v>
      </c>
      <c r="AW276" s="152">
        <f t="shared" si="661"/>
        <v>0</v>
      </c>
      <c r="AX276" s="152">
        <f t="shared" si="661"/>
        <v>0</v>
      </c>
      <c r="AY276" s="152">
        <f t="shared" si="661"/>
        <v>0</v>
      </c>
      <c r="AZ276" s="152">
        <f t="shared" si="661"/>
        <v>0</v>
      </c>
      <c r="BA276" s="152">
        <f t="shared" si="661"/>
        <v>0</v>
      </c>
      <c r="BB276" s="152">
        <f t="shared" si="661"/>
        <v>0</v>
      </c>
      <c r="BC276" s="152">
        <f t="shared" si="661"/>
        <v>0</v>
      </c>
      <c r="BD276" s="152">
        <f t="shared" si="661"/>
        <v>0</v>
      </c>
      <c r="BE276" s="152">
        <f t="shared" si="661"/>
        <v>0</v>
      </c>
      <c r="BF276" s="152">
        <f t="shared" si="661"/>
        <v>0</v>
      </c>
      <c r="BG276" s="152">
        <f t="shared" si="661"/>
        <v>0</v>
      </c>
      <c r="BH276" s="152">
        <f t="shared" si="661"/>
        <v>0</v>
      </c>
      <c r="BI276" s="152">
        <f t="shared" si="661"/>
        <v>0</v>
      </c>
      <c r="BJ276" s="152">
        <f t="shared" si="661"/>
        <v>0</v>
      </c>
      <c r="BK276" s="152">
        <f t="shared" si="661"/>
        <v>0</v>
      </c>
      <c r="BL276" s="152">
        <f t="shared" si="661"/>
        <v>0</v>
      </c>
      <c r="BM276" s="152">
        <f t="shared" si="661"/>
        <v>0</v>
      </c>
      <c r="BN276" s="152">
        <f t="shared" si="661"/>
        <v>0</v>
      </c>
      <c r="BO276" s="152">
        <f t="shared" si="661"/>
        <v>0</v>
      </c>
      <c r="BP276" s="152">
        <f t="shared" si="661"/>
        <v>0</v>
      </c>
      <c r="BQ276" s="152">
        <f t="shared" si="661"/>
        <v>0</v>
      </c>
      <c r="BR276" s="152">
        <f t="shared" si="661"/>
        <v>0</v>
      </c>
      <c r="BS276" s="152">
        <f t="shared" si="661"/>
        <v>0</v>
      </c>
      <c r="BT276" s="152">
        <f t="shared" si="661"/>
        <v>0</v>
      </c>
      <c r="BU276" s="152">
        <f t="shared" si="661"/>
        <v>0</v>
      </c>
      <c r="BV276" s="152">
        <f t="shared" si="661"/>
        <v>0</v>
      </c>
      <c r="BW276" s="152">
        <f t="shared" si="661"/>
        <v>0</v>
      </c>
      <c r="BX276" s="152">
        <f t="shared" si="661"/>
        <v>0</v>
      </c>
      <c r="BY276" s="152">
        <f t="shared" si="661"/>
        <v>0</v>
      </c>
      <c r="BZ276" s="152">
        <f t="shared" si="661"/>
        <v>0</v>
      </c>
      <c r="CA276" s="152">
        <f t="shared" si="661"/>
        <v>0</v>
      </c>
      <c r="CB276" s="152">
        <f t="shared" si="661"/>
        <v>0</v>
      </c>
      <c r="CC276" s="152">
        <f t="shared" si="661"/>
        <v>0</v>
      </c>
      <c r="CD276" s="152">
        <f t="shared" si="661"/>
        <v>0</v>
      </c>
      <c r="CE276" s="152">
        <f t="shared" si="661"/>
        <v>0</v>
      </c>
      <c r="CF276" s="152">
        <f t="shared" si="661"/>
        <v>0</v>
      </c>
      <c r="CG276" s="152">
        <f t="shared" si="661"/>
        <v>0</v>
      </c>
      <c r="CH276" s="152">
        <f t="shared" si="661"/>
        <v>0</v>
      </c>
      <c r="CI276" s="152">
        <f t="shared" si="661"/>
        <v>0</v>
      </c>
      <c r="CJ276" s="152">
        <f t="shared" si="661"/>
        <v>0</v>
      </c>
      <c r="CK276" s="152">
        <f t="shared" si="661"/>
        <v>0</v>
      </c>
      <c r="CL276" s="152">
        <f t="shared" si="661"/>
        <v>0</v>
      </c>
      <c r="CM276" s="152">
        <f t="shared" si="661"/>
        <v>0</v>
      </c>
      <c r="CN276" s="152">
        <f t="shared" si="661"/>
        <v>0</v>
      </c>
      <c r="CO276" s="152">
        <f t="shared" si="661"/>
        <v>0</v>
      </c>
      <c r="CQ276" s="205">
        <f t="shared" si="642"/>
        <v>0</v>
      </c>
      <c r="CR276" s="205">
        <f t="shared" si="643"/>
        <v>0</v>
      </c>
      <c r="CS276" s="205">
        <f t="shared" si="644"/>
        <v>0</v>
      </c>
      <c r="CT276" s="209">
        <f t="shared" si="645"/>
        <v>0</v>
      </c>
      <c r="CU276" s="152">
        <f t="shared" si="646"/>
        <v>0</v>
      </c>
      <c r="CV276" s="152">
        <f t="shared" si="647"/>
        <v>0</v>
      </c>
      <c r="CW276" s="212">
        <f t="shared" si="648"/>
        <v>0</v>
      </c>
      <c r="CX276" s="212">
        <f t="shared" si="649"/>
        <v>0</v>
      </c>
      <c r="CY276" s="212">
        <f t="shared" si="650"/>
        <v>0</v>
      </c>
      <c r="CZ276" s="205">
        <f t="shared" si="651"/>
        <v>0</v>
      </c>
      <c r="DA276" s="205">
        <f t="shared" si="652"/>
        <v>0</v>
      </c>
      <c r="DB276" s="282" t="s">
        <v>13905</v>
      </c>
    </row>
    <row r="277" spans="1:106" s="152" customFormat="true">
      <c r="A277" s="154">
        <f t="shared" si="619"/>
        <v>66</v>
      </c>
      <c r="B277" s="161"/>
      <c r="C277" s="154"/>
      <c r="D277" s="154" t="str">
        <f t="shared" si="620"/>
        <v>Amount Drawn (Stocks / Shareholder uses)</v>
      </c>
      <c r="E277" s="149">
        <f t="shared" si="621"/>
        <v>0</v>
      </c>
      <c r="G277" s="152">
        <f t="shared" si="622"/>
        <v>0</v>
      </c>
      <c r="H277" s="152">
        <f t="shared" si="623"/>
        <v>0</v>
      </c>
      <c r="I277" s="152">
        <f t="shared" si="624"/>
        <v>0</v>
      </c>
      <c r="J277" s="152">
        <f t="shared" si="625"/>
        <v>0</v>
      </c>
      <c r="K277" s="152">
        <f t="shared" si="626"/>
        <v>0</v>
      </c>
      <c r="L277" s="205">
        <f t="shared" si="627"/>
        <v>0</v>
      </c>
      <c r="M277" s="152">
        <f t="shared" si="628"/>
        <v>0</v>
      </c>
      <c r="N277" s="152">
        <f t="shared" si="629"/>
        <v>0</v>
      </c>
      <c r="O277" s="205">
        <f t="shared" si="630"/>
        <v>0</v>
      </c>
      <c r="P277" s="152">
        <f t="shared" ref="P277:U277" si="662">ROUND(P160/1000,0)</f>
        <v>0</v>
      </c>
      <c r="Q277" s="152">
        <f t="shared" si="662"/>
        <v>0</v>
      </c>
      <c r="R277" s="152">
        <f t="shared" si="662"/>
        <v>0</v>
      </c>
      <c r="S277" s="152">
        <f t="shared" si="662"/>
        <v>0</v>
      </c>
      <c r="T277" s="152">
        <f t="shared" si="662"/>
        <v>0</v>
      </c>
      <c r="U277" s="152">
        <f t="shared" si="662"/>
        <v>0</v>
      </c>
      <c r="V277" s="153">
        <f t="shared" si="632"/>
        <v>0</v>
      </c>
      <c r="W277" s="152">
        <f t="shared" si="633"/>
        <v>0</v>
      </c>
      <c r="X277" s="152">
        <f t="shared" si="634"/>
        <v>0</v>
      </c>
      <c r="Y277" s="207">
        <f t="shared" si="635"/>
        <v>0</v>
      </c>
      <c r="Z277" s="152">
        <f t="shared" si="636"/>
        <v>0</v>
      </c>
      <c r="AA277" s="152">
        <f t="shared" si="637"/>
        <v>0</v>
      </c>
      <c r="AB277" s="205">
        <f t="shared" si="638"/>
        <v>0</v>
      </c>
      <c r="AC277" s="152">
        <f t="shared" ref="AC277:AK277" si="663">ROUND(AC160/1000,0)</f>
        <v>0</v>
      </c>
      <c r="AD277" s="152">
        <f t="shared" si="663"/>
        <v>0</v>
      </c>
      <c r="AE277" s="152">
        <f t="shared" si="663"/>
        <v>0</v>
      </c>
      <c r="AF277" s="152">
        <f t="shared" si="663"/>
        <v>0</v>
      </c>
      <c r="AG277" s="152">
        <f t="shared" si="663"/>
        <v>0</v>
      </c>
      <c r="AH277" s="152">
        <f t="shared" si="663"/>
        <v>0</v>
      </c>
      <c r="AI277" s="152">
        <f t="shared" si="663"/>
        <v>0</v>
      </c>
      <c r="AJ277" s="152">
        <f t="shared" si="663"/>
        <v>0</v>
      </c>
      <c r="AK277" s="152">
        <f t="shared" si="663"/>
        <v>0</v>
      </c>
      <c r="AL277" s="205">
        <f t="shared" si="640"/>
        <v>0</v>
      </c>
      <c r="AM277" s="152">
        <f t="shared" ref="AM277:CO277" si="664">ROUND(AM160/1000,0)</f>
        <v>0</v>
      </c>
      <c r="AN277" s="152">
        <f t="shared" si="664"/>
        <v>0</v>
      </c>
      <c r="AO277" s="152">
        <f t="shared" si="664"/>
        <v>0</v>
      </c>
      <c r="AP277" s="152">
        <f t="shared" si="664"/>
        <v>0</v>
      </c>
      <c r="AQ277" s="152">
        <f t="shared" si="664"/>
        <v>0</v>
      </c>
      <c r="AR277" s="152">
        <f t="shared" si="664"/>
        <v>0</v>
      </c>
      <c r="AS277" s="152">
        <f t="shared" si="664"/>
        <v>0</v>
      </c>
      <c r="AT277" s="152">
        <f t="shared" si="664"/>
        <v>0</v>
      </c>
      <c r="AU277" s="152">
        <f t="shared" si="664"/>
        <v>0</v>
      </c>
      <c r="AV277" s="152">
        <f t="shared" si="664"/>
        <v>0</v>
      </c>
      <c r="AW277" s="152">
        <f t="shared" si="664"/>
        <v>0</v>
      </c>
      <c r="AX277" s="152">
        <f t="shared" si="664"/>
        <v>0</v>
      </c>
      <c r="AY277" s="152">
        <f t="shared" si="664"/>
        <v>0</v>
      </c>
      <c r="AZ277" s="152">
        <f t="shared" si="664"/>
        <v>0</v>
      </c>
      <c r="BA277" s="152">
        <f t="shared" si="664"/>
        <v>0</v>
      </c>
      <c r="BB277" s="152">
        <f t="shared" si="664"/>
        <v>0</v>
      </c>
      <c r="BC277" s="152">
        <f t="shared" si="664"/>
        <v>0</v>
      </c>
      <c r="BD277" s="152">
        <f t="shared" si="664"/>
        <v>0</v>
      </c>
      <c r="BE277" s="152">
        <f t="shared" si="664"/>
        <v>0</v>
      </c>
      <c r="BF277" s="152">
        <f t="shared" si="664"/>
        <v>0</v>
      </c>
      <c r="BG277" s="152">
        <f t="shared" si="664"/>
        <v>0</v>
      </c>
      <c r="BH277" s="152">
        <f t="shared" si="664"/>
        <v>0</v>
      </c>
      <c r="BI277" s="152">
        <f t="shared" si="664"/>
        <v>0</v>
      </c>
      <c r="BJ277" s="152">
        <f t="shared" si="664"/>
        <v>0</v>
      </c>
      <c r="BK277" s="152">
        <f t="shared" si="664"/>
        <v>0</v>
      </c>
      <c r="BL277" s="152">
        <f t="shared" si="664"/>
        <v>0</v>
      </c>
      <c r="BM277" s="152">
        <f t="shared" si="664"/>
        <v>0</v>
      </c>
      <c r="BN277" s="152">
        <f t="shared" si="664"/>
        <v>0</v>
      </c>
      <c r="BO277" s="152">
        <f t="shared" si="664"/>
        <v>0</v>
      </c>
      <c r="BP277" s="152">
        <f t="shared" si="664"/>
        <v>0</v>
      </c>
      <c r="BQ277" s="152">
        <f t="shared" si="664"/>
        <v>0</v>
      </c>
      <c r="BR277" s="152">
        <f t="shared" si="664"/>
        <v>0</v>
      </c>
      <c r="BS277" s="152">
        <f t="shared" si="664"/>
        <v>0</v>
      </c>
      <c r="BT277" s="152">
        <f t="shared" si="664"/>
        <v>0</v>
      </c>
      <c r="BU277" s="152">
        <f t="shared" si="664"/>
        <v>0</v>
      </c>
      <c r="BV277" s="152">
        <f t="shared" si="664"/>
        <v>0</v>
      </c>
      <c r="BW277" s="152">
        <f t="shared" si="664"/>
        <v>0</v>
      </c>
      <c r="BX277" s="152">
        <f t="shared" si="664"/>
        <v>0</v>
      </c>
      <c r="BY277" s="152">
        <f t="shared" si="664"/>
        <v>0</v>
      </c>
      <c r="BZ277" s="152">
        <f t="shared" si="664"/>
        <v>0</v>
      </c>
      <c r="CA277" s="152">
        <f t="shared" si="664"/>
        <v>0</v>
      </c>
      <c r="CB277" s="152">
        <f t="shared" si="664"/>
        <v>0</v>
      </c>
      <c r="CC277" s="152">
        <f t="shared" si="664"/>
        <v>0</v>
      </c>
      <c r="CD277" s="152">
        <f t="shared" si="664"/>
        <v>0</v>
      </c>
      <c r="CE277" s="152">
        <f t="shared" si="664"/>
        <v>0</v>
      </c>
      <c r="CF277" s="152">
        <f t="shared" si="664"/>
        <v>0</v>
      </c>
      <c r="CG277" s="152">
        <f t="shared" si="664"/>
        <v>0</v>
      </c>
      <c r="CH277" s="152">
        <f t="shared" si="664"/>
        <v>0</v>
      </c>
      <c r="CI277" s="152">
        <f t="shared" si="664"/>
        <v>0</v>
      </c>
      <c r="CJ277" s="152">
        <f t="shared" si="664"/>
        <v>0</v>
      </c>
      <c r="CK277" s="152">
        <f t="shared" si="664"/>
        <v>0</v>
      </c>
      <c r="CL277" s="152">
        <f t="shared" si="664"/>
        <v>0</v>
      </c>
      <c r="CM277" s="152">
        <f t="shared" si="664"/>
        <v>0</v>
      </c>
      <c r="CN277" s="152">
        <f t="shared" si="664"/>
        <v>0</v>
      </c>
      <c r="CO277" s="152">
        <f t="shared" si="664"/>
        <v>0</v>
      </c>
      <c r="CQ277" s="205">
        <f t="shared" si="642"/>
        <v>0</v>
      </c>
      <c r="CR277" s="205">
        <f t="shared" si="643"/>
        <v>0</v>
      </c>
      <c r="CS277" s="205">
        <f t="shared" si="644"/>
        <v>0</v>
      </c>
      <c r="CT277" s="209">
        <f t="shared" si="645"/>
        <v>0</v>
      </c>
      <c r="CU277" s="152">
        <f t="shared" si="646"/>
        <v>0</v>
      </c>
      <c r="CV277" s="152">
        <f t="shared" si="647"/>
        <v>0</v>
      </c>
      <c r="CW277" s="212">
        <f t="shared" si="648"/>
        <v>0</v>
      </c>
      <c r="CX277" s="212">
        <f t="shared" si="649"/>
        <v>0</v>
      </c>
      <c r="CY277" s="212">
        <f t="shared" si="650"/>
        <v>0</v>
      </c>
      <c r="CZ277" s="205">
        <f t="shared" si="651"/>
        <v>0</v>
      </c>
      <c r="DA277" s="205">
        <f t="shared" si="652"/>
        <v>0</v>
      </c>
      <c r="DB277" s="282"/>
    </row>
    <row r="278" spans="1:106" s="152" customFormat="true">
      <c r="A278" s="154">
        <f t="shared" si="619"/>
        <v>67</v>
      </c>
      <c r="B278" s="161"/>
      <c r="C278" s="154"/>
      <c r="D278" s="154" t="str">
        <f t="shared" si="620"/>
        <v>LOC Available at Period End</v>
      </c>
      <c r="E278" s="267">
        <f t="shared" si="621"/>
        <v>11129</v>
      </c>
      <c r="G278" s="152">
        <f t="shared" si="622"/>
        <v>0</v>
      </c>
      <c r="H278" s="152">
        <f t="shared" si="623"/>
        <v>0</v>
      </c>
      <c r="I278" s="152">
        <f t="shared" si="624"/>
        <v>0</v>
      </c>
      <c r="J278" s="152">
        <f t="shared" si="625"/>
        <v>0</v>
      </c>
      <c r="K278" s="152">
        <f t="shared" si="626"/>
        <v>0</v>
      </c>
      <c r="L278" s="205">
        <f t="shared" si="627"/>
        <v>0</v>
      </c>
      <c r="M278" s="152">
        <f t="shared" si="628"/>
        <v>0</v>
      </c>
      <c r="N278" s="152">
        <f t="shared" si="629"/>
        <v>0</v>
      </c>
      <c r="O278" s="205">
        <f t="shared" si="630"/>
        <v>0</v>
      </c>
      <c r="P278" s="152">
        <f t="shared" ref="P278:U278" si="665">ROUND(P161/1000,0)</f>
        <v>0</v>
      </c>
      <c r="Q278" s="152">
        <f t="shared" si="665"/>
        <v>0</v>
      </c>
      <c r="R278" s="152">
        <f t="shared" si="665"/>
        <v>0</v>
      </c>
      <c r="S278" s="152">
        <f t="shared" si="665"/>
        <v>0</v>
      </c>
      <c r="T278" s="152">
        <f t="shared" si="665"/>
        <v>0</v>
      </c>
      <c r="U278" s="152">
        <f t="shared" si="665"/>
        <v>0</v>
      </c>
      <c r="V278" s="153">
        <f t="shared" si="632"/>
        <v>0</v>
      </c>
      <c r="W278" s="152">
        <f t="shared" si="633"/>
        <v>0</v>
      </c>
      <c r="X278" s="152">
        <f t="shared" si="634"/>
        <v>0</v>
      </c>
      <c r="Y278" s="273">
        <f t="shared" si="635"/>
        <v>0</v>
      </c>
      <c r="Z278" s="152">
        <f t="shared" si="636"/>
        <v>0</v>
      </c>
      <c r="AA278" s="152">
        <f t="shared" si="637"/>
        <v>0</v>
      </c>
      <c r="AB278" s="205">
        <f t="shared" si="638"/>
        <v>0</v>
      </c>
      <c r="AC278" s="152">
        <f t="shared" ref="AC278:AK278" si="666">ROUND(AC161/1000,0)</f>
        <v>0</v>
      </c>
      <c r="AD278" s="152">
        <f t="shared" si="666"/>
        <v>0</v>
      </c>
      <c r="AE278" s="152">
        <f t="shared" si="666"/>
        <v>0</v>
      </c>
      <c r="AF278" s="152">
        <f t="shared" si="666"/>
        <v>0</v>
      </c>
      <c r="AG278" s="152">
        <f t="shared" si="666"/>
        <v>0</v>
      </c>
      <c r="AH278" s="152">
        <f t="shared" si="666"/>
        <v>0</v>
      </c>
      <c r="AI278" s="152">
        <f t="shared" si="666"/>
        <v>0</v>
      </c>
      <c r="AJ278" s="152">
        <f t="shared" si="666"/>
        <v>0</v>
      </c>
      <c r="AK278" s="152">
        <f t="shared" si="666"/>
        <v>0</v>
      </c>
      <c r="AL278" s="205">
        <f t="shared" si="640"/>
        <v>0</v>
      </c>
      <c r="AM278" s="152">
        <f t="shared" ref="AM278:CO278" si="667">ROUND(AM161/1000,0)</f>
        <v>0</v>
      </c>
      <c r="AN278" s="152">
        <f t="shared" si="667"/>
        <v>0</v>
      </c>
      <c r="AO278" s="152">
        <f t="shared" si="667"/>
        <v>0</v>
      </c>
      <c r="AP278" s="152">
        <f t="shared" si="667"/>
        <v>0</v>
      </c>
      <c r="AQ278" s="152">
        <f t="shared" si="667"/>
        <v>0</v>
      </c>
      <c r="AR278" s="152">
        <f t="shared" si="667"/>
        <v>0</v>
      </c>
      <c r="AS278" s="152">
        <f t="shared" si="667"/>
        <v>0</v>
      </c>
      <c r="AT278" s="152">
        <f t="shared" si="667"/>
        <v>0</v>
      </c>
      <c r="AU278" s="152">
        <f t="shared" si="667"/>
        <v>0</v>
      </c>
      <c r="AV278" s="152">
        <f t="shared" si="667"/>
        <v>0</v>
      </c>
      <c r="AW278" s="152">
        <f t="shared" si="667"/>
        <v>0</v>
      </c>
      <c r="AX278" s="152">
        <f t="shared" si="667"/>
        <v>0</v>
      </c>
      <c r="AY278" s="152">
        <f t="shared" si="667"/>
        <v>0</v>
      </c>
      <c r="AZ278" s="152">
        <f t="shared" si="667"/>
        <v>0</v>
      </c>
      <c r="BA278" s="152">
        <f t="shared" si="667"/>
        <v>0</v>
      </c>
      <c r="BB278" s="152">
        <f t="shared" si="667"/>
        <v>0</v>
      </c>
      <c r="BC278" s="152">
        <f t="shared" si="667"/>
        <v>0</v>
      </c>
      <c r="BD278" s="152">
        <f t="shared" si="667"/>
        <v>0</v>
      </c>
      <c r="BE278" s="152">
        <f t="shared" si="667"/>
        <v>0</v>
      </c>
      <c r="BF278" s="152">
        <f t="shared" si="667"/>
        <v>0</v>
      </c>
      <c r="BG278" s="152">
        <f t="shared" si="667"/>
        <v>0</v>
      </c>
      <c r="BH278" s="152">
        <f t="shared" si="667"/>
        <v>0</v>
      </c>
      <c r="BI278" s="152">
        <f t="shared" si="667"/>
        <v>0</v>
      </c>
      <c r="BJ278" s="152">
        <f t="shared" si="667"/>
        <v>0</v>
      </c>
      <c r="BK278" s="152">
        <f t="shared" si="667"/>
        <v>0</v>
      </c>
      <c r="BL278" s="152">
        <f t="shared" si="667"/>
        <v>0</v>
      </c>
      <c r="BM278" s="152">
        <f t="shared" si="667"/>
        <v>0</v>
      </c>
      <c r="BN278" s="152">
        <f t="shared" si="667"/>
        <v>0</v>
      </c>
      <c r="BO278" s="152">
        <f t="shared" si="667"/>
        <v>0</v>
      </c>
      <c r="BP278" s="152">
        <f t="shared" si="667"/>
        <v>0</v>
      </c>
      <c r="BQ278" s="152">
        <f t="shared" si="667"/>
        <v>0</v>
      </c>
      <c r="BR278" s="152">
        <f t="shared" si="667"/>
        <v>0</v>
      </c>
      <c r="BS278" s="152">
        <f t="shared" si="667"/>
        <v>0</v>
      </c>
      <c r="BT278" s="152">
        <f t="shared" si="667"/>
        <v>0</v>
      </c>
      <c r="BU278" s="152">
        <f t="shared" si="667"/>
        <v>0</v>
      </c>
      <c r="BV278" s="152">
        <f t="shared" si="667"/>
        <v>0</v>
      </c>
      <c r="BW278" s="152">
        <f t="shared" si="667"/>
        <v>0</v>
      </c>
      <c r="BX278" s="152">
        <f t="shared" si="667"/>
        <v>0</v>
      </c>
      <c r="BY278" s="152">
        <f t="shared" si="667"/>
        <v>0</v>
      </c>
      <c r="BZ278" s="152">
        <f t="shared" si="667"/>
        <v>0</v>
      </c>
      <c r="CA278" s="152">
        <f t="shared" si="667"/>
        <v>0</v>
      </c>
      <c r="CB278" s="152">
        <f t="shared" si="667"/>
        <v>0</v>
      </c>
      <c r="CC278" s="152">
        <f t="shared" si="667"/>
        <v>0</v>
      </c>
      <c r="CD278" s="152">
        <f t="shared" si="667"/>
        <v>0</v>
      </c>
      <c r="CE278" s="152">
        <f t="shared" si="667"/>
        <v>0</v>
      </c>
      <c r="CF278" s="152">
        <f t="shared" si="667"/>
        <v>0</v>
      </c>
      <c r="CG278" s="152">
        <f t="shared" si="667"/>
        <v>0</v>
      </c>
      <c r="CH278" s="152">
        <f t="shared" si="667"/>
        <v>0</v>
      </c>
      <c r="CI278" s="152">
        <f t="shared" si="667"/>
        <v>0</v>
      </c>
      <c r="CJ278" s="152">
        <f t="shared" si="667"/>
        <v>0</v>
      </c>
      <c r="CK278" s="152">
        <f t="shared" si="667"/>
        <v>0</v>
      </c>
      <c r="CL278" s="152">
        <f t="shared" si="667"/>
        <v>0</v>
      </c>
      <c r="CM278" s="152">
        <f t="shared" si="667"/>
        <v>0</v>
      </c>
      <c r="CN278" s="152">
        <f t="shared" si="667"/>
        <v>0</v>
      </c>
      <c r="CO278" s="152">
        <f t="shared" si="667"/>
        <v>0</v>
      </c>
      <c r="CQ278" s="205">
        <f t="shared" si="642"/>
        <v>0</v>
      </c>
      <c r="CR278" s="205">
        <f t="shared" si="643"/>
        <v>0</v>
      </c>
      <c r="CS278" s="205">
        <f t="shared" si="644"/>
        <v>0</v>
      </c>
      <c r="CT278" s="209">
        <f t="shared" si="645"/>
        <v>0</v>
      </c>
      <c r="CU278" s="152">
        <f t="shared" si="646"/>
        <v>0</v>
      </c>
      <c r="CV278" s="152">
        <f t="shared" si="647"/>
        <v>0</v>
      </c>
      <c r="CW278" s="212">
        <f t="shared" si="648"/>
        <v>0</v>
      </c>
      <c r="CX278" s="212">
        <f t="shared" si="649"/>
        <v>0</v>
      </c>
      <c r="CY278" s="212">
        <f t="shared" si="650"/>
        <v>0</v>
      </c>
      <c r="CZ278" s="205">
        <f t="shared" si="651"/>
        <v>0</v>
      </c>
      <c r="DA278" s="205">
        <f t="shared" si="652"/>
        <v>0</v>
      </c>
      <c r="DB278" s="282"/>
    </row>
    <row r="279" spans="1:106" s="152" customFormat="true">
      <c r="A279" s="154">
        <f t="shared" si="619"/>
        <v>68</v>
      </c>
      <c r="B279" s="161"/>
      <c r="C279" s="154"/>
      <c r="D279" s="154" t="str">
        <f t="shared" si="620"/>
        <v>LOC Incr/Decr</v>
      </c>
      <c r="E279" s="267">
        <f t="shared" si="621"/>
        <v>2635</v>
      </c>
      <c r="G279" s="152">
        <f t="shared" si="622"/>
        <v>0</v>
      </c>
      <c r="H279" s="152">
        <f t="shared" si="623"/>
        <v>0</v>
      </c>
      <c r="I279" s="152">
        <f t="shared" si="624"/>
        <v>0</v>
      </c>
      <c r="J279" s="152">
        <f t="shared" si="625"/>
        <v>0</v>
      </c>
      <c r="K279" s="152">
        <f t="shared" si="626"/>
        <v>0</v>
      </c>
      <c r="L279" s="205">
        <f t="shared" si="627"/>
        <v>0</v>
      </c>
      <c r="M279" s="152">
        <f t="shared" si="628"/>
        <v>0</v>
      </c>
      <c r="N279" s="152">
        <f t="shared" si="629"/>
        <v>0</v>
      </c>
      <c r="O279" s="205">
        <f t="shared" si="630"/>
        <v>0</v>
      </c>
      <c r="P279" s="152">
        <f t="shared" ref="P279:U279" si="668">ROUND(P162/1000,0)</f>
        <v>0</v>
      </c>
      <c r="Q279" s="152">
        <f t="shared" si="668"/>
        <v>0</v>
      </c>
      <c r="R279" s="152">
        <f t="shared" si="668"/>
        <v>0</v>
      </c>
      <c r="S279" s="152">
        <f t="shared" si="668"/>
        <v>0</v>
      </c>
      <c r="T279" s="152">
        <f t="shared" si="668"/>
        <v>0</v>
      </c>
      <c r="U279" s="152">
        <f t="shared" si="668"/>
        <v>0</v>
      </c>
      <c r="V279" s="153">
        <f t="shared" si="632"/>
        <v>0</v>
      </c>
      <c r="W279" s="152">
        <f t="shared" si="633"/>
        <v>0</v>
      </c>
      <c r="X279" s="152">
        <f t="shared" si="634"/>
        <v>0</v>
      </c>
      <c r="Y279" s="207">
        <f t="shared" si="635"/>
        <v>0</v>
      </c>
      <c r="Z279" s="152">
        <f t="shared" si="636"/>
        <v>0</v>
      </c>
      <c r="AA279" s="152">
        <f t="shared" si="637"/>
        <v>0</v>
      </c>
      <c r="AB279" s="205">
        <f t="shared" si="638"/>
        <v>0</v>
      </c>
      <c r="AC279" s="152">
        <f t="shared" ref="AC279:AK279" si="669">ROUND(AC162/1000,0)</f>
        <v>0</v>
      </c>
      <c r="AD279" s="152">
        <f t="shared" si="669"/>
        <v>0</v>
      </c>
      <c r="AE279" s="152">
        <f t="shared" si="669"/>
        <v>0</v>
      </c>
      <c r="AF279" s="152">
        <f t="shared" si="669"/>
        <v>0</v>
      </c>
      <c r="AG279" s="152">
        <f t="shared" si="669"/>
        <v>0</v>
      </c>
      <c r="AH279" s="152">
        <f t="shared" si="669"/>
        <v>0</v>
      </c>
      <c r="AI279" s="152">
        <f t="shared" si="669"/>
        <v>0</v>
      </c>
      <c r="AJ279" s="152">
        <f t="shared" si="669"/>
        <v>0</v>
      </c>
      <c r="AK279" s="152">
        <f t="shared" si="669"/>
        <v>0</v>
      </c>
      <c r="AL279" s="205">
        <f t="shared" si="640"/>
        <v>0</v>
      </c>
      <c r="AM279" s="152">
        <f t="shared" ref="AM279:CO279" si="670">ROUND(AM162/1000,0)</f>
        <v>0</v>
      </c>
      <c r="AN279" s="152">
        <f t="shared" si="670"/>
        <v>0</v>
      </c>
      <c r="AO279" s="152">
        <f t="shared" si="670"/>
        <v>0</v>
      </c>
      <c r="AP279" s="152">
        <f t="shared" si="670"/>
        <v>0</v>
      </c>
      <c r="AQ279" s="152">
        <f t="shared" si="670"/>
        <v>0</v>
      </c>
      <c r="AR279" s="152">
        <f t="shared" si="670"/>
        <v>0</v>
      </c>
      <c r="AS279" s="152">
        <f t="shared" si="670"/>
        <v>0</v>
      </c>
      <c r="AT279" s="152">
        <f t="shared" si="670"/>
        <v>0</v>
      </c>
      <c r="AU279" s="152">
        <f t="shared" si="670"/>
        <v>0</v>
      </c>
      <c r="AV279" s="152">
        <f t="shared" si="670"/>
        <v>0</v>
      </c>
      <c r="AW279" s="152">
        <f t="shared" si="670"/>
        <v>0</v>
      </c>
      <c r="AX279" s="152">
        <f t="shared" si="670"/>
        <v>0</v>
      </c>
      <c r="AY279" s="152">
        <f t="shared" si="670"/>
        <v>0</v>
      </c>
      <c r="AZ279" s="152">
        <f t="shared" si="670"/>
        <v>0</v>
      </c>
      <c r="BA279" s="152">
        <f t="shared" si="670"/>
        <v>0</v>
      </c>
      <c r="BB279" s="152">
        <f t="shared" si="670"/>
        <v>0</v>
      </c>
      <c r="BC279" s="152">
        <f t="shared" si="670"/>
        <v>0</v>
      </c>
      <c r="BD279" s="152">
        <f t="shared" si="670"/>
        <v>0</v>
      </c>
      <c r="BE279" s="152">
        <f t="shared" si="670"/>
        <v>0</v>
      </c>
      <c r="BF279" s="152">
        <f t="shared" si="670"/>
        <v>0</v>
      </c>
      <c r="BG279" s="152">
        <f t="shared" si="670"/>
        <v>0</v>
      </c>
      <c r="BH279" s="152">
        <f t="shared" si="670"/>
        <v>0</v>
      </c>
      <c r="BI279" s="152">
        <f t="shared" si="670"/>
        <v>0</v>
      </c>
      <c r="BJ279" s="152">
        <f t="shared" si="670"/>
        <v>0</v>
      </c>
      <c r="BK279" s="152">
        <f t="shared" si="670"/>
        <v>0</v>
      </c>
      <c r="BL279" s="152">
        <f t="shared" si="670"/>
        <v>0</v>
      </c>
      <c r="BM279" s="152">
        <f t="shared" si="670"/>
        <v>0</v>
      </c>
      <c r="BN279" s="152">
        <f t="shared" si="670"/>
        <v>0</v>
      </c>
      <c r="BO279" s="152">
        <f t="shared" si="670"/>
        <v>0</v>
      </c>
      <c r="BP279" s="152">
        <f t="shared" si="670"/>
        <v>0</v>
      </c>
      <c r="BQ279" s="152">
        <f t="shared" si="670"/>
        <v>0</v>
      </c>
      <c r="BR279" s="152">
        <f t="shared" si="670"/>
        <v>0</v>
      </c>
      <c r="BS279" s="152">
        <f t="shared" si="670"/>
        <v>0</v>
      </c>
      <c r="BT279" s="152">
        <f t="shared" si="670"/>
        <v>0</v>
      </c>
      <c r="BU279" s="152">
        <f t="shared" si="670"/>
        <v>0</v>
      </c>
      <c r="BV279" s="152">
        <f t="shared" si="670"/>
        <v>0</v>
      </c>
      <c r="BW279" s="152">
        <f t="shared" si="670"/>
        <v>0</v>
      </c>
      <c r="BX279" s="152">
        <f t="shared" si="670"/>
        <v>0</v>
      </c>
      <c r="BY279" s="152">
        <f t="shared" si="670"/>
        <v>0</v>
      </c>
      <c r="BZ279" s="152">
        <f t="shared" si="670"/>
        <v>0</v>
      </c>
      <c r="CA279" s="152">
        <f t="shared" si="670"/>
        <v>0</v>
      </c>
      <c r="CB279" s="152">
        <f t="shared" si="670"/>
        <v>0</v>
      </c>
      <c r="CC279" s="152">
        <f t="shared" si="670"/>
        <v>0</v>
      </c>
      <c r="CD279" s="152">
        <f t="shared" si="670"/>
        <v>0</v>
      </c>
      <c r="CE279" s="152">
        <f t="shared" si="670"/>
        <v>0</v>
      </c>
      <c r="CF279" s="152">
        <f t="shared" si="670"/>
        <v>0</v>
      </c>
      <c r="CG279" s="152">
        <f t="shared" si="670"/>
        <v>0</v>
      </c>
      <c r="CH279" s="152">
        <f t="shared" si="670"/>
        <v>0</v>
      </c>
      <c r="CI279" s="152">
        <f t="shared" si="670"/>
        <v>0</v>
      </c>
      <c r="CJ279" s="152">
        <f t="shared" si="670"/>
        <v>0</v>
      </c>
      <c r="CK279" s="152">
        <f t="shared" si="670"/>
        <v>0</v>
      </c>
      <c r="CL279" s="152">
        <f t="shared" si="670"/>
        <v>0</v>
      </c>
      <c r="CM279" s="152">
        <f t="shared" si="670"/>
        <v>0</v>
      </c>
      <c r="CN279" s="152">
        <f t="shared" si="670"/>
        <v>0</v>
      </c>
      <c r="CO279" s="152">
        <f t="shared" si="670"/>
        <v>0</v>
      </c>
      <c r="CQ279" s="205">
        <f t="shared" si="642"/>
        <v>0</v>
      </c>
      <c r="CR279" s="205">
        <f t="shared" si="643"/>
        <v>0</v>
      </c>
      <c r="CS279" s="205">
        <f t="shared" si="644"/>
        <v>0</v>
      </c>
      <c r="CT279" s="209">
        <f t="shared" si="645"/>
        <v>0</v>
      </c>
      <c r="CU279" s="152">
        <f t="shared" si="646"/>
        <v>0</v>
      </c>
      <c r="CV279" s="152">
        <f t="shared" si="647"/>
        <v>0</v>
      </c>
      <c r="CW279" s="212">
        <f t="shared" si="648"/>
        <v>0</v>
      </c>
      <c r="CX279" s="212">
        <f t="shared" si="649"/>
        <v>0</v>
      </c>
      <c r="CY279" s="212">
        <f t="shared" si="650"/>
        <v>0</v>
      </c>
      <c r="CZ279" s="205">
        <f t="shared" si="651"/>
        <v>0</v>
      </c>
      <c r="DA279" s="205">
        <f t="shared" si="652"/>
        <v>0</v>
      </c>
      <c r="DB279" s="282"/>
    </row>
    <row r="280" spans="1:106" s="153" customFormat="true">
      <c r="A280" s="154"/>
      <c r="B280" s="161">
        <f>B276+1</f>
        <v>5</v>
      </c>
      <c r="C280" s="154"/>
      <c r="D280" s="154" t="str">
        <f t="shared" si="620"/>
      </c>
      <c r="E280" s="149"/>
      <c r="F280" s="152"/>
      <c r="G280" s="152">
        <f t="shared" si="622"/>
        <v>0</v>
      </c>
      <c r="H280" s="152">
        <f t="shared" si="623"/>
        <v>0</v>
      </c>
      <c r="I280" s="152">
        <f t="shared" si="624"/>
        <v>0</v>
      </c>
      <c r="J280" s="152">
        <f t="shared" si="625"/>
        <v>0</v>
      </c>
      <c r="K280" s="152">
        <f t="shared" si="626"/>
        <v>0</v>
      </c>
      <c r="L280" s="205">
        <f t="shared" si="627"/>
        <v>0</v>
      </c>
      <c r="M280" s="152">
        <f t="shared" si="628"/>
        <v>0</v>
      </c>
      <c r="N280" s="152">
        <f t="shared" si="629"/>
        <v>0</v>
      </c>
      <c r="O280" s="205">
        <f t="shared" si="630"/>
        <v>0</v>
      </c>
      <c r="P280" s="152">
        <f t="shared" ref="P280:U280" si="671">ROUND(P163/1000,0)</f>
        <v>0</v>
      </c>
      <c r="Q280" s="152">
        <f t="shared" si="671"/>
        <v>0</v>
      </c>
      <c r="R280" s="152">
        <f t="shared" si="671"/>
        <v>0</v>
      </c>
      <c r="S280" s="152">
        <f t="shared" si="671"/>
        <v>0</v>
      </c>
      <c r="T280" s="152">
        <f t="shared" si="671"/>
        <v>0</v>
      </c>
      <c r="U280" s="152">
        <f t="shared" si="671"/>
        <v>0</v>
      </c>
      <c r="V280" s="153">
        <f t="shared" si="632"/>
        <v>0</v>
      </c>
      <c r="W280" s="152">
        <f t="shared" si="633"/>
        <v>0</v>
      </c>
      <c r="X280" s="152">
        <f t="shared" si="634"/>
        <v>0</v>
      </c>
      <c r="Y280" s="273">
        <f t="shared" si="635"/>
        <v>0</v>
      </c>
      <c r="Z280" s="152">
        <f t="shared" si="636"/>
        <v>0</v>
      </c>
      <c r="AA280" s="152">
        <f t="shared" si="637"/>
        <v>0</v>
      </c>
      <c r="AB280" s="205">
        <f t="shared" si="638"/>
        <v>0</v>
      </c>
      <c r="AC280" s="152">
        <f t="shared" ref="AC280:AK280" si="672">ROUND(AC163/1000,0)</f>
        <v>0</v>
      </c>
      <c r="AD280" s="152">
        <f t="shared" si="672"/>
        <v>0</v>
      </c>
      <c r="AE280" s="152">
        <f t="shared" si="672"/>
        <v>0</v>
      </c>
      <c r="AF280" s="152">
        <f t="shared" si="672"/>
        <v>0</v>
      </c>
      <c r="AG280" s="152">
        <f t="shared" si="672"/>
        <v>0</v>
      </c>
      <c r="AH280" s="152">
        <f t="shared" si="672"/>
        <v>0</v>
      </c>
      <c r="AI280" s="152">
        <f t="shared" si="672"/>
        <v>0</v>
      </c>
      <c r="AJ280" s="152">
        <f t="shared" si="672"/>
        <v>0</v>
      </c>
      <c r="AK280" s="152">
        <f t="shared" si="672"/>
        <v>0</v>
      </c>
      <c r="AL280" s="205">
        <f t="shared" si="640"/>
        <v>0</v>
      </c>
      <c r="AM280" s="152">
        <f t="shared" ref="AM280:CO280" si="673">ROUND(AM163/1000,0)</f>
        <v>0</v>
      </c>
      <c r="AN280" s="152">
        <f t="shared" si="673"/>
        <v>0</v>
      </c>
      <c r="AO280" s="152">
        <f t="shared" si="673"/>
        <v>0</v>
      </c>
      <c r="AP280" s="152">
        <f t="shared" si="673"/>
        <v>0</v>
      </c>
      <c r="AQ280" s="152">
        <f t="shared" si="673"/>
        <v>0</v>
      </c>
      <c r="AR280" s="152">
        <f t="shared" si="673"/>
        <v>0</v>
      </c>
      <c r="AS280" s="152">
        <f t="shared" si="673"/>
        <v>0</v>
      </c>
      <c r="AT280" s="152">
        <f t="shared" si="673"/>
        <v>0</v>
      </c>
      <c r="AU280" s="152">
        <f t="shared" si="673"/>
        <v>0</v>
      </c>
      <c r="AV280" s="152">
        <f t="shared" si="673"/>
        <v>0</v>
      </c>
      <c r="AW280" s="152">
        <f t="shared" si="673"/>
        <v>0</v>
      </c>
      <c r="AX280" s="152">
        <f t="shared" si="673"/>
        <v>0</v>
      </c>
      <c r="AY280" s="152">
        <f t="shared" si="673"/>
        <v>0</v>
      </c>
      <c r="AZ280" s="152">
        <f t="shared" si="673"/>
        <v>0</v>
      </c>
      <c r="BA280" s="152">
        <f t="shared" si="673"/>
        <v>0</v>
      </c>
      <c r="BB280" s="152">
        <f t="shared" si="673"/>
        <v>0</v>
      </c>
      <c r="BC280" s="152">
        <f t="shared" si="673"/>
        <v>0</v>
      </c>
      <c r="BD280" s="152">
        <f t="shared" si="673"/>
        <v>0</v>
      </c>
      <c r="BE280" s="152">
        <f t="shared" si="673"/>
        <v>0</v>
      </c>
      <c r="BF280" s="152">
        <f t="shared" si="673"/>
        <v>0</v>
      </c>
      <c r="BG280" s="152">
        <f t="shared" si="673"/>
        <v>0</v>
      </c>
      <c r="BH280" s="152">
        <f t="shared" si="673"/>
        <v>0</v>
      </c>
      <c r="BI280" s="152">
        <f t="shared" si="673"/>
        <v>0</v>
      </c>
      <c r="BJ280" s="152">
        <f t="shared" si="673"/>
        <v>0</v>
      </c>
      <c r="BK280" s="152">
        <f t="shared" si="673"/>
        <v>0</v>
      </c>
      <c r="BL280" s="152">
        <f t="shared" si="673"/>
        <v>0</v>
      </c>
      <c r="BM280" s="152">
        <f t="shared" si="673"/>
        <v>0</v>
      </c>
      <c r="BN280" s="152">
        <f t="shared" si="673"/>
        <v>0</v>
      </c>
      <c r="BO280" s="152">
        <f t="shared" si="673"/>
        <v>0</v>
      </c>
      <c r="BP280" s="152">
        <f t="shared" si="673"/>
        <v>0</v>
      </c>
      <c r="BQ280" s="152">
        <f t="shared" si="673"/>
        <v>0</v>
      </c>
      <c r="BR280" s="152">
        <f t="shared" si="673"/>
        <v>0</v>
      </c>
      <c r="BS280" s="152">
        <f t="shared" si="673"/>
        <v>0</v>
      </c>
      <c r="BT280" s="152">
        <f t="shared" si="673"/>
        <v>0</v>
      </c>
      <c r="BU280" s="152">
        <f t="shared" si="673"/>
        <v>0</v>
      </c>
      <c r="BV280" s="152">
        <f t="shared" si="673"/>
        <v>0</v>
      </c>
      <c r="BW280" s="152">
        <f t="shared" si="673"/>
        <v>0</v>
      </c>
      <c r="BX280" s="152">
        <f t="shared" si="673"/>
        <v>0</v>
      </c>
      <c r="BY280" s="152">
        <f t="shared" si="673"/>
        <v>0</v>
      </c>
      <c r="BZ280" s="152">
        <f t="shared" si="673"/>
        <v>0</v>
      </c>
      <c r="CA280" s="152">
        <f t="shared" si="673"/>
        <v>0</v>
      </c>
      <c r="CB280" s="152">
        <f t="shared" si="673"/>
        <v>0</v>
      </c>
      <c r="CC280" s="152">
        <f t="shared" si="673"/>
        <v>0</v>
      </c>
      <c r="CD280" s="152">
        <f t="shared" si="673"/>
        <v>0</v>
      </c>
      <c r="CE280" s="152">
        <f t="shared" si="673"/>
        <v>0</v>
      </c>
      <c r="CF280" s="152">
        <f t="shared" si="673"/>
        <v>0</v>
      </c>
      <c r="CG280" s="152">
        <f t="shared" si="673"/>
        <v>0</v>
      </c>
      <c r="CH280" s="152">
        <f t="shared" si="673"/>
        <v>0</v>
      </c>
      <c r="CI280" s="152">
        <f t="shared" si="673"/>
        <v>0</v>
      </c>
      <c r="CJ280" s="152">
        <f t="shared" si="673"/>
        <v>0</v>
      </c>
      <c r="CK280" s="152">
        <f t="shared" si="673"/>
        <v>0</v>
      </c>
      <c r="CL280" s="152">
        <f t="shared" si="673"/>
        <v>0</v>
      </c>
      <c r="CM280" s="152">
        <f t="shared" si="673"/>
        <v>0</v>
      </c>
      <c r="CN280" s="152">
        <f t="shared" si="673"/>
        <v>0</v>
      </c>
      <c r="CO280" s="152">
        <f t="shared" si="673"/>
        <v>0</v>
      </c>
      <c r="CP280" s="152"/>
      <c r="CQ280" s="205">
        <f t="shared" si="642"/>
        <v>0</v>
      </c>
      <c r="CR280" s="205">
        <f t="shared" si="643"/>
        <v>0</v>
      </c>
      <c r="CS280" s="205">
        <f t="shared" si="644"/>
        <v>0</v>
      </c>
      <c r="CT280" s="209">
        <f t="shared" si="645"/>
        <v>0</v>
      </c>
      <c r="CU280" s="152">
        <f t="shared" si="646"/>
        <v>0</v>
      </c>
      <c r="CV280" s="152">
        <f t="shared" si="647"/>
        <v>0</v>
      </c>
      <c r="CW280" s="212">
        <f t="shared" si="648"/>
        <v>0</v>
      </c>
      <c r="CX280" s="212">
        <f t="shared" si="649"/>
        <v>0</v>
      </c>
      <c r="CY280" s="212">
        <f t="shared" si="650"/>
        <v>0</v>
      </c>
      <c r="CZ280" s="205">
        <f t="shared" si="651"/>
        <v>0</v>
      </c>
      <c r="DA280" s="205">
        <f t="shared" si="652"/>
        <v>0</v>
      </c>
      <c r="DB280" s="260" t="s">
        <v>13906</v>
      </c>
    </row>
    <row r="281" spans="1:106" s="152" customFormat="true">
      <c r="A281" s="154">
        <f t="shared" ref="A281:A286" si="674">MAX(A277:A280)+1</f>
        <v>69</v>
      </c>
      <c r="B281" s="197">
        <f>B280+1</f>
        <v>6</v>
      </c>
      <c r="C281" s="196"/>
      <c r="D281" s="196" t="str">
        <f t="shared" si="620"/>
        <v>Beginning Bank Cash Balance (Operating)</v>
      </c>
      <c r="E281" s="202" t="e">
        <f ca="true">+F281+CS281+CZ281+DA281</f>
        <v>#REF!</v>
      </c>
      <c r="F281" s="203" t="e">
        <f ca="true">SUM(G281:K281,M281:N281,P281:U281,W281:X281,Z281:AA281,AC281:AK281,AM281:CP281)</f>
        <v>#REF!</v>
      </c>
      <c r="G281" s="215" t="e">
        <f t="shared" ca="true" si="622"/>
        <v>#REF!</v>
      </c>
      <c r="H281" s="215" t="e">
        <f t="shared" ca="true" si="623"/>
        <v>#REF!</v>
      </c>
      <c r="I281" s="215" t="e">
        <f t="shared" ca="true" si="624"/>
        <v>#REF!</v>
      </c>
      <c r="J281" s="215" t="e">
        <f t="shared" ca="true" si="625"/>
        <v>#REF!</v>
      </c>
      <c r="K281" s="215" t="e">
        <f t="shared" ca="true" si="626"/>
        <v>#REF!</v>
      </c>
      <c r="L281" s="207" t="e">
        <f t="shared" ca="true" si="627"/>
        <v>#REF!</v>
      </c>
      <c r="M281" s="215" t="e">
        <f t="shared" ca="true" si="628"/>
        <v>#REF!</v>
      </c>
      <c r="N281" s="215" t="e">
        <f t="shared" ca="true" si="629"/>
        <v>#REF!</v>
      </c>
      <c r="O281" s="207" t="e">
        <f t="shared" ca="true" si="630"/>
        <v>#REF!</v>
      </c>
      <c r="P281" s="215" t="e">
        <f t="shared" ref="P281:U281" ca="true" si="675">ROUND(P164/1000,0)</f>
        <v>#REF!</v>
      </c>
      <c r="Q281" s="215" t="e">
        <f t="shared" ca="true" si="675"/>
        <v>#REF!</v>
      </c>
      <c r="R281" s="215" t="e">
        <f t="shared" ca="true" si="675"/>
        <v>#REF!</v>
      </c>
      <c r="S281" s="215" t="e">
        <f t="shared" ca="true" si="675"/>
        <v>#REF!</v>
      </c>
      <c r="T281" s="215" t="e">
        <f t="shared" ca="true" si="675"/>
        <v>#REF!</v>
      </c>
      <c r="U281" s="215" t="e">
        <f t="shared" ca="true" si="675"/>
        <v>#REF!</v>
      </c>
      <c r="V281" s="203" t="e">
        <f t="shared" ca="true" si="632"/>
        <v>#REF!</v>
      </c>
      <c r="W281" s="215" t="e">
        <f t="shared" ca="true" si="633"/>
        <v>#REF!</v>
      </c>
      <c r="X281" s="215" t="e">
        <f t="shared" ca="true" si="634"/>
        <v>#REF!</v>
      </c>
      <c r="Y281" s="215" t="e">
        <f t="shared" ca="true" si="635"/>
        <v>#REF!</v>
      </c>
      <c r="Z281" s="215" t="e">
        <f t="shared" ca="true" si="636"/>
        <v>#REF!</v>
      </c>
      <c r="AA281" s="215" t="e">
        <f t="shared" ca="true" si="637"/>
        <v>#REF!</v>
      </c>
      <c r="AB281" s="207" t="e">
        <f t="shared" ca="true" si="638"/>
        <v>#REF!</v>
      </c>
      <c r="AC281" s="215" t="e">
        <f t="shared" ref="AC281:AK281" ca="true" si="676">ROUND(AC164/1000,0)</f>
        <v>#REF!</v>
      </c>
      <c r="AD281" s="215" t="e">
        <f t="shared" ca="true" si="676"/>
        <v>#REF!</v>
      </c>
      <c r="AE281" s="215" t="e">
        <f t="shared" ca="true" si="676"/>
        <v>#REF!</v>
      </c>
      <c r="AF281" s="215" t="e">
        <f t="shared" ca="true" si="676"/>
        <v>#REF!</v>
      </c>
      <c r="AG281" s="215" t="e">
        <f t="shared" ca="true" si="676"/>
        <v>#REF!</v>
      </c>
      <c r="AH281" s="215" t="e">
        <f t="shared" ca="true" si="676"/>
        <v>#REF!</v>
      </c>
      <c r="AI281" s="215" t="e">
        <f t="shared" ca="true" si="676"/>
        <v>#REF!</v>
      </c>
      <c r="AJ281" s="215" t="e">
        <f t="shared" ca="true" si="676"/>
        <v>#REF!</v>
      </c>
      <c r="AK281" s="215" t="e">
        <f t="shared" ca="true" si="676"/>
        <v>#REF!</v>
      </c>
      <c r="AL281" s="207" t="e">
        <f t="shared" ca="true" si="640"/>
        <v>#REF!</v>
      </c>
      <c r="AM281" s="215" t="e">
        <f t="shared" ref="AM281:CO281" ca="true" si="677">ROUND(AM164/1000,0)</f>
        <v>#REF!</v>
      </c>
      <c r="AN281" s="215" t="e">
        <f t="shared" ca="true" si="677"/>
        <v>#REF!</v>
      </c>
      <c r="AO281" s="215" t="e">
        <f t="shared" ca="true" si="677"/>
        <v>#REF!</v>
      </c>
      <c r="AP281" s="215" t="e">
        <f t="shared" ca="true" si="677"/>
        <v>#REF!</v>
      </c>
      <c r="AQ281" s="215" t="e">
        <f t="shared" ca="true" si="677"/>
        <v>#REF!</v>
      </c>
      <c r="AR281" s="215" t="e">
        <f t="shared" ca="true" si="677"/>
        <v>#REF!</v>
      </c>
      <c r="AS281" s="215" t="e">
        <f t="shared" ca="true" si="677"/>
        <v>#REF!</v>
      </c>
      <c r="AT281" s="215" t="e">
        <f t="shared" ca="true" si="677"/>
        <v>#REF!</v>
      </c>
      <c r="AU281" s="215" t="e">
        <f t="shared" ca="true" si="677"/>
        <v>#REF!</v>
      </c>
      <c r="AV281" s="215" t="e">
        <f t="shared" ca="true" si="677"/>
        <v>#REF!</v>
      </c>
      <c r="AW281" s="215" t="e">
        <f t="shared" ca="true" si="677"/>
        <v>#REF!</v>
      </c>
      <c r="AX281" s="215" t="e">
        <f t="shared" ca="true" si="677"/>
        <v>#REF!</v>
      </c>
      <c r="AY281" s="215" t="e">
        <f t="shared" ca="true" si="677"/>
        <v>#REF!</v>
      </c>
      <c r="AZ281" s="215" t="e">
        <f t="shared" ca="true" si="677"/>
        <v>#REF!</v>
      </c>
      <c r="BA281" s="215" t="e">
        <f t="shared" ca="true" si="677"/>
        <v>#REF!</v>
      </c>
      <c r="BB281" s="215" t="e">
        <f t="shared" ca="true" si="677"/>
        <v>#REF!</v>
      </c>
      <c r="BC281" s="215" t="e">
        <f t="shared" ca="true" si="677"/>
        <v>#REF!</v>
      </c>
      <c r="BD281" s="215" t="e">
        <f t="shared" ca="true" si="677"/>
        <v>#REF!</v>
      </c>
      <c r="BE281" s="215" t="e">
        <f t="shared" ca="true" si="677"/>
        <v>#REF!</v>
      </c>
      <c r="BF281" s="215" t="e">
        <f t="shared" ca="true" si="677"/>
        <v>#REF!</v>
      </c>
      <c r="BG281" s="215" t="e">
        <f t="shared" ca="true" si="677"/>
        <v>#REF!</v>
      </c>
      <c r="BH281" s="215" t="e">
        <f t="shared" ca="true" si="677"/>
        <v>#REF!</v>
      </c>
      <c r="BI281" s="215" t="e">
        <f t="shared" ca="true" si="677"/>
        <v>#REF!</v>
      </c>
      <c r="BJ281" s="215" t="e">
        <f t="shared" ca="true" si="677"/>
        <v>#REF!</v>
      </c>
      <c r="BK281" s="215" t="e">
        <f t="shared" ca="true" si="677"/>
        <v>#REF!</v>
      </c>
      <c r="BL281" s="215" t="e">
        <f t="shared" ca="true" si="677"/>
        <v>#REF!</v>
      </c>
      <c r="BM281" s="215" t="e">
        <f t="shared" ca="true" si="677"/>
        <v>#REF!</v>
      </c>
      <c r="BN281" s="215" t="e">
        <f t="shared" ca="true" si="677"/>
        <v>#REF!</v>
      </c>
      <c r="BO281" s="215" t="e">
        <f t="shared" ca="true" si="677"/>
        <v>#REF!</v>
      </c>
      <c r="BP281" s="215" t="e">
        <f t="shared" ca="true" si="677"/>
        <v>#REF!</v>
      </c>
      <c r="BQ281" s="215" t="e">
        <f t="shared" ca="true" si="677"/>
        <v>#REF!</v>
      </c>
      <c r="BR281" s="215" t="e">
        <f t="shared" ca="true" si="677"/>
        <v>#REF!</v>
      </c>
      <c r="BS281" s="215" t="e">
        <f t="shared" ca="true" si="677"/>
        <v>#REF!</v>
      </c>
      <c r="BT281" s="215" t="e">
        <f t="shared" ca="true" si="677"/>
        <v>#REF!</v>
      </c>
      <c r="BU281" s="215" t="e">
        <f t="shared" ca="true" si="677"/>
        <v>#REF!</v>
      </c>
      <c r="BV281" s="215" t="e">
        <f t="shared" ca="true" si="677"/>
        <v>#REF!</v>
      </c>
      <c r="BW281" s="215" t="e">
        <f t="shared" ca="true" si="677"/>
        <v>#REF!</v>
      </c>
      <c r="BX281" s="215" t="e">
        <f t="shared" ca="true" si="677"/>
        <v>#REF!</v>
      </c>
      <c r="BY281" s="215" t="e">
        <f t="shared" ca="true" si="677"/>
        <v>#REF!</v>
      </c>
      <c r="BZ281" s="215" t="e">
        <f t="shared" ca="true" si="677"/>
        <v>#REF!</v>
      </c>
      <c r="CA281" s="215" t="e">
        <f t="shared" ca="true" si="677"/>
        <v>#REF!</v>
      </c>
      <c r="CB281" s="215" t="e">
        <f t="shared" ca="true" si="677"/>
        <v>#REF!</v>
      </c>
      <c r="CC281" s="215" t="e">
        <f t="shared" ca="true" si="677"/>
        <v>#REF!</v>
      </c>
      <c r="CD281" s="215" t="e">
        <f t="shared" ca="true" si="677"/>
        <v>#REF!</v>
      </c>
      <c r="CE281" s="215" t="e">
        <f t="shared" ca="true" si="677"/>
        <v>#REF!</v>
      </c>
      <c r="CF281" s="215" t="e">
        <f t="shared" ca="true" si="677"/>
        <v>#REF!</v>
      </c>
      <c r="CG281" s="215" t="e">
        <f t="shared" ca="true" si="677"/>
        <v>#REF!</v>
      </c>
      <c r="CH281" s="215" t="e">
        <f t="shared" ca="true" si="677"/>
        <v>#REF!</v>
      </c>
      <c r="CI281" s="215" t="e">
        <f t="shared" ca="true" si="677"/>
        <v>#REF!</v>
      </c>
      <c r="CJ281" s="215" t="e">
        <f t="shared" ca="true" si="677"/>
        <v>#REF!</v>
      </c>
      <c r="CK281" s="215" t="e">
        <f t="shared" ca="true" si="677"/>
        <v>#REF!</v>
      </c>
      <c r="CL281" s="215" t="e">
        <f t="shared" ca="true" si="677"/>
        <v>#REF!</v>
      </c>
      <c r="CM281" s="215" t="e">
        <f t="shared" ca="true" si="677"/>
        <v>#REF!</v>
      </c>
      <c r="CN281" s="215" t="e">
        <f t="shared" ca="true" si="677"/>
        <v>#REF!</v>
      </c>
      <c r="CO281" s="215" t="e">
        <f t="shared" ca="true" si="677"/>
        <v>#REF!</v>
      </c>
      <c r="CP281" s="215"/>
      <c r="CQ281" s="207" t="e">
        <f t="shared" ca="true" si="642"/>
        <v>#REF!</v>
      </c>
      <c r="CR281" s="207" t="e">
        <f t="shared" ca="true" si="643"/>
        <v>#REF!</v>
      </c>
      <c r="CS281" s="207" t="e">
        <f t="shared" ca="true" si="644"/>
        <v>#REF!</v>
      </c>
      <c r="CT281" s="276" t="e">
        <f t="shared" ca="true" si="645"/>
        <v>#REF!</v>
      </c>
      <c r="CU281" s="215" t="e">
        <f t="shared" ca="true" si="646"/>
        <v>#REF!</v>
      </c>
      <c r="CV281" s="215" t="e">
        <f t="shared" ca="true" si="647"/>
        <v>#REF!</v>
      </c>
      <c r="CW281" s="279" t="e">
        <f t="shared" ca="true" si="648"/>
        <v>#REF!</v>
      </c>
      <c r="CX281" s="279">
        <f t="shared" ca="true" si="649"/>
        <v>0</v>
      </c>
      <c r="CY281" s="279" t="e">
        <f t="shared" ca="true" si="650"/>
        <v>#REF!</v>
      </c>
      <c r="CZ281" s="207" t="e">
        <f t="shared" ca="true" si="651"/>
        <v>#REF!</v>
      </c>
      <c r="DA281" s="207" t="e">
        <f t="shared" ca="true" si="652"/>
        <v>#REF!</v>
      </c>
      <c r="DB281" s="216" t="s">
        <v>13907</v>
      </c>
    </row>
    <row r="282" spans="1:106" s="152" customFormat="true">
      <c r="A282" s="154">
        <f t="shared" si="674"/>
        <v>70</v>
      </c>
      <c r="B282" s="261"/>
      <c r="C282" s="195"/>
      <c r="D282" s="195" t="str">
        <f t="shared" si="620"/>
        <v>Calculated Ending Bank Cash Balance</v>
      </c>
      <c r="E282" s="264" t="e">
        <f ca="true">+F282+CS282+CZ282+DA282</f>
        <v>#REF!</v>
      </c>
      <c r="F282" s="265" t="e">
        <f ca="true">SUM(G282:K282,M282:N282,P282:U282,W282:X282,Z282:AA282,AC282:AK282,AM282:CP282)</f>
        <v>#REF!</v>
      </c>
      <c r="G282" s="266" t="e">
        <f t="shared" ca="true" si="622"/>
        <v>#REF!</v>
      </c>
      <c r="H282" s="266" t="e">
        <f t="shared" ca="true" si="623"/>
        <v>#REF!</v>
      </c>
      <c r="I282" s="266" t="e">
        <f t="shared" ca="true" si="624"/>
        <v>#REF!</v>
      </c>
      <c r="J282" s="266" t="e">
        <f t="shared" ca="true" si="625"/>
        <v>#REF!</v>
      </c>
      <c r="K282" s="266" t="e">
        <f t="shared" ca="true" si="626"/>
        <v>#REF!</v>
      </c>
      <c r="L282" s="273" t="e">
        <f t="shared" ca="true" si="627"/>
        <v>#REF!</v>
      </c>
      <c r="M282" s="266" t="e">
        <f t="shared" ca="true" si="628"/>
        <v>#REF!</v>
      </c>
      <c r="N282" s="266" t="e">
        <f t="shared" ca="true" si="629"/>
        <v>#REF!</v>
      </c>
      <c r="O282" s="273" t="e">
        <f t="shared" ca="true" si="630"/>
        <v>#REF!</v>
      </c>
      <c r="P282" s="266" t="e">
        <f t="shared" ref="P282:U282" ca="true" si="678">ROUND(P165/1000,0)</f>
        <v>#REF!</v>
      </c>
      <c r="Q282" s="266" t="e">
        <f t="shared" ca="true" si="678"/>
        <v>#REF!</v>
      </c>
      <c r="R282" s="266" t="e">
        <f t="shared" ca="true" si="678"/>
        <v>#REF!</v>
      </c>
      <c r="S282" s="266" t="e">
        <f t="shared" ca="true" si="678"/>
        <v>#REF!</v>
      </c>
      <c r="T282" s="266" t="e">
        <f t="shared" ca="true" si="678"/>
        <v>#REF!</v>
      </c>
      <c r="U282" s="266" t="e">
        <f t="shared" ca="true" si="678"/>
        <v>#REF!</v>
      </c>
      <c r="V282" s="265" t="e">
        <f t="shared" ca="true" si="632"/>
        <v>#REF!</v>
      </c>
      <c r="W282" s="266" t="e">
        <f t="shared" ca="true" si="633"/>
        <v>#REF!</v>
      </c>
      <c r="X282" s="266" t="e">
        <f t="shared" ca="true" si="634"/>
        <v>#REF!</v>
      </c>
      <c r="Y282" s="266" t="e">
        <f t="shared" ca="true" si="635"/>
        <v>#REF!</v>
      </c>
      <c r="Z282" s="266" t="e">
        <f t="shared" ca="true" si="636"/>
        <v>#REF!</v>
      </c>
      <c r="AA282" s="266" t="e">
        <f t="shared" ca="true" si="637"/>
        <v>#REF!</v>
      </c>
      <c r="AB282" s="273" t="e">
        <f t="shared" ca="true" si="638"/>
        <v>#REF!</v>
      </c>
      <c r="AC282" s="266" t="e">
        <f t="shared" ref="AC282:AK282" ca="true" si="679">ROUND(AC165/1000,0)</f>
        <v>#REF!</v>
      </c>
      <c r="AD282" s="266" t="e">
        <f t="shared" ca="true" si="679"/>
        <v>#REF!</v>
      </c>
      <c r="AE282" s="266" t="e">
        <f t="shared" ca="true" si="679"/>
        <v>#REF!</v>
      </c>
      <c r="AF282" s="266" t="e">
        <f t="shared" ca="true" si="679"/>
        <v>#REF!</v>
      </c>
      <c r="AG282" s="266" t="e">
        <f t="shared" ca="true" si="679"/>
        <v>#REF!</v>
      </c>
      <c r="AH282" s="266" t="e">
        <f t="shared" ca="true" si="679"/>
        <v>#REF!</v>
      </c>
      <c r="AI282" s="266" t="e">
        <f t="shared" ca="true" si="679"/>
        <v>#REF!</v>
      </c>
      <c r="AJ282" s="266" t="e">
        <f t="shared" ca="true" si="679"/>
        <v>#REF!</v>
      </c>
      <c r="AK282" s="266" t="e">
        <f t="shared" ca="true" si="679"/>
        <v>#REF!</v>
      </c>
      <c r="AL282" s="273" t="e">
        <f t="shared" ca="true" si="640"/>
        <v>#REF!</v>
      </c>
      <c r="AM282" s="266" t="e">
        <f t="shared" ref="AM282:CO282" ca="true" si="680">ROUND(AM165/1000,0)</f>
        <v>#REF!</v>
      </c>
      <c r="AN282" s="266" t="e">
        <f t="shared" ca="true" si="680"/>
        <v>#REF!</v>
      </c>
      <c r="AO282" s="266" t="e">
        <f t="shared" ca="true" si="680"/>
        <v>#REF!</v>
      </c>
      <c r="AP282" s="266" t="e">
        <f t="shared" ca="true" si="680"/>
        <v>#REF!</v>
      </c>
      <c r="AQ282" s="266" t="e">
        <f t="shared" ca="true" si="680"/>
        <v>#REF!</v>
      </c>
      <c r="AR282" s="266" t="e">
        <f t="shared" ca="true" si="680"/>
        <v>#REF!</v>
      </c>
      <c r="AS282" s="266" t="e">
        <f t="shared" ca="true" si="680"/>
        <v>#REF!</v>
      </c>
      <c r="AT282" s="266" t="e">
        <f t="shared" ca="true" si="680"/>
        <v>#REF!</v>
      </c>
      <c r="AU282" s="266" t="e">
        <f t="shared" ca="true" si="680"/>
        <v>#REF!</v>
      </c>
      <c r="AV282" s="266" t="e">
        <f t="shared" ca="true" si="680"/>
        <v>#REF!</v>
      </c>
      <c r="AW282" s="266" t="e">
        <f t="shared" ca="true" si="680"/>
        <v>#REF!</v>
      </c>
      <c r="AX282" s="266" t="e">
        <f t="shared" ca="true" si="680"/>
        <v>#REF!</v>
      </c>
      <c r="AY282" s="266" t="e">
        <f t="shared" ca="true" si="680"/>
        <v>#REF!</v>
      </c>
      <c r="AZ282" s="266" t="e">
        <f t="shared" ca="true" si="680"/>
        <v>#REF!</v>
      </c>
      <c r="BA282" s="266" t="e">
        <f t="shared" ca="true" si="680"/>
        <v>#REF!</v>
      </c>
      <c r="BB282" s="266" t="e">
        <f t="shared" ca="true" si="680"/>
        <v>#REF!</v>
      </c>
      <c r="BC282" s="266" t="e">
        <f t="shared" ca="true" si="680"/>
        <v>#REF!</v>
      </c>
      <c r="BD282" s="266" t="e">
        <f t="shared" ca="true" si="680"/>
        <v>#REF!</v>
      </c>
      <c r="BE282" s="266" t="e">
        <f t="shared" ca="true" si="680"/>
        <v>#REF!</v>
      </c>
      <c r="BF282" s="266" t="e">
        <f t="shared" ca="true" si="680"/>
        <v>#REF!</v>
      </c>
      <c r="BG282" s="266" t="e">
        <f t="shared" ca="true" si="680"/>
        <v>#REF!</v>
      </c>
      <c r="BH282" s="266" t="e">
        <f t="shared" ca="true" si="680"/>
        <v>#REF!</v>
      </c>
      <c r="BI282" s="266" t="e">
        <f t="shared" ca="true" si="680"/>
        <v>#REF!</v>
      </c>
      <c r="BJ282" s="266" t="e">
        <f t="shared" ca="true" si="680"/>
        <v>#REF!</v>
      </c>
      <c r="BK282" s="266" t="e">
        <f t="shared" ca="true" si="680"/>
        <v>#REF!</v>
      </c>
      <c r="BL282" s="266" t="e">
        <f t="shared" ca="true" si="680"/>
        <v>#REF!</v>
      </c>
      <c r="BM282" s="266" t="e">
        <f t="shared" ca="true" si="680"/>
        <v>#REF!</v>
      </c>
      <c r="BN282" s="266" t="e">
        <f t="shared" ca="true" si="680"/>
        <v>#REF!</v>
      </c>
      <c r="BO282" s="266" t="e">
        <f t="shared" ca="true" si="680"/>
        <v>#REF!</v>
      </c>
      <c r="BP282" s="266" t="e">
        <f t="shared" ca="true" si="680"/>
        <v>#REF!</v>
      </c>
      <c r="BQ282" s="266" t="e">
        <f t="shared" ca="true" si="680"/>
        <v>#REF!</v>
      </c>
      <c r="BR282" s="266" t="e">
        <f t="shared" ca="true" si="680"/>
        <v>#REF!</v>
      </c>
      <c r="BS282" s="266" t="e">
        <f t="shared" ca="true" si="680"/>
        <v>#REF!</v>
      </c>
      <c r="BT282" s="266" t="e">
        <f t="shared" ca="true" si="680"/>
        <v>#REF!</v>
      </c>
      <c r="BU282" s="266" t="e">
        <f t="shared" ca="true" si="680"/>
        <v>#REF!</v>
      </c>
      <c r="BV282" s="266" t="e">
        <f t="shared" ca="true" si="680"/>
        <v>#REF!</v>
      </c>
      <c r="BW282" s="266" t="e">
        <f t="shared" ca="true" si="680"/>
        <v>#REF!</v>
      </c>
      <c r="BX282" s="266" t="e">
        <f t="shared" ca="true" si="680"/>
        <v>#REF!</v>
      </c>
      <c r="BY282" s="266" t="e">
        <f t="shared" ca="true" si="680"/>
        <v>#REF!</v>
      </c>
      <c r="BZ282" s="266" t="e">
        <f t="shared" ca="true" si="680"/>
        <v>#REF!</v>
      </c>
      <c r="CA282" s="266" t="e">
        <f t="shared" ca="true" si="680"/>
        <v>#REF!</v>
      </c>
      <c r="CB282" s="266" t="e">
        <f t="shared" ca="true" si="680"/>
        <v>#REF!</v>
      </c>
      <c r="CC282" s="266" t="e">
        <f t="shared" ca="true" si="680"/>
        <v>#REF!</v>
      </c>
      <c r="CD282" s="266" t="e">
        <f t="shared" ca="true" si="680"/>
        <v>#REF!</v>
      </c>
      <c r="CE282" s="266" t="e">
        <f t="shared" ca="true" si="680"/>
        <v>#REF!</v>
      </c>
      <c r="CF282" s="266" t="e">
        <f t="shared" ca="true" si="680"/>
        <v>#REF!</v>
      </c>
      <c r="CG282" s="266" t="e">
        <f t="shared" ca="true" si="680"/>
        <v>#REF!</v>
      </c>
      <c r="CH282" s="266" t="e">
        <f t="shared" ca="true" si="680"/>
        <v>#REF!</v>
      </c>
      <c r="CI282" s="266" t="e">
        <f t="shared" ca="true" si="680"/>
        <v>#REF!</v>
      </c>
      <c r="CJ282" s="266" t="e">
        <f t="shared" ca="true" si="680"/>
        <v>#REF!</v>
      </c>
      <c r="CK282" s="266" t="e">
        <f t="shared" ca="true" si="680"/>
        <v>#REF!</v>
      </c>
      <c r="CL282" s="266" t="e">
        <f t="shared" ca="true" si="680"/>
        <v>#REF!</v>
      </c>
      <c r="CM282" s="266" t="e">
        <f t="shared" ca="true" si="680"/>
        <v>#REF!</v>
      </c>
      <c r="CN282" s="266" t="e">
        <f t="shared" ca="true" si="680"/>
        <v>#REF!</v>
      </c>
      <c r="CO282" s="266" t="e">
        <f t="shared" ca="true" si="680"/>
        <v>#REF!</v>
      </c>
      <c r="CP282" s="266"/>
      <c r="CQ282" s="273" t="e">
        <f t="shared" ca="true" si="642"/>
        <v>#REF!</v>
      </c>
      <c r="CR282" s="273" t="e">
        <f t="shared" ca="true" si="643"/>
        <v>#REF!</v>
      </c>
      <c r="CS282" s="273" t="e">
        <f t="shared" ca="true" si="644"/>
        <v>#REF!</v>
      </c>
      <c r="CT282" s="275" t="e">
        <f t="shared" ca="true" si="645"/>
        <v>#REF!</v>
      </c>
      <c r="CU282" s="266" t="e">
        <f t="shared" ca="true" si="646"/>
        <v>#REF!</v>
      </c>
      <c r="CV282" s="266" t="e">
        <f t="shared" ca="true" si="647"/>
        <v>#REF!</v>
      </c>
      <c r="CW282" s="278" t="e">
        <f t="shared" ca="true" si="648"/>
        <v>#REF!</v>
      </c>
      <c r="CX282" s="278">
        <f t="shared" ca="true" si="649"/>
        <v>0</v>
      </c>
      <c r="CY282" s="278" t="e">
        <f t="shared" ca="true" si="650"/>
        <v>#REF!</v>
      </c>
      <c r="CZ282" s="273" t="e">
        <f t="shared" ca="true" si="651"/>
        <v>#REF!</v>
      </c>
      <c r="DA282" s="273" t="e">
        <f t="shared" ca="true" si="652"/>
        <v>#REF!</v>
      </c>
      <c r="DB282" s="281"/>
    </row>
    <row r="283" spans="1:106" s="152" customFormat="true">
      <c r="A283" s="154">
        <f t="shared" si="674"/>
        <v>71</v>
      </c>
      <c r="B283" s="197"/>
      <c r="C283" s="196"/>
      <c r="D283" s="196" t="str">
        <f t="shared" si="620"/>
        <v>Actual Ending Bank Cash Balance (Oper)</v>
      </c>
      <c r="E283" s="202">
        <f ca="true">+F283+CS283+CZ283+DA283</f>
        <v>6118</v>
      </c>
      <c r="F283" s="203">
        <f ca="true">SUM(G283:K283,M283:N283,P283:U283,W283:X283,Z283:AA283,AC283:AK283,AM283:CP283)</f>
        <v>5828</v>
      </c>
      <c r="G283" s="215">
        <f t="shared" ca="true" si="622"/>
        <v>2464</v>
      </c>
      <c r="H283" s="215">
        <f t="shared" ca="true" si="623"/>
        <v>0</v>
      </c>
      <c r="I283" s="215">
        <f t="shared" ca="true" si="624"/>
        <v>0</v>
      </c>
      <c r="J283" s="215">
        <f t="shared" ca="true" si="625"/>
        <v>0</v>
      </c>
      <c r="K283" s="215">
        <f t="shared" ca="true" si="626"/>
        <v>22</v>
      </c>
      <c r="L283" s="207">
        <f t="shared" ca="true" si="627"/>
        <v>2486</v>
      </c>
      <c r="M283" s="215">
        <f t="shared" ca="true" si="628"/>
        <v>1726</v>
      </c>
      <c r="N283" s="215">
        <f t="shared" ca="true" si="629"/>
        <v>0</v>
      </c>
      <c r="O283" s="207">
        <f t="shared" ca="true" si="630"/>
        <v>1726</v>
      </c>
      <c r="P283" s="215">
        <f t="shared" ref="P283:U283" ca="true" si="681">ROUND(P166/1000,0)</f>
        <v>121</v>
      </c>
      <c r="Q283" s="215">
        <f t="shared" ca="true" si="681"/>
        <v>8</v>
      </c>
      <c r="R283" s="215">
        <f t="shared" ca="true" si="681"/>
        <v>15</v>
      </c>
      <c r="S283" s="215">
        <f t="shared" ca="true" si="681"/>
        <v>11</v>
      </c>
      <c r="T283" s="215">
        <f t="shared" ca="true" si="681"/>
        <v>7</v>
      </c>
      <c r="U283" s="215">
        <f t="shared" ca="true" si="681"/>
        <v>22</v>
      </c>
      <c r="V283" s="203">
        <f t="shared" ca="true" si="632"/>
        <v>184</v>
      </c>
      <c r="W283" s="215">
        <f t="shared" ca="true" si="633"/>
        <v>41</v>
      </c>
      <c r="X283" s="215">
        <f t="shared" ca="true" si="634"/>
        <v>66</v>
      </c>
      <c r="Y283" s="215">
        <f t="shared" ca="true" si="635"/>
        <v>291</v>
      </c>
      <c r="Z283" s="215">
        <f t="shared" ca="true" si="636"/>
        <v>67</v>
      </c>
      <c r="AA283" s="215">
        <f t="shared" ca="true" si="637"/>
        <v>-1</v>
      </c>
      <c r="AB283" s="207">
        <f t="shared" ca="true" si="638"/>
        <v>66</v>
      </c>
      <c r="AC283" s="215">
        <f t="shared" ref="AC283:AK283" ca="true" si="682">ROUND(AC166/1000,0)</f>
        <v>73</v>
      </c>
      <c r="AD283" s="215">
        <f t="shared" ca="true" si="682"/>
        <v>17</v>
      </c>
      <c r="AE283" s="215">
        <f t="shared" ca="true" si="682"/>
        <v>10</v>
      </c>
      <c r="AF283" s="215">
        <f t="shared" ca="true" si="682"/>
        <v>22</v>
      </c>
      <c r="AG283" s="215">
        <f t="shared" ca="true" si="682"/>
        <v>29</v>
      </c>
      <c r="AH283" s="215">
        <f t="shared" ca="true" si="682"/>
        <v>16</v>
      </c>
      <c r="AI283" s="215">
        <f t="shared" ca="true" si="682"/>
        <v>22</v>
      </c>
      <c r="AJ283" s="215">
        <f t="shared" ca="true" si="682"/>
        <v>30</v>
      </c>
      <c r="AK283" s="215">
        <f t="shared" ca="true" si="682"/>
        <v>26</v>
      </c>
      <c r="AL283" s="207">
        <f t="shared" ca="true" si="640"/>
        <v>145</v>
      </c>
      <c r="AM283" s="215">
        <f t="shared" ref="AM283:CO283" ca="true" si="683">ROUND(AM166/1000,0)</f>
        <v>0</v>
      </c>
      <c r="AN283" s="215">
        <f t="shared" ca="true" si="683"/>
        <v>14</v>
      </c>
      <c r="AO283" s="215">
        <f t="shared" ca="true" si="683"/>
        <v>30</v>
      </c>
      <c r="AP283" s="215">
        <f t="shared" ca="true" si="683"/>
        <v>0</v>
      </c>
      <c r="AQ283" s="215">
        <f t="shared" ca="true" si="683"/>
        <v>33</v>
      </c>
      <c r="AR283" s="215">
        <f t="shared" ca="true" si="683"/>
        <v>0</v>
      </c>
      <c r="AS283" s="215">
        <f t="shared" ca="true" si="683"/>
        <v>11</v>
      </c>
      <c r="AT283" s="215">
        <f t="shared" ca="true" si="683"/>
        <v>15</v>
      </c>
      <c r="AU283" s="215">
        <f t="shared" ca="true" si="683"/>
        <v>20</v>
      </c>
      <c r="AV283" s="215">
        <f t="shared" ca="true" si="683"/>
        <v>21</v>
      </c>
      <c r="AW283" s="215">
        <f t="shared" ca="true" si="683"/>
        <v>0</v>
      </c>
      <c r="AX283" s="215">
        <f t="shared" ca="true" si="683"/>
        <v>0</v>
      </c>
      <c r="AY283" s="215">
        <f t="shared" ca="true" si="683"/>
        <v>0</v>
      </c>
      <c r="AZ283" s="215">
        <f t="shared" ca="true" si="683"/>
        <v>6</v>
      </c>
      <c r="BA283" s="215">
        <f t="shared" ca="true" si="683"/>
        <v>23</v>
      </c>
      <c r="BB283" s="215">
        <f t="shared" ca="true" si="683"/>
        <v>0</v>
      </c>
      <c r="BC283" s="215">
        <f t="shared" ca="true" si="683"/>
        <v>36</v>
      </c>
      <c r="BD283" s="215">
        <f t="shared" ca="true" si="683"/>
        <v>22</v>
      </c>
      <c r="BE283" s="215">
        <f t="shared" ca="true" si="683"/>
        <v>19</v>
      </c>
      <c r="BF283" s="215">
        <f t="shared" ca="true" si="683"/>
        <v>54</v>
      </c>
      <c r="BG283" s="215">
        <f t="shared" ca="true" si="683"/>
        <v>31</v>
      </c>
      <c r="BH283" s="215">
        <f t="shared" ca="true" si="683"/>
        <v>0</v>
      </c>
      <c r="BI283" s="215">
        <f t="shared" ca="true" si="683"/>
        <v>23</v>
      </c>
      <c r="BJ283" s="215">
        <f t="shared" ca="true" si="683"/>
        <v>0</v>
      </c>
      <c r="BK283" s="215">
        <f t="shared" ca="true" si="683"/>
        <v>3</v>
      </c>
      <c r="BL283" s="215">
        <f t="shared" ca="true" si="683"/>
        <v>21</v>
      </c>
      <c r="BM283" s="215">
        <f t="shared" ca="true" si="683"/>
        <v>35</v>
      </c>
      <c r="BN283" s="215">
        <f t="shared" ca="true" si="683"/>
        <v>21</v>
      </c>
      <c r="BO283" s="215">
        <f t="shared" ca="true" si="683"/>
        <v>0</v>
      </c>
      <c r="BP283" s="215">
        <f t="shared" ca="true" si="683"/>
        <v>24</v>
      </c>
      <c r="BQ283" s="215">
        <f t="shared" ca="true" si="683"/>
        <v>21</v>
      </c>
      <c r="BR283" s="215">
        <f t="shared" ca="true" si="683"/>
        <v>12</v>
      </c>
      <c r="BS283" s="215">
        <f t="shared" ca="true" si="683"/>
        <v>0</v>
      </c>
      <c r="BT283" s="215">
        <f t="shared" ca="true" si="683"/>
        <v>0</v>
      </c>
      <c r="BU283" s="215">
        <f t="shared" ca="true" si="683"/>
        <v>0</v>
      </c>
      <c r="BV283" s="215">
        <f t="shared" ca="true" si="683"/>
        <v>0</v>
      </c>
      <c r="BW283" s="215">
        <f t="shared" ca="true" si="683"/>
        <v>79</v>
      </c>
      <c r="BX283" s="215">
        <f t="shared" ca="true" si="683"/>
        <v>65</v>
      </c>
      <c r="BY283" s="215">
        <f t="shared" ca="true" si="683"/>
        <v>0</v>
      </c>
      <c r="BZ283" s="215">
        <f t="shared" ca="true" si="683"/>
        <v>10</v>
      </c>
      <c r="CA283" s="215">
        <f t="shared" ca="true" si="683"/>
        <v>43</v>
      </c>
      <c r="CB283" s="215">
        <f t="shared" ca="true" si="683"/>
        <v>41</v>
      </c>
      <c r="CC283" s="215">
        <f t="shared" ca="true" si="683"/>
        <v>17</v>
      </c>
      <c r="CD283" s="215">
        <f t="shared" ca="true" si="683"/>
        <v>25</v>
      </c>
      <c r="CE283" s="215">
        <f t="shared" ca="true" si="683"/>
        <v>27</v>
      </c>
      <c r="CF283" s="215">
        <f t="shared" ca="true" si="683"/>
        <v>0</v>
      </c>
      <c r="CG283" s="215">
        <f t="shared" ca="true" si="683"/>
        <v>6</v>
      </c>
      <c r="CH283" s="215">
        <f t="shared" ca="true" si="683"/>
        <v>2</v>
      </c>
      <c r="CI283" s="215">
        <f t="shared" ca="true" si="683"/>
        <v>17</v>
      </c>
      <c r="CJ283" s="215">
        <f t="shared" ca="true" si="683"/>
        <v>23</v>
      </c>
      <c r="CK283" s="215">
        <f t="shared" ca="true" si="683"/>
        <v>5</v>
      </c>
      <c r="CL283" s="215">
        <f t="shared" ca="true" si="683"/>
        <v>19</v>
      </c>
      <c r="CM283" s="215">
        <f t="shared" ca="true" si="683"/>
        <v>47</v>
      </c>
      <c r="CN283" s="215">
        <f t="shared" ca="true" si="683"/>
        <v>51</v>
      </c>
      <c r="CO283" s="215">
        <f t="shared" ca="true" si="683"/>
        <v>42</v>
      </c>
      <c r="CP283" s="215"/>
      <c r="CQ283" s="207">
        <f t="shared" ca="true" si="642"/>
        <v>1014</v>
      </c>
      <c r="CR283" s="207">
        <f t="shared" ca="true" si="643"/>
        <v>1159</v>
      </c>
      <c r="CS283" s="207">
        <f t="shared" ca="true" si="644"/>
        <v>172</v>
      </c>
      <c r="CT283" s="276">
        <f t="shared" ca="true" si="645"/>
        <v>0</v>
      </c>
      <c r="CU283" s="215">
        <f t="shared" ca="true" si="646"/>
        <v>23</v>
      </c>
      <c r="CV283" s="215">
        <f t="shared" ca="true" si="647"/>
        <v>149</v>
      </c>
      <c r="CW283" s="279">
        <f t="shared" ca="true" si="648"/>
        <v>0</v>
      </c>
      <c r="CX283" s="279">
        <f t="shared" ca="true" si="649"/>
        <v>0</v>
      </c>
      <c r="CY283" s="279">
        <f t="shared" ca="true" si="650"/>
        <v>172</v>
      </c>
      <c r="CZ283" s="207">
        <f t="shared" ca="true" si="651"/>
        <v>0</v>
      </c>
      <c r="DA283" s="207">
        <f t="shared" ca="true" si="652"/>
        <v>118</v>
      </c>
      <c r="DB283" s="216"/>
    </row>
    <row r="284" spans="1:106" s="152" customFormat="true">
      <c r="A284" s="154">
        <f t="shared" si="674"/>
        <v>72</v>
      </c>
      <c r="B284" s="261"/>
      <c r="C284" s="195"/>
      <c r="D284" s="195" t="str">
        <f t="shared" si="620"/>
        <v>Variance</v>
      </c>
      <c r="E284" s="264" t="e">
        <f ca="true">+F284+CS284+CZ284+DA284</f>
        <v>#REF!</v>
      </c>
      <c r="F284" s="265" t="e">
        <f ca="true">SUM(G284:K284,M284:N284,P284:U284,W284:X284,Z284:AA284,AC284:AK284,AM284:CP284)</f>
        <v>#REF!</v>
      </c>
      <c r="G284" s="266" t="e">
        <f t="shared" ca="true" si="622"/>
        <v>#REF!</v>
      </c>
      <c r="H284" s="266" t="e">
        <f t="shared" ca="true" si="623"/>
        <v>#REF!</v>
      </c>
      <c r="I284" s="266" t="e">
        <f t="shared" ca="true" si="624"/>
        <v>#REF!</v>
      </c>
      <c r="J284" s="266" t="e">
        <f t="shared" ca="true" si="625"/>
        <v>#REF!</v>
      </c>
      <c r="K284" s="266" t="e">
        <f t="shared" ca="true" si="626"/>
        <v>#REF!</v>
      </c>
      <c r="L284" s="273" t="e">
        <f t="shared" ca="true" si="627"/>
        <v>#REF!</v>
      </c>
      <c r="M284" s="266" t="e">
        <f t="shared" ca="true" si="628"/>
        <v>#REF!</v>
      </c>
      <c r="N284" s="266" t="e">
        <f t="shared" ca="true" si="629"/>
        <v>#REF!</v>
      </c>
      <c r="O284" s="273" t="e">
        <f t="shared" ca="true" si="630"/>
        <v>#REF!</v>
      </c>
      <c r="P284" s="266" t="e">
        <f t="shared" ref="P284:U284" ca="true" si="684">ROUND(P167/1000,0)</f>
        <v>#REF!</v>
      </c>
      <c r="Q284" s="266" t="e">
        <f t="shared" ca="true" si="684"/>
        <v>#REF!</v>
      </c>
      <c r="R284" s="266" t="e">
        <f t="shared" ca="true" si="684"/>
        <v>#REF!</v>
      </c>
      <c r="S284" s="266" t="e">
        <f t="shared" ca="true" si="684"/>
        <v>#REF!</v>
      </c>
      <c r="T284" s="266" t="e">
        <f t="shared" ca="true" si="684"/>
        <v>#REF!</v>
      </c>
      <c r="U284" s="266" t="e">
        <f t="shared" ca="true" si="684"/>
        <v>#REF!</v>
      </c>
      <c r="V284" s="265" t="e">
        <f t="shared" ca="true" si="632"/>
        <v>#REF!</v>
      </c>
      <c r="W284" s="266" t="e">
        <f t="shared" ca="true" si="633"/>
        <v>#REF!</v>
      </c>
      <c r="X284" s="266" t="e">
        <f t="shared" ca="true" si="634"/>
        <v>#REF!</v>
      </c>
      <c r="Y284" s="266" t="e">
        <f t="shared" ca="true" si="635"/>
        <v>#REF!</v>
      </c>
      <c r="Z284" s="266" t="e">
        <f t="shared" ca="true" si="636"/>
        <v>#REF!</v>
      </c>
      <c r="AA284" s="266" t="e">
        <f t="shared" ca="true" si="637"/>
        <v>#REF!</v>
      </c>
      <c r="AB284" s="273" t="e">
        <f t="shared" ca="true" si="638"/>
        <v>#REF!</v>
      </c>
      <c r="AC284" s="266" t="e">
        <f t="shared" ref="AC284:AK284" ca="true" si="685">ROUND(AC167/1000,0)</f>
        <v>#REF!</v>
      </c>
      <c r="AD284" s="266" t="e">
        <f t="shared" ca="true" si="685"/>
        <v>#REF!</v>
      </c>
      <c r="AE284" s="266" t="e">
        <f t="shared" ca="true" si="685"/>
        <v>#REF!</v>
      </c>
      <c r="AF284" s="266" t="e">
        <f t="shared" ca="true" si="685"/>
        <v>#REF!</v>
      </c>
      <c r="AG284" s="266" t="e">
        <f t="shared" ca="true" si="685"/>
        <v>#REF!</v>
      </c>
      <c r="AH284" s="266" t="e">
        <f t="shared" ca="true" si="685"/>
        <v>#REF!</v>
      </c>
      <c r="AI284" s="266" t="e">
        <f t="shared" ca="true" si="685"/>
        <v>#REF!</v>
      </c>
      <c r="AJ284" s="266" t="e">
        <f t="shared" ca="true" si="685"/>
        <v>#REF!</v>
      </c>
      <c r="AK284" s="266" t="e">
        <f t="shared" ca="true" si="685"/>
        <v>#REF!</v>
      </c>
      <c r="AL284" s="273" t="e">
        <f t="shared" ca="true" si="640"/>
        <v>#REF!</v>
      </c>
      <c r="AM284" s="266" t="e">
        <f t="shared" ref="AM284:CO284" ca="true" si="686">ROUND(AM167/1000,0)</f>
        <v>#REF!</v>
      </c>
      <c r="AN284" s="266" t="e">
        <f t="shared" ca="true" si="686"/>
        <v>#REF!</v>
      </c>
      <c r="AO284" s="266" t="e">
        <f t="shared" ca="true" si="686"/>
        <v>#REF!</v>
      </c>
      <c r="AP284" s="266" t="e">
        <f t="shared" ca="true" si="686"/>
        <v>#REF!</v>
      </c>
      <c r="AQ284" s="266" t="e">
        <f t="shared" ca="true" si="686"/>
        <v>#REF!</v>
      </c>
      <c r="AR284" s="266" t="e">
        <f t="shared" ca="true" si="686"/>
        <v>#REF!</v>
      </c>
      <c r="AS284" s="266" t="e">
        <f t="shared" ca="true" si="686"/>
        <v>#REF!</v>
      </c>
      <c r="AT284" s="266" t="e">
        <f t="shared" ca="true" si="686"/>
        <v>#REF!</v>
      </c>
      <c r="AU284" s="266" t="e">
        <f t="shared" ca="true" si="686"/>
        <v>#REF!</v>
      </c>
      <c r="AV284" s="266" t="e">
        <f t="shared" ca="true" si="686"/>
        <v>#REF!</v>
      </c>
      <c r="AW284" s="266" t="e">
        <f t="shared" ca="true" si="686"/>
        <v>#REF!</v>
      </c>
      <c r="AX284" s="266" t="e">
        <f t="shared" ca="true" si="686"/>
        <v>#REF!</v>
      </c>
      <c r="AY284" s="266" t="e">
        <f t="shared" ca="true" si="686"/>
        <v>#REF!</v>
      </c>
      <c r="AZ284" s="266" t="e">
        <f t="shared" ca="true" si="686"/>
        <v>#REF!</v>
      </c>
      <c r="BA284" s="266" t="e">
        <f t="shared" ca="true" si="686"/>
        <v>#REF!</v>
      </c>
      <c r="BB284" s="266" t="e">
        <f t="shared" ca="true" si="686"/>
        <v>#REF!</v>
      </c>
      <c r="BC284" s="266" t="e">
        <f t="shared" ca="true" si="686"/>
        <v>#REF!</v>
      </c>
      <c r="BD284" s="266" t="e">
        <f t="shared" ca="true" si="686"/>
        <v>#REF!</v>
      </c>
      <c r="BE284" s="266" t="e">
        <f t="shared" ca="true" si="686"/>
        <v>#REF!</v>
      </c>
      <c r="BF284" s="266" t="e">
        <f t="shared" ca="true" si="686"/>
        <v>#REF!</v>
      </c>
      <c r="BG284" s="266" t="e">
        <f t="shared" ca="true" si="686"/>
        <v>#REF!</v>
      </c>
      <c r="BH284" s="266" t="e">
        <f t="shared" ca="true" si="686"/>
        <v>#REF!</v>
      </c>
      <c r="BI284" s="266" t="e">
        <f t="shared" ca="true" si="686"/>
        <v>#REF!</v>
      </c>
      <c r="BJ284" s="266" t="e">
        <f t="shared" ca="true" si="686"/>
        <v>#REF!</v>
      </c>
      <c r="BK284" s="266" t="e">
        <f t="shared" ca="true" si="686"/>
        <v>#REF!</v>
      </c>
      <c r="BL284" s="266" t="e">
        <f t="shared" ca="true" si="686"/>
        <v>#REF!</v>
      </c>
      <c r="BM284" s="266" t="e">
        <f t="shared" ca="true" si="686"/>
        <v>#REF!</v>
      </c>
      <c r="BN284" s="266" t="e">
        <f t="shared" ca="true" si="686"/>
        <v>#REF!</v>
      </c>
      <c r="BO284" s="266" t="e">
        <f t="shared" ca="true" si="686"/>
        <v>#REF!</v>
      </c>
      <c r="BP284" s="266" t="e">
        <f t="shared" ca="true" si="686"/>
        <v>#REF!</v>
      </c>
      <c r="BQ284" s="266" t="e">
        <f t="shared" ca="true" si="686"/>
        <v>#REF!</v>
      </c>
      <c r="BR284" s="266" t="e">
        <f t="shared" ca="true" si="686"/>
        <v>#REF!</v>
      </c>
      <c r="BS284" s="266" t="e">
        <f t="shared" ca="true" si="686"/>
        <v>#REF!</v>
      </c>
      <c r="BT284" s="266" t="e">
        <f t="shared" ca="true" si="686"/>
        <v>#REF!</v>
      </c>
      <c r="BU284" s="266" t="e">
        <f t="shared" ca="true" si="686"/>
        <v>#REF!</v>
      </c>
      <c r="BV284" s="266" t="e">
        <f t="shared" ca="true" si="686"/>
        <v>#REF!</v>
      </c>
      <c r="BW284" s="266" t="e">
        <f t="shared" ca="true" si="686"/>
        <v>#REF!</v>
      </c>
      <c r="BX284" s="266" t="e">
        <f t="shared" ca="true" si="686"/>
        <v>#REF!</v>
      </c>
      <c r="BY284" s="266" t="e">
        <f t="shared" ca="true" si="686"/>
        <v>#REF!</v>
      </c>
      <c r="BZ284" s="266" t="e">
        <f t="shared" ca="true" si="686"/>
        <v>#REF!</v>
      </c>
      <c r="CA284" s="266" t="e">
        <f t="shared" ca="true" si="686"/>
        <v>#REF!</v>
      </c>
      <c r="CB284" s="266" t="e">
        <f t="shared" ca="true" si="686"/>
        <v>#REF!</v>
      </c>
      <c r="CC284" s="266" t="e">
        <f t="shared" ca="true" si="686"/>
        <v>#REF!</v>
      </c>
      <c r="CD284" s="266" t="e">
        <f t="shared" ca="true" si="686"/>
        <v>#REF!</v>
      </c>
      <c r="CE284" s="266" t="e">
        <f t="shared" ca="true" si="686"/>
        <v>#REF!</v>
      </c>
      <c r="CF284" s="266" t="e">
        <f t="shared" ca="true" si="686"/>
        <v>#REF!</v>
      </c>
      <c r="CG284" s="266" t="e">
        <f t="shared" ca="true" si="686"/>
        <v>#REF!</v>
      </c>
      <c r="CH284" s="266" t="e">
        <f t="shared" ca="true" si="686"/>
        <v>#REF!</v>
      </c>
      <c r="CI284" s="266" t="e">
        <f t="shared" ca="true" si="686"/>
        <v>#REF!</v>
      </c>
      <c r="CJ284" s="266" t="e">
        <f t="shared" ca="true" si="686"/>
        <v>#REF!</v>
      </c>
      <c r="CK284" s="266" t="e">
        <f t="shared" ca="true" si="686"/>
        <v>#REF!</v>
      </c>
      <c r="CL284" s="266" t="e">
        <f t="shared" ca="true" si="686"/>
        <v>#REF!</v>
      </c>
      <c r="CM284" s="266" t="e">
        <f t="shared" ca="true" si="686"/>
        <v>#REF!</v>
      </c>
      <c r="CN284" s="266" t="e">
        <f t="shared" ca="true" si="686"/>
        <v>#REF!</v>
      </c>
      <c r="CO284" s="266" t="e">
        <f t="shared" ca="true" si="686"/>
        <v>#REF!</v>
      </c>
      <c r="CP284" s="266"/>
      <c r="CQ284" s="273" t="e">
        <f t="shared" ca="true" si="642"/>
        <v>#REF!</v>
      </c>
      <c r="CR284" s="273" t="e">
        <f t="shared" ca="true" si="643"/>
        <v>#REF!</v>
      </c>
      <c r="CS284" s="273" t="e">
        <f t="shared" ca="true" si="644"/>
        <v>#REF!</v>
      </c>
      <c r="CT284" s="275" t="e">
        <f t="shared" ca="true" si="645"/>
        <v>#REF!</v>
      </c>
      <c r="CU284" s="266" t="e">
        <f t="shared" ca="true" si="646"/>
        <v>#REF!</v>
      </c>
      <c r="CV284" s="266" t="e">
        <f t="shared" ca="true" si="647"/>
        <v>#REF!</v>
      </c>
      <c r="CW284" s="278" t="e">
        <f t="shared" ca="true" si="648"/>
        <v>#REF!</v>
      </c>
      <c r="CX284" s="278">
        <f t="shared" ca="true" si="649"/>
        <v>0</v>
      </c>
      <c r="CY284" s="278" t="e">
        <f t="shared" ca="true" si="650"/>
        <v>#REF!</v>
      </c>
      <c r="CZ284" s="273" t="e">
        <f t="shared" ca="true" si="651"/>
        <v>#REF!</v>
      </c>
      <c r="DA284" s="273" t="e">
        <f t="shared" ca="true" si="652"/>
        <v>#REF!</v>
      </c>
      <c r="DB284" s="281"/>
    </row>
    <row r="285" spans="1:106" s="152" customFormat="true">
      <c r="A285" s="154">
        <f t="shared" si="674"/>
        <v>73</v>
      </c>
      <c r="B285" s="197"/>
      <c r="C285" s="196"/>
      <c r="D285" s="196" t="str">
        <f t="shared" si="620"/>
        <v>Beginning Cash + LOC Available</v>
      </c>
      <c r="E285" s="268" t="e">
        <f ca="true">+E281+E273</f>
        <v>#REF!</v>
      </c>
      <c r="F285" s="269"/>
      <c r="G285" s="215">
        <f t="shared" si="622"/>
        <v>0</v>
      </c>
      <c r="H285" s="215">
        <f t="shared" si="623"/>
        <v>0</v>
      </c>
      <c r="I285" s="215">
        <f t="shared" si="624"/>
        <v>0</v>
      </c>
      <c r="J285" s="215">
        <f t="shared" si="625"/>
        <v>0</v>
      </c>
      <c r="K285" s="215">
        <f t="shared" si="626"/>
        <v>0</v>
      </c>
      <c r="L285" s="207">
        <f t="shared" si="627"/>
        <v>0</v>
      </c>
      <c r="M285" s="215">
        <f t="shared" si="628"/>
        <v>0</v>
      </c>
      <c r="N285" s="215">
        <f t="shared" si="629"/>
        <v>0</v>
      </c>
      <c r="O285" s="207">
        <f t="shared" si="630"/>
        <v>0</v>
      </c>
      <c r="P285" s="215">
        <f t="shared" ref="P285:U285" si="687">ROUND(P168/1000,0)</f>
        <v>0</v>
      </c>
      <c r="Q285" s="215">
        <f t="shared" si="687"/>
        <v>0</v>
      </c>
      <c r="R285" s="215">
        <f t="shared" si="687"/>
        <v>0</v>
      </c>
      <c r="S285" s="215">
        <f t="shared" si="687"/>
        <v>0</v>
      </c>
      <c r="T285" s="215">
        <f t="shared" si="687"/>
        <v>0</v>
      </c>
      <c r="U285" s="215">
        <f t="shared" si="687"/>
        <v>0</v>
      </c>
      <c r="V285" s="203">
        <f t="shared" si="632"/>
        <v>0</v>
      </c>
      <c r="W285" s="215">
        <f t="shared" si="633"/>
        <v>0</v>
      </c>
      <c r="X285" s="215">
        <f t="shared" si="634"/>
        <v>0</v>
      </c>
      <c r="Y285" s="215">
        <f t="shared" si="635"/>
        <v>0</v>
      </c>
      <c r="Z285" s="215">
        <f t="shared" si="636"/>
        <v>0</v>
      </c>
      <c r="AA285" s="215">
        <f t="shared" si="637"/>
        <v>0</v>
      </c>
      <c r="AB285" s="207">
        <f t="shared" si="638"/>
        <v>0</v>
      </c>
      <c r="AC285" s="215">
        <f t="shared" ref="AC285:AK285" si="688">ROUND(AC168/1000,0)</f>
        <v>0</v>
      </c>
      <c r="AD285" s="215">
        <f t="shared" si="688"/>
        <v>0</v>
      </c>
      <c r="AE285" s="215">
        <f t="shared" si="688"/>
        <v>0</v>
      </c>
      <c r="AF285" s="215">
        <f t="shared" si="688"/>
        <v>0</v>
      </c>
      <c r="AG285" s="215">
        <f t="shared" si="688"/>
        <v>0</v>
      </c>
      <c r="AH285" s="215">
        <f t="shared" si="688"/>
        <v>0</v>
      </c>
      <c r="AI285" s="215">
        <f t="shared" si="688"/>
        <v>0</v>
      </c>
      <c r="AJ285" s="215">
        <f t="shared" si="688"/>
        <v>0</v>
      </c>
      <c r="AK285" s="215">
        <f t="shared" si="688"/>
        <v>0</v>
      </c>
      <c r="AL285" s="207">
        <f t="shared" si="640"/>
        <v>0</v>
      </c>
      <c r="AM285" s="215">
        <f t="shared" ref="AM285:CO285" si="689">ROUND(AM168/1000,0)</f>
        <v>0</v>
      </c>
      <c r="AN285" s="215">
        <f t="shared" si="689"/>
        <v>0</v>
      </c>
      <c r="AO285" s="215">
        <f t="shared" si="689"/>
        <v>0</v>
      </c>
      <c r="AP285" s="215">
        <f t="shared" si="689"/>
        <v>0</v>
      </c>
      <c r="AQ285" s="215">
        <f t="shared" si="689"/>
        <v>0</v>
      </c>
      <c r="AR285" s="215">
        <f t="shared" si="689"/>
        <v>0</v>
      </c>
      <c r="AS285" s="215">
        <f t="shared" si="689"/>
        <v>0</v>
      </c>
      <c r="AT285" s="215">
        <f t="shared" si="689"/>
        <v>0</v>
      </c>
      <c r="AU285" s="215">
        <f t="shared" si="689"/>
        <v>0</v>
      </c>
      <c r="AV285" s="215">
        <f t="shared" si="689"/>
        <v>0</v>
      </c>
      <c r="AW285" s="215">
        <f t="shared" si="689"/>
        <v>0</v>
      </c>
      <c r="AX285" s="215">
        <f t="shared" si="689"/>
        <v>0</v>
      </c>
      <c r="AY285" s="215">
        <f t="shared" si="689"/>
        <v>0</v>
      </c>
      <c r="AZ285" s="215">
        <f t="shared" si="689"/>
        <v>0</v>
      </c>
      <c r="BA285" s="215">
        <f t="shared" si="689"/>
        <v>0</v>
      </c>
      <c r="BB285" s="215">
        <f t="shared" si="689"/>
        <v>0</v>
      </c>
      <c r="BC285" s="215">
        <f t="shared" si="689"/>
        <v>0</v>
      </c>
      <c r="BD285" s="215">
        <f t="shared" si="689"/>
        <v>0</v>
      </c>
      <c r="BE285" s="215">
        <f t="shared" si="689"/>
        <v>0</v>
      </c>
      <c r="BF285" s="215">
        <f t="shared" si="689"/>
        <v>0</v>
      </c>
      <c r="BG285" s="215">
        <f t="shared" si="689"/>
        <v>0</v>
      </c>
      <c r="BH285" s="215">
        <f t="shared" si="689"/>
        <v>0</v>
      </c>
      <c r="BI285" s="215">
        <f t="shared" si="689"/>
        <v>0</v>
      </c>
      <c r="BJ285" s="215">
        <f t="shared" si="689"/>
        <v>0</v>
      </c>
      <c r="BK285" s="215">
        <f t="shared" si="689"/>
        <v>0</v>
      </c>
      <c r="BL285" s="215">
        <f t="shared" si="689"/>
        <v>0</v>
      </c>
      <c r="BM285" s="215">
        <f t="shared" si="689"/>
        <v>0</v>
      </c>
      <c r="BN285" s="215">
        <f t="shared" si="689"/>
        <v>0</v>
      </c>
      <c r="BO285" s="215">
        <f t="shared" si="689"/>
        <v>0</v>
      </c>
      <c r="BP285" s="215">
        <f t="shared" si="689"/>
        <v>0</v>
      </c>
      <c r="BQ285" s="215">
        <f t="shared" si="689"/>
        <v>0</v>
      </c>
      <c r="BR285" s="215">
        <f t="shared" si="689"/>
        <v>0</v>
      </c>
      <c r="BS285" s="215">
        <f t="shared" si="689"/>
        <v>0</v>
      </c>
      <c r="BT285" s="215">
        <f t="shared" si="689"/>
        <v>0</v>
      </c>
      <c r="BU285" s="215">
        <f t="shared" si="689"/>
        <v>0</v>
      </c>
      <c r="BV285" s="215">
        <f t="shared" si="689"/>
        <v>0</v>
      </c>
      <c r="BW285" s="215">
        <f t="shared" si="689"/>
        <v>0</v>
      </c>
      <c r="BX285" s="215">
        <f t="shared" si="689"/>
        <v>0</v>
      </c>
      <c r="BY285" s="215">
        <f t="shared" si="689"/>
        <v>0</v>
      </c>
      <c r="BZ285" s="215">
        <f t="shared" si="689"/>
        <v>0</v>
      </c>
      <c r="CA285" s="215">
        <f t="shared" si="689"/>
        <v>0</v>
      </c>
      <c r="CB285" s="215">
        <f t="shared" si="689"/>
        <v>0</v>
      </c>
      <c r="CC285" s="215">
        <f t="shared" si="689"/>
        <v>0</v>
      </c>
      <c r="CD285" s="215">
        <f t="shared" si="689"/>
        <v>0</v>
      </c>
      <c r="CE285" s="215">
        <f t="shared" si="689"/>
        <v>0</v>
      </c>
      <c r="CF285" s="215">
        <f t="shared" si="689"/>
        <v>0</v>
      </c>
      <c r="CG285" s="215">
        <f t="shared" si="689"/>
        <v>0</v>
      </c>
      <c r="CH285" s="215">
        <f t="shared" si="689"/>
        <v>0</v>
      </c>
      <c r="CI285" s="215">
        <f t="shared" si="689"/>
        <v>0</v>
      </c>
      <c r="CJ285" s="215">
        <f t="shared" si="689"/>
        <v>0</v>
      </c>
      <c r="CK285" s="215">
        <f t="shared" si="689"/>
        <v>0</v>
      </c>
      <c r="CL285" s="215">
        <f t="shared" si="689"/>
        <v>0</v>
      </c>
      <c r="CM285" s="215">
        <f t="shared" si="689"/>
        <v>0</v>
      </c>
      <c r="CN285" s="215">
        <f t="shared" si="689"/>
        <v>0</v>
      </c>
      <c r="CO285" s="215">
        <f t="shared" si="689"/>
        <v>0</v>
      </c>
      <c r="CP285" s="215"/>
      <c r="CQ285" s="207">
        <f t="shared" si="642"/>
        <v>0</v>
      </c>
      <c r="CR285" s="207">
        <f t="shared" si="643"/>
        <v>0</v>
      </c>
      <c r="CS285" s="207">
        <f t="shared" si="644"/>
        <v>0</v>
      </c>
      <c r="CT285" s="276">
        <f t="shared" si="645"/>
        <v>0</v>
      </c>
      <c r="CU285" s="215">
        <f t="shared" si="646"/>
        <v>0</v>
      </c>
      <c r="CV285" s="215">
        <f t="shared" si="647"/>
        <v>0</v>
      </c>
      <c r="CW285" s="279">
        <f t="shared" si="648"/>
        <v>0</v>
      </c>
      <c r="CX285" s="279">
        <f t="shared" si="649"/>
        <v>0</v>
      </c>
      <c r="CY285" s="279">
        <f t="shared" si="650"/>
        <v>0</v>
      </c>
      <c r="CZ285" s="207">
        <f t="shared" si="651"/>
        <v>0</v>
      </c>
      <c r="DA285" s="207">
        <f t="shared" si="652"/>
        <v>0</v>
      </c>
      <c r="DB285" s="216"/>
    </row>
    <row r="286" spans="1:106">
      <c r="A286" s="154">
        <f t="shared" si="674"/>
        <v>74</v>
      </c>
      <c r="B286" s="197">
        <f>B281+1</f>
        <v>7</v>
      </c>
      <c r="C286" s="196"/>
      <c r="D286" s="196" t="str">
        <f t="shared" si="620"/>
        <v>Actual Ending Cash + LOC</v>
      </c>
      <c r="E286" s="268" t="e">
        <f ca="true">+E282+E278</f>
        <v>#REF!</v>
      </c>
      <c r="F286" s="269"/>
      <c r="G286" s="215">
        <f t="shared" si="622"/>
        <v>0</v>
      </c>
      <c r="H286" s="215">
        <f t="shared" si="623"/>
        <v>0</v>
      </c>
      <c r="I286" s="215">
        <f t="shared" si="624"/>
        <v>0</v>
      </c>
      <c r="J286" s="215">
        <f t="shared" si="625"/>
        <v>0</v>
      </c>
      <c r="K286" s="215">
        <f t="shared" si="626"/>
        <v>0</v>
      </c>
      <c r="L286" s="207">
        <f t="shared" si="627"/>
        <v>0</v>
      </c>
      <c r="M286" s="215">
        <f t="shared" si="628"/>
        <v>0</v>
      </c>
      <c r="N286" s="215">
        <f t="shared" si="629"/>
        <v>0</v>
      </c>
      <c r="O286" s="207">
        <f t="shared" si="630"/>
        <v>0</v>
      </c>
      <c r="P286" s="215">
        <f t="shared" ref="P286:U286" si="690">ROUND(P169/1000,0)</f>
        <v>0</v>
      </c>
      <c r="Q286" s="215">
        <f t="shared" si="690"/>
        <v>0</v>
      </c>
      <c r="R286" s="215">
        <f t="shared" si="690"/>
        <v>0</v>
      </c>
      <c r="S286" s="215">
        <f t="shared" si="690"/>
        <v>0</v>
      </c>
      <c r="T286" s="215">
        <f t="shared" si="690"/>
        <v>0</v>
      </c>
      <c r="U286" s="215">
        <f t="shared" si="690"/>
        <v>0</v>
      </c>
      <c r="V286" s="203">
        <f t="shared" si="632"/>
        <v>0</v>
      </c>
      <c r="W286" s="215">
        <f t="shared" si="633"/>
        <v>0</v>
      </c>
      <c r="X286" s="215">
        <f t="shared" si="634"/>
        <v>0</v>
      </c>
      <c r="Y286" s="215">
        <f t="shared" si="635"/>
        <v>0</v>
      </c>
      <c r="Z286" s="215">
        <f t="shared" si="636"/>
        <v>0</v>
      </c>
      <c r="AA286" s="215">
        <f t="shared" si="637"/>
        <v>0</v>
      </c>
      <c r="AB286" s="207">
        <f t="shared" si="638"/>
        <v>0</v>
      </c>
      <c r="AC286" s="215">
        <f t="shared" ref="AC286:AK286" si="691">ROUND(AC169/1000,0)</f>
        <v>0</v>
      </c>
      <c r="AD286" s="215">
        <f t="shared" si="691"/>
        <v>0</v>
      </c>
      <c r="AE286" s="215">
        <f t="shared" si="691"/>
        <v>0</v>
      </c>
      <c r="AF286" s="215">
        <f t="shared" si="691"/>
        <v>0</v>
      </c>
      <c r="AG286" s="215">
        <f t="shared" si="691"/>
        <v>0</v>
      </c>
      <c r="AH286" s="215">
        <f t="shared" si="691"/>
        <v>0</v>
      </c>
      <c r="AI286" s="215">
        <f t="shared" si="691"/>
        <v>0</v>
      </c>
      <c r="AJ286" s="215">
        <f t="shared" si="691"/>
        <v>0</v>
      </c>
      <c r="AK286" s="215">
        <f t="shared" si="691"/>
        <v>0</v>
      </c>
      <c r="AL286" s="207">
        <f t="shared" si="640"/>
        <v>0</v>
      </c>
      <c r="AM286" s="215">
        <f t="shared" ref="AM286:CO286" si="692">ROUND(AM169/1000,0)</f>
        <v>0</v>
      </c>
      <c r="AN286" s="215">
        <f t="shared" si="692"/>
        <v>0</v>
      </c>
      <c r="AO286" s="215">
        <f t="shared" si="692"/>
        <v>0</v>
      </c>
      <c r="AP286" s="215">
        <f t="shared" si="692"/>
        <v>0</v>
      </c>
      <c r="AQ286" s="215">
        <f t="shared" si="692"/>
        <v>0</v>
      </c>
      <c r="AR286" s="215">
        <f t="shared" si="692"/>
        <v>0</v>
      </c>
      <c r="AS286" s="215">
        <f t="shared" si="692"/>
        <v>0</v>
      </c>
      <c r="AT286" s="215">
        <f t="shared" si="692"/>
        <v>0</v>
      </c>
      <c r="AU286" s="215">
        <f t="shared" si="692"/>
        <v>0</v>
      </c>
      <c r="AV286" s="215">
        <f t="shared" si="692"/>
        <v>0</v>
      </c>
      <c r="AW286" s="215">
        <f t="shared" si="692"/>
        <v>0</v>
      </c>
      <c r="AX286" s="215">
        <f t="shared" si="692"/>
        <v>0</v>
      </c>
      <c r="AY286" s="215">
        <f t="shared" si="692"/>
        <v>0</v>
      </c>
      <c r="AZ286" s="215">
        <f t="shared" si="692"/>
        <v>0</v>
      </c>
      <c r="BA286" s="215">
        <f t="shared" si="692"/>
        <v>0</v>
      </c>
      <c r="BB286" s="215">
        <f t="shared" si="692"/>
        <v>0</v>
      </c>
      <c r="BC286" s="215">
        <f t="shared" si="692"/>
        <v>0</v>
      </c>
      <c r="BD286" s="215">
        <f t="shared" si="692"/>
        <v>0</v>
      </c>
      <c r="BE286" s="215">
        <f t="shared" si="692"/>
        <v>0</v>
      </c>
      <c r="BF286" s="215">
        <f t="shared" si="692"/>
        <v>0</v>
      </c>
      <c r="BG286" s="215">
        <f t="shared" si="692"/>
        <v>0</v>
      </c>
      <c r="BH286" s="215">
        <f t="shared" si="692"/>
        <v>0</v>
      </c>
      <c r="BI286" s="215">
        <f t="shared" si="692"/>
        <v>0</v>
      </c>
      <c r="BJ286" s="215">
        <f t="shared" si="692"/>
        <v>0</v>
      </c>
      <c r="BK286" s="215">
        <f t="shared" si="692"/>
        <v>0</v>
      </c>
      <c r="BL286" s="215">
        <f t="shared" si="692"/>
        <v>0</v>
      </c>
      <c r="BM286" s="215">
        <f t="shared" si="692"/>
        <v>0</v>
      </c>
      <c r="BN286" s="215">
        <f t="shared" si="692"/>
        <v>0</v>
      </c>
      <c r="BO286" s="215">
        <f t="shared" si="692"/>
        <v>0</v>
      </c>
      <c r="BP286" s="215">
        <f t="shared" si="692"/>
        <v>0</v>
      </c>
      <c r="BQ286" s="215">
        <f t="shared" si="692"/>
        <v>0</v>
      </c>
      <c r="BR286" s="215">
        <f t="shared" si="692"/>
        <v>0</v>
      </c>
      <c r="BS286" s="215">
        <f t="shared" si="692"/>
        <v>0</v>
      </c>
      <c r="BT286" s="215">
        <f t="shared" si="692"/>
        <v>0</v>
      </c>
      <c r="BU286" s="215">
        <f t="shared" si="692"/>
        <v>0</v>
      </c>
      <c r="BV286" s="215">
        <f t="shared" si="692"/>
        <v>0</v>
      </c>
      <c r="BW286" s="215">
        <f t="shared" si="692"/>
        <v>0</v>
      </c>
      <c r="BX286" s="215">
        <f t="shared" si="692"/>
        <v>0</v>
      </c>
      <c r="BY286" s="215">
        <f t="shared" si="692"/>
        <v>0</v>
      </c>
      <c r="BZ286" s="215">
        <f t="shared" si="692"/>
        <v>0</v>
      </c>
      <c r="CA286" s="215">
        <f t="shared" si="692"/>
        <v>0</v>
      </c>
      <c r="CB286" s="215">
        <f t="shared" si="692"/>
        <v>0</v>
      </c>
      <c r="CC286" s="215">
        <f t="shared" si="692"/>
        <v>0</v>
      </c>
      <c r="CD286" s="215">
        <f t="shared" si="692"/>
        <v>0</v>
      </c>
      <c r="CE286" s="215">
        <f t="shared" si="692"/>
        <v>0</v>
      </c>
      <c r="CF286" s="215">
        <f t="shared" si="692"/>
        <v>0</v>
      </c>
      <c r="CG286" s="215">
        <f t="shared" si="692"/>
        <v>0</v>
      </c>
      <c r="CH286" s="215">
        <f t="shared" si="692"/>
        <v>0</v>
      </c>
      <c r="CI286" s="215">
        <f t="shared" si="692"/>
        <v>0</v>
      </c>
      <c r="CJ286" s="215">
        <f t="shared" si="692"/>
        <v>0</v>
      </c>
      <c r="CK286" s="215">
        <f t="shared" si="692"/>
        <v>0</v>
      </c>
      <c r="CL286" s="215">
        <f t="shared" si="692"/>
        <v>0</v>
      </c>
      <c r="CM286" s="215">
        <f t="shared" si="692"/>
        <v>0</v>
      </c>
      <c r="CN286" s="215">
        <f t="shared" si="692"/>
        <v>0</v>
      </c>
      <c r="CO286" s="215">
        <f t="shared" si="692"/>
        <v>0</v>
      </c>
      <c r="CP286" s="215"/>
      <c r="CQ286" s="207">
        <f t="shared" si="642"/>
        <v>0</v>
      </c>
      <c r="CR286" s="207">
        <f t="shared" si="643"/>
        <v>0</v>
      </c>
      <c r="CS286" s="207">
        <f t="shared" si="644"/>
        <v>0</v>
      </c>
      <c r="CT286" s="276">
        <f t="shared" si="645"/>
        <v>0</v>
      </c>
      <c r="CU286" s="215">
        <f t="shared" si="646"/>
        <v>0</v>
      </c>
      <c r="CV286" s="215">
        <f t="shared" si="647"/>
        <v>0</v>
      </c>
      <c r="CW286" s="279">
        <f t="shared" si="648"/>
        <v>0</v>
      </c>
      <c r="CX286" s="279">
        <f t="shared" si="649"/>
        <v>0</v>
      </c>
      <c r="CY286" s="279">
        <f t="shared" si="650"/>
        <v>0</v>
      </c>
      <c r="CZ286" s="207">
        <f t="shared" si="651"/>
        <v>0</v>
      </c>
      <c r="DA286" s="207">
        <f t="shared" si="652"/>
        <v>0</v>
      </c>
      <c r="DB286" s="216" t="s">
        <v>13908</v>
      </c>
    </row>
    <row r="287" spans="2:105" ht="13.5" customHeight="true">
      <c r="B287" s="161"/>
      <c r="E287" s="149"/>
      <c r="F287" s="171"/>
      <c r="G287" s="152" t="e">
        <f ca="true">G281+G271</f>
        <v>#REF!</v>
      </c>
      <c r="H287" s="152"/>
      <c r="I287" s="152"/>
      <c r="J287" s="152"/>
      <c r="K287" s="152"/>
      <c r="L287" s="205"/>
      <c r="M287" s="152"/>
      <c r="N287" s="152"/>
      <c r="O287" s="205"/>
      <c r="P287" s="152"/>
      <c r="Q287" s="152"/>
      <c r="R287" s="152"/>
      <c r="S287" s="152"/>
      <c r="T287" s="152"/>
      <c r="U287" s="152"/>
      <c r="V287" s="153"/>
      <c r="W287" s="152"/>
      <c r="X287" s="152"/>
      <c r="Y287" s="274"/>
      <c r="Z287" s="152"/>
      <c r="AA287" s="152"/>
      <c r="AB287" s="205"/>
      <c r="AC287" s="152"/>
      <c r="AD287" s="152"/>
      <c r="AE287" s="152"/>
      <c r="AF287" s="152"/>
      <c r="AG287" s="152"/>
      <c r="AH287" s="152"/>
      <c r="AI287" s="152"/>
      <c r="AJ287" s="152"/>
      <c r="AK287" s="152"/>
      <c r="AL287" s="205"/>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c r="BG287" s="152"/>
      <c r="BH287" s="152"/>
      <c r="BI287" s="152"/>
      <c r="BJ287" s="152"/>
      <c r="BK287" s="152"/>
      <c r="BL287" s="152"/>
      <c r="BM287" s="152"/>
      <c r="BN287" s="152"/>
      <c r="BO287" s="152"/>
      <c r="BP287" s="152"/>
      <c r="BQ287" s="152"/>
      <c r="BR287" s="152"/>
      <c r="BS287" s="152"/>
      <c r="BT287" s="152"/>
      <c r="BU287" s="152"/>
      <c r="BV287" s="152"/>
      <c r="BW287" s="152"/>
      <c r="BX287" s="152"/>
      <c r="BY287" s="152"/>
      <c r="BZ287" s="152"/>
      <c r="CA287" s="152"/>
      <c r="CB287" s="152"/>
      <c r="CC287" s="152"/>
      <c r="CD287" s="152"/>
      <c r="CE287" s="152"/>
      <c r="CF287" s="152"/>
      <c r="CG287" s="152"/>
      <c r="CH287" s="152"/>
      <c r="CI287" s="152"/>
      <c r="CJ287" s="152"/>
      <c r="CK287" s="152"/>
      <c r="CL287" s="152"/>
      <c r="CM287" s="152"/>
      <c r="CN287" s="152"/>
      <c r="CO287" s="152"/>
      <c r="CP287" s="152"/>
      <c r="CQ287" s="205"/>
      <c r="CR287" s="205"/>
      <c r="CS287" s="205"/>
      <c r="CT287" s="209"/>
      <c r="CU287" s="152"/>
      <c r="CV287" s="152"/>
      <c r="CW287" s="212"/>
      <c r="CX287" s="212"/>
      <c r="CY287" s="212"/>
      <c r="CZ287" s="205"/>
      <c r="DA287" s="205"/>
    </row>
    <row r="288" spans="1:105">
      <c r="A288" s="154" t="s">
        <v>14024</v>
      </c>
      <c r="B288" s="161"/>
      <c r="D288" s="154" t="s">
        <v>14025</v>
      </c>
      <c r="E288" s="149"/>
      <c r="F288" s="171"/>
      <c r="G288" s="152"/>
      <c r="H288" s="152"/>
      <c r="I288" s="152"/>
      <c r="J288" s="152"/>
      <c r="K288" s="152"/>
      <c r="L288" s="205"/>
      <c r="M288" s="152"/>
      <c r="N288" s="152"/>
      <c r="O288" s="205"/>
      <c r="P288" s="152"/>
      <c r="Q288" s="152"/>
      <c r="R288" s="152"/>
      <c r="S288" s="152"/>
      <c r="T288" s="152"/>
      <c r="U288" s="152"/>
      <c r="V288" s="153"/>
      <c r="W288" s="152"/>
      <c r="X288" s="152"/>
      <c r="Y288" s="205"/>
      <c r="Z288" s="152"/>
      <c r="AA288" s="152"/>
      <c r="AB288" s="205"/>
      <c r="AC288" s="152"/>
      <c r="AD288" s="152"/>
      <c r="AE288" s="152"/>
      <c r="AF288" s="152"/>
      <c r="AG288" s="152"/>
      <c r="AH288" s="152"/>
      <c r="AI288" s="152"/>
      <c r="AJ288" s="152"/>
      <c r="AK288" s="152"/>
      <c r="AL288" s="205"/>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c r="BG288" s="152"/>
      <c r="BH288" s="152"/>
      <c r="BI288" s="152"/>
      <c r="BJ288" s="152"/>
      <c r="BK288" s="152"/>
      <c r="BL288" s="152"/>
      <c r="BM288" s="152"/>
      <c r="BN288" s="152"/>
      <c r="BO288" s="152"/>
      <c r="BP288" s="152"/>
      <c r="BQ288" s="152"/>
      <c r="BR288" s="152"/>
      <c r="BS288" s="152"/>
      <c r="BT288" s="152"/>
      <c r="BU288" s="152"/>
      <c r="BV288" s="152"/>
      <c r="BW288" s="152"/>
      <c r="BX288" s="152"/>
      <c r="BY288" s="152"/>
      <c r="BZ288" s="152"/>
      <c r="CA288" s="152"/>
      <c r="CB288" s="152"/>
      <c r="CC288" s="152"/>
      <c r="CD288" s="152"/>
      <c r="CE288" s="152"/>
      <c r="CF288" s="152"/>
      <c r="CG288" s="152"/>
      <c r="CH288" s="152"/>
      <c r="CI288" s="152"/>
      <c r="CJ288" s="152"/>
      <c r="CK288" s="152"/>
      <c r="CL288" s="152"/>
      <c r="CM288" s="152"/>
      <c r="CN288" s="152"/>
      <c r="CO288" s="152"/>
      <c r="CP288" s="152"/>
      <c r="CQ288" s="205"/>
      <c r="CR288" s="205"/>
      <c r="CS288" s="205"/>
      <c r="CT288" s="209"/>
      <c r="CU288" s="152"/>
      <c r="CV288" s="152"/>
      <c r="CW288" s="212"/>
      <c r="CX288" s="212"/>
      <c r="CY288" s="212"/>
      <c r="CZ288" s="205"/>
      <c r="DA288" s="205"/>
    </row>
    <row r="289" spans="1:105">
      <c r="A289" s="154" t="s">
        <v>14026</v>
      </c>
      <c r="B289" s="161"/>
      <c r="D289" s="154" t="s">
        <v>14027</v>
      </c>
      <c r="E289" s="149"/>
      <c r="F289" s="171"/>
      <c r="G289" s="152"/>
      <c r="H289" s="152"/>
      <c r="I289" s="152"/>
      <c r="J289" s="152"/>
      <c r="K289" s="152"/>
      <c r="L289" s="205"/>
      <c r="M289" s="152"/>
      <c r="N289" s="152"/>
      <c r="O289" s="205"/>
      <c r="P289" s="152"/>
      <c r="Q289" s="152"/>
      <c r="R289" s="152"/>
      <c r="S289" s="152"/>
      <c r="T289" s="152"/>
      <c r="U289" s="152"/>
      <c r="V289" s="153"/>
      <c r="W289" s="152"/>
      <c r="X289" s="152" t="s">
        <v>14028</v>
      </c>
      <c r="Y289" s="205"/>
      <c r="Z289" s="152"/>
      <c r="AA289" s="152"/>
      <c r="AB289" s="205"/>
      <c r="AC289" s="152"/>
      <c r="AD289" s="152"/>
      <c r="AE289" s="152"/>
      <c r="AF289" s="152"/>
      <c r="AG289" s="152"/>
      <c r="AH289" s="152"/>
      <c r="AI289" s="152"/>
      <c r="AJ289" s="152"/>
      <c r="AK289" s="152"/>
      <c r="AL289" s="205"/>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c r="BG289" s="152"/>
      <c r="BH289" s="152"/>
      <c r="BI289" s="152"/>
      <c r="BJ289" s="152"/>
      <c r="BK289" s="152"/>
      <c r="BL289" s="152"/>
      <c r="BM289" s="152"/>
      <c r="BN289" s="152"/>
      <c r="BO289" s="152"/>
      <c r="BP289" s="152"/>
      <c r="BQ289" s="152"/>
      <c r="BR289" s="152"/>
      <c r="BS289" s="152"/>
      <c r="BT289" s="152"/>
      <c r="BU289" s="152"/>
      <c r="BV289" s="152"/>
      <c r="BW289" s="152"/>
      <c r="BX289" s="152"/>
      <c r="BY289" s="152"/>
      <c r="BZ289" s="152"/>
      <c r="CA289" s="152"/>
      <c r="CB289" s="152"/>
      <c r="CC289" s="152"/>
      <c r="CD289" s="152"/>
      <c r="CE289" s="152"/>
      <c r="CF289" s="152"/>
      <c r="CG289" s="152"/>
      <c r="CH289" s="152"/>
      <c r="CI289" s="152"/>
      <c r="CJ289" s="152"/>
      <c r="CK289" s="152"/>
      <c r="CL289" s="152"/>
      <c r="CM289" s="152"/>
      <c r="CN289" s="152"/>
      <c r="CO289" s="152"/>
      <c r="CP289" s="152"/>
      <c r="CQ289" s="205"/>
      <c r="CR289" s="205"/>
      <c r="CS289" s="205"/>
      <c r="CT289" s="209"/>
      <c r="CU289" s="152"/>
      <c r="CV289" s="152"/>
      <c r="CW289" s="212"/>
      <c r="CX289" s="212"/>
      <c r="CY289" s="212"/>
      <c r="CZ289" s="205"/>
      <c r="DA289" s="205"/>
    </row>
    <row r="290" spans="2:105">
      <c r="B290" s="161"/>
      <c r="E290" s="149"/>
      <c r="F290" s="171"/>
      <c r="G290" s="152"/>
      <c r="H290" s="152"/>
      <c r="I290" s="152"/>
      <c r="J290" s="152"/>
      <c r="K290" s="152"/>
      <c r="L290" s="205"/>
      <c r="M290" s="152"/>
      <c r="N290" s="152"/>
      <c r="O290" s="205"/>
      <c r="P290" s="152"/>
      <c r="Q290" s="152"/>
      <c r="R290" s="152"/>
      <c r="S290" s="152"/>
      <c r="T290" s="152"/>
      <c r="U290" s="152"/>
      <c r="V290" s="153"/>
      <c r="W290" s="152"/>
      <c r="X290" s="152"/>
      <c r="Y290" s="205"/>
      <c r="Z290" s="152"/>
      <c r="AA290" s="152"/>
      <c r="AB290" s="205"/>
      <c r="AC290" s="152"/>
      <c r="AD290" s="152"/>
      <c r="AE290" s="152"/>
      <c r="AF290" s="152"/>
      <c r="AG290" s="152"/>
      <c r="AH290" s="152"/>
      <c r="AI290" s="152"/>
      <c r="AJ290" s="152"/>
      <c r="AK290" s="152"/>
      <c r="AL290" s="205"/>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c r="BG290" s="152"/>
      <c r="BH290" s="152"/>
      <c r="BI290" s="152"/>
      <c r="BJ290" s="152"/>
      <c r="BK290" s="152"/>
      <c r="BL290" s="152"/>
      <c r="BM290" s="152"/>
      <c r="BN290" s="152"/>
      <c r="BO290" s="152"/>
      <c r="BP290" s="152"/>
      <c r="BQ290" s="152"/>
      <c r="BR290" s="152"/>
      <c r="BS290" s="152"/>
      <c r="BT290" s="152"/>
      <c r="BU290" s="152"/>
      <c r="BV290" s="152"/>
      <c r="BW290" s="152"/>
      <c r="BX290" s="152"/>
      <c r="BY290" s="152"/>
      <c r="BZ290" s="152"/>
      <c r="CA290" s="152"/>
      <c r="CB290" s="152"/>
      <c r="CC290" s="152"/>
      <c r="CD290" s="152"/>
      <c r="CE290" s="152"/>
      <c r="CF290" s="152"/>
      <c r="CG290" s="152"/>
      <c r="CH290" s="152"/>
      <c r="CI290" s="152"/>
      <c r="CJ290" s="152"/>
      <c r="CK290" s="152"/>
      <c r="CL290" s="152"/>
      <c r="CM290" s="152"/>
      <c r="CN290" s="152"/>
      <c r="CO290" s="152"/>
      <c r="CP290" s="152"/>
      <c r="CQ290" s="205"/>
      <c r="CR290" s="205"/>
      <c r="CS290" s="205"/>
      <c r="CT290" s="209"/>
      <c r="CU290" s="152"/>
      <c r="CV290" s="152"/>
      <c r="CW290" s="212"/>
      <c r="CX290" s="212"/>
      <c r="CY290" s="212"/>
      <c r="CZ290" s="205"/>
      <c r="DA290" s="205"/>
    </row>
    <row r="291" spans="2:106" ht="13.5" customHeight="true">
      <c r="B291" s="262"/>
      <c r="C291" s="263"/>
      <c r="D291" s="263"/>
      <c r="E291" s="270"/>
      <c r="F291" s="270"/>
      <c r="G291" s="271"/>
      <c r="H291" s="271"/>
      <c r="I291" s="271"/>
      <c r="J291" s="271"/>
      <c r="K291" s="271"/>
      <c r="L291" s="274"/>
      <c r="M291" s="271"/>
      <c r="N291" s="271"/>
      <c r="O291" s="274"/>
      <c r="P291" s="271"/>
      <c r="Q291" s="271"/>
      <c r="R291" s="271"/>
      <c r="S291" s="271"/>
      <c r="T291" s="271"/>
      <c r="U291" s="271"/>
      <c r="V291" s="270"/>
      <c r="W291" s="271"/>
      <c r="X291" s="271"/>
      <c r="Y291" s="274"/>
      <c r="Z291" s="271"/>
      <c r="AA291" s="271"/>
      <c r="AB291" s="274"/>
      <c r="AC291" s="271"/>
      <c r="AD291" s="271"/>
      <c r="AE291" s="271"/>
      <c r="AF291" s="271"/>
      <c r="AG291" s="271"/>
      <c r="AH291" s="271"/>
      <c r="AI291" s="271"/>
      <c r="AJ291" s="271"/>
      <c r="AK291" s="271"/>
      <c r="AL291" s="274"/>
      <c r="AM291" s="271"/>
      <c r="AN291" s="271"/>
      <c r="AO291" s="271"/>
      <c r="AP291" s="271"/>
      <c r="AQ291" s="271"/>
      <c r="AR291" s="271"/>
      <c r="AS291" s="271"/>
      <c r="AT291" s="271"/>
      <c r="AU291" s="271"/>
      <c r="AV291" s="271"/>
      <c r="AW291" s="271"/>
      <c r="AX291" s="271"/>
      <c r="AY291" s="271"/>
      <c r="AZ291" s="271"/>
      <c r="BA291" s="271"/>
      <c r="BB291" s="271"/>
      <c r="BC291" s="271"/>
      <c r="BD291" s="271"/>
      <c r="BE291" s="271"/>
      <c r="BF291" s="271"/>
      <c r="BG291" s="271"/>
      <c r="BH291" s="271"/>
      <c r="BI291" s="271"/>
      <c r="BJ291" s="271"/>
      <c r="BK291" s="271"/>
      <c r="BL291" s="271"/>
      <c r="BM291" s="271"/>
      <c r="BN291" s="271"/>
      <c r="BO291" s="271"/>
      <c r="BP291" s="271"/>
      <c r="BQ291" s="271"/>
      <c r="BR291" s="271"/>
      <c r="BS291" s="271"/>
      <c r="BT291" s="271"/>
      <c r="BU291" s="271"/>
      <c r="BV291" s="271"/>
      <c r="BW291" s="271"/>
      <c r="BX291" s="271"/>
      <c r="BY291" s="271"/>
      <c r="BZ291" s="271"/>
      <c r="CA291" s="271"/>
      <c r="CB291" s="271"/>
      <c r="CC291" s="271"/>
      <c r="CD291" s="271"/>
      <c r="CE291" s="271"/>
      <c r="CF291" s="271"/>
      <c r="CG291" s="271"/>
      <c r="CH291" s="271"/>
      <c r="CI291" s="271"/>
      <c r="CJ291" s="271"/>
      <c r="CK291" s="271"/>
      <c r="CL291" s="271"/>
      <c r="CM291" s="271"/>
      <c r="CN291" s="271"/>
      <c r="CO291" s="271"/>
      <c r="CP291" s="271"/>
      <c r="CQ291" s="274"/>
      <c r="CR291" s="274"/>
      <c r="CS291" s="274"/>
      <c r="CT291" s="277"/>
      <c r="CU291" s="271"/>
      <c r="CV291" s="271"/>
      <c r="CW291" s="280"/>
      <c r="CX291" s="280"/>
      <c r="CY291" s="280"/>
      <c r="CZ291" s="274"/>
      <c r="DA291" s="274"/>
      <c r="DB291" s="193"/>
    </row>
    <row r="292" spans="106:106">
      <c r="DB292" s="193"/>
    </row>
    <row r="293" spans="5:106">
      <c r="E293" s="272"/>
      <c r="DB293" s="193"/>
    </row>
    <row r="294" spans="12:38">
      <c r="L294" s="154"/>
      <c r="O294" s="154"/>
      <c r="V294" s="154"/>
      <c r="Y294" s="154"/>
      <c r="AB294" s="154"/>
      <c r="AL294" s="154"/>
    </row>
    <row r="295" spans="7:95">
      <c r="G295" s="152"/>
      <c r="H295" s="152"/>
      <c r="I295" s="152"/>
      <c r="J295" s="152"/>
      <c r="K295" s="152"/>
      <c r="L295" s="152"/>
      <c r="M295" s="152"/>
      <c r="N295" s="152"/>
      <c r="O295" s="152"/>
      <c r="P295" s="152"/>
      <c r="Q295" s="152"/>
      <c r="R295" s="152"/>
      <c r="S295" s="152"/>
      <c r="T295" s="152"/>
      <c r="U295" s="152"/>
      <c r="V295" s="152"/>
      <c r="W295" s="152"/>
      <c r="X295" s="152"/>
      <c r="Y295" s="152"/>
      <c r="Z295" s="152"/>
      <c r="AA295" s="152"/>
      <c r="AB295" s="152"/>
      <c r="AC295" s="152"/>
      <c r="AD295" s="152"/>
      <c r="AE295" s="152"/>
      <c r="AF295" s="152"/>
      <c r="AG295" s="152"/>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c r="BG295" s="152"/>
      <c r="BH295" s="152"/>
      <c r="BI295" s="152"/>
      <c r="BJ295" s="152"/>
      <c r="BK295" s="152"/>
      <c r="BL295" s="152"/>
      <c r="BM295" s="152"/>
      <c r="BN295" s="152"/>
      <c r="BO295" s="152"/>
      <c r="BP295" s="152"/>
      <c r="BQ295" s="152"/>
      <c r="BR295" s="152"/>
      <c r="BS295" s="152"/>
      <c r="BT295" s="152"/>
      <c r="BU295" s="152"/>
      <c r="BV295" s="152"/>
      <c r="BW295" s="152"/>
      <c r="BX295" s="152"/>
      <c r="BY295" s="152"/>
      <c r="BZ295" s="152"/>
      <c r="CA295" s="152"/>
      <c r="CB295" s="152"/>
      <c r="CC295" s="152"/>
      <c r="CD295" s="152"/>
      <c r="CE295" s="152"/>
      <c r="CF295" s="152"/>
      <c r="CG295" s="152"/>
      <c r="CH295" s="152"/>
      <c r="CI295" s="152"/>
      <c r="CJ295" s="152"/>
      <c r="CK295" s="152"/>
      <c r="CL295" s="152"/>
      <c r="CM295" s="152"/>
      <c r="CN295" s="152"/>
      <c r="CO295" s="152"/>
      <c r="CP295" s="152"/>
      <c r="CQ295" s="152"/>
    </row>
  </sheetData>
  <autoFilter ref="A7:CY291"/>
  <mergeCells count="7">
    <mergeCell ref="G6:L6"/>
    <mergeCell ref="M6:O6"/>
    <mergeCell ref="P6:Y6"/>
    <mergeCell ref="Z6:AB6"/>
    <mergeCell ref="AC6:AE6"/>
    <mergeCell ref="AF6:AL6"/>
    <mergeCell ref="AM6:CQ6"/>
  </mergeCells>
  <conditionalFormatting sqref="F48:CR48">
    <cfRule type="cellIs" dxfId="0" priority="2" operator="notEqual">
      <formula>0</formula>
    </cfRule>
  </conditionalFormatting>
  <conditionalFormatting sqref="CT48:DA48">
    <cfRule type="cellIs" dxfId="0" priority="3" operator="notEqual">
      <formula>0</formula>
    </cfRule>
  </conditionalFormatting>
  <conditionalFormatting sqref="D1:D12 D15 D20:D257 C258 D259:D1048576">
    <cfRule type="containsText" dxfId="1" priority="1" operator="between" text="EBITDA">
      <formula>NOT(ISERROR(SEARCH("EBITDA",C1)))</formula>
    </cfRule>
  </conditionalFormatting>
  <pageMargins left="0.75" right="0.75" top="1" bottom="1" header="0.5" footer="0.5"/>
  <pageSetup orientation="portrait" paperSize="1" useFirstPageNumber="true"/>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
  <sheetViews>
    <sheetView workbookViewId="0">
      <selection activeCell="A1" sqref="A1"/>
    </sheetView>
  </sheetViews>
  <sheetFormatPr defaultColWidth="9" defaultRowHeight="15" outlineLevelRow="7"/>
  <sheetData>
    <row r="1" spans="1:13" s="33" customFormat="true" ht="12.75" customHeight="true">
      <c r="A1" s="33" t="str">
        <f>B1&amp;" - "&amp;TRIM(H1)</f>
        <v>NET - Income Tax</v>
      </c>
      <c r="B1" s="33" t="str">
        <f>LEFT(D1,3)</f>
        <v>NET</v>
      </c>
      <c r="C1" s="33" t="str">
        <f>RIGHT(D1,10)</f>
        <v>61019-0000</v>
      </c>
      <c r="D1" s="64" t="s">
        <v>7556</v>
      </c>
      <c r="E1" s="64" t="s">
        <v>4041</v>
      </c>
      <c r="F1" s="64" t="s">
        <v>230</v>
      </c>
      <c r="G1" s="64" t="s">
        <v>3844</v>
      </c>
      <c r="H1" s="64" t="s">
        <v>3378</v>
      </c>
      <c r="I1" s="64" t="s">
        <v>4042</v>
      </c>
      <c r="J1" s="62">
        <v>5340</v>
      </c>
      <c r="K1" s="62">
        <v>5340</v>
      </c>
      <c r="L1" s="33" t="e">
        <f>HLOOKUP(B1,#REF!,1,0)</f>
        <v>#REF!</v>
      </c>
      <c r="M1" s="33" t="str">
        <f>IF(VALUE(LEFT(C1,5))&gt;40000,"P&amp;L","BS")</f>
        <v>P&amp;L</v>
      </c>
    </row>
    <row r="2" spans="1:13" s="33" customFormat="true" ht="12.75" customHeight="true">
      <c r="A2" s="33" t="str">
        <f>B2&amp;" - "&amp;TRIM(H2)</f>
        <v>LOM - Income Tax</v>
      </c>
      <c r="B2" s="33" t="str">
        <f>LEFT(D2,3)</f>
        <v>LOM</v>
      </c>
      <c r="C2" s="33" t="str">
        <f>RIGHT(D2,10)</f>
        <v>61019-0000</v>
      </c>
      <c r="D2" s="64" t="s">
        <v>7222</v>
      </c>
      <c r="E2" s="64" t="s">
        <v>4041</v>
      </c>
      <c r="F2" s="64" t="s">
        <v>230</v>
      </c>
      <c r="G2" s="64" t="s">
        <v>3844</v>
      </c>
      <c r="H2" s="64" t="s">
        <v>3378</v>
      </c>
      <c r="I2" s="64" t="s">
        <v>4042</v>
      </c>
      <c r="J2" s="62">
        <v>1154.42</v>
      </c>
      <c r="K2" s="62">
        <v>1154.42</v>
      </c>
      <c r="L2" s="33" t="e">
        <f>HLOOKUP(B2,#REF!,1,0)</f>
        <v>#REF!</v>
      </c>
      <c r="M2" s="33" t="str">
        <f>IF(VALUE(LEFT(C2,5))&gt;40000,"P&amp;L","BS")</f>
        <v>P&amp;L</v>
      </c>
    </row>
    <row r="3" spans="1:13">
      <c r="A3" s="33" t="str">
        <f>B3&amp;" - "&amp;TRIM(H3)</f>
        <v>STO - Income Tax</v>
      </c>
      <c r="B3" s="33" t="str">
        <f>LEFT(D3,3)</f>
        <v>STO</v>
      </c>
      <c r="C3" s="33" t="str">
        <f>RIGHT(D3,10)</f>
        <v>61019-0000</v>
      </c>
      <c r="D3" t="s">
        <v>12779</v>
      </c>
      <c r="E3" t="s">
        <v>4041</v>
      </c>
      <c r="F3" t="s">
        <v>230</v>
      </c>
      <c r="G3" t="s">
        <v>3844</v>
      </c>
      <c r="H3" t="s">
        <v>3378</v>
      </c>
      <c r="I3" t="s">
        <v>4042</v>
      </c>
      <c r="J3" s="147">
        <v>1089.78</v>
      </c>
      <c r="K3" s="71">
        <v>1089.78</v>
      </c>
      <c r="L3" s="33" t="e">
        <f>HLOOKUP(B3,#REF!,1,0)</f>
        <v>#REF!</v>
      </c>
      <c r="M3" s="33" t="str">
        <f>IF(VALUE(LEFT(C3,5))&gt;40000,"P&amp;L","BS")</f>
        <v>P&amp;L</v>
      </c>
    </row>
    <row r="4" spans="1:13" s="33" customFormat="true" ht="12.75" customHeight="true">
      <c r="A4" s="33" t="str">
        <f>B4&amp;" - "&amp;TRIM(H4)</f>
        <v>API - Income Tax</v>
      </c>
      <c r="B4" s="33" t="str">
        <f>LEFT(D4,3)</f>
        <v>API</v>
      </c>
      <c r="C4" s="33" t="str">
        <f>RIGHT(D4,10)</f>
        <v>61019-0000</v>
      </c>
      <c r="D4" s="64" t="s">
        <v>4284</v>
      </c>
      <c r="E4" s="64" t="s">
        <v>4041</v>
      </c>
      <c r="F4" s="64" t="s">
        <v>230</v>
      </c>
      <c r="G4" s="64" t="s">
        <v>3844</v>
      </c>
      <c r="H4" s="64" t="s">
        <v>3378</v>
      </c>
      <c r="I4" s="64" t="s">
        <v>4042</v>
      </c>
      <c r="J4" s="62">
        <v>800</v>
      </c>
      <c r="K4" s="62">
        <v>800</v>
      </c>
      <c r="L4" s="33" t="e">
        <f>HLOOKUP(B4,#REF!,1,0)</f>
        <v>#REF!</v>
      </c>
      <c r="M4" s="33" t="str">
        <f>IF(VALUE(LEFT(C4,5))&gt;40000,"P&amp;L","BS")</f>
        <v>P&amp;L</v>
      </c>
    </row>
    <row r="5" spans="1:13" s="33" customFormat="true" ht="12.75" customHeight="true">
      <c r="A5" s="33" t="str">
        <f>B5&amp;" - "&amp;TRIM(H5)</f>
        <v>GRA - Deposits</v>
      </c>
      <c r="B5" s="33" t="str">
        <f>LEFT(D5,3)</f>
        <v>GRA</v>
      </c>
      <c r="C5" s="33" t="str">
        <f>RIGHT(D5,10)</f>
        <v>19000-0000</v>
      </c>
      <c r="D5" s="64" t="s">
        <v>1318</v>
      </c>
      <c r="E5" s="64" t="s">
        <v>342</v>
      </c>
      <c r="F5" s="64" t="s">
        <v>230</v>
      </c>
      <c r="G5" s="64" t="s">
        <v>62</v>
      </c>
      <c r="H5" s="64" t="s">
        <v>80</v>
      </c>
      <c r="I5" s="64" t="s">
        <v>81</v>
      </c>
      <c r="J5" s="62">
        <v>-120000</v>
      </c>
      <c r="K5" s="62">
        <v>0</v>
      </c>
      <c r="L5" s="33" t="e">
        <f>HLOOKUP(B5,#REF!,1,0)</f>
        <v>#REF!</v>
      </c>
      <c r="M5" s="33" t="str">
        <f>IF(VALUE(LEFT(C5,5))&gt;40000,"P&amp;L","BS")</f>
        <v>BS</v>
      </c>
    </row>
    <row r="6" spans="1:13" s="33" customFormat="true" ht="12.75" customHeight="true">
      <c r="A6" s="33" t="s">
        <v>14029</v>
      </c>
      <c r="B6" s="33" t="s">
        <v>13865</v>
      </c>
      <c r="C6" s="33" t="s">
        <v>14030</v>
      </c>
      <c r="D6" s="64" t="s">
        <v>862</v>
      </c>
      <c r="E6" s="64" t="s">
        <v>863</v>
      </c>
      <c r="F6" s="64" t="s">
        <v>679</v>
      </c>
      <c r="G6" s="64" t="s">
        <v>62</v>
      </c>
      <c r="H6" s="64" t="s">
        <v>80</v>
      </c>
      <c r="I6" s="64" t="s">
        <v>81</v>
      </c>
      <c r="J6" s="62">
        <v>4821200</v>
      </c>
      <c r="K6" s="62">
        <v>8294544</v>
      </c>
      <c r="L6" s="33" t="s">
        <v>13865</v>
      </c>
      <c r="M6" s="33" t="s">
        <v>14031</v>
      </c>
    </row>
    <row r="7" spans="1:13" s="33" customFormat="true" ht="12.75" customHeight="true">
      <c r="A7" s="33" t="s">
        <v>14032</v>
      </c>
      <c r="B7" s="33" t="s">
        <v>13865</v>
      </c>
      <c r="C7" s="33" t="s">
        <v>14033</v>
      </c>
      <c r="D7" s="64" t="s">
        <v>868</v>
      </c>
      <c r="E7" s="64" t="s">
        <v>869</v>
      </c>
      <c r="F7" s="64" t="s">
        <v>681</v>
      </c>
      <c r="G7" s="64" t="s">
        <v>97</v>
      </c>
      <c r="H7" s="64" t="s">
        <v>866</v>
      </c>
      <c r="I7" s="64" t="s">
        <v>867</v>
      </c>
      <c r="J7" s="62">
        <v>-4268000</v>
      </c>
      <c r="K7" s="62">
        <v>-2521907.22</v>
      </c>
      <c r="L7" s="33" t="s">
        <v>13865</v>
      </c>
      <c r="M7" s="33" t="s">
        <v>14031</v>
      </c>
    </row>
    <row r="8" spans="1:13" s="33" customFormat="true" ht="12.75" customHeight="true">
      <c r="A8" s="33" t="s">
        <v>14032</v>
      </c>
      <c r="B8" s="33" t="s">
        <v>13865</v>
      </c>
      <c r="C8" s="33" t="s">
        <v>14034</v>
      </c>
      <c r="D8" s="64" t="s">
        <v>870</v>
      </c>
      <c r="E8" s="64" t="s">
        <v>871</v>
      </c>
      <c r="F8" s="64" t="s">
        <v>679</v>
      </c>
      <c r="G8" s="64" t="s">
        <v>97</v>
      </c>
      <c r="H8" s="64" t="s">
        <v>866</v>
      </c>
      <c r="I8" s="64" t="s">
        <v>867</v>
      </c>
      <c r="J8" s="62">
        <v>-1300000</v>
      </c>
      <c r="K8" s="62">
        <v>-5350000</v>
      </c>
      <c r="L8" s="33" t="s">
        <v>13865</v>
      </c>
      <c r="M8" s="33" t="s">
        <v>14031</v>
      </c>
    </row>
  </sheetData>
  <pageMargins left="0.7" right="0.7" top="0.75" bottom="0.75" header="0.511811023622047" footer="0.511811023622047"/>
  <pageSetup horizontalDpi="300" orientation="portrait" paperSize="9" useFirstPageNumber="true"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P415"/>
  <sheetViews>
    <sheetView zoomScale="115" zoomScaleNormal="115" workbookViewId="0">
      <pane activePane="bottomLeft" state="frozen" topLeftCell="A3" ySplit="2"/>
      <selection/>
      <selection activeCell="D7" pane="bottomLeft" sqref="D7"/>
    </sheetView>
  </sheetViews>
  <sheetFormatPr defaultColWidth="9.14" defaultRowHeight="12" customHeight="true"/>
  <cols>
    <col customWidth="true" max="1" min="1" style="136" width="35.4266666666667"/>
    <col customWidth="true" max="2" min="2" style="136" width="2.28666666666667"/>
    <col customWidth="true" max="3" min="3" style="136" width="10.7133333333333"/>
    <col customWidth="true" max="4" min="4" style="136" width="24.8533333333333"/>
    <col customWidth="true" max="5" min="5" style="136" width="9.14"/>
    <col customWidth="true" max="6" min="6" style="136" width="2"/>
    <col customWidth="true" max="7" min="7" style="136" width="3.57333333333333"/>
    <col customWidth="true" max="8" min="8" style="136" width="9.14"/>
    <col customWidth="true" max="9" min="9" style="137" width="5.42666666666667"/>
    <col customWidth="true" max="10" min="10" style="138" width="27.2866666666667"/>
    <col customWidth="true" max="11" min="11" style="138" width="23.7133333333333"/>
    <col customWidth="true" max="12" min="12" style="138" width="37.7133333333333"/>
    <col customWidth="true" max="16384" min="13" style="136" width="9.14"/>
  </cols>
  <sheetData>
    <row r="1" spans="4:12" s="135" customFormat="true">
      <c r="D1" s="135">
        <v>1</v>
      </c>
      <c r="E1" s="135">
        <f t="shared" ref="E1:I1" si="0">+D1+1</f>
        <v>2</v>
      </c>
      <c r="F1" s="135">
        <f t="shared" si="0"/>
        <v>3</v>
      </c>
      <c r="G1" s="135">
        <f t="shared" si="0"/>
        <v>4</v>
      </c>
      <c r="H1" s="135">
        <f t="shared" si="0"/>
        <v>5</v>
      </c>
      <c r="I1" s="135">
        <f t="shared" si="0"/>
        <v>6</v>
      </c>
      <c r="J1" s="140">
        <v>7</v>
      </c>
      <c r="K1" s="140">
        <v>8</v>
      </c>
      <c r="L1" s="140">
        <v>9</v>
      </c>
    </row>
    <row r="2" spans="1:12">
      <c r="A2" s="136">
        <v>1</v>
      </c>
      <c r="J2" s="141" t="s">
        <v>6</v>
      </c>
      <c r="K2" s="141" t="s">
        <v>7</v>
      </c>
      <c r="L2" s="142" t="s">
        <v>8</v>
      </c>
    </row>
    <row r="3" spans="1:9">
      <c r="A3" s="139" t="str">
        <f t="shared" ref="A3:A66" si="1">C3&amp;" "&amp;D3</f>
        <v>10000-0000 ASSETS</v>
      </c>
      <c r="B3" s="139" t="s">
        <v>14035</v>
      </c>
      <c r="C3" s="139" t="s">
        <v>14036</v>
      </c>
      <c r="D3" s="139" t="s">
        <v>14037</v>
      </c>
      <c r="E3" s="139"/>
      <c r="F3" s="139">
        <v>0</v>
      </c>
      <c r="G3" s="139" t="s">
        <v>14038</v>
      </c>
      <c r="I3" s="143" t="s">
        <v>14039</v>
      </c>
    </row>
    <row r="4" spans="1:9">
      <c r="A4" s="139" t="str">
        <f t="shared" si="1"/>
        <v>10000-1000 CURRENT ASSETS</v>
      </c>
      <c r="B4" s="139" t="s">
        <v>14035</v>
      </c>
      <c r="C4" s="139" t="s">
        <v>14040</v>
      </c>
      <c r="D4" s="139" t="s">
        <v>14041</v>
      </c>
      <c r="E4" s="139"/>
      <c r="F4" s="139">
        <v>0</v>
      </c>
      <c r="G4" s="139" t="s">
        <v>14038</v>
      </c>
      <c r="I4" s="143" t="s">
        <v>14039</v>
      </c>
    </row>
    <row r="5" spans="1:9">
      <c r="A5" s="139" t="str">
        <f t="shared" si="1"/>
        <v>10000-5000 CASH AND CASH EQUIVALENT</v>
      </c>
      <c r="B5" s="139" t="s">
        <v>14035</v>
      </c>
      <c r="C5" s="139" t="s">
        <v>14042</v>
      </c>
      <c r="D5" s="139" t="s">
        <v>14043</v>
      </c>
      <c r="E5" s="139"/>
      <c r="F5" s="139">
        <v>0</v>
      </c>
      <c r="G5" s="139" t="s">
        <v>14038</v>
      </c>
      <c r="I5" s="143" t="s">
        <v>14039</v>
      </c>
    </row>
    <row r="6" spans="1:12">
      <c r="A6" s="139" t="str">
        <f t="shared" si="1"/>
        <v>10001-0000 General Checking  - BOW</v>
      </c>
      <c r="B6" s="139" t="s">
        <v>14044</v>
      </c>
      <c r="C6" s="139" t="s">
        <v>14045</v>
      </c>
      <c r="D6" s="139" t="s">
        <v>13221</v>
      </c>
      <c r="E6" s="139"/>
      <c r="F6" s="139">
        <v>1</v>
      </c>
      <c r="G6" s="139" t="s">
        <v>14038</v>
      </c>
      <c r="I6" s="143" t="s">
        <v>14039</v>
      </c>
      <c r="J6" s="138" t="s">
        <v>16</v>
      </c>
      <c r="K6" s="138" t="s">
        <v>25</v>
      </c>
      <c r="L6" s="138" t="s">
        <v>18</v>
      </c>
    </row>
    <row r="7" spans="1:12">
      <c r="A7" s="139" t="str">
        <f t="shared" si="1"/>
        <v>10003-0000 General Checking - BOC</v>
      </c>
      <c r="B7" s="139" t="s">
        <v>14044</v>
      </c>
      <c r="C7" s="139" t="s">
        <v>14046</v>
      </c>
      <c r="D7" s="139" t="s">
        <v>13349</v>
      </c>
      <c r="E7" s="139"/>
      <c r="F7" s="139">
        <v>1</v>
      </c>
      <c r="G7" s="139" t="s">
        <v>14038</v>
      </c>
      <c r="I7" s="143" t="s">
        <v>14039</v>
      </c>
      <c r="J7" s="138" t="s">
        <v>16</v>
      </c>
      <c r="K7" s="138" t="s">
        <v>25</v>
      </c>
      <c r="L7" s="138" t="s">
        <v>18</v>
      </c>
    </row>
    <row r="8" spans="1:12">
      <c r="A8" s="139" t="str">
        <f t="shared" si="1"/>
        <v>10004-0000 General Checking - UB</v>
      </c>
      <c r="B8" s="139" t="s">
        <v>14044</v>
      </c>
      <c r="C8" s="139" t="s">
        <v>14047</v>
      </c>
      <c r="D8" s="139" t="s">
        <v>14048</v>
      </c>
      <c r="E8" s="139"/>
      <c r="F8" s="139">
        <v>1</v>
      </c>
      <c r="G8" s="139" t="s">
        <v>14038</v>
      </c>
      <c r="I8" s="143" t="s">
        <v>14039</v>
      </c>
      <c r="J8" s="138" t="s">
        <v>16</v>
      </c>
      <c r="K8" s="138" t="s">
        <v>25</v>
      </c>
      <c r="L8" s="138" t="s">
        <v>18</v>
      </c>
    </row>
    <row r="9" spans="1:12">
      <c r="A9" s="139" t="str">
        <f t="shared" si="1"/>
        <v>10005-0000 General Checking - CBC</v>
      </c>
      <c r="B9" s="139" t="s">
        <v>14044</v>
      </c>
      <c r="C9" s="139" t="s">
        <v>14049</v>
      </c>
      <c r="D9" s="139" t="s">
        <v>13413</v>
      </c>
      <c r="E9" s="139"/>
      <c r="F9" s="139">
        <v>1</v>
      </c>
      <c r="G9" s="139" t="s">
        <v>14038</v>
      </c>
      <c r="I9" s="143" t="s">
        <v>14039</v>
      </c>
      <c r="J9" s="138" t="s">
        <v>16</v>
      </c>
      <c r="K9" s="138" t="s">
        <v>25</v>
      </c>
      <c r="L9" s="138" t="s">
        <v>18</v>
      </c>
    </row>
    <row r="10" spans="1:12">
      <c r="A10" s="139" t="str">
        <f t="shared" si="1"/>
        <v>10006-0000 General Checking - BofA</v>
      </c>
      <c r="B10" s="139" t="s">
        <v>14044</v>
      </c>
      <c r="C10" s="139" t="s">
        <v>14050</v>
      </c>
      <c r="D10" s="139" t="s">
        <v>13223</v>
      </c>
      <c r="E10" s="139"/>
      <c r="F10" s="139">
        <v>1</v>
      </c>
      <c r="G10" s="139" t="s">
        <v>14038</v>
      </c>
      <c r="I10" s="143" t="s">
        <v>14039</v>
      </c>
      <c r="J10" s="138" t="s">
        <v>16</v>
      </c>
      <c r="K10" s="138" t="s">
        <v>25</v>
      </c>
      <c r="L10" s="138" t="s">
        <v>18</v>
      </c>
    </row>
    <row r="11" spans="1:12">
      <c r="A11" s="139" t="str">
        <f t="shared" si="1"/>
        <v>10009-0000 General Checking  3rd Party</v>
      </c>
      <c r="B11" s="139" t="s">
        <v>14044</v>
      </c>
      <c r="C11" s="139" t="s">
        <v>14051</v>
      </c>
      <c r="D11" s="139" t="s">
        <v>14052</v>
      </c>
      <c r="E11" s="139"/>
      <c r="F11" s="139">
        <v>0</v>
      </c>
      <c r="G11" s="139" t="s">
        <v>14038</v>
      </c>
      <c r="I11" s="143" t="s">
        <v>14039</v>
      </c>
      <c r="J11" s="138" t="s">
        <v>16</v>
      </c>
      <c r="K11" s="138" t="s">
        <v>25</v>
      </c>
      <c r="L11" s="138" t="s">
        <v>18</v>
      </c>
    </row>
    <row r="12" spans="1:12">
      <c r="A12" s="139" t="str">
        <f t="shared" si="1"/>
        <v>10010-0000 Cash Restricted Account</v>
      </c>
      <c r="B12" s="139" t="s">
        <v>14044</v>
      </c>
      <c r="C12" s="139" t="s">
        <v>14053</v>
      </c>
      <c r="D12" s="139" t="s">
        <v>14054</v>
      </c>
      <c r="E12" s="139"/>
      <c r="F12" s="139">
        <v>1</v>
      </c>
      <c r="G12" s="139" t="s">
        <v>14038</v>
      </c>
      <c r="I12" s="143" t="s">
        <v>14039</v>
      </c>
      <c r="J12" s="138" t="s">
        <v>16</v>
      </c>
      <c r="K12" s="138" t="s">
        <v>25</v>
      </c>
      <c r="L12" s="138" t="s">
        <v>18</v>
      </c>
    </row>
    <row r="13" spans="1:12">
      <c r="A13" s="139" t="str">
        <f t="shared" si="1"/>
        <v>10011-0000 General Checking - CAPEX BofA</v>
      </c>
      <c r="B13" s="139" t="s">
        <v>14044</v>
      </c>
      <c r="C13" s="139" t="s">
        <v>14055</v>
      </c>
      <c r="D13" s="139" t="s">
        <v>14056</v>
      </c>
      <c r="E13" s="139"/>
      <c r="F13" s="139">
        <v>1</v>
      </c>
      <c r="G13" s="139" t="s">
        <v>14038</v>
      </c>
      <c r="I13" s="143" t="s">
        <v>14039</v>
      </c>
      <c r="J13" s="138" t="s">
        <v>16</v>
      </c>
      <c r="K13" s="138" t="s">
        <v>358</v>
      </c>
      <c r="L13" s="138" t="s">
        <v>18</v>
      </c>
    </row>
    <row r="14" spans="1:12">
      <c r="A14" s="139" t="str">
        <f t="shared" si="1"/>
        <v>10012-0000 General Checking - CAPEX CBC</v>
      </c>
      <c r="B14" s="139" t="s">
        <v>14044</v>
      </c>
      <c r="C14" s="139" t="s">
        <v>14057</v>
      </c>
      <c r="D14" s="139" t="s">
        <v>14058</v>
      </c>
      <c r="E14" s="139"/>
      <c r="F14" s="139">
        <v>1</v>
      </c>
      <c r="G14" s="139" t="s">
        <v>14038</v>
      </c>
      <c r="I14" s="143" t="s">
        <v>14039</v>
      </c>
      <c r="J14" s="138" t="s">
        <v>16</v>
      </c>
      <c r="K14" s="138" t="s">
        <v>25</v>
      </c>
      <c r="L14" s="138" t="s">
        <v>18</v>
      </c>
    </row>
    <row r="15" spans="1:12">
      <c r="A15" s="139" t="str">
        <f t="shared" si="1"/>
        <v>10023-0000 Depository  WF</v>
      </c>
      <c r="B15" s="139" t="s">
        <v>14044</v>
      </c>
      <c r="C15" s="139" t="s">
        <v>14059</v>
      </c>
      <c r="D15" s="139" t="s">
        <v>13708</v>
      </c>
      <c r="E15" s="139"/>
      <c r="F15" s="139">
        <v>1</v>
      </c>
      <c r="G15" s="139" t="s">
        <v>14038</v>
      </c>
      <c r="I15" s="143" t="s">
        <v>14039</v>
      </c>
      <c r="J15" s="138" t="s">
        <v>16</v>
      </c>
      <c r="K15" s="138" t="s">
        <v>25</v>
      </c>
      <c r="L15" s="138" t="s">
        <v>18</v>
      </c>
    </row>
    <row r="16" spans="1:12">
      <c r="A16" s="139" t="str">
        <f t="shared" si="1"/>
        <v>10024-0000 General Checking - Signature Bank</v>
      </c>
      <c r="B16" s="139" t="s">
        <v>14044</v>
      </c>
      <c r="C16" s="139" t="s">
        <v>14060</v>
      </c>
      <c r="D16" s="139" t="s">
        <v>13638</v>
      </c>
      <c r="E16" s="139"/>
      <c r="F16" s="139">
        <v>0</v>
      </c>
      <c r="G16" s="139" t="s">
        <v>14038</v>
      </c>
      <c r="I16" s="143" t="s">
        <v>14039</v>
      </c>
      <c r="J16" s="138" t="s">
        <v>16</v>
      </c>
      <c r="K16" s="138" t="s">
        <v>25</v>
      </c>
      <c r="L16" s="138" t="s">
        <v>18</v>
      </c>
    </row>
    <row r="17" spans="1:12">
      <c r="A17" s="139" t="str">
        <f t="shared" si="1"/>
        <v>10027-0000 General Checking - Rabo Bank</v>
      </c>
      <c r="B17" s="139" t="s">
        <v>14044</v>
      </c>
      <c r="C17" s="139" t="s">
        <v>14061</v>
      </c>
      <c r="D17" s="139" t="s">
        <v>13416</v>
      </c>
      <c r="E17" s="139"/>
      <c r="F17" s="139">
        <v>0</v>
      </c>
      <c r="G17" s="139" t="s">
        <v>14038</v>
      </c>
      <c r="I17" s="143" t="s">
        <v>14039</v>
      </c>
      <c r="J17" s="138" t="s">
        <v>16</v>
      </c>
      <c r="K17" s="138" t="s">
        <v>25</v>
      </c>
      <c r="L17" s="138" t="s">
        <v>18</v>
      </c>
    </row>
    <row r="18" spans="1:12">
      <c r="A18" s="139" t="str">
        <f t="shared" si="1"/>
        <v>10050-0000 Security Deposit</v>
      </c>
      <c r="B18" s="139" t="s">
        <v>14044</v>
      </c>
      <c r="C18" s="139" t="s">
        <v>14062</v>
      </c>
      <c r="D18" s="139" t="s">
        <v>907</v>
      </c>
      <c r="E18" s="139"/>
      <c r="F18" s="139">
        <v>0</v>
      </c>
      <c r="G18" s="139" t="s">
        <v>14038</v>
      </c>
      <c r="I18" s="143" t="s">
        <v>14039</v>
      </c>
      <c r="J18" s="138" t="s">
        <v>97</v>
      </c>
      <c r="K18" s="138" t="s">
        <v>98</v>
      </c>
      <c r="L18" s="138" t="s">
        <v>102</v>
      </c>
    </row>
    <row r="19" spans="1:9">
      <c r="A19" s="139" t="str">
        <f t="shared" si="1"/>
        <v>10199-0000 TOTAL CASH AND CASH EQUIVALENT</v>
      </c>
      <c r="B19" s="139" t="s">
        <v>14063</v>
      </c>
      <c r="C19" s="139" t="s">
        <v>14064</v>
      </c>
      <c r="D19" s="139" t="s">
        <v>14065</v>
      </c>
      <c r="E19" s="139"/>
      <c r="F19" s="139">
        <v>1</v>
      </c>
      <c r="G19" s="139" t="s">
        <v>14038</v>
      </c>
      <c r="I19" s="143" t="s">
        <v>14039</v>
      </c>
    </row>
    <row r="20" spans="1:9">
      <c r="A20" s="139" t="str">
        <f t="shared" si="1"/>
        <v>11000-0000 INTERCOMPANY</v>
      </c>
      <c r="B20" s="139" t="s">
        <v>14035</v>
      </c>
      <c r="C20" s="139" t="s">
        <v>14066</v>
      </c>
      <c r="D20" s="139" t="s">
        <v>14067</v>
      </c>
      <c r="E20" s="139"/>
      <c r="F20" s="139">
        <v>0</v>
      </c>
      <c r="G20" s="139" t="s">
        <v>14038</v>
      </c>
      <c r="I20" s="143" t="s">
        <v>14039</v>
      </c>
    </row>
    <row r="21" spans="1:12">
      <c r="A21" s="139" t="str">
        <f t="shared" si="1"/>
        <v>11200-0000 Interco  SCL</v>
      </c>
      <c r="B21" s="139" t="s">
        <v>14044</v>
      </c>
      <c r="C21" s="139" t="s">
        <v>14068</v>
      </c>
      <c r="D21" s="139" t="s">
        <v>14069</v>
      </c>
      <c r="E21" s="139"/>
      <c r="F21" s="139">
        <v>0</v>
      </c>
      <c r="G21" s="139" t="s">
        <v>14038</v>
      </c>
      <c r="I21" s="143" t="s">
        <v>14039</v>
      </c>
      <c r="J21" s="138" t="s">
        <v>16</v>
      </c>
      <c r="K21" s="138" t="s">
        <v>39</v>
      </c>
      <c r="L21" s="138" t="s">
        <v>40</v>
      </c>
    </row>
    <row r="22" spans="1:12">
      <c r="A22" s="139" t="str">
        <f t="shared" si="1"/>
        <v>11201-0000 Interco  SG</v>
      </c>
      <c r="B22" s="139" t="s">
        <v>14044</v>
      </c>
      <c r="C22" s="139" t="s">
        <v>14070</v>
      </c>
      <c r="D22" s="139" t="s">
        <v>14071</v>
      </c>
      <c r="E22" s="139"/>
      <c r="F22" s="139">
        <v>0</v>
      </c>
      <c r="G22" s="139" t="s">
        <v>14038</v>
      </c>
      <c r="I22" s="143" t="s">
        <v>14039</v>
      </c>
      <c r="J22" s="138" t="s">
        <v>16</v>
      </c>
      <c r="K22" s="138" t="s">
        <v>39</v>
      </c>
      <c r="L22" s="138" t="s">
        <v>40</v>
      </c>
    </row>
    <row r="23" spans="1:12">
      <c r="A23" s="139" t="str">
        <f t="shared" si="1"/>
        <v>11202-0000 Interco  FFC</v>
      </c>
      <c r="B23" s="139" t="s">
        <v>14044</v>
      </c>
      <c r="C23" s="139" t="s">
        <v>14072</v>
      </c>
      <c r="D23" s="139" t="s">
        <v>14073</v>
      </c>
      <c r="E23" s="139"/>
      <c r="F23" s="139">
        <v>0</v>
      </c>
      <c r="G23" s="139" t="s">
        <v>14038</v>
      </c>
      <c r="I23" s="143" t="s">
        <v>14039</v>
      </c>
      <c r="J23" s="138" t="s">
        <v>16</v>
      </c>
      <c r="K23" s="138" t="s">
        <v>39</v>
      </c>
      <c r="L23" s="138" t="s">
        <v>40</v>
      </c>
    </row>
    <row r="24" spans="1:12">
      <c r="A24" s="139" t="str">
        <f t="shared" si="1"/>
        <v>11203-0000 Interco  H-N</v>
      </c>
      <c r="B24" s="139" t="s">
        <v>14044</v>
      </c>
      <c r="C24" s="139" t="s">
        <v>14074</v>
      </c>
      <c r="D24" s="139" t="s">
        <v>14075</v>
      </c>
      <c r="E24" s="139"/>
      <c r="F24" s="139">
        <v>0</v>
      </c>
      <c r="G24" s="139" t="s">
        <v>14038</v>
      </c>
      <c r="I24" s="143" t="s">
        <v>14039</v>
      </c>
      <c r="J24" s="138" t="s">
        <v>16</v>
      </c>
      <c r="K24" s="138" t="s">
        <v>39</v>
      </c>
      <c r="L24" s="138" t="s">
        <v>40</v>
      </c>
    </row>
    <row r="25" spans="1:12">
      <c r="A25" s="139" t="str">
        <f t="shared" si="1"/>
        <v>11204-0000 Interco  DFG</v>
      </c>
      <c r="B25" s="139" t="s">
        <v>14044</v>
      </c>
      <c r="C25" s="139" t="s">
        <v>14076</v>
      </c>
      <c r="D25" s="139" t="s">
        <v>14077</v>
      </c>
      <c r="E25" s="139"/>
      <c r="F25" s="139">
        <v>0</v>
      </c>
      <c r="G25" s="139" t="s">
        <v>14038</v>
      </c>
      <c r="I25" s="143" t="s">
        <v>14039</v>
      </c>
      <c r="J25" s="138" t="s">
        <v>16</v>
      </c>
      <c r="K25" s="138" t="s">
        <v>39</v>
      </c>
      <c r="L25" s="138" t="s">
        <v>40</v>
      </c>
    </row>
    <row r="26" spans="1:12">
      <c r="A26" s="139" t="str">
        <f t="shared" si="1"/>
        <v>11208-0000 Interco  SRE</v>
      </c>
      <c r="B26" s="139" t="s">
        <v>14044</v>
      </c>
      <c r="C26" s="139" t="s">
        <v>14078</v>
      </c>
      <c r="D26" s="139" t="s">
        <v>14079</v>
      </c>
      <c r="E26" s="139"/>
      <c r="F26" s="139">
        <v>0</v>
      </c>
      <c r="G26" s="139" t="s">
        <v>14038</v>
      </c>
      <c r="I26" s="143" t="s">
        <v>14039</v>
      </c>
      <c r="J26" s="138" t="s">
        <v>16</v>
      </c>
      <c r="K26" s="138" t="s">
        <v>39</v>
      </c>
      <c r="L26" s="138" t="s">
        <v>40</v>
      </c>
    </row>
    <row r="27" spans="1:12">
      <c r="A27" s="139" t="str">
        <f t="shared" si="1"/>
        <v>11210-0000 Interco  REM</v>
      </c>
      <c r="B27" s="139" t="s">
        <v>14044</v>
      </c>
      <c r="C27" s="139" t="s">
        <v>14080</v>
      </c>
      <c r="D27" s="139" t="s">
        <v>14081</v>
      </c>
      <c r="E27" s="139"/>
      <c r="F27" s="139">
        <v>0</v>
      </c>
      <c r="G27" s="139" t="s">
        <v>14038</v>
      </c>
      <c r="I27" s="143" t="s">
        <v>14039</v>
      </c>
      <c r="J27" s="138" t="s">
        <v>16</v>
      </c>
      <c r="K27" s="138" t="s">
        <v>39</v>
      </c>
      <c r="L27" s="138" t="s">
        <v>40</v>
      </c>
    </row>
    <row r="28" spans="1:12">
      <c r="A28" s="139" t="str">
        <f t="shared" si="1"/>
        <v>11212-0000 Interco  FRM</v>
      </c>
      <c r="B28" s="139" t="s">
        <v>14044</v>
      </c>
      <c r="C28" s="139" t="s">
        <v>14082</v>
      </c>
      <c r="D28" s="139" t="s">
        <v>14083</v>
      </c>
      <c r="E28" s="139"/>
      <c r="F28" s="139">
        <v>0</v>
      </c>
      <c r="G28" s="139" t="s">
        <v>14038</v>
      </c>
      <c r="I28" s="143" t="s">
        <v>14039</v>
      </c>
      <c r="J28" s="138" t="s">
        <v>16</v>
      </c>
      <c r="K28" s="138" t="s">
        <v>39</v>
      </c>
      <c r="L28" s="138" t="s">
        <v>40</v>
      </c>
    </row>
    <row r="29" spans="1:12">
      <c r="A29" s="139" t="str">
        <f t="shared" si="1"/>
        <v>11214-0000 Interco D7R</v>
      </c>
      <c r="B29" s="139" t="s">
        <v>14044</v>
      </c>
      <c r="C29" s="139" t="s">
        <v>14084</v>
      </c>
      <c r="D29" s="139" t="s">
        <v>14085</v>
      </c>
      <c r="E29" s="139"/>
      <c r="F29" s="139">
        <v>0</v>
      </c>
      <c r="G29" s="139" t="s">
        <v>14038</v>
      </c>
      <c r="I29" s="143" t="s">
        <v>14039</v>
      </c>
      <c r="J29" s="138" t="s">
        <v>16</v>
      </c>
      <c r="K29" s="138" t="s">
        <v>39</v>
      </c>
      <c r="L29" s="138" t="s">
        <v>40</v>
      </c>
    </row>
    <row r="30" spans="1:12">
      <c r="A30" s="139" t="str">
        <f t="shared" si="1"/>
        <v>11215-0000 Interco  CDP</v>
      </c>
      <c r="B30" s="139" t="s">
        <v>14044</v>
      </c>
      <c r="C30" s="139" t="s">
        <v>14086</v>
      </c>
      <c r="D30" s="139" t="s">
        <v>14087</v>
      </c>
      <c r="E30" s="139"/>
      <c r="F30" s="139">
        <v>0</v>
      </c>
      <c r="G30" s="139" t="s">
        <v>14038</v>
      </c>
      <c r="I30" s="143" t="s">
        <v>14039</v>
      </c>
      <c r="J30" s="138" t="s">
        <v>16</v>
      </c>
      <c r="K30" s="138" t="s">
        <v>39</v>
      </c>
      <c r="L30" s="138" t="s">
        <v>40</v>
      </c>
    </row>
    <row r="31" spans="1:12">
      <c r="A31" s="139" t="str">
        <f t="shared" si="1"/>
        <v>11216-0000 Interco  SIL</v>
      </c>
      <c r="B31" s="139" t="s">
        <v>14044</v>
      </c>
      <c r="C31" s="139" t="s">
        <v>14088</v>
      </c>
      <c r="D31" s="139" t="s">
        <v>13224</v>
      </c>
      <c r="E31" s="139"/>
      <c r="F31" s="139">
        <v>0</v>
      </c>
      <c r="G31" s="139" t="s">
        <v>14038</v>
      </c>
      <c r="I31" s="143" t="s">
        <v>14039</v>
      </c>
      <c r="J31" s="138" t="s">
        <v>16</v>
      </c>
      <c r="K31" s="138" t="s">
        <v>39</v>
      </c>
      <c r="L31" s="138" t="s">
        <v>40</v>
      </c>
    </row>
    <row r="32" spans="1:12">
      <c r="A32" s="139" t="str">
        <f t="shared" si="1"/>
        <v>11232-0000 Interco-SC2</v>
      </c>
      <c r="B32" s="139" t="s">
        <v>14044</v>
      </c>
      <c r="C32" s="139" t="s">
        <v>14089</v>
      </c>
      <c r="D32" s="139" t="s">
        <v>12486</v>
      </c>
      <c r="E32" s="139"/>
      <c r="F32" s="139">
        <v>0</v>
      </c>
      <c r="G32" s="139" t="s">
        <v>14038</v>
      </c>
      <c r="I32" s="143" t="s">
        <v>14039</v>
      </c>
      <c r="J32" s="138" t="s">
        <v>16</v>
      </c>
      <c r="K32" s="138" t="s">
        <v>39</v>
      </c>
      <c r="L32" s="138" t="s">
        <v>40</v>
      </c>
    </row>
    <row r="33" spans="1:12">
      <c r="A33" s="139" t="str">
        <f t="shared" si="1"/>
        <v>11301-0000 Interco  CRE</v>
      </c>
      <c r="B33" s="139" t="s">
        <v>14044</v>
      </c>
      <c r="C33" s="139" t="s">
        <v>14090</v>
      </c>
      <c r="D33" s="139" t="s">
        <v>13225</v>
      </c>
      <c r="E33" s="139"/>
      <c r="F33" s="139">
        <v>0</v>
      </c>
      <c r="G33" s="139" t="s">
        <v>14038</v>
      </c>
      <c r="I33" s="143" t="s">
        <v>14039</v>
      </c>
      <c r="J33" s="138" t="s">
        <v>16</v>
      </c>
      <c r="K33" s="138" t="s">
        <v>39</v>
      </c>
      <c r="L33" s="138" t="s">
        <v>40</v>
      </c>
    </row>
    <row r="34" spans="1:12">
      <c r="A34" s="139" t="str">
        <f t="shared" si="1"/>
        <v>11302-0000 Interco  CHA</v>
      </c>
      <c r="B34" s="139" t="s">
        <v>14044</v>
      </c>
      <c r="C34" s="139" t="s">
        <v>14091</v>
      </c>
      <c r="D34" s="139" t="s">
        <v>13226</v>
      </c>
      <c r="E34" s="139"/>
      <c r="F34" s="139">
        <v>0</v>
      </c>
      <c r="G34" s="139" t="s">
        <v>14038</v>
      </c>
      <c r="I34" s="143" t="s">
        <v>14039</v>
      </c>
      <c r="J34" s="138" t="s">
        <v>16</v>
      </c>
      <c r="K34" s="138" t="s">
        <v>39</v>
      </c>
      <c r="L34" s="138" t="s">
        <v>40</v>
      </c>
    </row>
    <row r="35" spans="1:12">
      <c r="A35" s="139" t="str">
        <f t="shared" si="1"/>
        <v>11303-0000 Interco  DIA</v>
      </c>
      <c r="B35" s="139" t="s">
        <v>14044</v>
      </c>
      <c r="C35" s="139" t="s">
        <v>14092</v>
      </c>
      <c r="D35" s="139" t="s">
        <v>13227</v>
      </c>
      <c r="E35" s="139"/>
      <c r="F35" s="139">
        <v>0</v>
      </c>
      <c r="G35" s="139" t="s">
        <v>14038</v>
      </c>
      <c r="I35" s="143" t="s">
        <v>14039</v>
      </c>
      <c r="J35" s="138" t="s">
        <v>16</v>
      </c>
      <c r="K35" s="138" t="s">
        <v>39</v>
      </c>
      <c r="L35" s="138" t="s">
        <v>40</v>
      </c>
    </row>
    <row r="36" spans="1:12">
      <c r="A36" s="139" t="str">
        <f t="shared" si="1"/>
        <v>11304-0000 Interco  EAG</v>
      </c>
      <c r="B36" s="139" t="s">
        <v>14044</v>
      </c>
      <c r="C36" s="139" t="s">
        <v>14093</v>
      </c>
      <c r="D36" s="139" t="s">
        <v>13228</v>
      </c>
      <c r="E36" s="139"/>
      <c r="F36" s="139">
        <v>0</v>
      </c>
      <c r="G36" s="139" t="s">
        <v>14038</v>
      </c>
      <c r="I36" s="143" t="s">
        <v>14039</v>
      </c>
      <c r="J36" s="138" t="s">
        <v>16</v>
      </c>
      <c r="K36" s="138" t="s">
        <v>39</v>
      </c>
      <c r="L36" s="138" t="s">
        <v>40</v>
      </c>
    </row>
    <row r="37" spans="1:12">
      <c r="A37" s="139" t="str">
        <f t="shared" si="1"/>
        <v>11305-0000 Interco  NEW</v>
      </c>
      <c r="B37" s="139" t="s">
        <v>14044</v>
      </c>
      <c r="C37" s="139" t="s">
        <v>14094</v>
      </c>
      <c r="D37" s="139" t="s">
        <v>13229</v>
      </c>
      <c r="E37" s="139"/>
      <c r="F37" s="139">
        <v>0</v>
      </c>
      <c r="G37" s="139" t="s">
        <v>14038</v>
      </c>
      <c r="I37" s="143" t="s">
        <v>14039</v>
      </c>
      <c r="J37" s="138" t="s">
        <v>16</v>
      </c>
      <c r="K37" s="138" t="s">
        <v>39</v>
      </c>
      <c r="L37" s="138" t="s">
        <v>40</v>
      </c>
    </row>
    <row r="38" spans="1:12">
      <c r="A38" s="139" t="str">
        <f t="shared" si="1"/>
        <v>11307-0000 Interco  NES</v>
      </c>
      <c r="B38" s="139" t="s">
        <v>14044</v>
      </c>
      <c r="C38" s="139" t="s">
        <v>14095</v>
      </c>
      <c r="D38" s="139" t="s">
        <v>14096</v>
      </c>
      <c r="E38" s="139"/>
      <c r="F38" s="139">
        <v>0</v>
      </c>
      <c r="G38" s="139" t="s">
        <v>14038</v>
      </c>
      <c r="I38" s="143" t="s">
        <v>14039</v>
      </c>
      <c r="J38" s="138" t="s">
        <v>16</v>
      </c>
      <c r="K38" s="138" t="s">
        <v>39</v>
      </c>
      <c r="L38" s="138" t="s">
        <v>40</v>
      </c>
    </row>
    <row r="39" spans="1:12">
      <c r="A39" s="139" t="str">
        <f t="shared" si="1"/>
        <v>11308-0000 Interco  Laguna</v>
      </c>
      <c r="B39" s="139" t="s">
        <v>14044</v>
      </c>
      <c r="C39" s="139" t="s">
        <v>14097</v>
      </c>
      <c r="D39" s="139" t="s">
        <v>13476</v>
      </c>
      <c r="E39" s="139"/>
      <c r="F39" s="139">
        <v>0</v>
      </c>
      <c r="G39" s="139" t="s">
        <v>14038</v>
      </c>
      <c r="I39" s="143" t="s">
        <v>14039</v>
      </c>
      <c r="J39" s="138" t="s">
        <v>16</v>
      </c>
      <c r="K39" s="138" t="s">
        <v>39</v>
      </c>
      <c r="L39" s="138" t="s">
        <v>40</v>
      </c>
    </row>
    <row r="40" spans="1:12">
      <c r="A40" s="139" t="str">
        <f t="shared" si="1"/>
        <v>11309-0000 Interco  GPI</v>
      </c>
      <c r="B40" s="139" t="s">
        <v>14044</v>
      </c>
      <c r="C40" s="139" t="s">
        <v>14098</v>
      </c>
      <c r="D40" s="139" t="s">
        <v>13230</v>
      </c>
      <c r="E40" s="139"/>
      <c r="F40" s="139">
        <v>0</v>
      </c>
      <c r="G40" s="139" t="s">
        <v>14038</v>
      </c>
      <c r="I40" s="143" t="s">
        <v>14039</v>
      </c>
      <c r="J40" s="138" t="s">
        <v>16</v>
      </c>
      <c r="K40" s="138" t="s">
        <v>39</v>
      </c>
      <c r="L40" s="138" t="s">
        <v>40</v>
      </c>
    </row>
    <row r="41" spans="1:12">
      <c r="A41" s="139" t="str">
        <f t="shared" si="1"/>
        <v>11310-0000 Interco  ALP</v>
      </c>
      <c r="B41" s="139" t="s">
        <v>14044</v>
      </c>
      <c r="C41" s="139" t="s">
        <v>14099</v>
      </c>
      <c r="D41" s="139" t="s">
        <v>13231</v>
      </c>
      <c r="E41" s="139"/>
      <c r="F41" s="139">
        <v>0</v>
      </c>
      <c r="G41" s="139" t="s">
        <v>14038</v>
      </c>
      <c r="I41" s="143" t="s">
        <v>14039</v>
      </c>
      <c r="J41" s="138" t="s">
        <v>16</v>
      </c>
      <c r="K41" s="138" t="s">
        <v>39</v>
      </c>
      <c r="L41" s="138" t="s">
        <v>40</v>
      </c>
    </row>
    <row r="42" spans="1:12">
      <c r="A42" s="139" t="str">
        <f t="shared" si="1"/>
        <v>11311-0000 Interco  BET</v>
      </c>
      <c r="B42" s="139" t="s">
        <v>14044</v>
      </c>
      <c r="C42" s="139" t="s">
        <v>14100</v>
      </c>
      <c r="D42" s="139" t="s">
        <v>13232</v>
      </c>
      <c r="E42" s="139"/>
      <c r="F42" s="139">
        <v>0</v>
      </c>
      <c r="G42" s="139" t="s">
        <v>14038</v>
      </c>
      <c r="I42" s="143" t="s">
        <v>14039</v>
      </c>
      <c r="J42" s="138" t="s">
        <v>16</v>
      </c>
      <c r="K42" s="138" t="s">
        <v>39</v>
      </c>
      <c r="L42" s="138" t="s">
        <v>40</v>
      </c>
    </row>
    <row r="43" spans="1:12">
      <c r="A43" s="139" t="str">
        <f t="shared" si="1"/>
        <v>11312-0000 Interco  DEL</v>
      </c>
      <c r="B43" s="139" t="s">
        <v>14044</v>
      </c>
      <c r="C43" s="139" t="s">
        <v>14101</v>
      </c>
      <c r="D43" s="139" t="s">
        <v>14102</v>
      </c>
      <c r="E43" s="139"/>
      <c r="F43" s="139">
        <v>0</v>
      </c>
      <c r="G43" s="139" t="s">
        <v>14038</v>
      </c>
      <c r="I43" s="143" t="s">
        <v>14039</v>
      </c>
      <c r="J43" s="138" t="s">
        <v>16</v>
      </c>
      <c r="K43" s="138" t="s">
        <v>39</v>
      </c>
      <c r="L43" s="138" t="s">
        <v>40</v>
      </c>
    </row>
    <row r="44" spans="1:12">
      <c r="A44" s="139" t="str">
        <f t="shared" si="1"/>
        <v>11313-0000 Interco  DOL</v>
      </c>
      <c r="B44" s="139" t="s">
        <v>14044</v>
      </c>
      <c r="C44" s="139" t="s">
        <v>14103</v>
      </c>
      <c r="D44" s="139" t="s">
        <v>13233</v>
      </c>
      <c r="E44" s="139"/>
      <c r="F44" s="139">
        <v>0</v>
      </c>
      <c r="G44" s="139" t="s">
        <v>14038</v>
      </c>
      <c r="I44" s="143" t="s">
        <v>14039</v>
      </c>
      <c r="J44" s="138" t="s">
        <v>16</v>
      </c>
      <c r="K44" s="138" t="s">
        <v>39</v>
      </c>
      <c r="L44" s="138" t="s">
        <v>40</v>
      </c>
    </row>
    <row r="45" spans="1:12">
      <c r="A45" s="139" t="str">
        <f t="shared" si="1"/>
        <v>11314-0000 Interco  GRI</v>
      </c>
      <c r="B45" s="139" t="s">
        <v>14044</v>
      </c>
      <c r="C45" s="139" t="s">
        <v>14104</v>
      </c>
      <c r="D45" s="139" t="s">
        <v>13351</v>
      </c>
      <c r="E45" s="139"/>
      <c r="F45" s="139">
        <v>0</v>
      </c>
      <c r="G45" s="139" t="s">
        <v>14038</v>
      </c>
      <c r="I45" s="143" t="s">
        <v>14039</v>
      </c>
      <c r="J45" s="138" t="s">
        <v>16</v>
      </c>
      <c r="K45" s="138" t="s">
        <v>39</v>
      </c>
      <c r="L45" s="138" t="s">
        <v>40</v>
      </c>
    </row>
    <row r="46" spans="1:12">
      <c r="A46" s="139" t="str">
        <f t="shared" si="1"/>
        <v>11315-0000 Interco  PUR</v>
      </c>
      <c r="B46" s="139" t="s">
        <v>14044</v>
      </c>
      <c r="C46" s="139" t="s">
        <v>14105</v>
      </c>
      <c r="D46" s="139" t="s">
        <v>13234</v>
      </c>
      <c r="E46" s="139"/>
      <c r="F46" s="139">
        <v>0</v>
      </c>
      <c r="G46" s="139" t="s">
        <v>14038</v>
      </c>
      <c r="I46" s="143" t="s">
        <v>14039</v>
      </c>
      <c r="J46" s="138" t="s">
        <v>16</v>
      </c>
      <c r="K46" s="138" t="s">
        <v>39</v>
      </c>
      <c r="L46" s="138" t="s">
        <v>40</v>
      </c>
    </row>
    <row r="47" spans="1:12">
      <c r="A47" s="139" t="str">
        <f t="shared" si="1"/>
        <v>11316-0000 Interco  VAL</v>
      </c>
      <c r="B47" s="139" t="s">
        <v>14044</v>
      </c>
      <c r="C47" s="139" t="s">
        <v>14106</v>
      </c>
      <c r="D47" s="139" t="s">
        <v>13235</v>
      </c>
      <c r="E47" s="139"/>
      <c r="F47" s="139">
        <v>0</v>
      </c>
      <c r="G47" s="139" t="s">
        <v>14038</v>
      </c>
      <c r="I47" s="143" t="s">
        <v>14039</v>
      </c>
      <c r="J47" s="138" t="s">
        <v>16</v>
      </c>
      <c r="K47" s="138" t="s">
        <v>39</v>
      </c>
      <c r="L47" s="138" t="s">
        <v>40</v>
      </c>
    </row>
    <row r="48" spans="1:12">
      <c r="A48" s="139" t="str">
        <f t="shared" si="1"/>
        <v>11317-0000 IntecoAKG</v>
      </c>
      <c r="B48" s="139" t="s">
        <v>14044</v>
      </c>
      <c r="C48" s="139" t="s">
        <v>14107</v>
      </c>
      <c r="D48" s="139" t="s">
        <v>13352</v>
      </c>
      <c r="E48" s="139"/>
      <c r="F48" s="139">
        <v>0</v>
      </c>
      <c r="G48" s="139" t="s">
        <v>14038</v>
      </c>
      <c r="I48" s="143" t="s">
        <v>14039</v>
      </c>
      <c r="J48" s="138" t="s">
        <v>16</v>
      </c>
      <c r="K48" s="138" t="s">
        <v>39</v>
      </c>
      <c r="L48" s="138" t="s">
        <v>40</v>
      </c>
    </row>
    <row r="49" spans="1:12">
      <c r="A49" s="139" t="str">
        <f t="shared" si="1"/>
        <v>11318-0000 IntercoFIR</v>
      </c>
      <c r="B49" s="139" t="s">
        <v>14044</v>
      </c>
      <c r="C49" s="139" t="s">
        <v>14108</v>
      </c>
      <c r="D49" s="139" t="s">
        <v>13477</v>
      </c>
      <c r="E49" s="139"/>
      <c r="F49" s="139">
        <v>0</v>
      </c>
      <c r="G49" s="139" t="s">
        <v>14038</v>
      </c>
      <c r="I49" s="143" t="s">
        <v>14039</v>
      </c>
      <c r="J49" s="138" t="s">
        <v>16</v>
      </c>
      <c r="K49" s="138" t="s">
        <v>39</v>
      </c>
      <c r="L49" s="138" t="s">
        <v>40</v>
      </c>
    </row>
    <row r="50" spans="1:12">
      <c r="A50" s="139" t="str">
        <f t="shared" si="1"/>
        <v>11319-0000 Interco GST</v>
      </c>
      <c r="B50" s="139" t="s">
        <v>14044</v>
      </c>
      <c r="C50" s="139" t="s">
        <v>14109</v>
      </c>
      <c r="D50" s="139" t="s">
        <v>266</v>
      </c>
      <c r="E50" s="139"/>
      <c r="F50" s="139">
        <v>0</v>
      </c>
      <c r="G50" s="139" t="s">
        <v>14038</v>
      </c>
      <c r="I50" s="143" t="s">
        <v>14039</v>
      </c>
      <c r="J50" s="138" t="s">
        <v>16</v>
      </c>
      <c r="K50" s="138" t="s">
        <v>39</v>
      </c>
      <c r="L50" s="138" t="s">
        <v>40</v>
      </c>
    </row>
    <row r="51" spans="1:12">
      <c r="A51" s="139" t="str">
        <f t="shared" si="1"/>
        <v>11320-0000 Interco  HDN</v>
      </c>
      <c r="B51" s="139" t="s">
        <v>14044</v>
      </c>
      <c r="C51" s="139" t="s">
        <v>14110</v>
      </c>
      <c r="D51" s="139" t="s">
        <v>14111</v>
      </c>
      <c r="E51" s="139"/>
      <c r="F51" s="139">
        <v>0</v>
      </c>
      <c r="G51" s="139" t="s">
        <v>14038</v>
      </c>
      <c r="I51" s="143" t="s">
        <v>14039</v>
      </c>
      <c r="J51" s="138" t="s">
        <v>16</v>
      </c>
      <c r="K51" s="138" t="s">
        <v>39</v>
      </c>
      <c r="L51" s="138" t="s">
        <v>40</v>
      </c>
    </row>
    <row r="52" spans="1:12">
      <c r="A52" s="139" t="str">
        <f t="shared" si="1"/>
        <v>11321-0000 IntercoOVA</v>
      </c>
      <c r="B52" s="139" t="s">
        <v>14044</v>
      </c>
      <c r="C52" s="139" t="s">
        <v>14112</v>
      </c>
      <c r="D52" s="139" t="s">
        <v>13236</v>
      </c>
      <c r="E52" s="139"/>
      <c r="F52" s="139">
        <v>0</v>
      </c>
      <c r="G52" s="139" t="s">
        <v>14038</v>
      </c>
      <c r="I52" s="143" t="s">
        <v>14039</v>
      </c>
      <c r="J52" s="138" t="s">
        <v>16</v>
      </c>
      <c r="K52" s="138" t="s">
        <v>39</v>
      </c>
      <c r="L52" s="138" t="s">
        <v>40</v>
      </c>
    </row>
    <row r="53" spans="1:12">
      <c r="A53" s="139" t="str">
        <f t="shared" si="1"/>
        <v>11322-0000 IntercoWOO</v>
      </c>
      <c r="B53" s="139" t="s">
        <v>14044</v>
      </c>
      <c r="C53" s="139" t="s">
        <v>14113</v>
      </c>
      <c r="D53" s="139" t="s">
        <v>13237</v>
      </c>
      <c r="E53" s="139"/>
      <c r="F53" s="139">
        <v>0</v>
      </c>
      <c r="G53" s="139" t="s">
        <v>14038</v>
      </c>
      <c r="I53" s="143" t="s">
        <v>14039</v>
      </c>
      <c r="J53" s="138" t="s">
        <v>16</v>
      </c>
      <c r="K53" s="138" t="s">
        <v>39</v>
      </c>
      <c r="L53" s="138" t="s">
        <v>40</v>
      </c>
    </row>
    <row r="54" spans="1:12">
      <c r="A54" s="139" t="str">
        <f t="shared" si="1"/>
        <v>11323-0000 Interco  SPI</v>
      </c>
      <c r="B54" s="139" t="s">
        <v>14044</v>
      </c>
      <c r="C54" s="139" t="s">
        <v>14114</v>
      </c>
      <c r="D54" s="139" t="s">
        <v>13478</v>
      </c>
      <c r="E54" s="139"/>
      <c r="F54" s="139">
        <v>0</v>
      </c>
      <c r="G54" s="139" t="s">
        <v>14038</v>
      </c>
      <c r="I54" s="143" t="s">
        <v>14039</v>
      </c>
      <c r="J54" s="138" t="s">
        <v>16</v>
      </c>
      <c r="K54" s="138" t="s">
        <v>39</v>
      </c>
      <c r="L54" s="138" t="s">
        <v>40</v>
      </c>
    </row>
    <row r="55" spans="1:12">
      <c r="A55" s="139" t="str">
        <f t="shared" si="1"/>
        <v>11324-0000 IntercoNET</v>
      </c>
      <c r="B55" s="139" t="s">
        <v>14044</v>
      </c>
      <c r="C55" s="139" t="s">
        <v>14115</v>
      </c>
      <c r="D55" s="139" t="s">
        <v>13238</v>
      </c>
      <c r="E55" s="139"/>
      <c r="F55" s="139">
        <v>0</v>
      </c>
      <c r="G55" s="139" t="s">
        <v>14038</v>
      </c>
      <c r="I55" s="143" t="s">
        <v>14039</v>
      </c>
      <c r="J55" s="138" t="s">
        <v>16</v>
      </c>
      <c r="K55" s="138" t="s">
        <v>39</v>
      </c>
      <c r="L55" s="138" t="s">
        <v>40</v>
      </c>
    </row>
    <row r="56" spans="1:12">
      <c r="A56" s="139" t="str">
        <f t="shared" si="1"/>
        <v>11325-0000 Interco  DPI</v>
      </c>
      <c r="B56" s="139" t="s">
        <v>14044</v>
      </c>
      <c r="C56" s="139" t="s">
        <v>14116</v>
      </c>
      <c r="D56" s="139" t="s">
        <v>13239</v>
      </c>
      <c r="E56" s="139"/>
      <c r="F56" s="139">
        <v>0</v>
      </c>
      <c r="G56" s="139" t="s">
        <v>14038</v>
      </c>
      <c r="I56" s="143" t="s">
        <v>14039</v>
      </c>
      <c r="J56" s="138" t="s">
        <v>16</v>
      </c>
      <c r="K56" s="138" t="s">
        <v>39</v>
      </c>
      <c r="L56" s="138" t="s">
        <v>40</v>
      </c>
    </row>
    <row r="57" spans="1:12">
      <c r="A57" s="139" t="str">
        <f t="shared" si="1"/>
        <v>11326-0000 Interco  SEK</v>
      </c>
      <c r="B57" s="139" t="s">
        <v>14044</v>
      </c>
      <c r="C57" s="139" t="s">
        <v>14117</v>
      </c>
      <c r="D57" s="139" t="s">
        <v>13240</v>
      </c>
      <c r="E57" s="139"/>
      <c r="F57" s="139">
        <v>0</v>
      </c>
      <c r="G57" s="139" t="s">
        <v>14038</v>
      </c>
      <c r="I57" s="143" t="s">
        <v>14039</v>
      </c>
      <c r="J57" s="138" t="s">
        <v>16</v>
      </c>
      <c r="K57" s="138" t="s">
        <v>39</v>
      </c>
      <c r="L57" s="138" t="s">
        <v>40</v>
      </c>
    </row>
    <row r="58" spans="1:12">
      <c r="A58" s="139" t="str">
        <f t="shared" si="1"/>
        <v>11327-0000 Interco  CPI</v>
      </c>
      <c r="B58" s="139" t="s">
        <v>14044</v>
      </c>
      <c r="C58" s="139" t="s">
        <v>14118</v>
      </c>
      <c r="D58" s="139" t="s">
        <v>14119</v>
      </c>
      <c r="E58" s="139"/>
      <c r="F58" s="139">
        <v>0</v>
      </c>
      <c r="G58" s="139" t="s">
        <v>14038</v>
      </c>
      <c r="I58" s="143" t="s">
        <v>14039</v>
      </c>
      <c r="J58" s="138" t="s">
        <v>16</v>
      </c>
      <c r="K58" s="138" t="s">
        <v>39</v>
      </c>
      <c r="L58" s="138" t="s">
        <v>40</v>
      </c>
    </row>
    <row r="59" spans="1:12">
      <c r="A59" s="139" t="str">
        <f t="shared" si="1"/>
        <v>11328-0000 Interco  LOM</v>
      </c>
      <c r="B59" s="139" t="s">
        <v>14044</v>
      </c>
      <c r="C59" s="139" t="s">
        <v>14120</v>
      </c>
      <c r="D59" s="139" t="s">
        <v>13241</v>
      </c>
      <c r="E59" s="139"/>
      <c r="F59" s="139">
        <v>0</v>
      </c>
      <c r="G59" s="139" t="s">
        <v>14038</v>
      </c>
      <c r="I59" s="143" t="s">
        <v>14039</v>
      </c>
      <c r="J59" s="138" t="s">
        <v>16</v>
      </c>
      <c r="K59" s="138" t="s">
        <v>39</v>
      </c>
      <c r="L59" s="138" t="s">
        <v>40</v>
      </c>
    </row>
    <row r="60" spans="1:12">
      <c r="A60" s="139" t="str">
        <f t="shared" si="1"/>
        <v>11329-0000 Interco  AKS</v>
      </c>
      <c r="B60" s="139" t="s">
        <v>14044</v>
      </c>
      <c r="C60" s="139" t="s">
        <v>14121</v>
      </c>
      <c r="D60" s="139" t="s">
        <v>13353</v>
      </c>
      <c r="E60" s="139"/>
      <c r="F60" s="139">
        <v>0</v>
      </c>
      <c r="G60" s="139" t="s">
        <v>14038</v>
      </c>
      <c r="I60" s="143" t="s">
        <v>14039</v>
      </c>
      <c r="J60" s="138" t="s">
        <v>16</v>
      </c>
      <c r="K60" s="138" t="s">
        <v>39</v>
      </c>
      <c r="L60" s="138" t="s">
        <v>40</v>
      </c>
    </row>
    <row r="61" spans="1:12">
      <c r="A61" s="139" t="str">
        <f t="shared" si="1"/>
        <v>11330-0000 Interco  MAR</v>
      </c>
      <c r="B61" s="139" t="s">
        <v>14044</v>
      </c>
      <c r="C61" s="139" t="s">
        <v>14122</v>
      </c>
      <c r="D61" s="139" t="s">
        <v>13242</v>
      </c>
      <c r="E61" s="139"/>
      <c r="F61" s="139">
        <v>0</v>
      </c>
      <c r="G61" s="139" t="s">
        <v>14038</v>
      </c>
      <c r="I61" s="143" t="s">
        <v>14039</v>
      </c>
      <c r="J61" s="138" t="s">
        <v>16</v>
      </c>
      <c r="K61" s="138" t="s">
        <v>39</v>
      </c>
      <c r="L61" s="138" t="s">
        <v>40</v>
      </c>
    </row>
    <row r="62" spans="1:12">
      <c r="A62" s="139" t="str">
        <f t="shared" si="1"/>
        <v>11331-0000 Interco  WIL</v>
      </c>
      <c r="B62" s="139" t="s">
        <v>14044</v>
      </c>
      <c r="C62" s="139" t="s">
        <v>14123</v>
      </c>
      <c r="D62" s="139" t="s">
        <v>13354</v>
      </c>
      <c r="E62" s="139"/>
      <c r="F62" s="139">
        <v>0</v>
      </c>
      <c r="G62" s="139" t="s">
        <v>14038</v>
      </c>
      <c r="I62" s="143" t="s">
        <v>14039</v>
      </c>
      <c r="J62" s="138" t="s">
        <v>16</v>
      </c>
      <c r="K62" s="138" t="s">
        <v>39</v>
      </c>
      <c r="L62" s="138" t="s">
        <v>40</v>
      </c>
    </row>
    <row r="63" spans="1:12">
      <c r="A63" s="139" t="str">
        <f t="shared" si="1"/>
        <v>11332-0000 Inteco  STO</v>
      </c>
      <c r="B63" s="139" t="s">
        <v>14044</v>
      </c>
      <c r="C63" s="139" t="s">
        <v>14124</v>
      </c>
      <c r="D63" s="139" t="s">
        <v>13243</v>
      </c>
      <c r="E63" s="139"/>
      <c r="F63" s="139">
        <v>0</v>
      </c>
      <c r="G63" s="139" t="s">
        <v>14038</v>
      </c>
      <c r="I63" s="143" t="s">
        <v>14039</v>
      </c>
      <c r="J63" s="138" t="s">
        <v>16</v>
      </c>
      <c r="K63" s="138" t="s">
        <v>39</v>
      </c>
      <c r="L63" s="138" t="s">
        <v>40</v>
      </c>
    </row>
    <row r="64" spans="1:12">
      <c r="A64" s="139" t="str">
        <f t="shared" si="1"/>
        <v>11333-0000 Interco  ANG</v>
      </c>
      <c r="B64" s="139" t="s">
        <v>14044</v>
      </c>
      <c r="C64" s="139" t="s">
        <v>14125</v>
      </c>
      <c r="D64" s="139" t="s">
        <v>13244</v>
      </c>
      <c r="E64" s="139"/>
      <c r="F64" s="139">
        <v>0</v>
      </c>
      <c r="G64" s="139" t="s">
        <v>14038</v>
      </c>
      <c r="I64" s="143" t="s">
        <v>14039</v>
      </c>
      <c r="J64" s="138" t="s">
        <v>16</v>
      </c>
      <c r="K64" s="138" t="s">
        <v>39</v>
      </c>
      <c r="L64" s="138" t="s">
        <v>40</v>
      </c>
    </row>
    <row r="65" spans="1:12">
      <c r="A65" s="139" t="str">
        <f t="shared" si="1"/>
        <v>11334-0000 Interco  BRU</v>
      </c>
      <c r="B65" s="139" t="s">
        <v>14044</v>
      </c>
      <c r="C65" s="139" t="s">
        <v>14126</v>
      </c>
      <c r="D65" s="139" t="s">
        <v>13245</v>
      </c>
      <c r="E65" s="139"/>
      <c r="F65" s="139">
        <v>0</v>
      </c>
      <c r="G65" s="139" t="s">
        <v>14038</v>
      </c>
      <c r="I65" s="143" t="s">
        <v>14039</v>
      </c>
      <c r="J65" s="138" t="s">
        <v>16</v>
      </c>
      <c r="K65" s="138" t="s">
        <v>39</v>
      </c>
      <c r="L65" s="138" t="s">
        <v>40</v>
      </c>
    </row>
    <row r="66" spans="1:12">
      <c r="A66" s="139" t="str">
        <f t="shared" si="1"/>
        <v>11335-0000 Interco  VEN</v>
      </c>
      <c r="B66" s="139" t="s">
        <v>14044</v>
      </c>
      <c r="C66" s="139" t="s">
        <v>14127</v>
      </c>
      <c r="D66" s="139" t="s">
        <v>13246</v>
      </c>
      <c r="E66" s="139"/>
      <c r="F66" s="139">
        <v>0</v>
      </c>
      <c r="G66" s="139" t="s">
        <v>14038</v>
      </c>
      <c r="I66" s="143" t="s">
        <v>14039</v>
      </c>
      <c r="J66" s="138" t="s">
        <v>16</v>
      </c>
      <c r="K66" s="138" t="s">
        <v>39</v>
      </c>
      <c r="L66" s="138" t="s">
        <v>40</v>
      </c>
    </row>
    <row r="67" spans="1:12">
      <c r="A67" s="139" t="str">
        <f t="shared" ref="A67:A130" si="2">C67&amp;" "&amp;D67</f>
        <v>11336-0000 Interco  SAT</v>
      </c>
      <c r="B67" s="139" t="s">
        <v>14044</v>
      </c>
      <c r="C67" s="139" t="s">
        <v>14128</v>
      </c>
      <c r="D67" s="139" t="s">
        <v>13247</v>
      </c>
      <c r="E67" s="139"/>
      <c r="F67" s="139">
        <v>0</v>
      </c>
      <c r="G67" s="139" t="s">
        <v>14038</v>
      </c>
      <c r="I67" s="143" t="s">
        <v>14039</v>
      </c>
      <c r="J67" s="138" t="s">
        <v>16</v>
      </c>
      <c r="K67" s="138" t="s">
        <v>39</v>
      </c>
      <c r="L67" s="138" t="s">
        <v>40</v>
      </c>
    </row>
    <row r="68" spans="1:12">
      <c r="A68" s="139" t="str">
        <f t="shared" si="2"/>
        <v>11337-0000 Interco  NEP</v>
      </c>
      <c r="B68" s="139" t="s">
        <v>14044</v>
      </c>
      <c r="C68" s="139" t="s">
        <v>14129</v>
      </c>
      <c r="D68" s="139" t="s">
        <v>13248</v>
      </c>
      <c r="E68" s="139"/>
      <c r="F68" s="139">
        <v>0</v>
      </c>
      <c r="G68" s="139" t="s">
        <v>14038</v>
      </c>
      <c r="I68" s="143" t="s">
        <v>14039</v>
      </c>
      <c r="J68" s="138" t="s">
        <v>16</v>
      </c>
      <c r="K68" s="138" t="s">
        <v>39</v>
      </c>
      <c r="L68" s="138" t="s">
        <v>40</v>
      </c>
    </row>
    <row r="69" spans="1:12">
      <c r="A69" s="139" t="str">
        <f t="shared" si="2"/>
        <v>11338-0000 Interco  JUP</v>
      </c>
      <c r="B69" s="139" t="s">
        <v>14044</v>
      </c>
      <c r="C69" s="139" t="s">
        <v>14130</v>
      </c>
      <c r="D69" s="139" t="s">
        <v>14131</v>
      </c>
      <c r="E69" s="139"/>
      <c r="F69" s="139">
        <v>0</v>
      </c>
      <c r="G69" s="139" t="s">
        <v>14038</v>
      </c>
      <c r="I69" s="143" t="s">
        <v>14039</v>
      </c>
      <c r="J69" s="138" t="s">
        <v>16</v>
      </c>
      <c r="K69" s="138" t="s">
        <v>39</v>
      </c>
      <c r="L69" s="138" t="s">
        <v>40</v>
      </c>
    </row>
    <row r="70" spans="1:12">
      <c r="A70" s="139" t="str">
        <f t="shared" si="2"/>
        <v>11339-0000 Interco  WES</v>
      </c>
      <c r="B70" s="139" t="s">
        <v>14044</v>
      </c>
      <c r="C70" s="139" t="s">
        <v>14132</v>
      </c>
      <c r="D70" s="139" t="s">
        <v>14133</v>
      </c>
      <c r="E70" s="139"/>
      <c r="F70" s="139">
        <v>0</v>
      </c>
      <c r="G70" s="139" t="s">
        <v>14038</v>
      </c>
      <c r="I70" s="143" t="s">
        <v>14039</v>
      </c>
      <c r="J70" s="138" t="s">
        <v>16</v>
      </c>
      <c r="K70" s="138" t="s">
        <v>39</v>
      </c>
      <c r="L70" s="138" t="s">
        <v>40</v>
      </c>
    </row>
    <row r="71" spans="1:12">
      <c r="A71" s="139" t="str">
        <f t="shared" si="2"/>
        <v>11340-0000 Interco  LCP</v>
      </c>
      <c r="B71" s="139" t="s">
        <v>14044</v>
      </c>
      <c r="C71" s="139" t="s">
        <v>14134</v>
      </c>
      <c r="D71" s="139" t="s">
        <v>14135</v>
      </c>
      <c r="E71" s="139"/>
      <c r="F71" s="139">
        <v>0</v>
      </c>
      <c r="G71" s="139" t="s">
        <v>14038</v>
      </c>
      <c r="I71" s="143" t="s">
        <v>14039</v>
      </c>
      <c r="J71" s="138" t="s">
        <v>16</v>
      </c>
      <c r="K71" s="138" t="s">
        <v>39</v>
      </c>
      <c r="L71" s="138" t="s">
        <v>40</v>
      </c>
    </row>
    <row r="72" spans="1:12">
      <c r="A72" s="139" t="str">
        <f t="shared" si="2"/>
        <v>11341-0000 Interco  NOR</v>
      </c>
      <c r="B72" s="139" t="s">
        <v>14044</v>
      </c>
      <c r="C72" s="139" t="s">
        <v>14136</v>
      </c>
      <c r="D72" s="139" t="s">
        <v>13639</v>
      </c>
      <c r="E72" s="139"/>
      <c r="F72" s="139">
        <v>0</v>
      </c>
      <c r="G72" s="139" t="s">
        <v>14038</v>
      </c>
      <c r="I72" s="143" t="s">
        <v>14039</v>
      </c>
      <c r="J72" s="138" t="s">
        <v>16</v>
      </c>
      <c r="K72" s="138" t="s">
        <v>39</v>
      </c>
      <c r="L72" s="138" t="s">
        <v>40</v>
      </c>
    </row>
    <row r="73" spans="1:12">
      <c r="A73" s="139" t="str">
        <f t="shared" si="2"/>
        <v>11342-0000 Interco  EAS</v>
      </c>
      <c r="B73" s="139" t="s">
        <v>14044</v>
      </c>
      <c r="C73" s="139" t="s">
        <v>14137</v>
      </c>
      <c r="D73" s="139" t="s">
        <v>13355</v>
      </c>
      <c r="E73" s="139"/>
      <c r="F73" s="139">
        <v>0</v>
      </c>
      <c r="G73" s="139" t="s">
        <v>14038</v>
      </c>
      <c r="I73" s="143" t="s">
        <v>14039</v>
      </c>
      <c r="J73" s="138" t="s">
        <v>16</v>
      </c>
      <c r="K73" s="138" t="s">
        <v>39</v>
      </c>
      <c r="L73" s="138" t="s">
        <v>40</v>
      </c>
    </row>
    <row r="74" spans="1:12">
      <c r="A74" s="139" t="str">
        <f t="shared" si="2"/>
        <v>11343-0000 Interco  GRA</v>
      </c>
      <c r="B74" s="139" t="s">
        <v>14044</v>
      </c>
      <c r="C74" s="139" t="s">
        <v>14138</v>
      </c>
      <c r="D74" s="139" t="s">
        <v>14139</v>
      </c>
      <c r="E74" s="139"/>
      <c r="F74" s="139">
        <v>0</v>
      </c>
      <c r="G74" s="139" t="s">
        <v>14038</v>
      </c>
      <c r="I74" s="143" t="s">
        <v>14039</v>
      </c>
      <c r="J74" s="138" t="s">
        <v>16</v>
      </c>
      <c r="K74" s="138" t="s">
        <v>39</v>
      </c>
      <c r="L74" s="138" t="s">
        <v>40</v>
      </c>
    </row>
    <row r="75" spans="1:12">
      <c r="A75" s="139" t="str">
        <f t="shared" si="2"/>
        <v>11344-0000 Interco  SOU</v>
      </c>
      <c r="B75" s="139" t="s">
        <v>14044</v>
      </c>
      <c r="C75" s="139" t="s">
        <v>14140</v>
      </c>
      <c r="D75" s="139" t="s">
        <v>14141</v>
      </c>
      <c r="E75" s="139"/>
      <c r="F75" s="139">
        <v>0</v>
      </c>
      <c r="G75" s="139" t="s">
        <v>14038</v>
      </c>
      <c r="I75" s="143" t="s">
        <v>14039</v>
      </c>
      <c r="J75" s="138" t="s">
        <v>16</v>
      </c>
      <c r="K75" s="138" t="s">
        <v>39</v>
      </c>
      <c r="L75" s="138" t="s">
        <v>40</v>
      </c>
    </row>
    <row r="76" spans="1:12">
      <c r="A76" s="139" t="str">
        <f t="shared" si="2"/>
        <v>11345-0000 Interco  API</v>
      </c>
      <c r="B76" s="139" t="s">
        <v>14044</v>
      </c>
      <c r="C76" s="139" t="s">
        <v>14142</v>
      </c>
      <c r="D76" s="139" t="s">
        <v>14143</v>
      </c>
      <c r="E76" s="139"/>
      <c r="F76" s="139">
        <v>0</v>
      </c>
      <c r="G76" s="139" t="s">
        <v>14038</v>
      </c>
      <c r="I76" s="143" t="s">
        <v>14039</v>
      </c>
      <c r="J76" s="138" t="s">
        <v>16</v>
      </c>
      <c r="K76" s="138" t="s">
        <v>39</v>
      </c>
      <c r="L76" s="138" t="s">
        <v>40</v>
      </c>
    </row>
    <row r="77" spans="1:12">
      <c r="A77" s="139" t="str">
        <f t="shared" si="2"/>
        <v>11346-0000 IntercoDPH</v>
      </c>
      <c r="B77" s="139" t="s">
        <v>14044</v>
      </c>
      <c r="C77" s="139" t="s">
        <v>14144</v>
      </c>
      <c r="D77" s="139" t="s">
        <v>14145</v>
      </c>
      <c r="E77" s="139"/>
      <c r="F77" s="139">
        <v>0</v>
      </c>
      <c r="G77" s="139" t="s">
        <v>14038</v>
      </c>
      <c r="I77" s="143" t="s">
        <v>14039</v>
      </c>
      <c r="J77" s="138" t="s">
        <v>16</v>
      </c>
      <c r="K77" s="138" t="s">
        <v>39</v>
      </c>
      <c r="L77" s="138" t="s">
        <v>40</v>
      </c>
    </row>
    <row r="78" spans="1:12">
      <c r="A78" s="139" t="str">
        <f t="shared" si="2"/>
        <v>11347-0000 Interco  ZPI</v>
      </c>
      <c r="B78" s="139" t="s">
        <v>14044</v>
      </c>
      <c r="C78" s="139" t="s">
        <v>14146</v>
      </c>
      <c r="D78" s="139" t="s">
        <v>14147</v>
      </c>
      <c r="E78" s="139"/>
      <c r="F78" s="139">
        <v>0</v>
      </c>
      <c r="G78" s="139" t="s">
        <v>14038</v>
      </c>
      <c r="I78" s="143" t="s">
        <v>14039</v>
      </c>
      <c r="J78" s="138" t="s">
        <v>16</v>
      </c>
      <c r="K78" s="138" t="s">
        <v>39</v>
      </c>
      <c r="L78" s="138" t="s">
        <v>40</v>
      </c>
    </row>
    <row r="79" spans="1:12">
      <c r="A79" s="139" t="str">
        <f t="shared" si="2"/>
        <v>11348-0000 Interco  EAM</v>
      </c>
      <c r="B79" s="139" t="s">
        <v>14044</v>
      </c>
      <c r="C79" s="139" t="s">
        <v>14148</v>
      </c>
      <c r="D79" s="139" t="s">
        <v>14149</v>
      </c>
      <c r="E79" s="139"/>
      <c r="F79" s="139">
        <v>0</v>
      </c>
      <c r="G79" s="139" t="s">
        <v>14038</v>
      </c>
      <c r="I79" s="143" t="s">
        <v>14039</v>
      </c>
      <c r="J79" s="138" t="s">
        <v>16</v>
      </c>
      <c r="K79" s="138" t="s">
        <v>39</v>
      </c>
      <c r="L79" s="138" t="s">
        <v>40</v>
      </c>
    </row>
    <row r="80" spans="1:12">
      <c r="A80" s="139" t="str">
        <f t="shared" si="2"/>
        <v>11349-0000 Interco  SEA</v>
      </c>
      <c r="B80" s="139" t="s">
        <v>14044</v>
      </c>
      <c r="C80" s="139" t="s">
        <v>14150</v>
      </c>
      <c r="D80" s="139" t="s">
        <v>14151</v>
      </c>
      <c r="E80" s="139"/>
      <c r="F80" s="139">
        <v>0</v>
      </c>
      <c r="G80" s="139" t="s">
        <v>14038</v>
      </c>
      <c r="I80" s="143" t="s">
        <v>14039</v>
      </c>
      <c r="J80" s="138" t="s">
        <v>16</v>
      </c>
      <c r="K80" s="138" t="s">
        <v>39</v>
      </c>
      <c r="L80" s="138" t="s">
        <v>40</v>
      </c>
    </row>
    <row r="81" spans="1:12">
      <c r="A81" s="139" t="str">
        <f t="shared" si="2"/>
        <v>11350-0000 Interco  EAL</v>
      </c>
      <c r="B81" s="139" t="s">
        <v>14044</v>
      </c>
      <c r="C81" s="139" t="s">
        <v>14152</v>
      </c>
      <c r="D81" s="139" t="s">
        <v>14153</v>
      </c>
      <c r="E81" s="139"/>
      <c r="F81" s="139">
        <v>0</v>
      </c>
      <c r="G81" s="139" t="s">
        <v>14038</v>
      </c>
      <c r="I81" s="143" t="s">
        <v>14039</v>
      </c>
      <c r="J81" s="138" t="s">
        <v>16</v>
      </c>
      <c r="K81" s="138" t="s">
        <v>39</v>
      </c>
      <c r="L81" s="138" t="s">
        <v>40</v>
      </c>
    </row>
    <row r="82" spans="1:12">
      <c r="A82" s="139" t="str">
        <f t="shared" si="2"/>
        <v>11351-0000 Interco  WEP</v>
      </c>
      <c r="B82" s="139" t="s">
        <v>14044</v>
      </c>
      <c r="C82" s="139" t="s">
        <v>14154</v>
      </c>
      <c r="D82" s="139" t="s">
        <v>14155</v>
      </c>
      <c r="E82" s="139"/>
      <c r="F82" s="139">
        <v>0</v>
      </c>
      <c r="G82" s="139" t="s">
        <v>14038</v>
      </c>
      <c r="I82" s="143" t="s">
        <v>14039</v>
      </c>
      <c r="J82" s="138" t="s">
        <v>16</v>
      </c>
      <c r="K82" s="138" t="s">
        <v>39</v>
      </c>
      <c r="L82" s="138" t="s">
        <v>40</v>
      </c>
    </row>
    <row r="83" spans="1:12">
      <c r="A83" s="139" t="str">
        <f t="shared" si="2"/>
        <v>11352-0000 Interco  KLP</v>
      </c>
      <c r="B83" s="139" t="s">
        <v>14044</v>
      </c>
      <c r="C83" s="139" t="s">
        <v>14156</v>
      </c>
      <c r="D83" s="139" t="s">
        <v>13536</v>
      </c>
      <c r="E83" s="139"/>
      <c r="F83" s="139">
        <v>0</v>
      </c>
      <c r="G83" s="139" t="s">
        <v>14038</v>
      </c>
      <c r="I83" s="143" t="s">
        <v>14039</v>
      </c>
      <c r="J83" s="138" t="s">
        <v>16</v>
      </c>
      <c r="K83" s="138" t="s">
        <v>39</v>
      </c>
      <c r="L83" s="138" t="s">
        <v>40</v>
      </c>
    </row>
    <row r="84" spans="1:12">
      <c r="A84" s="139" t="str">
        <f t="shared" si="2"/>
        <v>11353-0000 Interco  AKC</v>
      </c>
      <c r="B84" s="139" t="s">
        <v>14044</v>
      </c>
      <c r="C84" s="139" t="s">
        <v>14157</v>
      </c>
      <c r="D84" s="139" t="s">
        <v>13537</v>
      </c>
      <c r="E84" s="139"/>
      <c r="F84" s="139">
        <v>0</v>
      </c>
      <c r="G84" s="139" t="s">
        <v>14038</v>
      </c>
      <c r="I84" s="143" t="s">
        <v>14039</v>
      </c>
      <c r="J84" s="138" t="s">
        <v>16</v>
      </c>
      <c r="K84" s="138" t="s">
        <v>39</v>
      </c>
      <c r="L84" s="138" t="s">
        <v>40</v>
      </c>
    </row>
    <row r="85" spans="1:12">
      <c r="A85" s="139" t="str">
        <f t="shared" si="2"/>
        <v>11354-0000 Interco  AKA</v>
      </c>
      <c r="B85" s="139" t="s">
        <v>14044</v>
      </c>
      <c r="C85" s="139" t="s">
        <v>14158</v>
      </c>
      <c r="D85" s="139" t="s">
        <v>13538</v>
      </c>
      <c r="E85" s="139"/>
      <c r="F85" s="139">
        <v>0</v>
      </c>
      <c r="G85" s="139" t="s">
        <v>14038</v>
      </c>
      <c r="I85" s="143" t="s">
        <v>14039</v>
      </c>
      <c r="J85" s="138" t="s">
        <v>16</v>
      </c>
      <c r="K85" s="138" t="s">
        <v>39</v>
      </c>
      <c r="L85" s="138" t="s">
        <v>40</v>
      </c>
    </row>
    <row r="86" spans="1:12">
      <c r="A86" s="139" t="str">
        <f t="shared" si="2"/>
        <v>11355-0000 Interco  SPA</v>
      </c>
      <c r="B86" s="139" t="s">
        <v>14044</v>
      </c>
      <c r="C86" s="139" t="s">
        <v>14159</v>
      </c>
      <c r="D86" s="139" t="s">
        <v>13539</v>
      </c>
      <c r="E86" s="139"/>
      <c r="F86" s="139">
        <v>0</v>
      </c>
      <c r="G86" s="139" t="s">
        <v>14038</v>
      </c>
      <c r="I86" s="143" t="s">
        <v>14039</v>
      </c>
      <c r="J86" s="138" t="s">
        <v>16</v>
      </c>
      <c r="K86" s="138" t="s">
        <v>39</v>
      </c>
      <c r="L86" s="138" t="s">
        <v>40</v>
      </c>
    </row>
    <row r="87" spans="1:12">
      <c r="A87" s="139" t="str">
        <f t="shared" si="2"/>
        <v>11356-0000 Interco   HDM</v>
      </c>
      <c r="B87" s="139" t="s">
        <v>14044</v>
      </c>
      <c r="C87" s="139" t="s">
        <v>14160</v>
      </c>
      <c r="D87" s="139" t="s">
        <v>13540</v>
      </c>
      <c r="E87" s="139"/>
      <c r="F87" s="139">
        <v>0</v>
      </c>
      <c r="G87" s="139" t="s">
        <v>14038</v>
      </c>
      <c r="I87" s="143" t="s">
        <v>14039</v>
      </c>
      <c r="J87" s="138" t="s">
        <v>16</v>
      </c>
      <c r="K87" s="138" t="s">
        <v>39</v>
      </c>
      <c r="L87" s="138" t="s">
        <v>40</v>
      </c>
    </row>
    <row r="88" spans="1:12">
      <c r="A88" s="139" t="str">
        <f t="shared" si="2"/>
        <v>11357-0000 Interco  HDR</v>
      </c>
      <c r="B88" s="139" t="s">
        <v>14044</v>
      </c>
      <c r="C88" s="139" t="s">
        <v>14161</v>
      </c>
      <c r="D88" s="139" t="s">
        <v>13541</v>
      </c>
      <c r="E88" s="139"/>
      <c r="F88" s="139">
        <v>0</v>
      </c>
      <c r="G88" s="139" t="s">
        <v>14038</v>
      </c>
      <c r="I88" s="143" t="s">
        <v>14039</v>
      </c>
      <c r="J88" s="138" t="s">
        <v>16</v>
      </c>
      <c r="K88" s="138" t="s">
        <v>39</v>
      </c>
      <c r="L88" s="138" t="s">
        <v>40</v>
      </c>
    </row>
    <row r="89" spans="1:12">
      <c r="A89" s="139" t="str">
        <f t="shared" si="2"/>
        <v>11358-0000 Interco  DPM</v>
      </c>
      <c r="B89" s="139" t="s">
        <v>14044</v>
      </c>
      <c r="C89" s="139" t="s">
        <v>14162</v>
      </c>
      <c r="D89" s="139" t="s">
        <v>13542</v>
      </c>
      <c r="E89" s="139"/>
      <c r="F89" s="139">
        <v>0</v>
      </c>
      <c r="G89" s="139" t="s">
        <v>14038</v>
      </c>
      <c r="I89" s="143" t="s">
        <v>14039</v>
      </c>
      <c r="J89" s="138" t="s">
        <v>16</v>
      </c>
      <c r="K89" s="138" t="s">
        <v>39</v>
      </c>
      <c r="L89" s="138" t="s">
        <v>40</v>
      </c>
    </row>
    <row r="90" spans="1:12">
      <c r="A90" s="139" t="str">
        <f t="shared" si="2"/>
        <v>11359-0000 Interco  TPI</v>
      </c>
      <c r="B90" s="139" t="s">
        <v>14044</v>
      </c>
      <c r="C90" s="139" t="s">
        <v>14163</v>
      </c>
      <c r="D90" s="139" t="s">
        <v>13543</v>
      </c>
      <c r="E90" s="139"/>
      <c r="F90" s="139">
        <v>0</v>
      </c>
      <c r="G90" s="139" t="s">
        <v>14038</v>
      </c>
      <c r="I90" s="143" t="s">
        <v>14039</v>
      </c>
      <c r="J90" s="138" t="s">
        <v>16</v>
      </c>
      <c r="K90" s="138" t="s">
        <v>39</v>
      </c>
      <c r="L90" s="138" t="s">
        <v>40</v>
      </c>
    </row>
    <row r="91" spans="1:12">
      <c r="A91" s="139" t="str">
        <f t="shared" si="2"/>
        <v>11361-0000 Interco - GSM</v>
      </c>
      <c r="B91" s="139" t="s">
        <v>14044</v>
      </c>
      <c r="C91" s="139" t="s">
        <v>14164</v>
      </c>
      <c r="D91" s="139" t="s">
        <v>14165</v>
      </c>
      <c r="E91" s="139"/>
      <c r="F91" s="139">
        <v>0</v>
      </c>
      <c r="G91" s="139" t="s">
        <v>14038</v>
      </c>
      <c r="I91" s="143" t="s">
        <v>14039</v>
      </c>
      <c r="J91" s="138" t="s">
        <v>16</v>
      </c>
      <c r="K91" s="138" t="s">
        <v>39</v>
      </c>
      <c r="L91" s="138" t="s">
        <v>40</v>
      </c>
    </row>
    <row r="92" spans="1:12">
      <c r="A92" s="139" t="str">
        <f t="shared" si="2"/>
        <v>11363-0000 Interco - SOF</v>
      </c>
      <c r="B92" s="139" t="s">
        <v>14044</v>
      </c>
      <c r="C92" s="139" t="s">
        <v>14166</v>
      </c>
      <c r="D92" s="139" t="s">
        <v>13544</v>
      </c>
      <c r="E92" s="139"/>
      <c r="F92" s="139">
        <v>0</v>
      </c>
      <c r="G92" s="139" t="s">
        <v>14038</v>
      </c>
      <c r="I92" s="143" t="s">
        <v>14039</v>
      </c>
      <c r="J92" s="138" t="s">
        <v>16</v>
      </c>
      <c r="K92" s="138" t="s">
        <v>39</v>
      </c>
      <c r="L92" s="138" t="s">
        <v>40</v>
      </c>
    </row>
    <row r="93" spans="1:12">
      <c r="A93" s="139" t="str">
        <f t="shared" si="2"/>
        <v>11364-0000 Interco - NEH</v>
      </c>
      <c r="B93" s="139" t="s">
        <v>14044</v>
      </c>
      <c r="C93" s="139" t="s">
        <v>14167</v>
      </c>
      <c r="D93" s="139" t="s">
        <v>14168</v>
      </c>
      <c r="E93" s="139"/>
      <c r="F93" s="139">
        <v>1</v>
      </c>
      <c r="G93" s="139" t="s">
        <v>14038</v>
      </c>
      <c r="I93" s="143" t="s">
        <v>14039</v>
      </c>
      <c r="J93" s="138" t="s">
        <v>16</v>
      </c>
      <c r="K93" s="138" t="s">
        <v>39</v>
      </c>
      <c r="L93" s="138" t="s">
        <v>40</v>
      </c>
    </row>
    <row r="94" spans="1:12">
      <c r="A94" s="139" t="str">
        <f t="shared" si="2"/>
        <v>11365-0000 Interco - PGP</v>
      </c>
      <c r="B94" s="139" t="s">
        <v>14044</v>
      </c>
      <c r="C94" s="139" t="s">
        <v>14169</v>
      </c>
      <c r="D94" s="139" t="s">
        <v>14170</v>
      </c>
      <c r="E94" s="139"/>
      <c r="F94" s="139">
        <v>1</v>
      </c>
      <c r="G94" s="139" t="s">
        <v>14038</v>
      </c>
      <c r="I94" s="143" t="s">
        <v>14039</v>
      </c>
      <c r="J94" s="138" t="s">
        <v>16</v>
      </c>
      <c r="K94" s="138" t="s">
        <v>39</v>
      </c>
      <c r="L94" s="138" t="s">
        <v>40</v>
      </c>
    </row>
    <row r="95" spans="1:12">
      <c r="A95" s="139" t="str">
        <f t="shared" si="2"/>
        <v>11366-0000 Interco - WIC</v>
      </c>
      <c r="B95" s="139" t="s">
        <v>14044</v>
      </c>
      <c r="C95" s="139" t="s">
        <v>14171</v>
      </c>
      <c r="D95" s="139" t="s">
        <v>14172</v>
      </c>
      <c r="E95" s="139"/>
      <c r="F95" s="139">
        <v>1</v>
      </c>
      <c r="G95" s="139"/>
      <c r="I95" s="143"/>
      <c r="J95" s="138" t="s">
        <v>16</v>
      </c>
      <c r="K95" s="138" t="s">
        <v>39</v>
      </c>
      <c r="L95" s="138" t="s">
        <v>40</v>
      </c>
    </row>
    <row r="96" spans="1:12">
      <c r="A96" s="139" t="str">
        <f t="shared" si="2"/>
        <v>11402-0000 Interco  DON</v>
      </c>
      <c r="B96" s="139" t="s">
        <v>14044</v>
      </c>
      <c r="C96" s="139" t="s">
        <v>14173</v>
      </c>
      <c r="D96" s="139" t="s">
        <v>14174</v>
      </c>
      <c r="E96" s="139"/>
      <c r="F96" s="139">
        <v>0</v>
      </c>
      <c r="G96" s="139"/>
      <c r="I96" s="143"/>
      <c r="J96" s="138" t="s">
        <v>16</v>
      </c>
      <c r="K96" s="138" t="s">
        <v>39</v>
      </c>
      <c r="L96" s="138" t="s">
        <v>40</v>
      </c>
    </row>
    <row r="97" spans="1:12">
      <c r="A97" s="139" t="str">
        <f t="shared" si="2"/>
        <v>11403-0000 Interco - SPR</v>
      </c>
      <c r="B97" s="139" t="s">
        <v>14044</v>
      </c>
      <c r="C97" s="139" t="s">
        <v>14175</v>
      </c>
      <c r="D97" s="139" t="s">
        <v>14176</v>
      </c>
      <c r="E97" s="139"/>
      <c r="F97" s="139">
        <v>1</v>
      </c>
      <c r="G97" s="139"/>
      <c r="I97" s="143"/>
      <c r="J97" s="138" t="s">
        <v>16</v>
      </c>
      <c r="K97" s="138" t="s">
        <v>39</v>
      </c>
      <c r="L97" s="138" t="s">
        <v>40</v>
      </c>
    </row>
    <row r="98" spans="1:9">
      <c r="A98" s="139" t="str">
        <f t="shared" si="2"/>
        <v>11990-9999 TOTAL INTERCOMPANY</v>
      </c>
      <c r="B98" s="139" t="s">
        <v>14063</v>
      </c>
      <c r="C98" s="139" t="s">
        <v>14177</v>
      </c>
      <c r="D98" s="139" t="s">
        <v>14178</v>
      </c>
      <c r="E98" s="139"/>
      <c r="F98" s="139">
        <v>0</v>
      </c>
      <c r="G98" s="139" t="s">
        <v>14038</v>
      </c>
      <c r="I98" s="143" t="s">
        <v>14039</v>
      </c>
    </row>
    <row r="99" spans="1:9">
      <c r="A99" s="139" t="str">
        <f t="shared" si="2"/>
        <v>12000-0000 OTHER RECEIVABLE</v>
      </c>
      <c r="B99" s="139" t="s">
        <v>14035</v>
      </c>
      <c r="C99" s="139" t="s">
        <v>14179</v>
      </c>
      <c r="D99" s="139" t="s">
        <v>14180</v>
      </c>
      <c r="E99" s="139"/>
      <c r="F99" s="139">
        <v>0</v>
      </c>
      <c r="G99" s="139" t="s">
        <v>14038</v>
      </c>
      <c r="I99" s="143" t="s">
        <v>14039</v>
      </c>
    </row>
    <row r="100" spans="1:12">
      <c r="A100" s="139" t="str">
        <f t="shared" si="2"/>
        <v>12100-0000 Accounts Receivable</v>
      </c>
      <c r="B100" s="139" t="s">
        <v>14044</v>
      </c>
      <c r="C100" s="139" t="s">
        <v>14181</v>
      </c>
      <c r="D100" s="139" t="s">
        <v>34</v>
      </c>
      <c r="E100" s="139"/>
      <c r="F100" s="139">
        <v>1</v>
      </c>
      <c r="G100" s="139" t="s">
        <v>14038</v>
      </c>
      <c r="I100" s="143" t="s">
        <v>14039</v>
      </c>
      <c r="J100" s="138" t="s">
        <v>16</v>
      </c>
      <c r="K100" s="138" t="s">
        <v>35</v>
      </c>
      <c r="L100" s="138" t="s">
        <v>36</v>
      </c>
    </row>
    <row r="101" spans="1:12">
      <c r="A101" s="139" t="str">
        <f t="shared" si="2"/>
        <v>12105-0000 A/R Other</v>
      </c>
      <c r="B101" s="139" t="s">
        <v>14044</v>
      </c>
      <c r="C101" s="139" t="s">
        <v>14182</v>
      </c>
      <c r="D101" s="139" t="s">
        <v>14183</v>
      </c>
      <c r="E101" s="139"/>
      <c r="F101" s="139">
        <v>1</v>
      </c>
      <c r="G101" s="139" t="s">
        <v>14038</v>
      </c>
      <c r="I101" s="143" t="s">
        <v>14039</v>
      </c>
      <c r="J101" s="138" t="s">
        <v>16</v>
      </c>
      <c r="K101" s="138" t="s">
        <v>35</v>
      </c>
      <c r="L101" s="138" t="s">
        <v>36</v>
      </c>
    </row>
    <row r="102" spans="1:12">
      <c r="A102" s="139" t="str">
        <f t="shared" si="2"/>
        <v>12400-0000 Due To-From</v>
      </c>
      <c r="B102" s="139" t="s">
        <v>14044</v>
      </c>
      <c r="C102" s="139" t="s">
        <v>14184</v>
      </c>
      <c r="D102" s="139" t="s">
        <v>14185</v>
      </c>
      <c r="E102" s="139"/>
      <c r="F102" s="139">
        <v>0</v>
      </c>
      <c r="G102" s="139" t="s">
        <v>14038</v>
      </c>
      <c r="I102" s="143" t="s">
        <v>14039</v>
      </c>
      <c r="J102" s="138" t="s">
        <v>16</v>
      </c>
      <c r="K102" s="138" t="s">
        <v>39</v>
      </c>
      <c r="L102" s="138" t="s">
        <v>40</v>
      </c>
    </row>
    <row r="103" spans="1:12">
      <c r="A103" s="139" t="str">
        <f t="shared" si="2"/>
        <v>12401-0000 Note Receivable - BET</v>
      </c>
      <c r="B103" s="139" t="s">
        <v>14044</v>
      </c>
      <c r="C103" s="139" t="s">
        <v>14186</v>
      </c>
      <c r="D103" s="139" t="s">
        <v>14187</v>
      </c>
      <c r="E103" s="139"/>
      <c r="F103" s="139">
        <v>0</v>
      </c>
      <c r="G103" s="139" t="s">
        <v>14038</v>
      </c>
      <c r="I103" s="143" t="s">
        <v>14039</v>
      </c>
      <c r="J103" s="138" t="s">
        <v>16</v>
      </c>
      <c r="K103" s="138" t="s">
        <v>39</v>
      </c>
      <c r="L103" s="138" t="s">
        <v>40</v>
      </c>
    </row>
    <row r="104" spans="1:12">
      <c r="A104" s="139" t="str">
        <f t="shared" si="2"/>
        <v>12402-0000 Note Receivable  DON</v>
      </c>
      <c r="B104" s="139" t="s">
        <v>14044</v>
      </c>
      <c r="C104" s="139" t="s">
        <v>14188</v>
      </c>
      <c r="D104" s="139" t="s">
        <v>14189</v>
      </c>
      <c r="E104" s="139"/>
      <c r="F104" s="139">
        <v>0</v>
      </c>
      <c r="G104" s="139" t="s">
        <v>14038</v>
      </c>
      <c r="I104" s="143" t="s">
        <v>14039</v>
      </c>
      <c r="J104" s="138" t="s">
        <v>16</v>
      </c>
      <c r="K104" s="138" t="s">
        <v>39</v>
      </c>
      <c r="L104" s="138" t="s">
        <v>40</v>
      </c>
    </row>
    <row r="105" spans="1:12">
      <c r="A105" s="139" t="str">
        <f t="shared" si="2"/>
        <v>12403-0000 Note Receivable - SEA</v>
      </c>
      <c r="B105" s="139" t="s">
        <v>14044</v>
      </c>
      <c r="C105" s="139" t="s">
        <v>14190</v>
      </c>
      <c r="D105" s="139" t="s">
        <v>5226</v>
      </c>
      <c r="E105" s="139"/>
      <c r="F105" s="139">
        <v>0</v>
      </c>
      <c r="G105" s="139" t="s">
        <v>14038</v>
      </c>
      <c r="I105" s="143" t="s">
        <v>14039</v>
      </c>
      <c r="J105" s="138" t="s">
        <v>16</v>
      </c>
      <c r="K105" s="138" t="s">
        <v>39</v>
      </c>
      <c r="L105" s="138" t="s">
        <v>40</v>
      </c>
    </row>
    <row r="106" spans="1:12">
      <c r="A106" s="139" t="str">
        <f t="shared" si="2"/>
        <v>12501-0000 Note Receivable  Neel</v>
      </c>
      <c r="B106" s="139" t="s">
        <v>14044</v>
      </c>
      <c r="C106" s="139" t="s">
        <v>14191</v>
      </c>
      <c r="D106" s="139" t="s">
        <v>14192</v>
      </c>
      <c r="E106" s="139"/>
      <c r="F106" s="139">
        <v>0</v>
      </c>
      <c r="G106" s="139" t="s">
        <v>14038</v>
      </c>
      <c r="I106" s="143" t="s">
        <v>14039</v>
      </c>
      <c r="J106" s="138" t="s">
        <v>16</v>
      </c>
      <c r="K106" s="138" t="s">
        <v>39</v>
      </c>
      <c r="L106" s="138" t="s">
        <v>40</v>
      </c>
    </row>
    <row r="107" spans="1:12">
      <c r="A107" s="139" t="str">
        <f t="shared" si="2"/>
        <v>12510-0000 Loans  Short Term</v>
      </c>
      <c r="B107" s="139" t="s">
        <v>14044</v>
      </c>
      <c r="C107" s="139" t="s">
        <v>14193</v>
      </c>
      <c r="D107" s="139" t="s">
        <v>14194</v>
      </c>
      <c r="E107" s="139"/>
      <c r="F107" s="139">
        <v>0</v>
      </c>
      <c r="G107" s="139" t="s">
        <v>14038</v>
      </c>
      <c r="I107" s="143" t="s">
        <v>14039</v>
      </c>
      <c r="J107" s="138" t="s">
        <v>16</v>
      </c>
      <c r="K107" s="138" t="s">
        <v>35</v>
      </c>
      <c r="L107" s="138" t="s">
        <v>36</v>
      </c>
    </row>
    <row r="108" spans="1:9">
      <c r="A108" s="139" t="str">
        <f t="shared" si="2"/>
        <v>12990-9999 TOTAL OTHER RECEIVABLE</v>
      </c>
      <c r="B108" s="139" t="s">
        <v>14063</v>
      </c>
      <c r="C108" s="139" t="s">
        <v>14195</v>
      </c>
      <c r="D108" s="139" t="s">
        <v>14196</v>
      </c>
      <c r="E108" s="139"/>
      <c r="F108" s="139">
        <v>0</v>
      </c>
      <c r="G108" s="139" t="s">
        <v>14038</v>
      </c>
      <c r="I108" s="143" t="s">
        <v>14039</v>
      </c>
    </row>
    <row r="109" spans="1:9">
      <c r="A109" s="139" t="str">
        <f t="shared" si="2"/>
        <v>13000-0000 PREPAID</v>
      </c>
      <c r="B109" s="139" t="s">
        <v>14035</v>
      </c>
      <c r="C109" s="139" t="s">
        <v>14197</v>
      </c>
      <c r="D109" s="139" t="s">
        <v>14198</v>
      </c>
      <c r="E109" s="139"/>
      <c r="F109" s="139">
        <v>0</v>
      </c>
      <c r="G109" s="139" t="s">
        <v>14038</v>
      </c>
      <c r="I109" s="143" t="s">
        <v>14039</v>
      </c>
    </row>
    <row r="110" spans="1:12">
      <c r="A110" s="139" t="str">
        <f t="shared" si="2"/>
        <v>13010-0000 Prepaid Insurance</v>
      </c>
      <c r="B110" s="139" t="s">
        <v>14044</v>
      </c>
      <c r="C110" s="139" t="s">
        <v>14199</v>
      </c>
      <c r="D110" s="139" t="s">
        <v>56</v>
      </c>
      <c r="E110" s="139"/>
      <c r="F110" s="139">
        <v>0</v>
      </c>
      <c r="G110" s="139" t="s">
        <v>14038</v>
      </c>
      <c r="I110" s="143" t="s">
        <v>14039</v>
      </c>
      <c r="J110" s="138" t="s">
        <v>16</v>
      </c>
      <c r="K110" s="138" t="s">
        <v>35</v>
      </c>
      <c r="L110" s="138" t="s">
        <v>57</v>
      </c>
    </row>
    <row r="111" spans="1:12">
      <c r="A111" s="139" t="str">
        <f t="shared" si="2"/>
        <v>13050-0000 Loan Fees</v>
      </c>
      <c r="B111" s="139" t="s">
        <v>14044</v>
      </c>
      <c r="C111" s="139" t="s">
        <v>14200</v>
      </c>
      <c r="D111" s="139" t="s">
        <v>304</v>
      </c>
      <c r="E111" s="139"/>
      <c r="F111" s="139">
        <v>0</v>
      </c>
      <c r="G111" s="139" t="s">
        <v>14038</v>
      </c>
      <c r="I111" s="143" t="s">
        <v>14039</v>
      </c>
      <c r="J111" s="138" t="s">
        <v>16</v>
      </c>
      <c r="K111" s="138" t="s">
        <v>63</v>
      </c>
      <c r="L111" s="138" t="s">
        <v>18</v>
      </c>
    </row>
    <row r="112" spans="1:9">
      <c r="A112" s="139" t="str">
        <f t="shared" si="2"/>
        <v>13590-9999 TOTAL PREPAID</v>
      </c>
      <c r="B112" s="139" t="s">
        <v>14063</v>
      </c>
      <c r="C112" s="139" t="s">
        <v>14201</v>
      </c>
      <c r="D112" s="139" t="s">
        <v>14202</v>
      </c>
      <c r="E112" s="139"/>
      <c r="F112" s="139">
        <v>0</v>
      </c>
      <c r="G112" s="139" t="s">
        <v>14038</v>
      </c>
      <c r="I112" s="143" t="s">
        <v>14039</v>
      </c>
    </row>
    <row r="113" spans="1:9">
      <c r="A113" s="139" t="str">
        <f t="shared" si="2"/>
        <v>13600-0000 OTHER ASSETS</v>
      </c>
      <c r="B113" s="139" t="s">
        <v>14035</v>
      </c>
      <c r="C113" s="139" t="s">
        <v>14203</v>
      </c>
      <c r="D113" s="139" t="s">
        <v>14204</v>
      </c>
      <c r="E113" s="139"/>
      <c r="F113" s="139">
        <v>0</v>
      </c>
      <c r="G113" s="139" t="s">
        <v>14038</v>
      </c>
      <c r="I113" s="143" t="s">
        <v>14039</v>
      </c>
    </row>
    <row r="114" spans="1:12">
      <c r="A114" s="139" t="str">
        <f t="shared" si="2"/>
        <v>13610-0000 Deposit  Utility</v>
      </c>
      <c r="B114" s="139" t="s">
        <v>14044</v>
      </c>
      <c r="C114" s="139" t="s">
        <v>14205</v>
      </c>
      <c r="D114" s="139" t="s">
        <v>13547</v>
      </c>
      <c r="E114" s="139"/>
      <c r="F114" s="139">
        <v>0</v>
      </c>
      <c r="G114" s="139" t="s">
        <v>14038</v>
      </c>
      <c r="I114" s="143" t="s">
        <v>14039</v>
      </c>
      <c r="J114" s="138" t="s">
        <v>62</v>
      </c>
      <c r="K114" s="138" t="s">
        <v>80</v>
      </c>
      <c r="L114" s="138" t="s">
        <v>81</v>
      </c>
    </row>
    <row r="115" spans="1:12">
      <c r="A115" s="139" t="str">
        <f t="shared" si="2"/>
        <v>13620-0000 Deposit  Other-Fees</v>
      </c>
      <c r="B115" s="139" t="s">
        <v>14044</v>
      </c>
      <c r="C115" s="139" t="s">
        <v>14206</v>
      </c>
      <c r="D115" s="139" t="s">
        <v>13643</v>
      </c>
      <c r="E115" s="139"/>
      <c r="F115" s="139">
        <v>0</v>
      </c>
      <c r="G115" s="139" t="s">
        <v>14038</v>
      </c>
      <c r="I115" s="143" t="s">
        <v>14039</v>
      </c>
      <c r="J115" s="138" t="s">
        <v>62</v>
      </c>
      <c r="K115" s="138" t="s">
        <v>80</v>
      </c>
      <c r="L115" s="138" t="s">
        <v>81</v>
      </c>
    </row>
    <row r="116" spans="1:9">
      <c r="A116" s="139" t="str">
        <f t="shared" si="2"/>
        <v>13800-0000 LENDER ESCROW ACCOUNT</v>
      </c>
      <c r="B116" s="139" t="s">
        <v>14035</v>
      </c>
      <c r="C116" s="139" t="s">
        <v>14207</v>
      </c>
      <c r="D116" s="139" t="s">
        <v>14208</v>
      </c>
      <c r="E116" s="139"/>
      <c r="F116" s="139">
        <v>1</v>
      </c>
      <c r="G116" s="139" t="s">
        <v>14038</v>
      </c>
      <c r="I116" s="143" t="s">
        <v>14039</v>
      </c>
    </row>
    <row r="117" spans="1:12">
      <c r="A117" s="139" t="str">
        <f t="shared" si="2"/>
        <v>13810-0000 Escrow Account</v>
      </c>
      <c r="B117" s="139" t="s">
        <v>14044</v>
      </c>
      <c r="C117" s="139" t="s">
        <v>14209</v>
      </c>
      <c r="D117" s="139" t="s">
        <v>294</v>
      </c>
      <c r="E117" s="139"/>
      <c r="F117" s="139">
        <v>0</v>
      </c>
      <c r="G117" s="139" t="s">
        <v>14038</v>
      </c>
      <c r="I117" s="143" t="s">
        <v>14039</v>
      </c>
      <c r="J117" s="138" t="s">
        <v>62</v>
      </c>
      <c r="K117" s="138" t="s">
        <v>35</v>
      </c>
      <c r="L117" s="138" t="s">
        <v>64</v>
      </c>
    </row>
    <row r="118" spans="1:12">
      <c r="A118" s="139" t="str">
        <f t="shared" si="2"/>
        <v>13811-0000 Property Tax Escrow</v>
      </c>
      <c r="B118" s="139" t="s">
        <v>14044</v>
      </c>
      <c r="C118" s="139" t="s">
        <v>14210</v>
      </c>
      <c r="D118" s="139" t="s">
        <v>14211</v>
      </c>
      <c r="E118" s="139"/>
      <c r="F118" s="139">
        <v>1</v>
      </c>
      <c r="G118" s="139" t="s">
        <v>14038</v>
      </c>
      <c r="I118" s="143" t="s">
        <v>14039</v>
      </c>
      <c r="J118" s="138" t="s">
        <v>62</v>
      </c>
      <c r="K118" s="138" t="s">
        <v>13872</v>
      </c>
      <c r="L118" s="138" t="s">
        <v>64</v>
      </c>
    </row>
    <row r="119" spans="1:12">
      <c r="A119" s="139" t="str">
        <f t="shared" si="2"/>
        <v>13811-1000 Property Tax Disbursement</v>
      </c>
      <c r="B119" s="139" t="s">
        <v>14044</v>
      </c>
      <c r="C119" s="139" t="s">
        <v>14212</v>
      </c>
      <c r="D119" s="139" t="s">
        <v>14213</v>
      </c>
      <c r="E119" s="139"/>
      <c r="F119" s="139">
        <v>1</v>
      </c>
      <c r="G119" s="139" t="s">
        <v>14038</v>
      </c>
      <c r="I119" s="143" t="s">
        <v>14039</v>
      </c>
      <c r="J119" s="138" t="s">
        <v>62</v>
      </c>
      <c r="K119" s="138" t="s">
        <v>13873</v>
      </c>
      <c r="L119" s="138" t="s">
        <v>64</v>
      </c>
    </row>
    <row r="120" spans="1:12">
      <c r="A120" s="139" t="str">
        <f t="shared" si="2"/>
        <v>13812-0000 Property Insurance Escrow Account</v>
      </c>
      <c r="B120" s="139" t="s">
        <v>14044</v>
      </c>
      <c r="C120" s="139" t="s">
        <v>14214</v>
      </c>
      <c r="D120" s="139" t="s">
        <v>14215</v>
      </c>
      <c r="E120" s="139"/>
      <c r="F120" s="139">
        <v>1</v>
      </c>
      <c r="G120" s="139" t="s">
        <v>14038</v>
      </c>
      <c r="I120" s="143" t="s">
        <v>14039</v>
      </c>
      <c r="J120" s="138" t="s">
        <v>62</v>
      </c>
      <c r="K120" s="138" t="s">
        <v>13874</v>
      </c>
      <c r="L120" s="138" t="s">
        <v>64</v>
      </c>
    </row>
    <row r="121" spans="1:12">
      <c r="A121" s="139" t="str">
        <f t="shared" si="2"/>
        <v>13812-1000 Property Insurance Disbursement</v>
      </c>
      <c r="B121" s="139" t="s">
        <v>14044</v>
      </c>
      <c r="C121" s="139" t="s">
        <v>14216</v>
      </c>
      <c r="D121" s="139" t="s">
        <v>14217</v>
      </c>
      <c r="E121" s="139"/>
      <c r="F121" s="139">
        <v>1</v>
      </c>
      <c r="G121" s="139" t="s">
        <v>14038</v>
      </c>
      <c r="I121" s="143" t="s">
        <v>14039</v>
      </c>
      <c r="J121" s="138" t="s">
        <v>62</v>
      </c>
      <c r="K121" s="138" t="s">
        <v>14218</v>
      </c>
      <c r="L121" s="138" t="s">
        <v>64</v>
      </c>
    </row>
    <row r="122" spans="1:12">
      <c r="A122" s="139" t="str">
        <f t="shared" si="2"/>
        <v>13813-0000 Interest Rate Cap Escrow Account</v>
      </c>
      <c r="B122" s="139" t="s">
        <v>14044</v>
      </c>
      <c r="C122" s="139" t="s">
        <v>14219</v>
      </c>
      <c r="D122" s="139" t="s">
        <v>14220</v>
      </c>
      <c r="E122" s="139"/>
      <c r="F122" s="139">
        <v>1</v>
      </c>
      <c r="G122" s="139" t="s">
        <v>14038</v>
      </c>
      <c r="I122" s="143" t="s">
        <v>14039</v>
      </c>
      <c r="J122" s="138" t="s">
        <v>62</v>
      </c>
      <c r="K122" s="138" t="s">
        <v>13878</v>
      </c>
      <c r="L122" s="138" t="s">
        <v>64</v>
      </c>
    </row>
    <row r="123" spans="1:12">
      <c r="A123" s="139" t="str">
        <f t="shared" si="2"/>
        <v>13813-1000 Interest Rate Cap Reserve Disbursement</v>
      </c>
      <c r="B123" s="139" t="s">
        <v>14044</v>
      </c>
      <c r="C123" s="139" t="s">
        <v>14221</v>
      </c>
      <c r="D123" s="139" t="s">
        <v>14222</v>
      </c>
      <c r="E123" s="139"/>
      <c r="F123" s="139">
        <v>1</v>
      </c>
      <c r="G123" s="139" t="s">
        <v>14038</v>
      </c>
      <c r="I123" s="143" t="s">
        <v>14039</v>
      </c>
      <c r="J123" s="138" t="s">
        <v>62</v>
      </c>
      <c r="K123" s="138" t="s">
        <v>35</v>
      </c>
      <c r="L123" s="138" t="s">
        <v>64</v>
      </c>
    </row>
    <row r="124" spans="1:12">
      <c r="A124" s="139" t="str">
        <f t="shared" si="2"/>
        <v>13820-0000 CapEx Reserve</v>
      </c>
      <c r="B124" s="139" t="s">
        <v>14044</v>
      </c>
      <c r="C124" s="139" t="s">
        <v>14223</v>
      </c>
      <c r="D124" s="139" t="s">
        <v>387</v>
      </c>
      <c r="E124" s="139"/>
      <c r="F124" s="139">
        <v>0</v>
      </c>
      <c r="G124" s="139" t="s">
        <v>14038</v>
      </c>
      <c r="I124" s="143" t="s">
        <v>14039</v>
      </c>
      <c r="J124" s="138" t="s">
        <v>388</v>
      </c>
      <c r="K124" s="138" t="s">
        <v>35</v>
      </c>
      <c r="L124" s="138" t="s">
        <v>64</v>
      </c>
    </row>
    <row r="125" spans="1:12">
      <c r="A125" s="139" t="str">
        <f t="shared" si="2"/>
        <v>13820-1000 Capex Reserve Disbursement</v>
      </c>
      <c r="B125" s="139" t="s">
        <v>14044</v>
      </c>
      <c r="C125" s="139" t="s">
        <v>14224</v>
      </c>
      <c r="D125" s="139" t="s">
        <v>14225</v>
      </c>
      <c r="E125" s="139"/>
      <c r="F125" s="139">
        <v>1</v>
      </c>
      <c r="G125" s="139" t="s">
        <v>14038</v>
      </c>
      <c r="I125" s="143" t="s">
        <v>14039</v>
      </c>
      <c r="J125" s="138" t="s">
        <v>62</v>
      </c>
      <c r="K125" s="138" t="s">
        <v>35</v>
      </c>
      <c r="L125" s="138" t="s">
        <v>64</v>
      </c>
    </row>
    <row r="126" spans="1:12">
      <c r="A126" s="139" t="str">
        <f t="shared" si="2"/>
        <v>13821-0000 Interest Reserve</v>
      </c>
      <c r="B126" s="139" t="s">
        <v>14044</v>
      </c>
      <c r="C126" s="139" t="s">
        <v>14226</v>
      </c>
      <c r="D126" s="139" t="s">
        <v>14227</v>
      </c>
      <c r="E126" s="139"/>
      <c r="F126" s="139">
        <v>1</v>
      </c>
      <c r="G126" s="139" t="s">
        <v>14038</v>
      </c>
      <c r="I126" s="143" t="s">
        <v>14039</v>
      </c>
      <c r="J126" s="138" t="s">
        <v>62</v>
      </c>
      <c r="K126" s="138" t="s">
        <v>35</v>
      </c>
      <c r="L126" s="138" t="s">
        <v>64</v>
      </c>
    </row>
    <row r="127" spans="1:12">
      <c r="A127" s="139" t="str">
        <f t="shared" si="2"/>
        <v>13821-1000 Interest Reserve Disbursement</v>
      </c>
      <c r="B127" s="139" t="s">
        <v>14044</v>
      </c>
      <c r="C127" s="139" t="s">
        <v>14228</v>
      </c>
      <c r="D127" s="139" t="s">
        <v>14229</v>
      </c>
      <c r="E127" s="139"/>
      <c r="F127" s="139">
        <v>1</v>
      </c>
      <c r="G127" s="139" t="s">
        <v>14038</v>
      </c>
      <c r="I127" s="143" t="s">
        <v>14039</v>
      </c>
      <c r="J127" s="138" t="s">
        <v>62</v>
      </c>
      <c r="K127" s="138" t="s">
        <v>13877</v>
      </c>
      <c r="L127" s="138" t="s">
        <v>64</v>
      </c>
    </row>
    <row r="128" spans="1:12">
      <c r="A128" s="139" t="str">
        <f t="shared" si="2"/>
        <v>13822-0000 Replacement Reserve</v>
      </c>
      <c r="B128" s="139" t="s">
        <v>14044</v>
      </c>
      <c r="C128" s="139" t="s">
        <v>14230</v>
      </c>
      <c r="D128" s="139" t="s">
        <v>13876</v>
      </c>
      <c r="E128" s="139"/>
      <c r="F128" s="139">
        <v>1</v>
      </c>
      <c r="G128" s="139" t="s">
        <v>14038</v>
      </c>
      <c r="I128" s="143" t="s">
        <v>14039</v>
      </c>
      <c r="J128" s="138" t="s">
        <v>62</v>
      </c>
      <c r="K128" s="138" t="s">
        <v>13876</v>
      </c>
      <c r="L128" s="138" t="s">
        <v>64</v>
      </c>
    </row>
    <row r="129" spans="1:12">
      <c r="A129" s="139" t="str">
        <f t="shared" si="2"/>
        <v>13822-1000 Replacement Reserve Disbursement</v>
      </c>
      <c r="B129" s="139" t="s">
        <v>14044</v>
      </c>
      <c r="C129" s="139" t="s">
        <v>14231</v>
      </c>
      <c r="D129" s="139" t="s">
        <v>14232</v>
      </c>
      <c r="E129" s="139"/>
      <c r="F129" s="139">
        <v>1</v>
      </c>
      <c r="G129" s="139" t="s">
        <v>14038</v>
      </c>
      <c r="I129" s="143" t="s">
        <v>14039</v>
      </c>
      <c r="J129" s="138" t="s">
        <v>62</v>
      </c>
      <c r="K129" s="138" t="s">
        <v>35</v>
      </c>
      <c r="L129" s="138" t="s">
        <v>64</v>
      </c>
    </row>
    <row r="130" spans="1:9">
      <c r="A130" s="139" t="str">
        <f t="shared" si="2"/>
        <v>13899-9999 TOTAL LENDER ESCROW ACCOUNT</v>
      </c>
      <c r="B130" s="139" t="s">
        <v>14063</v>
      </c>
      <c r="C130" s="139" t="s">
        <v>14233</v>
      </c>
      <c r="D130" s="139" t="s">
        <v>14234</v>
      </c>
      <c r="E130" s="139"/>
      <c r="F130" s="139">
        <v>1</v>
      </c>
      <c r="G130" s="139" t="s">
        <v>14038</v>
      </c>
      <c r="I130" s="143" t="s">
        <v>14039</v>
      </c>
    </row>
    <row r="131" spans="1:9">
      <c r="A131" s="139" t="str">
        <f t="shared" ref="A131:A194" si="3">C131&amp;" "&amp;D131</f>
        <v>13990-9999 TOTAL OTHER ASSETS</v>
      </c>
      <c r="B131" s="139" t="s">
        <v>14063</v>
      </c>
      <c r="C131" s="139" t="s">
        <v>14235</v>
      </c>
      <c r="D131" s="139" t="s">
        <v>14236</v>
      </c>
      <c r="E131" s="139"/>
      <c r="F131" s="139">
        <v>0</v>
      </c>
      <c r="G131" s="139" t="s">
        <v>14038</v>
      </c>
      <c r="I131" s="143" t="s">
        <v>14039</v>
      </c>
    </row>
    <row r="132" spans="1:9">
      <c r="A132" s="139" t="str">
        <f t="shared" si="3"/>
        <v>13999-9999 TOTAL CURRENT ASSETS</v>
      </c>
      <c r="B132" s="139" t="s">
        <v>14063</v>
      </c>
      <c r="C132" s="139" t="s">
        <v>14237</v>
      </c>
      <c r="D132" s="139" t="s">
        <v>14238</v>
      </c>
      <c r="E132" s="139"/>
      <c r="F132" s="139">
        <v>0</v>
      </c>
      <c r="G132" s="139" t="s">
        <v>14038</v>
      </c>
      <c r="I132" s="143" t="s">
        <v>14039</v>
      </c>
    </row>
    <row r="133" spans="1:9">
      <c r="A133" s="139" t="str">
        <f t="shared" si="3"/>
        <v>14000-0000 LAND PROPERTY - EQUIPMENT</v>
      </c>
      <c r="B133" s="139" t="s">
        <v>14035</v>
      </c>
      <c r="C133" s="139" t="s">
        <v>14239</v>
      </c>
      <c r="D133" s="139" t="s">
        <v>14240</v>
      </c>
      <c r="E133" s="139"/>
      <c r="F133" s="139">
        <v>0</v>
      </c>
      <c r="G133" s="139" t="s">
        <v>14241</v>
      </c>
      <c r="I133" s="143" t="s">
        <v>14039</v>
      </c>
    </row>
    <row r="134" spans="1:12">
      <c r="A134" s="139" t="str">
        <f t="shared" si="3"/>
        <v>14100-0000 Land</v>
      </c>
      <c r="B134" s="139" t="s">
        <v>14044</v>
      </c>
      <c r="C134" s="139" t="s">
        <v>14242</v>
      </c>
      <c r="D134" s="139" t="s">
        <v>298</v>
      </c>
      <c r="E134" s="139"/>
      <c r="F134" s="139">
        <v>0</v>
      </c>
      <c r="G134" s="139" t="s">
        <v>14241</v>
      </c>
      <c r="I134" s="143" t="s">
        <v>14039</v>
      </c>
      <c r="J134" s="138" t="s">
        <v>62</v>
      </c>
      <c r="K134" s="138" t="s">
        <v>63</v>
      </c>
      <c r="L134" s="138" t="s">
        <v>64</v>
      </c>
    </row>
    <row r="135" spans="1:12">
      <c r="A135" s="139" t="str">
        <f t="shared" si="3"/>
        <v>15000-0000 Build Furn - Equip</v>
      </c>
      <c r="B135" s="139" t="s">
        <v>14044</v>
      </c>
      <c r="C135" s="139" t="s">
        <v>14243</v>
      </c>
      <c r="D135" s="139" t="s">
        <v>13252</v>
      </c>
      <c r="E135" s="139"/>
      <c r="F135" s="139">
        <v>0</v>
      </c>
      <c r="G135" s="139" t="s">
        <v>14241</v>
      </c>
      <c r="I135" s="143" t="s">
        <v>14039</v>
      </c>
      <c r="J135" s="138" t="s">
        <v>62</v>
      </c>
      <c r="K135" s="138" t="s">
        <v>63</v>
      </c>
      <c r="L135" s="138" t="s">
        <v>64</v>
      </c>
    </row>
    <row r="136" spans="1:12">
      <c r="A136" s="139" t="str">
        <f t="shared" si="3"/>
        <v>15500-0000 Building Enhancements</v>
      </c>
      <c r="B136" s="139" t="s">
        <v>14044</v>
      </c>
      <c r="C136" s="139" t="s">
        <v>14244</v>
      </c>
      <c r="D136" s="139" t="s">
        <v>302</v>
      </c>
      <c r="E136" s="139"/>
      <c r="F136" s="139">
        <v>0</v>
      </c>
      <c r="G136" s="139" t="s">
        <v>14241</v>
      </c>
      <c r="I136" s="143" t="s">
        <v>14039</v>
      </c>
      <c r="J136" s="138" t="s">
        <v>62</v>
      </c>
      <c r="K136" s="138" t="s">
        <v>63</v>
      </c>
      <c r="L136" s="138" t="s">
        <v>64</v>
      </c>
    </row>
    <row r="137" spans="1:12">
      <c r="A137" s="139" t="str">
        <f t="shared" si="3"/>
        <v>15600-0000 Blg Purchase Closing Cost</v>
      </c>
      <c r="B137" s="139" t="s">
        <v>14044</v>
      </c>
      <c r="C137" s="139" t="s">
        <v>14245</v>
      </c>
      <c r="D137" s="139" t="s">
        <v>337</v>
      </c>
      <c r="E137" s="139"/>
      <c r="F137" s="139">
        <v>0</v>
      </c>
      <c r="G137" s="139" t="s">
        <v>14241</v>
      </c>
      <c r="I137" s="143" t="s">
        <v>14039</v>
      </c>
      <c r="J137" s="138" t="s">
        <v>16</v>
      </c>
      <c r="K137" s="138" t="s">
        <v>63</v>
      </c>
      <c r="L137" s="138" t="s">
        <v>64</v>
      </c>
    </row>
    <row r="138" spans="1:12">
      <c r="A138" s="139" t="str">
        <f t="shared" si="3"/>
        <v>15700-0000 Computer and Software</v>
      </c>
      <c r="B138" s="139" t="s">
        <v>14044</v>
      </c>
      <c r="C138" s="139" t="s">
        <v>14246</v>
      </c>
      <c r="D138" s="139" t="s">
        <v>2635</v>
      </c>
      <c r="E138" s="139"/>
      <c r="F138" s="139">
        <v>0</v>
      </c>
      <c r="G138" s="139" t="s">
        <v>14241</v>
      </c>
      <c r="I138" s="143" t="s">
        <v>14039</v>
      </c>
      <c r="J138" s="138" t="s">
        <v>62</v>
      </c>
      <c r="K138" s="138" t="s">
        <v>63</v>
      </c>
      <c r="L138" s="138" t="s">
        <v>64</v>
      </c>
    </row>
    <row r="139" spans="1:12">
      <c r="A139" s="139" t="str">
        <f t="shared" si="3"/>
        <v>15800-0000 Vehicle</v>
      </c>
      <c r="B139" s="139" t="s">
        <v>14044</v>
      </c>
      <c r="C139" s="139" t="s">
        <v>14247</v>
      </c>
      <c r="D139" s="139" t="s">
        <v>14248</v>
      </c>
      <c r="E139" s="139"/>
      <c r="F139" s="139">
        <v>1</v>
      </c>
      <c r="G139" s="139" t="s">
        <v>14241</v>
      </c>
      <c r="I139" s="143" t="s">
        <v>14039</v>
      </c>
      <c r="J139" s="138" t="s">
        <v>62</v>
      </c>
      <c r="K139" s="138" t="s">
        <v>63</v>
      </c>
      <c r="L139" s="138" t="s">
        <v>64</v>
      </c>
    </row>
    <row r="140" spans="1:12">
      <c r="A140" s="139" t="str">
        <f t="shared" si="3"/>
        <v>16000-0000 Loan Fees</v>
      </c>
      <c r="B140" s="139" t="s">
        <v>14044</v>
      </c>
      <c r="C140" s="139" t="s">
        <v>14249</v>
      </c>
      <c r="D140" s="139" t="s">
        <v>304</v>
      </c>
      <c r="E140" s="139"/>
      <c r="F140" s="139">
        <v>0</v>
      </c>
      <c r="G140" s="139" t="s">
        <v>14241</v>
      </c>
      <c r="I140" s="143" t="s">
        <v>14039</v>
      </c>
      <c r="J140" s="138" t="s">
        <v>16</v>
      </c>
      <c r="K140" s="138" t="s">
        <v>63</v>
      </c>
      <c r="L140" s="138" t="s">
        <v>18</v>
      </c>
    </row>
    <row r="141" spans="1:12">
      <c r="A141" s="139" t="str">
        <f t="shared" si="3"/>
        <v>17000-0000 Accumulated Depreciation</v>
      </c>
      <c r="B141" s="139" t="s">
        <v>14044</v>
      </c>
      <c r="C141" s="139" t="s">
        <v>14250</v>
      </c>
      <c r="D141" s="139" t="s">
        <v>77</v>
      </c>
      <c r="E141" s="139"/>
      <c r="F141" s="139">
        <v>0</v>
      </c>
      <c r="G141" s="139" t="s">
        <v>14241</v>
      </c>
      <c r="I141" s="143" t="s">
        <v>14039</v>
      </c>
      <c r="J141" s="138" t="s">
        <v>62</v>
      </c>
      <c r="K141" s="138" t="s">
        <v>63</v>
      </c>
      <c r="L141" s="138" t="s">
        <v>64</v>
      </c>
    </row>
    <row r="142" spans="1:12">
      <c r="A142" s="139" t="str">
        <f t="shared" si="3"/>
        <v>18000-0000 Accumulated Amortization</v>
      </c>
      <c r="B142" s="139" t="s">
        <v>14044</v>
      </c>
      <c r="C142" s="139" t="s">
        <v>14251</v>
      </c>
      <c r="D142" s="139" t="s">
        <v>88</v>
      </c>
      <c r="E142" s="139"/>
      <c r="F142" s="139">
        <v>0</v>
      </c>
      <c r="G142" s="139" t="s">
        <v>14241</v>
      </c>
      <c r="I142" s="143" t="s">
        <v>14039</v>
      </c>
      <c r="J142" s="138" t="s">
        <v>62</v>
      </c>
      <c r="K142" s="138" t="s">
        <v>63</v>
      </c>
      <c r="L142" s="138" t="s">
        <v>81</v>
      </c>
    </row>
    <row r="143" spans="1:9">
      <c r="A143" s="139" t="str">
        <f t="shared" si="3"/>
        <v>18990-9999 TOTAL LAND PROPERTY - EQUIPMENT</v>
      </c>
      <c r="B143" s="139" t="s">
        <v>14063</v>
      </c>
      <c r="C143" s="139" t="s">
        <v>14252</v>
      </c>
      <c r="D143" s="139" t="s">
        <v>14253</v>
      </c>
      <c r="E143" s="139"/>
      <c r="F143" s="139">
        <v>0</v>
      </c>
      <c r="G143" s="139" t="s">
        <v>14241</v>
      </c>
      <c r="I143" s="143" t="s">
        <v>14039</v>
      </c>
    </row>
    <row r="144" spans="1:9">
      <c r="A144" s="139" t="str">
        <f t="shared" si="3"/>
        <v>19999-9999 TOTAL ASSETS</v>
      </c>
      <c r="B144" s="139" t="s">
        <v>14063</v>
      </c>
      <c r="C144" s="139" t="s">
        <v>14254</v>
      </c>
      <c r="D144" s="139" t="s">
        <v>14255</v>
      </c>
      <c r="E144" s="139"/>
      <c r="F144" s="139">
        <v>0</v>
      </c>
      <c r="G144" s="139" t="s">
        <v>14241</v>
      </c>
      <c r="I144" s="143" t="s">
        <v>14039</v>
      </c>
    </row>
    <row r="145" spans="1:9">
      <c r="A145" s="139" t="str">
        <f t="shared" si="3"/>
        <v>20000-0000 LIABILITIES AND CAPITAL</v>
      </c>
      <c r="B145" s="139" t="s">
        <v>14035</v>
      </c>
      <c r="C145" s="139" t="s">
        <v>14256</v>
      </c>
      <c r="D145" s="139" t="s">
        <v>14257</v>
      </c>
      <c r="E145" s="139"/>
      <c r="F145" s="139">
        <v>0</v>
      </c>
      <c r="G145" s="139" t="s">
        <v>14241</v>
      </c>
      <c r="I145" s="143" t="s">
        <v>14039</v>
      </c>
    </row>
    <row r="146" spans="1:9">
      <c r="A146" s="139" t="str">
        <f t="shared" si="3"/>
        <v>21000-0000 LIABILITIES</v>
      </c>
      <c r="B146" s="139" t="s">
        <v>14035</v>
      </c>
      <c r="C146" s="139" t="s">
        <v>14258</v>
      </c>
      <c r="D146" s="139" t="s">
        <v>14259</v>
      </c>
      <c r="E146" s="139"/>
      <c r="F146" s="139">
        <v>0</v>
      </c>
      <c r="G146" s="139" t="s">
        <v>14241</v>
      </c>
      <c r="I146" s="143" t="s">
        <v>14039</v>
      </c>
    </row>
    <row r="147" spans="1:9">
      <c r="A147" s="139" t="str">
        <f t="shared" si="3"/>
        <v>21100-0000 CURRENT LIABILITIES</v>
      </c>
      <c r="B147" s="139" t="s">
        <v>14035</v>
      </c>
      <c r="C147" s="139" t="s">
        <v>14260</v>
      </c>
      <c r="D147" s="139" t="s">
        <v>14261</v>
      </c>
      <c r="E147" s="139"/>
      <c r="F147" s="139">
        <v>0</v>
      </c>
      <c r="G147" s="139" t="s">
        <v>14241</v>
      </c>
      <c r="I147" s="143" t="s">
        <v>14039</v>
      </c>
    </row>
    <row r="148" spans="1:12">
      <c r="A148" s="139" t="str">
        <f t="shared" si="3"/>
        <v>22000-0000 Accounts Payable</v>
      </c>
      <c r="B148" s="139" t="s">
        <v>14044</v>
      </c>
      <c r="C148" s="139" t="s">
        <v>14262</v>
      </c>
      <c r="D148" s="139" t="s">
        <v>96</v>
      </c>
      <c r="E148" s="139"/>
      <c r="F148" s="139">
        <v>1</v>
      </c>
      <c r="G148" s="139" t="s">
        <v>14241</v>
      </c>
      <c r="I148" s="143" t="s">
        <v>14039</v>
      </c>
      <c r="J148" s="138" t="s">
        <v>97</v>
      </c>
      <c r="K148" s="138" t="s">
        <v>98</v>
      </c>
      <c r="L148" s="138" t="s">
        <v>99</v>
      </c>
    </row>
    <row r="149" spans="1:12">
      <c r="A149" s="139" t="str">
        <f t="shared" si="3"/>
        <v>22001-0000 Rent Tax Payable</v>
      </c>
      <c r="B149" s="139" t="s">
        <v>14044</v>
      </c>
      <c r="C149" s="139" t="s">
        <v>14263</v>
      </c>
      <c r="D149" s="139" t="s">
        <v>1322</v>
      </c>
      <c r="E149" s="139"/>
      <c r="F149" s="139">
        <v>0</v>
      </c>
      <c r="G149" s="139" t="s">
        <v>14241</v>
      </c>
      <c r="I149" s="143" t="s">
        <v>14039</v>
      </c>
      <c r="J149" s="138" t="s">
        <v>97</v>
      </c>
      <c r="K149" s="138" t="s">
        <v>105</v>
      </c>
      <c r="L149" s="138" t="s">
        <v>102</v>
      </c>
    </row>
    <row r="150" spans="1:12">
      <c r="A150" s="139" t="str">
        <f t="shared" si="3"/>
        <v>22003-0000 Tenant Refund Payable</v>
      </c>
      <c r="B150" s="139" t="s">
        <v>14044</v>
      </c>
      <c r="C150" s="139" t="s">
        <v>14264</v>
      </c>
      <c r="D150" s="139" t="s">
        <v>12974</v>
      </c>
      <c r="E150" s="139"/>
      <c r="F150" s="139">
        <v>0</v>
      </c>
      <c r="G150" s="139" t="s">
        <v>14241</v>
      </c>
      <c r="I150" s="143" t="s">
        <v>14039</v>
      </c>
      <c r="J150" s="138" t="s">
        <v>97</v>
      </c>
      <c r="K150" s="138" t="s">
        <v>98</v>
      </c>
      <c r="L150" s="138" t="s">
        <v>99</v>
      </c>
    </row>
    <row r="151" spans="1:12">
      <c r="A151" s="139" t="str">
        <f t="shared" si="3"/>
        <v>22005-0000 Unclaimed Property Payable</v>
      </c>
      <c r="B151" s="139" t="s">
        <v>14044</v>
      </c>
      <c r="C151" s="139" t="s">
        <v>14265</v>
      </c>
      <c r="D151" s="139" t="s">
        <v>12972</v>
      </c>
      <c r="E151" s="139"/>
      <c r="F151" s="139">
        <v>1</v>
      </c>
      <c r="G151" s="139" t="s">
        <v>14241</v>
      </c>
      <c r="I151" s="143" t="s">
        <v>14039</v>
      </c>
      <c r="J151" s="138" t="s">
        <v>97</v>
      </c>
      <c r="K151" s="138" t="s">
        <v>105</v>
      </c>
      <c r="L151" s="138" t="s">
        <v>102</v>
      </c>
    </row>
    <row r="152" spans="1:12">
      <c r="A152" s="139" t="str">
        <f t="shared" si="3"/>
        <v>22310-0000 Income Tax Payable</v>
      </c>
      <c r="B152" s="139" t="s">
        <v>14044</v>
      </c>
      <c r="C152" s="139" t="s">
        <v>14266</v>
      </c>
      <c r="D152" s="139" t="s">
        <v>14267</v>
      </c>
      <c r="E152" s="139"/>
      <c r="F152" s="139">
        <v>0</v>
      </c>
      <c r="G152" s="139" t="s">
        <v>14241</v>
      </c>
      <c r="I152" s="143" t="s">
        <v>14039</v>
      </c>
      <c r="J152" s="138" t="s">
        <v>97</v>
      </c>
      <c r="K152" s="138" t="s">
        <v>105</v>
      </c>
      <c r="L152" s="138" t="s">
        <v>102</v>
      </c>
    </row>
    <row r="153" spans="1:12">
      <c r="A153" s="139" t="str">
        <f t="shared" si="3"/>
        <v>22800-0000 Tenant Sec Deposits</v>
      </c>
      <c r="B153" s="139" t="s">
        <v>14044</v>
      </c>
      <c r="C153" s="139" t="s">
        <v>14268</v>
      </c>
      <c r="D153" s="139" t="s">
        <v>13256</v>
      </c>
      <c r="E153" s="139"/>
      <c r="F153" s="139">
        <v>1</v>
      </c>
      <c r="G153" s="139" t="s">
        <v>14241</v>
      </c>
      <c r="I153" s="143" t="s">
        <v>14039</v>
      </c>
      <c r="J153" s="138" t="s">
        <v>97</v>
      </c>
      <c r="K153" s="138" t="s">
        <v>98</v>
      </c>
      <c r="L153" s="138" t="s">
        <v>102</v>
      </c>
    </row>
    <row r="154" spans="1:12">
      <c r="A154" s="139" t="str">
        <f t="shared" si="3"/>
        <v>22801-0000 Pet Deposit</v>
      </c>
      <c r="B154" s="139" t="s">
        <v>14044</v>
      </c>
      <c r="C154" s="139" t="s">
        <v>14269</v>
      </c>
      <c r="D154" s="139" t="s">
        <v>2792</v>
      </c>
      <c r="E154" s="139"/>
      <c r="F154" s="139">
        <v>0</v>
      </c>
      <c r="G154" s="139" t="s">
        <v>14241</v>
      </c>
      <c r="I154" s="143" t="s">
        <v>14039</v>
      </c>
      <c r="J154" s="138" t="s">
        <v>97</v>
      </c>
      <c r="K154" s="138" t="s">
        <v>98</v>
      </c>
      <c r="L154" s="138" t="s">
        <v>102</v>
      </c>
    </row>
    <row r="155" spans="1:12">
      <c r="A155" s="139" t="str">
        <f t="shared" si="3"/>
        <v>22810-0000 Security Deposit Clearing</v>
      </c>
      <c r="B155" s="139" t="s">
        <v>14044</v>
      </c>
      <c r="C155" s="139" t="s">
        <v>14270</v>
      </c>
      <c r="D155" s="139" t="s">
        <v>14271</v>
      </c>
      <c r="E155" s="139"/>
      <c r="F155" s="139">
        <v>1</v>
      </c>
      <c r="G155" s="139" t="s">
        <v>14241</v>
      </c>
      <c r="I155" s="143" t="s">
        <v>14039</v>
      </c>
      <c r="J155" s="138" t="s">
        <v>97</v>
      </c>
      <c r="K155" s="138" t="s">
        <v>98</v>
      </c>
      <c r="L155" s="138" t="s">
        <v>102</v>
      </c>
    </row>
    <row r="156" spans="1:12">
      <c r="A156" s="139" t="str">
        <f t="shared" si="3"/>
        <v>22900-0000 Prepaid Income</v>
      </c>
      <c r="B156" s="139" t="s">
        <v>14044</v>
      </c>
      <c r="C156" s="139" t="s">
        <v>14272</v>
      </c>
      <c r="D156" s="139" t="s">
        <v>3677</v>
      </c>
      <c r="E156" s="139"/>
      <c r="F156" s="139">
        <v>0</v>
      </c>
      <c r="G156" s="139" t="s">
        <v>14241</v>
      </c>
      <c r="I156" s="143" t="s">
        <v>14039</v>
      </c>
      <c r="J156" s="138" t="s">
        <v>3678</v>
      </c>
      <c r="K156" s="138" t="s">
        <v>98</v>
      </c>
      <c r="L156" s="138" t="s">
        <v>102</v>
      </c>
    </row>
    <row r="157" spans="1:12">
      <c r="A157" s="139" t="str">
        <f t="shared" si="3"/>
        <v>22905-0000 Prepaid Rent</v>
      </c>
      <c r="B157" s="139" t="s">
        <v>14044</v>
      </c>
      <c r="C157" s="139" t="s">
        <v>14273</v>
      </c>
      <c r="D157" s="139" t="s">
        <v>13258</v>
      </c>
      <c r="E157" s="139"/>
      <c r="F157" s="139">
        <v>1</v>
      </c>
      <c r="G157" s="139" t="s">
        <v>14241</v>
      </c>
      <c r="I157" s="143" t="s">
        <v>14039</v>
      </c>
      <c r="J157" s="138" t="s">
        <v>3678</v>
      </c>
      <c r="K157" s="138" t="s">
        <v>98</v>
      </c>
      <c r="L157" s="138" t="s">
        <v>102</v>
      </c>
    </row>
    <row r="158" spans="1:12">
      <c r="A158" s="139" t="str">
        <f t="shared" si="3"/>
        <v>22906-0000 Prepaid Rent</v>
      </c>
      <c r="B158" s="139" t="s">
        <v>14044</v>
      </c>
      <c r="C158" s="139" t="s">
        <v>14274</v>
      </c>
      <c r="D158" s="139" t="s">
        <v>13258</v>
      </c>
      <c r="E158" s="139"/>
      <c r="F158" s="139">
        <v>1</v>
      </c>
      <c r="G158" s="139" t="s">
        <v>14241</v>
      </c>
      <c r="I158" s="143" t="s">
        <v>14039</v>
      </c>
      <c r="J158" s="138" t="s">
        <v>3678</v>
      </c>
      <c r="K158" s="138" t="s">
        <v>98</v>
      </c>
      <c r="L158" s="138" t="s">
        <v>102</v>
      </c>
    </row>
    <row r="159" spans="1:12">
      <c r="A159" s="139" t="str">
        <f t="shared" si="3"/>
        <v>23000-0000 Payroll Liabilities</v>
      </c>
      <c r="B159" s="139" t="s">
        <v>14044</v>
      </c>
      <c r="C159" s="139" t="s">
        <v>14275</v>
      </c>
      <c r="D159" s="139" t="s">
        <v>14276</v>
      </c>
      <c r="E159" s="139"/>
      <c r="F159" s="139">
        <v>0</v>
      </c>
      <c r="G159" s="139" t="s">
        <v>14241</v>
      </c>
      <c r="I159" s="143" t="s">
        <v>14039</v>
      </c>
      <c r="J159" s="138" t="s">
        <v>97</v>
      </c>
      <c r="K159" s="138" t="s">
        <v>98</v>
      </c>
      <c r="L159" s="138" t="s">
        <v>102</v>
      </c>
    </row>
    <row r="160" spans="1:12">
      <c r="A160" s="139" t="str">
        <f t="shared" si="3"/>
        <v>23100-0000 Garnishment</v>
      </c>
      <c r="B160" s="139" t="s">
        <v>14044</v>
      </c>
      <c r="C160" s="139" t="s">
        <v>14277</v>
      </c>
      <c r="D160" s="139" t="s">
        <v>14278</v>
      </c>
      <c r="E160" s="139"/>
      <c r="F160" s="139">
        <v>0</v>
      </c>
      <c r="G160" s="139" t="s">
        <v>14241</v>
      </c>
      <c r="I160" s="143" t="s">
        <v>14039</v>
      </c>
      <c r="J160" s="138" t="s">
        <v>97</v>
      </c>
      <c r="K160" s="138" t="s">
        <v>98</v>
      </c>
      <c r="L160" s="138" t="s">
        <v>102</v>
      </c>
    </row>
    <row r="161" spans="1:12">
      <c r="A161" s="139" t="str">
        <f t="shared" si="3"/>
        <v>23500-0000 Accrued Vacation</v>
      </c>
      <c r="B161" s="139" t="s">
        <v>14044</v>
      </c>
      <c r="C161" s="139" t="s">
        <v>14279</v>
      </c>
      <c r="D161" s="139" t="s">
        <v>109</v>
      </c>
      <c r="E161" s="139"/>
      <c r="F161" s="139">
        <v>0</v>
      </c>
      <c r="G161" s="139" t="s">
        <v>14241</v>
      </c>
      <c r="I161" s="143" t="s">
        <v>14039</v>
      </c>
      <c r="J161" s="138" t="s">
        <v>97</v>
      </c>
      <c r="K161" s="138" t="s">
        <v>98</v>
      </c>
      <c r="L161" s="138" t="s">
        <v>102</v>
      </c>
    </row>
    <row r="162" spans="1:12">
      <c r="A162" s="139" t="str">
        <f t="shared" si="3"/>
        <v>23501-0000 Accrued Income Taxes</v>
      </c>
      <c r="B162" s="139" t="s">
        <v>14044</v>
      </c>
      <c r="C162" s="139" t="s">
        <v>14280</v>
      </c>
      <c r="D162" s="139" t="s">
        <v>748</v>
      </c>
      <c r="E162" s="139"/>
      <c r="F162" s="139">
        <v>0</v>
      </c>
      <c r="G162" s="139" t="s">
        <v>14241</v>
      </c>
      <c r="I162" s="143" t="s">
        <v>14039</v>
      </c>
      <c r="J162" s="138" t="s">
        <v>97</v>
      </c>
      <c r="K162" s="138" t="s">
        <v>98</v>
      </c>
      <c r="L162" s="138" t="s">
        <v>102</v>
      </c>
    </row>
    <row r="163" spans="1:12">
      <c r="A163" s="139" t="str">
        <f t="shared" si="3"/>
        <v>23509-0000 Accrued Expenses</v>
      </c>
      <c r="B163" s="139" t="s">
        <v>14044</v>
      </c>
      <c r="C163" s="139" t="s">
        <v>14281</v>
      </c>
      <c r="D163" s="139" t="s">
        <v>454</v>
      </c>
      <c r="E163" s="139"/>
      <c r="F163" s="139">
        <v>0</v>
      </c>
      <c r="G163" s="139" t="s">
        <v>14241</v>
      </c>
      <c r="I163" s="143" t="s">
        <v>14039</v>
      </c>
      <c r="J163" s="138" t="s">
        <v>97</v>
      </c>
      <c r="K163" s="138" t="s">
        <v>98</v>
      </c>
      <c r="L163" s="138" t="s">
        <v>102</v>
      </c>
    </row>
    <row r="164" spans="1:12">
      <c r="A164" s="139" t="str">
        <f t="shared" si="3"/>
        <v>23700-0000 PPP Loan</v>
      </c>
      <c r="B164" s="139" t="s">
        <v>14044</v>
      </c>
      <c r="C164" s="139" t="s">
        <v>14282</v>
      </c>
      <c r="D164" s="139" t="s">
        <v>14283</v>
      </c>
      <c r="E164" s="139"/>
      <c r="F164" s="139">
        <v>0</v>
      </c>
      <c r="G164" s="139" t="s">
        <v>14241</v>
      </c>
      <c r="I164" s="143" t="s">
        <v>14039</v>
      </c>
      <c r="J164" s="138" t="s">
        <v>123</v>
      </c>
      <c r="K164" s="138" t="s">
        <v>127</v>
      </c>
      <c r="L164" s="138" t="s">
        <v>133</v>
      </c>
    </row>
    <row r="165" spans="1:12">
      <c r="A165" s="139" t="str">
        <f t="shared" si="3"/>
        <v>23800-0000 EILD Loan</v>
      </c>
      <c r="B165" s="139" t="s">
        <v>14044</v>
      </c>
      <c r="C165" s="139" t="s">
        <v>14284</v>
      </c>
      <c r="D165" s="139" t="s">
        <v>13365</v>
      </c>
      <c r="E165" s="139"/>
      <c r="F165" s="139">
        <v>0</v>
      </c>
      <c r="G165" s="139" t="s">
        <v>14241</v>
      </c>
      <c r="I165" s="143" t="s">
        <v>14039</v>
      </c>
      <c r="J165" s="138" t="s">
        <v>123</v>
      </c>
      <c r="K165" s="138" t="s">
        <v>127</v>
      </c>
      <c r="L165" s="138" t="s">
        <v>133</v>
      </c>
    </row>
    <row r="166" spans="1:9">
      <c r="A166" s="139" t="str">
        <f t="shared" si="3"/>
        <v>23999-9999 TOTAL CURRENT LIABILITIES</v>
      </c>
      <c r="B166" s="139" t="s">
        <v>14063</v>
      </c>
      <c r="C166" s="139" t="s">
        <v>14285</v>
      </c>
      <c r="D166" s="139" t="s">
        <v>14286</v>
      </c>
      <c r="E166" s="139"/>
      <c r="F166" s="139">
        <v>0</v>
      </c>
      <c r="G166" s="139" t="s">
        <v>14241</v>
      </c>
      <c r="I166" s="143" t="s">
        <v>14039</v>
      </c>
    </row>
    <row r="167" spans="1:9">
      <c r="A167" s="139" t="str">
        <f t="shared" si="3"/>
        <v>24000-0000 TAX LIABILITIES</v>
      </c>
      <c r="B167" s="139" t="s">
        <v>14035</v>
      </c>
      <c r="C167" s="139" t="s">
        <v>14287</v>
      </c>
      <c r="D167" s="139" t="s">
        <v>14288</v>
      </c>
      <c r="E167" s="139"/>
      <c r="F167" s="139">
        <v>0</v>
      </c>
      <c r="G167" s="139" t="s">
        <v>14241</v>
      </c>
      <c r="I167" s="143" t="s">
        <v>14039</v>
      </c>
    </row>
    <row r="168" spans="1:12">
      <c r="A168" s="139" t="str">
        <f t="shared" si="3"/>
        <v>24200-0000 Federal Witholding Payable</v>
      </c>
      <c r="B168" s="139" t="s">
        <v>14044</v>
      </c>
      <c r="C168" s="139" t="s">
        <v>14289</v>
      </c>
      <c r="D168" s="139" t="s">
        <v>14290</v>
      </c>
      <c r="E168" s="139"/>
      <c r="F168" s="139">
        <v>0</v>
      </c>
      <c r="G168" s="139" t="s">
        <v>14241</v>
      </c>
      <c r="I168" s="143" t="s">
        <v>14039</v>
      </c>
      <c r="J168" s="138" t="s">
        <v>97</v>
      </c>
      <c r="K168" s="138" t="s">
        <v>98</v>
      </c>
      <c r="L168" s="138" t="s">
        <v>102</v>
      </c>
    </row>
    <row r="169" spans="1:12">
      <c r="A169" s="139" t="str">
        <f t="shared" si="3"/>
        <v>24300-0000 State Witholding Payable</v>
      </c>
      <c r="B169" s="139" t="s">
        <v>14044</v>
      </c>
      <c r="C169" s="139" t="s">
        <v>14291</v>
      </c>
      <c r="D169" s="139" t="s">
        <v>14292</v>
      </c>
      <c r="E169" s="139"/>
      <c r="F169" s="139">
        <v>0</v>
      </c>
      <c r="G169" s="139" t="s">
        <v>14241</v>
      </c>
      <c r="I169" s="143" t="s">
        <v>14039</v>
      </c>
      <c r="J169" s="138" t="s">
        <v>97</v>
      </c>
      <c r="K169" s="138" t="s">
        <v>98</v>
      </c>
      <c r="L169" s="138" t="s">
        <v>102</v>
      </c>
    </row>
    <row r="170" spans="1:12">
      <c r="A170" s="139" t="str">
        <f t="shared" si="3"/>
        <v>24400-0000 FICA - Medicare Payable</v>
      </c>
      <c r="B170" s="139" t="s">
        <v>14044</v>
      </c>
      <c r="C170" s="139" t="s">
        <v>14293</v>
      </c>
      <c r="D170" s="139" t="s">
        <v>14294</v>
      </c>
      <c r="E170" s="139"/>
      <c r="F170" s="139">
        <v>0</v>
      </c>
      <c r="G170" s="139" t="s">
        <v>14241</v>
      </c>
      <c r="I170" s="143" t="s">
        <v>14039</v>
      </c>
      <c r="J170" s="138" t="s">
        <v>97</v>
      </c>
      <c r="K170" s="138" t="s">
        <v>98</v>
      </c>
      <c r="L170" s="138" t="s">
        <v>102</v>
      </c>
    </row>
    <row r="171" spans="1:12">
      <c r="A171" s="139" t="str">
        <f t="shared" si="3"/>
        <v>24500-0000 SUI - FUTA Tax Payable</v>
      </c>
      <c r="B171" s="139" t="s">
        <v>14044</v>
      </c>
      <c r="C171" s="139" t="s">
        <v>14295</v>
      </c>
      <c r="D171" s="139" t="s">
        <v>14296</v>
      </c>
      <c r="E171" s="139"/>
      <c r="F171" s="139">
        <v>0</v>
      </c>
      <c r="G171" s="139" t="s">
        <v>14241</v>
      </c>
      <c r="I171" s="143" t="s">
        <v>14039</v>
      </c>
      <c r="J171" s="138" t="s">
        <v>97</v>
      </c>
      <c r="K171" s="138" t="s">
        <v>98</v>
      </c>
      <c r="L171" s="138" t="s">
        <v>102</v>
      </c>
    </row>
    <row r="172" spans="1:12">
      <c r="A172" s="139" t="str">
        <f t="shared" si="3"/>
        <v>24600-0000 State Disability  SDI</v>
      </c>
      <c r="B172" s="139" t="s">
        <v>14044</v>
      </c>
      <c r="C172" s="139" t="s">
        <v>14297</v>
      </c>
      <c r="D172" s="139" t="s">
        <v>14298</v>
      </c>
      <c r="E172" s="139"/>
      <c r="F172" s="139">
        <v>0</v>
      </c>
      <c r="G172" s="139" t="s">
        <v>14241</v>
      </c>
      <c r="I172" s="143" t="s">
        <v>14039</v>
      </c>
      <c r="J172" s="138" t="s">
        <v>97</v>
      </c>
      <c r="K172" s="138" t="s">
        <v>98</v>
      </c>
      <c r="L172" s="138" t="s">
        <v>102</v>
      </c>
    </row>
    <row r="173" spans="1:9">
      <c r="A173" s="139" t="str">
        <f t="shared" si="3"/>
        <v>24999-9999 TOTAL TAX LIABILITIES</v>
      </c>
      <c r="B173" s="139" t="s">
        <v>14063</v>
      </c>
      <c r="C173" s="139" t="s">
        <v>14299</v>
      </c>
      <c r="D173" s="139" t="s">
        <v>14300</v>
      </c>
      <c r="E173" s="139"/>
      <c r="F173" s="139">
        <v>0</v>
      </c>
      <c r="G173" s="139" t="s">
        <v>14241</v>
      </c>
      <c r="I173" s="143" t="s">
        <v>14039</v>
      </c>
    </row>
    <row r="174" spans="1:9">
      <c r="A174" s="139" t="str">
        <f t="shared" si="3"/>
        <v>25000-0000 LONGTERM LIABILITIES</v>
      </c>
      <c r="B174" s="139" t="s">
        <v>14035</v>
      </c>
      <c r="C174" s="139" t="s">
        <v>14301</v>
      </c>
      <c r="D174" s="139" t="s">
        <v>14302</v>
      </c>
      <c r="E174" s="139"/>
      <c r="F174" s="139">
        <v>0</v>
      </c>
      <c r="G174" s="139" t="s">
        <v>14241</v>
      </c>
      <c r="I174" s="143" t="s">
        <v>14039</v>
      </c>
    </row>
    <row r="175" spans="1:12">
      <c r="A175" s="139" t="str">
        <f t="shared" si="3"/>
        <v>25005-0000 Wachovia-SAT</v>
      </c>
      <c r="B175" s="139" t="s">
        <v>14044</v>
      </c>
      <c r="C175" s="139" t="s">
        <v>14303</v>
      </c>
      <c r="D175" s="139" t="s">
        <v>14304</v>
      </c>
      <c r="E175" s="139"/>
      <c r="F175" s="139">
        <v>1</v>
      </c>
      <c r="G175" s="139" t="s">
        <v>14241</v>
      </c>
      <c r="I175" s="143" t="s">
        <v>14039</v>
      </c>
      <c r="J175" s="138" t="s">
        <v>123</v>
      </c>
      <c r="K175" s="138" t="s">
        <v>127</v>
      </c>
      <c r="L175" s="138" t="s">
        <v>133</v>
      </c>
    </row>
    <row r="176" spans="1:12">
      <c r="A176" s="139" t="str">
        <f t="shared" si="3"/>
        <v>25009-0000 WF-LA House</v>
      </c>
      <c r="B176" s="139" t="s">
        <v>14044</v>
      </c>
      <c r="C176" s="139" t="s">
        <v>14305</v>
      </c>
      <c r="D176" s="139" t="s">
        <v>2655</v>
      </c>
      <c r="E176" s="139"/>
      <c r="F176" s="139">
        <v>1</v>
      </c>
      <c r="G176" s="139" t="s">
        <v>14241</v>
      </c>
      <c r="I176" s="143" t="s">
        <v>14039</v>
      </c>
      <c r="J176" s="138" t="s">
        <v>123</v>
      </c>
      <c r="K176" s="138" t="s">
        <v>127</v>
      </c>
      <c r="L176" s="138" t="s">
        <v>133</v>
      </c>
    </row>
    <row r="177" spans="1:12">
      <c r="A177" s="139" t="str">
        <f t="shared" si="3"/>
        <v>25600-0000 Notes Payable D7</v>
      </c>
      <c r="B177" s="139" t="s">
        <v>14044</v>
      </c>
      <c r="C177" s="139" t="s">
        <v>14306</v>
      </c>
      <c r="D177" s="139" t="s">
        <v>314</v>
      </c>
      <c r="E177" s="139"/>
      <c r="F177" s="139">
        <v>0</v>
      </c>
      <c r="G177" s="139" t="s">
        <v>14241</v>
      </c>
      <c r="I177" s="143" t="s">
        <v>14039</v>
      </c>
      <c r="J177" s="138" t="s">
        <v>16</v>
      </c>
      <c r="K177" s="138" t="s">
        <v>315</v>
      </c>
      <c r="L177" s="138" t="s">
        <v>40</v>
      </c>
    </row>
    <row r="178" spans="1:12">
      <c r="A178" s="139" t="str">
        <f t="shared" si="3"/>
        <v>25601-0000 Discount Notes Pay</v>
      </c>
      <c r="B178" s="139" t="s">
        <v>14044</v>
      </c>
      <c r="C178" s="139" t="s">
        <v>14307</v>
      </c>
      <c r="D178" s="139" t="s">
        <v>14308</v>
      </c>
      <c r="E178" s="139"/>
      <c r="F178" s="139">
        <v>0</v>
      </c>
      <c r="G178" s="139" t="s">
        <v>14241</v>
      </c>
      <c r="I178" s="143" t="s">
        <v>14039</v>
      </c>
      <c r="J178" s="138" t="s">
        <v>97</v>
      </c>
      <c r="K178" s="138" t="s">
        <v>98</v>
      </c>
      <c r="L178" s="138" t="s">
        <v>102</v>
      </c>
    </row>
    <row r="179" spans="1:12">
      <c r="A179" s="139" t="str">
        <f t="shared" si="3"/>
        <v>25602-0000 Note Payable  DFLP</v>
      </c>
      <c r="B179" s="139" t="s">
        <v>14044</v>
      </c>
      <c r="C179" s="139" t="s">
        <v>14309</v>
      </c>
      <c r="D179" s="139" t="s">
        <v>13426</v>
      </c>
      <c r="E179" s="139"/>
      <c r="F179" s="139">
        <v>0</v>
      </c>
      <c r="G179" s="139" t="s">
        <v>14241</v>
      </c>
      <c r="I179" s="143" t="s">
        <v>14039</v>
      </c>
      <c r="J179" s="138" t="s">
        <v>16</v>
      </c>
      <c r="K179" s="138" t="s">
        <v>315</v>
      </c>
      <c r="L179" s="138" t="s">
        <v>40</v>
      </c>
    </row>
    <row r="180" spans="1:12">
      <c r="A180" s="139" t="str">
        <f t="shared" si="3"/>
        <v>25603-0000 Note Payable  NCEB</v>
      </c>
      <c r="B180" s="139" t="s">
        <v>14044</v>
      </c>
      <c r="C180" s="139" t="s">
        <v>14310</v>
      </c>
      <c r="D180" s="139" t="s">
        <v>14311</v>
      </c>
      <c r="E180" s="139"/>
      <c r="F180" s="139">
        <v>0</v>
      </c>
      <c r="G180" s="139" t="s">
        <v>14241</v>
      </c>
      <c r="I180" s="143" t="s">
        <v>14039</v>
      </c>
      <c r="J180" s="138" t="s">
        <v>362</v>
      </c>
      <c r="K180" s="138" t="s">
        <v>315</v>
      </c>
      <c r="L180" s="138" t="s">
        <v>40</v>
      </c>
    </row>
    <row r="181" spans="1:12">
      <c r="A181" s="139" t="str">
        <f t="shared" si="3"/>
        <v>25604-0000 Note Payable</v>
      </c>
      <c r="B181" s="139" t="s">
        <v>14044</v>
      </c>
      <c r="C181" s="139" t="s">
        <v>14033</v>
      </c>
      <c r="D181" s="139" t="s">
        <v>13490</v>
      </c>
      <c r="E181" s="139"/>
      <c r="F181" s="139">
        <v>1</v>
      </c>
      <c r="G181" s="139" t="s">
        <v>14241</v>
      </c>
      <c r="I181" s="143" t="s">
        <v>14039</v>
      </c>
      <c r="J181" s="138" t="s">
        <v>16</v>
      </c>
      <c r="K181" s="138" t="s">
        <v>39</v>
      </c>
      <c r="L181" s="138" t="s">
        <v>40</v>
      </c>
    </row>
    <row r="182" spans="1:12">
      <c r="A182" s="139" t="str">
        <f t="shared" si="3"/>
        <v>28000-0000 Loan  Flagstar</v>
      </c>
      <c r="B182" s="139" t="s">
        <v>14044</v>
      </c>
      <c r="C182" s="139" t="s">
        <v>14312</v>
      </c>
      <c r="D182" s="139" t="s">
        <v>14313</v>
      </c>
      <c r="E182" s="139"/>
      <c r="F182" s="139">
        <v>0</v>
      </c>
      <c r="G182" s="139" t="s">
        <v>14241</v>
      </c>
      <c r="I182" s="143" t="s">
        <v>14039</v>
      </c>
      <c r="J182" s="138" t="s">
        <v>123</v>
      </c>
      <c r="K182" s="138" t="s">
        <v>127</v>
      </c>
      <c r="L182" s="138" t="s">
        <v>133</v>
      </c>
    </row>
    <row r="183" spans="1:12">
      <c r="A183" s="139" t="str">
        <f t="shared" si="3"/>
        <v>28001-0000 Loan  SkyOne</v>
      </c>
      <c r="B183" s="139" t="s">
        <v>14044</v>
      </c>
      <c r="C183" s="139" t="s">
        <v>14314</v>
      </c>
      <c r="D183" s="139" t="s">
        <v>14315</v>
      </c>
      <c r="E183" s="139"/>
      <c r="F183" s="139">
        <v>0</v>
      </c>
      <c r="G183" s="139" t="s">
        <v>14241</v>
      </c>
      <c r="I183" s="143" t="s">
        <v>14039</v>
      </c>
      <c r="J183" s="138" t="s">
        <v>123</v>
      </c>
      <c r="K183" s="138" t="s">
        <v>127</v>
      </c>
      <c r="L183" s="138" t="s">
        <v>133</v>
      </c>
    </row>
    <row r="184" spans="1:12">
      <c r="A184" s="139" t="str">
        <f t="shared" si="3"/>
        <v>28002-0000 Loan  Capital One</v>
      </c>
      <c r="B184" s="139" t="s">
        <v>14044</v>
      </c>
      <c r="C184" s="139" t="s">
        <v>14316</v>
      </c>
      <c r="D184" s="139" t="s">
        <v>14317</v>
      </c>
      <c r="E184" s="139"/>
      <c r="F184" s="139">
        <v>0</v>
      </c>
      <c r="G184" s="139" t="s">
        <v>14241</v>
      </c>
      <c r="I184" s="143" t="s">
        <v>14039</v>
      </c>
      <c r="J184" s="138" t="s">
        <v>123</v>
      </c>
      <c r="K184" s="138" t="s">
        <v>127</v>
      </c>
      <c r="L184" s="138" t="s">
        <v>133</v>
      </c>
    </row>
    <row r="185" spans="1:12">
      <c r="A185" s="139" t="str">
        <f t="shared" si="3"/>
        <v>28003-0000 Loan  Berkadia</v>
      </c>
      <c r="B185" s="139" t="s">
        <v>14044</v>
      </c>
      <c r="C185" s="139" t="s">
        <v>14318</v>
      </c>
      <c r="D185" s="139" t="s">
        <v>13555</v>
      </c>
      <c r="E185" s="139"/>
      <c r="F185" s="139">
        <v>0</v>
      </c>
      <c r="G185" s="139" t="s">
        <v>14241</v>
      </c>
      <c r="I185" s="143" t="s">
        <v>14039</v>
      </c>
      <c r="J185" s="138" t="s">
        <v>123</v>
      </c>
      <c r="K185" s="138" t="s">
        <v>127</v>
      </c>
      <c r="L185" s="138" t="s">
        <v>133</v>
      </c>
    </row>
    <row r="186" spans="1:12">
      <c r="A186" s="139" t="str">
        <f t="shared" si="3"/>
        <v>28004-0000 Loan  COHEN</v>
      </c>
      <c r="B186" s="139" t="s">
        <v>14044</v>
      </c>
      <c r="C186" s="139" t="s">
        <v>14319</v>
      </c>
      <c r="D186" s="139" t="s">
        <v>13367</v>
      </c>
      <c r="E186" s="139"/>
      <c r="F186" s="139">
        <v>0</v>
      </c>
      <c r="G186" s="139" t="s">
        <v>14241</v>
      </c>
      <c r="I186" s="143" t="s">
        <v>14039</v>
      </c>
      <c r="J186" s="138" t="s">
        <v>123</v>
      </c>
      <c r="K186" s="138" t="s">
        <v>127</v>
      </c>
      <c r="L186" s="138" t="s">
        <v>133</v>
      </c>
    </row>
    <row r="187" spans="1:12">
      <c r="A187" s="139" t="str">
        <f t="shared" si="3"/>
        <v>28005-0000 Loan  JLL</v>
      </c>
      <c r="B187" s="139" t="s">
        <v>14044</v>
      </c>
      <c r="C187" s="139" t="s">
        <v>14320</v>
      </c>
      <c r="D187" s="139" t="s">
        <v>13260</v>
      </c>
      <c r="E187" s="139"/>
      <c r="F187" s="139">
        <v>0</v>
      </c>
      <c r="G187" s="139" t="s">
        <v>14241</v>
      </c>
      <c r="I187" s="143" t="s">
        <v>14039</v>
      </c>
      <c r="J187" s="138" t="s">
        <v>123</v>
      </c>
      <c r="K187" s="138" t="s">
        <v>127</v>
      </c>
      <c r="L187" s="138" t="s">
        <v>133</v>
      </c>
    </row>
    <row r="188" spans="1:12">
      <c r="A188" s="139" t="str">
        <f t="shared" si="3"/>
        <v>28006-0000 Loan  Arixa Institution</v>
      </c>
      <c r="B188" s="139" t="s">
        <v>14044</v>
      </c>
      <c r="C188" s="139" t="s">
        <v>14321</v>
      </c>
      <c r="D188" s="139" t="s">
        <v>14322</v>
      </c>
      <c r="E188" s="139"/>
      <c r="F188" s="139">
        <v>0</v>
      </c>
      <c r="G188" s="139" t="s">
        <v>14241</v>
      </c>
      <c r="I188" s="143" t="s">
        <v>14039</v>
      </c>
      <c r="J188" s="138" t="s">
        <v>123</v>
      </c>
      <c r="K188" s="138" t="s">
        <v>127</v>
      </c>
      <c r="L188" s="138" t="s">
        <v>133</v>
      </c>
    </row>
    <row r="189" spans="1:12">
      <c r="A189" s="139" t="str">
        <f t="shared" si="3"/>
        <v>28007-0000 Loan  ChaseSP</v>
      </c>
      <c r="B189" s="139" t="s">
        <v>14044</v>
      </c>
      <c r="C189" s="139" t="s">
        <v>14323</v>
      </c>
      <c r="D189" s="139" t="s">
        <v>14324</v>
      </c>
      <c r="E189" s="139"/>
      <c r="F189" s="139">
        <v>0</v>
      </c>
      <c r="G189" s="139" t="s">
        <v>14241</v>
      </c>
      <c r="I189" s="143" t="s">
        <v>14039</v>
      </c>
      <c r="J189" s="138" t="s">
        <v>123</v>
      </c>
      <c r="K189" s="138" t="s">
        <v>127</v>
      </c>
      <c r="L189" s="138" t="s">
        <v>133</v>
      </c>
    </row>
    <row r="190" spans="1:12">
      <c r="A190" s="139" t="str">
        <f t="shared" si="3"/>
        <v>28008-0000 Loan - Bridge Debt Strategies</v>
      </c>
      <c r="B190" s="139" t="s">
        <v>14044</v>
      </c>
      <c r="C190" s="139" t="s">
        <v>14325</v>
      </c>
      <c r="D190" s="139" t="s">
        <v>12794</v>
      </c>
      <c r="E190" s="139"/>
      <c r="F190" s="139">
        <v>0</v>
      </c>
      <c r="G190" s="139" t="s">
        <v>14241</v>
      </c>
      <c r="I190" s="143" t="s">
        <v>14039</v>
      </c>
      <c r="J190" s="138" t="s">
        <v>123</v>
      </c>
      <c r="K190" s="138" t="s">
        <v>127</v>
      </c>
      <c r="L190" s="138" t="s">
        <v>133</v>
      </c>
    </row>
    <row r="191" spans="1:12">
      <c r="A191" s="139" t="str">
        <f t="shared" si="3"/>
        <v>28009-0000 Loan - EMG Transfer Agent</v>
      </c>
      <c r="B191" s="139" t="s">
        <v>14044</v>
      </c>
      <c r="C191" s="139" t="s">
        <v>14326</v>
      </c>
      <c r="D191" s="139" t="s">
        <v>14327</v>
      </c>
      <c r="E191" s="139"/>
      <c r="F191" s="139">
        <v>0</v>
      </c>
      <c r="G191" s="139" t="s">
        <v>14241</v>
      </c>
      <c r="I191" s="143" t="s">
        <v>14039</v>
      </c>
      <c r="J191" s="138" t="s">
        <v>123</v>
      </c>
      <c r="K191" s="138" t="s">
        <v>127</v>
      </c>
      <c r="L191" s="138" t="s">
        <v>133</v>
      </c>
    </row>
    <row r="192" spans="1:12">
      <c r="A192" s="139" t="str">
        <f t="shared" si="3"/>
        <v>28010-0000 Loan - Fidelity Bridge Loan</v>
      </c>
      <c r="B192" s="139" t="s">
        <v>14044</v>
      </c>
      <c r="C192" s="139" t="s">
        <v>14328</v>
      </c>
      <c r="D192" s="139" t="s">
        <v>3883</v>
      </c>
      <c r="E192" s="139"/>
      <c r="F192" s="139">
        <v>0</v>
      </c>
      <c r="G192" s="139" t="s">
        <v>14241</v>
      </c>
      <c r="I192" s="143" t="s">
        <v>14039</v>
      </c>
      <c r="J192" s="138" t="s">
        <v>123</v>
      </c>
      <c r="K192" s="138" t="s">
        <v>127</v>
      </c>
      <c r="L192" s="138" t="s">
        <v>133</v>
      </c>
    </row>
    <row r="193" spans="1:12">
      <c r="A193" s="139" t="str">
        <f t="shared" si="3"/>
        <v>28011-0000 Loan - First Foundation Bank</v>
      </c>
      <c r="B193" s="139" t="s">
        <v>14044</v>
      </c>
      <c r="C193" s="139" t="s">
        <v>14329</v>
      </c>
      <c r="D193" s="139" t="s">
        <v>14330</v>
      </c>
      <c r="E193" s="139"/>
      <c r="F193" s="139">
        <v>0</v>
      </c>
      <c r="G193" s="139" t="s">
        <v>14241</v>
      </c>
      <c r="I193" s="143" t="s">
        <v>14039</v>
      </c>
      <c r="J193" s="138" t="s">
        <v>123</v>
      </c>
      <c r="K193" s="138" t="s">
        <v>127</v>
      </c>
      <c r="L193" s="138" t="s">
        <v>133</v>
      </c>
    </row>
    <row r="194" spans="1:12">
      <c r="A194" s="139" t="str">
        <f t="shared" si="3"/>
        <v>28012-0000 Loan - Luthern Bank</v>
      </c>
      <c r="B194" s="139" t="s">
        <v>14044</v>
      </c>
      <c r="C194" s="139" t="s">
        <v>14331</v>
      </c>
      <c r="D194" s="139" t="s">
        <v>14332</v>
      </c>
      <c r="E194" s="139"/>
      <c r="F194" s="139">
        <v>0</v>
      </c>
      <c r="G194" s="139" t="s">
        <v>14241</v>
      </c>
      <c r="I194" s="143" t="s">
        <v>14039</v>
      </c>
      <c r="J194" s="138" t="s">
        <v>123</v>
      </c>
      <c r="K194" s="138" t="s">
        <v>127</v>
      </c>
      <c r="L194" s="138" t="s">
        <v>133</v>
      </c>
    </row>
    <row r="195" spans="1:12">
      <c r="A195" s="139" t="str">
        <f t="shared" ref="A195:A258" si="4">C195&amp;" "&amp;D195</f>
        <v>28013-0000 Loan - Wells Fargo</v>
      </c>
      <c r="B195" s="139" t="s">
        <v>14044</v>
      </c>
      <c r="C195" s="139" t="s">
        <v>14333</v>
      </c>
      <c r="D195" s="139" t="s">
        <v>14334</v>
      </c>
      <c r="E195" s="139"/>
      <c r="F195" s="139">
        <v>0</v>
      </c>
      <c r="G195" s="139" t="s">
        <v>14241</v>
      </c>
      <c r="I195" s="143" t="s">
        <v>14039</v>
      </c>
      <c r="J195" s="138" t="s">
        <v>123</v>
      </c>
      <c r="K195" s="138" t="s">
        <v>127</v>
      </c>
      <c r="L195" s="138" t="s">
        <v>133</v>
      </c>
    </row>
    <row r="196" spans="1:12">
      <c r="A196" s="139" t="str">
        <f t="shared" si="4"/>
        <v>28014-0000 Loan - Rabobank</v>
      </c>
      <c r="B196" s="139" t="s">
        <v>14044</v>
      </c>
      <c r="C196" s="139" t="s">
        <v>14335</v>
      </c>
      <c r="D196" s="139" t="s">
        <v>13493</v>
      </c>
      <c r="E196" s="139"/>
      <c r="F196" s="139">
        <v>0</v>
      </c>
      <c r="G196" s="139" t="s">
        <v>14241</v>
      </c>
      <c r="I196" s="143" t="s">
        <v>14039</v>
      </c>
      <c r="J196" s="138" t="s">
        <v>123</v>
      </c>
      <c r="K196" s="138" t="s">
        <v>127</v>
      </c>
      <c r="L196" s="138" t="s">
        <v>133</v>
      </c>
    </row>
    <row r="197" spans="1:12">
      <c r="A197" s="139" t="str">
        <f t="shared" si="4"/>
        <v>28015-0000 Loan - LoanCore</v>
      </c>
      <c r="B197" s="139" t="s">
        <v>14044</v>
      </c>
      <c r="C197" s="139" t="s">
        <v>14336</v>
      </c>
      <c r="D197" s="139" t="s">
        <v>2863</v>
      </c>
      <c r="E197" s="139"/>
      <c r="F197" s="139">
        <v>0</v>
      </c>
      <c r="G197" s="139" t="s">
        <v>14241</v>
      </c>
      <c r="I197" s="143" t="s">
        <v>14039</v>
      </c>
      <c r="J197" s="138" t="s">
        <v>123</v>
      </c>
      <c r="K197" s="138" t="s">
        <v>127</v>
      </c>
      <c r="L197" s="138" t="s">
        <v>133</v>
      </c>
    </row>
    <row r="198" spans="1:12">
      <c r="A198" s="139" t="str">
        <f t="shared" si="4"/>
        <v>28016-0000 Loan - BoC</v>
      </c>
      <c r="B198" s="139" t="s">
        <v>14044</v>
      </c>
      <c r="C198" s="139" t="s">
        <v>14337</v>
      </c>
      <c r="D198" s="139" t="s">
        <v>615</v>
      </c>
      <c r="E198" s="139"/>
      <c r="F198" s="139">
        <v>0</v>
      </c>
      <c r="G198" s="139" t="s">
        <v>14241</v>
      </c>
      <c r="I198" s="143" t="s">
        <v>14039</v>
      </c>
      <c r="J198" s="138" t="s">
        <v>123</v>
      </c>
      <c r="K198" s="138" t="s">
        <v>127</v>
      </c>
      <c r="L198" s="138" t="s">
        <v>133</v>
      </c>
    </row>
    <row r="199" spans="1:12">
      <c r="A199" s="139" t="str">
        <f t="shared" si="4"/>
        <v>28017-0000 Loan - Greystone</v>
      </c>
      <c r="B199" s="139" t="s">
        <v>14044</v>
      </c>
      <c r="C199" s="139" t="s">
        <v>14338</v>
      </c>
      <c r="D199" s="139" t="s">
        <v>404</v>
      </c>
      <c r="E199" s="139"/>
      <c r="F199" s="139">
        <v>0</v>
      </c>
      <c r="G199" s="139" t="s">
        <v>14241</v>
      </c>
      <c r="I199" s="143" t="s">
        <v>14039</v>
      </c>
      <c r="J199" s="138" t="s">
        <v>123</v>
      </c>
      <c r="K199" s="138" t="s">
        <v>127</v>
      </c>
      <c r="L199" s="138" t="s">
        <v>133</v>
      </c>
    </row>
    <row r="200" spans="1:12">
      <c r="A200" s="139" t="str">
        <f t="shared" si="4"/>
        <v>28018-0000 Loan - Harbor Group</v>
      </c>
      <c r="B200" s="139" t="s">
        <v>14044</v>
      </c>
      <c r="C200" s="139" t="s">
        <v>14339</v>
      </c>
      <c r="D200" s="139" t="s">
        <v>461</v>
      </c>
      <c r="E200" s="139"/>
      <c r="F200" s="139">
        <v>0</v>
      </c>
      <c r="G200" s="139" t="s">
        <v>14241</v>
      </c>
      <c r="I200" s="143" t="s">
        <v>14039</v>
      </c>
      <c r="J200" s="138" t="s">
        <v>123</v>
      </c>
      <c r="K200" s="138" t="s">
        <v>127</v>
      </c>
      <c r="L200" s="138" t="s">
        <v>133</v>
      </c>
    </row>
    <row r="201" spans="1:12">
      <c r="A201" s="139" t="str">
        <f t="shared" si="4"/>
        <v>28019-0000 Loan - Sabal</v>
      </c>
      <c r="B201" s="139" t="s">
        <v>14044</v>
      </c>
      <c r="C201" s="139" t="s">
        <v>14340</v>
      </c>
      <c r="D201" s="139" t="s">
        <v>510</v>
      </c>
      <c r="E201" s="139"/>
      <c r="F201" s="139">
        <v>0</v>
      </c>
      <c r="G201" s="139" t="s">
        <v>14241</v>
      </c>
      <c r="I201" s="143" t="s">
        <v>14039</v>
      </c>
      <c r="J201" s="138" t="s">
        <v>123</v>
      </c>
      <c r="K201" s="138" t="s">
        <v>127</v>
      </c>
      <c r="L201" s="138" t="s">
        <v>133</v>
      </c>
    </row>
    <row r="202" spans="1:12">
      <c r="A202" s="139" t="str">
        <f t="shared" si="4"/>
        <v>28020-0000 Loan - GMAC Portofino</v>
      </c>
      <c r="B202" s="139" t="s">
        <v>14044</v>
      </c>
      <c r="C202" s="139" t="s">
        <v>14341</v>
      </c>
      <c r="D202" s="139" t="s">
        <v>14342</v>
      </c>
      <c r="E202" s="139"/>
      <c r="F202" s="139">
        <v>1</v>
      </c>
      <c r="G202" s="139" t="s">
        <v>14241</v>
      </c>
      <c r="I202" s="143" t="s">
        <v>14039</v>
      </c>
      <c r="J202" s="138" t="s">
        <v>123</v>
      </c>
      <c r="K202" s="138" t="s">
        <v>127</v>
      </c>
      <c r="L202" s="138" t="s">
        <v>133</v>
      </c>
    </row>
    <row r="203" spans="1:12">
      <c r="A203" s="139" t="str">
        <f t="shared" si="4"/>
        <v>28021-0000 Loan to Harshad</v>
      </c>
      <c r="B203" s="139" t="s">
        <v>14044</v>
      </c>
      <c r="C203" s="139" t="s">
        <v>14343</v>
      </c>
      <c r="D203" s="139" t="s">
        <v>14344</v>
      </c>
      <c r="E203" s="139"/>
      <c r="F203" s="139">
        <v>0</v>
      </c>
      <c r="G203" s="139" t="s">
        <v>14241</v>
      </c>
      <c r="I203" s="143" t="s">
        <v>14039</v>
      </c>
      <c r="J203" s="138" t="s">
        <v>123</v>
      </c>
      <c r="K203" s="138" t="s">
        <v>127</v>
      </c>
      <c r="L203" s="138" t="s">
        <v>133</v>
      </c>
    </row>
    <row r="204" spans="1:12">
      <c r="A204" s="139" t="str">
        <f t="shared" si="4"/>
        <v>28022-0000 Loan - Midland Loan BC</v>
      </c>
      <c r="B204" s="139" t="s">
        <v>14044</v>
      </c>
      <c r="C204" s="139" t="s">
        <v>14345</v>
      </c>
      <c r="D204" s="139" t="s">
        <v>14346</v>
      </c>
      <c r="E204" s="139"/>
      <c r="F204" s="139">
        <v>0</v>
      </c>
      <c r="G204" s="139" t="s">
        <v>14241</v>
      </c>
      <c r="I204" s="143" t="s">
        <v>14039</v>
      </c>
      <c r="J204" s="138" t="s">
        <v>123</v>
      </c>
      <c r="K204" s="138" t="s">
        <v>127</v>
      </c>
      <c r="L204" s="138" t="s">
        <v>133</v>
      </c>
    </row>
    <row r="205" spans="1:12">
      <c r="A205" s="139" t="str">
        <f t="shared" si="4"/>
        <v>28023-0000 Loan - MF1 Capital LLC</v>
      </c>
      <c r="B205" s="139" t="s">
        <v>14044</v>
      </c>
      <c r="C205" s="139" t="s">
        <v>14347</v>
      </c>
      <c r="D205" s="139" t="s">
        <v>12499</v>
      </c>
      <c r="E205" s="139"/>
      <c r="F205" s="139">
        <v>0</v>
      </c>
      <c r="G205" s="139" t="s">
        <v>14241</v>
      </c>
      <c r="I205" s="143" t="s">
        <v>14039</v>
      </c>
      <c r="J205" s="138" t="s">
        <v>123</v>
      </c>
      <c r="K205" s="138" t="s">
        <v>127</v>
      </c>
      <c r="L205" s="138" t="s">
        <v>133</v>
      </c>
    </row>
    <row r="206" spans="1:12">
      <c r="A206" s="139" t="str">
        <f t="shared" si="4"/>
        <v>28024-0000 Loan - TS AG Finance</v>
      </c>
      <c r="B206" s="139" t="s">
        <v>14044</v>
      </c>
      <c r="C206" s="139" t="s">
        <v>14348</v>
      </c>
      <c r="D206" s="139" t="s">
        <v>14349</v>
      </c>
      <c r="E206" s="139"/>
      <c r="F206" s="139">
        <v>1</v>
      </c>
      <c r="G206" s="139" t="s">
        <v>14241</v>
      </c>
      <c r="I206" s="143" t="s">
        <v>14039</v>
      </c>
      <c r="J206" s="138" t="s">
        <v>123</v>
      </c>
      <c r="K206" s="138" t="s">
        <v>127</v>
      </c>
      <c r="L206" s="138" t="s">
        <v>133</v>
      </c>
    </row>
    <row r="207" spans="1:9">
      <c r="A207" s="139" t="str">
        <f t="shared" si="4"/>
        <v>28990-9999 TOTAL LONGTERM LIABILITIES</v>
      </c>
      <c r="B207" s="139" t="s">
        <v>14063</v>
      </c>
      <c r="C207" s="139" t="s">
        <v>14350</v>
      </c>
      <c r="D207" s="139" t="s">
        <v>14351</v>
      </c>
      <c r="E207" s="139"/>
      <c r="F207" s="139">
        <v>0</v>
      </c>
      <c r="G207" s="139" t="s">
        <v>14241</v>
      </c>
      <c r="I207" s="143" t="s">
        <v>14039</v>
      </c>
    </row>
    <row r="208" spans="1:9">
      <c r="A208" s="139" t="str">
        <f t="shared" si="4"/>
        <v>29999-9999 TOTAL LIABILITIES</v>
      </c>
      <c r="B208" s="139" t="s">
        <v>14063</v>
      </c>
      <c r="C208" s="139" t="s">
        <v>14352</v>
      </c>
      <c r="D208" s="139" t="s">
        <v>14353</v>
      </c>
      <c r="E208" s="139"/>
      <c r="F208" s="139">
        <v>0</v>
      </c>
      <c r="G208" s="139" t="s">
        <v>14241</v>
      </c>
      <c r="I208" s="143" t="s">
        <v>14039</v>
      </c>
    </row>
    <row r="209" spans="1:9">
      <c r="A209" s="139" t="str">
        <f t="shared" si="4"/>
        <v>30000-0000 CAPITAL</v>
      </c>
      <c r="B209" s="139" t="s">
        <v>14035</v>
      </c>
      <c r="C209" s="139" t="s">
        <v>14354</v>
      </c>
      <c r="D209" s="139" t="s">
        <v>14355</v>
      </c>
      <c r="E209" s="139"/>
      <c r="F209" s="139">
        <v>0</v>
      </c>
      <c r="G209" s="139" t="s">
        <v>14241</v>
      </c>
      <c r="I209" s="143" t="s">
        <v>14039</v>
      </c>
    </row>
    <row r="210" spans="1:12">
      <c r="A210" s="139" t="str">
        <f t="shared" si="4"/>
        <v>30101-0000 Capital Contribution</v>
      </c>
      <c r="B210" s="139" t="s">
        <v>14044</v>
      </c>
      <c r="C210" s="139" t="s">
        <v>14356</v>
      </c>
      <c r="D210" s="139" t="s">
        <v>731</v>
      </c>
      <c r="E210" s="139"/>
      <c r="F210" s="139">
        <v>0</v>
      </c>
      <c r="G210" s="139" t="s">
        <v>14241</v>
      </c>
      <c r="I210" s="143" t="s">
        <v>14039</v>
      </c>
      <c r="J210" s="138" t="s">
        <v>142</v>
      </c>
      <c r="K210" s="138" t="s">
        <v>143</v>
      </c>
      <c r="L210" s="138" t="s">
        <v>144</v>
      </c>
    </row>
    <row r="211" spans="1:12">
      <c r="A211" s="139" t="str">
        <f t="shared" si="4"/>
        <v>30501-0000 Paid In Capital</v>
      </c>
      <c r="B211" s="139" t="s">
        <v>14044</v>
      </c>
      <c r="C211" s="139" t="s">
        <v>14357</v>
      </c>
      <c r="D211" s="139" t="s">
        <v>625</v>
      </c>
      <c r="E211" s="139"/>
      <c r="F211" s="139">
        <v>0</v>
      </c>
      <c r="G211" s="139" t="s">
        <v>14241</v>
      </c>
      <c r="I211" s="143" t="s">
        <v>14039</v>
      </c>
      <c r="J211" s="138" t="s">
        <v>142</v>
      </c>
      <c r="K211" s="138" t="s">
        <v>143</v>
      </c>
      <c r="L211" s="138" t="s">
        <v>144</v>
      </c>
    </row>
    <row r="212" spans="1:12">
      <c r="A212" s="139" t="str">
        <f t="shared" si="4"/>
        <v>31001-0000 Capital Contribution  DFLP</v>
      </c>
      <c r="B212" s="139" t="s">
        <v>14044</v>
      </c>
      <c r="C212" s="139" t="s">
        <v>14358</v>
      </c>
      <c r="D212" s="139" t="s">
        <v>13652</v>
      </c>
      <c r="E212" s="139"/>
      <c r="F212" s="139">
        <v>0</v>
      </c>
      <c r="G212" s="139" t="s">
        <v>14241</v>
      </c>
      <c r="I212" s="143" t="s">
        <v>14039</v>
      </c>
      <c r="J212" s="138" t="s">
        <v>142</v>
      </c>
      <c r="K212" s="138" t="s">
        <v>143</v>
      </c>
      <c r="L212" s="138" t="s">
        <v>144</v>
      </c>
    </row>
    <row r="213" spans="1:12">
      <c r="A213" s="139" t="str">
        <f t="shared" si="4"/>
        <v>31002-0000 Capital Contribtuion  Kevin Whitton</v>
      </c>
      <c r="B213" s="139" t="s">
        <v>14044</v>
      </c>
      <c r="C213" s="139" t="s">
        <v>14359</v>
      </c>
      <c r="D213" s="139" t="s">
        <v>14360</v>
      </c>
      <c r="E213" s="139"/>
      <c r="F213" s="139">
        <v>0</v>
      </c>
      <c r="G213" s="139" t="s">
        <v>14241</v>
      </c>
      <c r="I213" s="143" t="s">
        <v>14039</v>
      </c>
      <c r="J213" s="138" t="s">
        <v>142</v>
      </c>
      <c r="K213" s="138" t="s">
        <v>143</v>
      </c>
      <c r="L213" s="138" t="s">
        <v>144</v>
      </c>
    </row>
    <row r="214" spans="1:12">
      <c r="A214" s="139" t="str">
        <f t="shared" si="4"/>
        <v>31003-0000 Capital Contribution  Amna Khatoon</v>
      </c>
      <c r="B214" s="139" t="s">
        <v>14044</v>
      </c>
      <c r="C214" s="139" t="s">
        <v>14361</v>
      </c>
      <c r="D214" s="139" t="s">
        <v>14362</v>
      </c>
      <c r="E214" s="139"/>
      <c r="F214" s="139">
        <v>0</v>
      </c>
      <c r="G214" s="139" t="s">
        <v>14241</v>
      </c>
      <c r="I214" s="143" t="s">
        <v>14039</v>
      </c>
      <c r="J214" s="138" t="s">
        <v>142</v>
      </c>
      <c r="K214" s="138" t="s">
        <v>143</v>
      </c>
      <c r="L214" s="138" t="s">
        <v>144</v>
      </c>
    </row>
    <row r="215" spans="1:12">
      <c r="A215" s="139" t="str">
        <f t="shared" si="4"/>
        <v>31005-0000 Capital Contribution  DFTCNB</v>
      </c>
      <c r="B215" s="139" t="s">
        <v>14044</v>
      </c>
      <c r="C215" s="139" t="s">
        <v>14363</v>
      </c>
      <c r="D215" s="139" t="s">
        <v>14364</v>
      </c>
      <c r="E215" s="139"/>
      <c r="F215" s="139">
        <v>0</v>
      </c>
      <c r="G215" s="139" t="s">
        <v>14241</v>
      </c>
      <c r="I215" s="143" t="s">
        <v>14039</v>
      </c>
      <c r="J215" s="138" t="s">
        <v>142</v>
      </c>
      <c r="K215" s="138" t="s">
        <v>143</v>
      </c>
      <c r="L215" s="138" t="s">
        <v>144</v>
      </c>
    </row>
    <row r="216" spans="1:12">
      <c r="A216" s="139" t="str">
        <f t="shared" si="4"/>
        <v>31007-0000 Capital Contribution  CBowen</v>
      </c>
      <c r="B216" s="139" t="s">
        <v>14044</v>
      </c>
      <c r="C216" s="139" t="s">
        <v>14365</v>
      </c>
      <c r="D216" s="139" t="s">
        <v>13429</v>
      </c>
      <c r="E216" s="139"/>
      <c r="F216" s="139">
        <v>0</v>
      </c>
      <c r="G216" s="139" t="s">
        <v>14241</v>
      </c>
      <c r="I216" s="143" t="s">
        <v>14039</v>
      </c>
      <c r="J216" s="138" t="s">
        <v>142</v>
      </c>
      <c r="K216" s="138" t="s">
        <v>143</v>
      </c>
      <c r="L216" s="138" t="s">
        <v>144</v>
      </c>
    </row>
    <row r="217" spans="1:12">
      <c r="A217" s="139" t="str">
        <f t="shared" si="4"/>
        <v>31008-0000 Capital Contribution  AJ</v>
      </c>
      <c r="B217" s="139" t="s">
        <v>14044</v>
      </c>
      <c r="C217" s="139" t="s">
        <v>14366</v>
      </c>
      <c r="D217" s="139" t="s">
        <v>13653</v>
      </c>
      <c r="E217" s="139"/>
      <c r="F217" s="139">
        <v>0</v>
      </c>
      <c r="G217" s="139" t="s">
        <v>14241</v>
      </c>
      <c r="I217" s="143" t="s">
        <v>14039</v>
      </c>
      <c r="J217" s="138" t="s">
        <v>142</v>
      </c>
      <c r="K217" s="138" t="s">
        <v>143</v>
      </c>
      <c r="L217" s="138" t="s">
        <v>144</v>
      </c>
    </row>
    <row r="218" spans="1:12">
      <c r="A218" s="139" t="str">
        <f t="shared" si="4"/>
        <v>31009-0000 Capital Contribution  DFT</v>
      </c>
      <c r="B218" s="139" t="s">
        <v>14044</v>
      </c>
      <c r="C218" s="139" t="s">
        <v>14367</v>
      </c>
      <c r="D218" s="139" t="s">
        <v>13655</v>
      </c>
      <c r="E218" s="139"/>
      <c r="F218" s="139">
        <v>0</v>
      </c>
      <c r="G218" s="139" t="s">
        <v>14241</v>
      </c>
      <c r="I218" s="143" t="s">
        <v>14039</v>
      </c>
      <c r="J218" s="138" t="s">
        <v>142</v>
      </c>
      <c r="K218" s="138" t="s">
        <v>143</v>
      </c>
      <c r="L218" s="138" t="s">
        <v>144</v>
      </c>
    </row>
    <row r="219" spans="1:12">
      <c r="A219" s="139" t="str">
        <f t="shared" si="4"/>
        <v>31010-0000 Capital Contribution  GPI</v>
      </c>
      <c r="B219" s="139" t="s">
        <v>14044</v>
      </c>
      <c r="C219" s="139" t="s">
        <v>14368</v>
      </c>
      <c r="D219" s="139" t="s">
        <v>13719</v>
      </c>
      <c r="E219" s="139"/>
      <c r="F219" s="139">
        <v>0</v>
      </c>
      <c r="G219" s="139" t="s">
        <v>14241</v>
      </c>
      <c r="I219" s="143" t="s">
        <v>14039</v>
      </c>
      <c r="J219" s="138" t="s">
        <v>142</v>
      </c>
      <c r="K219" s="138" t="s">
        <v>143</v>
      </c>
      <c r="L219" s="138" t="s">
        <v>144</v>
      </c>
    </row>
    <row r="220" spans="1:12">
      <c r="A220" s="139" t="str">
        <f t="shared" si="4"/>
        <v>31012-0000 Capital Contribution  D7R</v>
      </c>
      <c r="B220" s="139" t="s">
        <v>14044</v>
      </c>
      <c r="C220" s="139" t="s">
        <v>14369</v>
      </c>
      <c r="D220" s="139" t="s">
        <v>13657</v>
      </c>
      <c r="E220" s="139"/>
      <c r="F220" s="139">
        <v>0</v>
      </c>
      <c r="G220" s="139" t="s">
        <v>14241</v>
      </c>
      <c r="I220" s="143" t="s">
        <v>14039</v>
      </c>
      <c r="J220" s="138" t="s">
        <v>142</v>
      </c>
      <c r="K220" s="138" t="s">
        <v>143</v>
      </c>
      <c r="L220" s="138" t="s">
        <v>144</v>
      </c>
    </row>
    <row r="221" spans="1:12">
      <c r="A221" s="139" t="str">
        <f t="shared" si="4"/>
        <v>31015-0000 Capital Contribution  Sunny Dharod</v>
      </c>
      <c r="B221" s="139" t="s">
        <v>14044</v>
      </c>
      <c r="C221" s="139" t="s">
        <v>14370</v>
      </c>
      <c r="D221" s="139" t="s">
        <v>13659</v>
      </c>
      <c r="E221" s="139"/>
      <c r="F221" s="139">
        <v>0</v>
      </c>
      <c r="G221" s="139" t="s">
        <v>14241</v>
      </c>
      <c r="I221" s="143" t="s">
        <v>14039</v>
      </c>
      <c r="J221" s="138" t="s">
        <v>142</v>
      </c>
      <c r="K221" s="138" t="s">
        <v>143</v>
      </c>
      <c r="L221" s="138" t="s">
        <v>144</v>
      </c>
    </row>
    <row r="222" spans="1:12">
      <c r="A222" s="139" t="str">
        <f t="shared" si="4"/>
        <v>31016-0000 Capital Contribution  RFM</v>
      </c>
      <c r="B222" s="139" t="s">
        <v>14044</v>
      </c>
      <c r="C222" s="139" t="s">
        <v>14371</v>
      </c>
      <c r="D222" s="139" t="s">
        <v>14372</v>
      </c>
      <c r="E222" s="139"/>
      <c r="F222" s="139">
        <v>0</v>
      </c>
      <c r="G222" s="139" t="s">
        <v>14241</v>
      </c>
      <c r="I222" s="143" t="s">
        <v>14039</v>
      </c>
      <c r="J222" s="138" t="s">
        <v>142</v>
      </c>
      <c r="K222" s="138" t="s">
        <v>143</v>
      </c>
      <c r="L222" s="138" t="s">
        <v>144</v>
      </c>
    </row>
    <row r="223" spans="1:12">
      <c r="A223" s="139" t="str">
        <f t="shared" si="4"/>
        <v>31018-0000 Capital ContributionShawn Rezaei</v>
      </c>
      <c r="B223" s="139" t="s">
        <v>14044</v>
      </c>
      <c r="C223" s="139" t="s">
        <v>14373</v>
      </c>
      <c r="D223" s="139" t="s">
        <v>14374</v>
      </c>
      <c r="E223" s="139"/>
      <c r="F223" s="139">
        <v>0</v>
      </c>
      <c r="G223" s="139" t="s">
        <v>14241</v>
      </c>
      <c r="I223" s="143" t="s">
        <v>14039</v>
      </c>
      <c r="J223" s="138" t="s">
        <v>142</v>
      </c>
      <c r="K223" s="138" t="s">
        <v>143</v>
      </c>
      <c r="L223" s="138" t="s">
        <v>144</v>
      </c>
    </row>
    <row r="224" spans="1:12">
      <c r="A224" s="139" t="str">
        <f t="shared" si="4"/>
        <v>31801-0000 Capital Contribution  Tim Tankka</v>
      </c>
      <c r="B224" s="139" t="s">
        <v>14044</v>
      </c>
      <c r="C224" s="139" t="s">
        <v>14375</v>
      </c>
      <c r="D224" s="139" t="s">
        <v>14376</v>
      </c>
      <c r="E224" s="139"/>
      <c r="F224" s="139">
        <v>0</v>
      </c>
      <c r="G224" s="139" t="s">
        <v>14241</v>
      </c>
      <c r="I224" s="143" t="s">
        <v>14039</v>
      </c>
      <c r="J224" s="138" t="s">
        <v>142</v>
      </c>
      <c r="K224" s="138" t="s">
        <v>143</v>
      </c>
      <c r="L224" s="138" t="s">
        <v>144</v>
      </c>
    </row>
    <row r="225" spans="1:12">
      <c r="A225" s="139" t="str">
        <f t="shared" si="4"/>
        <v>31802-0000 Capital Contribution  Nisha Agarwal</v>
      </c>
      <c r="B225" s="139" t="s">
        <v>14044</v>
      </c>
      <c r="C225" s="139" t="s">
        <v>14377</v>
      </c>
      <c r="D225" s="139" t="s">
        <v>14378</v>
      </c>
      <c r="E225" s="139"/>
      <c r="F225" s="139">
        <v>0</v>
      </c>
      <c r="G225" s="139" t="s">
        <v>14241</v>
      </c>
      <c r="I225" s="143" t="s">
        <v>14039</v>
      </c>
      <c r="J225" s="138" t="s">
        <v>142</v>
      </c>
      <c r="K225" s="138" t="s">
        <v>143</v>
      </c>
      <c r="L225" s="138" t="s">
        <v>144</v>
      </c>
    </row>
    <row r="226" spans="1:12">
      <c r="A226" s="139" t="str">
        <f t="shared" si="4"/>
        <v>31803-0000 Capital Contribution  Rima Rafeh</v>
      </c>
      <c r="B226" s="139" t="s">
        <v>14044</v>
      </c>
      <c r="C226" s="139" t="s">
        <v>14379</v>
      </c>
      <c r="D226" s="139" t="s">
        <v>14380</v>
      </c>
      <c r="E226" s="139"/>
      <c r="F226" s="139">
        <v>0</v>
      </c>
      <c r="G226" s="139" t="s">
        <v>14241</v>
      </c>
      <c r="I226" s="143" t="s">
        <v>14039</v>
      </c>
      <c r="J226" s="138" t="s">
        <v>142</v>
      </c>
      <c r="K226" s="138" t="s">
        <v>143</v>
      </c>
      <c r="L226" s="138" t="s">
        <v>144</v>
      </c>
    </row>
    <row r="227" spans="1:12">
      <c r="A227" s="139" t="str">
        <f t="shared" si="4"/>
        <v>31804-0000 Capital Contribution  Brajesh Goyal</v>
      </c>
      <c r="B227" s="139" t="s">
        <v>14044</v>
      </c>
      <c r="C227" s="139" t="s">
        <v>14381</v>
      </c>
      <c r="D227" s="139" t="s">
        <v>14382</v>
      </c>
      <c r="E227" s="139"/>
      <c r="F227" s="139">
        <v>0</v>
      </c>
      <c r="G227" s="139" t="s">
        <v>14241</v>
      </c>
      <c r="I227" s="143" t="s">
        <v>14039</v>
      </c>
      <c r="J227" s="138" t="s">
        <v>142</v>
      </c>
      <c r="K227" s="138" t="s">
        <v>143</v>
      </c>
      <c r="L227" s="138" t="s">
        <v>144</v>
      </c>
    </row>
    <row r="228" spans="1:12">
      <c r="A228" s="139" t="str">
        <f t="shared" si="4"/>
        <v>31900-0000 Capital Contribution  Josh Bowman</v>
      </c>
      <c r="B228" s="139" t="s">
        <v>14044</v>
      </c>
      <c r="C228" s="139" t="s">
        <v>14383</v>
      </c>
      <c r="D228" s="139" t="s">
        <v>13431</v>
      </c>
      <c r="E228" s="139"/>
      <c r="F228" s="139">
        <v>0</v>
      </c>
      <c r="G228" s="139" t="s">
        <v>14241</v>
      </c>
      <c r="I228" s="143" t="s">
        <v>14039</v>
      </c>
      <c r="J228" s="138" t="s">
        <v>142</v>
      </c>
      <c r="K228" s="138" t="s">
        <v>143</v>
      </c>
      <c r="L228" s="138" t="s">
        <v>144</v>
      </c>
    </row>
    <row r="229" spans="1:12">
      <c r="A229" s="139" t="str">
        <f t="shared" si="4"/>
        <v>36000-0000 SH Dist</v>
      </c>
      <c r="B229" s="139" t="s">
        <v>14044</v>
      </c>
      <c r="C229" s="139" t="s">
        <v>14384</v>
      </c>
      <c r="D229" s="139" t="s">
        <v>13262</v>
      </c>
      <c r="E229" s="139"/>
      <c r="F229" s="139">
        <v>0</v>
      </c>
      <c r="G229" s="139" t="s">
        <v>14241</v>
      </c>
      <c r="I229" s="143" t="s">
        <v>14039</v>
      </c>
      <c r="J229" s="138" t="s">
        <v>142</v>
      </c>
      <c r="K229" s="138" t="s">
        <v>143</v>
      </c>
      <c r="L229" s="138" t="s">
        <v>144</v>
      </c>
    </row>
    <row r="230" spans="1:12">
      <c r="A230" s="139" t="str">
        <f t="shared" si="4"/>
        <v>36002-0000 SH Dist  Kevin Whitton</v>
      </c>
      <c r="B230" s="139" t="s">
        <v>14044</v>
      </c>
      <c r="C230" s="139" t="s">
        <v>14385</v>
      </c>
      <c r="D230" s="139" t="s">
        <v>14386</v>
      </c>
      <c r="E230" s="139"/>
      <c r="F230" s="139">
        <v>0</v>
      </c>
      <c r="G230" s="139" t="s">
        <v>14241</v>
      </c>
      <c r="I230" s="143" t="s">
        <v>14039</v>
      </c>
      <c r="J230" s="138" t="s">
        <v>142</v>
      </c>
      <c r="K230" s="138" t="s">
        <v>143</v>
      </c>
      <c r="L230" s="138" t="s">
        <v>144</v>
      </c>
    </row>
    <row r="231" spans="1:12">
      <c r="A231" s="139" t="str">
        <f t="shared" si="4"/>
        <v>36003-0000 SH Dist - Amna Khatoon</v>
      </c>
      <c r="B231" s="139" t="s">
        <v>14044</v>
      </c>
      <c r="C231" s="139" t="s">
        <v>14387</v>
      </c>
      <c r="D231" s="139" t="s">
        <v>14388</v>
      </c>
      <c r="E231" s="139"/>
      <c r="F231" s="139">
        <v>1</v>
      </c>
      <c r="G231" s="139" t="s">
        <v>14241</v>
      </c>
      <c r="I231" s="143" t="s">
        <v>14039</v>
      </c>
      <c r="J231" s="138" t="s">
        <v>142</v>
      </c>
      <c r="K231" s="138" t="s">
        <v>143</v>
      </c>
      <c r="L231" s="138" t="s">
        <v>144</v>
      </c>
    </row>
    <row r="232" spans="1:12">
      <c r="A232" s="139" t="str">
        <f t="shared" si="4"/>
        <v>36004-0000 SH Dist  Frank Rosen</v>
      </c>
      <c r="B232" s="139" t="s">
        <v>14044</v>
      </c>
      <c r="C232" s="139" t="s">
        <v>14389</v>
      </c>
      <c r="D232" s="139" t="s">
        <v>14390</v>
      </c>
      <c r="E232" s="139"/>
      <c r="F232" s="139">
        <v>0</v>
      </c>
      <c r="G232" s="139" t="s">
        <v>14241</v>
      </c>
      <c r="I232" s="143" t="s">
        <v>14039</v>
      </c>
      <c r="J232" s="138" t="s">
        <v>142</v>
      </c>
      <c r="K232" s="138" t="s">
        <v>143</v>
      </c>
      <c r="L232" s="138" t="s">
        <v>144</v>
      </c>
    </row>
    <row r="233" spans="1:12">
      <c r="A233" s="139" t="str">
        <f t="shared" si="4"/>
        <v>36005-0000 SH Dist  DFT</v>
      </c>
      <c r="B233" s="139" t="s">
        <v>14044</v>
      </c>
      <c r="C233" s="139" t="s">
        <v>14391</v>
      </c>
      <c r="D233" s="139" t="s">
        <v>13264</v>
      </c>
      <c r="E233" s="139"/>
      <c r="F233" s="139">
        <v>0</v>
      </c>
      <c r="G233" s="139" t="s">
        <v>14241</v>
      </c>
      <c r="I233" s="143" t="s">
        <v>14039</v>
      </c>
      <c r="J233" s="138" t="s">
        <v>142</v>
      </c>
      <c r="K233" s="138" t="s">
        <v>143</v>
      </c>
      <c r="L233" s="138" t="s">
        <v>144</v>
      </c>
    </row>
    <row r="234" spans="1:12">
      <c r="A234" s="139" t="str">
        <f t="shared" si="4"/>
        <v>36006-0000 SH Dist  Neel Pujara</v>
      </c>
      <c r="B234" s="139" t="s">
        <v>14044</v>
      </c>
      <c r="C234" s="139" t="s">
        <v>14392</v>
      </c>
      <c r="D234" s="139" t="s">
        <v>14393</v>
      </c>
      <c r="E234" s="139"/>
      <c r="F234" s="139">
        <v>0</v>
      </c>
      <c r="G234" s="139" t="s">
        <v>14241</v>
      </c>
      <c r="I234" s="143" t="s">
        <v>14039</v>
      </c>
      <c r="J234" s="138" t="s">
        <v>142</v>
      </c>
      <c r="K234" s="138" t="s">
        <v>143</v>
      </c>
      <c r="L234" s="138" t="s">
        <v>144</v>
      </c>
    </row>
    <row r="235" spans="1:12">
      <c r="A235" s="139" t="str">
        <f t="shared" si="4"/>
        <v>36008-0000 SH Dist  AJ</v>
      </c>
      <c r="B235" s="139" t="s">
        <v>14044</v>
      </c>
      <c r="C235" s="139" t="s">
        <v>14394</v>
      </c>
      <c r="D235" s="139" t="s">
        <v>13663</v>
      </c>
      <c r="E235" s="139"/>
      <c r="F235" s="139">
        <v>0</v>
      </c>
      <c r="G235" s="139" t="s">
        <v>14241</v>
      </c>
      <c r="I235" s="143" t="s">
        <v>14039</v>
      </c>
      <c r="J235" s="138" t="s">
        <v>142</v>
      </c>
      <c r="K235" s="138" t="s">
        <v>143</v>
      </c>
      <c r="L235" s="138" t="s">
        <v>144</v>
      </c>
    </row>
    <row r="236" spans="1:12">
      <c r="A236" s="139" t="str">
        <f t="shared" si="4"/>
        <v>36018-0000 SH Dist  Shawn Rezaei</v>
      </c>
      <c r="B236" s="139" t="s">
        <v>14044</v>
      </c>
      <c r="C236" s="139" t="s">
        <v>14395</v>
      </c>
      <c r="D236" s="139" t="s">
        <v>14396</v>
      </c>
      <c r="E236" s="139"/>
      <c r="F236" s="139">
        <v>0</v>
      </c>
      <c r="G236" s="139" t="s">
        <v>14241</v>
      </c>
      <c r="I236" s="143" t="s">
        <v>14039</v>
      </c>
      <c r="J236" s="138" t="s">
        <v>142</v>
      </c>
      <c r="K236" s="138" t="s">
        <v>143</v>
      </c>
      <c r="L236" s="138" t="s">
        <v>144</v>
      </c>
    </row>
    <row r="237" spans="1:12">
      <c r="A237" s="139" t="str">
        <f t="shared" si="4"/>
        <v>36801-0000 SH Dist  Tim Tankka</v>
      </c>
      <c r="B237" s="139" t="s">
        <v>14044</v>
      </c>
      <c r="C237" s="139" t="s">
        <v>14397</v>
      </c>
      <c r="D237" s="139" t="s">
        <v>14398</v>
      </c>
      <c r="E237" s="139"/>
      <c r="F237" s="139">
        <v>0</v>
      </c>
      <c r="G237" s="139" t="s">
        <v>14241</v>
      </c>
      <c r="I237" s="143" t="s">
        <v>14039</v>
      </c>
      <c r="J237" s="138" t="s">
        <v>142</v>
      </c>
      <c r="K237" s="138" t="s">
        <v>143</v>
      </c>
      <c r="L237" s="138" t="s">
        <v>144</v>
      </c>
    </row>
    <row r="238" spans="1:12">
      <c r="A238" s="139" t="str">
        <f t="shared" si="4"/>
        <v>36802-0000 SH DIst  Nisha Agarwal</v>
      </c>
      <c r="B238" s="139" t="s">
        <v>14044</v>
      </c>
      <c r="C238" s="139" t="s">
        <v>14399</v>
      </c>
      <c r="D238" s="139" t="s">
        <v>14400</v>
      </c>
      <c r="E238" s="139"/>
      <c r="F238" s="139">
        <v>0</v>
      </c>
      <c r="G238" s="139" t="s">
        <v>14241</v>
      </c>
      <c r="I238" s="143" t="s">
        <v>14039</v>
      </c>
      <c r="J238" s="138" t="s">
        <v>142</v>
      </c>
      <c r="K238" s="138" t="s">
        <v>143</v>
      </c>
      <c r="L238" s="138" t="s">
        <v>144</v>
      </c>
    </row>
    <row r="239" spans="1:16">
      <c r="A239" s="139" t="str">
        <f t="shared" si="4"/>
        <v>36803-0000 SH Dist  Rima Rafeh</v>
      </c>
      <c r="B239" s="139" t="s">
        <v>14044</v>
      </c>
      <c r="C239" s="139" t="s">
        <v>14401</v>
      </c>
      <c r="D239" s="139" t="s">
        <v>14402</v>
      </c>
      <c r="E239" s="139"/>
      <c r="F239" s="139">
        <v>0</v>
      </c>
      <c r="G239" s="139" t="s">
        <v>14241</v>
      </c>
      <c r="I239" s="143" t="s">
        <v>14039</v>
      </c>
      <c r="J239" s="138" t="s">
        <v>142</v>
      </c>
      <c r="K239" s="138" t="s">
        <v>143</v>
      </c>
      <c r="L239" s="138" t="s">
        <v>144</v>
      </c>
      <c r="N239" s="138" t="s">
        <v>3684</v>
      </c>
      <c r="O239" s="138" t="s">
        <v>2871</v>
      </c>
      <c r="P239" s="138" t="s">
        <v>3691</v>
      </c>
    </row>
    <row r="240" spans="1:12">
      <c r="A240" s="139" t="str">
        <f t="shared" si="4"/>
        <v>36804-0000 SH Dist  Brajesh Goyal</v>
      </c>
      <c r="B240" s="139" t="s">
        <v>14044</v>
      </c>
      <c r="C240" s="139" t="s">
        <v>14403</v>
      </c>
      <c r="D240" s="139" t="s">
        <v>14404</v>
      </c>
      <c r="E240" s="139"/>
      <c r="F240" s="139">
        <v>0</v>
      </c>
      <c r="G240" s="139" t="s">
        <v>14241</v>
      </c>
      <c r="I240" s="143" t="s">
        <v>14039</v>
      </c>
      <c r="J240" s="138" t="s">
        <v>142</v>
      </c>
      <c r="K240" s="138" t="s">
        <v>143</v>
      </c>
      <c r="L240" s="138" t="s">
        <v>144</v>
      </c>
    </row>
    <row r="241" spans="1:12">
      <c r="A241" s="139" t="str">
        <f t="shared" si="4"/>
        <v>36900-0000 SH Dist  Josh Bowman</v>
      </c>
      <c r="B241" s="139" t="s">
        <v>14044</v>
      </c>
      <c r="C241" s="139" t="s">
        <v>14405</v>
      </c>
      <c r="D241" s="139" t="s">
        <v>14406</v>
      </c>
      <c r="E241" s="139"/>
      <c r="F241" s="139">
        <v>0</v>
      </c>
      <c r="G241" s="139" t="s">
        <v>14241</v>
      </c>
      <c r="I241" s="143" t="s">
        <v>14039</v>
      </c>
      <c r="J241" s="138" t="s">
        <v>142</v>
      </c>
      <c r="K241" s="138" t="s">
        <v>143</v>
      </c>
      <c r="L241" s="138" t="s">
        <v>144</v>
      </c>
    </row>
    <row r="242" spans="1:12">
      <c r="A242" s="139" t="str">
        <f t="shared" si="4"/>
        <v>36901-0000 SH Dist  - 41st Street Investment</v>
      </c>
      <c r="B242" s="139" t="s">
        <v>14044</v>
      </c>
      <c r="C242" s="139" t="s">
        <v>14407</v>
      </c>
      <c r="D242" s="139" t="s">
        <v>14408</v>
      </c>
      <c r="E242" s="139"/>
      <c r="F242" s="139">
        <v>0</v>
      </c>
      <c r="G242" s="139" t="s">
        <v>14241</v>
      </c>
      <c r="I242" s="143" t="s">
        <v>14039</v>
      </c>
      <c r="J242" s="138" t="s">
        <v>142</v>
      </c>
      <c r="K242" s="138" t="s">
        <v>143</v>
      </c>
      <c r="L242" s="138" t="s">
        <v>144</v>
      </c>
    </row>
    <row r="243" spans="1:12">
      <c r="A243" s="139" t="str">
        <f t="shared" si="4"/>
        <v>38100-0000 Retained Earnings</v>
      </c>
      <c r="B243" s="139" t="s">
        <v>14044</v>
      </c>
      <c r="C243" s="139" t="s">
        <v>14409</v>
      </c>
      <c r="D243" s="139" t="s">
        <v>234</v>
      </c>
      <c r="E243" s="139"/>
      <c r="F243" s="139">
        <v>0</v>
      </c>
      <c r="G243" s="139" t="s">
        <v>14241</v>
      </c>
      <c r="I243" s="143" t="s">
        <v>14039</v>
      </c>
      <c r="J243" s="138" t="s">
        <v>142</v>
      </c>
      <c r="K243" s="138" t="s">
        <v>149</v>
      </c>
      <c r="L243" s="138" t="s">
        <v>235</v>
      </c>
    </row>
    <row r="244" spans="1:12">
      <c r="A244" s="139" t="str">
        <f t="shared" si="4"/>
        <v>38100-1000 Retained Earnings - Current Year</v>
      </c>
      <c r="B244" s="139" t="s">
        <v>14044</v>
      </c>
      <c r="C244" s="139" t="s">
        <v>14410</v>
      </c>
      <c r="D244" s="139" t="s">
        <v>14411</v>
      </c>
      <c r="E244" s="139"/>
      <c r="F244" s="139">
        <v>1</v>
      </c>
      <c r="G244" s="139" t="s">
        <v>14241</v>
      </c>
      <c r="I244" s="143" t="s">
        <v>14039</v>
      </c>
      <c r="J244" s="138" t="s">
        <v>142</v>
      </c>
      <c r="K244" s="138" t="s">
        <v>149</v>
      </c>
      <c r="L244" s="138" t="s">
        <v>235</v>
      </c>
    </row>
    <row r="245" spans="1:9">
      <c r="A245" s="139" t="str">
        <f t="shared" si="4"/>
        <v>38990-9999 TOTAL CAPITAL</v>
      </c>
      <c r="B245" s="139" t="s">
        <v>14063</v>
      </c>
      <c r="C245" s="139" t="s">
        <v>14412</v>
      </c>
      <c r="D245" s="139" t="s">
        <v>14413</v>
      </c>
      <c r="E245" s="139"/>
      <c r="F245" s="139">
        <v>0</v>
      </c>
      <c r="G245" s="139" t="s">
        <v>14241</v>
      </c>
      <c r="I245" s="143" t="s">
        <v>14039</v>
      </c>
    </row>
    <row r="246" spans="1:9">
      <c r="A246" s="139" t="str">
        <f t="shared" si="4"/>
        <v>39999-9999 TOTAL LIABILITIES - CAPITAL</v>
      </c>
      <c r="B246" s="139" t="s">
        <v>14063</v>
      </c>
      <c r="C246" s="139" t="s">
        <v>14414</v>
      </c>
      <c r="D246" s="139" t="s">
        <v>14415</v>
      </c>
      <c r="E246" s="139"/>
      <c r="F246" s="139">
        <v>0</v>
      </c>
      <c r="G246" s="139" t="s">
        <v>14241</v>
      </c>
      <c r="I246" s="143" t="s">
        <v>14039</v>
      </c>
    </row>
    <row r="247" spans="1:9">
      <c r="A247" s="139" t="str">
        <f t="shared" si="4"/>
        <v>40000-0000 NET INCOME</v>
      </c>
      <c r="B247" s="139" t="s">
        <v>14035</v>
      </c>
      <c r="C247" s="139" t="s">
        <v>14416</v>
      </c>
      <c r="D247" s="139" t="s">
        <v>14417</v>
      </c>
      <c r="E247" s="139"/>
      <c r="F247" s="139">
        <v>0</v>
      </c>
      <c r="G247" s="139" t="s">
        <v>14241</v>
      </c>
      <c r="I247" s="143" t="s">
        <v>14039</v>
      </c>
    </row>
    <row r="248" spans="1:9">
      <c r="A248" s="139" t="str">
        <f t="shared" si="4"/>
        <v>40001-0000 NET OPERATING INCOME</v>
      </c>
      <c r="B248" s="139" t="s">
        <v>14035</v>
      </c>
      <c r="C248" s="139" t="s">
        <v>14418</v>
      </c>
      <c r="D248" s="139" t="s">
        <v>14419</v>
      </c>
      <c r="E248" s="139"/>
      <c r="F248" s="139">
        <v>0</v>
      </c>
      <c r="G248" s="139" t="s">
        <v>14241</v>
      </c>
      <c r="I248" s="143" t="s">
        <v>14039</v>
      </c>
    </row>
    <row r="249" spans="1:12" ht="12.75" customHeight="true">
      <c r="A249" s="139" t="str">
        <f t="shared" si="4"/>
        <v>40005-0000 OPERATING EXPENSES</v>
      </c>
      <c r="B249" s="139" t="s">
        <v>14035</v>
      </c>
      <c r="C249" s="139" t="s">
        <v>14420</v>
      </c>
      <c r="D249" s="139" t="s">
        <v>14421</v>
      </c>
      <c r="E249" s="139"/>
      <c r="F249" s="139">
        <v>0</v>
      </c>
      <c r="G249" s="139" t="s">
        <v>14241</v>
      </c>
      <c r="I249" s="143" t="s">
        <v>14039</v>
      </c>
      <c r="J249" s="64"/>
      <c r="K249" s="64"/>
      <c r="L249" s="64"/>
    </row>
    <row r="250" spans="1:12" ht="12.75" customHeight="true">
      <c r="A250" s="139" t="str">
        <f t="shared" si="4"/>
        <v>40010-0000 INCOME</v>
      </c>
      <c r="B250" s="139" t="s">
        <v>14035</v>
      </c>
      <c r="C250" s="139" t="s">
        <v>14422</v>
      </c>
      <c r="D250" s="139" t="s">
        <v>14423</v>
      </c>
      <c r="E250" s="139"/>
      <c r="F250" s="139">
        <v>0</v>
      </c>
      <c r="G250" s="139" t="s">
        <v>14241</v>
      </c>
      <c r="I250" s="143" t="s">
        <v>14039</v>
      </c>
      <c r="J250" s="64"/>
      <c r="K250" s="64"/>
      <c r="L250" s="64"/>
    </row>
    <row r="251" spans="1:12" ht="12.75" customHeight="true">
      <c r="A251" s="139" t="str">
        <f t="shared" si="4"/>
        <v>40050-0000 RENTAL INCOME</v>
      </c>
      <c r="B251" s="139" t="s">
        <v>14035</v>
      </c>
      <c r="C251" s="139" t="s">
        <v>14424</v>
      </c>
      <c r="D251" s="139" t="s">
        <v>14425</v>
      </c>
      <c r="E251" s="139"/>
      <c r="F251" s="139">
        <v>0</v>
      </c>
      <c r="G251" s="139" t="s">
        <v>14241</v>
      </c>
      <c r="I251" s="143" t="s">
        <v>14039</v>
      </c>
      <c r="J251" s="64"/>
      <c r="K251" s="64"/>
      <c r="L251" s="64"/>
    </row>
    <row r="252" spans="1:9">
      <c r="A252" s="139" t="str">
        <f t="shared" si="4"/>
        <v>40100-0000 GROSS POTENTIAL RENT</v>
      </c>
      <c r="B252" s="139" t="s">
        <v>14035</v>
      </c>
      <c r="C252" s="139" t="s">
        <v>14426</v>
      </c>
      <c r="D252" s="139" t="s">
        <v>14427</v>
      </c>
      <c r="E252" s="139"/>
      <c r="F252" s="139">
        <v>0</v>
      </c>
      <c r="G252" s="139" t="s">
        <v>14241</v>
      </c>
      <c r="I252" s="143" t="s">
        <v>14039</v>
      </c>
    </row>
    <row r="253" spans="1:12">
      <c r="A253" s="139" t="str">
        <f t="shared" si="4"/>
        <v>40110-0000 Baseline Rents</v>
      </c>
      <c r="B253" s="139" t="s">
        <v>14044</v>
      </c>
      <c r="C253" s="139" t="s">
        <v>14428</v>
      </c>
      <c r="D253" s="139" t="s">
        <v>3683</v>
      </c>
      <c r="E253" s="139"/>
      <c r="F253" s="139">
        <v>0</v>
      </c>
      <c r="G253" s="139" t="s">
        <v>14241</v>
      </c>
      <c r="I253" s="143" t="s">
        <v>14039</v>
      </c>
      <c r="J253" s="138" t="s">
        <v>3684</v>
      </c>
      <c r="K253" s="138" t="s">
        <v>2871</v>
      </c>
      <c r="L253" s="138" t="s">
        <v>3685</v>
      </c>
    </row>
    <row r="254" spans="1:12">
      <c r="A254" s="139" t="str">
        <f t="shared" si="4"/>
        <v>40120-0000 New Tenant Increases</v>
      </c>
      <c r="B254" s="139" t="s">
        <v>14044</v>
      </c>
      <c r="C254" s="139" t="s">
        <v>14429</v>
      </c>
      <c r="D254" s="139" t="s">
        <v>3687</v>
      </c>
      <c r="E254" s="139"/>
      <c r="F254" s="139">
        <v>0</v>
      </c>
      <c r="G254" s="139" t="s">
        <v>14241</v>
      </c>
      <c r="I254" s="143" t="s">
        <v>14039</v>
      </c>
      <c r="J254" s="138" t="s">
        <v>3684</v>
      </c>
      <c r="K254" s="138" t="s">
        <v>2871</v>
      </c>
      <c r="L254" s="138" t="s">
        <v>3688</v>
      </c>
    </row>
    <row r="255" spans="1:12">
      <c r="A255" s="139" t="str">
        <f t="shared" si="4"/>
        <v>40130-0000 Rent Increases</v>
      </c>
      <c r="B255" s="139" t="s">
        <v>14044</v>
      </c>
      <c r="C255" s="139" t="s">
        <v>14430</v>
      </c>
      <c r="D255" s="139" t="s">
        <v>3690</v>
      </c>
      <c r="E255" s="139"/>
      <c r="F255" s="139">
        <v>0</v>
      </c>
      <c r="G255" s="139" t="s">
        <v>14241</v>
      </c>
      <c r="I255" s="143" t="s">
        <v>14039</v>
      </c>
      <c r="J255" s="138" t="s">
        <v>3684</v>
      </c>
      <c r="K255" s="138" t="s">
        <v>2871</v>
      </c>
      <c r="L255" s="138" t="s">
        <v>3690</v>
      </c>
    </row>
    <row r="256" spans="1:12">
      <c r="A256" s="139" t="str">
        <f t="shared" si="4"/>
        <v>40140-0000 Under Baseline Rents</v>
      </c>
      <c r="B256" s="139" t="s">
        <v>14044</v>
      </c>
      <c r="C256" s="139" t="s">
        <v>14431</v>
      </c>
      <c r="D256" s="139" t="s">
        <v>3948</v>
      </c>
      <c r="E256" s="139"/>
      <c r="F256" s="139">
        <v>0</v>
      </c>
      <c r="G256" s="139" t="s">
        <v>14241</v>
      </c>
      <c r="I256" s="143" t="s">
        <v>14039</v>
      </c>
      <c r="J256" s="138" t="s">
        <v>3684</v>
      </c>
      <c r="K256" s="138" t="s">
        <v>2871</v>
      </c>
      <c r="L256" s="138" t="s">
        <v>3949</v>
      </c>
    </row>
    <row r="257" spans="1:9">
      <c r="A257" s="139" t="str">
        <f t="shared" si="4"/>
        <v>40990-9999 TOTAL GROSS SCHEDULED RENT</v>
      </c>
      <c r="B257" s="139" t="s">
        <v>14063</v>
      </c>
      <c r="C257" s="139" t="s">
        <v>14432</v>
      </c>
      <c r="D257" s="139" t="s">
        <v>14433</v>
      </c>
      <c r="E257" s="139"/>
      <c r="F257" s="139">
        <v>0</v>
      </c>
      <c r="G257" s="139" t="s">
        <v>14241</v>
      </c>
      <c r="I257" s="143" t="s">
        <v>14039</v>
      </c>
    </row>
    <row r="258" spans="1:9">
      <c r="A258" s="139" t="str">
        <f t="shared" si="4"/>
        <v>41000-0000 NET RENTAL INCOME</v>
      </c>
      <c r="B258" s="139" t="s">
        <v>14035</v>
      </c>
      <c r="C258" s="139" t="s">
        <v>14434</v>
      </c>
      <c r="D258" s="139" t="s">
        <v>14435</v>
      </c>
      <c r="E258" s="139"/>
      <c r="F258" s="139">
        <v>1</v>
      </c>
      <c r="G258" s="139" t="s">
        <v>14241</v>
      </c>
      <c r="I258" s="143" t="s">
        <v>14039</v>
      </c>
    </row>
    <row r="259" spans="1:12">
      <c r="A259" s="139" t="str">
        <f t="shared" ref="A259:A322" si="5">C259&amp;" "&amp;D259</f>
        <v>41110-0000 Rental Income</v>
      </c>
      <c r="B259" s="139" t="s">
        <v>14044</v>
      </c>
      <c r="C259" s="139" t="s">
        <v>14436</v>
      </c>
      <c r="D259" s="139" t="s">
        <v>3716</v>
      </c>
      <c r="E259" s="139"/>
      <c r="F259" s="139">
        <v>1</v>
      </c>
      <c r="G259" s="139" t="s">
        <v>14241</v>
      </c>
      <c r="I259" s="143" t="s">
        <v>14039</v>
      </c>
      <c r="J259" s="138" t="s">
        <v>3717</v>
      </c>
      <c r="K259" s="138" t="s">
        <v>2871</v>
      </c>
      <c r="L259" s="138" t="s">
        <v>3718</v>
      </c>
    </row>
    <row r="260" spans="1:12">
      <c r="A260" s="139" t="str">
        <f t="shared" si="5"/>
        <v>41112-0000 S8-HUD Rent</v>
      </c>
      <c r="B260" s="139" t="s">
        <v>14044</v>
      </c>
      <c r="C260" s="139" t="s">
        <v>14437</v>
      </c>
      <c r="D260" s="139" t="s">
        <v>14438</v>
      </c>
      <c r="E260" s="139"/>
      <c r="F260" s="139">
        <v>1</v>
      </c>
      <c r="G260" s="139" t="s">
        <v>14241</v>
      </c>
      <c r="I260" s="143" t="s">
        <v>14039</v>
      </c>
      <c r="J260" s="138" t="s">
        <v>3717</v>
      </c>
      <c r="K260" s="138" t="s">
        <v>2871</v>
      </c>
      <c r="L260" s="138" t="s">
        <v>3718</v>
      </c>
    </row>
    <row r="261" spans="1:12">
      <c r="A261" s="139" t="str">
        <f t="shared" si="5"/>
        <v>41120-0000 Loss/Gain to Lease</v>
      </c>
      <c r="B261" s="139" t="s">
        <v>14044</v>
      </c>
      <c r="C261" s="139" t="s">
        <v>14439</v>
      </c>
      <c r="D261" s="139" t="s">
        <v>13267</v>
      </c>
      <c r="E261" s="139"/>
      <c r="F261" s="139">
        <v>1</v>
      </c>
      <c r="G261" s="139" t="s">
        <v>14241</v>
      </c>
      <c r="I261" s="143" t="s">
        <v>14039</v>
      </c>
      <c r="J261" s="138" t="s">
        <v>3717</v>
      </c>
      <c r="K261" s="138" t="s">
        <v>2871</v>
      </c>
      <c r="L261" s="138" t="s">
        <v>3718</v>
      </c>
    </row>
    <row r="262" spans="1:9">
      <c r="A262" s="139" t="str">
        <f t="shared" si="5"/>
        <v>41999-9999 TOTAL NET RENTAL INCOME</v>
      </c>
      <c r="B262" s="139" t="s">
        <v>14063</v>
      </c>
      <c r="C262" s="139" t="s">
        <v>14440</v>
      </c>
      <c r="D262" s="139" t="s">
        <v>14441</v>
      </c>
      <c r="E262" s="139"/>
      <c r="F262" s="139">
        <v>1</v>
      </c>
      <c r="G262" s="139" t="s">
        <v>14241</v>
      </c>
      <c r="I262" s="143" t="s">
        <v>14039</v>
      </c>
    </row>
    <row r="263" spans="1:9">
      <c r="A263" s="139" t="str">
        <f t="shared" si="5"/>
        <v>42000-0000 NET COLLECTED RENT</v>
      </c>
      <c r="B263" s="139" t="s">
        <v>14035</v>
      </c>
      <c r="C263" s="139" t="s">
        <v>14442</v>
      </c>
      <c r="D263" s="139" t="s">
        <v>14443</v>
      </c>
      <c r="E263" s="139"/>
      <c r="F263" s="139">
        <v>1</v>
      </c>
      <c r="G263" s="139" t="s">
        <v>14241</v>
      </c>
      <c r="I263" s="143" t="s">
        <v>14039</v>
      </c>
    </row>
    <row r="264" spans="1:12">
      <c r="A264" s="139" t="str">
        <f t="shared" si="5"/>
        <v>42110-0000 Less Vacancy Loss</v>
      </c>
      <c r="B264" s="139" t="s">
        <v>14044</v>
      </c>
      <c r="C264" s="139" t="s">
        <v>14444</v>
      </c>
      <c r="D264" s="139" t="s">
        <v>13269</v>
      </c>
      <c r="E264" s="139"/>
      <c r="F264" s="139">
        <v>1</v>
      </c>
      <c r="G264" s="139" t="s">
        <v>14241</v>
      </c>
      <c r="I264" s="143" t="s">
        <v>14039</v>
      </c>
      <c r="J264" s="138" t="s">
        <v>3694</v>
      </c>
      <c r="K264" s="138" t="s">
        <v>2871</v>
      </c>
      <c r="L264" s="138" t="s">
        <v>3695</v>
      </c>
    </row>
    <row r="265" spans="1:12" ht="12.75" customHeight="true">
      <c r="A265" s="139" t="str">
        <f t="shared" si="5"/>
        <v>42130-0000 Less Promotion</v>
      </c>
      <c r="B265" s="139" t="s">
        <v>14044</v>
      </c>
      <c r="C265" s="139" t="s">
        <v>14445</v>
      </c>
      <c r="D265" s="139" t="s">
        <v>13374</v>
      </c>
      <c r="E265" s="139"/>
      <c r="F265" s="139">
        <v>1</v>
      </c>
      <c r="G265" s="139" t="s">
        <v>14241</v>
      </c>
      <c r="I265" s="143" t="s">
        <v>14039</v>
      </c>
      <c r="J265" s="64" t="s">
        <v>3694</v>
      </c>
      <c r="K265" s="64" t="s">
        <v>2871</v>
      </c>
      <c r="L265" s="64" t="s">
        <v>3704</v>
      </c>
    </row>
    <row r="266" spans="1:12">
      <c r="A266" s="139" t="str">
        <f t="shared" si="5"/>
        <v>42140-0000 Less Eviction</v>
      </c>
      <c r="B266" s="139" t="s">
        <v>14044</v>
      </c>
      <c r="C266" s="139" t="s">
        <v>14446</v>
      </c>
      <c r="D266" s="139" t="s">
        <v>13610</v>
      </c>
      <c r="E266" s="139"/>
      <c r="F266" s="139">
        <v>1</v>
      </c>
      <c r="G266" s="139" t="s">
        <v>14241</v>
      </c>
      <c r="I266" s="143" t="s">
        <v>14039</v>
      </c>
      <c r="J266" s="138" t="s">
        <v>3694</v>
      </c>
      <c r="K266" s="138" t="s">
        <v>2871</v>
      </c>
      <c r="L266" s="138" t="s">
        <v>3707</v>
      </c>
    </row>
    <row r="267" spans="1:12" ht="12.75" customHeight="true">
      <c r="A267" s="139" t="str">
        <f t="shared" si="5"/>
        <v>42150-0000 Less Manager Units</v>
      </c>
      <c r="B267" s="139" t="s">
        <v>14044</v>
      </c>
      <c r="C267" s="139" t="s">
        <v>14447</v>
      </c>
      <c r="D267" s="139" t="s">
        <v>13271</v>
      </c>
      <c r="E267" s="139"/>
      <c r="F267" s="139">
        <v>1</v>
      </c>
      <c r="G267" s="139" t="s">
        <v>14241</v>
      </c>
      <c r="I267" s="143" t="s">
        <v>14039</v>
      </c>
      <c r="J267" s="64" t="s">
        <v>3694</v>
      </c>
      <c r="K267" s="64" t="s">
        <v>2871</v>
      </c>
      <c r="L267" s="64" t="s">
        <v>3710</v>
      </c>
    </row>
    <row r="268" spans="1:12">
      <c r="A268" s="139" t="str">
        <f t="shared" si="5"/>
        <v>42160-0000 Rental Assistance</v>
      </c>
      <c r="B268" s="139" t="s">
        <v>14044</v>
      </c>
      <c r="C268" s="139" t="s">
        <v>14448</v>
      </c>
      <c r="D268" s="139" t="s">
        <v>3957</v>
      </c>
      <c r="E268" s="139"/>
      <c r="F268" s="139">
        <v>1</v>
      </c>
      <c r="G268" s="139" t="s">
        <v>14241</v>
      </c>
      <c r="I268" s="143" t="s">
        <v>14039</v>
      </c>
      <c r="J268" s="138" t="s">
        <v>3694</v>
      </c>
      <c r="K268" s="138" t="s">
        <v>2871</v>
      </c>
      <c r="L268" s="138" t="s">
        <v>3701</v>
      </c>
    </row>
    <row r="269" spans="1:12">
      <c r="A269" s="139" t="str">
        <f t="shared" si="5"/>
        <v>42405-0000 Less Bad Debt</v>
      </c>
      <c r="B269" s="139" t="s">
        <v>14044</v>
      </c>
      <c r="C269" s="139" t="s">
        <v>14449</v>
      </c>
      <c r="D269" s="139" t="s">
        <v>14450</v>
      </c>
      <c r="E269" s="139"/>
      <c r="F269" s="139">
        <v>1</v>
      </c>
      <c r="G269" s="139" t="s">
        <v>14241</v>
      </c>
      <c r="I269" s="143" t="s">
        <v>14039</v>
      </c>
      <c r="J269" s="138" t="s">
        <v>3694</v>
      </c>
      <c r="K269" s="138" t="s">
        <v>2871</v>
      </c>
      <c r="L269" s="138" t="s">
        <v>3701</v>
      </c>
    </row>
    <row r="270" spans="1:12">
      <c r="A270" s="139" t="str">
        <f t="shared" si="5"/>
        <v>43120-0000 Past Due Collections</v>
      </c>
      <c r="B270" s="139" t="s">
        <v>14044</v>
      </c>
      <c r="C270" s="139" t="s">
        <v>14451</v>
      </c>
      <c r="D270" s="139" t="s">
        <v>3700</v>
      </c>
      <c r="E270" s="139"/>
      <c r="F270" s="139">
        <v>1</v>
      </c>
      <c r="G270" s="139" t="s">
        <v>14241</v>
      </c>
      <c r="I270" s="143" t="s">
        <v>14039</v>
      </c>
      <c r="J270" s="138" t="s">
        <v>3694</v>
      </c>
      <c r="K270" s="138" t="s">
        <v>2871</v>
      </c>
      <c r="L270" s="138" t="s">
        <v>3701</v>
      </c>
    </row>
    <row r="271" spans="1:12">
      <c r="A271" s="139" t="str">
        <f t="shared" si="5"/>
        <v>43121-0000 Uncollected This Month</v>
      </c>
      <c r="B271" s="139" t="s">
        <v>14044</v>
      </c>
      <c r="C271" s="139" t="s">
        <v>14452</v>
      </c>
      <c r="D271" s="139" t="s">
        <v>7768</v>
      </c>
      <c r="E271" s="139"/>
      <c r="F271" s="139">
        <v>1</v>
      </c>
      <c r="G271" s="139" t="s">
        <v>14241</v>
      </c>
      <c r="I271" s="143" t="s">
        <v>14039</v>
      </c>
      <c r="J271" s="138" t="s">
        <v>3694</v>
      </c>
      <c r="K271" s="138" t="s">
        <v>2871</v>
      </c>
      <c r="L271" s="138" t="s">
        <v>3698</v>
      </c>
    </row>
    <row r="272" spans="1:9">
      <c r="A272" s="139" t="str">
        <f t="shared" si="5"/>
        <v>43159-9999 TOTAL NET COLLECTED RENT</v>
      </c>
      <c r="B272" s="139" t="s">
        <v>14063</v>
      </c>
      <c r="C272" s="139" t="s">
        <v>14453</v>
      </c>
      <c r="D272" s="139" t="s">
        <v>14454</v>
      </c>
      <c r="E272" s="139"/>
      <c r="F272" s="139">
        <v>1</v>
      </c>
      <c r="G272" s="139" t="s">
        <v>14241</v>
      </c>
      <c r="I272" s="143" t="s">
        <v>14039</v>
      </c>
    </row>
    <row r="273" spans="1:9">
      <c r="A273" s="139" t="str">
        <f t="shared" si="5"/>
        <v>43199-9999 OTHER INCOME</v>
      </c>
      <c r="B273" s="139" t="s">
        <v>14035</v>
      </c>
      <c r="C273" s="139" t="s">
        <v>14455</v>
      </c>
      <c r="D273" s="139" t="s">
        <v>14456</v>
      </c>
      <c r="E273" s="139"/>
      <c r="F273" s="139">
        <v>1</v>
      </c>
      <c r="G273" s="139" t="s">
        <v>14241</v>
      </c>
      <c r="I273" s="143" t="s">
        <v>14039</v>
      </c>
    </row>
    <row r="274" spans="1:12">
      <c r="A274" s="139" t="str">
        <f t="shared" si="5"/>
        <v>43200-0000 Revenue</v>
      </c>
      <c r="B274" s="139" t="s">
        <v>14044</v>
      </c>
      <c r="C274" s="139" t="s">
        <v>14457</v>
      </c>
      <c r="D274" s="139" t="s">
        <v>5925</v>
      </c>
      <c r="E274" s="139"/>
      <c r="F274" s="139">
        <v>0</v>
      </c>
      <c r="G274" s="139" t="s">
        <v>14241</v>
      </c>
      <c r="I274" s="143" t="s">
        <v>14039</v>
      </c>
      <c r="J274" s="138" t="s">
        <v>2870</v>
      </c>
      <c r="K274" s="138" t="s">
        <v>2871</v>
      </c>
      <c r="L274" s="138" t="s">
        <v>5926</v>
      </c>
    </row>
    <row r="275" spans="1:12">
      <c r="A275" s="139" t="str">
        <f t="shared" si="5"/>
        <v>43410-0000 NSF Charge/Late Fee</v>
      </c>
      <c r="B275" s="139" t="s">
        <v>14044</v>
      </c>
      <c r="C275" s="139" t="s">
        <v>14458</v>
      </c>
      <c r="D275" s="139" t="s">
        <v>13276</v>
      </c>
      <c r="E275" s="139"/>
      <c r="F275" s="139">
        <v>0</v>
      </c>
      <c r="G275" s="139" t="s">
        <v>14038</v>
      </c>
      <c r="I275" s="143" t="s">
        <v>14039</v>
      </c>
      <c r="J275" s="138" t="s">
        <v>3717</v>
      </c>
      <c r="K275" s="138" t="s">
        <v>2871</v>
      </c>
      <c r="L275" s="138" t="s">
        <v>3727</v>
      </c>
    </row>
    <row r="276" spans="1:12">
      <c r="A276" s="139" t="str">
        <f t="shared" si="5"/>
        <v>43420-0000 Systematic Code Enf</v>
      </c>
      <c r="B276" s="139" t="s">
        <v>14044</v>
      </c>
      <c r="C276" s="139" t="s">
        <v>14459</v>
      </c>
      <c r="D276" s="139" t="s">
        <v>4154</v>
      </c>
      <c r="E276" s="139"/>
      <c r="F276" s="139">
        <v>0</v>
      </c>
      <c r="G276" s="139" t="s">
        <v>14241</v>
      </c>
      <c r="I276" s="143" t="s">
        <v>14039</v>
      </c>
      <c r="J276" s="138" t="s">
        <v>3717</v>
      </c>
      <c r="K276" s="138" t="s">
        <v>2871</v>
      </c>
      <c r="L276" s="138" t="s">
        <v>4155</v>
      </c>
    </row>
    <row r="277" spans="1:12">
      <c r="A277" s="139" t="str">
        <f t="shared" si="5"/>
        <v>43430-0000 Laundry Income</v>
      </c>
      <c r="B277" s="139" t="s">
        <v>14044</v>
      </c>
      <c r="C277" s="139" t="s">
        <v>14460</v>
      </c>
      <c r="D277" s="139" t="s">
        <v>4053</v>
      </c>
      <c r="E277" s="139"/>
      <c r="F277" s="139">
        <v>0</v>
      </c>
      <c r="G277" s="139" t="s">
        <v>14241</v>
      </c>
      <c r="I277" s="143" t="s">
        <v>14039</v>
      </c>
      <c r="J277" s="138" t="s">
        <v>3717</v>
      </c>
      <c r="K277" s="138" t="s">
        <v>2871</v>
      </c>
      <c r="L277" s="138" t="s">
        <v>4054</v>
      </c>
    </row>
    <row r="278" spans="1:12">
      <c r="A278" s="139" t="str">
        <f t="shared" si="5"/>
        <v>43440-0000 Misc Income</v>
      </c>
      <c r="B278" s="139" t="s">
        <v>14044</v>
      </c>
      <c r="C278" s="139" t="s">
        <v>14461</v>
      </c>
      <c r="D278" s="139" t="s">
        <v>13278</v>
      </c>
      <c r="E278" s="139"/>
      <c r="F278" s="139">
        <v>0</v>
      </c>
      <c r="G278" s="139" t="s">
        <v>14038</v>
      </c>
      <c r="I278" s="143" t="s">
        <v>14039</v>
      </c>
      <c r="J278" s="138" t="s">
        <v>3717</v>
      </c>
      <c r="K278" s="138" t="s">
        <v>2871</v>
      </c>
      <c r="L278" s="138" t="s">
        <v>3721</v>
      </c>
    </row>
    <row r="279" spans="1:12">
      <c r="A279" s="139" t="str">
        <f t="shared" si="5"/>
        <v>43450-0000 Parking</v>
      </c>
      <c r="B279" s="139" t="s">
        <v>14044</v>
      </c>
      <c r="C279" s="139" t="s">
        <v>14462</v>
      </c>
      <c r="D279" s="139" t="s">
        <v>3723</v>
      </c>
      <c r="E279" s="139"/>
      <c r="F279" s="139">
        <v>0</v>
      </c>
      <c r="G279" s="139"/>
      <c r="I279" s="143" t="s">
        <v>14039</v>
      </c>
      <c r="J279" s="138" t="s">
        <v>3717</v>
      </c>
      <c r="K279" s="138" t="s">
        <v>2871</v>
      </c>
      <c r="L279" s="138" t="s">
        <v>3724</v>
      </c>
    </row>
    <row r="280" spans="1:12">
      <c r="A280" s="139" t="str">
        <f t="shared" si="5"/>
        <v>43480-0000 Application Income</v>
      </c>
      <c r="B280" s="139" t="s">
        <v>14044</v>
      </c>
      <c r="C280" s="139" t="s">
        <v>14463</v>
      </c>
      <c r="D280" s="139" t="s">
        <v>13280</v>
      </c>
      <c r="E280" s="139"/>
      <c r="F280" s="139">
        <v>1</v>
      </c>
      <c r="G280" s="139"/>
      <c r="I280" s="143" t="s">
        <v>14039</v>
      </c>
      <c r="J280" s="138" t="s">
        <v>97</v>
      </c>
      <c r="K280" s="138" t="s">
        <v>98</v>
      </c>
      <c r="L280" s="138" t="s">
        <v>102</v>
      </c>
    </row>
    <row r="281" spans="1:12">
      <c r="A281" s="139" t="str">
        <f t="shared" si="5"/>
        <v>43490-0000 Pet Income</v>
      </c>
      <c r="B281" s="139" t="s">
        <v>14044</v>
      </c>
      <c r="C281" s="139" t="s">
        <v>14464</v>
      </c>
      <c r="D281" s="139" t="s">
        <v>13282</v>
      </c>
      <c r="E281" s="139"/>
      <c r="F281" s="139">
        <v>1</v>
      </c>
      <c r="G281" s="139" t="s">
        <v>14038</v>
      </c>
      <c r="I281" s="143" t="s">
        <v>14039</v>
      </c>
      <c r="J281" s="138" t="s">
        <v>3717</v>
      </c>
      <c r="K281" s="138" t="s">
        <v>2871</v>
      </c>
      <c r="L281" s="138" t="s">
        <v>3721</v>
      </c>
    </row>
    <row r="282" spans="1:12">
      <c r="A282" s="139" t="str">
        <f t="shared" si="5"/>
        <v>43491-0000 RUBS</v>
      </c>
      <c r="B282" s="139" t="s">
        <v>14044</v>
      </c>
      <c r="C282" s="139" t="s">
        <v>14465</v>
      </c>
      <c r="D282" s="139" t="s">
        <v>3733</v>
      </c>
      <c r="E282" s="139"/>
      <c r="F282" s="139">
        <v>0</v>
      </c>
      <c r="G282" s="139"/>
      <c r="I282" s="143" t="s">
        <v>14039</v>
      </c>
      <c r="J282" s="138" t="s">
        <v>3717</v>
      </c>
      <c r="K282" s="138" t="s">
        <v>2871</v>
      </c>
      <c r="L282" s="138" t="s">
        <v>3734</v>
      </c>
    </row>
    <row r="283" spans="1:12">
      <c r="A283" s="139" t="str">
        <f t="shared" si="5"/>
        <v>43492-0000 InsuranceTenant</v>
      </c>
      <c r="B283" s="139" t="s">
        <v>14044</v>
      </c>
      <c r="C283" s="139" t="s">
        <v>14466</v>
      </c>
      <c r="D283" s="139" t="s">
        <v>13285</v>
      </c>
      <c r="E283" s="139"/>
      <c r="F283" s="139">
        <v>0</v>
      </c>
      <c r="G283" s="139"/>
      <c r="I283" s="143" t="s">
        <v>14039</v>
      </c>
      <c r="J283" s="138" t="s">
        <v>3717</v>
      </c>
      <c r="K283" s="138" t="s">
        <v>2871</v>
      </c>
      <c r="L283" s="138" t="s">
        <v>3737</v>
      </c>
    </row>
    <row r="284" spans="1:12">
      <c r="A284" s="139" t="str">
        <f t="shared" si="5"/>
        <v>43493-0000 Cable Income</v>
      </c>
      <c r="B284" s="139" t="s">
        <v>14044</v>
      </c>
      <c r="C284" s="139" t="s">
        <v>14467</v>
      </c>
      <c r="D284" s="139" t="s">
        <v>4229</v>
      </c>
      <c r="E284" s="139"/>
      <c r="F284" s="139">
        <v>0</v>
      </c>
      <c r="G284" s="139" t="s">
        <v>14038</v>
      </c>
      <c r="I284" s="143" t="s">
        <v>14039</v>
      </c>
      <c r="J284" s="138" t="s">
        <v>3717</v>
      </c>
      <c r="K284" s="138" t="s">
        <v>2871</v>
      </c>
      <c r="L284" s="138" t="s">
        <v>4230</v>
      </c>
    </row>
    <row r="285" spans="1:12">
      <c r="A285" s="139" t="str">
        <f t="shared" si="5"/>
        <v>43494-0000 Surcharge fr Prop Tax</v>
      </c>
      <c r="B285" s="139" t="s">
        <v>14044</v>
      </c>
      <c r="C285" s="139" t="s">
        <v>14468</v>
      </c>
      <c r="D285" s="139" t="s">
        <v>8407</v>
      </c>
      <c r="E285" s="139"/>
      <c r="F285" s="139">
        <v>0</v>
      </c>
      <c r="G285" s="139" t="s">
        <v>14038</v>
      </c>
      <c r="I285" s="143" t="s">
        <v>14039</v>
      </c>
      <c r="J285" s="138" t="s">
        <v>3717</v>
      </c>
      <c r="K285" s="138" t="s">
        <v>2871</v>
      </c>
      <c r="L285" s="138" t="s">
        <v>8408</v>
      </c>
    </row>
    <row r="286" spans="1:12">
      <c r="A286" s="139" t="str">
        <f t="shared" si="5"/>
        <v>43495-0000 Capital Improvememt</v>
      </c>
      <c r="B286" s="139" t="s">
        <v>14044</v>
      </c>
      <c r="C286" s="139" t="s">
        <v>14469</v>
      </c>
      <c r="D286" s="139" t="s">
        <v>14470</v>
      </c>
      <c r="E286" s="139"/>
      <c r="F286" s="139">
        <v>0</v>
      </c>
      <c r="G286" s="139" t="s">
        <v>14038</v>
      </c>
      <c r="I286" s="143" t="s">
        <v>14039</v>
      </c>
      <c r="J286" s="138" t="s">
        <v>3717</v>
      </c>
      <c r="K286" s="138" t="s">
        <v>2871</v>
      </c>
      <c r="L286" s="138" t="s">
        <v>6431</v>
      </c>
    </row>
    <row r="287" spans="1:12">
      <c r="A287" s="139" t="str">
        <f t="shared" si="5"/>
        <v>44000-0000 Enhancement Income</v>
      </c>
      <c r="B287" s="139" t="s">
        <v>14044</v>
      </c>
      <c r="C287" s="139" t="s">
        <v>14471</v>
      </c>
      <c r="D287" s="139" t="s">
        <v>12991</v>
      </c>
      <c r="E287" s="139"/>
      <c r="F287" s="139">
        <v>0</v>
      </c>
      <c r="G287" s="139" t="s">
        <v>14038</v>
      </c>
      <c r="I287" s="143" t="s">
        <v>14039</v>
      </c>
      <c r="J287" s="138" t="s">
        <v>3717</v>
      </c>
      <c r="K287" s="138" t="s">
        <v>2871</v>
      </c>
      <c r="L287" s="138" t="s">
        <v>12992</v>
      </c>
    </row>
    <row r="288" spans="1:12">
      <c r="A288" s="139" t="str">
        <f t="shared" si="5"/>
        <v>46000-0000 Interest Income</v>
      </c>
      <c r="B288" s="139" t="s">
        <v>14044</v>
      </c>
      <c r="C288" s="139" t="s">
        <v>14472</v>
      </c>
      <c r="D288" s="139" t="s">
        <v>3895</v>
      </c>
      <c r="E288" s="139"/>
      <c r="F288" s="139">
        <v>0</v>
      </c>
      <c r="G288" s="139" t="s">
        <v>14038</v>
      </c>
      <c r="I288" s="143" t="s">
        <v>14039</v>
      </c>
      <c r="J288" s="138" t="s">
        <v>3717</v>
      </c>
      <c r="K288" s="138" t="s">
        <v>13891</v>
      </c>
      <c r="L288" s="138" t="s">
        <v>3721</v>
      </c>
    </row>
    <row r="289" spans="1:12">
      <c r="A289" s="139" t="str">
        <f t="shared" si="5"/>
        <v>47300-0000 Management Fee</v>
      </c>
      <c r="B289" s="139" t="s">
        <v>14044</v>
      </c>
      <c r="C289" s="139" t="s">
        <v>14473</v>
      </c>
      <c r="D289" s="139" t="s">
        <v>12434</v>
      </c>
      <c r="E289" s="139"/>
      <c r="F289" s="139">
        <v>0</v>
      </c>
      <c r="G289" s="139" t="s">
        <v>14038</v>
      </c>
      <c r="I289" s="143" t="s">
        <v>14039</v>
      </c>
      <c r="J289" s="138" t="s">
        <v>3717</v>
      </c>
      <c r="K289" s="138" t="s">
        <v>2871</v>
      </c>
      <c r="L289" s="138" t="s">
        <v>12435</v>
      </c>
    </row>
    <row r="290" spans="1:12">
      <c r="A290" s="139" t="str">
        <f t="shared" si="5"/>
        <v>47550-0000 No Increase Loss</v>
      </c>
      <c r="B290" s="139" t="s">
        <v>14044</v>
      </c>
      <c r="C290" s="139" t="s">
        <v>14474</v>
      </c>
      <c r="D290" s="139" t="s">
        <v>14475</v>
      </c>
      <c r="E290" s="139"/>
      <c r="F290" s="139">
        <v>1</v>
      </c>
      <c r="G290" s="139" t="s">
        <v>14038</v>
      </c>
      <c r="I290" s="143" t="s">
        <v>14039</v>
      </c>
      <c r="J290" s="138" t="s">
        <v>3717</v>
      </c>
      <c r="K290" s="138" t="s">
        <v>2871</v>
      </c>
      <c r="L290" s="138" t="s">
        <v>3721</v>
      </c>
    </row>
    <row r="291" spans="1:12">
      <c r="A291" s="139" t="str">
        <f t="shared" si="5"/>
        <v>49500-9999 Contra-Collected Rent</v>
      </c>
      <c r="B291" s="139" t="s">
        <v>14044</v>
      </c>
      <c r="C291" s="139" t="s">
        <v>14476</v>
      </c>
      <c r="D291" s="139" t="s">
        <v>7244</v>
      </c>
      <c r="E291" s="139"/>
      <c r="F291" s="139">
        <v>1</v>
      </c>
      <c r="G291" s="139" t="s">
        <v>14038</v>
      </c>
      <c r="I291" s="143" t="s">
        <v>14039</v>
      </c>
      <c r="J291" s="138" t="s">
        <v>3713</v>
      </c>
      <c r="K291" s="138" t="s">
        <v>2871</v>
      </c>
      <c r="L291" s="138" t="s">
        <v>3714</v>
      </c>
    </row>
    <row r="292" spans="1:9">
      <c r="A292" s="139" t="str">
        <f t="shared" si="5"/>
        <v>49990-9999 TOTAL OTHER INCOME</v>
      </c>
      <c r="B292" s="139" t="s">
        <v>14063</v>
      </c>
      <c r="C292" s="139" t="s">
        <v>14477</v>
      </c>
      <c r="D292" s="139" t="s">
        <v>14478</v>
      </c>
      <c r="E292" s="139"/>
      <c r="F292" s="139">
        <v>0</v>
      </c>
      <c r="G292" s="139" t="s">
        <v>14038</v>
      </c>
      <c r="I292" s="143" t="s">
        <v>14039</v>
      </c>
    </row>
    <row r="293" spans="1:9">
      <c r="A293" s="139" t="str">
        <f t="shared" si="5"/>
        <v>49999-9999 TOTAL ACTUAL INCOME</v>
      </c>
      <c r="B293" s="139" t="s">
        <v>14063</v>
      </c>
      <c r="C293" s="139" t="s">
        <v>14479</v>
      </c>
      <c r="D293" s="139" t="s">
        <v>14480</v>
      </c>
      <c r="E293" s="139"/>
      <c r="F293" s="139">
        <v>1</v>
      </c>
      <c r="G293" s="139" t="s">
        <v>14038</v>
      </c>
      <c r="I293" s="143" t="s">
        <v>14039</v>
      </c>
    </row>
    <row r="294" spans="1:9">
      <c r="A294" s="139" t="str">
        <f t="shared" si="5"/>
        <v>50000-0000 EXPENSES</v>
      </c>
      <c r="B294" s="139" t="s">
        <v>14035</v>
      </c>
      <c r="C294" s="139" t="s">
        <v>14481</v>
      </c>
      <c r="D294" s="139" t="s">
        <v>14482</v>
      </c>
      <c r="E294" s="139"/>
      <c r="F294" s="139">
        <v>1</v>
      </c>
      <c r="G294" s="139" t="s">
        <v>14038</v>
      </c>
      <c r="I294" s="143" t="s">
        <v>14039</v>
      </c>
    </row>
    <row r="295" spans="1:9">
      <c r="A295" s="139" t="str">
        <f t="shared" si="5"/>
        <v>51000-0000 GENERAL MAINT-BUSINESS EXP</v>
      </c>
      <c r="B295" s="139" t="s">
        <v>14035</v>
      </c>
      <c r="C295" s="139" t="s">
        <v>14483</v>
      </c>
      <c r="D295" s="139" t="s">
        <v>14484</v>
      </c>
      <c r="E295" s="139"/>
      <c r="F295" s="139">
        <v>1</v>
      </c>
      <c r="G295" s="139" t="s">
        <v>14038</v>
      </c>
      <c r="I295" s="143" t="s">
        <v>14039</v>
      </c>
    </row>
    <row r="296" spans="1:12">
      <c r="A296" s="139" t="str">
        <f t="shared" si="5"/>
        <v>51001-0000 Gen  Bldg Supplies</v>
      </c>
      <c r="B296" s="139" t="s">
        <v>14044</v>
      </c>
      <c r="C296" s="139" t="s">
        <v>14485</v>
      </c>
      <c r="D296" s="139" t="s">
        <v>13681</v>
      </c>
      <c r="E296" s="139"/>
      <c r="F296" s="139">
        <v>1</v>
      </c>
      <c r="G296" s="139" t="s">
        <v>14038</v>
      </c>
      <c r="I296" s="143" t="s">
        <v>14039</v>
      </c>
      <c r="J296" s="138" t="s">
        <v>3740</v>
      </c>
      <c r="K296" s="138" t="s">
        <v>1875</v>
      </c>
      <c r="L296" s="138" t="s">
        <v>4537</v>
      </c>
    </row>
    <row r="297" spans="1:12">
      <c r="A297" s="139" t="str">
        <f t="shared" si="5"/>
        <v>51002-0000 Gen  Maint Labor</v>
      </c>
      <c r="B297" s="139" t="s">
        <v>14044</v>
      </c>
      <c r="C297" s="139" t="s">
        <v>14486</v>
      </c>
      <c r="D297" s="139" t="s">
        <v>13386</v>
      </c>
      <c r="E297" s="139"/>
      <c r="F297" s="139">
        <v>1</v>
      </c>
      <c r="G297" s="139" t="s">
        <v>14038</v>
      </c>
      <c r="I297" s="143" t="s">
        <v>14039</v>
      </c>
      <c r="J297" s="138" t="s">
        <v>5940</v>
      </c>
      <c r="K297" s="138" t="s">
        <v>1875</v>
      </c>
      <c r="L297" s="138" t="s">
        <v>4087</v>
      </c>
    </row>
    <row r="298" spans="1:12">
      <c r="A298" s="139" t="str">
        <f t="shared" si="5"/>
        <v>51003-0000 Gen  RepCommon Area</v>
      </c>
      <c r="B298" s="139" t="s">
        <v>14044</v>
      </c>
      <c r="C298" s="139" t="s">
        <v>14487</v>
      </c>
      <c r="D298" s="139" t="s">
        <v>13451</v>
      </c>
      <c r="E298" s="139"/>
      <c r="F298" s="139">
        <v>1</v>
      </c>
      <c r="G298" s="139" t="s">
        <v>14038</v>
      </c>
      <c r="I298" s="143" t="s">
        <v>14039</v>
      </c>
      <c r="J298" s="138" t="s">
        <v>3740</v>
      </c>
      <c r="K298" s="138" t="s">
        <v>1875</v>
      </c>
      <c r="L298" s="138" t="s">
        <v>4233</v>
      </c>
    </row>
    <row r="299" spans="1:13">
      <c r="A299" s="139" t="str">
        <f t="shared" si="5"/>
        <v>51004-0000 Gen  Elev Maint-Rep</v>
      </c>
      <c r="B299" s="139" t="s">
        <v>14044</v>
      </c>
      <c r="C299" s="139" t="s">
        <v>14488</v>
      </c>
      <c r="D299" s="139" t="s">
        <v>14489</v>
      </c>
      <c r="E299" s="139"/>
      <c r="F299" s="139">
        <v>1</v>
      </c>
      <c r="G299" s="139" t="s">
        <v>14038</v>
      </c>
      <c r="I299" s="143" t="s">
        <v>14039</v>
      </c>
      <c r="J299" s="138" t="s">
        <v>3740</v>
      </c>
      <c r="K299" s="138" t="s">
        <v>1875</v>
      </c>
      <c r="L299" s="138" t="s">
        <v>6434</v>
      </c>
      <c r="M299" s="136" t="s">
        <v>14490</v>
      </c>
    </row>
    <row r="300" spans="1:12">
      <c r="A300" s="139" t="str">
        <f t="shared" si="5"/>
        <v>51005-0000 Gen  RepairDoors</v>
      </c>
      <c r="B300" s="139" t="s">
        <v>14044</v>
      </c>
      <c r="C300" s="139" t="s">
        <v>14491</v>
      </c>
      <c r="D300" s="139" t="s">
        <v>13287</v>
      </c>
      <c r="E300" s="139"/>
      <c r="F300" s="139">
        <v>1</v>
      </c>
      <c r="G300" s="139" t="s">
        <v>14038</v>
      </c>
      <c r="I300" s="143" t="s">
        <v>14039</v>
      </c>
      <c r="J300" s="138" t="s">
        <v>3740</v>
      </c>
      <c r="K300" s="138" t="s">
        <v>1875</v>
      </c>
      <c r="L300" s="138" t="s">
        <v>3969</v>
      </c>
    </row>
    <row r="301" spans="1:12">
      <c r="A301" s="139" t="str">
        <f t="shared" si="5"/>
        <v>51006-0000 Gen  RepairElectric</v>
      </c>
      <c r="B301" s="139" t="s">
        <v>14044</v>
      </c>
      <c r="C301" s="139" t="s">
        <v>14492</v>
      </c>
      <c r="D301" s="139" t="s">
        <v>13288</v>
      </c>
      <c r="E301" s="139"/>
      <c r="F301" s="139">
        <v>1</v>
      </c>
      <c r="G301" s="139" t="s">
        <v>14038</v>
      </c>
      <c r="I301" s="143" t="s">
        <v>14039</v>
      </c>
      <c r="J301" s="138" t="s">
        <v>3740</v>
      </c>
      <c r="K301" s="138" t="s">
        <v>1875</v>
      </c>
      <c r="L301" s="138" t="s">
        <v>3741</v>
      </c>
    </row>
    <row r="302" spans="1:12">
      <c r="A302" s="139" t="str">
        <f t="shared" si="5"/>
        <v>51007-0000 Gen  RepairGate</v>
      </c>
      <c r="B302" s="139" t="s">
        <v>14044</v>
      </c>
      <c r="C302" s="139" t="s">
        <v>14493</v>
      </c>
      <c r="D302" s="139" t="s">
        <v>13289</v>
      </c>
      <c r="E302" s="139"/>
      <c r="F302" s="139">
        <v>1</v>
      </c>
      <c r="G302" s="139" t="s">
        <v>14038</v>
      </c>
      <c r="I302" s="143" t="s">
        <v>14039</v>
      </c>
      <c r="J302" s="138" t="s">
        <v>3740</v>
      </c>
      <c r="K302" s="138" t="s">
        <v>1875</v>
      </c>
      <c r="L302" s="138" t="s">
        <v>3973</v>
      </c>
    </row>
    <row r="303" spans="1:12">
      <c r="A303" s="139" t="str">
        <f t="shared" si="5"/>
        <v>51008-0000 Gen  RepairGeneral</v>
      </c>
      <c r="B303" s="139" t="s">
        <v>14044</v>
      </c>
      <c r="C303" s="139" t="s">
        <v>14494</v>
      </c>
      <c r="D303" s="139" t="s">
        <v>13290</v>
      </c>
      <c r="E303" s="139"/>
      <c r="F303" s="139">
        <v>1</v>
      </c>
      <c r="G303" s="139" t="s">
        <v>14038</v>
      </c>
      <c r="I303" s="143" t="s">
        <v>14039</v>
      </c>
      <c r="J303" s="138" t="s">
        <v>3740</v>
      </c>
      <c r="K303" s="138" t="s">
        <v>1875</v>
      </c>
      <c r="L303" s="138" t="s">
        <v>3744</v>
      </c>
    </row>
    <row r="304" spans="1:12">
      <c r="A304" s="139" t="str">
        <f t="shared" si="5"/>
        <v>51009-0000 Gen  RepairPlumbing</v>
      </c>
      <c r="B304" s="139" t="s">
        <v>14044</v>
      </c>
      <c r="C304" s="139" t="s">
        <v>14495</v>
      </c>
      <c r="D304" s="139" t="s">
        <v>13291</v>
      </c>
      <c r="E304" s="139"/>
      <c r="F304" s="139">
        <v>1</v>
      </c>
      <c r="G304" s="139" t="s">
        <v>14038</v>
      </c>
      <c r="I304" s="143" t="s">
        <v>14039</v>
      </c>
      <c r="J304" s="138" t="s">
        <v>3740</v>
      </c>
      <c r="K304" s="138" t="s">
        <v>1875</v>
      </c>
      <c r="L304" s="138" t="s">
        <v>3747</v>
      </c>
    </row>
    <row r="305" spans="1:12">
      <c r="A305" s="139" t="str">
        <f t="shared" si="5"/>
        <v>51010-0000 Gen  RepairRoof</v>
      </c>
      <c r="B305" s="139" t="s">
        <v>14044</v>
      </c>
      <c r="C305" s="139" t="s">
        <v>14496</v>
      </c>
      <c r="D305" s="139" t="s">
        <v>14497</v>
      </c>
      <c r="E305" s="139"/>
      <c r="F305" s="139">
        <v>1</v>
      </c>
      <c r="G305" s="139" t="s">
        <v>14038</v>
      </c>
      <c r="I305" s="143" t="s">
        <v>14039</v>
      </c>
      <c r="J305" s="138" t="s">
        <v>3740</v>
      </c>
      <c r="K305" s="138" t="s">
        <v>1875</v>
      </c>
      <c r="L305" s="138" t="s">
        <v>7510</v>
      </c>
    </row>
    <row r="306" spans="1:12">
      <c r="A306" s="139" t="str">
        <f t="shared" si="5"/>
        <v>51011-0000 Gen  Landscaping</v>
      </c>
      <c r="B306" s="139" t="s">
        <v>14044</v>
      </c>
      <c r="C306" s="139" t="s">
        <v>14498</v>
      </c>
      <c r="D306" s="139" t="s">
        <v>13292</v>
      </c>
      <c r="E306" s="139"/>
      <c r="F306" s="139">
        <v>1</v>
      </c>
      <c r="G306" s="139" t="s">
        <v>14038</v>
      </c>
      <c r="I306" s="143" t="s">
        <v>14039</v>
      </c>
      <c r="J306" s="138" t="s">
        <v>3740</v>
      </c>
      <c r="K306" s="138" t="s">
        <v>1875</v>
      </c>
      <c r="L306" s="138" t="s">
        <v>3750</v>
      </c>
    </row>
    <row r="307" spans="1:12">
      <c r="A307" s="139" t="str">
        <f t="shared" si="5"/>
        <v>51012-0000 Gen  Pest Control</v>
      </c>
      <c r="B307" s="139" t="s">
        <v>14044</v>
      </c>
      <c r="C307" s="139" t="s">
        <v>14499</v>
      </c>
      <c r="D307" s="139" t="s">
        <v>13293</v>
      </c>
      <c r="E307" s="139"/>
      <c r="F307" s="139">
        <v>1</v>
      </c>
      <c r="G307" s="139" t="s">
        <v>14038</v>
      </c>
      <c r="I307" s="143" t="s">
        <v>14039</v>
      </c>
      <c r="J307" s="138" t="s">
        <v>3740</v>
      </c>
      <c r="K307" s="138" t="s">
        <v>1875</v>
      </c>
      <c r="L307" s="138" t="s">
        <v>3753</v>
      </c>
    </row>
    <row r="308" spans="1:12">
      <c r="A308" s="139" t="str">
        <f t="shared" si="5"/>
        <v>51013-0000 Gen  Pool</v>
      </c>
      <c r="B308" s="139" t="s">
        <v>14044</v>
      </c>
      <c r="C308" s="139" t="s">
        <v>14500</v>
      </c>
      <c r="D308" s="139" t="s">
        <v>13294</v>
      </c>
      <c r="E308" s="139"/>
      <c r="F308" s="139">
        <v>1</v>
      </c>
      <c r="G308" s="139" t="s">
        <v>14038</v>
      </c>
      <c r="I308" s="143" t="s">
        <v>14039</v>
      </c>
      <c r="J308" s="138" t="s">
        <v>3740</v>
      </c>
      <c r="K308" s="138" t="s">
        <v>1875</v>
      </c>
      <c r="L308" s="144" t="s">
        <v>3980</v>
      </c>
    </row>
    <row r="309" spans="1:12">
      <c r="A309" s="139" t="str">
        <f t="shared" si="5"/>
        <v>51014-0000 Gen  Solar</v>
      </c>
      <c r="B309" s="139" t="s">
        <v>14044</v>
      </c>
      <c r="C309" s="139" t="s">
        <v>14501</v>
      </c>
      <c r="D309" s="139" t="s">
        <v>14502</v>
      </c>
      <c r="E309" s="139"/>
      <c r="F309" s="139">
        <v>1</v>
      </c>
      <c r="G309" s="139" t="s">
        <v>14038</v>
      </c>
      <c r="I309" s="143" t="s">
        <v>14039</v>
      </c>
      <c r="J309" s="138" t="s">
        <v>3740</v>
      </c>
      <c r="K309" s="138" t="s">
        <v>13300</v>
      </c>
      <c r="L309" s="144" t="s">
        <v>14503</v>
      </c>
    </row>
    <row r="310" spans="1:12">
      <c r="A310" s="139" t="str">
        <f t="shared" si="5"/>
        <v>51015-0000 Gen  Auto Expense</v>
      </c>
      <c r="B310" s="139" t="s">
        <v>14044</v>
      </c>
      <c r="C310" s="139" t="s">
        <v>14504</v>
      </c>
      <c r="D310" s="139" t="s">
        <v>13295</v>
      </c>
      <c r="E310" s="139"/>
      <c r="F310" s="139">
        <v>1</v>
      </c>
      <c r="G310" s="139" t="s">
        <v>14038</v>
      </c>
      <c r="I310" s="143" t="s">
        <v>14039</v>
      </c>
      <c r="J310" s="138" t="s">
        <v>3740</v>
      </c>
      <c r="K310" s="138" t="s">
        <v>1875</v>
      </c>
      <c r="L310" s="144" t="s">
        <v>3756</v>
      </c>
    </row>
    <row r="311" spans="1:12">
      <c r="A311" s="139" t="str">
        <f t="shared" si="5"/>
        <v>51018-0000 Gen  Dues - Subscr</v>
      </c>
      <c r="B311" s="139" t="s">
        <v>14044</v>
      </c>
      <c r="C311" s="139" t="s">
        <v>14505</v>
      </c>
      <c r="D311" s="139" t="s">
        <v>13296</v>
      </c>
      <c r="E311" s="139"/>
      <c r="F311" s="139">
        <v>1</v>
      </c>
      <c r="G311" s="139" t="s">
        <v>14038</v>
      </c>
      <c r="I311" s="143" t="s">
        <v>14039</v>
      </c>
      <c r="J311" s="138" t="s">
        <v>3740</v>
      </c>
      <c r="K311" s="138" t="s">
        <v>1875</v>
      </c>
      <c r="L311" s="144" t="s">
        <v>3319</v>
      </c>
    </row>
    <row r="312" spans="1:12">
      <c r="A312" s="139" t="str">
        <f t="shared" si="5"/>
        <v>51019-0000 Gen  Meals-Ent</v>
      </c>
      <c r="B312" s="139" t="s">
        <v>14044</v>
      </c>
      <c r="C312" s="139" t="s">
        <v>14506</v>
      </c>
      <c r="D312" s="139" t="s">
        <v>13297</v>
      </c>
      <c r="E312" s="139"/>
      <c r="F312" s="139">
        <v>1</v>
      </c>
      <c r="G312" s="139" t="s">
        <v>14038</v>
      </c>
      <c r="I312" s="143" t="s">
        <v>14039</v>
      </c>
      <c r="J312" s="138" t="s">
        <v>3740</v>
      </c>
      <c r="K312" s="138" t="s">
        <v>1875</v>
      </c>
      <c r="L312" s="144" t="s">
        <v>3340</v>
      </c>
    </row>
    <row r="313" spans="1:12">
      <c r="A313" s="139" t="str">
        <f t="shared" si="5"/>
        <v>51020-0000 Gen  Office Supplies</v>
      </c>
      <c r="B313" s="139" t="s">
        <v>14044</v>
      </c>
      <c r="C313" s="139" t="s">
        <v>14507</v>
      </c>
      <c r="D313" s="139" t="s">
        <v>13298</v>
      </c>
      <c r="E313" s="139"/>
      <c r="F313" s="139">
        <v>1</v>
      </c>
      <c r="G313" s="139" t="s">
        <v>14038</v>
      </c>
      <c r="I313" s="143" t="s">
        <v>14039</v>
      </c>
      <c r="J313" s="138" t="s">
        <v>3740</v>
      </c>
      <c r="K313" s="138" t="s">
        <v>1875</v>
      </c>
      <c r="L313" s="138" t="s">
        <v>3345</v>
      </c>
    </row>
    <row r="314" spans="1:12">
      <c r="A314" s="139" t="str">
        <f t="shared" si="5"/>
        <v>51021-0000 Gen  Repairs - Maint</v>
      </c>
      <c r="B314" s="139" t="s">
        <v>14044</v>
      </c>
      <c r="C314" s="139" t="s">
        <v>14508</v>
      </c>
      <c r="D314" s="139" t="s">
        <v>13682</v>
      </c>
      <c r="E314" s="139"/>
      <c r="F314" s="139">
        <v>1</v>
      </c>
      <c r="G314" s="139" t="s">
        <v>14038</v>
      </c>
      <c r="I314" s="143" t="s">
        <v>14039</v>
      </c>
      <c r="J314" s="138" t="s">
        <v>3740</v>
      </c>
      <c r="K314" s="138" t="s">
        <v>1875</v>
      </c>
      <c r="L314" s="138" t="s">
        <v>4752</v>
      </c>
    </row>
    <row r="315" spans="1:12">
      <c r="A315" s="139" t="str">
        <f t="shared" si="5"/>
        <v>51022-0000 Gen  Sec Dep Refund</v>
      </c>
      <c r="B315" s="139" t="s">
        <v>14044</v>
      </c>
      <c r="C315" s="139" t="s">
        <v>14509</v>
      </c>
      <c r="D315" s="139" t="s">
        <v>14510</v>
      </c>
      <c r="E315" s="139"/>
      <c r="F315" s="139">
        <v>1</v>
      </c>
      <c r="G315" s="139" t="s">
        <v>14038</v>
      </c>
      <c r="I315" s="143" t="s">
        <v>14039</v>
      </c>
      <c r="J315" s="138" t="s">
        <v>3740</v>
      </c>
      <c r="K315" s="138" t="s">
        <v>13300</v>
      </c>
      <c r="L315" s="138" t="s">
        <v>14511</v>
      </c>
    </row>
    <row r="316" spans="1:12">
      <c r="A316" s="139" t="str">
        <f t="shared" si="5"/>
        <v>51023-0000 Gen  Systematic Code Fees</v>
      </c>
      <c r="B316" s="139" t="s">
        <v>14044</v>
      </c>
      <c r="C316" s="139" t="s">
        <v>14512</v>
      </c>
      <c r="D316" s="139" t="s">
        <v>14513</v>
      </c>
      <c r="E316" s="139"/>
      <c r="F316" s="139">
        <v>1</v>
      </c>
      <c r="G316" s="139" t="s">
        <v>14038</v>
      </c>
      <c r="I316" s="143" t="s">
        <v>14039</v>
      </c>
      <c r="J316" s="138" t="s">
        <v>3740</v>
      </c>
      <c r="K316" s="138" t="s">
        <v>13300</v>
      </c>
      <c r="L316" s="138" t="s">
        <v>14514</v>
      </c>
    </row>
    <row r="317" spans="1:12">
      <c r="A317" s="139" t="str">
        <f t="shared" si="5"/>
        <v>51024-0000 Gen  Travel Expense</v>
      </c>
      <c r="B317" s="139" t="s">
        <v>14044</v>
      </c>
      <c r="C317" s="139" t="s">
        <v>14515</v>
      </c>
      <c r="D317" s="139" t="s">
        <v>14516</v>
      </c>
      <c r="E317" s="139"/>
      <c r="F317" s="139">
        <v>1</v>
      </c>
      <c r="G317" s="139" t="s">
        <v>14038</v>
      </c>
      <c r="I317" s="143" t="s">
        <v>14039</v>
      </c>
      <c r="J317" s="138" t="s">
        <v>3740</v>
      </c>
      <c r="K317" s="138" t="s">
        <v>13300</v>
      </c>
      <c r="L317" s="138" t="s">
        <v>14517</v>
      </c>
    </row>
    <row r="318" spans="1:12">
      <c r="A318" s="139" t="str">
        <f t="shared" si="5"/>
        <v>51025-0000 Insurance  W-C Expense</v>
      </c>
      <c r="B318" s="139" t="s">
        <v>14044</v>
      </c>
      <c r="C318" s="139" t="s">
        <v>14518</v>
      </c>
      <c r="D318" s="139" t="s">
        <v>13299</v>
      </c>
      <c r="E318" s="139"/>
      <c r="F318" s="139">
        <v>1</v>
      </c>
      <c r="G318" s="139" t="s">
        <v>14038</v>
      </c>
      <c r="I318" s="143" t="s">
        <v>14039</v>
      </c>
      <c r="J318" s="138" t="s">
        <v>3740</v>
      </c>
      <c r="K318" s="138" t="s">
        <v>13300</v>
      </c>
      <c r="L318" s="138" t="s">
        <v>13299</v>
      </c>
    </row>
    <row r="319" spans="1:12">
      <c r="A319" s="139" t="str">
        <f t="shared" si="5"/>
        <v>51026-0000 Fine - Penalty</v>
      </c>
      <c r="B319" s="139" t="s">
        <v>14044</v>
      </c>
      <c r="C319" s="139" t="s">
        <v>14519</v>
      </c>
      <c r="D319" s="139" t="s">
        <v>14520</v>
      </c>
      <c r="E319" s="139"/>
      <c r="F319" s="139">
        <v>1</v>
      </c>
      <c r="G319" s="139" t="s">
        <v>14038</v>
      </c>
      <c r="I319" s="143" t="s">
        <v>14039</v>
      </c>
      <c r="J319" s="138" t="s">
        <v>3740</v>
      </c>
      <c r="K319" s="138" t="s">
        <v>13300</v>
      </c>
      <c r="L319" s="138" t="s">
        <v>14520</v>
      </c>
    </row>
    <row r="320" spans="1:12">
      <c r="A320" s="139" t="str">
        <f t="shared" si="5"/>
        <v>51027-0000 HOA Fee</v>
      </c>
      <c r="B320" s="139" t="s">
        <v>14044</v>
      </c>
      <c r="C320" s="139" t="s">
        <v>14521</v>
      </c>
      <c r="D320" s="139" t="s">
        <v>14522</v>
      </c>
      <c r="E320" s="139"/>
      <c r="F320" s="139">
        <v>1</v>
      </c>
      <c r="G320" s="139" t="s">
        <v>14038</v>
      </c>
      <c r="I320" s="143" t="s">
        <v>14039</v>
      </c>
      <c r="J320" s="138" t="s">
        <v>3740</v>
      </c>
      <c r="K320" s="138" t="s">
        <v>13300</v>
      </c>
      <c r="L320" s="138" t="s">
        <v>14522</v>
      </c>
    </row>
    <row r="321" spans="1:12">
      <c r="A321" s="139" t="str">
        <f t="shared" si="5"/>
        <v>51028-0000 Insurance  Tenant</v>
      </c>
      <c r="B321" s="139" t="s">
        <v>14044</v>
      </c>
      <c r="C321" s="139" t="s">
        <v>14523</v>
      </c>
      <c r="D321" s="139" t="s">
        <v>13301</v>
      </c>
      <c r="E321" s="139"/>
      <c r="F321" s="139">
        <v>1</v>
      </c>
      <c r="G321" s="139" t="s">
        <v>14038</v>
      </c>
      <c r="I321" s="143" t="s">
        <v>14039</v>
      </c>
      <c r="J321" s="138" t="s">
        <v>3740</v>
      </c>
      <c r="K321" s="138" t="s">
        <v>13300</v>
      </c>
      <c r="L321" s="138" t="s">
        <v>13301</v>
      </c>
    </row>
    <row r="322" spans="1:12">
      <c r="A322" s="139" t="str">
        <f t="shared" si="5"/>
        <v>51029-0000 Security-Patrol</v>
      </c>
      <c r="B322" s="139" t="s">
        <v>14044</v>
      </c>
      <c r="C322" s="139" t="s">
        <v>14524</v>
      </c>
      <c r="D322" s="139" t="s">
        <v>13302</v>
      </c>
      <c r="E322" s="139"/>
      <c r="F322" s="139">
        <v>1</v>
      </c>
      <c r="G322" s="139" t="s">
        <v>14038</v>
      </c>
      <c r="I322" s="143" t="s">
        <v>14039</v>
      </c>
      <c r="J322" s="138" t="s">
        <v>3740</v>
      </c>
      <c r="K322" s="138" t="s">
        <v>13300</v>
      </c>
      <c r="L322" s="138" t="s">
        <v>13302</v>
      </c>
    </row>
    <row r="323" spans="1:12">
      <c r="A323" s="139" t="str">
        <f t="shared" ref="A323:A386" si="6">C323&amp;" "&amp;D323</f>
        <v>51030-0000 Copier Lease</v>
      </c>
      <c r="B323" s="139" t="s">
        <v>14044</v>
      </c>
      <c r="C323" s="139" t="s">
        <v>14525</v>
      </c>
      <c r="D323" s="139" t="s">
        <v>5792</v>
      </c>
      <c r="E323" s="139"/>
      <c r="F323" s="139">
        <v>1</v>
      </c>
      <c r="G323" s="139" t="s">
        <v>14038</v>
      </c>
      <c r="I323" s="143" t="s">
        <v>14039</v>
      </c>
      <c r="J323" s="138" t="s">
        <v>4426</v>
      </c>
      <c r="K323" s="138" t="s">
        <v>1875</v>
      </c>
      <c r="L323" s="138" t="s">
        <v>5793</v>
      </c>
    </row>
    <row r="324" spans="1:12">
      <c r="A324" s="139" t="str">
        <f t="shared" si="6"/>
        <v>51350-0000 Parts &amp; Supplies</v>
      </c>
      <c r="B324" s="139" t="s">
        <v>14044</v>
      </c>
      <c r="C324" s="139" t="s">
        <v>14526</v>
      </c>
      <c r="D324" s="139" t="s">
        <v>5948</v>
      </c>
      <c r="E324" s="139"/>
      <c r="F324" s="139">
        <v>1</v>
      </c>
      <c r="G324" s="139" t="s">
        <v>14038</v>
      </c>
      <c r="I324" s="143" t="s">
        <v>14039</v>
      </c>
      <c r="J324" s="138" t="s">
        <v>3740</v>
      </c>
      <c r="K324" s="138" t="s">
        <v>13300</v>
      </c>
      <c r="L324" s="138" t="s">
        <v>5948</v>
      </c>
    </row>
    <row r="325" spans="1:12">
      <c r="A325" s="139" t="str">
        <f t="shared" si="6"/>
        <v>51990-0000 </v>
      </c>
      <c r="B325" s="139" t="s">
        <v>14044</v>
      </c>
      <c r="C325" s="139" t="s">
        <v>14527</v>
      </c>
      <c r="D325" s="139"/>
      <c r="E325" s="139"/>
      <c r="F325" s="139">
        <v>1</v>
      </c>
      <c r="G325" s="139" t="s">
        <v>14038</v>
      </c>
      <c r="I325" s="143" t="s">
        <v>14039</v>
      </c>
      <c r="J325" s="138">
        <v>0</v>
      </c>
      <c r="K325" s="138">
        <v>0</v>
      </c>
      <c r="L325" s="138">
        <v>0</v>
      </c>
    </row>
    <row r="326" spans="1:9">
      <c r="A326" s="139" t="str">
        <f t="shared" si="6"/>
        <v>51990-9999 TOTAL GENERAL MAINT/BUSINESS EXP</v>
      </c>
      <c r="B326" s="139" t="s">
        <v>14063</v>
      </c>
      <c r="C326" s="139" t="s">
        <v>14528</v>
      </c>
      <c r="D326" s="139" t="s">
        <v>14529</v>
      </c>
      <c r="E326" s="139"/>
      <c r="F326" s="139">
        <v>1</v>
      </c>
      <c r="G326" s="139" t="s">
        <v>14038</v>
      </c>
      <c r="I326" s="143" t="s">
        <v>14039</v>
      </c>
    </row>
    <row r="327" spans="1:9">
      <c r="A327" s="139" t="str">
        <f t="shared" si="6"/>
        <v>52000-0000 RENT READY</v>
      </c>
      <c r="B327" s="139" t="s">
        <v>14035</v>
      </c>
      <c r="C327" s="139" t="s">
        <v>14530</v>
      </c>
      <c r="D327" s="139" t="s">
        <v>14531</v>
      </c>
      <c r="E327" s="139"/>
      <c r="F327" s="139">
        <v>1</v>
      </c>
      <c r="G327" s="139" t="s">
        <v>14038</v>
      </c>
      <c r="I327" s="143" t="s">
        <v>14039</v>
      </c>
    </row>
    <row r="328" spans="1:12">
      <c r="A328" s="139" t="str">
        <f t="shared" si="6"/>
        <v>52001-0000 RR  Advertising and Promotion</v>
      </c>
      <c r="B328" s="139" t="s">
        <v>14044</v>
      </c>
      <c r="C328" s="139" t="s">
        <v>14532</v>
      </c>
      <c r="D328" s="139" t="s">
        <v>13303</v>
      </c>
      <c r="E328" s="139"/>
      <c r="F328" s="139">
        <v>1</v>
      </c>
      <c r="G328" s="139" t="s">
        <v>14038</v>
      </c>
      <c r="I328" s="143" t="s">
        <v>14039</v>
      </c>
      <c r="J328" s="138" t="s">
        <v>3769</v>
      </c>
      <c r="K328" s="138" t="s">
        <v>1875</v>
      </c>
      <c r="L328" s="138" t="s">
        <v>3770</v>
      </c>
    </row>
    <row r="329" spans="1:12">
      <c r="A329" s="139" t="str">
        <f t="shared" si="6"/>
        <v>52002-0000 RR  Carpet</v>
      </c>
      <c r="B329" s="139" t="s">
        <v>14044</v>
      </c>
      <c r="C329" s="139" t="s">
        <v>14533</v>
      </c>
      <c r="D329" s="139" t="s">
        <v>13304</v>
      </c>
      <c r="E329" s="139"/>
      <c r="F329" s="139">
        <v>1</v>
      </c>
      <c r="G329" s="139" t="s">
        <v>14038</v>
      </c>
      <c r="I329" s="143" t="s">
        <v>14039</v>
      </c>
      <c r="J329" s="138" t="s">
        <v>3769</v>
      </c>
      <c r="K329" s="138" t="s">
        <v>1875</v>
      </c>
      <c r="L329" s="138" t="s">
        <v>3998</v>
      </c>
    </row>
    <row r="330" spans="1:12">
      <c r="A330" s="139" t="str">
        <f t="shared" si="6"/>
        <v>52003-0000 RR  Cleaning</v>
      </c>
      <c r="B330" s="139" t="s">
        <v>14044</v>
      </c>
      <c r="C330" s="139" t="s">
        <v>14534</v>
      </c>
      <c r="D330" s="139" t="s">
        <v>13305</v>
      </c>
      <c r="E330" s="139"/>
      <c r="F330" s="139">
        <v>1</v>
      </c>
      <c r="G330" s="139" t="s">
        <v>14038</v>
      </c>
      <c r="I330" s="143" t="s">
        <v>14039</v>
      </c>
      <c r="J330" s="138" t="s">
        <v>3769</v>
      </c>
      <c r="K330" s="138" t="s">
        <v>1875</v>
      </c>
      <c r="L330" s="138" t="s">
        <v>3773</v>
      </c>
    </row>
    <row r="331" spans="1:12">
      <c r="A331" s="139" t="str">
        <f t="shared" si="6"/>
        <v>52005-0000 RR  Small Tools - Eq</v>
      </c>
      <c r="B331" s="139" t="s">
        <v>14044</v>
      </c>
      <c r="C331" s="139" t="s">
        <v>14535</v>
      </c>
      <c r="D331" s="139" t="s">
        <v>14536</v>
      </c>
      <c r="E331" s="139"/>
      <c r="F331" s="139">
        <v>1</v>
      </c>
      <c r="G331" s="139" t="s">
        <v>14038</v>
      </c>
      <c r="I331" s="143" t="s">
        <v>14039</v>
      </c>
      <c r="J331" s="138" t="s">
        <v>3769</v>
      </c>
      <c r="K331" s="138" t="s">
        <v>1875</v>
      </c>
      <c r="L331" s="138" t="s">
        <v>3915</v>
      </c>
    </row>
    <row r="332" spans="1:12">
      <c r="A332" s="139" t="str">
        <f t="shared" si="6"/>
        <v>52007-0000 RR  Unit Conversion</v>
      </c>
      <c r="B332" s="139" t="s">
        <v>14044</v>
      </c>
      <c r="C332" s="139" t="s">
        <v>14537</v>
      </c>
      <c r="D332" s="139" t="s">
        <v>13388</v>
      </c>
      <c r="E332" s="139"/>
      <c r="F332" s="139">
        <v>1</v>
      </c>
      <c r="G332" s="139" t="s">
        <v>14038</v>
      </c>
      <c r="I332" s="143" t="s">
        <v>14039</v>
      </c>
      <c r="J332" s="138" t="s">
        <v>3769</v>
      </c>
      <c r="K332" s="138" t="s">
        <v>1875</v>
      </c>
      <c r="L332" s="138" t="s">
        <v>8028</v>
      </c>
    </row>
    <row r="333" spans="1:12">
      <c r="A333" s="139" t="str">
        <f t="shared" si="6"/>
        <v>52008-0000 RR  Unit Renov Lab</v>
      </c>
      <c r="B333" s="139" t="s">
        <v>14044</v>
      </c>
      <c r="C333" s="139" t="s">
        <v>14538</v>
      </c>
      <c r="D333" s="139" t="s">
        <v>14539</v>
      </c>
      <c r="E333" s="139"/>
      <c r="F333" s="139">
        <v>1</v>
      </c>
      <c r="G333" s="139" t="s">
        <v>14038</v>
      </c>
      <c r="I333" s="143" t="s">
        <v>14039</v>
      </c>
      <c r="J333" s="138" t="s">
        <v>3769</v>
      </c>
      <c r="K333" s="138" t="s">
        <v>13300</v>
      </c>
      <c r="L333" s="138">
        <v>0</v>
      </c>
    </row>
    <row r="334" spans="1:9">
      <c r="A334" s="139" t="str">
        <f t="shared" si="6"/>
        <v>52990-9999 TOTAL RENT READY</v>
      </c>
      <c r="B334" s="139" t="s">
        <v>14063</v>
      </c>
      <c r="C334" s="139" t="s">
        <v>14540</v>
      </c>
      <c r="D334" s="139" t="s">
        <v>14541</v>
      </c>
      <c r="E334" s="139"/>
      <c r="F334" s="139">
        <v>1</v>
      </c>
      <c r="G334" s="139" t="s">
        <v>14038</v>
      </c>
      <c r="I334" s="143" t="s">
        <v>14039</v>
      </c>
    </row>
    <row r="335" spans="1:9">
      <c r="A335" s="139" t="str">
        <f t="shared" si="6"/>
        <v>53000-0000 UTILITIES</v>
      </c>
      <c r="B335" s="139" t="s">
        <v>14035</v>
      </c>
      <c r="C335" s="139" t="s">
        <v>14542</v>
      </c>
      <c r="D335" s="139" t="s">
        <v>14543</v>
      </c>
      <c r="E335" s="139"/>
      <c r="F335" s="139">
        <v>1</v>
      </c>
      <c r="G335" s="139" t="s">
        <v>14038</v>
      </c>
      <c r="I335" s="143" t="s">
        <v>14039</v>
      </c>
    </row>
    <row r="336" spans="1:12">
      <c r="A336" s="139" t="str">
        <f t="shared" si="6"/>
        <v>53001-0000 Utils  Telephone Exp</v>
      </c>
      <c r="B336" s="139" t="s">
        <v>14044</v>
      </c>
      <c r="C336" s="139" t="s">
        <v>14544</v>
      </c>
      <c r="D336" s="139" t="s">
        <v>13306</v>
      </c>
      <c r="E336" s="139"/>
      <c r="F336" s="139">
        <v>1</v>
      </c>
      <c r="G336" s="139" t="s">
        <v>14038</v>
      </c>
      <c r="I336" s="143" t="s">
        <v>14039</v>
      </c>
      <c r="J336" s="138" t="s">
        <v>3160</v>
      </c>
      <c r="K336" s="138" t="s">
        <v>1875</v>
      </c>
      <c r="L336" s="138" t="s">
        <v>3782</v>
      </c>
    </row>
    <row r="337" spans="1:12">
      <c r="A337" s="139" t="str">
        <f t="shared" si="6"/>
        <v>53002-0000 Utils  Trash</v>
      </c>
      <c r="B337" s="139" t="s">
        <v>14044</v>
      </c>
      <c r="C337" s="139" t="s">
        <v>14545</v>
      </c>
      <c r="D337" s="139" t="s">
        <v>13307</v>
      </c>
      <c r="E337" s="139"/>
      <c r="F337" s="139">
        <v>1</v>
      </c>
      <c r="G337" s="139" t="s">
        <v>14038</v>
      </c>
      <c r="I337" s="143" t="s">
        <v>14039</v>
      </c>
      <c r="J337" s="138" t="s">
        <v>3160</v>
      </c>
      <c r="K337" s="138" t="s">
        <v>1875</v>
      </c>
      <c r="L337" s="138" t="s">
        <v>3785</v>
      </c>
    </row>
    <row r="338" spans="1:12">
      <c r="A338" s="139" t="str">
        <f t="shared" si="6"/>
        <v>53003-0000 Utils  Electric</v>
      </c>
      <c r="B338" s="139" t="s">
        <v>14044</v>
      </c>
      <c r="C338" s="139" t="s">
        <v>14546</v>
      </c>
      <c r="D338" s="139" t="s">
        <v>13308</v>
      </c>
      <c r="E338" s="139"/>
      <c r="F338" s="139">
        <v>1</v>
      </c>
      <c r="G338" s="139" t="s">
        <v>14038</v>
      </c>
      <c r="I338" s="143" t="s">
        <v>14039</v>
      </c>
      <c r="J338" s="138" t="s">
        <v>4426</v>
      </c>
      <c r="K338" s="138" t="s">
        <v>1875</v>
      </c>
      <c r="L338" s="138" t="s">
        <v>6877</v>
      </c>
    </row>
    <row r="339" spans="1:12">
      <c r="A339" s="139" t="str">
        <f t="shared" si="6"/>
        <v>53004-0000 Utils  Gas</v>
      </c>
      <c r="B339" s="139" t="s">
        <v>14044</v>
      </c>
      <c r="C339" s="139" t="s">
        <v>14547</v>
      </c>
      <c r="D339" s="139" t="s">
        <v>13309</v>
      </c>
      <c r="E339" s="139"/>
      <c r="F339" s="139">
        <v>1</v>
      </c>
      <c r="G339" s="139" t="s">
        <v>14038</v>
      </c>
      <c r="I339" s="143" t="s">
        <v>14039</v>
      </c>
      <c r="J339" s="138" t="s">
        <v>4426</v>
      </c>
      <c r="K339" s="138" t="s">
        <v>1875</v>
      </c>
      <c r="L339" s="138" t="s">
        <v>6877</v>
      </c>
    </row>
    <row r="340" spans="1:12">
      <c r="A340" s="139" t="str">
        <f t="shared" si="6"/>
        <v>53005-0000 Utils  Sewer</v>
      </c>
      <c r="B340" s="139" t="s">
        <v>14044</v>
      </c>
      <c r="C340" s="139" t="s">
        <v>14548</v>
      </c>
      <c r="D340" s="139" t="s">
        <v>13389</v>
      </c>
      <c r="E340" s="139"/>
      <c r="F340" s="139">
        <v>1</v>
      </c>
      <c r="G340" s="139" t="s">
        <v>14038</v>
      </c>
      <c r="I340" s="143" t="s">
        <v>14039</v>
      </c>
      <c r="J340" s="138" t="s">
        <v>3160</v>
      </c>
      <c r="K340" s="138" t="s">
        <v>1875</v>
      </c>
      <c r="L340" s="138" t="s">
        <v>3794</v>
      </c>
    </row>
    <row r="341" spans="1:12">
      <c r="A341" s="139" t="str">
        <f t="shared" si="6"/>
        <v>53006-0000 Utils  Water</v>
      </c>
      <c r="B341" s="139" t="s">
        <v>14044</v>
      </c>
      <c r="C341" s="139" t="s">
        <v>14549</v>
      </c>
      <c r="D341" s="139" t="s">
        <v>13310</v>
      </c>
      <c r="E341" s="139"/>
      <c r="F341" s="139">
        <v>1</v>
      </c>
      <c r="G341" s="139" t="s">
        <v>14038</v>
      </c>
      <c r="I341" s="143" t="s">
        <v>14039</v>
      </c>
      <c r="J341" s="138" t="s">
        <v>3160</v>
      </c>
      <c r="K341" s="138" t="s">
        <v>1875</v>
      </c>
      <c r="L341" s="138" t="s">
        <v>3797</v>
      </c>
    </row>
    <row r="342" spans="1:12">
      <c r="A342" s="139" t="str">
        <f t="shared" si="6"/>
        <v>53007-0000 Utils  Security</v>
      </c>
      <c r="B342" s="139" t="s">
        <v>14044</v>
      </c>
      <c r="C342" s="139" t="s">
        <v>14550</v>
      </c>
      <c r="D342" s="139" t="s">
        <v>14551</v>
      </c>
      <c r="E342" s="139"/>
      <c r="F342" s="139">
        <v>1</v>
      </c>
      <c r="G342" s="139" t="s">
        <v>14038</v>
      </c>
      <c r="I342" s="143" t="s">
        <v>14039</v>
      </c>
      <c r="J342" s="138" t="s">
        <v>3160</v>
      </c>
      <c r="K342" s="138" t="s">
        <v>13300</v>
      </c>
      <c r="L342" s="138" t="s">
        <v>14552</v>
      </c>
    </row>
    <row r="343" spans="1:12">
      <c r="A343" s="139" t="str">
        <f t="shared" si="6"/>
        <v>53011-0000 Utils  Comp - Internet</v>
      </c>
      <c r="B343" s="139" t="s">
        <v>14044</v>
      </c>
      <c r="C343" s="139" t="s">
        <v>14553</v>
      </c>
      <c r="D343" s="139" t="s">
        <v>13312</v>
      </c>
      <c r="E343" s="139"/>
      <c r="F343" s="139">
        <v>1</v>
      </c>
      <c r="G343" s="139" t="s">
        <v>14038</v>
      </c>
      <c r="I343" s="143" t="s">
        <v>14039</v>
      </c>
      <c r="J343" s="138" t="s">
        <v>3160</v>
      </c>
      <c r="K343" s="138" t="s">
        <v>13300</v>
      </c>
      <c r="L343" s="138" t="s">
        <v>13313</v>
      </c>
    </row>
    <row r="344" spans="1:9">
      <c r="A344" s="139" t="str">
        <f t="shared" si="6"/>
        <v>53990-9999 TOTAL UTILITIES</v>
      </c>
      <c r="B344" s="139" t="s">
        <v>14063</v>
      </c>
      <c r="C344" s="139" t="s">
        <v>14554</v>
      </c>
      <c r="D344" s="139" t="s">
        <v>14555</v>
      </c>
      <c r="E344" s="139"/>
      <c r="F344" s="139">
        <v>1</v>
      </c>
      <c r="G344" s="139" t="s">
        <v>14038</v>
      </c>
      <c r="I344" s="143" t="s">
        <v>14039</v>
      </c>
    </row>
    <row r="345" spans="1:9">
      <c r="A345" s="139" t="str">
        <f t="shared" si="6"/>
        <v>54000-0000 PAYROLL</v>
      </c>
      <c r="B345" s="139" t="s">
        <v>14035</v>
      </c>
      <c r="C345" s="139" t="s">
        <v>14556</v>
      </c>
      <c r="D345" s="139" t="s">
        <v>14557</v>
      </c>
      <c r="E345" s="139"/>
      <c r="F345" s="139">
        <v>1</v>
      </c>
      <c r="G345" s="139" t="s">
        <v>14038</v>
      </c>
      <c r="I345" s="143" t="s">
        <v>14039</v>
      </c>
    </row>
    <row r="346" spans="1:12">
      <c r="A346" s="139" t="str">
        <f t="shared" si="6"/>
        <v>54001-0000 Health Insurance</v>
      </c>
      <c r="B346" s="139" t="s">
        <v>14044</v>
      </c>
      <c r="C346" s="139" t="s">
        <v>14558</v>
      </c>
      <c r="D346" s="139" t="s">
        <v>4008</v>
      </c>
      <c r="E346" s="139"/>
      <c r="F346" s="139">
        <v>1</v>
      </c>
      <c r="G346" s="139" t="s">
        <v>14038</v>
      </c>
      <c r="I346" s="143" t="s">
        <v>14039</v>
      </c>
      <c r="J346" s="138" t="s">
        <v>3800</v>
      </c>
      <c r="K346" s="138" t="s">
        <v>1875</v>
      </c>
      <c r="L346" s="138" t="s">
        <v>4009</v>
      </c>
    </row>
    <row r="347" spans="1:12">
      <c r="A347" s="139" t="str">
        <f t="shared" si="6"/>
        <v>54002-0000 Mgr Bonus</v>
      </c>
      <c r="B347" s="139" t="s">
        <v>14044</v>
      </c>
      <c r="C347" s="139" t="s">
        <v>14559</v>
      </c>
      <c r="D347" s="139" t="s">
        <v>3799</v>
      </c>
      <c r="E347" s="139"/>
      <c r="F347" s="139">
        <v>1</v>
      </c>
      <c r="G347" s="139" t="s">
        <v>14038</v>
      </c>
      <c r="I347" s="143" t="s">
        <v>14039</v>
      </c>
      <c r="J347" s="138" t="s">
        <v>3800</v>
      </c>
      <c r="K347" s="138" t="s">
        <v>1875</v>
      </c>
      <c r="L347" s="138" t="s">
        <v>3801</v>
      </c>
    </row>
    <row r="348" spans="1:12">
      <c r="A348" s="139" t="str">
        <f t="shared" si="6"/>
        <v>54003-0000 Payroll ExpAdmin</v>
      </c>
      <c r="B348" s="139" t="s">
        <v>14044</v>
      </c>
      <c r="C348" s="139" t="s">
        <v>14560</v>
      </c>
      <c r="D348" s="139" t="s">
        <v>13576</v>
      </c>
      <c r="E348" s="139"/>
      <c r="F348" s="139">
        <v>1</v>
      </c>
      <c r="G348" s="139" t="s">
        <v>14038</v>
      </c>
      <c r="I348" s="143" t="s">
        <v>14039</v>
      </c>
      <c r="J348" s="138" t="s">
        <v>3800</v>
      </c>
      <c r="K348" s="138" t="s">
        <v>1875</v>
      </c>
      <c r="L348" s="138" t="s">
        <v>3804</v>
      </c>
    </row>
    <row r="349" spans="1:12">
      <c r="A349" s="139" t="str">
        <f t="shared" si="6"/>
        <v>54004-0000 Payroll ExpRes Mgrs</v>
      </c>
      <c r="B349" s="139" t="s">
        <v>14044</v>
      </c>
      <c r="C349" s="139" t="s">
        <v>14561</v>
      </c>
      <c r="D349" s="139" t="s">
        <v>13314</v>
      </c>
      <c r="E349" s="139"/>
      <c r="F349" s="139">
        <v>1</v>
      </c>
      <c r="G349" s="139" t="s">
        <v>14038</v>
      </c>
      <c r="I349" s="143" t="s">
        <v>14039</v>
      </c>
      <c r="J349" s="138" t="s">
        <v>3800</v>
      </c>
      <c r="K349" s="138" t="s">
        <v>1875</v>
      </c>
      <c r="L349" s="138" t="s">
        <v>3807</v>
      </c>
    </row>
    <row r="350" spans="1:12">
      <c r="A350" s="139" t="str">
        <f t="shared" si="6"/>
        <v>54005-0000 Payroll Fee</v>
      </c>
      <c r="B350" s="139" t="s">
        <v>14044</v>
      </c>
      <c r="C350" s="139" t="s">
        <v>14562</v>
      </c>
      <c r="D350" s="139" t="s">
        <v>3809</v>
      </c>
      <c r="E350" s="139"/>
      <c r="F350" s="139">
        <v>1</v>
      </c>
      <c r="G350" s="139" t="s">
        <v>14038</v>
      </c>
      <c r="I350" s="143" t="s">
        <v>14039</v>
      </c>
      <c r="J350" s="138" t="s">
        <v>3800</v>
      </c>
      <c r="K350" s="138" t="s">
        <v>1875</v>
      </c>
      <c r="L350" s="138" t="s">
        <v>3810</v>
      </c>
    </row>
    <row r="351" spans="1:12">
      <c r="A351" s="139" t="str">
        <f t="shared" si="6"/>
        <v>54006-0000 Payroll Taxes</v>
      </c>
      <c r="B351" s="139" t="s">
        <v>14044</v>
      </c>
      <c r="C351" s="139" t="s">
        <v>14563</v>
      </c>
      <c r="D351" s="139" t="s">
        <v>3812</v>
      </c>
      <c r="E351" s="139"/>
      <c r="F351" s="139">
        <v>1</v>
      </c>
      <c r="G351" s="139" t="s">
        <v>14038</v>
      </c>
      <c r="I351" s="143" t="s">
        <v>14039</v>
      </c>
      <c r="J351" s="138" t="s">
        <v>3800</v>
      </c>
      <c r="K351" s="138" t="s">
        <v>1875</v>
      </c>
      <c r="L351" s="138" t="s">
        <v>3003</v>
      </c>
    </row>
    <row r="352" spans="1:12">
      <c r="A352" s="139" t="str">
        <f t="shared" si="6"/>
        <v>54007-0000 Payroll ExpProp Ass</v>
      </c>
      <c r="B352" s="139" t="s">
        <v>14044</v>
      </c>
      <c r="C352" s="139" t="s">
        <v>14564</v>
      </c>
      <c r="D352" s="139" t="s">
        <v>13315</v>
      </c>
      <c r="E352" s="139"/>
      <c r="F352" s="139">
        <v>1</v>
      </c>
      <c r="G352" s="139" t="s">
        <v>14038</v>
      </c>
      <c r="I352" s="143" t="s">
        <v>14039</v>
      </c>
      <c r="J352" s="138" t="s">
        <v>3800</v>
      </c>
      <c r="K352" s="138" t="s">
        <v>1875</v>
      </c>
      <c r="L352" s="138" t="s">
        <v>3815</v>
      </c>
    </row>
    <row r="353" spans="1:12">
      <c r="A353" s="139" t="str">
        <f t="shared" si="6"/>
        <v>54100-0000 Salaries &amp; Wages</v>
      </c>
      <c r="B353" s="139" t="s">
        <v>14044</v>
      </c>
      <c r="C353" s="139" t="s">
        <v>14565</v>
      </c>
      <c r="D353" s="139" t="s">
        <v>4489</v>
      </c>
      <c r="E353" s="139"/>
      <c r="F353" s="139">
        <v>1</v>
      </c>
      <c r="G353" s="139" t="s">
        <v>14038</v>
      </c>
      <c r="I353" s="143" t="s">
        <v>14039</v>
      </c>
      <c r="J353" s="138" t="s">
        <v>3800</v>
      </c>
      <c r="K353" s="138" t="s">
        <v>1875</v>
      </c>
      <c r="L353" s="138" t="s">
        <v>4491</v>
      </c>
    </row>
    <row r="354" spans="1:9">
      <c r="A354" s="139" t="str">
        <f t="shared" si="6"/>
        <v>54990-9999 TOTAL PAYROLL</v>
      </c>
      <c r="B354" s="139" t="s">
        <v>14063</v>
      </c>
      <c r="C354" s="139" t="s">
        <v>14566</v>
      </c>
      <c r="D354" s="139" t="s">
        <v>14567</v>
      </c>
      <c r="E354" s="139"/>
      <c r="F354" s="139">
        <v>1</v>
      </c>
      <c r="G354" s="139" t="s">
        <v>14038</v>
      </c>
      <c r="I354" s="143" t="s">
        <v>14039</v>
      </c>
    </row>
    <row r="355" spans="1:9">
      <c r="A355" s="139" t="str">
        <f t="shared" si="6"/>
        <v>59990-9999 TOTAL CONTROLLABLE EXPENSES</v>
      </c>
      <c r="B355" s="139" t="s">
        <v>14063</v>
      </c>
      <c r="C355" s="139" t="s">
        <v>14568</v>
      </c>
      <c r="D355" s="139" t="s">
        <v>14569</v>
      </c>
      <c r="E355" s="139"/>
      <c r="F355" s="139">
        <v>1</v>
      </c>
      <c r="G355" s="139" t="s">
        <v>14038</v>
      </c>
      <c r="I355" s="143" t="s">
        <v>14039</v>
      </c>
    </row>
    <row r="356" spans="1:9">
      <c r="A356" s="139" t="str">
        <f t="shared" si="6"/>
        <v>61000-0000 NONCONTROLLABLE EXPENSES</v>
      </c>
      <c r="B356" s="139" t="s">
        <v>14035</v>
      </c>
      <c r="C356" s="139" t="s">
        <v>14570</v>
      </c>
      <c r="D356" s="139" t="s">
        <v>14571</v>
      </c>
      <c r="E356" s="139"/>
      <c r="F356" s="139">
        <v>1</v>
      </c>
      <c r="G356" s="139" t="s">
        <v>14038</v>
      </c>
      <c r="I356" s="143" t="s">
        <v>14039</v>
      </c>
    </row>
    <row r="357" spans="1:12">
      <c r="A357" s="139" t="str">
        <f t="shared" si="6"/>
        <v>61001-0000 Annual Systematic Fe</v>
      </c>
      <c r="B357" s="139" t="s">
        <v>14044</v>
      </c>
      <c r="C357" s="139" t="s">
        <v>14572</v>
      </c>
      <c r="D357" s="139" t="s">
        <v>4192</v>
      </c>
      <c r="E357" s="139"/>
      <c r="F357" s="139">
        <v>1</v>
      </c>
      <c r="G357" s="139" t="s">
        <v>14038</v>
      </c>
      <c r="I357" s="143" t="s">
        <v>14039</v>
      </c>
      <c r="J357" s="138" t="s">
        <v>3838</v>
      </c>
      <c r="K357" s="138" t="s">
        <v>1875</v>
      </c>
      <c r="L357" s="138" t="s">
        <v>4193</v>
      </c>
    </row>
    <row r="358" spans="1:12">
      <c r="A358" s="139" t="str">
        <f t="shared" si="6"/>
        <v>61002-0000 Bank Service Charges</v>
      </c>
      <c r="B358" s="139" t="s">
        <v>14044</v>
      </c>
      <c r="C358" s="139" t="s">
        <v>14573</v>
      </c>
      <c r="D358" s="139" t="s">
        <v>3837</v>
      </c>
      <c r="E358" s="139"/>
      <c r="F358" s="139">
        <v>1</v>
      </c>
      <c r="G358" s="139" t="s">
        <v>14038</v>
      </c>
      <c r="I358" s="143" t="s">
        <v>14039</v>
      </c>
      <c r="J358" s="138" t="s">
        <v>3838</v>
      </c>
      <c r="K358" s="138" t="s">
        <v>1875</v>
      </c>
      <c r="L358" s="138" t="s">
        <v>3839</v>
      </c>
    </row>
    <row r="359" spans="1:12" ht="15" customHeight="true">
      <c r="A359" s="139" t="str">
        <f t="shared" si="6"/>
        <v>61003-0000 Impound  Insurance</v>
      </c>
      <c r="B359" s="139" t="s">
        <v>14044</v>
      </c>
      <c r="C359" s="139" t="s">
        <v>14574</v>
      </c>
      <c r="D359" s="139" t="s">
        <v>14575</v>
      </c>
      <c r="E359" s="139"/>
      <c r="F359" s="139">
        <v>1</v>
      </c>
      <c r="G359" s="139" t="s">
        <v>14038</v>
      </c>
      <c r="I359" s="143" t="s">
        <v>14039</v>
      </c>
      <c r="J359" s="145" t="s">
        <v>3838</v>
      </c>
      <c r="K359" s="145" t="s">
        <v>1875</v>
      </c>
      <c r="L359" s="145" t="s">
        <v>7140</v>
      </c>
    </row>
    <row r="360" spans="1:12">
      <c r="A360" s="139" t="str">
        <f t="shared" si="6"/>
        <v>61004-0000 Impound  Prop Tax</v>
      </c>
      <c r="B360" s="139" t="s">
        <v>14044</v>
      </c>
      <c r="C360" s="139" t="s">
        <v>14576</v>
      </c>
      <c r="D360" s="139" t="s">
        <v>14577</v>
      </c>
      <c r="E360" s="139"/>
      <c r="F360" s="139">
        <v>1</v>
      </c>
      <c r="G360" s="139" t="s">
        <v>14038</v>
      </c>
      <c r="I360" s="143" t="s">
        <v>14039</v>
      </c>
      <c r="J360" s="138" t="s">
        <v>3838</v>
      </c>
      <c r="K360" s="138" t="s">
        <v>1875</v>
      </c>
      <c r="L360" s="138" t="s">
        <v>7140</v>
      </c>
    </row>
    <row r="361" spans="1:12">
      <c r="A361" s="139" t="str">
        <f t="shared" si="6"/>
        <v>61005-0000 Insurance Expense</v>
      </c>
      <c r="B361" s="139" t="s">
        <v>14044</v>
      </c>
      <c r="C361" s="139" t="s">
        <v>14578</v>
      </c>
      <c r="D361" s="139" t="s">
        <v>13462</v>
      </c>
      <c r="E361" s="139"/>
      <c r="F361" s="139">
        <v>1</v>
      </c>
      <c r="G361" s="139" t="s">
        <v>14038</v>
      </c>
      <c r="I361" s="143" t="s">
        <v>14039</v>
      </c>
      <c r="J361" s="138" t="s">
        <v>3838</v>
      </c>
      <c r="K361" s="138" t="s">
        <v>1875</v>
      </c>
      <c r="L361" s="138" t="s">
        <v>3842</v>
      </c>
    </row>
    <row r="362" spans="1:12" ht="12.75" customHeight="true">
      <c r="A362" s="139" t="str">
        <f t="shared" si="6"/>
        <v>61006-0000 Impound  Reserved</v>
      </c>
      <c r="B362" s="139" t="s">
        <v>14044</v>
      </c>
      <c r="C362" s="139" t="s">
        <v>14579</v>
      </c>
      <c r="D362" s="139" t="s">
        <v>14580</v>
      </c>
      <c r="E362" s="139"/>
      <c r="F362" s="139">
        <v>1</v>
      </c>
      <c r="G362" s="139" t="s">
        <v>14038</v>
      </c>
      <c r="I362" s="143" t="s">
        <v>14039</v>
      </c>
      <c r="J362" s="64" t="s">
        <v>3838</v>
      </c>
      <c r="K362" s="64" t="s">
        <v>1875</v>
      </c>
      <c r="L362" s="64" t="s">
        <v>7140</v>
      </c>
    </row>
    <row r="363" spans="1:12">
      <c r="A363" s="139" t="str">
        <f t="shared" si="6"/>
        <v>61007-0000 Professional   Accounting</v>
      </c>
      <c r="B363" s="139" t="s">
        <v>14044</v>
      </c>
      <c r="C363" s="139" t="s">
        <v>14581</v>
      </c>
      <c r="D363" s="139" t="s">
        <v>13319</v>
      </c>
      <c r="E363" s="139"/>
      <c r="F363" s="139">
        <v>1</v>
      </c>
      <c r="G363" s="139" t="s">
        <v>14038</v>
      </c>
      <c r="I363" s="143" t="s">
        <v>14039</v>
      </c>
      <c r="J363" s="138" t="s">
        <v>3838</v>
      </c>
      <c r="K363" s="138" t="s">
        <v>1875</v>
      </c>
      <c r="L363" s="138" t="s">
        <v>3847</v>
      </c>
    </row>
    <row r="364" spans="1:12">
      <c r="A364" s="139" t="str">
        <f t="shared" si="6"/>
        <v>61008-0000 Professional  Legal</v>
      </c>
      <c r="B364" s="139" t="s">
        <v>14044</v>
      </c>
      <c r="C364" s="139" t="s">
        <v>14582</v>
      </c>
      <c r="D364" s="139" t="s">
        <v>13395</v>
      </c>
      <c r="E364" s="139"/>
      <c r="F364" s="139">
        <v>1</v>
      </c>
      <c r="G364" s="139" t="s">
        <v>14038</v>
      </c>
      <c r="I364" s="143" t="s">
        <v>14039</v>
      </c>
      <c r="J364" s="138" t="s">
        <v>3838</v>
      </c>
      <c r="K364" s="138" t="s">
        <v>13300</v>
      </c>
      <c r="L364" s="138" t="s">
        <v>13396</v>
      </c>
    </row>
    <row r="365" spans="1:12">
      <c r="A365" s="139" t="str">
        <f t="shared" si="6"/>
        <v>61009-0000 Cash Over-Short</v>
      </c>
      <c r="B365" s="139" t="s">
        <v>14044</v>
      </c>
      <c r="C365" s="139" t="s">
        <v>14583</v>
      </c>
      <c r="D365" s="139" t="s">
        <v>14584</v>
      </c>
      <c r="E365" s="139"/>
      <c r="F365" s="139">
        <v>1</v>
      </c>
      <c r="G365" s="139" t="s">
        <v>14038</v>
      </c>
      <c r="I365" s="143" t="s">
        <v>14039</v>
      </c>
      <c r="J365" s="138" t="s">
        <v>3021</v>
      </c>
      <c r="K365" s="138" t="s">
        <v>3022</v>
      </c>
      <c r="L365" s="138" t="s">
        <v>3023</v>
      </c>
    </row>
    <row r="366" spans="1:12">
      <c r="A366" s="139" t="str">
        <f t="shared" si="6"/>
        <v>61010-0000 Rent Control Fee</v>
      </c>
      <c r="B366" s="139" t="s">
        <v>14044</v>
      </c>
      <c r="C366" s="139" t="s">
        <v>14585</v>
      </c>
      <c r="D366" s="139" t="s">
        <v>12228</v>
      </c>
      <c r="E366" s="139"/>
      <c r="F366" s="139">
        <v>1</v>
      </c>
      <c r="G366" s="139" t="s">
        <v>14038</v>
      </c>
      <c r="I366" s="143" t="s">
        <v>14039</v>
      </c>
      <c r="J366" s="138" t="s">
        <v>3838</v>
      </c>
      <c r="K366" s="138" t="s">
        <v>1875</v>
      </c>
      <c r="L366" s="138" t="s">
        <v>12229</v>
      </c>
    </row>
    <row r="367" spans="1:12">
      <c r="A367" s="139" t="str">
        <f t="shared" si="6"/>
        <v>61011-0000 Taxes  Business</v>
      </c>
      <c r="B367" s="139" t="s">
        <v>14044</v>
      </c>
      <c r="C367" s="139" t="s">
        <v>14586</v>
      </c>
      <c r="D367" s="139" t="s">
        <v>13690</v>
      </c>
      <c r="E367" s="139"/>
      <c r="F367" s="139">
        <v>1</v>
      </c>
      <c r="G367" s="139" t="s">
        <v>14038</v>
      </c>
      <c r="I367" s="143" t="s">
        <v>14039</v>
      </c>
      <c r="J367" s="138" t="s">
        <v>3838</v>
      </c>
      <c r="K367" s="138" t="s">
        <v>1875</v>
      </c>
      <c r="L367" s="138" t="s">
        <v>4200</v>
      </c>
    </row>
    <row r="368" spans="1:12">
      <c r="A368" s="139" t="str">
        <f t="shared" si="6"/>
        <v>61012-0000 Taxes  Property</v>
      </c>
      <c r="B368" s="139" t="s">
        <v>14044</v>
      </c>
      <c r="C368" s="139" t="s">
        <v>14587</v>
      </c>
      <c r="D368" s="139" t="s">
        <v>13321</v>
      </c>
      <c r="E368" s="139"/>
      <c r="F368" s="139">
        <v>1</v>
      </c>
      <c r="G368" s="139" t="s">
        <v>14038</v>
      </c>
      <c r="I368" s="143" t="s">
        <v>14039</v>
      </c>
      <c r="J368" s="138" t="s">
        <v>3838</v>
      </c>
      <c r="K368" s="138" t="s">
        <v>1875</v>
      </c>
      <c r="L368" s="138" t="s">
        <v>3853</v>
      </c>
    </row>
    <row r="369" spans="1:12">
      <c r="A369" s="139" t="str">
        <f t="shared" si="6"/>
        <v>61013-0000 Professional Fee</v>
      </c>
      <c r="B369" s="139" t="s">
        <v>14044</v>
      </c>
      <c r="C369" s="139" t="s">
        <v>14588</v>
      </c>
      <c r="D369" s="139" t="s">
        <v>6204</v>
      </c>
      <c r="E369" s="139"/>
      <c r="F369" s="139">
        <v>1</v>
      </c>
      <c r="G369" s="139" t="s">
        <v>14038</v>
      </c>
      <c r="I369" s="143" t="s">
        <v>14039</v>
      </c>
      <c r="J369" s="138" t="s">
        <v>6205</v>
      </c>
      <c r="K369" s="138" t="s">
        <v>1875</v>
      </c>
      <c r="L369" s="138" t="s">
        <v>3354</v>
      </c>
    </row>
    <row r="370" spans="1:12">
      <c r="A370" s="139" t="str">
        <f t="shared" si="6"/>
        <v>61014-0000 Management Fee  SSRE</v>
      </c>
      <c r="B370" s="139" t="s">
        <v>14044</v>
      </c>
      <c r="C370" s="139" t="s">
        <v>14589</v>
      </c>
      <c r="D370" s="139" t="s">
        <v>13323</v>
      </c>
      <c r="E370" s="139"/>
      <c r="F370" s="139">
        <v>1</v>
      </c>
      <c r="G370" s="139" t="s">
        <v>14038</v>
      </c>
      <c r="I370" s="143" t="s">
        <v>14039</v>
      </c>
      <c r="J370" s="138" t="s">
        <v>3717</v>
      </c>
      <c r="K370" s="138" t="s">
        <v>2871</v>
      </c>
      <c r="L370" s="138" t="s">
        <v>12435</v>
      </c>
    </row>
    <row r="371" spans="1:12">
      <c r="A371" s="139" t="str">
        <f t="shared" si="6"/>
        <v>61015-0000 License - Permit</v>
      </c>
      <c r="B371" s="139" t="s">
        <v>14044</v>
      </c>
      <c r="C371" s="139" t="s">
        <v>14590</v>
      </c>
      <c r="D371" s="139" t="s">
        <v>13325</v>
      </c>
      <c r="E371" s="139"/>
      <c r="F371" s="139">
        <v>1</v>
      </c>
      <c r="G371" s="139" t="s">
        <v>14038</v>
      </c>
      <c r="I371" s="143" t="s">
        <v>14039</v>
      </c>
      <c r="J371" s="138" t="s">
        <v>3838</v>
      </c>
      <c r="K371" s="138" t="s">
        <v>1875</v>
      </c>
      <c r="L371" s="138" t="s">
        <v>3859</v>
      </c>
    </row>
    <row r="372" spans="1:12">
      <c r="A372" s="139" t="str">
        <f t="shared" si="6"/>
        <v>61016-0000 Referral</v>
      </c>
      <c r="B372" s="139" t="s">
        <v>14044</v>
      </c>
      <c r="C372" s="139" t="s">
        <v>14591</v>
      </c>
      <c r="D372" s="139" t="s">
        <v>3861</v>
      </c>
      <c r="E372" s="139"/>
      <c r="F372" s="139">
        <v>1</v>
      </c>
      <c r="G372" s="139" t="s">
        <v>14038</v>
      </c>
      <c r="I372" s="143" t="s">
        <v>14039</v>
      </c>
      <c r="J372" s="138" t="s">
        <v>3838</v>
      </c>
      <c r="K372" s="138" t="s">
        <v>1875</v>
      </c>
      <c r="L372" s="138" t="s">
        <v>3862</v>
      </c>
    </row>
    <row r="373" spans="1:12">
      <c r="A373" s="139" t="str">
        <f t="shared" si="6"/>
        <v>61017-0000 Insurance Expense</v>
      </c>
      <c r="B373" s="139" t="s">
        <v>14044</v>
      </c>
      <c r="C373" s="139" t="s">
        <v>14592</v>
      </c>
      <c r="D373" s="139" t="s">
        <v>13462</v>
      </c>
      <c r="E373" s="139"/>
      <c r="F373" s="139">
        <v>1</v>
      </c>
      <c r="G373" s="139" t="s">
        <v>14038</v>
      </c>
      <c r="I373" s="143" t="s">
        <v>14039</v>
      </c>
      <c r="J373" s="138" t="s">
        <v>3838</v>
      </c>
      <c r="K373" s="138" t="s">
        <v>1875</v>
      </c>
      <c r="L373" s="138" t="s">
        <v>3842</v>
      </c>
    </row>
    <row r="374" spans="1:12">
      <c r="A374" s="139" t="str">
        <f t="shared" si="6"/>
        <v>61021-0000 Rent-Office Exp</v>
      </c>
      <c r="B374" s="139" t="s">
        <v>14044</v>
      </c>
      <c r="C374" s="139" t="s">
        <v>14593</v>
      </c>
      <c r="D374" s="139" t="s">
        <v>14594</v>
      </c>
      <c r="E374" s="139"/>
      <c r="F374" s="139">
        <v>1</v>
      </c>
      <c r="G374" s="139" t="s">
        <v>14038</v>
      </c>
      <c r="I374" s="143" t="s">
        <v>14039</v>
      </c>
      <c r="J374" s="138" t="s">
        <v>3838</v>
      </c>
      <c r="K374" s="138" t="s">
        <v>13300</v>
      </c>
      <c r="L374" s="138" t="s">
        <v>14595</v>
      </c>
    </row>
    <row r="375" spans="1:12">
      <c r="A375" s="139" t="str">
        <f t="shared" si="6"/>
        <v>61022-0000 Software Expenses</v>
      </c>
      <c r="B375" s="139" t="s">
        <v>14044</v>
      </c>
      <c r="C375" s="139" t="s">
        <v>14596</v>
      </c>
      <c r="D375" s="139" t="s">
        <v>4286</v>
      </c>
      <c r="E375" s="139"/>
      <c r="F375" s="139">
        <v>1</v>
      </c>
      <c r="G375" s="139" t="s">
        <v>14038</v>
      </c>
      <c r="I375" s="143" t="s">
        <v>14039</v>
      </c>
      <c r="J375" s="138" t="s">
        <v>3838</v>
      </c>
      <c r="K375" s="138" t="s">
        <v>3300</v>
      </c>
      <c r="L375" s="138" t="s">
        <v>4287</v>
      </c>
    </row>
    <row r="376" spans="1:12">
      <c r="A376" s="139" t="str">
        <f t="shared" si="6"/>
        <v>61023-0000 Outside Services</v>
      </c>
      <c r="B376" s="139" t="s">
        <v>14044</v>
      </c>
      <c r="C376" s="139" t="s">
        <v>14597</v>
      </c>
      <c r="D376" s="139" t="s">
        <v>1873</v>
      </c>
      <c r="E376" s="139"/>
      <c r="F376" s="139">
        <v>1</v>
      </c>
      <c r="G376" s="139" t="s">
        <v>14038</v>
      </c>
      <c r="I376" s="143" t="s">
        <v>14039</v>
      </c>
      <c r="J376" s="138" t="s">
        <v>3838</v>
      </c>
      <c r="K376" s="138" t="s">
        <v>1875</v>
      </c>
      <c r="L376" s="138" t="s">
        <v>1876</v>
      </c>
    </row>
    <row r="377" spans="1:12">
      <c r="A377" s="139" t="str">
        <f t="shared" si="6"/>
        <v>61024-0000 Donations</v>
      </c>
      <c r="B377" s="139" t="s">
        <v>14044</v>
      </c>
      <c r="C377" s="139" t="s">
        <v>14598</v>
      </c>
      <c r="D377" s="139" t="s">
        <v>5854</v>
      </c>
      <c r="E377" s="139"/>
      <c r="F377" s="139">
        <v>1</v>
      </c>
      <c r="G377" s="139" t="s">
        <v>14038</v>
      </c>
      <c r="I377" s="143" t="s">
        <v>14039</v>
      </c>
      <c r="J377" s="138" t="s">
        <v>4426</v>
      </c>
      <c r="K377" s="138" t="s">
        <v>1875</v>
      </c>
      <c r="L377" s="138" t="s">
        <v>5855</v>
      </c>
    </row>
    <row r="378" spans="1:12">
      <c r="A378" s="139" t="str">
        <f t="shared" si="6"/>
        <v>61025-0000 Late Fees</v>
      </c>
      <c r="B378" s="139" t="s">
        <v>14044</v>
      </c>
      <c r="C378" s="139" t="s">
        <v>14599</v>
      </c>
      <c r="D378" s="139" t="s">
        <v>14600</v>
      </c>
      <c r="E378" s="139"/>
      <c r="F378" s="139">
        <v>1</v>
      </c>
      <c r="G378" s="139" t="s">
        <v>14038</v>
      </c>
      <c r="I378" s="143" t="s">
        <v>14039</v>
      </c>
      <c r="J378" s="138" t="s">
        <v>3838</v>
      </c>
      <c r="K378" s="138" t="s">
        <v>1875</v>
      </c>
      <c r="L378" s="138" t="s">
        <v>14600</v>
      </c>
    </row>
    <row r="379" spans="1:9">
      <c r="A379" s="139" t="str">
        <f t="shared" si="6"/>
        <v>69900-9999 TOTAL NONCONTROLLABLE EXPENSES</v>
      </c>
      <c r="B379" s="139" t="s">
        <v>14063</v>
      </c>
      <c r="C379" s="139" t="s">
        <v>14601</v>
      </c>
      <c r="D379" s="139" t="s">
        <v>14602</v>
      </c>
      <c r="E379" s="139"/>
      <c r="F379" s="139">
        <v>1</v>
      </c>
      <c r="G379" s="139" t="s">
        <v>14038</v>
      </c>
      <c r="I379" s="143" t="s">
        <v>14039</v>
      </c>
    </row>
    <row r="380" spans="1:9">
      <c r="A380" s="139" t="str">
        <f t="shared" si="6"/>
        <v>69990-9999 TOTAL OPERATING EXPENSES</v>
      </c>
      <c r="B380" s="139" t="s">
        <v>14063</v>
      </c>
      <c r="C380" s="139" t="s">
        <v>14603</v>
      </c>
      <c r="D380" s="139" t="s">
        <v>14604</v>
      </c>
      <c r="E380" s="139"/>
      <c r="F380" s="139">
        <v>1</v>
      </c>
      <c r="G380" s="139" t="s">
        <v>14038</v>
      </c>
      <c r="I380" s="143" t="s">
        <v>14039</v>
      </c>
    </row>
    <row r="381" spans="1:9">
      <c r="A381" s="139" t="str">
        <f t="shared" si="6"/>
        <v>69999-9999 NET OPERATING INCOME</v>
      </c>
      <c r="B381" s="139" t="s">
        <v>14063</v>
      </c>
      <c r="C381" s="139" t="s">
        <v>14605</v>
      </c>
      <c r="D381" s="139" t="s">
        <v>14419</v>
      </c>
      <c r="E381" s="139"/>
      <c r="F381" s="139">
        <v>1</v>
      </c>
      <c r="G381" s="139" t="s">
        <v>14038</v>
      </c>
      <c r="I381" s="143" t="s">
        <v>14039</v>
      </c>
    </row>
    <row r="382" spans="1:9">
      <c r="A382" s="139" t="str">
        <f t="shared" si="6"/>
        <v>70000-0000 NON OPERATING EXPENSES</v>
      </c>
      <c r="B382" s="139" t="s">
        <v>14035</v>
      </c>
      <c r="C382" s="139" t="s">
        <v>14606</v>
      </c>
      <c r="D382" s="139" t="s">
        <v>14607</v>
      </c>
      <c r="E382" s="139"/>
      <c r="F382" s="139">
        <v>1</v>
      </c>
      <c r="G382" s="139" t="s">
        <v>14038</v>
      </c>
      <c r="I382" s="143" t="s">
        <v>14039</v>
      </c>
    </row>
    <row r="383" spans="1:9">
      <c r="A383" s="139" t="str">
        <f t="shared" si="6"/>
        <v>71000-0000 IMAGE ENHANCEMENT-PM EXPENSES</v>
      </c>
      <c r="B383" s="139" t="s">
        <v>14035</v>
      </c>
      <c r="C383" s="139" t="s">
        <v>14608</v>
      </c>
      <c r="D383" s="139" t="s">
        <v>14609</v>
      </c>
      <c r="E383" s="139"/>
      <c r="F383" s="139">
        <v>1</v>
      </c>
      <c r="G383" s="139" t="s">
        <v>14038</v>
      </c>
      <c r="I383" s="143" t="s">
        <v>14039</v>
      </c>
    </row>
    <row r="384" spans="1:12">
      <c r="A384" s="139" t="str">
        <f t="shared" si="6"/>
        <v>71010-0000 Build Image Enhance</v>
      </c>
      <c r="B384" s="139" t="s">
        <v>14044</v>
      </c>
      <c r="C384" s="139" t="s">
        <v>14610</v>
      </c>
      <c r="D384" s="139" t="s">
        <v>4020</v>
      </c>
      <c r="E384" s="139"/>
      <c r="F384" s="139">
        <v>1</v>
      </c>
      <c r="G384" s="139" t="s">
        <v>14038</v>
      </c>
      <c r="I384" s="143" t="s">
        <v>14039</v>
      </c>
      <c r="J384" s="138" t="s">
        <v>3818</v>
      </c>
      <c r="K384" s="138" t="s">
        <v>4021</v>
      </c>
      <c r="L384" s="138" t="s">
        <v>4022</v>
      </c>
    </row>
    <row r="385" spans="1:12">
      <c r="A385" s="139" t="str">
        <f t="shared" si="6"/>
        <v>71020-0000 PM  Landscape</v>
      </c>
      <c r="B385" s="139" t="s">
        <v>14044</v>
      </c>
      <c r="C385" s="139" t="s">
        <v>14611</v>
      </c>
      <c r="D385" s="139" t="s">
        <v>13328</v>
      </c>
      <c r="E385" s="139"/>
      <c r="F385" s="139">
        <v>1</v>
      </c>
      <c r="G385" s="139" t="s">
        <v>14038</v>
      </c>
      <c r="I385" s="143" t="s">
        <v>14039</v>
      </c>
      <c r="J385" s="138" t="s">
        <v>3818</v>
      </c>
      <c r="K385" s="138" t="s">
        <v>3819</v>
      </c>
      <c r="L385" s="138" t="s">
        <v>3820</v>
      </c>
    </row>
    <row r="386" spans="1:12">
      <c r="A386" s="139" t="str">
        <f t="shared" si="6"/>
        <v>71030-0000 PM  Electrical</v>
      </c>
      <c r="B386" s="139" t="s">
        <v>14044</v>
      </c>
      <c r="C386" s="139" t="s">
        <v>14612</v>
      </c>
      <c r="D386" s="139" t="s">
        <v>13330</v>
      </c>
      <c r="E386" s="139"/>
      <c r="F386" s="139">
        <v>1</v>
      </c>
      <c r="G386" s="139"/>
      <c r="I386" s="143" t="s">
        <v>14039</v>
      </c>
      <c r="J386" s="138" t="s">
        <v>3818</v>
      </c>
      <c r="K386" s="138" t="s">
        <v>3819</v>
      </c>
      <c r="L386" s="138" t="s">
        <v>3823</v>
      </c>
    </row>
    <row r="387" spans="1:12">
      <c r="A387" s="139" t="str">
        <f t="shared" ref="A387:A413" si="7">C387&amp;" "&amp;D387</f>
        <v>71040-0000 PM  Plumbing</v>
      </c>
      <c r="B387" s="139" t="s">
        <v>14044</v>
      </c>
      <c r="C387" s="139" t="s">
        <v>14613</v>
      </c>
      <c r="D387" s="139" t="s">
        <v>13332</v>
      </c>
      <c r="E387" s="139"/>
      <c r="F387" s="139">
        <v>1</v>
      </c>
      <c r="G387" s="139"/>
      <c r="I387" s="143" t="s">
        <v>14039</v>
      </c>
      <c r="J387" s="138" t="s">
        <v>3818</v>
      </c>
      <c r="K387" s="138" t="s">
        <v>3819</v>
      </c>
      <c r="L387" s="138" t="s">
        <v>3826</v>
      </c>
    </row>
    <row r="388" spans="1:12">
      <c r="A388" s="139" t="str">
        <f t="shared" si="7"/>
        <v>71050-0000 PM  Gate</v>
      </c>
      <c r="B388" s="139" t="s">
        <v>14044</v>
      </c>
      <c r="C388" s="139" t="s">
        <v>14614</v>
      </c>
      <c r="D388" s="139" t="s">
        <v>13334</v>
      </c>
      <c r="E388" s="139"/>
      <c r="F388" s="139">
        <v>1</v>
      </c>
      <c r="G388" s="139" t="s">
        <v>14038</v>
      </c>
      <c r="I388" s="143" t="s">
        <v>14039</v>
      </c>
      <c r="J388" s="138" t="s">
        <v>3818</v>
      </c>
      <c r="K388" s="138" t="s">
        <v>3819</v>
      </c>
      <c r="L388" s="138" t="s">
        <v>4028</v>
      </c>
    </row>
    <row r="389" spans="1:12">
      <c r="A389" s="139" t="str">
        <f t="shared" si="7"/>
        <v>71060-0000 PM  General</v>
      </c>
      <c r="B389" s="139" t="s">
        <v>14044</v>
      </c>
      <c r="C389" s="139" t="s">
        <v>14615</v>
      </c>
      <c r="D389" s="139" t="s">
        <v>13336</v>
      </c>
      <c r="E389" s="139"/>
      <c r="F389" s="139">
        <v>1</v>
      </c>
      <c r="G389" s="139" t="s">
        <v>14038</v>
      </c>
      <c r="I389" s="143" t="s">
        <v>14039</v>
      </c>
      <c r="J389" s="138" t="s">
        <v>3818</v>
      </c>
      <c r="K389" s="138" t="s">
        <v>3819</v>
      </c>
      <c r="L389" s="138" t="s">
        <v>3829</v>
      </c>
    </row>
    <row r="390" spans="1:12">
      <c r="A390" s="139" t="str">
        <f t="shared" si="7"/>
        <v>71070-0000 PM  Rent Ready</v>
      </c>
      <c r="B390" s="139" t="s">
        <v>14044</v>
      </c>
      <c r="C390" s="139" t="s">
        <v>14616</v>
      </c>
      <c r="D390" s="139" t="s">
        <v>13338</v>
      </c>
      <c r="E390" s="139"/>
      <c r="F390" s="139">
        <v>1</v>
      </c>
      <c r="G390" s="139" t="s">
        <v>14038</v>
      </c>
      <c r="I390" s="143" t="s">
        <v>14039</v>
      </c>
      <c r="J390" s="138" t="s">
        <v>3818</v>
      </c>
      <c r="K390" s="138" t="s">
        <v>3819</v>
      </c>
      <c r="L390" s="138" t="s">
        <v>3832</v>
      </c>
    </row>
    <row r="391" spans="1:12">
      <c r="A391" s="139" t="str">
        <f t="shared" si="7"/>
        <v>71080-0000 PM  Pool</v>
      </c>
      <c r="B391" s="139" t="s">
        <v>14044</v>
      </c>
      <c r="C391" s="139" t="s">
        <v>14617</v>
      </c>
      <c r="D391" s="139" t="s">
        <v>13340</v>
      </c>
      <c r="E391" s="139"/>
      <c r="F391" s="139">
        <v>1</v>
      </c>
      <c r="G391" s="139" t="s">
        <v>14038</v>
      </c>
      <c r="I391" s="143" t="s">
        <v>14039</v>
      </c>
      <c r="J391" s="138" t="s">
        <v>3818</v>
      </c>
      <c r="K391" s="138" t="s">
        <v>3819</v>
      </c>
      <c r="L391" s="138" t="s">
        <v>3835</v>
      </c>
    </row>
    <row r="392" spans="1:12">
      <c r="A392" s="139" t="str">
        <f t="shared" si="7"/>
        <v>71090-0000 PM  Roof</v>
      </c>
      <c r="B392" s="139" t="s">
        <v>14044</v>
      </c>
      <c r="C392" s="139" t="s">
        <v>14618</v>
      </c>
      <c r="D392" s="139" t="s">
        <v>13529</v>
      </c>
      <c r="E392" s="139"/>
      <c r="F392" s="139">
        <v>1</v>
      </c>
      <c r="G392" s="139" t="s">
        <v>14038</v>
      </c>
      <c r="I392" s="143" t="s">
        <v>14039</v>
      </c>
      <c r="J392" s="138" t="s">
        <v>3818</v>
      </c>
      <c r="K392" s="138" t="s">
        <v>3819</v>
      </c>
      <c r="L392" s="138" t="s">
        <v>4352</v>
      </c>
    </row>
    <row r="393" spans="1:12">
      <c r="A393" s="139" t="str">
        <f t="shared" si="7"/>
        <v>71100-0000 RR  Painting</v>
      </c>
      <c r="B393" s="139" t="s">
        <v>14044</v>
      </c>
      <c r="C393" s="139" t="s">
        <v>14619</v>
      </c>
      <c r="D393" s="139" t="s">
        <v>13342</v>
      </c>
      <c r="E393" s="139"/>
      <c r="F393" s="139">
        <v>1</v>
      </c>
      <c r="G393" s="139" t="s">
        <v>14038</v>
      </c>
      <c r="I393" s="143" t="s">
        <v>14039</v>
      </c>
      <c r="J393" s="138" t="s">
        <v>3769</v>
      </c>
      <c r="K393" s="138" t="s">
        <v>1875</v>
      </c>
      <c r="L393" s="138" t="s">
        <v>3776</v>
      </c>
    </row>
    <row r="394" spans="1:12">
      <c r="A394" s="139" t="str">
        <f t="shared" si="7"/>
        <v>71110-0000 RR  Unit Rennovations</v>
      </c>
      <c r="B394" s="139" t="s">
        <v>14044</v>
      </c>
      <c r="C394" s="139" t="s">
        <v>14620</v>
      </c>
      <c r="D394" s="139" t="s">
        <v>13344</v>
      </c>
      <c r="E394" s="139"/>
      <c r="F394" s="139">
        <v>1</v>
      </c>
      <c r="G394" s="139" t="s">
        <v>14038</v>
      </c>
      <c r="I394" s="143" t="s">
        <v>14039</v>
      </c>
      <c r="J394" s="138" t="s">
        <v>3769</v>
      </c>
      <c r="K394" s="138" t="s">
        <v>1875</v>
      </c>
      <c r="L394" s="138" t="s">
        <v>3779</v>
      </c>
    </row>
    <row r="395" spans="1:9">
      <c r="A395" s="139" t="str">
        <f t="shared" si="7"/>
        <v>72990-9999 TOTAL IMAGE ENHANCEMENT/PM EXPENSES</v>
      </c>
      <c r="B395" s="139" t="s">
        <v>14063</v>
      </c>
      <c r="C395" s="139" t="s">
        <v>14621</v>
      </c>
      <c r="D395" s="139" t="s">
        <v>14622</v>
      </c>
      <c r="E395" s="139"/>
      <c r="F395" s="139">
        <v>1</v>
      </c>
      <c r="G395" s="139" t="s">
        <v>14038</v>
      </c>
      <c r="I395" s="143" t="s">
        <v>14039</v>
      </c>
    </row>
    <row r="396" spans="1:12">
      <c r="A396" s="139" t="str">
        <f t="shared" si="7"/>
        <v>73101-0000 Write-Off</v>
      </c>
      <c r="B396" s="139" t="s">
        <v>14044</v>
      </c>
      <c r="C396" s="139" t="s">
        <v>14623</v>
      </c>
      <c r="D396" s="139" t="s">
        <v>14624</v>
      </c>
      <c r="E396" s="139"/>
      <c r="F396" s="139">
        <v>1</v>
      </c>
      <c r="G396" s="139" t="s">
        <v>14038</v>
      </c>
      <c r="I396" s="143" t="s">
        <v>14039</v>
      </c>
      <c r="J396" s="138" t="s">
        <v>3694</v>
      </c>
      <c r="K396" s="138" t="s">
        <v>2871</v>
      </c>
      <c r="L396" s="138" t="s">
        <v>3701</v>
      </c>
    </row>
    <row r="397" spans="1:12">
      <c r="A397" s="139" t="str">
        <f t="shared" si="7"/>
        <v>73103-0000 Recovery from Past Resident</v>
      </c>
      <c r="B397" s="139" t="s">
        <v>14044</v>
      </c>
      <c r="C397" s="139" t="s">
        <v>14625</v>
      </c>
      <c r="D397" s="139" t="s">
        <v>14626</v>
      </c>
      <c r="E397" s="139"/>
      <c r="F397" s="139">
        <v>1</v>
      </c>
      <c r="G397" s="139" t="s">
        <v>14038</v>
      </c>
      <c r="I397" s="143" t="s">
        <v>14039</v>
      </c>
      <c r="J397" s="138" t="s">
        <v>3694</v>
      </c>
      <c r="K397" s="138" t="s">
        <v>2871</v>
      </c>
      <c r="L397" s="138" t="s">
        <v>3701</v>
      </c>
    </row>
    <row r="398" spans="1:12">
      <c r="A398" s="139" t="str">
        <f t="shared" si="7"/>
        <v>73105-0000 Recovery from Collection Agency</v>
      </c>
      <c r="B398" s="139" t="s">
        <v>14044</v>
      </c>
      <c r="C398" s="139" t="s">
        <v>14627</v>
      </c>
      <c r="D398" s="139" t="s">
        <v>14628</v>
      </c>
      <c r="E398" s="139"/>
      <c r="F398" s="139">
        <v>1</v>
      </c>
      <c r="G398" s="139" t="s">
        <v>14038</v>
      </c>
      <c r="I398" s="143" t="s">
        <v>14039</v>
      </c>
      <c r="J398" s="138" t="s">
        <v>3694</v>
      </c>
      <c r="K398" s="138" t="s">
        <v>2871</v>
      </c>
      <c r="L398" s="138" t="s">
        <v>3701</v>
      </c>
    </row>
    <row r="399" spans="1:9">
      <c r="A399" s="139" t="str">
        <f t="shared" si="7"/>
        <v>73990-9999 TOTAL WRITE-OFF AND RECOVERY</v>
      </c>
      <c r="B399" s="139" t="s">
        <v>14063</v>
      </c>
      <c r="C399" s="139" t="s">
        <v>14629</v>
      </c>
      <c r="D399" s="139" t="s">
        <v>14630</v>
      </c>
      <c r="E399" s="139"/>
      <c r="F399" s="139">
        <v>1</v>
      </c>
      <c r="G399" s="139" t="s">
        <v>14038</v>
      </c>
      <c r="I399" s="143" t="s">
        <v>14039</v>
      </c>
    </row>
    <row r="400" spans="1:9">
      <c r="A400" s="139" t="str">
        <f t="shared" si="7"/>
        <v>80000-0000 INTEREST TAX DEPR-AMORT-OFFICE SALARY</v>
      </c>
      <c r="B400" s="139" t="s">
        <v>14035</v>
      </c>
      <c r="C400" s="139" t="s">
        <v>14631</v>
      </c>
      <c r="D400" s="139" t="s">
        <v>14632</v>
      </c>
      <c r="E400" s="139"/>
      <c r="F400" s="139">
        <v>1</v>
      </c>
      <c r="G400" s="139" t="s">
        <v>14241</v>
      </c>
      <c r="I400" s="143" t="s">
        <v>14039</v>
      </c>
    </row>
    <row r="401" spans="1:12">
      <c r="A401" s="139" t="str">
        <f t="shared" si="7"/>
        <v>80006-0000 Interest Expense</v>
      </c>
      <c r="B401" s="139" t="s">
        <v>14044</v>
      </c>
      <c r="C401" s="139" t="s">
        <v>14633</v>
      </c>
      <c r="D401" s="139" t="s">
        <v>3325</v>
      </c>
      <c r="E401" s="139"/>
      <c r="F401" s="139">
        <v>1</v>
      </c>
      <c r="G401" s="139" t="s">
        <v>14038</v>
      </c>
      <c r="I401" s="143" t="s">
        <v>14039</v>
      </c>
      <c r="J401" s="138" t="s">
        <v>3326</v>
      </c>
      <c r="K401" s="138" t="s">
        <v>3327</v>
      </c>
      <c r="L401" s="138" t="s">
        <v>3328</v>
      </c>
    </row>
    <row r="402" spans="1:12">
      <c r="A402" s="139" t="str">
        <f t="shared" si="7"/>
        <v>80061-0000 Interest  Related Cohen</v>
      </c>
      <c r="B402" s="139" t="s">
        <v>14044</v>
      </c>
      <c r="C402" s="139" t="s">
        <v>14634</v>
      </c>
      <c r="D402" s="146" t="s">
        <v>14635</v>
      </c>
      <c r="E402" s="139"/>
      <c r="F402" s="139">
        <v>1</v>
      </c>
      <c r="G402" s="139"/>
      <c r="I402" s="143" t="s">
        <v>14039</v>
      </c>
      <c r="J402" s="138" t="s">
        <v>3326</v>
      </c>
      <c r="K402" s="138" t="s">
        <v>13300</v>
      </c>
      <c r="L402" s="138" t="s">
        <v>3328</v>
      </c>
    </row>
    <row r="403" spans="1:12">
      <c r="A403" s="139" t="str">
        <f t="shared" si="7"/>
        <v>81019-0000 Taxes  CA FTB</v>
      </c>
      <c r="B403" s="139" t="s">
        <v>14044</v>
      </c>
      <c r="C403" s="139" t="s">
        <v>14636</v>
      </c>
      <c r="D403" s="146" t="s">
        <v>13347</v>
      </c>
      <c r="E403" s="139"/>
      <c r="F403" s="139">
        <v>1</v>
      </c>
      <c r="G403" s="139"/>
      <c r="I403" s="143" t="s">
        <v>14039</v>
      </c>
      <c r="J403" s="138" t="s">
        <v>3844</v>
      </c>
      <c r="K403" s="138" t="s">
        <v>3378</v>
      </c>
      <c r="L403" s="138" t="s">
        <v>4042</v>
      </c>
    </row>
    <row r="404" spans="1:12">
      <c r="A404" s="139" t="str">
        <f t="shared" si="7"/>
        <v>81220-0000 Officer Salary</v>
      </c>
      <c r="B404" s="139" t="s">
        <v>14044</v>
      </c>
      <c r="C404" s="139" t="s">
        <v>14637</v>
      </c>
      <c r="D404" s="146" t="s">
        <v>14638</v>
      </c>
      <c r="E404" s="139"/>
      <c r="F404" s="139">
        <v>1</v>
      </c>
      <c r="G404" s="139"/>
      <c r="I404" s="143" t="s">
        <v>14039</v>
      </c>
      <c r="J404" s="138" t="s">
        <v>4490</v>
      </c>
      <c r="K404" s="138" t="s">
        <v>13300</v>
      </c>
      <c r="L404" s="138" t="s">
        <v>4491</v>
      </c>
    </row>
    <row r="405" spans="1:12">
      <c r="A405" s="139" t="str">
        <f t="shared" si="7"/>
        <v>81228-0000 Other Expenses</v>
      </c>
      <c r="B405" s="139" t="s">
        <v>14044</v>
      </c>
      <c r="C405" s="139" t="s">
        <v>14639</v>
      </c>
      <c r="D405" s="146" t="s">
        <v>3864</v>
      </c>
      <c r="E405" s="139"/>
      <c r="F405" s="139">
        <v>1</v>
      </c>
      <c r="G405" s="139"/>
      <c r="I405" s="143" t="s">
        <v>14039</v>
      </c>
      <c r="J405" s="138" t="s">
        <v>3838</v>
      </c>
      <c r="K405" s="138" t="s">
        <v>3865</v>
      </c>
      <c r="L405" s="138" t="s">
        <v>3866</v>
      </c>
    </row>
    <row r="406" spans="1:12">
      <c r="A406" s="139" t="str">
        <f t="shared" si="7"/>
        <v>81400-0000 Legal Settlement</v>
      </c>
      <c r="B406" s="136" t="s">
        <v>14044</v>
      </c>
      <c r="C406" s="136" t="s">
        <v>14640</v>
      </c>
      <c r="D406" s="136" t="s">
        <v>5158</v>
      </c>
      <c r="F406" s="136">
        <v>1</v>
      </c>
      <c r="I406" s="143" t="s">
        <v>14039</v>
      </c>
      <c r="J406" s="138" t="s">
        <v>3326</v>
      </c>
      <c r="K406" s="138" t="s">
        <v>5159</v>
      </c>
      <c r="L406" s="138" t="s">
        <v>5160</v>
      </c>
    </row>
    <row r="407" spans="1:12">
      <c r="A407" s="139" t="str">
        <f t="shared" si="7"/>
        <v>82900-0000 Gain-Loss on Disp</v>
      </c>
      <c r="B407" s="136" t="s">
        <v>14044</v>
      </c>
      <c r="C407" s="136" t="s">
        <v>14641</v>
      </c>
      <c r="D407" s="136" t="s">
        <v>14642</v>
      </c>
      <c r="F407" s="136">
        <v>1</v>
      </c>
      <c r="I407" s="143" t="s">
        <v>14039</v>
      </c>
      <c r="J407" s="138" t="s">
        <v>14642</v>
      </c>
      <c r="K407" s="138" t="s">
        <v>13300</v>
      </c>
      <c r="L407" s="138" t="s">
        <v>14642</v>
      </c>
    </row>
    <row r="408" spans="1:12">
      <c r="A408" s="139" t="str">
        <f t="shared" si="7"/>
        <v>85500-0000 Depreciation Expense</v>
      </c>
      <c r="B408" s="136" t="s">
        <v>14044</v>
      </c>
      <c r="C408" s="136" t="s">
        <v>14643</v>
      </c>
      <c r="D408" s="136" t="s">
        <v>14644</v>
      </c>
      <c r="F408" s="136">
        <v>1</v>
      </c>
      <c r="I408" s="143" t="s">
        <v>14039</v>
      </c>
      <c r="J408" s="138" t="s">
        <v>3326</v>
      </c>
      <c r="K408" s="138" t="s">
        <v>13894</v>
      </c>
      <c r="L408" s="138" t="s">
        <v>3326</v>
      </c>
    </row>
    <row r="409" spans="1:12">
      <c r="A409" s="139" t="str">
        <f t="shared" si="7"/>
        <v>85700-0000 Amortization Expense</v>
      </c>
      <c r="B409" s="136" t="s">
        <v>14044</v>
      </c>
      <c r="C409" s="136" t="s">
        <v>14645</v>
      </c>
      <c r="D409" s="136" t="s">
        <v>14646</v>
      </c>
      <c r="F409" s="136">
        <v>1</v>
      </c>
      <c r="I409" s="143" t="s">
        <v>14039</v>
      </c>
      <c r="J409" s="138" t="s">
        <v>14646</v>
      </c>
      <c r="K409" s="138" t="s">
        <v>13300</v>
      </c>
      <c r="L409" s="138" t="s">
        <v>14646</v>
      </c>
    </row>
    <row r="410" spans="1:9">
      <c r="A410" s="139" t="str">
        <f t="shared" si="7"/>
        <v>89900-9999 TOTAL INTEREST TAX DEPR-AMORT-OFFICE SALARY</v>
      </c>
      <c r="B410" s="136" t="s">
        <v>14063</v>
      </c>
      <c r="C410" s="136" t="s">
        <v>14647</v>
      </c>
      <c r="D410" s="136" t="s">
        <v>14648</v>
      </c>
      <c r="F410" s="136">
        <v>1</v>
      </c>
      <c r="I410" s="143" t="s">
        <v>14039</v>
      </c>
    </row>
    <row r="411" spans="1:9">
      <c r="A411" s="139" t="str">
        <f t="shared" si="7"/>
        <v>89990-9999 TOTAL NONOPERATING EXPENSES</v>
      </c>
      <c r="B411" s="136" t="s">
        <v>14063</v>
      </c>
      <c r="C411" s="136" t="s">
        <v>14649</v>
      </c>
      <c r="D411" s="136" t="s">
        <v>14650</v>
      </c>
      <c r="F411" s="136">
        <v>1</v>
      </c>
      <c r="I411" s="143" t="s">
        <v>14039</v>
      </c>
    </row>
    <row r="412" spans="1:9">
      <c r="A412" s="139" t="str">
        <f t="shared" si="7"/>
        <v>89999-9999 TOTAL NET INCOME</v>
      </c>
      <c r="B412" s="136" t="s">
        <v>14063</v>
      </c>
      <c r="C412" s="136" t="s">
        <v>14651</v>
      </c>
      <c r="D412" s="136" t="s">
        <v>14652</v>
      </c>
      <c r="F412" s="136">
        <v>1</v>
      </c>
      <c r="I412" s="143" t="s">
        <v>14039</v>
      </c>
    </row>
    <row r="413" spans="1:9">
      <c r="A413" s="139" t="str">
        <f t="shared" si="7"/>
        <v>99999-9999 TOTAL OF ALL</v>
      </c>
      <c r="B413" s="136" t="s">
        <v>14063</v>
      </c>
      <c r="C413" s="136" t="s">
        <v>14653</v>
      </c>
      <c r="D413" s="136" t="s">
        <v>14654</v>
      </c>
      <c r="F413" s="136">
        <v>0</v>
      </c>
      <c r="I413" s="143" t="s">
        <v>14039</v>
      </c>
    </row>
  </sheetData>
  <autoFilter ref="A2:L413"/>
  <pageMargins left="0.7" right="0.7" top="0.75" bottom="0.75" header="0.3" footer="0.3"/>
  <pageSetup horizontalDpi="300" orientation="portrait" paperSize="1" useFirstPageNumber="true" verticalDpi="300"/>
  <headerFooter/>
</worksheet>
</file>

<file path=xl/worksheets/sheet5.xml><?xml version="1.0" encoding="utf-8"?>
<worksheet>
  <sheetViews>
    <sheetView workbookViewId="0"/>
  </sheetViews>
  <sheetData/>
</worksheet>
</file>

<file path=xl/worksheets/sheet6.xml><?xml version="1.0" encoding="utf-8"?>
<worksheet>
  <sheetViews>
    <sheetView workbookViewId="0"/>
  </sheetViews>
  <sheetData/>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O187"/>
  <sheetViews>
    <sheetView workbookViewId="0">
      <pane activePane="bottomLeft" state="frozen" topLeftCell="A2" ySplit="1"/>
      <selection/>
      <selection activeCell="L2" pane="bottomLeft" sqref="L2"/>
    </sheetView>
  </sheetViews>
  <sheetFormatPr defaultColWidth="9" defaultRowHeight="15"/>
  <cols>
    <col customWidth="true" max="1" min="1" width="9.66"/>
    <col customWidth="true" max="3" min="3" width="37.44"/>
    <col customWidth="true" max="4" min="4" width="19.8866666666667"/>
    <col customWidth="true" max="5" min="5" width="15.8933333333333"/>
    <col customWidth="true" max="6" min="6" width="11.44"/>
    <col customWidth="true" max="7" min="7" style="103" width="4.11333333333333"/>
    <col customWidth="true" max="8" min="8" style="104" width="17.6733333333333"/>
    <col customWidth="true" max="9" min="9" style="105" width="16"/>
    <col customWidth="true" max="10" min="10" style="105" width="21.3266666666667"/>
    <col customWidth="true" max="12" min="12" style="106" width="13.1066666666667"/>
    <col customWidth="true" max="13" min="13" style="106" width="16.3266666666667"/>
    <col customWidth="true" max="14" min="14" width="10.66"/>
    <col customWidth="true" max="1024" min="1024" width="9.14"/>
  </cols>
  <sheetData>
    <row r="1" spans="1:15" ht="14.25" customHeight="true">
      <c r="A1" s="68" t="s">
        <v>31248</v>
      </c>
      <c r="B1" s="68" t="s">
        <v>31249</v>
      </c>
      <c r="C1" s="68" t="s">
        <v>31250</v>
      </c>
      <c r="D1" s="68" t="s">
        <v>31251</v>
      </c>
      <c r="E1" s="68" t="s">
        <v>13768</v>
      </c>
      <c r="F1" s="68" t="s">
        <v>14660</v>
      </c>
      <c r="H1" s="107" t="s">
        <v>31252</v>
      </c>
      <c r="I1" s="107" t="s">
        <v>31253</v>
      </c>
      <c r="J1" s="107" t="s">
        <v>31254</v>
      </c>
      <c r="K1" s="32"/>
      <c r="L1" s="110" t="s">
        <v>31251</v>
      </c>
      <c r="M1" s="110" t="s">
        <v>2</v>
      </c>
      <c r="N1" s="107" t="s">
        <v>31255</v>
      </c>
      <c r="O1" s="68"/>
    </row>
    <row r="2" spans="1:14" ht="14.25" customHeight="true">
      <c r="A2" t="s">
        <v>31256</v>
      </c>
      <c r="B2" t="s">
        <v>31257</v>
      </c>
      <c r="C2" t="s">
        <v>31258</v>
      </c>
      <c r="D2">
        <v>1002000543</v>
      </c>
      <c r="E2" t="s">
        <v>31259</v>
      </c>
      <c r="F2" s="108">
        <v>66157.56</v>
      </c>
      <c r="H2" s="109">
        <f>IFERROR(HLOOKUP(D2,'BR Details 05-2023'!$6:$9,4,FALSE),0)</f>
        <v>66157.56</v>
      </c>
      <c r="I2" s="105">
        <f t="shared" ref="I2:I65" si="0">+F2-H2</f>
        <v>0</v>
      </c>
      <c r="J2" s="105">
        <f>+VLOOKUP(D2,L:N,3,FALSE())-H2</f>
        <v>0</v>
      </c>
      <c r="L2" s="106">
        <v>748032380</v>
      </c>
      <c r="M2" s="106" t="s">
        <v>761</v>
      </c>
      <c r="N2">
        <f>+VLOOKUP(M2,'BS-Details'!D:K,8,FALSE())</f>
        <v>40117.42</v>
      </c>
    </row>
    <row r="3" spans="1:14" ht="14.25" customHeight="true">
      <c r="A3" t="s">
        <v>31256</v>
      </c>
      <c r="B3" t="s">
        <v>31257</v>
      </c>
      <c r="C3" t="s">
        <v>31260</v>
      </c>
      <c r="D3">
        <v>1001000551</v>
      </c>
      <c r="E3" t="s">
        <v>31259</v>
      </c>
      <c r="F3">
        <v>51430.9</v>
      </c>
      <c r="H3" s="109">
        <f>IFERROR(HLOOKUP(D3,'BR Details 05-2023'!$6:$9,4,FALSE),0)</f>
        <v>51430.9</v>
      </c>
      <c r="I3" s="105">
        <f t="shared" si="0"/>
        <v>0</v>
      </c>
      <c r="J3" s="105">
        <f>+VLOOKUP(D3,L:N,3,FALSE())-H3</f>
        <v>-34891.83</v>
      </c>
      <c r="L3" s="106">
        <v>748032364</v>
      </c>
      <c r="M3" s="106" t="s">
        <v>758</v>
      </c>
      <c r="N3">
        <f>+VLOOKUP(M3,'BS-Details'!D:K,8,FALSE())</f>
        <v>-29442.85</v>
      </c>
    </row>
    <row r="4" spans="1:14" ht="14.25" customHeight="true">
      <c r="A4" t="s">
        <v>31256</v>
      </c>
      <c r="B4" t="s">
        <v>31257</v>
      </c>
      <c r="C4" t="s">
        <v>31261</v>
      </c>
      <c r="D4">
        <v>1002000568</v>
      </c>
      <c r="E4" t="s">
        <v>31259</v>
      </c>
      <c r="F4" s="108">
        <v>837644.31</v>
      </c>
      <c r="H4" s="109">
        <f>IFERROR(HLOOKUP(D4,'BR Details 05-2023'!$6:$9,4,FALSE),0)</f>
        <v>837644.31</v>
      </c>
      <c r="I4" s="105">
        <f t="shared" si="0"/>
        <v>0</v>
      </c>
      <c r="J4" s="105">
        <f>+VLOOKUP(D4,L:N,3,FALSE())-H4</f>
        <v>2991.02999999991</v>
      </c>
      <c r="L4" s="106">
        <v>748032372</v>
      </c>
      <c r="M4" s="106" t="s">
        <v>759</v>
      </c>
      <c r="N4">
        <f>+VLOOKUP(M4,'BS-Details'!D:K,8,FALSE())</f>
        <v>-29403.52</v>
      </c>
    </row>
    <row r="5" spans="1:14" ht="14.25" customHeight="true">
      <c r="A5" t="s">
        <v>31256</v>
      </c>
      <c r="B5" t="s">
        <v>31257</v>
      </c>
      <c r="C5" t="s">
        <v>31262</v>
      </c>
      <c r="D5">
        <v>1002000576</v>
      </c>
      <c r="E5" t="s">
        <v>31259</v>
      </c>
      <c r="F5" s="108">
        <v>1423094.83</v>
      </c>
      <c r="H5" s="109">
        <f>IFERROR(HLOOKUP(D5,'BR Details 05-2023'!$6:$9,4,FALSE),0)</f>
        <v>1423094.83</v>
      </c>
      <c r="I5" s="105">
        <f t="shared" si="0"/>
        <v>0</v>
      </c>
      <c r="J5" s="105">
        <f>+VLOOKUP(D5,L:N,3,FALSE())-H5</f>
        <v>0</v>
      </c>
      <c r="L5" s="106">
        <v>748032331</v>
      </c>
      <c r="M5" s="106" t="s">
        <v>1400</v>
      </c>
      <c r="N5">
        <f>+VLOOKUP(M5,'BS-Details'!D:K,8,FALSE())</f>
        <v>-18152.02</v>
      </c>
    </row>
    <row r="6" spans="1:14" ht="14.25" customHeight="true">
      <c r="A6" t="s">
        <v>31256</v>
      </c>
      <c r="B6" t="s">
        <v>31257</v>
      </c>
      <c r="C6" t="s">
        <v>31263</v>
      </c>
      <c r="D6">
        <v>1002000584</v>
      </c>
      <c r="E6" t="s">
        <v>31259</v>
      </c>
      <c r="F6">
        <v>116045.49</v>
      </c>
      <c r="H6" s="109">
        <f>IFERROR(HLOOKUP(D6,'BR Details 05-2023'!$6:$9,4,FALSE),0)</f>
        <v>116045.49</v>
      </c>
      <c r="I6" s="105">
        <f t="shared" si="0"/>
        <v>0</v>
      </c>
      <c r="J6" s="105">
        <f>+VLOOKUP(D6,L:N,3,FALSE())-H6</f>
        <v>-2780980.62</v>
      </c>
      <c r="L6" s="106">
        <v>748032315</v>
      </c>
      <c r="M6" s="106" t="s">
        <v>1399</v>
      </c>
      <c r="N6">
        <f>+VLOOKUP(M6,'BS-Details'!D:K,8,FALSE())</f>
        <v>-13263.96</v>
      </c>
    </row>
    <row r="7" spans="1:14" ht="14.25" customHeight="true">
      <c r="A7" t="s">
        <v>31256</v>
      </c>
      <c r="B7" t="s">
        <v>31257</v>
      </c>
      <c r="C7" t="s">
        <v>31264</v>
      </c>
      <c r="D7">
        <v>1001000619</v>
      </c>
      <c r="E7" t="s">
        <v>31259</v>
      </c>
      <c r="F7" s="108">
        <v>42009.59</v>
      </c>
      <c r="H7" s="109">
        <f>IFERROR(HLOOKUP(D7,'BR Details 05-2023'!$6:$9,4,FALSE),0)</f>
        <v>42009.59</v>
      </c>
      <c r="I7" s="105">
        <f t="shared" si="0"/>
        <v>0</v>
      </c>
      <c r="J7" s="105">
        <f>+VLOOKUP(D7,L:N,3,FALSE())-H7</f>
        <v>-56090.3</v>
      </c>
      <c r="L7" s="106">
        <v>748032323</v>
      </c>
      <c r="M7" s="106" t="s">
        <v>30880</v>
      </c>
      <c r="N7">
        <f>+VLOOKUP(M7,'BS-Details'!D:K,8,FALSE())</f>
        <v>-7732.72</v>
      </c>
    </row>
    <row r="8" spans="1:14" ht="14.25" customHeight="true">
      <c r="A8" t="s">
        <v>31256</v>
      </c>
      <c r="B8" t="s">
        <v>31257</v>
      </c>
      <c r="C8" t="s">
        <v>31265</v>
      </c>
      <c r="D8">
        <v>1001001518</v>
      </c>
      <c r="E8" t="s">
        <v>31259</v>
      </c>
      <c r="F8" s="108">
        <v>44319.54</v>
      </c>
      <c r="H8" s="109">
        <f>IFERROR(HLOOKUP(D8,'BR Details 05-2023'!$6:$9,4,FALSE),0)</f>
        <v>0</v>
      </c>
      <c r="I8" s="105">
        <f t="shared" si="0"/>
        <v>44319.54</v>
      </c>
      <c r="J8" s="105" t="e">
        <f>+VLOOKUP(D8,L:N,3,FALSE())-H8</f>
        <v>#N/A</v>
      </c>
      <c r="L8" s="106">
        <v>0</v>
      </c>
      <c r="M8" s="106" t="s">
        <v>8485</v>
      </c>
      <c r="N8">
        <f>+VLOOKUP(M8,'BS-Details'!D:K,8,FALSE())</f>
        <v>-69187.57</v>
      </c>
    </row>
    <row r="9" spans="1:14" ht="14.25" customHeight="true">
      <c r="A9" t="s">
        <v>31256</v>
      </c>
      <c r="B9" t="s">
        <v>31257</v>
      </c>
      <c r="C9" t="s">
        <v>31266</v>
      </c>
      <c r="D9">
        <v>1001001534</v>
      </c>
      <c r="E9" t="s">
        <v>31259</v>
      </c>
      <c r="F9" s="108">
        <v>28399.33</v>
      </c>
      <c r="H9" s="109">
        <f>IFERROR(HLOOKUP(D9,'BR Details 05-2023'!$6:$9,4,FALSE),0)</f>
        <v>0</v>
      </c>
      <c r="I9" s="105">
        <f t="shared" si="0"/>
        <v>28399.33</v>
      </c>
      <c r="J9" s="105" t="e">
        <f>+VLOOKUP(D9,L:N,3,FALSE())-H9</f>
        <v>#N/A</v>
      </c>
      <c r="L9" s="106">
        <v>748032414</v>
      </c>
      <c r="M9" s="106" t="s">
        <v>2126</v>
      </c>
      <c r="N9">
        <f>+VLOOKUP(M9,'BS-Details'!D:K,8,FALSE())</f>
        <v>95254.22</v>
      </c>
    </row>
    <row r="10" spans="1:14" ht="14.25" customHeight="true">
      <c r="A10" t="s">
        <v>31256</v>
      </c>
      <c r="B10" t="s">
        <v>31257</v>
      </c>
      <c r="C10" t="s">
        <v>31267</v>
      </c>
      <c r="D10">
        <v>1001001716</v>
      </c>
      <c r="E10" t="s">
        <v>31259</v>
      </c>
      <c r="F10" s="108">
        <v>32719.13</v>
      </c>
      <c r="H10" s="109">
        <f>IFERROR(HLOOKUP(D10,'BR Details 05-2023'!$6:$9,4,FALSE),0)</f>
        <v>32719.13</v>
      </c>
      <c r="I10" s="105">
        <f t="shared" si="0"/>
        <v>0</v>
      </c>
      <c r="J10" s="105">
        <f>+VLOOKUP(D10,L:N,3,FALSE())-H10</f>
        <v>-16244.77</v>
      </c>
      <c r="L10" s="106">
        <v>748032398</v>
      </c>
      <c r="M10" s="106" t="s">
        <v>2125</v>
      </c>
      <c r="N10">
        <f>+VLOOKUP(M10,'BS-Details'!D:K,8,FALSE())</f>
        <v>1613633.72</v>
      </c>
    </row>
    <row r="11" spans="1:14" ht="14.25" customHeight="true">
      <c r="A11" t="s">
        <v>31256</v>
      </c>
      <c r="B11" t="s">
        <v>31257</v>
      </c>
      <c r="C11" t="s">
        <v>31268</v>
      </c>
      <c r="D11">
        <v>1001002912</v>
      </c>
      <c r="E11" t="s">
        <v>31259</v>
      </c>
      <c r="F11" s="108">
        <v>3553.72</v>
      </c>
      <c r="H11" s="109">
        <f>IFERROR(HLOOKUP(D11,'BR Details 05-2023'!$6:$9,4,FALSE),0)</f>
        <v>3553.72</v>
      </c>
      <c r="I11" s="105">
        <f t="shared" si="0"/>
        <v>0</v>
      </c>
      <c r="J11" s="105">
        <f>+VLOOKUP(D11,L:N,3,FALSE())-H11</f>
        <v>52240.54</v>
      </c>
      <c r="L11" s="106">
        <v>59701540</v>
      </c>
      <c r="M11" s="106" t="s">
        <v>2127</v>
      </c>
      <c r="N11">
        <f>+VLOOKUP(M11,'BS-Details'!D:K,8,FALSE())</f>
        <v>34</v>
      </c>
    </row>
    <row r="12" spans="1:14" ht="14.25" customHeight="true">
      <c r="A12" t="s">
        <v>31256</v>
      </c>
      <c r="B12" t="s">
        <v>31257</v>
      </c>
      <c r="C12" t="s">
        <v>31269</v>
      </c>
      <c r="D12">
        <v>1001003175</v>
      </c>
      <c r="E12" t="s">
        <v>31259</v>
      </c>
      <c r="F12">
        <v>27429.89</v>
      </c>
      <c r="H12" s="109">
        <f>IFERROR(HLOOKUP(D12,'BR Details 05-2023'!$6:$9,4,FALSE),0)</f>
        <v>27429.89</v>
      </c>
      <c r="I12" s="105">
        <f t="shared" si="0"/>
        <v>0</v>
      </c>
      <c r="J12" s="105">
        <f>+VLOOKUP(D12,L:N,3,FALSE())-H12</f>
        <v>21278.62</v>
      </c>
      <c r="L12" s="106">
        <v>24547612</v>
      </c>
      <c r="M12" s="106" t="s">
        <v>8483</v>
      </c>
      <c r="N12" t="e">
        <f>+VLOOKUP(M12,'BS-Details'!D:K,8,FALSE())</f>
        <v>#N/A</v>
      </c>
    </row>
    <row r="13" spans="1:14" ht="14.25" customHeight="true">
      <c r="A13" t="s">
        <v>31256</v>
      </c>
      <c r="B13" t="s">
        <v>31257</v>
      </c>
      <c r="C13" t="s">
        <v>31270</v>
      </c>
      <c r="D13">
        <v>1001003225</v>
      </c>
      <c r="E13" t="s">
        <v>31259</v>
      </c>
      <c r="F13" s="108">
        <v>23082</v>
      </c>
      <c r="H13" s="109">
        <f>IFERROR(HLOOKUP(D13,'BR Details 05-2023'!$6:$9,4,FALSE),0)</f>
        <v>23082</v>
      </c>
      <c r="I13" s="105">
        <f t="shared" si="0"/>
        <v>0</v>
      </c>
      <c r="J13" s="105">
        <f>+VLOOKUP(D13,L:N,3,FALSE())-H13</f>
        <v>20981.49</v>
      </c>
      <c r="L13" s="106">
        <v>1002000568</v>
      </c>
      <c r="M13" s="106" t="s">
        <v>2129</v>
      </c>
      <c r="N13">
        <f>+VLOOKUP(M13,'BS-Details'!D:K,8,FALSE())</f>
        <v>840635.34</v>
      </c>
    </row>
    <row r="14" spans="1:14" ht="14.25" customHeight="true">
      <c r="A14" t="s">
        <v>31256</v>
      </c>
      <c r="B14" t="s">
        <v>31257</v>
      </c>
      <c r="C14" t="s">
        <v>31271</v>
      </c>
      <c r="D14">
        <v>1001003233</v>
      </c>
      <c r="E14" t="s">
        <v>31259</v>
      </c>
      <c r="F14" s="108">
        <v>5272.27</v>
      </c>
      <c r="H14" s="109">
        <f>IFERROR(HLOOKUP(D14,'BR Details 05-2023'!$6:$9,4,FALSE),0)</f>
        <v>0</v>
      </c>
      <c r="I14" s="105">
        <f t="shared" si="0"/>
        <v>5272.27</v>
      </c>
      <c r="J14" s="105">
        <f>+VLOOKUP(D14,L:N,3,FALSE())-H14</f>
        <v>-935.95</v>
      </c>
      <c r="L14" s="106">
        <v>748015229</v>
      </c>
      <c r="M14" s="106" t="s">
        <v>2521</v>
      </c>
      <c r="N14">
        <f>+VLOOKUP(M14,'BS-Details'!D:K,8,FALSE())</f>
        <v>-20505.74</v>
      </c>
    </row>
    <row r="15" spans="1:14" ht="14.25" customHeight="true">
      <c r="A15" t="s">
        <v>31256</v>
      </c>
      <c r="B15" t="s">
        <v>31257</v>
      </c>
      <c r="C15" t="s">
        <v>31272</v>
      </c>
      <c r="D15">
        <v>1001003274</v>
      </c>
      <c r="E15" t="s">
        <v>31259</v>
      </c>
      <c r="F15">
        <v>166313.91</v>
      </c>
      <c r="H15" s="109">
        <f>IFERROR(HLOOKUP(D15,'BR Details 05-2023'!$6:$9,4,FALSE),0)</f>
        <v>166313.91</v>
      </c>
      <c r="I15" s="105">
        <f t="shared" si="0"/>
        <v>0</v>
      </c>
      <c r="J15" s="105">
        <f>+VLOOKUP(D15,L:N,3,FALSE())-H15</f>
        <v>-166313.91</v>
      </c>
      <c r="L15" s="106">
        <v>748015237</v>
      </c>
      <c r="M15" s="106" t="s">
        <v>2520</v>
      </c>
      <c r="N15">
        <f>+VLOOKUP(M15,'BS-Details'!D:K,8,FALSE())</f>
        <v>-13762.15</v>
      </c>
    </row>
    <row r="16" spans="1:14" ht="14.25" customHeight="true">
      <c r="A16" t="s">
        <v>31256</v>
      </c>
      <c r="B16" t="s">
        <v>31257</v>
      </c>
      <c r="C16" t="s">
        <v>31273</v>
      </c>
      <c r="D16">
        <v>1001003373</v>
      </c>
      <c r="E16" t="s">
        <v>31259</v>
      </c>
      <c r="F16" s="108">
        <v>5828.43</v>
      </c>
      <c r="H16" s="109">
        <f>IFERROR(HLOOKUP(D16,'BR Details 05-2023'!$6:$9,4,FALSE),0)</f>
        <v>5828.43</v>
      </c>
      <c r="I16" s="105">
        <f t="shared" si="0"/>
        <v>0</v>
      </c>
      <c r="J16" s="105">
        <f>+VLOOKUP(D16,L:N,3,FALSE())-H16</f>
        <v>4423.02</v>
      </c>
      <c r="L16" s="106">
        <v>748015260</v>
      </c>
      <c r="M16" s="106" t="s">
        <v>12234</v>
      </c>
      <c r="N16">
        <f>+VLOOKUP(M16,'BS-Details'!D:K,8,FALSE())</f>
        <v>-73.56</v>
      </c>
    </row>
    <row r="17" spans="1:14" ht="14.25" customHeight="true">
      <c r="A17" t="s">
        <v>31256</v>
      </c>
      <c r="B17" t="s">
        <v>31257</v>
      </c>
      <c r="C17" t="s">
        <v>31273</v>
      </c>
      <c r="D17">
        <v>1001003381</v>
      </c>
      <c r="E17" t="s">
        <v>31259</v>
      </c>
      <c r="F17">
        <v>1563.76</v>
      </c>
      <c r="H17" s="109">
        <f>IFERROR(HLOOKUP(D17,'BR Details 05-2023'!$6:$9,4,FALSE),0)</f>
        <v>1563.76</v>
      </c>
      <c r="I17" s="105">
        <f t="shared" si="0"/>
        <v>0</v>
      </c>
      <c r="J17" s="105">
        <f>+VLOOKUP(D17,L:N,3,FALSE())-H17</f>
        <v>-12268.47</v>
      </c>
      <c r="L17" s="106">
        <v>51834794</v>
      </c>
      <c r="M17" s="106" t="s">
        <v>2522</v>
      </c>
      <c r="N17">
        <f>+VLOOKUP(M17,'BS-Details'!D:K,8,FALSE())</f>
        <v>-179024.04</v>
      </c>
    </row>
    <row r="18" spans="1:14" ht="14.25" customHeight="true">
      <c r="A18" t="s">
        <v>31256</v>
      </c>
      <c r="B18" t="s">
        <v>31257</v>
      </c>
      <c r="C18" t="s">
        <v>31274</v>
      </c>
      <c r="D18">
        <v>1001003399</v>
      </c>
      <c r="E18" t="s">
        <v>31259</v>
      </c>
      <c r="F18">
        <v>16687.57</v>
      </c>
      <c r="H18" s="109">
        <f>IFERROR(HLOOKUP(D18,'BR Details 05-2023'!$6:$9,4,FALSE),0)</f>
        <v>16687.57</v>
      </c>
      <c r="I18" s="105">
        <f t="shared" si="0"/>
        <v>0</v>
      </c>
      <c r="J18" s="105">
        <f>+VLOOKUP(D18,L:N,3,FALSE())-H18</f>
        <v>-4723.65</v>
      </c>
      <c r="L18" s="106">
        <v>27931733</v>
      </c>
      <c r="M18" s="106" t="s">
        <v>30996</v>
      </c>
      <c r="N18">
        <f>+VLOOKUP(M18,'BS-Details'!D:K,8,FALSE())</f>
        <v>0</v>
      </c>
    </row>
    <row r="19" spans="1:14" ht="14.25" customHeight="true">
      <c r="A19" t="s">
        <v>31256</v>
      </c>
      <c r="B19" t="s">
        <v>31257</v>
      </c>
      <c r="C19" t="s">
        <v>31275</v>
      </c>
      <c r="D19">
        <v>1001003415</v>
      </c>
      <c r="E19" t="s">
        <v>31259</v>
      </c>
      <c r="F19">
        <v>18775.38</v>
      </c>
      <c r="H19" s="109">
        <f>IFERROR(HLOOKUP(D19,'BR Details 05-2023'!$6:$9,4,FALSE),0)</f>
        <v>18775.38</v>
      </c>
      <c r="I19" s="105">
        <f t="shared" si="0"/>
        <v>0</v>
      </c>
      <c r="J19" s="105">
        <f>+VLOOKUP(D19,L:N,3,FALSE())-H19</f>
        <v>13597.03</v>
      </c>
      <c r="L19" s="106">
        <v>53564399</v>
      </c>
      <c r="M19" s="106" t="s">
        <v>1229</v>
      </c>
      <c r="N19">
        <f>+VLOOKUP(M19,'BS-Details'!D:K,8,FALSE())</f>
        <v>-876.19</v>
      </c>
    </row>
    <row r="20" spans="1:14" ht="14.25" customHeight="true">
      <c r="A20" t="s">
        <v>31256</v>
      </c>
      <c r="B20" t="s">
        <v>31257</v>
      </c>
      <c r="C20" t="s">
        <v>31275</v>
      </c>
      <c r="D20">
        <v>1001003423</v>
      </c>
      <c r="E20" t="s">
        <v>31259</v>
      </c>
      <c r="F20">
        <v>5369.29</v>
      </c>
      <c r="H20" s="109">
        <f>IFERROR(HLOOKUP(D20,'BR Details 05-2023'!$6:$9,4,FALSE),0)</f>
        <v>5369.29</v>
      </c>
      <c r="I20" s="105">
        <f t="shared" si="0"/>
        <v>0</v>
      </c>
      <c r="J20" s="105">
        <f>+VLOOKUP(D20,L:N,3,FALSE())-H20</f>
        <v>-21020.82</v>
      </c>
      <c r="L20" s="106">
        <v>26843912</v>
      </c>
      <c r="M20" s="106" t="s">
        <v>1227</v>
      </c>
      <c r="N20">
        <f>+VLOOKUP(M20,'BS-Details'!D:K,8,FALSE())</f>
        <v>-722.63</v>
      </c>
    </row>
    <row r="21" spans="1:14" ht="14.25" customHeight="true">
      <c r="A21" t="s">
        <v>31256</v>
      </c>
      <c r="B21" t="s">
        <v>31257</v>
      </c>
      <c r="C21" t="s">
        <v>31276</v>
      </c>
      <c r="D21">
        <v>1001003498</v>
      </c>
      <c r="E21" t="s">
        <v>31259</v>
      </c>
      <c r="F21" s="108">
        <v>47269.03</v>
      </c>
      <c r="H21" s="109">
        <f>IFERROR(HLOOKUP(D21,'BR Details 05-2023'!$6:$9,4,FALSE),0)</f>
        <v>47269.03</v>
      </c>
      <c r="I21" s="105">
        <f t="shared" si="0"/>
        <v>0</v>
      </c>
      <c r="J21" s="105">
        <f>+VLOOKUP(D21,L:N,3,FALSE())-H21</f>
        <v>-109453.99</v>
      </c>
      <c r="L21" s="106">
        <v>33540278</v>
      </c>
      <c r="M21" s="106" t="s">
        <v>1228</v>
      </c>
      <c r="N21">
        <f>+VLOOKUP(M21,'BS-Details'!D:K,8,FALSE())</f>
        <v>5864.98</v>
      </c>
    </row>
    <row r="22" spans="1:14" ht="14.25" customHeight="true">
      <c r="A22" t="s">
        <v>31256</v>
      </c>
      <c r="B22" t="s">
        <v>31277</v>
      </c>
      <c r="C22" t="s">
        <v>31278</v>
      </c>
      <c r="D22">
        <v>14176875</v>
      </c>
      <c r="E22" t="s">
        <v>31279</v>
      </c>
      <c r="F22" s="108">
        <v>73090.45</v>
      </c>
      <c r="H22" s="109">
        <f>IFERROR(HLOOKUP(D22,'BR Details 05-2023'!$6:$9,4,FALSE),0)</f>
        <v>73090.45</v>
      </c>
      <c r="I22" s="105">
        <f t="shared" si="0"/>
        <v>0</v>
      </c>
      <c r="J22" s="105">
        <f>+VLOOKUP(D22,L:N,3,FALSE())-H22</f>
        <v>-9278.93</v>
      </c>
      <c r="L22" s="106">
        <v>325134112992</v>
      </c>
      <c r="M22" s="106" t="s">
        <v>30873</v>
      </c>
      <c r="N22">
        <f>+VLOOKUP(M22,'BS-Details'!D:K,8,FALSE())</f>
        <v>65</v>
      </c>
    </row>
    <row r="23" spans="1:14" ht="14.25" customHeight="true">
      <c r="A23" t="s">
        <v>31256</v>
      </c>
      <c r="B23" t="s">
        <v>31277</v>
      </c>
      <c r="C23" t="s">
        <v>31280</v>
      </c>
      <c r="D23">
        <v>25065334</v>
      </c>
      <c r="E23" t="s">
        <v>31279</v>
      </c>
      <c r="F23">
        <v>120821.63</v>
      </c>
      <c r="H23" s="109">
        <f>IFERROR(HLOOKUP(D23,'BR Details 05-2023'!$6:$9,4,FALSE),0)</f>
        <v>120821.63</v>
      </c>
      <c r="I23" s="105">
        <f t="shared" si="0"/>
        <v>0</v>
      </c>
      <c r="J23" s="105">
        <f>+VLOOKUP(D23,L:N,3,FALSE())-H23</f>
        <v>925.25</v>
      </c>
      <c r="L23" s="106">
        <v>325134112989</v>
      </c>
      <c r="M23" s="106" t="s">
        <v>30869</v>
      </c>
      <c r="N23">
        <f>+VLOOKUP(M23,'BS-Details'!D:K,8,FALSE())</f>
        <v>20140.23</v>
      </c>
    </row>
    <row r="24" spans="1:14" ht="14.25" customHeight="true">
      <c r="A24" t="s">
        <v>31256</v>
      </c>
      <c r="B24" t="s">
        <v>31277</v>
      </c>
      <c r="C24" t="s">
        <v>31281</v>
      </c>
      <c r="D24">
        <v>25069633</v>
      </c>
      <c r="E24" t="s">
        <v>31279</v>
      </c>
      <c r="F24" s="108">
        <v>15212.52</v>
      </c>
      <c r="H24" s="109">
        <f>IFERROR(HLOOKUP(D24,'BR Details 05-2023'!$6:$9,4,FALSE),0)</f>
        <v>15212.52</v>
      </c>
      <c r="I24" s="105">
        <f t="shared" si="0"/>
        <v>0</v>
      </c>
      <c r="J24" s="105">
        <f>+VLOOKUP(D24,L:N,3,FALSE())-H24</f>
        <v>-998.860000000001</v>
      </c>
      <c r="L24" s="106">
        <v>325134113001</v>
      </c>
      <c r="M24" s="106" t="s">
        <v>30871</v>
      </c>
      <c r="N24">
        <f>+VLOOKUP(M24,'BS-Details'!D:K,8,FALSE())</f>
        <v>-3009.04</v>
      </c>
    </row>
    <row r="25" spans="1:14" ht="14.25" customHeight="true">
      <c r="A25" t="s">
        <v>31256</v>
      </c>
      <c r="B25" t="s">
        <v>31277</v>
      </c>
      <c r="C25" t="s">
        <v>31282</v>
      </c>
      <c r="D25">
        <v>25084368</v>
      </c>
      <c r="E25" t="s">
        <v>31279</v>
      </c>
      <c r="F25" s="108">
        <v>7586.11</v>
      </c>
      <c r="H25" s="109">
        <f>IFERROR(HLOOKUP(D25,'BR Details 05-2023'!$6:$9,4,FALSE),0)</f>
        <v>7586.11</v>
      </c>
      <c r="I25" s="105">
        <f t="shared" si="0"/>
        <v>0</v>
      </c>
      <c r="J25" s="105">
        <f>+VLOOKUP(D25,L:N,3,FALSE())-H25</f>
        <v>-2709.33</v>
      </c>
      <c r="L25" s="106">
        <v>30249789</v>
      </c>
      <c r="M25" s="106" t="s">
        <v>23</v>
      </c>
      <c r="N25">
        <f>+VLOOKUP(M25,'BS-Details'!D:K,8,FALSE())</f>
        <v>232572.73</v>
      </c>
    </row>
    <row r="26" spans="1:14" ht="14.25" customHeight="true">
      <c r="A26" t="s">
        <v>31256</v>
      </c>
      <c r="B26" t="s">
        <v>31277</v>
      </c>
      <c r="C26" t="s">
        <v>31283</v>
      </c>
      <c r="D26">
        <v>25304139</v>
      </c>
      <c r="E26" t="s">
        <v>31279</v>
      </c>
      <c r="F26" s="108">
        <v>1798.58</v>
      </c>
      <c r="H26" s="109">
        <f>IFERROR(HLOOKUP(D26,'BR Details 05-2023'!$6:$9,4,FALSE),0)</f>
        <v>1798.58</v>
      </c>
      <c r="I26" s="105">
        <f t="shared" si="0"/>
        <v>0</v>
      </c>
      <c r="J26" s="105">
        <f>+VLOOKUP(D26,L:N,3,FALSE())-H26</f>
        <v>0</v>
      </c>
      <c r="L26" s="106">
        <v>1002000576</v>
      </c>
      <c r="M26" s="106" t="s">
        <v>30</v>
      </c>
      <c r="N26">
        <f>+VLOOKUP(M26,'BS-Details'!D:K,8,FALSE())</f>
        <v>1423094.83</v>
      </c>
    </row>
    <row r="27" spans="1:14" ht="14.25" customHeight="true">
      <c r="A27" t="s">
        <v>31256</v>
      </c>
      <c r="B27" t="s">
        <v>31277</v>
      </c>
      <c r="C27" t="s">
        <v>31284</v>
      </c>
      <c r="D27">
        <v>26459321</v>
      </c>
      <c r="E27" t="s">
        <v>31279</v>
      </c>
      <c r="F27" s="108">
        <v>16727.2</v>
      </c>
      <c r="H27" s="109">
        <f>IFERROR(HLOOKUP(D27,'BR Details 05-2023'!$6:$9,4,FALSE),0)</f>
        <v>16727.2</v>
      </c>
      <c r="I27" s="105">
        <f t="shared" si="0"/>
        <v>0</v>
      </c>
      <c r="J27" s="105">
        <f>+VLOOKUP(D27,L:N,3,FALSE())-H27</f>
        <v>16380.45</v>
      </c>
      <c r="L27" s="106">
        <v>30282681</v>
      </c>
      <c r="M27" s="106" t="s">
        <v>26</v>
      </c>
      <c r="N27">
        <f>+VLOOKUP(M27,'BS-Details'!D:K,8,FALSE())</f>
        <v>86540</v>
      </c>
    </row>
    <row r="28" spans="1:14" ht="14.25" customHeight="true">
      <c r="A28" t="s">
        <v>31256</v>
      </c>
      <c r="B28" t="s">
        <v>31277</v>
      </c>
      <c r="C28" t="s">
        <v>31285</v>
      </c>
      <c r="D28">
        <v>26690883</v>
      </c>
      <c r="E28" t="s">
        <v>31279</v>
      </c>
      <c r="F28">
        <v>67126.53</v>
      </c>
      <c r="H28" s="109">
        <f>IFERROR(HLOOKUP(D28,'BR Details 05-2023'!$6:$9,4,FALSE),0)</f>
        <v>67126.53</v>
      </c>
      <c r="I28" s="105">
        <f t="shared" si="0"/>
        <v>0</v>
      </c>
      <c r="J28" s="105">
        <f>+VLOOKUP(D28,L:N,3,FALSE())-H28</f>
        <v>-21319.31</v>
      </c>
      <c r="L28" s="106">
        <v>748032703</v>
      </c>
      <c r="M28" s="106" t="s">
        <v>165</v>
      </c>
      <c r="N28">
        <f>+VLOOKUP(M28,'BS-Details'!D:K,8,FALSE())</f>
        <v>-60279.34</v>
      </c>
    </row>
    <row r="29" spans="1:14" ht="14.25" customHeight="true">
      <c r="A29" t="s">
        <v>31256</v>
      </c>
      <c r="B29" t="s">
        <v>31277</v>
      </c>
      <c r="C29" t="s">
        <v>31286</v>
      </c>
      <c r="D29">
        <v>27607358</v>
      </c>
      <c r="E29" t="s">
        <v>31279</v>
      </c>
      <c r="F29" s="108">
        <v>41467.04</v>
      </c>
      <c r="H29" s="109">
        <f>IFERROR(HLOOKUP(D29,'BR Details 05-2023'!$6:$9,4,FALSE),0)</f>
        <v>41467.04</v>
      </c>
      <c r="I29" s="105">
        <f t="shared" si="0"/>
        <v>0</v>
      </c>
      <c r="J29" s="105">
        <f>+VLOOKUP(D29,L:N,3,FALSE())-H29</f>
        <v>-2062.72</v>
      </c>
      <c r="L29" s="106">
        <v>30311274</v>
      </c>
      <c r="M29" s="106" t="s">
        <v>166</v>
      </c>
      <c r="N29">
        <f>+VLOOKUP(M29,'BS-Details'!D:K,8,FALSE())</f>
        <v>69739.4</v>
      </c>
    </row>
    <row r="30" spans="1:14" ht="14.25" customHeight="true">
      <c r="A30" t="s">
        <v>31256</v>
      </c>
      <c r="B30" t="s">
        <v>31277</v>
      </c>
      <c r="C30" t="s">
        <v>31287</v>
      </c>
      <c r="D30">
        <v>30249789</v>
      </c>
      <c r="E30" t="s">
        <v>31279</v>
      </c>
      <c r="F30">
        <v>303275.7</v>
      </c>
      <c r="H30" s="109">
        <f>IFERROR(HLOOKUP(D30,'BR Details 05-2023'!$6:$9,4,FALSE),0)</f>
        <v>303275.7</v>
      </c>
      <c r="I30" s="105">
        <f t="shared" si="0"/>
        <v>0</v>
      </c>
      <c r="J30" s="105">
        <f>+VLOOKUP(D30,L:N,3,FALSE())-H30</f>
        <v>-70702.97</v>
      </c>
      <c r="L30" s="106">
        <v>203081093</v>
      </c>
      <c r="M30" s="106" t="s">
        <v>167</v>
      </c>
      <c r="N30">
        <f>+VLOOKUP(M30,'BS-Details'!D:K,8,FALSE())</f>
        <v>1750.14</v>
      </c>
    </row>
    <row r="31" spans="1:14" ht="14.25" customHeight="true">
      <c r="A31" t="s">
        <v>31256</v>
      </c>
      <c r="B31" t="s">
        <v>31277</v>
      </c>
      <c r="C31" t="s">
        <v>31288</v>
      </c>
      <c r="D31">
        <v>30270074</v>
      </c>
      <c r="E31" t="s">
        <v>31279</v>
      </c>
      <c r="F31" s="108">
        <v>148664.98</v>
      </c>
      <c r="H31" s="109">
        <f>IFERROR(HLOOKUP(D31,'BR Details 05-2023'!$6:$9,4,FALSE),0)</f>
        <v>148664.98</v>
      </c>
      <c r="I31" s="105">
        <f t="shared" si="0"/>
        <v>0</v>
      </c>
      <c r="J31" s="105">
        <f>+VLOOKUP(D31,L:N,3,FALSE())-H31</f>
        <v>-190044.25</v>
      </c>
      <c r="L31" s="106">
        <v>4040011298</v>
      </c>
      <c r="M31" s="106" t="s">
        <v>31289</v>
      </c>
      <c r="N31" t="e">
        <f>+VLOOKUP(M31,'BS-Details'!D:K,8,FALSE())</f>
        <v>#N/A</v>
      </c>
    </row>
    <row r="32" spans="1:14" ht="14.25" customHeight="true">
      <c r="A32" t="s">
        <v>31256</v>
      </c>
      <c r="B32" t="s">
        <v>31277</v>
      </c>
      <c r="C32" t="s">
        <v>31290</v>
      </c>
      <c r="D32">
        <v>30282681</v>
      </c>
      <c r="E32" t="s">
        <v>31279</v>
      </c>
      <c r="F32" s="108">
        <v>0</v>
      </c>
      <c r="H32" s="109">
        <f>IFERROR(HLOOKUP(D32,'BR Details 05-2023'!$6:$9,4,FALSE),0)</f>
        <v>0</v>
      </c>
      <c r="I32" s="105">
        <f t="shared" si="0"/>
        <v>0</v>
      </c>
      <c r="J32" s="105">
        <f>+VLOOKUP(D32,L:N,3,FALSE())-H32</f>
        <v>86540</v>
      </c>
      <c r="L32" s="106">
        <v>4040011306</v>
      </c>
      <c r="M32" s="106" t="s">
        <v>31291</v>
      </c>
      <c r="N32" t="e">
        <f>+VLOOKUP(M32,'BS-Details'!D:K,8,FALSE())</f>
        <v>#N/A</v>
      </c>
    </row>
    <row r="33" spans="1:14" ht="14.25" customHeight="true">
      <c r="A33" t="s">
        <v>31256</v>
      </c>
      <c r="B33" t="s">
        <v>31277</v>
      </c>
      <c r="C33" t="s">
        <v>31292</v>
      </c>
      <c r="D33">
        <v>30311274</v>
      </c>
      <c r="E33" t="s">
        <v>31279</v>
      </c>
      <c r="F33" s="108">
        <v>0</v>
      </c>
      <c r="H33" s="109">
        <f>IFERROR(HLOOKUP(D33,'BR Details 05-2023'!$6:$9,4,FALSE),0)</f>
        <v>0</v>
      </c>
      <c r="I33" s="105">
        <f t="shared" si="0"/>
        <v>0</v>
      </c>
      <c r="J33" s="105">
        <f>+VLOOKUP(D33,L:N,3,FALSE())-H33</f>
        <v>69739.4</v>
      </c>
      <c r="L33" s="106">
        <v>4040012122</v>
      </c>
      <c r="M33" s="106" t="s">
        <v>31293</v>
      </c>
      <c r="N33" t="e">
        <f>+VLOOKUP(M33,'BS-Details'!D:K,8,FALSE())</f>
        <v>#N/A</v>
      </c>
    </row>
    <row r="34" spans="1:14" ht="14.25" customHeight="true">
      <c r="A34" t="s">
        <v>31256</v>
      </c>
      <c r="B34" t="s">
        <v>31277</v>
      </c>
      <c r="C34" t="s">
        <v>31294</v>
      </c>
      <c r="D34">
        <v>54731476</v>
      </c>
      <c r="E34" t="s">
        <v>31279</v>
      </c>
      <c r="F34">
        <v>22234.57</v>
      </c>
      <c r="H34" s="109">
        <f>IFERROR(HLOOKUP(D34,'BR Details 05-2023'!$6:$9,4,FALSE),0)</f>
        <v>22234.57</v>
      </c>
      <c r="I34" s="105">
        <f t="shared" si="0"/>
        <v>0</v>
      </c>
      <c r="J34" s="105">
        <f>+VLOOKUP(D34,L:N,3,FALSE())-H34</f>
        <v>0</v>
      </c>
      <c r="L34" s="106">
        <v>4040012130</v>
      </c>
      <c r="M34" s="106" t="s">
        <v>31295</v>
      </c>
      <c r="N34" t="e">
        <f>+VLOOKUP(M34,'BS-Details'!D:K,8,FALSE())</f>
        <v>#N/A</v>
      </c>
    </row>
    <row r="35" spans="1:14" ht="14.25" customHeight="true">
      <c r="A35" t="s">
        <v>31256</v>
      </c>
      <c r="B35" t="s">
        <v>31277</v>
      </c>
      <c r="C35" t="s">
        <v>31296</v>
      </c>
      <c r="D35">
        <v>56550486</v>
      </c>
      <c r="E35" t="s">
        <v>31279</v>
      </c>
      <c r="F35" s="108">
        <v>4.98</v>
      </c>
      <c r="H35" s="109">
        <f>IFERROR(HLOOKUP(D35,'BR Details 05-2023'!$6:$9,4,FALSE),0)</f>
        <v>0</v>
      </c>
      <c r="I35" s="105">
        <f t="shared" si="0"/>
        <v>4.98</v>
      </c>
      <c r="J35" s="105">
        <f>+VLOOKUP(D35,L:N,3,FALSE())-H35</f>
        <v>-40144.59</v>
      </c>
      <c r="L35" s="106">
        <v>748000619</v>
      </c>
      <c r="M35" s="106" t="s">
        <v>978</v>
      </c>
      <c r="N35">
        <f>+VLOOKUP(M35,'BS-Details'!D:K,8,FALSE())</f>
        <v>-210.42</v>
      </c>
    </row>
    <row r="36" spans="1:14" ht="14.25" customHeight="true">
      <c r="A36" t="s">
        <v>31256</v>
      </c>
      <c r="B36" t="s">
        <v>31277</v>
      </c>
      <c r="C36" t="s">
        <v>31297</v>
      </c>
      <c r="D36">
        <v>65662355</v>
      </c>
      <c r="E36" t="s">
        <v>31279</v>
      </c>
      <c r="F36">
        <v>0</v>
      </c>
      <c r="H36" s="109">
        <f>IFERROR(HLOOKUP(D36,'BR Details 05-2023'!$6:$9,4,FALSE),0)</f>
        <v>0</v>
      </c>
      <c r="I36" s="105">
        <f t="shared" si="0"/>
        <v>0</v>
      </c>
      <c r="J36" s="105">
        <f>+VLOOKUP(D36,L:N,3,FALSE())-H36</f>
        <v>35519.46</v>
      </c>
      <c r="L36" s="106">
        <v>0</v>
      </c>
      <c r="M36" s="106" t="s">
        <v>31298</v>
      </c>
      <c r="N36" t="e">
        <f>+VLOOKUP(M36,'BS-Details'!D:K,8,FALSE())</f>
        <v>#N/A</v>
      </c>
    </row>
    <row r="37" spans="1:14" ht="14.25" customHeight="true">
      <c r="A37" t="s">
        <v>31256</v>
      </c>
      <c r="B37" t="s">
        <v>31277</v>
      </c>
      <c r="C37" t="s">
        <v>31299</v>
      </c>
      <c r="D37">
        <v>32839282</v>
      </c>
      <c r="E37" t="s">
        <v>31279</v>
      </c>
      <c r="F37" s="108">
        <v>22652.59</v>
      </c>
      <c r="H37" s="109">
        <f>IFERROR(HLOOKUP(D37,'BR Details 05-2023'!$6:$9,4,FALSE),0)</f>
        <v>22652.59</v>
      </c>
      <c r="I37" s="105">
        <f t="shared" si="0"/>
        <v>0</v>
      </c>
      <c r="J37" s="105">
        <f>+VLOOKUP(D37,L:N,3,FALSE())-H37</f>
        <v>-181604.53</v>
      </c>
      <c r="L37" s="106">
        <v>1002000543</v>
      </c>
      <c r="M37" s="106" t="s">
        <v>979</v>
      </c>
      <c r="N37">
        <f>+VLOOKUP(M37,'BS-Details'!D:K,8,FALSE())</f>
        <v>66157.56</v>
      </c>
    </row>
    <row r="38" spans="1:14" ht="14.25" customHeight="true">
      <c r="A38" t="s">
        <v>31256</v>
      </c>
      <c r="B38" t="s">
        <v>31277</v>
      </c>
      <c r="C38" t="s">
        <v>31300</v>
      </c>
      <c r="D38">
        <v>32845339</v>
      </c>
      <c r="E38" t="s">
        <v>31279</v>
      </c>
      <c r="F38" s="108">
        <v>7278.2</v>
      </c>
      <c r="H38" s="109">
        <f>IFERROR(HLOOKUP(D38,'BR Details 05-2023'!$6:$9,4,FALSE),0)</f>
        <v>7278.2</v>
      </c>
      <c r="I38" s="105">
        <f t="shared" si="0"/>
        <v>0</v>
      </c>
      <c r="J38" s="105">
        <f>+VLOOKUP(D38,L:N,3,FALSE())-H38</f>
        <v>-1035.21</v>
      </c>
      <c r="L38" s="106">
        <v>748032349</v>
      </c>
      <c r="M38" s="106" t="s">
        <v>1119</v>
      </c>
      <c r="N38">
        <f>+VLOOKUP(M38,'BS-Details'!D:K,8,FALSE())</f>
        <v>-117892.35</v>
      </c>
    </row>
    <row r="39" spans="1:14" ht="14.25" customHeight="true">
      <c r="A39" t="s">
        <v>31256</v>
      </c>
      <c r="B39" t="s">
        <v>31277</v>
      </c>
      <c r="C39" t="s">
        <v>31301</v>
      </c>
      <c r="D39">
        <v>33538439</v>
      </c>
      <c r="E39" t="s">
        <v>31279</v>
      </c>
      <c r="F39">
        <v>11142.28</v>
      </c>
      <c r="H39" s="109">
        <f>IFERROR(HLOOKUP(D39,'BR Details 05-2023'!$6:$9,4,FALSE),0)</f>
        <v>11142.28</v>
      </c>
      <c r="I39" s="105">
        <f t="shared" si="0"/>
        <v>0</v>
      </c>
      <c r="J39" s="105">
        <f>+VLOOKUP(D39,L:N,3,FALSE())-H39</f>
        <v>-382.08</v>
      </c>
      <c r="L39" s="106">
        <v>14176875</v>
      </c>
      <c r="M39" s="106" t="s">
        <v>1193</v>
      </c>
      <c r="N39">
        <f>+VLOOKUP(M39,'BS-Details'!D:K,8,FALSE())</f>
        <v>63811.52</v>
      </c>
    </row>
    <row r="40" spans="1:14" ht="14.25" customHeight="true">
      <c r="A40" t="s">
        <v>31256</v>
      </c>
      <c r="B40" t="s">
        <v>31277</v>
      </c>
      <c r="C40" t="s">
        <v>31302</v>
      </c>
      <c r="D40">
        <v>35398917</v>
      </c>
      <c r="E40" t="s">
        <v>31279</v>
      </c>
      <c r="F40">
        <v>-785.55</v>
      </c>
      <c r="H40" s="109">
        <f>IFERROR(HLOOKUP(D40,'BR Details 05-2023'!$6:$9,4,FALSE),0)</f>
        <v>-785.55</v>
      </c>
      <c r="I40" s="105">
        <f t="shared" si="0"/>
        <v>0</v>
      </c>
      <c r="J40" s="105">
        <f>+VLOOKUP(D40,L:N,3,FALSE())-H40</f>
        <v>2608.93</v>
      </c>
      <c r="L40" s="106">
        <v>26459321</v>
      </c>
      <c r="M40" s="106" t="s">
        <v>573</v>
      </c>
      <c r="N40">
        <f>+VLOOKUP(M40,'BS-Details'!D:K,8,FALSE())</f>
        <v>33107.65</v>
      </c>
    </row>
    <row r="41" spans="1:14" ht="14.25" customHeight="true">
      <c r="A41" t="s">
        <v>31256</v>
      </c>
      <c r="B41" t="s">
        <v>31277</v>
      </c>
      <c r="C41" t="s">
        <v>31303</v>
      </c>
      <c r="D41">
        <v>51834794</v>
      </c>
      <c r="E41" t="s">
        <v>31279</v>
      </c>
      <c r="F41" s="108">
        <v>0</v>
      </c>
      <c r="H41" s="109">
        <f>IFERROR(HLOOKUP(D41,'BR Details 05-2023'!$6:$9,4,FALSE),0)</f>
        <v>0</v>
      </c>
      <c r="I41" s="105">
        <f t="shared" si="0"/>
        <v>0</v>
      </c>
      <c r="J41" s="105">
        <f>+VLOOKUP(D41,L:N,3,FALSE())-H41</f>
        <v>-179024.04</v>
      </c>
      <c r="L41" s="106">
        <v>26690883</v>
      </c>
      <c r="M41" s="106" t="s">
        <v>1937</v>
      </c>
      <c r="N41">
        <f>+VLOOKUP(M41,'BS-Details'!D:K,8,FALSE())</f>
        <v>45807.22</v>
      </c>
    </row>
    <row r="42" spans="1:14" ht="14.25" customHeight="true">
      <c r="A42" t="s">
        <v>31256</v>
      </c>
      <c r="B42" t="s">
        <v>31277</v>
      </c>
      <c r="C42" t="s">
        <v>31304</v>
      </c>
      <c r="D42">
        <v>748000619</v>
      </c>
      <c r="E42" t="s">
        <v>31279</v>
      </c>
      <c r="F42" s="108">
        <v>300</v>
      </c>
      <c r="H42" s="109">
        <f>IFERROR(HLOOKUP(D42,'BR Details 05-2023'!$6:$9,4,FALSE),0)</f>
        <v>300</v>
      </c>
      <c r="I42" s="105">
        <f t="shared" si="0"/>
        <v>0</v>
      </c>
      <c r="J42" s="105">
        <f>+VLOOKUP(D42,L:N,3,FALSE())-H42</f>
        <v>-510.42</v>
      </c>
      <c r="L42" s="106">
        <v>35398917</v>
      </c>
      <c r="M42" s="106" t="s">
        <v>1793</v>
      </c>
      <c r="N42">
        <f>+VLOOKUP(M42,'BS-Details'!D:K,8,FALSE())</f>
        <v>1823.38</v>
      </c>
    </row>
    <row r="43" spans="1:14" ht="14.25" customHeight="true">
      <c r="A43" t="s">
        <v>31256</v>
      </c>
      <c r="B43" t="s">
        <v>31277</v>
      </c>
      <c r="C43" t="s">
        <v>31305</v>
      </c>
      <c r="D43">
        <v>748015229</v>
      </c>
      <c r="E43" t="s">
        <v>31279</v>
      </c>
      <c r="F43">
        <v>0</v>
      </c>
      <c r="H43" s="109">
        <f>IFERROR(HLOOKUP(D43,'BR Details 05-2023'!$6:$9,4,FALSE),0)</f>
        <v>0</v>
      </c>
      <c r="I43" s="105">
        <f t="shared" si="0"/>
        <v>0</v>
      </c>
      <c r="J43" s="105">
        <f>+VLOOKUP(D43,L:N,3,FALSE())-H43</f>
        <v>-20505.74</v>
      </c>
      <c r="L43" s="106">
        <v>32845339</v>
      </c>
      <c r="M43" s="106" t="s">
        <v>1483</v>
      </c>
      <c r="N43">
        <f>+VLOOKUP(M43,'BS-Details'!D:K,8,FALSE())</f>
        <v>6242.99</v>
      </c>
    </row>
    <row r="44" spans="1:14" ht="14.25" customHeight="true">
      <c r="A44" t="s">
        <v>31256</v>
      </c>
      <c r="B44" t="s">
        <v>31277</v>
      </c>
      <c r="C44" t="s">
        <v>31306</v>
      </c>
      <c r="D44">
        <v>748015237</v>
      </c>
      <c r="E44" t="s">
        <v>31279</v>
      </c>
      <c r="F44" s="108">
        <v>0</v>
      </c>
      <c r="H44" s="109">
        <f>IFERROR(HLOOKUP(D44,'BR Details 05-2023'!$6:$9,4,FALSE),0)</f>
        <v>0</v>
      </c>
      <c r="I44" s="105">
        <f t="shared" si="0"/>
        <v>0</v>
      </c>
      <c r="J44" s="105">
        <f>+VLOOKUP(D44,L:N,3,FALSE())-H44</f>
        <v>-13762.15</v>
      </c>
      <c r="L44" s="106">
        <v>25065334</v>
      </c>
      <c r="M44" s="106" t="s">
        <v>1976</v>
      </c>
      <c r="N44">
        <f>+VLOOKUP(M44,'BS-Details'!D:K,8,FALSE())</f>
        <v>121746.88</v>
      </c>
    </row>
    <row r="45" spans="1:14" ht="14.25" customHeight="true">
      <c r="A45" t="s">
        <v>31256</v>
      </c>
      <c r="B45" t="s">
        <v>31277</v>
      </c>
      <c r="C45" t="s">
        <v>31307</v>
      </c>
      <c r="D45">
        <v>748032315</v>
      </c>
      <c r="E45" t="s">
        <v>31279</v>
      </c>
      <c r="F45">
        <v>0</v>
      </c>
      <c r="H45" s="109">
        <f>IFERROR(HLOOKUP(D45,'BR Details 05-2023'!$6:$9,4,FALSE),0)</f>
        <v>0</v>
      </c>
      <c r="I45" s="105">
        <f t="shared" si="0"/>
        <v>0</v>
      </c>
      <c r="J45" s="105">
        <f>+VLOOKUP(D45,L:N,3,FALSE())-H45</f>
        <v>-13263.96</v>
      </c>
      <c r="L45" s="106">
        <v>25084368</v>
      </c>
      <c r="M45" s="106" t="s">
        <v>2011</v>
      </c>
      <c r="N45">
        <f>+VLOOKUP(M45,'BS-Details'!D:K,8,FALSE())</f>
        <v>4876.78</v>
      </c>
    </row>
    <row r="46" spans="1:14" ht="14.25" customHeight="true">
      <c r="A46" t="s">
        <v>31256</v>
      </c>
      <c r="B46" t="s">
        <v>31277</v>
      </c>
      <c r="C46" t="s">
        <v>31308</v>
      </c>
      <c r="D46">
        <v>748032331</v>
      </c>
      <c r="E46" t="s">
        <v>31279</v>
      </c>
      <c r="F46" s="108">
        <v>0</v>
      </c>
      <c r="H46" s="109">
        <f>IFERROR(HLOOKUP(D46,'BR Details 05-2023'!$6:$9,4,FALSE),0)</f>
        <v>0</v>
      </c>
      <c r="I46" s="105">
        <f t="shared" si="0"/>
        <v>0</v>
      </c>
      <c r="J46" s="105">
        <f>+VLOOKUP(D46,L:N,3,FALSE())-H46</f>
        <v>-18152.02</v>
      </c>
      <c r="L46" s="106">
        <v>25069633</v>
      </c>
      <c r="M46" s="106" t="s">
        <v>2034</v>
      </c>
      <c r="N46">
        <f>+VLOOKUP(M46,'BS-Details'!D:K,8,FALSE())</f>
        <v>14213.66</v>
      </c>
    </row>
    <row r="47" spans="1:14" ht="14.25" customHeight="true">
      <c r="A47" t="s">
        <v>31256</v>
      </c>
      <c r="B47" t="s">
        <v>31277</v>
      </c>
      <c r="C47" t="s">
        <v>31309</v>
      </c>
      <c r="D47">
        <v>748032349</v>
      </c>
      <c r="E47" t="s">
        <v>31279</v>
      </c>
      <c r="F47">
        <v>9599.42</v>
      </c>
      <c r="H47" s="109">
        <f>IFERROR(HLOOKUP(D47,'BR Details 05-2023'!$6:$9,4,FALSE),0)</f>
        <v>9599.42</v>
      </c>
      <c r="I47" s="105">
        <f t="shared" si="0"/>
        <v>0</v>
      </c>
      <c r="J47" s="105">
        <f>+VLOOKUP(D47,L:N,3,FALSE())-H47</f>
        <v>-127491.77</v>
      </c>
      <c r="L47" s="106">
        <v>33538439</v>
      </c>
      <c r="M47" s="106" t="s">
        <v>2055</v>
      </c>
      <c r="N47">
        <f>+VLOOKUP(M47,'BS-Details'!D:K,8,FALSE())</f>
        <v>10760.2</v>
      </c>
    </row>
    <row r="48" spans="1:14" ht="14.25" customHeight="true">
      <c r="A48" t="s">
        <v>31256</v>
      </c>
      <c r="B48" t="s">
        <v>31277</v>
      </c>
      <c r="C48" t="s">
        <v>31310</v>
      </c>
      <c r="D48">
        <v>748032364</v>
      </c>
      <c r="E48" t="s">
        <v>31279</v>
      </c>
      <c r="F48">
        <v>0</v>
      </c>
      <c r="H48" s="109">
        <f>IFERROR(HLOOKUP(D48,'BR Details 05-2023'!$6:$9,4,FALSE),0)</f>
        <v>0</v>
      </c>
      <c r="I48" s="105">
        <f t="shared" si="0"/>
        <v>0</v>
      </c>
      <c r="J48" s="105">
        <f>+VLOOKUP(D48,L:N,3,FALSE())-H48</f>
        <v>-29442.85</v>
      </c>
      <c r="L48" s="106">
        <v>54731476</v>
      </c>
      <c r="M48" s="106" t="s">
        <v>618</v>
      </c>
      <c r="N48">
        <f>+VLOOKUP(M48,'BS-Details'!D:K,8,FALSE())</f>
        <v>22234.57</v>
      </c>
    </row>
    <row r="49" spans="1:14" ht="14.25" customHeight="true">
      <c r="A49" t="s">
        <v>31256</v>
      </c>
      <c r="B49" t="s">
        <v>31277</v>
      </c>
      <c r="C49" t="s">
        <v>31311</v>
      </c>
      <c r="D49">
        <v>748032372</v>
      </c>
      <c r="E49" t="s">
        <v>31279</v>
      </c>
      <c r="F49" s="108">
        <v>0</v>
      </c>
      <c r="H49" s="109">
        <f>IFERROR(HLOOKUP(D49,'BR Details 05-2023'!$6:$9,4,FALSE),0)</f>
        <v>0</v>
      </c>
      <c r="I49" s="105">
        <f t="shared" si="0"/>
        <v>0</v>
      </c>
      <c r="J49" s="105">
        <f>+VLOOKUP(D49,L:N,3,FALSE())-H49</f>
        <v>-29403.52</v>
      </c>
      <c r="L49" s="106">
        <v>27607358</v>
      </c>
      <c r="M49" s="106" t="s">
        <v>545</v>
      </c>
      <c r="N49">
        <f>+VLOOKUP(M49,'BS-Details'!D:K,8,FALSE())</f>
        <v>39404.32</v>
      </c>
    </row>
    <row r="50" spans="1:14" ht="14.25" customHeight="true">
      <c r="A50" t="s">
        <v>31256</v>
      </c>
      <c r="B50" t="s">
        <v>31277</v>
      </c>
      <c r="C50" t="s">
        <v>31312</v>
      </c>
      <c r="D50">
        <v>748032380</v>
      </c>
      <c r="E50" t="s">
        <v>31279</v>
      </c>
      <c r="F50" s="108">
        <v>0</v>
      </c>
      <c r="H50" s="109">
        <f>IFERROR(HLOOKUP(D50,'BR Details 05-2023'!$6:$9,4,FALSE),0)</f>
        <v>0</v>
      </c>
      <c r="I50" s="105">
        <f t="shared" si="0"/>
        <v>0</v>
      </c>
      <c r="J50" s="105">
        <f>+VLOOKUP(D50,L:N,3,FALSE())-H50</f>
        <v>40117.42</v>
      </c>
      <c r="L50" s="106">
        <v>748045952</v>
      </c>
      <c r="M50" s="106" t="s">
        <v>2566</v>
      </c>
      <c r="N50">
        <f>+VLOOKUP(M50,'BS-Details'!D:K,8,FALSE())</f>
        <v>-110400.77</v>
      </c>
    </row>
    <row r="51" spans="1:14" ht="14.25" customHeight="true">
      <c r="A51" t="s">
        <v>31256</v>
      </c>
      <c r="B51" t="s">
        <v>31277</v>
      </c>
      <c r="C51" t="s">
        <v>31313</v>
      </c>
      <c r="D51">
        <v>748032398</v>
      </c>
      <c r="E51" t="s">
        <v>31279</v>
      </c>
      <c r="F51" s="108">
        <v>1626463.04</v>
      </c>
      <c r="H51" s="109">
        <f>IFERROR(HLOOKUP(D51,'BR Details 05-2023'!$6:$9,4,FALSE),0)</f>
        <v>1626463.04</v>
      </c>
      <c r="I51" s="105">
        <f t="shared" si="0"/>
        <v>0</v>
      </c>
      <c r="J51" s="105">
        <f>+VLOOKUP(D51,L:N,3,FALSE())-H51</f>
        <v>-12829.3200000001</v>
      </c>
      <c r="L51" s="106">
        <v>13585976</v>
      </c>
      <c r="M51" s="106" t="s">
        <v>1559</v>
      </c>
      <c r="N51" t="e">
        <f>+VLOOKUP(M51,'BS-Details'!D:K,8,FALSE())</f>
        <v>#N/A</v>
      </c>
    </row>
    <row r="52" spans="1:14" ht="14.25" customHeight="true">
      <c r="A52" t="s">
        <v>31256</v>
      </c>
      <c r="B52" t="s">
        <v>31277</v>
      </c>
      <c r="C52" t="s">
        <v>31314</v>
      </c>
      <c r="D52">
        <v>748032414</v>
      </c>
      <c r="E52" t="s">
        <v>31279</v>
      </c>
      <c r="F52">
        <v>0</v>
      </c>
      <c r="H52" s="109">
        <f>IFERROR(HLOOKUP(D52,'BR Details 05-2023'!$6:$9,4,FALSE),0)</f>
        <v>0</v>
      </c>
      <c r="I52" s="105">
        <f t="shared" si="0"/>
        <v>0</v>
      </c>
      <c r="J52" s="105">
        <f>+VLOOKUP(D52,L:N,3,FALSE())-H52</f>
        <v>95254.22</v>
      </c>
      <c r="L52" s="106">
        <v>325176762355</v>
      </c>
      <c r="M52" s="106" t="s">
        <v>31315</v>
      </c>
      <c r="N52" t="e">
        <f>+VLOOKUP(M52,'BS-Details'!D:K,8,FALSE())</f>
        <v>#N/A</v>
      </c>
    </row>
    <row r="53" spans="1:14" ht="14.25" customHeight="true">
      <c r="A53" t="s">
        <v>31256</v>
      </c>
      <c r="B53" t="s">
        <v>31277</v>
      </c>
      <c r="C53" t="s">
        <v>31316</v>
      </c>
      <c r="D53">
        <v>748032703</v>
      </c>
      <c r="E53" t="s">
        <v>31279</v>
      </c>
      <c r="F53" s="108">
        <v>0</v>
      </c>
      <c r="H53" s="109">
        <f>IFERROR(HLOOKUP(D53,'BR Details 05-2023'!$6:$9,4,FALSE),0)</f>
        <v>0</v>
      </c>
      <c r="I53" s="105">
        <f t="shared" si="0"/>
        <v>0</v>
      </c>
      <c r="J53" s="105">
        <f>+VLOOKUP(D53,L:N,3,FALSE())-H53</f>
        <v>-60279.34</v>
      </c>
      <c r="L53" s="106">
        <v>748033552</v>
      </c>
      <c r="M53" s="106" t="s">
        <v>1256</v>
      </c>
      <c r="N53">
        <f>+VLOOKUP(M53,'BS-Details'!D:K,8,FALSE())</f>
        <v>-2885.9</v>
      </c>
    </row>
    <row r="54" spans="1:14" ht="14.25" customHeight="true">
      <c r="A54" t="s">
        <v>31256</v>
      </c>
      <c r="B54" t="s">
        <v>31277</v>
      </c>
      <c r="C54" t="s">
        <v>31317</v>
      </c>
      <c r="D54">
        <v>748033552</v>
      </c>
      <c r="E54" t="s">
        <v>31279</v>
      </c>
      <c r="F54">
        <v>39.69</v>
      </c>
      <c r="H54" s="109">
        <f>IFERROR(HLOOKUP(D54,'BR Details 05-2023'!$6:$9,4,FALSE),0)</f>
        <v>39.69</v>
      </c>
      <c r="I54" s="105">
        <f t="shared" si="0"/>
        <v>0</v>
      </c>
      <c r="J54" s="105">
        <f>+VLOOKUP(D54,L:N,3,FALSE())-H54</f>
        <v>-2925.59</v>
      </c>
      <c r="L54" s="106">
        <v>31874966</v>
      </c>
      <c r="M54" s="106" t="s">
        <v>355</v>
      </c>
      <c r="N54">
        <f>+VLOOKUP(M54,'BS-Details'!D:K,8,FALSE())</f>
        <v>21797.5</v>
      </c>
    </row>
    <row r="55" spans="1:14" ht="14.25" customHeight="true">
      <c r="A55" t="s">
        <v>31256</v>
      </c>
      <c r="B55" t="s">
        <v>31277</v>
      </c>
      <c r="C55" t="s">
        <v>31318</v>
      </c>
      <c r="D55">
        <v>748038866</v>
      </c>
      <c r="E55" t="s">
        <v>31279</v>
      </c>
      <c r="F55" s="108">
        <v>7708.87</v>
      </c>
      <c r="H55" s="109">
        <f>IFERROR(HLOOKUP(D55,'BR Details 05-2023'!$6:$9,4,FALSE),0)</f>
        <v>0</v>
      </c>
      <c r="I55" s="105">
        <f t="shared" si="0"/>
        <v>7708.87</v>
      </c>
      <c r="J55" s="105">
        <f>+VLOOKUP(D55,L:N,3,FALSE())-H55</f>
        <v>93917.77</v>
      </c>
      <c r="L55" s="106">
        <v>325175739240</v>
      </c>
      <c r="M55" s="106" t="s">
        <v>13350</v>
      </c>
      <c r="N55">
        <f>+VLOOKUP(M55,'BS-Details'!D:K,8,FALSE())</f>
        <v>-90815.73</v>
      </c>
    </row>
    <row r="56" spans="1:14" ht="14.25" customHeight="true">
      <c r="A56" t="s">
        <v>31256</v>
      </c>
      <c r="B56" t="s">
        <v>31277</v>
      </c>
      <c r="C56" t="s">
        <v>31319</v>
      </c>
      <c r="D56">
        <v>748045952</v>
      </c>
      <c r="E56" t="s">
        <v>31279</v>
      </c>
      <c r="F56">
        <v>26237.78</v>
      </c>
      <c r="H56" s="109">
        <f>IFERROR(HLOOKUP(D56,'BR Details 05-2023'!$6:$9,4,FALSE),0)</f>
        <v>26237.78</v>
      </c>
      <c r="I56" s="105">
        <f t="shared" si="0"/>
        <v>0</v>
      </c>
      <c r="J56" s="105">
        <f>+VLOOKUP(D56,L:N,3,FALSE())-H56</f>
        <v>-136638.55</v>
      </c>
      <c r="L56" s="106">
        <v>8019</v>
      </c>
      <c r="M56" s="106" t="s">
        <v>356</v>
      </c>
      <c r="N56">
        <f>+VLOOKUP(M56,'BS-Details'!D:K,8,FALSE())</f>
        <v>70</v>
      </c>
    </row>
    <row r="57" spans="1:14" ht="14.25" customHeight="true">
      <c r="A57" t="s">
        <v>31320</v>
      </c>
      <c r="B57" t="s">
        <v>31321</v>
      </c>
      <c r="C57" t="s">
        <v>31322</v>
      </c>
      <c r="D57">
        <v>1504912147</v>
      </c>
      <c r="E57" t="s">
        <v>31323</v>
      </c>
      <c r="F57" s="108">
        <v>5000</v>
      </c>
      <c r="H57" s="109">
        <f>IFERROR(HLOOKUP(D57,'BR Details 05-2023'!$6:$9,4,FALSE),0)</f>
        <v>4700</v>
      </c>
      <c r="I57" s="105">
        <f t="shared" si="0"/>
        <v>300</v>
      </c>
      <c r="J57" s="105">
        <f>+VLOOKUP(D57,L:N,3,FALSE())-H57</f>
        <v>100352.38</v>
      </c>
      <c r="L57" s="106">
        <v>325175744594</v>
      </c>
      <c r="M57" s="106" t="s">
        <v>13475</v>
      </c>
      <c r="N57">
        <f>+VLOOKUP(M57,'BS-Details'!D:K,8,FALSE())</f>
        <v>74842.38</v>
      </c>
    </row>
    <row r="58" spans="1:14" ht="14.25" customHeight="true">
      <c r="A58" t="s">
        <v>31324</v>
      </c>
      <c r="B58" t="s">
        <v>31321</v>
      </c>
      <c r="C58" t="s">
        <v>31322</v>
      </c>
      <c r="D58">
        <v>1504912147</v>
      </c>
      <c r="E58" t="s">
        <v>31323</v>
      </c>
      <c r="F58" s="108">
        <v>42778.81</v>
      </c>
      <c r="H58" s="109">
        <f>IFERROR(HLOOKUP(D58,'BR Details 05-2023'!$6:$9,4,FALSE),0)</f>
        <v>4700</v>
      </c>
      <c r="I58" s="105">
        <f t="shared" si="0"/>
        <v>38078.81</v>
      </c>
      <c r="J58" s="105">
        <f>+VLOOKUP(D58,L:N,3,FALSE())-H58</f>
        <v>100352.38</v>
      </c>
      <c r="L58" s="106">
        <v>31860536</v>
      </c>
      <c r="M58" s="106" t="s">
        <v>468</v>
      </c>
      <c r="N58">
        <f>+VLOOKUP(M58,'BS-Details'!D:K,8,FALSE())</f>
        <v>-32549.56</v>
      </c>
    </row>
    <row r="59" spans="1:14" ht="14.25" customHeight="true">
      <c r="A59" t="s">
        <v>31325</v>
      </c>
      <c r="B59" t="s">
        <v>31321</v>
      </c>
      <c r="C59" t="s">
        <v>31322</v>
      </c>
      <c r="D59">
        <v>1504912147</v>
      </c>
      <c r="E59" t="s">
        <v>31323</v>
      </c>
      <c r="F59">
        <v>92647.86</v>
      </c>
      <c r="H59" s="109">
        <f>IFERROR(HLOOKUP(D59,'BR Details 05-2023'!$6:$9,4,FALSE),0)</f>
        <v>4700</v>
      </c>
      <c r="I59" s="105">
        <f t="shared" si="0"/>
        <v>87947.86</v>
      </c>
      <c r="J59" s="105">
        <f>+VLOOKUP(D59,L:N,3,FALSE())-H59</f>
        <v>100352.38</v>
      </c>
      <c r="L59" s="106">
        <v>32205856</v>
      </c>
      <c r="M59" s="106" t="s">
        <v>735</v>
      </c>
      <c r="N59" t="e">
        <f>+VLOOKUP(M59,'BS-Details'!D:K,8,FALSE())</f>
        <v>#N/A</v>
      </c>
    </row>
    <row r="60" spans="1:14" ht="14.25" customHeight="true">
      <c r="A60" t="s">
        <v>31326</v>
      </c>
      <c r="B60" t="s">
        <v>31321</v>
      </c>
      <c r="C60" t="s">
        <v>31322</v>
      </c>
      <c r="D60">
        <v>1504912147</v>
      </c>
      <c r="E60" t="s">
        <v>31323</v>
      </c>
      <c r="F60">
        <v>107447.98</v>
      </c>
      <c r="H60" s="109">
        <f>IFERROR(HLOOKUP(D60,'BR Details 05-2023'!$6:$9,4,FALSE),0)</f>
        <v>4700</v>
      </c>
      <c r="I60" s="105">
        <f t="shared" si="0"/>
        <v>102747.98</v>
      </c>
      <c r="J60" s="105">
        <f>+VLOOKUP(D60,L:N,3,FALSE())-H60</f>
        <v>100352.38</v>
      </c>
      <c r="L60" s="106">
        <v>45186632</v>
      </c>
      <c r="M60" s="106" t="s">
        <v>905</v>
      </c>
      <c r="N60">
        <f>+VLOOKUP(M60,'BS-Details'!D:K,8,FALSE())</f>
        <v>2446.05</v>
      </c>
    </row>
    <row r="61" spans="1:14" ht="14.25" customHeight="true">
      <c r="A61" t="s">
        <v>31327</v>
      </c>
      <c r="B61" t="s">
        <v>31321</v>
      </c>
      <c r="C61" t="s">
        <v>31322</v>
      </c>
      <c r="D61">
        <v>1504912147</v>
      </c>
      <c r="E61" t="s">
        <v>31323</v>
      </c>
      <c r="F61">
        <v>178198.01</v>
      </c>
      <c r="H61" s="109">
        <f>IFERROR(HLOOKUP(D61,'BR Details 05-2023'!$6:$9,4,FALSE),0)</f>
        <v>4700</v>
      </c>
      <c r="I61" s="105">
        <f t="shared" si="0"/>
        <v>173498.01</v>
      </c>
      <c r="J61" s="105">
        <f>+VLOOKUP(D61,L:N,3,FALSE())-H61</f>
        <v>100352.38</v>
      </c>
      <c r="L61" s="106">
        <v>325176739485</v>
      </c>
      <c r="M61" s="106" t="s">
        <v>18082</v>
      </c>
      <c r="N61">
        <f>+VLOOKUP(M61,'BS-Details'!D:K,8,FALSE())</f>
        <v>21631.35</v>
      </c>
    </row>
    <row r="62" spans="1:14" ht="14.25" customHeight="true">
      <c r="A62" t="s">
        <v>31328</v>
      </c>
      <c r="B62" t="s">
        <v>31321</v>
      </c>
      <c r="C62" t="s">
        <v>31322</v>
      </c>
      <c r="D62">
        <v>1504912147</v>
      </c>
      <c r="E62" t="s">
        <v>31323</v>
      </c>
      <c r="F62" s="108">
        <v>5000</v>
      </c>
      <c r="H62" s="109">
        <f>IFERROR(HLOOKUP(D62,'BR Details 05-2023'!$6:$9,4,FALSE),0)</f>
        <v>4700</v>
      </c>
      <c r="I62" s="105">
        <f t="shared" si="0"/>
        <v>300</v>
      </c>
      <c r="J62" s="105">
        <f>+VLOOKUP(D62,L:N,3,FALSE())-H62</f>
        <v>100352.38</v>
      </c>
      <c r="L62" s="106">
        <v>35356295</v>
      </c>
      <c r="M62" s="106" t="s">
        <v>239</v>
      </c>
      <c r="N62">
        <f>+VLOOKUP(M62,'BS-Details'!D:K,8,FALSE())</f>
        <v>8375.76</v>
      </c>
    </row>
    <row r="63" spans="1:14" ht="14.25" customHeight="true">
      <c r="A63" t="s">
        <v>31329</v>
      </c>
      <c r="B63" t="s">
        <v>31321</v>
      </c>
      <c r="C63" t="s">
        <v>31322</v>
      </c>
      <c r="D63">
        <v>1504912147</v>
      </c>
      <c r="E63" t="s">
        <v>31323</v>
      </c>
      <c r="F63" s="108">
        <v>119633.73</v>
      </c>
      <c r="H63" s="109">
        <f>IFERROR(HLOOKUP(D63,'BR Details 05-2023'!$6:$9,4,FALSE),0)</f>
        <v>4700</v>
      </c>
      <c r="I63" s="105">
        <f t="shared" si="0"/>
        <v>114933.73</v>
      </c>
      <c r="J63" s="105">
        <f>+VLOOKUP(D63,L:N,3,FALSE())-H63</f>
        <v>100352.38</v>
      </c>
      <c r="L63" s="106">
        <v>325175747986</v>
      </c>
      <c r="M63" s="106" t="s">
        <v>13222</v>
      </c>
      <c r="N63">
        <f>+VLOOKUP(M63,'BS-Details'!D:K,8,FALSE())</f>
        <v>-25822.29</v>
      </c>
    </row>
    <row r="64" spans="1:14" ht="14.25" customHeight="true">
      <c r="A64" t="s">
        <v>31330</v>
      </c>
      <c r="B64" t="s">
        <v>31321</v>
      </c>
      <c r="C64" t="s">
        <v>31322</v>
      </c>
      <c r="D64">
        <v>1504912147</v>
      </c>
      <c r="E64" t="s">
        <v>31323</v>
      </c>
      <c r="F64">
        <v>122526.26</v>
      </c>
      <c r="H64" s="109">
        <f>IFERROR(HLOOKUP(D64,'BR Details 05-2023'!$6:$9,4,FALSE),0)</f>
        <v>4700</v>
      </c>
      <c r="I64" s="105">
        <f t="shared" si="0"/>
        <v>117826.26</v>
      </c>
      <c r="J64" s="105">
        <f>+VLOOKUP(D64,L:N,3,FALSE())-H64</f>
        <v>100352.38</v>
      </c>
      <c r="L64" s="106">
        <v>310425667</v>
      </c>
      <c r="M64" s="106" t="s">
        <v>1330</v>
      </c>
      <c r="N64" t="e">
        <f>+VLOOKUP(M64,'BS-Details'!D:K,8,FALSE())</f>
        <v>#N/A</v>
      </c>
    </row>
    <row r="65" spans="1:14" ht="14.25" customHeight="true">
      <c r="A65" t="s">
        <v>31331</v>
      </c>
      <c r="B65" t="s">
        <v>31321</v>
      </c>
      <c r="C65" t="s">
        <v>31322</v>
      </c>
      <c r="D65">
        <v>1504912147</v>
      </c>
      <c r="E65" t="s">
        <v>31323</v>
      </c>
      <c r="F65" s="108">
        <v>130526.34</v>
      </c>
      <c r="H65" s="109">
        <f>IFERROR(HLOOKUP(D65,'BR Details 05-2023'!$6:$9,4,FALSE),0)</f>
        <v>4700</v>
      </c>
      <c r="I65" s="105">
        <f t="shared" si="0"/>
        <v>125826.34</v>
      </c>
      <c r="J65" s="105">
        <f>+VLOOKUP(D65,L:N,3,FALSE())-H65</f>
        <v>100352.38</v>
      </c>
      <c r="L65" s="106">
        <v>34950071</v>
      </c>
      <c r="M65" s="106" t="s">
        <v>1908</v>
      </c>
      <c r="N65">
        <f>+VLOOKUP(M65,'BS-Details'!D:K,8,FALSE())</f>
        <v>-1590.25</v>
      </c>
    </row>
    <row r="66" spans="1:14" ht="14.25" customHeight="true">
      <c r="A66" t="s">
        <v>31332</v>
      </c>
      <c r="B66" t="s">
        <v>31321</v>
      </c>
      <c r="C66" t="s">
        <v>31322</v>
      </c>
      <c r="D66">
        <v>1504912147</v>
      </c>
      <c r="E66" t="s">
        <v>31323</v>
      </c>
      <c r="F66" s="108">
        <v>138237.39</v>
      </c>
      <c r="H66" s="109">
        <f>IFERROR(HLOOKUP(D66,'BR Details 05-2023'!$6:$9,4,FALSE),0)</f>
        <v>4700</v>
      </c>
      <c r="I66" s="105">
        <f t="shared" ref="I66:I129" si="1">+F66-H66</f>
        <v>133537.39</v>
      </c>
      <c r="J66" s="105">
        <f>+VLOOKUP(D66,L:N,3,FALSE())-H66</f>
        <v>100352.38</v>
      </c>
      <c r="L66" s="106">
        <v>325176754402</v>
      </c>
      <c r="M66" s="106" t="s">
        <v>25997</v>
      </c>
      <c r="N66">
        <f>+VLOOKUP(M66,'BS-Details'!D:K,8,FALSE())</f>
        <v>15569.36</v>
      </c>
    </row>
    <row r="67" spans="1:14" ht="14.25" customHeight="true">
      <c r="A67" t="s">
        <v>31333</v>
      </c>
      <c r="B67" t="s">
        <v>31321</v>
      </c>
      <c r="C67" t="s">
        <v>31322</v>
      </c>
      <c r="D67">
        <v>1504912147</v>
      </c>
      <c r="E67" t="s">
        <v>31323</v>
      </c>
      <c r="F67" s="108">
        <v>5000</v>
      </c>
      <c r="H67" s="109">
        <f>IFERROR(HLOOKUP(D67,'BR Details 05-2023'!$6:$9,4,FALSE),0)</f>
        <v>4700</v>
      </c>
      <c r="I67" s="105">
        <f t="shared" si="1"/>
        <v>300</v>
      </c>
      <c r="J67" s="105">
        <f>+VLOOKUP(D67,L:N,3,FALSE())-H67</f>
        <v>100352.38</v>
      </c>
      <c r="L67" s="106">
        <v>35223388</v>
      </c>
      <c r="M67" s="106" t="s">
        <v>2735</v>
      </c>
      <c r="N67">
        <f>+VLOOKUP(M67,'BS-Details'!D:K,8,FALSE())</f>
        <v>-46928.1</v>
      </c>
    </row>
    <row r="68" spans="1:14" ht="14.25" customHeight="true">
      <c r="A68" t="s">
        <v>31334</v>
      </c>
      <c r="B68" t="s">
        <v>31321</v>
      </c>
      <c r="C68" t="s">
        <v>31322</v>
      </c>
      <c r="D68">
        <v>1504912147</v>
      </c>
      <c r="E68" t="s">
        <v>31323</v>
      </c>
      <c r="F68">
        <v>5000</v>
      </c>
      <c r="H68" s="109">
        <f>IFERROR(HLOOKUP(D68,'BR Details 05-2023'!$6:$9,4,FALSE),0)</f>
        <v>4700</v>
      </c>
      <c r="I68" s="105">
        <f t="shared" si="1"/>
        <v>300</v>
      </c>
      <c r="J68" s="105">
        <f>+VLOOKUP(D68,L:N,3,FALSE())-H68</f>
        <v>100352.38</v>
      </c>
      <c r="L68" s="106">
        <v>325176761754</v>
      </c>
      <c r="M68" s="106" t="s">
        <v>28706</v>
      </c>
      <c r="N68">
        <f>+VLOOKUP(M68,'BS-Details'!D:K,8,FALSE())</f>
        <v>38096.29</v>
      </c>
    </row>
    <row r="69" spans="1:14" ht="14.25" customHeight="true">
      <c r="A69" t="s">
        <v>31335</v>
      </c>
      <c r="B69" t="s">
        <v>31321</v>
      </c>
      <c r="C69" t="s">
        <v>31322</v>
      </c>
      <c r="D69">
        <v>1504912147</v>
      </c>
      <c r="E69" t="s">
        <v>31323</v>
      </c>
      <c r="F69" s="108">
        <v>8327.89</v>
      </c>
      <c r="H69" s="109">
        <f>IFERROR(HLOOKUP(D69,'BR Details 05-2023'!$6:$9,4,FALSE),0)</f>
        <v>4700</v>
      </c>
      <c r="I69" s="105">
        <f t="shared" si="1"/>
        <v>3627.89</v>
      </c>
      <c r="J69" s="105">
        <f>+VLOOKUP(D69,L:N,3,FALSE())-H69</f>
        <v>100352.38</v>
      </c>
      <c r="L69" s="106">
        <v>748030061</v>
      </c>
      <c r="M69" s="106" t="s">
        <v>590</v>
      </c>
      <c r="N69">
        <f>+VLOOKUP(M69,'BS-Details'!D:K,8,FALSE())</f>
        <v>10338.85</v>
      </c>
    </row>
    <row r="70" spans="1:14" ht="14.25" customHeight="true">
      <c r="A70" t="s">
        <v>31336</v>
      </c>
      <c r="B70" t="s">
        <v>31321</v>
      </c>
      <c r="C70" t="s">
        <v>31322</v>
      </c>
      <c r="D70">
        <v>1504912147</v>
      </c>
      <c r="E70" t="s">
        <v>31323</v>
      </c>
      <c r="F70">
        <v>11118.97</v>
      </c>
      <c r="H70" s="109">
        <f>IFERROR(HLOOKUP(D70,'BR Details 05-2023'!$6:$9,4,FALSE),0)</f>
        <v>4700</v>
      </c>
      <c r="I70" s="105">
        <f t="shared" si="1"/>
        <v>6418.97</v>
      </c>
      <c r="J70" s="105">
        <f>+VLOOKUP(D70,L:N,3,FALSE())-H70</f>
        <v>100352.38</v>
      </c>
      <c r="L70" s="106">
        <v>325176733656</v>
      </c>
      <c r="M70" s="106" t="s">
        <v>16895</v>
      </c>
      <c r="N70">
        <f>+VLOOKUP(M70,'BS-Details'!D:K,8,FALSE())</f>
        <v>7187.81</v>
      </c>
    </row>
    <row r="71" spans="1:14" ht="14.25" customHeight="true">
      <c r="A71" t="s">
        <v>31337</v>
      </c>
      <c r="B71" t="s">
        <v>31321</v>
      </c>
      <c r="C71" t="s">
        <v>31322</v>
      </c>
      <c r="D71">
        <v>1504912147</v>
      </c>
      <c r="E71" t="s">
        <v>31323</v>
      </c>
      <c r="F71" s="108">
        <v>11118.97</v>
      </c>
      <c r="H71" s="109">
        <f>IFERROR(HLOOKUP(D71,'BR Details 05-2023'!$6:$9,4,FALSE),0)</f>
        <v>4700</v>
      </c>
      <c r="I71" s="105">
        <f t="shared" si="1"/>
        <v>6418.97</v>
      </c>
      <c r="J71" s="105">
        <f>+VLOOKUP(D71,L:N,3,FALSE())-H71</f>
        <v>100352.38</v>
      </c>
      <c r="L71" s="106">
        <v>8087</v>
      </c>
      <c r="M71" s="106" t="s">
        <v>591</v>
      </c>
      <c r="N71">
        <f>+VLOOKUP(M71,'BS-Details'!D:K,8,FALSE())</f>
        <v>70</v>
      </c>
    </row>
    <row r="72" spans="1:14" ht="14.25" customHeight="true">
      <c r="A72" t="s">
        <v>31338</v>
      </c>
      <c r="B72" t="s">
        <v>31321</v>
      </c>
      <c r="C72" t="s">
        <v>31322</v>
      </c>
      <c r="D72">
        <v>1504912147</v>
      </c>
      <c r="E72" t="s">
        <v>31323</v>
      </c>
      <c r="F72" s="108">
        <v>5000</v>
      </c>
      <c r="H72" s="109">
        <f>IFERROR(HLOOKUP(D72,'BR Details 05-2023'!$6:$9,4,FALSE),0)</f>
        <v>4700</v>
      </c>
      <c r="I72" s="105">
        <f t="shared" si="1"/>
        <v>300</v>
      </c>
      <c r="J72" s="105">
        <f>+VLOOKUP(D72,L:N,3,FALSE())-H72</f>
        <v>100352.38</v>
      </c>
      <c r="L72" s="106">
        <v>748032711</v>
      </c>
      <c r="M72" s="106" t="s">
        <v>648</v>
      </c>
      <c r="N72">
        <f>+VLOOKUP(M72,'BS-Details'!D:K,8,FALSE())</f>
        <v>330.13</v>
      </c>
    </row>
    <row r="73" spans="1:14" ht="14.25" customHeight="true">
      <c r="A73" t="s">
        <v>31339</v>
      </c>
      <c r="B73" t="s">
        <v>31321</v>
      </c>
      <c r="C73" t="s">
        <v>31322</v>
      </c>
      <c r="D73">
        <v>1504912147</v>
      </c>
      <c r="E73" t="s">
        <v>31323</v>
      </c>
      <c r="F73">
        <v>5000</v>
      </c>
      <c r="H73" s="109">
        <f>IFERROR(HLOOKUP(D73,'BR Details 05-2023'!$6:$9,4,FALSE),0)</f>
        <v>4700</v>
      </c>
      <c r="I73" s="105">
        <f t="shared" si="1"/>
        <v>300</v>
      </c>
      <c r="J73" s="105">
        <f>+VLOOKUP(D73,L:N,3,FALSE())-H73</f>
        <v>100352.38</v>
      </c>
      <c r="L73" s="106">
        <v>325176737173</v>
      </c>
      <c r="M73" s="106" t="s">
        <v>17493</v>
      </c>
      <c r="N73">
        <f>+VLOOKUP(M73,'BS-Details'!D:K,8,FALSE())</f>
        <v>7963.12</v>
      </c>
    </row>
    <row r="74" spans="1:14" ht="14.25" customHeight="true">
      <c r="A74" t="s">
        <v>31340</v>
      </c>
      <c r="B74" t="s">
        <v>31321</v>
      </c>
      <c r="C74" t="s">
        <v>31322</v>
      </c>
      <c r="D74">
        <v>1504912147</v>
      </c>
      <c r="E74" t="s">
        <v>31323</v>
      </c>
      <c r="F74" s="108">
        <v>4700</v>
      </c>
      <c r="H74" s="109">
        <f>IFERROR(HLOOKUP(D74,'BR Details 05-2023'!$6:$9,4,FALSE),0)</f>
        <v>4700</v>
      </c>
      <c r="I74" s="105">
        <f t="shared" si="1"/>
        <v>0</v>
      </c>
      <c r="J74" s="105">
        <f>+VLOOKUP(D74,L:N,3,FALSE())-H74</f>
        <v>100352.38</v>
      </c>
      <c r="L74" s="106">
        <v>8070</v>
      </c>
      <c r="M74" s="106" t="s">
        <v>649</v>
      </c>
      <c r="N74">
        <f>+VLOOKUP(M74,'BS-Details'!D:K,8,FALSE())</f>
        <v>70</v>
      </c>
    </row>
    <row r="75" spans="1:14" ht="14.25" customHeight="true">
      <c r="A75" t="s">
        <v>31341</v>
      </c>
      <c r="B75" t="s">
        <v>31321</v>
      </c>
      <c r="C75" t="s">
        <v>31322</v>
      </c>
      <c r="D75">
        <v>1504912147</v>
      </c>
      <c r="E75" t="s">
        <v>31323</v>
      </c>
      <c r="F75">
        <v>4700</v>
      </c>
      <c r="H75" s="109">
        <f>IFERROR(HLOOKUP(D75,'BR Details 05-2023'!$6:$9,4,FALSE),0)</f>
        <v>4700</v>
      </c>
      <c r="I75" s="105">
        <f t="shared" si="1"/>
        <v>0</v>
      </c>
      <c r="J75" s="105">
        <f>+VLOOKUP(D75,L:N,3,FALSE())-H75</f>
        <v>100352.38</v>
      </c>
      <c r="L75" s="106">
        <v>37307538</v>
      </c>
      <c r="M75" s="106" t="s">
        <v>881</v>
      </c>
      <c r="N75">
        <f>+VLOOKUP(M75,'BS-Details'!D:K,8,FALSE())</f>
        <v>-14711.95</v>
      </c>
    </row>
    <row r="76" spans="1:14" ht="14.25" customHeight="true">
      <c r="A76" t="s">
        <v>31342</v>
      </c>
      <c r="B76" t="s">
        <v>31321</v>
      </c>
      <c r="C76" t="s">
        <v>31322</v>
      </c>
      <c r="D76">
        <v>1504912147</v>
      </c>
      <c r="E76" t="s">
        <v>31323</v>
      </c>
      <c r="F76">
        <v>4700</v>
      </c>
      <c r="H76" s="109">
        <f>IFERROR(HLOOKUP(D76,'BR Details 05-2023'!$6:$9,4,FALSE),0)</f>
        <v>4700</v>
      </c>
      <c r="I76" s="105">
        <f t="shared" si="1"/>
        <v>0</v>
      </c>
      <c r="J76" s="105">
        <f>+VLOOKUP(D76,L:N,3,FALSE())-H76</f>
        <v>100352.38</v>
      </c>
      <c r="L76" s="106">
        <v>325176738224</v>
      </c>
      <c r="M76" s="106" t="s">
        <v>17787</v>
      </c>
      <c r="N76">
        <f>+VLOOKUP(M76,'BS-Details'!D:K,8,FALSE())</f>
        <v>16210.01</v>
      </c>
    </row>
    <row r="77" spans="1:14" ht="14.25" customHeight="true">
      <c r="A77" t="s">
        <v>31343</v>
      </c>
      <c r="B77" t="s">
        <v>31321</v>
      </c>
      <c r="C77" t="s">
        <v>31322</v>
      </c>
      <c r="D77">
        <v>1504912147</v>
      </c>
      <c r="E77" t="s">
        <v>31323</v>
      </c>
      <c r="F77">
        <v>4700</v>
      </c>
      <c r="H77" s="109">
        <f>IFERROR(HLOOKUP(D77,'BR Details 05-2023'!$6:$9,4,FALSE),0)</f>
        <v>4700</v>
      </c>
      <c r="I77" s="105">
        <f t="shared" si="1"/>
        <v>0</v>
      </c>
      <c r="J77" s="105">
        <f>+VLOOKUP(D77,L:N,3,FALSE())-H77</f>
        <v>100352.38</v>
      </c>
      <c r="L77" s="106">
        <v>37346924</v>
      </c>
      <c r="M77" s="106" t="s">
        <v>1048</v>
      </c>
      <c r="N77">
        <f>+VLOOKUP(M77,'BS-Details'!D:K,8,FALSE())</f>
        <v>-1234.43</v>
      </c>
    </row>
    <row r="78" spans="1:14" ht="14.25" customHeight="true">
      <c r="A78" t="s">
        <v>31256</v>
      </c>
      <c r="B78" t="s">
        <v>31321</v>
      </c>
      <c r="C78" t="s">
        <v>31322</v>
      </c>
      <c r="D78">
        <v>1504912147</v>
      </c>
      <c r="E78" t="s">
        <v>31323</v>
      </c>
      <c r="F78">
        <v>4700</v>
      </c>
      <c r="H78" s="109">
        <f>IFERROR(HLOOKUP(D78,'BR Details 05-2023'!$6:$9,4,FALSE),0)</f>
        <v>4700</v>
      </c>
      <c r="I78" s="105">
        <f t="shared" si="1"/>
        <v>0</v>
      </c>
      <c r="J78" s="105">
        <f>+VLOOKUP(D78,L:N,3,FALSE())-H78</f>
        <v>100352.38</v>
      </c>
      <c r="L78" s="106">
        <v>8053</v>
      </c>
      <c r="M78" s="106" t="s">
        <v>1049</v>
      </c>
      <c r="N78">
        <f>+VLOOKUP(M78,'BS-Details'!D:K,8,FALSE())</f>
        <v>70</v>
      </c>
    </row>
    <row r="79" spans="1:14" ht="14.25" customHeight="true">
      <c r="A79" t="s">
        <v>31344</v>
      </c>
      <c r="B79" t="s">
        <v>31345</v>
      </c>
      <c r="C79" t="s">
        <v>31346</v>
      </c>
      <c r="D79">
        <v>4943006379</v>
      </c>
      <c r="E79" t="s">
        <v>31347</v>
      </c>
      <c r="F79" s="108">
        <v>6101.65</v>
      </c>
      <c r="H79" s="109">
        <f>IFERROR(HLOOKUP(D79,'BR Details 05-2023'!$6:$9,4,FALSE),0)</f>
        <v>6101.65</v>
      </c>
      <c r="I79" s="105">
        <f t="shared" si="1"/>
        <v>0</v>
      </c>
      <c r="J79" s="105">
        <f>+VLOOKUP(D79,L:N,3,FALSE())-H79</f>
        <v>507585.22</v>
      </c>
      <c r="L79" s="106">
        <v>325176741871</v>
      </c>
      <c r="M79" s="106" t="s">
        <v>18979</v>
      </c>
      <c r="N79">
        <f>+VLOOKUP(M79,'BS-Details'!D:K,8,FALSE())</f>
        <v>-7850.79</v>
      </c>
    </row>
    <row r="80" spans="1:14" ht="14.25" customHeight="true">
      <c r="A80" t="s">
        <v>31348</v>
      </c>
      <c r="B80" t="s">
        <v>31345</v>
      </c>
      <c r="C80" t="s">
        <v>31346</v>
      </c>
      <c r="D80">
        <v>4943006379</v>
      </c>
      <c r="E80" t="s">
        <v>31347</v>
      </c>
      <c r="F80">
        <v>5000</v>
      </c>
      <c r="H80" s="109">
        <f>IFERROR(HLOOKUP(D80,'BR Details 05-2023'!$6:$9,4,FALSE),0)</f>
        <v>6101.65</v>
      </c>
      <c r="I80" s="105">
        <f t="shared" si="1"/>
        <v>-1101.65</v>
      </c>
      <c r="J80" s="105">
        <f>+VLOOKUP(D80,L:N,3,FALSE())-H80</f>
        <v>507585.22</v>
      </c>
      <c r="L80" s="106">
        <v>748035300</v>
      </c>
      <c r="M80" s="106" t="s">
        <v>1747</v>
      </c>
      <c r="N80">
        <f>+VLOOKUP(M80,'BS-Details'!D:K,8,FALSE())</f>
        <v>-11930.14</v>
      </c>
    </row>
    <row r="81" spans="1:14" ht="14.25" customHeight="true">
      <c r="A81" t="s">
        <v>31349</v>
      </c>
      <c r="B81" t="s">
        <v>31345</v>
      </c>
      <c r="C81" t="s">
        <v>31346</v>
      </c>
      <c r="D81">
        <v>4943006379</v>
      </c>
      <c r="E81" t="s">
        <v>31347</v>
      </c>
      <c r="F81">
        <v>11464</v>
      </c>
      <c r="H81" s="109">
        <f>IFERROR(HLOOKUP(D81,'BR Details 05-2023'!$6:$9,4,FALSE),0)</f>
        <v>6101.65</v>
      </c>
      <c r="I81" s="105">
        <f t="shared" si="1"/>
        <v>5362.35</v>
      </c>
      <c r="J81" s="105">
        <f>+VLOOKUP(D81,L:N,3,FALSE())-H81</f>
        <v>507585.22</v>
      </c>
      <c r="L81" s="106">
        <v>325176751586</v>
      </c>
      <c r="M81" s="106" t="s">
        <v>25055</v>
      </c>
      <c r="N81">
        <f>+VLOOKUP(M81,'BS-Details'!D:K,8,FALSE())</f>
        <v>29616.26</v>
      </c>
    </row>
    <row r="82" spans="1:14" ht="14.25" customHeight="true">
      <c r="A82" t="s">
        <v>31350</v>
      </c>
      <c r="B82" t="s">
        <v>31345</v>
      </c>
      <c r="C82" t="s">
        <v>31346</v>
      </c>
      <c r="D82">
        <v>4943006379</v>
      </c>
      <c r="E82" t="s">
        <v>31347</v>
      </c>
      <c r="F82">
        <v>11464</v>
      </c>
      <c r="H82" s="109">
        <f>IFERROR(HLOOKUP(D82,'BR Details 05-2023'!$6:$9,4,FALSE),0)</f>
        <v>6101.65</v>
      </c>
      <c r="I82" s="105">
        <f t="shared" si="1"/>
        <v>5362.35</v>
      </c>
      <c r="J82" s="105">
        <f>+VLOOKUP(D82,L:N,3,FALSE())-H82</f>
        <v>507585.22</v>
      </c>
      <c r="L82" s="106">
        <v>45369592</v>
      </c>
      <c r="M82" s="106" t="s">
        <v>1172</v>
      </c>
      <c r="N82" t="e">
        <f>+VLOOKUP(M82,'BS-Details'!D:K,8,FALSE())</f>
        <v>#N/A</v>
      </c>
    </row>
    <row r="83" spans="1:14" ht="14.25" customHeight="true">
      <c r="A83" t="s">
        <v>31351</v>
      </c>
      <c r="B83" t="s">
        <v>31345</v>
      </c>
      <c r="C83" t="s">
        <v>31346</v>
      </c>
      <c r="D83">
        <v>4943006379</v>
      </c>
      <c r="E83" t="s">
        <v>31347</v>
      </c>
      <c r="F83">
        <v>5200</v>
      </c>
      <c r="H83" s="109">
        <f>IFERROR(HLOOKUP(D83,'BR Details 05-2023'!$6:$9,4,FALSE),0)</f>
        <v>6101.65</v>
      </c>
      <c r="I83" s="105">
        <f t="shared" si="1"/>
        <v>-901.65</v>
      </c>
      <c r="J83" s="105">
        <f>+VLOOKUP(D83,L:N,3,FALSE())-H83</f>
        <v>507585.22</v>
      </c>
      <c r="L83" s="106">
        <v>46129441</v>
      </c>
      <c r="M83" s="106" t="s">
        <v>1367</v>
      </c>
      <c r="N83" t="e">
        <f>+VLOOKUP(M83,'BS-Details'!D:K,8,FALSE())</f>
        <v>#N/A</v>
      </c>
    </row>
    <row r="84" spans="1:14" ht="14.25" customHeight="true">
      <c r="A84" t="s">
        <v>31352</v>
      </c>
      <c r="B84" t="s">
        <v>31345</v>
      </c>
      <c r="C84" t="s">
        <v>31346</v>
      </c>
      <c r="D84">
        <v>4943006379</v>
      </c>
      <c r="E84" t="s">
        <v>31347</v>
      </c>
      <c r="F84" s="108">
        <v>5000</v>
      </c>
      <c r="H84" s="109">
        <f>IFERROR(HLOOKUP(D84,'BR Details 05-2023'!$6:$9,4,FALSE),0)</f>
        <v>6101.65</v>
      </c>
      <c r="I84" s="105">
        <f t="shared" si="1"/>
        <v>-1101.65</v>
      </c>
      <c r="J84" s="105">
        <f>+VLOOKUP(D84,L:N,3,FALSE())-H84</f>
        <v>507585.22</v>
      </c>
      <c r="L84" s="106">
        <v>46084117</v>
      </c>
      <c r="M84" s="106" t="s">
        <v>1344</v>
      </c>
      <c r="N84" t="e">
        <f>+VLOOKUP(M84,'BS-Details'!D:K,8,FALSE())</f>
        <v>#N/A</v>
      </c>
    </row>
    <row r="85" spans="1:14" ht="14.25" customHeight="true">
      <c r="A85" t="s">
        <v>31353</v>
      </c>
      <c r="B85" t="s">
        <v>31345</v>
      </c>
      <c r="C85" t="s">
        <v>31346</v>
      </c>
      <c r="D85">
        <v>4943006379</v>
      </c>
      <c r="E85" t="s">
        <v>31347</v>
      </c>
      <c r="F85">
        <v>5000</v>
      </c>
      <c r="H85" s="109">
        <f>IFERROR(HLOOKUP(D85,'BR Details 05-2023'!$6:$9,4,FALSE),0)</f>
        <v>6101.65</v>
      </c>
      <c r="I85" s="105">
        <f t="shared" si="1"/>
        <v>-1101.65</v>
      </c>
      <c r="J85" s="105">
        <f>+VLOOKUP(D85,L:N,3,FALSE())-H85</f>
        <v>507585.22</v>
      </c>
      <c r="L85" s="106">
        <v>46339883</v>
      </c>
      <c r="M85" s="106" t="s">
        <v>1877</v>
      </c>
      <c r="N85">
        <f>+VLOOKUP(M85,'BS-Details'!D:K,8,FALSE())</f>
        <v>22172.16</v>
      </c>
    </row>
    <row r="86" spans="1:14" ht="14.25" customHeight="true">
      <c r="A86" t="s">
        <v>31354</v>
      </c>
      <c r="B86" t="s">
        <v>31345</v>
      </c>
      <c r="C86" t="s">
        <v>31346</v>
      </c>
      <c r="D86">
        <v>4943006379</v>
      </c>
      <c r="E86" t="s">
        <v>31347</v>
      </c>
      <c r="F86">
        <v>15555.52</v>
      </c>
      <c r="H86" s="109">
        <f>IFERROR(HLOOKUP(D86,'BR Details 05-2023'!$6:$9,4,FALSE),0)</f>
        <v>6101.65</v>
      </c>
      <c r="I86" s="105">
        <f t="shared" si="1"/>
        <v>9453.87</v>
      </c>
      <c r="J86" s="105">
        <f>+VLOOKUP(D86,L:N,3,FALSE())-H86</f>
        <v>507585.22</v>
      </c>
      <c r="L86" s="106">
        <v>325176753348</v>
      </c>
      <c r="M86" s="106" t="s">
        <v>25366</v>
      </c>
      <c r="N86">
        <f>+VLOOKUP(M86,'BS-Details'!D:K,8,FALSE())</f>
        <v>5038.82</v>
      </c>
    </row>
    <row r="87" spans="1:14" ht="14.25" customHeight="true">
      <c r="A87" t="s">
        <v>31355</v>
      </c>
      <c r="B87" t="s">
        <v>31345</v>
      </c>
      <c r="C87" t="s">
        <v>31346</v>
      </c>
      <c r="D87">
        <v>4943006379</v>
      </c>
      <c r="E87" t="s">
        <v>31347</v>
      </c>
      <c r="F87">
        <v>15555.52</v>
      </c>
      <c r="H87" s="109">
        <f>IFERROR(HLOOKUP(D87,'BR Details 05-2023'!$6:$9,4,FALSE),0)</f>
        <v>6101.65</v>
      </c>
      <c r="I87" s="105">
        <f t="shared" si="1"/>
        <v>9453.87</v>
      </c>
      <c r="J87" s="105">
        <f>+VLOOKUP(D87,L:N,3,FALSE())-H87</f>
        <v>507585.22</v>
      </c>
      <c r="L87" s="106">
        <v>48374763</v>
      </c>
      <c r="M87" s="106" t="s">
        <v>2820</v>
      </c>
      <c r="N87">
        <f>+VLOOKUP(M87,'BS-Details'!D:K,8,FALSE())</f>
        <v>-1855.72</v>
      </c>
    </row>
    <row r="88" spans="1:14" ht="14.25" customHeight="true">
      <c r="A88" t="s">
        <v>31356</v>
      </c>
      <c r="B88" t="s">
        <v>31345</v>
      </c>
      <c r="C88" t="s">
        <v>31346</v>
      </c>
      <c r="D88">
        <v>4943006379</v>
      </c>
      <c r="E88" t="s">
        <v>31347</v>
      </c>
      <c r="F88">
        <v>12571.76</v>
      </c>
      <c r="H88" s="109">
        <f>IFERROR(HLOOKUP(D88,'BR Details 05-2023'!$6:$9,4,FALSE),0)</f>
        <v>6101.65</v>
      </c>
      <c r="I88" s="105">
        <f t="shared" si="1"/>
        <v>6470.11</v>
      </c>
      <c r="J88" s="105">
        <f>+VLOOKUP(D88,L:N,3,FALSE())-H88</f>
        <v>507585.22</v>
      </c>
      <c r="L88" s="106">
        <v>325176762106</v>
      </c>
      <c r="M88" s="106" t="s">
        <v>30299</v>
      </c>
      <c r="N88">
        <f>+VLOOKUP(M88,'BS-Details'!D:K,8,FALSE())</f>
        <v>12878.14</v>
      </c>
    </row>
    <row r="89" spans="1:14" ht="14.25" customHeight="true">
      <c r="A89" t="s">
        <v>31357</v>
      </c>
      <c r="B89" t="s">
        <v>31345</v>
      </c>
      <c r="C89" t="s">
        <v>31346</v>
      </c>
      <c r="D89">
        <v>4943006379</v>
      </c>
      <c r="E89" t="s">
        <v>31347</v>
      </c>
      <c r="F89">
        <v>12571.76</v>
      </c>
      <c r="H89" s="109">
        <f>IFERROR(HLOOKUP(D89,'BR Details 05-2023'!$6:$9,4,FALSE),0)</f>
        <v>6101.65</v>
      </c>
      <c r="I89" s="105">
        <f t="shared" si="1"/>
        <v>6470.11</v>
      </c>
      <c r="J89" s="105">
        <f>+VLOOKUP(D89,L:N,3,FALSE())-H89</f>
        <v>507585.22</v>
      </c>
      <c r="L89" s="106">
        <v>50396878</v>
      </c>
      <c r="M89" s="106" t="s">
        <v>2675</v>
      </c>
      <c r="N89" t="e">
        <f>+VLOOKUP(M89,'BS-Details'!D:K,8,FALSE())</f>
        <v>#N/A</v>
      </c>
    </row>
    <row r="90" spans="1:14" ht="14.25" customHeight="true">
      <c r="A90" t="s">
        <v>31358</v>
      </c>
      <c r="B90" t="s">
        <v>31345</v>
      </c>
      <c r="C90" t="s">
        <v>31346</v>
      </c>
      <c r="D90">
        <v>4943006379</v>
      </c>
      <c r="E90" t="s">
        <v>31347</v>
      </c>
      <c r="F90">
        <v>12571.76</v>
      </c>
      <c r="H90" s="109">
        <f>IFERROR(HLOOKUP(D90,'BR Details 05-2023'!$6:$9,4,FALSE),0)</f>
        <v>6101.65</v>
      </c>
      <c r="I90" s="105">
        <f t="shared" si="1"/>
        <v>6470.11</v>
      </c>
      <c r="J90" s="105">
        <f>+VLOOKUP(D90,L:N,3,FALSE())-H90</f>
        <v>507585.22</v>
      </c>
      <c r="L90" s="106">
        <v>50376193</v>
      </c>
      <c r="M90" s="106" t="s">
        <v>1720</v>
      </c>
      <c r="N90">
        <f>+VLOOKUP(M90,'BS-Details'!D:K,8,FALSE())</f>
        <v>-7195.47</v>
      </c>
    </row>
    <row r="91" spans="1:14" ht="14.25" customHeight="true">
      <c r="A91" t="s">
        <v>31359</v>
      </c>
      <c r="B91" t="s">
        <v>31345</v>
      </c>
      <c r="C91" t="s">
        <v>31346</v>
      </c>
      <c r="D91">
        <v>4943006379</v>
      </c>
      <c r="E91" t="s">
        <v>31347</v>
      </c>
      <c r="F91">
        <v>89088.62</v>
      </c>
      <c r="H91" s="109">
        <f>IFERROR(HLOOKUP(D91,'BR Details 05-2023'!$6:$9,4,FALSE),0)</f>
        <v>6101.65</v>
      </c>
      <c r="I91" s="105">
        <f t="shared" si="1"/>
        <v>82986.97</v>
      </c>
      <c r="J91" s="105">
        <f>+VLOOKUP(D91,L:N,3,FALSE())-H91</f>
        <v>507585.22</v>
      </c>
      <c r="L91" s="106">
        <v>325176749925</v>
      </c>
      <c r="M91" s="106" t="s">
        <v>24763</v>
      </c>
      <c r="N91">
        <f>+VLOOKUP(M91,'BS-Details'!D:K,8,FALSE())</f>
        <v>50158.02</v>
      </c>
    </row>
    <row r="92" spans="1:14" ht="14.25" customHeight="true">
      <c r="A92" t="s">
        <v>31360</v>
      </c>
      <c r="B92" t="s">
        <v>31345</v>
      </c>
      <c r="C92" t="s">
        <v>31346</v>
      </c>
      <c r="D92">
        <v>4943006379</v>
      </c>
      <c r="E92" t="s">
        <v>31347</v>
      </c>
      <c r="F92" s="108">
        <v>88763.38</v>
      </c>
      <c r="H92" s="109">
        <f>IFERROR(HLOOKUP(D92,'BR Details 05-2023'!$6:$9,4,FALSE),0)</f>
        <v>6101.65</v>
      </c>
      <c r="I92" s="105">
        <f t="shared" si="1"/>
        <v>82661.73</v>
      </c>
      <c r="J92" s="105">
        <f>+VLOOKUP(D92,L:N,3,FALSE())-H92</f>
        <v>507585.22</v>
      </c>
      <c r="L92" s="106">
        <v>51665420</v>
      </c>
      <c r="M92" s="106" t="s">
        <v>2491</v>
      </c>
      <c r="N92">
        <f>+VLOOKUP(M92,'BS-Details'!D:K,8,FALSE())</f>
        <v>-3432.28</v>
      </c>
    </row>
    <row r="93" spans="1:14" ht="14.25" customHeight="true">
      <c r="A93" t="s">
        <v>31361</v>
      </c>
      <c r="B93" t="s">
        <v>31345</v>
      </c>
      <c r="C93" t="s">
        <v>31346</v>
      </c>
      <c r="D93">
        <v>4943006379</v>
      </c>
      <c r="E93" t="s">
        <v>31347</v>
      </c>
      <c r="F93">
        <v>86327.2</v>
      </c>
      <c r="H93" s="109">
        <f>IFERROR(HLOOKUP(D93,'BR Details 05-2023'!$6:$9,4,FALSE),0)</f>
        <v>6101.65</v>
      </c>
      <c r="I93" s="105">
        <f t="shared" si="1"/>
        <v>80225.55</v>
      </c>
      <c r="J93" s="105">
        <f>+VLOOKUP(D93,L:N,3,FALSE())-H93</f>
        <v>507585.22</v>
      </c>
      <c r="L93" s="106">
        <v>325176761518</v>
      </c>
      <c r="M93" s="106" t="s">
        <v>26605</v>
      </c>
      <c r="N93">
        <f>+VLOOKUP(M93,'BS-Details'!D:K,8,FALSE())</f>
        <v>30182.08</v>
      </c>
    </row>
    <row r="94" spans="1:14" ht="14.25" customHeight="true">
      <c r="A94" t="s">
        <v>31362</v>
      </c>
      <c r="B94" t="s">
        <v>31345</v>
      </c>
      <c r="C94" t="s">
        <v>31346</v>
      </c>
      <c r="D94">
        <v>4943006379</v>
      </c>
      <c r="E94" t="s">
        <v>31347</v>
      </c>
      <c r="F94">
        <v>86319.82</v>
      </c>
      <c r="H94" s="109">
        <f>IFERROR(HLOOKUP(D94,'BR Details 05-2023'!$6:$9,4,FALSE),0)</f>
        <v>6101.65</v>
      </c>
      <c r="I94" s="105">
        <f t="shared" si="1"/>
        <v>80218.17</v>
      </c>
      <c r="J94" s="105">
        <f>+VLOOKUP(D94,L:N,3,FALSE())-H94</f>
        <v>507585.22</v>
      </c>
      <c r="L94" s="106">
        <v>50845692</v>
      </c>
      <c r="M94" s="106" t="s">
        <v>948</v>
      </c>
      <c r="N94">
        <f>+VLOOKUP(M94,'BS-Details'!D:K,8,FALSE())</f>
        <v>-9806.06</v>
      </c>
    </row>
    <row r="95" spans="1:14" ht="14.25" customHeight="true">
      <c r="A95" t="s">
        <v>31363</v>
      </c>
      <c r="B95" t="s">
        <v>31345</v>
      </c>
      <c r="C95" t="s">
        <v>31346</v>
      </c>
      <c r="D95">
        <v>4943006379</v>
      </c>
      <c r="E95" t="s">
        <v>31347</v>
      </c>
      <c r="F95">
        <v>5000</v>
      </c>
      <c r="H95" s="109">
        <f>IFERROR(HLOOKUP(D95,'BR Details 05-2023'!$6:$9,4,FALSE),0)</f>
        <v>6101.65</v>
      </c>
      <c r="I95" s="105">
        <f t="shared" si="1"/>
        <v>-1101.65</v>
      </c>
      <c r="J95" s="105">
        <f>+VLOOKUP(D95,L:N,3,FALSE())-H95</f>
        <v>507585.22</v>
      </c>
      <c r="L95" s="106">
        <v>325176740733</v>
      </c>
      <c r="M95" s="106" t="s">
        <v>18377</v>
      </c>
      <c r="N95">
        <f>+VLOOKUP(M95,'BS-Details'!D:K,8,FALSE())</f>
        <v>36479.84</v>
      </c>
    </row>
    <row r="96" spans="1:14" ht="14.25" customHeight="true">
      <c r="A96" t="s">
        <v>31364</v>
      </c>
      <c r="B96" t="s">
        <v>31345</v>
      </c>
      <c r="C96" t="s">
        <v>31346</v>
      </c>
      <c r="D96">
        <v>4943006379</v>
      </c>
      <c r="E96" t="s">
        <v>31347</v>
      </c>
      <c r="F96">
        <v>222874.51</v>
      </c>
      <c r="H96" s="109">
        <f>IFERROR(HLOOKUP(D96,'BR Details 05-2023'!$6:$9,4,FALSE),0)</f>
        <v>6101.65</v>
      </c>
      <c r="I96" s="105">
        <f t="shared" si="1"/>
        <v>216772.86</v>
      </c>
      <c r="J96" s="105">
        <f>+VLOOKUP(D96,L:N,3,FALSE())-H96</f>
        <v>507585.22</v>
      </c>
      <c r="L96" s="106">
        <v>51669901</v>
      </c>
      <c r="M96" s="106" t="s">
        <v>323</v>
      </c>
      <c r="N96" t="e">
        <f>+VLOOKUP(M96,'BS-Details'!D:K,8,FALSE())</f>
        <v>#N/A</v>
      </c>
    </row>
    <row r="97" spans="1:14" ht="14.25" customHeight="true">
      <c r="A97" t="s">
        <v>31365</v>
      </c>
      <c r="B97" t="s">
        <v>31345</v>
      </c>
      <c r="C97" t="s">
        <v>31346</v>
      </c>
      <c r="D97">
        <v>4943006379</v>
      </c>
      <c r="E97" t="s">
        <v>31347</v>
      </c>
      <c r="F97">
        <v>144579.64</v>
      </c>
      <c r="H97" s="109">
        <f>IFERROR(HLOOKUP(D97,'BR Details 05-2023'!$6:$9,4,FALSE),0)</f>
        <v>6101.65</v>
      </c>
      <c r="I97" s="105">
        <f t="shared" si="1"/>
        <v>138477.99</v>
      </c>
      <c r="J97" s="105">
        <f>+VLOOKUP(D97,L:N,3,FALSE())-H97</f>
        <v>507585.22</v>
      </c>
      <c r="L97" s="106">
        <v>52973062</v>
      </c>
      <c r="M97" s="106" t="s">
        <v>628</v>
      </c>
      <c r="N97">
        <f>+VLOOKUP(M97,'BS-Details'!D:K,8,FALSE())</f>
        <v>212.27</v>
      </c>
    </row>
    <row r="98" spans="1:14" ht="14.25" customHeight="true">
      <c r="A98" t="s">
        <v>31366</v>
      </c>
      <c r="B98" t="s">
        <v>31345</v>
      </c>
      <c r="C98" t="s">
        <v>31346</v>
      </c>
      <c r="D98">
        <v>4943006379</v>
      </c>
      <c r="E98" t="s">
        <v>31347</v>
      </c>
      <c r="F98" s="108">
        <v>101025.23</v>
      </c>
      <c r="H98" s="109">
        <f>IFERROR(HLOOKUP(D98,'BR Details 05-2023'!$6:$9,4,FALSE),0)</f>
        <v>6101.65</v>
      </c>
      <c r="I98" s="105">
        <f t="shared" si="1"/>
        <v>94923.58</v>
      </c>
      <c r="J98" s="105">
        <f>+VLOOKUP(D98,L:N,3,FALSE())-H98</f>
        <v>507585.22</v>
      </c>
      <c r="L98" s="106">
        <v>325176735023</v>
      </c>
      <c r="M98" s="106" t="s">
        <v>17189</v>
      </c>
      <c r="N98">
        <f>+VLOOKUP(M98,'BS-Details'!D:K,8,FALSE())</f>
        <v>53079.83</v>
      </c>
    </row>
    <row r="99" spans="1:14" ht="14.25" customHeight="true">
      <c r="A99" t="s">
        <v>31367</v>
      </c>
      <c r="B99" t="s">
        <v>31345</v>
      </c>
      <c r="C99" t="s">
        <v>31346</v>
      </c>
      <c r="D99">
        <v>4943006379</v>
      </c>
      <c r="E99" t="s">
        <v>31347</v>
      </c>
      <c r="F99" s="108">
        <v>62405.21</v>
      </c>
      <c r="H99" s="109">
        <f>IFERROR(HLOOKUP(D99,'BR Details 05-2023'!$6:$9,4,FALSE),0)</f>
        <v>6101.65</v>
      </c>
      <c r="I99" s="105">
        <f t="shared" si="1"/>
        <v>56303.56</v>
      </c>
      <c r="J99" s="105">
        <f>+VLOOKUP(D99,L:N,3,FALSE())-H99</f>
        <v>507585.22</v>
      </c>
      <c r="L99" s="106">
        <v>52990108</v>
      </c>
      <c r="M99" s="106" t="s">
        <v>1535</v>
      </c>
      <c r="N99">
        <f>+VLOOKUP(M99,'BS-Details'!D:K,8,FALSE())</f>
        <v>-2042.27</v>
      </c>
    </row>
    <row r="100" spans="1:14" ht="14.25" customHeight="true">
      <c r="A100" t="s">
        <v>31368</v>
      </c>
      <c r="B100" t="s">
        <v>31345</v>
      </c>
      <c r="C100" t="s">
        <v>31346</v>
      </c>
      <c r="D100">
        <v>4943006379</v>
      </c>
      <c r="E100" t="s">
        <v>31347</v>
      </c>
      <c r="F100" s="108">
        <v>5000</v>
      </c>
      <c r="H100" s="109">
        <f>IFERROR(HLOOKUP(D100,'BR Details 05-2023'!$6:$9,4,FALSE),0)</f>
        <v>6101.65</v>
      </c>
      <c r="I100" s="105">
        <f t="shared" si="1"/>
        <v>-1101.65</v>
      </c>
      <c r="J100" s="105">
        <f>+VLOOKUP(D100,L:N,3,FALSE())-H100</f>
        <v>507585.22</v>
      </c>
      <c r="L100" s="106">
        <v>325176744425</v>
      </c>
      <c r="M100" s="106" t="s">
        <v>22158</v>
      </c>
      <c r="N100">
        <f>+VLOOKUP(M100,'BS-Details'!D:K,8,FALSE())</f>
        <v>27872.69</v>
      </c>
    </row>
    <row r="101" spans="1:14" ht="14.25" customHeight="true">
      <c r="A101" t="s">
        <v>31369</v>
      </c>
      <c r="B101" t="s">
        <v>31370</v>
      </c>
      <c r="C101" t="s">
        <v>31371</v>
      </c>
      <c r="D101">
        <v>325134094997</v>
      </c>
      <c r="E101" t="s">
        <v>31372</v>
      </c>
      <c r="F101" s="108">
        <v>0</v>
      </c>
      <c r="H101" s="109">
        <f>IFERROR(HLOOKUP(D101,'BR Details 05-2023'!$6:$9,4,FALSE),0)</f>
        <v>0</v>
      </c>
      <c r="I101" s="105">
        <f t="shared" si="1"/>
        <v>0</v>
      </c>
      <c r="J101" s="105" t="e">
        <f>+VLOOKUP(D101,L:N,3,FALSE())-H101</f>
        <v>#N/A</v>
      </c>
      <c r="L101" s="106">
        <v>53567889</v>
      </c>
      <c r="M101" s="106" t="s">
        <v>1632</v>
      </c>
      <c r="N101">
        <f>+VLOOKUP(M101,'BS-Details'!D:K,8,FALSE())</f>
        <v>3044.04</v>
      </c>
    </row>
    <row r="102" spans="1:14" ht="14.25" customHeight="true">
      <c r="A102" t="s">
        <v>31369</v>
      </c>
      <c r="B102" t="s">
        <v>31370</v>
      </c>
      <c r="C102" t="s">
        <v>31373</v>
      </c>
      <c r="D102">
        <v>325134094984</v>
      </c>
      <c r="E102" t="s">
        <v>31372</v>
      </c>
      <c r="F102" s="108">
        <v>1690267.16</v>
      </c>
      <c r="H102" s="109">
        <f>IFERROR(HLOOKUP(D102,'BR Details 05-2023'!$6:$9,4,FALSE),0)</f>
        <v>0</v>
      </c>
      <c r="I102" s="105">
        <f t="shared" si="1"/>
        <v>1690267.16</v>
      </c>
      <c r="J102" s="105" t="e">
        <f>+VLOOKUP(D102,L:N,3,FALSE())-H102</f>
        <v>#N/A</v>
      </c>
      <c r="L102" s="106">
        <v>325176746708</v>
      </c>
      <c r="M102" s="106" t="s">
        <v>24169</v>
      </c>
      <c r="N102">
        <f>+VLOOKUP(M102,'BS-Details'!D:K,8,FALSE())</f>
        <v>22074.38</v>
      </c>
    </row>
    <row r="103" spans="1:14" ht="14.25" customHeight="true">
      <c r="A103" t="s">
        <v>31369</v>
      </c>
      <c r="B103" t="s">
        <v>31370</v>
      </c>
      <c r="C103" t="s">
        <v>31374</v>
      </c>
      <c r="D103">
        <v>325134104104</v>
      </c>
      <c r="E103" t="s">
        <v>31372</v>
      </c>
      <c r="F103">
        <v>0</v>
      </c>
      <c r="H103" s="109">
        <f>IFERROR(HLOOKUP(D103,'BR Details 05-2023'!$6:$9,4,FALSE),0)</f>
        <v>0</v>
      </c>
      <c r="I103" s="105">
        <f t="shared" si="1"/>
        <v>0</v>
      </c>
      <c r="J103" s="105" t="e">
        <f>+VLOOKUP(D103,L:N,3,FALSE())-H103</f>
        <v>#N/A</v>
      </c>
      <c r="L103" s="106">
        <v>53560132</v>
      </c>
      <c r="M103" s="106" t="s">
        <v>2798</v>
      </c>
      <c r="N103" t="e">
        <f>+VLOOKUP(M103,'BS-Details'!D:K,8,FALSE())</f>
        <v>#N/A</v>
      </c>
    </row>
    <row r="104" spans="1:14" ht="14.25" customHeight="true">
      <c r="A104" t="s">
        <v>31369</v>
      </c>
      <c r="B104" t="s">
        <v>31370</v>
      </c>
      <c r="C104" t="s">
        <v>31375</v>
      </c>
      <c r="D104">
        <v>325134094971</v>
      </c>
      <c r="E104" t="s">
        <v>31372</v>
      </c>
      <c r="F104">
        <v>0</v>
      </c>
      <c r="H104" s="109">
        <f>IFERROR(HLOOKUP(D104,'BR Details 05-2023'!$6:$9,4,FALSE),0)</f>
        <v>0</v>
      </c>
      <c r="I104" s="105">
        <f t="shared" si="1"/>
        <v>0</v>
      </c>
      <c r="J104" s="105" t="e">
        <f>+VLOOKUP(D104,L:N,3,FALSE())-H104</f>
        <v>#N/A</v>
      </c>
      <c r="L104" s="106">
        <v>53538286</v>
      </c>
      <c r="M104" s="106" t="s">
        <v>2699</v>
      </c>
      <c r="N104">
        <f>+VLOOKUP(M104,'BS-Details'!D:K,8,FALSE())</f>
        <v>2325.52</v>
      </c>
    </row>
    <row r="105" spans="1:14" ht="14.25" customHeight="true">
      <c r="A105" t="s">
        <v>31369</v>
      </c>
      <c r="B105" t="s">
        <v>31370</v>
      </c>
      <c r="C105" t="s">
        <v>31376</v>
      </c>
      <c r="D105">
        <v>325134094968</v>
      </c>
      <c r="E105" t="s">
        <v>31372</v>
      </c>
      <c r="F105">
        <v>0</v>
      </c>
      <c r="H105" s="109">
        <f>IFERROR(HLOOKUP(D105,'BR Details 05-2023'!$6:$9,4,FALSE),0)</f>
        <v>0</v>
      </c>
      <c r="I105" s="105">
        <f t="shared" si="1"/>
        <v>0</v>
      </c>
      <c r="J105" s="105" t="e">
        <f>+VLOOKUP(D105,L:N,3,FALSE())-H105</f>
        <v>#N/A</v>
      </c>
      <c r="L105" s="106">
        <v>325176761631</v>
      </c>
      <c r="M105" s="106" t="s">
        <v>28105</v>
      </c>
      <c r="N105">
        <f>+VLOOKUP(M105,'BS-Details'!D:K,8,FALSE())</f>
        <v>663.2</v>
      </c>
    </row>
    <row r="106" spans="1:14" ht="14.25" customHeight="true">
      <c r="A106" t="s">
        <v>31369</v>
      </c>
      <c r="B106" t="s">
        <v>31370</v>
      </c>
      <c r="C106" t="s">
        <v>31377</v>
      </c>
      <c r="D106">
        <v>325134097415</v>
      </c>
      <c r="E106" t="s">
        <v>31372</v>
      </c>
      <c r="F106">
        <v>380.69</v>
      </c>
      <c r="H106" s="109">
        <f>IFERROR(HLOOKUP(D106,'BR Details 05-2023'!$6:$9,4,FALSE),0)</f>
        <v>0</v>
      </c>
      <c r="I106" s="105">
        <f t="shared" si="1"/>
        <v>380.69</v>
      </c>
      <c r="J106" s="105" t="e">
        <f>+VLOOKUP(D106,L:N,3,FALSE())-H106</f>
        <v>#N/A</v>
      </c>
      <c r="L106" s="106">
        <v>54663992</v>
      </c>
      <c r="M106" s="106" t="s">
        <v>408</v>
      </c>
      <c r="N106">
        <f>+VLOOKUP(M106,'BS-Details'!D:K,8,FALSE())</f>
        <v>23704.55</v>
      </c>
    </row>
    <row r="107" spans="1:14" ht="14.25" customHeight="true">
      <c r="A107" t="s">
        <v>31369</v>
      </c>
      <c r="B107" t="s">
        <v>31370</v>
      </c>
      <c r="C107" t="s">
        <v>31378</v>
      </c>
      <c r="D107">
        <v>325134097428</v>
      </c>
      <c r="E107" t="s">
        <v>31372</v>
      </c>
      <c r="F107">
        <v>380.69</v>
      </c>
      <c r="H107" s="109">
        <f>IFERROR(HLOOKUP(D107,'BR Details 05-2023'!$6:$9,4,FALSE),0)</f>
        <v>0</v>
      </c>
      <c r="I107" s="105">
        <f t="shared" si="1"/>
        <v>380.69</v>
      </c>
      <c r="J107" s="105" t="e">
        <f>+VLOOKUP(D107,L:N,3,FALSE())-H107</f>
        <v>#N/A</v>
      </c>
      <c r="L107" s="106">
        <v>325176730031</v>
      </c>
      <c r="M107" s="106" t="s">
        <v>15823</v>
      </c>
      <c r="N107">
        <f>+VLOOKUP(M107,'BS-Details'!D:K,8,FALSE())</f>
        <v>22564.61</v>
      </c>
    </row>
    <row r="108" spans="1:14" ht="14.25" customHeight="true">
      <c r="A108" t="s">
        <v>31369</v>
      </c>
      <c r="B108" t="s">
        <v>31370</v>
      </c>
      <c r="C108" t="s">
        <v>31379</v>
      </c>
      <c r="D108">
        <v>325134097431</v>
      </c>
      <c r="E108" t="s">
        <v>31372</v>
      </c>
      <c r="F108">
        <v>322.6</v>
      </c>
      <c r="H108" s="109">
        <f>IFERROR(HLOOKUP(D108,'BR Details 05-2023'!$6:$9,4,FALSE),0)</f>
        <v>0</v>
      </c>
      <c r="I108" s="105">
        <f t="shared" si="1"/>
        <v>322.6</v>
      </c>
      <c r="J108" s="105" t="e">
        <f>+VLOOKUP(D108,L:N,3,FALSE())-H108</f>
        <v>#N/A</v>
      </c>
      <c r="L108" s="106">
        <v>54617568</v>
      </c>
      <c r="M108" s="106" t="s">
        <v>514</v>
      </c>
      <c r="N108">
        <f>+VLOOKUP(M108,'BS-Details'!D:K,8,FALSE())</f>
        <v>494.76</v>
      </c>
    </row>
    <row r="109" spans="1:14" ht="14.25" customHeight="true">
      <c r="A109" t="s">
        <v>31369</v>
      </c>
      <c r="B109" s="108" t="s">
        <v>31370</v>
      </c>
      <c r="C109" t="s">
        <v>31380</v>
      </c>
      <c r="D109">
        <v>325134097457</v>
      </c>
      <c r="E109" t="s">
        <v>31372</v>
      </c>
      <c r="F109">
        <v>380.69</v>
      </c>
      <c r="H109" s="109">
        <f>IFERROR(HLOOKUP(D109,'BR Details 05-2023'!$6:$9,4,FALSE),0)</f>
        <v>0</v>
      </c>
      <c r="I109" s="105">
        <f t="shared" si="1"/>
        <v>380.69</v>
      </c>
      <c r="J109" s="105" t="e">
        <f>+VLOOKUP(D109,L:N,3,FALSE())-H109</f>
        <v>#N/A</v>
      </c>
      <c r="L109" s="106">
        <v>325176732152</v>
      </c>
      <c r="M109" s="106" t="s">
        <v>16593</v>
      </c>
      <c r="N109">
        <f>+VLOOKUP(M109,'BS-Details'!D:K,8,FALSE())</f>
        <v>37352.31</v>
      </c>
    </row>
    <row r="110" spans="1:14" ht="14.25" customHeight="true">
      <c r="A110" t="s">
        <v>31369</v>
      </c>
      <c r="B110" t="s">
        <v>31370</v>
      </c>
      <c r="C110" t="s">
        <v>31381</v>
      </c>
      <c r="D110">
        <v>325134082048</v>
      </c>
      <c r="E110" t="s">
        <v>31372</v>
      </c>
      <c r="F110">
        <v>0</v>
      </c>
      <c r="H110" s="109">
        <f>IFERROR(HLOOKUP(D110,'BR Details 05-2023'!$6:$9,4,FALSE),0)</f>
        <v>0</v>
      </c>
      <c r="I110" s="105">
        <f t="shared" si="1"/>
        <v>0</v>
      </c>
      <c r="J110" s="105" t="e">
        <f>+VLOOKUP(D110,L:N,3,FALSE())-H110</f>
        <v>#N/A</v>
      </c>
      <c r="L110" s="106">
        <v>55872626</v>
      </c>
      <c r="M110" s="106" t="s">
        <v>2759</v>
      </c>
      <c r="N110">
        <f>+VLOOKUP(M110,'BS-Details'!D:K,8,FALSE())</f>
        <v>-590</v>
      </c>
    </row>
    <row r="111" spans="1:14" ht="14.25" customHeight="true">
      <c r="A111" t="s">
        <v>31369</v>
      </c>
      <c r="B111" t="s">
        <v>31370</v>
      </c>
      <c r="C111" t="s">
        <v>31382</v>
      </c>
      <c r="D111">
        <v>325134082035</v>
      </c>
      <c r="E111" t="s">
        <v>31372</v>
      </c>
      <c r="F111">
        <v>0</v>
      </c>
      <c r="H111" s="109">
        <f>IFERROR(HLOOKUP(D111,'BR Details 05-2023'!$6:$9,4,FALSE),0)</f>
        <v>0</v>
      </c>
      <c r="I111" s="105">
        <f t="shared" si="1"/>
        <v>0</v>
      </c>
      <c r="J111" s="105" t="e">
        <f>+VLOOKUP(D111,L:N,3,FALSE())-H111</f>
        <v>#N/A</v>
      </c>
      <c r="L111" s="106">
        <v>325176761903</v>
      </c>
      <c r="M111" s="106" t="s">
        <v>29013</v>
      </c>
      <c r="N111">
        <f>+VLOOKUP(M111,'BS-Details'!D:K,8,FALSE())</f>
        <v>20334.08</v>
      </c>
    </row>
    <row r="112" spans="1:14" ht="14.25" customHeight="true">
      <c r="A112" t="s">
        <v>31369</v>
      </c>
      <c r="B112" t="s">
        <v>31370</v>
      </c>
      <c r="C112" t="s">
        <v>31383</v>
      </c>
      <c r="D112">
        <v>325134082051</v>
      </c>
      <c r="E112" t="s">
        <v>31372</v>
      </c>
      <c r="F112">
        <v>0</v>
      </c>
      <c r="H112" s="109">
        <f>IFERROR(HLOOKUP(D112,'BR Details 05-2023'!$6:$9,4,FALSE),0)</f>
        <v>0</v>
      </c>
      <c r="I112" s="105">
        <f t="shared" si="1"/>
        <v>0</v>
      </c>
      <c r="J112" s="105" t="e">
        <f>+VLOOKUP(D112,L:N,3,FALSE())-H112</f>
        <v>#N/A</v>
      </c>
      <c r="L112" s="106">
        <v>54917901</v>
      </c>
      <c r="M112" s="106" t="s">
        <v>1946</v>
      </c>
      <c r="N112" t="e">
        <f>+VLOOKUP(M112,'BS-Details'!D:K,8,FALSE())</f>
        <v>#N/A</v>
      </c>
    </row>
    <row r="113" spans="1:14" ht="14.25" customHeight="true">
      <c r="A113" t="s">
        <v>31369</v>
      </c>
      <c r="B113" s="108" t="s">
        <v>31370</v>
      </c>
      <c r="C113" t="s">
        <v>31384</v>
      </c>
      <c r="D113">
        <v>325134106571</v>
      </c>
      <c r="E113" t="s">
        <v>31372</v>
      </c>
      <c r="F113">
        <v>400.69</v>
      </c>
      <c r="H113" s="109">
        <f>IFERROR(HLOOKUP(D113,'BR Details 05-2023'!$6:$9,4,FALSE),0)</f>
        <v>0</v>
      </c>
      <c r="I113" s="105">
        <f t="shared" si="1"/>
        <v>400.69</v>
      </c>
      <c r="J113" s="105" t="e">
        <f>+VLOOKUP(D113,L:N,3,FALSE())-H113</f>
        <v>#N/A</v>
      </c>
      <c r="L113" s="106">
        <v>55872402</v>
      </c>
      <c r="M113" s="106" t="s">
        <v>1685</v>
      </c>
      <c r="N113">
        <f>+VLOOKUP(M113,'BS-Details'!D:K,8,FALSE())</f>
        <v>9125.03</v>
      </c>
    </row>
    <row r="114" spans="1:14" ht="14.25" customHeight="true">
      <c r="A114" t="s">
        <v>31369</v>
      </c>
      <c r="B114" t="s">
        <v>31370</v>
      </c>
      <c r="C114" t="s">
        <v>31385</v>
      </c>
      <c r="D114">
        <v>325134097460</v>
      </c>
      <c r="E114" t="s">
        <v>31372</v>
      </c>
      <c r="F114">
        <v>380.69</v>
      </c>
      <c r="H114" s="109">
        <f>IFERROR(HLOOKUP(D114,'BR Details 05-2023'!$6:$9,4,FALSE),0)</f>
        <v>0</v>
      </c>
      <c r="I114" s="105">
        <f t="shared" si="1"/>
        <v>380.69</v>
      </c>
      <c r="J114" s="105" t="e">
        <f>+VLOOKUP(D114,L:N,3,FALSE())-H114</f>
        <v>#N/A</v>
      </c>
      <c r="L114" s="106">
        <v>325176748120</v>
      </c>
      <c r="M114" s="106" t="s">
        <v>24472</v>
      </c>
      <c r="N114">
        <f>+VLOOKUP(M114,'BS-Details'!D:K,8,FALSE())</f>
        <v>24092.87</v>
      </c>
    </row>
    <row r="115" spans="1:14" ht="14.25" customHeight="true">
      <c r="A115" t="s">
        <v>31369</v>
      </c>
      <c r="B115" t="s">
        <v>31370</v>
      </c>
      <c r="C115" t="s">
        <v>31386</v>
      </c>
      <c r="D115">
        <v>325134113001</v>
      </c>
      <c r="E115" t="s">
        <v>31372</v>
      </c>
      <c r="F115">
        <v>0</v>
      </c>
      <c r="H115" s="109">
        <f>IFERROR(HLOOKUP(D115,'BR Details 05-2023'!$6:$9,4,FALSE),0)</f>
        <v>0</v>
      </c>
      <c r="I115" s="105">
        <f t="shared" si="1"/>
        <v>0</v>
      </c>
      <c r="J115" s="105">
        <f>+VLOOKUP(D115,L:N,3,FALSE())-H115</f>
        <v>-3009.04</v>
      </c>
      <c r="L115" s="106">
        <v>55872857</v>
      </c>
      <c r="M115" s="106" t="s">
        <v>1460</v>
      </c>
      <c r="N115">
        <f>+VLOOKUP(M115,'BS-Details'!D:K,8,FALSE())</f>
        <v>18068.6</v>
      </c>
    </row>
    <row r="116" spans="1:14" ht="14.25" customHeight="true">
      <c r="A116" t="s">
        <v>31369</v>
      </c>
      <c r="B116" t="s">
        <v>31370</v>
      </c>
      <c r="C116" t="s">
        <v>31387</v>
      </c>
      <c r="D116">
        <v>325134112989</v>
      </c>
      <c r="E116" t="s">
        <v>31372</v>
      </c>
      <c r="F116">
        <v>22042.25</v>
      </c>
      <c r="H116" s="109">
        <f>IFERROR(HLOOKUP(D116,'BR Details 05-2023'!$6:$9,4,FALSE),0)</f>
        <v>22042.25</v>
      </c>
      <c r="I116" s="105">
        <f t="shared" si="1"/>
        <v>0</v>
      </c>
      <c r="J116" s="105">
        <f>+VLOOKUP(D116,L:N,3,FALSE())-H116</f>
        <v>-1902.02</v>
      </c>
      <c r="L116" s="106">
        <v>325176742980</v>
      </c>
      <c r="M116" s="106" t="s">
        <v>21329</v>
      </c>
      <c r="N116">
        <f>+VLOOKUP(M116,'BS-Details'!D:K,8,FALSE())</f>
        <v>20036.33</v>
      </c>
    </row>
    <row r="117" spans="1:14" ht="14.25" customHeight="true">
      <c r="A117" t="s">
        <v>31369</v>
      </c>
      <c r="B117" t="s">
        <v>31370</v>
      </c>
      <c r="C117" t="s">
        <v>31388</v>
      </c>
      <c r="D117">
        <v>325134112992</v>
      </c>
      <c r="E117" t="s">
        <v>31372</v>
      </c>
      <c r="F117">
        <v>0</v>
      </c>
      <c r="H117" s="104">
        <f>IFERROR(HLOOKUP(D117,'BR Details 05-2023'!$6:$9,4,FALSE),0)</f>
        <v>0</v>
      </c>
      <c r="I117" s="105">
        <f t="shared" si="1"/>
        <v>0</v>
      </c>
      <c r="J117" s="105">
        <f>+VLOOKUP(D117,L:N,3,FALSE())-H117</f>
        <v>65</v>
      </c>
      <c r="L117" s="106">
        <v>56849680</v>
      </c>
      <c r="M117" s="106" t="s">
        <v>31389</v>
      </c>
      <c r="N117" t="e">
        <f>+VLOOKUP(M117,'BS-Details'!D:K,8,FALSE())</f>
        <v>#N/A</v>
      </c>
    </row>
    <row r="118" spans="1:14" ht="14.25" customHeight="true">
      <c r="A118" t="s">
        <v>31369</v>
      </c>
      <c r="B118" t="s">
        <v>31370</v>
      </c>
      <c r="C118" t="s">
        <v>31390</v>
      </c>
      <c r="D118">
        <v>325134082077</v>
      </c>
      <c r="E118" t="s">
        <v>31372</v>
      </c>
      <c r="F118">
        <v>0</v>
      </c>
      <c r="H118" s="104">
        <f>IFERROR(HLOOKUP(D118,'BR Details 05-2023'!$6:$9,4,FALSE),0)</f>
        <v>0</v>
      </c>
      <c r="I118" s="105">
        <f t="shared" si="1"/>
        <v>0</v>
      </c>
      <c r="J118" s="105" t="e">
        <f>+VLOOKUP(D118,L:N,3,FALSE())-H118</f>
        <v>#N/A</v>
      </c>
      <c r="L118" s="106">
        <v>1504912147</v>
      </c>
      <c r="M118" s="106" t="s">
        <v>7061</v>
      </c>
      <c r="N118">
        <f>+VLOOKUP(M118,'BS-Details'!D:K,8,FALSE())</f>
        <v>105052.38</v>
      </c>
    </row>
    <row r="119" spans="1:14" ht="14.25" customHeight="true">
      <c r="A119" t="s">
        <v>31369</v>
      </c>
      <c r="B119" t="s">
        <v>31370</v>
      </c>
      <c r="C119" t="s">
        <v>31391</v>
      </c>
      <c r="D119">
        <v>325134082064</v>
      </c>
      <c r="E119" t="s">
        <v>31372</v>
      </c>
      <c r="F119">
        <v>0</v>
      </c>
      <c r="H119" s="104">
        <f>IFERROR(HLOOKUP(D119,'BR Details 05-2023'!$6:$9,4,FALSE),0)</f>
        <v>0</v>
      </c>
      <c r="I119" s="105">
        <f t="shared" si="1"/>
        <v>0</v>
      </c>
      <c r="J119" s="105" t="e">
        <f>+VLOOKUP(D119,L:N,3,FALSE())-H119</f>
        <v>#N/A</v>
      </c>
      <c r="L119" s="106">
        <v>56915341</v>
      </c>
      <c r="M119" s="106" t="s">
        <v>1503</v>
      </c>
      <c r="N119">
        <f>+VLOOKUP(M119,'BS-Details'!D:K,8,FALSE())</f>
        <v>2865.21</v>
      </c>
    </row>
    <row r="120" spans="1:14" ht="14.25" customHeight="true">
      <c r="A120" t="s">
        <v>31369</v>
      </c>
      <c r="B120" t="s">
        <v>31370</v>
      </c>
      <c r="C120" t="s">
        <v>31392</v>
      </c>
      <c r="D120">
        <v>325134097473</v>
      </c>
      <c r="E120" t="s">
        <v>31372</v>
      </c>
      <c r="F120">
        <v>380.69</v>
      </c>
      <c r="H120" s="104">
        <f>IFERROR(HLOOKUP(D120,'BR Details 05-2023'!$6:$9,4,FALSE),0)</f>
        <v>0</v>
      </c>
      <c r="I120" s="105">
        <f t="shared" si="1"/>
        <v>380.69</v>
      </c>
      <c r="J120" s="105" t="e">
        <f>+VLOOKUP(D120,L:N,3,FALSE())-H120</f>
        <v>#N/A</v>
      </c>
      <c r="L120" s="106">
        <v>1001000437</v>
      </c>
      <c r="M120" s="106" t="s">
        <v>13637</v>
      </c>
      <c r="N120">
        <f>+VLOOKUP(M120,'BS-Details'!D:K,8,FALSE())</f>
        <v>-186153.14</v>
      </c>
    </row>
    <row r="121" spans="1:14" ht="14.25" customHeight="true">
      <c r="A121" t="s">
        <v>31369</v>
      </c>
      <c r="B121" t="s">
        <v>31370</v>
      </c>
      <c r="C121" t="s">
        <v>31302</v>
      </c>
      <c r="D121">
        <v>325134130181</v>
      </c>
      <c r="E121" t="s">
        <v>31372</v>
      </c>
      <c r="F121">
        <v>367.89</v>
      </c>
      <c r="H121" s="104">
        <f>IFERROR(HLOOKUP(D121,'BR Details 05-2023'!$6:$9,4,FALSE),0)</f>
        <v>0</v>
      </c>
      <c r="I121" s="105">
        <f t="shared" si="1"/>
        <v>367.89</v>
      </c>
      <c r="J121" s="105" t="e">
        <f>+VLOOKUP(D121,L:N,3,FALSE())-H121</f>
        <v>#N/A</v>
      </c>
      <c r="L121" s="106">
        <v>60469160</v>
      </c>
      <c r="M121" s="106" t="s">
        <v>1097</v>
      </c>
      <c r="N121" t="e">
        <f>+VLOOKUP(M121,'BS-Details'!D:K,8,FALSE())</f>
        <v>#N/A</v>
      </c>
    </row>
    <row r="122" spans="1:14" ht="14.25" customHeight="true">
      <c r="A122" t="s">
        <v>31369</v>
      </c>
      <c r="B122" t="s">
        <v>31370</v>
      </c>
      <c r="C122" t="s">
        <v>31285</v>
      </c>
      <c r="D122">
        <v>325134130194</v>
      </c>
      <c r="E122" t="s">
        <v>31372</v>
      </c>
      <c r="F122">
        <v>7698.14</v>
      </c>
      <c r="H122" s="104">
        <f>IFERROR(HLOOKUP(D122,'BR Details 05-2023'!$6:$9,4,FALSE),0)</f>
        <v>0</v>
      </c>
      <c r="I122" s="105">
        <f t="shared" si="1"/>
        <v>7698.14</v>
      </c>
      <c r="J122" s="105" t="e">
        <f>+VLOOKUP(D122,L:N,3,FALSE())-H122</f>
        <v>#N/A</v>
      </c>
      <c r="L122" s="106">
        <v>60474103</v>
      </c>
      <c r="M122" s="106" t="s">
        <v>1300</v>
      </c>
      <c r="N122">
        <f>+VLOOKUP(M122,'BS-Details'!D:K,8,FALSE())</f>
        <v>-260380.62</v>
      </c>
    </row>
    <row r="123" spans="1:14" ht="14.25" customHeight="true">
      <c r="A123" t="s">
        <v>31369</v>
      </c>
      <c r="B123" t="s">
        <v>31370</v>
      </c>
      <c r="C123" t="s">
        <v>31393</v>
      </c>
      <c r="D123">
        <v>325134082093</v>
      </c>
      <c r="E123" t="s">
        <v>31372</v>
      </c>
      <c r="F123">
        <v>0</v>
      </c>
      <c r="H123" s="104">
        <f>IFERROR(HLOOKUP(D123,'BR Details 05-2023'!$6:$9,4,FALSE),0)</f>
        <v>0</v>
      </c>
      <c r="I123" s="105">
        <f t="shared" si="1"/>
        <v>0</v>
      </c>
      <c r="J123" s="105" t="e">
        <f>+VLOOKUP(D123,L:N,3,FALSE())-H123</f>
        <v>#N/A</v>
      </c>
      <c r="L123" s="106">
        <v>325175750847</v>
      </c>
      <c r="M123" s="106" t="s">
        <v>13535</v>
      </c>
      <c r="N123">
        <f>+VLOOKUP(M123,'BS-Details'!D:K,8,FALSE())</f>
        <v>195800.22</v>
      </c>
    </row>
    <row r="124" spans="1:14" ht="14.25" customHeight="true">
      <c r="A124" t="s">
        <v>31369</v>
      </c>
      <c r="B124" t="s">
        <v>31370</v>
      </c>
      <c r="C124" t="s">
        <v>31394</v>
      </c>
      <c r="D124">
        <v>325134082080</v>
      </c>
      <c r="E124" t="s">
        <v>31372</v>
      </c>
      <c r="F124">
        <v>3980345.04</v>
      </c>
      <c r="H124" s="104">
        <f>IFERROR(HLOOKUP(D124,'BR Details 05-2023'!$6:$9,4,FALSE),0)</f>
        <v>0</v>
      </c>
      <c r="I124" s="105">
        <f t="shared" si="1"/>
        <v>3980345.04</v>
      </c>
      <c r="J124" s="105" t="e">
        <f>+VLOOKUP(D124,L:N,3,FALSE())-H124</f>
        <v>#N/A</v>
      </c>
      <c r="L124" s="106">
        <v>63141782</v>
      </c>
      <c r="M124" s="106" t="s">
        <v>440</v>
      </c>
      <c r="N124">
        <f>+VLOOKUP(M124,'BS-Details'!D:K,8,FALSE())</f>
        <v>74.57</v>
      </c>
    </row>
    <row r="125" spans="1:14" ht="14.25" customHeight="true">
      <c r="A125" t="s">
        <v>31369</v>
      </c>
      <c r="B125" t="s">
        <v>31370</v>
      </c>
      <c r="C125" t="s">
        <v>31395</v>
      </c>
      <c r="D125">
        <v>325134104117</v>
      </c>
      <c r="E125" t="s">
        <v>31372</v>
      </c>
      <c r="F125">
        <v>0</v>
      </c>
      <c r="H125" s="104">
        <f>IFERROR(HLOOKUP(D125,'BR Details 05-2023'!$6:$9,4,FALSE),0)</f>
        <v>0</v>
      </c>
      <c r="I125" s="105">
        <f t="shared" si="1"/>
        <v>0</v>
      </c>
      <c r="J125" s="105" t="e">
        <f>+VLOOKUP(D125,L:N,3,FALSE())-H125</f>
        <v>#N/A</v>
      </c>
      <c r="L125" s="106">
        <v>63141782</v>
      </c>
      <c r="M125" s="106" t="s">
        <v>437</v>
      </c>
      <c r="N125">
        <f>+VLOOKUP(M125,'BS-Details'!D:K,8,FALSE())</f>
        <v>0</v>
      </c>
    </row>
    <row r="126" spans="1:14" ht="14.25" customHeight="true">
      <c r="A126" t="s">
        <v>31369</v>
      </c>
      <c r="B126" t="s">
        <v>31370</v>
      </c>
      <c r="C126" t="s">
        <v>31396</v>
      </c>
      <c r="D126">
        <v>325134082116</v>
      </c>
      <c r="E126" t="s">
        <v>31372</v>
      </c>
      <c r="F126">
        <v>0</v>
      </c>
      <c r="H126" s="104">
        <f>IFERROR(HLOOKUP(D126,'BR Details 05-2023'!$6:$9,4,FALSE),0)</f>
        <v>0</v>
      </c>
      <c r="I126" s="105">
        <f t="shared" si="1"/>
        <v>0</v>
      </c>
      <c r="J126" s="105" t="e">
        <f>+VLOOKUP(D126,L:N,3,FALSE())-H126</f>
        <v>#N/A</v>
      </c>
      <c r="L126" s="106">
        <v>1001001716</v>
      </c>
      <c r="M126" s="106" t="s">
        <v>13412</v>
      </c>
      <c r="N126">
        <f>+VLOOKUP(M126,'BS-Details'!D:K,8,FALSE())</f>
        <v>16474.36</v>
      </c>
    </row>
    <row r="127" spans="1:14" ht="14.25" customHeight="true">
      <c r="A127" t="s">
        <v>31369</v>
      </c>
      <c r="B127" t="s">
        <v>31370</v>
      </c>
      <c r="C127" t="s">
        <v>31397</v>
      </c>
      <c r="D127">
        <v>325134082103</v>
      </c>
      <c r="E127" t="s">
        <v>31372</v>
      </c>
      <c r="F127">
        <v>0</v>
      </c>
      <c r="H127" s="104">
        <f>IFERROR(HLOOKUP(D127,'BR Details 05-2023'!$6:$9,4,FALSE),0)</f>
        <v>0</v>
      </c>
      <c r="I127" s="105">
        <f t="shared" si="1"/>
        <v>0</v>
      </c>
      <c r="J127" s="105" t="e">
        <f>+VLOOKUP(D127,L:N,3,FALSE())-H127</f>
        <v>#N/A</v>
      </c>
      <c r="L127" s="106">
        <v>1001001716</v>
      </c>
      <c r="M127" s="106" t="s">
        <v>13414</v>
      </c>
      <c r="N127">
        <f>+VLOOKUP(M127,'BS-Details'!D:K,8,FALSE())</f>
        <v>100000</v>
      </c>
    </row>
    <row r="128" spans="1:14" ht="14.25" customHeight="true">
      <c r="A128" t="s">
        <v>31369</v>
      </c>
      <c r="B128" t="s">
        <v>31370</v>
      </c>
      <c r="C128" t="s">
        <v>31398</v>
      </c>
      <c r="D128">
        <v>325134082129</v>
      </c>
      <c r="E128" t="s">
        <v>31372</v>
      </c>
      <c r="F128">
        <v>0</v>
      </c>
      <c r="H128" s="104">
        <f>IFERROR(HLOOKUP(D128,'BR Details 05-2023'!$6:$9,4,FALSE),0)</f>
        <v>0</v>
      </c>
      <c r="I128" s="105">
        <f t="shared" si="1"/>
        <v>0</v>
      </c>
      <c r="J128" s="105" t="e">
        <f>+VLOOKUP(D128,L:N,3,FALSE())-H128</f>
        <v>#N/A</v>
      </c>
      <c r="L128" s="106">
        <v>66517731</v>
      </c>
      <c r="M128" s="106" t="s">
        <v>932</v>
      </c>
      <c r="N128" t="e">
        <f>+VLOOKUP(M128,'BS-Details'!D:K,8,FALSE())</f>
        <v>#N/A</v>
      </c>
    </row>
    <row r="129" spans="1:14" ht="14.25" customHeight="true">
      <c r="A129" t="s">
        <v>31369</v>
      </c>
      <c r="B129" t="s">
        <v>31370</v>
      </c>
      <c r="C129" t="s">
        <v>31399</v>
      </c>
      <c r="D129">
        <v>325134106568</v>
      </c>
      <c r="E129" t="s">
        <v>31372</v>
      </c>
      <c r="F129">
        <v>-119.31</v>
      </c>
      <c r="H129" s="104">
        <f>IFERROR(HLOOKUP(D129,'BR Details 05-2023'!$6:$9,4,FALSE),0)</f>
        <v>0</v>
      </c>
      <c r="I129" s="105">
        <f t="shared" si="1"/>
        <v>-119.31</v>
      </c>
      <c r="J129" s="105" t="e">
        <f>+VLOOKUP(D129,L:N,3,FALSE())-H129</f>
        <v>#N/A</v>
      </c>
      <c r="L129" s="106">
        <v>1001002912</v>
      </c>
      <c r="M129" s="106" t="s">
        <v>13707</v>
      </c>
      <c r="N129">
        <f>+VLOOKUP(M129,'BS-Details'!D:K,8,FALSE())</f>
        <v>55794.26</v>
      </c>
    </row>
    <row r="130" spans="1:14" ht="14.25" customHeight="true">
      <c r="A130" t="s">
        <v>31369</v>
      </c>
      <c r="B130" t="s">
        <v>31370</v>
      </c>
      <c r="C130" t="s">
        <v>31400</v>
      </c>
      <c r="D130">
        <v>325134097486</v>
      </c>
      <c r="E130" t="s">
        <v>31372</v>
      </c>
      <c r="F130">
        <v>380.69</v>
      </c>
      <c r="H130" s="104">
        <f>IFERROR(HLOOKUP(D130,'BR Details 05-2023'!$6:$9,4,FALSE),0)</f>
        <v>0</v>
      </c>
      <c r="I130" s="105">
        <f t="shared" ref="I130:I187" si="2">+F130-H130</f>
        <v>380.69</v>
      </c>
      <c r="J130" s="105" t="e">
        <f>+VLOOKUP(D130,L:N,3,FALSE())-H130</f>
        <v>#N/A</v>
      </c>
      <c r="L130" s="106">
        <v>4943006379</v>
      </c>
      <c r="M130" s="106" t="s">
        <v>2847</v>
      </c>
      <c r="N130">
        <f>+VLOOKUP(M130,'BS-Details'!D:K,8,FALSE())</f>
        <v>513686.87</v>
      </c>
    </row>
    <row r="131" spans="1:14" ht="14.25" customHeight="true">
      <c r="A131" t="s">
        <v>31369</v>
      </c>
      <c r="B131" t="s">
        <v>31370</v>
      </c>
      <c r="C131" t="s">
        <v>31401</v>
      </c>
      <c r="D131">
        <v>325134097499</v>
      </c>
      <c r="E131" t="s">
        <v>31372</v>
      </c>
      <c r="F131">
        <v>380.69</v>
      </c>
      <c r="H131" s="104">
        <f>IFERROR(HLOOKUP(D131,'BR Details 05-2023'!$6:$9,4,FALSE),0)</f>
        <v>0</v>
      </c>
      <c r="I131" s="105">
        <f t="shared" si="2"/>
        <v>380.69</v>
      </c>
      <c r="J131" s="105" t="e">
        <f>+VLOOKUP(D131,L:N,3,FALSE())-H131</f>
        <v>#N/A</v>
      </c>
      <c r="L131" s="106">
        <v>0</v>
      </c>
      <c r="M131" s="106" t="s">
        <v>2846</v>
      </c>
      <c r="N131">
        <f>+VLOOKUP(M131,'BS-Details'!D:K,8,FALSE())</f>
        <v>0</v>
      </c>
    </row>
    <row r="132" spans="1:14" ht="14.25" customHeight="true">
      <c r="A132" t="s">
        <v>31369</v>
      </c>
      <c r="B132" t="s">
        <v>31370</v>
      </c>
      <c r="C132" t="s">
        <v>31402</v>
      </c>
      <c r="D132">
        <v>325134097509</v>
      </c>
      <c r="E132" t="s">
        <v>31372</v>
      </c>
      <c r="F132">
        <v>380.69</v>
      </c>
      <c r="H132" s="104">
        <f>IFERROR(HLOOKUP(D132,'BR Details 05-2023'!$6:$9,4,FALSE),0)</f>
        <v>0</v>
      </c>
      <c r="I132" s="105">
        <f t="shared" si="2"/>
        <v>380.69</v>
      </c>
      <c r="J132" s="105" t="e">
        <f>+VLOOKUP(D132,L:N,3,FALSE())-H132</f>
        <v>#N/A</v>
      </c>
      <c r="L132" s="106">
        <v>325161820121</v>
      </c>
      <c r="M132" s="106" t="s">
        <v>25662</v>
      </c>
      <c r="N132">
        <f>+VLOOKUP(M132,'BS-Details'!D:K,8,FALSE())</f>
        <v>32734.6</v>
      </c>
    </row>
    <row r="133" spans="1:14">
      <c r="A133" t="s">
        <v>31369</v>
      </c>
      <c r="B133" t="s">
        <v>31370</v>
      </c>
      <c r="C133" t="s">
        <v>31403</v>
      </c>
      <c r="D133">
        <v>325134097512</v>
      </c>
      <c r="E133" t="s">
        <v>31372</v>
      </c>
      <c r="F133">
        <v>380.69</v>
      </c>
      <c r="H133" s="104">
        <f>IFERROR(HLOOKUP(D133,'BR Details 05-2023'!$6:$9,4,FALSE),0)</f>
        <v>0</v>
      </c>
      <c r="I133" s="105">
        <f t="shared" si="2"/>
        <v>380.69</v>
      </c>
      <c r="J133" s="105" t="e">
        <f>+VLOOKUP(D133,L:N,3,FALSE())-H133</f>
        <v>#N/A</v>
      </c>
      <c r="L133" s="106">
        <v>325164080887</v>
      </c>
      <c r="M133" s="106" t="s">
        <v>19580</v>
      </c>
      <c r="N133">
        <f>+VLOOKUP(M133,'BS-Details'!D:K,8,FALSE())</f>
        <v>-45621.68</v>
      </c>
    </row>
    <row r="134" spans="1:14">
      <c r="A134" t="s">
        <v>31369</v>
      </c>
      <c r="B134" t="s">
        <v>31404</v>
      </c>
      <c r="C134" t="s">
        <v>31405</v>
      </c>
      <c r="D134">
        <v>325161820121</v>
      </c>
      <c r="E134" t="s">
        <v>31372</v>
      </c>
      <c r="F134">
        <v>42631.54</v>
      </c>
      <c r="H134" s="104">
        <f>IFERROR(HLOOKUP(D134,'BR Details 05-2023'!$6:$9,4,FALSE),0)</f>
        <v>42631.54</v>
      </c>
      <c r="I134" s="105">
        <f t="shared" si="2"/>
        <v>0</v>
      </c>
      <c r="J134" s="105">
        <f>+VLOOKUP(D134,L:N,3,FALSE())-H134</f>
        <v>-9896.94</v>
      </c>
      <c r="L134" s="106">
        <v>325164396759</v>
      </c>
      <c r="M134" s="106" t="s">
        <v>26291</v>
      </c>
      <c r="N134">
        <f>+VLOOKUP(M134,'BS-Details'!D:K,8,FALSE())</f>
        <v>-16198.03</v>
      </c>
    </row>
    <row r="135" spans="1:14">
      <c r="A135" t="s">
        <v>31369</v>
      </c>
      <c r="B135" t="s">
        <v>31404</v>
      </c>
      <c r="C135" t="s">
        <v>31406</v>
      </c>
      <c r="D135">
        <v>325164080887</v>
      </c>
      <c r="E135" t="s">
        <v>31372</v>
      </c>
      <c r="F135">
        <v>41777.04</v>
      </c>
      <c r="H135" s="104">
        <f>IFERROR(HLOOKUP(D135,'BR Details 05-2023'!$6:$9,4,FALSE),0)</f>
        <v>41137.04</v>
      </c>
      <c r="I135" s="105">
        <f t="shared" si="2"/>
        <v>640</v>
      </c>
      <c r="J135" s="105">
        <f>+VLOOKUP(D135,L:N,3,FALSE())-H135</f>
        <v>-86758.72</v>
      </c>
      <c r="L135" s="106">
        <v>325164086470</v>
      </c>
      <c r="M135" s="106" t="s">
        <v>19273</v>
      </c>
      <c r="N135">
        <f>+VLOOKUP(M135,'BS-Details'!D:K,8,FALSE())</f>
        <v>-46115.09</v>
      </c>
    </row>
    <row r="136" spans="1:14">
      <c r="A136" t="s">
        <v>31369</v>
      </c>
      <c r="B136" t="s">
        <v>31404</v>
      </c>
      <c r="C136" t="s">
        <v>31407</v>
      </c>
      <c r="D136">
        <v>325164086470</v>
      </c>
      <c r="E136" t="s">
        <v>31372</v>
      </c>
      <c r="F136">
        <v>25475.08</v>
      </c>
      <c r="H136" s="104">
        <f>IFERROR(HLOOKUP(D136,'BR Details 05-2023'!$6:$9,4,FALSE),0)</f>
        <v>24985.08</v>
      </c>
      <c r="I136" s="105">
        <f t="shared" si="2"/>
        <v>490</v>
      </c>
      <c r="J136" s="105">
        <f>+VLOOKUP(D136,L:N,3,FALSE())-H136</f>
        <v>-71100.17</v>
      </c>
      <c r="L136" s="106">
        <v>1001003175</v>
      </c>
      <c r="M136" s="106" t="s">
        <v>21631</v>
      </c>
      <c r="N136">
        <f>+VLOOKUP(M136,'BS-Details'!D:K,8,FALSE())</f>
        <v>48708.51</v>
      </c>
    </row>
    <row r="137" spans="1:14">
      <c r="A137" t="s">
        <v>31369</v>
      </c>
      <c r="B137" t="s">
        <v>31404</v>
      </c>
      <c r="C137" t="s">
        <v>31408</v>
      </c>
      <c r="D137">
        <v>325164396759</v>
      </c>
      <c r="E137" t="s">
        <v>31372</v>
      </c>
      <c r="F137">
        <v>17464.09</v>
      </c>
      <c r="H137" s="104">
        <f>IFERROR(HLOOKUP(D137,'BR Details 05-2023'!$6:$9,4,FALSE),0)</f>
        <v>17464.09</v>
      </c>
      <c r="I137" s="105">
        <f t="shared" si="2"/>
        <v>0</v>
      </c>
      <c r="J137" s="105">
        <f>+VLOOKUP(D137,L:N,3,FALSE())-H137</f>
        <v>-33662.12</v>
      </c>
      <c r="L137" s="106">
        <v>0</v>
      </c>
      <c r="M137" s="106" t="s">
        <v>21632</v>
      </c>
      <c r="N137">
        <f>+VLOOKUP(M137,'BS-Details'!D:K,8,FALSE())</f>
        <v>870.88</v>
      </c>
    </row>
    <row r="138" spans="1:14">
      <c r="A138" t="s">
        <v>31369</v>
      </c>
      <c r="B138" t="s">
        <v>31404</v>
      </c>
      <c r="C138" t="s">
        <v>31409</v>
      </c>
      <c r="D138">
        <v>325175739240</v>
      </c>
      <c r="E138" t="s">
        <v>31372</v>
      </c>
      <c r="F138">
        <v>18150.89</v>
      </c>
      <c r="H138" s="104">
        <f>IFERROR(HLOOKUP(D138,'BR Details 05-2023'!$6:$9,4,FALSE),0)</f>
        <v>14314.7</v>
      </c>
      <c r="I138" s="105">
        <f t="shared" si="2"/>
        <v>3836.19</v>
      </c>
      <c r="J138" s="105">
        <f>+VLOOKUP(D138,L:N,3,FALSE())-H138</f>
        <v>-105130.43</v>
      </c>
      <c r="L138" s="106">
        <v>1001003233</v>
      </c>
      <c r="M138" s="106" t="s">
        <v>12962</v>
      </c>
      <c r="N138">
        <f>+VLOOKUP(M138,'BS-Details'!D:K,8,FALSE())</f>
        <v>-935.95</v>
      </c>
    </row>
    <row r="139" spans="1:14">
      <c r="A139" t="s">
        <v>31369</v>
      </c>
      <c r="B139" t="s">
        <v>31404</v>
      </c>
      <c r="C139" t="s">
        <v>31410</v>
      </c>
      <c r="D139">
        <v>325175744594</v>
      </c>
      <c r="E139" t="s">
        <v>31372</v>
      </c>
      <c r="F139">
        <v>34634.97</v>
      </c>
      <c r="H139" s="104">
        <f>IFERROR(HLOOKUP(D139,'BR Details 05-2023'!$6:$9,4,FALSE),0)</f>
        <v>30165.97</v>
      </c>
      <c r="I139" s="105">
        <f t="shared" si="2"/>
        <v>4469</v>
      </c>
      <c r="J139" s="105">
        <f>+VLOOKUP(D139,L:N,3,FALSE())-H139</f>
        <v>44676.41</v>
      </c>
      <c r="L139" s="106">
        <v>0</v>
      </c>
      <c r="M139" s="106" t="s">
        <v>12963</v>
      </c>
      <c r="N139">
        <f>+VLOOKUP(M139,'BS-Details'!D:K,8,FALSE())</f>
        <v>-278802.54</v>
      </c>
    </row>
    <row r="140" spans="1:14">
      <c r="A140" t="s">
        <v>31369</v>
      </c>
      <c r="B140" t="s">
        <v>31404</v>
      </c>
      <c r="C140" t="s">
        <v>31411</v>
      </c>
      <c r="D140">
        <v>325175747986</v>
      </c>
      <c r="E140" t="s">
        <v>31372</v>
      </c>
      <c r="F140">
        <v>32750.88</v>
      </c>
      <c r="H140" s="104">
        <f>IFERROR(HLOOKUP(D140,'BR Details 05-2023'!$6:$9,4,FALSE),0)</f>
        <v>33100.88</v>
      </c>
      <c r="I140" s="105">
        <f t="shared" si="2"/>
        <v>-349.999999999996</v>
      </c>
      <c r="J140" s="105">
        <f>+VLOOKUP(D140,L:N,3,FALSE())-H140</f>
        <v>-58923.17</v>
      </c>
      <c r="L140" s="106">
        <v>1001003274</v>
      </c>
      <c r="M140" s="106" t="s">
        <v>13073</v>
      </c>
      <c r="N140">
        <f>+VLOOKUP(M140,'BS-Details'!D:K,8,FALSE())</f>
        <v>0</v>
      </c>
    </row>
    <row r="141" spans="1:14">
      <c r="A141" t="s">
        <v>31369</v>
      </c>
      <c r="B141" t="s">
        <v>31404</v>
      </c>
      <c r="C141" t="s">
        <v>31412</v>
      </c>
      <c r="D141">
        <v>325175750847</v>
      </c>
      <c r="E141" t="s">
        <v>31372</v>
      </c>
      <c r="F141">
        <v>85497.88</v>
      </c>
      <c r="H141" s="104">
        <f>IFERROR(HLOOKUP(D141,'BR Details 05-2023'!$6:$9,4,FALSE),0)</f>
        <v>78548.95</v>
      </c>
      <c r="I141" s="105">
        <f t="shared" si="2"/>
        <v>6948.93000000001</v>
      </c>
      <c r="J141" s="105">
        <f>+VLOOKUP(D141,L:N,3,FALSE())-H141</f>
        <v>117251.27</v>
      </c>
      <c r="L141" s="106">
        <v>1001003381</v>
      </c>
      <c r="M141" s="106" t="s">
        <v>14676</v>
      </c>
      <c r="N141">
        <f>+VLOOKUP(M141,'BS-Details'!D:K,8,FALSE())</f>
        <v>-10704.71</v>
      </c>
    </row>
    <row r="142" spans="1:14">
      <c r="A142" t="s">
        <v>31369</v>
      </c>
      <c r="B142" t="s">
        <v>31404</v>
      </c>
      <c r="C142" t="s">
        <v>31413</v>
      </c>
      <c r="D142">
        <v>325176730031</v>
      </c>
      <c r="E142" t="s">
        <v>31372</v>
      </c>
      <c r="F142">
        <v>19208.29</v>
      </c>
      <c r="H142" s="104">
        <f>IFERROR(HLOOKUP(D142,'BR Details 05-2023'!$6:$9,4,FALSE),0)</f>
        <v>21171.73</v>
      </c>
      <c r="I142" s="105">
        <f t="shared" si="2"/>
        <v>-1963.44</v>
      </c>
      <c r="J142" s="105">
        <f>+VLOOKUP(D142,L:N,3,FALSE())-H142</f>
        <v>1392.88</v>
      </c>
      <c r="L142" s="106">
        <v>1001003373</v>
      </c>
      <c r="M142" s="106" t="s">
        <v>15056</v>
      </c>
      <c r="N142">
        <f>+VLOOKUP(M142,'BS-Details'!D:K,8,FALSE())</f>
        <v>10251.45</v>
      </c>
    </row>
    <row r="143" spans="1:14">
      <c r="A143" t="s">
        <v>31369</v>
      </c>
      <c r="B143" t="s">
        <v>31404</v>
      </c>
      <c r="C143" t="s">
        <v>31414</v>
      </c>
      <c r="D143">
        <v>325176732152</v>
      </c>
      <c r="E143" t="s">
        <v>31372</v>
      </c>
      <c r="F143">
        <v>35271.5</v>
      </c>
      <c r="H143" s="104">
        <f>IFERROR(HLOOKUP(D143,'BR Details 05-2023'!$6:$9,4,FALSE),0)</f>
        <v>35026.5</v>
      </c>
      <c r="I143" s="105">
        <f t="shared" si="2"/>
        <v>245</v>
      </c>
      <c r="J143" s="105">
        <f>+VLOOKUP(D143,L:N,3,FALSE())-H143</f>
        <v>2325.81</v>
      </c>
      <c r="L143" s="106">
        <v>1001003399</v>
      </c>
      <c r="M143" s="106" t="s">
        <v>27798</v>
      </c>
      <c r="N143">
        <f>+VLOOKUP(M143,'BS-Details'!D:K,8,FALSE())</f>
        <v>11963.92</v>
      </c>
    </row>
    <row r="144" spans="1:14">
      <c r="A144" t="s">
        <v>31369</v>
      </c>
      <c r="B144" t="s">
        <v>31404</v>
      </c>
      <c r="C144" t="s">
        <v>31415</v>
      </c>
      <c r="D144">
        <v>325176733656</v>
      </c>
      <c r="E144" t="s">
        <v>31372</v>
      </c>
      <c r="F144">
        <v>21764.96</v>
      </c>
      <c r="H144" s="104">
        <f>IFERROR(HLOOKUP(D144,'BR Details 05-2023'!$6:$9,4,FALSE),0)</f>
        <v>21519.96</v>
      </c>
      <c r="I144" s="105">
        <f t="shared" si="2"/>
        <v>245</v>
      </c>
      <c r="J144" s="105">
        <f>+VLOOKUP(D144,L:N,3,FALSE())-H144</f>
        <v>-14332.15</v>
      </c>
      <c r="L144" s="106">
        <v>1001003225</v>
      </c>
      <c r="M144" s="106" t="s">
        <v>18675</v>
      </c>
      <c r="N144">
        <f>+VLOOKUP(M144,'BS-Details'!D:K,8,FALSE())</f>
        <v>44063.49</v>
      </c>
    </row>
    <row r="145" spans="1:14">
      <c r="A145" t="s">
        <v>31369</v>
      </c>
      <c r="B145" t="s">
        <v>31404</v>
      </c>
      <c r="C145" t="s">
        <v>31416</v>
      </c>
      <c r="D145">
        <v>325176735023</v>
      </c>
      <c r="E145" t="s">
        <v>31372</v>
      </c>
      <c r="F145">
        <v>53819.87</v>
      </c>
      <c r="H145" s="104">
        <f>IFERROR(HLOOKUP(D145,'BR Details 05-2023'!$6:$9,4,FALSE),0)</f>
        <v>53574.87</v>
      </c>
      <c r="I145" s="105">
        <f t="shared" si="2"/>
        <v>245</v>
      </c>
      <c r="J145" s="105">
        <f>+VLOOKUP(D145,L:N,3,FALSE())-H145</f>
        <v>-495.040000000001</v>
      </c>
      <c r="L145" s="106">
        <v>1001003423</v>
      </c>
      <c r="M145" s="106" t="s">
        <v>20705</v>
      </c>
      <c r="N145">
        <f>+VLOOKUP(M145,'BS-Details'!D:K,8,FALSE())</f>
        <v>-15651.53</v>
      </c>
    </row>
    <row r="146" spans="1:14">
      <c r="A146" t="s">
        <v>31369</v>
      </c>
      <c r="B146" t="s">
        <v>31404</v>
      </c>
      <c r="C146" t="s">
        <v>31417</v>
      </c>
      <c r="D146">
        <v>325176737173</v>
      </c>
      <c r="E146" t="s">
        <v>31372</v>
      </c>
      <c r="F146">
        <v>28988.79</v>
      </c>
      <c r="H146" s="104">
        <f>IFERROR(HLOOKUP(D146,'BR Details 05-2023'!$6:$9,4,FALSE),0)</f>
        <v>28968.29</v>
      </c>
      <c r="I146" s="105">
        <f t="shared" si="2"/>
        <v>20.5</v>
      </c>
      <c r="J146" s="105">
        <f>+VLOOKUP(D146,L:N,3,FALSE())-H146</f>
        <v>-21005.17</v>
      </c>
      <c r="L146" s="106">
        <v>1001003415</v>
      </c>
      <c r="M146" s="106" t="s">
        <v>21018</v>
      </c>
      <c r="N146">
        <f>+VLOOKUP(M146,'BS-Details'!D:K,8,FALSE())</f>
        <v>32372.41</v>
      </c>
    </row>
    <row r="147" spans="1:14">
      <c r="A147" t="s">
        <v>31369</v>
      </c>
      <c r="B147" t="s">
        <v>31404</v>
      </c>
      <c r="C147" t="s">
        <v>31418</v>
      </c>
      <c r="D147">
        <v>325176738224</v>
      </c>
      <c r="E147" t="s">
        <v>31372</v>
      </c>
      <c r="F147">
        <v>15854.98</v>
      </c>
      <c r="H147" s="104">
        <f>IFERROR(HLOOKUP(D147,'BR Details 05-2023'!$6:$9,4,FALSE),0)</f>
        <v>15854.98</v>
      </c>
      <c r="I147" s="105">
        <f t="shared" si="2"/>
        <v>0</v>
      </c>
      <c r="J147" s="105">
        <f>+VLOOKUP(D147,L:N,3,FALSE())-H147</f>
        <v>355.030000000001</v>
      </c>
      <c r="L147" s="106">
        <v>1001003498</v>
      </c>
      <c r="M147" s="106" t="s">
        <v>28398</v>
      </c>
      <c r="N147">
        <f>+VLOOKUP(M147,'BS-Details'!D:K,8,FALSE())</f>
        <v>-62184.96</v>
      </c>
    </row>
    <row r="148" spans="1:14">
      <c r="A148" t="s">
        <v>31369</v>
      </c>
      <c r="B148" t="s">
        <v>31404</v>
      </c>
      <c r="C148" t="s">
        <v>31419</v>
      </c>
      <c r="D148">
        <v>325176739485</v>
      </c>
      <c r="E148" t="s">
        <v>31372</v>
      </c>
      <c r="F148">
        <v>21474.4</v>
      </c>
      <c r="H148" s="104">
        <f>IFERROR(HLOOKUP(D148,'BR Details 05-2023'!$6:$9,4,FALSE),0)</f>
        <v>21033.44</v>
      </c>
      <c r="I148" s="105">
        <f t="shared" si="2"/>
        <v>440.960000000003</v>
      </c>
      <c r="J148" s="105">
        <f>+VLOOKUP(D148,L:N,3,FALSE())-H148</f>
        <v>597.91</v>
      </c>
      <c r="L148" s="106">
        <v>1001000551</v>
      </c>
      <c r="M148" s="106" t="s">
        <v>13595</v>
      </c>
      <c r="N148">
        <f>+VLOOKUP(M148,'BS-Details'!D:K,8,FALSE())</f>
        <v>16539.07</v>
      </c>
    </row>
    <row r="149" spans="1:14">
      <c r="A149" t="s">
        <v>31369</v>
      </c>
      <c r="B149" t="s">
        <v>31404</v>
      </c>
      <c r="C149" t="s">
        <v>31420</v>
      </c>
      <c r="D149">
        <v>325176740733</v>
      </c>
      <c r="E149" t="s">
        <v>31372</v>
      </c>
      <c r="F149">
        <v>22100.01</v>
      </c>
      <c r="H149" s="104">
        <f>IFERROR(HLOOKUP(D149,'BR Details 05-2023'!$6:$9,4,FALSE),0)</f>
        <v>21855.01</v>
      </c>
      <c r="I149" s="105">
        <f t="shared" si="2"/>
        <v>245</v>
      </c>
      <c r="J149" s="105">
        <f>+VLOOKUP(D149,L:N,3,FALSE())-H149</f>
        <v>14624.83</v>
      </c>
      <c r="L149" s="106">
        <v>0</v>
      </c>
      <c r="M149" s="106" t="s">
        <v>6220</v>
      </c>
      <c r="N149">
        <f>+VLOOKUP(M149,'BS-Details'!D:K,8,FALSE())</f>
        <v>0</v>
      </c>
    </row>
    <row r="150" spans="1:14">
      <c r="A150" t="s">
        <v>31369</v>
      </c>
      <c r="B150" t="s">
        <v>31404</v>
      </c>
      <c r="C150" t="s">
        <v>31421</v>
      </c>
      <c r="D150">
        <v>325176741871</v>
      </c>
      <c r="E150" t="s">
        <v>31372</v>
      </c>
      <c r="F150">
        <v>22350.68</v>
      </c>
      <c r="H150" s="104">
        <f>IFERROR(HLOOKUP(D150,'BR Details 05-2023'!$6:$9,4,FALSE),0)</f>
        <v>21855.01</v>
      </c>
      <c r="I150" s="105">
        <f t="shared" si="2"/>
        <v>495.670000000002</v>
      </c>
      <c r="J150" s="105">
        <f>+VLOOKUP(D150,L:N,3,FALSE())-H150</f>
        <v>-29705.8</v>
      </c>
      <c r="L150" s="106">
        <v>1001000619</v>
      </c>
      <c r="M150" s="106" t="s">
        <v>27156</v>
      </c>
      <c r="N150">
        <f>+VLOOKUP(M150,'BS-Details'!D:K,8,FALSE())</f>
        <v>-14080.71</v>
      </c>
    </row>
    <row r="151" spans="1:14">
      <c r="A151" t="s">
        <v>31369</v>
      </c>
      <c r="B151" t="s">
        <v>31404</v>
      </c>
      <c r="C151" t="s">
        <v>31422</v>
      </c>
      <c r="D151">
        <v>325176742980</v>
      </c>
      <c r="E151" t="s">
        <v>31372</v>
      </c>
      <c r="F151">
        <v>21356.77</v>
      </c>
      <c r="H151" s="104">
        <f>IFERROR(HLOOKUP(D151,'BR Details 05-2023'!$6:$9,4,FALSE),0)</f>
        <v>21038.79</v>
      </c>
      <c r="I151" s="105">
        <f t="shared" si="2"/>
        <v>317.98</v>
      </c>
      <c r="J151" s="105">
        <f>+VLOOKUP(D151,L:N,3,FALSE())-H151</f>
        <v>-1002.46</v>
      </c>
      <c r="L151" s="106">
        <v>10010003399</v>
      </c>
      <c r="M151" s="106" t="s">
        <v>27157</v>
      </c>
      <c r="N151">
        <f>+VLOOKUP(M151,'BS-Details'!D:K,8,FALSE())</f>
        <v>63193.69</v>
      </c>
    </row>
    <row r="152" spans="1:14">
      <c r="A152" t="s">
        <v>31369</v>
      </c>
      <c r="B152" t="s">
        <v>31404</v>
      </c>
      <c r="C152" t="s">
        <v>31423</v>
      </c>
      <c r="D152">
        <v>325176744425</v>
      </c>
      <c r="E152" t="s">
        <v>31372</v>
      </c>
      <c r="F152">
        <v>31330.48</v>
      </c>
      <c r="H152" s="104">
        <f>IFERROR(HLOOKUP(D152,'BR Details 05-2023'!$6:$9,4,FALSE),0)</f>
        <v>31330.48</v>
      </c>
      <c r="I152" s="105">
        <f t="shared" si="2"/>
        <v>0</v>
      </c>
      <c r="J152" s="105">
        <f>+VLOOKUP(D152,L:N,3,FALSE())-H152</f>
        <v>-3457.79</v>
      </c>
      <c r="L152" s="106">
        <v>103467569</v>
      </c>
      <c r="M152" s="106" t="s">
        <v>2784</v>
      </c>
      <c r="N152">
        <f>+VLOOKUP(M152,'BS-Details'!D:K,8,FALSE())</f>
        <v>11025.16</v>
      </c>
    </row>
    <row r="153" spans="1:14">
      <c r="A153" t="s">
        <v>31369</v>
      </c>
      <c r="B153" t="s">
        <v>31404</v>
      </c>
      <c r="C153" t="s">
        <v>31424</v>
      </c>
      <c r="D153">
        <v>325176746708</v>
      </c>
      <c r="E153" t="s">
        <v>31372</v>
      </c>
      <c r="F153">
        <v>23186.23</v>
      </c>
      <c r="H153" s="104">
        <f>IFERROR(HLOOKUP(D153,'BR Details 05-2023'!$6:$9,4,FALSE),0)</f>
        <v>23186.23</v>
      </c>
      <c r="I153" s="105">
        <f t="shared" si="2"/>
        <v>0</v>
      </c>
      <c r="J153" s="105">
        <f>+VLOOKUP(D153,L:N,3,FALSE())-H153</f>
        <v>-1111.85</v>
      </c>
      <c r="L153" s="106">
        <v>56674013</v>
      </c>
      <c r="M153" s="106" t="s">
        <v>29619</v>
      </c>
      <c r="N153">
        <f>+VLOOKUP(M153,'BS-Details'!D:K,8,FALSE())</f>
        <v>0</v>
      </c>
    </row>
    <row r="154" spans="1:14">
      <c r="A154" t="s">
        <v>31369</v>
      </c>
      <c r="B154" t="s">
        <v>31404</v>
      </c>
      <c r="C154" t="s">
        <v>31425</v>
      </c>
      <c r="D154">
        <v>325176748120</v>
      </c>
      <c r="E154" t="s">
        <v>31372</v>
      </c>
      <c r="F154">
        <v>23925.11</v>
      </c>
      <c r="H154" s="104">
        <f>IFERROR(HLOOKUP(D154,'BR Details 05-2023'!$6:$9,4,FALSE),0)</f>
        <v>23825.11</v>
      </c>
      <c r="I154" s="105">
        <f t="shared" si="2"/>
        <v>100</v>
      </c>
      <c r="J154" s="105">
        <f>+VLOOKUP(D154,L:N,3,FALSE())-H154</f>
        <v>267.759999999998</v>
      </c>
      <c r="L154" s="106">
        <v>59590018</v>
      </c>
      <c r="M154" s="106" t="s">
        <v>12558</v>
      </c>
      <c r="N154">
        <f>+VLOOKUP(M154,'BS-Details'!D:K,8,FALSE())</f>
        <v>-40144.59</v>
      </c>
    </row>
    <row r="155" spans="1:14">
      <c r="A155" t="s">
        <v>31369</v>
      </c>
      <c r="B155" t="s">
        <v>31404</v>
      </c>
      <c r="C155" t="s">
        <v>31426</v>
      </c>
      <c r="D155">
        <v>325176749925</v>
      </c>
      <c r="E155" t="s">
        <v>31372</v>
      </c>
      <c r="F155">
        <v>36002.52</v>
      </c>
      <c r="H155" s="104">
        <f>IFERROR(HLOOKUP(D155,'BR Details 05-2023'!$6:$9,4,FALSE),0)</f>
        <v>35702.52</v>
      </c>
      <c r="I155" s="105">
        <f t="shared" si="2"/>
        <v>300</v>
      </c>
      <c r="J155" s="105">
        <f>+VLOOKUP(D155,L:N,3,FALSE())-H155</f>
        <v>14455.5</v>
      </c>
      <c r="L155" s="106">
        <v>56550486</v>
      </c>
      <c r="M155" s="106" t="s">
        <v>12558</v>
      </c>
      <c r="N155">
        <f>+VLOOKUP(M155,'BS-Details'!D:K,8,FALSE())</f>
        <v>-40144.59</v>
      </c>
    </row>
    <row r="156" spans="1:14">
      <c r="A156" t="s">
        <v>31369</v>
      </c>
      <c r="B156" t="s">
        <v>31404</v>
      </c>
      <c r="C156" t="s">
        <v>31427</v>
      </c>
      <c r="D156">
        <v>325176751586</v>
      </c>
      <c r="E156" t="s">
        <v>31372</v>
      </c>
      <c r="F156">
        <v>30152.08</v>
      </c>
      <c r="H156" s="104">
        <f>IFERROR(HLOOKUP(D156,'BR Details 05-2023'!$6:$9,4,FALSE),0)</f>
        <v>29907.08</v>
      </c>
      <c r="I156" s="105">
        <f t="shared" si="2"/>
        <v>245</v>
      </c>
      <c r="J156" s="105">
        <f>+VLOOKUP(D156,L:N,3,FALSE())-H156</f>
        <v>-290.820000000003</v>
      </c>
      <c r="L156" s="106">
        <v>65662355</v>
      </c>
      <c r="M156" s="106" t="s">
        <v>2694</v>
      </c>
      <c r="N156">
        <f>+VLOOKUP(M156,'BS-Details'!D:K,8,FALSE())</f>
        <v>35519.46</v>
      </c>
    </row>
    <row r="157" spans="1:14">
      <c r="A157" t="s">
        <v>31369</v>
      </c>
      <c r="B157" t="s">
        <v>31404</v>
      </c>
      <c r="C157" t="s">
        <v>31428</v>
      </c>
      <c r="D157">
        <v>325176753348</v>
      </c>
      <c r="E157" t="s">
        <v>31372</v>
      </c>
      <c r="F157">
        <v>6423.86</v>
      </c>
      <c r="H157" s="104">
        <f>IFERROR(HLOOKUP(D157,'BR Details 05-2023'!$6:$9,4,FALSE),0)</f>
        <v>6178.86</v>
      </c>
      <c r="I157" s="105">
        <f t="shared" si="2"/>
        <v>245</v>
      </c>
      <c r="J157" s="105">
        <f>+VLOOKUP(D157,L:N,3,FALSE())-H157</f>
        <v>-1140.04</v>
      </c>
      <c r="L157" s="106">
        <v>748038866</v>
      </c>
      <c r="M157" s="106" t="s">
        <v>1678</v>
      </c>
      <c r="N157">
        <f>+VLOOKUP(M157,'BS-Details'!D:K,8,FALSE())</f>
        <v>93917.77</v>
      </c>
    </row>
    <row r="158" spans="1:14">
      <c r="A158" t="s">
        <v>31369</v>
      </c>
      <c r="B158" t="s">
        <v>31404</v>
      </c>
      <c r="C158" t="s">
        <v>31429</v>
      </c>
      <c r="D158">
        <v>325176754402</v>
      </c>
      <c r="E158" t="s">
        <v>31372</v>
      </c>
      <c r="F158">
        <v>11328.66</v>
      </c>
      <c r="H158" s="104">
        <f>IFERROR(HLOOKUP(D158,'BR Details 05-2023'!$6:$9,4,FALSE),0)</f>
        <v>11078.66</v>
      </c>
      <c r="I158" s="105">
        <f t="shared" si="2"/>
        <v>250</v>
      </c>
      <c r="J158" s="105">
        <f>+VLOOKUP(D158,L:N,3,FALSE())-H158</f>
        <v>4490.7</v>
      </c>
      <c r="L158" s="106">
        <v>4670115998</v>
      </c>
      <c r="M158" s="106" t="s">
        <v>31430</v>
      </c>
      <c r="N158" t="e">
        <f>+VLOOKUP(M158,'BS-Details'!D:K,8,FALSE())</f>
        <v>#N/A</v>
      </c>
    </row>
    <row r="159" spans="1:14">
      <c r="A159" t="s">
        <v>31369</v>
      </c>
      <c r="B159" t="s">
        <v>31404</v>
      </c>
      <c r="C159" t="s">
        <v>31431</v>
      </c>
      <c r="D159">
        <v>325176761518</v>
      </c>
      <c r="E159" t="s">
        <v>31372</v>
      </c>
      <c r="F159">
        <v>19186.33</v>
      </c>
      <c r="H159" s="104">
        <f>IFERROR(HLOOKUP(D159,'BR Details 05-2023'!$6:$9,4,FALSE),0)</f>
        <v>19084.84</v>
      </c>
      <c r="I159" s="105">
        <f t="shared" si="2"/>
        <v>101.490000000002</v>
      </c>
      <c r="J159" s="105">
        <f>+VLOOKUP(D159,L:N,3,FALSE())-H159</f>
        <v>11097.24</v>
      </c>
      <c r="L159" s="106">
        <v>25304139</v>
      </c>
      <c r="M159" s="106" t="s">
        <v>825</v>
      </c>
      <c r="N159">
        <f>+VLOOKUP(M159,'BS-Details'!D:K,8,FALSE())</f>
        <v>1798.58</v>
      </c>
    </row>
    <row r="160" spans="1:14">
      <c r="A160" t="s">
        <v>31369</v>
      </c>
      <c r="B160" t="s">
        <v>31404</v>
      </c>
      <c r="C160" t="s">
        <v>31432</v>
      </c>
      <c r="D160">
        <v>325176761631</v>
      </c>
      <c r="E160" t="s">
        <v>31372</v>
      </c>
      <c r="F160">
        <v>2850.56</v>
      </c>
      <c r="H160" s="104">
        <f>IFERROR(HLOOKUP(D160,'BR Details 05-2023'!$6:$9,4,FALSE),0)</f>
        <v>2850.56</v>
      </c>
      <c r="I160" s="105">
        <f t="shared" si="2"/>
        <v>0</v>
      </c>
      <c r="J160" s="105">
        <f>+VLOOKUP(D160,L:N,3,FALSE())-H160</f>
        <v>-2187.36</v>
      </c>
      <c r="L160" s="106">
        <v>103715918</v>
      </c>
      <c r="M160" s="106" t="s">
        <v>827</v>
      </c>
      <c r="N160">
        <f>+VLOOKUP(M160,'BS-Details'!D:K,8,FALSE())</f>
        <v>-2744.73</v>
      </c>
    </row>
    <row r="161" spans="1:14">
      <c r="A161" t="s">
        <v>31369</v>
      </c>
      <c r="B161" t="s">
        <v>31404</v>
      </c>
      <c r="C161" t="s">
        <v>31433</v>
      </c>
      <c r="D161">
        <v>325176761754</v>
      </c>
      <c r="E161" t="s">
        <v>31372</v>
      </c>
      <c r="F161">
        <v>15576.84</v>
      </c>
      <c r="H161" s="104">
        <f>IFERROR(HLOOKUP(D161,'BR Details 05-2023'!$6:$9,4,FALSE),0)</f>
        <v>15067.99</v>
      </c>
      <c r="I161" s="105">
        <f t="shared" si="2"/>
        <v>508.85</v>
      </c>
      <c r="J161" s="105">
        <f>+VLOOKUP(D161,L:N,3,FALSE())-H161</f>
        <v>23028.3</v>
      </c>
      <c r="L161" s="106">
        <v>103715918</v>
      </c>
      <c r="M161" s="106" t="s">
        <v>829</v>
      </c>
      <c r="N161">
        <f>+VLOOKUP(M161,'BS-Details'!D:K,8,FALSE())</f>
        <v>2810056</v>
      </c>
    </row>
    <row r="162" spans="1:14">
      <c r="A162" t="s">
        <v>31369</v>
      </c>
      <c r="B162" t="s">
        <v>31404</v>
      </c>
      <c r="C162" t="s">
        <v>31434</v>
      </c>
      <c r="D162">
        <v>325176761903</v>
      </c>
      <c r="E162" t="s">
        <v>31372</v>
      </c>
      <c r="F162">
        <v>20589.16</v>
      </c>
      <c r="H162" s="104">
        <f>IFERROR(HLOOKUP(D162,'BR Details 05-2023'!$6:$9,4,FALSE),0)</f>
        <v>20589.16</v>
      </c>
      <c r="I162" s="105">
        <f t="shared" si="2"/>
        <v>0</v>
      </c>
      <c r="J162" s="105">
        <f>+VLOOKUP(D162,L:N,3,FALSE())-H162</f>
        <v>-255.079999999998</v>
      </c>
      <c r="L162" s="106">
        <v>0</v>
      </c>
      <c r="M162" s="106" t="s">
        <v>831</v>
      </c>
      <c r="N162">
        <f>+VLOOKUP(M162,'BS-Details'!D:K,8,FALSE())</f>
        <v>11000000</v>
      </c>
    </row>
    <row r="163" spans="1:14">
      <c r="A163" t="s">
        <v>31369</v>
      </c>
      <c r="B163" t="s">
        <v>31404</v>
      </c>
      <c r="C163" t="s">
        <v>31435</v>
      </c>
      <c r="D163">
        <v>325176762106</v>
      </c>
      <c r="E163" t="s">
        <v>31372</v>
      </c>
      <c r="F163">
        <v>23298.94</v>
      </c>
      <c r="H163" s="104">
        <f>IFERROR(HLOOKUP(D163,'BR Details 05-2023'!$6:$9,4,FALSE),0)</f>
        <v>23298.94</v>
      </c>
      <c r="I163" s="105">
        <f t="shared" si="2"/>
        <v>0</v>
      </c>
      <c r="J163" s="105">
        <f>+VLOOKUP(D163,L:N,3,FALSE())-H163</f>
        <v>-10420.8</v>
      </c>
      <c r="L163" s="106">
        <v>1002000584</v>
      </c>
      <c r="M163" s="106" t="s">
        <v>833</v>
      </c>
      <c r="N163">
        <f>+VLOOKUP(M163,'BS-Details'!D:K,8,FALSE())</f>
        <v>-2664935.13</v>
      </c>
    </row>
    <row r="164" spans="1:14">
      <c r="A164" t="s">
        <v>31369</v>
      </c>
      <c r="B164" t="s">
        <v>31404</v>
      </c>
      <c r="C164" t="s">
        <v>31436</v>
      </c>
      <c r="D164">
        <v>325176762355</v>
      </c>
      <c r="E164" t="s">
        <v>31372</v>
      </c>
      <c r="F164">
        <v>20277.41</v>
      </c>
      <c r="H164" s="104">
        <f>IFERROR(HLOOKUP(D164,'BR Details 05-2023'!$6:$9,4,FALSE),0)</f>
        <v>20277.41</v>
      </c>
      <c r="I164" s="105">
        <f t="shared" si="2"/>
        <v>0</v>
      </c>
      <c r="J164" s="105" t="e">
        <f>+VLOOKUP(D164,L:N,3,FALSE())-H164</f>
        <v>#N/A</v>
      </c>
      <c r="L164" s="106">
        <v>1001000353</v>
      </c>
      <c r="M164" s="106" t="s">
        <v>12114</v>
      </c>
      <c r="N164">
        <f>+VLOOKUP(M164,'BS-Details'!D:K,8,FALSE())</f>
        <v>22053.6</v>
      </c>
    </row>
    <row r="165" spans="1:14">
      <c r="A165" t="s">
        <v>31369</v>
      </c>
      <c r="B165" t="s">
        <v>31404</v>
      </c>
      <c r="C165" t="s">
        <v>31437</v>
      </c>
      <c r="D165">
        <v>325177506280</v>
      </c>
      <c r="E165" t="s">
        <v>31372</v>
      </c>
      <c r="F165">
        <v>2729.67</v>
      </c>
      <c r="H165" s="104">
        <f>IFERROR(HLOOKUP(D165,'BR Details 05-2023'!$6:$9,4,FALSE),0)</f>
        <v>0</v>
      </c>
      <c r="I165" s="105">
        <f t="shared" si="2"/>
        <v>2729.67</v>
      </c>
      <c r="J165" s="105" t="e">
        <f>+VLOOKUP(D165,L:N,3,FALSE())-H165</f>
        <v>#N/A</v>
      </c>
      <c r="L165" s="106">
        <v>0</v>
      </c>
      <c r="M165" s="106" t="s">
        <v>12113</v>
      </c>
      <c r="N165">
        <f>+VLOOKUP(M165,'BS-Details'!D:K,8,FALSE())</f>
        <v>1283620.84</v>
      </c>
    </row>
    <row r="166" spans="1:14">
      <c r="A166" t="s">
        <v>31369</v>
      </c>
      <c r="B166" t="s">
        <v>31404</v>
      </c>
      <c r="C166" t="s">
        <v>31438</v>
      </c>
      <c r="D166">
        <v>325177507454</v>
      </c>
      <c r="E166" t="s">
        <v>31372</v>
      </c>
      <c r="F166">
        <v>28498.18</v>
      </c>
      <c r="H166" s="104">
        <f>IFERROR(HLOOKUP(D166,'BR Details 05-2023'!$6:$9,4,FALSE),0)</f>
        <v>0</v>
      </c>
      <c r="I166" s="105">
        <f t="shared" si="2"/>
        <v>28498.18</v>
      </c>
      <c r="J166" s="105" t="e">
        <f>+VLOOKUP(D166,L:N,3,FALSE())-H166</f>
        <v>#N/A</v>
      </c>
      <c r="L166" s="106">
        <v>30912352</v>
      </c>
      <c r="M166" s="106" t="s">
        <v>28</v>
      </c>
      <c r="N166">
        <f>+VLOOKUP(M166,'BS-Details'!D:K,8,FALSE())</f>
        <v>881.32</v>
      </c>
    </row>
    <row r="167" spans="1:14">
      <c r="A167" t="s">
        <v>31369</v>
      </c>
      <c r="B167" t="s">
        <v>31404</v>
      </c>
      <c r="C167" t="s">
        <v>31439</v>
      </c>
      <c r="D167">
        <v>325177509368</v>
      </c>
      <c r="E167" t="s">
        <v>31372</v>
      </c>
      <c r="F167">
        <v>17040.27</v>
      </c>
      <c r="H167" s="104">
        <f>IFERROR(HLOOKUP(D167,'BR Details 05-2023'!$6:$9,4,FALSE),0)</f>
        <v>0</v>
      </c>
      <c r="I167" s="105">
        <f t="shared" si="2"/>
        <v>17040.27</v>
      </c>
      <c r="J167" s="105" t="e">
        <f>+VLOOKUP(D167,L:N,3,FALSE())-H167</f>
        <v>#N/A</v>
      </c>
      <c r="L167" s="106">
        <v>4402766</v>
      </c>
      <c r="M167" s="106" t="s">
        <v>1664</v>
      </c>
      <c r="N167">
        <f>+VLOOKUP(M167,'BS-Details'!D:K,8,FALSE())</f>
        <v>-800</v>
      </c>
    </row>
    <row r="168" spans="1:14">
      <c r="A168" t="s">
        <v>31369</v>
      </c>
      <c r="B168" t="s">
        <v>31404</v>
      </c>
      <c r="C168" t="s">
        <v>31297</v>
      </c>
      <c r="D168">
        <v>325177510865</v>
      </c>
      <c r="E168" t="s">
        <v>31372</v>
      </c>
      <c r="F168">
        <v>67836.24</v>
      </c>
      <c r="H168" s="104">
        <f>IFERROR(HLOOKUP(D168,'BR Details 05-2023'!$6:$9,4,FALSE),0)</f>
        <v>0</v>
      </c>
      <c r="I168" s="105">
        <f t="shared" si="2"/>
        <v>67836.24</v>
      </c>
      <c r="J168" s="105" t="e">
        <f>+VLOOKUP(D168,L:N,3,FALSE())-H168</f>
        <v>#N/A</v>
      </c>
      <c r="L168" s="106">
        <v>32839282</v>
      </c>
      <c r="M168" s="106" t="s">
        <v>677</v>
      </c>
      <c r="N168">
        <f>+VLOOKUP(M168,'BS-Details'!D:K,8,FALSE())</f>
        <v>-158951.94</v>
      </c>
    </row>
    <row r="169" spans="1:14">
      <c r="A169" t="s">
        <v>31369</v>
      </c>
      <c r="B169" t="s">
        <v>31404</v>
      </c>
      <c r="C169" t="s">
        <v>31440</v>
      </c>
      <c r="D169">
        <v>325177949876</v>
      </c>
      <c r="E169" t="s">
        <v>31372</v>
      </c>
      <c r="F169">
        <v>202002.6</v>
      </c>
      <c r="H169" s="104">
        <f>IFERROR(HLOOKUP(D169,'BR Details 05-2023'!$6:$9,4,FALSE),0)</f>
        <v>0</v>
      </c>
      <c r="I169" s="105">
        <f t="shared" si="2"/>
        <v>202002.6</v>
      </c>
      <c r="J169" s="105" t="e">
        <f>+VLOOKUP(D169,L:N,3,FALSE())-H169</f>
        <v>#N/A</v>
      </c>
      <c r="L169" s="106">
        <v>30270074</v>
      </c>
      <c r="M169" s="106" t="s">
        <v>1714</v>
      </c>
      <c r="N169">
        <f>+VLOOKUP(M169,'BS-Details'!D:K,8,FALSE())</f>
        <v>-41379.27</v>
      </c>
    </row>
    <row r="170" spans="1:14">
      <c r="A170" t="s">
        <v>31369</v>
      </c>
      <c r="B170" t="s">
        <v>31404</v>
      </c>
      <c r="C170" t="s">
        <v>31441</v>
      </c>
      <c r="D170">
        <v>325178085360</v>
      </c>
      <c r="E170" t="s">
        <v>31372</v>
      </c>
      <c r="F170">
        <v>0</v>
      </c>
      <c r="H170" s="104">
        <f>IFERROR(HLOOKUP(D170,'BR Details 05-2023'!$6:$9,4,FALSE),0)</f>
        <v>0</v>
      </c>
      <c r="I170" s="105">
        <f t="shared" si="2"/>
        <v>0</v>
      </c>
      <c r="J170" s="105" t="e">
        <f>+VLOOKUP(D170,L:N,3,FALSE())-H170</f>
        <v>#N/A</v>
      </c>
      <c r="N170" t="e">
        <f>+VLOOKUP(M170,'BS-Details'!D:K,8,FALSE())</f>
        <v>#N/A</v>
      </c>
    </row>
    <row r="171" spans="1:14">
      <c r="A171" t="s">
        <v>31369</v>
      </c>
      <c r="B171" t="s">
        <v>31404</v>
      </c>
      <c r="C171" t="s">
        <v>31442</v>
      </c>
      <c r="D171">
        <v>325178087070</v>
      </c>
      <c r="E171" t="s">
        <v>31372</v>
      </c>
      <c r="F171">
        <v>124962.83</v>
      </c>
      <c r="H171" s="104">
        <f>IFERROR(HLOOKUP(D171,'BR Details 05-2023'!$6:$9,4,FALSE),0)</f>
        <v>0</v>
      </c>
      <c r="I171" s="105">
        <f t="shared" si="2"/>
        <v>124962.83</v>
      </c>
      <c r="J171" s="105" t="e">
        <f>+VLOOKUP(D171,L:N,3,FALSE())-H171</f>
        <v>#N/A</v>
      </c>
      <c r="N171" t="e">
        <f>+VLOOKUP(M171,'BS-Details'!D:K,8,FALSE())</f>
        <v>#N/A</v>
      </c>
    </row>
    <row r="172" spans="1:14">
      <c r="A172" t="s">
        <v>31369</v>
      </c>
      <c r="B172" t="s">
        <v>31404</v>
      </c>
      <c r="C172" t="s">
        <v>31260</v>
      </c>
      <c r="D172">
        <v>325178090177</v>
      </c>
      <c r="E172" t="s">
        <v>31372</v>
      </c>
      <c r="F172">
        <v>0.12</v>
      </c>
      <c r="H172" s="104">
        <f>IFERROR(HLOOKUP(D172,'BR Details 05-2023'!$6:$9,4,FALSE),0)</f>
        <v>0</v>
      </c>
      <c r="I172" s="105">
        <f t="shared" si="2"/>
        <v>0.12</v>
      </c>
      <c r="J172" s="105" t="e">
        <f>+VLOOKUP(D172,L:N,3,FALSE())-H172</f>
        <v>#N/A</v>
      </c>
      <c r="N172" t="e">
        <f>+VLOOKUP(M172,'BS-Details'!D:K,8,FALSE())</f>
        <v>#N/A</v>
      </c>
    </row>
    <row r="173" spans="1:14">
      <c r="A173" t="s">
        <v>31369</v>
      </c>
      <c r="B173" t="s">
        <v>31404</v>
      </c>
      <c r="C173" t="s">
        <v>31264</v>
      </c>
      <c r="D173">
        <v>325178093776</v>
      </c>
      <c r="E173" t="s">
        <v>31372</v>
      </c>
      <c r="F173">
        <v>1224.1</v>
      </c>
      <c r="H173" s="104">
        <f>IFERROR(HLOOKUP(D173,'BR Details 05-2023'!$6:$9,4,FALSE),0)</f>
        <v>0</v>
      </c>
      <c r="I173" s="105">
        <f t="shared" si="2"/>
        <v>1224.1</v>
      </c>
      <c r="J173" s="105" t="e">
        <f>+VLOOKUP(D173,L:N,3,FALSE())-H173</f>
        <v>#N/A</v>
      </c>
      <c r="N173" t="e">
        <f>+VLOOKUP(M173,'BS-Details'!D:K,8,FALSE())</f>
        <v>#N/A</v>
      </c>
    </row>
    <row r="174" spans="1:14">
      <c r="A174" t="s">
        <v>31369</v>
      </c>
      <c r="B174" t="s">
        <v>31404</v>
      </c>
      <c r="C174" t="s">
        <v>31268</v>
      </c>
      <c r="D174">
        <v>325178096278</v>
      </c>
      <c r="E174" t="s">
        <v>31372</v>
      </c>
      <c r="F174">
        <v>13872.11</v>
      </c>
      <c r="H174" s="104">
        <f>IFERROR(HLOOKUP(D174,'BR Details 05-2023'!$6:$9,4,FALSE),0)</f>
        <v>0</v>
      </c>
      <c r="I174" s="105">
        <f t="shared" si="2"/>
        <v>13872.11</v>
      </c>
      <c r="J174" s="105" t="e">
        <f>+VLOOKUP(D174,L:N,3,FALSE())-H174</f>
        <v>#N/A</v>
      </c>
      <c r="N174" t="e">
        <f>+VLOOKUP(M174,'BS-Details'!D:K,8,FALSE())</f>
        <v>#N/A</v>
      </c>
    </row>
    <row r="175" spans="1:14">
      <c r="A175" t="s">
        <v>31369</v>
      </c>
      <c r="B175" t="s">
        <v>31404</v>
      </c>
      <c r="C175" t="s">
        <v>31269</v>
      </c>
      <c r="D175">
        <v>325178099194</v>
      </c>
      <c r="E175" t="s">
        <v>31372</v>
      </c>
      <c r="F175">
        <v>0.21</v>
      </c>
      <c r="H175" s="104">
        <f>IFERROR(HLOOKUP(D175,'BR Details 05-2023'!$6:$9,4,FALSE),0)</f>
        <v>0</v>
      </c>
      <c r="I175" s="105">
        <f t="shared" si="2"/>
        <v>0.21</v>
      </c>
      <c r="J175" s="105" t="e">
        <f>+VLOOKUP(D175,L:N,3,FALSE())-H175</f>
        <v>#N/A</v>
      </c>
      <c r="N175" t="e">
        <f>+VLOOKUP(M175,'BS-Details'!D:K,8,FALSE())</f>
        <v>#N/A</v>
      </c>
    </row>
    <row r="176" spans="1:14">
      <c r="A176" t="s">
        <v>31369</v>
      </c>
      <c r="B176" t="s">
        <v>31404</v>
      </c>
      <c r="C176" t="s">
        <v>31270</v>
      </c>
      <c r="D176">
        <v>325178101655</v>
      </c>
      <c r="E176" t="s">
        <v>31372</v>
      </c>
      <c r="F176">
        <v>4119.39</v>
      </c>
      <c r="H176" s="104">
        <f>IFERROR(HLOOKUP(D176,'BR Details 05-2023'!$6:$9,4,FALSE),0)</f>
        <v>0</v>
      </c>
      <c r="I176" s="105">
        <f t="shared" si="2"/>
        <v>4119.39</v>
      </c>
      <c r="J176" s="105" t="e">
        <f>+VLOOKUP(D176,L:N,3,FALSE())-H176</f>
        <v>#N/A</v>
      </c>
      <c r="N176" t="e">
        <f>+VLOOKUP(M176,'BS-Details'!D:K,8,FALSE())</f>
        <v>#N/A</v>
      </c>
    </row>
    <row r="177" spans="1:14">
      <c r="A177" t="s">
        <v>31369</v>
      </c>
      <c r="B177" t="s">
        <v>31404</v>
      </c>
      <c r="C177" t="s">
        <v>31271</v>
      </c>
      <c r="D177">
        <v>325178104636</v>
      </c>
      <c r="E177" t="s">
        <v>31372</v>
      </c>
      <c r="F177">
        <v>0</v>
      </c>
      <c r="H177" s="104">
        <f>IFERROR(HLOOKUP(D177,'BR Details 05-2023'!$6:$9,4,FALSE),0)</f>
        <v>0</v>
      </c>
      <c r="I177" s="105">
        <f t="shared" si="2"/>
        <v>0</v>
      </c>
      <c r="J177" s="105" t="e">
        <f>+VLOOKUP(D177,L:N,3,FALSE())-H177</f>
        <v>#N/A</v>
      </c>
      <c r="N177" t="e">
        <f>+VLOOKUP(M177,'BS-Details'!D:K,8,FALSE())</f>
        <v>#N/A</v>
      </c>
    </row>
    <row r="178" spans="1:14">
      <c r="A178" t="s">
        <v>31369</v>
      </c>
      <c r="B178" t="s">
        <v>31404</v>
      </c>
      <c r="C178" t="s">
        <v>31274</v>
      </c>
      <c r="D178">
        <v>325178107031</v>
      </c>
      <c r="E178" t="s">
        <v>31372</v>
      </c>
      <c r="F178">
        <v>0.18</v>
      </c>
      <c r="H178" s="104">
        <f>IFERROR(HLOOKUP(D178,'BR Details 05-2023'!$6:$9,4,FALSE),0)</f>
        <v>0</v>
      </c>
      <c r="I178" s="105">
        <f t="shared" si="2"/>
        <v>0.18</v>
      </c>
      <c r="J178" s="105" t="e">
        <f>+VLOOKUP(D178,L:N,3,FALSE())-H178</f>
        <v>#N/A</v>
      </c>
      <c r="N178" t="e">
        <f>+VLOOKUP(M178,'BS-Details'!D:K,8,FALSE())</f>
        <v>#N/A</v>
      </c>
    </row>
    <row r="179" spans="1:14">
      <c r="A179" t="s">
        <v>31369</v>
      </c>
      <c r="B179" t="s">
        <v>31404</v>
      </c>
      <c r="C179" t="s">
        <v>31276</v>
      </c>
      <c r="D179">
        <v>325178112178</v>
      </c>
      <c r="E179" t="s">
        <v>31372</v>
      </c>
      <c r="F179">
        <v>0.1</v>
      </c>
      <c r="H179" s="104">
        <f>IFERROR(HLOOKUP(D179,'BR Details 05-2023'!$6:$9,4,FALSE),0)</f>
        <v>0</v>
      </c>
      <c r="I179" s="105">
        <f t="shared" si="2"/>
        <v>0.1</v>
      </c>
      <c r="J179" s="105" t="e">
        <f>+VLOOKUP(D179,L:N,3,FALSE())-H179</f>
        <v>#N/A</v>
      </c>
      <c r="N179" t="e">
        <f>+VLOOKUP(M179,'BS-Details'!D:K,8,FALSE())</f>
        <v>#N/A</v>
      </c>
    </row>
    <row r="180" spans="1:14">
      <c r="A180" t="s">
        <v>31369</v>
      </c>
      <c r="B180" t="s">
        <v>31404</v>
      </c>
      <c r="C180" t="s">
        <v>31273</v>
      </c>
      <c r="D180">
        <v>325178115175</v>
      </c>
      <c r="E180" t="s">
        <v>31372</v>
      </c>
      <c r="F180">
        <v>0.08</v>
      </c>
      <c r="H180" s="104">
        <f>IFERROR(HLOOKUP(D180,'BR Details 05-2023'!$6:$9,4,FALSE),0)</f>
        <v>0</v>
      </c>
      <c r="I180" s="105">
        <f t="shared" si="2"/>
        <v>0.08</v>
      </c>
      <c r="J180" s="105" t="e">
        <f>+VLOOKUP(D180,L:N,3,FALSE())-H180</f>
        <v>#N/A</v>
      </c>
      <c r="N180" t="e">
        <f>+VLOOKUP(M180,'BS-Details'!D:K,8,FALSE())</f>
        <v>#N/A</v>
      </c>
    </row>
    <row r="181" spans="1:14">
      <c r="A181" t="s">
        <v>31369</v>
      </c>
      <c r="B181" t="s">
        <v>31404</v>
      </c>
      <c r="C181" t="s">
        <v>31273</v>
      </c>
      <c r="D181">
        <v>325178116695</v>
      </c>
      <c r="E181" t="s">
        <v>31372</v>
      </c>
      <c r="F181">
        <v>0.17</v>
      </c>
      <c r="H181" s="104">
        <f>IFERROR(HLOOKUP(D181,'BR Details 05-2023'!$6:$9,4,FALSE),0)</f>
        <v>0</v>
      </c>
      <c r="I181" s="105">
        <f t="shared" si="2"/>
        <v>0.17</v>
      </c>
      <c r="J181" s="105" t="e">
        <f>+VLOOKUP(D181,L:N,3,FALSE())-H181</f>
        <v>#N/A</v>
      </c>
      <c r="N181" t="e">
        <f>+VLOOKUP(M181,'BS-Details'!D:K,8,FALSE())</f>
        <v>#N/A</v>
      </c>
    </row>
    <row r="182" spans="1:14">
      <c r="A182" t="s">
        <v>31369</v>
      </c>
      <c r="B182" t="s">
        <v>31404</v>
      </c>
      <c r="C182" t="s">
        <v>31275</v>
      </c>
      <c r="D182">
        <v>325178119582</v>
      </c>
      <c r="E182" t="s">
        <v>31372</v>
      </c>
      <c r="F182">
        <v>0.11</v>
      </c>
      <c r="H182" s="104">
        <f>IFERROR(HLOOKUP(D182,'BR Details 05-2023'!$6:$9,4,FALSE),0)</f>
        <v>0</v>
      </c>
      <c r="I182" s="105">
        <f t="shared" si="2"/>
        <v>0.11</v>
      </c>
      <c r="J182" s="105" t="e">
        <f>+VLOOKUP(D182,L:N,3,FALSE())-H182</f>
        <v>#N/A</v>
      </c>
      <c r="N182" t="e">
        <f>+VLOOKUP(M182,'BS-Details'!D:K,8,FALSE())</f>
        <v>#N/A</v>
      </c>
    </row>
    <row r="183" spans="1:14">
      <c r="A183" t="s">
        <v>31369</v>
      </c>
      <c r="B183" t="s">
        <v>31404</v>
      </c>
      <c r="C183" t="s">
        <v>31275</v>
      </c>
      <c r="D183">
        <v>325178123853</v>
      </c>
      <c r="E183" t="s">
        <v>31372</v>
      </c>
      <c r="F183">
        <v>0.19</v>
      </c>
      <c r="H183" s="104">
        <f>IFERROR(HLOOKUP(D183,'BR Details 05-2023'!$6:$9,4,FALSE),0)</f>
        <v>0</v>
      </c>
      <c r="I183" s="105">
        <f t="shared" si="2"/>
        <v>0.19</v>
      </c>
      <c r="J183" s="105" t="e">
        <f>+VLOOKUP(D183,L:N,3,FALSE())-H183</f>
        <v>#N/A</v>
      </c>
      <c r="N183" t="e">
        <f>+VLOOKUP(M183,'BS-Details'!D:K,8,FALSE())</f>
        <v>#N/A</v>
      </c>
    </row>
    <row r="184" spans="1:14">
      <c r="A184" t="s">
        <v>31369</v>
      </c>
      <c r="B184" t="s">
        <v>31404</v>
      </c>
      <c r="C184" t="s">
        <v>31267</v>
      </c>
      <c r="D184">
        <v>325178124438</v>
      </c>
      <c r="E184" t="s">
        <v>31372</v>
      </c>
      <c r="F184">
        <v>100000</v>
      </c>
      <c r="H184" s="104">
        <f>IFERROR(HLOOKUP(D184,'BR Details 05-2023'!$6:$9,4,FALSE),0)</f>
        <v>0</v>
      </c>
      <c r="I184" s="105">
        <f t="shared" si="2"/>
        <v>100000</v>
      </c>
      <c r="J184" s="105" t="e">
        <f>+VLOOKUP(D184,L:N,3,FALSE())-H184</f>
        <v>#N/A</v>
      </c>
      <c r="N184" t="e">
        <f>+VLOOKUP(M184,'BS-Details'!D:K,8,FALSE())</f>
        <v>#N/A</v>
      </c>
    </row>
    <row r="185" spans="1:14">
      <c r="A185" t="s">
        <v>31369</v>
      </c>
      <c r="B185" t="s">
        <v>31404</v>
      </c>
      <c r="C185" t="s">
        <v>31267</v>
      </c>
      <c r="D185">
        <v>325178124865</v>
      </c>
      <c r="E185" t="s">
        <v>31372</v>
      </c>
      <c r="F185">
        <v>0.22</v>
      </c>
      <c r="H185" s="104">
        <f>IFERROR(HLOOKUP(D185,'BR Details 05-2023'!$6:$9,4,FALSE),0)</f>
        <v>0</v>
      </c>
      <c r="I185" s="105">
        <f t="shared" si="2"/>
        <v>0.22</v>
      </c>
      <c r="J185" s="105" t="e">
        <f>+VLOOKUP(D185,L:N,3,FALSE())-H185</f>
        <v>#N/A</v>
      </c>
      <c r="N185" t="e">
        <f>+VLOOKUP(M185,'BS-Details'!D:K,8,FALSE())</f>
        <v>#N/A</v>
      </c>
    </row>
    <row r="186" spans="1:14">
      <c r="A186" t="s">
        <v>31369</v>
      </c>
      <c r="B186" t="s">
        <v>31404</v>
      </c>
      <c r="C186" t="s">
        <v>31258</v>
      </c>
      <c r="D186">
        <v>325179975000</v>
      </c>
      <c r="E186" t="s">
        <v>31372</v>
      </c>
      <c r="F186">
        <v>257292.76</v>
      </c>
      <c r="H186" s="104">
        <f>IFERROR(HLOOKUP(D186,'BR Details 05-2023'!$6:$9,4,FALSE),0)</f>
        <v>0</v>
      </c>
      <c r="I186" s="105">
        <f t="shared" si="2"/>
        <v>257292.76</v>
      </c>
      <c r="J186" s="105" t="e">
        <f>+VLOOKUP(D186,L:N,3,FALSE())-H186</f>
        <v>#N/A</v>
      </c>
      <c r="N186" t="e">
        <f>+VLOOKUP(M186,'BS-Details'!D:K,8,FALSE())</f>
        <v>#N/A</v>
      </c>
    </row>
    <row r="187" spans="1:14">
      <c r="A187" t="s">
        <v>31369</v>
      </c>
      <c r="B187" t="s">
        <v>31404</v>
      </c>
      <c r="C187" t="s">
        <v>31443</v>
      </c>
      <c r="D187">
        <v>325179976643</v>
      </c>
      <c r="E187" t="s">
        <v>31372</v>
      </c>
      <c r="F187">
        <v>0</v>
      </c>
      <c r="H187" s="104">
        <f>IFERROR(HLOOKUP(D187,'BR Details 05-2023'!$6:$9,4,FALSE),0)</f>
        <v>0</v>
      </c>
      <c r="I187" s="105">
        <f t="shared" si="2"/>
        <v>0</v>
      </c>
      <c r="J187" s="105" t="e">
        <f>+VLOOKUP(D187,L:N,3,FALSE())-H187</f>
        <v>#N/A</v>
      </c>
      <c r="N187" t="e">
        <f>+VLOOKUP(M187,'BS-Details'!D:K,8,FALSE())</f>
        <v>#N/A</v>
      </c>
    </row>
  </sheetData>
  <autoFilter ref="A1:O132"/>
  <pageMargins left="0.7" right="0.7" top="0.75" bottom="0.75" header="0.511811023622047" footer="0.511811023622047"/>
  <pageSetup horizontalDpi="300" orientation="portrait" paperSize="1" useFirstPageNumber="true"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2:DE35"/>
  <sheetViews>
    <sheetView workbookViewId="0">
      <pane activePane="bottomRight" state="frozen" topLeftCell="CP11" xSplit="2" ySplit="7"/>
      <selection/>
      <selection pane="topRight"/>
      <selection pane="bottomLeft"/>
      <selection activeCell="CZ19" pane="bottomRight" sqref="CZ19"/>
    </sheetView>
  </sheetViews>
  <sheetFormatPr defaultColWidth="9.12" defaultRowHeight="15"/>
  <cols>
    <col customWidth="true" max="1" min="1" style="71" width="13"/>
    <col customWidth="true" max="2" min="2" style="71" width="36.88"/>
    <col customWidth="true" max="3" min="3" style="71" width="18.6733333333333"/>
    <col customWidth="true" max="4" min="4" style="71" width="15.5533333333333"/>
    <col customWidth="true" max="5" min="5" style="71" width="13.3266666666667"/>
    <col customWidth="true" max="6" min="6" style="71" width="12.1066666666667"/>
    <col customWidth="true" max="7" min="7" style="71" width="12.8933333333333"/>
    <col customWidth="true" max="9" min="8" style="71" width="11.3266666666667"/>
    <col customWidth="true" max="11" min="10" style="71" width="13.3266666666667"/>
    <col customWidth="true" max="12" min="12" style="71" width="12.1066666666667"/>
    <col customWidth="true" max="13" min="13" style="71" width="13.3266666666667"/>
    <col customWidth="true" max="14" min="14" style="71" width="12.8933333333333"/>
    <col customWidth="true" max="15" min="15" style="71" width="11.1066666666667"/>
    <col customWidth="true" max="19" min="16" style="71" width="10.5533333333333"/>
    <col customWidth="true" max="20" min="20" style="71" width="12.1066666666667"/>
    <col customWidth="true" max="21" min="21" style="71" width="10.5533333333333"/>
    <col customWidth="true" max="23" min="22" style="71" width="13.3266666666667"/>
    <col customWidth="true" max="24" min="24" style="71" width="12.1066666666667"/>
    <col customWidth="true" max="25" min="25" style="71" width="11.3266666666667"/>
    <col customWidth="true" max="27" min="26" style="71" width="12.1066666666667"/>
    <col customWidth="true" max="29" min="28" style="71" width="12.8933333333333"/>
    <col customWidth="true" max="30" min="30" style="71" width="8.66"/>
    <col customWidth="true" max="31" min="31" style="71" width="12.8933333333333"/>
    <col customWidth="true" max="32" min="32" style="71" width="26.66"/>
    <col customWidth="true" max="33" min="33" style="71" width="15.5533333333333"/>
    <col customWidth="true" max="35" min="34" style="71" width="10.5533333333333"/>
    <col customWidth="true" max="37" min="36" style="71" width="11.3266666666667"/>
    <col customWidth="true" max="38" min="38" style="71" width="12.1066666666667"/>
    <col customWidth="true" max="39" min="39" style="71" width="10.5533333333333"/>
    <col customWidth="true" max="40" min="40" style="71" width="12.8933333333333"/>
    <col customWidth="true" max="41" min="41" style="71" width="9.55333333333333"/>
    <col customWidth="true" max="42" min="42" style="71" width="12.8933333333333"/>
    <col customWidth="true" max="43" min="43" style="71" width="12.1066666666667"/>
    <col customWidth="true" max="44" min="44" style="71" width="10.3266666666667"/>
    <col customWidth="true" max="45" min="45" style="71" width="12.1066666666667"/>
    <col customWidth="true" max="46" min="46" style="71" width="10.3266666666667"/>
    <col customWidth="true" max="47" min="47" style="71" width="10.5533333333333"/>
    <col customWidth="true" max="50" min="48" style="71" width="11.3266666666667"/>
    <col customWidth="true" max="52" min="51" style="71" width="10.3266666666667"/>
    <col customWidth="true" max="53" min="53" style="71" width="25"/>
    <col customWidth="true" max="55" min="54" style="71" width="10.5533333333333"/>
    <col customWidth="true" max="56" min="56" style="71" width="10.3266666666667"/>
    <col customWidth="true" max="59" min="57" style="71" width="10.5533333333333"/>
    <col customWidth="true" max="60" min="60" style="71" width="10.3266666666667"/>
    <col customWidth="true" max="62" min="61" style="71" width="10.5533333333333"/>
    <col customWidth="true" max="63" min="63" style="71" width="12.1066666666667"/>
    <col customWidth="true" max="64" min="64" style="71" width="9.55333333333333"/>
    <col customWidth="true" max="68" min="65" style="71" width="10.5533333333333"/>
    <col customWidth="true" max="69" min="69" style="71" width="11.3266666666667"/>
    <col customWidth="true" max="71" min="70" style="71" width="10.5533333333333"/>
    <col customWidth="true" max="72" min="72" style="71" width="13.3266666666667"/>
    <col customWidth="true" max="73" min="73" style="71" width="6.44"/>
    <col customWidth="true" max="74" min="74" style="71" width="11.3266666666667"/>
    <col customWidth="true" max="75" min="75" style="71" width="5.66"/>
    <col customWidth="true" max="76" min="76" style="71" width="13.3266666666667"/>
    <col customWidth="true" max="77" min="77" style="71" width="14"/>
    <col customWidth="true" max="79" min="78" style="71" width="11.3266666666667"/>
    <col customWidth="true" max="80" min="80" style="71" width="6.11333333333333"/>
    <col customWidth="true" max="81" min="81" style="71" width="12.1066666666667"/>
    <col customWidth="true" max="82" min="82" style="71" width="11.3266666666667"/>
    <col customWidth="true" max="84" min="83" style="71" width="10.5533333333333"/>
    <col customWidth="true" max="86" min="85" style="71" width="11.3266666666667"/>
    <col customWidth="true" max="87" min="87" style="71" width="12.8933333333333"/>
    <col customWidth="true" max="89" min="88" style="71" width="10.5533333333333"/>
    <col customWidth="true" max="93" min="90" style="71" width="11.3266666666667"/>
    <col customWidth="true" max="94" min="94" style="71" width="12.8933333333333"/>
    <col customWidth="true" max="96" min="95" style="71" width="12.1066666666667"/>
    <col customWidth="true" max="97" min="97" style="71" width="5.11333333333333"/>
    <col customWidth="true" max="98" min="98" style="71" width="14.1066666666667"/>
    <col customWidth="true" max="99" min="99" style="71" width="13.8933333333333"/>
    <col customWidth="true" max="100" min="100" style="71" width="13.5533333333333"/>
    <col customWidth="true" max="102" min="101" style="71" width="5.34"/>
    <col customWidth="true" max="103" min="103" style="71" width="9.86666666666667"/>
    <col customWidth="true" max="104" min="104" style="33" width="8"/>
    <col customWidth="true" max="105" min="105" style="33" width="8.88"/>
    <col customWidth="true" max="106" min="106" style="71" width="9.10666666666667"/>
    <col customWidth="true" max="107" min="107" style="71" width="10.5533333333333"/>
    <col customWidth="true" max="108" min="108" style="71" width="14"/>
    <col customWidth="true" max="109" min="109" style="71" width="10.5533333333333"/>
    <col customWidth="true" max="1024" min="110" style="71" width="9.10666666666667"/>
  </cols>
  <sheetData>
    <row r="2" spans="2:3">
      <c r="B2" s="71" t="s">
        <v>31444</v>
      </c>
      <c r="C2" s="75" t="s">
        <v>31445</v>
      </c>
    </row>
    <row r="3" spans="2:53">
      <c r="B3" s="71" t="s">
        <v>31446</v>
      </c>
      <c r="C3" s="71" t="str">
        <f>"BR Details "&amp;TEXT(MONTH(C2),"00")&amp;"-"&amp;TEXT(YEAR(C2),"00")</f>
        <v>BR Details 05-2023</v>
      </c>
      <c r="BA3" s="71" t="str">
        <f>"'"&amp;$C$3&amp;"'!$9:$9"</f>
        <v>'BR Details 05-2023'!$9:$9</v>
      </c>
    </row>
    <row r="4" spans="2:3">
      <c r="B4" s="71" t="s">
        <v>31447</v>
      </c>
      <c r="C4" s="71" t="str">
        <f>"BR Details "&amp;TEXT(MONTH(DATE(YEAR(C2),MONTH(C2)-1,DAY(C2))),"00")&amp;"-"&amp;TEXT(YEAR(DATE(YEAR(C2),MONTH(C2)-1,DAY(C2))),"00")</f>
        <v>BR Details 04-2023</v>
      </c>
    </row>
    <row r="5" ht="15.75"/>
    <row r="6" spans="2:103" ht="15.75">
      <c r="B6" s="76"/>
      <c r="C6" s="76"/>
      <c r="D6" s="76"/>
      <c r="E6" s="92" t="s">
        <v>13759</v>
      </c>
      <c r="F6" s="92"/>
      <c r="G6" s="92"/>
      <c r="H6" s="92"/>
      <c r="I6" s="92"/>
      <c r="J6" s="92"/>
      <c r="K6" s="92" t="s">
        <v>13760</v>
      </c>
      <c r="L6" s="92"/>
      <c r="M6" s="92"/>
      <c r="N6" s="92" t="s">
        <v>31448</v>
      </c>
      <c r="O6" s="92"/>
      <c r="P6" s="92"/>
      <c r="Q6" s="92"/>
      <c r="R6" s="92"/>
      <c r="S6" s="92"/>
      <c r="T6" s="92"/>
      <c r="U6" s="92"/>
      <c r="V6" s="92"/>
      <c r="W6" s="92"/>
      <c r="X6" s="92" t="s">
        <v>13762</v>
      </c>
      <c r="Y6" s="92"/>
      <c r="Z6" s="92"/>
      <c r="AA6" s="76"/>
      <c r="AB6" s="76"/>
      <c r="AC6" s="76"/>
      <c r="AD6" s="76"/>
      <c r="AE6" s="76"/>
      <c r="AF6" s="76"/>
      <c r="AG6" s="76"/>
      <c r="AH6" s="76"/>
      <c r="AI6" s="76"/>
      <c r="AJ6" s="76"/>
      <c r="AK6" s="76"/>
      <c r="AL6" s="76"/>
      <c r="AM6" s="76"/>
      <c r="AN6" s="92" t="s">
        <v>31449</v>
      </c>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c r="CF6" s="92"/>
      <c r="CG6" s="92"/>
      <c r="CH6" s="92"/>
      <c r="CI6" s="92"/>
      <c r="CJ6" s="92"/>
      <c r="CK6" s="92"/>
      <c r="CL6" s="92"/>
      <c r="CM6" s="92"/>
      <c r="CN6" s="92"/>
      <c r="CO6" s="92"/>
      <c r="CP6" s="92"/>
      <c r="CQ6" s="92"/>
      <c r="CR6" s="92"/>
      <c r="CS6" s="92"/>
      <c r="CT6" s="92"/>
      <c r="CU6" s="92"/>
      <c r="CV6" s="92" t="s">
        <v>31450</v>
      </c>
      <c r="CW6" s="92"/>
      <c r="CX6" s="92"/>
      <c r="CY6" s="76"/>
    </row>
    <row r="7" spans="2:109" s="72" customFormat="true">
      <c r="B7" s="77"/>
      <c r="C7" s="78" t="s">
        <v>13769</v>
      </c>
      <c r="D7" s="78" t="s">
        <v>13770</v>
      </c>
      <c r="E7" s="78" t="s">
        <v>13771</v>
      </c>
      <c r="F7" s="78" t="s">
        <v>13772</v>
      </c>
      <c r="G7" s="78" t="s">
        <v>13773</v>
      </c>
      <c r="H7" s="78" t="s">
        <v>13774</v>
      </c>
      <c r="I7" s="78" t="s">
        <v>13775</v>
      </c>
      <c r="J7" s="78" t="s">
        <v>13857</v>
      </c>
      <c r="K7" s="78" t="s">
        <v>13777</v>
      </c>
      <c r="L7" s="78" t="s">
        <v>13778</v>
      </c>
      <c r="M7" s="78" t="s">
        <v>13857</v>
      </c>
      <c r="N7" s="78" t="s">
        <v>13780</v>
      </c>
      <c r="O7" s="78" t="s">
        <v>13781</v>
      </c>
      <c r="P7" s="78" t="s">
        <v>13782</v>
      </c>
      <c r="Q7" s="78" t="s">
        <v>13783</v>
      </c>
      <c r="R7" s="78" t="s">
        <v>13785</v>
      </c>
      <c r="S7" s="78" t="s">
        <v>13784</v>
      </c>
      <c r="T7" s="78" t="s">
        <v>13857</v>
      </c>
      <c r="U7" s="78" t="s">
        <v>13787</v>
      </c>
      <c r="V7" s="78" t="s">
        <v>13788</v>
      </c>
      <c r="W7" s="78" t="s">
        <v>13789</v>
      </c>
      <c r="X7" s="78" t="s">
        <v>13790</v>
      </c>
      <c r="Y7" s="78" t="s">
        <v>13791</v>
      </c>
      <c r="Z7" s="78" t="s">
        <v>13762</v>
      </c>
      <c r="AA7" s="78" t="s">
        <v>13793</v>
      </c>
      <c r="AB7" s="78" t="s">
        <v>13794</v>
      </c>
      <c r="AC7" s="78" t="s">
        <v>13795</v>
      </c>
      <c r="AD7" s="78" t="s">
        <v>13859</v>
      </c>
      <c r="AE7" s="78" t="s">
        <v>13860</v>
      </c>
      <c r="AF7" s="78" t="s">
        <v>13864</v>
      </c>
      <c r="AG7" s="78" t="s">
        <v>13865</v>
      </c>
      <c r="AH7" s="78" t="s">
        <v>13861</v>
      </c>
      <c r="AI7" s="78" t="s">
        <v>13796</v>
      </c>
      <c r="AJ7" s="78" t="s">
        <v>13797</v>
      </c>
      <c r="AK7" s="78" t="s">
        <v>13798</v>
      </c>
      <c r="AL7" s="78" t="s">
        <v>13799</v>
      </c>
      <c r="AM7" s="78" t="s">
        <v>13800</v>
      </c>
      <c r="AN7" s="78" t="s">
        <v>13801</v>
      </c>
      <c r="AO7" s="78" t="s">
        <v>13802</v>
      </c>
      <c r="AP7" s="78" t="s">
        <v>13803</v>
      </c>
      <c r="AQ7" s="78" t="s">
        <v>13804</v>
      </c>
      <c r="AR7" s="78" t="s">
        <v>13805</v>
      </c>
      <c r="AS7" s="78" t="s">
        <v>13806</v>
      </c>
      <c r="AT7" s="78" t="s">
        <v>13807</v>
      </c>
      <c r="AU7" s="78" t="s">
        <v>13808</v>
      </c>
      <c r="AV7" s="78" t="s">
        <v>13809</v>
      </c>
      <c r="AW7" s="78" t="s">
        <v>13810</v>
      </c>
      <c r="AX7" s="78" t="s">
        <v>13811</v>
      </c>
      <c r="AY7" s="78" t="s">
        <v>13812</v>
      </c>
      <c r="AZ7" s="78" t="s">
        <v>13814</v>
      </c>
      <c r="BA7" s="78" t="s">
        <v>13813</v>
      </c>
      <c r="BB7" s="78" t="s">
        <v>13815</v>
      </c>
      <c r="BC7" s="78" t="s">
        <v>13816</v>
      </c>
      <c r="BD7" s="78" t="s">
        <v>13817</v>
      </c>
      <c r="BE7" s="78" t="s">
        <v>13818</v>
      </c>
      <c r="BF7" s="78" t="s">
        <v>13819</v>
      </c>
      <c r="BG7" s="78" t="s">
        <v>13820</v>
      </c>
      <c r="BH7" s="78" t="s">
        <v>13823</v>
      </c>
      <c r="BI7" s="78" t="s">
        <v>13821</v>
      </c>
      <c r="BJ7" s="78" t="s">
        <v>13822</v>
      </c>
      <c r="BK7" s="78" t="s">
        <v>13824</v>
      </c>
      <c r="BL7" s="78" t="s">
        <v>13825</v>
      </c>
      <c r="BM7" s="78" t="s">
        <v>13826</v>
      </c>
      <c r="BN7" s="78" t="s">
        <v>13827</v>
      </c>
      <c r="BO7" s="78" t="s">
        <v>13828</v>
      </c>
      <c r="BP7" s="78" t="s">
        <v>13829</v>
      </c>
      <c r="BQ7" s="78" t="s">
        <v>13830</v>
      </c>
      <c r="BR7" s="78" t="s">
        <v>13831</v>
      </c>
      <c r="BS7" s="78" t="s">
        <v>13832</v>
      </c>
      <c r="BT7" s="78" t="s">
        <v>13833</v>
      </c>
      <c r="BU7" s="78" t="s">
        <v>13835</v>
      </c>
      <c r="BV7" s="78" t="s">
        <v>13834</v>
      </c>
      <c r="BW7" s="78" t="s">
        <v>13837</v>
      </c>
      <c r="BX7" s="78" t="s">
        <v>13838</v>
      </c>
      <c r="BY7" s="78" t="s">
        <v>13839</v>
      </c>
      <c r="BZ7" s="78" t="s">
        <v>13836</v>
      </c>
      <c r="CA7" s="78" t="s">
        <v>13862</v>
      </c>
      <c r="CB7" s="78" t="s">
        <v>13840</v>
      </c>
      <c r="CC7" s="78" t="s">
        <v>13841</v>
      </c>
      <c r="CD7" s="78" t="s">
        <v>13842</v>
      </c>
      <c r="CE7" s="78" t="s">
        <v>13843</v>
      </c>
      <c r="CF7" s="78" t="s">
        <v>13845</v>
      </c>
      <c r="CG7" s="78" t="s">
        <v>13844</v>
      </c>
      <c r="CH7" s="78" t="s">
        <v>13846</v>
      </c>
      <c r="CI7" s="78" t="s">
        <v>13847</v>
      </c>
      <c r="CJ7" s="78" t="s">
        <v>13849</v>
      </c>
      <c r="CK7" s="78" t="s">
        <v>13848</v>
      </c>
      <c r="CL7" s="78" t="s">
        <v>13850</v>
      </c>
      <c r="CM7" s="78" t="s">
        <v>13851</v>
      </c>
      <c r="CN7" s="78" t="s">
        <v>13852</v>
      </c>
      <c r="CO7" s="78" t="s">
        <v>13853</v>
      </c>
      <c r="CP7" s="78" t="s">
        <v>13854</v>
      </c>
      <c r="CQ7" s="78" t="s">
        <v>13855</v>
      </c>
      <c r="CR7" s="78" t="s">
        <v>13856</v>
      </c>
      <c r="CS7" s="78"/>
      <c r="CT7" s="78" t="s">
        <v>31451</v>
      </c>
      <c r="CU7" s="78" t="s">
        <v>31449</v>
      </c>
      <c r="CV7" s="78" t="s">
        <v>31452</v>
      </c>
      <c r="CW7" s="78" t="s">
        <v>31453</v>
      </c>
      <c r="CX7" s="78" t="s">
        <v>31454</v>
      </c>
      <c r="CY7" s="78" t="s">
        <v>13857</v>
      </c>
      <c r="CZ7" s="78"/>
      <c r="DA7" s="101"/>
      <c r="DB7" s="101"/>
      <c r="DC7" s="78" t="s">
        <v>31455</v>
      </c>
      <c r="DD7" s="78" t="s">
        <v>31456</v>
      </c>
      <c r="DE7" s="78" t="s">
        <v>14668</v>
      </c>
    </row>
    <row r="8" spans="2:109" s="73" customFormat="true">
      <c r="B8" s="79" t="s">
        <v>31457</v>
      </c>
      <c r="C8" s="80"/>
      <c r="D8" s="80"/>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C8" s="80"/>
      <c r="DD8" s="80"/>
      <c r="DE8" s="80"/>
    </row>
    <row r="9" spans="2:109" s="73" customFormat="true">
      <c r="B9" s="79" t="s">
        <v>31458</v>
      </c>
      <c r="C9" s="80" t="e">
        <f ca="true">SUM(D9,CV9)</f>
        <v>#REF!</v>
      </c>
      <c r="D9" s="81" t="e">
        <f ca="true">SUM(E9:I9,K9:L9,N9:S9,U9:V9,X9:Y9,AA9:BA9)</f>
        <v>#REF!</v>
      </c>
      <c r="E9" s="93" t="e">
        <f ca="true">+SUMIF(INDIRECT("'"&amp;$C$4&amp;"'!$4:$4"),E$7,INDIRECT("'"&amp;$C$4&amp;"'!$9:$9"))</f>
        <v>#REF!</v>
      </c>
      <c r="F9" s="81" t="e">
        <f ca="true">+SUMIF(INDIRECT("'"&amp;$C$4&amp;"'!$4:$4"),F$7,INDIRECT("'"&amp;$C$4&amp;"'!$9:$9"))</f>
        <v>#REF!</v>
      </c>
      <c r="G9" s="81" t="e">
        <f ca="true">+SUMIF(INDIRECT("'"&amp;$C$4&amp;"'!$4:$4"),G$7,INDIRECT("'"&amp;$C$4&amp;"'!$9:$9"))</f>
        <v>#REF!</v>
      </c>
      <c r="H9" s="81" t="e">
        <f ca="true">+SUMIF(INDIRECT("'"&amp;$C$4&amp;"'!$4:$4"),H$7,INDIRECT("'"&amp;$C$4&amp;"'!$9:$9"))</f>
        <v>#REF!</v>
      </c>
      <c r="I9" s="81" t="e">
        <f ca="true">+SUMIF(INDIRECT("'"&amp;$C$4&amp;"'!$4:$4"),I$7,INDIRECT("'"&amp;$C$4&amp;"'!$9:$9"))</f>
        <v>#REF!</v>
      </c>
      <c r="J9" s="81" t="e">
        <f ca="true">SUM(E9:I9)</f>
        <v>#REF!</v>
      </c>
      <c r="K9" s="81" t="e">
        <f ca="true">+SUMIF(INDIRECT("'"&amp;$C$4&amp;"'!$4:$4"),K$7,INDIRECT("'"&amp;$C$4&amp;"'!$9:$9"))</f>
        <v>#REF!</v>
      </c>
      <c r="L9" s="81" t="e">
        <f ca="true">+SUMIF(INDIRECT("'"&amp;$C$4&amp;"'!$4:$4"),L$7,INDIRECT("'"&amp;$C$4&amp;"'!$9:$9"))</f>
        <v>#REF!</v>
      </c>
      <c r="M9" s="81" t="e">
        <f ca="true">+SUM(K9:L9)</f>
        <v>#REF!</v>
      </c>
      <c r="N9" s="81" t="e">
        <f ca="true">+SUMIF(INDIRECT("'"&amp;$C$4&amp;"'!$4:$4"),N$7,INDIRECT("'"&amp;$C$4&amp;"'!$9:$9"))</f>
        <v>#REF!</v>
      </c>
      <c r="O9" s="81" t="e">
        <f ca="true">+SUMIF(INDIRECT("'"&amp;$C$4&amp;"'!$4:$4"),O$7,INDIRECT("'"&amp;$C$4&amp;"'!$9:$9"))</f>
        <v>#REF!</v>
      </c>
      <c r="P9" s="81" t="e">
        <f ca="true">+SUMIF(INDIRECT("'"&amp;$C$4&amp;"'!$4:$4"),P$7,INDIRECT("'"&amp;$C$4&amp;"'!$9:$9"))</f>
        <v>#REF!</v>
      </c>
      <c r="Q9" s="81" t="e">
        <f ca="true">+SUMIF(INDIRECT("'"&amp;$C$4&amp;"'!$4:$4"),Q$7,INDIRECT("'"&amp;$C$4&amp;"'!$9:$9"))</f>
        <v>#REF!</v>
      </c>
      <c r="R9" s="81" t="e">
        <f ca="true">+SUMIF(INDIRECT("'"&amp;$C$4&amp;"'!$4:$4"),R$7,INDIRECT("'"&amp;$C$4&amp;"'!$9:$9"))</f>
        <v>#REF!</v>
      </c>
      <c r="S9" s="81" t="e">
        <f ca="true">+SUMIF(INDIRECT("'"&amp;$C$4&amp;"'!$4:$4"),S$7,INDIRECT("'"&amp;$C$4&amp;"'!$9:$9"))</f>
        <v>#REF!</v>
      </c>
      <c r="T9" s="81" t="e">
        <f ca="true">SUM(N9:S9)</f>
        <v>#REF!</v>
      </c>
      <c r="U9" s="81" t="e">
        <f ca="true">+SUMIF(INDIRECT("'"&amp;$C$4&amp;"'!$4:$4"),U$7,INDIRECT("'"&amp;$C$4&amp;"'!$9:$9"))</f>
        <v>#REF!</v>
      </c>
      <c r="V9" s="81" t="e">
        <f ca="true">+SUMIF(INDIRECT("'"&amp;$C$4&amp;"'!$4:$4"),V$7,INDIRECT("'"&amp;$C$4&amp;"'!$9:$9"))</f>
        <v>#REF!</v>
      </c>
      <c r="W9" s="81" t="e">
        <f ca="true">SUM(N9:S9,U9:V9)</f>
        <v>#REF!</v>
      </c>
      <c r="X9" s="81" t="e">
        <f ca="true">+SUMIF(INDIRECT("'"&amp;$C$4&amp;"'!$4:$4"),X$7,INDIRECT("'"&amp;$C$4&amp;"'!$9:$9"))</f>
        <v>#REF!</v>
      </c>
      <c r="Y9" s="81" t="e">
        <f ca="true">+SUMIF(INDIRECT("'"&amp;$C$4&amp;"'!$4:$4"),Y$7,INDIRECT("'"&amp;$C$4&amp;"'!$9:$9"))</f>
        <v>#REF!</v>
      </c>
      <c r="Z9" s="81" t="e">
        <f ca="true">SUM(X9:Y9)</f>
        <v>#REF!</v>
      </c>
      <c r="AA9" s="81" t="e">
        <f ca="true">+SUMIF(INDIRECT("'"&amp;$C$4&amp;"'!$4:$4"),AA$7,INDIRECT("'"&amp;$C$4&amp;"'!$9:$9"))</f>
        <v>#REF!</v>
      </c>
      <c r="AB9" s="81" t="e">
        <f ca="true">+SUMIF(INDIRECT("'"&amp;$C$4&amp;"'!$4:$4"),AB$7,INDIRECT("'"&amp;$C$4&amp;"'!$9:$9"))</f>
        <v>#REF!</v>
      </c>
      <c r="AC9" s="81" t="e">
        <f ca="true">+SUMIF(INDIRECT("'"&amp;$C$4&amp;"'!$4:$4"),AC$7,INDIRECT("'"&amp;$C$4&amp;"'!$9:$9"))</f>
        <v>#REF!</v>
      </c>
      <c r="AD9" s="81" t="e">
        <f ca="true">+SUMIF(INDIRECT("'"&amp;$C$4&amp;"'!$4:$4"),AD$7,INDIRECT("'"&amp;$C$4&amp;"'!$9:$9"))</f>
        <v>#REF!</v>
      </c>
      <c r="AE9" s="81" t="e">
        <f ca="true">+SUMIF(INDIRECT("'"&amp;$C$4&amp;"'!$4:$4"),AE$7,INDIRECT("'"&amp;$C$4&amp;"'!$9:$9"))</f>
        <v>#REF!</v>
      </c>
      <c r="AF9" s="81" t="e">
        <f ca="true">+SUMIF(INDIRECT("'"&amp;$C$4&amp;"'!$4:$4"),AF$7,INDIRECT("'"&amp;$C$4&amp;"'!$9:$9"))</f>
        <v>#REF!</v>
      </c>
      <c r="AG9" s="97" t="e">
        <f ca="true">+SUMIF(INDIRECT("'"&amp;$C$4&amp;"'!$4:$4"),AG$7,INDIRECT("'"&amp;$C$4&amp;"'!$9:$9"))</f>
        <v>#REF!</v>
      </c>
      <c r="AH9" s="81" t="e">
        <f ca="true">+SUMIF(INDIRECT("'"&amp;$C$4&amp;"'!$4:$4"),AH$7,INDIRECT("'"&amp;$C$4&amp;"'!$9:$9"))</f>
        <v>#REF!</v>
      </c>
      <c r="AI9" s="81" t="e">
        <f ca="true">+SUMIF(INDIRECT("'"&amp;$C$4&amp;"'!$4:$4"),AI$7,INDIRECT("'"&amp;$C$4&amp;"'!$9:$9"))</f>
        <v>#REF!</v>
      </c>
      <c r="AJ9" s="81" t="e">
        <f ca="true">+SUMIF(INDIRECT("'"&amp;$C$4&amp;"'!$4:$4"),AJ$7,INDIRECT("'"&amp;$C$4&amp;"'!$9:$9"))</f>
        <v>#REF!</v>
      </c>
      <c r="AK9" s="81" t="e">
        <f ca="true">+SUMIF(INDIRECT("'"&amp;$C$4&amp;"'!$4:$4"),AK$7,INDIRECT("'"&amp;$C$4&amp;"'!$9:$9"))</f>
        <v>#REF!</v>
      </c>
      <c r="AL9" s="81" t="e">
        <f ca="true">+SUMIF(INDIRECT("'"&amp;$C$4&amp;"'!$4:$4"),AL$7,INDIRECT("'"&amp;$C$4&amp;"'!$9:$9"))</f>
        <v>#REF!</v>
      </c>
      <c r="AM9" s="81" t="e">
        <f ca="true">+SUMIF(INDIRECT("'"&amp;$C$4&amp;"'!$4:$4"),AM$7,INDIRECT("'"&amp;$C$4&amp;"'!$9:$9"))</f>
        <v>#REF!</v>
      </c>
      <c r="AN9" s="81" t="e">
        <f ca="true">+SUMIF(INDIRECT("'"&amp;$C$4&amp;"'!$4:$4"),AN$7,INDIRECT("'"&amp;$C$4&amp;"'!$9:$9"))</f>
        <v>#REF!</v>
      </c>
      <c r="AO9" s="81" t="e">
        <f ca="true">+SUMIF(INDIRECT("'"&amp;$C$4&amp;"'!$4:$4"),AO$7,INDIRECT("'"&amp;$C$4&amp;"'!$9:$9"))</f>
        <v>#REF!</v>
      </c>
      <c r="AP9" s="81" t="e">
        <f ca="true">+SUMIF(INDIRECT("'"&amp;$C$4&amp;"'!$4:$4"),AP$7,INDIRECT("'"&amp;$C$4&amp;"'!$9:$9"))</f>
        <v>#REF!</v>
      </c>
      <c r="AQ9" s="81" t="e">
        <f ca="true">+SUMIF(INDIRECT("'"&amp;$C$4&amp;"'!$4:$4"),AQ$7,INDIRECT("'"&amp;$C$4&amp;"'!$9:$9"))</f>
        <v>#REF!</v>
      </c>
      <c r="AR9" s="81" t="e">
        <f ca="true">+SUMIF(INDIRECT("'"&amp;$C$4&amp;"'!$4:$4"),AR$7,INDIRECT("'"&amp;$C$4&amp;"'!$9:$9"))</f>
        <v>#REF!</v>
      </c>
      <c r="AS9" s="81" t="e">
        <f ca="true">+SUMIF(INDIRECT("'"&amp;$C$4&amp;"'!$4:$4"),AS$7,INDIRECT("'"&amp;$C$4&amp;"'!$9:$9"))</f>
        <v>#REF!</v>
      </c>
      <c r="AT9" s="81" t="e">
        <f ca="true">+SUMIF(INDIRECT("'"&amp;$C$4&amp;"'!$4:$4"),AT$7,INDIRECT("'"&amp;$C$4&amp;"'!$9:$9"))</f>
        <v>#REF!</v>
      </c>
      <c r="AU9" s="81" t="e">
        <f ca="true">+SUMIF(INDIRECT("'"&amp;$C$4&amp;"'!$4:$4"),AU$7,INDIRECT("'"&amp;$C$4&amp;"'!$9:$9"))</f>
        <v>#REF!</v>
      </c>
      <c r="AV9" s="81" t="e">
        <f ca="true">+SUMIF(INDIRECT("'"&amp;$C$4&amp;"'!$4:$4"),AV$7,INDIRECT("'"&amp;$C$4&amp;"'!$9:$9"))</f>
        <v>#REF!</v>
      </c>
      <c r="AW9" s="81" t="e">
        <f ca="true">+SUMIF(INDIRECT("'"&amp;$C$4&amp;"'!$4:$4"),AW$7,INDIRECT("'"&amp;$C$4&amp;"'!$9:$9"))</f>
        <v>#REF!</v>
      </c>
      <c r="AX9" s="81" t="e">
        <f ca="true">+SUMIF(INDIRECT("'"&amp;$C$4&amp;"'!$4:$4"),AX$7,INDIRECT("'"&amp;$C$4&amp;"'!$9:$9"))</f>
        <v>#REF!</v>
      </c>
      <c r="AY9" s="81" t="e">
        <f ca="true">+SUMIF(INDIRECT("'"&amp;$C$4&amp;"'!$4:$4"),AY$7,INDIRECT("'"&amp;$C$4&amp;"'!$9:$9"))</f>
        <v>#REF!</v>
      </c>
      <c r="AZ9" s="81" t="e">
        <f ca="true">+SUMIF(INDIRECT("'"&amp;$C$4&amp;"'!$4:$4"),AZ$7,INDIRECT("'"&amp;$C$4&amp;"'!$9:$9"))</f>
        <v>#REF!</v>
      </c>
      <c r="BA9" s="81" t="e">
        <f ca="true">+SUMIF(INDIRECT("'"&amp;$C$4&amp;"'!$4:$4"),BA$7,INDIRECT("'"&amp;$C$4&amp;"'!$9:$9"))</f>
        <v>#REF!</v>
      </c>
      <c r="BB9" s="81" t="e">
        <f ca="true">+SUMIF(INDIRECT("'"&amp;$C$4&amp;"'!$4:$4"),BB$7,INDIRECT("'"&amp;$C$4&amp;"'!$9:$9"))</f>
        <v>#REF!</v>
      </c>
      <c r="BC9" s="81" t="e">
        <f ca="true">+SUMIF(INDIRECT("'"&amp;$C$4&amp;"'!$4:$4"),BC$7,INDIRECT("'"&amp;$C$4&amp;"'!$9:$9"))</f>
        <v>#REF!</v>
      </c>
      <c r="BD9" s="81" t="e">
        <f ca="true">+SUMIF(INDIRECT("'"&amp;$C$4&amp;"'!$4:$4"),BD$7,INDIRECT("'"&amp;$C$4&amp;"'!$9:$9"))</f>
        <v>#REF!</v>
      </c>
      <c r="BE9" s="81" t="e">
        <f ca="true">+SUMIF(INDIRECT("'"&amp;$C$4&amp;"'!$4:$4"),BE$7,INDIRECT("'"&amp;$C$4&amp;"'!$9:$9"))</f>
        <v>#REF!</v>
      </c>
      <c r="BF9" s="81" t="e">
        <f ca="true">+SUMIF(INDIRECT("'"&amp;$C$4&amp;"'!$4:$4"),BF$7,INDIRECT("'"&amp;$C$4&amp;"'!$9:$9"))</f>
        <v>#REF!</v>
      </c>
      <c r="BG9" s="81" t="e">
        <f ca="true">+SUMIF(INDIRECT("'"&amp;$C$4&amp;"'!$4:$4"),BG$7,INDIRECT("'"&amp;$C$4&amp;"'!$9:$9"))</f>
        <v>#REF!</v>
      </c>
      <c r="BH9" s="81" t="e">
        <f ca="true">+SUMIF(INDIRECT("'"&amp;$C$4&amp;"'!$4:$4"),BH$7,INDIRECT("'"&amp;$C$4&amp;"'!$9:$9"))</f>
        <v>#REF!</v>
      </c>
      <c r="BI9" s="81" t="e">
        <f ca="true">+SUMIF(INDIRECT("'"&amp;$C$4&amp;"'!$4:$4"),BI$7,INDIRECT("'"&amp;$C$4&amp;"'!$9:$9"))</f>
        <v>#REF!</v>
      </c>
      <c r="BJ9" s="81" t="e">
        <f ca="true">+SUMIF(INDIRECT("'"&amp;$C$4&amp;"'!$4:$4"),BJ$7,INDIRECT("'"&amp;$C$4&amp;"'!$9:$9"))</f>
        <v>#REF!</v>
      </c>
      <c r="BK9" s="81" t="e">
        <f ca="true">+SUMIF(INDIRECT("'"&amp;$C$4&amp;"'!$4:$4"),BK$7,INDIRECT("'"&amp;$C$4&amp;"'!$9:$9"))</f>
        <v>#REF!</v>
      </c>
      <c r="BL9" s="81" t="e">
        <f ca="true">+SUMIF(INDIRECT("'"&amp;$C$4&amp;"'!$4:$4"),BL$7,INDIRECT("'"&amp;$C$4&amp;"'!$9:$9"))</f>
        <v>#REF!</v>
      </c>
      <c r="BM9" s="81" t="e">
        <f ca="true">+SUMIF(INDIRECT("'"&amp;$C$4&amp;"'!$4:$4"),BM$7,INDIRECT("'"&amp;$C$4&amp;"'!$9:$9"))</f>
        <v>#REF!</v>
      </c>
      <c r="BN9" s="81" t="e">
        <f ca="true">+SUMIF(INDIRECT("'"&amp;$C$4&amp;"'!$4:$4"),BN$7,INDIRECT("'"&amp;$C$4&amp;"'!$9:$9"))</f>
        <v>#REF!</v>
      </c>
      <c r="BO9" s="81" t="e">
        <f ca="true">+SUMIF(INDIRECT("'"&amp;$C$4&amp;"'!$4:$4"),BO$7,INDIRECT("'"&amp;$C$4&amp;"'!$9:$9"))</f>
        <v>#REF!</v>
      </c>
      <c r="BP9" s="81" t="e">
        <f ca="true">+SUMIF(INDIRECT("'"&amp;$C$4&amp;"'!$4:$4"),BP$7,INDIRECT("'"&amp;$C$4&amp;"'!$9:$9"))</f>
        <v>#REF!</v>
      </c>
      <c r="BQ9" s="81" t="e">
        <f ca="true">+SUMIF(INDIRECT("'"&amp;$C$4&amp;"'!$4:$4"),BQ$7,INDIRECT("'"&amp;$C$4&amp;"'!$9:$9"))</f>
        <v>#REF!</v>
      </c>
      <c r="BR9" s="81" t="e">
        <f ca="true">+SUMIF(INDIRECT("'"&amp;$C$4&amp;"'!$4:$4"),BR$7,INDIRECT("'"&amp;$C$4&amp;"'!$9:$9"))</f>
        <v>#REF!</v>
      </c>
      <c r="BS9" s="81" t="e">
        <f ca="true">+SUMIF(INDIRECT("'"&amp;$C$4&amp;"'!$4:$4"),BS$7,INDIRECT("'"&amp;$C$4&amp;"'!$9:$9"))</f>
        <v>#REF!</v>
      </c>
      <c r="BT9" s="81" t="e">
        <f ca="true">+SUMIF(INDIRECT("'"&amp;$C$4&amp;"'!$4:$4"),BT$7,INDIRECT("'"&amp;$C$4&amp;"'!$9:$9"))</f>
        <v>#REF!</v>
      </c>
      <c r="BU9" s="81" t="e">
        <f ca="true">+SUMIF(INDIRECT("'"&amp;$C$4&amp;"'!$4:$4"),BU$7,INDIRECT("'"&amp;$C$4&amp;"'!$9:$9"))</f>
        <v>#REF!</v>
      </c>
      <c r="BV9" s="81" t="e">
        <f ca="true">+SUMIF(INDIRECT("'"&amp;$C$4&amp;"'!$4:$4"),BV$7,INDIRECT("'"&amp;$C$4&amp;"'!$9:$9"))</f>
        <v>#REF!</v>
      </c>
      <c r="BW9" s="81" t="e">
        <f ca="true">+SUMIF(INDIRECT("'"&amp;$C$4&amp;"'!$4:$4"),BW$7,INDIRECT("'"&amp;$C$4&amp;"'!$9:$9"))</f>
        <v>#REF!</v>
      </c>
      <c r="BX9" s="81" t="e">
        <f ca="true">+SUMIF(INDIRECT("'"&amp;$C$4&amp;"'!$4:$4"),BX$7,INDIRECT("'"&amp;$C$4&amp;"'!$9:$9"))</f>
        <v>#REF!</v>
      </c>
      <c r="BY9" s="81" t="e">
        <f ca="true">+SUMIF(INDIRECT("'"&amp;$C$4&amp;"'!$4:$4"),BY$7,INDIRECT("'"&amp;$C$4&amp;"'!$9:$9"))</f>
        <v>#REF!</v>
      </c>
      <c r="BZ9" s="81" t="e">
        <f ca="true">+SUMIF(INDIRECT("'"&amp;$C$4&amp;"'!$4:$4"),BZ$7,INDIRECT("'"&amp;$C$4&amp;"'!$9:$9"))</f>
        <v>#REF!</v>
      </c>
      <c r="CA9" s="81" t="e">
        <f ca="true">+SUMIF(INDIRECT("'"&amp;$C$4&amp;"'!$4:$4"),CA$7,INDIRECT("'"&amp;$C$4&amp;"'!$9:$9"))</f>
        <v>#REF!</v>
      </c>
      <c r="CB9" s="81" t="e">
        <f ca="true">+SUMIF(INDIRECT("'"&amp;$C$4&amp;"'!$4:$4"),CB$7,INDIRECT("'"&amp;$C$4&amp;"'!$9:$9"))</f>
        <v>#REF!</v>
      </c>
      <c r="CC9" s="81" t="e">
        <f ca="true">+SUMIF(INDIRECT("'"&amp;$C$4&amp;"'!$4:$4"),CC$7,INDIRECT("'"&amp;$C$4&amp;"'!$9:$9"))</f>
        <v>#REF!</v>
      </c>
      <c r="CD9" s="81" t="e">
        <f ca="true">+SUMIF(INDIRECT("'"&amp;$C$4&amp;"'!$4:$4"),CD$7,INDIRECT("'"&amp;$C$4&amp;"'!$9:$9"))</f>
        <v>#REF!</v>
      </c>
      <c r="CE9" s="81" t="e">
        <f ca="true">+SUMIF(INDIRECT("'"&amp;$C$4&amp;"'!$4:$4"),CE$7,INDIRECT("'"&amp;$C$4&amp;"'!$9:$9"))</f>
        <v>#REF!</v>
      </c>
      <c r="CF9" s="81" t="e">
        <f ca="true">+SUMIF(INDIRECT("'"&amp;$C$4&amp;"'!$4:$4"),CF$7,INDIRECT("'"&amp;$C$4&amp;"'!$9:$9"))</f>
        <v>#REF!</v>
      </c>
      <c r="CG9" s="81" t="e">
        <f ca="true">+SUMIF(INDIRECT("'"&amp;$C$4&amp;"'!$4:$4"),CG$7,INDIRECT("'"&amp;$C$4&amp;"'!$9:$9"))</f>
        <v>#REF!</v>
      </c>
      <c r="CH9" s="81" t="e">
        <f ca="true">+SUMIF(INDIRECT("'"&amp;$C$4&amp;"'!$4:$4"),CH$7,INDIRECT("'"&amp;$C$4&amp;"'!$9:$9"))</f>
        <v>#REF!</v>
      </c>
      <c r="CI9" s="81" t="e">
        <f ca="true">+SUMIF(INDIRECT("'"&amp;$C$4&amp;"'!$4:$4"),CI$7,INDIRECT("'"&amp;$C$4&amp;"'!$9:$9"))</f>
        <v>#REF!</v>
      </c>
      <c r="CJ9" s="81" t="e">
        <f ca="true">+SUMIF(INDIRECT("'"&amp;$C$4&amp;"'!$4:$4"),CJ$7,INDIRECT("'"&amp;$C$4&amp;"'!$9:$9"))</f>
        <v>#REF!</v>
      </c>
      <c r="CK9" s="81" t="e">
        <f ca="true">+SUMIF(INDIRECT("'"&amp;$C$4&amp;"'!$4:$4"),CK$7,INDIRECT("'"&amp;$C$4&amp;"'!$9:$9"))</f>
        <v>#REF!</v>
      </c>
      <c r="CL9" s="81" t="e">
        <f ca="true">+SUMIF(INDIRECT("'"&amp;$C$4&amp;"'!$4:$4"),CL$7,INDIRECT("'"&amp;$C$4&amp;"'!$9:$9"))</f>
        <v>#REF!</v>
      </c>
      <c r="CM9" s="81" t="e">
        <f ca="true">+SUMIF(INDIRECT("'"&amp;$C$4&amp;"'!$4:$4"),CM$7,INDIRECT("'"&amp;$C$4&amp;"'!$9:$9"))</f>
        <v>#REF!</v>
      </c>
      <c r="CN9" s="81" t="e">
        <f ca="true">+SUMIF(INDIRECT("'"&amp;$C$4&amp;"'!$4:$4"),CN$7,INDIRECT("'"&amp;$C$4&amp;"'!$9:$9"))</f>
        <v>#REF!</v>
      </c>
      <c r="CO9" s="81" t="e">
        <f ca="true">+SUMIF(INDIRECT("'"&amp;$C$4&amp;"'!$4:$4"),CO$7,INDIRECT("'"&amp;$C$4&amp;"'!$9:$9"))</f>
        <v>#REF!</v>
      </c>
      <c r="CP9" s="81" t="e">
        <f ca="true">+SUMIF(INDIRECT("'"&amp;$C$4&amp;"'!$4:$4"),CP$7,INDIRECT("'"&amp;$C$4&amp;"'!$9:$9"))</f>
        <v>#REF!</v>
      </c>
      <c r="CQ9" s="81" t="e">
        <f ca="true">+SUMIF(INDIRECT("'"&amp;$C$4&amp;"'!$4:$4"),CQ$7,INDIRECT("'"&amp;$C$4&amp;"'!$9:$9"))</f>
        <v>#REF!</v>
      </c>
      <c r="CR9" s="81" t="e">
        <f ca="true">+SUMIF(INDIRECT("'"&amp;$C$4&amp;"'!$4:$4"),CR$7,INDIRECT("'"&amp;$C$4&amp;"'!$9:$9"))</f>
        <v>#REF!</v>
      </c>
      <c r="CS9" s="81"/>
      <c r="CT9" s="81" t="e">
        <f ca="true">SUM(AO9:CS9)</f>
        <v>#REF!</v>
      </c>
      <c r="CU9" s="81" t="e">
        <f ca="true">SUM(AI9:CS9)</f>
        <v>#REF!</v>
      </c>
      <c r="CV9" s="81" t="e">
        <f ca="true">SUM(CW9:CX9,CZ9)</f>
        <v>#REF!</v>
      </c>
      <c r="CW9" s="81" t="e">
        <f ca="true">+SUMIF(INDIRECT("'"&amp;$C$4&amp;"'!$4:$4"),CW$7,INDIRECT("'"&amp;$C$4&amp;"'!$9:$9"))</f>
        <v>#REF!</v>
      </c>
      <c r="CX9" s="81" t="e">
        <f ca="true">+SUMIF(INDIRECT("'"&amp;$C$4&amp;"'!$4:$4"),CX$7,INDIRECT("'"&amp;$C$4&amp;"'!$9:$9"))</f>
        <v>#REF!</v>
      </c>
      <c r="CY9" s="81" t="e">
        <f ca="true">+SUM(CW9:CX9)</f>
        <v>#REF!</v>
      </c>
      <c r="CZ9" s="81" t="e">
        <f ca="true">+SUMIF(INDIRECT("'"&amp;$C$4&amp;"'!$4:$4"),CZ$7,INDIRECT("'"&amp;$C$4&amp;"'!$9:$9"))</f>
        <v>#REF!</v>
      </c>
      <c r="DC9" s="81" t="e">
        <f ca="true">+SUMIF(INDIRECT("'"&amp;$C$4&amp;"'!$4:$4"),DC$7,INDIRECT("'"&amp;$C$4&amp;"'!$9:$9"))</f>
        <v>#REF!</v>
      </c>
      <c r="DD9" s="81" t="e">
        <f ca="true">+SUMIF(INDIRECT("'"&amp;$C$4&amp;"'!$4:$4"),DD$7,INDIRECT("'"&amp;$C$4&amp;"'!$9:$9"))</f>
        <v>#REF!</v>
      </c>
      <c r="DE9" s="81" t="e">
        <f ca="true">+SUMIF(INDIRECT("'"&amp;$C$4&amp;"'!$4:$4"),DE$7,INDIRECT("'"&amp;$C$4&amp;"'!$9:$9"))</f>
        <v>#REF!</v>
      </c>
    </row>
    <row r="10" spans="2:109" s="73" customFormat="true">
      <c r="B10" s="79" t="s">
        <v>31459</v>
      </c>
      <c r="C10" s="80" t="e">
        <f ca="true">SUM(D10,CV10)</f>
        <v>#REF!</v>
      </c>
      <c r="D10" s="81" t="e">
        <f ca="true">SUM(E10:I10,K10:L10,N10:S10,U10:V10,X10:Y10,AA10:BA10)</f>
        <v>#REF!</v>
      </c>
      <c r="E10" s="81" t="e">
        <f ca="true">+SUMIF(INDIRECT("'"&amp;$C$4&amp;"'!$4:$4"),E$7,INDIRECT("'"&amp;$C$4&amp;"'!$18:$18"))</f>
        <v>#REF!</v>
      </c>
      <c r="F10" s="81" t="e">
        <f ca="true">+SUMIF(INDIRECT("'"&amp;$C$4&amp;"'!$4:$4"),F$7,INDIRECT("'"&amp;$C$4&amp;"'!$18:$18"))</f>
        <v>#REF!</v>
      </c>
      <c r="G10" s="81" t="e">
        <f ca="true">+SUMIF(INDIRECT("'"&amp;$C$4&amp;"'!$4:$4"),G$7,INDIRECT("'"&amp;$C$4&amp;"'!$18:$18"))</f>
        <v>#REF!</v>
      </c>
      <c r="H10" s="81" t="e">
        <f ca="true">+SUMIF(INDIRECT("'"&amp;$C$4&amp;"'!$4:$4"),H$7,INDIRECT("'"&amp;$C$4&amp;"'!$18:$18"))</f>
        <v>#REF!</v>
      </c>
      <c r="I10" s="81" t="e">
        <f ca="true">+SUMIF(INDIRECT("'"&amp;$C$4&amp;"'!$4:$4"),I$7,INDIRECT("'"&amp;$C$4&amp;"'!$18:$18"))</f>
        <v>#REF!</v>
      </c>
      <c r="J10" s="81" t="e">
        <f ca="true">SUM(E10:I10)</f>
        <v>#REF!</v>
      </c>
      <c r="K10" s="81" t="e">
        <f ca="true">+SUMIF(INDIRECT("'"&amp;$C$4&amp;"'!$4:$4"),K$7,INDIRECT("'"&amp;$C$4&amp;"'!$18:$18"))</f>
        <v>#REF!</v>
      </c>
      <c r="L10" s="81" t="e">
        <f ca="true">+SUMIF(INDIRECT("'"&amp;$C$4&amp;"'!$4:$4"),L$7,INDIRECT("'"&amp;$C$4&amp;"'!$18:$18"))</f>
        <v>#REF!</v>
      </c>
      <c r="M10" s="81" t="e">
        <f ca="true">+SUM(K10:L10)</f>
        <v>#REF!</v>
      </c>
      <c r="N10" s="81" t="e">
        <f ca="true">+SUMIF(INDIRECT("'"&amp;$C$4&amp;"'!$4:$4"),N$7,INDIRECT("'"&amp;$C$4&amp;"'!$18:$18"))</f>
        <v>#REF!</v>
      </c>
      <c r="O10" s="81" t="e">
        <f ca="true">+SUMIF(INDIRECT("'"&amp;$C$4&amp;"'!$4:$4"),O$7,INDIRECT("'"&amp;$C$4&amp;"'!$18:$18"))</f>
        <v>#REF!</v>
      </c>
      <c r="P10" s="81" t="e">
        <f ca="true">+SUMIF(INDIRECT("'"&amp;$C$4&amp;"'!$4:$4"),P$7,INDIRECT("'"&amp;$C$4&amp;"'!$18:$18"))</f>
        <v>#REF!</v>
      </c>
      <c r="Q10" s="81" t="e">
        <f ca="true">+SUMIF(INDIRECT("'"&amp;$C$4&amp;"'!$4:$4"),Q$7,INDIRECT("'"&amp;$C$4&amp;"'!$18:$18"))</f>
        <v>#REF!</v>
      </c>
      <c r="R10" s="81" t="e">
        <f ca="true">+SUMIF(INDIRECT("'"&amp;$C$4&amp;"'!$4:$4"),R$7,INDIRECT("'"&amp;$C$4&amp;"'!$18:$18"))</f>
        <v>#REF!</v>
      </c>
      <c r="S10" s="81" t="e">
        <f ca="true">+SUMIF(INDIRECT("'"&amp;$C$4&amp;"'!$4:$4"),S$7,INDIRECT("'"&amp;$C$4&amp;"'!$18:$18"))</f>
        <v>#REF!</v>
      </c>
      <c r="T10" s="81" t="e">
        <f ca="true">SUM(N10:S10)</f>
        <v>#REF!</v>
      </c>
      <c r="U10" s="81" t="e">
        <f ca="true">+SUMIF(INDIRECT("'"&amp;$C$4&amp;"'!$4:$4"),U$7,INDIRECT("'"&amp;$C$4&amp;"'!$18:$18"))</f>
        <v>#REF!</v>
      </c>
      <c r="V10" s="81" t="e">
        <f ca="true">+SUMIF(INDIRECT("'"&amp;$C$4&amp;"'!$4:$4"),V$7,INDIRECT("'"&amp;$C$4&amp;"'!$18:$18"))</f>
        <v>#REF!</v>
      </c>
      <c r="W10" s="81" t="e">
        <f ca="true">SUM(N10:S10,U10:V10)</f>
        <v>#REF!</v>
      </c>
      <c r="X10" s="81" t="e">
        <f ca="true">+SUMIF(INDIRECT("'"&amp;$C$4&amp;"'!$4:$4"),X$7,INDIRECT("'"&amp;$C$4&amp;"'!$18:$18"))</f>
        <v>#REF!</v>
      </c>
      <c r="Y10" s="81" t="e">
        <f ca="true">+SUMIF(INDIRECT("'"&amp;$C$4&amp;"'!$4:$4"),Y$7,INDIRECT("'"&amp;$C$4&amp;"'!$18:$18"))</f>
        <v>#REF!</v>
      </c>
      <c r="Z10" s="81" t="e">
        <f ca="true">SUM(X10:Y10)</f>
        <v>#REF!</v>
      </c>
      <c r="AA10" s="81" t="e">
        <f ca="true">+SUMIF(INDIRECT("'"&amp;$C$4&amp;"'!$4:$4"),AA$7,INDIRECT("'"&amp;$C$4&amp;"'!$18:$18"))</f>
        <v>#REF!</v>
      </c>
      <c r="AB10" s="81" t="e">
        <f ca="true">+SUMIF(INDIRECT("'"&amp;$C$4&amp;"'!$4:$4"),AB$7,INDIRECT("'"&amp;$C$4&amp;"'!$18:$18"))</f>
        <v>#REF!</v>
      </c>
      <c r="AC10" s="81" t="e">
        <f ca="true">+SUMIF(INDIRECT("'"&amp;$C$4&amp;"'!$4:$4"),AC$7,INDIRECT("'"&amp;$C$4&amp;"'!$18:$18"))</f>
        <v>#REF!</v>
      </c>
      <c r="AD10" s="81" t="e">
        <f ca="true">+SUMIF(INDIRECT("'"&amp;$C$4&amp;"'!$4:$4"),AD$7,INDIRECT("'"&amp;$C$4&amp;"'!$18:$18"))</f>
        <v>#REF!</v>
      </c>
      <c r="AE10" s="81" t="e">
        <f ca="true">+SUMIF(INDIRECT("'"&amp;$C$4&amp;"'!$4:$4"),AE$7,INDIRECT("'"&amp;$C$4&amp;"'!$18:$18"))</f>
        <v>#REF!</v>
      </c>
      <c r="AF10" s="81" t="e">
        <f ca="true">+SUMIF(INDIRECT("'"&amp;$C$4&amp;"'!$4:$4"),AF$7,INDIRECT("'"&amp;$C$4&amp;"'!$18:$18"))</f>
        <v>#REF!</v>
      </c>
      <c r="AG10" s="81" t="e">
        <f ca="true">+SUMIF(INDIRECT("'"&amp;$C$4&amp;"'!$4:$4"),AG$7,INDIRECT("'"&amp;$C$4&amp;"'!$18:$18"))</f>
        <v>#REF!</v>
      </c>
      <c r="AH10" s="81" t="e">
        <f ca="true">+SUMIF(INDIRECT("'"&amp;$C$4&amp;"'!$4:$4"),AH$7,INDIRECT("'"&amp;$C$4&amp;"'!$18:$18"))</f>
        <v>#REF!</v>
      </c>
      <c r="AI10" s="81" t="e">
        <f ca="true">+SUMIF(INDIRECT("'"&amp;$C$4&amp;"'!$4:$4"),AI$7,INDIRECT("'"&amp;$C$4&amp;"'!$18:$18"))</f>
        <v>#REF!</v>
      </c>
      <c r="AJ10" s="81" t="e">
        <f ca="true">+SUMIF(INDIRECT("'"&amp;$C$4&amp;"'!$4:$4"),AJ$7,INDIRECT("'"&amp;$C$4&amp;"'!$18:$18"))</f>
        <v>#REF!</v>
      </c>
      <c r="AK10" s="81" t="e">
        <f ca="true">+SUMIF(INDIRECT("'"&amp;$C$4&amp;"'!$4:$4"),AK$7,INDIRECT("'"&amp;$C$4&amp;"'!$18:$18"))</f>
        <v>#REF!</v>
      </c>
      <c r="AL10" s="81" t="e">
        <f ca="true">+SUMIF(INDIRECT("'"&amp;$C$4&amp;"'!$4:$4"),AL$7,INDIRECT("'"&amp;$C$4&amp;"'!$18:$18"))</f>
        <v>#REF!</v>
      </c>
      <c r="AM10" s="81" t="e">
        <f ca="true">+SUMIF(INDIRECT("'"&amp;$C$4&amp;"'!$4:$4"),AM$7,INDIRECT("'"&amp;$C$4&amp;"'!$18:$18"))</f>
        <v>#REF!</v>
      </c>
      <c r="AN10" s="81" t="e">
        <f ca="true">+SUMIF(INDIRECT("'"&amp;$C$4&amp;"'!$4:$4"),AN$7,INDIRECT("'"&amp;$C$4&amp;"'!$18:$18"))</f>
        <v>#REF!</v>
      </c>
      <c r="AO10" s="81" t="e">
        <f ca="true">+SUMIF(INDIRECT("'"&amp;$C$4&amp;"'!$4:$4"),AO$7,INDIRECT("'"&amp;$C$4&amp;"'!$18:$18"))</f>
        <v>#REF!</v>
      </c>
      <c r="AP10" s="81" t="e">
        <f ca="true">+SUMIF(INDIRECT("'"&amp;$C$4&amp;"'!$4:$4"),AP$7,INDIRECT("'"&amp;$C$4&amp;"'!$18:$18"))</f>
        <v>#REF!</v>
      </c>
      <c r="AQ10" s="81" t="e">
        <f ca="true">+SUMIF(INDIRECT("'"&amp;$C$4&amp;"'!$4:$4"),AQ$7,INDIRECT("'"&amp;$C$4&amp;"'!$18:$18"))</f>
        <v>#REF!</v>
      </c>
      <c r="AR10" s="81" t="e">
        <f ca="true">+SUMIF(INDIRECT("'"&amp;$C$4&amp;"'!$4:$4"),AR$7,INDIRECT("'"&amp;$C$4&amp;"'!$18:$18"))</f>
        <v>#REF!</v>
      </c>
      <c r="AS10" s="81" t="e">
        <f ca="true">+SUMIF(INDIRECT("'"&amp;$C$4&amp;"'!$4:$4"),AS$7,INDIRECT("'"&amp;$C$4&amp;"'!$18:$18"))</f>
        <v>#REF!</v>
      </c>
      <c r="AT10" s="81" t="e">
        <f ca="true">+SUMIF(INDIRECT("'"&amp;$C$4&amp;"'!$4:$4"),AT$7,INDIRECT("'"&amp;$C$4&amp;"'!$18:$18"))</f>
        <v>#REF!</v>
      </c>
      <c r="AU10" s="81" t="e">
        <f ca="true">+SUMIF(INDIRECT("'"&amp;$C$4&amp;"'!$4:$4"),AU$7,INDIRECT("'"&amp;$C$4&amp;"'!$18:$18"))</f>
        <v>#REF!</v>
      </c>
      <c r="AV10" s="81" t="e">
        <f ca="true">+SUMIF(INDIRECT("'"&amp;$C$4&amp;"'!$4:$4"),AV$7,INDIRECT("'"&amp;$C$4&amp;"'!$18:$18"))</f>
        <v>#REF!</v>
      </c>
      <c r="AW10" s="81" t="e">
        <f ca="true">+SUMIF(INDIRECT("'"&amp;$C$4&amp;"'!$4:$4"),AW$7,INDIRECT("'"&amp;$C$4&amp;"'!$18:$18"))</f>
        <v>#REF!</v>
      </c>
      <c r="AX10" s="81" t="e">
        <f ca="true">+SUMIF(INDIRECT("'"&amp;$C$4&amp;"'!$4:$4"),AX$7,INDIRECT("'"&amp;$C$4&amp;"'!$18:$18"))</f>
        <v>#REF!</v>
      </c>
      <c r="AY10" s="81" t="e">
        <f ca="true">+SUMIF(INDIRECT("'"&amp;$C$4&amp;"'!$4:$4"),AY$7,INDIRECT("'"&amp;$C$4&amp;"'!$18:$18"))</f>
        <v>#REF!</v>
      </c>
      <c r="AZ10" s="81" t="e">
        <f ca="true">+SUMIF(INDIRECT("'"&amp;$C$4&amp;"'!$4:$4"),AZ$7,INDIRECT("'"&amp;$C$4&amp;"'!$18:$18"))</f>
        <v>#REF!</v>
      </c>
      <c r="BA10" s="81" t="e">
        <f ca="true">+SUMIF(INDIRECT("'"&amp;$C$4&amp;"'!$4:$4"),BA$7,INDIRECT("'"&amp;$C$4&amp;"'!$18:$18"))</f>
        <v>#REF!</v>
      </c>
      <c r="BB10" s="81" t="e">
        <f ca="true">+SUMIF(INDIRECT("'"&amp;$C$4&amp;"'!$4:$4"),BB$7,INDIRECT("'"&amp;$C$4&amp;"'!$18:$18"))</f>
        <v>#REF!</v>
      </c>
      <c r="BC10" s="81" t="e">
        <f ca="true">+SUMIF(INDIRECT("'"&amp;$C$4&amp;"'!$4:$4"),BC$7,INDIRECT("'"&amp;$C$4&amp;"'!$18:$18"))</f>
        <v>#REF!</v>
      </c>
      <c r="BD10" s="81" t="e">
        <f ca="true">+SUMIF(INDIRECT("'"&amp;$C$4&amp;"'!$4:$4"),BD$7,INDIRECT("'"&amp;$C$4&amp;"'!$18:$18"))</f>
        <v>#REF!</v>
      </c>
      <c r="BE10" s="81" t="e">
        <f ca="true">+SUMIF(INDIRECT("'"&amp;$C$4&amp;"'!$4:$4"),BE$7,INDIRECT("'"&amp;$C$4&amp;"'!$18:$18"))</f>
        <v>#REF!</v>
      </c>
      <c r="BF10" s="81" t="e">
        <f ca="true">+SUMIF(INDIRECT("'"&amp;$C$4&amp;"'!$4:$4"),BF$7,INDIRECT("'"&amp;$C$4&amp;"'!$18:$18"))</f>
        <v>#REF!</v>
      </c>
      <c r="BG10" s="81" t="e">
        <f ca="true">+SUMIF(INDIRECT("'"&amp;$C$4&amp;"'!$4:$4"),BG$7,INDIRECT("'"&amp;$C$4&amp;"'!$18:$18"))</f>
        <v>#REF!</v>
      </c>
      <c r="BH10" s="81" t="e">
        <f ca="true">+SUMIF(INDIRECT("'"&amp;$C$4&amp;"'!$4:$4"),BH$7,INDIRECT("'"&amp;$C$4&amp;"'!$18:$18"))</f>
        <v>#REF!</v>
      </c>
      <c r="BI10" s="81" t="e">
        <f ca="true">+SUMIF(INDIRECT("'"&amp;$C$4&amp;"'!$4:$4"),BI$7,INDIRECT("'"&amp;$C$4&amp;"'!$18:$18"))</f>
        <v>#REF!</v>
      </c>
      <c r="BJ10" s="81" t="e">
        <f ca="true">+SUMIF(INDIRECT("'"&amp;$C$4&amp;"'!$4:$4"),BJ$7,INDIRECT("'"&amp;$C$4&amp;"'!$18:$18"))</f>
        <v>#REF!</v>
      </c>
      <c r="BK10" s="81" t="e">
        <f ca="true">+SUMIF(INDIRECT("'"&amp;$C$4&amp;"'!$4:$4"),BK$7,INDIRECT("'"&amp;$C$4&amp;"'!$18:$18"))</f>
        <v>#REF!</v>
      </c>
      <c r="BL10" s="81" t="e">
        <f ca="true">+SUMIF(INDIRECT("'"&amp;$C$4&amp;"'!$4:$4"),BL$7,INDIRECT("'"&amp;$C$4&amp;"'!$18:$18"))</f>
        <v>#REF!</v>
      </c>
      <c r="BM10" s="81" t="e">
        <f ca="true">+SUMIF(INDIRECT("'"&amp;$C$4&amp;"'!$4:$4"),BM$7,INDIRECT("'"&amp;$C$4&amp;"'!$18:$18"))</f>
        <v>#REF!</v>
      </c>
      <c r="BN10" s="81" t="e">
        <f ca="true">+SUMIF(INDIRECT("'"&amp;$C$4&amp;"'!$4:$4"),BN$7,INDIRECT("'"&amp;$C$4&amp;"'!$18:$18"))</f>
        <v>#REF!</v>
      </c>
      <c r="BO10" s="81" t="e">
        <f ca="true">+SUMIF(INDIRECT("'"&amp;$C$4&amp;"'!$4:$4"),BO$7,INDIRECT("'"&amp;$C$4&amp;"'!$18:$18"))</f>
        <v>#REF!</v>
      </c>
      <c r="BP10" s="81" t="e">
        <f ca="true">+SUMIF(INDIRECT("'"&amp;$C$4&amp;"'!$4:$4"),BP$7,INDIRECT("'"&amp;$C$4&amp;"'!$18:$18"))</f>
        <v>#REF!</v>
      </c>
      <c r="BQ10" s="81" t="e">
        <f ca="true">+SUMIF(INDIRECT("'"&amp;$C$4&amp;"'!$4:$4"),BQ$7,INDIRECT("'"&amp;$C$4&amp;"'!$18:$18"))</f>
        <v>#REF!</v>
      </c>
      <c r="BR10" s="81" t="e">
        <f ca="true">+SUMIF(INDIRECT("'"&amp;$C$4&amp;"'!$4:$4"),BR$7,INDIRECT("'"&amp;$C$4&amp;"'!$18:$18"))</f>
        <v>#REF!</v>
      </c>
      <c r="BS10" s="81" t="e">
        <f ca="true">+SUMIF(INDIRECT("'"&amp;$C$4&amp;"'!$4:$4"),BS$7,INDIRECT("'"&amp;$C$4&amp;"'!$18:$18"))</f>
        <v>#REF!</v>
      </c>
      <c r="BT10" s="81" t="e">
        <f ca="true">+SUMIF(INDIRECT("'"&amp;$C$4&amp;"'!$4:$4"),BT$7,INDIRECT("'"&amp;$C$4&amp;"'!$18:$18"))</f>
        <v>#REF!</v>
      </c>
      <c r="BU10" s="81" t="e">
        <f ca="true">+SUMIF(INDIRECT("'"&amp;$C$4&amp;"'!$4:$4"),BU$7,INDIRECT("'"&amp;$C$4&amp;"'!$18:$18"))</f>
        <v>#REF!</v>
      </c>
      <c r="BV10" s="81" t="e">
        <f ca="true">+SUMIF(INDIRECT("'"&amp;$C$4&amp;"'!$4:$4"),BV$7,INDIRECT("'"&amp;$C$4&amp;"'!$18:$18"))</f>
        <v>#REF!</v>
      </c>
      <c r="BW10" s="81" t="e">
        <f ca="true">+SUMIF(INDIRECT("'"&amp;$C$4&amp;"'!$4:$4"),BW$7,INDIRECT("'"&amp;$C$4&amp;"'!$18:$18"))</f>
        <v>#REF!</v>
      </c>
      <c r="BX10" s="81" t="e">
        <f ca="true">+SUMIF(INDIRECT("'"&amp;$C$4&amp;"'!$4:$4"),BX$7,INDIRECT("'"&amp;$C$4&amp;"'!$18:$18"))</f>
        <v>#REF!</v>
      </c>
      <c r="BY10" s="81" t="e">
        <f ca="true">+SUMIF(INDIRECT("'"&amp;$C$4&amp;"'!$4:$4"),BY$7,INDIRECT("'"&amp;$C$4&amp;"'!$18:$18"))</f>
        <v>#REF!</v>
      </c>
      <c r="BZ10" s="81" t="e">
        <f ca="true">+SUMIF(INDIRECT("'"&amp;$C$4&amp;"'!$4:$4"),BZ$7,INDIRECT("'"&amp;$C$4&amp;"'!$18:$18"))</f>
        <v>#REF!</v>
      </c>
      <c r="CA10" s="81" t="e">
        <f ca="true">+SUMIF(INDIRECT("'"&amp;$C$4&amp;"'!$4:$4"),CA$7,INDIRECT("'"&amp;$C$4&amp;"'!$18:$18"))</f>
        <v>#REF!</v>
      </c>
      <c r="CB10" s="81" t="e">
        <f ca="true">+SUMIF(INDIRECT("'"&amp;$C$4&amp;"'!$4:$4"),CB$7,INDIRECT("'"&amp;$C$4&amp;"'!$18:$18"))</f>
        <v>#REF!</v>
      </c>
      <c r="CC10" s="81" t="e">
        <f ca="true">+SUMIF(INDIRECT("'"&amp;$C$4&amp;"'!$4:$4"),CC$7,INDIRECT("'"&amp;$C$4&amp;"'!$18:$18"))</f>
        <v>#REF!</v>
      </c>
      <c r="CD10" s="81" t="e">
        <f ca="true">+SUMIF(INDIRECT("'"&amp;$C$4&amp;"'!$4:$4"),CD$7,INDIRECT("'"&amp;$C$4&amp;"'!$18:$18"))</f>
        <v>#REF!</v>
      </c>
      <c r="CE10" s="81" t="e">
        <f ca="true">+SUMIF(INDIRECT("'"&amp;$C$4&amp;"'!$4:$4"),CE$7,INDIRECT("'"&amp;$C$4&amp;"'!$18:$18"))</f>
        <v>#REF!</v>
      </c>
      <c r="CF10" s="81" t="e">
        <f ca="true">+SUMIF(INDIRECT("'"&amp;$C$4&amp;"'!$4:$4"),CF$7,INDIRECT("'"&amp;$C$4&amp;"'!$18:$18"))</f>
        <v>#REF!</v>
      </c>
      <c r="CG10" s="81" t="e">
        <f ca="true">+SUMIF(INDIRECT("'"&amp;$C$4&amp;"'!$4:$4"),CG$7,INDIRECT("'"&amp;$C$4&amp;"'!$18:$18"))</f>
        <v>#REF!</v>
      </c>
      <c r="CH10" s="81" t="e">
        <f ca="true">+SUMIF(INDIRECT("'"&amp;$C$4&amp;"'!$4:$4"),CH$7,INDIRECT("'"&amp;$C$4&amp;"'!$18:$18"))</f>
        <v>#REF!</v>
      </c>
      <c r="CI10" s="81" t="e">
        <f ca="true">+SUMIF(INDIRECT("'"&amp;$C$4&amp;"'!$4:$4"),CI$7,INDIRECT("'"&amp;$C$4&amp;"'!$18:$18"))</f>
        <v>#REF!</v>
      </c>
      <c r="CJ10" s="81" t="e">
        <f ca="true">+SUMIF(INDIRECT("'"&amp;$C$4&amp;"'!$4:$4"),CJ$7,INDIRECT("'"&amp;$C$4&amp;"'!$18:$18"))</f>
        <v>#REF!</v>
      </c>
      <c r="CK10" s="81" t="e">
        <f ca="true">+SUMIF(INDIRECT("'"&amp;$C$4&amp;"'!$4:$4"),CK$7,INDIRECT("'"&amp;$C$4&amp;"'!$18:$18"))</f>
        <v>#REF!</v>
      </c>
      <c r="CL10" s="81" t="e">
        <f ca="true">+SUMIF(INDIRECT("'"&amp;$C$4&amp;"'!$4:$4"),CL$7,INDIRECT("'"&amp;$C$4&amp;"'!$18:$18"))</f>
        <v>#REF!</v>
      </c>
      <c r="CM10" s="81" t="e">
        <f ca="true">+SUMIF(INDIRECT("'"&amp;$C$4&amp;"'!$4:$4"),CM$7,INDIRECT("'"&amp;$C$4&amp;"'!$18:$18"))</f>
        <v>#REF!</v>
      </c>
      <c r="CN10" s="81" t="e">
        <f ca="true">+SUMIF(INDIRECT("'"&amp;$C$4&amp;"'!$4:$4"),CN$7,INDIRECT("'"&amp;$C$4&amp;"'!$18:$18"))</f>
        <v>#REF!</v>
      </c>
      <c r="CO10" s="81" t="e">
        <f ca="true">+SUMIF(INDIRECT("'"&amp;$C$4&amp;"'!$4:$4"),CO$7,INDIRECT("'"&amp;$C$4&amp;"'!$18:$18"))</f>
        <v>#REF!</v>
      </c>
      <c r="CP10" s="81" t="e">
        <f ca="true">+SUMIF(INDIRECT("'"&amp;$C$4&amp;"'!$4:$4"),CP$7,INDIRECT("'"&amp;$C$4&amp;"'!$18:$18"))</f>
        <v>#REF!</v>
      </c>
      <c r="CQ10" s="81" t="e">
        <f ca="true">+SUMIF(INDIRECT("'"&amp;$C$4&amp;"'!$4:$4"),CQ$7,INDIRECT("'"&amp;$C$4&amp;"'!$18:$18"))</f>
        <v>#REF!</v>
      </c>
      <c r="CR10" s="81" t="e">
        <f ca="true">+SUMIF(INDIRECT("'"&amp;$C$4&amp;"'!$4:$4"),CR$7,INDIRECT("'"&amp;$C$4&amp;"'!$18:$18"))</f>
        <v>#REF!</v>
      </c>
      <c r="CS10" s="81"/>
      <c r="CT10" s="81" t="e">
        <f ca="true">SUM(AO10:CS10)</f>
        <v>#REF!</v>
      </c>
      <c r="CU10" s="81" t="e">
        <f ca="true">SUM(AI10:CS10)</f>
        <v>#REF!</v>
      </c>
      <c r="CV10" s="81" t="e">
        <f ca="true">SUM(CW10:CX10,CZ10)</f>
        <v>#REF!</v>
      </c>
      <c r="CW10" s="81" t="e">
        <f ca="true">+SUMIF(INDIRECT("'"&amp;$C$4&amp;"'!$4:$4"),CW$7,INDIRECT("'"&amp;$C$4&amp;"'!$18:$18"))</f>
        <v>#REF!</v>
      </c>
      <c r="CX10" s="81" t="e">
        <f ca="true">+SUMIF(INDIRECT("'"&amp;$C$4&amp;"'!$4:$4"),CX$7,INDIRECT("'"&amp;$C$4&amp;"'!$18:$18"))</f>
        <v>#REF!</v>
      </c>
      <c r="CY10" s="81" t="e">
        <f ca="true">+SUM(CW10:CX10)</f>
        <v>#REF!</v>
      </c>
      <c r="CZ10" s="81" t="e">
        <f ca="true">+SUMIF(INDIRECT("'"&amp;$C$4&amp;"'!$4:$4"),CZ$7,INDIRECT("'"&amp;$C$4&amp;"'!$18:$18"))</f>
        <v>#REF!</v>
      </c>
      <c r="DC10" s="81" t="e">
        <f ca="true">+SUMIF(INDIRECT("'"&amp;$C$4&amp;"'!$4:$4"),DC$7,INDIRECT("'"&amp;$C$4&amp;"'!$51:$51"))</f>
        <v>#REF!</v>
      </c>
      <c r="DD10" s="81" t="e">
        <f ca="true">+SUMIF(INDIRECT("'"&amp;$C$4&amp;"'!$4:$4"),DD$7,INDIRECT("'"&amp;$C$4&amp;"'!$51:$51"))</f>
        <v>#REF!</v>
      </c>
      <c r="DE10" s="81" t="e">
        <f ca="true">+SUMIF(INDIRECT("'"&amp;$C$4&amp;"'!$4:$4"),DE$7,INDIRECT("'"&amp;$C$4&amp;"'!$51:$51"))</f>
        <v>#REF!</v>
      </c>
    </row>
    <row r="11" spans="2:109" s="73" customFormat="true">
      <c r="B11" s="79" t="s">
        <v>31460</v>
      </c>
      <c r="C11" s="80" t="e">
        <f ca="true">SUM(D11,CV11)</f>
        <v>#REF!</v>
      </c>
      <c r="D11" s="81" t="e">
        <f ca="true">SUM(E11:I11,K11:L11,N11:S11,U11:V11,X11:Y11,AA11:BA11)</f>
        <v>#REF!</v>
      </c>
      <c r="E11" s="93" t="e">
        <f ca="true">+SUMIF(INDIRECT("'"&amp;$C$4&amp;"'!$4:$4"),E$7,INDIRECT("'"&amp;$C$4&amp;"'!$11:$11"))-SUMIF(INDIRECT("'"&amp;$C$4&amp;"'!$4:$4"),E$7,INDIRECT("'"&amp;$C$4&amp;"'!$19:$19"))</f>
        <v>#REF!</v>
      </c>
      <c r="F11" s="93" t="e">
        <f ca="true">+SUMIF(INDIRECT("'"&amp;$C$4&amp;"'!$4:$4"),F$7,INDIRECT("'"&amp;$C$4&amp;"'!$11:$11"))-SUMIF(INDIRECT("'"&amp;$C$4&amp;"'!$4:$4"),F$7,INDIRECT("'"&amp;$C$4&amp;"'!$19:$19"))</f>
        <v>#REF!</v>
      </c>
      <c r="G11" s="93" t="e">
        <f ca="true">+SUMIF(INDIRECT("'"&amp;$C$4&amp;"'!$4:$4"),G$7,INDIRECT("'"&amp;$C$4&amp;"'!$11:$11"))-SUMIF(INDIRECT("'"&amp;$C$4&amp;"'!$4:$4"),G$7,INDIRECT("'"&amp;$C$4&amp;"'!$19:$19"))</f>
        <v>#REF!</v>
      </c>
      <c r="H11" s="93" t="e">
        <f ca="true">+SUMIF(INDIRECT("'"&amp;$C$4&amp;"'!$4:$4"),H$7,INDIRECT("'"&amp;$C$4&amp;"'!$11:$11"))-SUMIF(INDIRECT("'"&amp;$C$4&amp;"'!$4:$4"),H$7,INDIRECT("'"&amp;$C$4&amp;"'!$19:$19"))</f>
        <v>#REF!</v>
      </c>
      <c r="I11" s="93" t="e">
        <f ca="true">+SUMIF(INDIRECT("'"&amp;$C$4&amp;"'!$4:$4"),I$7,INDIRECT("'"&amp;$C$4&amp;"'!$11:$11"))-SUMIF(INDIRECT("'"&amp;$C$4&amp;"'!$4:$4"),I$7,INDIRECT("'"&amp;$C$4&amp;"'!$19:$19"))</f>
        <v>#REF!</v>
      </c>
      <c r="J11" s="81" t="e">
        <f ca="true">SUM(E11:I11)</f>
        <v>#REF!</v>
      </c>
      <c r="K11" s="81" t="e">
        <f ca="true">+SUMIF(INDIRECT("'"&amp;$C$4&amp;"'!$4:$4"),K$7,INDIRECT("'"&amp;$C$4&amp;"'!$11:$11"))-SUMIF(INDIRECT("'"&amp;$C$4&amp;"'!$4:$4"),K$7,INDIRECT("'"&amp;$C$4&amp;"'!$19:$19"))</f>
        <v>#REF!</v>
      </c>
      <c r="L11" s="81" t="e">
        <f ca="true">+SUMIF(INDIRECT("'"&amp;$C$4&amp;"'!$4:$4"),L$7,INDIRECT("'"&amp;$C$4&amp;"'!$11:$11"))-SUMIF(INDIRECT("'"&amp;$C$4&amp;"'!$4:$4"),L$7,INDIRECT("'"&amp;$C$4&amp;"'!$19:$19"))</f>
        <v>#REF!</v>
      </c>
      <c r="M11" s="81" t="e">
        <f ca="true">+SUM(K11:L11)</f>
        <v>#REF!</v>
      </c>
      <c r="N11" s="81" t="e">
        <f ca="true">+SUMIF(INDIRECT("'"&amp;$C$4&amp;"'!$4:$4"),N$7,INDIRECT("'"&amp;$C$4&amp;"'!$11:$11"))-SUMIF(INDIRECT("'"&amp;$C$4&amp;"'!$4:$4"),N$7,INDIRECT("'"&amp;$C$4&amp;"'!$19:$19"))</f>
        <v>#REF!</v>
      </c>
      <c r="O11" s="81" t="e">
        <f ca="true">+SUMIF(INDIRECT("'"&amp;$C$4&amp;"'!$4:$4"),O$7,INDIRECT("'"&amp;$C$4&amp;"'!$11:$11"))-SUMIF(INDIRECT("'"&amp;$C$4&amp;"'!$4:$4"),O$7,INDIRECT("'"&amp;$C$4&amp;"'!$19:$19"))</f>
        <v>#REF!</v>
      </c>
      <c r="P11" s="81" t="e">
        <f ca="true">+SUMIF(INDIRECT("'"&amp;$C$4&amp;"'!$4:$4"),P$7,INDIRECT("'"&amp;$C$4&amp;"'!$11:$11"))-SUMIF(INDIRECT("'"&amp;$C$4&amp;"'!$4:$4"),P$7,INDIRECT("'"&amp;$C$4&amp;"'!$19:$19"))</f>
        <v>#REF!</v>
      </c>
      <c r="Q11" s="81" t="e">
        <f ca="true">+SUMIF(INDIRECT("'"&amp;$C$4&amp;"'!$4:$4"),Q$7,INDIRECT("'"&amp;$C$4&amp;"'!$11:$11"))-SUMIF(INDIRECT("'"&amp;$C$4&amp;"'!$4:$4"),Q$7,INDIRECT("'"&amp;$C$4&amp;"'!$19:$19"))</f>
        <v>#REF!</v>
      </c>
      <c r="R11" s="81" t="e">
        <f ca="true">+SUMIF(INDIRECT("'"&amp;$C$4&amp;"'!$4:$4"),R$7,INDIRECT("'"&amp;$C$4&amp;"'!$11:$11"))-SUMIF(INDIRECT("'"&amp;$C$4&amp;"'!$4:$4"),R$7,INDIRECT("'"&amp;$C$4&amp;"'!$19:$19"))</f>
        <v>#REF!</v>
      </c>
      <c r="S11" s="81" t="e">
        <f ca="true">+SUMIF(INDIRECT("'"&amp;$C$4&amp;"'!$4:$4"),S$7,INDIRECT("'"&amp;$C$4&amp;"'!$11:$11"))-SUMIF(INDIRECT("'"&amp;$C$4&amp;"'!$4:$4"),S$7,INDIRECT("'"&amp;$C$4&amp;"'!$19:$19"))</f>
        <v>#REF!</v>
      </c>
      <c r="T11" s="81" t="e">
        <f ca="true">SUM(N11:S11)</f>
        <v>#REF!</v>
      </c>
      <c r="U11" s="81" t="e">
        <f ca="true">+SUMIF(INDIRECT("'"&amp;$C$4&amp;"'!$4:$4"),U$7,INDIRECT("'"&amp;$C$4&amp;"'!$11:$11"))-SUMIF(INDIRECT("'"&amp;$C$4&amp;"'!$4:$4"),U$7,INDIRECT("'"&amp;$C$4&amp;"'!$19:$19"))</f>
        <v>#REF!</v>
      </c>
      <c r="V11" s="81" t="e">
        <f ca="true">+SUMIF(INDIRECT("'"&amp;$C$4&amp;"'!$4:$4"),V$7,INDIRECT("'"&amp;$C$4&amp;"'!$11:$11"))-SUMIF(INDIRECT("'"&amp;$C$4&amp;"'!$4:$4"),V$7,INDIRECT("'"&amp;$C$4&amp;"'!$19:$19"))</f>
        <v>#REF!</v>
      </c>
      <c r="W11" s="81" t="e">
        <f ca="true">SUM(N11:S11,U11:V11)</f>
        <v>#REF!</v>
      </c>
      <c r="X11" s="81" t="e">
        <f ca="true">+SUMIF(INDIRECT("'"&amp;$C$4&amp;"'!$4:$4"),X$7,INDIRECT("'"&amp;$C$4&amp;"'!$11:$11"))-SUMIF(INDIRECT("'"&amp;$C$4&amp;"'!$4:$4"),X$7,INDIRECT("'"&amp;$C$4&amp;"'!$19:$19"))</f>
        <v>#REF!</v>
      </c>
      <c r="Y11" s="81" t="e">
        <f ca="true">+SUMIF(INDIRECT("'"&amp;$C$4&amp;"'!$4:$4"),Y$7,INDIRECT("'"&amp;$C$4&amp;"'!$11:$11"))-SUMIF(INDIRECT("'"&amp;$C$4&amp;"'!$4:$4"),Y$7,INDIRECT("'"&amp;$C$4&amp;"'!$19:$19"))</f>
        <v>#REF!</v>
      </c>
      <c r="Z11" s="81" t="e">
        <f ca="true">SUM(X11:Y11)</f>
        <v>#REF!</v>
      </c>
      <c r="AA11" s="81" t="e">
        <f ca="true">+SUMIF(INDIRECT("'"&amp;$C$4&amp;"'!$4:$4"),AA$7,INDIRECT("'"&amp;$C$4&amp;"'!$11:$11"))-SUMIF(INDIRECT("'"&amp;$C$4&amp;"'!$4:$4"),AA$7,INDIRECT("'"&amp;$C$4&amp;"'!$19:$19"))</f>
        <v>#REF!</v>
      </c>
      <c r="AB11" s="81" t="e">
        <f ca="true">+SUMIF(INDIRECT("'"&amp;$C$4&amp;"'!$4:$4"),AB$7,INDIRECT("'"&amp;$C$4&amp;"'!$11:$11"))-SUMIF(INDIRECT("'"&amp;$C$4&amp;"'!$4:$4"),AB$7,INDIRECT("'"&amp;$C$4&amp;"'!$19:$19"))</f>
        <v>#REF!</v>
      </c>
      <c r="AC11" s="81" t="e">
        <f ca="true">+SUMIF(INDIRECT("'"&amp;$C$4&amp;"'!$4:$4"),AC$7,INDIRECT("'"&amp;$C$4&amp;"'!$11:$11"))-SUMIF(INDIRECT("'"&amp;$C$4&amp;"'!$4:$4"),AC$7,INDIRECT("'"&amp;$C$4&amp;"'!$19:$19"))</f>
        <v>#REF!</v>
      </c>
      <c r="AD11" s="81" t="e">
        <f ca="true">+SUMIF(INDIRECT("'"&amp;$C$4&amp;"'!$4:$4"),AD$7,INDIRECT("'"&amp;$C$4&amp;"'!$11:$11"))-SUMIF(INDIRECT("'"&amp;$C$4&amp;"'!$4:$4"),AD$7,INDIRECT("'"&amp;$C$4&amp;"'!$19:$19"))</f>
        <v>#REF!</v>
      </c>
      <c r="AE11" s="81" t="e">
        <f ca="true">+SUMIF(INDIRECT("'"&amp;$C$4&amp;"'!$4:$4"),AE$7,INDIRECT("'"&amp;$C$4&amp;"'!$11:$11"))-SUMIF(INDIRECT("'"&amp;$C$4&amp;"'!$4:$4"),AE$7,INDIRECT("'"&amp;$C$4&amp;"'!$19:$19"))</f>
        <v>#REF!</v>
      </c>
      <c r="AF11" s="81" t="e">
        <f ca="true">+SUMIF(INDIRECT("'"&amp;$C$4&amp;"'!$4:$4"),AF$7,INDIRECT("'"&amp;$C$4&amp;"'!$11:$11"))-SUMIF(INDIRECT("'"&amp;$C$4&amp;"'!$4:$4"),AF$7,INDIRECT("'"&amp;$C$4&amp;"'!$19:$19"))</f>
        <v>#REF!</v>
      </c>
      <c r="AG11" s="81" t="e">
        <f ca="true">+SUMIF(INDIRECT("'"&amp;$C$4&amp;"'!$4:$4"),AG$7,INDIRECT("'"&amp;$C$4&amp;"'!$11:$11"))-SUMIF(INDIRECT("'"&amp;$C$4&amp;"'!$4:$4"),AG$7,INDIRECT("'"&amp;$C$4&amp;"'!$19:$19"))</f>
        <v>#REF!</v>
      </c>
      <c r="AH11" s="81" t="e">
        <f ca="true">+SUMIF(INDIRECT("'"&amp;$C$4&amp;"'!$4:$4"),AH$7,INDIRECT("'"&amp;$C$4&amp;"'!$11:$11"))-SUMIF(INDIRECT("'"&amp;$C$4&amp;"'!$4:$4"),AH$7,INDIRECT("'"&amp;$C$4&amp;"'!$19:$19"))</f>
        <v>#REF!</v>
      </c>
      <c r="AI11" s="81" t="e">
        <f ca="true">+SUMIF(INDIRECT("'"&amp;$C$4&amp;"'!$4:$4"),AI$7,INDIRECT("'"&amp;$C$4&amp;"'!$11:$11"))-SUMIF(INDIRECT("'"&amp;$C$4&amp;"'!$4:$4"),AI$7,INDIRECT("'"&amp;$C$4&amp;"'!$19:$19"))</f>
        <v>#REF!</v>
      </c>
      <c r="AJ11" s="81" t="e">
        <f ca="true">+SUMIF(INDIRECT("'"&amp;$C$4&amp;"'!$4:$4"),AJ$7,INDIRECT("'"&amp;$C$4&amp;"'!$11:$11"))-SUMIF(INDIRECT("'"&amp;$C$4&amp;"'!$4:$4"),AJ$7,INDIRECT("'"&amp;$C$4&amp;"'!$19:$19"))</f>
        <v>#REF!</v>
      </c>
      <c r="AK11" s="81" t="e">
        <f ca="true">+SUMIF(INDIRECT("'"&amp;$C$4&amp;"'!$4:$4"),AK$7,INDIRECT("'"&amp;$C$4&amp;"'!$11:$11"))-SUMIF(INDIRECT("'"&amp;$C$4&amp;"'!$4:$4"),AK$7,INDIRECT("'"&amp;$C$4&amp;"'!$19:$19"))</f>
        <v>#REF!</v>
      </c>
      <c r="AL11" s="81" t="e">
        <f ca="true">+SUMIF(INDIRECT("'"&amp;$C$4&amp;"'!$4:$4"),AL$7,INDIRECT("'"&amp;$C$4&amp;"'!$11:$11"))-SUMIF(INDIRECT("'"&amp;$C$4&amp;"'!$4:$4"),AL$7,INDIRECT("'"&amp;$C$4&amp;"'!$19:$19"))</f>
        <v>#REF!</v>
      </c>
      <c r="AM11" s="81" t="e">
        <f ca="true">+SUMIF(INDIRECT("'"&amp;$C$4&amp;"'!$4:$4"),AM$7,INDIRECT("'"&amp;$C$4&amp;"'!$11:$11"))-SUMIF(INDIRECT("'"&amp;$C$4&amp;"'!$4:$4"),AM$7,INDIRECT("'"&amp;$C$4&amp;"'!$19:$19"))</f>
        <v>#REF!</v>
      </c>
      <c r="AN11" s="81" t="e">
        <f ca="true">+SUMIF(INDIRECT("'"&amp;$C$4&amp;"'!$4:$4"),AN$7,INDIRECT("'"&amp;$C$4&amp;"'!$11:$11"))-SUMIF(INDIRECT("'"&amp;$C$4&amp;"'!$4:$4"),AN$7,INDIRECT("'"&amp;$C$4&amp;"'!$19:$19"))</f>
        <v>#REF!</v>
      </c>
      <c r="AO11" s="81" t="e">
        <f ca="true">+SUMIF(INDIRECT("'"&amp;$C$4&amp;"'!$4:$4"),AO$7,INDIRECT("'"&amp;$C$4&amp;"'!$11:$11"))-SUMIF(INDIRECT("'"&amp;$C$4&amp;"'!$4:$4"),AO$7,INDIRECT("'"&amp;$C$4&amp;"'!$19:$19"))</f>
        <v>#REF!</v>
      </c>
      <c r="AP11" s="81" t="e">
        <f ca="true">+SUMIF(INDIRECT("'"&amp;$C$4&amp;"'!$4:$4"),AP$7,INDIRECT("'"&amp;$C$4&amp;"'!$11:$11"))-SUMIF(INDIRECT("'"&amp;$C$4&amp;"'!$4:$4"),AP$7,INDIRECT("'"&amp;$C$4&amp;"'!$19:$19"))</f>
        <v>#REF!</v>
      </c>
      <c r="AQ11" s="81" t="e">
        <f ca="true">+SUMIF(INDIRECT("'"&amp;$C$4&amp;"'!$4:$4"),AQ$7,INDIRECT("'"&amp;$C$4&amp;"'!$11:$11"))-SUMIF(INDIRECT("'"&amp;$C$4&amp;"'!$4:$4"),AQ$7,INDIRECT("'"&amp;$C$4&amp;"'!$19:$19"))</f>
        <v>#REF!</v>
      </c>
      <c r="AR11" s="81" t="e">
        <f ca="true">+SUMIF(INDIRECT("'"&amp;$C$4&amp;"'!$4:$4"),AR$7,INDIRECT("'"&amp;$C$4&amp;"'!$11:$11"))-SUMIF(INDIRECT("'"&amp;$C$4&amp;"'!$4:$4"),AR$7,INDIRECT("'"&amp;$C$4&amp;"'!$19:$19"))</f>
        <v>#REF!</v>
      </c>
      <c r="AS11" s="81" t="e">
        <f ca="true">+SUMIF(INDIRECT("'"&amp;$C$4&amp;"'!$4:$4"),AS$7,INDIRECT("'"&amp;$C$4&amp;"'!$11:$11"))-SUMIF(INDIRECT("'"&amp;$C$4&amp;"'!$4:$4"),AS$7,INDIRECT("'"&amp;$C$4&amp;"'!$19:$19"))</f>
        <v>#REF!</v>
      </c>
      <c r="AT11" s="81" t="e">
        <f ca="true">+SUMIF(INDIRECT("'"&amp;$C$4&amp;"'!$4:$4"),AT$7,INDIRECT("'"&amp;$C$4&amp;"'!$11:$11"))-SUMIF(INDIRECT("'"&amp;$C$4&amp;"'!$4:$4"),AT$7,INDIRECT("'"&amp;$C$4&amp;"'!$19:$19"))</f>
        <v>#REF!</v>
      </c>
      <c r="AU11" s="81" t="e">
        <f ca="true">+SUMIF(INDIRECT("'"&amp;$C$4&amp;"'!$4:$4"),AU$7,INDIRECT("'"&amp;$C$4&amp;"'!$11:$11"))-SUMIF(INDIRECT("'"&amp;$C$4&amp;"'!$4:$4"),AU$7,INDIRECT("'"&amp;$C$4&amp;"'!$19:$19"))</f>
        <v>#REF!</v>
      </c>
      <c r="AV11" s="81" t="e">
        <f ca="true">+SUMIF(INDIRECT("'"&amp;$C$4&amp;"'!$4:$4"),AV$7,INDIRECT("'"&amp;$C$4&amp;"'!$11:$11"))-SUMIF(INDIRECT("'"&amp;$C$4&amp;"'!$4:$4"),AV$7,INDIRECT("'"&amp;$C$4&amp;"'!$19:$19"))</f>
        <v>#REF!</v>
      </c>
      <c r="AW11" s="81" t="e">
        <f ca="true">+SUMIF(INDIRECT("'"&amp;$C$4&amp;"'!$4:$4"),AW$7,INDIRECT("'"&amp;$C$4&amp;"'!$11:$11"))-SUMIF(INDIRECT("'"&amp;$C$4&amp;"'!$4:$4"),AW$7,INDIRECT("'"&amp;$C$4&amp;"'!$19:$19"))</f>
        <v>#REF!</v>
      </c>
      <c r="AX11" s="81" t="e">
        <f ca="true">+SUMIF(INDIRECT("'"&amp;$C$4&amp;"'!$4:$4"),AX$7,INDIRECT("'"&amp;$C$4&amp;"'!$11:$11"))-SUMIF(INDIRECT("'"&amp;$C$4&amp;"'!$4:$4"),AX$7,INDIRECT("'"&amp;$C$4&amp;"'!$19:$19"))</f>
        <v>#REF!</v>
      </c>
      <c r="AY11" s="81" t="e">
        <f ca="true">+SUMIF(INDIRECT("'"&amp;$C$4&amp;"'!$4:$4"),AY$7,INDIRECT("'"&amp;$C$4&amp;"'!$11:$11"))-SUMIF(INDIRECT("'"&amp;$C$4&amp;"'!$4:$4"),AY$7,INDIRECT("'"&amp;$C$4&amp;"'!$19:$19"))</f>
        <v>#REF!</v>
      </c>
      <c r="AZ11" s="81" t="e">
        <f ca="true">+SUMIF(INDIRECT("'"&amp;$C$4&amp;"'!$4:$4"),AZ$7,INDIRECT("'"&amp;$C$4&amp;"'!$11:$11"))-SUMIF(INDIRECT("'"&amp;$C$4&amp;"'!$4:$4"),AZ$7,INDIRECT("'"&amp;$C$4&amp;"'!$19:$19"))</f>
        <v>#REF!</v>
      </c>
      <c r="BA11" s="81" t="e">
        <f ca="true">+SUMIF(INDIRECT("'"&amp;$C$4&amp;"'!$4:$4"),BA$7,INDIRECT("'"&amp;$C$4&amp;"'!$11:$11"))-SUMIF(INDIRECT("'"&amp;$C$4&amp;"'!$4:$4"),BA$7,INDIRECT("'"&amp;$C$4&amp;"'!$19:$19"))</f>
        <v>#REF!</v>
      </c>
      <c r="BB11" s="81" t="e">
        <f ca="true">+SUMIF(INDIRECT("'"&amp;$C$4&amp;"'!$4:$4"),BB$7,INDIRECT("'"&amp;$C$4&amp;"'!$11:$11"))-SUMIF(INDIRECT("'"&amp;$C$4&amp;"'!$4:$4"),BB$7,INDIRECT("'"&amp;$C$4&amp;"'!$19:$19"))</f>
        <v>#REF!</v>
      </c>
      <c r="BC11" s="81" t="e">
        <f ca="true">+SUMIF(INDIRECT("'"&amp;$C$4&amp;"'!$4:$4"),BC$7,INDIRECT("'"&amp;$C$4&amp;"'!$11:$11"))-SUMIF(INDIRECT("'"&amp;$C$4&amp;"'!$4:$4"),BC$7,INDIRECT("'"&amp;$C$4&amp;"'!$19:$19"))</f>
        <v>#REF!</v>
      </c>
      <c r="BD11" s="81" t="e">
        <f ca="true">+SUMIF(INDIRECT("'"&amp;$C$4&amp;"'!$4:$4"),BD$7,INDIRECT("'"&amp;$C$4&amp;"'!$11:$11"))-SUMIF(INDIRECT("'"&amp;$C$4&amp;"'!$4:$4"),BD$7,INDIRECT("'"&amp;$C$4&amp;"'!$19:$19"))</f>
        <v>#REF!</v>
      </c>
      <c r="BE11" s="81" t="e">
        <f ca="true">+SUMIF(INDIRECT("'"&amp;$C$4&amp;"'!$4:$4"),BE$7,INDIRECT("'"&amp;$C$4&amp;"'!$11:$11"))-SUMIF(INDIRECT("'"&amp;$C$4&amp;"'!$4:$4"),BE$7,INDIRECT("'"&amp;$C$4&amp;"'!$19:$19"))</f>
        <v>#REF!</v>
      </c>
      <c r="BF11" s="81" t="e">
        <f ca="true">+SUMIF(INDIRECT("'"&amp;$C$4&amp;"'!$4:$4"),BF$7,INDIRECT("'"&amp;$C$4&amp;"'!$11:$11"))-SUMIF(INDIRECT("'"&amp;$C$4&amp;"'!$4:$4"),BF$7,INDIRECT("'"&amp;$C$4&amp;"'!$19:$19"))</f>
        <v>#REF!</v>
      </c>
      <c r="BG11" s="81" t="e">
        <f ca="true">+SUMIF(INDIRECT("'"&amp;$C$4&amp;"'!$4:$4"),BG$7,INDIRECT("'"&amp;$C$4&amp;"'!$11:$11"))-SUMIF(INDIRECT("'"&amp;$C$4&amp;"'!$4:$4"),BG$7,INDIRECT("'"&amp;$C$4&amp;"'!$19:$19"))</f>
        <v>#REF!</v>
      </c>
      <c r="BH11" s="81" t="e">
        <f ca="true">+SUMIF(INDIRECT("'"&amp;$C$4&amp;"'!$4:$4"),BH$7,INDIRECT("'"&amp;$C$4&amp;"'!$11:$11"))-SUMIF(INDIRECT("'"&amp;$C$4&amp;"'!$4:$4"),BH$7,INDIRECT("'"&amp;$C$4&amp;"'!$19:$19"))</f>
        <v>#REF!</v>
      </c>
      <c r="BI11" s="81" t="e">
        <f ca="true">+SUMIF(INDIRECT("'"&amp;$C$4&amp;"'!$4:$4"),BI$7,INDIRECT("'"&amp;$C$4&amp;"'!$11:$11"))-SUMIF(INDIRECT("'"&amp;$C$4&amp;"'!$4:$4"),BI$7,INDIRECT("'"&amp;$C$4&amp;"'!$19:$19"))</f>
        <v>#REF!</v>
      </c>
      <c r="BJ11" s="81" t="e">
        <f ca="true">+SUMIF(INDIRECT("'"&amp;$C$4&amp;"'!$4:$4"),BJ$7,INDIRECT("'"&amp;$C$4&amp;"'!$11:$11"))-SUMIF(INDIRECT("'"&amp;$C$4&amp;"'!$4:$4"),BJ$7,INDIRECT("'"&amp;$C$4&amp;"'!$19:$19"))</f>
        <v>#REF!</v>
      </c>
      <c r="BK11" s="81" t="e">
        <f ca="true">+SUMIF(INDIRECT("'"&amp;$C$4&amp;"'!$4:$4"),BK$7,INDIRECT("'"&amp;$C$4&amp;"'!$11:$11"))-SUMIF(INDIRECT("'"&amp;$C$4&amp;"'!$4:$4"),BK$7,INDIRECT("'"&amp;$C$4&amp;"'!$19:$19"))</f>
        <v>#REF!</v>
      </c>
      <c r="BL11" s="81" t="e">
        <f ca="true">+SUMIF(INDIRECT("'"&amp;$C$4&amp;"'!$4:$4"),BL$7,INDIRECT("'"&amp;$C$4&amp;"'!$11:$11"))-SUMIF(INDIRECT("'"&amp;$C$4&amp;"'!$4:$4"),BL$7,INDIRECT("'"&amp;$C$4&amp;"'!$19:$19"))</f>
        <v>#REF!</v>
      </c>
      <c r="BM11" s="81" t="e">
        <f ca="true">+SUMIF(INDIRECT("'"&amp;$C$4&amp;"'!$4:$4"),BM$7,INDIRECT("'"&amp;$C$4&amp;"'!$11:$11"))-SUMIF(INDIRECT("'"&amp;$C$4&amp;"'!$4:$4"),BM$7,INDIRECT("'"&amp;$C$4&amp;"'!$19:$19"))</f>
        <v>#REF!</v>
      </c>
      <c r="BN11" s="81" t="e">
        <f ca="true">+SUMIF(INDIRECT("'"&amp;$C$4&amp;"'!$4:$4"),BN$7,INDIRECT("'"&amp;$C$4&amp;"'!$11:$11"))-SUMIF(INDIRECT("'"&amp;$C$4&amp;"'!$4:$4"),BN$7,INDIRECT("'"&amp;$C$4&amp;"'!$19:$19"))</f>
        <v>#REF!</v>
      </c>
      <c r="BO11" s="81" t="e">
        <f ca="true">+SUMIF(INDIRECT("'"&amp;$C$4&amp;"'!$4:$4"),BO$7,INDIRECT("'"&amp;$C$4&amp;"'!$11:$11"))-SUMIF(INDIRECT("'"&amp;$C$4&amp;"'!$4:$4"),BO$7,INDIRECT("'"&amp;$C$4&amp;"'!$19:$19"))</f>
        <v>#REF!</v>
      </c>
      <c r="BP11" s="81" t="e">
        <f ca="true">+SUMIF(INDIRECT("'"&amp;$C$4&amp;"'!$4:$4"),BP$7,INDIRECT("'"&amp;$C$4&amp;"'!$11:$11"))-SUMIF(INDIRECT("'"&amp;$C$4&amp;"'!$4:$4"),BP$7,INDIRECT("'"&amp;$C$4&amp;"'!$19:$19"))</f>
        <v>#REF!</v>
      </c>
      <c r="BQ11" s="81" t="e">
        <f ca="true">+SUMIF(INDIRECT("'"&amp;$C$4&amp;"'!$4:$4"),BQ$7,INDIRECT("'"&amp;$C$4&amp;"'!$11:$11"))-SUMIF(INDIRECT("'"&amp;$C$4&amp;"'!$4:$4"),BQ$7,INDIRECT("'"&amp;$C$4&amp;"'!$19:$19"))</f>
        <v>#REF!</v>
      </c>
      <c r="BR11" s="81" t="e">
        <f ca="true">+SUMIF(INDIRECT("'"&amp;$C$4&amp;"'!$4:$4"),BR$7,INDIRECT("'"&amp;$C$4&amp;"'!$11:$11"))-SUMIF(INDIRECT("'"&amp;$C$4&amp;"'!$4:$4"),BR$7,INDIRECT("'"&amp;$C$4&amp;"'!$19:$19"))</f>
        <v>#REF!</v>
      </c>
      <c r="BS11" s="81" t="e">
        <f ca="true">+SUMIF(INDIRECT("'"&amp;$C$4&amp;"'!$4:$4"),BS$7,INDIRECT("'"&amp;$C$4&amp;"'!$11:$11"))-SUMIF(INDIRECT("'"&amp;$C$4&amp;"'!$4:$4"),BS$7,INDIRECT("'"&amp;$C$4&amp;"'!$19:$19"))</f>
        <v>#REF!</v>
      </c>
      <c r="BT11" s="81" t="e">
        <f ca="true">+SUMIF(INDIRECT("'"&amp;$C$4&amp;"'!$4:$4"),BT$7,INDIRECT("'"&amp;$C$4&amp;"'!$11:$11"))-SUMIF(INDIRECT("'"&amp;$C$4&amp;"'!$4:$4"),BT$7,INDIRECT("'"&amp;$C$4&amp;"'!$19:$19"))</f>
        <v>#REF!</v>
      </c>
      <c r="BU11" s="81" t="e">
        <f ca="true">+SUMIF(INDIRECT("'"&amp;$C$4&amp;"'!$4:$4"),BU$7,INDIRECT("'"&amp;$C$4&amp;"'!$11:$11"))-SUMIF(INDIRECT("'"&amp;$C$4&amp;"'!$4:$4"),BU$7,INDIRECT("'"&amp;$C$4&amp;"'!$19:$19"))</f>
        <v>#REF!</v>
      </c>
      <c r="BV11" s="81" t="e">
        <f ca="true">+SUMIF(INDIRECT("'"&amp;$C$4&amp;"'!$4:$4"),BV$7,INDIRECT("'"&amp;$C$4&amp;"'!$11:$11"))-SUMIF(INDIRECT("'"&amp;$C$4&amp;"'!$4:$4"),BV$7,INDIRECT("'"&amp;$C$4&amp;"'!$19:$19"))</f>
        <v>#REF!</v>
      </c>
      <c r="BW11" s="81" t="e">
        <f ca="true">+SUMIF(INDIRECT("'"&amp;$C$4&amp;"'!$4:$4"),BW$7,INDIRECT("'"&amp;$C$4&amp;"'!$11:$11"))-SUMIF(INDIRECT("'"&amp;$C$4&amp;"'!$4:$4"),BW$7,INDIRECT("'"&amp;$C$4&amp;"'!$19:$19"))</f>
        <v>#REF!</v>
      </c>
      <c r="BX11" s="81" t="e">
        <f ca="true">+SUMIF(INDIRECT("'"&amp;$C$4&amp;"'!$4:$4"),BX$7,INDIRECT("'"&amp;$C$4&amp;"'!$11:$11"))-SUMIF(INDIRECT("'"&amp;$C$4&amp;"'!$4:$4"),BX$7,INDIRECT("'"&amp;$C$4&amp;"'!$19:$19"))</f>
        <v>#REF!</v>
      </c>
      <c r="BY11" s="81" t="e">
        <f ca="true">+SUMIF(INDIRECT("'"&amp;$C$4&amp;"'!$4:$4"),BY$7,INDIRECT("'"&amp;$C$4&amp;"'!$11:$11"))-SUMIF(INDIRECT("'"&amp;$C$4&amp;"'!$4:$4"),BY$7,INDIRECT("'"&amp;$C$4&amp;"'!$19:$19"))</f>
        <v>#REF!</v>
      </c>
      <c r="BZ11" s="81" t="e">
        <f ca="true">+SUMIF(INDIRECT("'"&amp;$C$4&amp;"'!$4:$4"),BZ$7,INDIRECT("'"&amp;$C$4&amp;"'!$11:$11"))-SUMIF(INDIRECT("'"&amp;$C$4&amp;"'!$4:$4"),BZ$7,INDIRECT("'"&amp;$C$4&amp;"'!$19:$19"))</f>
        <v>#REF!</v>
      </c>
      <c r="CA11" s="81" t="e">
        <f ca="true">+SUMIF(INDIRECT("'"&amp;$C$4&amp;"'!$4:$4"),CA$7,INDIRECT("'"&amp;$C$4&amp;"'!$11:$11"))-SUMIF(INDIRECT("'"&amp;$C$4&amp;"'!$4:$4"),CA$7,INDIRECT("'"&amp;$C$4&amp;"'!$19:$19"))</f>
        <v>#REF!</v>
      </c>
      <c r="CB11" s="81" t="e">
        <f ca="true">+SUMIF(INDIRECT("'"&amp;$C$4&amp;"'!$4:$4"),CB$7,INDIRECT("'"&amp;$C$4&amp;"'!$11:$11"))-SUMIF(INDIRECT("'"&amp;$C$4&amp;"'!$4:$4"),CB$7,INDIRECT("'"&amp;$C$4&amp;"'!$19:$19"))</f>
        <v>#REF!</v>
      </c>
      <c r="CC11" s="81" t="e">
        <f ca="true">+SUMIF(INDIRECT("'"&amp;$C$4&amp;"'!$4:$4"),CC$7,INDIRECT("'"&amp;$C$4&amp;"'!$11:$11"))-SUMIF(INDIRECT("'"&amp;$C$4&amp;"'!$4:$4"),CC$7,INDIRECT("'"&amp;$C$4&amp;"'!$19:$19"))</f>
        <v>#REF!</v>
      </c>
      <c r="CD11" s="81" t="e">
        <f ca="true">+SUMIF(INDIRECT("'"&amp;$C$4&amp;"'!$4:$4"),CD$7,INDIRECT("'"&amp;$C$4&amp;"'!$11:$11"))-SUMIF(INDIRECT("'"&amp;$C$4&amp;"'!$4:$4"),CD$7,INDIRECT("'"&amp;$C$4&amp;"'!$19:$19"))</f>
        <v>#REF!</v>
      </c>
      <c r="CE11" s="81" t="e">
        <f ca="true">+SUMIF(INDIRECT("'"&amp;$C$4&amp;"'!$4:$4"),CE$7,INDIRECT("'"&amp;$C$4&amp;"'!$11:$11"))-SUMIF(INDIRECT("'"&amp;$C$4&amp;"'!$4:$4"),CE$7,INDIRECT("'"&amp;$C$4&amp;"'!$19:$19"))</f>
        <v>#REF!</v>
      </c>
      <c r="CF11" s="81" t="e">
        <f ca="true">+SUMIF(INDIRECT("'"&amp;$C$4&amp;"'!$4:$4"),CF$7,INDIRECT("'"&amp;$C$4&amp;"'!$11:$11"))-SUMIF(INDIRECT("'"&amp;$C$4&amp;"'!$4:$4"),CF$7,INDIRECT("'"&amp;$C$4&amp;"'!$19:$19"))</f>
        <v>#REF!</v>
      </c>
      <c r="CG11" s="81" t="e">
        <f ca="true">+SUMIF(INDIRECT("'"&amp;$C$4&amp;"'!$4:$4"),CG$7,INDIRECT("'"&amp;$C$4&amp;"'!$11:$11"))-SUMIF(INDIRECT("'"&amp;$C$4&amp;"'!$4:$4"),CG$7,INDIRECT("'"&amp;$C$4&amp;"'!$19:$19"))</f>
        <v>#REF!</v>
      </c>
      <c r="CH11" s="81" t="e">
        <f ca="true">+SUMIF(INDIRECT("'"&amp;$C$4&amp;"'!$4:$4"),CH$7,INDIRECT("'"&amp;$C$4&amp;"'!$11:$11"))-SUMIF(INDIRECT("'"&amp;$C$4&amp;"'!$4:$4"),CH$7,INDIRECT("'"&amp;$C$4&amp;"'!$19:$19"))</f>
        <v>#REF!</v>
      </c>
      <c r="CI11" s="81" t="e">
        <f ca="true">+SUMIF(INDIRECT("'"&amp;$C$4&amp;"'!$4:$4"),CI$7,INDIRECT("'"&amp;$C$4&amp;"'!$11:$11"))-SUMIF(INDIRECT("'"&amp;$C$4&amp;"'!$4:$4"),CI$7,INDIRECT("'"&amp;$C$4&amp;"'!$19:$19"))</f>
        <v>#REF!</v>
      </c>
      <c r="CJ11" s="81" t="e">
        <f ca="true">+SUMIF(INDIRECT("'"&amp;$C$4&amp;"'!$4:$4"),CJ$7,INDIRECT("'"&amp;$C$4&amp;"'!$11:$11"))-SUMIF(INDIRECT("'"&amp;$C$4&amp;"'!$4:$4"),CJ$7,INDIRECT("'"&amp;$C$4&amp;"'!$19:$19"))</f>
        <v>#REF!</v>
      </c>
      <c r="CK11" s="81" t="e">
        <f ca="true">+SUMIF(INDIRECT("'"&amp;$C$4&amp;"'!$4:$4"),CK$7,INDIRECT("'"&amp;$C$4&amp;"'!$11:$11"))-SUMIF(INDIRECT("'"&amp;$C$4&amp;"'!$4:$4"),CK$7,INDIRECT("'"&amp;$C$4&amp;"'!$19:$19"))</f>
        <v>#REF!</v>
      </c>
      <c r="CL11" s="81" t="e">
        <f ca="true">+SUMIF(INDIRECT("'"&amp;$C$4&amp;"'!$4:$4"),CL$7,INDIRECT("'"&amp;$C$4&amp;"'!$11:$11"))-SUMIF(INDIRECT("'"&amp;$C$4&amp;"'!$4:$4"),CL$7,INDIRECT("'"&amp;$C$4&amp;"'!$19:$19"))</f>
        <v>#REF!</v>
      </c>
      <c r="CM11" s="81" t="e">
        <f ca="true">+SUMIF(INDIRECT("'"&amp;$C$4&amp;"'!$4:$4"),CM$7,INDIRECT("'"&amp;$C$4&amp;"'!$11:$11"))-SUMIF(INDIRECT("'"&amp;$C$4&amp;"'!$4:$4"),CM$7,INDIRECT("'"&amp;$C$4&amp;"'!$19:$19"))</f>
        <v>#REF!</v>
      </c>
      <c r="CN11" s="81" t="e">
        <f ca="true">+SUMIF(INDIRECT("'"&amp;$C$4&amp;"'!$4:$4"),CN$7,INDIRECT("'"&amp;$C$4&amp;"'!$11:$11"))-SUMIF(INDIRECT("'"&amp;$C$4&amp;"'!$4:$4"),CN$7,INDIRECT("'"&amp;$C$4&amp;"'!$19:$19"))</f>
        <v>#REF!</v>
      </c>
      <c r="CO11" s="81" t="e">
        <f ca="true">+SUMIF(INDIRECT("'"&amp;$C$4&amp;"'!$4:$4"),CO$7,INDIRECT("'"&amp;$C$4&amp;"'!$11:$11"))-SUMIF(INDIRECT("'"&amp;$C$4&amp;"'!$4:$4"),CO$7,INDIRECT("'"&amp;$C$4&amp;"'!$19:$19"))</f>
        <v>#REF!</v>
      </c>
      <c r="CP11" s="81" t="e">
        <f ca="true">+SUMIF(INDIRECT("'"&amp;$C$4&amp;"'!$4:$4"),CP$7,INDIRECT("'"&amp;$C$4&amp;"'!$11:$11"))-SUMIF(INDIRECT("'"&amp;$C$4&amp;"'!$4:$4"),CP$7,INDIRECT("'"&amp;$C$4&amp;"'!$19:$19"))</f>
        <v>#REF!</v>
      </c>
      <c r="CQ11" s="81" t="e">
        <f ca="true">+SUMIF(INDIRECT("'"&amp;$C$4&amp;"'!$4:$4"),CQ$7,INDIRECT("'"&amp;$C$4&amp;"'!$11:$11"))-SUMIF(INDIRECT("'"&amp;$C$4&amp;"'!$4:$4"),CQ$7,INDIRECT("'"&amp;$C$4&amp;"'!$19:$19"))</f>
        <v>#REF!</v>
      </c>
      <c r="CR11" s="81" t="e">
        <f ca="true">+SUMIF(INDIRECT("'"&amp;$C$4&amp;"'!$4:$4"),CR$7,INDIRECT("'"&amp;$C$4&amp;"'!$11:$11"))-SUMIF(INDIRECT("'"&amp;$C$4&amp;"'!$4:$4"),CR$7,INDIRECT("'"&amp;$C$4&amp;"'!$19:$19"))</f>
        <v>#REF!</v>
      </c>
      <c r="CS11" s="81"/>
      <c r="CT11" s="81" t="e">
        <f ca="true">SUM(AO11:CS11)</f>
        <v>#REF!</v>
      </c>
      <c r="CU11" s="81" t="e">
        <f ca="true">SUM(AI11:CS11)</f>
        <v>#REF!</v>
      </c>
      <c r="CV11" s="81" t="e">
        <f ca="true">SUM(CW11:CX11,CZ11)</f>
        <v>#REF!</v>
      </c>
      <c r="CW11" s="81" t="e">
        <f ca="true">+SUMIF(INDIRECT("'"&amp;$C$4&amp;"'!$4:$4"),CW$7,INDIRECT("'"&amp;$C$4&amp;"'!$11:$11"))-SUMIF(INDIRECT("'"&amp;$C$4&amp;"'!$4:$4"),CW$7,INDIRECT("'"&amp;$C$4&amp;"'!$19:$19"))</f>
        <v>#REF!</v>
      </c>
      <c r="CX11" s="81" t="e">
        <f ca="true">+SUMIF(INDIRECT("'"&amp;$C$4&amp;"'!$4:$4"),CX$7,INDIRECT("'"&amp;$C$4&amp;"'!$11:$11"))-SUMIF(INDIRECT("'"&amp;$C$4&amp;"'!$4:$4"),CX$7,INDIRECT("'"&amp;$C$4&amp;"'!$19:$19"))</f>
        <v>#REF!</v>
      </c>
      <c r="CY11" s="81" t="e">
        <f ca="true">+SUM(CW11:CX11)</f>
        <v>#REF!</v>
      </c>
      <c r="CZ11" s="81" t="e">
        <f ca="true">+SUMIF(INDIRECT("'"&amp;$C$4&amp;"'!$4:$4"),CZ$7,INDIRECT("'"&amp;$C$4&amp;"'!$11:$11"))-SUMIF(INDIRECT("'"&amp;$C$4&amp;"'!$4:$4"),CZ$7,INDIRECT("'"&amp;$C$4&amp;"'!$19:$19"))</f>
        <v>#REF!</v>
      </c>
      <c r="DC11" s="81" t="e">
        <f ca="true">+SUMIF(INDIRECT("'"&amp;$C$4&amp;"'!$4:$4"),DC$7,INDIRECT("'"&amp;$C$4&amp;"'!$29:$29"))-SUMIF(INDIRECT("'"&amp;$C$4&amp;"'!$4:$4"),DC$7,INDIRECT("'"&amp;$C$4&amp;"'!$57:$57"))</f>
        <v>#REF!</v>
      </c>
      <c r="DD11" s="81" t="e">
        <f ca="true">+SUMIF(INDIRECT("'"&amp;$C$4&amp;"'!$4:$4"),DD$7,INDIRECT("'"&amp;$C$4&amp;"'!$29:$29"))-SUMIF(INDIRECT("'"&amp;$C$4&amp;"'!$4:$4"),DD$7,INDIRECT("'"&amp;$C$4&amp;"'!$57:$57"))</f>
        <v>#REF!</v>
      </c>
      <c r="DE11" s="81" t="e">
        <f ca="true">+SUMIF(INDIRECT("'"&amp;$C$4&amp;"'!$4:$4"),DE$7,INDIRECT("'"&amp;$C$4&amp;"'!$29:$29"))-SUMIF(INDIRECT("'"&amp;$C$4&amp;"'!$4:$4"),DE$7,INDIRECT("'"&amp;$C$4&amp;"'!$57:$57"))</f>
        <v>#REF!</v>
      </c>
    </row>
    <row r="12" spans="2:109" s="73" customFormat="true">
      <c r="B12" s="79" t="s">
        <v>31461</v>
      </c>
      <c r="C12" s="80" t="e">
        <f ca="true">SUM(D12,CV12)</f>
        <v>#REF!</v>
      </c>
      <c r="D12" s="81" t="e">
        <f ca="true">SUM(E12:I12,K12:L12,N12:S12,U12:V12,X12:Y12,AA12:BA12)</f>
        <v>#REF!</v>
      </c>
      <c r="E12" s="93" t="e">
        <f ca="true">+SUMIF(INDIRECT("'"&amp;$C$4&amp;"'!$4:$4"),E$7,INDIRECT("'"&amp;$C$4&amp;"'!$12:$12"))+SUMIF(INDIRECT("'"&amp;$C$4&amp;"'!$4:$4"),E$7,INDIRECT("'"&amp;$C$4&amp;"'!$20:$20"))</f>
        <v>#REF!</v>
      </c>
      <c r="F12" s="93" t="e">
        <f ca="true">+SUMIF(INDIRECT("'"&amp;$C$4&amp;"'!$4:$4"),F$7,INDIRECT("'"&amp;$C$4&amp;"'!$12:$12"))+SUMIF(INDIRECT("'"&amp;$C$4&amp;"'!$4:$4"),F$7,INDIRECT("'"&amp;$C$4&amp;"'!$20:$20"))</f>
        <v>#REF!</v>
      </c>
      <c r="G12" s="93" t="e">
        <f ca="true">+SUMIF(INDIRECT("'"&amp;$C$4&amp;"'!$4:$4"),G$7,INDIRECT("'"&amp;$C$4&amp;"'!$12:$12"))+SUMIF(INDIRECT("'"&amp;$C$4&amp;"'!$4:$4"),G$7,INDIRECT("'"&amp;$C$4&amp;"'!$20:$20"))</f>
        <v>#REF!</v>
      </c>
      <c r="H12" s="93" t="e">
        <f ca="true">+SUMIF(INDIRECT("'"&amp;$C$4&amp;"'!$4:$4"),H$7,INDIRECT("'"&amp;$C$4&amp;"'!$12:$12"))+SUMIF(INDIRECT("'"&amp;$C$4&amp;"'!$4:$4"),H$7,INDIRECT("'"&amp;$C$4&amp;"'!$20:$20"))</f>
        <v>#REF!</v>
      </c>
      <c r="I12" s="93" t="e">
        <f ca="true">+SUMIF(INDIRECT("'"&amp;$C$4&amp;"'!$4:$4"),I$7,INDIRECT("'"&amp;$C$4&amp;"'!$12:$12"))+SUMIF(INDIRECT("'"&amp;$C$4&amp;"'!$4:$4"),I$7,INDIRECT("'"&amp;$C$4&amp;"'!$20:$20"))</f>
        <v>#REF!</v>
      </c>
      <c r="J12" s="81" t="e">
        <f ca="true">SUM(E12:I12)</f>
        <v>#REF!</v>
      </c>
      <c r="K12" s="81" t="e">
        <f ca="true">+SUMIF(INDIRECT("'"&amp;$C$4&amp;"'!$4:$4"),K$7,INDIRECT("'"&amp;$C$4&amp;"'!$12:$12"))+SUMIF(INDIRECT("'"&amp;$C$4&amp;"'!$4:$4"),K$7,INDIRECT("'"&amp;$C$4&amp;"'!$20:$20"))</f>
        <v>#REF!</v>
      </c>
      <c r="L12" s="81" t="e">
        <f ca="true">+SUMIF(INDIRECT("'"&amp;$C$4&amp;"'!$4:$4"),L$7,INDIRECT("'"&amp;$C$4&amp;"'!$12:$12"))+SUMIF(INDIRECT("'"&amp;$C$4&amp;"'!$4:$4"),L$7,INDIRECT("'"&amp;$C$4&amp;"'!$20:$20"))</f>
        <v>#REF!</v>
      </c>
      <c r="M12" s="81" t="e">
        <f ca="true">+SUM(K12:L12)</f>
        <v>#REF!</v>
      </c>
      <c r="N12" s="81" t="e">
        <f ca="true">+SUMIF(INDIRECT("'"&amp;$C$4&amp;"'!$4:$4"),N$7,INDIRECT("'"&amp;$C$4&amp;"'!$12:$12"))+SUMIF(INDIRECT("'"&amp;$C$4&amp;"'!$4:$4"),N$7,INDIRECT("'"&amp;$C$4&amp;"'!$20:$20"))</f>
        <v>#REF!</v>
      </c>
      <c r="O12" s="81" t="e">
        <f ca="true">+SUMIF(INDIRECT("'"&amp;$C$4&amp;"'!$4:$4"),O$7,INDIRECT("'"&amp;$C$4&amp;"'!$12:$12"))+SUMIF(INDIRECT("'"&amp;$C$4&amp;"'!$4:$4"),O$7,INDIRECT("'"&amp;$C$4&amp;"'!$20:$20"))</f>
        <v>#REF!</v>
      </c>
      <c r="P12" s="81" t="e">
        <f ca="true">+SUMIF(INDIRECT("'"&amp;$C$4&amp;"'!$4:$4"),P$7,INDIRECT("'"&amp;$C$4&amp;"'!$12:$12"))+SUMIF(INDIRECT("'"&amp;$C$4&amp;"'!$4:$4"),P$7,INDIRECT("'"&amp;$C$4&amp;"'!$20:$20"))</f>
        <v>#REF!</v>
      </c>
      <c r="Q12" s="81" t="e">
        <f ca="true">+SUMIF(INDIRECT("'"&amp;$C$4&amp;"'!$4:$4"),Q$7,INDIRECT("'"&amp;$C$4&amp;"'!$12:$12"))+SUMIF(INDIRECT("'"&amp;$C$4&amp;"'!$4:$4"),Q$7,INDIRECT("'"&amp;$C$4&amp;"'!$20:$20"))</f>
        <v>#REF!</v>
      </c>
      <c r="R12" s="81" t="e">
        <f ca="true">+SUMIF(INDIRECT("'"&amp;$C$4&amp;"'!$4:$4"),R$7,INDIRECT("'"&amp;$C$4&amp;"'!$12:$12"))+SUMIF(INDIRECT("'"&amp;$C$4&amp;"'!$4:$4"),R$7,INDIRECT("'"&amp;$C$4&amp;"'!$20:$20"))</f>
        <v>#REF!</v>
      </c>
      <c r="S12" s="81" t="e">
        <f ca="true">+SUMIF(INDIRECT("'"&amp;$C$4&amp;"'!$4:$4"),S$7,INDIRECT("'"&amp;$C$4&amp;"'!$12:$12"))+SUMIF(INDIRECT("'"&amp;$C$4&amp;"'!$4:$4"),S$7,INDIRECT("'"&amp;$C$4&amp;"'!$20:$20"))</f>
        <v>#REF!</v>
      </c>
      <c r="T12" s="81" t="e">
        <f ca="true">SUM(N12:S12)</f>
        <v>#REF!</v>
      </c>
      <c r="U12" s="81" t="e">
        <f ca="true">+SUMIF(INDIRECT("'"&amp;$C$4&amp;"'!$4:$4"),U$7,INDIRECT("'"&amp;$C$4&amp;"'!$12:$12"))+SUMIF(INDIRECT("'"&amp;$C$4&amp;"'!$4:$4"),U$7,INDIRECT("'"&amp;$C$4&amp;"'!$20:$20"))</f>
        <v>#REF!</v>
      </c>
      <c r="V12" s="81" t="e">
        <f ca="true">+SUMIF(INDIRECT("'"&amp;$C$4&amp;"'!$4:$4"),V$7,INDIRECT("'"&amp;$C$4&amp;"'!$12:$12"))+SUMIF(INDIRECT("'"&amp;$C$4&amp;"'!$4:$4"),V$7,INDIRECT("'"&amp;$C$4&amp;"'!$20:$20"))</f>
        <v>#REF!</v>
      </c>
      <c r="W12" s="81" t="e">
        <f ca="true">SUM(N12:S12,U12:V12)</f>
        <v>#REF!</v>
      </c>
      <c r="X12" s="81" t="e">
        <f ca="true">+SUMIF(INDIRECT("'"&amp;$C$4&amp;"'!$4:$4"),X$7,INDIRECT("'"&amp;$C$4&amp;"'!$12:$12"))+SUMIF(INDIRECT("'"&amp;$C$4&amp;"'!$4:$4"),X$7,INDIRECT("'"&amp;$C$4&amp;"'!$20:$20"))</f>
        <v>#REF!</v>
      </c>
      <c r="Y12" s="81" t="e">
        <f ca="true">+SUMIF(INDIRECT("'"&amp;$C$4&amp;"'!$4:$4"),Y$7,INDIRECT("'"&amp;$C$4&amp;"'!$12:$12"))+SUMIF(INDIRECT("'"&amp;$C$4&amp;"'!$4:$4"),Y$7,INDIRECT("'"&amp;$C$4&amp;"'!$20:$20"))</f>
        <v>#REF!</v>
      </c>
      <c r="Z12" s="81" t="e">
        <f ca="true">SUM(X12:Y12)</f>
        <v>#REF!</v>
      </c>
      <c r="AA12" s="81" t="e">
        <f ca="true">+SUMIF(INDIRECT("'"&amp;$C$4&amp;"'!$4:$4"),AA$7,INDIRECT("'"&amp;$C$4&amp;"'!$12:$12"))+SUMIF(INDIRECT("'"&amp;$C$4&amp;"'!$4:$4"),AA$7,INDIRECT("'"&amp;$C$4&amp;"'!$20:$20"))</f>
        <v>#REF!</v>
      </c>
      <c r="AB12" s="81" t="e">
        <f ca="true">+SUMIF(INDIRECT("'"&amp;$C$4&amp;"'!$4:$4"),AB$7,INDIRECT("'"&amp;$C$4&amp;"'!$12:$12"))+SUMIF(INDIRECT("'"&amp;$C$4&amp;"'!$4:$4"),AB$7,INDIRECT("'"&amp;$C$4&amp;"'!$20:$20"))</f>
        <v>#REF!</v>
      </c>
      <c r="AC12" s="81" t="e">
        <f ca="true">+SUMIF(INDIRECT("'"&amp;$C$4&amp;"'!$4:$4"),AC$7,INDIRECT("'"&amp;$C$4&amp;"'!$12:$12"))+SUMIF(INDIRECT("'"&amp;$C$4&amp;"'!$4:$4"),AC$7,INDIRECT("'"&amp;$C$4&amp;"'!$20:$20"))</f>
        <v>#REF!</v>
      </c>
      <c r="AD12" s="81" t="e">
        <f ca="true">+SUMIF(INDIRECT("'"&amp;$C$4&amp;"'!$4:$4"),AD$7,INDIRECT("'"&amp;$C$4&amp;"'!$12:$12"))+SUMIF(INDIRECT("'"&amp;$C$4&amp;"'!$4:$4"),AD$7,INDIRECT("'"&amp;$C$4&amp;"'!$20:$20"))</f>
        <v>#REF!</v>
      </c>
      <c r="AE12" s="81" t="e">
        <f ca="true">+SUMIF(INDIRECT("'"&amp;$C$4&amp;"'!$4:$4"),AE$7,INDIRECT("'"&amp;$C$4&amp;"'!$12:$12"))+SUMIF(INDIRECT("'"&amp;$C$4&amp;"'!$4:$4"),AE$7,INDIRECT("'"&amp;$C$4&amp;"'!$20:$20"))</f>
        <v>#REF!</v>
      </c>
      <c r="AF12" s="81" t="e">
        <f ca="true">+SUMIF(INDIRECT("'"&amp;$C$4&amp;"'!$4:$4"),AF$7,INDIRECT("'"&amp;$C$4&amp;"'!$12:$12"))+SUMIF(INDIRECT("'"&amp;$C$4&amp;"'!$4:$4"),AF$7,INDIRECT("'"&amp;$C$4&amp;"'!$20:$20"))</f>
        <v>#REF!</v>
      </c>
      <c r="AG12" s="81" t="e">
        <f ca="true">+SUMIF(INDIRECT("'"&amp;$C$4&amp;"'!$4:$4"),AG$7,INDIRECT("'"&amp;$C$4&amp;"'!$12:$12"))+SUMIF(INDIRECT("'"&amp;$C$4&amp;"'!$4:$4"),AG$7,INDIRECT("'"&amp;$C$4&amp;"'!$20:$20"))</f>
        <v>#REF!</v>
      </c>
      <c r="AH12" s="81" t="e">
        <f ca="true">+SUMIF(INDIRECT("'"&amp;$C$4&amp;"'!$4:$4"),AH$7,INDIRECT("'"&amp;$C$4&amp;"'!$12:$12"))+SUMIF(INDIRECT("'"&amp;$C$4&amp;"'!$4:$4"),AH$7,INDIRECT("'"&amp;$C$4&amp;"'!$20:$20"))</f>
        <v>#REF!</v>
      </c>
      <c r="AI12" s="81" t="e">
        <f ca="true">+SUMIF(INDIRECT("'"&amp;$C$4&amp;"'!$4:$4"),AI$7,INDIRECT("'"&amp;$C$4&amp;"'!$12:$12"))+SUMIF(INDIRECT("'"&amp;$C$4&amp;"'!$4:$4"),AI$7,INDIRECT("'"&amp;$C$4&amp;"'!$20:$20"))</f>
        <v>#REF!</v>
      </c>
      <c r="AJ12" s="81" t="e">
        <f ca="true">+SUMIF(INDIRECT("'"&amp;$C$4&amp;"'!$4:$4"),AJ$7,INDIRECT("'"&amp;$C$4&amp;"'!$12:$12"))+SUMIF(INDIRECT("'"&amp;$C$4&amp;"'!$4:$4"),AJ$7,INDIRECT("'"&amp;$C$4&amp;"'!$20:$20"))</f>
        <v>#REF!</v>
      </c>
      <c r="AK12" s="81" t="e">
        <f ca="true">+SUMIF(INDIRECT("'"&amp;$C$4&amp;"'!$4:$4"),AK$7,INDIRECT("'"&amp;$C$4&amp;"'!$12:$12"))+SUMIF(INDIRECT("'"&amp;$C$4&amp;"'!$4:$4"),AK$7,INDIRECT("'"&amp;$C$4&amp;"'!$20:$20"))</f>
        <v>#REF!</v>
      </c>
      <c r="AL12" s="81" t="e">
        <f ca="true">+SUMIF(INDIRECT("'"&amp;$C$4&amp;"'!$4:$4"),AL$7,INDIRECT("'"&amp;$C$4&amp;"'!$12:$12"))+SUMIF(INDIRECT("'"&amp;$C$4&amp;"'!$4:$4"),AL$7,INDIRECT("'"&amp;$C$4&amp;"'!$20:$20"))</f>
        <v>#REF!</v>
      </c>
      <c r="AM12" s="81" t="e">
        <f ca="true">+SUMIF(INDIRECT("'"&amp;$C$4&amp;"'!$4:$4"),AM$7,INDIRECT("'"&amp;$C$4&amp;"'!$12:$12"))+SUMIF(INDIRECT("'"&amp;$C$4&amp;"'!$4:$4"),AM$7,INDIRECT("'"&amp;$C$4&amp;"'!$20:$20"))</f>
        <v>#REF!</v>
      </c>
      <c r="AN12" s="81" t="e">
        <f ca="true">+SUMIF(INDIRECT("'"&amp;$C$4&amp;"'!$4:$4"),AN$7,INDIRECT("'"&amp;$C$4&amp;"'!$12:$12"))+SUMIF(INDIRECT("'"&amp;$C$4&amp;"'!$4:$4"),AN$7,INDIRECT("'"&amp;$C$4&amp;"'!$20:$20"))</f>
        <v>#REF!</v>
      </c>
      <c r="AO12" s="81" t="e">
        <f ca="true">+SUMIF(INDIRECT("'"&amp;$C$4&amp;"'!$4:$4"),AO$7,INDIRECT("'"&amp;$C$4&amp;"'!$12:$12"))+SUMIF(INDIRECT("'"&amp;$C$4&amp;"'!$4:$4"),AO$7,INDIRECT("'"&amp;$C$4&amp;"'!$20:$20"))</f>
        <v>#REF!</v>
      </c>
      <c r="AP12" s="81" t="e">
        <f ca="true">+SUMIF(INDIRECT("'"&amp;$C$4&amp;"'!$4:$4"),AP$7,INDIRECT("'"&amp;$C$4&amp;"'!$12:$12"))+SUMIF(INDIRECT("'"&amp;$C$4&amp;"'!$4:$4"),AP$7,INDIRECT("'"&amp;$C$4&amp;"'!$20:$20"))</f>
        <v>#REF!</v>
      </c>
      <c r="AQ12" s="81" t="e">
        <f ca="true">+SUMIF(INDIRECT("'"&amp;$C$4&amp;"'!$4:$4"),AQ$7,INDIRECT("'"&amp;$C$4&amp;"'!$12:$12"))+SUMIF(INDIRECT("'"&amp;$C$4&amp;"'!$4:$4"),AQ$7,INDIRECT("'"&amp;$C$4&amp;"'!$20:$20"))</f>
        <v>#REF!</v>
      </c>
      <c r="AR12" s="81" t="e">
        <f ca="true">+SUMIF(INDIRECT("'"&amp;$C$4&amp;"'!$4:$4"),AR$7,INDIRECT("'"&amp;$C$4&amp;"'!$12:$12"))+SUMIF(INDIRECT("'"&amp;$C$4&amp;"'!$4:$4"),AR$7,INDIRECT("'"&amp;$C$4&amp;"'!$20:$20"))</f>
        <v>#REF!</v>
      </c>
      <c r="AS12" s="81" t="e">
        <f ca="true">+SUMIF(INDIRECT("'"&amp;$C$4&amp;"'!$4:$4"),AS$7,INDIRECT("'"&amp;$C$4&amp;"'!$12:$12"))+SUMIF(INDIRECT("'"&amp;$C$4&amp;"'!$4:$4"),AS$7,INDIRECT("'"&amp;$C$4&amp;"'!$20:$20"))</f>
        <v>#REF!</v>
      </c>
      <c r="AT12" s="81" t="e">
        <f ca="true">+SUMIF(INDIRECT("'"&amp;$C$4&amp;"'!$4:$4"),AT$7,INDIRECT("'"&amp;$C$4&amp;"'!$12:$12"))+SUMIF(INDIRECT("'"&amp;$C$4&amp;"'!$4:$4"),AT$7,INDIRECT("'"&amp;$C$4&amp;"'!$20:$20"))</f>
        <v>#REF!</v>
      </c>
      <c r="AU12" s="81" t="e">
        <f ca="true">+SUMIF(INDIRECT("'"&amp;$C$4&amp;"'!$4:$4"),AU$7,INDIRECT("'"&amp;$C$4&amp;"'!$12:$12"))+SUMIF(INDIRECT("'"&amp;$C$4&amp;"'!$4:$4"),AU$7,INDIRECT("'"&amp;$C$4&amp;"'!$20:$20"))</f>
        <v>#REF!</v>
      </c>
      <c r="AV12" s="81" t="e">
        <f ca="true">+SUMIF(INDIRECT("'"&amp;$C$4&amp;"'!$4:$4"),AV$7,INDIRECT("'"&amp;$C$4&amp;"'!$12:$12"))+SUMIF(INDIRECT("'"&amp;$C$4&amp;"'!$4:$4"),AV$7,INDIRECT("'"&amp;$C$4&amp;"'!$20:$20"))</f>
        <v>#REF!</v>
      </c>
      <c r="AW12" s="81" t="e">
        <f ca="true">+SUMIF(INDIRECT("'"&amp;$C$4&amp;"'!$4:$4"),AW$7,INDIRECT("'"&amp;$C$4&amp;"'!$12:$12"))+SUMIF(INDIRECT("'"&amp;$C$4&amp;"'!$4:$4"),AW$7,INDIRECT("'"&amp;$C$4&amp;"'!$20:$20"))</f>
        <v>#REF!</v>
      </c>
      <c r="AX12" s="81" t="e">
        <f ca="true">+SUMIF(INDIRECT("'"&amp;$C$4&amp;"'!$4:$4"),AX$7,INDIRECT("'"&amp;$C$4&amp;"'!$12:$12"))+SUMIF(INDIRECT("'"&amp;$C$4&amp;"'!$4:$4"),AX$7,INDIRECT("'"&amp;$C$4&amp;"'!$20:$20"))</f>
        <v>#REF!</v>
      </c>
      <c r="AY12" s="81" t="e">
        <f ca="true">+SUMIF(INDIRECT("'"&amp;$C$4&amp;"'!$4:$4"),AY$7,INDIRECT("'"&amp;$C$4&amp;"'!$12:$12"))+SUMIF(INDIRECT("'"&amp;$C$4&amp;"'!$4:$4"),AY$7,INDIRECT("'"&amp;$C$4&amp;"'!$20:$20"))</f>
        <v>#REF!</v>
      </c>
      <c r="AZ12" s="81" t="e">
        <f ca="true">+SUMIF(INDIRECT("'"&amp;$C$4&amp;"'!$4:$4"),AZ$7,INDIRECT("'"&amp;$C$4&amp;"'!$12:$12"))+SUMIF(INDIRECT("'"&amp;$C$4&amp;"'!$4:$4"),AZ$7,INDIRECT("'"&amp;$C$4&amp;"'!$20:$20"))</f>
        <v>#REF!</v>
      </c>
      <c r="BA12" s="81" t="e">
        <f ca="true">+SUMIF(INDIRECT("'"&amp;$C$4&amp;"'!$4:$4"),BA$7,INDIRECT("'"&amp;$C$4&amp;"'!$12:$12"))+SUMIF(INDIRECT("'"&amp;$C$4&amp;"'!$4:$4"),BA$7,INDIRECT("'"&amp;$C$4&amp;"'!$20:$20"))</f>
        <v>#REF!</v>
      </c>
      <c r="BB12" s="81" t="e">
        <f ca="true">+SUMIF(INDIRECT("'"&amp;$C$4&amp;"'!$4:$4"),BB$7,INDIRECT("'"&amp;$C$4&amp;"'!$12:$12"))+SUMIF(INDIRECT("'"&amp;$C$4&amp;"'!$4:$4"),BB$7,INDIRECT("'"&amp;$C$4&amp;"'!$20:$20"))</f>
        <v>#REF!</v>
      </c>
      <c r="BC12" s="81" t="e">
        <f ca="true">+SUMIF(INDIRECT("'"&amp;$C$4&amp;"'!$4:$4"),BC$7,INDIRECT("'"&amp;$C$4&amp;"'!$12:$12"))+SUMIF(INDIRECT("'"&amp;$C$4&amp;"'!$4:$4"),BC$7,INDIRECT("'"&amp;$C$4&amp;"'!$20:$20"))</f>
        <v>#REF!</v>
      </c>
      <c r="BD12" s="81" t="e">
        <f ca="true">+SUMIF(INDIRECT("'"&amp;$C$4&amp;"'!$4:$4"),BD$7,INDIRECT("'"&amp;$C$4&amp;"'!$12:$12"))+SUMIF(INDIRECT("'"&amp;$C$4&amp;"'!$4:$4"),BD$7,INDIRECT("'"&amp;$C$4&amp;"'!$20:$20"))</f>
        <v>#REF!</v>
      </c>
      <c r="BE12" s="81" t="e">
        <f ca="true">+SUMIF(INDIRECT("'"&amp;$C$4&amp;"'!$4:$4"),BE$7,INDIRECT("'"&amp;$C$4&amp;"'!$12:$12"))+SUMIF(INDIRECT("'"&amp;$C$4&amp;"'!$4:$4"),BE$7,INDIRECT("'"&amp;$C$4&amp;"'!$20:$20"))</f>
        <v>#REF!</v>
      </c>
      <c r="BF12" s="81" t="e">
        <f ca="true">+SUMIF(INDIRECT("'"&amp;$C$4&amp;"'!$4:$4"),BF$7,INDIRECT("'"&amp;$C$4&amp;"'!$12:$12"))+SUMIF(INDIRECT("'"&amp;$C$4&amp;"'!$4:$4"),BF$7,INDIRECT("'"&amp;$C$4&amp;"'!$20:$20"))</f>
        <v>#REF!</v>
      </c>
      <c r="BG12" s="81" t="e">
        <f ca="true">+SUMIF(INDIRECT("'"&amp;$C$4&amp;"'!$4:$4"),BG$7,INDIRECT("'"&amp;$C$4&amp;"'!$12:$12"))+SUMIF(INDIRECT("'"&amp;$C$4&amp;"'!$4:$4"),BG$7,INDIRECT("'"&amp;$C$4&amp;"'!$20:$20"))</f>
        <v>#REF!</v>
      </c>
      <c r="BH12" s="81" t="e">
        <f ca="true">+SUMIF(INDIRECT("'"&amp;$C$4&amp;"'!$4:$4"),BH$7,INDIRECT("'"&amp;$C$4&amp;"'!$12:$12"))+SUMIF(INDIRECT("'"&amp;$C$4&amp;"'!$4:$4"),BH$7,INDIRECT("'"&amp;$C$4&amp;"'!$20:$20"))</f>
        <v>#REF!</v>
      </c>
      <c r="BI12" s="81" t="e">
        <f ca="true">+SUMIF(INDIRECT("'"&amp;$C$4&amp;"'!$4:$4"),BI$7,INDIRECT("'"&amp;$C$4&amp;"'!$12:$12"))+SUMIF(INDIRECT("'"&amp;$C$4&amp;"'!$4:$4"),BI$7,INDIRECT("'"&amp;$C$4&amp;"'!$20:$20"))</f>
        <v>#REF!</v>
      </c>
      <c r="BJ12" s="81" t="e">
        <f ca="true">+SUMIF(INDIRECT("'"&amp;$C$4&amp;"'!$4:$4"),BJ$7,INDIRECT("'"&amp;$C$4&amp;"'!$12:$12"))+SUMIF(INDIRECT("'"&amp;$C$4&amp;"'!$4:$4"),BJ$7,INDIRECT("'"&amp;$C$4&amp;"'!$20:$20"))</f>
        <v>#REF!</v>
      </c>
      <c r="BK12" s="81" t="e">
        <f ca="true">+SUMIF(INDIRECT("'"&amp;$C$4&amp;"'!$4:$4"),BK$7,INDIRECT("'"&amp;$C$4&amp;"'!$12:$12"))+SUMIF(INDIRECT("'"&amp;$C$4&amp;"'!$4:$4"),BK$7,INDIRECT("'"&amp;$C$4&amp;"'!$20:$20"))</f>
        <v>#REF!</v>
      </c>
      <c r="BL12" s="81" t="e">
        <f ca="true">+SUMIF(INDIRECT("'"&amp;$C$4&amp;"'!$4:$4"),BL$7,INDIRECT("'"&amp;$C$4&amp;"'!$12:$12"))+SUMIF(INDIRECT("'"&amp;$C$4&amp;"'!$4:$4"),BL$7,INDIRECT("'"&amp;$C$4&amp;"'!$20:$20"))</f>
        <v>#REF!</v>
      </c>
      <c r="BM12" s="81" t="e">
        <f ca="true">+SUMIF(INDIRECT("'"&amp;$C$4&amp;"'!$4:$4"),BM$7,INDIRECT("'"&amp;$C$4&amp;"'!$12:$12"))+SUMIF(INDIRECT("'"&amp;$C$4&amp;"'!$4:$4"),BM$7,INDIRECT("'"&amp;$C$4&amp;"'!$20:$20"))</f>
        <v>#REF!</v>
      </c>
      <c r="BN12" s="81" t="e">
        <f ca="true">+SUMIF(INDIRECT("'"&amp;$C$4&amp;"'!$4:$4"),BN$7,INDIRECT("'"&amp;$C$4&amp;"'!$12:$12"))+SUMIF(INDIRECT("'"&amp;$C$4&amp;"'!$4:$4"),BN$7,INDIRECT("'"&amp;$C$4&amp;"'!$20:$20"))</f>
        <v>#REF!</v>
      </c>
      <c r="BO12" s="81" t="e">
        <f ca="true">+SUMIF(INDIRECT("'"&amp;$C$4&amp;"'!$4:$4"),BO$7,INDIRECT("'"&amp;$C$4&amp;"'!$12:$12"))+SUMIF(INDIRECT("'"&amp;$C$4&amp;"'!$4:$4"),BO$7,INDIRECT("'"&amp;$C$4&amp;"'!$20:$20"))</f>
        <v>#REF!</v>
      </c>
      <c r="BP12" s="81" t="e">
        <f ca="true">+SUMIF(INDIRECT("'"&amp;$C$4&amp;"'!$4:$4"),BP$7,INDIRECT("'"&amp;$C$4&amp;"'!$12:$12"))+SUMIF(INDIRECT("'"&amp;$C$4&amp;"'!$4:$4"),BP$7,INDIRECT("'"&amp;$C$4&amp;"'!$20:$20"))</f>
        <v>#REF!</v>
      </c>
      <c r="BQ12" s="81" t="e">
        <f ca="true">+SUMIF(INDIRECT("'"&amp;$C$4&amp;"'!$4:$4"),BQ$7,INDIRECT("'"&amp;$C$4&amp;"'!$12:$12"))+SUMIF(INDIRECT("'"&amp;$C$4&amp;"'!$4:$4"),BQ$7,INDIRECT("'"&amp;$C$4&amp;"'!$20:$20"))</f>
        <v>#REF!</v>
      </c>
      <c r="BR12" s="81" t="e">
        <f ca="true">+SUMIF(INDIRECT("'"&amp;$C$4&amp;"'!$4:$4"),BR$7,INDIRECT("'"&amp;$C$4&amp;"'!$12:$12"))+SUMIF(INDIRECT("'"&amp;$C$4&amp;"'!$4:$4"),BR$7,INDIRECT("'"&amp;$C$4&amp;"'!$20:$20"))</f>
        <v>#REF!</v>
      </c>
      <c r="BS12" s="81" t="e">
        <f ca="true">+SUMIF(INDIRECT("'"&amp;$C$4&amp;"'!$4:$4"),BS$7,INDIRECT("'"&amp;$C$4&amp;"'!$12:$12"))+SUMIF(INDIRECT("'"&amp;$C$4&amp;"'!$4:$4"),BS$7,INDIRECT("'"&amp;$C$4&amp;"'!$20:$20"))</f>
        <v>#REF!</v>
      </c>
      <c r="BT12" s="81" t="e">
        <f ca="true">+SUMIF(INDIRECT("'"&amp;$C$4&amp;"'!$4:$4"),BT$7,INDIRECT("'"&amp;$C$4&amp;"'!$12:$12"))+SUMIF(INDIRECT("'"&amp;$C$4&amp;"'!$4:$4"),BT$7,INDIRECT("'"&amp;$C$4&amp;"'!$20:$20"))</f>
        <v>#REF!</v>
      </c>
      <c r="BU12" s="81" t="e">
        <f ca="true">+SUMIF(INDIRECT("'"&amp;$C$4&amp;"'!$4:$4"),BU$7,INDIRECT("'"&amp;$C$4&amp;"'!$12:$12"))+SUMIF(INDIRECT("'"&amp;$C$4&amp;"'!$4:$4"),BU$7,INDIRECT("'"&amp;$C$4&amp;"'!$20:$20"))</f>
        <v>#REF!</v>
      </c>
      <c r="BV12" s="81" t="e">
        <f ca="true">+SUMIF(INDIRECT("'"&amp;$C$4&amp;"'!$4:$4"),BV$7,INDIRECT("'"&amp;$C$4&amp;"'!$12:$12"))+SUMIF(INDIRECT("'"&amp;$C$4&amp;"'!$4:$4"),BV$7,INDIRECT("'"&amp;$C$4&amp;"'!$20:$20"))</f>
        <v>#REF!</v>
      </c>
      <c r="BW12" s="81" t="e">
        <f ca="true">+SUMIF(INDIRECT("'"&amp;$C$4&amp;"'!$4:$4"),BW$7,INDIRECT("'"&amp;$C$4&amp;"'!$12:$12"))+SUMIF(INDIRECT("'"&amp;$C$4&amp;"'!$4:$4"),BW$7,INDIRECT("'"&amp;$C$4&amp;"'!$20:$20"))</f>
        <v>#REF!</v>
      </c>
      <c r="BX12" s="81" t="e">
        <f ca="true">+SUMIF(INDIRECT("'"&amp;$C$4&amp;"'!$4:$4"),BX$7,INDIRECT("'"&amp;$C$4&amp;"'!$12:$12"))+SUMIF(INDIRECT("'"&amp;$C$4&amp;"'!$4:$4"),BX$7,INDIRECT("'"&amp;$C$4&amp;"'!$20:$20"))</f>
        <v>#REF!</v>
      </c>
      <c r="BY12" s="81" t="e">
        <f ca="true">+SUMIF(INDIRECT("'"&amp;$C$4&amp;"'!$4:$4"),BY$7,INDIRECT("'"&amp;$C$4&amp;"'!$12:$12"))+SUMIF(INDIRECT("'"&amp;$C$4&amp;"'!$4:$4"),BY$7,INDIRECT("'"&amp;$C$4&amp;"'!$20:$20"))</f>
        <v>#REF!</v>
      </c>
      <c r="BZ12" s="81" t="e">
        <f ca="true">+SUMIF(INDIRECT("'"&amp;$C$4&amp;"'!$4:$4"),BZ$7,INDIRECT("'"&amp;$C$4&amp;"'!$12:$12"))+SUMIF(INDIRECT("'"&amp;$C$4&amp;"'!$4:$4"),BZ$7,INDIRECT("'"&amp;$C$4&amp;"'!$20:$20"))</f>
        <v>#REF!</v>
      </c>
      <c r="CA12" s="81" t="e">
        <f ca="true">+SUMIF(INDIRECT("'"&amp;$C$4&amp;"'!$4:$4"),CA$7,INDIRECT("'"&amp;$C$4&amp;"'!$12:$12"))+SUMIF(INDIRECT("'"&amp;$C$4&amp;"'!$4:$4"),CA$7,INDIRECT("'"&amp;$C$4&amp;"'!$20:$20"))</f>
        <v>#REF!</v>
      </c>
      <c r="CB12" s="81" t="e">
        <f ca="true">+SUMIF(INDIRECT("'"&amp;$C$4&amp;"'!$4:$4"),CB$7,INDIRECT("'"&amp;$C$4&amp;"'!$12:$12"))+SUMIF(INDIRECT("'"&amp;$C$4&amp;"'!$4:$4"),CB$7,INDIRECT("'"&amp;$C$4&amp;"'!$20:$20"))</f>
        <v>#REF!</v>
      </c>
      <c r="CC12" s="81" t="e">
        <f ca="true">+SUMIF(INDIRECT("'"&amp;$C$4&amp;"'!$4:$4"),CC$7,INDIRECT("'"&amp;$C$4&amp;"'!$12:$12"))+SUMIF(INDIRECT("'"&amp;$C$4&amp;"'!$4:$4"),CC$7,INDIRECT("'"&amp;$C$4&amp;"'!$20:$20"))</f>
        <v>#REF!</v>
      </c>
      <c r="CD12" s="81" t="e">
        <f ca="true">+SUMIF(INDIRECT("'"&amp;$C$4&amp;"'!$4:$4"),CD$7,INDIRECT("'"&amp;$C$4&amp;"'!$12:$12"))+SUMIF(INDIRECT("'"&amp;$C$4&amp;"'!$4:$4"),CD$7,INDIRECT("'"&amp;$C$4&amp;"'!$20:$20"))</f>
        <v>#REF!</v>
      </c>
      <c r="CE12" s="81" t="e">
        <f ca="true">+SUMIF(INDIRECT("'"&amp;$C$4&amp;"'!$4:$4"),CE$7,INDIRECT("'"&amp;$C$4&amp;"'!$12:$12"))+SUMIF(INDIRECT("'"&amp;$C$4&amp;"'!$4:$4"),CE$7,INDIRECT("'"&amp;$C$4&amp;"'!$20:$20"))</f>
        <v>#REF!</v>
      </c>
      <c r="CF12" s="81" t="e">
        <f ca="true">+SUMIF(INDIRECT("'"&amp;$C$4&amp;"'!$4:$4"),CF$7,INDIRECT("'"&amp;$C$4&amp;"'!$12:$12"))+SUMIF(INDIRECT("'"&amp;$C$4&amp;"'!$4:$4"),CF$7,INDIRECT("'"&amp;$C$4&amp;"'!$20:$20"))</f>
        <v>#REF!</v>
      </c>
      <c r="CG12" s="81" t="e">
        <f ca="true">+SUMIF(INDIRECT("'"&amp;$C$4&amp;"'!$4:$4"),CG$7,INDIRECT("'"&amp;$C$4&amp;"'!$12:$12"))+SUMIF(INDIRECT("'"&amp;$C$4&amp;"'!$4:$4"),CG$7,INDIRECT("'"&amp;$C$4&amp;"'!$20:$20"))</f>
        <v>#REF!</v>
      </c>
      <c r="CH12" s="81" t="e">
        <f ca="true">+SUMIF(INDIRECT("'"&amp;$C$4&amp;"'!$4:$4"),CH$7,INDIRECT("'"&amp;$C$4&amp;"'!$12:$12"))+SUMIF(INDIRECT("'"&amp;$C$4&amp;"'!$4:$4"),CH$7,INDIRECT("'"&amp;$C$4&amp;"'!$20:$20"))</f>
        <v>#REF!</v>
      </c>
      <c r="CI12" s="81" t="e">
        <f ca="true">+SUMIF(INDIRECT("'"&amp;$C$4&amp;"'!$4:$4"),CI$7,INDIRECT("'"&amp;$C$4&amp;"'!$12:$12"))+SUMIF(INDIRECT("'"&amp;$C$4&amp;"'!$4:$4"),CI$7,INDIRECT("'"&amp;$C$4&amp;"'!$20:$20"))</f>
        <v>#REF!</v>
      </c>
      <c r="CJ12" s="81" t="e">
        <f ca="true">+SUMIF(INDIRECT("'"&amp;$C$4&amp;"'!$4:$4"),CJ$7,INDIRECT("'"&amp;$C$4&amp;"'!$12:$12"))+SUMIF(INDIRECT("'"&amp;$C$4&amp;"'!$4:$4"),CJ$7,INDIRECT("'"&amp;$C$4&amp;"'!$20:$20"))</f>
        <v>#REF!</v>
      </c>
      <c r="CK12" s="81" t="e">
        <f ca="true">+SUMIF(INDIRECT("'"&amp;$C$4&amp;"'!$4:$4"),CK$7,INDIRECT("'"&amp;$C$4&amp;"'!$12:$12"))+SUMIF(INDIRECT("'"&amp;$C$4&amp;"'!$4:$4"),CK$7,INDIRECT("'"&amp;$C$4&amp;"'!$20:$20"))</f>
        <v>#REF!</v>
      </c>
      <c r="CL12" s="81" t="e">
        <f ca="true">+SUMIF(INDIRECT("'"&amp;$C$4&amp;"'!$4:$4"),CL$7,INDIRECT("'"&amp;$C$4&amp;"'!$12:$12"))+SUMIF(INDIRECT("'"&amp;$C$4&amp;"'!$4:$4"),CL$7,INDIRECT("'"&amp;$C$4&amp;"'!$20:$20"))</f>
        <v>#REF!</v>
      </c>
      <c r="CM12" s="81" t="e">
        <f ca="true">+SUMIF(INDIRECT("'"&amp;$C$4&amp;"'!$4:$4"),CM$7,INDIRECT("'"&amp;$C$4&amp;"'!$12:$12"))+SUMIF(INDIRECT("'"&amp;$C$4&amp;"'!$4:$4"),CM$7,INDIRECT("'"&amp;$C$4&amp;"'!$20:$20"))</f>
        <v>#REF!</v>
      </c>
      <c r="CN12" s="81" t="e">
        <f ca="true">+SUMIF(INDIRECT("'"&amp;$C$4&amp;"'!$4:$4"),CN$7,INDIRECT("'"&amp;$C$4&amp;"'!$12:$12"))+SUMIF(INDIRECT("'"&amp;$C$4&amp;"'!$4:$4"),CN$7,INDIRECT("'"&amp;$C$4&amp;"'!$20:$20"))</f>
        <v>#REF!</v>
      </c>
      <c r="CO12" s="81" t="e">
        <f ca="true">+SUMIF(INDIRECT("'"&amp;$C$4&amp;"'!$4:$4"),CO$7,INDIRECT("'"&amp;$C$4&amp;"'!$12:$12"))+SUMIF(INDIRECT("'"&amp;$C$4&amp;"'!$4:$4"),CO$7,INDIRECT("'"&amp;$C$4&amp;"'!$20:$20"))</f>
        <v>#REF!</v>
      </c>
      <c r="CP12" s="81" t="e">
        <f ca="true">+SUMIF(INDIRECT("'"&amp;$C$4&amp;"'!$4:$4"),CP$7,INDIRECT("'"&amp;$C$4&amp;"'!$12:$12"))+SUMIF(INDIRECT("'"&amp;$C$4&amp;"'!$4:$4"),CP$7,INDIRECT("'"&amp;$C$4&amp;"'!$20:$20"))</f>
        <v>#REF!</v>
      </c>
      <c r="CQ12" s="81" t="e">
        <f ca="true">+SUMIF(INDIRECT("'"&amp;$C$4&amp;"'!$4:$4"),CQ$7,INDIRECT("'"&amp;$C$4&amp;"'!$12:$12"))+SUMIF(INDIRECT("'"&amp;$C$4&amp;"'!$4:$4"),CQ$7,INDIRECT("'"&amp;$C$4&amp;"'!$20:$20"))</f>
        <v>#REF!</v>
      </c>
      <c r="CR12" s="81" t="e">
        <f ca="true">+SUMIF(INDIRECT("'"&amp;$C$4&amp;"'!$4:$4"),CR$7,INDIRECT("'"&amp;$C$4&amp;"'!$12:$12"))+SUMIF(INDIRECT("'"&amp;$C$4&amp;"'!$4:$4"),CR$7,INDIRECT("'"&amp;$C$4&amp;"'!$20:$20"))</f>
        <v>#REF!</v>
      </c>
      <c r="CS12" s="81"/>
      <c r="CT12" s="81" t="e">
        <f ca="true">SUM(AO12:CS12)</f>
        <v>#REF!</v>
      </c>
      <c r="CU12" s="81" t="e">
        <f ca="true">SUM(AI12:CS12)</f>
        <v>#REF!</v>
      </c>
      <c r="CV12" s="81" t="e">
        <f ca="true">SUM(CW12:CX12,CZ12)</f>
        <v>#REF!</v>
      </c>
      <c r="CW12" s="81" t="e">
        <f ca="true">+SUMIF(INDIRECT("'"&amp;$C$4&amp;"'!$4:$4"),CW$7,INDIRECT("'"&amp;$C$4&amp;"'!$12:$12"))+SUMIF(INDIRECT("'"&amp;$C$4&amp;"'!$4:$4"),CW$7,INDIRECT("'"&amp;$C$4&amp;"'!$20:$20"))</f>
        <v>#REF!</v>
      </c>
      <c r="CX12" s="81" t="e">
        <f ca="true">+SUMIF(INDIRECT("'"&amp;$C$4&amp;"'!$4:$4"),CX$7,INDIRECT("'"&amp;$C$4&amp;"'!$12:$12"))+SUMIF(INDIRECT("'"&amp;$C$4&amp;"'!$4:$4"),CX$7,INDIRECT("'"&amp;$C$4&amp;"'!$20:$20"))</f>
        <v>#REF!</v>
      </c>
      <c r="CY12" s="81" t="e">
        <f ca="true">+SUM(CW12:CX12)</f>
        <v>#REF!</v>
      </c>
      <c r="CZ12" s="81" t="e">
        <f ca="true">+SUMIF(INDIRECT("'"&amp;$C$4&amp;"'!$4:$4"),CZ$7,INDIRECT("'"&amp;$C$4&amp;"'!$12:$12"))+SUMIF(INDIRECT("'"&amp;$C$4&amp;"'!$4:$4"),CZ$7,INDIRECT("'"&amp;$C$4&amp;"'!$20:$20"))</f>
        <v>#REF!</v>
      </c>
      <c r="DC12" s="81" t="e">
        <f ca="true">+SUMIF(INDIRECT("'"&amp;$C$4&amp;"'!$4:$4"),DC$7,INDIRECT("'"&amp;$C$4&amp;"'!$47:$47"))+SUMIF(INDIRECT("'"&amp;$C$4&amp;"'!$4:$4"),DC$7,INDIRECT("'"&amp;$C$4&amp;"'!$77:$77"))</f>
        <v>#REF!</v>
      </c>
      <c r="DD12" s="81" t="e">
        <f ca="true">+SUMIF(INDIRECT("'"&amp;$C$4&amp;"'!$4:$4"),DD$7,INDIRECT("'"&amp;$C$4&amp;"'!$47:$47"))+SUMIF(INDIRECT("'"&amp;$C$4&amp;"'!$4:$4"),DD$7,INDIRECT("'"&amp;$C$4&amp;"'!$77:$77"))</f>
        <v>#REF!</v>
      </c>
      <c r="DE12" s="81" t="e">
        <f ca="true">+SUMIF(INDIRECT("'"&amp;$C$4&amp;"'!$4:$4"),DE$7,INDIRECT("'"&amp;$C$4&amp;"'!$47:$47"))+SUMIF(INDIRECT("'"&amp;$C$4&amp;"'!$4:$4"),DE$7,INDIRECT("'"&amp;$C$4&amp;"'!$77:$77"))</f>
        <v>#REF!</v>
      </c>
    </row>
    <row r="13" spans="2:109" ht="15.75">
      <c r="B13" s="82" t="s">
        <v>13909</v>
      </c>
      <c r="C13" s="83" t="e">
        <f ca="true">SUM(D13,CV13)</f>
        <v>#REF!</v>
      </c>
      <c r="D13" s="83" t="e">
        <f ca="true">SUM(E13:I13,K13:L13,N13:S13,U13:V13,X13:Y13,AA13:BA13)</f>
        <v>#REF!</v>
      </c>
      <c r="E13" s="83" t="e">
        <f ca="true">+E9+E11-E12-E10</f>
        <v>#REF!</v>
      </c>
      <c r="F13" s="83" t="e">
        <f ca="true">+F9+F11-F12-F10</f>
        <v>#REF!</v>
      </c>
      <c r="G13" s="83" t="e">
        <f ca="true">+G9+G11-G12-G10</f>
        <v>#REF!</v>
      </c>
      <c r="H13" s="83" t="e">
        <f ca="true">+H9+H11-H12-H10</f>
        <v>#REF!</v>
      </c>
      <c r="I13" s="83" t="e">
        <f ca="true">+I9+I11-I12-I10</f>
        <v>#REF!</v>
      </c>
      <c r="J13" s="83" t="e">
        <f ca="true">SUM(E13:I13)</f>
        <v>#REF!</v>
      </c>
      <c r="K13" s="83" t="e">
        <f ca="true">+K9+K11-K12-K10</f>
        <v>#REF!</v>
      </c>
      <c r="L13" s="83" t="e">
        <f ca="true">+L9+L11-L12-L10</f>
        <v>#REF!</v>
      </c>
      <c r="M13" s="83" t="e">
        <f ca="true">+SUM(K13:L13)</f>
        <v>#REF!</v>
      </c>
      <c r="N13" s="83" t="e">
        <f t="shared" ref="N13:S13" ca="true" si="0">+N9+N11-N12-N10</f>
        <v>#REF!</v>
      </c>
      <c r="O13" s="83" t="e">
        <f t="shared" ca="true" si="0"/>
        <v>#REF!</v>
      </c>
      <c r="P13" s="83" t="e">
        <f t="shared" ca="true" si="0"/>
        <v>#REF!</v>
      </c>
      <c r="Q13" s="83" t="e">
        <f t="shared" ca="true" si="0"/>
        <v>#REF!</v>
      </c>
      <c r="R13" s="83" t="e">
        <f t="shared" ca="true" si="0"/>
        <v>#REF!</v>
      </c>
      <c r="S13" s="83" t="e">
        <f t="shared" ca="true" si="0"/>
        <v>#REF!</v>
      </c>
      <c r="T13" s="83" t="e">
        <f ca="true">SUM(N13:S13)</f>
        <v>#REF!</v>
      </c>
      <c r="U13" s="83" t="e">
        <f ca="true">+U9+U11-U12-U10</f>
        <v>#REF!</v>
      </c>
      <c r="V13" s="83" t="e">
        <f ca="true">+V9+V11-V12-V10</f>
        <v>#REF!</v>
      </c>
      <c r="W13" s="83" t="e">
        <f ca="true">SUM(N13:S13,U13:V13)</f>
        <v>#REF!</v>
      </c>
      <c r="X13" s="83" t="e">
        <f ca="true">+X9+X11-X12-X10</f>
        <v>#REF!</v>
      </c>
      <c r="Y13" s="83" t="e">
        <f ca="true">+Y9+Y11-Y12-Y10</f>
        <v>#REF!</v>
      </c>
      <c r="Z13" s="83" t="e">
        <f ca="true">SUM(X13:Y13)</f>
        <v>#REF!</v>
      </c>
      <c r="AA13" s="83" t="e">
        <f t="shared" ref="AA13:CL13" ca="true" si="1">+AA9+AA11-AA12-AA10</f>
        <v>#REF!</v>
      </c>
      <c r="AB13" s="83" t="e">
        <f t="shared" ca="true" si="1"/>
        <v>#REF!</v>
      </c>
      <c r="AC13" s="83" t="e">
        <f t="shared" ca="true" si="1"/>
        <v>#REF!</v>
      </c>
      <c r="AD13" s="83" t="e">
        <f t="shared" ca="true" si="1"/>
        <v>#REF!</v>
      </c>
      <c r="AE13" s="83" t="e">
        <f t="shared" ca="true" si="1"/>
        <v>#REF!</v>
      </c>
      <c r="AF13" s="83" t="e">
        <f t="shared" ca="true" si="1"/>
        <v>#REF!</v>
      </c>
      <c r="AG13" s="83" t="e">
        <f t="shared" ca="true" si="1"/>
        <v>#REF!</v>
      </c>
      <c r="AH13" s="83" t="e">
        <f t="shared" ca="true" si="1"/>
        <v>#REF!</v>
      </c>
      <c r="AI13" s="83" t="e">
        <f t="shared" ca="true" si="1"/>
        <v>#REF!</v>
      </c>
      <c r="AJ13" s="83" t="e">
        <f t="shared" ca="true" si="1"/>
        <v>#REF!</v>
      </c>
      <c r="AK13" s="83" t="e">
        <f t="shared" ca="true" si="1"/>
        <v>#REF!</v>
      </c>
      <c r="AL13" s="83" t="e">
        <f t="shared" ca="true" si="1"/>
        <v>#REF!</v>
      </c>
      <c r="AM13" s="83" t="e">
        <f t="shared" ca="true" si="1"/>
        <v>#REF!</v>
      </c>
      <c r="AN13" s="83" t="e">
        <f t="shared" ca="true" si="1"/>
        <v>#REF!</v>
      </c>
      <c r="AO13" s="83" t="e">
        <f t="shared" ca="true" si="1"/>
        <v>#REF!</v>
      </c>
      <c r="AP13" s="83" t="e">
        <f t="shared" ca="true" si="1"/>
        <v>#REF!</v>
      </c>
      <c r="AQ13" s="83" t="e">
        <f t="shared" ca="true" si="1"/>
        <v>#REF!</v>
      </c>
      <c r="AR13" s="83" t="e">
        <f t="shared" ca="true" si="1"/>
        <v>#REF!</v>
      </c>
      <c r="AS13" s="83" t="e">
        <f t="shared" ca="true" si="1"/>
        <v>#REF!</v>
      </c>
      <c r="AT13" s="83" t="e">
        <f t="shared" ca="true" si="1"/>
        <v>#REF!</v>
      </c>
      <c r="AU13" s="83" t="e">
        <f t="shared" ca="true" si="1"/>
        <v>#REF!</v>
      </c>
      <c r="AV13" s="83" t="e">
        <f t="shared" ca="true" si="1"/>
        <v>#REF!</v>
      </c>
      <c r="AW13" s="83" t="e">
        <f t="shared" ca="true" si="1"/>
        <v>#REF!</v>
      </c>
      <c r="AX13" s="83" t="e">
        <f t="shared" ca="true" si="1"/>
        <v>#REF!</v>
      </c>
      <c r="AY13" s="83" t="e">
        <f t="shared" ca="true" si="1"/>
        <v>#REF!</v>
      </c>
      <c r="AZ13" s="83" t="e">
        <f t="shared" ca="true" si="1"/>
        <v>#REF!</v>
      </c>
      <c r="BA13" s="83" t="e">
        <f t="shared" ca="true" si="1"/>
        <v>#REF!</v>
      </c>
      <c r="BB13" s="83" t="e">
        <f t="shared" ca="true" si="1"/>
        <v>#REF!</v>
      </c>
      <c r="BC13" s="83" t="e">
        <f t="shared" ca="true" si="1"/>
        <v>#REF!</v>
      </c>
      <c r="BD13" s="83" t="e">
        <f t="shared" ca="true" si="1"/>
        <v>#REF!</v>
      </c>
      <c r="BE13" s="83" t="e">
        <f t="shared" ca="true" si="1"/>
        <v>#REF!</v>
      </c>
      <c r="BF13" s="83" t="e">
        <f t="shared" ca="true" si="1"/>
        <v>#REF!</v>
      </c>
      <c r="BG13" s="83" t="e">
        <f t="shared" ca="true" si="1"/>
        <v>#REF!</v>
      </c>
      <c r="BH13" s="83" t="e">
        <f t="shared" ca="true" si="1"/>
        <v>#REF!</v>
      </c>
      <c r="BI13" s="83" t="e">
        <f t="shared" ca="true" si="1"/>
        <v>#REF!</v>
      </c>
      <c r="BJ13" s="83" t="e">
        <f t="shared" ca="true" si="1"/>
        <v>#REF!</v>
      </c>
      <c r="BK13" s="83" t="e">
        <f t="shared" ca="true" si="1"/>
        <v>#REF!</v>
      </c>
      <c r="BL13" s="83" t="e">
        <f t="shared" ca="true" si="1"/>
        <v>#REF!</v>
      </c>
      <c r="BM13" s="83" t="e">
        <f t="shared" ca="true" si="1"/>
        <v>#REF!</v>
      </c>
      <c r="BN13" s="83" t="e">
        <f t="shared" ca="true" si="1"/>
        <v>#REF!</v>
      </c>
      <c r="BO13" s="83" t="e">
        <f t="shared" ca="true" si="1"/>
        <v>#REF!</v>
      </c>
      <c r="BP13" s="83" t="e">
        <f t="shared" ca="true" si="1"/>
        <v>#REF!</v>
      </c>
      <c r="BQ13" s="83" t="e">
        <f t="shared" ca="true" si="1"/>
        <v>#REF!</v>
      </c>
      <c r="BR13" s="83" t="e">
        <f t="shared" ca="true" si="1"/>
        <v>#REF!</v>
      </c>
      <c r="BS13" s="83" t="e">
        <f t="shared" ca="true" si="1"/>
        <v>#REF!</v>
      </c>
      <c r="BT13" s="83" t="e">
        <f t="shared" ca="true" si="1"/>
        <v>#REF!</v>
      </c>
      <c r="BU13" s="83" t="e">
        <f t="shared" ca="true" si="1"/>
        <v>#REF!</v>
      </c>
      <c r="BV13" s="83" t="e">
        <f t="shared" ca="true" si="1"/>
        <v>#REF!</v>
      </c>
      <c r="BW13" s="83" t="e">
        <f t="shared" ca="true" si="1"/>
        <v>#REF!</v>
      </c>
      <c r="BX13" s="83" t="e">
        <f t="shared" ca="true" si="1"/>
        <v>#REF!</v>
      </c>
      <c r="BY13" s="83" t="e">
        <f t="shared" ca="true" si="1"/>
        <v>#REF!</v>
      </c>
      <c r="BZ13" s="83" t="e">
        <f t="shared" ca="true" si="1"/>
        <v>#REF!</v>
      </c>
      <c r="CA13" s="83" t="e">
        <f t="shared" ca="true" si="1"/>
        <v>#REF!</v>
      </c>
      <c r="CB13" s="83" t="e">
        <f t="shared" ca="true" si="1"/>
        <v>#REF!</v>
      </c>
      <c r="CC13" s="83" t="e">
        <f t="shared" ca="true" si="1"/>
        <v>#REF!</v>
      </c>
      <c r="CD13" s="83" t="e">
        <f t="shared" ca="true" si="1"/>
        <v>#REF!</v>
      </c>
      <c r="CE13" s="83" t="e">
        <f t="shared" ca="true" si="1"/>
        <v>#REF!</v>
      </c>
      <c r="CF13" s="83" t="e">
        <f t="shared" ca="true" si="1"/>
        <v>#REF!</v>
      </c>
      <c r="CG13" s="83" t="e">
        <f t="shared" ca="true" si="1"/>
        <v>#REF!</v>
      </c>
      <c r="CH13" s="83" t="e">
        <f t="shared" ca="true" si="1"/>
        <v>#REF!</v>
      </c>
      <c r="CI13" s="83" t="e">
        <f t="shared" ca="true" si="1"/>
        <v>#REF!</v>
      </c>
      <c r="CJ13" s="83" t="e">
        <f t="shared" ca="true" si="1"/>
        <v>#REF!</v>
      </c>
      <c r="CK13" s="83" t="e">
        <f t="shared" ca="true" si="1"/>
        <v>#REF!</v>
      </c>
      <c r="CL13" s="83" t="e">
        <f t="shared" ca="true" si="1"/>
        <v>#REF!</v>
      </c>
      <c r="CM13" s="83" t="e">
        <f t="shared" ref="CM13:CR13" ca="true" si="2">+CM9+CM11-CM12-CM10</f>
        <v>#REF!</v>
      </c>
      <c r="CN13" s="83" t="e">
        <f t="shared" ca="true" si="2"/>
        <v>#REF!</v>
      </c>
      <c r="CO13" s="83" t="e">
        <f t="shared" ca="true" si="2"/>
        <v>#REF!</v>
      </c>
      <c r="CP13" s="83" t="e">
        <f t="shared" ca="true" si="2"/>
        <v>#REF!</v>
      </c>
      <c r="CQ13" s="83" t="e">
        <f t="shared" ca="true" si="2"/>
        <v>#REF!</v>
      </c>
      <c r="CR13" s="83" t="e">
        <f t="shared" ca="true" si="2"/>
        <v>#REF!</v>
      </c>
      <c r="CS13" s="83"/>
      <c r="CT13" s="83" t="e">
        <f ca="true">SUM(AO13:CS13)</f>
        <v>#REF!</v>
      </c>
      <c r="CU13" s="83" t="e">
        <f ca="true">SUM(AI13:CS13)</f>
        <v>#REF!</v>
      </c>
      <c r="CV13" s="83" t="e">
        <f ca="true">SUM(CW13:CX13,CZ13)</f>
        <v>#REF!</v>
      </c>
      <c r="CW13" s="83" t="e">
        <f ca="true">+CW9+CW11-CW12-CW10</f>
        <v>#REF!</v>
      </c>
      <c r="CX13" s="83" t="e">
        <f ca="true">+CX9+CX11-CX12-CX10</f>
        <v>#REF!</v>
      </c>
      <c r="CY13" s="83" t="e">
        <f ca="true">+CY9+CY11-CY12-CY10</f>
        <v>#REF!</v>
      </c>
      <c r="CZ13" s="83" t="e">
        <f ca="true">+CZ9+CZ11-CZ12-CZ10</f>
        <v>#REF!</v>
      </c>
      <c r="DB13" s="33"/>
      <c r="DC13" s="83" t="e">
        <f ca="true">+DC9+DC11-DC12-DC10</f>
        <v>#REF!</v>
      </c>
      <c r="DD13" s="83" t="e">
        <f ca="true">+DD9+DD11-DD12-DD10</f>
        <v>#REF!</v>
      </c>
      <c r="DE13" s="83" t="e">
        <f ca="true">+DE9+DE11-DE12-DE10</f>
        <v>#REF!</v>
      </c>
    </row>
    <row r="14" spans="33:106" ht="15.75">
      <c r="AG14" s="98"/>
      <c r="AH14" s="98"/>
      <c r="AO14" s="98"/>
      <c r="AP14" s="98"/>
      <c r="AQ14" s="98"/>
      <c r="AR14" s="98"/>
      <c r="AS14" s="98"/>
      <c r="AT14" s="98"/>
      <c r="AU14" s="98"/>
      <c r="AV14" s="98"/>
      <c r="AW14" s="98"/>
      <c r="AX14" s="98"/>
      <c r="AY14" s="98"/>
      <c r="AZ14" s="98"/>
      <c r="BA14" s="98"/>
      <c r="BB14" s="98"/>
      <c r="BC14" s="98"/>
      <c r="BD14" s="98"/>
      <c r="CZ14" s="98"/>
      <c r="DB14" s="33"/>
    </row>
    <row r="15" spans="2:109">
      <c r="B15" s="84" t="s">
        <v>31462</v>
      </c>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BX15" s="85"/>
      <c r="BY15" s="85"/>
      <c r="BZ15" s="85"/>
      <c r="CA15" s="85"/>
      <c r="CB15" s="85"/>
      <c r="CC15" s="85"/>
      <c r="CD15" s="85"/>
      <c r="CE15" s="85"/>
      <c r="CF15" s="85"/>
      <c r="CG15" s="85"/>
      <c r="CH15" s="85"/>
      <c r="CI15" s="85"/>
      <c r="CJ15" s="85"/>
      <c r="CK15" s="85"/>
      <c r="CL15" s="85"/>
      <c r="CM15" s="85"/>
      <c r="CN15" s="85"/>
      <c r="CO15" s="85"/>
      <c r="CP15" s="85"/>
      <c r="CQ15" s="85"/>
      <c r="CR15" s="85"/>
      <c r="CS15" s="85"/>
      <c r="CT15" s="85"/>
      <c r="CU15" s="85"/>
      <c r="CV15" s="85"/>
      <c r="CW15" s="85"/>
      <c r="CX15" s="85"/>
      <c r="CY15" s="85"/>
      <c r="CZ15" s="85"/>
      <c r="DB15" s="33"/>
      <c r="DC15" s="85"/>
      <c r="DD15" s="85"/>
      <c r="DE15" s="85"/>
    </row>
    <row r="16" spans="2:109">
      <c r="B16" s="86" t="s">
        <v>31463</v>
      </c>
      <c r="C16" s="81"/>
      <c r="D16" s="81"/>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B16" s="33"/>
      <c r="DC16" s="81"/>
      <c r="DD16" s="81"/>
      <c r="DE16" s="81"/>
    </row>
    <row r="17" spans="2:109">
      <c r="B17" s="87" t="s">
        <v>31464</v>
      </c>
      <c r="C17" s="80">
        <f ca="true">SUM(D17,CV17)</f>
        <v>5249061.57</v>
      </c>
      <c r="D17" s="81">
        <f ca="true">SUM(E17:I17,K17:L17,N17:S17,U17:V17,X17:Y17,AA17:BA17)</f>
        <v>5249061.57</v>
      </c>
      <c r="E17" s="93">
        <f ca="true">+SUMIF(INDIRECT("'"&amp;$C$3&amp;"'!$4:$4"),E$7,INDIRECT("'"&amp;$C$3&amp;"'!$9:$9"))</f>
        <v>2464107.35</v>
      </c>
      <c r="F17" s="81">
        <f ca="true">+SUMIF(INDIRECT("'"&amp;$C$3&amp;"'!$4:$4"),F$7,INDIRECT("'"&amp;$C$3&amp;"'!$9:$9"))</f>
        <v>0</v>
      </c>
      <c r="G17" s="81">
        <f ca="true">+SUMIF(INDIRECT("'"&amp;$C$3&amp;"'!$4:$4"),G$7,INDIRECT("'"&amp;$C$3&amp;"'!$9:$9"))</f>
        <v>0</v>
      </c>
      <c r="H17" s="81">
        <f ca="true">+SUMIF(INDIRECT("'"&amp;$C$3&amp;"'!$4:$4"),H$7,INDIRECT("'"&amp;$C$3&amp;"'!$9:$9"))</f>
        <v>0</v>
      </c>
      <c r="I17" s="81">
        <f ca="true">+SUMIF(INDIRECT("'"&amp;$C$3&amp;"'!$4:$4"),I$7,INDIRECT("'"&amp;$C$3&amp;"'!$9:$9"))</f>
        <v>22042.25</v>
      </c>
      <c r="J17" s="81">
        <f ca="true">SUM(E17:I17)</f>
        <v>2486149.6</v>
      </c>
      <c r="K17" s="81">
        <f ca="true">+SUMIF(INDIRECT("'"&amp;$C$3&amp;"'!$4:$4"),K$7,INDIRECT("'"&amp;$C$3&amp;"'!$9:$9"))</f>
        <v>1726370.53</v>
      </c>
      <c r="L17" s="81">
        <f ca="true">+SUMIF(INDIRECT("'"&amp;$C$3&amp;"'!$4:$4"),L$7,INDIRECT("'"&amp;$C$3&amp;"'!$9:$9"))</f>
        <v>0</v>
      </c>
      <c r="M17" s="81">
        <f ca="true">+SUM(K17:L17)</f>
        <v>1726370.53</v>
      </c>
      <c r="N17" s="81">
        <f ca="true">+SUMIF(INDIRECT("'"&amp;$C$3&amp;"'!$4:$4"),N$7,INDIRECT("'"&amp;$C$3&amp;"'!$9:$9"))</f>
        <v>120821.63</v>
      </c>
      <c r="O17" s="81">
        <f ca="true">+SUMIF(INDIRECT("'"&amp;$C$3&amp;"'!$4:$4"),O$7,INDIRECT("'"&amp;$C$3&amp;"'!$9:$9"))</f>
        <v>7586.11</v>
      </c>
      <c r="P17" s="81">
        <f ca="true">+SUMIF(INDIRECT("'"&amp;$C$3&amp;"'!$4:$4"),P$7,INDIRECT("'"&amp;$C$3&amp;"'!$9:$9"))</f>
        <v>15212.52</v>
      </c>
      <c r="Q17" s="81">
        <f ca="true">+SUMIF(INDIRECT("'"&amp;$C$3&amp;"'!$4:$4"),Q$7,INDIRECT("'"&amp;$C$3&amp;"'!$9:$9"))</f>
        <v>11142.28</v>
      </c>
      <c r="R17" s="81">
        <f ca="true">+SUMIF(INDIRECT("'"&amp;$C$3&amp;"'!$4:$4"),R$7,INDIRECT("'"&amp;$C$3&amp;"'!$9:$9"))</f>
        <v>22234.57</v>
      </c>
      <c r="S17" s="81">
        <f ca="true">+SUMIF(INDIRECT("'"&amp;$C$3&amp;"'!$4:$4"),S$7,INDIRECT("'"&amp;$C$3&amp;"'!$9:$9"))</f>
        <v>7278.2</v>
      </c>
      <c r="T17" s="81">
        <f ca="true">SUM(N17:S17)</f>
        <v>184275.31</v>
      </c>
      <c r="U17" s="81">
        <f ca="true">+SUMIF(INDIRECT("'"&amp;$C$3&amp;"'!$4:$4"),U$7,INDIRECT("'"&amp;$C$3&amp;"'!$9:$9"))</f>
        <v>41467.04</v>
      </c>
      <c r="V17" s="81">
        <f ca="true">+SUMIF(INDIRECT("'"&amp;$C$3&amp;"'!$4:$4"),V$7,INDIRECT("'"&amp;$C$3&amp;"'!$9:$9"))</f>
        <v>66457.56</v>
      </c>
      <c r="W17" s="81">
        <f ca="true">SUM(N17:S17,U17:V17)</f>
        <v>292199.91</v>
      </c>
      <c r="X17" s="81">
        <f ca="true">+SUMIF(INDIRECT("'"&amp;$C$3&amp;"'!$4:$4"),X$7,INDIRECT("'"&amp;$C$3&amp;"'!$9:$9"))</f>
        <v>67126.53</v>
      </c>
      <c r="Y17" s="81">
        <f ca="true">+SUMIF(INDIRECT("'"&amp;$C$3&amp;"'!$4:$4"),Y$7,INDIRECT("'"&amp;$C$3&amp;"'!$9:$9"))</f>
        <v>-785.55</v>
      </c>
      <c r="Z17" s="81">
        <f ca="true">SUM(X17:Y17)</f>
        <v>66340.98</v>
      </c>
      <c r="AA17" s="81">
        <f ca="true">+SUMIF(INDIRECT("'"&amp;$C$3&amp;"'!$4:$4"),AA$7,INDIRECT("'"&amp;$C$3&amp;"'!$9:$9"))</f>
        <v>73090.45</v>
      </c>
      <c r="AB17" s="81">
        <f ca="true">+SUMIF(INDIRECT("'"&amp;$C$3&amp;"'!$4:$4"),AB$7,INDIRECT("'"&amp;$C$3&amp;"'!$9:$9"))</f>
        <v>16727.2</v>
      </c>
      <c r="AC17" s="81">
        <f ca="true">+SUMIF(INDIRECT("'"&amp;$C$3&amp;"'!$4:$4"),AC$7,INDIRECT("'"&amp;$C$3&amp;"'!$9:$9"))</f>
        <v>9599.42</v>
      </c>
      <c r="AD17" s="81">
        <f ca="true">+SUMIF(INDIRECT("'"&amp;$C$3&amp;"'!$4:$4"),AD$7,INDIRECT("'"&amp;$C$3&amp;"'!$9:$9"))</f>
        <v>0</v>
      </c>
      <c r="AE17" s="81">
        <f ca="true">+SUMIF(INDIRECT("'"&amp;$C$3&amp;"'!$4:$4"),AE$7,INDIRECT("'"&amp;$C$3&amp;"'!$9:$9"))</f>
        <v>22652.59</v>
      </c>
      <c r="AF17" s="81">
        <f ca="true">+SUMIF(INDIRECT("'"&amp;$C$3&amp;"'!$4:$4"),AF$7,INDIRECT("'"&amp;$C$3&amp;"'!$9:$9"))</f>
        <v>0</v>
      </c>
      <c r="AG17" s="81">
        <f ca="true">+SUMIF(INDIRECT("'"&amp;$C$3&amp;"'!$4:$4"),AG$7,INDIRECT("'"&amp;$C$3&amp;"'!$9:$9"))</f>
        <v>117844.07</v>
      </c>
      <c r="AH17" s="81">
        <f ca="true">+SUMIF(INDIRECT("'"&amp;$C$3&amp;"'!$4:$4"),AH$7,INDIRECT("'"&amp;$C$3&amp;"'!$9:$9"))</f>
        <v>148664.98</v>
      </c>
      <c r="AI17" s="81">
        <f ca="true">+SUMIF(INDIRECT("'"&amp;$C$3&amp;"'!$4:$4"),AI$7,INDIRECT("'"&amp;$C$3&amp;"'!$9:$9"))</f>
        <v>21519.96</v>
      </c>
      <c r="AJ17" s="81">
        <f ca="true">+SUMIF(INDIRECT("'"&amp;$C$3&amp;"'!$4:$4"),AJ$7,INDIRECT("'"&amp;$C$3&amp;"'!$9:$9"))</f>
        <v>28968.29</v>
      </c>
      <c r="AK17" s="81">
        <f ca="true">+SUMIF(INDIRECT("'"&amp;$C$3&amp;"'!$4:$4"),AK$7,INDIRECT("'"&amp;$C$3&amp;"'!$9:$9"))</f>
        <v>15854.98</v>
      </c>
      <c r="AL17" s="81">
        <f ca="true">+SUMIF(INDIRECT("'"&amp;$C$3&amp;"'!$4:$4"),AL$7,INDIRECT("'"&amp;$C$3&amp;"'!$9:$9"))</f>
        <v>21855.01</v>
      </c>
      <c r="AM17" s="81">
        <f ca="true">+SUMIF(INDIRECT("'"&amp;$C$3&amp;"'!$4:$4"),AM$7,INDIRECT("'"&amp;$C$3&amp;"'!$9:$9"))</f>
        <v>29907.08</v>
      </c>
      <c r="AN17" s="81">
        <f ca="true">+SUMIF(INDIRECT("'"&amp;$C$3&amp;"'!$4:$4"),AN$7,INDIRECT("'"&amp;$C$3&amp;"'!$9:$9"))</f>
        <v>26237.78</v>
      </c>
      <c r="AO17" s="81">
        <f ca="true">+SUMIF(INDIRECT("'"&amp;$C$3&amp;"'!$4:$4"),AO$7,INDIRECT("'"&amp;$C$3&amp;"'!$9:$9"))</f>
        <v>39.69</v>
      </c>
      <c r="AP17" s="81">
        <f ca="true">+SUMIF(INDIRECT("'"&amp;$C$3&amp;"'!$4:$4"),AP$7,INDIRECT("'"&amp;$C$3&amp;"'!$9:$9"))</f>
        <v>14314.7</v>
      </c>
      <c r="AQ17" s="81">
        <f ca="true">+SUMIF(INDIRECT("'"&amp;$C$3&amp;"'!$4:$4"),AQ$7,INDIRECT("'"&amp;$C$3&amp;"'!$9:$9"))</f>
        <v>30165.97</v>
      </c>
      <c r="AR17" s="81">
        <f ca="true">+SUMIF(INDIRECT("'"&amp;$C$3&amp;"'!$4:$4"),AR$7,INDIRECT("'"&amp;$C$3&amp;"'!$9:$9"))</f>
        <v>0</v>
      </c>
      <c r="AS17" s="81">
        <f ca="true">+SUMIF(INDIRECT("'"&amp;$C$3&amp;"'!$4:$4"),AS$7,INDIRECT("'"&amp;$C$3&amp;"'!$9:$9"))</f>
        <v>33100.88</v>
      </c>
      <c r="AT17" s="81">
        <f ca="true">+SUMIF(INDIRECT("'"&amp;$C$3&amp;"'!$4:$4"),AT$7,INDIRECT("'"&amp;$C$3&amp;"'!$9:$9"))</f>
        <v>0</v>
      </c>
      <c r="AU17" s="81">
        <f ca="true">+SUMIF(INDIRECT("'"&amp;$C$3&amp;"'!$4:$4"),AU$7,INDIRECT("'"&amp;$C$3&amp;"'!$9:$9"))</f>
        <v>11078.66</v>
      </c>
      <c r="AV17" s="81">
        <f ca="true">+SUMIF(INDIRECT("'"&amp;$C$3&amp;"'!$4:$4"),AV$7,INDIRECT("'"&amp;$C$3&amp;"'!$9:$9"))</f>
        <v>15067.99</v>
      </c>
      <c r="AW17" s="81">
        <f ca="true">+SUMIF(INDIRECT("'"&amp;$C$3&amp;"'!$4:$4"),AW$7,INDIRECT("'"&amp;$C$3&amp;"'!$9:$9"))</f>
        <v>20277.41</v>
      </c>
      <c r="AX17" s="81">
        <f ca="true">+SUMIF(INDIRECT("'"&amp;$C$3&amp;"'!$4:$4"),AX$7,INDIRECT("'"&amp;$C$3&amp;"'!$9:$9"))</f>
        <v>21033.44</v>
      </c>
      <c r="AY17" s="81">
        <f ca="true">+SUMIF(INDIRECT("'"&amp;$C$3&amp;"'!$4:$4"),AY$7,INDIRECT("'"&amp;$C$3&amp;"'!$9:$9"))</f>
        <v>0</v>
      </c>
      <c r="AZ17" s="81">
        <f ca="true">+SUMIF(INDIRECT("'"&amp;$C$3&amp;"'!$4:$4"),AZ$7,INDIRECT("'"&amp;$C$3&amp;"'!$9:$9"))</f>
        <v>0</v>
      </c>
      <c r="BA17" s="81">
        <f ca="true">+SUMIF(INDIRECT("'"&amp;$C$3&amp;"'!$4:$4"),BA$7,INDIRECT("'"&amp;$C$3&amp;"'!$9:$9"))</f>
        <v>0</v>
      </c>
      <c r="BB17" s="81">
        <f ca="true">+SUMIF(INDIRECT("'"&amp;$C$3&amp;"'!$4:$4"),BB$7,INDIRECT("'"&amp;$C$3&amp;"'!$9:$9"))</f>
        <v>6178.86</v>
      </c>
      <c r="BC17" s="81">
        <f ca="true">+SUMIF(INDIRECT("'"&amp;$C$3&amp;"'!$4:$4"),BC$7,INDIRECT("'"&amp;$C$3&amp;"'!$9:$9"))</f>
        <v>23298.94</v>
      </c>
      <c r="BD17" s="81">
        <f ca="true">+SUMIF(INDIRECT("'"&amp;$C$3&amp;"'!$4:$4"),BD$7,INDIRECT("'"&amp;$C$3&amp;"'!$9:$9"))</f>
        <v>0</v>
      </c>
      <c r="BE17" s="81">
        <f ca="true">+SUMIF(INDIRECT("'"&amp;$C$3&amp;"'!$4:$4"),BE$7,INDIRECT("'"&amp;$C$3&amp;"'!$9:$9"))</f>
        <v>35702.52</v>
      </c>
      <c r="BF17" s="81">
        <f ca="true">+SUMIF(INDIRECT("'"&amp;$C$3&amp;"'!$4:$4"),BF$7,INDIRECT("'"&amp;$C$3&amp;"'!$9:$9"))</f>
        <v>21855.01</v>
      </c>
      <c r="BG17" s="81">
        <f ca="true">+SUMIF(INDIRECT("'"&amp;$C$3&amp;"'!$4:$4"),BG$7,INDIRECT("'"&amp;$C$3&amp;"'!$9:$9"))</f>
        <v>19084.84</v>
      </c>
      <c r="BH17" s="81">
        <f ca="true">+SUMIF(INDIRECT("'"&amp;$C$3&amp;"'!$4:$4"),BH$7,INDIRECT("'"&amp;$C$3&amp;"'!$9:$9"))</f>
        <v>0</v>
      </c>
      <c r="BI17" s="81">
        <f ca="true">+SUMIF(INDIRECT("'"&amp;$C$3&amp;"'!$4:$4"),BI$7,INDIRECT("'"&amp;$C$3&amp;"'!$9:$9"))</f>
        <v>53574.87</v>
      </c>
      <c r="BJ17" s="81">
        <f ca="true">+SUMIF(INDIRECT("'"&amp;$C$3&amp;"'!$4:$4"),BJ$7,INDIRECT("'"&amp;$C$3&amp;"'!$9:$9"))</f>
        <v>31330.48</v>
      </c>
      <c r="BK17" s="81">
        <f ca="true">+SUMIF(INDIRECT("'"&amp;$C$3&amp;"'!$4:$4"),BK$7,INDIRECT("'"&amp;$C$3&amp;"'!$9:$9"))</f>
        <v>23186.23</v>
      </c>
      <c r="BL17" s="81">
        <f ca="true">+SUMIF(INDIRECT("'"&amp;$C$3&amp;"'!$4:$4"),BL$7,INDIRECT("'"&amp;$C$3&amp;"'!$9:$9"))</f>
        <v>0</v>
      </c>
      <c r="BM17" s="81">
        <f ca="true">+SUMIF(INDIRECT("'"&amp;$C$3&amp;"'!$4:$4"),BM$7,INDIRECT("'"&amp;$C$3&amp;"'!$9:$9"))</f>
        <v>2850.56</v>
      </c>
      <c r="BN17" s="81">
        <f ca="true">+SUMIF(INDIRECT("'"&amp;$C$3&amp;"'!$4:$4"),BN$7,INDIRECT("'"&amp;$C$3&amp;"'!$9:$9"))</f>
        <v>21171.73</v>
      </c>
      <c r="BO17" s="81">
        <f ca="true">+SUMIF(INDIRECT("'"&amp;$C$3&amp;"'!$4:$4"),BO$7,INDIRECT("'"&amp;$C$3&amp;"'!$9:$9"))</f>
        <v>35026.5</v>
      </c>
      <c r="BP17" s="81">
        <f ca="true">+SUMIF(INDIRECT("'"&amp;$C$3&amp;"'!$4:$4"),BP$7,INDIRECT("'"&amp;$C$3&amp;"'!$9:$9"))</f>
        <v>20589.16</v>
      </c>
      <c r="BQ17" s="81">
        <f ca="true">+SUMIF(INDIRECT("'"&amp;$C$3&amp;"'!$4:$4"),BQ$7,INDIRECT("'"&amp;$C$3&amp;"'!$9:$9"))</f>
        <v>0</v>
      </c>
      <c r="BR17" s="81">
        <f ca="true">+SUMIF(INDIRECT("'"&amp;$C$3&amp;"'!$4:$4"),BR$7,INDIRECT("'"&amp;$C$3&amp;"'!$9:$9"))</f>
        <v>23825.11</v>
      </c>
      <c r="BS17" s="81">
        <f ca="true">+SUMIF(INDIRECT("'"&amp;$C$3&amp;"'!$4:$4"),BS$7,INDIRECT("'"&amp;$C$3&amp;"'!$9:$9"))</f>
        <v>21038.79</v>
      </c>
      <c r="BT17" s="81">
        <f ca="true">+SUMIF(INDIRECT("'"&amp;$C$3&amp;"'!$4:$4"),BT$7,INDIRECT("'"&amp;$C$3&amp;"'!$9:$9"))</f>
        <v>12091.58</v>
      </c>
      <c r="BU17" s="81">
        <f ca="true">+SUMIF(INDIRECT("'"&amp;$C$3&amp;"'!$4:$4"),BU$7,INDIRECT("'"&amp;$C$3&amp;"'!$9:$9"))</f>
        <v>0</v>
      </c>
      <c r="BV17" s="81">
        <f ca="true">+SUMIF(INDIRECT("'"&amp;$C$3&amp;"'!$4:$4"),BV$7,INDIRECT("'"&amp;$C$3&amp;"'!$9:$9"))</f>
        <v>0</v>
      </c>
      <c r="BW17" s="81">
        <f ca="true">+SUMIF(INDIRECT("'"&amp;$C$3&amp;"'!$4:$4"),BW$7,INDIRECT("'"&amp;$C$3&amp;"'!$9:$9"))</f>
        <v>0</v>
      </c>
      <c r="BX17" s="81">
        <f ca="true">+SUMIF(INDIRECT("'"&amp;$C$3&amp;"'!$4:$4"),BX$7,INDIRECT("'"&amp;$C$3&amp;"'!$9:$9"))</f>
        <v>78548.95</v>
      </c>
      <c r="BY17" s="81">
        <f ca="true">+SUMIF(INDIRECT("'"&amp;$C$3&amp;"'!$4:$4"),BY$7,INDIRECT("'"&amp;$C$3&amp;"'!$9:$9"))</f>
        <v>65438.26</v>
      </c>
      <c r="BZ17" s="81">
        <f ca="true">+SUMIF(INDIRECT("'"&amp;$C$3&amp;"'!$4:$4"),BZ$7,INDIRECT("'"&amp;$C$3&amp;"'!$9:$9"))</f>
        <v>0</v>
      </c>
      <c r="CA17" s="81">
        <f ca="true">+SUMIF(INDIRECT("'"&amp;$C$3&amp;"'!$4:$4"),CA$7,INDIRECT("'"&amp;$C$3&amp;"'!$9:$9"))</f>
        <v>0</v>
      </c>
      <c r="CB17" s="81">
        <f ca="true">+SUMIF(INDIRECT("'"&amp;$C$3&amp;"'!$4:$4"),CB$7,INDIRECT("'"&amp;$C$3&amp;"'!$9:$9"))</f>
        <v>0</v>
      </c>
      <c r="CC17" s="81">
        <f ca="true">+SUMIF(INDIRECT("'"&amp;$C$3&amp;"'!$4:$4"),CC$7,INDIRECT("'"&amp;$C$3&amp;"'!$9:$9"))</f>
        <v>9655.37</v>
      </c>
      <c r="CD17" s="81">
        <f ca="true">+SUMIF(INDIRECT("'"&amp;$C$3&amp;"'!$4:$4"),CD$7,INDIRECT("'"&amp;$C$3&amp;"'!$9:$9"))</f>
        <v>42631.54</v>
      </c>
      <c r="CE17" s="81">
        <f ca="true">+SUMIF(INDIRECT("'"&amp;$C$3&amp;"'!$4:$4"),CE$7,INDIRECT("'"&amp;$C$3&amp;"'!$9:$9"))</f>
        <v>41137.04</v>
      </c>
      <c r="CF17" s="81">
        <f ca="true">+SUMIF(INDIRECT("'"&amp;$C$3&amp;"'!$4:$4"),CF$7,INDIRECT("'"&amp;$C$3&amp;"'!$9:$9"))</f>
        <v>24985.08</v>
      </c>
      <c r="CG17" s="81">
        <f ca="true">+SUMIF(INDIRECT("'"&amp;$C$3&amp;"'!$4:$4"),CG$7,INDIRECT("'"&amp;$C$3&amp;"'!$9:$9"))</f>
        <v>17464.09</v>
      </c>
      <c r="CH17" s="81">
        <f ca="true">+SUMIF(INDIRECT("'"&amp;$C$3&amp;"'!$4:$4"),CH$7,INDIRECT("'"&amp;$C$3&amp;"'!$9:$9"))</f>
        <v>27429.89</v>
      </c>
      <c r="CI17" s="81">
        <f ca="true">+SUMIF(INDIRECT("'"&amp;$C$3&amp;"'!$4:$4"),CI$7,INDIRECT("'"&amp;$C$3&amp;"'!$9:$9"))</f>
        <v>0</v>
      </c>
      <c r="CJ17" s="81">
        <f ca="true">+SUMIF(INDIRECT("'"&amp;$C$3&amp;"'!$4:$4"),CJ$7,INDIRECT("'"&amp;$C$3&amp;"'!$9:$9"))</f>
        <v>1563.76</v>
      </c>
      <c r="CK17" s="81">
        <f ca="true">+SUMIF(INDIRECT("'"&amp;$C$3&amp;"'!$4:$4"),CK$7,INDIRECT("'"&amp;$C$3&amp;"'!$9:$9"))</f>
        <v>5828.43</v>
      </c>
      <c r="CL17" s="81">
        <f ca="true">+SUMIF(INDIRECT("'"&amp;$C$3&amp;"'!$4:$4"),CL$7,INDIRECT("'"&amp;$C$3&amp;"'!$9:$9"))</f>
        <v>16687.57</v>
      </c>
      <c r="CM17" s="81">
        <f ca="true">+SUMIF(INDIRECT("'"&amp;$C$3&amp;"'!$4:$4"),CM$7,INDIRECT("'"&amp;$C$3&amp;"'!$9:$9"))</f>
        <v>23082</v>
      </c>
      <c r="CN17" s="81">
        <f ca="true">+SUMIF(INDIRECT("'"&amp;$C$3&amp;"'!$4:$4"),CN$7,INDIRECT("'"&amp;$C$3&amp;"'!$9:$9"))</f>
        <v>5369.29</v>
      </c>
      <c r="CO17" s="81">
        <f ca="true">+SUMIF(INDIRECT("'"&amp;$C$3&amp;"'!$4:$4"),CO$7,INDIRECT("'"&amp;$C$3&amp;"'!$9:$9"))</f>
        <v>18775.38</v>
      </c>
      <c r="CP17" s="81">
        <f ca="true">+SUMIF(INDIRECT("'"&amp;$C$3&amp;"'!$4:$4"),CP$7,INDIRECT("'"&amp;$C$3&amp;"'!$9:$9"))</f>
        <v>47269.03</v>
      </c>
      <c r="CQ17" s="81">
        <f ca="true">+SUMIF(INDIRECT("'"&amp;$C$3&amp;"'!$4:$4"),CQ$7,INDIRECT("'"&amp;$C$3&amp;"'!$9:$9"))</f>
        <v>51430.9</v>
      </c>
      <c r="CR17" s="81">
        <f ca="true">+SUMIF(INDIRECT("'"&amp;$C$3&amp;"'!$4:$4"),CR$7,INDIRECT("'"&amp;$C$3&amp;"'!$9:$9"))</f>
        <v>42009.59</v>
      </c>
      <c r="CS17" s="81"/>
      <c r="CT17" s="81">
        <f ca="true">SUM(AO17:CS17)</f>
        <v>1015190.09</v>
      </c>
      <c r="CU17" s="81">
        <f ca="true">SUM(AI17:CS17)</f>
        <v>1159533.19</v>
      </c>
      <c r="CV17" s="81">
        <f ca="true">SUM(CW17:CX17,CZ17)</f>
        <v>0</v>
      </c>
      <c r="CW17" s="81">
        <f ca="true">+SUMIF(INDIRECT("'"&amp;$C$3&amp;"'!$4:$4"),CW$7,INDIRECT("'"&amp;$C$3&amp;"'!$9:$9"))</f>
        <v>0</v>
      </c>
      <c r="CX17" s="81">
        <f ca="true">+SUMIF(INDIRECT("'"&amp;$C$3&amp;"'!$4:$4"),CX$7,INDIRECT("'"&amp;$C$3&amp;"'!$9:$9"))</f>
        <v>0</v>
      </c>
      <c r="CY17" s="81">
        <f ca="true">+SUM(CW17:CX17)</f>
        <v>0</v>
      </c>
      <c r="CZ17" s="81">
        <f ca="true">+SUMIF(INDIRECT("'"&amp;$C$3&amp;"'!$4:$4"),CZ$7,INDIRECT("'"&amp;$C$3&amp;"'!$9:$9"))</f>
        <v>0</v>
      </c>
      <c r="DB17" s="33"/>
      <c r="DC17" s="81">
        <f ca="true">+SUMIF(INDIRECT("'"&amp;$C$3&amp;"'!$4:$4"),DC$7,INDIRECT("'"&amp;$C$3&amp;"'!$9:$9"))</f>
        <v>0</v>
      </c>
      <c r="DD17" s="81">
        <f ca="true">+SUMIF(INDIRECT("'"&amp;$C$3&amp;"'!$4:$4"),DD$7,INDIRECT("'"&amp;$C$3&amp;"'!$9:$9"))</f>
        <v>0</v>
      </c>
      <c r="DE17" s="81">
        <f ca="true">+SUMIF(INDIRECT("'"&amp;$C$3&amp;"'!$4:$4"),DE$7,INDIRECT("'"&amp;$C$3&amp;"'!$9:$9"))</f>
        <v>166313.91</v>
      </c>
    </row>
    <row r="18" spans="2:109">
      <c r="B18" s="86" t="s">
        <v>31465</v>
      </c>
      <c r="C18" s="80">
        <f ca="true">SUM(D18,CV18)</f>
        <v>1491727.21</v>
      </c>
      <c r="D18" s="81">
        <f ca="true">SUM(E18:I18,K18:L18,N18:S18,U18:V18,X18:Y18,AA18:BA18)</f>
        <v>1491727.21</v>
      </c>
      <c r="E18" s="81">
        <f ca="true">+SUMIF(INDIRECT("'"&amp;$C$3&amp;"'!$4:$4"),E$7,INDIRECT("'"&amp;$C$3&amp;"'!$18:$18"))</f>
        <v>2454269.06</v>
      </c>
      <c r="F18" s="81">
        <f ca="true">+SUMIF(INDIRECT("'"&amp;$C$3&amp;"'!$4:$4"),F$7,INDIRECT("'"&amp;$C$3&amp;"'!$18:$18"))</f>
        <v>-29442.85</v>
      </c>
      <c r="G18" s="81">
        <f ca="true">+SUMIF(INDIRECT("'"&amp;$C$3&amp;"'!$4:$4"),G$7,INDIRECT("'"&amp;$C$3&amp;"'!$18:$18"))</f>
        <v>-13762.15</v>
      </c>
      <c r="H18" s="81">
        <f ca="true">+SUMIF(INDIRECT("'"&amp;$C$3&amp;"'!$4:$4"),H$7,INDIRECT("'"&amp;$C$3&amp;"'!$18:$18"))</f>
        <v>0</v>
      </c>
      <c r="I18" s="81">
        <f ca="true">+SUMIF(INDIRECT("'"&amp;$C$3&amp;"'!$4:$4"),I$7,INDIRECT("'"&amp;$C$3&amp;"'!$18:$18"))</f>
        <v>20205.23</v>
      </c>
      <c r="J18" s="81">
        <f ca="true">SUM(E18:I18)</f>
        <v>2431269.29</v>
      </c>
      <c r="K18" s="81">
        <f ca="true">+SUMIF(INDIRECT("'"&amp;$C$3&amp;"'!$4:$4"),K$7,INDIRECT("'"&amp;$C$3&amp;"'!$18:$18"))</f>
        <v>1655667.56</v>
      </c>
      <c r="L18" s="81">
        <f ca="true">+SUMIF(INDIRECT("'"&amp;$C$3&amp;"'!$4:$4"),L$7,INDIRECT("'"&amp;$C$3&amp;"'!$18:$18"))</f>
        <v>-60279.34</v>
      </c>
      <c r="M18" s="81">
        <f ca="true">+SUM(K18:L18)</f>
        <v>1595388.22</v>
      </c>
      <c r="N18" s="81">
        <f ca="true">+SUMIF(INDIRECT("'"&amp;$C$3&amp;"'!$4:$4"),N$7,INDIRECT("'"&amp;$C$3&amp;"'!$18:$18"))</f>
        <v>121746.88</v>
      </c>
      <c r="O18" s="81">
        <f ca="true">+SUMIF(INDIRECT("'"&amp;$C$3&amp;"'!$4:$4"),O$7,INDIRECT("'"&amp;$C$3&amp;"'!$18:$18"))</f>
        <v>4876.78</v>
      </c>
      <c r="P18" s="81">
        <f ca="true">+SUMIF(INDIRECT("'"&amp;$C$3&amp;"'!$4:$4"),P$7,INDIRECT("'"&amp;$C$3&amp;"'!$18:$18"))</f>
        <v>14213.66</v>
      </c>
      <c r="Q18" s="81">
        <f ca="true">+SUMIF(INDIRECT("'"&amp;$C$3&amp;"'!$4:$4"),Q$7,INDIRECT("'"&amp;$C$3&amp;"'!$18:$18"))</f>
        <v>10760.2</v>
      </c>
      <c r="R18" s="81">
        <f ca="true">+SUMIF(INDIRECT("'"&amp;$C$3&amp;"'!$4:$4"),R$7,INDIRECT("'"&amp;$C$3&amp;"'!$18:$18"))</f>
        <v>22234.57</v>
      </c>
      <c r="S18" s="81">
        <f ca="true">+SUMIF(INDIRECT("'"&amp;$C$3&amp;"'!$4:$4"),S$7,INDIRECT("'"&amp;$C$3&amp;"'!$18:$18"))</f>
        <v>6242.99</v>
      </c>
      <c r="T18" s="81">
        <f ca="true">SUM(N18:S18)</f>
        <v>180075.08</v>
      </c>
      <c r="U18" s="81">
        <f ca="true">+SUMIF(INDIRECT("'"&amp;$C$3&amp;"'!$4:$4"),U$7,INDIRECT("'"&amp;$C$3&amp;"'!$18:$18"))</f>
        <v>39404.32</v>
      </c>
      <c r="V18" s="81">
        <f ca="true">+SUMIF(INDIRECT("'"&amp;$C$3&amp;"'!$4:$4"),V$7,INDIRECT("'"&amp;$C$3&amp;"'!$18:$18"))</f>
        <v>65947.14</v>
      </c>
      <c r="W18" s="81">
        <f ca="true">SUM(N18:S18,U18:V18)</f>
        <v>285426.54</v>
      </c>
      <c r="X18" s="81">
        <f ca="true">+SUMIF(INDIRECT("'"&amp;$C$3&amp;"'!$4:$4"),X$7,INDIRECT("'"&amp;$C$3&amp;"'!$18:$18"))</f>
        <v>45807.22</v>
      </c>
      <c r="Y18" s="81">
        <f ca="true">+SUMIF(INDIRECT("'"&amp;$C$3&amp;"'!$4:$4"),Y$7,INDIRECT("'"&amp;$C$3&amp;"'!$18:$18"))</f>
        <v>1823.38</v>
      </c>
      <c r="Z18" s="81">
        <f ca="true">SUM(X18:Y18)</f>
        <v>47630.6</v>
      </c>
      <c r="AA18" s="81">
        <f ca="true">+SUMIF(INDIRECT("'"&amp;$C$3&amp;"'!$4:$4"),AA$7,INDIRECT("'"&amp;$C$3&amp;"'!$18:$18"))</f>
        <v>63811.52</v>
      </c>
      <c r="AB18" s="81">
        <f ca="true">+SUMIF(INDIRECT("'"&amp;$C$3&amp;"'!$4:$4"),AB$7,INDIRECT("'"&amp;$C$3&amp;"'!$18:$18"))</f>
        <v>33107.65</v>
      </c>
      <c r="AC18" s="81">
        <f ca="true">+SUMIF(INDIRECT("'"&amp;$C$3&amp;"'!$4:$4"),AC$7,INDIRECT("'"&amp;$C$3&amp;"'!$18:$18"))</f>
        <v>-117892.35</v>
      </c>
      <c r="AD18" s="81">
        <f ca="true">+SUMIF(INDIRECT("'"&amp;$C$3&amp;"'!$4:$4"),AD$7,INDIRECT("'"&amp;$C$3&amp;"'!$18:$18"))</f>
        <v>0</v>
      </c>
      <c r="AE18" s="81">
        <f ca="true">+SUMIF(INDIRECT("'"&amp;$C$3&amp;"'!$4:$4"),AE$7,INDIRECT("'"&amp;$C$3&amp;"'!$18:$18"))</f>
        <v>-158951.94</v>
      </c>
      <c r="AF18" s="81">
        <f ca="true">+SUMIF(INDIRECT("'"&amp;$C$3&amp;"'!$4:$4"),AF$7,INDIRECT("'"&amp;$C$3&amp;"'!$18:$18"))</f>
        <v>0</v>
      </c>
      <c r="AG18" s="81">
        <f ca="true">+SUMIF(INDIRECT("'"&amp;$C$3&amp;"'!$4:$4"),AG$7,INDIRECT("'"&amp;$C$3&amp;"'!$18:$18"))</f>
        <v>-2663136.55</v>
      </c>
      <c r="AH18" s="81">
        <f ca="true">+SUMIF(INDIRECT("'"&amp;$C$3&amp;"'!$4:$4"),AH$7,INDIRECT("'"&amp;$C$3&amp;"'!$18:$18"))</f>
        <v>-41379.27</v>
      </c>
      <c r="AI18" s="81">
        <f ca="true">+SUMIF(INDIRECT("'"&amp;$C$3&amp;"'!$4:$4"),AI$7,INDIRECT("'"&amp;$C$3&amp;"'!$18:$18"))</f>
        <v>17526.66</v>
      </c>
      <c r="AJ18" s="81">
        <f ca="true">+SUMIF(INDIRECT("'"&amp;$C$3&amp;"'!$4:$4"),AJ$7,INDIRECT("'"&amp;$C$3&amp;"'!$18:$18"))</f>
        <v>8293.25</v>
      </c>
      <c r="AK18" s="81">
        <f ca="true">+SUMIF(INDIRECT("'"&amp;$C$3&amp;"'!$4:$4"),AK$7,INDIRECT("'"&amp;$C$3&amp;"'!$18:$18"))</f>
        <v>1498.06</v>
      </c>
      <c r="AL18" s="81">
        <f ca="true">+SUMIF(INDIRECT("'"&amp;$C$3&amp;"'!$4:$4"),AL$7,INDIRECT("'"&amp;$C$3&amp;"'!$18:$18"))</f>
        <v>35245.41</v>
      </c>
      <c r="AM18" s="81">
        <f ca="true">+SUMIF(INDIRECT("'"&amp;$C$3&amp;"'!$4:$4"),AM$7,INDIRECT("'"&amp;$C$3&amp;"'!$18:$18"))</f>
        <v>17686.12</v>
      </c>
      <c r="AN18" s="81">
        <f ca="true">+SUMIF(INDIRECT("'"&amp;$C$3&amp;"'!$4:$4"),AN$7,INDIRECT("'"&amp;$C$3&amp;"'!$18:$18"))</f>
        <v>-110400.77</v>
      </c>
      <c r="AO18" s="81">
        <f ca="true">+SUMIF(INDIRECT("'"&amp;$C$3&amp;"'!$4:$4"),AO$7,INDIRECT("'"&amp;$C$3&amp;"'!$18:$18"))</f>
        <v>-2885.9</v>
      </c>
      <c r="AP18" s="81">
        <f ca="true">+SUMIF(INDIRECT("'"&amp;$C$3&amp;"'!$4:$4"),AP$7,INDIRECT("'"&amp;$C$3&amp;"'!$18:$18"))</f>
        <v>-69018.23</v>
      </c>
      <c r="AQ18" s="81">
        <f ca="true">+SUMIF(INDIRECT("'"&amp;$C$3&amp;"'!$4:$4"),AQ$7,INDIRECT("'"&amp;$C$3&amp;"'!$18:$18"))</f>
        <v>42292.82</v>
      </c>
      <c r="AR18" s="81">
        <f ca="true">+SUMIF(INDIRECT("'"&amp;$C$3&amp;"'!$4:$4"),AR$7,INDIRECT("'"&amp;$C$3&amp;"'!$18:$18"))</f>
        <v>0</v>
      </c>
      <c r="AS18" s="81">
        <f ca="true">+SUMIF(INDIRECT("'"&amp;$C$3&amp;"'!$4:$4"),AS$7,INDIRECT("'"&amp;$C$3&amp;"'!$18:$18"))</f>
        <v>-17446.53</v>
      </c>
      <c r="AT18" s="81">
        <f ca="true">+SUMIF(INDIRECT("'"&amp;$C$3&amp;"'!$4:$4"),AT$7,INDIRECT("'"&amp;$C$3&amp;"'!$18:$18"))</f>
        <v>0</v>
      </c>
      <c r="AU18" s="81">
        <f ca="true">+SUMIF(INDIRECT("'"&amp;$C$3&amp;"'!$4:$4"),AU$7,INDIRECT("'"&amp;$C$3&amp;"'!$18:$18"))</f>
        <v>13979.11</v>
      </c>
      <c r="AV18" s="81">
        <f ca="true">+SUMIF(INDIRECT("'"&amp;$C$3&amp;"'!$4:$4"),AV$7,INDIRECT("'"&amp;$C$3&amp;"'!$18:$18"))</f>
        <v>-8831.81</v>
      </c>
      <c r="AW18" s="81">
        <f ca="true">+SUMIF(INDIRECT("'"&amp;$C$3&amp;"'!$4:$4"),AW$7,INDIRECT("'"&amp;$C$3&amp;"'!$18:$18"))</f>
        <v>64437.91</v>
      </c>
      <c r="AX18" s="81">
        <f ca="true">+SUMIF(INDIRECT("'"&amp;$C$3&amp;"'!$4:$4"),AX$7,INDIRECT("'"&amp;$C$3&amp;"'!$18:$18"))</f>
        <v>24077.4</v>
      </c>
      <c r="AY18" s="81">
        <f ca="true">+SUMIF(INDIRECT("'"&amp;$C$3&amp;"'!$4:$4"),AY$7,INDIRECT("'"&amp;$C$3&amp;"'!$18:$18"))</f>
        <v>0</v>
      </c>
      <c r="AZ18" s="81">
        <f ca="true">+SUMIF(INDIRECT("'"&amp;$C$3&amp;"'!$4:$4"),AZ$7,INDIRECT("'"&amp;$C$3&amp;"'!$18:$18"))</f>
        <v>0</v>
      </c>
      <c r="BA18" s="81">
        <f ca="true">+SUMIF(INDIRECT("'"&amp;$C$3&amp;"'!$4:$4"),BA$7,INDIRECT("'"&amp;$C$3&amp;"'!$18:$18"))</f>
        <v>0</v>
      </c>
      <c r="BB18" s="81">
        <f ca="true">+SUMIF(INDIRECT("'"&amp;$C$3&amp;"'!$4:$4"),BB$7,INDIRECT("'"&amp;$C$3&amp;"'!$18:$18"))</f>
        <v>27210.98</v>
      </c>
      <c r="BC18" s="81">
        <f ca="true">+SUMIF(INDIRECT("'"&amp;$C$3&amp;"'!$4:$4"),BC$7,INDIRECT("'"&amp;$C$3&amp;"'!$18:$18"))</f>
        <v>11022.42</v>
      </c>
      <c r="BD18" s="81">
        <f ca="true">+SUMIF(INDIRECT("'"&amp;$C$3&amp;"'!$4:$4"),BD$7,INDIRECT("'"&amp;$C$3&amp;"'!$18:$18"))</f>
        <v>0</v>
      </c>
      <c r="BE18" s="81">
        <f ca="true">+SUMIF(INDIRECT("'"&amp;$C$3&amp;"'!$4:$4"),BE$7,INDIRECT("'"&amp;$C$3&amp;"'!$18:$18"))</f>
        <v>42962.55</v>
      </c>
      <c r="BF18" s="81">
        <f ca="true">+SUMIF(INDIRECT("'"&amp;$C$3&amp;"'!$4:$4"),BF$7,INDIRECT("'"&amp;$C$3&amp;"'!$18:$18"))</f>
        <v>26673.78</v>
      </c>
      <c r="BG18" s="81">
        <f ca="true">+SUMIF(INDIRECT("'"&amp;$C$3&amp;"'!$4:$4"),BG$7,INDIRECT("'"&amp;$C$3&amp;"'!$18:$18"))</f>
        <v>26749.8</v>
      </c>
      <c r="BH18" s="81">
        <f ca="true">+SUMIF(INDIRECT("'"&amp;$C$3&amp;"'!$4:$4"),BH$7,INDIRECT("'"&amp;$C$3&amp;"'!$18:$18"))</f>
        <v>0</v>
      </c>
      <c r="BI18" s="81">
        <f ca="true">+SUMIF(INDIRECT("'"&amp;$C$3&amp;"'!$4:$4"),BI$7,INDIRECT("'"&amp;$C$3&amp;"'!$18:$18"))</f>
        <v>53292.1</v>
      </c>
      <c r="BJ18" s="81">
        <f ca="true">+SUMIF(INDIRECT("'"&amp;$C$3&amp;"'!$4:$4"),BJ$7,INDIRECT("'"&amp;$C$3&amp;"'!$18:$18"))</f>
        <v>25830.42</v>
      </c>
      <c r="BK18" s="81">
        <f ca="true">+SUMIF(INDIRECT("'"&amp;$C$3&amp;"'!$4:$4"),BK$7,INDIRECT("'"&amp;$C$3&amp;"'!$18:$18"))</f>
        <v>25118.42</v>
      </c>
      <c r="BL18" s="81">
        <f ca="true">+SUMIF(INDIRECT("'"&amp;$C$3&amp;"'!$4:$4"),BL$7,INDIRECT("'"&amp;$C$3&amp;"'!$18:$18"))</f>
        <v>0</v>
      </c>
      <c r="BM18" s="81">
        <f ca="true">+SUMIF(INDIRECT("'"&amp;$C$3&amp;"'!$4:$4"),BM$7,INDIRECT("'"&amp;$C$3&amp;"'!$18:$18"))</f>
        <v>2988.72</v>
      </c>
      <c r="BN18" s="81">
        <f ca="true">+SUMIF(INDIRECT("'"&amp;$C$3&amp;"'!$4:$4"),BN$7,INDIRECT("'"&amp;$C$3&amp;"'!$18:$18"))</f>
        <v>46269.16</v>
      </c>
      <c r="BO18" s="81">
        <f ca="true">+SUMIF(INDIRECT("'"&amp;$C$3&amp;"'!$4:$4"),BO$7,INDIRECT("'"&amp;$C$3&amp;"'!$18:$18"))</f>
        <v>37847.07</v>
      </c>
      <c r="BP18" s="81">
        <f ca="true">+SUMIF(INDIRECT("'"&amp;$C$3&amp;"'!$4:$4"),BP$7,INDIRECT("'"&amp;$C$3&amp;"'!$18:$18"))</f>
        <v>19744.08</v>
      </c>
      <c r="BQ18" s="81">
        <f ca="true">+SUMIF(INDIRECT("'"&amp;$C$3&amp;"'!$4:$4"),BQ$7,INDIRECT("'"&amp;$C$3&amp;"'!$18:$18"))</f>
        <v>0</v>
      </c>
      <c r="BR18" s="81">
        <f ca="true">+SUMIF(INDIRECT("'"&amp;$C$3&amp;"'!$4:$4"),BR$7,INDIRECT("'"&amp;$C$3&amp;"'!$18:$18"))</f>
        <v>33217.9</v>
      </c>
      <c r="BS18" s="81">
        <f ca="true">+SUMIF(INDIRECT("'"&amp;$C$3&amp;"'!$4:$4"),BS$7,INDIRECT("'"&amp;$C$3&amp;"'!$18:$18"))</f>
        <v>38104.93</v>
      </c>
      <c r="BT18" s="81">
        <f ca="true">+SUMIF(INDIRECT("'"&amp;$C$3&amp;"'!$4:$4"),BT$7,INDIRECT("'"&amp;$C$3&amp;"'!$18:$18"))</f>
        <v>-81100.76</v>
      </c>
      <c r="BU18" s="81">
        <f ca="true">+SUMIF(INDIRECT("'"&amp;$C$3&amp;"'!$4:$4"),BU$7,INDIRECT("'"&amp;$C$3&amp;"'!$18:$18"))</f>
        <v>0</v>
      </c>
      <c r="BV18" s="81">
        <f ca="true">+SUMIF(INDIRECT("'"&amp;$C$3&amp;"'!$4:$4"),BV$7,INDIRECT("'"&amp;$C$3&amp;"'!$18:$18"))</f>
        <v>0</v>
      </c>
      <c r="BW18" s="81">
        <f ca="true">+SUMIF(INDIRECT("'"&amp;$C$3&amp;"'!$4:$4"),BW$7,INDIRECT("'"&amp;$C$3&amp;"'!$18:$18"))</f>
        <v>0</v>
      </c>
      <c r="BX18" s="81">
        <f ca="true">+SUMIF(INDIRECT("'"&amp;$C$3&amp;"'!$4:$4"),BX$7,INDIRECT("'"&amp;$C$3&amp;"'!$18:$18"))</f>
        <v>195800.22</v>
      </c>
      <c r="BY18" s="81">
        <f ca="true">+SUMIF(INDIRECT("'"&amp;$C$3&amp;"'!$4:$4"),BY$7,INDIRECT("'"&amp;$C$3&amp;"'!$18:$18"))</f>
        <v>32948.72</v>
      </c>
      <c r="BZ18" s="81">
        <f ca="true">+SUMIF(INDIRECT("'"&amp;$C$3&amp;"'!$4:$4"),BZ$7,INDIRECT("'"&amp;$C$3&amp;"'!$18:$18"))</f>
        <v>0</v>
      </c>
      <c r="CA18" s="81">
        <f ca="true">+SUMIF(INDIRECT("'"&amp;$C$3&amp;"'!$4:$4"),CA$7,INDIRECT("'"&amp;$C$3&amp;"'!$18:$18"))</f>
        <v>35519.46</v>
      </c>
      <c r="CB18" s="81">
        <f ca="true">+SUMIF(INDIRECT("'"&amp;$C$3&amp;"'!$4:$4"),CB$7,INDIRECT("'"&amp;$C$3&amp;"'!$18:$18"))</f>
        <v>0</v>
      </c>
      <c r="CC18" s="81">
        <f ca="true">+SUMIF(INDIRECT("'"&amp;$C$3&amp;"'!$4:$4"),CC$7,INDIRECT("'"&amp;$C$3&amp;"'!$18:$18"))</f>
        <v>569481.13</v>
      </c>
      <c r="CD18" s="81">
        <f ca="true">+SUMIF(INDIRECT("'"&amp;$C$3&amp;"'!$4:$4"),CD$7,INDIRECT("'"&amp;$C$3&amp;"'!$18:$18"))</f>
        <v>32734.6</v>
      </c>
      <c r="CE18" s="81">
        <f ca="true">+SUMIF(INDIRECT("'"&amp;$C$3&amp;"'!$4:$4"),CE$7,INDIRECT("'"&amp;$C$3&amp;"'!$18:$18"))</f>
        <v>-45621.68</v>
      </c>
      <c r="CF18" s="81">
        <f ca="true">+SUMIF(INDIRECT("'"&amp;$C$3&amp;"'!$4:$4"),CF$7,INDIRECT("'"&amp;$C$3&amp;"'!$18:$18"))</f>
        <v>-46115.09</v>
      </c>
      <c r="CG18" s="81">
        <f ca="true">+SUMIF(INDIRECT("'"&amp;$C$3&amp;"'!$4:$4"),CG$7,INDIRECT("'"&amp;$C$3&amp;"'!$18:$18"))</f>
        <v>-16198.03</v>
      </c>
      <c r="CH18" s="81">
        <f ca="true">+SUMIF(INDIRECT("'"&amp;$C$3&amp;"'!$4:$4"),CH$7,INDIRECT("'"&amp;$C$3&amp;"'!$18:$18"))</f>
        <v>48708.51</v>
      </c>
      <c r="CI18" s="81">
        <f ca="true">+SUMIF(INDIRECT("'"&amp;$C$3&amp;"'!$4:$4"),CI$7,INDIRECT("'"&amp;$C$3&amp;"'!$18:$18"))</f>
        <v>0</v>
      </c>
      <c r="CJ18" s="81">
        <f ca="true">+SUMIF(INDIRECT("'"&amp;$C$3&amp;"'!$4:$4"),CJ$7,INDIRECT("'"&amp;$C$3&amp;"'!$18:$18"))</f>
        <v>-10704.71</v>
      </c>
      <c r="CK18" s="81">
        <f ca="true">+SUMIF(INDIRECT("'"&amp;$C$3&amp;"'!$4:$4"),CK$7,INDIRECT("'"&amp;$C$3&amp;"'!$18:$18"))</f>
        <v>10251.45</v>
      </c>
      <c r="CL18" s="81">
        <f ca="true">+SUMIF(INDIRECT("'"&amp;$C$3&amp;"'!$4:$4"),CL$7,INDIRECT("'"&amp;$C$3&amp;"'!$18:$18"))</f>
        <v>11963.92</v>
      </c>
      <c r="CM18" s="81">
        <f ca="true">+SUMIF(INDIRECT("'"&amp;$C$3&amp;"'!$4:$4"),CM$7,INDIRECT("'"&amp;$C$3&amp;"'!$18:$18"))</f>
        <v>44063.49</v>
      </c>
      <c r="CN18" s="81">
        <f ca="true">+SUMIF(INDIRECT("'"&amp;$C$3&amp;"'!$4:$4"),CN$7,INDIRECT("'"&amp;$C$3&amp;"'!$18:$18"))</f>
        <v>-15651.53</v>
      </c>
      <c r="CO18" s="81">
        <f ca="true">+SUMIF(INDIRECT("'"&amp;$C$3&amp;"'!$4:$4"),CO$7,INDIRECT("'"&amp;$C$3&amp;"'!$18:$18"))</f>
        <v>32372.41</v>
      </c>
      <c r="CP18" s="81">
        <f ca="true">+SUMIF(INDIRECT("'"&amp;$C$3&amp;"'!$4:$4"),CP$7,INDIRECT("'"&amp;$C$3&amp;"'!$18:$18"))</f>
        <v>-62184.96</v>
      </c>
      <c r="CQ18" s="81">
        <f ca="true">+SUMIF(INDIRECT("'"&amp;$C$3&amp;"'!$4:$4"),CQ$7,INDIRECT("'"&amp;$C$3&amp;"'!$18:$18"))</f>
        <v>16539.07</v>
      </c>
      <c r="CR18" s="81">
        <f ca="true">+SUMIF(INDIRECT("'"&amp;$C$3&amp;"'!$4:$4"),CR$7,INDIRECT("'"&amp;$C$3&amp;"'!$18:$18"))</f>
        <v>-14080.71</v>
      </c>
      <c r="CS18" s="81"/>
      <c r="CT18" s="81">
        <f ca="true">SUM(AO18:CS18)</f>
        <v>1202362.61</v>
      </c>
      <c r="CU18" s="81">
        <f ca="true">SUM(AI18:CS18)</f>
        <v>1172211.34</v>
      </c>
      <c r="CV18" s="81">
        <f ca="true">SUM(CW18:CX18,CZ18)</f>
        <v>0</v>
      </c>
      <c r="CW18" s="81">
        <f ca="true">+SUMIF(INDIRECT("'"&amp;$C$3&amp;"'!$4:$4"),CW$7,INDIRECT("'"&amp;$C$3&amp;"'!$18:$18"))</f>
        <v>0</v>
      </c>
      <c r="CX18" s="81">
        <f ca="true">+SUMIF(INDIRECT("'"&amp;$C$3&amp;"'!$4:$4"),CX$7,INDIRECT("'"&amp;$C$3&amp;"'!$18:$18"))</f>
        <v>0</v>
      </c>
      <c r="CY18" s="81">
        <f ca="true">+SUM(CW18:CX18)</f>
        <v>0</v>
      </c>
      <c r="CZ18" s="81">
        <f ca="true">+SUMIF(INDIRECT("'"&amp;$C$3&amp;"'!$4:$4"),CZ$7,INDIRECT("'"&amp;$C$3&amp;"'!$18:$18"))</f>
        <v>0</v>
      </c>
      <c r="DB18" s="33"/>
      <c r="DC18" s="81">
        <f ca="true">+SUMIF(INDIRECT("'"&amp;$C$3&amp;"'!$4:$4"),DC$7,INDIRECT("'"&amp;$C$3&amp;"'!$18:$18"))</f>
        <v>0</v>
      </c>
      <c r="DD18" s="81">
        <f ca="true">+SUMIF(INDIRECT("'"&amp;$C$3&amp;"'!$4:$4"),DD$7,INDIRECT("'"&amp;$C$3&amp;"'!$18:$18"))</f>
        <v>0</v>
      </c>
      <c r="DE18" s="81">
        <f ca="true">+SUMIF(INDIRECT("'"&amp;$C$3&amp;"'!$4:$4"),DE$7,INDIRECT("'"&amp;$C$3&amp;"'!$18:$18"))</f>
        <v>119093.79</v>
      </c>
    </row>
    <row r="19" spans="1:109">
      <c r="A19" s="73"/>
      <c r="B19" s="86" t="s">
        <v>31466</v>
      </c>
      <c r="C19" s="80">
        <f ca="true">SUM(D19,CV19)</f>
        <v>-3209673.87</v>
      </c>
      <c r="D19" s="81">
        <f ca="true">SUM(E19:I19,K19:L19,N19:S19,U19:V19,X19:Y19,AA19:BA19)</f>
        <v>-3213442.11</v>
      </c>
      <c r="E19" s="93">
        <f ca="true">+SUMIF(INDIRECT("'"&amp;$C$3&amp;"'!$4:$4"),E$7,INDIRECT("'"&amp;$C$3&amp;"'!$11:$11"))-SUMIF(INDIRECT("'"&amp;$C$3&amp;"'!$4:$4"),E$7,INDIRECT("'"&amp;$C$3&amp;"'!$19:$19"))</f>
        <v>102443.39</v>
      </c>
      <c r="F19" s="93">
        <f ca="true">+SUMIF(INDIRECT("'"&amp;$C$3&amp;"'!$4:$4"),F$7,INDIRECT("'"&amp;$C$3&amp;"'!$11:$11"))-SUMIF(INDIRECT("'"&amp;$C$3&amp;"'!$4:$4"),F$7,INDIRECT("'"&amp;$C$3&amp;"'!$19:$19"))</f>
        <v>0</v>
      </c>
      <c r="G19" s="93">
        <f ca="true">+SUMIF(INDIRECT("'"&amp;$C$3&amp;"'!$4:$4"),G$7,INDIRECT("'"&amp;$C$3&amp;"'!$11:$11"))-SUMIF(INDIRECT("'"&amp;$C$3&amp;"'!$4:$4"),G$7,INDIRECT("'"&amp;$C$3&amp;"'!$19:$19"))</f>
        <v>0</v>
      </c>
      <c r="H19" s="93">
        <f ca="true">+SUMIF(INDIRECT("'"&amp;$C$3&amp;"'!$4:$4"),H$7,INDIRECT("'"&amp;$C$3&amp;"'!$11:$11"))-SUMIF(INDIRECT("'"&amp;$C$3&amp;"'!$4:$4"),H$7,INDIRECT("'"&amp;$C$3&amp;"'!$19:$19"))</f>
        <v>0</v>
      </c>
      <c r="I19" s="93">
        <f ca="true">+SUMIF(INDIRECT("'"&amp;$C$3&amp;"'!$4:$4"),I$7,INDIRECT("'"&amp;$C$3&amp;"'!$11:$11"))-SUMIF(INDIRECT("'"&amp;$C$3&amp;"'!$4:$4"),I$7,INDIRECT("'"&amp;$C$3&amp;"'!$19:$19"))</f>
        <v>50.33</v>
      </c>
      <c r="J19" s="81">
        <f ca="true">SUM(E19:I19)</f>
        <v>102493.72</v>
      </c>
      <c r="K19" s="81">
        <f ca="true">+SUMIF(INDIRECT("'"&amp;$C$3&amp;"'!$4:$4"),K$7,INDIRECT("'"&amp;$C$3&amp;"'!$11:$11"))-SUMIF(INDIRECT("'"&amp;$C$3&amp;"'!$4:$4"),K$7,INDIRECT("'"&amp;$C$3&amp;"'!$19:$19"))</f>
        <v>3392.44</v>
      </c>
      <c r="L19" s="81">
        <f ca="true">+SUMIF(INDIRECT("'"&amp;$C$3&amp;"'!$4:$4"),L$7,INDIRECT("'"&amp;$C$3&amp;"'!$11:$11"))-SUMIF(INDIRECT("'"&amp;$C$3&amp;"'!$4:$4"),L$7,INDIRECT("'"&amp;$C$3&amp;"'!$19:$19"))</f>
        <v>3306.58</v>
      </c>
      <c r="M19" s="81">
        <f ca="true">+SUM(K19:L19)</f>
        <v>6699.02</v>
      </c>
      <c r="N19" s="81">
        <f ca="true">+SUMIF(INDIRECT("'"&amp;$C$3&amp;"'!$4:$4"),N$7,INDIRECT("'"&amp;$C$3&amp;"'!$11:$11"))-SUMIF(INDIRECT("'"&amp;$C$3&amp;"'!$4:$4"),N$7,INDIRECT("'"&amp;$C$3&amp;"'!$19:$19"))</f>
        <v>1000</v>
      </c>
      <c r="O19" s="81">
        <f ca="true">+SUMIF(INDIRECT("'"&amp;$C$3&amp;"'!$4:$4"),O$7,INDIRECT("'"&amp;$C$3&amp;"'!$11:$11"))-SUMIF(INDIRECT("'"&amp;$C$3&amp;"'!$4:$4"),O$7,INDIRECT("'"&amp;$C$3&amp;"'!$19:$19"))</f>
        <v>1000</v>
      </c>
      <c r="P19" s="81">
        <f ca="true">+SUMIF(INDIRECT("'"&amp;$C$3&amp;"'!$4:$4"),P$7,INDIRECT("'"&amp;$C$3&amp;"'!$11:$11"))-SUMIF(INDIRECT("'"&amp;$C$3&amp;"'!$4:$4"),P$7,INDIRECT("'"&amp;$C$3&amp;"'!$19:$19"))</f>
        <v>1000</v>
      </c>
      <c r="Q19" s="81">
        <f ca="true">+SUMIF(INDIRECT("'"&amp;$C$3&amp;"'!$4:$4"),Q$7,INDIRECT("'"&amp;$C$3&amp;"'!$11:$11"))-SUMIF(INDIRECT("'"&amp;$C$3&amp;"'!$4:$4"),Q$7,INDIRECT("'"&amp;$C$3&amp;"'!$19:$19"))</f>
        <v>1000</v>
      </c>
      <c r="R19" s="81">
        <f ca="true">+SUMIF(INDIRECT("'"&amp;$C$3&amp;"'!$4:$4"),R$7,INDIRECT("'"&amp;$C$3&amp;"'!$11:$11"))-SUMIF(INDIRECT("'"&amp;$C$3&amp;"'!$4:$4"),R$7,INDIRECT("'"&amp;$C$3&amp;"'!$19:$19"))</f>
        <v>0</v>
      </c>
      <c r="S19" s="81">
        <f ca="true">+SUMIF(INDIRECT("'"&amp;$C$3&amp;"'!$4:$4"),S$7,INDIRECT("'"&amp;$C$3&amp;"'!$11:$11"))-SUMIF(INDIRECT("'"&amp;$C$3&amp;"'!$4:$4"),S$7,INDIRECT("'"&amp;$C$3&amp;"'!$19:$19"))</f>
        <v>0</v>
      </c>
      <c r="T19" s="81">
        <f ca="true">SUM(N19:S19)</f>
        <v>4000</v>
      </c>
      <c r="U19" s="81">
        <f ca="true">+SUMIF(INDIRECT("'"&amp;$C$3&amp;"'!$4:$4"),U$7,INDIRECT("'"&amp;$C$3&amp;"'!$11:$11"))-SUMIF(INDIRECT("'"&amp;$C$3&amp;"'!$4:$4"),U$7,INDIRECT("'"&amp;$C$3&amp;"'!$19:$19"))</f>
        <v>0</v>
      </c>
      <c r="V19" s="81">
        <f ca="true">+SUMIF(INDIRECT("'"&amp;$C$3&amp;"'!$4:$4"),V$7,INDIRECT("'"&amp;$C$3&amp;"'!$11:$11"))-SUMIF(INDIRECT("'"&amp;$C$3&amp;"'!$4:$4"),V$7,INDIRECT("'"&amp;$C$3&amp;"'!$19:$19"))</f>
        <v>0</v>
      </c>
      <c r="W19" s="81">
        <f ca="true">SUM(N19:S19,U19:V19)</f>
        <v>4000</v>
      </c>
      <c r="X19" s="81">
        <f ca="true">+SUMIF(INDIRECT("'"&amp;$C$3&amp;"'!$4:$4"),X$7,INDIRECT("'"&amp;$C$3&amp;"'!$11:$11"))-SUMIF(INDIRECT("'"&amp;$C$3&amp;"'!$4:$4"),X$7,INDIRECT("'"&amp;$C$3&amp;"'!$19:$19"))</f>
        <v>3768.24</v>
      </c>
      <c r="Y19" s="81">
        <f ca="true">+SUMIF(INDIRECT("'"&amp;$C$3&amp;"'!$4:$4"),Y$7,INDIRECT("'"&amp;$C$3&amp;"'!$11:$11"))-SUMIF(INDIRECT("'"&amp;$C$3&amp;"'!$4:$4"),Y$7,INDIRECT("'"&amp;$C$3&amp;"'!$19:$19"))</f>
        <v>2763.17</v>
      </c>
      <c r="Z19" s="81">
        <f ca="true">SUM(X19:Y19)</f>
        <v>6531.41</v>
      </c>
      <c r="AA19" s="81">
        <f ca="true">+SUMIF(INDIRECT("'"&amp;$C$3&amp;"'!$4:$4"),AA$7,INDIRECT("'"&amp;$C$3&amp;"'!$11:$11"))-SUMIF(INDIRECT("'"&amp;$C$3&amp;"'!$4:$4"),AA$7,INDIRECT("'"&amp;$C$3&amp;"'!$19:$19"))</f>
        <v>13696.68</v>
      </c>
      <c r="AB19" s="81">
        <f ca="true">+SUMIF(INDIRECT("'"&amp;$C$3&amp;"'!$4:$4"),AB$7,INDIRECT("'"&amp;$C$3&amp;"'!$11:$11"))-SUMIF(INDIRECT("'"&amp;$C$3&amp;"'!$4:$4"),AB$7,INDIRECT("'"&amp;$C$3&amp;"'!$19:$19"))</f>
        <v>44911.7</v>
      </c>
      <c r="AC19" s="81">
        <f ca="true">+SUMIF(INDIRECT("'"&amp;$C$3&amp;"'!$4:$4"),AC$7,INDIRECT("'"&amp;$C$3&amp;"'!$11:$11"))-SUMIF(INDIRECT("'"&amp;$C$3&amp;"'!$4:$4"),AC$7,INDIRECT("'"&amp;$C$3&amp;"'!$19:$19"))</f>
        <v>1410.39</v>
      </c>
      <c r="AD19" s="81">
        <f ca="true">+SUMIF(INDIRECT("'"&amp;$C$3&amp;"'!$4:$4"),AD$7,INDIRECT("'"&amp;$C$3&amp;"'!$11:$11"))-SUMIF(INDIRECT("'"&amp;$C$3&amp;"'!$4:$4"),AD$7,INDIRECT("'"&amp;$C$3&amp;"'!$19:$19"))</f>
        <v>0</v>
      </c>
      <c r="AE19" s="81">
        <f ca="true">+SUMIF(INDIRECT("'"&amp;$C$3&amp;"'!$4:$4"),AE$7,INDIRECT("'"&amp;$C$3&amp;"'!$11:$11"))-SUMIF(INDIRECT("'"&amp;$C$3&amp;"'!$4:$4"),AE$7,INDIRECT("'"&amp;$C$3&amp;"'!$19:$19"))</f>
        <v>-15220.34</v>
      </c>
      <c r="AF19" s="81">
        <f ca="true">+SUMIF(INDIRECT("'"&amp;$C$3&amp;"'!$4:$4"),AF$7,INDIRECT("'"&amp;$C$3&amp;"'!$11:$11"))-SUMIF(INDIRECT("'"&amp;$C$3&amp;"'!$4:$4"),AF$7,INDIRECT("'"&amp;$C$3&amp;"'!$19:$19"))</f>
        <v>0</v>
      </c>
      <c r="AG19" s="81">
        <f ca="true">+SUMIF(INDIRECT("'"&amp;$C$3&amp;"'!$4:$4"),AG$7,INDIRECT("'"&amp;$C$3&amp;"'!$11:$11"))-SUMIF(INDIRECT("'"&amp;$C$3&amp;"'!$4:$4"),AG$7,INDIRECT("'"&amp;$C$3&amp;"'!$19:$19"))</f>
        <v>-2991165.62</v>
      </c>
      <c r="AH19" s="81">
        <f ca="true">+SUMIF(INDIRECT("'"&amp;$C$3&amp;"'!$4:$4"),AH$7,INDIRECT("'"&amp;$C$3&amp;"'!$11:$11"))-SUMIF(INDIRECT("'"&amp;$C$3&amp;"'!$4:$4"),AH$7,INDIRECT("'"&amp;$C$3&amp;"'!$19:$19"))</f>
        <v>-210000</v>
      </c>
      <c r="AI19" s="81">
        <f ca="true">+SUMIF(INDIRECT("'"&amp;$C$3&amp;"'!$4:$4"),AI$7,INDIRECT("'"&amp;$C$3&amp;"'!$11:$11"))-SUMIF(INDIRECT("'"&amp;$C$3&amp;"'!$4:$4"),AI$7,INDIRECT("'"&amp;$C$3&amp;"'!$19:$19"))</f>
        <v>642.07</v>
      </c>
      <c r="AJ19" s="81">
        <f ca="true">+SUMIF(INDIRECT("'"&amp;$C$3&amp;"'!$4:$4"),AJ$7,INDIRECT("'"&amp;$C$3&amp;"'!$11:$11"))-SUMIF(INDIRECT("'"&amp;$C$3&amp;"'!$4:$4"),AJ$7,INDIRECT("'"&amp;$C$3&amp;"'!$19:$19"))</f>
        <v>662.190000000001</v>
      </c>
      <c r="AK19" s="81">
        <f ca="true">+SUMIF(INDIRECT("'"&amp;$C$3&amp;"'!$4:$4"),AK$7,INDIRECT("'"&amp;$C$3&amp;"'!$11:$11"))-SUMIF(INDIRECT("'"&amp;$C$3&amp;"'!$4:$4"),AK$7,INDIRECT("'"&amp;$C$3&amp;"'!$19:$19"))</f>
        <v>-1081.56</v>
      </c>
      <c r="AL19" s="81">
        <f ca="true">+SUMIF(INDIRECT("'"&amp;$C$3&amp;"'!$4:$4"),AL$7,INDIRECT("'"&amp;$C$3&amp;"'!$11:$11"))-SUMIF(INDIRECT("'"&amp;$C$3&amp;"'!$4:$4"),AL$7,INDIRECT("'"&amp;$C$3&amp;"'!$19:$19"))</f>
        <v>8877.92</v>
      </c>
      <c r="AM19" s="81">
        <f ca="true">+SUMIF(INDIRECT("'"&amp;$C$3&amp;"'!$4:$4"),AM$7,INDIRECT("'"&amp;$C$3&amp;"'!$11:$11"))-SUMIF(INDIRECT("'"&amp;$C$3&amp;"'!$4:$4"),AM$7,INDIRECT("'"&amp;$C$3&amp;"'!$19:$19"))</f>
        <v>-12674.24</v>
      </c>
      <c r="AN19" s="81">
        <f ca="true">+SUMIF(INDIRECT("'"&amp;$C$3&amp;"'!$4:$4"),AN$7,INDIRECT("'"&amp;$C$3&amp;"'!$11:$11"))-SUMIF(INDIRECT("'"&amp;$C$3&amp;"'!$4:$4"),AN$7,INDIRECT("'"&amp;$C$3&amp;"'!$19:$19"))</f>
        <v>-70543.29</v>
      </c>
      <c r="AO19" s="81">
        <f ca="true">+SUMIF(INDIRECT("'"&amp;$C$3&amp;"'!$4:$4"),AO$7,INDIRECT("'"&amp;$C$3&amp;"'!$11:$11"))-SUMIF(INDIRECT("'"&amp;$C$3&amp;"'!$4:$4"),AO$7,INDIRECT("'"&amp;$C$3&amp;"'!$19:$19"))</f>
        <v>28649.98</v>
      </c>
      <c r="AP19" s="81">
        <f ca="true">+SUMIF(INDIRECT("'"&amp;$C$3&amp;"'!$4:$4"),AP$7,INDIRECT("'"&amp;$C$3&amp;"'!$11:$11"))-SUMIF(INDIRECT("'"&amp;$C$3&amp;"'!$4:$4"),AP$7,INDIRECT("'"&amp;$C$3&amp;"'!$19:$19"))</f>
        <v>-153210.69</v>
      </c>
      <c r="AQ19" s="81">
        <f ca="true">+SUMIF(INDIRECT("'"&amp;$C$3&amp;"'!$4:$4"),AQ$7,INDIRECT("'"&amp;$C$3&amp;"'!$11:$11"))-SUMIF(INDIRECT("'"&amp;$C$3&amp;"'!$4:$4"),AQ$7,INDIRECT("'"&amp;$C$3&amp;"'!$19:$19"))</f>
        <v>26111.51</v>
      </c>
      <c r="AR19" s="81">
        <f ca="true">+SUMIF(INDIRECT("'"&amp;$C$3&amp;"'!$4:$4"),AR$7,INDIRECT("'"&amp;$C$3&amp;"'!$11:$11"))-SUMIF(INDIRECT("'"&amp;$C$3&amp;"'!$4:$4"),AR$7,INDIRECT("'"&amp;$C$3&amp;"'!$19:$19"))</f>
        <v>0</v>
      </c>
      <c r="AS19" s="81">
        <f ca="true">+SUMIF(INDIRECT("'"&amp;$C$3&amp;"'!$4:$4"),AS$7,INDIRECT("'"&amp;$C$3&amp;"'!$11:$11"))-SUMIF(INDIRECT("'"&amp;$C$3&amp;"'!$4:$4"),AS$7,INDIRECT("'"&amp;$C$3&amp;"'!$19:$19"))</f>
        <v>-37144.74</v>
      </c>
      <c r="AT19" s="81">
        <f ca="true">+SUMIF(INDIRECT("'"&amp;$C$3&amp;"'!$4:$4"),AT$7,INDIRECT("'"&amp;$C$3&amp;"'!$11:$11"))-SUMIF(INDIRECT("'"&amp;$C$3&amp;"'!$4:$4"),AT$7,INDIRECT("'"&amp;$C$3&amp;"'!$19:$19"))</f>
        <v>0</v>
      </c>
      <c r="AU19" s="81">
        <f ca="true">+SUMIF(INDIRECT("'"&amp;$C$3&amp;"'!$4:$4"),AU$7,INDIRECT("'"&amp;$C$3&amp;"'!$11:$11"))-SUMIF(INDIRECT("'"&amp;$C$3&amp;"'!$4:$4"),AU$7,INDIRECT("'"&amp;$C$3&amp;"'!$19:$19"))</f>
        <v>-13004.74</v>
      </c>
      <c r="AV19" s="81">
        <f ca="true">+SUMIF(INDIRECT("'"&amp;$C$3&amp;"'!$4:$4"),AV$7,INDIRECT("'"&amp;$C$3&amp;"'!$11:$11"))-SUMIF(INDIRECT("'"&amp;$C$3&amp;"'!$4:$4"),AV$7,INDIRECT("'"&amp;$C$3&amp;"'!$19:$19"))</f>
        <v>5580.74</v>
      </c>
      <c r="AW19" s="81">
        <f ca="true">+SUMIF(INDIRECT("'"&amp;$C$3&amp;"'!$4:$4"),AW$7,INDIRECT("'"&amp;$C$3&amp;"'!$11:$11"))-SUMIF(INDIRECT("'"&amp;$C$3&amp;"'!$4:$4"),AW$7,INDIRECT("'"&amp;$C$3&amp;"'!$19:$19"))</f>
        <v>43188</v>
      </c>
      <c r="AX19" s="81">
        <f ca="true">+SUMIF(INDIRECT("'"&amp;$C$3&amp;"'!$4:$4"),AX$7,INDIRECT("'"&amp;$C$3&amp;"'!$11:$11"))-SUMIF(INDIRECT("'"&amp;$C$3&amp;"'!$4:$4"),AX$7,INDIRECT("'"&amp;$C$3&amp;"'!$19:$19"))</f>
        <v>-2852.22</v>
      </c>
      <c r="AY19" s="81">
        <f ca="true">+SUMIF(INDIRECT("'"&amp;$C$3&amp;"'!$4:$4"),AY$7,INDIRECT("'"&amp;$C$3&amp;"'!$11:$11"))-SUMIF(INDIRECT("'"&amp;$C$3&amp;"'!$4:$4"),AY$7,INDIRECT("'"&amp;$C$3&amp;"'!$19:$19"))</f>
        <v>0</v>
      </c>
      <c r="AZ19" s="81">
        <f ca="true">+SUMIF(INDIRECT("'"&amp;$C$3&amp;"'!$4:$4"),AZ$7,INDIRECT("'"&amp;$C$3&amp;"'!$11:$11"))-SUMIF(INDIRECT("'"&amp;$C$3&amp;"'!$4:$4"),AZ$7,INDIRECT("'"&amp;$C$3&amp;"'!$19:$19"))</f>
        <v>0</v>
      </c>
      <c r="BA19" s="81">
        <f ca="true">+SUMIF(INDIRECT("'"&amp;$C$3&amp;"'!$4:$4"),BA$7,INDIRECT("'"&amp;$C$3&amp;"'!$11:$11"))-SUMIF(INDIRECT("'"&amp;$C$3&amp;"'!$4:$4"),BA$7,INDIRECT("'"&amp;$C$3&amp;"'!$19:$19"))</f>
        <v>0</v>
      </c>
      <c r="BB19" s="81">
        <f ca="true">+SUMIF(INDIRECT("'"&amp;$C$3&amp;"'!$4:$4"),BB$7,INDIRECT("'"&amp;$C$3&amp;"'!$11:$11"))-SUMIF(INDIRECT("'"&amp;$C$3&amp;"'!$4:$4"),BB$7,INDIRECT("'"&amp;$C$3&amp;"'!$19:$19"))</f>
        <v>2314.96</v>
      </c>
      <c r="BC19" s="81">
        <f ca="true">+SUMIF(INDIRECT("'"&amp;$C$3&amp;"'!$4:$4"),BC$7,INDIRECT("'"&amp;$C$3&amp;"'!$11:$11"))-SUMIF(INDIRECT("'"&amp;$C$3&amp;"'!$4:$4"),BC$7,INDIRECT("'"&amp;$C$3&amp;"'!$19:$19"))</f>
        <v>-3697.6</v>
      </c>
      <c r="BD19" s="81">
        <f ca="true">+SUMIF(INDIRECT("'"&amp;$C$3&amp;"'!$4:$4"),BD$7,INDIRECT("'"&amp;$C$3&amp;"'!$11:$11"))-SUMIF(INDIRECT("'"&amp;$C$3&amp;"'!$4:$4"),BD$7,INDIRECT("'"&amp;$C$3&amp;"'!$19:$19"))</f>
        <v>0</v>
      </c>
      <c r="BE19" s="81">
        <f ca="true">+SUMIF(INDIRECT("'"&amp;$C$3&amp;"'!$4:$4"),BE$7,INDIRECT("'"&amp;$C$3&amp;"'!$11:$11"))-SUMIF(INDIRECT("'"&amp;$C$3&amp;"'!$4:$4"),BE$7,INDIRECT("'"&amp;$C$3&amp;"'!$19:$19"))</f>
        <v>-9635.49</v>
      </c>
      <c r="BF19" s="81">
        <f ca="true">+SUMIF(INDIRECT("'"&amp;$C$3&amp;"'!$4:$4"),BF$7,INDIRECT("'"&amp;$C$3&amp;"'!$11:$11"))-SUMIF(INDIRECT("'"&amp;$C$3&amp;"'!$4:$4"),BF$7,INDIRECT("'"&amp;$C$3&amp;"'!$19:$19"))</f>
        <v>-1037.06</v>
      </c>
      <c r="BG19" s="81">
        <f ca="true">+SUMIF(INDIRECT("'"&amp;$C$3&amp;"'!$4:$4"),BG$7,INDIRECT("'"&amp;$C$3&amp;"'!$11:$11"))-SUMIF(INDIRECT("'"&amp;$C$3&amp;"'!$4:$4"),BG$7,INDIRECT("'"&amp;$C$3&amp;"'!$19:$19"))</f>
        <v>12497.93</v>
      </c>
      <c r="BH19" s="81">
        <f ca="true">+SUMIF(INDIRECT("'"&amp;$C$3&amp;"'!$4:$4"),BH$7,INDIRECT("'"&amp;$C$3&amp;"'!$11:$11"))-SUMIF(INDIRECT("'"&amp;$C$3&amp;"'!$4:$4"),BH$7,INDIRECT("'"&amp;$C$3&amp;"'!$19:$19"))</f>
        <v>0</v>
      </c>
      <c r="BI19" s="81">
        <f ca="true">+SUMIF(INDIRECT("'"&amp;$C$3&amp;"'!$4:$4"),BI$7,INDIRECT("'"&amp;$C$3&amp;"'!$11:$11"))-SUMIF(INDIRECT("'"&amp;$C$3&amp;"'!$4:$4"),BI$7,INDIRECT("'"&amp;$C$3&amp;"'!$19:$19"))</f>
        <v>-394.13</v>
      </c>
      <c r="BJ19" s="81">
        <f ca="true">+SUMIF(INDIRECT("'"&amp;$C$3&amp;"'!$4:$4"),BJ$7,INDIRECT("'"&amp;$C$3&amp;"'!$11:$11"))-SUMIF(INDIRECT("'"&amp;$C$3&amp;"'!$4:$4"),BJ$7,INDIRECT("'"&amp;$C$3&amp;"'!$19:$19"))</f>
        <v>-5842.55</v>
      </c>
      <c r="BK19" s="81">
        <f ca="true">+SUMIF(INDIRECT("'"&amp;$C$3&amp;"'!$4:$4"),BK$7,INDIRECT("'"&amp;$C$3&amp;"'!$11:$11"))-SUMIF(INDIRECT("'"&amp;$C$3&amp;"'!$4:$4"),BK$7,INDIRECT("'"&amp;$C$3&amp;"'!$19:$19"))</f>
        <v>-4600.32</v>
      </c>
      <c r="BL19" s="81">
        <f ca="true">+SUMIF(INDIRECT("'"&amp;$C$3&amp;"'!$4:$4"),BL$7,INDIRECT("'"&amp;$C$3&amp;"'!$11:$11"))-SUMIF(INDIRECT("'"&amp;$C$3&amp;"'!$4:$4"),BL$7,INDIRECT("'"&amp;$C$3&amp;"'!$19:$19"))</f>
        <v>0</v>
      </c>
      <c r="BM19" s="81">
        <f ca="true">+SUMIF(INDIRECT("'"&amp;$C$3&amp;"'!$4:$4"),BM$7,INDIRECT("'"&amp;$C$3&amp;"'!$11:$11"))-SUMIF(INDIRECT("'"&amp;$C$3&amp;"'!$4:$4"),BM$7,INDIRECT("'"&amp;$C$3&amp;"'!$19:$19"))</f>
        <v>49.8899999999994</v>
      </c>
      <c r="BN19" s="81">
        <f ca="true">+SUMIF(INDIRECT("'"&amp;$C$3&amp;"'!$4:$4"),BN$7,INDIRECT("'"&amp;$C$3&amp;"'!$11:$11"))-SUMIF(INDIRECT("'"&amp;$C$3&amp;"'!$4:$4"),BN$7,INDIRECT("'"&amp;$C$3&amp;"'!$19:$19"))</f>
        <v>1692.88</v>
      </c>
      <c r="BO19" s="81">
        <f ca="true">+SUMIF(INDIRECT("'"&amp;$C$3&amp;"'!$4:$4"),BO$7,INDIRECT("'"&amp;$C$3&amp;"'!$11:$11"))-SUMIF(INDIRECT("'"&amp;$C$3&amp;"'!$4:$4"),BO$7,INDIRECT("'"&amp;$C$3&amp;"'!$19:$19"))</f>
        <v>2713.84</v>
      </c>
      <c r="BP19" s="81">
        <f ca="true">+SUMIF(INDIRECT("'"&amp;$C$3&amp;"'!$4:$4"),BP$7,INDIRECT("'"&amp;$C$3&amp;"'!$11:$11"))-SUMIF(INDIRECT("'"&amp;$C$3&amp;"'!$4:$4"),BP$7,INDIRECT("'"&amp;$C$3&amp;"'!$19:$19"))</f>
        <v>-590.08</v>
      </c>
      <c r="BQ19" s="81">
        <f ca="true">+SUMIF(INDIRECT("'"&amp;$C$3&amp;"'!$4:$4"),BQ$7,INDIRECT("'"&amp;$C$3&amp;"'!$11:$11"))-SUMIF(INDIRECT("'"&amp;$C$3&amp;"'!$4:$4"),BQ$7,INDIRECT("'"&amp;$C$3&amp;"'!$19:$19"))</f>
        <v>0</v>
      </c>
      <c r="BR19" s="81">
        <f ca="true">+SUMIF(INDIRECT("'"&amp;$C$3&amp;"'!$4:$4"),BR$7,INDIRECT("'"&amp;$C$3&amp;"'!$11:$11"))-SUMIF(INDIRECT("'"&amp;$C$3&amp;"'!$4:$4"),BR$7,INDIRECT("'"&amp;$C$3&amp;"'!$19:$19"))</f>
        <v>1449.36</v>
      </c>
      <c r="BS19" s="81">
        <f ca="true">+SUMIF(INDIRECT("'"&amp;$C$3&amp;"'!$4:$4"),BS$7,INDIRECT("'"&amp;$C$3&amp;"'!$11:$11"))-SUMIF(INDIRECT("'"&amp;$C$3&amp;"'!$4:$4"),BS$7,INDIRECT("'"&amp;$C$3&amp;"'!$19:$19"))</f>
        <v>5214.95</v>
      </c>
      <c r="BT19" s="81">
        <f ca="true">+SUMIF(INDIRECT("'"&amp;$C$3&amp;"'!$4:$4"),BT$7,INDIRECT("'"&amp;$C$3&amp;"'!$11:$11"))-SUMIF(INDIRECT("'"&amp;$C$3&amp;"'!$4:$4"),BT$7,INDIRECT("'"&amp;$C$3&amp;"'!$19:$19"))</f>
        <v>125472.96</v>
      </c>
      <c r="BU19" s="81">
        <f ca="true">+SUMIF(INDIRECT("'"&amp;$C$3&amp;"'!$4:$4"),BU$7,INDIRECT("'"&amp;$C$3&amp;"'!$11:$11"))-SUMIF(INDIRECT("'"&amp;$C$3&amp;"'!$4:$4"),BU$7,INDIRECT("'"&amp;$C$3&amp;"'!$19:$19"))</f>
        <v>0</v>
      </c>
      <c r="BV19" s="81">
        <f ca="true">+SUMIF(INDIRECT("'"&amp;$C$3&amp;"'!$4:$4"),BV$7,INDIRECT("'"&amp;$C$3&amp;"'!$11:$11"))-SUMIF(INDIRECT("'"&amp;$C$3&amp;"'!$4:$4"),BV$7,INDIRECT("'"&amp;$C$3&amp;"'!$19:$19"))</f>
        <v>0</v>
      </c>
      <c r="BW19" s="81">
        <f ca="true">+SUMIF(INDIRECT("'"&amp;$C$3&amp;"'!$4:$4"),BW$7,INDIRECT("'"&amp;$C$3&amp;"'!$11:$11"))-SUMIF(INDIRECT("'"&amp;$C$3&amp;"'!$4:$4"),BW$7,INDIRECT("'"&amp;$C$3&amp;"'!$19:$19"))</f>
        <v>0</v>
      </c>
      <c r="BX19" s="81">
        <f ca="true">+SUMIF(INDIRECT("'"&amp;$C$3&amp;"'!$4:$4"),BX$7,INDIRECT("'"&amp;$C$3&amp;"'!$11:$11"))-SUMIF(INDIRECT("'"&amp;$C$3&amp;"'!$4:$4"),BX$7,INDIRECT("'"&amp;$C$3&amp;"'!$19:$19"))</f>
        <v>239142.04</v>
      </c>
      <c r="BY19" s="81">
        <f ca="true">+SUMIF(INDIRECT("'"&amp;$C$3&amp;"'!$4:$4"),BY$7,INDIRECT("'"&amp;$C$3&amp;"'!$11:$11"))-SUMIF(INDIRECT("'"&amp;$C$3&amp;"'!$4:$4"),BY$7,INDIRECT("'"&amp;$C$3&amp;"'!$19:$19"))</f>
        <v>-201951.14</v>
      </c>
      <c r="BZ19" s="81">
        <f ca="true">+SUMIF(INDIRECT("'"&amp;$C$3&amp;"'!$4:$4"),BZ$7,INDIRECT("'"&amp;$C$3&amp;"'!$11:$11"))-SUMIF(INDIRECT("'"&amp;$C$3&amp;"'!$4:$4"),BZ$7,INDIRECT("'"&amp;$C$3&amp;"'!$19:$19"))</f>
        <v>0</v>
      </c>
      <c r="CA19" s="81">
        <f ca="true">+SUMIF(INDIRECT("'"&amp;$C$3&amp;"'!$4:$4"),CA$7,INDIRECT("'"&amp;$C$3&amp;"'!$11:$11"))-SUMIF(INDIRECT("'"&amp;$C$3&amp;"'!$4:$4"),CA$7,INDIRECT("'"&amp;$C$3&amp;"'!$19:$19"))</f>
        <v>-17766.85</v>
      </c>
      <c r="CB19" s="81">
        <f ca="true">+SUMIF(INDIRECT("'"&amp;$C$3&amp;"'!$4:$4"),CB$7,INDIRECT("'"&amp;$C$3&amp;"'!$11:$11"))-SUMIF(INDIRECT("'"&amp;$C$3&amp;"'!$4:$4"),CB$7,INDIRECT("'"&amp;$C$3&amp;"'!$19:$19"))</f>
        <v>0</v>
      </c>
      <c r="CC19" s="81">
        <f ca="true">+SUMIF(INDIRECT("'"&amp;$C$3&amp;"'!$4:$4"),CC$7,INDIRECT("'"&amp;$C$3&amp;"'!$11:$11"))-SUMIF(INDIRECT("'"&amp;$C$3&amp;"'!$4:$4"),CC$7,INDIRECT("'"&amp;$C$3&amp;"'!$19:$19"))</f>
        <v>-128942.04</v>
      </c>
      <c r="CD19" s="81">
        <f ca="true">+SUMIF(INDIRECT("'"&amp;$C$3&amp;"'!$4:$4"),CD$7,INDIRECT("'"&amp;$C$3&amp;"'!$11:$11"))-SUMIF(INDIRECT("'"&amp;$C$3&amp;"'!$4:$4"),CD$7,INDIRECT("'"&amp;$C$3&amp;"'!$19:$19"))</f>
        <v>-1034.71</v>
      </c>
      <c r="CE19" s="81">
        <f ca="true">+SUMIF(INDIRECT("'"&amp;$C$3&amp;"'!$4:$4"),CE$7,INDIRECT("'"&amp;$C$3&amp;"'!$11:$11"))-SUMIF(INDIRECT("'"&amp;$C$3&amp;"'!$4:$4"),CE$7,INDIRECT("'"&amp;$C$3&amp;"'!$19:$19"))</f>
        <v>-85977.15</v>
      </c>
      <c r="CF19" s="81">
        <f ca="true">+SUMIF(INDIRECT("'"&amp;$C$3&amp;"'!$4:$4"),CF$7,INDIRECT("'"&amp;$C$3&amp;"'!$11:$11"))-SUMIF(INDIRECT("'"&amp;$C$3&amp;"'!$4:$4"),CF$7,INDIRECT("'"&amp;$C$3&amp;"'!$19:$19"))</f>
        <v>-13757.86</v>
      </c>
      <c r="CG19" s="81">
        <f ca="true">+SUMIF(INDIRECT("'"&amp;$C$3&amp;"'!$4:$4"),CG$7,INDIRECT("'"&amp;$C$3&amp;"'!$11:$11"))-SUMIF(INDIRECT("'"&amp;$C$3&amp;"'!$4:$4"),CG$7,INDIRECT("'"&amp;$C$3&amp;"'!$19:$19"))</f>
        <v>-49263.95</v>
      </c>
      <c r="CH19" s="81">
        <f ca="true">+SUMIF(INDIRECT("'"&amp;$C$3&amp;"'!$4:$4"),CH$7,INDIRECT("'"&amp;$C$3&amp;"'!$11:$11"))-SUMIF(INDIRECT("'"&amp;$C$3&amp;"'!$4:$4"),CH$7,INDIRECT("'"&amp;$C$3&amp;"'!$19:$19"))</f>
        <v>59724.82</v>
      </c>
      <c r="CI19" s="81">
        <f ca="true">+SUMIF(INDIRECT("'"&amp;$C$3&amp;"'!$4:$4"),CI$7,INDIRECT("'"&amp;$C$3&amp;"'!$11:$11"))-SUMIF(INDIRECT("'"&amp;$C$3&amp;"'!$4:$4"),CI$7,INDIRECT("'"&amp;$C$3&amp;"'!$19:$19"))</f>
        <v>0</v>
      </c>
      <c r="CJ19" s="81">
        <f ca="true">+SUMIF(INDIRECT("'"&amp;$C$3&amp;"'!$4:$4"),CJ$7,INDIRECT("'"&amp;$C$3&amp;"'!$11:$11"))-SUMIF(INDIRECT("'"&amp;$C$3&amp;"'!$4:$4"),CJ$7,INDIRECT("'"&amp;$C$3&amp;"'!$19:$19"))</f>
        <v>-11232.05</v>
      </c>
      <c r="CK19" s="81">
        <f ca="true">+SUMIF(INDIRECT("'"&amp;$C$3&amp;"'!$4:$4"),CK$7,INDIRECT("'"&amp;$C$3&amp;"'!$11:$11"))-SUMIF(INDIRECT("'"&amp;$C$3&amp;"'!$4:$4"),CK$7,INDIRECT("'"&amp;$C$3&amp;"'!$19:$19"))</f>
        <v>2895.48</v>
      </c>
      <c r="CL19" s="81">
        <f ca="true">+SUMIF(INDIRECT("'"&amp;$C$3&amp;"'!$4:$4"),CL$7,INDIRECT("'"&amp;$C$3&amp;"'!$11:$11"))-SUMIF(INDIRECT("'"&amp;$C$3&amp;"'!$4:$4"),CL$7,INDIRECT("'"&amp;$C$3&amp;"'!$19:$19"))</f>
        <v>991.889999999999</v>
      </c>
      <c r="CM19" s="81">
        <f ca="true">+SUMIF(INDIRECT("'"&amp;$C$3&amp;"'!$4:$4"),CM$7,INDIRECT("'"&amp;$C$3&amp;"'!$11:$11"))-SUMIF(INDIRECT("'"&amp;$C$3&amp;"'!$4:$4"),CM$7,INDIRECT("'"&amp;$C$3&amp;"'!$19:$19"))</f>
        <v>24415.52</v>
      </c>
      <c r="CN19" s="81">
        <f ca="true">+SUMIF(INDIRECT("'"&amp;$C$3&amp;"'!$4:$4"),CN$7,INDIRECT("'"&amp;$C$3&amp;"'!$11:$11"))-SUMIF(INDIRECT("'"&amp;$C$3&amp;"'!$4:$4"),CN$7,INDIRECT("'"&amp;$C$3&amp;"'!$19:$19"))</f>
        <v>-24204.33</v>
      </c>
      <c r="CO19" s="81">
        <f ca="true">+SUMIF(INDIRECT("'"&amp;$C$3&amp;"'!$4:$4"),CO$7,INDIRECT("'"&amp;$C$3&amp;"'!$11:$11"))-SUMIF(INDIRECT("'"&amp;$C$3&amp;"'!$4:$4"),CO$7,INDIRECT("'"&amp;$C$3&amp;"'!$19:$19"))</f>
        <v>19043.66</v>
      </c>
      <c r="CP19" s="81">
        <f ca="true">+SUMIF(INDIRECT("'"&amp;$C$3&amp;"'!$4:$4"),CP$7,INDIRECT("'"&amp;$C$3&amp;"'!$11:$11"))-SUMIF(INDIRECT("'"&amp;$C$3&amp;"'!$4:$4"),CP$7,INDIRECT("'"&amp;$C$3&amp;"'!$19:$19"))</f>
        <v>-29993.86</v>
      </c>
      <c r="CQ19" s="81">
        <f ca="true">+SUMIF(INDIRECT("'"&amp;$C$3&amp;"'!$4:$4"),CQ$7,INDIRECT("'"&amp;$C$3&amp;"'!$11:$11"))-SUMIF(INDIRECT("'"&amp;$C$3&amp;"'!$4:$4"),CQ$7,INDIRECT("'"&amp;$C$3&amp;"'!$19:$19"))</f>
        <v>-103062.4</v>
      </c>
      <c r="CR19" s="81">
        <f ca="true">+SUMIF(INDIRECT("'"&amp;$C$3&amp;"'!$4:$4"),CR$7,INDIRECT("'"&amp;$C$3&amp;"'!$11:$11"))-SUMIF(INDIRECT("'"&amp;$C$3&amp;"'!$4:$4"),CR$7,INDIRECT("'"&amp;$C$3&amp;"'!$19:$19"))</f>
        <v>-51772.07</v>
      </c>
      <c r="CS19" s="81"/>
      <c r="CT19" s="81">
        <f ca="true">SUM(AO19:CS19)</f>
        <v>-349817.62</v>
      </c>
      <c r="CU19" s="81">
        <f ca="true">SUM(AI19:CS19)</f>
        <v>-423934.53</v>
      </c>
      <c r="CV19" s="81">
        <f ca="true">SUM(CW19:CX19,CZ19)</f>
        <v>3768.24</v>
      </c>
      <c r="CW19" s="81">
        <f ca="true">+SUMIF(INDIRECT("'"&amp;$C$3&amp;"'!$4:$4"),CW$7,INDIRECT("'"&amp;$C$3&amp;"'!$11:$11"))-SUMIF(INDIRECT("'"&amp;$C$3&amp;"'!$4:$4"),CW$7,INDIRECT("'"&amp;$C$3&amp;"'!$19:$19"))</f>
        <v>0</v>
      </c>
      <c r="CX19" s="81">
        <f ca="true">+SUMIF(INDIRECT("'"&amp;$C$3&amp;"'!$4:$4"),CX$7,INDIRECT("'"&amp;$C$3&amp;"'!$11:$11"))-SUMIF(INDIRECT("'"&amp;$C$3&amp;"'!$4:$4"),CX$7,INDIRECT("'"&amp;$C$3&amp;"'!$19:$19"))</f>
        <v>0</v>
      </c>
      <c r="CY19" s="81">
        <f ca="true">+SUM(CW19:CX19)</f>
        <v>0</v>
      </c>
      <c r="CZ19" s="81">
        <f ca="true">+SUMIF(INDIRECT("'"&amp;$C$3&amp;"'!$4:$4"),X$7,INDIRECT("'"&amp;$C$3&amp;"'!$11:$11"))-SUMIF(INDIRECT("'"&amp;$C$3&amp;"'!$4:$4"),X$7,INDIRECT("'"&amp;$C$3&amp;"'!$19:$19"))</f>
        <v>3768.24</v>
      </c>
      <c r="DB19" s="33"/>
      <c r="DC19" s="81">
        <f ca="true">+SUMIF(INDIRECT("'"&amp;$C$3&amp;"'!$4:$4"),DC$7,INDIRECT("'"&amp;$C$3&amp;"'!$29:$29"))-SUMIF(INDIRECT("'"&amp;$C$3&amp;"'!$4:$4"),DC$7,INDIRECT("'"&amp;$C$3&amp;"'!$57:$57"))</f>
        <v>0</v>
      </c>
      <c r="DD19" s="81">
        <f ca="true">+SUMIF(INDIRECT("'"&amp;$C$3&amp;"'!$4:$4"),DD$7,INDIRECT("'"&amp;$C$3&amp;"'!$29:$29"))-SUMIF(INDIRECT("'"&amp;$C$3&amp;"'!$4:$4"),DD$7,INDIRECT("'"&amp;$C$3&amp;"'!$57:$57"))</f>
        <v>0</v>
      </c>
      <c r="DE19" s="81">
        <f ca="true">+SUMIF(INDIRECT("'"&amp;$C$3&amp;"'!$4:$4"),DE$7,INDIRECT("'"&amp;$C$3&amp;"'!$29:$29"))-SUMIF(INDIRECT("'"&amp;$C$3&amp;"'!$4:$4"),DE$7,INDIRECT("'"&amp;$C$3&amp;"'!$57:$57"))</f>
        <v>0</v>
      </c>
    </row>
    <row r="20" spans="2:109">
      <c r="B20" s="86" t="s">
        <v>31467</v>
      </c>
      <c r="C20" s="80">
        <f ca="true">SUM(D20,CV20)</f>
        <v>2117692.82</v>
      </c>
      <c r="D20" s="81">
        <f ca="true">SUM(E20:I20,K20:L20,N20:S20,U20:V20,X20:Y20,AA20:BA20)</f>
        <v>2117692.82</v>
      </c>
      <c r="E20" s="93">
        <f ca="true">+SUMIF(INDIRECT("'"&amp;$C$3&amp;"'!$4:$4"),E$7,INDIRECT("'"&amp;$C$3&amp;"'!$12:$12"))+SUMIF(INDIRECT("'"&amp;$C$3&amp;"'!$4:$4"),E$7,INDIRECT("'"&amp;$C$3&amp;"'!$20:$20"))</f>
        <v>496003.02</v>
      </c>
      <c r="F20" s="93">
        <f ca="true">+SUMIF(INDIRECT("'"&amp;$C$3&amp;"'!$4:$4"),F$7,INDIRECT("'"&amp;$C$3&amp;"'!$12:$12"))+SUMIF(INDIRECT("'"&amp;$C$3&amp;"'!$4:$4"),F$7,INDIRECT("'"&amp;$C$3&amp;"'!$20:$20"))</f>
        <v>29442.85</v>
      </c>
      <c r="G20" s="93">
        <f ca="true">+SUMIF(INDIRECT("'"&amp;$C$3&amp;"'!$4:$4"),G$7,INDIRECT("'"&amp;$C$3&amp;"'!$12:$12"))+SUMIF(INDIRECT("'"&amp;$C$3&amp;"'!$4:$4"),G$7,INDIRECT("'"&amp;$C$3&amp;"'!$20:$20"))</f>
        <v>13902.15</v>
      </c>
      <c r="H20" s="93">
        <f ca="true">+SUMIF(INDIRECT("'"&amp;$C$3&amp;"'!$4:$4"),H$7,INDIRECT("'"&amp;$C$3&amp;"'!$12:$12"))+SUMIF(INDIRECT("'"&amp;$C$3&amp;"'!$4:$4"),H$7,INDIRECT("'"&amp;$C$3&amp;"'!$20:$20"))</f>
        <v>0</v>
      </c>
      <c r="I20" s="93">
        <f ca="true">+SUMIF(INDIRECT("'"&amp;$C$3&amp;"'!$4:$4"),I$7,INDIRECT("'"&amp;$C$3&amp;"'!$12:$12"))+SUMIF(INDIRECT("'"&amp;$C$3&amp;"'!$4:$4"),I$7,INDIRECT("'"&amp;$C$3&amp;"'!$20:$20"))</f>
        <v>2017.35</v>
      </c>
      <c r="J20" s="81">
        <f ca="true">+SUMIF(INDIRECT("'"&amp;$C$3&amp;"'!$4:$4"),J$7,INDIRECT("'"&amp;$C$3&amp;"'!$47:$47"))+SUMIF(INDIRECT("'"&amp;$C$3&amp;"'!$4:$4"),J$7,INDIRECT("'"&amp;$C$3&amp;"'!$77:$77"))</f>
        <v>0</v>
      </c>
      <c r="K20" s="81">
        <f ca="true">+SUMIF(INDIRECT("'"&amp;$C$3&amp;"'!$4:$4"),K$7,INDIRECT("'"&amp;$C$3&amp;"'!$12:$12"))+SUMIF(INDIRECT("'"&amp;$C$3&amp;"'!$4:$4"),K$7,INDIRECT("'"&amp;$C$3&amp;"'!$20:$20"))</f>
        <v>104095.41</v>
      </c>
      <c r="L20" s="81">
        <f ca="true">+SUMIF(INDIRECT("'"&amp;$C$3&amp;"'!$4:$4"),L$7,INDIRECT("'"&amp;$C$3&amp;"'!$12:$12"))+SUMIF(INDIRECT("'"&amp;$C$3&amp;"'!$4:$4"),L$7,INDIRECT("'"&amp;$C$3&amp;"'!$20:$20"))</f>
        <v>92855.26</v>
      </c>
      <c r="M20" s="81">
        <f ca="true">SUM(K20:L20)</f>
        <v>196950.67</v>
      </c>
      <c r="N20" s="81">
        <f ca="true">+SUMIF(INDIRECT("'"&amp;$C$3&amp;"'!$4:$4"),N$7,INDIRECT("'"&amp;$C$3&amp;"'!$12:$12"))+SUMIF(INDIRECT("'"&amp;$C$3&amp;"'!$4:$4"),N$7,INDIRECT("'"&amp;$C$3&amp;"'!$20:$20"))</f>
        <v>74.75</v>
      </c>
      <c r="O20" s="81">
        <f ca="true">+SUMIF(INDIRECT("'"&amp;$C$3&amp;"'!$4:$4"),O$7,INDIRECT("'"&amp;$C$3&amp;"'!$12:$12"))+SUMIF(INDIRECT("'"&amp;$C$3&amp;"'!$4:$4"),O$7,INDIRECT("'"&amp;$C$3&amp;"'!$20:$20"))</f>
        <v>3709.33</v>
      </c>
      <c r="P20" s="81">
        <f ca="true">+SUMIF(INDIRECT("'"&amp;$C$3&amp;"'!$4:$4"),P$7,INDIRECT("'"&amp;$C$3&amp;"'!$12:$12"))+SUMIF(INDIRECT("'"&amp;$C$3&amp;"'!$4:$4"),P$7,INDIRECT("'"&amp;$C$3&amp;"'!$20:$20"))</f>
        <v>1998.86</v>
      </c>
      <c r="Q20" s="81">
        <f ca="true">+SUMIF(INDIRECT("'"&amp;$C$3&amp;"'!$4:$4"),Q$7,INDIRECT("'"&amp;$C$3&amp;"'!$12:$12"))+SUMIF(INDIRECT("'"&amp;$C$3&amp;"'!$4:$4"),Q$7,INDIRECT("'"&amp;$C$3&amp;"'!$20:$20"))</f>
        <v>1382.08</v>
      </c>
      <c r="R20" s="81">
        <f ca="true">+SUMIF(INDIRECT("'"&amp;$C$3&amp;"'!$4:$4"),R$7,INDIRECT("'"&amp;$C$3&amp;"'!$12:$12"))+SUMIF(INDIRECT("'"&amp;$C$3&amp;"'!$4:$4"),R$7,INDIRECT("'"&amp;$C$3&amp;"'!$20:$20"))</f>
        <v>0</v>
      </c>
      <c r="S20" s="81">
        <f ca="true">+SUMIF(INDIRECT("'"&amp;$C$3&amp;"'!$4:$4"),S$7,INDIRECT("'"&amp;$C$3&amp;"'!$12:$12"))+SUMIF(INDIRECT("'"&amp;$C$3&amp;"'!$4:$4"),S$7,INDIRECT("'"&amp;$C$3&amp;"'!$20:$20"))</f>
        <v>1035.21</v>
      </c>
      <c r="T20" s="81">
        <f ca="true">SUM(N20:S20)</f>
        <v>8200.23</v>
      </c>
      <c r="U20" s="81">
        <f ca="true">+SUMIF(INDIRECT("'"&amp;$C$3&amp;"'!$4:$4"),U$7,INDIRECT("'"&amp;$C$3&amp;"'!$12:$12"))+SUMIF(INDIRECT("'"&amp;$C$3&amp;"'!$4:$4"),U$7,INDIRECT("'"&amp;$C$3&amp;"'!$20:$20"))</f>
        <v>2062.72</v>
      </c>
      <c r="V20" s="81">
        <f ca="true">+SUMIF(INDIRECT("'"&amp;$C$3&amp;"'!$4:$4"),V$7,INDIRECT("'"&amp;$C$3&amp;"'!$12:$12"))+SUMIF(INDIRECT("'"&amp;$C$3&amp;"'!$4:$4"),V$7,INDIRECT("'"&amp;$C$3&amp;"'!$20:$20"))</f>
        <v>510.42</v>
      </c>
      <c r="W20" s="81">
        <f ca="true">SUM(N20:S20,U20:V20)</f>
        <v>10773.37</v>
      </c>
      <c r="X20" s="81">
        <f ca="true">+SUMIF(INDIRECT("'"&amp;$C$3&amp;"'!$4:$4"),X$7,INDIRECT("'"&amp;$C$3&amp;"'!$12:$12"))+SUMIF(INDIRECT("'"&amp;$C$3&amp;"'!$4:$4"),X$7,INDIRECT("'"&amp;$C$3&amp;"'!$20:$20"))</f>
        <v>28369.57</v>
      </c>
      <c r="Y20" s="81">
        <f ca="true">+SUMIF(INDIRECT("'"&amp;$C$3&amp;"'!$4:$4"),Y$7,INDIRECT("'"&amp;$C$3&amp;"'!$12:$12"))+SUMIF(INDIRECT("'"&amp;$C$3&amp;"'!$4:$4"),Y$7,INDIRECT("'"&amp;$C$3&amp;"'!$20:$20"))</f>
        <v>154.24</v>
      </c>
      <c r="Z20" s="81">
        <f ca="true">SUM(X20:Y20)</f>
        <v>28523.81</v>
      </c>
      <c r="AA20" s="81">
        <f ca="true">+SUMIF(INDIRECT("'"&amp;$C$3&amp;"'!$4:$4"),AA$7,INDIRECT("'"&amp;$C$3&amp;"'!$12:$12"))+SUMIF(INDIRECT("'"&amp;$C$3&amp;"'!$4:$4"),AA$7,INDIRECT("'"&amp;$C$3&amp;"'!$20:$20"))</f>
        <v>52957.57</v>
      </c>
      <c r="AB20" s="81">
        <f ca="true">+SUMIF(INDIRECT("'"&amp;$C$3&amp;"'!$4:$4"),AB$7,INDIRECT("'"&amp;$C$3&amp;"'!$12:$12"))+SUMIF(INDIRECT("'"&amp;$C$3&amp;"'!$4:$4"),AB$7,INDIRECT("'"&amp;$C$3&amp;"'!$20:$20"))</f>
        <v>28531.25</v>
      </c>
      <c r="AC20" s="81">
        <f ca="true">+SUMIF(INDIRECT("'"&amp;$C$3&amp;"'!$4:$4"),AC$7,INDIRECT("'"&amp;$C$3&amp;"'!$12:$12"))+SUMIF(INDIRECT("'"&amp;$C$3&amp;"'!$4:$4"),AC$7,INDIRECT("'"&amp;$C$3&amp;"'!$20:$20"))</f>
        <v>132734.02</v>
      </c>
      <c r="AD20" s="81">
        <f ca="true">+SUMIF(INDIRECT("'"&amp;$C$3&amp;"'!$4:$4"),AD$7,INDIRECT("'"&amp;$C$3&amp;"'!$12:$12"))+SUMIF(INDIRECT("'"&amp;$C$3&amp;"'!$4:$4"),AD$7,INDIRECT("'"&amp;$C$3&amp;"'!$20:$20"))</f>
        <v>0</v>
      </c>
      <c r="AE20" s="81">
        <f ca="true">+SUMIF(INDIRECT("'"&amp;$C$3&amp;"'!$4:$4"),AE$7,INDIRECT("'"&amp;$C$3&amp;"'!$12:$12"))+SUMIF(INDIRECT("'"&amp;$C$3&amp;"'!$4:$4"),AE$7,INDIRECT("'"&amp;$C$3&amp;"'!$20:$20"))</f>
        <v>176028.25</v>
      </c>
      <c r="AF20" s="81">
        <f ca="true">+SUMIF(INDIRECT("'"&amp;$C$3&amp;"'!$4:$4"),AF$7,INDIRECT("'"&amp;$C$3&amp;"'!$12:$12"))+SUMIF(INDIRECT("'"&amp;$C$3&amp;"'!$4:$4"),AF$7,INDIRECT("'"&amp;$C$3&amp;"'!$20:$20"))</f>
        <v>0</v>
      </c>
      <c r="AG20" s="81">
        <f ca="true">+SUMIF(INDIRECT("'"&amp;$C$3&amp;"'!$4:$4"),AG$7,INDIRECT("'"&amp;$C$3&amp;"'!$12:$12"))+SUMIF(INDIRECT("'"&amp;$C$3&amp;"'!$4:$4"),AG$7,INDIRECT("'"&amp;$C$3&amp;"'!$20:$20"))</f>
        <v>210185</v>
      </c>
      <c r="AH20" s="81">
        <f ca="true">+SUMIF(INDIRECT("'"&amp;$C$3&amp;"'!$4:$4"),AH$7,INDIRECT("'"&amp;$C$3&amp;"'!$12:$12"))+SUMIF(INDIRECT("'"&amp;$C$3&amp;"'!$4:$4"),AH$7,INDIRECT("'"&amp;$C$3&amp;"'!$20:$20"))</f>
        <v>36060.13</v>
      </c>
      <c r="AI20" s="81">
        <f ca="true">+SUMIF(INDIRECT("'"&amp;$C$3&amp;"'!$4:$4"),AI$7,INDIRECT("'"&amp;$C$3&amp;"'!$12:$12"))+SUMIF(INDIRECT("'"&amp;$C$3&amp;"'!$4:$4"),AI$7,INDIRECT("'"&amp;$C$3&amp;"'!$20:$20"))</f>
        <v>28221.63</v>
      </c>
      <c r="AJ20" s="81">
        <f ca="true">+SUMIF(INDIRECT("'"&amp;$C$3&amp;"'!$4:$4"),AJ$7,INDIRECT("'"&amp;$C$3&amp;"'!$12:$12"))+SUMIF(INDIRECT("'"&amp;$C$3&amp;"'!$4:$4"),AJ$7,INDIRECT("'"&amp;$C$3&amp;"'!$20:$20"))</f>
        <v>44790.77</v>
      </c>
      <c r="AK20" s="81">
        <f ca="true">+SUMIF(INDIRECT("'"&amp;$C$3&amp;"'!$4:$4"),AK$7,INDIRECT("'"&amp;$C$3&amp;"'!$12:$12"))+SUMIF(INDIRECT("'"&amp;$C$3&amp;"'!$4:$4"),AK$7,INDIRECT("'"&amp;$C$3&amp;"'!$20:$20"))</f>
        <v>20869.94</v>
      </c>
      <c r="AL20" s="81">
        <f ca="true">+SUMIF(INDIRECT("'"&amp;$C$3&amp;"'!$4:$4"),AL$7,INDIRECT("'"&amp;$C$3&amp;"'!$12:$12"))+SUMIF(INDIRECT("'"&amp;$C$3&amp;"'!$4:$4"),AL$7,INDIRECT("'"&amp;$C$3&amp;"'!$20:$20"))</f>
        <v>5112.48</v>
      </c>
      <c r="AM20" s="81">
        <f ca="true">+SUMIF(INDIRECT("'"&amp;$C$3&amp;"'!$4:$4"),AM$7,INDIRECT("'"&amp;$C$3&amp;"'!$12:$12"))+SUMIF(INDIRECT("'"&amp;$C$3&amp;"'!$4:$4"),AM$7,INDIRECT("'"&amp;$C$3&amp;"'!$20:$20"))</f>
        <v>16789.42</v>
      </c>
      <c r="AN20" s="81">
        <f ca="true">+SUMIF(INDIRECT("'"&amp;$C$3&amp;"'!$4:$4"),AN$7,INDIRECT("'"&amp;$C$3&amp;"'!$12:$12"))+SUMIF(INDIRECT("'"&amp;$C$3&amp;"'!$4:$4"),AN$7,INDIRECT("'"&amp;$C$3&amp;"'!$20:$20"))</f>
        <v>222509.69</v>
      </c>
      <c r="AO20" s="81">
        <f ca="true">+SUMIF(INDIRECT("'"&amp;$C$3&amp;"'!$4:$4"),AO$7,INDIRECT("'"&amp;$C$3&amp;"'!$12:$12"))+SUMIF(INDIRECT("'"&amp;$C$3&amp;"'!$4:$4"),AO$7,INDIRECT("'"&amp;$C$3&amp;"'!$20:$20"))</f>
        <v>25357.47</v>
      </c>
      <c r="AP20" s="81">
        <f ca="true">+SUMIF(INDIRECT("'"&amp;$C$3&amp;"'!$4:$4"),AP$7,INDIRECT("'"&amp;$C$3&amp;"'!$12:$12"))+SUMIF(INDIRECT("'"&amp;$C$3&amp;"'!$4:$4"),AP$7,INDIRECT("'"&amp;$C$3&amp;"'!$20:$20"))</f>
        <v>138499.18</v>
      </c>
      <c r="AQ20" s="81">
        <f ca="true">+SUMIF(INDIRECT("'"&amp;$C$3&amp;"'!$4:$4"),AQ$7,INDIRECT("'"&amp;$C$3&amp;"'!$12:$12"))+SUMIF(INDIRECT("'"&amp;$C$3&amp;"'!$4:$4"),AQ$7,INDIRECT("'"&amp;$C$3&amp;"'!$20:$20"))</f>
        <v>44467.84</v>
      </c>
      <c r="AR20" s="81">
        <f ca="true">+SUMIF(INDIRECT("'"&amp;$C$3&amp;"'!$4:$4"),AR$7,INDIRECT("'"&amp;$C$3&amp;"'!$12:$12"))+SUMIF(INDIRECT("'"&amp;$C$3&amp;"'!$4:$4"),AR$7,INDIRECT("'"&amp;$C$3&amp;"'!$20:$20"))</f>
        <v>0</v>
      </c>
      <c r="AS20" s="81">
        <f ca="true">+SUMIF(INDIRECT("'"&amp;$C$3&amp;"'!$4:$4"),AS$7,INDIRECT("'"&amp;$C$3&amp;"'!$12:$12"))+SUMIF(INDIRECT("'"&amp;$C$3&amp;"'!$4:$4"),AS$7,INDIRECT("'"&amp;$C$3&amp;"'!$20:$20"))</f>
        <v>53506.09</v>
      </c>
      <c r="AT20" s="81">
        <f ca="true">+SUMIF(INDIRECT("'"&amp;$C$3&amp;"'!$4:$4"),AT$7,INDIRECT("'"&amp;$C$3&amp;"'!$12:$12"))+SUMIF(INDIRECT("'"&amp;$C$3&amp;"'!$4:$4"),AT$7,INDIRECT("'"&amp;$C$3&amp;"'!$20:$20"))</f>
        <v>0</v>
      </c>
      <c r="AU20" s="81">
        <f ca="true">+SUMIF(INDIRECT("'"&amp;$C$3&amp;"'!$4:$4"),AU$7,INDIRECT("'"&amp;$C$3&amp;"'!$12:$12"))+SUMIF(INDIRECT("'"&amp;$C$3&amp;"'!$4:$4"),AU$7,INDIRECT("'"&amp;$C$3&amp;"'!$20:$20"))</f>
        <v>56636.19</v>
      </c>
      <c r="AV20" s="81">
        <f ca="true">+SUMIF(INDIRECT("'"&amp;$C$3&amp;"'!$4:$4"),AV$7,INDIRECT("'"&amp;$C$3&amp;"'!$12:$12"))+SUMIF(INDIRECT("'"&amp;$C$3&amp;"'!$4:$4"),AV$7,INDIRECT("'"&amp;$C$3&amp;"'!$20:$20"))</f>
        <v>32618.34</v>
      </c>
      <c r="AW20" s="81">
        <f ca="true">+SUMIF(INDIRECT("'"&amp;$C$3&amp;"'!$4:$4"),AW$7,INDIRECT("'"&amp;$C$3&amp;"'!$12:$12"))+SUMIF(INDIRECT("'"&amp;$C$3&amp;"'!$4:$4"),AW$7,INDIRECT("'"&amp;$C$3&amp;"'!$20:$20"))</f>
        <v>1227.5</v>
      </c>
      <c r="AX20" s="81">
        <f ca="true">+SUMIF(INDIRECT("'"&amp;$C$3&amp;"'!$4:$4"),AX$7,INDIRECT("'"&amp;$C$3&amp;"'!$12:$12"))+SUMIF(INDIRECT("'"&amp;$C$3&amp;"'!$4:$4"),AX$7,INDIRECT("'"&amp;$C$3&amp;"'!$20:$20"))</f>
        <v>12976.84</v>
      </c>
      <c r="AY20" s="81">
        <f ca="true">+SUMIF(INDIRECT("'"&amp;$C$3&amp;"'!$4:$4"),AY$7,INDIRECT("'"&amp;$C$3&amp;"'!$12:$12"))+SUMIF(INDIRECT("'"&amp;$C$3&amp;"'!$4:$4"),AY$7,INDIRECT("'"&amp;$C$3&amp;"'!$20:$20"))</f>
        <v>0</v>
      </c>
      <c r="AZ20" s="81">
        <f ca="true">+SUMIF(INDIRECT("'"&amp;$C$3&amp;"'!$4:$4"),AZ$7,INDIRECT("'"&amp;$C$3&amp;"'!$12:$12"))+SUMIF(INDIRECT("'"&amp;$C$3&amp;"'!$4:$4"),AZ$7,INDIRECT("'"&amp;$C$3&amp;"'!$20:$20"))</f>
        <v>0</v>
      </c>
      <c r="BA20" s="81">
        <f ca="true">+SUMIF(INDIRECT("'"&amp;$C$3&amp;"'!$4:$4"),BA$7,INDIRECT("'"&amp;$C$3&amp;"'!$12:$12"))+SUMIF(INDIRECT("'"&amp;$C$3&amp;"'!$4:$4"),BA$7,INDIRECT("'"&amp;$C$3&amp;"'!$20:$20"))</f>
        <v>0</v>
      </c>
      <c r="BB20" s="81">
        <f ca="true">+SUMIF(INDIRECT("'"&amp;$C$3&amp;"'!$4:$4"),BB$7,INDIRECT("'"&amp;$C$3&amp;"'!$12:$12"))+SUMIF(INDIRECT("'"&amp;$C$3&amp;"'!$4:$4"),BB$7,INDIRECT("'"&amp;$C$3&amp;"'!$20:$20"))</f>
        <v>27713.16</v>
      </c>
      <c r="BC20" s="81">
        <f ca="true">+SUMIF(INDIRECT("'"&amp;$C$3&amp;"'!$4:$4"),BC$7,INDIRECT("'"&amp;$C$3&amp;"'!$12:$12"))+SUMIF(INDIRECT("'"&amp;$C$3&amp;"'!$4:$4"),BC$7,INDIRECT("'"&amp;$C$3&amp;"'!$20:$20"))</f>
        <v>14450.88</v>
      </c>
      <c r="BD20" s="81">
        <f ca="true">+SUMIF(INDIRECT("'"&amp;$C$3&amp;"'!$4:$4"),BD$7,INDIRECT("'"&amp;$C$3&amp;"'!$12:$12"))+SUMIF(INDIRECT("'"&amp;$C$3&amp;"'!$4:$4"),BD$7,INDIRECT("'"&amp;$C$3&amp;"'!$20:$20"))</f>
        <v>0</v>
      </c>
      <c r="BE20" s="81">
        <f ca="true">+SUMIF(INDIRECT("'"&amp;$C$3&amp;"'!$4:$4"),BE$7,INDIRECT("'"&amp;$C$3&amp;"'!$12:$12"))+SUMIF(INDIRECT("'"&amp;$C$3&amp;"'!$4:$4"),BE$7,INDIRECT("'"&amp;$C$3&amp;"'!$20:$20"))</f>
        <v>38924.18</v>
      </c>
      <c r="BF20" s="81">
        <f ca="true">+SUMIF(INDIRECT("'"&amp;$C$3&amp;"'!$4:$4"),BF$7,INDIRECT("'"&amp;$C$3&amp;"'!$12:$12"))+SUMIF(INDIRECT("'"&amp;$C$3&amp;"'!$4:$4"),BF$7,INDIRECT("'"&amp;$C$3&amp;"'!$20:$20"))</f>
        <v>6455.83</v>
      </c>
      <c r="BG20" s="81">
        <f ca="true">+SUMIF(INDIRECT("'"&amp;$C$3&amp;"'!$4:$4"),BG$7,INDIRECT("'"&amp;$C$3&amp;"'!$12:$12"))+SUMIF(INDIRECT("'"&amp;$C$3&amp;"'!$4:$4"),BG$7,INDIRECT("'"&amp;$C$3&amp;"'!$20:$20"))</f>
        <v>18397.17</v>
      </c>
      <c r="BH20" s="81">
        <f ca="true">+SUMIF(INDIRECT("'"&amp;$C$3&amp;"'!$4:$4"),BH$7,INDIRECT("'"&amp;$C$3&amp;"'!$12:$12"))+SUMIF(INDIRECT("'"&amp;$C$3&amp;"'!$4:$4"),BH$7,INDIRECT("'"&amp;$C$3&amp;"'!$20:$20"))</f>
        <v>0</v>
      </c>
      <c r="BI20" s="81">
        <f ca="true">+SUMIF(INDIRECT("'"&amp;$C$3&amp;"'!$4:$4"),BI$7,INDIRECT("'"&amp;$C$3&amp;"'!$12:$12"))+SUMIF(INDIRECT("'"&amp;$C$3&amp;"'!$4:$4"),BI$7,INDIRECT("'"&amp;$C$3&amp;"'!$20:$20"))</f>
        <v>1101.36</v>
      </c>
      <c r="BJ20" s="81">
        <f ca="true">+SUMIF(INDIRECT("'"&amp;$C$3&amp;"'!$4:$4"),BJ$7,INDIRECT("'"&amp;$C$3&amp;"'!$12:$12"))+SUMIF(INDIRECT("'"&amp;$C$3&amp;"'!$4:$4"),BJ$7,INDIRECT("'"&amp;$C$3&amp;"'!$20:$20"))</f>
        <v>9093.27</v>
      </c>
      <c r="BK20" s="81">
        <f ca="true">+SUMIF(INDIRECT("'"&amp;$C$3&amp;"'!$4:$4"),BK$7,INDIRECT("'"&amp;$C$3&amp;"'!$12:$12"))+SUMIF(INDIRECT("'"&amp;$C$3&amp;"'!$4:$4"),BK$7,INDIRECT("'"&amp;$C$3&amp;"'!$20:$20"))</f>
        <v>8755.57</v>
      </c>
      <c r="BL20" s="81">
        <f ca="true">+SUMIF(INDIRECT("'"&amp;$C$3&amp;"'!$4:$4"),BL$7,INDIRECT("'"&amp;$C$3&amp;"'!$12:$12"))+SUMIF(INDIRECT("'"&amp;$C$3&amp;"'!$4:$4"),BL$7,INDIRECT("'"&amp;$C$3&amp;"'!$20:$20"))</f>
        <v>0</v>
      </c>
      <c r="BM20" s="81">
        <f ca="true">+SUMIF(INDIRECT("'"&amp;$C$3&amp;"'!$4:$4"),BM$7,INDIRECT("'"&amp;$C$3&amp;"'!$12:$12"))+SUMIF(INDIRECT("'"&amp;$C$3&amp;"'!$4:$4"),BM$7,INDIRECT("'"&amp;$C$3&amp;"'!$20:$20"))</f>
        <v>4562.79</v>
      </c>
      <c r="BN20" s="81">
        <f ca="true">+SUMIF(INDIRECT("'"&amp;$C$3&amp;"'!$4:$4"),BN$7,INDIRECT("'"&amp;$C$3&amp;"'!$12:$12"))+SUMIF(INDIRECT("'"&amp;$C$3&amp;"'!$4:$4"),BN$7,INDIRECT("'"&amp;$C$3&amp;"'!$20:$20"))</f>
        <v>24004.55</v>
      </c>
      <c r="BO20" s="81">
        <f ca="true">+SUMIF(INDIRECT("'"&amp;$C$3&amp;"'!$4:$4"),BO$7,INDIRECT("'"&amp;$C$3&amp;"'!$12:$12"))+SUMIF(INDIRECT("'"&amp;$C$3&amp;"'!$4:$4"),BO$7,INDIRECT("'"&amp;$C$3&amp;"'!$20:$20"))</f>
        <v>1958.73</v>
      </c>
      <c r="BP20" s="81">
        <f ca="true">+SUMIF(INDIRECT("'"&amp;$C$3&amp;"'!$4:$4"),BP$7,INDIRECT("'"&amp;$C$3&amp;"'!$12:$12"))+SUMIF(INDIRECT("'"&amp;$C$3&amp;"'!$4:$4"),BP$7,INDIRECT("'"&amp;$C$3&amp;"'!$20:$20"))</f>
        <v>255</v>
      </c>
      <c r="BQ20" s="81">
        <f ca="true">+SUMIF(INDIRECT("'"&amp;$C$3&amp;"'!$4:$4"),BQ$7,INDIRECT("'"&amp;$C$3&amp;"'!$12:$12"))+SUMIF(INDIRECT("'"&amp;$C$3&amp;"'!$4:$4"),BQ$7,INDIRECT("'"&amp;$C$3&amp;"'!$20:$20"))</f>
        <v>0</v>
      </c>
      <c r="BR20" s="81">
        <f ca="true">+SUMIF(INDIRECT("'"&amp;$C$3&amp;"'!$4:$4"),BR$7,INDIRECT("'"&amp;$C$3&amp;"'!$12:$12"))+SUMIF(INDIRECT("'"&amp;$C$3&amp;"'!$4:$4"),BR$7,INDIRECT("'"&amp;$C$3&amp;"'!$20:$20"))</f>
        <v>10369.87</v>
      </c>
      <c r="BS20" s="81">
        <f ca="true">+SUMIF(INDIRECT("'"&amp;$C$3&amp;"'!$4:$4"),BS$7,INDIRECT("'"&amp;$C$3&amp;"'!$12:$12"))+SUMIF(INDIRECT("'"&amp;$C$3&amp;"'!$4:$4"),BS$7,INDIRECT("'"&amp;$C$3&amp;"'!$20:$20"))</f>
        <v>13348.13</v>
      </c>
      <c r="BT20" s="81">
        <f ca="true">+SUMIF(INDIRECT("'"&amp;$C$3&amp;"'!$4:$4"),BT$7,INDIRECT("'"&amp;$C$3&amp;"'!$12:$12"))+SUMIF(INDIRECT("'"&amp;$C$3&amp;"'!$4:$4"),BT$7,INDIRECT("'"&amp;$C$3&amp;"'!$20:$20"))</f>
        <v>486227.13</v>
      </c>
      <c r="BU20" s="81">
        <f ca="true">+SUMIF(INDIRECT("'"&amp;$C$3&amp;"'!$4:$4"),BU$7,INDIRECT("'"&amp;$C$3&amp;"'!$12:$12"))+SUMIF(INDIRECT("'"&amp;$C$3&amp;"'!$4:$4"),BU$7,INDIRECT("'"&amp;$C$3&amp;"'!$20:$20"))</f>
        <v>0</v>
      </c>
      <c r="BV20" s="81">
        <f ca="true">+SUMIF(INDIRECT("'"&amp;$C$3&amp;"'!$4:$4"),BV$7,INDIRECT("'"&amp;$C$3&amp;"'!$12:$12"))+SUMIF(INDIRECT("'"&amp;$C$3&amp;"'!$4:$4"),BV$7,INDIRECT("'"&amp;$C$3&amp;"'!$20:$20"))</f>
        <v>0</v>
      </c>
      <c r="BW20" s="81">
        <f ca="true">+SUMIF(INDIRECT("'"&amp;$C$3&amp;"'!$4:$4"),BW$7,INDIRECT("'"&amp;$C$3&amp;"'!$12:$12"))+SUMIF(INDIRECT("'"&amp;$C$3&amp;"'!$4:$4"),BW$7,INDIRECT("'"&amp;$C$3&amp;"'!$20:$20"))</f>
        <v>0</v>
      </c>
      <c r="BX20" s="81">
        <f ca="true">+SUMIF(INDIRECT("'"&amp;$C$3&amp;"'!$4:$4"),BX$7,INDIRECT("'"&amp;$C$3&amp;"'!$12:$12"))+SUMIF(INDIRECT("'"&amp;$C$3&amp;"'!$4:$4"),BX$7,INDIRECT("'"&amp;$C$3&amp;"'!$20:$20"))</f>
        <v>149363.46</v>
      </c>
      <c r="BY20" s="81">
        <f ca="true">+SUMIF(INDIRECT("'"&amp;$C$3&amp;"'!$4:$4"),BY$7,INDIRECT("'"&amp;$C$3&amp;"'!$12:$12"))+SUMIF(INDIRECT("'"&amp;$C$3&amp;"'!$4:$4"),BY$7,INDIRECT("'"&amp;$C$3&amp;"'!$20:$20"))</f>
        <v>389738.6</v>
      </c>
      <c r="BZ20" s="81">
        <f ca="true">+SUMIF(INDIRECT("'"&amp;$C$3&amp;"'!$4:$4"),BZ$7,INDIRECT("'"&amp;$C$3&amp;"'!$12:$12"))+SUMIF(INDIRECT("'"&amp;$C$3&amp;"'!$4:$4"),BZ$7,INDIRECT("'"&amp;$C$3&amp;"'!$20:$20"))</f>
        <v>0</v>
      </c>
      <c r="CA20" s="81">
        <f ca="true">+SUMIF(INDIRECT("'"&amp;$C$3&amp;"'!$4:$4"),CA$7,INDIRECT("'"&amp;$C$3&amp;"'!$12:$12"))+SUMIF(INDIRECT("'"&amp;$C$3&amp;"'!$4:$4"),CA$7,INDIRECT("'"&amp;$C$3&amp;"'!$20:$20"))</f>
        <v>94768.81</v>
      </c>
      <c r="CB20" s="81">
        <f ca="true">+SUMIF(INDIRECT("'"&amp;$C$3&amp;"'!$4:$4"),CB$7,INDIRECT("'"&amp;$C$3&amp;"'!$12:$12"))+SUMIF(INDIRECT("'"&amp;$C$3&amp;"'!$4:$4"),CB$7,INDIRECT("'"&amp;$C$3&amp;"'!$20:$20"))</f>
        <v>0</v>
      </c>
      <c r="CC20" s="81">
        <f ca="true">+SUMIF(INDIRECT("'"&amp;$C$3&amp;"'!$4:$4"),CC$7,INDIRECT("'"&amp;$C$3&amp;"'!$12:$12"))+SUMIF(INDIRECT("'"&amp;$C$3&amp;"'!$4:$4"),CC$7,INDIRECT("'"&amp;$C$3&amp;"'!$20:$20"))</f>
        <v>907751.84</v>
      </c>
      <c r="CD20" s="81">
        <f ca="true">+SUMIF(INDIRECT("'"&amp;$C$3&amp;"'!$4:$4"),CD$7,INDIRECT("'"&amp;$C$3&amp;"'!$12:$12"))+SUMIF(INDIRECT("'"&amp;$C$3&amp;"'!$4:$4"),CD$7,INDIRECT("'"&amp;$C$3&amp;"'!$20:$20"))</f>
        <v>9289.13</v>
      </c>
      <c r="CE20" s="81">
        <f ca="true">+SUMIF(INDIRECT("'"&amp;$C$3&amp;"'!$4:$4"),CE$7,INDIRECT("'"&amp;$C$3&amp;"'!$12:$12"))+SUMIF(INDIRECT("'"&amp;$C$3&amp;"'!$4:$4"),CE$7,INDIRECT("'"&amp;$C$3&amp;"'!$20:$20"))</f>
        <v>7904.51</v>
      </c>
      <c r="CF20" s="81">
        <f ca="true">+SUMIF(INDIRECT("'"&amp;$C$3&amp;"'!$4:$4"),CF$7,INDIRECT("'"&amp;$C$3&amp;"'!$12:$12"))+SUMIF(INDIRECT("'"&amp;$C$3&amp;"'!$4:$4"),CF$7,INDIRECT("'"&amp;$C$3&amp;"'!$20:$20"))</f>
        <v>70919.39</v>
      </c>
      <c r="CG20" s="81">
        <f ca="true">+SUMIF(INDIRECT("'"&amp;$C$3&amp;"'!$4:$4"),CG$7,INDIRECT("'"&amp;$C$3&amp;"'!$12:$12"))+SUMIF(INDIRECT("'"&amp;$C$3&amp;"'!$4:$4"),CG$7,INDIRECT("'"&amp;$C$3&amp;"'!$20:$20"))</f>
        <v>16582.01</v>
      </c>
      <c r="CH20" s="81">
        <f ca="true">+SUMIF(INDIRECT("'"&amp;$C$3&amp;"'!$4:$4"),CH$7,INDIRECT("'"&amp;$C$3&amp;"'!$12:$12"))+SUMIF(INDIRECT("'"&amp;$C$3&amp;"'!$4:$4"),CH$7,INDIRECT("'"&amp;$C$3&amp;"'!$20:$20"))</f>
        <v>71933.9</v>
      </c>
      <c r="CI20" s="81">
        <f ca="true">+SUMIF(INDIRECT("'"&amp;$C$3&amp;"'!$4:$4"),CI$7,INDIRECT("'"&amp;$C$3&amp;"'!$12:$12"))+SUMIF(INDIRECT("'"&amp;$C$3&amp;"'!$4:$4"),CI$7,INDIRECT("'"&amp;$C$3&amp;"'!$20:$20"))</f>
        <v>0</v>
      </c>
      <c r="CJ20" s="81">
        <f ca="true">+SUMIF(INDIRECT("'"&amp;$C$3&amp;"'!$4:$4"),CJ$7,INDIRECT("'"&amp;$C$3&amp;"'!$12:$12"))+SUMIF(INDIRECT("'"&amp;$C$3&amp;"'!$4:$4"),CJ$7,INDIRECT("'"&amp;$C$3&amp;"'!$20:$20"))</f>
        <v>7686.2</v>
      </c>
      <c r="CK20" s="81">
        <f ca="true">+SUMIF(INDIRECT("'"&amp;$C$3&amp;"'!$4:$4"),CK$7,INDIRECT("'"&amp;$C$3&amp;"'!$12:$12"))+SUMIF(INDIRECT("'"&amp;$C$3&amp;"'!$4:$4"),CK$7,INDIRECT("'"&amp;$C$3&amp;"'!$20:$20"))</f>
        <v>8402.44</v>
      </c>
      <c r="CL20" s="81">
        <f ca="true">+SUMIF(INDIRECT("'"&amp;$C$3&amp;"'!$4:$4"),CL$7,INDIRECT("'"&amp;$C$3&amp;"'!$12:$12"))+SUMIF(INDIRECT("'"&amp;$C$3&amp;"'!$4:$4"),CL$7,INDIRECT("'"&amp;$C$3&amp;"'!$20:$20"))</f>
        <v>22800.72</v>
      </c>
      <c r="CM20" s="81">
        <f ca="true">+SUMIF(INDIRECT("'"&amp;$C$3&amp;"'!$4:$4"),CM$7,INDIRECT("'"&amp;$C$3&amp;"'!$12:$12"))+SUMIF(INDIRECT("'"&amp;$C$3&amp;"'!$4:$4"),CM$7,INDIRECT("'"&amp;$C$3&amp;"'!$20:$20"))</f>
        <v>40054.25</v>
      </c>
      <c r="CN20" s="81">
        <f ca="true">+SUMIF(INDIRECT("'"&amp;$C$3&amp;"'!$4:$4"),CN$7,INDIRECT("'"&amp;$C$3&amp;"'!$12:$12"))+SUMIF(INDIRECT("'"&amp;$C$3&amp;"'!$4:$4"),CN$7,INDIRECT("'"&amp;$C$3&amp;"'!$20:$20"))</f>
        <v>10984.23</v>
      </c>
      <c r="CO20" s="81">
        <f ca="true">+SUMIF(INDIRECT("'"&amp;$C$3&amp;"'!$4:$4"),CO$7,INDIRECT("'"&amp;$C$3&amp;"'!$12:$12"))+SUMIF(INDIRECT("'"&amp;$C$3&amp;"'!$4:$4"),CO$7,INDIRECT("'"&amp;$C$3&amp;"'!$20:$20"))</f>
        <v>28388.03</v>
      </c>
      <c r="CP20" s="81">
        <f ca="true">+SUMIF(INDIRECT("'"&amp;$C$3&amp;"'!$4:$4"),CP$7,INDIRECT("'"&amp;$C$3&amp;"'!$12:$12"))+SUMIF(INDIRECT("'"&amp;$C$3&amp;"'!$4:$4"),CP$7,INDIRECT("'"&amp;$C$3&amp;"'!$20:$20"))</f>
        <v>133118.63</v>
      </c>
      <c r="CQ20" s="81">
        <f ca="true">+SUMIF(INDIRECT("'"&amp;$C$3&amp;"'!$4:$4"),CQ$7,INDIRECT("'"&amp;$C$3&amp;"'!$12:$12"))+SUMIF(INDIRECT("'"&amp;$C$3&amp;"'!$4:$4"),CQ$7,INDIRECT("'"&amp;$C$3&amp;"'!$20:$20"))</f>
        <v>378275.11</v>
      </c>
      <c r="CR20" s="81">
        <f ca="true">+SUMIF(INDIRECT("'"&amp;$C$3&amp;"'!$4:$4"),CR$7,INDIRECT("'"&amp;$C$3&amp;"'!$12:$12"))+SUMIF(INDIRECT("'"&amp;$C$3&amp;"'!$4:$4"),CR$7,INDIRECT("'"&amp;$C$3&amp;"'!$20:$20"))</f>
        <v>95289.07</v>
      </c>
      <c r="CS20" s="81"/>
      <c r="CT20" s="81">
        <f ca="true">SUM(AO20:CS20)</f>
        <v>3474157.4</v>
      </c>
      <c r="CU20" s="81">
        <f ca="true">SUM(AI20:CS20)</f>
        <v>3812451.33</v>
      </c>
      <c r="CV20" s="81">
        <f ca="true">SUM(CW20:CX20,CZ20)</f>
        <v>0</v>
      </c>
      <c r="CW20" s="81">
        <f ca="true">+SUMIF(INDIRECT("'"&amp;$C$3&amp;"'!$4:$4"),CW$7,INDIRECT("'"&amp;$C$3&amp;"'!$12:$12"))+SUMIF(INDIRECT("'"&amp;$C$3&amp;"'!$4:$4"),CW$7,INDIRECT("'"&amp;$C$3&amp;"'!$20:$20"))</f>
        <v>0</v>
      </c>
      <c r="CX20" s="81">
        <f ca="true">+SUMIF(INDIRECT("'"&amp;$C$3&amp;"'!$4:$4"),CX$7,INDIRECT("'"&amp;$C$3&amp;"'!$12:$12"))+SUMIF(INDIRECT("'"&amp;$C$3&amp;"'!$4:$4"),CX$7,INDIRECT("'"&amp;$C$3&amp;"'!$20:$20"))</f>
        <v>0</v>
      </c>
      <c r="CY20" s="81">
        <f ca="true">+SUM(CW20:CX20)</f>
        <v>0</v>
      </c>
      <c r="CZ20" s="81">
        <f ca="true">+SUMIF(INDIRECT("'"&amp;$C$3&amp;"'!$4:$4"),CZ$7,INDIRECT("'"&amp;$C$3&amp;"'!$12:$12"))+SUMIF(INDIRECT("'"&amp;$C$3&amp;"'!$4:$4"),CZ$7,INDIRECT("'"&amp;$C$3&amp;"'!$20:$20"))</f>
        <v>0</v>
      </c>
      <c r="DB20" s="33"/>
      <c r="DC20" s="81">
        <f ca="true">+SUMIF(INDIRECT("'"&amp;$C$3&amp;"'!$4:$4"),DC$7,INDIRECT("'"&amp;$C$3&amp;"'!$47:$47"))+SUMIF(INDIRECT("'"&amp;$C$3&amp;"'!$4:$4"),DC$7,INDIRECT("'"&amp;$C$3&amp;"'!$77:$77"))</f>
        <v>0</v>
      </c>
      <c r="DD20" s="81">
        <f ca="true">+SUMIF(INDIRECT("'"&amp;$C$3&amp;"'!$4:$4"),DD$7,INDIRECT("'"&amp;$C$3&amp;"'!$47:$47"))+SUMIF(INDIRECT("'"&amp;$C$3&amp;"'!$4:$4"),DD$7,INDIRECT("'"&amp;$C$3&amp;"'!$77:$77"))</f>
        <v>0</v>
      </c>
      <c r="DE20" s="81">
        <f ca="true">+SUMIF(INDIRECT("'"&amp;$C$3&amp;"'!$4:$4"),DE$7,INDIRECT("'"&amp;$C$3&amp;"'!$47:$47"))+SUMIF(INDIRECT("'"&amp;$C$3&amp;"'!$4:$4"),DE$7,INDIRECT("'"&amp;$C$3&amp;"'!$77:$77"))</f>
        <v>0</v>
      </c>
    </row>
    <row r="21" spans="2:109" ht="15.75">
      <c r="B21" s="82" t="s">
        <v>13909</v>
      </c>
      <c r="C21" s="83">
        <f ca="true">SUM(D21,CV21)</f>
        <v>-1570032.33</v>
      </c>
      <c r="D21" s="83">
        <f ca="true">SUM(E21:I21,K21:L21,N21:S21,U21:V21,X21:Y21,AA21:BA21)</f>
        <v>-1573800.57</v>
      </c>
      <c r="E21" s="83">
        <f ca="true">+E17+E19-E20-E18</f>
        <v>-383721.34</v>
      </c>
      <c r="F21" s="83">
        <f ca="true">+F17+F19-F20-F18</f>
        <v>0</v>
      </c>
      <c r="G21" s="83">
        <f ca="true">+G17+G19-G20-G18</f>
        <v>-140</v>
      </c>
      <c r="H21" s="83">
        <f ca="true">+H17+H19-H20-H18</f>
        <v>0</v>
      </c>
      <c r="I21" s="83">
        <f ca="true">+I17+I19-I20-I18</f>
        <v>-129.999999999996</v>
      </c>
      <c r="J21" s="83">
        <f ca="true">SUM(E21:I21)</f>
        <v>-383991.34</v>
      </c>
      <c r="K21" s="83">
        <f ca="true">+K17+K19-K20-K18</f>
        <v>-30000</v>
      </c>
      <c r="L21" s="83">
        <f ca="true">+L17+L19-L20-L18</f>
        <v>-29269.34</v>
      </c>
      <c r="M21" s="83">
        <f ca="true">+SUM(K21:L21)</f>
        <v>-59269.34</v>
      </c>
      <c r="N21" s="83">
        <f t="shared" ref="N21:S21" ca="true" si="3">+N17+N19-N20-N18</f>
        <v>0</v>
      </c>
      <c r="O21" s="83">
        <f t="shared" ca="true" si="3"/>
        <v>0</v>
      </c>
      <c r="P21" s="83">
        <f t="shared" ca="true" si="3"/>
        <v>0</v>
      </c>
      <c r="Q21" s="83">
        <f t="shared" ca="true" si="3"/>
        <v>0</v>
      </c>
      <c r="R21" s="83">
        <f t="shared" ca="true" si="3"/>
        <v>0</v>
      </c>
      <c r="S21" s="83">
        <f t="shared" ca="true" si="3"/>
        <v>0</v>
      </c>
      <c r="T21" s="83">
        <f ca="true">SUM(N21:S21)</f>
        <v>0</v>
      </c>
      <c r="U21" s="83">
        <f ca="true">+U17+U19-U20-U18</f>
        <v>0</v>
      </c>
      <c r="V21" s="83">
        <f ca="true">+V17+V19-V20-V18</f>
        <v>0</v>
      </c>
      <c r="W21" s="83">
        <f ca="true">SUM(N21:S21,U21:V21)</f>
        <v>0</v>
      </c>
      <c r="X21" s="83">
        <f ca="true">+X17+X19-X20-X18</f>
        <v>-3282.02</v>
      </c>
      <c r="Y21" s="83">
        <f ca="true">+Y17+Y19-Y20-Y18</f>
        <v>0</v>
      </c>
      <c r="Z21" s="83">
        <f ca="true">SUM(X21:Y21)</f>
        <v>-3282.02</v>
      </c>
      <c r="AA21" s="83">
        <f t="shared" ref="AA21:CL21" ca="true" si="4">+AA17+AA19-AA20-AA18</f>
        <v>-29981.96</v>
      </c>
      <c r="AB21" s="83">
        <f t="shared" ca="true" si="4"/>
        <v>0</v>
      </c>
      <c r="AC21" s="83">
        <f t="shared" ca="true" si="4"/>
        <v>-3831.85999999999</v>
      </c>
      <c r="AD21" s="83">
        <f t="shared" ca="true" si="4"/>
        <v>0</v>
      </c>
      <c r="AE21" s="83">
        <f t="shared" ca="true" si="4"/>
        <v>-9644.06</v>
      </c>
      <c r="AF21" s="83">
        <f t="shared" ca="true" si="4"/>
        <v>0</v>
      </c>
      <c r="AG21" s="83">
        <f t="shared" ca="true" si="4"/>
        <v>-420370</v>
      </c>
      <c r="AH21" s="83">
        <f t="shared" ca="true" si="4"/>
        <v>-56015.88</v>
      </c>
      <c r="AI21" s="83">
        <f t="shared" ca="true" si="4"/>
        <v>-23586.26</v>
      </c>
      <c r="AJ21" s="83">
        <f t="shared" ca="true" si="4"/>
        <v>-23453.54</v>
      </c>
      <c r="AK21" s="83">
        <f t="shared" ca="true" si="4"/>
        <v>-7594.58</v>
      </c>
      <c r="AL21" s="83">
        <f t="shared" ca="true" si="4"/>
        <v>-9624.96</v>
      </c>
      <c r="AM21" s="83">
        <f t="shared" ca="true" si="4"/>
        <v>-17242.7</v>
      </c>
      <c r="AN21" s="83">
        <f t="shared" ca="true" si="4"/>
        <v>-156414.43</v>
      </c>
      <c r="AO21" s="83">
        <f t="shared" ca="true" si="4"/>
        <v>6218.1</v>
      </c>
      <c r="AP21" s="83">
        <f t="shared" ca="true" si="4"/>
        <v>-208376.94</v>
      </c>
      <c r="AQ21" s="83">
        <f t="shared" ca="true" si="4"/>
        <v>-30483.18</v>
      </c>
      <c r="AR21" s="83">
        <f t="shared" ca="true" si="4"/>
        <v>0</v>
      </c>
      <c r="AS21" s="83">
        <f t="shared" ca="true" si="4"/>
        <v>-40103.42</v>
      </c>
      <c r="AT21" s="83">
        <f t="shared" ca="true" si="4"/>
        <v>0</v>
      </c>
      <c r="AU21" s="83">
        <f t="shared" ca="true" si="4"/>
        <v>-72541.38</v>
      </c>
      <c r="AV21" s="83">
        <f t="shared" ca="true" si="4"/>
        <v>-3137.80000000001</v>
      </c>
      <c r="AW21" s="83">
        <f t="shared" ca="true" si="4"/>
        <v>-2200</v>
      </c>
      <c r="AX21" s="83">
        <f t="shared" ca="true" si="4"/>
        <v>-18873.02</v>
      </c>
      <c r="AY21" s="83">
        <f t="shared" ca="true" si="4"/>
        <v>0</v>
      </c>
      <c r="AZ21" s="83">
        <f t="shared" ca="true" si="4"/>
        <v>0</v>
      </c>
      <c r="BA21" s="83">
        <f t="shared" ca="true" si="4"/>
        <v>0</v>
      </c>
      <c r="BB21" s="83">
        <f t="shared" ca="true" si="4"/>
        <v>-46430.32</v>
      </c>
      <c r="BC21" s="83">
        <f t="shared" ca="true" si="4"/>
        <v>-5871.96</v>
      </c>
      <c r="BD21" s="83">
        <f t="shared" ca="true" si="4"/>
        <v>0</v>
      </c>
      <c r="BE21" s="83">
        <f t="shared" ca="true" si="4"/>
        <v>-55819.7</v>
      </c>
      <c r="BF21" s="83">
        <f t="shared" ca="true" si="4"/>
        <v>-12311.66</v>
      </c>
      <c r="BG21" s="83">
        <f t="shared" ca="true" si="4"/>
        <v>-13564.2</v>
      </c>
      <c r="BH21" s="83">
        <f t="shared" ca="true" si="4"/>
        <v>0</v>
      </c>
      <c r="BI21" s="83">
        <f t="shared" ca="true" si="4"/>
        <v>-1212.71999999999</v>
      </c>
      <c r="BJ21" s="83">
        <f t="shared" ca="true" si="4"/>
        <v>-9435.76</v>
      </c>
      <c r="BK21" s="83">
        <f t="shared" ca="true" si="4"/>
        <v>-15288.08</v>
      </c>
      <c r="BL21" s="83">
        <f t="shared" ca="true" si="4"/>
        <v>0</v>
      </c>
      <c r="BM21" s="83">
        <f t="shared" ca="true" si="4"/>
        <v>-4651.06</v>
      </c>
      <c r="BN21" s="83">
        <f t="shared" ca="true" si="4"/>
        <v>-47409.1</v>
      </c>
      <c r="BO21" s="83">
        <f t="shared" ca="true" si="4"/>
        <v>-2065.46000000001</v>
      </c>
      <c r="BP21" s="83">
        <f t="shared" ca="true" si="4"/>
        <v>0</v>
      </c>
      <c r="BQ21" s="83">
        <f t="shared" ca="true" si="4"/>
        <v>0</v>
      </c>
      <c r="BR21" s="83">
        <f t="shared" ca="true" si="4"/>
        <v>-18313.3</v>
      </c>
      <c r="BS21" s="83">
        <f t="shared" ca="true" si="4"/>
        <v>-25199.32</v>
      </c>
      <c r="BT21" s="83">
        <f t="shared" ca="true" si="4"/>
        <v>-267561.83</v>
      </c>
      <c r="BU21" s="83">
        <f t="shared" ca="true" si="4"/>
        <v>0</v>
      </c>
      <c r="BV21" s="83">
        <f t="shared" ca="true" si="4"/>
        <v>0</v>
      </c>
      <c r="BW21" s="83">
        <f t="shared" ca="true" si="4"/>
        <v>0</v>
      </c>
      <c r="BX21" s="83">
        <f t="shared" ca="true" si="4"/>
        <v>-27472.69</v>
      </c>
      <c r="BY21" s="83">
        <f t="shared" ca="true" si="4"/>
        <v>-559200.2</v>
      </c>
      <c r="BZ21" s="83">
        <f t="shared" ca="true" si="4"/>
        <v>0</v>
      </c>
      <c r="CA21" s="83">
        <f t="shared" ca="true" si="4"/>
        <v>-148055.12</v>
      </c>
      <c r="CB21" s="83">
        <f t="shared" ca="true" si="4"/>
        <v>0</v>
      </c>
      <c r="CC21" s="83">
        <f t="shared" ca="true" si="4"/>
        <v>-1596519.64</v>
      </c>
      <c r="CD21" s="83">
        <f t="shared" ca="true" si="4"/>
        <v>-426.899999999998</v>
      </c>
      <c r="CE21" s="83">
        <f t="shared" ca="true" si="4"/>
        <v>-7122.94</v>
      </c>
      <c r="CF21" s="83">
        <f t="shared" ca="true" si="4"/>
        <v>-13577.08</v>
      </c>
      <c r="CG21" s="83">
        <f t="shared" ca="true" si="4"/>
        <v>-32183.84</v>
      </c>
      <c r="CH21" s="83">
        <f t="shared" ca="true" si="4"/>
        <v>-33487.7</v>
      </c>
      <c r="CI21" s="83">
        <f t="shared" ca="true" si="4"/>
        <v>0</v>
      </c>
      <c r="CJ21" s="83">
        <f t="shared" ca="true" si="4"/>
        <v>-6649.78</v>
      </c>
      <c r="CK21" s="83">
        <f t="shared" ca="true" si="4"/>
        <v>-9929.98</v>
      </c>
      <c r="CL21" s="83">
        <f t="shared" ca="true" si="4"/>
        <v>-17085.18</v>
      </c>
      <c r="CM21" s="83">
        <f t="shared" ref="CM21:CR21" ca="true" si="5">+CM17+CM19-CM20-CM18</f>
        <v>-36620.22</v>
      </c>
      <c r="CN21" s="83">
        <f t="shared" ca="true" si="5"/>
        <v>-14167.74</v>
      </c>
      <c r="CO21" s="83">
        <f t="shared" ca="true" si="5"/>
        <v>-22941.4</v>
      </c>
      <c r="CP21" s="83">
        <f t="shared" ca="true" si="5"/>
        <v>-53658.5</v>
      </c>
      <c r="CQ21" s="83">
        <f t="shared" ca="true" si="5"/>
        <v>-446445.68</v>
      </c>
      <c r="CR21" s="83">
        <f t="shared" ca="true" si="5"/>
        <v>-90970.84</v>
      </c>
      <c r="CS21" s="83"/>
      <c r="CT21" s="83">
        <f ca="true">SUM(AO21:CS21)</f>
        <v>-4011147.54</v>
      </c>
      <c r="CU21" s="83">
        <f ca="true">SUM(AI21:CS21)</f>
        <v>-4249064.01</v>
      </c>
      <c r="CV21" s="83">
        <f ca="true">SUM(CW21:CX21,CZ21)</f>
        <v>3768.24</v>
      </c>
      <c r="CW21" s="83">
        <f ca="true">+CW17+CW19-CW20-CW18</f>
        <v>0</v>
      </c>
      <c r="CX21" s="83">
        <f ca="true">+CX17+CX19-CX20-CX18</f>
        <v>0</v>
      </c>
      <c r="CY21" s="83">
        <f ca="true">+CY17+CY19-CY20-CY18</f>
        <v>0</v>
      </c>
      <c r="CZ21" s="83">
        <f ca="true">+CZ17+CZ19-CZ20-CZ18</f>
        <v>3768.24</v>
      </c>
      <c r="DB21" s="33"/>
      <c r="DC21" s="83">
        <f ca="true">+DC17+DC19-DC20-DC18</f>
        <v>0</v>
      </c>
      <c r="DD21" s="83">
        <f ca="true">+DD17+DD19-DD20-DD18</f>
        <v>0</v>
      </c>
      <c r="DE21" s="83">
        <f ca="true">+DE17+DE19-DE20-DE18</f>
        <v>47220.12</v>
      </c>
    </row>
    <row r="22" spans="33:106">
      <c r="AG22" s="99"/>
      <c r="AH22" s="99"/>
      <c r="AO22" s="99"/>
      <c r="AP22" s="99"/>
      <c r="AQ22" s="99"/>
      <c r="AR22" s="99"/>
      <c r="AS22" s="99"/>
      <c r="AT22" s="99"/>
      <c r="AU22" s="99"/>
      <c r="AV22" s="99"/>
      <c r="AW22" s="99"/>
      <c r="AX22" s="99"/>
      <c r="AY22" s="99"/>
      <c r="AZ22" s="99"/>
      <c r="BA22" s="99"/>
      <c r="BB22" s="99"/>
      <c r="BC22" s="99"/>
      <c r="BD22" s="99"/>
      <c r="CZ22" s="99"/>
      <c r="DB22" s="33"/>
    </row>
    <row r="23" spans="33:106" ht="15.75">
      <c r="AG23" s="100"/>
      <c r="AH23" s="100"/>
      <c r="AO23" s="100"/>
      <c r="AP23" s="100"/>
      <c r="AQ23" s="100"/>
      <c r="AR23" s="100"/>
      <c r="AS23" s="100"/>
      <c r="AT23" s="100"/>
      <c r="AU23" s="100"/>
      <c r="AV23" s="100"/>
      <c r="AW23" s="100"/>
      <c r="AX23" s="100"/>
      <c r="AY23" s="100"/>
      <c r="AZ23" s="100"/>
      <c r="BA23" s="100"/>
      <c r="BB23" s="100"/>
      <c r="BC23" s="100"/>
      <c r="BD23" s="100"/>
      <c r="CZ23" s="100"/>
      <c r="DB23" s="33"/>
    </row>
    <row r="24" spans="2:109">
      <c r="B24" s="84" t="s">
        <v>31468</v>
      </c>
      <c r="C24" s="88" t="e">
        <f ca="true">SUM(D24,CV24)</f>
        <v>#REF!</v>
      </c>
      <c r="D24" s="85" t="e">
        <f ca="true">SUM(E24:I24,K24:L24,N24:S24,U24:V24,X24:Y24,AA24:CS24)</f>
        <v>#REF!</v>
      </c>
      <c r="E24" s="85" t="e">
        <f ca="true">+E10</f>
        <v>#REF!</v>
      </c>
      <c r="F24" s="85" t="e">
        <f ca="true">+F10</f>
        <v>#REF!</v>
      </c>
      <c r="G24" s="85" t="e">
        <f ca="true">+G10</f>
        <v>#REF!</v>
      </c>
      <c r="H24" s="85" t="e">
        <f ca="true">+H10</f>
        <v>#REF!</v>
      </c>
      <c r="I24" s="85" t="e">
        <f ca="true">+I10</f>
        <v>#REF!</v>
      </c>
      <c r="J24" s="85" t="e">
        <f ca="true">SUM(E24:I24)</f>
        <v>#REF!</v>
      </c>
      <c r="K24" s="85" t="e">
        <f ca="true">+K10</f>
        <v>#REF!</v>
      </c>
      <c r="L24" s="85" t="e">
        <f ca="true">+L10</f>
        <v>#REF!</v>
      </c>
      <c r="M24" s="85" t="e">
        <f ca="true">+SUM(K24:L24)</f>
        <v>#REF!</v>
      </c>
      <c r="N24" s="85" t="e">
        <f t="shared" ref="N24:S24" ca="true" si="6">+N10</f>
        <v>#REF!</v>
      </c>
      <c r="O24" s="85" t="e">
        <f t="shared" ca="true" si="6"/>
        <v>#REF!</v>
      </c>
      <c r="P24" s="85" t="e">
        <f t="shared" ca="true" si="6"/>
        <v>#REF!</v>
      </c>
      <c r="Q24" s="85" t="e">
        <f t="shared" ca="true" si="6"/>
        <v>#REF!</v>
      </c>
      <c r="R24" s="85" t="e">
        <f t="shared" ca="true" si="6"/>
        <v>#REF!</v>
      </c>
      <c r="S24" s="85" t="e">
        <f t="shared" ca="true" si="6"/>
        <v>#REF!</v>
      </c>
      <c r="T24" s="85" t="e">
        <f ca="true">SUM(N24:S24)</f>
        <v>#REF!</v>
      </c>
      <c r="U24" s="85" t="e">
        <f ca="true">+U10</f>
        <v>#REF!</v>
      </c>
      <c r="V24" s="85" t="e">
        <f ca="true">+V10</f>
        <v>#REF!</v>
      </c>
      <c r="W24" s="85" t="e">
        <f ca="true">SUM(N24:S24,U24:V24)</f>
        <v>#REF!</v>
      </c>
      <c r="X24" s="85" t="e">
        <f ca="true">+X10</f>
        <v>#REF!</v>
      </c>
      <c r="Y24" s="85" t="e">
        <f ca="true">+Y10</f>
        <v>#REF!</v>
      </c>
      <c r="Z24" s="85" t="e">
        <f ca="true">SUM(X24:Y24)</f>
        <v>#REF!</v>
      </c>
      <c r="AA24" s="85" t="e">
        <f t="shared" ref="AA24:CL24" ca="true" si="7">+AA10</f>
        <v>#REF!</v>
      </c>
      <c r="AB24" s="85" t="e">
        <f t="shared" ca="true" si="7"/>
        <v>#REF!</v>
      </c>
      <c r="AC24" s="85" t="e">
        <f t="shared" ca="true" si="7"/>
        <v>#REF!</v>
      </c>
      <c r="AD24" s="85" t="e">
        <f t="shared" ca="true" si="7"/>
        <v>#REF!</v>
      </c>
      <c r="AE24" s="85" t="e">
        <f t="shared" ca="true" si="7"/>
        <v>#REF!</v>
      </c>
      <c r="AF24" s="85" t="e">
        <f t="shared" ca="true" si="7"/>
        <v>#REF!</v>
      </c>
      <c r="AG24" s="85" t="e">
        <f t="shared" ca="true" si="7"/>
        <v>#REF!</v>
      </c>
      <c r="AH24" s="85" t="e">
        <f t="shared" ca="true" si="7"/>
        <v>#REF!</v>
      </c>
      <c r="AI24" s="85" t="e">
        <f t="shared" ca="true" si="7"/>
        <v>#REF!</v>
      </c>
      <c r="AJ24" s="85" t="e">
        <f t="shared" ca="true" si="7"/>
        <v>#REF!</v>
      </c>
      <c r="AK24" s="85" t="e">
        <f t="shared" ca="true" si="7"/>
        <v>#REF!</v>
      </c>
      <c r="AL24" s="85" t="e">
        <f t="shared" ca="true" si="7"/>
        <v>#REF!</v>
      </c>
      <c r="AM24" s="85" t="e">
        <f t="shared" ca="true" si="7"/>
        <v>#REF!</v>
      </c>
      <c r="AN24" s="85" t="e">
        <f t="shared" ca="true" si="7"/>
        <v>#REF!</v>
      </c>
      <c r="AO24" s="85" t="e">
        <f t="shared" ca="true" si="7"/>
        <v>#REF!</v>
      </c>
      <c r="AP24" s="85" t="e">
        <f t="shared" ca="true" si="7"/>
        <v>#REF!</v>
      </c>
      <c r="AQ24" s="85" t="e">
        <f t="shared" ca="true" si="7"/>
        <v>#REF!</v>
      </c>
      <c r="AR24" s="85" t="e">
        <f t="shared" ca="true" si="7"/>
        <v>#REF!</v>
      </c>
      <c r="AS24" s="85" t="e">
        <f t="shared" ca="true" si="7"/>
        <v>#REF!</v>
      </c>
      <c r="AT24" s="85" t="e">
        <f t="shared" ca="true" si="7"/>
        <v>#REF!</v>
      </c>
      <c r="AU24" s="85" t="e">
        <f t="shared" ca="true" si="7"/>
        <v>#REF!</v>
      </c>
      <c r="AV24" s="85" t="e">
        <f t="shared" ca="true" si="7"/>
        <v>#REF!</v>
      </c>
      <c r="AW24" s="85" t="e">
        <f t="shared" ca="true" si="7"/>
        <v>#REF!</v>
      </c>
      <c r="AX24" s="85" t="e">
        <f t="shared" ca="true" si="7"/>
        <v>#REF!</v>
      </c>
      <c r="AY24" s="85" t="e">
        <f t="shared" ca="true" si="7"/>
        <v>#REF!</v>
      </c>
      <c r="AZ24" s="85" t="e">
        <f t="shared" ca="true" si="7"/>
        <v>#REF!</v>
      </c>
      <c r="BA24" s="85" t="e">
        <f t="shared" ca="true" si="7"/>
        <v>#REF!</v>
      </c>
      <c r="BB24" s="85" t="e">
        <f t="shared" ca="true" si="7"/>
        <v>#REF!</v>
      </c>
      <c r="BC24" s="85" t="e">
        <f t="shared" ca="true" si="7"/>
        <v>#REF!</v>
      </c>
      <c r="BD24" s="85" t="e">
        <f t="shared" ca="true" si="7"/>
        <v>#REF!</v>
      </c>
      <c r="BE24" s="85" t="e">
        <f t="shared" ca="true" si="7"/>
        <v>#REF!</v>
      </c>
      <c r="BF24" s="85" t="e">
        <f t="shared" ca="true" si="7"/>
        <v>#REF!</v>
      </c>
      <c r="BG24" s="85" t="e">
        <f t="shared" ca="true" si="7"/>
        <v>#REF!</v>
      </c>
      <c r="BH24" s="85" t="e">
        <f t="shared" ca="true" si="7"/>
        <v>#REF!</v>
      </c>
      <c r="BI24" s="85" t="e">
        <f t="shared" ca="true" si="7"/>
        <v>#REF!</v>
      </c>
      <c r="BJ24" s="85" t="e">
        <f t="shared" ca="true" si="7"/>
        <v>#REF!</v>
      </c>
      <c r="BK24" s="85" t="e">
        <f t="shared" ca="true" si="7"/>
        <v>#REF!</v>
      </c>
      <c r="BL24" s="85" t="e">
        <f t="shared" ca="true" si="7"/>
        <v>#REF!</v>
      </c>
      <c r="BM24" s="85" t="e">
        <f t="shared" ca="true" si="7"/>
        <v>#REF!</v>
      </c>
      <c r="BN24" s="85" t="e">
        <f t="shared" ca="true" si="7"/>
        <v>#REF!</v>
      </c>
      <c r="BO24" s="85" t="e">
        <f t="shared" ca="true" si="7"/>
        <v>#REF!</v>
      </c>
      <c r="BP24" s="85" t="e">
        <f t="shared" ca="true" si="7"/>
        <v>#REF!</v>
      </c>
      <c r="BQ24" s="85" t="e">
        <f t="shared" ca="true" si="7"/>
        <v>#REF!</v>
      </c>
      <c r="BR24" s="85" t="e">
        <f t="shared" ca="true" si="7"/>
        <v>#REF!</v>
      </c>
      <c r="BS24" s="85" t="e">
        <f t="shared" ca="true" si="7"/>
        <v>#REF!</v>
      </c>
      <c r="BT24" s="85" t="e">
        <f t="shared" ca="true" si="7"/>
        <v>#REF!</v>
      </c>
      <c r="BU24" s="85" t="e">
        <f t="shared" ca="true" si="7"/>
        <v>#REF!</v>
      </c>
      <c r="BV24" s="85" t="e">
        <f t="shared" ca="true" si="7"/>
        <v>#REF!</v>
      </c>
      <c r="BW24" s="85" t="e">
        <f t="shared" ca="true" si="7"/>
        <v>#REF!</v>
      </c>
      <c r="BX24" s="85" t="e">
        <f t="shared" ca="true" si="7"/>
        <v>#REF!</v>
      </c>
      <c r="BY24" s="85" t="e">
        <f t="shared" ca="true" si="7"/>
        <v>#REF!</v>
      </c>
      <c r="BZ24" s="85" t="e">
        <f t="shared" ca="true" si="7"/>
        <v>#REF!</v>
      </c>
      <c r="CA24" s="85" t="e">
        <f t="shared" ca="true" si="7"/>
        <v>#REF!</v>
      </c>
      <c r="CB24" s="85" t="e">
        <f t="shared" ca="true" si="7"/>
        <v>#REF!</v>
      </c>
      <c r="CC24" s="85" t="e">
        <f t="shared" ca="true" si="7"/>
        <v>#REF!</v>
      </c>
      <c r="CD24" s="85" t="e">
        <f t="shared" ca="true" si="7"/>
        <v>#REF!</v>
      </c>
      <c r="CE24" s="85" t="e">
        <f t="shared" ca="true" si="7"/>
        <v>#REF!</v>
      </c>
      <c r="CF24" s="85" t="e">
        <f t="shared" ca="true" si="7"/>
        <v>#REF!</v>
      </c>
      <c r="CG24" s="85" t="e">
        <f t="shared" ca="true" si="7"/>
        <v>#REF!</v>
      </c>
      <c r="CH24" s="85" t="e">
        <f t="shared" ca="true" si="7"/>
        <v>#REF!</v>
      </c>
      <c r="CI24" s="85" t="e">
        <f t="shared" ca="true" si="7"/>
        <v>#REF!</v>
      </c>
      <c r="CJ24" s="85" t="e">
        <f t="shared" ca="true" si="7"/>
        <v>#REF!</v>
      </c>
      <c r="CK24" s="85" t="e">
        <f t="shared" ca="true" si="7"/>
        <v>#REF!</v>
      </c>
      <c r="CL24" s="85" t="e">
        <f t="shared" ca="true" si="7"/>
        <v>#REF!</v>
      </c>
      <c r="CM24" s="85" t="e">
        <f t="shared" ref="CM24:CR24" ca="true" si="8">+CM10</f>
        <v>#REF!</v>
      </c>
      <c r="CN24" s="85" t="e">
        <f t="shared" ca="true" si="8"/>
        <v>#REF!</v>
      </c>
      <c r="CO24" s="85" t="e">
        <f t="shared" ca="true" si="8"/>
        <v>#REF!</v>
      </c>
      <c r="CP24" s="85" t="e">
        <f t="shared" ca="true" si="8"/>
        <v>#REF!</v>
      </c>
      <c r="CQ24" s="85" t="e">
        <f t="shared" ca="true" si="8"/>
        <v>#REF!</v>
      </c>
      <c r="CR24" s="85" t="e">
        <f t="shared" ca="true" si="8"/>
        <v>#REF!</v>
      </c>
      <c r="CS24" s="85"/>
      <c r="CT24" s="85" t="e">
        <f ca="true">SUM(AO24:CS24)</f>
        <v>#REF!</v>
      </c>
      <c r="CU24" s="85" t="e">
        <f ca="true">SUM(AI24:CS24)</f>
        <v>#REF!</v>
      </c>
      <c r="CV24" s="85" t="e">
        <f ca="true">SUM(CW24:CX24,CZ24)</f>
        <v>#REF!</v>
      </c>
      <c r="CW24" s="85" t="e">
        <f ca="true">+CW10</f>
        <v>#REF!</v>
      </c>
      <c r="CX24" s="85" t="e">
        <f ca="true">+CX10</f>
        <v>#REF!</v>
      </c>
      <c r="CY24" s="85" t="e">
        <f ca="true">+SUM(CW24:CX24)</f>
        <v>#REF!</v>
      </c>
      <c r="CZ24" s="85" t="e">
        <f ca="true">+CZ10</f>
        <v>#REF!</v>
      </c>
      <c r="DB24" s="33"/>
      <c r="DC24" s="85" t="e">
        <f ca="true">+DC10</f>
        <v>#REF!</v>
      </c>
      <c r="DD24" s="85" t="e">
        <f ca="true">+DD10</f>
        <v>#REF!</v>
      </c>
      <c r="DE24" s="85" t="e">
        <f ca="true">+DE10</f>
        <v>#REF!</v>
      </c>
    </row>
    <row r="25" spans="2:109">
      <c r="B25" s="86" t="s">
        <v>31469</v>
      </c>
      <c r="C25" s="80" t="e">
        <f>SUM(D25,CV25)</f>
        <v>#REF!</v>
      </c>
      <c r="D25" s="81" t="e">
        <f>SUM(E25:I25,K25:L25,N25:S25,U25:V25,X25:Y25,AA25:CS25)</f>
        <v>#REF!</v>
      </c>
      <c r="E25" s="81" t="e">
        <f>+SUMIF(#REF!,E7,#REF!)+SUMIF(#REF!,E7,#REF!)</f>
        <v>#REF!</v>
      </c>
      <c r="F25" s="81" t="e">
        <f>+SUMIF(#REF!,F7,#REF!)</f>
        <v>#REF!</v>
      </c>
      <c r="G25" s="81" t="e">
        <f>+SUMIF(#REF!,G7,#REF!)</f>
        <v>#REF!</v>
      </c>
      <c r="H25" s="81" t="e">
        <f>+SUMIF(#REF!,H7,#REF!)</f>
        <v>#REF!</v>
      </c>
      <c r="I25" s="81" t="e">
        <f>+SUMIF(#REF!,I7,#REF!)</f>
        <v>#REF!</v>
      </c>
      <c r="J25" s="95" t="e">
        <f>SUM(E25:I25)</f>
        <v>#REF!</v>
      </c>
      <c r="K25" s="81" t="e">
        <f>+SUMIF(#REF!,K7,#REF!)+SUMIF(#REF!,K7,#REF!)</f>
        <v>#REF!</v>
      </c>
      <c r="L25" s="81" t="e">
        <f>+SUMIF(#REF!,L7,#REF!)</f>
        <v>#REF!</v>
      </c>
      <c r="M25" s="81" t="e">
        <f>+SUM(K25:L25)</f>
        <v>#REF!</v>
      </c>
      <c r="N25" s="81" t="e">
        <f>+SUMIF(#REF!,N7,#REF!)</f>
        <v>#REF!</v>
      </c>
      <c r="O25" s="81" t="e">
        <f>+SUMIF(#REF!,O7,#REF!)</f>
        <v>#REF!</v>
      </c>
      <c r="P25" s="81" t="e">
        <f>+SUMIF(#REF!,P7,#REF!)</f>
        <v>#REF!</v>
      </c>
      <c r="Q25" s="81" t="e">
        <f>+SUMIF(#REF!,Q7,#REF!)</f>
        <v>#REF!</v>
      </c>
      <c r="R25" s="81" t="e">
        <f>+SUMIF(#REF!,R7,#REF!)</f>
        <v>#REF!</v>
      </c>
      <c r="S25" s="81" t="e">
        <f>+SUMIF(#REF!,S7,#REF!)</f>
        <v>#REF!</v>
      </c>
      <c r="T25" s="81" t="e">
        <f>SUM(N25:S25)</f>
        <v>#REF!</v>
      </c>
      <c r="U25" s="81" t="e">
        <f>+SUMIF(#REF!,U7,#REF!)</f>
        <v>#REF!</v>
      </c>
      <c r="V25" s="81" t="e">
        <f>+SUMIF(#REF!,V7,#REF!)+SUMIF(#REF!,V7,#REF!)</f>
        <v>#REF!</v>
      </c>
      <c r="W25" s="81" t="e">
        <f>SUM(N25:S25,U25:V25)</f>
        <v>#REF!</v>
      </c>
      <c r="X25" s="81" t="e">
        <f>+SUMIF(#REF!,X7,#REF!)</f>
        <v>#REF!</v>
      </c>
      <c r="Y25" s="81" t="e">
        <f>+SUMIF(#REF!,Y7,#REF!)</f>
        <v>#REF!</v>
      </c>
      <c r="Z25" s="81" t="e">
        <f>SUM(X25:Y25)</f>
        <v>#REF!</v>
      </c>
      <c r="AA25" s="81" t="e">
        <f>+SUMIF(#REF!,AA7,#REF!)</f>
        <v>#REF!</v>
      </c>
      <c r="AB25" s="81" t="e">
        <f>+SUMIF(#REF!,AB7,#REF!)</f>
        <v>#REF!</v>
      </c>
      <c r="AC25" s="81" t="e">
        <f>+SUMIF(#REF!,AC7,#REF!)</f>
        <v>#REF!</v>
      </c>
      <c r="AD25" s="81" t="e">
        <f>+SUMIF(#REF!,AD7,#REF!)</f>
        <v>#REF!</v>
      </c>
      <c r="AE25" s="81" t="e">
        <f>+SUMIF(#REF!,AE7,#REF!)</f>
        <v>#REF!</v>
      </c>
      <c r="AF25" s="81" t="e">
        <f>+SUMIF(#REF!,AF7,#REF!)</f>
        <v>#REF!</v>
      </c>
      <c r="AG25" s="81" t="e">
        <f>+SUMIF(#REF!,AG7,#REF!)+SUMIF(#REF!,AG7,#REF!)</f>
        <v>#REF!</v>
      </c>
      <c r="AH25" s="81" t="e">
        <f>+SUMIF(#REF!,AH7,#REF!)</f>
        <v>#REF!</v>
      </c>
      <c r="AI25" s="81" t="e">
        <f>+SUMIF(#REF!,AI7,#REF!)</f>
        <v>#REF!</v>
      </c>
      <c r="AJ25" s="81" t="e">
        <f>+SUMIF(#REF!,AJ7,#REF!)</f>
        <v>#REF!</v>
      </c>
      <c r="AK25" s="81" t="e">
        <f>+SUMIF(#REF!,AK7,#REF!)</f>
        <v>#REF!</v>
      </c>
      <c r="AL25" s="81" t="e">
        <f>+SUMIF(#REF!,AL7,#REF!)</f>
        <v>#REF!</v>
      </c>
      <c r="AM25" s="81" t="e">
        <f>+SUMIF(#REF!,AM7,#REF!)</f>
        <v>#REF!</v>
      </c>
      <c r="AN25" s="81" t="e">
        <f>+SUMIF(#REF!,AN7,#REF!)</f>
        <v>#REF!</v>
      </c>
      <c r="AO25" s="81" t="e">
        <f>+SUMIF(#REF!,AO7,#REF!)</f>
        <v>#REF!</v>
      </c>
      <c r="AP25" s="81" t="e">
        <f>+SUMIF(#REF!,AP7,#REF!)</f>
        <v>#REF!</v>
      </c>
      <c r="AQ25" s="81" t="e">
        <f>+SUMIF(#REF!,AQ7,#REF!)</f>
        <v>#REF!</v>
      </c>
      <c r="AR25" s="81" t="e">
        <f>+SUMIF(#REF!,AR7,#REF!)</f>
        <v>#REF!</v>
      </c>
      <c r="AS25" s="81" t="e">
        <f>+SUMIF(#REF!,AS7,#REF!)</f>
        <v>#REF!</v>
      </c>
      <c r="AT25" s="81" t="e">
        <f>+SUMIF(#REF!,AT7,#REF!)</f>
        <v>#REF!</v>
      </c>
      <c r="AU25" s="81" t="e">
        <f>+SUMIF(#REF!,AU7,#REF!)</f>
        <v>#REF!</v>
      </c>
      <c r="AV25" s="81" t="e">
        <f>+SUMIF(#REF!,AV7,#REF!)</f>
        <v>#REF!</v>
      </c>
      <c r="AW25" s="81" t="e">
        <f>+SUMIF(#REF!,AW7,#REF!)</f>
        <v>#REF!</v>
      </c>
      <c r="AX25" s="81" t="e">
        <f>+SUMIF(#REF!,AX7,#REF!)</f>
        <v>#REF!</v>
      </c>
      <c r="AY25" s="81" t="e">
        <f>+SUMIF(#REF!,AY7,#REF!)</f>
        <v>#REF!</v>
      </c>
      <c r="AZ25" s="81" t="e">
        <f>+SUMIF(#REF!,AZ7,#REF!)</f>
        <v>#REF!</v>
      </c>
      <c r="BA25" s="81" t="e">
        <f>+SUMIF(#REF!,BA7,#REF!)</f>
        <v>#REF!</v>
      </c>
      <c r="BB25" s="81" t="e">
        <f>+SUMIF(#REF!,BB7,#REF!)</f>
        <v>#REF!</v>
      </c>
      <c r="BC25" s="81" t="e">
        <f>+SUMIF(#REF!,BC7,#REF!)</f>
        <v>#REF!</v>
      </c>
      <c r="BD25" s="81" t="e">
        <f>+SUMIF(#REF!,BD7,#REF!)</f>
        <v>#REF!</v>
      </c>
      <c r="BE25" s="81" t="e">
        <f>+SUMIF(#REF!,BE7,#REF!)</f>
        <v>#REF!</v>
      </c>
      <c r="BF25" s="81" t="e">
        <f>+SUMIF(#REF!,BF7,#REF!)</f>
        <v>#REF!</v>
      </c>
      <c r="BG25" s="81" t="e">
        <f>+SUMIF(#REF!,BG7,#REF!)</f>
        <v>#REF!</v>
      </c>
      <c r="BH25" s="81" t="e">
        <f>+SUMIF(#REF!,BH7,#REF!)</f>
        <v>#REF!</v>
      </c>
      <c r="BI25" s="81" t="e">
        <f>+SUMIF(#REF!,BI7,#REF!)</f>
        <v>#REF!</v>
      </c>
      <c r="BJ25" s="81" t="e">
        <f>+SUMIF(#REF!,BJ7,#REF!)</f>
        <v>#REF!</v>
      </c>
      <c r="BK25" s="81" t="e">
        <f>+SUMIF(#REF!,BK7,#REF!)</f>
        <v>#REF!</v>
      </c>
      <c r="BL25" s="81" t="e">
        <f>+SUMIF(#REF!,BL7,#REF!)</f>
        <v>#REF!</v>
      </c>
      <c r="BM25" s="81" t="e">
        <f>+SUMIF(#REF!,BM7,#REF!)</f>
        <v>#REF!</v>
      </c>
      <c r="BN25" s="81" t="e">
        <f>+SUMIF(#REF!,BN7,#REF!)</f>
        <v>#REF!</v>
      </c>
      <c r="BO25" s="81" t="e">
        <f>+SUMIF(#REF!,BO7,#REF!)</f>
        <v>#REF!</v>
      </c>
      <c r="BP25" s="81" t="e">
        <f>+SUMIF(#REF!,BP7,#REF!)</f>
        <v>#REF!</v>
      </c>
      <c r="BQ25" s="81" t="e">
        <f>+SUMIF(#REF!,BQ7,#REF!)</f>
        <v>#REF!</v>
      </c>
      <c r="BR25" s="81" t="e">
        <f>+SUMIF(#REF!,BR7,#REF!)</f>
        <v>#REF!</v>
      </c>
      <c r="BS25" s="81" t="e">
        <f>+SUMIF(#REF!,BS7,#REF!)</f>
        <v>#REF!</v>
      </c>
      <c r="BT25" s="81" t="e">
        <f>+SUMIF(#REF!,BT7,#REF!)</f>
        <v>#REF!</v>
      </c>
      <c r="BU25" s="81" t="e">
        <f>+SUMIF(#REF!,BU7,#REF!)</f>
        <v>#REF!</v>
      </c>
      <c r="BV25" s="81" t="e">
        <f>+SUMIF(#REF!,BV7,#REF!)</f>
        <v>#REF!</v>
      </c>
      <c r="BW25" s="81" t="e">
        <f>+SUMIF(#REF!,BW7,#REF!)</f>
        <v>#REF!</v>
      </c>
      <c r="BX25" s="81" t="e">
        <f>+SUMIF(#REF!,BX7,#REF!)</f>
        <v>#REF!</v>
      </c>
      <c r="BY25" s="81" t="e">
        <f>+SUMIF(#REF!,BY7,#REF!)</f>
        <v>#REF!</v>
      </c>
      <c r="BZ25" s="81" t="e">
        <f>+SUMIF(#REF!,BZ7,#REF!)</f>
        <v>#REF!</v>
      </c>
      <c r="CA25" s="81" t="e">
        <f>+SUMIF(#REF!,CA7,#REF!)</f>
        <v>#REF!</v>
      </c>
      <c r="CB25" s="81" t="e">
        <f>+SUMIF(#REF!,CB7,#REF!)</f>
        <v>#REF!</v>
      </c>
      <c r="CC25" s="81" t="e">
        <f>+SUMIF(#REF!,CC7,#REF!)</f>
        <v>#REF!</v>
      </c>
      <c r="CD25" s="81" t="e">
        <f>+SUMIF(#REF!,CD7,#REF!)</f>
        <v>#REF!</v>
      </c>
      <c r="CE25" s="81" t="e">
        <f>+SUMIF(#REF!,CE7,#REF!)</f>
        <v>#REF!</v>
      </c>
      <c r="CF25" s="81" t="e">
        <f>+SUMIF(#REF!,CF7,#REF!)</f>
        <v>#REF!</v>
      </c>
      <c r="CG25" s="81" t="e">
        <f>+SUMIF(#REF!,CG7,#REF!)</f>
        <v>#REF!</v>
      </c>
      <c r="CH25" s="81" t="e">
        <f>+SUMIF(#REF!,CH7,#REF!)</f>
        <v>#REF!</v>
      </c>
      <c r="CI25" s="81" t="e">
        <f>+SUMIF(#REF!,CI7,#REF!)</f>
        <v>#REF!</v>
      </c>
      <c r="CJ25" s="81" t="e">
        <f>+SUMIF(#REF!,CJ7,#REF!)</f>
        <v>#REF!</v>
      </c>
      <c r="CK25" s="81" t="e">
        <f>+SUMIF(#REF!,CK7,#REF!)</f>
        <v>#REF!</v>
      </c>
      <c r="CL25" s="81" t="e">
        <f>+SUMIF(#REF!,CL7,#REF!)</f>
        <v>#REF!</v>
      </c>
      <c r="CM25" s="81" t="e">
        <f>+SUMIF(#REF!,CM7,#REF!)</f>
        <v>#REF!</v>
      </c>
      <c r="CN25" s="81" t="e">
        <f>+SUMIF(#REF!,CN7,#REF!)</f>
        <v>#REF!</v>
      </c>
      <c r="CO25" s="81" t="e">
        <f>+SUMIF(#REF!,CO7,#REF!)</f>
        <v>#REF!</v>
      </c>
      <c r="CP25" s="81" t="e">
        <f>+SUMIF(#REF!,CP7,#REF!)</f>
        <v>#REF!</v>
      </c>
      <c r="CQ25" s="81" t="e">
        <f>+SUMIF(#REF!,CQ7,#REF!)</f>
        <v>#REF!</v>
      </c>
      <c r="CR25" s="81" t="e">
        <f>+SUMIF(#REF!,CR7,#REF!)</f>
        <v>#REF!</v>
      </c>
      <c r="CS25" s="81"/>
      <c r="CT25" s="81" t="e">
        <f>SUM(AO25:CS25)</f>
        <v>#REF!</v>
      </c>
      <c r="CU25" s="81" t="e">
        <f>SUM(AI25:CS25)</f>
        <v>#REF!</v>
      </c>
      <c r="CV25" s="81">
        <f>SUM(CW25:CX25,CZ25)</f>
        <v>0</v>
      </c>
      <c r="CW25" s="81"/>
      <c r="CX25" s="81"/>
      <c r="CY25" s="81">
        <f>+SUM(CW25:CX25)</f>
        <v>0</v>
      </c>
      <c r="CZ25" s="81"/>
      <c r="DB25" s="33"/>
      <c r="DC25" s="81" t="e">
        <f>+SUMIF(#REF!,DC7,#REF!)</f>
        <v>#REF!</v>
      </c>
      <c r="DD25" s="81" t="e">
        <f>+SUMIF(#REF!,DD7,#REF!)</f>
        <v>#REF!</v>
      </c>
      <c r="DE25" s="81" t="e">
        <f>+SUMIF(#REF!,DE7,#REF!)</f>
        <v>#REF!</v>
      </c>
    </row>
    <row r="26" spans="2:109" s="74" customFormat="true" ht="28.5" customHeight="true">
      <c r="B26" s="89" t="s">
        <v>31470</v>
      </c>
      <c r="C26" s="90">
        <f>SUM(D26,CV26)</f>
        <v>0</v>
      </c>
      <c r="D26" s="91">
        <f>SUM(E26:I26,K26:L26,N26:S26,U26:V26,X26:Y26,AA26:CS26)</f>
        <v>0</v>
      </c>
      <c r="E26" s="94"/>
      <c r="F26" s="94"/>
      <c r="G26" s="94"/>
      <c r="H26" s="94"/>
      <c r="I26" s="94"/>
      <c r="J26" s="91">
        <f>SUM(E26:I26)</f>
        <v>0</v>
      </c>
      <c r="K26" s="94"/>
      <c r="L26" s="94"/>
      <c r="M26" s="91"/>
      <c r="N26" s="91"/>
      <c r="O26" s="91"/>
      <c r="P26" s="91"/>
      <c r="Q26" s="91"/>
      <c r="R26" s="91"/>
      <c r="S26" s="91"/>
      <c r="T26" s="91"/>
      <c r="U26" s="91"/>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c r="BZ26" s="91"/>
      <c r="CA26" s="91"/>
      <c r="CB26" s="91"/>
      <c r="CC26" s="91"/>
      <c r="CD26" s="91"/>
      <c r="CE26" s="91"/>
      <c r="CF26" s="91"/>
      <c r="CG26" s="91"/>
      <c r="CH26" s="91"/>
      <c r="CI26" s="91"/>
      <c r="CJ26" s="91"/>
      <c r="CK26" s="91"/>
      <c r="CL26" s="91"/>
      <c r="CM26" s="91"/>
      <c r="CN26" s="91"/>
      <c r="CO26" s="91"/>
      <c r="CP26" s="91"/>
      <c r="CQ26" s="91"/>
      <c r="CR26" s="91"/>
      <c r="CS26" s="91"/>
      <c r="CT26" s="91"/>
      <c r="CU26" s="91"/>
      <c r="CV26" s="91"/>
      <c r="CW26" s="91"/>
      <c r="CX26" s="91"/>
      <c r="CY26" s="91"/>
      <c r="CZ26" s="91"/>
      <c r="DA26" s="102"/>
      <c r="DB26" s="102"/>
      <c r="DC26" s="91"/>
      <c r="DD26" s="91"/>
      <c r="DE26" s="91"/>
    </row>
    <row r="27" spans="2:109">
      <c r="B27" s="86" t="s">
        <v>31471</v>
      </c>
      <c r="C27" s="80" t="e">
        <f ca="true">SUM(D27,CV27)</f>
        <v>#REF!</v>
      </c>
      <c r="D27" s="81" t="e">
        <f ca="true">SUM(E27:I27,K27:L27,N27:S27,U27:V27,X27:Y27,AA27:CS27)</f>
        <v>#REF!</v>
      </c>
      <c r="E27" s="81" t="e">
        <f ca="true">+SUM(E24:E26)</f>
        <v>#REF!</v>
      </c>
      <c r="F27" s="81" t="e">
        <f ca="true">+SUM(F24:F26)</f>
        <v>#REF!</v>
      </c>
      <c r="G27" s="81" t="e">
        <f ca="true">+SUM(G24:G26)</f>
        <v>#REF!</v>
      </c>
      <c r="H27" s="81" t="e">
        <f ca="true">+SUM(H24:H26)</f>
        <v>#REF!</v>
      </c>
      <c r="I27" s="81" t="e">
        <f ca="true">+SUM(I24:I26)</f>
        <v>#REF!</v>
      </c>
      <c r="J27" s="81" t="e">
        <f ca="true">SUM(E27:I27)</f>
        <v>#REF!</v>
      </c>
      <c r="K27" s="81" t="e">
        <f ca="true">+SUM(K24:K26)</f>
        <v>#REF!</v>
      </c>
      <c r="L27" s="81" t="e">
        <f ca="true">+SUM(L24:L26)</f>
        <v>#REF!</v>
      </c>
      <c r="M27" s="81" t="e">
        <f ca="true">+SUM(K27:L27)</f>
        <v>#REF!</v>
      </c>
      <c r="N27" s="81" t="e">
        <f t="shared" ref="N27:S27" ca="true" si="9">+SUM(N24:N25)</f>
        <v>#REF!</v>
      </c>
      <c r="O27" s="81" t="e">
        <f t="shared" ca="true" si="9"/>
        <v>#REF!</v>
      </c>
      <c r="P27" s="81" t="e">
        <f t="shared" ca="true" si="9"/>
        <v>#REF!</v>
      </c>
      <c r="Q27" s="81" t="e">
        <f t="shared" ca="true" si="9"/>
        <v>#REF!</v>
      </c>
      <c r="R27" s="81" t="e">
        <f t="shared" ca="true" si="9"/>
        <v>#REF!</v>
      </c>
      <c r="S27" s="81" t="e">
        <f t="shared" ca="true" si="9"/>
        <v>#REF!</v>
      </c>
      <c r="T27" s="81" t="e">
        <f ca="true">SUM(N27:S27)</f>
        <v>#REF!</v>
      </c>
      <c r="U27" s="81" t="e">
        <f ca="true">+SUM(U24:U25)</f>
        <v>#REF!</v>
      </c>
      <c r="V27" s="81" t="e">
        <f ca="true">+SUM(V24:V25)</f>
        <v>#REF!</v>
      </c>
      <c r="W27" s="81" t="e">
        <f ca="true">SUM(N27:S27,U27:V27)</f>
        <v>#REF!</v>
      </c>
      <c r="X27" s="81" t="e">
        <f ca="true">+SUM(X24:X25)</f>
        <v>#REF!</v>
      </c>
      <c r="Y27" s="81" t="e">
        <f ca="true">+SUM(Y24:Y25)</f>
        <v>#REF!</v>
      </c>
      <c r="Z27" s="81" t="e">
        <f ca="true">SUM(X27:Y27)</f>
        <v>#REF!</v>
      </c>
      <c r="AA27" s="81" t="e">
        <f t="shared" ref="AA27:AF27" ca="true" si="10">+SUM(AA24:AA25)</f>
        <v>#REF!</v>
      </c>
      <c r="AB27" s="81" t="e">
        <f t="shared" ca="true" si="10"/>
        <v>#REF!</v>
      </c>
      <c r="AC27" s="81" t="e">
        <f t="shared" ca="true" si="10"/>
        <v>#REF!</v>
      </c>
      <c r="AD27" s="81" t="e">
        <f t="shared" ca="true" si="10"/>
        <v>#REF!</v>
      </c>
      <c r="AE27" s="81" t="e">
        <f t="shared" ca="true" si="10"/>
        <v>#REF!</v>
      </c>
      <c r="AF27" s="81" t="e">
        <f t="shared" ca="true" si="10"/>
        <v>#REF!</v>
      </c>
      <c r="AG27" s="81" t="e">
        <f ca="true">+SUM(AG24:AG26)</f>
        <v>#REF!</v>
      </c>
      <c r="AH27" s="81" t="e">
        <f t="shared" ref="AH27:BK27" ca="true" si="11">+SUM(AH24:AH25)</f>
        <v>#REF!</v>
      </c>
      <c r="AI27" s="81" t="e">
        <f t="shared" ca="true" si="11"/>
        <v>#REF!</v>
      </c>
      <c r="AJ27" s="81" t="e">
        <f t="shared" ca="true" si="11"/>
        <v>#REF!</v>
      </c>
      <c r="AK27" s="81" t="e">
        <f t="shared" ca="true" si="11"/>
        <v>#REF!</v>
      </c>
      <c r="AL27" s="81" t="e">
        <f t="shared" ca="true" si="11"/>
        <v>#REF!</v>
      </c>
      <c r="AM27" s="81" t="e">
        <f t="shared" ca="true" si="11"/>
        <v>#REF!</v>
      </c>
      <c r="AN27" s="81" t="e">
        <f t="shared" ca="true" si="11"/>
        <v>#REF!</v>
      </c>
      <c r="AO27" s="81" t="e">
        <f t="shared" ca="true" si="11"/>
        <v>#REF!</v>
      </c>
      <c r="AP27" s="81" t="e">
        <f t="shared" ca="true" si="11"/>
        <v>#REF!</v>
      </c>
      <c r="AQ27" s="81" t="e">
        <f t="shared" ca="true" si="11"/>
        <v>#REF!</v>
      </c>
      <c r="AR27" s="81" t="e">
        <f t="shared" ca="true" si="11"/>
        <v>#REF!</v>
      </c>
      <c r="AS27" s="81" t="e">
        <f t="shared" ca="true" si="11"/>
        <v>#REF!</v>
      </c>
      <c r="AT27" s="81" t="e">
        <f t="shared" ca="true" si="11"/>
        <v>#REF!</v>
      </c>
      <c r="AU27" s="81" t="e">
        <f t="shared" ca="true" si="11"/>
        <v>#REF!</v>
      </c>
      <c r="AV27" s="81" t="e">
        <f t="shared" ca="true" si="11"/>
        <v>#REF!</v>
      </c>
      <c r="AW27" s="81" t="e">
        <f t="shared" ca="true" si="11"/>
        <v>#REF!</v>
      </c>
      <c r="AX27" s="81" t="e">
        <f t="shared" ca="true" si="11"/>
        <v>#REF!</v>
      </c>
      <c r="AY27" s="81" t="e">
        <f t="shared" ca="true" si="11"/>
        <v>#REF!</v>
      </c>
      <c r="AZ27" s="81" t="e">
        <f t="shared" ca="true" si="11"/>
        <v>#REF!</v>
      </c>
      <c r="BA27" s="81" t="e">
        <f t="shared" ca="true" si="11"/>
        <v>#REF!</v>
      </c>
      <c r="BB27" s="81" t="e">
        <f t="shared" ca="true" si="11"/>
        <v>#REF!</v>
      </c>
      <c r="BC27" s="81" t="e">
        <f t="shared" ca="true" si="11"/>
        <v>#REF!</v>
      </c>
      <c r="BD27" s="81" t="e">
        <f t="shared" ca="true" si="11"/>
        <v>#REF!</v>
      </c>
      <c r="BE27" s="81" t="e">
        <f t="shared" ca="true" si="11"/>
        <v>#REF!</v>
      </c>
      <c r="BF27" s="81" t="e">
        <f t="shared" ca="true" si="11"/>
        <v>#REF!</v>
      </c>
      <c r="BG27" s="81" t="e">
        <f t="shared" ca="true" si="11"/>
        <v>#REF!</v>
      </c>
      <c r="BH27" s="81" t="e">
        <f t="shared" ca="true" si="11"/>
        <v>#REF!</v>
      </c>
      <c r="BI27" s="81" t="e">
        <f t="shared" ca="true" si="11"/>
        <v>#REF!</v>
      </c>
      <c r="BJ27" s="81" t="e">
        <f t="shared" ca="true" si="11"/>
        <v>#REF!</v>
      </c>
      <c r="BK27" s="81" t="e">
        <f t="shared" ca="true" si="11"/>
        <v>#REF!</v>
      </c>
      <c r="BL27" s="81" t="e">
        <f ca="true">+SUM(BL24:BL26)</f>
        <v>#REF!</v>
      </c>
      <c r="BM27" s="81" t="e">
        <f t="shared" ref="BM27:BS27" ca="true" si="12">+SUM(BM24:BM25)</f>
        <v>#REF!</v>
      </c>
      <c r="BN27" s="81" t="e">
        <f t="shared" ca="true" si="12"/>
        <v>#REF!</v>
      </c>
      <c r="BO27" s="81" t="e">
        <f t="shared" ca="true" si="12"/>
        <v>#REF!</v>
      </c>
      <c r="BP27" s="81" t="e">
        <f t="shared" ca="true" si="12"/>
        <v>#REF!</v>
      </c>
      <c r="BQ27" s="81" t="e">
        <f t="shared" ca="true" si="12"/>
        <v>#REF!</v>
      </c>
      <c r="BR27" s="81" t="e">
        <f t="shared" ca="true" si="12"/>
        <v>#REF!</v>
      </c>
      <c r="BS27" s="81" t="e">
        <f t="shared" ca="true" si="12"/>
        <v>#REF!</v>
      </c>
      <c r="BT27" s="81" t="e">
        <f ca="true">+SUM(BT24:BT26)</f>
        <v>#REF!</v>
      </c>
      <c r="BU27" s="81" t="e">
        <f t="shared" ref="BU27:CF27" ca="true" si="13">+SUM(BU24:BU25)</f>
        <v>#REF!</v>
      </c>
      <c r="BV27" s="81" t="e">
        <f t="shared" ca="true" si="13"/>
        <v>#REF!</v>
      </c>
      <c r="BW27" s="81" t="e">
        <f t="shared" ca="true" si="13"/>
        <v>#REF!</v>
      </c>
      <c r="BX27" s="81" t="e">
        <f t="shared" ca="true" si="13"/>
        <v>#REF!</v>
      </c>
      <c r="BY27" s="81" t="e">
        <f t="shared" ca="true" si="13"/>
        <v>#REF!</v>
      </c>
      <c r="BZ27" s="81" t="e">
        <f t="shared" ca="true" si="13"/>
        <v>#REF!</v>
      </c>
      <c r="CA27" s="81" t="e">
        <f t="shared" ca="true" si="13"/>
        <v>#REF!</v>
      </c>
      <c r="CB27" s="81" t="e">
        <f t="shared" ca="true" si="13"/>
        <v>#REF!</v>
      </c>
      <c r="CC27" s="81" t="e">
        <f t="shared" ca="true" si="13"/>
        <v>#REF!</v>
      </c>
      <c r="CD27" s="81" t="e">
        <f t="shared" ca="true" si="13"/>
        <v>#REF!</v>
      </c>
      <c r="CE27" s="81" t="e">
        <f t="shared" ca="true" si="13"/>
        <v>#REF!</v>
      </c>
      <c r="CF27" s="81" t="e">
        <f t="shared" ca="true" si="13"/>
        <v>#REF!</v>
      </c>
      <c r="CG27" s="81" t="e">
        <f ca="true">SUM(CG24:CG26)</f>
        <v>#REF!</v>
      </c>
      <c r="CH27" s="81" t="e">
        <f t="shared" ref="CH27:CR27" ca="true" si="14">+SUM(CH24:CH25)</f>
        <v>#REF!</v>
      </c>
      <c r="CI27" s="81" t="e">
        <f t="shared" ca="true" si="14"/>
        <v>#REF!</v>
      </c>
      <c r="CJ27" s="81" t="e">
        <f t="shared" ca="true" si="14"/>
        <v>#REF!</v>
      </c>
      <c r="CK27" s="81" t="e">
        <f t="shared" ca="true" si="14"/>
        <v>#REF!</v>
      </c>
      <c r="CL27" s="81" t="e">
        <f t="shared" ca="true" si="14"/>
        <v>#REF!</v>
      </c>
      <c r="CM27" s="81" t="e">
        <f t="shared" ca="true" si="14"/>
        <v>#REF!</v>
      </c>
      <c r="CN27" s="81" t="e">
        <f t="shared" ca="true" si="14"/>
        <v>#REF!</v>
      </c>
      <c r="CO27" s="81" t="e">
        <f t="shared" ca="true" si="14"/>
        <v>#REF!</v>
      </c>
      <c r="CP27" s="81" t="e">
        <f t="shared" ca="true" si="14"/>
        <v>#REF!</v>
      </c>
      <c r="CQ27" s="81" t="e">
        <f t="shared" ca="true" si="14"/>
        <v>#REF!</v>
      </c>
      <c r="CR27" s="81" t="e">
        <f t="shared" ca="true" si="14"/>
        <v>#REF!</v>
      </c>
      <c r="CS27" s="81"/>
      <c r="CT27" s="81" t="e">
        <f ca="true">SUM(AO27:CS27)</f>
        <v>#REF!</v>
      </c>
      <c r="CU27" s="81" t="e">
        <f ca="true">SUM(AI27:CS27)</f>
        <v>#REF!</v>
      </c>
      <c r="CV27" s="81">
        <f>SUM(CW27:CX27,CZ27)</f>
        <v>0</v>
      </c>
      <c r="CW27" s="81"/>
      <c r="CX27" s="81"/>
      <c r="CY27" s="81">
        <f>+SUM(CW27:CX27)</f>
        <v>0</v>
      </c>
      <c r="CZ27" s="81"/>
      <c r="DB27" s="33"/>
      <c r="DC27" s="81" t="e">
        <f ca="true">+SUM(DC24:DC25)</f>
        <v>#REF!</v>
      </c>
      <c r="DD27" s="81" t="e">
        <f ca="true">+SUM(DD24:DD25)</f>
        <v>#REF!</v>
      </c>
      <c r="DE27" s="81" t="e">
        <f ca="true">+SUM(DE24:DE25)</f>
        <v>#REF!</v>
      </c>
    </row>
    <row r="28" spans="2:109">
      <c r="B28" s="86"/>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c r="BL28" s="81"/>
      <c r="BM28" s="81"/>
      <c r="BN28" s="81"/>
      <c r="BO28" s="81"/>
      <c r="BP28" s="81"/>
      <c r="BQ28" s="81"/>
      <c r="BR28" s="81"/>
      <c r="BS28" s="81"/>
      <c r="BT28" s="81"/>
      <c r="BU28" s="81"/>
      <c r="BV28" s="81"/>
      <c r="BW28" s="81"/>
      <c r="BX28" s="81"/>
      <c r="BY28" s="81"/>
      <c r="BZ28" s="81"/>
      <c r="CA28" s="81"/>
      <c r="CB28" s="81"/>
      <c r="CC28" s="81"/>
      <c r="CD28" s="81"/>
      <c r="CE28" s="81"/>
      <c r="CF28" s="81"/>
      <c r="CG28" s="81"/>
      <c r="CH28" s="81"/>
      <c r="CI28" s="81"/>
      <c r="CJ28" s="81"/>
      <c r="CK28" s="81"/>
      <c r="CL28" s="81"/>
      <c r="CM28" s="81"/>
      <c r="CN28" s="81"/>
      <c r="CO28" s="81"/>
      <c r="CP28" s="81"/>
      <c r="CQ28" s="81"/>
      <c r="CR28" s="81"/>
      <c r="CS28" s="81"/>
      <c r="CT28" s="81"/>
      <c r="CU28" s="81"/>
      <c r="CV28" s="81"/>
      <c r="CW28" s="81"/>
      <c r="CX28" s="81"/>
      <c r="CY28" s="81"/>
      <c r="CZ28" s="81"/>
      <c r="DB28" s="33"/>
      <c r="DC28" s="81"/>
      <c r="DD28" s="81"/>
      <c r="DE28" s="81"/>
    </row>
    <row r="29" spans="2:109">
      <c r="B29" s="86" t="s">
        <v>31472</v>
      </c>
      <c r="C29" s="80">
        <f ca="true">SUM(D29,CV29)</f>
        <v>2647485.05</v>
      </c>
      <c r="D29" s="81">
        <f ca="true">SUM(E29:I29,K29:L29,N29:S29,U29:V29,X29:Y29,AA29:CS29)</f>
        <v>2647485.05</v>
      </c>
      <c r="E29" s="81">
        <f ca="true">+E18</f>
        <v>2454269.06</v>
      </c>
      <c r="F29" s="81">
        <f ca="true">+F18</f>
        <v>-29442.85</v>
      </c>
      <c r="G29" s="81">
        <f ca="true">+G18</f>
        <v>-13762.15</v>
      </c>
      <c r="H29" s="81">
        <f ca="true">+H18</f>
        <v>0</v>
      </c>
      <c r="I29" s="81">
        <f ca="true">+I18</f>
        <v>20205.23</v>
      </c>
      <c r="J29" s="81">
        <f ca="true">SUM(E29:I29)</f>
        <v>2431269.29</v>
      </c>
      <c r="K29" s="81">
        <f ca="true">+K18</f>
        <v>1655667.56</v>
      </c>
      <c r="L29" s="81">
        <f ca="true">+L18</f>
        <v>-60279.34</v>
      </c>
      <c r="M29" s="81">
        <f ca="true">+SUM(K29:L29)</f>
        <v>1595388.22</v>
      </c>
      <c r="N29" s="81">
        <f t="shared" ref="N29:S29" ca="true" si="15">+N18</f>
        <v>121746.88</v>
      </c>
      <c r="O29" s="81">
        <f t="shared" ca="true" si="15"/>
        <v>4876.78</v>
      </c>
      <c r="P29" s="81">
        <f t="shared" ca="true" si="15"/>
        <v>14213.66</v>
      </c>
      <c r="Q29" s="81">
        <f t="shared" ca="true" si="15"/>
        <v>10760.2</v>
      </c>
      <c r="R29" s="81">
        <f t="shared" ca="true" si="15"/>
        <v>22234.57</v>
      </c>
      <c r="S29" s="81">
        <f t="shared" ca="true" si="15"/>
        <v>6242.99</v>
      </c>
      <c r="T29" s="81">
        <f ca="true">SUM(N29:S29)</f>
        <v>180075.08</v>
      </c>
      <c r="U29" s="81">
        <f ca="true">+U18</f>
        <v>39404.32</v>
      </c>
      <c r="V29" s="81">
        <f ca="true">+V18</f>
        <v>65947.14</v>
      </c>
      <c r="W29" s="81">
        <f ca="true">SUM(N29:S29,U29:V29)</f>
        <v>285426.54</v>
      </c>
      <c r="X29" s="81">
        <f ca="true">+X18</f>
        <v>45807.22</v>
      </c>
      <c r="Y29" s="81">
        <f ca="true">+Y18</f>
        <v>1823.38</v>
      </c>
      <c r="Z29" s="81">
        <f ca="true">SUM(X29:Y29)</f>
        <v>47630.6</v>
      </c>
      <c r="AA29" s="81">
        <f t="shared" ref="AA29:CL29" ca="true" si="16">+AA18</f>
        <v>63811.52</v>
      </c>
      <c r="AB29" s="81">
        <f t="shared" ca="true" si="16"/>
        <v>33107.65</v>
      </c>
      <c r="AC29" s="81">
        <f t="shared" ca="true" si="16"/>
        <v>-117892.35</v>
      </c>
      <c r="AD29" s="81">
        <f t="shared" ca="true" si="16"/>
        <v>0</v>
      </c>
      <c r="AE29" s="81">
        <f t="shared" ca="true" si="16"/>
        <v>-158951.94</v>
      </c>
      <c r="AF29" s="81">
        <f t="shared" ca="true" si="16"/>
        <v>0</v>
      </c>
      <c r="AG29" s="81">
        <f t="shared" ca="true" si="16"/>
        <v>-2663136.55</v>
      </c>
      <c r="AH29" s="81">
        <f t="shared" ca="true" si="16"/>
        <v>-41379.27</v>
      </c>
      <c r="AI29" s="81">
        <f t="shared" ca="true" si="16"/>
        <v>17526.66</v>
      </c>
      <c r="AJ29" s="81">
        <f t="shared" ca="true" si="16"/>
        <v>8293.25</v>
      </c>
      <c r="AK29" s="81">
        <f t="shared" ca="true" si="16"/>
        <v>1498.06</v>
      </c>
      <c r="AL29" s="81">
        <f t="shared" ca="true" si="16"/>
        <v>35245.41</v>
      </c>
      <c r="AM29" s="81">
        <f t="shared" ca="true" si="16"/>
        <v>17686.12</v>
      </c>
      <c r="AN29" s="81">
        <f t="shared" ca="true" si="16"/>
        <v>-110400.77</v>
      </c>
      <c r="AO29" s="81">
        <f t="shared" ca="true" si="16"/>
        <v>-2885.9</v>
      </c>
      <c r="AP29" s="81">
        <f t="shared" ca="true" si="16"/>
        <v>-69018.23</v>
      </c>
      <c r="AQ29" s="81">
        <f t="shared" ca="true" si="16"/>
        <v>42292.82</v>
      </c>
      <c r="AR29" s="81">
        <f t="shared" ca="true" si="16"/>
        <v>0</v>
      </c>
      <c r="AS29" s="81">
        <f t="shared" ca="true" si="16"/>
        <v>-17446.53</v>
      </c>
      <c r="AT29" s="81">
        <f t="shared" ca="true" si="16"/>
        <v>0</v>
      </c>
      <c r="AU29" s="81">
        <f t="shared" ca="true" si="16"/>
        <v>13979.11</v>
      </c>
      <c r="AV29" s="81">
        <f t="shared" ca="true" si="16"/>
        <v>-8831.81</v>
      </c>
      <c r="AW29" s="81">
        <f t="shared" ca="true" si="16"/>
        <v>64437.91</v>
      </c>
      <c r="AX29" s="81">
        <f t="shared" ca="true" si="16"/>
        <v>24077.4</v>
      </c>
      <c r="AY29" s="81">
        <f t="shared" ca="true" si="16"/>
        <v>0</v>
      </c>
      <c r="AZ29" s="81">
        <f t="shared" ca="true" si="16"/>
        <v>0</v>
      </c>
      <c r="BA29" s="81">
        <f t="shared" ca="true" si="16"/>
        <v>0</v>
      </c>
      <c r="BB29" s="81">
        <f t="shared" ca="true" si="16"/>
        <v>27210.98</v>
      </c>
      <c r="BC29" s="81">
        <f t="shared" ca="true" si="16"/>
        <v>11022.42</v>
      </c>
      <c r="BD29" s="81">
        <f t="shared" ca="true" si="16"/>
        <v>0</v>
      </c>
      <c r="BE29" s="81">
        <f t="shared" ca="true" si="16"/>
        <v>42962.55</v>
      </c>
      <c r="BF29" s="81">
        <f t="shared" ca="true" si="16"/>
        <v>26673.78</v>
      </c>
      <c r="BG29" s="81">
        <f t="shared" ca="true" si="16"/>
        <v>26749.8</v>
      </c>
      <c r="BH29" s="81">
        <f t="shared" ca="true" si="16"/>
        <v>0</v>
      </c>
      <c r="BI29" s="81">
        <f t="shared" ca="true" si="16"/>
        <v>53292.1</v>
      </c>
      <c r="BJ29" s="81">
        <f t="shared" ca="true" si="16"/>
        <v>25830.42</v>
      </c>
      <c r="BK29" s="81">
        <f t="shared" ca="true" si="16"/>
        <v>25118.42</v>
      </c>
      <c r="BL29" s="81">
        <f t="shared" ca="true" si="16"/>
        <v>0</v>
      </c>
      <c r="BM29" s="81">
        <f t="shared" ca="true" si="16"/>
        <v>2988.72</v>
      </c>
      <c r="BN29" s="81">
        <f t="shared" ca="true" si="16"/>
        <v>46269.16</v>
      </c>
      <c r="BO29" s="81">
        <f t="shared" ca="true" si="16"/>
        <v>37847.07</v>
      </c>
      <c r="BP29" s="81">
        <f t="shared" ca="true" si="16"/>
        <v>19744.08</v>
      </c>
      <c r="BQ29" s="81">
        <f t="shared" ca="true" si="16"/>
        <v>0</v>
      </c>
      <c r="BR29" s="81">
        <f t="shared" ca="true" si="16"/>
        <v>33217.9</v>
      </c>
      <c r="BS29" s="81">
        <f t="shared" ca="true" si="16"/>
        <v>38104.93</v>
      </c>
      <c r="BT29" s="81">
        <f t="shared" ca="true" si="16"/>
        <v>-81100.76</v>
      </c>
      <c r="BU29" s="81">
        <f t="shared" ca="true" si="16"/>
        <v>0</v>
      </c>
      <c r="BV29" s="81">
        <f t="shared" ca="true" si="16"/>
        <v>0</v>
      </c>
      <c r="BW29" s="81">
        <f t="shared" ca="true" si="16"/>
        <v>0</v>
      </c>
      <c r="BX29" s="81">
        <f t="shared" ca="true" si="16"/>
        <v>195800.22</v>
      </c>
      <c r="BY29" s="81">
        <f t="shared" ca="true" si="16"/>
        <v>32948.72</v>
      </c>
      <c r="BZ29" s="81">
        <f t="shared" ca="true" si="16"/>
        <v>0</v>
      </c>
      <c r="CA29" s="81">
        <f t="shared" ca="true" si="16"/>
        <v>35519.46</v>
      </c>
      <c r="CB29" s="81">
        <f t="shared" ca="true" si="16"/>
        <v>0</v>
      </c>
      <c r="CC29" s="81">
        <f t="shared" ca="true" si="16"/>
        <v>569481.13</v>
      </c>
      <c r="CD29" s="81">
        <f t="shared" ca="true" si="16"/>
        <v>32734.6</v>
      </c>
      <c r="CE29" s="81">
        <f t="shared" ca="true" si="16"/>
        <v>-45621.68</v>
      </c>
      <c r="CF29" s="81">
        <f t="shared" ca="true" si="16"/>
        <v>-46115.09</v>
      </c>
      <c r="CG29" s="81">
        <f t="shared" ca="true" si="16"/>
        <v>-16198.03</v>
      </c>
      <c r="CH29" s="81">
        <f t="shared" ca="true" si="16"/>
        <v>48708.51</v>
      </c>
      <c r="CI29" s="81">
        <f t="shared" ca="true" si="16"/>
        <v>0</v>
      </c>
      <c r="CJ29" s="81">
        <f t="shared" ca="true" si="16"/>
        <v>-10704.71</v>
      </c>
      <c r="CK29" s="81">
        <f t="shared" ca="true" si="16"/>
        <v>10251.45</v>
      </c>
      <c r="CL29" s="81">
        <f t="shared" ca="true" si="16"/>
        <v>11963.92</v>
      </c>
      <c r="CM29" s="81">
        <f t="shared" ref="CM29:CR29" ca="true" si="17">+CM18</f>
        <v>44063.49</v>
      </c>
      <c r="CN29" s="81">
        <f t="shared" ca="true" si="17"/>
        <v>-15651.53</v>
      </c>
      <c r="CO29" s="81">
        <f t="shared" ca="true" si="17"/>
        <v>32372.41</v>
      </c>
      <c r="CP29" s="81">
        <f t="shared" ca="true" si="17"/>
        <v>-62184.96</v>
      </c>
      <c r="CQ29" s="81">
        <f t="shared" ca="true" si="17"/>
        <v>16539.07</v>
      </c>
      <c r="CR29" s="81">
        <f t="shared" ca="true" si="17"/>
        <v>-14080.71</v>
      </c>
      <c r="CS29" s="81"/>
      <c r="CT29" s="81">
        <f ca="true">SUM(AO29:CS29)</f>
        <v>1202362.61</v>
      </c>
      <c r="CU29" s="81">
        <f ca="true">SUM(AI29:CS29)</f>
        <v>1172211.34</v>
      </c>
      <c r="CV29" s="81">
        <f ca="true">SUM(CW29:CX29,CZ29)</f>
        <v>0</v>
      </c>
      <c r="CW29" s="81"/>
      <c r="CX29" s="81"/>
      <c r="CY29" s="81">
        <f>+SUM(CW29:CX29)</f>
        <v>0</v>
      </c>
      <c r="CZ29" s="81">
        <f ca="true">+CZ18</f>
        <v>0</v>
      </c>
      <c r="DB29" s="33"/>
      <c r="DC29" s="81">
        <f ca="true">+DC18</f>
        <v>0</v>
      </c>
      <c r="DD29" s="81">
        <f ca="true">+DD18</f>
        <v>0</v>
      </c>
      <c r="DE29" s="81">
        <f ca="true">+DE18</f>
        <v>119093.79</v>
      </c>
    </row>
    <row r="30" spans="2:109">
      <c r="B30" s="86"/>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c r="BF30" s="81"/>
      <c r="BG30" s="81"/>
      <c r="BH30" s="81"/>
      <c r="BI30" s="81"/>
      <c r="BJ30" s="81"/>
      <c r="BK30" s="81"/>
      <c r="BL30" s="81"/>
      <c r="BM30" s="81"/>
      <c r="BN30" s="81"/>
      <c r="BO30" s="81"/>
      <c r="BP30" s="81"/>
      <c r="BQ30" s="81"/>
      <c r="BR30" s="81"/>
      <c r="BS30" s="81"/>
      <c r="BT30" s="81"/>
      <c r="BU30" s="81"/>
      <c r="BV30" s="81"/>
      <c r="BW30" s="81"/>
      <c r="BX30" s="81"/>
      <c r="BY30" s="81"/>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1"/>
      <c r="CY30" s="81"/>
      <c r="CZ30" s="81"/>
      <c r="DB30" s="33"/>
      <c r="DC30" s="81"/>
      <c r="DD30" s="81"/>
      <c r="DE30" s="81"/>
    </row>
    <row r="31" spans="2:109" ht="15.75">
      <c r="B31" s="82" t="s">
        <v>13909</v>
      </c>
      <c r="C31" s="83" t="e">
        <f ca="true">SUM(D31,CV31)</f>
        <v>#REF!</v>
      </c>
      <c r="D31" s="83" t="e">
        <f ca="true">SUM(E31:I31,K31:L31,N31:S31,U31:V31,X31:Y31,AA31:CS31)</f>
        <v>#REF!</v>
      </c>
      <c r="E31" s="83" t="e">
        <f ca="true">+E29-E27</f>
        <v>#REF!</v>
      </c>
      <c r="F31" s="83" t="e">
        <f ca="true">+F29-F27</f>
        <v>#REF!</v>
      </c>
      <c r="G31" s="83" t="e">
        <f ca="true">+G29-G27</f>
        <v>#REF!</v>
      </c>
      <c r="H31" s="83" t="e">
        <f ca="true">+H29-H27</f>
        <v>#REF!</v>
      </c>
      <c r="I31" s="83" t="e">
        <f ca="true">+I29-I27</f>
        <v>#REF!</v>
      </c>
      <c r="J31" s="83" t="e">
        <f ca="true">SUM(E31:I31)</f>
        <v>#REF!</v>
      </c>
      <c r="K31" s="83" t="e">
        <f ca="true">+K29-K27</f>
        <v>#REF!</v>
      </c>
      <c r="L31" s="83" t="e">
        <f ca="true">+L29-L27</f>
        <v>#REF!</v>
      </c>
      <c r="M31" s="83" t="e">
        <f ca="true">+SUM(K31:L31)</f>
        <v>#REF!</v>
      </c>
      <c r="N31" s="83" t="e">
        <f t="shared" ref="N31:S31" ca="true" si="18">+N29-N27</f>
        <v>#REF!</v>
      </c>
      <c r="O31" s="83" t="e">
        <f t="shared" ca="true" si="18"/>
        <v>#REF!</v>
      </c>
      <c r="P31" s="83" t="e">
        <f t="shared" ca="true" si="18"/>
        <v>#REF!</v>
      </c>
      <c r="Q31" s="83" t="e">
        <f t="shared" ca="true" si="18"/>
        <v>#REF!</v>
      </c>
      <c r="R31" s="83" t="e">
        <f t="shared" ca="true" si="18"/>
        <v>#REF!</v>
      </c>
      <c r="S31" s="83" t="e">
        <f t="shared" ca="true" si="18"/>
        <v>#REF!</v>
      </c>
      <c r="T31" s="83" t="e">
        <f ca="true">SUM(N31:S31)</f>
        <v>#REF!</v>
      </c>
      <c r="U31" s="83" t="e">
        <f ca="true">+U29-U27</f>
        <v>#REF!</v>
      </c>
      <c r="V31" s="83" t="e">
        <f ca="true">+V29-V27</f>
        <v>#REF!</v>
      </c>
      <c r="W31" s="83" t="e">
        <f ca="true">SUM(N31:S31,U31:V31)</f>
        <v>#REF!</v>
      </c>
      <c r="X31" s="83" t="e">
        <f ca="true">+X29-X27</f>
        <v>#REF!</v>
      </c>
      <c r="Y31" s="83" t="e">
        <f ca="true">+Y29-Y27</f>
        <v>#REF!</v>
      </c>
      <c r="Z31" s="83" t="e">
        <f ca="true">SUM(X31:Y31)</f>
        <v>#REF!</v>
      </c>
      <c r="AA31" s="83" t="e">
        <f t="shared" ref="AA31:CL31" ca="true" si="19">+AA29-AA27</f>
        <v>#REF!</v>
      </c>
      <c r="AB31" s="83" t="e">
        <f t="shared" ca="true" si="19"/>
        <v>#REF!</v>
      </c>
      <c r="AC31" s="83" t="e">
        <f t="shared" ca="true" si="19"/>
        <v>#REF!</v>
      </c>
      <c r="AD31" s="83" t="e">
        <f t="shared" ca="true" si="19"/>
        <v>#REF!</v>
      </c>
      <c r="AE31" s="83" t="e">
        <f t="shared" ca="true" si="19"/>
        <v>#REF!</v>
      </c>
      <c r="AF31" s="83" t="e">
        <f t="shared" ca="true" si="19"/>
        <v>#REF!</v>
      </c>
      <c r="AG31" s="83" t="e">
        <f t="shared" ca="true" si="19"/>
        <v>#REF!</v>
      </c>
      <c r="AH31" s="83" t="e">
        <f t="shared" ca="true" si="19"/>
        <v>#REF!</v>
      </c>
      <c r="AI31" s="83" t="e">
        <f t="shared" ca="true" si="19"/>
        <v>#REF!</v>
      </c>
      <c r="AJ31" s="83" t="e">
        <f t="shared" ca="true" si="19"/>
        <v>#REF!</v>
      </c>
      <c r="AK31" s="83" t="e">
        <f t="shared" ca="true" si="19"/>
        <v>#REF!</v>
      </c>
      <c r="AL31" s="83" t="e">
        <f t="shared" ca="true" si="19"/>
        <v>#REF!</v>
      </c>
      <c r="AM31" s="83" t="e">
        <f t="shared" ca="true" si="19"/>
        <v>#REF!</v>
      </c>
      <c r="AN31" s="83" t="e">
        <f t="shared" ca="true" si="19"/>
        <v>#REF!</v>
      </c>
      <c r="AO31" s="83" t="e">
        <f t="shared" ca="true" si="19"/>
        <v>#REF!</v>
      </c>
      <c r="AP31" s="83" t="e">
        <f t="shared" ca="true" si="19"/>
        <v>#REF!</v>
      </c>
      <c r="AQ31" s="83" t="e">
        <f t="shared" ca="true" si="19"/>
        <v>#REF!</v>
      </c>
      <c r="AR31" s="83" t="e">
        <f t="shared" ca="true" si="19"/>
        <v>#REF!</v>
      </c>
      <c r="AS31" s="83" t="e">
        <f t="shared" ca="true" si="19"/>
        <v>#REF!</v>
      </c>
      <c r="AT31" s="83" t="e">
        <f t="shared" ca="true" si="19"/>
        <v>#REF!</v>
      </c>
      <c r="AU31" s="83" t="e">
        <f t="shared" ca="true" si="19"/>
        <v>#REF!</v>
      </c>
      <c r="AV31" s="83" t="e">
        <f t="shared" ca="true" si="19"/>
        <v>#REF!</v>
      </c>
      <c r="AW31" s="83" t="e">
        <f t="shared" ca="true" si="19"/>
        <v>#REF!</v>
      </c>
      <c r="AX31" s="83" t="e">
        <f t="shared" ca="true" si="19"/>
        <v>#REF!</v>
      </c>
      <c r="AY31" s="83" t="e">
        <f t="shared" ca="true" si="19"/>
        <v>#REF!</v>
      </c>
      <c r="AZ31" s="83" t="e">
        <f t="shared" ca="true" si="19"/>
        <v>#REF!</v>
      </c>
      <c r="BA31" s="83" t="e">
        <f t="shared" ca="true" si="19"/>
        <v>#REF!</v>
      </c>
      <c r="BB31" s="83" t="e">
        <f t="shared" ca="true" si="19"/>
        <v>#REF!</v>
      </c>
      <c r="BC31" s="83" t="e">
        <f t="shared" ca="true" si="19"/>
        <v>#REF!</v>
      </c>
      <c r="BD31" s="83" t="e">
        <f t="shared" ca="true" si="19"/>
        <v>#REF!</v>
      </c>
      <c r="BE31" s="83" t="e">
        <f t="shared" ca="true" si="19"/>
        <v>#REF!</v>
      </c>
      <c r="BF31" s="83" t="e">
        <f t="shared" ca="true" si="19"/>
        <v>#REF!</v>
      </c>
      <c r="BG31" s="83" t="e">
        <f t="shared" ca="true" si="19"/>
        <v>#REF!</v>
      </c>
      <c r="BH31" s="83" t="e">
        <f t="shared" ca="true" si="19"/>
        <v>#REF!</v>
      </c>
      <c r="BI31" s="83" t="e">
        <f t="shared" ca="true" si="19"/>
        <v>#REF!</v>
      </c>
      <c r="BJ31" s="83" t="e">
        <f t="shared" ca="true" si="19"/>
        <v>#REF!</v>
      </c>
      <c r="BK31" s="83" t="e">
        <f t="shared" ca="true" si="19"/>
        <v>#REF!</v>
      </c>
      <c r="BL31" s="83" t="e">
        <f t="shared" ca="true" si="19"/>
        <v>#REF!</v>
      </c>
      <c r="BM31" s="83" t="e">
        <f t="shared" ca="true" si="19"/>
        <v>#REF!</v>
      </c>
      <c r="BN31" s="83" t="e">
        <f t="shared" ca="true" si="19"/>
        <v>#REF!</v>
      </c>
      <c r="BO31" s="83" t="e">
        <f t="shared" ca="true" si="19"/>
        <v>#REF!</v>
      </c>
      <c r="BP31" s="83" t="e">
        <f t="shared" ca="true" si="19"/>
        <v>#REF!</v>
      </c>
      <c r="BQ31" s="83" t="e">
        <f t="shared" ca="true" si="19"/>
        <v>#REF!</v>
      </c>
      <c r="BR31" s="83" t="e">
        <f t="shared" ca="true" si="19"/>
        <v>#REF!</v>
      </c>
      <c r="BS31" s="83" t="e">
        <f t="shared" ca="true" si="19"/>
        <v>#REF!</v>
      </c>
      <c r="BT31" s="83" t="e">
        <f t="shared" ca="true" si="19"/>
        <v>#REF!</v>
      </c>
      <c r="BU31" s="83" t="e">
        <f t="shared" ca="true" si="19"/>
        <v>#REF!</v>
      </c>
      <c r="BV31" s="83" t="e">
        <f t="shared" ca="true" si="19"/>
        <v>#REF!</v>
      </c>
      <c r="BW31" s="83" t="e">
        <f t="shared" ca="true" si="19"/>
        <v>#REF!</v>
      </c>
      <c r="BX31" s="83" t="e">
        <f t="shared" ca="true" si="19"/>
        <v>#REF!</v>
      </c>
      <c r="BY31" s="83" t="e">
        <f t="shared" ca="true" si="19"/>
        <v>#REF!</v>
      </c>
      <c r="BZ31" s="83" t="e">
        <f t="shared" ca="true" si="19"/>
        <v>#REF!</v>
      </c>
      <c r="CA31" s="83" t="e">
        <f t="shared" ca="true" si="19"/>
        <v>#REF!</v>
      </c>
      <c r="CB31" s="83" t="e">
        <f t="shared" ca="true" si="19"/>
        <v>#REF!</v>
      </c>
      <c r="CC31" s="83" t="e">
        <f t="shared" ca="true" si="19"/>
        <v>#REF!</v>
      </c>
      <c r="CD31" s="83" t="e">
        <f t="shared" ca="true" si="19"/>
        <v>#REF!</v>
      </c>
      <c r="CE31" s="83" t="e">
        <f t="shared" ca="true" si="19"/>
        <v>#REF!</v>
      </c>
      <c r="CF31" s="83" t="e">
        <f t="shared" ca="true" si="19"/>
        <v>#REF!</v>
      </c>
      <c r="CG31" s="83" t="e">
        <f t="shared" ca="true" si="19"/>
        <v>#REF!</v>
      </c>
      <c r="CH31" s="83" t="e">
        <f t="shared" ca="true" si="19"/>
        <v>#REF!</v>
      </c>
      <c r="CI31" s="83" t="e">
        <f t="shared" ca="true" si="19"/>
        <v>#REF!</v>
      </c>
      <c r="CJ31" s="83" t="e">
        <f t="shared" ca="true" si="19"/>
        <v>#REF!</v>
      </c>
      <c r="CK31" s="83" t="e">
        <f t="shared" ca="true" si="19"/>
        <v>#REF!</v>
      </c>
      <c r="CL31" s="83" t="e">
        <f t="shared" ca="true" si="19"/>
        <v>#REF!</v>
      </c>
      <c r="CM31" s="83" t="e">
        <f t="shared" ref="CM31:CR31" ca="true" si="20">+CM29-CM27</f>
        <v>#REF!</v>
      </c>
      <c r="CN31" s="83" t="e">
        <f t="shared" ca="true" si="20"/>
        <v>#REF!</v>
      </c>
      <c r="CO31" s="83" t="e">
        <f t="shared" ca="true" si="20"/>
        <v>#REF!</v>
      </c>
      <c r="CP31" s="83" t="e">
        <f t="shared" ca="true" si="20"/>
        <v>#REF!</v>
      </c>
      <c r="CQ31" s="83" t="e">
        <f t="shared" ca="true" si="20"/>
        <v>#REF!</v>
      </c>
      <c r="CR31" s="83" t="e">
        <f t="shared" ca="true" si="20"/>
        <v>#REF!</v>
      </c>
      <c r="CS31" s="83"/>
      <c r="CT31" s="83" t="e">
        <f ca="true">SUM(AO31:CS31)</f>
        <v>#REF!</v>
      </c>
      <c r="CU31" s="83" t="e">
        <f ca="true">SUM(AI31:CS31)</f>
        <v>#REF!</v>
      </c>
      <c r="CV31" s="83">
        <f ca="true">SUM(CW31:CX31,CZ31)</f>
        <v>0</v>
      </c>
      <c r="CW31" s="83">
        <f>+CW29-CW27</f>
        <v>0</v>
      </c>
      <c r="CX31" s="83">
        <f>+CX29-CX27</f>
        <v>0</v>
      </c>
      <c r="CY31" s="83">
        <f>+CY29-CY27</f>
        <v>0</v>
      </c>
      <c r="CZ31" s="83">
        <f ca="true">+CZ29-CZ27</f>
        <v>0</v>
      </c>
      <c r="DB31" s="33"/>
      <c r="DC31" s="83" t="e">
        <f ca="true">+DC29-DC27</f>
        <v>#REF!</v>
      </c>
      <c r="DD31" s="83" t="e">
        <f ca="true">+DD29-DD27</f>
        <v>#REF!</v>
      </c>
      <c r="DE31" s="83" t="e">
        <f ca="true">+DE29-DE27</f>
        <v>#REF!</v>
      </c>
    </row>
    <row r="35" spans="30:30">
      <c r="AD35" s="96"/>
    </row>
  </sheetData>
  <mergeCells count="6">
    <mergeCell ref="E6:J6"/>
    <mergeCell ref="K6:M6"/>
    <mergeCell ref="N6:W6"/>
    <mergeCell ref="X6:Z6"/>
    <mergeCell ref="AN6:CT6"/>
    <mergeCell ref="CV6:CX6"/>
  </mergeCells>
  <conditionalFormatting sqref="N13:CU13">
    <cfRule type="cellIs" dxfId="2" priority="2" operator="notBetween">
      <formula>-0.01</formula>
      <formula>0.01</formula>
    </cfRule>
  </conditionalFormatting>
  <conditionalFormatting sqref="DC13:DE13">
    <cfRule type="cellIs" dxfId="2" priority="3" operator="notBetween">
      <formula>-0.01</formula>
      <formula>0.01</formula>
    </cfRule>
  </conditionalFormatting>
  <conditionalFormatting sqref="N21:CU21">
    <cfRule type="cellIs" dxfId="2" priority="4" operator="notBetween">
      <formula>-0.01</formula>
      <formula>0.01</formula>
    </cfRule>
  </conditionalFormatting>
  <conditionalFormatting sqref="DC21:DE21">
    <cfRule type="cellIs" dxfId="2" priority="5" operator="notBetween">
      <formula>-0.01</formula>
      <formula>0.01</formula>
    </cfRule>
  </conditionalFormatting>
  <conditionalFormatting sqref="C31:CZ31">
    <cfRule type="cellIs" dxfId="3" priority="6" operator="notBetween">
      <formula>-0.01</formula>
      <formula>0.01</formula>
    </cfRule>
  </conditionalFormatting>
  <conditionalFormatting sqref="DC31:DE31">
    <cfRule type="cellIs" dxfId="3" priority="7" operator="notBetween">
      <formula>-0.01</formula>
      <formula>0.01</formula>
    </cfRule>
  </conditionalFormatting>
  <conditionalFormatting sqref="C13 E13:L13 CW13:CZ13 C21 E21:L21 CW21:CZ21">
    <cfRule type="cellIs" dxfId="2" priority="8" operator="notBetween">
      <formula>-0.01</formula>
      <formula>0.01</formula>
    </cfRule>
  </conditionalFormatting>
  <pageMargins left="0.75" right="0.75" top="1" bottom="1" header="0.511811023622047" footer="0.511811023622047"/>
  <pageSetup horizontalDpi="300" orientation="portrait" paperSize="1" useFirstPageNumber="true" verticalDpi="300"/>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Q4757"/>
  <sheetViews>
    <sheetView workbookViewId="0">
      <pane activePane="bottomLeft" state="frozen" topLeftCell="A2" ySplit="1"/>
      <selection/>
      <selection activeCell="I4390" pane="bottomLeft" sqref="I4390"/>
    </sheetView>
  </sheetViews>
  <sheetFormatPr defaultColWidth="9" defaultRowHeight="15"/>
  <cols>
    <col customWidth="true" max="1" min="1" width="18.44"/>
    <col customWidth="true" max="2" min="2" width="6.66"/>
    <col customWidth="true" max="3" min="3" width="10.5533333333333"/>
    <col customWidth="true" max="4" min="4" width="16"/>
    <col customWidth="true" max="5" min="5" width="27.4533333333333"/>
    <col customWidth="true" max="6" min="6" width="15.5533333333333"/>
    <col customWidth="true" max="7" min="7" width="24.66"/>
    <col customWidth="true" max="8" min="8" width="24.5466666666667"/>
    <col customWidth="true" max="9" min="9" width="38.5466666666667"/>
    <col customWidth="true" max="10" min="10" style="62" width="12.8933333333333"/>
    <col customWidth="true" max="11" min="11" style="62" width="14"/>
    <col customWidth="true" max="12" min="12" width="8.88"/>
    <col customWidth="true" max="13" min="13" width="12.8933333333333"/>
    <col customWidth="true" max="14" min="14" width="4"/>
  </cols>
  <sheetData>
    <row r="1" spans="1:14" ht="14.25" customHeight="true">
      <c r="A1" s="48" t="s">
        <v>0</v>
      </c>
      <c r="B1" s="48" t="s">
        <v>1</v>
      </c>
      <c r="C1" s="48" t="s">
        <v>2</v>
      </c>
      <c r="D1" s="63" t="s">
        <v>3</v>
      </c>
      <c r="E1" s="63" t="s">
        <v>4</v>
      </c>
      <c r="F1" s="65" t="s">
        <v>5</v>
      </c>
      <c r="G1" s="63" t="s">
        <v>6</v>
      </c>
      <c r="H1" s="63" t="s">
        <v>7</v>
      </c>
      <c r="I1" s="66" t="s">
        <v>8</v>
      </c>
      <c r="J1" s="66" t="s">
        <v>9</v>
      </c>
      <c r="K1" s="63" t="s">
        <v>10</v>
      </c>
      <c r="L1" s="48" t="s">
        <v>31473</v>
      </c>
      <c r="M1" s="68" t="s">
        <v>31474</v>
      </c>
      <c r="N1" s="68" t="s">
        <v>11</v>
      </c>
    </row>
    <row r="2" spans="1:17" ht="14.25" customHeight="true">
      <c r="A2" s="33" t="str">
        <f t="shared" ref="A2:A65" si="0">B2&amp;" - "&amp;TRIM(H2)</f>
        <v>2SH - Intercompany</v>
      </c>
      <c r="B2" s="33" t="str">
        <f t="shared" ref="B2:B65" si="1">LEFT(D2,3)</f>
        <v>2SH</v>
      </c>
      <c r="C2" s="33" t="str">
        <f t="shared" ref="C2:C65" si="2">RIGHT(D2,10)</f>
        <v>11200-0000</v>
      </c>
      <c r="D2" s="64" t="s">
        <v>37</v>
      </c>
      <c r="E2" s="64" t="s">
        <v>38</v>
      </c>
      <c r="F2" s="64" t="s">
        <v>30843</v>
      </c>
      <c r="G2" s="64" t="s">
        <v>16</v>
      </c>
      <c r="H2" s="64" t="s">
        <v>13869</v>
      </c>
      <c r="I2" s="64" t="s">
        <v>40</v>
      </c>
      <c r="J2" s="67">
        <v>-2741.05</v>
      </c>
      <c r="K2" s="62">
        <v>-374844.39</v>
      </c>
      <c r="L2" t="str">
        <f>VLOOKUP(VALUE(LEFT(C2,5)),Xref!A:B,2,0)</f>
        <v>SCL</v>
      </c>
      <c r="M2" t="str">
        <f t="shared" ref="M2:M65" si="3">IF(B2&lt;L2,B2&amp;"-"&amp;L2,L2&amp;"-"&amp;B2)</f>
        <v>2SH-SCL</v>
      </c>
      <c r="N2" s="33"/>
      <c r="O2" s="33"/>
      <c r="P2" s="33"/>
      <c r="Q2" s="33"/>
    </row>
    <row r="3" spans="1:17" ht="14.25" customHeight="true">
      <c r="A3" s="33" t="str">
        <f t="shared" si="0"/>
        <v>2SH - Intercompany</v>
      </c>
      <c r="B3" s="33" t="str">
        <f t="shared" si="1"/>
        <v>2SH</v>
      </c>
      <c r="C3" s="33" t="str">
        <f t="shared" si="2"/>
        <v>11218-0000</v>
      </c>
      <c r="D3" s="64" t="s">
        <v>41</v>
      </c>
      <c r="E3" s="64" t="s">
        <v>42</v>
      </c>
      <c r="F3" s="64" t="s">
        <v>30843</v>
      </c>
      <c r="G3" s="64" t="s">
        <v>16</v>
      </c>
      <c r="H3" s="64" t="s">
        <v>13869</v>
      </c>
      <c r="I3" s="64" t="s">
        <v>40</v>
      </c>
      <c r="J3" s="67">
        <v>-163600.5</v>
      </c>
      <c r="K3" s="62">
        <v>-3022275.94</v>
      </c>
      <c r="L3" t="str">
        <f>VLOOKUP(VALUE(LEFT(C3,5)),Xref!A:B,2,0)</f>
        <v>3SI</v>
      </c>
      <c r="M3" t="str">
        <f t="shared" si="3"/>
        <v>2SH-3SI</v>
      </c>
      <c r="N3" s="33"/>
      <c r="O3" s="33"/>
      <c r="P3" s="33"/>
      <c r="Q3" s="33"/>
    </row>
    <row r="4" spans="1:17" ht="14.25" customHeight="true">
      <c r="A4" s="33" t="str">
        <f t="shared" si="0"/>
        <v>2SH - Intercompany</v>
      </c>
      <c r="B4" s="33" t="str">
        <f t="shared" si="1"/>
        <v>2SH</v>
      </c>
      <c r="C4" s="33" t="str">
        <f t="shared" si="2"/>
        <v>11222-0000</v>
      </c>
      <c r="D4" s="64" t="s">
        <v>43</v>
      </c>
      <c r="E4" s="64" t="s">
        <v>44</v>
      </c>
      <c r="F4" s="64" t="s">
        <v>30843</v>
      </c>
      <c r="G4" s="64" t="s">
        <v>16</v>
      </c>
      <c r="H4" s="64" t="s">
        <v>13869</v>
      </c>
      <c r="I4" s="64" t="s">
        <v>40</v>
      </c>
      <c r="J4" s="67">
        <v>-39987.58</v>
      </c>
      <c r="K4" s="62">
        <v>-16772.43</v>
      </c>
      <c r="L4" t="str">
        <f>VLOOKUP(VALUE(LEFT(C4,5)),Xref!A:B,2,0)</f>
        <v>RCI</v>
      </c>
      <c r="M4" t="str">
        <f t="shared" si="3"/>
        <v>2SH-RCI</v>
      </c>
      <c r="N4" s="33"/>
      <c r="O4" s="33"/>
      <c r="P4" s="33"/>
      <c r="Q4" s="33"/>
    </row>
    <row r="5" spans="1:17" ht="14.25" customHeight="true">
      <c r="A5" s="33" t="str">
        <f t="shared" si="0"/>
        <v>2SH - Intercompany</v>
      </c>
      <c r="B5" s="33" t="str">
        <f t="shared" si="1"/>
        <v>2SH</v>
      </c>
      <c r="C5" s="33" t="str">
        <f t="shared" si="2"/>
        <v>11223-0000</v>
      </c>
      <c r="D5" s="64" t="s">
        <v>45</v>
      </c>
      <c r="E5" s="64" t="s">
        <v>46</v>
      </c>
      <c r="F5" s="64" t="s">
        <v>30843</v>
      </c>
      <c r="G5" s="64" t="s">
        <v>16</v>
      </c>
      <c r="H5" s="64" t="s">
        <v>13869</v>
      </c>
      <c r="I5" s="64" t="s">
        <v>40</v>
      </c>
      <c r="J5" s="67">
        <v>-14027.81</v>
      </c>
      <c r="K5" s="62">
        <v>-26318.93</v>
      </c>
      <c r="L5" t="str">
        <f>VLOOKUP(VALUE(LEFT(C5,5)),Xref!A:B,2,0)</f>
        <v>NWS</v>
      </c>
      <c r="M5" t="str">
        <f t="shared" si="3"/>
        <v>2SH-NWS</v>
      </c>
      <c r="N5" s="33"/>
      <c r="O5" s="33"/>
      <c r="P5" s="33"/>
      <c r="Q5" s="33"/>
    </row>
    <row r="6" spans="1:17" ht="14.25" customHeight="true">
      <c r="A6" s="33" t="str">
        <f t="shared" si="0"/>
        <v>3SI - Intercompany</v>
      </c>
      <c r="B6" s="33" t="str">
        <f t="shared" si="1"/>
        <v>3SI</v>
      </c>
      <c r="C6" s="33" t="str">
        <f t="shared" si="2"/>
        <v>11200-0000</v>
      </c>
      <c r="D6" s="64" t="s">
        <v>170</v>
      </c>
      <c r="E6" s="64" t="s">
        <v>38</v>
      </c>
      <c r="F6" s="64" t="s">
        <v>30843</v>
      </c>
      <c r="G6" s="64" t="s">
        <v>16</v>
      </c>
      <c r="H6" s="64" t="s">
        <v>13869</v>
      </c>
      <c r="I6" s="64" t="s">
        <v>40</v>
      </c>
      <c r="J6" s="67">
        <v>-2741.05</v>
      </c>
      <c r="K6" s="62">
        <v>-317219.5</v>
      </c>
      <c r="L6" t="str">
        <f>VLOOKUP(VALUE(LEFT(C6,5)),Xref!A:B,2,0)</f>
        <v>SCL</v>
      </c>
      <c r="M6" t="str">
        <f t="shared" si="3"/>
        <v>3SI-SCL</v>
      </c>
      <c r="N6" s="33"/>
      <c r="O6" s="33"/>
      <c r="P6" s="33"/>
      <c r="Q6" s="33"/>
    </row>
    <row r="7" spans="1:17" ht="14.25" customHeight="true">
      <c r="A7" s="33" t="str">
        <f t="shared" si="0"/>
        <v>3SI - Intercompany</v>
      </c>
      <c r="B7" s="33" t="str">
        <f t="shared" si="1"/>
        <v>3SI</v>
      </c>
      <c r="C7" s="33" t="str">
        <f t="shared" si="2"/>
        <v>11217-0000</v>
      </c>
      <c r="D7" s="64" t="s">
        <v>171</v>
      </c>
      <c r="E7" s="64" t="s">
        <v>172</v>
      </c>
      <c r="F7" s="64" t="s">
        <v>30843</v>
      </c>
      <c r="G7" s="64" t="s">
        <v>16</v>
      </c>
      <c r="H7" s="64" t="s">
        <v>13869</v>
      </c>
      <c r="I7" s="64" t="s">
        <v>40</v>
      </c>
      <c r="J7" s="67">
        <v>163600.5</v>
      </c>
      <c r="K7" s="62">
        <v>3034042.93</v>
      </c>
      <c r="L7" t="str">
        <f>VLOOKUP(VALUE(LEFT(C7,5)),Xref!A:B,2,0)</f>
        <v>2SH</v>
      </c>
      <c r="M7" t="str">
        <f t="shared" si="3"/>
        <v>2SH-3SI</v>
      </c>
      <c r="N7" s="33"/>
      <c r="O7" s="33"/>
      <c r="P7" s="33"/>
      <c r="Q7" s="33"/>
    </row>
    <row r="8" spans="1:17" ht="14.25" customHeight="true">
      <c r="A8" s="33" t="str">
        <f t="shared" si="0"/>
        <v>3SI - Intercompany</v>
      </c>
      <c r="B8" s="33" t="str">
        <f t="shared" si="1"/>
        <v>3SI</v>
      </c>
      <c r="C8" s="33" t="str">
        <f t="shared" si="2"/>
        <v>11222-0000</v>
      </c>
      <c r="D8" s="64" t="s">
        <v>173</v>
      </c>
      <c r="E8" s="64" t="s">
        <v>44</v>
      </c>
      <c r="F8" s="64" t="s">
        <v>30843</v>
      </c>
      <c r="G8" s="64" t="s">
        <v>16</v>
      </c>
      <c r="H8" s="64" t="s">
        <v>13869</v>
      </c>
      <c r="I8" s="64" t="s">
        <v>40</v>
      </c>
      <c r="J8" s="67">
        <v>-34972.24</v>
      </c>
      <c r="K8" s="62">
        <v>21024.32</v>
      </c>
      <c r="L8" t="str">
        <f>VLOOKUP(VALUE(LEFT(C8,5)),Xref!A:B,2,0)</f>
        <v>RCI</v>
      </c>
      <c r="M8" t="str">
        <f t="shared" si="3"/>
        <v>3SI-RCI</v>
      </c>
      <c r="N8" s="33"/>
      <c r="O8" s="33"/>
      <c r="P8" s="33"/>
      <c r="Q8" s="33"/>
    </row>
    <row r="9" spans="1:17" ht="14.25" customHeight="true">
      <c r="A9" s="33" t="str">
        <f t="shared" si="0"/>
        <v>3SI - Intercompany</v>
      </c>
      <c r="B9" s="33" t="str">
        <f t="shared" si="1"/>
        <v>3SI</v>
      </c>
      <c r="C9" s="33" t="str">
        <f t="shared" si="2"/>
        <v>11223-0000</v>
      </c>
      <c r="D9" s="64" t="s">
        <v>174</v>
      </c>
      <c r="E9" s="64" t="s">
        <v>46</v>
      </c>
      <c r="F9" s="64" t="s">
        <v>30843</v>
      </c>
      <c r="G9" s="64" t="s">
        <v>16</v>
      </c>
      <c r="H9" s="64" t="s">
        <v>13869</v>
      </c>
      <c r="I9" s="64" t="s">
        <v>40</v>
      </c>
      <c r="J9" s="67">
        <v>-5872.35</v>
      </c>
      <c r="K9" s="62">
        <v>-9932.58</v>
      </c>
      <c r="L9" t="str">
        <f>VLOOKUP(VALUE(LEFT(C9,5)),Xref!A:B,2,0)</f>
        <v>NWS</v>
      </c>
      <c r="M9" t="str">
        <f t="shared" si="3"/>
        <v>3SI-NWS</v>
      </c>
      <c r="N9" s="33"/>
      <c r="O9" s="33"/>
      <c r="P9" s="33"/>
      <c r="Q9" s="33"/>
    </row>
    <row r="10" spans="1:17" ht="14.25" customHeight="true">
      <c r="A10" s="33" t="str">
        <f t="shared" si="0"/>
        <v>AKA - Intercompany</v>
      </c>
      <c r="B10" s="33" t="str">
        <f t="shared" si="1"/>
        <v>AKA</v>
      </c>
      <c r="C10" s="33" t="str">
        <f t="shared" si="2"/>
        <v>11200-0000</v>
      </c>
      <c r="D10" s="64" t="s">
        <v>14689</v>
      </c>
      <c r="E10" s="64" t="s">
        <v>14069</v>
      </c>
      <c r="F10" s="64" t="s">
        <v>14039</v>
      </c>
      <c r="G10" s="64" t="s">
        <v>14672</v>
      </c>
      <c r="H10" s="64" t="s">
        <v>13869</v>
      </c>
      <c r="I10" s="64" t="s">
        <v>14690</v>
      </c>
      <c r="J10" s="67">
        <v>0</v>
      </c>
      <c r="K10" s="62">
        <v>0</v>
      </c>
      <c r="L10" t="str">
        <f>VLOOKUP(VALUE(LEFT(C10,5)),Xref!A:B,2,0)</f>
        <v>SCL</v>
      </c>
      <c r="M10" t="str">
        <f t="shared" si="3"/>
        <v>AKA-SCL</v>
      </c>
      <c r="N10" s="33"/>
      <c r="O10" s="33"/>
      <c r="P10" s="33"/>
      <c r="Q10" s="33"/>
    </row>
    <row r="11" spans="1:17" ht="14.25" customHeight="true">
      <c r="A11" s="33" t="str">
        <f t="shared" si="0"/>
        <v>AKA - Intercompany</v>
      </c>
      <c r="B11" s="33" t="str">
        <f t="shared" si="1"/>
        <v>AKA</v>
      </c>
      <c r="C11" s="33" t="str">
        <f t="shared" si="2"/>
        <v>11201-0000</v>
      </c>
      <c r="D11" s="64" t="s">
        <v>14691</v>
      </c>
      <c r="E11" s="64" t="s">
        <v>14071</v>
      </c>
      <c r="F11" s="64" t="s">
        <v>14039</v>
      </c>
      <c r="G11" s="64" t="s">
        <v>14672</v>
      </c>
      <c r="H11" s="64" t="s">
        <v>13869</v>
      </c>
      <c r="I11" s="64" t="s">
        <v>14690</v>
      </c>
      <c r="J11" s="67">
        <v>0</v>
      </c>
      <c r="K11" s="62">
        <v>0</v>
      </c>
      <c r="L11" t="str">
        <f>VLOOKUP(VALUE(LEFT(C11,5)),Xref!A:B,2,0)</f>
        <v>SG2</v>
      </c>
      <c r="M11" t="str">
        <f t="shared" si="3"/>
        <v>AKA-SG2</v>
      </c>
      <c r="N11" s="33"/>
      <c r="O11" s="33"/>
      <c r="P11" s="33"/>
      <c r="Q11" s="33"/>
    </row>
    <row r="12" spans="1:17" ht="14.25" customHeight="true">
      <c r="A12" s="33" t="str">
        <f t="shared" si="0"/>
        <v>AKA - Intercompany</v>
      </c>
      <c r="B12" s="33" t="str">
        <f t="shared" si="1"/>
        <v>AKA</v>
      </c>
      <c r="C12" s="33" t="str">
        <f t="shared" si="2"/>
        <v>11202-0000</v>
      </c>
      <c r="D12" s="64" t="s">
        <v>14692</v>
      </c>
      <c r="E12" s="64" t="s">
        <v>14073</v>
      </c>
      <c r="F12" s="64" t="s">
        <v>14039</v>
      </c>
      <c r="G12" s="64" t="s">
        <v>14672</v>
      </c>
      <c r="H12" s="64" t="s">
        <v>13869</v>
      </c>
      <c r="I12" s="64" t="s">
        <v>14690</v>
      </c>
      <c r="J12" s="67">
        <v>0</v>
      </c>
      <c r="K12" s="62">
        <v>0</v>
      </c>
      <c r="L12" t="str">
        <f>VLOOKUP(VALUE(LEFT(C12,5)),Xref!A:B,2,0)</f>
        <v>FFC</v>
      </c>
      <c r="M12" t="str">
        <f t="shared" si="3"/>
        <v>AKA-FFC</v>
      </c>
      <c r="N12" s="33"/>
      <c r="O12" s="33"/>
      <c r="P12" s="33"/>
      <c r="Q12" s="33"/>
    </row>
    <row r="13" spans="1:17" ht="14.25" customHeight="true">
      <c r="A13" s="33" t="str">
        <f t="shared" si="0"/>
        <v>AKA - Intercompany</v>
      </c>
      <c r="B13" s="33" t="str">
        <f t="shared" si="1"/>
        <v>AKA</v>
      </c>
      <c r="C13" s="33" t="str">
        <f t="shared" si="2"/>
        <v>11203-0000</v>
      </c>
      <c r="D13" s="64" t="s">
        <v>14693</v>
      </c>
      <c r="E13" s="64" t="s">
        <v>14075</v>
      </c>
      <c r="F13" s="64" t="s">
        <v>14039</v>
      </c>
      <c r="G13" s="64" t="s">
        <v>14672</v>
      </c>
      <c r="H13" s="64" t="s">
        <v>13869</v>
      </c>
      <c r="I13" s="64" t="s">
        <v>14690</v>
      </c>
      <c r="J13" s="67">
        <v>0</v>
      </c>
      <c r="K13" s="62">
        <v>0</v>
      </c>
      <c r="L13" t="str">
        <f>VLOOKUP(VALUE(LEFT(C13,5)),Xref!A:B,2,0)</f>
        <v>HN2</v>
      </c>
      <c r="M13" t="str">
        <f t="shared" si="3"/>
        <v>AKA-HN2</v>
      </c>
      <c r="N13" s="33"/>
      <c r="O13" s="33"/>
      <c r="P13" s="33"/>
      <c r="Q13" s="33"/>
    </row>
    <row r="14" spans="1:17" ht="14.25" customHeight="true">
      <c r="A14" s="33" t="str">
        <f t="shared" si="0"/>
        <v>AKA - Intercompany</v>
      </c>
      <c r="B14" s="33" t="str">
        <f t="shared" si="1"/>
        <v>AKA</v>
      </c>
      <c r="C14" s="33" t="str">
        <f t="shared" si="2"/>
        <v>11204-0000</v>
      </c>
      <c r="D14" s="64" t="s">
        <v>14694</v>
      </c>
      <c r="E14" s="64" t="s">
        <v>14077</v>
      </c>
      <c r="F14" s="64" t="s">
        <v>14039</v>
      </c>
      <c r="G14" s="64" t="s">
        <v>14672</v>
      </c>
      <c r="H14" s="64" t="s">
        <v>13869</v>
      </c>
      <c r="I14" s="64" t="s">
        <v>14690</v>
      </c>
      <c r="J14" s="67">
        <v>0</v>
      </c>
      <c r="K14" s="62">
        <v>0</v>
      </c>
      <c r="L14" t="str">
        <f>VLOOKUP(VALUE(LEFT(C14,5)),Xref!A:B,2,0)</f>
        <v>DF2</v>
      </c>
      <c r="M14" t="str">
        <f t="shared" si="3"/>
        <v>AKA-DF2</v>
      </c>
      <c r="N14" s="33"/>
      <c r="O14" s="33"/>
      <c r="P14" s="33"/>
      <c r="Q14" s="33"/>
    </row>
    <row r="15" spans="1:17" ht="14.25" customHeight="true">
      <c r="A15" s="33" t="str">
        <f t="shared" si="0"/>
        <v>AKA - Intercompany</v>
      </c>
      <c r="B15" s="33" t="str">
        <f t="shared" si="1"/>
        <v>AKA</v>
      </c>
      <c r="C15" s="33" t="str">
        <f t="shared" si="2"/>
        <v>11208-0000</v>
      </c>
      <c r="D15" s="64" t="s">
        <v>14695</v>
      </c>
      <c r="E15" s="64" t="s">
        <v>14079</v>
      </c>
      <c r="F15" s="64" t="s">
        <v>14039</v>
      </c>
      <c r="G15" s="64" t="s">
        <v>14672</v>
      </c>
      <c r="H15" s="64" t="s">
        <v>13869</v>
      </c>
      <c r="I15" s="64" t="s">
        <v>14690</v>
      </c>
      <c r="J15" s="67">
        <v>0</v>
      </c>
      <c r="K15" s="62">
        <v>0</v>
      </c>
      <c r="L15" t="str">
        <f>VLOOKUP(VALUE(LEFT(C15,5)),Xref!A:B,2,0)</f>
        <v>SRE</v>
      </c>
      <c r="M15" t="str">
        <f t="shared" si="3"/>
        <v>AKA-SRE</v>
      </c>
      <c r="N15" s="33"/>
      <c r="O15" s="33"/>
      <c r="P15" s="33"/>
      <c r="Q15" s="33"/>
    </row>
    <row r="16" spans="1:17" ht="14.25" customHeight="true">
      <c r="A16" s="33" t="str">
        <f t="shared" si="0"/>
        <v>AKA - Intercompany</v>
      </c>
      <c r="B16" s="33" t="str">
        <f t="shared" si="1"/>
        <v>AKA</v>
      </c>
      <c r="C16" s="33" t="str">
        <f t="shared" si="2"/>
        <v>11210-0000</v>
      </c>
      <c r="D16" s="64" t="s">
        <v>14696</v>
      </c>
      <c r="E16" s="64" t="s">
        <v>14081</v>
      </c>
      <c r="F16" s="64" t="s">
        <v>14039</v>
      </c>
      <c r="G16" s="64" t="s">
        <v>14672</v>
      </c>
      <c r="H16" s="64" t="s">
        <v>13869</v>
      </c>
      <c r="I16" s="64" t="s">
        <v>14690</v>
      </c>
      <c r="J16" s="67">
        <v>0</v>
      </c>
      <c r="K16" s="62">
        <v>0</v>
      </c>
      <c r="L16" t="str">
        <f>VLOOKUP(VALUE(LEFT(C16,5)),Xref!A:B,2,0)</f>
        <v>REM</v>
      </c>
      <c r="M16" t="str">
        <f t="shared" si="3"/>
        <v>AKA-REM</v>
      </c>
      <c r="N16" s="33"/>
      <c r="O16" s="33"/>
      <c r="P16" s="33"/>
      <c r="Q16" s="33"/>
    </row>
    <row r="17" spans="1:17" ht="14.25" customHeight="true">
      <c r="A17" s="33" t="str">
        <f t="shared" si="0"/>
        <v>AKA - Intercompany</v>
      </c>
      <c r="B17" s="33" t="str">
        <f t="shared" si="1"/>
        <v>AKA</v>
      </c>
      <c r="C17" s="33" t="str">
        <f t="shared" si="2"/>
        <v>11212-0000</v>
      </c>
      <c r="D17" s="64" t="s">
        <v>14697</v>
      </c>
      <c r="E17" s="64" t="s">
        <v>14083</v>
      </c>
      <c r="F17" s="64" t="s">
        <v>14039</v>
      </c>
      <c r="G17" s="64" t="s">
        <v>14672</v>
      </c>
      <c r="H17" s="64" t="s">
        <v>13869</v>
      </c>
      <c r="I17" s="64" t="s">
        <v>14690</v>
      </c>
      <c r="J17" s="67">
        <v>0</v>
      </c>
      <c r="K17" s="62">
        <v>0</v>
      </c>
      <c r="L17" t="str">
        <f>VLOOKUP(VALUE(LEFT(C17,5)),Xref!A:B,2,0)</f>
        <v>FRM</v>
      </c>
      <c r="M17" t="str">
        <f t="shared" si="3"/>
        <v>AKA-FRM</v>
      </c>
      <c r="N17" s="33"/>
      <c r="O17" s="33"/>
      <c r="P17" s="33"/>
      <c r="Q17" s="33"/>
    </row>
    <row r="18" spans="1:17" ht="14.25" customHeight="true">
      <c r="A18" s="33" t="str">
        <f t="shared" si="0"/>
        <v>AKA - Intercompany</v>
      </c>
      <c r="B18" s="33" t="str">
        <f t="shared" si="1"/>
        <v>AKA</v>
      </c>
      <c r="C18" s="33" t="str">
        <f t="shared" si="2"/>
        <v>11214-0000</v>
      </c>
      <c r="D18" s="64" t="s">
        <v>14698</v>
      </c>
      <c r="E18" s="64" t="s">
        <v>14085</v>
      </c>
      <c r="F18" s="64" t="s">
        <v>14039</v>
      </c>
      <c r="G18" s="64" t="s">
        <v>14672</v>
      </c>
      <c r="H18" s="64" t="s">
        <v>13869</v>
      </c>
      <c r="I18" s="64" t="s">
        <v>14690</v>
      </c>
      <c r="J18" s="67">
        <v>0</v>
      </c>
      <c r="K18" s="62">
        <v>0</v>
      </c>
      <c r="L18" t="str">
        <f>VLOOKUP(VALUE(LEFT(C18,5)),Xref!A:B,2,0)</f>
        <v>D7R</v>
      </c>
      <c r="M18" t="str">
        <f t="shared" si="3"/>
        <v>AKA-D7R</v>
      </c>
      <c r="N18" s="33"/>
      <c r="O18" s="33"/>
      <c r="P18" s="33"/>
      <c r="Q18" s="33"/>
    </row>
    <row r="19" spans="1:17" ht="14.25" customHeight="true">
      <c r="A19" s="33" t="str">
        <f t="shared" si="0"/>
        <v>AKA - Intercompany</v>
      </c>
      <c r="B19" s="33" t="str">
        <f t="shared" si="1"/>
        <v>AKA</v>
      </c>
      <c r="C19" s="33" t="str">
        <f t="shared" si="2"/>
        <v>11215-0000</v>
      </c>
      <c r="D19" s="64" t="s">
        <v>14699</v>
      </c>
      <c r="E19" s="64" t="s">
        <v>14087</v>
      </c>
      <c r="F19" s="64" t="s">
        <v>14039</v>
      </c>
      <c r="G19" s="64" t="s">
        <v>14672</v>
      </c>
      <c r="H19" s="64" t="s">
        <v>13869</v>
      </c>
      <c r="I19" s="64" t="s">
        <v>14690</v>
      </c>
      <c r="J19" s="67">
        <v>0</v>
      </c>
      <c r="K19" s="62">
        <v>0</v>
      </c>
      <c r="L19" t="str">
        <f>VLOOKUP(VALUE(LEFT(C19,5)),Xref!A:B,2,0)</f>
        <v>CDP</v>
      </c>
      <c r="M19" t="str">
        <f t="shared" si="3"/>
        <v>AKA-CDP</v>
      </c>
      <c r="N19" s="33"/>
      <c r="O19" s="33"/>
      <c r="P19" s="33"/>
      <c r="Q19" s="33"/>
    </row>
    <row r="20" spans="1:17" ht="14.25" customHeight="true">
      <c r="A20" s="33" t="str">
        <f t="shared" si="0"/>
        <v>AKA - Intercompany</v>
      </c>
      <c r="B20" s="33" t="str">
        <f t="shared" si="1"/>
        <v>AKA</v>
      </c>
      <c r="C20" s="33" t="str">
        <f t="shared" si="2"/>
        <v>11216-0000</v>
      </c>
      <c r="D20" s="64" t="s">
        <v>3666</v>
      </c>
      <c r="E20" s="64" t="s">
        <v>13224</v>
      </c>
      <c r="F20" s="64" t="s">
        <v>14039</v>
      </c>
      <c r="G20" s="64" t="s">
        <v>14672</v>
      </c>
      <c r="H20" s="64" t="s">
        <v>13869</v>
      </c>
      <c r="I20" s="64" t="s">
        <v>14690</v>
      </c>
      <c r="J20" s="67">
        <v>-110.15</v>
      </c>
      <c r="K20" s="62">
        <v>-22041.73</v>
      </c>
      <c r="L20" t="str">
        <f>VLOOKUP(VALUE(LEFT(C20,5)),Xref!A:B,2,0)</f>
        <v>SIL</v>
      </c>
      <c r="M20" t="str">
        <f t="shared" si="3"/>
        <v>AKA-SIL</v>
      </c>
      <c r="N20" s="33"/>
      <c r="O20" s="33"/>
      <c r="P20" s="33"/>
      <c r="Q20" s="33"/>
    </row>
    <row r="21" spans="1:17" ht="14.25" customHeight="true">
      <c r="A21" s="33" t="str">
        <f t="shared" si="0"/>
        <v>AKA - Intercompany</v>
      </c>
      <c r="B21" s="33" t="str">
        <f t="shared" si="1"/>
        <v>AKA</v>
      </c>
      <c r="C21" s="33" t="str">
        <f t="shared" si="2"/>
        <v>11232-0000</v>
      </c>
      <c r="D21" s="64" t="s">
        <v>14700</v>
      </c>
      <c r="E21" s="64" t="s">
        <v>12486</v>
      </c>
      <c r="F21" s="64" t="s">
        <v>14039</v>
      </c>
      <c r="G21" s="64" t="s">
        <v>14672</v>
      </c>
      <c r="H21" s="64" t="s">
        <v>13869</v>
      </c>
      <c r="I21" s="64" t="s">
        <v>14690</v>
      </c>
      <c r="J21" s="67">
        <v>0</v>
      </c>
      <c r="K21" s="62">
        <v>0</v>
      </c>
      <c r="L21" t="str">
        <f>VLOOKUP(VALUE(LEFT(C21,5)),Xref!A:B,2,0)</f>
        <v>SC2</v>
      </c>
      <c r="M21" t="str">
        <f t="shared" si="3"/>
        <v>AKA-SC2</v>
      </c>
      <c r="N21" s="33"/>
      <c r="O21" s="33"/>
      <c r="P21" s="33"/>
      <c r="Q21" s="33"/>
    </row>
    <row r="22" spans="1:17" ht="14.25" customHeight="true">
      <c r="A22" s="33" t="str">
        <f t="shared" si="0"/>
        <v>AKA - Intercompany</v>
      </c>
      <c r="B22" s="33" t="str">
        <f t="shared" si="1"/>
        <v>AKA</v>
      </c>
      <c r="C22" s="33" t="str">
        <f t="shared" si="2"/>
        <v>11301-0000</v>
      </c>
      <c r="D22" s="64" t="s">
        <v>14701</v>
      </c>
      <c r="E22" s="64" t="s">
        <v>13225</v>
      </c>
      <c r="F22" s="64" t="s">
        <v>14039</v>
      </c>
      <c r="G22" s="64" t="s">
        <v>14672</v>
      </c>
      <c r="H22" s="64" t="s">
        <v>13869</v>
      </c>
      <c r="I22" s="64" t="s">
        <v>14690</v>
      </c>
      <c r="J22" s="67">
        <v>0</v>
      </c>
      <c r="K22" s="62">
        <v>0</v>
      </c>
      <c r="L22" t="str">
        <f>VLOOKUP(VALUE(LEFT(C22,5)),Xref!A:B,2,0)</f>
        <v>CRE</v>
      </c>
      <c r="M22" t="str">
        <f t="shared" si="3"/>
        <v>AKA-CRE</v>
      </c>
      <c r="N22" s="33"/>
      <c r="O22" s="33"/>
      <c r="P22" s="33"/>
      <c r="Q22" s="33"/>
    </row>
    <row r="23" spans="1:17" ht="14.25" customHeight="true">
      <c r="A23" s="33" t="str">
        <f t="shared" si="0"/>
        <v>AKA - Intercompany</v>
      </c>
      <c r="B23" s="33" t="str">
        <f t="shared" si="1"/>
        <v>AKA</v>
      </c>
      <c r="C23" s="33" t="str">
        <f t="shared" si="2"/>
        <v>11302-0000</v>
      </c>
      <c r="D23" s="64" t="s">
        <v>14702</v>
      </c>
      <c r="E23" s="64" t="s">
        <v>13226</v>
      </c>
      <c r="F23" s="64" t="s">
        <v>14039</v>
      </c>
      <c r="G23" s="64" t="s">
        <v>14672</v>
      </c>
      <c r="H23" s="64" t="s">
        <v>13869</v>
      </c>
      <c r="I23" s="64" t="s">
        <v>14690</v>
      </c>
      <c r="J23" s="67">
        <v>0</v>
      </c>
      <c r="K23" s="62">
        <v>0</v>
      </c>
      <c r="L23" t="str">
        <f>VLOOKUP(VALUE(LEFT(C23,5)),Xref!A:B,2,0)</f>
        <v>CHA</v>
      </c>
      <c r="M23" t="str">
        <f t="shared" si="3"/>
        <v>AKA-CHA</v>
      </c>
      <c r="N23" s="33"/>
      <c r="O23" s="33"/>
      <c r="P23" s="33"/>
      <c r="Q23" s="33"/>
    </row>
    <row r="24" spans="1:17" ht="14.25" customHeight="true">
      <c r="A24" s="33" t="str">
        <f t="shared" si="0"/>
        <v>AKA - Intercompany</v>
      </c>
      <c r="B24" s="33" t="str">
        <f t="shared" si="1"/>
        <v>AKA</v>
      </c>
      <c r="C24" s="33" t="str">
        <f t="shared" si="2"/>
        <v>11303-0000</v>
      </c>
      <c r="D24" s="64" t="s">
        <v>14703</v>
      </c>
      <c r="E24" s="64" t="s">
        <v>13227</v>
      </c>
      <c r="F24" s="64" t="s">
        <v>14039</v>
      </c>
      <c r="G24" s="64" t="s">
        <v>14672</v>
      </c>
      <c r="H24" s="64" t="s">
        <v>13869</v>
      </c>
      <c r="I24" s="64" t="s">
        <v>14690</v>
      </c>
      <c r="J24" s="67">
        <v>0</v>
      </c>
      <c r="K24" s="62">
        <v>0</v>
      </c>
      <c r="L24" t="str">
        <f>VLOOKUP(VALUE(LEFT(C24,5)),Xref!A:B,2,0)</f>
        <v>DIA</v>
      </c>
      <c r="M24" t="str">
        <f t="shared" si="3"/>
        <v>AKA-DIA</v>
      </c>
      <c r="N24" s="33"/>
      <c r="O24" s="33"/>
      <c r="P24" s="33"/>
      <c r="Q24" s="33"/>
    </row>
    <row r="25" spans="1:17" ht="14.25" customHeight="true">
      <c r="A25" s="33" t="str">
        <f t="shared" si="0"/>
        <v>AKA - Intercompany</v>
      </c>
      <c r="B25" s="33" t="str">
        <f t="shared" si="1"/>
        <v>AKA</v>
      </c>
      <c r="C25" s="33" t="str">
        <f t="shared" si="2"/>
        <v>11304-0000</v>
      </c>
      <c r="D25" s="64" t="s">
        <v>14704</v>
      </c>
      <c r="E25" s="64" t="s">
        <v>13228</v>
      </c>
      <c r="F25" s="64" t="s">
        <v>14039</v>
      </c>
      <c r="G25" s="64" t="s">
        <v>14672</v>
      </c>
      <c r="H25" s="64" t="s">
        <v>13869</v>
      </c>
      <c r="I25" s="64" t="s">
        <v>14690</v>
      </c>
      <c r="J25" s="67">
        <v>0</v>
      </c>
      <c r="K25" s="62">
        <v>0</v>
      </c>
      <c r="L25" t="str">
        <f>VLOOKUP(VALUE(LEFT(C25,5)),Xref!A:B,2,0)</f>
        <v>EAG</v>
      </c>
      <c r="M25" t="str">
        <f t="shared" si="3"/>
        <v>AKA-EAG</v>
      </c>
      <c r="N25" s="33"/>
      <c r="O25" s="33"/>
      <c r="P25" s="33"/>
      <c r="Q25" s="33"/>
    </row>
    <row r="26" spans="1:17" ht="14.25" customHeight="true">
      <c r="A26" s="33" t="str">
        <f t="shared" si="0"/>
        <v>AKA - Intercompany</v>
      </c>
      <c r="B26" s="33" t="str">
        <f t="shared" si="1"/>
        <v>AKA</v>
      </c>
      <c r="C26" s="33" t="str">
        <f t="shared" si="2"/>
        <v>11305-0000</v>
      </c>
      <c r="D26" s="64" t="s">
        <v>14705</v>
      </c>
      <c r="E26" s="64" t="s">
        <v>13229</v>
      </c>
      <c r="F26" s="64" t="s">
        <v>14039</v>
      </c>
      <c r="G26" s="64" t="s">
        <v>14672</v>
      </c>
      <c r="H26" s="64" t="s">
        <v>13869</v>
      </c>
      <c r="I26" s="64" t="s">
        <v>14690</v>
      </c>
      <c r="J26" s="67">
        <v>0</v>
      </c>
      <c r="K26" s="62">
        <v>0</v>
      </c>
      <c r="L26" t="str">
        <f>VLOOKUP(VALUE(LEFT(C26,5)),Xref!A:B,2,0)</f>
        <v>NEW</v>
      </c>
      <c r="M26" t="str">
        <f t="shared" si="3"/>
        <v>AKA-NEW</v>
      </c>
      <c r="N26" s="33"/>
      <c r="O26" s="33"/>
      <c r="P26" s="33"/>
      <c r="Q26" s="33"/>
    </row>
    <row r="27" spans="1:17" ht="14.25" customHeight="true">
      <c r="A27" s="33" t="str">
        <f t="shared" si="0"/>
        <v>AKA - Intercompany</v>
      </c>
      <c r="B27" s="33" t="str">
        <f t="shared" si="1"/>
        <v>AKA</v>
      </c>
      <c r="C27" s="33" t="str">
        <f t="shared" si="2"/>
        <v>11307-0000</v>
      </c>
      <c r="D27" s="64" t="s">
        <v>14706</v>
      </c>
      <c r="E27" s="64" t="s">
        <v>14096</v>
      </c>
      <c r="F27" s="64" t="s">
        <v>14039</v>
      </c>
      <c r="G27" s="64" t="s">
        <v>14672</v>
      </c>
      <c r="H27" s="64" t="s">
        <v>13869</v>
      </c>
      <c r="I27" s="64" t="s">
        <v>14690</v>
      </c>
      <c r="J27" s="67">
        <v>0</v>
      </c>
      <c r="K27" s="62">
        <v>0</v>
      </c>
      <c r="L27" t="str">
        <f>VLOOKUP(VALUE(LEFT(C27,5)),Xref!A:B,2,0)</f>
        <v>NES</v>
      </c>
      <c r="M27" t="str">
        <f t="shared" si="3"/>
        <v>AKA-NES</v>
      </c>
      <c r="N27" s="33"/>
      <c r="O27" s="33"/>
      <c r="P27" s="33"/>
      <c r="Q27" s="33"/>
    </row>
    <row r="28" spans="1:17" ht="14.25" customHeight="true">
      <c r="A28" s="33" t="str">
        <f t="shared" si="0"/>
        <v>AKA - Intercompany</v>
      </c>
      <c r="B28" s="33" t="str">
        <f t="shared" si="1"/>
        <v>AKA</v>
      </c>
      <c r="C28" s="33" t="str">
        <f t="shared" si="2"/>
        <v>11308-0000</v>
      </c>
      <c r="D28" s="64" t="s">
        <v>14707</v>
      </c>
      <c r="E28" s="64" t="s">
        <v>13476</v>
      </c>
      <c r="F28" s="64" t="s">
        <v>14039</v>
      </c>
      <c r="G28" s="64" t="s">
        <v>14672</v>
      </c>
      <c r="H28" s="64" t="s">
        <v>13869</v>
      </c>
      <c r="I28" s="64" t="s">
        <v>14690</v>
      </c>
      <c r="J28" s="67">
        <v>0</v>
      </c>
      <c r="K28" s="62">
        <v>0</v>
      </c>
      <c r="L28" t="str">
        <f>VLOOKUP(VALUE(LEFT(C28,5)),Xref!A:B,2,0)</f>
        <v>LPI</v>
      </c>
      <c r="M28" t="str">
        <f t="shared" si="3"/>
        <v>AKA-LPI</v>
      </c>
      <c r="N28" s="33"/>
      <c r="O28" s="33"/>
      <c r="P28" s="33"/>
      <c r="Q28" s="33"/>
    </row>
    <row r="29" spans="1:17" ht="14.25" customHeight="true">
      <c r="A29" s="33" t="str">
        <f t="shared" si="0"/>
        <v>AKA - Intercompany</v>
      </c>
      <c r="B29" s="33" t="str">
        <f t="shared" si="1"/>
        <v>AKA</v>
      </c>
      <c r="C29" s="33" t="str">
        <f t="shared" si="2"/>
        <v>11309-0000</v>
      </c>
      <c r="D29" s="64" t="s">
        <v>14708</v>
      </c>
      <c r="E29" s="64" t="s">
        <v>13230</v>
      </c>
      <c r="F29" s="64" t="s">
        <v>14039</v>
      </c>
      <c r="G29" s="64" t="s">
        <v>14672</v>
      </c>
      <c r="H29" s="64" t="s">
        <v>13869</v>
      </c>
      <c r="I29" s="64" t="s">
        <v>14690</v>
      </c>
      <c r="J29" s="67">
        <v>0</v>
      </c>
      <c r="K29" s="62">
        <v>0</v>
      </c>
      <c r="L29" t="str">
        <f>VLOOKUP(VALUE(LEFT(C29,5)),Xref!A:B,2,0)</f>
        <v>GPI</v>
      </c>
      <c r="M29" t="str">
        <f t="shared" si="3"/>
        <v>AKA-GPI</v>
      </c>
      <c r="N29" s="33"/>
      <c r="O29" s="33"/>
      <c r="P29" s="33"/>
      <c r="Q29" s="33"/>
    </row>
    <row r="30" spans="1:17" ht="14.25" customHeight="true">
      <c r="A30" s="33" t="str">
        <f t="shared" si="0"/>
        <v>AKA - Intercompany</v>
      </c>
      <c r="B30" s="33" t="str">
        <f t="shared" si="1"/>
        <v>AKA</v>
      </c>
      <c r="C30" s="33" t="str">
        <f t="shared" si="2"/>
        <v>11310-0000</v>
      </c>
      <c r="D30" s="64" t="s">
        <v>14709</v>
      </c>
      <c r="E30" s="64" t="s">
        <v>13231</v>
      </c>
      <c r="F30" s="64" t="s">
        <v>14039</v>
      </c>
      <c r="G30" s="64" t="s">
        <v>14672</v>
      </c>
      <c r="H30" s="64" t="s">
        <v>13869</v>
      </c>
      <c r="I30" s="64" t="s">
        <v>14690</v>
      </c>
      <c r="J30" s="67">
        <v>0</v>
      </c>
      <c r="K30" s="62">
        <v>0</v>
      </c>
      <c r="L30" t="str">
        <f>VLOOKUP(VALUE(LEFT(C30,5)),Xref!A:B,2,0)</f>
        <v>ALP</v>
      </c>
      <c r="M30" t="str">
        <f t="shared" si="3"/>
        <v>AKA-ALP</v>
      </c>
      <c r="N30" s="33"/>
      <c r="O30" s="33"/>
      <c r="P30" s="33"/>
      <c r="Q30" s="33"/>
    </row>
    <row r="31" spans="1:17" ht="14.25" customHeight="true">
      <c r="A31" s="33" t="str">
        <f t="shared" si="0"/>
        <v>AKA - Intercompany</v>
      </c>
      <c r="B31" s="33" t="str">
        <f t="shared" si="1"/>
        <v>AKA</v>
      </c>
      <c r="C31" s="33" t="str">
        <f t="shared" si="2"/>
        <v>11311-0000</v>
      </c>
      <c r="D31" s="64" t="s">
        <v>14710</v>
      </c>
      <c r="E31" s="64" t="s">
        <v>13232</v>
      </c>
      <c r="F31" s="64" t="s">
        <v>14039</v>
      </c>
      <c r="G31" s="64" t="s">
        <v>14672</v>
      </c>
      <c r="H31" s="64" t="s">
        <v>13869</v>
      </c>
      <c r="I31" s="64" t="s">
        <v>14690</v>
      </c>
      <c r="J31" s="67">
        <v>0</v>
      </c>
      <c r="K31" s="62">
        <v>0</v>
      </c>
      <c r="L31" t="str">
        <f>VLOOKUP(VALUE(LEFT(C31,5)),Xref!A:B,2,0)</f>
        <v>BET</v>
      </c>
      <c r="M31" t="str">
        <f t="shared" si="3"/>
        <v>AKA-BET</v>
      </c>
      <c r="N31" s="33"/>
      <c r="O31" s="33"/>
      <c r="P31" s="33"/>
      <c r="Q31" s="33"/>
    </row>
    <row r="32" spans="1:17" ht="14.25" customHeight="true">
      <c r="A32" s="33" t="str">
        <f t="shared" si="0"/>
        <v>AKA - Intercompany</v>
      </c>
      <c r="B32" s="33" t="str">
        <f t="shared" si="1"/>
        <v>AKA</v>
      </c>
      <c r="C32" s="33" t="str">
        <f t="shared" si="2"/>
        <v>11312-0000</v>
      </c>
      <c r="D32" s="64" t="s">
        <v>14711</v>
      </c>
      <c r="E32" s="64" t="s">
        <v>14102</v>
      </c>
      <c r="F32" s="64" t="s">
        <v>14039</v>
      </c>
      <c r="G32" s="64" t="s">
        <v>14672</v>
      </c>
      <c r="H32" s="64" t="s">
        <v>13869</v>
      </c>
      <c r="I32" s="64" t="s">
        <v>14690</v>
      </c>
      <c r="J32" s="67">
        <v>0</v>
      </c>
      <c r="K32" s="62">
        <v>0</v>
      </c>
      <c r="L32" t="str">
        <f>VLOOKUP(VALUE(LEFT(C32,5)),Xref!A:B,2,0)</f>
        <v>DEL</v>
      </c>
      <c r="M32" t="str">
        <f t="shared" si="3"/>
        <v>AKA-DEL</v>
      </c>
      <c r="N32" s="33"/>
      <c r="O32" s="33"/>
      <c r="P32" s="33"/>
      <c r="Q32" s="33"/>
    </row>
    <row r="33" spans="1:17" ht="14.25" customHeight="true">
      <c r="A33" s="33" t="str">
        <f t="shared" si="0"/>
        <v>AKA - Intercompany</v>
      </c>
      <c r="B33" s="33" t="str">
        <f t="shared" si="1"/>
        <v>AKA</v>
      </c>
      <c r="C33" s="33" t="str">
        <f t="shared" si="2"/>
        <v>11313-0000</v>
      </c>
      <c r="D33" s="64" t="s">
        <v>14712</v>
      </c>
      <c r="E33" s="64" t="s">
        <v>13233</v>
      </c>
      <c r="F33" s="64" t="s">
        <v>14039</v>
      </c>
      <c r="G33" s="64" t="s">
        <v>14672</v>
      </c>
      <c r="H33" s="64" t="s">
        <v>13869</v>
      </c>
      <c r="I33" s="64" t="s">
        <v>14690</v>
      </c>
      <c r="J33" s="67">
        <v>0</v>
      </c>
      <c r="K33" s="62">
        <v>0</v>
      </c>
      <c r="L33" t="str">
        <f>VLOOKUP(VALUE(LEFT(C33,5)),Xref!A:B,2,0)</f>
        <v>DOL</v>
      </c>
      <c r="M33" t="str">
        <f t="shared" si="3"/>
        <v>AKA-DOL</v>
      </c>
      <c r="N33" s="33"/>
      <c r="O33" s="33"/>
      <c r="P33" s="33"/>
      <c r="Q33" s="33"/>
    </row>
    <row r="34" spans="1:17" ht="14.25" customHeight="true">
      <c r="A34" s="33" t="str">
        <f t="shared" si="0"/>
        <v>AKA - Intercompany</v>
      </c>
      <c r="B34" s="33" t="str">
        <f t="shared" si="1"/>
        <v>AKA</v>
      </c>
      <c r="C34" s="33" t="str">
        <f t="shared" si="2"/>
        <v>11314-0000</v>
      </c>
      <c r="D34" s="64" t="s">
        <v>14713</v>
      </c>
      <c r="E34" s="64" t="s">
        <v>13351</v>
      </c>
      <c r="F34" s="64" t="s">
        <v>14039</v>
      </c>
      <c r="G34" s="64" t="s">
        <v>14672</v>
      </c>
      <c r="H34" s="64" t="s">
        <v>13869</v>
      </c>
      <c r="I34" s="64" t="s">
        <v>14690</v>
      </c>
      <c r="J34" s="67">
        <v>0</v>
      </c>
      <c r="K34" s="62">
        <v>0</v>
      </c>
      <c r="L34" t="str">
        <f>VLOOKUP(VALUE(LEFT(C34,5)),Xref!A:B,2,0)</f>
        <v>GRI</v>
      </c>
      <c r="M34" t="str">
        <f t="shared" si="3"/>
        <v>AKA-GRI</v>
      </c>
      <c r="N34" s="33"/>
      <c r="O34" s="33"/>
      <c r="P34" s="33"/>
      <c r="Q34" s="33"/>
    </row>
    <row r="35" spans="1:17" ht="14.25" customHeight="true">
      <c r="A35" s="33" t="str">
        <f t="shared" si="0"/>
        <v>AKA - Intercompany</v>
      </c>
      <c r="B35" s="33" t="str">
        <f t="shared" si="1"/>
        <v>AKA</v>
      </c>
      <c r="C35" s="33" t="str">
        <f t="shared" si="2"/>
        <v>11315-0000</v>
      </c>
      <c r="D35" s="64" t="s">
        <v>14714</v>
      </c>
      <c r="E35" s="64" t="s">
        <v>13234</v>
      </c>
      <c r="F35" s="64" t="s">
        <v>14039</v>
      </c>
      <c r="G35" s="64" t="s">
        <v>14672</v>
      </c>
      <c r="H35" s="64" t="s">
        <v>13869</v>
      </c>
      <c r="I35" s="64" t="s">
        <v>14690</v>
      </c>
      <c r="J35" s="67">
        <v>0</v>
      </c>
      <c r="K35" s="62">
        <v>0</v>
      </c>
      <c r="L35" t="str">
        <f>VLOOKUP(VALUE(LEFT(C35,5)),Xref!A:B,2,0)</f>
        <v>PUR</v>
      </c>
      <c r="M35" t="str">
        <f t="shared" si="3"/>
        <v>AKA-PUR</v>
      </c>
      <c r="N35" s="33"/>
      <c r="O35" s="33"/>
      <c r="P35" s="33"/>
      <c r="Q35" s="33"/>
    </row>
    <row r="36" spans="1:17" ht="14.25" customHeight="true">
      <c r="A36" s="33" t="str">
        <f t="shared" si="0"/>
        <v>AKA - Intercompany</v>
      </c>
      <c r="B36" s="33" t="str">
        <f t="shared" si="1"/>
        <v>AKA</v>
      </c>
      <c r="C36" s="33" t="str">
        <f t="shared" si="2"/>
        <v>11316-0000</v>
      </c>
      <c r="D36" s="64" t="s">
        <v>14715</v>
      </c>
      <c r="E36" s="64" t="s">
        <v>13235</v>
      </c>
      <c r="F36" s="64" t="s">
        <v>14039</v>
      </c>
      <c r="G36" s="64" t="s">
        <v>14672</v>
      </c>
      <c r="H36" s="64" t="s">
        <v>13869</v>
      </c>
      <c r="I36" s="64" t="s">
        <v>14690</v>
      </c>
      <c r="J36" s="67">
        <v>0</v>
      </c>
      <c r="K36" s="62">
        <v>0</v>
      </c>
      <c r="L36" t="str">
        <f>VLOOKUP(VALUE(LEFT(C36,5)),Xref!A:B,2,0)</f>
        <v>VAL</v>
      </c>
      <c r="M36" t="str">
        <f t="shared" si="3"/>
        <v>AKA-VAL</v>
      </c>
      <c r="N36" s="33"/>
      <c r="O36" s="33"/>
      <c r="P36" s="33"/>
      <c r="Q36" s="33"/>
    </row>
    <row r="37" spans="1:17" ht="14.25" customHeight="true">
      <c r="A37" s="33" t="str">
        <f t="shared" si="0"/>
        <v>AKA - Intercompany</v>
      </c>
      <c r="B37" s="33" t="str">
        <f t="shared" si="1"/>
        <v>AKA</v>
      </c>
      <c r="C37" s="33" t="str">
        <f t="shared" si="2"/>
        <v>11317-0000</v>
      </c>
      <c r="D37" s="64" t="s">
        <v>14716</v>
      </c>
      <c r="E37" s="64" t="s">
        <v>13352</v>
      </c>
      <c r="F37" s="64" t="s">
        <v>14039</v>
      </c>
      <c r="G37" s="64" t="s">
        <v>14672</v>
      </c>
      <c r="H37" s="64" t="s">
        <v>13869</v>
      </c>
      <c r="I37" s="64" t="s">
        <v>14690</v>
      </c>
      <c r="J37" s="67">
        <v>0</v>
      </c>
      <c r="K37" s="62">
        <v>0</v>
      </c>
      <c r="L37" t="str">
        <f>VLOOKUP(VALUE(LEFT(C37,5)),Xref!A:B,2,0)</f>
        <v>AKG</v>
      </c>
      <c r="M37" t="str">
        <f t="shared" si="3"/>
        <v>AKA-AKG</v>
      </c>
      <c r="N37" s="33"/>
      <c r="O37" s="33"/>
      <c r="P37" s="33"/>
      <c r="Q37" s="33"/>
    </row>
    <row r="38" spans="1:17" ht="14.25" customHeight="true">
      <c r="A38" s="33" t="str">
        <f t="shared" si="0"/>
        <v>AKA - Intercompany</v>
      </c>
      <c r="B38" s="33" t="str">
        <f t="shared" si="1"/>
        <v>AKA</v>
      </c>
      <c r="C38" s="33" t="str">
        <f t="shared" si="2"/>
        <v>11318-0000</v>
      </c>
      <c r="D38" s="64" t="s">
        <v>14717</v>
      </c>
      <c r="E38" s="64" t="s">
        <v>13477</v>
      </c>
      <c r="F38" s="64" t="s">
        <v>14039</v>
      </c>
      <c r="G38" s="64" t="s">
        <v>14672</v>
      </c>
      <c r="H38" s="64" t="s">
        <v>13869</v>
      </c>
      <c r="I38" s="64" t="s">
        <v>14690</v>
      </c>
      <c r="J38" s="67">
        <v>0</v>
      </c>
      <c r="K38" s="62">
        <v>0</v>
      </c>
      <c r="L38" t="str">
        <f>VLOOKUP(VALUE(LEFT(C38,5)),Xref!A:B,2,0)</f>
        <v>FIR</v>
      </c>
      <c r="M38" t="str">
        <f t="shared" si="3"/>
        <v>AKA-FIR</v>
      </c>
      <c r="N38" s="33"/>
      <c r="O38" s="33"/>
      <c r="P38" s="33"/>
      <c r="Q38" s="33"/>
    </row>
    <row r="39" spans="1:17" ht="14.25" customHeight="true">
      <c r="A39" s="33" t="str">
        <f t="shared" si="0"/>
        <v>AKA - Intercompany</v>
      </c>
      <c r="B39" s="33" t="str">
        <f t="shared" si="1"/>
        <v>AKA</v>
      </c>
      <c r="C39" s="33" t="str">
        <f t="shared" si="2"/>
        <v>11319-0000</v>
      </c>
      <c r="D39" s="64" t="s">
        <v>14718</v>
      </c>
      <c r="E39" s="64" t="s">
        <v>266</v>
      </c>
      <c r="F39" s="64" t="s">
        <v>14039</v>
      </c>
      <c r="G39" s="64" t="s">
        <v>14672</v>
      </c>
      <c r="H39" s="64" t="s">
        <v>13869</v>
      </c>
      <c r="I39" s="64" t="s">
        <v>14690</v>
      </c>
      <c r="J39" s="67">
        <v>0</v>
      </c>
      <c r="K39" s="62">
        <v>0</v>
      </c>
      <c r="L39" t="str">
        <f>VLOOKUP(VALUE(LEFT(C39,5)),Xref!A:B,2,0)</f>
        <v>GST</v>
      </c>
      <c r="M39" t="str">
        <f t="shared" si="3"/>
        <v>AKA-GST</v>
      </c>
      <c r="N39" s="33"/>
      <c r="O39" s="33"/>
      <c r="P39" s="33"/>
      <c r="Q39" s="33"/>
    </row>
    <row r="40" spans="1:17" ht="14.25" customHeight="true">
      <c r="A40" s="33" t="str">
        <f t="shared" si="0"/>
        <v>AKA - Intercompany</v>
      </c>
      <c r="B40" s="33" t="str">
        <f t="shared" si="1"/>
        <v>AKA</v>
      </c>
      <c r="C40" s="33" t="str">
        <f t="shared" si="2"/>
        <v>11320-0000</v>
      </c>
      <c r="D40" s="64" t="s">
        <v>14719</v>
      </c>
      <c r="E40" s="64" t="s">
        <v>14111</v>
      </c>
      <c r="F40" s="64" t="s">
        <v>14039</v>
      </c>
      <c r="G40" s="64" t="s">
        <v>14672</v>
      </c>
      <c r="H40" s="64" t="s">
        <v>13869</v>
      </c>
      <c r="I40" s="64" t="s">
        <v>14690</v>
      </c>
      <c r="J40" s="67">
        <v>0</v>
      </c>
      <c r="K40" s="62">
        <v>0</v>
      </c>
      <c r="L40" t="str">
        <f>VLOOKUP(VALUE(LEFT(C40,5)),Xref!A:B,2,0)</f>
        <v>HDN</v>
      </c>
      <c r="M40" t="str">
        <f t="shared" si="3"/>
        <v>AKA-HDN</v>
      </c>
      <c r="N40" s="33"/>
      <c r="O40" s="33"/>
      <c r="P40" s="33"/>
      <c r="Q40" s="33"/>
    </row>
    <row r="41" spans="1:17" ht="14.25" customHeight="true">
      <c r="A41" s="33" t="str">
        <f t="shared" si="0"/>
        <v>AKA - Intercompany</v>
      </c>
      <c r="B41" s="33" t="str">
        <f t="shared" si="1"/>
        <v>AKA</v>
      </c>
      <c r="C41" s="33" t="str">
        <f t="shared" si="2"/>
        <v>11321-0000</v>
      </c>
      <c r="D41" s="64" t="s">
        <v>14720</v>
      </c>
      <c r="E41" s="64" t="s">
        <v>13236</v>
      </c>
      <c r="F41" s="64" t="s">
        <v>14039</v>
      </c>
      <c r="G41" s="64" t="s">
        <v>14672</v>
      </c>
      <c r="H41" s="64" t="s">
        <v>13869</v>
      </c>
      <c r="I41" s="64" t="s">
        <v>14690</v>
      </c>
      <c r="J41" s="67">
        <v>0</v>
      </c>
      <c r="K41" s="62">
        <v>0</v>
      </c>
      <c r="L41" t="str">
        <f>VLOOKUP(VALUE(LEFT(C41,5)),Xref!A:B,2,0)</f>
        <v>OVA</v>
      </c>
      <c r="M41" t="str">
        <f t="shared" si="3"/>
        <v>AKA-OVA</v>
      </c>
      <c r="N41" s="33"/>
      <c r="O41" s="33"/>
      <c r="P41" s="33"/>
      <c r="Q41" s="33"/>
    </row>
    <row r="42" spans="1:17" ht="14.25" customHeight="true">
      <c r="A42" s="33" t="str">
        <f t="shared" si="0"/>
        <v>AKA - Intercompany</v>
      </c>
      <c r="B42" s="33" t="str">
        <f t="shared" si="1"/>
        <v>AKA</v>
      </c>
      <c r="C42" s="33" t="str">
        <f t="shared" si="2"/>
        <v>11322-0000</v>
      </c>
      <c r="D42" s="64" t="s">
        <v>14721</v>
      </c>
      <c r="E42" s="64" t="s">
        <v>13237</v>
      </c>
      <c r="F42" s="64" t="s">
        <v>14039</v>
      </c>
      <c r="G42" s="64" t="s">
        <v>14672</v>
      </c>
      <c r="H42" s="64" t="s">
        <v>13869</v>
      </c>
      <c r="I42" s="64" t="s">
        <v>14690</v>
      </c>
      <c r="J42" s="67">
        <v>0</v>
      </c>
      <c r="K42" s="62">
        <v>0</v>
      </c>
      <c r="L42" t="str">
        <f>VLOOKUP(VALUE(LEFT(C42,5)),Xref!A:B,2,0)</f>
        <v>WOO</v>
      </c>
      <c r="M42" t="str">
        <f t="shared" si="3"/>
        <v>AKA-WOO</v>
      </c>
      <c r="N42" s="33"/>
      <c r="O42" s="33"/>
      <c r="P42" s="33"/>
      <c r="Q42" s="33"/>
    </row>
    <row r="43" spans="1:17" ht="14.25" customHeight="true">
      <c r="A43" s="33" t="str">
        <f t="shared" si="0"/>
        <v>AKA - Intercompany</v>
      </c>
      <c r="B43" s="33" t="str">
        <f t="shared" si="1"/>
        <v>AKA</v>
      </c>
      <c r="C43" s="33" t="str">
        <f t="shared" si="2"/>
        <v>11323-0000</v>
      </c>
      <c r="D43" s="64" t="s">
        <v>14722</v>
      </c>
      <c r="E43" s="64" t="s">
        <v>13478</v>
      </c>
      <c r="F43" s="64" t="s">
        <v>14039</v>
      </c>
      <c r="G43" s="64" t="s">
        <v>14672</v>
      </c>
      <c r="H43" s="64" t="s">
        <v>13869</v>
      </c>
      <c r="I43" s="64" t="s">
        <v>14690</v>
      </c>
      <c r="J43" s="67">
        <v>0</v>
      </c>
      <c r="K43" s="62">
        <v>0</v>
      </c>
      <c r="L43" t="str">
        <f>VLOOKUP(VALUE(LEFT(C43,5)),Xref!A:B,2,0)</f>
        <v>SPI</v>
      </c>
      <c r="M43" t="str">
        <f t="shared" si="3"/>
        <v>AKA-SPI</v>
      </c>
      <c r="N43" s="33"/>
      <c r="O43" s="33"/>
      <c r="P43" s="33"/>
      <c r="Q43" s="33"/>
    </row>
    <row r="44" spans="1:17" ht="14.25" customHeight="true">
      <c r="A44" s="33" t="str">
        <f t="shared" si="0"/>
        <v>AKA - Intercompany</v>
      </c>
      <c r="B44" s="33" t="str">
        <f t="shared" si="1"/>
        <v>AKA</v>
      </c>
      <c r="C44" s="33" t="str">
        <f t="shared" si="2"/>
        <v>11324-0000</v>
      </c>
      <c r="D44" s="64" t="s">
        <v>14723</v>
      </c>
      <c r="E44" s="64" t="s">
        <v>13238</v>
      </c>
      <c r="F44" s="64" t="s">
        <v>14039</v>
      </c>
      <c r="G44" s="64" t="s">
        <v>14672</v>
      </c>
      <c r="H44" s="64" t="s">
        <v>13869</v>
      </c>
      <c r="I44" s="64" t="s">
        <v>14690</v>
      </c>
      <c r="J44" s="67">
        <v>0</v>
      </c>
      <c r="K44" s="62">
        <v>0</v>
      </c>
      <c r="L44" t="str">
        <f>VLOOKUP(VALUE(LEFT(C44,5)),Xref!A:B,2,0)</f>
        <v>NET</v>
      </c>
      <c r="M44" t="str">
        <f t="shared" si="3"/>
        <v>AKA-NET</v>
      </c>
      <c r="N44" s="33"/>
      <c r="O44" s="33"/>
      <c r="P44" s="33"/>
      <c r="Q44" s="33"/>
    </row>
    <row r="45" spans="1:17" ht="14.25" customHeight="true">
      <c r="A45" s="33" t="str">
        <f t="shared" si="0"/>
        <v>AKA - Intercompany</v>
      </c>
      <c r="B45" s="33" t="str">
        <f t="shared" si="1"/>
        <v>AKA</v>
      </c>
      <c r="C45" s="33" t="str">
        <f t="shared" si="2"/>
        <v>11325-0000</v>
      </c>
      <c r="D45" s="64" t="s">
        <v>14724</v>
      </c>
      <c r="E45" s="64" t="s">
        <v>13239</v>
      </c>
      <c r="F45" s="64" t="s">
        <v>14039</v>
      </c>
      <c r="G45" s="64" t="s">
        <v>14672</v>
      </c>
      <c r="H45" s="64" t="s">
        <v>13869</v>
      </c>
      <c r="I45" s="64" t="s">
        <v>14690</v>
      </c>
      <c r="J45" s="67">
        <v>0</v>
      </c>
      <c r="K45" s="62">
        <v>0</v>
      </c>
      <c r="L45" t="str">
        <f>VLOOKUP(VALUE(LEFT(C45,5)),Xref!A:B,2,0)</f>
        <v>DPI</v>
      </c>
      <c r="M45" t="str">
        <f t="shared" si="3"/>
        <v>AKA-DPI</v>
      </c>
      <c r="N45" s="33"/>
      <c r="O45" s="33"/>
      <c r="P45" s="33"/>
      <c r="Q45" s="33"/>
    </row>
    <row r="46" spans="1:17" ht="14.25" customHeight="true">
      <c r="A46" s="33" t="str">
        <f t="shared" si="0"/>
        <v>AKA - Intercompany</v>
      </c>
      <c r="B46" s="33" t="str">
        <f t="shared" si="1"/>
        <v>AKA</v>
      </c>
      <c r="C46" s="33" t="str">
        <f t="shared" si="2"/>
        <v>11326-0000</v>
      </c>
      <c r="D46" s="64" t="s">
        <v>14725</v>
      </c>
      <c r="E46" s="64" t="s">
        <v>13240</v>
      </c>
      <c r="F46" s="64" t="s">
        <v>14039</v>
      </c>
      <c r="G46" s="64" t="s">
        <v>14672</v>
      </c>
      <c r="H46" s="64" t="s">
        <v>13869</v>
      </c>
      <c r="I46" s="64" t="s">
        <v>14690</v>
      </c>
      <c r="J46" s="67">
        <v>0</v>
      </c>
      <c r="K46" s="62">
        <v>0</v>
      </c>
      <c r="L46" t="str">
        <f>VLOOKUP(VALUE(LEFT(C46,5)),Xref!A:B,2,0)</f>
        <v>SEK</v>
      </c>
      <c r="M46" t="str">
        <f t="shared" si="3"/>
        <v>AKA-SEK</v>
      </c>
      <c r="N46" s="33"/>
      <c r="O46" s="33"/>
      <c r="P46" s="33"/>
      <c r="Q46" s="33"/>
    </row>
    <row r="47" spans="1:17" ht="14.25" customHeight="true">
      <c r="A47" s="33" t="str">
        <f t="shared" si="0"/>
        <v>AKA - Intercompany</v>
      </c>
      <c r="B47" s="33" t="str">
        <f t="shared" si="1"/>
        <v>AKA</v>
      </c>
      <c r="C47" s="33" t="str">
        <f t="shared" si="2"/>
        <v>11327-0000</v>
      </c>
      <c r="D47" s="64" t="s">
        <v>14726</v>
      </c>
      <c r="E47" s="64" t="s">
        <v>14119</v>
      </c>
      <c r="F47" s="64" t="s">
        <v>14039</v>
      </c>
      <c r="G47" s="64" t="s">
        <v>14672</v>
      </c>
      <c r="H47" s="64" t="s">
        <v>13869</v>
      </c>
      <c r="I47" s="64" t="s">
        <v>14690</v>
      </c>
      <c r="J47" s="67">
        <v>0</v>
      </c>
      <c r="K47" s="62">
        <v>0</v>
      </c>
      <c r="L47" t="str">
        <f>VLOOKUP(VALUE(LEFT(C47,5)),Xref!A:B,2,0)</f>
        <v>CPI</v>
      </c>
      <c r="M47" t="str">
        <f t="shared" si="3"/>
        <v>AKA-CPI</v>
      </c>
      <c r="N47" s="33"/>
      <c r="O47" s="33"/>
      <c r="P47" s="33"/>
      <c r="Q47" s="33"/>
    </row>
    <row r="48" spans="1:17" ht="14.25" customHeight="true">
      <c r="A48" s="33" t="str">
        <f t="shared" si="0"/>
        <v>AKA - Intercompany</v>
      </c>
      <c r="B48" s="33" t="str">
        <f t="shared" si="1"/>
        <v>AKA</v>
      </c>
      <c r="C48" s="33" t="str">
        <f t="shared" si="2"/>
        <v>11328-0000</v>
      </c>
      <c r="D48" s="64" t="s">
        <v>14727</v>
      </c>
      <c r="E48" s="64" t="s">
        <v>13241</v>
      </c>
      <c r="F48" s="64" t="s">
        <v>14039</v>
      </c>
      <c r="G48" s="64" t="s">
        <v>14672</v>
      </c>
      <c r="H48" s="64" t="s">
        <v>13869</v>
      </c>
      <c r="I48" s="64" t="s">
        <v>14690</v>
      </c>
      <c r="J48" s="67">
        <v>0</v>
      </c>
      <c r="K48" s="62">
        <v>0</v>
      </c>
      <c r="L48" t="str">
        <f>VLOOKUP(VALUE(LEFT(C48,5)),Xref!A:B,2,0)</f>
        <v>LOM</v>
      </c>
      <c r="M48" t="str">
        <f t="shared" si="3"/>
        <v>AKA-LOM</v>
      </c>
      <c r="N48" s="33"/>
      <c r="O48" s="33"/>
      <c r="P48" s="33"/>
      <c r="Q48" s="33"/>
    </row>
    <row r="49" spans="1:17" ht="14.25" customHeight="true">
      <c r="A49" s="33" t="str">
        <f t="shared" si="0"/>
        <v>AKA - Intercompany</v>
      </c>
      <c r="B49" s="33" t="str">
        <f t="shared" si="1"/>
        <v>AKA</v>
      </c>
      <c r="C49" s="33" t="str">
        <f t="shared" si="2"/>
        <v>11329-0000</v>
      </c>
      <c r="D49" s="64" t="s">
        <v>3667</v>
      </c>
      <c r="E49" s="64" t="s">
        <v>13353</v>
      </c>
      <c r="F49" s="64" t="s">
        <v>14039</v>
      </c>
      <c r="G49" s="64" t="s">
        <v>14672</v>
      </c>
      <c r="H49" s="64" t="s">
        <v>13869</v>
      </c>
      <c r="I49" s="64" t="s">
        <v>14690</v>
      </c>
      <c r="J49" s="67">
        <v>0</v>
      </c>
      <c r="K49" s="62">
        <v>-2958512.07</v>
      </c>
      <c r="L49" t="str">
        <f>VLOOKUP(VALUE(LEFT(C49,5)),Xref!A:B,2,0)</f>
        <v>AKS</v>
      </c>
      <c r="M49" t="str">
        <f t="shared" si="3"/>
        <v>AKA-AKS</v>
      </c>
      <c r="N49" s="33"/>
      <c r="O49" s="33"/>
      <c r="P49" s="33"/>
      <c r="Q49" s="33"/>
    </row>
    <row r="50" spans="1:17" ht="14.25" customHeight="true">
      <c r="A50" s="33" t="str">
        <f t="shared" si="0"/>
        <v>AKA - Intercompany</v>
      </c>
      <c r="B50" s="33" t="str">
        <f t="shared" si="1"/>
        <v>AKA</v>
      </c>
      <c r="C50" s="33" t="str">
        <f t="shared" si="2"/>
        <v>11330-0000</v>
      </c>
      <c r="D50" s="64" t="s">
        <v>14728</v>
      </c>
      <c r="E50" s="64" t="s">
        <v>13242</v>
      </c>
      <c r="F50" s="64" t="s">
        <v>14039</v>
      </c>
      <c r="G50" s="64" t="s">
        <v>14672</v>
      </c>
      <c r="H50" s="64" t="s">
        <v>13869</v>
      </c>
      <c r="I50" s="64" t="s">
        <v>14690</v>
      </c>
      <c r="J50" s="67">
        <v>0</v>
      </c>
      <c r="K50" s="62">
        <v>0</v>
      </c>
      <c r="L50" t="str">
        <f>VLOOKUP(VALUE(LEFT(C50,5)),Xref!A:B,2,0)</f>
        <v>MAR</v>
      </c>
      <c r="M50" t="str">
        <f t="shared" si="3"/>
        <v>AKA-MAR</v>
      </c>
      <c r="N50" s="33"/>
      <c r="O50" s="33"/>
      <c r="P50" s="33"/>
      <c r="Q50" s="33"/>
    </row>
    <row r="51" spans="1:17" ht="14.25" customHeight="true">
      <c r="A51" s="33" t="str">
        <f t="shared" si="0"/>
        <v>AKA - Intercompany</v>
      </c>
      <c r="B51" s="33" t="str">
        <f t="shared" si="1"/>
        <v>AKA</v>
      </c>
      <c r="C51" s="33" t="str">
        <f t="shared" si="2"/>
        <v>11331-0000</v>
      </c>
      <c r="D51" s="64" t="s">
        <v>14729</v>
      </c>
      <c r="E51" s="64" t="s">
        <v>13354</v>
      </c>
      <c r="F51" s="64" t="s">
        <v>14039</v>
      </c>
      <c r="G51" s="64" t="s">
        <v>14672</v>
      </c>
      <c r="H51" s="64" t="s">
        <v>13869</v>
      </c>
      <c r="I51" s="64" t="s">
        <v>14690</v>
      </c>
      <c r="J51" s="67">
        <v>0</v>
      </c>
      <c r="K51" s="62">
        <v>0</v>
      </c>
      <c r="L51" t="str">
        <f>VLOOKUP(VALUE(LEFT(C51,5)),Xref!A:B,2,0)</f>
        <v>WIL</v>
      </c>
      <c r="M51" t="str">
        <f t="shared" si="3"/>
        <v>AKA-WIL</v>
      </c>
      <c r="N51" s="33"/>
      <c r="O51" s="33"/>
      <c r="P51" s="33"/>
      <c r="Q51" s="33"/>
    </row>
    <row r="52" spans="1:17" ht="14.25" customHeight="true">
      <c r="A52" s="33" t="str">
        <f t="shared" si="0"/>
        <v>AKA - Intercompany</v>
      </c>
      <c r="B52" s="33" t="str">
        <f t="shared" si="1"/>
        <v>AKA</v>
      </c>
      <c r="C52" s="33" t="str">
        <f t="shared" si="2"/>
        <v>11332-0000</v>
      </c>
      <c r="D52" s="64" t="s">
        <v>14730</v>
      </c>
      <c r="E52" s="64" t="s">
        <v>13243</v>
      </c>
      <c r="F52" s="64" t="s">
        <v>14039</v>
      </c>
      <c r="G52" s="64" t="s">
        <v>14672</v>
      </c>
      <c r="H52" s="64" t="s">
        <v>13869</v>
      </c>
      <c r="I52" s="64" t="s">
        <v>14690</v>
      </c>
      <c r="J52" s="67">
        <v>0</v>
      </c>
      <c r="K52" s="62">
        <v>0</v>
      </c>
      <c r="L52" t="str">
        <f>VLOOKUP(VALUE(LEFT(C52,5)),Xref!A:B,2,0)</f>
        <v>STO</v>
      </c>
      <c r="M52" t="str">
        <f t="shared" si="3"/>
        <v>AKA-STO</v>
      </c>
      <c r="N52" s="33"/>
      <c r="O52" s="33"/>
      <c r="P52" s="33"/>
      <c r="Q52" s="33"/>
    </row>
    <row r="53" spans="1:17" ht="14.25" customHeight="true">
      <c r="A53" s="33" t="str">
        <f t="shared" si="0"/>
        <v>AKA - Intercompany</v>
      </c>
      <c r="B53" s="33" t="str">
        <f t="shared" si="1"/>
        <v>AKA</v>
      </c>
      <c r="C53" s="33" t="str">
        <f t="shared" si="2"/>
        <v>11333-0000</v>
      </c>
      <c r="D53" s="64" t="s">
        <v>14731</v>
      </c>
      <c r="E53" s="64" t="s">
        <v>13244</v>
      </c>
      <c r="F53" s="64" t="s">
        <v>14039</v>
      </c>
      <c r="G53" s="64" t="s">
        <v>14672</v>
      </c>
      <c r="H53" s="64" t="s">
        <v>13869</v>
      </c>
      <c r="I53" s="64" t="s">
        <v>14690</v>
      </c>
      <c r="J53" s="67">
        <v>0</v>
      </c>
      <c r="K53" s="62">
        <v>0</v>
      </c>
      <c r="L53" t="str">
        <f>VLOOKUP(VALUE(LEFT(C53,5)),Xref!A:B,2,0)</f>
        <v>ANG</v>
      </c>
      <c r="M53" t="str">
        <f t="shared" si="3"/>
        <v>AKA-ANG</v>
      </c>
      <c r="N53" s="33"/>
      <c r="O53" s="33"/>
      <c r="P53" s="33"/>
      <c r="Q53" s="33"/>
    </row>
    <row r="54" spans="1:17" ht="14.25" customHeight="true">
      <c r="A54" s="33" t="str">
        <f t="shared" si="0"/>
        <v>AKA - Intercompany</v>
      </c>
      <c r="B54" s="33" t="str">
        <f t="shared" si="1"/>
        <v>AKA</v>
      </c>
      <c r="C54" s="33" t="str">
        <f t="shared" si="2"/>
        <v>11334-0000</v>
      </c>
      <c r="D54" s="64" t="s">
        <v>14732</v>
      </c>
      <c r="E54" s="64" t="s">
        <v>13245</v>
      </c>
      <c r="F54" s="64" t="s">
        <v>14039</v>
      </c>
      <c r="G54" s="64" t="s">
        <v>14672</v>
      </c>
      <c r="H54" s="64" t="s">
        <v>13869</v>
      </c>
      <c r="I54" s="64" t="s">
        <v>14690</v>
      </c>
      <c r="J54" s="67">
        <v>0</v>
      </c>
      <c r="K54" s="62">
        <v>0</v>
      </c>
      <c r="L54" t="str">
        <f>VLOOKUP(VALUE(LEFT(C54,5)),Xref!A:B,2,0)</f>
        <v>BRU</v>
      </c>
      <c r="M54" t="str">
        <f t="shared" si="3"/>
        <v>AKA-BRU</v>
      </c>
      <c r="N54" s="33"/>
      <c r="O54" s="33"/>
      <c r="P54" s="33"/>
      <c r="Q54" s="33"/>
    </row>
    <row r="55" spans="1:17" ht="14.25" customHeight="true">
      <c r="A55" s="33" t="str">
        <f t="shared" si="0"/>
        <v>AKA - Intercompany</v>
      </c>
      <c r="B55" s="33" t="str">
        <f t="shared" si="1"/>
        <v>AKA</v>
      </c>
      <c r="C55" s="33" t="str">
        <f t="shared" si="2"/>
        <v>11335-0000</v>
      </c>
      <c r="D55" s="64" t="s">
        <v>14733</v>
      </c>
      <c r="E55" s="64" t="s">
        <v>13246</v>
      </c>
      <c r="F55" s="64" t="s">
        <v>14039</v>
      </c>
      <c r="G55" s="64" t="s">
        <v>14672</v>
      </c>
      <c r="H55" s="64" t="s">
        <v>13869</v>
      </c>
      <c r="I55" s="64" t="s">
        <v>14690</v>
      </c>
      <c r="J55" s="67">
        <v>0</v>
      </c>
      <c r="K55" s="62">
        <v>0</v>
      </c>
      <c r="L55" t="str">
        <f>VLOOKUP(VALUE(LEFT(C55,5)),Xref!A:B,2,0)</f>
        <v>VEN</v>
      </c>
      <c r="M55" t="str">
        <f t="shared" si="3"/>
        <v>AKA-VEN</v>
      </c>
      <c r="N55" s="33"/>
      <c r="O55" s="33"/>
      <c r="P55" s="33"/>
      <c r="Q55" s="33"/>
    </row>
    <row r="56" spans="1:17" ht="14.25" customHeight="true">
      <c r="A56" s="33" t="str">
        <f t="shared" si="0"/>
        <v>AKA - Intercompany</v>
      </c>
      <c r="B56" s="33" t="str">
        <f t="shared" si="1"/>
        <v>AKA</v>
      </c>
      <c r="C56" s="33" t="str">
        <f t="shared" si="2"/>
        <v>11336-0000</v>
      </c>
      <c r="D56" s="64" t="s">
        <v>14734</v>
      </c>
      <c r="E56" s="64" t="s">
        <v>13247</v>
      </c>
      <c r="F56" s="64" t="s">
        <v>14039</v>
      </c>
      <c r="G56" s="64" t="s">
        <v>14672</v>
      </c>
      <c r="H56" s="64" t="s">
        <v>13869</v>
      </c>
      <c r="I56" s="64" t="s">
        <v>14690</v>
      </c>
      <c r="J56" s="67">
        <v>0</v>
      </c>
      <c r="K56" s="62">
        <v>0</v>
      </c>
      <c r="L56" t="str">
        <f>VLOOKUP(VALUE(LEFT(C56,5)),Xref!A:B,2,0)</f>
        <v>SAT</v>
      </c>
      <c r="M56" t="str">
        <f t="shared" si="3"/>
        <v>AKA-SAT</v>
      </c>
      <c r="N56" s="33"/>
      <c r="O56" s="33"/>
      <c r="P56" s="33"/>
      <c r="Q56" s="33"/>
    </row>
    <row r="57" spans="1:17" ht="14.25" customHeight="true">
      <c r="A57" s="33" t="str">
        <f t="shared" si="0"/>
        <v>AKA - Intercompany</v>
      </c>
      <c r="B57" s="33" t="str">
        <f t="shared" si="1"/>
        <v>AKA</v>
      </c>
      <c r="C57" s="33" t="str">
        <f t="shared" si="2"/>
        <v>11337-0000</v>
      </c>
      <c r="D57" s="64" t="s">
        <v>14735</v>
      </c>
      <c r="E57" s="64" t="s">
        <v>13248</v>
      </c>
      <c r="F57" s="64" t="s">
        <v>14039</v>
      </c>
      <c r="G57" s="64" t="s">
        <v>14672</v>
      </c>
      <c r="H57" s="64" t="s">
        <v>13869</v>
      </c>
      <c r="I57" s="64" t="s">
        <v>14690</v>
      </c>
      <c r="J57" s="67">
        <v>0</v>
      </c>
      <c r="K57" s="62">
        <v>0</v>
      </c>
      <c r="L57" t="str">
        <f>VLOOKUP(VALUE(LEFT(C57,5)),Xref!A:B,2,0)</f>
        <v>NEP</v>
      </c>
      <c r="M57" t="str">
        <f t="shared" si="3"/>
        <v>AKA-NEP</v>
      </c>
      <c r="N57" s="33"/>
      <c r="O57" s="33"/>
      <c r="P57" s="33"/>
      <c r="Q57" s="33"/>
    </row>
    <row r="58" spans="1:17" ht="14.25" customHeight="true">
      <c r="A58" s="33" t="str">
        <f t="shared" si="0"/>
        <v>AKA - Intercompany</v>
      </c>
      <c r="B58" s="33" t="str">
        <f t="shared" si="1"/>
        <v>AKA</v>
      </c>
      <c r="C58" s="33" t="str">
        <f t="shared" si="2"/>
        <v>11338-0000</v>
      </c>
      <c r="D58" s="64" t="s">
        <v>14736</v>
      </c>
      <c r="E58" s="64" t="s">
        <v>14131</v>
      </c>
      <c r="F58" s="64" t="s">
        <v>14039</v>
      </c>
      <c r="G58" s="64" t="s">
        <v>14672</v>
      </c>
      <c r="H58" s="64" t="s">
        <v>13869</v>
      </c>
      <c r="I58" s="64" t="s">
        <v>14690</v>
      </c>
      <c r="J58" s="67">
        <v>0</v>
      </c>
      <c r="K58" s="62">
        <v>0</v>
      </c>
      <c r="L58" t="str">
        <f>VLOOKUP(VALUE(LEFT(C58,5)),Xref!A:B,2,0)</f>
        <v>JUP</v>
      </c>
      <c r="M58" t="str">
        <f t="shared" si="3"/>
        <v>AKA-JUP</v>
      </c>
      <c r="N58" s="33"/>
      <c r="O58" s="33"/>
      <c r="P58" s="33"/>
      <c r="Q58" s="33"/>
    </row>
    <row r="59" spans="1:17" ht="14.25" customHeight="true">
      <c r="A59" s="33" t="str">
        <f t="shared" si="0"/>
        <v>AKA - Intercompany</v>
      </c>
      <c r="B59" s="33" t="str">
        <f t="shared" si="1"/>
        <v>AKA</v>
      </c>
      <c r="C59" s="33" t="str">
        <f t="shared" si="2"/>
        <v>11339-0000</v>
      </c>
      <c r="D59" s="64" t="s">
        <v>14737</v>
      </c>
      <c r="E59" s="64" t="s">
        <v>14133</v>
      </c>
      <c r="F59" s="64" t="s">
        <v>14039</v>
      </c>
      <c r="G59" s="64" t="s">
        <v>14672</v>
      </c>
      <c r="H59" s="64" t="s">
        <v>13869</v>
      </c>
      <c r="I59" s="64" t="s">
        <v>14690</v>
      </c>
      <c r="J59" s="67">
        <v>0</v>
      </c>
      <c r="K59" s="62">
        <v>0</v>
      </c>
      <c r="L59" t="str">
        <f>VLOOKUP(VALUE(LEFT(C59,5)),Xref!A:B,2,0)</f>
        <v>WES</v>
      </c>
      <c r="M59" t="str">
        <f t="shared" si="3"/>
        <v>AKA-WES</v>
      </c>
      <c r="N59" s="33"/>
      <c r="O59" s="33"/>
      <c r="P59" s="33"/>
      <c r="Q59" s="33"/>
    </row>
    <row r="60" spans="1:17" ht="14.25" customHeight="true">
      <c r="A60" s="33" t="str">
        <f t="shared" si="0"/>
        <v>AKA - Intercompany</v>
      </c>
      <c r="B60" s="33" t="str">
        <f t="shared" si="1"/>
        <v>AKA</v>
      </c>
      <c r="C60" s="33" t="str">
        <f t="shared" si="2"/>
        <v>11340-0000</v>
      </c>
      <c r="D60" s="64" t="s">
        <v>14738</v>
      </c>
      <c r="E60" s="64" t="s">
        <v>14135</v>
      </c>
      <c r="F60" s="64" t="s">
        <v>14039</v>
      </c>
      <c r="G60" s="64" t="s">
        <v>14672</v>
      </c>
      <c r="H60" s="64" t="s">
        <v>13869</v>
      </c>
      <c r="I60" s="64" t="s">
        <v>14690</v>
      </c>
      <c r="J60" s="67">
        <v>0</v>
      </c>
      <c r="K60" s="62">
        <v>0</v>
      </c>
      <c r="L60" t="str">
        <f>VLOOKUP(VALUE(LEFT(C60,5)),Xref!A:B,2,0)</f>
        <v>LCP</v>
      </c>
      <c r="M60" t="str">
        <f t="shared" si="3"/>
        <v>AKA-LCP</v>
      </c>
      <c r="N60" s="33"/>
      <c r="O60" s="33"/>
      <c r="P60" s="33"/>
      <c r="Q60" s="33"/>
    </row>
    <row r="61" spans="1:17" ht="14.25" customHeight="true">
      <c r="A61" s="33" t="str">
        <f t="shared" si="0"/>
        <v>AKA - Intercompany</v>
      </c>
      <c r="B61" s="33" t="str">
        <f t="shared" si="1"/>
        <v>AKA</v>
      </c>
      <c r="C61" s="33" t="str">
        <f t="shared" si="2"/>
        <v>11341-0000</v>
      </c>
      <c r="D61" s="64" t="s">
        <v>14739</v>
      </c>
      <c r="E61" s="64" t="s">
        <v>13639</v>
      </c>
      <c r="F61" s="64" t="s">
        <v>14039</v>
      </c>
      <c r="G61" s="64" t="s">
        <v>14672</v>
      </c>
      <c r="H61" s="64" t="s">
        <v>13869</v>
      </c>
      <c r="I61" s="64" t="s">
        <v>14690</v>
      </c>
      <c r="J61" s="67">
        <v>0</v>
      </c>
      <c r="K61" s="62">
        <v>0</v>
      </c>
      <c r="L61" t="str">
        <f>VLOOKUP(VALUE(LEFT(C61,5)),Xref!A:B,2,0)</f>
        <v>NOR</v>
      </c>
      <c r="M61" t="str">
        <f t="shared" si="3"/>
        <v>AKA-NOR</v>
      </c>
      <c r="N61" s="33"/>
      <c r="O61" s="33"/>
      <c r="P61" s="33"/>
      <c r="Q61" s="33"/>
    </row>
    <row r="62" spans="1:17" ht="14.25" customHeight="true">
      <c r="A62" s="33" t="str">
        <f t="shared" si="0"/>
        <v>AKA - Intercompany</v>
      </c>
      <c r="B62" s="33" t="str">
        <f t="shared" si="1"/>
        <v>AKA</v>
      </c>
      <c r="C62" s="33" t="str">
        <f t="shared" si="2"/>
        <v>11342-0000</v>
      </c>
      <c r="D62" s="64" t="s">
        <v>14740</v>
      </c>
      <c r="E62" s="64" t="s">
        <v>13355</v>
      </c>
      <c r="F62" s="64" t="s">
        <v>14039</v>
      </c>
      <c r="G62" s="64" t="s">
        <v>14672</v>
      </c>
      <c r="H62" s="64" t="s">
        <v>13869</v>
      </c>
      <c r="I62" s="64" t="s">
        <v>14690</v>
      </c>
      <c r="J62" s="67">
        <v>0</v>
      </c>
      <c r="K62" s="62">
        <v>0</v>
      </c>
      <c r="L62" t="str">
        <f>VLOOKUP(VALUE(LEFT(C62,5)),Xref!A:B,2,0)</f>
        <v>EAS</v>
      </c>
      <c r="M62" t="str">
        <f t="shared" si="3"/>
        <v>AKA-EAS</v>
      </c>
      <c r="N62" s="33"/>
      <c r="O62" s="33"/>
      <c r="P62" s="33"/>
      <c r="Q62" s="33"/>
    </row>
    <row r="63" spans="1:17" ht="14.25" customHeight="true">
      <c r="A63" s="33" t="str">
        <f t="shared" si="0"/>
        <v>AKA - Intercompany</v>
      </c>
      <c r="B63" s="33" t="str">
        <f t="shared" si="1"/>
        <v>AKA</v>
      </c>
      <c r="C63" s="33" t="str">
        <f t="shared" si="2"/>
        <v>11343-0000</v>
      </c>
      <c r="D63" s="64" t="s">
        <v>3668</v>
      </c>
      <c r="E63" s="64" t="s">
        <v>14139</v>
      </c>
      <c r="F63" s="64" t="s">
        <v>14039</v>
      </c>
      <c r="G63" s="64" t="s">
        <v>14672</v>
      </c>
      <c r="H63" s="64" t="s">
        <v>13869</v>
      </c>
      <c r="I63" s="64" t="s">
        <v>14690</v>
      </c>
      <c r="J63" s="67">
        <v>-9995.52</v>
      </c>
      <c r="K63" s="62">
        <v>9047.1</v>
      </c>
      <c r="L63" t="str">
        <f>VLOOKUP(VALUE(LEFT(C63,5)),Xref!A:B,2,0)</f>
        <v>GRA</v>
      </c>
      <c r="M63" t="str">
        <f t="shared" si="3"/>
        <v>AKA-GRA</v>
      </c>
      <c r="N63" s="33"/>
      <c r="O63" s="33"/>
      <c r="P63" s="33"/>
      <c r="Q63" s="33"/>
    </row>
    <row r="64" spans="1:17" ht="14.25" customHeight="true">
      <c r="A64" s="33" t="str">
        <f t="shared" si="0"/>
        <v>AKA - Intercompany</v>
      </c>
      <c r="B64" s="33" t="str">
        <f t="shared" si="1"/>
        <v>AKA</v>
      </c>
      <c r="C64" s="33" t="str">
        <f t="shared" si="2"/>
        <v>11344-0000</v>
      </c>
      <c r="D64" s="64" t="s">
        <v>14741</v>
      </c>
      <c r="E64" s="64" t="s">
        <v>14141</v>
      </c>
      <c r="F64" s="64" t="s">
        <v>14039</v>
      </c>
      <c r="G64" s="64" t="s">
        <v>14672</v>
      </c>
      <c r="H64" s="64" t="s">
        <v>13869</v>
      </c>
      <c r="I64" s="64" t="s">
        <v>14690</v>
      </c>
      <c r="J64" s="67">
        <v>0</v>
      </c>
      <c r="K64" s="62">
        <v>0</v>
      </c>
      <c r="L64" t="str">
        <f>VLOOKUP(VALUE(LEFT(C64,5)),Xref!A:B,2,0)</f>
        <v>SOU</v>
      </c>
      <c r="M64" t="str">
        <f t="shared" si="3"/>
        <v>AKA-SOU</v>
      </c>
      <c r="N64" s="33"/>
      <c r="O64" s="33"/>
      <c r="P64" s="33"/>
      <c r="Q64" s="33"/>
    </row>
    <row r="65" spans="1:17" ht="14.25" customHeight="true">
      <c r="A65" s="33" t="str">
        <f t="shared" si="0"/>
        <v>AKA - Intercompany</v>
      </c>
      <c r="B65" s="33" t="str">
        <f t="shared" si="1"/>
        <v>AKA</v>
      </c>
      <c r="C65" s="33" t="str">
        <f t="shared" si="2"/>
        <v>11345-0000</v>
      </c>
      <c r="D65" s="64" t="s">
        <v>14742</v>
      </c>
      <c r="E65" s="64" t="s">
        <v>14143</v>
      </c>
      <c r="F65" s="64" t="s">
        <v>14039</v>
      </c>
      <c r="G65" s="64" t="s">
        <v>14672</v>
      </c>
      <c r="H65" s="64" t="s">
        <v>13869</v>
      </c>
      <c r="I65" s="64" t="s">
        <v>14690</v>
      </c>
      <c r="J65" s="67">
        <v>0</v>
      </c>
      <c r="K65" s="62">
        <v>0</v>
      </c>
      <c r="L65" t="str">
        <f>VLOOKUP(VALUE(LEFT(C65,5)),Xref!A:B,2,0)</f>
        <v>API</v>
      </c>
      <c r="M65" t="str">
        <f t="shared" si="3"/>
        <v>AKA-API</v>
      </c>
      <c r="N65" s="33"/>
      <c r="O65" s="33"/>
      <c r="P65" s="33"/>
      <c r="Q65" s="33"/>
    </row>
    <row r="66" spans="1:17" ht="14.25" customHeight="true">
      <c r="A66" s="33" t="str">
        <f t="shared" ref="A66:A129" si="4">B66&amp;" - "&amp;TRIM(H66)</f>
        <v>AKA - Intercompany</v>
      </c>
      <c r="B66" s="33" t="str">
        <f t="shared" ref="B66:B129" si="5">LEFT(D66,3)</f>
        <v>AKA</v>
      </c>
      <c r="C66" s="33" t="str">
        <f t="shared" ref="C66:C129" si="6">RIGHT(D66,10)</f>
        <v>11346-0000</v>
      </c>
      <c r="D66" s="64" t="s">
        <v>14743</v>
      </c>
      <c r="E66" s="64" t="s">
        <v>14145</v>
      </c>
      <c r="F66" s="64" t="s">
        <v>14039</v>
      </c>
      <c r="G66" s="64" t="s">
        <v>14672</v>
      </c>
      <c r="H66" s="64" t="s">
        <v>13869</v>
      </c>
      <c r="I66" s="64" t="s">
        <v>14690</v>
      </c>
      <c r="J66" s="67">
        <v>0</v>
      </c>
      <c r="K66" s="62">
        <v>0</v>
      </c>
      <c r="L66" t="str">
        <f>VLOOKUP(VALUE(LEFT(C66,5)),Xref!A:B,2,0)</f>
        <v>DPH</v>
      </c>
      <c r="M66" t="str">
        <f t="shared" ref="M66:M129" si="7">IF(B66&lt;L66,B66&amp;"-"&amp;L66,L66&amp;"-"&amp;B66)</f>
        <v>AKA-DPH</v>
      </c>
      <c r="N66" s="33"/>
      <c r="O66" s="33"/>
      <c r="P66" s="33"/>
      <c r="Q66" s="33"/>
    </row>
    <row r="67" spans="1:17" ht="14.25" customHeight="true">
      <c r="A67" s="33" t="str">
        <f t="shared" si="4"/>
        <v>AKA - Intercompany</v>
      </c>
      <c r="B67" s="33" t="str">
        <f t="shared" si="5"/>
        <v>AKA</v>
      </c>
      <c r="C67" s="33" t="str">
        <f t="shared" si="6"/>
        <v>11347-0000</v>
      </c>
      <c r="D67" s="64" t="s">
        <v>14744</v>
      </c>
      <c r="E67" s="64" t="s">
        <v>14147</v>
      </c>
      <c r="F67" s="64" t="s">
        <v>14039</v>
      </c>
      <c r="G67" s="64" t="s">
        <v>14672</v>
      </c>
      <c r="H67" s="64" t="s">
        <v>13869</v>
      </c>
      <c r="I67" s="64" t="s">
        <v>14690</v>
      </c>
      <c r="J67" s="67">
        <v>0</v>
      </c>
      <c r="K67" s="62">
        <v>0</v>
      </c>
      <c r="L67" t="str">
        <f>VLOOKUP(VALUE(LEFT(C67,5)),Xref!A:B,2,0)</f>
        <v>ZPI</v>
      </c>
      <c r="M67" t="str">
        <f t="shared" si="7"/>
        <v>AKA-ZPI</v>
      </c>
      <c r="N67" s="33"/>
      <c r="O67" s="33"/>
      <c r="P67" s="33"/>
      <c r="Q67" s="33"/>
    </row>
    <row r="68" spans="1:17" ht="14.25" customHeight="true">
      <c r="A68" s="33" t="str">
        <f t="shared" si="4"/>
        <v>AKA - Intercompany</v>
      </c>
      <c r="B68" s="33" t="str">
        <f t="shared" si="5"/>
        <v>AKA</v>
      </c>
      <c r="C68" s="33" t="str">
        <f t="shared" si="6"/>
        <v>11348-0000</v>
      </c>
      <c r="D68" s="64" t="s">
        <v>14745</v>
      </c>
      <c r="E68" s="64" t="s">
        <v>14149</v>
      </c>
      <c r="F68" s="64" t="s">
        <v>14039</v>
      </c>
      <c r="G68" s="64" t="s">
        <v>14672</v>
      </c>
      <c r="H68" s="64" t="s">
        <v>13869</v>
      </c>
      <c r="I68" s="64" t="s">
        <v>14690</v>
      </c>
      <c r="J68" s="67">
        <v>0</v>
      </c>
      <c r="K68" s="62">
        <v>0</v>
      </c>
      <c r="L68" t="str">
        <f>VLOOKUP(VALUE(LEFT(C68,5)),Xref!A:B,2,0)</f>
        <v>EAM</v>
      </c>
      <c r="M68" t="str">
        <f t="shared" si="7"/>
        <v>AKA-EAM</v>
      </c>
      <c r="N68" s="33"/>
      <c r="O68" s="33"/>
      <c r="P68" s="33"/>
      <c r="Q68" s="33"/>
    </row>
    <row r="69" spans="1:17" ht="14.25" customHeight="true">
      <c r="A69" s="33" t="str">
        <f t="shared" si="4"/>
        <v>AKA - Intercompany</v>
      </c>
      <c r="B69" s="33" t="str">
        <f t="shared" si="5"/>
        <v>AKA</v>
      </c>
      <c r="C69" s="33" t="str">
        <f t="shared" si="6"/>
        <v>11349-0000</v>
      </c>
      <c r="D69" s="64" t="s">
        <v>14746</v>
      </c>
      <c r="E69" s="64" t="s">
        <v>14151</v>
      </c>
      <c r="F69" s="64" t="s">
        <v>14039</v>
      </c>
      <c r="G69" s="64" t="s">
        <v>14672</v>
      </c>
      <c r="H69" s="64" t="s">
        <v>13869</v>
      </c>
      <c r="I69" s="64" t="s">
        <v>14690</v>
      </c>
      <c r="J69" s="67">
        <v>0</v>
      </c>
      <c r="K69" s="62">
        <v>0</v>
      </c>
      <c r="L69" t="str">
        <f>VLOOKUP(VALUE(LEFT(C69,5)),Xref!A:B,2,0)</f>
        <v>SEA</v>
      </c>
      <c r="M69" t="str">
        <f t="shared" si="7"/>
        <v>AKA-SEA</v>
      </c>
      <c r="N69" s="33"/>
      <c r="O69" s="33"/>
      <c r="P69" s="33"/>
      <c r="Q69" s="33"/>
    </row>
    <row r="70" spans="1:17" ht="14.25" customHeight="true">
      <c r="A70" s="33" t="str">
        <f t="shared" si="4"/>
        <v>AKA - Intercompany</v>
      </c>
      <c r="B70" s="33" t="str">
        <f t="shared" si="5"/>
        <v>AKA</v>
      </c>
      <c r="C70" s="33" t="str">
        <f t="shared" si="6"/>
        <v>11350-0000</v>
      </c>
      <c r="D70" s="64" t="s">
        <v>14747</v>
      </c>
      <c r="E70" s="64" t="s">
        <v>14153</v>
      </c>
      <c r="F70" s="64" t="s">
        <v>14039</v>
      </c>
      <c r="G70" s="64" t="s">
        <v>14672</v>
      </c>
      <c r="H70" s="64" t="s">
        <v>13869</v>
      </c>
      <c r="I70" s="64" t="s">
        <v>14690</v>
      </c>
      <c r="J70" s="67">
        <v>0</v>
      </c>
      <c r="K70" s="62">
        <v>-17.42</v>
      </c>
      <c r="L70" t="str">
        <f>VLOOKUP(VALUE(LEFT(C70,5)),Xref!A:B,2,0)</f>
        <v>EAL</v>
      </c>
      <c r="M70" t="str">
        <f t="shared" si="7"/>
        <v>AKA-EAL</v>
      </c>
      <c r="N70" s="33"/>
      <c r="O70" s="33"/>
      <c r="P70" s="33"/>
      <c r="Q70" s="33"/>
    </row>
    <row r="71" spans="1:17" ht="14.25" customHeight="true">
      <c r="A71" s="33" t="str">
        <f t="shared" si="4"/>
        <v>AKA - Intercompany</v>
      </c>
      <c r="B71" s="33" t="str">
        <f t="shared" si="5"/>
        <v>AKA</v>
      </c>
      <c r="C71" s="33" t="str">
        <f t="shared" si="6"/>
        <v>11351-0000</v>
      </c>
      <c r="D71" s="64" t="s">
        <v>14748</v>
      </c>
      <c r="E71" s="64" t="s">
        <v>14155</v>
      </c>
      <c r="F71" s="64" t="s">
        <v>14039</v>
      </c>
      <c r="G71" s="64" t="s">
        <v>14672</v>
      </c>
      <c r="H71" s="64" t="s">
        <v>13869</v>
      </c>
      <c r="I71" s="64" t="s">
        <v>14690</v>
      </c>
      <c r="J71" s="67">
        <v>0</v>
      </c>
      <c r="K71" s="62">
        <v>0</v>
      </c>
      <c r="L71" t="str">
        <f>VLOOKUP(VALUE(LEFT(C71,5)),Xref!A:B,2,0)</f>
        <v>WEP</v>
      </c>
      <c r="M71" t="str">
        <f t="shared" si="7"/>
        <v>AKA-WEP</v>
      </c>
      <c r="N71" s="33"/>
      <c r="O71" s="33"/>
      <c r="P71" s="33"/>
      <c r="Q71" s="33"/>
    </row>
    <row r="72" spans="1:17" ht="14.25" customHeight="true">
      <c r="A72" s="33" t="str">
        <f t="shared" si="4"/>
        <v>AKA - Intercompany</v>
      </c>
      <c r="B72" s="33" t="str">
        <f t="shared" si="5"/>
        <v>AKA</v>
      </c>
      <c r="C72" s="33" t="str">
        <f t="shared" si="6"/>
        <v>11352-0000</v>
      </c>
      <c r="D72" s="64" t="s">
        <v>14749</v>
      </c>
      <c r="E72" s="64" t="s">
        <v>13536</v>
      </c>
      <c r="F72" s="64" t="s">
        <v>14039</v>
      </c>
      <c r="G72" s="64" t="s">
        <v>14672</v>
      </c>
      <c r="H72" s="64" t="s">
        <v>13869</v>
      </c>
      <c r="I72" s="64" t="s">
        <v>14690</v>
      </c>
      <c r="J72" s="67">
        <v>0</v>
      </c>
      <c r="K72" s="62">
        <v>0</v>
      </c>
      <c r="L72" t="str">
        <f>VLOOKUP(VALUE(LEFT(C72,5)),Xref!A:B,2,0)</f>
        <v>KLP</v>
      </c>
      <c r="M72" t="str">
        <f t="shared" si="7"/>
        <v>AKA-KLP</v>
      </c>
      <c r="N72" s="33"/>
      <c r="O72" s="33"/>
      <c r="P72" s="33"/>
      <c r="Q72" s="33"/>
    </row>
    <row r="73" spans="1:17" ht="14.25" customHeight="true">
      <c r="A73" s="33" t="str">
        <f t="shared" si="4"/>
        <v>AKA - Intercompany</v>
      </c>
      <c r="B73" s="33" t="str">
        <f t="shared" si="5"/>
        <v>AKA</v>
      </c>
      <c r="C73" s="33" t="str">
        <f t="shared" si="6"/>
        <v>11353-0000</v>
      </c>
      <c r="D73" s="64" t="s">
        <v>14750</v>
      </c>
      <c r="E73" s="64" t="s">
        <v>13537</v>
      </c>
      <c r="F73" s="64" t="s">
        <v>14039</v>
      </c>
      <c r="G73" s="64" t="s">
        <v>14672</v>
      </c>
      <c r="H73" s="64" t="s">
        <v>13869</v>
      </c>
      <c r="I73" s="64" t="s">
        <v>14690</v>
      </c>
      <c r="J73" s="67">
        <v>0</v>
      </c>
      <c r="K73" s="62">
        <v>0</v>
      </c>
      <c r="L73" t="str">
        <f>VLOOKUP(VALUE(LEFT(C73,5)),Xref!A:B,2,0)</f>
        <v>AKC</v>
      </c>
      <c r="M73" t="str">
        <f t="shared" si="7"/>
        <v>AKA-AKC</v>
      </c>
      <c r="N73" s="33"/>
      <c r="O73" s="33"/>
      <c r="P73" s="33"/>
      <c r="Q73" s="33"/>
    </row>
    <row r="74" spans="1:17" ht="14.25" customHeight="true">
      <c r="A74" s="33" t="str">
        <f t="shared" si="4"/>
        <v>AKA - Intercompany</v>
      </c>
      <c r="B74" s="33" t="str">
        <f t="shared" si="5"/>
        <v>AKA</v>
      </c>
      <c r="C74" s="33" t="str">
        <f t="shared" si="6"/>
        <v>11354-0000</v>
      </c>
      <c r="D74" s="64" t="s">
        <v>14751</v>
      </c>
      <c r="E74" s="64" t="s">
        <v>13538</v>
      </c>
      <c r="F74" s="64" t="s">
        <v>14039</v>
      </c>
      <c r="G74" s="64" t="s">
        <v>14672</v>
      </c>
      <c r="H74" s="64" t="s">
        <v>13869</v>
      </c>
      <c r="I74" s="64" t="s">
        <v>14690</v>
      </c>
      <c r="J74" s="67">
        <v>0</v>
      </c>
      <c r="K74" s="62">
        <v>0</v>
      </c>
      <c r="L74" t="str">
        <f>VLOOKUP(VALUE(LEFT(C74,5)),Xref!A:B,2,0)</f>
        <v>AKA</v>
      </c>
      <c r="M74" t="str">
        <f t="shared" si="7"/>
        <v>AKA-AKA</v>
      </c>
      <c r="N74" s="33"/>
      <c r="O74" s="33"/>
      <c r="P74" s="33"/>
      <c r="Q74" s="33"/>
    </row>
    <row r="75" spans="1:17" ht="14.25" customHeight="true">
      <c r="A75" s="33" t="str">
        <f t="shared" si="4"/>
        <v>AKA - Intercompany</v>
      </c>
      <c r="B75" s="33" t="str">
        <f t="shared" si="5"/>
        <v>AKA</v>
      </c>
      <c r="C75" s="33" t="str">
        <f t="shared" si="6"/>
        <v>11355-0000</v>
      </c>
      <c r="D75" s="64" t="s">
        <v>14752</v>
      </c>
      <c r="E75" s="64" t="s">
        <v>13539</v>
      </c>
      <c r="F75" s="64" t="s">
        <v>14039</v>
      </c>
      <c r="G75" s="64" t="s">
        <v>14672</v>
      </c>
      <c r="H75" s="64" t="s">
        <v>13869</v>
      </c>
      <c r="I75" s="64" t="s">
        <v>14690</v>
      </c>
      <c r="J75" s="67">
        <v>0</v>
      </c>
      <c r="K75" s="62">
        <v>0</v>
      </c>
      <c r="L75" t="str">
        <f>VLOOKUP(VALUE(LEFT(C75,5)),Xref!A:B,2,0)</f>
        <v>SPA</v>
      </c>
      <c r="M75" t="str">
        <f t="shared" si="7"/>
        <v>AKA-SPA</v>
      </c>
      <c r="N75" s="33"/>
      <c r="O75" s="33"/>
      <c r="P75" s="33"/>
      <c r="Q75" s="33"/>
    </row>
    <row r="76" spans="1:17" ht="14.25" customHeight="true">
      <c r="A76" s="33" t="str">
        <f t="shared" si="4"/>
        <v>AKA - Intercompany</v>
      </c>
      <c r="B76" s="33" t="str">
        <f t="shared" si="5"/>
        <v>AKA</v>
      </c>
      <c r="C76" s="33" t="str">
        <f t="shared" si="6"/>
        <v>11356-0000</v>
      </c>
      <c r="D76" s="64" t="s">
        <v>14753</v>
      </c>
      <c r="E76" s="64" t="s">
        <v>13540</v>
      </c>
      <c r="F76" s="64" t="s">
        <v>14039</v>
      </c>
      <c r="G76" s="64" t="s">
        <v>14672</v>
      </c>
      <c r="H76" s="64" t="s">
        <v>13869</v>
      </c>
      <c r="I76" s="64" t="s">
        <v>14690</v>
      </c>
      <c r="J76" s="67">
        <v>0</v>
      </c>
      <c r="K76" s="62">
        <v>0</v>
      </c>
      <c r="L76" t="str">
        <f>VLOOKUP(VALUE(LEFT(C76,5)),Xref!A:B,2,0)</f>
        <v>DPM</v>
      </c>
      <c r="M76" t="str">
        <f t="shared" si="7"/>
        <v>AKA-DPM</v>
      </c>
      <c r="N76" s="33"/>
      <c r="O76" s="33"/>
      <c r="P76" s="33"/>
      <c r="Q76" s="33"/>
    </row>
    <row r="77" spans="1:17" ht="14.25" customHeight="true">
      <c r="A77" s="33" t="str">
        <f t="shared" si="4"/>
        <v>AKA - Intercompany</v>
      </c>
      <c r="B77" s="33" t="str">
        <f t="shared" si="5"/>
        <v>AKA</v>
      </c>
      <c r="C77" s="33" t="str">
        <f t="shared" si="6"/>
        <v>11357-0000</v>
      </c>
      <c r="D77" s="64" t="s">
        <v>14754</v>
      </c>
      <c r="E77" s="64" t="s">
        <v>13541</v>
      </c>
      <c r="F77" s="64" t="s">
        <v>14039</v>
      </c>
      <c r="G77" s="64" t="s">
        <v>14672</v>
      </c>
      <c r="H77" s="64" t="s">
        <v>13869</v>
      </c>
      <c r="I77" s="64" t="s">
        <v>14690</v>
      </c>
      <c r="J77" s="67">
        <v>0</v>
      </c>
      <c r="K77" s="62">
        <v>0</v>
      </c>
      <c r="L77" t="str">
        <f>VLOOKUP(VALUE(LEFT(C77,5)),Xref!A:B,2,0)</f>
        <v>HDM</v>
      </c>
      <c r="M77" t="str">
        <f t="shared" si="7"/>
        <v>AKA-HDM</v>
      </c>
      <c r="N77" s="33"/>
      <c r="O77" s="33"/>
      <c r="P77" s="33"/>
      <c r="Q77" s="33"/>
    </row>
    <row r="78" spans="1:17" ht="14.25" customHeight="true">
      <c r="A78" s="33" t="str">
        <f t="shared" si="4"/>
        <v>AKA - Intercompany</v>
      </c>
      <c r="B78" s="33" t="str">
        <f t="shared" si="5"/>
        <v>AKA</v>
      </c>
      <c r="C78" s="33" t="str">
        <f t="shared" si="6"/>
        <v>11358-0000</v>
      </c>
      <c r="D78" s="64" t="s">
        <v>14755</v>
      </c>
      <c r="E78" s="64" t="s">
        <v>13542</v>
      </c>
      <c r="F78" s="64" t="s">
        <v>14039</v>
      </c>
      <c r="G78" s="64" t="s">
        <v>14672</v>
      </c>
      <c r="H78" s="64" t="s">
        <v>13869</v>
      </c>
      <c r="I78" s="64" t="s">
        <v>14690</v>
      </c>
      <c r="J78" s="67">
        <v>0</v>
      </c>
      <c r="K78" s="62">
        <v>0</v>
      </c>
      <c r="L78" t="str">
        <f>VLOOKUP(VALUE(LEFT(C78,5)),Xref!A:B,2,0)</f>
        <v>GRA</v>
      </c>
      <c r="M78" t="str">
        <f t="shared" si="7"/>
        <v>AKA-GRA</v>
      </c>
      <c r="N78" s="33"/>
      <c r="O78" s="33"/>
      <c r="P78" s="33"/>
      <c r="Q78" s="33"/>
    </row>
    <row r="79" spans="1:17" ht="14.25" customHeight="true">
      <c r="A79" s="33" t="str">
        <f t="shared" si="4"/>
        <v>AKA - Intercompany</v>
      </c>
      <c r="B79" s="33" t="str">
        <f t="shared" si="5"/>
        <v>AKA</v>
      </c>
      <c r="C79" s="33" t="str">
        <f t="shared" si="6"/>
        <v>11359-0000</v>
      </c>
      <c r="D79" s="64" t="s">
        <v>14756</v>
      </c>
      <c r="E79" s="64" t="s">
        <v>13543</v>
      </c>
      <c r="F79" s="64" t="s">
        <v>14039</v>
      </c>
      <c r="G79" s="64" t="s">
        <v>14672</v>
      </c>
      <c r="H79" s="64" t="s">
        <v>13869</v>
      </c>
      <c r="I79" s="64" t="s">
        <v>14690</v>
      </c>
      <c r="J79" s="67">
        <v>0</v>
      </c>
      <c r="K79" s="62">
        <v>0</v>
      </c>
      <c r="L79" t="str">
        <f>VLOOKUP(VALUE(LEFT(C79,5)),Xref!A:B,2,0)</f>
        <v>TPI</v>
      </c>
      <c r="M79" t="str">
        <f t="shared" si="7"/>
        <v>AKA-TPI</v>
      </c>
      <c r="N79" s="33"/>
      <c r="O79" s="33"/>
      <c r="P79" s="33"/>
      <c r="Q79" s="33"/>
    </row>
    <row r="80" spans="1:17" ht="14.25" customHeight="true">
      <c r="A80" s="33" t="str">
        <f t="shared" si="4"/>
        <v>AKA - Intercompany</v>
      </c>
      <c r="B80" s="33" t="str">
        <f t="shared" si="5"/>
        <v>AKA</v>
      </c>
      <c r="C80" s="33" t="str">
        <f t="shared" si="6"/>
        <v>11361-0000</v>
      </c>
      <c r="D80" s="64" t="s">
        <v>14757</v>
      </c>
      <c r="E80" s="64" t="s">
        <v>14165</v>
      </c>
      <c r="F80" s="64" t="s">
        <v>14039</v>
      </c>
      <c r="G80" s="64" t="s">
        <v>14672</v>
      </c>
      <c r="H80" s="64" t="s">
        <v>13869</v>
      </c>
      <c r="I80" s="64" t="s">
        <v>14690</v>
      </c>
      <c r="J80" s="67">
        <v>0</v>
      </c>
      <c r="K80" s="62">
        <v>0</v>
      </c>
      <c r="L80" t="str">
        <f>VLOOKUP(VALUE(LEFT(C80,5)),Xref!A:B,2,0)</f>
        <v>GSM</v>
      </c>
      <c r="M80" t="str">
        <f t="shared" si="7"/>
        <v>AKA-GSM</v>
      </c>
      <c r="N80" s="33"/>
      <c r="O80" s="33"/>
      <c r="P80" s="33"/>
      <c r="Q80" s="33"/>
    </row>
    <row r="81" spans="1:17" ht="14.25" customHeight="true">
      <c r="A81" s="33" t="str">
        <f t="shared" si="4"/>
        <v>AKA - Intercompany</v>
      </c>
      <c r="B81" s="33" t="str">
        <f t="shared" si="5"/>
        <v>AKA</v>
      </c>
      <c r="C81" s="33" t="str">
        <f t="shared" si="6"/>
        <v>11363-0000</v>
      </c>
      <c r="D81" s="64" t="s">
        <v>14758</v>
      </c>
      <c r="E81" s="64" t="s">
        <v>13544</v>
      </c>
      <c r="F81" s="64" t="s">
        <v>14039</v>
      </c>
      <c r="G81" s="64" t="s">
        <v>14672</v>
      </c>
      <c r="H81" s="64" t="s">
        <v>13869</v>
      </c>
      <c r="I81" s="64" t="s">
        <v>14690</v>
      </c>
      <c r="J81" s="67">
        <v>0</v>
      </c>
      <c r="K81" s="62">
        <v>0</v>
      </c>
      <c r="L81" t="str">
        <f>VLOOKUP(VALUE(LEFT(C81,5)),Xref!A:B,2,0)</f>
        <v>SOF</v>
      </c>
      <c r="M81" t="str">
        <f t="shared" si="7"/>
        <v>AKA-SOF</v>
      </c>
      <c r="N81" s="33"/>
      <c r="O81" s="33"/>
      <c r="P81" s="33"/>
      <c r="Q81" s="33"/>
    </row>
    <row r="82" spans="1:17" ht="14.25" customHeight="true">
      <c r="A82" s="33" t="str">
        <f t="shared" si="4"/>
        <v>AKA - Intercompany</v>
      </c>
      <c r="B82" s="33" t="str">
        <f t="shared" si="5"/>
        <v>AKA</v>
      </c>
      <c r="C82" s="33" t="str">
        <f t="shared" si="6"/>
        <v>11364-0000</v>
      </c>
      <c r="D82" s="64" t="s">
        <v>14759</v>
      </c>
      <c r="E82" s="64" t="s">
        <v>14168</v>
      </c>
      <c r="F82" s="64" t="s">
        <v>14039</v>
      </c>
      <c r="G82" s="64" t="s">
        <v>14672</v>
      </c>
      <c r="H82" s="64" t="s">
        <v>13869</v>
      </c>
      <c r="I82" s="64" t="s">
        <v>14690</v>
      </c>
      <c r="J82" s="67">
        <v>0</v>
      </c>
      <c r="K82" s="62">
        <v>0</v>
      </c>
      <c r="L82" t="e">
        <f>VLOOKUP(VALUE(LEFT(C82,5)),Xref!A:B,2,0)</f>
        <v>#N/A</v>
      </c>
      <c r="M82" t="e">
        <f t="shared" si="7"/>
        <v>#N/A</v>
      </c>
      <c r="N82" s="33"/>
      <c r="O82" s="33"/>
      <c r="P82" s="33"/>
      <c r="Q82" s="33"/>
    </row>
    <row r="83" spans="1:17" ht="14.25" customHeight="true">
      <c r="A83" s="33" t="str">
        <f t="shared" si="4"/>
        <v>AKA - Intercompany</v>
      </c>
      <c r="B83" s="33" t="str">
        <f t="shared" si="5"/>
        <v>AKA</v>
      </c>
      <c r="C83" s="33" t="str">
        <f t="shared" si="6"/>
        <v>11365-0000</v>
      </c>
      <c r="D83" s="64" t="s">
        <v>14760</v>
      </c>
      <c r="E83" s="64" t="s">
        <v>14170</v>
      </c>
      <c r="F83" s="64" t="s">
        <v>14039</v>
      </c>
      <c r="G83" s="64" t="s">
        <v>14672</v>
      </c>
      <c r="H83" s="64" t="s">
        <v>13869</v>
      </c>
      <c r="I83" s="64" t="s">
        <v>14690</v>
      </c>
      <c r="J83" s="67">
        <v>0</v>
      </c>
      <c r="K83" s="62">
        <v>0</v>
      </c>
      <c r="L83" t="e">
        <f>VLOOKUP(VALUE(LEFT(C83,5)),Xref!A:B,2,0)</f>
        <v>#N/A</v>
      </c>
      <c r="M83" t="e">
        <f t="shared" si="7"/>
        <v>#N/A</v>
      </c>
      <c r="N83" s="33"/>
      <c r="O83" s="33"/>
      <c r="P83" s="33"/>
      <c r="Q83" s="33"/>
    </row>
    <row r="84" spans="1:17" ht="14.25" customHeight="true">
      <c r="A84" s="33" t="str">
        <f t="shared" si="4"/>
        <v>AKA - Intercompany</v>
      </c>
      <c r="B84" s="33" t="str">
        <f t="shared" si="5"/>
        <v>AKA</v>
      </c>
      <c r="C84" s="33" t="str">
        <f t="shared" si="6"/>
        <v>11366-0000</v>
      </c>
      <c r="D84" s="64" t="s">
        <v>14761</v>
      </c>
      <c r="E84" s="64" t="s">
        <v>14172</v>
      </c>
      <c r="F84" s="64"/>
      <c r="G84" s="64" t="s">
        <v>14672</v>
      </c>
      <c r="H84" s="64" t="s">
        <v>13869</v>
      </c>
      <c r="I84" s="64" t="s">
        <v>14690</v>
      </c>
      <c r="J84" s="67">
        <v>0</v>
      </c>
      <c r="K84" s="62">
        <v>0</v>
      </c>
      <c r="L84" t="e">
        <f>VLOOKUP(VALUE(LEFT(C84,5)),Xref!A:B,2,0)</f>
        <v>#N/A</v>
      </c>
      <c r="M84" t="e">
        <f t="shared" si="7"/>
        <v>#N/A</v>
      </c>
      <c r="N84" s="33"/>
      <c r="O84" s="33"/>
      <c r="P84" s="33"/>
      <c r="Q84" s="33"/>
    </row>
    <row r="85" spans="1:17" ht="14.25" customHeight="true">
      <c r="A85" s="33" t="str">
        <f t="shared" si="4"/>
        <v>AKA - Intercompany</v>
      </c>
      <c r="B85" s="33" t="str">
        <f t="shared" si="5"/>
        <v>AKA</v>
      </c>
      <c r="C85" s="33" t="str">
        <f t="shared" si="6"/>
        <v>11402-0000</v>
      </c>
      <c r="D85" s="64" t="s">
        <v>14762</v>
      </c>
      <c r="E85" s="64" t="s">
        <v>14174</v>
      </c>
      <c r="F85" s="64"/>
      <c r="G85" s="64" t="s">
        <v>14672</v>
      </c>
      <c r="H85" s="64" t="s">
        <v>13869</v>
      </c>
      <c r="I85" s="64" t="s">
        <v>14690</v>
      </c>
      <c r="J85" s="67">
        <v>0</v>
      </c>
      <c r="K85" s="62">
        <v>0</v>
      </c>
      <c r="L85" t="str">
        <f>VLOOKUP(VALUE(LEFT(C85,5)),Xref!A:B,2,0)</f>
        <v>DPI</v>
      </c>
      <c r="M85" t="str">
        <f t="shared" si="7"/>
        <v>AKA-DPI</v>
      </c>
      <c r="N85" s="33"/>
      <c r="O85" s="33"/>
      <c r="P85" s="33"/>
      <c r="Q85" s="33"/>
    </row>
    <row r="86" spans="1:17" ht="14.25" customHeight="true">
      <c r="A86" s="33" t="str">
        <f t="shared" si="4"/>
        <v>AKA - Intercompany</v>
      </c>
      <c r="B86" s="33" t="str">
        <f t="shared" si="5"/>
        <v>AKA</v>
      </c>
      <c r="C86" s="33" t="str">
        <f t="shared" si="6"/>
        <v>11403-0000</v>
      </c>
      <c r="D86" s="64" t="s">
        <v>14763</v>
      </c>
      <c r="E86" s="64" t="s">
        <v>14176</v>
      </c>
      <c r="F86" s="64"/>
      <c r="G86" s="64" t="s">
        <v>14672</v>
      </c>
      <c r="H86" s="64" t="s">
        <v>13869</v>
      </c>
      <c r="I86" s="64" t="s">
        <v>14690</v>
      </c>
      <c r="J86" s="67">
        <v>0</v>
      </c>
      <c r="K86" s="62">
        <v>0</v>
      </c>
      <c r="L86" t="str">
        <f>VLOOKUP(VALUE(LEFT(C86,5)),Xref!A:B,2,0)</f>
        <v>SEA</v>
      </c>
      <c r="M86" t="str">
        <f t="shared" si="7"/>
        <v>AKA-SEA</v>
      </c>
      <c r="N86" s="33"/>
      <c r="O86" s="33"/>
      <c r="P86" s="33"/>
      <c r="Q86" s="33"/>
    </row>
    <row r="87" spans="1:17" ht="14.25" customHeight="true">
      <c r="A87" s="33" t="str">
        <f t="shared" si="4"/>
        <v>AKA - Intercompany</v>
      </c>
      <c r="B87" s="33" t="str">
        <f t="shared" si="5"/>
        <v>AKA</v>
      </c>
      <c r="C87" s="33" t="str">
        <f t="shared" si="6"/>
        <v>12400-0000</v>
      </c>
      <c r="D87" s="64" t="s">
        <v>14767</v>
      </c>
      <c r="E87" s="64" t="s">
        <v>14185</v>
      </c>
      <c r="F87" s="64" t="s">
        <v>14039</v>
      </c>
      <c r="G87" s="64" t="s">
        <v>14672</v>
      </c>
      <c r="H87" s="64" t="s">
        <v>13869</v>
      </c>
      <c r="I87" s="64" t="s">
        <v>14690</v>
      </c>
      <c r="J87" s="67">
        <v>0</v>
      </c>
      <c r="K87" s="62">
        <v>0</v>
      </c>
      <c r="L87" t="str">
        <f>VLOOKUP(VALUE(LEFT(C87,5)),Xref!A:B,2,0)</f>
        <v>aka</v>
      </c>
      <c r="M87" t="str">
        <f t="shared" si="7"/>
        <v>aka-AKA</v>
      </c>
      <c r="N87" s="33"/>
      <c r="O87" s="33"/>
      <c r="P87" s="33"/>
      <c r="Q87" s="33"/>
    </row>
    <row r="88" spans="1:17" ht="14.25" customHeight="true">
      <c r="A88" s="33" t="str">
        <f t="shared" si="4"/>
        <v>AKA - Intercompany</v>
      </c>
      <c r="B88" s="33" t="str">
        <f t="shared" si="5"/>
        <v>AKA</v>
      </c>
      <c r="C88" s="33" t="str">
        <f t="shared" si="6"/>
        <v>12401-0000</v>
      </c>
      <c r="D88" s="64" t="s">
        <v>14768</v>
      </c>
      <c r="E88" s="64" t="s">
        <v>14187</v>
      </c>
      <c r="F88" s="64" t="s">
        <v>14039</v>
      </c>
      <c r="G88" s="64" t="s">
        <v>14672</v>
      </c>
      <c r="H88" s="64" t="s">
        <v>13869</v>
      </c>
      <c r="I88" s="64" t="s">
        <v>14690</v>
      </c>
      <c r="J88" s="67">
        <v>0</v>
      </c>
      <c r="K88" s="62">
        <v>0</v>
      </c>
      <c r="L88" t="str">
        <f>VLOOKUP(VALUE(LEFT(C88,5)),Xref!A:B,2,0)</f>
        <v>aka</v>
      </c>
      <c r="M88" t="str">
        <f t="shared" si="7"/>
        <v>aka-AKA</v>
      </c>
      <c r="N88" s="33"/>
      <c r="O88" s="33"/>
      <c r="P88" s="33"/>
      <c r="Q88" s="33"/>
    </row>
    <row r="89" spans="1:17" ht="14.25" customHeight="true">
      <c r="A89" s="33" t="str">
        <f t="shared" si="4"/>
        <v>AKA - Intercompany</v>
      </c>
      <c r="B89" s="33" t="str">
        <f t="shared" si="5"/>
        <v>AKA</v>
      </c>
      <c r="C89" s="33" t="str">
        <f t="shared" si="6"/>
        <v>12402-0000</v>
      </c>
      <c r="D89" s="64" t="s">
        <v>14769</v>
      </c>
      <c r="E89" s="64" t="s">
        <v>14189</v>
      </c>
      <c r="F89" s="64" t="s">
        <v>14039</v>
      </c>
      <c r="G89" s="64" t="s">
        <v>14672</v>
      </c>
      <c r="H89" s="64" t="s">
        <v>13869</v>
      </c>
      <c r="I89" s="64" t="s">
        <v>14690</v>
      </c>
      <c r="J89" s="67">
        <v>0</v>
      </c>
      <c r="K89" s="62">
        <v>0</v>
      </c>
      <c r="L89" t="str">
        <f>VLOOKUP(VALUE(LEFT(C89,5)),Xref!A:B,2,0)</f>
        <v>aka</v>
      </c>
      <c r="M89" t="str">
        <f t="shared" si="7"/>
        <v>aka-AKA</v>
      </c>
      <c r="N89" s="33"/>
      <c r="O89" s="33"/>
      <c r="P89" s="33"/>
      <c r="Q89" s="33"/>
    </row>
    <row r="90" spans="1:17" ht="14.25" customHeight="true">
      <c r="A90" s="33" t="str">
        <f t="shared" si="4"/>
        <v>AKA - Intercompany</v>
      </c>
      <c r="B90" s="33" t="str">
        <f t="shared" si="5"/>
        <v>AKA</v>
      </c>
      <c r="C90" s="33" t="str">
        <f t="shared" si="6"/>
        <v>12403-0000</v>
      </c>
      <c r="D90" s="64" t="s">
        <v>14770</v>
      </c>
      <c r="E90" s="64" t="s">
        <v>5226</v>
      </c>
      <c r="F90" s="64" t="s">
        <v>14039</v>
      </c>
      <c r="G90" s="64" t="s">
        <v>14672</v>
      </c>
      <c r="H90" s="64" t="s">
        <v>13869</v>
      </c>
      <c r="I90" s="64" t="s">
        <v>14690</v>
      </c>
      <c r="J90" s="67">
        <v>0</v>
      </c>
      <c r="K90" s="62">
        <v>0</v>
      </c>
      <c r="L90" t="str">
        <f>VLOOKUP(VALUE(LEFT(C90,5)),Xref!A:B,2,0)</f>
        <v>aka</v>
      </c>
      <c r="M90" t="str">
        <f t="shared" si="7"/>
        <v>aka-AKA</v>
      </c>
      <c r="N90" s="33"/>
      <c r="O90" s="33"/>
      <c r="P90" s="33"/>
      <c r="Q90" s="33"/>
    </row>
    <row r="91" spans="1:17" ht="14.25" customHeight="true">
      <c r="A91" s="33" t="str">
        <f t="shared" si="4"/>
        <v>AKA - Intercompany</v>
      </c>
      <c r="B91" s="33" t="str">
        <f t="shared" si="5"/>
        <v>AKA</v>
      </c>
      <c r="C91" s="33" t="str">
        <f t="shared" si="6"/>
        <v>12501-0000</v>
      </c>
      <c r="D91" s="64" t="s">
        <v>14771</v>
      </c>
      <c r="E91" s="64" t="s">
        <v>14192</v>
      </c>
      <c r="F91" s="64" t="s">
        <v>14039</v>
      </c>
      <c r="G91" s="64" t="s">
        <v>14672</v>
      </c>
      <c r="H91" s="64" t="s">
        <v>13869</v>
      </c>
      <c r="I91" s="64" t="s">
        <v>14690</v>
      </c>
      <c r="J91" s="67">
        <v>0</v>
      </c>
      <c r="K91" s="62">
        <v>0</v>
      </c>
      <c r="L91" t="str">
        <f>VLOOKUP(VALUE(LEFT(C91,5)),Xref!A:B,2,0)</f>
        <v>aka</v>
      </c>
      <c r="M91" t="str">
        <f t="shared" si="7"/>
        <v>aka-AKA</v>
      </c>
      <c r="N91" s="33"/>
      <c r="O91" s="33"/>
      <c r="P91" s="33"/>
      <c r="Q91" s="33"/>
    </row>
    <row r="92" spans="1:17" ht="14.25" customHeight="true">
      <c r="A92" s="33" t="str">
        <f t="shared" si="4"/>
        <v>AKA - InterCo Notes</v>
      </c>
      <c r="B92" s="33" t="str">
        <f t="shared" si="5"/>
        <v>AKA</v>
      </c>
      <c r="C92" s="33" t="str">
        <f t="shared" si="6"/>
        <v>25600-0000</v>
      </c>
      <c r="D92" s="64" t="s">
        <v>14828</v>
      </c>
      <c r="E92" s="64" t="s">
        <v>314</v>
      </c>
      <c r="F92" s="64" t="s">
        <v>14039</v>
      </c>
      <c r="G92" s="64" t="s">
        <v>14672</v>
      </c>
      <c r="H92" s="64" t="s">
        <v>13889</v>
      </c>
      <c r="I92" s="64" t="s">
        <v>14690</v>
      </c>
      <c r="J92" s="67">
        <v>0</v>
      </c>
      <c r="K92" s="62">
        <v>0</v>
      </c>
      <c r="L92" t="str">
        <f>VLOOKUP(VALUE(LEFT(C92,5)),Xref!A:B,2,0)</f>
        <v>D7</v>
      </c>
      <c r="M92" t="str">
        <f t="shared" si="7"/>
        <v>AKA-D7</v>
      </c>
      <c r="N92" s="33"/>
      <c r="O92" s="33"/>
      <c r="P92" s="33"/>
      <c r="Q92" s="33"/>
    </row>
    <row r="93" spans="1:17" ht="14.25" customHeight="true">
      <c r="A93" s="33" t="str">
        <f t="shared" si="4"/>
        <v>AKA - InterCo Notes</v>
      </c>
      <c r="B93" s="33" t="str">
        <f t="shared" si="5"/>
        <v>AKA</v>
      </c>
      <c r="C93" s="33" t="str">
        <f t="shared" si="6"/>
        <v>25602-0000</v>
      </c>
      <c r="D93" s="64" t="s">
        <v>14830</v>
      </c>
      <c r="E93" s="64" t="s">
        <v>13426</v>
      </c>
      <c r="F93" s="64" t="s">
        <v>14039</v>
      </c>
      <c r="G93" s="64" t="s">
        <v>14672</v>
      </c>
      <c r="H93" s="64" t="s">
        <v>13889</v>
      </c>
      <c r="I93" s="64" t="s">
        <v>14690</v>
      </c>
      <c r="J93" s="67">
        <v>-35000</v>
      </c>
      <c r="K93" s="62">
        <v>-330000</v>
      </c>
      <c r="L93" t="str">
        <f>VLOOKUP(VALUE(LEFT(C93,5)),Xref!A:B,2,0)</f>
        <v>DFLP</v>
      </c>
      <c r="M93" t="str">
        <f t="shared" si="7"/>
        <v>AKA-DFLP</v>
      </c>
      <c r="N93" s="33"/>
      <c r="O93" s="33"/>
      <c r="P93" s="33"/>
      <c r="Q93" s="33"/>
    </row>
    <row r="94" spans="1:17" ht="14.25" customHeight="true">
      <c r="A94" s="33" t="str">
        <f t="shared" si="4"/>
        <v>AKA - InterCo Notes</v>
      </c>
      <c r="B94" s="33" t="str">
        <f t="shared" si="5"/>
        <v>AKA</v>
      </c>
      <c r="C94" s="33" t="str">
        <f t="shared" si="6"/>
        <v>25603-0000</v>
      </c>
      <c r="D94" s="64" t="s">
        <v>14831</v>
      </c>
      <c r="E94" s="64" t="s">
        <v>14311</v>
      </c>
      <c r="F94" s="64" t="s">
        <v>14039</v>
      </c>
      <c r="G94" s="64" t="s">
        <v>14832</v>
      </c>
      <c r="H94" s="64" t="s">
        <v>13889</v>
      </c>
      <c r="I94" s="64" t="s">
        <v>14690</v>
      </c>
      <c r="J94" s="67">
        <v>0</v>
      </c>
      <c r="K94" s="62">
        <v>0</v>
      </c>
      <c r="L94" t="str">
        <f>VLOOKUP(VALUE(LEFT(C94,5)),Xref!A:B,2,0)</f>
        <v>aka</v>
      </c>
      <c r="M94" t="str">
        <f t="shared" si="7"/>
        <v>aka-AKA</v>
      </c>
      <c r="N94" s="33"/>
      <c r="O94" s="33"/>
      <c r="P94" s="33"/>
      <c r="Q94" s="33"/>
    </row>
    <row r="95" spans="1:17" ht="14.25" customHeight="true">
      <c r="A95" s="33" t="str">
        <f t="shared" si="4"/>
        <v>AKA - Intercompany</v>
      </c>
      <c r="B95" s="33" t="str">
        <f t="shared" si="5"/>
        <v>AKA</v>
      </c>
      <c r="C95" s="33" t="str">
        <f t="shared" si="6"/>
        <v>25604-0000</v>
      </c>
      <c r="D95" s="64" t="s">
        <v>14833</v>
      </c>
      <c r="E95" s="64" t="s">
        <v>13490</v>
      </c>
      <c r="F95" s="64" t="s">
        <v>14039</v>
      </c>
      <c r="G95" s="64" t="s">
        <v>14672</v>
      </c>
      <c r="H95" s="64" t="s">
        <v>13869</v>
      </c>
      <c r="I95" s="64" t="s">
        <v>14690</v>
      </c>
      <c r="J95" s="67">
        <v>0</v>
      </c>
      <c r="K95" s="62">
        <v>0</v>
      </c>
      <c r="L95">
        <f>VLOOKUP(VALUE(LEFT(C95,5)),Xref!A:B,2,0)</f>
        <v>0</v>
      </c>
      <c r="M95" t="str">
        <f t="shared" si="7"/>
        <v>0-AKA</v>
      </c>
      <c r="N95" s="33"/>
      <c r="O95" s="33"/>
      <c r="P95" s="33"/>
      <c r="Q95" s="33"/>
    </row>
    <row r="96" spans="1:17" ht="14.25" customHeight="true">
      <c r="A96" s="33" t="str">
        <f t="shared" si="4"/>
        <v>AKC - Intercompany</v>
      </c>
      <c r="B96" s="33" t="str">
        <f t="shared" si="5"/>
        <v>AKC</v>
      </c>
      <c r="C96" s="33" t="str">
        <f t="shared" si="6"/>
        <v>11200-0000</v>
      </c>
      <c r="D96" s="64" t="s">
        <v>15066</v>
      </c>
      <c r="E96" s="64" t="s">
        <v>14069</v>
      </c>
      <c r="F96" s="64" t="s">
        <v>14039</v>
      </c>
      <c r="G96" s="64" t="s">
        <v>14672</v>
      </c>
      <c r="H96" s="64" t="s">
        <v>13869</v>
      </c>
      <c r="I96" s="64" t="s">
        <v>14690</v>
      </c>
      <c r="J96" s="67">
        <v>0</v>
      </c>
      <c r="K96" s="62">
        <v>0</v>
      </c>
      <c r="L96" t="str">
        <f>VLOOKUP(VALUE(LEFT(C96,5)),Xref!A:B,2,0)</f>
        <v>SCL</v>
      </c>
      <c r="M96" t="str">
        <f t="shared" si="7"/>
        <v>AKC-SCL</v>
      </c>
      <c r="N96" s="33"/>
      <c r="O96" s="33"/>
      <c r="P96" s="33"/>
      <c r="Q96" s="33"/>
    </row>
    <row r="97" spans="1:17" ht="14.25" customHeight="true">
      <c r="A97" s="33" t="str">
        <f t="shared" si="4"/>
        <v>AKC - Intercompany</v>
      </c>
      <c r="B97" s="33" t="str">
        <f t="shared" si="5"/>
        <v>AKC</v>
      </c>
      <c r="C97" s="33" t="str">
        <f t="shared" si="6"/>
        <v>11201-0000</v>
      </c>
      <c r="D97" s="64" t="s">
        <v>15067</v>
      </c>
      <c r="E97" s="64" t="s">
        <v>14071</v>
      </c>
      <c r="F97" s="64" t="s">
        <v>14039</v>
      </c>
      <c r="G97" s="64" t="s">
        <v>14672</v>
      </c>
      <c r="H97" s="64" t="s">
        <v>13869</v>
      </c>
      <c r="I97" s="64" t="s">
        <v>14690</v>
      </c>
      <c r="J97" s="67">
        <v>0</v>
      </c>
      <c r="K97" s="62">
        <v>0</v>
      </c>
      <c r="L97" t="str">
        <f>VLOOKUP(VALUE(LEFT(C97,5)),Xref!A:B,2,0)</f>
        <v>SG2</v>
      </c>
      <c r="M97" t="str">
        <f t="shared" si="7"/>
        <v>AKC-SG2</v>
      </c>
      <c r="N97" s="33"/>
      <c r="O97" s="33"/>
      <c r="P97" s="33"/>
      <c r="Q97" s="33"/>
    </row>
    <row r="98" spans="1:17" ht="14.25" customHeight="true">
      <c r="A98" s="33" t="str">
        <f t="shared" si="4"/>
        <v>AKC - Intercompany</v>
      </c>
      <c r="B98" s="33" t="str">
        <f t="shared" si="5"/>
        <v>AKC</v>
      </c>
      <c r="C98" s="33" t="str">
        <f t="shared" si="6"/>
        <v>11202-0000</v>
      </c>
      <c r="D98" s="64" t="s">
        <v>15068</v>
      </c>
      <c r="E98" s="64" t="s">
        <v>14073</v>
      </c>
      <c r="F98" s="64" t="s">
        <v>14039</v>
      </c>
      <c r="G98" s="64" t="s">
        <v>14672</v>
      </c>
      <c r="H98" s="64" t="s">
        <v>13869</v>
      </c>
      <c r="I98" s="64" t="s">
        <v>14690</v>
      </c>
      <c r="J98" s="67">
        <v>0</v>
      </c>
      <c r="K98" s="62">
        <v>0</v>
      </c>
      <c r="L98" t="str">
        <f>VLOOKUP(VALUE(LEFT(C98,5)),Xref!A:B,2,0)</f>
        <v>FFC</v>
      </c>
      <c r="M98" t="str">
        <f t="shared" si="7"/>
        <v>AKC-FFC</v>
      </c>
      <c r="N98" s="33"/>
      <c r="O98" s="33"/>
      <c r="P98" s="33"/>
      <c r="Q98" s="33"/>
    </row>
    <row r="99" spans="1:17" ht="14.25" customHeight="true">
      <c r="A99" s="33" t="str">
        <f t="shared" si="4"/>
        <v>AKC - Intercompany</v>
      </c>
      <c r="B99" s="33" t="str">
        <f t="shared" si="5"/>
        <v>AKC</v>
      </c>
      <c r="C99" s="33" t="str">
        <f t="shared" si="6"/>
        <v>11203-0000</v>
      </c>
      <c r="D99" s="64" t="s">
        <v>15069</v>
      </c>
      <c r="E99" s="64" t="s">
        <v>14075</v>
      </c>
      <c r="F99" s="64" t="s">
        <v>14039</v>
      </c>
      <c r="G99" s="64" t="s">
        <v>14672</v>
      </c>
      <c r="H99" s="64" t="s">
        <v>13869</v>
      </c>
      <c r="I99" s="64" t="s">
        <v>14690</v>
      </c>
      <c r="J99" s="67">
        <v>0</v>
      </c>
      <c r="K99" s="62">
        <v>0</v>
      </c>
      <c r="L99" t="str">
        <f>VLOOKUP(VALUE(LEFT(C99,5)),Xref!A:B,2,0)</f>
        <v>HN2</v>
      </c>
      <c r="M99" t="str">
        <f t="shared" si="7"/>
        <v>AKC-HN2</v>
      </c>
      <c r="N99" s="33"/>
      <c r="O99" s="33"/>
      <c r="P99" s="33"/>
      <c r="Q99" s="33"/>
    </row>
    <row r="100" spans="1:17" ht="14.25" customHeight="true">
      <c r="A100" s="33" t="str">
        <f t="shared" si="4"/>
        <v>AKC - Intercompany</v>
      </c>
      <c r="B100" s="33" t="str">
        <f t="shared" si="5"/>
        <v>AKC</v>
      </c>
      <c r="C100" s="33" t="str">
        <f t="shared" si="6"/>
        <v>11204-0000</v>
      </c>
      <c r="D100" s="64" t="s">
        <v>15070</v>
      </c>
      <c r="E100" s="64" t="s">
        <v>14077</v>
      </c>
      <c r="F100" s="64" t="s">
        <v>14039</v>
      </c>
      <c r="G100" s="64" t="s">
        <v>14672</v>
      </c>
      <c r="H100" s="64" t="s">
        <v>13869</v>
      </c>
      <c r="I100" s="64" t="s">
        <v>14690</v>
      </c>
      <c r="J100" s="67">
        <v>0</v>
      </c>
      <c r="K100" s="62">
        <v>0</v>
      </c>
      <c r="L100" t="str">
        <f>VLOOKUP(VALUE(LEFT(C100,5)),Xref!A:B,2,0)</f>
        <v>DF2</v>
      </c>
      <c r="M100" t="str">
        <f t="shared" si="7"/>
        <v>AKC-DF2</v>
      </c>
      <c r="N100" s="33"/>
      <c r="O100" s="33"/>
      <c r="P100" s="33"/>
      <c r="Q100" s="33"/>
    </row>
    <row r="101" spans="1:17" ht="14.25" customHeight="true">
      <c r="A101" s="33" t="str">
        <f t="shared" si="4"/>
        <v>AKC - Intercompany</v>
      </c>
      <c r="B101" s="33" t="str">
        <f t="shared" si="5"/>
        <v>AKC</v>
      </c>
      <c r="C101" s="33" t="str">
        <f t="shared" si="6"/>
        <v>11208-0000</v>
      </c>
      <c r="D101" s="64" t="s">
        <v>15071</v>
      </c>
      <c r="E101" s="64" t="s">
        <v>14079</v>
      </c>
      <c r="F101" s="64" t="s">
        <v>14039</v>
      </c>
      <c r="G101" s="64" t="s">
        <v>14672</v>
      </c>
      <c r="H101" s="64" t="s">
        <v>13869</v>
      </c>
      <c r="I101" s="64" t="s">
        <v>14690</v>
      </c>
      <c r="J101" s="67">
        <v>0</v>
      </c>
      <c r="K101" s="62">
        <v>0</v>
      </c>
      <c r="L101" t="str">
        <f>VLOOKUP(VALUE(LEFT(C101,5)),Xref!A:B,2,0)</f>
        <v>SRE</v>
      </c>
      <c r="M101" t="str">
        <f t="shared" si="7"/>
        <v>AKC-SRE</v>
      </c>
      <c r="N101" s="33"/>
      <c r="O101" s="33"/>
      <c r="P101" s="33"/>
      <c r="Q101" s="33"/>
    </row>
    <row r="102" spans="1:17" ht="14.25" customHeight="true">
      <c r="A102" s="33" t="str">
        <f t="shared" si="4"/>
        <v>AKC - Intercompany</v>
      </c>
      <c r="B102" s="33" t="str">
        <f t="shared" si="5"/>
        <v>AKC</v>
      </c>
      <c r="C102" s="33" t="str">
        <f t="shared" si="6"/>
        <v>11210-0000</v>
      </c>
      <c r="D102" s="64" t="s">
        <v>15072</v>
      </c>
      <c r="E102" s="64" t="s">
        <v>14081</v>
      </c>
      <c r="F102" s="64" t="s">
        <v>14039</v>
      </c>
      <c r="G102" s="64" t="s">
        <v>14672</v>
      </c>
      <c r="H102" s="64" t="s">
        <v>13869</v>
      </c>
      <c r="I102" s="64" t="s">
        <v>14690</v>
      </c>
      <c r="J102" s="67">
        <v>0</v>
      </c>
      <c r="K102" s="62">
        <v>0</v>
      </c>
      <c r="L102" t="str">
        <f>VLOOKUP(VALUE(LEFT(C102,5)),Xref!A:B,2,0)</f>
        <v>REM</v>
      </c>
      <c r="M102" t="str">
        <f t="shared" si="7"/>
        <v>AKC-REM</v>
      </c>
      <c r="N102" s="33"/>
      <c r="O102" s="33"/>
      <c r="P102" s="33"/>
      <c r="Q102" s="33"/>
    </row>
    <row r="103" spans="1:17" ht="14.25" customHeight="true">
      <c r="A103" s="33" t="str">
        <f t="shared" si="4"/>
        <v>AKC - Intercompany</v>
      </c>
      <c r="B103" s="33" t="str">
        <f t="shared" si="5"/>
        <v>AKC</v>
      </c>
      <c r="C103" s="33" t="str">
        <f t="shared" si="6"/>
        <v>11212-0000</v>
      </c>
      <c r="D103" s="64" t="s">
        <v>15073</v>
      </c>
      <c r="E103" s="64" t="s">
        <v>14083</v>
      </c>
      <c r="F103" s="64" t="s">
        <v>14039</v>
      </c>
      <c r="G103" s="64" t="s">
        <v>14672</v>
      </c>
      <c r="H103" s="64" t="s">
        <v>13869</v>
      </c>
      <c r="I103" s="64" t="s">
        <v>14690</v>
      </c>
      <c r="J103" s="67">
        <v>0</v>
      </c>
      <c r="K103" s="62">
        <v>0</v>
      </c>
      <c r="L103" t="str">
        <f>VLOOKUP(VALUE(LEFT(C103,5)),Xref!A:B,2,0)</f>
        <v>FRM</v>
      </c>
      <c r="M103" t="str">
        <f t="shared" si="7"/>
        <v>AKC-FRM</v>
      </c>
      <c r="N103" s="33"/>
      <c r="O103" s="33"/>
      <c r="P103" s="33"/>
      <c r="Q103" s="33"/>
    </row>
    <row r="104" spans="1:17" ht="14.25" customHeight="true">
      <c r="A104" s="33" t="str">
        <f t="shared" si="4"/>
        <v>AKC - Intercompany</v>
      </c>
      <c r="B104" s="33" t="str">
        <f t="shared" si="5"/>
        <v>AKC</v>
      </c>
      <c r="C104" s="33" t="str">
        <f t="shared" si="6"/>
        <v>11214-0000</v>
      </c>
      <c r="D104" s="64" t="s">
        <v>15074</v>
      </c>
      <c r="E104" s="64" t="s">
        <v>14085</v>
      </c>
      <c r="F104" s="64" t="s">
        <v>14039</v>
      </c>
      <c r="G104" s="64" t="s">
        <v>14672</v>
      </c>
      <c r="H104" s="64" t="s">
        <v>13869</v>
      </c>
      <c r="I104" s="64" t="s">
        <v>14690</v>
      </c>
      <c r="J104" s="67">
        <v>0</v>
      </c>
      <c r="K104" s="62">
        <v>0</v>
      </c>
      <c r="L104" t="str">
        <f>VLOOKUP(VALUE(LEFT(C104,5)),Xref!A:B,2,0)</f>
        <v>D7R</v>
      </c>
      <c r="M104" t="str">
        <f t="shared" si="7"/>
        <v>AKC-D7R</v>
      </c>
      <c r="N104" s="33"/>
      <c r="O104" s="33"/>
      <c r="P104" s="33"/>
      <c r="Q104" s="33"/>
    </row>
    <row r="105" spans="1:17" ht="14.25" customHeight="true">
      <c r="A105" s="33" t="str">
        <f t="shared" si="4"/>
        <v>AKC - Intercompany</v>
      </c>
      <c r="B105" s="33" t="str">
        <f t="shared" si="5"/>
        <v>AKC</v>
      </c>
      <c r="C105" s="33" t="str">
        <f t="shared" si="6"/>
        <v>11215-0000</v>
      </c>
      <c r="D105" s="64" t="s">
        <v>15075</v>
      </c>
      <c r="E105" s="64" t="s">
        <v>14087</v>
      </c>
      <c r="F105" s="64" t="s">
        <v>14039</v>
      </c>
      <c r="G105" s="64" t="s">
        <v>14672</v>
      </c>
      <c r="H105" s="64" t="s">
        <v>13869</v>
      </c>
      <c r="I105" s="64" t="s">
        <v>14690</v>
      </c>
      <c r="J105" s="67">
        <v>0</v>
      </c>
      <c r="K105" s="62">
        <v>0</v>
      </c>
      <c r="L105" t="str">
        <f>VLOOKUP(VALUE(LEFT(C105,5)),Xref!A:B,2,0)</f>
        <v>CDP</v>
      </c>
      <c r="M105" t="str">
        <f t="shared" si="7"/>
        <v>AKC-CDP</v>
      </c>
      <c r="N105" s="33"/>
      <c r="O105" s="33"/>
      <c r="P105" s="33"/>
      <c r="Q105" s="33"/>
    </row>
    <row r="106" spans="1:17" ht="14.25" customHeight="true">
      <c r="A106" s="33" t="str">
        <f t="shared" si="4"/>
        <v>AKC - Intercompany</v>
      </c>
      <c r="B106" s="33" t="str">
        <f t="shared" si="5"/>
        <v>AKC</v>
      </c>
      <c r="C106" s="33" t="str">
        <f t="shared" si="6"/>
        <v>11216-0000</v>
      </c>
      <c r="D106" s="64" t="s">
        <v>3871</v>
      </c>
      <c r="E106" s="64" t="s">
        <v>13224</v>
      </c>
      <c r="F106" s="64" t="s">
        <v>14039</v>
      </c>
      <c r="G106" s="64" t="s">
        <v>14672</v>
      </c>
      <c r="H106" s="64" t="s">
        <v>13869</v>
      </c>
      <c r="I106" s="64" t="s">
        <v>14690</v>
      </c>
      <c r="J106" s="67">
        <v>-32.4</v>
      </c>
      <c r="K106" s="62">
        <v>-938.28</v>
      </c>
      <c r="L106" t="str">
        <f>VLOOKUP(VALUE(LEFT(C106,5)),Xref!A:B,2,0)</f>
        <v>SIL</v>
      </c>
      <c r="M106" t="str">
        <f t="shared" si="7"/>
        <v>AKC-SIL</v>
      </c>
      <c r="N106" s="33"/>
      <c r="O106" s="33"/>
      <c r="P106" s="33"/>
      <c r="Q106" s="33"/>
    </row>
    <row r="107" spans="1:17" ht="14.25" customHeight="true">
      <c r="A107" s="33" t="str">
        <f t="shared" si="4"/>
        <v>AKC - Intercompany</v>
      </c>
      <c r="B107" s="33" t="str">
        <f t="shared" si="5"/>
        <v>AKC</v>
      </c>
      <c r="C107" s="33" t="str">
        <f t="shared" si="6"/>
        <v>11232-0000</v>
      </c>
      <c r="D107" s="64" t="s">
        <v>15076</v>
      </c>
      <c r="E107" s="64" t="s">
        <v>12486</v>
      </c>
      <c r="F107" s="64" t="s">
        <v>14039</v>
      </c>
      <c r="G107" s="64" t="s">
        <v>14672</v>
      </c>
      <c r="H107" s="64" t="s">
        <v>13869</v>
      </c>
      <c r="I107" s="64" t="s">
        <v>14690</v>
      </c>
      <c r="J107" s="67">
        <v>0</v>
      </c>
      <c r="K107" s="62">
        <v>0</v>
      </c>
      <c r="L107" t="str">
        <f>VLOOKUP(VALUE(LEFT(C107,5)),Xref!A:B,2,0)</f>
        <v>SC2</v>
      </c>
      <c r="M107" t="str">
        <f t="shared" si="7"/>
        <v>AKC-SC2</v>
      </c>
      <c r="N107" s="33"/>
      <c r="O107" s="33"/>
      <c r="P107" s="33"/>
      <c r="Q107" s="33"/>
    </row>
    <row r="108" spans="1:17" ht="14.25" customHeight="true">
      <c r="A108" s="33" t="str">
        <f t="shared" si="4"/>
        <v>AKC - Intercompany</v>
      </c>
      <c r="B108" s="33" t="str">
        <f t="shared" si="5"/>
        <v>AKC</v>
      </c>
      <c r="C108" s="33" t="str">
        <f t="shared" si="6"/>
        <v>11301-0000</v>
      </c>
      <c r="D108" s="64" t="s">
        <v>15077</v>
      </c>
      <c r="E108" s="64" t="s">
        <v>13225</v>
      </c>
      <c r="F108" s="64" t="s">
        <v>14039</v>
      </c>
      <c r="G108" s="64" t="s">
        <v>14672</v>
      </c>
      <c r="H108" s="64" t="s">
        <v>13869</v>
      </c>
      <c r="I108" s="64" t="s">
        <v>14690</v>
      </c>
      <c r="J108" s="67">
        <v>0</v>
      </c>
      <c r="K108" s="62">
        <v>0</v>
      </c>
      <c r="L108" t="str">
        <f>VLOOKUP(VALUE(LEFT(C108,5)),Xref!A:B,2,0)</f>
        <v>CRE</v>
      </c>
      <c r="M108" t="str">
        <f t="shared" si="7"/>
        <v>AKC-CRE</v>
      </c>
      <c r="N108" s="33"/>
      <c r="O108" s="33"/>
      <c r="P108" s="33"/>
      <c r="Q108" s="33"/>
    </row>
    <row r="109" spans="1:17" ht="14.25" customHeight="true">
      <c r="A109" s="33" t="str">
        <f t="shared" si="4"/>
        <v>AKC - Intercompany</v>
      </c>
      <c r="B109" s="33" t="str">
        <f t="shared" si="5"/>
        <v>AKC</v>
      </c>
      <c r="C109" s="33" t="str">
        <f t="shared" si="6"/>
        <v>11302-0000</v>
      </c>
      <c r="D109" s="64" t="s">
        <v>15078</v>
      </c>
      <c r="E109" s="64" t="s">
        <v>13226</v>
      </c>
      <c r="F109" s="64" t="s">
        <v>14039</v>
      </c>
      <c r="G109" s="64" t="s">
        <v>14672</v>
      </c>
      <c r="H109" s="64" t="s">
        <v>13869</v>
      </c>
      <c r="I109" s="64" t="s">
        <v>14690</v>
      </c>
      <c r="J109" s="67">
        <v>0</v>
      </c>
      <c r="K109" s="62">
        <v>0</v>
      </c>
      <c r="L109" t="str">
        <f>VLOOKUP(VALUE(LEFT(C109,5)),Xref!A:B,2,0)</f>
        <v>CHA</v>
      </c>
      <c r="M109" t="str">
        <f t="shared" si="7"/>
        <v>AKC-CHA</v>
      </c>
      <c r="N109" s="33"/>
      <c r="O109" s="33"/>
      <c r="P109" s="33"/>
      <c r="Q109" s="33"/>
    </row>
    <row r="110" spans="1:17" ht="14.25" customHeight="true">
      <c r="A110" s="33" t="str">
        <f t="shared" si="4"/>
        <v>AKC - Intercompany</v>
      </c>
      <c r="B110" s="33" t="str">
        <f t="shared" si="5"/>
        <v>AKC</v>
      </c>
      <c r="C110" s="33" t="str">
        <f t="shared" si="6"/>
        <v>11303-0000</v>
      </c>
      <c r="D110" s="64" t="s">
        <v>15079</v>
      </c>
      <c r="E110" s="64" t="s">
        <v>13227</v>
      </c>
      <c r="F110" s="64" t="s">
        <v>14039</v>
      </c>
      <c r="G110" s="64" t="s">
        <v>14672</v>
      </c>
      <c r="H110" s="64" t="s">
        <v>13869</v>
      </c>
      <c r="I110" s="64" t="s">
        <v>14690</v>
      </c>
      <c r="J110" s="67">
        <v>0</v>
      </c>
      <c r="K110" s="62">
        <v>0</v>
      </c>
      <c r="L110" t="str">
        <f>VLOOKUP(VALUE(LEFT(C110,5)),Xref!A:B,2,0)</f>
        <v>DIA</v>
      </c>
      <c r="M110" t="str">
        <f t="shared" si="7"/>
        <v>AKC-DIA</v>
      </c>
      <c r="N110" s="33"/>
      <c r="O110" s="33"/>
      <c r="P110" s="33"/>
      <c r="Q110" s="33"/>
    </row>
    <row r="111" spans="1:17" ht="14.25" customHeight="true">
      <c r="A111" s="33" t="str">
        <f t="shared" si="4"/>
        <v>AKC - Intercompany</v>
      </c>
      <c r="B111" s="33" t="str">
        <f t="shared" si="5"/>
        <v>AKC</v>
      </c>
      <c r="C111" s="33" t="str">
        <f t="shared" si="6"/>
        <v>11304-0000</v>
      </c>
      <c r="D111" s="64" t="s">
        <v>15080</v>
      </c>
      <c r="E111" s="64" t="s">
        <v>13228</v>
      </c>
      <c r="F111" s="64" t="s">
        <v>14039</v>
      </c>
      <c r="G111" s="64" t="s">
        <v>14672</v>
      </c>
      <c r="H111" s="64" t="s">
        <v>13869</v>
      </c>
      <c r="I111" s="64" t="s">
        <v>14690</v>
      </c>
      <c r="J111" s="67">
        <v>0</v>
      </c>
      <c r="K111" s="62">
        <v>0</v>
      </c>
      <c r="L111" t="str">
        <f>VLOOKUP(VALUE(LEFT(C111,5)),Xref!A:B,2,0)</f>
        <v>EAG</v>
      </c>
      <c r="M111" t="str">
        <f t="shared" si="7"/>
        <v>AKC-EAG</v>
      </c>
      <c r="N111" s="33"/>
      <c r="O111" s="33"/>
      <c r="P111" s="33"/>
      <c r="Q111" s="33"/>
    </row>
    <row r="112" spans="1:17" ht="14.25" customHeight="true">
      <c r="A112" s="33" t="str">
        <f t="shared" si="4"/>
        <v>AKC - Intercompany</v>
      </c>
      <c r="B112" s="33" t="str">
        <f t="shared" si="5"/>
        <v>AKC</v>
      </c>
      <c r="C112" s="33" t="str">
        <f t="shared" si="6"/>
        <v>11305-0000</v>
      </c>
      <c r="D112" s="64" t="s">
        <v>15081</v>
      </c>
      <c r="E112" s="64" t="s">
        <v>13229</v>
      </c>
      <c r="F112" s="64" t="s">
        <v>14039</v>
      </c>
      <c r="G112" s="64" t="s">
        <v>14672</v>
      </c>
      <c r="H112" s="64" t="s">
        <v>13869</v>
      </c>
      <c r="I112" s="64" t="s">
        <v>14690</v>
      </c>
      <c r="J112" s="67">
        <v>0</v>
      </c>
      <c r="K112" s="62">
        <v>0</v>
      </c>
      <c r="L112" t="str">
        <f>VLOOKUP(VALUE(LEFT(C112,5)),Xref!A:B,2,0)</f>
        <v>NEW</v>
      </c>
      <c r="M112" t="str">
        <f t="shared" si="7"/>
        <v>AKC-NEW</v>
      </c>
      <c r="N112" s="33"/>
      <c r="O112" s="33"/>
      <c r="P112" s="33"/>
      <c r="Q112" s="33"/>
    </row>
    <row r="113" spans="1:17" ht="14.25" customHeight="true">
      <c r="A113" s="33" t="str">
        <f t="shared" si="4"/>
        <v>AKC - Intercompany</v>
      </c>
      <c r="B113" s="33" t="str">
        <f t="shared" si="5"/>
        <v>AKC</v>
      </c>
      <c r="C113" s="33" t="str">
        <f t="shared" si="6"/>
        <v>11307-0000</v>
      </c>
      <c r="D113" s="64" t="s">
        <v>15082</v>
      </c>
      <c r="E113" s="64" t="s">
        <v>14096</v>
      </c>
      <c r="F113" s="64" t="s">
        <v>14039</v>
      </c>
      <c r="G113" s="64" t="s">
        <v>14672</v>
      </c>
      <c r="H113" s="64" t="s">
        <v>13869</v>
      </c>
      <c r="I113" s="64" t="s">
        <v>14690</v>
      </c>
      <c r="J113" s="67">
        <v>0</v>
      </c>
      <c r="K113" s="62">
        <v>0</v>
      </c>
      <c r="L113" t="str">
        <f>VLOOKUP(VALUE(LEFT(C113,5)),Xref!A:B,2,0)</f>
        <v>NES</v>
      </c>
      <c r="M113" t="str">
        <f t="shared" si="7"/>
        <v>AKC-NES</v>
      </c>
      <c r="N113" s="33"/>
      <c r="O113" s="33"/>
      <c r="P113" s="33"/>
      <c r="Q113" s="33"/>
    </row>
    <row r="114" spans="1:17" ht="14.25" customHeight="true">
      <c r="A114" s="33" t="str">
        <f t="shared" si="4"/>
        <v>AKC - Intercompany</v>
      </c>
      <c r="B114" s="33" t="str">
        <f t="shared" si="5"/>
        <v>AKC</v>
      </c>
      <c r="C114" s="33" t="str">
        <f t="shared" si="6"/>
        <v>11308-0000</v>
      </c>
      <c r="D114" s="64" t="s">
        <v>15083</v>
      </c>
      <c r="E114" s="64" t="s">
        <v>13476</v>
      </c>
      <c r="F114" s="64" t="s">
        <v>14039</v>
      </c>
      <c r="G114" s="64" t="s">
        <v>14672</v>
      </c>
      <c r="H114" s="64" t="s">
        <v>13869</v>
      </c>
      <c r="I114" s="64" t="s">
        <v>14690</v>
      </c>
      <c r="J114" s="67">
        <v>0</v>
      </c>
      <c r="K114" s="62">
        <v>0</v>
      </c>
      <c r="L114" t="str">
        <f>VLOOKUP(VALUE(LEFT(C114,5)),Xref!A:B,2,0)</f>
        <v>LPI</v>
      </c>
      <c r="M114" t="str">
        <f t="shared" si="7"/>
        <v>AKC-LPI</v>
      </c>
      <c r="N114" s="33"/>
      <c r="O114" s="33"/>
      <c r="P114" s="33"/>
      <c r="Q114" s="33"/>
    </row>
    <row r="115" spans="1:17" ht="14.25" customHeight="true">
      <c r="A115" s="33" t="str">
        <f t="shared" si="4"/>
        <v>AKC - Intercompany</v>
      </c>
      <c r="B115" s="33" t="str">
        <f t="shared" si="5"/>
        <v>AKC</v>
      </c>
      <c r="C115" s="33" t="str">
        <f t="shared" si="6"/>
        <v>11309-0000</v>
      </c>
      <c r="D115" s="64" t="s">
        <v>15084</v>
      </c>
      <c r="E115" s="64" t="s">
        <v>13230</v>
      </c>
      <c r="F115" s="64" t="s">
        <v>14039</v>
      </c>
      <c r="G115" s="64" t="s">
        <v>14672</v>
      </c>
      <c r="H115" s="64" t="s">
        <v>13869</v>
      </c>
      <c r="I115" s="64" t="s">
        <v>14690</v>
      </c>
      <c r="J115" s="67">
        <v>0</v>
      </c>
      <c r="K115" s="62">
        <v>0</v>
      </c>
      <c r="L115" t="str">
        <f>VLOOKUP(VALUE(LEFT(C115,5)),Xref!A:B,2,0)</f>
        <v>GPI</v>
      </c>
      <c r="M115" t="str">
        <f t="shared" si="7"/>
        <v>AKC-GPI</v>
      </c>
      <c r="N115" s="33"/>
      <c r="O115" s="33"/>
      <c r="P115" s="33"/>
      <c r="Q115" s="33"/>
    </row>
    <row r="116" spans="1:17" ht="14.25" customHeight="true">
      <c r="A116" s="33" t="str">
        <f t="shared" si="4"/>
        <v>AKC - Intercompany</v>
      </c>
      <c r="B116" s="33" t="str">
        <f t="shared" si="5"/>
        <v>AKC</v>
      </c>
      <c r="C116" s="33" t="str">
        <f t="shared" si="6"/>
        <v>11310-0000</v>
      </c>
      <c r="D116" s="64" t="s">
        <v>15085</v>
      </c>
      <c r="E116" s="64" t="s">
        <v>13231</v>
      </c>
      <c r="F116" s="64" t="s">
        <v>14039</v>
      </c>
      <c r="G116" s="64" t="s">
        <v>14672</v>
      </c>
      <c r="H116" s="64" t="s">
        <v>13869</v>
      </c>
      <c r="I116" s="64" t="s">
        <v>14690</v>
      </c>
      <c r="J116" s="67">
        <v>0</v>
      </c>
      <c r="K116" s="62">
        <v>0</v>
      </c>
      <c r="L116" t="str">
        <f>VLOOKUP(VALUE(LEFT(C116,5)),Xref!A:B,2,0)</f>
        <v>ALP</v>
      </c>
      <c r="M116" t="str">
        <f t="shared" si="7"/>
        <v>AKC-ALP</v>
      </c>
      <c r="N116" s="33"/>
      <c r="O116" s="33"/>
      <c r="P116" s="33"/>
      <c r="Q116" s="33"/>
    </row>
    <row r="117" spans="1:17" ht="14.25" customHeight="true">
      <c r="A117" s="33" t="str">
        <f t="shared" si="4"/>
        <v>AKC - Intercompany</v>
      </c>
      <c r="B117" s="33" t="str">
        <f t="shared" si="5"/>
        <v>AKC</v>
      </c>
      <c r="C117" s="33" t="str">
        <f t="shared" si="6"/>
        <v>11311-0000</v>
      </c>
      <c r="D117" s="64" t="s">
        <v>15086</v>
      </c>
      <c r="E117" s="64" t="s">
        <v>13232</v>
      </c>
      <c r="F117" s="64" t="s">
        <v>14039</v>
      </c>
      <c r="G117" s="64" t="s">
        <v>14672</v>
      </c>
      <c r="H117" s="64" t="s">
        <v>13869</v>
      </c>
      <c r="I117" s="64" t="s">
        <v>14690</v>
      </c>
      <c r="J117" s="67">
        <v>0</v>
      </c>
      <c r="K117" s="62">
        <v>0</v>
      </c>
      <c r="L117" t="str">
        <f>VLOOKUP(VALUE(LEFT(C117,5)),Xref!A:B,2,0)</f>
        <v>BET</v>
      </c>
      <c r="M117" t="str">
        <f t="shared" si="7"/>
        <v>AKC-BET</v>
      </c>
      <c r="N117" s="33"/>
      <c r="O117" s="33"/>
      <c r="P117" s="33"/>
      <c r="Q117" s="33"/>
    </row>
    <row r="118" spans="1:17" ht="14.25" customHeight="true">
      <c r="A118" s="33" t="str">
        <f t="shared" si="4"/>
        <v>AKC - Intercompany</v>
      </c>
      <c r="B118" s="33" t="str">
        <f t="shared" si="5"/>
        <v>AKC</v>
      </c>
      <c r="C118" s="33" t="str">
        <f t="shared" si="6"/>
        <v>11312-0000</v>
      </c>
      <c r="D118" s="64" t="s">
        <v>15087</v>
      </c>
      <c r="E118" s="64" t="s">
        <v>14102</v>
      </c>
      <c r="F118" s="64" t="s">
        <v>14039</v>
      </c>
      <c r="G118" s="64" t="s">
        <v>14672</v>
      </c>
      <c r="H118" s="64" t="s">
        <v>13869</v>
      </c>
      <c r="I118" s="64" t="s">
        <v>14690</v>
      </c>
      <c r="J118" s="67">
        <v>0</v>
      </c>
      <c r="K118" s="62">
        <v>0</v>
      </c>
      <c r="L118" t="str">
        <f>VLOOKUP(VALUE(LEFT(C118,5)),Xref!A:B,2,0)</f>
        <v>DEL</v>
      </c>
      <c r="M118" t="str">
        <f t="shared" si="7"/>
        <v>AKC-DEL</v>
      </c>
      <c r="N118" s="33"/>
      <c r="O118" s="33"/>
      <c r="P118" s="33"/>
      <c r="Q118" s="33"/>
    </row>
    <row r="119" spans="1:17" ht="14.25" customHeight="true">
      <c r="A119" s="33" t="str">
        <f t="shared" si="4"/>
        <v>AKC - Intercompany</v>
      </c>
      <c r="B119" s="33" t="str">
        <f t="shared" si="5"/>
        <v>AKC</v>
      </c>
      <c r="C119" s="33" t="str">
        <f t="shared" si="6"/>
        <v>11313-0000</v>
      </c>
      <c r="D119" s="64" t="s">
        <v>15088</v>
      </c>
      <c r="E119" s="64" t="s">
        <v>13233</v>
      </c>
      <c r="F119" s="64" t="s">
        <v>14039</v>
      </c>
      <c r="G119" s="64" t="s">
        <v>14672</v>
      </c>
      <c r="H119" s="64" t="s">
        <v>13869</v>
      </c>
      <c r="I119" s="64" t="s">
        <v>14690</v>
      </c>
      <c r="J119" s="67">
        <v>0</v>
      </c>
      <c r="K119" s="62">
        <v>0</v>
      </c>
      <c r="L119" t="str">
        <f>VLOOKUP(VALUE(LEFT(C119,5)),Xref!A:B,2,0)</f>
        <v>DOL</v>
      </c>
      <c r="M119" t="str">
        <f t="shared" si="7"/>
        <v>AKC-DOL</v>
      </c>
      <c r="N119" s="33"/>
      <c r="O119" s="33"/>
      <c r="P119" s="33"/>
      <c r="Q119" s="33"/>
    </row>
    <row r="120" spans="1:17" ht="14.25" customHeight="true">
      <c r="A120" s="33" t="str">
        <f t="shared" si="4"/>
        <v>AKC - Intercompany</v>
      </c>
      <c r="B120" s="33" t="str">
        <f t="shared" si="5"/>
        <v>AKC</v>
      </c>
      <c r="C120" s="33" t="str">
        <f t="shared" si="6"/>
        <v>11314-0000</v>
      </c>
      <c r="D120" s="64" t="s">
        <v>15089</v>
      </c>
      <c r="E120" s="64" t="s">
        <v>13351</v>
      </c>
      <c r="F120" s="64" t="s">
        <v>14039</v>
      </c>
      <c r="G120" s="64" t="s">
        <v>14672</v>
      </c>
      <c r="H120" s="64" t="s">
        <v>13869</v>
      </c>
      <c r="I120" s="64" t="s">
        <v>14690</v>
      </c>
      <c r="J120" s="67">
        <v>0</v>
      </c>
      <c r="K120" s="62">
        <v>0</v>
      </c>
      <c r="L120" t="str">
        <f>VLOOKUP(VALUE(LEFT(C120,5)),Xref!A:B,2,0)</f>
        <v>GRI</v>
      </c>
      <c r="M120" t="str">
        <f t="shared" si="7"/>
        <v>AKC-GRI</v>
      </c>
      <c r="N120" s="33"/>
      <c r="O120" s="33"/>
      <c r="P120" s="33"/>
      <c r="Q120" s="33"/>
    </row>
    <row r="121" spans="1:17" ht="14.25" customHeight="true">
      <c r="A121" s="33" t="str">
        <f t="shared" si="4"/>
        <v>AKC - Intercompany</v>
      </c>
      <c r="B121" s="33" t="str">
        <f t="shared" si="5"/>
        <v>AKC</v>
      </c>
      <c r="C121" s="33" t="str">
        <f t="shared" si="6"/>
        <v>11315-0000</v>
      </c>
      <c r="D121" s="64" t="s">
        <v>15090</v>
      </c>
      <c r="E121" s="64" t="s">
        <v>13234</v>
      </c>
      <c r="F121" s="64" t="s">
        <v>14039</v>
      </c>
      <c r="G121" s="64" t="s">
        <v>14672</v>
      </c>
      <c r="H121" s="64" t="s">
        <v>13869</v>
      </c>
      <c r="I121" s="64" t="s">
        <v>14690</v>
      </c>
      <c r="J121" s="67">
        <v>0</v>
      </c>
      <c r="K121" s="62">
        <v>0</v>
      </c>
      <c r="L121" t="str">
        <f>VLOOKUP(VALUE(LEFT(C121,5)),Xref!A:B,2,0)</f>
        <v>PUR</v>
      </c>
      <c r="M121" t="str">
        <f t="shared" si="7"/>
        <v>AKC-PUR</v>
      </c>
      <c r="N121" s="33"/>
      <c r="O121" s="33"/>
      <c r="P121" s="33"/>
      <c r="Q121" s="33"/>
    </row>
    <row r="122" spans="1:17" ht="14.25" customHeight="true">
      <c r="A122" s="33" t="str">
        <f t="shared" si="4"/>
        <v>AKC - Intercompany</v>
      </c>
      <c r="B122" s="33" t="str">
        <f t="shared" si="5"/>
        <v>AKC</v>
      </c>
      <c r="C122" s="33" t="str">
        <f t="shared" si="6"/>
        <v>11316-0000</v>
      </c>
      <c r="D122" s="64" t="s">
        <v>15091</v>
      </c>
      <c r="E122" s="64" t="s">
        <v>13235</v>
      </c>
      <c r="F122" s="64" t="s">
        <v>14039</v>
      </c>
      <c r="G122" s="64" t="s">
        <v>14672</v>
      </c>
      <c r="H122" s="64" t="s">
        <v>13869</v>
      </c>
      <c r="I122" s="64" t="s">
        <v>14690</v>
      </c>
      <c r="J122" s="67">
        <v>0</v>
      </c>
      <c r="K122" s="62">
        <v>0</v>
      </c>
      <c r="L122" t="str">
        <f>VLOOKUP(VALUE(LEFT(C122,5)),Xref!A:B,2,0)</f>
        <v>VAL</v>
      </c>
      <c r="M122" t="str">
        <f t="shared" si="7"/>
        <v>AKC-VAL</v>
      </c>
      <c r="N122" s="33"/>
      <c r="O122" s="33"/>
      <c r="P122" s="33"/>
      <c r="Q122" s="33"/>
    </row>
    <row r="123" spans="1:17" ht="14.25" customHeight="true">
      <c r="A123" s="33" t="str">
        <f t="shared" si="4"/>
        <v>AKC - Intercompany</v>
      </c>
      <c r="B123" s="33" t="str">
        <f t="shared" si="5"/>
        <v>AKC</v>
      </c>
      <c r="C123" s="33" t="str">
        <f t="shared" si="6"/>
        <v>11317-0000</v>
      </c>
      <c r="D123" s="64" t="s">
        <v>15092</v>
      </c>
      <c r="E123" s="64" t="s">
        <v>13352</v>
      </c>
      <c r="F123" s="64" t="s">
        <v>14039</v>
      </c>
      <c r="G123" s="64" t="s">
        <v>14672</v>
      </c>
      <c r="H123" s="64" t="s">
        <v>13869</v>
      </c>
      <c r="I123" s="64" t="s">
        <v>14690</v>
      </c>
      <c r="J123" s="67">
        <v>0</v>
      </c>
      <c r="K123" s="62">
        <v>0</v>
      </c>
      <c r="L123" t="str">
        <f>VLOOKUP(VALUE(LEFT(C123,5)),Xref!A:B,2,0)</f>
        <v>AKG</v>
      </c>
      <c r="M123" t="str">
        <f t="shared" si="7"/>
        <v>AKC-AKG</v>
      </c>
      <c r="N123" s="33"/>
      <c r="O123" s="33"/>
      <c r="P123" s="33"/>
      <c r="Q123" s="33"/>
    </row>
    <row r="124" spans="1:17" ht="14.25" customHeight="true">
      <c r="A124" s="33" t="str">
        <f t="shared" si="4"/>
        <v>AKC - Intercompany</v>
      </c>
      <c r="B124" s="33" t="str">
        <f t="shared" si="5"/>
        <v>AKC</v>
      </c>
      <c r="C124" s="33" t="str">
        <f t="shared" si="6"/>
        <v>11318-0000</v>
      </c>
      <c r="D124" s="64" t="s">
        <v>15093</v>
      </c>
      <c r="E124" s="64" t="s">
        <v>13477</v>
      </c>
      <c r="F124" s="64" t="s">
        <v>14039</v>
      </c>
      <c r="G124" s="64" t="s">
        <v>14672</v>
      </c>
      <c r="H124" s="64" t="s">
        <v>13869</v>
      </c>
      <c r="I124" s="64" t="s">
        <v>14690</v>
      </c>
      <c r="J124" s="67">
        <v>0</v>
      </c>
      <c r="K124" s="62">
        <v>0</v>
      </c>
      <c r="L124" t="str">
        <f>VLOOKUP(VALUE(LEFT(C124,5)),Xref!A:B,2,0)</f>
        <v>FIR</v>
      </c>
      <c r="M124" t="str">
        <f t="shared" si="7"/>
        <v>AKC-FIR</v>
      </c>
      <c r="N124" s="33"/>
      <c r="O124" s="33"/>
      <c r="P124" s="33"/>
      <c r="Q124" s="33"/>
    </row>
    <row r="125" spans="1:17" ht="14.25" customHeight="true">
      <c r="A125" s="33" t="str">
        <f t="shared" si="4"/>
        <v>AKC - Intercompany</v>
      </c>
      <c r="B125" s="33" t="str">
        <f t="shared" si="5"/>
        <v>AKC</v>
      </c>
      <c r="C125" s="33" t="str">
        <f t="shared" si="6"/>
        <v>11319-0000</v>
      </c>
      <c r="D125" s="64" t="s">
        <v>15094</v>
      </c>
      <c r="E125" s="64" t="s">
        <v>266</v>
      </c>
      <c r="F125" s="64" t="s">
        <v>14039</v>
      </c>
      <c r="G125" s="64" t="s">
        <v>14672</v>
      </c>
      <c r="H125" s="64" t="s">
        <v>13869</v>
      </c>
      <c r="I125" s="64" t="s">
        <v>14690</v>
      </c>
      <c r="J125" s="67">
        <v>0</v>
      </c>
      <c r="K125" s="62">
        <v>0</v>
      </c>
      <c r="L125" t="str">
        <f>VLOOKUP(VALUE(LEFT(C125,5)),Xref!A:B,2,0)</f>
        <v>GST</v>
      </c>
      <c r="M125" t="str">
        <f t="shared" si="7"/>
        <v>AKC-GST</v>
      </c>
      <c r="N125" s="33"/>
      <c r="O125" s="33"/>
      <c r="P125" s="33"/>
      <c r="Q125" s="33"/>
    </row>
    <row r="126" spans="1:17" ht="14.25" customHeight="true">
      <c r="A126" s="33" t="str">
        <f t="shared" si="4"/>
        <v>AKC - Intercompany</v>
      </c>
      <c r="B126" s="33" t="str">
        <f t="shared" si="5"/>
        <v>AKC</v>
      </c>
      <c r="C126" s="33" t="str">
        <f t="shared" si="6"/>
        <v>11320-0000</v>
      </c>
      <c r="D126" s="64" t="s">
        <v>15095</v>
      </c>
      <c r="E126" s="64" t="s">
        <v>14111</v>
      </c>
      <c r="F126" s="64" t="s">
        <v>14039</v>
      </c>
      <c r="G126" s="64" t="s">
        <v>14672</v>
      </c>
      <c r="H126" s="64" t="s">
        <v>13869</v>
      </c>
      <c r="I126" s="64" t="s">
        <v>14690</v>
      </c>
      <c r="J126" s="67">
        <v>0</v>
      </c>
      <c r="K126" s="62">
        <v>0</v>
      </c>
      <c r="L126" t="str">
        <f>VLOOKUP(VALUE(LEFT(C126,5)),Xref!A:B,2,0)</f>
        <v>HDN</v>
      </c>
      <c r="M126" t="str">
        <f t="shared" si="7"/>
        <v>AKC-HDN</v>
      </c>
      <c r="N126" s="33"/>
      <c r="O126" s="33"/>
      <c r="P126" s="33"/>
      <c r="Q126" s="33"/>
    </row>
    <row r="127" spans="1:17" ht="14.25" customHeight="true">
      <c r="A127" s="33" t="str">
        <f t="shared" si="4"/>
        <v>AKC - Intercompany</v>
      </c>
      <c r="B127" s="33" t="str">
        <f t="shared" si="5"/>
        <v>AKC</v>
      </c>
      <c r="C127" s="33" t="str">
        <f t="shared" si="6"/>
        <v>11321-0000</v>
      </c>
      <c r="D127" s="64" t="s">
        <v>15096</v>
      </c>
      <c r="E127" s="64" t="s">
        <v>13236</v>
      </c>
      <c r="F127" s="64" t="s">
        <v>14039</v>
      </c>
      <c r="G127" s="64" t="s">
        <v>14672</v>
      </c>
      <c r="H127" s="64" t="s">
        <v>13869</v>
      </c>
      <c r="I127" s="64" t="s">
        <v>14690</v>
      </c>
      <c r="J127" s="67">
        <v>0</v>
      </c>
      <c r="K127" s="62">
        <v>0</v>
      </c>
      <c r="L127" t="str">
        <f>VLOOKUP(VALUE(LEFT(C127,5)),Xref!A:B,2,0)</f>
        <v>OVA</v>
      </c>
      <c r="M127" t="str">
        <f t="shared" si="7"/>
        <v>AKC-OVA</v>
      </c>
      <c r="N127" s="33"/>
      <c r="O127" s="33"/>
      <c r="P127" s="33"/>
      <c r="Q127" s="33"/>
    </row>
    <row r="128" spans="1:17" ht="14.25" customHeight="true">
      <c r="A128" s="33" t="str">
        <f t="shared" si="4"/>
        <v>AKC - Intercompany</v>
      </c>
      <c r="B128" s="33" t="str">
        <f t="shared" si="5"/>
        <v>AKC</v>
      </c>
      <c r="C128" s="33" t="str">
        <f t="shared" si="6"/>
        <v>11322-0000</v>
      </c>
      <c r="D128" s="64" t="s">
        <v>15097</v>
      </c>
      <c r="E128" s="64" t="s">
        <v>13237</v>
      </c>
      <c r="F128" s="64" t="s">
        <v>14039</v>
      </c>
      <c r="G128" s="64" t="s">
        <v>14672</v>
      </c>
      <c r="H128" s="64" t="s">
        <v>13869</v>
      </c>
      <c r="I128" s="64" t="s">
        <v>14690</v>
      </c>
      <c r="J128" s="67">
        <v>0</v>
      </c>
      <c r="K128" s="62">
        <v>0</v>
      </c>
      <c r="L128" t="str">
        <f>VLOOKUP(VALUE(LEFT(C128,5)),Xref!A:B,2,0)</f>
        <v>WOO</v>
      </c>
      <c r="M128" t="str">
        <f t="shared" si="7"/>
        <v>AKC-WOO</v>
      </c>
      <c r="N128" s="33"/>
      <c r="O128" s="33"/>
      <c r="P128" s="33"/>
      <c r="Q128" s="33"/>
    </row>
    <row r="129" spans="1:17" ht="14.25" customHeight="true">
      <c r="A129" s="33" t="str">
        <f t="shared" si="4"/>
        <v>AKC - Intercompany</v>
      </c>
      <c r="B129" s="33" t="str">
        <f t="shared" si="5"/>
        <v>AKC</v>
      </c>
      <c r="C129" s="33" t="str">
        <f t="shared" si="6"/>
        <v>11323-0000</v>
      </c>
      <c r="D129" s="64" t="s">
        <v>15098</v>
      </c>
      <c r="E129" s="64" t="s">
        <v>13478</v>
      </c>
      <c r="F129" s="64" t="s">
        <v>14039</v>
      </c>
      <c r="G129" s="64" t="s">
        <v>14672</v>
      </c>
      <c r="H129" s="64" t="s">
        <v>13869</v>
      </c>
      <c r="I129" s="64" t="s">
        <v>14690</v>
      </c>
      <c r="J129" s="67">
        <v>0</v>
      </c>
      <c r="K129" s="62">
        <v>0</v>
      </c>
      <c r="L129" t="str">
        <f>VLOOKUP(VALUE(LEFT(C129,5)),Xref!A:B,2,0)</f>
        <v>SPI</v>
      </c>
      <c r="M129" t="str">
        <f t="shared" si="7"/>
        <v>AKC-SPI</v>
      </c>
      <c r="N129" s="33"/>
      <c r="O129" s="33"/>
      <c r="P129" s="33"/>
      <c r="Q129" s="33"/>
    </row>
    <row r="130" spans="1:17" ht="14.25" customHeight="true">
      <c r="A130" s="33" t="str">
        <f t="shared" ref="A130:A193" si="8">B130&amp;" - "&amp;TRIM(H130)</f>
        <v>AKC - Intercompany</v>
      </c>
      <c r="B130" s="33" t="str">
        <f t="shared" ref="B130:B193" si="9">LEFT(D130,3)</f>
        <v>AKC</v>
      </c>
      <c r="C130" s="33" t="str">
        <f t="shared" ref="C130:C193" si="10">RIGHT(D130,10)</f>
        <v>11324-0000</v>
      </c>
      <c r="D130" s="64" t="s">
        <v>15099</v>
      </c>
      <c r="E130" s="64" t="s">
        <v>13238</v>
      </c>
      <c r="F130" s="64" t="s">
        <v>14039</v>
      </c>
      <c r="G130" s="64" t="s">
        <v>14672</v>
      </c>
      <c r="H130" s="64" t="s">
        <v>13869</v>
      </c>
      <c r="I130" s="64" t="s">
        <v>14690</v>
      </c>
      <c r="J130" s="67">
        <v>0</v>
      </c>
      <c r="K130" s="62">
        <v>0</v>
      </c>
      <c r="L130" t="str">
        <f>VLOOKUP(VALUE(LEFT(C130,5)),Xref!A:B,2,0)</f>
        <v>NET</v>
      </c>
      <c r="M130" t="str">
        <f t="shared" ref="M130:M193" si="11">IF(B130&lt;L130,B130&amp;"-"&amp;L130,L130&amp;"-"&amp;B130)</f>
        <v>AKC-NET</v>
      </c>
      <c r="N130" s="33"/>
      <c r="O130" s="33"/>
      <c r="P130" s="33"/>
      <c r="Q130" s="33"/>
    </row>
    <row r="131" spans="1:17" ht="14.25" customHeight="true">
      <c r="A131" s="33" t="str">
        <f t="shared" si="8"/>
        <v>AKC - Intercompany</v>
      </c>
      <c r="B131" s="33" t="str">
        <f t="shared" si="9"/>
        <v>AKC</v>
      </c>
      <c r="C131" s="33" t="str">
        <f t="shared" si="10"/>
        <v>11325-0000</v>
      </c>
      <c r="D131" s="64" t="s">
        <v>15100</v>
      </c>
      <c r="E131" s="64" t="s">
        <v>13239</v>
      </c>
      <c r="F131" s="64" t="s">
        <v>14039</v>
      </c>
      <c r="G131" s="64" t="s">
        <v>14672</v>
      </c>
      <c r="H131" s="64" t="s">
        <v>13869</v>
      </c>
      <c r="I131" s="64" t="s">
        <v>14690</v>
      </c>
      <c r="J131" s="67">
        <v>0</v>
      </c>
      <c r="K131" s="62">
        <v>0</v>
      </c>
      <c r="L131" t="str">
        <f>VLOOKUP(VALUE(LEFT(C131,5)),Xref!A:B,2,0)</f>
        <v>DPI</v>
      </c>
      <c r="M131" t="str">
        <f t="shared" si="11"/>
        <v>AKC-DPI</v>
      </c>
      <c r="N131" s="33"/>
      <c r="O131" s="33"/>
      <c r="P131" s="33"/>
      <c r="Q131" s="33"/>
    </row>
    <row r="132" spans="1:17" ht="14.25" customHeight="true">
      <c r="A132" s="33" t="str">
        <f t="shared" si="8"/>
        <v>AKC - Intercompany</v>
      </c>
      <c r="B132" s="33" t="str">
        <f t="shared" si="9"/>
        <v>AKC</v>
      </c>
      <c r="C132" s="33" t="str">
        <f t="shared" si="10"/>
        <v>11326-0000</v>
      </c>
      <c r="D132" s="64" t="s">
        <v>15101</v>
      </c>
      <c r="E132" s="64" t="s">
        <v>13240</v>
      </c>
      <c r="F132" s="64" t="s">
        <v>14039</v>
      </c>
      <c r="G132" s="64" t="s">
        <v>14672</v>
      </c>
      <c r="H132" s="64" t="s">
        <v>13869</v>
      </c>
      <c r="I132" s="64" t="s">
        <v>14690</v>
      </c>
      <c r="J132" s="67">
        <v>0</v>
      </c>
      <c r="K132" s="62">
        <v>0</v>
      </c>
      <c r="L132" t="str">
        <f>VLOOKUP(VALUE(LEFT(C132,5)),Xref!A:B,2,0)</f>
        <v>SEK</v>
      </c>
      <c r="M132" t="str">
        <f t="shared" si="11"/>
        <v>AKC-SEK</v>
      </c>
      <c r="N132" s="33"/>
      <c r="O132" s="33"/>
      <c r="P132" s="33"/>
      <c r="Q132" s="33"/>
    </row>
    <row r="133" spans="1:17" ht="14.25" customHeight="true">
      <c r="A133" s="33" t="str">
        <f t="shared" si="8"/>
        <v>AKC - Intercompany</v>
      </c>
      <c r="B133" s="33" t="str">
        <f t="shared" si="9"/>
        <v>AKC</v>
      </c>
      <c r="C133" s="33" t="str">
        <f t="shared" si="10"/>
        <v>11327-0000</v>
      </c>
      <c r="D133" s="64" t="s">
        <v>15102</v>
      </c>
      <c r="E133" s="64" t="s">
        <v>14119</v>
      </c>
      <c r="F133" s="64" t="s">
        <v>14039</v>
      </c>
      <c r="G133" s="64" t="s">
        <v>14672</v>
      </c>
      <c r="H133" s="64" t="s">
        <v>13869</v>
      </c>
      <c r="I133" s="64" t="s">
        <v>14690</v>
      </c>
      <c r="J133" s="67">
        <v>0</v>
      </c>
      <c r="K133" s="62">
        <v>0</v>
      </c>
      <c r="L133" t="str">
        <f>VLOOKUP(VALUE(LEFT(C133,5)),Xref!A:B,2,0)</f>
        <v>CPI</v>
      </c>
      <c r="M133" t="str">
        <f t="shared" si="11"/>
        <v>AKC-CPI</v>
      </c>
      <c r="N133" s="33"/>
      <c r="O133" s="33"/>
      <c r="P133" s="33"/>
      <c r="Q133" s="33"/>
    </row>
    <row r="134" spans="1:17" ht="14.25" customHeight="true">
      <c r="A134" s="33" t="str">
        <f t="shared" si="8"/>
        <v>AKC - Intercompany</v>
      </c>
      <c r="B134" s="33" t="str">
        <f t="shared" si="9"/>
        <v>AKC</v>
      </c>
      <c r="C134" s="33" t="str">
        <f t="shared" si="10"/>
        <v>11328-0000</v>
      </c>
      <c r="D134" s="64" t="s">
        <v>15103</v>
      </c>
      <c r="E134" s="64" t="s">
        <v>13241</v>
      </c>
      <c r="F134" s="64" t="s">
        <v>14039</v>
      </c>
      <c r="G134" s="64" t="s">
        <v>14672</v>
      </c>
      <c r="H134" s="64" t="s">
        <v>13869</v>
      </c>
      <c r="I134" s="64" t="s">
        <v>14690</v>
      </c>
      <c r="J134" s="67">
        <v>0</v>
      </c>
      <c r="K134" s="62">
        <v>0</v>
      </c>
      <c r="L134" t="str">
        <f>VLOOKUP(VALUE(LEFT(C134,5)),Xref!A:B,2,0)</f>
        <v>LOM</v>
      </c>
      <c r="M134" t="str">
        <f t="shared" si="11"/>
        <v>AKC-LOM</v>
      </c>
      <c r="N134" s="33"/>
      <c r="O134" s="33"/>
      <c r="P134" s="33"/>
      <c r="Q134" s="33"/>
    </row>
    <row r="135" spans="1:17" ht="14.25" customHeight="true">
      <c r="A135" s="33" t="str">
        <f t="shared" si="8"/>
        <v>AKC - Intercompany</v>
      </c>
      <c r="B135" s="33" t="str">
        <f t="shared" si="9"/>
        <v>AKC</v>
      </c>
      <c r="C135" s="33" t="str">
        <f t="shared" si="10"/>
        <v>11329-0000</v>
      </c>
      <c r="D135" s="64" t="s">
        <v>3872</v>
      </c>
      <c r="E135" s="64" t="s">
        <v>13353</v>
      </c>
      <c r="F135" s="64" t="s">
        <v>14039</v>
      </c>
      <c r="G135" s="64" t="s">
        <v>14672</v>
      </c>
      <c r="H135" s="64" t="s">
        <v>13869</v>
      </c>
      <c r="I135" s="64" t="s">
        <v>14690</v>
      </c>
      <c r="J135" s="67">
        <v>0</v>
      </c>
      <c r="K135" s="62">
        <v>-728981.67</v>
      </c>
      <c r="L135" t="str">
        <f>VLOOKUP(VALUE(LEFT(C135,5)),Xref!A:B,2,0)</f>
        <v>AKS</v>
      </c>
      <c r="M135" t="str">
        <f t="shared" si="11"/>
        <v>AKC-AKS</v>
      </c>
      <c r="N135" s="33"/>
      <c r="O135" s="33"/>
      <c r="P135" s="33"/>
      <c r="Q135" s="33"/>
    </row>
    <row r="136" spans="1:17" ht="14.25" customHeight="true">
      <c r="A136" s="33" t="str">
        <f t="shared" si="8"/>
        <v>AKC - Intercompany</v>
      </c>
      <c r="B136" s="33" t="str">
        <f t="shared" si="9"/>
        <v>AKC</v>
      </c>
      <c r="C136" s="33" t="str">
        <f t="shared" si="10"/>
        <v>11330-0000</v>
      </c>
      <c r="D136" s="64" t="s">
        <v>15104</v>
      </c>
      <c r="E136" s="64" t="s">
        <v>13242</v>
      </c>
      <c r="F136" s="64" t="s">
        <v>14039</v>
      </c>
      <c r="G136" s="64" t="s">
        <v>14672</v>
      </c>
      <c r="H136" s="64" t="s">
        <v>13869</v>
      </c>
      <c r="I136" s="64" t="s">
        <v>14690</v>
      </c>
      <c r="J136" s="67">
        <v>0</v>
      </c>
      <c r="K136" s="62">
        <v>0</v>
      </c>
      <c r="L136" t="str">
        <f>VLOOKUP(VALUE(LEFT(C136,5)),Xref!A:B,2,0)</f>
        <v>MAR</v>
      </c>
      <c r="M136" t="str">
        <f t="shared" si="11"/>
        <v>AKC-MAR</v>
      </c>
      <c r="N136" s="33"/>
      <c r="O136" s="33"/>
      <c r="P136" s="33"/>
      <c r="Q136" s="33"/>
    </row>
    <row r="137" spans="1:17" ht="14.25" customHeight="true">
      <c r="A137" s="33" t="str">
        <f t="shared" si="8"/>
        <v>AKC - Intercompany</v>
      </c>
      <c r="B137" s="33" t="str">
        <f t="shared" si="9"/>
        <v>AKC</v>
      </c>
      <c r="C137" s="33" t="str">
        <f t="shared" si="10"/>
        <v>11331-0000</v>
      </c>
      <c r="D137" s="64" t="s">
        <v>15105</v>
      </c>
      <c r="E137" s="64" t="s">
        <v>13354</v>
      </c>
      <c r="F137" s="64" t="s">
        <v>14039</v>
      </c>
      <c r="G137" s="64" t="s">
        <v>14672</v>
      </c>
      <c r="H137" s="64" t="s">
        <v>13869</v>
      </c>
      <c r="I137" s="64" t="s">
        <v>14690</v>
      </c>
      <c r="J137" s="67">
        <v>0</v>
      </c>
      <c r="K137" s="62">
        <v>0</v>
      </c>
      <c r="L137" t="str">
        <f>VLOOKUP(VALUE(LEFT(C137,5)),Xref!A:B,2,0)</f>
        <v>WIL</v>
      </c>
      <c r="M137" t="str">
        <f t="shared" si="11"/>
        <v>AKC-WIL</v>
      </c>
      <c r="N137" s="33"/>
      <c r="O137" s="33"/>
      <c r="P137" s="33"/>
      <c r="Q137" s="33"/>
    </row>
    <row r="138" spans="1:17" ht="14.25" customHeight="true">
      <c r="A138" s="33" t="str">
        <f t="shared" si="8"/>
        <v>AKC - Intercompany</v>
      </c>
      <c r="B138" s="33" t="str">
        <f t="shared" si="9"/>
        <v>AKC</v>
      </c>
      <c r="C138" s="33" t="str">
        <f t="shared" si="10"/>
        <v>11332-0000</v>
      </c>
      <c r="D138" s="64" t="s">
        <v>15106</v>
      </c>
      <c r="E138" s="64" t="s">
        <v>13243</v>
      </c>
      <c r="F138" s="64" t="s">
        <v>14039</v>
      </c>
      <c r="G138" s="64" t="s">
        <v>14672</v>
      </c>
      <c r="H138" s="64" t="s">
        <v>13869</v>
      </c>
      <c r="I138" s="64" t="s">
        <v>14690</v>
      </c>
      <c r="J138" s="67">
        <v>0</v>
      </c>
      <c r="K138" s="62">
        <v>0</v>
      </c>
      <c r="L138" t="str">
        <f>VLOOKUP(VALUE(LEFT(C138,5)),Xref!A:B,2,0)</f>
        <v>STO</v>
      </c>
      <c r="M138" t="str">
        <f t="shared" si="11"/>
        <v>AKC-STO</v>
      </c>
      <c r="N138" s="33"/>
      <c r="O138" s="33"/>
      <c r="P138" s="33"/>
      <c r="Q138" s="33"/>
    </row>
    <row r="139" spans="1:17" ht="14.25" customHeight="true">
      <c r="A139" s="33" t="str">
        <f t="shared" si="8"/>
        <v>AKC - Intercompany</v>
      </c>
      <c r="B139" s="33" t="str">
        <f t="shared" si="9"/>
        <v>AKC</v>
      </c>
      <c r="C139" s="33" t="str">
        <f t="shared" si="10"/>
        <v>11333-0000</v>
      </c>
      <c r="D139" s="64" t="s">
        <v>15107</v>
      </c>
      <c r="E139" s="64" t="s">
        <v>13244</v>
      </c>
      <c r="F139" s="64" t="s">
        <v>14039</v>
      </c>
      <c r="G139" s="64" t="s">
        <v>14672</v>
      </c>
      <c r="H139" s="64" t="s">
        <v>13869</v>
      </c>
      <c r="I139" s="64" t="s">
        <v>14690</v>
      </c>
      <c r="J139" s="67">
        <v>0</v>
      </c>
      <c r="K139" s="62">
        <v>0</v>
      </c>
      <c r="L139" t="str">
        <f>VLOOKUP(VALUE(LEFT(C139,5)),Xref!A:B,2,0)</f>
        <v>ANG</v>
      </c>
      <c r="M139" t="str">
        <f t="shared" si="11"/>
        <v>AKC-ANG</v>
      </c>
      <c r="N139" s="33"/>
      <c r="O139" s="33"/>
      <c r="P139" s="33"/>
      <c r="Q139" s="33"/>
    </row>
    <row r="140" spans="1:17" ht="14.25" customHeight="true">
      <c r="A140" s="33" t="str">
        <f t="shared" si="8"/>
        <v>AKC - Intercompany</v>
      </c>
      <c r="B140" s="33" t="str">
        <f t="shared" si="9"/>
        <v>AKC</v>
      </c>
      <c r="C140" s="33" t="str">
        <f t="shared" si="10"/>
        <v>11334-0000</v>
      </c>
      <c r="D140" s="64" t="s">
        <v>15108</v>
      </c>
      <c r="E140" s="64" t="s">
        <v>13245</v>
      </c>
      <c r="F140" s="64" t="s">
        <v>14039</v>
      </c>
      <c r="G140" s="64" t="s">
        <v>14672</v>
      </c>
      <c r="H140" s="64" t="s">
        <v>13869</v>
      </c>
      <c r="I140" s="64" t="s">
        <v>14690</v>
      </c>
      <c r="J140" s="67">
        <v>0</v>
      </c>
      <c r="K140" s="62">
        <v>0</v>
      </c>
      <c r="L140" t="str">
        <f>VLOOKUP(VALUE(LEFT(C140,5)),Xref!A:B,2,0)</f>
        <v>BRU</v>
      </c>
      <c r="M140" t="str">
        <f t="shared" si="11"/>
        <v>AKC-BRU</v>
      </c>
      <c r="N140" s="33"/>
      <c r="O140" s="33"/>
      <c r="P140" s="33"/>
      <c r="Q140" s="33"/>
    </row>
    <row r="141" spans="1:17" ht="14.25" customHeight="true">
      <c r="A141" s="33" t="str">
        <f t="shared" si="8"/>
        <v>AKC - Intercompany</v>
      </c>
      <c r="B141" s="33" t="str">
        <f t="shared" si="9"/>
        <v>AKC</v>
      </c>
      <c r="C141" s="33" t="str">
        <f t="shared" si="10"/>
        <v>11335-0000</v>
      </c>
      <c r="D141" s="64" t="s">
        <v>15109</v>
      </c>
      <c r="E141" s="64" t="s">
        <v>13246</v>
      </c>
      <c r="F141" s="64" t="s">
        <v>14039</v>
      </c>
      <c r="G141" s="64" t="s">
        <v>14672</v>
      </c>
      <c r="H141" s="64" t="s">
        <v>13869</v>
      </c>
      <c r="I141" s="64" t="s">
        <v>14690</v>
      </c>
      <c r="J141" s="67">
        <v>0</v>
      </c>
      <c r="K141" s="62">
        <v>0</v>
      </c>
      <c r="L141" t="str">
        <f>VLOOKUP(VALUE(LEFT(C141,5)),Xref!A:B,2,0)</f>
        <v>VEN</v>
      </c>
      <c r="M141" t="str">
        <f t="shared" si="11"/>
        <v>AKC-VEN</v>
      </c>
      <c r="N141" s="33"/>
      <c r="O141" s="33"/>
      <c r="P141" s="33"/>
      <c r="Q141" s="33"/>
    </row>
    <row r="142" spans="1:17" ht="14.25" customHeight="true">
      <c r="A142" s="33" t="str">
        <f t="shared" si="8"/>
        <v>AKC - Intercompany</v>
      </c>
      <c r="B142" s="33" t="str">
        <f t="shared" si="9"/>
        <v>AKC</v>
      </c>
      <c r="C142" s="33" t="str">
        <f t="shared" si="10"/>
        <v>11336-0000</v>
      </c>
      <c r="D142" s="64" t="s">
        <v>15110</v>
      </c>
      <c r="E142" s="64" t="s">
        <v>13247</v>
      </c>
      <c r="F142" s="64" t="s">
        <v>14039</v>
      </c>
      <c r="G142" s="64" t="s">
        <v>14672</v>
      </c>
      <c r="H142" s="64" t="s">
        <v>13869</v>
      </c>
      <c r="I142" s="64" t="s">
        <v>14690</v>
      </c>
      <c r="J142" s="67">
        <v>0</v>
      </c>
      <c r="K142" s="62">
        <v>0</v>
      </c>
      <c r="L142" t="str">
        <f>VLOOKUP(VALUE(LEFT(C142,5)),Xref!A:B,2,0)</f>
        <v>SAT</v>
      </c>
      <c r="M142" t="str">
        <f t="shared" si="11"/>
        <v>AKC-SAT</v>
      </c>
      <c r="N142" s="33"/>
      <c r="O142" s="33"/>
      <c r="P142" s="33"/>
      <c r="Q142" s="33"/>
    </row>
    <row r="143" spans="1:17" ht="14.25" customHeight="true">
      <c r="A143" s="33" t="str">
        <f t="shared" si="8"/>
        <v>AKC - Intercompany</v>
      </c>
      <c r="B143" s="33" t="str">
        <f t="shared" si="9"/>
        <v>AKC</v>
      </c>
      <c r="C143" s="33" t="str">
        <f t="shared" si="10"/>
        <v>11337-0000</v>
      </c>
      <c r="D143" s="64" t="s">
        <v>15111</v>
      </c>
      <c r="E143" s="64" t="s">
        <v>13248</v>
      </c>
      <c r="F143" s="64" t="s">
        <v>14039</v>
      </c>
      <c r="G143" s="64" t="s">
        <v>14672</v>
      </c>
      <c r="H143" s="64" t="s">
        <v>13869</v>
      </c>
      <c r="I143" s="64" t="s">
        <v>14690</v>
      </c>
      <c r="J143" s="67">
        <v>0</v>
      </c>
      <c r="K143" s="62">
        <v>0</v>
      </c>
      <c r="L143" t="str">
        <f>VLOOKUP(VALUE(LEFT(C143,5)),Xref!A:B,2,0)</f>
        <v>NEP</v>
      </c>
      <c r="M143" t="str">
        <f t="shared" si="11"/>
        <v>AKC-NEP</v>
      </c>
      <c r="N143" s="33"/>
      <c r="O143" s="33"/>
      <c r="P143" s="33"/>
      <c r="Q143" s="33"/>
    </row>
    <row r="144" spans="1:17" ht="14.25" customHeight="true">
      <c r="A144" s="33" t="str">
        <f t="shared" si="8"/>
        <v>AKC - Intercompany</v>
      </c>
      <c r="B144" s="33" t="str">
        <f t="shared" si="9"/>
        <v>AKC</v>
      </c>
      <c r="C144" s="33" t="str">
        <f t="shared" si="10"/>
        <v>11338-0000</v>
      </c>
      <c r="D144" s="64" t="s">
        <v>15112</v>
      </c>
      <c r="E144" s="64" t="s">
        <v>14131</v>
      </c>
      <c r="F144" s="64" t="s">
        <v>14039</v>
      </c>
      <c r="G144" s="64" t="s">
        <v>14672</v>
      </c>
      <c r="H144" s="64" t="s">
        <v>13869</v>
      </c>
      <c r="I144" s="64" t="s">
        <v>14690</v>
      </c>
      <c r="J144" s="67">
        <v>0</v>
      </c>
      <c r="K144" s="62">
        <v>0</v>
      </c>
      <c r="L144" t="str">
        <f>VLOOKUP(VALUE(LEFT(C144,5)),Xref!A:B,2,0)</f>
        <v>JUP</v>
      </c>
      <c r="M144" t="str">
        <f t="shared" si="11"/>
        <v>AKC-JUP</v>
      </c>
      <c r="N144" s="33"/>
      <c r="O144" s="33"/>
      <c r="P144" s="33"/>
      <c r="Q144" s="33"/>
    </row>
    <row r="145" spans="1:17" ht="14.25" customHeight="true">
      <c r="A145" s="33" t="str">
        <f t="shared" si="8"/>
        <v>AKC - Intercompany</v>
      </c>
      <c r="B145" s="33" t="str">
        <f t="shared" si="9"/>
        <v>AKC</v>
      </c>
      <c r="C145" s="33" t="str">
        <f t="shared" si="10"/>
        <v>11339-0000</v>
      </c>
      <c r="D145" s="64" t="s">
        <v>15113</v>
      </c>
      <c r="E145" s="64" t="s">
        <v>14133</v>
      </c>
      <c r="F145" s="64" t="s">
        <v>14039</v>
      </c>
      <c r="G145" s="64" t="s">
        <v>14672</v>
      </c>
      <c r="H145" s="64" t="s">
        <v>13869</v>
      </c>
      <c r="I145" s="64" t="s">
        <v>14690</v>
      </c>
      <c r="J145" s="67">
        <v>0</v>
      </c>
      <c r="K145" s="62">
        <v>0</v>
      </c>
      <c r="L145" t="str">
        <f>VLOOKUP(VALUE(LEFT(C145,5)),Xref!A:B,2,0)</f>
        <v>WES</v>
      </c>
      <c r="M145" t="str">
        <f t="shared" si="11"/>
        <v>AKC-WES</v>
      </c>
      <c r="N145" s="33"/>
      <c r="O145" s="33"/>
      <c r="P145" s="33"/>
      <c r="Q145" s="33"/>
    </row>
    <row r="146" spans="1:17" ht="14.25" customHeight="true">
      <c r="A146" s="33" t="str">
        <f t="shared" si="8"/>
        <v>AKC - Intercompany</v>
      </c>
      <c r="B146" s="33" t="str">
        <f t="shared" si="9"/>
        <v>AKC</v>
      </c>
      <c r="C146" s="33" t="str">
        <f t="shared" si="10"/>
        <v>11340-0000</v>
      </c>
      <c r="D146" s="64" t="s">
        <v>15114</v>
      </c>
      <c r="E146" s="64" t="s">
        <v>14135</v>
      </c>
      <c r="F146" s="64" t="s">
        <v>14039</v>
      </c>
      <c r="G146" s="64" t="s">
        <v>14672</v>
      </c>
      <c r="H146" s="64" t="s">
        <v>13869</v>
      </c>
      <c r="I146" s="64" t="s">
        <v>14690</v>
      </c>
      <c r="J146" s="67">
        <v>0</v>
      </c>
      <c r="K146" s="62">
        <v>0</v>
      </c>
      <c r="L146" t="str">
        <f>VLOOKUP(VALUE(LEFT(C146,5)),Xref!A:B,2,0)</f>
        <v>LCP</v>
      </c>
      <c r="M146" t="str">
        <f t="shared" si="11"/>
        <v>AKC-LCP</v>
      </c>
      <c r="N146" s="33"/>
      <c r="O146" s="33"/>
      <c r="P146" s="33"/>
      <c r="Q146" s="33"/>
    </row>
    <row r="147" spans="1:17" ht="14.25" customHeight="true">
      <c r="A147" s="33" t="str">
        <f t="shared" si="8"/>
        <v>AKC - Intercompany</v>
      </c>
      <c r="B147" s="33" t="str">
        <f t="shared" si="9"/>
        <v>AKC</v>
      </c>
      <c r="C147" s="33" t="str">
        <f t="shared" si="10"/>
        <v>11341-0000</v>
      </c>
      <c r="D147" s="64" t="s">
        <v>15115</v>
      </c>
      <c r="E147" s="64" t="s">
        <v>13639</v>
      </c>
      <c r="F147" s="64" t="s">
        <v>14039</v>
      </c>
      <c r="G147" s="64" t="s">
        <v>14672</v>
      </c>
      <c r="H147" s="64" t="s">
        <v>13869</v>
      </c>
      <c r="I147" s="64" t="s">
        <v>14690</v>
      </c>
      <c r="J147" s="67">
        <v>0</v>
      </c>
      <c r="K147" s="62">
        <v>0</v>
      </c>
      <c r="L147" t="str">
        <f>VLOOKUP(VALUE(LEFT(C147,5)),Xref!A:B,2,0)</f>
        <v>NOR</v>
      </c>
      <c r="M147" t="str">
        <f t="shared" si="11"/>
        <v>AKC-NOR</v>
      </c>
      <c r="N147" s="33"/>
      <c r="O147" s="33"/>
      <c r="P147" s="33"/>
      <c r="Q147" s="33"/>
    </row>
    <row r="148" spans="1:17" ht="14.25" customHeight="true">
      <c r="A148" s="33" t="str">
        <f t="shared" si="8"/>
        <v>AKC - Intercompany</v>
      </c>
      <c r="B148" s="33" t="str">
        <f t="shared" si="9"/>
        <v>AKC</v>
      </c>
      <c r="C148" s="33" t="str">
        <f t="shared" si="10"/>
        <v>11342-0000</v>
      </c>
      <c r="D148" s="64" t="s">
        <v>15116</v>
      </c>
      <c r="E148" s="64" t="s">
        <v>13355</v>
      </c>
      <c r="F148" s="64" t="s">
        <v>14039</v>
      </c>
      <c r="G148" s="64" t="s">
        <v>14672</v>
      </c>
      <c r="H148" s="64" t="s">
        <v>13869</v>
      </c>
      <c r="I148" s="64" t="s">
        <v>14690</v>
      </c>
      <c r="J148" s="67">
        <v>0</v>
      </c>
      <c r="K148" s="62">
        <v>0</v>
      </c>
      <c r="L148" t="str">
        <f>VLOOKUP(VALUE(LEFT(C148,5)),Xref!A:B,2,0)</f>
        <v>EAS</v>
      </c>
      <c r="M148" t="str">
        <f t="shared" si="11"/>
        <v>AKC-EAS</v>
      </c>
      <c r="N148" s="33"/>
      <c r="O148" s="33"/>
      <c r="P148" s="33"/>
      <c r="Q148" s="33"/>
    </row>
    <row r="149" spans="1:17" ht="14.25" customHeight="true">
      <c r="A149" s="33" t="str">
        <f t="shared" si="8"/>
        <v>AKC - Intercompany</v>
      </c>
      <c r="B149" s="33" t="str">
        <f t="shared" si="9"/>
        <v>AKC</v>
      </c>
      <c r="C149" s="33" t="str">
        <f t="shared" si="10"/>
        <v>11343-0000</v>
      </c>
      <c r="D149" s="64" t="s">
        <v>3873</v>
      </c>
      <c r="E149" s="64" t="s">
        <v>14139</v>
      </c>
      <c r="F149" s="64" t="s">
        <v>14039</v>
      </c>
      <c r="G149" s="64" t="s">
        <v>14672</v>
      </c>
      <c r="H149" s="64" t="s">
        <v>13869</v>
      </c>
      <c r="I149" s="64" t="s">
        <v>14690</v>
      </c>
      <c r="J149" s="67">
        <v>0</v>
      </c>
      <c r="K149" s="62">
        <v>-6556.8</v>
      </c>
      <c r="L149" t="str">
        <f>VLOOKUP(VALUE(LEFT(C149,5)),Xref!A:B,2,0)</f>
        <v>GRA</v>
      </c>
      <c r="M149" t="str">
        <f t="shared" si="11"/>
        <v>AKC-GRA</v>
      </c>
      <c r="N149" s="33"/>
      <c r="O149" s="33"/>
      <c r="P149" s="33"/>
      <c r="Q149" s="33"/>
    </row>
    <row r="150" spans="1:17" ht="14.25" customHeight="true">
      <c r="A150" s="33" t="str">
        <f t="shared" si="8"/>
        <v>AKC - Intercompany</v>
      </c>
      <c r="B150" s="33" t="str">
        <f t="shared" si="9"/>
        <v>AKC</v>
      </c>
      <c r="C150" s="33" t="str">
        <f t="shared" si="10"/>
        <v>11344-0000</v>
      </c>
      <c r="D150" s="64" t="s">
        <v>15117</v>
      </c>
      <c r="E150" s="64" t="s">
        <v>14141</v>
      </c>
      <c r="F150" s="64" t="s">
        <v>14039</v>
      </c>
      <c r="G150" s="64" t="s">
        <v>14672</v>
      </c>
      <c r="H150" s="64" t="s">
        <v>13869</v>
      </c>
      <c r="I150" s="64" t="s">
        <v>14690</v>
      </c>
      <c r="J150" s="67">
        <v>0</v>
      </c>
      <c r="K150" s="62">
        <v>0</v>
      </c>
      <c r="L150" t="str">
        <f>VLOOKUP(VALUE(LEFT(C150,5)),Xref!A:B,2,0)</f>
        <v>SOU</v>
      </c>
      <c r="M150" t="str">
        <f t="shared" si="11"/>
        <v>AKC-SOU</v>
      </c>
      <c r="N150" s="33"/>
      <c r="O150" s="33"/>
      <c r="P150" s="33"/>
      <c r="Q150" s="33"/>
    </row>
    <row r="151" spans="1:17" ht="14.25" customHeight="true">
      <c r="A151" s="33" t="str">
        <f t="shared" si="8"/>
        <v>AKC - Intercompany</v>
      </c>
      <c r="B151" s="33" t="str">
        <f t="shared" si="9"/>
        <v>AKC</v>
      </c>
      <c r="C151" s="33" t="str">
        <f t="shared" si="10"/>
        <v>11345-0000</v>
      </c>
      <c r="D151" s="64" t="s">
        <v>15118</v>
      </c>
      <c r="E151" s="64" t="s">
        <v>14143</v>
      </c>
      <c r="F151" s="64" t="s">
        <v>14039</v>
      </c>
      <c r="G151" s="64" t="s">
        <v>14672</v>
      </c>
      <c r="H151" s="64" t="s">
        <v>13869</v>
      </c>
      <c r="I151" s="64" t="s">
        <v>14690</v>
      </c>
      <c r="J151" s="67">
        <v>0</v>
      </c>
      <c r="K151" s="62">
        <v>0</v>
      </c>
      <c r="L151" t="str">
        <f>VLOOKUP(VALUE(LEFT(C151,5)),Xref!A:B,2,0)</f>
        <v>API</v>
      </c>
      <c r="M151" t="str">
        <f t="shared" si="11"/>
        <v>AKC-API</v>
      </c>
      <c r="N151" s="33"/>
      <c r="O151" s="33"/>
      <c r="P151" s="33"/>
      <c r="Q151" s="33"/>
    </row>
    <row r="152" spans="1:17" ht="14.25" customHeight="true">
      <c r="A152" s="33" t="str">
        <f t="shared" si="8"/>
        <v>AKC - Intercompany</v>
      </c>
      <c r="B152" s="33" t="str">
        <f t="shared" si="9"/>
        <v>AKC</v>
      </c>
      <c r="C152" s="33" t="str">
        <f t="shared" si="10"/>
        <v>11346-0000</v>
      </c>
      <c r="D152" s="64" t="s">
        <v>15119</v>
      </c>
      <c r="E152" s="64" t="s">
        <v>14145</v>
      </c>
      <c r="F152" s="64" t="s">
        <v>14039</v>
      </c>
      <c r="G152" s="64" t="s">
        <v>14672</v>
      </c>
      <c r="H152" s="64" t="s">
        <v>13869</v>
      </c>
      <c r="I152" s="64" t="s">
        <v>14690</v>
      </c>
      <c r="J152" s="67">
        <v>0</v>
      </c>
      <c r="K152" s="62">
        <v>0</v>
      </c>
      <c r="L152" t="str">
        <f>VLOOKUP(VALUE(LEFT(C152,5)),Xref!A:B,2,0)</f>
        <v>DPH</v>
      </c>
      <c r="M152" t="str">
        <f t="shared" si="11"/>
        <v>AKC-DPH</v>
      </c>
      <c r="N152" s="33"/>
      <c r="O152" s="33"/>
      <c r="P152" s="33"/>
      <c r="Q152" s="33"/>
    </row>
    <row r="153" spans="1:17" ht="14.25" customHeight="true">
      <c r="A153" s="33" t="str">
        <f t="shared" si="8"/>
        <v>AKC - Intercompany</v>
      </c>
      <c r="B153" s="33" t="str">
        <f t="shared" si="9"/>
        <v>AKC</v>
      </c>
      <c r="C153" s="33" t="str">
        <f t="shared" si="10"/>
        <v>11347-0000</v>
      </c>
      <c r="D153" s="64" t="s">
        <v>15120</v>
      </c>
      <c r="E153" s="64" t="s">
        <v>14147</v>
      </c>
      <c r="F153" s="64" t="s">
        <v>14039</v>
      </c>
      <c r="G153" s="64" t="s">
        <v>14672</v>
      </c>
      <c r="H153" s="64" t="s">
        <v>13869</v>
      </c>
      <c r="I153" s="64" t="s">
        <v>14690</v>
      </c>
      <c r="J153" s="67">
        <v>0</v>
      </c>
      <c r="K153" s="62">
        <v>0</v>
      </c>
      <c r="L153" t="str">
        <f>VLOOKUP(VALUE(LEFT(C153,5)),Xref!A:B,2,0)</f>
        <v>ZPI</v>
      </c>
      <c r="M153" t="str">
        <f t="shared" si="11"/>
        <v>AKC-ZPI</v>
      </c>
      <c r="N153" s="33"/>
      <c r="O153" s="33"/>
      <c r="P153" s="33"/>
      <c r="Q153" s="33"/>
    </row>
    <row r="154" spans="1:17" ht="14.25" customHeight="true">
      <c r="A154" s="33" t="str">
        <f t="shared" si="8"/>
        <v>AKC - Intercompany</v>
      </c>
      <c r="B154" s="33" t="str">
        <f t="shared" si="9"/>
        <v>AKC</v>
      </c>
      <c r="C154" s="33" t="str">
        <f t="shared" si="10"/>
        <v>11348-0000</v>
      </c>
      <c r="D154" s="64" t="s">
        <v>15121</v>
      </c>
      <c r="E154" s="64" t="s">
        <v>14149</v>
      </c>
      <c r="F154" s="64" t="s">
        <v>14039</v>
      </c>
      <c r="G154" s="64" t="s">
        <v>14672</v>
      </c>
      <c r="H154" s="64" t="s">
        <v>13869</v>
      </c>
      <c r="I154" s="64" t="s">
        <v>14690</v>
      </c>
      <c r="J154" s="67">
        <v>0</v>
      </c>
      <c r="K154" s="62">
        <v>0</v>
      </c>
      <c r="L154" t="str">
        <f>VLOOKUP(VALUE(LEFT(C154,5)),Xref!A:B,2,0)</f>
        <v>EAM</v>
      </c>
      <c r="M154" t="str">
        <f t="shared" si="11"/>
        <v>AKC-EAM</v>
      </c>
      <c r="N154" s="33"/>
      <c r="O154" s="33"/>
      <c r="P154" s="33"/>
      <c r="Q154" s="33"/>
    </row>
    <row r="155" spans="1:17" ht="14.25" customHeight="true">
      <c r="A155" s="33" t="str">
        <f t="shared" si="8"/>
        <v>AKC - Intercompany</v>
      </c>
      <c r="B155" s="33" t="str">
        <f t="shared" si="9"/>
        <v>AKC</v>
      </c>
      <c r="C155" s="33" t="str">
        <f t="shared" si="10"/>
        <v>11349-0000</v>
      </c>
      <c r="D155" s="64" t="s">
        <v>15122</v>
      </c>
      <c r="E155" s="64" t="s">
        <v>14151</v>
      </c>
      <c r="F155" s="64" t="s">
        <v>14039</v>
      </c>
      <c r="G155" s="64" t="s">
        <v>14672</v>
      </c>
      <c r="H155" s="64" t="s">
        <v>13869</v>
      </c>
      <c r="I155" s="64" t="s">
        <v>14690</v>
      </c>
      <c r="J155" s="67">
        <v>0</v>
      </c>
      <c r="K155" s="62">
        <v>0</v>
      </c>
      <c r="L155" t="str">
        <f>VLOOKUP(VALUE(LEFT(C155,5)),Xref!A:B,2,0)</f>
        <v>SEA</v>
      </c>
      <c r="M155" t="str">
        <f t="shared" si="11"/>
        <v>AKC-SEA</v>
      </c>
      <c r="N155" s="33"/>
      <c r="O155" s="33"/>
      <c r="P155" s="33"/>
      <c r="Q155" s="33"/>
    </row>
    <row r="156" spans="1:17" ht="14.25" customHeight="true">
      <c r="A156" s="33" t="str">
        <f t="shared" si="8"/>
        <v>AKC - Intercompany</v>
      </c>
      <c r="B156" s="33" t="str">
        <f t="shared" si="9"/>
        <v>AKC</v>
      </c>
      <c r="C156" s="33" t="str">
        <f t="shared" si="10"/>
        <v>11350-0000</v>
      </c>
      <c r="D156" s="64" t="s">
        <v>15123</v>
      </c>
      <c r="E156" s="64" t="s">
        <v>14153</v>
      </c>
      <c r="F156" s="64" t="s">
        <v>14039</v>
      </c>
      <c r="G156" s="64" t="s">
        <v>14672</v>
      </c>
      <c r="H156" s="64" t="s">
        <v>13869</v>
      </c>
      <c r="I156" s="64" t="s">
        <v>14690</v>
      </c>
      <c r="J156" s="67">
        <v>0</v>
      </c>
      <c r="K156" s="62">
        <v>-5.12</v>
      </c>
      <c r="L156" t="str">
        <f>VLOOKUP(VALUE(LEFT(C156,5)),Xref!A:B,2,0)</f>
        <v>EAL</v>
      </c>
      <c r="M156" t="str">
        <f t="shared" si="11"/>
        <v>AKC-EAL</v>
      </c>
      <c r="N156" s="33"/>
      <c r="O156" s="33"/>
      <c r="P156" s="33"/>
      <c r="Q156" s="33"/>
    </row>
    <row r="157" spans="1:17" ht="14.25" customHeight="true">
      <c r="A157" s="33" t="str">
        <f t="shared" si="8"/>
        <v>AKC - Intercompany</v>
      </c>
      <c r="B157" s="33" t="str">
        <f t="shared" si="9"/>
        <v>AKC</v>
      </c>
      <c r="C157" s="33" t="str">
        <f t="shared" si="10"/>
        <v>11351-0000</v>
      </c>
      <c r="D157" s="64" t="s">
        <v>15124</v>
      </c>
      <c r="E157" s="64" t="s">
        <v>14155</v>
      </c>
      <c r="F157" s="64" t="s">
        <v>14039</v>
      </c>
      <c r="G157" s="64" t="s">
        <v>14672</v>
      </c>
      <c r="H157" s="64" t="s">
        <v>13869</v>
      </c>
      <c r="I157" s="64" t="s">
        <v>14690</v>
      </c>
      <c r="J157" s="67">
        <v>0</v>
      </c>
      <c r="K157" s="62">
        <v>0</v>
      </c>
      <c r="L157" t="str">
        <f>VLOOKUP(VALUE(LEFT(C157,5)),Xref!A:B,2,0)</f>
        <v>WEP</v>
      </c>
      <c r="M157" t="str">
        <f t="shared" si="11"/>
        <v>AKC-WEP</v>
      </c>
      <c r="N157" s="33"/>
      <c r="O157" s="33"/>
      <c r="P157" s="33"/>
      <c r="Q157" s="33"/>
    </row>
    <row r="158" spans="1:17" ht="14.25" customHeight="true">
      <c r="A158" s="33" t="str">
        <f t="shared" si="8"/>
        <v>AKC - Intercompany</v>
      </c>
      <c r="B158" s="33" t="str">
        <f t="shared" si="9"/>
        <v>AKC</v>
      </c>
      <c r="C158" s="33" t="str">
        <f t="shared" si="10"/>
        <v>11352-0000</v>
      </c>
      <c r="D158" s="64" t="s">
        <v>15125</v>
      </c>
      <c r="E158" s="64" t="s">
        <v>13536</v>
      </c>
      <c r="F158" s="64" t="s">
        <v>14039</v>
      </c>
      <c r="G158" s="64" t="s">
        <v>14672</v>
      </c>
      <c r="H158" s="64" t="s">
        <v>13869</v>
      </c>
      <c r="I158" s="64" t="s">
        <v>14690</v>
      </c>
      <c r="J158" s="67">
        <v>0</v>
      </c>
      <c r="K158" s="62">
        <v>0</v>
      </c>
      <c r="L158" t="str">
        <f>VLOOKUP(VALUE(LEFT(C158,5)),Xref!A:B,2,0)</f>
        <v>KLP</v>
      </c>
      <c r="M158" t="str">
        <f t="shared" si="11"/>
        <v>AKC-KLP</v>
      </c>
      <c r="N158" s="33"/>
      <c r="O158" s="33"/>
      <c r="P158" s="33"/>
      <c r="Q158" s="33"/>
    </row>
    <row r="159" spans="1:17" ht="14.25" customHeight="true">
      <c r="A159" s="33" t="str">
        <f t="shared" si="8"/>
        <v>AKC - Intercompany</v>
      </c>
      <c r="B159" s="33" t="str">
        <f t="shared" si="9"/>
        <v>AKC</v>
      </c>
      <c r="C159" s="33" t="str">
        <f t="shared" si="10"/>
        <v>11353-0000</v>
      </c>
      <c r="D159" s="64" t="s">
        <v>15126</v>
      </c>
      <c r="E159" s="64" t="s">
        <v>13537</v>
      </c>
      <c r="F159" s="64" t="s">
        <v>14039</v>
      </c>
      <c r="G159" s="64" t="s">
        <v>14672</v>
      </c>
      <c r="H159" s="64" t="s">
        <v>13869</v>
      </c>
      <c r="I159" s="64" t="s">
        <v>14690</v>
      </c>
      <c r="J159" s="67">
        <v>0</v>
      </c>
      <c r="K159" s="62">
        <v>0</v>
      </c>
      <c r="L159" t="str">
        <f>VLOOKUP(VALUE(LEFT(C159,5)),Xref!A:B,2,0)</f>
        <v>AKC</v>
      </c>
      <c r="M159" t="str">
        <f t="shared" si="11"/>
        <v>AKC-AKC</v>
      </c>
      <c r="N159" s="33"/>
      <c r="O159" s="33"/>
      <c r="P159" s="33"/>
      <c r="Q159" s="33"/>
    </row>
    <row r="160" spans="1:17" ht="14.25" customHeight="true">
      <c r="A160" s="33" t="str">
        <f t="shared" si="8"/>
        <v>AKC - Intercompany</v>
      </c>
      <c r="B160" s="33" t="str">
        <f t="shared" si="9"/>
        <v>AKC</v>
      </c>
      <c r="C160" s="33" t="str">
        <f t="shared" si="10"/>
        <v>11354-0000</v>
      </c>
      <c r="D160" s="64" t="s">
        <v>15127</v>
      </c>
      <c r="E160" s="64" t="s">
        <v>13538</v>
      </c>
      <c r="F160" s="64" t="s">
        <v>14039</v>
      </c>
      <c r="G160" s="64" t="s">
        <v>14672</v>
      </c>
      <c r="H160" s="64" t="s">
        <v>13869</v>
      </c>
      <c r="I160" s="64" t="s">
        <v>14690</v>
      </c>
      <c r="J160" s="67">
        <v>0</v>
      </c>
      <c r="K160" s="62">
        <v>0</v>
      </c>
      <c r="L160" t="str">
        <f>VLOOKUP(VALUE(LEFT(C160,5)),Xref!A:B,2,0)</f>
        <v>AKA</v>
      </c>
      <c r="M160" t="str">
        <f t="shared" si="11"/>
        <v>AKA-AKC</v>
      </c>
      <c r="N160" s="33"/>
      <c r="O160" s="33"/>
      <c r="P160" s="33"/>
      <c r="Q160" s="33"/>
    </row>
    <row r="161" spans="1:17" ht="14.25" customHeight="true">
      <c r="A161" s="33" t="str">
        <f t="shared" si="8"/>
        <v>AKC - Intercompany</v>
      </c>
      <c r="B161" s="33" t="str">
        <f t="shared" si="9"/>
        <v>AKC</v>
      </c>
      <c r="C161" s="33" t="str">
        <f t="shared" si="10"/>
        <v>11355-0000</v>
      </c>
      <c r="D161" s="64" t="s">
        <v>15128</v>
      </c>
      <c r="E161" s="64" t="s">
        <v>13539</v>
      </c>
      <c r="F161" s="64" t="s">
        <v>14039</v>
      </c>
      <c r="G161" s="64" t="s">
        <v>14672</v>
      </c>
      <c r="H161" s="64" t="s">
        <v>13869</v>
      </c>
      <c r="I161" s="64" t="s">
        <v>14690</v>
      </c>
      <c r="J161" s="67">
        <v>0</v>
      </c>
      <c r="K161" s="62">
        <v>0</v>
      </c>
      <c r="L161" t="str">
        <f>VLOOKUP(VALUE(LEFT(C161,5)),Xref!A:B,2,0)</f>
        <v>SPA</v>
      </c>
      <c r="M161" t="str">
        <f t="shared" si="11"/>
        <v>AKC-SPA</v>
      </c>
      <c r="N161" s="33"/>
      <c r="O161" s="33"/>
      <c r="P161" s="33"/>
      <c r="Q161" s="33"/>
    </row>
    <row r="162" spans="1:17" ht="14.25" customHeight="true">
      <c r="A162" s="33" t="str">
        <f t="shared" si="8"/>
        <v>AKC - Intercompany</v>
      </c>
      <c r="B162" s="33" t="str">
        <f t="shared" si="9"/>
        <v>AKC</v>
      </c>
      <c r="C162" s="33" t="str">
        <f t="shared" si="10"/>
        <v>11356-0000</v>
      </c>
      <c r="D162" s="64" t="s">
        <v>15129</v>
      </c>
      <c r="E162" s="64" t="s">
        <v>13540</v>
      </c>
      <c r="F162" s="64" t="s">
        <v>14039</v>
      </c>
      <c r="G162" s="64" t="s">
        <v>14672</v>
      </c>
      <c r="H162" s="64" t="s">
        <v>13869</v>
      </c>
      <c r="I162" s="64" t="s">
        <v>14690</v>
      </c>
      <c r="J162" s="67">
        <v>0</v>
      </c>
      <c r="K162" s="62">
        <v>0</v>
      </c>
      <c r="L162" t="str">
        <f>VLOOKUP(VALUE(LEFT(C162,5)),Xref!A:B,2,0)</f>
        <v>DPM</v>
      </c>
      <c r="M162" t="str">
        <f t="shared" si="11"/>
        <v>AKC-DPM</v>
      </c>
      <c r="N162" s="33"/>
      <c r="O162" s="33"/>
      <c r="P162" s="33"/>
      <c r="Q162" s="33"/>
    </row>
    <row r="163" spans="1:17" ht="14.25" customHeight="true">
      <c r="A163" s="33" t="str">
        <f t="shared" si="8"/>
        <v>AKC - Intercompany</v>
      </c>
      <c r="B163" s="33" t="str">
        <f t="shared" si="9"/>
        <v>AKC</v>
      </c>
      <c r="C163" s="33" t="str">
        <f t="shared" si="10"/>
        <v>11357-0000</v>
      </c>
      <c r="D163" s="64" t="s">
        <v>15130</v>
      </c>
      <c r="E163" s="64" t="s">
        <v>13541</v>
      </c>
      <c r="F163" s="64" t="s">
        <v>14039</v>
      </c>
      <c r="G163" s="64" t="s">
        <v>14672</v>
      </c>
      <c r="H163" s="64" t="s">
        <v>13869</v>
      </c>
      <c r="I163" s="64" t="s">
        <v>14690</v>
      </c>
      <c r="J163" s="67">
        <v>0</v>
      </c>
      <c r="K163" s="62">
        <v>0</v>
      </c>
      <c r="L163" t="str">
        <f>VLOOKUP(VALUE(LEFT(C163,5)),Xref!A:B,2,0)</f>
        <v>HDM</v>
      </c>
      <c r="M163" t="str">
        <f t="shared" si="11"/>
        <v>AKC-HDM</v>
      </c>
      <c r="N163" s="33"/>
      <c r="O163" s="33"/>
      <c r="P163" s="33"/>
      <c r="Q163" s="33"/>
    </row>
    <row r="164" spans="1:17" ht="14.25" customHeight="true">
      <c r="A164" s="33" t="str">
        <f t="shared" si="8"/>
        <v>AKC - Intercompany</v>
      </c>
      <c r="B164" s="33" t="str">
        <f t="shared" si="9"/>
        <v>AKC</v>
      </c>
      <c r="C164" s="33" t="str">
        <f t="shared" si="10"/>
        <v>11358-0000</v>
      </c>
      <c r="D164" s="64" t="s">
        <v>15131</v>
      </c>
      <c r="E164" s="64" t="s">
        <v>13542</v>
      </c>
      <c r="F164" s="64" t="s">
        <v>14039</v>
      </c>
      <c r="G164" s="64" t="s">
        <v>14672</v>
      </c>
      <c r="H164" s="64" t="s">
        <v>13869</v>
      </c>
      <c r="I164" s="64" t="s">
        <v>14690</v>
      </c>
      <c r="J164" s="67">
        <v>0</v>
      </c>
      <c r="K164" s="62">
        <v>0</v>
      </c>
      <c r="L164" t="str">
        <f>VLOOKUP(VALUE(LEFT(C164,5)),Xref!A:B,2,0)</f>
        <v>GRA</v>
      </c>
      <c r="M164" t="str">
        <f t="shared" si="11"/>
        <v>AKC-GRA</v>
      </c>
      <c r="N164" s="33"/>
      <c r="O164" s="33"/>
      <c r="P164" s="33"/>
      <c r="Q164" s="33"/>
    </row>
    <row r="165" spans="1:17" ht="14.25" customHeight="true">
      <c r="A165" s="33" t="str">
        <f t="shared" si="8"/>
        <v>AKC - Intercompany</v>
      </c>
      <c r="B165" s="33" t="str">
        <f t="shared" si="9"/>
        <v>AKC</v>
      </c>
      <c r="C165" s="33" t="str">
        <f t="shared" si="10"/>
        <v>11359-0000</v>
      </c>
      <c r="D165" s="64" t="s">
        <v>15132</v>
      </c>
      <c r="E165" s="64" t="s">
        <v>13543</v>
      </c>
      <c r="F165" s="64" t="s">
        <v>14039</v>
      </c>
      <c r="G165" s="64" t="s">
        <v>14672</v>
      </c>
      <c r="H165" s="64" t="s">
        <v>13869</v>
      </c>
      <c r="I165" s="64" t="s">
        <v>14690</v>
      </c>
      <c r="J165" s="67">
        <v>0</v>
      </c>
      <c r="K165" s="62">
        <v>0</v>
      </c>
      <c r="L165" t="str">
        <f>VLOOKUP(VALUE(LEFT(C165,5)),Xref!A:B,2,0)</f>
        <v>TPI</v>
      </c>
      <c r="M165" t="str">
        <f t="shared" si="11"/>
        <v>AKC-TPI</v>
      </c>
      <c r="N165" s="33"/>
      <c r="O165" s="33"/>
      <c r="P165" s="33"/>
      <c r="Q165" s="33"/>
    </row>
    <row r="166" spans="1:17" ht="14.25" customHeight="true">
      <c r="A166" s="33" t="str">
        <f t="shared" si="8"/>
        <v>AKC - Intercompany</v>
      </c>
      <c r="B166" s="33" t="str">
        <f t="shared" si="9"/>
        <v>AKC</v>
      </c>
      <c r="C166" s="33" t="str">
        <f t="shared" si="10"/>
        <v>11361-0000</v>
      </c>
      <c r="D166" s="64" t="s">
        <v>15133</v>
      </c>
      <c r="E166" s="64" t="s">
        <v>14165</v>
      </c>
      <c r="F166" s="64" t="s">
        <v>14039</v>
      </c>
      <c r="G166" s="64" t="s">
        <v>14672</v>
      </c>
      <c r="H166" s="64" t="s">
        <v>13869</v>
      </c>
      <c r="I166" s="64" t="s">
        <v>14690</v>
      </c>
      <c r="J166" s="67">
        <v>0</v>
      </c>
      <c r="K166" s="62">
        <v>0</v>
      </c>
      <c r="L166" t="str">
        <f>VLOOKUP(VALUE(LEFT(C166,5)),Xref!A:B,2,0)</f>
        <v>GSM</v>
      </c>
      <c r="M166" t="str">
        <f t="shared" si="11"/>
        <v>AKC-GSM</v>
      </c>
      <c r="N166" s="33"/>
      <c r="O166" s="33"/>
      <c r="P166" s="33"/>
      <c r="Q166" s="33"/>
    </row>
    <row r="167" spans="1:17" ht="14.25" customHeight="true">
      <c r="A167" s="33" t="str">
        <f t="shared" si="8"/>
        <v>AKC - Intercompany</v>
      </c>
      <c r="B167" s="33" t="str">
        <f t="shared" si="9"/>
        <v>AKC</v>
      </c>
      <c r="C167" s="33" t="str">
        <f t="shared" si="10"/>
        <v>11363-0000</v>
      </c>
      <c r="D167" s="64" t="s">
        <v>15134</v>
      </c>
      <c r="E167" s="64" t="s">
        <v>13544</v>
      </c>
      <c r="F167" s="64" t="s">
        <v>14039</v>
      </c>
      <c r="G167" s="64" t="s">
        <v>14672</v>
      </c>
      <c r="H167" s="64" t="s">
        <v>13869</v>
      </c>
      <c r="I167" s="64" t="s">
        <v>14690</v>
      </c>
      <c r="J167" s="67">
        <v>0</v>
      </c>
      <c r="K167" s="62">
        <v>0</v>
      </c>
      <c r="L167" t="str">
        <f>VLOOKUP(VALUE(LEFT(C167,5)),Xref!A:B,2,0)</f>
        <v>SOF</v>
      </c>
      <c r="M167" t="str">
        <f t="shared" si="11"/>
        <v>AKC-SOF</v>
      </c>
      <c r="N167" s="33"/>
      <c r="O167" s="33"/>
      <c r="P167" s="33"/>
      <c r="Q167" s="33"/>
    </row>
    <row r="168" spans="1:17" ht="14.25" customHeight="true">
      <c r="A168" s="33" t="str">
        <f t="shared" si="8"/>
        <v>AKC - Intercompany</v>
      </c>
      <c r="B168" s="33" t="str">
        <f t="shared" si="9"/>
        <v>AKC</v>
      </c>
      <c r="C168" s="33" t="str">
        <f t="shared" si="10"/>
        <v>11364-0000</v>
      </c>
      <c r="D168" s="64" t="s">
        <v>15135</v>
      </c>
      <c r="E168" s="64" t="s">
        <v>14168</v>
      </c>
      <c r="F168" s="64" t="s">
        <v>14039</v>
      </c>
      <c r="G168" s="64" t="s">
        <v>14672</v>
      </c>
      <c r="H168" s="64" t="s">
        <v>13869</v>
      </c>
      <c r="I168" s="64" t="s">
        <v>14690</v>
      </c>
      <c r="J168" s="67">
        <v>0</v>
      </c>
      <c r="K168" s="62">
        <v>0</v>
      </c>
      <c r="L168" t="e">
        <f>VLOOKUP(VALUE(LEFT(C168,5)),Xref!A:B,2,0)</f>
        <v>#N/A</v>
      </c>
      <c r="M168" t="e">
        <f t="shared" si="11"/>
        <v>#N/A</v>
      </c>
      <c r="N168" s="33"/>
      <c r="O168" s="33"/>
      <c r="P168" s="33"/>
      <c r="Q168" s="33"/>
    </row>
    <row r="169" spans="1:17" ht="14.25" customHeight="true">
      <c r="A169" s="33" t="str">
        <f t="shared" si="8"/>
        <v>AKC - Intercompany</v>
      </c>
      <c r="B169" s="33" t="str">
        <f t="shared" si="9"/>
        <v>AKC</v>
      </c>
      <c r="C169" s="33" t="str">
        <f t="shared" si="10"/>
        <v>11365-0000</v>
      </c>
      <c r="D169" s="64" t="s">
        <v>15136</v>
      </c>
      <c r="E169" s="64" t="s">
        <v>14170</v>
      </c>
      <c r="F169" s="64" t="s">
        <v>14039</v>
      </c>
      <c r="G169" s="64" t="s">
        <v>14672</v>
      </c>
      <c r="H169" s="64" t="s">
        <v>13869</v>
      </c>
      <c r="I169" s="64" t="s">
        <v>14690</v>
      </c>
      <c r="J169" s="67">
        <v>0</v>
      </c>
      <c r="K169" s="62">
        <v>0</v>
      </c>
      <c r="L169" t="e">
        <f>VLOOKUP(VALUE(LEFT(C169,5)),Xref!A:B,2,0)</f>
        <v>#N/A</v>
      </c>
      <c r="M169" t="e">
        <f t="shared" si="11"/>
        <v>#N/A</v>
      </c>
      <c r="N169" s="33"/>
      <c r="O169" s="33"/>
      <c r="P169" s="33"/>
      <c r="Q169" s="33"/>
    </row>
    <row r="170" spans="1:17" ht="14.25" customHeight="true">
      <c r="A170" s="33" t="str">
        <f t="shared" si="8"/>
        <v>AKC - Intercompany</v>
      </c>
      <c r="B170" s="33" t="str">
        <f t="shared" si="9"/>
        <v>AKC</v>
      </c>
      <c r="C170" s="33" t="str">
        <f t="shared" si="10"/>
        <v>11366-0000</v>
      </c>
      <c r="D170" s="64" t="s">
        <v>15137</v>
      </c>
      <c r="E170" s="64" t="s">
        <v>14172</v>
      </c>
      <c r="F170" s="64"/>
      <c r="G170" s="64" t="s">
        <v>14672</v>
      </c>
      <c r="H170" s="64" t="s">
        <v>13869</v>
      </c>
      <c r="I170" s="64" t="s">
        <v>14690</v>
      </c>
      <c r="J170" s="67">
        <v>0</v>
      </c>
      <c r="K170" s="62">
        <v>0</v>
      </c>
      <c r="L170" t="e">
        <f>VLOOKUP(VALUE(LEFT(C170,5)),Xref!A:B,2,0)</f>
        <v>#N/A</v>
      </c>
      <c r="M170" t="e">
        <f t="shared" si="11"/>
        <v>#N/A</v>
      </c>
      <c r="N170" s="33"/>
      <c r="O170" s="33"/>
      <c r="P170" s="33"/>
      <c r="Q170" s="33"/>
    </row>
    <row r="171" spans="1:17" ht="14.25" customHeight="true">
      <c r="A171" s="33" t="str">
        <f t="shared" si="8"/>
        <v>AKC - Intercompany</v>
      </c>
      <c r="B171" s="33" t="str">
        <f t="shared" si="9"/>
        <v>AKC</v>
      </c>
      <c r="C171" s="33" t="str">
        <f t="shared" si="10"/>
        <v>11402-0000</v>
      </c>
      <c r="D171" s="64" t="s">
        <v>15138</v>
      </c>
      <c r="E171" s="64" t="s">
        <v>14174</v>
      </c>
      <c r="F171" s="64"/>
      <c r="G171" s="64" t="s">
        <v>14672</v>
      </c>
      <c r="H171" s="64" t="s">
        <v>13869</v>
      </c>
      <c r="I171" s="64" t="s">
        <v>14690</v>
      </c>
      <c r="J171" s="67">
        <v>0</v>
      </c>
      <c r="K171" s="62">
        <v>0</v>
      </c>
      <c r="L171" t="str">
        <f>VLOOKUP(VALUE(LEFT(C171,5)),Xref!A:B,2,0)</f>
        <v>DPI</v>
      </c>
      <c r="M171" t="str">
        <f t="shared" si="11"/>
        <v>AKC-DPI</v>
      </c>
      <c r="N171" s="33"/>
      <c r="O171" s="33"/>
      <c r="P171" s="33"/>
      <c r="Q171" s="33"/>
    </row>
    <row r="172" spans="1:17" ht="14.25" customHeight="true">
      <c r="A172" s="33" t="str">
        <f t="shared" si="8"/>
        <v>AKC - Intercompany</v>
      </c>
      <c r="B172" s="33" t="str">
        <f t="shared" si="9"/>
        <v>AKC</v>
      </c>
      <c r="C172" s="33" t="str">
        <f t="shared" si="10"/>
        <v>11403-0000</v>
      </c>
      <c r="D172" s="64" t="s">
        <v>15139</v>
      </c>
      <c r="E172" s="64" t="s">
        <v>14176</v>
      </c>
      <c r="F172" s="64"/>
      <c r="G172" s="64" t="s">
        <v>14672</v>
      </c>
      <c r="H172" s="64" t="s">
        <v>13869</v>
      </c>
      <c r="I172" s="64" t="s">
        <v>14690</v>
      </c>
      <c r="J172" s="67">
        <v>0</v>
      </c>
      <c r="K172" s="62">
        <v>0</v>
      </c>
      <c r="L172" t="str">
        <f>VLOOKUP(VALUE(LEFT(C172,5)),Xref!A:B,2,0)</f>
        <v>SEA</v>
      </c>
      <c r="M172" t="str">
        <f t="shared" si="11"/>
        <v>AKC-SEA</v>
      </c>
      <c r="N172" s="33"/>
      <c r="O172" s="33"/>
      <c r="P172" s="33"/>
      <c r="Q172" s="33"/>
    </row>
    <row r="173" spans="1:17" ht="14.25" customHeight="true">
      <c r="A173" s="33" t="str">
        <f t="shared" si="8"/>
        <v>AKC - Intercompany</v>
      </c>
      <c r="B173" s="33" t="str">
        <f t="shared" si="9"/>
        <v>AKC</v>
      </c>
      <c r="C173" s="33" t="str">
        <f t="shared" si="10"/>
        <v>12400-0000</v>
      </c>
      <c r="D173" s="64" t="s">
        <v>15142</v>
      </c>
      <c r="E173" s="64" t="s">
        <v>14185</v>
      </c>
      <c r="F173" s="64" t="s">
        <v>14039</v>
      </c>
      <c r="G173" s="64" t="s">
        <v>14672</v>
      </c>
      <c r="H173" s="64" t="s">
        <v>13869</v>
      </c>
      <c r="I173" s="64" t="s">
        <v>14690</v>
      </c>
      <c r="J173" s="67">
        <v>0</v>
      </c>
      <c r="K173" s="62">
        <v>0</v>
      </c>
      <c r="L173" t="str">
        <f>VLOOKUP(VALUE(LEFT(C173,5)),Xref!A:B,2,0)</f>
        <v>aka</v>
      </c>
      <c r="M173" t="str">
        <f t="shared" si="11"/>
        <v>aka-AKC</v>
      </c>
      <c r="N173" s="33"/>
      <c r="O173" s="33"/>
      <c r="P173" s="33"/>
      <c r="Q173" s="33"/>
    </row>
    <row r="174" spans="1:17" ht="14.25" customHeight="true">
      <c r="A174" s="33" t="str">
        <f t="shared" si="8"/>
        <v>AKC - Intercompany</v>
      </c>
      <c r="B174" s="33" t="str">
        <f t="shared" si="9"/>
        <v>AKC</v>
      </c>
      <c r="C174" s="33" t="str">
        <f t="shared" si="10"/>
        <v>12401-0000</v>
      </c>
      <c r="D174" s="64" t="s">
        <v>15143</v>
      </c>
      <c r="E174" s="64" t="s">
        <v>14187</v>
      </c>
      <c r="F174" s="64" t="s">
        <v>14039</v>
      </c>
      <c r="G174" s="64" t="s">
        <v>14672</v>
      </c>
      <c r="H174" s="64" t="s">
        <v>13869</v>
      </c>
      <c r="I174" s="64" t="s">
        <v>14690</v>
      </c>
      <c r="J174" s="67">
        <v>0</v>
      </c>
      <c r="K174" s="62">
        <v>0</v>
      </c>
      <c r="L174" t="str">
        <f>VLOOKUP(VALUE(LEFT(C174,5)),Xref!A:B,2,0)</f>
        <v>aka</v>
      </c>
      <c r="M174" t="str">
        <f t="shared" si="11"/>
        <v>aka-AKC</v>
      </c>
      <c r="N174" s="33"/>
      <c r="O174" s="33"/>
      <c r="P174" s="33"/>
      <c r="Q174" s="33"/>
    </row>
    <row r="175" spans="1:17" ht="14.25" customHeight="true">
      <c r="A175" s="33" t="str">
        <f t="shared" si="8"/>
        <v>AKC - Intercompany</v>
      </c>
      <c r="B175" s="33" t="str">
        <f t="shared" si="9"/>
        <v>AKC</v>
      </c>
      <c r="C175" s="33" t="str">
        <f t="shared" si="10"/>
        <v>12402-0000</v>
      </c>
      <c r="D175" s="64" t="s">
        <v>15144</v>
      </c>
      <c r="E175" s="64" t="s">
        <v>14189</v>
      </c>
      <c r="F175" s="64" t="s">
        <v>14039</v>
      </c>
      <c r="G175" s="64" t="s">
        <v>14672</v>
      </c>
      <c r="H175" s="64" t="s">
        <v>13869</v>
      </c>
      <c r="I175" s="64" t="s">
        <v>14690</v>
      </c>
      <c r="J175" s="67">
        <v>0</v>
      </c>
      <c r="K175" s="62">
        <v>0</v>
      </c>
      <c r="L175" t="str">
        <f>VLOOKUP(VALUE(LEFT(C175,5)),Xref!A:B,2,0)</f>
        <v>aka</v>
      </c>
      <c r="M175" t="str">
        <f t="shared" si="11"/>
        <v>aka-AKC</v>
      </c>
      <c r="N175" s="33"/>
      <c r="O175" s="33"/>
      <c r="P175" s="33"/>
      <c r="Q175" s="33"/>
    </row>
    <row r="176" spans="1:17" ht="14.25" customHeight="true">
      <c r="A176" s="33" t="str">
        <f t="shared" si="8"/>
        <v>AKC - Intercompany</v>
      </c>
      <c r="B176" s="33" t="str">
        <f t="shared" si="9"/>
        <v>AKC</v>
      </c>
      <c r="C176" s="33" t="str">
        <f t="shared" si="10"/>
        <v>12403-0000</v>
      </c>
      <c r="D176" s="64" t="s">
        <v>15145</v>
      </c>
      <c r="E176" s="64" t="s">
        <v>5226</v>
      </c>
      <c r="F176" s="64" t="s">
        <v>14039</v>
      </c>
      <c r="G176" s="64" t="s">
        <v>14672</v>
      </c>
      <c r="H176" s="64" t="s">
        <v>13869</v>
      </c>
      <c r="I176" s="64" t="s">
        <v>14690</v>
      </c>
      <c r="J176" s="67">
        <v>0</v>
      </c>
      <c r="K176" s="62">
        <v>0</v>
      </c>
      <c r="L176" t="str">
        <f>VLOOKUP(VALUE(LEFT(C176,5)),Xref!A:B,2,0)</f>
        <v>aka</v>
      </c>
      <c r="M176" t="str">
        <f t="shared" si="11"/>
        <v>aka-AKC</v>
      </c>
      <c r="N176" s="33"/>
      <c r="O176" s="33"/>
      <c r="P176" s="33"/>
      <c r="Q176" s="33"/>
    </row>
    <row r="177" spans="1:17" ht="14.25" customHeight="true">
      <c r="A177" s="33" t="str">
        <f t="shared" si="8"/>
        <v>AKC - Intercompany</v>
      </c>
      <c r="B177" s="33" t="str">
        <f t="shared" si="9"/>
        <v>AKC</v>
      </c>
      <c r="C177" s="33" t="str">
        <f t="shared" si="10"/>
        <v>12501-0000</v>
      </c>
      <c r="D177" s="64" t="s">
        <v>15146</v>
      </c>
      <c r="E177" s="64" t="s">
        <v>14192</v>
      </c>
      <c r="F177" s="64" t="s">
        <v>14039</v>
      </c>
      <c r="G177" s="64" t="s">
        <v>14672</v>
      </c>
      <c r="H177" s="64" t="s">
        <v>13869</v>
      </c>
      <c r="I177" s="64" t="s">
        <v>14690</v>
      </c>
      <c r="J177" s="67">
        <v>0</v>
      </c>
      <c r="K177" s="62">
        <v>0</v>
      </c>
      <c r="L177" t="str">
        <f>VLOOKUP(VALUE(LEFT(C177,5)),Xref!A:B,2,0)</f>
        <v>aka</v>
      </c>
      <c r="M177" t="str">
        <f t="shared" si="11"/>
        <v>aka-AKC</v>
      </c>
      <c r="N177" s="33"/>
      <c r="O177" s="33"/>
      <c r="P177" s="33"/>
      <c r="Q177" s="33"/>
    </row>
    <row r="178" spans="1:17" ht="14.25" customHeight="true">
      <c r="A178" s="33" t="str">
        <f t="shared" si="8"/>
        <v>AKC - InterCo Notes</v>
      </c>
      <c r="B178" s="33" t="str">
        <f t="shared" si="9"/>
        <v>AKC</v>
      </c>
      <c r="C178" s="33" t="str">
        <f t="shared" si="10"/>
        <v>25600-0000</v>
      </c>
      <c r="D178" s="64" t="s">
        <v>15196</v>
      </c>
      <c r="E178" s="64" t="s">
        <v>314</v>
      </c>
      <c r="F178" s="64" t="s">
        <v>14039</v>
      </c>
      <c r="G178" s="64" t="s">
        <v>14672</v>
      </c>
      <c r="H178" s="64" t="s">
        <v>13889</v>
      </c>
      <c r="I178" s="64" t="s">
        <v>14690</v>
      </c>
      <c r="J178" s="67">
        <v>0</v>
      </c>
      <c r="K178" s="62">
        <v>0</v>
      </c>
      <c r="L178" t="str">
        <f>VLOOKUP(VALUE(LEFT(C178,5)),Xref!A:B,2,0)</f>
        <v>D7</v>
      </c>
      <c r="M178" t="str">
        <f t="shared" si="11"/>
        <v>AKC-D7</v>
      </c>
      <c r="N178" s="33"/>
      <c r="O178" s="33"/>
      <c r="P178" s="33"/>
      <c r="Q178" s="33"/>
    </row>
    <row r="179" spans="1:17" ht="14.25" customHeight="true">
      <c r="A179" s="33" t="str">
        <f t="shared" si="8"/>
        <v>AKC - InterCo Notes</v>
      </c>
      <c r="B179" s="33" t="str">
        <f t="shared" si="9"/>
        <v>AKC</v>
      </c>
      <c r="C179" s="33" t="str">
        <f t="shared" si="10"/>
        <v>25602-0000</v>
      </c>
      <c r="D179" s="64" t="s">
        <v>15198</v>
      </c>
      <c r="E179" s="64" t="s">
        <v>13426</v>
      </c>
      <c r="F179" s="64" t="s">
        <v>14039</v>
      </c>
      <c r="G179" s="64" t="s">
        <v>14672</v>
      </c>
      <c r="H179" s="64" t="s">
        <v>13889</v>
      </c>
      <c r="I179" s="64" t="s">
        <v>14690</v>
      </c>
      <c r="J179" s="67">
        <v>0</v>
      </c>
      <c r="K179" s="62">
        <v>-50000</v>
      </c>
      <c r="L179" t="str">
        <f>VLOOKUP(VALUE(LEFT(C179,5)),Xref!A:B,2,0)</f>
        <v>DFLP</v>
      </c>
      <c r="M179" t="str">
        <f t="shared" si="11"/>
        <v>AKC-DFLP</v>
      </c>
      <c r="N179" s="33"/>
      <c r="O179" s="33"/>
      <c r="P179" s="33"/>
      <c r="Q179" s="33"/>
    </row>
    <row r="180" spans="1:17" ht="14.25" customHeight="true">
      <c r="A180" s="33" t="str">
        <f t="shared" si="8"/>
        <v>AKC - InterCo Notes</v>
      </c>
      <c r="B180" s="33" t="str">
        <f t="shared" si="9"/>
        <v>AKC</v>
      </c>
      <c r="C180" s="33" t="str">
        <f t="shared" si="10"/>
        <v>25603-0000</v>
      </c>
      <c r="D180" s="64" t="s">
        <v>15199</v>
      </c>
      <c r="E180" s="64" t="s">
        <v>14311</v>
      </c>
      <c r="F180" s="64" t="s">
        <v>14039</v>
      </c>
      <c r="G180" s="64" t="s">
        <v>14832</v>
      </c>
      <c r="H180" s="64" t="s">
        <v>13889</v>
      </c>
      <c r="I180" s="64" t="s">
        <v>14690</v>
      </c>
      <c r="J180" s="67">
        <v>0</v>
      </c>
      <c r="K180" s="62">
        <v>0</v>
      </c>
      <c r="L180" t="str">
        <f>VLOOKUP(VALUE(LEFT(C180,5)),Xref!A:B,2,0)</f>
        <v>aka</v>
      </c>
      <c r="M180" t="str">
        <f t="shared" si="11"/>
        <v>aka-AKC</v>
      </c>
      <c r="N180" s="33"/>
      <c r="O180" s="33"/>
      <c r="P180" s="33"/>
      <c r="Q180" s="33"/>
    </row>
    <row r="181" spans="1:17" ht="14.25" customHeight="true">
      <c r="A181" s="33" t="str">
        <f t="shared" si="8"/>
        <v>AKC - Intercompany</v>
      </c>
      <c r="B181" s="33" t="str">
        <f t="shared" si="9"/>
        <v>AKC</v>
      </c>
      <c r="C181" s="33" t="str">
        <f t="shared" si="10"/>
        <v>25604-0000</v>
      </c>
      <c r="D181" s="64" t="s">
        <v>15200</v>
      </c>
      <c r="E181" s="64" t="s">
        <v>13490</v>
      </c>
      <c r="F181" s="64" t="s">
        <v>14039</v>
      </c>
      <c r="G181" s="64" t="s">
        <v>14672</v>
      </c>
      <c r="H181" s="64" t="s">
        <v>13869</v>
      </c>
      <c r="I181" s="64" t="s">
        <v>14690</v>
      </c>
      <c r="J181" s="67">
        <v>0</v>
      </c>
      <c r="K181" s="62">
        <v>0</v>
      </c>
      <c r="L181">
        <f>VLOOKUP(VALUE(LEFT(C181,5)),Xref!A:B,2,0)</f>
        <v>0</v>
      </c>
      <c r="M181" t="str">
        <f t="shared" si="11"/>
        <v>0-AKC</v>
      </c>
      <c r="N181" s="33"/>
      <c r="O181" s="33"/>
      <c r="P181" s="33"/>
      <c r="Q181" s="33"/>
    </row>
    <row r="182" spans="1:17" ht="14.25" customHeight="true">
      <c r="A182" s="33" t="str">
        <f t="shared" si="8"/>
        <v>AKG - Intercompany</v>
      </c>
      <c r="B182" s="33" t="str">
        <f t="shared" si="9"/>
        <v>AKG</v>
      </c>
      <c r="C182" s="33" t="str">
        <f t="shared" si="10"/>
        <v>11200-0000</v>
      </c>
      <c r="D182" s="64" t="s">
        <v>15372</v>
      </c>
      <c r="E182" s="64" t="s">
        <v>14069</v>
      </c>
      <c r="F182" s="64" t="s">
        <v>14039</v>
      </c>
      <c r="G182" s="64" t="s">
        <v>14672</v>
      </c>
      <c r="H182" s="64" t="s">
        <v>13869</v>
      </c>
      <c r="I182" s="64" t="s">
        <v>14690</v>
      </c>
      <c r="J182" s="67">
        <v>0</v>
      </c>
      <c r="K182" s="62">
        <v>0</v>
      </c>
      <c r="L182" t="str">
        <f>VLOOKUP(VALUE(LEFT(C182,5)),Xref!A:B,2,0)</f>
        <v>SCL</v>
      </c>
      <c r="M182" t="str">
        <f t="shared" si="11"/>
        <v>AKG-SCL</v>
      </c>
      <c r="N182" s="33"/>
      <c r="O182" s="33"/>
      <c r="P182" s="33"/>
      <c r="Q182" s="33"/>
    </row>
    <row r="183" spans="1:17" ht="14.25" customHeight="true">
      <c r="A183" s="33" t="str">
        <f t="shared" si="8"/>
        <v>AKG - Intercompany</v>
      </c>
      <c r="B183" s="33" t="str">
        <f t="shared" si="9"/>
        <v>AKG</v>
      </c>
      <c r="C183" s="33" t="str">
        <f t="shared" si="10"/>
        <v>11201-0000</v>
      </c>
      <c r="D183" s="64" t="s">
        <v>15373</v>
      </c>
      <c r="E183" s="64" t="s">
        <v>14071</v>
      </c>
      <c r="F183" s="64" t="s">
        <v>14039</v>
      </c>
      <c r="G183" s="64" t="s">
        <v>14672</v>
      </c>
      <c r="H183" s="64" t="s">
        <v>13869</v>
      </c>
      <c r="I183" s="64" t="s">
        <v>14690</v>
      </c>
      <c r="J183" s="67">
        <v>0</v>
      </c>
      <c r="K183" s="62">
        <v>0</v>
      </c>
      <c r="L183" t="str">
        <f>VLOOKUP(VALUE(LEFT(C183,5)),Xref!A:B,2,0)</f>
        <v>SG2</v>
      </c>
      <c r="M183" t="str">
        <f t="shared" si="11"/>
        <v>AKG-SG2</v>
      </c>
      <c r="N183" s="33"/>
      <c r="O183" s="33"/>
      <c r="P183" s="33"/>
      <c r="Q183" s="33"/>
    </row>
    <row r="184" spans="1:17" ht="14.25" customHeight="true">
      <c r="A184" s="33" t="str">
        <f t="shared" si="8"/>
        <v>AKG - Intercompany</v>
      </c>
      <c r="B184" s="33" t="str">
        <f t="shared" si="9"/>
        <v>AKG</v>
      </c>
      <c r="C184" s="33" t="str">
        <f t="shared" si="10"/>
        <v>11202-0000</v>
      </c>
      <c r="D184" s="64" t="s">
        <v>15374</v>
      </c>
      <c r="E184" s="64" t="s">
        <v>14073</v>
      </c>
      <c r="F184" s="64" t="s">
        <v>14039</v>
      </c>
      <c r="G184" s="64" t="s">
        <v>14672</v>
      </c>
      <c r="H184" s="64" t="s">
        <v>13869</v>
      </c>
      <c r="I184" s="64" t="s">
        <v>14690</v>
      </c>
      <c r="J184" s="67">
        <v>0</v>
      </c>
      <c r="K184" s="62">
        <v>0</v>
      </c>
      <c r="L184" t="str">
        <f>VLOOKUP(VALUE(LEFT(C184,5)),Xref!A:B,2,0)</f>
        <v>FFC</v>
      </c>
      <c r="M184" t="str">
        <f t="shared" si="11"/>
        <v>AKG-FFC</v>
      </c>
      <c r="N184" s="33"/>
      <c r="O184" s="33"/>
      <c r="P184" s="33"/>
      <c r="Q184" s="33"/>
    </row>
    <row r="185" spans="1:17" ht="14.25" customHeight="true">
      <c r="A185" s="33" t="str">
        <f t="shared" si="8"/>
        <v>AKG - Intercompany</v>
      </c>
      <c r="B185" s="33" t="str">
        <f t="shared" si="9"/>
        <v>AKG</v>
      </c>
      <c r="C185" s="33" t="str">
        <f t="shared" si="10"/>
        <v>11203-0000</v>
      </c>
      <c r="D185" s="64" t="s">
        <v>15375</v>
      </c>
      <c r="E185" s="64" t="s">
        <v>14075</v>
      </c>
      <c r="F185" s="64" t="s">
        <v>14039</v>
      </c>
      <c r="G185" s="64" t="s">
        <v>14672</v>
      </c>
      <c r="H185" s="64" t="s">
        <v>13869</v>
      </c>
      <c r="I185" s="64" t="s">
        <v>14690</v>
      </c>
      <c r="J185" s="67">
        <v>0</v>
      </c>
      <c r="K185" s="62">
        <v>0</v>
      </c>
      <c r="L185" t="str">
        <f>VLOOKUP(VALUE(LEFT(C185,5)),Xref!A:B,2,0)</f>
        <v>HN2</v>
      </c>
      <c r="M185" t="str">
        <f t="shared" si="11"/>
        <v>AKG-HN2</v>
      </c>
      <c r="N185" s="33"/>
      <c r="O185" s="33"/>
      <c r="P185" s="33"/>
      <c r="Q185" s="33"/>
    </row>
    <row r="186" spans="1:17" ht="14.25" customHeight="true">
      <c r="A186" s="33" t="str">
        <f t="shared" si="8"/>
        <v>AKG - Intercompany</v>
      </c>
      <c r="B186" s="33" t="str">
        <f t="shared" si="9"/>
        <v>AKG</v>
      </c>
      <c r="C186" s="33" t="str">
        <f t="shared" si="10"/>
        <v>11204-0000</v>
      </c>
      <c r="D186" s="64" t="s">
        <v>15376</v>
      </c>
      <c r="E186" s="64" t="s">
        <v>14077</v>
      </c>
      <c r="F186" s="64" t="s">
        <v>14039</v>
      </c>
      <c r="G186" s="64" t="s">
        <v>14672</v>
      </c>
      <c r="H186" s="64" t="s">
        <v>13869</v>
      </c>
      <c r="I186" s="64" t="s">
        <v>14690</v>
      </c>
      <c r="J186" s="67">
        <v>0</v>
      </c>
      <c r="K186" s="62">
        <v>0</v>
      </c>
      <c r="L186" t="str">
        <f>VLOOKUP(VALUE(LEFT(C186,5)),Xref!A:B,2,0)</f>
        <v>DF2</v>
      </c>
      <c r="M186" t="str">
        <f t="shared" si="11"/>
        <v>AKG-DF2</v>
      </c>
      <c r="N186" s="33"/>
      <c r="O186" s="33"/>
      <c r="P186" s="33"/>
      <c r="Q186" s="33"/>
    </row>
    <row r="187" spans="1:17" ht="14.25" customHeight="true">
      <c r="A187" s="33" t="str">
        <f t="shared" si="8"/>
        <v>AKG - Intercompany</v>
      </c>
      <c r="B187" s="33" t="str">
        <f t="shared" si="9"/>
        <v>AKG</v>
      </c>
      <c r="C187" s="33" t="str">
        <f t="shared" si="10"/>
        <v>11208-0000</v>
      </c>
      <c r="D187" s="64" t="s">
        <v>15377</v>
      </c>
      <c r="E187" s="64" t="s">
        <v>14079</v>
      </c>
      <c r="F187" s="64" t="s">
        <v>14039</v>
      </c>
      <c r="G187" s="64" t="s">
        <v>14672</v>
      </c>
      <c r="H187" s="64" t="s">
        <v>13869</v>
      </c>
      <c r="I187" s="64" t="s">
        <v>14690</v>
      </c>
      <c r="J187" s="67">
        <v>0</v>
      </c>
      <c r="K187" s="62">
        <v>0</v>
      </c>
      <c r="L187" t="str">
        <f>VLOOKUP(VALUE(LEFT(C187,5)),Xref!A:B,2,0)</f>
        <v>SRE</v>
      </c>
      <c r="M187" t="str">
        <f t="shared" si="11"/>
        <v>AKG-SRE</v>
      </c>
      <c r="N187" s="33"/>
      <c r="O187" s="33"/>
      <c r="P187" s="33"/>
      <c r="Q187" s="33"/>
    </row>
    <row r="188" spans="1:17" ht="14.25" customHeight="true">
      <c r="A188" s="33" t="str">
        <f t="shared" si="8"/>
        <v>AKG - Intercompany</v>
      </c>
      <c r="B188" s="33" t="str">
        <f t="shared" si="9"/>
        <v>AKG</v>
      </c>
      <c r="C188" s="33" t="str">
        <f t="shared" si="10"/>
        <v>11210-0000</v>
      </c>
      <c r="D188" s="64" t="s">
        <v>15378</v>
      </c>
      <c r="E188" s="64" t="s">
        <v>14081</v>
      </c>
      <c r="F188" s="64" t="s">
        <v>14039</v>
      </c>
      <c r="G188" s="64" t="s">
        <v>14672</v>
      </c>
      <c r="H188" s="64" t="s">
        <v>13869</v>
      </c>
      <c r="I188" s="64" t="s">
        <v>14690</v>
      </c>
      <c r="J188" s="67">
        <v>0</v>
      </c>
      <c r="K188" s="62">
        <v>0</v>
      </c>
      <c r="L188" t="str">
        <f>VLOOKUP(VALUE(LEFT(C188,5)),Xref!A:B,2,0)</f>
        <v>REM</v>
      </c>
      <c r="M188" t="str">
        <f t="shared" si="11"/>
        <v>AKG-REM</v>
      </c>
      <c r="N188" s="33"/>
      <c r="O188" s="33"/>
      <c r="P188" s="33"/>
      <c r="Q188" s="33"/>
    </row>
    <row r="189" spans="1:17" ht="14.25" customHeight="true">
      <c r="A189" s="33" t="str">
        <f t="shared" si="8"/>
        <v>AKG - Intercompany</v>
      </c>
      <c r="B189" s="33" t="str">
        <f t="shared" si="9"/>
        <v>AKG</v>
      </c>
      <c r="C189" s="33" t="str">
        <f t="shared" si="10"/>
        <v>11212-0000</v>
      </c>
      <c r="D189" s="64" t="s">
        <v>15379</v>
      </c>
      <c r="E189" s="64" t="s">
        <v>14083</v>
      </c>
      <c r="F189" s="64" t="s">
        <v>14039</v>
      </c>
      <c r="G189" s="64" t="s">
        <v>14672</v>
      </c>
      <c r="H189" s="64" t="s">
        <v>13869</v>
      </c>
      <c r="I189" s="64" t="s">
        <v>14690</v>
      </c>
      <c r="J189" s="67">
        <v>0</v>
      </c>
      <c r="K189" s="62">
        <v>0</v>
      </c>
      <c r="L189" t="str">
        <f>VLOOKUP(VALUE(LEFT(C189,5)),Xref!A:B,2,0)</f>
        <v>FRM</v>
      </c>
      <c r="M189" t="str">
        <f t="shared" si="11"/>
        <v>AKG-FRM</v>
      </c>
      <c r="N189" s="33"/>
      <c r="O189" s="33"/>
      <c r="P189" s="33"/>
      <c r="Q189" s="33"/>
    </row>
    <row r="190" spans="1:17" ht="14.25" customHeight="true">
      <c r="A190" s="33" t="str">
        <f t="shared" si="8"/>
        <v>AKG - Intercompany</v>
      </c>
      <c r="B190" s="33" t="str">
        <f t="shared" si="9"/>
        <v>AKG</v>
      </c>
      <c r="C190" s="33" t="str">
        <f t="shared" si="10"/>
        <v>11214-0000</v>
      </c>
      <c r="D190" s="64" t="s">
        <v>15380</v>
      </c>
      <c r="E190" s="64" t="s">
        <v>14085</v>
      </c>
      <c r="F190" s="64" t="s">
        <v>14039</v>
      </c>
      <c r="G190" s="64" t="s">
        <v>14672</v>
      </c>
      <c r="H190" s="64" t="s">
        <v>13869</v>
      </c>
      <c r="I190" s="64" t="s">
        <v>14690</v>
      </c>
      <c r="J190" s="67">
        <v>0</v>
      </c>
      <c r="K190" s="62">
        <v>0</v>
      </c>
      <c r="L190" t="str">
        <f>VLOOKUP(VALUE(LEFT(C190,5)),Xref!A:B,2,0)</f>
        <v>D7R</v>
      </c>
      <c r="M190" t="str">
        <f t="shared" si="11"/>
        <v>AKG-D7R</v>
      </c>
      <c r="N190" s="33"/>
      <c r="O190" s="33"/>
      <c r="P190" s="33"/>
      <c r="Q190" s="33"/>
    </row>
    <row r="191" spans="1:17" ht="14.25" customHeight="true">
      <c r="A191" s="33" t="str">
        <f t="shared" si="8"/>
        <v>AKG - Intercompany</v>
      </c>
      <c r="B191" s="33" t="str">
        <f t="shared" si="9"/>
        <v>AKG</v>
      </c>
      <c r="C191" s="33" t="str">
        <f t="shared" si="10"/>
        <v>11215-0000</v>
      </c>
      <c r="D191" s="64" t="s">
        <v>15381</v>
      </c>
      <c r="E191" s="64" t="s">
        <v>14087</v>
      </c>
      <c r="F191" s="64" t="s">
        <v>14039</v>
      </c>
      <c r="G191" s="64" t="s">
        <v>14672</v>
      </c>
      <c r="H191" s="64" t="s">
        <v>13869</v>
      </c>
      <c r="I191" s="64" t="s">
        <v>14690</v>
      </c>
      <c r="J191" s="67">
        <v>0</v>
      </c>
      <c r="K191" s="62">
        <v>0</v>
      </c>
      <c r="L191" t="str">
        <f>VLOOKUP(VALUE(LEFT(C191,5)),Xref!A:B,2,0)</f>
        <v>CDP</v>
      </c>
      <c r="M191" t="str">
        <f t="shared" si="11"/>
        <v>AKG-CDP</v>
      </c>
      <c r="N191" s="33"/>
      <c r="O191" s="33"/>
      <c r="P191" s="33"/>
      <c r="Q191" s="33"/>
    </row>
    <row r="192" spans="1:17" ht="14.25" customHeight="true">
      <c r="A192" s="33" t="str">
        <f t="shared" si="8"/>
        <v>AKG - Intercompany</v>
      </c>
      <c r="B192" s="33" t="str">
        <f t="shared" si="9"/>
        <v>AKG</v>
      </c>
      <c r="C192" s="33" t="str">
        <f t="shared" si="10"/>
        <v>11216-0000</v>
      </c>
      <c r="D192" s="64" t="s">
        <v>241</v>
      </c>
      <c r="E192" s="64" t="s">
        <v>13224</v>
      </c>
      <c r="F192" s="64" t="s">
        <v>14039</v>
      </c>
      <c r="G192" s="64" t="s">
        <v>14672</v>
      </c>
      <c r="H192" s="64" t="s">
        <v>13869</v>
      </c>
      <c r="I192" s="64" t="s">
        <v>14690</v>
      </c>
      <c r="J192" s="67">
        <v>2426.66</v>
      </c>
      <c r="K192" s="62">
        <v>365321.55</v>
      </c>
      <c r="L192" t="str">
        <f>VLOOKUP(VALUE(LEFT(C192,5)),Xref!A:B,2,0)</f>
        <v>SIL</v>
      </c>
      <c r="M192" t="str">
        <f t="shared" si="11"/>
        <v>AKG-SIL</v>
      </c>
      <c r="N192" s="33"/>
      <c r="O192" s="33"/>
      <c r="P192" s="33"/>
      <c r="Q192" s="33"/>
    </row>
    <row r="193" spans="1:17" ht="14.25" customHeight="true">
      <c r="A193" s="33" t="str">
        <f t="shared" si="8"/>
        <v>AKG - Intercompany</v>
      </c>
      <c r="B193" s="33" t="str">
        <f t="shared" si="9"/>
        <v>AKG</v>
      </c>
      <c r="C193" s="33" t="str">
        <f t="shared" si="10"/>
        <v>11232-0000</v>
      </c>
      <c r="D193" s="64" t="s">
        <v>15382</v>
      </c>
      <c r="E193" s="64" t="s">
        <v>12486</v>
      </c>
      <c r="F193" s="64" t="s">
        <v>14039</v>
      </c>
      <c r="G193" s="64" t="s">
        <v>14672</v>
      </c>
      <c r="H193" s="64" t="s">
        <v>13869</v>
      </c>
      <c r="I193" s="64" t="s">
        <v>14690</v>
      </c>
      <c r="J193" s="67">
        <v>0</v>
      </c>
      <c r="K193" s="62">
        <v>0</v>
      </c>
      <c r="L193" t="str">
        <f>VLOOKUP(VALUE(LEFT(C193,5)),Xref!A:B,2,0)</f>
        <v>SC2</v>
      </c>
      <c r="M193" t="str">
        <f t="shared" si="11"/>
        <v>AKG-SC2</v>
      </c>
      <c r="N193" s="33"/>
      <c r="O193" s="33"/>
      <c r="P193" s="33"/>
      <c r="Q193" s="33"/>
    </row>
    <row r="194" spans="1:17" ht="14.25" customHeight="true">
      <c r="A194" s="33" t="str">
        <f t="shared" ref="A194:A257" si="12">B194&amp;" - "&amp;TRIM(H194)</f>
        <v>AKG - Intercompany</v>
      </c>
      <c r="B194" s="33" t="str">
        <f t="shared" ref="B194:B257" si="13">LEFT(D194,3)</f>
        <v>AKG</v>
      </c>
      <c r="C194" s="33" t="str">
        <f t="shared" ref="C194:C257" si="14">RIGHT(D194,10)</f>
        <v>11301-0000</v>
      </c>
      <c r="D194" s="64" t="s">
        <v>243</v>
      </c>
      <c r="E194" s="64" t="s">
        <v>13225</v>
      </c>
      <c r="F194" s="64" t="s">
        <v>14039</v>
      </c>
      <c r="G194" s="64" t="s">
        <v>14672</v>
      </c>
      <c r="H194" s="64" t="s">
        <v>13869</v>
      </c>
      <c r="I194" s="64" t="s">
        <v>14690</v>
      </c>
      <c r="J194" s="67">
        <v>0</v>
      </c>
      <c r="K194" s="62">
        <v>40000</v>
      </c>
      <c r="L194" t="str">
        <f>VLOOKUP(VALUE(LEFT(C194,5)),Xref!A:B,2,0)</f>
        <v>CRE</v>
      </c>
      <c r="M194" t="str">
        <f t="shared" ref="M194:M257" si="15">IF(B194&lt;L194,B194&amp;"-"&amp;L194,L194&amp;"-"&amp;B194)</f>
        <v>AKG-CRE</v>
      </c>
      <c r="N194" s="33"/>
      <c r="O194" s="33"/>
      <c r="P194" s="33"/>
      <c r="Q194" s="33"/>
    </row>
    <row r="195" spans="1:17" ht="14.25" customHeight="true">
      <c r="A195" s="33" t="str">
        <f t="shared" si="12"/>
        <v>AKG - Intercompany</v>
      </c>
      <c r="B195" s="33" t="str">
        <f t="shared" si="13"/>
        <v>AKG</v>
      </c>
      <c r="C195" s="33" t="str">
        <f t="shared" si="14"/>
        <v>11302-0000</v>
      </c>
      <c r="D195" s="64" t="s">
        <v>245</v>
      </c>
      <c r="E195" s="64" t="s">
        <v>13226</v>
      </c>
      <c r="F195" s="64" t="s">
        <v>14039</v>
      </c>
      <c r="G195" s="64" t="s">
        <v>14672</v>
      </c>
      <c r="H195" s="64" t="s">
        <v>13869</v>
      </c>
      <c r="I195" s="64" t="s">
        <v>14690</v>
      </c>
      <c r="J195" s="67">
        <v>0</v>
      </c>
      <c r="K195" s="62">
        <v>30000</v>
      </c>
      <c r="L195" t="str">
        <f>VLOOKUP(VALUE(LEFT(C195,5)),Xref!A:B,2,0)</f>
        <v>CHA</v>
      </c>
      <c r="M195" t="str">
        <f t="shared" si="15"/>
        <v>AKG-CHA</v>
      </c>
      <c r="N195" s="33"/>
      <c r="O195" s="33"/>
      <c r="P195" s="33"/>
      <c r="Q195" s="33"/>
    </row>
    <row r="196" spans="1:17" ht="14.25" customHeight="true">
      <c r="A196" s="33" t="str">
        <f t="shared" si="12"/>
        <v>AKG - Intercompany</v>
      </c>
      <c r="B196" s="33" t="str">
        <f t="shared" si="13"/>
        <v>AKG</v>
      </c>
      <c r="C196" s="33" t="str">
        <f t="shared" si="14"/>
        <v>11303-0000</v>
      </c>
      <c r="D196" s="64" t="s">
        <v>247</v>
      </c>
      <c r="E196" s="64" t="s">
        <v>13227</v>
      </c>
      <c r="F196" s="64" t="s">
        <v>14039</v>
      </c>
      <c r="G196" s="64" t="s">
        <v>14672</v>
      </c>
      <c r="H196" s="64" t="s">
        <v>13869</v>
      </c>
      <c r="I196" s="64" t="s">
        <v>14690</v>
      </c>
      <c r="J196" s="67">
        <v>0</v>
      </c>
      <c r="K196" s="62">
        <v>1000</v>
      </c>
      <c r="L196" t="str">
        <f>VLOOKUP(VALUE(LEFT(C196,5)),Xref!A:B,2,0)</f>
        <v>DIA</v>
      </c>
      <c r="M196" t="str">
        <f t="shared" si="15"/>
        <v>AKG-DIA</v>
      </c>
      <c r="N196" s="33"/>
      <c r="O196" s="33"/>
      <c r="P196" s="33"/>
      <c r="Q196" s="33"/>
    </row>
    <row r="197" spans="1:17" ht="14.25" customHeight="true">
      <c r="A197" s="33" t="str">
        <f t="shared" si="12"/>
        <v>AKG - Intercompany</v>
      </c>
      <c r="B197" s="33" t="str">
        <f t="shared" si="13"/>
        <v>AKG</v>
      </c>
      <c r="C197" s="33" t="str">
        <f t="shared" si="14"/>
        <v>11304-0000</v>
      </c>
      <c r="D197" s="64" t="s">
        <v>249</v>
      </c>
      <c r="E197" s="64" t="s">
        <v>13228</v>
      </c>
      <c r="F197" s="64" t="s">
        <v>14039</v>
      </c>
      <c r="G197" s="64" t="s">
        <v>14672</v>
      </c>
      <c r="H197" s="64" t="s">
        <v>13869</v>
      </c>
      <c r="I197" s="64" t="s">
        <v>14690</v>
      </c>
      <c r="J197" s="67">
        <v>0</v>
      </c>
      <c r="K197" s="62">
        <v>24999.2</v>
      </c>
      <c r="L197" t="str">
        <f>VLOOKUP(VALUE(LEFT(C197,5)),Xref!A:B,2,0)</f>
        <v>EAG</v>
      </c>
      <c r="M197" t="str">
        <f t="shared" si="15"/>
        <v>AKG-EAG</v>
      </c>
      <c r="N197" s="33"/>
      <c r="O197" s="33"/>
      <c r="P197" s="33"/>
      <c r="Q197" s="33"/>
    </row>
    <row r="198" spans="1:17" ht="14.25" customHeight="true">
      <c r="A198" s="33" t="str">
        <f t="shared" si="12"/>
        <v>AKG - Intercompany</v>
      </c>
      <c r="B198" s="33" t="str">
        <f t="shared" si="13"/>
        <v>AKG</v>
      </c>
      <c r="C198" s="33" t="str">
        <f t="shared" si="14"/>
        <v>11305-0000</v>
      </c>
      <c r="D198" s="64" t="s">
        <v>251</v>
      </c>
      <c r="E198" s="64" t="s">
        <v>13229</v>
      </c>
      <c r="F198" s="64" t="s">
        <v>14039</v>
      </c>
      <c r="G198" s="64" t="s">
        <v>14672</v>
      </c>
      <c r="H198" s="64" t="s">
        <v>13869</v>
      </c>
      <c r="I198" s="64" t="s">
        <v>14690</v>
      </c>
      <c r="J198" s="67">
        <v>0</v>
      </c>
      <c r="K198" s="62">
        <v>245000</v>
      </c>
      <c r="L198" t="str">
        <f>VLOOKUP(VALUE(LEFT(C198,5)),Xref!A:B,2,0)</f>
        <v>NEW</v>
      </c>
      <c r="M198" t="str">
        <f t="shared" si="15"/>
        <v>AKG-NEW</v>
      </c>
      <c r="N198" s="33"/>
      <c r="O198" s="33"/>
      <c r="P198" s="33"/>
      <c r="Q198" s="33"/>
    </row>
    <row r="199" spans="1:17" ht="14.25" customHeight="true">
      <c r="A199" s="33" t="str">
        <f t="shared" si="12"/>
        <v>AKG - Intercompany</v>
      </c>
      <c r="B199" s="33" t="str">
        <f t="shared" si="13"/>
        <v>AKG</v>
      </c>
      <c r="C199" s="33" t="str">
        <f t="shared" si="14"/>
        <v>11307-0000</v>
      </c>
      <c r="D199" s="64" t="s">
        <v>15383</v>
      </c>
      <c r="E199" s="64" t="s">
        <v>14096</v>
      </c>
      <c r="F199" s="64" t="s">
        <v>14039</v>
      </c>
      <c r="G199" s="64" t="s">
        <v>14672</v>
      </c>
      <c r="H199" s="64" t="s">
        <v>13869</v>
      </c>
      <c r="I199" s="64" t="s">
        <v>14690</v>
      </c>
      <c r="J199" s="67">
        <v>0</v>
      </c>
      <c r="K199" s="62">
        <v>0</v>
      </c>
      <c r="L199" t="str">
        <f>VLOOKUP(VALUE(LEFT(C199,5)),Xref!A:B,2,0)</f>
        <v>NES</v>
      </c>
      <c r="M199" t="str">
        <f t="shared" si="15"/>
        <v>AKG-NES</v>
      </c>
      <c r="N199" s="33"/>
      <c r="O199" s="33"/>
      <c r="P199" s="33"/>
      <c r="Q199" s="33"/>
    </row>
    <row r="200" spans="1:17" ht="14.25" customHeight="true">
      <c r="A200" s="33" t="str">
        <f t="shared" si="12"/>
        <v>AKG - Intercompany</v>
      </c>
      <c r="B200" s="33" t="str">
        <f t="shared" si="13"/>
        <v>AKG</v>
      </c>
      <c r="C200" s="33" t="str">
        <f t="shared" si="14"/>
        <v>11308-0000</v>
      </c>
      <c r="D200" s="64" t="s">
        <v>15384</v>
      </c>
      <c r="E200" s="64" t="s">
        <v>13476</v>
      </c>
      <c r="F200" s="64" t="s">
        <v>14039</v>
      </c>
      <c r="G200" s="64" t="s">
        <v>14672</v>
      </c>
      <c r="H200" s="64" t="s">
        <v>13869</v>
      </c>
      <c r="I200" s="64" t="s">
        <v>14690</v>
      </c>
      <c r="J200" s="67">
        <v>0</v>
      </c>
      <c r="K200" s="62">
        <v>0</v>
      </c>
      <c r="L200" t="str">
        <f>VLOOKUP(VALUE(LEFT(C200,5)),Xref!A:B,2,0)</f>
        <v>LPI</v>
      </c>
      <c r="M200" t="str">
        <f t="shared" si="15"/>
        <v>AKG-LPI</v>
      </c>
      <c r="N200" s="33"/>
      <c r="O200" s="33"/>
      <c r="P200" s="33"/>
      <c r="Q200" s="33"/>
    </row>
    <row r="201" spans="1:17" ht="14.25" customHeight="true">
      <c r="A201" s="33" t="str">
        <f t="shared" si="12"/>
        <v>AKG - Intercompany</v>
      </c>
      <c r="B201" s="33" t="str">
        <f t="shared" si="13"/>
        <v>AKG</v>
      </c>
      <c r="C201" s="33" t="str">
        <f t="shared" si="14"/>
        <v>11309-0000</v>
      </c>
      <c r="D201" s="64" t="s">
        <v>253</v>
      </c>
      <c r="E201" s="64" t="s">
        <v>13230</v>
      </c>
      <c r="F201" s="64" t="s">
        <v>14039</v>
      </c>
      <c r="G201" s="64" t="s">
        <v>14672</v>
      </c>
      <c r="H201" s="64" t="s">
        <v>13869</v>
      </c>
      <c r="I201" s="64" t="s">
        <v>14690</v>
      </c>
      <c r="J201" s="67">
        <v>0</v>
      </c>
      <c r="K201" s="62">
        <v>20000</v>
      </c>
      <c r="L201" t="str">
        <f>VLOOKUP(VALUE(LEFT(C201,5)),Xref!A:B,2,0)</f>
        <v>GPI</v>
      </c>
      <c r="M201" t="str">
        <f t="shared" si="15"/>
        <v>AKG-GPI</v>
      </c>
      <c r="N201" s="33"/>
      <c r="O201" s="33"/>
      <c r="P201" s="33"/>
      <c r="Q201" s="33"/>
    </row>
    <row r="202" spans="1:17" ht="14.25" customHeight="true">
      <c r="A202" s="33" t="str">
        <f t="shared" si="12"/>
        <v>AKG - Intercompany</v>
      </c>
      <c r="B202" s="33" t="str">
        <f t="shared" si="13"/>
        <v>AKG</v>
      </c>
      <c r="C202" s="33" t="str">
        <f t="shared" si="14"/>
        <v>11310-0000</v>
      </c>
      <c r="D202" s="64" t="s">
        <v>255</v>
      </c>
      <c r="E202" s="64" t="s">
        <v>13231</v>
      </c>
      <c r="F202" s="64" t="s">
        <v>14039</v>
      </c>
      <c r="G202" s="64" t="s">
        <v>14672</v>
      </c>
      <c r="H202" s="64" t="s">
        <v>13869</v>
      </c>
      <c r="I202" s="64" t="s">
        <v>14690</v>
      </c>
      <c r="J202" s="67">
        <v>0</v>
      </c>
      <c r="K202" s="62">
        <v>125000</v>
      </c>
      <c r="L202" t="str">
        <f>VLOOKUP(VALUE(LEFT(C202,5)),Xref!A:B,2,0)</f>
        <v>ALP</v>
      </c>
      <c r="M202" t="str">
        <f t="shared" si="15"/>
        <v>AKG-ALP</v>
      </c>
      <c r="N202" s="33"/>
      <c r="O202" s="33"/>
      <c r="P202" s="33"/>
      <c r="Q202" s="33"/>
    </row>
    <row r="203" spans="1:17" ht="14.25" customHeight="true">
      <c r="A203" s="33" t="str">
        <f t="shared" si="12"/>
        <v>AKG - Intercompany</v>
      </c>
      <c r="B203" s="33" t="str">
        <f t="shared" si="13"/>
        <v>AKG</v>
      </c>
      <c r="C203" s="33" t="str">
        <f t="shared" si="14"/>
        <v>11311-0000</v>
      </c>
      <c r="D203" s="64" t="s">
        <v>257</v>
      </c>
      <c r="E203" s="64" t="s">
        <v>13232</v>
      </c>
      <c r="F203" s="64" t="s">
        <v>14039</v>
      </c>
      <c r="G203" s="64" t="s">
        <v>14672</v>
      </c>
      <c r="H203" s="64" t="s">
        <v>13869</v>
      </c>
      <c r="I203" s="64" t="s">
        <v>14690</v>
      </c>
      <c r="J203" s="67">
        <v>0</v>
      </c>
      <c r="K203" s="62">
        <v>40000</v>
      </c>
      <c r="L203" t="str">
        <f>VLOOKUP(VALUE(LEFT(C203,5)),Xref!A:B,2,0)</f>
        <v>BET</v>
      </c>
      <c r="M203" t="str">
        <f t="shared" si="15"/>
        <v>AKG-BET</v>
      </c>
      <c r="N203" s="33"/>
      <c r="O203" s="33"/>
      <c r="P203" s="33"/>
      <c r="Q203" s="33"/>
    </row>
    <row r="204" spans="1:17" ht="14.25" customHeight="true">
      <c r="A204" s="33" t="str">
        <f t="shared" si="12"/>
        <v>AKG - Intercompany</v>
      </c>
      <c r="B204" s="33" t="str">
        <f t="shared" si="13"/>
        <v>AKG</v>
      </c>
      <c r="C204" s="33" t="str">
        <f t="shared" si="14"/>
        <v>11312-0000</v>
      </c>
      <c r="D204" s="64" t="s">
        <v>15385</v>
      </c>
      <c r="E204" s="64" t="s">
        <v>14102</v>
      </c>
      <c r="F204" s="64" t="s">
        <v>14039</v>
      </c>
      <c r="G204" s="64" t="s">
        <v>14672</v>
      </c>
      <c r="H204" s="64" t="s">
        <v>13869</v>
      </c>
      <c r="I204" s="64" t="s">
        <v>14690</v>
      </c>
      <c r="J204" s="67">
        <v>0</v>
      </c>
      <c r="K204" s="62">
        <v>0</v>
      </c>
      <c r="L204" t="str">
        <f>VLOOKUP(VALUE(LEFT(C204,5)),Xref!A:B,2,0)</f>
        <v>DEL</v>
      </c>
      <c r="M204" t="str">
        <f t="shared" si="15"/>
        <v>AKG-DEL</v>
      </c>
      <c r="N204" s="33"/>
      <c r="O204" s="33"/>
      <c r="P204" s="33"/>
      <c r="Q204" s="33"/>
    </row>
    <row r="205" spans="1:17" ht="14.25" customHeight="true">
      <c r="A205" s="33" t="str">
        <f t="shared" si="12"/>
        <v>AKG - Intercompany</v>
      </c>
      <c r="B205" s="33" t="str">
        <f t="shared" si="13"/>
        <v>AKG</v>
      </c>
      <c r="C205" s="33" t="str">
        <f t="shared" si="14"/>
        <v>11313-0000</v>
      </c>
      <c r="D205" s="64" t="s">
        <v>259</v>
      </c>
      <c r="E205" s="64" t="s">
        <v>13233</v>
      </c>
      <c r="F205" s="64" t="s">
        <v>14039</v>
      </c>
      <c r="G205" s="64" t="s">
        <v>14672</v>
      </c>
      <c r="H205" s="64" t="s">
        <v>13869</v>
      </c>
      <c r="I205" s="64" t="s">
        <v>14690</v>
      </c>
      <c r="J205" s="67">
        <v>0</v>
      </c>
      <c r="K205" s="62">
        <v>25000</v>
      </c>
      <c r="L205" t="str">
        <f>VLOOKUP(VALUE(LEFT(C205,5)),Xref!A:B,2,0)</f>
        <v>DOL</v>
      </c>
      <c r="M205" t="str">
        <f t="shared" si="15"/>
        <v>AKG-DOL</v>
      </c>
      <c r="N205" s="33"/>
      <c r="O205" s="33"/>
      <c r="P205" s="33"/>
      <c r="Q205" s="33"/>
    </row>
    <row r="206" spans="1:17" ht="14.25" customHeight="true">
      <c r="A206" s="33" t="str">
        <f t="shared" si="12"/>
        <v>AKG - Intercompany</v>
      </c>
      <c r="B206" s="33" t="str">
        <f t="shared" si="13"/>
        <v>AKG</v>
      </c>
      <c r="C206" s="33" t="str">
        <f t="shared" si="14"/>
        <v>11314-0000</v>
      </c>
      <c r="D206" s="64" t="s">
        <v>15386</v>
      </c>
      <c r="E206" s="64" t="s">
        <v>13351</v>
      </c>
      <c r="F206" s="64" t="s">
        <v>14039</v>
      </c>
      <c r="G206" s="64" t="s">
        <v>14672</v>
      </c>
      <c r="H206" s="64" t="s">
        <v>13869</v>
      </c>
      <c r="I206" s="64" t="s">
        <v>14690</v>
      </c>
      <c r="J206" s="67">
        <v>0</v>
      </c>
      <c r="K206" s="62">
        <v>0</v>
      </c>
      <c r="L206" t="str">
        <f>VLOOKUP(VALUE(LEFT(C206,5)),Xref!A:B,2,0)</f>
        <v>GRI</v>
      </c>
      <c r="M206" t="str">
        <f t="shared" si="15"/>
        <v>AKG-GRI</v>
      </c>
      <c r="N206" s="33"/>
      <c r="O206" s="33"/>
      <c r="P206" s="33"/>
      <c r="Q206" s="33"/>
    </row>
    <row r="207" spans="1:17" ht="14.25" customHeight="true">
      <c r="A207" s="33" t="str">
        <f t="shared" si="12"/>
        <v>AKG - Intercompany</v>
      </c>
      <c r="B207" s="33" t="str">
        <f t="shared" si="13"/>
        <v>AKG</v>
      </c>
      <c r="C207" s="33" t="str">
        <f t="shared" si="14"/>
        <v>11315-0000</v>
      </c>
      <c r="D207" s="64" t="s">
        <v>261</v>
      </c>
      <c r="E207" s="64" t="s">
        <v>13234</v>
      </c>
      <c r="F207" s="64" t="s">
        <v>14039</v>
      </c>
      <c r="G207" s="64" t="s">
        <v>14672</v>
      </c>
      <c r="H207" s="64" t="s">
        <v>13869</v>
      </c>
      <c r="I207" s="64" t="s">
        <v>14690</v>
      </c>
      <c r="J207" s="67">
        <v>0</v>
      </c>
      <c r="K207" s="62">
        <v>20000</v>
      </c>
      <c r="L207" t="str">
        <f>VLOOKUP(VALUE(LEFT(C207,5)),Xref!A:B,2,0)</f>
        <v>PUR</v>
      </c>
      <c r="M207" t="str">
        <f t="shared" si="15"/>
        <v>AKG-PUR</v>
      </c>
      <c r="N207" s="33"/>
      <c r="O207" s="33"/>
      <c r="P207" s="33"/>
      <c r="Q207" s="33"/>
    </row>
    <row r="208" spans="1:17" ht="14.25" customHeight="true">
      <c r="A208" s="33" t="str">
        <f t="shared" si="12"/>
        <v>AKG - Intercompany</v>
      </c>
      <c r="B208" s="33" t="str">
        <f t="shared" si="13"/>
        <v>AKG</v>
      </c>
      <c r="C208" s="33" t="str">
        <f t="shared" si="14"/>
        <v>11316-0000</v>
      </c>
      <c r="D208" s="64" t="s">
        <v>263</v>
      </c>
      <c r="E208" s="64" t="s">
        <v>13235</v>
      </c>
      <c r="F208" s="64" t="s">
        <v>14039</v>
      </c>
      <c r="G208" s="64" t="s">
        <v>14672</v>
      </c>
      <c r="H208" s="64" t="s">
        <v>13869</v>
      </c>
      <c r="I208" s="64" t="s">
        <v>14690</v>
      </c>
      <c r="J208" s="67">
        <v>0</v>
      </c>
      <c r="K208" s="62">
        <v>41000</v>
      </c>
      <c r="L208" t="str">
        <f>VLOOKUP(VALUE(LEFT(C208,5)),Xref!A:B,2,0)</f>
        <v>VAL</v>
      </c>
      <c r="M208" t="str">
        <f t="shared" si="15"/>
        <v>AKG-VAL</v>
      </c>
      <c r="N208" s="33"/>
      <c r="O208" s="33"/>
      <c r="P208" s="33"/>
      <c r="Q208" s="33"/>
    </row>
    <row r="209" spans="1:17" ht="14.25" customHeight="true">
      <c r="A209" s="33" t="str">
        <f t="shared" si="12"/>
        <v>AKG - Intercompany</v>
      </c>
      <c r="B209" s="33" t="str">
        <f t="shared" si="13"/>
        <v>AKG</v>
      </c>
      <c r="C209" s="33" t="str">
        <f t="shared" si="14"/>
        <v>11317-0000</v>
      </c>
      <c r="D209" s="64" t="s">
        <v>15387</v>
      </c>
      <c r="E209" s="64" t="s">
        <v>13352</v>
      </c>
      <c r="F209" s="64" t="s">
        <v>14039</v>
      </c>
      <c r="G209" s="64" t="s">
        <v>14672</v>
      </c>
      <c r="H209" s="64" t="s">
        <v>13869</v>
      </c>
      <c r="I209" s="64" t="s">
        <v>14690</v>
      </c>
      <c r="J209" s="67">
        <v>0</v>
      </c>
      <c r="K209" s="62">
        <v>16000</v>
      </c>
      <c r="L209" t="str">
        <f>VLOOKUP(VALUE(LEFT(C209,5)),Xref!A:B,2,0)</f>
        <v>AKG</v>
      </c>
      <c r="M209" t="str">
        <f t="shared" si="15"/>
        <v>AKG-AKG</v>
      </c>
      <c r="N209" s="33"/>
      <c r="O209" s="33"/>
      <c r="P209" s="33"/>
      <c r="Q209" s="33"/>
    </row>
    <row r="210" spans="1:17" ht="14.25" customHeight="true">
      <c r="A210" s="33" t="str">
        <f t="shared" si="12"/>
        <v>AKG - Intercompany</v>
      </c>
      <c r="B210" s="33" t="str">
        <f t="shared" si="13"/>
        <v>AKG</v>
      </c>
      <c r="C210" s="33" t="str">
        <f t="shared" si="14"/>
        <v>11318-0000</v>
      </c>
      <c r="D210" s="64" t="s">
        <v>15388</v>
      </c>
      <c r="E210" s="64" t="s">
        <v>13477</v>
      </c>
      <c r="F210" s="64" t="s">
        <v>14039</v>
      </c>
      <c r="G210" s="64" t="s">
        <v>14672</v>
      </c>
      <c r="H210" s="64" t="s">
        <v>13869</v>
      </c>
      <c r="I210" s="64" t="s">
        <v>14690</v>
      </c>
      <c r="J210" s="67">
        <v>0</v>
      </c>
      <c r="K210" s="62">
        <v>0</v>
      </c>
      <c r="L210" t="str">
        <f>VLOOKUP(VALUE(LEFT(C210,5)),Xref!A:B,2,0)</f>
        <v>FIR</v>
      </c>
      <c r="M210" t="str">
        <f t="shared" si="15"/>
        <v>AKG-FIR</v>
      </c>
      <c r="N210" s="33"/>
      <c r="O210" s="33"/>
      <c r="P210" s="33"/>
      <c r="Q210" s="33"/>
    </row>
    <row r="211" spans="1:17" ht="14.25" customHeight="true">
      <c r="A211" s="33" t="str">
        <f t="shared" si="12"/>
        <v>AKG - Intercompany</v>
      </c>
      <c r="B211" s="33" t="str">
        <f t="shared" si="13"/>
        <v>AKG</v>
      </c>
      <c r="C211" s="33" t="str">
        <f t="shared" si="14"/>
        <v>11319-0000</v>
      </c>
      <c r="D211" s="64" t="s">
        <v>265</v>
      </c>
      <c r="E211" s="64" t="s">
        <v>266</v>
      </c>
      <c r="F211" s="64" t="s">
        <v>14039</v>
      </c>
      <c r="G211" s="64" t="s">
        <v>14672</v>
      </c>
      <c r="H211" s="64" t="s">
        <v>13869</v>
      </c>
      <c r="I211" s="64" t="s">
        <v>14690</v>
      </c>
      <c r="J211" s="67">
        <v>0</v>
      </c>
      <c r="K211" s="62">
        <v>5000</v>
      </c>
      <c r="L211" t="str">
        <f>VLOOKUP(VALUE(LEFT(C211,5)),Xref!A:B,2,0)</f>
        <v>GST</v>
      </c>
      <c r="M211" t="str">
        <f t="shared" si="15"/>
        <v>AKG-GST</v>
      </c>
      <c r="N211" s="33"/>
      <c r="O211" s="33"/>
      <c r="P211" s="33"/>
      <c r="Q211" s="33"/>
    </row>
    <row r="212" spans="1:17" ht="14.25" customHeight="true">
      <c r="A212" s="33" t="str">
        <f t="shared" si="12"/>
        <v>AKG - Intercompany</v>
      </c>
      <c r="B212" s="33" t="str">
        <f t="shared" si="13"/>
        <v>AKG</v>
      </c>
      <c r="C212" s="33" t="str">
        <f t="shared" si="14"/>
        <v>11320-0000</v>
      </c>
      <c r="D212" s="64" t="s">
        <v>15389</v>
      </c>
      <c r="E212" s="64" t="s">
        <v>14111</v>
      </c>
      <c r="F212" s="64" t="s">
        <v>14039</v>
      </c>
      <c r="G212" s="64" t="s">
        <v>14672</v>
      </c>
      <c r="H212" s="64" t="s">
        <v>13869</v>
      </c>
      <c r="I212" s="64" t="s">
        <v>14690</v>
      </c>
      <c r="J212" s="67">
        <v>0</v>
      </c>
      <c r="K212" s="62">
        <v>0</v>
      </c>
      <c r="L212" t="str">
        <f>VLOOKUP(VALUE(LEFT(C212,5)),Xref!A:B,2,0)</f>
        <v>HDN</v>
      </c>
      <c r="M212" t="str">
        <f t="shared" si="15"/>
        <v>AKG-HDN</v>
      </c>
      <c r="N212" s="33"/>
      <c r="O212" s="33"/>
      <c r="P212" s="33"/>
      <c r="Q212" s="33"/>
    </row>
    <row r="213" spans="1:17" ht="14.25" customHeight="true">
      <c r="A213" s="33" t="str">
        <f t="shared" si="12"/>
        <v>AKG - Intercompany</v>
      </c>
      <c r="B213" s="33" t="str">
        <f t="shared" si="13"/>
        <v>AKG</v>
      </c>
      <c r="C213" s="33" t="str">
        <f t="shared" si="14"/>
        <v>11321-0000</v>
      </c>
      <c r="D213" s="64" t="s">
        <v>267</v>
      </c>
      <c r="E213" s="64" t="s">
        <v>13236</v>
      </c>
      <c r="F213" s="64" t="s">
        <v>14039</v>
      </c>
      <c r="G213" s="64" t="s">
        <v>14672</v>
      </c>
      <c r="H213" s="64" t="s">
        <v>13869</v>
      </c>
      <c r="I213" s="64" t="s">
        <v>14690</v>
      </c>
      <c r="J213" s="67">
        <v>0</v>
      </c>
      <c r="K213" s="62">
        <v>130000</v>
      </c>
      <c r="L213" t="str">
        <f>VLOOKUP(VALUE(LEFT(C213,5)),Xref!A:B,2,0)</f>
        <v>OVA</v>
      </c>
      <c r="M213" t="str">
        <f t="shared" si="15"/>
        <v>AKG-OVA</v>
      </c>
      <c r="N213" s="33"/>
      <c r="O213" s="33"/>
      <c r="P213" s="33"/>
      <c r="Q213" s="33"/>
    </row>
    <row r="214" spans="1:17" ht="14.25" customHeight="true">
      <c r="A214" s="33" t="str">
        <f t="shared" si="12"/>
        <v>AKG - Intercompany</v>
      </c>
      <c r="B214" s="33" t="str">
        <f t="shared" si="13"/>
        <v>AKG</v>
      </c>
      <c r="C214" s="33" t="str">
        <f t="shared" si="14"/>
        <v>11322-0000</v>
      </c>
      <c r="D214" s="64" t="s">
        <v>269</v>
      </c>
      <c r="E214" s="64" t="s">
        <v>13237</v>
      </c>
      <c r="F214" s="64" t="s">
        <v>14039</v>
      </c>
      <c r="G214" s="64" t="s">
        <v>14672</v>
      </c>
      <c r="H214" s="64" t="s">
        <v>13869</v>
      </c>
      <c r="I214" s="64" t="s">
        <v>14690</v>
      </c>
      <c r="J214" s="67">
        <v>0</v>
      </c>
      <c r="K214" s="62">
        <v>3000</v>
      </c>
      <c r="L214" t="str">
        <f>VLOOKUP(VALUE(LEFT(C214,5)),Xref!A:B,2,0)</f>
        <v>WOO</v>
      </c>
      <c r="M214" t="str">
        <f t="shared" si="15"/>
        <v>AKG-WOO</v>
      </c>
      <c r="N214" s="33"/>
      <c r="O214" s="33"/>
      <c r="P214" s="33"/>
      <c r="Q214" s="33"/>
    </row>
    <row r="215" spans="1:17" ht="14.25" customHeight="true">
      <c r="A215" s="33" t="str">
        <f t="shared" si="12"/>
        <v>AKG - Intercompany</v>
      </c>
      <c r="B215" s="33" t="str">
        <f t="shared" si="13"/>
        <v>AKG</v>
      </c>
      <c r="C215" s="33" t="str">
        <f t="shared" si="14"/>
        <v>11323-0000</v>
      </c>
      <c r="D215" s="64" t="s">
        <v>15390</v>
      </c>
      <c r="E215" s="64" t="s">
        <v>13478</v>
      </c>
      <c r="F215" s="64" t="s">
        <v>14039</v>
      </c>
      <c r="G215" s="64" t="s">
        <v>14672</v>
      </c>
      <c r="H215" s="64" t="s">
        <v>13869</v>
      </c>
      <c r="I215" s="64" t="s">
        <v>14690</v>
      </c>
      <c r="J215" s="67">
        <v>0</v>
      </c>
      <c r="K215" s="62">
        <v>0</v>
      </c>
      <c r="L215" t="str">
        <f>VLOOKUP(VALUE(LEFT(C215,5)),Xref!A:B,2,0)</f>
        <v>SPI</v>
      </c>
      <c r="M215" t="str">
        <f t="shared" si="15"/>
        <v>AKG-SPI</v>
      </c>
      <c r="N215" s="33"/>
      <c r="O215" s="33"/>
      <c r="P215" s="33"/>
      <c r="Q215" s="33"/>
    </row>
    <row r="216" spans="1:17" ht="14.25" customHeight="true">
      <c r="A216" s="33" t="str">
        <f t="shared" si="12"/>
        <v>AKG - Intercompany</v>
      </c>
      <c r="B216" s="33" t="str">
        <f t="shared" si="13"/>
        <v>AKG</v>
      </c>
      <c r="C216" s="33" t="str">
        <f t="shared" si="14"/>
        <v>11324-0000</v>
      </c>
      <c r="D216" s="64" t="s">
        <v>271</v>
      </c>
      <c r="E216" s="64" t="s">
        <v>13238</v>
      </c>
      <c r="F216" s="64" t="s">
        <v>14039</v>
      </c>
      <c r="G216" s="64" t="s">
        <v>14672</v>
      </c>
      <c r="H216" s="64" t="s">
        <v>13869</v>
      </c>
      <c r="I216" s="64" t="s">
        <v>14690</v>
      </c>
      <c r="J216" s="67">
        <v>0</v>
      </c>
      <c r="K216" s="62">
        <v>60000</v>
      </c>
      <c r="L216" t="str">
        <f>VLOOKUP(VALUE(LEFT(C216,5)),Xref!A:B,2,0)</f>
        <v>NET</v>
      </c>
      <c r="M216" t="str">
        <f t="shared" si="15"/>
        <v>AKG-NET</v>
      </c>
      <c r="N216" s="33"/>
      <c r="O216" s="33"/>
      <c r="P216" s="33"/>
      <c r="Q216" s="33"/>
    </row>
    <row r="217" spans="1:17" ht="14.25" customHeight="true">
      <c r="A217" s="33" t="str">
        <f t="shared" si="12"/>
        <v>AKG - Intercompany</v>
      </c>
      <c r="B217" s="33" t="str">
        <f t="shared" si="13"/>
        <v>AKG</v>
      </c>
      <c r="C217" s="33" t="str">
        <f t="shared" si="14"/>
        <v>11325-0000</v>
      </c>
      <c r="D217" s="64" t="s">
        <v>273</v>
      </c>
      <c r="E217" s="64" t="s">
        <v>13239</v>
      </c>
      <c r="F217" s="64" t="s">
        <v>14039</v>
      </c>
      <c r="G217" s="64" t="s">
        <v>14672</v>
      </c>
      <c r="H217" s="64" t="s">
        <v>13869</v>
      </c>
      <c r="I217" s="64" t="s">
        <v>14690</v>
      </c>
      <c r="J217" s="67">
        <v>0</v>
      </c>
      <c r="K217" s="62">
        <v>20000</v>
      </c>
      <c r="L217" t="str">
        <f>VLOOKUP(VALUE(LEFT(C217,5)),Xref!A:B,2,0)</f>
        <v>DPI</v>
      </c>
      <c r="M217" t="str">
        <f t="shared" si="15"/>
        <v>AKG-DPI</v>
      </c>
      <c r="N217" s="33"/>
      <c r="O217" s="33"/>
      <c r="P217" s="33"/>
      <c r="Q217" s="33"/>
    </row>
    <row r="218" spans="1:17" ht="14.25" customHeight="true">
      <c r="A218" s="33" t="str">
        <f t="shared" si="12"/>
        <v>AKG - Intercompany</v>
      </c>
      <c r="B218" s="33" t="str">
        <f t="shared" si="13"/>
        <v>AKG</v>
      </c>
      <c r="C218" s="33" t="str">
        <f t="shared" si="14"/>
        <v>11326-0000</v>
      </c>
      <c r="D218" s="64" t="s">
        <v>275</v>
      </c>
      <c r="E218" s="64" t="s">
        <v>13240</v>
      </c>
      <c r="F218" s="64" t="s">
        <v>14039</v>
      </c>
      <c r="G218" s="64" t="s">
        <v>14672</v>
      </c>
      <c r="H218" s="64" t="s">
        <v>13869</v>
      </c>
      <c r="I218" s="64" t="s">
        <v>14690</v>
      </c>
      <c r="J218" s="67">
        <v>0</v>
      </c>
      <c r="K218" s="62">
        <v>12000</v>
      </c>
      <c r="L218" t="str">
        <f>VLOOKUP(VALUE(LEFT(C218,5)),Xref!A:B,2,0)</f>
        <v>SEK</v>
      </c>
      <c r="M218" t="str">
        <f t="shared" si="15"/>
        <v>AKG-SEK</v>
      </c>
      <c r="N218" s="33"/>
      <c r="O218" s="33"/>
      <c r="P218" s="33"/>
      <c r="Q218" s="33"/>
    </row>
    <row r="219" spans="1:17" ht="14.25" customHeight="true">
      <c r="A219" s="33" t="str">
        <f t="shared" si="12"/>
        <v>AKG - Intercompany</v>
      </c>
      <c r="B219" s="33" t="str">
        <f t="shared" si="13"/>
        <v>AKG</v>
      </c>
      <c r="C219" s="33" t="str">
        <f t="shared" si="14"/>
        <v>11327-0000</v>
      </c>
      <c r="D219" s="64" t="s">
        <v>15391</v>
      </c>
      <c r="E219" s="64" t="s">
        <v>14119</v>
      </c>
      <c r="F219" s="64" t="s">
        <v>14039</v>
      </c>
      <c r="G219" s="64" t="s">
        <v>14672</v>
      </c>
      <c r="H219" s="64" t="s">
        <v>13869</v>
      </c>
      <c r="I219" s="64" t="s">
        <v>14690</v>
      </c>
      <c r="J219" s="67">
        <v>0</v>
      </c>
      <c r="K219" s="62">
        <v>0</v>
      </c>
      <c r="L219" t="str">
        <f>VLOOKUP(VALUE(LEFT(C219,5)),Xref!A:B,2,0)</f>
        <v>CPI</v>
      </c>
      <c r="M219" t="str">
        <f t="shared" si="15"/>
        <v>AKG-CPI</v>
      </c>
      <c r="N219" s="33"/>
      <c r="O219" s="33"/>
      <c r="P219" s="33"/>
      <c r="Q219" s="33"/>
    </row>
    <row r="220" spans="1:17" ht="14.25" customHeight="true">
      <c r="A220" s="33" t="str">
        <f t="shared" si="12"/>
        <v>AKG - Intercompany</v>
      </c>
      <c r="B220" s="33" t="str">
        <f t="shared" si="13"/>
        <v>AKG</v>
      </c>
      <c r="C220" s="33" t="str">
        <f t="shared" si="14"/>
        <v>11328-0000</v>
      </c>
      <c r="D220" s="64" t="s">
        <v>277</v>
      </c>
      <c r="E220" s="64" t="s">
        <v>13241</v>
      </c>
      <c r="F220" s="64" t="s">
        <v>14039</v>
      </c>
      <c r="G220" s="64" t="s">
        <v>14672</v>
      </c>
      <c r="H220" s="64" t="s">
        <v>13869</v>
      </c>
      <c r="I220" s="64" t="s">
        <v>14690</v>
      </c>
      <c r="J220" s="67">
        <v>0</v>
      </c>
      <c r="K220" s="62">
        <v>10000</v>
      </c>
      <c r="L220" t="str">
        <f>VLOOKUP(VALUE(LEFT(C220,5)),Xref!A:B,2,0)</f>
        <v>LOM</v>
      </c>
      <c r="M220" t="str">
        <f t="shared" si="15"/>
        <v>AKG-LOM</v>
      </c>
      <c r="N220" s="33"/>
      <c r="O220" s="33"/>
      <c r="P220" s="33"/>
      <c r="Q220" s="33"/>
    </row>
    <row r="221" spans="1:17" ht="14.25" customHeight="true">
      <c r="A221" s="33" t="str">
        <f t="shared" si="12"/>
        <v>AKG - Intercompany</v>
      </c>
      <c r="B221" s="33" t="str">
        <f t="shared" si="13"/>
        <v>AKG</v>
      </c>
      <c r="C221" s="33" t="str">
        <f t="shared" si="14"/>
        <v>11329-0000</v>
      </c>
      <c r="D221" s="64" t="s">
        <v>15392</v>
      </c>
      <c r="E221" s="64" t="s">
        <v>13353</v>
      </c>
      <c r="F221" s="64" t="s">
        <v>14039</v>
      </c>
      <c r="G221" s="64" t="s">
        <v>14672</v>
      </c>
      <c r="H221" s="64" t="s">
        <v>13869</v>
      </c>
      <c r="I221" s="64" t="s">
        <v>14690</v>
      </c>
      <c r="J221" s="67">
        <v>0</v>
      </c>
      <c r="K221" s="62">
        <v>0</v>
      </c>
      <c r="L221" t="str">
        <f>VLOOKUP(VALUE(LEFT(C221,5)),Xref!A:B,2,0)</f>
        <v>AKS</v>
      </c>
      <c r="M221" t="str">
        <f t="shared" si="15"/>
        <v>AKG-AKS</v>
      </c>
      <c r="N221" s="33"/>
      <c r="O221" s="33"/>
      <c r="P221" s="33"/>
      <c r="Q221" s="33"/>
    </row>
    <row r="222" spans="1:17" ht="14.25" customHeight="true">
      <c r="A222" s="33" t="str">
        <f t="shared" si="12"/>
        <v>AKG - Intercompany</v>
      </c>
      <c r="B222" s="33" t="str">
        <f t="shared" si="13"/>
        <v>AKG</v>
      </c>
      <c r="C222" s="33" t="str">
        <f t="shared" si="14"/>
        <v>11330-0000</v>
      </c>
      <c r="D222" s="64" t="s">
        <v>279</v>
      </c>
      <c r="E222" s="64" t="s">
        <v>13242</v>
      </c>
      <c r="F222" s="64" t="s">
        <v>14039</v>
      </c>
      <c r="G222" s="64" t="s">
        <v>14672</v>
      </c>
      <c r="H222" s="64" t="s">
        <v>13869</v>
      </c>
      <c r="I222" s="64" t="s">
        <v>14690</v>
      </c>
      <c r="J222" s="67">
        <v>0</v>
      </c>
      <c r="K222" s="62">
        <v>10000</v>
      </c>
      <c r="L222" t="str">
        <f>VLOOKUP(VALUE(LEFT(C222,5)),Xref!A:B,2,0)</f>
        <v>MAR</v>
      </c>
      <c r="M222" t="str">
        <f t="shared" si="15"/>
        <v>AKG-MAR</v>
      </c>
      <c r="N222" s="33"/>
      <c r="O222" s="33"/>
      <c r="P222" s="33"/>
      <c r="Q222" s="33"/>
    </row>
    <row r="223" spans="1:17" ht="14.25" customHeight="true">
      <c r="A223" s="33" t="str">
        <f t="shared" si="12"/>
        <v>AKG - Intercompany</v>
      </c>
      <c r="B223" s="33" t="str">
        <f t="shared" si="13"/>
        <v>AKG</v>
      </c>
      <c r="C223" s="33" t="str">
        <f t="shared" si="14"/>
        <v>11331-0000</v>
      </c>
      <c r="D223" s="64" t="s">
        <v>15393</v>
      </c>
      <c r="E223" s="64" t="s">
        <v>13354</v>
      </c>
      <c r="F223" s="64" t="s">
        <v>14039</v>
      </c>
      <c r="G223" s="64" t="s">
        <v>14672</v>
      </c>
      <c r="H223" s="64" t="s">
        <v>13869</v>
      </c>
      <c r="I223" s="64" t="s">
        <v>14690</v>
      </c>
      <c r="J223" s="67">
        <v>0</v>
      </c>
      <c r="K223" s="62">
        <v>0</v>
      </c>
      <c r="L223" t="str">
        <f>VLOOKUP(VALUE(LEFT(C223,5)),Xref!A:B,2,0)</f>
        <v>WIL</v>
      </c>
      <c r="M223" t="str">
        <f t="shared" si="15"/>
        <v>AKG-WIL</v>
      </c>
      <c r="N223" s="33"/>
      <c r="O223" s="33"/>
      <c r="P223" s="33"/>
      <c r="Q223" s="33"/>
    </row>
    <row r="224" spans="1:17" ht="14.25" customHeight="true">
      <c r="A224" s="33" t="str">
        <f t="shared" si="12"/>
        <v>AKG - Intercompany</v>
      </c>
      <c r="B224" s="33" t="str">
        <f t="shared" si="13"/>
        <v>AKG</v>
      </c>
      <c r="C224" s="33" t="str">
        <f t="shared" si="14"/>
        <v>11332-0000</v>
      </c>
      <c r="D224" s="64" t="s">
        <v>281</v>
      </c>
      <c r="E224" s="64" t="s">
        <v>13243</v>
      </c>
      <c r="F224" s="64" t="s">
        <v>14039</v>
      </c>
      <c r="G224" s="64" t="s">
        <v>14672</v>
      </c>
      <c r="H224" s="64" t="s">
        <v>13869</v>
      </c>
      <c r="I224" s="64" t="s">
        <v>14690</v>
      </c>
      <c r="J224" s="67">
        <v>0</v>
      </c>
      <c r="K224" s="62">
        <v>100000</v>
      </c>
      <c r="L224" t="str">
        <f>VLOOKUP(VALUE(LEFT(C224,5)),Xref!A:B,2,0)</f>
        <v>STO</v>
      </c>
      <c r="M224" t="str">
        <f t="shared" si="15"/>
        <v>AKG-STO</v>
      </c>
      <c r="N224" s="33"/>
      <c r="O224" s="33"/>
      <c r="P224" s="33"/>
      <c r="Q224" s="33"/>
    </row>
    <row r="225" spans="1:17" ht="14.25" customHeight="true">
      <c r="A225" s="33" t="str">
        <f t="shared" si="12"/>
        <v>AKG - Intercompany</v>
      </c>
      <c r="B225" s="33" t="str">
        <f t="shared" si="13"/>
        <v>AKG</v>
      </c>
      <c r="C225" s="33" t="str">
        <f t="shared" si="14"/>
        <v>11333-0000</v>
      </c>
      <c r="D225" s="64" t="s">
        <v>283</v>
      </c>
      <c r="E225" s="64" t="s">
        <v>13244</v>
      </c>
      <c r="F225" s="64" t="s">
        <v>14039</v>
      </c>
      <c r="G225" s="64" t="s">
        <v>14672</v>
      </c>
      <c r="H225" s="64" t="s">
        <v>13869</v>
      </c>
      <c r="I225" s="64" t="s">
        <v>14690</v>
      </c>
      <c r="J225" s="67">
        <v>0</v>
      </c>
      <c r="K225" s="62">
        <v>30000</v>
      </c>
      <c r="L225" t="str">
        <f>VLOOKUP(VALUE(LEFT(C225,5)),Xref!A:B,2,0)</f>
        <v>ANG</v>
      </c>
      <c r="M225" t="str">
        <f t="shared" si="15"/>
        <v>AKG-ANG</v>
      </c>
      <c r="N225" s="33"/>
      <c r="O225" s="33"/>
      <c r="P225" s="33"/>
      <c r="Q225" s="33"/>
    </row>
    <row r="226" spans="1:17" ht="14.25" customHeight="true">
      <c r="A226" s="33" t="str">
        <f t="shared" si="12"/>
        <v>AKG - Intercompany</v>
      </c>
      <c r="B226" s="33" t="str">
        <f t="shared" si="13"/>
        <v>AKG</v>
      </c>
      <c r="C226" s="33" t="str">
        <f t="shared" si="14"/>
        <v>11334-0000</v>
      </c>
      <c r="D226" s="64" t="s">
        <v>285</v>
      </c>
      <c r="E226" s="64" t="s">
        <v>13245</v>
      </c>
      <c r="F226" s="64" t="s">
        <v>14039</v>
      </c>
      <c r="G226" s="64" t="s">
        <v>14672</v>
      </c>
      <c r="H226" s="64" t="s">
        <v>13869</v>
      </c>
      <c r="I226" s="64" t="s">
        <v>14690</v>
      </c>
      <c r="J226" s="67">
        <v>0</v>
      </c>
      <c r="K226" s="62">
        <v>32000</v>
      </c>
      <c r="L226" t="str">
        <f>VLOOKUP(VALUE(LEFT(C226,5)),Xref!A:B,2,0)</f>
        <v>BRU</v>
      </c>
      <c r="M226" t="str">
        <f t="shared" si="15"/>
        <v>AKG-BRU</v>
      </c>
      <c r="N226" s="33"/>
      <c r="O226" s="33"/>
      <c r="P226" s="33"/>
      <c r="Q226" s="33"/>
    </row>
    <row r="227" spans="1:17" ht="14.25" customHeight="true">
      <c r="A227" s="33" t="str">
        <f t="shared" si="12"/>
        <v>AKG - Intercompany</v>
      </c>
      <c r="B227" s="33" t="str">
        <f t="shared" si="13"/>
        <v>AKG</v>
      </c>
      <c r="C227" s="33" t="str">
        <f t="shared" si="14"/>
        <v>11335-0000</v>
      </c>
      <c r="D227" s="64" t="s">
        <v>287</v>
      </c>
      <c r="E227" s="64" t="s">
        <v>13246</v>
      </c>
      <c r="F227" s="64" t="s">
        <v>14039</v>
      </c>
      <c r="G227" s="64" t="s">
        <v>14672</v>
      </c>
      <c r="H227" s="64" t="s">
        <v>13869</v>
      </c>
      <c r="I227" s="64" t="s">
        <v>14690</v>
      </c>
      <c r="J227" s="67">
        <v>0</v>
      </c>
      <c r="K227" s="62">
        <v>1000</v>
      </c>
      <c r="L227" t="str">
        <f>VLOOKUP(VALUE(LEFT(C227,5)),Xref!A:B,2,0)</f>
        <v>VEN</v>
      </c>
      <c r="M227" t="str">
        <f t="shared" si="15"/>
        <v>AKG-VEN</v>
      </c>
      <c r="N227" s="33"/>
      <c r="O227" s="33"/>
      <c r="P227" s="33"/>
      <c r="Q227" s="33"/>
    </row>
    <row r="228" spans="1:17" ht="14.25" customHeight="true">
      <c r="A228" s="33" t="str">
        <f t="shared" si="12"/>
        <v>AKG - Intercompany</v>
      </c>
      <c r="B228" s="33" t="str">
        <f t="shared" si="13"/>
        <v>AKG</v>
      </c>
      <c r="C228" s="33" t="str">
        <f t="shared" si="14"/>
        <v>11336-0000</v>
      </c>
      <c r="D228" s="64" t="s">
        <v>289</v>
      </c>
      <c r="E228" s="64" t="s">
        <v>13247</v>
      </c>
      <c r="F228" s="64" t="s">
        <v>14039</v>
      </c>
      <c r="G228" s="64" t="s">
        <v>14672</v>
      </c>
      <c r="H228" s="64" t="s">
        <v>13869</v>
      </c>
      <c r="I228" s="64" t="s">
        <v>14690</v>
      </c>
      <c r="J228" s="67">
        <v>0</v>
      </c>
      <c r="K228" s="62">
        <v>34000</v>
      </c>
      <c r="L228" t="str">
        <f>VLOOKUP(VALUE(LEFT(C228,5)),Xref!A:B,2,0)</f>
        <v>SAT</v>
      </c>
      <c r="M228" t="str">
        <f t="shared" si="15"/>
        <v>AKG-SAT</v>
      </c>
      <c r="N228" s="33"/>
      <c r="O228" s="33"/>
      <c r="P228" s="33"/>
      <c r="Q228" s="33"/>
    </row>
    <row r="229" spans="1:17" ht="14.25" customHeight="true">
      <c r="A229" s="33" t="str">
        <f t="shared" si="12"/>
        <v>AKG - Intercompany</v>
      </c>
      <c r="B229" s="33" t="str">
        <f t="shared" si="13"/>
        <v>AKG</v>
      </c>
      <c r="C229" s="33" t="str">
        <f t="shared" si="14"/>
        <v>11337-0000</v>
      </c>
      <c r="D229" s="64" t="s">
        <v>291</v>
      </c>
      <c r="E229" s="64" t="s">
        <v>13248</v>
      </c>
      <c r="F229" s="64" t="s">
        <v>14039</v>
      </c>
      <c r="G229" s="64" t="s">
        <v>14672</v>
      </c>
      <c r="H229" s="64" t="s">
        <v>13869</v>
      </c>
      <c r="I229" s="64" t="s">
        <v>14690</v>
      </c>
      <c r="J229" s="67">
        <v>0</v>
      </c>
      <c r="K229" s="62">
        <v>5000</v>
      </c>
      <c r="L229" t="str">
        <f>VLOOKUP(VALUE(LEFT(C229,5)),Xref!A:B,2,0)</f>
        <v>NEP</v>
      </c>
      <c r="M229" t="str">
        <f t="shared" si="15"/>
        <v>AKG-NEP</v>
      </c>
      <c r="N229" s="33"/>
      <c r="O229" s="33"/>
      <c r="P229" s="33"/>
      <c r="Q229" s="33"/>
    </row>
    <row r="230" spans="1:17" ht="14.25" customHeight="true">
      <c r="A230" s="33" t="str">
        <f t="shared" si="12"/>
        <v>AKG - Intercompany</v>
      </c>
      <c r="B230" s="33" t="str">
        <f t="shared" si="13"/>
        <v>AKG</v>
      </c>
      <c r="C230" s="33" t="str">
        <f t="shared" si="14"/>
        <v>11338-0000</v>
      </c>
      <c r="D230" s="64" t="s">
        <v>15394</v>
      </c>
      <c r="E230" s="64" t="s">
        <v>14131</v>
      </c>
      <c r="F230" s="64" t="s">
        <v>14039</v>
      </c>
      <c r="G230" s="64" t="s">
        <v>14672</v>
      </c>
      <c r="H230" s="64" t="s">
        <v>13869</v>
      </c>
      <c r="I230" s="64" t="s">
        <v>14690</v>
      </c>
      <c r="J230" s="67">
        <v>0</v>
      </c>
      <c r="K230" s="62">
        <v>0</v>
      </c>
      <c r="L230" t="str">
        <f>VLOOKUP(VALUE(LEFT(C230,5)),Xref!A:B,2,0)</f>
        <v>JUP</v>
      </c>
      <c r="M230" t="str">
        <f t="shared" si="15"/>
        <v>AKG-JUP</v>
      </c>
      <c r="N230" s="33"/>
      <c r="O230" s="33"/>
      <c r="P230" s="33"/>
      <c r="Q230" s="33"/>
    </row>
    <row r="231" spans="1:17" ht="14.25" customHeight="true">
      <c r="A231" s="33" t="str">
        <f t="shared" si="12"/>
        <v>AKG - Intercompany</v>
      </c>
      <c r="B231" s="33" t="str">
        <f t="shared" si="13"/>
        <v>AKG</v>
      </c>
      <c r="C231" s="33" t="str">
        <f t="shared" si="14"/>
        <v>11339-0000</v>
      </c>
      <c r="D231" s="64" t="s">
        <v>15395</v>
      </c>
      <c r="E231" s="64" t="s">
        <v>14133</v>
      </c>
      <c r="F231" s="64" t="s">
        <v>14039</v>
      </c>
      <c r="G231" s="64" t="s">
        <v>14672</v>
      </c>
      <c r="H231" s="64" t="s">
        <v>13869</v>
      </c>
      <c r="I231" s="64" t="s">
        <v>14690</v>
      </c>
      <c r="J231" s="67">
        <v>0</v>
      </c>
      <c r="K231" s="62">
        <v>0</v>
      </c>
      <c r="L231" t="str">
        <f>VLOOKUP(VALUE(LEFT(C231,5)),Xref!A:B,2,0)</f>
        <v>WES</v>
      </c>
      <c r="M231" t="str">
        <f t="shared" si="15"/>
        <v>AKG-WES</v>
      </c>
      <c r="N231" s="33"/>
      <c r="O231" s="33"/>
      <c r="P231" s="33"/>
      <c r="Q231" s="33"/>
    </row>
    <row r="232" spans="1:17" ht="14.25" customHeight="true">
      <c r="A232" s="33" t="str">
        <f t="shared" si="12"/>
        <v>AKG - Intercompany</v>
      </c>
      <c r="B232" s="33" t="str">
        <f t="shared" si="13"/>
        <v>AKG</v>
      </c>
      <c r="C232" s="33" t="str">
        <f t="shared" si="14"/>
        <v>11340-0000</v>
      </c>
      <c r="D232" s="64" t="s">
        <v>15396</v>
      </c>
      <c r="E232" s="64" t="s">
        <v>14135</v>
      </c>
      <c r="F232" s="64" t="s">
        <v>14039</v>
      </c>
      <c r="G232" s="64" t="s">
        <v>14672</v>
      </c>
      <c r="H232" s="64" t="s">
        <v>13869</v>
      </c>
      <c r="I232" s="64" t="s">
        <v>14690</v>
      </c>
      <c r="J232" s="67">
        <v>0</v>
      </c>
      <c r="K232" s="62">
        <v>0</v>
      </c>
      <c r="L232" t="str">
        <f>VLOOKUP(VALUE(LEFT(C232,5)),Xref!A:B,2,0)</f>
        <v>LCP</v>
      </c>
      <c r="M232" t="str">
        <f t="shared" si="15"/>
        <v>AKG-LCP</v>
      </c>
      <c r="N232" s="33"/>
      <c r="O232" s="33"/>
      <c r="P232" s="33"/>
      <c r="Q232" s="33"/>
    </row>
    <row r="233" spans="1:17" ht="14.25" customHeight="true">
      <c r="A233" s="33" t="str">
        <f t="shared" si="12"/>
        <v>AKG - Intercompany</v>
      </c>
      <c r="B233" s="33" t="str">
        <f t="shared" si="13"/>
        <v>AKG</v>
      </c>
      <c r="C233" s="33" t="str">
        <f t="shared" si="14"/>
        <v>11341-0000</v>
      </c>
      <c r="D233" s="64" t="s">
        <v>15397</v>
      </c>
      <c r="E233" s="64" t="s">
        <v>13639</v>
      </c>
      <c r="F233" s="64" t="s">
        <v>14039</v>
      </c>
      <c r="G233" s="64" t="s">
        <v>14672</v>
      </c>
      <c r="H233" s="64" t="s">
        <v>13869</v>
      </c>
      <c r="I233" s="64" t="s">
        <v>14690</v>
      </c>
      <c r="J233" s="67">
        <v>0</v>
      </c>
      <c r="K233" s="62">
        <v>0</v>
      </c>
      <c r="L233" t="str">
        <f>VLOOKUP(VALUE(LEFT(C233,5)),Xref!A:B,2,0)</f>
        <v>NOR</v>
      </c>
      <c r="M233" t="str">
        <f t="shared" si="15"/>
        <v>AKG-NOR</v>
      </c>
      <c r="N233" s="33"/>
      <c r="O233" s="33"/>
      <c r="P233" s="33"/>
      <c r="Q233" s="33"/>
    </row>
    <row r="234" spans="1:17" ht="14.25" customHeight="true">
      <c r="A234" s="33" t="str">
        <f t="shared" si="12"/>
        <v>AKG - Intercompany</v>
      </c>
      <c r="B234" s="33" t="str">
        <f t="shared" si="13"/>
        <v>AKG</v>
      </c>
      <c r="C234" s="33" t="str">
        <f t="shared" si="14"/>
        <v>11342-0000</v>
      </c>
      <c r="D234" s="64" t="s">
        <v>15398</v>
      </c>
      <c r="E234" s="64" t="s">
        <v>13355</v>
      </c>
      <c r="F234" s="64" t="s">
        <v>14039</v>
      </c>
      <c r="G234" s="64" t="s">
        <v>14672</v>
      </c>
      <c r="H234" s="64" t="s">
        <v>13869</v>
      </c>
      <c r="I234" s="64" t="s">
        <v>14690</v>
      </c>
      <c r="J234" s="67">
        <v>0</v>
      </c>
      <c r="K234" s="62">
        <v>0</v>
      </c>
      <c r="L234" t="str">
        <f>VLOOKUP(VALUE(LEFT(C234,5)),Xref!A:B,2,0)</f>
        <v>EAS</v>
      </c>
      <c r="M234" t="str">
        <f t="shared" si="15"/>
        <v>AKG-EAS</v>
      </c>
      <c r="N234" s="33"/>
      <c r="O234" s="33"/>
      <c r="P234" s="33"/>
      <c r="Q234" s="33"/>
    </row>
    <row r="235" spans="1:17" ht="14.25" customHeight="true">
      <c r="A235" s="33" t="str">
        <f t="shared" si="12"/>
        <v>AKG - Intercompany</v>
      </c>
      <c r="B235" s="33" t="str">
        <f t="shared" si="13"/>
        <v>AKG</v>
      </c>
      <c r="C235" s="33" t="str">
        <f t="shared" si="14"/>
        <v>11343-0000</v>
      </c>
      <c r="D235" s="64" t="s">
        <v>15399</v>
      </c>
      <c r="E235" s="64" t="s">
        <v>14139</v>
      </c>
      <c r="F235" s="64" t="s">
        <v>14039</v>
      </c>
      <c r="G235" s="64" t="s">
        <v>14672</v>
      </c>
      <c r="H235" s="64" t="s">
        <v>13869</v>
      </c>
      <c r="I235" s="64" t="s">
        <v>14690</v>
      </c>
      <c r="J235" s="67">
        <v>0</v>
      </c>
      <c r="K235" s="62">
        <v>-10000</v>
      </c>
      <c r="L235" t="str">
        <f>VLOOKUP(VALUE(LEFT(C235,5)),Xref!A:B,2,0)</f>
        <v>GRA</v>
      </c>
      <c r="M235" t="str">
        <f t="shared" si="15"/>
        <v>AKG-GRA</v>
      </c>
      <c r="N235" s="33"/>
      <c r="O235" s="33"/>
      <c r="P235" s="33"/>
      <c r="Q235" s="33"/>
    </row>
    <row r="236" spans="1:17" ht="14.25" customHeight="true">
      <c r="A236" s="33" t="str">
        <f t="shared" si="12"/>
        <v>AKG - Intercompany</v>
      </c>
      <c r="B236" s="33" t="str">
        <f t="shared" si="13"/>
        <v>AKG</v>
      </c>
      <c r="C236" s="33" t="str">
        <f t="shared" si="14"/>
        <v>11344-0000</v>
      </c>
      <c r="D236" s="64" t="s">
        <v>15400</v>
      </c>
      <c r="E236" s="64" t="s">
        <v>14141</v>
      </c>
      <c r="F236" s="64" t="s">
        <v>14039</v>
      </c>
      <c r="G236" s="64" t="s">
        <v>14672</v>
      </c>
      <c r="H236" s="64" t="s">
        <v>13869</v>
      </c>
      <c r="I236" s="64" t="s">
        <v>14690</v>
      </c>
      <c r="J236" s="67">
        <v>0</v>
      </c>
      <c r="K236" s="62">
        <v>0</v>
      </c>
      <c r="L236" t="str">
        <f>VLOOKUP(VALUE(LEFT(C236,5)),Xref!A:B,2,0)</f>
        <v>SOU</v>
      </c>
      <c r="M236" t="str">
        <f t="shared" si="15"/>
        <v>AKG-SOU</v>
      </c>
      <c r="N236" s="33"/>
      <c r="O236" s="33"/>
      <c r="P236" s="33"/>
      <c r="Q236" s="33"/>
    </row>
    <row r="237" spans="1:17" ht="14.25" customHeight="true">
      <c r="A237" s="33" t="str">
        <f t="shared" si="12"/>
        <v>AKG - Intercompany</v>
      </c>
      <c r="B237" s="33" t="str">
        <f t="shared" si="13"/>
        <v>AKG</v>
      </c>
      <c r="C237" s="33" t="str">
        <f t="shared" si="14"/>
        <v>11345-0000</v>
      </c>
      <c r="D237" s="64" t="s">
        <v>15401</v>
      </c>
      <c r="E237" s="64" t="s">
        <v>14143</v>
      </c>
      <c r="F237" s="64" t="s">
        <v>14039</v>
      </c>
      <c r="G237" s="64" t="s">
        <v>14672</v>
      </c>
      <c r="H237" s="64" t="s">
        <v>13869</v>
      </c>
      <c r="I237" s="64" t="s">
        <v>14690</v>
      </c>
      <c r="J237" s="67">
        <v>0</v>
      </c>
      <c r="K237" s="62">
        <v>0</v>
      </c>
      <c r="L237" t="str">
        <f>VLOOKUP(VALUE(LEFT(C237,5)),Xref!A:B,2,0)</f>
        <v>API</v>
      </c>
      <c r="M237" t="str">
        <f t="shared" si="15"/>
        <v>AKG-API</v>
      </c>
      <c r="N237" s="33"/>
      <c r="O237" s="33"/>
      <c r="P237" s="33"/>
      <c r="Q237" s="33"/>
    </row>
    <row r="238" spans="1:17" ht="14.25" customHeight="true">
      <c r="A238" s="33" t="str">
        <f t="shared" si="12"/>
        <v>AKG - Intercompany</v>
      </c>
      <c r="B238" s="33" t="str">
        <f t="shared" si="13"/>
        <v>AKG</v>
      </c>
      <c r="C238" s="33" t="str">
        <f t="shared" si="14"/>
        <v>11346-0000</v>
      </c>
      <c r="D238" s="64" t="s">
        <v>15402</v>
      </c>
      <c r="E238" s="64" t="s">
        <v>14145</v>
      </c>
      <c r="F238" s="64" t="s">
        <v>14039</v>
      </c>
      <c r="G238" s="64" t="s">
        <v>14672</v>
      </c>
      <c r="H238" s="64" t="s">
        <v>13869</v>
      </c>
      <c r="I238" s="64" t="s">
        <v>14690</v>
      </c>
      <c r="J238" s="67">
        <v>0</v>
      </c>
      <c r="K238" s="62">
        <v>0</v>
      </c>
      <c r="L238" t="str">
        <f>VLOOKUP(VALUE(LEFT(C238,5)),Xref!A:B,2,0)</f>
        <v>DPH</v>
      </c>
      <c r="M238" t="str">
        <f t="shared" si="15"/>
        <v>AKG-DPH</v>
      </c>
      <c r="N238" s="33"/>
      <c r="O238" s="33"/>
      <c r="P238" s="33"/>
      <c r="Q238" s="33"/>
    </row>
    <row r="239" spans="1:17" ht="14.25" customHeight="true">
      <c r="A239" s="33" t="str">
        <f t="shared" si="12"/>
        <v>AKG - Intercompany</v>
      </c>
      <c r="B239" s="33" t="str">
        <f t="shared" si="13"/>
        <v>AKG</v>
      </c>
      <c r="C239" s="33" t="str">
        <f t="shared" si="14"/>
        <v>11347-0000</v>
      </c>
      <c r="D239" s="64" t="s">
        <v>15403</v>
      </c>
      <c r="E239" s="64" t="s">
        <v>14147</v>
      </c>
      <c r="F239" s="64" t="s">
        <v>14039</v>
      </c>
      <c r="G239" s="64" t="s">
        <v>14672</v>
      </c>
      <c r="H239" s="64" t="s">
        <v>13869</v>
      </c>
      <c r="I239" s="64" t="s">
        <v>14690</v>
      </c>
      <c r="J239" s="67">
        <v>0</v>
      </c>
      <c r="K239" s="62">
        <v>0</v>
      </c>
      <c r="L239" t="str">
        <f>VLOOKUP(VALUE(LEFT(C239,5)),Xref!A:B,2,0)</f>
        <v>ZPI</v>
      </c>
      <c r="M239" t="str">
        <f t="shared" si="15"/>
        <v>AKG-ZPI</v>
      </c>
      <c r="N239" s="33"/>
      <c r="O239" s="33"/>
      <c r="P239" s="33"/>
      <c r="Q239" s="33"/>
    </row>
    <row r="240" spans="1:17" ht="14.25" customHeight="true">
      <c r="A240" s="33" t="str">
        <f t="shared" si="12"/>
        <v>AKG - Intercompany</v>
      </c>
      <c r="B240" s="33" t="str">
        <f t="shared" si="13"/>
        <v>AKG</v>
      </c>
      <c r="C240" s="33" t="str">
        <f t="shared" si="14"/>
        <v>11348-0000</v>
      </c>
      <c r="D240" s="64" t="s">
        <v>15404</v>
      </c>
      <c r="E240" s="64" t="s">
        <v>14149</v>
      </c>
      <c r="F240" s="64" t="s">
        <v>14039</v>
      </c>
      <c r="G240" s="64" t="s">
        <v>14672</v>
      </c>
      <c r="H240" s="64" t="s">
        <v>13869</v>
      </c>
      <c r="I240" s="64" t="s">
        <v>14690</v>
      </c>
      <c r="J240" s="67">
        <v>0</v>
      </c>
      <c r="K240" s="62">
        <v>0</v>
      </c>
      <c r="L240" t="str">
        <f>VLOOKUP(VALUE(LEFT(C240,5)),Xref!A:B,2,0)</f>
        <v>EAM</v>
      </c>
      <c r="M240" t="str">
        <f t="shared" si="15"/>
        <v>AKG-EAM</v>
      </c>
      <c r="N240" s="33"/>
      <c r="O240" s="33"/>
      <c r="P240" s="33"/>
      <c r="Q240" s="33"/>
    </row>
    <row r="241" spans="1:17" ht="14.25" customHeight="true">
      <c r="A241" s="33" t="str">
        <f t="shared" si="12"/>
        <v>AKG - Intercompany</v>
      </c>
      <c r="B241" s="33" t="str">
        <f t="shared" si="13"/>
        <v>AKG</v>
      </c>
      <c r="C241" s="33" t="str">
        <f t="shared" si="14"/>
        <v>11349-0000</v>
      </c>
      <c r="D241" s="64" t="s">
        <v>15405</v>
      </c>
      <c r="E241" s="64" t="s">
        <v>14151</v>
      </c>
      <c r="F241" s="64" t="s">
        <v>14039</v>
      </c>
      <c r="G241" s="64" t="s">
        <v>14672</v>
      </c>
      <c r="H241" s="64" t="s">
        <v>13869</v>
      </c>
      <c r="I241" s="64" t="s">
        <v>14690</v>
      </c>
      <c r="J241" s="67">
        <v>0</v>
      </c>
      <c r="K241" s="62">
        <v>0</v>
      </c>
      <c r="L241" t="str">
        <f>VLOOKUP(VALUE(LEFT(C241,5)),Xref!A:B,2,0)</f>
        <v>SEA</v>
      </c>
      <c r="M241" t="str">
        <f t="shared" si="15"/>
        <v>AKG-SEA</v>
      </c>
      <c r="N241" s="33"/>
      <c r="O241" s="33"/>
      <c r="P241" s="33"/>
      <c r="Q241" s="33"/>
    </row>
    <row r="242" spans="1:17" ht="14.25" customHeight="true">
      <c r="A242" s="33" t="str">
        <f t="shared" si="12"/>
        <v>AKG - Intercompany</v>
      </c>
      <c r="B242" s="33" t="str">
        <f t="shared" si="13"/>
        <v>AKG</v>
      </c>
      <c r="C242" s="33" t="str">
        <f t="shared" si="14"/>
        <v>11350-0000</v>
      </c>
      <c r="D242" s="64" t="s">
        <v>15406</v>
      </c>
      <c r="E242" s="64" t="s">
        <v>14153</v>
      </c>
      <c r="F242" s="64" t="s">
        <v>14039</v>
      </c>
      <c r="G242" s="64" t="s">
        <v>14672</v>
      </c>
      <c r="H242" s="64" t="s">
        <v>13869</v>
      </c>
      <c r="I242" s="64" t="s">
        <v>14690</v>
      </c>
      <c r="J242" s="67">
        <v>0</v>
      </c>
      <c r="K242" s="62">
        <v>-61.48</v>
      </c>
      <c r="L242" t="str">
        <f>VLOOKUP(VALUE(LEFT(C242,5)),Xref!A:B,2,0)</f>
        <v>EAL</v>
      </c>
      <c r="M242" t="str">
        <f t="shared" si="15"/>
        <v>AKG-EAL</v>
      </c>
      <c r="N242" s="33"/>
      <c r="O242" s="33"/>
      <c r="P242" s="33"/>
      <c r="Q242" s="33"/>
    </row>
    <row r="243" spans="1:17" ht="14.25" customHeight="true">
      <c r="A243" s="33" t="str">
        <f t="shared" si="12"/>
        <v>AKG - Intercompany</v>
      </c>
      <c r="B243" s="33" t="str">
        <f t="shared" si="13"/>
        <v>AKG</v>
      </c>
      <c r="C243" s="33" t="str">
        <f t="shared" si="14"/>
        <v>11351-0000</v>
      </c>
      <c r="D243" s="64" t="s">
        <v>15407</v>
      </c>
      <c r="E243" s="64" t="s">
        <v>14155</v>
      </c>
      <c r="F243" s="64" t="s">
        <v>14039</v>
      </c>
      <c r="G243" s="64" t="s">
        <v>14672</v>
      </c>
      <c r="H243" s="64" t="s">
        <v>13869</v>
      </c>
      <c r="I243" s="64" t="s">
        <v>14690</v>
      </c>
      <c r="J243" s="67">
        <v>0</v>
      </c>
      <c r="K243" s="62">
        <v>0</v>
      </c>
      <c r="L243" t="str">
        <f>VLOOKUP(VALUE(LEFT(C243,5)),Xref!A:B,2,0)</f>
        <v>WEP</v>
      </c>
      <c r="M243" t="str">
        <f t="shared" si="15"/>
        <v>AKG-WEP</v>
      </c>
      <c r="N243" s="33"/>
      <c r="O243" s="33"/>
      <c r="P243" s="33"/>
      <c r="Q243" s="33"/>
    </row>
    <row r="244" spans="1:17" ht="14.25" customHeight="true">
      <c r="A244" s="33" t="str">
        <f t="shared" si="12"/>
        <v>AKG - Intercompany</v>
      </c>
      <c r="B244" s="33" t="str">
        <f t="shared" si="13"/>
        <v>AKG</v>
      </c>
      <c r="C244" s="33" t="str">
        <f t="shared" si="14"/>
        <v>11352-0000</v>
      </c>
      <c r="D244" s="64" t="s">
        <v>15408</v>
      </c>
      <c r="E244" s="64" t="s">
        <v>13536</v>
      </c>
      <c r="F244" s="64" t="s">
        <v>14039</v>
      </c>
      <c r="G244" s="64" t="s">
        <v>14672</v>
      </c>
      <c r="H244" s="64" t="s">
        <v>13869</v>
      </c>
      <c r="I244" s="64" t="s">
        <v>14690</v>
      </c>
      <c r="J244" s="67">
        <v>0</v>
      </c>
      <c r="K244" s="62">
        <v>0</v>
      </c>
      <c r="L244" t="str">
        <f>VLOOKUP(VALUE(LEFT(C244,5)),Xref!A:B,2,0)</f>
        <v>KLP</v>
      </c>
      <c r="M244" t="str">
        <f t="shared" si="15"/>
        <v>AKG-KLP</v>
      </c>
      <c r="N244" s="33"/>
      <c r="O244" s="33"/>
      <c r="P244" s="33"/>
      <c r="Q244" s="33"/>
    </row>
    <row r="245" spans="1:17" ht="14.25" customHeight="true">
      <c r="A245" s="33" t="str">
        <f t="shared" si="12"/>
        <v>AKG - Intercompany</v>
      </c>
      <c r="B245" s="33" t="str">
        <f t="shared" si="13"/>
        <v>AKG</v>
      </c>
      <c r="C245" s="33" t="str">
        <f t="shared" si="14"/>
        <v>11353-0000</v>
      </c>
      <c r="D245" s="64" t="s">
        <v>15409</v>
      </c>
      <c r="E245" s="64" t="s">
        <v>13537</v>
      </c>
      <c r="F245" s="64" t="s">
        <v>14039</v>
      </c>
      <c r="G245" s="64" t="s">
        <v>14672</v>
      </c>
      <c r="H245" s="64" t="s">
        <v>13869</v>
      </c>
      <c r="I245" s="64" t="s">
        <v>14690</v>
      </c>
      <c r="J245" s="67">
        <v>0</v>
      </c>
      <c r="K245" s="62">
        <v>0</v>
      </c>
      <c r="L245" t="str">
        <f>VLOOKUP(VALUE(LEFT(C245,5)),Xref!A:B,2,0)</f>
        <v>AKC</v>
      </c>
      <c r="M245" t="str">
        <f t="shared" si="15"/>
        <v>AKC-AKG</v>
      </c>
      <c r="N245" s="33"/>
      <c r="O245" s="33"/>
      <c r="P245" s="33"/>
      <c r="Q245" s="33"/>
    </row>
    <row r="246" spans="1:17" ht="14.25" customHeight="true">
      <c r="A246" s="33" t="str">
        <f t="shared" si="12"/>
        <v>AKG - Intercompany</v>
      </c>
      <c r="B246" s="33" t="str">
        <f t="shared" si="13"/>
        <v>AKG</v>
      </c>
      <c r="C246" s="33" t="str">
        <f t="shared" si="14"/>
        <v>11354-0000</v>
      </c>
      <c r="D246" s="64" t="s">
        <v>15410</v>
      </c>
      <c r="E246" s="64" t="s">
        <v>13538</v>
      </c>
      <c r="F246" s="64" t="s">
        <v>14039</v>
      </c>
      <c r="G246" s="64" t="s">
        <v>14672</v>
      </c>
      <c r="H246" s="64" t="s">
        <v>13869</v>
      </c>
      <c r="I246" s="64" t="s">
        <v>14690</v>
      </c>
      <c r="J246" s="67">
        <v>0</v>
      </c>
      <c r="K246" s="62">
        <v>0</v>
      </c>
      <c r="L246" t="str">
        <f>VLOOKUP(VALUE(LEFT(C246,5)),Xref!A:B,2,0)</f>
        <v>AKA</v>
      </c>
      <c r="M246" t="str">
        <f t="shared" si="15"/>
        <v>AKA-AKG</v>
      </c>
      <c r="N246" s="33"/>
      <c r="O246" s="33"/>
      <c r="P246" s="33"/>
      <c r="Q246" s="33"/>
    </row>
    <row r="247" spans="1:17" ht="14.25" customHeight="true">
      <c r="A247" s="33" t="str">
        <f t="shared" si="12"/>
        <v>AKG - Intercompany</v>
      </c>
      <c r="B247" s="33" t="str">
        <f t="shared" si="13"/>
        <v>AKG</v>
      </c>
      <c r="C247" s="33" t="str">
        <f t="shared" si="14"/>
        <v>11355-0000</v>
      </c>
      <c r="D247" s="64" t="s">
        <v>15411</v>
      </c>
      <c r="E247" s="64" t="s">
        <v>13539</v>
      </c>
      <c r="F247" s="64" t="s">
        <v>14039</v>
      </c>
      <c r="G247" s="64" t="s">
        <v>14672</v>
      </c>
      <c r="H247" s="64" t="s">
        <v>13869</v>
      </c>
      <c r="I247" s="64" t="s">
        <v>14690</v>
      </c>
      <c r="J247" s="67">
        <v>0</v>
      </c>
      <c r="K247" s="62">
        <v>0</v>
      </c>
      <c r="L247" t="str">
        <f>VLOOKUP(VALUE(LEFT(C247,5)),Xref!A:B,2,0)</f>
        <v>SPA</v>
      </c>
      <c r="M247" t="str">
        <f t="shared" si="15"/>
        <v>AKG-SPA</v>
      </c>
      <c r="N247" s="33"/>
      <c r="O247" s="33"/>
      <c r="P247" s="33"/>
      <c r="Q247" s="33"/>
    </row>
    <row r="248" spans="1:17" ht="14.25" customHeight="true">
      <c r="A248" s="33" t="str">
        <f t="shared" si="12"/>
        <v>AKG - Intercompany</v>
      </c>
      <c r="B248" s="33" t="str">
        <f t="shared" si="13"/>
        <v>AKG</v>
      </c>
      <c r="C248" s="33" t="str">
        <f t="shared" si="14"/>
        <v>11356-0000</v>
      </c>
      <c r="D248" s="64" t="s">
        <v>15412</v>
      </c>
      <c r="E248" s="64" t="s">
        <v>13540</v>
      </c>
      <c r="F248" s="64" t="s">
        <v>14039</v>
      </c>
      <c r="G248" s="64" t="s">
        <v>14672</v>
      </c>
      <c r="H248" s="64" t="s">
        <v>13869</v>
      </c>
      <c r="I248" s="64" t="s">
        <v>14690</v>
      </c>
      <c r="J248" s="67">
        <v>0</v>
      </c>
      <c r="K248" s="62">
        <v>0</v>
      </c>
      <c r="L248" t="str">
        <f>VLOOKUP(VALUE(LEFT(C248,5)),Xref!A:B,2,0)</f>
        <v>DPM</v>
      </c>
      <c r="M248" t="str">
        <f t="shared" si="15"/>
        <v>AKG-DPM</v>
      </c>
      <c r="N248" s="33"/>
      <c r="O248" s="33"/>
      <c r="P248" s="33"/>
      <c r="Q248" s="33"/>
    </row>
    <row r="249" spans="1:17" ht="14.25" customHeight="true">
      <c r="A249" s="33" t="str">
        <f t="shared" si="12"/>
        <v>AKG - Intercompany</v>
      </c>
      <c r="B249" s="33" t="str">
        <f t="shared" si="13"/>
        <v>AKG</v>
      </c>
      <c r="C249" s="33" t="str">
        <f t="shared" si="14"/>
        <v>11357-0000</v>
      </c>
      <c r="D249" s="64" t="s">
        <v>15413</v>
      </c>
      <c r="E249" s="64" t="s">
        <v>13541</v>
      </c>
      <c r="F249" s="64" t="s">
        <v>14039</v>
      </c>
      <c r="G249" s="64" t="s">
        <v>14672</v>
      </c>
      <c r="H249" s="64" t="s">
        <v>13869</v>
      </c>
      <c r="I249" s="64" t="s">
        <v>14690</v>
      </c>
      <c r="J249" s="67">
        <v>0</v>
      </c>
      <c r="K249" s="62">
        <v>0</v>
      </c>
      <c r="L249" t="str">
        <f>VLOOKUP(VALUE(LEFT(C249,5)),Xref!A:B,2,0)</f>
        <v>HDM</v>
      </c>
      <c r="M249" t="str">
        <f t="shared" si="15"/>
        <v>AKG-HDM</v>
      </c>
      <c r="N249" s="33"/>
      <c r="O249" s="33"/>
      <c r="P249" s="33"/>
      <c r="Q249" s="33"/>
    </row>
    <row r="250" spans="1:17" ht="14.25" customHeight="true">
      <c r="A250" s="33" t="str">
        <f t="shared" si="12"/>
        <v>AKG - Intercompany</v>
      </c>
      <c r="B250" s="33" t="str">
        <f t="shared" si="13"/>
        <v>AKG</v>
      </c>
      <c r="C250" s="33" t="str">
        <f t="shared" si="14"/>
        <v>11358-0000</v>
      </c>
      <c r="D250" s="64" t="s">
        <v>15414</v>
      </c>
      <c r="E250" s="64" t="s">
        <v>13542</v>
      </c>
      <c r="F250" s="64" t="s">
        <v>14039</v>
      </c>
      <c r="G250" s="64" t="s">
        <v>14672</v>
      </c>
      <c r="H250" s="64" t="s">
        <v>13869</v>
      </c>
      <c r="I250" s="64" t="s">
        <v>14690</v>
      </c>
      <c r="J250" s="67">
        <v>0</v>
      </c>
      <c r="K250" s="62">
        <v>0</v>
      </c>
      <c r="L250" t="str">
        <f>VLOOKUP(VALUE(LEFT(C250,5)),Xref!A:B,2,0)</f>
        <v>GRA</v>
      </c>
      <c r="M250" t="str">
        <f t="shared" si="15"/>
        <v>AKG-GRA</v>
      </c>
      <c r="N250" s="33"/>
      <c r="O250" s="33"/>
      <c r="P250" s="33"/>
      <c r="Q250" s="33"/>
    </row>
    <row r="251" spans="1:17" ht="14.25" customHeight="true">
      <c r="A251" s="33" t="str">
        <f t="shared" si="12"/>
        <v>AKG - Intercompany</v>
      </c>
      <c r="B251" s="33" t="str">
        <f t="shared" si="13"/>
        <v>AKG</v>
      </c>
      <c r="C251" s="33" t="str">
        <f t="shared" si="14"/>
        <v>11359-0000</v>
      </c>
      <c r="D251" s="64" t="s">
        <v>15415</v>
      </c>
      <c r="E251" s="64" t="s">
        <v>13543</v>
      </c>
      <c r="F251" s="64" t="s">
        <v>14039</v>
      </c>
      <c r="G251" s="64" t="s">
        <v>14672</v>
      </c>
      <c r="H251" s="64" t="s">
        <v>13869</v>
      </c>
      <c r="I251" s="64" t="s">
        <v>14690</v>
      </c>
      <c r="J251" s="67">
        <v>0</v>
      </c>
      <c r="K251" s="62">
        <v>0</v>
      </c>
      <c r="L251" t="str">
        <f>VLOOKUP(VALUE(LEFT(C251,5)),Xref!A:B,2,0)</f>
        <v>TPI</v>
      </c>
      <c r="M251" t="str">
        <f t="shared" si="15"/>
        <v>AKG-TPI</v>
      </c>
      <c r="N251" s="33"/>
      <c r="O251" s="33"/>
      <c r="P251" s="33"/>
      <c r="Q251" s="33"/>
    </row>
    <row r="252" spans="1:17" ht="14.25" customHeight="true">
      <c r="A252" s="33" t="str">
        <f t="shared" si="12"/>
        <v>AKG - Intercompany</v>
      </c>
      <c r="B252" s="33" t="str">
        <f t="shared" si="13"/>
        <v>AKG</v>
      </c>
      <c r="C252" s="33" t="str">
        <f t="shared" si="14"/>
        <v>11361-0000</v>
      </c>
      <c r="D252" s="64" t="s">
        <v>15416</v>
      </c>
      <c r="E252" s="64" t="s">
        <v>14165</v>
      </c>
      <c r="F252" s="64" t="s">
        <v>14039</v>
      </c>
      <c r="G252" s="64" t="s">
        <v>14672</v>
      </c>
      <c r="H252" s="64" t="s">
        <v>13869</v>
      </c>
      <c r="I252" s="64" t="s">
        <v>14690</v>
      </c>
      <c r="J252" s="67">
        <v>0</v>
      </c>
      <c r="K252" s="62">
        <v>0</v>
      </c>
      <c r="L252" t="str">
        <f>VLOOKUP(VALUE(LEFT(C252,5)),Xref!A:B,2,0)</f>
        <v>GSM</v>
      </c>
      <c r="M252" t="str">
        <f t="shared" si="15"/>
        <v>AKG-GSM</v>
      </c>
      <c r="N252" s="33"/>
      <c r="O252" s="33"/>
      <c r="P252" s="33"/>
      <c r="Q252" s="33"/>
    </row>
    <row r="253" spans="1:17" ht="14.25" customHeight="true">
      <c r="A253" s="33" t="str">
        <f t="shared" si="12"/>
        <v>AKG - Intercompany</v>
      </c>
      <c r="B253" s="33" t="str">
        <f t="shared" si="13"/>
        <v>AKG</v>
      </c>
      <c r="C253" s="33" t="str">
        <f t="shared" si="14"/>
        <v>11363-0000</v>
      </c>
      <c r="D253" s="64" t="s">
        <v>15417</v>
      </c>
      <c r="E253" s="64" t="s">
        <v>13544</v>
      </c>
      <c r="F253" s="64" t="s">
        <v>14039</v>
      </c>
      <c r="G253" s="64" t="s">
        <v>14672</v>
      </c>
      <c r="H253" s="64" t="s">
        <v>13869</v>
      </c>
      <c r="I253" s="64" t="s">
        <v>14690</v>
      </c>
      <c r="J253" s="67">
        <v>0</v>
      </c>
      <c r="K253" s="62">
        <v>0</v>
      </c>
      <c r="L253" t="str">
        <f>VLOOKUP(VALUE(LEFT(C253,5)),Xref!A:B,2,0)</f>
        <v>SOF</v>
      </c>
      <c r="M253" t="str">
        <f t="shared" si="15"/>
        <v>AKG-SOF</v>
      </c>
      <c r="N253" s="33"/>
      <c r="O253" s="33"/>
      <c r="P253" s="33"/>
      <c r="Q253" s="33"/>
    </row>
    <row r="254" spans="1:17" ht="14.25" customHeight="true">
      <c r="A254" s="33" t="str">
        <f t="shared" si="12"/>
        <v>AKG - Intercompany</v>
      </c>
      <c r="B254" s="33" t="str">
        <f t="shared" si="13"/>
        <v>AKG</v>
      </c>
      <c r="C254" s="33" t="str">
        <f t="shared" si="14"/>
        <v>11364-0000</v>
      </c>
      <c r="D254" s="64" t="s">
        <v>15418</v>
      </c>
      <c r="E254" s="64" t="s">
        <v>14168</v>
      </c>
      <c r="F254" s="64" t="s">
        <v>14039</v>
      </c>
      <c r="G254" s="64" t="s">
        <v>14672</v>
      </c>
      <c r="H254" s="64" t="s">
        <v>13869</v>
      </c>
      <c r="I254" s="64" t="s">
        <v>14690</v>
      </c>
      <c r="J254" s="67">
        <v>0</v>
      </c>
      <c r="K254" s="62">
        <v>0</v>
      </c>
      <c r="L254" t="e">
        <f>VLOOKUP(VALUE(LEFT(C254,5)),Xref!A:B,2,0)</f>
        <v>#N/A</v>
      </c>
      <c r="M254" t="e">
        <f t="shared" si="15"/>
        <v>#N/A</v>
      </c>
      <c r="N254" s="33"/>
      <c r="O254" s="33"/>
      <c r="P254" s="33"/>
      <c r="Q254" s="33"/>
    </row>
    <row r="255" spans="1:17" ht="14.25" customHeight="true">
      <c r="A255" s="33" t="str">
        <f t="shared" si="12"/>
        <v>AKG - Intercompany</v>
      </c>
      <c r="B255" s="33" t="str">
        <f t="shared" si="13"/>
        <v>AKG</v>
      </c>
      <c r="C255" s="33" t="str">
        <f t="shared" si="14"/>
        <v>11365-0000</v>
      </c>
      <c r="D255" s="64" t="s">
        <v>15419</v>
      </c>
      <c r="E255" s="64" t="s">
        <v>14170</v>
      </c>
      <c r="F255" s="64" t="s">
        <v>14039</v>
      </c>
      <c r="G255" s="64" t="s">
        <v>14672</v>
      </c>
      <c r="H255" s="64" t="s">
        <v>13869</v>
      </c>
      <c r="I255" s="64" t="s">
        <v>14690</v>
      </c>
      <c r="J255" s="67">
        <v>0</v>
      </c>
      <c r="K255" s="62">
        <v>0</v>
      </c>
      <c r="L255" t="e">
        <f>VLOOKUP(VALUE(LEFT(C255,5)),Xref!A:B,2,0)</f>
        <v>#N/A</v>
      </c>
      <c r="M255" t="e">
        <f t="shared" si="15"/>
        <v>#N/A</v>
      </c>
      <c r="N255" s="33"/>
      <c r="O255" s="33"/>
      <c r="P255" s="33"/>
      <c r="Q255" s="33"/>
    </row>
    <row r="256" spans="1:17" ht="14.25" customHeight="true">
      <c r="A256" s="33" t="str">
        <f t="shared" si="12"/>
        <v>AKG - Intercompany</v>
      </c>
      <c r="B256" s="33" t="str">
        <f t="shared" si="13"/>
        <v>AKG</v>
      </c>
      <c r="C256" s="33" t="str">
        <f t="shared" si="14"/>
        <v>11366-0000</v>
      </c>
      <c r="D256" s="64" t="s">
        <v>15420</v>
      </c>
      <c r="E256" s="64" t="s">
        <v>14172</v>
      </c>
      <c r="F256" s="64"/>
      <c r="G256" s="64" t="s">
        <v>14672</v>
      </c>
      <c r="H256" s="64" t="s">
        <v>13869</v>
      </c>
      <c r="I256" s="64" t="s">
        <v>14690</v>
      </c>
      <c r="J256" s="67">
        <v>0</v>
      </c>
      <c r="K256" s="62">
        <v>0</v>
      </c>
      <c r="L256" t="e">
        <f>VLOOKUP(VALUE(LEFT(C256,5)),Xref!A:B,2,0)</f>
        <v>#N/A</v>
      </c>
      <c r="M256" t="e">
        <f t="shared" si="15"/>
        <v>#N/A</v>
      </c>
      <c r="N256" s="33"/>
      <c r="O256" s="33"/>
      <c r="P256" s="33"/>
      <c r="Q256" s="33"/>
    </row>
    <row r="257" spans="1:17" ht="14.25" customHeight="true">
      <c r="A257" s="33" t="str">
        <f t="shared" si="12"/>
        <v>AKG - Intercompany</v>
      </c>
      <c r="B257" s="33" t="str">
        <f t="shared" si="13"/>
        <v>AKG</v>
      </c>
      <c r="C257" s="33" t="str">
        <f t="shared" si="14"/>
        <v>11402-0000</v>
      </c>
      <c r="D257" s="64" t="s">
        <v>15421</v>
      </c>
      <c r="E257" s="64" t="s">
        <v>14174</v>
      </c>
      <c r="F257" s="64"/>
      <c r="G257" s="64" t="s">
        <v>14672</v>
      </c>
      <c r="H257" s="64" t="s">
        <v>13869</v>
      </c>
      <c r="I257" s="64" t="s">
        <v>14690</v>
      </c>
      <c r="J257" s="67">
        <v>0</v>
      </c>
      <c r="K257" s="62">
        <v>0</v>
      </c>
      <c r="L257" t="str">
        <f>VLOOKUP(VALUE(LEFT(C257,5)),Xref!A:B,2,0)</f>
        <v>DPI</v>
      </c>
      <c r="M257" t="str">
        <f t="shared" si="15"/>
        <v>AKG-DPI</v>
      </c>
      <c r="N257" s="33"/>
      <c r="O257" s="33"/>
      <c r="P257" s="33"/>
      <c r="Q257" s="33"/>
    </row>
    <row r="258" spans="1:17" ht="14.25" customHeight="true">
      <c r="A258" s="33" t="str">
        <f t="shared" ref="A258:A321" si="16">B258&amp;" - "&amp;TRIM(H258)</f>
        <v>AKG - Intercompany</v>
      </c>
      <c r="B258" s="33" t="str">
        <f t="shared" ref="B258:B321" si="17">LEFT(D258,3)</f>
        <v>AKG</v>
      </c>
      <c r="C258" s="33" t="str">
        <f t="shared" ref="C258:C321" si="18">RIGHT(D258,10)</f>
        <v>11403-0000</v>
      </c>
      <c r="D258" s="64" t="s">
        <v>15422</v>
      </c>
      <c r="E258" s="64" t="s">
        <v>14176</v>
      </c>
      <c r="F258" s="64"/>
      <c r="G258" s="64" t="s">
        <v>14672</v>
      </c>
      <c r="H258" s="64" t="s">
        <v>13869</v>
      </c>
      <c r="I258" s="64" t="s">
        <v>14690</v>
      </c>
      <c r="J258" s="67">
        <v>0</v>
      </c>
      <c r="K258" s="62">
        <v>0</v>
      </c>
      <c r="L258" t="str">
        <f>VLOOKUP(VALUE(LEFT(C258,5)),Xref!A:B,2,0)</f>
        <v>SEA</v>
      </c>
      <c r="M258" t="str">
        <f t="shared" ref="M258:M321" si="19">IF(B258&lt;L258,B258&amp;"-"&amp;L258,L258&amp;"-"&amp;B258)</f>
        <v>AKG-SEA</v>
      </c>
      <c r="N258" s="33"/>
      <c r="O258" s="33"/>
      <c r="P258" s="33"/>
      <c r="Q258" s="33"/>
    </row>
    <row r="259" spans="1:17" ht="14.25" customHeight="true">
      <c r="A259" s="33" t="str">
        <f t="shared" si="16"/>
        <v>AKG - Intercompany</v>
      </c>
      <c r="B259" s="33" t="str">
        <f t="shared" si="17"/>
        <v>AKG</v>
      </c>
      <c r="C259" s="33" t="str">
        <f t="shared" si="18"/>
        <v>12400-0000</v>
      </c>
      <c r="D259" s="64" t="s">
        <v>15424</v>
      </c>
      <c r="E259" s="64" t="s">
        <v>14185</v>
      </c>
      <c r="F259" s="64" t="s">
        <v>14039</v>
      </c>
      <c r="G259" s="64" t="s">
        <v>14672</v>
      </c>
      <c r="H259" s="64" t="s">
        <v>13869</v>
      </c>
      <c r="I259" s="64" t="s">
        <v>14690</v>
      </c>
      <c r="J259" s="67">
        <v>0</v>
      </c>
      <c r="K259" s="62">
        <v>0</v>
      </c>
      <c r="L259" t="str">
        <f>VLOOKUP(VALUE(LEFT(C259,5)),Xref!A:B,2,0)</f>
        <v>aka</v>
      </c>
      <c r="M259" t="str">
        <f t="shared" si="19"/>
        <v>aka-AKG</v>
      </c>
      <c r="N259" s="33"/>
      <c r="O259" s="33"/>
      <c r="P259" s="33"/>
      <c r="Q259" s="33"/>
    </row>
    <row r="260" spans="1:17" ht="14.25" customHeight="true">
      <c r="A260" s="33" t="str">
        <f t="shared" si="16"/>
        <v>AKG - Intercompany</v>
      </c>
      <c r="B260" s="33" t="str">
        <f t="shared" si="17"/>
        <v>AKG</v>
      </c>
      <c r="C260" s="33" t="str">
        <f t="shared" si="18"/>
        <v>12401-0000</v>
      </c>
      <c r="D260" s="64" t="s">
        <v>15425</v>
      </c>
      <c r="E260" s="64" t="s">
        <v>14187</v>
      </c>
      <c r="F260" s="64" t="s">
        <v>14039</v>
      </c>
      <c r="G260" s="64" t="s">
        <v>14672</v>
      </c>
      <c r="H260" s="64" t="s">
        <v>13869</v>
      </c>
      <c r="I260" s="64" t="s">
        <v>14690</v>
      </c>
      <c r="J260" s="67">
        <v>0</v>
      </c>
      <c r="K260" s="62">
        <v>0</v>
      </c>
      <c r="L260" t="str">
        <f>VLOOKUP(VALUE(LEFT(C260,5)),Xref!A:B,2,0)</f>
        <v>aka</v>
      </c>
      <c r="M260" t="str">
        <f t="shared" si="19"/>
        <v>aka-AKG</v>
      </c>
      <c r="N260" s="33"/>
      <c r="O260" s="33"/>
      <c r="P260" s="33"/>
      <c r="Q260" s="33"/>
    </row>
    <row r="261" spans="1:17" ht="14.25" customHeight="true">
      <c r="A261" s="33" t="str">
        <f t="shared" si="16"/>
        <v>AKG - Intercompany</v>
      </c>
      <c r="B261" s="33" t="str">
        <f t="shared" si="17"/>
        <v>AKG</v>
      </c>
      <c r="C261" s="33" t="str">
        <f t="shared" si="18"/>
        <v>12402-0000</v>
      </c>
      <c r="D261" s="64" t="s">
        <v>15426</v>
      </c>
      <c r="E261" s="64" t="s">
        <v>14189</v>
      </c>
      <c r="F261" s="64" t="s">
        <v>14039</v>
      </c>
      <c r="G261" s="64" t="s">
        <v>14672</v>
      </c>
      <c r="H261" s="64" t="s">
        <v>13869</v>
      </c>
      <c r="I261" s="64" t="s">
        <v>14690</v>
      </c>
      <c r="J261" s="67">
        <v>0</v>
      </c>
      <c r="K261" s="62">
        <v>0</v>
      </c>
      <c r="L261" t="str">
        <f>VLOOKUP(VALUE(LEFT(C261,5)),Xref!A:B,2,0)</f>
        <v>aka</v>
      </c>
      <c r="M261" t="str">
        <f t="shared" si="19"/>
        <v>aka-AKG</v>
      </c>
      <c r="N261" s="33"/>
      <c r="O261" s="33"/>
      <c r="P261" s="33"/>
      <c r="Q261" s="33"/>
    </row>
    <row r="262" spans="1:17" ht="14.25" customHeight="true">
      <c r="A262" s="33" t="str">
        <f t="shared" si="16"/>
        <v>AKG - Intercompany</v>
      </c>
      <c r="B262" s="33" t="str">
        <f t="shared" si="17"/>
        <v>AKG</v>
      </c>
      <c r="C262" s="33" t="str">
        <f t="shared" si="18"/>
        <v>12403-0000</v>
      </c>
      <c r="D262" s="64" t="s">
        <v>15427</v>
      </c>
      <c r="E262" s="64" t="s">
        <v>5226</v>
      </c>
      <c r="F262" s="64" t="s">
        <v>14039</v>
      </c>
      <c r="G262" s="64" t="s">
        <v>14672</v>
      </c>
      <c r="H262" s="64" t="s">
        <v>13869</v>
      </c>
      <c r="I262" s="64" t="s">
        <v>14690</v>
      </c>
      <c r="J262" s="67">
        <v>0</v>
      </c>
      <c r="K262" s="62">
        <v>0</v>
      </c>
      <c r="L262" t="str">
        <f>VLOOKUP(VALUE(LEFT(C262,5)),Xref!A:B,2,0)</f>
        <v>aka</v>
      </c>
      <c r="M262" t="str">
        <f t="shared" si="19"/>
        <v>aka-AKG</v>
      </c>
      <c r="N262" s="33"/>
      <c r="O262" s="33"/>
      <c r="P262" s="33"/>
      <c r="Q262" s="33"/>
    </row>
    <row r="263" spans="1:17" ht="14.25" customHeight="true">
      <c r="A263" s="33" t="str">
        <f t="shared" si="16"/>
        <v>AKG - Intercompany</v>
      </c>
      <c r="B263" s="33" t="str">
        <f t="shared" si="17"/>
        <v>AKG</v>
      </c>
      <c r="C263" s="33" t="str">
        <f t="shared" si="18"/>
        <v>12501-0000</v>
      </c>
      <c r="D263" s="64" t="s">
        <v>15428</v>
      </c>
      <c r="E263" s="64" t="s">
        <v>14192</v>
      </c>
      <c r="F263" s="64" t="s">
        <v>14039</v>
      </c>
      <c r="G263" s="64" t="s">
        <v>14672</v>
      </c>
      <c r="H263" s="64" t="s">
        <v>13869</v>
      </c>
      <c r="I263" s="64" t="s">
        <v>14690</v>
      </c>
      <c r="J263" s="67">
        <v>0</v>
      </c>
      <c r="K263" s="62">
        <v>0</v>
      </c>
      <c r="L263" t="str">
        <f>VLOOKUP(VALUE(LEFT(C263,5)),Xref!A:B,2,0)</f>
        <v>aka</v>
      </c>
      <c r="M263" t="str">
        <f t="shared" si="19"/>
        <v>aka-AKG</v>
      </c>
      <c r="N263" s="33"/>
      <c r="O263" s="33"/>
      <c r="P263" s="33"/>
      <c r="Q263" s="33"/>
    </row>
    <row r="264" spans="1:17" ht="14.25" customHeight="true">
      <c r="A264" s="33" t="str">
        <f t="shared" si="16"/>
        <v>AKG - InterCo Notes</v>
      </c>
      <c r="B264" s="33" t="str">
        <f t="shared" si="17"/>
        <v>AKG</v>
      </c>
      <c r="C264" s="33" t="str">
        <f t="shared" si="18"/>
        <v>25600-0000</v>
      </c>
      <c r="D264" s="64" t="s">
        <v>13259</v>
      </c>
      <c r="E264" s="64" t="s">
        <v>314</v>
      </c>
      <c r="F264" s="64" t="s">
        <v>14039</v>
      </c>
      <c r="G264" s="64" t="s">
        <v>14672</v>
      </c>
      <c r="H264" s="64" t="s">
        <v>13889</v>
      </c>
      <c r="I264" s="64" t="s">
        <v>14690</v>
      </c>
      <c r="J264" s="67">
        <v>0</v>
      </c>
      <c r="K264" s="62">
        <v>-2005000</v>
      </c>
      <c r="L264" t="str">
        <f>VLOOKUP(VALUE(LEFT(C264,5)),Xref!A:B,2,0)</f>
        <v>D7</v>
      </c>
      <c r="M264" t="str">
        <f t="shared" si="19"/>
        <v>AKG-D7</v>
      </c>
      <c r="N264" s="33"/>
      <c r="O264" s="33"/>
      <c r="P264" s="33"/>
      <c r="Q264" s="33"/>
    </row>
    <row r="265" spans="1:17" ht="14.25" customHeight="true">
      <c r="A265" s="33" t="str">
        <f t="shared" si="16"/>
        <v>AKG - InterCo Notes</v>
      </c>
      <c r="B265" s="33" t="str">
        <f t="shared" si="17"/>
        <v>AKG</v>
      </c>
      <c r="C265" s="33" t="str">
        <f t="shared" si="18"/>
        <v>25602-0000</v>
      </c>
      <c r="D265" s="64" t="s">
        <v>15470</v>
      </c>
      <c r="E265" s="64" t="s">
        <v>13426</v>
      </c>
      <c r="F265" s="64" t="s">
        <v>14039</v>
      </c>
      <c r="G265" s="64" t="s">
        <v>14672</v>
      </c>
      <c r="H265" s="64" t="s">
        <v>13889</v>
      </c>
      <c r="I265" s="64" t="s">
        <v>14690</v>
      </c>
      <c r="J265" s="67">
        <v>0</v>
      </c>
      <c r="K265" s="62">
        <v>0</v>
      </c>
      <c r="L265" t="str">
        <f>VLOOKUP(VALUE(LEFT(C265,5)),Xref!A:B,2,0)</f>
        <v>DFLP</v>
      </c>
      <c r="M265" t="str">
        <f t="shared" si="19"/>
        <v>AKG-DFLP</v>
      </c>
      <c r="N265" s="33"/>
      <c r="O265" s="33"/>
      <c r="P265" s="33"/>
      <c r="Q265" s="33"/>
    </row>
    <row r="266" spans="1:17" ht="14.25" customHeight="true">
      <c r="A266" s="33" t="str">
        <f t="shared" si="16"/>
        <v>AKG - InterCo Notes</v>
      </c>
      <c r="B266" s="33" t="str">
        <f t="shared" si="17"/>
        <v>AKG</v>
      </c>
      <c r="C266" s="33" t="str">
        <f t="shared" si="18"/>
        <v>25603-0000</v>
      </c>
      <c r="D266" s="64" t="s">
        <v>15471</v>
      </c>
      <c r="E266" s="64" t="s">
        <v>14311</v>
      </c>
      <c r="F266" s="64" t="s">
        <v>14039</v>
      </c>
      <c r="G266" s="64" t="s">
        <v>14832</v>
      </c>
      <c r="H266" s="64" t="s">
        <v>13889</v>
      </c>
      <c r="I266" s="64" t="s">
        <v>14690</v>
      </c>
      <c r="J266" s="67">
        <v>0</v>
      </c>
      <c r="K266" s="62">
        <v>0</v>
      </c>
      <c r="L266" t="str">
        <f>VLOOKUP(VALUE(LEFT(C266,5)),Xref!A:B,2,0)</f>
        <v>aka</v>
      </c>
      <c r="M266" t="str">
        <f t="shared" si="19"/>
        <v>aka-AKG</v>
      </c>
      <c r="N266" s="33"/>
      <c r="O266" s="33"/>
      <c r="P266" s="33"/>
      <c r="Q266" s="33"/>
    </row>
    <row r="267" spans="1:17" ht="14.25" customHeight="true">
      <c r="A267" s="33" t="str">
        <f t="shared" si="16"/>
        <v>AKG - Intercompany</v>
      </c>
      <c r="B267" s="33" t="str">
        <f t="shared" si="17"/>
        <v>AKG</v>
      </c>
      <c r="C267" s="33" t="str">
        <f t="shared" si="18"/>
        <v>25604-0000</v>
      </c>
      <c r="D267" s="64" t="s">
        <v>15472</v>
      </c>
      <c r="E267" s="64" t="s">
        <v>13490</v>
      </c>
      <c r="F267" s="64" t="s">
        <v>14039</v>
      </c>
      <c r="G267" s="64" t="s">
        <v>14672</v>
      </c>
      <c r="H267" s="64" t="s">
        <v>13869</v>
      </c>
      <c r="I267" s="64" t="s">
        <v>14690</v>
      </c>
      <c r="J267" s="67">
        <v>0</v>
      </c>
      <c r="K267" s="62">
        <v>0</v>
      </c>
      <c r="L267">
        <f>VLOOKUP(VALUE(LEFT(C267,5)),Xref!A:B,2,0)</f>
        <v>0</v>
      </c>
      <c r="M267" t="str">
        <f t="shared" si="19"/>
        <v>0-AKG</v>
      </c>
      <c r="N267" s="33"/>
      <c r="O267" s="33"/>
      <c r="P267" s="33"/>
      <c r="Q267" s="33"/>
    </row>
    <row r="268" spans="1:17" ht="14.25" customHeight="true">
      <c r="A268" s="33" t="str">
        <f t="shared" si="16"/>
        <v>ALP - Intercompany</v>
      </c>
      <c r="B268" s="33" t="str">
        <f t="shared" si="17"/>
        <v>ALP</v>
      </c>
      <c r="C268" s="33" t="str">
        <f t="shared" si="18"/>
        <v>11200-0000</v>
      </c>
      <c r="D268" s="64" t="s">
        <v>15599</v>
      </c>
      <c r="E268" s="64" t="s">
        <v>14069</v>
      </c>
      <c r="F268" s="64" t="s">
        <v>14039</v>
      </c>
      <c r="G268" s="64" t="s">
        <v>14672</v>
      </c>
      <c r="H268" s="64" t="s">
        <v>13869</v>
      </c>
      <c r="I268" s="64" t="s">
        <v>14690</v>
      </c>
      <c r="J268" s="67">
        <v>0</v>
      </c>
      <c r="K268" s="62">
        <v>0</v>
      </c>
      <c r="L268" t="str">
        <f>VLOOKUP(VALUE(LEFT(C268,5)),Xref!A:B,2,0)</f>
        <v>SCL</v>
      </c>
      <c r="M268" t="str">
        <f t="shared" si="19"/>
        <v>ALP-SCL</v>
      </c>
      <c r="N268" s="33"/>
      <c r="O268" s="33"/>
      <c r="P268" s="33"/>
      <c r="Q268" s="33"/>
    </row>
    <row r="269" spans="1:17" ht="14.25" customHeight="true">
      <c r="A269" s="33" t="str">
        <f t="shared" si="16"/>
        <v>ALP - Intercompany</v>
      </c>
      <c r="B269" s="33" t="str">
        <f t="shared" si="17"/>
        <v>ALP</v>
      </c>
      <c r="C269" s="33" t="str">
        <f t="shared" si="18"/>
        <v>11201-0000</v>
      </c>
      <c r="D269" s="64" t="s">
        <v>15600</v>
      </c>
      <c r="E269" s="64" t="s">
        <v>14071</v>
      </c>
      <c r="F269" s="64" t="s">
        <v>14039</v>
      </c>
      <c r="G269" s="64" t="s">
        <v>14672</v>
      </c>
      <c r="H269" s="64" t="s">
        <v>13869</v>
      </c>
      <c r="I269" s="64" t="s">
        <v>14690</v>
      </c>
      <c r="J269" s="67">
        <v>0</v>
      </c>
      <c r="K269" s="62">
        <v>0</v>
      </c>
      <c r="L269" t="str">
        <f>VLOOKUP(VALUE(LEFT(C269,5)),Xref!A:B,2,0)</f>
        <v>SG2</v>
      </c>
      <c r="M269" t="str">
        <f t="shared" si="19"/>
        <v>ALP-SG2</v>
      </c>
      <c r="N269" s="33"/>
      <c r="O269" s="33"/>
      <c r="P269" s="33"/>
      <c r="Q269" s="33"/>
    </row>
    <row r="270" spans="1:17" ht="14.25" customHeight="true">
      <c r="A270" s="33" t="str">
        <f t="shared" si="16"/>
        <v>ALP - Intercompany</v>
      </c>
      <c r="B270" s="33" t="str">
        <f t="shared" si="17"/>
        <v>ALP</v>
      </c>
      <c r="C270" s="33" t="str">
        <f t="shared" si="18"/>
        <v>11202-0000</v>
      </c>
      <c r="D270" s="64" t="s">
        <v>15601</v>
      </c>
      <c r="E270" s="64" t="s">
        <v>14073</v>
      </c>
      <c r="F270" s="64" t="s">
        <v>14039</v>
      </c>
      <c r="G270" s="64" t="s">
        <v>14672</v>
      </c>
      <c r="H270" s="64" t="s">
        <v>13869</v>
      </c>
      <c r="I270" s="64" t="s">
        <v>14690</v>
      </c>
      <c r="J270" s="67">
        <v>0</v>
      </c>
      <c r="K270" s="62">
        <v>0</v>
      </c>
      <c r="L270" t="str">
        <f>VLOOKUP(VALUE(LEFT(C270,5)),Xref!A:B,2,0)</f>
        <v>FFC</v>
      </c>
      <c r="M270" t="str">
        <f t="shared" si="19"/>
        <v>ALP-FFC</v>
      </c>
      <c r="N270" s="33"/>
      <c r="O270" s="33"/>
      <c r="P270" s="33"/>
      <c r="Q270" s="33"/>
    </row>
    <row r="271" spans="1:17" ht="14.25" customHeight="true">
      <c r="A271" s="33" t="str">
        <f t="shared" si="16"/>
        <v>ALP - Intercompany</v>
      </c>
      <c r="B271" s="33" t="str">
        <f t="shared" si="17"/>
        <v>ALP</v>
      </c>
      <c r="C271" s="33" t="str">
        <f t="shared" si="18"/>
        <v>11203-0000</v>
      </c>
      <c r="D271" s="64" t="s">
        <v>15602</v>
      </c>
      <c r="E271" s="64" t="s">
        <v>14075</v>
      </c>
      <c r="F271" s="64" t="s">
        <v>14039</v>
      </c>
      <c r="G271" s="64" t="s">
        <v>14672</v>
      </c>
      <c r="H271" s="64" t="s">
        <v>13869</v>
      </c>
      <c r="I271" s="64" t="s">
        <v>14690</v>
      </c>
      <c r="J271" s="67">
        <v>0</v>
      </c>
      <c r="K271" s="62">
        <v>0</v>
      </c>
      <c r="L271" t="str">
        <f>VLOOKUP(VALUE(LEFT(C271,5)),Xref!A:B,2,0)</f>
        <v>HN2</v>
      </c>
      <c r="M271" t="str">
        <f t="shared" si="19"/>
        <v>ALP-HN2</v>
      </c>
      <c r="N271" s="33"/>
      <c r="O271" s="33"/>
      <c r="P271" s="33"/>
      <c r="Q271" s="33"/>
    </row>
    <row r="272" spans="1:17" ht="14.25" customHeight="true">
      <c r="A272" s="33" t="str">
        <f t="shared" si="16"/>
        <v>ALP - Intercompany</v>
      </c>
      <c r="B272" s="33" t="str">
        <f t="shared" si="17"/>
        <v>ALP</v>
      </c>
      <c r="C272" s="33" t="str">
        <f t="shared" si="18"/>
        <v>11204-0000</v>
      </c>
      <c r="D272" s="64" t="s">
        <v>15603</v>
      </c>
      <c r="E272" s="64" t="s">
        <v>14077</v>
      </c>
      <c r="F272" s="64" t="s">
        <v>14039</v>
      </c>
      <c r="G272" s="64" t="s">
        <v>14672</v>
      </c>
      <c r="H272" s="64" t="s">
        <v>13869</v>
      </c>
      <c r="I272" s="64" t="s">
        <v>14690</v>
      </c>
      <c r="J272" s="67">
        <v>0</v>
      </c>
      <c r="K272" s="62">
        <v>0</v>
      </c>
      <c r="L272" t="str">
        <f>VLOOKUP(VALUE(LEFT(C272,5)),Xref!A:B,2,0)</f>
        <v>DF2</v>
      </c>
      <c r="M272" t="str">
        <f t="shared" si="19"/>
        <v>ALP-DF2</v>
      </c>
      <c r="N272" s="33"/>
      <c r="O272" s="33"/>
      <c r="P272" s="33"/>
      <c r="Q272" s="33"/>
    </row>
    <row r="273" spans="1:17" ht="14.25" customHeight="true">
      <c r="A273" s="33" t="str">
        <f t="shared" si="16"/>
        <v>ALP - Intercompany</v>
      </c>
      <c r="B273" s="33" t="str">
        <f t="shared" si="17"/>
        <v>ALP</v>
      </c>
      <c r="C273" s="33" t="str">
        <f t="shared" si="18"/>
        <v>11208-0000</v>
      </c>
      <c r="D273" s="64" t="s">
        <v>15604</v>
      </c>
      <c r="E273" s="64" t="s">
        <v>14079</v>
      </c>
      <c r="F273" s="64" t="s">
        <v>14039</v>
      </c>
      <c r="G273" s="64" t="s">
        <v>14672</v>
      </c>
      <c r="H273" s="64" t="s">
        <v>13869</v>
      </c>
      <c r="I273" s="64" t="s">
        <v>14690</v>
      </c>
      <c r="J273" s="67">
        <v>0</v>
      </c>
      <c r="K273" s="62">
        <v>0</v>
      </c>
      <c r="L273" t="str">
        <f>VLOOKUP(VALUE(LEFT(C273,5)),Xref!A:B,2,0)</f>
        <v>SRE</v>
      </c>
      <c r="M273" t="str">
        <f t="shared" si="19"/>
        <v>ALP-SRE</v>
      </c>
      <c r="N273" s="33"/>
      <c r="O273" s="33"/>
      <c r="P273" s="33"/>
      <c r="Q273" s="33"/>
    </row>
    <row r="274" spans="1:17" ht="14.25" customHeight="true">
      <c r="A274" s="33" t="str">
        <f t="shared" si="16"/>
        <v>ALP - Intercompany</v>
      </c>
      <c r="B274" s="33" t="str">
        <f t="shared" si="17"/>
        <v>ALP</v>
      </c>
      <c r="C274" s="33" t="str">
        <f t="shared" si="18"/>
        <v>11210-0000</v>
      </c>
      <c r="D274" s="64" t="s">
        <v>15605</v>
      </c>
      <c r="E274" s="64" t="s">
        <v>14081</v>
      </c>
      <c r="F274" s="64" t="s">
        <v>14039</v>
      </c>
      <c r="G274" s="64" t="s">
        <v>14672</v>
      </c>
      <c r="H274" s="64" t="s">
        <v>13869</v>
      </c>
      <c r="I274" s="64" t="s">
        <v>14690</v>
      </c>
      <c r="J274" s="67">
        <v>0</v>
      </c>
      <c r="K274" s="62">
        <v>0</v>
      </c>
      <c r="L274" t="str">
        <f>VLOOKUP(VALUE(LEFT(C274,5)),Xref!A:B,2,0)</f>
        <v>REM</v>
      </c>
      <c r="M274" t="str">
        <f t="shared" si="19"/>
        <v>ALP-REM</v>
      </c>
      <c r="N274" s="33"/>
      <c r="O274" s="33"/>
      <c r="P274" s="33"/>
      <c r="Q274" s="33"/>
    </row>
    <row r="275" spans="1:17" ht="14.25" customHeight="true">
      <c r="A275" s="33" t="str">
        <f t="shared" si="16"/>
        <v>ALP - Intercompany</v>
      </c>
      <c r="B275" s="33" t="str">
        <f t="shared" si="17"/>
        <v>ALP</v>
      </c>
      <c r="C275" s="33" t="str">
        <f t="shared" si="18"/>
        <v>11212-0000</v>
      </c>
      <c r="D275" s="64" t="s">
        <v>15606</v>
      </c>
      <c r="E275" s="64" t="s">
        <v>14083</v>
      </c>
      <c r="F275" s="64" t="s">
        <v>14039</v>
      </c>
      <c r="G275" s="64" t="s">
        <v>14672</v>
      </c>
      <c r="H275" s="64" t="s">
        <v>13869</v>
      </c>
      <c r="I275" s="64" t="s">
        <v>14690</v>
      </c>
      <c r="J275" s="67">
        <v>0</v>
      </c>
      <c r="K275" s="62">
        <v>0</v>
      </c>
      <c r="L275" t="str">
        <f>VLOOKUP(VALUE(LEFT(C275,5)),Xref!A:B,2,0)</f>
        <v>FRM</v>
      </c>
      <c r="M275" t="str">
        <f t="shared" si="19"/>
        <v>ALP-FRM</v>
      </c>
      <c r="N275" s="33"/>
      <c r="O275" s="33"/>
      <c r="P275" s="33"/>
      <c r="Q275" s="33"/>
    </row>
    <row r="276" spans="1:17" ht="14.25" customHeight="true">
      <c r="A276" s="33" t="str">
        <f t="shared" si="16"/>
        <v>ALP - Intercompany</v>
      </c>
      <c r="B276" s="33" t="str">
        <f t="shared" si="17"/>
        <v>ALP</v>
      </c>
      <c r="C276" s="33" t="str">
        <f t="shared" si="18"/>
        <v>11214-0000</v>
      </c>
      <c r="D276" s="64" t="s">
        <v>15607</v>
      </c>
      <c r="E276" s="64" t="s">
        <v>14085</v>
      </c>
      <c r="F276" s="64" t="s">
        <v>14039</v>
      </c>
      <c r="G276" s="64" t="s">
        <v>14672</v>
      </c>
      <c r="H276" s="64" t="s">
        <v>13869</v>
      </c>
      <c r="I276" s="64" t="s">
        <v>14690</v>
      </c>
      <c r="J276" s="67">
        <v>0</v>
      </c>
      <c r="K276" s="62">
        <v>0</v>
      </c>
      <c r="L276" t="str">
        <f>VLOOKUP(VALUE(LEFT(C276,5)),Xref!A:B,2,0)</f>
        <v>D7R</v>
      </c>
      <c r="M276" t="str">
        <f t="shared" si="19"/>
        <v>ALP-D7R</v>
      </c>
      <c r="N276" s="33"/>
      <c r="O276" s="33"/>
      <c r="P276" s="33"/>
      <c r="Q276" s="33"/>
    </row>
    <row r="277" spans="1:17" ht="14.25" customHeight="true">
      <c r="A277" s="33" t="str">
        <f t="shared" si="16"/>
        <v>ALP - Intercompany</v>
      </c>
      <c r="B277" s="33" t="str">
        <f t="shared" si="17"/>
        <v>ALP</v>
      </c>
      <c r="C277" s="33" t="str">
        <f t="shared" si="18"/>
        <v>11215-0000</v>
      </c>
      <c r="D277" s="64" t="s">
        <v>15608</v>
      </c>
      <c r="E277" s="64" t="s">
        <v>14087</v>
      </c>
      <c r="F277" s="64" t="s">
        <v>14039</v>
      </c>
      <c r="G277" s="64" t="s">
        <v>14672</v>
      </c>
      <c r="H277" s="64" t="s">
        <v>13869</v>
      </c>
      <c r="I277" s="64" t="s">
        <v>14690</v>
      </c>
      <c r="J277" s="67">
        <v>0</v>
      </c>
      <c r="K277" s="62">
        <v>0</v>
      </c>
      <c r="L277" t="str">
        <f>VLOOKUP(VALUE(LEFT(C277,5)),Xref!A:B,2,0)</f>
        <v>CDP</v>
      </c>
      <c r="M277" t="str">
        <f t="shared" si="19"/>
        <v>ALP-CDP</v>
      </c>
      <c r="N277" s="33"/>
      <c r="O277" s="33"/>
      <c r="P277" s="33"/>
      <c r="Q277" s="33"/>
    </row>
    <row r="278" spans="1:17" ht="14.25" customHeight="true">
      <c r="A278" s="33" t="str">
        <f t="shared" si="16"/>
        <v>ALP - Intercompany</v>
      </c>
      <c r="B278" s="33" t="str">
        <f t="shared" si="17"/>
        <v>ALP</v>
      </c>
      <c r="C278" s="33" t="str">
        <f t="shared" si="18"/>
        <v>11216-0000</v>
      </c>
      <c r="D278" s="64" t="s">
        <v>360</v>
      </c>
      <c r="E278" s="64" t="s">
        <v>13224</v>
      </c>
      <c r="F278" s="64" t="s">
        <v>14039</v>
      </c>
      <c r="G278" s="64" t="s">
        <v>14672</v>
      </c>
      <c r="H278" s="64" t="s">
        <v>13869</v>
      </c>
      <c r="I278" s="64" t="s">
        <v>14690</v>
      </c>
      <c r="J278" s="67">
        <v>-1649.18</v>
      </c>
      <c r="K278" s="62">
        <v>31866.58</v>
      </c>
      <c r="L278" t="str">
        <f>VLOOKUP(VALUE(LEFT(C278,5)),Xref!A:B,2,0)</f>
        <v>SIL</v>
      </c>
      <c r="M278" t="str">
        <f t="shared" si="19"/>
        <v>ALP-SIL</v>
      </c>
      <c r="N278" s="33"/>
      <c r="O278" s="33"/>
      <c r="P278" s="33"/>
      <c r="Q278" s="33"/>
    </row>
    <row r="279" spans="1:17" ht="14.25" customHeight="true">
      <c r="A279" s="33" t="str">
        <f t="shared" si="16"/>
        <v>ALP - Intercompany</v>
      </c>
      <c r="B279" s="33" t="str">
        <f t="shared" si="17"/>
        <v>ALP</v>
      </c>
      <c r="C279" s="33" t="str">
        <f t="shared" si="18"/>
        <v>11232-0000</v>
      </c>
      <c r="D279" s="64" t="s">
        <v>15609</v>
      </c>
      <c r="E279" s="64" t="s">
        <v>12486</v>
      </c>
      <c r="F279" s="64" t="s">
        <v>14039</v>
      </c>
      <c r="G279" s="64" t="s">
        <v>14672</v>
      </c>
      <c r="H279" s="64" t="s">
        <v>13869</v>
      </c>
      <c r="I279" s="64" t="s">
        <v>14690</v>
      </c>
      <c r="J279" s="67">
        <v>0</v>
      </c>
      <c r="K279" s="62">
        <v>0</v>
      </c>
      <c r="L279" t="str">
        <f>VLOOKUP(VALUE(LEFT(C279,5)),Xref!A:B,2,0)</f>
        <v>SC2</v>
      </c>
      <c r="M279" t="str">
        <f t="shared" si="19"/>
        <v>ALP-SC2</v>
      </c>
      <c r="N279" s="33"/>
      <c r="O279" s="33"/>
      <c r="P279" s="33"/>
      <c r="Q279" s="33"/>
    </row>
    <row r="280" spans="1:17" ht="14.25" customHeight="true">
      <c r="A280" s="33" t="str">
        <f t="shared" si="16"/>
        <v>ALP - Intercompany</v>
      </c>
      <c r="B280" s="33" t="str">
        <f t="shared" si="17"/>
        <v>ALP</v>
      </c>
      <c r="C280" s="33" t="str">
        <f t="shared" si="18"/>
        <v>11301-0000</v>
      </c>
      <c r="D280" s="64" t="s">
        <v>15610</v>
      </c>
      <c r="E280" s="64" t="s">
        <v>13225</v>
      </c>
      <c r="F280" s="64" t="s">
        <v>14039</v>
      </c>
      <c r="G280" s="64" t="s">
        <v>14672</v>
      </c>
      <c r="H280" s="64" t="s">
        <v>13869</v>
      </c>
      <c r="I280" s="64" t="s">
        <v>14690</v>
      </c>
      <c r="J280" s="67">
        <v>0</v>
      </c>
      <c r="K280" s="62">
        <v>0</v>
      </c>
      <c r="L280" t="str">
        <f>VLOOKUP(VALUE(LEFT(C280,5)),Xref!A:B,2,0)</f>
        <v>CRE</v>
      </c>
      <c r="M280" t="str">
        <f t="shared" si="19"/>
        <v>ALP-CRE</v>
      </c>
      <c r="N280" s="33"/>
      <c r="O280" s="33"/>
      <c r="P280" s="33"/>
      <c r="Q280" s="33"/>
    </row>
    <row r="281" spans="1:17" ht="14.25" customHeight="true">
      <c r="A281" s="33" t="str">
        <f t="shared" si="16"/>
        <v>ALP - Intercompany</v>
      </c>
      <c r="B281" s="33" t="str">
        <f t="shared" si="17"/>
        <v>ALP</v>
      </c>
      <c r="C281" s="33" t="str">
        <f t="shared" si="18"/>
        <v>11302-0000</v>
      </c>
      <c r="D281" s="64" t="s">
        <v>15611</v>
      </c>
      <c r="E281" s="64" t="s">
        <v>13226</v>
      </c>
      <c r="F281" s="64" t="s">
        <v>14039</v>
      </c>
      <c r="G281" s="64" t="s">
        <v>14672</v>
      </c>
      <c r="H281" s="64" t="s">
        <v>13869</v>
      </c>
      <c r="I281" s="64" t="s">
        <v>14690</v>
      </c>
      <c r="J281" s="67">
        <v>0</v>
      </c>
      <c r="K281" s="62">
        <v>0</v>
      </c>
      <c r="L281" t="str">
        <f>VLOOKUP(VALUE(LEFT(C281,5)),Xref!A:B,2,0)</f>
        <v>CHA</v>
      </c>
      <c r="M281" t="str">
        <f t="shared" si="19"/>
        <v>ALP-CHA</v>
      </c>
      <c r="N281" s="33"/>
      <c r="O281" s="33"/>
      <c r="P281" s="33"/>
      <c r="Q281" s="33"/>
    </row>
    <row r="282" spans="1:17" ht="14.25" customHeight="true">
      <c r="A282" s="33" t="str">
        <f t="shared" si="16"/>
        <v>ALP - Intercompany</v>
      </c>
      <c r="B282" s="33" t="str">
        <f t="shared" si="17"/>
        <v>ALP</v>
      </c>
      <c r="C282" s="33" t="str">
        <f t="shared" si="18"/>
        <v>11303-0000</v>
      </c>
      <c r="D282" s="64" t="s">
        <v>15612</v>
      </c>
      <c r="E282" s="64" t="s">
        <v>13227</v>
      </c>
      <c r="F282" s="64" t="s">
        <v>14039</v>
      </c>
      <c r="G282" s="64" t="s">
        <v>14672</v>
      </c>
      <c r="H282" s="64" t="s">
        <v>13869</v>
      </c>
      <c r="I282" s="64" t="s">
        <v>14690</v>
      </c>
      <c r="J282" s="67">
        <v>0</v>
      </c>
      <c r="K282" s="62">
        <v>0</v>
      </c>
      <c r="L282" t="str">
        <f>VLOOKUP(VALUE(LEFT(C282,5)),Xref!A:B,2,0)</f>
        <v>DIA</v>
      </c>
      <c r="M282" t="str">
        <f t="shared" si="19"/>
        <v>ALP-DIA</v>
      </c>
      <c r="N282" s="33"/>
      <c r="O282" s="33"/>
      <c r="P282" s="33"/>
      <c r="Q282" s="33"/>
    </row>
    <row r="283" spans="1:17" ht="14.25" customHeight="true">
      <c r="A283" s="33" t="str">
        <f t="shared" si="16"/>
        <v>ALP - Intercompany</v>
      </c>
      <c r="B283" s="33" t="str">
        <f t="shared" si="17"/>
        <v>ALP</v>
      </c>
      <c r="C283" s="33" t="str">
        <f t="shared" si="18"/>
        <v>11304-0000</v>
      </c>
      <c r="D283" s="64" t="s">
        <v>15613</v>
      </c>
      <c r="E283" s="64" t="s">
        <v>13228</v>
      </c>
      <c r="F283" s="64" t="s">
        <v>14039</v>
      </c>
      <c r="G283" s="64" t="s">
        <v>14672</v>
      </c>
      <c r="H283" s="64" t="s">
        <v>13869</v>
      </c>
      <c r="I283" s="64" t="s">
        <v>14690</v>
      </c>
      <c r="J283" s="67">
        <v>0</v>
      </c>
      <c r="K283" s="62">
        <v>0</v>
      </c>
      <c r="L283" t="str">
        <f>VLOOKUP(VALUE(LEFT(C283,5)),Xref!A:B,2,0)</f>
        <v>EAG</v>
      </c>
      <c r="M283" t="str">
        <f t="shared" si="19"/>
        <v>ALP-EAG</v>
      </c>
      <c r="N283" s="33"/>
      <c r="O283" s="33"/>
      <c r="P283" s="33"/>
      <c r="Q283" s="33"/>
    </row>
    <row r="284" spans="1:17" ht="14.25" customHeight="true">
      <c r="A284" s="33" t="str">
        <f t="shared" si="16"/>
        <v>ALP - Intercompany</v>
      </c>
      <c r="B284" s="33" t="str">
        <f t="shared" si="17"/>
        <v>ALP</v>
      </c>
      <c r="C284" s="33" t="str">
        <f t="shared" si="18"/>
        <v>11305-0000</v>
      </c>
      <c r="D284" s="64" t="s">
        <v>361</v>
      </c>
      <c r="E284" s="64" t="s">
        <v>13229</v>
      </c>
      <c r="F284" s="64" t="s">
        <v>14039</v>
      </c>
      <c r="G284" s="64" t="s">
        <v>14672</v>
      </c>
      <c r="H284" s="64" t="s">
        <v>13869</v>
      </c>
      <c r="I284" s="64" t="s">
        <v>14690</v>
      </c>
      <c r="J284" s="67">
        <v>0</v>
      </c>
      <c r="K284" s="62">
        <v>165000</v>
      </c>
      <c r="L284" t="str">
        <f>VLOOKUP(VALUE(LEFT(C284,5)),Xref!A:B,2,0)</f>
        <v>NEW</v>
      </c>
      <c r="M284" t="str">
        <f t="shared" si="19"/>
        <v>ALP-NEW</v>
      </c>
      <c r="N284" s="33"/>
      <c r="O284" s="33"/>
      <c r="P284" s="33"/>
      <c r="Q284" s="33"/>
    </row>
    <row r="285" spans="1:17" ht="14.25" customHeight="true">
      <c r="A285" s="33" t="str">
        <f t="shared" si="16"/>
        <v>ALP - Intercompany</v>
      </c>
      <c r="B285" s="33" t="str">
        <f t="shared" si="17"/>
        <v>ALP</v>
      </c>
      <c r="C285" s="33" t="str">
        <f t="shared" si="18"/>
        <v>11307-0000</v>
      </c>
      <c r="D285" s="64" t="s">
        <v>15614</v>
      </c>
      <c r="E285" s="64" t="s">
        <v>14096</v>
      </c>
      <c r="F285" s="64" t="s">
        <v>14039</v>
      </c>
      <c r="G285" s="64" t="s">
        <v>14672</v>
      </c>
      <c r="H285" s="64" t="s">
        <v>13869</v>
      </c>
      <c r="I285" s="64" t="s">
        <v>14690</v>
      </c>
      <c r="J285" s="67">
        <v>0</v>
      </c>
      <c r="K285" s="62">
        <v>0</v>
      </c>
      <c r="L285" t="str">
        <f>VLOOKUP(VALUE(LEFT(C285,5)),Xref!A:B,2,0)</f>
        <v>NES</v>
      </c>
      <c r="M285" t="str">
        <f t="shared" si="19"/>
        <v>ALP-NES</v>
      </c>
      <c r="N285" s="33"/>
      <c r="O285" s="33"/>
      <c r="P285" s="33"/>
      <c r="Q285" s="33"/>
    </row>
    <row r="286" spans="1:17" ht="14.25" customHeight="true">
      <c r="A286" s="33" t="str">
        <f t="shared" si="16"/>
        <v>ALP - Intercompany</v>
      </c>
      <c r="B286" s="33" t="str">
        <f t="shared" si="17"/>
        <v>ALP</v>
      </c>
      <c r="C286" s="33" t="str">
        <f t="shared" si="18"/>
        <v>11308-0000</v>
      </c>
      <c r="D286" s="64" t="s">
        <v>15615</v>
      </c>
      <c r="E286" s="64" t="s">
        <v>13476</v>
      </c>
      <c r="F286" s="64" t="s">
        <v>14039</v>
      </c>
      <c r="G286" s="64" t="s">
        <v>14672</v>
      </c>
      <c r="H286" s="64" t="s">
        <v>13869</v>
      </c>
      <c r="I286" s="64" t="s">
        <v>14690</v>
      </c>
      <c r="J286" s="67">
        <v>0</v>
      </c>
      <c r="K286" s="62">
        <v>0</v>
      </c>
      <c r="L286" t="str">
        <f>VLOOKUP(VALUE(LEFT(C286,5)),Xref!A:B,2,0)</f>
        <v>LPI</v>
      </c>
      <c r="M286" t="str">
        <f t="shared" si="19"/>
        <v>ALP-LPI</v>
      </c>
      <c r="N286" s="33"/>
      <c r="O286" s="33"/>
      <c r="P286" s="33"/>
      <c r="Q286" s="33"/>
    </row>
    <row r="287" spans="1:17" ht="14.25" customHeight="true">
      <c r="A287" s="33" t="str">
        <f t="shared" si="16"/>
        <v>ALP - Intercompany</v>
      </c>
      <c r="B287" s="33" t="str">
        <f t="shared" si="17"/>
        <v>ALP</v>
      </c>
      <c r="C287" s="33" t="str">
        <f t="shared" si="18"/>
        <v>11309-0000</v>
      </c>
      <c r="D287" s="64" t="s">
        <v>15616</v>
      </c>
      <c r="E287" s="64" t="s">
        <v>13230</v>
      </c>
      <c r="F287" s="64" t="s">
        <v>14039</v>
      </c>
      <c r="G287" s="64" t="s">
        <v>14672</v>
      </c>
      <c r="H287" s="64" t="s">
        <v>13869</v>
      </c>
      <c r="I287" s="64" t="s">
        <v>14690</v>
      </c>
      <c r="J287" s="67">
        <v>0</v>
      </c>
      <c r="K287" s="62">
        <v>0</v>
      </c>
      <c r="L287" t="str">
        <f>VLOOKUP(VALUE(LEFT(C287,5)),Xref!A:B,2,0)</f>
        <v>GPI</v>
      </c>
      <c r="M287" t="str">
        <f t="shared" si="19"/>
        <v>ALP-GPI</v>
      </c>
      <c r="N287" s="33"/>
      <c r="O287" s="33"/>
      <c r="P287" s="33"/>
      <c r="Q287" s="33"/>
    </row>
    <row r="288" spans="1:17" ht="14.25" customHeight="true">
      <c r="A288" s="33" t="str">
        <f t="shared" si="16"/>
        <v>ALP - Intercompany</v>
      </c>
      <c r="B288" s="33" t="str">
        <f t="shared" si="17"/>
        <v>ALP</v>
      </c>
      <c r="C288" s="33" t="str">
        <f t="shared" si="18"/>
        <v>11310-0000</v>
      </c>
      <c r="D288" s="64" t="s">
        <v>15617</v>
      </c>
      <c r="E288" s="64" t="s">
        <v>13231</v>
      </c>
      <c r="F288" s="64" t="s">
        <v>14039</v>
      </c>
      <c r="G288" s="64" t="s">
        <v>14672</v>
      </c>
      <c r="H288" s="64" t="s">
        <v>13869</v>
      </c>
      <c r="I288" s="64" t="s">
        <v>14690</v>
      </c>
      <c r="J288" s="67">
        <v>0</v>
      </c>
      <c r="K288" s="62">
        <v>60000</v>
      </c>
      <c r="L288" t="str">
        <f>VLOOKUP(VALUE(LEFT(C288,5)),Xref!A:B,2,0)</f>
        <v>ALP</v>
      </c>
      <c r="M288" t="str">
        <f t="shared" si="19"/>
        <v>ALP-ALP</v>
      </c>
      <c r="N288" s="33"/>
      <c r="O288" s="33"/>
      <c r="P288" s="33"/>
      <c r="Q288" s="33"/>
    </row>
    <row r="289" spans="1:17" ht="14.25" customHeight="true">
      <c r="A289" s="33" t="str">
        <f t="shared" si="16"/>
        <v>ALP - Intercompany</v>
      </c>
      <c r="B289" s="33" t="str">
        <f t="shared" si="17"/>
        <v>ALP</v>
      </c>
      <c r="C289" s="33" t="str">
        <f t="shared" si="18"/>
        <v>11311-0000</v>
      </c>
      <c r="D289" s="64" t="s">
        <v>363</v>
      </c>
      <c r="E289" s="64" t="s">
        <v>13232</v>
      </c>
      <c r="F289" s="64" t="s">
        <v>14039</v>
      </c>
      <c r="G289" s="64" t="s">
        <v>14672</v>
      </c>
      <c r="H289" s="64" t="s">
        <v>13869</v>
      </c>
      <c r="I289" s="64" t="s">
        <v>14690</v>
      </c>
      <c r="J289" s="67">
        <v>0</v>
      </c>
      <c r="K289" s="62">
        <v>-90000</v>
      </c>
      <c r="L289" t="str">
        <f>VLOOKUP(VALUE(LEFT(C289,5)),Xref!A:B,2,0)</f>
        <v>BET</v>
      </c>
      <c r="M289" t="str">
        <f t="shared" si="19"/>
        <v>ALP-BET</v>
      </c>
      <c r="N289" s="33"/>
      <c r="O289" s="33"/>
      <c r="P289" s="33"/>
      <c r="Q289" s="33"/>
    </row>
    <row r="290" spans="1:17" ht="14.25" customHeight="true">
      <c r="A290" s="33" t="str">
        <f t="shared" si="16"/>
        <v>ALP - Intercompany</v>
      </c>
      <c r="B290" s="33" t="str">
        <f t="shared" si="17"/>
        <v>ALP</v>
      </c>
      <c r="C290" s="33" t="str">
        <f t="shared" si="18"/>
        <v>11312-0000</v>
      </c>
      <c r="D290" s="64" t="s">
        <v>15618</v>
      </c>
      <c r="E290" s="64" t="s">
        <v>14102</v>
      </c>
      <c r="F290" s="64" t="s">
        <v>14039</v>
      </c>
      <c r="G290" s="64" t="s">
        <v>14672</v>
      </c>
      <c r="H290" s="64" t="s">
        <v>13869</v>
      </c>
      <c r="I290" s="64" t="s">
        <v>14690</v>
      </c>
      <c r="J290" s="67">
        <v>0</v>
      </c>
      <c r="K290" s="62">
        <v>0</v>
      </c>
      <c r="L290" t="str">
        <f>VLOOKUP(VALUE(LEFT(C290,5)),Xref!A:B,2,0)</f>
        <v>DEL</v>
      </c>
      <c r="M290" t="str">
        <f t="shared" si="19"/>
        <v>ALP-DEL</v>
      </c>
      <c r="N290" s="33"/>
      <c r="O290" s="33"/>
      <c r="P290" s="33"/>
      <c r="Q290" s="33"/>
    </row>
    <row r="291" spans="1:17" ht="14.25" customHeight="true">
      <c r="A291" s="33" t="str">
        <f t="shared" si="16"/>
        <v>ALP - Intercompany</v>
      </c>
      <c r="B291" s="33" t="str">
        <f t="shared" si="17"/>
        <v>ALP</v>
      </c>
      <c r="C291" s="33" t="str">
        <f t="shared" si="18"/>
        <v>11313-0000</v>
      </c>
      <c r="D291" s="64" t="s">
        <v>15619</v>
      </c>
      <c r="E291" s="64" t="s">
        <v>13233</v>
      </c>
      <c r="F291" s="64" t="s">
        <v>14039</v>
      </c>
      <c r="G291" s="64" t="s">
        <v>14672</v>
      </c>
      <c r="H291" s="64" t="s">
        <v>13869</v>
      </c>
      <c r="I291" s="64" t="s">
        <v>14690</v>
      </c>
      <c r="J291" s="67">
        <v>0</v>
      </c>
      <c r="K291" s="62">
        <v>0</v>
      </c>
      <c r="L291" t="str">
        <f>VLOOKUP(VALUE(LEFT(C291,5)),Xref!A:B,2,0)</f>
        <v>DOL</v>
      </c>
      <c r="M291" t="str">
        <f t="shared" si="19"/>
        <v>ALP-DOL</v>
      </c>
      <c r="N291" s="33"/>
      <c r="O291" s="33"/>
      <c r="P291" s="33"/>
      <c r="Q291" s="33"/>
    </row>
    <row r="292" spans="1:17" ht="14.25" customHeight="true">
      <c r="A292" s="33" t="str">
        <f t="shared" si="16"/>
        <v>ALP - Intercompany</v>
      </c>
      <c r="B292" s="33" t="str">
        <f t="shared" si="17"/>
        <v>ALP</v>
      </c>
      <c r="C292" s="33" t="str">
        <f t="shared" si="18"/>
        <v>11314-0000</v>
      </c>
      <c r="D292" s="64" t="s">
        <v>364</v>
      </c>
      <c r="E292" s="64" t="s">
        <v>13351</v>
      </c>
      <c r="F292" s="64" t="s">
        <v>14039</v>
      </c>
      <c r="G292" s="64" t="s">
        <v>14672</v>
      </c>
      <c r="H292" s="64" t="s">
        <v>13869</v>
      </c>
      <c r="I292" s="64" t="s">
        <v>14690</v>
      </c>
      <c r="J292" s="67">
        <v>0</v>
      </c>
      <c r="K292" s="62">
        <v>249900</v>
      </c>
      <c r="L292" t="str">
        <f>VLOOKUP(VALUE(LEFT(C292,5)),Xref!A:B,2,0)</f>
        <v>GRI</v>
      </c>
      <c r="M292" t="str">
        <f t="shared" si="19"/>
        <v>ALP-GRI</v>
      </c>
      <c r="N292" s="33"/>
      <c r="O292" s="33"/>
      <c r="P292" s="33"/>
      <c r="Q292" s="33"/>
    </row>
    <row r="293" spans="1:17" ht="14.25" customHeight="true">
      <c r="A293" s="33" t="str">
        <f t="shared" si="16"/>
        <v>ALP - Intercompany</v>
      </c>
      <c r="B293" s="33" t="str">
        <f t="shared" si="17"/>
        <v>ALP</v>
      </c>
      <c r="C293" s="33" t="str">
        <f t="shared" si="18"/>
        <v>11315-0000</v>
      </c>
      <c r="D293" s="64" t="s">
        <v>15620</v>
      </c>
      <c r="E293" s="64" t="s">
        <v>13234</v>
      </c>
      <c r="F293" s="64" t="s">
        <v>14039</v>
      </c>
      <c r="G293" s="64" t="s">
        <v>14672</v>
      </c>
      <c r="H293" s="64" t="s">
        <v>13869</v>
      </c>
      <c r="I293" s="64" t="s">
        <v>14690</v>
      </c>
      <c r="J293" s="67">
        <v>0</v>
      </c>
      <c r="K293" s="62">
        <v>0</v>
      </c>
      <c r="L293" t="str">
        <f>VLOOKUP(VALUE(LEFT(C293,5)),Xref!A:B,2,0)</f>
        <v>PUR</v>
      </c>
      <c r="M293" t="str">
        <f t="shared" si="19"/>
        <v>ALP-PUR</v>
      </c>
      <c r="N293" s="33"/>
      <c r="O293" s="33"/>
      <c r="P293" s="33"/>
      <c r="Q293" s="33"/>
    </row>
    <row r="294" spans="1:17" ht="14.25" customHeight="true">
      <c r="A294" s="33" t="str">
        <f t="shared" si="16"/>
        <v>ALP - Intercompany</v>
      </c>
      <c r="B294" s="33" t="str">
        <f t="shared" si="17"/>
        <v>ALP</v>
      </c>
      <c r="C294" s="33" t="str">
        <f t="shared" si="18"/>
        <v>11316-0000</v>
      </c>
      <c r="D294" s="64" t="s">
        <v>366</v>
      </c>
      <c r="E294" s="64" t="s">
        <v>13235</v>
      </c>
      <c r="F294" s="64" t="s">
        <v>14039</v>
      </c>
      <c r="G294" s="64" t="s">
        <v>14672</v>
      </c>
      <c r="H294" s="64" t="s">
        <v>13869</v>
      </c>
      <c r="I294" s="64" t="s">
        <v>14690</v>
      </c>
      <c r="J294" s="67">
        <v>0</v>
      </c>
      <c r="K294" s="62">
        <v>-15000</v>
      </c>
      <c r="L294" t="str">
        <f>VLOOKUP(VALUE(LEFT(C294,5)),Xref!A:B,2,0)</f>
        <v>VAL</v>
      </c>
      <c r="M294" t="str">
        <f t="shared" si="19"/>
        <v>ALP-VAL</v>
      </c>
      <c r="N294" s="33"/>
      <c r="O294" s="33"/>
      <c r="P294" s="33"/>
      <c r="Q294" s="33"/>
    </row>
    <row r="295" spans="1:17" ht="14.25" customHeight="true">
      <c r="A295" s="33" t="str">
        <f t="shared" si="16"/>
        <v>ALP - Intercompany</v>
      </c>
      <c r="B295" s="33" t="str">
        <f t="shared" si="17"/>
        <v>ALP</v>
      </c>
      <c r="C295" s="33" t="str">
        <f t="shared" si="18"/>
        <v>11317-0000</v>
      </c>
      <c r="D295" s="64" t="s">
        <v>367</v>
      </c>
      <c r="E295" s="64" t="s">
        <v>13352</v>
      </c>
      <c r="F295" s="64" t="s">
        <v>14039</v>
      </c>
      <c r="G295" s="64" t="s">
        <v>14672</v>
      </c>
      <c r="H295" s="64" t="s">
        <v>13869</v>
      </c>
      <c r="I295" s="64" t="s">
        <v>14690</v>
      </c>
      <c r="J295" s="67">
        <v>0</v>
      </c>
      <c r="K295" s="62">
        <v>-125000</v>
      </c>
      <c r="L295" t="str">
        <f>VLOOKUP(VALUE(LEFT(C295,5)),Xref!A:B,2,0)</f>
        <v>AKG</v>
      </c>
      <c r="M295" t="str">
        <f t="shared" si="19"/>
        <v>AKG-ALP</v>
      </c>
      <c r="N295" s="33"/>
      <c r="O295" s="33"/>
      <c r="P295" s="33"/>
      <c r="Q295" s="33"/>
    </row>
    <row r="296" spans="1:17" ht="14.25" customHeight="true">
      <c r="A296" s="33" t="str">
        <f t="shared" si="16"/>
        <v>ALP - Intercompany</v>
      </c>
      <c r="B296" s="33" t="str">
        <f t="shared" si="17"/>
        <v>ALP</v>
      </c>
      <c r="C296" s="33" t="str">
        <f t="shared" si="18"/>
        <v>11318-0000</v>
      </c>
      <c r="D296" s="64" t="s">
        <v>15621</v>
      </c>
      <c r="E296" s="64" t="s">
        <v>13477</v>
      </c>
      <c r="F296" s="64" t="s">
        <v>14039</v>
      </c>
      <c r="G296" s="64" t="s">
        <v>14672</v>
      </c>
      <c r="H296" s="64" t="s">
        <v>13869</v>
      </c>
      <c r="I296" s="64" t="s">
        <v>14690</v>
      </c>
      <c r="J296" s="67">
        <v>0</v>
      </c>
      <c r="K296" s="62">
        <v>0</v>
      </c>
      <c r="L296" t="str">
        <f>VLOOKUP(VALUE(LEFT(C296,5)),Xref!A:B,2,0)</f>
        <v>FIR</v>
      </c>
      <c r="M296" t="str">
        <f t="shared" si="19"/>
        <v>ALP-FIR</v>
      </c>
      <c r="N296" s="33"/>
      <c r="O296" s="33"/>
      <c r="P296" s="33"/>
      <c r="Q296" s="33"/>
    </row>
    <row r="297" spans="1:17" ht="14.25" customHeight="true">
      <c r="A297" s="33" t="str">
        <f t="shared" si="16"/>
        <v>ALP - Intercompany</v>
      </c>
      <c r="B297" s="33" t="str">
        <f t="shared" si="17"/>
        <v>ALP</v>
      </c>
      <c r="C297" s="33" t="str">
        <f t="shared" si="18"/>
        <v>11319-0000</v>
      </c>
      <c r="D297" s="64" t="s">
        <v>369</v>
      </c>
      <c r="E297" s="64" t="s">
        <v>266</v>
      </c>
      <c r="F297" s="64" t="s">
        <v>14039</v>
      </c>
      <c r="G297" s="64" t="s">
        <v>14672</v>
      </c>
      <c r="H297" s="64" t="s">
        <v>13869</v>
      </c>
      <c r="I297" s="64" t="s">
        <v>14690</v>
      </c>
      <c r="J297" s="67">
        <v>0</v>
      </c>
      <c r="K297" s="62">
        <v>-35000</v>
      </c>
      <c r="L297" t="str">
        <f>VLOOKUP(VALUE(LEFT(C297,5)),Xref!A:B,2,0)</f>
        <v>GST</v>
      </c>
      <c r="M297" t="str">
        <f t="shared" si="19"/>
        <v>ALP-GST</v>
      </c>
      <c r="N297" s="33"/>
      <c r="O297" s="33"/>
      <c r="P297" s="33"/>
      <c r="Q297" s="33"/>
    </row>
    <row r="298" spans="1:17" ht="14.25" customHeight="true">
      <c r="A298" s="33" t="str">
        <f t="shared" si="16"/>
        <v>ALP - Intercompany</v>
      </c>
      <c r="B298" s="33" t="str">
        <f t="shared" si="17"/>
        <v>ALP</v>
      </c>
      <c r="C298" s="33" t="str">
        <f t="shared" si="18"/>
        <v>11320-0000</v>
      </c>
      <c r="D298" s="64" t="s">
        <v>15622</v>
      </c>
      <c r="E298" s="64" t="s">
        <v>14111</v>
      </c>
      <c r="F298" s="64" t="s">
        <v>14039</v>
      </c>
      <c r="G298" s="64" t="s">
        <v>14672</v>
      </c>
      <c r="H298" s="64" t="s">
        <v>13869</v>
      </c>
      <c r="I298" s="64" t="s">
        <v>14690</v>
      </c>
      <c r="J298" s="67">
        <v>0</v>
      </c>
      <c r="K298" s="62">
        <v>0</v>
      </c>
      <c r="L298" t="str">
        <f>VLOOKUP(VALUE(LEFT(C298,5)),Xref!A:B,2,0)</f>
        <v>HDN</v>
      </c>
      <c r="M298" t="str">
        <f t="shared" si="19"/>
        <v>ALP-HDN</v>
      </c>
      <c r="N298" s="33"/>
      <c r="O298" s="33"/>
      <c r="P298" s="33"/>
      <c r="Q298" s="33"/>
    </row>
    <row r="299" spans="1:17" ht="14.25" customHeight="true">
      <c r="A299" s="33" t="str">
        <f t="shared" si="16"/>
        <v>ALP - Intercompany</v>
      </c>
      <c r="B299" s="33" t="str">
        <f t="shared" si="17"/>
        <v>ALP</v>
      </c>
      <c r="C299" s="33" t="str">
        <f t="shared" si="18"/>
        <v>11321-0000</v>
      </c>
      <c r="D299" s="64" t="s">
        <v>371</v>
      </c>
      <c r="E299" s="64" t="s">
        <v>13236</v>
      </c>
      <c r="F299" s="64" t="s">
        <v>14039</v>
      </c>
      <c r="G299" s="64" t="s">
        <v>14672</v>
      </c>
      <c r="H299" s="64" t="s">
        <v>13869</v>
      </c>
      <c r="I299" s="64" t="s">
        <v>14690</v>
      </c>
      <c r="J299" s="67">
        <v>0</v>
      </c>
      <c r="K299" s="62">
        <v>12000</v>
      </c>
      <c r="L299" t="str">
        <f>VLOOKUP(VALUE(LEFT(C299,5)),Xref!A:B,2,0)</f>
        <v>OVA</v>
      </c>
      <c r="M299" t="str">
        <f t="shared" si="19"/>
        <v>ALP-OVA</v>
      </c>
      <c r="N299" s="33"/>
      <c r="O299" s="33"/>
      <c r="P299" s="33"/>
      <c r="Q299" s="33"/>
    </row>
    <row r="300" spans="1:17" ht="14.25" customHeight="true">
      <c r="A300" s="33" t="str">
        <f t="shared" si="16"/>
        <v>ALP - Intercompany</v>
      </c>
      <c r="B300" s="33" t="str">
        <f t="shared" si="17"/>
        <v>ALP</v>
      </c>
      <c r="C300" s="33" t="str">
        <f t="shared" si="18"/>
        <v>11322-0000</v>
      </c>
      <c r="D300" s="64" t="s">
        <v>15623</v>
      </c>
      <c r="E300" s="64" t="s">
        <v>13237</v>
      </c>
      <c r="F300" s="64" t="s">
        <v>14039</v>
      </c>
      <c r="G300" s="64" t="s">
        <v>14672</v>
      </c>
      <c r="H300" s="64" t="s">
        <v>13869</v>
      </c>
      <c r="I300" s="64" t="s">
        <v>14690</v>
      </c>
      <c r="J300" s="67">
        <v>0</v>
      </c>
      <c r="K300" s="62">
        <v>0</v>
      </c>
      <c r="L300" t="str">
        <f>VLOOKUP(VALUE(LEFT(C300,5)),Xref!A:B,2,0)</f>
        <v>WOO</v>
      </c>
      <c r="M300" t="str">
        <f t="shared" si="19"/>
        <v>ALP-WOO</v>
      </c>
      <c r="N300" s="33"/>
      <c r="O300" s="33"/>
      <c r="P300" s="33"/>
      <c r="Q300" s="33"/>
    </row>
    <row r="301" spans="1:17" ht="14.25" customHeight="true">
      <c r="A301" s="33" t="str">
        <f t="shared" si="16"/>
        <v>ALP - Intercompany</v>
      </c>
      <c r="B301" s="33" t="str">
        <f t="shared" si="17"/>
        <v>ALP</v>
      </c>
      <c r="C301" s="33" t="str">
        <f t="shared" si="18"/>
        <v>11323-0000</v>
      </c>
      <c r="D301" s="64" t="s">
        <v>15624</v>
      </c>
      <c r="E301" s="64" t="s">
        <v>13478</v>
      </c>
      <c r="F301" s="64" t="s">
        <v>14039</v>
      </c>
      <c r="G301" s="64" t="s">
        <v>14672</v>
      </c>
      <c r="H301" s="64" t="s">
        <v>13869</v>
      </c>
      <c r="I301" s="64" t="s">
        <v>14690</v>
      </c>
      <c r="J301" s="67">
        <v>0</v>
      </c>
      <c r="K301" s="62">
        <v>0</v>
      </c>
      <c r="L301" t="str">
        <f>VLOOKUP(VALUE(LEFT(C301,5)),Xref!A:B,2,0)</f>
        <v>SPI</v>
      </c>
      <c r="M301" t="str">
        <f t="shared" si="19"/>
        <v>ALP-SPI</v>
      </c>
      <c r="N301" s="33"/>
      <c r="O301" s="33"/>
      <c r="P301" s="33"/>
      <c r="Q301" s="33"/>
    </row>
    <row r="302" spans="1:17" ht="14.25" customHeight="true">
      <c r="A302" s="33" t="str">
        <f t="shared" si="16"/>
        <v>ALP - Intercompany</v>
      </c>
      <c r="B302" s="33" t="str">
        <f t="shared" si="17"/>
        <v>ALP</v>
      </c>
      <c r="C302" s="33" t="str">
        <f t="shared" si="18"/>
        <v>11324-0000</v>
      </c>
      <c r="D302" s="64" t="s">
        <v>372</v>
      </c>
      <c r="E302" s="64" t="s">
        <v>13238</v>
      </c>
      <c r="F302" s="64" t="s">
        <v>14039</v>
      </c>
      <c r="G302" s="64" t="s">
        <v>14672</v>
      </c>
      <c r="H302" s="64" t="s">
        <v>13869</v>
      </c>
      <c r="I302" s="64" t="s">
        <v>14690</v>
      </c>
      <c r="J302" s="67">
        <v>0</v>
      </c>
      <c r="K302" s="62">
        <v>-40000</v>
      </c>
      <c r="L302" t="str">
        <f>VLOOKUP(VALUE(LEFT(C302,5)),Xref!A:B,2,0)</f>
        <v>NET</v>
      </c>
      <c r="M302" t="str">
        <f t="shared" si="19"/>
        <v>ALP-NET</v>
      </c>
      <c r="N302" s="33"/>
      <c r="O302" s="33"/>
      <c r="P302" s="33"/>
      <c r="Q302" s="33"/>
    </row>
    <row r="303" spans="1:17" ht="14.25" customHeight="true">
      <c r="A303" s="33" t="str">
        <f t="shared" si="16"/>
        <v>ALP - Intercompany</v>
      </c>
      <c r="B303" s="33" t="str">
        <f t="shared" si="17"/>
        <v>ALP</v>
      </c>
      <c r="C303" s="33" t="str">
        <f t="shared" si="18"/>
        <v>11325-0000</v>
      </c>
      <c r="D303" s="64" t="s">
        <v>373</v>
      </c>
      <c r="E303" s="64" t="s">
        <v>13239</v>
      </c>
      <c r="F303" s="64" t="s">
        <v>14039</v>
      </c>
      <c r="G303" s="64" t="s">
        <v>14672</v>
      </c>
      <c r="H303" s="64" t="s">
        <v>13869</v>
      </c>
      <c r="I303" s="64" t="s">
        <v>14690</v>
      </c>
      <c r="J303" s="67">
        <v>0</v>
      </c>
      <c r="K303" s="62">
        <v>10000</v>
      </c>
      <c r="L303" t="str">
        <f>VLOOKUP(VALUE(LEFT(C303,5)),Xref!A:B,2,0)</f>
        <v>DPI</v>
      </c>
      <c r="M303" t="str">
        <f t="shared" si="19"/>
        <v>ALP-DPI</v>
      </c>
      <c r="N303" s="33"/>
      <c r="O303" s="33"/>
      <c r="P303" s="33"/>
      <c r="Q303" s="33"/>
    </row>
    <row r="304" spans="1:17" ht="14.25" customHeight="true">
      <c r="A304" s="33" t="str">
        <f t="shared" si="16"/>
        <v>ALP - Intercompany</v>
      </c>
      <c r="B304" s="33" t="str">
        <f t="shared" si="17"/>
        <v>ALP</v>
      </c>
      <c r="C304" s="33" t="str">
        <f t="shared" si="18"/>
        <v>11326-0000</v>
      </c>
      <c r="D304" s="64" t="s">
        <v>374</v>
      </c>
      <c r="E304" s="64" t="s">
        <v>13240</v>
      </c>
      <c r="F304" s="64" t="s">
        <v>14039</v>
      </c>
      <c r="G304" s="64" t="s">
        <v>14672</v>
      </c>
      <c r="H304" s="64" t="s">
        <v>13869</v>
      </c>
      <c r="I304" s="64" t="s">
        <v>14690</v>
      </c>
      <c r="J304" s="67">
        <v>0</v>
      </c>
      <c r="K304" s="62">
        <v>35000</v>
      </c>
      <c r="L304" t="str">
        <f>VLOOKUP(VALUE(LEFT(C304,5)),Xref!A:B,2,0)</f>
        <v>SEK</v>
      </c>
      <c r="M304" t="str">
        <f t="shared" si="19"/>
        <v>ALP-SEK</v>
      </c>
      <c r="N304" s="33"/>
      <c r="O304" s="33"/>
      <c r="P304" s="33"/>
      <c r="Q304" s="33"/>
    </row>
    <row r="305" spans="1:17" ht="14.25" customHeight="true">
      <c r="A305" s="33" t="str">
        <f t="shared" si="16"/>
        <v>ALP - Intercompany</v>
      </c>
      <c r="B305" s="33" t="str">
        <f t="shared" si="17"/>
        <v>ALP</v>
      </c>
      <c r="C305" s="33" t="str">
        <f t="shared" si="18"/>
        <v>11327-0000</v>
      </c>
      <c r="D305" s="64" t="s">
        <v>15625</v>
      </c>
      <c r="E305" s="64" t="s">
        <v>14119</v>
      </c>
      <c r="F305" s="64" t="s">
        <v>14039</v>
      </c>
      <c r="G305" s="64" t="s">
        <v>14672</v>
      </c>
      <c r="H305" s="64" t="s">
        <v>13869</v>
      </c>
      <c r="I305" s="64" t="s">
        <v>14690</v>
      </c>
      <c r="J305" s="67">
        <v>0</v>
      </c>
      <c r="K305" s="62">
        <v>0</v>
      </c>
      <c r="L305" t="str">
        <f>VLOOKUP(VALUE(LEFT(C305,5)),Xref!A:B,2,0)</f>
        <v>CPI</v>
      </c>
      <c r="M305" t="str">
        <f t="shared" si="19"/>
        <v>ALP-CPI</v>
      </c>
      <c r="N305" s="33"/>
      <c r="O305" s="33"/>
      <c r="P305" s="33"/>
      <c r="Q305" s="33"/>
    </row>
    <row r="306" spans="1:17" ht="14.25" customHeight="true">
      <c r="A306" s="33" t="str">
        <f t="shared" si="16"/>
        <v>ALP - Intercompany</v>
      </c>
      <c r="B306" s="33" t="str">
        <f t="shared" si="17"/>
        <v>ALP</v>
      </c>
      <c r="C306" s="33" t="str">
        <f t="shared" si="18"/>
        <v>11328-0000</v>
      </c>
      <c r="D306" s="64" t="s">
        <v>375</v>
      </c>
      <c r="E306" s="64" t="s">
        <v>13241</v>
      </c>
      <c r="F306" s="64" t="s">
        <v>14039</v>
      </c>
      <c r="G306" s="64" t="s">
        <v>14672</v>
      </c>
      <c r="H306" s="64" t="s">
        <v>13869</v>
      </c>
      <c r="I306" s="64" t="s">
        <v>14690</v>
      </c>
      <c r="J306" s="67">
        <v>0</v>
      </c>
      <c r="K306" s="62">
        <v>10000</v>
      </c>
      <c r="L306" t="str">
        <f>VLOOKUP(VALUE(LEFT(C306,5)),Xref!A:B,2,0)</f>
        <v>LOM</v>
      </c>
      <c r="M306" t="str">
        <f t="shared" si="19"/>
        <v>ALP-LOM</v>
      </c>
      <c r="N306" s="33"/>
      <c r="O306" s="33"/>
      <c r="P306" s="33"/>
      <c r="Q306" s="33"/>
    </row>
    <row r="307" spans="1:17" ht="14.25" customHeight="true">
      <c r="A307" s="33" t="str">
        <f t="shared" si="16"/>
        <v>ALP - Intercompany</v>
      </c>
      <c r="B307" s="33" t="str">
        <f t="shared" si="17"/>
        <v>ALP</v>
      </c>
      <c r="C307" s="33" t="str">
        <f t="shared" si="18"/>
        <v>11329-0000</v>
      </c>
      <c r="D307" s="64" t="s">
        <v>376</v>
      </c>
      <c r="E307" s="64" t="s">
        <v>13353</v>
      </c>
      <c r="F307" s="64" t="s">
        <v>14039</v>
      </c>
      <c r="G307" s="64" t="s">
        <v>14672</v>
      </c>
      <c r="H307" s="64" t="s">
        <v>13869</v>
      </c>
      <c r="I307" s="64" t="s">
        <v>14690</v>
      </c>
      <c r="J307" s="67">
        <v>0</v>
      </c>
      <c r="K307" s="62">
        <v>55000</v>
      </c>
      <c r="L307" t="str">
        <f>VLOOKUP(VALUE(LEFT(C307,5)),Xref!A:B,2,0)</f>
        <v>AKS</v>
      </c>
      <c r="M307" t="str">
        <f t="shared" si="19"/>
        <v>AKS-ALP</v>
      </c>
      <c r="N307" s="33"/>
      <c r="O307" s="33"/>
      <c r="P307" s="33"/>
      <c r="Q307" s="33"/>
    </row>
    <row r="308" spans="1:17" ht="14.25" customHeight="true">
      <c r="A308" s="33" t="str">
        <f t="shared" si="16"/>
        <v>ALP - Intercompany</v>
      </c>
      <c r="B308" s="33" t="str">
        <f t="shared" si="17"/>
        <v>ALP</v>
      </c>
      <c r="C308" s="33" t="str">
        <f t="shared" si="18"/>
        <v>11330-0000</v>
      </c>
      <c r="D308" s="64" t="s">
        <v>15626</v>
      </c>
      <c r="E308" s="64" t="s">
        <v>13242</v>
      </c>
      <c r="F308" s="64" t="s">
        <v>14039</v>
      </c>
      <c r="G308" s="64" t="s">
        <v>14672</v>
      </c>
      <c r="H308" s="64" t="s">
        <v>13869</v>
      </c>
      <c r="I308" s="64" t="s">
        <v>14690</v>
      </c>
      <c r="J308" s="67">
        <v>0</v>
      </c>
      <c r="K308" s="62">
        <v>0</v>
      </c>
      <c r="L308" t="str">
        <f>VLOOKUP(VALUE(LEFT(C308,5)),Xref!A:B,2,0)</f>
        <v>MAR</v>
      </c>
      <c r="M308" t="str">
        <f t="shared" si="19"/>
        <v>ALP-MAR</v>
      </c>
      <c r="N308" s="33"/>
      <c r="O308" s="33"/>
      <c r="P308" s="33"/>
      <c r="Q308" s="33"/>
    </row>
    <row r="309" spans="1:17" ht="14.25" customHeight="true">
      <c r="A309" s="33" t="str">
        <f t="shared" si="16"/>
        <v>ALP - Intercompany</v>
      </c>
      <c r="B309" s="33" t="str">
        <f t="shared" si="17"/>
        <v>ALP</v>
      </c>
      <c r="C309" s="33" t="str">
        <f t="shared" si="18"/>
        <v>11331-0000</v>
      </c>
      <c r="D309" s="64" t="s">
        <v>378</v>
      </c>
      <c r="E309" s="64" t="s">
        <v>13354</v>
      </c>
      <c r="F309" s="64" t="s">
        <v>14039</v>
      </c>
      <c r="G309" s="64" t="s">
        <v>14672</v>
      </c>
      <c r="H309" s="64" t="s">
        <v>13869</v>
      </c>
      <c r="I309" s="64" t="s">
        <v>14690</v>
      </c>
      <c r="J309" s="67">
        <v>0</v>
      </c>
      <c r="K309" s="62">
        <v>20000</v>
      </c>
      <c r="L309" t="str">
        <f>VLOOKUP(VALUE(LEFT(C309,5)),Xref!A:B,2,0)</f>
        <v>WIL</v>
      </c>
      <c r="M309" t="str">
        <f t="shared" si="19"/>
        <v>ALP-WIL</v>
      </c>
      <c r="N309" s="33"/>
      <c r="O309" s="33"/>
      <c r="P309" s="33"/>
      <c r="Q309" s="33"/>
    </row>
    <row r="310" spans="1:17" ht="14.25" customHeight="true">
      <c r="A310" s="33" t="str">
        <f t="shared" si="16"/>
        <v>ALP - Intercompany</v>
      </c>
      <c r="B310" s="33" t="str">
        <f t="shared" si="17"/>
        <v>ALP</v>
      </c>
      <c r="C310" s="33" t="str">
        <f t="shared" si="18"/>
        <v>11332-0000</v>
      </c>
      <c r="D310" s="64" t="s">
        <v>380</v>
      </c>
      <c r="E310" s="64" t="s">
        <v>13243</v>
      </c>
      <c r="F310" s="64" t="s">
        <v>14039</v>
      </c>
      <c r="G310" s="64" t="s">
        <v>14672</v>
      </c>
      <c r="H310" s="64" t="s">
        <v>13869</v>
      </c>
      <c r="I310" s="64" t="s">
        <v>14690</v>
      </c>
      <c r="J310" s="67">
        <v>0</v>
      </c>
      <c r="K310" s="62">
        <v>70000</v>
      </c>
      <c r="L310" t="str">
        <f>VLOOKUP(VALUE(LEFT(C310,5)),Xref!A:B,2,0)</f>
        <v>STO</v>
      </c>
      <c r="M310" t="str">
        <f t="shared" si="19"/>
        <v>ALP-STO</v>
      </c>
      <c r="N310" s="33"/>
      <c r="O310" s="33"/>
      <c r="P310" s="33"/>
      <c r="Q310" s="33"/>
    </row>
    <row r="311" spans="1:17" ht="14.25" customHeight="true">
      <c r="A311" s="33" t="str">
        <f t="shared" si="16"/>
        <v>ALP - Intercompany</v>
      </c>
      <c r="B311" s="33" t="str">
        <f t="shared" si="17"/>
        <v>ALP</v>
      </c>
      <c r="C311" s="33" t="str">
        <f t="shared" si="18"/>
        <v>11333-0000</v>
      </c>
      <c r="D311" s="64" t="s">
        <v>15627</v>
      </c>
      <c r="E311" s="64" t="s">
        <v>13244</v>
      </c>
      <c r="F311" s="64" t="s">
        <v>14039</v>
      </c>
      <c r="G311" s="64" t="s">
        <v>14672</v>
      </c>
      <c r="H311" s="64" t="s">
        <v>13869</v>
      </c>
      <c r="I311" s="64" t="s">
        <v>14690</v>
      </c>
      <c r="J311" s="67">
        <v>0</v>
      </c>
      <c r="K311" s="62">
        <v>0</v>
      </c>
      <c r="L311" t="str">
        <f>VLOOKUP(VALUE(LEFT(C311,5)),Xref!A:B,2,0)</f>
        <v>ANG</v>
      </c>
      <c r="M311" t="str">
        <f t="shared" si="19"/>
        <v>ALP-ANG</v>
      </c>
      <c r="N311" s="33"/>
      <c r="O311" s="33"/>
      <c r="P311" s="33"/>
      <c r="Q311" s="33"/>
    </row>
    <row r="312" spans="1:17" ht="14.25" customHeight="true">
      <c r="A312" s="33" t="str">
        <f t="shared" si="16"/>
        <v>ALP - Intercompany</v>
      </c>
      <c r="B312" s="33" t="str">
        <f t="shared" si="17"/>
        <v>ALP</v>
      </c>
      <c r="C312" s="33" t="str">
        <f t="shared" si="18"/>
        <v>11334-0000</v>
      </c>
      <c r="D312" s="64" t="s">
        <v>381</v>
      </c>
      <c r="E312" s="64" t="s">
        <v>13245</v>
      </c>
      <c r="F312" s="64" t="s">
        <v>14039</v>
      </c>
      <c r="G312" s="64" t="s">
        <v>14672</v>
      </c>
      <c r="H312" s="64" t="s">
        <v>13869</v>
      </c>
      <c r="I312" s="64" t="s">
        <v>14690</v>
      </c>
      <c r="J312" s="67">
        <v>0</v>
      </c>
      <c r="K312" s="62">
        <v>10000</v>
      </c>
      <c r="L312" t="str">
        <f>VLOOKUP(VALUE(LEFT(C312,5)),Xref!A:B,2,0)</f>
        <v>BRU</v>
      </c>
      <c r="M312" t="str">
        <f t="shared" si="19"/>
        <v>ALP-BRU</v>
      </c>
      <c r="N312" s="33"/>
      <c r="O312" s="33"/>
      <c r="P312" s="33"/>
      <c r="Q312" s="33"/>
    </row>
    <row r="313" spans="1:17" ht="14.25" customHeight="true">
      <c r="A313" s="33" t="str">
        <f t="shared" si="16"/>
        <v>ALP - Intercompany</v>
      </c>
      <c r="B313" s="33" t="str">
        <f t="shared" si="17"/>
        <v>ALP</v>
      </c>
      <c r="C313" s="33" t="str">
        <f t="shared" si="18"/>
        <v>11335-0000</v>
      </c>
      <c r="D313" s="64" t="s">
        <v>15628</v>
      </c>
      <c r="E313" s="64" t="s">
        <v>13246</v>
      </c>
      <c r="F313" s="64" t="s">
        <v>14039</v>
      </c>
      <c r="G313" s="64" t="s">
        <v>14672</v>
      </c>
      <c r="H313" s="64" t="s">
        <v>13869</v>
      </c>
      <c r="I313" s="64" t="s">
        <v>14690</v>
      </c>
      <c r="J313" s="67">
        <v>0</v>
      </c>
      <c r="K313" s="62">
        <v>0</v>
      </c>
      <c r="L313" t="str">
        <f>VLOOKUP(VALUE(LEFT(C313,5)),Xref!A:B,2,0)</f>
        <v>VEN</v>
      </c>
      <c r="M313" t="str">
        <f t="shared" si="19"/>
        <v>ALP-VEN</v>
      </c>
      <c r="N313" s="33"/>
      <c r="O313" s="33"/>
      <c r="P313" s="33"/>
      <c r="Q313" s="33"/>
    </row>
    <row r="314" spans="1:17" ht="14.25" customHeight="true">
      <c r="A314" s="33" t="str">
        <f t="shared" si="16"/>
        <v>ALP - Intercompany</v>
      </c>
      <c r="B314" s="33" t="str">
        <f t="shared" si="17"/>
        <v>ALP</v>
      </c>
      <c r="C314" s="33" t="str">
        <f t="shared" si="18"/>
        <v>11336-0000</v>
      </c>
      <c r="D314" s="64" t="s">
        <v>15629</v>
      </c>
      <c r="E314" s="64" t="s">
        <v>13247</v>
      </c>
      <c r="F314" s="64" t="s">
        <v>14039</v>
      </c>
      <c r="G314" s="64" t="s">
        <v>14672</v>
      </c>
      <c r="H314" s="64" t="s">
        <v>13869</v>
      </c>
      <c r="I314" s="64" t="s">
        <v>14690</v>
      </c>
      <c r="J314" s="67">
        <v>0</v>
      </c>
      <c r="K314" s="62">
        <v>0</v>
      </c>
      <c r="L314" t="str">
        <f>VLOOKUP(VALUE(LEFT(C314,5)),Xref!A:B,2,0)</f>
        <v>SAT</v>
      </c>
      <c r="M314" t="str">
        <f t="shared" si="19"/>
        <v>ALP-SAT</v>
      </c>
      <c r="N314" s="33"/>
      <c r="O314" s="33"/>
      <c r="P314" s="33"/>
      <c r="Q314" s="33"/>
    </row>
    <row r="315" spans="1:17" ht="14.25" customHeight="true">
      <c r="A315" s="33" t="str">
        <f t="shared" si="16"/>
        <v>ALP - Intercompany</v>
      </c>
      <c r="B315" s="33" t="str">
        <f t="shared" si="17"/>
        <v>ALP</v>
      </c>
      <c r="C315" s="33" t="str">
        <f t="shared" si="18"/>
        <v>11337-0000</v>
      </c>
      <c r="D315" s="64" t="s">
        <v>382</v>
      </c>
      <c r="E315" s="64" t="s">
        <v>13248</v>
      </c>
      <c r="F315" s="64" t="s">
        <v>14039</v>
      </c>
      <c r="G315" s="64" t="s">
        <v>14672</v>
      </c>
      <c r="H315" s="64" t="s">
        <v>13869</v>
      </c>
      <c r="I315" s="64" t="s">
        <v>14690</v>
      </c>
      <c r="J315" s="67">
        <v>0</v>
      </c>
      <c r="K315" s="62">
        <v>15000</v>
      </c>
      <c r="L315" t="str">
        <f>VLOOKUP(VALUE(LEFT(C315,5)),Xref!A:B,2,0)</f>
        <v>NEP</v>
      </c>
      <c r="M315" t="str">
        <f t="shared" si="19"/>
        <v>ALP-NEP</v>
      </c>
      <c r="N315" s="33"/>
      <c r="O315" s="33"/>
      <c r="P315" s="33"/>
      <c r="Q315" s="33"/>
    </row>
    <row r="316" spans="1:17" ht="14.25" customHeight="true">
      <c r="A316" s="33" t="str">
        <f t="shared" si="16"/>
        <v>ALP - Intercompany</v>
      </c>
      <c r="B316" s="33" t="str">
        <f t="shared" si="17"/>
        <v>ALP</v>
      </c>
      <c r="C316" s="33" t="str">
        <f t="shared" si="18"/>
        <v>11338-0000</v>
      </c>
      <c r="D316" s="64" t="s">
        <v>15630</v>
      </c>
      <c r="E316" s="64" t="s">
        <v>14131</v>
      </c>
      <c r="F316" s="64" t="s">
        <v>14039</v>
      </c>
      <c r="G316" s="64" t="s">
        <v>14672</v>
      </c>
      <c r="H316" s="64" t="s">
        <v>13869</v>
      </c>
      <c r="I316" s="64" t="s">
        <v>14690</v>
      </c>
      <c r="J316" s="67">
        <v>0</v>
      </c>
      <c r="K316" s="62">
        <v>0</v>
      </c>
      <c r="L316" t="str">
        <f>VLOOKUP(VALUE(LEFT(C316,5)),Xref!A:B,2,0)</f>
        <v>JUP</v>
      </c>
      <c r="M316" t="str">
        <f t="shared" si="19"/>
        <v>ALP-JUP</v>
      </c>
      <c r="N316" s="33"/>
      <c r="O316" s="33"/>
      <c r="P316" s="33"/>
      <c r="Q316" s="33"/>
    </row>
    <row r="317" spans="1:17" ht="14.25" customHeight="true">
      <c r="A317" s="33" t="str">
        <f t="shared" si="16"/>
        <v>ALP - Intercompany</v>
      </c>
      <c r="B317" s="33" t="str">
        <f t="shared" si="17"/>
        <v>ALP</v>
      </c>
      <c r="C317" s="33" t="str">
        <f t="shared" si="18"/>
        <v>11339-0000</v>
      </c>
      <c r="D317" s="64" t="s">
        <v>15631</v>
      </c>
      <c r="E317" s="64" t="s">
        <v>14133</v>
      </c>
      <c r="F317" s="64" t="s">
        <v>14039</v>
      </c>
      <c r="G317" s="64" t="s">
        <v>14672</v>
      </c>
      <c r="H317" s="64" t="s">
        <v>13869</v>
      </c>
      <c r="I317" s="64" t="s">
        <v>14690</v>
      </c>
      <c r="J317" s="67">
        <v>0</v>
      </c>
      <c r="K317" s="62">
        <v>0</v>
      </c>
      <c r="L317" t="str">
        <f>VLOOKUP(VALUE(LEFT(C317,5)),Xref!A:B,2,0)</f>
        <v>WES</v>
      </c>
      <c r="M317" t="str">
        <f t="shared" si="19"/>
        <v>ALP-WES</v>
      </c>
      <c r="N317" s="33"/>
      <c r="O317" s="33"/>
      <c r="P317" s="33"/>
      <c r="Q317" s="33"/>
    </row>
    <row r="318" spans="1:17" ht="14.25" customHeight="true">
      <c r="A318" s="33" t="str">
        <f t="shared" si="16"/>
        <v>ALP - Intercompany</v>
      </c>
      <c r="B318" s="33" t="str">
        <f t="shared" si="17"/>
        <v>ALP</v>
      </c>
      <c r="C318" s="33" t="str">
        <f t="shared" si="18"/>
        <v>11340-0000</v>
      </c>
      <c r="D318" s="64" t="s">
        <v>15632</v>
      </c>
      <c r="E318" s="64" t="s">
        <v>14135</v>
      </c>
      <c r="F318" s="64" t="s">
        <v>14039</v>
      </c>
      <c r="G318" s="64" t="s">
        <v>14672</v>
      </c>
      <c r="H318" s="64" t="s">
        <v>13869</v>
      </c>
      <c r="I318" s="64" t="s">
        <v>14690</v>
      </c>
      <c r="J318" s="67">
        <v>0</v>
      </c>
      <c r="K318" s="62">
        <v>0</v>
      </c>
      <c r="L318" t="str">
        <f>VLOOKUP(VALUE(LEFT(C318,5)),Xref!A:B,2,0)</f>
        <v>LCP</v>
      </c>
      <c r="M318" t="str">
        <f t="shared" si="19"/>
        <v>ALP-LCP</v>
      </c>
      <c r="N318" s="33"/>
      <c r="O318" s="33"/>
      <c r="P318" s="33"/>
      <c r="Q318" s="33"/>
    </row>
    <row r="319" spans="1:17" ht="14.25" customHeight="true">
      <c r="A319" s="33" t="str">
        <f t="shared" si="16"/>
        <v>ALP - Intercompany</v>
      </c>
      <c r="B319" s="33" t="str">
        <f t="shared" si="17"/>
        <v>ALP</v>
      </c>
      <c r="C319" s="33" t="str">
        <f t="shared" si="18"/>
        <v>11341-0000</v>
      </c>
      <c r="D319" s="64" t="s">
        <v>15633</v>
      </c>
      <c r="E319" s="64" t="s">
        <v>13639</v>
      </c>
      <c r="F319" s="64" t="s">
        <v>14039</v>
      </c>
      <c r="G319" s="64" t="s">
        <v>14672</v>
      </c>
      <c r="H319" s="64" t="s">
        <v>13869</v>
      </c>
      <c r="I319" s="64" t="s">
        <v>14690</v>
      </c>
      <c r="J319" s="67">
        <v>0</v>
      </c>
      <c r="K319" s="62">
        <v>0</v>
      </c>
      <c r="L319" t="str">
        <f>VLOOKUP(VALUE(LEFT(C319,5)),Xref!A:B,2,0)</f>
        <v>NOR</v>
      </c>
      <c r="M319" t="str">
        <f t="shared" si="19"/>
        <v>ALP-NOR</v>
      </c>
      <c r="N319" s="33"/>
      <c r="O319" s="33"/>
      <c r="P319" s="33"/>
      <c r="Q319" s="33"/>
    </row>
    <row r="320" spans="1:17" ht="14.25" customHeight="true">
      <c r="A320" s="33" t="str">
        <f t="shared" si="16"/>
        <v>ALP - Intercompany</v>
      </c>
      <c r="B320" s="33" t="str">
        <f t="shared" si="17"/>
        <v>ALP</v>
      </c>
      <c r="C320" s="33" t="str">
        <f t="shared" si="18"/>
        <v>11342-0000</v>
      </c>
      <c r="D320" s="64" t="s">
        <v>383</v>
      </c>
      <c r="E320" s="64" t="s">
        <v>13355</v>
      </c>
      <c r="F320" s="64" t="s">
        <v>14039</v>
      </c>
      <c r="G320" s="64" t="s">
        <v>14672</v>
      </c>
      <c r="H320" s="64" t="s">
        <v>13869</v>
      </c>
      <c r="I320" s="64" t="s">
        <v>14690</v>
      </c>
      <c r="J320" s="67">
        <v>0</v>
      </c>
      <c r="K320" s="62">
        <v>70000</v>
      </c>
      <c r="L320" t="str">
        <f>VLOOKUP(VALUE(LEFT(C320,5)),Xref!A:B,2,0)</f>
        <v>EAS</v>
      </c>
      <c r="M320" t="str">
        <f t="shared" si="19"/>
        <v>ALP-EAS</v>
      </c>
      <c r="N320" s="33"/>
      <c r="O320" s="33"/>
      <c r="P320" s="33"/>
      <c r="Q320" s="33"/>
    </row>
    <row r="321" spans="1:17" ht="14.25" customHeight="true">
      <c r="A321" s="33" t="str">
        <f t="shared" si="16"/>
        <v>ALP - Intercompany</v>
      </c>
      <c r="B321" s="33" t="str">
        <f t="shared" si="17"/>
        <v>ALP</v>
      </c>
      <c r="C321" s="33" t="str">
        <f t="shared" si="18"/>
        <v>11343-0000</v>
      </c>
      <c r="D321" s="64" t="s">
        <v>15634</v>
      </c>
      <c r="E321" s="64" t="s">
        <v>14139</v>
      </c>
      <c r="F321" s="64" t="s">
        <v>14039</v>
      </c>
      <c r="G321" s="64" t="s">
        <v>14672</v>
      </c>
      <c r="H321" s="64" t="s">
        <v>13869</v>
      </c>
      <c r="I321" s="64" t="s">
        <v>14690</v>
      </c>
      <c r="J321" s="67">
        <v>0</v>
      </c>
      <c r="K321" s="62">
        <v>0</v>
      </c>
      <c r="L321" t="str">
        <f>VLOOKUP(VALUE(LEFT(C321,5)),Xref!A:B,2,0)</f>
        <v>GRA</v>
      </c>
      <c r="M321" t="str">
        <f t="shared" si="19"/>
        <v>ALP-GRA</v>
      </c>
      <c r="N321" s="33"/>
      <c r="O321" s="33"/>
      <c r="P321" s="33"/>
      <c r="Q321" s="33"/>
    </row>
    <row r="322" spans="1:17" ht="14.25" customHeight="true">
      <c r="A322" s="33" t="str">
        <f t="shared" ref="A322:A385" si="20">B322&amp;" - "&amp;TRIM(H322)</f>
        <v>ALP - Intercompany</v>
      </c>
      <c r="B322" s="33" t="str">
        <f t="shared" ref="B322:B385" si="21">LEFT(D322,3)</f>
        <v>ALP</v>
      </c>
      <c r="C322" s="33" t="str">
        <f t="shared" ref="C322:C385" si="22">RIGHT(D322,10)</f>
        <v>11344-0000</v>
      </c>
      <c r="D322" s="64" t="s">
        <v>15635</v>
      </c>
      <c r="E322" s="64" t="s">
        <v>14141</v>
      </c>
      <c r="F322" s="64" t="s">
        <v>14039</v>
      </c>
      <c r="G322" s="64" t="s">
        <v>14672</v>
      </c>
      <c r="H322" s="64" t="s">
        <v>13869</v>
      </c>
      <c r="I322" s="64" t="s">
        <v>14690</v>
      </c>
      <c r="J322" s="67">
        <v>0</v>
      </c>
      <c r="K322" s="62">
        <v>0</v>
      </c>
      <c r="L322" t="str">
        <f>VLOOKUP(VALUE(LEFT(C322,5)),Xref!A:B,2,0)</f>
        <v>SOU</v>
      </c>
      <c r="M322" t="str">
        <f t="shared" ref="M322:M385" si="23">IF(B322&lt;L322,B322&amp;"-"&amp;L322,L322&amp;"-"&amp;B322)</f>
        <v>ALP-SOU</v>
      </c>
      <c r="N322" s="33"/>
      <c r="O322" s="33"/>
      <c r="P322" s="33"/>
      <c r="Q322" s="33"/>
    </row>
    <row r="323" spans="1:17" ht="14.25" customHeight="true">
      <c r="A323" s="33" t="str">
        <f t="shared" si="20"/>
        <v>ALP - Intercompany</v>
      </c>
      <c r="B323" s="33" t="str">
        <f t="shared" si="21"/>
        <v>ALP</v>
      </c>
      <c r="C323" s="33" t="str">
        <f t="shared" si="22"/>
        <v>11345-0000</v>
      </c>
      <c r="D323" s="64" t="s">
        <v>15636</v>
      </c>
      <c r="E323" s="64" t="s">
        <v>14143</v>
      </c>
      <c r="F323" s="64" t="s">
        <v>14039</v>
      </c>
      <c r="G323" s="64" t="s">
        <v>14672</v>
      </c>
      <c r="H323" s="64" t="s">
        <v>13869</v>
      </c>
      <c r="I323" s="64" t="s">
        <v>14690</v>
      </c>
      <c r="J323" s="67">
        <v>0</v>
      </c>
      <c r="K323" s="62">
        <v>0</v>
      </c>
      <c r="L323" t="str">
        <f>VLOOKUP(VALUE(LEFT(C323,5)),Xref!A:B,2,0)</f>
        <v>API</v>
      </c>
      <c r="M323" t="str">
        <f t="shared" si="23"/>
        <v>ALP-API</v>
      </c>
      <c r="N323" s="33"/>
      <c r="O323" s="33"/>
      <c r="P323" s="33"/>
      <c r="Q323" s="33"/>
    </row>
    <row r="324" spans="1:17" ht="14.25" customHeight="true">
      <c r="A324" s="33" t="str">
        <f t="shared" si="20"/>
        <v>ALP - Intercompany</v>
      </c>
      <c r="B324" s="33" t="str">
        <f t="shared" si="21"/>
        <v>ALP</v>
      </c>
      <c r="C324" s="33" t="str">
        <f t="shared" si="22"/>
        <v>11346-0000</v>
      </c>
      <c r="D324" s="64" t="s">
        <v>15637</v>
      </c>
      <c r="E324" s="64" t="s">
        <v>14145</v>
      </c>
      <c r="F324" s="64" t="s">
        <v>14039</v>
      </c>
      <c r="G324" s="64" t="s">
        <v>14672</v>
      </c>
      <c r="H324" s="64" t="s">
        <v>13869</v>
      </c>
      <c r="I324" s="64" t="s">
        <v>14690</v>
      </c>
      <c r="J324" s="67">
        <v>0</v>
      </c>
      <c r="K324" s="62">
        <v>0</v>
      </c>
      <c r="L324" t="str">
        <f>VLOOKUP(VALUE(LEFT(C324,5)),Xref!A:B,2,0)</f>
        <v>DPH</v>
      </c>
      <c r="M324" t="str">
        <f t="shared" si="23"/>
        <v>ALP-DPH</v>
      </c>
      <c r="N324" s="33"/>
      <c r="O324" s="33"/>
      <c r="P324" s="33"/>
      <c r="Q324" s="33"/>
    </row>
    <row r="325" spans="1:17" ht="14.25" customHeight="true">
      <c r="A325" s="33" t="str">
        <f t="shared" si="20"/>
        <v>ALP - Intercompany</v>
      </c>
      <c r="B325" s="33" t="str">
        <f t="shared" si="21"/>
        <v>ALP</v>
      </c>
      <c r="C325" s="33" t="str">
        <f t="shared" si="22"/>
        <v>11347-0000</v>
      </c>
      <c r="D325" s="64" t="s">
        <v>15638</v>
      </c>
      <c r="E325" s="64" t="s">
        <v>14147</v>
      </c>
      <c r="F325" s="64" t="s">
        <v>14039</v>
      </c>
      <c r="G325" s="64" t="s">
        <v>14672</v>
      </c>
      <c r="H325" s="64" t="s">
        <v>13869</v>
      </c>
      <c r="I325" s="64" t="s">
        <v>14690</v>
      </c>
      <c r="J325" s="67">
        <v>0</v>
      </c>
      <c r="K325" s="62">
        <v>0</v>
      </c>
      <c r="L325" t="str">
        <f>VLOOKUP(VALUE(LEFT(C325,5)),Xref!A:B,2,0)</f>
        <v>ZPI</v>
      </c>
      <c r="M325" t="str">
        <f t="shared" si="23"/>
        <v>ALP-ZPI</v>
      </c>
      <c r="N325" s="33"/>
      <c r="O325" s="33"/>
      <c r="P325" s="33"/>
      <c r="Q325" s="33"/>
    </row>
    <row r="326" spans="1:17" ht="14.25" customHeight="true">
      <c r="A326" s="33" t="str">
        <f t="shared" si="20"/>
        <v>ALP - Intercompany</v>
      </c>
      <c r="B326" s="33" t="str">
        <f t="shared" si="21"/>
        <v>ALP</v>
      </c>
      <c r="C326" s="33" t="str">
        <f t="shared" si="22"/>
        <v>11348-0000</v>
      </c>
      <c r="D326" s="64" t="s">
        <v>15639</v>
      </c>
      <c r="E326" s="64" t="s">
        <v>14149</v>
      </c>
      <c r="F326" s="64" t="s">
        <v>14039</v>
      </c>
      <c r="G326" s="64" t="s">
        <v>14672</v>
      </c>
      <c r="H326" s="64" t="s">
        <v>13869</v>
      </c>
      <c r="I326" s="64" t="s">
        <v>14690</v>
      </c>
      <c r="J326" s="67">
        <v>0</v>
      </c>
      <c r="K326" s="62">
        <v>0</v>
      </c>
      <c r="L326" t="str">
        <f>VLOOKUP(VALUE(LEFT(C326,5)),Xref!A:B,2,0)</f>
        <v>EAM</v>
      </c>
      <c r="M326" t="str">
        <f t="shared" si="23"/>
        <v>ALP-EAM</v>
      </c>
      <c r="N326" s="33"/>
      <c r="O326" s="33"/>
      <c r="P326" s="33"/>
      <c r="Q326" s="33"/>
    </row>
    <row r="327" spans="1:17" ht="14.25" customHeight="true">
      <c r="A327" s="33" t="str">
        <f t="shared" si="20"/>
        <v>ALP - Intercompany</v>
      </c>
      <c r="B327" s="33" t="str">
        <f t="shared" si="21"/>
        <v>ALP</v>
      </c>
      <c r="C327" s="33" t="str">
        <f t="shared" si="22"/>
        <v>11349-0000</v>
      </c>
      <c r="D327" s="64" t="s">
        <v>15640</v>
      </c>
      <c r="E327" s="64" t="s">
        <v>14151</v>
      </c>
      <c r="F327" s="64" t="s">
        <v>14039</v>
      </c>
      <c r="G327" s="64" t="s">
        <v>14672</v>
      </c>
      <c r="H327" s="64" t="s">
        <v>13869</v>
      </c>
      <c r="I327" s="64" t="s">
        <v>14690</v>
      </c>
      <c r="J327" s="67">
        <v>0</v>
      </c>
      <c r="K327" s="62">
        <v>0</v>
      </c>
      <c r="L327" t="str">
        <f>VLOOKUP(VALUE(LEFT(C327,5)),Xref!A:B,2,0)</f>
        <v>SEA</v>
      </c>
      <c r="M327" t="str">
        <f t="shared" si="23"/>
        <v>ALP-SEA</v>
      </c>
      <c r="N327" s="33"/>
      <c r="O327" s="33"/>
      <c r="P327" s="33"/>
      <c r="Q327" s="33"/>
    </row>
    <row r="328" spans="1:17" ht="14.25" customHeight="true">
      <c r="A328" s="33" t="str">
        <f t="shared" si="20"/>
        <v>ALP - Intercompany</v>
      </c>
      <c r="B328" s="33" t="str">
        <f t="shared" si="21"/>
        <v>ALP</v>
      </c>
      <c r="C328" s="33" t="str">
        <f t="shared" si="22"/>
        <v>11350-0000</v>
      </c>
      <c r="D328" s="64" t="s">
        <v>15641</v>
      </c>
      <c r="E328" s="64" t="s">
        <v>14153</v>
      </c>
      <c r="F328" s="64" t="s">
        <v>14039</v>
      </c>
      <c r="G328" s="64" t="s">
        <v>14672</v>
      </c>
      <c r="H328" s="64" t="s">
        <v>13869</v>
      </c>
      <c r="I328" s="64" t="s">
        <v>14690</v>
      </c>
      <c r="J328" s="67">
        <v>0</v>
      </c>
      <c r="K328" s="62">
        <v>-50.21</v>
      </c>
      <c r="L328" t="str">
        <f>VLOOKUP(VALUE(LEFT(C328,5)),Xref!A:B,2,0)</f>
        <v>EAL</v>
      </c>
      <c r="M328" t="str">
        <f t="shared" si="23"/>
        <v>ALP-EAL</v>
      </c>
      <c r="N328" s="33"/>
      <c r="O328" s="33"/>
      <c r="P328" s="33"/>
      <c r="Q328" s="33"/>
    </row>
    <row r="329" spans="1:17" ht="14.25" customHeight="true">
      <c r="A329" s="33" t="str">
        <f t="shared" si="20"/>
        <v>ALP - Intercompany</v>
      </c>
      <c r="B329" s="33" t="str">
        <f t="shared" si="21"/>
        <v>ALP</v>
      </c>
      <c r="C329" s="33" t="str">
        <f t="shared" si="22"/>
        <v>11351-0000</v>
      </c>
      <c r="D329" s="64" t="s">
        <v>15642</v>
      </c>
      <c r="E329" s="64" t="s">
        <v>14155</v>
      </c>
      <c r="F329" s="64" t="s">
        <v>14039</v>
      </c>
      <c r="G329" s="64" t="s">
        <v>14672</v>
      </c>
      <c r="H329" s="64" t="s">
        <v>13869</v>
      </c>
      <c r="I329" s="64" t="s">
        <v>14690</v>
      </c>
      <c r="J329" s="67">
        <v>0</v>
      </c>
      <c r="K329" s="62">
        <v>0</v>
      </c>
      <c r="L329" t="str">
        <f>VLOOKUP(VALUE(LEFT(C329,5)),Xref!A:B,2,0)</f>
        <v>WEP</v>
      </c>
      <c r="M329" t="str">
        <f t="shared" si="23"/>
        <v>ALP-WEP</v>
      </c>
      <c r="N329" s="33"/>
      <c r="O329" s="33"/>
      <c r="P329" s="33"/>
      <c r="Q329" s="33"/>
    </row>
    <row r="330" spans="1:17" ht="14.25" customHeight="true">
      <c r="A330" s="33" t="str">
        <f t="shared" si="20"/>
        <v>ALP - Intercompany</v>
      </c>
      <c r="B330" s="33" t="str">
        <f t="shared" si="21"/>
        <v>ALP</v>
      </c>
      <c r="C330" s="33" t="str">
        <f t="shared" si="22"/>
        <v>11352-0000</v>
      </c>
      <c r="D330" s="64" t="s">
        <v>15643</v>
      </c>
      <c r="E330" s="64" t="s">
        <v>13536</v>
      </c>
      <c r="F330" s="64" t="s">
        <v>14039</v>
      </c>
      <c r="G330" s="64" t="s">
        <v>14672</v>
      </c>
      <c r="H330" s="64" t="s">
        <v>13869</v>
      </c>
      <c r="I330" s="64" t="s">
        <v>14690</v>
      </c>
      <c r="J330" s="67">
        <v>0</v>
      </c>
      <c r="K330" s="62">
        <v>0</v>
      </c>
      <c r="L330" t="str">
        <f>VLOOKUP(VALUE(LEFT(C330,5)),Xref!A:B,2,0)</f>
        <v>KLP</v>
      </c>
      <c r="M330" t="str">
        <f t="shared" si="23"/>
        <v>ALP-KLP</v>
      </c>
      <c r="N330" s="33"/>
      <c r="O330" s="33"/>
      <c r="P330" s="33"/>
      <c r="Q330" s="33"/>
    </row>
    <row r="331" spans="1:17" ht="14.25" customHeight="true">
      <c r="A331" s="33" t="str">
        <f t="shared" si="20"/>
        <v>ALP - Intercompany</v>
      </c>
      <c r="B331" s="33" t="str">
        <f t="shared" si="21"/>
        <v>ALP</v>
      </c>
      <c r="C331" s="33" t="str">
        <f t="shared" si="22"/>
        <v>11353-0000</v>
      </c>
      <c r="D331" s="64" t="s">
        <v>15644</v>
      </c>
      <c r="E331" s="64" t="s">
        <v>13537</v>
      </c>
      <c r="F331" s="64" t="s">
        <v>14039</v>
      </c>
      <c r="G331" s="64" t="s">
        <v>14672</v>
      </c>
      <c r="H331" s="64" t="s">
        <v>13869</v>
      </c>
      <c r="I331" s="64" t="s">
        <v>14690</v>
      </c>
      <c r="J331" s="67">
        <v>0</v>
      </c>
      <c r="K331" s="62">
        <v>0</v>
      </c>
      <c r="L331" t="str">
        <f>VLOOKUP(VALUE(LEFT(C331,5)),Xref!A:B,2,0)</f>
        <v>AKC</v>
      </c>
      <c r="M331" t="str">
        <f t="shared" si="23"/>
        <v>AKC-ALP</v>
      </c>
      <c r="N331" s="33"/>
      <c r="O331" s="33"/>
      <c r="P331" s="33"/>
      <c r="Q331" s="33"/>
    </row>
    <row r="332" spans="1:17" ht="14.25" customHeight="true">
      <c r="A332" s="33" t="str">
        <f t="shared" si="20"/>
        <v>ALP - Intercompany</v>
      </c>
      <c r="B332" s="33" t="str">
        <f t="shared" si="21"/>
        <v>ALP</v>
      </c>
      <c r="C332" s="33" t="str">
        <f t="shared" si="22"/>
        <v>11354-0000</v>
      </c>
      <c r="D332" s="64" t="s">
        <v>15645</v>
      </c>
      <c r="E332" s="64" t="s">
        <v>13538</v>
      </c>
      <c r="F332" s="64" t="s">
        <v>14039</v>
      </c>
      <c r="G332" s="64" t="s">
        <v>14672</v>
      </c>
      <c r="H332" s="64" t="s">
        <v>13869</v>
      </c>
      <c r="I332" s="64" t="s">
        <v>14690</v>
      </c>
      <c r="J332" s="67">
        <v>0</v>
      </c>
      <c r="K332" s="62">
        <v>0</v>
      </c>
      <c r="L332" t="str">
        <f>VLOOKUP(VALUE(LEFT(C332,5)),Xref!A:B,2,0)</f>
        <v>AKA</v>
      </c>
      <c r="M332" t="str">
        <f t="shared" si="23"/>
        <v>AKA-ALP</v>
      </c>
      <c r="N332" s="33"/>
      <c r="O332" s="33"/>
      <c r="P332" s="33"/>
      <c r="Q332" s="33"/>
    </row>
    <row r="333" spans="1:17" ht="14.25" customHeight="true">
      <c r="A333" s="33" t="str">
        <f t="shared" si="20"/>
        <v>ALP - Intercompany</v>
      </c>
      <c r="B333" s="33" t="str">
        <f t="shared" si="21"/>
        <v>ALP</v>
      </c>
      <c r="C333" s="33" t="str">
        <f t="shared" si="22"/>
        <v>11355-0000</v>
      </c>
      <c r="D333" s="64" t="s">
        <v>15646</v>
      </c>
      <c r="E333" s="64" t="s">
        <v>13539</v>
      </c>
      <c r="F333" s="64" t="s">
        <v>14039</v>
      </c>
      <c r="G333" s="64" t="s">
        <v>14672</v>
      </c>
      <c r="H333" s="64" t="s">
        <v>13869</v>
      </c>
      <c r="I333" s="64" t="s">
        <v>14690</v>
      </c>
      <c r="J333" s="67">
        <v>0</v>
      </c>
      <c r="K333" s="62">
        <v>0</v>
      </c>
      <c r="L333" t="str">
        <f>VLOOKUP(VALUE(LEFT(C333,5)),Xref!A:B,2,0)</f>
        <v>SPA</v>
      </c>
      <c r="M333" t="str">
        <f t="shared" si="23"/>
        <v>ALP-SPA</v>
      </c>
      <c r="N333" s="33"/>
      <c r="O333" s="33"/>
      <c r="P333" s="33"/>
      <c r="Q333" s="33"/>
    </row>
    <row r="334" spans="1:17" ht="14.25" customHeight="true">
      <c r="A334" s="33" t="str">
        <f t="shared" si="20"/>
        <v>ALP - Intercompany</v>
      </c>
      <c r="B334" s="33" t="str">
        <f t="shared" si="21"/>
        <v>ALP</v>
      </c>
      <c r="C334" s="33" t="str">
        <f t="shared" si="22"/>
        <v>11356-0000</v>
      </c>
      <c r="D334" s="64" t="s">
        <v>15647</v>
      </c>
      <c r="E334" s="64" t="s">
        <v>13540</v>
      </c>
      <c r="F334" s="64" t="s">
        <v>14039</v>
      </c>
      <c r="G334" s="64" t="s">
        <v>14672</v>
      </c>
      <c r="H334" s="64" t="s">
        <v>13869</v>
      </c>
      <c r="I334" s="64" t="s">
        <v>14690</v>
      </c>
      <c r="J334" s="67">
        <v>0</v>
      </c>
      <c r="K334" s="62">
        <v>0</v>
      </c>
      <c r="L334" t="str">
        <f>VLOOKUP(VALUE(LEFT(C334,5)),Xref!A:B,2,0)</f>
        <v>DPM</v>
      </c>
      <c r="M334" t="str">
        <f t="shared" si="23"/>
        <v>ALP-DPM</v>
      </c>
      <c r="N334" s="33"/>
      <c r="O334" s="33"/>
      <c r="P334" s="33"/>
      <c r="Q334" s="33"/>
    </row>
    <row r="335" spans="1:17" ht="14.25" customHeight="true">
      <c r="A335" s="33" t="str">
        <f t="shared" si="20"/>
        <v>ALP - Intercompany</v>
      </c>
      <c r="B335" s="33" t="str">
        <f t="shared" si="21"/>
        <v>ALP</v>
      </c>
      <c r="C335" s="33" t="str">
        <f t="shared" si="22"/>
        <v>11357-0000</v>
      </c>
      <c r="D335" s="64" t="s">
        <v>15648</v>
      </c>
      <c r="E335" s="64" t="s">
        <v>13541</v>
      </c>
      <c r="F335" s="64" t="s">
        <v>14039</v>
      </c>
      <c r="G335" s="64" t="s">
        <v>14672</v>
      </c>
      <c r="H335" s="64" t="s">
        <v>13869</v>
      </c>
      <c r="I335" s="64" t="s">
        <v>14690</v>
      </c>
      <c r="J335" s="67">
        <v>0</v>
      </c>
      <c r="K335" s="62">
        <v>0</v>
      </c>
      <c r="L335" t="str">
        <f>VLOOKUP(VALUE(LEFT(C335,5)),Xref!A:B,2,0)</f>
        <v>HDM</v>
      </c>
      <c r="M335" t="str">
        <f t="shared" si="23"/>
        <v>ALP-HDM</v>
      </c>
      <c r="N335" s="33"/>
      <c r="O335" s="33"/>
      <c r="P335" s="33"/>
      <c r="Q335" s="33"/>
    </row>
    <row r="336" spans="1:17" ht="14.25" customHeight="true">
      <c r="A336" s="33" t="str">
        <f t="shared" si="20"/>
        <v>ALP - Intercompany</v>
      </c>
      <c r="B336" s="33" t="str">
        <f t="shared" si="21"/>
        <v>ALP</v>
      </c>
      <c r="C336" s="33" t="str">
        <f t="shared" si="22"/>
        <v>11358-0000</v>
      </c>
      <c r="D336" s="64" t="s">
        <v>15649</v>
      </c>
      <c r="E336" s="64" t="s">
        <v>13542</v>
      </c>
      <c r="F336" s="64" t="s">
        <v>14039</v>
      </c>
      <c r="G336" s="64" t="s">
        <v>14672</v>
      </c>
      <c r="H336" s="64" t="s">
        <v>13869</v>
      </c>
      <c r="I336" s="64" t="s">
        <v>14690</v>
      </c>
      <c r="J336" s="67">
        <v>0</v>
      </c>
      <c r="K336" s="62">
        <v>0</v>
      </c>
      <c r="L336" t="str">
        <f>VLOOKUP(VALUE(LEFT(C336,5)),Xref!A:B,2,0)</f>
        <v>GRA</v>
      </c>
      <c r="M336" t="str">
        <f t="shared" si="23"/>
        <v>ALP-GRA</v>
      </c>
      <c r="N336" s="33"/>
      <c r="O336" s="33"/>
      <c r="P336" s="33"/>
      <c r="Q336" s="33"/>
    </row>
    <row r="337" spans="1:17" ht="14.25" customHeight="true">
      <c r="A337" s="33" t="str">
        <f t="shared" si="20"/>
        <v>ALP - Intercompany</v>
      </c>
      <c r="B337" s="33" t="str">
        <f t="shared" si="21"/>
        <v>ALP</v>
      </c>
      <c r="C337" s="33" t="str">
        <f t="shared" si="22"/>
        <v>11359-0000</v>
      </c>
      <c r="D337" s="64" t="s">
        <v>15650</v>
      </c>
      <c r="E337" s="64" t="s">
        <v>13543</v>
      </c>
      <c r="F337" s="64" t="s">
        <v>14039</v>
      </c>
      <c r="G337" s="64" t="s">
        <v>14672</v>
      </c>
      <c r="H337" s="64" t="s">
        <v>13869</v>
      </c>
      <c r="I337" s="64" t="s">
        <v>14690</v>
      </c>
      <c r="J337" s="67">
        <v>0</v>
      </c>
      <c r="K337" s="62">
        <v>0</v>
      </c>
      <c r="L337" t="str">
        <f>VLOOKUP(VALUE(LEFT(C337,5)),Xref!A:B,2,0)</f>
        <v>TPI</v>
      </c>
      <c r="M337" t="str">
        <f t="shared" si="23"/>
        <v>ALP-TPI</v>
      </c>
      <c r="N337" s="33"/>
      <c r="O337" s="33"/>
      <c r="P337" s="33"/>
      <c r="Q337" s="33"/>
    </row>
    <row r="338" spans="1:17" ht="14.25" customHeight="true">
      <c r="A338" s="33" t="str">
        <f t="shared" si="20"/>
        <v>ALP - Intercompany</v>
      </c>
      <c r="B338" s="33" t="str">
        <f t="shared" si="21"/>
        <v>ALP</v>
      </c>
      <c r="C338" s="33" t="str">
        <f t="shared" si="22"/>
        <v>11361-0000</v>
      </c>
      <c r="D338" s="64" t="s">
        <v>15651</v>
      </c>
      <c r="E338" s="64" t="s">
        <v>14165</v>
      </c>
      <c r="F338" s="64" t="s">
        <v>14039</v>
      </c>
      <c r="G338" s="64" t="s">
        <v>14672</v>
      </c>
      <c r="H338" s="64" t="s">
        <v>13869</v>
      </c>
      <c r="I338" s="64" t="s">
        <v>14690</v>
      </c>
      <c r="J338" s="67">
        <v>0</v>
      </c>
      <c r="K338" s="62">
        <v>0</v>
      </c>
      <c r="L338" t="str">
        <f>VLOOKUP(VALUE(LEFT(C338,5)),Xref!A:B,2,0)</f>
        <v>GSM</v>
      </c>
      <c r="M338" t="str">
        <f t="shared" si="23"/>
        <v>ALP-GSM</v>
      </c>
      <c r="N338" s="33"/>
      <c r="O338" s="33"/>
      <c r="P338" s="33"/>
      <c r="Q338" s="33"/>
    </row>
    <row r="339" spans="1:17" ht="14.25" customHeight="true">
      <c r="A339" s="33" t="str">
        <f t="shared" si="20"/>
        <v>ALP - Intercompany</v>
      </c>
      <c r="B339" s="33" t="str">
        <f t="shared" si="21"/>
        <v>ALP</v>
      </c>
      <c r="C339" s="33" t="str">
        <f t="shared" si="22"/>
        <v>11363-0000</v>
      </c>
      <c r="D339" s="64" t="s">
        <v>15652</v>
      </c>
      <c r="E339" s="64" t="s">
        <v>13544</v>
      </c>
      <c r="F339" s="64" t="s">
        <v>14039</v>
      </c>
      <c r="G339" s="64" t="s">
        <v>14672</v>
      </c>
      <c r="H339" s="64" t="s">
        <v>13869</v>
      </c>
      <c r="I339" s="64" t="s">
        <v>14690</v>
      </c>
      <c r="J339" s="67">
        <v>0</v>
      </c>
      <c r="K339" s="62">
        <v>0</v>
      </c>
      <c r="L339" t="str">
        <f>VLOOKUP(VALUE(LEFT(C339,5)),Xref!A:B,2,0)</f>
        <v>SOF</v>
      </c>
      <c r="M339" t="str">
        <f t="shared" si="23"/>
        <v>ALP-SOF</v>
      </c>
      <c r="N339" s="33"/>
      <c r="O339" s="33"/>
      <c r="P339" s="33"/>
      <c r="Q339" s="33"/>
    </row>
    <row r="340" spans="1:17" ht="14.25" customHeight="true">
      <c r="A340" s="33" t="str">
        <f t="shared" si="20"/>
        <v>ALP - Intercompany</v>
      </c>
      <c r="B340" s="33" t="str">
        <f t="shared" si="21"/>
        <v>ALP</v>
      </c>
      <c r="C340" s="33" t="str">
        <f t="shared" si="22"/>
        <v>11364-0000</v>
      </c>
      <c r="D340" s="64" t="s">
        <v>15653</v>
      </c>
      <c r="E340" s="64" t="s">
        <v>14168</v>
      </c>
      <c r="F340" s="64" t="s">
        <v>14039</v>
      </c>
      <c r="G340" s="64" t="s">
        <v>14672</v>
      </c>
      <c r="H340" s="64" t="s">
        <v>13869</v>
      </c>
      <c r="I340" s="64" t="s">
        <v>14690</v>
      </c>
      <c r="J340" s="67">
        <v>0</v>
      </c>
      <c r="K340" s="62">
        <v>0</v>
      </c>
      <c r="L340" t="e">
        <f>VLOOKUP(VALUE(LEFT(C340,5)),Xref!A:B,2,0)</f>
        <v>#N/A</v>
      </c>
      <c r="M340" t="e">
        <f t="shared" si="23"/>
        <v>#N/A</v>
      </c>
      <c r="N340" s="33"/>
      <c r="O340" s="33"/>
      <c r="P340" s="33"/>
      <c r="Q340" s="33"/>
    </row>
    <row r="341" spans="1:17" ht="14.25" customHeight="true">
      <c r="A341" s="33" t="str">
        <f t="shared" si="20"/>
        <v>ALP - Intercompany</v>
      </c>
      <c r="B341" s="33" t="str">
        <f t="shared" si="21"/>
        <v>ALP</v>
      </c>
      <c r="C341" s="33" t="str">
        <f t="shared" si="22"/>
        <v>11365-0000</v>
      </c>
      <c r="D341" s="64" t="s">
        <v>15654</v>
      </c>
      <c r="E341" s="64" t="s">
        <v>14170</v>
      </c>
      <c r="F341" s="64" t="s">
        <v>14039</v>
      </c>
      <c r="G341" s="64" t="s">
        <v>14672</v>
      </c>
      <c r="H341" s="64" t="s">
        <v>13869</v>
      </c>
      <c r="I341" s="64" t="s">
        <v>14690</v>
      </c>
      <c r="J341" s="67">
        <v>0</v>
      </c>
      <c r="K341" s="62">
        <v>0</v>
      </c>
      <c r="L341" t="e">
        <f>VLOOKUP(VALUE(LEFT(C341,5)),Xref!A:B,2,0)</f>
        <v>#N/A</v>
      </c>
      <c r="M341" t="e">
        <f t="shared" si="23"/>
        <v>#N/A</v>
      </c>
      <c r="N341" s="33"/>
      <c r="O341" s="33"/>
      <c r="P341" s="33"/>
      <c r="Q341" s="33"/>
    </row>
    <row r="342" spans="1:17" ht="14.25" customHeight="true">
      <c r="A342" s="33" t="str">
        <f t="shared" si="20"/>
        <v>ALP - Intercompany</v>
      </c>
      <c r="B342" s="33" t="str">
        <f t="shared" si="21"/>
        <v>ALP</v>
      </c>
      <c r="C342" s="33" t="str">
        <f t="shared" si="22"/>
        <v>11366-0000</v>
      </c>
      <c r="D342" s="64" t="s">
        <v>15655</v>
      </c>
      <c r="E342" s="64" t="s">
        <v>14172</v>
      </c>
      <c r="F342" s="64"/>
      <c r="G342" s="64" t="s">
        <v>14672</v>
      </c>
      <c r="H342" s="64" t="s">
        <v>13869</v>
      </c>
      <c r="I342" s="64" t="s">
        <v>14690</v>
      </c>
      <c r="J342" s="67">
        <v>0</v>
      </c>
      <c r="K342" s="62">
        <v>0</v>
      </c>
      <c r="L342" t="e">
        <f>VLOOKUP(VALUE(LEFT(C342,5)),Xref!A:B,2,0)</f>
        <v>#N/A</v>
      </c>
      <c r="M342" t="e">
        <f t="shared" si="23"/>
        <v>#N/A</v>
      </c>
      <c r="N342" s="33"/>
      <c r="O342" s="33"/>
      <c r="P342" s="33"/>
      <c r="Q342" s="33"/>
    </row>
    <row r="343" spans="1:17" ht="14.25" customHeight="true">
      <c r="A343" s="33" t="str">
        <f t="shared" si="20"/>
        <v>ALP - Intercompany</v>
      </c>
      <c r="B343" s="33" t="str">
        <f t="shared" si="21"/>
        <v>ALP</v>
      </c>
      <c r="C343" s="33" t="str">
        <f t="shared" si="22"/>
        <v>11402-0000</v>
      </c>
      <c r="D343" s="64" t="s">
        <v>15656</v>
      </c>
      <c r="E343" s="64" t="s">
        <v>14174</v>
      </c>
      <c r="F343" s="64"/>
      <c r="G343" s="64" t="s">
        <v>14672</v>
      </c>
      <c r="H343" s="64" t="s">
        <v>13869</v>
      </c>
      <c r="I343" s="64" t="s">
        <v>14690</v>
      </c>
      <c r="J343" s="67">
        <v>0</v>
      </c>
      <c r="K343" s="62">
        <v>0</v>
      </c>
      <c r="L343" t="str">
        <f>VLOOKUP(VALUE(LEFT(C343,5)),Xref!A:B,2,0)</f>
        <v>DPI</v>
      </c>
      <c r="M343" t="str">
        <f t="shared" si="23"/>
        <v>ALP-DPI</v>
      </c>
      <c r="N343" s="33"/>
      <c r="O343" s="33"/>
      <c r="P343" s="33"/>
      <c r="Q343" s="33"/>
    </row>
    <row r="344" spans="1:17" ht="14.25" customHeight="true">
      <c r="A344" s="33" t="str">
        <f t="shared" si="20"/>
        <v>ALP - Intercompany</v>
      </c>
      <c r="B344" s="33" t="str">
        <f t="shared" si="21"/>
        <v>ALP</v>
      </c>
      <c r="C344" s="33" t="str">
        <f t="shared" si="22"/>
        <v>11403-0000</v>
      </c>
      <c r="D344" s="64" t="s">
        <v>15657</v>
      </c>
      <c r="E344" s="64" t="s">
        <v>14176</v>
      </c>
      <c r="F344" s="64"/>
      <c r="G344" s="64" t="s">
        <v>14672</v>
      </c>
      <c r="H344" s="64" t="s">
        <v>13869</v>
      </c>
      <c r="I344" s="64" t="s">
        <v>14690</v>
      </c>
      <c r="J344" s="67">
        <v>0</v>
      </c>
      <c r="K344" s="62">
        <v>0</v>
      </c>
      <c r="L344" t="str">
        <f>VLOOKUP(VALUE(LEFT(C344,5)),Xref!A:B,2,0)</f>
        <v>SEA</v>
      </c>
      <c r="M344" t="str">
        <f t="shared" si="23"/>
        <v>ALP-SEA</v>
      </c>
      <c r="N344" s="33"/>
      <c r="O344" s="33"/>
      <c r="P344" s="33"/>
      <c r="Q344" s="33"/>
    </row>
    <row r="345" spans="1:17" ht="14.25" customHeight="true">
      <c r="A345" s="33" t="str">
        <f t="shared" si="20"/>
        <v>ALP - Intercompany</v>
      </c>
      <c r="B345" s="33" t="str">
        <f t="shared" si="21"/>
        <v>ALP</v>
      </c>
      <c r="C345" s="33" t="str">
        <f t="shared" si="22"/>
        <v>12400-0000</v>
      </c>
      <c r="D345" s="64" t="s">
        <v>15659</v>
      </c>
      <c r="E345" s="64" t="s">
        <v>14185</v>
      </c>
      <c r="F345" s="64" t="s">
        <v>14039</v>
      </c>
      <c r="G345" s="64" t="s">
        <v>14672</v>
      </c>
      <c r="H345" s="64" t="s">
        <v>13869</v>
      </c>
      <c r="I345" s="64" t="s">
        <v>14690</v>
      </c>
      <c r="J345" s="67">
        <v>0</v>
      </c>
      <c r="K345" s="62">
        <v>0</v>
      </c>
      <c r="L345" t="str">
        <f>VLOOKUP(VALUE(LEFT(C345,5)),Xref!A:B,2,0)</f>
        <v>aka</v>
      </c>
      <c r="M345" t="str">
        <f t="shared" si="23"/>
        <v>aka-ALP</v>
      </c>
      <c r="N345" s="33"/>
      <c r="O345" s="33"/>
      <c r="P345" s="33"/>
      <c r="Q345" s="33"/>
    </row>
    <row r="346" spans="1:17" ht="14.25" customHeight="true">
      <c r="A346" s="33" t="str">
        <f t="shared" si="20"/>
        <v>ALP - Intercompany</v>
      </c>
      <c r="B346" s="33" t="str">
        <f t="shared" si="21"/>
        <v>ALP</v>
      </c>
      <c r="C346" s="33" t="str">
        <f t="shared" si="22"/>
        <v>12401-0000</v>
      </c>
      <c r="D346" s="64" t="s">
        <v>15660</v>
      </c>
      <c r="E346" s="64" t="s">
        <v>14187</v>
      </c>
      <c r="F346" s="64" t="s">
        <v>14039</v>
      </c>
      <c r="G346" s="64" t="s">
        <v>14672</v>
      </c>
      <c r="H346" s="64" t="s">
        <v>13869</v>
      </c>
      <c r="I346" s="64" t="s">
        <v>14690</v>
      </c>
      <c r="J346" s="67">
        <v>0</v>
      </c>
      <c r="K346" s="62">
        <v>0</v>
      </c>
      <c r="L346" t="str">
        <f>VLOOKUP(VALUE(LEFT(C346,5)),Xref!A:B,2,0)</f>
        <v>aka</v>
      </c>
      <c r="M346" t="str">
        <f t="shared" si="23"/>
        <v>aka-ALP</v>
      </c>
      <c r="N346" s="33"/>
      <c r="O346" s="33"/>
      <c r="P346" s="33"/>
      <c r="Q346" s="33"/>
    </row>
    <row r="347" spans="1:17" ht="14.25" customHeight="true">
      <c r="A347" s="33" t="str">
        <f t="shared" si="20"/>
        <v>ALP - Intercompany</v>
      </c>
      <c r="B347" s="33" t="str">
        <f t="shared" si="21"/>
        <v>ALP</v>
      </c>
      <c r="C347" s="33" t="str">
        <f t="shared" si="22"/>
        <v>12402-0000</v>
      </c>
      <c r="D347" s="64" t="s">
        <v>15661</v>
      </c>
      <c r="E347" s="64" t="s">
        <v>14189</v>
      </c>
      <c r="F347" s="64" t="s">
        <v>14039</v>
      </c>
      <c r="G347" s="64" t="s">
        <v>14672</v>
      </c>
      <c r="H347" s="64" t="s">
        <v>13869</v>
      </c>
      <c r="I347" s="64" t="s">
        <v>14690</v>
      </c>
      <c r="J347" s="67">
        <v>0</v>
      </c>
      <c r="K347" s="62">
        <v>0</v>
      </c>
      <c r="L347" t="str">
        <f>VLOOKUP(VALUE(LEFT(C347,5)),Xref!A:B,2,0)</f>
        <v>aka</v>
      </c>
      <c r="M347" t="str">
        <f t="shared" si="23"/>
        <v>aka-ALP</v>
      </c>
      <c r="N347" s="33"/>
      <c r="O347" s="33"/>
      <c r="P347" s="33"/>
      <c r="Q347" s="33"/>
    </row>
    <row r="348" spans="1:17" ht="14.25" customHeight="true">
      <c r="A348" s="33" t="str">
        <f t="shared" si="20"/>
        <v>ALP - Intercompany</v>
      </c>
      <c r="B348" s="33" t="str">
        <f t="shared" si="21"/>
        <v>ALP</v>
      </c>
      <c r="C348" s="33" t="str">
        <f t="shared" si="22"/>
        <v>12403-0000</v>
      </c>
      <c r="D348" s="64" t="s">
        <v>15662</v>
      </c>
      <c r="E348" s="64" t="s">
        <v>5226</v>
      </c>
      <c r="F348" s="64" t="s">
        <v>14039</v>
      </c>
      <c r="G348" s="64" t="s">
        <v>14672</v>
      </c>
      <c r="H348" s="64" t="s">
        <v>13869</v>
      </c>
      <c r="I348" s="64" t="s">
        <v>14690</v>
      </c>
      <c r="J348" s="67">
        <v>0</v>
      </c>
      <c r="K348" s="62">
        <v>0</v>
      </c>
      <c r="L348" t="str">
        <f>VLOOKUP(VALUE(LEFT(C348,5)),Xref!A:B,2,0)</f>
        <v>aka</v>
      </c>
      <c r="M348" t="str">
        <f t="shared" si="23"/>
        <v>aka-ALP</v>
      </c>
      <c r="N348" s="33"/>
      <c r="O348" s="33"/>
      <c r="P348" s="33"/>
      <c r="Q348" s="33"/>
    </row>
    <row r="349" spans="1:17" ht="14.25" customHeight="true">
      <c r="A349" s="33" t="str">
        <f t="shared" si="20"/>
        <v>ALP - Intercompany</v>
      </c>
      <c r="B349" s="33" t="str">
        <f t="shared" si="21"/>
        <v>ALP</v>
      </c>
      <c r="C349" s="33" t="str">
        <f t="shared" si="22"/>
        <v>12501-0000</v>
      </c>
      <c r="D349" s="64" t="s">
        <v>15663</v>
      </c>
      <c r="E349" s="64" t="s">
        <v>14192</v>
      </c>
      <c r="F349" s="64" t="s">
        <v>14039</v>
      </c>
      <c r="G349" s="64" t="s">
        <v>14672</v>
      </c>
      <c r="H349" s="64" t="s">
        <v>13869</v>
      </c>
      <c r="I349" s="64" t="s">
        <v>14690</v>
      </c>
      <c r="J349" s="67">
        <v>0</v>
      </c>
      <c r="K349" s="62">
        <v>0</v>
      </c>
      <c r="L349" t="str">
        <f>VLOOKUP(VALUE(LEFT(C349,5)),Xref!A:B,2,0)</f>
        <v>aka</v>
      </c>
      <c r="M349" t="str">
        <f t="shared" si="23"/>
        <v>aka-ALP</v>
      </c>
      <c r="N349" s="33"/>
      <c r="O349" s="33"/>
      <c r="P349" s="33"/>
      <c r="Q349" s="33"/>
    </row>
    <row r="350" spans="1:17" ht="14.25" customHeight="true">
      <c r="A350" s="33" t="str">
        <f t="shared" si="20"/>
        <v>ALP - InterCo Notes</v>
      </c>
      <c r="B350" s="33" t="str">
        <f t="shared" si="21"/>
        <v>ALP</v>
      </c>
      <c r="C350" s="33" t="str">
        <f t="shared" si="22"/>
        <v>25600-0000</v>
      </c>
      <c r="D350" s="64" t="s">
        <v>13366</v>
      </c>
      <c r="E350" s="64" t="s">
        <v>314</v>
      </c>
      <c r="F350" s="64" t="s">
        <v>14039</v>
      </c>
      <c r="G350" s="64" t="s">
        <v>14672</v>
      </c>
      <c r="H350" s="64" t="s">
        <v>13889</v>
      </c>
      <c r="I350" s="64" t="s">
        <v>14690</v>
      </c>
      <c r="J350" s="67">
        <v>0</v>
      </c>
      <c r="K350" s="62">
        <v>-2414000</v>
      </c>
      <c r="L350" t="str">
        <f>VLOOKUP(VALUE(LEFT(C350,5)),Xref!A:B,2,0)</f>
        <v>D7</v>
      </c>
      <c r="M350" t="str">
        <f t="shared" si="23"/>
        <v>ALP-D7</v>
      </c>
      <c r="N350" s="33"/>
      <c r="O350" s="33"/>
      <c r="P350" s="33"/>
      <c r="Q350" s="33"/>
    </row>
    <row r="351" spans="1:17" ht="14.25" customHeight="true">
      <c r="A351" s="33" t="str">
        <f t="shared" si="20"/>
        <v>ALP - InterCo Notes</v>
      </c>
      <c r="B351" s="33" t="str">
        <f t="shared" si="21"/>
        <v>ALP</v>
      </c>
      <c r="C351" s="33" t="str">
        <f t="shared" si="22"/>
        <v>25602-0000</v>
      </c>
      <c r="D351" s="64" t="s">
        <v>15703</v>
      </c>
      <c r="E351" s="64" t="s">
        <v>13426</v>
      </c>
      <c r="F351" s="64" t="s">
        <v>14039</v>
      </c>
      <c r="G351" s="64" t="s">
        <v>14672</v>
      </c>
      <c r="H351" s="64" t="s">
        <v>13889</v>
      </c>
      <c r="I351" s="64" t="s">
        <v>14690</v>
      </c>
      <c r="J351" s="67">
        <v>0</v>
      </c>
      <c r="K351" s="62">
        <v>0</v>
      </c>
      <c r="L351" t="str">
        <f>VLOOKUP(VALUE(LEFT(C351,5)),Xref!A:B,2,0)</f>
        <v>DFLP</v>
      </c>
      <c r="M351" t="str">
        <f t="shared" si="23"/>
        <v>ALP-DFLP</v>
      </c>
      <c r="N351" s="33"/>
      <c r="O351" s="33"/>
      <c r="P351" s="33"/>
      <c r="Q351" s="33"/>
    </row>
    <row r="352" spans="1:17" ht="14.25" customHeight="true">
      <c r="A352" s="33" t="str">
        <f t="shared" si="20"/>
        <v>ALP - InterCo Notes</v>
      </c>
      <c r="B352" s="33" t="str">
        <f t="shared" si="21"/>
        <v>ALP</v>
      </c>
      <c r="C352" s="33" t="str">
        <f t="shared" si="22"/>
        <v>25603-0000</v>
      </c>
      <c r="D352" s="64" t="s">
        <v>15704</v>
      </c>
      <c r="E352" s="64" t="s">
        <v>14311</v>
      </c>
      <c r="F352" s="64" t="s">
        <v>14039</v>
      </c>
      <c r="G352" s="64" t="s">
        <v>14832</v>
      </c>
      <c r="H352" s="64" t="s">
        <v>13889</v>
      </c>
      <c r="I352" s="64" t="s">
        <v>14690</v>
      </c>
      <c r="J352" s="67">
        <v>0</v>
      </c>
      <c r="K352" s="62">
        <v>0</v>
      </c>
      <c r="L352" t="str">
        <f>VLOOKUP(VALUE(LEFT(C352,5)),Xref!A:B,2,0)</f>
        <v>aka</v>
      </c>
      <c r="M352" t="str">
        <f t="shared" si="23"/>
        <v>aka-ALP</v>
      </c>
      <c r="N352" s="33"/>
      <c r="O352" s="33"/>
      <c r="P352" s="33"/>
      <c r="Q352" s="33"/>
    </row>
    <row r="353" spans="1:17" ht="14.25" customHeight="true">
      <c r="A353" s="33" t="str">
        <f t="shared" si="20"/>
        <v>ALP - Intercompany</v>
      </c>
      <c r="B353" s="33" t="str">
        <f t="shared" si="21"/>
        <v>ALP</v>
      </c>
      <c r="C353" s="33" t="str">
        <f t="shared" si="22"/>
        <v>25604-0000</v>
      </c>
      <c r="D353" s="64" t="s">
        <v>15705</v>
      </c>
      <c r="E353" s="64" t="s">
        <v>13490</v>
      </c>
      <c r="F353" s="64" t="s">
        <v>14039</v>
      </c>
      <c r="G353" s="64" t="s">
        <v>14672</v>
      </c>
      <c r="H353" s="64" t="s">
        <v>13869</v>
      </c>
      <c r="I353" s="64" t="s">
        <v>14690</v>
      </c>
      <c r="J353" s="67">
        <v>0</v>
      </c>
      <c r="K353" s="62">
        <v>0</v>
      </c>
      <c r="L353">
        <f>VLOOKUP(VALUE(LEFT(C353,5)),Xref!A:B,2,0)</f>
        <v>0</v>
      </c>
      <c r="M353" t="str">
        <f t="shared" si="23"/>
        <v>0-ALP</v>
      </c>
      <c r="N353" s="33"/>
      <c r="O353" s="33"/>
      <c r="P353" s="33"/>
      <c r="Q353" s="33"/>
    </row>
    <row r="354" spans="1:17" ht="14.25" customHeight="true">
      <c r="A354" s="33" t="str">
        <f t="shared" si="20"/>
        <v>ANG - Intercompany</v>
      </c>
      <c r="B354" s="33" t="str">
        <f t="shared" si="21"/>
        <v>ANG</v>
      </c>
      <c r="C354" s="33" t="str">
        <f t="shared" si="22"/>
        <v>11200-0000</v>
      </c>
      <c r="D354" s="64" t="s">
        <v>15832</v>
      </c>
      <c r="E354" s="64" t="s">
        <v>14069</v>
      </c>
      <c r="F354" s="64" t="s">
        <v>14039</v>
      </c>
      <c r="G354" s="64" t="s">
        <v>14672</v>
      </c>
      <c r="H354" s="64" t="s">
        <v>13869</v>
      </c>
      <c r="I354" s="64" t="s">
        <v>14690</v>
      </c>
      <c r="J354" s="67">
        <v>0</v>
      </c>
      <c r="K354" s="62">
        <v>0</v>
      </c>
      <c r="L354" t="str">
        <f>VLOOKUP(VALUE(LEFT(C354,5)),Xref!A:B,2,0)</f>
        <v>SCL</v>
      </c>
      <c r="M354" t="str">
        <f t="shared" si="23"/>
        <v>ANG-SCL</v>
      </c>
      <c r="N354" s="33"/>
      <c r="O354" s="33"/>
      <c r="P354" s="33"/>
      <c r="Q354" s="33"/>
    </row>
    <row r="355" spans="1:17" ht="14.25" customHeight="true">
      <c r="A355" s="33" t="str">
        <f t="shared" si="20"/>
        <v>ANG - Intercompany</v>
      </c>
      <c r="B355" s="33" t="str">
        <f t="shared" si="21"/>
        <v>ANG</v>
      </c>
      <c r="C355" s="33" t="str">
        <f t="shared" si="22"/>
        <v>11201-0000</v>
      </c>
      <c r="D355" s="64" t="s">
        <v>15833</v>
      </c>
      <c r="E355" s="64" t="s">
        <v>14071</v>
      </c>
      <c r="F355" s="64" t="s">
        <v>14039</v>
      </c>
      <c r="G355" s="64" t="s">
        <v>14672</v>
      </c>
      <c r="H355" s="64" t="s">
        <v>13869</v>
      </c>
      <c r="I355" s="64" t="s">
        <v>14690</v>
      </c>
      <c r="J355" s="67">
        <v>0</v>
      </c>
      <c r="K355" s="62">
        <v>0</v>
      </c>
      <c r="L355" t="str">
        <f>VLOOKUP(VALUE(LEFT(C355,5)),Xref!A:B,2,0)</f>
        <v>SG2</v>
      </c>
      <c r="M355" t="str">
        <f t="shared" si="23"/>
        <v>ANG-SG2</v>
      </c>
      <c r="N355" s="33"/>
      <c r="O355" s="33"/>
      <c r="P355" s="33"/>
      <c r="Q355" s="33"/>
    </row>
    <row r="356" spans="1:17" ht="14.25" customHeight="true">
      <c r="A356" s="33" t="str">
        <f t="shared" si="20"/>
        <v>ANG - Intercompany</v>
      </c>
      <c r="B356" s="33" t="str">
        <f t="shared" si="21"/>
        <v>ANG</v>
      </c>
      <c r="C356" s="33" t="str">
        <f t="shared" si="22"/>
        <v>11202-0000</v>
      </c>
      <c r="D356" s="64" t="s">
        <v>15834</v>
      </c>
      <c r="E356" s="64" t="s">
        <v>14073</v>
      </c>
      <c r="F356" s="64" t="s">
        <v>14039</v>
      </c>
      <c r="G356" s="64" t="s">
        <v>14672</v>
      </c>
      <c r="H356" s="64" t="s">
        <v>13869</v>
      </c>
      <c r="I356" s="64" t="s">
        <v>14690</v>
      </c>
      <c r="J356" s="67">
        <v>0</v>
      </c>
      <c r="K356" s="62">
        <v>0</v>
      </c>
      <c r="L356" t="str">
        <f>VLOOKUP(VALUE(LEFT(C356,5)),Xref!A:B,2,0)</f>
        <v>FFC</v>
      </c>
      <c r="M356" t="str">
        <f t="shared" si="23"/>
        <v>ANG-FFC</v>
      </c>
      <c r="N356" s="33"/>
      <c r="O356" s="33"/>
      <c r="P356" s="33"/>
      <c r="Q356" s="33"/>
    </row>
    <row r="357" spans="1:17" ht="14.25" customHeight="true">
      <c r="A357" s="33" t="str">
        <f t="shared" si="20"/>
        <v>ANG - Intercompany</v>
      </c>
      <c r="B357" s="33" t="str">
        <f t="shared" si="21"/>
        <v>ANG</v>
      </c>
      <c r="C357" s="33" t="str">
        <f t="shared" si="22"/>
        <v>11203-0000</v>
      </c>
      <c r="D357" s="64" t="s">
        <v>15835</v>
      </c>
      <c r="E357" s="64" t="s">
        <v>14075</v>
      </c>
      <c r="F357" s="64" t="s">
        <v>14039</v>
      </c>
      <c r="G357" s="64" t="s">
        <v>14672</v>
      </c>
      <c r="H357" s="64" t="s">
        <v>13869</v>
      </c>
      <c r="I357" s="64" t="s">
        <v>14690</v>
      </c>
      <c r="J357" s="67">
        <v>0</v>
      </c>
      <c r="K357" s="62">
        <v>0</v>
      </c>
      <c r="L357" t="str">
        <f>VLOOKUP(VALUE(LEFT(C357,5)),Xref!A:B,2,0)</f>
        <v>HN2</v>
      </c>
      <c r="M357" t="str">
        <f t="shared" si="23"/>
        <v>ANG-HN2</v>
      </c>
      <c r="N357" s="33"/>
      <c r="O357" s="33"/>
      <c r="P357" s="33"/>
      <c r="Q357" s="33"/>
    </row>
    <row r="358" spans="1:17" ht="14.25" customHeight="true">
      <c r="A358" s="33" t="str">
        <f t="shared" si="20"/>
        <v>ANG - Intercompany</v>
      </c>
      <c r="B358" s="33" t="str">
        <f t="shared" si="21"/>
        <v>ANG</v>
      </c>
      <c r="C358" s="33" t="str">
        <f t="shared" si="22"/>
        <v>11204-0000</v>
      </c>
      <c r="D358" s="64" t="s">
        <v>15836</v>
      </c>
      <c r="E358" s="64" t="s">
        <v>14077</v>
      </c>
      <c r="F358" s="64" t="s">
        <v>14039</v>
      </c>
      <c r="G358" s="64" t="s">
        <v>14672</v>
      </c>
      <c r="H358" s="64" t="s">
        <v>13869</v>
      </c>
      <c r="I358" s="64" t="s">
        <v>14690</v>
      </c>
      <c r="J358" s="67">
        <v>0</v>
      </c>
      <c r="K358" s="62">
        <v>0</v>
      </c>
      <c r="L358" t="str">
        <f>VLOOKUP(VALUE(LEFT(C358,5)),Xref!A:B,2,0)</f>
        <v>DF2</v>
      </c>
      <c r="M358" t="str">
        <f t="shared" si="23"/>
        <v>ANG-DF2</v>
      </c>
      <c r="N358" s="33"/>
      <c r="O358" s="33"/>
      <c r="P358" s="33"/>
      <c r="Q358" s="33"/>
    </row>
    <row r="359" spans="1:17" ht="14.25" customHeight="true">
      <c r="A359" s="33" t="str">
        <f t="shared" si="20"/>
        <v>ANG - Intercompany</v>
      </c>
      <c r="B359" s="33" t="str">
        <f t="shared" si="21"/>
        <v>ANG</v>
      </c>
      <c r="C359" s="33" t="str">
        <f t="shared" si="22"/>
        <v>11208-0000</v>
      </c>
      <c r="D359" s="64" t="s">
        <v>15837</v>
      </c>
      <c r="E359" s="64" t="s">
        <v>14079</v>
      </c>
      <c r="F359" s="64" t="s">
        <v>14039</v>
      </c>
      <c r="G359" s="64" t="s">
        <v>14672</v>
      </c>
      <c r="H359" s="64" t="s">
        <v>13869</v>
      </c>
      <c r="I359" s="64" t="s">
        <v>14690</v>
      </c>
      <c r="J359" s="67">
        <v>0</v>
      </c>
      <c r="K359" s="62">
        <v>0</v>
      </c>
      <c r="L359" t="str">
        <f>VLOOKUP(VALUE(LEFT(C359,5)),Xref!A:B,2,0)</f>
        <v>SRE</v>
      </c>
      <c r="M359" t="str">
        <f t="shared" si="23"/>
        <v>ANG-SRE</v>
      </c>
      <c r="N359" s="33"/>
      <c r="O359" s="33"/>
      <c r="P359" s="33"/>
      <c r="Q359" s="33"/>
    </row>
    <row r="360" spans="1:17" ht="14.25" customHeight="true">
      <c r="A360" s="33" t="str">
        <f t="shared" si="20"/>
        <v>ANG - Intercompany</v>
      </c>
      <c r="B360" s="33" t="str">
        <f t="shared" si="21"/>
        <v>ANG</v>
      </c>
      <c r="C360" s="33" t="str">
        <f t="shared" si="22"/>
        <v>11210-0000</v>
      </c>
      <c r="D360" s="64" t="s">
        <v>15838</v>
      </c>
      <c r="E360" s="64" t="s">
        <v>14081</v>
      </c>
      <c r="F360" s="64" t="s">
        <v>14039</v>
      </c>
      <c r="G360" s="64" t="s">
        <v>14672</v>
      </c>
      <c r="H360" s="64" t="s">
        <v>13869</v>
      </c>
      <c r="I360" s="64" t="s">
        <v>14690</v>
      </c>
      <c r="J360" s="67">
        <v>0</v>
      </c>
      <c r="K360" s="62">
        <v>0</v>
      </c>
      <c r="L360" t="str">
        <f>VLOOKUP(VALUE(LEFT(C360,5)),Xref!A:B,2,0)</f>
        <v>REM</v>
      </c>
      <c r="M360" t="str">
        <f t="shared" si="23"/>
        <v>ANG-REM</v>
      </c>
      <c r="N360" s="33"/>
      <c r="O360" s="33"/>
      <c r="P360" s="33"/>
      <c r="Q360" s="33"/>
    </row>
    <row r="361" spans="1:17" ht="14.25" customHeight="true">
      <c r="A361" s="33" t="str">
        <f t="shared" si="20"/>
        <v>ANG - Intercompany</v>
      </c>
      <c r="B361" s="33" t="str">
        <f t="shared" si="21"/>
        <v>ANG</v>
      </c>
      <c r="C361" s="33" t="str">
        <f t="shared" si="22"/>
        <v>11212-0000</v>
      </c>
      <c r="D361" s="64" t="s">
        <v>15839</v>
      </c>
      <c r="E361" s="64" t="s">
        <v>14083</v>
      </c>
      <c r="F361" s="64" t="s">
        <v>14039</v>
      </c>
      <c r="G361" s="64" t="s">
        <v>14672</v>
      </c>
      <c r="H361" s="64" t="s">
        <v>13869</v>
      </c>
      <c r="I361" s="64" t="s">
        <v>14690</v>
      </c>
      <c r="J361" s="67">
        <v>0</v>
      </c>
      <c r="K361" s="62">
        <v>0</v>
      </c>
      <c r="L361" t="str">
        <f>VLOOKUP(VALUE(LEFT(C361,5)),Xref!A:B,2,0)</f>
        <v>FRM</v>
      </c>
      <c r="M361" t="str">
        <f t="shared" si="23"/>
        <v>ANG-FRM</v>
      </c>
      <c r="N361" s="33"/>
      <c r="O361" s="33"/>
      <c r="P361" s="33"/>
      <c r="Q361" s="33"/>
    </row>
    <row r="362" spans="1:17" ht="14.25" customHeight="true">
      <c r="A362" s="33" t="str">
        <f t="shared" si="20"/>
        <v>ANG - Intercompany</v>
      </c>
      <c r="B362" s="33" t="str">
        <f t="shared" si="21"/>
        <v>ANG</v>
      </c>
      <c r="C362" s="33" t="str">
        <f t="shared" si="22"/>
        <v>11214-0000</v>
      </c>
      <c r="D362" s="64" t="s">
        <v>15840</v>
      </c>
      <c r="E362" s="64" t="s">
        <v>14085</v>
      </c>
      <c r="F362" s="64" t="s">
        <v>14039</v>
      </c>
      <c r="G362" s="64" t="s">
        <v>14672</v>
      </c>
      <c r="H362" s="64" t="s">
        <v>13869</v>
      </c>
      <c r="I362" s="64" t="s">
        <v>14690</v>
      </c>
      <c r="J362" s="67">
        <v>0</v>
      </c>
      <c r="K362" s="62">
        <v>0</v>
      </c>
      <c r="L362" t="str">
        <f>VLOOKUP(VALUE(LEFT(C362,5)),Xref!A:B,2,0)</f>
        <v>D7R</v>
      </c>
      <c r="M362" t="str">
        <f t="shared" si="23"/>
        <v>ANG-D7R</v>
      </c>
      <c r="N362" s="33"/>
      <c r="O362" s="33"/>
      <c r="P362" s="33"/>
      <c r="Q362" s="33"/>
    </row>
    <row r="363" spans="1:17" ht="14.25" customHeight="true">
      <c r="A363" s="33" t="str">
        <f t="shared" si="20"/>
        <v>ANG - Intercompany</v>
      </c>
      <c r="B363" s="33" t="str">
        <f t="shared" si="21"/>
        <v>ANG</v>
      </c>
      <c r="C363" s="33" t="str">
        <f t="shared" si="22"/>
        <v>11215-0000</v>
      </c>
      <c r="D363" s="64" t="s">
        <v>15841</v>
      </c>
      <c r="E363" s="64" t="s">
        <v>14087</v>
      </c>
      <c r="F363" s="64" t="s">
        <v>14039</v>
      </c>
      <c r="G363" s="64" t="s">
        <v>14672</v>
      </c>
      <c r="H363" s="64" t="s">
        <v>13869</v>
      </c>
      <c r="I363" s="64" t="s">
        <v>14690</v>
      </c>
      <c r="J363" s="67">
        <v>0</v>
      </c>
      <c r="K363" s="62">
        <v>0</v>
      </c>
      <c r="L363" t="str">
        <f>VLOOKUP(VALUE(LEFT(C363,5)),Xref!A:B,2,0)</f>
        <v>CDP</v>
      </c>
      <c r="M363" t="str">
        <f t="shared" si="23"/>
        <v>ANG-CDP</v>
      </c>
      <c r="N363" s="33"/>
      <c r="O363" s="33"/>
      <c r="P363" s="33"/>
      <c r="Q363" s="33"/>
    </row>
    <row r="364" spans="1:17" ht="14.25" customHeight="true">
      <c r="A364" s="33" t="str">
        <f t="shared" si="20"/>
        <v>ANG - Intercompany</v>
      </c>
      <c r="B364" s="33" t="str">
        <f t="shared" si="21"/>
        <v>ANG</v>
      </c>
      <c r="C364" s="33" t="str">
        <f t="shared" si="22"/>
        <v>11216-0000</v>
      </c>
      <c r="D364" s="64" t="s">
        <v>410</v>
      </c>
      <c r="E364" s="64" t="s">
        <v>13224</v>
      </c>
      <c r="F364" s="64" t="s">
        <v>14039</v>
      </c>
      <c r="G364" s="64" t="s">
        <v>14672</v>
      </c>
      <c r="H364" s="64" t="s">
        <v>13869</v>
      </c>
      <c r="I364" s="64" t="s">
        <v>14690</v>
      </c>
      <c r="J364" s="67">
        <v>-835.66</v>
      </c>
      <c r="K364" s="62">
        <v>12608.18</v>
      </c>
      <c r="L364" t="str">
        <f>VLOOKUP(VALUE(LEFT(C364,5)),Xref!A:B,2,0)</f>
        <v>SIL</v>
      </c>
      <c r="M364" t="str">
        <f t="shared" si="23"/>
        <v>ANG-SIL</v>
      </c>
      <c r="N364" s="33"/>
      <c r="O364" s="33"/>
      <c r="P364" s="33"/>
      <c r="Q364" s="33"/>
    </row>
    <row r="365" spans="1:17" ht="14.25" customHeight="true">
      <c r="A365" s="33" t="str">
        <f t="shared" si="20"/>
        <v>ANG - Intercompany</v>
      </c>
      <c r="B365" s="33" t="str">
        <f t="shared" si="21"/>
        <v>ANG</v>
      </c>
      <c r="C365" s="33" t="str">
        <f t="shared" si="22"/>
        <v>11232-0000</v>
      </c>
      <c r="D365" s="64" t="s">
        <v>15842</v>
      </c>
      <c r="E365" s="64" t="s">
        <v>12486</v>
      </c>
      <c r="F365" s="64" t="s">
        <v>14039</v>
      </c>
      <c r="G365" s="64" t="s">
        <v>14672</v>
      </c>
      <c r="H365" s="64" t="s">
        <v>13869</v>
      </c>
      <c r="I365" s="64" t="s">
        <v>14690</v>
      </c>
      <c r="J365" s="67">
        <v>0</v>
      </c>
      <c r="K365" s="62">
        <v>0</v>
      </c>
      <c r="L365" t="str">
        <f>VLOOKUP(VALUE(LEFT(C365,5)),Xref!A:B,2,0)</f>
        <v>SC2</v>
      </c>
      <c r="M365" t="str">
        <f t="shared" si="23"/>
        <v>ANG-SC2</v>
      </c>
      <c r="N365" s="33"/>
      <c r="O365" s="33"/>
      <c r="P365" s="33"/>
      <c r="Q365" s="33"/>
    </row>
    <row r="366" spans="1:17" ht="14.25" customHeight="true">
      <c r="A366" s="33" t="str">
        <f t="shared" si="20"/>
        <v>ANG - Intercompany</v>
      </c>
      <c r="B366" s="33" t="str">
        <f t="shared" si="21"/>
        <v>ANG</v>
      </c>
      <c r="C366" s="33" t="str">
        <f t="shared" si="22"/>
        <v>11301-0000</v>
      </c>
      <c r="D366" s="64" t="s">
        <v>411</v>
      </c>
      <c r="E366" s="64" t="s">
        <v>13225</v>
      </c>
      <c r="F366" s="64" t="s">
        <v>14039</v>
      </c>
      <c r="G366" s="64" t="s">
        <v>14672</v>
      </c>
      <c r="H366" s="64" t="s">
        <v>13869</v>
      </c>
      <c r="I366" s="64" t="s">
        <v>14690</v>
      </c>
      <c r="J366" s="67">
        <v>0</v>
      </c>
      <c r="K366" s="62">
        <v>-10000</v>
      </c>
      <c r="L366" t="str">
        <f>VLOOKUP(VALUE(LEFT(C366,5)),Xref!A:B,2,0)</f>
        <v>CRE</v>
      </c>
      <c r="M366" t="str">
        <f t="shared" si="23"/>
        <v>ANG-CRE</v>
      </c>
      <c r="N366" s="33"/>
      <c r="O366" s="33"/>
      <c r="P366" s="33"/>
      <c r="Q366" s="33"/>
    </row>
    <row r="367" spans="1:17" ht="14.25" customHeight="true">
      <c r="A367" s="33" t="str">
        <f t="shared" si="20"/>
        <v>ANG - Intercompany</v>
      </c>
      <c r="B367" s="33" t="str">
        <f t="shared" si="21"/>
        <v>ANG</v>
      </c>
      <c r="C367" s="33" t="str">
        <f t="shared" si="22"/>
        <v>11302-0000</v>
      </c>
      <c r="D367" s="64" t="s">
        <v>412</v>
      </c>
      <c r="E367" s="64" t="s">
        <v>13226</v>
      </c>
      <c r="F367" s="64" t="s">
        <v>14039</v>
      </c>
      <c r="G367" s="64" t="s">
        <v>14672</v>
      </c>
      <c r="H367" s="64" t="s">
        <v>13869</v>
      </c>
      <c r="I367" s="64" t="s">
        <v>14690</v>
      </c>
      <c r="J367" s="67">
        <v>0</v>
      </c>
      <c r="K367" s="62">
        <v>-10000</v>
      </c>
      <c r="L367" t="str">
        <f>VLOOKUP(VALUE(LEFT(C367,5)),Xref!A:B,2,0)</f>
        <v>CHA</v>
      </c>
      <c r="M367" t="str">
        <f t="shared" si="23"/>
        <v>ANG-CHA</v>
      </c>
      <c r="N367" s="33"/>
      <c r="O367" s="33"/>
      <c r="P367" s="33"/>
      <c r="Q367" s="33"/>
    </row>
    <row r="368" spans="1:17" ht="14.25" customHeight="true">
      <c r="A368" s="33" t="str">
        <f t="shared" si="20"/>
        <v>ANG - Intercompany</v>
      </c>
      <c r="B368" s="33" t="str">
        <f t="shared" si="21"/>
        <v>ANG</v>
      </c>
      <c r="C368" s="33" t="str">
        <f t="shared" si="22"/>
        <v>11303-0000</v>
      </c>
      <c r="D368" s="64" t="s">
        <v>15843</v>
      </c>
      <c r="E368" s="64" t="s">
        <v>13227</v>
      </c>
      <c r="F368" s="64" t="s">
        <v>14039</v>
      </c>
      <c r="G368" s="64" t="s">
        <v>14672</v>
      </c>
      <c r="H368" s="64" t="s">
        <v>13869</v>
      </c>
      <c r="I368" s="64" t="s">
        <v>14690</v>
      </c>
      <c r="J368" s="67">
        <v>0</v>
      </c>
      <c r="K368" s="62">
        <v>0</v>
      </c>
      <c r="L368" t="str">
        <f>VLOOKUP(VALUE(LEFT(C368,5)),Xref!A:B,2,0)</f>
        <v>DIA</v>
      </c>
      <c r="M368" t="str">
        <f t="shared" si="23"/>
        <v>ANG-DIA</v>
      </c>
      <c r="N368" s="33"/>
      <c r="O368" s="33"/>
      <c r="P368" s="33"/>
      <c r="Q368" s="33"/>
    </row>
    <row r="369" spans="1:17" ht="14.25" customHeight="true">
      <c r="A369" s="33" t="str">
        <f t="shared" si="20"/>
        <v>ANG - Intercompany</v>
      </c>
      <c r="B369" s="33" t="str">
        <f t="shared" si="21"/>
        <v>ANG</v>
      </c>
      <c r="C369" s="33" t="str">
        <f t="shared" si="22"/>
        <v>11304-0000</v>
      </c>
      <c r="D369" s="64" t="s">
        <v>414</v>
      </c>
      <c r="E369" s="64" t="s">
        <v>13228</v>
      </c>
      <c r="F369" s="64" t="s">
        <v>14039</v>
      </c>
      <c r="G369" s="64" t="s">
        <v>14672</v>
      </c>
      <c r="H369" s="64" t="s">
        <v>13869</v>
      </c>
      <c r="I369" s="64" t="s">
        <v>14690</v>
      </c>
      <c r="J369" s="67">
        <v>0</v>
      </c>
      <c r="K369" s="62">
        <v>10000</v>
      </c>
      <c r="L369" t="str">
        <f>VLOOKUP(VALUE(LEFT(C369,5)),Xref!A:B,2,0)</f>
        <v>EAG</v>
      </c>
      <c r="M369" t="str">
        <f t="shared" si="23"/>
        <v>ANG-EAG</v>
      </c>
      <c r="N369" s="33"/>
      <c r="O369" s="33"/>
      <c r="P369" s="33"/>
      <c r="Q369" s="33"/>
    </row>
    <row r="370" spans="1:17" ht="14.25" customHeight="true">
      <c r="A370" s="33" t="str">
        <f t="shared" si="20"/>
        <v>ANG - Intercompany</v>
      </c>
      <c r="B370" s="33" t="str">
        <f t="shared" si="21"/>
        <v>ANG</v>
      </c>
      <c r="C370" s="33" t="str">
        <f t="shared" si="22"/>
        <v>11305-0000</v>
      </c>
      <c r="D370" s="64" t="s">
        <v>15844</v>
      </c>
      <c r="E370" s="64" t="s">
        <v>13229</v>
      </c>
      <c r="F370" s="64" t="s">
        <v>14039</v>
      </c>
      <c r="G370" s="64" t="s">
        <v>14672</v>
      </c>
      <c r="H370" s="64" t="s">
        <v>13869</v>
      </c>
      <c r="I370" s="64" t="s">
        <v>14690</v>
      </c>
      <c r="J370" s="67">
        <v>0</v>
      </c>
      <c r="K370" s="62">
        <v>0</v>
      </c>
      <c r="L370" t="str">
        <f>VLOOKUP(VALUE(LEFT(C370,5)),Xref!A:B,2,0)</f>
        <v>NEW</v>
      </c>
      <c r="M370" t="str">
        <f t="shared" si="23"/>
        <v>ANG-NEW</v>
      </c>
      <c r="N370" s="33"/>
      <c r="O370" s="33"/>
      <c r="P370" s="33"/>
      <c r="Q370" s="33"/>
    </row>
    <row r="371" spans="1:17" ht="14.25" customHeight="true">
      <c r="A371" s="33" t="str">
        <f t="shared" si="20"/>
        <v>ANG - Intercompany</v>
      </c>
      <c r="B371" s="33" t="str">
        <f t="shared" si="21"/>
        <v>ANG</v>
      </c>
      <c r="C371" s="33" t="str">
        <f t="shared" si="22"/>
        <v>11307-0000</v>
      </c>
      <c r="D371" s="64" t="s">
        <v>15845</v>
      </c>
      <c r="E371" s="64" t="s">
        <v>14096</v>
      </c>
      <c r="F371" s="64" t="s">
        <v>14039</v>
      </c>
      <c r="G371" s="64" t="s">
        <v>14672</v>
      </c>
      <c r="H371" s="64" t="s">
        <v>13869</v>
      </c>
      <c r="I371" s="64" t="s">
        <v>14690</v>
      </c>
      <c r="J371" s="67">
        <v>0</v>
      </c>
      <c r="K371" s="62">
        <v>0</v>
      </c>
      <c r="L371" t="str">
        <f>VLOOKUP(VALUE(LEFT(C371,5)),Xref!A:B,2,0)</f>
        <v>NES</v>
      </c>
      <c r="M371" t="str">
        <f t="shared" si="23"/>
        <v>ANG-NES</v>
      </c>
      <c r="N371" s="33"/>
      <c r="O371" s="33"/>
      <c r="P371" s="33"/>
      <c r="Q371" s="33"/>
    </row>
    <row r="372" spans="1:17" ht="14.25" customHeight="true">
      <c r="A372" s="33" t="str">
        <f t="shared" si="20"/>
        <v>ANG - Intercompany</v>
      </c>
      <c r="B372" s="33" t="str">
        <f t="shared" si="21"/>
        <v>ANG</v>
      </c>
      <c r="C372" s="33" t="str">
        <f t="shared" si="22"/>
        <v>11308-0000</v>
      </c>
      <c r="D372" s="64" t="s">
        <v>15846</v>
      </c>
      <c r="E372" s="64" t="s">
        <v>13476</v>
      </c>
      <c r="F372" s="64" t="s">
        <v>14039</v>
      </c>
      <c r="G372" s="64" t="s">
        <v>14672</v>
      </c>
      <c r="H372" s="64" t="s">
        <v>13869</v>
      </c>
      <c r="I372" s="64" t="s">
        <v>14690</v>
      </c>
      <c r="J372" s="67">
        <v>0</v>
      </c>
      <c r="K372" s="62">
        <v>0</v>
      </c>
      <c r="L372" t="str">
        <f>VLOOKUP(VALUE(LEFT(C372,5)),Xref!A:B,2,0)</f>
        <v>LPI</v>
      </c>
      <c r="M372" t="str">
        <f t="shared" si="23"/>
        <v>ANG-LPI</v>
      </c>
      <c r="N372" s="33"/>
      <c r="O372" s="33"/>
      <c r="P372" s="33"/>
      <c r="Q372" s="33"/>
    </row>
    <row r="373" spans="1:17" ht="14.25" customHeight="true">
      <c r="A373" s="33" t="str">
        <f t="shared" si="20"/>
        <v>ANG - Intercompany</v>
      </c>
      <c r="B373" s="33" t="str">
        <f t="shared" si="21"/>
        <v>ANG</v>
      </c>
      <c r="C373" s="33" t="str">
        <f t="shared" si="22"/>
        <v>11309-0000</v>
      </c>
      <c r="D373" s="64" t="s">
        <v>15847</v>
      </c>
      <c r="E373" s="64" t="s">
        <v>13230</v>
      </c>
      <c r="F373" s="64" t="s">
        <v>14039</v>
      </c>
      <c r="G373" s="64" t="s">
        <v>14672</v>
      </c>
      <c r="H373" s="64" t="s">
        <v>13869</v>
      </c>
      <c r="I373" s="64" t="s">
        <v>14690</v>
      </c>
      <c r="J373" s="67">
        <v>0</v>
      </c>
      <c r="K373" s="62">
        <v>0</v>
      </c>
      <c r="L373" t="str">
        <f>VLOOKUP(VALUE(LEFT(C373,5)),Xref!A:B,2,0)</f>
        <v>GPI</v>
      </c>
      <c r="M373" t="str">
        <f t="shared" si="23"/>
        <v>ANG-GPI</v>
      </c>
      <c r="N373" s="33"/>
      <c r="O373" s="33"/>
      <c r="P373" s="33"/>
      <c r="Q373" s="33"/>
    </row>
    <row r="374" spans="1:17" ht="14.25" customHeight="true">
      <c r="A374" s="33" t="str">
        <f t="shared" si="20"/>
        <v>ANG - Intercompany</v>
      </c>
      <c r="B374" s="33" t="str">
        <f t="shared" si="21"/>
        <v>ANG</v>
      </c>
      <c r="C374" s="33" t="str">
        <f t="shared" si="22"/>
        <v>11310-0000</v>
      </c>
      <c r="D374" s="64" t="s">
        <v>15848</v>
      </c>
      <c r="E374" s="64" t="s">
        <v>13231</v>
      </c>
      <c r="F374" s="64" t="s">
        <v>14039</v>
      </c>
      <c r="G374" s="64" t="s">
        <v>14672</v>
      </c>
      <c r="H374" s="64" t="s">
        <v>13869</v>
      </c>
      <c r="I374" s="64" t="s">
        <v>14690</v>
      </c>
      <c r="J374" s="67">
        <v>0</v>
      </c>
      <c r="K374" s="62">
        <v>0</v>
      </c>
      <c r="L374" t="str">
        <f>VLOOKUP(VALUE(LEFT(C374,5)),Xref!A:B,2,0)</f>
        <v>ALP</v>
      </c>
      <c r="M374" t="str">
        <f t="shared" si="23"/>
        <v>ALP-ANG</v>
      </c>
      <c r="N374" s="33"/>
      <c r="O374" s="33"/>
      <c r="P374" s="33"/>
      <c r="Q374" s="33"/>
    </row>
    <row r="375" spans="1:17" ht="14.25" customHeight="true">
      <c r="A375" s="33" t="str">
        <f t="shared" si="20"/>
        <v>ANG - Intercompany</v>
      </c>
      <c r="B375" s="33" t="str">
        <f t="shared" si="21"/>
        <v>ANG</v>
      </c>
      <c r="C375" s="33" t="str">
        <f t="shared" si="22"/>
        <v>11311-0000</v>
      </c>
      <c r="D375" s="64" t="s">
        <v>15849</v>
      </c>
      <c r="E375" s="64" t="s">
        <v>13232</v>
      </c>
      <c r="F375" s="64" t="s">
        <v>14039</v>
      </c>
      <c r="G375" s="64" t="s">
        <v>14672</v>
      </c>
      <c r="H375" s="64" t="s">
        <v>13869</v>
      </c>
      <c r="I375" s="64" t="s">
        <v>14690</v>
      </c>
      <c r="J375" s="67">
        <v>0</v>
      </c>
      <c r="K375" s="62">
        <v>0</v>
      </c>
      <c r="L375" t="str">
        <f>VLOOKUP(VALUE(LEFT(C375,5)),Xref!A:B,2,0)</f>
        <v>BET</v>
      </c>
      <c r="M375" t="str">
        <f t="shared" si="23"/>
        <v>ANG-BET</v>
      </c>
      <c r="N375" s="33"/>
      <c r="O375" s="33"/>
      <c r="P375" s="33"/>
      <c r="Q375" s="33"/>
    </row>
    <row r="376" spans="1:17" ht="14.25" customHeight="true">
      <c r="A376" s="33" t="str">
        <f t="shared" si="20"/>
        <v>ANG - Intercompany</v>
      </c>
      <c r="B376" s="33" t="str">
        <f t="shared" si="21"/>
        <v>ANG</v>
      </c>
      <c r="C376" s="33" t="str">
        <f t="shared" si="22"/>
        <v>11312-0000</v>
      </c>
      <c r="D376" s="64" t="s">
        <v>15850</v>
      </c>
      <c r="E376" s="64" t="s">
        <v>14102</v>
      </c>
      <c r="F376" s="64" t="s">
        <v>14039</v>
      </c>
      <c r="G376" s="64" t="s">
        <v>14672</v>
      </c>
      <c r="H376" s="64" t="s">
        <v>13869</v>
      </c>
      <c r="I376" s="64" t="s">
        <v>14690</v>
      </c>
      <c r="J376" s="67">
        <v>0</v>
      </c>
      <c r="K376" s="62">
        <v>0</v>
      </c>
      <c r="L376" t="str">
        <f>VLOOKUP(VALUE(LEFT(C376,5)),Xref!A:B,2,0)</f>
        <v>DEL</v>
      </c>
      <c r="M376" t="str">
        <f t="shared" si="23"/>
        <v>ANG-DEL</v>
      </c>
      <c r="N376" s="33"/>
      <c r="O376" s="33"/>
      <c r="P376" s="33"/>
      <c r="Q376" s="33"/>
    </row>
    <row r="377" spans="1:17" ht="14.25" customHeight="true">
      <c r="A377" s="33" t="str">
        <f t="shared" si="20"/>
        <v>ANG - Intercompany</v>
      </c>
      <c r="B377" s="33" t="str">
        <f t="shared" si="21"/>
        <v>ANG</v>
      </c>
      <c r="C377" s="33" t="str">
        <f t="shared" si="22"/>
        <v>11313-0000</v>
      </c>
      <c r="D377" s="64" t="s">
        <v>415</v>
      </c>
      <c r="E377" s="64" t="s">
        <v>13233</v>
      </c>
      <c r="F377" s="64" t="s">
        <v>14039</v>
      </c>
      <c r="G377" s="64" t="s">
        <v>14672</v>
      </c>
      <c r="H377" s="64" t="s">
        <v>13869</v>
      </c>
      <c r="I377" s="64" t="s">
        <v>14690</v>
      </c>
      <c r="J377" s="67">
        <v>0</v>
      </c>
      <c r="K377" s="62">
        <v>-10000</v>
      </c>
      <c r="L377" t="str">
        <f>VLOOKUP(VALUE(LEFT(C377,5)),Xref!A:B,2,0)</f>
        <v>DOL</v>
      </c>
      <c r="M377" t="str">
        <f t="shared" si="23"/>
        <v>ANG-DOL</v>
      </c>
      <c r="N377" s="33"/>
      <c r="O377" s="33"/>
      <c r="P377" s="33"/>
      <c r="Q377" s="33"/>
    </row>
    <row r="378" spans="1:17" ht="14.25" customHeight="true">
      <c r="A378" s="33" t="str">
        <f t="shared" si="20"/>
        <v>ANG - Intercompany</v>
      </c>
      <c r="B378" s="33" t="str">
        <f t="shared" si="21"/>
        <v>ANG</v>
      </c>
      <c r="C378" s="33" t="str">
        <f t="shared" si="22"/>
        <v>11314-0000</v>
      </c>
      <c r="D378" s="64" t="s">
        <v>15851</v>
      </c>
      <c r="E378" s="64" t="s">
        <v>13351</v>
      </c>
      <c r="F378" s="64" t="s">
        <v>14039</v>
      </c>
      <c r="G378" s="64" t="s">
        <v>14672</v>
      </c>
      <c r="H378" s="64" t="s">
        <v>13869</v>
      </c>
      <c r="I378" s="64" t="s">
        <v>14690</v>
      </c>
      <c r="J378" s="67">
        <v>0</v>
      </c>
      <c r="K378" s="62">
        <v>0</v>
      </c>
      <c r="L378" t="str">
        <f>VLOOKUP(VALUE(LEFT(C378,5)),Xref!A:B,2,0)</f>
        <v>GRI</v>
      </c>
      <c r="M378" t="str">
        <f t="shared" si="23"/>
        <v>ANG-GRI</v>
      </c>
      <c r="N378" s="33"/>
      <c r="O378" s="33"/>
      <c r="P378" s="33"/>
      <c r="Q378" s="33"/>
    </row>
    <row r="379" spans="1:17" ht="14.25" customHeight="true">
      <c r="A379" s="33" t="str">
        <f t="shared" si="20"/>
        <v>ANG - Intercompany</v>
      </c>
      <c r="B379" s="33" t="str">
        <f t="shared" si="21"/>
        <v>ANG</v>
      </c>
      <c r="C379" s="33" t="str">
        <f t="shared" si="22"/>
        <v>11315-0000</v>
      </c>
      <c r="D379" s="64" t="s">
        <v>15852</v>
      </c>
      <c r="E379" s="64" t="s">
        <v>13234</v>
      </c>
      <c r="F379" s="64" t="s">
        <v>14039</v>
      </c>
      <c r="G379" s="64" t="s">
        <v>14672</v>
      </c>
      <c r="H379" s="64" t="s">
        <v>13869</v>
      </c>
      <c r="I379" s="64" t="s">
        <v>14690</v>
      </c>
      <c r="J379" s="67">
        <v>0</v>
      </c>
      <c r="K379" s="62">
        <v>0</v>
      </c>
      <c r="L379" t="str">
        <f>VLOOKUP(VALUE(LEFT(C379,5)),Xref!A:B,2,0)</f>
        <v>PUR</v>
      </c>
      <c r="M379" t="str">
        <f t="shared" si="23"/>
        <v>ANG-PUR</v>
      </c>
      <c r="N379" s="33"/>
      <c r="O379" s="33"/>
      <c r="P379" s="33"/>
      <c r="Q379" s="33"/>
    </row>
    <row r="380" spans="1:17" ht="14.25" customHeight="true">
      <c r="A380" s="33" t="str">
        <f t="shared" si="20"/>
        <v>ANG - Intercompany</v>
      </c>
      <c r="B380" s="33" t="str">
        <f t="shared" si="21"/>
        <v>ANG</v>
      </c>
      <c r="C380" s="33" t="str">
        <f t="shared" si="22"/>
        <v>11316-0000</v>
      </c>
      <c r="D380" s="64" t="s">
        <v>15853</v>
      </c>
      <c r="E380" s="64" t="s">
        <v>13235</v>
      </c>
      <c r="F380" s="64" t="s">
        <v>14039</v>
      </c>
      <c r="G380" s="64" t="s">
        <v>14672</v>
      </c>
      <c r="H380" s="64" t="s">
        <v>13869</v>
      </c>
      <c r="I380" s="64" t="s">
        <v>14690</v>
      </c>
      <c r="J380" s="67">
        <v>0</v>
      </c>
      <c r="K380" s="62">
        <v>0</v>
      </c>
      <c r="L380" t="str">
        <f>VLOOKUP(VALUE(LEFT(C380,5)),Xref!A:B,2,0)</f>
        <v>VAL</v>
      </c>
      <c r="M380" t="str">
        <f t="shared" si="23"/>
        <v>ANG-VAL</v>
      </c>
      <c r="N380" s="33"/>
      <c r="O380" s="33"/>
      <c r="P380" s="33"/>
      <c r="Q380" s="33"/>
    </row>
    <row r="381" spans="1:17" ht="14.25" customHeight="true">
      <c r="A381" s="33" t="str">
        <f t="shared" si="20"/>
        <v>ANG - Intercompany</v>
      </c>
      <c r="B381" s="33" t="str">
        <f t="shared" si="21"/>
        <v>ANG</v>
      </c>
      <c r="C381" s="33" t="str">
        <f t="shared" si="22"/>
        <v>11317-0000</v>
      </c>
      <c r="D381" s="64" t="s">
        <v>416</v>
      </c>
      <c r="E381" s="64" t="s">
        <v>13352</v>
      </c>
      <c r="F381" s="64" t="s">
        <v>14039</v>
      </c>
      <c r="G381" s="64" t="s">
        <v>14672</v>
      </c>
      <c r="H381" s="64" t="s">
        <v>13869</v>
      </c>
      <c r="I381" s="64" t="s">
        <v>14690</v>
      </c>
      <c r="J381" s="67">
        <v>0</v>
      </c>
      <c r="K381" s="62">
        <v>-30000</v>
      </c>
      <c r="L381" t="str">
        <f>VLOOKUP(VALUE(LEFT(C381,5)),Xref!A:B,2,0)</f>
        <v>AKG</v>
      </c>
      <c r="M381" t="str">
        <f t="shared" si="23"/>
        <v>AKG-ANG</v>
      </c>
      <c r="N381" s="33"/>
      <c r="O381" s="33"/>
      <c r="P381" s="33"/>
      <c r="Q381" s="33"/>
    </row>
    <row r="382" spans="1:17" ht="14.25" customHeight="true">
      <c r="A382" s="33" t="str">
        <f t="shared" si="20"/>
        <v>ANG - Intercompany</v>
      </c>
      <c r="B382" s="33" t="str">
        <f t="shared" si="21"/>
        <v>ANG</v>
      </c>
      <c r="C382" s="33" t="str">
        <f t="shared" si="22"/>
        <v>11318-0000</v>
      </c>
      <c r="D382" s="64" t="s">
        <v>15854</v>
      </c>
      <c r="E382" s="64" t="s">
        <v>13477</v>
      </c>
      <c r="F382" s="64" t="s">
        <v>14039</v>
      </c>
      <c r="G382" s="64" t="s">
        <v>14672</v>
      </c>
      <c r="H382" s="64" t="s">
        <v>13869</v>
      </c>
      <c r="I382" s="64" t="s">
        <v>14690</v>
      </c>
      <c r="J382" s="67">
        <v>0</v>
      </c>
      <c r="K382" s="62">
        <v>0</v>
      </c>
      <c r="L382" t="str">
        <f>VLOOKUP(VALUE(LEFT(C382,5)),Xref!A:B,2,0)</f>
        <v>FIR</v>
      </c>
      <c r="M382" t="str">
        <f t="shared" si="23"/>
        <v>ANG-FIR</v>
      </c>
      <c r="N382" s="33"/>
      <c r="O382" s="33"/>
      <c r="P382" s="33"/>
      <c r="Q382" s="33"/>
    </row>
    <row r="383" spans="1:17" ht="14.25" customHeight="true">
      <c r="A383" s="33" t="str">
        <f t="shared" si="20"/>
        <v>ANG - Intercompany</v>
      </c>
      <c r="B383" s="33" t="str">
        <f t="shared" si="21"/>
        <v>ANG</v>
      </c>
      <c r="C383" s="33" t="str">
        <f t="shared" si="22"/>
        <v>11319-0000</v>
      </c>
      <c r="D383" s="64" t="s">
        <v>15855</v>
      </c>
      <c r="E383" s="64" t="s">
        <v>266</v>
      </c>
      <c r="F383" s="64" t="s">
        <v>14039</v>
      </c>
      <c r="G383" s="64" t="s">
        <v>14672</v>
      </c>
      <c r="H383" s="64" t="s">
        <v>13869</v>
      </c>
      <c r="I383" s="64" t="s">
        <v>14690</v>
      </c>
      <c r="J383" s="67">
        <v>0</v>
      </c>
      <c r="K383" s="62">
        <v>0</v>
      </c>
      <c r="L383" t="str">
        <f>VLOOKUP(VALUE(LEFT(C383,5)),Xref!A:B,2,0)</f>
        <v>GST</v>
      </c>
      <c r="M383" t="str">
        <f t="shared" si="23"/>
        <v>ANG-GST</v>
      </c>
      <c r="N383" s="33"/>
      <c r="O383" s="33"/>
      <c r="P383" s="33"/>
      <c r="Q383" s="33"/>
    </row>
    <row r="384" spans="1:17" ht="14.25" customHeight="true">
      <c r="A384" s="33" t="str">
        <f t="shared" si="20"/>
        <v>ANG - Intercompany</v>
      </c>
      <c r="B384" s="33" t="str">
        <f t="shared" si="21"/>
        <v>ANG</v>
      </c>
      <c r="C384" s="33" t="str">
        <f t="shared" si="22"/>
        <v>11320-0000</v>
      </c>
      <c r="D384" s="64" t="s">
        <v>15856</v>
      </c>
      <c r="E384" s="64" t="s">
        <v>14111</v>
      </c>
      <c r="F384" s="64" t="s">
        <v>14039</v>
      </c>
      <c r="G384" s="64" t="s">
        <v>14672</v>
      </c>
      <c r="H384" s="64" t="s">
        <v>13869</v>
      </c>
      <c r="I384" s="64" t="s">
        <v>14690</v>
      </c>
      <c r="J384" s="67">
        <v>0</v>
      </c>
      <c r="K384" s="62">
        <v>0</v>
      </c>
      <c r="L384" t="str">
        <f>VLOOKUP(VALUE(LEFT(C384,5)),Xref!A:B,2,0)</f>
        <v>HDN</v>
      </c>
      <c r="M384" t="str">
        <f t="shared" si="23"/>
        <v>ANG-HDN</v>
      </c>
      <c r="N384" s="33"/>
      <c r="O384" s="33"/>
      <c r="P384" s="33"/>
      <c r="Q384" s="33"/>
    </row>
    <row r="385" spans="1:17" ht="14.25" customHeight="true">
      <c r="A385" s="33" t="str">
        <f t="shared" si="20"/>
        <v>ANG - Intercompany</v>
      </c>
      <c r="B385" s="33" t="str">
        <f t="shared" si="21"/>
        <v>ANG</v>
      </c>
      <c r="C385" s="33" t="str">
        <f t="shared" si="22"/>
        <v>11321-0000</v>
      </c>
      <c r="D385" s="64" t="s">
        <v>15857</v>
      </c>
      <c r="E385" s="64" t="s">
        <v>13236</v>
      </c>
      <c r="F385" s="64" t="s">
        <v>14039</v>
      </c>
      <c r="G385" s="64" t="s">
        <v>14672</v>
      </c>
      <c r="H385" s="64" t="s">
        <v>13869</v>
      </c>
      <c r="I385" s="64" t="s">
        <v>14690</v>
      </c>
      <c r="J385" s="67">
        <v>0</v>
      </c>
      <c r="K385" s="62">
        <v>0</v>
      </c>
      <c r="L385" t="str">
        <f>VLOOKUP(VALUE(LEFT(C385,5)),Xref!A:B,2,0)</f>
        <v>OVA</v>
      </c>
      <c r="M385" t="str">
        <f t="shared" si="23"/>
        <v>ANG-OVA</v>
      </c>
      <c r="N385" s="33"/>
      <c r="O385" s="33"/>
      <c r="P385" s="33"/>
      <c r="Q385" s="33"/>
    </row>
    <row r="386" spans="1:17" ht="14.25" customHeight="true">
      <c r="A386" s="33" t="str">
        <f t="shared" ref="A386:A449" si="24">B386&amp;" - "&amp;TRIM(H386)</f>
        <v>ANG - Intercompany</v>
      </c>
      <c r="B386" s="33" t="str">
        <f t="shared" ref="B386:B449" si="25">LEFT(D386,3)</f>
        <v>ANG</v>
      </c>
      <c r="C386" s="33" t="str">
        <f t="shared" ref="C386:C449" si="26">RIGHT(D386,10)</f>
        <v>11322-0000</v>
      </c>
      <c r="D386" s="64" t="s">
        <v>15858</v>
      </c>
      <c r="E386" s="64" t="s">
        <v>13237</v>
      </c>
      <c r="F386" s="64" t="s">
        <v>14039</v>
      </c>
      <c r="G386" s="64" t="s">
        <v>14672</v>
      </c>
      <c r="H386" s="64" t="s">
        <v>13869</v>
      </c>
      <c r="I386" s="64" t="s">
        <v>14690</v>
      </c>
      <c r="J386" s="67">
        <v>0</v>
      </c>
      <c r="K386" s="62">
        <v>0</v>
      </c>
      <c r="L386" t="str">
        <f>VLOOKUP(VALUE(LEFT(C386,5)),Xref!A:B,2,0)</f>
        <v>WOO</v>
      </c>
      <c r="M386" t="str">
        <f t="shared" ref="M386:M449" si="27">IF(B386&lt;L386,B386&amp;"-"&amp;L386,L386&amp;"-"&amp;B386)</f>
        <v>ANG-WOO</v>
      </c>
      <c r="N386" s="33"/>
      <c r="O386" s="33"/>
      <c r="P386" s="33"/>
      <c r="Q386" s="33"/>
    </row>
    <row r="387" spans="1:17" ht="14.25" customHeight="true">
      <c r="A387" s="33" t="str">
        <f t="shared" si="24"/>
        <v>ANG - Intercompany</v>
      </c>
      <c r="B387" s="33" t="str">
        <f t="shared" si="25"/>
        <v>ANG</v>
      </c>
      <c r="C387" s="33" t="str">
        <f t="shared" si="26"/>
        <v>11323-0000</v>
      </c>
      <c r="D387" s="64" t="s">
        <v>15859</v>
      </c>
      <c r="E387" s="64" t="s">
        <v>13478</v>
      </c>
      <c r="F387" s="64" t="s">
        <v>14039</v>
      </c>
      <c r="G387" s="64" t="s">
        <v>14672</v>
      </c>
      <c r="H387" s="64" t="s">
        <v>13869</v>
      </c>
      <c r="I387" s="64" t="s">
        <v>14690</v>
      </c>
      <c r="J387" s="67">
        <v>0</v>
      </c>
      <c r="K387" s="62">
        <v>0</v>
      </c>
      <c r="L387" t="str">
        <f>VLOOKUP(VALUE(LEFT(C387,5)),Xref!A:B,2,0)</f>
        <v>SPI</v>
      </c>
      <c r="M387" t="str">
        <f t="shared" si="27"/>
        <v>ANG-SPI</v>
      </c>
      <c r="N387" s="33"/>
      <c r="O387" s="33"/>
      <c r="P387" s="33"/>
      <c r="Q387" s="33"/>
    </row>
    <row r="388" spans="1:17" ht="14.25" customHeight="true">
      <c r="A388" s="33" t="str">
        <f t="shared" si="24"/>
        <v>ANG - Intercompany</v>
      </c>
      <c r="B388" s="33" t="str">
        <f t="shared" si="25"/>
        <v>ANG</v>
      </c>
      <c r="C388" s="33" t="str">
        <f t="shared" si="26"/>
        <v>11324-0000</v>
      </c>
      <c r="D388" s="64" t="s">
        <v>15860</v>
      </c>
      <c r="E388" s="64" t="s">
        <v>13238</v>
      </c>
      <c r="F388" s="64" t="s">
        <v>14039</v>
      </c>
      <c r="G388" s="64" t="s">
        <v>14672</v>
      </c>
      <c r="H388" s="64" t="s">
        <v>13869</v>
      </c>
      <c r="I388" s="64" t="s">
        <v>14690</v>
      </c>
      <c r="J388" s="67">
        <v>0</v>
      </c>
      <c r="K388" s="62">
        <v>0</v>
      </c>
      <c r="L388" t="str">
        <f>VLOOKUP(VALUE(LEFT(C388,5)),Xref!A:B,2,0)</f>
        <v>NET</v>
      </c>
      <c r="M388" t="str">
        <f t="shared" si="27"/>
        <v>ANG-NET</v>
      </c>
      <c r="N388" s="33"/>
      <c r="O388" s="33"/>
      <c r="P388" s="33"/>
      <c r="Q388" s="33"/>
    </row>
    <row r="389" spans="1:17" ht="14.25" customHeight="true">
      <c r="A389" s="33" t="str">
        <f t="shared" si="24"/>
        <v>ANG - Intercompany</v>
      </c>
      <c r="B389" s="33" t="str">
        <f t="shared" si="25"/>
        <v>ANG</v>
      </c>
      <c r="C389" s="33" t="str">
        <f t="shared" si="26"/>
        <v>11325-0000</v>
      </c>
      <c r="D389" s="64" t="s">
        <v>15861</v>
      </c>
      <c r="E389" s="64" t="s">
        <v>13239</v>
      </c>
      <c r="F389" s="64" t="s">
        <v>14039</v>
      </c>
      <c r="G389" s="64" t="s">
        <v>14672</v>
      </c>
      <c r="H389" s="64" t="s">
        <v>13869</v>
      </c>
      <c r="I389" s="64" t="s">
        <v>14690</v>
      </c>
      <c r="J389" s="67">
        <v>0</v>
      </c>
      <c r="K389" s="62">
        <v>0</v>
      </c>
      <c r="L389" t="str">
        <f>VLOOKUP(VALUE(LEFT(C389,5)),Xref!A:B,2,0)</f>
        <v>DPI</v>
      </c>
      <c r="M389" t="str">
        <f t="shared" si="27"/>
        <v>ANG-DPI</v>
      </c>
      <c r="N389" s="33"/>
      <c r="O389" s="33"/>
      <c r="P389" s="33"/>
      <c r="Q389" s="33"/>
    </row>
    <row r="390" spans="1:17" ht="14.25" customHeight="true">
      <c r="A390" s="33" t="str">
        <f t="shared" si="24"/>
        <v>ANG - Intercompany</v>
      </c>
      <c r="B390" s="33" t="str">
        <f t="shared" si="25"/>
        <v>ANG</v>
      </c>
      <c r="C390" s="33" t="str">
        <f t="shared" si="26"/>
        <v>11326-0000</v>
      </c>
      <c r="D390" s="64" t="s">
        <v>15862</v>
      </c>
      <c r="E390" s="64" t="s">
        <v>13240</v>
      </c>
      <c r="F390" s="64" t="s">
        <v>14039</v>
      </c>
      <c r="G390" s="64" t="s">
        <v>14672</v>
      </c>
      <c r="H390" s="64" t="s">
        <v>13869</v>
      </c>
      <c r="I390" s="64" t="s">
        <v>14690</v>
      </c>
      <c r="J390" s="67">
        <v>0</v>
      </c>
      <c r="K390" s="62">
        <v>0</v>
      </c>
      <c r="L390" t="str">
        <f>VLOOKUP(VALUE(LEFT(C390,5)),Xref!A:B,2,0)</f>
        <v>SEK</v>
      </c>
      <c r="M390" t="str">
        <f t="shared" si="27"/>
        <v>ANG-SEK</v>
      </c>
      <c r="N390" s="33"/>
      <c r="O390" s="33"/>
      <c r="P390" s="33"/>
      <c r="Q390" s="33"/>
    </row>
    <row r="391" spans="1:17" ht="14.25" customHeight="true">
      <c r="A391" s="33" t="str">
        <f t="shared" si="24"/>
        <v>ANG - Intercompany</v>
      </c>
      <c r="B391" s="33" t="str">
        <f t="shared" si="25"/>
        <v>ANG</v>
      </c>
      <c r="C391" s="33" t="str">
        <f t="shared" si="26"/>
        <v>11327-0000</v>
      </c>
      <c r="D391" s="64" t="s">
        <v>15863</v>
      </c>
      <c r="E391" s="64" t="s">
        <v>14119</v>
      </c>
      <c r="F391" s="64" t="s">
        <v>14039</v>
      </c>
      <c r="G391" s="64" t="s">
        <v>14672</v>
      </c>
      <c r="H391" s="64" t="s">
        <v>13869</v>
      </c>
      <c r="I391" s="64" t="s">
        <v>14690</v>
      </c>
      <c r="J391" s="67">
        <v>0</v>
      </c>
      <c r="K391" s="62">
        <v>0</v>
      </c>
      <c r="L391" t="str">
        <f>VLOOKUP(VALUE(LEFT(C391,5)),Xref!A:B,2,0)</f>
        <v>CPI</v>
      </c>
      <c r="M391" t="str">
        <f t="shared" si="27"/>
        <v>ANG-CPI</v>
      </c>
      <c r="N391" s="33"/>
      <c r="O391" s="33"/>
      <c r="P391" s="33"/>
      <c r="Q391" s="33"/>
    </row>
    <row r="392" spans="1:17" ht="14.25" customHeight="true">
      <c r="A392" s="33" t="str">
        <f t="shared" si="24"/>
        <v>ANG - Intercompany</v>
      </c>
      <c r="B392" s="33" t="str">
        <f t="shared" si="25"/>
        <v>ANG</v>
      </c>
      <c r="C392" s="33" t="str">
        <f t="shared" si="26"/>
        <v>11328-0000</v>
      </c>
      <c r="D392" s="64" t="s">
        <v>15864</v>
      </c>
      <c r="E392" s="64" t="s">
        <v>13241</v>
      </c>
      <c r="F392" s="64" t="s">
        <v>14039</v>
      </c>
      <c r="G392" s="64" t="s">
        <v>14672</v>
      </c>
      <c r="H392" s="64" t="s">
        <v>13869</v>
      </c>
      <c r="I392" s="64" t="s">
        <v>14690</v>
      </c>
      <c r="J392" s="67">
        <v>0</v>
      </c>
      <c r="K392" s="62">
        <v>0</v>
      </c>
      <c r="L392" t="str">
        <f>VLOOKUP(VALUE(LEFT(C392,5)),Xref!A:B,2,0)</f>
        <v>LOM</v>
      </c>
      <c r="M392" t="str">
        <f t="shared" si="27"/>
        <v>ANG-LOM</v>
      </c>
      <c r="N392" s="33"/>
      <c r="O392" s="33"/>
      <c r="P392" s="33"/>
      <c r="Q392" s="33"/>
    </row>
    <row r="393" spans="1:17" ht="14.25" customHeight="true">
      <c r="A393" s="33" t="str">
        <f t="shared" si="24"/>
        <v>ANG - Intercompany</v>
      </c>
      <c r="B393" s="33" t="str">
        <f t="shared" si="25"/>
        <v>ANG</v>
      </c>
      <c r="C393" s="33" t="str">
        <f t="shared" si="26"/>
        <v>11329-0000</v>
      </c>
      <c r="D393" s="64" t="s">
        <v>15865</v>
      </c>
      <c r="E393" s="64" t="s">
        <v>13353</v>
      </c>
      <c r="F393" s="64" t="s">
        <v>14039</v>
      </c>
      <c r="G393" s="64" t="s">
        <v>14672</v>
      </c>
      <c r="H393" s="64" t="s">
        <v>13869</v>
      </c>
      <c r="I393" s="64" t="s">
        <v>14690</v>
      </c>
      <c r="J393" s="67">
        <v>0</v>
      </c>
      <c r="K393" s="62">
        <v>0</v>
      </c>
      <c r="L393" t="str">
        <f>VLOOKUP(VALUE(LEFT(C393,5)),Xref!A:B,2,0)</f>
        <v>AKS</v>
      </c>
      <c r="M393" t="str">
        <f t="shared" si="27"/>
        <v>AKS-ANG</v>
      </c>
      <c r="N393" s="33"/>
      <c r="O393" s="33"/>
      <c r="P393" s="33"/>
      <c r="Q393" s="33"/>
    </row>
    <row r="394" spans="1:17" ht="14.25" customHeight="true">
      <c r="A394" s="33" t="str">
        <f t="shared" si="24"/>
        <v>ANG - Intercompany</v>
      </c>
      <c r="B394" s="33" t="str">
        <f t="shared" si="25"/>
        <v>ANG</v>
      </c>
      <c r="C394" s="33" t="str">
        <f t="shared" si="26"/>
        <v>11330-0000</v>
      </c>
      <c r="D394" s="64" t="s">
        <v>15866</v>
      </c>
      <c r="E394" s="64" t="s">
        <v>13242</v>
      </c>
      <c r="F394" s="64" t="s">
        <v>14039</v>
      </c>
      <c r="G394" s="64" t="s">
        <v>14672</v>
      </c>
      <c r="H394" s="64" t="s">
        <v>13869</v>
      </c>
      <c r="I394" s="64" t="s">
        <v>14690</v>
      </c>
      <c r="J394" s="67">
        <v>0</v>
      </c>
      <c r="K394" s="62">
        <v>0</v>
      </c>
      <c r="L394" t="str">
        <f>VLOOKUP(VALUE(LEFT(C394,5)),Xref!A:B,2,0)</f>
        <v>MAR</v>
      </c>
      <c r="M394" t="str">
        <f t="shared" si="27"/>
        <v>ANG-MAR</v>
      </c>
      <c r="N394" s="33"/>
      <c r="O394" s="33"/>
      <c r="P394" s="33"/>
      <c r="Q394" s="33"/>
    </row>
    <row r="395" spans="1:17" ht="14.25" customHeight="true">
      <c r="A395" s="33" t="str">
        <f t="shared" si="24"/>
        <v>ANG - Intercompany</v>
      </c>
      <c r="B395" s="33" t="str">
        <f t="shared" si="25"/>
        <v>ANG</v>
      </c>
      <c r="C395" s="33" t="str">
        <f t="shared" si="26"/>
        <v>11331-0000</v>
      </c>
      <c r="D395" s="64" t="s">
        <v>15867</v>
      </c>
      <c r="E395" s="64" t="s">
        <v>13354</v>
      </c>
      <c r="F395" s="64" t="s">
        <v>14039</v>
      </c>
      <c r="G395" s="64" t="s">
        <v>14672</v>
      </c>
      <c r="H395" s="64" t="s">
        <v>13869</v>
      </c>
      <c r="I395" s="64" t="s">
        <v>14690</v>
      </c>
      <c r="J395" s="67">
        <v>0</v>
      </c>
      <c r="K395" s="62">
        <v>0</v>
      </c>
      <c r="L395" t="str">
        <f>VLOOKUP(VALUE(LEFT(C395,5)),Xref!A:B,2,0)</f>
        <v>WIL</v>
      </c>
      <c r="M395" t="str">
        <f t="shared" si="27"/>
        <v>ANG-WIL</v>
      </c>
      <c r="N395" s="33"/>
      <c r="O395" s="33"/>
      <c r="P395" s="33"/>
      <c r="Q395" s="33"/>
    </row>
    <row r="396" spans="1:17" ht="14.25" customHeight="true">
      <c r="A396" s="33" t="str">
        <f t="shared" si="24"/>
        <v>ANG - Intercompany</v>
      </c>
      <c r="B396" s="33" t="str">
        <f t="shared" si="25"/>
        <v>ANG</v>
      </c>
      <c r="C396" s="33" t="str">
        <f t="shared" si="26"/>
        <v>11332-0000</v>
      </c>
      <c r="D396" s="64" t="s">
        <v>15868</v>
      </c>
      <c r="E396" s="64" t="s">
        <v>13243</v>
      </c>
      <c r="F396" s="64" t="s">
        <v>14039</v>
      </c>
      <c r="G396" s="64" t="s">
        <v>14672</v>
      </c>
      <c r="H396" s="64" t="s">
        <v>13869</v>
      </c>
      <c r="I396" s="64" t="s">
        <v>14690</v>
      </c>
      <c r="J396" s="67">
        <v>0</v>
      </c>
      <c r="K396" s="62">
        <v>0</v>
      </c>
      <c r="L396" t="str">
        <f>VLOOKUP(VALUE(LEFT(C396,5)),Xref!A:B,2,0)</f>
        <v>STO</v>
      </c>
      <c r="M396" t="str">
        <f t="shared" si="27"/>
        <v>ANG-STO</v>
      </c>
      <c r="N396" s="33"/>
      <c r="O396" s="33"/>
      <c r="P396" s="33"/>
      <c r="Q396" s="33"/>
    </row>
    <row r="397" spans="1:17" ht="14.25" customHeight="true">
      <c r="A397" s="33" t="str">
        <f t="shared" si="24"/>
        <v>ANG - Intercompany</v>
      </c>
      <c r="B397" s="33" t="str">
        <f t="shared" si="25"/>
        <v>ANG</v>
      </c>
      <c r="C397" s="33" t="str">
        <f t="shared" si="26"/>
        <v>11333-0000</v>
      </c>
      <c r="D397" s="64" t="s">
        <v>15869</v>
      </c>
      <c r="E397" s="64" t="s">
        <v>13244</v>
      </c>
      <c r="F397" s="64" t="s">
        <v>14039</v>
      </c>
      <c r="G397" s="64" t="s">
        <v>14672</v>
      </c>
      <c r="H397" s="64" t="s">
        <v>13869</v>
      </c>
      <c r="I397" s="64" t="s">
        <v>14690</v>
      </c>
      <c r="J397" s="67">
        <v>0</v>
      </c>
      <c r="K397" s="62">
        <v>-20000</v>
      </c>
      <c r="L397" t="str">
        <f>VLOOKUP(VALUE(LEFT(C397,5)),Xref!A:B,2,0)</f>
        <v>ANG</v>
      </c>
      <c r="M397" t="str">
        <f t="shared" si="27"/>
        <v>ANG-ANG</v>
      </c>
      <c r="N397" s="33"/>
      <c r="O397" s="33"/>
      <c r="P397" s="33"/>
      <c r="Q397" s="33"/>
    </row>
    <row r="398" spans="1:17" ht="14.25" customHeight="true">
      <c r="A398" s="33" t="str">
        <f t="shared" si="24"/>
        <v>ANG - Intercompany</v>
      </c>
      <c r="B398" s="33" t="str">
        <f t="shared" si="25"/>
        <v>ANG</v>
      </c>
      <c r="C398" s="33" t="str">
        <f t="shared" si="26"/>
        <v>11334-0000</v>
      </c>
      <c r="D398" s="64" t="s">
        <v>15870</v>
      </c>
      <c r="E398" s="64" t="s">
        <v>13245</v>
      </c>
      <c r="F398" s="64" t="s">
        <v>14039</v>
      </c>
      <c r="G398" s="64" t="s">
        <v>14672</v>
      </c>
      <c r="H398" s="64" t="s">
        <v>13869</v>
      </c>
      <c r="I398" s="64" t="s">
        <v>14690</v>
      </c>
      <c r="J398" s="67">
        <v>0</v>
      </c>
      <c r="K398" s="62">
        <v>0</v>
      </c>
      <c r="L398" t="str">
        <f>VLOOKUP(VALUE(LEFT(C398,5)),Xref!A:B,2,0)</f>
        <v>BRU</v>
      </c>
      <c r="M398" t="str">
        <f t="shared" si="27"/>
        <v>ANG-BRU</v>
      </c>
      <c r="N398" s="33"/>
      <c r="O398" s="33"/>
      <c r="P398" s="33"/>
      <c r="Q398" s="33"/>
    </row>
    <row r="399" spans="1:17" ht="14.25" customHeight="true">
      <c r="A399" s="33" t="str">
        <f t="shared" si="24"/>
        <v>ANG - Intercompany</v>
      </c>
      <c r="B399" s="33" t="str">
        <f t="shared" si="25"/>
        <v>ANG</v>
      </c>
      <c r="C399" s="33" t="str">
        <f t="shared" si="26"/>
        <v>11335-0000</v>
      </c>
      <c r="D399" s="64" t="s">
        <v>15871</v>
      </c>
      <c r="E399" s="64" t="s">
        <v>13246</v>
      </c>
      <c r="F399" s="64" t="s">
        <v>14039</v>
      </c>
      <c r="G399" s="64" t="s">
        <v>14672</v>
      </c>
      <c r="H399" s="64" t="s">
        <v>13869</v>
      </c>
      <c r="I399" s="64" t="s">
        <v>14690</v>
      </c>
      <c r="J399" s="67">
        <v>0</v>
      </c>
      <c r="K399" s="62">
        <v>0</v>
      </c>
      <c r="L399" t="str">
        <f>VLOOKUP(VALUE(LEFT(C399,5)),Xref!A:B,2,0)</f>
        <v>VEN</v>
      </c>
      <c r="M399" t="str">
        <f t="shared" si="27"/>
        <v>ANG-VEN</v>
      </c>
      <c r="N399" s="33"/>
      <c r="O399" s="33"/>
      <c r="P399" s="33"/>
      <c r="Q399" s="33"/>
    </row>
    <row r="400" spans="1:17" ht="14.25" customHeight="true">
      <c r="A400" s="33" t="str">
        <f t="shared" si="24"/>
        <v>ANG - Intercompany</v>
      </c>
      <c r="B400" s="33" t="str">
        <f t="shared" si="25"/>
        <v>ANG</v>
      </c>
      <c r="C400" s="33" t="str">
        <f t="shared" si="26"/>
        <v>11336-0000</v>
      </c>
      <c r="D400" s="64" t="s">
        <v>15872</v>
      </c>
      <c r="E400" s="64" t="s">
        <v>13247</v>
      </c>
      <c r="F400" s="64" t="s">
        <v>14039</v>
      </c>
      <c r="G400" s="64" t="s">
        <v>14672</v>
      </c>
      <c r="H400" s="64" t="s">
        <v>13869</v>
      </c>
      <c r="I400" s="64" t="s">
        <v>14690</v>
      </c>
      <c r="J400" s="67">
        <v>0</v>
      </c>
      <c r="K400" s="62">
        <v>0</v>
      </c>
      <c r="L400" t="str">
        <f>VLOOKUP(VALUE(LEFT(C400,5)),Xref!A:B,2,0)</f>
        <v>SAT</v>
      </c>
      <c r="M400" t="str">
        <f t="shared" si="27"/>
        <v>ANG-SAT</v>
      </c>
      <c r="N400" s="33"/>
      <c r="O400" s="33"/>
      <c r="P400" s="33"/>
      <c r="Q400" s="33"/>
    </row>
    <row r="401" spans="1:17" ht="14.25" customHeight="true">
      <c r="A401" s="33" t="str">
        <f t="shared" si="24"/>
        <v>ANG - Intercompany</v>
      </c>
      <c r="B401" s="33" t="str">
        <f t="shared" si="25"/>
        <v>ANG</v>
      </c>
      <c r="C401" s="33" t="str">
        <f t="shared" si="26"/>
        <v>11337-0000</v>
      </c>
      <c r="D401" s="64" t="s">
        <v>15873</v>
      </c>
      <c r="E401" s="64" t="s">
        <v>13248</v>
      </c>
      <c r="F401" s="64" t="s">
        <v>14039</v>
      </c>
      <c r="G401" s="64" t="s">
        <v>14672</v>
      </c>
      <c r="H401" s="64" t="s">
        <v>13869</v>
      </c>
      <c r="I401" s="64" t="s">
        <v>14690</v>
      </c>
      <c r="J401" s="67">
        <v>0</v>
      </c>
      <c r="K401" s="62">
        <v>0</v>
      </c>
      <c r="L401" t="str">
        <f>VLOOKUP(VALUE(LEFT(C401,5)),Xref!A:B,2,0)</f>
        <v>NEP</v>
      </c>
      <c r="M401" t="str">
        <f t="shared" si="27"/>
        <v>ANG-NEP</v>
      </c>
      <c r="N401" s="33"/>
      <c r="O401" s="33"/>
      <c r="P401" s="33"/>
      <c r="Q401" s="33"/>
    </row>
    <row r="402" spans="1:17" ht="14.25" customHeight="true">
      <c r="A402" s="33" t="str">
        <f t="shared" si="24"/>
        <v>ANG - Intercompany</v>
      </c>
      <c r="B402" s="33" t="str">
        <f t="shared" si="25"/>
        <v>ANG</v>
      </c>
      <c r="C402" s="33" t="str">
        <f t="shared" si="26"/>
        <v>11338-0000</v>
      </c>
      <c r="D402" s="64" t="s">
        <v>15874</v>
      </c>
      <c r="E402" s="64" t="s">
        <v>14131</v>
      </c>
      <c r="F402" s="64" t="s">
        <v>14039</v>
      </c>
      <c r="G402" s="64" t="s">
        <v>14672</v>
      </c>
      <c r="H402" s="64" t="s">
        <v>13869</v>
      </c>
      <c r="I402" s="64" t="s">
        <v>14690</v>
      </c>
      <c r="J402" s="67">
        <v>0</v>
      </c>
      <c r="K402" s="62">
        <v>0</v>
      </c>
      <c r="L402" t="str">
        <f>VLOOKUP(VALUE(LEFT(C402,5)),Xref!A:B,2,0)</f>
        <v>JUP</v>
      </c>
      <c r="M402" t="str">
        <f t="shared" si="27"/>
        <v>ANG-JUP</v>
      </c>
      <c r="N402" s="33"/>
      <c r="O402" s="33"/>
      <c r="P402" s="33"/>
      <c r="Q402" s="33"/>
    </row>
    <row r="403" spans="1:17" ht="14.25" customHeight="true">
      <c r="A403" s="33" t="str">
        <f t="shared" si="24"/>
        <v>ANG - Intercompany</v>
      </c>
      <c r="B403" s="33" t="str">
        <f t="shared" si="25"/>
        <v>ANG</v>
      </c>
      <c r="C403" s="33" t="str">
        <f t="shared" si="26"/>
        <v>11339-0000</v>
      </c>
      <c r="D403" s="64" t="s">
        <v>15875</v>
      </c>
      <c r="E403" s="64" t="s">
        <v>14133</v>
      </c>
      <c r="F403" s="64" t="s">
        <v>14039</v>
      </c>
      <c r="G403" s="64" t="s">
        <v>14672</v>
      </c>
      <c r="H403" s="64" t="s">
        <v>13869</v>
      </c>
      <c r="I403" s="64" t="s">
        <v>14690</v>
      </c>
      <c r="J403" s="67">
        <v>0</v>
      </c>
      <c r="K403" s="62">
        <v>0</v>
      </c>
      <c r="L403" t="str">
        <f>VLOOKUP(VALUE(LEFT(C403,5)),Xref!A:B,2,0)</f>
        <v>WES</v>
      </c>
      <c r="M403" t="str">
        <f t="shared" si="27"/>
        <v>ANG-WES</v>
      </c>
      <c r="N403" s="33"/>
      <c r="O403" s="33"/>
      <c r="P403" s="33"/>
      <c r="Q403" s="33"/>
    </row>
    <row r="404" spans="1:17" ht="14.25" customHeight="true">
      <c r="A404" s="33" t="str">
        <f t="shared" si="24"/>
        <v>ANG - Intercompany</v>
      </c>
      <c r="B404" s="33" t="str">
        <f t="shared" si="25"/>
        <v>ANG</v>
      </c>
      <c r="C404" s="33" t="str">
        <f t="shared" si="26"/>
        <v>11340-0000</v>
      </c>
      <c r="D404" s="64" t="s">
        <v>15876</v>
      </c>
      <c r="E404" s="64" t="s">
        <v>14135</v>
      </c>
      <c r="F404" s="64" t="s">
        <v>14039</v>
      </c>
      <c r="G404" s="64" t="s">
        <v>14672</v>
      </c>
      <c r="H404" s="64" t="s">
        <v>13869</v>
      </c>
      <c r="I404" s="64" t="s">
        <v>14690</v>
      </c>
      <c r="J404" s="67">
        <v>0</v>
      </c>
      <c r="K404" s="62">
        <v>0</v>
      </c>
      <c r="L404" t="str">
        <f>VLOOKUP(VALUE(LEFT(C404,5)),Xref!A:B,2,0)</f>
        <v>LCP</v>
      </c>
      <c r="M404" t="str">
        <f t="shared" si="27"/>
        <v>ANG-LCP</v>
      </c>
      <c r="N404" s="33"/>
      <c r="O404" s="33"/>
      <c r="P404" s="33"/>
      <c r="Q404" s="33"/>
    </row>
    <row r="405" spans="1:17" ht="14.25" customHeight="true">
      <c r="A405" s="33" t="str">
        <f t="shared" si="24"/>
        <v>ANG - Intercompany</v>
      </c>
      <c r="B405" s="33" t="str">
        <f t="shared" si="25"/>
        <v>ANG</v>
      </c>
      <c r="C405" s="33" t="str">
        <f t="shared" si="26"/>
        <v>11341-0000</v>
      </c>
      <c r="D405" s="64" t="s">
        <v>15877</v>
      </c>
      <c r="E405" s="64" t="s">
        <v>13639</v>
      </c>
      <c r="F405" s="64" t="s">
        <v>14039</v>
      </c>
      <c r="G405" s="64" t="s">
        <v>14672</v>
      </c>
      <c r="H405" s="64" t="s">
        <v>13869</v>
      </c>
      <c r="I405" s="64" t="s">
        <v>14690</v>
      </c>
      <c r="J405" s="67">
        <v>0</v>
      </c>
      <c r="K405" s="62">
        <v>0</v>
      </c>
      <c r="L405" t="str">
        <f>VLOOKUP(VALUE(LEFT(C405,5)),Xref!A:B,2,0)</f>
        <v>NOR</v>
      </c>
      <c r="M405" t="str">
        <f t="shared" si="27"/>
        <v>ANG-NOR</v>
      </c>
      <c r="N405" s="33"/>
      <c r="O405" s="33"/>
      <c r="P405" s="33"/>
      <c r="Q405" s="33"/>
    </row>
    <row r="406" spans="1:17" ht="14.25" customHeight="true">
      <c r="A406" s="33" t="str">
        <f t="shared" si="24"/>
        <v>ANG - Intercompany</v>
      </c>
      <c r="B406" s="33" t="str">
        <f t="shared" si="25"/>
        <v>ANG</v>
      </c>
      <c r="C406" s="33" t="str">
        <f t="shared" si="26"/>
        <v>11342-0000</v>
      </c>
      <c r="D406" s="64" t="s">
        <v>15878</v>
      </c>
      <c r="E406" s="64" t="s">
        <v>13355</v>
      </c>
      <c r="F406" s="64" t="s">
        <v>14039</v>
      </c>
      <c r="G406" s="64" t="s">
        <v>14672</v>
      </c>
      <c r="H406" s="64" t="s">
        <v>13869</v>
      </c>
      <c r="I406" s="64" t="s">
        <v>14690</v>
      </c>
      <c r="J406" s="67">
        <v>0</v>
      </c>
      <c r="K406" s="62">
        <v>0</v>
      </c>
      <c r="L406" t="str">
        <f>VLOOKUP(VALUE(LEFT(C406,5)),Xref!A:B,2,0)</f>
        <v>EAS</v>
      </c>
      <c r="M406" t="str">
        <f t="shared" si="27"/>
        <v>ANG-EAS</v>
      </c>
      <c r="N406" s="33"/>
      <c r="O406" s="33"/>
      <c r="P406" s="33"/>
      <c r="Q406" s="33"/>
    </row>
    <row r="407" spans="1:17" ht="14.25" customHeight="true">
      <c r="A407" s="33" t="str">
        <f t="shared" si="24"/>
        <v>ANG - Intercompany</v>
      </c>
      <c r="B407" s="33" t="str">
        <f t="shared" si="25"/>
        <v>ANG</v>
      </c>
      <c r="C407" s="33" t="str">
        <f t="shared" si="26"/>
        <v>11343-0000</v>
      </c>
      <c r="D407" s="64" t="s">
        <v>15879</v>
      </c>
      <c r="E407" s="64" t="s">
        <v>14139</v>
      </c>
      <c r="F407" s="64" t="s">
        <v>14039</v>
      </c>
      <c r="G407" s="64" t="s">
        <v>14672</v>
      </c>
      <c r="H407" s="64" t="s">
        <v>13869</v>
      </c>
      <c r="I407" s="64" t="s">
        <v>14690</v>
      </c>
      <c r="J407" s="67">
        <v>0</v>
      </c>
      <c r="K407" s="62">
        <v>0</v>
      </c>
      <c r="L407" t="str">
        <f>VLOOKUP(VALUE(LEFT(C407,5)),Xref!A:B,2,0)</f>
        <v>GRA</v>
      </c>
      <c r="M407" t="str">
        <f t="shared" si="27"/>
        <v>ANG-GRA</v>
      </c>
      <c r="N407" s="33"/>
      <c r="O407" s="33"/>
      <c r="P407" s="33"/>
      <c r="Q407" s="33"/>
    </row>
    <row r="408" spans="1:17" ht="14.25" customHeight="true">
      <c r="A408" s="33" t="str">
        <f t="shared" si="24"/>
        <v>ANG - Intercompany</v>
      </c>
      <c r="B408" s="33" t="str">
        <f t="shared" si="25"/>
        <v>ANG</v>
      </c>
      <c r="C408" s="33" t="str">
        <f t="shared" si="26"/>
        <v>11344-0000</v>
      </c>
      <c r="D408" s="64" t="s">
        <v>15880</v>
      </c>
      <c r="E408" s="64" t="s">
        <v>14141</v>
      </c>
      <c r="F408" s="64" t="s">
        <v>14039</v>
      </c>
      <c r="G408" s="64" t="s">
        <v>14672</v>
      </c>
      <c r="H408" s="64" t="s">
        <v>13869</v>
      </c>
      <c r="I408" s="64" t="s">
        <v>14690</v>
      </c>
      <c r="J408" s="67">
        <v>0</v>
      </c>
      <c r="K408" s="62">
        <v>0</v>
      </c>
      <c r="L408" t="str">
        <f>VLOOKUP(VALUE(LEFT(C408,5)),Xref!A:B,2,0)</f>
        <v>SOU</v>
      </c>
      <c r="M408" t="str">
        <f t="shared" si="27"/>
        <v>ANG-SOU</v>
      </c>
      <c r="N408" s="33"/>
      <c r="O408" s="33"/>
      <c r="P408" s="33"/>
      <c r="Q408" s="33"/>
    </row>
    <row r="409" spans="1:17" ht="14.25" customHeight="true">
      <c r="A409" s="33" t="str">
        <f t="shared" si="24"/>
        <v>ANG - Intercompany</v>
      </c>
      <c r="B409" s="33" t="str">
        <f t="shared" si="25"/>
        <v>ANG</v>
      </c>
      <c r="C409" s="33" t="str">
        <f t="shared" si="26"/>
        <v>11345-0000</v>
      </c>
      <c r="D409" s="64" t="s">
        <v>15881</v>
      </c>
      <c r="E409" s="64" t="s">
        <v>14143</v>
      </c>
      <c r="F409" s="64" t="s">
        <v>14039</v>
      </c>
      <c r="G409" s="64" t="s">
        <v>14672</v>
      </c>
      <c r="H409" s="64" t="s">
        <v>13869</v>
      </c>
      <c r="I409" s="64" t="s">
        <v>14690</v>
      </c>
      <c r="J409" s="67">
        <v>0</v>
      </c>
      <c r="K409" s="62">
        <v>0</v>
      </c>
      <c r="L409" t="str">
        <f>VLOOKUP(VALUE(LEFT(C409,5)),Xref!A:B,2,0)</f>
        <v>API</v>
      </c>
      <c r="M409" t="str">
        <f t="shared" si="27"/>
        <v>ANG-API</v>
      </c>
      <c r="N409" s="33"/>
      <c r="O409" s="33"/>
      <c r="P409" s="33"/>
      <c r="Q409" s="33"/>
    </row>
    <row r="410" spans="1:17" ht="14.25" customHeight="true">
      <c r="A410" s="33" t="str">
        <f t="shared" si="24"/>
        <v>ANG - Intercompany</v>
      </c>
      <c r="B410" s="33" t="str">
        <f t="shared" si="25"/>
        <v>ANG</v>
      </c>
      <c r="C410" s="33" t="str">
        <f t="shared" si="26"/>
        <v>11346-0000</v>
      </c>
      <c r="D410" s="64" t="s">
        <v>15882</v>
      </c>
      <c r="E410" s="64" t="s">
        <v>14145</v>
      </c>
      <c r="F410" s="64" t="s">
        <v>14039</v>
      </c>
      <c r="G410" s="64" t="s">
        <v>14672</v>
      </c>
      <c r="H410" s="64" t="s">
        <v>13869</v>
      </c>
      <c r="I410" s="64" t="s">
        <v>14690</v>
      </c>
      <c r="J410" s="67">
        <v>0</v>
      </c>
      <c r="K410" s="62">
        <v>0</v>
      </c>
      <c r="L410" t="str">
        <f>VLOOKUP(VALUE(LEFT(C410,5)),Xref!A:B,2,0)</f>
        <v>DPH</v>
      </c>
      <c r="M410" t="str">
        <f t="shared" si="27"/>
        <v>ANG-DPH</v>
      </c>
      <c r="N410" s="33"/>
      <c r="O410" s="33"/>
      <c r="P410" s="33"/>
      <c r="Q410" s="33"/>
    </row>
    <row r="411" spans="1:17" ht="14.25" customHeight="true">
      <c r="A411" s="33" t="str">
        <f t="shared" si="24"/>
        <v>ANG - Intercompany</v>
      </c>
      <c r="B411" s="33" t="str">
        <f t="shared" si="25"/>
        <v>ANG</v>
      </c>
      <c r="C411" s="33" t="str">
        <f t="shared" si="26"/>
        <v>11347-0000</v>
      </c>
      <c r="D411" s="64" t="s">
        <v>15883</v>
      </c>
      <c r="E411" s="64" t="s">
        <v>14147</v>
      </c>
      <c r="F411" s="64" t="s">
        <v>14039</v>
      </c>
      <c r="G411" s="64" t="s">
        <v>14672</v>
      </c>
      <c r="H411" s="64" t="s">
        <v>13869</v>
      </c>
      <c r="I411" s="64" t="s">
        <v>14690</v>
      </c>
      <c r="J411" s="67">
        <v>0</v>
      </c>
      <c r="K411" s="62">
        <v>0</v>
      </c>
      <c r="L411" t="str">
        <f>VLOOKUP(VALUE(LEFT(C411,5)),Xref!A:B,2,0)</f>
        <v>ZPI</v>
      </c>
      <c r="M411" t="str">
        <f t="shared" si="27"/>
        <v>ANG-ZPI</v>
      </c>
      <c r="N411" s="33"/>
      <c r="O411" s="33"/>
      <c r="P411" s="33"/>
      <c r="Q411" s="33"/>
    </row>
    <row r="412" spans="1:17" ht="14.25" customHeight="true">
      <c r="A412" s="33" t="str">
        <f t="shared" si="24"/>
        <v>ANG - Intercompany</v>
      </c>
      <c r="B412" s="33" t="str">
        <f t="shared" si="25"/>
        <v>ANG</v>
      </c>
      <c r="C412" s="33" t="str">
        <f t="shared" si="26"/>
        <v>11348-0000</v>
      </c>
      <c r="D412" s="64" t="s">
        <v>15884</v>
      </c>
      <c r="E412" s="64" t="s">
        <v>14149</v>
      </c>
      <c r="F412" s="64" t="s">
        <v>14039</v>
      </c>
      <c r="G412" s="64" t="s">
        <v>14672</v>
      </c>
      <c r="H412" s="64" t="s">
        <v>13869</v>
      </c>
      <c r="I412" s="64" t="s">
        <v>14690</v>
      </c>
      <c r="J412" s="67">
        <v>0</v>
      </c>
      <c r="K412" s="62">
        <v>0</v>
      </c>
      <c r="L412" t="str">
        <f>VLOOKUP(VALUE(LEFT(C412,5)),Xref!A:B,2,0)</f>
        <v>EAM</v>
      </c>
      <c r="M412" t="str">
        <f t="shared" si="27"/>
        <v>ANG-EAM</v>
      </c>
      <c r="N412" s="33"/>
      <c r="O412" s="33"/>
      <c r="P412" s="33"/>
      <c r="Q412" s="33"/>
    </row>
    <row r="413" spans="1:17" ht="14.25" customHeight="true">
      <c r="A413" s="33" t="str">
        <f t="shared" si="24"/>
        <v>ANG - Intercompany</v>
      </c>
      <c r="B413" s="33" t="str">
        <f t="shared" si="25"/>
        <v>ANG</v>
      </c>
      <c r="C413" s="33" t="str">
        <f t="shared" si="26"/>
        <v>11349-0000</v>
      </c>
      <c r="D413" s="64" t="s">
        <v>15885</v>
      </c>
      <c r="E413" s="64" t="s">
        <v>14151</v>
      </c>
      <c r="F413" s="64" t="s">
        <v>14039</v>
      </c>
      <c r="G413" s="64" t="s">
        <v>14672</v>
      </c>
      <c r="H413" s="64" t="s">
        <v>13869</v>
      </c>
      <c r="I413" s="64" t="s">
        <v>14690</v>
      </c>
      <c r="J413" s="67">
        <v>0</v>
      </c>
      <c r="K413" s="62">
        <v>0</v>
      </c>
      <c r="L413" t="str">
        <f>VLOOKUP(VALUE(LEFT(C413,5)),Xref!A:B,2,0)</f>
        <v>SEA</v>
      </c>
      <c r="M413" t="str">
        <f t="shared" si="27"/>
        <v>ANG-SEA</v>
      </c>
      <c r="N413" s="33"/>
      <c r="O413" s="33"/>
      <c r="P413" s="33"/>
      <c r="Q413" s="33"/>
    </row>
    <row r="414" spans="1:17" ht="14.25" customHeight="true">
      <c r="A414" s="33" t="str">
        <f t="shared" si="24"/>
        <v>ANG - Intercompany</v>
      </c>
      <c r="B414" s="33" t="str">
        <f t="shared" si="25"/>
        <v>ANG</v>
      </c>
      <c r="C414" s="33" t="str">
        <f t="shared" si="26"/>
        <v>11350-0000</v>
      </c>
      <c r="D414" s="64" t="s">
        <v>15886</v>
      </c>
      <c r="E414" s="64" t="s">
        <v>14153</v>
      </c>
      <c r="F414" s="64" t="s">
        <v>14039</v>
      </c>
      <c r="G414" s="64" t="s">
        <v>14672</v>
      </c>
      <c r="H414" s="64" t="s">
        <v>13869</v>
      </c>
      <c r="I414" s="64" t="s">
        <v>14690</v>
      </c>
      <c r="J414" s="67">
        <v>0</v>
      </c>
      <c r="K414" s="62">
        <v>-6.66</v>
      </c>
      <c r="L414" t="str">
        <f>VLOOKUP(VALUE(LEFT(C414,5)),Xref!A:B,2,0)</f>
        <v>EAL</v>
      </c>
      <c r="M414" t="str">
        <f t="shared" si="27"/>
        <v>ANG-EAL</v>
      </c>
      <c r="N414" s="33"/>
      <c r="O414" s="33"/>
      <c r="P414" s="33"/>
      <c r="Q414" s="33"/>
    </row>
    <row r="415" spans="1:17" ht="14.25" customHeight="true">
      <c r="A415" s="33" t="str">
        <f t="shared" si="24"/>
        <v>ANG - Intercompany</v>
      </c>
      <c r="B415" s="33" t="str">
        <f t="shared" si="25"/>
        <v>ANG</v>
      </c>
      <c r="C415" s="33" t="str">
        <f t="shared" si="26"/>
        <v>11351-0000</v>
      </c>
      <c r="D415" s="64" t="s">
        <v>15887</v>
      </c>
      <c r="E415" s="64" t="s">
        <v>14155</v>
      </c>
      <c r="F415" s="64" t="s">
        <v>14039</v>
      </c>
      <c r="G415" s="64" t="s">
        <v>14672</v>
      </c>
      <c r="H415" s="64" t="s">
        <v>13869</v>
      </c>
      <c r="I415" s="64" t="s">
        <v>14690</v>
      </c>
      <c r="J415" s="67">
        <v>0</v>
      </c>
      <c r="K415" s="62">
        <v>0</v>
      </c>
      <c r="L415" t="str">
        <f>VLOOKUP(VALUE(LEFT(C415,5)),Xref!A:B,2,0)</f>
        <v>WEP</v>
      </c>
      <c r="M415" t="str">
        <f t="shared" si="27"/>
        <v>ANG-WEP</v>
      </c>
      <c r="N415" s="33"/>
      <c r="O415" s="33"/>
      <c r="P415" s="33"/>
      <c r="Q415" s="33"/>
    </row>
    <row r="416" spans="1:17" ht="14.25" customHeight="true">
      <c r="A416" s="33" t="str">
        <f t="shared" si="24"/>
        <v>ANG - Intercompany</v>
      </c>
      <c r="B416" s="33" t="str">
        <f t="shared" si="25"/>
        <v>ANG</v>
      </c>
      <c r="C416" s="33" t="str">
        <f t="shared" si="26"/>
        <v>11352-0000</v>
      </c>
      <c r="D416" s="64" t="s">
        <v>15888</v>
      </c>
      <c r="E416" s="64" t="s">
        <v>13536</v>
      </c>
      <c r="F416" s="64" t="s">
        <v>14039</v>
      </c>
      <c r="G416" s="64" t="s">
        <v>14672</v>
      </c>
      <c r="H416" s="64" t="s">
        <v>13869</v>
      </c>
      <c r="I416" s="64" t="s">
        <v>14690</v>
      </c>
      <c r="J416" s="67">
        <v>0</v>
      </c>
      <c r="K416" s="62">
        <v>0</v>
      </c>
      <c r="L416" t="str">
        <f>VLOOKUP(VALUE(LEFT(C416,5)),Xref!A:B,2,0)</f>
        <v>KLP</v>
      </c>
      <c r="M416" t="str">
        <f t="shared" si="27"/>
        <v>ANG-KLP</v>
      </c>
      <c r="N416" s="33"/>
      <c r="O416" s="33"/>
      <c r="P416" s="33"/>
      <c r="Q416" s="33"/>
    </row>
    <row r="417" spans="1:17" ht="14.25" customHeight="true">
      <c r="A417" s="33" t="str">
        <f t="shared" si="24"/>
        <v>ANG - Intercompany</v>
      </c>
      <c r="B417" s="33" t="str">
        <f t="shared" si="25"/>
        <v>ANG</v>
      </c>
      <c r="C417" s="33" t="str">
        <f t="shared" si="26"/>
        <v>11353-0000</v>
      </c>
      <c r="D417" s="64" t="s">
        <v>15889</v>
      </c>
      <c r="E417" s="64" t="s">
        <v>13537</v>
      </c>
      <c r="F417" s="64" t="s">
        <v>14039</v>
      </c>
      <c r="G417" s="64" t="s">
        <v>14672</v>
      </c>
      <c r="H417" s="64" t="s">
        <v>13869</v>
      </c>
      <c r="I417" s="64" t="s">
        <v>14690</v>
      </c>
      <c r="J417" s="67">
        <v>0</v>
      </c>
      <c r="K417" s="62">
        <v>0</v>
      </c>
      <c r="L417" t="str">
        <f>VLOOKUP(VALUE(LEFT(C417,5)),Xref!A:B,2,0)</f>
        <v>AKC</v>
      </c>
      <c r="M417" t="str">
        <f t="shared" si="27"/>
        <v>AKC-ANG</v>
      </c>
      <c r="N417" s="33"/>
      <c r="O417" s="33"/>
      <c r="P417" s="33"/>
      <c r="Q417" s="33"/>
    </row>
    <row r="418" spans="1:17" ht="14.25" customHeight="true">
      <c r="A418" s="33" t="str">
        <f t="shared" si="24"/>
        <v>ANG - Intercompany</v>
      </c>
      <c r="B418" s="33" t="str">
        <f t="shared" si="25"/>
        <v>ANG</v>
      </c>
      <c r="C418" s="33" t="str">
        <f t="shared" si="26"/>
        <v>11354-0000</v>
      </c>
      <c r="D418" s="64" t="s">
        <v>15890</v>
      </c>
      <c r="E418" s="64" t="s">
        <v>13538</v>
      </c>
      <c r="F418" s="64" t="s">
        <v>14039</v>
      </c>
      <c r="G418" s="64" t="s">
        <v>14672</v>
      </c>
      <c r="H418" s="64" t="s">
        <v>13869</v>
      </c>
      <c r="I418" s="64" t="s">
        <v>14690</v>
      </c>
      <c r="J418" s="67">
        <v>0</v>
      </c>
      <c r="K418" s="62">
        <v>0</v>
      </c>
      <c r="L418" t="str">
        <f>VLOOKUP(VALUE(LEFT(C418,5)),Xref!A:B,2,0)</f>
        <v>AKA</v>
      </c>
      <c r="M418" t="str">
        <f t="shared" si="27"/>
        <v>AKA-ANG</v>
      </c>
      <c r="N418" s="33"/>
      <c r="O418" s="33"/>
      <c r="P418" s="33"/>
      <c r="Q418" s="33"/>
    </row>
    <row r="419" spans="1:17" ht="14.25" customHeight="true">
      <c r="A419" s="33" t="str">
        <f t="shared" si="24"/>
        <v>ANG - Intercompany</v>
      </c>
      <c r="B419" s="33" t="str">
        <f t="shared" si="25"/>
        <v>ANG</v>
      </c>
      <c r="C419" s="33" t="str">
        <f t="shared" si="26"/>
        <v>11355-0000</v>
      </c>
      <c r="D419" s="64" t="s">
        <v>15891</v>
      </c>
      <c r="E419" s="64" t="s">
        <v>13539</v>
      </c>
      <c r="F419" s="64" t="s">
        <v>14039</v>
      </c>
      <c r="G419" s="64" t="s">
        <v>14672</v>
      </c>
      <c r="H419" s="64" t="s">
        <v>13869</v>
      </c>
      <c r="I419" s="64" t="s">
        <v>14690</v>
      </c>
      <c r="J419" s="67">
        <v>0</v>
      </c>
      <c r="K419" s="62">
        <v>0</v>
      </c>
      <c r="L419" t="str">
        <f>VLOOKUP(VALUE(LEFT(C419,5)),Xref!A:B,2,0)</f>
        <v>SPA</v>
      </c>
      <c r="M419" t="str">
        <f t="shared" si="27"/>
        <v>ANG-SPA</v>
      </c>
      <c r="N419" s="33"/>
      <c r="O419" s="33"/>
      <c r="P419" s="33"/>
      <c r="Q419" s="33"/>
    </row>
    <row r="420" spans="1:17" ht="14.25" customHeight="true">
      <c r="A420" s="33" t="str">
        <f t="shared" si="24"/>
        <v>ANG - Intercompany</v>
      </c>
      <c r="B420" s="33" t="str">
        <f t="shared" si="25"/>
        <v>ANG</v>
      </c>
      <c r="C420" s="33" t="str">
        <f t="shared" si="26"/>
        <v>11356-0000</v>
      </c>
      <c r="D420" s="64" t="s">
        <v>15892</v>
      </c>
      <c r="E420" s="64" t="s">
        <v>13540</v>
      </c>
      <c r="F420" s="64" t="s">
        <v>14039</v>
      </c>
      <c r="G420" s="64" t="s">
        <v>14672</v>
      </c>
      <c r="H420" s="64" t="s">
        <v>13869</v>
      </c>
      <c r="I420" s="64" t="s">
        <v>14690</v>
      </c>
      <c r="J420" s="67">
        <v>0</v>
      </c>
      <c r="K420" s="62">
        <v>0</v>
      </c>
      <c r="L420" t="str">
        <f>VLOOKUP(VALUE(LEFT(C420,5)),Xref!A:B,2,0)</f>
        <v>DPM</v>
      </c>
      <c r="M420" t="str">
        <f t="shared" si="27"/>
        <v>ANG-DPM</v>
      </c>
      <c r="N420" s="33"/>
      <c r="O420" s="33"/>
      <c r="P420" s="33"/>
      <c r="Q420" s="33"/>
    </row>
    <row r="421" spans="1:17" ht="14.25" customHeight="true">
      <c r="A421" s="33" t="str">
        <f t="shared" si="24"/>
        <v>ANG - Intercompany</v>
      </c>
      <c r="B421" s="33" t="str">
        <f t="shared" si="25"/>
        <v>ANG</v>
      </c>
      <c r="C421" s="33" t="str">
        <f t="shared" si="26"/>
        <v>11357-0000</v>
      </c>
      <c r="D421" s="64" t="s">
        <v>15893</v>
      </c>
      <c r="E421" s="64" t="s">
        <v>13541</v>
      </c>
      <c r="F421" s="64" t="s">
        <v>14039</v>
      </c>
      <c r="G421" s="64" t="s">
        <v>14672</v>
      </c>
      <c r="H421" s="64" t="s">
        <v>13869</v>
      </c>
      <c r="I421" s="64" t="s">
        <v>14690</v>
      </c>
      <c r="J421" s="67">
        <v>0</v>
      </c>
      <c r="K421" s="62">
        <v>0</v>
      </c>
      <c r="L421" t="str">
        <f>VLOOKUP(VALUE(LEFT(C421,5)),Xref!A:B,2,0)</f>
        <v>HDM</v>
      </c>
      <c r="M421" t="str">
        <f t="shared" si="27"/>
        <v>ANG-HDM</v>
      </c>
      <c r="N421" s="33"/>
      <c r="O421" s="33"/>
      <c r="P421" s="33"/>
      <c r="Q421" s="33"/>
    </row>
    <row r="422" spans="1:17" ht="14.25" customHeight="true">
      <c r="A422" s="33" t="str">
        <f t="shared" si="24"/>
        <v>ANG - Intercompany</v>
      </c>
      <c r="B422" s="33" t="str">
        <f t="shared" si="25"/>
        <v>ANG</v>
      </c>
      <c r="C422" s="33" t="str">
        <f t="shared" si="26"/>
        <v>11358-0000</v>
      </c>
      <c r="D422" s="64" t="s">
        <v>15894</v>
      </c>
      <c r="E422" s="64" t="s">
        <v>13542</v>
      </c>
      <c r="F422" s="64" t="s">
        <v>14039</v>
      </c>
      <c r="G422" s="64" t="s">
        <v>14672</v>
      </c>
      <c r="H422" s="64" t="s">
        <v>13869</v>
      </c>
      <c r="I422" s="64" t="s">
        <v>14690</v>
      </c>
      <c r="J422" s="67">
        <v>0</v>
      </c>
      <c r="K422" s="62">
        <v>0</v>
      </c>
      <c r="L422" t="str">
        <f>VLOOKUP(VALUE(LEFT(C422,5)),Xref!A:B,2,0)</f>
        <v>GRA</v>
      </c>
      <c r="M422" t="str">
        <f t="shared" si="27"/>
        <v>ANG-GRA</v>
      </c>
      <c r="N422" s="33"/>
      <c r="O422" s="33"/>
      <c r="P422" s="33"/>
      <c r="Q422" s="33"/>
    </row>
    <row r="423" spans="1:17" ht="14.25" customHeight="true">
      <c r="A423" s="33" t="str">
        <f t="shared" si="24"/>
        <v>ANG - Intercompany</v>
      </c>
      <c r="B423" s="33" t="str">
        <f t="shared" si="25"/>
        <v>ANG</v>
      </c>
      <c r="C423" s="33" t="str">
        <f t="shared" si="26"/>
        <v>11359-0000</v>
      </c>
      <c r="D423" s="64" t="s">
        <v>15895</v>
      </c>
      <c r="E423" s="64" t="s">
        <v>13543</v>
      </c>
      <c r="F423" s="64" t="s">
        <v>14039</v>
      </c>
      <c r="G423" s="64" t="s">
        <v>14672</v>
      </c>
      <c r="H423" s="64" t="s">
        <v>13869</v>
      </c>
      <c r="I423" s="64" t="s">
        <v>14690</v>
      </c>
      <c r="J423" s="67">
        <v>0</v>
      </c>
      <c r="K423" s="62">
        <v>0</v>
      </c>
      <c r="L423" t="str">
        <f>VLOOKUP(VALUE(LEFT(C423,5)),Xref!A:B,2,0)</f>
        <v>TPI</v>
      </c>
      <c r="M423" t="str">
        <f t="shared" si="27"/>
        <v>ANG-TPI</v>
      </c>
      <c r="N423" s="33"/>
      <c r="O423" s="33"/>
      <c r="P423" s="33"/>
      <c r="Q423" s="33"/>
    </row>
    <row r="424" spans="1:17" ht="14.25" customHeight="true">
      <c r="A424" s="33" t="str">
        <f t="shared" si="24"/>
        <v>ANG - Intercompany</v>
      </c>
      <c r="B424" s="33" t="str">
        <f t="shared" si="25"/>
        <v>ANG</v>
      </c>
      <c r="C424" s="33" t="str">
        <f t="shared" si="26"/>
        <v>11361-0000</v>
      </c>
      <c r="D424" s="64" t="s">
        <v>15896</v>
      </c>
      <c r="E424" s="64" t="s">
        <v>14165</v>
      </c>
      <c r="F424" s="64" t="s">
        <v>14039</v>
      </c>
      <c r="G424" s="64" t="s">
        <v>14672</v>
      </c>
      <c r="H424" s="64" t="s">
        <v>13869</v>
      </c>
      <c r="I424" s="64" t="s">
        <v>14690</v>
      </c>
      <c r="J424" s="67">
        <v>0</v>
      </c>
      <c r="K424" s="62">
        <v>0</v>
      </c>
      <c r="L424" t="str">
        <f>VLOOKUP(VALUE(LEFT(C424,5)),Xref!A:B,2,0)</f>
        <v>GSM</v>
      </c>
      <c r="M424" t="str">
        <f t="shared" si="27"/>
        <v>ANG-GSM</v>
      </c>
      <c r="N424" s="33"/>
      <c r="O424" s="33"/>
      <c r="P424" s="33"/>
      <c r="Q424" s="33"/>
    </row>
    <row r="425" spans="1:17" ht="14.25" customHeight="true">
      <c r="A425" s="33" t="str">
        <f t="shared" si="24"/>
        <v>ANG - Intercompany</v>
      </c>
      <c r="B425" s="33" t="str">
        <f t="shared" si="25"/>
        <v>ANG</v>
      </c>
      <c r="C425" s="33" t="str">
        <f t="shared" si="26"/>
        <v>11363-0000</v>
      </c>
      <c r="D425" s="64" t="s">
        <v>15897</v>
      </c>
      <c r="E425" s="64" t="s">
        <v>13544</v>
      </c>
      <c r="F425" s="64" t="s">
        <v>14039</v>
      </c>
      <c r="G425" s="64" t="s">
        <v>14672</v>
      </c>
      <c r="H425" s="64" t="s">
        <v>13869</v>
      </c>
      <c r="I425" s="64" t="s">
        <v>14690</v>
      </c>
      <c r="J425" s="67">
        <v>0</v>
      </c>
      <c r="K425" s="62">
        <v>0</v>
      </c>
      <c r="L425" t="str">
        <f>VLOOKUP(VALUE(LEFT(C425,5)),Xref!A:B,2,0)</f>
        <v>SOF</v>
      </c>
      <c r="M425" t="str">
        <f t="shared" si="27"/>
        <v>ANG-SOF</v>
      </c>
      <c r="N425" s="33"/>
      <c r="O425" s="33"/>
      <c r="P425" s="33"/>
      <c r="Q425" s="33"/>
    </row>
    <row r="426" spans="1:17" ht="14.25" customHeight="true">
      <c r="A426" s="33" t="str">
        <f t="shared" si="24"/>
        <v>ANG - Intercompany</v>
      </c>
      <c r="B426" s="33" t="str">
        <f t="shared" si="25"/>
        <v>ANG</v>
      </c>
      <c r="C426" s="33" t="str">
        <f t="shared" si="26"/>
        <v>11364-0000</v>
      </c>
      <c r="D426" s="64" t="s">
        <v>15898</v>
      </c>
      <c r="E426" s="64" t="s">
        <v>14168</v>
      </c>
      <c r="F426" s="64" t="s">
        <v>14039</v>
      </c>
      <c r="G426" s="64" t="s">
        <v>14672</v>
      </c>
      <c r="H426" s="64" t="s">
        <v>13869</v>
      </c>
      <c r="I426" s="64" t="s">
        <v>14690</v>
      </c>
      <c r="J426" s="67">
        <v>0</v>
      </c>
      <c r="K426" s="62">
        <v>0</v>
      </c>
      <c r="L426" t="e">
        <f>VLOOKUP(VALUE(LEFT(C426,5)),Xref!A:B,2,0)</f>
        <v>#N/A</v>
      </c>
      <c r="M426" t="e">
        <f t="shared" si="27"/>
        <v>#N/A</v>
      </c>
      <c r="N426" s="33"/>
      <c r="O426" s="33"/>
      <c r="P426" s="33"/>
      <c r="Q426" s="33"/>
    </row>
    <row r="427" spans="1:17" ht="14.25" customHeight="true">
      <c r="A427" s="33" t="str">
        <f t="shared" si="24"/>
        <v>ANG - Intercompany</v>
      </c>
      <c r="B427" s="33" t="str">
        <f t="shared" si="25"/>
        <v>ANG</v>
      </c>
      <c r="C427" s="33" t="str">
        <f t="shared" si="26"/>
        <v>11365-0000</v>
      </c>
      <c r="D427" s="64" t="s">
        <v>15899</v>
      </c>
      <c r="E427" s="64" t="s">
        <v>14170</v>
      </c>
      <c r="F427" s="64" t="s">
        <v>14039</v>
      </c>
      <c r="G427" s="64" t="s">
        <v>14672</v>
      </c>
      <c r="H427" s="64" t="s">
        <v>13869</v>
      </c>
      <c r="I427" s="64" t="s">
        <v>14690</v>
      </c>
      <c r="J427" s="67">
        <v>0</v>
      </c>
      <c r="K427" s="62">
        <v>0</v>
      </c>
      <c r="L427" t="e">
        <f>VLOOKUP(VALUE(LEFT(C427,5)),Xref!A:B,2,0)</f>
        <v>#N/A</v>
      </c>
      <c r="M427" t="e">
        <f t="shared" si="27"/>
        <v>#N/A</v>
      </c>
      <c r="N427" s="33"/>
      <c r="O427" s="33"/>
      <c r="P427" s="33"/>
      <c r="Q427" s="33"/>
    </row>
    <row r="428" spans="1:17" ht="14.25" customHeight="true">
      <c r="A428" s="33" t="str">
        <f t="shared" si="24"/>
        <v>ANG - Intercompany</v>
      </c>
      <c r="B428" s="33" t="str">
        <f t="shared" si="25"/>
        <v>ANG</v>
      </c>
      <c r="C428" s="33" t="str">
        <f t="shared" si="26"/>
        <v>11366-0000</v>
      </c>
      <c r="D428" s="64" t="s">
        <v>15900</v>
      </c>
      <c r="E428" s="64" t="s">
        <v>14172</v>
      </c>
      <c r="F428" s="64"/>
      <c r="G428" s="64" t="s">
        <v>14672</v>
      </c>
      <c r="H428" s="64" t="s">
        <v>13869</v>
      </c>
      <c r="I428" s="64" t="s">
        <v>14690</v>
      </c>
      <c r="J428" s="67">
        <v>0</v>
      </c>
      <c r="K428" s="62">
        <v>0</v>
      </c>
      <c r="L428" t="e">
        <f>VLOOKUP(VALUE(LEFT(C428,5)),Xref!A:B,2,0)</f>
        <v>#N/A</v>
      </c>
      <c r="M428" t="e">
        <f t="shared" si="27"/>
        <v>#N/A</v>
      </c>
      <c r="N428" s="33"/>
      <c r="O428" s="33"/>
      <c r="P428" s="33"/>
      <c r="Q428" s="33"/>
    </row>
    <row r="429" spans="1:13" ht="14.25" customHeight="true">
      <c r="A429" s="33" t="str">
        <f t="shared" si="24"/>
        <v>ANG - Intercompany</v>
      </c>
      <c r="B429" s="33" t="str">
        <f t="shared" si="25"/>
        <v>ANG</v>
      </c>
      <c r="C429" s="33" t="str">
        <f t="shared" si="26"/>
        <v>11402-0000</v>
      </c>
      <c r="D429" s="64" t="s">
        <v>15901</v>
      </c>
      <c r="E429" s="64" t="s">
        <v>14174</v>
      </c>
      <c r="F429" s="64"/>
      <c r="G429" s="64" t="s">
        <v>14672</v>
      </c>
      <c r="H429" s="64" t="s">
        <v>13869</v>
      </c>
      <c r="I429" s="64" t="s">
        <v>14690</v>
      </c>
      <c r="J429" s="67">
        <v>0</v>
      </c>
      <c r="K429" s="62">
        <v>0</v>
      </c>
      <c r="L429" t="str">
        <f>VLOOKUP(VALUE(LEFT(C429,5)),Xref!A:B,2,0)</f>
        <v>DPI</v>
      </c>
      <c r="M429" t="str">
        <f t="shared" si="27"/>
        <v>ANG-DPI</v>
      </c>
    </row>
    <row r="430" spans="1:13" ht="14.25" customHeight="true">
      <c r="A430" s="33" t="str">
        <f t="shared" si="24"/>
        <v>ANG - Intercompany</v>
      </c>
      <c r="B430" s="33" t="str">
        <f t="shared" si="25"/>
        <v>ANG</v>
      </c>
      <c r="C430" s="33" t="str">
        <f t="shared" si="26"/>
        <v>11403-0000</v>
      </c>
      <c r="D430" s="64" t="s">
        <v>15902</v>
      </c>
      <c r="E430" s="64" t="s">
        <v>14176</v>
      </c>
      <c r="F430" s="64"/>
      <c r="G430" s="64" t="s">
        <v>14672</v>
      </c>
      <c r="H430" s="64" t="s">
        <v>13869</v>
      </c>
      <c r="I430" s="64" t="s">
        <v>14690</v>
      </c>
      <c r="J430" s="67">
        <v>0</v>
      </c>
      <c r="K430" s="62">
        <v>0</v>
      </c>
      <c r="L430" t="str">
        <f>VLOOKUP(VALUE(LEFT(C430,5)),Xref!A:B,2,0)</f>
        <v>SEA</v>
      </c>
      <c r="M430" t="str">
        <f t="shared" si="27"/>
        <v>ANG-SEA</v>
      </c>
    </row>
    <row r="431" spans="1:13" ht="14.25" customHeight="true">
      <c r="A431" s="33" t="str">
        <f t="shared" si="24"/>
        <v>ANG - Intercompany</v>
      </c>
      <c r="B431" s="33" t="str">
        <f t="shared" si="25"/>
        <v>ANG</v>
      </c>
      <c r="C431" s="33" t="str">
        <f t="shared" si="26"/>
        <v>12400-0000</v>
      </c>
      <c r="D431" s="64" t="s">
        <v>15905</v>
      </c>
      <c r="E431" s="64" t="s">
        <v>14185</v>
      </c>
      <c r="F431" s="64" t="s">
        <v>14039</v>
      </c>
      <c r="G431" s="64" t="s">
        <v>14672</v>
      </c>
      <c r="H431" s="64" t="s">
        <v>13869</v>
      </c>
      <c r="I431" s="64" t="s">
        <v>14690</v>
      </c>
      <c r="J431" s="67">
        <v>0</v>
      </c>
      <c r="K431" s="62">
        <v>0</v>
      </c>
      <c r="L431" t="str">
        <f>VLOOKUP(VALUE(LEFT(C431,5)),Xref!A:B,2,0)</f>
        <v>aka</v>
      </c>
      <c r="M431" t="str">
        <f t="shared" si="27"/>
        <v>aka-ANG</v>
      </c>
    </row>
    <row r="432" spans="1:13" ht="14.25" customHeight="true">
      <c r="A432" s="33" t="str">
        <f t="shared" si="24"/>
        <v>ANG - Intercompany</v>
      </c>
      <c r="B432" s="33" t="str">
        <f t="shared" si="25"/>
        <v>ANG</v>
      </c>
      <c r="C432" s="33" t="str">
        <f t="shared" si="26"/>
        <v>12401-0000</v>
      </c>
      <c r="D432" s="64" t="s">
        <v>15906</v>
      </c>
      <c r="E432" s="64" t="s">
        <v>14187</v>
      </c>
      <c r="F432" s="64" t="s">
        <v>14039</v>
      </c>
      <c r="G432" s="64" t="s">
        <v>14672</v>
      </c>
      <c r="H432" s="64" t="s">
        <v>13869</v>
      </c>
      <c r="I432" s="64" t="s">
        <v>14690</v>
      </c>
      <c r="J432" s="67">
        <v>0</v>
      </c>
      <c r="K432" s="62">
        <v>0</v>
      </c>
      <c r="L432" t="str">
        <f>VLOOKUP(VALUE(LEFT(C432,5)),Xref!A:B,2,0)</f>
        <v>aka</v>
      </c>
      <c r="M432" t="str">
        <f t="shared" si="27"/>
        <v>aka-ANG</v>
      </c>
    </row>
    <row r="433" spans="1:13" ht="14.25" customHeight="true">
      <c r="A433" s="33" t="str">
        <f t="shared" si="24"/>
        <v>ANG - Intercompany</v>
      </c>
      <c r="B433" s="33" t="str">
        <f t="shared" si="25"/>
        <v>ANG</v>
      </c>
      <c r="C433" s="33" t="str">
        <f t="shared" si="26"/>
        <v>12402-0000</v>
      </c>
      <c r="D433" s="64" t="s">
        <v>15907</v>
      </c>
      <c r="E433" s="64" t="s">
        <v>14189</v>
      </c>
      <c r="F433" s="64" t="s">
        <v>14039</v>
      </c>
      <c r="G433" s="64" t="s">
        <v>14672</v>
      </c>
      <c r="H433" s="64" t="s">
        <v>13869</v>
      </c>
      <c r="I433" s="64" t="s">
        <v>14690</v>
      </c>
      <c r="J433" s="67">
        <v>0</v>
      </c>
      <c r="K433" s="62">
        <v>0</v>
      </c>
      <c r="L433" t="str">
        <f>VLOOKUP(VALUE(LEFT(C433,5)),Xref!A:B,2,0)</f>
        <v>aka</v>
      </c>
      <c r="M433" t="str">
        <f t="shared" si="27"/>
        <v>aka-ANG</v>
      </c>
    </row>
    <row r="434" spans="1:13" ht="14.25" customHeight="true">
      <c r="A434" s="33" t="str">
        <f t="shared" si="24"/>
        <v>ANG - Intercompany</v>
      </c>
      <c r="B434" s="33" t="str">
        <f t="shared" si="25"/>
        <v>ANG</v>
      </c>
      <c r="C434" s="33" t="str">
        <f t="shared" si="26"/>
        <v>12403-0000</v>
      </c>
      <c r="D434" s="64" t="s">
        <v>15908</v>
      </c>
      <c r="E434" s="64" t="s">
        <v>5226</v>
      </c>
      <c r="F434" s="64" t="s">
        <v>14039</v>
      </c>
      <c r="G434" s="64" t="s">
        <v>14672</v>
      </c>
      <c r="H434" s="64" t="s">
        <v>13869</v>
      </c>
      <c r="I434" s="64" t="s">
        <v>14690</v>
      </c>
      <c r="J434" s="67">
        <v>0</v>
      </c>
      <c r="K434" s="62">
        <v>0</v>
      </c>
      <c r="L434" t="str">
        <f>VLOOKUP(VALUE(LEFT(C434,5)),Xref!A:B,2,0)</f>
        <v>aka</v>
      </c>
      <c r="M434" t="str">
        <f t="shared" si="27"/>
        <v>aka-ANG</v>
      </c>
    </row>
    <row r="435" spans="1:13" ht="14.25" customHeight="true">
      <c r="A435" s="33" t="str">
        <f t="shared" si="24"/>
        <v>ANG - Intercompany</v>
      </c>
      <c r="B435" s="33" t="str">
        <f t="shared" si="25"/>
        <v>ANG</v>
      </c>
      <c r="C435" s="33" t="str">
        <f t="shared" si="26"/>
        <v>12501-0000</v>
      </c>
      <c r="D435" s="64" t="s">
        <v>15909</v>
      </c>
      <c r="E435" s="64" t="s">
        <v>14192</v>
      </c>
      <c r="F435" s="64" t="s">
        <v>14039</v>
      </c>
      <c r="G435" s="64" t="s">
        <v>14672</v>
      </c>
      <c r="H435" s="64" t="s">
        <v>13869</v>
      </c>
      <c r="I435" s="64" t="s">
        <v>14690</v>
      </c>
      <c r="J435" s="67">
        <v>0</v>
      </c>
      <c r="K435" s="62">
        <v>0</v>
      </c>
      <c r="L435" t="str">
        <f>VLOOKUP(VALUE(LEFT(C435,5)),Xref!A:B,2,0)</f>
        <v>aka</v>
      </c>
      <c r="M435" t="str">
        <f t="shared" si="27"/>
        <v>aka-ANG</v>
      </c>
    </row>
    <row r="436" spans="1:13" ht="14.25" customHeight="true">
      <c r="A436" s="33" t="str">
        <f t="shared" si="24"/>
        <v>ANG - InterCo Notes</v>
      </c>
      <c r="B436" s="33" t="str">
        <f t="shared" si="25"/>
        <v>ANG</v>
      </c>
      <c r="C436" s="33" t="str">
        <f t="shared" si="26"/>
        <v>25600-0000</v>
      </c>
      <c r="D436" s="64" t="s">
        <v>15955</v>
      </c>
      <c r="E436" s="64" t="s">
        <v>314</v>
      </c>
      <c r="F436" s="64" t="s">
        <v>14039</v>
      </c>
      <c r="G436" s="64" t="s">
        <v>14672</v>
      </c>
      <c r="H436" s="64" t="s">
        <v>13889</v>
      </c>
      <c r="I436" s="64" t="s">
        <v>14690</v>
      </c>
      <c r="J436" s="67">
        <v>0</v>
      </c>
      <c r="K436" s="62">
        <v>0</v>
      </c>
      <c r="L436" t="str">
        <f>VLOOKUP(VALUE(LEFT(C436,5)),Xref!A:B,2,0)</f>
        <v>D7</v>
      </c>
      <c r="M436" t="str">
        <f t="shared" si="27"/>
        <v>ANG-D7</v>
      </c>
    </row>
    <row r="437" spans="1:13" ht="14.25" customHeight="true">
      <c r="A437" s="33" t="str">
        <f t="shared" si="24"/>
        <v>ANG - InterCo Notes</v>
      </c>
      <c r="B437" s="33" t="str">
        <f t="shared" si="25"/>
        <v>ANG</v>
      </c>
      <c r="C437" s="33" t="str">
        <f t="shared" si="26"/>
        <v>25602-0000</v>
      </c>
      <c r="D437" s="64" t="s">
        <v>15957</v>
      </c>
      <c r="E437" s="64" t="s">
        <v>13426</v>
      </c>
      <c r="F437" s="64" t="s">
        <v>14039</v>
      </c>
      <c r="G437" s="64" t="s">
        <v>14672</v>
      </c>
      <c r="H437" s="64" t="s">
        <v>13889</v>
      </c>
      <c r="I437" s="64" t="s">
        <v>14690</v>
      </c>
      <c r="J437" s="67">
        <v>0</v>
      </c>
      <c r="K437" s="62">
        <v>-1836427.81</v>
      </c>
      <c r="L437" t="str">
        <f>VLOOKUP(VALUE(LEFT(C437,5)),Xref!A:B,2,0)</f>
        <v>DFLP</v>
      </c>
      <c r="M437" t="str">
        <f t="shared" si="27"/>
        <v>ANG-DFLP</v>
      </c>
    </row>
    <row r="438" spans="1:13" ht="14.25" customHeight="true">
      <c r="A438" s="33" t="str">
        <f t="shared" si="24"/>
        <v>ANG - InterCo Notes</v>
      </c>
      <c r="B438" s="33" t="str">
        <f t="shared" si="25"/>
        <v>ANG</v>
      </c>
      <c r="C438" s="33" t="str">
        <f t="shared" si="26"/>
        <v>25603-0000</v>
      </c>
      <c r="D438" s="64" t="s">
        <v>15958</v>
      </c>
      <c r="E438" s="64" t="s">
        <v>14311</v>
      </c>
      <c r="F438" s="64" t="s">
        <v>14039</v>
      </c>
      <c r="G438" s="64" t="s">
        <v>14832</v>
      </c>
      <c r="H438" s="64" t="s">
        <v>13889</v>
      </c>
      <c r="I438" s="64" t="s">
        <v>14690</v>
      </c>
      <c r="J438" s="67">
        <v>0</v>
      </c>
      <c r="K438" s="62">
        <v>0</v>
      </c>
      <c r="L438" t="str">
        <f>VLOOKUP(VALUE(LEFT(C438,5)),Xref!A:B,2,0)</f>
        <v>aka</v>
      </c>
      <c r="M438" t="str">
        <f t="shared" si="27"/>
        <v>aka-ANG</v>
      </c>
    </row>
    <row r="439" spans="1:13" ht="14.25" customHeight="true">
      <c r="A439" s="33" t="str">
        <f t="shared" si="24"/>
        <v>ANG - Intercompany</v>
      </c>
      <c r="B439" s="33" t="str">
        <f t="shared" si="25"/>
        <v>ANG</v>
      </c>
      <c r="C439" s="33" t="str">
        <f t="shared" si="26"/>
        <v>25604-0000</v>
      </c>
      <c r="D439" s="64" t="s">
        <v>15959</v>
      </c>
      <c r="E439" s="64" t="s">
        <v>13490</v>
      </c>
      <c r="F439" s="64" t="s">
        <v>14039</v>
      </c>
      <c r="G439" s="64" t="s">
        <v>14672</v>
      </c>
      <c r="H439" s="64" t="s">
        <v>13869</v>
      </c>
      <c r="I439" s="64" t="s">
        <v>14690</v>
      </c>
      <c r="J439" s="67">
        <v>0</v>
      </c>
      <c r="K439" s="62">
        <v>0</v>
      </c>
      <c r="L439">
        <f>VLOOKUP(VALUE(LEFT(C439,5)),Xref!A:B,2,0)</f>
        <v>0</v>
      </c>
      <c r="M439" t="str">
        <f t="shared" si="27"/>
        <v>0-ANG</v>
      </c>
    </row>
    <row r="440" spans="1:13" ht="14.25" customHeight="true">
      <c r="A440" s="33" t="str">
        <f t="shared" si="24"/>
        <v>API - Intercompany</v>
      </c>
      <c r="B440" s="33" t="str">
        <f t="shared" si="25"/>
        <v>API</v>
      </c>
      <c r="C440" s="33" t="str">
        <f t="shared" si="26"/>
        <v>11200-0000</v>
      </c>
      <c r="D440" s="64" t="s">
        <v>16134</v>
      </c>
      <c r="E440" s="64" t="s">
        <v>14069</v>
      </c>
      <c r="F440" s="64" t="s">
        <v>14039</v>
      </c>
      <c r="G440" s="64" t="s">
        <v>14672</v>
      </c>
      <c r="H440" s="64" t="s">
        <v>13869</v>
      </c>
      <c r="I440" s="64" t="s">
        <v>14690</v>
      </c>
      <c r="J440" s="67">
        <v>0</v>
      </c>
      <c r="K440" s="62">
        <v>0</v>
      </c>
      <c r="L440" t="str">
        <f>VLOOKUP(VALUE(LEFT(C440,5)),Xref!A:B,2,0)</f>
        <v>SCL</v>
      </c>
      <c r="M440" t="str">
        <f t="shared" si="27"/>
        <v>API-SCL</v>
      </c>
    </row>
    <row r="441" spans="1:13" ht="14.25" customHeight="true">
      <c r="A441" s="33" t="str">
        <f t="shared" si="24"/>
        <v>API - Intercompany</v>
      </c>
      <c r="B441" s="33" t="str">
        <f t="shared" si="25"/>
        <v>API</v>
      </c>
      <c r="C441" s="33" t="str">
        <f t="shared" si="26"/>
        <v>11201-0000</v>
      </c>
      <c r="D441" s="64" t="s">
        <v>16135</v>
      </c>
      <c r="E441" s="64" t="s">
        <v>14071</v>
      </c>
      <c r="F441" s="64" t="s">
        <v>14039</v>
      </c>
      <c r="G441" s="64" t="s">
        <v>14672</v>
      </c>
      <c r="H441" s="64" t="s">
        <v>13869</v>
      </c>
      <c r="I441" s="64" t="s">
        <v>14690</v>
      </c>
      <c r="J441" s="67">
        <v>0</v>
      </c>
      <c r="K441" s="62">
        <v>0</v>
      </c>
      <c r="L441" t="str">
        <f>VLOOKUP(VALUE(LEFT(C441,5)),Xref!A:B,2,0)</f>
        <v>SG2</v>
      </c>
      <c r="M441" t="str">
        <f t="shared" si="27"/>
        <v>API-SG2</v>
      </c>
    </row>
    <row r="442" spans="1:13" ht="14.25" customHeight="true">
      <c r="A442" s="33" t="str">
        <f t="shared" si="24"/>
        <v>API - Intercompany</v>
      </c>
      <c r="B442" s="33" t="str">
        <f t="shared" si="25"/>
        <v>API</v>
      </c>
      <c r="C442" s="33" t="str">
        <f t="shared" si="26"/>
        <v>11202-0000</v>
      </c>
      <c r="D442" s="64" t="s">
        <v>16136</v>
      </c>
      <c r="E442" s="64" t="s">
        <v>14073</v>
      </c>
      <c r="F442" s="64" t="s">
        <v>14039</v>
      </c>
      <c r="G442" s="64" t="s">
        <v>14672</v>
      </c>
      <c r="H442" s="64" t="s">
        <v>13869</v>
      </c>
      <c r="I442" s="64" t="s">
        <v>14690</v>
      </c>
      <c r="J442" s="67">
        <v>0</v>
      </c>
      <c r="K442" s="62">
        <v>0</v>
      </c>
      <c r="L442" t="str">
        <f>VLOOKUP(VALUE(LEFT(C442,5)),Xref!A:B,2,0)</f>
        <v>FFC</v>
      </c>
      <c r="M442" t="str">
        <f t="shared" si="27"/>
        <v>API-FFC</v>
      </c>
    </row>
    <row r="443" spans="1:13" ht="14.25" customHeight="true">
      <c r="A443" s="33" t="str">
        <f t="shared" si="24"/>
        <v>API - Intercompany</v>
      </c>
      <c r="B443" s="33" t="str">
        <f t="shared" si="25"/>
        <v>API</v>
      </c>
      <c r="C443" s="33" t="str">
        <f t="shared" si="26"/>
        <v>11203-0000</v>
      </c>
      <c r="D443" s="64" t="s">
        <v>16137</v>
      </c>
      <c r="E443" s="64" t="s">
        <v>14075</v>
      </c>
      <c r="F443" s="64" t="s">
        <v>14039</v>
      </c>
      <c r="G443" s="64" t="s">
        <v>14672</v>
      </c>
      <c r="H443" s="64" t="s">
        <v>13869</v>
      </c>
      <c r="I443" s="64" t="s">
        <v>14690</v>
      </c>
      <c r="J443" s="67">
        <v>0</v>
      </c>
      <c r="K443" s="62">
        <v>0</v>
      </c>
      <c r="L443" t="str">
        <f>VLOOKUP(VALUE(LEFT(C443,5)),Xref!A:B,2,0)</f>
        <v>HN2</v>
      </c>
      <c r="M443" t="str">
        <f t="shared" si="27"/>
        <v>API-HN2</v>
      </c>
    </row>
    <row r="444" spans="1:13" ht="14.25" customHeight="true">
      <c r="A444" s="33" t="str">
        <f t="shared" si="24"/>
        <v>API - Intercompany</v>
      </c>
      <c r="B444" s="33" t="str">
        <f t="shared" si="25"/>
        <v>API</v>
      </c>
      <c r="C444" s="33" t="str">
        <f t="shared" si="26"/>
        <v>11204-0000</v>
      </c>
      <c r="D444" s="64" t="s">
        <v>16138</v>
      </c>
      <c r="E444" s="64" t="s">
        <v>14077</v>
      </c>
      <c r="F444" s="64" t="s">
        <v>14039</v>
      </c>
      <c r="G444" s="64" t="s">
        <v>14672</v>
      </c>
      <c r="H444" s="64" t="s">
        <v>13869</v>
      </c>
      <c r="I444" s="64" t="s">
        <v>14690</v>
      </c>
      <c r="J444" s="67">
        <v>0</v>
      </c>
      <c r="K444" s="62">
        <v>0</v>
      </c>
      <c r="L444" t="str">
        <f>VLOOKUP(VALUE(LEFT(C444,5)),Xref!A:B,2,0)</f>
        <v>DF2</v>
      </c>
      <c r="M444" t="str">
        <f t="shared" si="27"/>
        <v>API-DF2</v>
      </c>
    </row>
    <row r="445" spans="1:13" ht="14.25" customHeight="true">
      <c r="A445" s="33" t="str">
        <f t="shared" si="24"/>
        <v>API - Intercompany</v>
      </c>
      <c r="B445" s="33" t="str">
        <f t="shared" si="25"/>
        <v>API</v>
      </c>
      <c r="C445" s="33" t="str">
        <f t="shared" si="26"/>
        <v>11208-0000</v>
      </c>
      <c r="D445" s="64" t="s">
        <v>16139</v>
      </c>
      <c r="E445" s="64" t="s">
        <v>14079</v>
      </c>
      <c r="F445" s="64" t="s">
        <v>14039</v>
      </c>
      <c r="G445" s="64" t="s">
        <v>14672</v>
      </c>
      <c r="H445" s="64" t="s">
        <v>13869</v>
      </c>
      <c r="I445" s="64" t="s">
        <v>14690</v>
      </c>
      <c r="J445" s="67">
        <v>0</v>
      </c>
      <c r="K445" s="62">
        <v>0</v>
      </c>
      <c r="L445" t="str">
        <f>VLOOKUP(VALUE(LEFT(C445,5)),Xref!A:B,2,0)</f>
        <v>SRE</v>
      </c>
      <c r="M445" t="str">
        <f t="shared" si="27"/>
        <v>API-SRE</v>
      </c>
    </row>
    <row r="446" spans="1:13" ht="14.25" customHeight="true">
      <c r="A446" s="33" t="str">
        <f t="shared" si="24"/>
        <v>API - Intercompany</v>
      </c>
      <c r="B446" s="33" t="str">
        <f t="shared" si="25"/>
        <v>API</v>
      </c>
      <c r="C446" s="33" t="str">
        <f t="shared" si="26"/>
        <v>11210-0000</v>
      </c>
      <c r="D446" s="64" t="s">
        <v>16140</v>
      </c>
      <c r="E446" s="64" t="s">
        <v>14081</v>
      </c>
      <c r="F446" s="64" t="s">
        <v>14039</v>
      </c>
      <c r="G446" s="64" t="s">
        <v>14672</v>
      </c>
      <c r="H446" s="64" t="s">
        <v>13869</v>
      </c>
      <c r="I446" s="64" t="s">
        <v>14690</v>
      </c>
      <c r="J446" s="67">
        <v>0</v>
      </c>
      <c r="K446" s="62">
        <v>0</v>
      </c>
      <c r="L446" t="str">
        <f>VLOOKUP(VALUE(LEFT(C446,5)),Xref!A:B,2,0)</f>
        <v>REM</v>
      </c>
      <c r="M446" t="str">
        <f t="shared" si="27"/>
        <v>API-REM</v>
      </c>
    </row>
    <row r="447" spans="1:13" ht="14.25" customHeight="true">
      <c r="A447" s="33" t="str">
        <f t="shared" si="24"/>
        <v>API - Intercompany</v>
      </c>
      <c r="B447" s="33" t="str">
        <f t="shared" si="25"/>
        <v>API</v>
      </c>
      <c r="C447" s="33" t="str">
        <f t="shared" si="26"/>
        <v>11212-0000</v>
      </c>
      <c r="D447" s="64" t="s">
        <v>16141</v>
      </c>
      <c r="E447" s="64" t="s">
        <v>14083</v>
      </c>
      <c r="F447" s="64" t="s">
        <v>14039</v>
      </c>
      <c r="G447" s="64" t="s">
        <v>14672</v>
      </c>
      <c r="H447" s="64" t="s">
        <v>13869</v>
      </c>
      <c r="I447" s="64" t="s">
        <v>14690</v>
      </c>
      <c r="J447" s="67">
        <v>0</v>
      </c>
      <c r="K447" s="62">
        <v>0</v>
      </c>
      <c r="L447" t="str">
        <f>VLOOKUP(VALUE(LEFT(C447,5)),Xref!A:B,2,0)</f>
        <v>FRM</v>
      </c>
      <c r="M447" t="str">
        <f t="shared" si="27"/>
        <v>API-FRM</v>
      </c>
    </row>
    <row r="448" spans="1:13" ht="14.25" customHeight="true">
      <c r="A448" s="33" t="str">
        <f t="shared" si="24"/>
        <v>API - Intercompany</v>
      </c>
      <c r="B448" s="33" t="str">
        <f t="shared" si="25"/>
        <v>API</v>
      </c>
      <c r="C448" s="33" t="str">
        <f t="shared" si="26"/>
        <v>11214-0000</v>
      </c>
      <c r="D448" s="64" t="s">
        <v>16142</v>
      </c>
      <c r="E448" s="64" t="s">
        <v>14085</v>
      </c>
      <c r="F448" s="64" t="s">
        <v>14039</v>
      </c>
      <c r="G448" s="64" t="s">
        <v>14672</v>
      </c>
      <c r="H448" s="64" t="s">
        <v>13869</v>
      </c>
      <c r="I448" s="64" t="s">
        <v>14690</v>
      </c>
      <c r="J448" s="67">
        <v>0</v>
      </c>
      <c r="K448" s="62">
        <v>0</v>
      </c>
      <c r="L448" t="str">
        <f>VLOOKUP(VALUE(LEFT(C448,5)),Xref!A:B,2,0)</f>
        <v>D7R</v>
      </c>
      <c r="M448" t="str">
        <f t="shared" si="27"/>
        <v>API-D7R</v>
      </c>
    </row>
    <row r="449" spans="1:13" ht="14.25" customHeight="true">
      <c r="A449" s="33" t="str">
        <f t="shared" si="24"/>
        <v>API - Intercompany</v>
      </c>
      <c r="B449" s="33" t="str">
        <f t="shared" si="25"/>
        <v>API</v>
      </c>
      <c r="C449" s="33" t="str">
        <f t="shared" si="26"/>
        <v>11215-0000</v>
      </c>
      <c r="D449" s="64" t="s">
        <v>16143</v>
      </c>
      <c r="E449" s="64" t="s">
        <v>14087</v>
      </c>
      <c r="F449" s="64" t="s">
        <v>14039</v>
      </c>
      <c r="G449" s="64" t="s">
        <v>14672</v>
      </c>
      <c r="H449" s="64" t="s">
        <v>13869</v>
      </c>
      <c r="I449" s="64" t="s">
        <v>14690</v>
      </c>
      <c r="J449" s="67">
        <v>0</v>
      </c>
      <c r="K449" s="62">
        <v>0</v>
      </c>
      <c r="L449" t="str">
        <f>VLOOKUP(VALUE(LEFT(C449,5)),Xref!A:B,2,0)</f>
        <v>CDP</v>
      </c>
      <c r="M449" t="str">
        <f t="shared" si="27"/>
        <v>API-CDP</v>
      </c>
    </row>
    <row r="450" spans="1:13" ht="14.25" customHeight="true">
      <c r="A450" s="33" t="str">
        <f t="shared" ref="A450:A513" si="28">B450&amp;" - "&amp;TRIM(H450)</f>
        <v>API - Intercompany</v>
      </c>
      <c r="B450" s="33" t="str">
        <f t="shared" ref="B450:B513" si="29">LEFT(D450,3)</f>
        <v>API</v>
      </c>
      <c r="C450" s="33" t="str">
        <f t="shared" ref="C450:C513" si="30">RIGHT(D450,10)</f>
        <v>11216-0000</v>
      </c>
      <c r="D450" s="64" t="s">
        <v>443</v>
      </c>
      <c r="E450" s="64" t="s">
        <v>13224</v>
      </c>
      <c r="F450" s="64" t="s">
        <v>14039</v>
      </c>
      <c r="G450" s="64" t="s">
        <v>14672</v>
      </c>
      <c r="H450" s="64" t="s">
        <v>13869</v>
      </c>
      <c r="I450" s="64" t="s">
        <v>14690</v>
      </c>
      <c r="J450" s="67">
        <v>-7081.81</v>
      </c>
      <c r="K450" s="62">
        <v>-47366.25</v>
      </c>
      <c r="L450" t="str">
        <f>VLOOKUP(VALUE(LEFT(C450,5)),Xref!A:B,2,0)</f>
        <v>SIL</v>
      </c>
      <c r="M450" t="str">
        <f t="shared" ref="M450:M513" si="31">IF(B450&lt;L450,B450&amp;"-"&amp;L450,L450&amp;"-"&amp;B450)</f>
        <v>API-SIL</v>
      </c>
    </row>
    <row r="451" spans="1:13" ht="14.25" customHeight="true">
      <c r="A451" s="33" t="str">
        <f t="shared" si="28"/>
        <v>API - Intercompany</v>
      </c>
      <c r="B451" s="33" t="str">
        <f t="shared" si="29"/>
        <v>API</v>
      </c>
      <c r="C451" s="33" t="str">
        <f t="shared" si="30"/>
        <v>11232-0000</v>
      </c>
      <c r="D451" s="64" t="s">
        <v>16144</v>
      </c>
      <c r="E451" s="64" t="s">
        <v>12486</v>
      </c>
      <c r="F451" s="64" t="s">
        <v>14039</v>
      </c>
      <c r="G451" s="64" t="s">
        <v>14672</v>
      </c>
      <c r="H451" s="64" t="s">
        <v>13869</v>
      </c>
      <c r="I451" s="64" t="s">
        <v>14690</v>
      </c>
      <c r="J451" s="67">
        <v>0</v>
      </c>
      <c r="K451" s="62">
        <v>0</v>
      </c>
      <c r="L451" t="str">
        <f>VLOOKUP(VALUE(LEFT(C451,5)),Xref!A:B,2,0)</f>
        <v>SC2</v>
      </c>
      <c r="M451" t="str">
        <f t="shared" si="31"/>
        <v>API-SC2</v>
      </c>
    </row>
    <row r="452" spans="1:13" ht="14.25" customHeight="true">
      <c r="A452" s="33" t="str">
        <f t="shared" si="28"/>
        <v>API - Intercompany</v>
      </c>
      <c r="B452" s="33" t="str">
        <f t="shared" si="29"/>
        <v>API</v>
      </c>
      <c r="C452" s="33" t="str">
        <f t="shared" si="30"/>
        <v>11301-0000</v>
      </c>
      <c r="D452" s="64" t="s">
        <v>16145</v>
      </c>
      <c r="E452" s="64" t="s">
        <v>13225</v>
      </c>
      <c r="F452" s="64" t="s">
        <v>14039</v>
      </c>
      <c r="G452" s="64" t="s">
        <v>14672</v>
      </c>
      <c r="H452" s="64" t="s">
        <v>13869</v>
      </c>
      <c r="I452" s="64" t="s">
        <v>14690</v>
      </c>
      <c r="J452" s="67">
        <v>0</v>
      </c>
      <c r="K452" s="62">
        <v>0</v>
      </c>
      <c r="L452" t="str">
        <f>VLOOKUP(VALUE(LEFT(C452,5)),Xref!A:B,2,0)</f>
        <v>CRE</v>
      </c>
      <c r="M452" t="str">
        <f t="shared" si="31"/>
        <v>API-CRE</v>
      </c>
    </row>
    <row r="453" spans="1:13" ht="14.25" customHeight="true">
      <c r="A453" s="33" t="str">
        <f t="shared" si="28"/>
        <v>API - Intercompany</v>
      </c>
      <c r="B453" s="33" t="str">
        <f t="shared" si="29"/>
        <v>API</v>
      </c>
      <c r="C453" s="33" t="str">
        <f t="shared" si="30"/>
        <v>11302-0000</v>
      </c>
      <c r="D453" s="64" t="s">
        <v>16146</v>
      </c>
      <c r="E453" s="64" t="s">
        <v>13226</v>
      </c>
      <c r="F453" s="64" t="s">
        <v>14039</v>
      </c>
      <c r="G453" s="64" t="s">
        <v>14672</v>
      </c>
      <c r="H453" s="64" t="s">
        <v>13869</v>
      </c>
      <c r="I453" s="64" t="s">
        <v>14690</v>
      </c>
      <c r="J453" s="67">
        <v>0</v>
      </c>
      <c r="K453" s="62">
        <v>0</v>
      </c>
      <c r="L453" t="str">
        <f>VLOOKUP(VALUE(LEFT(C453,5)),Xref!A:B,2,0)</f>
        <v>CHA</v>
      </c>
      <c r="M453" t="str">
        <f t="shared" si="31"/>
        <v>API-CHA</v>
      </c>
    </row>
    <row r="454" spans="1:13" ht="14.25" customHeight="true">
      <c r="A454" s="33" t="str">
        <f t="shared" si="28"/>
        <v>API - Intercompany</v>
      </c>
      <c r="B454" s="33" t="str">
        <f t="shared" si="29"/>
        <v>API</v>
      </c>
      <c r="C454" s="33" t="str">
        <f t="shared" si="30"/>
        <v>11303-0000</v>
      </c>
      <c r="D454" s="64" t="s">
        <v>16147</v>
      </c>
      <c r="E454" s="64" t="s">
        <v>13227</v>
      </c>
      <c r="F454" s="64" t="s">
        <v>14039</v>
      </c>
      <c r="G454" s="64" t="s">
        <v>14672</v>
      </c>
      <c r="H454" s="64" t="s">
        <v>13869</v>
      </c>
      <c r="I454" s="64" t="s">
        <v>14690</v>
      </c>
      <c r="J454" s="67">
        <v>0</v>
      </c>
      <c r="K454" s="62">
        <v>0</v>
      </c>
      <c r="L454" t="str">
        <f>VLOOKUP(VALUE(LEFT(C454,5)),Xref!A:B,2,0)</f>
        <v>DIA</v>
      </c>
      <c r="M454" t="str">
        <f t="shared" si="31"/>
        <v>API-DIA</v>
      </c>
    </row>
    <row r="455" spans="1:13" ht="14.25" customHeight="true">
      <c r="A455" s="33" t="str">
        <f t="shared" si="28"/>
        <v>API - Intercompany</v>
      </c>
      <c r="B455" s="33" t="str">
        <f t="shared" si="29"/>
        <v>API</v>
      </c>
      <c r="C455" s="33" t="str">
        <f t="shared" si="30"/>
        <v>11304-0000</v>
      </c>
      <c r="D455" s="64" t="s">
        <v>16148</v>
      </c>
      <c r="E455" s="64" t="s">
        <v>13228</v>
      </c>
      <c r="F455" s="64" t="s">
        <v>14039</v>
      </c>
      <c r="G455" s="64" t="s">
        <v>14672</v>
      </c>
      <c r="H455" s="64" t="s">
        <v>13869</v>
      </c>
      <c r="I455" s="64" t="s">
        <v>14690</v>
      </c>
      <c r="J455" s="67">
        <v>0</v>
      </c>
      <c r="K455" s="62">
        <v>0</v>
      </c>
      <c r="L455" t="str">
        <f>VLOOKUP(VALUE(LEFT(C455,5)),Xref!A:B,2,0)</f>
        <v>EAG</v>
      </c>
      <c r="M455" t="str">
        <f t="shared" si="31"/>
        <v>API-EAG</v>
      </c>
    </row>
    <row r="456" spans="1:13" ht="14.25" customHeight="true">
      <c r="A456" s="33" t="str">
        <f t="shared" si="28"/>
        <v>API - Intercompany</v>
      </c>
      <c r="B456" s="33" t="str">
        <f t="shared" si="29"/>
        <v>API</v>
      </c>
      <c r="C456" s="33" t="str">
        <f t="shared" si="30"/>
        <v>11305-0000</v>
      </c>
      <c r="D456" s="64" t="s">
        <v>16149</v>
      </c>
      <c r="E456" s="64" t="s">
        <v>13229</v>
      </c>
      <c r="F456" s="64" t="s">
        <v>14039</v>
      </c>
      <c r="G456" s="64" t="s">
        <v>14672</v>
      </c>
      <c r="H456" s="64" t="s">
        <v>13869</v>
      </c>
      <c r="I456" s="64" t="s">
        <v>14690</v>
      </c>
      <c r="J456" s="67">
        <v>0</v>
      </c>
      <c r="K456" s="62">
        <v>0</v>
      </c>
      <c r="L456" t="str">
        <f>VLOOKUP(VALUE(LEFT(C456,5)),Xref!A:B,2,0)</f>
        <v>NEW</v>
      </c>
      <c r="M456" t="str">
        <f t="shared" si="31"/>
        <v>API-NEW</v>
      </c>
    </row>
    <row r="457" spans="1:13" ht="14.25" customHeight="true">
      <c r="A457" s="33" t="str">
        <f t="shared" si="28"/>
        <v>API - Intercompany</v>
      </c>
      <c r="B457" s="33" t="str">
        <f t="shared" si="29"/>
        <v>API</v>
      </c>
      <c r="C457" s="33" t="str">
        <f t="shared" si="30"/>
        <v>11307-0000</v>
      </c>
      <c r="D457" s="64" t="s">
        <v>16150</v>
      </c>
      <c r="E457" s="64" t="s">
        <v>14096</v>
      </c>
      <c r="F457" s="64" t="s">
        <v>14039</v>
      </c>
      <c r="G457" s="64" t="s">
        <v>14672</v>
      </c>
      <c r="H457" s="64" t="s">
        <v>13869</v>
      </c>
      <c r="I457" s="64" t="s">
        <v>14690</v>
      </c>
      <c r="J457" s="67">
        <v>0</v>
      </c>
      <c r="K457" s="62">
        <v>0</v>
      </c>
      <c r="L457" t="str">
        <f>VLOOKUP(VALUE(LEFT(C457,5)),Xref!A:B,2,0)</f>
        <v>NES</v>
      </c>
      <c r="M457" t="str">
        <f t="shared" si="31"/>
        <v>API-NES</v>
      </c>
    </row>
    <row r="458" spans="1:13" ht="14.25" customHeight="true">
      <c r="A458" s="33" t="str">
        <f t="shared" si="28"/>
        <v>API - Intercompany</v>
      </c>
      <c r="B458" s="33" t="str">
        <f t="shared" si="29"/>
        <v>API</v>
      </c>
      <c r="C458" s="33" t="str">
        <f t="shared" si="30"/>
        <v>11308-0000</v>
      </c>
      <c r="D458" s="64" t="s">
        <v>16151</v>
      </c>
      <c r="E458" s="64" t="s">
        <v>13476</v>
      </c>
      <c r="F458" s="64" t="s">
        <v>14039</v>
      </c>
      <c r="G458" s="64" t="s">
        <v>14672</v>
      </c>
      <c r="H458" s="64" t="s">
        <v>13869</v>
      </c>
      <c r="I458" s="64" t="s">
        <v>14690</v>
      </c>
      <c r="J458" s="67">
        <v>0</v>
      </c>
      <c r="K458" s="62">
        <v>0</v>
      </c>
      <c r="L458" t="str">
        <f>VLOOKUP(VALUE(LEFT(C458,5)),Xref!A:B,2,0)</f>
        <v>LPI</v>
      </c>
      <c r="M458" t="str">
        <f t="shared" si="31"/>
        <v>API-LPI</v>
      </c>
    </row>
    <row r="459" spans="1:13" ht="14.25" customHeight="true">
      <c r="A459" s="33" t="str">
        <f t="shared" si="28"/>
        <v>API - Intercompany</v>
      </c>
      <c r="B459" s="33" t="str">
        <f t="shared" si="29"/>
        <v>API</v>
      </c>
      <c r="C459" s="33" t="str">
        <f t="shared" si="30"/>
        <v>11309-0000</v>
      </c>
      <c r="D459" s="64" t="s">
        <v>16152</v>
      </c>
      <c r="E459" s="64" t="s">
        <v>13230</v>
      </c>
      <c r="F459" s="64" t="s">
        <v>14039</v>
      </c>
      <c r="G459" s="64" t="s">
        <v>14672</v>
      </c>
      <c r="H459" s="64" t="s">
        <v>13869</v>
      </c>
      <c r="I459" s="64" t="s">
        <v>14690</v>
      </c>
      <c r="J459" s="67">
        <v>0</v>
      </c>
      <c r="K459" s="62">
        <v>0</v>
      </c>
      <c r="L459" t="str">
        <f>VLOOKUP(VALUE(LEFT(C459,5)),Xref!A:B,2,0)</f>
        <v>GPI</v>
      </c>
      <c r="M459" t="str">
        <f t="shared" si="31"/>
        <v>API-GPI</v>
      </c>
    </row>
    <row r="460" spans="1:13" ht="14.25" customHeight="true">
      <c r="A460" s="33" t="str">
        <f t="shared" si="28"/>
        <v>API - Intercompany</v>
      </c>
      <c r="B460" s="33" t="str">
        <f t="shared" si="29"/>
        <v>API</v>
      </c>
      <c r="C460" s="33" t="str">
        <f t="shared" si="30"/>
        <v>11310-0000</v>
      </c>
      <c r="D460" s="64" t="s">
        <v>16153</v>
      </c>
      <c r="E460" s="64" t="s">
        <v>13231</v>
      </c>
      <c r="F460" s="64" t="s">
        <v>14039</v>
      </c>
      <c r="G460" s="64" t="s">
        <v>14672</v>
      </c>
      <c r="H460" s="64" t="s">
        <v>13869</v>
      </c>
      <c r="I460" s="64" t="s">
        <v>14690</v>
      </c>
      <c r="J460" s="67">
        <v>0</v>
      </c>
      <c r="K460" s="62">
        <v>0</v>
      </c>
      <c r="L460" t="str">
        <f>VLOOKUP(VALUE(LEFT(C460,5)),Xref!A:B,2,0)</f>
        <v>ALP</v>
      </c>
      <c r="M460" t="str">
        <f t="shared" si="31"/>
        <v>ALP-API</v>
      </c>
    </row>
    <row r="461" spans="1:13" ht="14.25" customHeight="true">
      <c r="A461" s="33" t="str">
        <f t="shared" si="28"/>
        <v>API - Intercompany</v>
      </c>
      <c r="B461" s="33" t="str">
        <f t="shared" si="29"/>
        <v>API</v>
      </c>
      <c r="C461" s="33" t="str">
        <f t="shared" si="30"/>
        <v>11311-0000</v>
      </c>
      <c r="D461" s="64" t="s">
        <v>16154</v>
      </c>
      <c r="E461" s="64" t="s">
        <v>13232</v>
      </c>
      <c r="F461" s="64" t="s">
        <v>14039</v>
      </c>
      <c r="G461" s="64" t="s">
        <v>14672</v>
      </c>
      <c r="H461" s="64" t="s">
        <v>13869</v>
      </c>
      <c r="I461" s="64" t="s">
        <v>14690</v>
      </c>
      <c r="J461" s="67">
        <v>0</v>
      </c>
      <c r="K461" s="62">
        <v>0</v>
      </c>
      <c r="L461" t="str">
        <f>VLOOKUP(VALUE(LEFT(C461,5)),Xref!A:B,2,0)</f>
        <v>BET</v>
      </c>
      <c r="M461" t="str">
        <f t="shared" si="31"/>
        <v>API-BET</v>
      </c>
    </row>
    <row r="462" spans="1:13" ht="14.25" customHeight="true">
      <c r="A462" s="33" t="str">
        <f t="shared" si="28"/>
        <v>API - Intercompany</v>
      </c>
      <c r="B462" s="33" t="str">
        <f t="shared" si="29"/>
        <v>API</v>
      </c>
      <c r="C462" s="33" t="str">
        <f t="shared" si="30"/>
        <v>11312-0000</v>
      </c>
      <c r="D462" s="64" t="s">
        <v>16155</v>
      </c>
      <c r="E462" s="64" t="s">
        <v>14102</v>
      </c>
      <c r="F462" s="64" t="s">
        <v>14039</v>
      </c>
      <c r="G462" s="64" t="s">
        <v>14672</v>
      </c>
      <c r="H462" s="64" t="s">
        <v>13869</v>
      </c>
      <c r="I462" s="64" t="s">
        <v>14690</v>
      </c>
      <c r="J462" s="67">
        <v>0</v>
      </c>
      <c r="K462" s="62">
        <v>0</v>
      </c>
      <c r="L462" t="str">
        <f>VLOOKUP(VALUE(LEFT(C462,5)),Xref!A:B,2,0)</f>
        <v>DEL</v>
      </c>
      <c r="M462" t="str">
        <f t="shared" si="31"/>
        <v>API-DEL</v>
      </c>
    </row>
    <row r="463" spans="1:13" ht="14.25" customHeight="true">
      <c r="A463" s="33" t="str">
        <f t="shared" si="28"/>
        <v>API - Intercompany</v>
      </c>
      <c r="B463" s="33" t="str">
        <f t="shared" si="29"/>
        <v>API</v>
      </c>
      <c r="C463" s="33" t="str">
        <f t="shared" si="30"/>
        <v>11313-0000</v>
      </c>
      <c r="D463" s="64" t="s">
        <v>16156</v>
      </c>
      <c r="E463" s="64" t="s">
        <v>13233</v>
      </c>
      <c r="F463" s="64" t="s">
        <v>14039</v>
      </c>
      <c r="G463" s="64" t="s">
        <v>14672</v>
      </c>
      <c r="H463" s="64" t="s">
        <v>13869</v>
      </c>
      <c r="I463" s="64" t="s">
        <v>14690</v>
      </c>
      <c r="J463" s="67">
        <v>0</v>
      </c>
      <c r="K463" s="62">
        <v>0</v>
      </c>
      <c r="L463" t="str">
        <f>VLOOKUP(VALUE(LEFT(C463,5)),Xref!A:B,2,0)</f>
        <v>DOL</v>
      </c>
      <c r="M463" t="str">
        <f t="shared" si="31"/>
        <v>API-DOL</v>
      </c>
    </row>
    <row r="464" spans="1:13" ht="14.25" customHeight="true">
      <c r="A464" s="33" t="str">
        <f t="shared" si="28"/>
        <v>API - Intercompany</v>
      </c>
      <c r="B464" s="33" t="str">
        <f t="shared" si="29"/>
        <v>API</v>
      </c>
      <c r="C464" s="33" t="str">
        <f t="shared" si="30"/>
        <v>11314-0000</v>
      </c>
      <c r="D464" s="64" t="s">
        <v>16157</v>
      </c>
      <c r="E464" s="64" t="s">
        <v>13351</v>
      </c>
      <c r="F464" s="64" t="s">
        <v>14039</v>
      </c>
      <c r="G464" s="64" t="s">
        <v>14672</v>
      </c>
      <c r="H464" s="64" t="s">
        <v>13869</v>
      </c>
      <c r="I464" s="64" t="s">
        <v>14690</v>
      </c>
      <c r="J464" s="67">
        <v>0</v>
      </c>
      <c r="K464" s="62">
        <v>0</v>
      </c>
      <c r="L464" t="str">
        <f>VLOOKUP(VALUE(LEFT(C464,5)),Xref!A:B,2,0)</f>
        <v>GRI</v>
      </c>
      <c r="M464" t="str">
        <f t="shared" si="31"/>
        <v>API-GRI</v>
      </c>
    </row>
    <row r="465" spans="1:13" ht="14.25" customHeight="true">
      <c r="A465" s="33" t="str">
        <f t="shared" si="28"/>
        <v>API - Intercompany</v>
      </c>
      <c r="B465" s="33" t="str">
        <f t="shared" si="29"/>
        <v>API</v>
      </c>
      <c r="C465" s="33" t="str">
        <f t="shared" si="30"/>
        <v>11315-0000</v>
      </c>
      <c r="D465" s="64" t="s">
        <v>16158</v>
      </c>
      <c r="E465" s="64" t="s">
        <v>13234</v>
      </c>
      <c r="F465" s="64" t="s">
        <v>14039</v>
      </c>
      <c r="G465" s="64" t="s">
        <v>14672</v>
      </c>
      <c r="H465" s="64" t="s">
        <v>13869</v>
      </c>
      <c r="I465" s="64" t="s">
        <v>14690</v>
      </c>
      <c r="J465" s="67">
        <v>0</v>
      </c>
      <c r="K465" s="62">
        <v>0</v>
      </c>
      <c r="L465" t="str">
        <f>VLOOKUP(VALUE(LEFT(C465,5)),Xref!A:B,2,0)</f>
        <v>PUR</v>
      </c>
      <c r="M465" t="str">
        <f t="shared" si="31"/>
        <v>API-PUR</v>
      </c>
    </row>
    <row r="466" spans="1:13" ht="14.25" customHeight="true">
      <c r="A466" s="33" t="str">
        <f t="shared" si="28"/>
        <v>API - Intercompany</v>
      </c>
      <c r="B466" s="33" t="str">
        <f t="shared" si="29"/>
        <v>API</v>
      </c>
      <c r="C466" s="33" t="str">
        <f t="shared" si="30"/>
        <v>11316-0000</v>
      </c>
      <c r="D466" s="64" t="s">
        <v>16159</v>
      </c>
      <c r="E466" s="64" t="s">
        <v>13235</v>
      </c>
      <c r="F466" s="64" t="s">
        <v>14039</v>
      </c>
      <c r="G466" s="64" t="s">
        <v>14672</v>
      </c>
      <c r="H466" s="64" t="s">
        <v>13869</v>
      </c>
      <c r="I466" s="64" t="s">
        <v>14690</v>
      </c>
      <c r="J466" s="67">
        <v>0</v>
      </c>
      <c r="K466" s="62">
        <v>0</v>
      </c>
      <c r="L466" t="str">
        <f>VLOOKUP(VALUE(LEFT(C466,5)),Xref!A:B,2,0)</f>
        <v>VAL</v>
      </c>
      <c r="M466" t="str">
        <f t="shared" si="31"/>
        <v>API-VAL</v>
      </c>
    </row>
    <row r="467" spans="1:13" ht="14.25" customHeight="true">
      <c r="A467" s="33" t="str">
        <f t="shared" si="28"/>
        <v>API - Intercompany</v>
      </c>
      <c r="B467" s="33" t="str">
        <f t="shared" si="29"/>
        <v>API</v>
      </c>
      <c r="C467" s="33" t="str">
        <f t="shared" si="30"/>
        <v>11317-0000</v>
      </c>
      <c r="D467" s="64" t="s">
        <v>16160</v>
      </c>
      <c r="E467" s="64" t="s">
        <v>13352</v>
      </c>
      <c r="F467" s="64" t="s">
        <v>14039</v>
      </c>
      <c r="G467" s="64" t="s">
        <v>14672</v>
      </c>
      <c r="H467" s="64" t="s">
        <v>13869</v>
      </c>
      <c r="I467" s="64" t="s">
        <v>14690</v>
      </c>
      <c r="J467" s="67">
        <v>0</v>
      </c>
      <c r="K467" s="62">
        <v>0</v>
      </c>
      <c r="L467" t="str">
        <f>VLOOKUP(VALUE(LEFT(C467,5)),Xref!A:B,2,0)</f>
        <v>AKG</v>
      </c>
      <c r="M467" t="str">
        <f t="shared" si="31"/>
        <v>AKG-API</v>
      </c>
    </row>
    <row r="468" spans="1:13" ht="14.25" customHeight="true">
      <c r="A468" s="33" t="str">
        <f t="shared" si="28"/>
        <v>API - Intercompany</v>
      </c>
      <c r="B468" s="33" t="str">
        <f t="shared" si="29"/>
        <v>API</v>
      </c>
      <c r="C468" s="33" t="str">
        <f t="shared" si="30"/>
        <v>11318-0000</v>
      </c>
      <c r="D468" s="64" t="s">
        <v>16161</v>
      </c>
      <c r="E468" s="64" t="s">
        <v>13477</v>
      </c>
      <c r="F468" s="64" t="s">
        <v>14039</v>
      </c>
      <c r="G468" s="64" t="s">
        <v>14672</v>
      </c>
      <c r="H468" s="64" t="s">
        <v>13869</v>
      </c>
      <c r="I468" s="64" t="s">
        <v>14690</v>
      </c>
      <c r="J468" s="67">
        <v>0</v>
      </c>
      <c r="K468" s="62">
        <v>0</v>
      </c>
      <c r="L468" t="str">
        <f>VLOOKUP(VALUE(LEFT(C468,5)),Xref!A:B,2,0)</f>
        <v>FIR</v>
      </c>
      <c r="M468" t="str">
        <f t="shared" si="31"/>
        <v>API-FIR</v>
      </c>
    </row>
    <row r="469" spans="1:13" ht="14.25" customHeight="true">
      <c r="A469" s="33" t="str">
        <f t="shared" si="28"/>
        <v>API - Intercompany</v>
      </c>
      <c r="B469" s="33" t="str">
        <f t="shared" si="29"/>
        <v>API</v>
      </c>
      <c r="C469" s="33" t="str">
        <f t="shared" si="30"/>
        <v>11319-0000</v>
      </c>
      <c r="D469" s="64" t="s">
        <v>16162</v>
      </c>
      <c r="E469" s="64" t="s">
        <v>266</v>
      </c>
      <c r="F469" s="64" t="s">
        <v>14039</v>
      </c>
      <c r="G469" s="64" t="s">
        <v>14672</v>
      </c>
      <c r="H469" s="64" t="s">
        <v>13869</v>
      </c>
      <c r="I469" s="64" t="s">
        <v>14690</v>
      </c>
      <c r="J469" s="67">
        <v>0</v>
      </c>
      <c r="K469" s="62">
        <v>0</v>
      </c>
      <c r="L469" t="str">
        <f>VLOOKUP(VALUE(LEFT(C469,5)),Xref!A:B,2,0)</f>
        <v>GST</v>
      </c>
      <c r="M469" t="str">
        <f t="shared" si="31"/>
        <v>API-GST</v>
      </c>
    </row>
    <row r="470" spans="1:13" ht="14.25" customHeight="true">
      <c r="A470" s="33" t="str">
        <f t="shared" si="28"/>
        <v>API - Intercompany</v>
      </c>
      <c r="B470" s="33" t="str">
        <f t="shared" si="29"/>
        <v>API</v>
      </c>
      <c r="C470" s="33" t="str">
        <f t="shared" si="30"/>
        <v>11320-0000</v>
      </c>
      <c r="D470" s="64" t="s">
        <v>16163</v>
      </c>
      <c r="E470" s="64" t="s">
        <v>14111</v>
      </c>
      <c r="F470" s="64" t="s">
        <v>14039</v>
      </c>
      <c r="G470" s="64" t="s">
        <v>14672</v>
      </c>
      <c r="H470" s="64" t="s">
        <v>13869</v>
      </c>
      <c r="I470" s="64" t="s">
        <v>14690</v>
      </c>
      <c r="J470" s="67">
        <v>0</v>
      </c>
      <c r="K470" s="62">
        <v>0</v>
      </c>
      <c r="L470" t="str">
        <f>VLOOKUP(VALUE(LEFT(C470,5)),Xref!A:B,2,0)</f>
        <v>HDN</v>
      </c>
      <c r="M470" t="str">
        <f t="shared" si="31"/>
        <v>API-HDN</v>
      </c>
    </row>
    <row r="471" spans="1:13" ht="14.25" customHeight="true">
      <c r="A471" s="33" t="str">
        <f t="shared" si="28"/>
        <v>API - Intercompany</v>
      </c>
      <c r="B471" s="33" t="str">
        <f t="shared" si="29"/>
        <v>API</v>
      </c>
      <c r="C471" s="33" t="str">
        <f t="shared" si="30"/>
        <v>11321-0000</v>
      </c>
      <c r="D471" s="64" t="s">
        <v>16164</v>
      </c>
      <c r="E471" s="64" t="s">
        <v>13236</v>
      </c>
      <c r="F471" s="64" t="s">
        <v>14039</v>
      </c>
      <c r="G471" s="64" t="s">
        <v>14672</v>
      </c>
      <c r="H471" s="64" t="s">
        <v>13869</v>
      </c>
      <c r="I471" s="64" t="s">
        <v>14690</v>
      </c>
      <c r="J471" s="67">
        <v>0</v>
      </c>
      <c r="K471" s="62">
        <v>0</v>
      </c>
      <c r="L471" t="str">
        <f>VLOOKUP(VALUE(LEFT(C471,5)),Xref!A:B,2,0)</f>
        <v>OVA</v>
      </c>
      <c r="M471" t="str">
        <f t="shared" si="31"/>
        <v>API-OVA</v>
      </c>
    </row>
    <row r="472" spans="1:13" ht="14.25" customHeight="true">
      <c r="A472" s="33" t="str">
        <f t="shared" si="28"/>
        <v>API - Intercompany</v>
      </c>
      <c r="B472" s="33" t="str">
        <f t="shared" si="29"/>
        <v>API</v>
      </c>
      <c r="C472" s="33" t="str">
        <f t="shared" si="30"/>
        <v>11322-0000</v>
      </c>
      <c r="D472" s="64" t="s">
        <v>16165</v>
      </c>
      <c r="E472" s="64" t="s">
        <v>13237</v>
      </c>
      <c r="F472" s="64" t="s">
        <v>14039</v>
      </c>
      <c r="G472" s="64" t="s">
        <v>14672</v>
      </c>
      <c r="H472" s="64" t="s">
        <v>13869</v>
      </c>
      <c r="I472" s="64" t="s">
        <v>14690</v>
      </c>
      <c r="J472" s="67">
        <v>0</v>
      </c>
      <c r="K472" s="62">
        <v>0</v>
      </c>
      <c r="L472" t="str">
        <f>VLOOKUP(VALUE(LEFT(C472,5)),Xref!A:B,2,0)</f>
        <v>WOO</v>
      </c>
      <c r="M472" t="str">
        <f t="shared" si="31"/>
        <v>API-WOO</v>
      </c>
    </row>
    <row r="473" spans="1:13" ht="14.25" customHeight="true">
      <c r="A473" s="33" t="str">
        <f t="shared" si="28"/>
        <v>API - Intercompany</v>
      </c>
      <c r="B473" s="33" t="str">
        <f t="shared" si="29"/>
        <v>API</v>
      </c>
      <c r="C473" s="33" t="str">
        <f t="shared" si="30"/>
        <v>11323-0000</v>
      </c>
      <c r="D473" t="s">
        <v>16166</v>
      </c>
      <c r="E473" t="s">
        <v>13478</v>
      </c>
      <c r="F473" t="s">
        <v>14039</v>
      </c>
      <c r="G473" t="s">
        <v>14672</v>
      </c>
      <c r="H473" s="64" t="s">
        <v>13869</v>
      </c>
      <c r="I473" t="s">
        <v>14690</v>
      </c>
      <c r="J473" s="70">
        <v>0</v>
      </c>
      <c r="K473" s="71">
        <v>0</v>
      </c>
      <c r="L473" t="str">
        <f>VLOOKUP(VALUE(LEFT(C473,5)),Xref!A:B,2,0)</f>
        <v>SPI</v>
      </c>
      <c r="M473" t="str">
        <f t="shared" si="31"/>
        <v>API-SPI</v>
      </c>
    </row>
    <row r="474" spans="1:13" ht="14.25" customHeight="true">
      <c r="A474" s="33" t="str">
        <f t="shared" si="28"/>
        <v>API - Intercompany</v>
      </c>
      <c r="B474" s="33" t="str">
        <f t="shared" si="29"/>
        <v>API</v>
      </c>
      <c r="C474" s="33" t="str">
        <f t="shared" si="30"/>
        <v>11324-0000</v>
      </c>
      <c r="D474" t="s">
        <v>16167</v>
      </c>
      <c r="E474" t="s">
        <v>13238</v>
      </c>
      <c r="F474" t="s">
        <v>14039</v>
      </c>
      <c r="G474" t="s">
        <v>14672</v>
      </c>
      <c r="H474" t="s">
        <v>13869</v>
      </c>
      <c r="I474" t="s">
        <v>14690</v>
      </c>
      <c r="J474" s="70">
        <v>0</v>
      </c>
      <c r="K474" s="71">
        <v>0</v>
      </c>
      <c r="L474" t="str">
        <f>VLOOKUP(VALUE(LEFT(C474,5)),Xref!A:B,2,0)</f>
        <v>NET</v>
      </c>
      <c r="M474" t="str">
        <f t="shared" si="31"/>
        <v>API-NET</v>
      </c>
    </row>
    <row r="475" spans="1:13" ht="14.25" customHeight="true">
      <c r="A475" s="33" t="str">
        <f t="shared" si="28"/>
        <v>API - Intercompany</v>
      </c>
      <c r="B475" s="33" t="str">
        <f t="shared" si="29"/>
        <v>API</v>
      </c>
      <c r="C475" s="33" t="str">
        <f t="shared" si="30"/>
        <v>11325-0000</v>
      </c>
      <c r="D475" t="s">
        <v>16168</v>
      </c>
      <c r="E475" t="s">
        <v>13239</v>
      </c>
      <c r="F475" t="s">
        <v>14039</v>
      </c>
      <c r="G475" t="s">
        <v>14672</v>
      </c>
      <c r="H475" t="s">
        <v>13869</v>
      </c>
      <c r="I475" t="s">
        <v>14690</v>
      </c>
      <c r="J475" s="70">
        <v>0</v>
      </c>
      <c r="K475" s="71">
        <v>0</v>
      </c>
      <c r="L475" t="str">
        <f>VLOOKUP(VALUE(LEFT(C475,5)),Xref!A:B,2,0)</f>
        <v>DPI</v>
      </c>
      <c r="M475" t="str">
        <f t="shared" si="31"/>
        <v>API-DPI</v>
      </c>
    </row>
    <row r="476" spans="1:13" ht="14.25" customHeight="true">
      <c r="A476" s="33" t="str">
        <f t="shared" si="28"/>
        <v>API - Intercompany</v>
      </c>
      <c r="B476" s="33" t="str">
        <f t="shared" si="29"/>
        <v>API</v>
      </c>
      <c r="C476" s="33" t="str">
        <f t="shared" si="30"/>
        <v>11326-0000</v>
      </c>
      <c r="D476" t="s">
        <v>16169</v>
      </c>
      <c r="E476" t="s">
        <v>13240</v>
      </c>
      <c r="F476" t="s">
        <v>14039</v>
      </c>
      <c r="G476" t="s">
        <v>14672</v>
      </c>
      <c r="H476" t="s">
        <v>13869</v>
      </c>
      <c r="I476" t="s">
        <v>14690</v>
      </c>
      <c r="J476" s="70">
        <v>0</v>
      </c>
      <c r="K476" s="71">
        <v>0</v>
      </c>
      <c r="L476" t="str">
        <f>VLOOKUP(VALUE(LEFT(C476,5)),Xref!A:B,2,0)</f>
        <v>SEK</v>
      </c>
      <c r="M476" t="str">
        <f t="shared" si="31"/>
        <v>API-SEK</v>
      </c>
    </row>
    <row r="477" spans="1:13" ht="14.25" customHeight="true">
      <c r="A477" s="33" t="str">
        <f t="shared" si="28"/>
        <v>API - Intercompany</v>
      </c>
      <c r="B477" s="33" t="str">
        <f t="shared" si="29"/>
        <v>API</v>
      </c>
      <c r="C477" s="33" t="str">
        <f t="shared" si="30"/>
        <v>11327-0000</v>
      </c>
      <c r="D477" t="s">
        <v>16170</v>
      </c>
      <c r="E477" t="s">
        <v>14119</v>
      </c>
      <c r="F477" t="s">
        <v>14039</v>
      </c>
      <c r="G477" t="s">
        <v>14672</v>
      </c>
      <c r="H477" t="s">
        <v>13869</v>
      </c>
      <c r="I477" t="s">
        <v>14690</v>
      </c>
      <c r="J477" s="70">
        <v>0</v>
      </c>
      <c r="K477" s="71">
        <v>0</v>
      </c>
      <c r="L477" t="str">
        <f>VLOOKUP(VALUE(LEFT(C477,5)),Xref!A:B,2,0)</f>
        <v>CPI</v>
      </c>
      <c r="M477" t="str">
        <f t="shared" si="31"/>
        <v>API-CPI</v>
      </c>
    </row>
    <row r="478" spans="1:13" ht="14.25" customHeight="true">
      <c r="A478" s="33" t="str">
        <f t="shared" si="28"/>
        <v>API - Intercompany</v>
      </c>
      <c r="B478" s="33" t="str">
        <f t="shared" si="29"/>
        <v>API</v>
      </c>
      <c r="C478" s="33" t="str">
        <f t="shared" si="30"/>
        <v>11328-0000</v>
      </c>
      <c r="D478" t="s">
        <v>16171</v>
      </c>
      <c r="E478" t="s">
        <v>13241</v>
      </c>
      <c r="F478" t="s">
        <v>14039</v>
      </c>
      <c r="G478" t="s">
        <v>14672</v>
      </c>
      <c r="H478" t="s">
        <v>13869</v>
      </c>
      <c r="I478" t="s">
        <v>14690</v>
      </c>
      <c r="J478" s="70">
        <v>0</v>
      </c>
      <c r="K478" s="71">
        <v>0</v>
      </c>
      <c r="L478" t="str">
        <f>VLOOKUP(VALUE(LEFT(C478,5)),Xref!A:B,2,0)</f>
        <v>LOM</v>
      </c>
      <c r="M478" t="str">
        <f t="shared" si="31"/>
        <v>API-LOM</v>
      </c>
    </row>
    <row r="479" spans="1:13" ht="14.25" customHeight="true">
      <c r="A479" s="33" t="str">
        <f t="shared" si="28"/>
        <v>API - Intercompany</v>
      </c>
      <c r="B479" s="33" t="str">
        <f t="shared" si="29"/>
        <v>API</v>
      </c>
      <c r="C479" s="33" t="str">
        <f t="shared" si="30"/>
        <v>11329-0000</v>
      </c>
      <c r="D479" t="s">
        <v>16172</v>
      </c>
      <c r="E479" t="s">
        <v>13353</v>
      </c>
      <c r="F479" t="s">
        <v>14039</v>
      </c>
      <c r="G479" t="s">
        <v>14672</v>
      </c>
      <c r="H479" t="s">
        <v>13869</v>
      </c>
      <c r="I479" t="s">
        <v>14690</v>
      </c>
      <c r="J479" s="70">
        <v>0</v>
      </c>
      <c r="K479" s="71">
        <v>0</v>
      </c>
      <c r="L479" t="str">
        <f>VLOOKUP(VALUE(LEFT(C479,5)),Xref!A:B,2,0)</f>
        <v>AKS</v>
      </c>
      <c r="M479" t="str">
        <f t="shared" si="31"/>
        <v>AKS-API</v>
      </c>
    </row>
    <row r="480" spans="1:13" ht="14.25" customHeight="true">
      <c r="A480" s="33" t="str">
        <f t="shared" si="28"/>
        <v>API - Intercompany</v>
      </c>
      <c r="B480" s="33" t="str">
        <f t="shared" si="29"/>
        <v>API</v>
      </c>
      <c r="C480" s="33" t="str">
        <f t="shared" si="30"/>
        <v>11330-0000</v>
      </c>
      <c r="D480" t="s">
        <v>16173</v>
      </c>
      <c r="E480" t="s">
        <v>13242</v>
      </c>
      <c r="F480" t="s">
        <v>14039</v>
      </c>
      <c r="G480" t="s">
        <v>14672</v>
      </c>
      <c r="H480" t="s">
        <v>13869</v>
      </c>
      <c r="I480" t="s">
        <v>14690</v>
      </c>
      <c r="J480" s="70">
        <v>0</v>
      </c>
      <c r="K480" s="71">
        <v>0</v>
      </c>
      <c r="L480" t="str">
        <f>VLOOKUP(VALUE(LEFT(C480,5)),Xref!A:B,2,0)</f>
        <v>MAR</v>
      </c>
      <c r="M480" t="str">
        <f t="shared" si="31"/>
        <v>API-MAR</v>
      </c>
    </row>
    <row r="481" spans="1:13" ht="14.25" customHeight="true">
      <c r="A481" s="33" t="str">
        <f t="shared" si="28"/>
        <v>API - Intercompany</v>
      </c>
      <c r="B481" s="33" t="str">
        <f t="shared" si="29"/>
        <v>API</v>
      </c>
      <c r="C481" s="33" t="str">
        <f t="shared" si="30"/>
        <v>11331-0000</v>
      </c>
      <c r="D481" t="s">
        <v>16174</v>
      </c>
      <c r="E481" t="s">
        <v>13354</v>
      </c>
      <c r="F481" t="s">
        <v>14039</v>
      </c>
      <c r="G481" t="s">
        <v>14672</v>
      </c>
      <c r="H481" t="s">
        <v>13869</v>
      </c>
      <c r="I481" t="s">
        <v>14690</v>
      </c>
      <c r="J481" s="70">
        <v>0</v>
      </c>
      <c r="K481" s="71">
        <v>0</v>
      </c>
      <c r="L481" t="str">
        <f>VLOOKUP(VALUE(LEFT(C481,5)),Xref!A:B,2,0)</f>
        <v>WIL</v>
      </c>
      <c r="M481" t="str">
        <f t="shared" si="31"/>
        <v>API-WIL</v>
      </c>
    </row>
    <row r="482" spans="1:13" ht="14.25" customHeight="true">
      <c r="A482" s="33" t="str">
        <f t="shared" si="28"/>
        <v>API - Intercompany</v>
      </c>
      <c r="B482" s="33" t="str">
        <f t="shared" si="29"/>
        <v>API</v>
      </c>
      <c r="C482" s="33" t="str">
        <f t="shared" si="30"/>
        <v>11332-0000</v>
      </c>
      <c r="D482" t="s">
        <v>16175</v>
      </c>
      <c r="E482" t="s">
        <v>13243</v>
      </c>
      <c r="F482" t="s">
        <v>14039</v>
      </c>
      <c r="G482" t="s">
        <v>14672</v>
      </c>
      <c r="H482" t="s">
        <v>13869</v>
      </c>
      <c r="I482" t="s">
        <v>14690</v>
      </c>
      <c r="J482" s="70">
        <v>0</v>
      </c>
      <c r="K482" s="71">
        <v>0</v>
      </c>
      <c r="L482" t="str">
        <f>VLOOKUP(VALUE(LEFT(C482,5)),Xref!A:B,2,0)</f>
        <v>STO</v>
      </c>
      <c r="M482" t="str">
        <f t="shared" si="31"/>
        <v>API-STO</v>
      </c>
    </row>
    <row r="483" spans="1:13" ht="14.25" customHeight="true">
      <c r="A483" s="33" t="str">
        <f t="shared" si="28"/>
        <v>API - Intercompany</v>
      </c>
      <c r="B483" s="33" t="str">
        <f t="shared" si="29"/>
        <v>API</v>
      </c>
      <c r="C483" s="33" t="str">
        <f t="shared" si="30"/>
        <v>11333-0000</v>
      </c>
      <c r="D483" t="s">
        <v>16176</v>
      </c>
      <c r="E483" t="s">
        <v>13244</v>
      </c>
      <c r="F483" t="s">
        <v>14039</v>
      </c>
      <c r="G483" t="s">
        <v>14672</v>
      </c>
      <c r="H483" t="s">
        <v>13869</v>
      </c>
      <c r="I483" t="s">
        <v>14690</v>
      </c>
      <c r="J483" s="70">
        <v>0</v>
      </c>
      <c r="K483" s="71">
        <v>0</v>
      </c>
      <c r="L483" t="str">
        <f>VLOOKUP(VALUE(LEFT(C483,5)),Xref!A:B,2,0)</f>
        <v>ANG</v>
      </c>
      <c r="M483" t="str">
        <f t="shared" si="31"/>
        <v>ANG-API</v>
      </c>
    </row>
    <row r="484" spans="1:13" ht="14.25" customHeight="true">
      <c r="A484" s="33" t="str">
        <f t="shared" si="28"/>
        <v>API - Intercompany</v>
      </c>
      <c r="B484" s="33" t="str">
        <f t="shared" si="29"/>
        <v>API</v>
      </c>
      <c r="C484" s="33" t="str">
        <f t="shared" si="30"/>
        <v>11334-0000</v>
      </c>
      <c r="D484" t="s">
        <v>16177</v>
      </c>
      <c r="E484" t="s">
        <v>13245</v>
      </c>
      <c r="F484" t="s">
        <v>14039</v>
      </c>
      <c r="G484" t="s">
        <v>14672</v>
      </c>
      <c r="H484" t="s">
        <v>13869</v>
      </c>
      <c r="I484" t="s">
        <v>14690</v>
      </c>
      <c r="J484" s="70">
        <v>0</v>
      </c>
      <c r="K484" s="71">
        <v>0</v>
      </c>
      <c r="L484" t="str">
        <f>VLOOKUP(VALUE(LEFT(C484,5)),Xref!A:B,2,0)</f>
        <v>BRU</v>
      </c>
      <c r="M484" t="str">
        <f t="shared" si="31"/>
        <v>API-BRU</v>
      </c>
    </row>
    <row r="485" spans="1:13" ht="14.25" customHeight="true">
      <c r="A485" s="33" t="str">
        <f t="shared" si="28"/>
        <v>API - Intercompany</v>
      </c>
      <c r="B485" s="33" t="str">
        <f t="shared" si="29"/>
        <v>API</v>
      </c>
      <c r="C485" s="33" t="str">
        <f t="shared" si="30"/>
        <v>11335-0000</v>
      </c>
      <c r="D485" t="s">
        <v>16178</v>
      </c>
      <c r="E485" t="s">
        <v>13246</v>
      </c>
      <c r="F485" t="s">
        <v>14039</v>
      </c>
      <c r="G485" t="s">
        <v>14672</v>
      </c>
      <c r="H485" t="s">
        <v>13869</v>
      </c>
      <c r="I485" t="s">
        <v>14690</v>
      </c>
      <c r="J485" s="70">
        <v>0</v>
      </c>
      <c r="K485" s="71">
        <v>0</v>
      </c>
      <c r="L485" t="str">
        <f>VLOOKUP(VALUE(LEFT(C485,5)),Xref!A:B,2,0)</f>
        <v>VEN</v>
      </c>
      <c r="M485" t="str">
        <f t="shared" si="31"/>
        <v>API-VEN</v>
      </c>
    </row>
    <row r="486" spans="1:13" ht="14.25" customHeight="true">
      <c r="A486" s="33" t="str">
        <f t="shared" si="28"/>
        <v>API - Intercompany</v>
      </c>
      <c r="B486" s="33" t="str">
        <f t="shared" si="29"/>
        <v>API</v>
      </c>
      <c r="C486" s="33" t="str">
        <f t="shared" si="30"/>
        <v>11336-0000</v>
      </c>
      <c r="D486" t="s">
        <v>16179</v>
      </c>
      <c r="E486" t="s">
        <v>13247</v>
      </c>
      <c r="F486" t="s">
        <v>14039</v>
      </c>
      <c r="G486" t="s">
        <v>14672</v>
      </c>
      <c r="H486" t="s">
        <v>13869</v>
      </c>
      <c r="I486" t="s">
        <v>14690</v>
      </c>
      <c r="J486" s="70">
        <v>0</v>
      </c>
      <c r="K486" s="71">
        <v>0</v>
      </c>
      <c r="L486" t="str">
        <f>VLOOKUP(VALUE(LEFT(C486,5)),Xref!A:B,2,0)</f>
        <v>SAT</v>
      </c>
      <c r="M486" t="str">
        <f t="shared" si="31"/>
        <v>API-SAT</v>
      </c>
    </row>
    <row r="487" spans="1:13" ht="14.25" customHeight="true">
      <c r="A487" s="33" t="str">
        <f t="shared" si="28"/>
        <v>API - Intercompany</v>
      </c>
      <c r="B487" s="33" t="str">
        <f t="shared" si="29"/>
        <v>API</v>
      </c>
      <c r="C487" s="33" t="str">
        <f t="shared" si="30"/>
        <v>11337-0000</v>
      </c>
      <c r="D487" t="s">
        <v>16180</v>
      </c>
      <c r="E487" t="s">
        <v>13248</v>
      </c>
      <c r="F487" t="s">
        <v>14039</v>
      </c>
      <c r="G487" t="s">
        <v>14672</v>
      </c>
      <c r="H487" t="s">
        <v>13869</v>
      </c>
      <c r="I487" t="s">
        <v>14690</v>
      </c>
      <c r="J487" s="70">
        <v>0</v>
      </c>
      <c r="K487" s="71">
        <v>0</v>
      </c>
      <c r="L487" t="str">
        <f>VLOOKUP(VALUE(LEFT(C487,5)),Xref!A:B,2,0)</f>
        <v>NEP</v>
      </c>
      <c r="M487" t="str">
        <f t="shared" si="31"/>
        <v>API-NEP</v>
      </c>
    </row>
    <row r="488" spans="1:13" ht="14.25" customHeight="true">
      <c r="A488" s="33" t="str">
        <f t="shared" si="28"/>
        <v>API - Intercompany</v>
      </c>
      <c r="B488" s="33" t="str">
        <f t="shared" si="29"/>
        <v>API</v>
      </c>
      <c r="C488" s="33" t="str">
        <f t="shared" si="30"/>
        <v>11338-0000</v>
      </c>
      <c r="D488" t="s">
        <v>16181</v>
      </c>
      <c r="E488" t="s">
        <v>14131</v>
      </c>
      <c r="F488" t="s">
        <v>14039</v>
      </c>
      <c r="G488" t="s">
        <v>14672</v>
      </c>
      <c r="H488" t="s">
        <v>13869</v>
      </c>
      <c r="I488" t="s">
        <v>14690</v>
      </c>
      <c r="J488" s="70">
        <v>0</v>
      </c>
      <c r="K488" s="71">
        <v>0</v>
      </c>
      <c r="L488" t="str">
        <f>VLOOKUP(VALUE(LEFT(C488,5)),Xref!A:B,2,0)</f>
        <v>JUP</v>
      </c>
      <c r="M488" t="str">
        <f t="shared" si="31"/>
        <v>API-JUP</v>
      </c>
    </row>
    <row r="489" spans="1:13" ht="14.25" customHeight="true">
      <c r="A489" s="33" t="str">
        <f t="shared" si="28"/>
        <v>API - Intercompany</v>
      </c>
      <c r="B489" s="33" t="str">
        <f t="shared" si="29"/>
        <v>API</v>
      </c>
      <c r="C489" s="33" t="str">
        <f t="shared" si="30"/>
        <v>11339-0000</v>
      </c>
      <c r="D489" t="s">
        <v>16182</v>
      </c>
      <c r="E489" t="s">
        <v>14133</v>
      </c>
      <c r="F489" t="s">
        <v>14039</v>
      </c>
      <c r="G489" t="s">
        <v>14672</v>
      </c>
      <c r="H489" t="s">
        <v>13869</v>
      </c>
      <c r="I489" t="s">
        <v>14690</v>
      </c>
      <c r="J489" s="70">
        <v>0</v>
      </c>
      <c r="K489" s="71">
        <v>0</v>
      </c>
      <c r="L489" t="str">
        <f>VLOOKUP(VALUE(LEFT(C489,5)),Xref!A:B,2,0)</f>
        <v>WES</v>
      </c>
      <c r="M489" t="str">
        <f t="shared" si="31"/>
        <v>API-WES</v>
      </c>
    </row>
    <row r="490" spans="1:13" ht="14.25" customHeight="true">
      <c r="A490" s="33" t="str">
        <f t="shared" si="28"/>
        <v>API - Intercompany</v>
      </c>
      <c r="B490" s="33" t="str">
        <f t="shared" si="29"/>
        <v>API</v>
      </c>
      <c r="C490" s="33" t="str">
        <f t="shared" si="30"/>
        <v>11340-0000</v>
      </c>
      <c r="D490" t="s">
        <v>16183</v>
      </c>
      <c r="E490" t="s">
        <v>14135</v>
      </c>
      <c r="F490" t="s">
        <v>14039</v>
      </c>
      <c r="G490" t="s">
        <v>14672</v>
      </c>
      <c r="H490" t="s">
        <v>13869</v>
      </c>
      <c r="I490" t="s">
        <v>14690</v>
      </c>
      <c r="J490" s="70">
        <v>0</v>
      </c>
      <c r="K490" s="71">
        <v>0</v>
      </c>
      <c r="L490" t="str">
        <f>VLOOKUP(VALUE(LEFT(C490,5)),Xref!A:B,2,0)</f>
        <v>LCP</v>
      </c>
      <c r="M490" t="str">
        <f t="shared" si="31"/>
        <v>API-LCP</v>
      </c>
    </row>
    <row r="491" spans="1:13" ht="14.25" customHeight="true">
      <c r="A491" s="33" t="str">
        <f t="shared" si="28"/>
        <v>API - Intercompany</v>
      </c>
      <c r="B491" s="33" t="str">
        <f t="shared" si="29"/>
        <v>API</v>
      </c>
      <c r="C491" s="33" t="str">
        <f t="shared" si="30"/>
        <v>11341-0000</v>
      </c>
      <c r="D491" t="s">
        <v>16184</v>
      </c>
      <c r="E491" t="s">
        <v>13639</v>
      </c>
      <c r="F491" t="s">
        <v>14039</v>
      </c>
      <c r="G491" t="s">
        <v>14672</v>
      </c>
      <c r="H491" t="s">
        <v>13869</v>
      </c>
      <c r="I491" t="s">
        <v>14690</v>
      </c>
      <c r="J491" s="70">
        <v>0</v>
      </c>
      <c r="K491" s="71">
        <v>0</v>
      </c>
      <c r="L491" t="str">
        <f>VLOOKUP(VALUE(LEFT(C491,5)),Xref!A:B,2,0)</f>
        <v>NOR</v>
      </c>
      <c r="M491" t="str">
        <f t="shared" si="31"/>
        <v>API-NOR</v>
      </c>
    </row>
    <row r="492" spans="1:13" ht="14.25" customHeight="true">
      <c r="A492" s="33" t="str">
        <f t="shared" si="28"/>
        <v>API - Intercompany</v>
      </c>
      <c r="B492" s="33" t="str">
        <f t="shared" si="29"/>
        <v>API</v>
      </c>
      <c r="C492" s="33" t="str">
        <f t="shared" si="30"/>
        <v>11342-0000</v>
      </c>
      <c r="D492" t="s">
        <v>16185</v>
      </c>
      <c r="E492" t="s">
        <v>13355</v>
      </c>
      <c r="F492" t="s">
        <v>14039</v>
      </c>
      <c r="G492" t="s">
        <v>14672</v>
      </c>
      <c r="H492" t="s">
        <v>13869</v>
      </c>
      <c r="I492" t="s">
        <v>14690</v>
      </c>
      <c r="J492" s="70">
        <v>0</v>
      </c>
      <c r="K492" s="71">
        <v>0</v>
      </c>
      <c r="L492" t="str">
        <f>VLOOKUP(VALUE(LEFT(C492,5)),Xref!A:B,2,0)</f>
        <v>EAS</v>
      </c>
      <c r="M492" t="str">
        <f t="shared" si="31"/>
        <v>API-EAS</v>
      </c>
    </row>
    <row r="493" spans="1:13" ht="14.25" customHeight="true">
      <c r="A493" s="33" t="str">
        <f t="shared" si="28"/>
        <v>API - Intercompany</v>
      </c>
      <c r="B493" s="33" t="str">
        <f t="shared" si="29"/>
        <v>API</v>
      </c>
      <c r="C493" s="33" t="str">
        <f t="shared" si="30"/>
        <v>11343-0000</v>
      </c>
      <c r="D493" t="s">
        <v>16186</v>
      </c>
      <c r="E493" t="s">
        <v>14139</v>
      </c>
      <c r="F493" t="s">
        <v>14039</v>
      </c>
      <c r="G493" t="s">
        <v>14672</v>
      </c>
      <c r="H493" t="s">
        <v>13869</v>
      </c>
      <c r="I493" t="s">
        <v>14690</v>
      </c>
      <c r="J493" s="70">
        <v>0</v>
      </c>
      <c r="K493" s="71">
        <v>0</v>
      </c>
      <c r="L493" t="str">
        <f>VLOOKUP(VALUE(LEFT(C493,5)),Xref!A:B,2,0)</f>
        <v>GRA</v>
      </c>
      <c r="M493" t="str">
        <f t="shared" si="31"/>
        <v>API-GRA</v>
      </c>
    </row>
    <row r="494" spans="1:13" ht="14.25" customHeight="true">
      <c r="A494" s="33" t="str">
        <f t="shared" si="28"/>
        <v>API - Intercompany</v>
      </c>
      <c r="B494" s="33" t="str">
        <f t="shared" si="29"/>
        <v>API</v>
      </c>
      <c r="C494" s="33" t="str">
        <f t="shared" si="30"/>
        <v>11344-0000</v>
      </c>
      <c r="D494" t="s">
        <v>16187</v>
      </c>
      <c r="E494" t="s">
        <v>14141</v>
      </c>
      <c r="F494" t="s">
        <v>14039</v>
      </c>
      <c r="G494" t="s">
        <v>14672</v>
      </c>
      <c r="H494" t="s">
        <v>13869</v>
      </c>
      <c r="I494" t="s">
        <v>14690</v>
      </c>
      <c r="J494" s="70">
        <v>0</v>
      </c>
      <c r="K494" s="71">
        <v>0</v>
      </c>
      <c r="L494" t="str">
        <f>VLOOKUP(VALUE(LEFT(C494,5)),Xref!A:B,2,0)</f>
        <v>SOU</v>
      </c>
      <c r="M494" t="str">
        <f t="shared" si="31"/>
        <v>API-SOU</v>
      </c>
    </row>
    <row r="495" spans="1:13" ht="14.25" customHeight="true">
      <c r="A495" s="33" t="str">
        <f t="shared" si="28"/>
        <v>API - Intercompany</v>
      </c>
      <c r="B495" s="33" t="str">
        <f t="shared" si="29"/>
        <v>API</v>
      </c>
      <c r="C495" s="33" t="str">
        <f t="shared" si="30"/>
        <v>11345-0000</v>
      </c>
      <c r="D495" t="s">
        <v>16188</v>
      </c>
      <c r="E495" t="s">
        <v>14143</v>
      </c>
      <c r="F495" t="s">
        <v>14039</v>
      </c>
      <c r="G495" t="s">
        <v>14672</v>
      </c>
      <c r="H495" t="s">
        <v>13869</v>
      </c>
      <c r="I495" t="s">
        <v>14690</v>
      </c>
      <c r="J495" s="70">
        <v>0</v>
      </c>
      <c r="K495" s="71">
        <v>0</v>
      </c>
      <c r="L495" t="str">
        <f>VLOOKUP(VALUE(LEFT(C495,5)),Xref!A:B,2,0)</f>
        <v>API</v>
      </c>
      <c r="M495" t="str">
        <f t="shared" si="31"/>
        <v>API-API</v>
      </c>
    </row>
    <row r="496" spans="1:13" ht="14.25" customHeight="true">
      <c r="A496" s="33" t="str">
        <f t="shared" si="28"/>
        <v>API - Intercompany</v>
      </c>
      <c r="B496" s="33" t="str">
        <f t="shared" si="29"/>
        <v>API</v>
      </c>
      <c r="C496" s="33" t="str">
        <f t="shared" si="30"/>
        <v>11346-0000</v>
      </c>
      <c r="D496" t="s">
        <v>16189</v>
      </c>
      <c r="E496" t="s">
        <v>14145</v>
      </c>
      <c r="F496" t="s">
        <v>14039</v>
      </c>
      <c r="G496" t="s">
        <v>14672</v>
      </c>
      <c r="H496" t="s">
        <v>13869</v>
      </c>
      <c r="I496" t="s">
        <v>14690</v>
      </c>
      <c r="J496" s="70">
        <v>0</v>
      </c>
      <c r="K496" s="71">
        <v>0</v>
      </c>
      <c r="L496" t="str">
        <f>VLOOKUP(VALUE(LEFT(C496,5)),Xref!A:B,2,0)</f>
        <v>DPH</v>
      </c>
      <c r="M496" t="str">
        <f t="shared" si="31"/>
        <v>API-DPH</v>
      </c>
    </row>
    <row r="497" spans="1:13" ht="14.25" customHeight="true">
      <c r="A497" s="33" t="str">
        <f t="shared" si="28"/>
        <v>API - Intercompany</v>
      </c>
      <c r="B497" s="33" t="str">
        <f t="shared" si="29"/>
        <v>API</v>
      </c>
      <c r="C497" s="33" t="str">
        <f t="shared" si="30"/>
        <v>11347-0000</v>
      </c>
      <c r="D497" t="s">
        <v>16190</v>
      </c>
      <c r="E497" t="s">
        <v>14147</v>
      </c>
      <c r="F497" t="s">
        <v>14039</v>
      </c>
      <c r="G497" t="s">
        <v>14672</v>
      </c>
      <c r="H497" t="s">
        <v>13869</v>
      </c>
      <c r="I497" t="s">
        <v>14690</v>
      </c>
      <c r="J497" s="70">
        <v>0</v>
      </c>
      <c r="K497" s="71">
        <v>0</v>
      </c>
      <c r="L497" t="str">
        <f>VLOOKUP(VALUE(LEFT(C497,5)),Xref!A:B,2,0)</f>
        <v>ZPI</v>
      </c>
      <c r="M497" t="str">
        <f t="shared" si="31"/>
        <v>API-ZPI</v>
      </c>
    </row>
    <row r="498" spans="1:13" ht="14.25" customHeight="true">
      <c r="A498" s="33" t="str">
        <f t="shared" si="28"/>
        <v>API - Intercompany</v>
      </c>
      <c r="B498" s="33" t="str">
        <f t="shared" si="29"/>
        <v>API</v>
      </c>
      <c r="C498" s="33" t="str">
        <f t="shared" si="30"/>
        <v>11348-0000</v>
      </c>
      <c r="D498" t="s">
        <v>16191</v>
      </c>
      <c r="E498" t="s">
        <v>14149</v>
      </c>
      <c r="F498" t="s">
        <v>14039</v>
      </c>
      <c r="G498" t="s">
        <v>14672</v>
      </c>
      <c r="H498" t="s">
        <v>13869</v>
      </c>
      <c r="I498" t="s">
        <v>14690</v>
      </c>
      <c r="J498" s="70">
        <v>0</v>
      </c>
      <c r="K498" s="71">
        <v>0</v>
      </c>
      <c r="L498" t="str">
        <f>VLOOKUP(VALUE(LEFT(C498,5)),Xref!A:B,2,0)</f>
        <v>EAM</v>
      </c>
      <c r="M498" t="str">
        <f t="shared" si="31"/>
        <v>API-EAM</v>
      </c>
    </row>
    <row r="499" spans="1:13" ht="14.25" customHeight="true">
      <c r="A499" s="33" t="str">
        <f t="shared" si="28"/>
        <v>API - Intercompany</v>
      </c>
      <c r="B499" s="33" t="str">
        <f t="shared" si="29"/>
        <v>API</v>
      </c>
      <c r="C499" s="33" t="str">
        <f t="shared" si="30"/>
        <v>11349-0000</v>
      </c>
      <c r="D499" t="s">
        <v>16192</v>
      </c>
      <c r="E499" t="s">
        <v>14151</v>
      </c>
      <c r="F499" t="s">
        <v>14039</v>
      </c>
      <c r="G499" t="s">
        <v>14672</v>
      </c>
      <c r="H499" t="s">
        <v>13869</v>
      </c>
      <c r="I499" t="s">
        <v>14690</v>
      </c>
      <c r="J499" s="70">
        <v>0</v>
      </c>
      <c r="K499" s="71">
        <v>0</v>
      </c>
      <c r="L499" t="str">
        <f>VLOOKUP(VALUE(LEFT(C499,5)),Xref!A:B,2,0)</f>
        <v>SEA</v>
      </c>
      <c r="M499" t="str">
        <f t="shared" si="31"/>
        <v>API-SEA</v>
      </c>
    </row>
    <row r="500" spans="1:13" ht="14.25" customHeight="true">
      <c r="A500" s="33" t="str">
        <f t="shared" si="28"/>
        <v>API - Intercompany</v>
      </c>
      <c r="B500" s="33" t="str">
        <f t="shared" si="29"/>
        <v>API</v>
      </c>
      <c r="C500" s="33" t="str">
        <f t="shared" si="30"/>
        <v>11350-0000</v>
      </c>
      <c r="D500" t="s">
        <v>16193</v>
      </c>
      <c r="E500" t="s">
        <v>14153</v>
      </c>
      <c r="F500" s="69" t="s">
        <v>14039</v>
      </c>
      <c r="G500" t="s">
        <v>14672</v>
      </c>
      <c r="H500" t="s">
        <v>13869</v>
      </c>
      <c r="I500" t="s">
        <v>14690</v>
      </c>
      <c r="J500" s="70">
        <v>0</v>
      </c>
      <c r="K500" s="71">
        <v>-75.31</v>
      </c>
      <c r="L500" t="str">
        <f>VLOOKUP(VALUE(LEFT(C500,5)),Xref!A:B,2,0)</f>
        <v>EAL</v>
      </c>
      <c r="M500" t="str">
        <f t="shared" si="31"/>
        <v>API-EAL</v>
      </c>
    </row>
    <row r="501" spans="1:13" ht="14.25" customHeight="true">
      <c r="A501" s="33" t="str">
        <f t="shared" si="28"/>
        <v>API - Intercompany</v>
      </c>
      <c r="B501" s="33" t="str">
        <f t="shared" si="29"/>
        <v>API</v>
      </c>
      <c r="C501" s="33" t="str">
        <f t="shared" si="30"/>
        <v>11351-0000</v>
      </c>
      <c r="D501" t="s">
        <v>16194</v>
      </c>
      <c r="E501" t="s">
        <v>14155</v>
      </c>
      <c r="F501" s="69" t="s">
        <v>14039</v>
      </c>
      <c r="G501" t="s">
        <v>14672</v>
      </c>
      <c r="H501" t="s">
        <v>13869</v>
      </c>
      <c r="I501" t="s">
        <v>14690</v>
      </c>
      <c r="J501" s="70">
        <v>0</v>
      </c>
      <c r="K501" s="71">
        <v>0</v>
      </c>
      <c r="L501" t="str">
        <f>VLOOKUP(VALUE(LEFT(C501,5)),Xref!A:B,2,0)</f>
        <v>WEP</v>
      </c>
      <c r="M501" t="str">
        <f t="shared" si="31"/>
        <v>API-WEP</v>
      </c>
    </row>
    <row r="502" spans="1:13" ht="14.25" customHeight="true">
      <c r="A502" s="33" t="str">
        <f t="shared" si="28"/>
        <v>API - Intercompany</v>
      </c>
      <c r="B502" s="33" t="str">
        <f t="shared" si="29"/>
        <v>API</v>
      </c>
      <c r="C502" s="33" t="str">
        <f t="shared" si="30"/>
        <v>11352-0000</v>
      </c>
      <c r="D502" t="s">
        <v>16195</v>
      </c>
      <c r="E502" t="s">
        <v>13536</v>
      </c>
      <c r="F502" s="69" t="s">
        <v>14039</v>
      </c>
      <c r="G502" t="s">
        <v>14672</v>
      </c>
      <c r="H502" t="s">
        <v>13869</v>
      </c>
      <c r="I502" t="s">
        <v>14690</v>
      </c>
      <c r="J502" s="70">
        <v>0</v>
      </c>
      <c r="K502" s="71">
        <v>0</v>
      </c>
      <c r="L502" t="str">
        <f>VLOOKUP(VALUE(LEFT(C502,5)),Xref!A:B,2,0)</f>
        <v>KLP</v>
      </c>
      <c r="M502" t="str">
        <f t="shared" si="31"/>
        <v>API-KLP</v>
      </c>
    </row>
    <row r="503" spans="1:13" ht="14.25" customHeight="true">
      <c r="A503" s="33" t="str">
        <f t="shared" si="28"/>
        <v>API - Intercompany</v>
      </c>
      <c r="B503" s="33" t="str">
        <f t="shared" si="29"/>
        <v>API</v>
      </c>
      <c r="C503" s="33" t="str">
        <f t="shared" si="30"/>
        <v>11353-0000</v>
      </c>
      <c r="D503" t="s">
        <v>16196</v>
      </c>
      <c r="E503" t="s">
        <v>13537</v>
      </c>
      <c r="F503" s="69" t="s">
        <v>14039</v>
      </c>
      <c r="G503" t="s">
        <v>14672</v>
      </c>
      <c r="H503" t="s">
        <v>13869</v>
      </c>
      <c r="I503" t="s">
        <v>14690</v>
      </c>
      <c r="J503" s="70">
        <v>0</v>
      </c>
      <c r="K503" s="71">
        <v>0</v>
      </c>
      <c r="L503" t="str">
        <f>VLOOKUP(VALUE(LEFT(C503,5)),Xref!A:B,2,0)</f>
        <v>AKC</v>
      </c>
      <c r="M503" t="str">
        <f t="shared" si="31"/>
        <v>AKC-API</v>
      </c>
    </row>
    <row r="504" spans="1:13" ht="14.25" customHeight="true">
      <c r="A504" s="33" t="str">
        <f t="shared" si="28"/>
        <v>API - Intercompany</v>
      </c>
      <c r="B504" s="33" t="str">
        <f t="shared" si="29"/>
        <v>API</v>
      </c>
      <c r="C504" s="33" t="str">
        <f t="shared" si="30"/>
        <v>11354-0000</v>
      </c>
      <c r="D504" t="s">
        <v>16197</v>
      </c>
      <c r="E504" t="s">
        <v>13538</v>
      </c>
      <c r="F504" s="69" t="s">
        <v>14039</v>
      </c>
      <c r="G504" t="s">
        <v>14672</v>
      </c>
      <c r="H504" t="s">
        <v>13869</v>
      </c>
      <c r="I504" t="s">
        <v>14690</v>
      </c>
      <c r="J504" s="70">
        <v>0</v>
      </c>
      <c r="K504" s="71">
        <v>0</v>
      </c>
      <c r="L504" t="str">
        <f>VLOOKUP(VALUE(LEFT(C504,5)),Xref!A:B,2,0)</f>
        <v>AKA</v>
      </c>
      <c r="M504" t="str">
        <f t="shared" si="31"/>
        <v>AKA-API</v>
      </c>
    </row>
    <row r="505" spans="1:13" ht="14.25" customHeight="true">
      <c r="A505" s="33" t="str">
        <f t="shared" si="28"/>
        <v>API - Intercompany</v>
      </c>
      <c r="B505" s="33" t="str">
        <f t="shared" si="29"/>
        <v>API</v>
      </c>
      <c r="C505" s="33" t="str">
        <f t="shared" si="30"/>
        <v>11355-0000</v>
      </c>
      <c r="D505" t="s">
        <v>16198</v>
      </c>
      <c r="E505" t="s">
        <v>13539</v>
      </c>
      <c r="F505" s="69" t="s">
        <v>14039</v>
      </c>
      <c r="G505" t="s">
        <v>14672</v>
      </c>
      <c r="H505" t="s">
        <v>13869</v>
      </c>
      <c r="I505" t="s">
        <v>14690</v>
      </c>
      <c r="J505" s="70">
        <v>0</v>
      </c>
      <c r="K505" s="71">
        <v>0</v>
      </c>
      <c r="L505" t="str">
        <f>VLOOKUP(VALUE(LEFT(C505,5)),Xref!A:B,2,0)</f>
        <v>SPA</v>
      </c>
      <c r="M505" t="str">
        <f t="shared" si="31"/>
        <v>API-SPA</v>
      </c>
    </row>
    <row r="506" spans="1:13" ht="14.25" customHeight="true">
      <c r="A506" s="33" t="str">
        <f t="shared" si="28"/>
        <v>API - Intercompany</v>
      </c>
      <c r="B506" s="33" t="str">
        <f t="shared" si="29"/>
        <v>API</v>
      </c>
      <c r="C506" s="33" t="str">
        <f t="shared" si="30"/>
        <v>11356-0000</v>
      </c>
      <c r="D506" t="s">
        <v>16199</v>
      </c>
      <c r="E506" t="s">
        <v>13540</v>
      </c>
      <c r="F506" s="69" t="s">
        <v>14039</v>
      </c>
      <c r="G506" t="s">
        <v>14672</v>
      </c>
      <c r="H506" t="s">
        <v>13869</v>
      </c>
      <c r="I506" t="s">
        <v>14690</v>
      </c>
      <c r="J506" s="70">
        <v>0</v>
      </c>
      <c r="K506" s="71">
        <v>0</v>
      </c>
      <c r="L506" t="str">
        <f>VLOOKUP(VALUE(LEFT(C506,5)),Xref!A:B,2,0)</f>
        <v>DPM</v>
      </c>
      <c r="M506" t="str">
        <f t="shared" si="31"/>
        <v>API-DPM</v>
      </c>
    </row>
    <row r="507" spans="1:13" ht="14.25" customHeight="true">
      <c r="A507" s="33" t="str">
        <f t="shared" si="28"/>
        <v>API - Intercompany</v>
      </c>
      <c r="B507" s="33" t="str">
        <f t="shared" si="29"/>
        <v>API</v>
      </c>
      <c r="C507" s="33" t="str">
        <f t="shared" si="30"/>
        <v>11357-0000</v>
      </c>
      <c r="D507" t="s">
        <v>16200</v>
      </c>
      <c r="E507" t="s">
        <v>13541</v>
      </c>
      <c r="F507" s="69" t="s">
        <v>14039</v>
      </c>
      <c r="G507" t="s">
        <v>14672</v>
      </c>
      <c r="H507" t="s">
        <v>13869</v>
      </c>
      <c r="I507" t="s">
        <v>14690</v>
      </c>
      <c r="J507" s="70">
        <v>0</v>
      </c>
      <c r="K507" s="71">
        <v>0</v>
      </c>
      <c r="L507" t="str">
        <f>VLOOKUP(VALUE(LEFT(C507,5)),Xref!A:B,2,0)</f>
        <v>HDM</v>
      </c>
      <c r="M507" t="str">
        <f t="shared" si="31"/>
        <v>API-HDM</v>
      </c>
    </row>
    <row r="508" spans="1:13" ht="14.25" customHeight="true">
      <c r="A508" s="33" t="str">
        <f t="shared" si="28"/>
        <v>API - Intercompany</v>
      </c>
      <c r="B508" s="33" t="str">
        <f t="shared" si="29"/>
        <v>API</v>
      </c>
      <c r="C508" s="33" t="str">
        <f t="shared" si="30"/>
        <v>11358-0000</v>
      </c>
      <c r="D508" t="s">
        <v>16201</v>
      </c>
      <c r="E508" t="s">
        <v>13542</v>
      </c>
      <c r="F508" s="69" t="s">
        <v>14039</v>
      </c>
      <c r="G508" t="s">
        <v>14672</v>
      </c>
      <c r="H508" t="s">
        <v>13869</v>
      </c>
      <c r="I508" t="s">
        <v>14690</v>
      </c>
      <c r="J508" s="70">
        <v>0</v>
      </c>
      <c r="K508" s="71">
        <v>0</v>
      </c>
      <c r="L508" t="str">
        <f>VLOOKUP(VALUE(LEFT(C508,5)),Xref!A:B,2,0)</f>
        <v>GRA</v>
      </c>
      <c r="M508" t="str">
        <f t="shared" si="31"/>
        <v>API-GRA</v>
      </c>
    </row>
    <row r="509" spans="1:13" ht="14.25" customHeight="true">
      <c r="A509" s="33" t="str">
        <f t="shared" si="28"/>
        <v>API - Intercompany</v>
      </c>
      <c r="B509" s="33" t="str">
        <f t="shared" si="29"/>
        <v>API</v>
      </c>
      <c r="C509" s="33" t="str">
        <f t="shared" si="30"/>
        <v>11359-0000</v>
      </c>
      <c r="D509" t="s">
        <v>16202</v>
      </c>
      <c r="E509" t="s">
        <v>13543</v>
      </c>
      <c r="F509" s="69" t="s">
        <v>14039</v>
      </c>
      <c r="G509" t="s">
        <v>14672</v>
      </c>
      <c r="H509" t="s">
        <v>13869</v>
      </c>
      <c r="I509" t="s">
        <v>14690</v>
      </c>
      <c r="J509" s="70">
        <v>0</v>
      </c>
      <c r="K509" s="71">
        <v>0</v>
      </c>
      <c r="L509" t="str">
        <f>VLOOKUP(VALUE(LEFT(C509,5)),Xref!A:B,2,0)</f>
        <v>TPI</v>
      </c>
      <c r="M509" t="str">
        <f t="shared" si="31"/>
        <v>API-TPI</v>
      </c>
    </row>
    <row r="510" spans="1:13" ht="14.25" customHeight="true">
      <c r="A510" s="33" t="str">
        <f t="shared" si="28"/>
        <v>API - Intercompany</v>
      </c>
      <c r="B510" s="33" t="str">
        <f t="shared" si="29"/>
        <v>API</v>
      </c>
      <c r="C510" s="33" t="str">
        <f t="shared" si="30"/>
        <v>11361-0000</v>
      </c>
      <c r="D510" t="s">
        <v>16203</v>
      </c>
      <c r="E510" t="s">
        <v>14165</v>
      </c>
      <c r="F510" s="69" t="s">
        <v>14039</v>
      </c>
      <c r="G510" t="s">
        <v>14672</v>
      </c>
      <c r="H510" t="s">
        <v>13869</v>
      </c>
      <c r="I510" t="s">
        <v>14690</v>
      </c>
      <c r="J510" s="70">
        <v>0</v>
      </c>
      <c r="K510" s="71">
        <v>0</v>
      </c>
      <c r="L510" t="str">
        <f>VLOOKUP(VALUE(LEFT(C510,5)),Xref!A:B,2,0)</f>
        <v>GSM</v>
      </c>
      <c r="M510" t="str">
        <f t="shared" si="31"/>
        <v>API-GSM</v>
      </c>
    </row>
    <row r="511" spans="1:13" ht="14.25" customHeight="true">
      <c r="A511" s="33" t="str">
        <f t="shared" si="28"/>
        <v>API - Intercompany</v>
      </c>
      <c r="B511" s="33" t="str">
        <f t="shared" si="29"/>
        <v>API</v>
      </c>
      <c r="C511" s="33" t="str">
        <f t="shared" si="30"/>
        <v>11363-0000</v>
      </c>
      <c r="D511" t="s">
        <v>16204</v>
      </c>
      <c r="E511" t="s">
        <v>13544</v>
      </c>
      <c r="F511" s="69" t="s">
        <v>14039</v>
      </c>
      <c r="G511" t="s">
        <v>14672</v>
      </c>
      <c r="H511" t="s">
        <v>13869</v>
      </c>
      <c r="I511" t="s">
        <v>14690</v>
      </c>
      <c r="J511" s="70">
        <v>0</v>
      </c>
      <c r="K511" s="71">
        <v>0</v>
      </c>
      <c r="L511" t="str">
        <f>VLOOKUP(VALUE(LEFT(C511,5)),Xref!A:B,2,0)</f>
        <v>SOF</v>
      </c>
      <c r="M511" t="str">
        <f t="shared" si="31"/>
        <v>API-SOF</v>
      </c>
    </row>
    <row r="512" spans="1:13" ht="14.25" customHeight="true">
      <c r="A512" s="33" t="str">
        <f t="shared" si="28"/>
        <v>API - Intercompany</v>
      </c>
      <c r="B512" s="33" t="str">
        <f t="shared" si="29"/>
        <v>API</v>
      </c>
      <c r="C512" s="33" t="str">
        <f t="shared" si="30"/>
        <v>11364-0000</v>
      </c>
      <c r="D512" t="s">
        <v>16205</v>
      </c>
      <c r="E512" t="s">
        <v>14168</v>
      </c>
      <c r="F512" s="69" t="s">
        <v>14039</v>
      </c>
      <c r="G512" t="s">
        <v>14672</v>
      </c>
      <c r="H512" t="s">
        <v>13869</v>
      </c>
      <c r="I512" t="s">
        <v>14690</v>
      </c>
      <c r="J512" s="70">
        <v>0</v>
      </c>
      <c r="K512" s="71">
        <v>0</v>
      </c>
      <c r="L512" t="e">
        <f>VLOOKUP(VALUE(LEFT(C512,5)),Xref!A:B,2,0)</f>
        <v>#N/A</v>
      </c>
      <c r="M512" t="e">
        <f t="shared" si="31"/>
        <v>#N/A</v>
      </c>
    </row>
    <row r="513" spans="1:13" ht="14.25" customHeight="true">
      <c r="A513" s="33" t="str">
        <f t="shared" si="28"/>
        <v>API - Intercompany</v>
      </c>
      <c r="B513" s="33" t="str">
        <f t="shared" si="29"/>
        <v>API</v>
      </c>
      <c r="C513" s="33" t="str">
        <f t="shared" si="30"/>
        <v>11365-0000</v>
      </c>
      <c r="D513" t="s">
        <v>16206</v>
      </c>
      <c r="E513" t="s">
        <v>14170</v>
      </c>
      <c r="F513" s="69" t="s">
        <v>14039</v>
      </c>
      <c r="G513" t="s">
        <v>14672</v>
      </c>
      <c r="H513" t="s">
        <v>13869</v>
      </c>
      <c r="I513" t="s">
        <v>14690</v>
      </c>
      <c r="J513" s="70">
        <v>0</v>
      </c>
      <c r="K513" s="71">
        <v>0</v>
      </c>
      <c r="L513" t="e">
        <f>VLOOKUP(VALUE(LEFT(C513,5)),Xref!A:B,2,0)</f>
        <v>#N/A</v>
      </c>
      <c r="M513" t="e">
        <f t="shared" si="31"/>
        <v>#N/A</v>
      </c>
    </row>
    <row r="514" spans="1:13" ht="14.25" customHeight="true">
      <c r="A514" s="33" t="str">
        <f t="shared" ref="A514:A577" si="32">B514&amp;" - "&amp;TRIM(H514)</f>
        <v>API - Intercompany</v>
      </c>
      <c r="B514" s="33" t="str">
        <f t="shared" ref="B514:B577" si="33">LEFT(D514,3)</f>
        <v>API</v>
      </c>
      <c r="C514" s="33" t="str">
        <f t="shared" ref="C514:C577" si="34">RIGHT(D514,10)</f>
        <v>11366-0000</v>
      </c>
      <c r="D514" t="s">
        <v>16207</v>
      </c>
      <c r="E514" t="s">
        <v>14172</v>
      </c>
      <c r="F514" s="69"/>
      <c r="G514" t="s">
        <v>14672</v>
      </c>
      <c r="H514" t="s">
        <v>13869</v>
      </c>
      <c r="I514" t="s">
        <v>14690</v>
      </c>
      <c r="J514" s="70">
        <v>0</v>
      </c>
      <c r="K514" s="71">
        <v>0</v>
      </c>
      <c r="L514" t="e">
        <f>VLOOKUP(VALUE(LEFT(C514,5)),Xref!A:B,2,0)</f>
        <v>#N/A</v>
      </c>
      <c r="M514" t="e">
        <f t="shared" ref="M514:M577" si="35">IF(B514&lt;L514,B514&amp;"-"&amp;L514,L514&amp;"-"&amp;B514)</f>
        <v>#N/A</v>
      </c>
    </row>
    <row r="515" spans="1:13" ht="14.25" customHeight="true">
      <c r="A515" s="33" t="str">
        <f t="shared" si="32"/>
        <v>API - Intercompany</v>
      </c>
      <c r="B515" s="33" t="str">
        <f t="shared" si="33"/>
        <v>API</v>
      </c>
      <c r="C515" s="33" t="str">
        <f t="shared" si="34"/>
        <v>11402-0000</v>
      </c>
      <c r="D515" t="s">
        <v>16208</v>
      </c>
      <c r="E515" t="s">
        <v>14174</v>
      </c>
      <c r="F515" s="69"/>
      <c r="G515" t="s">
        <v>14672</v>
      </c>
      <c r="H515" t="s">
        <v>13869</v>
      </c>
      <c r="I515" t="s">
        <v>14690</v>
      </c>
      <c r="J515" s="70">
        <v>0</v>
      </c>
      <c r="K515" s="71">
        <v>0</v>
      </c>
      <c r="L515" t="str">
        <f>VLOOKUP(VALUE(LEFT(C515,5)),Xref!A:B,2,0)</f>
        <v>DPI</v>
      </c>
      <c r="M515" t="str">
        <f t="shared" si="35"/>
        <v>API-DPI</v>
      </c>
    </row>
    <row r="516" spans="1:13" ht="14.25" customHeight="true">
      <c r="A516" s="33" t="str">
        <f t="shared" si="32"/>
        <v>API - Intercompany</v>
      </c>
      <c r="B516" s="33" t="str">
        <f t="shared" si="33"/>
        <v>API</v>
      </c>
      <c r="C516" s="33" t="str">
        <f t="shared" si="34"/>
        <v>11403-0000</v>
      </c>
      <c r="D516" t="s">
        <v>16209</v>
      </c>
      <c r="E516" t="s">
        <v>14176</v>
      </c>
      <c r="F516" s="69"/>
      <c r="G516" t="s">
        <v>14672</v>
      </c>
      <c r="H516" t="s">
        <v>13869</v>
      </c>
      <c r="I516" t="s">
        <v>14690</v>
      </c>
      <c r="J516" s="70">
        <v>0</v>
      </c>
      <c r="K516" s="71">
        <v>0</v>
      </c>
      <c r="L516" t="str">
        <f>VLOOKUP(VALUE(LEFT(C516,5)),Xref!A:B,2,0)</f>
        <v>SEA</v>
      </c>
      <c r="M516" t="str">
        <f t="shared" si="35"/>
        <v>API-SEA</v>
      </c>
    </row>
    <row r="517" spans="1:13" ht="14.25" customHeight="true">
      <c r="A517" s="33" t="str">
        <f t="shared" si="32"/>
        <v>API - Intercompany</v>
      </c>
      <c r="B517" s="33" t="str">
        <f t="shared" si="33"/>
        <v>API</v>
      </c>
      <c r="C517" s="33" t="str">
        <f t="shared" si="34"/>
        <v>12400-0000</v>
      </c>
      <c r="D517" t="s">
        <v>16211</v>
      </c>
      <c r="E517" t="s">
        <v>14185</v>
      </c>
      <c r="F517" s="69" t="s">
        <v>14039</v>
      </c>
      <c r="G517" t="s">
        <v>14672</v>
      </c>
      <c r="H517" t="s">
        <v>13869</v>
      </c>
      <c r="I517" t="s">
        <v>14690</v>
      </c>
      <c r="J517" s="70">
        <v>0</v>
      </c>
      <c r="K517" s="71">
        <v>0</v>
      </c>
      <c r="L517" t="str">
        <f>VLOOKUP(VALUE(LEFT(C517,5)),Xref!A:B,2,0)</f>
        <v>aka</v>
      </c>
      <c r="M517" t="str">
        <f t="shared" si="35"/>
        <v>aka-API</v>
      </c>
    </row>
    <row r="518" spans="1:13" ht="14.25" customHeight="true">
      <c r="A518" s="33" t="str">
        <f t="shared" si="32"/>
        <v>API - Intercompany</v>
      </c>
      <c r="B518" s="33" t="str">
        <f t="shared" si="33"/>
        <v>API</v>
      </c>
      <c r="C518" s="33" t="str">
        <f t="shared" si="34"/>
        <v>12401-0000</v>
      </c>
      <c r="D518" t="s">
        <v>16212</v>
      </c>
      <c r="E518" t="s">
        <v>14187</v>
      </c>
      <c r="F518" s="69" t="s">
        <v>14039</v>
      </c>
      <c r="G518" t="s">
        <v>14672</v>
      </c>
      <c r="H518" t="s">
        <v>13869</v>
      </c>
      <c r="I518" t="s">
        <v>14690</v>
      </c>
      <c r="J518" s="70">
        <v>0</v>
      </c>
      <c r="K518" s="71">
        <v>0</v>
      </c>
      <c r="L518" t="str">
        <f>VLOOKUP(VALUE(LEFT(C518,5)),Xref!A:B,2,0)</f>
        <v>aka</v>
      </c>
      <c r="M518" t="str">
        <f t="shared" si="35"/>
        <v>aka-API</v>
      </c>
    </row>
    <row r="519" spans="1:13" ht="14.25" customHeight="true">
      <c r="A519" s="33" t="str">
        <f t="shared" si="32"/>
        <v>API - Intercompany</v>
      </c>
      <c r="B519" s="33" t="str">
        <f t="shared" si="33"/>
        <v>API</v>
      </c>
      <c r="C519" s="33" t="str">
        <f t="shared" si="34"/>
        <v>12402-0000</v>
      </c>
      <c r="D519" t="s">
        <v>16213</v>
      </c>
      <c r="E519" t="s">
        <v>14189</v>
      </c>
      <c r="F519" s="69" t="s">
        <v>14039</v>
      </c>
      <c r="G519" t="s">
        <v>14672</v>
      </c>
      <c r="H519" t="s">
        <v>13869</v>
      </c>
      <c r="I519" t="s">
        <v>14690</v>
      </c>
      <c r="J519" s="70">
        <v>0</v>
      </c>
      <c r="K519" s="71">
        <v>0</v>
      </c>
      <c r="L519" t="str">
        <f>VLOOKUP(VALUE(LEFT(C519,5)),Xref!A:B,2,0)</f>
        <v>aka</v>
      </c>
      <c r="M519" t="str">
        <f t="shared" si="35"/>
        <v>aka-API</v>
      </c>
    </row>
    <row r="520" spans="1:13" ht="14.25" customHeight="true">
      <c r="A520" s="33" t="str">
        <f t="shared" si="32"/>
        <v>API - Intercompany</v>
      </c>
      <c r="B520" s="33" t="str">
        <f t="shared" si="33"/>
        <v>API</v>
      </c>
      <c r="C520" s="33" t="str">
        <f t="shared" si="34"/>
        <v>12403-0000</v>
      </c>
      <c r="D520" t="s">
        <v>16214</v>
      </c>
      <c r="E520" t="s">
        <v>5226</v>
      </c>
      <c r="F520" s="69" t="s">
        <v>14039</v>
      </c>
      <c r="G520" t="s">
        <v>14672</v>
      </c>
      <c r="H520" t="s">
        <v>13869</v>
      </c>
      <c r="I520" t="s">
        <v>14690</v>
      </c>
      <c r="J520" s="70">
        <v>0</v>
      </c>
      <c r="K520" s="71">
        <v>0</v>
      </c>
      <c r="L520" t="str">
        <f>VLOOKUP(VALUE(LEFT(C520,5)),Xref!A:B,2,0)</f>
        <v>aka</v>
      </c>
      <c r="M520" t="str">
        <f t="shared" si="35"/>
        <v>aka-API</v>
      </c>
    </row>
    <row r="521" spans="1:13" ht="14.25" customHeight="true">
      <c r="A521" s="33" t="str">
        <f t="shared" si="32"/>
        <v>API - Intercompany</v>
      </c>
      <c r="B521" s="33" t="str">
        <f t="shared" si="33"/>
        <v>API</v>
      </c>
      <c r="C521" s="33" t="str">
        <f t="shared" si="34"/>
        <v>12501-0000</v>
      </c>
      <c r="D521" t="s">
        <v>16215</v>
      </c>
      <c r="E521" t="s">
        <v>14192</v>
      </c>
      <c r="F521" s="69" t="s">
        <v>14039</v>
      </c>
      <c r="G521" t="s">
        <v>14672</v>
      </c>
      <c r="H521" t="s">
        <v>13869</v>
      </c>
      <c r="I521" t="s">
        <v>14690</v>
      </c>
      <c r="J521" s="70">
        <v>0</v>
      </c>
      <c r="K521" s="71">
        <v>0</v>
      </c>
      <c r="L521" t="str">
        <f>VLOOKUP(VALUE(LEFT(C521,5)),Xref!A:B,2,0)</f>
        <v>aka</v>
      </c>
      <c r="M521" t="str">
        <f t="shared" si="35"/>
        <v>aka-API</v>
      </c>
    </row>
    <row r="522" spans="1:13" ht="14.25" customHeight="true">
      <c r="A522" s="33" t="str">
        <f t="shared" si="32"/>
        <v>API - InterCo Notes</v>
      </c>
      <c r="B522" s="33" t="str">
        <f t="shared" si="33"/>
        <v>API</v>
      </c>
      <c r="C522" s="33" t="str">
        <f t="shared" si="34"/>
        <v>25600-0000</v>
      </c>
      <c r="D522" t="s">
        <v>16256</v>
      </c>
      <c r="E522" t="s">
        <v>314</v>
      </c>
      <c r="F522" s="69" t="s">
        <v>14039</v>
      </c>
      <c r="G522" t="s">
        <v>14672</v>
      </c>
      <c r="H522" t="s">
        <v>13889</v>
      </c>
      <c r="I522" t="s">
        <v>14690</v>
      </c>
      <c r="J522" s="70">
        <v>0</v>
      </c>
      <c r="K522" s="71">
        <v>0</v>
      </c>
      <c r="L522" t="str">
        <f>VLOOKUP(VALUE(LEFT(C522,5)),Xref!A:B,2,0)</f>
        <v>D7</v>
      </c>
      <c r="M522" t="str">
        <f t="shared" si="35"/>
        <v>API-D7</v>
      </c>
    </row>
    <row r="523" spans="1:13" ht="14.25" customHeight="true">
      <c r="A523" s="33" t="str">
        <f t="shared" si="32"/>
        <v>API - InterCo Notes</v>
      </c>
      <c r="B523" s="33" t="str">
        <f t="shared" si="33"/>
        <v>API</v>
      </c>
      <c r="C523" s="33" t="str">
        <f t="shared" si="34"/>
        <v>25602-0000</v>
      </c>
      <c r="D523" t="s">
        <v>13425</v>
      </c>
      <c r="E523" t="s">
        <v>13426</v>
      </c>
      <c r="F523" s="69" t="s">
        <v>14039</v>
      </c>
      <c r="G523" t="s">
        <v>14672</v>
      </c>
      <c r="H523" t="s">
        <v>13889</v>
      </c>
      <c r="I523" t="s">
        <v>14690</v>
      </c>
      <c r="J523" s="70">
        <v>0</v>
      </c>
      <c r="K523" s="71">
        <v>-13674704.79</v>
      </c>
      <c r="L523" t="str">
        <f>VLOOKUP(VALUE(LEFT(C523,5)),Xref!A:B,2,0)</f>
        <v>DFLP</v>
      </c>
      <c r="M523" t="str">
        <f t="shared" si="35"/>
        <v>API-DFLP</v>
      </c>
    </row>
    <row r="524" spans="1:13" ht="14.25" customHeight="true">
      <c r="A524" s="33" t="str">
        <f t="shared" si="32"/>
        <v>API - InterCo Notes</v>
      </c>
      <c r="B524" s="33" t="str">
        <f t="shared" si="33"/>
        <v>API</v>
      </c>
      <c r="C524" s="33" t="str">
        <f t="shared" si="34"/>
        <v>25603-0000</v>
      </c>
      <c r="D524" t="s">
        <v>16258</v>
      </c>
      <c r="E524" t="s">
        <v>14311</v>
      </c>
      <c r="F524" s="69" t="s">
        <v>14039</v>
      </c>
      <c r="G524" t="s">
        <v>14832</v>
      </c>
      <c r="H524" t="s">
        <v>13889</v>
      </c>
      <c r="I524" t="s">
        <v>14690</v>
      </c>
      <c r="J524" s="70">
        <v>0</v>
      </c>
      <c r="K524" s="71">
        <v>0</v>
      </c>
      <c r="L524" t="str">
        <f>VLOOKUP(VALUE(LEFT(C524,5)),Xref!A:B,2,0)</f>
        <v>aka</v>
      </c>
      <c r="M524" t="str">
        <f t="shared" si="35"/>
        <v>aka-API</v>
      </c>
    </row>
    <row r="525" spans="1:13" ht="14.25" customHeight="true">
      <c r="A525" s="33" t="str">
        <f t="shared" si="32"/>
        <v>API - Intercompany</v>
      </c>
      <c r="B525" s="33" t="str">
        <f t="shared" si="33"/>
        <v>API</v>
      </c>
      <c r="C525" s="33" t="str">
        <f t="shared" si="34"/>
        <v>25604-0000</v>
      </c>
      <c r="D525" t="s">
        <v>16259</v>
      </c>
      <c r="E525" t="s">
        <v>13490</v>
      </c>
      <c r="F525" s="69" t="s">
        <v>14039</v>
      </c>
      <c r="G525" t="s">
        <v>14672</v>
      </c>
      <c r="H525" t="s">
        <v>13869</v>
      </c>
      <c r="I525" t="s">
        <v>14690</v>
      </c>
      <c r="J525" s="70">
        <v>0</v>
      </c>
      <c r="K525" s="71">
        <v>0</v>
      </c>
      <c r="L525">
        <f>VLOOKUP(VALUE(LEFT(C525,5)),Xref!A:B,2,0)</f>
        <v>0</v>
      </c>
      <c r="M525" t="str">
        <f t="shared" si="35"/>
        <v>0-API</v>
      </c>
    </row>
    <row r="526" spans="1:13" ht="14.25" customHeight="true">
      <c r="A526" s="33" t="str">
        <f t="shared" si="32"/>
        <v>BET - Intercompany</v>
      </c>
      <c r="B526" s="33" t="str">
        <f t="shared" si="33"/>
        <v>BET</v>
      </c>
      <c r="C526" s="33" t="str">
        <f t="shared" si="34"/>
        <v>11200-0000</v>
      </c>
      <c r="D526" t="s">
        <v>16375</v>
      </c>
      <c r="E526" t="s">
        <v>14069</v>
      </c>
      <c r="F526" s="69" t="s">
        <v>14039</v>
      </c>
      <c r="G526" t="s">
        <v>14672</v>
      </c>
      <c r="H526" t="s">
        <v>13869</v>
      </c>
      <c r="I526" t="s">
        <v>14690</v>
      </c>
      <c r="J526" s="70">
        <v>0</v>
      </c>
      <c r="K526" s="71">
        <v>0</v>
      </c>
      <c r="L526" t="str">
        <f>VLOOKUP(VALUE(LEFT(C526,5)),Xref!A:B,2,0)</f>
        <v>SCL</v>
      </c>
      <c r="M526" t="str">
        <f t="shared" si="35"/>
        <v>BET-SCL</v>
      </c>
    </row>
    <row r="527" spans="1:13" ht="14.25" customHeight="true">
      <c r="A527" s="33" t="str">
        <f t="shared" si="32"/>
        <v>BET - Intercompany</v>
      </c>
      <c r="B527" s="33" t="str">
        <f t="shared" si="33"/>
        <v>BET</v>
      </c>
      <c r="C527" s="33" t="str">
        <f t="shared" si="34"/>
        <v>11201-0000</v>
      </c>
      <c r="D527" t="s">
        <v>16376</v>
      </c>
      <c r="E527" t="s">
        <v>14071</v>
      </c>
      <c r="F527" s="69" t="s">
        <v>14039</v>
      </c>
      <c r="G527" t="s">
        <v>14672</v>
      </c>
      <c r="H527" t="s">
        <v>13869</v>
      </c>
      <c r="I527" t="s">
        <v>14690</v>
      </c>
      <c r="J527" s="70">
        <v>0</v>
      </c>
      <c r="K527" s="71">
        <v>0</v>
      </c>
      <c r="L527" t="str">
        <f>VLOOKUP(VALUE(LEFT(C527,5)),Xref!A:B,2,0)</f>
        <v>SG2</v>
      </c>
      <c r="M527" t="str">
        <f t="shared" si="35"/>
        <v>BET-SG2</v>
      </c>
    </row>
    <row r="528" spans="1:13" ht="14.25" customHeight="true">
      <c r="A528" s="33" t="str">
        <f t="shared" si="32"/>
        <v>BET - Intercompany</v>
      </c>
      <c r="B528" s="33" t="str">
        <f t="shared" si="33"/>
        <v>BET</v>
      </c>
      <c r="C528" s="33" t="str">
        <f t="shared" si="34"/>
        <v>11202-0000</v>
      </c>
      <c r="D528" t="s">
        <v>16377</v>
      </c>
      <c r="E528" t="s">
        <v>14073</v>
      </c>
      <c r="F528" s="69" t="s">
        <v>14039</v>
      </c>
      <c r="G528" t="s">
        <v>14672</v>
      </c>
      <c r="H528" t="s">
        <v>13869</v>
      </c>
      <c r="I528" t="s">
        <v>14690</v>
      </c>
      <c r="J528" s="70">
        <v>0</v>
      </c>
      <c r="K528" s="71">
        <v>0</v>
      </c>
      <c r="L528" t="str">
        <f>VLOOKUP(VALUE(LEFT(C528,5)),Xref!A:B,2,0)</f>
        <v>FFC</v>
      </c>
      <c r="M528" t="str">
        <f t="shared" si="35"/>
        <v>BET-FFC</v>
      </c>
    </row>
    <row r="529" spans="1:13" ht="14.25" customHeight="true">
      <c r="A529" s="33" t="str">
        <f t="shared" si="32"/>
        <v>BET - Intercompany</v>
      </c>
      <c r="B529" s="33" t="str">
        <f t="shared" si="33"/>
        <v>BET</v>
      </c>
      <c r="C529" s="33" t="str">
        <f t="shared" si="34"/>
        <v>11203-0000</v>
      </c>
      <c r="D529" t="s">
        <v>16378</v>
      </c>
      <c r="E529" t="s">
        <v>14075</v>
      </c>
      <c r="F529" s="69" t="s">
        <v>14039</v>
      </c>
      <c r="G529" t="s">
        <v>14672</v>
      </c>
      <c r="H529" t="s">
        <v>13869</v>
      </c>
      <c r="I529" t="s">
        <v>14690</v>
      </c>
      <c r="J529" s="70">
        <v>0</v>
      </c>
      <c r="K529" s="71">
        <v>0</v>
      </c>
      <c r="L529" t="str">
        <f>VLOOKUP(VALUE(LEFT(C529,5)),Xref!A:B,2,0)</f>
        <v>HN2</v>
      </c>
      <c r="M529" t="str">
        <f t="shared" si="35"/>
        <v>BET-HN2</v>
      </c>
    </row>
    <row r="530" spans="1:13" ht="14.25" customHeight="true">
      <c r="A530" s="33" t="str">
        <f t="shared" si="32"/>
        <v>BET - Intercompany</v>
      </c>
      <c r="B530" s="33" t="str">
        <f t="shared" si="33"/>
        <v>BET</v>
      </c>
      <c r="C530" s="33" t="str">
        <f t="shared" si="34"/>
        <v>11204-0000</v>
      </c>
      <c r="D530" t="s">
        <v>16379</v>
      </c>
      <c r="E530" t="s">
        <v>14077</v>
      </c>
      <c r="F530" s="69" t="s">
        <v>14039</v>
      </c>
      <c r="G530" t="s">
        <v>14672</v>
      </c>
      <c r="H530" t="s">
        <v>13869</v>
      </c>
      <c r="I530" t="s">
        <v>14690</v>
      </c>
      <c r="J530" s="70">
        <v>0</v>
      </c>
      <c r="K530" s="71">
        <v>0</v>
      </c>
      <c r="L530" t="str">
        <f>VLOOKUP(VALUE(LEFT(C530,5)),Xref!A:B,2,0)</f>
        <v>DF2</v>
      </c>
      <c r="M530" t="str">
        <f t="shared" si="35"/>
        <v>BET-DF2</v>
      </c>
    </row>
    <row r="531" spans="1:13" ht="14.25" customHeight="true">
      <c r="A531" s="33" t="str">
        <f t="shared" si="32"/>
        <v>BET - Intercompany</v>
      </c>
      <c r="B531" s="33" t="str">
        <f t="shared" si="33"/>
        <v>BET</v>
      </c>
      <c r="C531" s="33" t="str">
        <f t="shared" si="34"/>
        <v>11208-0000</v>
      </c>
      <c r="D531" t="s">
        <v>16380</v>
      </c>
      <c r="E531" t="s">
        <v>14079</v>
      </c>
      <c r="F531" s="69" t="s">
        <v>14039</v>
      </c>
      <c r="G531" t="s">
        <v>14672</v>
      </c>
      <c r="H531" t="s">
        <v>13869</v>
      </c>
      <c r="I531" t="s">
        <v>14690</v>
      </c>
      <c r="J531" s="70">
        <v>0</v>
      </c>
      <c r="K531" s="71">
        <v>4208.02</v>
      </c>
      <c r="L531" t="str">
        <f>VLOOKUP(VALUE(LEFT(C531,5)),Xref!A:B,2,0)</f>
        <v>SRE</v>
      </c>
      <c r="M531" t="str">
        <f t="shared" si="35"/>
        <v>BET-SRE</v>
      </c>
    </row>
    <row r="532" spans="1:13" ht="14.25" customHeight="true">
      <c r="A532" s="33" t="str">
        <f t="shared" si="32"/>
        <v>BET - Intercompany</v>
      </c>
      <c r="B532" s="33" t="str">
        <f t="shared" si="33"/>
        <v>BET</v>
      </c>
      <c r="C532" s="33" t="str">
        <f t="shared" si="34"/>
        <v>11210-0000</v>
      </c>
      <c r="D532" t="s">
        <v>16381</v>
      </c>
      <c r="E532" t="s">
        <v>14081</v>
      </c>
      <c r="F532" s="69" t="s">
        <v>14039</v>
      </c>
      <c r="G532" t="s">
        <v>14672</v>
      </c>
      <c r="H532" t="s">
        <v>13869</v>
      </c>
      <c r="I532" t="s">
        <v>14690</v>
      </c>
      <c r="J532" s="70">
        <v>0</v>
      </c>
      <c r="K532" s="71">
        <v>0</v>
      </c>
      <c r="L532" t="str">
        <f>VLOOKUP(VALUE(LEFT(C532,5)),Xref!A:B,2,0)</f>
        <v>REM</v>
      </c>
      <c r="M532" t="str">
        <f t="shared" si="35"/>
        <v>BET-REM</v>
      </c>
    </row>
    <row r="533" spans="1:13" ht="14.25" customHeight="true">
      <c r="A533" s="33" t="str">
        <f t="shared" si="32"/>
        <v>BET - Intercompany</v>
      </c>
      <c r="B533" s="33" t="str">
        <f t="shared" si="33"/>
        <v>BET</v>
      </c>
      <c r="C533" s="33" t="str">
        <f t="shared" si="34"/>
        <v>11212-0000</v>
      </c>
      <c r="D533" t="s">
        <v>16382</v>
      </c>
      <c r="E533" t="s">
        <v>14083</v>
      </c>
      <c r="F533" s="69" t="s">
        <v>14039</v>
      </c>
      <c r="G533" t="s">
        <v>14672</v>
      </c>
      <c r="H533" t="s">
        <v>13869</v>
      </c>
      <c r="I533" t="s">
        <v>14690</v>
      </c>
      <c r="J533" s="70">
        <v>0</v>
      </c>
      <c r="K533" s="71">
        <v>0</v>
      </c>
      <c r="L533" t="str">
        <f>VLOOKUP(VALUE(LEFT(C533,5)),Xref!A:B,2,0)</f>
        <v>FRM</v>
      </c>
      <c r="M533" t="str">
        <f t="shared" si="35"/>
        <v>BET-FRM</v>
      </c>
    </row>
    <row r="534" spans="1:13" ht="14.25" customHeight="true">
      <c r="A534" s="33" t="str">
        <f t="shared" si="32"/>
        <v>BET - Intercompany</v>
      </c>
      <c r="B534" s="33" t="str">
        <f t="shared" si="33"/>
        <v>BET</v>
      </c>
      <c r="C534" s="33" t="str">
        <f t="shared" si="34"/>
        <v>11214-0000</v>
      </c>
      <c r="D534" t="s">
        <v>16383</v>
      </c>
      <c r="E534" t="s">
        <v>14085</v>
      </c>
      <c r="F534" s="69" t="s">
        <v>14039</v>
      </c>
      <c r="G534" t="s">
        <v>14672</v>
      </c>
      <c r="H534" t="s">
        <v>13869</v>
      </c>
      <c r="I534" t="s">
        <v>14690</v>
      </c>
      <c r="J534" s="70">
        <v>0</v>
      </c>
      <c r="K534" s="71">
        <v>0</v>
      </c>
      <c r="L534" t="str">
        <f>VLOOKUP(VALUE(LEFT(C534,5)),Xref!A:B,2,0)</f>
        <v>D7R</v>
      </c>
      <c r="M534" t="str">
        <f t="shared" si="35"/>
        <v>BET-D7R</v>
      </c>
    </row>
    <row r="535" spans="1:13" ht="14.25" customHeight="true">
      <c r="A535" s="33" t="str">
        <f t="shared" si="32"/>
        <v>BET - Intercompany</v>
      </c>
      <c r="B535" s="33" t="str">
        <f t="shared" si="33"/>
        <v>BET</v>
      </c>
      <c r="C535" s="33" t="str">
        <f t="shared" si="34"/>
        <v>11215-0000</v>
      </c>
      <c r="D535" t="s">
        <v>16384</v>
      </c>
      <c r="E535" t="s">
        <v>14087</v>
      </c>
      <c r="F535" s="69" t="s">
        <v>14039</v>
      </c>
      <c r="G535" t="s">
        <v>14672</v>
      </c>
      <c r="H535" t="s">
        <v>13869</v>
      </c>
      <c r="I535" t="s">
        <v>14690</v>
      </c>
      <c r="J535" s="70">
        <v>0</v>
      </c>
      <c r="K535" s="71">
        <v>0</v>
      </c>
      <c r="L535" t="str">
        <f>VLOOKUP(VALUE(LEFT(C535,5)),Xref!A:B,2,0)</f>
        <v>CDP</v>
      </c>
      <c r="M535" t="str">
        <f t="shared" si="35"/>
        <v>BET-CDP</v>
      </c>
    </row>
    <row r="536" spans="1:13" ht="14.25" customHeight="true">
      <c r="A536" s="33" t="str">
        <f t="shared" si="32"/>
        <v>BET - Intercompany</v>
      </c>
      <c r="B536" s="33" t="str">
        <f t="shared" si="33"/>
        <v>BET</v>
      </c>
      <c r="C536" s="33" t="str">
        <f t="shared" si="34"/>
        <v>11216-0000</v>
      </c>
      <c r="D536" t="s">
        <v>469</v>
      </c>
      <c r="E536" t="s">
        <v>13224</v>
      </c>
      <c r="F536" s="69" t="s">
        <v>14039</v>
      </c>
      <c r="G536" t="s">
        <v>14672</v>
      </c>
      <c r="H536" t="s">
        <v>13869</v>
      </c>
      <c r="I536" t="s">
        <v>14690</v>
      </c>
      <c r="J536" s="70">
        <v>929.18</v>
      </c>
      <c r="K536" s="71">
        <v>56417.6</v>
      </c>
      <c r="L536" t="str">
        <f>VLOOKUP(VALUE(LEFT(C536,5)),Xref!A:B,2,0)</f>
        <v>SIL</v>
      </c>
      <c r="M536" t="str">
        <f t="shared" si="35"/>
        <v>BET-SIL</v>
      </c>
    </row>
    <row r="537" spans="1:13" ht="14.25" customHeight="true">
      <c r="A537" s="33" t="str">
        <f t="shared" si="32"/>
        <v>BET - Intercompany</v>
      </c>
      <c r="B537" s="33" t="str">
        <f t="shared" si="33"/>
        <v>BET</v>
      </c>
      <c r="C537" s="33" t="str">
        <f t="shared" si="34"/>
        <v>11232-0000</v>
      </c>
      <c r="D537" t="s">
        <v>16385</v>
      </c>
      <c r="E537" t="s">
        <v>12486</v>
      </c>
      <c r="F537" s="69" t="s">
        <v>14039</v>
      </c>
      <c r="G537" t="s">
        <v>14672</v>
      </c>
      <c r="H537" t="s">
        <v>13869</v>
      </c>
      <c r="I537" t="s">
        <v>14690</v>
      </c>
      <c r="J537" s="70">
        <v>0</v>
      </c>
      <c r="K537" s="71">
        <v>0</v>
      </c>
      <c r="L537" t="str">
        <f>VLOOKUP(VALUE(LEFT(C537,5)),Xref!A:B,2,0)</f>
        <v>SC2</v>
      </c>
      <c r="M537" t="str">
        <f t="shared" si="35"/>
        <v>BET-SC2</v>
      </c>
    </row>
    <row r="538" spans="1:13" ht="14.25" customHeight="true">
      <c r="A538" s="33" t="str">
        <f t="shared" si="32"/>
        <v>BET - Intercompany</v>
      </c>
      <c r="B538" s="33" t="str">
        <f t="shared" si="33"/>
        <v>BET</v>
      </c>
      <c r="C538" s="33" t="str">
        <f t="shared" si="34"/>
        <v>11301-0000</v>
      </c>
      <c r="D538" t="s">
        <v>16386</v>
      </c>
      <c r="E538" t="s">
        <v>13225</v>
      </c>
      <c r="F538" s="69" t="s">
        <v>14039</v>
      </c>
      <c r="G538" t="s">
        <v>14672</v>
      </c>
      <c r="H538" t="s">
        <v>13869</v>
      </c>
      <c r="I538" t="s">
        <v>14690</v>
      </c>
      <c r="J538" s="70">
        <v>0</v>
      </c>
      <c r="K538" s="71">
        <v>0</v>
      </c>
      <c r="L538" t="str">
        <f>VLOOKUP(VALUE(LEFT(C538,5)),Xref!A:B,2,0)</f>
        <v>CRE</v>
      </c>
      <c r="M538" t="str">
        <f t="shared" si="35"/>
        <v>BET-CRE</v>
      </c>
    </row>
    <row r="539" spans="1:13" ht="14.25" customHeight="true">
      <c r="A539" s="33" t="str">
        <f t="shared" si="32"/>
        <v>BET - Intercompany</v>
      </c>
      <c r="B539" s="33" t="str">
        <f t="shared" si="33"/>
        <v>BET</v>
      </c>
      <c r="C539" s="33" t="str">
        <f t="shared" si="34"/>
        <v>11302-0000</v>
      </c>
      <c r="D539" t="s">
        <v>16387</v>
      </c>
      <c r="E539" t="s">
        <v>13226</v>
      </c>
      <c r="F539" s="69" t="s">
        <v>14039</v>
      </c>
      <c r="G539" t="s">
        <v>14672</v>
      </c>
      <c r="H539" t="s">
        <v>13869</v>
      </c>
      <c r="I539" t="s">
        <v>14690</v>
      </c>
      <c r="J539" s="70">
        <v>0</v>
      </c>
      <c r="K539" s="71">
        <v>0</v>
      </c>
      <c r="L539" t="str">
        <f>VLOOKUP(VALUE(LEFT(C539,5)),Xref!A:B,2,0)</f>
        <v>CHA</v>
      </c>
      <c r="M539" t="str">
        <f t="shared" si="35"/>
        <v>BET-CHA</v>
      </c>
    </row>
    <row r="540" spans="1:13" ht="14.25" customHeight="true">
      <c r="A540" s="33" t="str">
        <f t="shared" si="32"/>
        <v>BET - Intercompany</v>
      </c>
      <c r="B540" s="33" t="str">
        <f t="shared" si="33"/>
        <v>BET</v>
      </c>
      <c r="C540" s="33" t="str">
        <f t="shared" si="34"/>
        <v>11303-0000</v>
      </c>
      <c r="D540" t="s">
        <v>470</v>
      </c>
      <c r="E540" t="s">
        <v>13227</v>
      </c>
      <c r="F540" s="69" t="s">
        <v>14039</v>
      </c>
      <c r="G540" t="s">
        <v>14672</v>
      </c>
      <c r="H540" t="s">
        <v>13869</v>
      </c>
      <c r="I540" t="s">
        <v>14690</v>
      </c>
      <c r="J540" s="70">
        <v>0</v>
      </c>
      <c r="K540" s="71">
        <v>-15000</v>
      </c>
      <c r="L540" t="str">
        <f>VLOOKUP(VALUE(LEFT(C540,5)),Xref!A:B,2,0)</f>
        <v>DIA</v>
      </c>
      <c r="M540" t="str">
        <f t="shared" si="35"/>
        <v>BET-DIA</v>
      </c>
    </row>
    <row r="541" spans="1:13" ht="14.25" customHeight="true">
      <c r="A541" s="33" t="str">
        <f t="shared" si="32"/>
        <v>BET - Intercompany</v>
      </c>
      <c r="B541" s="33" t="str">
        <f t="shared" si="33"/>
        <v>BET</v>
      </c>
      <c r="C541" s="33" t="str">
        <f t="shared" si="34"/>
        <v>11304-0000</v>
      </c>
      <c r="D541" t="s">
        <v>16388</v>
      </c>
      <c r="E541" t="s">
        <v>13228</v>
      </c>
      <c r="F541" s="69" t="s">
        <v>14039</v>
      </c>
      <c r="G541" t="s">
        <v>14672</v>
      </c>
      <c r="H541" t="s">
        <v>13869</v>
      </c>
      <c r="I541" t="s">
        <v>14690</v>
      </c>
      <c r="J541" s="70">
        <v>0</v>
      </c>
      <c r="K541" s="71">
        <v>0</v>
      </c>
      <c r="L541" t="str">
        <f>VLOOKUP(VALUE(LEFT(C541,5)),Xref!A:B,2,0)</f>
        <v>EAG</v>
      </c>
      <c r="M541" t="str">
        <f t="shared" si="35"/>
        <v>BET-EAG</v>
      </c>
    </row>
    <row r="542" spans="1:13" ht="14.25" customHeight="true">
      <c r="A542" s="33" t="str">
        <f t="shared" si="32"/>
        <v>BET - Intercompany</v>
      </c>
      <c r="B542" s="33" t="str">
        <f t="shared" si="33"/>
        <v>BET</v>
      </c>
      <c r="C542" s="33" t="str">
        <f t="shared" si="34"/>
        <v>11305-0000</v>
      </c>
      <c r="D542" t="s">
        <v>16389</v>
      </c>
      <c r="E542" t="s">
        <v>13229</v>
      </c>
      <c r="F542" s="69" t="s">
        <v>14039</v>
      </c>
      <c r="G542" t="s">
        <v>14672</v>
      </c>
      <c r="H542" t="s">
        <v>13869</v>
      </c>
      <c r="I542" t="s">
        <v>14690</v>
      </c>
      <c r="J542" s="70">
        <v>0</v>
      </c>
      <c r="K542" s="71">
        <v>0</v>
      </c>
      <c r="L542" t="str">
        <f>VLOOKUP(VALUE(LEFT(C542,5)),Xref!A:B,2,0)</f>
        <v>NEW</v>
      </c>
      <c r="M542" t="str">
        <f t="shared" si="35"/>
        <v>BET-NEW</v>
      </c>
    </row>
    <row r="543" spans="1:13" ht="14.25" customHeight="true">
      <c r="A543" s="33" t="str">
        <f t="shared" si="32"/>
        <v>BET - Intercompany</v>
      </c>
      <c r="B543" s="33" t="str">
        <f t="shared" si="33"/>
        <v>BET</v>
      </c>
      <c r="C543" s="33" t="str">
        <f t="shared" si="34"/>
        <v>11307-0000</v>
      </c>
      <c r="D543" t="s">
        <v>16390</v>
      </c>
      <c r="E543" t="s">
        <v>14096</v>
      </c>
      <c r="F543" s="69" t="s">
        <v>14039</v>
      </c>
      <c r="G543" t="s">
        <v>14672</v>
      </c>
      <c r="H543" t="s">
        <v>13869</v>
      </c>
      <c r="I543" t="s">
        <v>14690</v>
      </c>
      <c r="J543" s="70">
        <v>0</v>
      </c>
      <c r="K543" s="71">
        <v>0</v>
      </c>
      <c r="L543" t="str">
        <f>VLOOKUP(VALUE(LEFT(C543,5)),Xref!A:B,2,0)</f>
        <v>NES</v>
      </c>
      <c r="M543" t="str">
        <f t="shared" si="35"/>
        <v>BET-NES</v>
      </c>
    </row>
    <row r="544" spans="1:13" ht="14.25" customHeight="true">
      <c r="A544" s="33" t="str">
        <f t="shared" si="32"/>
        <v>BET - Intercompany</v>
      </c>
      <c r="B544" s="33" t="str">
        <f t="shared" si="33"/>
        <v>BET</v>
      </c>
      <c r="C544" s="33" t="str">
        <f t="shared" si="34"/>
        <v>11308-0000</v>
      </c>
      <c r="D544" t="s">
        <v>471</v>
      </c>
      <c r="E544" t="s">
        <v>13476</v>
      </c>
      <c r="F544" s="69" t="s">
        <v>14039</v>
      </c>
      <c r="G544" t="s">
        <v>14672</v>
      </c>
      <c r="H544" t="s">
        <v>13869</v>
      </c>
      <c r="I544" t="s">
        <v>14690</v>
      </c>
      <c r="J544" s="70">
        <v>0</v>
      </c>
      <c r="K544" s="71">
        <v>5000</v>
      </c>
      <c r="L544" t="str">
        <f>VLOOKUP(VALUE(LEFT(C544,5)),Xref!A:B,2,0)</f>
        <v>LPI</v>
      </c>
      <c r="M544" t="str">
        <f t="shared" si="35"/>
        <v>BET-LPI</v>
      </c>
    </row>
    <row r="545" spans="1:13" ht="14.25" customHeight="true">
      <c r="A545" s="33" t="str">
        <f t="shared" si="32"/>
        <v>BET - Intercompany</v>
      </c>
      <c r="B545" s="33" t="str">
        <f t="shared" si="33"/>
        <v>BET</v>
      </c>
      <c r="C545" s="33" t="str">
        <f t="shared" si="34"/>
        <v>11309-0000</v>
      </c>
      <c r="D545" t="s">
        <v>16391</v>
      </c>
      <c r="E545" t="s">
        <v>13230</v>
      </c>
      <c r="F545" s="69" t="s">
        <v>14039</v>
      </c>
      <c r="G545" t="s">
        <v>14672</v>
      </c>
      <c r="H545" t="s">
        <v>13869</v>
      </c>
      <c r="I545" t="s">
        <v>14690</v>
      </c>
      <c r="J545" s="70">
        <v>0</v>
      </c>
      <c r="K545" s="71">
        <v>0</v>
      </c>
      <c r="L545" t="str">
        <f>VLOOKUP(VALUE(LEFT(C545,5)),Xref!A:B,2,0)</f>
        <v>GPI</v>
      </c>
      <c r="M545" t="str">
        <f t="shared" si="35"/>
        <v>BET-GPI</v>
      </c>
    </row>
    <row r="546" spans="1:13" ht="14.25" customHeight="true">
      <c r="A546" s="33" t="str">
        <f t="shared" si="32"/>
        <v>BET - Intercompany</v>
      </c>
      <c r="B546" s="33" t="str">
        <f t="shared" si="33"/>
        <v>BET</v>
      </c>
      <c r="C546" s="33" t="str">
        <f t="shared" si="34"/>
        <v>11310-0000</v>
      </c>
      <c r="D546" t="s">
        <v>473</v>
      </c>
      <c r="E546" t="s">
        <v>13231</v>
      </c>
      <c r="F546" s="69" t="s">
        <v>14039</v>
      </c>
      <c r="G546" t="s">
        <v>14672</v>
      </c>
      <c r="H546" t="s">
        <v>13869</v>
      </c>
      <c r="I546" t="s">
        <v>14690</v>
      </c>
      <c r="J546" s="70">
        <v>0</v>
      </c>
      <c r="K546" s="71">
        <v>90000</v>
      </c>
      <c r="L546" t="str">
        <f>VLOOKUP(VALUE(LEFT(C546,5)),Xref!A:B,2,0)</f>
        <v>ALP</v>
      </c>
      <c r="M546" t="str">
        <f t="shared" si="35"/>
        <v>ALP-BET</v>
      </c>
    </row>
    <row r="547" spans="1:13" ht="14.25" customHeight="true">
      <c r="A547" s="33" t="str">
        <f t="shared" si="32"/>
        <v>BET - Intercompany</v>
      </c>
      <c r="B547" s="33" t="str">
        <f t="shared" si="33"/>
        <v>BET</v>
      </c>
      <c r="C547" s="33" t="str">
        <f t="shared" si="34"/>
        <v>11311-0000</v>
      </c>
      <c r="D547" t="s">
        <v>16392</v>
      </c>
      <c r="E547" t="s">
        <v>13232</v>
      </c>
      <c r="F547" s="69" t="s">
        <v>14039</v>
      </c>
      <c r="G547" t="s">
        <v>14672</v>
      </c>
      <c r="H547" t="s">
        <v>13869</v>
      </c>
      <c r="I547" t="s">
        <v>14690</v>
      </c>
      <c r="J547" s="70">
        <v>0</v>
      </c>
      <c r="K547" s="71">
        <v>0</v>
      </c>
      <c r="L547" t="str">
        <f>VLOOKUP(VALUE(LEFT(C547,5)),Xref!A:B,2,0)</f>
        <v>BET</v>
      </c>
      <c r="M547" t="str">
        <f t="shared" si="35"/>
        <v>BET-BET</v>
      </c>
    </row>
    <row r="548" spans="1:13" ht="14.25" customHeight="true">
      <c r="A548" s="33" t="str">
        <f t="shared" si="32"/>
        <v>BET - Intercompany</v>
      </c>
      <c r="B548" s="33" t="str">
        <f t="shared" si="33"/>
        <v>BET</v>
      </c>
      <c r="C548" s="33" t="str">
        <f t="shared" si="34"/>
        <v>11312-0000</v>
      </c>
      <c r="D548" t="s">
        <v>16393</v>
      </c>
      <c r="E548" t="s">
        <v>14102</v>
      </c>
      <c r="F548" s="69" t="s">
        <v>14039</v>
      </c>
      <c r="G548" t="s">
        <v>14672</v>
      </c>
      <c r="H548" t="s">
        <v>13869</v>
      </c>
      <c r="I548" t="s">
        <v>14690</v>
      </c>
      <c r="J548" s="70">
        <v>0</v>
      </c>
      <c r="K548" s="71">
        <v>0</v>
      </c>
      <c r="L548" t="str">
        <f>VLOOKUP(VALUE(LEFT(C548,5)),Xref!A:B,2,0)</f>
        <v>DEL</v>
      </c>
      <c r="M548" t="str">
        <f t="shared" si="35"/>
        <v>BET-DEL</v>
      </c>
    </row>
    <row r="549" spans="1:13" ht="14.25" customHeight="true">
      <c r="A549" s="33" t="str">
        <f t="shared" si="32"/>
        <v>BET - Intercompany</v>
      </c>
      <c r="B549" s="33" t="str">
        <f t="shared" si="33"/>
        <v>BET</v>
      </c>
      <c r="C549" s="33" t="str">
        <f t="shared" si="34"/>
        <v>11313-0000</v>
      </c>
      <c r="D549" t="s">
        <v>474</v>
      </c>
      <c r="E549" t="s">
        <v>13233</v>
      </c>
      <c r="F549" s="69" t="s">
        <v>14039</v>
      </c>
      <c r="G549" t="s">
        <v>14672</v>
      </c>
      <c r="H549" t="s">
        <v>13869</v>
      </c>
      <c r="I549" t="s">
        <v>14690</v>
      </c>
      <c r="J549" s="70">
        <v>0</v>
      </c>
      <c r="K549" s="71">
        <v>5000</v>
      </c>
      <c r="L549" t="str">
        <f>VLOOKUP(VALUE(LEFT(C549,5)),Xref!A:B,2,0)</f>
        <v>DOL</v>
      </c>
      <c r="M549" t="str">
        <f t="shared" si="35"/>
        <v>BET-DOL</v>
      </c>
    </row>
    <row r="550" spans="1:13" ht="14.25" customHeight="true">
      <c r="A550" s="33" t="str">
        <f t="shared" si="32"/>
        <v>BET - Intercompany</v>
      </c>
      <c r="B550" s="33" t="str">
        <f t="shared" si="33"/>
        <v>BET</v>
      </c>
      <c r="C550" s="33" t="str">
        <f t="shared" si="34"/>
        <v>11314-0000</v>
      </c>
      <c r="D550" t="s">
        <v>16394</v>
      </c>
      <c r="E550" t="s">
        <v>13351</v>
      </c>
      <c r="F550" s="69" t="s">
        <v>14039</v>
      </c>
      <c r="G550" t="s">
        <v>14672</v>
      </c>
      <c r="H550" t="s">
        <v>13869</v>
      </c>
      <c r="I550" t="s">
        <v>14690</v>
      </c>
      <c r="J550" s="70">
        <v>0</v>
      </c>
      <c r="K550" s="71">
        <v>0</v>
      </c>
      <c r="L550" t="str">
        <f>VLOOKUP(VALUE(LEFT(C550,5)),Xref!A:B,2,0)</f>
        <v>GRI</v>
      </c>
      <c r="M550" t="str">
        <f t="shared" si="35"/>
        <v>BET-GRI</v>
      </c>
    </row>
    <row r="551" spans="1:13" ht="14.25" customHeight="true">
      <c r="A551" s="33" t="str">
        <f t="shared" si="32"/>
        <v>BET - Intercompany</v>
      </c>
      <c r="B551" s="33" t="str">
        <f t="shared" si="33"/>
        <v>BET</v>
      </c>
      <c r="C551" s="33" t="str">
        <f t="shared" si="34"/>
        <v>11315-0000</v>
      </c>
      <c r="D551" t="s">
        <v>16395</v>
      </c>
      <c r="E551" t="s">
        <v>13234</v>
      </c>
      <c r="F551" s="69" t="s">
        <v>14039</v>
      </c>
      <c r="G551" t="s">
        <v>14672</v>
      </c>
      <c r="H551" t="s">
        <v>13869</v>
      </c>
      <c r="I551" t="s">
        <v>14690</v>
      </c>
      <c r="J551" s="70">
        <v>0</v>
      </c>
      <c r="K551" s="71">
        <v>0</v>
      </c>
      <c r="L551" t="str">
        <f>VLOOKUP(VALUE(LEFT(C551,5)),Xref!A:B,2,0)</f>
        <v>PUR</v>
      </c>
      <c r="M551" t="str">
        <f t="shared" si="35"/>
        <v>BET-PUR</v>
      </c>
    </row>
    <row r="552" spans="1:13" ht="14.25" customHeight="true">
      <c r="A552" s="33" t="str">
        <f t="shared" si="32"/>
        <v>BET - Intercompany</v>
      </c>
      <c r="B552" s="33" t="str">
        <f t="shared" si="33"/>
        <v>BET</v>
      </c>
      <c r="C552" s="33" t="str">
        <f t="shared" si="34"/>
        <v>11316-0000</v>
      </c>
      <c r="D552" t="s">
        <v>16396</v>
      </c>
      <c r="E552" t="s">
        <v>13235</v>
      </c>
      <c r="F552" s="69" t="s">
        <v>14039</v>
      </c>
      <c r="G552" t="s">
        <v>14672</v>
      </c>
      <c r="H552" t="s">
        <v>13869</v>
      </c>
      <c r="I552" t="s">
        <v>14690</v>
      </c>
      <c r="J552" s="70">
        <v>0</v>
      </c>
      <c r="K552" s="71">
        <v>0</v>
      </c>
      <c r="L552" t="str">
        <f>VLOOKUP(VALUE(LEFT(C552,5)),Xref!A:B,2,0)</f>
        <v>VAL</v>
      </c>
      <c r="M552" t="str">
        <f t="shared" si="35"/>
        <v>BET-VAL</v>
      </c>
    </row>
    <row r="553" spans="1:13" ht="14.25" customHeight="true">
      <c r="A553" s="33" t="str">
        <f t="shared" si="32"/>
        <v>BET - Intercompany</v>
      </c>
      <c r="B553" s="33" t="str">
        <f t="shared" si="33"/>
        <v>BET</v>
      </c>
      <c r="C553" s="33" t="str">
        <f t="shared" si="34"/>
        <v>11317-0000</v>
      </c>
      <c r="D553" t="s">
        <v>475</v>
      </c>
      <c r="E553" t="s">
        <v>13352</v>
      </c>
      <c r="F553" s="69" t="s">
        <v>14039</v>
      </c>
      <c r="G553" t="s">
        <v>14672</v>
      </c>
      <c r="H553" t="s">
        <v>13869</v>
      </c>
      <c r="I553" t="s">
        <v>14690</v>
      </c>
      <c r="J553" s="70">
        <v>0</v>
      </c>
      <c r="K553" s="71">
        <v>-40000</v>
      </c>
      <c r="L553" t="str">
        <f>VLOOKUP(VALUE(LEFT(C553,5)),Xref!A:B,2,0)</f>
        <v>AKG</v>
      </c>
      <c r="M553" t="str">
        <f t="shared" si="35"/>
        <v>AKG-BET</v>
      </c>
    </row>
    <row r="554" spans="1:13" ht="14.25" customHeight="true">
      <c r="A554" s="33" t="str">
        <f t="shared" si="32"/>
        <v>BET - Intercompany</v>
      </c>
      <c r="B554" s="33" t="str">
        <f t="shared" si="33"/>
        <v>BET</v>
      </c>
      <c r="C554" s="33" t="str">
        <f t="shared" si="34"/>
        <v>11318-0000</v>
      </c>
      <c r="D554" t="s">
        <v>477</v>
      </c>
      <c r="E554" t="s">
        <v>13477</v>
      </c>
      <c r="F554" s="69" t="s">
        <v>14039</v>
      </c>
      <c r="G554" t="s">
        <v>14672</v>
      </c>
      <c r="H554" t="s">
        <v>13869</v>
      </c>
      <c r="I554" t="s">
        <v>14690</v>
      </c>
      <c r="J554" s="70">
        <v>0</v>
      </c>
      <c r="K554" s="71">
        <v>21000</v>
      </c>
      <c r="L554" t="str">
        <f>VLOOKUP(VALUE(LEFT(C554,5)),Xref!A:B,2,0)</f>
        <v>FIR</v>
      </c>
      <c r="M554" t="str">
        <f t="shared" si="35"/>
        <v>BET-FIR</v>
      </c>
    </row>
    <row r="555" spans="1:13" ht="14.25" customHeight="true">
      <c r="A555" s="33" t="str">
        <f t="shared" si="32"/>
        <v>BET - Intercompany</v>
      </c>
      <c r="B555" s="33" t="str">
        <f t="shared" si="33"/>
        <v>BET</v>
      </c>
      <c r="C555" s="33" t="str">
        <f t="shared" si="34"/>
        <v>11319-0000</v>
      </c>
      <c r="D555" t="s">
        <v>479</v>
      </c>
      <c r="E555" t="s">
        <v>266</v>
      </c>
      <c r="F555" s="69" t="s">
        <v>14039</v>
      </c>
      <c r="G555" t="s">
        <v>14672</v>
      </c>
      <c r="H555" t="s">
        <v>13869</v>
      </c>
      <c r="I555" t="s">
        <v>14690</v>
      </c>
      <c r="J555" s="70">
        <v>0</v>
      </c>
      <c r="K555" s="71">
        <v>5000</v>
      </c>
      <c r="L555" t="str">
        <f>VLOOKUP(VALUE(LEFT(C555,5)),Xref!A:B,2,0)</f>
        <v>GST</v>
      </c>
      <c r="M555" t="str">
        <f t="shared" si="35"/>
        <v>BET-GST</v>
      </c>
    </row>
    <row r="556" spans="1:13" ht="14.25" customHeight="true">
      <c r="A556" s="33" t="str">
        <f t="shared" si="32"/>
        <v>BET - Intercompany</v>
      </c>
      <c r="B556" s="33" t="str">
        <f t="shared" si="33"/>
        <v>BET</v>
      </c>
      <c r="C556" s="33" t="str">
        <f t="shared" si="34"/>
        <v>11320-0000</v>
      </c>
      <c r="D556" t="s">
        <v>16397</v>
      </c>
      <c r="E556" t="s">
        <v>14111</v>
      </c>
      <c r="F556" s="69" t="s">
        <v>14039</v>
      </c>
      <c r="G556" t="s">
        <v>14672</v>
      </c>
      <c r="H556" t="s">
        <v>13869</v>
      </c>
      <c r="I556" t="s">
        <v>14690</v>
      </c>
      <c r="J556" s="70">
        <v>0</v>
      </c>
      <c r="K556" s="71">
        <v>0</v>
      </c>
      <c r="L556" t="str">
        <f>VLOOKUP(VALUE(LEFT(C556,5)),Xref!A:B,2,0)</f>
        <v>HDN</v>
      </c>
      <c r="M556" t="str">
        <f t="shared" si="35"/>
        <v>BET-HDN</v>
      </c>
    </row>
    <row r="557" spans="1:13" ht="14.25" customHeight="true">
      <c r="A557" s="33" t="str">
        <f t="shared" si="32"/>
        <v>BET - Intercompany</v>
      </c>
      <c r="B557" s="33" t="str">
        <f t="shared" si="33"/>
        <v>BET</v>
      </c>
      <c r="C557" s="33" t="str">
        <f t="shared" si="34"/>
        <v>11321-0000</v>
      </c>
      <c r="D557" t="s">
        <v>480</v>
      </c>
      <c r="E557" t="s">
        <v>13236</v>
      </c>
      <c r="F557" s="69" t="s">
        <v>14039</v>
      </c>
      <c r="G557" t="s">
        <v>14672</v>
      </c>
      <c r="H557" t="s">
        <v>13869</v>
      </c>
      <c r="I557" t="s">
        <v>14690</v>
      </c>
      <c r="J557" s="70">
        <v>0</v>
      </c>
      <c r="K557" s="71">
        <v>72000</v>
      </c>
      <c r="L557" t="str">
        <f>VLOOKUP(VALUE(LEFT(C557,5)),Xref!A:B,2,0)</f>
        <v>OVA</v>
      </c>
      <c r="M557" t="str">
        <f t="shared" si="35"/>
        <v>BET-OVA</v>
      </c>
    </row>
    <row r="558" spans="1:13" ht="14.25" customHeight="true">
      <c r="A558" s="33" t="str">
        <f t="shared" si="32"/>
        <v>BET - Intercompany</v>
      </c>
      <c r="B558" s="33" t="str">
        <f t="shared" si="33"/>
        <v>BET</v>
      </c>
      <c r="C558" s="33" t="str">
        <f t="shared" si="34"/>
        <v>11322-0000</v>
      </c>
      <c r="D558" t="s">
        <v>481</v>
      </c>
      <c r="E558" t="s">
        <v>13237</v>
      </c>
      <c r="F558" s="69" t="s">
        <v>14039</v>
      </c>
      <c r="G558" t="s">
        <v>14672</v>
      </c>
      <c r="H558" t="s">
        <v>13869</v>
      </c>
      <c r="I558" t="s">
        <v>14690</v>
      </c>
      <c r="J558" s="70">
        <v>0</v>
      </c>
      <c r="K558" s="71">
        <v>5000</v>
      </c>
      <c r="L558" t="str">
        <f>VLOOKUP(VALUE(LEFT(C558,5)),Xref!A:B,2,0)</f>
        <v>WOO</v>
      </c>
      <c r="M558" t="str">
        <f t="shared" si="35"/>
        <v>BET-WOO</v>
      </c>
    </row>
    <row r="559" spans="1:13" ht="14.25" customHeight="true">
      <c r="A559" s="33" t="str">
        <f t="shared" si="32"/>
        <v>BET - Intercompany</v>
      </c>
      <c r="B559" s="33" t="str">
        <f t="shared" si="33"/>
        <v>BET</v>
      </c>
      <c r="C559" s="33" t="str">
        <f t="shared" si="34"/>
        <v>11323-0000</v>
      </c>
      <c r="D559" t="s">
        <v>482</v>
      </c>
      <c r="E559" t="s">
        <v>13478</v>
      </c>
      <c r="F559" s="69" t="s">
        <v>14039</v>
      </c>
      <c r="G559" t="s">
        <v>14672</v>
      </c>
      <c r="H559" t="s">
        <v>13869</v>
      </c>
      <c r="I559" t="s">
        <v>14690</v>
      </c>
      <c r="J559" s="70">
        <v>0</v>
      </c>
      <c r="K559" s="71">
        <v>5000</v>
      </c>
      <c r="L559" t="str">
        <f>VLOOKUP(VALUE(LEFT(C559,5)),Xref!A:B,2,0)</f>
        <v>SPI</v>
      </c>
      <c r="M559" t="str">
        <f t="shared" si="35"/>
        <v>BET-SPI</v>
      </c>
    </row>
    <row r="560" spans="1:13" ht="14.25" customHeight="true">
      <c r="A560" s="33" t="str">
        <f t="shared" si="32"/>
        <v>BET - Intercompany</v>
      </c>
      <c r="B560" s="33" t="str">
        <f t="shared" si="33"/>
        <v>BET</v>
      </c>
      <c r="C560" s="33" t="str">
        <f t="shared" si="34"/>
        <v>11324-0000</v>
      </c>
      <c r="D560" t="s">
        <v>484</v>
      </c>
      <c r="E560" t="s">
        <v>13238</v>
      </c>
      <c r="F560" s="69" t="s">
        <v>14039</v>
      </c>
      <c r="G560" t="s">
        <v>14672</v>
      </c>
      <c r="H560" t="s">
        <v>13869</v>
      </c>
      <c r="I560" t="s">
        <v>14690</v>
      </c>
      <c r="J560" s="70">
        <v>0</v>
      </c>
      <c r="K560" s="71">
        <v>35000</v>
      </c>
      <c r="L560" t="str">
        <f>VLOOKUP(VALUE(LEFT(C560,5)),Xref!A:B,2,0)</f>
        <v>NET</v>
      </c>
      <c r="M560" t="str">
        <f t="shared" si="35"/>
        <v>BET-NET</v>
      </c>
    </row>
    <row r="561" spans="1:13" ht="14.25" customHeight="true">
      <c r="A561" s="33" t="str">
        <f t="shared" si="32"/>
        <v>BET - Intercompany</v>
      </c>
      <c r="B561" s="33" t="str">
        <f t="shared" si="33"/>
        <v>BET</v>
      </c>
      <c r="C561" s="33" t="str">
        <f t="shared" si="34"/>
        <v>11325-0000</v>
      </c>
      <c r="D561" t="s">
        <v>16398</v>
      </c>
      <c r="E561" t="s">
        <v>13239</v>
      </c>
      <c r="F561" s="69" t="s">
        <v>14039</v>
      </c>
      <c r="G561" t="s">
        <v>14672</v>
      </c>
      <c r="H561" t="s">
        <v>13869</v>
      </c>
      <c r="I561" t="s">
        <v>14690</v>
      </c>
      <c r="J561" s="70">
        <v>0</v>
      </c>
      <c r="K561" s="71">
        <v>0</v>
      </c>
      <c r="L561" t="str">
        <f>VLOOKUP(VALUE(LEFT(C561,5)),Xref!A:B,2,0)</f>
        <v>DPI</v>
      </c>
      <c r="M561" t="str">
        <f t="shared" si="35"/>
        <v>BET-DPI</v>
      </c>
    </row>
    <row r="562" spans="1:13" ht="14.25" customHeight="true">
      <c r="A562" s="33" t="str">
        <f t="shared" si="32"/>
        <v>BET - Intercompany</v>
      </c>
      <c r="B562" s="33" t="str">
        <f t="shared" si="33"/>
        <v>BET</v>
      </c>
      <c r="C562" s="33" t="str">
        <f t="shared" si="34"/>
        <v>11326-0000</v>
      </c>
      <c r="D562" t="s">
        <v>16399</v>
      </c>
      <c r="E562" t="s">
        <v>13240</v>
      </c>
      <c r="F562" s="69" t="s">
        <v>14039</v>
      </c>
      <c r="G562" t="s">
        <v>14672</v>
      </c>
      <c r="H562" t="s">
        <v>13869</v>
      </c>
      <c r="I562" t="s">
        <v>14690</v>
      </c>
      <c r="J562" s="70">
        <v>0</v>
      </c>
      <c r="K562" s="71">
        <v>0</v>
      </c>
      <c r="L562" t="str">
        <f>VLOOKUP(VALUE(LEFT(C562,5)),Xref!A:B,2,0)</f>
        <v>SEK</v>
      </c>
      <c r="M562" t="str">
        <f t="shared" si="35"/>
        <v>BET-SEK</v>
      </c>
    </row>
    <row r="563" spans="1:13" ht="14.25" customHeight="true">
      <c r="A563" s="33" t="str">
        <f t="shared" si="32"/>
        <v>BET - Intercompany</v>
      </c>
      <c r="B563" s="33" t="str">
        <f t="shared" si="33"/>
        <v>BET</v>
      </c>
      <c r="C563" s="33" t="str">
        <f t="shared" si="34"/>
        <v>11327-0000</v>
      </c>
      <c r="D563" t="s">
        <v>16400</v>
      </c>
      <c r="E563" t="s">
        <v>14119</v>
      </c>
      <c r="F563" s="69" t="s">
        <v>14039</v>
      </c>
      <c r="G563" t="s">
        <v>14672</v>
      </c>
      <c r="H563" t="s">
        <v>13869</v>
      </c>
      <c r="I563" t="s">
        <v>14690</v>
      </c>
      <c r="J563" s="70">
        <v>0</v>
      </c>
      <c r="K563" s="71">
        <v>0</v>
      </c>
      <c r="L563" t="str">
        <f>VLOOKUP(VALUE(LEFT(C563,5)),Xref!A:B,2,0)</f>
        <v>CPI</v>
      </c>
      <c r="M563" t="str">
        <f t="shared" si="35"/>
        <v>BET-CPI</v>
      </c>
    </row>
    <row r="564" spans="1:13" ht="14.25" customHeight="true">
      <c r="A564" s="33" t="str">
        <f t="shared" si="32"/>
        <v>BET - Intercompany</v>
      </c>
      <c r="B564" s="33" t="str">
        <f t="shared" si="33"/>
        <v>BET</v>
      </c>
      <c r="C564" s="33" t="str">
        <f t="shared" si="34"/>
        <v>11328-0000</v>
      </c>
      <c r="D564" t="s">
        <v>485</v>
      </c>
      <c r="E564" t="s">
        <v>13241</v>
      </c>
      <c r="F564" s="69" t="s">
        <v>14039</v>
      </c>
      <c r="G564" t="s">
        <v>14672</v>
      </c>
      <c r="H564" t="s">
        <v>13869</v>
      </c>
      <c r="I564" t="s">
        <v>14690</v>
      </c>
      <c r="J564" s="70">
        <v>0</v>
      </c>
      <c r="K564" s="71">
        <v>15000</v>
      </c>
      <c r="L564" t="str">
        <f>VLOOKUP(VALUE(LEFT(C564,5)),Xref!A:B,2,0)</f>
        <v>LOM</v>
      </c>
      <c r="M564" t="str">
        <f t="shared" si="35"/>
        <v>BET-LOM</v>
      </c>
    </row>
    <row r="565" spans="1:13" ht="14.25" customHeight="true">
      <c r="A565" s="33" t="str">
        <f t="shared" si="32"/>
        <v>BET - Intercompany</v>
      </c>
      <c r="B565" s="33" t="str">
        <f t="shared" si="33"/>
        <v>BET</v>
      </c>
      <c r="C565" s="33" t="str">
        <f t="shared" si="34"/>
        <v>11329-0000</v>
      </c>
      <c r="D565" t="s">
        <v>486</v>
      </c>
      <c r="E565" t="s">
        <v>13353</v>
      </c>
      <c r="F565" s="69" t="s">
        <v>14039</v>
      </c>
      <c r="G565" t="s">
        <v>14672</v>
      </c>
      <c r="H565" t="s">
        <v>13869</v>
      </c>
      <c r="I565" t="s">
        <v>14690</v>
      </c>
      <c r="J565" s="70">
        <v>0</v>
      </c>
      <c r="K565" s="71">
        <v>5000</v>
      </c>
      <c r="L565" t="str">
        <f>VLOOKUP(VALUE(LEFT(C565,5)),Xref!A:B,2,0)</f>
        <v>AKS</v>
      </c>
      <c r="M565" t="str">
        <f t="shared" si="35"/>
        <v>AKS-BET</v>
      </c>
    </row>
    <row r="566" spans="1:13" ht="14.25" customHeight="true">
      <c r="A566" s="33" t="str">
        <f t="shared" si="32"/>
        <v>BET - Intercompany</v>
      </c>
      <c r="B566" s="33" t="str">
        <f t="shared" si="33"/>
        <v>BET</v>
      </c>
      <c r="C566" s="33" t="str">
        <f t="shared" si="34"/>
        <v>11330-0000</v>
      </c>
      <c r="D566" t="s">
        <v>16401</v>
      </c>
      <c r="E566" t="s">
        <v>13242</v>
      </c>
      <c r="F566" s="69" t="s">
        <v>14039</v>
      </c>
      <c r="G566" t="s">
        <v>14672</v>
      </c>
      <c r="H566" t="s">
        <v>13869</v>
      </c>
      <c r="I566" t="s">
        <v>14690</v>
      </c>
      <c r="J566" s="70">
        <v>0</v>
      </c>
      <c r="K566" s="71">
        <v>0</v>
      </c>
      <c r="L566" t="str">
        <f>VLOOKUP(VALUE(LEFT(C566,5)),Xref!A:B,2,0)</f>
        <v>MAR</v>
      </c>
      <c r="M566" t="str">
        <f t="shared" si="35"/>
        <v>BET-MAR</v>
      </c>
    </row>
    <row r="567" spans="1:13" ht="14.25" customHeight="true">
      <c r="A567" s="33" t="str">
        <f t="shared" si="32"/>
        <v>BET - Intercompany</v>
      </c>
      <c r="B567" s="33" t="str">
        <f t="shared" si="33"/>
        <v>BET</v>
      </c>
      <c r="C567" s="33" t="str">
        <f t="shared" si="34"/>
        <v>11331-0000</v>
      </c>
      <c r="D567" t="s">
        <v>16402</v>
      </c>
      <c r="E567" t="s">
        <v>13354</v>
      </c>
      <c r="F567" s="69" t="s">
        <v>14039</v>
      </c>
      <c r="G567" t="s">
        <v>14672</v>
      </c>
      <c r="H567" t="s">
        <v>13869</v>
      </c>
      <c r="I567" t="s">
        <v>14690</v>
      </c>
      <c r="J567" s="70">
        <v>0</v>
      </c>
      <c r="K567" s="71">
        <v>0</v>
      </c>
      <c r="L567" t="str">
        <f>VLOOKUP(VALUE(LEFT(C567,5)),Xref!A:B,2,0)</f>
        <v>WIL</v>
      </c>
      <c r="M567" t="str">
        <f t="shared" si="35"/>
        <v>BET-WIL</v>
      </c>
    </row>
    <row r="568" spans="1:13" ht="14.25" customHeight="true">
      <c r="A568" s="33" t="str">
        <f t="shared" si="32"/>
        <v>BET - Intercompany</v>
      </c>
      <c r="B568" s="33" t="str">
        <f t="shared" si="33"/>
        <v>BET</v>
      </c>
      <c r="C568" s="33" t="str">
        <f t="shared" si="34"/>
        <v>11332-0000</v>
      </c>
      <c r="D568" t="s">
        <v>487</v>
      </c>
      <c r="E568" t="s">
        <v>13243</v>
      </c>
      <c r="F568" s="69" t="s">
        <v>14039</v>
      </c>
      <c r="G568" t="s">
        <v>14672</v>
      </c>
      <c r="H568" t="s">
        <v>13869</v>
      </c>
      <c r="I568" t="s">
        <v>14690</v>
      </c>
      <c r="J568" s="70">
        <v>0</v>
      </c>
      <c r="K568" s="71">
        <v>80000</v>
      </c>
      <c r="L568" t="str">
        <f>VLOOKUP(VALUE(LEFT(C568,5)),Xref!A:B,2,0)</f>
        <v>STO</v>
      </c>
      <c r="M568" t="str">
        <f t="shared" si="35"/>
        <v>BET-STO</v>
      </c>
    </row>
    <row r="569" spans="1:13" ht="14.25" customHeight="true">
      <c r="A569" s="33" t="str">
        <f t="shared" si="32"/>
        <v>BET - Intercompany</v>
      </c>
      <c r="B569" s="33" t="str">
        <f t="shared" si="33"/>
        <v>BET</v>
      </c>
      <c r="C569" s="33" t="str">
        <f t="shared" si="34"/>
        <v>11333-0000</v>
      </c>
      <c r="D569" t="s">
        <v>16403</v>
      </c>
      <c r="E569" t="s">
        <v>13244</v>
      </c>
      <c r="F569" s="69" t="s">
        <v>14039</v>
      </c>
      <c r="G569" t="s">
        <v>14672</v>
      </c>
      <c r="H569" t="s">
        <v>13869</v>
      </c>
      <c r="I569" t="s">
        <v>14690</v>
      </c>
      <c r="J569" s="70">
        <v>0</v>
      </c>
      <c r="K569" s="71">
        <v>0</v>
      </c>
      <c r="L569" t="str">
        <f>VLOOKUP(VALUE(LEFT(C569,5)),Xref!A:B,2,0)</f>
        <v>ANG</v>
      </c>
      <c r="M569" t="str">
        <f t="shared" si="35"/>
        <v>ANG-BET</v>
      </c>
    </row>
    <row r="570" spans="1:13" ht="14.25" customHeight="true">
      <c r="A570" s="33" t="str">
        <f t="shared" si="32"/>
        <v>BET - Intercompany</v>
      </c>
      <c r="B570" s="33" t="str">
        <f t="shared" si="33"/>
        <v>BET</v>
      </c>
      <c r="C570" s="33" t="str">
        <f t="shared" si="34"/>
        <v>11334-0000</v>
      </c>
      <c r="D570" t="s">
        <v>16404</v>
      </c>
      <c r="E570" t="s">
        <v>13245</v>
      </c>
      <c r="F570" s="69" t="s">
        <v>14039</v>
      </c>
      <c r="G570" t="s">
        <v>14672</v>
      </c>
      <c r="H570" t="s">
        <v>13869</v>
      </c>
      <c r="I570" t="s">
        <v>14690</v>
      </c>
      <c r="J570" s="70">
        <v>0</v>
      </c>
      <c r="K570" s="71">
        <v>0</v>
      </c>
      <c r="L570" t="str">
        <f>VLOOKUP(VALUE(LEFT(C570,5)),Xref!A:B,2,0)</f>
        <v>BRU</v>
      </c>
      <c r="M570" t="str">
        <f t="shared" si="35"/>
        <v>BET-BRU</v>
      </c>
    </row>
    <row r="571" spans="1:13" ht="14.25" customHeight="true">
      <c r="A571" s="33" t="str">
        <f t="shared" si="32"/>
        <v>BET - Intercompany</v>
      </c>
      <c r="B571" s="33" t="str">
        <f t="shared" si="33"/>
        <v>BET</v>
      </c>
      <c r="C571" s="33" t="str">
        <f t="shared" si="34"/>
        <v>11335-0000</v>
      </c>
      <c r="D571" t="s">
        <v>489</v>
      </c>
      <c r="E571" t="s">
        <v>13246</v>
      </c>
      <c r="F571" s="69" t="s">
        <v>14039</v>
      </c>
      <c r="G571" t="s">
        <v>14672</v>
      </c>
      <c r="H571" t="s">
        <v>13869</v>
      </c>
      <c r="I571" t="s">
        <v>14690</v>
      </c>
      <c r="J571" s="70">
        <v>0</v>
      </c>
      <c r="K571" s="71">
        <v>30000</v>
      </c>
      <c r="L571" t="str">
        <f>VLOOKUP(VALUE(LEFT(C571,5)),Xref!A:B,2,0)</f>
        <v>VEN</v>
      </c>
      <c r="M571" t="str">
        <f t="shared" si="35"/>
        <v>BET-VEN</v>
      </c>
    </row>
    <row r="572" spans="1:13" ht="14.25" customHeight="true">
      <c r="A572" s="33" t="str">
        <f t="shared" si="32"/>
        <v>BET - Intercompany</v>
      </c>
      <c r="B572" s="33" t="str">
        <f t="shared" si="33"/>
        <v>BET</v>
      </c>
      <c r="C572" s="33" t="str">
        <f t="shared" si="34"/>
        <v>11336-0000</v>
      </c>
      <c r="D572" t="s">
        <v>490</v>
      </c>
      <c r="E572" t="s">
        <v>13247</v>
      </c>
      <c r="F572" s="69" t="s">
        <v>14039</v>
      </c>
      <c r="G572" t="s">
        <v>14672</v>
      </c>
      <c r="H572" t="s">
        <v>13869</v>
      </c>
      <c r="I572" t="s">
        <v>14690</v>
      </c>
      <c r="J572" s="70">
        <v>0</v>
      </c>
      <c r="K572" s="71">
        <v>17000</v>
      </c>
      <c r="L572" t="str">
        <f>VLOOKUP(VALUE(LEFT(C572,5)),Xref!A:B,2,0)</f>
        <v>SAT</v>
      </c>
      <c r="M572" t="str">
        <f t="shared" si="35"/>
        <v>BET-SAT</v>
      </c>
    </row>
    <row r="573" spans="1:13" ht="14.25" customHeight="true">
      <c r="A573" s="33" t="str">
        <f t="shared" si="32"/>
        <v>BET - Intercompany</v>
      </c>
      <c r="B573" s="33" t="str">
        <f t="shared" si="33"/>
        <v>BET</v>
      </c>
      <c r="C573" s="33" t="str">
        <f t="shared" si="34"/>
        <v>11337-0000</v>
      </c>
      <c r="D573" t="s">
        <v>491</v>
      </c>
      <c r="E573" t="s">
        <v>13248</v>
      </c>
      <c r="F573" s="69" t="s">
        <v>14039</v>
      </c>
      <c r="G573" t="s">
        <v>14672</v>
      </c>
      <c r="H573" t="s">
        <v>13869</v>
      </c>
      <c r="I573" t="s">
        <v>14690</v>
      </c>
      <c r="J573" s="70">
        <v>0</v>
      </c>
      <c r="K573" s="71">
        <v>25000</v>
      </c>
      <c r="L573" t="str">
        <f>VLOOKUP(VALUE(LEFT(C573,5)),Xref!A:B,2,0)</f>
        <v>NEP</v>
      </c>
      <c r="M573" t="str">
        <f t="shared" si="35"/>
        <v>BET-NEP</v>
      </c>
    </row>
    <row r="574" spans="1:13" ht="14.25" customHeight="true">
      <c r="A574" s="33" t="str">
        <f t="shared" si="32"/>
        <v>BET - Intercompany</v>
      </c>
      <c r="B574" s="33" t="str">
        <f t="shared" si="33"/>
        <v>BET</v>
      </c>
      <c r="C574" s="33" t="str">
        <f t="shared" si="34"/>
        <v>11338-0000</v>
      </c>
      <c r="D574" t="s">
        <v>16405</v>
      </c>
      <c r="E574" t="s">
        <v>14131</v>
      </c>
      <c r="F574" s="69" t="s">
        <v>14039</v>
      </c>
      <c r="G574" t="s">
        <v>14672</v>
      </c>
      <c r="H574" t="s">
        <v>13869</v>
      </c>
      <c r="I574" t="s">
        <v>14690</v>
      </c>
      <c r="J574" s="70">
        <v>0</v>
      </c>
      <c r="K574" s="71">
        <v>0</v>
      </c>
      <c r="L574" t="str">
        <f>VLOOKUP(VALUE(LEFT(C574,5)),Xref!A:B,2,0)</f>
        <v>JUP</v>
      </c>
      <c r="M574" t="str">
        <f t="shared" si="35"/>
        <v>BET-JUP</v>
      </c>
    </row>
    <row r="575" spans="1:13" ht="14.25" customHeight="true">
      <c r="A575" s="33" t="str">
        <f t="shared" si="32"/>
        <v>BET - Intercompany</v>
      </c>
      <c r="B575" s="33" t="str">
        <f t="shared" si="33"/>
        <v>BET</v>
      </c>
      <c r="C575" s="33" t="str">
        <f t="shared" si="34"/>
        <v>11339-0000</v>
      </c>
      <c r="D575" t="s">
        <v>16406</v>
      </c>
      <c r="E575" t="s">
        <v>14133</v>
      </c>
      <c r="F575" s="69" t="s">
        <v>14039</v>
      </c>
      <c r="G575" t="s">
        <v>14672</v>
      </c>
      <c r="H575" t="s">
        <v>13869</v>
      </c>
      <c r="I575" t="s">
        <v>14690</v>
      </c>
      <c r="J575" s="70">
        <v>0</v>
      </c>
      <c r="K575" s="71">
        <v>0</v>
      </c>
      <c r="L575" t="str">
        <f>VLOOKUP(VALUE(LEFT(C575,5)),Xref!A:B,2,0)</f>
        <v>WES</v>
      </c>
      <c r="M575" t="str">
        <f t="shared" si="35"/>
        <v>BET-WES</v>
      </c>
    </row>
    <row r="576" spans="1:13" ht="14.25" customHeight="true">
      <c r="A576" s="33" t="str">
        <f t="shared" si="32"/>
        <v>BET - Intercompany</v>
      </c>
      <c r="B576" s="33" t="str">
        <f t="shared" si="33"/>
        <v>BET</v>
      </c>
      <c r="C576" s="33" t="str">
        <f t="shared" si="34"/>
        <v>11340-0000</v>
      </c>
      <c r="D576" t="s">
        <v>16407</v>
      </c>
      <c r="E576" t="s">
        <v>14135</v>
      </c>
      <c r="F576" s="69" t="s">
        <v>14039</v>
      </c>
      <c r="G576" t="s">
        <v>14672</v>
      </c>
      <c r="H576" t="s">
        <v>13869</v>
      </c>
      <c r="I576" t="s">
        <v>14690</v>
      </c>
      <c r="J576" s="70">
        <v>0</v>
      </c>
      <c r="K576" s="71">
        <v>0</v>
      </c>
      <c r="L576" t="str">
        <f>VLOOKUP(VALUE(LEFT(C576,5)),Xref!A:B,2,0)</f>
        <v>LCP</v>
      </c>
      <c r="M576" t="str">
        <f t="shared" si="35"/>
        <v>BET-LCP</v>
      </c>
    </row>
    <row r="577" spans="1:13" ht="14.25" customHeight="true">
      <c r="A577" s="33" t="str">
        <f t="shared" si="32"/>
        <v>BET - Intercompany</v>
      </c>
      <c r="B577" s="33" t="str">
        <f t="shared" si="33"/>
        <v>BET</v>
      </c>
      <c r="C577" s="33" t="str">
        <f t="shared" si="34"/>
        <v>11341-0000</v>
      </c>
      <c r="D577" t="s">
        <v>16408</v>
      </c>
      <c r="E577" t="s">
        <v>13639</v>
      </c>
      <c r="F577" s="69" t="s">
        <v>14039</v>
      </c>
      <c r="G577" t="s">
        <v>14672</v>
      </c>
      <c r="H577" t="s">
        <v>13869</v>
      </c>
      <c r="I577" t="s">
        <v>14690</v>
      </c>
      <c r="J577" s="70">
        <v>0</v>
      </c>
      <c r="K577" s="71">
        <v>0</v>
      </c>
      <c r="L577" t="str">
        <f>VLOOKUP(VALUE(LEFT(C577,5)),Xref!A:B,2,0)</f>
        <v>NOR</v>
      </c>
      <c r="M577" t="str">
        <f t="shared" si="35"/>
        <v>BET-NOR</v>
      </c>
    </row>
    <row r="578" spans="1:13" ht="14.25" customHeight="true">
      <c r="A578" s="33" t="str">
        <f t="shared" ref="A578:A641" si="36">B578&amp;" - "&amp;TRIM(H578)</f>
        <v>BET - Intercompany</v>
      </c>
      <c r="B578" s="33" t="str">
        <f t="shared" ref="B578:B641" si="37">LEFT(D578,3)</f>
        <v>BET</v>
      </c>
      <c r="C578" s="33" t="str">
        <f t="shared" ref="C578:C641" si="38">RIGHT(D578,10)</f>
        <v>11342-0000</v>
      </c>
      <c r="D578" t="s">
        <v>492</v>
      </c>
      <c r="E578" t="s">
        <v>13355</v>
      </c>
      <c r="F578" s="69" t="s">
        <v>14039</v>
      </c>
      <c r="G578" t="s">
        <v>14672</v>
      </c>
      <c r="H578" t="s">
        <v>13869</v>
      </c>
      <c r="I578" t="s">
        <v>14690</v>
      </c>
      <c r="J578" s="70">
        <v>0</v>
      </c>
      <c r="K578" s="71">
        <v>-10000</v>
      </c>
      <c r="L578" t="str">
        <f>VLOOKUP(VALUE(LEFT(C578,5)),Xref!A:B,2,0)</f>
        <v>EAS</v>
      </c>
      <c r="M578" t="str">
        <f t="shared" ref="M578:M641" si="39">IF(B578&lt;L578,B578&amp;"-"&amp;L578,L578&amp;"-"&amp;B578)</f>
        <v>BET-EAS</v>
      </c>
    </row>
    <row r="579" spans="1:13" ht="14.25" customHeight="true">
      <c r="A579" s="33" t="str">
        <f t="shared" si="36"/>
        <v>BET - Intercompany</v>
      </c>
      <c r="B579" s="33" t="str">
        <f t="shared" si="37"/>
        <v>BET</v>
      </c>
      <c r="C579" s="33" t="str">
        <f t="shared" si="38"/>
        <v>11343-0000</v>
      </c>
      <c r="D579" t="s">
        <v>16409</v>
      </c>
      <c r="E579" t="s">
        <v>14139</v>
      </c>
      <c r="F579" s="69" t="s">
        <v>14039</v>
      </c>
      <c r="G579" t="s">
        <v>14672</v>
      </c>
      <c r="H579" t="s">
        <v>13869</v>
      </c>
      <c r="I579" t="s">
        <v>14690</v>
      </c>
      <c r="J579" s="70">
        <v>0</v>
      </c>
      <c r="K579" s="71">
        <v>90000</v>
      </c>
      <c r="L579" t="str">
        <f>VLOOKUP(VALUE(LEFT(C579,5)),Xref!A:B,2,0)</f>
        <v>GRA</v>
      </c>
      <c r="M579" t="str">
        <f t="shared" si="39"/>
        <v>BET-GRA</v>
      </c>
    </row>
    <row r="580" spans="1:13" ht="14.25" customHeight="true">
      <c r="A580" s="33" t="str">
        <f t="shared" si="36"/>
        <v>BET - Intercompany</v>
      </c>
      <c r="B580" s="33" t="str">
        <f t="shared" si="37"/>
        <v>BET</v>
      </c>
      <c r="C580" s="33" t="str">
        <f t="shared" si="38"/>
        <v>11344-0000</v>
      </c>
      <c r="D580" t="s">
        <v>16410</v>
      </c>
      <c r="E580" t="s">
        <v>14141</v>
      </c>
      <c r="F580" s="69" t="s">
        <v>14039</v>
      </c>
      <c r="G580" t="s">
        <v>14672</v>
      </c>
      <c r="H580" t="s">
        <v>13869</v>
      </c>
      <c r="I580" t="s">
        <v>14690</v>
      </c>
      <c r="J580" s="70">
        <v>0</v>
      </c>
      <c r="K580" s="71">
        <v>0</v>
      </c>
      <c r="L580" t="str">
        <f>VLOOKUP(VALUE(LEFT(C580,5)),Xref!A:B,2,0)</f>
        <v>SOU</v>
      </c>
      <c r="M580" t="str">
        <f t="shared" si="39"/>
        <v>BET-SOU</v>
      </c>
    </row>
    <row r="581" spans="1:13" ht="14.25" customHeight="true">
      <c r="A581" s="33" t="str">
        <f t="shared" si="36"/>
        <v>BET - Intercompany</v>
      </c>
      <c r="B581" s="33" t="str">
        <f t="shared" si="37"/>
        <v>BET</v>
      </c>
      <c r="C581" s="33" t="str">
        <f t="shared" si="38"/>
        <v>11345-0000</v>
      </c>
      <c r="D581" t="s">
        <v>16411</v>
      </c>
      <c r="E581" t="s">
        <v>14143</v>
      </c>
      <c r="F581" s="69" t="s">
        <v>14039</v>
      </c>
      <c r="G581" t="s">
        <v>14672</v>
      </c>
      <c r="H581" t="s">
        <v>13869</v>
      </c>
      <c r="I581" t="s">
        <v>14690</v>
      </c>
      <c r="J581" s="70">
        <v>0</v>
      </c>
      <c r="K581" s="71">
        <v>0</v>
      </c>
      <c r="L581" t="str">
        <f>VLOOKUP(VALUE(LEFT(C581,5)),Xref!A:B,2,0)</f>
        <v>API</v>
      </c>
      <c r="M581" t="str">
        <f t="shared" si="39"/>
        <v>API-BET</v>
      </c>
    </row>
    <row r="582" spans="1:13" ht="14.25" customHeight="true">
      <c r="A582" s="33" t="str">
        <f t="shared" si="36"/>
        <v>BET - Intercompany</v>
      </c>
      <c r="B582" s="33" t="str">
        <f t="shared" si="37"/>
        <v>BET</v>
      </c>
      <c r="C582" s="33" t="str">
        <f t="shared" si="38"/>
        <v>11346-0000</v>
      </c>
      <c r="D582" t="s">
        <v>16412</v>
      </c>
      <c r="E582" t="s">
        <v>14145</v>
      </c>
      <c r="F582" s="69" t="s">
        <v>14039</v>
      </c>
      <c r="G582" t="s">
        <v>14672</v>
      </c>
      <c r="H582" t="s">
        <v>13869</v>
      </c>
      <c r="I582" t="s">
        <v>14690</v>
      </c>
      <c r="J582" s="70">
        <v>0</v>
      </c>
      <c r="K582" s="71">
        <v>0</v>
      </c>
      <c r="L582" t="str">
        <f>VLOOKUP(VALUE(LEFT(C582,5)),Xref!A:B,2,0)</f>
        <v>DPH</v>
      </c>
      <c r="M582" t="str">
        <f t="shared" si="39"/>
        <v>BET-DPH</v>
      </c>
    </row>
    <row r="583" spans="1:13" ht="14.25" customHeight="true">
      <c r="A583" s="33" t="str">
        <f t="shared" si="36"/>
        <v>BET - Intercompany</v>
      </c>
      <c r="B583" s="33" t="str">
        <f t="shared" si="37"/>
        <v>BET</v>
      </c>
      <c r="C583" s="33" t="str">
        <f t="shared" si="38"/>
        <v>11347-0000</v>
      </c>
      <c r="D583" t="s">
        <v>16413</v>
      </c>
      <c r="E583" t="s">
        <v>14147</v>
      </c>
      <c r="F583" s="69" t="s">
        <v>14039</v>
      </c>
      <c r="G583" t="s">
        <v>14672</v>
      </c>
      <c r="H583" t="s">
        <v>13869</v>
      </c>
      <c r="I583" t="s">
        <v>14690</v>
      </c>
      <c r="J583" s="70">
        <v>0</v>
      </c>
      <c r="K583" s="71">
        <v>0</v>
      </c>
      <c r="L583" t="str">
        <f>VLOOKUP(VALUE(LEFT(C583,5)),Xref!A:B,2,0)</f>
        <v>ZPI</v>
      </c>
      <c r="M583" t="str">
        <f t="shared" si="39"/>
        <v>BET-ZPI</v>
      </c>
    </row>
    <row r="584" spans="1:13" ht="14.25" customHeight="true">
      <c r="A584" s="33" t="str">
        <f t="shared" si="36"/>
        <v>BET - Intercompany</v>
      </c>
      <c r="B584" s="33" t="str">
        <f t="shared" si="37"/>
        <v>BET</v>
      </c>
      <c r="C584" s="33" t="str">
        <f t="shared" si="38"/>
        <v>11348-0000</v>
      </c>
      <c r="D584" t="s">
        <v>16414</v>
      </c>
      <c r="E584" t="s">
        <v>14149</v>
      </c>
      <c r="F584" s="69" t="s">
        <v>14039</v>
      </c>
      <c r="G584" t="s">
        <v>14672</v>
      </c>
      <c r="H584" t="s">
        <v>13869</v>
      </c>
      <c r="I584" t="s">
        <v>14690</v>
      </c>
      <c r="J584" s="70">
        <v>0</v>
      </c>
      <c r="K584" s="71">
        <v>0</v>
      </c>
      <c r="L584" t="str">
        <f>VLOOKUP(VALUE(LEFT(C584,5)),Xref!A:B,2,0)</f>
        <v>EAM</v>
      </c>
      <c r="M584" t="str">
        <f t="shared" si="39"/>
        <v>BET-EAM</v>
      </c>
    </row>
    <row r="585" spans="1:13" ht="14.25" customHeight="true">
      <c r="A585" s="33" t="str">
        <f t="shared" si="36"/>
        <v>BET - Intercompany</v>
      </c>
      <c r="B585" s="33" t="str">
        <f t="shared" si="37"/>
        <v>BET</v>
      </c>
      <c r="C585" s="33" t="str">
        <f t="shared" si="38"/>
        <v>11349-0000</v>
      </c>
      <c r="D585" t="s">
        <v>16415</v>
      </c>
      <c r="E585" t="s">
        <v>14151</v>
      </c>
      <c r="F585" s="69" t="s">
        <v>14039</v>
      </c>
      <c r="G585" t="s">
        <v>14672</v>
      </c>
      <c r="H585" t="s">
        <v>13869</v>
      </c>
      <c r="I585" t="s">
        <v>14690</v>
      </c>
      <c r="J585" s="70">
        <v>0</v>
      </c>
      <c r="K585" s="71">
        <v>0</v>
      </c>
      <c r="L585" t="str">
        <f>VLOOKUP(VALUE(LEFT(C585,5)),Xref!A:B,2,0)</f>
        <v>SEA</v>
      </c>
      <c r="M585" t="str">
        <f t="shared" si="39"/>
        <v>BET-SEA</v>
      </c>
    </row>
    <row r="586" spans="1:13" ht="14.25" customHeight="true">
      <c r="A586" s="33" t="str">
        <f t="shared" si="36"/>
        <v>BET - Intercompany</v>
      </c>
      <c r="B586" s="33" t="str">
        <f t="shared" si="37"/>
        <v>BET</v>
      </c>
      <c r="C586" s="33" t="str">
        <f t="shared" si="38"/>
        <v>11350-0000</v>
      </c>
      <c r="D586" t="s">
        <v>16416</v>
      </c>
      <c r="E586" t="s">
        <v>14153</v>
      </c>
      <c r="F586" s="69" t="s">
        <v>14039</v>
      </c>
      <c r="G586" t="s">
        <v>14672</v>
      </c>
      <c r="H586" t="s">
        <v>13869</v>
      </c>
      <c r="I586" t="s">
        <v>14690</v>
      </c>
      <c r="J586" s="70">
        <v>0</v>
      </c>
      <c r="K586" s="71">
        <v>-59.43</v>
      </c>
      <c r="L586" t="str">
        <f>VLOOKUP(VALUE(LEFT(C586,5)),Xref!A:B,2,0)</f>
        <v>EAL</v>
      </c>
      <c r="M586" t="str">
        <f t="shared" si="39"/>
        <v>BET-EAL</v>
      </c>
    </row>
    <row r="587" spans="1:13" ht="14.25" customHeight="true">
      <c r="A587" s="33" t="str">
        <f t="shared" si="36"/>
        <v>BET - Intercompany</v>
      </c>
      <c r="B587" s="33" t="str">
        <f t="shared" si="37"/>
        <v>BET</v>
      </c>
      <c r="C587" s="33" t="str">
        <f t="shared" si="38"/>
        <v>11351-0000</v>
      </c>
      <c r="D587" t="s">
        <v>16417</v>
      </c>
      <c r="E587" t="s">
        <v>14155</v>
      </c>
      <c r="F587" s="69" t="s">
        <v>14039</v>
      </c>
      <c r="G587" t="s">
        <v>14672</v>
      </c>
      <c r="H587" t="s">
        <v>13869</v>
      </c>
      <c r="I587" t="s">
        <v>14690</v>
      </c>
      <c r="J587" s="70">
        <v>0</v>
      </c>
      <c r="K587" s="71">
        <v>0</v>
      </c>
      <c r="L587" t="str">
        <f>VLOOKUP(VALUE(LEFT(C587,5)),Xref!A:B,2,0)</f>
        <v>WEP</v>
      </c>
      <c r="M587" t="str">
        <f t="shared" si="39"/>
        <v>BET-WEP</v>
      </c>
    </row>
    <row r="588" spans="1:13" ht="14.25" customHeight="true">
      <c r="A588" s="33" t="str">
        <f t="shared" si="36"/>
        <v>BET - Intercompany</v>
      </c>
      <c r="B588" s="33" t="str">
        <f t="shared" si="37"/>
        <v>BET</v>
      </c>
      <c r="C588" s="33" t="str">
        <f t="shared" si="38"/>
        <v>11352-0000</v>
      </c>
      <c r="D588" t="s">
        <v>16418</v>
      </c>
      <c r="E588" t="s">
        <v>13536</v>
      </c>
      <c r="F588" s="69" t="s">
        <v>14039</v>
      </c>
      <c r="G588" t="s">
        <v>14672</v>
      </c>
      <c r="H588" t="s">
        <v>13869</v>
      </c>
      <c r="I588" t="s">
        <v>14690</v>
      </c>
      <c r="J588" s="70">
        <v>0</v>
      </c>
      <c r="K588" s="71">
        <v>0</v>
      </c>
      <c r="L588" t="str">
        <f>VLOOKUP(VALUE(LEFT(C588,5)),Xref!A:B,2,0)</f>
        <v>KLP</v>
      </c>
      <c r="M588" t="str">
        <f t="shared" si="39"/>
        <v>BET-KLP</v>
      </c>
    </row>
    <row r="589" spans="1:13" ht="14.25" customHeight="true">
      <c r="A589" s="33" t="str">
        <f t="shared" si="36"/>
        <v>BET - Intercompany</v>
      </c>
      <c r="B589" s="33" t="str">
        <f t="shared" si="37"/>
        <v>BET</v>
      </c>
      <c r="C589" s="33" t="str">
        <f t="shared" si="38"/>
        <v>11353-0000</v>
      </c>
      <c r="D589" t="s">
        <v>16419</v>
      </c>
      <c r="E589" t="s">
        <v>13537</v>
      </c>
      <c r="F589" s="69" t="s">
        <v>14039</v>
      </c>
      <c r="G589" t="s">
        <v>14672</v>
      </c>
      <c r="H589" t="s">
        <v>13869</v>
      </c>
      <c r="I589" t="s">
        <v>14690</v>
      </c>
      <c r="J589" s="70">
        <v>0</v>
      </c>
      <c r="K589" s="71">
        <v>0</v>
      </c>
      <c r="L589" t="str">
        <f>VLOOKUP(VALUE(LEFT(C589,5)),Xref!A:B,2,0)</f>
        <v>AKC</v>
      </c>
      <c r="M589" t="str">
        <f t="shared" si="39"/>
        <v>AKC-BET</v>
      </c>
    </row>
    <row r="590" spans="1:13" ht="14.25" customHeight="true">
      <c r="A590" s="33" t="str">
        <f t="shared" si="36"/>
        <v>BET - Intercompany</v>
      </c>
      <c r="B590" s="33" t="str">
        <f t="shared" si="37"/>
        <v>BET</v>
      </c>
      <c r="C590" s="33" t="str">
        <f t="shared" si="38"/>
        <v>11354-0000</v>
      </c>
      <c r="D590" t="s">
        <v>16420</v>
      </c>
      <c r="E590" t="s">
        <v>13538</v>
      </c>
      <c r="F590" s="69" t="s">
        <v>14039</v>
      </c>
      <c r="G590" t="s">
        <v>14672</v>
      </c>
      <c r="H590" t="s">
        <v>13869</v>
      </c>
      <c r="I590" t="s">
        <v>14690</v>
      </c>
      <c r="J590" s="70">
        <v>0</v>
      </c>
      <c r="K590" s="71">
        <v>0</v>
      </c>
      <c r="L590" t="str">
        <f>VLOOKUP(VALUE(LEFT(C590,5)),Xref!A:B,2,0)</f>
        <v>AKA</v>
      </c>
      <c r="M590" t="str">
        <f t="shared" si="39"/>
        <v>AKA-BET</v>
      </c>
    </row>
    <row r="591" spans="1:13" ht="14.25" customHeight="true">
      <c r="A591" s="33" t="str">
        <f t="shared" si="36"/>
        <v>BET - Intercompany</v>
      </c>
      <c r="B591" s="33" t="str">
        <f t="shared" si="37"/>
        <v>BET</v>
      </c>
      <c r="C591" s="33" t="str">
        <f t="shared" si="38"/>
        <v>11355-0000</v>
      </c>
      <c r="D591" t="s">
        <v>16421</v>
      </c>
      <c r="E591" t="s">
        <v>13539</v>
      </c>
      <c r="F591" s="69" t="s">
        <v>14039</v>
      </c>
      <c r="G591" t="s">
        <v>14672</v>
      </c>
      <c r="H591" t="s">
        <v>13869</v>
      </c>
      <c r="I591" t="s">
        <v>14690</v>
      </c>
      <c r="J591" s="70">
        <v>0</v>
      </c>
      <c r="K591" s="71">
        <v>0</v>
      </c>
      <c r="L591" t="str">
        <f>VLOOKUP(VALUE(LEFT(C591,5)),Xref!A:B,2,0)</f>
        <v>SPA</v>
      </c>
      <c r="M591" t="str">
        <f t="shared" si="39"/>
        <v>BET-SPA</v>
      </c>
    </row>
    <row r="592" spans="1:13" ht="14.25" customHeight="true">
      <c r="A592" s="33" t="str">
        <f t="shared" si="36"/>
        <v>BET - Intercompany</v>
      </c>
      <c r="B592" s="33" t="str">
        <f t="shared" si="37"/>
        <v>BET</v>
      </c>
      <c r="C592" s="33" t="str">
        <f t="shared" si="38"/>
        <v>11356-0000</v>
      </c>
      <c r="D592" t="s">
        <v>16422</v>
      </c>
      <c r="E592" t="s">
        <v>13540</v>
      </c>
      <c r="F592" s="69" t="s">
        <v>14039</v>
      </c>
      <c r="G592" t="s">
        <v>14672</v>
      </c>
      <c r="H592" t="s">
        <v>13869</v>
      </c>
      <c r="I592" t="s">
        <v>14690</v>
      </c>
      <c r="J592" s="70">
        <v>0</v>
      </c>
      <c r="K592" s="71">
        <v>0</v>
      </c>
      <c r="L592" t="str">
        <f>VLOOKUP(VALUE(LEFT(C592,5)),Xref!A:B,2,0)</f>
        <v>DPM</v>
      </c>
      <c r="M592" t="str">
        <f t="shared" si="39"/>
        <v>BET-DPM</v>
      </c>
    </row>
    <row r="593" spans="1:13" ht="14.25" customHeight="true">
      <c r="A593" s="33" t="str">
        <f t="shared" si="36"/>
        <v>BET - Intercompany</v>
      </c>
      <c r="B593" s="33" t="str">
        <f t="shared" si="37"/>
        <v>BET</v>
      </c>
      <c r="C593" s="33" t="str">
        <f t="shared" si="38"/>
        <v>11357-0000</v>
      </c>
      <c r="D593" t="s">
        <v>16423</v>
      </c>
      <c r="E593" t="s">
        <v>13541</v>
      </c>
      <c r="F593" s="69" t="s">
        <v>14039</v>
      </c>
      <c r="G593" t="s">
        <v>14672</v>
      </c>
      <c r="H593" t="s">
        <v>13869</v>
      </c>
      <c r="I593" t="s">
        <v>14690</v>
      </c>
      <c r="J593" s="70">
        <v>0</v>
      </c>
      <c r="K593" s="71">
        <v>0</v>
      </c>
      <c r="L593" t="str">
        <f>VLOOKUP(VALUE(LEFT(C593,5)),Xref!A:B,2,0)</f>
        <v>HDM</v>
      </c>
      <c r="M593" t="str">
        <f t="shared" si="39"/>
        <v>BET-HDM</v>
      </c>
    </row>
    <row r="594" spans="1:13" ht="14.25" customHeight="true">
      <c r="A594" s="33" t="str">
        <f t="shared" si="36"/>
        <v>BET - Intercompany</v>
      </c>
      <c r="B594" s="33" t="str">
        <f t="shared" si="37"/>
        <v>BET</v>
      </c>
      <c r="C594" s="33" t="str">
        <f t="shared" si="38"/>
        <v>11358-0000</v>
      </c>
      <c r="D594" t="s">
        <v>16424</v>
      </c>
      <c r="E594" t="s">
        <v>13542</v>
      </c>
      <c r="F594" s="69" t="s">
        <v>14039</v>
      </c>
      <c r="G594" t="s">
        <v>14672</v>
      </c>
      <c r="H594" t="s">
        <v>13869</v>
      </c>
      <c r="I594" t="s">
        <v>14690</v>
      </c>
      <c r="J594" s="70">
        <v>0</v>
      </c>
      <c r="K594" s="71">
        <v>0</v>
      </c>
      <c r="L594" t="str">
        <f>VLOOKUP(VALUE(LEFT(C594,5)),Xref!A:B,2,0)</f>
        <v>GRA</v>
      </c>
      <c r="M594" t="str">
        <f t="shared" si="39"/>
        <v>BET-GRA</v>
      </c>
    </row>
    <row r="595" spans="1:13" ht="14.25" customHeight="true">
      <c r="A595" s="33" t="str">
        <f t="shared" si="36"/>
        <v>BET - Intercompany</v>
      </c>
      <c r="B595" s="33" t="str">
        <f t="shared" si="37"/>
        <v>BET</v>
      </c>
      <c r="C595" s="33" t="str">
        <f t="shared" si="38"/>
        <v>11359-0000</v>
      </c>
      <c r="D595" t="s">
        <v>16425</v>
      </c>
      <c r="E595" t="s">
        <v>13543</v>
      </c>
      <c r="F595" t="s">
        <v>14039</v>
      </c>
      <c r="G595" t="s">
        <v>14672</v>
      </c>
      <c r="H595" t="s">
        <v>13869</v>
      </c>
      <c r="I595" t="s">
        <v>14690</v>
      </c>
      <c r="J595" s="62">
        <v>0</v>
      </c>
      <c r="K595" s="62">
        <v>0</v>
      </c>
      <c r="L595" t="str">
        <f>VLOOKUP(VALUE(LEFT(C595,5)),Xref!A:B,2,0)</f>
        <v>TPI</v>
      </c>
      <c r="M595" t="str">
        <f t="shared" si="39"/>
        <v>BET-TPI</v>
      </c>
    </row>
    <row r="596" spans="1:13" ht="14.25" customHeight="true">
      <c r="A596" s="33" t="str">
        <f t="shared" si="36"/>
        <v>BET - Intercompany</v>
      </c>
      <c r="B596" s="33" t="str">
        <f t="shared" si="37"/>
        <v>BET</v>
      </c>
      <c r="C596" s="33" t="str">
        <f t="shared" si="38"/>
        <v>11361-0000</v>
      </c>
      <c r="D596" t="s">
        <v>16426</v>
      </c>
      <c r="E596" t="s">
        <v>14165</v>
      </c>
      <c r="F596" t="s">
        <v>14039</v>
      </c>
      <c r="G596" t="s">
        <v>14672</v>
      </c>
      <c r="H596" t="s">
        <v>13869</v>
      </c>
      <c r="I596" t="s">
        <v>14690</v>
      </c>
      <c r="J596" s="62">
        <v>0</v>
      </c>
      <c r="K596" s="62">
        <v>0</v>
      </c>
      <c r="L596" t="str">
        <f>VLOOKUP(VALUE(LEFT(C596,5)),Xref!A:B,2,0)</f>
        <v>GSM</v>
      </c>
      <c r="M596" t="str">
        <f t="shared" si="39"/>
        <v>BET-GSM</v>
      </c>
    </row>
    <row r="597" spans="1:13" ht="14.25" customHeight="true">
      <c r="A597" s="33" t="str">
        <f t="shared" si="36"/>
        <v>BET - Intercompany</v>
      </c>
      <c r="B597" s="33" t="str">
        <f t="shared" si="37"/>
        <v>BET</v>
      </c>
      <c r="C597" s="33" t="str">
        <f t="shared" si="38"/>
        <v>11363-0000</v>
      </c>
      <c r="D597" t="s">
        <v>16427</v>
      </c>
      <c r="E597" t="s">
        <v>13544</v>
      </c>
      <c r="F597" t="s">
        <v>14039</v>
      </c>
      <c r="G597" t="s">
        <v>14672</v>
      </c>
      <c r="H597" t="s">
        <v>13869</v>
      </c>
      <c r="I597" t="s">
        <v>14690</v>
      </c>
      <c r="J597" s="62">
        <v>0</v>
      </c>
      <c r="K597" s="62">
        <v>0</v>
      </c>
      <c r="L597" t="str">
        <f>VLOOKUP(VALUE(LEFT(C597,5)),Xref!A:B,2,0)</f>
        <v>SOF</v>
      </c>
      <c r="M597" t="str">
        <f t="shared" si="39"/>
        <v>BET-SOF</v>
      </c>
    </row>
    <row r="598" spans="1:13" ht="14.25" customHeight="true">
      <c r="A598" s="33" t="str">
        <f t="shared" si="36"/>
        <v>BET - Intercompany</v>
      </c>
      <c r="B598" s="33" t="str">
        <f t="shared" si="37"/>
        <v>BET</v>
      </c>
      <c r="C598" s="33" t="str">
        <f t="shared" si="38"/>
        <v>11364-0000</v>
      </c>
      <c r="D598" t="s">
        <v>16428</v>
      </c>
      <c r="E598" t="s">
        <v>14168</v>
      </c>
      <c r="F598" t="s">
        <v>14039</v>
      </c>
      <c r="G598" t="s">
        <v>14672</v>
      </c>
      <c r="H598" t="s">
        <v>13869</v>
      </c>
      <c r="I598" t="s">
        <v>14690</v>
      </c>
      <c r="J598" s="62">
        <v>0</v>
      </c>
      <c r="K598" s="62">
        <v>0</v>
      </c>
      <c r="L598" t="e">
        <f>VLOOKUP(VALUE(LEFT(C598,5)),Xref!A:B,2,0)</f>
        <v>#N/A</v>
      </c>
      <c r="M598" t="e">
        <f t="shared" si="39"/>
        <v>#N/A</v>
      </c>
    </row>
    <row r="599" spans="1:13" ht="14.25" customHeight="true">
      <c r="A599" s="33" t="str">
        <f t="shared" si="36"/>
        <v>BET - Intercompany</v>
      </c>
      <c r="B599" s="33" t="str">
        <f t="shared" si="37"/>
        <v>BET</v>
      </c>
      <c r="C599" s="33" t="str">
        <f t="shared" si="38"/>
        <v>11365-0000</v>
      </c>
      <c r="D599" t="s">
        <v>16429</v>
      </c>
      <c r="E599" t="s">
        <v>14170</v>
      </c>
      <c r="F599" t="s">
        <v>14039</v>
      </c>
      <c r="G599" t="s">
        <v>14672</v>
      </c>
      <c r="H599" t="s">
        <v>13869</v>
      </c>
      <c r="I599" t="s">
        <v>14690</v>
      </c>
      <c r="J599" s="62">
        <v>0</v>
      </c>
      <c r="K599" s="62">
        <v>0</v>
      </c>
      <c r="L599" t="e">
        <f>VLOOKUP(VALUE(LEFT(C599,5)),Xref!A:B,2,0)</f>
        <v>#N/A</v>
      </c>
      <c r="M599" t="e">
        <f t="shared" si="39"/>
        <v>#N/A</v>
      </c>
    </row>
    <row r="600" spans="1:13" ht="14.25" customHeight="true">
      <c r="A600" s="33" t="str">
        <f t="shared" si="36"/>
        <v>BET - Intercompany</v>
      </c>
      <c r="B600" s="33" t="str">
        <f t="shared" si="37"/>
        <v>BET</v>
      </c>
      <c r="C600" s="33" t="str">
        <f t="shared" si="38"/>
        <v>11366-0000</v>
      </c>
      <c r="D600" t="s">
        <v>16430</v>
      </c>
      <c r="E600" t="s">
        <v>14172</v>
      </c>
      <c r="G600" t="s">
        <v>14672</v>
      </c>
      <c r="H600" t="s">
        <v>13869</v>
      </c>
      <c r="I600" t="s">
        <v>14690</v>
      </c>
      <c r="J600" s="62">
        <v>0</v>
      </c>
      <c r="K600" s="62">
        <v>0</v>
      </c>
      <c r="L600" t="e">
        <f>VLOOKUP(VALUE(LEFT(C600,5)),Xref!A:B,2,0)</f>
        <v>#N/A</v>
      </c>
      <c r="M600" t="e">
        <f t="shared" si="39"/>
        <v>#N/A</v>
      </c>
    </row>
    <row r="601" spans="1:13" ht="14.25" customHeight="true">
      <c r="A601" s="33" t="str">
        <f t="shared" si="36"/>
        <v>BET - Intercompany</v>
      </c>
      <c r="B601" s="33" t="str">
        <f t="shared" si="37"/>
        <v>BET</v>
      </c>
      <c r="C601" s="33" t="str">
        <f t="shared" si="38"/>
        <v>11402-0000</v>
      </c>
      <c r="D601" t="s">
        <v>16431</v>
      </c>
      <c r="E601" t="s">
        <v>14174</v>
      </c>
      <c r="G601" t="s">
        <v>14672</v>
      </c>
      <c r="H601" t="s">
        <v>13869</v>
      </c>
      <c r="I601" t="s">
        <v>14690</v>
      </c>
      <c r="J601" s="62">
        <v>0</v>
      </c>
      <c r="K601" s="62">
        <v>0</v>
      </c>
      <c r="L601" t="str">
        <f>VLOOKUP(VALUE(LEFT(C601,5)),Xref!A:B,2,0)</f>
        <v>DPI</v>
      </c>
      <c r="M601" t="str">
        <f t="shared" si="39"/>
        <v>BET-DPI</v>
      </c>
    </row>
    <row r="602" spans="1:13" ht="14.25" customHeight="true">
      <c r="A602" s="33" t="str">
        <f t="shared" si="36"/>
        <v>BET - Intercompany</v>
      </c>
      <c r="B602" s="33" t="str">
        <f t="shared" si="37"/>
        <v>BET</v>
      </c>
      <c r="C602" s="33" t="str">
        <f t="shared" si="38"/>
        <v>11403-0000</v>
      </c>
      <c r="D602" t="s">
        <v>16432</v>
      </c>
      <c r="E602" t="s">
        <v>14176</v>
      </c>
      <c r="G602" t="s">
        <v>14672</v>
      </c>
      <c r="H602" t="s">
        <v>13869</v>
      </c>
      <c r="I602" t="s">
        <v>14690</v>
      </c>
      <c r="J602" s="62">
        <v>0</v>
      </c>
      <c r="K602" s="62">
        <v>0</v>
      </c>
      <c r="L602" t="str">
        <f>VLOOKUP(VALUE(LEFT(C602,5)),Xref!A:B,2,0)</f>
        <v>SEA</v>
      </c>
      <c r="M602" t="str">
        <f t="shared" si="39"/>
        <v>BET-SEA</v>
      </c>
    </row>
    <row r="603" spans="1:13" ht="14.25" customHeight="true">
      <c r="A603" s="33" t="str">
        <f t="shared" si="36"/>
        <v>BET - Intercompany</v>
      </c>
      <c r="B603" s="33" t="str">
        <f t="shared" si="37"/>
        <v>BET</v>
      </c>
      <c r="C603" s="33" t="str">
        <f t="shared" si="38"/>
        <v>12400-0000</v>
      </c>
      <c r="D603" t="s">
        <v>16434</v>
      </c>
      <c r="E603" t="s">
        <v>14185</v>
      </c>
      <c r="F603" t="s">
        <v>14039</v>
      </c>
      <c r="G603" t="s">
        <v>14672</v>
      </c>
      <c r="H603" t="s">
        <v>13869</v>
      </c>
      <c r="I603" t="s">
        <v>14690</v>
      </c>
      <c r="J603" s="62">
        <v>0</v>
      </c>
      <c r="K603" s="62">
        <v>0</v>
      </c>
      <c r="L603" t="str">
        <f>VLOOKUP(VALUE(LEFT(C603,5)),Xref!A:B,2,0)</f>
        <v>aka</v>
      </c>
      <c r="M603" t="str">
        <f t="shared" si="39"/>
        <v>aka-BET</v>
      </c>
    </row>
    <row r="604" spans="1:13" ht="14.25" customHeight="true">
      <c r="A604" s="33" t="str">
        <f t="shared" si="36"/>
        <v>BET - Intercompany</v>
      </c>
      <c r="B604" s="33" t="str">
        <f t="shared" si="37"/>
        <v>BET</v>
      </c>
      <c r="C604" s="33" t="str">
        <f t="shared" si="38"/>
        <v>12401-0000</v>
      </c>
      <c r="D604" t="s">
        <v>16435</v>
      </c>
      <c r="E604" t="s">
        <v>14187</v>
      </c>
      <c r="F604" t="s">
        <v>14039</v>
      </c>
      <c r="G604" t="s">
        <v>14672</v>
      </c>
      <c r="H604" t="s">
        <v>13869</v>
      </c>
      <c r="I604" t="s">
        <v>14690</v>
      </c>
      <c r="J604" s="62">
        <v>0</v>
      </c>
      <c r="K604" s="62">
        <v>0</v>
      </c>
      <c r="L604" t="str">
        <f>VLOOKUP(VALUE(LEFT(C604,5)),Xref!A:B,2,0)</f>
        <v>aka</v>
      </c>
      <c r="M604" t="str">
        <f t="shared" si="39"/>
        <v>aka-BET</v>
      </c>
    </row>
    <row r="605" spans="1:13" ht="14.25" customHeight="true">
      <c r="A605" s="33" t="str">
        <f t="shared" si="36"/>
        <v>BET - Intercompany</v>
      </c>
      <c r="B605" s="33" t="str">
        <f t="shared" si="37"/>
        <v>BET</v>
      </c>
      <c r="C605" s="33" t="str">
        <f t="shared" si="38"/>
        <v>12402-0000</v>
      </c>
      <c r="D605" t="s">
        <v>16436</v>
      </c>
      <c r="E605" t="s">
        <v>14189</v>
      </c>
      <c r="F605" t="s">
        <v>14039</v>
      </c>
      <c r="G605" t="s">
        <v>14672</v>
      </c>
      <c r="H605" t="s">
        <v>13869</v>
      </c>
      <c r="I605" t="s">
        <v>14690</v>
      </c>
      <c r="J605" s="62">
        <v>0</v>
      </c>
      <c r="K605" s="62">
        <v>0</v>
      </c>
      <c r="L605" t="str">
        <f>VLOOKUP(VALUE(LEFT(C605,5)),Xref!A:B,2,0)</f>
        <v>aka</v>
      </c>
      <c r="M605" t="str">
        <f t="shared" si="39"/>
        <v>aka-BET</v>
      </c>
    </row>
    <row r="606" spans="1:13" ht="14.25" customHeight="true">
      <c r="A606" s="33" t="str">
        <f t="shared" si="36"/>
        <v>BET - Intercompany</v>
      </c>
      <c r="B606" s="33" t="str">
        <f t="shared" si="37"/>
        <v>BET</v>
      </c>
      <c r="C606" s="33" t="str">
        <f t="shared" si="38"/>
        <v>12403-0000</v>
      </c>
      <c r="D606" t="s">
        <v>16437</v>
      </c>
      <c r="E606" t="s">
        <v>5226</v>
      </c>
      <c r="F606" t="s">
        <v>14039</v>
      </c>
      <c r="G606" t="s">
        <v>14672</v>
      </c>
      <c r="H606" t="s">
        <v>13869</v>
      </c>
      <c r="I606" t="s">
        <v>14690</v>
      </c>
      <c r="J606" s="62">
        <v>0</v>
      </c>
      <c r="K606" s="62">
        <v>0</v>
      </c>
      <c r="L606" t="str">
        <f>VLOOKUP(VALUE(LEFT(C606,5)),Xref!A:B,2,0)</f>
        <v>aka</v>
      </c>
      <c r="M606" t="str">
        <f t="shared" si="39"/>
        <v>aka-BET</v>
      </c>
    </row>
    <row r="607" spans="1:13" ht="14.25" customHeight="true">
      <c r="A607" s="33" t="str">
        <f t="shared" si="36"/>
        <v>BET - Intercompany</v>
      </c>
      <c r="B607" s="33" t="str">
        <f t="shared" si="37"/>
        <v>BET</v>
      </c>
      <c r="C607" s="33" t="str">
        <f t="shared" si="38"/>
        <v>12501-0000</v>
      </c>
      <c r="D607" t="s">
        <v>16438</v>
      </c>
      <c r="E607" t="s">
        <v>14192</v>
      </c>
      <c r="F607" t="s">
        <v>14039</v>
      </c>
      <c r="G607" t="s">
        <v>14672</v>
      </c>
      <c r="H607" t="s">
        <v>13869</v>
      </c>
      <c r="I607" t="s">
        <v>14690</v>
      </c>
      <c r="J607" s="62">
        <v>0</v>
      </c>
      <c r="K607" s="62">
        <v>0</v>
      </c>
      <c r="L607" t="str">
        <f>VLOOKUP(VALUE(LEFT(C607,5)),Xref!A:B,2,0)</f>
        <v>aka</v>
      </c>
      <c r="M607" t="str">
        <f t="shared" si="39"/>
        <v>aka-BET</v>
      </c>
    </row>
    <row r="608" spans="1:13" ht="14.25" customHeight="true">
      <c r="A608" s="33" t="str">
        <f t="shared" si="36"/>
        <v>BET - InterCo Notes</v>
      </c>
      <c r="B608" s="33" t="str">
        <f t="shared" si="37"/>
        <v>BET</v>
      </c>
      <c r="C608" s="33" t="str">
        <f t="shared" si="38"/>
        <v>25600-0000</v>
      </c>
      <c r="D608" t="s">
        <v>13488</v>
      </c>
      <c r="E608" t="s">
        <v>314</v>
      </c>
      <c r="F608" t="s">
        <v>14039</v>
      </c>
      <c r="G608" t="s">
        <v>14672</v>
      </c>
      <c r="H608" t="s">
        <v>13889</v>
      </c>
      <c r="I608" t="s">
        <v>14690</v>
      </c>
      <c r="J608" s="62">
        <v>0</v>
      </c>
      <c r="K608" s="62">
        <v>-1570000</v>
      </c>
      <c r="L608" t="str">
        <f>VLOOKUP(VALUE(LEFT(C608,5)),Xref!A:B,2,0)</f>
        <v>D7</v>
      </c>
      <c r="M608" t="str">
        <f t="shared" si="39"/>
        <v>BET-D7</v>
      </c>
    </row>
    <row r="609" spans="1:13" ht="14.25" customHeight="true">
      <c r="A609" s="33" t="str">
        <f t="shared" si="36"/>
        <v>BET - InterCo Notes</v>
      </c>
      <c r="B609" s="33" t="str">
        <f t="shared" si="37"/>
        <v>BET</v>
      </c>
      <c r="C609" s="33" t="str">
        <f t="shared" si="38"/>
        <v>25602-0000</v>
      </c>
      <c r="D609" t="s">
        <v>16478</v>
      </c>
      <c r="E609" t="s">
        <v>13426</v>
      </c>
      <c r="F609" t="s">
        <v>14039</v>
      </c>
      <c r="G609" t="s">
        <v>14672</v>
      </c>
      <c r="H609" t="s">
        <v>13889</v>
      </c>
      <c r="I609" t="s">
        <v>14690</v>
      </c>
      <c r="J609" s="62">
        <v>0</v>
      </c>
      <c r="K609" s="62">
        <v>0</v>
      </c>
      <c r="L609" t="str">
        <f>VLOOKUP(VALUE(LEFT(C609,5)),Xref!A:B,2,0)</f>
        <v>DFLP</v>
      </c>
      <c r="M609" t="str">
        <f t="shared" si="39"/>
        <v>BET-DFLP</v>
      </c>
    </row>
    <row r="610" spans="1:13" ht="14.25" customHeight="true">
      <c r="A610" s="33" t="str">
        <f t="shared" si="36"/>
        <v>BET - InterCo Notes</v>
      </c>
      <c r="B610" s="33" t="str">
        <f t="shared" si="37"/>
        <v>BET</v>
      </c>
      <c r="C610" s="33" t="str">
        <f t="shared" si="38"/>
        <v>25603-0000</v>
      </c>
      <c r="D610" t="s">
        <v>16479</v>
      </c>
      <c r="E610" t="s">
        <v>14311</v>
      </c>
      <c r="F610" t="s">
        <v>14039</v>
      </c>
      <c r="G610" t="s">
        <v>14832</v>
      </c>
      <c r="H610" t="s">
        <v>13889</v>
      </c>
      <c r="I610" t="s">
        <v>14690</v>
      </c>
      <c r="J610" s="62">
        <v>0</v>
      </c>
      <c r="K610" s="62">
        <v>0</v>
      </c>
      <c r="L610" t="str">
        <f>VLOOKUP(VALUE(LEFT(C610,5)),Xref!A:B,2,0)</f>
        <v>aka</v>
      </c>
      <c r="M610" t="str">
        <f t="shared" si="39"/>
        <v>aka-BET</v>
      </c>
    </row>
    <row r="611" spans="1:13" ht="14.25" customHeight="true">
      <c r="A611" s="33" t="str">
        <f t="shared" si="36"/>
        <v>BET - Intercompany</v>
      </c>
      <c r="B611" s="33" t="str">
        <f t="shared" si="37"/>
        <v>BET</v>
      </c>
      <c r="C611" s="33" t="str">
        <f t="shared" si="38"/>
        <v>25604-0000</v>
      </c>
      <c r="D611" t="s">
        <v>13489</v>
      </c>
      <c r="E611" t="s">
        <v>13490</v>
      </c>
      <c r="F611" t="s">
        <v>14039</v>
      </c>
      <c r="G611" t="s">
        <v>14672</v>
      </c>
      <c r="H611" t="s">
        <v>13869</v>
      </c>
      <c r="I611" t="s">
        <v>14690</v>
      </c>
      <c r="J611" s="62">
        <v>0</v>
      </c>
      <c r="K611" s="62">
        <v>-66000</v>
      </c>
      <c r="L611">
        <f>VLOOKUP(VALUE(LEFT(C611,5)),Xref!A:B,2,0)</f>
        <v>0</v>
      </c>
      <c r="M611" t="str">
        <f t="shared" si="39"/>
        <v>0-BET</v>
      </c>
    </row>
    <row r="612" spans="1:13" ht="14.25" customHeight="true">
      <c r="A612" s="33" t="str">
        <f t="shared" si="36"/>
        <v>BRU - Intercompany</v>
      </c>
      <c r="B612" s="33" t="str">
        <f t="shared" si="37"/>
        <v>BRU</v>
      </c>
      <c r="C612" s="33" t="str">
        <f t="shared" si="38"/>
        <v>11200-0000</v>
      </c>
      <c r="D612" t="s">
        <v>16602</v>
      </c>
      <c r="E612" t="s">
        <v>14069</v>
      </c>
      <c r="F612" t="s">
        <v>14039</v>
      </c>
      <c r="G612" t="s">
        <v>14672</v>
      </c>
      <c r="H612" t="s">
        <v>13869</v>
      </c>
      <c r="I612" t="s">
        <v>14690</v>
      </c>
      <c r="J612" s="62">
        <v>0</v>
      </c>
      <c r="K612" s="62">
        <v>0</v>
      </c>
      <c r="L612" t="str">
        <f>VLOOKUP(VALUE(LEFT(C612,5)),Xref!A:B,2,0)</f>
        <v>SCL</v>
      </c>
      <c r="M612" t="str">
        <f t="shared" si="39"/>
        <v>BRU-SCL</v>
      </c>
    </row>
    <row r="613" spans="1:13" ht="14.25" customHeight="true">
      <c r="A613" s="33" t="str">
        <f t="shared" si="36"/>
        <v>BRU - Intercompany</v>
      </c>
      <c r="B613" s="33" t="str">
        <f t="shared" si="37"/>
        <v>BRU</v>
      </c>
      <c r="C613" s="33" t="str">
        <f t="shared" si="38"/>
        <v>11201-0000</v>
      </c>
      <c r="D613" t="s">
        <v>16603</v>
      </c>
      <c r="E613" t="s">
        <v>14071</v>
      </c>
      <c r="F613" t="s">
        <v>14039</v>
      </c>
      <c r="G613" t="s">
        <v>14672</v>
      </c>
      <c r="H613" t="s">
        <v>13869</v>
      </c>
      <c r="I613" t="s">
        <v>14690</v>
      </c>
      <c r="J613" s="62">
        <v>0</v>
      </c>
      <c r="K613" s="62">
        <v>0</v>
      </c>
      <c r="L613" t="str">
        <f>VLOOKUP(VALUE(LEFT(C613,5)),Xref!A:B,2,0)</f>
        <v>SG2</v>
      </c>
      <c r="M613" t="str">
        <f t="shared" si="39"/>
        <v>BRU-SG2</v>
      </c>
    </row>
    <row r="614" spans="1:13" ht="14.25" customHeight="true">
      <c r="A614" s="33" t="str">
        <f t="shared" si="36"/>
        <v>BRU - Intercompany</v>
      </c>
      <c r="B614" s="33" t="str">
        <f t="shared" si="37"/>
        <v>BRU</v>
      </c>
      <c r="C614" s="33" t="str">
        <f t="shared" si="38"/>
        <v>11202-0000</v>
      </c>
      <c r="D614" t="s">
        <v>16604</v>
      </c>
      <c r="E614" t="s">
        <v>14073</v>
      </c>
      <c r="F614" t="s">
        <v>14039</v>
      </c>
      <c r="G614" t="s">
        <v>14672</v>
      </c>
      <c r="H614" t="s">
        <v>13869</v>
      </c>
      <c r="I614" t="s">
        <v>14690</v>
      </c>
      <c r="J614" s="62">
        <v>0</v>
      </c>
      <c r="K614" s="62">
        <v>0</v>
      </c>
      <c r="L614" t="str">
        <f>VLOOKUP(VALUE(LEFT(C614,5)),Xref!A:B,2,0)</f>
        <v>FFC</v>
      </c>
      <c r="M614" t="str">
        <f t="shared" si="39"/>
        <v>BRU-FFC</v>
      </c>
    </row>
    <row r="615" spans="1:13" ht="14.25" customHeight="true">
      <c r="A615" s="33" t="str">
        <f t="shared" si="36"/>
        <v>BRU - Intercompany</v>
      </c>
      <c r="B615" s="33" t="str">
        <f t="shared" si="37"/>
        <v>BRU</v>
      </c>
      <c r="C615" s="33" t="str">
        <f t="shared" si="38"/>
        <v>11203-0000</v>
      </c>
      <c r="D615" t="s">
        <v>16605</v>
      </c>
      <c r="E615" t="s">
        <v>14075</v>
      </c>
      <c r="F615" t="s">
        <v>14039</v>
      </c>
      <c r="G615" t="s">
        <v>14672</v>
      </c>
      <c r="H615" t="s">
        <v>13869</v>
      </c>
      <c r="I615" t="s">
        <v>14690</v>
      </c>
      <c r="J615" s="62">
        <v>0</v>
      </c>
      <c r="K615" s="62">
        <v>0</v>
      </c>
      <c r="L615" t="str">
        <f>VLOOKUP(VALUE(LEFT(C615,5)),Xref!A:B,2,0)</f>
        <v>HN2</v>
      </c>
      <c r="M615" t="str">
        <f t="shared" si="39"/>
        <v>BRU-HN2</v>
      </c>
    </row>
    <row r="616" spans="1:13" ht="14.25" customHeight="true">
      <c r="A616" s="33" t="str">
        <f t="shared" si="36"/>
        <v>BRU - Intercompany</v>
      </c>
      <c r="B616" s="33" t="str">
        <f t="shared" si="37"/>
        <v>BRU</v>
      </c>
      <c r="C616" s="33" t="str">
        <f t="shared" si="38"/>
        <v>11204-0000</v>
      </c>
      <c r="D616" t="s">
        <v>16606</v>
      </c>
      <c r="E616" t="s">
        <v>14077</v>
      </c>
      <c r="F616" t="s">
        <v>14039</v>
      </c>
      <c r="G616" t="s">
        <v>14672</v>
      </c>
      <c r="H616" t="s">
        <v>13869</v>
      </c>
      <c r="I616" t="s">
        <v>14690</v>
      </c>
      <c r="J616" s="62">
        <v>0</v>
      </c>
      <c r="K616" s="62">
        <v>0</v>
      </c>
      <c r="L616" t="str">
        <f>VLOOKUP(VALUE(LEFT(C616,5)),Xref!A:B,2,0)</f>
        <v>DF2</v>
      </c>
      <c r="M616" t="str">
        <f t="shared" si="39"/>
        <v>BRU-DF2</v>
      </c>
    </row>
    <row r="617" spans="1:13" ht="14.25" customHeight="true">
      <c r="A617" s="33" t="str">
        <f t="shared" si="36"/>
        <v>BRU - Intercompany</v>
      </c>
      <c r="B617" s="33" t="str">
        <f t="shared" si="37"/>
        <v>BRU</v>
      </c>
      <c r="C617" s="33" t="str">
        <f t="shared" si="38"/>
        <v>11208-0000</v>
      </c>
      <c r="D617" t="s">
        <v>16607</v>
      </c>
      <c r="E617" t="s">
        <v>14079</v>
      </c>
      <c r="F617" t="s">
        <v>14039</v>
      </c>
      <c r="G617" t="s">
        <v>14672</v>
      </c>
      <c r="H617" t="s">
        <v>13869</v>
      </c>
      <c r="I617" t="s">
        <v>14690</v>
      </c>
      <c r="J617" s="62">
        <v>0</v>
      </c>
      <c r="K617" s="62">
        <v>0</v>
      </c>
      <c r="L617" t="str">
        <f>VLOOKUP(VALUE(LEFT(C617,5)),Xref!A:B,2,0)</f>
        <v>SRE</v>
      </c>
      <c r="M617" t="str">
        <f t="shared" si="39"/>
        <v>BRU-SRE</v>
      </c>
    </row>
    <row r="618" spans="1:13" ht="14.25" customHeight="true">
      <c r="A618" s="33" t="str">
        <f t="shared" si="36"/>
        <v>BRU - Intercompany</v>
      </c>
      <c r="B618" s="33" t="str">
        <f t="shared" si="37"/>
        <v>BRU</v>
      </c>
      <c r="C618" s="33" t="str">
        <f t="shared" si="38"/>
        <v>11210-0000</v>
      </c>
      <c r="D618" t="s">
        <v>16608</v>
      </c>
      <c r="E618" t="s">
        <v>14081</v>
      </c>
      <c r="F618" t="s">
        <v>14039</v>
      </c>
      <c r="G618" t="s">
        <v>14672</v>
      </c>
      <c r="H618" t="s">
        <v>13869</v>
      </c>
      <c r="I618" t="s">
        <v>14690</v>
      </c>
      <c r="J618" s="62">
        <v>0</v>
      </c>
      <c r="K618" s="62">
        <v>0</v>
      </c>
      <c r="L618" t="str">
        <f>VLOOKUP(VALUE(LEFT(C618,5)),Xref!A:B,2,0)</f>
        <v>REM</v>
      </c>
      <c r="M618" t="str">
        <f t="shared" si="39"/>
        <v>BRU-REM</v>
      </c>
    </row>
    <row r="619" spans="1:13" ht="14.25" customHeight="true">
      <c r="A619" s="33" t="str">
        <f t="shared" si="36"/>
        <v>BRU - Intercompany</v>
      </c>
      <c r="B619" s="33" t="str">
        <f t="shared" si="37"/>
        <v>BRU</v>
      </c>
      <c r="C619" s="33" t="str">
        <f t="shared" si="38"/>
        <v>11212-0000</v>
      </c>
      <c r="D619" t="s">
        <v>16609</v>
      </c>
      <c r="E619" t="s">
        <v>14083</v>
      </c>
      <c r="F619" t="s">
        <v>14039</v>
      </c>
      <c r="G619" t="s">
        <v>14672</v>
      </c>
      <c r="H619" t="s">
        <v>13869</v>
      </c>
      <c r="I619" t="s">
        <v>14690</v>
      </c>
      <c r="J619" s="62">
        <v>0</v>
      </c>
      <c r="K619" s="62">
        <v>0</v>
      </c>
      <c r="L619" t="str">
        <f>VLOOKUP(VALUE(LEFT(C619,5)),Xref!A:B,2,0)</f>
        <v>FRM</v>
      </c>
      <c r="M619" t="str">
        <f t="shared" si="39"/>
        <v>BRU-FRM</v>
      </c>
    </row>
    <row r="620" spans="1:13" ht="14.25" customHeight="true">
      <c r="A620" s="33" t="str">
        <f t="shared" si="36"/>
        <v>BRU - Intercompany</v>
      </c>
      <c r="B620" s="33" t="str">
        <f t="shared" si="37"/>
        <v>BRU</v>
      </c>
      <c r="C620" s="33" t="str">
        <f t="shared" si="38"/>
        <v>11214-0000</v>
      </c>
      <c r="D620" t="s">
        <v>16610</v>
      </c>
      <c r="E620" t="s">
        <v>14085</v>
      </c>
      <c r="F620" t="s">
        <v>14039</v>
      </c>
      <c r="G620" t="s">
        <v>14672</v>
      </c>
      <c r="H620" t="s">
        <v>13869</v>
      </c>
      <c r="I620" t="s">
        <v>14690</v>
      </c>
      <c r="J620" s="62">
        <v>0</v>
      </c>
      <c r="K620" s="62">
        <v>0</v>
      </c>
      <c r="L620" t="str">
        <f>VLOOKUP(VALUE(LEFT(C620,5)),Xref!A:B,2,0)</f>
        <v>D7R</v>
      </c>
      <c r="M620" t="str">
        <f t="shared" si="39"/>
        <v>BRU-D7R</v>
      </c>
    </row>
    <row r="621" spans="1:13" ht="14.25" customHeight="true">
      <c r="A621" s="33" t="str">
        <f t="shared" si="36"/>
        <v>BRU - Intercompany</v>
      </c>
      <c r="B621" s="33" t="str">
        <f t="shared" si="37"/>
        <v>BRU</v>
      </c>
      <c r="C621" s="33" t="str">
        <f t="shared" si="38"/>
        <v>11215-0000</v>
      </c>
      <c r="D621" t="s">
        <v>16611</v>
      </c>
      <c r="E621" t="s">
        <v>14087</v>
      </c>
      <c r="F621" t="s">
        <v>14039</v>
      </c>
      <c r="G621" t="s">
        <v>14672</v>
      </c>
      <c r="H621" t="s">
        <v>13869</v>
      </c>
      <c r="I621" t="s">
        <v>14690</v>
      </c>
      <c r="J621" s="62">
        <v>0</v>
      </c>
      <c r="K621" s="62">
        <v>0</v>
      </c>
      <c r="L621" t="str">
        <f>VLOOKUP(VALUE(LEFT(C621,5)),Xref!A:B,2,0)</f>
        <v>CDP</v>
      </c>
      <c r="M621" t="str">
        <f t="shared" si="39"/>
        <v>BRU-CDP</v>
      </c>
    </row>
    <row r="622" spans="1:13" ht="14.25" customHeight="true">
      <c r="A622" s="33" t="str">
        <f t="shared" si="36"/>
        <v>BRU - Intercompany</v>
      </c>
      <c r="B622" s="33" t="str">
        <f t="shared" si="37"/>
        <v>BRU</v>
      </c>
      <c r="C622" s="33" t="str">
        <f t="shared" si="38"/>
        <v>11216-0000</v>
      </c>
      <c r="D622" t="s">
        <v>516</v>
      </c>
      <c r="E622" t="s">
        <v>13224</v>
      </c>
      <c r="F622" t="s">
        <v>14039</v>
      </c>
      <c r="G622" t="s">
        <v>14672</v>
      </c>
      <c r="H622" t="s">
        <v>13869</v>
      </c>
      <c r="I622" t="s">
        <v>14690</v>
      </c>
      <c r="J622" s="62">
        <v>-684.66</v>
      </c>
      <c r="K622" s="62">
        <v>-5522.08</v>
      </c>
      <c r="L622" t="str">
        <f>VLOOKUP(VALUE(LEFT(C622,5)),Xref!A:B,2,0)</f>
        <v>SIL</v>
      </c>
      <c r="M622" t="str">
        <f t="shared" si="39"/>
        <v>BRU-SIL</v>
      </c>
    </row>
    <row r="623" spans="1:13" ht="14.25" customHeight="true">
      <c r="A623" s="33" t="str">
        <f t="shared" si="36"/>
        <v>BRU - Intercompany</v>
      </c>
      <c r="B623" s="33" t="str">
        <f t="shared" si="37"/>
        <v>BRU</v>
      </c>
      <c r="C623" s="33" t="str">
        <f t="shared" si="38"/>
        <v>11232-0000</v>
      </c>
      <c r="D623" t="s">
        <v>16612</v>
      </c>
      <c r="E623" t="s">
        <v>12486</v>
      </c>
      <c r="F623" t="s">
        <v>14039</v>
      </c>
      <c r="G623" t="s">
        <v>14672</v>
      </c>
      <c r="H623" t="s">
        <v>13869</v>
      </c>
      <c r="I623" t="s">
        <v>14690</v>
      </c>
      <c r="J623" s="62">
        <v>0</v>
      </c>
      <c r="K623" s="62">
        <v>0</v>
      </c>
      <c r="L623" t="str">
        <f>VLOOKUP(VALUE(LEFT(C623,5)),Xref!A:B,2,0)</f>
        <v>SC2</v>
      </c>
      <c r="M623" t="str">
        <f t="shared" si="39"/>
        <v>BRU-SC2</v>
      </c>
    </row>
    <row r="624" spans="1:13" ht="14.25" customHeight="true">
      <c r="A624" s="33" t="str">
        <f t="shared" si="36"/>
        <v>BRU - Intercompany</v>
      </c>
      <c r="B624" s="33" t="str">
        <f t="shared" si="37"/>
        <v>BRU</v>
      </c>
      <c r="C624" s="33" t="str">
        <f t="shared" si="38"/>
        <v>11301-0000</v>
      </c>
      <c r="D624" t="s">
        <v>16613</v>
      </c>
      <c r="E624" t="s">
        <v>13225</v>
      </c>
      <c r="F624" t="s">
        <v>14039</v>
      </c>
      <c r="G624" t="s">
        <v>14672</v>
      </c>
      <c r="H624" t="s">
        <v>13869</v>
      </c>
      <c r="I624" t="s">
        <v>14690</v>
      </c>
      <c r="J624" s="62">
        <v>0</v>
      </c>
      <c r="K624" s="62">
        <v>0</v>
      </c>
      <c r="L624" t="str">
        <f>VLOOKUP(VALUE(LEFT(C624,5)),Xref!A:B,2,0)</f>
        <v>CRE</v>
      </c>
      <c r="M624" t="str">
        <f t="shared" si="39"/>
        <v>BRU-CRE</v>
      </c>
    </row>
    <row r="625" spans="1:13" ht="14.25" customHeight="true">
      <c r="A625" s="33" t="str">
        <f t="shared" si="36"/>
        <v>BRU - Intercompany</v>
      </c>
      <c r="B625" s="33" t="str">
        <f t="shared" si="37"/>
        <v>BRU</v>
      </c>
      <c r="C625" s="33" t="str">
        <f t="shared" si="38"/>
        <v>11302-0000</v>
      </c>
      <c r="D625" t="s">
        <v>16614</v>
      </c>
      <c r="E625" t="s">
        <v>13226</v>
      </c>
      <c r="F625" t="s">
        <v>14039</v>
      </c>
      <c r="G625" t="s">
        <v>14672</v>
      </c>
      <c r="H625" t="s">
        <v>13869</v>
      </c>
      <c r="I625" t="s">
        <v>14690</v>
      </c>
      <c r="J625" s="62">
        <v>0</v>
      </c>
      <c r="K625" s="62">
        <v>0</v>
      </c>
      <c r="L625" t="str">
        <f>VLOOKUP(VALUE(LEFT(C625,5)),Xref!A:B,2,0)</f>
        <v>CHA</v>
      </c>
      <c r="M625" t="str">
        <f t="shared" si="39"/>
        <v>BRU-CHA</v>
      </c>
    </row>
    <row r="626" spans="1:13" ht="14.25" customHeight="true">
      <c r="A626" s="33" t="str">
        <f t="shared" si="36"/>
        <v>BRU - Intercompany</v>
      </c>
      <c r="B626" s="33" t="str">
        <f t="shared" si="37"/>
        <v>BRU</v>
      </c>
      <c r="C626" s="33" t="str">
        <f t="shared" si="38"/>
        <v>11303-0000</v>
      </c>
      <c r="D626" t="s">
        <v>16615</v>
      </c>
      <c r="E626" t="s">
        <v>13227</v>
      </c>
      <c r="F626" t="s">
        <v>14039</v>
      </c>
      <c r="G626" t="s">
        <v>14672</v>
      </c>
      <c r="H626" t="s">
        <v>13869</v>
      </c>
      <c r="I626" t="s">
        <v>14690</v>
      </c>
      <c r="J626" s="62">
        <v>0</v>
      </c>
      <c r="K626" s="62">
        <v>0</v>
      </c>
      <c r="L626" t="str">
        <f>VLOOKUP(VALUE(LEFT(C626,5)),Xref!A:B,2,0)</f>
        <v>DIA</v>
      </c>
      <c r="M626" t="str">
        <f t="shared" si="39"/>
        <v>BRU-DIA</v>
      </c>
    </row>
    <row r="627" spans="1:13" ht="14.25" customHeight="true">
      <c r="A627" s="33" t="str">
        <f t="shared" si="36"/>
        <v>BRU - Intercompany</v>
      </c>
      <c r="B627" s="33" t="str">
        <f t="shared" si="37"/>
        <v>BRU</v>
      </c>
      <c r="C627" s="33" t="str">
        <f t="shared" si="38"/>
        <v>11304-0000</v>
      </c>
      <c r="D627" t="s">
        <v>16616</v>
      </c>
      <c r="E627" t="s">
        <v>13228</v>
      </c>
      <c r="F627" t="s">
        <v>14039</v>
      </c>
      <c r="G627" t="s">
        <v>14672</v>
      </c>
      <c r="H627" t="s">
        <v>13869</v>
      </c>
      <c r="I627" t="s">
        <v>14690</v>
      </c>
      <c r="J627" s="62">
        <v>0</v>
      </c>
      <c r="K627" s="62">
        <v>0</v>
      </c>
      <c r="L627" t="str">
        <f>VLOOKUP(VALUE(LEFT(C627,5)),Xref!A:B,2,0)</f>
        <v>EAG</v>
      </c>
      <c r="M627" t="str">
        <f t="shared" si="39"/>
        <v>BRU-EAG</v>
      </c>
    </row>
    <row r="628" spans="1:13" ht="14.25" customHeight="true">
      <c r="A628" s="33" t="str">
        <f t="shared" si="36"/>
        <v>BRU - Intercompany</v>
      </c>
      <c r="B628" s="33" t="str">
        <f t="shared" si="37"/>
        <v>BRU</v>
      </c>
      <c r="C628" s="33" t="str">
        <f t="shared" si="38"/>
        <v>11305-0000</v>
      </c>
      <c r="D628" t="s">
        <v>16617</v>
      </c>
      <c r="E628" t="s">
        <v>13229</v>
      </c>
      <c r="F628" t="s">
        <v>14039</v>
      </c>
      <c r="G628" t="s">
        <v>14672</v>
      </c>
      <c r="H628" t="s">
        <v>13869</v>
      </c>
      <c r="I628" t="s">
        <v>14690</v>
      </c>
      <c r="J628" s="62">
        <v>0</v>
      </c>
      <c r="K628" s="62">
        <v>0</v>
      </c>
      <c r="L628" t="str">
        <f>VLOOKUP(VALUE(LEFT(C628,5)),Xref!A:B,2,0)</f>
        <v>NEW</v>
      </c>
      <c r="M628" t="str">
        <f t="shared" si="39"/>
        <v>BRU-NEW</v>
      </c>
    </row>
    <row r="629" spans="1:13" ht="14.25" customHeight="true">
      <c r="A629" s="33" t="str">
        <f t="shared" si="36"/>
        <v>BRU - Intercompany</v>
      </c>
      <c r="B629" s="33" t="str">
        <f t="shared" si="37"/>
        <v>BRU</v>
      </c>
      <c r="C629" s="33" t="str">
        <f t="shared" si="38"/>
        <v>11307-0000</v>
      </c>
      <c r="D629" t="s">
        <v>16618</v>
      </c>
      <c r="E629" t="s">
        <v>14096</v>
      </c>
      <c r="F629" t="s">
        <v>14039</v>
      </c>
      <c r="G629" t="s">
        <v>14672</v>
      </c>
      <c r="H629" t="s">
        <v>13869</v>
      </c>
      <c r="I629" t="s">
        <v>14690</v>
      </c>
      <c r="J629" s="62">
        <v>0</v>
      </c>
      <c r="K629" s="62">
        <v>0</v>
      </c>
      <c r="L629" t="str">
        <f>VLOOKUP(VALUE(LEFT(C629,5)),Xref!A:B,2,0)</f>
        <v>NES</v>
      </c>
      <c r="M629" t="str">
        <f t="shared" si="39"/>
        <v>BRU-NES</v>
      </c>
    </row>
    <row r="630" spans="1:13" ht="14.25" customHeight="true">
      <c r="A630" s="33" t="str">
        <f t="shared" si="36"/>
        <v>BRU - Intercompany</v>
      </c>
      <c r="B630" s="33" t="str">
        <f t="shared" si="37"/>
        <v>BRU</v>
      </c>
      <c r="C630" s="33" t="str">
        <f t="shared" si="38"/>
        <v>11308-0000</v>
      </c>
      <c r="D630" t="s">
        <v>16619</v>
      </c>
      <c r="E630" t="s">
        <v>13476</v>
      </c>
      <c r="F630" t="s">
        <v>14039</v>
      </c>
      <c r="G630" t="s">
        <v>14672</v>
      </c>
      <c r="H630" t="s">
        <v>13869</v>
      </c>
      <c r="I630" t="s">
        <v>14690</v>
      </c>
      <c r="J630" s="62">
        <v>0</v>
      </c>
      <c r="K630" s="62">
        <v>0</v>
      </c>
      <c r="L630" t="str">
        <f>VLOOKUP(VALUE(LEFT(C630,5)),Xref!A:B,2,0)</f>
        <v>LPI</v>
      </c>
      <c r="M630" t="str">
        <f t="shared" si="39"/>
        <v>BRU-LPI</v>
      </c>
    </row>
    <row r="631" spans="1:13" ht="14.25" customHeight="true">
      <c r="A631" s="33" t="str">
        <f t="shared" si="36"/>
        <v>BRU - Intercompany</v>
      </c>
      <c r="B631" s="33" t="str">
        <f t="shared" si="37"/>
        <v>BRU</v>
      </c>
      <c r="C631" s="33" t="str">
        <f t="shared" si="38"/>
        <v>11309-0000</v>
      </c>
      <c r="D631" t="s">
        <v>16620</v>
      </c>
      <c r="E631" t="s">
        <v>13230</v>
      </c>
      <c r="F631" t="s">
        <v>14039</v>
      </c>
      <c r="G631" t="s">
        <v>14672</v>
      </c>
      <c r="H631" t="s">
        <v>13869</v>
      </c>
      <c r="I631" t="s">
        <v>14690</v>
      </c>
      <c r="J631" s="62">
        <v>0</v>
      </c>
      <c r="K631" s="62">
        <v>0</v>
      </c>
      <c r="L631" t="str">
        <f>VLOOKUP(VALUE(LEFT(C631,5)),Xref!A:B,2,0)</f>
        <v>GPI</v>
      </c>
      <c r="M631" t="str">
        <f t="shared" si="39"/>
        <v>BRU-GPI</v>
      </c>
    </row>
    <row r="632" spans="1:13" ht="14.25" customHeight="true">
      <c r="A632" s="33" t="str">
        <f t="shared" si="36"/>
        <v>BRU - Intercompany</v>
      </c>
      <c r="B632" s="33" t="str">
        <f t="shared" si="37"/>
        <v>BRU</v>
      </c>
      <c r="C632" s="33" t="str">
        <f t="shared" si="38"/>
        <v>11310-0000</v>
      </c>
      <c r="D632" t="s">
        <v>517</v>
      </c>
      <c r="E632" t="s">
        <v>13231</v>
      </c>
      <c r="F632" t="s">
        <v>14039</v>
      </c>
      <c r="G632" t="s">
        <v>14672</v>
      </c>
      <c r="H632" t="s">
        <v>13869</v>
      </c>
      <c r="I632" t="s">
        <v>14690</v>
      </c>
      <c r="J632" s="62">
        <v>0</v>
      </c>
      <c r="K632" s="62">
        <v>-10000</v>
      </c>
      <c r="L632" t="str">
        <f>VLOOKUP(VALUE(LEFT(C632,5)),Xref!A:B,2,0)</f>
        <v>ALP</v>
      </c>
      <c r="M632" t="str">
        <f t="shared" si="39"/>
        <v>ALP-BRU</v>
      </c>
    </row>
    <row r="633" spans="1:13" ht="14.25" customHeight="true">
      <c r="A633" s="33" t="str">
        <f t="shared" si="36"/>
        <v>BRU - Intercompany</v>
      </c>
      <c r="B633" s="33" t="str">
        <f t="shared" si="37"/>
        <v>BRU</v>
      </c>
      <c r="C633" s="33" t="str">
        <f t="shared" si="38"/>
        <v>11311-0000</v>
      </c>
      <c r="D633" t="s">
        <v>16621</v>
      </c>
      <c r="E633" t="s">
        <v>13232</v>
      </c>
      <c r="F633" t="s">
        <v>14039</v>
      </c>
      <c r="G633" t="s">
        <v>14672</v>
      </c>
      <c r="H633" t="s">
        <v>13869</v>
      </c>
      <c r="I633" t="s">
        <v>14690</v>
      </c>
      <c r="J633" s="62">
        <v>0</v>
      </c>
      <c r="K633" s="62">
        <v>0</v>
      </c>
      <c r="L633" t="str">
        <f>VLOOKUP(VALUE(LEFT(C633,5)),Xref!A:B,2,0)</f>
        <v>BET</v>
      </c>
      <c r="M633" t="str">
        <f t="shared" si="39"/>
        <v>BET-BRU</v>
      </c>
    </row>
    <row r="634" spans="1:13" ht="14.25" customHeight="true">
      <c r="A634" s="33" t="str">
        <f t="shared" si="36"/>
        <v>BRU - Intercompany</v>
      </c>
      <c r="B634" s="33" t="str">
        <f t="shared" si="37"/>
        <v>BRU</v>
      </c>
      <c r="C634" s="33" t="str">
        <f t="shared" si="38"/>
        <v>11312-0000</v>
      </c>
      <c r="D634" t="s">
        <v>16622</v>
      </c>
      <c r="E634" t="s">
        <v>14102</v>
      </c>
      <c r="F634" t="s">
        <v>14039</v>
      </c>
      <c r="G634" t="s">
        <v>14672</v>
      </c>
      <c r="H634" t="s">
        <v>13869</v>
      </c>
      <c r="I634" t="s">
        <v>14690</v>
      </c>
      <c r="J634" s="62">
        <v>0</v>
      </c>
      <c r="K634" s="62">
        <v>0</v>
      </c>
      <c r="L634" t="str">
        <f>VLOOKUP(VALUE(LEFT(C634,5)),Xref!A:B,2,0)</f>
        <v>DEL</v>
      </c>
      <c r="M634" t="str">
        <f t="shared" si="39"/>
        <v>BRU-DEL</v>
      </c>
    </row>
    <row r="635" spans="1:13" ht="14.25" customHeight="true">
      <c r="A635" s="33" t="str">
        <f t="shared" si="36"/>
        <v>BRU - Intercompany</v>
      </c>
      <c r="B635" s="33" t="str">
        <f t="shared" si="37"/>
        <v>BRU</v>
      </c>
      <c r="C635" s="33" t="str">
        <f t="shared" si="38"/>
        <v>11313-0000</v>
      </c>
      <c r="D635" t="s">
        <v>16623</v>
      </c>
      <c r="E635" t="s">
        <v>13233</v>
      </c>
      <c r="F635" t="s">
        <v>14039</v>
      </c>
      <c r="G635" t="s">
        <v>14672</v>
      </c>
      <c r="H635" t="s">
        <v>13869</v>
      </c>
      <c r="I635" t="s">
        <v>14690</v>
      </c>
      <c r="J635" s="62">
        <v>0</v>
      </c>
      <c r="K635" s="62">
        <v>0</v>
      </c>
      <c r="L635" t="str">
        <f>VLOOKUP(VALUE(LEFT(C635,5)),Xref!A:B,2,0)</f>
        <v>DOL</v>
      </c>
      <c r="M635" t="str">
        <f t="shared" si="39"/>
        <v>BRU-DOL</v>
      </c>
    </row>
    <row r="636" spans="1:13" ht="14.25" customHeight="true">
      <c r="A636" s="33" t="str">
        <f t="shared" si="36"/>
        <v>BRU - Intercompany</v>
      </c>
      <c r="B636" s="33" t="str">
        <f t="shared" si="37"/>
        <v>BRU</v>
      </c>
      <c r="C636" s="33" t="str">
        <f t="shared" si="38"/>
        <v>11314-0000</v>
      </c>
      <c r="D636" t="s">
        <v>16624</v>
      </c>
      <c r="E636" t="s">
        <v>13351</v>
      </c>
      <c r="F636" t="s">
        <v>14039</v>
      </c>
      <c r="G636" t="s">
        <v>14672</v>
      </c>
      <c r="H636" t="s">
        <v>13869</v>
      </c>
      <c r="I636" t="s">
        <v>14690</v>
      </c>
      <c r="J636" s="62">
        <v>0</v>
      </c>
      <c r="K636" s="62">
        <v>0</v>
      </c>
      <c r="L636" t="str">
        <f>VLOOKUP(VALUE(LEFT(C636,5)),Xref!A:B,2,0)</f>
        <v>GRI</v>
      </c>
      <c r="M636" t="str">
        <f t="shared" si="39"/>
        <v>BRU-GRI</v>
      </c>
    </row>
    <row r="637" spans="1:13" ht="14.25" customHeight="true">
      <c r="A637" s="33" t="str">
        <f t="shared" si="36"/>
        <v>BRU - Intercompany</v>
      </c>
      <c r="B637" s="33" t="str">
        <f t="shared" si="37"/>
        <v>BRU</v>
      </c>
      <c r="C637" s="33" t="str">
        <f t="shared" si="38"/>
        <v>11315-0000</v>
      </c>
      <c r="D637" t="s">
        <v>16625</v>
      </c>
      <c r="E637" t="s">
        <v>13234</v>
      </c>
      <c r="F637" t="s">
        <v>14039</v>
      </c>
      <c r="G637" t="s">
        <v>14672</v>
      </c>
      <c r="H637" t="s">
        <v>13869</v>
      </c>
      <c r="I637" t="s">
        <v>14690</v>
      </c>
      <c r="J637" s="62">
        <v>0</v>
      </c>
      <c r="K637" s="62">
        <v>0</v>
      </c>
      <c r="L637" t="str">
        <f>VLOOKUP(VALUE(LEFT(C637,5)),Xref!A:B,2,0)</f>
        <v>PUR</v>
      </c>
      <c r="M637" t="str">
        <f t="shared" si="39"/>
        <v>BRU-PUR</v>
      </c>
    </row>
    <row r="638" spans="1:13" ht="14.25" customHeight="true">
      <c r="A638" s="33" t="str">
        <f t="shared" si="36"/>
        <v>BRU - Intercompany</v>
      </c>
      <c r="B638" s="33" t="str">
        <f t="shared" si="37"/>
        <v>BRU</v>
      </c>
      <c r="C638" s="33" t="str">
        <f t="shared" si="38"/>
        <v>11316-0000</v>
      </c>
      <c r="D638" t="s">
        <v>518</v>
      </c>
      <c r="E638" t="s">
        <v>13235</v>
      </c>
      <c r="F638" t="s">
        <v>14039</v>
      </c>
      <c r="G638" t="s">
        <v>14672</v>
      </c>
      <c r="H638" t="s">
        <v>13869</v>
      </c>
      <c r="I638" t="s">
        <v>14690</v>
      </c>
      <c r="J638" s="62">
        <v>0</v>
      </c>
      <c r="K638" s="62">
        <v>16000</v>
      </c>
      <c r="L638" t="str">
        <f>VLOOKUP(VALUE(LEFT(C638,5)),Xref!A:B,2,0)</f>
        <v>VAL</v>
      </c>
      <c r="M638" t="str">
        <f t="shared" si="39"/>
        <v>BRU-VAL</v>
      </c>
    </row>
    <row r="639" spans="1:13" ht="14.25" customHeight="true">
      <c r="A639" s="33" t="str">
        <f t="shared" si="36"/>
        <v>BRU - Intercompany</v>
      </c>
      <c r="B639" s="33" t="str">
        <f t="shared" si="37"/>
        <v>BRU</v>
      </c>
      <c r="C639" s="33" t="str">
        <f t="shared" si="38"/>
        <v>11317-0000</v>
      </c>
      <c r="D639" t="s">
        <v>519</v>
      </c>
      <c r="E639" t="s">
        <v>13352</v>
      </c>
      <c r="F639" t="s">
        <v>14039</v>
      </c>
      <c r="G639" t="s">
        <v>14672</v>
      </c>
      <c r="H639" t="s">
        <v>13869</v>
      </c>
      <c r="I639" t="s">
        <v>14690</v>
      </c>
      <c r="J639" s="62">
        <v>0</v>
      </c>
      <c r="K639" s="62">
        <v>-32000</v>
      </c>
      <c r="L639" t="str">
        <f>VLOOKUP(VALUE(LEFT(C639,5)),Xref!A:B,2,0)</f>
        <v>AKG</v>
      </c>
      <c r="M639" t="str">
        <f t="shared" si="39"/>
        <v>AKG-BRU</v>
      </c>
    </row>
    <row r="640" spans="1:13" ht="14.25" customHeight="true">
      <c r="A640" s="33" t="str">
        <f t="shared" si="36"/>
        <v>BRU - Intercompany</v>
      </c>
      <c r="B640" s="33" t="str">
        <f t="shared" si="37"/>
        <v>BRU</v>
      </c>
      <c r="C640" s="33" t="str">
        <f t="shared" si="38"/>
        <v>11318-0000</v>
      </c>
      <c r="D640" t="s">
        <v>16626</v>
      </c>
      <c r="E640" t="s">
        <v>13477</v>
      </c>
      <c r="F640" t="s">
        <v>14039</v>
      </c>
      <c r="G640" t="s">
        <v>14672</v>
      </c>
      <c r="H640" t="s">
        <v>13869</v>
      </c>
      <c r="I640" t="s">
        <v>14690</v>
      </c>
      <c r="J640" s="62">
        <v>0</v>
      </c>
      <c r="K640" s="62">
        <v>0</v>
      </c>
      <c r="L640" t="str">
        <f>VLOOKUP(VALUE(LEFT(C640,5)),Xref!A:B,2,0)</f>
        <v>FIR</v>
      </c>
      <c r="M640" t="str">
        <f t="shared" si="39"/>
        <v>BRU-FIR</v>
      </c>
    </row>
    <row r="641" spans="1:13" ht="14.25" customHeight="true">
      <c r="A641" s="33" t="str">
        <f t="shared" si="36"/>
        <v>BRU - Intercompany</v>
      </c>
      <c r="B641" s="33" t="str">
        <f t="shared" si="37"/>
        <v>BRU</v>
      </c>
      <c r="C641" s="33" t="str">
        <f t="shared" si="38"/>
        <v>11319-0000</v>
      </c>
      <c r="D641" t="s">
        <v>16627</v>
      </c>
      <c r="E641" t="s">
        <v>266</v>
      </c>
      <c r="F641" t="s">
        <v>14039</v>
      </c>
      <c r="G641" t="s">
        <v>14672</v>
      </c>
      <c r="H641" t="s">
        <v>13869</v>
      </c>
      <c r="I641" t="s">
        <v>14690</v>
      </c>
      <c r="J641" s="62">
        <v>0</v>
      </c>
      <c r="K641" s="62">
        <v>0</v>
      </c>
      <c r="L641" t="str">
        <f>VLOOKUP(VALUE(LEFT(C641,5)),Xref!A:B,2,0)</f>
        <v>GST</v>
      </c>
      <c r="M641" t="str">
        <f t="shared" si="39"/>
        <v>BRU-GST</v>
      </c>
    </row>
    <row r="642" spans="1:13" ht="14.25" customHeight="true">
      <c r="A642" s="33" t="str">
        <f t="shared" ref="A642:A705" si="40">B642&amp;" - "&amp;TRIM(H642)</f>
        <v>BRU - Intercompany</v>
      </c>
      <c r="B642" s="33" t="str">
        <f t="shared" ref="B642:B705" si="41">LEFT(D642,3)</f>
        <v>BRU</v>
      </c>
      <c r="C642" s="33" t="str">
        <f t="shared" ref="C642:C705" si="42">RIGHT(D642,10)</f>
        <v>11320-0000</v>
      </c>
      <c r="D642" t="s">
        <v>16628</v>
      </c>
      <c r="E642" t="s">
        <v>14111</v>
      </c>
      <c r="F642" t="s">
        <v>14039</v>
      </c>
      <c r="G642" t="s">
        <v>14672</v>
      </c>
      <c r="H642" t="s">
        <v>13869</v>
      </c>
      <c r="I642" t="s">
        <v>14690</v>
      </c>
      <c r="J642" s="62">
        <v>0</v>
      </c>
      <c r="K642" s="62">
        <v>0</v>
      </c>
      <c r="L642" t="str">
        <f>VLOOKUP(VALUE(LEFT(C642,5)),Xref!A:B,2,0)</f>
        <v>HDN</v>
      </c>
      <c r="M642" t="str">
        <f t="shared" ref="M642:M705" si="43">IF(B642&lt;L642,B642&amp;"-"&amp;L642,L642&amp;"-"&amp;B642)</f>
        <v>BRU-HDN</v>
      </c>
    </row>
    <row r="643" spans="1:13" ht="14.25" customHeight="true">
      <c r="A643" s="33" t="str">
        <f t="shared" si="40"/>
        <v>BRU - Intercompany</v>
      </c>
      <c r="B643" s="33" t="str">
        <f t="shared" si="41"/>
        <v>BRU</v>
      </c>
      <c r="C643" s="33" t="str">
        <f t="shared" si="42"/>
        <v>11321-0000</v>
      </c>
      <c r="D643" t="s">
        <v>16629</v>
      </c>
      <c r="E643" t="s">
        <v>13236</v>
      </c>
      <c r="F643" t="s">
        <v>14039</v>
      </c>
      <c r="G643" t="s">
        <v>14672</v>
      </c>
      <c r="H643" t="s">
        <v>13869</v>
      </c>
      <c r="I643" t="s">
        <v>14690</v>
      </c>
      <c r="J643" s="62">
        <v>0</v>
      </c>
      <c r="K643" s="62">
        <v>0</v>
      </c>
      <c r="L643" t="str">
        <f>VLOOKUP(VALUE(LEFT(C643,5)),Xref!A:B,2,0)</f>
        <v>OVA</v>
      </c>
      <c r="M643" t="str">
        <f t="shared" si="43"/>
        <v>BRU-OVA</v>
      </c>
    </row>
    <row r="644" spans="1:13" ht="14.25" customHeight="true">
      <c r="A644" s="33" t="str">
        <f t="shared" si="40"/>
        <v>BRU - Intercompany</v>
      </c>
      <c r="B644" s="33" t="str">
        <f t="shared" si="41"/>
        <v>BRU</v>
      </c>
      <c r="C644" s="33" t="str">
        <f t="shared" si="42"/>
        <v>11322-0000</v>
      </c>
      <c r="D644" t="s">
        <v>16630</v>
      </c>
      <c r="E644" t="s">
        <v>13237</v>
      </c>
      <c r="F644" t="s">
        <v>14039</v>
      </c>
      <c r="G644" t="s">
        <v>14672</v>
      </c>
      <c r="H644" t="s">
        <v>13869</v>
      </c>
      <c r="I644" t="s">
        <v>14690</v>
      </c>
      <c r="J644" s="62">
        <v>0</v>
      </c>
      <c r="K644" s="62">
        <v>0</v>
      </c>
      <c r="L644" t="str">
        <f>VLOOKUP(VALUE(LEFT(C644,5)),Xref!A:B,2,0)</f>
        <v>WOO</v>
      </c>
      <c r="M644" t="str">
        <f t="shared" si="43"/>
        <v>BRU-WOO</v>
      </c>
    </row>
    <row r="645" spans="1:13" ht="14.25" customHeight="true">
      <c r="A645" s="33" t="str">
        <f t="shared" si="40"/>
        <v>BRU - Intercompany</v>
      </c>
      <c r="B645" s="33" t="str">
        <f t="shared" si="41"/>
        <v>BRU</v>
      </c>
      <c r="C645" s="33" t="str">
        <f t="shared" si="42"/>
        <v>11323-0000</v>
      </c>
      <c r="D645" t="s">
        <v>16631</v>
      </c>
      <c r="E645" t="s">
        <v>13478</v>
      </c>
      <c r="F645" t="s">
        <v>14039</v>
      </c>
      <c r="G645" t="s">
        <v>14672</v>
      </c>
      <c r="H645" t="s">
        <v>13869</v>
      </c>
      <c r="I645" t="s">
        <v>14690</v>
      </c>
      <c r="J645" s="62">
        <v>0</v>
      </c>
      <c r="K645" s="62">
        <v>0</v>
      </c>
      <c r="L645" t="str">
        <f>VLOOKUP(VALUE(LEFT(C645,5)),Xref!A:B,2,0)</f>
        <v>SPI</v>
      </c>
      <c r="M645" t="str">
        <f t="shared" si="43"/>
        <v>BRU-SPI</v>
      </c>
    </row>
    <row r="646" spans="1:13" ht="14.25" customHeight="true">
      <c r="A646" s="33" t="str">
        <f t="shared" si="40"/>
        <v>BRU - Intercompany</v>
      </c>
      <c r="B646" s="33" t="str">
        <f t="shared" si="41"/>
        <v>BRU</v>
      </c>
      <c r="C646" s="33" t="str">
        <f t="shared" si="42"/>
        <v>11324-0000</v>
      </c>
      <c r="D646" t="s">
        <v>16632</v>
      </c>
      <c r="E646" t="s">
        <v>13238</v>
      </c>
      <c r="F646" t="s">
        <v>14039</v>
      </c>
      <c r="G646" t="s">
        <v>14672</v>
      </c>
      <c r="H646" t="s">
        <v>13869</v>
      </c>
      <c r="I646" t="s">
        <v>14690</v>
      </c>
      <c r="J646" s="62">
        <v>0</v>
      </c>
      <c r="K646" s="62">
        <v>0</v>
      </c>
      <c r="L646" t="str">
        <f>VLOOKUP(VALUE(LEFT(C646,5)),Xref!A:B,2,0)</f>
        <v>NET</v>
      </c>
      <c r="M646" t="str">
        <f t="shared" si="43"/>
        <v>BRU-NET</v>
      </c>
    </row>
    <row r="647" spans="1:13" ht="14.25" customHeight="true">
      <c r="A647" s="33" t="str">
        <f t="shared" si="40"/>
        <v>BRU - Intercompany</v>
      </c>
      <c r="B647" s="33" t="str">
        <f t="shared" si="41"/>
        <v>BRU</v>
      </c>
      <c r="C647" s="33" t="str">
        <f t="shared" si="42"/>
        <v>11325-0000</v>
      </c>
      <c r="D647" t="s">
        <v>521</v>
      </c>
      <c r="E647" t="s">
        <v>13239</v>
      </c>
      <c r="F647" t="s">
        <v>14039</v>
      </c>
      <c r="G647" t="s">
        <v>14672</v>
      </c>
      <c r="H647" t="s">
        <v>13869</v>
      </c>
      <c r="I647" t="s">
        <v>14690</v>
      </c>
      <c r="J647" s="62">
        <v>0</v>
      </c>
      <c r="K647" s="62">
        <v>-5000</v>
      </c>
      <c r="L647" t="str">
        <f>VLOOKUP(VALUE(LEFT(C647,5)),Xref!A:B,2,0)</f>
        <v>DPI</v>
      </c>
      <c r="M647" t="str">
        <f t="shared" si="43"/>
        <v>BRU-DPI</v>
      </c>
    </row>
    <row r="648" spans="1:13" ht="14.25" customHeight="true">
      <c r="A648" s="33" t="str">
        <f t="shared" si="40"/>
        <v>BRU - Intercompany</v>
      </c>
      <c r="B648" s="33" t="str">
        <f t="shared" si="41"/>
        <v>BRU</v>
      </c>
      <c r="C648" s="33" t="str">
        <f t="shared" si="42"/>
        <v>11326-0000</v>
      </c>
      <c r="D648" t="s">
        <v>16633</v>
      </c>
      <c r="E648" t="s">
        <v>13240</v>
      </c>
      <c r="F648" t="s">
        <v>14039</v>
      </c>
      <c r="G648" t="s">
        <v>14672</v>
      </c>
      <c r="H648" t="s">
        <v>13869</v>
      </c>
      <c r="I648" t="s">
        <v>14690</v>
      </c>
      <c r="J648" s="62">
        <v>0</v>
      </c>
      <c r="K648" s="62">
        <v>0</v>
      </c>
      <c r="L648" t="str">
        <f>VLOOKUP(VALUE(LEFT(C648,5)),Xref!A:B,2,0)</f>
        <v>SEK</v>
      </c>
      <c r="M648" t="str">
        <f t="shared" si="43"/>
        <v>BRU-SEK</v>
      </c>
    </row>
    <row r="649" spans="1:13" ht="14.25" customHeight="true">
      <c r="A649" s="33" t="str">
        <f t="shared" si="40"/>
        <v>BRU - Intercompany</v>
      </c>
      <c r="B649" s="33" t="str">
        <f t="shared" si="41"/>
        <v>BRU</v>
      </c>
      <c r="C649" s="33" t="str">
        <f t="shared" si="42"/>
        <v>11327-0000</v>
      </c>
      <c r="D649" t="s">
        <v>16634</v>
      </c>
      <c r="E649" t="s">
        <v>14119</v>
      </c>
      <c r="F649" t="s">
        <v>14039</v>
      </c>
      <c r="G649" t="s">
        <v>14672</v>
      </c>
      <c r="H649" t="s">
        <v>13869</v>
      </c>
      <c r="I649" t="s">
        <v>14690</v>
      </c>
      <c r="J649" s="62">
        <v>0</v>
      </c>
      <c r="K649" s="62">
        <v>0</v>
      </c>
      <c r="L649" t="str">
        <f>VLOOKUP(VALUE(LEFT(C649,5)),Xref!A:B,2,0)</f>
        <v>CPI</v>
      </c>
      <c r="M649" t="str">
        <f t="shared" si="43"/>
        <v>BRU-CPI</v>
      </c>
    </row>
    <row r="650" spans="1:13" ht="14.25" customHeight="true">
      <c r="A650" s="33" t="str">
        <f t="shared" si="40"/>
        <v>BRU - Intercompany</v>
      </c>
      <c r="B650" s="33" t="str">
        <f t="shared" si="41"/>
        <v>BRU</v>
      </c>
      <c r="C650" s="33" t="str">
        <f t="shared" si="42"/>
        <v>11328-0000</v>
      </c>
      <c r="D650" t="s">
        <v>16635</v>
      </c>
      <c r="E650" t="s">
        <v>13241</v>
      </c>
      <c r="F650" t="s">
        <v>14039</v>
      </c>
      <c r="G650" t="s">
        <v>14672</v>
      </c>
      <c r="H650" t="s">
        <v>13869</v>
      </c>
      <c r="I650" t="s">
        <v>14690</v>
      </c>
      <c r="J650" s="62">
        <v>0</v>
      </c>
      <c r="K650" s="62">
        <v>0</v>
      </c>
      <c r="L650" t="str">
        <f>VLOOKUP(VALUE(LEFT(C650,5)),Xref!A:B,2,0)</f>
        <v>LOM</v>
      </c>
      <c r="M650" t="str">
        <f t="shared" si="43"/>
        <v>BRU-LOM</v>
      </c>
    </row>
    <row r="651" spans="1:13" ht="14.25" customHeight="true">
      <c r="A651" s="33" t="str">
        <f t="shared" si="40"/>
        <v>BRU - Intercompany</v>
      </c>
      <c r="B651" s="33" t="str">
        <f t="shared" si="41"/>
        <v>BRU</v>
      </c>
      <c r="C651" s="33" t="str">
        <f t="shared" si="42"/>
        <v>11329-0000</v>
      </c>
      <c r="D651" t="s">
        <v>522</v>
      </c>
      <c r="E651" t="s">
        <v>13353</v>
      </c>
      <c r="F651" t="s">
        <v>14039</v>
      </c>
      <c r="G651" t="s">
        <v>14672</v>
      </c>
      <c r="H651" t="s">
        <v>13869</v>
      </c>
      <c r="I651" t="s">
        <v>14690</v>
      </c>
      <c r="J651" s="62">
        <v>0</v>
      </c>
      <c r="K651" s="62">
        <v>-5000</v>
      </c>
      <c r="L651" t="str">
        <f>VLOOKUP(VALUE(LEFT(C651,5)),Xref!A:B,2,0)</f>
        <v>AKS</v>
      </c>
      <c r="M651" t="str">
        <f t="shared" si="43"/>
        <v>AKS-BRU</v>
      </c>
    </row>
    <row r="652" spans="1:13" ht="14.25" customHeight="true">
      <c r="A652" s="33" t="str">
        <f t="shared" si="40"/>
        <v>BRU - Intercompany</v>
      </c>
      <c r="B652" s="33" t="str">
        <f t="shared" si="41"/>
        <v>BRU</v>
      </c>
      <c r="C652" s="33" t="str">
        <f t="shared" si="42"/>
        <v>11330-0000</v>
      </c>
      <c r="D652" t="s">
        <v>523</v>
      </c>
      <c r="E652" t="s">
        <v>13242</v>
      </c>
      <c r="F652" t="s">
        <v>14039</v>
      </c>
      <c r="G652" t="s">
        <v>14672</v>
      </c>
      <c r="H652" t="s">
        <v>13869</v>
      </c>
      <c r="I652" t="s">
        <v>14690</v>
      </c>
      <c r="J652" s="62">
        <v>0</v>
      </c>
      <c r="K652" s="62">
        <v>5000</v>
      </c>
      <c r="L652" t="str">
        <f>VLOOKUP(VALUE(LEFT(C652,5)),Xref!A:B,2,0)</f>
        <v>MAR</v>
      </c>
      <c r="M652" t="str">
        <f t="shared" si="43"/>
        <v>BRU-MAR</v>
      </c>
    </row>
    <row r="653" spans="1:13" ht="14.25" customHeight="true">
      <c r="A653" s="33" t="str">
        <f t="shared" si="40"/>
        <v>BRU - Intercompany</v>
      </c>
      <c r="B653" s="33" t="str">
        <f t="shared" si="41"/>
        <v>BRU</v>
      </c>
      <c r="C653" s="33" t="str">
        <f t="shared" si="42"/>
        <v>11331-0000</v>
      </c>
      <c r="D653" t="s">
        <v>524</v>
      </c>
      <c r="E653" t="s">
        <v>13354</v>
      </c>
      <c r="F653" t="s">
        <v>14039</v>
      </c>
      <c r="G653" t="s">
        <v>14672</v>
      </c>
      <c r="H653" t="s">
        <v>13869</v>
      </c>
      <c r="I653" t="s">
        <v>14690</v>
      </c>
      <c r="J653" s="62">
        <v>0</v>
      </c>
      <c r="K653" s="62">
        <v>-4000</v>
      </c>
      <c r="L653" t="str">
        <f>VLOOKUP(VALUE(LEFT(C653,5)),Xref!A:B,2,0)</f>
        <v>WIL</v>
      </c>
      <c r="M653" t="str">
        <f t="shared" si="43"/>
        <v>BRU-WIL</v>
      </c>
    </row>
    <row r="654" spans="1:13" ht="14.25" customHeight="true">
      <c r="A654" s="33" t="str">
        <f t="shared" si="40"/>
        <v>BRU - Intercompany</v>
      </c>
      <c r="B654" s="33" t="str">
        <f t="shared" si="41"/>
        <v>BRU</v>
      </c>
      <c r="C654" s="33" t="str">
        <f t="shared" si="42"/>
        <v>11332-0000</v>
      </c>
      <c r="D654" t="s">
        <v>525</v>
      </c>
      <c r="E654" t="s">
        <v>13243</v>
      </c>
      <c r="F654" t="s">
        <v>14039</v>
      </c>
      <c r="G654" t="s">
        <v>14672</v>
      </c>
      <c r="H654" t="s">
        <v>13869</v>
      </c>
      <c r="I654" t="s">
        <v>14690</v>
      </c>
      <c r="J654" s="62">
        <v>0</v>
      </c>
      <c r="K654" s="62">
        <v>-10000</v>
      </c>
      <c r="L654" t="str">
        <f>VLOOKUP(VALUE(LEFT(C654,5)),Xref!A:B,2,0)</f>
        <v>STO</v>
      </c>
      <c r="M654" t="str">
        <f t="shared" si="43"/>
        <v>BRU-STO</v>
      </c>
    </row>
    <row r="655" spans="1:13" ht="14.25" customHeight="true">
      <c r="A655" s="33" t="str">
        <f t="shared" si="40"/>
        <v>BRU - Intercompany</v>
      </c>
      <c r="B655" s="33" t="str">
        <f t="shared" si="41"/>
        <v>BRU</v>
      </c>
      <c r="C655" s="33" t="str">
        <f t="shared" si="42"/>
        <v>11333-0000</v>
      </c>
      <c r="D655" t="s">
        <v>16636</v>
      </c>
      <c r="E655" t="s">
        <v>13244</v>
      </c>
      <c r="F655" t="s">
        <v>14039</v>
      </c>
      <c r="G655" t="s">
        <v>14672</v>
      </c>
      <c r="H655" t="s">
        <v>13869</v>
      </c>
      <c r="I655" t="s">
        <v>14690</v>
      </c>
      <c r="J655" s="62">
        <v>0</v>
      </c>
      <c r="K655" s="62">
        <v>0</v>
      </c>
      <c r="L655" t="str">
        <f>VLOOKUP(VALUE(LEFT(C655,5)),Xref!A:B,2,0)</f>
        <v>ANG</v>
      </c>
      <c r="M655" t="str">
        <f t="shared" si="43"/>
        <v>ANG-BRU</v>
      </c>
    </row>
    <row r="656" spans="1:13" ht="14.25" customHeight="true">
      <c r="A656" s="33" t="str">
        <f t="shared" si="40"/>
        <v>BRU - Intercompany</v>
      </c>
      <c r="B656" s="33" t="str">
        <f t="shared" si="41"/>
        <v>BRU</v>
      </c>
      <c r="C656" s="33" t="str">
        <f t="shared" si="42"/>
        <v>11334-0000</v>
      </c>
      <c r="D656" t="s">
        <v>16637</v>
      </c>
      <c r="E656" t="s">
        <v>13245</v>
      </c>
      <c r="F656" t="s">
        <v>14039</v>
      </c>
      <c r="G656" t="s">
        <v>14672</v>
      </c>
      <c r="H656" t="s">
        <v>13869</v>
      </c>
      <c r="I656" t="s">
        <v>14690</v>
      </c>
      <c r="J656" s="62">
        <v>0</v>
      </c>
      <c r="K656" s="62">
        <v>0</v>
      </c>
      <c r="L656" t="str">
        <f>VLOOKUP(VALUE(LEFT(C656,5)),Xref!A:B,2,0)</f>
        <v>BRU</v>
      </c>
      <c r="M656" t="str">
        <f t="shared" si="43"/>
        <v>BRU-BRU</v>
      </c>
    </row>
    <row r="657" spans="1:13" ht="14.25" customHeight="true">
      <c r="A657" s="33" t="str">
        <f t="shared" si="40"/>
        <v>BRU - Intercompany</v>
      </c>
      <c r="B657" s="33" t="str">
        <f t="shared" si="41"/>
        <v>BRU</v>
      </c>
      <c r="C657" s="33" t="str">
        <f t="shared" si="42"/>
        <v>11335-0000</v>
      </c>
      <c r="D657" t="s">
        <v>16638</v>
      </c>
      <c r="E657" t="s">
        <v>13246</v>
      </c>
      <c r="F657" t="s">
        <v>14039</v>
      </c>
      <c r="G657" t="s">
        <v>14672</v>
      </c>
      <c r="H657" t="s">
        <v>13869</v>
      </c>
      <c r="I657" t="s">
        <v>14690</v>
      </c>
      <c r="J657" s="62">
        <v>0</v>
      </c>
      <c r="K657" s="62">
        <v>0</v>
      </c>
      <c r="L657" t="str">
        <f>VLOOKUP(VALUE(LEFT(C657,5)),Xref!A:B,2,0)</f>
        <v>VEN</v>
      </c>
      <c r="M657" t="str">
        <f t="shared" si="43"/>
        <v>BRU-VEN</v>
      </c>
    </row>
    <row r="658" spans="1:13" ht="14.25" customHeight="true">
      <c r="A658" s="33" t="str">
        <f t="shared" si="40"/>
        <v>BRU - Intercompany</v>
      </c>
      <c r="B658" s="33" t="str">
        <f t="shared" si="41"/>
        <v>BRU</v>
      </c>
      <c r="C658" s="33" t="str">
        <f t="shared" si="42"/>
        <v>11336-0000</v>
      </c>
      <c r="D658" t="s">
        <v>526</v>
      </c>
      <c r="E658" t="s">
        <v>13247</v>
      </c>
      <c r="F658" t="s">
        <v>14039</v>
      </c>
      <c r="G658" t="s">
        <v>14672</v>
      </c>
      <c r="H658" t="s">
        <v>13869</v>
      </c>
      <c r="I658" t="s">
        <v>14690</v>
      </c>
      <c r="J658" s="62">
        <v>0</v>
      </c>
      <c r="K658" s="62">
        <v>5000</v>
      </c>
      <c r="L658" t="str">
        <f>VLOOKUP(VALUE(LEFT(C658,5)),Xref!A:B,2,0)</f>
        <v>SAT</v>
      </c>
      <c r="M658" t="str">
        <f t="shared" si="43"/>
        <v>BRU-SAT</v>
      </c>
    </row>
    <row r="659" spans="1:13" ht="14.25" customHeight="true">
      <c r="A659" s="33" t="str">
        <f t="shared" si="40"/>
        <v>BRU - Intercompany</v>
      </c>
      <c r="B659" s="33" t="str">
        <f t="shared" si="41"/>
        <v>BRU</v>
      </c>
      <c r="C659" s="33" t="str">
        <f t="shared" si="42"/>
        <v>11337-0000</v>
      </c>
      <c r="D659" t="s">
        <v>16639</v>
      </c>
      <c r="E659" t="s">
        <v>13248</v>
      </c>
      <c r="F659" t="s">
        <v>14039</v>
      </c>
      <c r="G659" t="s">
        <v>14672</v>
      </c>
      <c r="H659" t="s">
        <v>13869</v>
      </c>
      <c r="I659" t="s">
        <v>14690</v>
      </c>
      <c r="J659" s="62">
        <v>0</v>
      </c>
      <c r="K659" s="62">
        <v>0</v>
      </c>
      <c r="L659" t="str">
        <f>VLOOKUP(VALUE(LEFT(C659,5)),Xref!A:B,2,0)</f>
        <v>NEP</v>
      </c>
      <c r="M659" t="str">
        <f t="shared" si="43"/>
        <v>BRU-NEP</v>
      </c>
    </row>
    <row r="660" spans="1:13" ht="14.25" customHeight="true">
      <c r="A660" s="33" t="str">
        <f t="shared" si="40"/>
        <v>BRU - Intercompany</v>
      </c>
      <c r="B660" s="33" t="str">
        <f t="shared" si="41"/>
        <v>BRU</v>
      </c>
      <c r="C660" s="33" t="str">
        <f t="shared" si="42"/>
        <v>11338-0000</v>
      </c>
      <c r="D660" t="s">
        <v>16640</v>
      </c>
      <c r="E660" t="s">
        <v>14131</v>
      </c>
      <c r="F660" t="s">
        <v>14039</v>
      </c>
      <c r="G660" t="s">
        <v>14672</v>
      </c>
      <c r="H660" t="s">
        <v>13869</v>
      </c>
      <c r="I660" t="s">
        <v>14690</v>
      </c>
      <c r="J660" s="62">
        <v>0</v>
      </c>
      <c r="K660" s="62">
        <v>0</v>
      </c>
      <c r="L660" t="str">
        <f>VLOOKUP(VALUE(LEFT(C660,5)),Xref!A:B,2,0)</f>
        <v>JUP</v>
      </c>
      <c r="M660" t="str">
        <f t="shared" si="43"/>
        <v>BRU-JUP</v>
      </c>
    </row>
    <row r="661" spans="1:13" ht="14.25" customHeight="true">
      <c r="A661" s="33" t="str">
        <f t="shared" si="40"/>
        <v>BRU - Intercompany</v>
      </c>
      <c r="B661" s="33" t="str">
        <f t="shared" si="41"/>
        <v>BRU</v>
      </c>
      <c r="C661" s="33" t="str">
        <f t="shared" si="42"/>
        <v>11339-0000</v>
      </c>
      <c r="D661" t="s">
        <v>16641</v>
      </c>
      <c r="E661" t="s">
        <v>14133</v>
      </c>
      <c r="F661" t="s">
        <v>14039</v>
      </c>
      <c r="G661" t="s">
        <v>14672</v>
      </c>
      <c r="H661" t="s">
        <v>13869</v>
      </c>
      <c r="I661" t="s">
        <v>14690</v>
      </c>
      <c r="J661" s="62">
        <v>0</v>
      </c>
      <c r="K661" s="62">
        <v>0</v>
      </c>
      <c r="L661" t="str">
        <f>VLOOKUP(VALUE(LEFT(C661,5)),Xref!A:B,2,0)</f>
        <v>WES</v>
      </c>
      <c r="M661" t="str">
        <f t="shared" si="43"/>
        <v>BRU-WES</v>
      </c>
    </row>
    <row r="662" spans="1:13" ht="14.25" customHeight="true">
      <c r="A662" s="33" t="str">
        <f t="shared" si="40"/>
        <v>BRU - Intercompany</v>
      </c>
      <c r="B662" s="33" t="str">
        <f t="shared" si="41"/>
        <v>BRU</v>
      </c>
      <c r="C662" s="33" t="str">
        <f t="shared" si="42"/>
        <v>11340-0000</v>
      </c>
      <c r="D662" t="s">
        <v>16642</v>
      </c>
      <c r="E662" t="s">
        <v>14135</v>
      </c>
      <c r="F662" t="s">
        <v>14039</v>
      </c>
      <c r="G662" t="s">
        <v>14672</v>
      </c>
      <c r="H662" t="s">
        <v>13869</v>
      </c>
      <c r="I662" t="s">
        <v>14690</v>
      </c>
      <c r="J662" s="62">
        <v>0</v>
      </c>
      <c r="K662" s="62">
        <v>0</v>
      </c>
      <c r="L662" t="str">
        <f>VLOOKUP(VALUE(LEFT(C662,5)),Xref!A:B,2,0)</f>
        <v>LCP</v>
      </c>
      <c r="M662" t="str">
        <f t="shared" si="43"/>
        <v>BRU-LCP</v>
      </c>
    </row>
    <row r="663" spans="1:13" ht="14.25" customHeight="true">
      <c r="A663" s="33" t="str">
        <f t="shared" si="40"/>
        <v>BRU - Intercompany</v>
      </c>
      <c r="B663" s="33" t="str">
        <f t="shared" si="41"/>
        <v>BRU</v>
      </c>
      <c r="C663" s="33" t="str">
        <f t="shared" si="42"/>
        <v>11341-0000</v>
      </c>
      <c r="D663" t="s">
        <v>16643</v>
      </c>
      <c r="E663" t="s">
        <v>13639</v>
      </c>
      <c r="F663" t="s">
        <v>14039</v>
      </c>
      <c r="G663" t="s">
        <v>14672</v>
      </c>
      <c r="H663" t="s">
        <v>13869</v>
      </c>
      <c r="I663" t="s">
        <v>14690</v>
      </c>
      <c r="J663" s="62">
        <v>0</v>
      </c>
      <c r="K663" s="62">
        <v>0</v>
      </c>
      <c r="L663" t="str">
        <f>VLOOKUP(VALUE(LEFT(C663,5)),Xref!A:B,2,0)</f>
        <v>NOR</v>
      </c>
      <c r="M663" t="str">
        <f t="shared" si="43"/>
        <v>BRU-NOR</v>
      </c>
    </row>
    <row r="664" spans="1:13" ht="14.25" customHeight="true">
      <c r="A664" s="33" t="str">
        <f t="shared" si="40"/>
        <v>BRU - Intercompany</v>
      </c>
      <c r="B664" s="33" t="str">
        <f t="shared" si="41"/>
        <v>BRU</v>
      </c>
      <c r="C664" s="33" t="str">
        <f t="shared" si="42"/>
        <v>11342-0000</v>
      </c>
      <c r="D664" t="s">
        <v>16644</v>
      </c>
      <c r="E664" t="s">
        <v>13355</v>
      </c>
      <c r="F664" t="s">
        <v>14039</v>
      </c>
      <c r="G664" t="s">
        <v>14672</v>
      </c>
      <c r="H664" t="s">
        <v>13869</v>
      </c>
      <c r="I664" t="s">
        <v>14690</v>
      </c>
      <c r="J664" s="62">
        <v>0</v>
      </c>
      <c r="K664" s="62">
        <v>0</v>
      </c>
      <c r="L664" t="str">
        <f>VLOOKUP(VALUE(LEFT(C664,5)),Xref!A:B,2,0)</f>
        <v>EAS</v>
      </c>
      <c r="M664" t="str">
        <f t="shared" si="43"/>
        <v>BRU-EAS</v>
      </c>
    </row>
    <row r="665" spans="1:13" ht="14.25" customHeight="true">
      <c r="A665" s="33" t="str">
        <f t="shared" si="40"/>
        <v>BRU - Intercompany</v>
      </c>
      <c r="B665" s="33" t="str">
        <f t="shared" si="41"/>
        <v>BRU</v>
      </c>
      <c r="C665" s="33" t="str">
        <f t="shared" si="42"/>
        <v>11343-0000</v>
      </c>
      <c r="D665" t="s">
        <v>16645</v>
      </c>
      <c r="E665" t="s">
        <v>14139</v>
      </c>
      <c r="F665" t="s">
        <v>14039</v>
      </c>
      <c r="G665" t="s">
        <v>14672</v>
      </c>
      <c r="H665" t="s">
        <v>13869</v>
      </c>
      <c r="I665" t="s">
        <v>14690</v>
      </c>
      <c r="J665" s="62">
        <v>0</v>
      </c>
      <c r="K665" s="62">
        <v>0</v>
      </c>
      <c r="L665" t="str">
        <f>VLOOKUP(VALUE(LEFT(C665,5)),Xref!A:B,2,0)</f>
        <v>GRA</v>
      </c>
      <c r="M665" t="str">
        <f t="shared" si="43"/>
        <v>BRU-GRA</v>
      </c>
    </row>
    <row r="666" spans="1:13" ht="14.25" customHeight="true">
      <c r="A666" s="33" t="str">
        <f t="shared" si="40"/>
        <v>BRU - Intercompany</v>
      </c>
      <c r="B666" s="33" t="str">
        <f t="shared" si="41"/>
        <v>BRU</v>
      </c>
      <c r="C666" s="33" t="str">
        <f t="shared" si="42"/>
        <v>11344-0000</v>
      </c>
      <c r="D666" t="s">
        <v>16646</v>
      </c>
      <c r="E666" t="s">
        <v>14141</v>
      </c>
      <c r="F666" t="s">
        <v>14039</v>
      </c>
      <c r="G666" t="s">
        <v>14672</v>
      </c>
      <c r="H666" t="s">
        <v>13869</v>
      </c>
      <c r="I666" t="s">
        <v>14690</v>
      </c>
      <c r="J666" s="62">
        <v>0</v>
      </c>
      <c r="K666" s="62">
        <v>0</v>
      </c>
      <c r="L666" t="str">
        <f>VLOOKUP(VALUE(LEFT(C666,5)),Xref!A:B,2,0)</f>
        <v>SOU</v>
      </c>
      <c r="M666" t="str">
        <f t="shared" si="43"/>
        <v>BRU-SOU</v>
      </c>
    </row>
    <row r="667" spans="1:13" ht="14.25" customHeight="true">
      <c r="A667" s="33" t="str">
        <f t="shared" si="40"/>
        <v>BRU - Intercompany</v>
      </c>
      <c r="B667" s="33" t="str">
        <f t="shared" si="41"/>
        <v>BRU</v>
      </c>
      <c r="C667" s="33" t="str">
        <f t="shared" si="42"/>
        <v>11345-0000</v>
      </c>
      <c r="D667" t="s">
        <v>16647</v>
      </c>
      <c r="E667" t="s">
        <v>14143</v>
      </c>
      <c r="F667" t="s">
        <v>14039</v>
      </c>
      <c r="G667" t="s">
        <v>14672</v>
      </c>
      <c r="H667" t="s">
        <v>13869</v>
      </c>
      <c r="I667" t="s">
        <v>14690</v>
      </c>
      <c r="J667" s="62">
        <v>0</v>
      </c>
      <c r="K667" s="62">
        <v>0</v>
      </c>
      <c r="L667" t="str">
        <f>VLOOKUP(VALUE(LEFT(C667,5)),Xref!A:B,2,0)</f>
        <v>API</v>
      </c>
      <c r="M667" t="str">
        <f t="shared" si="43"/>
        <v>API-BRU</v>
      </c>
    </row>
    <row r="668" spans="1:13" ht="14.25" customHeight="true">
      <c r="A668" s="33" t="str">
        <f t="shared" si="40"/>
        <v>BRU - Intercompany</v>
      </c>
      <c r="B668" s="33" t="str">
        <f t="shared" si="41"/>
        <v>BRU</v>
      </c>
      <c r="C668" s="33" t="str">
        <f t="shared" si="42"/>
        <v>11346-0000</v>
      </c>
      <c r="D668" t="s">
        <v>16648</v>
      </c>
      <c r="E668" t="s">
        <v>14145</v>
      </c>
      <c r="F668" t="s">
        <v>14039</v>
      </c>
      <c r="G668" t="s">
        <v>14672</v>
      </c>
      <c r="H668" t="s">
        <v>13869</v>
      </c>
      <c r="I668" t="s">
        <v>14690</v>
      </c>
      <c r="J668" s="62">
        <v>0</v>
      </c>
      <c r="K668" s="62">
        <v>0</v>
      </c>
      <c r="L668" t="str">
        <f>VLOOKUP(VALUE(LEFT(C668,5)),Xref!A:B,2,0)</f>
        <v>DPH</v>
      </c>
      <c r="M668" t="str">
        <f t="shared" si="43"/>
        <v>BRU-DPH</v>
      </c>
    </row>
    <row r="669" spans="1:13" ht="14.25" customHeight="true">
      <c r="A669" s="33" t="str">
        <f t="shared" si="40"/>
        <v>BRU - Intercompany</v>
      </c>
      <c r="B669" s="33" t="str">
        <f t="shared" si="41"/>
        <v>BRU</v>
      </c>
      <c r="C669" s="33" t="str">
        <f t="shared" si="42"/>
        <v>11347-0000</v>
      </c>
      <c r="D669" t="s">
        <v>16649</v>
      </c>
      <c r="E669" t="s">
        <v>14147</v>
      </c>
      <c r="F669" t="s">
        <v>14039</v>
      </c>
      <c r="G669" t="s">
        <v>14672</v>
      </c>
      <c r="H669" t="s">
        <v>13869</v>
      </c>
      <c r="I669" t="s">
        <v>14690</v>
      </c>
      <c r="J669" s="62">
        <v>0</v>
      </c>
      <c r="K669" s="62">
        <v>0</v>
      </c>
      <c r="L669" t="str">
        <f>VLOOKUP(VALUE(LEFT(C669,5)),Xref!A:B,2,0)</f>
        <v>ZPI</v>
      </c>
      <c r="M669" t="str">
        <f t="shared" si="43"/>
        <v>BRU-ZPI</v>
      </c>
    </row>
    <row r="670" spans="1:13" ht="14.25" customHeight="true">
      <c r="A670" s="33" t="str">
        <f t="shared" si="40"/>
        <v>BRU - Intercompany</v>
      </c>
      <c r="B670" s="33" t="str">
        <f t="shared" si="41"/>
        <v>BRU</v>
      </c>
      <c r="C670" s="33" t="str">
        <f t="shared" si="42"/>
        <v>11348-0000</v>
      </c>
      <c r="D670" t="s">
        <v>16650</v>
      </c>
      <c r="E670" t="s">
        <v>14149</v>
      </c>
      <c r="F670" t="s">
        <v>14039</v>
      </c>
      <c r="G670" t="s">
        <v>14672</v>
      </c>
      <c r="H670" t="s">
        <v>13869</v>
      </c>
      <c r="I670" t="s">
        <v>14690</v>
      </c>
      <c r="J670" s="62">
        <v>0</v>
      </c>
      <c r="K670" s="62">
        <v>0</v>
      </c>
      <c r="L670" t="str">
        <f>VLOOKUP(VALUE(LEFT(C670,5)),Xref!A:B,2,0)</f>
        <v>EAM</v>
      </c>
      <c r="M670" t="str">
        <f t="shared" si="43"/>
        <v>BRU-EAM</v>
      </c>
    </row>
    <row r="671" spans="1:13" ht="14.25" customHeight="true">
      <c r="A671" s="33" t="str">
        <f t="shared" si="40"/>
        <v>BRU - Intercompany</v>
      </c>
      <c r="B671" s="33" t="str">
        <f t="shared" si="41"/>
        <v>BRU</v>
      </c>
      <c r="C671" s="33" t="str">
        <f t="shared" si="42"/>
        <v>11349-0000</v>
      </c>
      <c r="D671" t="s">
        <v>16651</v>
      </c>
      <c r="E671" t="s">
        <v>14151</v>
      </c>
      <c r="F671" t="s">
        <v>14039</v>
      </c>
      <c r="G671" t="s">
        <v>14672</v>
      </c>
      <c r="H671" t="s">
        <v>13869</v>
      </c>
      <c r="I671" t="s">
        <v>14690</v>
      </c>
      <c r="J671" s="62">
        <v>0</v>
      </c>
      <c r="K671" s="62">
        <v>0</v>
      </c>
      <c r="L671" t="str">
        <f>VLOOKUP(VALUE(LEFT(C671,5)),Xref!A:B,2,0)</f>
        <v>SEA</v>
      </c>
      <c r="M671" t="str">
        <f t="shared" si="43"/>
        <v>BRU-SEA</v>
      </c>
    </row>
    <row r="672" spans="1:13" ht="14.25" customHeight="true">
      <c r="A672" s="33" t="str">
        <f t="shared" si="40"/>
        <v>BRU - Intercompany</v>
      </c>
      <c r="B672" s="33" t="str">
        <f t="shared" si="41"/>
        <v>BRU</v>
      </c>
      <c r="C672" s="33" t="str">
        <f t="shared" si="42"/>
        <v>11350-0000</v>
      </c>
      <c r="D672" t="s">
        <v>16652</v>
      </c>
      <c r="E672" t="s">
        <v>14153</v>
      </c>
      <c r="F672" t="s">
        <v>14039</v>
      </c>
      <c r="G672" t="s">
        <v>14672</v>
      </c>
      <c r="H672" t="s">
        <v>13869</v>
      </c>
      <c r="I672" t="s">
        <v>14690</v>
      </c>
      <c r="J672" s="62">
        <v>0</v>
      </c>
      <c r="K672" s="62">
        <v>-6.15</v>
      </c>
      <c r="L672" t="str">
        <f>VLOOKUP(VALUE(LEFT(C672,5)),Xref!A:B,2,0)</f>
        <v>EAL</v>
      </c>
      <c r="M672" t="str">
        <f t="shared" si="43"/>
        <v>BRU-EAL</v>
      </c>
    </row>
    <row r="673" spans="1:13" ht="14.25" customHeight="true">
      <c r="A673" s="33" t="str">
        <f t="shared" si="40"/>
        <v>BRU - Intercompany</v>
      </c>
      <c r="B673" s="33" t="str">
        <f t="shared" si="41"/>
        <v>BRU</v>
      </c>
      <c r="C673" s="33" t="str">
        <f t="shared" si="42"/>
        <v>11351-0000</v>
      </c>
      <c r="D673" t="s">
        <v>16653</v>
      </c>
      <c r="E673" t="s">
        <v>14155</v>
      </c>
      <c r="F673" t="s">
        <v>14039</v>
      </c>
      <c r="G673" t="s">
        <v>14672</v>
      </c>
      <c r="H673" t="s">
        <v>13869</v>
      </c>
      <c r="I673" t="s">
        <v>14690</v>
      </c>
      <c r="J673" s="62">
        <v>0</v>
      </c>
      <c r="K673" s="62">
        <v>0</v>
      </c>
      <c r="L673" t="str">
        <f>VLOOKUP(VALUE(LEFT(C673,5)),Xref!A:B,2,0)</f>
        <v>WEP</v>
      </c>
      <c r="M673" t="str">
        <f t="shared" si="43"/>
        <v>BRU-WEP</v>
      </c>
    </row>
    <row r="674" spans="1:13" ht="14.25" customHeight="true">
      <c r="A674" s="33" t="str">
        <f t="shared" si="40"/>
        <v>BRU - Intercompany</v>
      </c>
      <c r="B674" s="33" t="str">
        <f t="shared" si="41"/>
        <v>BRU</v>
      </c>
      <c r="C674" s="33" t="str">
        <f t="shared" si="42"/>
        <v>11352-0000</v>
      </c>
      <c r="D674" t="s">
        <v>16654</v>
      </c>
      <c r="E674" t="s">
        <v>13536</v>
      </c>
      <c r="F674" t="s">
        <v>14039</v>
      </c>
      <c r="G674" t="s">
        <v>14672</v>
      </c>
      <c r="H674" t="s">
        <v>13869</v>
      </c>
      <c r="I674" t="s">
        <v>14690</v>
      </c>
      <c r="J674" s="62">
        <v>0</v>
      </c>
      <c r="K674" s="62">
        <v>0</v>
      </c>
      <c r="L674" t="str">
        <f>VLOOKUP(VALUE(LEFT(C674,5)),Xref!A:B,2,0)</f>
        <v>KLP</v>
      </c>
      <c r="M674" t="str">
        <f t="shared" si="43"/>
        <v>BRU-KLP</v>
      </c>
    </row>
    <row r="675" spans="1:13" ht="14.25" customHeight="true">
      <c r="A675" s="33" t="str">
        <f t="shared" si="40"/>
        <v>BRU - Intercompany</v>
      </c>
      <c r="B675" s="33" t="str">
        <f t="shared" si="41"/>
        <v>BRU</v>
      </c>
      <c r="C675" s="33" t="str">
        <f t="shared" si="42"/>
        <v>11353-0000</v>
      </c>
      <c r="D675" t="s">
        <v>16655</v>
      </c>
      <c r="E675" t="s">
        <v>13537</v>
      </c>
      <c r="F675" t="s">
        <v>14039</v>
      </c>
      <c r="G675" t="s">
        <v>14672</v>
      </c>
      <c r="H675" t="s">
        <v>13869</v>
      </c>
      <c r="I675" t="s">
        <v>14690</v>
      </c>
      <c r="J675" s="62">
        <v>0</v>
      </c>
      <c r="K675" s="62">
        <v>0</v>
      </c>
      <c r="L675" t="str">
        <f>VLOOKUP(VALUE(LEFT(C675,5)),Xref!A:B,2,0)</f>
        <v>AKC</v>
      </c>
      <c r="M675" t="str">
        <f t="shared" si="43"/>
        <v>AKC-BRU</v>
      </c>
    </row>
    <row r="676" spans="1:13" ht="14.25" customHeight="true">
      <c r="A676" s="33" t="str">
        <f t="shared" si="40"/>
        <v>BRU - Intercompany</v>
      </c>
      <c r="B676" s="33" t="str">
        <f t="shared" si="41"/>
        <v>BRU</v>
      </c>
      <c r="C676" s="33" t="str">
        <f t="shared" si="42"/>
        <v>11354-0000</v>
      </c>
      <c r="D676" t="s">
        <v>16656</v>
      </c>
      <c r="E676" t="s">
        <v>13538</v>
      </c>
      <c r="F676" t="s">
        <v>14039</v>
      </c>
      <c r="G676" t="s">
        <v>14672</v>
      </c>
      <c r="H676" t="s">
        <v>13869</v>
      </c>
      <c r="I676" t="s">
        <v>14690</v>
      </c>
      <c r="J676" s="62">
        <v>0</v>
      </c>
      <c r="K676" s="62">
        <v>0</v>
      </c>
      <c r="L676" t="str">
        <f>VLOOKUP(VALUE(LEFT(C676,5)),Xref!A:B,2,0)</f>
        <v>AKA</v>
      </c>
      <c r="M676" t="str">
        <f t="shared" si="43"/>
        <v>AKA-BRU</v>
      </c>
    </row>
    <row r="677" spans="1:13" ht="14.25" customHeight="true">
      <c r="A677" s="33" t="str">
        <f t="shared" si="40"/>
        <v>BRU - Intercompany</v>
      </c>
      <c r="B677" s="33" t="str">
        <f t="shared" si="41"/>
        <v>BRU</v>
      </c>
      <c r="C677" s="33" t="str">
        <f t="shared" si="42"/>
        <v>11355-0000</v>
      </c>
      <c r="D677" t="s">
        <v>16657</v>
      </c>
      <c r="E677" t="s">
        <v>13539</v>
      </c>
      <c r="F677" t="s">
        <v>14039</v>
      </c>
      <c r="G677" t="s">
        <v>14672</v>
      </c>
      <c r="H677" t="s">
        <v>13869</v>
      </c>
      <c r="I677" t="s">
        <v>14690</v>
      </c>
      <c r="J677" s="62">
        <v>0</v>
      </c>
      <c r="K677" s="62">
        <v>0</v>
      </c>
      <c r="L677" t="str">
        <f>VLOOKUP(VALUE(LEFT(C677,5)),Xref!A:B,2,0)</f>
        <v>SPA</v>
      </c>
      <c r="M677" t="str">
        <f t="shared" si="43"/>
        <v>BRU-SPA</v>
      </c>
    </row>
    <row r="678" spans="1:13" ht="14.25" customHeight="true">
      <c r="A678" s="33" t="str">
        <f t="shared" si="40"/>
        <v>BRU - Intercompany</v>
      </c>
      <c r="B678" s="33" t="str">
        <f t="shared" si="41"/>
        <v>BRU</v>
      </c>
      <c r="C678" s="33" t="str">
        <f t="shared" si="42"/>
        <v>11356-0000</v>
      </c>
      <c r="D678" t="s">
        <v>16658</v>
      </c>
      <c r="E678" t="s">
        <v>13540</v>
      </c>
      <c r="F678" t="s">
        <v>14039</v>
      </c>
      <c r="G678" t="s">
        <v>14672</v>
      </c>
      <c r="H678" t="s">
        <v>13869</v>
      </c>
      <c r="I678" t="s">
        <v>14690</v>
      </c>
      <c r="J678" s="62">
        <v>0</v>
      </c>
      <c r="K678" s="62">
        <v>0</v>
      </c>
      <c r="L678" t="str">
        <f>VLOOKUP(VALUE(LEFT(C678,5)),Xref!A:B,2,0)</f>
        <v>DPM</v>
      </c>
      <c r="M678" t="str">
        <f t="shared" si="43"/>
        <v>BRU-DPM</v>
      </c>
    </row>
    <row r="679" spans="1:13" ht="14.25" customHeight="true">
      <c r="A679" s="33" t="str">
        <f t="shared" si="40"/>
        <v>BRU - Intercompany</v>
      </c>
      <c r="B679" s="33" t="str">
        <f t="shared" si="41"/>
        <v>BRU</v>
      </c>
      <c r="C679" s="33" t="str">
        <f t="shared" si="42"/>
        <v>11357-0000</v>
      </c>
      <c r="D679" t="s">
        <v>16659</v>
      </c>
      <c r="E679" t="s">
        <v>13541</v>
      </c>
      <c r="F679" t="s">
        <v>14039</v>
      </c>
      <c r="G679" t="s">
        <v>14672</v>
      </c>
      <c r="H679" t="s">
        <v>13869</v>
      </c>
      <c r="I679" t="s">
        <v>14690</v>
      </c>
      <c r="J679" s="62">
        <v>0</v>
      </c>
      <c r="K679" s="62">
        <v>0</v>
      </c>
      <c r="L679" t="str">
        <f>VLOOKUP(VALUE(LEFT(C679,5)),Xref!A:B,2,0)</f>
        <v>HDM</v>
      </c>
      <c r="M679" t="str">
        <f t="shared" si="43"/>
        <v>BRU-HDM</v>
      </c>
    </row>
    <row r="680" spans="1:13" ht="14.25" customHeight="true">
      <c r="A680" s="33" t="str">
        <f t="shared" si="40"/>
        <v>BRU - Intercompany</v>
      </c>
      <c r="B680" s="33" t="str">
        <f t="shared" si="41"/>
        <v>BRU</v>
      </c>
      <c r="C680" s="33" t="str">
        <f t="shared" si="42"/>
        <v>11358-0000</v>
      </c>
      <c r="D680" t="s">
        <v>16660</v>
      </c>
      <c r="E680" t="s">
        <v>13542</v>
      </c>
      <c r="F680" t="s">
        <v>14039</v>
      </c>
      <c r="G680" t="s">
        <v>14672</v>
      </c>
      <c r="H680" t="s">
        <v>13869</v>
      </c>
      <c r="I680" t="s">
        <v>14690</v>
      </c>
      <c r="J680" s="62">
        <v>0</v>
      </c>
      <c r="K680" s="62">
        <v>0</v>
      </c>
      <c r="L680" t="str">
        <f>VLOOKUP(VALUE(LEFT(C680,5)),Xref!A:B,2,0)</f>
        <v>GRA</v>
      </c>
      <c r="M680" t="str">
        <f t="shared" si="43"/>
        <v>BRU-GRA</v>
      </c>
    </row>
    <row r="681" spans="1:13" ht="14.25" customHeight="true">
      <c r="A681" s="33" t="str">
        <f t="shared" si="40"/>
        <v>BRU - Intercompany</v>
      </c>
      <c r="B681" s="33" t="str">
        <f t="shared" si="41"/>
        <v>BRU</v>
      </c>
      <c r="C681" s="33" t="str">
        <f t="shared" si="42"/>
        <v>11359-0000</v>
      </c>
      <c r="D681" t="s">
        <v>16661</v>
      </c>
      <c r="E681" t="s">
        <v>13543</v>
      </c>
      <c r="F681" t="s">
        <v>14039</v>
      </c>
      <c r="G681" t="s">
        <v>14672</v>
      </c>
      <c r="H681" t="s">
        <v>13869</v>
      </c>
      <c r="I681" t="s">
        <v>14690</v>
      </c>
      <c r="J681" s="62">
        <v>0</v>
      </c>
      <c r="K681" s="62">
        <v>0</v>
      </c>
      <c r="L681" t="str">
        <f>VLOOKUP(VALUE(LEFT(C681,5)),Xref!A:B,2,0)</f>
        <v>TPI</v>
      </c>
      <c r="M681" t="str">
        <f t="shared" si="43"/>
        <v>BRU-TPI</v>
      </c>
    </row>
    <row r="682" spans="1:13" ht="14.25" customHeight="true">
      <c r="A682" s="33" t="str">
        <f t="shared" si="40"/>
        <v>BRU - Intercompany</v>
      </c>
      <c r="B682" s="33" t="str">
        <f t="shared" si="41"/>
        <v>BRU</v>
      </c>
      <c r="C682" s="33" t="str">
        <f t="shared" si="42"/>
        <v>11361-0000</v>
      </c>
      <c r="D682" t="s">
        <v>16662</v>
      </c>
      <c r="E682" t="s">
        <v>14165</v>
      </c>
      <c r="F682" t="s">
        <v>14039</v>
      </c>
      <c r="G682" t="s">
        <v>14672</v>
      </c>
      <c r="H682" t="s">
        <v>13869</v>
      </c>
      <c r="I682" t="s">
        <v>14690</v>
      </c>
      <c r="J682" s="62">
        <v>0</v>
      </c>
      <c r="K682" s="62">
        <v>0</v>
      </c>
      <c r="L682" t="str">
        <f>VLOOKUP(VALUE(LEFT(C682,5)),Xref!A:B,2,0)</f>
        <v>GSM</v>
      </c>
      <c r="M682" t="str">
        <f t="shared" si="43"/>
        <v>BRU-GSM</v>
      </c>
    </row>
    <row r="683" spans="1:13" ht="14.25" customHeight="true">
      <c r="A683" s="33" t="str">
        <f t="shared" si="40"/>
        <v>BRU - Intercompany</v>
      </c>
      <c r="B683" s="33" t="str">
        <f t="shared" si="41"/>
        <v>BRU</v>
      </c>
      <c r="C683" s="33" t="str">
        <f t="shared" si="42"/>
        <v>11363-0000</v>
      </c>
      <c r="D683" t="s">
        <v>16663</v>
      </c>
      <c r="E683" t="s">
        <v>13544</v>
      </c>
      <c r="F683" t="s">
        <v>14039</v>
      </c>
      <c r="G683" t="s">
        <v>14672</v>
      </c>
      <c r="H683" t="s">
        <v>13869</v>
      </c>
      <c r="I683" t="s">
        <v>14690</v>
      </c>
      <c r="J683" s="62">
        <v>0</v>
      </c>
      <c r="K683" s="62">
        <v>0</v>
      </c>
      <c r="L683" t="str">
        <f>VLOOKUP(VALUE(LEFT(C683,5)),Xref!A:B,2,0)</f>
        <v>SOF</v>
      </c>
      <c r="M683" t="str">
        <f t="shared" si="43"/>
        <v>BRU-SOF</v>
      </c>
    </row>
    <row r="684" spans="1:13" ht="14.25" customHeight="true">
      <c r="A684" s="33" t="str">
        <f t="shared" si="40"/>
        <v>BRU - Intercompany</v>
      </c>
      <c r="B684" s="33" t="str">
        <f t="shared" si="41"/>
        <v>BRU</v>
      </c>
      <c r="C684" s="33" t="str">
        <f t="shared" si="42"/>
        <v>11364-0000</v>
      </c>
      <c r="D684" t="s">
        <v>16664</v>
      </c>
      <c r="E684" t="s">
        <v>14168</v>
      </c>
      <c r="F684" t="s">
        <v>14039</v>
      </c>
      <c r="G684" t="s">
        <v>14672</v>
      </c>
      <c r="H684" t="s">
        <v>13869</v>
      </c>
      <c r="I684" t="s">
        <v>14690</v>
      </c>
      <c r="J684" s="62">
        <v>0</v>
      </c>
      <c r="K684" s="62">
        <v>0</v>
      </c>
      <c r="L684" t="e">
        <f>VLOOKUP(VALUE(LEFT(C684,5)),Xref!A:B,2,0)</f>
        <v>#N/A</v>
      </c>
      <c r="M684" t="e">
        <f t="shared" si="43"/>
        <v>#N/A</v>
      </c>
    </row>
    <row r="685" spans="1:13" ht="14.25" customHeight="true">
      <c r="A685" s="33" t="str">
        <f t="shared" si="40"/>
        <v>BRU - Intercompany</v>
      </c>
      <c r="B685" s="33" t="str">
        <f t="shared" si="41"/>
        <v>BRU</v>
      </c>
      <c r="C685" s="33" t="str">
        <f t="shared" si="42"/>
        <v>11365-0000</v>
      </c>
      <c r="D685" t="s">
        <v>16665</v>
      </c>
      <c r="E685" t="s">
        <v>14170</v>
      </c>
      <c r="F685" t="s">
        <v>14039</v>
      </c>
      <c r="G685" t="s">
        <v>14672</v>
      </c>
      <c r="H685" t="s">
        <v>13869</v>
      </c>
      <c r="I685" t="s">
        <v>14690</v>
      </c>
      <c r="J685" s="62">
        <v>0</v>
      </c>
      <c r="K685" s="62">
        <v>0</v>
      </c>
      <c r="L685" t="e">
        <f>VLOOKUP(VALUE(LEFT(C685,5)),Xref!A:B,2,0)</f>
        <v>#N/A</v>
      </c>
      <c r="M685" t="e">
        <f t="shared" si="43"/>
        <v>#N/A</v>
      </c>
    </row>
    <row r="686" spans="1:13" ht="14.25" customHeight="true">
      <c r="A686" s="33" t="str">
        <f t="shared" si="40"/>
        <v>BRU - Intercompany</v>
      </c>
      <c r="B686" s="33" t="str">
        <f t="shared" si="41"/>
        <v>BRU</v>
      </c>
      <c r="C686" s="33" t="str">
        <f t="shared" si="42"/>
        <v>11366-0000</v>
      </c>
      <c r="D686" t="s">
        <v>16666</v>
      </c>
      <c r="E686" t="s">
        <v>14172</v>
      </c>
      <c r="G686" t="s">
        <v>14672</v>
      </c>
      <c r="H686" t="s">
        <v>13869</v>
      </c>
      <c r="I686" t="s">
        <v>14690</v>
      </c>
      <c r="J686" s="62">
        <v>0</v>
      </c>
      <c r="K686" s="62">
        <v>0</v>
      </c>
      <c r="L686" t="e">
        <f>VLOOKUP(VALUE(LEFT(C686,5)),Xref!A:B,2,0)</f>
        <v>#N/A</v>
      </c>
      <c r="M686" t="e">
        <f t="shared" si="43"/>
        <v>#N/A</v>
      </c>
    </row>
    <row r="687" spans="1:13" ht="14.25" customHeight="true">
      <c r="A687" s="33" t="str">
        <f t="shared" si="40"/>
        <v>BRU - Intercompany</v>
      </c>
      <c r="B687" s="33" t="str">
        <f t="shared" si="41"/>
        <v>BRU</v>
      </c>
      <c r="C687" s="33" t="str">
        <f t="shared" si="42"/>
        <v>11402-0000</v>
      </c>
      <c r="D687" t="s">
        <v>16667</v>
      </c>
      <c r="E687" t="s">
        <v>14174</v>
      </c>
      <c r="G687" t="s">
        <v>14672</v>
      </c>
      <c r="H687" t="s">
        <v>13869</v>
      </c>
      <c r="I687" t="s">
        <v>14690</v>
      </c>
      <c r="J687" s="62">
        <v>0</v>
      </c>
      <c r="K687" s="62">
        <v>0</v>
      </c>
      <c r="L687" t="str">
        <f>VLOOKUP(VALUE(LEFT(C687,5)),Xref!A:B,2,0)</f>
        <v>DPI</v>
      </c>
      <c r="M687" t="str">
        <f t="shared" si="43"/>
        <v>BRU-DPI</v>
      </c>
    </row>
    <row r="688" spans="1:13" ht="14.25" customHeight="true">
      <c r="A688" s="33" t="str">
        <f t="shared" si="40"/>
        <v>BRU - Intercompany</v>
      </c>
      <c r="B688" s="33" t="str">
        <f t="shared" si="41"/>
        <v>BRU</v>
      </c>
      <c r="C688" s="33" t="str">
        <f t="shared" si="42"/>
        <v>11403-0000</v>
      </c>
      <c r="D688" t="s">
        <v>16668</v>
      </c>
      <c r="E688" t="s">
        <v>14176</v>
      </c>
      <c r="G688" t="s">
        <v>14672</v>
      </c>
      <c r="H688" t="s">
        <v>13869</v>
      </c>
      <c r="I688" t="s">
        <v>14690</v>
      </c>
      <c r="J688" s="62">
        <v>0</v>
      </c>
      <c r="K688" s="62">
        <v>0</v>
      </c>
      <c r="L688" t="str">
        <f>VLOOKUP(VALUE(LEFT(C688,5)),Xref!A:B,2,0)</f>
        <v>SEA</v>
      </c>
      <c r="M688" t="str">
        <f t="shared" si="43"/>
        <v>BRU-SEA</v>
      </c>
    </row>
    <row r="689" spans="1:13" ht="14.25" customHeight="true">
      <c r="A689" s="33" t="str">
        <f t="shared" si="40"/>
        <v>BRU - Intercompany</v>
      </c>
      <c r="B689" s="33" t="str">
        <f t="shared" si="41"/>
        <v>BRU</v>
      </c>
      <c r="C689" s="33" t="str">
        <f t="shared" si="42"/>
        <v>12400-0000</v>
      </c>
      <c r="D689" t="s">
        <v>16671</v>
      </c>
      <c r="E689" t="s">
        <v>14185</v>
      </c>
      <c r="F689" t="s">
        <v>14039</v>
      </c>
      <c r="G689" t="s">
        <v>14672</v>
      </c>
      <c r="H689" t="s">
        <v>13869</v>
      </c>
      <c r="I689" t="s">
        <v>14690</v>
      </c>
      <c r="J689" s="62">
        <v>0</v>
      </c>
      <c r="K689" s="62">
        <v>0</v>
      </c>
      <c r="L689" t="str">
        <f>VLOOKUP(VALUE(LEFT(C689,5)),Xref!A:B,2,0)</f>
        <v>aka</v>
      </c>
      <c r="M689" t="str">
        <f t="shared" si="43"/>
        <v>aka-BRU</v>
      </c>
    </row>
    <row r="690" spans="1:13" ht="14.25" customHeight="true">
      <c r="A690" s="33" t="str">
        <f t="shared" si="40"/>
        <v>BRU - Intercompany</v>
      </c>
      <c r="B690" s="33" t="str">
        <f t="shared" si="41"/>
        <v>BRU</v>
      </c>
      <c r="C690" s="33" t="str">
        <f t="shared" si="42"/>
        <v>12401-0000</v>
      </c>
      <c r="D690" t="s">
        <v>16672</v>
      </c>
      <c r="E690" t="s">
        <v>14187</v>
      </c>
      <c r="F690" t="s">
        <v>14039</v>
      </c>
      <c r="G690" t="s">
        <v>14672</v>
      </c>
      <c r="H690" t="s">
        <v>13869</v>
      </c>
      <c r="I690" t="s">
        <v>14690</v>
      </c>
      <c r="J690" s="62">
        <v>0</v>
      </c>
      <c r="K690" s="62">
        <v>0</v>
      </c>
      <c r="L690" t="str">
        <f>VLOOKUP(VALUE(LEFT(C690,5)),Xref!A:B,2,0)</f>
        <v>aka</v>
      </c>
      <c r="M690" t="str">
        <f t="shared" si="43"/>
        <v>aka-BRU</v>
      </c>
    </row>
    <row r="691" spans="1:13" ht="14.25" customHeight="true">
      <c r="A691" s="33" t="str">
        <f t="shared" si="40"/>
        <v>BRU - Intercompany</v>
      </c>
      <c r="B691" s="33" t="str">
        <f t="shared" si="41"/>
        <v>BRU</v>
      </c>
      <c r="C691" s="33" t="str">
        <f t="shared" si="42"/>
        <v>12402-0000</v>
      </c>
      <c r="D691" t="s">
        <v>16673</v>
      </c>
      <c r="E691" t="s">
        <v>14189</v>
      </c>
      <c r="F691" t="s">
        <v>14039</v>
      </c>
      <c r="G691" t="s">
        <v>14672</v>
      </c>
      <c r="H691" t="s">
        <v>13869</v>
      </c>
      <c r="I691" t="s">
        <v>14690</v>
      </c>
      <c r="J691" s="62">
        <v>0</v>
      </c>
      <c r="K691" s="62">
        <v>0</v>
      </c>
      <c r="L691" t="str">
        <f>VLOOKUP(VALUE(LEFT(C691,5)),Xref!A:B,2,0)</f>
        <v>aka</v>
      </c>
      <c r="M691" t="str">
        <f t="shared" si="43"/>
        <v>aka-BRU</v>
      </c>
    </row>
    <row r="692" spans="1:13" ht="14.25" customHeight="true">
      <c r="A692" s="33" t="str">
        <f t="shared" si="40"/>
        <v>BRU - Intercompany</v>
      </c>
      <c r="B692" s="33" t="str">
        <f t="shared" si="41"/>
        <v>BRU</v>
      </c>
      <c r="C692" s="33" t="str">
        <f t="shared" si="42"/>
        <v>12403-0000</v>
      </c>
      <c r="D692" t="s">
        <v>16674</v>
      </c>
      <c r="E692" t="s">
        <v>5226</v>
      </c>
      <c r="F692" t="s">
        <v>14039</v>
      </c>
      <c r="G692" t="s">
        <v>14672</v>
      </c>
      <c r="H692" t="s">
        <v>13869</v>
      </c>
      <c r="I692" t="s">
        <v>14690</v>
      </c>
      <c r="J692" s="62">
        <v>0</v>
      </c>
      <c r="K692" s="62">
        <v>0</v>
      </c>
      <c r="L692" t="str">
        <f>VLOOKUP(VALUE(LEFT(C692,5)),Xref!A:B,2,0)</f>
        <v>aka</v>
      </c>
      <c r="M692" t="str">
        <f t="shared" si="43"/>
        <v>aka-BRU</v>
      </c>
    </row>
    <row r="693" spans="1:13" ht="14.25" customHeight="true">
      <c r="A693" s="33" t="str">
        <f t="shared" si="40"/>
        <v>BRU - Intercompany</v>
      </c>
      <c r="B693" s="33" t="str">
        <f t="shared" si="41"/>
        <v>BRU</v>
      </c>
      <c r="C693" s="33" t="str">
        <f t="shared" si="42"/>
        <v>12501-0000</v>
      </c>
      <c r="D693" t="s">
        <v>16675</v>
      </c>
      <c r="E693" t="s">
        <v>14192</v>
      </c>
      <c r="F693" t="s">
        <v>14039</v>
      </c>
      <c r="G693" t="s">
        <v>14672</v>
      </c>
      <c r="H693" t="s">
        <v>13869</v>
      </c>
      <c r="I693" t="s">
        <v>14690</v>
      </c>
      <c r="J693" s="62">
        <v>0</v>
      </c>
      <c r="K693" s="62">
        <v>0</v>
      </c>
      <c r="L693" t="str">
        <f>VLOOKUP(VALUE(LEFT(C693,5)),Xref!A:B,2,0)</f>
        <v>aka</v>
      </c>
      <c r="M693" t="str">
        <f t="shared" si="43"/>
        <v>aka-BRU</v>
      </c>
    </row>
    <row r="694" spans="1:13" ht="14.25" customHeight="true">
      <c r="A694" s="33" t="str">
        <f t="shared" si="40"/>
        <v>BRU - InterCo Notes</v>
      </c>
      <c r="B694" s="33" t="str">
        <f t="shared" si="41"/>
        <v>BRU</v>
      </c>
      <c r="C694" s="33" t="str">
        <f t="shared" si="42"/>
        <v>25600-0000</v>
      </c>
      <c r="D694" t="s">
        <v>16722</v>
      </c>
      <c r="E694" t="s">
        <v>314</v>
      </c>
      <c r="F694" t="s">
        <v>14039</v>
      </c>
      <c r="G694" t="s">
        <v>14672</v>
      </c>
      <c r="H694" t="s">
        <v>13889</v>
      </c>
      <c r="I694" t="s">
        <v>14690</v>
      </c>
      <c r="J694" s="62">
        <v>0</v>
      </c>
      <c r="K694" s="62">
        <v>0</v>
      </c>
      <c r="L694" t="str">
        <f>VLOOKUP(VALUE(LEFT(C694,5)),Xref!A:B,2,0)</f>
        <v>D7</v>
      </c>
      <c r="M694" t="str">
        <f t="shared" si="43"/>
        <v>BRU-D7</v>
      </c>
    </row>
    <row r="695" spans="1:13" ht="14.25" customHeight="true">
      <c r="A695" s="33" t="str">
        <f t="shared" si="40"/>
        <v>BRU - InterCo Notes</v>
      </c>
      <c r="B695" s="33" t="str">
        <f t="shared" si="41"/>
        <v>BRU</v>
      </c>
      <c r="C695" s="33" t="str">
        <f t="shared" si="42"/>
        <v>25602-0000</v>
      </c>
      <c r="D695" t="s">
        <v>16724</v>
      </c>
      <c r="E695" t="s">
        <v>13426</v>
      </c>
      <c r="F695" t="s">
        <v>14039</v>
      </c>
      <c r="G695" t="s">
        <v>14672</v>
      </c>
      <c r="H695" t="s">
        <v>13889</v>
      </c>
      <c r="I695" t="s">
        <v>14690</v>
      </c>
      <c r="J695" s="62">
        <v>0</v>
      </c>
      <c r="K695" s="62">
        <v>-1487500</v>
      </c>
      <c r="L695" t="str">
        <f>VLOOKUP(VALUE(LEFT(C695,5)),Xref!A:B,2,0)</f>
        <v>DFLP</v>
      </c>
      <c r="M695" t="str">
        <f t="shared" si="43"/>
        <v>BRU-DFLP</v>
      </c>
    </row>
    <row r="696" spans="1:13" ht="14.25" customHeight="true">
      <c r="A696" s="33" t="str">
        <f t="shared" si="40"/>
        <v>BRU - InterCo Notes</v>
      </c>
      <c r="B696" s="33" t="str">
        <f t="shared" si="41"/>
        <v>BRU</v>
      </c>
      <c r="C696" s="33" t="str">
        <f t="shared" si="42"/>
        <v>25603-0000</v>
      </c>
      <c r="D696" t="s">
        <v>16725</v>
      </c>
      <c r="E696" t="s">
        <v>14311</v>
      </c>
      <c r="F696" t="s">
        <v>14039</v>
      </c>
      <c r="G696" t="s">
        <v>14832</v>
      </c>
      <c r="H696" t="s">
        <v>13889</v>
      </c>
      <c r="I696" t="s">
        <v>14690</v>
      </c>
      <c r="J696" s="62">
        <v>0</v>
      </c>
      <c r="K696" s="62">
        <v>0</v>
      </c>
      <c r="L696" t="str">
        <f>VLOOKUP(VALUE(LEFT(C696,5)),Xref!A:B,2,0)</f>
        <v>aka</v>
      </c>
      <c r="M696" t="str">
        <f t="shared" si="43"/>
        <v>aka-BRU</v>
      </c>
    </row>
    <row r="697" spans="1:13" ht="14.25" customHeight="true">
      <c r="A697" s="33" t="str">
        <f t="shared" si="40"/>
        <v>BRU - Intercompany</v>
      </c>
      <c r="B697" s="33" t="str">
        <f t="shared" si="41"/>
        <v>BRU</v>
      </c>
      <c r="C697" s="33" t="str">
        <f t="shared" si="42"/>
        <v>25604-0000</v>
      </c>
      <c r="D697" t="s">
        <v>16726</v>
      </c>
      <c r="E697" t="s">
        <v>13490</v>
      </c>
      <c r="F697" t="s">
        <v>14039</v>
      </c>
      <c r="G697" t="s">
        <v>14672</v>
      </c>
      <c r="H697" t="s">
        <v>13869</v>
      </c>
      <c r="I697" t="s">
        <v>14690</v>
      </c>
      <c r="J697" s="62">
        <v>0</v>
      </c>
      <c r="K697" s="62">
        <v>0</v>
      </c>
      <c r="L697">
        <f>VLOOKUP(VALUE(LEFT(C697,5)),Xref!A:B,2,0)</f>
        <v>0</v>
      </c>
      <c r="M697" t="str">
        <f t="shared" si="43"/>
        <v>0-BRU</v>
      </c>
    </row>
    <row r="698" spans="1:13" ht="14.25" customHeight="true">
      <c r="A698" s="33" t="str">
        <f t="shared" si="40"/>
        <v>BVI - Intercompany</v>
      </c>
      <c r="B698" s="33" t="str">
        <f t="shared" si="41"/>
        <v>BVI</v>
      </c>
      <c r="C698" s="33" t="str">
        <f t="shared" si="42"/>
        <v>11231-0000</v>
      </c>
      <c r="D698" t="s">
        <v>548</v>
      </c>
      <c r="E698" t="s">
        <v>549</v>
      </c>
      <c r="F698" t="s">
        <v>30853</v>
      </c>
      <c r="G698" t="s">
        <v>16</v>
      </c>
      <c r="H698" t="s">
        <v>13869</v>
      </c>
      <c r="I698" t="s">
        <v>40</v>
      </c>
      <c r="J698" s="62">
        <v>1168.71</v>
      </c>
      <c r="K698" s="62">
        <v>32510.18</v>
      </c>
      <c r="L698" t="str">
        <f>VLOOKUP(VALUE(LEFT(C698,5)),Xref!A:B,2,0)</f>
        <v>SC1</v>
      </c>
      <c r="M698" t="str">
        <f t="shared" si="43"/>
        <v>BVI-SC1</v>
      </c>
    </row>
    <row r="699" spans="1:13" ht="14.25" customHeight="true">
      <c r="A699" s="33" t="str">
        <f t="shared" si="40"/>
        <v>CDP - Intercompany</v>
      </c>
      <c r="B699" s="33" t="str">
        <f t="shared" si="41"/>
        <v>CDP</v>
      </c>
      <c r="C699" s="33" t="str">
        <f t="shared" si="42"/>
        <v>11202-0000</v>
      </c>
      <c r="D699" t="s">
        <v>575</v>
      </c>
      <c r="E699" t="s">
        <v>576</v>
      </c>
      <c r="F699" t="s">
        <v>13794</v>
      </c>
      <c r="G699" t="s">
        <v>16</v>
      </c>
      <c r="H699" t="s">
        <v>13869</v>
      </c>
      <c r="I699" t="s">
        <v>40</v>
      </c>
      <c r="J699" s="62">
        <v>0</v>
      </c>
      <c r="K699" s="62">
        <v>-90.07</v>
      </c>
      <c r="L699" t="str">
        <f>VLOOKUP(VALUE(LEFT(C699,5)),Xref!A:B,2,0)</f>
        <v>FFC</v>
      </c>
      <c r="M699" t="str">
        <f t="shared" si="43"/>
        <v>CDP-FFC</v>
      </c>
    </row>
    <row r="700" spans="1:13" ht="14.25" customHeight="true">
      <c r="A700" s="33" t="str">
        <f t="shared" si="40"/>
        <v>CHA - Intercompany</v>
      </c>
      <c r="B700" s="33" t="str">
        <f t="shared" si="41"/>
        <v>CHA</v>
      </c>
      <c r="C700" s="33" t="str">
        <f t="shared" si="42"/>
        <v>11200-0000</v>
      </c>
      <c r="D700" t="s">
        <v>16904</v>
      </c>
      <c r="E700" t="s">
        <v>14069</v>
      </c>
      <c r="F700" t="s">
        <v>14039</v>
      </c>
      <c r="G700" t="s">
        <v>14672</v>
      </c>
      <c r="H700" t="s">
        <v>13869</v>
      </c>
      <c r="I700" t="s">
        <v>14690</v>
      </c>
      <c r="J700" s="62">
        <v>0</v>
      </c>
      <c r="K700" s="62">
        <v>0</v>
      </c>
      <c r="L700" t="str">
        <f>VLOOKUP(VALUE(LEFT(C700,5)),Xref!A:B,2,0)</f>
        <v>SCL</v>
      </c>
      <c r="M700" t="str">
        <f t="shared" si="43"/>
        <v>CHA-SCL</v>
      </c>
    </row>
    <row r="701" spans="1:13" ht="14.25" customHeight="true">
      <c r="A701" s="33" t="str">
        <f t="shared" si="40"/>
        <v>CHA - Intercompany</v>
      </c>
      <c r="B701" s="33" t="str">
        <f t="shared" si="41"/>
        <v>CHA</v>
      </c>
      <c r="C701" s="33" t="str">
        <f t="shared" si="42"/>
        <v>11201-0000</v>
      </c>
      <c r="D701" t="s">
        <v>16905</v>
      </c>
      <c r="E701" t="s">
        <v>14071</v>
      </c>
      <c r="F701" t="s">
        <v>14039</v>
      </c>
      <c r="G701" t="s">
        <v>14672</v>
      </c>
      <c r="H701" t="s">
        <v>13869</v>
      </c>
      <c r="I701" t="s">
        <v>14690</v>
      </c>
      <c r="J701" s="62">
        <v>0</v>
      </c>
      <c r="K701" s="62">
        <v>0</v>
      </c>
      <c r="L701" t="str">
        <f>VLOOKUP(VALUE(LEFT(C701,5)),Xref!A:B,2,0)</f>
        <v>SG2</v>
      </c>
      <c r="M701" t="str">
        <f t="shared" si="43"/>
        <v>CHA-SG2</v>
      </c>
    </row>
    <row r="702" spans="1:13" ht="14.25" customHeight="true">
      <c r="A702" s="33" t="str">
        <f t="shared" si="40"/>
        <v>CHA - Intercompany</v>
      </c>
      <c r="B702" s="33" t="str">
        <f t="shared" si="41"/>
        <v>CHA</v>
      </c>
      <c r="C702" s="33" t="str">
        <f t="shared" si="42"/>
        <v>11202-0000</v>
      </c>
      <c r="D702" t="s">
        <v>16906</v>
      </c>
      <c r="E702" t="s">
        <v>14073</v>
      </c>
      <c r="F702" t="s">
        <v>14039</v>
      </c>
      <c r="G702" t="s">
        <v>14672</v>
      </c>
      <c r="H702" t="s">
        <v>13869</v>
      </c>
      <c r="I702" t="s">
        <v>14690</v>
      </c>
      <c r="J702" s="62">
        <v>0</v>
      </c>
      <c r="K702" s="62">
        <v>0</v>
      </c>
      <c r="L702" t="str">
        <f>VLOOKUP(VALUE(LEFT(C702,5)),Xref!A:B,2,0)</f>
        <v>FFC</v>
      </c>
      <c r="M702" t="str">
        <f t="shared" si="43"/>
        <v>CHA-FFC</v>
      </c>
    </row>
    <row r="703" spans="1:13" ht="14.25" customHeight="true">
      <c r="A703" s="33" t="str">
        <f t="shared" si="40"/>
        <v>CHA - Intercompany</v>
      </c>
      <c r="B703" s="33" t="str">
        <f t="shared" si="41"/>
        <v>CHA</v>
      </c>
      <c r="C703" s="33" t="str">
        <f t="shared" si="42"/>
        <v>11203-0000</v>
      </c>
      <c r="D703" t="s">
        <v>16907</v>
      </c>
      <c r="E703" t="s">
        <v>14075</v>
      </c>
      <c r="F703" t="s">
        <v>14039</v>
      </c>
      <c r="G703" t="s">
        <v>14672</v>
      </c>
      <c r="H703" t="s">
        <v>13869</v>
      </c>
      <c r="I703" t="s">
        <v>14690</v>
      </c>
      <c r="J703" s="62">
        <v>0</v>
      </c>
      <c r="K703" s="62">
        <v>0</v>
      </c>
      <c r="L703" t="str">
        <f>VLOOKUP(VALUE(LEFT(C703,5)),Xref!A:B,2,0)</f>
        <v>HN2</v>
      </c>
      <c r="M703" t="str">
        <f t="shared" si="43"/>
        <v>CHA-HN2</v>
      </c>
    </row>
    <row r="704" spans="1:13" ht="14.25" customHeight="true">
      <c r="A704" s="33" t="str">
        <f t="shared" si="40"/>
        <v>CHA - Intercompany</v>
      </c>
      <c r="B704" s="33" t="str">
        <f t="shared" si="41"/>
        <v>CHA</v>
      </c>
      <c r="C704" s="33" t="str">
        <f t="shared" si="42"/>
        <v>11204-0000</v>
      </c>
      <c r="D704" t="s">
        <v>16908</v>
      </c>
      <c r="E704" t="s">
        <v>14077</v>
      </c>
      <c r="F704" t="s">
        <v>14039</v>
      </c>
      <c r="G704" t="s">
        <v>14672</v>
      </c>
      <c r="H704" t="s">
        <v>13869</v>
      </c>
      <c r="I704" t="s">
        <v>14690</v>
      </c>
      <c r="J704" s="62">
        <v>0</v>
      </c>
      <c r="K704" s="62">
        <v>0</v>
      </c>
      <c r="L704" t="str">
        <f>VLOOKUP(VALUE(LEFT(C704,5)),Xref!A:B,2,0)</f>
        <v>DF2</v>
      </c>
      <c r="M704" t="str">
        <f t="shared" si="43"/>
        <v>CHA-DF2</v>
      </c>
    </row>
    <row r="705" spans="1:13" ht="14.25" customHeight="true">
      <c r="A705" s="33" t="str">
        <f t="shared" si="40"/>
        <v>CHA - Intercompany</v>
      </c>
      <c r="B705" s="33" t="str">
        <f t="shared" si="41"/>
        <v>CHA</v>
      </c>
      <c r="C705" s="33" t="str">
        <f t="shared" si="42"/>
        <v>11208-0000</v>
      </c>
      <c r="D705" t="s">
        <v>16909</v>
      </c>
      <c r="E705" t="s">
        <v>14079</v>
      </c>
      <c r="F705" t="s">
        <v>14039</v>
      </c>
      <c r="G705" t="s">
        <v>14672</v>
      </c>
      <c r="H705" t="s">
        <v>13869</v>
      </c>
      <c r="I705" t="s">
        <v>14690</v>
      </c>
      <c r="J705" s="62">
        <v>0</v>
      </c>
      <c r="K705" s="62">
        <v>0</v>
      </c>
      <c r="L705" t="str">
        <f>VLOOKUP(VALUE(LEFT(C705,5)),Xref!A:B,2,0)</f>
        <v>SRE</v>
      </c>
      <c r="M705" t="str">
        <f t="shared" si="43"/>
        <v>CHA-SRE</v>
      </c>
    </row>
    <row r="706" spans="1:13" ht="14.25" customHeight="true">
      <c r="A706" s="33" t="str">
        <f t="shared" ref="A706:A769" si="44">B706&amp;" - "&amp;TRIM(H706)</f>
        <v>CHA - Intercompany</v>
      </c>
      <c r="B706" s="33" t="str">
        <f t="shared" ref="B706:B769" si="45">LEFT(D706,3)</f>
        <v>CHA</v>
      </c>
      <c r="C706" s="33" t="str">
        <f t="shared" ref="C706:C769" si="46">RIGHT(D706,10)</f>
        <v>11210-0000</v>
      </c>
      <c r="D706" t="s">
        <v>16910</v>
      </c>
      <c r="E706" t="s">
        <v>14081</v>
      </c>
      <c r="F706" t="s">
        <v>14039</v>
      </c>
      <c r="G706" t="s">
        <v>14672</v>
      </c>
      <c r="H706" t="s">
        <v>13869</v>
      </c>
      <c r="I706" t="s">
        <v>14690</v>
      </c>
      <c r="J706" s="62">
        <v>0</v>
      </c>
      <c r="K706" s="62">
        <v>0</v>
      </c>
      <c r="L706" t="str">
        <f>VLOOKUP(VALUE(LEFT(C706,5)),Xref!A:B,2,0)</f>
        <v>REM</v>
      </c>
      <c r="M706" t="str">
        <f t="shared" ref="M706:M769" si="47">IF(B706&lt;L706,B706&amp;"-"&amp;L706,L706&amp;"-"&amp;B706)</f>
        <v>CHA-REM</v>
      </c>
    </row>
    <row r="707" spans="1:13" ht="14.25" customHeight="true">
      <c r="A707" s="33" t="str">
        <f t="shared" si="44"/>
        <v>CHA - Intercompany</v>
      </c>
      <c r="B707" s="33" t="str">
        <f t="shared" si="45"/>
        <v>CHA</v>
      </c>
      <c r="C707" s="33" t="str">
        <f t="shared" si="46"/>
        <v>11212-0000</v>
      </c>
      <c r="D707" t="s">
        <v>16911</v>
      </c>
      <c r="E707" t="s">
        <v>14083</v>
      </c>
      <c r="F707" t="s">
        <v>14039</v>
      </c>
      <c r="G707" t="s">
        <v>14672</v>
      </c>
      <c r="H707" t="s">
        <v>13869</v>
      </c>
      <c r="I707" t="s">
        <v>14690</v>
      </c>
      <c r="J707" s="62">
        <v>0</v>
      </c>
      <c r="K707" s="62">
        <v>0</v>
      </c>
      <c r="L707" t="str">
        <f>VLOOKUP(VALUE(LEFT(C707,5)),Xref!A:B,2,0)</f>
        <v>FRM</v>
      </c>
      <c r="M707" t="str">
        <f t="shared" si="47"/>
        <v>CHA-FRM</v>
      </c>
    </row>
    <row r="708" spans="1:13" ht="14.25" customHeight="true">
      <c r="A708" s="33" t="str">
        <f t="shared" si="44"/>
        <v>CHA - Intercompany</v>
      </c>
      <c r="B708" s="33" t="str">
        <f t="shared" si="45"/>
        <v>CHA</v>
      </c>
      <c r="C708" s="33" t="str">
        <f t="shared" si="46"/>
        <v>11214-0000</v>
      </c>
      <c r="D708" t="s">
        <v>16912</v>
      </c>
      <c r="E708" t="s">
        <v>14085</v>
      </c>
      <c r="F708" t="s">
        <v>14039</v>
      </c>
      <c r="G708" t="s">
        <v>14672</v>
      </c>
      <c r="H708" t="s">
        <v>13869</v>
      </c>
      <c r="I708" t="s">
        <v>14690</v>
      </c>
      <c r="J708" s="62">
        <v>0</v>
      </c>
      <c r="K708" s="62">
        <v>0</v>
      </c>
      <c r="L708" t="str">
        <f>VLOOKUP(VALUE(LEFT(C708,5)),Xref!A:B,2,0)</f>
        <v>D7R</v>
      </c>
      <c r="M708" t="str">
        <f t="shared" si="47"/>
        <v>CHA-D7R</v>
      </c>
    </row>
    <row r="709" spans="1:13" ht="14.25" customHeight="true">
      <c r="A709" s="33" t="str">
        <f t="shared" si="44"/>
        <v>CHA - Intercompany</v>
      </c>
      <c r="B709" s="33" t="str">
        <f t="shared" si="45"/>
        <v>CHA</v>
      </c>
      <c r="C709" s="33" t="str">
        <f t="shared" si="46"/>
        <v>11215-0000</v>
      </c>
      <c r="D709" t="s">
        <v>16913</v>
      </c>
      <c r="E709" t="s">
        <v>14087</v>
      </c>
      <c r="F709" t="s">
        <v>14039</v>
      </c>
      <c r="G709" t="s">
        <v>14672</v>
      </c>
      <c r="H709" t="s">
        <v>13869</v>
      </c>
      <c r="I709" t="s">
        <v>14690</v>
      </c>
      <c r="J709" s="62">
        <v>0</v>
      </c>
      <c r="K709" s="62">
        <v>0</v>
      </c>
      <c r="L709" t="str">
        <f>VLOOKUP(VALUE(LEFT(C709,5)),Xref!A:B,2,0)</f>
        <v>CDP</v>
      </c>
      <c r="M709" t="str">
        <f t="shared" si="47"/>
        <v>CDP-CHA</v>
      </c>
    </row>
    <row r="710" spans="1:13" ht="14.25" customHeight="true">
      <c r="A710" s="33" t="str">
        <f t="shared" si="44"/>
        <v>CHA - Intercompany</v>
      </c>
      <c r="B710" s="33" t="str">
        <f t="shared" si="45"/>
        <v>CHA</v>
      </c>
      <c r="C710" s="33" t="str">
        <f t="shared" si="46"/>
        <v>11216-0000</v>
      </c>
      <c r="D710" t="s">
        <v>592</v>
      </c>
      <c r="E710" t="s">
        <v>13224</v>
      </c>
      <c r="F710" t="s">
        <v>14039</v>
      </c>
      <c r="G710" t="s">
        <v>14672</v>
      </c>
      <c r="H710" t="s">
        <v>13869</v>
      </c>
      <c r="I710" t="s">
        <v>14690</v>
      </c>
      <c r="J710" s="62">
        <v>-673.34</v>
      </c>
      <c r="K710" s="62">
        <v>115314.37</v>
      </c>
      <c r="L710" t="str">
        <f>VLOOKUP(VALUE(LEFT(C710,5)),Xref!A:B,2,0)</f>
        <v>SIL</v>
      </c>
      <c r="M710" t="str">
        <f t="shared" si="47"/>
        <v>CHA-SIL</v>
      </c>
    </row>
    <row r="711" spans="1:13" ht="14.25" customHeight="true">
      <c r="A711" s="33" t="str">
        <f t="shared" si="44"/>
        <v>CHA - Intercompany</v>
      </c>
      <c r="B711" s="33" t="str">
        <f t="shared" si="45"/>
        <v>CHA</v>
      </c>
      <c r="C711" s="33" t="str">
        <f t="shared" si="46"/>
        <v>11232-0000</v>
      </c>
      <c r="D711" t="s">
        <v>16914</v>
      </c>
      <c r="E711" t="s">
        <v>12486</v>
      </c>
      <c r="F711" t="s">
        <v>14039</v>
      </c>
      <c r="G711" t="s">
        <v>14672</v>
      </c>
      <c r="H711" t="s">
        <v>13869</v>
      </c>
      <c r="I711" t="s">
        <v>14690</v>
      </c>
      <c r="J711" s="62">
        <v>0</v>
      </c>
      <c r="K711" s="62">
        <v>0</v>
      </c>
      <c r="L711" t="str">
        <f>VLOOKUP(VALUE(LEFT(C711,5)),Xref!A:B,2,0)</f>
        <v>SC2</v>
      </c>
      <c r="M711" t="str">
        <f t="shared" si="47"/>
        <v>CHA-SC2</v>
      </c>
    </row>
    <row r="712" spans="1:13" ht="14.25" customHeight="true">
      <c r="A712" s="33" t="str">
        <f t="shared" si="44"/>
        <v>CHA - Intercompany</v>
      </c>
      <c r="B712" s="33" t="str">
        <f t="shared" si="45"/>
        <v>CHA</v>
      </c>
      <c r="C712" s="33" t="str">
        <f t="shared" si="46"/>
        <v>11301-0000</v>
      </c>
      <c r="D712" t="s">
        <v>16915</v>
      </c>
      <c r="E712" t="s">
        <v>13225</v>
      </c>
      <c r="F712" t="s">
        <v>14039</v>
      </c>
      <c r="G712" t="s">
        <v>14672</v>
      </c>
      <c r="H712" t="s">
        <v>13869</v>
      </c>
      <c r="I712" t="s">
        <v>14690</v>
      </c>
      <c r="J712" s="62">
        <v>0</v>
      </c>
      <c r="K712" s="62">
        <v>0</v>
      </c>
      <c r="L712" t="str">
        <f>VLOOKUP(VALUE(LEFT(C712,5)),Xref!A:B,2,0)</f>
        <v>CRE</v>
      </c>
      <c r="M712" t="str">
        <f t="shared" si="47"/>
        <v>CHA-CRE</v>
      </c>
    </row>
    <row r="713" spans="1:13" ht="14.25" customHeight="true">
      <c r="A713" s="33" t="str">
        <f t="shared" si="44"/>
        <v>CHA - Intercompany</v>
      </c>
      <c r="B713" s="33" t="str">
        <f t="shared" si="45"/>
        <v>CHA</v>
      </c>
      <c r="C713" s="33" t="str">
        <f t="shared" si="46"/>
        <v>11302-0000</v>
      </c>
      <c r="D713" t="s">
        <v>16916</v>
      </c>
      <c r="E713" t="s">
        <v>13226</v>
      </c>
      <c r="F713" t="s">
        <v>14039</v>
      </c>
      <c r="G713" t="s">
        <v>14672</v>
      </c>
      <c r="H713" t="s">
        <v>13869</v>
      </c>
      <c r="I713" t="s">
        <v>14690</v>
      </c>
      <c r="J713" s="62">
        <v>0</v>
      </c>
      <c r="K713" s="62">
        <v>10000</v>
      </c>
      <c r="L713" t="str">
        <f>VLOOKUP(VALUE(LEFT(C713,5)),Xref!A:B,2,0)</f>
        <v>CHA</v>
      </c>
      <c r="M713" t="str">
        <f t="shared" si="47"/>
        <v>CHA-CHA</v>
      </c>
    </row>
    <row r="714" spans="1:13" ht="14.25" customHeight="true">
      <c r="A714" s="33" t="str">
        <f t="shared" si="44"/>
        <v>CHA - Intercompany</v>
      </c>
      <c r="B714" s="33" t="str">
        <f t="shared" si="45"/>
        <v>CHA</v>
      </c>
      <c r="C714" s="33" t="str">
        <f t="shared" si="46"/>
        <v>11303-0000</v>
      </c>
      <c r="D714" t="s">
        <v>16917</v>
      </c>
      <c r="E714" t="s">
        <v>13227</v>
      </c>
      <c r="F714" t="s">
        <v>14039</v>
      </c>
      <c r="G714" t="s">
        <v>14672</v>
      </c>
      <c r="H714" t="s">
        <v>13869</v>
      </c>
      <c r="I714" t="s">
        <v>14690</v>
      </c>
      <c r="J714" s="62">
        <v>0</v>
      </c>
      <c r="K714" s="62">
        <v>0</v>
      </c>
      <c r="L714" t="str">
        <f>VLOOKUP(VALUE(LEFT(C714,5)),Xref!A:B,2,0)</f>
        <v>DIA</v>
      </c>
      <c r="M714" t="str">
        <f t="shared" si="47"/>
        <v>CHA-DIA</v>
      </c>
    </row>
    <row r="715" spans="1:13" ht="14.25" customHeight="true">
      <c r="A715" s="33" t="str">
        <f t="shared" si="44"/>
        <v>CHA - Intercompany</v>
      </c>
      <c r="B715" s="33" t="str">
        <f t="shared" si="45"/>
        <v>CHA</v>
      </c>
      <c r="C715" s="33" t="str">
        <f t="shared" si="46"/>
        <v>11304-0000</v>
      </c>
      <c r="D715" t="s">
        <v>16918</v>
      </c>
      <c r="E715" t="s">
        <v>13228</v>
      </c>
      <c r="F715" t="s">
        <v>14039</v>
      </c>
      <c r="G715" t="s">
        <v>14672</v>
      </c>
      <c r="H715" t="s">
        <v>13869</v>
      </c>
      <c r="I715" t="s">
        <v>14690</v>
      </c>
      <c r="J715" s="62">
        <v>0</v>
      </c>
      <c r="K715" s="62">
        <v>0</v>
      </c>
      <c r="L715" t="str">
        <f>VLOOKUP(VALUE(LEFT(C715,5)),Xref!A:B,2,0)</f>
        <v>EAG</v>
      </c>
      <c r="M715" t="str">
        <f t="shared" si="47"/>
        <v>CHA-EAG</v>
      </c>
    </row>
    <row r="716" spans="1:13" ht="14.25" customHeight="true">
      <c r="A716" s="33" t="str">
        <f t="shared" si="44"/>
        <v>CHA - Intercompany</v>
      </c>
      <c r="B716" s="33" t="str">
        <f t="shared" si="45"/>
        <v>CHA</v>
      </c>
      <c r="C716" s="33" t="str">
        <f t="shared" si="46"/>
        <v>11305-0000</v>
      </c>
      <c r="D716" t="s">
        <v>593</v>
      </c>
      <c r="E716" t="s">
        <v>13229</v>
      </c>
      <c r="F716" t="s">
        <v>14039</v>
      </c>
      <c r="G716" t="s">
        <v>14672</v>
      </c>
      <c r="H716" t="s">
        <v>13869</v>
      </c>
      <c r="I716" t="s">
        <v>14690</v>
      </c>
      <c r="J716" s="62">
        <v>0</v>
      </c>
      <c r="K716" s="62">
        <v>50300</v>
      </c>
      <c r="L716" t="str">
        <f>VLOOKUP(VALUE(LEFT(C716,5)),Xref!A:B,2,0)</f>
        <v>NEW</v>
      </c>
      <c r="M716" t="str">
        <f t="shared" si="47"/>
        <v>CHA-NEW</v>
      </c>
    </row>
    <row r="717" spans="1:13" ht="14.25" customHeight="true">
      <c r="A717" s="33" t="str">
        <f t="shared" si="44"/>
        <v>CHA - Intercompany</v>
      </c>
      <c r="B717" s="33" t="str">
        <f t="shared" si="45"/>
        <v>CHA</v>
      </c>
      <c r="C717" s="33" t="str">
        <f t="shared" si="46"/>
        <v>11307-0000</v>
      </c>
      <c r="D717" t="s">
        <v>16919</v>
      </c>
      <c r="E717" t="s">
        <v>14096</v>
      </c>
      <c r="F717" t="s">
        <v>14039</v>
      </c>
      <c r="G717" t="s">
        <v>14672</v>
      </c>
      <c r="H717" t="s">
        <v>13869</v>
      </c>
      <c r="I717" t="s">
        <v>14690</v>
      </c>
      <c r="J717" s="62">
        <v>0</v>
      </c>
      <c r="K717" s="62">
        <v>0</v>
      </c>
      <c r="L717" t="str">
        <f>VLOOKUP(VALUE(LEFT(C717,5)),Xref!A:B,2,0)</f>
        <v>NES</v>
      </c>
      <c r="M717" t="str">
        <f t="shared" si="47"/>
        <v>CHA-NES</v>
      </c>
    </row>
    <row r="718" spans="1:13" ht="14.25" customHeight="true">
      <c r="A718" s="33" t="str">
        <f t="shared" si="44"/>
        <v>CHA - Intercompany</v>
      </c>
      <c r="B718" s="33" t="str">
        <f t="shared" si="45"/>
        <v>CHA</v>
      </c>
      <c r="C718" s="33" t="str">
        <f t="shared" si="46"/>
        <v>11308-0000</v>
      </c>
      <c r="D718" t="s">
        <v>16920</v>
      </c>
      <c r="E718" t="s">
        <v>13476</v>
      </c>
      <c r="F718" t="s">
        <v>14039</v>
      </c>
      <c r="G718" t="s">
        <v>14672</v>
      </c>
      <c r="H718" t="s">
        <v>13869</v>
      </c>
      <c r="I718" t="s">
        <v>14690</v>
      </c>
      <c r="J718" s="62">
        <v>0</v>
      </c>
      <c r="K718" s="62">
        <v>0</v>
      </c>
      <c r="L718" t="str">
        <f>VLOOKUP(VALUE(LEFT(C718,5)),Xref!A:B,2,0)</f>
        <v>LPI</v>
      </c>
      <c r="M718" t="str">
        <f t="shared" si="47"/>
        <v>CHA-LPI</v>
      </c>
    </row>
    <row r="719" spans="1:13" ht="14.25" customHeight="true">
      <c r="A719" s="33" t="str">
        <f t="shared" si="44"/>
        <v>CHA - Intercompany</v>
      </c>
      <c r="B719" s="33" t="str">
        <f t="shared" si="45"/>
        <v>CHA</v>
      </c>
      <c r="C719" s="33" t="str">
        <f t="shared" si="46"/>
        <v>11309-0000</v>
      </c>
      <c r="D719" t="s">
        <v>16921</v>
      </c>
      <c r="E719" t="s">
        <v>13230</v>
      </c>
      <c r="F719" t="s">
        <v>14039</v>
      </c>
      <c r="G719" t="s">
        <v>14672</v>
      </c>
      <c r="H719" t="s">
        <v>13869</v>
      </c>
      <c r="I719" t="s">
        <v>14690</v>
      </c>
      <c r="J719" s="62">
        <v>0</v>
      </c>
      <c r="K719" s="62">
        <v>0</v>
      </c>
      <c r="L719" t="str">
        <f>VLOOKUP(VALUE(LEFT(C719,5)),Xref!A:B,2,0)</f>
        <v>GPI</v>
      </c>
      <c r="M719" t="str">
        <f t="shared" si="47"/>
        <v>CHA-GPI</v>
      </c>
    </row>
    <row r="720" spans="1:13" ht="14.25" customHeight="true">
      <c r="A720" s="33" t="str">
        <f t="shared" si="44"/>
        <v>CHA - Intercompany</v>
      </c>
      <c r="B720" s="33" t="str">
        <f t="shared" si="45"/>
        <v>CHA</v>
      </c>
      <c r="C720" s="33" t="str">
        <f t="shared" si="46"/>
        <v>11310-0000</v>
      </c>
      <c r="D720" t="s">
        <v>16922</v>
      </c>
      <c r="E720" t="s">
        <v>13231</v>
      </c>
      <c r="F720" t="s">
        <v>14039</v>
      </c>
      <c r="G720" t="s">
        <v>14672</v>
      </c>
      <c r="H720" t="s">
        <v>13869</v>
      </c>
      <c r="I720" t="s">
        <v>14690</v>
      </c>
      <c r="J720" s="62">
        <v>0</v>
      </c>
      <c r="K720" s="62">
        <v>0</v>
      </c>
      <c r="L720" t="str">
        <f>VLOOKUP(VALUE(LEFT(C720,5)),Xref!A:B,2,0)</f>
        <v>ALP</v>
      </c>
      <c r="M720" t="str">
        <f t="shared" si="47"/>
        <v>ALP-CHA</v>
      </c>
    </row>
    <row r="721" spans="1:13" ht="14.25" customHeight="true">
      <c r="A721" s="33" t="str">
        <f t="shared" si="44"/>
        <v>CHA - Intercompany</v>
      </c>
      <c r="B721" s="33" t="str">
        <f t="shared" si="45"/>
        <v>CHA</v>
      </c>
      <c r="C721" s="33" t="str">
        <f t="shared" si="46"/>
        <v>11311-0000</v>
      </c>
      <c r="D721" t="s">
        <v>16923</v>
      </c>
      <c r="E721" t="s">
        <v>13232</v>
      </c>
      <c r="F721" t="s">
        <v>14039</v>
      </c>
      <c r="G721" t="s">
        <v>14672</v>
      </c>
      <c r="H721" t="s">
        <v>13869</v>
      </c>
      <c r="I721" t="s">
        <v>14690</v>
      </c>
      <c r="J721" s="62">
        <v>0</v>
      </c>
      <c r="K721" s="62">
        <v>0</v>
      </c>
      <c r="L721" t="str">
        <f>VLOOKUP(VALUE(LEFT(C721,5)),Xref!A:B,2,0)</f>
        <v>BET</v>
      </c>
      <c r="M721" t="str">
        <f t="shared" si="47"/>
        <v>BET-CHA</v>
      </c>
    </row>
    <row r="722" spans="1:13" ht="14.25" customHeight="true">
      <c r="A722" s="33" t="str">
        <f t="shared" si="44"/>
        <v>CHA - Intercompany</v>
      </c>
      <c r="B722" s="33" t="str">
        <f t="shared" si="45"/>
        <v>CHA</v>
      </c>
      <c r="C722" s="33" t="str">
        <f t="shared" si="46"/>
        <v>11312-0000</v>
      </c>
      <c r="D722" t="s">
        <v>16924</v>
      </c>
      <c r="E722" t="s">
        <v>14102</v>
      </c>
      <c r="F722" t="s">
        <v>14039</v>
      </c>
      <c r="G722" t="s">
        <v>14672</v>
      </c>
      <c r="H722" t="s">
        <v>13869</v>
      </c>
      <c r="I722" t="s">
        <v>14690</v>
      </c>
      <c r="J722" s="62">
        <v>0</v>
      </c>
      <c r="K722" s="62">
        <v>0</v>
      </c>
      <c r="L722" t="str">
        <f>VLOOKUP(VALUE(LEFT(C722,5)),Xref!A:B,2,0)</f>
        <v>DEL</v>
      </c>
      <c r="M722" t="str">
        <f t="shared" si="47"/>
        <v>CHA-DEL</v>
      </c>
    </row>
    <row r="723" spans="1:13" ht="14.25" customHeight="true">
      <c r="A723" s="33" t="str">
        <f t="shared" si="44"/>
        <v>CHA - Intercompany</v>
      </c>
      <c r="B723" s="33" t="str">
        <f t="shared" si="45"/>
        <v>CHA</v>
      </c>
      <c r="C723" s="33" t="str">
        <f t="shared" si="46"/>
        <v>11313-0000</v>
      </c>
      <c r="D723" t="s">
        <v>16925</v>
      </c>
      <c r="E723" t="s">
        <v>13233</v>
      </c>
      <c r="F723" t="s">
        <v>14039</v>
      </c>
      <c r="G723" t="s">
        <v>14672</v>
      </c>
      <c r="H723" t="s">
        <v>13869</v>
      </c>
      <c r="I723" t="s">
        <v>14690</v>
      </c>
      <c r="J723" s="62">
        <v>0</v>
      </c>
      <c r="K723" s="62">
        <v>0</v>
      </c>
      <c r="L723" t="str">
        <f>VLOOKUP(VALUE(LEFT(C723,5)),Xref!A:B,2,0)</f>
        <v>DOL</v>
      </c>
      <c r="M723" t="str">
        <f t="shared" si="47"/>
        <v>CHA-DOL</v>
      </c>
    </row>
    <row r="724" spans="1:13" ht="14.25" customHeight="true">
      <c r="A724" s="33" t="str">
        <f t="shared" si="44"/>
        <v>CHA - Intercompany</v>
      </c>
      <c r="B724" s="33" t="str">
        <f t="shared" si="45"/>
        <v>CHA</v>
      </c>
      <c r="C724" s="33" t="str">
        <f t="shared" si="46"/>
        <v>11314-0000</v>
      </c>
      <c r="D724" t="s">
        <v>16926</v>
      </c>
      <c r="E724" t="s">
        <v>13351</v>
      </c>
      <c r="F724" t="s">
        <v>14039</v>
      </c>
      <c r="G724" t="s">
        <v>14672</v>
      </c>
      <c r="H724" t="s">
        <v>13869</v>
      </c>
      <c r="I724" t="s">
        <v>14690</v>
      </c>
      <c r="J724" s="62">
        <v>0</v>
      </c>
      <c r="K724" s="62">
        <v>0</v>
      </c>
      <c r="L724" t="str">
        <f>VLOOKUP(VALUE(LEFT(C724,5)),Xref!A:B,2,0)</f>
        <v>GRI</v>
      </c>
      <c r="M724" t="str">
        <f t="shared" si="47"/>
        <v>CHA-GRI</v>
      </c>
    </row>
    <row r="725" spans="1:13" ht="14.25" customHeight="true">
      <c r="A725" s="33" t="str">
        <f t="shared" si="44"/>
        <v>CHA - Intercompany</v>
      </c>
      <c r="B725" s="33" t="str">
        <f t="shared" si="45"/>
        <v>CHA</v>
      </c>
      <c r="C725" s="33" t="str">
        <f t="shared" si="46"/>
        <v>11315-0000</v>
      </c>
      <c r="D725" t="s">
        <v>16927</v>
      </c>
      <c r="E725" t="s">
        <v>13234</v>
      </c>
      <c r="F725" t="s">
        <v>14039</v>
      </c>
      <c r="G725" t="s">
        <v>14672</v>
      </c>
      <c r="H725" t="s">
        <v>13869</v>
      </c>
      <c r="I725" t="s">
        <v>14690</v>
      </c>
      <c r="J725" s="62">
        <v>0</v>
      </c>
      <c r="K725" s="62">
        <v>0</v>
      </c>
      <c r="L725" t="str">
        <f>VLOOKUP(VALUE(LEFT(C725,5)),Xref!A:B,2,0)</f>
        <v>PUR</v>
      </c>
      <c r="M725" t="str">
        <f t="shared" si="47"/>
        <v>CHA-PUR</v>
      </c>
    </row>
    <row r="726" spans="1:13" ht="14.25" customHeight="true">
      <c r="A726" s="33" t="str">
        <f t="shared" si="44"/>
        <v>CHA - Intercompany</v>
      </c>
      <c r="B726" s="33" t="str">
        <f t="shared" si="45"/>
        <v>CHA</v>
      </c>
      <c r="C726" s="33" t="str">
        <f t="shared" si="46"/>
        <v>11316-0000</v>
      </c>
      <c r="D726" t="s">
        <v>16928</v>
      </c>
      <c r="E726" t="s">
        <v>13235</v>
      </c>
      <c r="F726" t="s">
        <v>14039</v>
      </c>
      <c r="G726" t="s">
        <v>14672</v>
      </c>
      <c r="H726" t="s">
        <v>13869</v>
      </c>
      <c r="I726" t="s">
        <v>14690</v>
      </c>
      <c r="J726" s="62">
        <v>0</v>
      </c>
      <c r="K726" s="62">
        <v>0</v>
      </c>
      <c r="L726" t="str">
        <f>VLOOKUP(VALUE(LEFT(C726,5)),Xref!A:B,2,0)</f>
        <v>VAL</v>
      </c>
      <c r="M726" t="str">
        <f t="shared" si="47"/>
        <v>CHA-VAL</v>
      </c>
    </row>
    <row r="727" spans="1:13" ht="14.25" customHeight="true">
      <c r="A727" s="33" t="str">
        <f t="shared" si="44"/>
        <v>CHA - Intercompany</v>
      </c>
      <c r="B727" s="33" t="str">
        <f t="shared" si="45"/>
        <v>CHA</v>
      </c>
      <c r="C727" s="33" t="str">
        <f t="shared" si="46"/>
        <v>11317-0000</v>
      </c>
      <c r="D727" t="s">
        <v>595</v>
      </c>
      <c r="E727" t="s">
        <v>13352</v>
      </c>
      <c r="F727" t="s">
        <v>14039</v>
      </c>
      <c r="G727" t="s">
        <v>14672</v>
      </c>
      <c r="H727" t="s">
        <v>13869</v>
      </c>
      <c r="I727" t="s">
        <v>14690</v>
      </c>
      <c r="J727" s="62">
        <v>0</v>
      </c>
      <c r="K727" s="62">
        <v>-30000</v>
      </c>
      <c r="L727" t="str">
        <f>VLOOKUP(VALUE(LEFT(C727,5)),Xref!A:B,2,0)</f>
        <v>AKG</v>
      </c>
      <c r="M727" t="str">
        <f t="shared" si="47"/>
        <v>AKG-CHA</v>
      </c>
    </row>
    <row r="728" spans="1:13" ht="14.25" customHeight="true">
      <c r="A728" s="33" t="str">
        <f t="shared" si="44"/>
        <v>CHA - Intercompany</v>
      </c>
      <c r="B728" s="33" t="str">
        <f t="shared" si="45"/>
        <v>CHA</v>
      </c>
      <c r="C728" s="33" t="str">
        <f t="shared" si="46"/>
        <v>11318-0000</v>
      </c>
      <c r="D728" t="s">
        <v>16929</v>
      </c>
      <c r="E728" t="s">
        <v>13477</v>
      </c>
      <c r="F728" t="s">
        <v>14039</v>
      </c>
      <c r="G728" t="s">
        <v>14672</v>
      </c>
      <c r="H728" t="s">
        <v>13869</v>
      </c>
      <c r="I728" t="s">
        <v>14690</v>
      </c>
      <c r="J728" s="62">
        <v>0</v>
      </c>
      <c r="K728" s="62">
        <v>0</v>
      </c>
      <c r="L728" t="str">
        <f>VLOOKUP(VALUE(LEFT(C728,5)),Xref!A:B,2,0)</f>
        <v>FIR</v>
      </c>
      <c r="M728" t="str">
        <f t="shared" si="47"/>
        <v>CHA-FIR</v>
      </c>
    </row>
    <row r="729" spans="1:13" ht="14.25" customHeight="true">
      <c r="A729" s="33" t="str">
        <f t="shared" si="44"/>
        <v>CHA - Intercompany</v>
      </c>
      <c r="B729" s="33" t="str">
        <f t="shared" si="45"/>
        <v>CHA</v>
      </c>
      <c r="C729" s="33" t="str">
        <f t="shared" si="46"/>
        <v>11319-0000</v>
      </c>
      <c r="D729" t="s">
        <v>16930</v>
      </c>
      <c r="E729" t="s">
        <v>266</v>
      </c>
      <c r="F729" t="s">
        <v>14039</v>
      </c>
      <c r="G729" t="s">
        <v>14672</v>
      </c>
      <c r="H729" t="s">
        <v>13869</v>
      </c>
      <c r="I729" t="s">
        <v>14690</v>
      </c>
      <c r="J729" s="62">
        <v>0</v>
      </c>
      <c r="K729" s="62">
        <v>0</v>
      </c>
      <c r="L729" t="str">
        <f>VLOOKUP(VALUE(LEFT(C729,5)),Xref!A:B,2,0)</f>
        <v>GST</v>
      </c>
      <c r="M729" t="str">
        <f t="shared" si="47"/>
        <v>CHA-GST</v>
      </c>
    </row>
    <row r="730" spans="1:13" ht="14.25" customHeight="true">
      <c r="A730" s="33" t="str">
        <f t="shared" si="44"/>
        <v>CHA - Intercompany</v>
      </c>
      <c r="B730" s="33" t="str">
        <f t="shared" si="45"/>
        <v>CHA</v>
      </c>
      <c r="C730" s="33" t="str">
        <f t="shared" si="46"/>
        <v>11320-0000</v>
      </c>
      <c r="D730" t="s">
        <v>16931</v>
      </c>
      <c r="E730" t="s">
        <v>14111</v>
      </c>
      <c r="F730" t="s">
        <v>14039</v>
      </c>
      <c r="G730" t="s">
        <v>14672</v>
      </c>
      <c r="H730" t="s">
        <v>13869</v>
      </c>
      <c r="I730" t="s">
        <v>14690</v>
      </c>
      <c r="J730" s="62">
        <v>0</v>
      </c>
      <c r="K730" s="62">
        <v>0</v>
      </c>
      <c r="L730" t="str">
        <f>VLOOKUP(VALUE(LEFT(C730,5)),Xref!A:B,2,0)</f>
        <v>HDN</v>
      </c>
      <c r="M730" t="str">
        <f t="shared" si="47"/>
        <v>CHA-HDN</v>
      </c>
    </row>
    <row r="731" spans="1:13" ht="14.25" customHeight="true">
      <c r="A731" s="33" t="str">
        <f t="shared" si="44"/>
        <v>CHA - Intercompany</v>
      </c>
      <c r="B731" s="33" t="str">
        <f t="shared" si="45"/>
        <v>CHA</v>
      </c>
      <c r="C731" s="33" t="str">
        <f t="shared" si="46"/>
        <v>11321-0000</v>
      </c>
      <c r="D731" t="s">
        <v>596</v>
      </c>
      <c r="E731" t="s">
        <v>13236</v>
      </c>
      <c r="F731" t="s">
        <v>14039</v>
      </c>
      <c r="G731" t="s">
        <v>14672</v>
      </c>
      <c r="H731" t="s">
        <v>13869</v>
      </c>
      <c r="I731" t="s">
        <v>14690</v>
      </c>
      <c r="J731" s="62">
        <v>0</v>
      </c>
      <c r="K731" s="62">
        <v>20000</v>
      </c>
      <c r="L731" t="str">
        <f>VLOOKUP(VALUE(LEFT(C731,5)),Xref!A:B,2,0)</f>
        <v>OVA</v>
      </c>
      <c r="M731" t="str">
        <f t="shared" si="47"/>
        <v>CHA-OVA</v>
      </c>
    </row>
    <row r="732" spans="1:13" ht="14.25" customHeight="true">
      <c r="A732" s="33" t="str">
        <f t="shared" si="44"/>
        <v>CHA - Intercompany</v>
      </c>
      <c r="B732" s="33" t="str">
        <f t="shared" si="45"/>
        <v>CHA</v>
      </c>
      <c r="C732" s="33" t="str">
        <f t="shared" si="46"/>
        <v>11322-0000</v>
      </c>
      <c r="D732" t="s">
        <v>16932</v>
      </c>
      <c r="E732" t="s">
        <v>13237</v>
      </c>
      <c r="F732" t="s">
        <v>14039</v>
      </c>
      <c r="G732" t="s">
        <v>14672</v>
      </c>
      <c r="H732" t="s">
        <v>13869</v>
      </c>
      <c r="I732" t="s">
        <v>14690</v>
      </c>
      <c r="J732" s="62">
        <v>0</v>
      </c>
      <c r="K732" s="62">
        <v>0</v>
      </c>
      <c r="L732" t="str">
        <f>VLOOKUP(VALUE(LEFT(C732,5)),Xref!A:B,2,0)</f>
        <v>WOO</v>
      </c>
      <c r="M732" t="str">
        <f t="shared" si="47"/>
        <v>CHA-WOO</v>
      </c>
    </row>
    <row r="733" spans="1:13" ht="14.25" customHeight="true">
      <c r="A733" s="33" t="str">
        <f t="shared" si="44"/>
        <v>CHA - Intercompany</v>
      </c>
      <c r="B733" s="33" t="str">
        <f t="shared" si="45"/>
        <v>CHA</v>
      </c>
      <c r="C733" s="33" t="str">
        <f t="shared" si="46"/>
        <v>11323-0000</v>
      </c>
      <c r="D733" t="s">
        <v>16933</v>
      </c>
      <c r="E733" t="s">
        <v>13478</v>
      </c>
      <c r="F733" t="s">
        <v>14039</v>
      </c>
      <c r="G733" t="s">
        <v>14672</v>
      </c>
      <c r="H733" t="s">
        <v>13869</v>
      </c>
      <c r="I733" t="s">
        <v>14690</v>
      </c>
      <c r="J733" s="62">
        <v>0</v>
      </c>
      <c r="K733" s="62">
        <v>0</v>
      </c>
      <c r="L733" t="str">
        <f>VLOOKUP(VALUE(LEFT(C733,5)),Xref!A:B,2,0)</f>
        <v>SPI</v>
      </c>
      <c r="M733" t="str">
        <f t="shared" si="47"/>
        <v>CHA-SPI</v>
      </c>
    </row>
    <row r="734" spans="1:13" ht="14.25" customHeight="true">
      <c r="A734" s="33" t="str">
        <f t="shared" si="44"/>
        <v>CHA - Intercompany</v>
      </c>
      <c r="B734" s="33" t="str">
        <f t="shared" si="45"/>
        <v>CHA</v>
      </c>
      <c r="C734" s="33" t="str">
        <f t="shared" si="46"/>
        <v>11324-0000</v>
      </c>
      <c r="D734" t="s">
        <v>16934</v>
      </c>
      <c r="E734" t="s">
        <v>13238</v>
      </c>
      <c r="F734" t="s">
        <v>14039</v>
      </c>
      <c r="G734" t="s">
        <v>14672</v>
      </c>
      <c r="H734" t="s">
        <v>13869</v>
      </c>
      <c r="I734" t="s">
        <v>14690</v>
      </c>
      <c r="J734" s="62">
        <v>0</v>
      </c>
      <c r="K734" s="62">
        <v>0</v>
      </c>
      <c r="L734" t="str">
        <f>VLOOKUP(VALUE(LEFT(C734,5)),Xref!A:B,2,0)</f>
        <v>NET</v>
      </c>
      <c r="M734" t="str">
        <f t="shared" si="47"/>
        <v>CHA-NET</v>
      </c>
    </row>
    <row r="735" spans="1:13" ht="14.25" customHeight="true">
      <c r="A735" s="33" t="str">
        <f t="shared" si="44"/>
        <v>CHA - Intercompany</v>
      </c>
      <c r="B735" s="33" t="str">
        <f t="shared" si="45"/>
        <v>CHA</v>
      </c>
      <c r="C735" s="33" t="str">
        <f t="shared" si="46"/>
        <v>11325-0000</v>
      </c>
      <c r="D735" t="s">
        <v>16935</v>
      </c>
      <c r="E735" t="s">
        <v>13239</v>
      </c>
      <c r="F735" t="s">
        <v>14039</v>
      </c>
      <c r="G735" t="s">
        <v>14672</v>
      </c>
      <c r="H735" t="s">
        <v>13869</v>
      </c>
      <c r="I735" t="s">
        <v>14690</v>
      </c>
      <c r="J735" s="62">
        <v>0</v>
      </c>
      <c r="K735" s="62">
        <v>0</v>
      </c>
      <c r="L735" t="str">
        <f>VLOOKUP(VALUE(LEFT(C735,5)),Xref!A:B,2,0)</f>
        <v>DPI</v>
      </c>
      <c r="M735" t="str">
        <f t="shared" si="47"/>
        <v>CHA-DPI</v>
      </c>
    </row>
    <row r="736" spans="1:13" ht="14.25" customHeight="true">
      <c r="A736" s="33" t="str">
        <f t="shared" si="44"/>
        <v>CHA - Intercompany</v>
      </c>
      <c r="B736" s="33" t="str">
        <f t="shared" si="45"/>
        <v>CHA</v>
      </c>
      <c r="C736" s="33" t="str">
        <f t="shared" si="46"/>
        <v>11326-0000</v>
      </c>
      <c r="D736" t="s">
        <v>16936</v>
      </c>
      <c r="E736" t="s">
        <v>13240</v>
      </c>
      <c r="F736" t="s">
        <v>14039</v>
      </c>
      <c r="G736" t="s">
        <v>14672</v>
      </c>
      <c r="H736" t="s">
        <v>13869</v>
      </c>
      <c r="I736" t="s">
        <v>14690</v>
      </c>
      <c r="J736" s="62">
        <v>0</v>
      </c>
      <c r="K736" s="62">
        <v>0</v>
      </c>
      <c r="L736" t="str">
        <f>VLOOKUP(VALUE(LEFT(C736,5)),Xref!A:B,2,0)</f>
        <v>SEK</v>
      </c>
      <c r="M736" t="str">
        <f t="shared" si="47"/>
        <v>CHA-SEK</v>
      </c>
    </row>
    <row r="737" spans="1:13" ht="14.25" customHeight="true">
      <c r="A737" s="33" t="str">
        <f t="shared" si="44"/>
        <v>CHA - Intercompany</v>
      </c>
      <c r="B737" s="33" t="str">
        <f t="shared" si="45"/>
        <v>CHA</v>
      </c>
      <c r="C737" s="33" t="str">
        <f t="shared" si="46"/>
        <v>11327-0000</v>
      </c>
      <c r="D737" t="s">
        <v>16937</v>
      </c>
      <c r="E737" t="s">
        <v>14119</v>
      </c>
      <c r="F737" t="s">
        <v>14039</v>
      </c>
      <c r="G737" t="s">
        <v>14672</v>
      </c>
      <c r="H737" t="s">
        <v>13869</v>
      </c>
      <c r="I737" t="s">
        <v>14690</v>
      </c>
      <c r="J737" s="62">
        <v>0</v>
      </c>
      <c r="K737" s="62">
        <v>0</v>
      </c>
      <c r="L737" t="str">
        <f>VLOOKUP(VALUE(LEFT(C737,5)),Xref!A:B,2,0)</f>
        <v>CPI</v>
      </c>
      <c r="M737" t="str">
        <f t="shared" si="47"/>
        <v>CHA-CPI</v>
      </c>
    </row>
    <row r="738" spans="1:13" ht="14.25" customHeight="true">
      <c r="A738" s="33" t="str">
        <f t="shared" si="44"/>
        <v>CHA - Intercompany</v>
      </c>
      <c r="B738" s="33" t="str">
        <f t="shared" si="45"/>
        <v>CHA</v>
      </c>
      <c r="C738" s="33" t="str">
        <f t="shared" si="46"/>
        <v>11328-0000</v>
      </c>
      <c r="D738" t="s">
        <v>16938</v>
      </c>
      <c r="E738" t="s">
        <v>13241</v>
      </c>
      <c r="F738" t="s">
        <v>14039</v>
      </c>
      <c r="G738" t="s">
        <v>14672</v>
      </c>
      <c r="H738" t="s">
        <v>13869</v>
      </c>
      <c r="I738" t="s">
        <v>14690</v>
      </c>
      <c r="J738" s="62">
        <v>0</v>
      </c>
      <c r="K738" s="62">
        <v>0</v>
      </c>
      <c r="L738" t="str">
        <f>VLOOKUP(VALUE(LEFT(C738,5)),Xref!A:B,2,0)</f>
        <v>LOM</v>
      </c>
      <c r="M738" t="str">
        <f t="shared" si="47"/>
        <v>CHA-LOM</v>
      </c>
    </row>
    <row r="739" spans="1:13" ht="14.25" customHeight="true">
      <c r="A739" s="33" t="str">
        <f t="shared" si="44"/>
        <v>CHA - Intercompany</v>
      </c>
      <c r="B739" s="33" t="str">
        <f t="shared" si="45"/>
        <v>CHA</v>
      </c>
      <c r="C739" s="33" t="str">
        <f t="shared" si="46"/>
        <v>11329-0000</v>
      </c>
      <c r="D739" t="s">
        <v>16939</v>
      </c>
      <c r="E739" t="s">
        <v>13353</v>
      </c>
      <c r="F739" t="s">
        <v>14039</v>
      </c>
      <c r="G739" t="s">
        <v>14672</v>
      </c>
      <c r="H739" t="s">
        <v>13869</v>
      </c>
      <c r="I739" t="s">
        <v>14690</v>
      </c>
      <c r="J739" s="62">
        <v>0</v>
      </c>
      <c r="K739" s="62">
        <v>0</v>
      </c>
      <c r="L739" t="str">
        <f>VLOOKUP(VALUE(LEFT(C739,5)),Xref!A:B,2,0)</f>
        <v>AKS</v>
      </c>
      <c r="M739" t="str">
        <f t="shared" si="47"/>
        <v>AKS-CHA</v>
      </c>
    </row>
    <row r="740" spans="1:13" ht="14.25" customHeight="true">
      <c r="A740" s="33" t="str">
        <f t="shared" si="44"/>
        <v>CHA - Intercompany</v>
      </c>
      <c r="B740" s="33" t="str">
        <f t="shared" si="45"/>
        <v>CHA</v>
      </c>
      <c r="C740" s="33" t="str">
        <f t="shared" si="46"/>
        <v>11330-0000</v>
      </c>
      <c r="D740" t="s">
        <v>16940</v>
      </c>
      <c r="E740" t="s">
        <v>13242</v>
      </c>
      <c r="F740" t="s">
        <v>14039</v>
      </c>
      <c r="G740" t="s">
        <v>14672</v>
      </c>
      <c r="H740" t="s">
        <v>13869</v>
      </c>
      <c r="I740" t="s">
        <v>14690</v>
      </c>
      <c r="J740" s="62">
        <v>0</v>
      </c>
      <c r="K740" s="62">
        <v>0</v>
      </c>
      <c r="L740" t="str">
        <f>VLOOKUP(VALUE(LEFT(C740,5)),Xref!A:B,2,0)</f>
        <v>MAR</v>
      </c>
      <c r="M740" t="str">
        <f t="shared" si="47"/>
        <v>CHA-MAR</v>
      </c>
    </row>
    <row r="741" spans="1:13" ht="14.25" customHeight="true">
      <c r="A741" s="33" t="str">
        <f t="shared" si="44"/>
        <v>CHA - Intercompany</v>
      </c>
      <c r="B741" s="33" t="str">
        <f t="shared" si="45"/>
        <v>CHA</v>
      </c>
      <c r="C741" s="33" t="str">
        <f t="shared" si="46"/>
        <v>11331-0000</v>
      </c>
      <c r="D741" t="s">
        <v>16941</v>
      </c>
      <c r="E741" t="s">
        <v>13354</v>
      </c>
      <c r="F741" t="s">
        <v>14039</v>
      </c>
      <c r="G741" t="s">
        <v>14672</v>
      </c>
      <c r="H741" t="s">
        <v>13869</v>
      </c>
      <c r="I741" t="s">
        <v>14690</v>
      </c>
      <c r="J741" s="62">
        <v>0</v>
      </c>
      <c r="K741" s="62">
        <v>0</v>
      </c>
      <c r="L741" t="str">
        <f>VLOOKUP(VALUE(LEFT(C741,5)),Xref!A:B,2,0)</f>
        <v>WIL</v>
      </c>
      <c r="M741" t="str">
        <f t="shared" si="47"/>
        <v>CHA-WIL</v>
      </c>
    </row>
    <row r="742" spans="1:13" ht="14.25" customHeight="true">
      <c r="A742" s="33" t="str">
        <f t="shared" si="44"/>
        <v>CHA - Intercompany</v>
      </c>
      <c r="B742" s="33" t="str">
        <f t="shared" si="45"/>
        <v>CHA</v>
      </c>
      <c r="C742" s="33" t="str">
        <f t="shared" si="46"/>
        <v>11332-0000</v>
      </c>
      <c r="D742" t="s">
        <v>16942</v>
      </c>
      <c r="E742" t="s">
        <v>13243</v>
      </c>
      <c r="F742" t="s">
        <v>14039</v>
      </c>
      <c r="G742" t="s">
        <v>14672</v>
      </c>
      <c r="H742" t="s">
        <v>13869</v>
      </c>
      <c r="I742" t="s">
        <v>14690</v>
      </c>
      <c r="J742" s="62">
        <v>0</v>
      </c>
      <c r="K742" s="62">
        <v>0</v>
      </c>
      <c r="L742" t="str">
        <f>VLOOKUP(VALUE(LEFT(C742,5)),Xref!A:B,2,0)</f>
        <v>STO</v>
      </c>
      <c r="M742" t="str">
        <f t="shared" si="47"/>
        <v>CHA-STO</v>
      </c>
    </row>
    <row r="743" spans="1:13" ht="14.25" customHeight="true">
      <c r="A743" s="33" t="str">
        <f t="shared" si="44"/>
        <v>CHA - Intercompany</v>
      </c>
      <c r="B743" s="33" t="str">
        <f t="shared" si="45"/>
        <v>CHA</v>
      </c>
      <c r="C743" s="33" t="str">
        <f t="shared" si="46"/>
        <v>11333-0000</v>
      </c>
      <c r="D743" t="s">
        <v>597</v>
      </c>
      <c r="E743" t="s">
        <v>13244</v>
      </c>
      <c r="F743" t="s">
        <v>14039</v>
      </c>
      <c r="G743" t="s">
        <v>14672</v>
      </c>
      <c r="H743" t="s">
        <v>13869</v>
      </c>
      <c r="I743" t="s">
        <v>14690</v>
      </c>
      <c r="J743" s="62">
        <v>0</v>
      </c>
      <c r="K743" s="62">
        <v>10000</v>
      </c>
      <c r="L743" t="str">
        <f>VLOOKUP(VALUE(LEFT(C743,5)),Xref!A:B,2,0)</f>
        <v>ANG</v>
      </c>
      <c r="M743" t="str">
        <f t="shared" si="47"/>
        <v>ANG-CHA</v>
      </c>
    </row>
    <row r="744" spans="1:13" ht="14.25" customHeight="true">
      <c r="A744" s="33" t="str">
        <f t="shared" si="44"/>
        <v>CHA - Intercompany</v>
      </c>
      <c r="B744" s="33" t="str">
        <f t="shared" si="45"/>
        <v>CHA</v>
      </c>
      <c r="C744" s="33" t="str">
        <f t="shared" si="46"/>
        <v>11334-0000</v>
      </c>
      <c r="D744" t="s">
        <v>16943</v>
      </c>
      <c r="E744" t="s">
        <v>13245</v>
      </c>
      <c r="F744" t="s">
        <v>14039</v>
      </c>
      <c r="G744" t="s">
        <v>14672</v>
      </c>
      <c r="H744" t="s">
        <v>13869</v>
      </c>
      <c r="I744" t="s">
        <v>14690</v>
      </c>
      <c r="J744" s="62">
        <v>0</v>
      </c>
      <c r="K744" s="62">
        <v>0</v>
      </c>
      <c r="L744" t="str">
        <f>VLOOKUP(VALUE(LEFT(C744,5)),Xref!A:B,2,0)</f>
        <v>BRU</v>
      </c>
      <c r="M744" t="str">
        <f t="shared" si="47"/>
        <v>BRU-CHA</v>
      </c>
    </row>
    <row r="745" spans="1:13" ht="14.25" customHeight="true">
      <c r="A745" s="33" t="str">
        <f t="shared" si="44"/>
        <v>CHA - Intercompany</v>
      </c>
      <c r="B745" s="33" t="str">
        <f t="shared" si="45"/>
        <v>CHA</v>
      </c>
      <c r="C745" s="33" t="str">
        <f t="shared" si="46"/>
        <v>11335-0000</v>
      </c>
      <c r="D745" t="s">
        <v>16944</v>
      </c>
      <c r="E745" t="s">
        <v>13246</v>
      </c>
      <c r="F745" t="s">
        <v>14039</v>
      </c>
      <c r="G745" t="s">
        <v>14672</v>
      </c>
      <c r="H745" t="s">
        <v>13869</v>
      </c>
      <c r="I745" t="s">
        <v>14690</v>
      </c>
      <c r="J745" s="62">
        <v>0</v>
      </c>
      <c r="K745" s="62">
        <v>0</v>
      </c>
      <c r="L745" t="str">
        <f>VLOOKUP(VALUE(LEFT(C745,5)),Xref!A:B,2,0)</f>
        <v>VEN</v>
      </c>
      <c r="M745" t="str">
        <f t="shared" si="47"/>
        <v>CHA-VEN</v>
      </c>
    </row>
    <row r="746" spans="1:13" ht="14.25" customHeight="true">
      <c r="A746" s="33" t="str">
        <f t="shared" si="44"/>
        <v>CHA - Intercompany</v>
      </c>
      <c r="B746" s="33" t="str">
        <f t="shared" si="45"/>
        <v>CHA</v>
      </c>
      <c r="C746" s="33" t="str">
        <f t="shared" si="46"/>
        <v>11336-0000</v>
      </c>
      <c r="D746" t="s">
        <v>16945</v>
      </c>
      <c r="E746" t="s">
        <v>13247</v>
      </c>
      <c r="F746" t="s">
        <v>14039</v>
      </c>
      <c r="G746" t="s">
        <v>14672</v>
      </c>
      <c r="H746" t="s">
        <v>13869</v>
      </c>
      <c r="I746" t="s">
        <v>14690</v>
      </c>
      <c r="J746" s="62">
        <v>0</v>
      </c>
      <c r="K746" s="62">
        <v>0</v>
      </c>
      <c r="L746" t="str">
        <f>VLOOKUP(VALUE(LEFT(C746,5)),Xref!A:B,2,0)</f>
        <v>SAT</v>
      </c>
      <c r="M746" t="str">
        <f t="shared" si="47"/>
        <v>CHA-SAT</v>
      </c>
    </row>
    <row r="747" spans="1:13" ht="14.25" customHeight="true">
      <c r="A747" s="33" t="str">
        <f t="shared" si="44"/>
        <v>CHA - Intercompany</v>
      </c>
      <c r="B747" s="33" t="str">
        <f t="shared" si="45"/>
        <v>CHA</v>
      </c>
      <c r="C747" s="33" t="str">
        <f t="shared" si="46"/>
        <v>11337-0000</v>
      </c>
      <c r="D747" t="s">
        <v>16946</v>
      </c>
      <c r="E747" t="s">
        <v>13248</v>
      </c>
      <c r="F747" t="s">
        <v>14039</v>
      </c>
      <c r="G747" t="s">
        <v>14672</v>
      </c>
      <c r="H747" t="s">
        <v>13869</v>
      </c>
      <c r="I747" t="s">
        <v>14690</v>
      </c>
      <c r="J747" s="62">
        <v>0</v>
      </c>
      <c r="K747" s="62">
        <v>0</v>
      </c>
      <c r="L747" t="str">
        <f>VLOOKUP(VALUE(LEFT(C747,5)),Xref!A:B,2,0)</f>
        <v>NEP</v>
      </c>
      <c r="M747" t="str">
        <f t="shared" si="47"/>
        <v>CHA-NEP</v>
      </c>
    </row>
    <row r="748" spans="1:13" ht="14.25" customHeight="true">
      <c r="A748" s="33" t="str">
        <f t="shared" si="44"/>
        <v>CHA - Intercompany</v>
      </c>
      <c r="B748" s="33" t="str">
        <f t="shared" si="45"/>
        <v>CHA</v>
      </c>
      <c r="C748" s="33" t="str">
        <f t="shared" si="46"/>
        <v>11338-0000</v>
      </c>
      <c r="D748" t="s">
        <v>16947</v>
      </c>
      <c r="E748" t="s">
        <v>14131</v>
      </c>
      <c r="F748" t="s">
        <v>14039</v>
      </c>
      <c r="G748" t="s">
        <v>14672</v>
      </c>
      <c r="H748" t="s">
        <v>13869</v>
      </c>
      <c r="I748" t="s">
        <v>14690</v>
      </c>
      <c r="J748" s="62">
        <v>0</v>
      </c>
      <c r="K748" s="62">
        <v>0</v>
      </c>
      <c r="L748" t="str">
        <f>VLOOKUP(VALUE(LEFT(C748,5)),Xref!A:B,2,0)</f>
        <v>JUP</v>
      </c>
      <c r="M748" t="str">
        <f t="shared" si="47"/>
        <v>CHA-JUP</v>
      </c>
    </row>
    <row r="749" spans="1:13" ht="14.25" customHeight="true">
      <c r="A749" s="33" t="str">
        <f t="shared" si="44"/>
        <v>CHA - Intercompany</v>
      </c>
      <c r="B749" s="33" t="str">
        <f t="shared" si="45"/>
        <v>CHA</v>
      </c>
      <c r="C749" s="33" t="str">
        <f t="shared" si="46"/>
        <v>11339-0000</v>
      </c>
      <c r="D749" t="s">
        <v>16948</v>
      </c>
      <c r="E749" t="s">
        <v>14133</v>
      </c>
      <c r="F749" t="s">
        <v>14039</v>
      </c>
      <c r="G749" t="s">
        <v>14672</v>
      </c>
      <c r="H749" t="s">
        <v>13869</v>
      </c>
      <c r="I749" t="s">
        <v>14690</v>
      </c>
      <c r="J749" s="62">
        <v>0</v>
      </c>
      <c r="K749" s="62">
        <v>0</v>
      </c>
      <c r="L749" t="str">
        <f>VLOOKUP(VALUE(LEFT(C749,5)),Xref!A:B,2,0)</f>
        <v>WES</v>
      </c>
      <c r="M749" t="str">
        <f t="shared" si="47"/>
        <v>CHA-WES</v>
      </c>
    </row>
    <row r="750" spans="1:13" ht="14.25" customHeight="true">
      <c r="A750" s="33" t="str">
        <f t="shared" si="44"/>
        <v>CHA - Intercompany</v>
      </c>
      <c r="B750" s="33" t="str">
        <f t="shared" si="45"/>
        <v>CHA</v>
      </c>
      <c r="C750" s="33" t="str">
        <f t="shared" si="46"/>
        <v>11340-0000</v>
      </c>
      <c r="D750" t="s">
        <v>16949</v>
      </c>
      <c r="E750" t="s">
        <v>14135</v>
      </c>
      <c r="F750" t="s">
        <v>14039</v>
      </c>
      <c r="G750" t="s">
        <v>14672</v>
      </c>
      <c r="H750" t="s">
        <v>13869</v>
      </c>
      <c r="I750" t="s">
        <v>14690</v>
      </c>
      <c r="J750" s="62">
        <v>0</v>
      </c>
      <c r="K750" s="62">
        <v>0</v>
      </c>
      <c r="L750" t="str">
        <f>VLOOKUP(VALUE(LEFT(C750,5)),Xref!A:B,2,0)</f>
        <v>LCP</v>
      </c>
      <c r="M750" t="str">
        <f t="shared" si="47"/>
        <v>CHA-LCP</v>
      </c>
    </row>
    <row r="751" spans="1:13" ht="14.25" customHeight="true">
      <c r="A751" s="33" t="str">
        <f t="shared" si="44"/>
        <v>CHA - Intercompany</v>
      </c>
      <c r="B751" s="33" t="str">
        <f t="shared" si="45"/>
        <v>CHA</v>
      </c>
      <c r="C751" s="33" t="str">
        <f t="shared" si="46"/>
        <v>11341-0000</v>
      </c>
      <c r="D751" t="s">
        <v>16950</v>
      </c>
      <c r="E751" t="s">
        <v>13639</v>
      </c>
      <c r="F751" t="s">
        <v>14039</v>
      </c>
      <c r="G751" t="s">
        <v>14672</v>
      </c>
      <c r="H751" t="s">
        <v>13869</v>
      </c>
      <c r="I751" t="s">
        <v>14690</v>
      </c>
      <c r="J751" s="62">
        <v>0</v>
      </c>
      <c r="K751" s="62">
        <v>0</v>
      </c>
      <c r="L751" t="str">
        <f>VLOOKUP(VALUE(LEFT(C751,5)),Xref!A:B,2,0)</f>
        <v>NOR</v>
      </c>
      <c r="M751" t="str">
        <f t="shared" si="47"/>
        <v>CHA-NOR</v>
      </c>
    </row>
    <row r="752" spans="1:13" ht="14.25" customHeight="true">
      <c r="A752" s="33" t="str">
        <f t="shared" si="44"/>
        <v>CHA - Intercompany</v>
      </c>
      <c r="B752" s="33" t="str">
        <f t="shared" si="45"/>
        <v>CHA</v>
      </c>
      <c r="C752" s="33" t="str">
        <f t="shared" si="46"/>
        <v>11342-0000</v>
      </c>
      <c r="D752" t="s">
        <v>16951</v>
      </c>
      <c r="E752" t="s">
        <v>13355</v>
      </c>
      <c r="F752" t="s">
        <v>14039</v>
      </c>
      <c r="G752" t="s">
        <v>14672</v>
      </c>
      <c r="H752" t="s">
        <v>13869</v>
      </c>
      <c r="I752" t="s">
        <v>14690</v>
      </c>
      <c r="J752" s="62">
        <v>0</v>
      </c>
      <c r="K752" s="62">
        <v>0</v>
      </c>
      <c r="L752" t="str">
        <f>VLOOKUP(VALUE(LEFT(C752,5)),Xref!A:B,2,0)</f>
        <v>EAS</v>
      </c>
      <c r="M752" t="str">
        <f t="shared" si="47"/>
        <v>CHA-EAS</v>
      </c>
    </row>
    <row r="753" spans="1:13" ht="14.25" customHeight="true">
      <c r="A753" s="33" t="str">
        <f t="shared" si="44"/>
        <v>CHA - Intercompany</v>
      </c>
      <c r="B753" s="33" t="str">
        <f t="shared" si="45"/>
        <v>CHA</v>
      </c>
      <c r="C753" s="33" t="str">
        <f t="shared" si="46"/>
        <v>11343-0000</v>
      </c>
      <c r="D753" t="s">
        <v>599</v>
      </c>
      <c r="E753" t="s">
        <v>14139</v>
      </c>
      <c r="F753" t="s">
        <v>14039</v>
      </c>
      <c r="G753" t="s">
        <v>14672</v>
      </c>
      <c r="H753" t="s">
        <v>13869</v>
      </c>
      <c r="I753" t="s">
        <v>14690</v>
      </c>
      <c r="J753" s="62">
        <v>0</v>
      </c>
      <c r="K753" s="62">
        <v>-35100</v>
      </c>
      <c r="L753" t="str">
        <f>VLOOKUP(VALUE(LEFT(C753,5)),Xref!A:B,2,0)</f>
        <v>GRA</v>
      </c>
      <c r="M753" t="str">
        <f t="shared" si="47"/>
        <v>CHA-GRA</v>
      </c>
    </row>
    <row r="754" spans="1:13" ht="14.25" customHeight="true">
      <c r="A754" s="33" t="str">
        <f t="shared" si="44"/>
        <v>CHA - Intercompany</v>
      </c>
      <c r="B754" s="33" t="str">
        <f t="shared" si="45"/>
        <v>CHA</v>
      </c>
      <c r="C754" s="33" t="str">
        <f t="shared" si="46"/>
        <v>11344-0000</v>
      </c>
      <c r="D754" t="s">
        <v>16952</v>
      </c>
      <c r="E754" t="s">
        <v>14141</v>
      </c>
      <c r="F754" t="s">
        <v>14039</v>
      </c>
      <c r="G754" t="s">
        <v>14672</v>
      </c>
      <c r="H754" t="s">
        <v>13869</v>
      </c>
      <c r="I754" t="s">
        <v>14690</v>
      </c>
      <c r="J754" s="62">
        <v>0</v>
      </c>
      <c r="K754" s="62">
        <v>0</v>
      </c>
      <c r="L754" t="str">
        <f>VLOOKUP(VALUE(LEFT(C754,5)),Xref!A:B,2,0)</f>
        <v>SOU</v>
      </c>
      <c r="M754" t="str">
        <f t="shared" si="47"/>
        <v>CHA-SOU</v>
      </c>
    </row>
    <row r="755" spans="1:13" ht="14.25" customHeight="true">
      <c r="A755" s="33" t="str">
        <f t="shared" si="44"/>
        <v>CHA - Intercompany</v>
      </c>
      <c r="B755" s="33" t="str">
        <f t="shared" si="45"/>
        <v>CHA</v>
      </c>
      <c r="C755" s="33" t="str">
        <f t="shared" si="46"/>
        <v>11345-0000</v>
      </c>
      <c r="D755" t="s">
        <v>16953</v>
      </c>
      <c r="E755" t="s">
        <v>14143</v>
      </c>
      <c r="F755" t="s">
        <v>14039</v>
      </c>
      <c r="G755" t="s">
        <v>14672</v>
      </c>
      <c r="H755" t="s">
        <v>13869</v>
      </c>
      <c r="I755" t="s">
        <v>14690</v>
      </c>
      <c r="J755" s="62">
        <v>0</v>
      </c>
      <c r="K755" s="62">
        <v>0</v>
      </c>
      <c r="L755" t="str">
        <f>VLOOKUP(VALUE(LEFT(C755,5)),Xref!A:B,2,0)</f>
        <v>API</v>
      </c>
      <c r="M755" t="str">
        <f t="shared" si="47"/>
        <v>API-CHA</v>
      </c>
    </row>
    <row r="756" spans="1:13" ht="14.25" customHeight="true">
      <c r="A756" s="33" t="str">
        <f t="shared" si="44"/>
        <v>CHA - Intercompany</v>
      </c>
      <c r="B756" s="33" t="str">
        <f t="shared" si="45"/>
        <v>CHA</v>
      </c>
      <c r="C756" s="33" t="str">
        <f t="shared" si="46"/>
        <v>11346-0000</v>
      </c>
      <c r="D756" t="s">
        <v>16954</v>
      </c>
      <c r="E756" t="s">
        <v>14145</v>
      </c>
      <c r="F756" t="s">
        <v>14039</v>
      </c>
      <c r="G756" t="s">
        <v>14672</v>
      </c>
      <c r="H756" t="s">
        <v>13869</v>
      </c>
      <c r="I756" t="s">
        <v>14690</v>
      </c>
      <c r="J756" s="62">
        <v>0</v>
      </c>
      <c r="K756" s="62">
        <v>0</v>
      </c>
      <c r="L756" t="str">
        <f>VLOOKUP(VALUE(LEFT(C756,5)),Xref!A:B,2,0)</f>
        <v>DPH</v>
      </c>
      <c r="M756" t="str">
        <f t="shared" si="47"/>
        <v>CHA-DPH</v>
      </c>
    </row>
    <row r="757" spans="1:13" ht="14.25" customHeight="true">
      <c r="A757" s="33" t="str">
        <f t="shared" si="44"/>
        <v>CHA - Intercompany</v>
      </c>
      <c r="B757" s="33" t="str">
        <f t="shared" si="45"/>
        <v>CHA</v>
      </c>
      <c r="C757" s="33" t="str">
        <f t="shared" si="46"/>
        <v>11347-0000</v>
      </c>
      <c r="D757" t="s">
        <v>16955</v>
      </c>
      <c r="E757" t="s">
        <v>14147</v>
      </c>
      <c r="F757" t="s">
        <v>14039</v>
      </c>
      <c r="G757" t="s">
        <v>14672</v>
      </c>
      <c r="H757" t="s">
        <v>13869</v>
      </c>
      <c r="I757" t="s">
        <v>14690</v>
      </c>
      <c r="J757" s="62">
        <v>0</v>
      </c>
      <c r="K757" s="62">
        <v>0</v>
      </c>
      <c r="L757" t="str">
        <f>VLOOKUP(VALUE(LEFT(C757,5)),Xref!A:B,2,0)</f>
        <v>ZPI</v>
      </c>
      <c r="M757" t="str">
        <f t="shared" si="47"/>
        <v>CHA-ZPI</v>
      </c>
    </row>
    <row r="758" spans="1:13" ht="14.25" customHeight="true">
      <c r="A758" s="33" t="str">
        <f t="shared" si="44"/>
        <v>CHA - Intercompany</v>
      </c>
      <c r="B758" s="33" t="str">
        <f t="shared" si="45"/>
        <v>CHA</v>
      </c>
      <c r="C758" s="33" t="str">
        <f t="shared" si="46"/>
        <v>11348-0000</v>
      </c>
      <c r="D758" t="s">
        <v>16956</v>
      </c>
      <c r="E758" t="s">
        <v>14149</v>
      </c>
      <c r="F758" t="s">
        <v>14039</v>
      </c>
      <c r="G758" t="s">
        <v>14672</v>
      </c>
      <c r="H758" t="s">
        <v>13869</v>
      </c>
      <c r="I758" t="s">
        <v>14690</v>
      </c>
      <c r="J758" s="62">
        <v>0</v>
      </c>
      <c r="K758" s="62">
        <v>0</v>
      </c>
      <c r="L758" t="str">
        <f>VLOOKUP(VALUE(LEFT(C758,5)),Xref!A:B,2,0)</f>
        <v>EAM</v>
      </c>
      <c r="M758" t="str">
        <f t="shared" si="47"/>
        <v>CHA-EAM</v>
      </c>
    </row>
    <row r="759" spans="1:13" ht="14.25" customHeight="true">
      <c r="A759" s="33" t="str">
        <f t="shared" si="44"/>
        <v>CHA - Intercompany</v>
      </c>
      <c r="B759" s="33" t="str">
        <f t="shared" si="45"/>
        <v>CHA</v>
      </c>
      <c r="C759" s="33" t="str">
        <f t="shared" si="46"/>
        <v>11349-0000</v>
      </c>
      <c r="D759" t="s">
        <v>16957</v>
      </c>
      <c r="E759" t="s">
        <v>14151</v>
      </c>
      <c r="F759" t="s">
        <v>14039</v>
      </c>
      <c r="G759" t="s">
        <v>14672</v>
      </c>
      <c r="H759" t="s">
        <v>13869</v>
      </c>
      <c r="I759" t="s">
        <v>14690</v>
      </c>
      <c r="J759" s="62">
        <v>0</v>
      </c>
      <c r="K759" s="62">
        <v>0</v>
      </c>
      <c r="L759" t="str">
        <f>VLOOKUP(VALUE(LEFT(C759,5)),Xref!A:B,2,0)</f>
        <v>SEA</v>
      </c>
      <c r="M759" t="str">
        <f t="shared" si="47"/>
        <v>CHA-SEA</v>
      </c>
    </row>
    <row r="760" spans="1:13" ht="14.25" customHeight="true">
      <c r="A760" s="33" t="str">
        <f t="shared" si="44"/>
        <v>CHA - Intercompany</v>
      </c>
      <c r="B760" s="33" t="str">
        <f t="shared" si="45"/>
        <v>CHA</v>
      </c>
      <c r="C760" s="33" t="str">
        <f t="shared" si="46"/>
        <v>11350-0000</v>
      </c>
      <c r="D760" t="s">
        <v>16958</v>
      </c>
      <c r="E760" t="s">
        <v>14153</v>
      </c>
      <c r="F760" t="s">
        <v>14039</v>
      </c>
      <c r="G760" t="s">
        <v>14672</v>
      </c>
      <c r="H760" t="s">
        <v>13869</v>
      </c>
      <c r="I760" t="s">
        <v>14690</v>
      </c>
      <c r="J760" s="62">
        <v>0</v>
      </c>
      <c r="K760" s="62">
        <v>-14.35</v>
      </c>
      <c r="L760" t="str">
        <f>VLOOKUP(VALUE(LEFT(C760,5)),Xref!A:B,2,0)</f>
        <v>EAL</v>
      </c>
      <c r="M760" t="str">
        <f t="shared" si="47"/>
        <v>CHA-EAL</v>
      </c>
    </row>
    <row r="761" spans="1:13" ht="14.25" customHeight="true">
      <c r="A761" s="33" t="str">
        <f t="shared" si="44"/>
        <v>CHA - Intercompany</v>
      </c>
      <c r="B761" s="33" t="str">
        <f t="shared" si="45"/>
        <v>CHA</v>
      </c>
      <c r="C761" s="33" t="str">
        <f t="shared" si="46"/>
        <v>11351-0000</v>
      </c>
      <c r="D761" t="s">
        <v>16959</v>
      </c>
      <c r="E761" t="s">
        <v>14155</v>
      </c>
      <c r="F761" t="s">
        <v>14039</v>
      </c>
      <c r="G761" t="s">
        <v>14672</v>
      </c>
      <c r="H761" t="s">
        <v>13869</v>
      </c>
      <c r="I761" t="s">
        <v>14690</v>
      </c>
      <c r="J761" s="62">
        <v>0</v>
      </c>
      <c r="K761" s="62">
        <v>0</v>
      </c>
      <c r="L761" t="str">
        <f>VLOOKUP(VALUE(LEFT(C761,5)),Xref!A:B,2,0)</f>
        <v>WEP</v>
      </c>
      <c r="M761" t="str">
        <f t="shared" si="47"/>
        <v>CHA-WEP</v>
      </c>
    </row>
    <row r="762" spans="1:13" ht="14.25" customHeight="true">
      <c r="A762" s="33" t="str">
        <f t="shared" si="44"/>
        <v>CHA - Intercompany</v>
      </c>
      <c r="B762" s="33" t="str">
        <f t="shared" si="45"/>
        <v>CHA</v>
      </c>
      <c r="C762" s="33" t="str">
        <f t="shared" si="46"/>
        <v>11352-0000</v>
      </c>
      <c r="D762" t="s">
        <v>16960</v>
      </c>
      <c r="E762" t="s">
        <v>13536</v>
      </c>
      <c r="F762" t="s">
        <v>14039</v>
      </c>
      <c r="G762" t="s">
        <v>14672</v>
      </c>
      <c r="H762" t="s">
        <v>13869</v>
      </c>
      <c r="I762" t="s">
        <v>14690</v>
      </c>
      <c r="J762" s="62">
        <v>0</v>
      </c>
      <c r="K762" s="62">
        <v>0</v>
      </c>
      <c r="L762" t="str">
        <f>VLOOKUP(VALUE(LEFT(C762,5)),Xref!A:B,2,0)</f>
        <v>KLP</v>
      </c>
      <c r="M762" t="str">
        <f t="shared" si="47"/>
        <v>CHA-KLP</v>
      </c>
    </row>
    <row r="763" spans="1:13" ht="14.25" customHeight="true">
      <c r="A763" s="33" t="str">
        <f t="shared" si="44"/>
        <v>CHA - Intercompany</v>
      </c>
      <c r="B763" s="33" t="str">
        <f t="shared" si="45"/>
        <v>CHA</v>
      </c>
      <c r="C763" s="33" t="str">
        <f t="shared" si="46"/>
        <v>11353-0000</v>
      </c>
      <c r="D763" t="s">
        <v>16961</v>
      </c>
      <c r="E763" t="s">
        <v>13537</v>
      </c>
      <c r="F763" t="s">
        <v>14039</v>
      </c>
      <c r="G763" t="s">
        <v>14672</v>
      </c>
      <c r="H763" t="s">
        <v>13869</v>
      </c>
      <c r="I763" t="s">
        <v>14690</v>
      </c>
      <c r="J763" s="62">
        <v>0</v>
      </c>
      <c r="K763" s="62">
        <v>0</v>
      </c>
      <c r="L763" t="str">
        <f>VLOOKUP(VALUE(LEFT(C763,5)),Xref!A:B,2,0)</f>
        <v>AKC</v>
      </c>
      <c r="M763" t="str">
        <f t="shared" si="47"/>
        <v>AKC-CHA</v>
      </c>
    </row>
    <row r="764" spans="1:13" ht="14.25" customHeight="true">
      <c r="A764" s="33" t="str">
        <f t="shared" si="44"/>
        <v>CHA - Intercompany</v>
      </c>
      <c r="B764" s="33" t="str">
        <f t="shared" si="45"/>
        <v>CHA</v>
      </c>
      <c r="C764" s="33" t="str">
        <f t="shared" si="46"/>
        <v>11354-0000</v>
      </c>
      <c r="D764" t="s">
        <v>16962</v>
      </c>
      <c r="E764" t="s">
        <v>13538</v>
      </c>
      <c r="F764" t="s">
        <v>14039</v>
      </c>
      <c r="G764" t="s">
        <v>14672</v>
      </c>
      <c r="H764" t="s">
        <v>13869</v>
      </c>
      <c r="I764" t="s">
        <v>14690</v>
      </c>
      <c r="J764" s="62">
        <v>0</v>
      </c>
      <c r="K764" s="62">
        <v>0</v>
      </c>
      <c r="L764" t="str">
        <f>VLOOKUP(VALUE(LEFT(C764,5)),Xref!A:B,2,0)</f>
        <v>AKA</v>
      </c>
      <c r="M764" t="str">
        <f t="shared" si="47"/>
        <v>AKA-CHA</v>
      </c>
    </row>
    <row r="765" spans="1:13" ht="14.25" customHeight="true">
      <c r="A765" s="33" t="str">
        <f t="shared" si="44"/>
        <v>CHA - Intercompany</v>
      </c>
      <c r="B765" s="33" t="str">
        <f t="shared" si="45"/>
        <v>CHA</v>
      </c>
      <c r="C765" s="33" t="str">
        <f t="shared" si="46"/>
        <v>11355-0000</v>
      </c>
      <c r="D765" t="s">
        <v>16963</v>
      </c>
      <c r="E765" t="s">
        <v>13539</v>
      </c>
      <c r="F765" t="s">
        <v>14039</v>
      </c>
      <c r="G765" t="s">
        <v>14672</v>
      </c>
      <c r="H765" t="s">
        <v>13869</v>
      </c>
      <c r="I765" t="s">
        <v>14690</v>
      </c>
      <c r="J765" s="62">
        <v>0</v>
      </c>
      <c r="K765" s="62">
        <v>0</v>
      </c>
      <c r="L765" t="str">
        <f>VLOOKUP(VALUE(LEFT(C765,5)),Xref!A:B,2,0)</f>
        <v>SPA</v>
      </c>
      <c r="M765" t="str">
        <f t="shared" si="47"/>
        <v>CHA-SPA</v>
      </c>
    </row>
    <row r="766" spans="1:13" ht="14.25" customHeight="true">
      <c r="A766" s="33" t="str">
        <f t="shared" si="44"/>
        <v>CHA - Intercompany</v>
      </c>
      <c r="B766" s="33" t="str">
        <f t="shared" si="45"/>
        <v>CHA</v>
      </c>
      <c r="C766" s="33" t="str">
        <f t="shared" si="46"/>
        <v>11356-0000</v>
      </c>
      <c r="D766" t="s">
        <v>16964</v>
      </c>
      <c r="E766" t="s">
        <v>13540</v>
      </c>
      <c r="F766" t="s">
        <v>14039</v>
      </c>
      <c r="G766" t="s">
        <v>14672</v>
      </c>
      <c r="H766" t="s">
        <v>13869</v>
      </c>
      <c r="I766" t="s">
        <v>14690</v>
      </c>
      <c r="J766" s="62">
        <v>0</v>
      </c>
      <c r="K766" s="62">
        <v>0</v>
      </c>
      <c r="L766" t="str">
        <f>VLOOKUP(VALUE(LEFT(C766,5)),Xref!A:B,2,0)</f>
        <v>DPM</v>
      </c>
      <c r="M766" t="str">
        <f t="shared" si="47"/>
        <v>CHA-DPM</v>
      </c>
    </row>
    <row r="767" spans="1:13" ht="14.25" customHeight="true">
      <c r="A767" s="33" t="str">
        <f t="shared" si="44"/>
        <v>CHA - Intercompany</v>
      </c>
      <c r="B767" s="33" t="str">
        <f t="shared" si="45"/>
        <v>CHA</v>
      </c>
      <c r="C767" s="33" t="str">
        <f t="shared" si="46"/>
        <v>11357-0000</v>
      </c>
      <c r="D767" t="s">
        <v>16965</v>
      </c>
      <c r="E767" t="s">
        <v>13541</v>
      </c>
      <c r="F767" t="s">
        <v>14039</v>
      </c>
      <c r="G767" t="s">
        <v>14672</v>
      </c>
      <c r="H767" t="s">
        <v>13869</v>
      </c>
      <c r="I767" t="s">
        <v>14690</v>
      </c>
      <c r="J767" s="62">
        <v>0</v>
      </c>
      <c r="K767" s="62">
        <v>0</v>
      </c>
      <c r="L767" t="str">
        <f>VLOOKUP(VALUE(LEFT(C767,5)),Xref!A:B,2,0)</f>
        <v>HDM</v>
      </c>
      <c r="M767" t="str">
        <f t="shared" si="47"/>
        <v>CHA-HDM</v>
      </c>
    </row>
    <row r="768" spans="1:13" ht="14.25" customHeight="true">
      <c r="A768" s="33" t="str">
        <f t="shared" si="44"/>
        <v>CHA - Intercompany</v>
      </c>
      <c r="B768" s="33" t="str">
        <f t="shared" si="45"/>
        <v>CHA</v>
      </c>
      <c r="C768" s="33" t="str">
        <f t="shared" si="46"/>
        <v>11358-0000</v>
      </c>
      <c r="D768" t="s">
        <v>16966</v>
      </c>
      <c r="E768" t="s">
        <v>13542</v>
      </c>
      <c r="F768" t="s">
        <v>14039</v>
      </c>
      <c r="G768" t="s">
        <v>14672</v>
      </c>
      <c r="H768" t="s">
        <v>13869</v>
      </c>
      <c r="I768" t="s">
        <v>14690</v>
      </c>
      <c r="J768" s="62">
        <v>0</v>
      </c>
      <c r="K768" s="62">
        <v>0</v>
      </c>
      <c r="L768" t="str">
        <f>VLOOKUP(VALUE(LEFT(C768,5)),Xref!A:B,2,0)</f>
        <v>GRA</v>
      </c>
      <c r="M768" t="str">
        <f t="shared" si="47"/>
        <v>CHA-GRA</v>
      </c>
    </row>
    <row r="769" spans="1:13" ht="14.25" customHeight="true">
      <c r="A769" s="33" t="str">
        <f t="shared" si="44"/>
        <v>CHA - Intercompany</v>
      </c>
      <c r="B769" s="33" t="str">
        <f t="shared" si="45"/>
        <v>CHA</v>
      </c>
      <c r="C769" s="33" t="str">
        <f t="shared" si="46"/>
        <v>11359-0000</v>
      </c>
      <c r="D769" t="s">
        <v>16967</v>
      </c>
      <c r="E769" t="s">
        <v>13543</v>
      </c>
      <c r="F769" t="s">
        <v>14039</v>
      </c>
      <c r="G769" t="s">
        <v>14672</v>
      </c>
      <c r="H769" t="s">
        <v>13869</v>
      </c>
      <c r="I769" t="s">
        <v>14690</v>
      </c>
      <c r="J769" s="62">
        <v>0</v>
      </c>
      <c r="K769" s="62">
        <v>0</v>
      </c>
      <c r="L769" t="str">
        <f>VLOOKUP(VALUE(LEFT(C769,5)),Xref!A:B,2,0)</f>
        <v>TPI</v>
      </c>
      <c r="M769" t="str">
        <f t="shared" si="47"/>
        <v>CHA-TPI</v>
      </c>
    </row>
    <row r="770" spans="1:13" ht="14.25" customHeight="true">
      <c r="A770" s="33" t="str">
        <f t="shared" ref="A770:A833" si="48">B770&amp;" - "&amp;TRIM(H770)</f>
        <v>CHA - Intercompany</v>
      </c>
      <c r="B770" s="33" t="str">
        <f t="shared" ref="B770:B833" si="49">LEFT(D770,3)</f>
        <v>CHA</v>
      </c>
      <c r="C770" s="33" t="str">
        <f t="shared" ref="C770:C833" si="50">RIGHT(D770,10)</f>
        <v>11361-0000</v>
      </c>
      <c r="D770" t="s">
        <v>16968</v>
      </c>
      <c r="E770" t="s">
        <v>14165</v>
      </c>
      <c r="F770" t="s">
        <v>14039</v>
      </c>
      <c r="G770" t="s">
        <v>14672</v>
      </c>
      <c r="H770" t="s">
        <v>13869</v>
      </c>
      <c r="I770" t="s">
        <v>14690</v>
      </c>
      <c r="J770" s="62">
        <v>0</v>
      </c>
      <c r="K770" s="62">
        <v>0</v>
      </c>
      <c r="L770" t="str">
        <f>VLOOKUP(VALUE(LEFT(C770,5)),Xref!A:B,2,0)</f>
        <v>GSM</v>
      </c>
      <c r="M770" t="str">
        <f t="shared" ref="M770:M833" si="51">IF(B770&lt;L770,B770&amp;"-"&amp;L770,L770&amp;"-"&amp;B770)</f>
        <v>CHA-GSM</v>
      </c>
    </row>
    <row r="771" spans="1:13" ht="14.25" customHeight="true">
      <c r="A771" s="33" t="str">
        <f t="shared" si="48"/>
        <v>CHA - Intercompany</v>
      </c>
      <c r="B771" s="33" t="str">
        <f t="shared" si="49"/>
        <v>CHA</v>
      </c>
      <c r="C771" s="33" t="str">
        <f t="shared" si="50"/>
        <v>11363-0000</v>
      </c>
      <c r="D771" t="s">
        <v>16969</v>
      </c>
      <c r="E771" t="s">
        <v>13544</v>
      </c>
      <c r="F771" t="s">
        <v>14039</v>
      </c>
      <c r="G771" t="s">
        <v>14672</v>
      </c>
      <c r="H771" t="s">
        <v>13869</v>
      </c>
      <c r="I771" t="s">
        <v>14690</v>
      </c>
      <c r="J771" s="62">
        <v>0</v>
      </c>
      <c r="K771" s="62">
        <v>0</v>
      </c>
      <c r="L771" t="str">
        <f>VLOOKUP(VALUE(LEFT(C771,5)),Xref!A:B,2,0)</f>
        <v>SOF</v>
      </c>
      <c r="M771" t="str">
        <f t="shared" si="51"/>
        <v>CHA-SOF</v>
      </c>
    </row>
    <row r="772" spans="1:13" ht="14.25" customHeight="true">
      <c r="A772" s="33" t="str">
        <f t="shared" si="48"/>
        <v>CHA - Intercompany</v>
      </c>
      <c r="B772" s="33" t="str">
        <f t="shared" si="49"/>
        <v>CHA</v>
      </c>
      <c r="C772" s="33" t="str">
        <f t="shared" si="50"/>
        <v>11364-0000</v>
      </c>
      <c r="D772" t="s">
        <v>16970</v>
      </c>
      <c r="E772" t="s">
        <v>14168</v>
      </c>
      <c r="F772" t="s">
        <v>14039</v>
      </c>
      <c r="G772" t="s">
        <v>14672</v>
      </c>
      <c r="H772" t="s">
        <v>13869</v>
      </c>
      <c r="I772" t="s">
        <v>14690</v>
      </c>
      <c r="J772" s="62">
        <v>0</v>
      </c>
      <c r="K772" s="62">
        <v>0</v>
      </c>
      <c r="L772" t="e">
        <f>VLOOKUP(VALUE(LEFT(C772,5)),Xref!A:B,2,0)</f>
        <v>#N/A</v>
      </c>
      <c r="M772" t="e">
        <f t="shared" si="51"/>
        <v>#N/A</v>
      </c>
    </row>
    <row r="773" spans="1:13" ht="14.25" customHeight="true">
      <c r="A773" s="33" t="str">
        <f t="shared" si="48"/>
        <v>CHA - Intercompany</v>
      </c>
      <c r="B773" s="33" t="str">
        <f t="shared" si="49"/>
        <v>CHA</v>
      </c>
      <c r="C773" s="33" t="str">
        <f t="shared" si="50"/>
        <v>11365-0000</v>
      </c>
      <c r="D773" t="s">
        <v>16971</v>
      </c>
      <c r="E773" t="s">
        <v>14170</v>
      </c>
      <c r="F773" t="s">
        <v>14039</v>
      </c>
      <c r="G773" t="s">
        <v>14672</v>
      </c>
      <c r="H773" t="s">
        <v>13869</v>
      </c>
      <c r="I773" t="s">
        <v>14690</v>
      </c>
      <c r="J773" s="62">
        <v>0</v>
      </c>
      <c r="K773" s="62">
        <v>0</v>
      </c>
      <c r="L773" t="e">
        <f>VLOOKUP(VALUE(LEFT(C773,5)),Xref!A:B,2,0)</f>
        <v>#N/A</v>
      </c>
      <c r="M773" t="e">
        <f t="shared" si="51"/>
        <v>#N/A</v>
      </c>
    </row>
    <row r="774" spans="1:13" ht="14.25" customHeight="true">
      <c r="A774" s="33" t="str">
        <f t="shared" si="48"/>
        <v>CHA - Intercompany</v>
      </c>
      <c r="B774" s="33" t="str">
        <f t="shared" si="49"/>
        <v>CHA</v>
      </c>
      <c r="C774" s="33" t="str">
        <f t="shared" si="50"/>
        <v>11366-0000</v>
      </c>
      <c r="D774" t="s">
        <v>16972</v>
      </c>
      <c r="E774" t="s">
        <v>14172</v>
      </c>
      <c r="G774" t="s">
        <v>14672</v>
      </c>
      <c r="H774" t="s">
        <v>13869</v>
      </c>
      <c r="I774" t="s">
        <v>14690</v>
      </c>
      <c r="J774" s="62">
        <v>0</v>
      </c>
      <c r="K774" s="62">
        <v>0</v>
      </c>
      <c r="L774" t="e">
        <f>VLOOKUP(VALUE(LEFT(C774,5)),Xref!A:B,2,0)</f>
        <v>#N/A</v>
      </c>
      <c r="M774" t="e">
        <f t="shared" si="51"/>
        <v>#N/A</v>
      </c>
    </row>
    <row r="775" spans="1:13" ht="14.25" customHeight="true">
      <c r="A775" s="33" t="str">
        <f t="shared" si="48"/>
        <v>CHA - Intercompany</v>
      </c>
      <c r="B775" s="33" t="str">
        <f t="shared" si="49"/>
        <v>CHA</v>
      </c>
      <c r="C775" s="33" t="str">
        <f t="shared" si="50"/>
        <v>11402-0000</v>
      </c>
      <c r="D775" t="s">
        <v>16973</v>
      </c>
      <c r="E775" t="s">
        <v>14174</v>
      </c>
      <c r="G775" t="s">
        <v>14672</v>
      </c>
      <c r="H775" t="s">
        <v>13869</v>
      </c>
      <c r="I775" t="s">
        <v>14690</v>
      </c>
      <c r="J775" s="62">
        <v>0</v>
      </c>
      <c r="K775" s="62">
        <v>0</v>
      </c>
      <c r="L775" t="str">
        <f>VLOOKUP(VALUE(LEFT(C775,5)),Xref!A:B,2,0)</f>
        <v>DPI</v>
      </c>
      <c r="M775" t="str">
        <f t="shared" si="51"/>
        <v>CHA-DPI</v>
      </c>
    </row>
    <row r="776" spans="1:13" ht="14.25" customHeight="true">
      <c r="A776" s="33" t="str">
        <f t="shared" si="48"/>
        <v>CHA - Intercompany</v>
      </c>
      <c r="B776" s="33" t="str">
        <f t="shared" si="49"/>
        <v>CHA</v>
      </c>
      <c r="C776" s="33" t="str">
        <f t="shared" si="50"/>
        <v>11403-0000</v>
      </c>
      <c r="D776" t="s">
        <v>16974</v>
      </c>
      <c r="E776" t="s">
        <v>14176</v>
      </c>
      <c r="G776" t="s">
        <v>14672</v>
      </c>
      <c r="H776" t="s">
        <v>13869</v>
      </c>
      <c r="I776" t="s">
        <v>14690</v>
      </c>
      <c r="J776" s="62">
        <v>0</v>
      </c>
      <c r="K776" s="62">
        <v>0</v>
      </c>
      <c r="L776" t="str">
        <f>VLOOKUP(VALUE(LEFT(C776,5)),Xref!A:B,2,0)</f>
        <v>SEA</v>
      </c>
      <c r="M776" t="str">
        <f t="shared" si="51"/>
        <v>CHA-SEA</v>
      </c>
    </row>
    <row r="777" spans="1:13" ht="14.25" customHeight="true">
      <c r="A777" s="33" t="str">
        <f t="shared" si="48"/>
        <v>CHA - Intercompany</v>
      </c>
      <c r="B777" s="33" t="str">
        <f t="shared" si="49"/>
        <v>CHA</v>
      </c>
      <c r="C777" s="33" t="str">
        <f t="shared" si="50"/>
        <v>12400-0000</v>
      </c>
      <c r="D777" t="s">
        <v>16977</v>
      </c>
      <c r="E777" t="s">
        <v>14185</v>
      </c>
      <c r="F777" t="s">
        <v>14039</v>
      </c>
      <c r="G777" t="s">
        <v>14672</v>
      </c>
      <c r="H777" t="s">
        <v>13869</v>
      </c>
      <c r="I777" t="s">
        <v>14690</v>
      </c>
      <c r="J777" s="62">
        <v>0</v>
      </c>
      <c r="K777" s="62">
        <v>0</v>
      </c>
      <c r="L777" t="str">
        <f>VLOOKUP(VALUE(LEFT(C777,5)),Xref!A:B,2,0)</f>
        <v>aka</v>
      </c>
      <c r="M777" t="str">
        <f t="shared" si="51"/>
        <v>aka-CHA</v>
      </c>
    </row>
    <row r="778" spans="1:13" ht="14.25" customHeight="true">
      <c r="A778" s="33" t="str">
        <f t="shared" si="48"/>
        <v>CHA - Intercompany</v>
      </c>
      <c r="B778" s="33" t="str">
        <f t="shared" si="49"/>
        <v>CHA</v>
      </c>
      <c r="C778" s="33" t="str">
        <f t="shared" si="50"/>
        <v>12401-0000</v>
      </c>
      <c r="D778" t="s">
        <v>16978</v>
      </c>
      <c r="E778" t="s">
        <v>14187</v>
      </c>
      <c r="F778" t="s">
        <v>14039</v>
      </c>
      <c r="G778" t="s">
        <v>14672</v>
      </c>
      <c r="H778" t="s">
        <v>13869</v>
      </c>
      <c r="I778" t="s">
        <v>14690</v>
      </c>
      <c r="J778" s="62">
        <v>0</v>
      </c>
      <c r="K778" s="62">
        <v>0</v>
      </c>
      <c r="L778" t="str">
        <f>VLOOKUP(VALUE(LEFT(C778,5)),Xref!A:B,2,0)</f>
        <v>aka</v>
      </c>
      <c r="M778" t="str">
        <f t="shared" si="51"/>
        <v>aka-CHA</v>
      </c>
    </row>
    <row r="779" spans="1:13" ht="14.25" customHeight="true">
      <c r="A779" s="33" t="str">
        <f t="shared" si="48"/>
        <v>CHA - Intercompany</v>
      </c>
      <c r="B779" s="33" t="str">
        <f t="shared" si="49"/>
        <v>CHA</v>
      </c>
      <c r="C779" s="33" t="str">
        <f t="shared" si="50"/>
        <v>12402-0000</v>
      </c>
      <c r="D779" t="s">
        <v>16979</v>
      </c>
      <c r="E779" t="s">
        <v>14189</v>
      </c>
      <c r="F779" t="s">
        <v>14039</v>
      </c>
      <c r="G779" t="s">
        <v>14672</v>
      </c>
      <c r="H779" t="s">
        <v>13869</v>
      </c>
      <c r="I779" t="s">
        <v>14690</v>
      </c>
      <c r="J779" s="62">
        <v>0</v>
      </c>
      <c r="K779" s="62">
        <v>0</v>
      </c>
      <c r="L779" t="str">
        <f>VLOOKUP(VALUE(LEFT(C779,5)),Xref!A:B,2,0)</f>
        <v>aka</v>
      </c>
      <c r="M779" t="str">
        <f t="shared" si="51"/>
        <v>aka-CHA</v>
      </c>
    </row>
    <row r="780" spans="1:13" ht="14.25" customHeight="true">
      <c r="A780" s="33" t="str">
        <f t="shared" si="48"/>
        <v>CHA - Intercompany</v>
      </c>
      <c r="B780" s="33" t="str">
        <f t="shared" si="49"/>
        <v>CHA</v>
      </c>
      <c r="C780" s="33" t="str">
        <f t="shared" si="50"/>
        <v>12403-0000</v>
      </c>
      <c r="D780" t="s">
        <v>16980</v>
      </c>
      <c r="E780" t="s">
        <v>5226</v>
      </c>
      <c r="F780" t="s">
        <v>14039</v>
      </c>
      <c r="G780" t="s">
        <v>14672</v>
      </c>
      <c r="H780" t="s">
        <v>13869</v>
      </c>
      <c r="I780" t="s">
        <v>14690</v>
      </c>
      <c r="J780" s="62">
        <v>0</v>
      </c>
      <c r="K780" s="62">
        <v>0</v>
      </c>
      <c r="L780" t="str">
        <f>VLOOKUP(VALUE(LEFT(C780,5)),Xref!A:B,2,0)</f>
        <v>aka</v>
      </c>
      <c r="M780" t="str">
        <f t="shared" si="51"/>
        <v>aka-CHA</v>
      </c>
    </row>
    <row r="781" spans="1:13" ht="14.25" customHeight="true">
      <c r="A781" s="33" t="str">
        <f t="shared" si="48"/>
        <v>CHA - Intercompany</v>
      </c>
      <c r="B781" s="33" t="str">
        <f t="shared" si="49"/>
        <v>CHA</v>
      </c>
      <c r="C781" s="33" t="str">
        <f t="shared" si="50"/>
        <v>12501-0000</v>
      </c>
      <c r="D781" t="s">
        <v>16981</v>
      </c>
      <c r="E781" t="s">
        <v>14192</v>
      </c>
      <c r="F781" t="s">
        <v>14039</v>
      </c>
      <c r="G781" t="s">
        <v>14672</v>
      </c>
      <c r="H781" t="s">
        <v>13869</v>
      </c>
      <c r="I781" t="s">
        <v>14690</v>
      </c>
      <c r="J781" s="62">
        <v>0</v>
      </c>
      <c r="K781" s="62">
        <v>0</v>
      </c>
      <c r="L781" t="str">
        <f>VLOOKUP(VALUE(LEFT(C781,5)),Xref!A:B,2,0)</f>
        <v>aka</v>
      </c>
      <c r="M781" t="str">
        <f t="shared" si="51"/>
        <v>aka-CHA</v>
      </c>
    </row>
    <row r="782" spans="1:13" ht="14.25" customHeight="true">
      <c r="A782" s="33" t="str">
        <f t="shared" si="48"/>
        <v>CHA - InterCo Notes</v>
      </c>
      <c r="B782" s="33" t="str">
        <f t="shared" si="49"/>
        <v>CHA</v>
      </c>
      <c r="C782" s="33" t="str">
        <f t="shared" si="50"/>
        <v>25600-0000</v>
      </c>
      <c r="D782" t="s">
        <v>17028</v>
      </c>
      <c r="E782" t="s">
        <v>314</v>
      </c>
      <c r="F782" t="s">
        <v>14039</v>
      </c>
      <c r="G782" t="s">
        <v>14672</v>
      </c>
      <c r="H782" t="s">
        <v>13889</v>
      </c>
      <c r="I782" t="s">
        <v>14690</v>
      </c>
      <c r="J782" s="62">
        <v>0</v>
      </c>
      <c r="K782" s="62">
        <v>0</v>
      </c>
      <c r="L782" t="str">
        <f>VLOOKUP(VALUE(LEFT(C782,5)),Xref!A:B,2,0)</f>
        <v>D7</v>
      </c>
      <c r="M782" t="str">
        <f t="shared" si="51"/>
        <v>CHA-D7</v>
      </c>
    </row>
    <row r="783" spans="1:13" ht="14.25" customHeight="true">
      <c r="A783" s="33" t="str">
        <f t="shared" si="48"/>
        <v>CHA - InterCo Notes</v>
      </c>
      <c r="B783" s="33" t="str">
        <f t="shared" si="49"/>
        <v>CHA</v>
      </c>
      <c r="C783" s="33" t="str">
        <f t="shared" si="50"/>
        <v>25602-0000</v>
      </c>
      <c r="D783" t="s">
        <v>17030</v>
      </c>
      <c r="E783" t="s">
        <v>13426</v>
      </c>
      <c r="F783" t="s">
        <v>14039</v>
      </c>
      <c r="G783" t="s">
        <v>14672</v>
      </c>
      <c r="H783" t="s">
        <v>13889</v>
      </c>
      <c r="I783" t="s">
        <v>14690</v>
      </c>
      <c r="J783" s="62">
        <v>0</v>
      </c>
      <c r="K783" s="62">
        <v>0</v>
      </c>
      <c r="L783" t="str">
        <f>VLOOKUP(VALUE(LEFT(C783,5)),Xref!A:B,2,0)</f>
        <v>DFLP</v>
      </c>
      <c r="M783" t="str">
        <f t="shared" si="51"/>
        <v>CHA-DFLP</v>
      </c>
    </row>
    <row r="784" spans="1:13" ht="14.25" customHeight="true">
      <c r="A784" s="33" t="str">
        <f t="shared" si="48"/>
        <v>CHA - InterCo Notes</v>
      </c>
      <c r="B784" s="33" t="str">
        <f t="shared" si="49"/>
        <v>CHA</v>
      </c>
      <c r="C784" s="33" t="str">
        <f t="shared" si="50"/>
        <v>25603-0000</v>
      </c>
      <c r="D784" t="s">
        <v>17031</v>
      </c>
      <c r="E784" t="s">
        <v>14311</v>
      </c>
      <c r="F784" t="s">
        <v>14039</v>
      </c>
      <c r="G784" t="s">
        <v>14832</v>
      </c>
      <c r="H784" t="s">
        <v>13889</v>
      </c>
      <c r="I784" t="s">
        <v>14690</v>
      </c>
      <c r="J784" s="62">
        <v>0</v>
      </c>
      <c r="K784" s="62">
        <v>0</v>
      </c>
      <c r="L784" t="str">
        <f>VLOOKUP(VALUE(LEFT(C784,5)),Xref!A:B,2,0)</f>
        <v>aka</v>
      </c>
      <c r="M784" t="str">
        <f t="shared" si="51"/>
        <v>aka-CHA</v>
      </c>
    </row>
    <row r="785" spans="1:13" ht="14.25" customHeight="true">
      <c r="A785" s="33" t="str">
        <f t="shared" si="48"/>
        <v>CHA - Intercompany</v>
      </c>
      <c r="B785" s="33" t="str">
        <f t="shared" si="49"/>
        <v>CHA</v>
      </c>
      <c r="C785" s="33" t="str">
        <f t="shared" si="50"/>
        <v>25604-0000</v>
      </c>
      <c r="D785" t="s">
        <v>17032</v>
      </c>
      <c r="E785" t="s">
        <v>13490</v>
      </c>
      <c r="F785" t="s">
        <v>14039</v>
      </c>
      <c r="G785" t="s">
        <v>14672</v>
      </c>
      <c r="H785" t="s">
        <v>13869</v>
      </c>
      <c r="I785" t="s">
        <v>14690</v>
      </c>
      <c r="J785" s="62">
        <v>0</v>
      </c>
      <c r="K785" s="62">
        <v>0</v>
      </c>
      <c r="L785">
        <f>VLOOKUP(VALUE(LEFT(C785,5)),Xref!A:B,2,0)</f>
        <v>0</v>
      </c>
      <c r="M785" t="str">
        <f t="shared" si="51"/>
        <v>0-CHA</v>
      </c>
    </row>
    <row r="786" spans="1:13" ht="14.25" customHeight="true">
      <c r="A786" s="33" t="str">
        <f t="shared" si="48"/>
        <v>CLI - Intercompany</v>
      </c>
      <c r="B786" s="33" t="str">
        <f t="shared" si="49"/>
        <v>CLI</v>
      </c>
      <c r="C786" s="33" t="str">
        <f t="shared" si="50"/>
        <v>11200-0000</v>
      </c>
      <c r="D786" t="s">
        <v>619</v>
      </c>
      <c r="E786" t="s">
        <v>620</v>
      </c>
      <c r="F786" t="s">
        <v>30853</v>
      </c>
      <c r="G786" t="s">
        <v>16</v>
      </c>
      <c r="H786" t="s">
        <v>13869</v>
      </c>
      <c r="I786" t="s">
        <v>40</v>
      </c>
      <c r="J786" s="62">
        <v>0</v>
      </c>
      <c r="K786" s="62">
        <v>-2460000</v>
      </c>
      <c r="L786" t="str">
        <f>VLOOKUP(VALUE(LEFT(C786,5)),Xref!A:B,2,0)</f>
        <v>SCL</v>
      </c>
      <c r="M786" t="str">
        <f t="shared" si="51"/>
        <v>CLI-SCL</v>
      </c>
    </row>
    <row r="787" spans="1:13" ht="14.25" customHeight="true">
      <c r="A787" s="33" t="str">
        <f t="shared" si="48"/>
        <v>CPI - Intercompany</v>
      </c>
      <c r="B787" s="33" t="str">
        <f t="shared" si="49"/>
        <v>CPI</v>
      </c>
      <c r="C787" s="33" t="str">
        <f t="shared" si="50"/>
        <v>11200-0000</v>
      </c>
      <c r="D787" t="s">
        <v>17198</v>
      </c>
      <c r="E787" t="s">
        <v>14069</v>
      </c>
      <c r="F787" t="s">
        <v>14039</v>
      </c>
      <c r="G787" t="s">
        <v>14672</v>
      </c>
      <c r="H787" t="s">
        <v>13869</v>
      </c>
      <c r="I787" t="s">
        <v>14690</v>
      </c>
      <c r="J787" s="62">
        <v>0</v>
      </c>
      <c r="K787" s="62">
        <v>0</v>
      </c>
      <c r="L787" t="str">
        <f>VLOOKUP(VALUE(LEFT(C787,5)),Xref!A:B,2,0)</f>
        <v>SCL</v>
      </c>
      <c r="M787" t="str">
        <f t="shared" si="51"/>
        <v>CPI-SCL</v>
      </c>
    </row>
    <row r="788" spans="1:13" ht="14.25" customHeight="true">
      <c r="A788" s="33" t="str">
        <f t="shared" si="48"/>
        <v>CPI - Intercompany</v>
      </c>
      <c r="B788" s="33" t="str">
        <f t="shared" si="49"/>
        <v>CPI</v>
      </c>
      <c r="C788" s="33" t="str">
        <f t="shared" si="50"/>
        <v>11201-0000</v>
      </c>
      <c r="D788" t="s">
        <v>17199</v>
      </c>
      <c r="E788" t="s">
        <v>14071</v>
      </c>
      <c r="F788" t="s">
        <v>14039</v>
      </c>
      <c r="G788" t="s">
        <v>14672</v>
      </c>
      <c r="H788" t="s">
        <v>13869</v>
      </c>
      <c r="I788" t="s">
        <v>14690</v>
      </c>
      <c r="J788" s="62">
        <v>0</v>
      </c>
      <c r="K788" s="62">
        <v>0</v>
      </c>
      <c r="L788" t="str">
        <f>VLOOKUP(VALUE(LEFT(C788,5)),Xref!A:B,2,0)</f>
        <v>SG2</v>
      </c>
      <c r="M788" t="str">
        <f t="shared" si="51"/>
        <v>CPI-SG2</v>
      </c>
    </row>
    <row r="789" spans="1:13" ht="14.25" customHeight="true">
      <c r="A789" s="33" t="str">
        <f t="shared" si="48"/>
        <v>CPI - Intercompany</v>
      </c>
      <c r="B789" s="33" t="str">
        <f t="shared" si="49"/>
        <v>CPI</v>
      </c>
      <c r="C789" s="33" t="str">
        <f t="shared" si="50"/>
        <v>11202-0000</v>
      </c>
      <c r="D789" t="s">
        <v>17200</v>
      </c>
      <c r="E789" t="s">
        <v>14073</v>
      </c>
      <c r="F789" t="s">
        <v>14039</v>
      </c>
      <c r="G789" t="s">
        <v>14672</v>
      </c>
      <c r="H789" t="s">
        <v>13869</v>
      </c>
      <c r="I789" t="s">
        <v>14690</v>
      </c>
      <c r="J789" s="62">
        <v>0</v>
      </c>
      <c r="K789" s="62">
        <v>0</v>
      </c>
      <c r="L789" t="str">
        <f>VLOOKUP(VALUE(LEFT(C789,5)),Xref!A:B,2,0)</f>
        <v>FFC</v>
      </c>
      <c r="M789" t="str">
        <f t="shared" si="51"/>
        <v>CPI-FFC</v>
      </c>
    </row>
    <row r="790" spans="1:13" ht="14.25" customHeight="true">
      <c r="A790" s="33" t="str">
        <f t="shared" si="48"/>
        <v>CPI - Intercompany</v>
      </c>
      <c r="B790" s="33" t="str">
        <f t="shared" si="49"/>
        <v>CPI</v>
      </c>
      <c r="C790" s="33" t="str">
        <f t="shared" si="50"/>
        <v>11203-0000</v>
      </c>
      <c r="D790" t="s">
        <v>17201</v>
      </c>
      <c r="E790" t="s">
        <v>14075</v>
      </c>
      <c r="F790" t="s">
        <v>14039</v>
      </c>
      <c r="G790" t="s">
        <v>14672</v>
      </c>
      <c r="H790" t="s">
        <v>13869</v>
      </c>
      <c r="I790" t="s">
        <v>14690</v>
      </c>
      <c r="J790" s="62">
        <v>0</v>
      </c>
      <c r="K790" s="62">
        <v>0</v>
      </c>
      <c r="L790" t="str">
        <f>VLOOKUP(VALUE(LEFT(C790,5)),Xref!A:B,2,0)</f>
        <v>HN2</v>
      </c>
      <c r="M790" t="str">
        <f t="shared" si="51"/>
        <v>CPI-HN2</v>
      </c>
    </row>
    <row r="791" spans="1:13" ht="14.25" customHeight="true">
      <c r="A791" s="33" t="str">
        <f t="shared" si="48"/>
        <v>CPI - Intercompany</v>
      </c>
      <c r="B791" s="33" t="str">
        <f t="shared" si="49"/>
        <v>CPI</v>
      </c>
      <c r="C791" s="33" t="str">
        <f t="shared" si="50"/>
        <v>11204-0000</v>
      </c>
      <c r="D791" t="s">
        <v>17202</v>
      </c>
      <c r="E791" t="s">
        <v>14077</v>
      </c>
      <c r="F791" t="s">
        <v>14039</v>
      </c>
      <c r="G791" t="s">
        <v>14672</v>
      </c>
      <c r="H791" t="s">
        <v>13869</v>
      </c>
      <c r="I791" t="s">
        <v>14690</v>
      </c>
      <c r="J791" s="62">
        <v>0</v>
      </c>
      <c r="K791" s="62">
        <v>0</v>
      </c>
      <c r="L791" t="str">
        <f>VLOOKUP(VALUE(LEFT(C791,5)),Xref!A:B,2,0)</f>
        <v>DF2</v>
      </c>
      <c r="M791" t="str">
        <f t="shared" si="51"/>
        <v>CPI-DF2</v>
      </c>
    </row>
    <row r="792" spans="1:13" ht="14.25" customHeight="true">
      <c r="A792" s="33" t="str">
        <f t="shared" si="48"/>
        <v>CPI - Intercompany</v>
      </c>
      <c r="B792" s="33" t="str">
        <f t="shared" si="49"/>
        <v>CPI</v>
      </c>
      <c r="C792" s="33" t="str">
        <f t="shared" si="50"/>
        <v>11208-0000</v>
      </c>
      <c r="D792" t="s">
        <v>17203</v>
      </c>
      <c r="E792" t="s">
        <v>14079</v>
      </c>
      <c r="F792" t="s">
        <v>14039</v>
      </c>
      <c r="G792" t="s">
        <v>14672</v>
      </c>
      <c r="H792" t="s">
        <v>13869</v>
      </c>
      <c r="I792" t="s">
        <v>14690</v>
      </c>
      <c r="J792" s="62">
        <v>0</v>
      </c>
      <c r="K792" s="62">
        <v>0</v>
      </c>
      <c r="L792" t="str">
        <f>VLOOKUP(VALUE(LEFT(C792,5)),Xref!A:B,2,0)</f>
        <v>SRE</v>
      </c>
      <c r="M792" t="str">
        <f t="shared" si="51"/>
        <v>CPI-SRE</v>
      </c>
    </row>
    <row r="793" spans="1:13" ht="14.25" customHeight="true">
      <c r="A793" s="33" t="str">
        <f t="shared" si="48"/>
        <v>CPI - Intercompany</v>
      </c>
      <c r="B793" s="33" t="str">
        <f t="shared" si="49"/>
        <v>CPI</v>
      </c>
      <c r="C793" s="33" t="str">
        <f t="shared" si="50"/>
        <v>11210-0000</v>
      </c>
      <c r="D793" t="s">
        <v>17204</v>
      </c>
      <c r="E793" t="s">
        <v>14081</v>
      </c>
      <c r="F793" t="s">
        <v>14039</v>
      </c>
      <c r="G793" t="s">
        <v>14672</v>
      </c>
      <c r="H793" t="s">
        <v>13869</v>
      </c>
      <c r="I793" t="s">
        <v>14690</v>
      </c>
      <c r="J793" s="62">
        <v>0</v>
      </c>
      <c r="K793" s="62">
        <v>0</v>
      </c>
      <c r="L793" t="str">
        <f>VLOOKUP(VALUE(LEFT(C793,5)),Xref!A:B,2,0)</f>
        <v>REM</v>
      </c>
      <c r="M793" t="str">
        <f t="shared" si="51"/>
        <v>CPI-REM</v>
      </c>
    </row>
    <row r="794" spans="1:13" ht="14.25" customHeight="true">
      <c r="A794" s="33" t="str">
        <f t="shared" si="48"/>
        <v>CPI - Intercompany</v>
      </c>
      <c r="B794" s="33" t="str">
        <f t="shared" si="49"/>
        <v>CPI</v>
      </c>
      <c r="C794" s="33" t="str">
        <f t="shared" si="50"/>
        <v>11212-0000</v>
      </c>
      <c r="D794" t="s">
        <v>17205</v>
      </c>
      <c r="E794" t="s">
        <v>14083</v>
      </c>
      <c r="F794" t="s">
        <v>14039</v>
      </c>
      <c r="G794" t="s">
        <v>14672</v>
      </c>
      <c r="H794" t="s">
        <v>13869</v>
      </c>
      <c r="I794" t="s">
        <v>14690</v>
      </c>
      <c r="J794" s="62">
        <v>0</v>
      </c>
      <c r="K794" s="62">
        <v>0</v>
      </c>
      <c r="L794" t="str">
        <f>VLOOKUP(VALUE(LEFT(C794,5)),Xref!A:B,2,0)</f>
        <v>FRM</v>
      </c>
      <c r="M794" t="str">
        <f t="shared" si="51"/>
        <v>CPI-FRM</v>
      </c>
    </row>
    <row r="795" spans="1:13" ht="14.25" customHeight="true">
      <c r="A795" s="33" t="str">
        <f t="shared" si="48"/>
        <v>CPI - Intercompany</v>
      </c>
      <c r="B795" s="33" t="str">
        <f t="shared" si="49"/>
        <v>CPI</v>
      </c>
      <c r="C795" s="33" t="str">
        <f t="shared" si="50"/>
        <v>11214-0000</v>
      </c>
      <c r="D795" t="s">
        <v>17206</v>
      </c>
      <c r="E795" t="s">
        <v>14085</v>
      </c>
      <c r="F795" t="s">
        <v>14039</v>
      </c>
      <c r="G795" t="s">
        <v>14672</v>
      </c>
      <c r="H795" t="s">
        <v>13869</v>
      </c>
      <c r="I795" t="s">
        <v>14690</v>
      </c>
      <c r="J795" s="62">
        <v>0</v>
      </c>
      <c r="K795" s="62">
        <v>0</v>
      </c>
      <c r="L795" t="str">
        <f>VLOOKUP(VALUE(LEFT(C795,5)),Xref!A:B,2,0)</f>
        <v>D7R</v>
      </c>
      <c r="M795" t="str">
        <f t="shared" si="51"/>
        <v>CPI-D7R</v>
      </c>
    </row>
    <row r="796" spans="1:13" ht="14.25" customHeight="true">
      <c r="A796" s="33" t="str">
        <f t="shared" si="48"/>
        <v>CPI - Intercompany</v>
      </c>
      <c r="B796" s="33" t="str">
        <f t="shared" si="49"/>
        <v>CPI</v>
      </c>
      <c r="C796" s="33" t="str">
        <f t="shared" si="50"/>
        <v>11215-0000</v>
      </c>
      <c r="D796" t="s">
        <v>17207</v>
      </c>
      <c r="E796" t="s">
        <v>14087</v>
      </c>
      <c r="F796" t="s">
        <v>14039</v>
      </c>
      <c r="G796" t="s">
        <v>14672</v>
      </c>
      <c r="H796" t="s">
        <v>13869</v>
      </c>
      <c r="I796" t="s">
        <v>14690</v>
      </c>
      <c r="J796" s="62">
        <v>0</v>
      </c>
      <c r="K796" s="62">
        <v>0</v>
      </c>
      <c r="L796" t="str">
        <f>VLOOKUP(VALUE(LEFT(C796,5)),Xref!A:B,2,0)</f>
        <v>CDP</v>
      </c>
      <c r="M796" t="str">
        <f t="shared" si="51"/>
        <v>CDP-CPI</v>
      </c>
    </row>
    <row r="797" spans="1:13" ht="14.25" customHeight="true">
      <c r="A797" s="33" t="str">
        <f t="shared" si="48"/>
        <v>CPI - Intercompany</v>
      </c>
      <c r="B797" s="33" t="str">
        <f t="shared" si="49"/>
        <v>CPI</v>
      </c>
      <c r="C797" s="33" t="str">
        <f t="shared" si="50"/>
        <v>11216-0000</v>
      </c>
      <c r="D797" t="s">
        <v>630</v>
      </c>
      <c r="E797" t="s">
        <v>13224</v>
      </c>
      <c r="F797" t="s">
        <v>14039</v>
      </c>
      <c r="G797" t="s">
        <v>14672</v>
      </c>
      <c r="H797" t="s">
        <v>13869</v>
      </c>
      <c r="I797" t="s">
        <v>14690</v>
      </c>
      <c r="J797" s="62">
        <v>-2170.02</v>
      </c>
      <c r="K797" s="62">
        <v>-8679.84</v>
      </c>
      <c r="L797" t="str">
        <f>VLOOKUP(VALUE(LEFT(C797,5)),Xref!A:B,2,0)</f>
        <v>SIL</v>
      </c>
      <c r="M797" t="str">
        <f t="shared" si="51"/>
        <v>CPI-SIL</v>
      </c>
    </row>
    <row r="798" spans="1:13" ht="14.25" customHeight="true">
      <c r="A798" s="33" t="str">
        <f t="shared" si="48"/>
        <v>CPI - Intercompany</v>
      </c>
      <c r="B798" s="33" t="str">
        <f t="shared" si="49"/>
        <v>CPI</v>
      </c>
      <c r="C798" s="33" t="str">
        <f t="shared" si="50"/>
        <v>11232-0000</v>
      </c>
      <c r="D798" t="s">
        <v>17208</v>
      </c>
      <c r="E798" t="s">
        <v>12486</v>
      </c>
      <c r="F798" t="s">
        <v>14039</v>
      </c>
      <c r="G798" t="s">
        <v>14672</v>
      </c>
      <c r="H798" t="s">
        <v>13869</v>
      </c>
      <c r="I798" t="s">
        <v>14690</v>
      </c>
      <c r="J798" s="62">
        <v>0</v>
      </c>
      <c r="K798" s="62">
        <v>0</v>
      </c>
      <c r="L798" t="str">
        <f>VLOOKUP(VALUE(LEFT(C798,5)),Xref!A:B,2,0)</f>
        <v>SC2</v>
      </c>
      <c r="M798" t="str">
        <f t="shared" si="51"/>
        <v>CPI-SC2</v>
      </c>
    </row>
    <row r="799" spans="1:13" ht="14.25" customHeight="true">
      <c r="A799" s="33" t="str">
        <f t="shared" si="48"/>
        <v>CPI - Intercompany</v>
      </c>
      <c r="B799" s="33" t="str">
        <f t="shared" si="49"/>
        <v>CPI</v>
      </c>
      <c r="C799" s="33" t="str">
        <f t="shared" si="50"/>
        <v>11301-0000</v>
      </c>
      <c r="D799" t="s">
        <v>17209</v>
      </c>
      <c r="E799" t="s">
        <v>13225</v>
      </c>
      <c r="F799" t="s">
        <v>14039</v>
      </c>
      <c r="G799" t="s">
        <v>14672</v>
      </c>
      <c r="H799" t="s">
        <v>13869</v>
      </c>
      <c r="I799" t="s">
        <v>14690</v>
      </c>
      <c r="J799" s="62">
        <v>0</v>
      </c>
      <c r="K799" s="62">
        <v>0</v>
      </c>
      <c r="L799" t="str">
        <f>VLOOKUP(VALUE(LEFT(C799,5)),Xref!A:B,2,0)</f>
        <v>CRE</v>
      </c>
      <c r="M799" t="str">
        <f t="shared" si="51"/>
        <v>CPI-CRE</v>
      </c>
    </row>
    <row r="800" spans="1:13" ht="14.25" customHeight="true">
      <c r="A800" s="33" t="str">
        <f t="shared" si="48"/>
        <v>CPI - Intercompany</v>
      </c>
      <c r="B800" s="33" t="str">
        <f t="shared" si="49"/>
        <v>CPI</v>
      </c>
      <c r="C800" s="33" t="str">
        <f t="shared" si="50"/>
        <v>11302-0000</v>
      </c>
      <c r="D800" t="s">
        <v>17210</v>
      </c>
      <c r="E800" t="s">
        <v>13226</v>
      </c>
      <c r="F800" t="s">
        <v>14039</v>
      </c>
      <c r="G800" t="s">
        <v>14672</v>
      </c>
      <c r="H800" t="s">
        <v>13869</v>
      </c>
      <c r="I800" t="s">
        <v>14690</v>
      </c>
      <c r="J800" s="62">
        <v>0</v>
      </c>
      <c r="K800" s="62">
        <v>0</v>
      </c>
      <c r="L800" t="str">
        <f>VLOOKUP(VALUE(LEFT(C800,5)),Xref!A:B,2,0)</f>
        <v>CHA</v>
      </c>
      <c r="M800" t="str">
        <f t="shared" si="51"/>
        <v>CHA-CPI</v>
      </c>
    </row>
    <row r="801" spans="1:13" ht="14.25" customHeight="true">
      <c r="A801" s="33" t="str">
        <f t="shared" si="48"/>
        <v>CPI - Intercompany</v>
      </c>
      <c r="B801" s="33" t="str">
        <f t="shared" si="49"/>
        <v>CPI</v>
      </c>
      <c r="C801" s="33" t="str">
        <f t="shared" si="50"/>
        <v>11303-0000</v>
      </c>
      <c r="D801" t="s">
        <v>17211</v>
      </c>
      <c r="E801" t="s">
        <v>13227</v>
      </c>
      <c r="F801" t="s">
        <v>14039</v>
      </c>
      <c r="G801" t="s">
        <v>14672</v>
      </c>
      <c r="H801" t="s">
        <v>13869</v>
      </c>
      <c r="I801" t="s">
        <v>14690</v>
      </c>
      <c r="J801" s="62">
        <v>0</v>
      </c>
      <c r="K801" s="62">
        <v>0</v>
      </c>
      <c r="L801" t="str">
        <f>VLOOKUP(VALUE(LEFT(C801,5)),Xref!A:B,2,0)</f>
        <v>DIA</v>
      </c>
      <c r="M801" t="str">
        <f t="shared" si="51"/>
        <v>CPI-DIA</v>
      </c>
    </row>
    <row r="802" spans="1:13" ht="14.25" customHeight="true">
      <c r="A802" s="33" t="str">
        <f t="shared" si="48"/>
        <v>CPI - Intercompany</v>
      </c>
      <c r="B802" s="33" t="str">
        <f t="shared" si="49"/>
        <v>CPI</v>
      </c>
      <c r="C802" s="33" t="str">
        <f t="shared" si="50"/>
        <v>11304-0000</v>
      </c>
      <c r="D802" t="s">
        <v>17212</v>
      </c>
      <c r="E802" t="s">
        <v>13228</v>
      </c>
      <c r="F802" t="s">
        <v>14039</v>
      </c>
      <c r="G802" t="s">
        <v>14672</v>
      </c>
      <c r="H802" t="s">
        <v>13869</v>
      </c>
      <c r="I802" t="s">
        <v>14690</v>
      </c>
      <c r="J802" s="62">
        <v>0</v>
      </c>
      <c r="K802" s="62">
        <v>0</v>
      </c>
      <c r="L802" t="str">
        <f>VLOOKUP(VALUE(LEFT(C802,5)),Xref!A:B,2,0)</f>
        <v>EAG</v>
      </c>
      <c r="M802" t="str">
        <f t="shared" si="51"/>
        <v>CPI-EAG</v>
      </c>
    </row>
    <row r="803" spans="1:13" ht="14.25" customHeight="true">
      <c r="A803" s="33" t="str">
        <f t="shared" si="48"/>
        <v>CPI - Intercompany</v>
      </c>
      <c r="B803" s="33" t="str">
        <f t="shared" si="49"/>
        <v>CPI</v>
      </c>
      <c r="C803" s="33" t="str">
        <f t="shared" si="50"/>
        <v>11305-0000</v>
      </c>
      <c r="D803" t="s">
        <v>17213</v>
      </c>
      <c r="E803" t="s">
        <v>13229</v>
      </c>
      <c r="F803" t="s">
        <v>14039</v>
      </c>
      <c r="G803" t="s">
        <v>14672</v>
      </c>
      <c r="H803" t="s">
        <v>13869</v>
      </c>
      <c r="I803" t="s">
        <v>14690</v>
      </c>
      <c r="J803" s="62">
        <v>0</v>
      </c>
      <c r="K803" s="62">
        <v>0</v>
      </c>
      <c r="L803" t="str">
        <f>VLOOKUP(VALUE(LEFT(C803,5)),Xref!A:B,2,0)</f>
        <v>NEW</v>
      </c>
      <c r="M803" t="str">
        <f t="shared" si="51"/>
        <v>CPI-NEW</v>
      </c>
    </row>
    <row r="804" spans="1:13" ht="14.25" customHeight="true">
      <c r="A804" s="33" t="str">
        <f t="shared" si="48"/>
        <v>CPI - Intercompany</v>
      </c>
      <c r="B804" s="33" t="str">
        <f t="shared" si="49"/>
        <v>CPI</v>
      </c>
      <c r="C804" s="33" t="str">
        <f t="shared" si="50"/>
        <v>11307-0000</v>
      </c>
      <c r="D804" t="s">
        <v>17214</v>
      </c>
      <c r="E804" t="s">
        <v>14096</v>
      </c>
      <c r="F804" t="s">
        <v>14039</v>
      </c>
      <c r="G804" t="s">
        <v>14672</v>
      </c>
      <c r="H804" t="s">
        <v>13869</v>
      </c>
      <c r="I804" t="s">
        <v>14690</v>
      </c>
      <c r="J804" s="62">
        <v>0</v>
      </c>
      <c r="K804" s="62">
        <v>0</v>
      </c>
      <c r="L804" t="str">
        <f>VLOOKUP(VALUE(LEFT(C804,5)),Xref!A:B,2,0)</f>
        <v>NES</v>
      </c>
      <c r="M804" t="str">
        <f t="shared" si="51"/>
        <v>CPI-NES</v>
      </c>
    </row>
    <row r="805" spans="1:13" ht="14.25" customHeight="true">
      <c r="A805" s="33" t="str">
        <f t="shared" si="48"/>
        <v>CPI - Intercompany</v>
      </c>
      <c r="B805" s="33" t="str">
        <f t="shared" si="49"/>
        <v>CPI</v>
      </c>
      <c r="C805" s="33" t="str">
        <f t="shared" si="50"/>
        <v>11308-0000</v>
      </c>
      <c r="D805" t="s">
        <v>17215</v>
      </c>
      <c r="E805" t="s">
        <v>13476</v>
      </c>
      <c r="F805" t="s">
        <v>14039</v>
      </c>
      <c r="G805" t="s">
        <v>14672</v>
      </c>
      <c r="H805" t="s">
        <v>13869</v>
      </c>
      <c r="I805" t="s">
        <v>14690</v>
      </c>
      <c r="J805" s="62">
        <v>0</v>
      </c>
      <c r="K805" s="62">
        <v>0</v>
      </c>
      <c r="L805" t="str">
        <f>VLOOKUP(VALUE(LEFT(C805,5)),Xref!A:B,2,0)</f>
        <v>LPI</v>
      </c>
      <c r="M805" t="str">
        <f t="shared" si="51"/>
        <v>CPI-LPI</v>
      </c>
    </row>
    <row r="806" spans="1:13" ht="14.25" customHeight="true">
      <c r="A806" s="33" t="str">
        <f t="shared" si="48"/>
        <v>CPI - Intercompany</v>
      </c>
      <c r="B806" s="33" t="str">
        <f t="shared" si="49"/>
        <v>CPI</v>
      </c>
      <c r="C806" s="33" t="str">
        <f t="shared" si="50"/>
        <v>11309-0000</v>
      </c>
      <c r="D806" t="s">
        <v>17216</v>
      </c>
      <c r="E806" t="s">
        <v>13230</v>
      </c>
      <c r="F806" t="s">
        <v>14039</v>
      </c>
      <c r="G806" t="s">
        <v>14672</v>
      </c>
      <c r="H806" t="s">
        <v>13869</v>
      </c>
      <c r="I806" t="s">
        <v>14690</v>
      </c>
      <c r="J806" s="62">
        <v>0</v>
      </c>
      <c r="K806" s="62">
        <v>0</v>
      </c>
      <c r="L806" t="str">
        <f>VLOOKUP(VALUE(LEFT(C806,5)),Xref!A:B,2,0)</f>
        <v>GPI</v>
      </c>
      <c r="M806" t="str">
        <f t="shared" si="51"/>
        <v>CPI-GPI</v>
      </c>
    </row>
    <row r="807" spans="1:13" ht="14.25" customHeight="true">
      <c r="A807" s="33" t="str">
        <f t="shared" si="48"/>
        <v>CPI - Intercompany</v>
      </c>
      <c r="B807" s="33" t="str">
        <f t="shared" si="49"/>
        <v>CPI</v>
      </c>
      <c r="C807" s="33" t="str">
        <f t="shared" si="50"/>
        <v>11310-0000</v>
      </c>
      <c r="D807" t="s">
        <v>17217</v>
      </c>
      <c r="E807" t="s">
        <v>13231</v>
      </c>
      <c r="F807" t="s">
        <v>14039</v>
      </c>
      <c r="G807" t="s">
        <v>14672</v>
      </c>
      <c r="H807" t="s">
        <v>13869</v>
      </c>
      <c r="I807" t="s">
        <v>14690</v>
      </c>
      <c r="J807" s="62">
        <v>0</v>
      </c>
      <c r="K807" s="62">
        <v>0</v>
      </c>
      <c r="L807" t="str">
        <f>VLOOKUP(VALUE(LEFT(C807,5)),Xref!A:B,2,0)</f>
        <v>ALP</v>
      </c>
      <c r="M807" t="str">
        <f t="shared" si="51"/>
        <v>ALP-CPI</v>
      </c>
    </row>
    <row r="808" spans="1:13" ht="14.25" customHeight="true">
      <c r="A808" s="33" t="str">
        <f t="shared" si="48"/>
        <v>CPI - Intercompany</v>
      </c>
      <c r="B808" s="33" t="str">
        <f t="shared" si="49"/>
        <v>CPI</v>
      </c>
      <c r="C808" s="33" t="str">
        <f t="shared" si="50"/>
        <v>11311-0000</v>
      </c>
      <c r="D808" t="s">
        <v>17218</v>
      </c>
      <c r="E808" t="s">
        <v>13232</v>
      </c>
      <c r="F808" t="s">
        <v>14039</v>
      </c>
      <c r="G808" t="s">
        <v>14672</v>
      </c>
      <c r="H808" t="s">
        <v>13869</v>
      </c>
      <c r="I808" t="s">
        <v>14690</v>
      </c>
      <c r="J808" s="62">
        <v>0</v>
      </c>
      <c r="K808" s="62">
        <v>0</v>
      </c>
      <c r="L808" t="str">
        <f>VLOOKUP(VALUE(LEFT(C808,5)),Xref!A:B,2,0)</f>
        <v>BET</v>
      </c>
      <c r="M808" t="str">
        <f t="shared" si="51"/>
        <v>BET-CPI</v>
      </c>
    </row>
    <row r="809" spans="1:13" ht="14.25" customHeight="true">
      <c r="A809" s="33" t="str">
        <f t="shared" si="48"/>
        <v>CPI - Intercompany</v>
      </c>
      <c r="B809" s="33" t="str">
        <f t="shared" si="49"/>
        <v>CPI</v>
      </c>
      <c r="C809" s="33" t="str">
        <f t="shared" si="50"/>
        <v>11312-0000</v>
      </c>
      <c r="D809" t="s">
        <v>17219</v>
      </c>
      <c r="E809" t="s">
        <v>14102</v>
      </c>
      <c r="F809" t="s">
        <v>14039</v>
      </c>
      <c r="G809" t="s">
        <v>14672</v>
      </c>
      <c r="H809" t="s">
        <v>13869</v>
      </c>
      <c r="I809" t="s">
        <v>14690</v>
      </c>
      <c r="J809" s="62">
        <v>0</v>
      </c>
      <c r="K809" s="62">
        <v>0</v>
      </c>
      <c r="L809" t="str">
        <f>VLOOKUP(VALUE(LEFT(C809,5)),Xref!A:B,2,0)</f>
        <v>DEL</v>
      </c>
      <c r="M809" t="str">
        <f t="shared" si="51"/>
        <v>CPI-DEL</v>
      </c>
    </row>
    <row r="810" spans="1:13" ht="14.25" customHeight="true">
      <c r="A810" s="33" t="str">
        <f t="shared" si="48"/>
        <v>CPI - Intercompany</v>
      </c>
      <c r="B810" s="33" t="str">
        <f t="shared" si="49"/>
        <v>CPI</v>
      </c>
      <c r="C810" s="33" t="str">
        <f t="shared" si="50"/>
        <v>11313-0000</v>
      </c>
      <c r="D810" t="s">
        <v>17220</v>
      </c>
      <c r="E810" t="s">
        <v>13233</v>
      </c>
      <c r="F810" t="s">
        <v>14039</v>
      </c>
      <c r="G810" t="s">
        <v>14672</v>
      </c>
      <c r="H810" t="s">
        <v>13869</v>
      </c>
      <c r="I810" t="s">
        <v>14690</v>
      </c>
      <c r="J810" s="62">
        <v>0</v>
      </c>
      <c r="K810" s="62">
        <v>0</v>
      </c>
      <c r="L810" t="str">
        <f>VLOOKUP(VALUE(LEFT(C810,5)),Xref!A:B,2,0)</f>
        <v>DOL</v>
      </c>
      <c r="M810" t="str">
        <f t="shared" si="51"/>
        <v>CPI-DOL</v>
      </c>
    </row>
    <row r="811" spans="1:13" ht="14.25" customHeight="true">
      <c r="A811" s="33" t="str">
        <f t="shared" si="48"/>
        <v>CPI - Intercompany</v>
      </c>
      <c r="B811" s="33" t="str">
        <f t="shared" si="49"/>
        <v>CPI</v>
      </c>
      <c r="C811" s="33" t="str">
        <f t="shared" si="50"/>
        <v>11314-0000</v>
      </c>
      <c r="D811" t="s">
        <v>17221</v>
      </c>
      <c r="E811" t="s">
        <v>13351</v>
      </c>
      <c r="F811" t="s">
        <v>14039</v>
      </c>
      <c r="G811" t="s">
        <v>14672</v>
      </c>
      <c r="H811" t="s">
        <v>13869</v>
      </c>
      <c r="I811" t="s">
        <v>14690</v>
      </c>
      <c r="J811" s="62">
        <v>0</v>
      </c>
      <c r="K811" s="62">
        <v>0</v>
      </c>
      <c r="L811" t="str">
        <f>VLOOKUP(VALUE(LEFT(C811,5)),Xref!A:B,2,0)</f>
        <v>GRI</v>
      </c>
      <c r="M811" t="str">
        <f t="shared" si="51"/>
        <v>CPI-GRI</v>
      </c>
    </row>
    <row r="812" spans="1:13" ht="14.25" customHeight="true">
      <c r="A812" s="33" t="str">
        <f t="shared" si="48"/>
        <v>CPI - Intercompany</v>
      </c>
      <c r="B812" s="33" t="str">
        <f t="shared" si="49"/>
        <v>CPI</v>
      </c>
      <c r="C812" s="33" t="str">
        <f t="shared" si="50"/>
        <v>11315-0000</v>
      </c>
      <c r="D812" t="s">
        <v>17222</v>
      </c>
      <c r="E812" t="s">
        <v>13234</v>
      </c>
      <c r="F812" t="s">
        <v>14039</v>
      </c>
      <c r="G812" t="s">
        <v>14672</v>
      </c>
      <c r="H812" t="s">
        <v>13869</v>
      </c>
      <c r="I812" t="s">
        <v>14690</v>
      </c>
      <c r="J812" s="62">
        <v>0</v>
      </c>
      <c r="K812" s="62">
        <v>0</v>
      </c>
      <c r="L812" t="str">
        <f>VLOOKUP(VALUE(LEFT(C812,5)),Xref!A:B,2,0)</f>
        <v>PUR</v>
      </c>
      <c r="M812" t="str">
        <f t="shared" si="51"/>
        <v>CPI-PUR</v>
      </c>
    </row>
    <row r="813" spans="1:13" ht="14.25" customHeight="true">
      <c r="A813" s="33" t="str">
        <f t="shared" si="48"/>
        <v>CPI - Intercompany</v>
      </c>
      <c r="B813" s="33" t="str">
        <f t="shared" si="49"/>
        <v>CPI</v>
      </c>
      <c r="C813" s="33" t="str">
        <f t="shared" si="50"/>
        <v>11316-0000</v>
      </c>
      <c r="D813" t="s">
        <v>17223</v>
      </c>
      <c r="E813" t="s">
        <v>13235</v>
      </c>
      <c r="F813" t="s">
        <v>14039</v>
      </c>
      <c r="G813" t="s">
        <v>14672</v>
      </c>
      <c r="H813" t="s">
        <v>13869</v>
      </c>
      <c r="I813" t="s">
        <v>14690</v>
      </c>
      <c r="J813" s="62">
        <v>0</v>
      </c>
      <c r="K813" s="62">
        <v>0</v>
      </c>
      <c r="L813" t="str">
        <f>VLOOKUP(VALUE(LEFT(C813,5)),Xref!A:B,2,0)</f>
        <v>VAL</v>
      </c>
      <c r="M813" t="str">
        <f t="shared" si="51"/>
        <v>CPI-VAL</v>
      </c>
    </row>
    <row r="814" spans="1:13" ht="14.25" customHeight="true">
      <c r="A814" s="33" t="str">
        <f t="shared" si="48"/>
        <v>CPI - Intercompany</v>
      </c>
      <c r="B814" s="33" t="str">
        <f t="shared" si="49"/>
        <v>CPI</v>
      </c>
      <c r="C814" s="33" t="str">
        <f t="shared" si="50"/>
        <v>11317-0000</v>
      </c>
      <c r="D814" t="s">
        <v>17224</v>
      </c>
      <c r="E814" t="s">
        <v>13352</v>
      </c>
      <c r="F814" t="s">
        <v>14039</v>
      </c>
      <c r="G814" t="s">
        <v>14672</v>
      </c>
      <c r="H814" t="s">
        <v>13869</v>
      </c>
      <c r="I814" t="s">
        <v>14690</v>
      </c>
      <c r="J814" s="62">
        <v>0</v>
      </c>
      <c r="K814" s="62">
        <v>0</v>
      </c>
      <c r="L814" t="str">
        <f>VLOOKUP(VALUE(LEFT(C814,5)),Xref!A:B,2,0)</f>
        <v>AKG</v>
      </c>
      <c r="M814" t="str">
        <f t="shared" si="51"/>
        <v>AKG-CPI</v>
      </c>
    </row>
    <row r="815" spans="1:13" ht="14.25" customHeight="true">
      <c r="A815" s="33" t="str">
        <f t="shared" si="48"/>
        <v>CPI - Intercompany</v>
      </c>
      <c r="B815" s="33" t="str">
        <f t="shared" si="49"/>
        <v>CPI</v>
      </c>
      <c r="C815" s="33" t="str">
        <f t="shared" si="50"/>
        <v>11318-0000</v>
      </c>
      <c r="D815" t="s">
        <v>17225</v>
      </c>
      <c r="E815" t="s">
        <v>13477</v>
      </c>
      <c r="F815" t="s">
        <v>14039</v>
      </c>
      <c r="G815" t="s">
        <v>14672</v>
      </c>
      <c r="H815" t="s">
        <v>13869</v>
      </c>
      <c r="I815" t="s">
        <v>14690</v>
      </c>
      <c r="J815" s="62">
        <v>0</v>
      </c>
      <c r="K815" s="62">
        <v>0</v>
      </c>
      <c r="L815" t="str">
        <f>VLOOKUP(VALUE(LEFT(C815,5)),Xref!A:B,2,0)</f>
        <v>FIR</v>
      </c>
      <c r="M815" t="str">
        <f t="shared" si="51"/>
        <v>CPI-FIR</v>
      </c>
    </row>
    <row r="816" spans="1:13" ht="14.25" customHeight="true">
      <c r="A816" s="33" t="str">
        <f t="shared" si="48"/>
        <v>CPI - Intercompany</v>
      </c>
      <c r="B816" s="33" t="str">
        <f t="shared" si="49"/>
        <v>CPI</v>
      </c>
      <c r="C816" s="33" t="str">
        <f t="shared" si="50"/>
        <v>11319-0000</v>
      </c>
      <c r="D816" t="s">
        <v>17226</v>
      </c>
      <c r="E816" t="s">
        <v>266</v>
      </c>
      <c r="F816" t="s">
        <v>14039</v>
      </c>
      <c r="G816" t="s">
        <v>14672</v>
      </c>
      <c r="H816" t="s">
        <v>13869</v>
      </c>
      <c r="I816" t="s">
        <v>14690</v>
      </c>
      <c r="J816" s="62">
        <v>0</v>
      </c>
      <c r="K816" s="62">
        <v>0</v>
      </c>
      <c r="L816" t="str">
        <f>VLOOKUP(VALUE(LEFT(C816,5)),Xref!A:B,2,0)</f>
        <v>GST</v>
      </c>
      <c r="M816" t="str">
        <f t="shared" si="51"/>
        <v>CPI-GST</v>
      </c>
    </row>
    <row r="817" spans="1:13" ht="14.25" customHeight="true">
      <c r="A817" s="33" t="str">
        <f t="shared" si="48"/>
        <v>CPI - Intercompany</v>
      </c>
      <c r="B817" s="33" t="str">
        <f t="shared" si="49"/>
        <v>CPI</v>
      </c>
      <c r="C817" s="33" t="str">
        <f t="shared" si="50"/>
        <v>11320-0000</v>
      </c>
      <c r="D817" t="s">
        <v>17227</v>
      </c>
      <c r="E817" t="s">
        <v>14111</v>
      </c>
      <c r="F817" t="s">
        <v>14039</v>
      </c>
      <c r="G817" t="s">
        <v>14672</v>
      </c>
      <c r="H817" t="s">
        <v>13869</v>
      </c>
      <c r="I817" t="s">
        <v>14690</v>
      </c>
      <c r="J817" s="62">
        <v>0</v>
      </c>
      <c r="K817" s="62">
        <v>0</v>
      </c>
      <c r="L817" t="str">
        <f>VLOOKUP(VALUE(LEFT(C817,5)),Xref!A:B,2,0)</f>
        <v>HDN</v>
      </c>
      <c r="M817" t="str">
        <f t="shared" si="51"/>
        <v>CPI-HDN</v>
      </c>
    </row>
    <row r="818" spans="1:13" ht="14.25" customHeight="true">
      <c r="A818" s="33" t="str">
        <f t="shared" si="48"/>
        <v>CPI - Intercompany</v>
      </c>
      <c r="B818" s="33" t="str">
        <f t="shared" si="49"/>
        <v>CPI</v>
      </c>
      <c r="C818" s="33" t="str">
        <f t="shared" si="50"/>
        <v>11321-0000</v>
      </c>
      <c r="D818" t="s">
        <v>17228</v>
      </c>
      <c r="E818" t="s">
        <v>13236</v>
      </c>
      <c r="F818" t="s">
        <v>14039</v>
      </c>
      <c r="G818" t="s">
        <v>14672</v>
      </c>
      <c r="H818" t="s">
        <v>13869</v>
      </c>
      <c r="I818" t="s">
        <v>14690</v>
      </c>
      <c r="J818" s="62">
        <v>0</v>
      </c>
      <c r="K818" s="62">
        <v>0</v>
      </c>
      <c r="L818" t="str">
        <f>VLOOKUP(VALUE(LEFT(C818,5)),Xref!A:B,2,0)</f>
        <v>OVA</v>
      </c>
      <c r="M818" t="str">
        <f t="shared" si="51"/>
        <v>CPI-OVA</v>
      </c>
    </row>
    <row r="819" spans="1:13" ht="14.25" customHeight="true">
      <c r="A819" s="33" t="str">
        <f t="shared" si="48"/>
        <v>CPI - Intercompany</v>
      </c>
      <c r="B819" s="33" t="str">
        <f t="shared" si="49"/>
        <v>CPI</v>
      </c>
      <c r="C819" s="33" t="str">
        <f t="shared" si="50"/>
        <v>11322-0000</v>
      </c>
      <c r="D819" t="s">
        <v>17229</v>
      </c>
      <c r="E819" t="s">
        <v>13237</v>
      </c>
      <c r="F819" t="s">
        <v>14039</v>
      </c>
      <c r="G819" t="s">
        <v>14672</v>
      </c>
      <c r="H819" t="s">
        <v>13869</v>
      </c>
      <c r="I819" t="s">
        <v>14690</v>
      </c>
      <c r="J819" s="62">
        <v>0</v>
      </c>
      <c r="K819" s="62">
        <v>0</v>
      </c>
      <c r="L819" t="str">
        <f>VLOOKUP(VALUE(LEFT(C819,5)),Xref!A:B,2,0)</f>
        <v>WOO</v>
      </c>
      <c r="M819" t="str">
        <f t="shared" si="51"/>
        <v>CPI-WOO</v>
      </c>
    </row>
    <row r="820" spans="1:13" ht="14.25" customHeight="true">
      <c r="A820" s="33" t="str">
        <f t="shared" si="48"/>
        <v>CPI - Intercompany</v>
      </c>
      <c r="B820" s="33" t="str">
        <f t="shared" si="49"/>
        <v>CPI</v>
      </c>
      <c r="C820" s="33" t="str">
        <f t="shared" si="50"/>
        <v>11323-0000</v>
      </c>
      <c r="D820" t="s">
        <v>17230</v>
      </c>
      <c r="E820" t="s">
        <v>13478</v>
      </c>
      <c r="F820" t="s">
        <v>14039</v>
      </c>
      <c r="G820" t="s">
        <v>14672</v>
      </c>
      <c r="H820" t="s">
        <v>13869</v>
      </c>
      <c r="I820" t="s">
        <v>14690</v>
      </c>
      <c r="J820" s="62">
        <v>0</v>
      </c>
      <c r="K820" s="62">
        <v>0</v>
      </c>
      <c r="L820" t="str">
        <f>VLOOKUP(VALUE(LEFT(C820,5)),Xref!A:B,2,0)</f>
        <v>SPI</v>
      </c>
      <c r="M820" t="str">
        <f t="shared" si="51"/>
        <v>CPI-SPI</v>
      </c>
    </row>
    <row r="821" spans="1:13" ht="14.25" customHeight="true">
      <c r="A821" s="33" t="str">
        <f t="shared" si="48"/>
        <v>CPI - Intercompany</v>
      </c>
      <c r="B821" s="33" t="str">
        <f t="shared" si="49"/>
        <v>CPI</v>
      </c>
      <c r="C821" s="33" t="str">
        <f t="shared" si="50"/>
        <v>11324-0000</v>
      </c>
      <c r="D821" t="s">
        <v>17231</v>
      </c>
      <c r="E821" t="s">
        <v>13238</v>
      </c>
      <c r="F821" t="s">
        <v>14039</v>
      </c>
      <c r="G821" t="s">
        <v>14672</v>
      </c>
      <c r="H821" t="s">
        <v>13869</v>
      </c>
      <c r="I821" t="s">
        <v>14690</v>
      </c>
      <c r="J821" s="62">
        <v>0</v>
      </c>
      <c r="K821" s="62">
        <v>0</v>
      </c>
      <c r="L821" t="str">
        <f>VLOOKUP(VALUE(LEFT(C821,5)),Xref!A:B,2,0)</f>
        <v>NET</v>
      </c>
      <c r="M821" t="str">
        <f t="shared" si="51"/>
        <v>CPI-NET</v>
      </c>
    </row>
    <row r="822" spans="1:13" ht="14.25" customHeight="true">
      <c r="A822" s="33" t="str">
        <f t="shared" si="48"/>
        <v>CPI - Intercompany</v>
      </c>
      <c r="B822" s="33" t="str">
        <f t="shared" si="49"/>
        <v>CPI</v>
      </c>
      <c r="C822" s="33" t="str">
        <f t="shared" si="50"/>
        <v>11325-0000</v>
      </c>
      <c r="D822" t="s">
        <v>17232</v>
      </c>
      <c r="E822" t="s">
        <v>13239</v>
      </c>
      <c r="F822" t="s">
        <v>14039</v>
      </c>
      <c r="G822" t="s">
        <v>14672</v>
      </c>
      <c r="H822" t="s">
        <v>13869</v>
      </c>
      <c r="I822" t="s">
        <v>14690</v>
      </c>
      <c r="J822" s="62">
        <v>0</v>
      </c>
      <c r="K822" s="62">
        <v>0</v>
      </c>
      <c r="L822" t="str">
        <f>VLOOKUP(VALUE(LEFT(C822,5)),Xref!A:B,2,0)</f>
        <v>DPI</v>
      </c>
      <c r="M822" t="str">
        <f t="shared" si="51"/>
        <v>CPI-DPI</v>
      </c>
    </row>
    <row r="823" spans="1:13" ht="14.25" customHeight="true">
      <c r="A823" s="33" t="str">
        <f t="shared" si="48"/>
        <v>CPI - Intercompany</v>
      </c>
      <c r="B823" s="33" t="str">
        <f t="shared" si="49"/>
        <v>CPI</v>
      </c>
      <c r="C823" s="33" t="str">
        <f t="shared" si="50"/>
        <v>11326-0000</v>
      </c>
      <c r="D823" t="s">
        <v>17233</v>
      </c>
      <c r="E823" t="s">
        <v>13240</v>
      </c>
      <c r="F823" t="s">
        <v>14039</v>
      </c>
      <c r="G823" t="s">
        <v>14672</v>
      </c>
      <c r="H823" t="s">
        <v>13869</v>
      </c>
      <c r="I823" t="s">
        <v>14690</v>
      </c>
      <c r="J823" s="62">
        <v>0</v>
      </c>
      <c r="K823" s="62">
        <v>0</v>
      </c>
      <c r="L823" t="str">
        <f>VLOOKUP(VALUE(LEFT(C823,5)),Xref!A:B,2,0)</f>
        <v>SEK</v>
      </c>
      <c r="M823" t="str">
        <f t="shared" si="51"/>
        <v>CPI-SEK</v>
      </c>
    </row>
    <row r="824" spans="1:13" ht="14.25" customHeight="true">
      <c r="A824" s="33" t="str">
        <f t="shared" si="48"/>
        <v>CPI - Intercompany</v>
      </c>
      <c r="B824" s="33" t="str">
        <f t="shared" si="49"/>
        <v>CPI</v>
      </c>
      <c r="C824" s="33" t="str">
        <f t="shared" si="50"/>
        <v>11327-0000</v>
      </c>
      <c r="D824" t="s">
        <v>17234</v>
      </c>
      <c r="E824" t="s">
        <v>14119</v>
      </c>
      <c r="F824" t="s">
        <v>14039</v>
      </c>
      <c r="G824" t="s">
        <v>14672</v>
      </c>
      <c r="H824" t="s">
        <v>13869</v>
      </c>
      <c r="I824" t="s">
        <v>14690</v>
      </c>
      <c r="J824" s="62">
        <v>0</v>
      </c>
      <c r="K824" s="62">
        <v>0</v>
      </c>
      <c r="L824" t="str">
        <f>VLOOKUP(VALUE(LEFT(C824,5)),Xref!A:B,2,0)</f>
        <v>CPI</v>
      </c>
      <c r="M824" t="str">
        <f t="shared" si="51"/>
        <v>CPI-CPI</v>
      </c>
    </row>
    <row r="825" spans="1:13" ht="14.25" customHeight="true">
      <c r="A825" s="33" t="str">
        <f t="shared" si="48"/>
        <v>CPI - Intercompany</v>
      </c>
      <c r="B825" s="33" t="str">
        <f t="shared" si="49"/>
        <v>CPI</v>
      </c>
      <c r="C825" s="33" t="str">
        <f t="shared" si="50"/>
        <v>11328-0000</v>
      </c>
      <c r="D825" t="s">
        <v>17235</v>
      </c>
      <c r="E825" t="s">
        <v>13241</v>
      </c>
      <c r="F825" t="s">
        <v>14039</v>
      </c>
      <c r="G825" t="s">
        <v>14672</v>
      </c>
      <c r="H825" t="s">
        <v>13869</v>
      </c>
      <c r="I825" t="s">
        <v>14690</v>
      </c>
      <c r="J825" s="62">
        <v>0</v>
      </c>
      <c r="K825" s="62">
        <v>0</v>
      </c>
      <c r="L825" t="str">
        <f>VLOOKUP(VALUE(LEFT(C825,5)),Xref!A:B,2,0)</f>
        <v>LOM</v>
      </c>
      <c r="M825" t="str">
        <f t="shared" si="51"/>
        <v>CPI-LOM</v>
      </c>
    </row>
    <row r="826" spans="1:13" ht="14.25" customHeight="true">
      <c r="A826" s="33" t="str">
        <f t="shared" si="48"/>
        <v>CPI - Intercompany</v>
      </c>
      <c r="B826" s="33" t="str">
        <f t="shared" si="49"/>
        <v>CPI</v>
      </c>
      <c r="C826" s="33" t="str">
        <f t="shared" si="50"/>
        <v>11329-0000</v>
      </c>
      <c r="D826" t="s">
        <v>17236</v>
      </c>
      <c r="E826" t="s">
        <v>13353</v>
      </c>
      <c r="F826" t="s">
        <v>14039</v>
      </c>
      <c r="G826" t="s">
        <v>14672</v>
      </c>
      <c r="H826" t="s">
        <v>13869</v>
      </c>
      <c r="I826" t="s">
        <v>14690</v>
      </c>
      <c r="J826" s="62">
        <v>0</v>
      </c>
      <c r="K826" s="62">
        <v>0</v>
      </c>
      <c r="L826" t="str">
        <f>VLOOKUP(VALUE(LEFT(C826,5)),Xref!A:B,2,0)</f>
        <v>AKS</v>
      </c>
      <c r="M826" t="str">
        <f t="shared" si="51"/>
        <v>AKS-CPI</v>
      </c>
    </row>
    <row r="827" spans="1:13" ht="14.25" customHeight="true">
      <c r="A827" s="33" t="str">
        <f t="shared" si="48"/>
        <v>CPI - Intercompany</v>
      </c>
      <c r="B827" s="33" t="str">
        <f t="shared" si="49"/>
        <v>CPI</v>
      </c>
      <c r="C827" s="33" t="str">
        <f t="shared" si="50"/>
        <v>11330-0000</v>
      </c>
      <c r="D827" t="s">
        <v>17237</v>
      </c>
      <c r="E827" t="s">
        <v>13242</v>
      </c>
      <c r="F827" t="s">
        <v>14039</v>
      </c>
      <c r="G827" t="s">
        <v>14672</v>
      </c>
      <c r="H827" t="s">
        <v>13869</v>
      </c>
      <c r="I827" t="s">
        <v>14690</v>
      </c>
      <c r="J827" s="62">
        <v>0</v>
      </c>
      <c r="K827" s="62">
        <v>0</v>
      </c>
      <c r="L827" t="str">
        <f>VLOOKUP(VALUE(LEFT(C827,5)),Xref!A:B,2,0)</f>
        <v>MAR</v>
      </c>
      <c r="M827" t="str">
        <f t="shared" si="51"/>
        <v>CPI-MAR</v>
      </c>
    </row>
    <row r="828" spans="1:13" ht="14.25" customHeight="true">
      <c r="A828" s="33" t="str">
        <f t="shared" si="48"/>
        <v>CPI - Intercompany</v>
      </c>
      <c r="B828" s="33" t="str">
        <f t="shared" si="49"/>
        <v>CPI</v>
      </c>
      <c r="C828" s="33" t="str">
        <f t="shared" si="50"/>
        <v>11331-0000</v>
      </c>
      <c r="D828" t="s">
        <v>17238</v>
      </c>
      <c r="E828" t="s">
        <v>13354</v>
      </c>
      <c r="F828" t="s">
        <v>14039</v>
      </c>
      <c r="G828" t="s">
        <v>14672</v>
      </c>
      <c r="H828" t="s">
        <v>13869</v>
      </c>
      <c r="I828" t="s">
        <v>14690</v>
      </c>
      <c r="J828" s="62">
        <v>0</v>
      </c>
      <c r="K828" s="62">
        <v>0</v>
      </c>
      <c r="L828" t="str">
        <f>VLOOKUP(VALUE(LEFT(C828,5)),Xref!A:B,2,0)</f>
        <v>WIL</v>
      </c>
      <c r="M828" t="str">
        <f t="shared" si="51"/>
        <v>CPI-WIL</v>
      </c>
    </row>
    <row r="829" spans="1:13" ht="14.25" customHeight="true">
      <c r="A829" s="33" t="str">
        <f t="shared" si="48"/>
        <v>CPI - Intercompany</v>
      </c>
      <c r="B829" s="33" t="str">
        <f t="shared" si="49"/>
        <v>CPI</v>
      </c>
      <c r="C829" s="33" t="str">
        <f t="shared" si="50"/>
        <v>11332-0000</v>
      </c>
      <c r="D829" t="s">
        <v>17239</v>
      </c>
      <c r="E829" t="s">
        <v>13243</v>
      </c>
      <c r="F829" t="s">
        <v>14039</v>
      </c>
      <c r="G829" t="s">
        <v>14672</v>
      </c>
      <c r="H829" t="s">
        <v>13869</v>
      </c>
      <c r="I829" t="s">
        <v>14690</v>
      </c>
      <c r="J829" s="62">
        <v>0</v>
      </c>
      <c r="K829" s="62">
        <v>0</v>
      </c>
      <c r="L829" t="str">
        <f>VLOOKUP(VALUE(LEFT(C829,5)),Xref!A:B,2,0)</f>
        <v>STO</v>
      </c>
      <c r="M829" t="str">
        <f t="shared" si="51"/>
        <v>CPI-STO</v>
      </c>
    </row>
    <row r="830" spans="1:13" ht="14.25" customHeight="true">
      <c r="A830" s="33" t="str">
        <f t="shared" si="48"/>
        <v>CPI - Intercompany</v>
      </c>
      <c r="B830" s="33" t="str">
        <f t="shared" si="49"/>
        <v>CPI</v>
      </c>
      <c r="C830" s="33" t="str">
        <f t="shared" si="50"/>
        <v>11333-0000</v>
      </c>
      <c r="D830" t="s">
        <v>17240</v>
      </c>
      <c r="E830" t="s">
        <v>13244</v>
      </c>
      <c r="F830" t="s">
        <v>14039</v>
      </c>
      <c r="G830" t="s">
        <v>14672</v>
      </c>
      <c r="H830" t="s">
        <v>13869</v>
      </c>
      <c r="I830" t="s">
        <v>14690</v>
      </c>
      <c r="J830" s="62">
        <v>0</v>
      </c>
      <c r="K830" s="62">
        <v>0</v>
      </c>
      <c r="L830" t="str">
        <f>VLOOKUP(VALUE(LEFT(C830,5)),Xref!A:B,2,0)</f>
        <v>ANG</v>
      </c>
      <c r="M830" t="str">
        <f t="shared" si="51"/>
        <v>ANG-CPI</v>
      </c>
    </row>
    <row r="831" spans="1:13" ht="14.25" customHeight="true">
      <c r="A831" s="33" t="str">
        <f t="shared" si="48"/>
        <v>CPI - Intercompany</v>
      </c>
      <c r="B831" s="33" t="str">
        <f t="shared" si="49"/>
        <v>CPI</v>
      </c>
      <c r="C831" s="33" t="str">
        <f t="shared" si="50"/>
        <v>11334-0000</v>
      </c>
      <c r="D831" t="s">
        <v>17241</v>
      </c>
      <c r="E831" t="s">
        <v>13245</v>
      </c>
      <c r="F831" t="s">
        <v>14039</v>
      </c>
      <c r="G831" t="s">
        <v>14672</v>
      </c>
      <c r="H831" t="s">
        <v>13869</v>
      </c>
      <c r="I831" t="s">
        <v>14690</v>
      </c>
      <c r="J831" s="62">
        <v>0</v>
      </c>
      <c r="K831" s="62">
        <v>0</v>
      </c>
      <c r="L831" t="str">
        <f>VLOOKUP(VALUE(LEFT(C831,5)),Xref!A:B,2,0)</f>
        <v>BRU</v>
      </c>
      <c r="M831" t="str">
        <f t="shared" si="51"/>
        <v>BRU-CPI</v>
      </c>
    </row>
    <row r="832" spans="1:13" ht="14.25" customHeight="true">
      <c r="A832" s="33" t="str">
        <f t="shared" si="48"/>
        <v>CPI - Intercompany</v>
      </c>
      <c r="B832" s="33" t="str">
        <f t="shared" si="49"/>
        <v>CPI</v>
      </c>
      <c r="C832" s="33" t="str">
        <f t="shared" si="50"/>
        <v>11335-0000</v>
      </c>
      <c r="D832" t="s">
        <v>17242</v>
      </c>
      <c r="E832" t="s">
        <v>13246</v>
      </c>
      <c r="F832" t="s">
        <v>14039</v>
      </c>
      <c r="G832" t="s">
        <v>14672</v>
      </c>
      <c r="H832" t="s">
        <v>13869</v>
      </c>
      <c r="I832" t="s">
        <v>14690</v>
      </c>
      <c r="J832" s="62">
        <v>0</v>
      </c>
      <c r="K832" s="62">
        <v>0</v>
      </c>
      <c r="L832" t="str">
        <f>VLOOKUP(VALUE(LEFT(C832,5)),Xref!A:B,2,0)</f>
        <v>VEN</v>
      </c>
      <c r="M832" t="str">
        <f t="shared" si="51"/>
        <v>CPI-VEN</v>
      </c>
    </row>
    <row r="833" spans="1:13" ht="14.25" customHeight="true">
      <c r="A833" s="33" t="str">
        <f t="shared" si="48"/>
        <v>CPI - Intercompany</v>
      </c>
      <c r="B833" s="33" t="str">
        <f t="shared" si="49"/>
        <v>CPI</v>
      </c>
      <c r="C833" s="33" t="str">
        <f t="shared" si="50"/>
        <v>11336-0000</v>
      </c>
      <c r="D833" t="s">
        <v>17243</v>
      </c>
      <c r="E833" t="s">
        <v>13247</v>
      </c>
      <c r="F833" t="s">
        <v>14039</v>
      </c>
      <c r="G833" t="s">
        <v>14672</v>
      </c>
      <c r="H833" t="s">
        <v>13869</v>
      </c>
      <c r="I833" t="s">
        <v>14690</v>
      </c>
      <c r="J833" s="62">
        <v>0</v>
      </c>
      <c r="K833" s="62">
        <v>0</v>
      </c>
      <c r="L833" t="str">
        <f>VLOOKUP(VALUE(LEFT(C833,5)),Xref!A:B,2,0)</f>
        <v>SAT</v>
      </c>
      <c r="M833" t="str">
        <f t="shared" si="51"/>
        <v>CPI-SAT</v>
      </c>
    </row>
    <row r="834" spans="1:13" ht="14.25" customHeight="true">
      <c r="A834" s="33" t="str">
        <f t="shared" ref="A834:A897" si="52">B834&amp;" - "&amp;TRIM(H834)</f>
        <v>CPI - Intercompany</v>
      </c>
      <c r="B834" s="33" t="str">
        <f t="shared" ref="B834:B897" si="53">LEFT(D834,3)</f>
        <v>CPI</v>
      </c>
      <c r="C834" s="33" t="str">
        <f t="shared" ref="C834:C897" si="54">RIGHT(D834,10)</f>
        <v>11337-0000</v>
      </c>
      <c r="D834" t="s">
        <v>17244</v>
      </c>
      <c r="E834" t="s">
        <v>13248</v>
      </c>
      <c r="F834" t="s">
        <v>14039</v>
      </c>
      <c r="G834" t="s">
        <v>14672</v>
      </c>
      <c r="H834" t="s">
        <v>13869</v>
      </c>
      <c r="I834" t="s">
        <v>14690</v>
      </c>
      <c r="J834" s="62">
        <v>0</v>
      </c>
      <c r="K834" s="62">
        <v>0</v>
      </c>
      <c r="L834" t="str">
        <f>VLOOKUP(VALUE(LEFT(C834,5)),Xref!A:B,2,0)</f>
        <v>NEP</v>
      </c>
      <c r="M834" t="str">
        <f t="shared" ref="M834:M897" si="55">IF(B834&lt;L834,B834&amp;"-"&amp;L834,L834&amp;"-"&amp;B834)</f>
        <v>CPI-NEP</v>
      </c>
    </row>
    <row r="835" spans="1:13" ht="14.25" customHeight="true">
      <c r="A835" s="33" t="str">
        <f t="shared" si="52"/>
        <v>CPI - Intercompany</v>
      </c>
      <c r="B835" s="33" t="str">
        <f t="shared" si="53"/>
        <v>CPI</v>
      </c>
      <c r="C835" s="33" t="str">
        <f t="shared" si="54"/>
        <v>11338-0000</v>
      </c>
      <c r="D835" t="s">
        <v>17245</v>
      </c>
      <c r="E835" t="s">
        <v>14131</v>
      </c>
      <c r="F835" t="s">
        <v>14039</v>
      </c>
      <c r="G835" t="s">
        <v>14672</v>
      </c>
      <c r="H835" t="s">
        <v>13869</v>
      </c>
      <c r="I835" t="s">
        <v>14690</v>
      </c>
      <c r="J835" s="62">
        <v>0</v>
      </c>
      <c r="K835" s="62">
        <v>0</v>
      </c>
      <c r="L835" t="str">
        <f>VLOOKUP(VALUE(LEFT(C835,5)),Xref!A:B,2,0)</f>
        <v>JUP</v>
      </c>
      <c r="M835" t="str">
        <f t="shared" si="55"/>
        <v>CPI-JUP</v>
      </c>
    </row>
    <row r="836" spans="1:13" ht="14.25" customHeight="true">
      <c r="A836" s="33" t="str">
        <f t="shared" si="52"/>
        <v>CPI - Intercompany</v>
      </c>
      <c r="B836" s="33" t="str">
        <f t="shared" si="53"/>
        <v>CPI</v>
      </c>
      <c r="C836" s="33" t="str">
        <f t="shared" si="54"/>
        <v>11339-0000</v>
      </c>
      <c r="D836" t="s">
        <v>17246</v>
      </c>
      <c r="E836" t="s">
        <v>14133</v>
      </c>
      <c r="F836" t="s">
        <v>14039</v>
      </c>
      <c r="G836" t="s">
        <v>14672</v>
      </c>
      <c r="H836" t="s">
        <v>13869</v>
      </c>
      <c r="I836" t="s">
        <v>14690</v>
      </c>
      <c r="J836" s="62">
        <v>0</v>
      </c>
      <c r="K836" s="62">
        <v>0</v>
      </c>
      <c r="L836" t="str">
        <f>VLOOKUP(VALUE(LEFT(C836,5)),Xref!A:B,2,0)</f>
        <v>WES</v>
      </c>
      <c r="M836" t="str">
        <f t="shared" si="55"/>
        <v>CPI-WES</v>
      </c>
    </row>
    <row r="837" spans="1:13" ht="14.25" customHeight="true">
      <c r="A837" s="33" t="str">
        <f t="shared" si="52"/>
        <v>CPI - Intercompany</v>
      </c>
      <c r="B837" s="33" t="str">
        <f t="shared" si="53"/>
        <v>CPI</v>
      </c>
      <c r="C837" s="33" t="str">
        <f t="shared" si="54"/>
        <v>11340-0000</v>
      </c>
      <c r="D837" t="s">
        <v>17247</v>
      </c>
      <c r="E837" t="s">
        <v>14135</v>
      </c>
      <c r="F837" t="s">
        <v>14039</v>
      </c>
      <c r="G837" t="s">
        <v>14672</v>
      </c>
      <c r="H837" t="s">
        <v>13869</v>
      </c>
      <c r="I837" t="s">
        <v>14690</v>
      </c>
      <c r="J837" s="62">
        <v>0</v>
      </c>
      <c r="K837" s="62">
        <v>0</v>
      </c>
      <c r="L837" t="str">
        <f>VLOOKUP(VALUE(LEFT(C837,5)),Xref!A:B,2,0)</f>
        <v>LCP</v>
      </c>
      <c r="M837" t="str">
        <f t="shared" si="55"/>
        <v>CPI-LCP</v>
      </c>
    </row>
    <row r="838" spans="1:13" ht="14.25" customHeight="true">
      <c r="A838" s="33" t="str">
        <f t="shared" si="52"/>
        <v>CPI - Intercompany</v>
      </c>
      <c r="B838" s="33" t="str">
        <f t="shared" si="53"/>
        <v>CPI</v>
      </c>
      <c r="C838" s="33" t="str">
        <f t="shared" si="54"/>
        <v>11341-0000</v>
      </c>
      <c r="D838" t="s">
        <v>17248</v>
      </c>
      <c r="E838" t="s">
        <v>13639</v>
      </c>
      <c r="F838" t="s">
        <v>14039</v>
      </c>
      <c r="G838" t="s">
        <v>14672</v>
      </c>
      <c r="H838" t="s">
        <v>13869</v>
      </c>
      <c r="I838" t="s">
        <v>14690</v>
      </c>
      <c r="J838" s="62">
        <v>0</v>
      </c>
      <c r="K838" s="62">
        <v>0</v>
      </c>
      <c r="L838" t="str">
        <f>VLOOKUP(VALUE(LEFT(C838,5)),Xref!A:B,2,0)</f>
        <v>NOR</v>
      </c>
      <c r="M838" t="str">
        <f t="shared" si="55"/>
        <v>CPI-NOR</v>
      </c>
    </row>
    <row r="839" spans="1:13" ht="14.25" customHeight="true">
      <c r="A839" s="33" t="str">
        <f t="shared" si="52"/>
        <v>CPI - Intercompany</v>
      </c>
      <c r="B839" s="33" t="str">
        <f t="shared" si="53"/>
        <v>CPI</v>
      </c>
      <c r="C839" s="33" t="str">
        <f t="shared" si="54"/>
        <v>11342-0000</v>
      </c>
      <c r="D839" t="s">
        <v>17249</v>
      </c>
      <c r="E839" t="s">
        <v>13355</v>
      </c>
      <c r="F839" t="s">
        <v>14039</v>
      </c>
      <c r="G839" t="s">
        <v>14672</v>
      </c>
      <c r="H839" t="s">
        <v>13869</v>
      </c>
      <c r="I839" t="s">
        <v>14690</v>
      </c>
      <c r="J839" s="62">
        <v>0</v>
      </c>
      <c r="K839" s="62">
        <v>0</v>
      </c>
      <c r="L839" t="str">
        <f>VLOOKUP(VALUE(LEFT(C839,5)),Xref!A:B,2,0)</f>
        <v>EAS</v>
      </c>
      <c r="M839" t="str">
        <f t="shared" si="55"/>
        <v>CPI-EAS</v>
      </c>
    </row>
    <row r="840" spans="1:13" ht="14.25" customHeight="true">
      <c r="A840" s="33" t="str">
        <f t="shared" si="52"/>
        <v>CPI - Intercompany</v>
      </c>
      <c r="B840" s="33" t="str">
        <f t="shared" si="53"/>
        <v>CPI</v>
      </c>
      <c r="C840" s="33" t="str">
        <f t="shared" si="54"/>
        <v>11343-0000</v>
      </c>
      <c r="D840" t="s">
        <v>17250</v>
      </c>
      <c r="E840" t="s">
        <v>14139</v>
      </c>
      <c r="F840" t="s">
        <v>14039</v>
      </c>
      <c r="G840" t="s">
        <v>14672</v>
      </c>
      <c r="H840" t="s">
        <v>13869</v>
      </c>
      <c r="I840" t="s">
        <v>14690</v>
      </c>
      <c r="J840" s="62">
        <v>0</v>
      </c>
      <c r="K840" s="62">
        <v>0</v>
      </c>
      <c r="L840" t="str">
        <f>VLOOKUP(VALUE(LEFT(C840,5)),Xref!A:B,2,0)</f>
        <v>GRA</v>
      </c>
      <c r="M840" t="str">
        <f t="shared" si="55"/>
        <v>CPI-GRA</v>
      </c>
    </row>
    <row r="841" spans="1:13" ht="14.25" customHeight="true">
      <c r="A841" s="33" t="str">
        <f t="shared" si="52"/>
        <v>CPI - Intercompany</v>
      </c>
      <c r="B841" s="33" t="str">
        <f t="shared" si="53"/>
        <v>CPI</v>
      </c>
      <c r="C841" s="33" t="str">
        <f t="shared" si="54"/>
        <v>11344-0000</v>
      </c>
      <c r="D841" t="s">
        <v>17251</v>
      </c>
      <c r="E841" t="s">
        <v>14141</v>
      </c>
      <c r="F841" t="s">
        <v>14039</v>
      </c>
      <c r="G841" t="s">
        <v>14672</v>
      </c>
      <c r="H841" t="s">
        <v>13869</v>
      </c>
      <c r="I841" t="s">
        <v>14690</v>
      </c>
      <c r="J841" s="62">
        <v>0</v>
      </c>
      <c r="K841" s="62">
        <v>0</v>
      </c>
      <c r="L841" t="str">
        <f>VLOOKUP(VALUE(LEFT(C841,5)),Xref!A:B,2,0)</f>
        <v>SOU</v>
      </c>
      <c r="M841" t="str">
        <f t="shared" si="55"/>
        <v>CPI-SOU</v>
      </c>
    </row>
    <row r="842" spans="1:13" ht="14.25" customHeight="true">
      <c r="A842" s="33" t="str">
        <f t="shared" si="52"/>
        <v>CPI - Intercompany</v>
      </c>
      <c r="B842" s="33" t="str">
        <f t="shared" si="53"/>
        <v>CPI</v>
      </c>
      <c r="C842" s="33" t="str">
        <f t="shared" si="54"/>
        <v>11345-0000</v>
      </c>
      <c r="D842" t="s">
        <v>17252</v>
      </c>
      <c r="E842" t="s">
        <v>14143</v>
      </c>
      <c r="F842" t="s">
        <v>14039</v>
      </c>
      <c r="G842" t="s">
        <v>14672</v>
      </c>
      <c r="H842" t="s">
        <v>13869</v>
      </c>
      <c r="I842" t="s">
        <v>14690</v>
      </c>
      <c r="J842" s="62">
        <v>0</v>
      </c>
      <c r="K842" s="62">
        <v>0</v>
      </c>
      <c r="L842" t="str">
        <f>VLOOKUP(VALUE(LEFT(C842,5)),Xref!A:B,2,0)</f>
        <v>API</v>
      </c>
      <c r="M842" t="str">
        <f t="shared" si="55"/>
        <v>API-CPI</v>
      </c>
    </row>
    <row r="843" spans="1:13" ht="14.25" customHeight="true">
      <c r="A843" s="33" t="str">
        <f t="shared" si="52"/>
        <v>CPI - Intercompany</v>
      </c>
      <c r="B843" s="33" t="str">
        <f t="shared" si="53"/>
        <v>CPI</v>
      </c>
      <c r="C843" s="33" t="str">
        <f t="shared" si="54"/>
        <v>11346-0000</v>
      </c>
      <c r="D843" t="s">
        <v>17253</v>
      </c>
      <c r="E843" t="s">
        <v>14145</v>
      </c>
      <c r="F843" t="s">
        <v>14039</v>
      </c>
      <c r="G843" t="s">
        <v>14672</v>
      </c>
      <c r="H843" t="s">
        <v>13869</v>
      </c>
      <c r="I843" t="s">
        <v>14690</v>
      </c>
      <c r="J843" s="62">
        <v>0</v>
      </c>
      <c r="K843" s="62">
        <v>0</v>
      </c>
      <c r="L843" t="str">
        <f>VLOOKUP(VALUE(LEFT(C843,5)),Xref!A:B,2,0)</f>
        <v>DPH</v>
      </c>
      <c r="M843" t="str">
        <f t="shared" si="55"/>
        <v>CPI-DPH</v>
      </c>
    </row>
    <row r="844" spans="1:13" ht="14.25" customHeight="true">
      <c r="A844" s="33" t="str">
        <f t="shared" si="52"/>
        <v>CPI - Intercompany</v>
      </c>
      <c r="B844" s="33" t="str">
        <f t="shared" si="53"/>
        <v>CPI</v>
      </c>
      <c r="C844" s="33" t="str">
        <f t="shared" si="54"/>
        <v>11347-0000</v>
      </c>
      <c r="D844" t="s">
        <v>17254</v>
      </c>
      <c r="E844" t="s">
        <v>14147</v>
      </c>
      <c r="F844" t="s">
        <v>14039</v>
      </c>
      <c r="G844" t="s">
        <v>14672</v>
      </c>
      <c r="H844" t="s">
        <v>13869</v>
      </c>
      <c r="I844" t="s">
        <v>14690</v>
      </c>
      <c r="J844" s="62">
        <v>0</v>
      </c>
      <c r="K844" s="62">
        <v>0</v>
      </c>
      <c r="L844" t="str">
        <f>VLOOKUP(VALUE(LEFT(C844,5)),Xref!A:B,2,0)</f>
        <v>ZPI</v>
      </c>
      <c r="M844" t="str">
        <f t="shared" si="55"/>
        <v>CPI-ZPI</v>
      </c>
    </row>
    <row r="845" spans="1:13" ht="14.25" customHeight="true">
      <c r="A845" s="33" t="str">
        <f t="shared" si="52"/>
        <v>CPI - Intercompany</v>
      </c>
      <c r="B845" s="33" t="str">
        <f t="shared" si="53"/>
        <v>CPI</v>
      </c>
      <c r="C845" s="33" t="str">
        <f t="shared" si="54"/>
        <v>11348-0000</v>
      </c>
      <c r="D845" t="s">
        <v>17255</v>
      </c>
      <c r="E845" t="s">
        <v>14149</v>
      </c>
      <c r="F845" t="s">
        <v>14039</v>
      </c>
      <c r="G845" t="s">
        <v>14672</v>
      </c>
      <c r="H845" t="s">
        <v>13869</v>
      </c>
      <c r="I845" t="s">
        <v>14690</v>
      </c>
      <c r="J845" s="62">
        <v>0</v>
      </c>
      <c r="K845" s="62">
        <v>0</v>
      </c>
      <c r="L845" t="str">
        <f>VLOOKUP(VALUE(LEFT(C845,5)),Xref!A:B,2,0)</f>
        <v>EAM</v>
      </c>
      <c r="M845" t="str">
        <f t="shared" si="55"/>
        <v>CPI-EAM</v>
      </c>
    </row>
    <row r="846" spans="1:13" ht="14.25" customHeight="true">
      <c r="A846" s="33" t="str">
        <f t="shared" si="52"/>
        <v>CPI - Intercompany</v>
      </c>
      <c r="B846" s="33" t="str">
        <f t="shared" si="53"/>
        <v>CPI</v>
      </c>
      <c r="C846" s="33" t="str">
        <f t="shared" si="54"/>
        <v>11349-0000</v>
      </c>
      <c r="D846" t="s">
        <v>17256</v>
      </c>
      <c r="E846" t="s">
        <v>14151</v>
      </c>
      <c r="F846" t="s">
        <v>14039</v>
      </c>
      <c r="G846" t="s">
        <v>14672</v>
      </c>
      <c r="H846" t="s">
        <v>13869</v>
      </c>
      <c r="I846" t="s">
        <v>14690</v>
      </c>
      <c r="J846" s="62">
        <v>0</v>
      </c>
      <c r="K846" s="62">
        <v>0</v>
      </c>
      <c r="L846" t="str">
        <f>VLOOKUP(VALUE(LEFT(C846,5)),Xref!A:B,2,0)</f>
        <v>SEA</v>
      </c>
      <c r="M846" t="str">
        <f t="shared" si="55"/>
        <v>CPI-SEA</v>
      </c>
    </row>
    <row r="847" spans="1:13" ht="14.25" customHeight="true">
      <c r="A847" s="33" t="str">
        <f t="shared" si="52"/>
        <v>CPI - Intercompany</v>
      </c>
      <c r="B847" s="33" t="str">
        <f t="shared" si="53"/>
        <v>CPI</v>
      </c>
      <c r="C847" s="33" t="str">
        <f t="shared" si="54"/>
        <v>11350-0000</v>
      </c>
      <c r="D847" t="s">
        <v>17257</v>
      </c>
      <c r="E847" t="s">
        <v>14153</v>
      </c>
      <c r="F847" t="s">
        <v>14039</v>
      </c>
      <c r="G847" t="s">
        <v>14672</v>
      </c>
      <c r="H847" t="s">
        <v>13869</v>
      </c>
      <c r="I847" t="s">
        <v>14690</v>
      </c>
      <c r="J847" s="62">
        <v>0</v>
      </c>
      <c r="K847" s="62">
        <v>-12.3</v>
      </c>
      <c r="L847" t="str">
        <f>VLOOKUP(VALUE(LEFT(C847,5)),Xref!A:B,2,0)</f>
        <v>EAL</v>
      </c>
      <c r="M847" t="str">
        <f t="shared" si="55"/>
        <v>CPI-EAL</v>
      </c>
    </row>
    <row r="848" spans="1:13" ht="14.25" customHeight="true">
      <c r="A848" s="33" t="str">
        <f t="shared" si="52"/>
        <v>CPI - Intercompany</v>
      </c>
      <c r="B848" s="33" t="str">
        <f t="shared" si="53"/>
        <v>CPI</v>
      </c>
      <c r="C848" s="33" t="str">
        <f t="shared" si="54"/>
        <v>11351-0000</v>
      </c>
      <c r="D848" t="s">
        <v>17258</v>
      </c>
      <c r="E848" t="s">
        <v>14155</v>
      </c>
      <c r="F848" t="s">
        <v>14039</v>
      </c>
      <c r="G848" t="s">
        <v>14672</v>
      </c>
      <c r="H848" t="s">
        <v>13869</v>
      </c>
      <c r="I848" t="s">
        <v>14690</v>
      </c>
      <c r="J848" s="62">
        <v>0</v>
      </c>
      <c r="K848" s="62">
        <v>0</v>
      </c>
      <c r="L848" t="str">
        <f>VLOOKUP(VALUE(LEFT(C848,5)),Xref!A:B,2,0)</f>
        <v>WEP</v>
      </c>
      <c r="M848" t="str">
        <f t="shared" si="55"/>
        <v>CPI-WEP</v>
      </c>
    </row>
    <row r="849" spans="1:13" ht="14.25" customHeight="true">
      <c r="A849" s="33" t="str">
        <f t="shared" si="52"/>
        <v>CPI - Intercompany</v>
      </c>
      <c r="B849" s="33" t="str">
        <f t="shared" si="53"/>
        <v>CPI</v>
      </c>
      <c r="C849" s="33" t="str">
        <f t="shared" si="54"/>
        <v>11352-0000</v>
      </c>
      <c r="D849" t="s">
        <v>17259</v>
      </c>
      <c r="E849" t="s">
        <v>13536</v>
      </c>
      <c r="F849" t="s">
        <v>14039</v>
      </c>
      <c r="G849" t="s">
        <v>14672</v>
      </c>
      <c r="H849" t="s">
        <v>13869</v>
      </c>
      <c r="I849" t="s">
        <v>14690</v>
      </c>
      <c r="J849" s="62">
        <v>0</v>
      </c>
      <c r="K849" s="62">
        <v>0</v>
      </c>
      <c r="L849" t="str">
        <f>VLOOKUP(VALUE(LEFT(C849,5)),Xref!A:B,2,0)</f>
        <v>KLP</v>
      </c>
      <c r="M849" t="str">
        <f t="shared" si="55"/>
        <v>CPI-KLP</v>
      </c>
    </row>
    <row r="850" spans="1:13" ht="14.25" customHeight="true">
      <c r="A850" s="33" t="str">
        <f t="shared" si="52"/>
        <v>CPI - Intercompany</v>
      </c>
      <c r="B850" s="33" t="str">
        <f t="shared" si="53"/>
        <v>CPI</v>
      </c>
      <c r="C850" s="33" t="str">
        <f t="shared" si="54"/>
        <v>11353-0000</v>
      </c>
      <c r="D850" t="s">
        <v>17260</v>
      </c>
      <c r="E850" t="s">
        <v>13537</v>
      </c>
      <c r="F850" t="s">
        <v>14039</v>
      </c>
      <c r="G850" t="s">
        <v>14672</v>
      </c>
      <c r="H850" t="s">
        <v>13869</v>
      </c>
      <c r="I850" t="s">
        <v>14690</v>
      </c>
      <c r="J850" s="62">
        <v>0</v>
      </c>
      <c r="K850" s="62">
        <v>0</v>
      </c>
      <c r="L850" t="str">
        <f>VLOOKUP(VALUE(LEFT(C850,5)),Xref!A:B,2,0)</f>
        <v>AKC</v>
      </c>
      <c r="M850" t="str">
        <f t="shared" si="55"/>
        <v>AKC-CPI</v>
      </c>
    </row>
    <row r="851" spans="1:13" ht="14.25" customHeight="true">
      <c r="A851" s="33" t="str">
        <f t="shared" si="52"/>
        <v>CPI - Intercompany</v>
      </c>
      <c r="B851" s="33" t="str">
        <f t="shared" si="53"/>
        <v>CPI</v>
      </c>
      <c r="C851" s="33" t="str">
        <f t="shared" si="54"/>
        <v>11354-0000</v>
      </c>
      <c r="D851" t="s">
        <v>17261</v>
      </c>
      <c r="E851" t="s">
        <v>13538</v>
      </c>
      <c r="F851" t="s">
        <v>14039</v>
      </c>
      <c r="G851" t="s">
        <v>14672</v>
      </c>
      <c r="H851" t="s">
        <v>13869</v>
      </c>
      <c r="I851" t="s">
        <v>14690</v>
      </c>
      <c r="J851" s="62">
        <v>0</v>
      </c>
      <c r="K851" s="62">
        <v>0</v>
      </c>
      <c r="L851" t="str">
        <f>VLOOKUP(VALUE(LEFT(C851,5)),Xref!A:B,2,0)</f>
        <v>AKA</v>
      </c>
      <c r="M851" t="str">
        <f t="shared" si="55"/>
        <v>AKA-CPI</v>
      </c>
    </row>
    <row r="852" spans="1:13" ht="14.25" customHeight="true">
      <c r="A852" s="33" t="str">
        <f t="shared" si="52"/>
        <v>CPI - Intercompany</v>
      </c>
      <c r="B852" s="33" t="str">
        <f t="shared" si="53"/>
        <v>CPI</v>
      </c>
      <c r="C852" s="33" t="str">
        <f t="shared" si="54"/>
        <v>11355-0000</v>
      </c>
      <c r="D852" t="s">
        <v>17262</v>
      </c>
      <c r="E852" t="s">
        <v>13539</v>
      </c>
      <c r="F852" t="s">
        <v>14039</v>
      </c>
      <c r="G852" t="s">
        <v>14672</v>
      </c>
      <c r="H852" t="s">
        <v>13869</v>
      </c>
      <c r="I852" t="s">
        <v>14690</v>
      </c>
      <c r="J852" s="62">
        <v>0</v>
      </c>
      <c r="K852" s="62">
        <v>0</v>
      </c>
      <c r="L852" t="str">
        <f>VLOOKUP(VALUE(LEFT(C852,5)),Xref!A:B,2,0)</f>
        <v>SPA</v>
      </c>
      <c r="M852" t="str">
        <f t="shared" si="55"/>
        <v>CPI-SPA</v>
      </c>
    </row>
    <row r="853" spans="1:13" ht="14.25" customHeight="true">
      <c r="A853" s="33" t="str">
        <f t="shared" si="52"/>
        <v>CPI - Intercompany</v>
      </c>
      <c r="B853" s="33" t="str">
        <f t="shared" si="53"/>
        <v>CPI</v>
      </c>
      <c r="C853" s="33" t="str">
        <f t="shared" si="54"/>
        <v>11356-0000</v>
      </c>
      <c r="D853" t="s">
        <v>17263</v>
      </c>
      <c r="E853" t="s">
        <v>13540</v>
      </c>
      <c r="F853" t="s">
        <v>14039</v>
      </c>
      <c r="G853" t="s">
        <v>14672</v>
      </c>
      <c r="H853" t="s">
        <v>13869</v>
      </c>
      <c r="I853" t="s">
        <v>14690</v>
      </c>
      <c r="J853" s="62">
        <v>0</v>
      </c>
      <c r="K853" s="62">
        <v>0</v>
      </c>
      <c r="L853" t="str">
        <f>VLOOKUP(VALUE(LEFT(C853,5)),Xref!A:B,2,0)</f>
        <v>DPM</v>
      </c>
      <c r="M853" t="str">
        <f t="shared" si="55"/>
        <v>CPI-DPM</v>
      </c>
    </row>
    <row r="854" spans="1:13" ht="14.25" customHeight="true">
      <c r="A854" s="33" t="str">
        <f t="shared" si="52"/>
        <v>CPI - Intercompany</v>
      </c>
      <c r="B854" s="33" t="str">
        <f t="shared" si="53"/>
        <v>CPI</v>
      </c>
      <c r="C854" s="33" t="str">
        <f t="shared" si="54"/>
        <v>11357-0000</v>
      </c>
      <c r="D854" t="s">
        <v>17264</v>
      </c>
      <c r="E854" t="s">
        <v>13541</v>
      </c>
      <c r="F854" t="s">
        <v>14039</v>
      </c>
      <c r="G854" t="s">
        <v>14672</v>
      </c>
      <c r="H854" t="s">
        <v>13869</v>
      </c>
      <c r="I854" t="s">
        <v>14690</v>
      </c>
      <c r="J854" s="62">
        <v>0</v>
      </c>
      <c r="K854" s="62">
        <v>0</v>
      </c>
      <c r="L854" t="str">
        <f>VLOOKUP(VALUE(LEFT(C854,5)),Xref!A:B,2,0)</f>
        <v>HDM</v>
      </c>
      <c r="M854" t="str">
        <f t="shared" si="55"/>
        <v>CPI-HDM</v>
      </c>
    </row>
    <row r="855" spans="1:13" ht="14.25" customHeight="true">
      <c r="A855" s="33" t="str">
        <f t="shared" si="52"/>
        <v>CPI - Intercompany</v>
      </c>
      <c r="B855" s="33" t="str">
        <f t="shared" si="53"/>
        <v>CPI</v>
      </c>
      <c r="C855" s="33" t="str">
        <f t="shared" si="54"/>
        <v>11358-0000</v>
      </c>
      <c r="D855" t="s">
        <v>17265</v>
      </c>
      <c r="E855" t="s">
        <v>13542</v>
      </c>
      <c r="F855" t="s">
        <v>14039</v>
      </c>
      <c r="G855" t="s">
        <v>14672</v>
      </c>
      <c r="H855" t="s">
        <v>13869</v>
      </c>
      <c r="I855" t="s">
        <v>14690</v>
      </c>
      <c r="J855" s="62">
        <v>0</v>
      </c>
      <c r="K855" s="62">
        <v>0</v>
      </c>
      <c r="L855" t="str">
        <f>VLOOKUP(VALUE(LEFT(C855,5)),Xref!A:B,2,0)</f>
        <v>GRA</v>
      </c>
      <c r="M855" t="str">
        <f t="shared" si="55"/>
        <v>CPI-GRA</v>
      </c>
    </row>
    <row r="856" spans="1:13" ht="14.25" customHeight="true">
      <c r="A856" s="33" t="str">
        <f t="shared" si="52"/>
        <v>CPI - Intercompany</v>
      </c>
      <c r="B856" s="33" t="str">
        <f t="shared" si="53"/>
        <v>CPI</v>
      </c>
      <c r="C856" s="33" t="str">
        <f t="shared" si="54"/>
        <v>11359-0000</v>
      </c>
      <c r="D856" t="s">
        <v>17266</v>
      </c>
      <c r="E856" t="s">
        <v>13543</v>
      </c>
      <c r="F856" t="s">
        <v>14039</v>
      </c>
      <c r="G856" t="s">
        <v>14672</v>
      </c>
      <c r="H856" t="s">
        <v>13869</v>
      </c>
      <c r="I856" t="s">
        <v>14690</v>
      </c>
      <c r="J856" s="62">
        <v>0</v>
      </c>
      <c r="K856" s="62">
        <v>0</v>
      </c>
      <c r="L856" t="str">
        <f>VLOOKUP(VALUE(LEFT(C856,5)),Xref!A:B,2,0)</f>
        <v>TPI</v>
      </c>
      <c r="M856" t="str">
        <f t="shared" si="55"/>
        <v>CPI-TPI</v>
      </c>
    </row>
    <row r="857" spans="1:13" ht="14.25" customHeight="true">
      <c r="A857" s="33" t="str">
        <f t="shared" si="52"/>
        <v>CPI - Intercompany</v>
      </c>
      <c r="B857" s="33" t="str">
        <f t="shared" si="53"/>
        <v>CPI</v>
      </c>
      <c r="C857" s="33" t="str">
        <f t="shared" si="54"/>
        <v>11361-0000</v>
      </c>
      <c r="D857" t="s">
        <v>17267</v>
      </c>
      <c r="E857" t="s">
        <v>14165</v>
      </c>
      <c r="F857" t="s">
        <v>14039</v>
      </c>
      <c r="G857" t="s">
        <v>14672</v>
      </c>
      <c r="H857" t="s">
        <v>13869</v>
      </c>
      <c r="I857" t="s">
        <v>14690</v>
      </c>
      <c r="J857" s="62">
        <v>0</v>
      </c>
      <c r="K857" s="62">
        <v>0</v>
      </c>
      <c r="L857" t="str">
        <f>VLOOKUP(VALUE(LEFT(C857,5)),Xref!A:B,2,0)</f>
        <v>GSM</v>
      </c>
      <c r="M857" t="str">
        <f t="shared" si="55"/>
        <v>CPI-GSM</v>
      </c>
    </row>
    <row r="858" spans="1:13" ht="14.25" customHeight="true">
      <c r="A858" s="33" t="str">
        <f t="shared" si="52"/>
        <v>CPI - Intercompany</v>
      </c>
      <c r="B858" s="33" t="str">
        <f t="shared" si="53"/>
        <v>CPI</v>
      </c>
      <c r="C858" s="33" t="str">
        <f t="shared" si="54"/>
        <v>11363-0000</v>
      </c>
      <c r="D858" t="s">
        <v>17268</v>
      </c>
      <c r="E858" t="s">
        <v>13544</v>
      </c>
      <c r="F858" t="s">
        <v>14039</v>
      </c>
      <c r="G858" t="s">
        <v>14672</v>
      </c>
      <c r="H858" t="s">
        <v>13869</v>
      </c>
      <c r="I858" t="s">
        <v>14690</v>
      </c>
      <c r="J858" s="62">
        <v>0</v>
      </c>
      <c r="K858" s="62">
        <v>0</v>
      </c>
      <c r="L858" t="str">
        <f>VLOOKUP(VALUE(LEFT(C858,5)),Xref!A:B,2,0)</f>
        <v>SOF</v>
      </c>
      <c r="M858" t="str">
        <f t="shared" si="55"/>
        <v>CPI-SOF</v>
      </c>
    </row>
    <row r="859" spans="1:13" ht="14.25" customHeight="true">
      <c r="A859" s="33" t="str">
        <f t="shared" si="52"/>
        <v>CPI - Intercompany</v>
      </c>
      <c r="B859" s="33" t="str">
        <f t="shared" si="53"/>
        <v>CPI</v>
      </c>
      <c r="C859" s="33" t="str">
        <f t="shared" si="54"/>
        <v>11364-0000</v>
      </c>
      <c r="D859" t="s">
        <v>17269</v>
      </c>
      <c r="E859" t="s">
        <v>14168</v>
      </c>
      <c r="F859" t="s">
        <v>14039</v>
      </c>
      <c r="G859" t="s">
        <v>14672</v>
      </c>
      <c r="H859" t="s">
        <v>13869</v>
      </c>
      <c r="I859" t="s">
        <v>14690</v>
      </c>
      <c r="J859" s="62">
        <v>0</v>
      </c>
      <c r="K859" s="62">
        <v>0</v>
      </c>
      <c r="L859" t="e">
        <f>VLOOKUP(VALUE(LEFT(C859,5)),Xref!A:B,2,0)</f>
        <v>#N/A</v>
      </c>
      <c r="M859" t="e">
        <f t="shared" si="55"/>
        <v>#N/A</v>
      </c>
    </row>
    <row r="860" spans="1:13" ht="14.25" customHeight="true">
      <c r="A860" s="33" t="str">
        <f t="shared" si="52"/>
        <v>CPI - Intercompany</v>
      </c>
      <c r="B860" s="33" t="str">
        <f t="shared" si="53"/>
        <v>CPI</v>
      </c>
      <c r="C860" s="33" t="str">
        <f t="shared" si="54"/>
        <v>11365-0000</v>
      </c>
      <c r="D860" t="s">
        <v>17270</v>
      </c>
      <c r="E860" t="s">
        <v>14170</v>
      </c>
      <c r="F860" t="s">
        <v>14039</v>
      </c>
      <c r="G860" t="s">
        <v>14672</v>
      </c>
      <c r="H860" t="s">
        <v>13869</v>
      </c>
      <c r="I860" t="s">
        <v>14690</v>
      </c>
      <c r="J860" s="62">
        <v>0</v>
      </c>
      <c r="K860" s="62">
        <v>0</v>
      </c>
      <c r="L860" t="e">
        <f>VLOOKUP(VALUE(LEFT(C860,5)),Xref!A:B,2,0)</f>
        <v>#N/A</v>
      </c>
      <c r="M860" t="e">
        <f t="shared" si="55"/>
        <v>#N/A</v>
      </c>
    </row>
    <row r="861" spans="1:13" ht="14.25" customHeight="true">
      <c r="A861" s="33" t="str">
        <f t="shared" si="52"/>
        <v>CPI - Intercompany</v>
      </c>
      <c r="B861" s="33" t="str">
        <f t="shared" si="53"/>
        <v>CPI</v>
      </c>
      <c r="C861" s="33" t="str">
        <f t="shared" si="54"/>
        <v>11366-0000</v>
      </c>
      <c r="D861" t="s">
        <v>17271</v>
      </c>
      <c r="E861" t="s">
        <v>14172</v>
      </c>
      <c r="G861" t="s">
        <v>14672</v>
      </c>
      <c r="H861" t="s">
        <v>13869</v>
      </c>
      <c r="I861" t="s">
        <v>14690</v>
      </c>
      <c r="J861" s="62">
        <v>0</v>
      </c>
      <c r="K861" s="62">
        <v>0</v>
      </c>
      <c r="L861" t="e">
        <f>VLOOKUP(VALUE(LEFT(C861,5)),Xref!A:B,2,0)</f>
        <v>#N/A</v>
      </c>
      <c r="M861" t="e">
        <f t="shared" si="55"/>
        <v>#N/A</v>
      </c>
    </row>
    <row r="862" spans="1:13" ht="14.25" customHeight="true">
      <c r="A862" s="33" t="str">
        <f t="shared" si="52"/>
        <v>CPI - Intercompany</v>
      </c>
      <c r="B862" s="33" t="str">
        <f t="shared" si="53"/>
        <v>CPI</v>
      </c>
      <c r="C862" s="33" t="str">
        <f t="shared" si="54"/>
        <v>11402-0000</v>
      </c>
      <c r="D862" t="s">
        <v>17272</v>
      </c>
      <c r="E862" t="s">
        <v>14174</v>
      </c>
      <c r="G862" t="s">
        <v>14672</v>
      </c>
      <c r="H862" t="s">
        <v>13869</v>
      </c>
      <c r="I862" t="s">
        <v>14690</v>
      </c>
      <c r="J862" s="62">
        <v>0</v>
      </c>
      <c r="K862" s="62">
        <v>0</v>
      </c>
      <c r="L862" t="str">
        <f>VLOOKUP(VALUE(LEFT(C862,5)),Xref!A:B,2,0)</f>
        <v>DPI</v>
      </c>
      <c r="M862" t="str">
        <f t="shared" si="55"/>
        <v>CPI-DPI</v>
      </c>
    </row>
    <row r="863" spans="1:13" ht="14.25" customHeight="true">
      <c r="A863" s="33" t="str">
        <f t="shared" si="52"/>
        <v>CPI - Intercompany</v>
      </c>
      <c r="B863" s="33" t="str">
        <f t="shared" si="53"/>
        <v>CPI</v>
      </c>
      <c r="C863" s="33" t="str">
        <f t="shared" si="54"/>
        <v>11403-0000</v>
      </c>
      <c r="D863" t="s">
        <v>17273</v>
      </c>
      <c r="E863" t="s">
        <v>14176</v>
      </c>
      <c r="G863" t="s">
        <v>14672</v>
      </c>
      <c r="H863" t="s">
        <v>13869</v>
      </c>
      <c r="I863" t="s">
        <v>14690</v>
      </c>
      <c r="J863" s="62">
        <v>0</v>
      </c>
      <c r="K863" s="62">
        <v>0</v>
      </c>
      <c r="L863" t="str">
        <f>VLOOKUP(VALUE(LEFT(C863,5)),Xref!A:B,2,0)</f>
        <v>SEA</v>
      </c>
      <c r="M863" t="str">
        <f t="shared" si="55"/>
        <v>CPI-SEA</v>
      </c>
    </row>
    <row r="864" spans="1:13" ht="14.25" customHeight="true">
      <c r="A864" s="33" t="str">
        <f t="shared" si="52"/>
        <v>CPI - Intercompany</v>
      </c>
      <c r="B864" s="33" t="str">
        <f t="shared" si="53"/>
        <v>CPI</v>
      </c>
      <c r="C864" s="33" t="str">
        <f t="shared" si="54"/>
        <v>12400-0000</v>
      </c>
      <c r="D864" t="s">
        <v>17276</v>
      </c>
      <c r="E864" t="s">
        <v>14185</v>
      </c>
      <c r="F864" t="s">
        <v>14039</v>
      </c>
      <c r="G864" t="s">
        <v>14672</v>
      </c>
      <c r="H864" t="s">
        <v>13869</v>
      </c>
      <c r="I864" t="s">
        <v>14690</v>
      </c>
      <c r="J864" s="62">
        <v>0</v>
      </c>
      <c r="K864" s="62">
        <v>0</v>
      </c>
      <c r="L864" t="str">
        <f>VLOOKUP(VALUE(LEFT(C864,5)),Xref!A:B,2,0)</f>
        <v>aka</v>
      </c>
      <c r="M864" t="str">
        <f t="shared" si="55"/>
        <v>aka-CPI</v>
      </c>
    </row>
    <row r="865" spans="1:13" ht="14.25" customHeight="true">
      <c r="A865" s="33" t="str">
        <f t="shared" si="52"/>
        <v>CPI - Intercompany</v>
      </c>
      <c r="B865" s="33" t="str">
        <f t="shared" si="53"/>
        <v>CPI</v>
      </c>
      <c r="C865" s="33" t="str">
        <f t="shared" si="54"/>
        <v>12401-0000</v>
      </c>
      <c r="D865" t="s">
        <v>17277</v>
      </c>
      <c r="E865" t="s">
        <v>14187</v>
      </c>
      <c r="F865" t="s">
        <v>14039</v>
      </c>
      <c r="G865" t="s">
        <v>14672</v>
      </c>
      <c r="H865" t="s">
        <v>13869</v>
      </c>
      <c r="I865" t="s">
        <v>14690</v>
      </c>
      <c r="J865" s="62">
        <v>0</v>
      </c>
      <c r="K865" s="62">
        <v>0</v>
      </c>
      <c r="L865" t="str">
        <f>VLOOKUP(VALUE(LEFT(C865,5)),Xref!A:B,2,0)</f>
        <v>aka</v>
      </c>
      <c r="M865" t="str">
        <f t="shared" si="55"/>
        <v>aka-CPI</v>
      </c>
    </row>
    <row r="866" spans="1:13" ht="14.25" customHeight="true">
      <c r="A866" s="33" t="str">
        <f t="shared" si="52"/>
        <v>CPI - Intercompany</v>
      </c>
      <c r="B866" s="33" t="str">
        <f t="shared" si="53"/>
        <v>CPI</v>
      </c>
      <c r="C866" s="33" t="str">
        <f t="shared" si="54"/>
        <v>12402-0000</v>
      </c>
      <c r="D866" t="s">
        <v>17278</v>
      </c>
      <c r="E866" t="s">
        <v>14189</v>
      </c>
      <c r="F866" t="s">
        <v>14039</v>
      </c>
      <c r="G866" t="s">
        <v>14672</v>
      </c>
      <c r="H866" t="s">
        <v>13869</v>
      </c>
      <c r="I866" t="s">
        <v>14690</v>
      </c>
      <c r="J866" s="62">
        <v>0</v>
      </c>
      <c r="K866" s="62">
        <v>0</v>
      </c>
      <c r="L866" t="str">
        <f>VLOOKUP(VALUE(LEFT(C866,5)),Xref!A:B,2,0)</f>
        <v>aka</v>
      </c>
      <c r="M866" t="str">
        <f t="shared" si="55"/>
        <v>aka-CPI</v>
      </c>
    </row>
    <row r="867" spans="1:13" ht="14.25" customHeight="true">
      <c r="A867" s="33" t="str">
        <f t="shared" si="52"/>
        <v>CPI - Intercompany</v>
      </c>
      <c r="B867" s="33" t="str">
        <f t="shared" si="53"/>
        <v>CPI</v>
      </c>
      <c r="C867" s="33" t="str">
        <f t="shared" si="54"/>
        <v>12403-0000</v>
      </c>
      <c r="D867" t="s">
        <v>17279</v>
      </c>
      <c r="E867" t="s">
        <v>5226</v>
      </c>
      <c r="F867" t="s">
        <v>14039</v>
      </c>
      <c r="G867" t="s">
        <v>14672</v>
      </c>
      <c r="H867" t="s">
        <v>13869</v>
      </c>
      <c r="I867" t="s">
        <v>14690</v>
      </c>
      <c r="J867" s="62">
        <v>0</v>
      </c>
      <c r="K867" s="62">
        <v>0</v>
      </c>
      <c r="L867" t="str">
        <f>VLOOKUP(VALUE(LEFT(C867,5)),Xref!A:B,2,0)</f>
        <v>aka</v>
      </c>
      <c r="M867" t="str">
        <f t="shared" si="55"/>
        <v>aka-CPI</v>
      </c>
    </row>
    <row r="868" spans="1:13" ht="14.25" customHeight="true">
      <c r="A868" s="33" t="str">
        <f t="shared" si="52"/>
        <v>CPI - Intercompany</v>
      </c>
      <c r="B868" s="33" t="str">
        <f t="shared" si="53"/>
        <v>CPI</v>
      </c>
      <c r="C868" s="33" t="str">
        <f t="shared" si="54"/>
        <v>12501-0000</v>
      </c>
      <c r="D868" t="s">
        <v>17280</v>
      </c>
      <c r="E868" t="s">
        <v>14192</v>
      </c>
      <c r="F868" t="s">
        <v>14039</v>
      </c>
      <c r="G868" t="s">
        <v>14672</v>
      </c>
      <c r="H868" t="s">
        <v>13869</v>
      </c>
      <c r="I868" t="s">
        <v>14690</v>
      </c>
      <c r="J868" s="62">
        <v>0</v>
      </c>
      <c r="K868" s="62">
        <v>0</v>
      </c>
      <c r="L868" t="str">
        <f>VLOOKUP(VALUE(LEFT(C868,5)),Xref!A:B,2,0)</f>
        <v>aka</v>
      </c>
      <c r="M868" t="str">
        <f t="shared" si="55"/>
        <v>aka-CPI</v>
      </c>
    </row>
    <row r="869" spans="1:13" ht="14.25" customHeight="true">
      <c r="A869" s="33" t="str">
        <f t="shared" si="52"/>
        <v>CPI - InterCo Notes</v>
      </c>
      <c r="B869" s="33" t="str">
        <f t="shared" si="53"/>
        <v>CPI</v>
      </c>
      <c r="C869" s="33" t="str">
        <f t="shared" si="54"/>
        <v>25600-0000</v>
      </c>
      <c r="D869" t="s">
        <v>17326</v>
      </c>
      <c r="E869" t="s">
        <v>314</v>
      </c>
      <c r="F869" t="s">
        <v>14039</v>
      </c>
      <c r="G869" t="s">
        <v>14672</v>
      </c>
      <c r="H869" t="s">
        <v>13889</v>
      </c>
      <c r="I869" t="s">
        <v>14690</v>
      </c>
      <c r="J869" s="62">
        <v>0</v>
      </c>
      <c r="K869" s="62">
        <v>0</v>
      </c>
      <c r="L869" t="str">
        <f>VLOOKUP(VALUE(LEFT(C869,5)),Xref!A:B,2,0)</f>
        <v>D7</v>
      </c>
      <c r="M869" t="str">
        <f t="shared" si="55"/>
        <v>CPI-D7</v>
      </c>
    </row>
    <row r="870" spans="1:13" ht="14.25" customHeight="true">
      <c r="A870" s="33" t="str">
        <f t="shared" si="52"/>
        <v>CPI - InterCo Notes</v>
      </c>
      <c r="B870" s="33" t="str">
        <f t="shared" si="53"/>
        <v>CPI</v>
      </c>
      <c r="C870" s="33" t="str">
        <f t="shared" si="54"/>
        <v>25602-0000</v>
      </c>
      <c r="D870" t="s">
        <v>17328</v>
      </c>
      <c r="E870" t="s">
        <v>13426</v>
      </c>
      <c r="F870" t="s">
        <v>14039</v>
      </c>
      <c r="G870" t="s">
        <v>14672</v>
      </c>
      <c r="H870" t="s">
        <v>13889</v>
      </c>
      <c r="I870" t="s">
        <v>14690</v>
      </c>
      <c r="J870" s="62">
        <v>0</v>
      </c>
      <c r="K870" s="62">
        <v>0</v>
      </c>
      <c r="L870" t="str">
        <f>VLOOKUP(VALUE(LEFT(C870,5)),Xref!A:B,2,0)</f>
        <v>DFLP</v>
      </c>
      <c r="M870" t="str">
        <f t="shared" si="55"/>
        <v>CPI-DFLP</v>
      </c>
    </row>
    <row r="871" spans="1:13" ht="14.25" customHeight="true">
      <c r="A871" s="33" t="str">
        <f t="shared" si="52"/>
        <v>CPI - InterCo Notes</v>
      </c>
      <c r="B871" s="33" t="str">
        <f t="shared" si="53"/>
        <v>CPI</v>
      </c>
      <c r="C871" s="33" t="str">
        <f t="shared" si="54"/>
        <v>25603-0000</v>
      </c>
      <c r="D871" t="s">
        <v>17329</v>
      </c>
      <c r="E871" t="s">
        <v>14311</v>
      </c>
      <c r="F871" t="s">
        <v>14039</v>
      </c>
      <c r="G871" t="s">
        <v>14832</v>
      </c>
      <c r="H871" t="s">
        <v>13889</v>
      </c>
      <c r="I871" t="s">
        <v>14690</v>
      </c>
      <c r="J871" s="62">
        <v>0</v>
      </c>
      <c r="K871" s="62">
        <v>0</v>
      </c>
      <c r="L871" t="str">
        <f>VLOOKUP(VALUE(LEFT(C871,5)),Xref!A:B,2,0)</f>
        <v>aka</v>
      </c>
      <c r="M871" t="str">
        <f t="shared" si="55"/>
        <v>aka-CPI</v>
      </c>
    </row>
    <row r="872" spans="1:13" ht="14.25" customHeight="true">
      <c r="A872" s="33" t="str">
        <f t="shared" si="52"/>
        <v>CPI - Intercompany</v>
      </c>
      <c r="B872" s="33" t="str">
        <f t="shared" si="53"/>
        <v>CPI</v>
      </c>
      <c r="C872" s="33" t="str">
        <f t="shared" si="54"/>
        <v>25604-0000</v>
      </c>
      <c r="D872" t="s">
        <v>17330</v>
      </c>
      <c r="E872" t="s">
        <v>13490</v>
      </c>
      <c r="F872" t="s">
        <v>14039</v>
      </c>
      <c r="G872" t="s">
        <v>14672</v>
      </c>
      <c r="H872" t="s">
        <v>13869</v>
      </c>
      <c r="I872" t="s">
        <v>14690</v>
      </c>
      <c r="J872" s="62">
        <v>0</v>
      </c>
      <c r="K872" s="62">
        <v>0</v>
      </c>
      <c r="L872">
        <f>VLOOKUP(VALUE(LEFT(C872,5)),Xref!A:B,2,0)</f>
        <v>0</v>
      </c>
      <c r="M872" t="str">
        <f t="shared" si="55"/>
        <v>0-CPI</v>
      </c>
    </row>
    <row r="873" spans="1:13" ht="14.25" customHeight="true">
      <c r="A873" s="33" t="str">
        <f t="shared" si="52"/>
        <v>CRE - Intercompany</v>
      </c>
      <c r="B873" s="33" t="str">
        <f t="shared" si="53"/>
        <v>CRE</v>
      </c>
      <c r="C873" s="33" t="str">
        <f t="shared" si="54"/>
        <v>11200-0000</v>
      </c>
      <c r="D873" t="s">
        <v>17502</v>
      </c>
      <c r="E873" t="s">
        <v>14069</v>
      </c>
      <c r="F873" t="s">
        <v>14039</v>
      </c>
      <c r="G873" t="s">
        <v>14672</v>
      </c>
      <c r="H873" t="s">
        <v>13869</v>
      </c>
      <c r="I873" t="s">
        <v>14690</v>
      </c>
      <c r="J873" s="62">
        <v>0</v>
      </c>
      <c r="K873" s="62">
        <v>0</v>
      </c>
      <c r="L873" t="str">
        <f>VLOOKUP(VALUE(LEFT(C873,5)),Xref!A:B,2,0)</f>
        <v>SCL</v>
      </c>
      <c r="M873" t="str">
        <f t="shared" si="55"/>
        <v>CRE-SCL</v>
      </c>
    </row>
    <row r="874" spans="1:13" ht="14.25" customHeight="true">
      <c r="A874" s="33" t="str">
        <f t="shared" si="52"/>
        <v>CRE - Intercompany</v>
      </c>
      <c r="B874" s="33" t="str">
        <f t="shared" si="53"/>
        <v>CRE</v>
      </c>
      <c r="C874" s="33" t="str">
        <f t="shared" si="54"/>
        <v>11201-0000</v>
      </c>
      <c r="D874" t="s">
        <v>17503</v>
      </c>
      <c r="E874" t="s">
        <v>14071</v>
      </c>
      <c r="F874" t="s">
        <v>14039</v>
      </c>
      <c r="G874" t="s">
        <v>14672</v>
      </c>
      <c r="H874" t="s">
        <v>13869</v>
      </c>
      <c r="I874" t="s">
        <v>14690</v>
      </c>
      <c r="J874" s="62">
        <v>0</v>
      </c>
      <c r="K874" s="62">
        <v>0</v>
      </c>
      <c r="L874" t="str">
        <f>VLOOKUP(VALUE(LEFT(C874,5)),Xref!A:B,2,0)</f>
        <v>SG2</v>
      </c>
      <c r="M874" t="str">
        <f t="shared" si="55"/>
        <v>CRE-SG2</v>
      </c>
    </row>
    <row r="875" spans="1:13" ht="14.25" customHeight="true">
      <c r="A875" s="33" t="str">
        <f t="shared" si="52"/>
        <v>CRE - Intercompany</v>
      </c>
      <c r="B875" s="33" t="str">
        <f t="shared" si="53"/>
        <v>CRE</v>
      </c>
      <c r="C875" s="33" t="str">
        <f t="shared" si="54"/>
        <v>11202-0000</v>
      </c>
      <c r="D875" t="s">
        <v>17504</v>
      </c>
      <c r="E875" t="s">
        <v>14073</v>
      </c>
      <c r="F875" t="s">
        <v>14039</v>
      </c>
      <c r="G875" t="s">
        <v>14672</v>
      </c>
      <c r="H875" t="s">
        <v>13869</v>
      </c>
      <c r="I875" t="s">
        <v>14690</v>
      </c>
      <c r="J875" s="62">
        <v>0</v>
      </c>
      <c r="K875" s="62">
        <v>0</v>
      </c>
      <c r="L875" t="str">
        <f>VLOOKUP(VALUE(LEFT(C875,5)),Xref!A:B,2,0)</f>
        <v>FFC</v>
      </c>
      <c r="M875" t="str">
        <f t="shared" si="55"/>
        <v>CRE-FFC</v>
      </c>
    </row>
    <row r="876" spans="1:13" ht="14.25" customHeight="true">
      <c r="A876" s="33" t="str">
        <f t="shared" si="52"/>
        <v>CRE - Intercompany</v>
      </c>
      <c r="B876" s="33" t="str">
        <f t="shared" si="53"/>
        <v>CRE</v>
      </c>
      <c r="C876" s="33" t="str">
        <f t="shared" si="54"/>
        <v>11203-0000</v>
      </c>
      <c r="D876" t="s">
        <v>17505</v>
      </c>
      <c r="E876" t="s">
        <v>14075</v>
      </c>
      <c r="F876" t="s">
        <v>14039</v>
      </c>
      <c r="G876" t="s">
        <v>14672</v>
      </c>
      <c r="H876" t="s">
        <v>13869</v>
      </c>
      <c r="I876" t="s">
        <v>14690</v>
      </c>
      <c r="J876" s="62">
        <v>0</v>
      </c>
      <c r="K876" s="62">
        <v>0</v>
      </c>
      <c r="L876" t="str">
        <f>VLOOKUP(VALUE(LEFT(C876,5)),Xref!A:B,2,0)</f>
        <v>HN2</v>
      </c>
      <c r="M876" t="str">
        <f t="shared" si="55"/>
        <v>CRE-HN2</v>
      </c>
    </row>
    <row r="877" spans="1:13" ht="14.25" customHeight="true">
      <c r="A877" s="33" t="str">
        <f t="shared" si="52"/>
        <v>CRE - Intercompany</v>
      </c>
      <c r="B877" s="33" t="str">
        <f t="shared" si="53"/>
        <v>CRE</v>
      </c>
      <c r="C877" s="33" t="str">
        <f t="shared" si="54"/>
        <v>11204-0000</v>
      </c>
      <c r="D877" t="s">
        <v>17506</v>
      </c>
      <c r="E877" t="s">
        <v>14077</v>
      </c>
      <c r="F877" t="s">
        <v>14039</v>
      </c>
      <c r="G877" t="s">
        <v>14672</v>
      </c>
      <c r="H877" t="s">
        <v>13869</v>
      </c>
      <c r="I877" t="s">
        <v>14690</v>
      </c>
      <c r="J877" s="62">
        <v>0</v>
      </c>
      <c r="K877" s="62">
        <v>0</v>
      </c>
      <c r="L877" t="str">
        <f>VLOOKUP(VALUE(LEFT(C877,5)),Xref!A:B,2,0)</f>
        <v>DF2</v>
      </c>
      <c r="M877" t="str">
        <f t="shared" si="55"/>
        <v>CRE-DF2</v>
      </c>
    </row>
    <row r="878" spans="1:13" ht="14.25" customHeight="true">
      <c r="A878" s="33" t="str">
        <f t="shared" si="52"/>
        <v>CRE - Intercompany</v>
      </c>
      <c r="B878" s="33" t="str">
        <f t="shared" si="53"/>
        <v>CRE</v>
      </c>
      <c r="C878" s="33" t="str">
        <f t="shared" si="54"/>
        <v>11208-0000</v>
      </c>
      <c r="D878" t="s">
        <v>17507</v>
      </c>
      <c r="E878" t="s">
        <v>14079</v>
      </c>
      <c r="F878" t="s">
        <v>14039</v>
      </c>
      <c r="G878" t="s">
        <v>14672</v>
      </c>
      <c r="H878" t="s">
        <v>13869</v>
      </c>
      <c r="I878" t="s">
        <v>14690</v>
      </c>
      <c r="J878" s="62">
        <v>0</v>
      </c>
      <c r="K878" s="62">
        <v>0</v>
      </c>
      <c r="L878" t="str">
        <f>VLOOKUP(VALUE(LEFT(C878,5)),Xref!A:B,2,0)</f>
        <v>SRE</v>
      </c>
      <c r="M878" t="str">
        <f t="shared" si="55"/>
        <v>CRE-SRE</v>
      </c>
    </row>
    <row r="879" spans="1:13" ht="14.25" customHeight="true">
      <c r="A879" s="33" t="str">
        <f t="shared" si="52"/>
        <v>CRE - Intercompany</v>
      </c>
      <c r="B879" s="33" t="str">
        <f t="shared" si="53"/>
        <v>CRE</v>
      </c>
      <c r="C879" s="33" t="str">
        <f t="shared" si="54"/>
        <v>11210-0000</v>
      </c>
      <c r="D879" t="s">
        <v>17508</v>
      </c>
      <c r="E879" t="s">
        <v>14081</v>
      </c>
      <c r="F879" t="s">
        <v>14039</v>
      </c>
      <c r="G879" t="s">
        <v>14672</v>
      </c>
      <c r="H879" t="s">
        <v>13869</v>
      </c>
      <c r="I879" t="s">
        <v>14690</v>
      </c>
      <c r="J879" s="62">
        <v>0</v>
      </c>
      <c r="K879" s="62">
        <v>0</v>
      </c>
      <c r="L879" t="str">
        <f>VLOOKUP(VALUE(LEFT(C879,5)),Xref!A:B,2,0)</f>
        <v>REM</v>
      </c>
      <c r="M879" t="str">
        <f t="shared" si="55"/>
        <v>CRE-REM</v>
      </c>
    </row>
    <row r="880" spans="1:13" ht="14.25" customHeight="true">
      <c r="A880" s="33" t="str">
        <f t="shared" si="52"/>
        <v>CRE - Intercompany</v>
      </c>
      <c r="B880" s="33" t="str">
        <f t="shared" si="53"/>
        <v>CRE</v>
      </c>
      <c r="C880" s="33" t="str">
        <f t="shared" si="54"/>
        <v>11212-0000</v>
      </c>
      <c r="D880" t="s">
        <v>17509</v>
      </c>
      <c r="E880" t="s">
        <v>14083</v>
      </c>
      <c r="F880" t="s">
        <v>14039</v>
      </c>
      <c r="G880" t="s">
        <v>14672</v>
      </c>
      <c r="H880" t="s">
        <v>13869</v>
      </c>
      <c r="I880" t="s">
        <v>14690</v>
      </c>
      <c r="J880" s="62">
        <v>0</v>
      </c>
      <c r="K880" s="62">
        <v>0</v>
      </c>
      <c r="L880" t="str">
        <f>VLOOKUP(VALUE(LEFT(C880,5)),Xref!A:B,2,0)</f>
        <v>FRM</v>
      </c>
      <c r="M880" t="str">
        <f t="shared" si="55"/>
        <v>CRE-FRM</v>
      </c>
    </row>
    <row r="881" spans="1:13" ht="14.25" customHeight="true">
      <c r="A881" s="33" t="str">
        <f t="shared" si="52"/>
        <v>CRE - Intercompany</v>
      </c>
      <c r="B881" s="33" t="str">
        <f t="shared" si="53"/>
        <v>CRE</v>
      </c>
      <c r="C881" s="33" t="str">
        <f t="shared" si="54"/>
        <v>11214-0000</v>
      </c>
      <c r="D881" t="s">
        <v>17510</v>
      </c>
      <c r="E881" t="s">
        <v>14085</v>
      </c>
      <c r="F881" t="s">
        <v>14039</v>
      </c>
      <c r="G881" t="s">
        <v>14672</v>
      </c>
      <c r="H881" t="s">
        <v>13869</v>
      </c>
      <c r="I881" t="s">
        <v>14690</v>
      </c>
      <c r="J881" s="62">
        <v>0</v>
      </c>
      <c r="K881" s="62">
        <v>0</v>
      </c>
      <c r="L881" t="str">
        <f>VLOOKUP(VALUE(LEFT(C881,5)),Xref!A:B,2,0)</f>
        <v>D7R</v>
      </c>
      <c r="M881" t="str">
        <f t="shared" si="55"/>
        <v>CRE-D7R</v>
      </c>
    </row>
    <row r="882" spans="1:13" ht="14.25" customHeight="true">
      <c r="A882" s="33" t="str">
        <f t="shared" si="52"/>
        <v>CRE - Intercompany</v>
      </c>
      <c r="B882" s="33" t="str">
        <f t="shared" si="53"/>
        <v>CRE</v>
      </c>
      <c r="C882" s="33" t="str">
        <f t="shared" si="54"/>
        <v>11215-0000</v>
      </c>
      <c r="D882" t="s">
        <v>17511</v>
      </c>
      <c r="E882" t="s">
        <v>14087</v>
      </c>
      <c r="F882" t="s">
        <v>14039</v>
      </c>
      <c r="G882" t="s">
        <v>14672</v>
      </c>
      <c r="H882" t="s">
        <v>13869</v>
      </c>
      <c r="I882" t="s">
        <v>14690</v>
      </c>
      <c r="J882" s="62">
        <v>0</v>
      </c>
      <c r="K882" s="62">
        <v>0</v>
      </c>
      <c r="L882" t="str">
        <f>VLOOKUP(VALUE(LEFT(C882,5)),Xref!A:B,2,0)</f>
        <v>CDP</v>
      </c>
      <c r="M882" t="str">
        <f t="shared" si="55"/>
        <v>CDP-CRE</v>
      </c>
    </row>
    <row r="883" spans="1:13" ht="14.25" customHeight="true">
      <c r="A883" s="33" t="str">
        <f t="shared" si="52"/>
        <v>CRE - Intercompany</v>
      </c>
      <c r="B883" s="33" t="str">
        <f t="shared" si="53"/>
        <v>CRE</v>
      </c>
      <c r="C883" s="33" t="str">
        <f t="shared" si="54"/>
        <v>11216-0000</v>
      </c>
      <c r="D883" t="s">
        <v>651</v>
      </c>
      <c r="E883" t="s">
        <v>13224</v>
      </c>
      <c r="F883" t="s">
        <v>14039</v>
      </c>
      <c r="G883" t="s">
        <v>14672</v>
      </c>
      <c r="H883" t="s">
        <v>13869</v>
      </c>
      <c r="I883" t="s">
        <v>14690</v>
      </c>
      <c r="J883" s="62">
        <v>-191.33</v>
      </c>
      <c r="K883" s="62">
        <v>17713.8</v>
      </c>
      <c r="L883" t="str">
        <f>VLOOKUP(VALUE(LEFT(C883,5)),Xref!A:B,2,0)</f>
        <v>SIL</v>
      </c>
      <c r="M883" t="str">
        <f t="shared" si="55"/>
        <v>CRE-SIL</v>
      </c>
    </row>
    <row r="884" spans="1:13" ht="14.25" customHeight="true">
      <c r="A884" s="33" t="str">
        <f t="shared" si="52"/>
        <v>CRE - Intercompany</v>
      </c>
      <c r="B884" s="33" t="str">
        <f t="shared" si="53"/>
        <v>CRE</v>
      </c>
      <c r="C884" s="33" t="str">
        <f t="shared" si="54"/>
        <v>11232-0000</v>
      </c>
      <c r="D884" t="s">
        <v>17512</v>
      </c>
      <c r="E884" t="s">
        <v>12486</v>
      </c>
      <c r="F884" t="s">
        <v>14039</v>
      </c>
      <c r="G884" t="s">
        <v>14672</v>
      </c>
      <c r="H884" t="s">
        <v>13869</v>
      </c>
      <c r="I884" t="s">
        <v>14690</v>
      </c>
      <c r="J884" s="62">
        <v>0</v>
      </c>
      <c r="K884" s="62">
        <v>0</v>
      </c>
      <c r="L884" t="str">
        <f>VLOOKUP(VALUE(LEFT(C884,5)),Xref!A:B,2,0)</f>
        <v>SC2</v>
      </c>
      <c r="M884" t="str">
        <f t="shared" si="55"/>
        <v>CRE-SC2</v>
      </c>
    </row>
    <row r="885" spans="1:13" ht="14.25" customHeight="true">
      <c r="A885" s="33" t="str">
        <f t="shared" si="52"/>
        <v>CRE - Intercompany</v>
      </c>
      <c r="B885" s="33" t="str">
        <f t="shared" si="53"/>
        <v>CRE</v>
      </c>
      <c r="C885" s="33" t="str">
        <f t="shared" si="54"/>
        <v>11301-0000</v>
      </c>
      <c r="D885" t="s">
        <v>17513</v>
      </c>
      <c r="E885" t="s">
        <v>13225</v>
      </c>
      <c r="F885" t="s">
        <v>14039</v>
      </c>
      <c r="G885" t="s">
        <v>14672</v>
      </c>
      <c r="H885" t="s">
        <v>13869</v>
      </c>
      <c r="I885" t="s">
        <v>14690</v>
      </c>
      <c r="J885" s="62">
        <v>0</v>
      </c>
      <c r="K885" s="62">
        <v>30000</v>
      </c>
      <c r="L885" t="str">
        <f>VLOOKUP(VALUE(LEFT(C885,5)),Xref!A:B,2,0)</f>
        <v>CRE</v>
      </c>
      <c r="M885" t="str">
        <f t="shared" si="55"/>
        <v>CRE-CRE</v>
      </c>
    </row>
    <row r="886" spans="1:13" ht="14.25" customHeight="true">
      <c r="A886" s="33" t="str">
        <f t="shared" si="52"/>
        <v>CRE - Intercompany</v>
      </c>
      <c r="B886" s="33" t="str">
        <f t="shared" si="53"/>
        <v>CRE</v>
      </c>
      <c r="C886" s="33" t="str">
        <f t="shared" si="54"/>
        <v>11302-0000</v>
      </c>
      <c r="D886" t="s">
        <v>17514</v>
      </c>
      <c r="E886" t="s">
        <v>13226</v>
      </c>
      <c r="F886" t="s">
        <v>14039</v>
      </c>
      <c r="G886" t="s">
        <v>14672</v>
      </c>
      <c r="H886" t="s">
        <v>13869</v>
      </c>
      <c r="I886" t="s">
        <v>14690</v>
      </c>
      <c r="J886" s="62">
        <v>0</v>
      </c>
      <c r="K886" s="62">
        <v>0</v>
      </c>
      <c r="L886" t="str">
        <f>VLOOKUP(VALUE(LEFT(C886,5)),Xref!A:B,2,0)</f>
        <v>CHA</v>
      </c>
      <c r="M886" t="str">
        <f t="shared" si="55"/>
        <v>CHA-CRE</v>
      </c>
    </row>
    <row r="887" spans="1:13" ht="14.25" customHeight="true">
      <c r="A887" s="33" t="str">
        <f t="shared" si="52"/>
        <v>CRE - Intercompany</v>
      </c>
      <c r="B887" s="33" t="str">
        <f t="shared" si="53"/>
        <v>CRE</v>
      </c>
      <c r="C887" s="33" t="str">
        <f t="shared" si="54"/>
        <v>11303-0000</v>
      </c>
      <c r="D887" t="s">
        <v>17515</v>
      </c>
      <c r="E887" t="s">
        <v>13227</v>
      </c>
      <c r="F887" t="s">
        <v>14039</v>
      </c>
      <c r="G887" t="s">
        <v>14672</v>
      </c>
      <c r="H887" t="s">
        <v>13869</v>
      </c>
      <c r="I887" t="s">
        <v>14690</v>
      </c>
      <c r="J887" s="62">
        <v>0</v>
      </c>
      <c r="K887" s="62">
        <v>0</v>
      </c>
      <c r="L887" t="str">
        <f>VLOOKUP(VALUE(LEFT(C887,5)),Xref!A:B,2,0)</f>
        <v>DIA</v>
      </c>
      <c r="M887" t="str">
        <f t="shared" si="55"/>
        <v>CRE-DIA</v>
      </c>
    </row>
    <row r="888" spans="1:13" ht="14.25" customHeight="true">
      <c r="A888" s="33" t="str">
        <f t="shared" si="52"/>
        <v>CRE - Intercompany</v>
      </c>
      <c r="B888" s="33" t="str">
        <f t="shared" si="53"/>
        <v>CRE</v>
      </c>
      <c r="C888" s="33" t="str">
        <f t="shared" si="54"/>
        <v>11304-0000</v>
      </c>
      <c r="D888" t="s">
        <v>17516</v>
      </c>
      <c r="E888" t="s">
        <v>13228</v>
      </c>
      <c r="F888" t="s">
        <v>14039</v>
      </c>
      <c r="G888" t="s">
        <v>14672</v>
      </c>
      <c r="H888" t="s">
        <v>13869</v>
      </c>
      <c r="I888" t="s">
        <v>14690</v>
      </c>
      <c r="J888" s="62">
        <v>0</v>
      </c>
      <c r="K888" s="62">
        <v>0</v>
      </c>
      <c r="L888" t="str">
        <f>VLOOKUP(VALUE(LEFT(C888,5)),Xref!A:B,2,0)</f>
        <v>EAG</v>
      </c>
      <c r="M888" t="str">
        <f t="shared" si="55"/>
        <v>CRE-EAG</v>
      </c>
    </row>
    <row r="889" spans="1:13" ht="14.25" customHeight="true">
      <c r="A889" s="33" t="str">
        <f t="shared" si="52"/>
        <v>CRE - Intercompany</v>
      </c>
      <c r="B889" s="33" t="str">
        <f t="shared" si="53"/>
        <v>CRE</v>
      </c>
      <c r="C889" s="33" t="str">
        <f t="shared" si="54"/>
        <v>11305-0000</v>
      </c>
      <c r="D889" t="s">
        <v>17517</v>
      </c>
      <c r="E889" t="s">
        <v>13229</v>
      </c>
      <c r="F889" t="s">
        <v>14039</v>
      </c>
      <c r="G889" t="s">
        <v>14672</v>
      </c>
      <c r="H889" t="s">
        <v>13869</v>
      </c>
      <c r="I889" t="s">
        <v>14690</v>
      </c>
      <c r="J889" s="62">
        <v>0</v>
      </c>
      <c r="K889" s="62">
        <v>0</v>
      </c>
      <c r="L889" t="str">
        <f>VLOOKUP(VALUE(LEFT(C889,5)),Xref!A:B,2,0)</f>
        <v>NEW</v>
      </c>
      <c r="M889" t="str">
        <f t="shared" si="55"/>
        <v>CRE-NEW</v>
      </c>
    </row>
    <row r="890" spans="1:13" ht="14.25" customHeight="true">
      <c r="A890" s="33" t="str">
        <f t="shared" si="52"/>
        <v>CRE - Intercompany</v>
      </c>
      <c r="B890" s="33" t="str">
        <f t="shared" si="53"/>
        <v>CRE</v>
      </c>
      <c r="C890" s="33" t="str">
        <f t="shared" si="54"/>
        <v>11307-0000</v>
      </c>
      <c r="D890" t="s">
        <v>17518</v>
      </c>
      <c r="E890" t="s">
        <v>14096</v>
      </c>
      <c r="F890" t="s">
        <v>14039</v>
      </c>
      <c r="G890" t="s">
        <v>14672</v>
      </c>
      <c r="H890" t="s">
        <v>13869</v>
      </c>
      <c r="I890" t="s">
        <v>14690</v>
      </c>
      <c r="J890" s="62">
        <v>0</v>
      </c>
      <c r="K890" s="62">
        <v>0</v>
      </c>
      <c r="L890" t="str">
        <f>VLOOKUP(VALUE(LEFT(C890,5)),Xref!A:B,2,0)</f>
        <v>NES</v>
      </c>
      <c r="M890" t="str">
        <f t="shared" si="55"/>
        <v>CRE-NES</v>
      </c>
    </row>
    <row r="891" spans="1:13" ht="14.25" customHeight="true">
      <c r="A891" s="33" t="str">
        <f t="shared" si="52"/>
        <v>CRE - Intercompany</v>
      </c>
      <c r="B891" s="33" t="str">
        <f t="shared" si="53"/>
        <v>CRE</v>
      </c>
      <c r="C891" s="33" t="str">
        <f t="shared" si="54"/>
        <v>11308-0000</v>
      </c>
      <c r="D891" t="s">
        <v>17519</v>
      </c>
      <c r="E891" t="s">
        <v>13476</v>
      </c>
      <c r="F891" t="s">
        <v>14039</v>
      </c>
      <c r="G891" t="s">
        <v>14672</v>
      </c>
      <c r="H891" t="s">
        <v>13869</v>
      </c>
      <c r="I891" t="s">
        <v>14690</v>
      </c>
      <c r="J891" s="62">
        <v>0</v>
      </c>
      <c r="K891" s="62">
        <v>0</v>
      </c>
      <c r="L891" t="str">
        <f>VLOOKUP(VALUE(LEFT(C891,5)),Xref!A:B,2,0)</f>
        <v>LPI</v>
      </c>
      <c r="M891" t="str">
        <f t="shared" si="55"/>
        <v>CRE-LPI</v>
      </c>
    </row>
    <row r="892" spans="1:13" ht="14.25" customHeight="true">
      <c r="A892" s="33" t="str">
        <f t="shared" si="52"/>
        <v>CRE - Intercompany</v>
      </c>
      <c r="B892" s="33" t="str">
        <f t="shared" si="53"/>
        <v>CRE</v>
      </c>
      <c r="C892" s="33" t="str">
        <f t="shared" si="54"/>
        <v>11309-0000</v>
      </c>
      <c r="D892" t="s">
        <v>652</v>
      </c>
      <c r="E892" t="s">
        <v>13230</v>
      </c>
      <c r="F892" t="s">
        <v>14039</v>
      </c>
      <c r="G892" t="s">
        <v>14672</v>
      </c>
      <c r="H892" t="s">
        <v>13869</v>
      </c>
      <c r="I892" t="s">
        <v>14690</v>
      </c>
      <c r="J892" s="62">
        <v>0</v>
      </c>
      <c r="K892" s="62">
        <v>-15000</v>
      </c>
      <c r="L892" t="str">
        <f>VLOOKUP(VALUE(LEFT(C892,5)),Xref!A:B,2,0)</f>
        <v>GPI</v>
      </c>
      <c r="M892" t="str">
        <f t="shared" si="55"/>
        <v>CRE-GPI</v>
      </c>
    </row>
    <row r="893" spans="1:13" ht="14.25" customHeight="true">
      <c r="A893" s="33" t="str">
        <f t="shared" si="52"/>
        <v>CRE - Intercompany</v>
      </c>
      <c r="B893" s="33" t="str">
        <f t="shared" si="53"/>
        <v>CRE</v>
      </c>
      <c r="C893" s="33" t="str">
        <f t="shared" si="54"/>
        <v>11310-0000</v>
      </c>
      <c r="D893" t="s">
        <v>17520</v>
      </c>
      <c r="E893" t="s">
        <v>13231</v>
      </c>
      <c r="F893" t="s">
        <v>14039</v>
      </c>
      <c r="G893" t="s">
        <v>14672</v>
      </c>
      <c r="H893" t="s">
        <v>13869</v>
      </c>
      <c r="I893" t="s">
        <v>14690</v>
      </c>
      <c r="J893" s="62">
        <v>0</v>
      </c>
      <c r="K893" s="62">
        <v>0</v>
      </c>
      <c r="L893" t="str">
        <f>VLOOKUP(VALUE(LEFT(C893,5)),Xref!A:B,2,0)</f>
        <v>ALP</v>
      </c>
      <c r="M893" t="str">
        <f t="shared" si="55"/>
        <v>ALP-CRE</v>
      </c>
    </row>
    <row r="894" spans="1:13" ht="14.25" customHeight="true">
      <c r="A894" s="33" t="str">
        <f t="shared" si="52"/>
        <v>CRE - Intercompany</v>
      </c>
      <c r="B894" s="33" t="str">
        <f t="shared" si="53"/>
        <v>CRE</v>
      </c>
      <c r="C894" s="33" t="str">
        <f t="shared" si="54"/>
        <v>11311-0000</v>
      </c>
      <c r="D894" t="s">
        <v>17521</v>
      </c>
      <c r="E894" t="s">
        <v>13232</v>
      </c>
      <c r="F894" t="s">
        <v>14039</v>
      </c>
      <c r="G894" t="s">
        <v>14672</v>
      </c>
      <c r="H894" t="s">
        <v>13869</v>
      </c>
      <c r="I894" t="s">
        <v>14690</v>
      </c>
      <c r="J894" s="62">
        <v>0</v>
      </c>
      <c r="K894" s="62">
        <v>0</v>
      </c>
      <c r="L894" t="str">
        <f>VLOOKUP(VALUE(LEFT(C894,5)),Xref!A:B,2,0)</f>
        <v>BET</v>
      </c>
      <c r="M894" t="str">
        <f t="shared" si="55"/>
        <v>BET-CRE</v>
      </c>
    </row>
    <row r="895" spans="1:13" ht="14.25" customHeight="true">
      <c r="A895" s="33" t="str">
        <f t="shared" si="52"/>
        <v>CRE - Intercompany</v>
      </c>
      <c r="B895" s="33" t="str">
        <f t="shared" si="53"/>
        <v>CRE</v>
      </c>
      <c r="C895" s="33" t="str">
        <f t="shared" si="54"/>
        <v>11312-0000</v>
      </c>
      <c r="D895" t="s">
        <v>17522</v>
      </c>
      <c r="E895" t="s">
        <v>14102</v>
      </c>
      <c r="F895" t="s">
        <v>14039</v>
      </c>
      <c r="G895" t="s">
        <v>14672</v>
      </c>
      <c r="H895" t="s">
        <v>13869</v>
      </c>
      <c r="I895" t="s">
        <v>14690</v>
      </c>
      <c r="J895" s="62">
        <v>0</v>
      </c>
      <c r="K895" s="62">
        <v>0</v>
      </c>
      <c r="L895" t="str">
        <f>VLOOKUP(VALUE(LEFT(C895,5)),Xref!A:B,2,0)</f>
        <v>DEL</v>
      </c>
      <c r="M895" t="str">
        <f t="shared" si="55"/>
        <v>CRE-DEL</v>
      </c>
    </row>
    <row r="896" spans="1:13" ht="14.25" customHeight="true">
      <c r="A896" s="33" t="str">
        <f t="shared" si="52"/>
        <v>CRE - Intercompany</v>
      </c>
      <c r="B896" s="33" t="str">
        <f t="shared" si="53"/>
        <v>CRE</v>
      </c>
      <c r="C896" s="33" t="str">
        <f t="shared" si="54"/>
        <v>11313-0000</v>
      </c>
      <c r="D896" t="s">
        <v>653</v>
      </c>
      <c r="E896" t="s">
        <v>13233</v>
      </c>
      <c r="F896" t="s">
        <v>14039</v>
      </c>
      <c r="G896" t="s">
        <v>14672</v>
      </c>
      <c r="H896" t="s">
        <v>13869</v>
      </c>
      <c r="I896" t="s">
        <v>14690</v>
      </c>
      <c r="J896" s="62">
        <v>0</v>
      </c>
      <c r="K896" s="62">
        <v>-20000</v>
      </c>
      <c r="L896" t="str">
        <f>VLOOKUP(VALUE(LEFT(C896,5)),Xref!A:B,2,0)</f>
        <v>DOL</v>
      </c>
      <c r="M896" t="str">
        <f t="shared" si="55"/>
        <v>CRE-DOL</v>
      </c>
    </row>
    <row r="897" spans="1:13" ht="14.25" customHeight="true">
      <c r="A897" s="33" t="str">
        <f t="shared" si="52"/>
        <v>CRE - Intercompany</v>
      </c>
      <c r="B897" s="33" t="str">
        <f t="shared" si="53"/>
        <v>CRE</v>
      </c>
      <c r="C897" s="33" t="str">
        <f t="shared" si="54"/>
        <v>11314-0000</v>
      </c>
      <c r="D897" t="s">
        <v>17523</v>
      </c>
      <c r="E897" t="s">
        <v>13351</v>
      </c>
      <c r="F897" t="s">
        <v>14039</v>
      </c>
      <c r="G897" t="s">
        <v>14672</v>
      </c>
      <c r="H897" t="s">
        <v>13869</v>
      </c>
      <c r="I897" t="s">
        <v>14690</v>
      </c>
      <c r="J897" s="62">
        <v>0</v>
      </c>
      <c r="K897" s="62">
        <v>0</v>
      </c>
      <c r="L897" t="str">
        <f>VLOOKUP(VALUE(LEFT(C897,5)),Xref!A:B,2,0)</f>
        <v>GRI</v>
      </c>
      <c r="M897" t="str">
        <f t="shared" si="55"/>
        <v>CRE-GRI</v>
      </c>
    </row>
    <row r="898" spans="1:13" ht="14.25" customHeight="true">
      <c r="A898" s="33" t="str">
        <f t="shared" ref="A898:A961" si="56">B898&amp;" - "&amp;TRIM(H898)</f>
        <v>CRE - Intercompany</v>
      </c>
      <c r="B898" s="33" t="str">
        <f t="shared" ref="B898:B961" si="57">LEFT(D898,3)</f>
        <v>CRE</v>
      </c>
      <c r="C898" s="33" t="str">
        <f t="shared" ref="C898:C961" si="58">RIGHT(D898,10)</f>
        <v>11315-0000</v>
      </c>
      <c r="D898" t="s">
        <v>17524</v>
      </c>
      <c r="E898" t="s">
        <v>13234</v>
      </c>
      <c r="F898" t="s">
        <v>14039</v>
      </c>
      <c r="G898" t="s">
        <v>14672</v>
      </c>
      <c r="H898" t="s">
        <v>13869</v>
      </c>
      <c r="I898" t="s">
        <v>14690</v>
      </c>
      <c r="J898" s="62">
        <v>0</v>
      </c>
      <c r="K898" s="62">
        <v>0</v>
      </c>
      <c r="L898" t="str">
        <f>VLOOKUP(VALUE(LEFT(C898,5)),Xref!A:B,2,0)</f>
        <v>PUR</v>
      </c>
      <c r="M898" t="str">
        <f t="shared" ref="M898:M961" si="59">IF(B898&lt;L898,B898&amp;"-"&amp;L898,L898&amp;"-"&amp;B898)</f>
        <v>CRE-PUR</v>
      </c>
    </row>
    <row r="899" spans="1:13" ht="14.25" customHeight="true">
      <c r="A899" s="33" t="str">
        <f t="shared" si="56"/>
        <v>CRE - Intercompany</v>
      </c>
      <c r="B899" s="33" t="str">
        <f t="shared" si="57"/>
        <v>CRE</v>
      </c>
      <c r="C899" s="33" t="str">
        <f t="shared" si="58"/>
        <v>11316-0000</v>
      </c>
      <c r="D899" t="s">
        <v>654</v>
      </c>
      <c r="E899" t="s">
        <v>13235</v>
      </c>
      <c r="F899" t="s">
        <v>14039</v>
      </c>
      <c r="G899" t="s">
        <v>14672</v>
      </c>
      <c r="H899" t="s">
        <v>13869</v>
      </c>
      <c r="I899" t="s">
        <v>14690</v>
      </c>
      <c r="J899" s="62">
        <v>0</v>
      </c>
      <c r="K899" s="62">
        <v>10000</v>
      </c>
      <c r="L899" t="str">
        <f>VLOOKUP(VALUE(LEFT(C899,5)),Xref!A:B,2,0)</f>
        <v>VAL</v>
      </c>
      <c r="M899" t="str">
        <f t="shared" si="59"/>
        <v>CRE-VAL</v>
      </c>
    </row>
    <row r="900" spans="1:13" ht="14.25" customHeight="true">
      <c r="A900" s="33" t="str">
        <f t="shared" si="56"/>
        <v>CRE - Intercompany</v>
      </c>
      <c r="B900" s="33" t="str">
        <f t="shared" si="57"/>
        <v>CRE</v>
      </c>
      <c r="C900" s="33" t="str">
        <f t="shared" si="58"/>
        <v>11317-0000</v>
      </c>
      <c r="D900" t="s">
        <v>655</v>
      </c>
      <c r="E900" t="s">
        <v>13352</v>
      </c>
      <c r="F900" t="s">
        <v>14039</v>
      </c>
      <c r="G900" t="s">
        <v>14672</v>
      </c>
      <c r="H900" t="s">
        <v>13869</v>
      </c>
      <c r="I900" t="s">
        <v>14690</v>
      </c>
      <c r="J900" s="62">
        <v>0</v>
      </c>
      <c r="K900" s="62">
        <v>-40000</v>
      </c>
      <c r="L900" t="str">
        <f>VLOOKUP(VALUE(LEFT(C900,5)),Xref!A:B,2,0)</f>
        <v>AKG</v>
      </c>
      <c r="M900" t="str">
        <f t="shared" si="59"/>
        <v>AKG-CRE</v>
      </c>
    </row>
    <row r="901" spans="1:13" ht="14.25" customHeight="true">
      <c r="A901" s="33" t="str">
        <f t="shared" si="56"/>
        <v>CRE - Intercompany</v>
      </c>
      <c r="B901" s="33" t="str">
        <f t="shared" si="57"/>
        <v>CRE</v>
      </c>
      <c r="C901" s="33" t="str">
        <f t="shared" si="58"/>
        <v>11318-0000</v>
      </c>
      <c r="D901" t="s">
        <v>17525</v>
      </c>
      <c r="E901" t="s">
        <v>13477</v>
      </c>
      <c r="F901" t="s">
        <v>14039</v>
      </c>
      <c r="G901" t="s">
        <v>14672</v>
      </c>
      <c r="H901" t="s">
        <v>13869</v>
      </c>
      <c r="I901" t="s">
        <v>14690</v>
      </c>
      <c r="J901" s="62">
        <v>0</v>
      </c>
      <c r="K901" s="62">
        <v>0</v>
      </c>
      <c r="L901" t="str">
        <f>VLOOKUP(VALUE(LEFT(C901,5)),Xref!A:B,2,0)</f>
        <v>FIR</v>
      </c>
      <c r="M901" t="str">
        <f t="shared" si="59"/>
        <v>CRE-FIR</v>
      </c>
    </row>
    <row r="902" spans="1:13" ht="14.25" customHeight="true">
      <c r="A902" s="33" t="str">
        <f t="shared" si="56"/>
        <v>CRE - Intercompany</v>
      </c>
      <c r="B902" s="33" t="str">
        <f t="shared" si="57"/>
        <v>CRE</v>
      </c>
      <c r="C902" s="33" t="str">
        <f t="shared" si="58"/>
        <v>11319-0000</v>
      </c>
      <c r="D902" t="s">
        <v>17526</v>
      </c>
      <c r="E902" t="s">
        <v>266</v>
      </c>
      <c r="F902" t="s">
        <v>14039</v>
      </c>
      <c r="G902" t="s">
        <v>14672</v>
      </c>
      <c r="H902" t="s">
        <v>13869</v>
      </c>
      <c r="I902" t="s">
        <v>14690</v>
      </c>
      <c r="J902" s="62">
        <v>0</v>
      </c>
      <c r="K902" s="62">
        <v>0</v>
      </c>
      <c r="L902" t="str">
        <f>VLOOKUP(VALUE(LEFT(C902,5)),Xref!A:B,2,0)</f>
        <v>GST</v>
      </c>
      <c r="M902" t="str">
        <f t="shared" si="59"/>
        <v>CRE-GST</v>
      </c>
    </row>
    <row r="903" spans="1:13" ht="14.25" customHeight="true">
      <c r="A903" s="33" t="str">
        <f t="shared" si="56"/>
        <v>CRE - Intercompany</v>
      </c>
      <c r="B903" s="33" t="str">
        <f t="shared" si="57"/>
        <v>CRE</v>
      </c>
      <c r="C903" s="33" t="str">
        <f t="shared" si="58"/>
        <v>11320-0000</v>
      </c>
      <c r="D903" t="s">
        <v>17527</v>
      </c>
      <c r="E903" t="s">
        <v>14111</v>
      </c>
      <c r="F903" t="s">
        <v>14039</v>
      </c>
      <c r="G903" t="s">
        <v>14672</v>
      </c>
      <c r="H903" t="s">
        <v>13869</v>
      </c>
      <c r="I903" t="s">
        <v>14690</v>
      </c>
      <c r="J903" s="62">
        <v>0</v>
      </c>
      <c r="K903" s="62">
        <v>0</v>
      </c>
      <c r="L903" t="str">
        <f>VLOOKUP(VALUE(LEFT(C903,5)),Xref!A:B,2,0)</f>
        <v>HDN</v>
      </c>
      <c r="M903" t="str">
        <f t="shared" si="59"/>
        <v>CRE-HDN</v>
      </c>
    </row>
    <row r="904" spans="1:13" ht="14.25" customHeight="true">
      <c r="A904" s="33" t="str">
        <f t="shared" si="56"/>
        <v>CRE - Intercompany</v>
      </c>
      <c r="B904" s="33" t="str">
        <f t="shared" si="57"/>
        <v>CRE</v>
      </c>
      <c r="C904" s="33" t="str">
        <f t="shared" si="58"/>
        <v>11321-0000</v>
      </c>
      <c r="D904" t="s">
        <v>17528</v>
      </c>
      <c r="E904" t="s">
        <v>13236</v>
      </c>
      <c r="F904" t="s">
        <v>14039</v>
      </c>
      <c r="G904" t="s">
        <v>14672</v>
      </c>
      <c r="H904" t="s">
        <v>13869</v>
      </c>
      <c r="I904" t="s">
        <v>14690</v>
      </c>
      <c r="J904" s="62">
        <v>0</v>
      </c>
      <c r="K904" s="62">
        <v>0</v>
      </c>
      <c r="L904" t="str">
        <f>VLOOKUP(VALUE(LEFT(C904,5)),Xref!A:B,2,0)</f>
        <v>OVA</v>
      </c>
      <c r="M904" t="str">
        <f t="shared" si="59"/>
        <v>CRE-OVA</v>
      </c>
    </row>
    <row r="905" spans="1:13" ht="14.25" customHeight="true">
      <c r="A905" s="33" t="str">
        <f t="shared" si="56"/>
        <v>CRE - Intercompany</v>
      </c>
      <c r="B905" s="33" t="str">
        <f t="shared" si="57"/>
        <v>CRE</v>
      </c>
      <c r="C905" s="33" t="str">
        <f t="shared" si="58"/>
        <v>11322-0000</v>
      </c>
      <c r="D905" t="s">
        <v>17529</v>
      </c>
      <c r="E905" t="s">
        <v>13237</v>
      </c>
      <c r="F905" t="s">
        <v>14039</v>
      </c>
      <c r="G905" t="s">
        <v>14672</v>
      </c>
      <c r="H905" t="s">
        <v>13869</v>
      </c>
      <c r="I905" t="s">
        <v>14690</v>
      </c>
      <c r="J905" s="62">
        <v>0</v>
      </c>
      <c r="K905" s="62">
        <v>0</v>
      </c>
      <c r="L905" t="str">
        <f>VLOOKUP(VALUE(LEFT(C905,5)),Xref!A:B,2,0)</f>
        <v>WOO</v>
      </c>
      <c r="M905" t="str">
        <f t="shared" si="59"/>
        <v>CRE-WOO</v>
      </c>
    </row>
    <row r="906" spans="1:13" ht="14.25" customHeight="true">
      <c r="A906" s="33" t="str">
        <f t="shared" si="56"/>
        <v>CRE - Intercompany</v>
      </c>
      <c r="B906" s="33" t="str">
        <f t="shared" si="57"/>
        <v>CRE</v>
      </c>
      <c r="C906" s="33" t="str">
        <f t="shared" si="58"/>
        <v>11323-0000</v>
      </c>
      <c r="D906" t="s">
        <v>17530</v>
      </c>
      <c r="E906" t="s">
        <v>13478</v>
      </c>
      <c r="F906" t="s">
        <v>14039</v>
      </c>
      <c r="G906" t="s">
        <v>14672</v>
      </c>
      <c r="H906" t="s">
        <v>13869</v>
      </c>
      <c r="I906" t="s">
        <v>14690</v>
      </c>
      <c r="J906" s="62">
        <v>0</v>
      </c>
      <c r="K906" s="62">
        <v>0</v>
      </c>
      <c r="L906" t="str">
        <f>VLOOKUP(VALUE(LEFT(C906,5)),Xref!A:B,2,0)</f>
        <v>SPI</v>
      </c>
      <c r="M906" t="str">
        <f t="shared" si="59"/>
        <v>CRE-SPI</v>
      </c>
    </row>
    <row r="907" spans="1:13" ht="14.25" customHeight="true">
      <c r="A907" s="33" t="str">
        <f t="shared" si="56"/>
        <v>CRE - Intercompany</v>
      </c>
      <c r="B907" s="33" t="str">
        <f t="shared" si="57"/>
        <v>CRE</v>
      </c>
      <c r="C907" s="33" t="str">
        <f t="shared" si="58"/>
        <v>11324-0000</v>
      </c>
      <c r="D907" t="s">
        <v>17531</v>
      </c>
      <c r="E907" t="s">
        <v>13238</v>
      </c>
      <c r="F907" t="s">
        <v>14039</v>
      </c>
      <c r="G907" t="s">
        <v>14672</v>
      </c>
      <c r="H907" t="s">
        <v>13869</v>
      </c>
      <c r="I907" t="s">
        <v>14690</v>
      </c>
      <c r="J907" s="62">
        <v>0</v>
      </c>
      <c r="K907" s="62">
        <v>0</v>
      </c>
      <c r="L907" t="str">
        <f>VLOOKUP(VALUE(LEFT(C907,5)),Xref!A:B,2,0)</f>
        <v>NET</v>
      </c>
      <c r="M907" t="str">
        <f t="shared" si="59"/>
        <v>CRE-NET</v>
      </c>
    </row>
    <row r="908" spans="1:13" ht="14.25" customHeight="true">
      <c r="A908" s="33" t="str">
        <f t="shared" si="56"/>
        <v>CRE - Intercompany</v>
      </c>
      <c r="B908" s="33" t="str">
        <f t="shared" si="57"/>
        <v>CRE</v>
      </c>
      <c r="C908" s="33" t="str">
        <f t="shared" si="58"/>
        <v>11325-0000</v>
      </c>
      <c r="D908" t="s">
        <v>17532</v>
      </c>
      <c r="E908" t="s">
        <v>13239</v>
      </c>
      <c r="F908" t="s">
        <v>14039</v>
      </c>
      <c r="G908" t="s">
        <v>14672</v>
      </c>
      <c r="H908" t="s">
        <v>13869</v>
      </c>
      <c r="I908" t="s">
        <v>14690</v>
      </c>
      <c r="J908" s="62">
        <v>0</v>
      </c>
      <c r="K908" s="62">
        <v>0</v>
      </c>
      <c r="L908" t="str">
        <f>VLOOKUP(VALUE(LEFT(C908,5)),Xref!A:B,2,0)</f>
        <v>DPI</v>
      </c>
      <c r="M908" t="str">
        <f t="shared" si="59"/>
        <v>CRE-DPI</v>
      </c>
    </row>
    <row r="909" spans="1:13" ht="14.25" customHeight="true">
      <c r="A909" s="33" t="str">
        <f t="shared" si="56"/>
        <v>CRE - Intercompany</v>
      </c>
      <c r="B909" s="33" t="str">
        <f t="shared" si="57"/>
        <v>CRE</v>
      </c>
      <c r="C909" s="33" t="str">
        <f t="shared" si="58"/>
        <v>11326-0000</v>
      </c>
      <c r="D909" t="s">
        <v>17533</v>
      </c>
      <c r="E909" t="s">
        <v>13240</v>
      </c>
      <c r="F909" t="s">
        <v>14039</v>
      </c>
      <c r="G909" t="s">
        <v>14672</v>
      </c>
      <c r="H909" t="s">
        <v>13869</v>
      </c>
      <c r="I909" t="s">
        <v>14690</v>
      </c>
      <c r="J909" s="62">
        <v>0</v>
      </c>
      <c r="K909" s="62">
        <v>0</v>
      </c>
      <c r="L909" t="str">
        <f>VLOOKUP(VALUE(LEFT(C909,5)),Xref!A:B,2,0)</f>
        <v>SEK</v>
      </c>
      <c r="M909" t="str">
        <f t="shared" si="59"/>
        <v>CRE-SEK</v>
      </c>
    </row>
    <row r="910" spans="1:13" ht="14.25" customHeight="true">
      <c r="A910" s="33" t="str">
        <f t="shared" si="56"/>
        <v>CRE - Intercompany</v>
      </c>
      <c r="B910" s="33" t="str">
        <f t="shared" si="57"/>
        <v>CRE</v>
      </c>
      <c r="C910" s="33" t="str">
        <f t="shared" si="58"/>
        <v>11327-0000</v>
      </c>
      <c r="D910" t="s">
        <v>17534</v>
      </c>
      <c r="E910" t="s">
        <v>14119</v>
      </c>
      <c r="F910" t="s">
        <v>14039</v>
      </c>
      <c r="G910" t="s">
        <v>14672</v>
      </c>
      <c r="H910" t="s">
        <v>13869</v>
      </c>
      <c r="I910" t="s">
        <v>14690</v>
      </c>
      <c r="J910" s="62">
        <v>0</v>
      </c>
      <c r="K910" s="62">
        <v>0</v>
      </c>
      <c r="L910" t="str">
        <f>VLOOKUP(VALUE(LEFT(C910,5)),Xref!A:B,2,0)</f>
        <v>CPI</v>
      </c>
      <c r="M910" t="str">
        <f t="shared" si="59"/>
        <v>CPI-CRE</v>
      </c>
    </row>
    <row r="911" spans="1:13" ht="14.25" customHeight="true">
      <c r="A911" s="33" t="str">
        <f t="shared" si="56"/>
        <v>CRE - Intercompany</v>
      </c>
      <c r="B911" s="33" t="str">
        <f t="shared" si="57"/>
        <v>CRE</v>
      </c>
      <c r="C911" s="33" t="str">
        <f t="shared" si="58"/>
        <v>11328-0000</v>
      </c>
      <c r="D911" t="s">
        <v>17535</v>
      </c>
      <c r="E911" t="s">
        <v>13241</v>
      </c>
      <c r="F911" t="s">
        <v>14039</v>
      </c>
      <c r="G911" t="s">
        <v>14672</v>
      </c>
      <c r="H911" t="s">
        <v>13869</v>
      </c>
      <c r="I911" t="s">
        <v>14690</v>
      </c>
      <c r="J911" s="62">
        <v>0</v>
      </c>
      <c r="K911" s="62">
        <v>0</v>
      </c>
      <c r="L911" t="str">
        <f>VLOOKUP(VALUE(LEFT(C911,5)),Xref!A:B,2,0)</f>
        <v>LOM</v>
      </c>
      <c r="M911" t="str">
        <f t="shared" si="59"/>
        <v>CRE-LOM</v>
      </c>
    </row>
    <row r="912" spans="1:13" ht="14.25" customHeight="true">
      <c r="A912" s="33" t="str">
        <f t="shared" si="56"/>
        <v>CRE - Intercompany</v>
      </c>
      <c r="B912" s="33" t="str">
        <f t="shared" si="57"/>
        <v>CRE</v>
      </c>
      <c r="C912" s="33" t="str">
        <f t="shared" si="58"/>
        <v>11329-0000</v>
      </c>
      <c r="D912" t="s">
        <v>17536</v>
      </c>
      <c r="E912" t="s">
        <v>13353</v>
      </c>
      <c r="F912" t="s">
        <v>14039</v>
      </c>
      <c r="G912" t="s">
        <v>14672</v>
      </c>
      <c r="H912" t="s">
        <v>13869</v>
      </c>
      <c r="I912" t="s">
        <v>14690</v>
      </c>
      <c r="J912" s="62">
        <v>0</v>
      </c>
      <c r="K912" s="62">
        <v>0</v>
      </c>
      <c r="L912" t="str">
        <f>VLOOKUP(VALUE(LEFT(C912,5)),Xref!A:B,2,0)</f>
        <v>AKS</v>
      </c>
      <c r="M912" t="str">
        <f t="shared" si="59"/>
        <v>AKS-CRE</v>
      </c>
    </row>
    <row r="913" spans="1:13" ht="14.25" customHeight="true">
      <c r="A913" s="33" t="str">
        <f t="shared" si="56"/>
        <v>CRE - Intercompany</v>
      </c>
      <c r="B913" s="33" t="str">
        <f t="shared" si="57"/>
        <v>CRE</v>
      </c>
      <c r="C913" s="33" t="str">
        <f t="shared" si="58"/>
        <v>11330-0000</v>
      </c>
      <c r="D913" t="s">
        <v>17537</v>
      </c>
      <c r="E913" t="s">
        <v>13242</v>
      </c>
      <c r="F913" t="s">
        <v>14039</v>
      </c>
      <c r="G913" t="s">
        <v>14672</v>
      </c>
      <c r="H913" t="s">
        <v>13869</v>
      </c>
      <c r="I913" t="s">
        <v>14690</v>
      </c>
      <c r="J913" s="62">
        <v>0</v>
      </c>
      <c r="K913" s="62">
        <v>0</v>
      </c>
      <c r="L913" t="str">
        <f>VLOOKUP(VALUE(LEFT(C913,5)),Xref!A:B,2,0)</f>
        <v>MAR</v>
      </c>
      <c r="M913" t="str">
        <f t="shared" si="59"/>
        <v>CRE-MAR</v>
      </c>
    </row>
    <row r="914" spans="1:13" ht="14.25" customHeight="true">
      <c r="A914" s="33" t="str">
        <f t="shared" si="56"/>
        <v>CRE - Intercompany</v>
      </c>
      <c r="B914" s="33" t="str">
        <f t="shared" si="57"/>
        <v>CRE</v>
      </c>
      <c r="C914" s="33" t="str">
        <f t="shared" si="58"/>
        <v>11331-0000</v>
      </c>
      <c r="D914" t="s">
        <v>656</v>
      </c>
      <c r="E914" t="s">
        <v>13354</v>
      </c>
      <c r="F914" t="s">
        <v>14039</v>
      </c>
      <c r="G914" t="s">
        <v>14672</v>
      </c>
      <c r="H914" t="s">
        <v>13869</v>
      </c>
      <c r="I914" t="s">
        <v>14690</v>
      </c>
      <c r="J914" s="62">
        <v>0</v>
      </c>
      <c r="K914" s="62">
        <v>10000</v>
      </c>
      <c r="L914" t="str">
        <f>VLOOKUP(VALUE(LEFT(C914,5)),Xref!A:B,2,0)</f>
        <v>WIL</v>
      </c>
      <c r="M914" t="str">
        <f t="shared" si="59"/>
        <v>CRE-WIL</v>
      </c>
    </row>
    <row r="915" spans="1:13" ht="14.25" customHeight="true">
      <c r="A915" s="33" t="str">
        <f t="shared" si="56"/>
        <v>CRE - Intercompany</v>
      </c>
      <c r="B915" s="33" t="str">
        <f t="shared" si="57"/>
        <v>CRE</v>
      </c>
      <c r="C915" s="33" t="str">
        <f t="shared" si="58"/>
        <v>11332-0000</v>
      </c>
      <c r="D915" t="s">
        <v>17538</v>
      </c>
      <c r="E915" t="s">
        <v>13243</v>
      </c>
      <c r="F915" t="s">
        <v>14039</v>
      </c>
      <c r="G915" t="s">
        <v>14672</v>
      </c>
      <c r="H915" t="s">
        <v>13869</v>
      </c>
      <c r="I915" t="s">
        <v>14690</v>
      </c>
      <c r="J915" s="62">
        <v>0</v>
      </c>
      <c r="K915" s="62">
        <v>0</v>
      </c>
      <c r="L915" t="str">
        <f>VLOOKUP(VALUE(LEFT(C915,5)),Xref!A:B,2,0)</f>
        <v>STO</v>
      </c>
      <c r="M915" t="str">
        <f t="shared" si="59"/>
        <v>CRE-STO</v>
      </c>
    </row>
    <row r="916" spans="1:13" ht="14.25" customHeight="true">
      <c r="A916" s="33" t="str">
        <f t="shared" si="56"/>
        <v>CRE - Intercompany</v>
      </c>
      <c r="B916" s="33" t="str">
        <f t="shared" si="57"/>
        <v>CRE</v>
      </c>
      <c r="C916" s="33" t="str">
        <f t="shared" si="58"/>
        <v>11333-0000</v>
      </c>
      <c r="D916" t="s">
        <v>657</v>
      </c>
      <c r="E916" t="s">
        <v>13244</v>
      </c>
      <c r="F916" t="s">
        <v>14039</v>
      </c>
      <c r="G916" t="s">
        <v>14672</v>
      </c>
      <c r="H916" t="s">
        <v>13869</v>
      </c>
      <c r="I916" t="s">
        <v>14690</v>
      </c>
      <c r="J916" s="62">
        <v>0</v>
      </c>
      <c r="K916" s="62">
        <v>10000</v>
      </c>
      <c r="L916" t="str">
        <f>VLOOKUP(VALUE(LEFT(C916,5)),Xref!A:B,2,0)</f>
        <v>ANG</v>
      </c>
      <c r="M916" t="str">
        <f t="shared" si="59"/>
        <v>ANG-CRE</v>
      </c>
    </row>
    <row r="917" spans="1:13" ht="14.25" customHeight="true">
      <c r="A917" s="33" t="str">
        <f t="shared" si="56"/>
        <v>CRE - Intercompany</v>
      </c>
      <c r="B917" s="33" t="str">
        <f t="shared" si="57"/>
        <v>CRE</v>
      </c>
      <c r="C917" s="33" t="str">
        <f t="shared" si="58"/>
        <v>11334-0000</v>
      </c>
      <c r="D917" t="s">
        <v>17539</v>
      </c>
      <c r="E917" t="s">
        <v>13245</v>
      </c>
      <c r="F917" t="s">
        <v>14039</v>
      </c>
      <c r="G917" t="s">
        <v>14672</v>
      </c>
      <c r="H917" t="s">
        <v>13869</v>
      </c>
      <c r="I917" t="s">
        <v>14690</v>
      </c>
      <c r="J917" s="62">
        <v>0</v>
      </c>
      <c r="K917" s="62">
        <v>0</v>
      </c>
      <c r="L917" t="str">
        <f>VLOOKUP(VALUE(LEFT(C917,5)),Xref!A:B,2,0)</f>
        <v>BRU</v>
      </c>
      <c r="M917" t="str">
        <f t="shared" si="59"/>
        <v>BRU-CRE</v>
      </c>
    </row>
    <row r="918" spans="1:13" ht="14.25" customHeight="true">
      <c r="A918" s="33" t="str">
        <f t="shared" si="56"/>
        <v>CRE - Intercompany</v>
      </c>
      <c r="B918" s="33" t="str">
        <f t="shared" si="57"/>
        <v>CRE</v>
      </c>
      <c r="C918" s="33" t="str">
        <f t="shared" si="58"/>
        <v>11335-0000</v>
      </c>
      <c r="D918" t="s">
        <v>17540</v>
      </c>
      <c r="E918" t="s">
        <v>13246</v>
      </c>
      <c r="F918" t="s">
        <v>14039</v>
      </c>
      <c r="G918" t="s">
        <v>14672</v>
      </c>
      <c r="H918" t="s">
        <v>13869</v>
      </c>
      <c r="I918" t="s">
        <v>14690</v>
      </c>
      <c r="J918" s="62">
        <v>0</v>
      </c>
      <c r="K918" s="62">
        <v>0</v>
      </c>
      <c r="L918" t="str">
        <f>VLOOKUP(VALUE(LEFT(C918,5)),Xref!A:B,2,0)</f>
        <v>VEN</v>
      </c>
      <c r="M918" t="str">
        <f t="shared" si="59"/>
        <v>CRE-VEN</v>
      </c>
    </row>
    <row r="919" spans="1:13" ht="14.25" customHeight="true">
      <c r="A919" s="33" t="str">
        <f t="shared" si="56"/>
        <v>CRE - Intercompany</v>
      </c>
      <c r="B919" s="33" t="str">
        <f t="shared" si="57"/>
        <v>CRE</v>
      </c>
      <c r="C919" s="33" t="str">
        <f t="shared" si="58"/>
        <v>11336-0000</v>
      </c>
      <c r="D919" t="s">
        <v>17541</v>
      </c>
      <c r="E919" t="s">
        <v>13247</v>
      </c>
      <c r="F919" t="s">
        <v>14039</v>
      </c>
      <c r="G919" t="s">
        <v>14672</v>
      </c>
      <c r="H919" t="s">
        <v>13869</v>
      </c>
      <c r="I919" t="s">
        <v>14690</v>
      </c>
      <c r="J919" s="62">
        <v>0</v>
      </c>
      <c r="K919" s="62">
        <v>0</v>
      </c>
      <c r="L919" t="str">
        <f>VLOOKUP(VALUE(LEFT(C919,5)),Xref!A:B,2,0)</f>
        <v>SAT</v>
      </c>
      <c r="M919" t="str">
        <f t="shared" si="59"/>
        <v>CRE-SAT</v>
      </c>
    </row>
    <row r="920" spans="1:13" ht="14.25" customHeight="true">
      <c r="A920" s="33" t="str">
        <f t="shared" si="56"/>
        <v>CRE - Intercompany</v>
      </c>
      <c r="B920" s="33" t="str">
        <f t="shared" si="57"/>
        <v>CRE</v>
      </c>
      <c r="C920" s="33" t="str">
        <f t="shared" si="58"/>
        <v>11337-0000</v>
      </c>
      <c r="D920" t="s">
        <v>17542</v>
      </c>
      <c r="E920" t="s">
        <v>13248</v>
      </c>
      <c r="F920" t="s">
        <v>14039</v>
      </c>
      <c r="G920" t="s">
        <v>14672</v>
      </c>
      <c r="H920" t="s">
        <v>13869</v>
      </c>
      <c r="I920" t="s">
        <v>14690</v>
      </c>
      <c r="J920" s="62">
        <v>0</v>
      </c>
      <c r="K920" s="62">
        <v>0</v>
      </c>
      <c r="L920" t="str">
        <f>VLOOKUP(VALUE(LEFT(C920,5)),Xref!A:B,2,0)</f>
        <v>NEP</v>
      </c>
      <c r="M920" t="str">
        <f t="shared" si="59"/>
        <v>CRE-NEP</v>
      </c>
    </row>
    <row r="921" spans="1:13" ht="14.25" customHeight="true">
      <c r="A921" s="33" t="str">
        <f t="shared" si="56"/>
        <v>CRE - Intercompany</v>
      </c>
      <c r="B921" s="33" t="str">
        <f t="shared" si="57"/>
        <v>CRE</v>
      </c>
      <c r="C921" s="33" t="str">
        <f t="shared" si="58"/>
        <v>11338-0000</v>
      </c>
      <c r="D921" t="s">
        <v>17543</v>
      </c>
      <c r="E921" t="s">
        <v>14131</v>
      </c>
      <c r="F921" t="s">
        <v>14039</v>
      </c>
      <c r="G921" t="s">
        <v>14672</v>
      </c>
      <c r="H921" t="s">
        <v>13869</v>
      </c>
      <c r="I921" t="s">
        <v>14690</v>
      </c>
      <c r="J921" s="62">
        <v>0</v>
      </c>
      <c r="K921" s="62">
        <v>0</v>
      </c>
      <c r="L921" t="str">
        <f>VLOOKUP(VALUE(LEFT(C921,5)),Xref!A:B,2,0)</f>
        <v>JUP</v>
      </c>
      <c r="M921" t="str">
        <f t="shared" si="59"/>
        <v>CRE-JUP</v>
      </c>
    </row>
    <row r="922" spans="1:13" ht="14.25" customHeight="true">
      <c r="A922" s="33" t="str">
        <f t="shared" si="56"/>
        <v>CRE - Intercompany</v>
      </c>
      <c r="B922" s="33" t="str">
        <f t="shared" si="57"/>
        <v>CRE</v>
      </c>
      <c r="C922" s="33" t="str">
        <f t="shared" si="58"/>
        <v>11339-0000</v>
      </c>
      <c r="D922" t="s">
        <v>17544</v>
      </c>
      <c r="E922" t="s">
        <v>14133</v>
      </c>
      <c r="F922" t="s">
        <v>14039</v>
      </c>
      <c r="G922" t="s">
        <v>14672</v>
      </c>
      <c r="H922" t="s">
        <v>13869</v>
      </c>
      <c r="I922" t="s">
        <v>14690</v>
      </c>
      <c r="J922" s="62">
        <v>0</v>
      </c>
      <c r="K922" s="62">
        <v>0</v>
      </c>
      <c r="L922" t="str">
        <f>VLOOKUP(VALUE(LEFT(C922,5)),Xref!A:B,2,0)</f>
        <v>WES</v>
      </c>
      <c r="M922" t="str">
        <f t="shared" si="59"/>
        <v>CRE-WES</v>
      </c>
    </row>
    <row r="923" spans="1:13" ht="14.25" customHeight="true">
      <c r="A923" s="33" t="str">
        <f t="shared" si="56"/>
        <v>CRE - Intercompany</v>
      </c>
      <c r="B923" s="33" t="str">
        <f t="shared" si="57"/>
        <v>CRE</v>
      </c>
      <c r="C923" s="33" t="str">
        <f t="shared" si="58"/>
        <v>11340-0000</v>
      </c>
      <c r="D923" t="s">
        <v>17545</v>
      </c>
      <c r="E923" t="s">
        <v>14135</v>
      </c>
      <c r="F923" t="s">
        <v>14039</v>
      </c>
      <c r="G923" t="s">
        <v>14672</v>
      </c>
      <c r="H923" t="s">
        <v>13869</v>
      </c>
      <c r="I923" t="s">
        <v>14690</v>
      </c>
      <c r="J923" s="62">
        <v>0</v>
      </c>
      <c r="K923" s="62">
        <v>0</v>
      </c>
      <c r="L923" t="str">
        <f>VLOOKUP(VALUE(LEFT(C923,5)),Xref!A:B,2,0)</f>
        <v>LCP</v>
      </c>
      <c r="M923" t="str">
        <f t="shared" si="59"/>
        <v>CRE-LCP</v>
      </c>
    </row>
    <row r="924" spans="1:13" ht="14.25" customHeight="true">
      <c r="A924" s="33" t="str">
        <f t="shared" si="56"/>
        <v>CRE - Intercompany</v>
      </c>
      <c r="B924" s="33" t="str">
        <f t="shared" si="57"/>
        <v>CRE</v>
      </c>
      <c r="C924" s="33" t="str">
        <f t="shared" si="58"/>
        <v>11341-0000</v>
      </c>
      <c r="D924" t="s">
        <v>17546</v>
      </c>
      <c r="E924" t="s">
        <v>13639</v>
      </c>
      <c r="F924" t="s">
        <v>14039</v>
      </c>
      <c r="G924" t="s">
        <v>14672</v>
      </c>
      <c r="H924" t="s">
        <v>13869</v>
      </c>
      <c r="I924" t="s">
        <v>14690</v>
      </c>
      <c r="J924" s="62">
        <v>0</v>
      </c>
      <c r="K924" s="62">
        <v>0</v>
      </c>
      <c r="L924" t="str">
        <f>VLOOKUP(VALUE(LEFT(C924,5)),Xref!A:B,2,0)</f>
        <v>NOR</v>
      </c>
      <c r="M924" t="str">
        <f t="shared" si="59"/>
        <v>CRE-NOR</v>
      </c>
    </row>
    <row r="925" spans="1:13" ht="14.25" customHeight="true">
      <c r="A925" s="33" t="str">
        <f t="shared" si="56"/>
        <v>CRE - Intercompany</v>
      </c>
      <c r="B925" s="33" t="str">
        <f t="shared" si="57"/>
        <v>CRE</v>
      </c>
      <c r="C925" s="33" t="str">
        <f t="shared" si="58"/>
        <v>11342-0000</v>
      </c>
      <c r="D925" t="s">
        <v>17547</v>
      </c>
      <c r="E925" t="s">
        <v>13355</v>
      </c>
      <c r="F925" t="s">
        <v>14039</v>
      </c>
      <c r="G925" t="s">
        <v>14672</v>
      </c>
      <c r="H925" t="s">
        <v>13869</v>
      </c>
      <c r="I925" t="s">
        <v>14690</v>
      </c>
      <c r="J925" s="62">
        <v>0</v>
      </c>
      <c r="K925" s="62">
        <v>0</v>
      </c>
      <c r="L925" t="str">
        <f>VLOOKUP(VALUE(LEFT(C925,5)),Xref!A:B,2,0)</f>
        <v>EAS</v>
      </c>
      <c r="M925" t="str">
        <f t="shared" si="59"/>
        <v>CRE-EAS</v>
      </c>
    </row>
    <row r="926" spans="1:13" ht="14.25" customHeight="true">
      <c r="A926" s="33" t="str">
        <f t="shared" si="56"/>
        <v>CRE - Intercompany</v>
      </c>
      <c r="B926" s="33" t="str">
        <f t="shared" si="57"/>
        <v>CRE</v>
      </c>
      <c r="C926" s="33" t="str">
        <f t="shared" si="58"/>
        <v>11343-0000</v>
      </c>
      <c r="D926" t="s">
        <v>658</v>
      </c>
      <c r="E926" t="s">
        <v>14139</v>
      </c>
      <c r="F926" t="s">
        <v>14039</v>
      </c>
      <c r="G926" t="s">
        <v>14672</v>
      </c>
      <c r="H926" t="s">
        <v>13869</v>
      </c>
      <c r="I926" t="s">
        <v>14690</v>
      </c>
      <c r="J926" s="62">
        <v>0</v>
      </c>
      <c r="K926" s="62">
        <v>9900</v>
      </c>
      <c r="L926" t="str">
        <f>VLOOKUP(VALUE(LEFT(C926,5)),Xref!A:B,2,0)</f>
        <v>GRA</v>
      </c>
      <c r="M926" t="str">
        <f t="shared" si="59"/>
        <v>CRE-GRA</v>
      </c>
    </row>
    <row r="927" spans="1:13" ht="14.25" customHeight="true">
      <c r="A927" s="33" t="str">
        <f t="shared" si="56"/>
        <v>CRE - Intercompany</v>
      </c>
      <c r="B927" s="33" t="str">
        <f t="shared" si="57"/>
        <v>CRE</v>
      </c>
      <c r="C927" s="33" t="str">
        <f t="shared" si="58"/>
        <v>11344-0000</v>
      </c>
      <c r="D927" t="s">
        <v>17548</v>
      </c>
      <c r="E927" t="s">
        <v>14141</v>
      </c>
      <c r="F927" t="s">
        <v>14039</v>
      </c>
      <c r="G927" t="s">
        <v>14672</v>
      </c>
      <c r="H927" t="s">
        <v>13869</v>
      </c>
      <c r="I927" t="s">
        <v>14690</v>
      </c>
      <c r="J927" s="62">
        <v>0</v>
      </c>
      <c r="K927" s="62">
        <v>0</v>
      </c>
      <c r="L927" t="str">
        <f>VLOOKUP(VALUE(LEFT(C927,5)),Xref!A:B,2,0)</f>
        <v>SOU</v>
      </c>
      <c r="M927" t="str">
        <f t="shared" si="59"/>
        <v>CRE-SOU</v>
      </c>
    </row>
    <row r="928" spans="1:13" ht="14.25" customHeight="true">
      <c r="A928" s="33" t="str">
        <f t="shared" si="56"/>
        <v>CRE - Intercompany</v>
      </c>
      <c r="B928" s="33" t="str">
        <f t="shared" si="57"/>
        <v>CRE</v>
      </c>
      <c r="C928" s="33" t="str">
        <f t="shared" si="58"/>
        <v>11345-0000</v>
      </c>
      <c r="D928" t="s">
        <v>17549</v>
      </c>
      <c r="E928" t="s">
        <v>14143</v>
      </c>
      <c r="F928" t="s">
        <v>14039</v>
      </c>
      <c r="G928" t="s">
        <v>14672</v>
      </c>
      <c r="H928" t="s">
        <v>13869</v>
      </c>
      <c r="I928" t="s">
        <v>14690</v>
      </c>
      <c r="J928" s="62">
        <v>0</v>
      </c>
      <c r="K928" s="62">
        <v>0</v>
      </c>
      <c r="L928" t="str">
        <f>VLOOKUP(VALUE(LEFT(C928,5)),Xref!A:B,2,0)</f>
        <v>API</v>
      </c>
      <c r="M928" t="str">
        <f t="shared" si="59"/>
        <v>API-CRE</v>
      </c>
    </row>
    <row r="929" spans="1:13" ht="14.25" customHeight="true">
      <c r="A929" s="33" t="str">
        <f t="shared" si="56"/>
        <v>CRE - Intercompany</v>
      </c>
      <c r="B929" s="33" t="str">
        <f t="shared" si="57"/>
        <v>CRE</v>
      </c>
      <c r="C929" s="33" t="str">
        <f t="shared" si="58"/>
        <v>11346-0000</v>
      </c>
      <c r="D929" t="s">
        <v>17550</v>
      </c>
      <c r="E929" t="s">
        <v>14145</v>
      </c>
      <c r="F929" t="s">
        <v>14039</v>
      </c>
      <c r="G929" t="s">
        <v>14672</v>
      </c>
      <c r="H929" t="s">
        <v>13869</v>
      </c>
      <c r="I929" t="s">
        <v>14690</v>
      </c>
      <c r="J929" s="62">
        <v>0</v>
      </c>
      <c r="K929" s="62">
        <v>0</v>
      </c>
      <c r="L929" t="str">
        <f>VLOOKUP(VALUE(LEFT(C929,5)),Xref!A:B,2,0)</f>
        <v>DPH</v>
      </c>
      <c r="M929" t="str">
        <f t="shared" si="59"/>
        <v>CRE-DPH</v>
      </c>
    </row>
    <row r="930" spans="1:13" ht="14.25" customHeight="true">
      <c r="A930" s="33" t="str">
        <f t="shared" si="56"/>
        <v>CRE - Intercompany</v>
      </c>
      <c r="B930" s="33" t="str">
        <f t="shared" si="57"/>
        <v>CRE</v>
      </c>
      <c r="C930" s="33" t="str">
        <f t="shared" si="58"/>
        <v>11347-0000</v>
      </c>
      <c r="D930" t="s">
        <v>17551</v>
      </c>
      <c r="E930" t="s">
        <v>14147</v>
      </c>
      <c r="F930" t="s">
        <v>14039</v>
      </c>
      <c r="G930" t="s">
        <v>14672</v>
      </c>
      <c r="H930" t="s">
        <v>13869</v>
      </c>
      <c r="I930" t="s">
        <v>14690</v>
      </c>
      <c r="J930" s="62">
        <v>0</v>
      </c>
      <c r="K930" s="62">
        <v>0</v>
      </c>
      <c r="L930" t="str">
        <f>VLOOKUP(VALUE(LEFT(C930,5)),Xref!A:B,2,0)</f>
        <v>ZPI</v>
      </c>
      <c r="M930" t="str">
        <f t="shared" si="59"/>
        <v>CRE-ZPI</v>
      </c>
    </row>
    <row r="931" spans="1:13" ht="14.25" customHeight="true">
      <c r="A931" s="33" t="str">
        <f t="shared" si="56"/>
        <v>CRE - Intercompany</v>
      </c>
      <c r="B931" s="33" t="str">
        <f t="shared" si="57"/>
        <v>CRE</v>
      </c>
      <c r="C931" s="33" t="str">
        <f t="shared" si="58"/>
        <v>11348-0000</v>
      </c>
      <c r="D931" t="s">
        <v>17552</v>
      </c>
      <c r="E931" t="s">
        <v>14149</v>
      </c>
      <c r="F931" t="s">
        <v>14039</v>
      </c>
      <c r="G931" t="s">
        <v>14672</v>
      </c>
      <c r="H931" t="s">
        <v>13869</v>
      </c>
      <c r="I931" t="s">
        <v>14690</v>
      </c>
      <c r="J931" s="62">
        <v>0</v>
      </c>
      <c r="K931" s="62">
        <v>0</v>
      </c>
      <c r="L931" t="str">
        <f>VLOOKUP(VALUE(LEFT(C931,5)),Xref!A:B,2,0)</f>
        <v>EAM</v>
      </c>
      <c r="M931" t="str">
        <f t="shared" si="59"/>
        <v>CRE-EAM</v>
      </c>
    </row>
    <row r="932" spans="1:13" ht="14.25" customHeight="true">
      <c r="A932" s="33" t="str">
        <f t="shared" si="56"/>
        <v>CRE - Intercompany</v>
      </c>
      <c r="B932" s="33" t="str">
        <f t="shared" si="57"/>
        <v>CRE</v>
      </c>
      <c r="C932" s="33" t="str">
        <f t="shared" si="58"/>
        <v>11349-0000</v>
      </c>
      <c r="D932" t="s">
        <v>17553</v>
      </c>
      <c r="E932" t="s">
        <v>14151</v>
      </c>
      <c r="F932" t="s">
        <v>14039</v>
      </c>
      <c r="G932" t="s">
        <v>14672</v>
      </c>
      <c r="H932" t="s">
        <v>13869</v>
      </c>
      <c r="I932" t="s">
        <v>14690</v>
      </c>
      <c r="J932" s="62">
        <v>0</v>
      </c>
      <c r="K932" s="62">
        <v>0</v>
      </c>
      <c r="L932" t="str">
        <f>VLOOKUP(VALUE(LEFT(C932,5)),Xref!A:B,2,0)</f>
        <v>SEA</v>
      </c>
      <c r="M932" t="str">
        <f t="shared" si="59"/>
        <v>CRE-SEA</v>
      </c>
    </row>
    <row r="933" spans="1:13" ht="14.25" customHeight="true">
      <c r="A933" s="33" t="str">
        <f t="shared" si="56"/>
        <v>CRE - Intercompany</v>
      </c>
      <c r="B933" s="33" t="str">
        <f t="shared" si="57"/>
        <v>CRE</v>
      </c>
      <c r="C933" s="33" t="str">
        <f t="shared" si="58"/>
        <v>11350-0000</v>
      </c>
      <c r="D933" t="s">
        <v>17554</v>
      </c>
      <c r="E933" t="s">
        <v>14153</v>
      </c>
      <c r="F933" t="s">
        <v>14039</v>
      </c>
      <c r="G933" t="s">
        <v>14672</v>
      </c>
      <c r="H933" t="s">
        <v>13869</v>
      </c>
      <c r="I933" t="s">
        <v>14690</v>
      </c>
      <c r="J933" s="62">
        <v>0</v>
      </c>
      <c r="K933" s="62">
        <v>-29.2</v>
      </c>
      <c r="L933" t="str">
        <f>VLOOKUP(VALUE(LEFT(C933,5)),Xref!A:B,2,0)</f>
        <v>EAL</v>
      </c>
      <c r="M933" t="str">
        <f t="shared" si="59"/>
        <v>CRE-EAL</v>
      </c>
    </row>
    <row r="934" spans="1:13" ht="14.25" customHeight="true">
      <c r="A934" s="33" t="str">
        <f t="shared" si="56"/>
        <v>CRE - Intercompany</v>
      </c>
      <c r="B934" s="33" t="str">
        <f t="shared" si="57"/>
        <v>CRE</v>
      </c>
      <c r="C934" s="33" t="str">
        <f t="shared" si="58"/>
        <v>11351-0000</v>
      </c>
      <c r="D934" t="s">
        <v>17555</v>
      </c>
      <c r="E934" t="s">
        <v>14155</v>
      </c>
      <c r="F934" t="s">
        <v>14039</v>
      </c>
      <c r="G934" t="s">
        <v>14672</v>
      </c>
      <c r="H934" t="s">
        <v>13869</v>
      </c>
      <c r="I934" t="s">
        <v>14690</v>
      </c>
      <c r="J934" s="62">
        <v>0</v>
      </c>
      <c r="K934" s="62">
        <v>0</v>
      </c>
      <c r="L934" t="str">
        <f>VLOOKUP(VALUE(LEFT(C934,5)),Xref!A:B,2,0)</f>
        <v>WEP</v>
      </c>
      <c r="M934" t="str">
        <f t="shared" si="59"/>
        <v>CRE-WEP</v>
      </c>
    </row>
    <row r="935" spans="1:13" ht="14.25" customHeight="true">
      <c r="A935" s="33" t="str">
        <f t="shared" si="56"/>
        <v>CRE - Intercompany</v>
      </c>
      <c r="B935" s="33" t="str">
        <f t="shared" si="57"/>
        <v>CRE</v>
      </c>
      <c r="C935" s="33" t="str">
        <f t="shared" si="58"/>
        <v>11352-0000</v>
      </c>
      <c r="D935" t="s">
        <v>17556</v>
      </c>
      <c r="E935" t="s">
        <v>13536</v>
      </c>
      <c r="F935" t="s">
        <v>14039</v>
      </c>
      <c r="G935" t="s">
        <v>14672</v>
      </c>
      <c r="H935" t="s">
        <v>13869</v>
      </c>
      <c r="I935" t="s">
        <v>14690</v>
      </c>
      <c r="J935" s="62">
        <v>0</v>
      </c>
      <c r="K935" s="62">
        <v>0</v>
      </c>
      <c r="L935" t="str">
        <f>VLOOKUP(VALUE(LEFT(C935,5)),Xref!A:B,2,0)</f>
        <v>KLP</v>
      </c>
      <c r="M935" t="str">
        <f t="shared" si="59"/>
        <v>CRE-KLP</v>
      </c>
    </row>
    <row r="936" spans="1:13" ht="14.25" customHeight="true">
      <c r="A936" s="33" t="str">
        <f t="shared" si="56"/>
        <v>CRE - Intercompany</v>
      </c>
      <c r="B936" s="33" t="str">
        <f t="shared" si="57"/>
        <v>CRE</v>
      </c>
      <c r="C936" s="33" t="str">
        <f t="shared" si="58"/>
        <v>11353-0000</v>
      </c>
      <c r="D936" t="s">
        <v>17557</v>
      </c>
      <c r="E936" t="s">
        <v>13537</v>
      </c>
      <c r="F936" t="s">
        <v>14039</v>
      </c>
      <c r="G936" t="s">
        <v>14672</v>
      </c>
      <c r="H936" t="s">
        <v>13869</v>
      </c>
      <c r="I936" t="s">
        <v>14690</v>
      </c>
      <c r="J936" s="62">
        <v>0</v>
      </c>
      <c r="K936" s="62">
        <v>0</v>
      </c>
      <c r="L936" t="str">
        <f>VLOOKUP(VALUE(LEFT(C936,5)),Xref!A:B,2,0)</f>
        <v>AKC</v>
      </c>
      <c r="M936" t="str">
        <f t="shared" si="59"/>
        <v>AKC-CRE</v>
      </c>
    </row>
    <row r="937" spans="1:13" ht="14.25" customHeight="true">
      <c r="A937" s="33" t="str">
        <f t="shared" si="56"/>
        <v>CRE - Intercompany</v>
      </c>
      <c r="B937" s="33" t="str">
        <f t="shared" si="57"/>
        <v>CRE</v>
      </c>
      <c r="C937" s="33" t="str">
        <f t="shared" si="58"/>
        <v>11354-0000</v>
      </c>
      <c r="D937" t="s">
        <v>17558</v>
      </c>
      <c r="E937" t="s">
        <v>13538</v>
      </c>
      <c r="F937" t="s">
        <v>14039</v>
      </c>
      <c r="G937" t="s">
        <v>14672</v>
      </c>
      <c r="H937" t="s">
        <v>13869</v>
      </c>
      <c r="I937" t="s">
        <v>14690</v>
      </c>
      <c r="J937" s="62">
        <v>0</v>
      </c>
      <c r="K937" s="62">
        <v>0</v>
      </c>
      <c r="L937" t="str">
        <f>VLOOKUP(VALUE(LEFT(C937,5)),Xref!A:B,2,0)</f>
        <v>AKA</v>
      </c>
      <c r="M937" t="str">
        <f t="shared" si="59"/>
        <v>AKA-CRE</v>
      </c>
    </row>
    <row r="938" spans="1:13" ht="14.25" customHeight="true">
      <c r="A938" s="33" t="str">
        <f t="shared" si="56"/>
        <v>CRE - Intercompany</v>
      </c>
      <c r="B938" s="33" t="str">
        <f t="shared" si="57"/>
        <v>CRE</v>
      </c>
      <c r="C938" s="33" t="str">
        <f t="shared" si="58"/>
        <v>11355-0000</v>
      </c>
      <c r="D938" t="s">
        <v>17559</v>
      </c>
      <c r="E938" t="s">
        <v>13539</v>
      </c>
      <c r="F938" t="s">
        <v>14039</v>
      </c>
      <c r="G938" t="s">
        <v>14672</v>
      </c>
      <c r="H938" t="s">
        <v>13869</v>
      </c>
      <c r="I938" t="s">
        <v>14690</v>
      </c>
      <c r="J938" s="62">
        <v>0</v>
      </c>
      <c r="K938" s="62">
        <v>0</v>
      </c>
      <c r="L938" t="str">
        <f>VLOOKUP(VALUE(LEFT(C938,5)),Xref!A:B,2,0)</f>
        <v>SPA</v>
      </c>
      <c r="M938" t="str">
        <f t="shared" si="59"/>
        <v>CRE-SPA</v>
      </c>
    </row>
    <row r="939" spans="1:13" ht="14.25" customHeight="true">
      <c r="A939" s="33" t="str">
        <f t="shared" si="56"/>
        <v>CRE - Intercompany</v>
      </c>
      <c r="B939" s="33" t="str">
        <f t="shared" si="57"/>
        <v>CRE</v>
      </c>
      <c r="C939" s="33" t="str">
        <f t="shared" si="58"/>
        <v>11356-0000</v>
      </c>
      <c r="D939" t="s">
        <v>17560</v>
      </c>
      <c r="E939" t="s">
        <v>13540</v>
      </c>
      <c r="F939" t="s">
        <v>14039</v>
      </c>
      <c r="G939" t="s">
        <v>14672</v>
      </c>
      <c r="H939" t="s">
        <v>13869</v>
      </c>
      <c r="I939" t="s">
        <v>14690</v>
      </c>
      <c r="J939" s="62">
        <v>0</v>
      </c>
      <c r="K939" s="62">
        <v>0</v>
      </c>
      <c r="L939" t="str">
        <f>VLOOKUP(VALUE(LEFT(C939,5)),Xref!A:B,2,0)</f>
        <v>DPM</v>
      </c>
      <c r="M939" t="str">
        <f t="shared" si="59"/>
        <v>CRE-DPM</v>
      </c>
    </row>
    <row r="940" spans="1:13" ht="14.25" customHeight="true">
      <c r="A940" s="33" t="str">
        <f t="shared" si="56"/>
        <v>CRE - Intercompany</v>
      </c>
      <c r="B940" s="33" t="str">
        <f t="shared" si="57"/>
        <v>CRE</v>
      </c>
      <c r="C940" s="33" t="str">
        <f t="shared" si="58"/>
        <v>11357-0000</v>
      </c>
      <c r="D940" t="s">
        <v>17561</v>
      </c>
      <c r="E940" t="s">
        <v>13541</v>
      </c>
      <c r="F940" t="s">
        <v>14039</v>
      </c>
      <c r="G940" t="s">
        <v>14672</v>
      </c>
      <c r="H940" t="s">
        <v>13869</v>
      </c>
      <c r="I940" t="s">
        <v>14690</v>
      </c>
      <c r="J940" s="62">
        <v>0</v>
      </c>
      <c r="K940" s="62">
        <v>0</v>
      </c>
      <c r="L940" t="str">
        <f>VLOOKUP(VALUE(LEFT(C940,5)),Xref!A:B,2,0)</f>
        <v>HDM</v>
      </c>
      <c r="M940" t="str">
        <f t="shared" si="59"/>
        <v>CRE-HDM</v>
      </c>
    </row>
    <row r="941" spans="1:13" ht="14.25" customHeight="true">
      <c r="A941" s="33" t="str">
        <f t="shared" si="56"/>
        <v>CRE - Intercompany</v>
      </c>
      <c r="B941" s="33" t="str">
        <f t="shared" si="57"/>
        <v>CRE</v>
      </c>
      <c r="C941" s="33" t="str">
        <f t="shared" si="58"/>
        <v>11358-0000</v>
      </c>
      <c r="D941" t="s">
        <v>17562</v>
      </c>
      <c r="E941" t="s">
        <v>13542</v>
      </c>
      <c r="F941" t="s">
        <v>14039</v>
      </c>
      <c r="G941" t="s">
        <v>14672</v>
      </c>
      <c r="H941" t="s">
        <v>13869</v>
      </c>
      <c r="I941" t="s">
        <v>14690</v>
      </c>
      <c r="J941" s="62">
        <v>0</v>
      </c>
      <c r="K941" s="62">
        <v>0</v>
      </c>
      <c r="L941" t="str">
        <f>VLOOKUP(VALUE(LEFT(C941,5)),Xref!A:B,2,0)</f>
        <v>GRA</v>
      </c>
      <c r="M941" t="str">
        <f t="shared" si="59"/>
        <v>CRE-GRA</v>
      </c>
    </row>
    <row r="942" spans="1:13" ht="14.25" customHeight="true">
      <c r="A942" s="33" t="str">
        <f t="shared" si="56"/>
        <v>CRE - Intercompany</v>
      </c>
      <c r="B942" s="33" t="str">
        <f t="shared" si="57"/>
        <v>CRE</v>
      </c>
      <c r="C942" s="33" t="str">
        <f t="shared" si="58"/>
        <v>11359-0000</v>
      </c>
      <c r="D942" t="s">
        <v>17563</v>
      </c>
      <c r="E942" t="s">
        <v>13543</v>
      </c>
      <c r="F942" t="s">
        <v>14039</v>
      </c>
      <c r="G942" t="s">
        <v>14672</v>
      </c>
      <c r="H942" t="s">
        <v>13869</v>
      </c>
      <c r="I942" t="s">
        <v>14690</v>
      </c>
      <c r="J942" s="62">
        <v>0</v>
      </c>
      <c r="K942" s="62">
        <v>0</v>
      </c>
      <c r="L942" t="str">
        <f>VLOOKUP(VALUE(LEFT(C942,5)),Xref!A:B,2,0)</f>
        <v>TPI</v>
      </c>
      <c r="M942" t="str">
        <f t="shared" si="59"/>
        <v>CRE-TPI</v>
      </c>
    </row>
    <row r="943" spans="1:13" ht="14.25" customHeight="true">
      <c r="A943" s="33" t="str">
        <f t="shared" si="56"/>
        <v>CRE - Intercompany</v>
      </c>
      <c r="B943" s="33" t="str">
        <f t="shared" si="57"/>
        <v>CRE</v>
      </c>
      <c r="C943" s="33" t="str">
        <f t="shared" si="58"/>
        <v>11361-0000</v>
      </c>
      <c r="D943" t="s">
        <v>17564</v>
      </c>
      <c r="E943" t="s">
        <v>14165</v>
      </c>
      <c r="F943" t="s">
        <v>14039</v>
      </c>
      <c r="G943" t="s">
        <v>14672</v>
      </c>
      <c r="H943" t="s">
        <v>13869</v>
      </c>
      <c r="I943" t="s">
        <v>14690</v>
      </c>
      <c r="J943" s="62">
        <v>0</v>
      </c>
      <c r="K943" s="62">
        <v>0</v>
      </c>
      <c r="L943" t="str">
        <f>VLOOKUP(VALUE(LEFT(C943,5)),Xref!A:B,2,0)</f>
        <v>GSM</v>
      </c>
      <c r="M943" t="str">
        <f t="shared" si="59"/>
        <v>CRE-GSM</v>
      </c>
    </row>
    <row r="944" spans="1:13" ht="14.25" customHeight="true">
      <c r="A944" s="33" t="str">
        <f t="shared" si="56"/>
        <v>CRE - Intercompany</v>
      </c>
      <c r="B944" s="33" t="str">
        <f t="shared" si="57"/>
        <v>CRE</v>
      </c>
      <c r="C944" s="33" t="str">
        <f t="shared" si="58"/>
        <v>11363-0000</v>
      </c>
      <c r="D944" t="s">
        <v>17565</v>
      </c>
      <c r="E944" t="s">
        <v>13544</v>
      </c>
      <c r="F944" t="s">
        <v>14039</v>
      </c>
      <c r="G944" t="s">
        <v>14672</v>
      </c>
      <c r="H944" t="s">
        <v>13869</v>
      </c>
      <c r="I944" t="s">
        <v>14690</v>
      </c>
      <c r="J944" s="62">
        <v>0</v>
      </c>
      <c r="K944" s="62">
        <v>0</v>
      </c>
      <c r="L944" t="str">
        <f>VLOOKUP(VALUE(LEFT(C944,5)),Xref!A:B,2,0)</f>
        <v>SOF</v>
      </c>
      <c r="M944" t="str">
        <f t="shared" si="59"/>
        <v>CRE-SOF</v>
      </c>
    </row>
    <row r="945" spans="1:13" ht="14.25" customHeight="true">
      <c r="A945" s="33" t="str">
        <f t="shared" si="56"/>
        <v>CRE - Intercompany</v>
      </c>
      <c r="B945" s="33" t="str">
        <f t="shared" si="57"/>
        <v>CRE</v>
      </c>
      <c r="C945" s="33" t="str">
        <f t="shared" si="58"/>
        <v>11364-0000</v>
      </c>
      <c r="D945" t="s">
        <v>17566</v>
      </c>
      <c r="E945" t="s">
        <v>14168</v>
      </c>
      <c r="F945" t="s">
        <v>14039</v>
      </c>
      <c r="G945" t="s">
        <v>14672</v>
      </c>
      <c r="H945" t="s">
        <v>13869</v>
      </c>
      <c r="I945" t="s">
        <v>14690</v>
      </c>
      <c r="J945" s="62">
        <v>0</v>
      </c>
      <c r="K945" s="62">
        <v>0</v>
      </c>
      <c r="L945" t="e">
        <f>VLOOKUP(VALUE(LEFT(C945,5)),Xref!A:B,2,0)</f>
        <v>#N/A</v>
      </c>
      <c r="M945" t="e">
        <f t="shared" si="59"/>
        <v>#N/A</v>
      </c>
    </row>
    <row r="946" spans="1:13" ht="14.25" customHeight="true">
      <c r="A946" s="33" t="str">
        <f t="shared" si="56"/>
        <v>CRE - Intercompany</v>
      </c>
      <c r="B946" s="33" t="str">
        <f t="shared" si="57"/>
        <v>CRE</v>
      </c>
      <c r="C946" s="33" t="str">
        <f t="shared" si="58"/>
        <v>11365-0000</v>
      </c>
      <c r="D946" t="s">
        <v>17567</v>
      </c>
      <c r="E946" t="s">
        <v>14170</v>
      </c>
      <c r="F946" t="s">
        <v>14039</v>
      </c>
      <c r="G946" t="s">
        <v>14672</v>
      </c>
      <c r="H946" t="s">
        <v>13869</v>
      </c>
      <c r="I946" t="s">
        <v>14690</v>
      </c>
      <c r="J946" s="62">
        <v>0</v>
      </c>
      <c r="K946" s="62">
        <v>0</v>
      </c>
      <c r="L946" t="e">
        <f>VLOOKUP(VALUE(LEFT(C946,5)),Xref!A:B,2,0)</f>
        <v>#N/A</v>
      </c>
      <c r="M946" t="e">
        <f t="shared" si="59"/>
        <v>#N/A</v>
      </c>
    </row>
    <row r="947" spans="1:13" ht="14.25" customHeight="true">
      <c r="A947" s="33" t="str">
        <f t="shared" si="56"/>
        <v>CRE - Intercompany</v>
      </c>
      <c r="B947" s="33" t="str">
        <f t="shared" si="57"/>
        <v>CRE</v>
      </c>
      <c r="C947" s="33" t="str">
        <f t="shared" si="58"/>
        <v>11366-0000</v>
      </c>
      <c r="D947" t="s">
        <v>17568</v>
      </c>
      <c r="E947" t="s">
        <v>14172</v>
      </c>
      <c r="G947" t="s">
        <v>14672</v>
      </c>
      <c r="H947" t="s">
        <v>13869</v>
      </c>
      <c r="I947" t="s">
        <v>14690</v>
      </c>
      <c r="J947" s="62">
        <v>0</v>
      </c>
      <c r="K947" s="62">
        <v>0</v>
      </c>
      <c r="L947" t="e">
        <f>VLOOKUP(VALUE(LEFT(C947,5)),Xref!A:B,2,0)</f>
        <v>#N/A</v>
      </c>
      <c r="M947" t="e">
        <f t="shared" si="59"/>
        <v>#N/A</v>
      </c>
    </row>
    <row r="948" spans="1:13" ht="14.25" customHeight="true">
      <c r="A948" s="33" t="str">
        <f t="shared" si="56"/>
        <v>CRE - Intercompany</v>
      </c>
      <c r="B948" s="33" t="str">
        <f t="shared" si="57"/>
        <v>CRE</v>
      </c>
      <c r="C948" s="33" t="str">
        <f t="shared" si="58"/>
        <v>11402-0000</v>
      </c>
      <c r="D948" t="s">
        <v>661</v>
      </c>
      <c r="E948" t="s">
        <v>14174</v>
      </c>
      <c r="G948" t="s">
        <v>14672</v>
      </c>
      <c r="H948" t="s">
        <v>13869</v>
      </c>
      <c r="I948" t="s">
        <v>14690</v>
      </c>
      <c r="J948" s="62">
        <v>0</v>
      </c>
      <c r="K948" s="62">
        <v>0</v>
      </c>
      <c r="L948" t="str">
        <f>VLOOKUP(VALUE(LEFT(C948,5)),Xref!A:B,2,0)</f>
        <v>DPI</v>
      </c>
      <c r="M948" t="str">
        <f t="shared" si="59"/>
        <v>CRE-DPI</v>
      </c>
    </row>
    <row r="949" spans="1:13" ht="14.25" customHeight="true">
      <c r="A949" s="33" t="str">
        <f t="shared" si="56"/>
        <v>CRE - Intercompany</v>
      </c>
      <c r="B949" s="33" t="str">
        <f t="shared" si="57"/>
        <v>CRE</v>
      </c>
      <c r="C949" s="33" t="str">
        <f t="shared" si="58"/>
        <v>11403-0000</v>
      </c>
      <c r="D949" t="s">
        <v>17569</v>
      </c>
      <c r="E949" t="s">
        <v>14176</v>
      </c>
      <c r="G949" t="s">
        <v>14672</v>
      </c>
      <c r="H949" t="s">
        <v>13869</v>
      </c>
      <c r="I949" t="s">
        <v>14690</v>
      </c>
      <c r="J949" s="62">
        <v>0</v>
      </c>
      <c r="K949" s="62">
        <v>0</v>
      </c>
      <c r="L949" t="str">
        <f>VLOOKUP(VALUE(LEFT(C949,5)),Xref!A:B,2,0)</f>
        <v>SEA</v>
      </c>
      <c r="M949" t="str">
        <f t="shared" si="59"/>
        <v>CRE-SEA</v>
      </c>
    </row>
    <row r="950" spans="1:13" ht="14.25" customHeight="true">
      <c r="A950" s="33" t="str">
        <f t="shared" si="56"/>
        <v>CRE - Intercompany</v>
      </c>
      <c r="B950" s="33" t="str">
        <f t="shared" si="57"/>
        <v>CRE</v>
      </c>
      <c r="C950" s="33" t="str">
        <f t="shared" si="58"/>
        <v>12400-0000</v>
      </c>
      <c r="D950" t="s">
        <v>17572</v>
      </c>
      <c r="E950" t="s">
        <v>14185</v>
      </c>
      <c r="F950" t="s">
        <v>14039</v>
      </c>
      <c r="G950" t="s">
        <v>14672</v>
      </c>
      <c r="H950" t="s">
        <v>13869</v>
      </c>
      <c r="I950" t="s">
        <v>14690</v>
      </c>
      <c r="J950" s="62">
        <v>0</v>
      </c>
      <c r="K950" s="62">
        <v>0</v>
      </c>
      <c r="L950" t="str">
        <f>VLOOKUP(VALUE(LEFT(C950,5)),Xref!A:B,2,0)</f>
        <v>aka</v>
      </c>
      <c r="M950" t="str">
        <f t="shared" si="59"/>
        <v>aka-CRE</v>
      </c>
    </row>
    <row r="951" spans="1:13" ht="14.25" customHeight="true">
      <c r="A951" s="33" t="str">
        <f t="shared" si="56"/>
        <v>CRE - Intercompany</v>
      </c>
      <c r="B951" s="33" t="str">
        <f t="shared" si="57"/>
        <v>CRE</v>
      </c>
      <c r="C951" s="33" t="str">
        <f t="shared" si="58"/>
        <v>12401-0000</v>
      </c>
      <c r="D951" t="s">
        <v>17573</v>
      </c>
      <c r="E951" t="s">
        <v>14187</v>
      </c>
      <c r="F951" t="s">
        <v>14039</v>
      </c>
      <c r="G951" t="s">
        <v>14672</v>
      </c>
      <c r="H951" t="s">
        <v>13869</v>
      </c>
      <c r="I951" t="s">
        <v>14690</v>
      </c>
      <c r="J951" s="62">
        <v>0</v>
      </c>
      <c r="K951" s="62">
        <v>66000</v>
      </c>
      <c r="L951" t="str">
        <f>VLOOKUP(VALUE(LEFT(C951,5)),Xref!A:B,2,0)</f>
        <v>aka</v>
      </c>
      <c r="M951" t="str">
        <f t="shared" si="59"/>
        <v>aka-CRE</v>
      </c>
    </row>
    <row r="952" spans="1:13" ht="14.25" customHeight="true">
      <c r="A952" s="33" t="str">
        <f t="shared" si="56"/>
        <v>CRE - Intercompany</v>
      </c>
      <c r="B952" s="33" t="str">
        <f t="shared" si="57"/>
        <v>CRE</v>
      </c>
      <c r="C952" s="33" t="str">
        <f t="shared" si="58"/>
        <v>12402-0000</v>
      </c>
      <c r="D952" t="s">
        <v>17574</v>
      </c>
      <c r="E952" t="s">
        <v>14189</v>
      </c>
      <c r="F952" t="s">
        <v>14039</v>
      </c>
      <c r="G952" t="s">
        <v>14672</v>
      </c>
      <c r="H952" t="s">
        <v>13869</v>
      </c>
      <c r="I952" t="s">
        <v>14690</v>
      </c>
      <c r="J952" s="62">
        <v>0</v>
      </c>
      <c r="K952" s="62">
        <v>40000</v>
      </c>
      <c r="L952" t="str">
        <f>VLOOKUP(VALUE(LEFT(C952,5)),Xref!A:B,2,0)</f>
        <v>aka</v>
      </c>
      <c r="M952" t="str">
        <f t="shared" si="59"/>
        <v>aka-CRE</v>
      </c>
    </row>
    <row r="953" spans="1:13" ht="14.25" customHeight="true">
      <c r="A953" s="33" t="str">
        <f t="shared" si="56"/>
        <v>CRE - Intercompany</v>
      </c>
      <c r="B953" s="33" t="str">
        <f t="shared" si="57"/>
        <v>CRE</v>
      </c>
      <c r="C953" s="33" t="str">
        <f t="shared" si="58"/>
        <v>12403-0000</v>
      </c>
      <c r="D953" t="s">
        <v>17575</v>
      </c>
      <c r="E953" t="s">
        <v>5226</v>
      </c>
      <c r="F953" t="s">
        <v>14039</v>
      </c>
      <c r="G953" t="s">
        <v>14672</v>
      </c>
      <c r="H953" t="s">
        <v>13869</v>
      </c>
      <c r="I953" t="s">
        <v>14690</v>
      </c>
      <c r="J953" s="62">
        <v>0</v>
      </c>
      <c r="K953" s="62">
        <v>0</v>
      </c>
      <c r="L953" t="str">
        <f>VLOOKUP(VALUE(LEFT(C953,5)),Xref!A:B,2,0)</f>
        <v>aka</v>
      </c>
      <c r="M953" t="str">
        <f t="shared" si="59"/>
        <v>aka-CRE</v>
      </c>
    </row>
    <row r="954" spans="1:13" ht="14.25" customHeight="true">
      <c r="A954" s="33" t="str">
        <f t="shared" si="56"/>
        <v>CRE - Intercompany</v>
      </c>
      <c r="B954" s="33" t="str">
        <f t="shared" si="57"/>
        <v>CRE</v>
      </c>
      <c r="C954" s="33" t="str">
        <f t="shared" si="58"/>
        <v>12501-0000</v>
      </c>
      <c r="D954" t="s">
        <v>17576</v>
      </c>
      <c r="E954" t="s">
        <v>14192</v>
      </c>
      <c r="F954" t="s">
        <v>14039</v>
      </c>
      <c r="G954" t="s">
        <v>14672</v>
      </c>
      <c r="H954" t="s">
        <v>13869</v>
      </c>
      <c r="I954" t="s">
        <v>14690</v>
      </c>
      <c r="J954" s="62">
        <v>0</v>
      </c>
      <c r="K954" s="62">
        <v>0</v>
      </c>
      <c r="L954" t="str">
        <f>VLOOKUP(VALUE(LEFT(C954,5)),Xref!A:B,2,0)</f>
        <v>aka</v>
      </c>
      <c r="M954" t="str">
        <f t="shared" si="59"/>
        <v>aka-CRE</v>
      </c>
    </row>
    <row r="955" spans="1:13" ht="14.25" customHeight="true">
      <c r="A955" s="33" t="str">
        <f t="shared" si="56"/>
        <v>CRE - InterCo Notes</v>
      </c>
      <c r="B955" s="33" t="str">
        <f t="shared" si="57"/>
        <v>CRE</v>
      </c>
      <c r="C955" s="33" t="str">
        <f t="shared" si="58"/>
        <v>25600-0000</v>
      </c>
      <c r="D955" t="s">
        <v>17624</v>
      </c>
      <c r="E955" t="s">
        <v>314</v>
      </c>
      <c r="F955" t="s">
        <v>14039</v>
      </c>
      <c r="G955" t="s">
        <v>14672</v>
      </c>
      <c r="H955" t="s">
        <v>13889</v>
      </c>
      <c r="I955" t="s">
        <v>14690</v>
      </c>
      <c r="J955" s="62">
        <v>0</v>
      </c>
      <c r="K955" s="62">
        <v>0</v>
      </c>
      <c r="L955" t="str">
        <f>VLOOKUP(VALUE(LEFT(C955,5)),Xref!A:B,2,0)</f>
        <v>D7</v>
      </c>
      <c r="M955" t="str">
        <f t="shared" si="59"/>
        <v>CRE-D7</v>
      </c>
    </row>
    <row r="956" spans="1:13" ht="14.25" customHeight="true">
      <c r="A956" s="33" t="str">
        <f t="shared" si="56"/>
        <v>CRE - InterCo Notes</v>
      </c>
      <c r="B956" s="33" t="str">
        <f t="shared" si="57"/>
        <v>CRE</v>
      </c>
      <c r="C956" s="33" t="str">
        <f t="shared" si="58"/>
        <v>25602-0000</v>
      </c>
      <c r="D956" t="s">
        <v>17626</v>
      </c>
      <c r="E956" t="s">
        <v>13426</v>
      </c>
      <c r="F956" t="s">
        <v>14039</v>
      </c>
      <c r="G956" t="s">
        <v>14672</v>
      </c>
      <c r="H956" t="s">
        <v>13889</v>
      </c>
      <c r="I956" t="s">
        <v>14690</v>
      </c>
      <c r="J956" s="62">
        <v>0</v>
      </c>
      <c r="K956" s="62">
        <v>0</v>
      </c>
      <c r="L956" t="str">
        <f>VLOOKUP(VALUE(LEFT(C956,5)),Xref!A:B,2,0)</f>
        <v>DFLP</v>
      </c>
      <c r="M956" t="str">
        <f t="shared" si="59"/>
        <v>CRE-DFLP</v>
      </c>
    </row>
    <row r="957" spans="1:13" ht="14.25" customHeight="true">
      <c r="A957" s="33" t="str">
        <f t="shared" si="56"/>
        <v>CRE - InterCo Notes</v>
      </c>
      <c r="B957" s="33" t="str">
        <f t="shared" si="57"/>
        <v>CRE</v>
      </c>
      <c r="C957" s="33" t="str">
        <f t="shared" si="58"/>
        <v>25603-0000</v>
      </c>
      <c r="D957" t="s">
        <v>17627</v>
      </c>
      <c r="E957" t="s">
        <v>14311</v>
      </c>
      <c r="F957" t="s">
        <v>14039</v>
      </c>
      <c r="G957" t="s">
        <v>14832</v>
      </c>
      <c r="H957" t="s">
        <v>13889</v>
      </c>
      <c r="I957" t="s">
        <v>14690</v>
      </c>
      <c r="J957" s="62">
        <v>0</v>
      </c>
      <c r="K957" s="62">
        <v>0</v>
      </c>
      <c r="L957" t="str">
        <f>VLOOKUP(VALUE(LEFT(C957,5)),Xref!A:B,2,0)</f>
        <v>aka</v>
      </c>
      <c r="M957" t="str">
        <f t="shared" si="59"/>
        <v>aka-CRE</v>
      </c>
    </row>
    <row r="958" spans="1:13" ht="14.25" customHeight="true">
      <c r="A958" s="33" t="str">
        <f t="shared" si="56"/>
        <v>CRE - Intercompany</v>
      </c>
      <c r="B958" s="33" t="str">
        <f t="shared" si="57"/>
        <v>CRE</v>
      </c>
      <c r="C958" s="33" t="str">
        <f t="shared" si="58"/>
        <v>25604-0000</v>
      </c>
      <c r="D958" t="s">
        <v>17628</v>
      </c>
      <c r="E958" t="s">
        <v>13490</v>
      </c>
      <c r="F958" t="s">
        <v>14039</v>
      </c>
      <c r="G958" t="s">
        <v>14672</v>
      </c>
      <c r="H958" t="s">
        <v>13869</v>
      </c>
      <c r="I958" t="s">
        <v>14690</v>
      </c>
      <c r="J958" s="62">
        <v>0</v>
      </c>
      <c r="K958" s="62">
        <v>0</v>
      </c>
      <c r="L958">
        <f>VLOOKUP(VALUE(LEFT(C958,5)),Xref!A:B,2,0)</f>
        <v>0</v>
      </c>
      <c r="M958" t="str">
        <f t="shared" si="59"/>
        <v>0-CRE</v>
      </c>
    </row>
    <row r="959" spans="1:13" ht="14.25" customHeight="true">
      <c r="A959" s="33" t="str">
        <f t="shared" si="56"/>
        <v>D7R - InterCo Notes</v>
      </c>
      <c r="B959" s="33" t="str">
        <f t="shared" si="57"/>
        <v>D7R</v>
      </c>
      <c r="C959" s="33" t="str">
        <f t="shared" si="58"/>
        <v>11010-0000</v>
      </c>
      <c r="D959" t="s">
        <v>691</v>
      </c>
      <c r="E959" t="s">
        <v>692</v>
      </c>
      <c r="F959" t="s">
        <v>30855</v>
      </c>
      <c r="G959" t="s">
        <v>16</v>
      </c>
      <c r="H959" t="s">
        <v>13889</v>
      </c>
      <c r="I959" t="s">
        <v>40</v>
      </c>
      <c r="J959" s="62">
        <v>0</v>
      </c>
      <c r="K959" s="62">
        <v>250000</v>
      </c>
      <c r="L959" t="str">
        <f>VLOOKUP(VALUE(LEFT(C959,5)),Xref!A:B,2,0)</f>
        <v>LPI</v>
      </c>
      <c r="M959" t="str">
        <f t="shared" si="59"/>
        <v>D7R-LPI</v>
      </c>
    </row>
    <row r="960" spans="1:13" ht="14.25" customHeight="true">
      <c r="A960" s="33" t="str">
        <f t="shared" si="56"/>
        <v>D7R - InterCo Notes</v>
      </c>
      <c r="B960" s="33" t="str">
        <f t="shared" si="57"/>
        <v>D7R</v>
      </c>
      <c r="C960" s="33" t="str">
        <f t="shared" si="58"/>
        <v>11020-0000</v>
      </c>
      <c r="D960" t="s">
        <v>693</v>
      </c>
      <c r="E960" t="s">
        <v>694</v>
      </c>
      <c r="F960" t="s">
        <v>30855</v>
      </c>
      <c r="G960" t="s">
        <v>16</v>
      </c>
      <c r="H960" t="s">
        <v>13889</v>
      </c>
      <c r="I960" t="s">
        <v>40</v>
      </c>
      <c r="J960" s="62">
        <v>0</v>
      </c>
      <c r="K960" s="62">
        <v>724064.55</v>
      </c>
      <c r="L960" t="str">
        <f>VLOOKUP(VALUE(LEFT(C960,5)),Xref!A:B,2,0)</f>
        <v>GPI</v>
      </c>
      <c r="M960" t="str">
        <f t="shared" si="59"/>
        <v>D7R-GPI</v>
      </c>
    </row>
    <row r="961" spans="1:13" ht="14.25" customHeight="true">
      <c r="A961" s="33" t="str">
        <f t="shared" si="56"/>
        <v>D7R - InterCo Notes</v>
      </c>
      <c r="B961" s="33" t="str">
        <f t="shared" si="57"/>
        <v>D7R</v>
      </c>
      <c r="C961" s="33" t="str">
        <f t="shared" si="58"/>
        <v>11040-0000</v>
      </c>
      <c r="D961" t="s">
        <v>695</v>
      </c>
      <c r="E961" t="s">
        <v>696</v>
      </c>
      <c r="F961" t="s">
        <v>30855</v>
      </c>
      <c r="G961" t="s">
        <v>16</v>
      </c>
      <c r="H961" t="s">
        <v>13889</v>
      </c>
      <c r="I961" t="s">
        <v>40</v>
      </c>
      <c r="J961" s="62">
        <v>0</v>
      </c>
      <c r="K961" s="62">
        <v>1684000</v>
      </c>
      <c r="L961" t="str">
        <f>VLOOKUP(VALUE(LEFT(C961,5)),Xref!A:B,2,0)</f>
        <v>DOL</v>
      </c>
      <c r="M961" t="str">
        <f t="shared" si="59"/>
        <v>D7R-DOL</v>
      </c>
    </row>
    <row r="962" spans="1:13" ht="14.25" customHeight="true">
      <c r="A962" s="33" t="str">
        <f t="shared" ref="A962:A1025" si="60">B962&amp;" - "&amp;TRIM(H962)</f>
        <v>D7R - InterCo Notes</v>
      </c>
      <c r="B962" s="33" t="str">
        <f t="shared" ref="B962:B1025" si="61">LEFT(D962,3)</f>
        <v>D7R</v>
      </c>
      <c r="C962" s="33" t="str">
        <f t="shared" ref="C962:C1025" si="62">RIGHT(D962,10)</f>
        <v>11043-0000</v>
      </c>
      <c r="D962" t="s">
        <v>697</v>
      </c>
      <c r="E962" t="s">
        <v>698</v>
      </c>
      <c r="F962" t="s">
        <v>30855</v>
      </c>
      <c r="G962" t="s">
        <v>16</v>
      </c>
      <c r="H962" t="s">
        <v>13889</v>
      </c>
      <c r="I962" t="s">
        <v>40</v>
      </c>
      <c r="J962" s="62">
        <v>0</v>
      </c>
      <c r="K962" s="62">
        <v>514110.32</v>
      </c>
      <c r="L962" t="str">
        <f>VLOOKUP(VALUE(LEFT(C962,5)),Xref!A:B,2,0)</f>
        <v>GST</v>
      </c>
      <c r="M962" t="str">
        <f t="shared" ref="M962:M1025" si="63">IF(B962&lt;L962,B962&amp;"-"&amp;L962,L962&amp;"-"&amp;B962)</f>
        <v>D7R-GST</v>
      </c>
    </row>
    <row r="963" spans="1:13" ht="14.25" customHeight="true">
      <c r="A963" s="33" t="str">
        <f t="shared" si="60"/>
        <v>D7R - InterCo Notes</v>
      </c>
      <c r="B963" s="33" t="str">
        <f t="shared" si="61"/>
        <v>D7R</v>
      </c>
      <c r="C963" s="33" t="str">
        <f t="shared" si="62"/>
        <v>11044-0000</v>
      </c>
      <c r="D963" t="s">
        <v>699</v>
      </c>
      <c r="E963" t="s">
        <v>700</v>
      </c>
      <c r="F963" t="s">
        <v>30855</v>
      </c>
      <c r="G963" t="s">
        <v>16</v>
      </c>
      <c r="H963" t="s">
        <v>13889</v>
      </c>
      <c r="I963" t="s">
        <v>40</v>
      </c>
      <c r="J963" s="62">
        <v>0</v>
      </c>
      <c r="K963" s="62">
        <v>2257144.53</v>
      </c>
      <c r="L963" t="str">
        <f>VLOOKUP(VALUE(LEFT(C963,5)),Xref!A:B,2,0)</f>
        <v>HDN</v>
      </c>
      <c r="M963" t="str">
        <f t="shared" si="63"/>
        <v>D7R-HDN</v>
      </c>
    </row>
    <row r="964" spans="1:13" ht="14.25" customHeight="true">
      <c r="A964" s="33" t="str">
        <f t="shared" si="60"/>
        <v>D7R - InterCo Notes</v>
      </c>
      <c r="B964" s="33" t="str">
        <f t="shared" si="61"/>
        <v>D7R</v>
      </c>
      <c r="C964" s="33" t="str">
        <f t="shared" si="62"/>
        <v>11045-0000</v>
      </c>
      <c r="D964" t="s">
        <v>701</v>
      </c>
      <c r="E964" t="s">
        <v>702</v>
      </c>
      <c r="F964" t="s">
        <v>30855</v>
      </c>
      <c r="G964" t="s">
        <v>16</v>
      </c>
      <c r="H964" t="s">
        <v>13889</v>
      </c>
      <c r="I964" t="s">
        <v>40</v>
      </c>
      <c r="J964" s="62">
        <v>0</v>
      </c>
      <c r="K964" s="62">
        <v>2460000</v>
      </c>
      <c r="L964" t="str">
        <f>VLOOKUP(VALUE(LEFT(C964,5)),Xref!A:B,2,0)</f>
        <v>FIR</v>
      </c>
      <c r="M964" t="str">
        <f t="shared" si="63"/>
        <v>D7R-FIR</v>
      </c>
    </row>
    <row r="965" spans="1:13" ht="14.25" customHeight="true">
      <c r="A965" s="33" t="str">
        <f t="shared" si="60"/>
        <v>D7R - InterCo Notes</v>
      </c>
      <c r="B965" s="33" t="str">
        <f t="shared" si="61"/>
        <v>D7R</v>
      </c>
      <c r="C965" s="33" t="str">
        <f t="shared" si="62"/>
        <v>11046-0000</v>
      </c>
      <c r="D965" t="s">
        <v>703</v>
      </c>
      <c r="E965" t="s">
        <v>704</v>
      </c>
      <c r="F965" t="s">
        <v>30855</v>
      </c>
      <c r="G965" t="s">
        <v>16</v>
      </c>
      <c r="H965" t="s">
        <v>13889</v>
      </c>
      <c r="I965" t="s">
        <v>40</v>
      </c>
      <c r="J965" s="62">
        <v>0</v>
      </c>
      <c r="K965" s="62">
        <v>2442000</v>
      </c>
      <c r="L965" t="str">
        <f>VLOOKUP(VALUE(LEFT(C965,5)),Xref!A:B,2,0)</f>
        <v>OVA</v>
      </c>
      <c r="M965" t="str">
        <f t="shared" si="63"/>
        <v>D7R-OVA</v>
      </c>
    </row>
    <row r="966" spans="1:13" ht="14.25" customHeight="true">
      <c r="A966" s="33" t="str">
        <f t="shared" si="60"/>
        <v>D7R - InterCo Notes</v>
      </c>
      <c r="B966" s="33" t="str">
        <f t="shared" si="61"/>
        <v>D7R</v>
      </c>
      <c r="C966" s="33" t="str">
        <f t="shared" si="62"/>
        <v>11049-0000</v>
      </c>
      <c r="D966" t="s">
        <v>705</v>
      </c>
      <c r="E966" t="s">
        <v>706</v>
      </c>
      <c r="F966" t="s">
        <v>30855</v>
      </c>
      <c r="G966" t="s">
        <v>16</v>
      </c>
      <c r="H966" t="s">
        <v>13889</v>
      </c>
      <c r="I966" t="s">
        <v>40</v>
      </c>
      <c r="J966" s="62">
        <v>0</v>
      </c>
      <c r="K966" s="62">
        <v>1876000</v>
      </c>
      <c r="L966" t="str">
        <f>VLOOKUP(VALUE(LEFT(C966,5)),Xref!A:B,2,0)</f>
        <v>WOO</v>
      </c>
      <c r="M966" t="str">
        <f t="shared" si="63"/>
        <v>D7R-WOO</v>
      </c>
    </row>
    <row r="967" spans="1:13" ht="14.25" customHeight="true">
      <c r="A967" s="33" t="str">
        <f t="shared" si="60"/>
        <v>D7R - InterCo Notes</v>
      </c>
      <c r="B967" s="33" t="str">
        <f t="shared" si="61"/>
        <v>D7R</v>
      </c>
      <c r="C967" s="33" t="str">
        <f t="shared" si="62"/>
        <v>11050-0000</v>
      </c>
      <c r="D967" t="s">
        <v>707</v>
      </c>
      <c r="E967" t="s">
        <v>708</v>
      </c>
      <c r="F967" t="s">
        <v>30855</v>
      </c>
      <c r="G967" t="s">
        <v>16</v>
      </c>
      <c r="H967" t="s">
        <v>13889</v>
      </c>
      <c r="I967" t="s">
        <v>40</v>
      </c>
      <c r="J967" s="62">
        <v>0</v>
      </c>
      <c r="K967" s="62">
        <v>3250000</v>
      </c>
      <c r="L967" t="str">
        <f>VLOOKUP(VALUE(LEFT(C967,5)),Xref!A:B,2,0)</f>
        <v>SPI</v>
      </c>
      <c r="M967" t="str">
        <f t="shared" si="63"/>
        <v>D7R-SPI</v>
      </c>
    </row>
    <row r="968" spans="1:13" ht="14.25" customHeight="true">
      <c r="A968" s="33" t="str">
        <f t="shared" si="60"/>
        <v>D7R - InterCo Notes</v>
      </c>
      <c r="B968" s="33" t="str">
        <f t="shared" si="61"/>
        <v>D7R</v>
      </c>
      <c r="C968" s="33" t="str">
        <f t="shared" si="62"/>
        <v>11051-0000</v>
      </c>
      <c r="D968" t="s">
        <v>709</v>
      </c>
      <c r="E968" t="s">
        <v>710</v>
      </c>
      <c r="F968" t="s">
        <v>30855</v>
      </c>
      <c r="G968" t="s">
        <v>16</v>
      </c>
      <c r="H968" t="s">
        <v>13889</v>
      </c>
      <c r="I968" t="s">
        <v>40</v>
      </c>
      <c r="J968" s="62">
        <v>0</v>
      </c>
      <c r="K968" s="62">
        <v>568625</v>
      </c>
      <c r="L968" t="str">
        <f>VLOOKUP(VALUE(LEFT(C968,5)),Xref!A:B,2,0)</f>
        <v>NET</v>
      </c>
      <c r="M968" t="str">
        <f t="shared" si="63"/>
        <v>D7R-NET</v>
      </c>
    </row>
    <row r="969" spans="1:13" ht="14.25" customHeight="true">
      <c r="A969" s="33" t="str">
        <f t="shared" si="60"/>
        <v>D7R - InterCo Notes</v>
      </c>
      <c r="B969" s="33" t="str">
        <f t="shared" si="61"/>
        <v>D7R</v>
      </c>
      <c r="C969" s="33" t="str">
        <f t="shared" si="62"/>
        <v>11052-0000</v>
      </c>
      <c r="D969" t="s">
        <v>711</v>
      </c>
      <c r="E969" t="s">
        <v>712</v>
      </c>
      <c r="F969" t="s">
        <v>30855</v>
      </c>
      <c r="G969" t="s">
        <v>16</v>
      </c>
      <c r="H969" t="s">
        <v>13889</v>
      </c>
      <c r="I969" t="s">
        <v>40</v>
      </c>
      <c r="J969" s="62">
        <v>0</v>
      </c>
      <c r="K969" s="62">
        <v>1550000</v>
      </c>
      <c r="L969" t="str">
        <f>VLOOKUP(VALUE(LEFT(C969,5)),Xref!A:B,2,0)</f>
        <v>DPI</v>
      </c>
      <c r="M969" t="str">
        <f t="shared" si="63"/>
        <v>D7R-DPI</v>
      </c>
    </row>
    <row r="970" spans="1:13" ht="14.25" customHeight="true">
      <c r="A970" s="33" t="str">
        <f t="shared" si="60"/>
        <v>D7R - InterCo Notes</v>
      </c>
      <c r="B970" s="33" t="str">
        <f t="shared" si="61"/>
        <v>D7R</v>
      </c>
      <c r="C970" s="33" t="str">
        <f t="shared" si="62"/>
        <v>11059-0000</v>
      </c>
      <c r="D970" t="s">
        <v>713</v>
      </c>
      <c r="E970" t="s">
        <v>714</v>
      </c>
      <c r="F970" t="s">
        <v>30855</v>
      </c>
      <c r="G970" t="s">
        <v>362</v>
      </c>
      <c r="H970" t="s">
        <v>13889</v>
      </c>
      <c r="I970" t="s">
        <v>40</v>
      </c>
      <c r="J970" s="62">
        <v>0</v>
      </c>
      <c r="K970" s="62">
        <v>120000</v>
      </c>
      <c r="L970" t="str">
        <f>VLOOKUP(VALUE(LEFT(C970,5)),Xref!A:B,2,0)</f>
        <v>VEN</v>
      </c>
      <c r="M970" t="str">
        <f t="shared" si="63"/>
        <v>D7R-VEN</v>
      </c>
    </row>
    <row r="971" spans="1:13" ht="14.25" customHeight="true">
      <c r="A971" s="33" t="str">
        <f t="shared" si="60"/>
        <v>D7R - InterCo Notes</v>
      </c>
      <c r="B971" s="33" t="str">
        <f t="shared" si="61"/>
        <v>D7R</v>
      </c>
      <c r="C971" s="33" t="str">
        <f t="shared" si="62"/>
        <v>11060-0000</v>
      </c>
      <c r="D971" t="s">
        <v>715</v>
      </c>
      <c r="E971" t="s">
        <v>716</v>
      </c>
      <c r="F971" t="s">
        <v>30855</v>
      </c>
      <c r="G971" t="s">
        <v>362</v>
      </c>
      <c r="H971" t="s">
        <v>13889</v>
      </c>
      <c r="I971" t="s">
        <v>40</v>
      </c>
      <c r="J971" s="62">
        <v>0</v>
      </c>
      <c r="K971" s="62">
        <v>175000</v>
      </c>
      <c r="L971" t="str">
        <f>VLOOKUP(VALUE(LEFT(C971,5)),Xref!A:B,2,0)</f>
        <v>SAT</v>
      </c>
      <c r="M971" t="str">
        <f t="shared" si="63"/>
        <v>D7R-SAT</v>
      </c>
    </row>
    <row r="972" spans="1:13" ht="14.25" customHeight="true">
      <c r="A972" s="33" t="str">
        <f t="shared" si="60"/>
        <v>D7R - InterCo Notes</v>
      </c>
      <c r="B972" s="33" t="str">
        <f t="shared" si="61"/>
        <v>D7R</v>
      </c>
      <c r="C972" s="33" t="str">
        <f t="shared" si="62"/>
        <v>11072-0000</v>
      </c>
      <c r="D972" t="s">
        <v>717</v>
      </c>
      <c r="E972" t="s">
        <v>718</v>
      </c>
      <c r="F972" t="s">
        <v>30855</v>
      </c>
      <c r="G972" t="s">
        <v>16</v>
      </c>
      <c r="H972" t="s">
        <v>13889</v>
      </c>
      <c r="I972" t="s">
        <v>40</v>
      </c>
      <c r="J972" s="62">
        <v>0</v>
      </c>
      <c r="K972" s="62">
        <v>1828872.33</v>
      </c>
      <c r="L972" t="str">
        <f>VLOOKUP(VALUE(LEFT(C972,5)),Xref!A:B,2,0)</f>
        <v>JUP</v>
      </c>
      <c r="M972" t="str">
        <f t="shared" si="63"/>
        <v>D7R-JUP</v>
      </c>
    </row>
    <row r="973" spans="1:13" ht="14.25" customHeight="true">
      <c r="A973" s="33" t="str">
        <f t="shared" si="60"/>
        <v>D7R - Intercompany</v>
      </c>
      <c r="B973" s="33" t="str">
        <f t="shared" si="61"/>
        <v>D7R</v>
      </c>
      <c r="C973" s="33" t="str">
        <f t="shared" si="62"/>
        <v>11216-0000</v>
      </c>
      <c r="D973" t="s">
        <v>722</v>
      </c>
      <c r="E973" t="s">
        <v>723</v>
      </c>
      <c r="F973" t="s">
        <v>30855</v>
      </c>
      <c r="G973" t="s">
        <v>16</v>
      </c>
      <c r="H973" t="s">
        <v>13869</v>
      </c>
      <c r="I973" t="s">
        <v>40</v>
      </c>
      <c r="J973" s="62">
        <v>0</v>
      </c>
      <c r="K973" s="62">
        <v>184037.72</v>
      </c>
      <c r="L973" t="str">
        <f>VLOOKUP(VALUE(LEFT(C973,5)),Xref!A:B,2,0)</f>
        <v>SIL</v>
      </c>
      <c r="M973" t="str">
        <f t="shared" si="63"/>
        <v>D7R-SIL</v>
      </c>
    </row>
    <row r="974" spans="1:13" ht="14.25" customHeight="true">
      <c r="A974" s="33" t="str">
        <f t="shared" si="60"/>
        <v>D7R - Intercompany</v>
      </c>
      <c r="B974" s="33" t="str">
        <f t="shared" si="61"/>
        <v>D7R</v>
      </c>
      <c r="C974" s="33" t="str">
        <f t="shared" si="62"/>
        <v>11304-0000</v>
      </c>
      <c r="D974" t="s">
        <v>724</v>
      </c>
      <c r="E974" t="s">
        <v>725</v>
      </c>
      <c r="F974" t="s">
        <v>30855</v>
      </c>
      <c r="G974" t="s">
        <v>16</v>
      </c>
      <c r="H974" t="s">
        <v>13869</v>
      </c>
      <c r="I974" t="s">
        <v>40</v>
      </c>
      <c r="J974" s="62">
        <v>0</v>
      </c>
      <c r="K974" s="62">
        <v>269000</v>
      </c>
      <c r="L974" t="str">
        <f>VLOOKUP(VALUE(LEFT(C974,5)),Xref!A:B,2,0)</f>
        <v>EAG</v>
      </c>
      <c r="M974" t="str">
        <f t="shared" si="63"/>
        <v>D7R-EAG</v>
      </c>
    </row>
    <row r="975" spans="1:13" ht="14.25" customHeight="true">
      <c r="A975" s="33" t="str">
        <f t="shared" si="60"/>
        <v>D7R - InterCo Notes</v>
      </c>
      <c r="B975" s="33" t="str">
        <f t="shared" si="61"/>
        <v>D7R</v>
      </c>
      <c r="C975" s="33" t="str">
        <f t="shared" si="62"/>
        <v>11310-0000</v>
      </c>
      <c r="D975" t="s">
        <v>726</v>
      </c>
      <c r="E975" t="s">
        <v>256</v>
      </c>
      <c r="F975" t="s">
        <v>30855</v>
      </c>
      <c r="G975" t="s">
        <v>16</v>
      </c>
      <c r="H975" t="s">
        <v>13889</v>
      </c>
      <c r="I975" t="s">
        <v>40</v>
      </c>
      <c r="J975" s="62">
        <v>0</v>
      </c>
      <c r="K975" s="62">
        <v>2414000</v>
      </c>
      <c r="L975" t="str">
        <f>VLOOKUP(VALUE(LEFT(C975,5)),Xref!A:B,2,0)</f>
        <v>ALP</v>
      </c>
      <c r="M975" t="str">
        <f t="shared" si="63"/>
        <v>ALP-D7R</v>
      </c>
    </row>
    <row r="976" spans="1:13" ht="14.25" customHeight="true">
      <c r="A976" s="33" t="str">
        <f t="shared" si="60"/>
        <v>D7R - InterCo Notes</v>
      </c>
      <c r="B976" s="33" t="str">
        <f t="shared" si="61"/>
        <v>D7R</v>
      </c>
      <c r="C976" s="33" t="str">
        <f t="shared" si="62"/>
        <v>11311-0000</v>
      </c>
      <c r="D976" t="s">
        <v>727</v>
      </c>
      <c r="E976" t="s">
        <v>258</v>
      </c>
      <c r="F976" t="s">
        <v>30855</v>
      </c>
      <c r="G976" t="s">
        <v>16</v>
      </c>
      <c r="H976" t="s">
        <v>13889</v>
      </c>
      <c r="I976" t="s">
        <v>40</v>
      </c>
      <c r="J976" s="62">
        <v>0</v>
      </c>
      <c r="K976" s="62">
        <v>1570000</v>
      </c>
      <c r="L976" t="str">
        <f>VLOOKUP(VALUE(LEFT(C976,5)),Xref!A:B,2,0)</f>
        <v>BET</v>
      </c>
      <c r="M976" t="str">
        <f t="shared" si="63"/>
        <v>BET-D7R</v>
      </c>
    </row>
    <row r="977" spans="1:13" ht="14.25" customHeight="true">
      <c r="A977" s="33" t="str">
        <f t="shared" si="60"/>
        <v>D7R - InterCo Notes</v>
      </c>
      <c r="B977" s="33" t="str">
        <f t="shared" si="61"/>
        <v>D7R</v>
      </c>
      <c r="C977" s="33" t="str">
        <f t="shared" si="62"/>
        <v>11317-0000</v>
      </c>
      <c r="D977" t="s">
        <v>728</v>
      </c>
      <c r="E977" t="s">
        <v>368</v>
      </c>
      <c r="F977" t="s">
        <v>30855</v>
      </c>
      <c r="G977" t="s">
        <v>16</v>
      </c>
      <c r="H977" t="s">
        <v>13889</v>
      </c>
      <c r="I977" t="s">
        <v>40</v>
      </c>
      <c r="J977" s="62">
        <v>0</v>
      </c>
      <c r="K977" s="62">
        <v>2005000</v>
      </c>
      <c r="L977" t="str">
        <f>VLOOKUP(VALUE(LEFT(C977,5)),Xref!A:B,2,0)</f>
        <v>AKG</v>
      </c>
      <c r="M977" t="str">
        <f t="shared" si="63"/>
        <v>AKG-D7R</v>
      </c>
    </row>
    <row r="978" spans="1:13" ht="14.25" customHeight="true">
      <c r="A978" s="33" t="str">
        <f t="shared" si="60"/>
        <v>DF2 - Intercompany</v>
      </c>
      <c r="B978" s="33" t="str">
        <f t="shared" si="61"/>
        <v>DF2</v>
      </c>
      <c r="C978" s="33" t="str">
        <f t="shared" si="62"/>
        <v>11200-0000</v>
      </c>
      <c r="D978" t="s">
        <v>763</v>
      </c>
      <c r="E978" t="s">
        <v>38</v>
      </c>
      <c r="F978" t="s">
        <v>30843</v>
      </c>
      <c r="G978" t="s">
        <v>16</v>
      </c>
      <c r="H978" t="s">
        <v>13869</v>
      </c>
      <c r="I978" t="s">
        <v>40</v>
      </c>
      <c r="J978" s="62">
        <v>214176.85</v>
      </c>
      <c r="K978" s="62">
        <v>12528927.25</v>
      </c>
      <c r="L978" t="str">
        <f>VLOOKUP(VALUE(LEFT(C978,5)),Xref!A:B,2,0)</f>
        <v>SCL</v>
      </c>
      <c r="M978" t="str">
        <f t="shared" si="63"/>
        <v>DF2-SCL</v>
      </c>
    </row>
    <row r="979" spans="1:13" ht="14.25" customHeight="true">
      <c r="A979" s="33" t="str">
        <f t="shared" si="60"/>
        <v>DF2 - Intercompany</v>
      </c>
      <c r="B979" s="33" t="str">
        <f t="shared" si="61"/>
        <v>DF2</v>
      </c>
      <c r="C979" s="33" t="str">
        <f t="shared" si="62"/>
        <v>11201-0000</v>
      </c>
      <c r="D979" t="s">
        <v>764</v>
      </c>
      <c r="E979" t="s">
        <v>765</v>
      </c>
      <c r="F979" t="s">
        <v>30843</v>
      </c>
      <c r="G979" t="s">
        <v>16</v>
      </c>
      <c r="H979" t="s">
        <v>13869</v>
      </c>
      <c r="I979" t="s">
        <v>40</v>
      </c>
      <c r="J979" s="62">
        <v>-185275.74</v>
      </c>
      <c r="K979" s="62">
        <v>-13229871.43</v>
      </c>
      <c r="L979" t="str">
        <f>VLOOKUP(VALUE(LEFT(C979,5)),Xref!A:B,2,0)</f>
        <v>SG2</v>
      </c>
      <c r="M979" t="str">
        <f t="shared" si="63"/>
        <v>DF2-SG2</v>
      </c>
    </row>
    <row r="980" spans="1:13" ht="14.25" customHeight="true">
      <c r="A980" s="33" t="str">
        <f t="shared" si="60"/>
        <v>DF2 - Intercompany</v>
      </c>
      <c r="B980" s="33" t="str">
        <f t="shared" si="61"/>
        <v>DF2</v>
      </c>
      <c r="C980" s="33" t="str">
        <f t="shared" si="62"/>
        <v>11203-0000</v>
      </c>
      <c r="D980" t="s">
        <v>766</v>
      </c>
      <c r="E980" t="s">
        <v>767</v>
      </c>
      <c r="F980" t="s">
        <v>30843</v>
      </c>
      <c r="G980" t="s">
        <v>16</v>
      </c>
      <c r="H980" t="s">
        <v>13869</v>
      </c>
      <c r="I980" t="s">
        <v>40</v>
      </c>
      <c r="J980" s="62">
        <v>21367.17</v>
      </c>
      <c r="K980" s="62">
        <v>2337997.18</v>
      </c>
      <c r="L980" t="str">
        <f>VLOOKUP(VALUE(LEFT(C980,5)),Xref!A:B,2,0)</f>
        <v>HN2</v>
      </c>
      <c r="M980" t="str">
        <f t="shared" si="63"/>
        <v>DF2-HN2</v>
      </c>
    </row>
    <row r="981" spans="1:13" ht="14.25" customHeight="true">
      <c r="A981" s="33" t="str">
        <f t="shared" si="60"/>
        <v>DF2 - Intercompany</v>
      </c>
      <c r="B981" s="33" t="str">
        <f t="shared" si="61"/>
        <v>DF2</v>
      </c>
      <c r="C981" s="33" t="str">
        <f t="shared" si="62"/>
        <v>11212-0000</v>
      </c>
      <c r="D981" t="s">
        <v>768</v>
      </c>
      <c r="E981" t="s">
        <v>769</v>
      </c>
      <c r="F981" t="s">
        <v>30843</v>
      </c>
      <c r="G981" t="s">
        <v>16</v>
      </c>
      <c r="H981" t="s">
        <v>13869</v>
      </c>
      <c r="I981" t="s">
        <v>40</v>
      </c>
      <c r="J981" s="62">
        <v>0</v>
      </c>
      <c r="K981" s="62">
        <v>21286.16</v>
      </c>
      <c r="L981" t="str">
        <f>VLOOKUP(VALUE(LEFT(C981,5)),Xref!A:B,2,0)</f>
        <v>FRM</v>
      </c>
      <c r="M981" t="str">
        <f t="shared" si="63"/>
        <v>DF2-FRM</v>
      </c>
    </row>
    <row r="982" spans="1:13" ht="14.25" customHeight="true">
      <c r="A982" s="33" t="str">
        <f t="shared" si="60"/>
        <v>DF2 - Intercompany</v>
      </c>
      <c r="B982" s="33" t="str">
        <f t="shared" si="61"/>
        <v>DF2</v>
      </c>
      <c r="C982" s="33" t="str">
        <f t="shared" si="62"/>
        <v>11224-0000</v>
      </c>
      <c r="D982" t="s">
        <v>770</v>
      </c>
      <c r="E982" t="s">
        <v>771</v>
      </c>
      <c r="F982" t="s">
        <v>30843</v>
      </c>
      <c r="G982" t="s">
        <v>16</v>
      </c>
      <c r="H982" t="s">
        <v>13869</v>
      </c>
      <c r="I982" t="s">
        <v>40</v>
      </c>
      <c r="J982" s="62">
        <v>0</v>
      </c>
      <c r="K982" s="62">
        <v>279643.89</v>
      </c>
      <c r="L982" t="str">
        <f>VLOOKUP(VALUE(LEFT(C982,5)),Xref!A:B,2,0)</f>
        <v>FSH</v>
      </c>
      <c r="M982" t="str">
        <f t="shared" si="63"/>
        <v>DF2-FSH</v>
      </c>
    </row>
    <row r="983" spans="1:13" ht="14.25" customHeight="true">
      <c r="A983" s="33" t="str">
        <f t="shared" si="60"/>
        <v>DFL - InterCo Notes</v>
      </c>
      <c r="B983" s="33" t="str">
        <f t="shared" si="61"/>
        <v>DFL</v>
      </c>
      <c r="C983" s="33" t="str">
        <f t="shared" si="62"/>
        <v>11020-0000</v>
      </c>
      <c r="D983" t="s">
        <v>835</v>
      </c>
      <c r="E983" t="s">
        <v>694</v>
      </c>
      <c r="F983" t="s">
        <v>30855</v>
      </c>
      <c r="G983" t="s">
        <v>16</v>
      </c>
      <c r="H983" t="s">
        <v>13889</v>
      </c>
      <c r="I983" t="s">
        <v>40</v>
      </c>
      <c r="J983" s="62">
        <v>0</v>
      </c>
      <c r="K983" s="62">
        <v>285000</v>
      </c>
      <c r="L983" t="str">
        <f>VLOOKUP(VALUE(LEFT(C983,5)),Xref!A:B,2,0)</f>
        <v>GPI</v>
      </c>
      <c r="M983" t="str">
        <f t="shared" si="63"/>
        <v>DFL-GPI</v>
      </c>
    </row>
    <row r="984" spans="1:13" ht="14.25" customHeight="true">
      <c r="A984" s="33" t="str">
        <f t="shared" si="60"/>
        <v>DFL - InterCo Notes</v>
      </c>
      <c r="B984" s="33" t="str">
        <f t="shared" si="61"/>
        <v>DFL</v>
      </c>
      <c r="C984" s="33" t="str">
        <f t="shared" si="62"/>
        <v>11040-0000</v>
      </c>
      <c r="D984" t="s">
        <v>30861</v>
      </c>
      <c r="E984" t="s">
        <v>696</v>
      </c>
      <c r="F984" t="s">
        <v>30855</v>
      </c>
      <c r="G984" t="s">
        <v>16</v>
      </c>
      <c r="H984" t="s">
        <v>13889</v>
      </c>
      <c r="I984" t="s">
        <v>40</v>
      </c>
      <c r="J984" s="62">
        <v>0</v>
      </c>
      <c r="K984" s="62">
        <v>27444.22</v>
      </c>
      <c r="L984" t="str">
        <f>VLOOKUP(VALUE(LEFT(C984,5)),Xref!A:B,2,0)</f>
        <v>DOL</v>
      </c>
      <c r="M984" t="str">
        <f t="shared" si="63"/>
        <v>DFL-DOL</v>
      </c>
    </row>
    <row r="985" spans="1:13" ht="14.25" customHeight="true">
      <c r="A985" s="33" t="str">
        <f t="shared" si="60"/>
        <v>DFL - InterCo Notes</v>
      </c>
      <c r="B985" s="33" t="str">
        <f t="shared" si="61"/>
        <v>DFL</v>
      </c>
      <c r="C985" s="33" t="str">
        <f t="shared" si="62"/>
        <v>11044-0000</v>
      </c>
      <c r="D985" t="s">
        <v>30862</v>
      </c>
      <c r="E985" t="s">
        <v>700</v>
      </c>
      <c r="F985" t="s">
        <v>30855</v>
      </c>
      <c r="G985" t="s">
        <v>16</v>
      </c>
      <c r="H985" t="s">
        <v>13889</v>
      </c>
      <c r="I985" t="s">
        <v>40</v>
      </c>
      <c r="J985" s="62">
        <v>0</v>
      </c>
      <c r="K985" s="62">
        <v>10000</v>
      </c>
      <c r="L985" t="str">
        <f>VLOOKUP(VALUE(LEFT(C985,5)),Xref!A:B,2,0)</f>
        <v>HDN</v>
      </c>
      <c r="M985" t="str">
        <f t="shared" si="63"/>
        <v>DFL-HDN</v>
      </c>
    </row>
    <row r="986" spans="1:13" ht="14.25" customHeight="true">
      <c r="A986" s="33" t="str">
        <f t="shared" si="60"/>
        <v>DFL - InterCo Notes</v>
      </c>
      <c r="B986" s="33" t="str">
        <f t="shared" si="61"/>
        <v>DFL</v>
      </c>
      <c r="C986" s="33" t="str">
        <f t="shared" si="62"/>
        <v>11050-0000</v>
      </c>
      <c r="D986" t="s">
        <v>836</v>
      </c>
      <c r="E986" t="s">
        <v>708</v>
      </c>
      <c r="F986" t="s">
        <v>30855</v>
      </c>
      <c r="G986" t="s">
        <v>16</v>
      </c>
      <c r="H986" t="s">
        <v>13889</v>
      </c>
      <c r="I986" t="s">
        <v>40</v>
      </c>
      <c r="J986" s="62">
        <v>0</v>
      </c>
      <c r="K986" s="62">
        <v>-1000000</v>
      </c>
      <c r="L986" t="str">
        <f>VLOOKUP(VALUE(LEFT(C986,5)),Xref!A:B,2,0)</f>
        <v>SPI</v>
      </c>
      <c r="M986" t="str">
        <f t="shared" si="63"/>
        <v>DFL-SPI</v>
      </c>
    </row>
    <row r="987" spans="1:13" ht="14.25" customHeight="true">
      <c r="A987" s="33" t="str">
        <f t="shared" si="60"/>
        <v>DFL - InterCo Notes</v>
      </c>
      <c r="B987" s="33" t="str">
        <f t="shared" si="61"/>
        <v>DFL</v>
      </c>
      <c r="C987" s="33" t="str">
        <f t="shared" si="62"/>
        <v>11051-0000</v>
      </c>
      <c r="D987" t="s">
        <v>837</v>
      </c>
      <c r="E987" t="s">
        <v>710</v>
      </c>
      <c r="F987" t="s">
        <v>30855</v>
      </c>
      <c r="G987" t="s">
        <v>16</v>
      </c>
      <c r="H987" t="s">
        <v>13889</v>
      </c>
      <c r="I987" t="s">
        <v>40</v>
      </c>
      <c r="J987" s="62">
        <v>0</v>
      </c>
      <c r="K987" s="62">
        <v>5500000</v>
      </c>
      <c r="L987" t="str">
        <f>VLOOKUP(VALUE(LEFT(C987,5)),Xref!A:B,2,0)</f>
        <v>NET</v>
      </c>
      <c r="M987" t="str">
        <f t="shared" si="63"/>
        <v>DFL-NET</v>
      </c>
    </row>
    <row r="988" spans="1:13" ht="14.25" customHeight="true">
      <c r="A988" s="33" t="str">
        <f t="shared" si="60"/>
        <v>DFL - InterCo Notes</v>
      </c>
      <c r="B988" s="33" t="str">
        <f t="shared" si="61"/>
        <v>DFL</v>
      </c>
      <c r="C988" s="33" t="str">
        <f t="shared" si="62"/>
        <v>11053-0000</v>
      </c>
      <c r="D988" t="s">
        <v>838</v>
      </c>
      <c r="E988" t="s">
        <v>839</v>
      </c>
      <c r="F988" t="s">
        <v>30855</v>
      </c>
      <c r="G988" t="s">
        <v>16</v>
      </c>
      <c r="H988" t="s">
        <v>13889</v>
      </c>
      <c r="I988" t="s">
        <v>40</v>
      </c>
      <c r="J988" s="62">
        <v>0</v>
      </c>
      <c r="K988" s="62">
        <v>2246716.97</v>
      </c>
      <c r="L988" t="str">
        <f>VLOOKUP(VALUE(LEFT(C988,5)),Xref!A:B,2,0)</f>
        <v>SEK</v>
      </c>
      <c r="M988" t="str">
        <f t="shared" si="63"/>
        <v>DFL-SEK</v>
      </c>
    </row>
    <row r="989" spans="1:13" ht="14.25" customHeight="true">
      <c r="A989" s="33" t="str">
        <f t="shared" si="60"/>
        <v>DFL - InterCo Notes</v>
      </c>
      <c r="B989" s="33" t="str">
        <f t="shared" si="61"/>
        <v>DFL</v>
      </c>
      <c r="C989" s="33" t="str">
        <f t="shared" si="62"/>
        <v>11054-0000</v>
      </c>
      <c r="D989" t="s">
        <v>840</v>
      </c>
      <c r="E989" t="s">
        <v>280</v>
      </c>
      <c r="F989" t="s">
        <v>30855</v>
      </c>
      <c r="G989" t="s">
        <v>841</v>
      </c>
      <c r="H989" t="s">
        <v>13889</v>
      </c>
      <c r="I989" t="s">
        <v>40</v>
      </c>
      <c r="J989" s="62">
        <v>0</v>
      </c>
      <c r="K989" s="62">
        <v>1238500</v>
      </c>
      <c r="L989" t="str">
        <f>VLOOKUP(VALUE(LEFT(C989,5)),Xref!A:B,2,0)</f>
        <v>MAR</v>
      </c>
      <c r="M989" t="str">
        <f t="shared" si="63"/>
        <v>DFL-MAR</v>
      </c>
    </row>
    <row r="990" spans="1:13" ht="14.25" customHeight="true">
      <c r="A990" s="33" t="str">
        <f t="shared" si="60"/>
        <v>DFL - InterCo Notes</v>
      </c>
      <c r="B990" s="33" t="str">
        <f t="shared" si="61"/>
        <v>DFL</v>
      </c>
      <c r="C990" s="33" t="str">
        <f t="shared" si="62"/>
        <v>11056-0000</v>
      </c>
      <c r="D990" t="s">
        <v>842</v>
      </c>
      <c r="E990" t="s">
        <v>843</v>
      </c>
      <c r="F990" t="s">
        <v>30855</v>
      </c>
      <c r="G990" t="s">
        <v>16</v>
      </c>
      <c r="H990" t="s">
        <v>13889</v>
      </c>
      <c r="I990" t="s">
        <v>40</v>
      </c>
      <c r="J990" s="62">
        <v>0</v>
      </c>
      <c r="K990" s="62">
        <v>4430000</v>
      </c>
      <c r="L990" t="str">
        <f>VLOOKUP(VALUE(LEFT(C990,5)),Xref!A:B,2,0)</f>
        <v>STO</v>
      </c>
      <c r="M990" t="str">
        <f t="shared" si="63"/>
        <v>DFL-STO</v>
      </c>
    </row>
    <row r="991" spans="1:13" ht="14.25" customHeight="true">
      <c r="A991" s="33" t="str">
        <f t="shared" si="60"/>
        <v>DFL - InterCo Notes</v>
      </c>
      <c r="B991" s="33" t="str">
        <f t="shared" si="61"/>
        <v>DFL</v>
      </c>
      <c r="C991" s="33" t="str">
        <f t="shared" si="62"/>
        <v>11057-0000</v>
      </c>
      <c r="D991" t="s">
        <v>844</v>
      </c>
      <c r="E991" t="s">
        <v>845</v>
      </c>
      <c r="F991" t="s">
        <v>30855</v>
      </c>
      <c r="G991" t="s">
        <v>362</v>
      </c>
      <c r="H991" t="s">
        <v>13889</v>
      </c>
      <c r="I991" t="s">
        <v>40</v>
      </c>
      <c r="J991" s="62">
        <v>0</v>
      </c>
      <c r="K991" s="62">
        <v>1836427.81</v>
      </c>
      <c r="L991" t="str">
        <f>VLOOKUP(VALUE(LEFT(C991,5)),Xref!A:B,2,0)</f>
        <v>ANG</v>
      </c>
      <c r="M991" t="str">
        <f t="shared" si="63"/>
        <v>ANG-DFL</v>
      </c>
    </row>
    <row r="992" spans="1:13" ht="14.25" customHeight="true">
      <c r="A992" s="33" t="str">
        <f t="shared" si="60"/>
        <v>DFL - InterCo Notes</v>
      </c>
      <c r="B992" s="33" t="str">
        <f t="shared" si="61"/>
        <v>DFL</v>
      </c>
      <c r="C992" s="33" t="str">
        <f t="shared" si="62"/>
        <v>11058-0000</v>
      </c>
      <c r="D992" t="s">
        <v>846</v>
      </c>
      <c r="E992" t="s">
        <v>847</v>
      </c>
      <c r="F992" t="s">
        <v>30855</v>
      </c>
      <c r="G992" t="s">
        <v>362</v>
      </c>
      <c r="H992" t="s">
        <v>13889</v>
      </c>
      <c r="I992" t="s">
        <v>40</v>
      </c>
      <c r="J992" s="62">
        <v>0</v>
      </c>
      <c r="K992" s="62">
        <v>1487500</v>
      </c>
      <c r="L992" t="str">
        <f>VLOOKUP(VALUE(LEFT(C992,5)),Xref!A:B,2,0)</f>
        <v>BRU</v>
      </c>
      <c r="M992" t="str">
        <f t="shared" si="63"/>
        <v>BRU-DFL</v>
      </c>
    </row>
    <row r="993" spans="1:13" ht="14.25" customHeight="true">
      <c r="A993" s="33" t="str">
        <f t="shared" si="60"/>
        <v>DFL - InterCo Notes</v>
      </c>
      <c r="B993" s="33" t="str">
        <f t="shared" si="61"/>
        <v>DFL</v>
      </c>
      <c r="C993" s="33" t="str">
        <f t="shared" si="62"/>
        <v>11059-0000</v>
      </c>
      <c r="D993" t="s">
        <v>848</v>
      </c>
      <c r="E993" t="s">
        <v>714</v>
      </c>
      <c r="F993" t="s">
        <v>30855</v>
      </c>
      <c r="G993" t="s">
        <v>362</v>
      </c>
      <c r="H993" t="s">
        <v>13889</v>
      </c>
      <c r="I993" t="s">
        <v>40</v>
      </c>
      <c r="J993" s="62">
        <v>0</v>
      </c>
      <c r="K993" s="62">
        <v>1127000</v>
      </c>
      <c r="L993" t="str">
        <f>VLOOKUP(VALUE(LEFT(C993,5)),Xref!A:B,2,0)</f>
        <v>VEN</v>
      </c>
      <c r="M993" t="str">
        <f t="shared" si="63"/>
        <v>DFL-VEN</v>
      </c>
    </row>
    <row r="994" spans="1:13" ht="14.25" customHeight="true">
      <c r="A994" s="33" t="str">
        <f t="shared" si="60"/>
        <v>DFL - InterCo Notes</v>
      </c>
      <c r="B994" s="33" t="str">
        <f t="shared" si="61"/>
        <v>DFL</v>
      </c>
      <c r="C994" s="33" t="str">
        <f t="shared" si="62"/>
        <v>11060-0000</v>
      </c>
      <c r="D994" t="s">
        <v>849</v>
      </c>
      <c r="E994" t="s">
        <v>850</v>
      </c>
      <c r="F994" t="s">
        <v>30855</v>
      </c>
      <c r="G994" t="s">
        <v>362</v>
      </c>
      <c r="H994" t="s">
        <v>13889</v>
      </c>
      <c r="I994" t="s">
        <v>40</v>
      </c>
      <c r="J994" s="62">
        <v>0</v>
      </c>
      <c r="K994" s="62">
        <v>2804000</v>
      </c>
      <c r="L994" t="str">
        <f>VLOOKUP(VALUE(LEFT(C994,5)),Xref!A:B,2,0)</f>
        <v>SAT</v>
      </c>
      <c r="M994" t="str">
        <f t="shared" si="63"/>
        <v>DFL-SAT</v>
      </c>
    </row>
    <row r="995" spans="1:13" ht="14.25" customHeight="true">
      <c r="A995" s="33" t="str">
        <f t="shared" si="60"/>
        <v>DFL - InterCo Notes</v>
      </c>
      <c r="B995" s="33" t="str">
        <f t="shared" si="61"/>
        <v>DFL</v>
      </c>
      <c r="C995" s="33" t="str">
        <f t="shared" si="62"/>
        <v>11071-0000</v>
      </c>
      <c r="D995" t="s">
        <v>851</v>
      </c>
      <c r="E995" t="s">
        <v>852</v>
      </c>
      <c r="F995" t="s">
        <v>30856</v>
      </c>
      <c r="G995" t="s">
        <v>362</v>
      </c>
      <c r="H995" t="s">
        <v>13889</v>
      </c>
      <c r="I995" t="s">
        <v>40</v>
      </c>
      <c r="J995" s="62">
        <v>0</v>
      </c>
      <c r="K995" s="62">
        <v>3160000</v>
      </c>
      <c r="L995" t="str">
        <f>VLOOKUP(VALUE(LEFT(C995,5)),Xref!A:B,2,0)</f>
        <v>NEP</v>
      </c>
      <c r="M995" t="str">
        <f t="shared" si="63"/>
        <v>DFL-NEP</v>
      </c>
    </row>
    <row r="996" spans="1:13" ht="14.25" customHeight="true">
      <c r="A996" s="33" t="str">
        <f t="shared" si="60"/>
        <v>DFL - InterCo Notes</v>
      </c>
      <c r="B996" s="33" t="str">
        <f t="shared" si="61"/>
        <v>DFL</v>
      </c>
      <c r="C996" s="33" t="str">
        <f t="shared" si="62"/>
        <v>11072-0000</v>
      </c>
      <c r="D996" t="s">
        <v>853</v>
      </c>
      <c r="E996" t="s">
        <v>718</v>
      </c>
      <c r="F996" t="s">
        <v>30856</v>
      </c>
      <c r="G996" t="s">
        <v>16</v>
      </c>
      <c r="H996" t="s">
        <v>13889</v>
      </c>
      <c r="I996" t="s">
        <v>40</v>
      </c>
      <c r="J996" s="62">
        <v>0</v>
      </c>
      <c r="K996" s="62">
        <v>1678572.19</v>
      </c>
      <c r="L996" t="str">
        <f>VLOOKUP(VALUE(LEFT(C996,5)),Xref!A:B,2,0)</f>
        <v>JUP</v>
      </c>
      <c r="M996" t="str">
        <f t="shared" si="63"/>
        <v>DFL-JUP</v>
      </c>
    </row>
    <row r="997" spans="1:13" ht="14.25" customHeight="true">
      <c r="A997" s="33" t="str">
        <f t="shared" si="60"/>
        <v>DFL - InterCo Notes</v>
      </c>
      <c r="B997" s="33" t="str">
        <f t="shared" si="61"/>
        <v>DFL</v>
      </c>
      <c r="C997" s="33" t="str">
        <f t="shared" si="62"/>
        <v>11073-0000</v>
      </c>
      <c r="D997" t="s">
        <v>854</v>
      </c>
      <c r="E997" t="s">
        <v>855</v>
      </c>
      <c r="F997" t="s">
        <v>30855</v>
      </c>
      <c r="G997" t="s">
        <v>16</v>
      </c>
      <c r="H997" t="s">
        <v>13889</v>
      </c>
      <c r="I997" t="s">
        <v>40</v>
      </c>
      <c r="J997" s="62">
        <v>0</v>
      </c>
      <c r="K997" s="62">
        <v>13674704.79</v>
      </c>
      <c r="L997" t="str">
        <f>VLOOKUP(VALUE(LEFT(C997,5)),Xref!A:B,2,0)</f>
        <v>API</v>
      </c>
      <c r="M997" t="str">
        <f t="shared" si="63"/>
        <v>API-DFL</v>
      </c>
    </row>
    <row r="998" spans="1:13" ht="14.25" customHeight="true">
      <c r="A998" s="33" t="str">
        <f t="shared" si="60"/>
        <v>DFL - InterCo Notes</v>
      </c>
      <c r="B998" s="33" t="str">
        <f t="shared" si="61"/>
        <v>DFL</v>
      </c>
      <c r="C998" s="33" t="str">
        <f t="shared" si="62"/>
        <v>11074-0000</v>
      </c>
      <c r="D998" t="s">
        <v>856</v>
      </c>
      <c r="E998" t="s">
        <v>857</v>
      </c>
      <c r="F998" t="s">
        <v>30855</v>
      </c>
      <c r="G998" t="s">
        <v>16</v>
      </c>
      <c r="H998" t="s">
        <v>13889</v>
      </c>
      <c r="I998" t="s">
        <v>40</v>
      </c>
      <c r="J998" s="62">
        <v>0</v>
      </c>
      <c r="K998" s="62">
        <v>75000</v>
      </c>
      <c r="L998" t="str">
        <f>VLOOKUP(VALUE(LEFT(C998,5)),Xref!A:B,2,0)</f>
        <v>DPH</v>
      </c>
      <c r="M998" t="str">
        <f t="shared" si="63"/>
        <v>DFL-DPH</v>
      </c>
    </row>
    <row r="999" spans="1:13" ht="14.25" customHeight="true">
      <c r="A999" s="33" t="str">
        <f t="shared" si="60"/>
        <v>DFL - InterCo Notes</v>
      </c>
      <c r="B999" s="33" t="str">
        <f t="shared" si="61"/>
        <v>DFL</v>
      </c>
      <c r="C999" s="33" t="str">
        <f t="shared" si="62"/>
        <v>11075-0000</v>
      </c>
      <c r="D999" t="s">
        <v>5218</v>
      </c>
      <c r="E999" t="s">
        <v>5219</v>
      </c>
      <c r="F999" t="s">
        <v>30855</v>
      </c>
      <c r="G999" t="s">
        <v>16</v>
      </c>
      <c r="H999" t="s">
        <v>13889</v>
      </c>
      <c r="I999" t="s">
        <v>40</v>
      </c>
      <c r="J999" s="62">
        <v>63000</v>
      </c>
      <c r="K999" s="62">
        <v>711000</v>
      </c>
      <c r="L999" t="str">
        <f>VLOOKUP(VALUE(LEFT(C999,5)),Xref!A:B,2,0)</f>
        <v>DPM</v>
      </c>
      <c r="M999" t="str">
        <f t="shared" si="63"/>
        <v>DFL-DPM</v>
      </c>
    </row>
    <row r="1000" spans="1:13" ht="14.25" customHeight="true">
      <c r="A1000" s="33" t="str">
        <f t="shared" si="60"/>
        <v>DFL - InterCo Notes</v>
      </c>
      <c r="B1000" s="33" t="str">
        <f t="shared" si="61"/>
        <v>DFL</v>
      </c>
      <c r="C1000" s="33" t="str">
        <f t="shared" si="62"/>
        <v>11079-0000</v>
      </c>
      <c r="D1000" t="s">
        <v>30865</v>
      </c>
      <c r="E1000" t="s">
        <v>30866</v>
      </c>
      <c r="F1000" t="s">
        <v>30855</v>
      </c>
      <c r="G1000" t="s">
        <v>16</v>
      </c>
      <c r="H1000" t="s">
        <v>13889</v>
      </c>
      <c r="I1000" t="s">
        <v>40</v>
      </c>
      <c r="J1000" s="62">
        <v>0</v>
      </c>
      <c r="K1000" s="62">
        <v>45000</v>
      </c>
      <c r="L1000" t="e">
        <f>VLOOKUP(VALUE(LEFT(C1000,5)),Xref!A:B,2,0)</f>
        <v>#N/A</v>
      </c>
      <c r="M1000" t="e">
        <f t="shared" si="63"/>
        <v>#N/A</v>
      </c>
    </row>
    <row r="1001" spans="1:13" ht="14.25" customHeight="true">
      <c r="A1001" s="33" t="str">
        <f t="shared" si="60"/>
        <v>DFL - InterCo Notes</v>
      </c>
      <c r="B1001" s="33" t="str">
        <f t="shared" si="61"/>
        <v>DFL</v>
      </c>
      <c r="C1001" s="33" t="str">
        <f t="shared" si="62"/>
        <v>11080-0000</v>
      </c>
      <c r="D1001" t="s">
        <v>30971</v>
      </c>
      <c r="E1001" t="s">
        <v>30972</v>
      </c>
      <c r="F1001" t="s">
        <v>30855</v>
      </c>
      <c r="G1001" t="s">
        <v>16</v>
      </c>
      <c r="H1001" t="s">
        <v>13889</v>
      </c>
      <c r="I1001" t="s">
        <v>40</v>
      </c>
      <c r="J1001" s="62">
        <v>5000</v>
      </c>
      <c r="K1001" s="62">
        <v>39000</v>
      </c>
      <c r="L1001" t="e">
        <f>VLOOKUP(VALUE(LEFT(C1001,5)),Xref!A:B,2,0)</f>
        <v>#N/A</v>
      </c>
      <c r="M1001" t="e">
        <f t="shared" si="63"/>
        <v>#N/A</v>
      </c>
    </row>
    <row r="1002" spans="1:13" ht="14.25" customHeight="true">
      <c r="A1002" s="33" t="str">
        <f t="shared" si="60"/>
        <v>DFL - InterCo Notes</v>
      </c>
      <c r="B1002" s="33" t="str">
        <f t="shared" si="61"/>
        <v>DFL</v>
      </c>
      <c r="C1002" s="33" t="str">
        <f t="shared" si="62"/>
        <v>11081-0000</v>
      </c>
      <c r="D1002" t="s">
        <v>30973</v>
      </c>
      <c r="E1002" t="s">
        <v>30974</v>
      </c>
      <c r="F1002" t="s">
        <v>30855</v>
      </c>
      <c r="G1002" t="s">
        <v>16</v>
      </c>
      <c r="H1002" t="s">
        <v>13889</v>
      </c>
      <c r="I1002" t="s">
        <v>40</v>
      </c>
      <c r="J1002" s="62">
        <v>0</v>
      </c>
      <c r="K1002" s="62">
        <v>265000</v>
      </c>
      <c r="L1002" t="e">
        <f>VLOOKUP(VALUE(LEFT(C1002,5)),Xref!A:B,2,0)</f>
        <v>#N/A</v>
      </c>
      <c r="M1002" t="e">
        <f t="shared" si="63"/>
        <v>#N/A</v>
      </c>
    </row>
    <row r="1003" spans="1:13" ht="14.25" customHeight="true">
      <c r="A1003" s="33" t="str">
        <f t="shared" si="60"/>
        <v>DFL - Intercompany</v>
      </c>
      <c r="B1003" s="33" t="str">
        <f t="shared" si="61"/>
        <v>DFL</v>
      </c>
      <c r="C1003" s="33" t="str">
        <f t="shared" si="62"/>
        <v>11200-0000</v>
      </c>
      <c r="D1003" t="s">
        <v>860</v>
      </c>
      <c r="E1003" t="s">
        <v>38</v>
      </c>
      <c r="F1003" t="s">
        <v>30855</v>
      </c>
      <c r="G1003" t="s">
        <v>16</v>
      </c>
      <c r="H1003" t="s">
        <v>13869</v>
      </c>
      <c r="I1003" t="s">
        <v>40</v>
      </c>
      <c r="J1003" s="62">
        <v>0</v>
      </c>
      <c r="K1003" s="62">
        <v>-90000</v>
      </c>
      <c r="L1003" t="str">
        <f>VLOOKUP(VALUE(LEFT(C1003,5)),Xref!A:B,2,0)</f>
        <v>SCL</v>
      </c>
      <c r="M1003" t="str">
        <f t="shared" si="63"/>
        <v>DFL-SCL</v>
      </c>
    </row>
    <row r="1004" spans="1:13" ht="14.25" customHeight="true">
      <c r="A1004" s="33" t="str">
        <f t="shared" si="60"/>
        <v>DFL - Intercompany</v>
      </c>
      <c r="B1004" s="33" t="str">
        <f t="shared" si="61"/>
        <v>DFL</v>
      </c>
      <c r="C1004" s="33" t="str">
        <f t="shared" si="62"/>
        <v>11202-0000</v>
      </c>
      <c r="D1004" t="s">
        <v>861</v>
      </c>
      <c r="E1004" t="s">
        <v>576</v>
      </c>
      <c r="F1004" t="s">
        <v>30855</v>
      </c>
      <c r="G1004" t="s">
        <v>16</v>
      </c>
      <c r="H1004" t="s">
        <v>13869</v>
      </c>
      <c r="I1004" t="s">
        <v>40</v>
      </c>
      <c r="J1004" s="62">
        <v>0</v>
      </c>
      <c r="K1004" s="62">
        <v>-442125.48</v>
      </c>
      <c r="L1004" t="str">
        <f>VLOOKUP(VALUE(LEFT(C1004,5)),Xref!A:B,2,0)</f>
        <v>FFC</v>
      </c>
      <c r="M1004" t="str">
        <f t="shared" si="63"/>
        <v>DFL-FFC</v>
      </c>
    </row>
    <row r="1005" spans="1:13" ht="14.25" customHeight="true">
      <c r="A1005" s="33" t="str">
        <f t="shared" si="60"/>
        <v>DFL - Intercompany</v>
      </c>
      <c r="B1005" s="33" t="str">
        <f t="shared" si="61"/>
        <v>DFL</v>
      </c>
      <c r="C1005" s="33" t="str">
        <f t="shared" si="62"/>
        <v>11360-0000</v>
      </c>
      <c r="D1005" t="s">
        <v>5222</v>
      </c>
      <c r="E1005" t="s">
        <v>5223</v>
      </c>
      <c r="F1005" t="s">
        <v>13865</v>
      </c>
      <c r="G1005" t="s">
        <v>16</v>
      </c>
      <c r="H1005" t="s">
        <v>13869</v>
      </c>
      <c r="I1005" t="s">
        <v>40</v>
      </c>
      <c r="J1005" s="62">
        <v>0</v>
      </c>
      <c r="K1005" s="62">
        <v>1305694.44</v>
      </c>
      <c r="L1005" t="str">
        <f>VLOOKUP(VALUE(LEFT(C1005,5)),Xref!A:B,2,0)</f>
        <v>SCR</v>
      </c>
      <c r="M1005" t="str">
        <f t="shared" si="63"/>
        <v>DFL-SCR</v>
      </c>
    </row>
    <row r="1006" spans="1:13" ht="14.25" customHeight="true">
      <c r="A1006" s="33" t="str">
        <f t="shared" si="60"/>
        <v>DFL - Intercompany</v>
      </c>
      <c r="B1006" s="33" t="str">
        <f t="shared" si="61"/>
        <v>DFL</v>
      </c>
      <c r="C1006" s="33" t="str">
        <f t="shared" si="62"/>
        <v>11403-0000</v>
      </c>
      <c r="D1006" t="s">
        <v>5225</v>
      </c>
      <c r="E1006" t="s">
        <v>5226</v>
      </c>
      <c r="F1006" t="s">
        <v>30855</v>
      </c>
      <c r="G1006" t="s">
        <v>16</v>
      </c>
      <c r="H1006" t="s">
        <v>13869</v>
      </c>
      <c r="I1006" t="s">
        <v>40</v>
      </c>
      <c r="J1006" s="62">
        <v>0</v>
      </c>
      <c r="K1006" s="62">
        <v>0</v>
      </c>
      <c r="L1006" t="str">
        <f>VLOOKUP(VALUE(LEFT(C1006,5)),Xref!A:B,2,0)</f>
        <v>SEA</v>
      </c>
      <c r="M1006" t="str">
        <f t="shared" si="63"/>
        <v>DFL-SEA</v>
      </c>
    </row>
    <row r="1007" spans="1:13" ht="14.25" customHeight="true">
      <c r="A1007" s="33" t="str">
        <f t="shared" si="60"/>
        <v>DFL - InterCo Notes</v>
      </c>
      <c r="B1007" s="33" t="str">
        <f t="shared" si="61"/>
        <v>DFL</v>
      </c>
      <c r="C1007" s="33" t="str">
        <f t="shared" si="62"/>
        <v>28007-0000</v>
      </c>
      <c r="D1007" t="s">
        <v>877</v>
      </c>
      <c r="E1007" t="s">
        <v>878</v>
      </c>
      <c r="F1007" t="s">
        <v>30855</v>
      </c>
      <c r="G1007" t="s">
        <v>16</v>
      </c>
      <c r="H1007" t="s">
        <v>13889</v>
      </c>
      <c r="I1007" t="s">
        <v>40</v>
      </c>
      <c r="J1007" s="62">
        <v>0</v>
      </c>
      <c r="K1007" s="62">
        <v>-1450000</v>
      </c>
      <c r="L1007" t="str">
        <f>VLOOKUP(VALUE(LEFT(C1007,5)),Xref!A:B,2,0)</f>
        <v>SCL</v>
      </c>
      <c r="M1007" t="str">
        <f t="shared" si="63"/>
        <v>DFL-SCL</v>
      </c>
    </row>
    <row r="1008" spans="1:13" ht="14.25" customHeight="true">
      <c r="A1008" s="33" t="str">
        <f t="shared" si="60"/>
        <v>DIA - Intercompany</v>
      </c>
      <c r="B1008" s="33" t="str">
        <f t="shared" si="61"/>
        <v>DIA</v>
      </c>
      <c r="C1008" s="33" t="str">
        <f t="shared" si="62"/>
        <v>11200-0000</v>
      </c>
      <c r="D1008" t="s">
        <v>17796</v>
      </c>
      <c r="E1008" t="s">
        <v>14069</v>
      </c>
      <c r="F1008" t="s">
        <v>14039</v>
      </c>
      <c r="G1008" t="s">
        <v>14672</v>
      </c>
      <c r="H1008" t="s">
        <v>13869</v>
      </c>
      <c r="I1008" t="s">
        <v>14690</v>
      </c>
      <c r="J1008" s="62">
        <v>0</v>
      </c>
      <c r="K1008" s="62">
        <v>0</v>
      </c>
      <c r="L1008" t="str">
        <f>VLOOKUP(VALUE(LEFT(C1008,5)),Xref!A:B,2,0)</f>
        <v>SCL</v>
      </c>
      <c r="M1008" t="str">
        <f t="shared" si="63"/>
        <v>DIA-SCL</v>
      </c>
    </row>
    <row r="1009" spans="1:13" ht="14.25" customHeight="true">
      <c r="A1009" s="33" t="str">
        <f t="shared" si="60"/>
        <v>DIA - Intercompany</v>
      </c>
      <c r="B1009" s="33" t="str">
        <f t="shared" si="61"/>
        <v>DIA</v>
      </c>
      <c r="C1009" s="33" t="str">
        <f t="shared" si="62"/>
        <v>11201-0000</v>
      </c>
      <c r="D1009" t="s">
        <v>17797</v>
      </c>
      <c r="E1009" t="s">
        <v>14071</v>
      </c>
      <c r="F1009" t="s">
        <v>14039</v>
      </c>
      <c r="G1009" t="s">
        <v>14672</v>
      </c>
      <c r="H1009" t="s">
        <v>13869</v>
      </c>
      <c r="I1009" t="s">
        <v>14690</v>
      </c>
      <c r="J1009" s="62">
        <v>0</v>
      </c>
      <c r="K1009" s="62">
        <v>0</v>
      </c>
      <c r="L1009" t="str">
        <f>VLOOKUP(VALUE(LEFT(C1009,5)),Xref!A:B,2,0)</f>
        <v>SG2</v>
      </c>
      <c r="M1009" t="str">
        <f t="shared" si="63"/>
        <v>DIA-SG2</v>
      </c>
    </row>
    <row r="1010" spans="1:13" ht="14.25" customHeight="true">
      <c r="A1010" s="33" t="str">
        <f t="shared" si="60"/>
        <v>DIA - Intercompany</v>
      </c>
      <c r="B1010" s="33" t="str">
        <f t="shared" si="61"/>
        <v>DIA</v>
      </c>
      <c r="C1010" s="33" t="str">
        <f t="shared" si="62"/>
        <v>11202-0000</v>
      </c>
      <c r="D1010" t="s">
        <v>17798</v>
      </c>
      <c r="E1010" t="s">
        <v>14073</v>
      </c>
      <c r="F1010" t="s">
        <v>14039</v>
      </c>
      <c r="G1010" t="s">
        <v>14672</v>
      </c>
      <c r="H1010" t="s">
        <v>13869</v>
      </c>
      <c r="I1010" t="s">
        <v>14690</v>
      </c>
      <c r="J1010" s="62">
        <v>0</v>
      </c>
      <c r="K1010" s="62">
        <v>0</v>
      </c>
      <c r="L1010" t="str">
        <f>VLOOKUP(VALUE(LEFT(C1010,5)),Xref!A:B,2,0)</f>
        <v>FFC</v>
      </c>
      <c r="M1010" t="str">
        <f t="shared" si="63"/>
        <v>DIA-FFC</v>
      </c>
    </row>
    <row r="1011" spans="1:13" ht="14.25" customHeight="true">
      <c r="A1011" s="33" t="str">
        <f t="shared" si="60"/>
        <v>DIA - Intercompany</v>
      </c>
      <c r="B1011" s="33" t="str">
        <f t="shared" si="61"/>
        <v>DIA</v>
      </c>
      <c r="C1011" s="33" t="str">
        <f t="shared" si="62"/>
        <v>11203-0000</v>
      </c>
      <c r="D1011" t="s">
        <v>17799</v>
      </c>
      <c r="E1011" t="s">
        <v>14075</v>
      </c>
      <c r="F1011" t="s">
        <v>14039</v>
      </c>
      <c r="G1011" t="s">
        <v>14672</v>
      </c>
      <c r="H1011" t="s">
        <v>13869</v>
      </c>
      <c r="I1011" t="s">
        <v>14690</v>
      </c>
      <c r="J1011" s="62">
        <v>0</v>
      </c>
      <c r="K1011" s="62">
        <v>0</v>
      </c>
      <c r="L1011" t="str">
        <f>VLOOKUP(VALUE(LEFT(C1011,5)),Xref!A:B,2,0)</f>
        <v>HN2</v>
      </c>
      <c r="M1011" t="str">
        <f t="shared" si="63"/>
        <v>DIA-HN2</v>
      </c>
    </row>
    <row r="1012" spans="1:13" ht="14.25" customHeight="true">
      <c r="A1012" s="33" t="str">
        <f t="shared" si="60"/>
        <v>DIA - Intercompany</v>
      </c>
      <c r="B1012" s="33" t="str">
        <f t="shared" si="61"/>
        <v>DIA</v>
      </c>
      <c r="C1012" s="33" t="str">
        <f t="shared" si="62"/>
        <v>11204-0000</v>
      </c>
      <c r="D1012" t="s">
        <v>17800</v>
      </c>
      <c r="E1012" t="s">
        <v>14077</v>
      </c>
      <c r="F1012" t="s">
        <v>14039</v>
      </c>
      <c r="G1012" t="s">
        <v>14672</v>
      </c>
      <c r="H1012" t="s">
        <v>13869</v>
      </c>
      <c r="I1012" t="s">
        <v>14690</v>
      </c>
      <c r="J1012" s="62">
        <v>0</v>
      </c>
      <c r="K1012" s="62">
        <v>0</v>
      </c>
      <c r="L1012" t="str">
        <f>VLOOKUP(VALUE(LEFT(C1012,5)),Xref!A:B,2,0)</f>
        <v>DF2</v>
      </c>
      <c r="M1012" t="str">
        <f t="shared" si="63"/>
        <v>DF2-DIA</v>
      </c>
    </row>
    <row r="1013" spans="1:13" ht="14.25" customHeight="true">
      <c r="A1013" s="33" t="str">
        <f t="shared" si="60"/>
        <v>DIA - Intercompany</v>
      </c>
      <c r="B1013" s="33" t="str">
        <f t="shared" si="61"/>
        <v>DIA</v>
      </c>
      <c r="C1013" s="33" t="str">
        <f t="shared" si="62"/>
        <v>11208-0000</v>
      </c>
      <c r="D1013" t="s">
        <v>17801</v>
      </c>
      <c r="E1013" t="s">
        <v>14079</v>
      </c>
      <c r="F1013" t="s">
        <v>14039</v>
      </c>
      <c r="G1013" t="s">
        <v>14672</v>
      </c>
      <c r="H1013" t="s">
        <v>13869</v>
      </c>
      <c r="I1013" t="s">
        <v>14690</v>
      </c>
      <c r="J1013" s="62">
        <v>0</v>
      </c>
      <c r="K1013" s="62">
        <v>0</v>
      </c>
      <c r="L1013" t="str">
        <f>VLOOKUP(VALUE(LEFT(C1013,5)),Xref!A:B,2,0)</f>
        <v>SRE</v>
      </c>
      <c r="M1013" t="str">
        <f t="shared" si="63"/>
        <v>DIA-SRE</v>
      </c>
    </row>
    <row r="1014" spans="1:13" ht="14.25" customHeight="true">
      <c r="A1014" s="33" t="str">
        <f t="shared" si="60"/>
        <v>DIA - Intercompany</v>
      </c>
      <c r="B1014" s="33" t="str">
        <f t="shared" si="61"/>
        <v>DIA</v>
      </c>
      <c r="C1014" s="33" t="str">
        <f t="shared" si="62"/>
        <v>11210-0000</v>
      </c>
      <c r="D1014" t="s">
        <v>17802</v>
      </c>
      <c r="E1014" t="s">
        <v>14081</v>
      </c>
      <c r="F1014" t="s">
        <v>14039</v>
      </c>
      <c r="G1014" t="s">
        <v>14672</v>
      </c>
      <c r="H1014" t="s">
        <v>13869</v>
      </c>
      <c r="I1014" t="s">
        <v>14690</v>
      </c>
      <c r="J1014" s="62">
        <v>0</v>
      </c>
      <c r="K1014" s="62">
        <v>0</v>
      </c>
      <c r="L1014" t="str">
        <f>VLOOKUP(VALUE(LEFT(C1014,5)),Xref!A:B,2,0)</f>
        <v>REM</v>
      </c>
      <c r="M1014" t="str">
        <f t="shared" si="63"/>
        <v>DIA-REM</v>
      </c>
    </row>
    <row r="1015" spans="1:13" ht="14.25" customHeight="true">
      <c r="A1015" s="33" t="str">
        <f t="shared" si="60"/>
        <v>DIA - Intercompany</v>
      </c>
      <c r="B1015" s="33" t="str">
        <f t="shared" si="61"/>
        <v>DIA</v>
      </c>
      <c r="C1015" s="33" t="str">
        <f t="shared" si="62"/>
        <v>11212-0000</v>
      </c>
      <c r="D1015" t="s">
        <v>17803</v>
      </c>
      <c r="E1015" t="s">
        <v>14083</v>
      </c>
      <c r="F1015" t="s">
        <v>14039</v>
      </c>
      <c r="G1015" t="s">
        <v>14672</v>
      </c>
      <c r="H1015" t="s">
        <v>13869</v>
      </c>
      <c r="I1015" t="s">
        <v>14690</v>
      </c>
      <c r="J1015" s="62">
        <v>0</v>
      </c>
      <c r="K1015" s="62">
        <v>0</v>
      </c>
      <c r="L1015" t="str">
        <f>VLOOKUP(VALUE(LEFT(C1015,5)),Xref!A:B,2,0)</f>
        <v>FRM</v>
      </c>
      <c r="M1015" t="str">
        <f t="shared" si="63"/>
        <v>DIA-FRM</v>
      </c>
    </row>
    <row r="1016" spans="1:13" ht="14.25" customHeight="true">
      <c r="A1016" s="33" t="str">
        <f t="shared" si="60"/>
        <v>DIA - Intercompany</v>
      </c>
      <c r="B1016" s="33" t="str">
        <f t="shared" si="61"/>
        <v>DIA</v>
      </c>
      <c r="C1016" s="33" t="str">
        <f t="shared" si="62"/>
        <v>11214-0000</v>
      </c>
      <c r="D1016" t="s">
        <v>17804</v>
      </c>
      <c r="E1016" t="s">
        <v>14085</v>
      </c>
      <c r="F1016" t="s">
        <v>14039</v>
      </c>
      <c r="G1016" t="s">
        <v>14672</v>
      </c>
      <c r="H1016" t="s">
        <v>13869</v>
      </c>
      <c r="I1016" t="s">
        <v>14690</v>
      </c>
      <c r="J1016" s="62">
        <v>0</v>
      </c>
      <c r="K1016" s="62">
        <v>0</v>
      </c>
      <c r="L1016" t="str">
        <f>VLOOKUP(VALUE(LEFT(C1016,5)),Xref!A:B,2,0)</f>
        <v>D7R</v>
      </c>
      <c r="M1016" t="str">
        <f t="shared" si="63"/>
        <v>D7R-DIA</v>
      </c>
    </row>
    <row r="1017" spans="1:13" ht="14.25" customHeight="true">
      <c r="A1017" s="33" t="str">
        <f t="shared" si="60"/>
        <v>DIA - Intercompany</v>
      </c>
      <c r="B1017" s="33" t="str">
        <f t="shared" si="61"/>
        <v>DIA</v>
      </c>
      <c r="C1017" s="33" t="str">
        <f t="shared" si="62"/>
        <v>11215-0000</v>
      </c>
      <c r="D1017" t="s">
        <v>17805</v>
      </c>
      <c r="E1017" t="s">
        <v>14087</v>
      </c>
      <c r="F1017" t="s">
        <v>14039</v>
      </c>
      <c r="G1017" t="s">
        <v>14672</v>
      </c>
      <c r="H1017" t="s">
        <v>13869</v>
      </c>
      <c r="I1017" t="s">
        <v>14690</v>
      </c>
      <c r="J1017" s="62">
        <v>0</v>
      </c>
      <c r="K1017" s="62">
        <v>0</v>
      </c>
      <c r="L1017" t="str">
        <f>VLOOKUP(VALUE(LEFT(C1017,5)),Xref!A:B,2,0)</f>
        <v>CDP</v>
      </c>
      <c r="M1017" t="str">
        <f t="shared" si="63"/>
        <v>CDP-DIA</v>
      </c>
    </row>
    <row r="1018" spans="1:13" ht="14.25" customHeight="true">
      <c r="A1018" s="33" t="str">
        <f t="shared" si="60"/>
        <v>DIA - Intercompany</v>
      </c>
      <c r="B1018" s="33" t="str">
        <f t="shared" si="61"/>
        <v>DIA</v>
      </c>
      <c r="C1018" s="33" t="str">
        <f t="shared" si="62"/>
        <v>11216-0000</v>
      </c>
      <c r="D1018" t="s">
        <v>882</v>
      </c>
      <c r="E1018" t="s">
        <v>13224</v>
      </c>
      <c r="F1018" t="s">
        <v>14039</v>
      </c>
      <c r="G1018" t="s">
        <v>14672</v>
      </c>
      <c r="H1018" t="s">
        <v>13869</v>
      </c>
      <c r="I1018" t="s">
        <v>14690</v>
      </c>
      <c r="J1018" s="62">
        <v>-4445.79</v>
      </c>
      <c r="K1018" s="62">
        <v>120614.68</v>
      </c>
      <c r="L1018" t="str">
        <f>VLOOKUP(VALUE(LEFT(C1018,5)),Xref!A:B,2,0)</f>
        <v>SIL</v>
      </c>
      <c r="M1018" t="str">
        <f t="shared" si="63"/>
        <v>DIA-SIL</v>
      </c>
    </row>
    <row r="1019" spans="1:13" ht="14.25" customHeight="true">
      <c r="A1019" s="33" t="str">
        <f t="shared" si="60"/>
        <v>DIA - Intercompany</v>
      </c>
      <c r="B1019" s="33" t="str">
        <f t="shared" si="61"/>
        <v>DIA</v>
      </c>
      <c r="C1019" s="33" t="str">
        <f t="shared" si="62"/>
        <v>11232-0000</v>
      </c>
      <c r="D1019" t="s">
        <v>17806</v>
      </c>
      <c r="E1019" t="s">
        <v>12486</v>
      </c>
      <c r="F1019" t="s">
        <v>14039</v>
      </c>
      <c r="G1019" t="s">
        <v>14672</v>
      </c>
      <c r="H1019" t="s">
        <v>13869</v>
      </c>
      <c r="I1019" t="s">
        <v>14690</v>
      </c>
      <c r="J1019" s="62">
        <v>0</v>
      </c>
      <c r="K1019" s="62">
        <v>0</v>
      </c>
      <c r="L1019" t="str">
        <f>VLOOKUP(VALUE(LEFT(C1019,5)),Xref!A:B,2,0)</f>
        <v>SC2</v>
      </c>
      <c r="M1019" t="str">
        <f t="shared" si="63"/>
        <v>DIA-SC2</v>
      </c>
    </row>
    <row r="1020" spans="1:13" ht="14.25" customHeight="true">
      <c r="A1020" s="33" t="str">
        <f t="shared" si="60"/>
        <v>DIA - Intercompany</v>
      </c>
      <c r="B1020" s="33" t="str">
        <f t="shared" si="61"/>
        <v>DIA</v>
      </c>
      <c r="C1020" s="33" t="str">
        <f t="shared" si="62"/>
        <v>11301-0000</v>
      </c>
      <c r="D1020" t="s">
        <v>17807</v>
      </c>
      <c r="E1020" t="s">
        <v>13225</v>
      </c>
      <c r="F1020" t="s">
        <v>14039</v>
      </c>
      <c r="G1020" t="s">
        <v>14672</v>
      </c>
      <c r="H1020" t="s">
        <v>13869</v>
      </c>
      <c r="I1020" t="s">
        <v>14690</v>
      </c>
      <c r="J1020" s="62">
        <v>0</v>
      </c>
      <c r="K1020" s="62">
        <v>0</v>
      </c>
      <c r="L1020" t="str">
        <f>VLOOKUP(VALUE(LEFT(C1020,5)),Xref!A:B,2,0)</f>
        <v>CRE</v>
      </c>
      <c r="M1020" t="str">
        <f t="shared" si="63"/>
        <v>CRE-DIA</v>
      </c>
    </row>
    <row r="1021" spans="1:13" ht="14.25" customHeight="true">
      <c r="A1021" s="33" t="str">
        <f t="shared" si="60"/>
        <v>DIA - Intercompany</v>
      </c>
      <c r="B1021" s="33" t="str">
        <f t="shared" si="61"/>
        <v>DIA</v>
      </c>
      <c r="C1021" s="33" t="str">
        <f t="shared" si="62"/>
        <v>11302-0000</v>
      </c>
      <c r="D1021" t="s">
        <v>17808</v>
      </c>
      <c r="E1021" t="s">
        <v>13226</v>
      </c>
      <c r="F1021" t="s">
        <v>14039</v>
      </c>
      <c r="G1021" t="s">
        <v>14672</v>
      </c>
      <c r="H1021" t="s">
        <v>13869</v>
      </c>
      <c r="I1021" t="s">
        <v>14690</v>
      </c>
      <c r="J1021" s="62">
        <v>0</v>
      </c>
      <c r="K1021" s="62">
        <v>0</v>
      </c>
      <c r="L1021" t="str">
        <f>VLOOKUP(VALUE(LEFT(C1021,5)),Xref!A:B,2,0)</f>
        <v>CHA</v>
      </c>
      <c r="M1021" t="str">
        <f t="shared" si="63"/>
        <v>CHA-DIA</v>
      </c>
    </row>
    <row r="1022" spans="1:13" ht="14.25" customHeight="true">
      <c r="A1022" s="33" t="str">
        <f t="shared" si="60"/>
        <v>DIA - Intercompany</v>
      </c>
      <c r="B1022" s="33" t="str">
        <f t="shared" si="61"/>
        <v>DIA</v>
      </c>
      <c r="C1022" s="33" t="str">
        <f t="shared" si="62"/>
        <v>11303-0000</v>
      </c>
      <c r="D1022" t="s">
        <v>17809</v>
      </c>
      <c r="E1022" t="s">
        <v>13227</v>
      </c>
      <c r="F1022" t="s">
        <v>14039</v>
      </c>
      <c r="G1022" t="s">
        <v>14672</v>
      </c>
      <c r="H1022" t="s">
        <v>13869</v>
      </c>
      <c r="I1022" t="s">
        <v>14690</v>
      </c>
      <c r="J1022" s="62">
        <v>0</v>
      </c>
      <c r="K1022" s="62">
        <v>16000</v>
      </c>
      <c r="L1022" t="str">
        <f>VLOOKUP(VALUE(LEFT(C1022,5)),Xref!A:B,2,0)</f>
        <v>DIA</v>
      </c>
      <c r="M1022" t="str">
        <f t="shared" si="63"/>
        <v>DIA-DIA</v>
      </c>
    </row>
    <row r="1023" spans="1:13" ht="14.25" customHeight="true">
      <c r="A1023" s="33" t="str">
        <f t="shared" si="60"/>
        <v>DIA - Intercompany</v>
      </c>
      <c r="B1023" s="33" t="str">
        <f t="shared" si="61"/>
        <v>DIA</v>
      </c>
      <c r="C1023" s="33" t="str">
        <f t="shared" si="62"/>
        <v>11304-0000</v>
      </c>
      <c r="D1023" t="s">
        <v>17810</v>
      </c>
      <c r="E1023" t="s">
        <v>13228</v>
      </c>
      <c r="F1023" t="s">
        <v>14039</v>
      </c>
      <c r="G1023" t="s">
        <v>14672</v>
      </c>
      <c r="H1023" t="s">
        <v>13869</v>
      </c>
      <c r="I1023" t="s">
        <v>14690</v>
      </c>
      <c r="J1023" s="62">
        <v>0</v>
      </c>
      <c r="K1023" s="62">
        <v>0</v>
      </c>
      <c r="L1023" t="str">
        <f>VLOOKUP(VALUE(LEFT(C1023,5)),Xref!A:B,2,0)</f>
        <v>EAG</v>
      </c>
      <c r="M1023" t="str">
        <f t="shared" si="63"/>
        <v>DIA-EAG</v>
      </c>
    </row>
    <row r="1024" spans="1:13" ht="14.25" customHeight="true">
      <c r="A1024" s="33" t="str">
        <f t="shared" si="60"/>
        <v>DIA - Intercompany</v>
      </c>
      <c r="B1024" s="33" t="str">
        <f t="shared" si="61"/>
        <v>DIA</v>
      </c>
      <c r="C1024" s="33" t="str">
        <f t="shared" si="62"/>
        <v>11305-0000</v>
      </c>
      <c r="D1024" t="s">
        <v>883</v>
      </c>
      <c r="E1024" t="s">
        <v>13229</v>
      </c>
      <c r="F1024" t="s">
        <v>14039</v>
      </c>
      <c r="G1024" t="s">
        <v>14672</v>
      </c>
      <c r="H1024" t="s">
        <v>13869</v>
      </c>
      <c r="I1024" t="s">
        <v>14690</v>
      </c>
      <c r="J1024" s="62">
        <v>0</v>
      </c>
      <c r="K1024" s="62">
        <v>40000</v>
      </c>
      <c r="L1024" t="str">
        <f>VLOOKUP(VALUE(LEFT(C1024,5)),Xref!A:B,2,0)</f>
        <v>NEW</v>
      </c>
      <c r="M1024" t="str">
        <f t="shared" si="63"/>
        <v>DIA-NEW</v>
      </c>
    </row>
    <row r="1025" spans="1:13" ht="14.25" customHeight="true">
      <c r="A1025" s="33" t="str">
        <f t="shared" si="60"/>
        <v>DIA - Intercompany</v>
      </c>
      <c r="B1025" s="33" t="str">
        <f t="shared" si="61"/>
        <v>DIA</v>
      </c>
      <c r="C1025" s="33" t="str">
        <f t="shared" si="62"/>
        <v>11307-0000</v>
      </c>
      <c r="D1025" t="s">
        <v>17811</v>
      </c>
      <c r="E1025" t="s">
        <v>14096</v>
      </c>
      <c r="F1025" t="s">
        <v>14039</v>
      </c>
      <c r="G1025" t="s">
        <v>14672</v>
      </c>
      <c r="H1025" t="s">
        <v>13869</v>
      </c>
      <c r="I1025" t="s">
        <v>14690</v>
      </c>
      <c r="J1025" s="62">
        <v>0</v>
      </c>
      <c r="K1025" s="62">
        <v>0</v>
      </c>
      <c r="L1025" t="str">
        <f>VLOOKUP(VALUE(LEFT(C1025,5)),Xref!A:B,2,0)</f>
        <v>NES</v>
      </c>
      <c r="M1025" t="str">
        <f t="shared" si="63"/>
        <v>DIA-NES</v>
      </c>
    </row>
    <row r="1026" spans="1:13" ht="14.25" customHeight="true">
      <c r="A1026" s="33" t="str">
        <f t="shared" ref="A1026:A1089" si="64">B1026&amp;" - "&amp;TRIM(H1026)</f>
        <v>DIA - Intercompany</v>
      </c>
      <c r="B1026" s="33" t="str">
        <f t="shared" ref="B1026:B1089" si="65">LEFT(D1026,3)</f>
        <v>DIA</v>
      </c>
      <c r="C1026" s="33" t="str">
        <f t="shared" ref="C1026:C1089" si="66">RIGHT(D1026,10)</f>
        <v>11308-0000</v>
      </c>
      <c r="D1026" t="s">
        <v>17812</v>
      </c>
      <c r="E1026" t="s">
        <v>13476</v>
      </c>
      <c r="F1026" t="s">
        <v>14039</v>
      </c>
      <c r="G1026" t="s">
        <v>14672</v>
      </c>
      <c r="H1026" t="s">
        <v>13869</v>
      </c>
      <c r="I1026" t="s">
        <v>14690</v>
      </c>
      <c r="J1026" s="62">
        <v>0</v>
      </c>
      <c r="K1026" s="62">
        <v>0</v>
      </c>
      <c r="L1026" t="str">
        <f>VLOOKUP(VALUE(LEFT(C1026,5)),Xref!A:B,2,0)</f>
        <v>LPI</v>
      </c>
      <c r="M1026" t="str">
        <f t="shared" ref="M1026:M1089" si="67">IF(B1026&lt;L1026,B1026&amp;"-"&amp;L1026,L1026&amp;"-"&amp;B1026)</f>
        <v>DIA-LPI</v>
      </c>
    </row>
    <row r="1027" spans="1:13" ht="14.25" customHeight="true">
      <c r="A1027" s="33" t="str">
        <f t="shared" si="64"/>
        <v>DIA - Intercompany</v>
      </c>
      <c r="B1027" s="33" t="str">
        <f t="shared" si="65"/>
        <v>DIA</v>
      </c>
      <c r="C1027" s="33" t="str">
        <f t="shared" si="66"/>
        <v>11309-0000</v>
      </c>
      <c r="D1027" t="s">
        <v>17813</v>
      </c>
      <c r="E1027" t="s">
        <v>13230</v>
      </c>
      <c r="F1027" t="s">
        <v>14039</v>
      </c>
      <c r="G1027" t="s">
        <v>14672</v>
      </c>
      <c r="H1027" t="s">
        <v>13869</v>
      </c>
      <c r="I1027" t="s">
        <v>14690</v>
      </c>
      <c r="J1027" s="62">
        <v>0</v>
      </c>
      <c r="K1027" s="62">
        <v>0</v>
      </c>
      <c r="L1027" t="str">
        <f>VLOOKUP(VALUE(LEFT(C1027,5)),Xref!A:B,2,0)</f>
        <v>GPI</v>
      </c>
      <c r="M1027" t="str">
        <f t="shared" si="67"/>
        <v>DIA-GPI</v>
      </c>
    </row>
    <row r="1028" spans="1:13" ht="14.25" customHeight="true">
      <c r="A1028" s="33" t="str">
        <f t="shared" si="64"/>
        <v>DIA - Intercompany</v>
      </c>
      <c r="B1028" s="33" t="str">
        <f t="shared" si="65"/>
        <v>DIA</v>
      </c>
      <c r="C1028" s="33" t="str">
        <f t="shared" si="66"/>
        <v>11310-0000</v>
      </c>
      <c r="D1028" t="s">
        <v>17814</v>
      </c>
      <c r="E1028" t="s">
        <v>13231</v>
      </c>
      <c r="F1028" t="s">
        <v>14039</v>
      </c>
      <c r="G1028" t="s">
        <v>14672</v>
      </c>
      <c r="H1028" t="s">
        <v>13869</v>
      </c>
      <c r="I1028" t="s">
        <v>14690</v>
      </c>
      <c r="J1028" s="62">
        <v>0</v>
      </c>
      <c r="K1028" s="62">
        <v>0</v>
      </c>
      <c r="L1028" t="str">
        <f>VLOOKUP(VALUE(LEFT(C1028,5)),Xref!A:B,2,0)</f>
        <v>ALP</v>
      </c>
      <c r="M1028" t="str">
        <f t="shared" si="67"/>
        <v>ALP-DIA</v>
      </c>
    </row>
    <row r="1029" spans="1:13" ht="14.25" customHeight="true">
      <c r="A1029" s="33" t="str">
        <f t="shared" si="64"/>
        <v>DIA - Intercompany</v>
      </c>
      <c r="B1029" s="33" t="str">
        <f t="shared" si="65"/>
        <v>DIA</v>
      </c>
      <c r="C1029" s="33" t="str">
        <f t="shared" si="66"/>
        <v>11311-0000</v>
      </c>
      <c r="D1029" t="s">
        <v>884</v>
      </c>
      <c r="E1029" t="s">
        <v>13232</v>
      </c>
      <c r="F1029" t="s">
        <v>14039</v>
      </c>
      <c r="G1029" t="s">
        <v>14672</v>
      </c>
      <c r="H1029" t="s">
        <v>13869</v>
      </c>
      <c r="I1029" t="s">
        <v>14690</v>
      </c>
      <c r="J1029" s="62">
        <v>0</v>
      </c>
      <c r="K1029" s="62">
        <v>15000</v>
      </c>
      <c r="L1029" t="str">
        <f>VLOOKUP(VALUE(LEFT(C1029,5)),Xref!A:B,2,0)</f>
        <v>BET</v>
      </c>
      <c r="M1029" t="str">
        <f t="shared" si="67"/>
        <v>BET-DIA</v>
      </c>
    </row>
    <row r="1030" spans="1:13" ht="14.25" customHeight="true">
      <c r="A1030" s="33" t="str">
        <f t="shared" si="64"/>
        <v>DIA - Intercompany</v>
      </c>
      <c r="B1030" s="33" t="str">
        <f t="shared" si="65"/>
        <v>DIA</v>
      </c>
      <c r="C1030" s="33" t="str">
        <f t="shared" si="66"/>
        <v>11312-0000</v>
      </c>
      <c r="D1030" t="s">
        <v>17815</v>
      </c>
      <c r="E1030" t="s">
        <v>14102</v>
      </c>
      <c r="F1030" t="s">
        <v>14039</v>
      </c>
      <c r="G1030" t="s">
        <v>14672</v>
      </c>
      <c r="H1030" t="s">
        <v>13869</v>
      </c>
      <c r="I1030" t="s">
        <v>14690</v>
      </c>
      <c r="J1030" s="62">
        <v>0</v>
      </c>
      <c r="K1030" s="62">
        <v>0</v>
      </c>
      <c r="L1030" t="str">
        <f>VLOOKUP(VALUE(LEFT(C1030,5)),Xref!A:B,2,0)</f>
        <v>DEL</v>
      </c>
      <c r="M1030" t="str">
        <f t="shared" si="67"/>
        <v>DEL-DIA</v>
      </c>
    </row>
    <row r="1031" spans="1:13" ht="14.25" customHeight="true">
      <c r="A1031" s="33" t="str">
        <f t="shared" si="64"/>
        <v>DIA - Intercompany</v>
      </c>
      <c r="B1031" s="33" t="str">
        <f t="shared" si="65"/>
        <v>DIA</v>
      </c>
      <c r="C1031" s="33" t="str">
        <f t="shared" si="66"/>
        <v>11313-0000</v>
      </c>
      <c r="D1031" t="s">
        <v>17816</v>
      </c>
      <c r="E1031" t="s">
        <v>13233</v>
      </c>
      <c r="F1031" t="s">
        <v>14039</v>
      </c>
      <c r="G1031" t="s">
        <v>14672</v>
      </c>
      <c r="H1031" t="s">
        <v>13869</v>
      </c>
      <c r="I1031" t="s">
        <v>14690</v>
      </c>
      <c r="J1031" s="62">
        <v>0</v>
      </c>
      <c r="K1031" s="62">
        <v>0</v>
      </c>
      <c r="L1031" t="str">
        <f>VLOOKUP(VALUE(LEFT(C1031,5)),Xref!A:B,2,0)</f>
        <v>DOL</v>
      </c>
      <c r="M1031" t="str">
        <f t="shared" si="67"/>
        <v>DIA-DOL</v>
      </c>
    </row>
    <row r="1032" spans="1:13" ht="14.25" customHeight="true">
      <c r="A1032" s="33" t="str">
        <f t="shared" si="64"/>
        <v>DIA - Intercompany</v>
      </c>
      <c r="B1032" s="33" t="str">
        <f t="shared" si="65"/>
        <v>DIA</v>
      </c>
      <c r="C1032" s="33" t="str">
        <f t="shared" si="66"/>
        <v>11314-0000</v>
      </c>
      <c r="D1032" t="s">
        <v>17817</v>
      </c>
      <c r="E1032" t="s">
        <v>13351</v>
      </c>
      <c r="F1032" t="s">
        <v>14039</v>
      </c>
      <c r="G1032" t="s">
        <v>14672</v>
      </c>
      <c r="H1032" t="s">
        <v>13869</v>
      </c>
      <c r="I1032" t="s">
        <v>14690</v>
      </c>
      <c r="J1032" s="62">
        <v>0</v>
      </c>
      <c r="K1032" s="62">
        <v>0</v>
      </c>
      <c r="L1032" t="str">
        <f>VLOOKUP(VALUE(LEFT(C1032,5)),Xref!A:B,2,0)</f>
        <v>GRI</v>
      </c>
      <c r="M1032" t="str">
        <f t="shared" si="67"/>
        <v>DIA-GRI</v>
      </c>
    </row>
    <row r="1033" spans="1:13" ht="14.25" customHeight="true">
      <c r="A1033" s="33" t="str">
        <f t="shared" si="64"/>
        <v>DIA - Intercompany</v>
      </c>
      <c r="B1033" s="33" t="str">
        <f t="shared" si="65"/>
        <v>DIA</v>
      </c>
      <c r="C1033" s="33" t="str">
        <f t="shared" si="66"/>
        <v>11315-0000</v>
      </c>
      <c r="D1033" t="s">
        <v>17818</v>
      </c>
      <c r="E1033" t="s">
        <v>13234</v>
      </c>
      <c r="F1033" t="s">
        <v>14039</v>
      </c>
      <c r="G1033" t="s">
        <v>14672</v>
      </c>
      <c r="H1033" t="s">
        <v>13869</v>
      </c>
      <c r="I1033" t="s">
        <v>14690</v>
      </c>
      <c r="J1033" s="62">
        <v>0</v>
      </c>
      <c r="K1033" s="62">
        <v>0</v>
      </c>
      <c r="L1033" t="str">
        <f>VLOOKUP(VALUE(LEFT(C1033,5)),Xref!A:B,2,0)</f>
        <v>PUR</v>
      </c>
      <c r="M1033" t="str">
        <f t="shared" si="67"/>
        <v>DIA-PUR</v>
      </c>
    </row>
    <row r="1034" spans="1:13" ht="14.25" customHeight="true">
      <c r="A1034" s="33" t="str">
        <f t="shared" si="64"/>
        <v>DIA - Intercompany</v>
      </c>
      <c r="B1034" s="33" t="str">
        <f t="shared" si="65"/>
        <v>DIA</v>
      </c>
      <c r="C1034" s="33" t="str">
        <f t="shared" si="66"/>
        <v>11316-0000</v>
      </c>
      <c r="D1034" t="s">
        <v>17819</v>
      </c>
      <c r="E1034" t="s">
        <v>13235</v>
      </c>
      <c r="F1034" t="s">
        <v>14039</v>
      </c>
      <c r="G1034" t="s">
        <v>14672</v>
      </c>
      <c r="H1034" t="s">
        <v>13869</v>
      </c>
      <c r="I1034" t="s">
        <v>14690</v>
      </c>
      <c r="J1034" s="62">
        <v>0</v>
      </c>
      <c r="K1034" s="62">
        <v>0</v>
      </c>
      <c r="L1034" t="str">
        <f>VLOOKUP(VALUE(LEFT(C1034,5)),Xref!A:B,2,0)</f>
        <v>VAL</v>
      </c>
      <c r="M1034" t="str">
        <f t="shared" si="67"/>
        <v>DIA-VAL</v>
      </c>
    </row>
    <row r="1035" spans="1:13" ht="14.25" customHeight="true">
      <c r="A1035" s="33" t="str">
        <f t="shared" si="64"/>
        <v>DIA - Intercompany</v>
      </c>
      <c r="B1035" s="33" t="str">
        <f t="shared" si="65"/>
        <v>DIA</v>
      </c>
      <c r="C1035" s="33" t="str">
        <f t="shared" si="66"/>
        <v>11317-0000</v>
      </c>
      <c r="D1035" t="s">
        <v>885</v>
      </c>
      <c r="E1035" t="s">
        <v>13352</v>
      </c>
      <c r="F1035" t="s">
        <v>14039</v>
      </c>
      <c r="G1035" t="s">
        <v>14672</v>
      </c>
      <c r="H1035" t="s">
        <v>13869</v>
      </c>
      <c r="I1035" t="s">
        <v>14690</v>
      </c>
      <c r="J1035" s="62">
        <v>0</v>
      </c>
      <c r="K1035" s="62">
        <v>-1000</v>
      </c>
      <c r="L1035" t="str">
        <f>VLOOKUP(VALUE(LEFT(C1035,5)),Xref!A:B,2,0)</f>
        <v>AKG</v>
      </c>
      <c r="M1035" t="str">
        <f t="shared" si="67"/>
        <v>AKG-DIA</v>
      </c>
    </row>
    <row r="1036" spans="1:13" ht="14.25" customHeight="true">
      <c r="A1036" s="33" t="str">
        <f t="shared" si="64"/>
        <v>DIA - Intercompany</v>
      </c>
      <c r="B1036" s="33" t="str">
        <f t="shared" si="65"/>
        <v>DIA</v>
      </c>
      <c r="C1036" s="33" t="str">
        <f t="shared" si="66"/>
        <v>11318-0000</v>
      </c>
      <c r="D1036" t="s">
        <v>17820</v>
      </c>
      <c r="E1036" t="s">
        <v>13477</v>
      </c>
      <c r="F1036" t="s">
        <v>14039</v>
      </c>
      <c r="G1036" t="s">
        <v>14672</v>
      </c>
      <c r="H1036" t="s">
        <v>13869</v>
      </c>
      <c r="I1036" t="s">
        <v>14690</v>
      </c>
      <c r="J1036" s="62">
        <v>0</v>
      </c>
      <c r="K1036" s="62">
        <v>0</v>
      </c>
      <c r="L1036" t="str">
        <f>VLOOKUP(VALUE(LEFT(C1036,5)),Xref!A:B,2,0)</f>
        <v>FIR</v>
      </c>
      <c r="M1036" t="str">
        <f t="shared" si="67"/>
        <v>DIA-FIR</v>
      </c>
    </row>
    <row r="1037" spans="1:13" ht="14.25" customHeight="true">
      <c r="A1037" s="33" t="str">
        <f t="shared" si="64"/>
        <v>DIA - Intercompany</v>
      </c>
      <c r="B1037" s="33" t="str">
        <f t="shared" si="65"/>
        <v>DIA</v>
      </c>
      <c r="C1037" s="33" t="str">
        <f t="shared" si="66"/>
        <v>11319-0000</v>
      </c>
      <c r="D1037" t="s">
        <v>17821</v>
      </c>
      <c r="E1037" t="s">
        <v>266</v>
      </c>
      <c r="F1037" t="s">
        <v>14039</v>
      </c>
      <c r="G1037" t="s">
        <v>14672</v>
      </c>
      <c r="H1037" t="s">
        <v>13869</v>
      </c>
      <c r="I1037" t="s">
        <v>14690</v>
      </c>
      <c r="J1037" s="62">
        <v>0</v>
      </c>
      <c r="K1037" s="62">
        <v>0</v>
      </c>
      <c r="L1037" t="str">
        <f>VLOOKUP(VALUE(LEFT(C1037,5)),Xref!A:B,2,0)</f>
        <v>GST</v>
      </c>
      <c r="M1037" t="str">
        <f t="shared" si="67"/>
        <v>DIA-GST</v>
      </c>
    </row>
    <row r="1038" spans="1:13" ht="14.25" customHeight="true">
      <c r="A1038" s="33" t="str">
        <f t="shared" si="64"/>
        <v>DIA - Intercompany</v>
      </c>
      <c r="B1038" s="33" t="str">
        <f t="shared" si="65"/>
        <v>DIA</v>
      </c>
      <c r="C1038" s="33" t="str">
        <f t="shared" si="66"/>
        <v>11320-0000</v>
      </c>
      <c r="D1038" t="s">
        <v>17822</v>
      </c>
      <c r="E1038" t="s">
        <v>14111</v>
      </c>
      <c r="F1038" t="s">
        <v>14039</v>
      </c>
      <c r="G1038" t="s">
        <v>14672</v>
      </c>
      <c r="H1038" t="s">
        <v>13869</v>
      </c>
      <c r="I1038" t="s">
        <v>14690</v>
      </c>
      <c r="J1038" s="62">
        <v>0</v>
      </c>
      <c r="K1038" s="62">
        <v>0</v>
      </c>
      <c r="L1038" t="str">
        <f>VLOOKUP(VALUE(LEFT(C1038,5)),Xref!A:B,2,0)</f>
        <v>HDN</v>
      </c>
      <c r="M1038" t="str">
        <f t="shared" si="67"/>
        <v>DIA-HDN</v>
      </c>
    </row>
    <row r="1039" spans="1:13" ht="14.25" customHeight="true">
      <c r="A1039" s="33" t="str">
        <f t="shared" si="64"/>
        <v>DIA - Intercompany</v>
      </c>
      <c r="B1039" s="33" t="str">
        <f t="shared" si="65"/>
        <v>DIA</v>
      </c>
      <c r="C1039" s="33" t="str">
        <f t="shared" si="66"/>
        <v>11321-0000</v>
      </c>
      <c r="D1039" t="s">
        <v>17823</v>
      </c>
      <c r="E1039" t="s">
        <v>13236</v>
      </c>
      <c r="F1039" t="s">
        <v>14039</v>
      </c>
      <c r="G1039" t="s">
        <v>14672</v>
      </c>
      <c r="H1039" t="s">
        <v>13869</v>
      </c>
      <c r="I1039" t="s">
        <v>14690</v>
      </c>
      <c r="J1039" s="62">
        <v>0</v>
      </c>
      <c r="K1039" s="62">
        <v>0</v>
      </c>
      <c r="L1039" t="str">
        <f>VLOOKUP(VALUE(LEFT(C1039,5)),Xref!A:B,2,0)</f>
        <v>OVA</v>
      </c>
      <c r="M1039" t="str">
        <f t="shared" si="67"/>
        <v>DIA-OVA</v>
      </c>
    </row>
    <row r="1040" spans="1:13" ht="14.25" customHeight="true">
      <c r="A1040" s="33" t="str">
        <f t="shared" si="64"/>
        <v>DIA - Intercompany</v>
      </c>
      <c r="B1040" s="33" t="str">
        <f t="shared" si="65"/>
        <v>DIA</v>
      </c>
      <c r="C1040" s="33" t="str">
        <f t="shared" si="66"/>
        <v>11322-0000</v>
      </c>
      <c r="D1040" t="s">
        <v>17824</v>
      </c>
      <c r="E1040" t="s">
        <v>13237</v>
      </c>
      <c r="F1040" t="s">
        <v>14039</v>
      </c>
      <c r="G1040" t="s">
        <v>14672</v>
      </c>
      <c r="H1040" t="s">
        <v>13869</v>
      </c>
      <c r="I1040" t="s">
        <v>14690</v>
      </c>
      <c r="J1040" s="62">
        <v>0</v>
      </c>
      <c r="K1040" s="62">
        <v>0</v>
      </c>
      <c r="L1040" t="str">
        <f>VLOOKUP(VALUE(LEFT(C1040,5)),Xref!A:B,2,0)</f>
        <v>WOO</v>
      </c>
      <c r="M1040" t="str">
        <f t="shared" si="67"/>
        <v>DIA-WOO</v>
      </c>
    </row>
    <row r="1041" spans="1:13" ht="14.25" customHeight="true">
      <c r="A1041" s="33" t="str">
        <f t="shared" si="64"/>
        <v>DIA - Intercompany</v>
      </c>
      <c r="B1041" s="33" t="str">
        <f t="shared" si="65"/>
        <v>DIA</v>
      </c>
      <c r="C1041" s="33" t="str">
        <f t="shared" si="66"/>
        <v>11323-0000</v>
      </c>
      <c r="D1041" t="s">
        <v>17825</v>
      </c>
      <c r="E1041" t="s">
        <v>13478</v>
      </c>
      <c r="F1041" t="s">
        <v>14039</v>
      </c>
      <c r="G1041" t="s">
        <v>14672</v>
      </c>
      <c r="H1041" t="s">
        <v>13869</v>
      </c>
      <c r="I1041" t="s">
        <v>14690</v>
      </c>
      <c r="J1041" s="62">
        <v>0</v>
      </c>
      <c r="K1041" s="62">
        <v>0</v>
      </c>
      <c r="L1041" t="str">
        <f>VLOOKUP(VALUE(LEFT(C1041,5)),Xref!A:B,2,0)</f>
        <v>SPI</v>
      </c>
      <c r="M1041" t="str">
        <f t="shared" si="67"/>
        <v>DIA-SPI</v>
      </c>
    </row>
    <row r="1042" spans="1:13" ht="14.25" customHeight="true">
      <c r="A1042" s="33" t="str">
        <f t="shared" si="64"/>
        <v>DIA - Intercompany</v>
      </c>
      <c r="B1042" s="33" t="str">
        <f t="shared" si="65"/>
        <v>DIA</v>
      </c>
      <c r="C1042" s="33" t="str">
        <f t="shared" si="66"/>
        <v>11324-0000</v>
      </c>
      <c r="D1042" t="s">
        <v>886</v>
      </c>
      <c r="E1042" t="s">
        <v>13238</v>
      </c>
      <c r="F1042" t="s">
        <v>14039</v>
      </c>
      <c r="G1042" t="s">
        <v>14672</v>
      </c>
      <c r="H1042" t="s">
        <v>13869</v>
      </c>
      <c r="I1042" t="s">
        <v>14690</v>
      </c>
      <c r="J1042" s="62">
        <v>0</v>
      </c>
      <c r="K1042" s="62">
        <v>15000</v>
      </c>
      <c r="L1042" t="str">
        <f>VLOOKUP(VALUE(LEFT(C1042,5)),Xref!A:B,2,0)</f>
        <v>NET</v>
      </c>
      <c r="M1042" t="str">
        <f t="shared" si="67"/>
        <v>DIA-NET</v>
      </c>
    </row>
    <row r="1043" spans="1:13" ht="14.25" customHeight="true">
      <c r="A1043" s="33" t="str">
        <f t="shared" si="64"/>
        <v>DIA - Intercompany</v>
      </c>
      <c r="B1043" s="33" t="str">
        <f t="shared" si="65"/>
        <v>DIA</v>
      </c>
      <c r="C1043" s="33" t="str">
        <f t="shared" si="66"/>
        <v>11325-0000</v>
      </c>
      <c r="D1043" t="s">
        <v>887</v>
      </c>
      <c r="E1043" t="s">
        <v>13239</v>
      </c>
      <c r="F1043" t="s">
        <v>14039</v>
      </c>
      <c r="G1043" t="s">
        <v>14672</v>
      </c>
      <c r="H1043" t="s">
        <v>13869</v>
      </c>
      <c r="I1043" t="s">
        <v>14690</v>
      </c>
      <c r="J1043" s="62">
        <v>0</v>
      </c>
      <c r="K1043" s="62">
        <v>-10000</v>
      </c>
      <c r="L1043" t="str">
        <f>VLOOKUP(VALUE(LEFT(C1043,5)),Xref!A:B,2,0)</f>
        <v>DPI</v>
      </c>
      <c r="M1043" t="str">
        <f t="shared" si="67"/>
        <v>DIA-DPI</v>
      </c>
    </row>
    <row r="1044" spans="1:13" ht="14.25" customHeight="true">
      <c r="A1044" s="33" t="str">
        <f t="shared" si="64"/>
        <v>DIA - Intercompany</v>
      </c>
      <c r="B1044" s="33" t="str">
        <f t="shared" si="65"/>
        <v>DIA</v>
      </c>
      <c r="C1044" s="33" t="str">
        <f t="shared" si="66"/>
        <v>11326-0000</v>
      </c>
      <c r="D1044" t="s">
        <v>889</v>
      </c>
      <c r="E1044" t="s">
        <v>13240</v>
      </c>
      <c r="F1044" t="s">
        <v>14039</v>
      </c>
      <c r="G1044" t="s">
        <v>14672</v>
      </c>
      <c r="H1044" t="s">
        <v>13869</v>
      </c>
      <c r="I1044" t="s">
        <v>14690</v>
      </c>
      <c r="J1044" s="62">
        <v>0</v>
      </c>
      <c r="K1044" s="62">
        <v>-22000</v>
      </c>
      <c r="L1044" t="str">
        <f>VLOOKUP(VALUE(LEFT(C1044,5)),Xref!A:B,2,0)</f>
        <v>SEK</v>
      </c>
      <c r="M1044" t="str">
        <f t="shared" si="67"/>
        <v>DIA-SEK</v>
      </c>
    </row>
    <row r="1045" spans="1:13" ht="14.25" customHeight="true">
      <c r="A1045" s="33" t="str">
        <f t="shared" si="64"/>
        <v>DIA - Intercompany</v>
      </c>
      <c r="B1045" s="33" t="str">
        <f t="shared" si="65"/>
        <v>DIA</v>
      </c>
      <c r="C1045" s="33" t="str">
        <f t="shared" si="66"/>
        <v>11327-0000</v>
      </c>
      <c r="D1045" t="s">
        <v>17826</v>
      </c>
      <c r="E1045" t="s">
        <v>14119</v>
      </c>
      <c r="F1045" t="s">
        <v>14039</v>
      </c>
      <c r="G1045" t="s">
        <v>14672</v>
      </c>
      <c r="H1045" t="s">
        <v>13869</v>
      </c>
      <c r="I1045" t="s">
        <v>14690</v>
      </c>
      <c r="J1045" s="62">
        <v>0</v>
      </c>
      <c r="K1045" s="62">
        <v>0</v>
      </c>
      <c r="L1045" t="str">
        <f>VLOOKUP(VALUE(LEFT(C1045,5)),Xref!A:B,2,0)</f>
        <v>CPI</v>
      </c>
      <c r="M1045" t="str">
        <f t="shared" si="67"/>
        <v>CPI-DIA</v>
      </c>
    </row>
    <row r="1046" spans="1:13" ht="14.25" customHeight="true">
      <c r="A1046" s="33" t="str">
        <f t="shared" si="64"/>
        <v>DIA - Intercompany</v>
      </c>
      <c r="B1046" s="33" t="str">
        <f t="shared" si="65"/>
        <v>DIA</v>
      </c>
      <c r="C1046" s="33" t="str">
        <f t="shared" si="66"/>
        <v>11328-0000</v>
      </c>
      <c r="D1046" t="s">
        <v>17827</v>
      </c>
      <c r="E1046" t="s">
        <v>13241</v>
      </c>
      <c r="F1046" t="s">
        <v>14039</v>
      </c>
      <c r="G1046" t="s">
        <v>14672</v>
      </c>
      <c r="H1046" t="s">
        <v>13869</v>
      </c>
      <c r="I1046" t="s">
        <v>14690</v>
      </c>
      <c r="J1046" s="62">
        <v>0</v>
      </c>
      <c r="K1046" s="62">
        <v>0</v>
      </c>
      <c r="L1046" t="str">
        <f>VLOOKUP(VALUE(LEFT(C1046,5)),Xref!A:B,2,0)</f>
        <v>LOM</v>
      </c>
      <c r="M1046" t="str">
        <f t="shared" si="67"/>
        <v>DIA-LOM</v>
      </c>
    </row>
    <row r="1047" spans="1:13" ht="14.25" customHeight="true">
      <c r="A1047" s="33" t="str">
        <f t="shared" si="64"/>
        <v>DIA - Intercompany</v>
      </c>
      <c r="B1047" s="33" t="str">
        <f t="shared" si="65"/>
        <v>DIA</v>
      </c>
      <c r="C1047" s="33" t="str">
        <f t="shared" si="66"/>
        <v>11329-0000</v>
      </c>
      <c r="D1047" t="s">
        <v>17828</v>
      </c>
      <c r="E1047" t="s">
        <v>13353</v>
      </c>
      <c r="F1047" t="s">
        <v>14039</v>
      </c>
      <c r="G1047" t="s">
        <v>14672</v>
      </c>
      <c r="H1047" t="s">
        <v>13869</v>
      </c>
      <c r="I1047" t="s">
        <v>14690</v>
      </c>
      <c r="J1047" s="62">
        <v>0</v>
      </c>
      <c r="K1047" s="62">
        <v>0</v>
      </c>
      <c r="L1047" t="str">
        <f>VLOOKUP(VALUE(LEFT(C1047,5)),Xref!A:B,2,0)</f>
        <v>AKS</v>
      </c>
      <c r="M1047" t="str">
        <f t="shared" si="67"/>
        <v>AKS-DIA</v>
      </c>
    </row>
    <row r="1048" spans="1:13" ht="14.25" customHeight="true">
      <c r="A1048" s="33" t="str">
        <f t="shared" si="64"/>
        <v>DIA - Intercompany</v>
      </c>
      <c r="B1048" s="33" t="str">
        <f t="shared" si="65"/>
        <v>DIA</v>
      </c>
      <c r="C1048" s="33" t="str">
        <f t="shared" si="66"/>
        <v>11330-0000</v>
      </c>
      <c r="D1048" t="s">
        <v>17829</v>
      </c>
      <c r="E1048" t="s">
        <v>13242</v>
      </c>
      <c r="F1048" t="s">
        <v>14039</v>
      </c>
      <c r="G1048" t="s">
        <v>14672</v>
      </c>
      <c r="H1048" t="s">
        <v>13869</v>
      </c>
      <c r="I1048" t="s">
        <v>14690</v>
      </c>
      <c r="J1048" s="62">
        <v>0</v>
      </c>
      <c r="K1048" s="62">
        <v>0</v>
      </c>
      <c r="L1048" t="str">
        <f>VLOOKUP(VALUE(LEFT(C1048,5)),Xref!A:B,2,0)</f>
        <v>MAR</v>
      </c>
      <c r="M1048" t="str">
        <f t="shared" si="67"/>
        <v>DIA-MAR</v>
      </c>
    </row>
    <row r="1049" spans="1:13" ht="14.25" customHeight="true">
      <c r="A1049" s="33" t="str">
        <f t="shared" si="64"/>
        <v>DIA - Intercompany</v>
      </c>
      <c r="B1049" s="33" t="str">
        <f t="shared" si="65"/>
        <v>DIA</v>
      </c>
      <c r="C1049" s="33" t="str">
        <f t="shared" si="66"/>
        <v>11331-0000</v>
      </c>
      <c r="D1049" t="s">
        <v>17830</v>
      </c>
      <c r="E1049" t="s">
        <v>13354</v>
      </c>
      <c r="F1049" t="s">
        <v>14039</v>
      </c>
      <c r="G1049" t="s">
        <v>14672</v>
      </c>
      <c r="H1049" t="s">
        <v>13869</v>
      </c>
      <c r="I1049" t="s">
        <v>14690</v>
      </c>
      <c r="J1049" s="62">
        <v>0</v>
      </c>
      <c r="K1049" s="62">
        <v>0</v>
      </c>
      <c r="L1049" t="str">
        <f>VLOOKUP(VALUE(LEFT(C1049,5)),Xref!A:B,2,0)</f>
        <v>WIL</v>
      </c>
      <c r="M1049" t="str">
        <f t="shared" si="67"/>
        <v>DIA-WIL</v>
      </c>
    </row>
    <row r="1050" spans="1:13" ht="14.25" customHeight="true">
      <c r="A1050" s="33" t="str">
        <f t="shared" si="64"/>
        <v>DIA - Intercompany</v>
      </c>
      <c r="B1050" s="33" t="str">
        <f t="shared" si="65"/>
        <v>DIA</v>
      </c>
      <c r="C1050" s="33" t="str">
        <f t="shared" si="66"/>
        <v>11332-0000</v>
      </c>
      <c r="D1050" t="s">
        <v>890</v>
      </c>
      <c r="E1050" t="s">
        <v>13243</v>
      </c>
      <c r="F1050" t="s">
        <v>14039</v>
      </c>
      <c r="G1050" t="s">
        <v>14672</v>
      </c>
      <c r="H1050" t="s">
        <v>13869</v>
      </c>
      <c r="I1050" t="s">
        <v>14690</v>
      </c>
      <c r="J1050" s="62">
        <v>0</v>
      </c>
      <c r="K1050" s="62">
        <v>-10000</v>
      </c>
      <c r="L1050" t="str">
        <f>VLOOKUP(VALUE(LEFT(C1050,5)),Xref!A:B,2,0)</f>
        <v>STO</v>
      </c>
      <c r="M1050" t="str">
        <f t="shared" si="67"/>
        <v>DIA-STO</v>
      </c>
    </row>
    <row r="1051" spans="1:13" ht="14.25" customHeight="true">
      <c r="A1051" s="33" t="str">
        <f t="shared" si="64"/>
        <v>DIA - Intercompany</v>
      </c>
      <c r="B1051" s="33" t="str">
        <f t="shared" si="65"/>
        <v>DIA</v>
      </c>
      <c r="C1051" s="33" t="str">
        <f t="shared" si="66"/>
        <v>11333-0000</v>
      </c>
      <c r="D1051" t="s">
        <v>17831</v>
      </c>
      <c r="E1051" t="s">
        <v>13244</v>
      </c>
      <c r="F1051" t="s">
        <v>14039</v>
      </c>
      <c r="G1051" t="s">
        <v>14672</v>
      </c>
      <c r="H1051" t="s">
        <v>13869</v>
      </c>
      <c r="I1051" t="s">
        <v>14690</v>
      </c>
      <c r="J1051" s="62">
        <v>0</v>
      </c>
      <c r="K1051" s="62">
        <v>0</v>
      </c>
      <c r="L1051" t="str">
        <f>VLOOKUP(VALUE(LEFT(C1051,5)),Xref!A:B,2,0)</f>
        <v>ANG</v>
      </c>
      <c r="M1051" t="str">
        <f t="shared" si="67"/>
        <v>ANG-DIA</v>
      </c>
    </row>
    <row r="1052" spans="1:13" ht="14.25" customHeight="true">
      <c r="A1052" s="33" t="str">
        <f t="shared" si="64"/>
        <v>DIA - Intercompany</v>
      </c>
      <c r="B1052" s="33" t="str">
        <f t="shared" si="65"/>
        <v>DIA</v>
      </c>
      <c r="C1052" s="33" t="str">
        <f t="shared" si="66"/>
        <v>11334-0000</v>
      </c>
      <c r="D1052" t="s">
        <v>17832</v>
      </c>
      <c r="E1052" t="s">
        <v>13245</v>
      </c>
      <c r="F1052" t="s">
        <v>14039</v>
      </c>
      <c r="G1052" t="s">
        <v>14672</v>
      </c>
      <c r="H1052" t="s">
        <v>13869</v>
      </c>
      <c r="I1052" t="s">
        <v>14690</v>
      </c>
      <c r="J1052" s="62">
        <v>0</v>
      </c>
      <c r="K1052" s="62">
        <v>0</v>
      </c>
      <c r="L1052" t="str">
        <f>VLOOKUP(VALUE(LEFT(C1052,5)),Xref!A:B,2,0)</f>
        <v>BRU</v>
      </c>
      <c r="M1052" t="str">
        <f t="shared" si="67"/>
        <v>BRU-DIA</v>
      </c>
    </row>
    <row r="1053" spans="1:13" ht="14.25" customHeight="true">
      <c r="A1053" s="33" t="str">
        <f t="shared" si="64"/>
        <v>DIA - Intercompany</v>
      </c>
      <c r="B1053" s="33" t="str">
        <f t="shared" si="65"/>
        <v>DIA</v>
      </c>
      <c r="C1053" s="33" t="str">
        <f t="shared" si="66"/>
        <v>11335-0000</v>
      </c>
      <c r="D1053" t="s">
        <v>17833</v>
      </c>
      <c r="E1053" t="s">
        <v>13246</v>
      </c>
      <c r="F1053" t="s">
        <v>14039</v>
      </c>
      <c r="G1053" t="s">
        <v>14672</v>
      </c>
      <c r="H1053" t="s">
        <v>13869</v>
      </c>
      <c r="I1053" t="s">
        <v>14690</v>
      </c>
      <c r="J1053" s="62">
        <v>0</v>
      </c>
      <c r="K1053" s="62">
        <v>0</v>
      </c>
      <c r="L1053" t="str">
        <f>VLOOKUP(VALUE(LEFT(C1053,5)),Xref!A:B,2,0)</f>
        <v>VEN</v>
      </c>
      <c r="M1053" t="str">
        <f t="shared" si="67"/>
        <v>DIA-VEN</v>
      </c>
    </row>
    <row r="1054" spans="1:13" ht="14.25" customHeight="true">
      <c r="A1054" s="33" t="str">
        <f t="shared" si="64"/>
        <v>DIA - Intercompany</v>
      </c>
      <c r="B1054" s="33" t="str">
        <f t="shared" si="65"/>
        <v>DIA</v>
      </c>
      <c r="C1054" s="33" t="str">
        <f t="shared" si="66"/>
        <v>11336-0000</v>
      </c>
      <c r="D1054" t="s">
        <v>17834</v>
      </c>
      <c r="E1054" t="s">
        <v>13247</v>
      </c>
      <c r="F1054" t="s">
        <v>14039</v>
      </c>
      <c r="G1054" t="s">
        <v>14672</v>
      </c>
      <c r="H1054" t="s">
        <v>13869</v>
      </c>
      <c r="I1054" t="s">
        <v>14690</v>
      </c>
      <c r="J1054" s="62">
        <v>0</v>
      </c>
      <c r="K1054" s="62">
        <v>0</v>
      </c>
      <c r="L1054" t="str">
        <f>VLOOKUP(VALUE(LEFT(C1054,5)),Xref!A:B,2,0)</f>
        <v>SAT</v>
      </c>
      <c r="M1054" t="str">
        <f t="shared" si="67"/>
        <v>DIA-SAT</v>
      </c>
    </row>
    <row r="1055" spans="1:13" ht="14.25" customHeight="true">
      <c r="A1055" s="33" t="str">
        <f t="shared" si="64"/>
        <v>DIA - Intercompany</v>
      </c>
      <c r="B1055" s="33" t="str">
        <f t="shared" si="65"/>
        <v>DIA</v>
      </c>
      <c r="C1055" s="33" t="str">
        <f t="shared" si="66"/>
        <v>11337-0000</v>
      </c>
      <c r="D1055" t="s">
        <v>17835</v>
      </c>
      <c r="E1055" t="s">
        <v>13248</v>
      </c>
      <c r="F1055" t="s">
        <v>14039</v>
      </c>
      <c r="G1055" t="s">
        <v>14672</v>
      </c>
      <c r="H1055" t="s">
        <v>13869</v>
      </c>
      <c r="I1055" t="s">
        <v>14690</v>
      </c>
      <c r="J1055" s="62">
        <v>0</v>
      </c>
      <c r="K1055" s="62">
        <v>0</v>
      </c>
      <c r="L1055" t="str">
        <f>VLOOKUP(VALUE(LEFT(C1055,5)),Xref!A:B,2,0)</f>
        <v>NEP</v>
      </c>
      <c r="M1055" t="str">
        <f t="shared" si="67"/>
        <v>DIA-NEP</v>
      </c>
    </row>
    <row r="1056" spans="1:13" ht="14.25" customHeight="true">
      <c r="A1056" s="33" t="str">
        <f t="shared" si="64"/>
        <v>DIA - Intercompany</v>
      </c>
      <c r="B1056" s="33" t="str">
        <f t="shared" si="65"/>
        <v>DIA</v>
      </c>
      <c r="C1056" s="33" t="str">
        <f t="shared" si="66"/>
        <v>11338-0000</v>
      </c>
      <c r="D1056" t="s">
        <v>17836</v>
      </c>
      <c r="E1056" t="s">
        <v>14131</v>
      </c>
      <c r="F1056" t="s">
        <v>14039</v>
      </c>
      <c r="G1056" t="s">
        <v>14672</v>
      </c>
      <c r="H1056" t="s">
        <v>13869</v>
      </c>
      <c r="I1056" t="s">
        <v>14690</v>
      </c>
      <c r="J1056" s="62">
        <v>0</v>
      </c>
      <c r="K1056" s="62">
        <v>0</v>
      </c>
      <c r="L1056" t="str">
        <f>VLOOKUP(VALUE(LEFT(C1056,5)),Xref!A:B,2,0)</f>
        <v>JUP</v>
      </c>
      <c r="M1056" t="str">
        <f t="shared" si="67"/>
        <v>DIA-JUP</v>
      </c>
    </row>
    <row r="1057" spans="1:13" ht="14.25" customHeight="true">
      <c r="A1057" s="33" t="str">
        <f t="shared" si="64"/>
        <v>DIA - Intercompany</v>
      </c>
      <c r="B1057" s="33" t="str">
        <f t="shared" si="65"/>
        <v>DIA</v>
      </c>
      <c r="C1057" s="33" t="str">
        <f t="shared" si="66"/>
        <v>11339-0000</v>
      </c>
      <c r="D1057" t="s">
        <v>17837</v>
      </c>
      <c r="E1057" t="s">
        <v>14133</v>
      </c>
      <c r="F1057" t="s">
        <v>14039</v>
      </c>
      <c r="G1057" t="s">
        <v>14672</v>
      </c>
      <c r="H1057" t="s">
        <v>13869</v>
      </c>
      <c r="I1057" t="s">
        <v>14690</v>
      </c>
      <c r="J1057" s="62">
        <v>0</v>
      </c>
      <c r="K1057" s="62">
        <v>0</v>
      </c>
      <c r="L1057" t="str">
        <f>VLOOKUP(VALUE(LEFT(C1057,5)),Xref!A:B,2,0)</f>
        <v>WES</v>
      </c>
      <c r="M1057" t="str">
        <f t="shared" si="67"/>
        <v>DIA-WES</v>
      </c>
    </row>
    <row r="1058" spans="1:13" ht="14.25" customHeight="true">
      <c r="A1058" s="33" t="str">
        <f t="shared" si="64"/>
        <v>DIA - Intercompany</v>
      </c>
      <c r="B1058" s="33" t="str">
        <f t="shared" si="65"/>
        <v>DIA</v>
      </c>
      <c r="C1058" s="33" t="str">
        <f t="shared" si="66"/>
        <v>11340-0000</v>
      </c>
      <c r="D1058" t="s">
        <v>17838</v>
      </c>
      <c r="E1058" t="s">
        <v>14135</v>
      </c>
      <c r="F1058" t="s">
        <v>14039</v>
      </c>
      <c r="G1058" t="s">
        <v>14672</v>
      </c>
      <c r="H1058" t="s">
        <v>13869</v>
      </c>
      <c r="I1058" t="s">
        <v>14690</v>
      </c>
      <c r="J1058" s="62">
        <v>0</v>
      </c>
      <c r="K1058" s="62">
        <v>0</v>
      </c>
      <c r="L1058" t="str">
        <f>VLOOKUP(VALUE(LEFT(C1058,5)),Xref!A:B,2,0)</f>
        <v>LCP</v>
      </c>
      <c r="M1058" t="str">
        <f t="shared" si="67"/>
        <v>DIA-LCP</v>
      </c>
    </row>
    <row r="1059" spans="1:13" ht="14.25" customHeight="true">
      <c r="A1059" s="33" t="str">
        <f t="shared" si="64"/>
        <v>DIA - Intercompany</v>
      </c>
      <c r="B1059" s="33" t="str">
        <f t="shared" si="65"/>
        <v>DIA</v>
      </c>
      <c r="C1059" s="33" t="str">
        <f t="shared" si="66"/>
        <v>11341-0000</v>
      </c>
      <c r="D1059" t="s">
        <v>17839</v>
      </c>
      <c r="E1059" t="s">
        <v>13639</v>
      </c>
      <c r="F1059" t="s">
        <v>14039</v>
      </c>
      <c r="G1059" t="s">
        <v>14672</v>
      </c>
      <c r="H1059" t="s">
        <v>13869</v>
      </c>
      <c r="I1059" t="s">
        <v>14690</v>
      </c>
      <c r="J1059" s="62">
        <v>0</v>
      </c>
      <c r="K1059" s="62">
        <v>0</v>
      </c>
      <c r="L1059" t="str">
        <f>VLOOKUP(VALUE(LEFT(C1059,5)),Xref!A:B,2,0)</f>
        <v>NOR</v>
      </c>
      <c r="M1059" t="str">
        <f t="shared" si="67"/>
        <v>DIA-NOR</v>
      </c>
    </row>
    <row r="1060" spans="1:13" ht="14.25" customHeight="true">
      <c r="A1060" s="33" t="str">
        <f t="shared" si="64"/>
        <v>DIA - Intercompany</v>
      </c>
      <c r="B1060" s="33" t="str">
        <f t="shared" si="65"/>
        <v>DIA</v>
      </c>
      <c r="C1060" s="33" t="str">
        <f t="shared" si="66"/>
        <v>11342-0000</v>
      </c>
      <c r="D1060" t="s">
        <v>17840</v>
      </c>
      <c r="E1060" t="s">
        <v>13355</v>
      </c>
      <c r="F1060" t="s">
        <v>14039</v>
      </c>
      <c r="G1060" t="s">
        <v>14672</v>
      </c>
      <c r="H1060" t="s">
        <v>13869</v>
      </c>
      <c r="I1060" t="s">
        <v>14690</v>
      </c>
      <c r="J1060" s="62">
        <v>0</v>
      </c>
      <c r="K1060" s="62">
        <v>0</v>
      </c>
      <c r="L1060" t="str">
        <f>VLOOKUP(VALUE(LEFT(C1060,5)),Xref!A:B,2,0)</f>
        <v>EAS</v>
      </c>
      <c r="M1060" t="str">
        <f t="shared" si="67"/>
        <v>DIA-EAS</v>
      </c>
    </row>
    <row r="1061" spans="1:13" ht="14.25" customHeight="true">
      <c r="A1061" s="33" t="str">
        <f t="shared" si="64"/>
        <v>DIA - Intercompany</v>
      </c>
      <c r="B1061" s="33" t="str">
        <f t="shared" si="65"/>
        <v>DIA</v>
      </c>
      <c r="C1061" s="33" t="str">
        <f t="shared" si="66"/>
        <v>11343-0000</v>
      </c>
      <c r="D1061" t="s">
        <v>17841</v>
      </c>
      <c r="E1061" t="s">
        <v>14139</v>
      </c>
      <c r="F1061" t="s">
        <v>14039</v>
      </c>
      <c r="G1061" t="s">
        <v>14672</v>
      </c>
      <c r="H1061" t="s">
        <v>13869</v>
      </c>
      <c r="I1061" t="s">
        <v>14690</v>
      </c>
      <c r="J1061" s="62">
        <v>0</v>
      </c>
      <c r="K1061" s="62">
        <v>0</v>
      </c>
      <c r="L1061" t="str">
        <f>VLOOKUP(VALUE(LEFT(C1061,5)),Xref!A:B,2,0)</f>
        <v>GRA</v>
      </c>
      <c r="M1061" t="str">
        <f t="shared" si="67"/>
        <v>DIA-GRA</v>
      </c>
    </row>
    <row r="1062" spans="1:13" ht="14.25" customHeight="true">
      <c r="A1062" s="33" t="str">
        <f t="shared" si="64"/>
        <v>DIA - Intercompany</v>
      </c>
      <c r="B1062" s="33" t="str">
        <f t="shared" si="65"/>
        <v>DIA</v>
      </c>
      <c r="C1062" s="33" t="str">
        <f t="shared" si="66"/>
        <v>11344-0000</v>
      </c>
      <c r="D1062" t="s">
        <v>17842</v>
      </c>
      <c r="E1062" t="s">
        <v>14141</v>
      </c>
      <c r="F1062" t="s">
        <v>14039</v>
      </c>
      <c r="G1062" t="s">
        <v>14672</v>
      </c>
      <c r="H1062" t="s">
        <v>13869</v>
      </c>
      <c r="I1062" t="s">
        <v>14690</v>
      </c>
      <c r="J1062" s="62">
        <v>0</v>
      </c>
      <c r="K1062" s="62">
        <v>0</v>
      </c>
      <c r="L1062" t="str">
        <f>VLOOKUP(VALUE(LEFT(C1062,5)),Xref!A:B,2,0)</f>
        <v>SOU</v>
      </c>
      <c r="M1062" t="str">
        <f t="shared" si="67"/>
        <v>DIA-SOU</v>
      </c>
    </row>
    <row r="1063" spans="1:13" ht="14.25" customHeight="true">
      <c r="A1063" s="33" t="str">
        <f t="shared" si="64"/>
        <v>DIA - Intercompany</v>
      </c>
      <c r="B1063" s="33" t="str">
        <f t="shared" si="65"/>
        <v>DIA</v>
      </c>
      <c r="C1063" s="33" t="str">
        <f t="shared" si="66"/>
        <v>11345-0000</v>
      </c>
      <c r="D1063" t="s">
        <v>17843</v>
      </c>
      <c r="E1063" t="s">
        <v>14143</v>
      </c>
      <c r="F1063" t="s">
        <v>14039</v>
      </c>
      <c r="G1063" t="s">
        <v>14672</v>
      </c>
      <c r="H1063" t="s">
        <v>13869</v>
      </c>
      <c r="I1063" t="s">
        <v>14690</v>
      </c>
      <c r="J1063" s="62">
        <v>0</v>
      </c>
      <c r="K1063" s="62">
        <v>0</v>
      </c>
      <c r="L1063" t="str">
        <f>VLOOKUP(VALUE(LEFT(C1063,5)),Xref!A:B,2,0)</f>
        <v>API</v>
      </c>
      <c r="M1063" t="str">
        <f t="shared" si="67"/>
        <v>API-DIA</v>
      </c>
    </row>
    <row r="1064" spans="1:13" ht="14.25" customHeight="true">
      <c r="A1064" s="33" t="str">
        <f t="shared" si="64"/>
        <v>DIA - Intercompany</v>
      </c>
      <c r="B1064" s="33" t="str">
        <f t="shared" si="65"/>
        <v>DIA</v>
      </c>
      <c r="C1064" s="33" t="str">
        <f t="shared" si="66"/>
        <v>11346-0000</v>
      </c>
      <c r="D1064" t="s">
        <v>17844</v>
      </c>
      <c r="E1064" t="s">
        <v>14145</v>
      </c>
      <c r="F1064" t="s">
        <v>14039</v>
      </c>
      <c r="G1064" t="s">
        <v>14672</v>
      </c>
      <c r="H1064" t="s">
        <v>13869</v>
      </c>
      <c r="I1064" t="s">
        <v>14690</v>
      </c>
      <c r="J1064" s="62">
        <v>0</v>
      </c>
      <c r="K1064" s="62">
        <v>0</v>
      </c>
      <c r="L1064" t="str">
        <f>VLOOKUP(VALUE(LEFT(C1064,5)),Xref!A:B,2,0)</f>
        <v>DPH</v>
      </c>
      <c r="M1064" t="str">
        <f t="shared" si="67"/>
        <v>DIA-DPH</v>
      </c>
    </row>
    <row r="1065" spans="1:13" ht="14.25" customHeight="true">
      <c r="A1065" s="33" t="str">
        <f t="shared" si="64"/>
        <v>DIA - Intercompany</v>
      </c>
      <c r="B1065" s="33" t="str">
        <f t="shared" si="65"/>
        <v>DIA</v>
      </c>
      <c r="C1065" s="33" t="str">
        <f t="shared" si="66"/>
        <v>11347-0000</v>
      </c>
      <c r="D1065" t="s">
        <v>17845</v>
      </c>
      <c r="E1065" t="s">
        <v>14147</v>
      </c>
      <c r="F1065" t="s">
        <v>14039</v>
      </c>
      <c r="G1065" t="s">
        <v>14672</v>
      </c>
      <c r="H1065" t="s">
        <v>13869</v>
      </c>
      <c r="I1065" t="s">
        <v>14690</v>
      </c>
      <c r="J1065" s="62">
        <v>0</v>
      </c>
      <c r="K1065" s="62">
        <v>0</v>
      </c>
      <c r="L1065" t="str">
        <f>VLOOKUP(VALUE(LEFT(C1065,5)),Xref!A:B,2,0)</f>
        <v>ZPI</v>
      </c>
      <c r="M1065" t="str">
        <f t="shared" si="67"/>
        <v>DIA-ZPI</v>
      </c>
    </row>
    <row r="1066" spans="1:13" ht="14.25" customHeight="true">
      <c r="A1066" s="33" t="str">
        <f t="shared" si="64"/>
        <v>DIA - Intercompany</v>
      </c>
      <c r="B1066" s="33" t="str">
        <f t="shared" si="65"/>
        <v>DIA</v>
      </c>
      <c r="C1066" s="33" t="str">
        <f t="shared" si="66"/>
        <v>11348-0000</v>
      </c>
      <c r="D1066" t="s">
        <v>17846</v>
      </c>
      <c r="E1066" t="s">
        <v>14149</v>
      </c>
      <c r="F1066" t="s">
        <v>14039</v>
      </c>
      <c r="G1066" t="s">
        <v>14672</v>
      </c>
      <c r="H1066" t="s">
        <v>13869</v>
      </c>
      <c r="I1066" t="s">
        <v>14690</v>
      </c>
      <c r="J1066" s="62">
        <v>0</v>
      </c>
      <c r="K1066" s="62">
        <v>0</v>
      </c>
      <c r="L1066" t="str">
        <f>VLOOKUP(VALUE(LEFT(C1066,5)),Xref!A:B,2,0)</f>
        <v>EAM</v>
      </c>
      <c r="M1066" t="str">
        <f t="shared" si="67"/>
        <v>DIA-EAM</v>
      </c>
    </row>
    <row r="1067" spans="1:13" ht="14.25" customHeight="true">
      <c r="A1067" s="33" t="str">
        <f t="shared" si="64"/>
        <v>DIA - Intercompany</v>
      </c>
      <c r="B1067" s="33" t="str">
        <f t="shared" si="65"/>
        <v>DIA</v>
      </c>
      <c r="C1067" s="33" t="str">
        <f t="shared" si="66"/>
        <v>11349-0000</v>
      </c>
      <c r="D1067" t="s">
        <v>17847</v>
      </c>
      <c r="E1067" t="s">
        <v>14151</v>
      </c>
      <c r="F1067" t="s">
        <v>14039</v>
      </c>
      <c r="G1067" t="s">
        <v>14672</v>
      </c>
      <c r="H1067" t="s">
        <v>13869</v>
      </c>
      <c r="I1067" t="s">
        <v>14690</v>
      </c>
      <c r="J1067" s="62">
        <v>0</v>
      </c>
      <c r="K1067" s="62">
        <v>0</v>
      </c>
      <c r="L1067" t="str">
        <f>VLOOKUP(VALUE(LEFT(C1067,5)),Xref!A:B,2,0)</f>
        <v>SEA</v>
      </c>
      <c r="M1067" t="str">
        <f t="shared" si="67"/>
        <v>DIA-SEA</v>
      </c>
    </row>
    <row r="1068" spans="1:13" ht="14.25" customHeight="true">
      <c r="A1068" s="33" t="str">
        <f t="shared" si="64"/>
        <v>DIA - Intercompany</v>
      </c>
      <c r="B1068" s="33" t="str">
        <f t="shared" si="65"/>
        <v>DIA</v>
      </c>
      <c r="C1068" s="33" t="str">
        <f t="shared" si="66"/>
        <v>11350-0000</v>
      </c>
      <c r="D1068" t="s">
        <v>17848</v>
      </c>
      <c r="E1068" t="s">
        <v>14153</v>
      </c>
      <c r="F1068" t="s">
        <v>14039</v>
      </c>
      <c r="G1068" t="s">
        <v>14672</v>
      </c>
      <c r="H1068" t="s">
        <v>13869</v>
      </c>
      <c r="I1068" t="s">
        <v>14690</v>
      </c>
      <c r="J1068" s="62">
        <v>0</v>
      </c>
      <c r="K1068" s="62">
        <v>-20.49</v>
      </c>
      <c r="L1068" t="str">
        <f>VLOOKUP(VALUE(LEFT(C1068,5)),Xref!A:B,2,0)</f>
        <v>EAL</v>
      </c>
      <c r="M1068" t="str">
        <f t="shared" si="67"/>
        <v>DIA-EAL</v>
      </c>
    </row>
    <row r="1069" spans="1:13" ht="14.25" customHeight="true">
      <c r="A1069" s="33" t="str">
        <f t="shared" si="64"/>
        <v>DIA - Intercompany</v>
      </c>
      <c r="B1069" s="33" t="str">
        <f t="shared" si="65"/>
        <v>DIA</v>
      </c>
      <c r="C1069" s="33" t="str">
        <f t="shared" si="66"/>
        <v>11351-0000</v>
      </c>
      <c r="D1069" t="s">
        <v>17849</v>
      </c>
      <c r="E1069" t="s">
        <v>14155</v>
      </c>
      <c r="F1069" t="s">
        <v>14039</v>
      </c>
      <c r="G1069" t="s">
        <v>14672</v>
      </c>
      <c r="H1069" t="s">
        <v>13869</v>
      </c>
      <c r="I1069" t="s">
        <v>14690</v>
      </c>
      <c r="J1069" s="62">
        <v>0</v>
      </c>
      <c r="K1069" s="62">
        <v>0</v>
      </c>
      <c r="L1069" t="str">
        <f>VLOOKUP(VALUE(LEFT(C1069,5)),Xref!A:B,2,0)</f>
        <v>WEP</v>
      </c>
      <c r="M1069" t="str">
        <f t="shared" si="67"/>
        <v>DIA-WEP</v>
      </c>
    </row>
    <row r="1070" spans="1:13" ht="14.25" customHeight="true">
      <c r="A1070" s="33" t="str">
        <f t="shared" si="64"/>
        <v>DIA - Intercompany</v>
      </c>
      <c r="B1070" s="33" t="str">
        <f t="shared" si="65"/>
        <v>DIA</v>
      </c>
      <c r="C1070" s="33" t="str">
        <f t="shared" si="66"/>
        <v>11352-0000</v>
      </c>
      <c r="D1070" t="s">
        <v>17850</v>
      </c>
      <c r="E1070" t="s">
        <v>13536</v>
      </c>
      <c r="F1070" t="s">
        <v>14039</v>
      </c>
      <c r="G1070" t="s">
        <v>14672</v>
      </c>
      <c r="H1070" t="s">
        <v>13869</v>
      </c>
      <c r="I1070" t="s">
        <v>14690</v>
      </c>
      <c r="J1070" s="62">
        <v>0</v>
      </c>
      <c r="K1070" s="62">
        <v>0</v>
      </c>
      <c r="L1070" t="str">
        <f>VLOOKUP(VALUE(LEFT(C1070,5)),Xref!A:B,2,0)</f>
        <v>KLP</v>
      </c>
      <c r="M1070" t="str">
        <f t="shared" si="67"/>
        <v>DIA-KLP</v>
      </c>
    </row>
    <row r="1071" spans="1:13" ht="14.25" customHeight="true">
      <c r="A1071" s="33" t="str">
        <f t="shared" si="64"/>
        <v>DIA - Intercompany</v>
      </c>
      <c r="B1071" s="33" t="str">
        <f t="shared" si="65"/>
        <v>DIA</v>
      </c>
      <c r="C1071" s="33" t="str">
        <f t="shared" si="66"/>
        <v>11353-0000</v>
      </c>
      <c r="D1071" t="s">
        <v>17851</v>
      </c>
      <c r="E1071" t="s">
        <v>13537</v>
      </c>
      <c r="F1071" t="s">
        <v>14039</v>
      </c>
      <c r="G1071" t="s">
        <v>14672</v>
      </c>
      <c r="H1071" t="s">
        <v>13869</v>
      </c>
      <c r="I1071" t="s">
        <v>14690</v>
      </c>
      <c r="J1071" s="62">
        <v>0</v>
      </c>
      <c r="K1071" s="62">
        <v>0</v>
      </c>
      <c r="L1071" t="str">
        <f>VLOOKUP(VALUE(LEFT(C1071,5)),Xref!A:B,2,0)</f>
        <v>AKC</v>
      </c>
      <c r="M1071" t="str">
        <f t="shared" si="67"/>
        <v>AKC-DIA</v>
      </c>
    </row>
    <row r="1072" spans="1:13" ht="14.25" customHeight="true">
      <c r="A1072" s="33" t="str">
        <f t="shared" si="64"/>
        <v>DIA - Intercompany</v>
      </c>
      <c r="B1072" s="33" t="str">
        <f t="shared" si="65"/>
        <v>DIA</v>
      </c>
      <c r="C1072" s="33" t="str">
        <f t="shared" si="66"/>
        <v>11354-0000</v>
      </c>
      <c r="D1072" t="s">
        <v>17852</v>
      </c>
      <c r="E1072" t="s">
        <v>13538</v>
      </c>
      <c r="F1072" t="s">
        <v>14039</v>
      </c>
      <c r="G1072" t="s">
        <v>14672</v>
      </c>
      <c r="H1072" t="s">
        <v>13869</v>
      </c>
      <c r="I1072" t="s">
        <v>14690</v>
      </c>
      <c r="J1072" s="62">
        <v>0</v>
      </c>
      <c r="K1072" s="62">
        <v>0</v>
      </c>
      <c r="L1072" t="str">
        <f>VLOOKUP(VALUE(LEFT(C1072,5)),Xref!A:B,2,0)</f>
        <v>AKA</v>
      </c>
      <c r="M1072" t="str">
        <f t="shared" si="67"/>
        <v>AKA-DIA</v>
      </c>
    </row>
    <row r="1073" spans="1:13" ht="14.25" customHeight="true">
      <c r="A1073" s="33" t="str">
        <f t="shared" si="64"/>
        <v>DIA - Intercompany</v>
      </c>
      <c r="B1073" s="33" t="str">
        <f t="shared" si="65"/>
        <v>DIA</v>
      </c>
      <c r="C1073" s="33" t="str">
        <f t="shared" si="66"/>
        <v>11355-0000</v>
      </c>
      <c r="D1073" t="s">
        <v>17853</v>
      </c>
      <c r="E1073" t="s">
        <v>13539</v>
      </c>
      <c r="F1073" t="s">
        <v>14039</v>
      </c>
      <c r="G1073" t="s">
        <v>14672</v>
      </c>
      <c r="H1073" t="s">
        <v>13869</v>
      </c>
      <c r="I1073" t="s">
        <v>14690</v>
      </c>
      <c r="J1073" s="62">
        <v>0</v>
      </c>
      <c r="K1073" s="62">
        <v>0</v>
      </c>
      <c r="L1073" t="str">
        <f>VLOOKUP(VALUE(LEFT(C1073,5)),Xref!A:B,2,0)</f>
        <v>SPA</v>
      </c>
      <c r="M1073" t="str">
        <f t="shared" si="67"/>
        <v>DIA-SPA</v>
      </c>
    </row>
    <row r="1074" spans="1:13" ht="14.25" customHeight="true">
      <c r="A1074" s="33" t="str">
        <f t="shared" si="64"/>
        <v>DIA - Intercompany</v>
      </c>
      <c r="B1074" s="33" t="str">
        <f t="shared" si="65"/>
        <v>DIA</v>
      </c>
      <c r="C1074" s="33" t="str">
        <f t="shared" si="66"/>
        <v>11356-0000</v>
      </c>
      <c r="D1074" t="s">
        <v>17854</v>
      </c>
      <c r="E1074" t="s">
        <v>13540</v>
      </c>
      <c r="F1074" t="s">
        <v>14039</v>
      </c>
      <c r="G1074" t="s">
        <v>14672</v>
      </c>
      <c r="H1074" t="s">
        <v>13869</v>
      </c>
      <c r="I1074" t="s">
        <v>14690</v>
      </c>
      <c r="J1074" s="62">
        <v>0</v>
      </c>
      <c r="K1074" s="62">
        <v>0</v>
      </c>
      <c r="L1074" t="str">
        <f>VLOOKUP(VALUE(LEFT(C1074,5)),Xref!A:B,2,0)</f>
        <v>DPM</v>
      </c>
      <c r="M1074" t="str">
        <f t="shared" si="67"/>
        <v>DIA-DPM</v>
      </c>
    </row>
    <row r="1075" spans="1:13" ht="14.25" customHeight="true">
      <c r="A1075" s="33" t="str">
        <f t="shared" si="64"/>
        <v>DIA - Intercompany</v>
      </c>
      <c r="B1075" s="33" t="str">
        <f t="shared" si="65"/>
        <v>DIA</v>
      </c>
      <c r="C1075" s="33" t="str">
        <f t="shared" si="66"/>
        <v>11357-0000</v>
      </c>
      <c r="D1075" t="s">
        <v>17855</v>
      </c>
      <c r="E1075" t="s">
        <v>13541</v>
      </c>
      <c r="F1075" t="s">
        <v>14039</v>
      </c>
      <c r="G1075" t="s">
        <v>14672</v>
      </c>
      <c r="H1075" t="s">
        <v>13869</v>
      </c>
      <c r="I1075" t="s">
        <v>14690</v>
      </c>
      <c r="J1075" s="62">
        <v>0</v>
      </c>
      <c r="K1075" s="62">
        <v>0</v>
      </c>
      <c r="L1075" t="str">
        <f>VLOOKUP(VALUE(LEFT(C1075,5)),Xref!A:B,2,0)</f>
        <v>HDM</v>
      </c>
      <c r="M1075" t="str">
        <f t="shared" si="67"/>
        <v>DIA-HDM</v>
      </c>
    </row>
    <row r="1076" spans="1:13" ht="14.25" customHeight="true">
      <c r="A1076" s="33" t="str">
        <f t="shared" si="64"/>
        <v>DIA - Intercompany</v>
      </c>
      <c r="B1076" s="33" t="str">
        <f t="shared" si="65"/>
        <v>DIA</v>
      </c>
      <c r="C1076" s="33" t="str">
        <f t="shared" si="66"/>
        <v>11358-0000</v>
      </c>
      <c r="D1076" t="s">
        <v>17856</v>
      </c>
      <c r="E1076" t="s">
        <v>13542</v>
      </c>
      <c r="F1076" t="s">
        <v>14039</v>
      </c>
      <c r="G1076" t="s">
        <v>14672</v>
      </c>
      <c r="H1076" t="s">
        <v>13869</v>
      </c>
      <c r="I1076" t="s">
        <v>14690</v>
      </c>
      <c r="J1076" s="62">
        <v>0</v>
      </c>
      <c r="K1076" s="62">
        <v>0</v>
      </c>
      <c r="L1076" t="str">
        <f>VLOOKUP(VALUE(LEFT(C1076,5)),Xref!A:B,2,0)</f>
        <v>GRA</v>
      </c>
      <c r="M1076" t="str">
        <f t="shared" si="67"/>
        <v>DIA-GRA</v>
      </c>
    </row>
    <row r="1077" spans="1:13" ht="14.25" customHeight="true">
      <c r="A1077" s="33" t="str">
        <f t="shared" si="64"/>
        <v>DIA - Intercompany</v>
      </c>
      <c r="B1077" s="33" t="str">
        <f t="shared" si="65"/>
        <v>DIA</v>
      </c>
      <c r="C1077" s="33" t="str">
        <f t="shared" si="66"/>
        <v>11359-0000</v>
      </c>
      <c r="D1077" t="s">
        <v>17857</v>
      </c>
      <c r="E1077" t="s">
        <v>13543</v>
      </c>
      <c r="F1077" t="s">
        <v>14039</v>
      </c>
      <c r="G1077" t="s">
        <v>14672</v>
      </c>
      <c r="H1077" t="s">
        <v>13869</v>
      </c>
      <c r="I1077" t="s">
        <v>14690</v>
      </c>
      <c r="J1077" s="62">
        <v>0</v>
      </c>
      <c r="K1077" s="62">
        <v>0</v>
      </c>
      <c r="L1077" t="str">
        <f>VLOOKUP(VALUE(LEFT(C1077,5)),Xref!A:B,2,0)</f>
        <v>TPI</v>
      </c>
      <c r="M1077" t="str">
        <f t="shared" si="67"/>
        <v>DIA-TPI</v>
      </c>
    </row>
    <row r="1078" spans="1:13" ht="14.25" customHeight="true">
      <c r="A1078" s="33" t="str">
        <f t="shared" si="64"/>
        <v>DIA - Intercompany</v>
      </c>
      <c r="B1078" s="33" t="str">
        <f t="shared" si="65"/>
        <v>DIA</v>
      </c>
      <c r="C1078" s="33" t="str">
        <f t="shared" si="66"/>
        <v>11361-0000</v>
      </c>
      <c r="D1078" t="s">
        <v>17858</v>
      </c>
      <c r="E1078" t="s">
        <v>14165</v>
      </c>
      <c r="F1078" t="s">
        <v>14039</v>
      </c>
      <c r="G1078" t="s">
        <v>14672</v>
      </c>
      <c r="H1078" t="s">
        <v>13869</v>
      </c>
      <c r="I1078" t="s">
        <v>14690</v>
      </c>
      <c r="J1078" s="62">
        <v>0</v>
      </c>
      <c r="K1078" s="62">
        <v>0</v>
      </c>
      <c r="L1078" t="str">
        <f>VLOOKUP(VALUE(LEFT(C1078,5)),Xref!A:B,2,0)</f>
        <v>GSM</v>
      </c>
      <c r="M1078" t="str">
        <f t="shared" si="67"/>
        <v>DIA-GSM</v>
      </c>
    </row>
    <row r="1079" spans="1:13" ht="14.25" customHeight="true">
      <c r="A1079" s="33" t="str">
        <f t="shared" si="64"/>
        <v>DIA - Intercompany</v>
      </c>
      <c r="B1079" s="33" t="str">
        <f t="shared" si="65"/>
        <v>DIA</v>
      </c>
      <c r="C1079" s="33" t="str">
        <f t="shared" si="66"/>
        <v>11363-0000</v>
      </c>
      <c r="D1079" t="s">
        <v>17859</v>
      </c>
      <c r="E1079" t="s">
        <v>13544</v>
      </c>
      <c r="F1079" t="s">
        <v>14039</v>
      </c>
      <c r="G1079" t="s">
        <v>14672</v>
      </c>
      <c r="H1079" t="s">
        <v>13869</v>
      </c>
      <c r="I1079" t="s">
        <v>14690</v>
      </c>
      <c r="J1079" s="62">
        <v>0</v>
      </c>
      <c r="K1079" s="62">
        <v>0</v>
      </c>
      <c r="L1079" t="str">
        <f>VLOOKUP(VALUE(LEFT(C1079,5)),Xref!A:B,2,0)</f>
        <v>SOF</v>
      </c>
      <c r="M1079" t="str">
        <f t="shared" si="67"/>
        <v>DIA-SOF</v>
      </c>
    </row>
    <row r="1080" spans="1:13" ht="14.25" customHeight="true">
      <c r="A1080" s="33" t="str">
        <f t="shared" si="64"/>
        <v>DIA - Intercompany</v>
      </c>
      <c r="B1080" s="33" t="str">
        <f t="shared" si="65"/>
        <v>DIA</v>
      </c>
      <c r="C1080" s="33" t="str">
        <f t="shared" si="66"/>
        <v>11364-0000</v>
      </c>
      <c r="D1080" t="s">
        <v>17860</v>
      </c>
      <c r="E1080" t="s">
        <v>14168</v>
      </c>
      <c r="F1080" t="s">
        <v>14039</v>
      </c>
      <c r="G1080" t="s">
        <v>14672</v>
      </c>
      <c r="H1080" t="s">
        <v>13869</v>
      </c>
      <c r="I1080" t="s">
        <v>14690</v>
      </c>
      <c r="J1080" s="62">
        <v>0</v>
      </c>
      <c r="K1080" s="62">
        <v>0</v>
      </c>
      <c r="L1080" t="e">
        <f>VLOOKUP(VALUE(LEFT(C1080,5)),Xref!A:B,2,0)</f>
        <v>#N/A</v>
      </c>
      <c r="M1080" t="e">
        <f t="shared" si="67"/>
        <v>#N/A</v>
      </c>
    </row>
    <row r="1081" spans="1:13" ht="14.25" customHeight="true">
      <c r="A1081" s="33" t="str">
        <f t="shared" si="64"/>
        <v>DIA - Intercompany</v>
      </c>
      <c r="B1081" s="33" t="str">
        <f t="shared" si="65"/>
        <v>DIA</v>
      </c>
      <c r="C1081" s="33" t="str">
        <f t="shared" si="66"/>
        <v>11365-0000</v>
      </c>
      <c r="D1081" t="s">
        <v>17861</v>
      </c>
      <c r="E1081" t="s">
        <v>14170</v>
      </c>
      <c r="F1081" t="s">
        <v>14039</v>
      </c>
      <c r="G1081" t="s">
        <v>14672</v>
      </c>
      <c r="H1081" t="s">
        <v>13869</v>
      </c>
      <c r="I1081" t="s">
        <v>14690</v>
      </c>
      <c r="J1081" s="62">
        <v>0</v>
      </c>
      <c r="K1081" s="62">
        <v>0</v>
      </c>
      <c r="L1081" t="e">
        <f>VLOOKUP(VALUE(LEFT(C1081,5)),Xref!A:B,2,0)</f>
        <v>#N/A</v>
      </c>
      <c r="M1081" t="e">
        <f t="shared" si="67"/>
        <v>#N/A</v>
      </c>
    </row>
    <row r="1082" spans="1:13" ht="14.25" customHeight="true">
      <c r="A1082" s="33" t="str">
        <f t="shared" si="64"/>
        <v>DIA - Intercompany</v>
      </c>
      <c r="B1082" s="33" t="str">
        <f t="shared" si="65"/>
        <v>DIA</v>
      </c>
      <c r="C1082" s="33" t="str">
        <f t="shared" si="66"/>
        <v>11366-0000</v>
      </c>
      <c r="D1082" t="s">
        <v>17862</v>
      </c>
      <c r="E1082" t="s">
        <v>14172</v>
      </c>
      <c r="G1082" t="s">
        <v>14672</v>
      </c>
      <c r="H1082" t="s">
        <v>13869</v>
      </c>
      <c r="I1082" t="s">
        <v>14690</v>
      </c>
      <c r="J1082" s="62">
        <v>0</v>
      </c>
      <c r="K1082" s="62">
        <v>0</v>
      </c>
      <c r="L1082" t="e">
        <f>VLOOKUP(VALUE(LEFT(C1082,5)),Xref!A:B,2,0)</f>
        <v>#N/A</v>
      </c>
      <c r="M1082" t="e">
        <f t="shared" si="67"/>
        <v>#N/A</v>
      </c>
    </row>
    <row r="1083" spans="1:13" ht="14.25" customHeight="true">
      <c r="A1083" s="33" t="str">
        <f t="shared" si="64"/>
        <v>DIA - Intercompany</v>
      </c>
      <c r="B1083" s="33" t="str">
        <f t="shared" si="65"/>
        <v>DIA</v>
      </c>
      <c r="C1083" s="33" t="str">
        <f t="shared" si="66"/>
        <v>11402-0000</v>
      </c>
      <c r="D1083" t="s">
        <v>891</v>
      </c>
      <c r="E1083" t="s">
        <v>14174</v>
      </c>
      <c r="G1083" t="s">
        <v>14672</v>
      </c>
      <c r="H1083" t="s">
        <v>13869</v>
      </c>
      <c r="I1083" t="s">
        <v>14690</v>
      </c>
      <c r="J1083" s="62">
        <v>0</v>
      </c>
      <c r="K1083" s="62">
        <v>0</v>
      </c>
      <c r="L1083" t="str">
        <f>VLOOKUP(VALUE(LEFT(C1083,5)),Xref!A:B,2,0)</f>
        <v>DPI</v>
      </c>
      <c r="M1083" t="str">
        <f t="shared" si="67"/>
        <v>DIA-DPI</v>
      </c>
    </row>
    <row r="1084" spans="1:13" ht="14.25" customHeight="true">
      <c r="A1084" s="33" t="str">
        <f t="shared" si="64"/>
        <v>DIA - Intercompany</v>
      </c>
      <c r="B1084" s="33" t="str">
        <f t="shared" si="65"/>
        <v>DIA</v>
      </c>
      <c r="C1084" s="33" t="str">
        <f t="shared" si="66"/>
        <v>11403-0000</v>
      </c>
      <c r="D1084" t="s">
        <v>17863</v>
      </c>
      <c r="E1084" t="s">
        <v>14176</v>
      </c>
      <c r="G1084" t="s">
        <v>14672</v>
      </c>
      <c r="H1084" t="s">
        <v>13869</v>
      </c>
      <c r="I1084" t="s">
        <v>14690</v>
      </c>
      <c r="J1084" s="62">
        <v>0</v>
      </c>
      <c r="K1084" s="62">
        <v>0</v>
      </c>
      <c r="L1084" t="str">
        <f>VLOOKUP(VALUE(LEFT(C1084,5)),Xref!A:B,2,0)</f>
        <v>SEA</v>
      </c>
      <c r="M1084" t="str">
        <f t="shared" si="67"/>
        <v>DIA-SEA</v>
      </c>
    </row>
    <row r="1085" spans="1:13" ht="14.25" customHeight="true">
      <c r="A1085" s="33" t="str">
        <f t="shared" si="64"/>
        <v>DIA - Intercompany</v>
      </c>
      <c r="B1085" s="33" t="str">
        <f t="shared" si="65"/>
        <v>DIA</v>
      </c>
      <c r="C1085" s="33" t="str">
        <f t="shared" si="66"/>
        <v>12400-0000</v>
      </c>
      <c r="D1085" t="s">
        <v>17866</v>
      </c>
      <c r="E1085" t="s">
        <v>14185</v>
      </c>
      <c r="F1085" t="s">
        <v>14039</v>
      </c>
      <c r="G1085" t="s">
        <v>14672</v>
      </c>
      <c r="H1085" t="s">
        <v>13869</v>
      </c>
      <c r="I1085" t="s">
        <v>14690</v>
      </c>
      <c r="J1085" s="62">
        <v>0</v>
      </c>
      <c r="K1085" s="62">
        <v>0</v>
      </c>
      <c r="L1085" t="str">
        <f>VLOOKUP(VALUE(LEFT(C1085,5)),Xref!A:B,2,0)</f>
        <v>aka</v>
      </c>
      <c r="M1085" t="str">
        <f t="shared" si="67"/>
        <v>aka-DIA</v>
      </c>
    </row>
    <row r="1086" spans="1:13" ht="14.25" customHeight="true">
      <c r="A1086" s="33" t="str">
        <f t="shared" si="64"/>
        <v>DIA - Intercompany</v>
      </c>
      <c r="B1086" s="33" t="str">
        <f t="shared" si="65"/>
        <v>DIA</v>
      </c>
      <c r="C1086" s="33" t="str">
        <f t="shared" si="66"/>
        <v>12401-0000</v>
      </c>
      <c r="D1086" t="s">
        <v>17867</v>
      </c>
      <c r="E1086" t="s">
        <v>14187</v>
      </c>
      <c r="F1086" t="s">
        <v>14039</v>
      </c>
      <c r="G1086" t="s">
        <v>14672</v>
      </c>
      <c r="H1086" t="s">
        <v>13869</v>
      </c>
      <c r="I1086" t="s">
        <v>14690</v>
      </c>
      <c r="J1086" s="62">
        <v>0</v>
      </c>
      <c r="K1086" s="62">
        <v>0</v>
      </c>
      <c r="L1086" t="str">
        <f>VLOOKUP(VALUE(LEFT(C1086,5)),Xref!A:B,2,0)</f>
        <v>aka</v>
      </c>
      <c r="M1086" t="str">
        <f t="shared" si="67"/>
        <v>aka-DIA</v>
      </c>
    </row>
    <row r="1087" spans="1:13" ht="14.25" customHeight="true">
      <c r="A1087" s="33" t="str">
        <f t="shared" si="64"/>
        <v>DIA - Intercompany</v>
      </c>
      <c r="B1087" s="33" t="str">
        <f t="shared" si="65"/>
        <v>DIA</v>
      </c>
      <c r="C1087" s="33" t="str">
        <f t="shared" si="66"/>
        <v>12402-0000</v>
      </c>
      <c r="D1087" t="s">
        <v>17868</v>
      </c>
      <c r="E1087" t="s">
        <v>14189</v>
      </c>
      <c r="F1087" t="s">
        <v>14039</v>
      </c>
      <c r="G1087" t="s">
        <v>14672</v>
      </c>
      <c r="H1087" t="s">
        <v>13869</v>
      </c>
      <c r="I1087" t="s">
        <v>14690</v>
      </c>
      <c r="J1087" s="62">
        <v>0</v>
      </c>
      <c r="K1087" s="62">
        <v>60000</v>
      </c>
      <c r="L1087" t="str">
        <f>VLOOKUP(VALUE(LEFT(C1087,5)),Xref!A:B,2,0)</f>
        <v>aka</v>
      </c>
      <c r="M1087" t="str">
        <f t="shared" si="67"/>
        <v>aka-DIA</v>
      </c>
    </row>
    <row r="1088" spans="1:13" ht="14.25" customHeight="true">
      <c r="A1088" s="33" t="str">
        <f t="shared" si="64"/>
        <v>DIA - Intercompany</v>
      </c>
      <c r="B1088" s="33" t="str">
        <f t="shared" si="65"/>
        <v>DIA</v>
      </c>
      <c r="C1088" s="33" t="str">
        <f t="shared" si="66"/>
        <v>12403-0000</v>
      </c>
      <c r="D1088" t="s">
        <v>17869</v>
      </c>
      <c r="E1088" t="s">
        <v>5226</v>
      </c>
      <c r="F1088" t="s">
        <v>14039</v>
      </c>
      <c r="G1088" t="s">
        <v>14672</v>
      </c>
      <c r="H1088" t="s">
        <v>13869</v>
      </c>
      <c r="I1088" t="s">
        <v>14690</v>
      </c>
      <c r="J1088" s="62">
        <v>0</v>
      </c>
      <c r="K1088" s="62">
        <v>0</v>
      </c>
      <c r="L1088" t="str">
        <f>VLOOKUP(VALUE(LEFT(C1088,5)),Xref!A:B,2,0)</f>
        <v>aka</v>
      </c>
      <c r="M1088" t="str">
        <f t="shared" si="67"/>
        <v>aka-DIA</v>
      </c>
    </row>
    <row r="1089" spans="1:13" ht="14.25" customHeight="true">
      <c r="A1089" s="33" t="str">
        <f t="shared" si="64"/>
        <v>DIA - Intercompany</v>
      </c>
      <c r="B1089" s="33" t="str">
        <f t="shared" si="65"/>
        <v>DIA</v>
      </c>
      <c r="C1089" s="33" t="str">
        <f t="shared" si="66"/>
        <v>12501-0000</v>
      </c>
      <c r="D1089" t="s">
        <v>17870</v>
      </c>
      <c r="E1089" t="s">
        <v>14192</v>
      </c>
      <c r="F1089" t="s">
        <v>14039</v>
      </c>
      <c r="G1089" t="s">
        <v>14672</v>
      </c>
      <c r="H1089" t="s">
        <v>13869</v>
      </c>
      <c r="I1089" t="s">
        <v>14690</v>
      </c>
      <c r="J1089" s="62">
        <v>0</v>
      </c>
      <c r="K1089" s="62">
        <v>0</v>
      </c>
      <c r="L1089" t="str">
        <f>VLOOKUP(VALUE(LEFT(C1089,5)),Xref!A:B,2,0)</f>
        <v>aka</v>
      </c>
      <c r="M1089" t="str">
        <f t="shared" si="67"/>
        <v>aka-DIA</v>
      </c>
    </row>
    <row r="1090" spans="1:13" ht="14.25" customHeight="true">
      <c r="A1090" s="33" t="str">
        <f t="shared" ref="A1090:A1153" si="68">B1090&amp;" - "&amp;TRIM(H1090)</f>
        <v>DIA - InterCo Notes</v>
      </c>
      <c r="B1090" s="33" t="str">
        <f t="shared" ref="B1090:B1153" si="69">LEFT(D1090,3)</f>
        <v>DIA</v>
      </c>
      <c r="C1090" s="33" t="str">
        <f t="shared" ref="C1090:C1153" si="70">RIGHT(D1090,10)</f>
        <v>25600-0000</v>
      </c>
      <c r="D1090" t="s">
        <v>17917</v>
      </c>
      <c r="E1090" t="s">
        <v>314</v>
      </c>
      <c r="F1090" t="s">
        <v>14039</v>
      </c>
      <c r="G1090" t="s">
        <v>14672</v>
      </c>
      <c r="H1090" t="s">
        <v>13889</v>
      </c>
      <c r="I1090" t="s">
        <v>14690</v>
      </c>
      <c r="J1090" s="62">
        <v>0</v>
      </c>
      <c r="K1090" s="62">
        <v>0</v>
      </c>
      <c r="L1090" t="str">
        <f>VLOOKUP(VALUE(LEFT(C1090,5)),Xref!A:B,2,0)</f>
        <v>D7</v>
      </c>
      <c r="M1090" t="str">
        <f t="shared" ref="M1090:M1153" si="71">IF(B1090&lt;L1090,B1090&amp;"-"&amp;L1090,L1090&amp;"-"&amp;B1090)</f>
        <v>D7-DIA</v>
      </c>
    </row>
    <row r="1091" spans="1:13" ht="14.25" customHeight="true">
      <c r="A1091" s="33" t="str">
        <f t="shared" si="68"/>
        <v>DIA - InterCo Notes</v>
      </c>
      <c r="B1091" s="33" t="str">
        <f t="shared" si="69"/>
        <v>DIA</v>
      </c>
      <c r="C1091" s="33" t="str">
        <f t="shared" si="70"/>
        <v>25602-0000</v>
      </c>
      <c r="D1091" t="s">
        <v>17919</v>
      </c>
      <c r="E1091" t="s">
        <v>13426</v>
      </c>
      <c r="F1091" t="s">
        <v>14039</v>
      </c>
      <c r="G1091" t="s">
        <v>14672</v>
      </c>
      <c r="H1091" t="s">
        <v>13889</v>
      </c>
      <c r="I1091" t="s">
        <v>14690</v>
      </c>
      <c r="J1091" s="62">
        <v>0</v>
      </c>
      <c r="K1091" s="62">
        <v>0</v>
      </c>
      <c r="L1091" t="str">
        <f>VLOOKUP(VALUE(LEFT(C1091,5)),Xref!A:B,2,0)</f>
        <v>DFLP</v>
      </c>
      <c r="M1091" t="str">
        <f t="shared" si="71"/>
        <v>DFLP-DIA</v>
      </c>
    </row>
    <row r="1092" spans="1:13" ht="14.25" customHeight="true">
      <c r="A1092" s="33" t="str">
        <f t="shared" si="68"/>
        <v>DIA - InterCo Notes</v>
      </c>
      <c r="B1092" s="33" t="str">
        <f t="shared" si="69"/>
        <v>DIA</v>
      </c>
      <c r="C1092" s="33" t="str">
        <f t="shared" si="70"/>
        <v>25603-0000</v>
      </c>
      <c r="D1092" t="s">
        <v>17920</v>
      </c>
      <c r="E1092" t="s">
        <v>14311</v>
      </c>
      <c r="F1092" t="s">
        <v>14039</v>
      </c>
      <c r="G1092" t="s">
        <v>14832</v>
      </c>
      <c r="H1092" t="s">
        <v>13889</v>
      </c>
      <c r="I1092" t="s">
        <v>14690</v>
      </c>
      <c r="J1092" s="62">
        <v>0</v>
      </c>
      <c r="K1092" s="62">
        <v>0</v>
      </c>
      <c r="L1092" t="str">
        <f>VLOOKUP(VALUE(LEFT(C1092,5)),Xref!A:B,2,0)</f>
        <v>aka</v>
      </c>
      <c r="M1092" t="str">
        <f t="shared" si="71"/>
        <v>aka-DIA</v>
      </c>
    </row>
    <row r="1093" spans="1:13" ht="14.25" customHeight="true">
      <c r="A1093" s="33" t="str">
        <f t="shared" si="68"/>
        <v>DIA - Intercompany</v>
      </c>
      <c r="B1093" s="33" t="str">
        <f t="shared" si="69"/>
        <v>DIA</v>
      </c>
      <c r="C1093" s="33" t="str">
        <f t="shared" si="70"/>
        <v>25604-0000</v>
      </c>
      <c r="D1093" t="s">
        <v>17921</v>
      </c>
      <c r="E1093" t="s">
        <v>13490</v>
      </c>
      <c r="F1093" t="s">
        <v>14039</v>
      </c>
      <c r="G1093" t="s">
        <v>14672</v>
      </c>
      <c r="H1093" t="s">
        <v>13869</v>
      </c>
      <c r="I1093" t="s">
        <v>14690</v>
      </c>
      <c r="J1093" s="62">
        <v>0</v>
      </c>
      <c r="K1093" s="62">
        <v>0</v>
      </c>
      <c r="L1093">
        <f>VLOOKUP(VALUE(LEFT(C1093,5)),Xref!A:B,2,0)</f>
        <v>0</v>
      </c>
      <c r="M1093" t="str">
        <f t="shared" si="71"/>
        <v>0-DIA</v>
      </c>
    </row>
    <row r="1094" spans="1:13" ht="14.25" customHeight="true">
      <c r="A1094" s="33" t="str">
        <f t="shared" si="68"/>
        <v>DOL - Intercompany</v>
      </c>
      <c r="B1094" s="33" t="str">
        <f t="shared" si="69"/>
        <v>DOL</v>
      </c>
      <c r="C1094" s="33" t="str">
        <f t="shared" si="70"/>
        <v>11200-0000</v>
      </c>
      <c r="D1094" t="s">
        <v>18091</v>
      </c>
      <c r="E1094" t="s">
        <v>14069</v>
      </c>
      <c r="F1094" t="s">
        <v>14039</v>
      </c>
      <c r="G1094" t="s">
        <v>14672</v>
      </c>
      <c r="H1094" t="s">
        <v>13869</v>
      </c>
      <c r="I1094" t="s">
        <v>14690</v>
      </c>
      <c r="J1094" s="62">
        <v>0</v>
      </c>
      <c r="K1094" s="62">
        <v>0</v>
      </c>
      <c r="L1094" t="str">
        <f>VLOOKUP(VALUE(LEFT(C1094,5)),Xref!A:B,2,0)</f>
        <v>SCL</v>
      </c>
      <c r="M1094" t="str">
        <f t="shared" si="71"/>
        <v>DOL-SCL</v>
      </c>
    </row>
    <row r="1095" spans="1:13" ht="14.25" customHeight="true">
      <c r="A1095" s="33" t="str">
        <f t="shared" si="68"/>
        <v>DOL - Intercompany</v>
      </c>
      <c r="B1095" s="33" t="str">
        <f t="shared" si="69"/>
        <v>DOL</v>
      </c>
      <c r="C1095" s="33" t="str">
        <f t="shared" si="70"/>
        <v>11201-0000</v>
      </c>
      <c r="D1095" t="s">
        <v>18092</v>
      </c>
      <c r="E1095" t="s">
        <v>14071</v>
      </c>
      <c r="F1095" t="s">
        <v>14039</v>
      </c>
      <c r="G1095" t="s">
        <v>14672</v>
      </c>
      <c r="H1095" t="s">
        <v>13869</v>
      </c>
      <c r="I1095" t="s">
        <v>14690</v>
      </c>
      <c r="J1095" s="62">
        <v>0</v>
      </c>
      <c r="K1095" s="62">
        <v>0</v>
      </c>
      <c r="L1095" t="str">
        <f>VLOOKUP(VALUE(LEFT(C1095,5)),Xref!A:B,2,0)</f>
        <v>SG2</v>
      </c>
      <c r="M1095" t="str">
        <f t="shared" si="71"/>
        <v>DOL-SG2</v>
      </c>
    </row>
    <row r="1096" spans="1:13" ht="14.25" customHeight="true">
      <c r="A1096" s="33" t="str">
        <f t="shared" si="68"/>
        <v>DOL - Intercompany</v>
      </c>
      <c r="B1096" s="33" t="str">
        <f t="shared" si="69"/>
        <v>DOL</v>
      </c>
      <c r="C1096" s="33" t="str">
        <f t="shared" si="70"/>
        <v>11202-0000</v>
      </c>
      <c r="D1096" t="s">
        <v>18093</v>
      </c>
      <c r="E1096" t="s">
        <v>14073</v>
      </c>
      <c r="F1096" t="s">
        <v>14039</v>
      </c>
      <c r="G1096" t="s">
        <v>14672</v>
      </c>
      <c r="H1096" t="s">
        <v>13869</v>
      </c>
      <c r="I1096" t="s">
        <v>14690</v>
      </c>
      <c r="J1096" s="62">
        <v>0</v>
      </c>
      <c r="K1096" s="62">
        <v>0</v>
      </c>
      <c r="L1096" t="str">
        <f>VLOOKUP(VALUE(LEFT(C1096,5)),Xref!A:B,2,0)</f>
        <v>FFC</v>
      </c>
      <c r="M1096" t="str">
        <f t="shared" si="71"/>
        <v>DOL-FFC</v>
      </c>
    </row>
    <row r="1097" spans="1:13" ht="14.25" customHeight="true">
      <c r="A1097" s="33" t="str">
        <f t="shared" si="68"/>
        <v>DOL - Intercompany</v>
      </c>
      <c r="B1097" s="33" t="str">
        <f t="shared" si="69"/>
        <v>DOL</v>
      </c>
      <c r="C1097" s="33" t="str">
        <f t="shared" si="70"/>
        <v>11203-0000</v>
      </c>
      <c r="D1097" t="s">
        <v>18094</v>
      </c>
      <c r="E1097" t="s">
        <v>14075</v>
      </c>
      <c r="F1097" t="s">
        <v>14039</v>
      </c>
      <c r="G1097" t="s">
        <v>14672</v>
      </c>
      <c r="H1097" t="s">
        <v>13869</v>
      </c>
      <c r="I1097" t="s">
        <v>14690</v>
      </c>
      <c r="J1097" s="62">
        <v>0</v>
      </c>
      <c r="K1097" s="62">
        <v>0</v>
      </c>
      <c r="L1097" t="str">
        <f>VLOOKUP(VALUE(LEFT(C1097,5)),Xref!A:B,2,0)</f>
        <v>HN2</v>
      </c>
      <c r="M1097" t="str">
        <f t="shared" si="71"/>
        <v>DOL-HN2</v>
      </c>
    </row>
    <row r="1098" spans="1:13" ht="14.25" customHeight="true">
      <c r="A1098" s="33" t="str">
        <f t="shared" si="68"/>
        <v>DOL - Intercompany</v>
      </c>
      <c r="B1098" s="33" t="str">
        <f t="shared" si="69"/>
        <v>DOL</v>
      </c>
      <c r="C1098" s="33" t="str">
        <f t="shared" si="70"/>
        <v>11204-0000</v>
      </c>
      <c r="D1098" t="s">
        <v>18095</v>
      </c>
      <c r="E1098" t="s">
        <v>14077</v>
      </c>
      <c r="F1098" t="s">
        <v>14039</v>
      </c>
      <c r="G1098" t="s">
        <v>14672</v>
      </c>
      <c r="H1098" t="s">
        <v>13869</v>
      </c>
      <c r="I1098" t="s">
        <v>14690</v>
      </c>
      <c r="J1098" s="62">
        <v>0</v>
      </c>
      <c r="K1098" s="62">
        <v>0</v>
      </c>
      <c r="L1098" t="str">
        <f>VLOOKUP(VALUE(LEFT(C1098,5)),Xref!A:B,2,0)</f>
        <v>DF2</v>
      </c>
      <c r="M1098" t="str">
        <f t="shared" si="71"/>
        <v>DF2-DOL</v>
      </c>
    </row>
    <row r="1099" spans="1:13" ht="14.25" customHeight="true">
      <c r="A1099" s="33" t="str">
        <f t="shared" si="68"/>
        <v>DOL - Intercompany</v>
      </c>
      <c r="B1099" s="33" t="str">
        <f t="shared" si="69"/>
        <v>DOL</v>
      </c>
      <c r="C1099" s="33" t="str">
        <f t="shared" si="70"/>
        <v>11208-0000</v>
      </c>
      <c r="D1099" t="s">
        <v>18096</v>
      </c>
      <c r="E1099" t="s">
        <v>14079</v>
      </c>
      <c r="F1099" t="s">
        <v>14039</v>
      </c>
      <c r="G1099" t="s">
        <v>14672</v>
      </c>
      <c r="H1099" t="s">
        <v>13869</v>
      </c>
      <c r="I1099" t="s">
        <v>14690</v>
      </c>
      <c r="J1099" s="62">
        <v>0</v>
      </c>
      <c r="K1099" s="62">
        <v>0</v>
      </c>
      <c r="L1099" t="str">
        <f>VLOOKUP(VALUE(LEFT(C1099,5)),Xref!A:B,2,0)</f>
        <v>SRE</v>
      </c>
      <c r="M1099" t="str">
        <f t="shared" si="71"/>
        <v>DOL-SRE</v>
      </c>
    </row>
    <row r="1100" spans="1:13" ht="14.25" customHeight="true">
      <c r="A1100" s="33" t="str">
        <f t="shared" si="68"/>
        <v>DOL - Intercompany</v>
      </c>
      <c r="B1100" s="33" t="str">
        <f t="shared" si="69"/>
        <v>DOL</v>
      </c>
      <c r="C1100" s="33" t="str">
        <f t="shared" si="70"/>
        <v>11210-0000</v>
      </c>
      <c r="D1100" t="s">
        <v>18097</v>
      </c>
      <c r="E1100" t="s">
        <v>14081</v>
      </c>
      <c r="F1100" t="s">
        <v>14039</v>
      </c>
      <c r="G1100" t="s">
        <v>14672</v>
      </c>
      <c r="H1100" t="s">
        <v>13869</v>
      </c>
      <c r="I1100" t="s">
        <v>14690</v>
      </c>
      <c r="J1100" s="62">
        <v>0</v>
      </c>
      <c r="K1100" s="62">
        <v>0</v>
      </c>
      <c r="L1100" t="str">
        <f>VLOOKUP(VALUE(LEFT(C1100,5)),Xref!A:B,2,0)</f>
        <v>REM</v>
      </c>
      <c r="M1100" t="str">
        <f t="shared" si="71"/>
        <v>DOL-REM</v>
      </c>
    </row>
    <row r="1101" spans="1:13" ht="14.25" customHeight="true">
      <c r="A1101" s="33" t="str">
        <f t="shared" si="68"/>
        <v>DOL - Intercompany</v>
      </c>
      <c r="B1101" s="33" t="str">
        <f t="shared" si="69"/>
        <v>DOL</v>
      </c>
      <c r="C1101" s="33" t="str">
        <f t="shared" si="70"/>
        <v>11212-0000</v>
      </c>
      <c r="D1101" t="s">
        <v>18098</v>
      </c>
      <c r="E1101" t="s">
        <v>14083</v>
      </c>
      <c r="F1101" t="s">
        <v>14039</v>
      </c>
      <c r="G1101" t="s">
        <v>14672</v>
      </c>
      <c r="H1101" t="s">
        <v>13869</v>
      </c>
      <c r="I1101" t="s">
        <v>14690</v>
      </c>
      <c r="J1101" s="62">
        <v>0</v>
      </c>
      <c r="K1101" s="62">
        <v>0</v>
      </c>
      <c r="L1101" t="str">
        <f>VLOOKUP(VALUE(LEFT(C1101,5)),Xref!A:B,2,0)</f>
        <v>FRM</v>
      </c>
      <c r="M1101" t="str">
        <f t="shared" si="71"/>
        <v>DOL-FRM</v>
      </c>
    </row>
    <row r="1102" spans="1:13" ht="14.25" customHeight="true">
      <c r="A1102" s="33" t="str">
        <f t="shared" si="68"/>
        <v>DOL - Intercompany</v>
      </c>
      <c r="B1102" s="33" t="str">
        <f t="shared" si="69"/>
        <v>DOL</v>
      </c>
      <c r="C1102" s="33" t="str">
        <f t="shared" si="70"/>
        <v>11214-0000</v>
      </c>
      <c r="D1102" t="s">
        <v>18099</v>
      </c>
      <c r="E1102" t="s">
        <v>14085</v>
      </c>
      <c r="F1102" t="s">
        <v>14039</v>
      </c>
      <c r="G1102" t="s">
        <v>14672</v>
      </c>
      <c r="H1102" t="s">
        <v>13869</v>
      </c>
      <c r="I1102" t="s">
        <v>14690</v>
      </c>
      <c r="J1102" s="62">
        <v>0</v>
      </c>
      <c r="K1102" s="62">
        <v>0</v>
      </c>
      <c r="L1102" t="str">
        <f>VLOOKUP(VALUE(LEFT(C1102,5)),Xref!A:B,2,0)</f>
        <v>D7R</v>
      </c>
      <c r="M1102" t="str">
        <f t="shared" si="71"/>
        <v>D7R-DOL</v>
      </c>
    </row>
    <row r="1103" spans="1:13" ht="14.25" customHeight="true">
      <c r="A1103" s="33" t="str">
        <f t="shared" si="68"/>
        <v>DOL - Intercompany</v>
      </c>
      <c r="B1103" s="33" t="str">
        <f t="shared" si="69"/>
        <v>DOL</v>
      </c>
      <c r="C1103" s="33" t="str">
        <f t="shared" si="70"/>
        <v>11215-0000</v>
      </c>
      <c r="D1103" t="s">
        <v>18100</v>
      </c>
      <c r="E1103" t="s">
        <v>14087</v>
      </c>
      <c r="F1103" t="s">
        <v>14039</v>
      </c>
      <c r="G1103" t="s">
        <v>14672</v>
      </c>
      <c r="H1103" t="s">
        <v>13869</v>
      </c>
      <c r="I1103" t="s">
        <v>14690</v>
      </c>
      <c r="J1103" s="62">
        <v>0</v>
      </c>
      <c r="K1103" s="62">
        <v>0</v>
      </c>
      <c r="L1103" t="str">
        <f>VLOOKUP(VALUE(LEFT(C1103,5)),Xref!A:B,2,0)</f>
        <v>CDP</v>
      </c>
      <c r="M1103" t="str">
        <f t="shared" si="71"/>
        <v>CDP-DOL</v>
      </c>
    </row>
    <row r="1104" spans="1:13" ht="14.25" customHeight="true">
      <c r="A1104" s="33" t="str">
        <f t="shared" si="68"/>
        <v>DOL - Intercompany</v>
      </c>
      <c r="B1104" s="33" t="str">
        <f t="shared" si="69"/>
        <v>DOL</v>
      </c>
      <c r="C1104" s="33" t="str">
        <f t="shared" si="70"/>
        <v>11216-0000</v>
      </c>
      <c r="D1104" t="s">
        <v>908</v>
      </c>
      <c r="E1104" t="s">
        <v>13224</v>
      </c>
      <c r="F1104" t="s">
        <v>14039</v>
      </c>
      <c r="G1104" t="s">
        <v>14672</v>
      </c>
      <c r="H1104" t="s">
        <v>13869</v>
      </c>
      <c r="I1104" t="s">
        <v>14690</v>
      </c>
      <c r="J1104" s="62">
        <v>-5546.1</v>
      </c>
      <c r="K1104" s="62">
        <v>-72186.08</v>
      </c>
      <c r="L1104" t="str">
        <f>VLOOKUP(VALUE(LEFT(C1104,5)),Xref!A:B,2,0)</f>
        <v>SIL</v>
      </c>
      <c r="M1104" t="str">
        <f t="shared" si="71"/>
        <v>DOL-SIL</v>
      </c>
    </row>
    <row r="1105" spans="1:13" ht="14.25" customHeight="true">
      <c r="A1105" s="33" t="str">
        <f t="shared" si="68"/>
        <v>DOL - Intercompany</v>
      </c>
      <c r="B1105" s="33" t="str">
        <f t="shared" si="69"/>
        <v>DOL</v>
      </c>
      <c r="C1105" s="33" t="str">
        <f t="shared" si="70"/>
        <v>11232-0000</v>
      </c>
      <c r="D1105" t="s">
        <v>18101</v>
      </c>
      <c r="E1105" t="s">
        <v>12486</v>
      </c>
      <c r="F1105" t="s">
        <v>14039</v>
      </c>
      <c r="G1105" t="s">
        <v>14672</v>
      </c>
      <c r="H1105" t="s">
        <v>13869</v>
      </c>
      <c r="I1105" t="s">
        <v>14690</v>
      </c>
      <c r="J1105" s="62">
        <v>0</v>
      </c>
      <c r="K1105" s="62">
        <v>0</v>
      </c>
      <c r="L1105" t="str">
        <f>VLOOKUP(VALUE(LEFT(C1105,5)),Xref!A:B,2,0)</f>
        <v>SC2</v>
      </c>
      <c r="M1105" t="str">
        <f t="shared" si="71"/>
        <v>DOL-SC2</v>
      </c>
    </row>
    <row r="1106" spans="1:13" ht="14.25" customHeight="true">
      <c r="A1106" s="33" t="str">
        <f t="shared" si="68"/>
        <v>DOL - Intercompany</v>
      </c>
      <c r="B1106" s="33" t="str">
        <f t="shared" si="69"/>
        <v>DOL</v>
      </c>
      <c r="C1106" s="33" t="str">
        <f t="shared" si="70"/>
        <v>11301-0000</v>
      </c>
      <c r="D1106" t="s">
        <v>909</v>
      </c>
      <c r="E1106" t="s">
        <v>13225</v>
      </c>
      <c r="F1106" t="s">
        <v>14039</v>
      </c>
      <c r="G1106" t="s">
        <v>14672</v>
      </c>
      <c r="H1106" t="s">
        <v>13869</v>
      </c>
      <c r="I1106" t="s">
        <v>14690</v>
      </c>
      <c r="J1106" s="62">
        <v>0</v>
      </c>
      <c r="K1106" s="62">
        <v>20000</v>
      </c>
      <c r="L1106" t="str">
        <f>VLOOKUP(VALUE(LEFT(C1106,5)),Xref!A:B,2,0)</f>
        <v>CRE</v>
      </c>
      <c r="M1106" t="str">
        <f t="shared" si="71"/>
        <v>CRE-DOL</v>
      </c>
    </row>
    <row r="1107" spans="1:13" ht="14.25" customHeight="true">
      <c r="A1107" s="33" t="str">
        <f t="shared" si="68"/>
        <v>DOL - Intercompany</v>
      </c>
      <c r="B1107" s="33" t="str">
        <f t="shared" si="69"/>
        <v>DOL</v>
      </c>
      <c r="C1107" s="33" t="str">
        <f t="shared" si="70"/>
        <v>11302-0000</v>
      </c>
      <c r="D1107" t="s">
        <v>18102</v>
      </c>
      <c r="E1107" t="s">
        <v>13226</v>
      </c>
      <c r="F1107" t="s">
        <v>14039</v>
      </c>
      <c r="G1107" t="s">
        <v>14672</v>
      </c>
      <c r="H1107" t="s">
        <v>13869</v>
      </c>
      <c r="I1107" t="s">
        <v>14690</v>
      </c>
      <c r="J1107" s="62">
        <v>0</v>
      </c>
      <c r="K1107" s="62">
        <v>0</v>
      </c>
      <c r="L1107" t="str">
        <f>VLOOKUP(VALUE(LEFT(C1107,5)),Xref!A:B,2,0)</f>
        <v>CHA</v>
      </c>
      <c r="M1107" t="str">
        <f t="shared" si="71"/>
        <v>CHA-DOL</v>
      </c>
    </row>
    <row r="1108" spans="1:13" ht="14.25" customHeight="true">
      <c r="A1108" s="33" t="str">
        <f t="shared" si="68"/>
        <v>DOL - Intercompany</v>
      </c>
      <c r="B1108" s="33" t="str">
        <f t="shared" si="69"/>
        <v>DOL</v>
      </c>
      <c r="C1108" s="33" t="str">
        <f t="shared" si="70"/>
        <v>11303-0000</v>
      </c>
      <c r="D1108" t="s">
        <v>18103</v>
      </c>
      <c r="E1108" t="s">
        <v>13227</v>
      </c>
      <c r="F1108" t="s">
        <v>14039</v>
      </c>
      <c r="G1108" t="s">
        <v>14672</v>
      </c>
      <c r="H1108" t="s">
        <v>13869</v>
      </c>
      <c r="I1108" t="s">
        <v>14690</v>
      </c>
      <c r="J1108" s="62">
        <v>0</v>
      </c>
      <c r="K1108" s="62">
        <v>0</v>
      </c>
      <c r="L1108" t="str">
        <f>VLOOKUP(VALUE(LEFT(C1108,5)),Xref!A:B,2,0)</f>
        <v>DIA</v>
      </c>
      <c r="M1108" t="str">
        <f t="shared" si="71"/>
        <v>DIA-DOL</v>
      </c>
    </row>
    <row r="1109" spans="1:13" ht="14.25" customHeight="true">
      <c r="A1109" s="33" t="str">
        <f t="shared" si="68"/>
        <v>DOL - Intercompany</v>
      </c>
      <c r="B1109" s="33" t="str">
        <f t="shared" si="69"/>
        <v>DOL</v>
      </c>
      <c r="C1109" s="33" t="str">
        <f t="shared" si="70"/>
        <v>11304-0000</v>
      </c>
      <c r="D1109" t="s">
        <v>18104</v>
      </c>
      <c r="E1109" t="s">
        <v>13228</v>
      </c>
      <c r="F1109" t="s">
        <v>14039</v>
      </c>
      <c r="G1109" t="s">
        <v>14672</v>
      </c>
      <c r="H1109" t="s">
        <v>13869</v>
      </c>
      <c r="I1109" t="s">
        <v>14690</v>
      </c>
      <c r="J1109" s="62">
        <v>0</v>
      </c>
      <c r="K1109" s="62">
        <v>0</v>
      </c>
      <c r="L1109" t="str">
        <f>VLOOKUP(VALUE(LEFT(C1109,5)),Xref!A:B,2,0)</f>
        <v>EAG</v>
      </c>
      <c r="M1109" t="str">
        <f t="shared" si="71"/>
        <v>DOL-EAG</v>
      </c>
    </row>
    <row r="1110" spans="1:13" ht="14.25" customHeight="true">
      <c r="A1110" s="33" t="str">
        <f t="shared" si="68"/>
        <v>DOL - Intercompany</v>
      </c>
      <c r="B1110" s="33" t="str">
        <f t="shared" si="69"/>
        <v>DOL</v>
      </c>
      <c r="C1110" s="33" t="str">
        <f t="shared" si="70"/>
        <v>11305-0000</v>
      </c>
      <c r="D1110" t="s">
        <v>18105</v>
      </c>
      <c r="E1110" t="s">
        <v>13229</v>
      </c>
      <c r="F1110" t="s">
        <v>14039</v>
      </c>
      <c r="G1110" t="s">
        <v>14672</v>
      </c>
      <c r="H1110" t="s">
        <v>13869</v>
      </c>
      <c r="I1110" t="s">
        <v>14690</v>
      </c>
      <c r="J1110" s="62">
        <v>0</v>
      </c>
      <c r="K1110" s="62">
        <v>0</v>
      </c>
      <c r="L1110" t="str">
        <f>VLOOKUP(VALUE(LEFT(C1110,5)),Xref!A:B,2,0)</f>
        <v>NEW</v>
      </c>
      <c r="M1110" t="str">
        <f t="shared" si="71"/>
        <v>DOL-NEW</v>
      </c>
    </row>
    <row r="1111" spans="1:13" ht="14.25" customHeight="true">
      <c r="A1111" s="33" t="str">
        <f t="shared" si="68"/>
        <v>DOL - Intercompany</v>
      </c>
      <c r="B1111" s="33" t="str">
        <f t="shared" si="69"/>
        <v>DOL</v>
      </c>
      <c r="C1111" s="33" t="str">
        <f t="shared" si="70"/>
        <v>11307-0000</v>
      </c>
      <c r="D1111" t="s">
        <v>18106</v>
      </c>
      <c r="E1111" t="s">
        <v>14096</v>
      </c>
      <c r="F1111" t="s">
        <v>14039</v>
      </c>
      <c r="G1111" t="s">
        <v>14672</v>
      </c>
      <c r="H1111" t="s">
        <v>13869</v>
      </c>
      <c r="I1111" t="s">
        <v>14690</v>
      </c>
      <c r="J1111" s="62">
        <v>0</v>
      </c>
      <c r="K1111" s="62">
        <v>0</v>
      </c>
      <c r="L1111" t="str">
        <f>VLOOKUP(VALUE(LEFT(C1111,5)),Xref!A:B,2,0)</f>
        <v>NES</v>
      </c>
      <c r="M1111" t="str">
        <f t="shared" si="71"/>
        <v>DOL-NES</v>
      </c>
    </row>
    <row r="1112" spans="1:13" ht="14.25" customHeight="true">
      <c r="A1112" s="33" t="str">
        <f t="shared" si="68"/>
        <v>DOL - Intercompany</v>
      </c>
      <c r="B1112" s="33" t="str">
        <f t="shared" si="69"/>
        <v>DOL</v>
      </c>
      <c r="C1112" s="33" t="str">
        <f t="shared" si="70"/>
        <v>11308-0000</v>
      </c>
      <c r="D1112" t="s">
        <v>18107</v>
      </c>
      <c r="E1112" t="s">
        <v>13476</v>
      </c>
      <c r="F1112" t="s">
        <v>14039</v>
      </c>
      <c r="G1112" t="s">
        <v>14672</v>
      </c>
      <c r="H1112" t="s">
        <v>13869</v>
      </c>
      <c r="I1112" t="s">
        <v>14690</v>
      </c>
      <c r="J1112" s="62">
        <v>0</v>
      </c>
      <c r="K1112" s="62">
        <v>0</v>
      </c>
      <c r="L1112" t="str">
        <f>VLOOKUP(VALUE(LEFT(C1112,5)),Xref!A:B,2,0)</f>
        <v>LPI</v>
      </c>
      <c r="M1112" t="str">
        <f t="shared" si="71"/>
        <v>DOL-LPI</v>
      </c>
    </row>
    <row r="1113" spans="1:13" ht="14.25" customHeight="true">
      <c r="A1113" s="33" t="str">
        <f t="shared" si="68"/>
        <v>DOL - Intercompany</v>
      </c>
      <c r="B1113" s="33" t="str">
        <f t="shared" si="69"/>
        <v>DOL</v>
      </c>
      <c r="C1113" s="33" t="str">
        <f t="shared" si="70"/>
        <v>11309-0000</v>
      </c>
      <c r="D1113" t="s">
        <v>18108</v>
      </c>
      <c r="E1113" t="s">
        <v>13230</v>
      </c>
      <c r="F1113" t="s">
        <v>14039</v>
      </c>
      <c r="G1113" t="s">
        <v>14672</v>
      </c>
      <c r="H1113" t="s">
        <v>13869</v>
      </c>
      <c r="I1113" t="s">
        <v>14690</v>
      </c>
      <c r="J1113" s="62">
        <v>0</v>
      </c>
      <c r="K1113" s="62">
        <v>0</v>
      </c>
      <c r="L1113" t="str">
        <f>VLOOKUP(VALUE(LEFT(C1113,5)),Xref!A:B,2,0)</f>
        <v>GPI</v>
      </c>
      <c r="M1113" t="str">
        <f t="shared" si="71"/>
        <v>DOL-GPI</v>
      </c>
    </row>
    <row r="1114" spans="1:13" ht="14.25" customHeight="true">
      <c r="A1114" s="33" t="str">
        <f t="shared" si="68"/>
        <v>DOL - Intercompany</v>
      </c>
      <c r="B1114" s="33" t="str">
        <f t="shared" si="69"/>
        <v>DOL</v>
      </c>
      <c r="C1114" s="33" t="str">
        <f t="shared" si="70"/>
        <v>11310-0000</v>
      </c>
      <c r="D1114" t="s">
        <v>18109</v>
      </c>
      <c r="E1114" t="s">
        <v>13231</v>
      </c>
      <c r="F1114" t="s">
        <v>14039</v>
      </c>
      <c r="G1114" t="s">
        <v>14672</v>
      </c>
      <c r="H1114" t="s">
        <v>13869</v>
      </c>
      <c r="I1114" t="s">
        <v>14690</v>
      </c>
      <c r="J1114" s="62">
        <v>0</v>
      </c>
      <c r="K1114" s="62">
        <v>0</v>
      </c>
      <c r="L1114" t="str">
        <f>VLOOKUP(VALUE(LEFT(C1114,5)),Xref!A:B,2,0)</f>
        <v>ALP</v>
      </c>
      <c r="M1114" t="str">
        <f t="shared" si="71"/>
        <v>ALP-DOL</v>
      </c>
    </row>
    <row r="1115" spans="1:13" ht="14.25" customHeight="true">
      <c r="A1115" s="33" t="str">
        <f t="shared" si="68"/>
        <v>DOL - Intercompany</v>
      </c>
      <c r="B1115" s="33" t="str">
        <f t="shared" si="69"/>
        <v>DOL</v>
      </c>
      <c r="C1115" s="33" t="str">
        <f t="shared" si="70"/>
        <v>11311-0000</v>
      </c>
      <c r="D1115" t="s">
        <v>910</v>
      </c>
      <c r="E1115" t="s">
        <v>13232</v>
      </c>
      <c r="F1115" t="s">
        <v>14039</v>
      </c>
      <c r="G1115" t="s">
        <v>14672</v>
      </c>
      <c r="H1115" t="s">
        <v>13869</v>
      </c>
      <c r="I1115" t="s">
        <v>14690</v>
      </c>
      <c r="J1115" s="62">
        <v>0</v>
      </c>
      <c r="K1115" s="62">
        <v>-5000</v>
      </c>
      <c r="L1115" t="str">
        <f>VLOOKUP(VALUE(LEFT(C1115,5)),Xref!A:B,2,0)</f>
        <v>BET</v>
      </c>
      <c r="M1115" t="str">
        <f t="shared" si="71"/>
        <v>BET-DOL</v>
      </c>
    </row>
    <row r="1116" spans="1:13" ht="14.25" customHeight="true">
      <c r="A1116" s="33" t="str">
        <f t="shared" si="68"/>
        <v>DOL - Intercompany</v>
      </c>
      <c r="B1116" s="33" t="str">
        <f t="shared" si="69"/>
        <v>DOL</v>
      </c>
      <c r="C1116" s="33" t="str">
        <f t="shared" si="70"/>
        <v>11312-0000</v>
      </c>
      <c r="D1116" t="s">
        <v>18110</v>
      </c>
      <c r="E1116" t="s">
        <v>14102</v>
      </c>
      <c r="F1116" t="s">
        <v>14039</v>
      </c>
      <c r="G1116" t="s">
        <v>14672</v>
      </c>
      <c r="H1116" t="s">
        <v>13869</v>
      </c>
      <c r="I1116" t="s">
        <v>14690</v>
      </c>
      <c r="J1116" s="62">
        <v>0</v>
      </c>
      <c r="K1116" s="62">
        <v>0</v>
      </c>
      <c r="L1116" t="str">
        <f>VLOOKUP(VALUE(LEFT(C1116,5)),Xref!A:B,2,0)</f>
        <v>DEL</v>
      </c>
      <c r="M1116" t="str">
        <f t="shared" si="71"/>
        <v>DEL-DOL</v>
      </c>
    </row>
    <row r="1117" spans="1:13" ht="14.25" customHeight="true">
      <c r="A1117" s="33" t="str">
        <f t="shared" si="68"/>
        <v>DOL - Intercompany</v>
      </c>
      <c r="B1117" s="33" t="str">
        <f t="shared" si="69"/>
        <v>DOL</v>
      </c>
      <c r="C1117" s="33" t="str">
        <f t="shared" si="70"/>
        <v>11313-0000</v>
      </c>
      <c r="D1117" t="s">
        <v>18111</v>
      </c>
      <c r="E1117" t="s">
        <v>13233</v>
      </c>
      <c r="F1117" t="s">
        <v>14039</v>
      </c>
      <c r="G1117" t="s">
        <v>14672</v>
      </c>
      <c r="H1117" t="s">
        <v>13869</v>
      </c>
      <c r="I1117" t="s">
        <v>14690</v>
      </c>
      <c r="J1117" s="62">
        <v>0</v>
      </c>
      <c r="K1117" s="62">
        <v>0</v>
      </c>
      <c r="L1117" t="str">
        <f>VLOOKUP(VALUE(LEFT(C1117,5)),Xref!A:B,2,0)</f>
        <v>DOL</v>
      </c>
      <c r="M1117" t="str">
        <f t="shared" si="71"/>
        <v>DOL-DOL</v>
      </c>
    </row>
    <row r="1118" spans="1:13" ht="14.25" customHeight="true">
      <c r="A1118" s="33" t="str">
        <f t="shared" si="68"/>
        <v>DOL - Intercompany</v>
      </c>
      <c r="B1118" s="33" t="str">
        <f t="shared" si="69"/>
        <v>DOL</v>
      </c>
      <c r="C1118" s="33" t="str">
        <f t="shared" si="70"/>
        <v>11314-0000</v>
      </c>
      <c r="D1118" t="s">
        <v>18112</v>
      </c>
      <c r="E1118" t="s">
        <v>13351</v>
      </c>
      <c r="F1118" t="s">
        <v>14039</v>
      </c>
      <c r="G1118" t="s">
        <v>14672</v>
      </c>
      <c r="H1118" t="s">
        <v>13869</v>
      </c>
      <c r="I1118" t="s">
        <v>14690</v>
      </c>
      <c r="J1118" s="62">
        <v>0</v>
      </c>
      <c r="K1118" s="62">
        <v>0</v>
      </c>
      <c r="L1118" t="str">
        <f>VLOOKUP(VALUE(LEFT(C1118,5)),Xref!A:B,2,0)</f>
        <v>GRI</v>
      </c>
      <c r="M1118" t="str">
        <f t="shared" si="71"/>
        <v>DOL-GRI</v>
      </c>
    </row>
    <row r="1119" spans="1:13" ht="14.25" customHeight="true">
      <c r="A1119" s="33" t="str">
        <f t="shared" si="68"/>
        <v>DOL - Intercompany</v>
      </c>
      <c r="B1119" s="33" t="str">
        <f t="shared" si="69"/>
        <v>DOL</v>
      </c>
      <c r="C1119" s="33" t="str">
        <f t="shared" si="70"/>
        <v>11315-0000</v>
      </c>
      <c r="D1119" t="s">
        <v>911</v>
      </c>
      <c r="E1119" t="s">
        <v>13234</v>
      </c>
      <c r="F1119" t="s">
        <v>14039</v>
      </c>
      <c r="G1119" t="s">
        <v>14672</v>
      </c>
      <c r="H1119" t="s">
        <v>13869</v>
      </c>
      <c r="I1119" t="s">
        <v>14690</v>
      </c>
      <c r="J1119" s="62">
        <v>0</v>
      </c>
      <c r="K1119" s="62">
        <v>15000</v>
      </c>
      <c r="L1119" t="str">
        <f>VLOOKUP(VALUE(LEFT(C1119,5)),Xref!A:B,2,0)</f>
        <v>PUR</v>
      </c>
      <c r="M1119" t="str">
        <f t="shared" si="71"/>
        <v>DOL-PUR</v>
      </c>
    </row>
    <row r="1120" spans="1:13" ht="14.25" customHeight="true">
      <c r="A1120" s="33" t="str">
        <f t="shared" si="68"/>
        <v>DOL - Intercompany</v>
      </c>
      <c r="B1120" s="33" t="str">
        <f t="shared" si="69"/>
        <v>DOL</v>
      </c>
      <c r="C1120" s="33" t="str">
        <f t="shared" si="70"/>
        <v>11316-0000</v>
      </c>
      <c r="D1120" t="s">
        <v>18113</v>
      </c>
      <c r="E1120" t="s">
        <v>13235</v>
      </c>
      <c r="F1120" t="s">
        <v>14039</v>
      </c>
      <c r="G1120" t="s">
        <v>14672</v>
      </c>
      <c r="H1120" t="s">
        <v>13869</v>
      </c>
      <c r="I1120" t="s">
        <v>14690</v>
      </c>
      <c r="J1120" s="62">
        <v>0</v>
      </c>
      <c r="K1120" s="62">
        <v>0</v>
      </c>
      <c r="L1120" t="str">
        <f>VLOOKUP(VALUE(LEFT(C1120,5)),Xref!A:B,2,0)</f>
        <v>VAL</v>
      </c>
      <c r="M1120" t="str">
        <f t="shared" si="71"/>
        <v>DOL-VAL</v>
      </c>
    </row>
    <row r="1121" spans="1:13" ht="14.25" customHeight="true">
      <c r="A1121" s="33" t="str">
        <f t="shared" si="68"/>
        <v>DOL - Intercompany</v>
      </c>
      <c r="B1121" s="33" t="str">
        <f t="shared" si="69"/>
        <v>DOL</v>
      </c>
      <c r="C1121" s="33" t="str">
        <f t="shared" si="70"/>
        <v>11317-0000</v>
      </c>
      <c r="D1121" t="s">
        <v>912</v>
      </c>
      <c r="E1121" t="s">
        <v>13352</v>
      </c>
      <c r="F1121" t="s">
        <v>14039</v>
      </c>
      <c r="G1121" t="s">
        <v>14672</v>
      </c>
      <c r="H1121" t="s">
        <v>13869</v>
      </c>
      <c r="I1121" t="s">
        <v>14690</v>
      </c>
      <c r="J1121" s="62">
        <v>0</v>
      </c>
      <c r="K1121" s="62">
        <v>-25000</v>
      </c>
      <c r="L1121" t="str">
        <f>VLOOKUP(VALUE(LEFT(C1121,5)),Xref!A:B,2,0)</f>
        <v>AKG</v>
      </c>
      <c r="M1121" t="str">
        <f t="shared" si="71"/>
        <v>AKG-DOL</v>
      </c>
    </row>
    <row r="1122" spans="1:13" ht="14.25" customHeight="true">
      <c r="A1122" s="33" t="str">
        <f t="shared" si="68"/>
        <v>DOL - Intercompany</v>
      </c>
      <c r="B1122" s="33" t="str">
        <f t="shared" si="69"/>
        <v>DOL</v>
      </c>
      <c r="C1122" s="33" t="str">
        <f t="shared" si="70"/>
        <v>11318-0000</v>
      </c>
      <c r="D1122" t="s">
        <v>18114</v>
      </c>
      <c r="E1122" t="s">
        <v>13477</v>
      </c>
      <c r="F1122" t="s">
        <v>14039</v>
      </c>
      <c r="G1122" t="s">
        <v>14672</v>
      </c>
      <c r="H1122" t="s">
        <v>13869</v>
      </c>
      <c r="I1122" t="s">
        <v>14690</v>
      </c>
      <c r="J1122" s="62">
        <v>0</v>
      </c>
      <c r="K1122" s="62">
        <v>0</v>
      </c>
      <c r="L1122" t="str">
        <f>VLOOKUP(VALUE(LEFT(C1122,5)),Xref!A:B,2,0)</f>
        <v>FIR</v>
      </c>
      <c r="M1122" t="str">
        <f t="shared" si="71"/>
        <v>DOL-FIR</v>
      </c>
    </row>
    <row r="1123" spans="1:13" ht="14.25" customHeight="true">
      <c r="A1123" s="33" t="str">
        <f t="shared" si="68"/>
        <v>DOL - Intercompany</v>
      </c>
      <c r="B1123" s="33" t="str">
        <f t="shared" si="69"/>
        <v>DOL</v>
      </c>
      <c r="C1123" s="33" t="str">
        <f t="shared" si="70"/>
        <v>11319-0000</v>
      </c>
      <c r="D1123" t="s">
        <v>18115</v>
      </c>
      <c r="E1123" t="s">
        <v>266</v>
      </c>
      <c r="F1123" t="s">
        <v>14039</v>
      </c>
      <c r="G1123" t="s">
        <v>14672</v>
      </c>
      <c r="H1123" t="s">
        <v>13869</v>
      </c>
      <c r="I1123" t="s">
        <v>14690</v>
      </c>
      <c r="J1123" s="62">
        <v>0</v>
      </c>
      <c r="K1123" s="62">
        <v>0</v>
      </c>
      <c r="L1123" t="str">
        <f>VLOOKUP(VALUE(LEFT(C1123,5)),Xref!A:B,2,0)</f>
        <v>GST</v>
      </c>
      <c r="M1123" t="str">
        <f t="shared" si="71"/>
        <v>DOL-GST</v>
      </c>
    </row>
    <row r="1124" spans="1:13" ht="14.25" customHeight="true">
      <c r="A1124" s="33" t="str">
        <f t="shared" si="68"/>
        <v>DOL - Intercompany</v>
      </c>
      <c r="B1124" s="33" t="str">
        <f t="shared" si="69"/>
        <v>DOL</v>
      </c>
      <c r="C1124" s="33" t="str">
        <f t="shared" si="70"/>
        <v>11320-0000</v>
      </c>
      <c r="D1124" t="s">
        <v>18116</v>
      </c>
      <c r="E1124" t="s">
        <v>14111</v>
      </c>
      <c r="F1124" t="s">
        <v>14039</v>
      </c>
      <c r="G1124" t="s">
        <v>14672</v>
      </c>
      <c r="H1124" t="s">
        <v>13869</v>
      </c>
      <c r="I1124" t="s">
        <v>14690</v>
      </c>
      <c r="J1124" s="62">
        <v>0</v>
      </c>
      <c r="K1124" s="62">
        <v>0</v>
      </c>
      <c r="L1124" t="str">
        <f>VLOOKUP(VALUE(LEFT(C1124,5)),Xref!A:B,2,0)</f>
        <v>HDN</v>
      </c>
      <c r="M1124" t="str">
        <f t="shared" si="71"/>
        <v>DOL-HDN</v>
      </c>
    </row>
    <row r="1125" spans="1:13" ht="14.25" customHeight="true">
      <c r="A1125" s="33" t="str">
        <f t="shared" si="68"/>
        <v>DOL - Intercompany</v>
      </c>
      <c r="B1125" s="33" t="str">
        <f t="shared" si="69"/>
        <v>DOL</v>
      </c>
      <c r="C1125" s="33" t="str">
        <f t="shared" si="70"/>
        <v>11321-0000</v>
      </c>
      <c r="D1125" t="s">
        <v>18117</v>
      </c>
      <c r="E1125" t="s">
        <v>13236</v>
      </c>
      <c r="F1125" t="s">
        <v>14039</v>
      </c>
      <c r="G1125" t="s">
        <v>14672</v>
      </c>
      <c r="H1125" t="s">
        <v>13869</v>
      </c>
      <c r="I1125" t="s">
        <v>14690</v>
      </c>
      <c r="J1125" s="62">
        <v>0</v>
      </c>
      <c r="K1125" s="62">
        <v>0</v>
      </c>
      <c r="L1125" t="str">
        <f>VLOOKUP(VALUE(LEFT(C1125,5)),Xref!A:B,2,0)</f>
        <v>OVA</v>
      </c>
      <c r="M1125" t="str">
        <f t="shared" si="71"/>
        <v>DOL-OVA</v>
      </c>
    </row>
    <row r="1126" spans="1:13" ht="14.25" customHeight="true">
      <c r="A1126" s="33" t="str">
        <f t="shared" si="68"/>
        <v>DOL - Intercompany</v>
      </c>
      <c r="B1126" s="33" t="str">
        <f t="shared" si="69"/>
        <v>DOL</v>
      </c>
      <c r="C1126" s="33" t="str">
        <f t="shared" si="70"/>
        <v>11322-0000</v>
      </c>
      <c r="D1126" t="s">
        <v>18118</v>
      </c>
      <c r="E1126" t="s">
        <v>13237</v>
      </c>
      <c r="F1126" t="s">
        <v>14039</v>
      </c>
      <c r="G1126" t="s">
        <v>14672</v>
      </c>
      <c r="H1126" t="s">
        <v>13869</v>
      </c>
      <c r="I1126" t="s">
        <v>14690</v>
      </c>
      <c r="J1126" s="62">
        <v>0</v>
      </c>
      <c r="K1126" s="62">
        <v>0</v>
      </c>
      <c r="L1126" t="str">
        <f>VLOOKUP(VALUE(LEFT(C1126,5)),Xref!A:B,2,0)</f>
        <v>WOO</v>
      </c>
      <c r="M1126" t="str">
        <f t="shared" si="71"/>
        <v>DOL-WOO</v>
      </c>
    </row>
    <row r="1127" spans="1:13" ht="14.25" customHeight="true">
      <c r="A1127" s="33" t="str">
        <f t="shared" si="68"/>
        <v>DOL - Intercompany</v>
      </c>
      <c r="B1127" s="33" t="str">
        <f t="shared" si="69"/>
        <v>DOL</v>
      </c>
      <c r="C1127" s="33" t="str">
        <f t="shared" si="70"/>
        <v>11323-0000</v>
      </c>
      <c r="D1127" t="s">
        <v>18119</v>
      </c>
      <c r="E1127" t="s">
        <v>13478</v>
      </c>
      <c r="F1127" t="s">
        <v>14039</v>
      </c>
      <c r="G1127" t="s">
        <v>14672</v>
      </c>
      <c r="H1127" t="s">
        <v>13869</v>
      </c>
      <c r="I1127" t="s">
        <v>14690</v>
      </c>
      <c r="J1127" s="62">
        <v>0</v>
      </c>
      <c r="K1127" s="62">
        <v>0</v>
      </c>
      <c r="L1127" t="str">
        <f>VLOOKUP(VALUE(LEFT(C1127,5)),Xref!A:B,2,0)</f>
        <v>SPI</v>
      </c>
      <c r="M1127" t="str">
        <f t="shared" si="71"/>
        <v>DOL-SPI</v>
      </c>
    </row>
    <row r="1128" spans="1:13" ht="14.25" customHeight="true">
      <c r="A1128" s="33" t="str">
        <f t="shared" si="68"/>
        <v>DOL - Intercompany</v>
      </c>
      <c r="B1128" s="33" t="str">
        <f t="shared" si="69"/>
        <v>DOL</v>
      </c>
      <c r="C1128" s="33" t="str">
        <f t="shared" si="70"/>
        <v>11324-0000</v>
      </c>
      <c r="D1128" t="s">
        <v>913</v>
      </c>
      <c r="E1128" t="s">
        <v>13238</v>
      </c>
      <c r="F1128" t="s">
        <v>14039</v>
      </c>
      <c r="G1128" t="s">
        <v>14672</v>
      </c>
      <c r="H1128" t="s">
        <v>13869</v>
      </c>
      <c r="I1128" t="s">
        <v>14690</v>
      </c>
      <c r="J1128" s="62">
        <v>0</v>
      </c>
      <c r="K1128" s="62">
        <v>20000</v>
      </c>
      <c r="L1128" t="str">
        <f>VLOOKUP(VALUE(LEFT(C1128,5)),Xref!A:B,2,0)</f>
        <v>NET</v>
      </c>
      <c r="M1128" t="str">
        <f t="shared" si="71"/>
        <v>DOL-NET</v>
      </c>
    </row>
    <row r="1129" spans="1:13" ht="14.25" customHeight="true">
      <c r="A1129" s="33" t="str">
        <f t="shared" si="68"/>
        <v>DOL - Intercompany</v>
      </c>
      <c r="B1129" s="33" t="str">
        <f t="shared" si="69"/>
        <v>DOL</v>
      </c>
      <c r="C1129" s="33" t="str">
        <f t="shared" si="70"/>
        <v>11325-0000</v>
      </c>
      <c r="D1129" t="s">
        <v>914</v>
      </c>
      <c r="E1129" t="s">
        <v>13239</v>
      </c>
      <c r="F1129" t="s">
        <v>14039</v>
      </c>
      <c r="G1129" t="s">
        <v>14672</v>
      </c>
      <c r="H1129" t="s">
        <v>13869</v>
      </c>
      <c r="I1129" t="s">
        <v>14690</v>
      </c>
      <c r="J1129" s="62">
        <v>0</v>
      </c>
      <c r="K1129" s="62">
        <v>10000</v>
      </c>
      <c r="L1129" t="str">
        <f>VLOOKUP(VALUE(LEFT(C1129,5)),Xref!A:B,2,0)</f>
        <v>DPI</v>
      </c>
      <c r="M1129" t="str">
        <f t="shared" si="71"/>
        <v>DOL-DPI</v>
      </c>
    </row>
    <row r="1130" spans="1:13" ht="14.25" customHeight="true">
      <c r="A1130" s="33" t="str">
        <f t="shared" si="68"/>
        <v>DOL - Intercompany</v>
      </c>
      <c r="B1130" s="33" t="str">
        <f t="shared" si="69"/>
        <v>DOL</v>
      </c>
      <c r="C1130" s="33" t="str">
        <f t="shared" si="70"/>
        <v>11326-0000</v>
      </c>
      <c r="D1130" t="s">
        <v>915</v>
      </c>
      <c r="E1130" t="s">
        <v>13240</v>
      </c>
      <c r="F1130" t="s">
        <v>14039</v>
      </c>
      <c r="G1130" t="s">
        <v>14672</v>
      </c>
      <c r="H1130" t="s">
        <v>13869</v>
      </c>
      <c r="I1130" t="s">
        <v>14690</v>
      </c>
      <c r="J1130" s="62">
        <v>0</v>
      </c>
      <c r="K1130" s="62">
        <v>15000</v>
      </c>
      <c r="L1130" t="str">
        <f>VLOOKUP(VALUE(LEFT(C1130,5)),Xref!A:B,2,0)</f>
        <v>SEK</v>
      </c>
      <c r="M1130" t="str">
        <f t="shared" si="71"/>
        <v>DOL-SEK</v>
      </c>
    </row>
    <row r="1131" spans="1:13" ht="14.25" customHeight="true">
      <c r="A1131" s="33" t="str">
        <f t="shared" si="68"/>
        <v>DOL - Intercompany</v>
      </c>
      <c r="B1131" s="33" t="str">
        <f t="shared" si="69"/>
        <v>DOL</v>
      </c>
      <c r="C1131" s="33" t="str">
        <f t="shared" si="70"/>
        <v>11327-0000</v>
      </c>
      <c r="D1131" t="s">
        <v>18120</v>
      </c>
      <c r="E1131" t="s">
        <v>14119</v>
      </c>
      <c r="F1131" t="s">
        <v>14039</v>
      </c>
      <c r="G1131" t="s">
        <v>14672</v>
      </c>
      <c r="H1131" t="s">
        <v>13869</v>
      </c>
      <c r="I1131" t="s">
        <v>14690</v>
      </c>
      <c r="J1131" s="62">
        <v>0</v>
      </c>
      <c r="K1131" s="62">
        <v>0</v>
      </c>
      <c r="L1131" t="str">
        <f>VLOOKUP(VALUE(LEFT(C1131,5)),Xref!A:B,2,0)</f>
        <v>CPI</v>
      </c>
      <c r="M1131" t="str">
        <f t="shared" si="71"/>
        <v>CPI-DOL</v>
      </c>
    </row>
    <row r="1132" spans="1:13" ht="14.25" customHeight="true">
      <c r="A1132" s="33" t="str">
        <f t="shared" si="68"/>
        <v>DOL - Intercompany</v>
      </c>
      <c r="B1132" s="33" t="str">
        <f t="shared" si="69"/>
        <v>DOL</v>
      </c>
      <c r="C1132" s="33" t="str">
        <f t="shared" si="70"/>
        <v>11328-0000</v>
      </c>
      <c r="D1132" t="s">
        <v>18121</v>
      </c>
      <c r="E1132" t="s">
        <v>13241</v>
      </c>
      <c r="F1132" t="s">
        <v>14039</v>
      </c>
      <c r="G1132" t="s">
        <v>14672</v>
      </c>
      <c r="H1132" t="s">
        <v>13869</v>
      </c>
      <c r="I1132" t="s">
        <v>14690</v>
      </c>
      <c r="J1132" s="62">
        <v>0</v>
      </c>
      <c r="K1132" s="62">
        <v>0</v>
      </c>
      <c r="L1132" t="str">
        <f>VLOOKUP(VALUE(LEFT(C1132,5)),Xref!A:B,2,0)</f>
        <v>LOM</v>
      </c>
      <c r="M1132" t="str">
        <f t="shared" si="71"/>
        <v>DOL-LOM</v>
      </c>
    </row>
    <row r="1133" spans="1:13" ht="14.25" customHeight="true">
      <c r="A1133" s="33" t="str">
        <f t="shared" si="68"/>
        <v>DOL - Intercompany</v>
      </c>
      <c r="B1133" s="33" t="str">
        <f t="shared" si="69"/>
        <v>DOL</v>
      </c>
      <c r="C1133" s="33" t="str">
        <f t="shared" si="70"/>
        <v>11329-0000</v>
      </c>
      <c r="D1133" t="s">
        <v>18122</v>
      </c>
      <c r="E1133" t="s">
        <v>13353</v>
      </c>
      <c r="F1133" t="s">
        <v>14039</v>
      </c>
      <c r="G1133" t="s">
        <v>14672</v>
      </c>
      <c r="H1133" t="s">
        <v>13869</v>
      </c>
      <c r="I1133" t="s">
        <v>14690</v>
      </c>
      <c r="J1133" s="62">
        <v>0</v>
      </c>
      <c r="K1133" s="62">
        <v>0</v>
      </c>
      <c r="L1133" t="str">
        <f>VLOOKUP(VALUE(LEFT(C1133,5)),Xref!A:B,2,0)</f>
        <v>AKS</v>
      </c>
      <c r="M1133" t="str">
        <f t="shared" si="71"/>
        <v>AKS-DOL</v>
      </c>
    </row>
    <row r="1134" spans="1:13" ht="14.25" customHeight="true">
      <c r="A1134" s="33" t="str">
        <f t="shared" si="68"/>
        <v>DOL - Intercompany</v>
      </c>
      <c r="B1134" s="33" t="str">
        <f t="shared" si="69"/>
        <v>DOL</v>
      </c>
      <c r="C1134" s="33" t="str">
        <f t="shared" si="70"/>
        <v>11330-0000</v>
      </c>
      <c r="D1134" t="s">
        <v>18123</v>
      </c>
      <c r="E1134" t="s">
        <v>13242</v>
      </c>
      <c r="F1134" t="s">
        <v>14039</v>
      </c>
      <c r="G1134" t="s">
        <v>14672</v>
      </c>
      <c r="H1134" t="s">
        <v>13869</v>
      </c>
      <c r="I1134" t="s">
        <v>14690</v>
      </c>
      <c r="J1134" s="62">
        <v>0</v>
      </c>
      <c r="K1134" s="62">
        <v>0</v>
      </c>
      <c r="L1134" t="str">
        <f>VLOOKUP(VALUE(LEFT(C1134,5)),Xref!A:B,2,0)</f>
        <v>MAR</v>
      </c>
      <c r="M1134" t="str">
        <f t="shared" si="71"/>
        <v>DOL-MAR</v>
      </c>
    </row>
    <row r="1135" spans="1:13" ht="14.25" customHeight="true">
      <c r="A1135" s="33" t="str">
        <f t="shared" si="68"/>
        <v>DOL - Intercompany</v>
      </c>
      <c r="B1135" s="33" t="str">
        <f t="shared" si="69"/>
        <v>DOL</v>
      </c>
      <c r="C1135" s="33" t="str">
        <f t="shared" si="70"/>
        <v>11331-0000</v>
      </c>
      <c r="D1135" t="s">
        <v>18124</v>
      </c>
      <c r="E1135" t="s">
        <v>13354</v>
      </c>
      <c r="F1135" t="s">
        <v>14039</v>
      </c>
      <c r="G1135" t="s">
        <v>14672</v>
      </c>
      <c r="H1135" t="s">
        <v>13869</v>
      </c>
      <c r="I1135" t="s">
        <v>14690</v>
      </c>
      <c r="J1135" s="62">
        <v>0</v>
      </c>
      <c r="K1135" s="62">
        <v>0</v>
      </c>
      <c r="L1135" t="str">
        <f>VLOOKUP(VALUE(LEFT(C1135,5)),Xref!A:B,2,0)</f>
        <v>WIL</v>
      </c>
      <c r="M1135" t="str">
        <f t="shared" si="71"/>
        <v>DOL-WIL</v>
      </c>
    </row>
    <row r="1136" spans="1:13" ht="14.25" customHeight="true">
      <c r="A1136" s="33" t="str">
        <f t="shared" si="68"/>
        <v>DOL - Intercompany</v>
      </c>
      <c r="B1136" s="33" t="str">
        <f t="shared" si="69"/>
        <v>DOL</v>
      </c>
      <c r="C1136" s="33" t="str">
        <f t="shared" si="70"/>
        <v>11332-0000</v>
      </c>
      <c r="D1136" t="s">
        <v>18125</v>
      </c>
      <c r="E1136" t="s">
        <v>13243</v>
      </c>
      <c r="F1136" t="s">
        <v>14039</v>
      </c>
      <c r="G1136" t="s">
        <v>14672</v>
      </c>
      <c r="H1136" t="s">
        <v>13869</v>
      </c>
      <c r="I1136" t="s">
        <v>14690</v>
      </c>
      <c r="J1136" s="62">
        <v>0</v>
      </c>
      <c r="K1136" s="62">
        <v>0</v>
      </c>
      <c r="L1136" t="str">
        <f>VLOOKUP(VALUE(LEFT(C1136,5)),Xref!A:B,2,0)</f>
        <v>STO</v>
      </c>
      <c r="M1136" t="str">
        <f t="shared" si="71"/>
        <v>DOL-STO</v>
      </c>
    </row>
    <row r="1137" spans="1:13" ht="14.25" customHeight="true">
      <c r="A1137" s="33" t="str">
        <f t="shared" si="68"/>
        <v>DOL - Intercompany</v>
      </c>
      <c r="B1137" s="33" t="str">
        <f t="shared" si="69"/>
        <v>DOL</v>
      </c>
      <c r="C1137" s="33" t="str">
        <f t="shared" si="70"/>
        <v>11333-0000</v>
      </c>
      <c r="D1137" t="s">
        <v>916</v>
      </c>
      <c r="E1137" t="s">
        <v>13244</v>
      </c>
      <c r="F1137" t="s">
        <v>14039</v>
      </c>
      <c r="G1137" t="s">
        <v>14672</v>
      </c>
      <c r="H1137" t="s">
        <v>13869</v>
      </c>
      <c r="I1137" t="s">
        <v>14690</v>
      </c>
      <c r="J1137" s="62">
        <v>0</v>
      </c>
      <c r="K1137" s="62">
        <v>10000</v>
      </c>
      <c r="L1137" t="str">
        <f>VLOOKUP(VALUE(LEFT(C1137,5)),Xref!A:B,2,0)</f>
        <v>ANG</v>
      </c>
      <c r="M1137" t="str">
        <f t="shared" si="71"/>
        <v>ANG-DOL</v>
      </c>
    </row>
    <row r="1138" spans="1:13" ht="14.25" customHeight="true">
      <c r="A1138" s="33" t="str">
        <f t="shared" si="68"/>
        <v>DOL - Intercompany</v>
      </c>
      <c r="B1138" s="33" t="str">
        <f t="shared" si="69"/>
        <v>DOL</v>
      </c>
      <c r="C1138" s="33" t="str">
        <f t="shared" si="70"/>
        <v>11334-0000</v>
      </c>
      <c r="D1138" t="s">
        <v>18126</v>
      </c>
      <c r="E1138" t="s">
        <v>13245</v>
      </c>
      <c r="F1138" t="s">
        <v>14039</v>
      </c>
      <c r="G1138" t="s">
        <v>14672</v>
      </c>
      <c r="H1138" t="s">
        <v>13869</v>
      </c>
      <c r="I1138" t="s">
        <v>14690</v>
      </c>
      <c r="J1138" s="62">
        <v>0</v>
      </c>
      <c r="K1138" s="62">
        <v>0</v>
      </c>
      <c r="L1138" t="str">
        <f>VLOOKUP(VALUE(LEFT(C1138,5)),Xref!A:B,2,0)</f>
        <v>BRU</v>
      </c>
      <c r="M1138" t="str">
        <f t="shared" si="71"/>
        <v>BRU-DOL</v>
      </c>
    </row>
    <row r="1139" spans="1:13" ht="14.25" customHeight="true">
      <c r="A1139" s="33" t="str">
        <f t="shared" si="68"/>
        <v>DOL - Intercompany</v>
      </c>
      <c r="B1139" s="33" t="str">
        <f t="shared" si="69"/>
        <v>DOL</v>
      </c>
      <c r="C1139" s="33" t="str">
        <f t="shared" si="70"/>
        <v>11335-0000</v>
      </c>
      <c r="D1139" t="s">
        <v>18127</v>
      </c>
      <c r="E1139" t="s">
        <v>13246</v>
      </c>
      <c r="F1139" t="s">
        <v>14039</v>
      </c>
      <c r="G1139" t="s">
        <v>14672</v>
      </c>
      <c r="H1139" t="s">
        <v>13869</v>
      </c>
      <c r="I1139" t="s">
        <v>14690</v>
      </c>
      <c r="J1139" s="62">
        <v>0</v>
      </c>
      <c r="K1139" s="62">
        <v>0</v>
      </c>
      <c r="L1139" t="str">
        <f>VLOOKUP(VALUE(LEFT(C1139,5)),Xref!A:B,2,0)</f>
        <v>VEN</v>
      </c>
      <c r="M1139" t="str">
        <f t="shared" si="71"/>
        <v>DOL-VEN</v>
      </c>
    </row>
    <row r="1140" spans="1:13" ht="14.25" customHeight="true">
      <c r="A1140" s="33" t="str">
        <f t="shared" si="68"/>
        <v>DOL - Intercompany</v>
      </c>
      <c r="B1140" s="33" t="str">
        <f t="shared" si="69"/>
        <v>DOL</v>
      </c>
      <c r="C1140" s="33" t="str">
        <f t="shared" si="70"/>
        <v>11336-0000</v>
      </c>
      <c r="D1140" t="s">
        <v>18128</v>
      </c>
      <c r="E1140" t="s">
        <v>13247</v>
      </c>
      <c r="F1140" t="s">
        <v>14039</v>
      </c>
      <c r="G1140" t="s">
        <v>14672</v>
      </c>
      <c r="H1140" t="s">
        <v>13869</v>
      </c>
      <c r="I1140" t="s">
        <v>14690</v>
      </c>
      <c r="J1140" s="62">
        <v>0</v>
      </c>
      <c r="K1140" s="62">
        <v>0</v>
      </c>
      <c r="L1140" t="str">
        <f>VLOOKUP(VALUE(LEFT(C1140,5)),Xref!A:B,2,0)</f>
        <v>SAT</v>
      </c>
      <c r="M1140" t="str">
        <f t="shared" si="71"/>
        <v>DOL-SAT</v>
      </c>
    </row>
    <row r="1141" spans="1:13" ht="14.25" customHeight="true">
      <c r="A1141" s="33" t="str">
        <f t="shared" si="68"/>
        <v>DOL - Intercompany</v>
      </c>
      <c r="B1141" s="33" t="str">
        <f t="shared" si="69"/>
        <v>DOL</v>
      </c>
      <c r="C1141" s="33" t="str">
        <f t="shared" si="70"/>
        <v>11337-0000</v>
      </c>
      <c r="D1141" t="s">
        <v>917</v>
      </c>
      <c r="E1141" t="s">
        <v>13248</v>
      </c>
      <c r="F1141" t="s">
        <v>14039</v>
      </c>
      <c r="G1141" t="s">
        <v>14672</v>
      </c>
      <c r="H1141" t="s">
        <v>13869</v>
      </c>
      <c r="I1141" t="s">
        <v>14690</v>
      </c>
      <c r="J1141" s="62">
        <v>0</v>
      </c>
      <c r="K1141" s="62">
        <v>15000</v>
      </c>
      <c r="L1141" t="str">
        <f>VLOOKUP(VALUE(LEFT(C1141,5)),Xref!A:B,2,0)</f>
        <v>NEP</v>
      </c>
      <c r="M1141" t="str">
        <f t="shared" si="71"/>
        <v>DOL-NEP</v>
      </c>
    </row>
    <row r="1142" spans="1:13" ht="14.25" customHeight="true">
      <c r="A1142" s="33" t="str">
        <f t="shared" si="68"/>
        <v>DOL - Intercompany</v>
      </c>
      <c r="B1142" s="33" t="str">
        <f t="shared" si="69"/>
        <v>DOL</v>
      </c>
      <c r="C1142" s="33" t="str">
        <f t="shared" si="70"/>
        <v>11338-0000</v>
      </c>
      <c r="D1142" t="s">
        <v>18129</v>
      </c>
      <c r="E1142" t="s">
        <v>14131</v>
      </c>
      <c r="F1142" t="s">
        <v>14039</v>
      </c>
      <c r="G1142" t="s">
        <v>14672</v>
      </c>
      <c r="H1142" t="s">
        <v>13869</v>
      </c>
      <c r="I1142" t="s">
        <v>14690</v>
      </c>
      <c r="J1142" s="62">
        <v>0</v>
      </c>
      <c r="K1142" s="62">
        <v>0</v>
      </c>
      <c r="L1142" t="str">
        <f>VLOOKUP(VALUE(LEFT(C1142,5)),Xref!A:B,2,0)</f>
        <v>JUP</v>
      </c>
      <c r="M1142" t="str">
        <f t="shared" si="71"/>
        <v>DOL-JUP</v>
      </c>
    </row>
    <row r="1143" spans="1:13" ht="14.25" customHeight="true">
      <c r="A1143" s="33" t="str">
        <f t="shared" si="68"/>
        <v>DOL - Intercompany</v>
      </c>
      <c r="B1143" s="33" t="str">
        <f t="shared" si="69"/>
        <v>DOL</v>
      </c>
      <c r="C1143" s="33" t="str">
        <f t="shared" si="70"/>
        <v>11339-0000</v>
      </c>
      <c r="D1143" t="s">
        <v>18130</v>
      </c>
      <c r="E1143" t="s">
        <v>14133</v>
      </c>
      <c r="F1143" t="s">
        <v>14039</v>
      </c>
      <c r="G1143" t="s">
        <v>14672</v>
      </c>
      <c r="H1143" t="s">
        <v>13869</v>
      </c>
      <c r="I1143" t="s">
        <v>14690</v>
      </c>
      <c r="J1143" s="62">
        <v>0</v>
      </c>
      <c r="K1143" s="62">
        <v>0</v>
      </c>
      <c r="L1143" t="str">
        <f>VLOOKUP(VALUE(LEFT(C1143,5)),Xref!A:B,2,0)</f>
        <v>WES</v>
      </c>
      <c r="M1143" t="str">
        <f t="shared" si="71"/>
        <v>DOL-WES</v>
      </c>
    </row>
    <row r="1144" spans="1:13" ht="14.25" customHeight="true">
      <c r="A1144" s="33" t="str">
        <f t="shared" si="68"/>
        <v>DOL - Intercompany</v>
      </c>
      <c r="B1144" s="33" t="str">
        <f t="shared" si="69"/>
        <v>DOL</v>
      </c>
      <c r="C1144" s="33" t="str">
        <f t="shared" si="70"/>
        <v>11340-0000</v>
      </c>
      <c r="D1144" t="s">
        <v>18131</v>
      </c>
      <c r="E1144" t="s">
        <v>14135</v>
      </c>
      <c r="F1144" t="s">
        <v>14039</v>
      </c>
      <c r="G1144" t="s">
        <v>14672</v>
      </c>
      <c r="H1144" t="s">
        <v>13869</v>
      </c>
      <c r="I1144" t="s">
        <v>14690</v>
      </c>
      <c r="J1144" s="62">
        <v>0</v>
      </c>
      <c r="K1144" s="62">
        <v>0</v>
      </c>
      <c r="L1144" t="str">
        <f>VLOOKUP(VALUE(LEFT(C1144,5)),Xref!A:B,2,0)</f>
        <v>LCP</v>
      </c>
      <c r="M1144" t="str">
        <f t="shared" si="71"/>
        <v>DOL-LCP</v>
      </c>
    </row>
    <row r="1145" spans="1:13" ht="14.25" customHeight="true">
      <c r="A1145" s="33" t="str">
        <f t="shared" si="68"/>
        <v>DOL - Intercompany</v>
      </c>
      <c r="B1145" s="33" t="str">
        <f t="shared" si="69"/>
        <v>DOL</v>
      </c>
      <c r="C1145" s="33" t="str">
        <f t="shared" si="70"/>
        <v>11341-0000</v>
      </c>
      <c r="D1145" t="s">
        <v>18132</v>
      </c>
      <c r="E1145" t="s">
        <v>13639</v>
      </c>
      <c r="F1145" t="s">
        <v>14039</v>
      </c>
      <c r="G1145" t="s">
        <v>14672</v>
      </c>
      <c r="H1145" t="s">
        <v>13869</v>
      </c>
      <c r="I1145" t="s">
        <v>14690</v>
      </c>
      <c r="J1145" s="62">
        <v>0</v>
      </c>
      <c r="K1145" s="62">
        <v>0</v>
      </c>
      <c r="L1145" t="str">
        <f>VLOOKUP(VALUE(LEFT(C1145,5)),Xref!A:B,2,0)</f>
        <v>NOR</v>
      </c>
      <c r="M1145" t="str">
        <f t="shared" si="71"/>
        <v>DOL-NOR</v>
      </c>
    </row>
    <row r="1146" spans="1:13" ht="14.25" customHeight="true">
      <c r="A1146" s="33" t="str">
        <f t="shared" si="68"/>
        <v>DOL - Intercompany</v>
      </c>
      <c r="B1146" s="33" t="str">
        <f t="shared" si="69"/>
        <v>DOL</v>
      </c>
      <c r="C1146" s="33" t="str">
        <f t="shared" si="70"/>
        <v>11342-0000</v>
      </c>
      <c r="D1146" t="s">
        <v>18133</v>
      </c>
      <c r="E1146" t="s">
        <v>13355</v>
      </c>
      <c r="F1146" t="s">
        <v>14039</v>
      </c>
      <c r="G1146" t="s">
        <v>14672</v>
      </c>
      <c r="H1146" t="s">
        <v>13869</v>
      </c>
      <c r="I1146" t="s">
        <v>14690</v>
      </c>
      <c r="J1146" s="62">
        <v>0</v>
      </c>
      <c r="K1146" s="62">
        <v>0</v>
      </c>
      <c r="L1146" t="str">
        <f>VLOOKUP(VALUE(LEFT(C1146,5)),Xref!A:B,2,0)</f>
        <v>EAS</v>
      </c>
      <c r="M1146" t="str">
        <f t="shared" si="71"/>
        <v>DOL-EAS</v>
      </c>
    </row>
    <row r="1147" spans="1:13" ht="14.25" customHeight="true">
      <c r="A1147" s="33" t="str">
        <f t="shared" si="68"/>
        <v>DOL - Intercompany</v>
      </c>
      <c r="B1147" s="33" t="str">
        <f t="shared" si="69"/>
        <v>DOL</v>
      </c>
      <c r="C1147" s="33" t="str">
        <f t="shared" si="70"/>
        <v>11343-0000</v>
      </c>
      <c r="D1147" t="s">
        <v>18134</v>
      </c>
      <c r="E1147" t="s">
        <v>14139</v>
      </c>
      <c r="F1147" t="s">
        <v>14039</v>
      </c>
      <c r="G1147" t="s">
        <v>14672</v>
      </c>
      <c r="H1147" t="s">
        <v>13869</v>
      </c>
      <c r="I1147" t="s">
        <v>14690</v>
      </c>
      <c r="J1147" s="62">
        <v>0</v>
      </c>
      <c r="K1147" s="62">
        <v>0</v>
      </c>
      <c r="L1147" t="str">
        <f>VLOOKUP(VALUE(LEFT(C1147,5)),Xref!A:B,2,0)</f>
        <v>GRA</v>
      </c>
      <c r="M1147" t="str">
        <f t="shared" si="71"/>
        <v>DOL-GRA</v>
      </c>
    </row>
    <row r="1148" spans="1:13" ht="14.25" customHeight="true">
      <c r="A1148" s="33" t="str">
        <f t="shared" si="68"/>
        <v>DOL - Intercompany</v>
      </c>
      <c r="B1148" s="33" t="str">
        <f t="shared" si="69"/>
        <v>DOL</v>
      </c>
      <c r="C1148" s="33" t="str">
        <f t="shared" si="70"/>
        <v>11344-0000</v>
      </c>
      <c r="D1148" t="s">
        <v>18135</v>
      </c>
      <c r="E1148" t="s">
        <v>14141</v>
      </c>
      <c r="F1148" t="s">
        <v>14039</v>
      </c>
      <c r="G1148" t="s">
        <v>14672</v>
      </c>
      <c r="H1148" t="s">
        <v>13869</v>
      </c>
      <c r="I1148" t="s">
        <v>14690</v>
      </c>
      <c r="J1148" s="62">
        <v>0</v>
      </c>
      <c r="K1148" s="62">
        <v>0</v>
      </c>
      <c r="L1148" t="str">
        <f>VLOOKUP(VALUE(LEFT(C1148,5)),Xref!A:B,2,0)</f>
        <v>SOU</v>
      </c>
      <c r="M1148" t="str">
        <f t="shared" si="71"/>
        <v>DOL-SOU</v>
      </c>
    </row>
    <row r="1149" spans="1:13" ht="14.25" customHeight="true">
      <c r="A1149" s="33" t="str">
        <f t="shared" si="68"/>
        <v>DOL - Intercompany</v>
      </c>
      <c r="B1149" s="33" t="str">
        <f t="shared" si="69"/>
        <v>DOL</v>
      </c>
      <c r="C1149" s="33" t="str">
        <f t="shared" si="70"/>
        <v>11345-0000</v>
      </c>
      <c r="D1149" t="s">
        <v>18136</v>
      </c>
      <c r="E1149" t="s">
        <v>14143</v>
      </c>
      <c r="F1149" t="s">
        <v>14039</v>
      </c>
      <c r="G1149" t="s">
        <v>14672</v>
      </c>
      <c r="H1149" t="s">
        <v>13869</v>
      </c>
      <c r="I1149" t="s">
        <v>14690</v>
      </c>
      <c r="J1149" s="62">
        <v>0</v>
      </c>
      <c r="K1149" s="62">
        <v>0</v>
      </c>
      <c r="L1149" t="str">
        <f>VLOOKUP(VALUE(LEFT(C1149,5)),Xref!A:B,2,0)</f>
        <v>API</v>
      </c>
      <c r="M1149" t="str">
        <f t="shared" si="71"/>
        <v>API-DOL</v>
      </c>
    </row>
    <row r="1150" spans="1:13" ht="14.25" customHeight="true">
      <c r="A1150" s="33" t="str">
        <f t="shared" si="68"/>
        <v>DOL - Intercompany</v>
      </c>
      <c r="B1150" s="33" t="str">
        <f t="shared" si="69"/>
        <v>DOL</v>
      </c>
      <c r="C1150" s="33" t="str">
        <f t="shared" si="70"/>
        <v>11346-0000</v>
      </c>
      <c r="D1150" t="s">
        <v>18137</v>
      </c>
      <c r="E1150" t="s">
        <v>14145</v>
      </c>
      <c r="F1150" t="s">
        <v>14039</v>
      </c>
      <c r="G1150" t="s">
        <v>14672</v>
      </c>
      <c r="H1150" t="s">
        <v>13869</v>
      </c>
      <c r="I1150" t="s">
        <v>14690</v>
      </c>
      <c r="J1150" s="62">
        <v>0</v>
      </c>
      <c r="K1150" s="62">
        <v>0</v>
      </c>
      <c r="L1150" t="str">
        <f>VLOOKUP(VALUE(LEFT(C1150,5)),Xref!A:B,2,0)</f>
        <v>DPH</v>
      </c>
      <c r="M1150" t="str">
        <f t="shared" si="71"/>
        <v>DOL-DPH</v>
      </c>
    </row>
    <row r="1151" spans="1:13" ht="14.25" customHeight="true">
      <c r="A1151" s="33" t="str">
        <f t="shared" si="68"/>
        <v>DOL - Intercompany</v>
      </c>
      <c r="B1151" s="33" t="str">
        <f t="shared" si="69"/>
        <v>DOL</v>
      </c>
      <c r="C1151" s="33" t="str">
        <f t="shared" si="70"/>
        <v>11347-0000</v>
      </c>
      <c r="D1151" t="s">
        <v>18138</v>
      </c>
      <c r="E1151" t="s">
        <v>14147</v>
      </c>
      <c r="F1151" t="s">
        <v>14039</v>
      </c>
      <c r="G1151" t="s">
        <v>14672</v>
      </c>
      <c r="H1151" t="s">
        <v>13869</v>
      </c>
      <c r="I1151" t="s">
        <v>14690</v>
      </c>
      <c r="J1151" s="62">
        <v>0</v>
      </c>
      <c r="K1151" s="62">
        <v>0</v>
      </c>
      <c r="L1151" t="str">
        <f>VLOOKUP(VALUE(LEFT(C1151,5)),Xref!A:B,2,0)</f>
        <v>ZPI</v>
      </c>
      <c r="M1151" t="str">
        <f t="shared" si="71"/>
        <v>DOL-ZPI</v>
      </c>
    </row>
    <row r="1152" spans="1:13" ht="14.25" customHeight="true">
      <c r="A1152" s="33" t="str">
        <f t="shared" si="68"/>
        <v>DOL - Intercompany</v>
      </c>
      <c r="B1152" s="33" t="str">
        <f t="shared" si="69"/>
        <v>DOL</v>
      </c>
      <c r="C1152" s="33" t="str">
        <f t="shared" si="70"/>
        <v>11348-0000</v>
      </c>
      <c r="D1152" t="s">
        <v>18139</v>
      </c>
      <c r="E1152" t="s">
        <v>14149</v>
      </c>
      <c r="F1152" t="s">
        <v>14039</v>
      </c>
      <c r="G1152" t="s">
        <v>14672</v>
      </c>
      <c r="H1152" t="s">
        <v>13869</v>
      </c>
      <c r="I1152" t="s">
        <v>14690</v>
      </c>
      <c r="J1152" s="62">
        <v>0</v>
      </c>
      <c r="K1152" s="62">
        <v>0</v>
      </c>
      <c r="L1152" t="str">
        <f>VLOOKUP(VALUE(LEFT(C1152,5)),Xref!A:B,2,0)</f>
        <v>EAM</v>
      </c>
      <c r="M1152" t="str">
        <f t="shared" si="71"/>
        <v>DOL-EAM</v>
      </c>
    </row>
    <row r="1153" spans="1:13" ht="14.25" customHeight="true">
      <c r="A1153" s="33" t="str">
        <f t="shared" si="68"/>
        <v>DOL - Intercompany</v>
      </c>
      <c r="B1153" s="33" t="str">
        <f t="shared" si="69"/>
        <v>DOL</v>
      </c>
      <c r="C1153" s="33" t="str">
        <f t="shared" si="70"/>
        <v>11349-0000</v>
      </c>
      <c r="D1153" t="s">
        <v>18140</v>
      </c>
      <c r="E1153" t="s">
        <v>14151</v>
      </c>
      <c r="F1153" t="s">
        <v>14039</v>
      </c>
      <c r="G1153" t="s">
        <v>14672</v>
      </c>
      <c r="H1153" t="s">
        <v>13869</v>
      </c>
      <c r="I1153" t="s">
        <v>14690</v>
      </c>
      <c r="J1153" s="62">
        <v>0</v>
      </c>
      <c r="K1153" s="62">
        <v>0</v>
      </c>
      <c r="L1153" t="str">
        <f>VLOOKUP(VALUE(LEFT(C1153,5)),Xref!A:B,2,0)</f>
        <v>SEA</v>
      </c>
      <c r="M1153" t="str">
        <f t="shared" si="71"/>
        <v>DOL-SEA</v>
      </c>
    </row>
    <row r="1154" spans="1:13" ht="14.25" customHeight="true">
      <c r="A1154" s="33" t="str">
        <f t="shared" ref="A1154:A1217" si="72">B1154&amp;" - "&amp;TRIM(H1154)</f>
        <v>DOL - Intercompany</v>
      </c>
      <c r="B1154" s="33" t="str">
        <f t="shared" ref="B1154:B1217" si="73">LEFT(D1154,3)</f>
        <v>DOL</v>
      </c>
      <c r="C1154" s="33" t="str">
        <f t="shared" ref="C1154:C1217" si="74">RIGHT(D1154,10)</f>
        <v>11350-0000</v>
      </c>
      <c r="D1154" t="s">
        <v>18141</v>
      </c>
      <c r="E1154" t="s">
        <v>14153</v>
      </c>
      <c r="F1154" t="s">
        <v>14039</v>
      </c>
      <c r="G1154" t="s">
        <v>14672</v>
      </c>
      <c r="H1154" t="s">
        <v>13869</v>
      </c>
      <c r="I1154" t="s">
        <v>14690</v>
      </c>
      <c r="J1154" s="62">
        <v>0</v>
      </c>
      <c r="K1154" s="62">
        <v>-22.54</v>
      </c>
      <c r="L1154" t="str">
        <f>VLOOKUP(VALUE(LEFT(C1154,5)),Xref!A:B,2,0)</f>
        <v>EAL</v>
      </c>
      <c r="M1154" t="str">
        <f t="shared" ref="M1154:M1217" si="75">IF(B1154&lt;L1154,B1154&amp;"-"&amp;L1154,L1154&amp;"-"&amp;B1154)</f>
        <v>DOL-EAL</v>
      </c>
    </row>
    <row r="1155" spans="1:13" ht="14.25" customHeight="true">
      <c r="A1155" s="33" t="str">
        <f t="shared" si="72"/>
        <v>DOL - Intercompany</v>
      </c>
      <c r="B1155" s="33" t="str">
        <f t="shared" si="73"/>
        <v>DOL</v>
      </c>
      <c r="C1155" s="33" t="str">
        <f t="shared" si="74"/>
        <v>11351-0000</v>
      </c>
      <c r="D1155" t="s">
        <v>18142</v>
      </c>
      <c r="E1155" t="s">
        <v>14155</v>
      </c>
      <c r="F1155" t="s">
        <v>14039</v>
      </c>
      <c r="G1155" t="s">
        <v>14672</v>
      </c>
      <c r="H1155" t="s">
        <v>13869</v>
      </c>
      <c r="I1155" t="s">
        <v>14690</v>
      </c>
      <c r="J1155" s="62">
        <v>0</v>
      </c>
      <c r="K1155" s="62">
        <v>0</v>
      </c>
      <c r="L1155" t="str">
        <f>VLOOKUP(VALUE(LEFT(C1155,5)),Xref!A:B,2,0)</f>
        <v>WEP</v>
      </c>
      <c r="M1155" t="str">
        <f t="shared" si="75"/>
        <v>DOL-WEP</v>
      </c>
    </row>
    <row r="1156" spans="1:13" ht="14.25" customHeight="true">
      <c r="A1156" s="33" t="str">
        <f t="shared" si="72"/>
        <v>DOL - Intercompany</v>
      </c>
      <c r="B1156" s="33" t="str">
        <f t="shared" si="73"/>
        <v>DOL</v>
      </c>
      <c r="C1156" s="33" t="str">
        <f t="shared" si="74"/>
        <v>11352-0000</v>
      </c>
      <c r="D1156" t="s">
        <v>18143</v>
      </c>
      <c r="E1156" t="s">
        <v>13536</v>
      </c>
      <c r="F1156" t="s">
        <v>14039</v>
      </c>
      <c r="G1156" t="s">
        <v>14672</v>
      </c>
      <c r="H1156" t="s">
        <v>13869</v>
      </c>
      <c r="I1156" t="s">
        <v>14690</v>
      </c>
      <c r="J1156" s="62">
        <v>0</v>
      </c>
      <c r="K1156" s="62">
        <v>0</v>
      </c>
      <c r="L1156" t="str">
        <f>VLOOKUP(VALUE(LEFT(C1156,5)),Xref!A:B,2,0)</f>
        <v>KLP</v>
      </c>
      <c r="M1156" t="str">
        <f t="shared" si="75"/>
        <v>DOL-KLP</v>
      </c>
    </row>
    <row r="1157" spans="1:13" ht="14.25" customHeight="true">
      <c r="A1157" s="33" t="str">
        <f t="shared" si="72"/>
        <v>DOL - Intercompany</v>
      </c>
      <c r="B1157" s="33" t="str">
        <f t="shared" si="73"/>
        <v>DOL</v>
      </c>
      <c r="C1157" s="33" t="str">
        <f t="shared" si="74"/>
        <v>11353-0000</v>
      </c>
      <c r="D1157" t="s">
        <v>18144</v>
      </c>
      <c r="E1157" t="s">
        <v>13537</v>
      </c>
      <c r="F1157" t="s">
        <v>14039</v>
      </c>
      <c r="G1157" t="s">
        <v>14672</v>
      </c>
      <c r="H1157" t="s">
        <v>13869</v>
      </c>
      <c r="I1157" t="s">
        <v>14690</v>
      </c>
      <c r="J1157" s="62">
        <v>0</v>
      </c>
      <c r="K1157" s="62">
        <v>0</v>
      </c>
      <c r="L1157" t="str">
        <f>VLOOKUP(VALUE(LEFT(C1157,5)),Xref!A:B,2,0)</f>
        <v>AKC</v>
      </c>
      <c r="M1157" t="str">
        <f t="shared" si="75"/>
        <v>AKC-DOL</v>
      </c>
    </row>
    <row r="1158" spans="1:13" ht="14.25" customHeight="true">
      <c r="A1158" s="33" t="str">
        <f t="shared" si="72"/>
        <v>DOL - Intercompany</v>
      </c>
      <c r="B1158" s="33" t="str">
        <f t="shared" si="73"/>
        <v>DOL</v>
      </c>
      <c r="C1158" s="33" t="str">
        <f t="shared" si="74"/>
        <v>11354-0000</v>
      </c>
      <c r="D1158" t="s">
        <v>18145</v>
      </c>
      <c r="E1158" t="s">
        <v>13538</v>
      </c>
      <c r="F1158" t="s">
        <v>14039</v>
      </c>
      <c r="G1158" t="s">
        <v>14672</v>
      </c>
      <c r="H1158" t="s">
        <v>13869</v>
      </c>
      <c r="I1158" t="s">
        <v>14690</v>
      </c>
      <c r="J1158" s="62">
        <v>0</v>
      </c>
      <c r="K1158" s="62">
        <v>0</v>
      </c>
      <c r="L1158" t="str">
        <f>VLOOKUP(VALUE(LEFT(C1158,5)),Xref!A:B,2,0)</f>
        <v>AKA</v>
      </c>
      <c r="M1158" t="str">
        <f t="shared" si="75"/>
        <v>AKA-DOL</v>
      </c>
    </row>
    <row r="1159" spans="1:13" ht="14.25" customHeight="true">
      <c r="A1159" s="33" t="str">
        <f t="shared" si="72"/>
        <v>DOL - Intercompany</v>
      </c>
      <c r="B1159" s="33" t="str">
        <f t="shared" si="73"/>
        <v>DOL</v>
      </c>
      <c r="C1159" s="33" t="str">
        <f t="shared" si="74"/>
        <v>11355-0000</v>
      </c>
      <c r="D1159" t="s">
        <v>18146</v>
      </c>
      <c r="E1159" t="s">
        <v>13539</v>
      </c>
      <c r="F1159" t="s">
        <v>14039</v>
      </c>
      <c r="G1159" t="s">
        <v>14672</v>
      </c>
      <c r="H1159" t="s">
        <v>13869</v>
      </c>
      <c r="I1159" t="s">
        <v>14690</v>
      </c>
      <c r="J1159" s="62">
        <v>0</v>
      </c>
      <c r="K1159" s="62">
        <v>0</v>
      </c>
      <c r="L1159" t="str">
        <f>VLOOKUP(VALUE(LEFT(C1159,5)),Xref!A:B,2,0)</f>
        <v>SPA</v>
      </c>
      <c r="M1159" t="str">
        <f t="shared" si="75"/>
        <v>DOL-SPA</v>
      </c>
    </row>
    <row r="1160" spans="1:13" ht="14.25" customHeight="true">
      <c r="A1160" s="33" t="str">
        <f t="shared" si="72"/>
        <v>DOL - Intercompany</v>
      </c>
      <c r="B1160" s="33" t="str">
        <f t="shared" si="73"/>
        <v>DOL</v>
      </c>
      <c r="C1160" s="33" t="str">
        <f t="shared" si="74"/>
        <v>11356-0000</v>
      </c>
      <c r="D1160" t="s">
        <v>18147</v>
      </c>
      <c r="E1160" t="s">
        <v>13540</v>
      </c>
      <c r="F1160" t="s">
        <v>14039</v>
      </c>
      <c r="G1160" t="s">
        <v>14672</v>
      </c>
      <c r="H1160" t="s">
        <v>13869</v>
      </c>
      <c r="I1160" t="s">
        <v>14690</v>
      </c>
      <c r="J1160" s="62">
        <v>0</v>
      </c>
      <c r="K1160" s="62">
        <v>0</v>
      </c>
      <c r="L1160" t="str">
        <f>VLOOKUP(VALUE(LEFT(C1160,5)),Xref!A:B,2,0)</f>
        <v>DPM</v>
      </c>
      <c r="M1160" t="str">
        <f t="shared" si="75"/>
        <v>DOL-DPM</v>
      </c>
    </row>
    <row r="1161" spans="1:13" ht="14.25" customHeight="true">
      <c r="A1161" s="33" t="str">
        <f t="shared" si="72"/>
        <v>DOL - Intercompany</v>
      </c>
      <c r="B1161" s="33" t="str">
        <f t="shared" si="73"/>
        <v>DOL</v>
      </c>
      <c r="C1161" s="33" t="str">
        <f t="shared" si="74"/>
        <v>11357-0000</v>
      </c>
      <c r="D1161" t="s">
        <v>18148</v>
      </c>
      <c r="E1161" t="s">
        <v>13541</v>
      </c>
      <c r="F1161" t="s">
        <v>14039</v>
      </c>
      <c r="G1161" t="s">
        <v>14672</v>
      </c>
      <c r="H1161" t="s">
        <v>13869</v>
      </c>
      <c r="I1161" t="s">
        <v>14690</v>
      </c>
      <c r="J1161" s="62">
        <v>0</v>
      </c>
      <c r="K1161" s="62">
        <v>0</v>
      </c>
      <c r="L1161" t="str">
        <f>VLOOKUP(VALUE(LEFT(C1161,5)),Xref!A:B,2,0)</f>
        <v>HDM</v>
      </c>
      <c r="M1161" t="str">
        <f t="shared" si="75"/>
        <v>DOL-HDM</v>
      </c>
    </row>
    <row r="1162" spans="1:13" ht="14.25" customHeight="true">
      <c r="A1162" s="33" t="str">
        <f t="shared" si="72"/>
        <v>DOL - Intercompany</v>
      </c>
      <c r="B1162" s="33" t="str">
        <f t="shared" si="73"/>
        <v>DOL</v>
      </c>
      <c r="C1162" s="33" t="str">
        <f t="shared" si="74"/>
        <v>11358-0000</v>
      </c>
      <c r="D1162" t="s">
        <v>18149</v>
      </c>
      <c r="E1162" t="s">
        <v>13542</v>
      </c>
      <c r="F1162" t="s">
        <v>14039</v>
      </c>
      <c r="G1162" t="s">
        <v>14672</v>
      </c>
      <c r="H1162" t="s">
        <v>13869</v>
      </c>
      <c r="I1162" t="s">
        <v>14690</v>
      </c>
      <c r="J1162" s="62">
        <v>0</v>
      </c>
      <c r="K1162" s="62">
        <v>0</v>
      </c>
      <c r="L1162" t="str">
        <f>VLOOKUP(VALUE(LEFT(C1162,5)),Xref!A:B,2,0)</f>
        <v>GRA</v>
      </c>
      <c r="M1162" t="str">
        <f t="shared" si="75"/>
        <v>DOL-GRA</v>
      </c>
    </row>
    <row r="1163" spans="1:13" ht="14.25" customHeight="true">
      <c r="A1163" s="33" t="str">
        <f t="shared" si="72"/>
        <v>DOL - Intercompany</v>
      </c>
      <c r="B1163" s="33" t="str">
        <f t="shared" si="73"/>
        <v>DOL</v>
      </c>
      <c r="C1163" s="33" t="str">
        <f t="shared" si="74"/>
        <v>11359-0000</v>
      </c>
      <c r="D1163" t="s">
        <v>18150</v>
      </c>
      <c r="E1163" t="s">
        <v>13543</v>
      </c>
      <c r="F1163" t="s">
        <v>14039</v>
      </c>
      <c r="G1163" t="s">
        <v>14672</v>
      </c>
      <c r="H1163" t="s">
        <v>13869</v>
      </c>
      <c r="I1163" t="s">
        <v>14690</v>
      </c>
      <c r="J1163" s="62">
        <v>0</v>
      </c>
      <c r="K1163" s="62">
        <v>0</v>
      </c>
      <c r="L1163" t="str">
        <f>VLOOKUP(VALUE(LEFT(C1163,5)),Xref!A:B,2,0)</f>
        <v>TPI</v>
      </c>
      <c r="M1163" t="str">
        <f t="shared" si="75"/>
        <v>DOL-TPI</v>
      </c>
    </row>
    <row r="1164" spans="1:13" ht="14.25" customHeight="true">
      <c r="A1164" s="33" t="str">
        <f t="shared" si="72"/>
        <v>DOL - Intercompany</v>
      </c>
      <c r="B1164" s="33" t="str">
        <f t="shared" si="73"/>
        <v>DOL</v>
      </c>
      <c r="C1164" s="33" t="str">
        <f t="shared" si="74"/>
        <v>11361-0000</v>
      </c>
      <c r="D1164" t="s">
        <v>18151</v>
      </c>
      <c r="E1164" t="s">
        <v>14165</v>
      </c>
      <c r="F1164" t="s">
        <v>14039</v>
      </c>
      <c r="G1164" t="s">
        <v>14672</v>
      </c>
      <c r="H1164" t="s">
        <v>13869</v>
      </c>
      <c r="I1164" t="s">
        <v>14690</v>
      </c>
      <c r="J1164" s="62">
        <v>0</v>
      </c>
      <c r="K1164" s="62">
        <v>0</v>
      </c>
      <c r="L1164" t="str">
        <f>VLOOKUP(VALUE(LEFT(C1164,5)),Xref!A:B,2,0)</f>
        <v>GSM</v>
      </c>
      <c r="M1164" t="str">
        <f t="shared" si="75"/>
        <v>DOL-GSM</v>
      </c>
    </row>
    <row r="1165" spans="1:13" ht="14.25" customHeight="true">
      <c r="A1165" s="33" t="str">
        <f t="shared" si="72"/>
        <v>DOL - Intercompany</v>
      </c>
      <c r="B1165" s="33" t="str">
        <f t="shared" si="73"/>
        <v>DOL</v>
      </c>
      <c r="C1165" s="33" t="str">
        <f t="shared" si="74"/>
        <v>11363-0000</v>
      </c>
      <c r="D1165" t="s">
        <v>18152</v>
      </c>
      <c r="E1165" t="s">
        <v>13544</v>
      </c>
      <c r="F1165" t="s">
        <v>14039</v>
      </c>
      <c r="G1165" t="s">
        <v>14672</v>
      </c>
      <c r="H1165" t="s">
        <v>13869</v>
      </c>
      <c r="I1165" t="s">
        <v>14690</v>
      </c>
      <c r="J1165" s="62">
        <v>0</v>
      </c>
      <c r="K1165" s="62">
        <v>0</v>
      </c>
      <c r="L1165" t="str">
        <f>VLOOKUP(VALUE(LEFT(C1165,5)),Xref!A:B,2,0)</f>
        <v>SOF</v>
      </c>
      <c r="M1165" t="str">
        <f t="shared" si="75"/>
        <v>DOL-SOF</v>
      </c>
    </row>
    <row r="1166" spans="1:13" ht="14.25" customHeight="true">
      <c r="A1166" s="33" t="str">
        <f t="shared" si="72"/>
        <v>DOL - Intercompany</v>
      </c>
      <c r="B1166" s="33" t="str">
        <f t="shared" si="73"/>
        <v>DOL</v>
      </c>
      <c r="C1166" s="33" t="str">
        <f t="shared" si="74"/>
        <v>11364-0000</v>
      </c>
      <c r="D1166" t="s">
        <v>18153</v>
      </c>
      <c r="E1166" t="s">
        <v>14168</v>
      </c>
      <c r="F1166" t="s">
        <v>14039</v>
      </c>
      <c r="G1166" t="s">
        <v>14672</v>
      </c>
      <c r="H1166" t="s">
        <v>13869</v>
      </c>
      <c r="I1166" t="s">
        <v>14690</v>
      </c>
      <c r="J1166" s="62">
        <v>0</v>
      </c>
      <c r="K1166" s="62">
        <v>0</v>
      </c>
      <c r="L1166" t="e">
        <f>VLOOKUP(VALUE(LEFT(C1166,5)),Xref!A:B,2,0)</f>
        <v>#N/A</v>
      </c>
      <c r="M1166" t="e">
        <f t="shared" si="75"/>
        <v>#N/A</v>
      </c>
    </row>
    <row r="1167" spans="1:13" ht="14.25" customHeight="true">
      <c r="A1167" s="33" t="str">
        <f t="shared" si="72"/>
        <v>DOL - Intercompany</v>
      </c>
      <c r="B1167" s="33" t="str">
        <f t="shared" si="73"/>
        <v>DOL</v>
      </c>
      <c r="C1167" s="33" t="str">
        <f t="shared" si="74"/>
        <v>11365-0000</v>
      </c>
      <c r="D1167" t="s">
        <v>18154</v>
      </c>
      <c r="E1167" t="s">
        <v>14170</v>
      </c>
      <c r="F1167" t="s">
        <v>14039</v>
      </c>
      <c r="G1167" t="s">
        <v>14672</v>
      </c>
      <c r="H1167" t="s">
        <v>13869</v>
      </c>
      <c r="I1167" t="s">
        <v>14690</v>
      </c>
      <c r="J1167" s="62">
        <v>0</v>
      </c>
      <c r="K1167" s="62">
        <v>0</v>
      </c>
      <c r="L1167" t="e">
        <f>VLOOKUP(VALUE(LEFT(C1167,5)),Xref!A:B,2,0)</f>
        <v>#N/A</v>
      </c>
      <c r="M1167" t="e">
        <f t="shared" si="75"/>
        <v>#N/A</v>
      </c>
    </row>
    <row r="1168" spans="1:13" ht="14.25" customHeight="true">
      <c r="A1168" s="33" t="str">
        <f t="shared" si="72"/>
        <v>DOL - Intercompany</v>
      </c>
      <c r="B1168" s="33" t="str">
        <f t="shared" si="73"/>
        <v>DOL</v>
      </c>
      <c r="C1168" s="33" t="str">
        <f t="shared" si="74"/>
        <v>11366-0000</v>
      </c>
      <c r="D1168" t="s">
        <v>18155</v>
      </c>
      <c r="E1168" t="s">
        <v>14172</v>
      </c>
      <c r="G1168" t="s">
        <v>14672</v>
      </c>
      <c r="H1168" t="s">
        <v>13869</v>
      </c>
      <c r="I1168" t="s">
        <v>14690</v>
      </c>
      <c r="J1168" s="62">
        <v>0</v>
      </c>
      <c r="K1168" s="62">
        <v>0</v>
      </c>
      <c r="L1168" t="e">
        <f>VLOOKUP(VALUE(LEFT(C1168,5)),Xref!A:B,2,0)</f>
        <v>#N/A</v>
      </c>
      <c r="M1168" t="e">
        <f t="shared" si="75"/>
        <v>#N/A</v>
      </c>
    </row>
    <row r="1169" spans="1:13" ht="14.25" customHeight="true">
      <c r="A1169" s="33" t="str">
        <f t="shared" si="72"/>
        <v>DOL - Intercompany</v>
      </c>
      <c r="B1169" s="33" t="str">
        <f t="shared" si="73"/>
        <v>DOL</v>
      </c>
      <c r="C1169" s="33" t="str">
        <f t="shared" si="74"/>
        <v>11402-0000</v>
      </c>
      <c r="D1169" t="s">
        <v>18156</v>
      </c>
      <c r="E1169" t="s">
        <v>14174</v>
      </c>
      <c r="G1169" t="s">
        <v>14672</v>
      </c>
      <c r="H1169" t="s">
        <v>13869</v>
      </c>
      <c r="I1169" t="s">
        <v>14690</v>
      </c>
      <c r="J1169" s="62">
        <v>0</v>
      </c>
      <c r="K1169" s="62">
        <v>0</v>
      </c>
      <c r="L1169" t="str">
        <f>VLOOKUP(VALUE(LEFT(C1169,5)),Xref!A:B,2,0)</f>
        <v>DPI</v>
      </c>
      <c r="M1169" t="str">
        <f t="shared" si="75"/>
        <v>DOL-DPI</v>
      </c>
    </row>
    <row r="1170" spans="1:13" ht="14.25" customHeight="true">
      <c r="A1170" s="33" t="str">
        <f t="shared" si="72"/>
        <v>DOL - Intercompany</v>
      </c>
      <c r="B1170" s="33" t="str">
        <f t="shared" si="73"/>
        <v>DOL</v>
      </c>
      <c r="C1170" s="33" t="str">
        <f t="shared" si="74"/>
        <v>11403-0000</v>
      </c>
      <c r="D1170" t="s">
        <v>18157</v>
      </c>
      <c r="E1170" t="s">
        <v>14176</v>
      </c>
      <c r="G1170" t="s">
        <v>14672</v>
      </c>
      <c r="H1170" t="s">
        <v>13869</v>
      </c>
      <c r="I1170" t="s">
        <v>14690</v>
      </c>
      <c r="J1170" s="62">
        <v>0</v>
      </c>
      <c r="K1170" s="62">
        <v>0</v>
      </c>
      <c r="L1170" t="str">
        <f>VLOOKUP(VALUE(LEFT(C1170,5)),Xref!A:B,2,0)</f>
        <v>SEA</v>
      </c>
      <c r="M1170" t="str">
        <f t="shared" si="75"/>
        <v>DOL-SEA</v>
      </c>
    </row>
    <row r="1171" spans="1:13" ht="14.25" customHeight="true">
      <c r="A1171" s="33" t="str">
        <f t="shared" si="72"/>
        <v>DOL - Intercompany</v>
      </c>
      <c r="B1171" s="33" t="str">
        <f t="shared" si="73"/>
        <v>DOL</v>
      </c>
      <c r="C1171" s="33" t="str">
        <f t="shared" si="74"/>
        <v>12400-0000</v>
      </c>
      <c r="D1171" t="s">
        <v>18160</v>
      </c>
      <c r="E1171" t="s">
        <v>14185</v>
      </c>
      <c r="F1171" t="s">
        <v>14039</v>
      </c>
      <c r="G1171" t="s">
        <v>14672</v>
      </c>
      <c r="H1171" t="s">
        <v>13869</v>
      </c>
      <c r="I1171" t="s">
        <v>14690</v>
      </c>
      <c r="J1171" s="62">
        <v>0</v>
      </c>
      <c r="K1171" s="62">
        <v>0</v>
      </c>
      <c r="L1171" t="str">
        <f>VLOOKUP(VALUE(LEFT(C1171,5)),Xref!A:B,2,0)</f>
        <v>aka</v>
      </c>
      <c r="M1171" t="str">
        <f t="shared" si="75"/>
        <v>aka-DOL</v>
      </c>
    </row>
    <row r="1172" spans="1:13" ht="14.25" customHeight="true">
      <c r="A1172" s="33" t="str">
        <f t="shared" si="72"/>
        <v>DOL - Intercompany</v>
      </c>
      <c r="B1172" s="33" t="str">
        <f t="shared" si="73"/>
        <v>DOL</v>
      </c>
      <c r="C1172" s="33" t="str">
        <f t="shared" si="74"/>
        <v>12401-0000</v>
      </c>
      <c r="D1172" t="s">
        <v>18161</v>
      </c>
      <c r="E1172" t="s">
        <v>14187</v>
      </c>
      <c r="F1172" t="s">
        <v>14039</v>
      </c>
      <c r="G1172" t="s">
        <v>14672</v>
      </c>
      <c r="H1172" t="s">
        <v>13869</v>
      </c>
      <c r="I1172" t="s">
        <v>14690</v>
      </c>
      <c r="J1172" s="62">
        <v>0</v>
      </c>
      <c r="K1172" s="62">
        <v>0</v>
      </c>
      <c r="L1172" t="str">
        <f>VLOOKUP(VALUE(LEFT(C1172,5)),Xref!A:B,2,0)</f>
        <v>aka</v>
      </c>
      <c r="M1172" t="str">
        <f t="shared" si="75"/>
        <v>aka-DOL</v>
      </c>
    </row>
    <row r="1173" spans="1:13" ht="14.25" customHeight="true">
      <c r="A1173" s="33" t="str">
        <f t="shared" si="72"/>
        <v>DOL - Intercompany</v>
      </c>
      <c r="B1173" s="33" t="str">
        <f t="shared" si="73"/>
        <v>DOL</v>
      </c>
      <c r="C1173" s="33" t="str">
        <f t="shared" si="74"/>
        <v>12402-0000</v>
      </c>
      <c r="D1173" t="s">
        <v>18162</v>
      </c>
      <c r="E1173" t="s">
        <v>14189</v>
      </c>
      <c r="F1173" t="s">
        <v>14039</v>
      </c>
      <c r="G1173" t="s">
        <v>14672</v>
      </c>
      <c r="H1173" t="s">
        <v>13869</v>
      </c>
      <c r="I1173" t="s">
        <v>14690</v>
      </c>
      <c r="J1173" s="62">
        <v>0</v>
      </c>
      <c r="K1173" s="62">
        <v>0</v>
      </c>
      <c r="L1173" t="str">
        <f>VLOOKUP(VALUE(LEFT(C1173,5)),Xref!A:B,2,0)</f>
        <v>aka</v>
      </c>
      <c r="M1173" t="str">
        <f t="shared" si="75"/>
        <v>aka-DOL</v>
      </c>
    </row>
    <row r="1174" spans="1:13" ht="14.25" customHeight="true">
      <c r="A1174" s="33" t="str">
        <f t="shared" si="72"/>
        <v>DOL - Intercompany</v>
      </c>
      <c r="B1174" s="33" t="str">
        <f t="shared" si="73"/>
        <v>DOL</v>
      </c>
      <c r="C1174" s="33" t="str">
        <f t="shared" si="74"/>
        <v>12403-0000</v>
      </c>
      <c r="D1174" t="s">
        <v>18163</v>
      </c>
      <c r="E1174" t="s">
        <v>5226</v>
      </c>
      <c r="F1174" t="s">
        <v>14039</v>
      </c>
      <c r="G1174" t="s">
        <v>14672</v>
      </c>
      <c r="H1174" t="s">
        <v>13869</v>
      </c>
      <c r="I1174" t="s">
        <v>14690</v>
      </c>
      <c r="J1174" s="62">
        <v>0</v>
      </c>
      <c r="K1174" s="62">
        <v>0</v>
      </c>
      <c r="L1174" t="str">
        <f>VLOOKUP(VALUE(LEFT(C1174,5)),Xref!A:B,2,0)</f>
        <v>aka</v>
      </c>
      <c r="M1174" t="str">
        <f t="shared" si="75"/>
        <v>aka-DOL</v>
      </c>
    </row>
    <row r="1175" spans="1:13" ht="14.25" customHeight="true">
      <c r="A1175" s="33" t="str">
        <f t="shared" si="72"/>
        <v>DOL - Intercompany</v>
      </c>
      <c r="B1175" s="33" t="str">
        <f t="shared" si="73"/>
        <v>DOL</v>
      </c>
      <c r="C1175" s="33" t="str">
        <f t="shared" si="74"/>
        <v>12501-0000</v>
      </c>
      <c r="D1175" t="s">
        <v>18164</v>
      </c>
      <c r="E1175" t="s">
        <v>14192</v>
      </c>
      <c r="F1175" t="s">
        <v>14039</v>
      </c>
      <c r="G1175" t="s">
        <v>14672</v>
      </c>
      <c r="H1175" t="s">
        <v>13869</v>
      </c>
      <c r="I1175" t="s">
        <v>14690</v>
      </c>
      <c r="J1175" s="62">
        <v>0</v>
      </c>
      <c r="K1175" s="62">
        <v>0</v>
      </c>
      <c r="L1175" t="str">
        <f>VLOOKUP(VALUE(LEFT(C1175,5)),Xref!A:B,2,0)</f>
        <v>aka</v>
      </c>
      <c r="M1175" t="str">
        <f t="shared" si="75"/>
        <v>aka-DOL</v>
      </c>
    </row>
    <row r="1176" spans="1:13" ht="14.25" customHeight="true">
      <c r="A1176" s="33" t="str">
        <f t="shared" si="72"/>
        <v>DOL - InterCo Notes</v>
      </c>
      <c r="B1176" s="33" t="str">
        <f t="shared" si="73"/>
        <v>DOL</v>
      </c>
      <c r="C1176" s="33" t="str">
        <f t="shared" si="74"/>
        <v>25600-0000</v>
      </c>
      <c r="D1176" t="s">
        <v>18212</v>
      </c>
      <c r="E1176" t="s">
        <v>314</v>
      </c>
      <c r="F1176" t="s">
        <v>14039</v>
      </c>
      <c r="G1176" t="s">
        <v>14672</v>
      </c>
      <c r="H1176" t="s">
        <v>13889</v>
      </c>
      <c r="I1176" t="s">
        <v>14690</v>
      </c>
      <c r="J1176" s="62">
        <v>0</v>
      </c>
      <c r="K1176" s="62">
        <v>-1684000</v>
      </c>
      <c r="L1176" t="str">
        <f>VLOOKUP(VALUE(LEFT(C1176,5)),Xref!A:B,2,0)</f>
        <v>D7</v>
      </c>
      <c r="M1176" t="str">
        <f t="shared" si="75"/>
        <v>D7-DOL</v>
      </c>
    </row>
    <row r="1177" spans="1:13" ht="14.25" customHeight="true">
      <c r="A1177" s="33" t="str">
        <f t="shared" si="72"/>
        <v>DOL - InterCo Notes</v>
      </c>
      <c r="B1177" s="33" t="str">
        <f t="shared" si="73"/>
        <v>DOL</v>
      </c>
      <c r="C1177" s="33" t="str">
        <f t="shared" si="74"/>
        <v>25602-0000</v>
      </c>
      <c r="D1177" t="s">
        <v>18214</v>
      </c>
      <c r="E1177" t="s">
        <v>13426</v>
      </c>
      <c r="F1177" t="s">
        <v>14039</v>
      </c>
      <c r="G1177" t="s">
        <v>14672</v>
      </c>
      <c r="H1177" t="s">
        <v>13889</v>
      </c>
      <c r="I1177" t="s">
        <v>14690</v>
      </c>
      <c r="J1177" s="62">
        <v>0</v>
      </c>
      <c r="K1177" s="62">
        <v>0</v>
      </c>
      <c r="L1177" t="str">
        <f>VLOOKUP(VALUE(LEFT(C1177,5)),Xref!A:B,2,0)</f>
        <v>DFLP</v>
      </c>
      <c r="M1177" t="str">
        <f t="shared" si="75"/>
        <v>DFLP-DOL</v>
      </c>
    </row>
    <row r="1178" spans="1:13" ht="14.25" customHeight="true">
      <c r="A1178" s="33" t="str">
        <f t="shared" si="72"/>
        <v>DOL - InterCo Notes</v>
      </c>
      <c r="B1178" s="33" t="str">
        <f t="shared" si="73"/>
        <v>DOL</v>
      </c>
      <c r="C1178" s="33" t="str">
        <f t="shared" si="74"/>
        <v>25603-0000</v>
      </c>
      <c r="D1178" t="s">
        <v>18215</v>
      </c>
      <c r="E1178" t="s">
        <v>14311</v>
      </c>
      <c r="F1178" t="s">
        <v>14039</v>
      </c>
      <c r="G1178" t="s">
        <v>14832</v>
      </c>
      <c r="H1178" t="s">
        <v>13889</v>
      </c>
      <c r="I1178" t="s">
        <v>14690</v>
      </c>
      <c r="J1178" s="62">
        <v>0</v>
      </c>
      <c r="K1178" s="62">
        <v>0</v>
      </c>
      <c r="L1178" t="str">
        <f>VLOOKUP(VALUE(LEFT(C1178,5)),Xref!A:B,2,0)</f>
        <v>aka</v>
      </c>
      <c r="M1178" t="str">
        <f t="shared" si="75"/>
        <v>aka-DOL</v>
      </c>
    </row>
    <row r="1179" spans="1:13" ht="14.25" customHeight="true">
      <c r="A1179" s="33" t="str">
        <f t="shared" si="72"/>
        <v>DOL - Intercompany</v>
      </c>
      <c r="B1179" s="33" t="str">
        <f t="shared" si="73"/>
        <v>DOL</v>
      </c>
      <c r="C1179" s="33" t="str">
        <f t="shared" si="74"/>
        <v>25604-0000</v>
      </c>
      <c r="D1179" t="s">
        <v>18216</v>
      </c>
      <c r="E1179" t="s">
        <v>13490</v>
      </c>
      <c r="F1179" t="s">
        <v>14039</v>
      </c>
      <c r="G1179" t="s">
        <v>14672</v>
      </c>
      <c r="H1179" t="s">
        <v>13869</v>
      </c>
      <c r="I1179" t="s">
        <v>14690</v>
      </c>
      <c r="J1179" s="62">
        <v>0</v>
      </c>
      <c r="K1179" s="62">
        <v>0</v>
      </c>
      <c r="L1179">
        <f>VLOOKUP(VALUE(LEFT(C1179,5)),Xref!A:B,2,0)</f>
        <v>0</v>
      </c>
      <c r="M1179" t="str">
        <f t="shared" si="75"/>
        <v>0-DOL</v>
      </c>
    </row>
    <row r="1180" spans="1:13" ht="14.25" customHeight="true">
      <c r="A1180" s="33" t="str">
        <f t="shared" si="72"/>
        <v>DPI - Intercompany</v>
      </c>
      <c r="B1180" s="33" t="str">
        <f t="shared" si="73"/>
        <v>DPI</v>
      </c>
      <c r="C1180" s="33" t="str">
        <f t="shared" si="74"/>
        <v>11200-0000</v>
      </c>
      <c r="D1180" t="s">
        <v>18386</v>
      </c>
      <c r="E1180" t="s">
        <v>14069</v>
      </c>
      <c r="F1180" t="s">
        <v>14039</v>
      </c>
      <c r="G1180" t="s">
        <v>14672</v>
      </c>
      <c r="H1180" t="s">
        <v>13869</v>
      </c>
      <c r="I1180" t="s">
        <v>14690</v>
      </c>
      <c r="J1180" s="62">
        <v>0</v>
      </c>
      <c r="K1180" s="62">
        <v>0</v>
      </c>
      <c r="L1180" t="str">
        <f>VLOOKUP(VALUE(LEFT(C1180,5)),Xref!A:B,2,0)</f>
        <v>SCL</v>
      </c>
      <c r="M1180" t="str">
        <f t="shared" si="75"/>
        <v>DPI-SCL</v>
      </c>
    </row>
    <row r="1181" spans="1:13" ht="14.25" customHeight="true">
      <c r="A1181" s="33" t="str">
        <f t="shared" si="72"/>
        <v>DPI - Intercompany</v>
      </c>
      <c r="B1181" s="33" t="str">
        <f t="shared" si="73"/>
        <v>DPI</v>
      </c>
      <c r="C1181" s="33" t="str">
        <f t="shared" si="74"/>
        <v>11201-0000</v>
      </c>
      <c r="D1181" t="s">
        <v>18387</v>
      </c>
      <c r="E1181" t="s">
        <v>14071</v>
      </c>
      <c r="F1181" t="s">
        <v>14039</v>
      </c>
      <c r="G1181" t="s">
        <v>14672</v>
      </c>
      <c r="H1181" t="s">
        <v>13869</v>
      </c>
      <c r="I1181" t="s">
        <v>14690</v>
      </c>
      <c r="J1181" s="62">
        <v>0</v>
      </c>
      <c r="K1181" s="62">
        <v>0</v>
      </c>
      <c r="L1181" t="str">
        <f>VLOOKUP(VALUE(LEFT(C1181,5)),Xref!A:B,2,0)</f>
        <v>SG2</v>
      </c>
      <c r="M1181" t="str">
        <f t="shared" si="75"/>
        <v>DPI-SG2</v>
      </c>
    </row>
    <row r="1182" spans="1:13" ht="14.25" customHeight="true">
      <c r="A1182" s="33" t="str">
        <f t="shared" si="72"/>
        <v>DPI - Intercompany</v>
      </c>
      <c r="B1182" s="33" t="str">
        <f t="shared" si="73"/>
        <v>DPI</v>
      </c>
      <c r="C1182" s="33" t="str">
        <f t="shared" si="74"/>
        <v>11202-0000</v>
      </c>
      <c r="D1182" t="s">
        <v>18388</v>
      </c>
      <c r="E1182" t="s">
        <v>14073</v>
      </c>
      <c r="F1182" t="s">
        <v>14039</v>
      </c>
      <c r="G1182" t="s">
        <v>14672</v>
      </c>
      <c r="H1182" t="s">
        <v>13869</v>
      </c>
      <c r="I1182" t="s">
        <v>14690</v>
      </c>
      <c r="J1182" s="62">
        <v>0</v>
      </c>
      <c r="K1182" s="62">
        <v>0</v>
      </c>
      <c r="L1182" t="str">
        <f>VLOOKUP(VALUE(LEFT(C1182,5)),Xref!A:B,2,0)</f>
        <v>FFC</v>
      </c>
      <c r="M1182" t="str">
        <f t="shared" si="75"/>
        <v>DPI-FFC</v>
      </c>
    </row>
    <row r="1183" spans="1:13" ht="14.25" customHeight="true">
      <c r="A1183" s="33" t="str">
        <f t="shared" si="72"/>
        <v>DPI - Intercompany</v>
      </c>
      <c r="B1183" s="33" t="str">
        <f t="shared" si="73"/>
        <v>DPI</v>
      </c>
      <c r="C1183" s="33" t="str">
        <f t="shared" si="74"/>
        <v>11203-0000</v>
      </c>
      <c r="D1183" t="s">
        <v>18389</v>
      </c>
      <c r="E1183" t="s">
        <v>14075</v>
      </c>
      <c r="F1183" t="s">
        <v>14039</v>
      </c>
      <c r="G1183" t="s">
        <v>14672</v>
      </c>
      <c r="H1183" t="s">
        <v>13869</v>
      </c>
      <c r="I1183" t="s">
        <v>14690</v>
      </c>
      <c r="J1183" s="62">
        <v>0</v>
      </c>
      <c r="K1183" s="62">
        <v>0</v>
      </c>
      <c r="L1183" t="str">
        <f>VLOOKUP(VALUE(LEFT(C1183,5)),Xref!A:B,2,0)</f>
        <v>HN2</v>
      </c>
      <c r="M1183" t="str">
        <f t="shared" si="75"/>
        <v>DPI-HN2</v>
      </c>
    </row>
    <row r="1184" spans="1:13" ht="14.25" customHeight="true">
      <c r="A1184" s="33" t="str">
        <f t="shared" si="72"/>
        <v>DPI - Intercompany</v>
      </c>
      <c r="B1184" s="33" t="str">
        <f t="shared" si="73"/>
        <v>DPI</v>
      </c>
      <c r="C1184" s="33" t="str">
        <f t="shared" si="74"/>
        <v>11204-0000</v>
      </c>
      <c r="D1184" t="s">
        <v>18390</v>
      </c>
      <c r="E1184" t="s">
        <v>14077</v>
      </c>
      <c r="F1184" t="s">
        <v>14039</v>
      </c>
      <c r="G1184" t="s">
        <v>14672</v>
      </c>
      <c r="H1184" t="s">
        <v>13869</v>
      </c>
      <c r="I1184" t="s">
        <v>14690</v>
      </c>
      <c r="J1184" s="62">
        <v>0</v>
      </c>
      <c r="K1184" s="62">
        <v>0</v>
      </c>
      <c r="L1184" t="str">
        <f>VLOOKUP(VALUE(LEFT(C1184,5)),Xref!A:B,2,0)</f>
        <v>DF2</v>
      </c>
      <c r="M1184" t="str">
        <f t="shared" si="75"/>
        <v>DF2-DPI</v>
      </c>
    </row>
    <row r="1185" spans="1:13" ht="14.25" customHeight="true">
      <c r="A1185" s="33" t="str">
        <f t="shared" si="72"/>
        <v>DPI - Intercompany</v>
      </c>
      <c r="B1185" s="33" t="str">
        <f t="shared" si="73"/>
        <v>DPI</v>
      </c>
      <c r="C1185" s="33" t="str">
        <f t="shared" si="74"/>
        <v>11208-0000</v>
      </c>
      <c r="D1185" t="s">
        <v>18391</v>
      </c>
      <c r="E1185" t="s">
        <v>14079</v>
      </c>
      <c r="F1185" t="s">
        <v>14039</v>
      </c>
      <c r="G1185" t="s">
        <v>14672</v>
      </c>
      <c r="H1185" t="s">
        <v>13869</v>
      </c>
      <c r="I1185" t="s">
        <v>14690</v>
      </c>
      <c r="J1185" s="62">
        <v>0</v>
      </c>
      <c r="K1185" s="62">
        <v>0</v>
      </c>
      <c r="L1185" t="str">
        <f>VLOOKUP(VALUE(LEFT(C1185,5)),Xref!A:B,2,0)</f>
        <v>SRE</v>
      </c>
      <c r="M1185" t="str">
        <f t="shared" si="75"/>
        <v>DPI-SRE</v>
      </c>
    </row>
    <row r="1186" spans="1:13" ht="14.25" customHeight="true">
      <c r="A1186" s="33" t="str">
        <f t="shared" si="72"/>
        <v>DPI - Intercompany</v>
      </c>
      <c r="B1186" s="33" t="str">
        <f t="shared" si="73"/>
        <v>DPI</v>
      </c>
      <c r="C1186" s="33" t="str">
        <f t="shared" si="74"/>
        <v>11210-0000</v>
      </c>
      <c r="D1186" t="s">
        <v>18392</v>
      </c>
      <c r="E1186" t="s">
        <v>14081</v>
      </c>
      <c r="F1186" t="s">
        <v>14039</v>
      </c>
      <c r="G1186" t="s">
        <v>14672</v>
      </c>
      <c r="H1186" t="s">
        <v>13869</v>
      </c>
      <c r="I1186" t="s">
        <v>14690</v>
      </c>
      <c r="J1186" s="62">
        <v>0</v>
      </c>
      <c r="K1186" s="62">
        <v>0</v>
      </c>
      <c r="L1186" t="str">
        <f>VLOOKUP(VALUE(LEFT(C1186,5)),Xref!A:B,2,0)</f>
        <v>REM</v>
      </c>
      <c r="M1186" t="str">
        <f t="shared" si="75"/>
        <v>DPI-REM</v>
      </c>
    </row>
    <row r="1187" spans="1:13" ht="14.25" customHeight="true">
      <c r="A1187" s="33" t="str">
        <f t="shared" si="72"/>
        <v>DPI - Intercompany</v>
      </c>
      <c r="B1187" s="33" t="str">
        <f t="shared" si="73"/>
        <v>DPI</v>
      </c>
      <c r="C1187" s="33" t="str">
        <f t="shared" si="74"/>
        <v>11212-0000</v>
      </c>
      <c r="D1187" t="s">
        <v>18393</v>
      </c>
      <c r="E1187" t="s">
        <v>14083</v>
      </c>
      <c r="F1187" t="s">
        <v>14039</v>
      </c>
      <c r="G1187" t="s">
        <v>14672</v>
      </c>
      <c r="H1187" t="s">
        <v>13869</v>
      </c>
      <c r="I1187" t="s">
        <v>14690</v>
      </c>
      <c r="J1187" s="62">
        <v>0</v>
      </c>
      <c r="K1187" s="62">
        <v>0</v>
      </c>
      <c r="L1187" t="str">
        <f>VLOOKUP(VALUE(LEFT(C1187,5)),Xref!A:B,2,0)</f>
        <v>FRM</v>
      </c>
      <c r="M1187" t="str">
        <f t="shared" si="75"/>
        <v>DPI-FRM</v>
      </c>
    </row>
    <row r="1188" spans="1:13" ht="14.25" customHeight="true">
      <c r="A1188" s="33" t="str">
        <f t="shared" si="72"/>
        <v>DPI - Intercompany</v>
      </c>
      <c r="B1188" s="33" t="str">
        <f t="shared" si="73"/>
        <v>DPI</v>
      </c>
      <c r="C1188" s="33" t="str">
        <f t="shared" si="74"/>
        <v>11214-0000</v>
      </c>
      <c r="D1188" t="s">
        <v>18394</v>
      </c>
      <c r="E1188" t="s">
        <v>14085</v>
      </c>
      <c r="F1188" t="s">
        <v>14039</v>
      </c>
      <c r="G1188" t="s">
        <v>14672</v>
      </c>
      <c r="H1188" t="s">
        <v>13869</v>
      </c>
      <c r="I1188" t="s">
        <v>14690</v>
      </c>
      <c r="J1188" s="62">
        <v>0</v>
      </c>
      <c r="K1188" s="62">
        <v>0</v>
      </c>
      <c r="L1188" t="str">
        <f>VLOOKUP(VALUE(LEFT(C1188,5)),Xref!A:B,2,0)</f>
        <v>D7R</v>
      </c>
      <c r="M1188" t="str">
        <f t="shared" si="75"/>
        <v>D7R-DPI</v>
      </c>
    </row>
    <row r="1189" spans="1:13" ht="14.25" customHeight="true">
      <c r="A1189" s="33" t="str">
        <f t="shared" si="72"/>
        <v>DPI - Intercompany</v>
      </c>
      <c r="B1189" s="33" t="str">
        <f t="shared" si="73"/>
        <v>DPI</v>
      </c>
      <c r="C1189" s="33" t="str">
        <f t="shared" si="74"/>
        <v>11215-0000</v>
      </c>
      <c r="D1189" t="s">
        <v>18395</v>
      </c>
      <c r="E1189" t="s">
        <v>14087</v>
      </c>
      <c r="F1189" t="s">
        <v>14039</v>
      </c>
      <c r="G1189" t="s">
        <v>14672</v>
      </c>
      <c r="H1189" t="s">
        <v>13869</v>
      </c>
      <c r="I1189" t="s">
        <v>14690</v>
      </c>
      <c r="J1189" s="62">
        <v>0</v>
      </c>
      <c r="K1189" s="62">
        <v>0</v>
      </c>
      <c r="L1189" t="str">
        <f>VLOOKUP(VALUE(LEFT(C1189,5)),Xref!A:B,2,0)</f>
        <v>CDP</v>
      </c>
      <c r="M1189" t="str">
        <f t="shared" si="75"/>
        <v>CDP-DPI</v>
      </c>
    </row>
    <row r="1190" spans="1:13" ht="14.25" customHeight="true">
      <c r="A1190" s="33" t="str">
        <f t="shared" si="72"/>
        <v>DPI - Intercompany</v>
      </c>
      <c r="B1190" s="33" t="str">
        <f t="shared" si="73"/>
        <v>DPI</v>
      </c>
      <c r="C1190" s="33" t="str">
        <f t="shared" si="74"/>
        <v>11216-0000</v>
      </c>
      <c r="D1190" t="s">
        <v>949</v>
      </c>
      <c r="E1190" t="s">
        <v>13224</v>
      </c>
      <c r="F1190" t="s">
        <v>14039</v>
      </c>
      <c r="G1190" t="s">
        <v>14672</v>
      </c>
      <c r="H1190" t="s">
        <v>13869</v>
      </c>
      <c r="I1190" t="s">
        <v>14690</v>
      </c>
      <c r="J1190" s="62">
        <v>-1730.93</v>
      </c>
      <c r="K1190" s="62">
        <v>-18979.24</v>
      </c>
      <c r="L1190" t="str">
        <f>VLOOKUP(VALUE(LEFT(C1190,5)),Xref!A:B,2,0)</f>
        <v>SIL</v>
      </c>
      <c r="M1190" t="str">
        <f t="shared" si="75"/>
        <v>DPI-SIL</v>
      </c>
    </row>
    <row r="1191" spans="1:13" ht="14.25" customHeight="true">
      <c r="A1191" s="33" t="str">
        <f t="shared" si="72"/>
        <v>DPI - Intercompany</v>
      </c>
      <c r="B1191" s="33" t="str">
        <f t="shared" si="73"/>
        <v>DPI</v>
      </c>
      <c r="C1191" s="33" t="str">
        <f t="shared" si="74"/>
        <v>11232-0000</v>
      </c>
      <c r="D1191" t="s">
        <v>18396</v>
      </c>
      <c r="E1191" t="s">
        <v>12486</v>
      </c>
      <c r="F1191" t="s">
        <v>14039</v>
      </c>
      <c r="G1191" t="s">
        <v>14672</v>
      </c>
      <c r="H1191" t="s">
        <v>13869</v>
      </c>
      <c r="I1191" t="s">
        <v>14690</v>
      </c>
      <c r="J1191" s="62">
        <v>0</v>
      </c>
      <c r="K1191" s="62">
        <v>0</v>
      </c>
      <c r="L1191" t="str">
        <f>VLOOKUP(VALUE(LEFT(C1191,5)),Xref!A:B,2,0)</f>
        <v>SC2</v>
      </c>
      <c r="M1191" t="str">
        <f t="shared" si="75"/>
        <v>DPI-SC2</v>
      </c>
    </row>
    <row r="1192" spans="1:13" ht="14.25" customHeight="true">
      <c r="A1192" s="33" t="str">
        <f t="shared" si="72"/>
        <v>DPI - Intercompany</v>
      </c>
      <c r="B1192" s="33" t="str">
        <f t="shared" si="73"/>
        <v>DPI</v>
      </c>
      <c r="C1192" s="33" t="str">
        <f t="shared" si="74"/>
        <v>11301-0000</v>
      </c>
      <c r="D1192" t="s">
        <v>18397</v>
      </c>
      <c r="E1192" t="s">
        <v>13225</v>
      </c>
      <c r="F1192" t="s">
        <v>14039</v>
      </c>
      <c r="G1192" t="s">
        <v>14672</v>
      </c>
      <c r="H1192" t="s">
        <v>13869</v>
      </c>
      <c r="I1192" t="s">
        <v>14690</v>
      </c>
      <c r="J1192" s="62">
        <v>0</v>
      </c>
      <c r="K1192" s="62">
        <v>0</v>
      </c>
      <c r="L1192" t="str">
        <f>VLOOKUP(VALUE(LEFT(C1192,5)),Xref!A:B,2,0)</f>
        <v>CRE</v>
      </c>
      <c r="M1192" t="str">
        <f t="shared" si="75"/>
        <v>CRE-DPI</v>
      </c>
    </row>
    <row r="1193" spans="1:13" ht="14.25" customHeight="true">
      <c r="A1193" s="33" t="str">
        <f t="shared" si="72"/>
        <v>DPI - Intercompany</v>
      </c>
      <c r="B1193" s="33" t="str">
        <f t="shared" si="73"/>
        <v>DPI</v>
      </c>
      <c r="C1193" s="33" t="str">
        <f t="shared" si="74"/>
        <v>11302-0000</v>
      </c>
      <c r="D1193" t="s">
        <v>18398</v>
      </c>
      <c r="E1193" t="s">
        <v>13226</v>
      </c>
      <c r="F1193" t="s">
        <v>14039</v>
      </c>
      <c r="G1193" t="s">
        <v>14672</v>
      </c>
      <c r="H1193" t="s">
        <v>13869</v>
      </c>
      <c r="I1193" t="s">
        <v>14690</v>
      </c>
      <c r="J1193" s="62">
        <v>0</v>
      </c>
      <c r="K1193" s="62">
        <v>0</v>
      </c>
      <c r="L1193" t="str">
        <f>VLOOKUP(VALUE(LEFT(C1193,5)),Xref!A:B,2,0)</f>
        <v>CHA</v>
      </c>
      <c r="M1193" t="str">
        <f t="shared" si="75"/>
        <v>CHA-DPI</v>
      </c>
    </row>
    <row r="1194" spans="1:13" ht="14.25" customHeight="true">
      <c r="A1194" s="33" t="str">
        <f t="shared" si="72"/>
        <v>DPI - Intercompany</v>
      </c>
      <c r="B1194" s="33" t="str">
        <f t="shared" si="73"/>
        <v>DPI</v>
      </c>
      <c r="C1194" s="33" t="str">
        <f t="shared" si="74"/>
        <v>11303-0000</v>
      </c>
      <c r="D1194" t="s">
        <v>950</v>
      </c>
      <c r="E1194" t="s">
        <v>13227</v>
      </c>
      <c r="F1194" t="s">
        <v>14039</v>
      </c>
      <c r="G1194" t="s">
        <v>14672</v>
      </c>
      <c r="H1194" t="s">
        <v>13869</v>
      </c>
      <c r="I1194" t="s">
        <v>14690</v>
      </c>
      <c r="J1194" s="62">
        <v>0</v>
      </c>
      <c r="K1194" s="62">
        <v>10000</v>
      </c>
      <c r="L1194" t="str">
        <f>VLOOKUP(VALUE(LEFT(C1194,5)),Xref!A:B,2,0)</f>
        <v>DIA</v>
      </c>
      <c r="M1194" t="str">
        <f t="shared" si="75"/>
        <v>DIA-DPI</v>
      </c>
    </row>
    <row r="1195" spans="1:13" ht="14.25" customHeight="true">
      <c r="A1195" s="33" t="str">
        <f t="shared" si="72"/>
        <v>DPI - Intercompany</v>
      </c>
      <c r="B1195" s="33" t="str">
        <f t="shared" si="73"/>
        <v>DPI</v>
      </c>
      <c r="C1195" s="33" t="str">
        <f t="shared" si="74"/>
        <v>11304-0000</v>
      </c>
      <c r="D1195" t="s">
        <v>18399</v>
      </c>
      <c r="E1195" t="s">
        <v>13228</v>
      </c>
      <c r="F1195" t="s">
        <v>14039</v>
      </c>
      <c r="G1195" t="s">
        <v>14672</v>
      </c>
      <c r="H1195" t="s">
        <v>13869</v>
      </c>
      <c r="I1195" t="s">
        <v>14690</v>
      </c>
      <c r="J1195" s="62">
        <v>0</v>
      </c>
      <c r="K1195" s="62">
        <v>0</v>
      </c>
      <c r="L1195" t="str">
        <f>VLOOKUP(VALUE(LEFT(C1195,5)),Xref!A:B,2,0)</f>
        <v>EAG</v>
      </c>
      <c r="M1195" t="str">
        <f t="shared" si="75"/>
        <v>DPI-EAG</v>
      </c>
    </row>
    <row r="1196" spans="1:13" ht="14.25" customHeight="true">
      <c r="A1196" s="33" t="str">
        <f t="shared" si="72"/>
        <v>DPI - Intercompany</v>
      </c>
      <c r="B1196" s="33" t="str">
        <f t="shared" si="73"/>
        <v>DPI</v>
      </c>
      <c r="C1196" s="33" t="str">
        <f t="shared" si="74"/>
        <v>11305-0000</v>
      </c>
      <c r="D1196" t="s">
        <v>951</v>
      </c>
      <c r="E1196" t="s">
        <v>13229</v>
      </c>
      <c r="F1196" t="s">
        <v>14039</v>
      </c>
      <c r="G1196" t="s">
        <v>14672</v>
      </c>
      <c r="H1196" t="s">
        <v>13869</v>
      </c>
      <c r="I1196" t="s">
        <v>14690</v>
      </c>
      <c r="J1196" s="62">
        <v>0</v>
      </c>
      <c r="K1196" s="62">
        <v>-20000</v>
      </c>
      <c r="L1196" t="str">
        <f>VLOOKUP(VALUE(LEFT(C1196,5)),Xref!A:B,2,0)</f>
        <v>NEW</v>
      </c>
      <c r="M1196" t="str">
        <f t="shared" si="75"/>
        <v>DPI-NEW</v>
      </c>
    </row>
    <row r="1197" spans="1:13" ht="14.25" customHeight="true">
      <c r="A1197" s="33" t="str">
        <f t="shared" si="72"/>
        <v>DPI - Intercompany</v>
      </c>
      <c r="B1197" s="33" t="str">
        <f t="shared" si="73"/>
        <v>DPI</v>
      </c>
      <c r="C1197" s="33" t="str">
        <f t="shared" si="74"/>
        <v>11307-0000</v>
      </c>
      <c r="D1197" t="s">
        <v>18400</v>
      </c>
      <c r="E1197" t="s">
        <v>14096</v>
      </c>
      <c r="F1197" t="s">
        <v>14039</v>
      </c>
      <c r="G1197" t="s">
        <v>14672</v>
      </c>
      <c r="H1197" t="s">
        <v>13869</v>
      </c>
      <c r="I1197" t="s">
        <v>14690</v>
      </c>
      <c r="J1197" s="62">
        <v>0</v>
      </c>
      <c r="K1197" s="62">
        <v>0</v>
      </c>
      <c r="L1197" t="str">
        <f>VLOOKUP(VALUE(LEFT(C1197,5)),Xref!A:B,2,0)</f>
        <v>NES</v>
      </c>
      <c r="M1197" t="str">
        <f t="shared" si="75"/>
        <v>DPI-NES</v>
      </c>
    </row>
    <row r="1198" spans="1:13" ht="14.25" customHeight="true">
      <c r="A1198" s="33" t="str">
        <f t="shared" si="72"/>
        <v>DPI - Intercompany</v>
      </c>
      <c r="B1198" s="33" t="str">
        <f t="shared" si="73"/>
        <v>DPI</v>
      </c>
      <c r="C1198" s="33" t="str">
        <f t="shared" si="74"/>
        <v>11308-0000</v>
      </c>
      <c r="D1198" t="s">
        <v>18401</v>
      </c>
      <c r="E1198" t="s">
        <v>13476</v>
      </c>
      <c r="F1198" t="s">
        <v>14039</v>
      </c>
      <c r="G1198" t="s">
        <v>14672</v>
      </c>
      <c r="H1198" t="s">
        <v>13869</v>
      </c>
      <c r="I1198" t="s">
        <v>14690</v>
      </c>
      <c r="J1198" s="62">
        <v>0</v>
      </c>
      <c r="K1198" s="62">
        <v>0</v>
      </c>
      <c r="L1198" t="str">
        <f>VLOOKUP(VALUE(LEFT(C1198,5)),Xref!A:B,2,0)</f>
        <v>LPI</v>
      </c>
      <c r="M1198" t="str">
        <f t="shared" si="75"/>
        <v>DPI-LPI</v>
      </c>
    </row>
    <row r="1199" spans="1:13" ht="14.25" customHeight="true">
      <c r="A1199" s="33" t="str">
        <f t="shared" si="72"/>
        <v>DPI - Intercompany</v>
      </c>
      <c r="B1199" s="33" t="str">
        <f t="shared" si="73"/>
        <v>DPI</v>
      </c>
      <c r="C1199" s="33" t="str">
        <f t="shared" si="74"/>
        <v>11309-0000</v>
      </c>
      <c r="D1199" t="s">
        <v>18402</v>
      </c>
      <c r="E1199" t="s">
        <v>13230</v>
      </c>
      <c r="F1199" t="s">
        <v>14039</v>
      </c>
      <c r="G1199" t="s">
        <v>14672</v>
      </c>
      <c r="H1199" t="s">
        <v>13869</v>
      </c>
      <c r="I1199" t="s">
        <v>14690</v>
      </c>
      <c r="J1199" s="62">
        <v>0</v>
      </c>
      <c r="K1199" s="62">
        <v>0</v>
      </c>
      <c r="L1199" t="str">
        <f>VLOOKUP(VALUE(LEFT(C1199,5)),Xref!A:B,2,0)</f>
        <v>GPI</v>
      </c>
      <c r="M1199" t="str">
        <f t="shared" si="75"/>
        <v>DPI-GPI</v>
      </c>
    </row>
    <row r="1200" spans="1:13" ht="14.25" customHeight="true">
      <c r="A1200" s="33" t="str">
        <f t="shared" si="72"/>
        <v>DPI - Intercompany</v>
      </c>
      <c r="B1200" s="33" t="str">
        <f t="shared" si="73"/>
        <v>DPI</v>
      </c>
      <c r="C1200" s="33" t="str">
        <f t="shared" si="74"/>
        <v>11310-0000</v>
      </c>
      <c r="D1200" t="s">
        <v>952</v>
      </c>
      <c r="E1200" t="s">
        <v>13231</v>
      </c>
      <c r="F1200" t="s">
        <v>14039</v>
      </c>
      <c r="G1200" t="s">
        <v>14672</v>
      </c>
      <c r="H1200" t="s">
        <v>13869</v>
      </c>
      <c r="I1200" t="s">
        <v>14690</v>
      </c>
      <c r="J1200" s="62">
        <v>0</v>
      </c>
      <c r="K1200" s="62">
        <v>-10000</v>
      </c>
      <c r="L1200" t="str">
        <f>VLOOKUP(VALUE(LEFT(C1200,5)),Xref!A:B,2,0)</f>
        <v>ALP</v>
      </c>
      <c r="M1200" t="str">
        <f t="shared" si="75"/>
        <v>ALP-DPI</v>
      </c>
    </row>
    <row r="1201" spans="1:13" ht="14.25" customHeight="true">
      <c r="A1201" s="33" t="str">
        <f t="shared" si="72"/>
        <v>DPI - Intercompany</v>
      </c>
      <c r="B1201" s="33" t="str">
        <f t="shared" si="73"/>
        <v>DPI</v>
      </c>
      <c r="C1201" s="33" t="str">
        <f t="shared" si="74"/>
        <v>11311-0000</v>
      </c>
      <c r="D1201" t="s">
        <v>18403</v>
      </c>
      <c r="E1201" t="s">
        <v>13232</v>
      </c>
      <c r="F1201" t="s">
        <v>14039</v>
      </c>
      <c r="G1201" t="s">
        <v>14672</v>
      </c>
      <c r="H1201" t="s">
        <v>13869</v>
      </c>
      <c r="I1201" t="s">
        <v>14690</v>
      </c>
      <c r="J1201" s="62">
        <v>0</v>
      </c>
      <c r="K1201" s="62">
        <v>0</v>
      </c>
      <c r="L1201" t="str">
        <f>VLOOKUP(VALUE(LEFT(C1201,5)),Xref!A:B,2,0)</f>
        <v>BET</v>
      </c>
      <c r="M1201" t="str">
        <f t="shared" si="75"/>
        <v>BET-DPI</v>
      </c>
    </row>
    <row r="1202" spans="1:13" ht="14.25" customHeight="true">
      <c r="A1202" s="33" t="str">
        <f t="shared" si="72"/>
        <v>DPI - Intercompany</v>
      </c>
      <c r="B1202" s="33" t="str">
        <f t="shared" si="73"/>
        <v>DPI</v>
      </c>
      <c r="C1202" s="33" t="str">
        <f t="shared" si="74"/>
        <v>11312-0000</v>
      </c>
      <c r="D1202" t="s">
        <v>18404</v>
      </c>
      <c r="E1202" t="s">
        <v>14102</v>
      </c>
      <c r="F1202" t="s">
        <v>14039</v>
      </c>
      <c r="G1202" t="s">
        <v>14672</v>
      </c>
      <c r="H1202" t="s">
        <v>13869</v>
      </c>
      <c r="I1202" t="s">
        <v>14690</v>
      </c>
      <c r="J1202" s="62">
        <v>0</v>
      </c>
      <c r="K1202" s="62">
        <v>0</v>
      </c>
      <c r="L1202" t="str">
        <f>VLOOKUP(VALUE(LEFT(C1202,5)),Xref!A:B,2,0)</f>
        <v>DEL</v>
      </c>
      <c r="M1202" t="str">
        <f t="shared" si="75"/>
        <v>DEL-DPI</v>
      </c>
    </row>
    <row r="1203" spans="1:13" ht="14.25" customHeight="true">
      <c r="A1203" s="33" t="str">
        <f t="shared" si="72"/>
        <v>DPI - Intercompany</v>
      </c>
      <c r="B1203" s="33" t="str">
        <f t="shared" si="73"/>
        <v>DPI</v>
      </c>
      <c r="C1203" s="33" t="str">
        <f t="shared" si="74"/>
        <v>11313-0000</v>
      </c>
      <c r="D1203" t="s">
        <v>953</v>
      </c>
      <c r="E1203" t="s">
        <v>13233</v>
      </c>
      <c r="F1203" t="s">
        <v>14039</v>
      </c>
      <c r="G1203" t="s">
        <v>14672</v>
      </c>
      <c r="H1203" t="s">
        <v>13869</v>
      </c>
      <c r="I1203" t="s">
        <v>14690</v>
      </c>
      <c r="J1203" s="62">
        <v>0</v>
      </c>
      <c r="K1203" s="62">
        <v>-10000</v>
      </c>
      <c r="L1203" t="str">
        <f>VLOOKUP(VALUE(LEFT(C1203,5)),Xref!A:B,2,0)</f>
        <v>DOL</v>
      </c>
      <c r="M1203" t="str">
        <f t="shared" si="75"/>
        <v>DOL-DPI</v>
      </c>
    </row>
    <row r="1204" spans="1:13" ht="14.25" customHeight="true">
      <c r="A1204" s="33" t="str">
        <f t="shared" si="72"/>
        <v>DPI - Intercompany</v>
      </c>
      <c r="B1204" s="33" t="str">
        <f t="shared" si="73"/>
        <v>DPI</v>
      </c>
      <c r="C1204" s="33" t="str">
        <f t="shared" si="74"/>
        <v>11314-0000</v>
      </c>
      <c r="D1204" t="s">
        <v>18405</v>
      </c>
      <c r="E1204" t="s">
        <v>13351</v>
      </c>
      <c r="F1204" t="s">
        <v>14039</v>
      </c>
      <c r="G1204" t="s">
        <v>14672</v>
      </c>
      <c r="H1204" t="s">
        <v>13869</v>
      </c>
      <c r="I1204" t="s">
        <v>14690</v>
      </c>
      <c r="J1204" s="62">
        <v>0</v>
      </c>
      <c r="K1204" s="62">
        <v>0</v>
      </c>
      <c r="L1204" t="str">
        <f>VLOOKUP(VALUE(LEFT(C1204,5)),Xref!A:B,2,0)</f>
        <v>GRI</v>
      </c>
      <c r="M1204" t="str">
        <f t="shared" si="75"/>
        <v>DPI-GRI</v>
      </c>
    </row>
    <row r="1205" spans="1:13" ht="14.25" customHeight="true">
      <c r="A1205" s="33" t="str">
        <f t="shared" si="72"/>
        <v>DPI - Intercompany</v>
      </c>
      <c r="B1205" s="33" t="str">
        <f t="shared" si="73"/>
        <v>DPI</v>
      </c>
      <c r="C1205" s="33" t="str">
        <f t="shared" si="74"/>
        <v>11315-0000</v>
      </c>
      <c r="D1205" t="s">
        <v>18406</v>
      </c>
      <c r="E1205" t="s">
        <v>13234</v>
      </c>
      <c r="F1205" t="s">
        <v>14039</v>
      </c>
      <c r="G1205" t="s">
        <v>14672</v>
      </c>
      <c r="H1205" t="s">
        <v>13869</v>
      </c>
      <c r="I1205" t="s">
        <v>14690</v>
      </c>
      <c r="J1205" s="62">
        <v>0</v>
      </c>
      <c r="K1205" s="62">
        <v>0</v>
      </c>
      <c r="L1205" t="str">
        <f>VLOOKUP(VALUE(LEFT(C1205,5)),Xref!A:B,2,0)</f>
        <v>PUR</v>
      </c>
      <c r="M1205" t="str">
        <f t="shared" si="75"/>
        <v>DPI-PUR</v>
      </c>
    </row>
    <row r="1206" spans="1:13" ht="14.25" customHeight="true">
      <c r="A1206" s="33" t="str">
        <f t="shared" si="72"/>
        <v>DPI - Intercompany</v>
      </c>
      <c r="B1206" s="33" t="str">
        <f t="shared" si="73"/>
        <v>DPI</v>
      </c>
      <c r="C1206" s="33" t="str">
        <f t="shared" si="74"/>
        <v>11316-0000</v>
      </c>
      <c r="D1206" t="s">
        <v>18407</v>
      </c>
      <c r="E1206" t="s">
        <v>13235</v>
      </c>
      <c r="F1206" t="s">
        <v>14039</v>
      </c>
      <c r="G1206" t="s">
        <v>14672</v>
      </c>
      <c r="H1206" t="s">
        <v>13869</v>
      </c>
      <c r="I1206" t="s">
        <v>14690</v>
      </c>
      <c r="J1206" s="62">
        <v>0</v>
      </c>
      <c r="K1206" s="62">
        <v>0</v>
      </c>
      <c r="L1206" t="str">
        <f>VLOOKUP(VALUE(LEFT(C1206,5)),Xref!A:B,2,0)</f>
        <v>VAL</v>
      </c>
      <c r="M1206" t="str">
        <f t="shared" si="75"/>
        <v>DPI-VAL</v>
      </c>
    </row>
    <row r="1207" spans="1:13" ht="14.25" customHeight="true">
      <c r="A1207" s="33" t="str">
        <f t="shared" si="72"/>
        <v>DPI - Intercompany</v>
      </c>
      <c r="B1207" s="33" t="str">
        <f t="shared" si="73"/>
        <v>DPI</v>
      </c>
      <c r="C1207" s="33" t="str">
        <f t="shared" si="74"/>
        <v>11317-0000</v>
      </c>
      <c r="D1207" t="s">
        <v>954</v>
      </c>
      <c r="E1207" t="s">
        <v>13352</v>
      </c>
      <c r="F1207" t="s">
        <v>14039</v>
      </c>
      <c r="G1207" t="s">
        <v>14672</v>
      </c>
      <c r="H1207" t="s">
        <v>13869</v>
      </c>
      <c r="I1207" t="s">
        <v>14690</v>
      </c>
      <c r="J1207" s="62">
        <v>0</v>
      </c>
      <c r="K1207" s="62">
        <v>-20000</v>
      </c>
      <c r="L1207" t="str">
        <f>VLOOKUP(VALUE(LEFT(C1207,5)),Xref!A:B,2,0)</f>
        <v>AKG</v>
      </c>
      <c r="M1207" t="str">
        <f t="shared" si="75"/>
        <v>AKG-DPI</v>
      </c>
    </row>
    <row r="1208" spans="1:13" ht="14.25" customHeight="true">
      <c r="A1208" s="33" t="str">
        <f t="shared" si="72"/>
        <v>DPI - Intercompany</v>
      </c>
      <c r="B1208" s="33" t="str">
        <f t="shared" si="73"/>
        <v>DPI</v>
      </c>
      <c r="C1208" s="33" t="str">
        <f t="shared" si="74"/>
        <v>11318-0000</v>
      </c>
      <c r="D1208" t="s">
        <v>18408</v>
      </c>
      <c r="E1208" t="s">
        <v>13477</v>
      </c>
      <c r="F1208" t="s">
        <v>14039</v>
      </c>
      <c r="G1208" t="s">
        <v>14672</v>
      </c>
      <c r="H1208" t="s">
        <v>13869</v>
      </c>
      <c r="I1208" t="s">
        <v>14690</v>
      </c>
      <c r="J1208" s="62">
        <v>0</v>
      </c>
      <c r="K1208" s="62">
        <v>0</v>
      </c>
      <c r="L1208" t="str">
        <f>VLOOKUP(VALUE(LEFT(C1208,5)),Xref!A:B,2,0)</f>
        <v>FIR</v>
      </c>
      <c r="M1208" t="str">
        <f t="shared" si="75"/>
        <v>DPI-FIR</v>
      </c>
    </row>
    <row r="1209" spans="1:13" ht="14.25" customHeight="true">
      <c r="A1209" s="33" t="str">
        <f t="shared" si="72"/>
        <v>DPI - Intercompany</v>
      </c>
      <c r="B1209" s="33" t="str">
        <f t="shared" si="73"/>
        <v>DPI</v>
      </c>
      <c r="C1209" s="33" t="str">
        <f t="shared" si="74"/>
        <v>11319-0000</v>
      </c>
      <c r="D1209" t="s">
        <v>18409</v>
      </c>
      <c r="E1209" t="s">
        <v>266</v>
      </c>
      <c r="F1209" t="s">
        <v>14039</v>
      </c>
      <c r="G1209" t="s">
        <v>14672</v>
      </c>
      <c r="H1209" t="s">
        <v>13869</v>
      </c>
      <c r="I1209" t="s">
        <v>14690</v>
      </c>
      <c r="J1209" s="62">
        <v>0</v>
      </c>
      <c r="K1209" s="62">
        <v>0</v>
      </c>
      <c r="L1209" t="str">
        <f>VLOOKUP(VALUE(LEFT(C1209,5)),Xref!A:B,2,0)</f>
        <v>GST</v>
      </c>
      <c r="M1209" t="str">
        <f t="shared" si="75"/>
        <v>DPI-GST</v>
      </c>
    </row>
    <row r="1210" spans="1:13" ht="14.25" customHeight="true">
      <c r="A1210" s="33" t="str">
        <f t="shared" si="72"/>
        <v>DPI - Intercompany</v>
      </c>
      <c r="B1210" s="33" t="str">
        <f t="shared" si="73"/>
        <v>DPI</v>
      </c>
      <c r="C1210" s="33" t="str">
        <f t="shared" si="74"/>
        <v>11320-0000</v>
      </c>
      <c r="D1210" t="s">
        <v>18410</v>
      </c>
      <c r="E1210" t="s">
        <v>14111</v>
      </c>
      <c r="F1210" t="s">
        <v>14039</v>
      </c>
      <c r="G1210" t="s">
        <v>14672</v>
      </c>
      <c r="H1210" t="s">
        <v>13869</v>
      </c>
      <c r="I1210" t="s">
        <v>14690</v>
      </c>
      <c r="J1210" s="62">
        <v>0</v>
      </c>
      <c r="K1210" s="62">
        <v>0</v>
      </c>
      <c r="L1210" t="str">
        <f>VLOOKUP(VALUE(LEFT(C1210,5)),Xref!A:B,2,0)</f>
        <v>HDN</v>
      </c>
      <c r="M1210" t="str">
        <f t="shared" si="75"/>
        <v>DPI-HDN</v>
      </c>
    </row>
    <row r="1211" spans="1:13" ht="14.25" customHeight="true">
      <c r="A1211" s="33" t="str">
        <f t="shared" si="72"/>
        <v>DPI - Intercompany</v>
      </c>
      <c r="B1211" s="33" t="str">
        <f t="shared" si="73"/>
        <v>DPI</v>
      </c>
      <c r="C1211" s="33" t="str">
        <f t="shared" si="74"/>
        <v>11321-0000</v>
      </c>
      <c r="D1211" t="s">
        <v>18411</v>
      </c>
      <c r="E1211" t="s">
        <v>13236</v>
      </c>
      <c r="F1211" t="s">
        <v>14039</v>
      </c>
      <c r="G1211" t="s">
        <v>14672</v>
      </c>
      <c r="H1211" t="s">
        <v>13869</v>
      </c>
      <c r="I1211" t="s">
        <v>14690</v>
      </c>
      <c r="J1211" s="62">
        <v>0</v>
      </c>
      <c r="K1211" s="62">
        <v>0</v>
      </c>
      <c r="L1211" t="str">
        <f>VLOOKUP(VALUE(LEFT(C1211,5)),Xref!A:B,2,0)</f>
        <v>OVA</v>
      </c>
      <c r="M1211" t="str">
        <f t="shared" si="75"/>
        <v>DPI-OVA</v>
      </c>
    </row>
    <row r="1212" spans="1:13" ht="14.25" customHeight="true">
      <c r="A1212" s="33" t="str">
        <f t="shared" si="72"/>
        <v>DPI - Intercompany</v>
      </c>
      <c r="B1212" s="33" t="str">
        <f t="shared" si="73"/>
        <v>DPI</v>
      </c>
      <c r="C1212" s="33" t="str">
        <f t="shared" si="74"/>
        <v>11322-0000</v>
      </c>
      <c r="D1212" t="s">
        <v>18412</v>
      </c>
      <c r="E1212" t="s">
        <v>13237</v>
      </c>
      <c r="F1212" t="s">
        <v>14039</v>
      </c>
      <c r="G1212" t="s">
        <v>14672</v>
      </c>
      <c r="H1212" t="s">
        <v>13869</v>
      </c>
      <c r="I1212" t="s">
        <v>14690</v>
      </c>
      <c r="J1212" s="62">
        <v>0</v>
      </c>
      <c r="K1212" s="62">
        <v>0</v>
      </c>
      <c r="L1212" t="str">
        <f>VLOOKUP(VALUE(LEFT(C1212,5)),Xref!A:B,2,0)</f>
        <v>WOO</v>
      </c>
      <c r="M1212" t="str">
        <f t="shared" si="75"/>
        <v>DPI-WOO</v>
      </c>
    </row>
    <row r="1213" spans="1:13" ht="14.25" customHeight="true">
      <c r="A1213" s="33" t="str">
        <f t="shared" si="72"/>
        <v>DPI - Intercompany</v>
      </c>
      <c r="B1213" s="33" t="str">
        <f t="shared" si="73"/>
        <v>DPI</v>
      </c>
      <c r="C1213" s="33" t="str">
        <f t="shared" si="74"/>
        <v>11323-0000</v>
      </c>
      <c r="D1213" t="s">
        <v>18413</v>
      </c>
      <c r="E1213" t="s">
        <v>13478</v>
      </c>
      <c r="F1213" t="s">
        <v>14039</v>
      </c>
      <c r="G1213" t="s">
        <v>14672</v>
      </c>
      <c r="H1213" t="s">
        <v>13869</v>
      </c>
      <c r="I1213" t="s">
        <v>14690</v>
      </c>
      <c r="J1213" s="62">
        <v>0</v>
      </c>
      <c r="K1213" s="62">
        <v>0</v>
      </c>
      <c r="L1213" t="str">
        <f>VLOOKUP(VALUE(LEFT(C1213,5)),Xref!A:B,2,0)</f>
        <v>SPI</v>
      </c>
      <c r="M1213" t="str">
        <f t="shared" si="75"/>
        <v>DPI-SPI</v>
      </c>
    </row>
    <row r="1214" spans="1:13" ht="14.25" customHeight="true">
      <c r="A1214" s="33" t="str">
        <f t="shared" si="72"/>
        <v>DPI - Intercompany</v>
      </c>
      <c r="B1214" s="33" t="str">
        <f t="shared" si="73"/>
        <v>DPI</v>
      </c>
      <c r="C1214" s="33" t="str">
        <f t="shared" si="74"/>
        <v>11324-0000</v>
      </c>
      <c r="D1214" t="s">
        <v>18414</v>
      </c>
      <c r="E1214" t="s">
        <v>13238</v>
      </c>
      <c r="F1214" t="s">
        <v>14039</v>
      </c>
      <c r="G1214" t="s">
        <v>14672</v>
      </c>
      <c r="H1214" t="s">
        <v>13869</v>
      </c>
      <c r="I1214" t="s">
        <v>14690</v>
      </c>
      <c r="J1214" s="62">
        <v>0</v>
      </c>
      <c r="K1214" s="62">
        <v>0</v>
      </c>
      <c r="L1214" t="str">
        <f>VLOOKUP(VALUE(LEFT(C1214,5)),Xref!A:B,2,0)</f>
        <v>NET</v>
      </c>
      <c r="M1214" t="str">
        <f t="shared" si="75"/>
        <v>DPI-NET</v>
      </c>
    </row>
    <row r="1215" spans="1:13" ht="14.25" customHeight="true">
      <c r="A1215" s="33" t="str">
        <f t="shared" si="72"/>
        <v>DPI - Intercompany</v>
      </c>
      <c r="B1215" s="33" t="str">
        <f t="shared" si="73"/>
        <v>DPI</v>
      </c>
      <c r="C1215" s="33" t="str">
        <f t="shared" si="74"/>
        <v>11325-0000</v>
      </c>
      <c r="D1215" t="s">
        <v>18415</v>
      </c>
      <c r="E1215" t="s">
        <v>13239</v>
      </c>
      <c r="F1215" t="s">
        <v>14039</v>
      </c>
      <c r="G1215" t="s">
        <v>14672</v>
      </c>
      <c r="H1215" t="s">
        <v>13869</v>
      </c>
      <c r="I1215" t="s">
        <v>14690</v>
      </c>
      <c r="J1215" s="62">
        <v>0</v>
      </c>
      <c r="K1215" s="62">
        <v>0</v>
      </c>
      <c r="L1215" t="str">
        <f>VLOOKUP(VALUE(LEFT(C1215,5)),Xref!A:B,2,0)</f>
        <v>DPI</v>
      </c>
      <c r="M1215" t="str">
        <f t="shared" si="75"/>
        <v>DPI-DPI</v>
      </c>
    </row>
    <row r="1216" spans="1:13" ht="14.25" customHeight="true">
      <c r="A1216" s="33" t="str">
        <f t="shared" si="72"/>
        <v>DPI - Intercompany</v>
      </c>
      <c r="B1216" s="33" t="str">
        <f t="shared" si="73"/>
        <v>DPI</v>
      </c>
      <c r="C1216" s="33" t="str">
        <f t="shared" si="74"/>
        <v>11326-0000</v>
      </c>
      <c r="D1216" t="s">
        <v>18416</v>
      </c>
      <c r="E1216" t="s">
        <v>13240</v>
      </c>
      <c r="F1216" t="s">
        <v>14039</v>
      </c>
      <c r="G1216" t="s">
        <v>14672</v>
      </c>
      <c r="H1216" t="s">
        <v>13869</v>
      </c>
      <c r="I1216" t="s">
        <v>14690</v>
      </c>
      <c r="J1216" s="62">
        <v>0</v>
      </c>
      <c r="K1216" s="62">
        <v>0</v>
      </c>
      <c r="L1216" t="str">
        <f>VLOOKUP(VALUE(LEFT(C1216,5)),Xref!A:B,2,0)</f>
        <v>SEK</v>
      </c>
      <c r="M1216" t="str">
        <f t="shared" si="75"/>
        <v>DPI-SEK</v>
      </c>
    </row>
    <row r="1217" spans="1:13" ht="14.25" customHeight="true">
      <c r="A1217" s="33" t="str">
        <f t="shared" si="72"/>
        <v>DPI - Intercompany</v>
      </c>
      <c r="B1217" s="33" t="str">
        <f t="shared" si="73"/>
        <v>DPI</v>
      </c>
      <c r="C1217" s="33" t="str">
        <f t="shared" si="74"/>
        <v>11327-0000</v>
      </c>
      <c r="D1217" t="s">
        <v>18417</v>
      </c>
      <c r="E1217" t="s">
        <v>14119</v>
      </c>
      <c r="F1217" t="s">
        <v>14039</v>
      </c>
      <c r="G1217" t="s">
        <v>14672</v>
      </c>
      <c r="H1217" t="s">
        <v>13869</v>
      </c>
      <c r="I1217" t="s">
        <v>14690</v>
      </c>
      <c r="J1217" s="62">
        <v>0</v>
      </c>
      <c r="K1217" s="62">
        <v>0</v>
      </c>
      <c r="L1217" t="str">
        <f>VLOOKUP(VALUE(LEFT(C1217,5)),Xref!A:B,2,0)</f>
        <v>CPI</v>
      </c>
      <c r="M1217" t="str">
        <f t="shared" si="75"/>
        <v>CPI-DPI</v>
      </c>
    </row>
    <row r="1218" spans="1:13" ht="14.25" customHeight="true">
      <c r="A1218" s="33" t="str">
        <f t="shared" ref="A1218:A1281" si="76">B1218&amp;" - "&amp;TRIM(H1218)</f>
        <v>DPI - Intercompany</v>
      </c>
      <c r="B1218" s="33" t="str">
        <f t="shared" ref="B1218:B1281" si="77">LEFT(D1218,3)</f>
        <v>DPI</v>
      </c>
      <c r="C1218" s="33" t="str">
        <f t="shared" ref="C1218:C1281" si="78">RIGHT(D1218,10)</f>
        <v>11328-0000</v>
      </c>
      <c r="D1218" t="s">
        <v>18418</v>
      </c>
      <c r="E1218" t="s">
        <v>13241</v>
      </c>
      <c r="F1218" t="s">
        <v>14039</v>
      </c>
      <c r="G1218" t="s">
        <v>14672</v>
      </c>
      <c r="H1218" t="s">
        <v>13869</v>
      </c>
      <c r="I1218" t="s">
        <v>14690</v>
      </c>
      <c r="J1218" s="62">
        <v>0</v>
      </c>
      <c r="K1218" s="62">
        <v>0</v>
      </c>
      <c r="L1218" t="str">
        <f>VLOOKUP(VALUE(LEFT(C1218,5)),Xref!A:B,2,0)</f>
        <v>LOM</v>
      </c>
      <c r="M1218" t="str">
        <f t="shared" ref="M1218:M1281" si="79">IF(B1218&lt;L1218,B1218&amp;"-"&amp;L1218,L1218&amp;"-"&amp;B1218)</f>
        <v>DPI-LOM</v>
      </c>
    </row>
    <row r="1219" spans="1:13" ht="14.25" customHeight="true">
      <c r="A1219" s="33" t="str">
        <f t="shared" si="76"/>
        <v>DPI - Intercompany</v>
      </c>
      <c r="B1219" s="33" t="str">
        <f t="shared" si="77"/>
        <v>DPI</v>
      </c>
      <c r="C1219" s="33" t="str">
        <f t="shared" si="78"/>
        <v>11329-0000</v>
      </c>
      <c r="D1219" t="s">
        <v>18419</v>
      </c>
      <c r="E1219" t="s">
        <v>13353</v>
      </c>
      <c r="F1219" t="s">
        <v>14039</v>
      </c>
      <c r="G1219" t="s">
        <v>14672</v>
      </c>
      <c r="H1219" t="s">
        <v>13869</v>
      </c>
      <c r="I1219" t="s">
        <v>14690</v>
      </c>
      <c r="J1219" s="62">
        <v>0</v>
      </c>
      <c r="K1219" s="62">
        <v>0</v>
      </c>
      <c r="L1219" t="str">
        <f>VLOOKUP(VALUE(LEFT(C1219,5)),Xref!A:B,2,0)</f>
        <v>AKS</v>
      </c>
      <c r="M1219" t="str">
        <f t="shared" si="79"/>
        <v>AKS-DPI</v>
      </c>
    </row>
    <row r="1220" spans="1:13" ht="14.25" customHeight="true">
      <c r="A1220" s="33" t="str">
        <f t="shared" si="76"/>
        <v>DPI - Intercompany</v>
      </c>
      <c r="B1220" s="33" t="str">
        <f t="shared" si="77"/>
        <v>DPI</v>
      </c>
      <c r="C1220" s="33" t="str">
        <f t="shared" si="78"/>
        <v>11330-0000</v>
      </c>
      <c r="D1220" t="s">
        <v>18420</v>
      </c>
      <c r="E1220" t="s">
        <v>13242</v>
      </c>
      <c r="F1220" t="s">
        <v>14039</v>
      </c>
      <c r="G1220" t="s">
        <v>14672</v>
      </c>
      <c r="H1220" t="s">
        <v>13869</v>
      </c>
      <c r="I1220" t="s">
        <v>14690</v>
      </c>
      <c r="J1220" s="62">
        <v>0</v>
      </c>
      <c r="K1220" s="62">
        <v>0</v>
      </c>
      <c r="L1220" t="str">
        <f>VLOOKUP(VALUE(LEFT(C1220,5)),Xref!A:B,2,0)</f>
        <v>MAR</v>
      </c>
      <c r="M1220" t="str">
        <f t="shared" si="79"/>
        <v>DPI-MAR</v>
      </c>
    </row>
    <row r="1221" spans="1:13" ht="14.25" customHeight="true">
      <c r="A1221" s="33" t="str">
        <f t="shared" si="76"/>
        <v>DPI - Intercompany</v>
      </c>
      <c r="B1221" s="33" t="str">
        <f t="shared" si="77"/>
        <v>DPI</v>
      </c>
      <c r="C1221" s="33" t="str">
        <f t="shared" si="78"/>
        <v>11331-0000</v>
      </c>
      <c r="D1221" t="s">
        <v>18421</v>
      </c>
      <c r="E1221" t="s">
        <v>13354</v>
      </c>
      <c r="F1221" t="s">
        <v>14039</v>
      </c>
      <c r="G1221" t="s">
        <v>14672</v>
      </c>
      <c r="H1221" t="s">
        <v>13869</v>
      </c>
      <c r="I1221" t="s">
        <v>14690</v>
      </c>
      <c r="J1221" s="62">
        <v>0</v>
      </c>
      <c r="K1221" s="62">
        <v>0</v>
      </c>
      <c r="L1221" t="str">
        <f>VLOOKUP(VALUE(LEFT(C1221,5)),Xref!A:B,2,0)</f>
        <v>WIL</v>
      </c>
      <c r="M1221" t="str">
        <f t="shared" si="79"/>
        <v>DPI-WIL</v>
      </c>
    </row>
    <row r="1222" spans="1:13" ht="14.25" customHeight="true">
      <c r="A1222" s="33" t="str">
        <f t="shared" si="76"/>
        <v>DPI - Intercompany</v>
      </c>
      <c r="B1222" s="33" t="str">
        <f t="shared" si="77"/>
        <v>DPI</v>
      </c>
      <c r="C1222" s="33" t="str">
        <f t="shared" si="78"/>
        <v>11332-0000</v>
      </c>
      <c r="D1222" t="s">
        <v>18422</v>
      </c>
      <c r="E1222" t="s">
        <v>13243</v>
      </c>
      <c r="F1222" t="s">
        <v>14039</v>
      </c>
      <c r="G1222" t="s">
        <v>14672</v>
      </c>
      <c r="H1222" t="s">
        <v>13869</v>
      </c>
      <c r="I1222" t="s">
        <v>14690</v>
      </c>
      <c r="J1222" s="62">
        <v>0</v>
      </c>
      <c r="K1222" s="62">
        <v>0</v>
      </c>
      <c r="L1222" t="str">
        <f>VLOOKUP(VALUE(LEFT(C1222,5)),Xref!A:B,2,0)</f>
        <v>STO</v>
      </c>
      <c r="M1222" t="str">
        <f t="shared" si="79"/>
        <v>DPI-STO</v>
      </c>
    </row>
    <row r="1223" spans="1:13" ht="14.25" customHeight="true">
      <c r="A1223" s="33" t="str">
        <f t="shared" si="76"/>
        <v>DPI - Intercompany</v>
      </c>
      <c r="B1223" s="33" t="str">
        <f t="shared" si="77"/>
        <v>DPI</v>
      </c>
      <c r="C1223" s="33" t="str">
        <f t="shared" si="78"/>
        <v>11333-0000</v>
      </c>
      <c r="D1223" t="s">
        <v>18423</v>
      </c>
      <c r="E1223" t="s">
        <v>13244</v>
      </c>
      <c r="F1223" t="s">
        <v>14039</v>
      </c>
      <c r="G1223" t="s">
        <v>14672</v>
      </c>
      <c r="H1223" t="s">
        <v>13869</v>
      </c>
      <c r="I1223" t="s">
        <v>14690</v>
      </c>
      <c r="J1223" s="62">
        <v>0</v>
      </c>
      <c r="K1223" s="62">
        <v>0</v>
      </c>
      <c r="L1223" t="str">
        <f>VLOOKUP(VALUE(LEFT(C1223,5)),Xref!A:B,2,0)</f>
        <v>ANG</v>
      </c>
      <c r="M1223" t="str">
        <f t="shared" si="79"/>
        <v>ANG-DPI</v>
      </c>
    </row>
    <row r="1224" spans="1:13" ht="14.25" customHeight="true">
      <c r="A1224" s="33" t="str">
        <f t="shared" si="76"/>
        <v>DPI - Intercompany</v>
      </c>
      <c r="B1224" s="33" t="str">
        <f t="shared" si="77"/>
        <v>DPI</v>
      </c>
      <c r="C1224" s="33" t="str">
        <f t="shared" si="78"/>
        <v>11334-0000</v>
      </c>
      <c r="D1224" t="s">
        <v>955</v>
      </c>
      <c r="E1224" t="s">
        <v>13245</v>
      </c>
      <c r="F1224" t="s">
        <v>14039</v>
      </c>
      <c r="G1224" t="s">
        <v>14672</v>
      </c>
      <c r="H1224" t="s">
        <v>13869</v>
      </c>
      <c r="I1224" t="s">
        <v>14690</v>
      </c>
      <c r="J1224" s="62">
        <v>0</v>
      </c>
      <c r="K1224" s="62">
        <v>5000</v>
      </c>
      <c r="L1224" t="str">
        <f>VLOOKUP(VALUE(LEFT(C1224,5)),Xref!A:B,2,0)</f>
        <v>BRU</v>
      </c>
      <c r="M1224" t="str">
        <f t="shared" si="79"/>
        <v>BRU-DPI</v>
      </c>
    </row>
    <row r="1225" spans="1:13" ht="14.25" customHeight="true">
      <c r="A1225" s="33" t="str">
        <f t="shared" si="76"/>
        <v>DPI - Intercompany</v>
      </c>
      <c r="B1225" s="33" t="str">
        <f t="shared" si="77"/>
        <v>DPI</v>
      </c>
      <c r="C1225" s="33" t="str">
        <f t="shared" si="78"/>
        <v>11335-0000</v>
      </c>
      <c r="D1225" t="s">
        <v>18424</v>
      </c>
      <c r="E1225" t="s">
        <v>13246</v>
      </c>
      <c r="F1225" t="s">
        <v>14039</v>
      </c>
      <c r="G1225" t="s">
        <v>14672</v>
      </c>
      <c r="H1225" t="s">
        <v>13869</v>
      </c>
      <c r="I1225" t="s">
        <v>14690</v>
      </c>
      <c r="J1225" s="62">
        <v>0</v>
      </c>
      <c r="K1225" s="62">
        <v>0</v>
      </c>
      <c r="L1225" t="str">
        <f>VLOOKUP(VALUE(LEFT(C1225,5)),Xref!A:B,2,0)</f>
        <v>VEN</v>
      </c>
      <c r="M1225" t="str">
        <f t="shared" si="79"/>
        <v>DPI-VEN</v>
      </c>
    </row>
    <row r="1226" spans="1:13" ht="14.25" customHeight="true">
      <c r="A1226" s="33" t="str">
        <f t="shared" si="76"/>
        <v>DPI - Intercompany</v>
      </c>
      <c r="B1226" s="33" t="str">
        <f t="shared" si="77"/>
        <v>DPI</v>
      </c>
      <c r="C1226" s="33" t="str">
        <f t="shared" si="78"/>
        <v>11336-0000</v>
      </c>
      <c r="D1226" t="s">
        <v>956</v>
      </c>
      <c r="E1226" t="s">
        <v>13247</v>
      </c>
      <c r="F1226" t="s">
        <v>14039</v>
      </c>
      <c r="G1226" t="s">
        <v>14672</v>
      </c>
      <c r="H1226" t="s">
        <v>13869</v>
      </c>
      <c r="I1226" t="s">
        <v>14690</v>
      </c>
      <c r="J1226" s="62">
        <v>0</v>
      </c>
      <c r="K1226" s="62">
        <v>5000</v>
      </c>
      <c r="L1226" t="str">
        <f>VLOOKUP(VALUE(LEFT(C1226,5)),Xref!A:B,2,0)</f>
        <v>SAT</v>
      </c>
      <c r="M1226" t="str">
        <f t="shared" si="79"/>
        <v>DPI-SAT</v>
      </c>
    </row>
    <row r="1227" spans="1:13" ht="14.25" customHeight="true">
      <c r="A1227" s="33" t="str">
        <f t="shared" si="76"/>
        <v>DPI - Intercompany</v>
      </c>
      <c r="B1227" s="33" t="str">
        <f t="shared" si="77"/>
        <v>DPI</v>
      </c>
      <c r="C1227" s="33" t="str">
        <f t="shared" si="78"/>
        <v>11337-0000</v>
      </c>
      <c r="D1227" t="s">
        <v>957</v>
      </c>
      <c r="E1227" t="s">
        <v>13248</v>
      </c>
      <c r="F1227" t="s">
        <v>14039</v>
      </c>
      <c r="G1227" t="s">
        <v>14672</v>
      </c>
      <c r="H1227" t="s">
        <v>13869</v>
      </c>
      <c r="I1227" t="s">
        <v>14690</v>
      </c>
      <c r="J1227" s="62">
        <v>0</v>
      </c>
      <c r="K1227" s="62">
        <v>5000</v>
      </c>
      <c r="L1227" t="str">
        <f>VLOOKUP(VALUE(LEFT(C1227,5)),Xref!A:B,2,0)</f>
        <v>NEP</v>
      </c>
      <c r="M1227" t="str">
        <f t="shared" si="79"/>
        <v>DPI-NEP</v>
      </c>
    </row>
    <row r="1228" spans="1:13" ht="14.25" customHeight="true">
      <c r="A1228" s="33" t="str">
        <f t="shared" si="76"/>
        <v>DPI - Intercompany</v>
      </c>
      <c r="B1228" s="33" t="str">
        <f t="shared" si="77"/>
        <v>DPI</v>
      </c>
      <c r="C1228" s="33" t="str">
        <f t="shared" si="78"/>
        <v>11338-0000</v>
      </c>
      <c r="D1228" t="s">
        <v>18425</v>
      </c>
      <c r="E1228" t="s">
        <v>14131</v>
      </c>
      <c r="F1228" t="s">
        <v>14039</v>
      </c>
      <c r="G1228" t="s">
        <v>14672</v>
      </c>
      <c r="H1228" t="s">
        <v>13869</v>
      </c>
      <c r="I1228" t="s">
        <v>14690</v>
      </c>
      <c r="J1228" s="62">
        <v>0</v>
      </c>
      <c r="K1228" s="62">
        <v>0</v>
      </c>
      <c r="L1228" t="str">
        <f>VLOOKUP(VALUE(LEFT(C1228,5)),Xref!A:B,2,0)</f>
        <v>JUP</v>
      </c>
      <c r="M1228" t="str">
        <f t="shared" si="79"/>
        <v>DPI-JUP</v>
      </c>
    </row>
    <row r="1229" spans="1:13" ht="14.25" customHeight="true">
      <c r="A1229" s="33" t="str">
        <f t="shared" si="76"/>
        <v>DPI - Intercompany</v>
      </c>
      <c r="B1229" s="33" t="str">
        <f t="shared" si="77"/>
        <v>DPI</v>
      </c>
      <c r="C1229" s="33" t="str">
        <f t="shared" si="78"/>
        <v>11339-0000</v>
      </c>
      <c r="D1229" t="s">
        <v>18426</v>
      </c>
      <c r="E1229" t="s">
        <v>14133</v>
      </c>
      <c r="F1229" t="s">
        <v>14039</v>
      </c>
      <c r="G1229" t="s">
        <v>14672</v>
      </c>
      <c r="H1229" t="s">
        <v>13869</v>
      </c>
      <c r="I1229" t="s">
        <v>14690</v>
      </c>
      <c r="J1229" s="62">
        <v>0</v>
      </c>
      <c r="K1229" s="62">
        <v>0</v>
      </c>
      <c r="L1229" t="str">
        <f>VLOOKUP(VALUE(LEFT(C1229,5)),Xref!A:B,2,0)</f>
        <v>WES</v>
      </c>
      <c r="M1229" t="str">
        <f t="shared" si="79"/>
        <v>DPI-WES</v>
      </c>
    </row>
    <row r="1230" spans="1:13" ht="14.25" customHeight="true">
      <c r="A1230" s="33" t="str">
        <f t="shared" si="76"/>
        <v>DPI - Intercompany</v>
      </c>
      <c r="B1230" s="33" t="str">
        <f t="shared" si="77"/>
        <v>DPI</v>
      </c>
      <c r="C1230" s="33" t="str">
        <f t="shared" si="78"/>
        <v>11340-0000</v>
      </c>
      <c r="D1230" t="s">
        <v>18427</v>
      </c>
      <c r="E1230" t="s">
        <v>14135</v>
      </c>
      <c r="F1230" t="s">
        <v>14039</v>
      </c>
      <c r="G1230" t="s">
        <v>14672</v>
      </c>
      <c r="H1230" t="s">
        <v>13869</v>
      </c>
      <c r="I1230" t="s">
        <v>14690</v>
      </c>
      <c r="J1230" s="62">
        <v>0</v>
      </c>
      <c r="K1230" s="62">
        <v>0</v>
      </c>
      <c r="L1230" t="str">
        <f>VLOOKUP(VALUE(LEFT(C1230,5)),Xref!A:B,2,0)</f>
        <v>LCP</v>
      </c>
      <c r="M1230" t="str">
        <f t="shared" si="79"/>
        <v>DPI-LCP</v>
      </c>
    </row>
    <row r="1231" spans="1:13" ht="14.25" customHeight="true">
      <c r="A1231" s="33" t="str">
        <f t="shared" si="76"/>
        <v>DPI - Intercompany</v>
      </c>
      <c r="B1231" s="33" t="str">
        <f t="shared" si="77"/>
        <v>DPI</v>
      </c>
      <c r="C1231" s="33" t="str">
        <f t="shared" si="78"/>
        <v>11341-0000</v>
      </c>
      <c r="D1231" t="s">
        <v>18428</v>
      </c>
      <c r="E1231" t="s">
        <v>13639</v>
      </c>
      <c r="F1231" t="s">
        <v>14039</v>
      </c>
      <c r="G1231" t="s">
        <v>14672</v>
      </c>
      <c r="H1231" t="s">
        <v>13869</v>
      </c>
      <c r="I1231" t="s">
        <v>14690</v>
      </c>
      <c r="J1231" s="62">
        <v>0</v>
      </c>
      <c r="K1231" s="62">
        <v>0</v>
      </c>
      <c r="L1231" t="str">
        <f>VLOOKUP(VALUE(LEFT(C1231,5)),Xref!A:B,2,0)</f>
        <v>NOR</v>
      </c>
      <c r="M1231" t="str">
        <f t="shared" si="79"/>
        <v>DPI-NOR</v>
      </c>
    </row>
    <row r="1232" spans="1:13" ht="14.25" customHeight="true">
      <c r="A1232" s="33" t="str">
        <f t="shared" si="76"/>
        <v>DPI - Intercompany</v>
      </c>
      <c r="B1232" s="33" t="str">
        <f t="shared" si="77"/>
        <v>DPI</v>
      </c>
      <c r="C1232" s="33" t="str">
        <f t="shared" si="78"/>
        <v>11342-0000</v>
      </c>
      <c r="D1232" t="s">
        <v>18429</v>
      </c>
      <c r="E1232" t="s">
        <v>13355</v>
      </c>
      <c r="F1232" t="s">
        <v>14039</v>
      </c>
      <c r="G1232" t="s">
        <v>14672</v>
      </c>
      <c r="H1232" t="s">
        <v>13869</v>
      </c>
      <c r="I1232" t="s">
        <v>14690</v>
      </c>
      <c r="J1232" s="62">
        <v>0</v>
      </c>
      <c r="K1232" s="62">
        <v>0</v>
      </c>
      <c r="L1232" t="str">
        <f>VLOOKUP(VALUE(LEFT(C1232,5)),Xref!A:B,2,0)</f>
        <v>EAS</v>
      </c>
      <c r="M1232" t="str">
        <f t="shared" si="79"/>
        <v>DPI-EAS</v>
      </c>
    </row>
    <row r="1233" spans="1:13" ht="14.25" customHeight="true">
      <c r="A1233" s="33" t="str">
        <f t="shared" si="76"/>
        <v>DPI - Intercompany</v>
      </c>
      <c r="B1233" s="33" t="str">
        <f t="shared" si="77"/>
        <v>DPI</v>
      </c>
      <c r="C1233" s="33" t="str">
        <f t="shared" si="78"/>
        <v>11343-0000</v>
      </c>
      <c r="D1233" t="s">
        <v>18430</v>
      </c>
      <c r="E1233" t="s">
        <v>14139</v>
      </c>
      <c r="F1233" t="s">
        <v>14039</v>
      </c>
      <c r="G1233" t="s">
        <v>14672</v>
      </c>
      <c r="H1233" t="s">
        <v>13869</v>
      </c>
      <c r="I1233" t="s">
        <v>14690</v>
      </c>
      <c r="J1233" s="62">
        <v>0</v>
      </c>
      <c r="K1233" s="62">
        <v>0</v>
      </c>
      <c r="L1233" t="str">
        <f>VLOOKUP(VALUE(LEFT(C1233,5)),Xref!A:B,2,0)</f>
        <v>GRA</v>
      </c>
      <c r="M1233" t="str">
        <f t="shared" si="79"/>
        <v>DPI-GRA</v>
      </c>
    </row>
    <row r="1234" spans="1:13" ht="14.25" customHeight="true">
      <c r="A1234" s="33" t="str">
        <f t="shared" si="76"/>
        <v>DPI - Intercompany</v>
      </c>
      <c r="B1234" s="33" t="str">
        <f t="shared" si="77"/>
        <v>DPI</v>
      </c>
      <c r="C1234" s="33" t="str">
        <f t="shared" si="78"/>
        <v>11344-0000</v>
      </c>
      <c r="D1234" t="s">
        <v>18431</v>
      </c>
      <c r="E1234" t="s">
        <v>14141</v>
      </c>
      <c r="F1234" t="s">
        <v>14039</v>
      </c>
      <c r="G1234" t="s">
        <v>14672</v>
      </c>
      <c r="H1234" t="s">
        <v>13869</v>
      </c>
      <c r="I1234" t="s">
        <v>14690</v>
      </c>
      <c r="J1234" s="62">
        <v>0</v>
      </c>
      <c r="K1234" s="62">
        <v>0</v>
      </c>
      <c r="L1234" t="str">
        <f>VLOOKUP(VALUE(LEFT(C1234,5)),Xref!A:B,2,0)</f>
        <v>SOU</v>
      </c>
      <c r="M1234" t="str">
        <f t="shared" si="79"/>
        <v>DPI-SOU</v>
      </c>
    </row>
    <row r="1235" spans="1:13" ht="14.25" customHeight="true">
      <c r="A1235" s="33" t="str">
        <f t="shared" si="76"/>
        <v>DPI - Intercompany</v>
      </c>
      <c r="B1235" s="33" t="str">
        <f t="shared" si="77"/>
        <v>DPI</v>
      </c>
      <c r="C1235" s="33" t="str">
        <f t="shared" si="78"/>
        <v>11345-0000</v>
      </c>
      <c r="D1235" t="s">
        <v>18432</v>
      </c>
      <c r="E1235" t="s">
        <v>14143</v>
      </c>
      <c r="F1235" t="s">
        <v>14039</v>
      </c>
      <c r="G1235" t="s">
        <v>14672</v>
      </c>
      <c r="H1235" t="s">
        <v>13869</v>
      </c>
      <c r="I1235" t="s">
        <v>14690</v>
      </c>
      <c r="J1235" s="62">
        <v>0</v>
      </c>
      <c r="K1235" s="62">
        <v>0</v>
      </c>
      <c r="L1235" t="str">
        <f>VLOOKUP(VALUE(LEFT(C1235,5)),Xref!A:B,2,0)</f>
        <v>API</v>
      </c>
      <c r="M1235" t="str">
        <f t="shared" si="79"/>
        <v>API-DPI</v>
      </c>
    </row>
    <row r="1236" spans="1:13" ht="14.25" customHeight="true">
      <c r="A1236" s="33" t="str">
        <f t="shared" si="76"/>
        <v>DPI - Intercompany</v>
      </c>
      <c r="B1236" s="33" t="str">
        <f t="shared" si="77"/>
        <v>DPI</v>
      </c>
      <c r="C1236" s="33" t="str">
        <f t="shared" si="78"/>
        <v>11346-0000</v>
      </c>
      <c r="D1236" t="s">
        <v>18433</v>
      </c>
      <c r="E1236" t="s">
        <v>14145</v>
      </c>
      <c r="F1236" t="s">
        <v>14039</v>
      </c>
      <c r="G1236" t="s">
        <v>14672</v>
      </c>
      <c r="H1236" t="s">
        <v>13869</v>
      </c>
      <c r="I1236" t="s">
        <v>14690</v>
      </c>
      <c r="J1236" s="62">
        <v>0</v>
      </c>
      <c r="K1236" s="62">
        <v>0</v>
      </c>
      <c r="L1236" t="str">
        <f>VLOOKUP(VALUE(LEFT(C1236,5)),Xref!A:B,2,0)</f>
        <v>DPH</v>
      </c>
      <c r="M1236" t="str">
        <f t="shared" si="79"/>
        <v>DPH-DPI</v>
      </c>
    </row>
    <row r="1237" spans="1:13" ht="14.25" customHeight="true">
      <c r="A1237" s="33" t="str">
        <f t="shared" si="76"/>
        <v>DPI - Intercompany</v>
      </c>
      <c r="B1237" s="33" t="str">
        <f t="shared" si="77"/>
        <v>DPI</v>
      </c>
      <c r="C1237" s="33" t="str">
        <f t="shared" si="78"/>
        <v>11347-0000</v>
      </c>
      <c r="D1237" t="s">
        <v>18434</v>
      </c>
      <c r="E1237" t="s">
        <v>14147</v>
      </c>
      <c r="F1237" t="s">
        <v>14039</v>
      </c>
      <c r="G1237" t="s">
        <v>14672</v>
      </c>
      <c r="H1237" t="s">
        <v>13869</v>
      </c>
      <c r="I1237" t="s">
        <v>14690</v>
      </c>
      <c r="J1237" s="62">
        <v>0</v>
      </c>
      <c r="K1237" s="62">
        <v>0</v>
      </c>
      <c r="L1237" t="str">
        <f>VLOOKUP(VALUE(LEFT(C1237,5)),Xref!A:B,2,0)</f>
        <v>ZPI</v>
      </c>
      <c r="M1237" t="str">
        <f t="shared" si="79"/>
        <v>DPI-ZPI</v>
      </c>
    </row>
    <row r="1238" spans="1:13" ht="14.25" customHeight="true">
      <c r="A1238" s="33" t="str">
        <f t="shared" si="76"/>
        <v>DPI - Intercompany</v>
      </c>
      <c r="B1238" s="33" t="str">
        <f t="shared" si="77"/>
        <v>DPI</v>
      </c>
      <c r="C1238" s="33" t="str">
        <f t="shared" si="78"/>
        <v>11348-0000</v>
      </c>
      <c r="D1238" t="s">
        <v>18435</v>
      </c>
      <c r="E1238" t="s">
        <v>14149</v>
      </c>
      <c r="F1238" t="s">
        <v>14039</v>
      </c>
      <c r="G1238" t="s">
        <v>14672</v>
      </c>
      <c r="H1238" t="s">
        <v>13869</v>
      </c>
      <c r="I1238" t="s">
        <v>14690</v>
      </c>
      <c r="J1238" s="62">
        <v>0</v>
      </c>
      <c r="K1238" s="62">
        <v>0</v>
      </c>
      <c r="L1238" t="str">
        <f>VLOOKUP(VALUE(LEFT(C1238,5)),Xref!A:B,2,0)</f>
        <v>EAM</v>
      </c>
      <c r="M1238" t="str">
        <f t="shared" si="79"/>
        <v>DPI-EAM</v>
      </c>
    </row>
    <row r="1239" spans="1:13" ht="14.25" customHeight="true">
      <c r="A1239" s="33" t="str">
        <f t="shared" si="76"/>
        <v>DPI - Intercompany</v>
      </c>
      <c r="B1239" s="33" t="str">
        <f t="shared" si="77"/>
        <v>DPI</v>
      </c>
      <c r="C1239" s="33" t="str">
        <f t="shared" si="78"/>
        <v>11349-0000</v>
      </c>
      <c r="D1239" t="s">
        <v>18436</v>
      </c>
      <c r="E1239" t="s">
        <v>14151</v>
      </c>
      <c r="F1239" t="s">
        <v>14039</v>
      </c>
      <c r="G1239" t="s">
        <v>14672</v>
      </c>
      <c r="H1239" t="s">
        <v>13869</v>
      </c>
      <c r="I1239" t="s">
        <v>14690</v>
      </c>
      <c r="J1239" s="62">
        <v>0</v>
      </c>
      <c r="K1239" s="62">
        <v>0</v>
      </c>
      <c r="L1239" t="str">
        <f>VLOOKUP(VALUE(LEFT(C1239,5)),Xref!A:B,2,0)</f>
        <v>SEA</v>
      </c>
      <c r="M1239" t="str">
        <f t="shared" si="79"/>
        <v>DPI-SEA</v>
      </c>
    </row>
    <row r="1240" spans="1:13" ht="14.25" customHeight="true">
      <c r="A1240" s="33" t="str">
        <f t="shared" si="76"/>
        <v>DPI - Intercompany</v>
      </c>
      <c r="B1240" s="33" t="str">
        <f t="shared" si="77"/>
        <v>DPI</v>
      </c>
      <c r="C1240" s="33" t="str">
        <f t="shared" si="78"/>
        <v>11350-0000</v>
      </c>
      <c r="D1240" t="s">
        <v>18437</v>
      </c>
      <c r="E1240" t="s">
        <v>14153</v>
      </c>
      <c r="F1240" t="s">
        <v>14039</v>
      </c>
      <c r="G1240" t="s">
        <v>14672</v>
      </c>
      <c r="H1240" t="s">
        <v>13869</v>
      </c>
      <c r="I1240" t="s">
        <v>14690</v>
      </c>
      <c r="J1240" s="62">
        <v>0</v>
      </c>
      <c r="K1240" s="62">
        <v>-7.68</v>
      </c>
      <c r="L1240" t="str">
        <f>VLOOKUP(VALUE(LEFT(C1240,5)),Xref!A:B,2,0)</f>
        <v>EAL</v>
      </c>
      <c r="M1240" t="str">
        <f t="shared" si="79"/>
        <v>DPI-EAL</v>
      </c>
    </row>
    <row r="1241" spans="1:13" ht="14.25" customHeight="true">
      <c r="A1241" s="33" t="str">
        <f t="shared" si="76"/>
        <v>DPI - Intercompany</v>
      </c>
      <c r="B1241" s="33" t="str">
        <f t="shared" si="77"/>
        <v>DPI</v>
      </c>
      <c r="C1241" s="33" t="str">
        <f t="shared" si="78"/>
        <v>11351-0000</v>
      </c>
      <c r="D1241" t="s">
        <v>18438</v>
      </c>
      <c r="E1241" t="s">
        <v>14155</v>
      </c>
      <c r="F1241" t="s">
        <v>14039</v>
      </c>
      <c r="G1241" t="s">
        <v>14672</v>
      </c>
      <c r="H1241" t="s">
        <v>13869</v>
      </c>
      <c r="I1241" t="s">
        <v>14690</v>
      </c>
      <c r="J1241" s="62">
        <v>0</v>
      </c>
      <c r="K1241" s="62">
        <v>0</v>
      </c>
      <c r="L1241" t="str">
        <f>VLOOKUP(VALUE(LEFT(C1241,5)),Xref!A:B,2,0)</f>
        <v>WEP</v>
      </c>
      <c r="M1241" t="str">
        <f t="shared" si="79"/>
        <v>DPI-WEP</v>
      </c>
    </row>
    <row r="1242" spans="1:13" ht="14.25" customHeight="true">
      <c r="A1242" s="33" t="str">
        <f t="shared" si="76"/>
        <v>DPI - Intercompany</v>
      </c>
      <c r="B1242" s="33" t="str">
        <f t="shared" si="77"/>
        <v>DPI</v>
      </c>
      <c r="C1242" s="33" t="str">
        <f t="shared" si="78"/>
        <v>11352-0000</v>
      </c>
      <c r="D1242" t="s">
        <v>18439</v>
      </c>
      <c r="E1242" t="s">
        <v>13536</v>
      </c>
      <c r="F1242" t="s">
        <v>14039</v>
      </c>
      <c r="G1242" t="s">
        <v>14672</v>
      </c>
      <c r="H1242" t="s">
        <v>13869</v>
      </c>
      <c r="I1242" t="s">
        <v>14690</v>
      </c>
      <c r="J1242" s="62">
        <v>0</v>
      </c>
      <c r="K1242" s="62">
        <v>0</v>
      </c>
      <c r="L1242" t="str">
        <f>VLOOKUP(VALUE(LEFT(C1242,5)),Xref!A:B,2,0)</f>
        <v>KLP</v>
      </c>
      <c r="M1242" t="str">
        <f t="shared" si="79"/>
        <v>DPI-KLP</v>
      </c>
    </row>
    <row r="1243" spans="1:13" ht="14.25" customHeight="true">
      <c r="A1243" s="33" t="str">
        <f t="shared" si="76"/>
        <v>DPI - Intercompany</v>
      </c>
      <c r="B1243" s="33" t="str">
        <f t="shared" si="77"/>
        <v>DPI</v>
      </c>
      <c r="C1243" s="33" t="str">
        <f t="shared" si="78"/>
        <v>11353-0000</v>
      </c>
      <c r="D1243" t="s">
        <v>18440</v>
      </c>
      <c r="E1243" t="s">
        <v>13537</v>
      </c>
      <c r="F1243" t="s">
        <v>14039</v>
      </c>
      <c r="G1243" t="s">
        <v>14672</v>
      </c>
      <c r="H1243" t="s">
        <v>13869</v>
      </c>
      <c r="I1243" t="s">
        <v>14690</v>
      </c>
      <c r="J1243" s="62">
        <v>0</v>
      </c>
      <c r="K1243" s="62">
        <v>0</v>
      </c>
      <c r="L1243" t="str">
        <f>VLOOKUP(VALUE(LEFT(C1243,5)),Xref!A:B,2,0)</f>
        <v>AKC</v>
      </c>
      <c r="M1243" t="str">
        <f t="shared" si="79"/>
        <v>AKC-DPI</v>
      </c>
    </row>
    <row r="1244" spans="1:13" ht="14.25" customHeight="true">
      <c r="A1244" s="33" t="str">
        <f t="shared" si="76"/>
        <v>DPI - Intercompany</v>
      </c>
      <c r="B1244" s="33" t="str">
        <f t="shared" si="77"/>
        <v>DPI</v>
      </c>
      <c r="C1244" s="33" t="str">
        <f t="shared" si="78"/>
        <v>11354-0000</v>
      </c>
      <c r="D1244" t="s">
        <v>18441</v>
      </c>
      <c r="E1244" t="s">
        <v>13538</v>
      </c>
      <c r="F1244" t="s">
        <v>14039</v>
      </c>
      <c r="G1244" t="s">
        <v>14672</v>
      </c>
      <c r="H1244" t="s">
        <v>13869</v>
      </c>
      <c r="I1244" t="s">
        <v>14690</v>
      </c>
      <c r="J1244" s="62">
        <v>0</v>
      </c>
      <c r="K1244" s="62">
        <v>0</v>
      </c>
      <c r="L1244" t="str">
        <f>VLOOKUP(VALUE(LEFT(C1244,5)),Xref!A:B,2,0)</f>
        <v>AKA</v>
      </c>
      <c r="M1244" t="str">
        <f t="shared" si="79"/>
        <v>AKA-DPI</v>
      </c>
    </row>
    <row r="1245" spans="1:13" ht="14.25" customHeight="true">
      <c r="A1245" s="33" t="str">
        <f t="shared" si="76"/>
        <v>DPI - Intercompany</v>
      </c>
      <c r="B1245" s="33" t="str">
        <f t="shared" si="77"/>
        <v>DPI</v>
      </c>
      <c r="C1245" s="33" t="str">
        <f t="shared" si="78"/>
        <v>11355-0000</v>
      </c>
      <c r="D1245" t="s">
        <v>18442</v>
      </c>
      <c r="E1245" t="s">
        <v>13539</v>
      </c>
      <c r="F1245" t="s">
        <v>14039</v>
      </c>
      <c r="G1245" t="s">
        <v>14672</v>
      </c>
      <c r="H1245" t="s">
        <v>13869</v>
      </c>
      <c r="I1245" t="s">
        <v>14690</v>
      </c>
      <c r="J1245" s="62">
        <v>0</v>
      </c>
      <c r="K1245" s="62">
        <v>0</v>
      </c>
      <c r="L1245" t="str">
        <f>VLOOKUP(VALUE(LEFT(C1245,5)),Xref!A:B,2,0)</f>
        <v>SPA</v>
      </c>
      <c r="M1245" t="str">
        <f t="shared" si="79"/>
        <v>DPI-SPA</v>
      </c>
    </row>
    <row r="1246" spans="1:13" ht="14.25" customHeight="true">
      <c r="A1246" s="33" t="str">
        <f t="shared" si="76"/>
        <v>DPI - Intercompany</v>
      </c>
      <c r="B1246" s="33" t="str">
        <f t="shared" si="77"/>
        <v>DPI</v>
      </c>
      <c r="C1246" s="33" t="str">
        <f t="shared" si="78"/>
        <v>11356-0000</v>
      </c>
      <c r="D1246" t="s">
        <v>18443</v>
      </c>
      <c r="E1246" t="s">
        <v>13540</v>
      </c>
      <c r="F1246" t="s">
        <v>14039</v>
      </c>
      <c r="G1246" t="s">
        <v>14672</v>
      </c>
      <c r="H1246" t="s">
        <v>13869</v>
      </c>
      <c r="I1246" t="s">
        <v>14690</v>
      </c>
      <c r="J1246" s="62">
        <v>0</v>
      </c>
      <c r="K1246" s="62">
        <v>0</v>
      </c>
      <c r="L1246" t="str">
        <f>VLOOKUP(VALUE(LEFT(C1246,5)),Xref!A:B,2,0)</f>
        <v>DPM</v>
      </c>
      <c r="M1246" t="str">
        <f t="shared" si="79"/>
        <v>DPI-DPM</v>
      </c>
    </row>
    <row r="1247" spans="1:13" ht="14.25" customHeight="true">
      <c r="A1247" s="33" t="str">
        <f t="shared" si="76"/>
        <v>DPI - Intercompany</v>
      </c>
      <c r="B1247" s="33" t="str">
        <f t="shared" si="77"/>
        <v>DPI</v>
      </c>
      <c r="C1247" s="33" t="str">
        <f t="shared" si="78"/>
        <v>11357-0000</v>
      </c>
      <c r="D1247" t="s">
        <v>18444</v>
      </c>
      <c r="E1247" t="s">
        <v>13541</v>
      </c>
      <c r="F1247" t="s">
        <v>14039</v>
      </c>
      <c r="G1247" t="s">
        <v>14672</v>
      </c>
      <c r="H1247" t="s">
        <v>13869</v>
      </c>
      <c r="I1247" t="s">
        <v>14690</v>
      </c>
      <c r="J1247" s="62">
        <v>0</v>
      </c>
      <c r="K1247" s="62">
        <v>0</v>
      </c>
      <c r="L1247" t="str">
        <f>VLOOKUP(VALUE(LEFT(C1247,5)),Xref!A:B,2,0)</f>
        <v>HDM</v>
      </c>
      <c r="M1247" t="str">
        <f t="shared" si="79"/>
        <v>DPI-HDM</v>
      </c>
    </row>
    <row r="1248" spans="1:13" ht="14.25" customHeight="true">
      <c r="A1248" s="33" t="str">
        <f t="shared" si="76"/>
        <v>DPI - Intercompany</v>
      </c>
      <c r="B1248" s="33" t="str">
        <f t="shared" si="77"/>
        <v>DPI</v>
      </c>
      <c r="C1248" s="33" t="str">
        <f t="shared" si="78"/>
        <v>11358-0000</v>
      </c>
      <c r="D1248" t="s">
        <v>18445</v>
      </c>
      <c r="E1248" t="s">
        <v>13542</v>
      </c>
      <c r="F1248" t="s">
        <v>14039</v>
      </c>
      <c r="G1248" t="s">
        <v>14672</v>
      </c>
      <c r="H1248" t="s">
        <v>13869</v>
      </c>
      <c r="I1248" t="s">
        <v>14690</v>
      </c>
      <c r="J1248" s="62">
        <v>0</v>
      </c>
      <c r="K1248" s="62">
        <v>0</v>
      </c>
      <c r="L1248" t="str">
        <f>VLOOKUP(VALUE(LEFT(C1248,5)),Xref!A:B,2,0)</f>
        <v>GRA</v>
      </c>
      <c r="M1248" t="str">
        <f t="shared" si="79"/>
        <v>DPI-GRA</v>
      </c>
    </row>
    <row r="1249" spans="1:13" ht="14.25" customHeight="true">
      <c r="A1249" s="33" t="str">
        <f t="shared" si="76"/>
        <v>DPI - Intercompany</v>
      </c>
      <c r="B1249" s="33" t="str">
        <f t="shared" si="77"/>
        <v>DPI</v>
      </c>
      <c r="C1249" s="33" t="str">
        <f t="shared" si="78"/>
        <v>11359-0000</v>
      </c>
      <c r="D1249" t="s">
        <v>18446</v>
      </c>
      <c r="E1249" t="s">
        <v>13543</v>
      </c>
      <c r="F1249" t="s">
        <v>14039</v>
      </c>
      <c r="G1249" t="s">
        <v>14672</v>
      </c>
      <c r="H1249" t="s">
        <v>13869</v>
      </c>
      <c r="I1249" t="s">
        <v>14690</v>
      </c>
      <c r="J1249" s="62">
        <v>0</v>
      </c>
      <c r="K1249" s="62">
        <v>0</v>
      </c>
      <c r="L1249" t="str">
        <f>VLOOKUP(VALUE(LEFT(C1249,5)),Xref!A:B,2,0)</f>
        <v>TPI</v>
      </c>
      <c r="M1249" t="str">
        <f t="shared" si="79"/>
        <v>DPI-TPI</v>
      </c>
    </row>
    <row r="1250" spans="1:13" ht="14.25" customHeight="true">
      <c r="A1250" s="33" t="str">
        <f t="shared" si="76"/>
        <v>DPI - Intercompany</v>
      </c>
      <c r="B1250" s="33" t="str">
        <f t="shared" si="77"/>
        <v>DPI</v>
      </c>
      <c r="C1250" s="33" t="str">
        <f t="shared" si="78"/>
        <v>11361-0000</v>
      </c>
      <c r="D1250" t="s">
        <v>18447</v>
      </c>
      <c r="E1250" t="s">
        <v>14165</v>
      </c>
      <c r="F1250" t="s">
        <v>14039</v>
      </c>
      <c r="G1250" t="s">
        <v>14672</v>
      </c>
      <c r="H1250" t="s">
        <v>13869</v>
      </c>
      <c r="I1250" t="s">
        <v>14690</v>
      </c>
      <c r="J1250" s="62">
        <v>0</v>
      </c>
      <c r="K1250" s="62">
        <v>0</v>
      </c>
      <c r="L1250" t="str">
        <f>VLOOKUP(VALUE(LEFT(C1250,5)),Xref!A:B,2,0)</f>
        <v>GSM</v>
      </c>
      <c r="M1250" t="str">
        <f t="shared" si="79"/>
        <v>DPI-GSM</v>
      </c>
    </row>
    <row r="1251" spans="1:13" ht="14.25" customHeight="true">
      <c r="A1251" s="33" t="str">
        <f t="shared" si="76"/>
        <v>DPI - Intercompany</v>
      </c>
      <c r="B1251" s="33" t="str">
        <f t="shared" si="77"/>
        <v>DPI</v>
      </c>
      <c r="C1251" s="33" t="str">
        <f t="shared" si="78"/>
        <v>11363-0000</v>
      </c>
      <c r="D1251" t="s">
        <v>18448</v>
      </c>
      <c r="E1251" t="s">
        <v>13544</v>
      </c>
      <c r="F1251" t="s">
        <v>14039</v>
      </c>
      <c r="G1251" t="s">
        <v>14672</v>
      </c>
      <c r="H1251" t="s">
        <v>13869</v>
      </c>
      <c r="I1251" t="s">
        <v>14690</v>
      </c>
      <c r="J1251" s="62">
        <v>0</v>
      </c>
      <c r="K1251" s="62">
        <v>0</v>
      </c>
      <c r="L1251" t="str">
        <f>VLOOKUP(VALUE(LEFT(C1251,5)),Xref!A:B,2,0)</f>
        <v>SOF</v>
      </c>
      <c r="M1251" t="str">
        <f t="shared" si="79"/>
        <v>DPI-SOF</v>
      </c>
    </row>
    <row r="1252" spans="1:13" ht="14.25" customHeight="true">
      <c r="A1252" s="33" t="str">
        <f t="shared" si="76"/>
        <v>DPI - Intercompany</v>
      </c>
      <c r="B1252" s="33" t="str">
        <f t="shared" si="77"/>
        <v>DPI</v>
      </c>
      <c r="C1252" s="33" t="str">
        <f t="shared" si="78"/>
        <v>11364-0000</v>
      </c>
      <c r="D1252" t="s">
        <v>18449</v>
      </c>
      <c r="E1252" t="s">
        <v>14168</v>
      </c>
      <c r="F1252" t="s">
        <v>14039</v>
      </c>
      <c r="G1252" t="s">
        <v>14672</v>
      </c>
      <c r="H1252" t="s">
        <v>13869</v>
      </c>
      <c r="I1252" t="s">
        <v>14690</v>
      </c>
      <c r="J1252" s="62">
        <v>0</v>
      </c>
      <c r="K1252" s="62">
        <v>0</v>
      </c>
      <c r="L1252" t="e">
        <f>VLOOKUP(VALUE(LEFT(C1252,5)),Xref!A:B,2,0)</f>
        <v>#N/A</v>
      </c>
      <c r="M1252" t="e">
        <f t="shared" si="79"/>
        <v>#N/A</v>
      </c>
    </row>
    <row r="1253" spans="1:13" ht="14.25" customHeight="true">
      <c r="A1253" s="33" t="str">
        <f t="shared" si="76"/>
        <v>DPI - Intercompany</v>
      </c>
      <c r="B1253" s="33" t="str">
        <f t="shared" si="77"/>
        <v>DPI</v>
      </c>
      <c r="C1253" s="33" t="str">
        <f t="shared" si="78"/>
        <v>11365-0000</v>
      </c>
      <c r="D1253" t="s">
        <v>18450</v>
      </c>
      <c r="E1253" t="s">
        <v>14170</v>
      </c>
      <c r="F1253" t="s">
        <v>14039</v>
      </c>
      <c r="G1253" t="s">
        <v>14672</v>
      </c>
      <c r="H1253" t="s">
        <v>13869</v>
      </c>
      <c r="I1253" t="s">
        <v>14690</v>
      </c>
      <c r="J1253" s="62">
        <v>0</v>
      </c>
      <c r="K1253" s="62">
        <v>0</v>
      </c>
      <c r="L1253" t="e">
        <f>VLOOKUP(VALUE(LEFT(C1253,5)),Xref!A:B,2,0)</f>
        <v>#N/A</v>
      </c>
      <c r="M1253" t="e">
        <f t="shared" si="79"/>
        <v>#N/A</v>
      </c>
    </row>
    <row r="1254" spans="1:13" ht="14.25" customHeight="true">
      <c r="A1254" s="33" t="str">
        <f t="shared" si="76"/>
        <v>DPI - Intercompany</v>
      </c>
      <c r="B1254" s="33" t="str">
        <f t="shared" si="77"/>
        <v>DPI</v>
      </c>
      <c r="C1254" s="33" t="str">
        <f t="shared" si="78"/>
        <v>11366-0000</v>
      </c>
      <c r="D1254" t="s">
        <v>18451</v>
      </c>
      <c r="E1254" t="s">
        <v>14172</v>
      </c>
      <c r="G1254" t="s">
        <v>14672</v>
      </c>
      <c r="H1254" t="s">
        <v>13869</v>
      </c>
      <c r="I1254" t="s">
        <v>14690</v>
      </c>
      <c r="J1254" s="62">
        <v>0</v>
      </c>
      <c r="K1254" s="62">
        <v>0</v>
      </c>
      <c r="L1254" t="e">
        <f>VLOOKUP(VALUE(LEFT(C1254,5)),Xref!A:B,2,0)</f>
        <v>#N/A</v>
      </c>
      <c r="M1254" t="e">
        <f t="shared" si="79"/>
        <v>#N/A</v>
      </c>
    </row>
    <row r="1255" spans="1:13" ht="14.25" customHeight="true">
      <c r="A1255" s="33" t="str">
        <f t="shared" si="76"/>
        <v>DPI - Intercompany</v>
      </c>
      <c r="B1255" s="33" t="str">
        <f t="shared" si="77"/>
        <v>DPI</v>
      </c>
      <c r="C1255" s="33" t="str">
        <f t="shared" si="78"/>
        <v>11402-0000</v>
      </c>
      <c r="D1255" t="s">
        <v>958</v>
      </c>
      <c r="E1255" t="s">
        <v>14174</v>
      </c>
      <c r="G1255" t="s">
        <v>14672</v>
      </c>
      <c r="H1255" t="s">
        <v>13869</v>
      </c>
      <c r="I1255" t="s">
        <v>14690</v>
      </c>
      <c r="J1255" s="62">
        <v>0</v>
      </c>
      <c r="K1255" s="62">
        <v>0</v>
      </c>
      <c r="L1255" t="str">
        <f>VLOOKUP(VALUE(LEFT(C1255,5)),Xref!A:B,2,0)</f>
        <v>DPI</v>
      </c>
      <c r="M1255" t="str">
        <f t="shared" si="79"/>
        <v>DPI-DPI</v>
      </c>
    </row>
    <row r="1256" spans="1:13" ht="14.25" customHeight="true">
      <c r="A1256" s="33" t="str">
        <f t="shared" si="76"/>
        <v>DPI - Intercompany</v>
      </c>
      <c r="B1256" s="33" t="str">
        <f t="shared" si="77"/>
        <v>DPI</v>
      </c>
      <c r="C1256" s="33" t="str">
        <f t="shared" si="78"/>
        <v>11403-0000</v>
      </c>
      <c r="D1256" t="s">
        <v>18452</v>
      </c>
      <c r="E1256" t="s">
        <v>14176</v>
      </c>
      <c r="G1256" t="s">
        <v>14672</v>
      </c>
      <c r="H1256" t="s">
        <v>13869</v>
      </c>
      <c r="I1256" t="s">
        <v>14690</v>
      </c>
      <c r="J1256" s="62">
        <v>0</v>
      </c>
      <c r="K1256" s="62">
        <v>0</v>
      </c>
      <c r="L1256" t="str">
        <f>VLOOKUP(VALUE(LEFT(C1256,5)),Xref!A:B,2,0)</f>
        <v>SEA</v>
      </c>
      <c r="M1256" t="str">
        <f t="shared" si="79"/>
        <v>DPI-SEA</v>
      </c>
    </row>
    <row r="1257" spans="1:13" ht="14.25" customHeight="true">
      <c r="A1257" s="33" t="str">
        <f t="shared" si="76"/>
        <v>DPI - Intercompany</v>
      </c>
      <c r="B1257" s="33" t="str">
        <f t="shared" si="77"/>
        <v>DPI</v>
      </c>
      <c r="C1257" s="33" t="str">
        <f t="shared" si="78"/>
        <v>12400-0000</v>
      </c>
      <c r="D1257" t="s">
        <v>18455</v>
      </c>
      <c r="E1257" t="s">
        <v>14185</v>
      </c>
      <c r="F1257" t="s">
        <v>14039</v>
      </c>
      <c r="G1257" t="s">
        <v>14672</v>
      </c>
      <c r="H1257" t="s">
        <v>13869</v>
      </c>
      <c r="I1257" t="s">
        <v>14690</v>
      </c>
      <c r="J1257" s="62">
        <v>0</v>
      </c>
      <c r="K1257" s="62">
        <v>0</v>
      </c>
      <c r="L1257" t="str">
        <f>VLOOKUP(VALUE(LEFT(C1257,5)),Xref!A:B,2,0)</f>
        <v>aka</v>
      </c>
      <c r="M1257" t="str">
        <f t="shared" si="79"/>
        <v>aka-DPI</v>
      </c>
    </row>
    <row r="1258" spans="1:13" ht="14.25" customHeight="true">
      <c r="A1258" s="33" t="str">
        <f t="shared" si="76"/>
        <v>DPI - Intercompany</v>
      </c>
      <c r="B1258" s="33" t="str">
        <f t="shared" si="77"/>
        <v>DPI</v>
      </c>
      <c r="C1258" s="33" t="str">
        <f t="shared" si="78"/>
        <v>12401-0000</v>
      </c>
      <c r="D1258" t="s">
        <v>18456</v>
      </c>
      <c r="E1258" t="s">
        <v>14187</v>
      </c>
      <c r="F1258" t="s">
        <v>14039</v>
      </c>
      <c r="G1258" t="s">
        <v>14672</v>
      </c>
      <c r="H1258" t="s">
        <v>13869</v>
      </c>
      <c r="I1258" t="s">
        <v>14690</v>
      </c>
      <c r="J1258" s="62">
        <v>0</v>
      </c>
      <c r="K1258" s="62">
        <v>0</v>
      </c>
      <c r="L1258" t="str">
        <f>VLOOKUP(VALUE(LEFT(C1258,5)),Xref!A:B,2,0)</f>
        <v>aka</v>
      </c>
      <c r="M1258" t="str">
        <f t="shared" si="79"/>
        <v>aka-DPI</v>
      </c>
    </row>
    <row r="1259" spans="1:13" ht="14.25" customHeight="true">
      <c r="A1259" s="33" t="str">
        <f t="shared" si="76"/>
        <v>DPI - Intercompany</v>
      </c>
      <c r="B1259" s="33" t="str">
        <f t="shared" si="77"/>
        <v>DPI</v>
      </c>
      <c r="C1259" s="33" t="str">
        <f t="shared" si="78"/>
        <v>12402-0000</v>
      </c>
      <c r="D1259" t="s">
        <v>18457</v>
      </c>
      <c r="E1259" t="s">
        <v>14189</v>
      </c>
      <c r="F1259" t="s">
        <v>14039</v>
      </c>
      <c r="G1259" t="s">
        <v>14672</v>
      </c>
      <c r="H1259" t="s">
        <v>13869</v>
      </c>
      <c r="I1259" t="s">
        <v>14690</v>
      </c>
      <c r="J1259" s="62">
        <v>0</v>
      </c>
      <c r="K1259" s="62">
        <v>-455000</v>
      </c>
      <c r="L1259" t="str">
        <f>VLOOKUP(VALUE(LEFT(C1259,5)),Xref!A:B,2,0)</f>
        <v>aka</v>
      </c>
      <c r="M1259" t="str">
        <f t="shared" si="79"/>
        <v>aka-DPI</v>
      </c>
    </row>
    <row r="1260" spans="1:13" ht="14.25" customHeight="true">
      <c r="A1260" s="33" t="str">
        <f t="shared" si="76"/>
        <v>DPI - Intercompany</v>
      </c>
      <c r="B1260" s="33" t="str">
        <f t="shared" si="77"/>
        <v>DPI</v>
      </c>
      <c r="C1260" s="33" t="str">
        <f t="shared" si="78"/>
        <v>12403-0000</v>
      </c>
      <c r="D1260" t="s">
        <v>18458</v>
      </c>
      <c r="E1260" t="s">
        <v>5226</v>
      </c>
      <c r="F1260" t="s">
        <v>14039</v>
      </c>
      <c r="G1260" t="s">
        <v>14672</v>
      </c>
      <c r="H1260" t="s">
        <v>13869</v>
      </c>
      <c r="I1260" t="s">
        <v>14690</v>
      </c>
      <c r="J1260" s="62">
        <v>0</v>
      </c>
      <c r="K1260" s="62">
        <v>0</v>
      </c>
      <c r="L1260" t="str">
        <f>VLOOKUP(VALUE(LEFT(C1260,5)),Xref!A:B,2,0)</f>
        <v>aka</v>
      </c>
      <c r="M1260" t="str">
        <f t="shared" si="79"/>
        <v>aka-DPI</v>
      </c>
    </row>
    <row r="1261" spans="1:13" ht="14.25" customHeight="true">
      <c r="A1261" s="33" t="str">
        <f t="shared" si="76"/>
        <v>DPI - Intercompany</v>
      </c>
      <c r="B1261" s="33" t="str">
        <f t="shared" si="77"/>
        <v>DPI</v>
      </c>
      <c r="C1261" s="33" t="str">
        <f t="shared" si="78"/>
        <v>12501-0000</v>
      </c>
      <c r="D1261" t="s">
        <v>18459</v>
      </c>
      <c r="E1261" t="s">
        <v>14192</v>
      </c>
      <c r="F1261" t="s">
        <v>14039</v>
      </c>
      <c r="G1261" t="s">
        <v>14672</v>
      </c>
      <c r="H1261" t="s">
        <v>13869</v>
      </c>
      <c r="I1261" t="s">
        <v>14690</v>
      </c>
      <c r="J1261" s="62">
        <v>0</v>
      </c>
      <c r="K1261" s="62">
        <v>0</v>
      </c>
      <c r="L1261" t="str">
        <f>VLOOKUP(VALUE(LEFT(C1261,5)),Xref!A:B,2,0)</f>
        <v>aka</v>
      </c>
      <c r="M1261" t="str">
        <f t="shared" si="79"/>
        <v>aka-DPI</v>
      </c>
    </row>
    <row r="1262" spans="1:13" ht="14.25" customHeight="true">
      <c r="A1262" s="33" t="str">
        <f t="shared" si="76"/>
        <v>DPI - InterCo Notes</v>
      </c>
      <c r="B1262" s="33" t="str">
        <f t="shared" si="77"/>
        <v>DPI</v>
      </c>
      <c r="C1262" s="33" t="str">
        <f t="shared" si="78"/>
        <v>25600-0000</v>
      </c>
      <c r="D1262" t="s">
        <v>18507</v>
      </c>
      <c r="E1262" t="s">
        <v>314</v>
      </c>
      <c r="F1262" t="s">
        <v>14039</v>
      </c>
      <c r="G1262" t="s">
        <v>14672</v>
      </c>
      <c r="H1262" t="s">
        <v>13889</v>
      </c>
      <c r="I1262" t="s">
        <v>14690</v>
      </c>
      <c r="J1262" s="62">
        <v>0</v>
      </c>
      <c r="K1262" s="62">
        <v>-1550000</v>
      </c>
      <c r="L1262" t="str">
        <f>VLOOKUP(VALUE(LEFT(C1262,5)),Xref!A:B,2,0)</f>
        <v>D7</v>
      </c>
      <c r="M1262" t="str">
        <f t="shared" si="79"/>
        <v>D7-DPI</v>
      </c>
    </row>
    <row r="1263" spans="1:13" ht="14.25" customHeight="true">
      <c r="A1263" s="33" t="str">
        <f t="shared" si="76"/>
        <v>DPI - InterCo Notes</v>
      </c>
      <c r="B1263" s="33" t="str">
        <f t="shared" si="77"/>
        <v>DPI</v>
      </c>
      <c r="C1263" s="33" t="str">
        <f t="shared" si="78"/>
        <v>25602-0000</v>
      </c>
      <c r="D1263" t="s">
        <v>18509</v>
      </c>
      <c r="E1263" t="s">
        <v>13426</v>
      </c>
      <c r="F1263" t="s">
        <v>14039</v>
      </c>
      <c r="G1263" t="s">
        <v>14672</v>
      </c>
      <c r="H1263" t="s">
        <v>13889</v>
      </c>
      <c r="I1263" t="s">
        <v>14690</v>
      </c>
      <c r="J1263" s="62">
        <v>0</v>
      </c>
      <c r="K1263" s="62">
        <v>0</v>
      </c>
      <c r="L1263" t="str">
        <f>VLOOKUP(VALUE(LEFT(C1263,5)),Xref!A:B,2,0)</f>
        <v>DFLP</v>
      </c>
      <c r="M1263" t="str">
        <f t="shared" si="79"/>
        <v>DFLP-DPI</v>
      </c>
    </row>
    <row r="1264" spans="1:13" ht="14.25" customHeight="true">
      <c r="A1264" s="33" t="str">
        <f t="shared" si="76"/>
        <v>DPI - InterCo Notes</v>
      </c>
      <c r="B1264" s="33" t="str">
        <f t="shared" si="77"/>
        <v>DPI</v>
      </c>
      <c r="C1264" s="33" t="str">
        <f t="shared" si="78"/>
        <v>25603-0000</v>
      </c>
      <c r="D1264" t="s">
        <v>18510</v>
      </c>
      <c r="E1264" t="s">
        <v>14311</v>
      </c>
      <c r="F1264" t="s">
        <v>14039</v>
      </c>
      <c r="G1264" t="s">
        <v>14832</v>
      </c>
      <c r="H1264" t="s">
        <v>13889</v>
      </c>
      <c r="I1264" t="s">
        <v>14690</v>
      </c>
      <c r="J1264" s="62">
        <v>0</v>
      </c>
      <c r="K1264" s="62">
        <v>0</v>
      </c>
      <c r="L1264" t="str">
        <f>VLOOKUP(VALUE(LEFT(C1264,5)),Xref!A:B,2,0)</f>
        <v>aka</v>
      </c>
      <c r="M1264" t="str">
        <f t="shared" si="79"/>
        <v>aka-DPI</v>
      </c>
    </row>
    <row r="1265" spans="1:13" ht="14.25" customHeight="true">
      <c r="A1265" s="33" t="str">
        <f t="shared" si="76"/>
        <v>DPI - Intercompany</v>
      </c>
      <c r="B1265" s="33" t="str">
        <f t="shared" si="77"/>
        <v>DPI</v>
      </c>
      <c r="C1265" s="33" t="str">
        <f t="shared" si="78"/>
        <v>25604-0000</v>
      </c>
      <c r="D1265" t="s">
        <v>18511</v>
      </c>
      <c r="E1265" t="s">
        <v>13490</v>
      </c>
      <c r="F1265" t="s">
        <v>14039</v>
      </c>
      <c r="G1265" t="s">
        <v>14672</v>
      </c>
      <c r="H1265" t="s">
        <v>13869</v>
      </c>
      <c r="I1265" t="s">
        <v>14690</v>
      </c>
      <c r="J1265" s="62">
        <v>0</v>
      </c>
      <c r="K1265" s="62">
        <v>0</v>
      </c>
      <c r="L1265">
        <f>VLOOKUP(VALUE(LEFT(C1265,5)),Xref!A:B,2,0)</f>
        <v>0</v>
      </c>
      <c r="M1265" t="str">
        <f t="shared" si="79"/>
        <v>0-DPI</v>
      </c>
    </row>
    <row r="1266" spans="1:13" ht="14.25" customHeight="true">
      <c r="A1266" s="33" t="str">
        <f t="shared" si="76"/>
        <v>DPM - Intercompany</v>
      </c>
      <c r="B1266" s="33" t="str">
        <f t="shared" si="77"/>
        <v>DPM</v>
      </c>
      <c r="C1266" s="33" t="str">
        <f t="shared" si="78"/>
        <v>11200-0000</v>
      </c>
      <c r="D1266" t="s">
        <v>18685</v>
      </c>
      <c r="E1266" t="s">
        <v>14069</v>
      </c>
      <c r="F1266" t="s">
        <v>14039</v>
      </c>
      <c r="G1266" t="s">
        <v>14672</v>
      </c>
      <c r="H1266" t="s">
        <v>13869</v>
      </c>
      <c r="I1266" t="s">
        <v>14690</v>
      </c>
      <c r="J1266" s="62">
        <v>0</v>
      </c>
      <c r="K1266" s="62">
        <v>0</v>
      </c>
      <c r="L1266" t="str">
        <f>VLOOKUP(VALUE(LEFT(C1266,5)),Xref!A:B,2,0)</f>
        <v>SCL</v>
      </c>
      <c r="M1266" t="str">
        <f t="shared" si="79"/>
        <v>DPM-SCL</v>
      </c>
    </row>
    <row r="1267" spans="1:13" ht="14.25" customHeight="true">
      <c r="A1267" s="33" t="str">
        <f t="shared" si="76"/>
        <v>DPM - Intercompany</v>
      </c>
      <c r="B1267" s="33" t="str">
        <f t="shared" si="77"/>
        <v>DPM</v>
      </c>
      <c r="C1267" s="33" t="str">
        <f t="shared" si="78"/>
        <v>11201-0000</v>
      </c>
      <c r="D1267" t="s">
        <v>18686</v>
      </c>
      <c r="E1267" t="s">
        <v>14071</v>
      </c>
      <c r="F1267" t="s">
        <v>14039</v>
      </c>
      <c r="G1267" t="s">
        <v>14672</v>
      </c>
      <c r="H1267" t="s">
        <v>13869</v>
      </c>
      <c r="I1267" t="s">
        <v>14690</v>
      </c>
      <c r="J1267" s="62">
        <v>0</v>
      </c>
      <c r="K1267" s="62">
        <v>0</v>
      </c>
      <c r="L1267" t="str">
        <f>VLOOKUP(VALUE(LEFT(C1267,5)),Xref!A:B,2,0)</f>
        <v>SG2</v>
      </c>
      <c r="M1267" t="str">
        <f t="shared" si="79"/>
        <v>DPM-SG2</v>
      </c>
    </row>
    <row r="1268" spans="1:13" ht="14.25" customHeight="true">
      <c r="A1268" s="33" t="str">
        <f t="shared" si="76"/>
        <v>DPM - Intercompany</v>
      </c>
      <c r="B1268" s="33" t="str">
        <f t="shared" si="77"/>
        <v>DPM</v>
      </c>
      <c r="C1268" s="33" t="str">
        <f t="shared" si="78"/>
        <v>11202-0000</v>
      </c>
      <c r="D1268" t="s">
        <v>18687</v>
      </c>
      <c r="E1268" t="s">
        <v>14073</v>
      </c>
      <c r="F1268" t="s">
        <v>14039</v>
      </c>
      <c r="G1268" t="s">
        <v>14672</v>
      </c>
      <c r="H1268" t="s">
        <v>13869</v>
      </c>
      <c r="I1268" t="s">
        <v>14690</v>
      </c>
      <c r="J1268" s="62">
        <v>0</v>
      </c>
      <c r="K1268" s="62">
        <v>0</v>
      </c>
      <c r="L1268" t="str">
        <f>VLOOKUP(VALUE(LEFT(C1268,5)),Xref!A:B,2,0)</f>
        <v>FFC</v>
      </c>
      <c r="M1268" t="str">
        <f t="shared" si="79"/>
        <v>DPM-FFC</v>
      </c>
    </row>
    <row r="1269" spans="1:13" ht="14.25" customHeight="true">
      <c r="A1269" s="33" t="str">
        <f t="shared" si="76"/>
        <v>DPM - Intercompany</v>
      </c>
      <c r="B1269" s="33" t="str">
        <f t="shared" si="77"/>
        <v>DPM</v>
      </c>
      <c r="C1269" s="33" t="str">
        <f t="shared" si="78"/>
        <v>11203-0000</v>
      </c>
      <c r="D1269" t="s">
        <v>18688</v>
      </c>
      <c r="E1269" t="s">
        <v>14075</v>
      </c>
      <c r="F1269" t="s">
        <v>14039</v>
      </c>
      <c r="G1269" t="s">
        <v>14672</v>
      </c>
      <c r="H1269" t="s">
        <v>13869</v>
      </c>
      <c r="I1269" t="s">
        <v>14690</v>
      </c>
      <c r="J1269" s="62">
        <v>0</v>
      </c>
      <c r="K1269" s="62">
        <v>0</v>
      </c>
      <c r="L1269" t="str">
        <f>VLOOKUP(VALUE(LEFT(C1269,5)),Xref!A:B,2,0)</f>
        <v>HN2</v>
      </c>
      <c r="M1269" t="str">
        <f t="shared" si="79"/>
        <v>DPM-HN2</v>
      </c>
    </row>
    <row r="1270" spans="1:13" ht="14.25" customHeight="true">
      <c r="A1270" s="33" t="str">
        <f t="shared" si="76"/>
        <v>DPM - Intercompany</v>
      </c>
      <c r="B1270" s="33" t="str">
        <f t="shared" si="77"/>
        <v>DPM</v>
      </c>
      <c r="C1270" s="33" t="str">
        <f t="shared" si="78"/>
        <v>11204-0000</v>
      </c>
      <c r="D1270" t="s">
        <v>18689</v>
      </c>
      <c r="E1270" t="s">
        <v>14077</v>
      </c>
      <c r="F1270" t="s">
        <v>14039</v>
      </c>
      <c r="G1270" t="s">
        <v>14672</v>
      </c>
      <c r="H1270" t="s">
        <v>13869</v>
      </c>
      <c r="I1270" t="s">
        <v>14690</v>
      </c>
      <c r="J1270" s="62">
        <v>0</v>
      </c>
      <c r="K1270" s="62">
        <v>0</v>
      </c>
      <c r="L1270" t="str">
        <f>VLOOKUP(VALUE(LEFT(C1270,5)),Xref!A:B,2,0)</f>
        <v>DF2</v>
      </c>
      <c r="M1270" t="str">
        <f t="shared" si="79"/>
        <v>DF2-DPM</v>
      </c>
    </row>
    <row r="1271" spans="1:13" ht="14.25" customHeight="true">
      <c r="A1271" s="33" t="str">
        <f t="shared" si="76"/>
        <v>DPM - Intercompany</v>
      </c>
      <c r="B1271" s="33" t="str">
        <f t="shared" si="77"/>
        <v>DPM</v>
      </c>
      <c r="C1271" s="33" t="str">
        <f t="shared" si="78"/>
        <v>11208-0000</v>
      </c>
      <c r="D1271" t="s">
        <v>18690</v>
      </c>
      <c r="E1271" t="s">
        <v>14079</v>
      </c>
      <c r="F1271" t="s">
        <v>14039</v>
      </c>
      <c r="G1271" t="s">
        <v>14672</v>
      </c>
      <c r="H1271" t="s">
        <v>13869</v>
      </c>
      <c r="I1271" t="s">
        <v>14690</v>
      </c>
      <c r="J1271" s="62">
        <v>0</v>
      </c>
      <c r="K1271" s="62">
        <v>0</v>
      </c>
      <c r="L1271" t="str">
        <f>VLOOKUP(VALUE(LEFT(C1271,5)),Xref!A:B,2,0)</f>
        <v>SRE</v>
      </c>
      <c r="M1271" t="str">
        <f t="shared" si="79"/>
        <v>DPM-SRE</v>
      </c>
    </row>
    <row r="1272" spans="1:13" ht="14.25" customHeight="true">
      <c r="A1272" s="33" t="str">
        <f t="shared" si="76"/>
        <v>DPM - Intercompany</v>
      </c>
      <c r="B1272" s="33" t="str">
        <f t="shared" si="77"/>
        <v>DPM</v>
      </c>
      <c r="C1272" s="33" t="str">
        <f t="shared" si="78"/>
        <v>11210-0000</v>
      </c>
      <c r="D1272" t="s">
        <v>18691</v>
      </c>
      <c r="E1272" t="s">
        <v>14081</v>
      </c>
      <c r="F1272" t="s">
        <v>14039</v>
      </c>
      <c r="G1272" t="s">
        <v>14672</v>
      </c>
      <c r="H1272" t="s">
        <v>13869</v>
      </c>
      <c r="I1272" t="s">
        <v>14690</v>
      </c>
      <c r="J1272" s="62">
        <v>0</v>
      </c>
      <c r="K1272" s="62">
        <v>0</v>
      </c>
      <c r="L1272" t="str">
        <f>VLOOKUP(VALUE(LEFT(C1272,5)),Xref!A:B,2,0)</f>
        <v>REM</v>
      </c>
      <c r="M1272" t="str">
        <f t="shared" si="79"/>
        <v>DPM-REM</v>
      </c>
    </row>
    <row r="1273" spans="1:13" ht="14.25" customHeight="true">
      <c r="A1273" s="33" t="str">
        <f t="shared" si="76"/>
        <v>DPM - Intercompany</v>
      </c>
      <c r="B1273" s="33" t="str">
        <f t="shared" si="77"/>
        <v>DPM</v>
      </c>
      <c r="C1273" s="33" t="str">
        <f t="shared" si="78"/>
        <v>11212-0000</v>
      </c>
      <c r="D1273" t="s">
        <v>18692</v>
      </c>
      <c r="E1273" t="s">
        <v>14083</v>
      </c>
      <c r="F1273" t="s">
        <v>14039</v>
      </c>
      <c r="G1273" t="s">
        <v>14672</v>
      </c>
      <c r="H1273" t="s">
        <v>13869</v>
      </c>
      <c r="I1273" t="s">
        <v>14690</v>
      </c>
      <c r="J1273" s="62">
        <v>0</v>
      </c>
      <c r="K1273" s="62">
        <v>0</v>
      </c>
      <c r="L1273" t="str">
        <f>VLOOKUP(VALUE(LEFT(C1273,5)),Xref!A:B,2,0)</f>
        <v>FRM</v>
      </c>
      <c r="M1273" t="str">
        <f t="shared" si="79"/>
        <v>DPM-FRM</v>
      </c>
    </row>
    <row r="1274" spans="1:13" ht="14.25" customHeight="true">
      <c r="A1274" s="33" t="str">
        <f t="shared" si="76"/>
        <v>DPM - Intercompany</v>
      </c>
      <c r="B1274" s="33" t="str">
        <f t="shared" si="77"/>
        <v>DPM</v>
      </c>
      <c r="C1274" s="33" t="str">
        <f t="shared" si="78"/>
        <v>11214-0000</v>
      </c>
      <c r="D1274" t="s">
        <v>18693</v>
      </c>
      <c r="E1274" t="s">
        <v>14085</v>
      </c>
      <c r="F1274" t="s">
        <v>14039</v>
      </c>
      <c r="G1274" t="s">
        <v>14672</v>
      </c>
      <c r="H1274" t="s">
        <v>13869</v>
      </c>
      <c r="I1274" t="s">
        <v>14690</v>
      </c>
      <c r="J1274" s="62">
        <v>0</v>
      </c>
      <c r="K1274" s="62">
        <v>0</v>
      </c>
      <c r="L1274" t="str">
        <f>VLOOKUP(VALUE(LEFT(C1274,5)),Xref!A:B,2,0)</f>
        <v>D7R</v>
      </c>
      <c r="M1274" t="str">
        <f t="shared" si="79"/>
        <v>D7R-DPM</v>
      </c>
    </row>
    <row r="1275" spans="1:13" ht="14.25" customHeight="true">
      <c r="A1275" s="33" t="str">
        <f t="shared" si="76"/>
        <v>DPM - Intercompany</v>
      </c>
      <c r="B1275" s="33" t="str">
        <f t="shared" si="77"/>
        <v>DPM</v>
      </c>
      <c r="C1275" s="33" t="str">
        <f t="shared" si="78"/>
        <v>11215-0000</v>
      </c>
      <c r="D1275" t="s">
        <v>18694</v>
      </c>
      <c r="E1275" t="s">
        <v>14087</v>
      </c>
      <c r="F1275" t="s">
        <v>14039</v>
      </c>
      <c r="G1275" t="s">
        <v>14672</v>
      </c>
      <c r="H1275" t="s">
        <v>13869</v>
      </c>
      <c r="I1275" t="s">
        <v>14690</v>
      </c>
      <c r="J1275" s="62">
        <v>0</v>
      </c>
      <c r="K1275" s="62">
        <v>0</v>
      </c>
      <c r="L1275" t="str">
        <f>VLOOKUP(VALUE(LEFT(C1275,5)),Xref!A:B,2,0)</f>
        <v>CDP</v>
      </c>
      <c r="M1275" t="str">
        <f t="shared" si="79"/>
        <v>CDP-DPM</v>
      </c>
    </row>
    <row r="1276" spans="1:13" ht="14.25" customHeight="true">
      <c r="A1276" s="33" t="str">
        <f t="shared" si="76"/>
        <v>DPM - Intercompany</v>
      </c>
      <c r="B1276" s="33" t="str">
        <f t="shared" si="77"/>
        <v>DPM</v>
      </c>
      <c r="C1276" s="33" t="str">
        <f t="shared" si="78"/>
        <v>11216-0000</v>
      </c>
      <c r="D1276" t="s">
        <v>5480</v>
      </c>
      <c r="E1276" t="s">
        <v>13224</v>
      </c>
      <c r="F1276" t="s">
        <v>14039</v>
      </c>
      <c r="G1276" t="s">
        <v>14672</v>
      </c>
      <c r="H1276" t="s">
        <v>13869</v>
      </c>
      <c r="I1276" t="s">
        <v>14690</v>
      </c>
      <c r="J1276" s="62">
        <v>-323.97</v>
      </c>
      <c r="K1276" s="62">
        <v>-17141.04</v>
      </c>
      <c r="L1276" t="str">
        <f>VLOOKUP(VALUE(LEFT(C1276,5)),Xref!A:B,2,0)</f>
        <v>SIL</v>
      </c>
      <c r="M1276" t="str">
        <f t="shared" si="79"/>
        <v>DPM-SIL</v>
      </c>
    </row>
    <row r="1277" spans="1:13" ht="14.25" customHeight="true">
      <c r="A1277" s="33" t="str">
        <f t="shared" si="76"/>
        <v>DPM - Intercompany</v>
      </c>
      <c r="B1277" s="33" t="str">
        <f t="shared" si="77"/>
        <v>DPM</v>
      </c>
      <c r="C1277" s="33" t="str">
        <f t="shared" si="78"/>
        <v>11232-0000</v>
      </c>
      <c r="D1277" t="s">
        <v>18695</v>
      </c>
      <c r="E1277" t="s">
        <v>12486</v>
      </c>
      <c r="F1277" t="s">
        <v>14039</v>
      </c>
      <c r="G1277" t="s">
        <v>14672</v>
      </c>
      <c r="H1277" t="s">
        <v>13869</v>
      </c>
      <c r="I1277" t="s">
        <v>14690</v>
      </c>
      <c r="J1277" s="62">
        <v>0</v>
      </c>
      <c r="K1277" s="62">
        <v>0</v>
      </c>
      <c r="L1277" t="str">
        <f>VLOOKUP(VALUE(LEFT(C1277,5)),Xref!A:B,2,0)</f>
        <v>SC2</v>
      </c>
      <c r="M1277" t="str">
        <f t="shared" si="79"/>
        <v>DPM-SC2</v>
      </c>
    </row>
    <row r="1278" spans="1:13" ht="14.25" customHeight="true">
      <c r="A1278" s="33" t="str">
        <f t="shared" si="76"/>
        <v>DPM - Intercompany</v>
      </c>
      <c r="B1278" s="33" t="str">
        <f t="shared" si="77"/>
        <v>DPM</v>
      </c>
      <c r="C1278" s="33" t="str">
        <f t="shared" si="78"/>
        <v>11301-0000</v>
      </c>
      <c r="D1278" t="s">
        <v>18696</v>
      </c>
      <c r="E1278" t="s">
        <v>13225</v>
      </c>
      <c r="F1278" t="s">
        <v>14039</v>
      </c>
      <c r="G1278" t="s">
        <v>14672</v>
      </c>
      <c r="H1278" t="s">
        <v>13869</v>
      </c>
      <c r="I1278" t="s">
        <v>14690</v>
      </c>
      <c r="J1278" s="62">
        <v>0</v>
      </c>
      <c r="K1278" s="62">
        <v>0</v>
      </c>
      <c r="L1278" t="str">
        <f>VLOOKUP(VALUE(LEFT(C1278,5)),Xref!A:B,2,0)</f>
        <v>CRE</v>
      </c>
      <c r="M1278" t="str">
        <f t="shared" si="79"/>
        <v>CRE-DPM</v>
      </c>
    </row>
    <row r="1279" spans="1:13" ht="14.25" customHeight="true">
      <c r="A1279" s="33" t="str">
        <f t="shared" si="76"/>
        <v>DPM - Intercompany</v>
      </c>
      <c r="B1279" s="33" t="str">
        <f t="shared" si="77"/>
        <v>DPM</v>
      </c>
      <c r="C1279" s="33" t="str">
        <f t="shared" si="78"/>
        <v>11302-0000</v>
      </c>
      <c r="D1279" t="s">
        <v>18697</v>
      </c>
      <c r="E1279" t="s">
        <v>13226</v>
      </c>
      <c r="F1279" t="s">
        <v>14039</v>
      </c>
      <c r="G1279" t="s">
        <v>14672</v>
      </c>
      <c r="H1279" t="s">
        <v>13869</v>
      </c>
      <c r="I1279" t="s">
        <v>14690</v>
      </c>
      <c r="J1279" s="62">
        <v>0</v>
      </c>
      <c r="K1279" s="62">
        <v>0</v>
      </c>
      <c r="L1279" t="str">
        <f>VLOOKUP(VALUE(LEFT(C1279,5)),Xref!A:B,2,0)</f>
        <v>CHA</v>
      </c>
      <c r="M1279" t="str">
        <f t="shared" si="79"/>
        <v>CHA-DPM</v>
      </c>
    </row>
    <row r="1280" spans="1:13" ht="14.25" customHeight="true">
      <c r="A1280" s="33" t="str">
        <f t="shared" si="76"/>
        <v>DPM - Intercompany</v>
      </c>
      <c r="B1280" s="33" t="str">
        <f t="shared" si="77"/>
        <v>DPM</v>
      </c>
      <c r="C1280" s="33" t="str">
        <f t="shared" si="78"/>
        <v>11303-0000</v>
      </c>
      <c r="D1280" t="s">
        <v>18698</v>
      </c>
      <c r="E1280" t="s">
        <v>13227</v>
      </c>
      <c r="F1280" t="s">
        <v>14039</v>
      </c>
      <c r="G1280" t="s">
        <v>14672</v>
      </c>
      <c r="H1280" t="s">
        <v>13869</v>
      </c>
      <c r="I1280" t="s">
        <v>14690</v>
      </c>
      <c r="J1280" s="62">
        <v>0</v>
      </c>
      <c r="K1280" s="62">
        <v>0</v>
      </c>
      <c r="L1280" t="str">
        <f>VLOOKUP(VALUE(LEFT(C1280,5)),Xref!A:B,2,0)</f>
        <v>DIA</v>
      </c>
      <c r="M1280" t="str">
        <f t="shared" si="79"/>
        <v>DIA-DPM</v>
      </c>
    </row>
    <row r="1281" spans="1:13" ht="14.25" customHeight="true">
      <c r="A1281" s="33" t="str">
        <f t="shared" si="76"/>
        <v>DPM - Intercompany</v>
      </c>
      <c r="B1281" s="33" t="str">
        <f t="shared" si="77"/>
        <v>DPM</v>
      </c>
      <c r="C1281" s="33" t="str">
        <f t="shared" si="78"/>
        <v>11304-0000</v>
      </c>
      <c r="D1281" t="s">
        <v>18699</v>
      </c>
      <c r="E1281" t="s">
        <v>13228</v>
      </c>
      <c r="F1281" t="s">
        <v>14039</v>
      </c>
      <c r="G1281" t="s">
        <v>14672</v>
      </c>
      <c r="H1281" t="s">
        <v>13869</v>
      </c>
      <c r="I1281" t="s">
        <v>14690</v>
      </c>
      <c r="J1281" s="62">
        <v>0</v>
      </c>
      <c r="K1281" s="62">
        <v>0</v>
      </c>
      <c r="L1281" t="str">
        <f>VLOOKUP(VALUE(LEFT(C1281,5)),Xref!A:B,2,0)</f>
        <v>EAG</v>
      </c>
      <c r="M1281" t="str">
        <f t="shared" si="79"/>
        <v>DPM-EAG</v>
      </c>
    </row>
    <row r="1282" spans="1:13" ht="14.25" customHeight="true">
      <c r="A1282" s="33" t="str">
        <f t="shared" ref="A1282:A1345" si="80">B1282&amp;" - "&amp;TRIM(H1282)</f>
        <v>DPM - Intercompany</v>
      </c>
      <c r="B1282" s="33" t="str">
        <f t="shared" ref="B1282:B1345" si="81">LEFT(D1282,3)</f>
        <v>DPM</v>
      </c>
      <c r="C1282" s="33" t="str">
        <f t="shared" ref="C1282:C1345" si="82">RIGHT(D1282,10)</f>
        <v>11305-0000</v>
      </c>
      <c r="D1282" t="s">
        <v>18700</v>
      </c>
      <c r="E1282" t="s">
        <v>13229</v>
      </c>
      <c r="F1282" t="s">
        <v>14039</v>
      </c>
      <c r="G1282" t="s">
        <v>14672</v>
      </c>
      <c r="H1282" t="s">
        <v>13869</v>
      </c>
      <c r="I1282" t="s">
        <v>14690</v>
      </c>
      <c r="J1282" s="62">
        <v>0</v>
      </c>
      <c r="K1282" s="62">
        <v>0</v>
      </c>
      <c r="L1282" t="str">
        <f>VLOOKUP(VALUE(LEFT(C1282,5)),Xref!A:B,2,0)</f>
        <v>NEW</v>
      </c>
      <c r="M1282" t="str">
        <f t="shared" ref="M1282:M1345" si="83">IF(B1282&lt;L1282,B1282&amp;"-"&amp;L1282,L1282&amp;"-"&amp;B1282)</f>
        <v>DPM-NEW</v>
      </c>
    </row>
    <row r="1283" spans="1:13" ht="14.25" customHeight="true">
      <c r="A1283" s="33" t="str">
        <f t="shared" si="80"/>
        <v>DPM - Intercompany</v>
      </c>
      <c r="B1283" s="33" t="str">
        <f t="shared" si="81"/>
        <v>DPM</v>
      </c>
      <c r="C1283" s="33" t="str">
        <f t="shared" si="82"/>
        <v>11307-0000</v>
      </c>
      <c r="D1283" t="s">
        <v>18701</v>
      </c>
      <c r="E1283" t="s">
        <v>14096</v>
      </c>
      <c r="F1283" t="s">
        <v>14039</v>
      </c>
      <c r="G1283" t="s">
        <v>14672</v>
      </c>
      <c r="H1283" t="s">
        <v>13869</v>
      </c>
      <c r="I1283" t="s">
        <v>14690</v>
      </c>
      <c r="J1283" s="62">
        <v>0</v>
      </c>
      <c r="K1283" s="62">
        <v>0</v>
      </c>
      <c r="L1283" t="str">
        <f>VLOOKUP(VALUE(LEFT(C1283,5)),Xref!A:B,2,0)</f>
        <v>NES</v>
      </c>
      <c r="M1283" t="str">
        <f t="shared" si="83"/>
        <v>DPM-NES</v>
      </c>
    </row>
    <row r="1284" spans="1:13" ht="14.25" customHeight="true">
      <c r="A1284" s="33" t="str">
        <f t="shared" si="80"/>
        <v>DPM - Intercompany</v>
      </c>
      <c r="B1284" s="33" t="str">
        <f t="shared" si="81"/>
        <v>DPM</v>
      </c>
      <c r="C1284" s="33" t="str">
        <f t="shared" si="82"/>
        <v>11308-0000</v>
      </c>
      <c r="D1284" t="s">
        <v>18702</v>
      </c>
      <c r="E1284" t="s">
        <v>13476</v>
      </c>
      <c r="F1284" t="s">
        <v>14039</v>
      </c>
      <c r="G1284" t="s">
        <v>14672</v>
      </c>
      <c r="H1284" t="s">
        <v>13869</v>
      </c>
      <c r="I1284" t="s">
        <v>14690</v>
      </c>
      <c r="J1284" s="62">
        <v>0</v>
      </c>
      <c r="K1284" s="62">
        <v>0</v>
      </c>
      <c r="L1284" t="str">
        <f>VLOOKUP(VALUE(LEFT(C1284,5)),Xref!A:B,2,0)</f>
        <v>LPI</v>
      </c>
      <c r="M1284" t="str">
        <f t="shared" si="83"/>
        <v>DPM-LPI</v>
      </c>
    </row>
    <row r="1285" spans="1:13" ht="14.25" customHeight="true">
      <c r="A1285" s="33" t="str">
        <f t="shared" si="80"/>
        <v>DPM - Intercompany</v>
      </c>
      <c r="B1285" s="33" t="str">
        <f t="shared" si="81"/>
        <v>DPM</v>
      </c>
      <c r="C1285" s="33" t="str">
        <f t="shared" si="82"/>
        <v>11309-0000</v>
      </c>
      <c r="D1285" t="s">
        <v>18703</v>
      </c>
      <c r="E1285" t="s">
        <v>13230</v>
      </c>
      <c r="F1285" t="s">
        <v>14039</v>
      </c>
      <c r="G1285" t="s">
        <v>14672</v>
      </c>
      <c r="H1285" t="s">
        <v>13869</v>
      </c>
      <c r="I1285" t="s">
        <v>14690</v>
      </c>
      <c r="J1285" s="62">
        <v>0</v>
      </c>
      <c r="K1285" s="62">
        <v>0</v>
      </c>
      <c r="L1285" t="str">
        <f>VLOOKUP(VALUE(LEFT(C1285,5)),Xref!A:B,2,0)</f>
        <v>GPI</v>
      </c>
      <c r="M1285" t="str">
        <f t="shared" si="83"/>
        <v>DPM-GPI</v>
      </c>
    </row>
    <row r="1286" spans="1:13" ht="14.25" customHeight="true">
      <c r="A1286" s="33" t="str">
        <f t="shared" si="80"/>
        <v>DPM - Intercompany</v>
      </c>
      <c r="B1286" s="33" t="str">
        <f t="shared" si="81"/>
        <v>DPM</v>
      </c>
      <c r="C1286" s="33" t="str">
        <f t="shared" si="82"/>
        <v>11310-0000</v>
      </c>
      <c r="D1286" t="s">
        <v>18704</v>
      </c>
      <c r="E1286" t="s">
        <v>13231</v>
      </c>
      <c r="F1286" t="s">
        <v>14039</v>
      </c>
      <c r="G1286" t="s">
        <v>14672</v>
      </c>
      <c r="H1286" t="s">
        <v>13869</v>
      </c>
      <c r="I1286" t="s">
        <v>14690</v>
      </c>
      <c r="J1286" s="62">
        <v>0</v>
      </c>
      <c r="K1286" s="62">
        <v>0</v>
      </c>
      <c r="L1286" t="str">
        <f>VLOOKUP(VALUE(LEFT(C1286,5)),Xref!A:B,2,0)</f>
        <v>ALP</v>
      </c>
      <c r="M1286" t="str">
        <f t="shared" si="83"/>
        <v>ALP-DPM</v>
      </c>
    </row>
    <row r="1287" spans="1:13" ht="14.25" customHeight="true">
      <c r="A1287" s="33" t="str">
        <f t="shared" si="80"/>
        <v>DPM - Intercompany</v>
      </c>
      <c r="B1287" s="33" t="str">
        <f t="shared" si="81"/>
        <v>DPM</v>
      </c>
      <c r="C1287" s="33" t="str">
        <f t="shared" si="82"/>
        <v>11311-0000</v>
      </c>
      <c r="D1287" t="s">
        <v>18705</v>
      </c>
      <c r="E1287" t="s">
        <v>13232</v>
      </c>
      <c r="F1287" t="s">
        <v>14039</v>
      </c>
      <c r="G1287" t="s">
        <v>14672</v>
      </c>
      <c r="H1287" t="s">
        <v>13869</v>
      </c>
      <c r="I1287" t="s">
        <v>14690</v>
      </c>
      <c r="J1287" s="62">
        <v>0</v>
      </c>
      <c r="K1287" s="62">
        <v>0</v>
      </c>
      <c r="L1287" t="str">
        <f>VLOOKUP(VALUE(LEFT(C1287,5)),Xref!A:B,2,0)</f>
        <v>BET</v>
      </c>
      <c r="M1287" t="str">
        <f t="shared" si="83"/>
        <v>BET-DPM</v>
      </c>
    </row>
    <row r="1288" spans="1:13" ht="14.25" customHeight="true">
      <c r="A1288" s="33" t="str">
        <f t="shared" si="80"/>
        <v>DPM - Intercompany</v>
      </c>
      <c r="B1288" s="33" t="str">
        <f t="shared" si="81"/>
        <v>DPM</v>
      </c>
      <c r="C1288" s="33" t="str">
        <f t="shared" si="82"/>
        <v>11312-0000</v>
      </c>
      <c r="D1288" t="s">
        <v>18706</v>
      </c>
      <c r="E1288" t="s">
        <v>14102</v>
      </c>
      <c r="F1288" t="s">
        <v>14039</v>
      </c>
      <c r="G1288" t="s">
        <v>14672</v>
      </c>
      <c r="H1288" t="s">
        <v>13869</v>
      </c>
      <c r="I1288" t="s">
        <v>14690</v>
      </c>
      <c r="J1288" s="62">
        <v>0</v>
      </c>
      <c r="K1288" s="62">
        <v>0</v>
      </c>
      <c r="L1288" t="str">
        <f>VLOOKUP(VALUE(LEFT(C1288,5)),Xref!A:B,2,0)</f>
        <v>DEL</v>
      </c>
      <c r="M1288" t="str">
        <f t="shared" si="83"/>
        <v>DEL-DPM</v>
      </c>
    </row>
    <row r="1289" spans="1:13" ht="14.25" customHeight="true">
      <c r="A1289" s="33" t="str">
        <f t="shared" si="80"/>
        <v>DPM - Intercompany</v>
      </c>
      <c r="B1289" s="33" t="str">
        <f t="shared" si="81"/>
        <v>DPM</v>
      </c>
      <c r="C1289" s="33" t="str">
        <f t="shared" si="82"/>
        <v>11313-0000</v>
      </c>
      <c r="D1289" t="s">
        <v>18707</v>
      </c>
      <c r="E1289" t="s">
        <v>13233</v>
      </c>
      <c r="F1289" t="s">
        <v>14039</v>
      </c>
      <c r="G1289" t="s">
        <v>14672</v>
      </c>
      <c r="H1289" t="s">
        <v>13869</v>
      </c>
      <c r="I1289" t="s">
        <v>14690</v>
      </c>
      <c r="J1289" s="62">
        <v>0</v>
      </c>
      <c r="K1289" s="62">
        <v>0</v>
      </c>
      <c r="L1289" t="str">
        <f>VLOOKUP(VALUE(LEFT(C1289,5)),Xref!A:B,2,0)</f>
        <v>DOL</v>
      </c>
      <c r="M1289" t="str">
        <f t="shared" si="83"/>
        <v>DOL-DPM</v>
      </c>
    </row>
    <row r="1290" spans="1:13" ht="14.25" customHeight="true">
      <c r="A1290" s="33" t="str">
        <f t="shared" si="80"/>
        <v>DPM - Intercompany</v>
      </c>
      <c r="B1290" s="33" t="str">
        <f t="shared" si="81"/>
        <v>DPM</v>
      </c>
      <c r="C1290" s="33" t="str">
        <f t="shared" si="82"/>
        <v>11314-0000</v>
      </c>
      <c r="D1290" t="s">
        <v>18708</v>
      </c>
      <c r="E1290" t="s">
        <v>13351</v>
      </c>
      <c r="F1290" t="s">
        <v>14039</v>
      </c>
      <c r="G1290" t="s">
        <v>14672</v>
      </c>
      <c r="H1290" t="s">
        <v>13869</v>
      </c>
      <c r="I1290" t="s">
        <v>14690</v>
      </c>
      <c r="J1290" s="62">
        <v>0</v>
      </c>
      <c r="K1290" s="62">
        <v>0</v>
      </c>
      <c r="L1290" t="str">
        <f>VLOOKUP(VALUE(LEFT(C1290,5)),Xref!A:B,2,0)</f>
        <v>GRI</v>
      </c>
      <c r="M1290" t="str">
        <f t="shared" si="83"/>
        <v>DPM-GRI</v>
      </c>
    </row>
    <row r="1291" spans="1:13" ht="14.25" customHeight="true">
      <c r="A1291" s="33" t="str">
        <f t="shared" si="80"/>
        <v>DPM - Intercompany</v>
      </c>
      <c r="B1291" s="33" t="str">
        <f t="shared" si="81"/>
        <v>DPM</v>
      </c>
      <c r="C1291" s="33" t="str">
        <f t="shared" si="82"/>
        <v>11315-0000</v>
      </c>
      <c r="D1291" t="s">
        <v>18709</v>
      </c>
      <c r="E1291" t="s">
        <v>13234</v>
      </c>
      <c r="F1291" t="s">
        <v>14039</v>
      </c>
      <c r="G1291" t="s">
        <v>14672</v>
      </c>
      <c r="H1291" t="s">
        <v>13869</v>
      </c>
      <c r="I1291" t="s">
        <v>14690</v>
      </c>
      <c r="J1291" s="62">
        <v>0</v>
      </c>
      <c r="K1291" s="62">
        <v>0</v>
      </c>
      <c r="L1291" t="str">
        <f>VLOOKUP(VALUE(LEFT(C1291,5)),Xref!A:B,2,0)</f>
        <v>PUR</v>
      </c>
      <c r="M1291" t="str">
        <f t="shared" si="83"/>
        <v>DPM-PUR</v>
      </c>
    </row>
    <row r="1292" spans="1:13" ht="14.25" customHeight="true">
      <c r="A1292" s="33" t="str">
        <f t="shared" si="80"/>
        <v>DPM - Intercompany</v>
      </c>
      <c r="B1292" s="33" t="str">
        <f t="shared" si="81"/>
        <v>DPM</v>
      </c>
      <c r="C1292" s="33" t="str">
        <f t="shared" si="82"/>
        <v>11316-0000</v>
      </c>
      <c r="D1292" t="s">
        <v>18710</v>
      </c>
      <c r="E1292" t="s">
        <v>13235</v>
      </c>
      <c r="F1292" t="s">
        <v>14039</v>
      </c>
      <c r="G1292" t="s">
        <v>14672</v>
      </c>
      <c r="H1292" t="s">
        <v>13869</v>
      </c>
      <c r="I1292" t="s">
        <v>14690</v>
      </c>
      <c r="J1292" s="62">
        <v>0</v>
      </c>
      <c r="K1292" s="62">
        <v>0</v>
      </c>
      <c r="L1292" t="str">
        <f>VLOOKUP(VALUE(LEFT(C1292,5)),Xref!A:B,2,0)</f>
        <v>VAL</v>
      </c>
      <c r="M1292" t="str">
        <f t="shared" si="83"/>
        <v>DPM-VAL</v>
      </c>
    </row>
    <row r="1293" spans="1:13" ht="14.25" customHeight="true">
      <c r="A1293" s="33" t="str">
        <f t="shared" si="80"/>
        <v>DPM - Intercompany</v>
      </c>
      <c r="B1293" s="33" t="str">
        <f t="shared" si="81"/>
        <v>DPM</v>
      </c>
      <c r="C1293" s="33" t="str">
        <f t="shared" si="82"/>
        <v>11317-0000</v>
      </c>
      <c r="D1293" t="s">
        <v>18711</v>
      </c>
      <c r="E1293" t="s">
        <v>13352</v>
      </c>
      <c r="F1293" t="s">
        <v>14039</v>
      </c>
      <c r="G1293" t="s">
        <v>14672</v>
      </c>
      <c r="H1293" t="s">
        <v>13869</v>
      </c>
      <c r="I1293" t="s">
        <v>14690</v>
      </c>
      <c r="J1293" s="62">
        <v>0</v>
      </c>
      <c r="K1293" s="62">
        <v>0</v>
      </c>
      <c r="L1293" t="str">
        <f>VLOOKUP(VALUE(LEFT(C1293,5)),Xref!A:B,2,0)</f>
        <v>AKG</v>
      </c>
      <c r="M1293" t="str">
        <f t="shared" si="83"/>
        <v>AKG-DPM</v>
      </c>
    </row>
    <row r="1294" spans="1:13" ht="14.25" customHeight="true">
      <c r="A1294" s="33" t="str">
        <f t="shared" si="80"/>
        <v>DPM - Intercompany</v>
      </c>
      <c r="B1294" s="33" t="str">
        <f t="shared" si="81"/>
        <v>DPM</v>
      </c>
      <c r="C1294" s="33" t="str">
        <f t="shared" si="82"/>
        <v>11318-0000</v>
      </c>
      <c r="D1294" t="s">
        <v>18712</v>
      </c>
      <c r="E1294" t="s">
        <v>13477</v>
      </c>
      <c r="F1294" t="s">
        <v>14039</v>
      </c>
      <c r="G1294" t="s">
        <v>14672</v>
      </c>
      <c r="H1294" t="s">
        <v>13869</v>
      </c>
      <c r="I1294" t="s">
        <v>14690</v>
      </c>
      <c r="J1294" s="62">
        <v>0</v>
      </c>
      <c r="K1294" s="62">
        <v>0</v>
      </c>
      <c r="L1294" t="str">
        <f>VLOOKUP(VALUE(LEFT(C1294,5)),Xref!A:B,2,0)</f>
        <v>FIR</v>
      </c>
      <c r="M1294" t="str">
        <f t="shared" si="83"/>
        <v>DPM-FIR</v>
      </c>
    </row>
    <row r="1295" spans="1:13" ht="14.25" customHeight="true">
      <c r="A1295" s="33" t="str">
        <f t="shared" si="80"/>
        <v>DPM - Intercompany</v>
      </c>
      <c r="B1295" s="33" t="str">
        <f t="shared" si="81"/>
        <v>DPM</v>
      </c>
      <c r="C1295" s="33" t="str">
        <f t="shared" si="82"/>
        <v>11319-0000</v>
      </c>
      <c r="D1295" t="s">
        <v>18713</v>
      </c>
      <c r="E1295" t="s">
        <v>266</v>
      </c>
      <c r="F1295" t="s">
        <v>14039</v>
      </c>
      <c r="G1295" t="s">
        <v>14672</v>
      </c>
      <c r="H1295" t="s">
        <v>13869</v>
      </c>
      <c r="I1295" t="s">
        <v>14690</v>
      </c>
      <c r="J1295" s="62">
        <v>0</v>
      </c>
      <c r="K1295" s="62">
        <v>0</v>
      </c>
      <c r="L1295" t="str">
        <f>VLOOKUP(VALUE(LEFT(C1295,5)),Xref!A:B,2,0)</f>
        <v>GST</v>
      </c>
      <c r="M1295" t="str">
        <f t="shared" si="83"/>
        <v>DPM-GST</v>
      </c>
    </row>
    <row r="1296" spans="1:13" ht="14.25" customHeight="true">
      <c r="A1296" s="33" t="str">
        <f t="shared" si="80"/>
        <v>DPM - Intercompany</v>
      </c>
      <c r="B1296" s="33" t="str">
        <f t="shared" si="81"/>
        <v>DPM</v>
      </c>
      <c r="C1296" s="33" t="str">
        <f t="shared" si="82"/>
        <v>11320-0000</v>
      </c>
      <c r="D1296" t="s">
        <v>18714</v>
      </c>
      <c r="E1296" t="s">
        <v>14111</v>
      </c>
      <c r="F1296" t="s">
        <v>14039</v>
      </c>
      <c r="G1296" t="s">
        <v>14672</v>
      </c>
      <c r="H1296" t="s">
        <v>13869</v>
      </c>
      <c r="I1296" t="s">
        <v>14690</v>
      </c>
      <c r="J1296" s="62">
        <v>0</v>
      </c>
      <c r="K1296" s="62">
        <v>0</v>
      </c>
      <c r="L1296" t="str">
        <f>VLOOKUP(VALUE(LEFT(C1296,5)),Xref!A:B,2,0)</f>
        <v>HDN</v>
      </c>
      <c r="M1296" t="str">
        <f t="shared" si="83"/>
        <v>DPM-HDN</v>
      </c>
    </row>
    <row r="1297" spans="1:13" ht="14.25" customHeight="true">
      <c r="A1297" s="33" t="str">
        <f t="shared" si="80"/>
        <v>DPM - Intercompany</v>
      </c>
      <c r="B1297" s="33" t="str">
        <f t="shared" si="81"/>
        <v>DPM</v>
      </c>
      <c r="C1297" s="33" t="str">
        <f t="shared" si="82"/>
        <v>11321-0000</v>
      </c>
      <c r="D1297" t="s">
        <v>18715</v>
      </c>
      <c r="E1297" t="s">
        <v>13236</v>
      </c>
      <c r="F1297" t="s">
        <v>14039</v>
      </c>
      <c r="G1297" t="s">
        <v>14672</v>
      </c>
      <c r="H1297" t="s">
        <v>13869</v>
      </c>
      <c r="I1297" t="s">
        <v>14690</v>
      </c>
      <c r="J1297" s="62">
        <v>0</v>
      </c>
      <c r="K1297" s="62">
        <v>0</v>
      </c>
      <c r="L1297" t="str">
        <f>VLOOKUP(VALUE(LEFT(C1297,5)),Xref!A:B,2,0)</f>
        <v>OVA</v>
      </c>
      <c r="M1297" t="str">
        <f t="shared" si="83"/>
        <v>DPM-OVA</v>
      </c>
    </row>
    <row r="1298" spans="1:13" ht="14.25" customHeight="true">
      <c r="A1298" s="33" t="str">
        <f t="shared" si="80"/>
        <v>DPM - Intercompany</v>
      </c>
      <c r="B1298" s="33" t="str">
        <f t="shared" si="81"/>
        <v>DPM</v>
      </c>
      <c r="C1298" s="33" t="str">
        <f t="shared" si="82"/>
        <v>11322-0000</v>
      </c>
      <c r="D1298" t="s">
        <v>18716</v>
      </c>
      <c r="E1298" t="s">
        <v>13237</v>
      </c>
      <c r="F1298" t="s">
        <v>14039</v>
      </c>
      <c r="G1298" t="s">
        <v>14672</v>
      </c>
      <c r="H1298" t="s">
        <v>13869</v>
      </c>
      <c r="I1298" t="s">
        <v>14690</v>
      </c>
      <c r="J1298" s="62">
        <v>0</v>
      </c>
      <c r="K1298" s="62">
        <v>0</v>
      </c>
      <c r="L1298" t="str">
        <f>VLOOKUP(VALUE(LEFT(C1298,5)),Xref!A:B,2,0)</f>
        <v>WOO</v>
      </c>
      <c r="M1298" t="str">
        <f t="shared" si="83"/>
        <v>DPM-WOO</v>
      </c>
    </row>
    <row r="1299" spans="1:13" ht="14.25" customHeight="true">
      <c r="A1299" s="33" t="str">
        <f t="shared" si="80"/>
        <v>DPM - Intercompany</v>
      </c>
      <c r="B1299" s="33" t="str">
        <f t="shared" si="81"/>
        <v>DPM</v>
      </c>
      <c r="C1299" s="33" t="str">
        <f t="shared" si="82"/>
        <v>11323-0000</v>
      </c>
      <c r="D1299" t="s">
        <v>18717</v>
      </c>
      <c r="E1299" t="s">
        <v>13478</v>
      </c>
      <c r="F1299" t="s">
        <v>14039</v>
      </c>
      <c r="G1299" t="s">
        <v>14672</v>
      </c>
      <c r="H1299" t="s">
        <v>13869</v>
      </c>
      <c r="I1299" t="s">
        <v>14690</v>
      </c>
      <c r="J1299" s="62">
        <v>0</v>
      </c>
      <c r="K1299" s="62">
        <v>0</v>
      </c>
      <c r="L1299" t="str">
        <f>VLOOKUP(VALUE(LEFT(C1299,5)),Xref!A:B,2,0)</f>
        <v>SPI</v>
      </c>
      <c r="M1299" t="str">
        <f t="shared" si="83"/>
        <v>DPM-SPI</v>
      </c>
    </row>
    <row r="1300" spans="1:13" ht="14.25" customHeight="true">
      <c r="A1300" s="33" t="str">
        <f t="shared" si="80"/>
        <v>DPM - Intercompany</v>
      </c>
      <c r="B1300" s="33" t="str">
        <f t="shared" si="81"/>
        <v>DPM</v>
      </c>
      <c r="C1300" s="33" t="str">
        <f t="shared" si="82"/>
        <v>11324-0000</v>
      </c>
      <c r="D1300" t="s">
        <v>18718</v>
      </c>
      <c r="E1300" t="s">
        <v>13238</v>
      </c>
      <c r="F1300" t="s">
        <v>14039</v>
      </c>
      <c r="G1300" t="s">
        <v>14672</v>
      </c>
      <c r="H1300" t="s">
        <v>13869</v>
      </c>
      <c r="I1300" t="s">
        <v>14690</v>
      </c>
      <c r="J1300" s="62">
        <v>0</v>
      </c>
      <c r="K1300" s="62">
        <v>0</v>
      </c>
      <c r="L1300" t="str">
        <f>VLOOKUP(VALUE(LEFT(C1300,5)),Xref!A:B,2,0)</f>
        <v>NET</v>
      </c>
      <c r="M1300" t="str">
        <f t="shared" si="83"/>
        <v>DPM-NET</v>
      </c>
    </row>
    <row r="1301" spans="1:13" ht="14.25" customHeight="true">
      <c r="A1301" s="33" t="str">
        <f t="shared" si="80"/>
        <v>DPM - Intercompany</v>
      </c>
      <c r="B1301" s="33" t="str">
        <f t="shared" si="81"/>
        <v>DPM</v>
      </c>
      <c r="C1301" s="33" t="str">
        <f t="shared" si="82"/>
        <v>11325-0000</v>
      </c>
      <c r="D1301" t="s">
        <v>18719</v>
      </c>
      <c r="E1301" t="s">
        <v>13239</v>
      </c>
      <c r="F1301" t="s">
        <v>14039</v>
      </c>
      <c r="G1301" t="s">
        <v>14672</v>
      </c>
      <c r="H1301" t="s">
        <v>13869</v>
      </c>
      <c r="I1301" t="s">
        <v>14690</v>
      </c>
      <c r="J1301" s="62">
        <v>0</v>
      </c>
      <c r="K1301" s="62">
        <v>0</v>
      </c>
      <c r="L1301" t="str">
        <f>VLOOKUP(VALUE(LEFT(C1301,5)),Xref!A:B,2,0)</f>
        <v>DPI</v>
      </c>
      <c r="M1301" t="str">
        <f t="shared" si="83"/>
        <v>DPI-DPM</v>
      </c>
    </row>
    <row r="1302" spans="1:13" ht="14.25" customHeight="true">
      <c r="A1302" s="33" t="str">
        <f t="shared" si="80"/>
        <v>DPM - Intercompany</v>
      </c>
      <c r="B1302" s="33" t="str">
        <f t="shared" si="81"/>
        <v>DPM</v>
      </c>
      <c r="C1302" s="33" t="str">
        <f t="shared" si="82"/>
        <v>11326-0000</v>
      </c>
      <c r="D1302" t="s">
        <v>18720</v>
      </c>
      <c r="E1302" t="s">
        <v>13240</v>
      </c>
      <c r="F1302" t="s">
        <v>14039</v>
      </c>
      <c r="G1302" t="s">
        <v>14672</v>
      </c>
      <c r="H1302" t="s">
        <v>13869</v>
      </c>
      <c r="I1302" t="s">
        <v>14690</v>
      </c>
      <c r="J1302" s="62">
        <v>0</v>
      </c>
      <c r="K1302" s="62">
        <v>0</v>
      </c>
      <c r="L1302" t="str">
        <f>VLOOKUP(VALUE(LEFT(C1302,5)),Xref!A:B,2,0)</f>
        <v>SEK</v>
      </c>
      <c r="M1302" t="str">
        <f t="shared" si="83"/>
        <v>DPM-SEK</v>
      </c>
    </row>
    <row r="1303" spans="1:13" ht="14.25" customHeight="true">
      <c r="A1303" s="33" t="str">
        <f t="shared" si="80"/>
        <v>DPM - Intercompany</v>
      </c>
      <c r="B1303" s="33" t="str">
        <f t="shared" si="81"/>
        <v>DPM</v>
      </c>
      <c r="C1303" s="33" t="str">
        <f t="shared" si="82"/>
        <v>11327-0000</v>
      </c>
      <c r="D1303" t="s">
        <v>18721</v>
      </c>
      <c r="E1303" t="s">
        <v>14119</v>
      </c>
      <c r="F1303" t="s">
        <v>14039</v>
      </c>
      <c r="G1303" t="s">
        <v>14672</v>
      </c>
      <c r="H1303" t="s">
        <v>13869</v>
      </c>
      <c r="I1303" t="s">
        <v>14690</v>
      </c>
      <c r="J1303" s="62">
        <v>0</v>
      </c>
      <c r="K1303" s="62">
        <v>0</v>
      </c>
      <c r="L1303" t="str">
        <f>VLOOKUP(VALUE(LEFT(C1303,5)),Xref!A:B,2,0)</f>
        <v>CPI</v>
      </c>
      <c r="M1303" t="str">
        <f t="shared" si="83"/>
        <v>CPI-DPM</v>
      </c>
    </row>
    <row r="1304" spans="1:13" ht="14.25" customHeight="true">
      <c r="A1304" s="33" t="str">
        <f t="shared" si="80"/>
        <v>DPM - Intercompany</v>
      </c>
      <c r="B1304" s="33" t="str">
        <f t="shared" si="81"/>
        <v>DPM</v>
      </c>
      <c r="C1304" s="33" t="str">
        <f t="shared" si="82"/>
        <v>11328-0000</v>
      </c>
      <c r="D1304" t="s">
        <v>18722</v>
      </c>
      <c r="E1304" t="s">
        <v>13241</v>
      </c>
      <c r="F1304" t="s">
        <v>14039</v>
      </c>
      <c r="G1304" t="s">
        <v>14672</v>
      </c>
      <c r="H1304" t="s">
        <v>13869</v>
      </c>
      <c r="I1304" t="s">
        <v>14690</v>
      </c>
      <c r="J1304" s="62">
        <v>0</v>
      </c>
      <c r="K1304" s="62">
        <v>0</v>
      </c>
      <c r="L1304" t="str">
        <f>VLOOKUP(VALUE(LEFT(C1304,5)),Xref!A:B,2,0)</f>
        <v>LOM</v>
      </c>
      <c r="M1304" t="str">
        <f t="shared" si="83"/>
        <v>DPM-LOM</v>
      </c>
    </row>
    <row r="1305" spans="1:13" ht="14.25" customHeight="true">
      <c r="A1305" s="33" t="str">
        <f t="shared" si="80"/>
        <v>DPM - Intercompany</v>
      </c>
      <c r="B1305" s="33" t="str">
        <f t="shared" si="81"/>
        <v>DPM</v>
      </c>
      <c r="C1305" s="33" t="str">
        <f t="shared" si="82"/>
        <v>11329-0000</v>
      </c>
      <c r="D1305" t="s">
        <v>18723</v>
      </c>
      <c r="E1305" t="s">
        <v>13353</v>
      </c>
      <c r="F1305" t="s">
        <v>14039</v>
      </c>
      <c r="G1305" t="s">
        <v>14672</v>
      </c>
      <c r="H1305" t="s">
        <v>13869</v>
      </c>
      <c r="I1305" t="s">
        <v>14690</v>
      </c>
      <c r="J1305" s="62">
        <v>0</v>
      </c>
      <c r="K1305" s="62">
        <v>0</v>
      </c>
      <c r="L1305" t="str">
        <f>VLOOKUP(VALUE(LEFT(C1305,5)),Xref!A:B,2,0)</f>
        <v>AKS</v>
      </c>
      <c r="M1305" t="str">
        <f t="shared" si="83"/>
        <v>AKS-DPM</v>
      </c>
    </row>
    <row r="1306" spans="1:13" ht="14.25" customHeight="true">
      <c r="A1306" s="33" t="str">
        <f t="shared" si="80"/>
        <v>DPM - Intercompany</v>
      </c>
      <c r="B1306" s="33" t="str">
        <f t="shared" si="81"/>
        <v>DPM</v>
      </c>
      <c r="C1306" s="33" t="str">
        <f t="shared" si="82"/>
        <v>11330-0000</v>
      </c>
      <c r="D1306" t="s">
        <v>18724</v>
      </c>
      <c r="E1306" t="s">
        <v>13242</v>
      </c>
      <c r="F1306" t="s">
        <v>14039</v>
      </c>
      <c r="G1306" t="s">
        <v>14672</v>
      </c>
      <c r="H1306" t="s">
        <v>13869</v>
      </c>
      <c r="I1306" t="s">
        <v>14690</v>
      </c>
      <c r="J1306" s="62">
        <v>0</v>
      </c>
      <c r="K1306" s="62">
        <v>0</v>
      </c>
      <c r="L1306" t="str">
        <f>VLOOKUP(VALUE(LEFT(C1306,5)),Xref!A:B,2,0)</f>
        <v>MAR</v>
      </c>
      <c r="M1306" t="str">
        <f t="shared" si="83"/>
        <v>DPM-MAR</v>
      </c>
    </row>
    <row r="1307" spans="1:13" ht="14.25" customHeight="true">
      <c r="A1307" s="33" t="str">
        <f t="shared" si="80"/>
        <v>DPM - Intercompany</v>
      </c>
      <c r="B1307" s="33" t="str">
        <f t="shared" si="81"/>
        <v>DPM</v>
      </c>
      <c r="C1307" s="33" t="str">
        <f t="shared" si="82"/>
        <v>11331-0000</v>
      </c>
      <c r="D1307" t="s">
        <v>18725</v>
      </c>
      <c r="E1307" t="s">
        <v>13354</v>
      </c>
      <c r="F1307" t="s">
        <v>14039</v>
      </c>
      <c r="G1307" t="s">
        <v>14672</v>
      </c>
      <c r="H1307" t="s">
        <v>13869</v>
      </c>
      <c r="I1307" t="s">
        <v>14690</v>
      </c>
      <c r="J1307" s="62">
        <v>0</v>
      </c>
      <c r="K1307" s="62">
        <v>0</v>
      </c>
      <c r="L1307" t="str">
        <f>VLOOKUP(VALUE(LEFT(C1307,5)),Xref!A:B,2,0)</f>
        <v>WIL</v>
      </c>
      <c r="M1307" t="str">
        <f t="shared" si="83"/>
        <v>DPM-WIL</v>
      </c>
    </row>
    <row r="1308" spans="1:13" ht="14.25" customHeight="true">
      <c r="A1308" s="33" t="str">
        <f t="shared" si="80"/>
        <v>DPM - Intercompany</v>
      </c>
      <c r="B1308" s="33" t="str">
        <f t="shared" si="81"/>
        <v>DPM</v>
      </c>
      <c r="C1308" s="33" t="str">
        <f t="shared" si="82"/>
        <v>11332-0000</v>
      </c>
      <c r="D1308" t="s">
        <v>18726</v>
      </c>
      <c r="E1308" t="s">
        <v>13243</v>
      </c>
      <c r="F1308" t="s">
        <v>14039</v>
      </c>
      <c r="G1308" t="s">
        <v>14672</v>
      </c>
      <c r="H1308" t="s">
        <v>13869</v>
      </c>
      <c r="I1308" t="s">
        <v>14690</v>
      </c>
      <c r="J1308" s="62">
        <v>0</v>
      </c>
      <c r="K1308" s="62">
        <v>0</v>
      </c>
      <c r="L1308" t="str">
        <f>VLOOKUP(VALUE(LEFT(C1308,5)),Xref!A:B,2,0)</f>
        <v>STO</v>
      </c>
      <c r="M1308" t="str">
        <f t="shared" si="83"/>
        <v>DPM-STO</v>
      </c>
    </row>
    <row r="1309" spans="1:13" ht="14.25" customHeight="true">
      <c r="A1309" s="33" t="str">
        <f t="shared" si="80"/>
        <v>DPM - Intercompany</v>
      </c>
      <c r="B1309" s="33" t="str">
        <f t="shared" si="81"/>
        <v>DPM</v>
      </c>
      <c r="C1309" s="33" t="str">
        <f t="shared" si="82"/>
        <v>11333-0000</v>
      </c>
      <c r="D1309" t="s">
        <v>18727</v>
      </c>
      <c r="E1309" t="s">
        <v>13244</v>
      </c>
      <c r="F1309" t="s">
        <v>14039</v>
      </c>
      <c r="G1309" t="s">
        <v>14672</v>
      </c>
      <c r="H1309" t="s">
        <v>13869</v>
      </c>
      <c r="I1309" t="s">
        <v>14690</v>
      </c>
      <c r="J1309" s="62">
        <v>0</v>
      </c>
      <c r="K1309" s="62">
        <v>0</v>
      </c>
      <c r="L1309" t="str">
        <f>VLOOKUP(VALUE(LEFT(C1309,5)),Xref!A:B,2,0)</f>
        <v>ANG</v>
      </c>
      <c r="M1309" t="str">
        <f t="shared" si="83"/>
        <v>ANG-DPM</v>
      </c>
    </row>
    <row r="1310" spans="1:13" ht="14.25" customHeight="true">
      <c r="A1310" s="33" t="str">
        <f t="shared" si="80"/>
        <v>DPM - Intercompany</v>
      </c>
      <c r="B1310" s="33" t="str">
        <f t="shared" si="81"/>
        <v>DPM</v>
      </c>
      <c r="C1310" s="33" t="str">
        <f t="shared" si="82"/>
        <v>11334-0000</v>
      </c>
      <c r="D1310" t="s">
        <v>18728</v>
      </c>
      <c r="E1310" t="s">
        <v>13245</v>
      </c>
      <c r="F1310" t="s">
        <v>14039</v>
      </c>
      <c r="G1310" t="s">
        <v>14672</v>
      </c>
      <c r="H1310" t="s">
        <v>13869</v>
      </c>
      <c r="I1310" t="s">
        <v>14690</v>
      </c>
      <c r="J1310" s="62">
        <v>0</v>
      </c>
      <c r="K1310" s="62">
        <v>0</v>
      </c>
      <c r="L1310" t="str">
        <f>VLOOKUP(VALUE(LEFT(C1310,5)),Xref!A:B,2,0)</f>
        <v>BRU</v>
      </c>
      <c r="M1310" t="str">
        <f t="shared" si="83"/>
        <v>BRU-DPM</v>
      </c>
    </row>
    <row r="1311" spans="1:13" ht="14.25" customHeight="true">
      <c r="A1311" s="33" t="str">
        <f t="shared" si="80"/>
        <v>DPM - Intercompany</v>
      </c>
      <c r="B1311" s="33" t="str">
        <f t="shared" si="81"/>
        <v>DPM</v>
      </c>
      <c r="C1311" s="33" t="str">
        <f t="shared" si="82"/>
        <v>11335-0000</v>
      </c>
      <c r="D1311" t="s">
        <v>18729</v>
      </c>
      <c r="E1311" t="s">
        <v>13246</v>
      </c>
      <c r="F1311" t="s">
        <v>14039</v>
      </c>
      <c r="G1311" t="s">
        <v>14672</v>
      </c>
      <c r="H1311" t="s">
        <v>13869</v>
      </c>
      <c r="I1311" t="s">
        <v>14690</v>
      </c>
      <c r="J1311" s="62">
        <v>0</v>
      </c>
      <c r="K1311" s="62">
        <v>0</v>
      </c>
      <c r="L1311" t="str">
        <f>VLOOKUP(VALUE(LEFT(C1311,5)),Xref!A:B,2,0)</f>
        <v>VEN</v>
      </c>
      <c r="M1311" t="str">
        <f t="shared" si="83"/>
        <v>DPM-VEN</v>
      </c>
    </row>
    <row r="1312" spans="1:13" ht="14.25" customHeight="true">
      <c r="A1312" s="33" t="str">
        <f t="shared" si="80"/>
        <v>DPM - Intercompany</v>
      </c>
      <c r="B1312" s="33" t="str">
        <f t="shared" si="81"/>
        <v>DPM</v>
      </c>
      <c r="C1312" s="33" t="str">
        <f t="shared" si="82"/>
        <v>11336-0000</v>
      </c>
      <c r="D1312" t="s">
        <v>18730</v>
      </c>
      <c r="E1312" t="s">
        <v>13247</v>
      </c>
      <c r="F1312" t="s">
        <v>14039</v>
      </c>
      <c r="G1312" t="s">
        <v>14672</v>
      </c>
      <c r="H1312" t="s">
        <v>13869</v>
      </c>
      <c r="I1312" t="s">
        <v>14690</v>
      </c>
      <c r="J1312" s="62">
        <v>0</v>
      </c>
      <c r="K1312" s="62">
        <v>0</v>
      </c>
      <c r="L1312" t="str">
        <f>VLOOKUP(VALUE(LEFT(C1312,5)),Xref!A:B,2,0)</f>
        <v>SAT</v>
      </c>
      <c r="M1312" t="str">
        <f t="shared" si="83"/>
        <v>DPM-SAT</v>
      </c>
    </row>
    <row r="1313" spans="1:13" ht="14.25" customHeight="true">
      <c r="A1313" s="33" t="str">
        <f t="shared" si="80"/>
        <v>DPM - Intercompany</v>
      </c>
      <c r="B1313" s="33" t="str">
        <f t="shared" si="81"/>
        <v>DPM</v>
      </c>
      <c r="C1313" s="33" t="str">
        <f t="shared" si="82"/>
        <v>11337-0000</v>
      </c>
      <c r="D1313" t="s">
        <v>18731</v>
      </c>
      <c r="E1313" t="s">
        <v>13248</v>
      </c>
      <c r="F1313" t="s">
        <v>14039</v>
      </c>
      <c r="G1313" t="s">
        <v>14672</v>
      </c>
      <c r="H1313" t="s">
        <v>13869</v>
      </c>
      <c r="I1313" t="s">
        <v>14690</v>
      </c>
      <c r="J1313" s="62">
        <v>0</v>
      </c>
      <c r="K1313" s="62">
        <v>0</v>
      </c>
      <c r="L1313" t="str">
        <f>VLOOKUP(VALUE(LEFT(C1313,5)),Xref!A:B,2,0)</f>
        <v>NEP</v>
      </c>
      <c r="M1313" t="str">
        <f t="shared" si="83"/>
        <v>DPM-NEP</v>
      </c>
    </row>
    <row r="1314" spans="1:13" ht="14.25" customHeight="true">
      <c r="A1314" s="33" t="str">
        <f t="shared" si="80"/>
        <v>DPM - Intercompany</v>
      </c>
      <c r="B1314" s="33" t="str">
        <f t="shared" si="81"/>
        <v>DPM</v>
      </c>
      <c r="C1314" s="33" t="str">
        <f t="shared" si="82"/>
        <v>11338-0000</v>
      </c>
      <c r="D1314" t="s">
        <v>18732</v>
      </c>
      <c r="E1314" t="s">
        <v>14131</v>
      </c>
      <c r="F1314" t="s">
        <v>14039</v>
      </c>
      <c r="G1314" t="s">
        <v>14672</v>
      </c>
      <c r="H1314" t="s">
        <v>13869</v>
      </c>
      <c r="I1314" t="s">
        <v>14690</v>
      </c>
      <c r="J1314" s="62">
        <v>0</v>
      </c>
      <c r="K1314" s="62">
        <v>0</v>
      </c>
      <c r="L1314" t="str">
        <f>VLOOKUP(VALUE(LEFT(C1314,5)),Xref!A:B,2,0)</f>
        <v>JUP</v>
      </c>
      <c r="M1314" t="str">
        <f t="shared" si="83"/>
        <v>DPM-JUP</v>
      </c>
    </row>
    <row r="1315" spans="1:13" ht="14.25" customHeight="true">
      <c r="A1315" s="33" t="str">
        <f t="shared" si="80"/>
        <v>DPM - Intercompany</v>
      </c>
      <c r="B1315" s="33" t="str">
        <f t="shared" si="81"/>
        <v>DPM</v>
      </c>
      <c r="C1315" s="33" t="str">
        <f t="shared" si="82"/>
        <v>11339-0000</v>
      </c>
      <c r="D1315" t="s">
        <v>18733</v>
      </c>
      <c r="E1315" t="s">
        <v>14133</v>
      </c>
      <c r="F1315" t="s">
        <v>14039</v>
      </c>
      <c r="G1315" t="s">
        <v>14672</v>
      </c>
      <c r="H1315" t="s">
        <v>13869</v>
      </c>
      <c r="I1315" t="s">
        <v>14690</v>
      </c>
      <c r="J1315" s="62">
        <v>0</v>
      </c>
      <c r="K1315" s="62">
        <v>0</v>
      </c>
      <c r="L1315" t="str">
        <f>VLOOKUP(VALUE(LEFT(C1315,5)),Xref!A:B,2,0)</f>
        <v>WES</v>
      </c>
      <c r="M1315" t="str">
        <f t="shared" si="83"/>
        <v>DPM-WES</v>
      </c>
    </row>
    <row r="1316" spans="1:13" ht="14.25" customHeight="true">
      <c r="A1316" s="33" t="str">
        <f t="shared" si="80"/>
        <v>DPM - Intercompany</v>
      </c>
      <c r="B1316" s="33" t="str">
        <f t="shared" si="81"/>
        <v>DPM</v>
      </c>
      <c r="C1316" s="33" t="str">
        <f t="shared" si="82"/>
        <v>11340-0000</v>
      </c>
      <c r="D1316" t="s">
        <v>18734</v>
      </c>
      <c r="E1316" t="s">
        <v>14135</v>
      </c>
      <c r="F1316" t="s">
        <v>14039</v>
      </c>
      <c r="G1316" t="s">
        <v>14672</v>
      </c>
      <c r="H1316" t="s">
        <v>13869</v>
      </c>
      <c r="I1316" t="s">
        <v>14690</v>
      </c>
      <c r="J1316" s="62">
        <v>0</v>
      </c>
      <c r="K1316" s="62">
        <v>0</v>
      </c>
      <c r="L1316" t="str">
        <f>VLOOKUP(VALUE(LEFT(C1316,5)),Xref!A:B,2,0)</f>
        <v>LCP</v>
      </c>
      <c r="M1316" t="str">
        <f t="shared" si="83"/>
        <v>DPM-LCP</v>
      </c>
    </row>
    <row r="1317" spans="1:13" ht="14.25" customHeight="true">
      <c r="A1317" s="33" t="str">
        <f t="shared" si="80"/>
        <v>DPM - Intercompany</v>
      </c>
      <c r="B1317" s="33" t="str">
        <f t="shared" si="81"/>
        <v>DPM</v>
      </c>
      <c r="C1317" s="33" t="str">
        <f t="shared" si="82"/>
        <v>11341-0000</v>
      </c>
      <c r="D1317" t="s">
        <v>18735</v>
      </c>
      <c r="E1317" t="s">
        <v>13639</v>
      </c>
      <c r="F1317" t="s">
        <v>14039</v>
      </c>
      <c r="G1317" t="s">
        <v>14672</v>
      </c>
      <c r="H1317" t="s">
        <v>13869</v>
      </c>
      <c r="I1317" t="s">
        <v>14690</v>
      </c>
      <c r="J1317" s="62">
        <v>0</v>
      </c>
      <c r="K1317" s="62">
        <v>0</v>
      </c>
      <c r="L1317" t="str">
        <f>VLOOKUP(VALUE(LEFT(C1317,5)),Xref!A:B,2,0)</f>
        <v>NOR</v>
      </c>
      <c r="M1317" t="str">
        <f t="shared" si="83"/>
        <v>DPM-NOR</v>
      </c>
    </row>
    <row r="1318" spans="1:13" ht="14.25" customHeight="true">
      <c r="A1318" s="33" t="str">
        <f t="shared" si="80"/>
        <v>DPM - Intercompany</v>
      </c>
      <c r="B1318" s="33" t="str">
        <f t="shared" si="81"/>
        <v>DPM</v>
      </c>
      <c r="C1318" s="33" t="str">
        <f t="shared" si="82"/>
        <v>11342-0000</v>
      </c>
      <c r="D1318" t="s">
        <v>18736</v>
      </c>
      <c r="E1318" t="s">
        <v>13355</v>
      </c>
      <c r="F1318" t="s">
        <v>14039</v>
      </c>
      <c r="G1318" t="s">
        <v>14672</v>
      </c>
      <c r="H1318" t="s">
        <v>13869</v>
      </c>
      <c r="I1318" t="s">
        <v>14690</v>
      </c>
      <c r="J1318" s="62">
        <v>0</v>
      </c>
      <c r="K1318" s="62">
        <v>0</v>
      </c>
      <c r="L1318" t="str">
        <f>VLOOKUP(VALUE(LEFT(C1318,5)),Xref!A:B,2,0)</f>
        <v>EAS</v>
      </c>
      <c r="M1318" t="str">
        <f t="shared" si="83"/>
        <v>DPM-EAS</v>
      </c>
    </row>
    <row r="1319" spans="1:13" ht="14.25" customHeight="true">
      <c r="A1319" s="33" t="str">
        <f t="shared" si="80"/>
        <v>DPM - Intercompany</v>
      </c>
      <c r="B1319" s="33" t="str">
        <f t="shared" si="81"/>
        <v>DPM</v>
      </c>
      <c r="C1319" s="33" t="str">
        <f t="shared" si="82"/>
        <v>11343-0000</v>
      </c>
      <c r="D1319" t="s">
        <v>5481</v>
      </c>
      <c r="E1319" t="s">
        <v>14139</v>
      </c>
      <c r="F1319" t="s">
        <v>14039</v>
      </c>
      <c r="G1319" t="s">
        <v>14672</v>
      </c>
      <c r="H1319" t="s">
        <v>13869</v>
      </c>
      <c r="I1319" t="s">
        <v>14690</v>
      </c>
      <c r="J1319" s="62">
        <v>-3846.72</v>
      </c>
      <c r="K1319" s="62">
        <v>-3381.82</v>
      </c>
      <c r="L1319" t="str">
        <f>VLOOKUP(VALUE(LEFT(C1319,5)),Xref!A:B,2,0)</f>
        <v>GRA</v>
      </c>
      <c r="M1319" t="str">
        <f t="shared" si="83"/>
        <v>DPM-GRA</v>
      </c>
    </row>
    <row r="1320" spans="1:13" ht="14.25" customHeight="true">
      <c r="A1320" s="33" t="str">
        <f t="shared" si="80"/>
        <v>DPM - Intercompany</v>
      </c>
      <c r="B1320" s="33" t="str">
        <f t="shared" si="81"/>
        <v>DPM</v>
      </c>
      <c r="C1320" s="33" t="str">
        <f t="shared" si="82"/>
        <v>11344-0000</v>
      </c>
      <c r="D1320" t="s">
        <v>18737</v>
      </c>
      <c r="E1320" t="s">
        <v>14141</v>
      </c>
      <c r="F1320" t="s">
        <v>14039</v>
      </c>
      <c r="G1320" t="s">
        <v>14672</v>
      </c>
      <c r="H1320" t="s">
        <v>13869</v>
      </c>
      <c r="I1320" t="s">
        <v>14690</v>
      </c>
      <c r="J1320" s="62">
        <v>0</v>
      </c>
      <c r="K1320" s="62">
        <v>0</v>
      </c>
      <c r="L1320" t="str">
        <f>VLOOKUP(VALUE(LEFT(C1320,5)),Xref!A:B,2,0)</f>
        <v>SOU</v>
      </c>
      <c r="M1320" t="str">
        <f t="shared" si="83"/>
        <v>DPM-SOU</v>
      </c>
    </row>
    <row r="1321" spans="1:13" ht="14.25" customHeight="true">
      <c r="A1321" s="33" t="str">
        <f t="shared" si="80"/>
        <v>DPM - Intercompany</v>
      </c>
      <c r="B1321" s="33" t="str">
        <f t="shared" si="81"/>
        <v>DPM</v>
      </c>
      <c r="C1321" s="33" t="str">
        <f t="shared" si="82"/>
        <v>11345-0000</v>
      </c>
      <c r="D1321" t="s">
        <v>18738</v>
      </c>
      <c r="E1321" t="s">
        <v>14143</v>
      </c>
      <c r="F1321" t="s">
        <v>14039</v>
      </c>
      <c r="G1321" t="s">
        <v>14672</v>
      </c>
      <c r="H1321" t="s">
        <v>13869</v>
      </c>
      <c r="I1321" t="s">
        <v>14690</v>
      </c>
      <c r="J1321" s="62">
        <v>0</v>
      </c>
      <c r="K1321" s="62">
        <v>0</v>
      </c>
      <c r="L1321" t="str">
        <f>VLOOKUP(VALUE(LEFT(C1321,5)),Xref!A:B,2,0)</f>
        <v>API</v>
      </c>
      <c r="M1321" t="str">
        <f t="shared" si="83"/>
        <v>API-DPM</v>
      </c>
    </row>
    <row r="1322" spans="1:13" ht="14.25" customHeight="true">
      <c r="A1322" s="33" t="str">
        <f t="shared" si="80"/>
        <v>DPM - Intercompany</v>
      </c>
      <c r="B1322" s="33" t="str">
        <f t="shared" si="81"/>
        <v>DPM</v>
      </c>
      <c r="C1322" s="33" t="str">
        <f t="shared" si="82"/>
        <v>11346-0000</v>
      </c>
      <c r="D1322" t="s">
        <v>5482</v>
      </c>
      <c r="E1322" t="s">
        <v>14145</v>
      </c>
      <c r="F1322" t="s">
        <v>14039</v>
      </c>
      <c r="G1322" t="s">
        <v>14672</v>
      </c>
      <c r="H1322" t="s">
        <v>13869</v>
      </c>
      <c r="I1322" t="s">
        <v>14690</v>
      </c>
      <c r="J1322" s="62">
        <v>0</v>
      </c>
      <c r="K1322" s="62">
        <v>-2494789.76</v>
      </c>
      <c r="L1322" t="str">
        <f>VLOOKUP(VALUE(LEFT(C1322,5)),Xref!A:B,2,0)</f>
        <v>DPH</v>
      </c>
      <c r="M1322" t="str">
        <f t="shared" si="83"/>
        <v>DPH-DPM</v>
      </c>
    </row>
    <row r="1323" spans="1:13" ht="14.25" customHeight="true">
      <c r="A1323" s="33" t="str">
        <f t="shared" si="80"/>
        <v>DPM - Intercompany</v>
      </c>
      <c r="B1323" s="33" t="str">
        <f t="shared" si="81"/>
        <v>DPM</v>
      </c>
      <c r="C1323" s="33" t="str">
        <f t="shared" si="82"/>
        <v>11347-0000</v>
      </c>
      <c r="D1323" t="s">
        <v>18739</v>
      </c>
      <c r="E1323" t="s">
        <v>14147</v>
      </c>
      <c r="F1323" t="s">
        <v>14039</v>
      </c>
      <c r="G1323" t="s">
        <v>14672</v>
      </c>
      <c r="H1323" t="s">
        <v>13869</v>
      </c>
      <c r="I1323" t="s">
        <v>14690</v>
      </c>
      <c r="J1323" s="62">
        <v>0</v>
      </c>
      <c r="K1323" s="62">
        <v>0</v>
      </c>
      <c r="L1323" t="str">
        <f>VLOOKUP(VALUE(LEFT(C1323,5)),Xref!A:B,2,0)</f>
        <v>ZPI</v>
      </c>
      <c r="M1323" t="str">
        <f t="shared" si="83"/>
        <v>DPM-ZPI</v>
      </c>
    </row>
    <row r="1324" spans="1:13" ht="14.25" customHeight="true">
      <c r="A1324" s="33" t="str">
        <f t="shared" si="80"/>
        <v>DPM - Intercompany</v>
      </c>
      <c r="B1324" s="33" t="str">
        <f t="shared" si="81"/>
        <v>DPM</v>
      </c>
      <c r="C1324" s="33" t="str">
        <f t="shared" si="82"/>
        <v>11348-0000</v>
      </c>
      <c r="D1324" t="s">
        <v>18740</v>
      </c>
      <c r="E1324" t="s">
        <v>14149</v>
      </c>
      <c r="F1324" t="s">
        <v>14039</v>
      </c>
      <c r="G1324" t="s">
        <v>14672</v>
      </c>
      <c r="H1324" t="s">
        <v>13869</v>
      </c>
      <c r="I1324" t="s">
        <v>14690</v>
      </c>
      <c r="J1324" s="62">
        <v>0</v>
      </c>
      <c r="K1324" s="62">
        <v>0</v>
      </c>
      <c r="L1324" t="str">
        <f>VLOOKUP(VALUE(LEFT(C1324,5)),Xref!A:B,2,0)</f>
        <v>EAM</v>
      </c>
      <c r="M1324" t="str">
        <f t="shared" si="83"/>
        <v>DPM-EAM</v>
      </c>
    </row>
    <row r="1325" spans="1:13" ht="14.25" customHeight="true">
      <c r="A1325" s="33" t="str">
        <f t="shared" si="80"/>
        <v>DPM - Intercompany</v>
      </c>
      <c r="B1325" s="33" t="str">
        <f t="shared" si="81"/>
        <v>DPM</v>
      </c>
      <c r="C1325" s="33" t="str">
        <f t="shared" si="82"/>
        <v>11349-0000</v>
      </c>
      <c r="D1325" t="s">
        <v>18741</v>
      </c>
      <c r="E1325" t="s">
        <v>14151</v>
      </c>
      <c r="F1325" t="s">
        <v>14039</v>
      </c>
      <c r="G1325" t="s">
        <v>14672</v>
      </c>
      <c r="H1325" t="s">
        <v>13869</v>
      </c>
      <c r="I1325" t="s">
        <v>14690</v>
      </c>
      <c r="J1325" s="62">
        <v>0</v>
      </c>
      <c r="K1325" s="62">
        <v>0</v>
      </c>
      <c r="L1325" t="str">
        <f>VLOOKUP(VALUE(LEFT(C1325,5)),Xref!A:B,2,0)</f>
        <v>SEA</v>
      </c>
      <c r="M1325" t="str">
        <f t="shared" si="83"/>
        <v>DPM-SEA</v>
      </c>
    </row>
    <row r="1326" spans="1:13" ht="14.25" customHeight="true">
      <c r="A1326" s="33" t="str">
        <f t="shared" si="80"/>
        <v>DPM - Intercompany</v>
      </c>
      <c r="B1326" s="33" t="str">
        <f t="shared" si="81"/>
        <v>DPM</v>
      </c>
      <c r="C1326" s="33" t="str">
        <f t="shared" si="82"/>
        <v>11350-0000</v>
      </c>
      <c r="D1326" t="s">
        <v>18742</v>
      </c>
      <c r="E1326" t="s">
        <v>14153</v>
      </c>
      <c r="F1326" t="s">
        <v>14039</v>
      </c>
      <c r="G1326" t="s">
        <v>14672</v>
      </c>
      <c r="H1326" t="s">
        <v>13869</v>
      </c>
      <c r="I1326" t="s">
        <v>14690</v>
      </c>
      <c r="J1326" s="62">
        <v>0</v>
      </c>
      <c r="K1326" s="62">
        <v>-51.23</v>
      </c>
      <c r="L1326" t="str">
        <f>VLOOKUP(VALUE(LEFT(C1326,5)),Xref!A:B,2,0)</f>
        <v>EAL</v>
      </c>
      <c r="M1326" t="str">
        <f t="shared" si="83"/>
        <v>DPM-EAL</v>
      </c>
    </row>
    <row r="1327" spans="1:13" ht="14.25" customHeight="true">
      <c r="A1327" s="33" t="str">
        <f t="shared" si="80"/>
        <v>DPM - Intercompany</v>
      </c>
      <c r="B1327" s="33" t="str">
        <f t="shared" si="81"/>
        <v>DPM</v>
      </c>
      <c r="C1327" s="33" t="str">
        <f t="shared" si="82"/>
        <v>11351-0000</v>
      </c>
      <c r="D1327" t="s">
        <v>18743</v>
      </c>
      <c r="E1327" t="s">
        <v>14155</v>
      </c>
      <c r="F1327" t="s">
        <v>14039</v>
      </c>
      <c r="G1327" t="s">
        <v>14672</v>
      </c>
      <c r="H1327" t="s">
        <v>13869</v>
      </c>
      <c r="I1327" t="s">
        <v>14690</v>
      </c>
      <c r="J1327" s="62">
        <v>0</v>
      </c>
      <c r="K1327" s="62">
        <v>0</v>
      </c>
      <c r="L1327" t="str">
        <f>VLOOKUP(VALUE(LEFT(C1327,5)),Xref!A:B,2,0)</f>
        <v>WEP</v>
      </c>
      <c r="M1327" t="str">
        <f t="shared" si="83"/>
        <v>DPM-WEP</v>
      </c>
    </row>
    <row r="1328" spans="1:13" ht="14.25" customHeight="true">
      <c r="A1328" s="33" t="str">
        <f t="shared" si="80"/>
        <v>DPM - Intercompany</v>
      </c>
      <c r="B1328" s="33" t="str">
        <f t="shared" si="81"/>
        <v>DPM</v>
      </c>
      <c r="C1328" s="33" t="str">
        <f t="shared" si="82"/>
        <v>11352-0000</v>
      </c>
      <c r="D1328" t="s">
        <v>18744</v>
      </c>
      <c r="E1328" t="s">
        <v>13536</v>
      </c>
      <c r="F1328" t="s">
        <v>14039</v>
      </c>
      <c r="G1328" t="s">
        <v>14672</v>
      </c>
      <c r="H1328" t="s">
        <v>13869</v>
      </c>
      <c r="I1328" t="s">
        <v>14690</v>
      </c>
      <c r="J1328" s="62">
        <v>0</v>
      </c>
      <c r="K1328" s="62">
        <v>85079.15</v>
      </c>
      <c r="L1328" t="str">
        <f>VLOOKUP(VALUE(LEFT(C1328,5)),Xref!A:B,2,0)</f>
        <v>KLP</v>
      </c>
      <c r="M1328" t="str">
        <f t="shared" si="83"/>
        <v>DPM-KLP</v>
      </c>
    </row>
    <row r="1329" spans="1:13" ht="14.25" customHeight="true">
      <c r="A1329" s="33" t="str">
        <f t="shared" si="80"/>
        <v>DPM - Intercompany</v>
      </c>
      <c r="B1329" s="33" t="str">
        <f t="shared" si="81"/>
        <v>DPM</v>
      </c>
      <c r="C1329" s="33" t="str">
        <f t="shared" si="82"/>
        <v>11353-0000</v>
      </c>
      <c r="D1329" t="s">
        <v>18745</v>
      </c>
      <c r="E1329" t="s">
        <v>13537</v>
      </c>
      <c r="F1329" t="s">
        <v>14039</v>
      </c>
      <c r="G1329" t="s">
        <v>14672</v>
      </c>
      <c r="H1329" t="s">
        <v>13869</v>
      </c>
      <c r="I1329" t="s">
        <v>14690</v>
      </c>
      <c r="J1329" s="62">
        <v>0</v>
      </c>
      <c r="K1329" s="62">
        <v>0</v>
      </c>
      <c r="L1329" t="str">
        <f>VLOOKUP(VALUE(LEFT(C1329,5)),Xref!A:B,2,0)</f>
        <v>AKC</v>
      </c>
      <c r="M1329" t="str">
        <f t="shared" si="83"/>
        <v>AKC-DPM</v>
      </c>
    </row>
    <row r="1330" spans="1:13" ht="14.25" customHeight="true">
      <c r="A1330" s="33" t="str">
        <f t="shared" si="80"/>
        <v>DPM - Intercompany</v>
      </c>
      <c r="B1330" s="33" t="str">
        <f t="shared" si="81"/>
        <v>DPM</v>
      </c>
      <c r="C1330" s="33" t="str">
        <f t="shared" si="82"/>
        <v>11354-0000</v>
      </c>
      <c r="D1330" t="s">
        <v>18746</v>
      </c>
      <c r="E1330" t="s">
        <v>13538</v>
      </c>
      <c r="F1330" t="s">
        <v>14039</v>
      </c>
      <c r="G1330" t="s">
        <v>14672</v>
      </c>
      <c r="H1330" t="s">
        <v>13869</v>
      </c>
      <c r="I1330" t="s">
        <v>14690</v>
      </c>
      <c r="J1330" s="62">
        <v>0</v>
      </c>
      <c r="K1330" s="62">
        <v>0</v>
      </c>
      <c r="L1330" t="str">
        <f>VLOOKUP(VALUE(LEFT(C1330,5)),Xref!A:B,2,0)</f>
        <v>AKA</v>
      </c>
      <c r="M1330" t="str">
        <f t="shared" si="83"/>
        <v>AKA-DPM</v>
      </c>
    </row>
    <row r="1331" spans="1:13" ht="14.25" customHeight="true">
      <c r="A1331" s="33" t="str">
        <f t="shared" si="80"/>
        <v>DPM - Intercompany</v>
      </c>
      <c r="B1331" s="33" t="str">
        <f t="shared" si="81"/>
        <v>DPM</v>
      </c>
      <c r="C1331" s="33" t="str">
        <f t="shared" si="82"/>
        <v>11355-0000</v>
      </c>
      <c r="D1331" t="s">
        <v>18747</v>
      </c>
      <c r="E1331" t="s">
        <v>13539</v>
      </c>
      <c r="F1331" t="s">
        <v>14039</v>
      </c>
      <c r="G1331" t="s">
        <v>14672</v>
      </c>
      <c r="H1331" t="s">
        <v>13869</v>
      </c>
      <c r="I1331" t="s">
        <v>14690</v>
      </c>
      <c r="J1331" s="62">
        <v>0</v>
      </c>
      <c r="K1331" s="62">
        <v>0</v>
      </c>
      <c r="L1331" t="str">
        <f>VLOOKUP(VALUE(LEFT(C1331,5)),Xref!A:B,2,0)</f>
        <v>SPA</v>
      </c>
      <c r="M1331" t="str">
        <f t="shared" si="83"/>
        <v>DPM-SPA</v>
      </c>
    </row>
    <row r="1332" spans="1:13" ht="14.25" customHeight="true">
      <c r="A1332" s="33" t="str">
        <f t="shared" si="80"/>
        <v>DPM - Intercompany</v>
      </c>
      <c r="B1332" s="33" t="str">
        <f t="shared" si="81"/>
        <v>DPM</v>
      </c>
      <c r="C1332" s="33" t="str">
        <f t="shared" si="82"/>
        <v>11356-0000</v>
      </c>
      <c r="D1332" t="s">
        <v>18748</v>
      </c>
      <c r="E1332" t="s">
        <v>13540</v>
      </c>
      <c r="F1332" t="s">
        <v>14039</v>
      </c>
      <c r="G1332" t="s">
        <v>14672</v>
      </c>
      <c r="H1332" t="s">
        <v>13869</v>
      </c>
      <c r="I1332" t="s">
        <v>14690</v>
      </c>
      <c r="J1332" s="62">
        <v>0</v>
      </c>
      <c r="K1332" s="62">
        <v>0</v>
      </c>
      <c r="L1332" t="str">
        <f>VLOOKUP(VALUE(LEFT(C1332,5)),Xref!A:B,2,0)</f>
        <v>DPM</v>
      </c>
      <c r="M1332" t="str">
        <f t="shared" si="83"/>
        <v>DPM-DPM</v>
      </c>
    </row>
    <row r="1333" spans="1:13" ht="14.25" customHeight="true">
      <c r="A1333" s="33" t="str">
        <f t="shared" si="80"/>
        <v>DPM - Intercompany</v>
      </c>
      <c r="B1333" s="33" t="str">
        <f t="shared" si="81"/>
        <v>DPM</v>
      </c>
      <c r="C1333" s="33" t="str">
        <f t="shared" si="82"/>
        <v>11357-0000</v>
      </c>
      <c r="D1333" t="s">
        <v>18749</v>
      </c>
      <c r="E1333" t="s">
        <v>13541</v>
      </c>
      <c r="F1333" t="s">
        <v>14039</v>
      </c>
      <c r="G1333" t="s">
        <v>14672</v>
      </c>
      <c r="H1333" t="s">
        <v>13869</v>
      </c>
      <c r="I1333" t="s">
        <v>14690</v>
      </c>
      <c r="J1333" s="62">
        <v>0</v>
      </c>
      <c r="K1333" s="62">
        <v>0</v>
      </c>
      <c r="L1333" t="str">
        <f>VLOOKUP(VALUE(LEFT(C1333,5)),Xref!A:B,2,0)</f>
        <v>HDM</v>
      </c>
      <c r="M1333" t="str">
        <f t="shared" si="83"/>
        <v>DPM-HDM</v>
      </c>
    </row>
    <row r="1334" spans="1:13" ht="14.25" customHeight="true">
      <c r="A1334" s="33" t="str">
        <f t="shared" si="80"/>
        <v>DPM - Intercompany</v>
      </c>
      <c r="B1334" s="33" t="str">
        <f t="shared" si="81"/>
        <v>DPM</v>
      </c>
      <c r="C1334" s="33" t="str">
        <f t="shared" si="82"/>
        <v>11358-0000</v>
      </c>
      <c r="D1334" t="s">
        <v>18750</v>
      </c>
      <c r="E1334" t="s">
        <v>13542</v>
      </c>
      <c r="F1334" t="s">
        <v>14039</v>
      </c>
      <c r="G1334" t="s">
        <v>14672</v>
      </c>
      <c r="H1334" t="s">
        <v>13869</v>
      </c>
      <c r="I1334" t="s">
        <v>14690</v>
      </c>
      <c r="J1334" s="62">
        <v>0</v>
      </c>
      <c r="K1334" s="62">
        <v>0</v>
      </c>
      <c r="L1334" t="str">
        <f>VLOOKUP(VALUE(LEFT(C1334,5)),Xref!A:B,2,0)</f>
        <v>GRA</v>
      </c>
      <c r="M1334" t="str">
        <f t="shared" si="83"/>
        <v>DPM-GRA</v>
      </c>
    </row>
    <row r="1335" spans="1:13" ht="14.25" customHeight="true">
      <c r="A1335" s="33" t="str">
        <f t="shared" si="80"/>
        <v>DPM - Intercompany</v>
      </c>
      <c r="B1335" s="33" t="str">
        <f t="shared" si="81"/>
        <v>DPM</v>
      </c>
      <c r="C1335" s="33" t="str">
        <f t="shared" si="82"/>
        <v>11359-0000</v>
      </c>
      <c r="D1335" t="s">
        <v>18751</v>
      </c>
      <c r="E1335" t="s">
        <v>13543</v>
      </c>
      <c r="F1335" t="s">
        <v>14039</v>
      </c>
      <c r="G1335" t="s">
        <v>14672</v>
      </c>
      <c r="H1335" t="s">
        <v>13869</v>
      </c>
      <c r="I1335" t="s">
        <v>14690</v>
      </c>
      <c r="J1335" s="62">
        <v>0</v>
      </c>
      <c r="K1335" s="62">
        <v>0</v>
      </c>
      <c r="L1335" t="str">
        <f>VLOOKUP(VALUE(LEFT(C1335,5)),Xref!A:B,2,0)</f>
        <v>TPI</v>
      </c>
      <c r="M1335" t="str">
        <f t="shared" si="83"/>
        <v>DPM-TPI</v>
      </c>
    </row>
    <row r="1336" spans="1:13" ht="14.25" customHeight="true">
      <c r="A1336" s="33" t="str">
        <f t="shared" si="80"/>
        <v>DPM - Intercompany</v>
      </c>
      <c r="B1336" s="33" t="str">
        <f t="shared" si="81"/>
        <v>DPM</v>
      </c>
      <c r="C1336" s="33" t="str">
        <f t="shared" si="82"/>
        <v>11361-0000</v>
      </c>
      <c r="D1336" t="s">
        <v>18752</v>
      </c>
      <c r="E1336" t="s">
        <v>14165</v>
      </c>
      <c r="F1336" t="s">
        <v>14039</v>
      </c>
      <c r="G1336" t="s">
        <v>14672</v>
      </c>
      <c r="H1336" t="s">
        <v>13869</v>
      </c>
      <c r="I1336" t="s">
        <v>14690</v>
      </c>
      <c r="J1336" s="62">
        <v>0</v>
      </c>
      <c r="K1336" s="62">
        <v>0</v>
      </c>
      <c r="L1336" t="str">
        <f>VLOOKUP(VALUE(LEFT(C1336,5)),Xref!A:B,2,0)</f>
        <v>GSM</v>
      </c>
      <c r="M1336" t="str">
        <f t="shared" si="83"/>
        <v>DPM-GSM</v>
      </c>
    </row>
    <row r="1337" spans="1:13" ht="14.25" customHeight="true">
      <c r="A1337" s="33" t="str">
        <f t="shared" si="80"/>
        <v>DPM - Intercompany</v>
      </c>
      <c r="B1337" s="33" t="str">
        <f t="shared" si="81"/>
        <v>DPM</v>
      </c>
      <c r="C1337" s="33" t="str">
        <f t="shared" si="82"/>
        <v>11363-0000</v>
      </c>
      <c r="D1337" t="s">
        <v>18753</v>
      </c>
      <c r="E1337" t="s">
        <v>13544</v>
      </c>
      <c r="F1337" t="s">
        <v>14039</v>
      </c>
      <c r="G1337" t="s">
        <v>14672</v>
      </c>
      <c r="H1337" t="s">
        <v>13869</v>
      </c>
      <c r="I1337" t="s">
        <v>14690</v>
      </c>
      <c r="J1337" s="62">
        <v>0</v>
      </c>
      <c r="K1337" s="62">
        <v>0</v>
      </c>
      <c r="L1337" t="str">
        <f>VLOOKUP(VALUE(LEFT(C1337,5)),Xref!A:B,2,0)</f>
        <v>SOF</v>
      </c>
      <c r="M1337" t="str">
        <f t="shared" si="83"/>
        <v>DPM-SOF</v>
      </c>
    </row>
    <row r="1338" spans="1:13" ht="14.25" customHeight="true">
      <c r="A1338" s="33" t="str">
        <f t="shared" si="80"/>
        <v>DPM - Intercompany</v>
      </c>
      <c r="B1338" s="33" t="str">
        <f t="shared" si="81"/>
        <v>DPM</v>
      </c>
      <c r="C1338" s="33" t="str">
        <f t="shared" si="82"/>
        <v>11364-0000</v>
      </c>
      <c r="D1338" t="s">
        <v>18754</v>
      </c>
      <c r="E1338" t="s">
        <v>14168</v>
      </c>
      <c r="F1338" t="s">
        <v>14039</v>
      </c>
      <c r="G1338" t="s">
        <v>14672</v>
      </c>
      <c r="H1338" t="s">
        <v>13869</v>
      </c>
      <c r="I1338" t="s">
        <v>14690</v>
      </c>
      <c r="J1338" s="62">
        <v>0</v>
      </c>
      <c r="K1338" s="62">
        <v>0</v>
      </c>
      <c r="L1338" t="e">
        <f>VLOOKUP(VALUE(LEFT(C1338,5)),Xref!A:B,2,0)</f>
        <v>#N/A</v>
      </c>
      <c r="M1338" t="e">
        <f t="shared" si="83"/>
        <v>#N/A</v>
      </c>
    </row>
    <row r="1339" spans="1:13" ht="14.25" customHeight="true">
      <c r="A1339" s="33" t="str">
        <f t="shared" si="80"/>
        <v>DPM - Intercompany</v>
      </c>
      <c r="B1339" s="33" t="str">
        <f t="shared" si="81"/>
        <v>DPM</v>
      </c>
      <c r="C1339" s="33" t="str">
        <f t="shared" si="82"/>
        <v>11365-0000</v>
      </c>
      <c r="D1339" t="s">
        <v>18755</v>
      </c>
      <c r="E1339" t="s">
        <v>14170</v>
      </c>
      <c r="F1339" t="s">
        <v>14039</v>
      </c>
      <c r="G1339" t="s">
        <v>14672</v>
      </c>
      <c r="H1339" t="s">
        <v>13869</v>
      </c>
      <c r="I1339" t="s">
        <v>14690</v>
      </c>
      <c r="J1339" s="62">
        <v>0</v>
      </c>
      <c r="K1339" s="62">
        <v>0</v>
      </c>
      <c r="L1339" t="e">
        <f>VLOOKUP(VALUE(LEFT(C1339,5)),Xref!A:B,2,0)</f>
        <v>#N/A</v>
      </c>
      <c r="M1339" t="e">
        <f t="shared" si="83"/>
        <v>#N/A</v>
      </c>
    </row>
    <row r="1340" spans="1:13" ht="14.25" customHeight="true">
      <c r="A1340" s="33" t="str">
        <f t="shared" si="80"/>
        <v>DPM - Intercompany</v>
      </c>
      <c r="B1340" s="33" t="str">
        <f t="shared" si="81"/>
        <v>DPM</v>
      </c>
      <c r="C1340" s="33" t="str">
        <f t="shared" si="82"/>
        <v>11366-0000</v>
      </c>
      <c r="D1340" t="s">
        <v>18756</v>
      </c>
      <c r="E1340" t="s">
        <v>14172</v>
      </c>
      <c r="G1340" t="s">
        <v>14672</v>
      </c>
      <c r="H1340" t="s">
        <v>13869</v>
      </c>
      <c r="I1340" t="s">
        <v>14690</v>
      </c>
      <c r="J1340" s="62">
        <v>0</v>
      </c>
      <c r="K1340" s="62">
        <v>0</v>
      </c>
      <c r="L1340" t="e">
        <f>VLOOKUP(VALUE(LEFT(C1340,5)),Xref!A:B,2,0)</f>
        <v>#N/A</v>
      </c>
      <c r="M1340" t="e">
        <f t="shared" si="83"/>
        <v>#N/A</v>
      </c>
    </row>
    <row r="1341" spans="1:13" ht="14.25" customHeight="true">
      <c r="A1341" s="33" t="str">
        <f t="shared" si="80"/>
        <v>DPM - Intercompany</v>
      </c>
      <c r="B1341" s="33" t="str">
        <f t="shared" si="81"/>
        <v>DPM</v>
      </c>
      <c r="C1341" s="33" t="str">
        <f t="shared" si="82"/>
        <v>11402-0000</v>
      </c>
      <c r="D1341" t="s">
        <v>18757</v>
      </c>
      <c r="E1341" t="s">
        <v>14174</v>
      </c>
      <c r="G1341" t="s">
        <v>14672</v>
      </c>
      <c r="H1341" t="s">
        <v>13869</v>
      </c>
      <c r="I1341" t="s">
        <v>14690</v>
      </c>
      <c r="J1341" s="62">
        <v>0</v>
      </c>
      <c r="K1341" s="62">
        <v>0</v>
      </c>
      <c r="L1341" t="str">
        <f>VLOOKUP(VALUE(LEFT(C1341,5)),Xref!A:B,2,0)</f>
        <v>DPI</v>
      </c>
      <c r="M1341" t="str">
        <f t="shared" si="83"/>
        <v>DPI-DPM</v>
      </c>
    </row>
    <row r="1342" spans="1:13" ht="14.25" customHeight="true">
      <c r="A1342" s="33" t="str">
        <f t="shared" si="80"/>
        <v>DPM - Intercompany</v>
      </c>
      <c r="B1342" s="33" t="str">
        <f t="shared" si="81"/>
        <v>DPM</v>
      </c>
      <c r="C1342" s="33" t="str">
        <f t="shared" si="82"/>
        <v>11403-0000</v>
      </c>
      <c r="D1342" t="s">
        <v>18758</v>
      </c>
      <c r="E1342" t="s">
        <v>14176</v>
      </c>
      <c r="G1342" t="s">
        <v>14672</v>
      </c>
      <c r="H1342" t="s">
        <v>13869</v>
      </c>
      <c r="I1342" t="s">
        <v>14690</v>
      </c>
      <c r="J1342" s="62">
        <v>0</v>
      </c>
      <c r="K1342" s="62">
        <v>0</v>
      </c>
      <c r="L1342" t="str">
        <f>VLOOKUP(VALUE(LEFT(C1342,5)),Xref!A:B,2,0)</f>
        <v>SEA</v>
      </c>
      <c r="M1342" t="str">
        <f t="shared" si="83"/>
        <v>DPM-SEA</v>
      </c>
    </row>
    <row r="1343" spans="1:13" ht="14.25" customHeight="true">
      <c r="A1343" s="33" t="str">
        <f t="shared" si="80"/>
        <v>DPM - Intercompany</v>
      </c>
      <c r="B1343" s="33" t="str">
        <f t="shared" si="81"/>
        <v>DPM</v>
      </c>
      <c r="C1343" s="33" t="str">
        <f t="shared" si="82"/>
        <v>12400-0000</v>
      </c>
      <c r="D1343" t="s">
        <v>18761</v>
      </c>
      <c r="E1343" t="s">
        <v>14185</v>
      </c>
      <c r="F1343" t="s">
        <v>14039</v>
      </c>
      <c r="G1343" t="s">
        <v>14672</v>
      </c>
      <c r="H1343" t="s">
        <v>13869</v>
      </c>
      <c r="I1343" t="s">
        <v>14690</v>
      </c>
      <c r="J1343" s="62">
        <v>0</v>
      </c>
      <c r="K1343" s="62">
        <v>0</v>
      </c>
      <c r="L1343" t="str">
        <f>VLOOKUP(VALUE(LEFT(C1343,5)),Xref!A:B,2,0)</f>
        <v>aka</v>
      </c>
      <c r="M1343" t="str">
        <f t="shared" si="83"/>
        <v>aka-DPM</v>
      </c>
    </row>
    <row r="1344" spans="1:13" ht="14.25" customHeight="true">
      <c r="A1344" s="33" t="str">
        <f t="shared" si="80"/>
        <v>DPM - Intercompany</v>
      </c>
      <c r="B1344" s="33" t="str">
        <f t="shared" si="81"/>
        <v>DPM</v>
      </c>
      <c r="C1344" s="33" t="str">
        <f t="shared" si="82"/>
        <v>12401-0000</v>
      </c>
      <c r="D1344" t="s">
        <v>18762</v>
      </c>
      <c r="E1344" t="s">
        <v>14187</v>
      </c>
      <c r="F1344" t="s">
        <v>14039</v>
      </c>
      <c r="G1344" t="s">
        <v>14672</v>
      </c>
      <c r="H1344" t="s">
        <v>13869</v>
      </c>
      <c r="I1344" t="s">
        <v>14690</v>
      </c>
      <c r="J1344" s="62">
        <v>0</v>
      </c>
      <c r="K1344" s="62">
        <v>0</v>
      </c>
      <c r="L1344" t="str">
        <f>VLOOKUP(VALUE(LEFT(C1344,5)),Xref!A:B,2,0)</f>
        <v>aka</v>
      </c>
      <c r="M1344" t="str">
        <f t="shared" si="83"/>
        <v>aka-DPM</v>
      </c>
    </row>
    <row r="1345" spans="1:13" ht="14.25" customHeight="true">
      <c r="A1345" s="33" t="str">
        <f t="shared" si="80"/>
        <v>DPM - Intercompany</v>
      </c>
      <c r="B1345" s="33" t="str">
        <f t="shared" si="81"/>
        <v>DPM</v>
      </c>
      <c r="C1345" s="33" t="str">
        <f t="shared" si="82"/>
        <v>12402-0000</v>
      </c>
      <c r="D1345" t="s">
        <v>18763</v>
      </c>
      <c r="E1345" t="s">
        <v>14189</v>
      </c>
      <c r="F1345" t="s">
        <v>14039</v>
      </c>
      <c r="G1345" t="s">
        <v>14672</v>
      </c>
      <c r="H1345" t="s">
        <v>13869</v>
      </c>
      <c r="I1345" t="s">
        <v>14690</v>
      </c>
      <c r="J1345" s="62">
        <v>0</v>
      </c>
      <c r="K1345" s="62">
        <v>0</v>
      </c>
      <c r="L1345" t="str">
        <f>VLOOKUP(VALUE(LEFT(C1345,5)),Xref!A:B,2,0)</f>
        <v>aka</v>
      </c>
      <c r="M1345" t="str">
        <f t="shared" si="83"/>
        <v>aka-DPM</v>
      </c>
    </row>
    <row r="1346" spans="1:13" ht="14.25" customHeight="true">
      <c r="A1346" s="33" t="str">
        <f t="shared" ref="A1346:A1409" si="84">B1346&amp;" - "&amp;TRIM(H1346)</f>
        <v>DPM - Intercompany</v>
      </c>
      <c r="B1346" s="33" t="str">
        <f t="shared" ref="B1346:B1409" si="85">LEFT(D1346,3)</f>
        <v>DPM</v>
      </c>
      <c r="C1346" s="33" t="str">
        <f t="shared" ref="C1346:C1409" si="86">RIGHT(D1346,10)</f>
        <v>12403-0000</v>
      </c>
      <c r="D1346" t="s">
        <v>18764</v>
      </c>
      <c r="E1346" t="s">
        <v>5226</v>
      </c>
      <c r="F1346" t="s">
        <v>14039</v>
      </c>
      <c r="G1346" t="s">
        <v>14672</v>
      </c>
      <c r="H1346" t="s">
        <v>13869</v>
      </c>
      <c r="I1346" t="s">
        <v>14690</v>
      </c>
      <c r="J1346" s="62">
        <v>0</v>
      </c>
      <c r="K1346" s="62">
        <v>0</v>
      </c>
      <c r="L1346" t="str">
        <f>VLOOKUP(VALUE(LEFT(C1346,5)),Xref!A:B,2,0)</f>
        <v>aka</v>
      </c>
      <c r="M1346" t="str">
        <f t="shared" ref="M1346:M1409" si="87">IF(B1346&lt;L1346,B1346&amp;"-"&amp;L1346,L1346&amp;"-"&amp;B1346)</f>
        <v>aka-DPM</v>
      </c>
    </row>
    <row r="1347" spans="1:13" ht="14.25" customHeight="true">
      <c r="A1347" s="33" t="str">
        <f t="shared" si="84"/>
        <v>DPM - Intercompany</v>
      </c>
      <c r="B1347" s="33" t="str">
        <f t="shared" si="85"/>
        <v>DPM</v>
      </c>
      <c r="C1347" s="33" t="str">
        <f t="shared" si="86"/>
        <v>12501-0000</v>
      </c>
      <c r="D1347" t="s">
        <v>18765</v>
      </c>
      <c r="E1347" t="s">
        <v>14192</v>
      </c>
      <c r="F1347" t="s">
        <v>14039</v>
      </c>
      <c r="G1347" t="s">
        <v>14672</v>
      </c>
      <c r="H1347" t="s">
        <v>13869</v>
      </c>
      <c r="I1347" t="s">
        <v>14690</v>
      </c>
      <c r="J1347" s="62">
        <v>0</v>
      </c>
      <c r="K1347" s="62">
        <v>0</v>
      </c>
      <c r="L1347" t="str">
        <f>VLOOKUP(VALUE(LEFT(C1347,5)),Xref!A:B,2,0)</f>
        <v>aka</v>
      </c>
      <c r="M1347" t="str">
        <f t="shared" si="87"/>
        <v>aka-DPM</v>
      </c>
    </row>
    <row r="1348" spans="1:13" ht="14.25" customHeight="true">
      <c r="A1348" s="33" t="str">
        <f t="shared" si="84"/>
        <v>DPM - InterCo Notes</v>
      </c>
      <c r="B1348" s="33" t="str">
        <f t="shared" si="85"/>
        <v>DPM</v>
      </c>
      <c r="C1348" s="33" t="str">
        <f t="shared" si="86"/>
        <v>25600-0000</v>
      </c>
      <c r="D1348" t="s">
        <v>18815</v>
      </c>
      <c r="E1348" t="s">
        <v>314</v>
      </c>
      <c r="F1348" t="s">
        <v>14039</v>
      </c>
      <c r="G1348" t="s">
        <v>14672</v>
      </c>
      <c r="H1348" t="s">
        <v>13889</v>
      </c>
      <c r="I1348" t="s">
        <v>14690</v>
      </c>
      <c r="J1348" s="62">
        <v>0</v>
      </c>
      <c r="K1348" s="62">
        <v>0</v>
      </c>
      <c r="L1348" t="str">
        <f>VLOOKUP(VALUE(LEFT(C1348,5)),Xref!A:B,2,0)</f>
        <v>D7</v>
      </c>
      <c r="M1348" t="str">
        <f t="shared" si="87"/>
        <v>D7-DPM</v>
      </c>
    </row>
    <row r="1349" spans="1:13" ht="14.25" customHeight="true">
      <c r="A1349" s="33" t="str">
        <f t="shared" si="84"/>
        <v>DPM - InterCo Notes</v>
      </c>
      <c r="B1349" s="33" t="str">
        <f t="shared" si="85"/>
        <v>DPM</v>
      </c>
      <c r="C1349" s="33" t="str">
        <f t="shared" si="86"/>
        <v>25602-0000</v>
      </c>
      <c r="D1349" t="s">
        <v>18817</v>
      </c>
      <c r="E1349" t="s">
        <v>13426</v>
      </c>
      <c r="F1349" t="s">
        <v>14039</v>
      </c>
      <c r="G1349" t="s">
        <v>14672</v>
      </c>
      <c r="H1349" t="s">
        <v>13889</v>
      </c>
      <c r="I1349" t="s">
        <v>14690</v>
      </c>
      <c r="J1349" s="62">
        <v>-63000</v>
      </c>
      <c r="K1349" s="62">
        <v>-711000</v>
      </c>
      <c r="L1349" t="str">
        <f>VLOOKUP(VALUE(LEFT(C1349,5)),Xref!A:B,2,0)</f>
        <v>DFLP</v>
      </c>
      <c r="M1349" t="str">
        <f t="shared" si="87"/>
        <v>DFLP-DPM</v>
      </c>
    </row>
    <row r="1350" spans="1:13" ht="14.25" customHeight="true">
      <c r="A1350" s="33" t="str">
        <f t="shared" si="84"/>
        <v>DPM - InterCo Notes</v>
      </c>
      <c r="B1350" s="33" t="str">
        <f t="shared" si="85"/>
        <v>DPM</v>
      </c>
      <c r="C1350" s="33" t="str">
        <f t="shared" si="86"/>
        <v>25603-0000</v>
      </c>
      <c r="D1350" t="s">
        <v>18818</v>
      </c>
      <c r="E1350" t="s">
        <v>14311</v>
      </c>
      <c r="F1350" t="s">
        <v>14039</v>
      </c>
      <c r="G1350" t="s">
        <v>14832</v>
      </c>
      <c r="H1350" t="s">
        <v>13889</v>
      </c>
      <c r="I1350" t="s">
        <v>14690</v>
      </c>
      <c r="J1350" s="62">
        <v>0</v>
      </c>
      <c r="K1350" s="62">
        <v>0</v>
      </c>
      <c r="L1350" t="str">
        <f>VLOOKUP(VALUE(LEFT(C1350,5)),Xref!A:B,2,0)</f>
        <v>aka</v>
      </c>
      <c r="M1350" t="str">
        <f t="shared" si="87"/>
        <v>aka-DPM</v>
      </c>
    </row>
    <row r="1351" spans="1:13" ht="14.25" customHeight="true">
      <c r="A1351" s="33" t="str">
        <f t="shared" si="84"/>
        <v>DPM - Intercompany</v>
      </c>
      <c r="B1351" s="33" t="str">
        <f t="shared" si="85"/>
        <v>DPM</v>
      </c>
      <c r="C1351" s="33" t="str">
        <f t="shared" si="86"/>
        <v>25604-0000</v>
      </c>
      <c r="D1351" t="s">
        <v>18819</v>
      </c>
      <c r="E1351" t="s">
        <v>13490</v>
      </c>
      <c r="F1351" t="s">
        <v>14039</v>
      </c>
      <c r="G1351" t="s">
        <v>14672</v>
      </c>
      <c r="H1351" t="s">
        <v>13869</v>
      </c>
      <c r="I1351" t="s">
        <v>14690</v>
      </c>
      <c r="J1351" s="62">
        <v>0</v>
      </c>
      <c r="K1351" s="62">
        <v>0</v>
      </c>
      <c r="L1351">
        <f>VLOOKUP(VALUE(LEFT(C1351,5)),Xref!A:B,2,0)</f>
        <v>0</v>
      </c>
      <c r="M1351" t="str">
        <f t="shared" si="87"/>
        <v>0-DPM</v>
      </c>
    </row>
    <row r="1352" spans="1:13" ht="14.25" customHeight="true">
      <c r="A1352" s="33" t="str">
        <f t="shared" si="84"/>
        <v>DWO - Intercompany</v>
      </c>
      <c r="B1352" s="33" t="str">
        <f t="shared" si="85"/>
        <v>DWO</v>
      </c>
      <c r="C1352" s="33" t="str">
        <f t="shared" si="86"/>
        <v>11225-0000</v>
      </c>
      <c r="D1352" t="s">
        <v>984</v>
      </c>
      <c r="E1352" t="s">
        <v>985</v>
      </c>
      <c r="F1352" t="s">
        <v>30853</v>
      </c>
      <c r="G1352" t="s">
        <v>16</v>
      </c>
      <c r="H1352" t="s">
        <v>13869</v>
      </c>
      <c r="I1352" t="s">
        <v>40</v>
      </c>
      <c r="J1352" s="62">
        <v>0</v>
      </c>
      <c r="K1352" s="62">
        <v>-0.01</v>
      </c>
      <c r="L1352" t="str">
        <f>VLOOKUP(VALUE(LEFT(C1352,5)),Xref!A:B,2,0)</f>
        <v>DWO</v>
      </c>
      <c r="M1352" t="str">
        <f t="shared" si="87"/>
        <v>DWO-DWO</v>
      </c>
    </row>
    <row r="1353" spans="1:13" ht="14.25" customHeight="true">
      <c r="A1353" s="33" t="str">
        <f t="shared" si="84"/>
        <v>EAG - Intercompany</v>
      </c>
      <c r="B1353" s="33" t="str">
        <f t="shared" si="85"/>
        <v>EAG</v>
      </c>
      <c r="C1353" s="33" t="str">
        <f t="shared" si="86"/>
        <v>11200-0000</v>
      </c>
      <c r="D1353" t="s">
        <v>18988</v>
      </c>
      <c r="E1353" t="s">
        <v>14069</v>
      </c>
      <c r="F1353" t="s">
        <v>14039</v>
      </c>
      <c r="G1353" t="s">
        <v>14672</v>
      </c>
      <c r="H1353" t="s">
        <v>13869</v>
      </c>
      <c r="I1353" t="s">
        <v>14690</v>
      </c>
      <c r="J1353" s="62">
        <v>0</v>
      </c>
      <c r="K1353" s="62">
        <v>0</v>
      </c>
      <c r="L1353" t="str">
        <f>VLOOKUP(VALUE(LEFT(C1353,5)),Xref!A:B,2,0)</f>
        <v>SCL</v>
      </c>
      <c r="M1353" t="str">
        <f t="shared" si="87"/>
        <v>EAG-SCL</v>
      </c>
    </row>
    <row r="1354" spans="1:13" ht="14.25" customHeight="true">
      <c r="A1354" s="33" t="str">
        <f t="shared" si="84"/>
        <v>EAG - Intercompany</v>
      </c>
      <c r="B1354" s="33" t="str">
        <f t="shared" si="85"/>
        <v>EAG</v>
      </c>
      <c r="C1354" s="33" t="str">
        <f t="shared" si="86"/>
        <v>11201-0000</v>
      </c>
      <c r="D1354" t="s">
        <v>18989</v>
      </c>
      <c r="E1354" t="s">
        <v>14071</v>
      </c>
      <c r="F1354" t="s">
        <v>14039</v>
      </c>
      <c r="G1354" t="s">
        <v>14672</v>
      </c>
      <c r="H1354" t="s">
        <v>13869</v>
      </c>
      <c r="I1354" t="s">
        <v>14690</v>
      </c>
      <c r="J1354" s="62">
        <v>0</v>
      </c>
      <c r="K1354" s="62">
        <v>0</v>
      </c>
      <c r="L1354" t="str">
        <f>VLOOKUP(VALUE(LEFT(C1354,5)),Xref!A:B,2,0)</f>
        <v>SG2</v>
      </c>
      <c r="M1354" t="str">
        <f t="shared" si="87"/>
        <v>EAG-SG2</v>
      </c>
    </row>
    <row r="1355" spans="1:13" ht="14.25" customHeight="true">
      <c r="A1355" s="33" t="str">
        <f t="shared" si="84"/>
        <v>EAG - Intercompany</v>
      </c>
      <c r="B1355" s="33" t="str">
        <f t="shared" si="85"/>
        <v>EAG</v>
      </c>
      <c r="C1355" s="33" t="str">
        <f t="shared" si="86"/>
        <v>11202-0000</v>
      </c>
      <c r="D1355" t="s">
        <v>18990</v>
      </c>
      <c r="E1355" t="s">
        <v>14073</v>
      </c>
      <c r="F1355" t="s">
        <v>14039</v>
      </c>
      <c r="G1355" t="s">
        <v>14672</v>
      </c>
      <c r="H1355" t="s">
        <v>13869</v>
      </c>
      <c r="I1355" t="s">
        <v>14690</v>
      </c>
      <c r="J1355" s="62">
        <v>0</v>
      </c>
      <c r="K1355" s="62">
        <v>0</v>
      </c>
      <c r="L1355" t="str">
        <f>VLOOKUP(VALUE(LEFT(C1355,5)),Xref!A:B,2,0)</f>
        <v>FFC</v>
      </c>
      <c r="M1355" t="str">
        <f t="shared" si="87"/>
        <v>EAG-FFC</v>
      </c>
    </row>
    <row r="1356" spans="1:13" ht="14.25" customHeight="true">
      <c r="A1356" s="33" t="str">
        <f t="shared" si="84"/>
        <v>EAG - Intercompany</v>
      </c>
      <c r="B1356" s="33" t="str">
        <f t="shared" si="85"/>
        <v>EAG</v>
      </c>
      <c r="C1356" s="33" t="str">
        <f t="shared" si="86"/>
        <v>11203-0000</v>
      </c>
      <c r="D1356" t="s">
        <v>18991</v>
      </c>
      <c r="E1356" t="s">
        <v>14075</v>
      </c>
      <c r="F1356" t="s">
        <v>14039</v>
      </c>
      <c r="G1356" t="s">
        <v>14672</v>
      </c>
      <c r="H1356" t="s">
        <v>13869</v>
      </c>
      <c r="I1356" t="s">
        <v>14690</v>
      </c>
      <c r="J1356" s="62">
        <v>0</v>
      </c>
      <c r="K1356" s="62">
        <v>0</v>
      </c>
      <c r="L1356" t="str">
        <f>VLOOKUP(VALUE(LEFT(C1356,5)),Xref!A:B,2,0)</f>
        <v>HN2</v>
      </c>
      <c r="M1356" t="str">
        <f t="shared" si="87"/>
        <v>EAG-HN2</v>
      </c>
    </row>
    <row r="1357" spans="1:13" ht="14.25" customHeight="true">
      <c r="A1357" s="33" t="str">
        <f t="shared" si="84"/>
        <v>EAG - Intercompany</v>
      </c>
      <c r="B1357" s="33" t="str">
        <f t="shared" si="85"/>
        <v>EAG</v>
      </c>
      <c r="C1357" s="33" t="str">
        <f t="shared" si="86"/>
        <v>11204-0000</v>
      </c>
      <c r="D1357" t="s">
        <v>18992</v>
      </c>
      <c r="E1357" t="s">
        <v>14077</v>
      </c>
      <c r="F1357" t="s">
        <v>14039</v>
      </c>
      <c r="G1357" t="s">
        <v>14672</v>
      </c>
      <c r="H1357" t="s">
        <v>13869</v>
      </c>
      <c r="I1357" t="s">
        <v>14690</v>
      </c>
      <c r="J1357" s="62">
        <v>0</v>
      </c>
      <c r="K1357" s="62">
        <v>0</v>
      </c>
      <c r="L1357" t="str">
        <f>VLOOKUP(VALUE(LEFT(C1357,5)),Xref!A:B,2,0)</f>
        <v>DF2</v>
      </c>
      <c r="M1357" t="str">
        <f t="shared" si="87"/>
        <v>DF2-EAG</v>
      </c>
    </row>
    <row r="1358" spans="1:13" ht="14.25" customHeight="true">
      <c r="A1358" s="33" t="str">
        <f t="shared" si="84"/>
        <v>EAG - Intercompany</v>
      </c>
      <c r="B1358" s="33" t="str">
        <f t="shared" si="85"/>
        <v>EAG</v>
      </c>
      <c r="C1358" s="33" t="str">
        <f t="shared" si="86"/>
        <v>11208-0000</v>
      </c>
      <c r="D1358" t="s">
        <v>18993</v>
      </c>
      <c r="E1358" t="s">
        <v>14079</v>
      </c>
      <c r="F1358" t="s">
        <v>14039</v>
      </c>
      <c r="G1358" t="s">
        <v>14672</v>
      </c>
      <c r="H1358" t="s">
        <v>13869</v>
      </c>
      <c r="I1358" t="s">
        <v>14690</v>
      </c>
      <c r="J1358" s="62">
        <v>0</v>
      </c>
      <c r="K1358" s="62">
        <v>0</v>
      </c>
      <c r="L1358" t="str">
        <f>VLOOKUP(VALUE(LEFT(C1358,5)),Xref!A:B,2,0)</f>
        <v>SRE</v>
      </c>
      <c r="M1358" t="str">
        <f t="shared" si="87"/>
        <v>EAG-SRE</v>
      </c>
    </row>
    <row r="1359" spans="1:13" ht="14.25" customHeight="true">
      <c r="A1359" s="33" t="str">
        <f t="shared" si="84"/>
        <v>EAG - Intercompany</v>
      </c>
      <c r="B1359" s="33" t="str">
        <f t="shared" si="85"/>
        <v>EAG</v>
      </c>
      <c r="C1359" s="33" t="str">
        <f t="shared" si="86"/>
        <v>11210-0000</v>
      </c>
      <c r="D1359" t="s">
        <v>18994</v>
      </c>
      <c r="E1359" t="s">
        <v>14081</v>
      </c>
      <c r="F1359" t="s">
        <v>14039</v>
      </c>
      <c r="G1359" t="s">
        <v>14672</v>
      </c>
      <c r="H1359" t="s">
        <v>13869</v>
      </c>
      <c r="I1359" t="s">
        <v>14690</v>
      </c>
      <c r="J1359" s="62">
        <v>0</v>
      </c>
      <c r="K1359" s="62">
        <v>0</v>
      </c>
      <c r="L1359" t="str">
        <f>VLOOKUP(VALUE(LEFT(C1359,5)),Xref!A:B,2,0)</f>
        <v>REM</v>
      </c>
      <c r="M1359" t="str">
        <f t="shared" si="87"/>
        <v>EAG-REM</v>
      </c>
    </row>
    <row r="1360" spans="1:13" ht="14.25" customHeight="true">
      <c r="A1360" s="33" t="str">
        <f t="shared" si="84"/>
        <v>EAG - Intercompany</v>
      </c>
      <c r="B1360" s="33" t="str">
        <f t="shared" si="85"/>
        <v>EAG</v>
      </c>
      <c r="C1360" s="33" t="str">
        <f t="shared" si="86"/>
        <v>11212-0000</v>
      </c>
      <c r="D1360" t="s">
        <v>18995</v>
      </c>
      <c r="E1360" t="s">
        <v>14083</v>
      </c>
      <c r="F1360" t="s">
        <v>14039</v>
      </c>
      <c r="G1360" t="s">
        <v>14672</v>
      </c>
      <c r="H1360" t="s">
        <v>13869</v>
      </c>
      <c r="I1360" t="s">
        <v>14690</v>
      </c>
      <c r="J1360" s="62">
        <v>0</v>
      </c>
      <c r="K1360" s="62">
        <v>0</v>
      </c>
      <c r="L1360" t="str">
        <f>VLOOKUP(VALUE(LEFT(C1360,5)),Xref!A:B,2,0)</f>
        <v>FRM</v>
      </c>
      <c r="M1360" t="str">
        <f t="shared" si="87"/>
        <v>EAG-FRM</v>
      </c>
    </row>
    <row r="1361" spans="1:13" ht="14.25" customHeight="true">
      <c r="A1361" s="33" t="str">
        <f t="shared" si="84"/>
        <v>EAG - Intercompany</v>
      </c>
      <c r="B1361" s="33" t="str">
        <f t="shared" si="85"/>
        <v>EAG</v>
      </c>
      <c r="C1361" s="33" t="str">
        <f t="shared" si="86"/>
        <v>11214-0000</v>
      </c>
      <c r="D1361" t="s">
        <v>1051</v>
      </c>
      <c r="E1361" t="s">
        <v>14085</v>
      </c>
      <c r="F1361" t="s">
        <v>14039</v>
      </c>
      <c r="G1361" t="s">
        <v>14672</v>
      </c>
      <c r="H1361" t="s">
        <v>13869</v>
      </c>
      <c r="I1361" t="s">
        <v>14690</v>
      </c>
      <c r="J1361" s="62">
        <v>0</v>
      </c>
      <c r="K1361" s="62">
        <v>-269000</v>
      </c>
      <c r="L1361" t="str">
        <f>VLOOKUP(VALUE(LEFT(C1361,5)),Xref!A:B,2,0)</f>
        <v>D7R</v>
      </c>
      <c r="M1361" t="str">
        <f t="shared" si="87"/>
        <v>D7R-EAG</v>
      </c>
    </row>
    <row r="1362" spans="1:13" ht="14.25" customHeight="true">
      <c r="A1362" s="33" t="str">
        <f t="shared" si="84"/>
        <v>EAG - Intercompany</v>
      </c>
      <c r="B1362" s="33" t="str">
        <f t="shared" si="85"/>
        <v>EAG</v>
      </c>
      <c r="C1362" s="33" t="str">
        <f t="shared" si="86"/>
        <v>11215-0000</v>
      </c>
      <c r="D1362" t="s">
        <v>18996</v>
      </c>
      <c r="E1362" t="s">
        <v>14087</v>
      </c>
      <c r="F1362" t="s">
        <v>14039</v>
      </c>
      <c r="G1362" t="s">
        <v>14672</v>
      </c>
      <c r="H1362" t="s">
        <v>13869</v>
      </c>
      <c r="I1362" t="s">
        <v>14690</v>
      </c>
      <c r="J1362" s="62">
        <v>0</v>
      </c>
      <c r="K1362" s="62">
        <v>0</v>
      </c>
      <c r="L1362" t="str">
        <f>VLOOKUP(VALUE(LEFT(C1362,5)),Xref!A:B,2,0)</f>
        <v>CDP</v>
      </c>
      <c r="M1362" t="str">
        <f t="shared" si="87"/>
        <v>CDP-EAG</v>
      </c>
    </row>
    <row r="1363" spans="1:13" ht="14.25" customHeight="true">
      <c r="A1363" s="33" t="str">
        <f t="shared" si="84"/>
        <v>EAG - Intercompany</v>
      </c>
      <c r="B1363" s="33" t="str">
        <f t="shared" si="85"/>
        <v>EAG</v>
      </c>
      <c r="C1363" s="33" t="str">
        <f t="shared" si="86"/>
        <v>11216-0000</v>
      </c>
      <c r="D1363" t="s">
        <v>1054</v>
      </c>
      <c r="E1363" t="s">
        <v>13224</v>
      </c>
      <c r="F1363" t="s">
        <v>14039</v>
      </c>
      <c r="G1363" t="s">
        <v>14672</v>
      </c>
      <c r="H1363" t="s">
        <v>13869</v>
      </c>
      <c r="I1363" t="s">
        <v>14690</v>
      </c>
      <c r="J1363" s="62">
        <v>-2146.52</v>
      </c>
      <c r="K1363" s="62">
        <v>46547.96</v>
      </c>
      <c r="L1363" t="str">
        <f>VLOOKUP(VALUE(LEFT(C1363,5)),Xref!A:B,2,0)</f>
        <v>SIL</v>
      </c>
      <c r="M1363" t="str">
        <f t="shared" si="87"/>
        <v>EAG-SIL</v>
      </c>
    </row>
    <row r="1364" spans="1:13" ht="14.25" customHeight="true">
      <c r="A1364" s="33" t="str">
        <f t="shared" si="84"/>
        <v>EAG - Intercompany</v>
      </c>
      <c r="B1364" s="33" t="str">
        <f t="shared" si="85"/>
        <v>EAG</v>
      </c>
      <c r="C1364" s="33" t="str">
        <f t="shared" si="86"/>
        <v>11232-0000</v>
      </c>
      <c r="D1364" t="s">
        <v>18997</v>
      </c>
      <c r="E1364" t="s">
        <v>12486</v>
      </c>
      <c r="F1364" t="s">
        <v>14039</v>
      </c>
      <c r="G1364" t="s">
        <v>14672</v>
      </c>
      <c r="H1364" t="s">
        <v>13869</v>
      </c>
      <c r="I1364" t="s">
        <v>14690</v>
      </c>
      <c r="J1364" s="62">
        <v>0</v>
      </c>
      <c r="K1364" s="62">
        <v>0</v>
      </c>
      <c r="L1364" t="str">
        <f>VLOOKUP(VALUE(LEFT(C1364,5)),Xref!A:B,2,0)</f>
        <v>SC2</v>
      </c>
      <c r="M1364" t="str">
        <f t="shared" si="87"/>
        <v>EAG-SC2</v>
      </c>
    </row>
    <row r="1365" spans="1:13" ht="14.25" customHeight="true">
      <c r="A1365" s="33" t="str">
        <f t="shared" si="84"/>
        <v>EAG - Intercompany</v>
      </c>
      <c r="B1365" s="33" t="str">
        <f t="shared" si="85"/>
        <v>EAG</v>
      </c>
      <c r="C1365" s="33" t="str">
        <f t="shared" si="86"/>
        <v>11301-0000</v>
      </c>
      <c r="D1365" t="s">
        <v>18998</v>
      </c>
      <c r="E1365" t="s">
        <v>13225</v>
      </c>
      <c r="F1365" t="s">
        <v>14039</v>
      </c>
      <c r="G1365" t="s">
        <v>14672</v>
      </c>
      <c r="H1365" t="s">
        <v>13869</v>
      </c>
      <c r="I1365" t="s">
        <v>14690</v>
      </c>
      <c r="J1365" s="62">
        <v>0</v>
      </c>
      <c r="K1365" s="62">
        <v>0</v>
      </c>
      <c r="L1365" t="str">
        <f>VLOOKUP(VALUE(LEFT(C1365,5)),Xref!A:B,2,0)</f>
        <v>CRE</v>
      </c>
      <c r="M1365" t="str">
        <f t="shared" si="87"/>
        <v>CRE-EAG</v>
      </c>
    </row>
    <row r="1366" spans="1:13" ht="14.25" customHeight="true">
      <c r="A1366" s="33" t="str">
        <f t="shared" si="84"/>
        <v>EAG - Intercompany</v>
      </c>
      <c r="B1366" s="33" t="str">
        <f t="shared" si="85"/>
        <v>EAG</v>
      </c>
      <c r="C1366" s="33" t="str">
        <f t="shared" si="86"/>
        <v>11302-0000</v>
      </c>
      <c r="D1366" t="s">
        <v>18999</v>
      </c>
      <c r="E1366" t="s">
        <v>13226</v>
      </c>
      <c r="F1366" t="s">
        <v>14039</v>
      </c>
      <c r="G1366" t="s">
        <v>14672</v>
      </c>
      <c r="H1366" t="s">
        <v>13869</v>
      </c>
      <c r="I1366" t="s">
        <v>14690</v>
      </c>
      <c r="J1366" s="62">
        <v>0</v>
      </c>
      <c r="K1366" s="62">
        <v>0</v>
      </c>
      <c r="L1366" t="str">
        <f>VLOOKUP(VALUE(LEFT(C1366,5)),Xref!A:B,2,0)</f>
        <v>CHA</v>
      </c>
      <c r="M1366" t="str">
        <f t="shared" si="87"/>
        <v>CHA-EAG</v>
      </c>
    </row>
    <row r="1367" spans="1:13" ht="14.25" customHeight="true">
      <c r="A1367" s="33" t="str">
        <f t="shared" si="84"/>
        <v>EAG - Intercompany</v>
      </c>
      <c r="B1367" s="33" t="str">
        <f t="shared" si="85"/>
        <v>EAG</v>
      </c>
      <c r="C1367" s="33" t="str">
        <f t="shared" si="86"/>
        <v>11303-0000</v>
      </c>
      <c r="D1367" t="s">
        <v>19000</v>
      </c>
      <c r="E1367" t="s">
        <v>13227</v>
      </c>
      <c r="F1367" t="s">
        <v>14039</v>
      </c>
      <c r="G1367" t="s">
        <v>14672</v>
      </c>
      <c r="H1367" t="s">
        <v>13869</v>
      </c>
      <c r="I1367" t="s">
        <v>14690</v>
      </c>
      <c r="J1367" s="62">
        <v>0</v>
      </c>
      <c r="K1367" s="62">
        <v>0</v>
      </c>
      <c r="L1367" t="str">
        <f>VLOOKUP(VALUE(LEFT(C1367,5)),Xref!A:B,2,0)</f>
        <v>DIA</v>
      </c>
      <c r="M1367" t="str">
        <f t="shared" si="87"/>
        <v>DIA-EAG</v>
      </c>
    </row>
    <row r="1368" spans="1:13" ht="14.25" customHeight="true">
      <c r="A1368" s="33" t="str">
        <f t="shared" si="84"/>
        <v>EAG - Intercompany</v>
      </c>
      <c r="B1368" s="33" t="str">
        <f t="shared" si="85"/>
        <v>EAG</v>
      </c>
      <c r="C1368" s="33" t="str">
        <f t="shared" si="86"/>
        <v>11304-0000</v>
      </c>
      <c r="D1368" t="s">
        <v>19001</v>
      </c>
      <c r="E1368" t="s">
        <v>13228</v>
      </c>
      <c r="F1368" t="s">
        <v>14039</v>
      </c>
      <c r="G1368" t="s">
        <v>14672</v>
      </c>
      <c r="H1368" t="s">
        <v>13869</v>
      </c>
      <c r="I1368" t="s">
        <v>14690</v>
      </c>
      <c r="J1368" s="62">
        <v>0</v>
      </c>
      <c r="K1368" s="62">
        <v>26000</v>
      </c>
      <c r="L1368" t="str">
        <f>VLOOKUP(VALUE(LEFT(C1368,5)),Xref!A:B,2,0)</f>
        <v>EAG</v>
      </c>
      <c r="M1368" t="str">
        <f t="shared" si="87"/>
        <v>EAG-EAG</v>
      </c>
    </row>
    <row r="1369" spans="1:13" ht="14.25" customHeight="true">
      <c r="A1369" s="33" t="str">
        <f t="shared" si="84"/>
        <v>EAG - Intercompany</v>
      </c>
      <c r="B1369" s="33" t="str">
        <f t="shared" si="85"/>
        <v>EAG</v>
      </c>
      <c r="C1369" s="33" t="str">
        <f t="shared" si="86"/>
        <v>11305-0000</v>
      </c>
      <c r="D1369" t="s">
        <v>1055</v>
      </c>
      <c r="E1369" t="s">
        <v>13229</v>
      </c>
      <c r="F1369" t="s">
        <v>14039</v>
      </c>
      <c r="G1369" t="s">
        <v>14672</v>
      </c>
      <c r="H1369" t="s">
        <v>13869</v>
      </c>
      <c r="I1369" t="s">
        <v>14690</v>
      </c>
      <c r="J1369" s="62">
        <v>0</v>
      </c>
      <c r="K1369" s="62">
        <v>30000</v>
      </c>
      <c r="L1369" t="str">
        <f>VLOOKUP(VALUE(LEFT(C1369,5)),Xref!A:B,2,0)</f>
        <v>NEW</v>
      </c>
      <c r="M1369" t="str">
        <f t="shared" si="87"/>
        <v>EAG-NEW</v>
      </c>
    </row>
    <row r="1370" spans="1:13" ht="14.25" customHeight="true">
      <c r="A1370" s="33" t="str">
        <f t="shared" si="84"/>
        <v>EAG - Intercompany</v>
      </c>
      <c r="B1370" s="33" t="str">
        <f t="shared" si="85"/>
        <v>EAG</v>
      </c>
      <c r="C1370" s="33" t="str">
        <f t="shared" si="86"/>
        <v>11307-0000</v>
      </c>
      <c r="D1370" t="s">
        <v>19002</v>
      </c>
      <c r="E1370" t="s">
        <v>14096</v>
      </c>
      <c r="F1370" t="s">
        <v>14039</v>
      </c>
      <c r="G1370" t="s">
        <v>14672</v>
      </c>
      <c r="H1370" t="s">
        <v>13869</v>
      </c>
      <c r="I1370" t="s">
        <v>14690</v>
      </c>
      <c r="J1370" s="62">
        <v>0</v>
      </c>
      <c r="K1370" s="62">
        <v>0</v>
      </c>
      <c r="L1370" t="str">
        <f>VLOOKUP(VALUE(LEFT(C1370,5)),Xref!A:B,2,0)</f>
        <v>NES</v>
      </c>
      <c r="M1370" t="str">
        <f t="shared" si="87"/>
        <v>EAG-NES</v>
      </c>
    </row>
    <row r="1371" spans="1:13" ht="14.25" customHeight="true">
      <c r="A1371" s="33" t="str">
        <f t="shared" si="84"/>
        <v>EAG - Intercompany</v>
      </c>
      <c r="B1371" s="33" t="str">
        <f t="shared" si="85"/>
        <v>EAG</v>
      </c>
      <c r="C1371" s="33" t="str">
        <f t="shared" si="86"/>
        <v>11308-0000</v>
      </c>
      <c r="D1371" t="s">
        <v>19003</v>
      </c>
      <c r="E1371" t="s">
        <v>13476</v>
      </c>
      <c r="F1371" t="s">
        <v>14039</v>
      </c>
      <c r="G1371" t="s">
        <v>14672</v>
      </c>
      <c r="H1371" t="s">
        <v>13869</v>
      </c>
      <c r="I1371" t="s">
        <v>14690</v>
      </c>
      <c r="J1371" s="62">
        <v>0</v>
      </c>
      <c r="K1371" s="62">
        <v>0</v>
      </c>
      <c r="L1371" t="str">
        <f>VLOOKUP(VALUE(LEFT(C1371,5)),Xref!A:B,2,0)</f>
        <v>LPI</v>
      </c>
      <c r="M1371" t="str">
        <f t="shared" si="87"/>
        <v>EAG-LPI</v>
      </c>
    </row>
    <row r="1372" spans="1:13" ht="14.25" customHeight="true">
      <c r="A1372" s="33" t="str">
        <f t="shared" si="84"/>
        <v>EAG - Intercompany</v>
      </c>
      <c r="B1372" s="33" t="str">
        <f t="shared" si="85"/>
        <v>EAG</v>
      </c>
      <c r="C1372" s="33" t="str">
        <f t="shared" si="86"/>
        <v>11309-0000</v>
      </c>
      <c r="D1372" t="s">
        <v>19004</v>
      </c>
      <c r="E1372" t="s">
        <v>13230</v>
      </c>
      <c r="F1372" t="s">
        <v>14039</v>
      </c>
      <c r="G1372" t="s">
        <v>14672</v>
      </c>
      <c r="H1372" t="s">
        <v>13869</v>
      </c>
      <c r="I1372" t="s">
        <v>14690</v>
      </c>
      <c r="J1372" s="62">
        <v>0</v>
      </c>
      <c r="K1372" s="62">
        <v>0</v>
      </c>
      <c r="L1372" t="str">
        <f>VLOOKUP(VALUE(LEFT(C1372,5)),Xref!A:B,2,0)</f>
        <v>GPI</v>
      </c>
      <c r="M1372" t="str">
        <f t="shared" si="87"/>
        <v>EAG-GPI</v>
      </c>
    </row>
    <row r="1373" spans="1:13" ht="14.25" customHeight="true">
      <c r="A1373" s="33" t="str">
        <f t="shared" si="84"/>
        <v>EAG - Intercompany</v>
      </c>
      <c r="B1373" s="33" t="str">
        <f t="shared" si="85"/>
        <v>EAG</v>
      </c>
      <c r="C1373" s="33" t="str">
        <f t="shared" si="86"/>
        <v>11310-0000</v>
      </c>
      <c r="D1373" t="s">
        <v>19005</v>
      </c>
      <c r="E1373" t="s">
        <v>13231</v>
      </c>
      <c r="F1373" t="s">
        <v>14039</v>
      </c>
      <c r="G1373" t="s">
        <v>14672</v>
      </c>
      <c r="H1373" t="s">
        <v>13869</v>
      </c>
      <c r="I1373" t="s">
        <v>14690</v>
      </c>
      <c r="J1373" s="62">
        <v>0</v>
      </c>
      <c r="K1373" s="62">
        <v>0</v>
      </c>
      <c r="L1373" t="str">
        <f>VLOOKUP(VALUE(LEFT(C1373,5)),Xref!A:B,2,0)</f>
        <v>ALP</v>
      </c>
      <c r="M1373" t="str">
        <f t="shared" si="87"/>
        <v>ALP-EAG</v>
      </c>
    </row>
    <row r="1374" spans="1:13" ht="14.25" customHeight="true">
      <c r="A1374" s="33" t="str">
        <f t="shared" si="84"/>
        <v>EAG - Intercompany</v>
      </c>
      <c r="B1374" s="33" t="str">
        <f t="shared" si="85"/>
        <v>EAG</v>
      </c>
      <c r="C1374" s="33" t="str">
        <f t="shared" si="86"/>
        <v>11311-0000</v>
      </c>
      <c r="D1374" t="s">
        <v>19006</v>
      </c>
      <c r="E1374" t="s">
        <v>13232</v>
      </c>
      <c r="F1374" t="s">
        <v>14039</v>
      </c>
      <c r="G1374" t="s">
        <v>14672</v>
      </c>
      <c r="H1374" t="s">
        <v>13869</v>
      </c>
      <c r="I1374" t="s">
        <v>14690</v>
      </c>
      <c r="J1374" s="62">
        <v>0</v>
      </c>
      <c r="K1374" s="62">
        <v>0</v>
      </c>
      <c r="L1374" t="str">
        <f>VLOOKUP(VALUE(LEFT(C1374,5)),Xref!A:B,2,0)</f>
        <v>BET</v>
      </c>
      <c r="M1374" t="str">
        <f t="shared" si="87"/>
        <v>BET-EAG</v>
      </c>
    </row>
    <row r="1375" spans="1:13" ht="14.25" customHeight="true">
      <c r="A1375" s="33" t="str">
        <f t="shared" si="84"/>
        <v>EAG - Intercompany</v>
      </c>
      <c r="B1375" s="33" t="str">
        <f t="shared" si="85"/>
        <v>EAG</v>
      </c>
      <c r="C1375" s="33" t="str">
        <f t="shared" si="86"/>
        <v>11312-0000</v>
      </c>
      <c r="D1375" t="s">
        <v>19007</v>
      </c>
      <c r="E1375" t="s">
        <v>14102</v>
      </c>
      <c r="F1375" t="s">
        <v>14039</v>
      </c>
      <c r="G1375" t="s">
        <v>14672</v>
      </c>
      <c r="H1375" t="s">
        <v>13869</v>
      </c>
      <c r="I1375" t="s">
        <v>14690</v>
      </c>
      <c r="J1375" s="62">
        <v>0</v>
      </c>
      <c r="K1375" s="62">
        <v>0</v>
      </c>
      <c r="L1375" t="str">
        <f>VLOOKUP(VALUE(LEFT(C1375,5)),Xref!A:B,2,0)</f>
        <v>DEL</v>
      </c>
      <c r="M1375" t="str">
        <f t="shared" si="87"/>
        <v>DEL-EAG</v>
      </c>
    </row>
    <row r="1376" spans="1:13" ht="14.25" customHeight="true">
      <c r="A1376" s="33" t="str">
        <f t="shared" si="84"/>
        <v>EAG - Intercompany</v>
      </c>
      <c r="B1376" s="33" t="str">
        <f t="shared" si="85"/>
        <v>EAG</v>
      </c>
      <c r="C1376" s="33" t="str">
        <f t="shared" si="86"/>
        <v>11313-0000</v>
      </c>
      <c r="D1376" t="s">
        <v>19008</v>
      </c>
      <c r="E1376" t="s">
        <v>13233</v>
      </c>
      <c r="F1376" t="s">
        <v>14039</v>
      </c>
      <c r="G1376" t="s">
        <v>14672</v>
      </c>
      <c r="H1376" t="s">
        <v>13869</v>
      </c>
      <c r="I1376" t="s">
        <v>14690</v>
      </c>
      <c r="J1376" s="62">
        <v>0</v>
      </c>
      <c r="K1376" s="62">
        <v>0</v>
      </c>
      <c r="L1376" t="str">
        <f>VLOOKUP(VALUE(LEFT(C1376,5)),Xref!A:B,2,0)</f>
        <v>DOL</v>
      </c>
      <c r="M1376" t="str">
        <f t="shared" si="87"/>
        <v>DOL-EAG</v>
      </c>
    </row>
    <row r="1377" spans="1:13" ht="14.25" customHeight="true">
      <c r="A1377" s="33" t="str">
        <f t="shared" si="84"/>
        <v>EAG - Intercompany</v>
      </c>
      <c r="B1377" s="33" t="str">
        <f t="shared" si="85"/>
        <v>EAG</v>
      </c>
      <c r="C1377" s="33" t="str">
        <f t="shared" si="86"/>
        <v>11314-0000</v>
      </c>
      <c r="D1377" t="s">
        <v>19009</v>
      </c>
      <c r="E1377" t="s">
        <v>13351</v>
      </c>
      <c r="F1377" t="s">
        <v>14039</v>
      </c>
      <c r="G1377" t="s">
        <v>14672</v>
      </c>
      <c r="H1377" t="s">
        <v>13869</v>
      </c>
      <c r="I1377" t="s">
        <v>14690</v>
      </c>
      <c r="J1377" s="62">
        <v>0</v>
      </c>
      <c r="K1377" s="62">
        <v>0</v>
      </c>
      <c r="L1377" t="str">
        <f>VLOOKUP(VALUE(LEFT(C1377,5)),Xref!A:B,2,0)</f>
        <v>GRI</v>
      </c>
      <c r="M1377" t="str">
        <f t="shared" si="87"/>
        <v>EAG-GRI</v>
      </c>
    </row>
    <row r="1378" spans="1:13" ht="14.25" customHeight="true">
      <c r="A1378" s="33" t="str">
        <f t="shared" si="84"/>
        <v>EAG - Intercompany</v>
      </c>
      <c r="B1378" s="33" t="str">
        <f t="shared" si="85"/>
        <v>EAG</v>
      </c>
      <c r="C1378" s="33" t="str">
        <f t="shared" si="86"/>
        <v>11315-0000</v>
      </c>
      <c r="D1378" t="s">
        <v>19010</v>
      </c>
      <c r="E1378" t="s">
        <v>13234</v>
      </c>
      <c r="F1378" t="s">
        <v>14039</v>
      </c>
      <c r="G1378" t="s">
        <v>14672</v>
      </c>
      <c r="H1378" t="s">
        <v>13869</v>
      </c>
      <c r="I1378" t="s">
        <v>14690</v>
      </c>
      <c r="J1378" s="62">
        <v>0</v>
      </c>
      <c r="K1378" s="62">
        <v>0</v>
      </c>
      <c r="L1378" t="str">
        <f>VLOOKUP(VALUE(LEFT(C1378,5)),Xref!A:B,2,0)</f>
        <v>PUR</v>
      </c>
      <c r="M1378" t="str">
        <f t="shared" si="87"/>
        <v>EAG-PUR</v>
      </c>
    </row>
    <row r="1379" spans="1:13" ht="14.25" customHeight="true">
      <c r="A1379" s="33" t="str">
        <f t="shared" si="84"/>
        <v>EAG - Intercompany</v>
      </c>
      <c r="B1379" s="33" t="str">
        <f t="shared" si="85"/>
        <v>EAG</v>
      </c>
      <c r="C1379" s="33" t="str">
        <f t="shared" si="86"/>
        <v>11316-0000</v>
      </c>
      <c r="D1379" t="s">
        <v>19011</v>
      </c>
      <c r="E1379" t="s">
        <v>13235</v>
      </c>
      <c r="F1379" t="s">
        <v>14039</v>
      </c>
      <c r="G1379" t="s">
        <v>14672</v>
      </c>
      <c r="H1379" t="s">
        <v>13869</v>
      </c>
      <c r="I1379" t="s">
        <v>14690</v>
      </c>
      <c r="J1379" s="62">
        <v>0</v>
      </c>
      <c r="K1379" s="62">
        <v>0</v>
      </c>
      <c r="L1379" t="str">
        <f>VLOOKUP(VALUE(LEFT(C1379,5)),Xref!A:B,2,0)</f>
        <v>VAL</v>
      </c>
      <c r="M1379" t="str">
        <f t="shared" si="87"/>
        <v>EAG-VAL</v>
      </c>
    </row>
    <row r="1380" spans="1:13" ht="14.25" customHeight="true">
      <c r="A1380" s="33" t="str">
        <f t="shared" si="84"/>
        <v>EAG - Intercompany</v>
      </c>
      <c r="B1380" s="33" t="str">
        <f t="shared" si="85"/>
        <v>EAG</v>
      </c>
      <c r="C1380" s="33" t="str">
        <f t="shared" si="86"/>
        <v>11317-0000</v>
      </c>
      <c r="D1380" t="s">
        <v>1056</v>
      </c>
      <c r="E1380" t="s">
        <v>13352</v>
      </c>
      <c r="F1380" t="s">
        <v>14039</v>
      </c>
      <c r="G1380" t="s">
        <v>14672</v>
      </c>
      <c r="H1380" t="s">
        <v>13869</v>
      </c>
      <c r="I1380" t="s">
        <v>14690</v>
      </c>
      <c r="J1380" s="62">
        <v>0</v>
      </c>
      <c r="K1380" s="62">
        <v>-24999.2</v>
      </c>
      <c r="L1380" t="str">
        <f>VLOOKUP(VALUE(LEFT(C1380,5)),Xref!A:B,2,0)</f>
        <v>AKG</v>
      </c>
      <c r="M1380" t="str">
        <f t="shared" si="87"/>
        <v>AKG-EAG</v>
      </c>
    </row>
    <row r="1381" spans="1:13" ht="14.25" customHeight="true">
      <c r="A1381" s="33" t="str">
        <f t="shared" si="84"/>
        <v>EAG - Intercompany</v>
      </c>
      <c r="B1381" s="33" t="str">
        <f t="shared" si="85"/>
        <v>EAG</v>
      </c>
      <c r="C1381" s="33" t="str">
        <f t="shared" si="86"/>
        <v>11318-0000</v>
      </c>
      <c r="D1381" t="s">
        <v>19012</v>
      </c>
      <c r="E1381" t="s">
        <v>13477</v>
      </c>
      <c r="F1381" t="s">
        <v>14039</v>
      </c>
      <c r="G1381" t="s">
        <v>14672</v>
      </c>
      <c r="H1381" t="s">
        <v>13869</v>
      </c>
      <c r="I1381" t="s">
        <v>14690</v>
      </c>
      <c r="J1381" s="62">
        <v>0</v>
      </c>
      <c r="K1381" s="62">
        <v>0</v>
      </c>
      <c r="L1381" t="str">
        <f>VLOOKUP(VALUE(LEFT(C1381,5)),Xref!A:B,2,0)</f>
        <v>FIR</v>
      </c>
      <c r="M1381" t="str">
        <f t="shared" si="87"/>
        <v>EAG-FIR</v>
      </c>
    </row>
    <row r="1382" spans="1:13" ht="14.25" customHeight="true">
      <c r="A1382" s="33" t="str">
        <f t="shared" si="84"/>
        <v>EAG - Intercompany</v>
      </c>
      <c r="B1382" s="33" t="str">
        <f t="shared" si="85"/>
        <v>EAG</v>
      </c>
      <c r="C1382" s="33" t="str">
        <f t="shared" si="86"/>
        <v>11319-0000</v>
      </c>
      <c r="D1382" t="s">
        <v>19013</v>
      </c>
      <c r="E1382" t="s">
        <v>266</v>
      </c>
      <c r="F1382" t="s">
        <v>14039</v>
      </c>
      <c r="G1382" t="s">
        <v>14672</v>
      </c>
      <c r="H1382" t="s">
        <v>13869</v>
      </c>
      <c r="I1382" t="s">
        <v>14690</v>
      </c>
      <c r="J1382" s="62">
        <v>0</v>
      </c>
      <c r="K1382" s="62">
        <v>0</v>
      </c>
      <c r="L1382" t="str">
        <f>VLOOKUP(VALUE(LEFT(C1382,5)),Xref!A:B,2,0)</f>
        <v>GST</v>
      </c>
      <c r="M1382" t="str">
        <f t="shared" si="87"/>
        <v>EAG-GST</v>
      </c>
    </row>
    <row r="1383" spans="1:13" ht="14.25" customHeight="true">
      <c r="A1383" s="33" t="str">
        <f t="shared" si="84"/>
        <v>EAG - Intercompany</v>
      </c>
      <c r="B1383" s="33" t="str">
        <f t="shared" si="85"/>
        <v>EAG</v>
      </c>
      <c r="C1383" s="33" t="str">
        <f t="shared" si="86"/>
        <v>11320-0000</v>
      </c>
      <c r="D1383" t="s">
        <v>19014</v>
      </c>
      <c r="E1383" t="s">
        <v>14111</v>
      </c>
      <c r="F1383" t="s">
        <v>14039</v>
      </c>
      <c r="G1383" t="s">
        <v>14672</v>
      </c>
      <c r="H1383" t="s">
        <v>13869</v>
      </c>
      <c r="I1383" t="s">
        <v>14690</v>
      </c>
      <c r="J1383" s="62">
        <v>0</v>
      </c>
      <c r="K1383" s="62">
        <v>0</v>
      </c>
      <c r="L1383" t="str">
        <f>VLOOKUP(VALUE(LEFT(C1383,5)),Xref!A:B,2,0)</f>
        <v>HDN</v>
      </c>
      <c r="M1383" t="str">
        <f t="shared" si="87"/>
        <v>EAG-HDN</v>
      </c>
    </row>
    <row r="1384" spans="1:13" ht="14.25" customHeight="true">
      <c r="A1384" s="33" t="str">
        <f t="shared" si="84"/>
        <v>EAG - Intercompany</v>
      </c>
      <c r="B1384" s="33" t="str">
        <f t="shared" si="85"/>
        <v>EAG</v>
      </c>
      <c r="C1384" s="33" t="str">
        <f t="shared" si="86"/>
        <v>11321-0000</v>
      </c>
      <c r="D1384" t="s">
        <v>19015</v>
      </c>
      <c r="E1384" t="s">
        <v>13236</v>
      </c>
      <c r="F1384" t="s">
        <v>14039</v>
      </c>
      <c r="G1384" t="s">
        <v>14672</v>
      </c>
      <c r="H1384" t="s">
        <v>13869</v>
      </c>
      <c r="I1384" t="s">
        <v>14690</v>
      </c>
      <c r="J1384" s="62">
        <v>0</v>
      </c>
      <c r="K1384" s="62">
        <v>0</v>
      </c>
      <c r="L1384" t="str">
        <f>VLOOKUP(VALUE(LEFT(C1384,5)),Xref!A:B,2,0)</f>
        <v>OVA</v>
      </c>
      <c r="M1384" t="str">
        <f t="shared" si="87"/>
        <v>EAG-OVA</v>
      </c>
    </row>
    <row r="1385" spans="1:13" ht="14.25" customHeight="true">
      <c r="A1385" s="33" t="str">
        <f t="shared" si="84"/>
        <v>EAG - Intercompany</v>
      </c>
      <c r="B1385" s="33" t="str">
        <f t="shared" si="85"/>
        <v>EAG</v>
      </c>
      <c r="C1385" s="33" t="str">
        <f t="shared" si="86"/>
        <v>11322-0000</v>
      </c>
      <c r="D1385" t="s">
        <v>19016</v>
      </c>
      <c r="E1385" t="s">
        <v>13237</v>
      </c>
      <c r="F1385" t="s">
        <v>14039</v>
      </c>
      <c r="G1385" t="s">
        <v>14672</v>
      </c>
      <c r="H1385" t="s">
        <v>13869</v>
      </c>
      <c r="I1385" t="s">
        <v>14690</v>
      </c>
      <c r="J1385" s="62">
        <v>0</v>
      </c>
      <c r="K1385" s="62">
        <v>0</v>
      </c>
      <c r="L1385" t="str">
        <f>VLOOKUP(VALUE(LEFT(C1385,5)),Xref!A:B,2,0)</f>
        <v>WOO</v>
      </c>
      <c r="M1385" t="str">
        <f t="shared" si="87"/>
        <v>EAG-WOO</v>
      </c>
    </row>
    <row r="1386" spans="1:13" ht="14.25" customHeight="true">
      <c r="A1386" s="33" t="str">
        <f t="shared" si="84"/>
        <v>EAG - Intercompany</v>
      </c>
      <c r="B1386" s="33" t="str">
        <f t="shared" si="85"/>
        <v>EAG</v>
      </c>
      <c r="C1386" s="33" t="str">
        <f t="shared" si="86"/>
        <v>11323-0000</v>
      </c>
      <c r="D1386" t="s">
        <v>19017</v>
      </c>
      <c r="E1386" t="s">
        <v>13478</v>
      </c>
      <c r="F1386" t="s">
        <v>14039</v>
      </c>
      <c r="G1386" t="s">
        <v>14672</v>
      </c>
      <c r="H1386" t="s">
        <v>13869</v>
      </c>
      <c r="I1386" t="s">
        <v>14690</v>
      </c>
      <c r="J1386" s="62">
        <v>0</v>
      </c>
      <c r="K1386" s="62">
        <v>0</v>
      </c>
      <c r="L1386" t="str">
        <f>VLOOKUP(VALUE(LEFT(C1386,5)),Xref!A:B,2,0)</f>
        <v>SPI</v>
      </c>
      <c r="M1386" t="str">
        <f t="shared" si="87"/>
        <v>EAG-SPI</v>
      </c>
    </row>
    <row r="1387" spans="1:13" ht="14.25" customHeight="true">
      <c r="A1387" s="33" t="str">
        <f t="shared" si="84"/>
        <v>EAG - Intercompany</v>
      </c>
      <c r="B1387" s="33" t="str">
        <f t="shared" si="85"/>
        <v>EAG</v>
      </c>
      <c r="C1387" s="33" t="str">
        <f t="shared" si="86"/>
        <v>11324-0000</v>
      </c>
      <c r="D1387" t="s">
        <v>19018</v>
      </c>
      <c r="E1387" t="s">
        <v>13238</v>
      </c>
      <c r="F1387" t="s">
        <v>14039</v>
      </c>
      <c r="G1387" t="s">
        <v>14672</v>
      </c>
      <c r="H1387" t="s">
        <v>13869</v>
      </c>
      <c r="I1387" t="s">
        <v>14690</v>
      </c>
      <c r="J1387" s="62">
        <v>0</v>
      </c>
      <c r="K1387" s="62">
        <v>0</v>
      </c>
      <c r="L1387" t="str">
        <f>VLOOKUP(VALUE(LEFT(C1387,5)),Xref!A:B,2,0)</f>
        <v>NET</v>
      </c>
      <c r="M1387" t="str">
        <f t="shared" si="87"/>
        <v>EAG-NET</v>
      </c>
    </row>
    <row r="1388" spans="1:13" ht="14.25" customHeight="true">
      <c r="A1388" s="33" t="str">
        <f t="shared" si="84"/>
        <v>EAG - Intercompany</v>
      </c>
      <c r="B1388" s="33" t="str">
        <f t="shared" si="85"/>
        <v>EAG</v>
      </c>
      <c r="C1388" s="33" t="str">
        <f t="shared" si="86"/>
        <v>11325-0000</v>
      </c>
      <c r="D1388" t="s">
        <v>19019</v>
      </c>
      <c r="E1388" t="s">
        <v>13239</v>
      </c>
      <c r="F1388" t="s">
        <v>14039</v>
      </c>
      <c r="G1388" t="s">
        <v>14672</v>
      </c>
      <c r="H1388" t="s">
        <v>13869</v>
      </c>
      <c r="I1388" t="s">
        <v>14690</v>
      </c>
      <c r="J1388" s="62">
        <v>0</v>
      </c>
      <c r="K1388" s="62">
        <v>0</v>
      </c>
      <c r="L1388" t="str">
        <f>VLOOKUP(VALUE(LEFT(C1388,5)),Xref!A:B,2,0)</f>
        <v>DPI</v>
      </c>
      <c r="M1388" t="str">
        <f t="shared" si="87"/>
        <v>DPI-EAG</v>
      </c>
    </row>
    <row r="1389" spans="1:13" ht="14.25" customHeight="true">
      <c r="A1389" s="33" t="str">
        <f t="shared" si="84"/>
        <v>EAG - Intercompany</v>
      </c>
      <c r="B1389" s="33" t="str">
        <f t="shared" si="85"/>
        <v>EAG</v>
      </c>
      <c r="C1389" s="33" t="str">
        <f t="shared" si="86"/>
        <v>11326-0000</v>
      </c>
      <c r="D1389" t="s">
        <v>19020</v>
      </c>
      <c r="E1389" t="s">
        <v>13240</v>
      </c>
      <c r="F1389" t="s">
        <v>14039</v>
      </c>
      <c r="G1389" t="s">
        <v>14672</v>
      </c>
      <c r="H1389" t="s">
        <v>13869</v>
      </c>
      <c r="I1389" t="s">
        <v>14690</v>
      </c>
      <c r="J1389" s="62">
        <v>0</v>
      </c>
      <c r="K1389" s="62">
        <v>0</v>
      </c>
      <c r="L1389" t="str">
        <f>VLOOKUP(VALUE(LEFT(C1389,5)),Xref!A:B,2,0)</f>
        <v>SEK</v>
      </c>
      <c r="M1389" t="str">
        <f t="shared" si="87"/>
        <v>EAG-SEK</v>
      </c>
    </row>
    <row r="1390" spans="1:13" ht="14.25" customHeight="true">
      <c r="A1390" s="33" t="str">
        <f t="shared" si="84"/>
        <v>EAG - Intercompany</v>
      </c>
      <c r="B1390" s="33" t="str">
        <f t="shared" si="85"/>
        <v>EAG</v>
      </c>
      <c r="C1390" s="33" t="str">
        <f t="shared" si="86"/>
        <v>11327-0000</v>
      </c>
      <c r="D1390" t="s">
        <v>19021</v>
      </c>
      <c r="E1390" t="s">
        <v>14119</v>
      </c>
      <c r="F1390" t="s">
        <v>14039</v>
      </c>
      <c r="G1390" t="s">
        <v>14672</v>
      </c>
      <c r="H1390" t="s">
        <v>13869</v>
      </c>
      <c r="I1390" t="s">
        <v>14690</v>
      </c>
      <c r="J1390" s="62">
        <v>0</v>
      </c>
      <c r="K1390" s="62">
        <v>0</v>
      </c>
      <c r="L1390" t="str">
        <f>VLOOKUP(VALUE(LEFT(C1390,5)),Xref!A:B,2,0)</f>
        <v>CPI</v>
      </c>
      <c r="M1390" t="str">
        <f t="shared" si="87"/>
        <v>CPI-EAG</v>
      </c>
    </row>
    <row r="1391" spans="1:13" ht="14.25" customHeight="true">
      <c r="A1391" s="33" t="str">
        <f t="shared" si="84"/>
        <v>EAG - Intercompany</v>
      </c>
      <c r="B1391" s="33" t="str">
        <f t="shared" si="85"/>
        <v>EAG</v>
      </c>
      <c r="C1391" s="33" t="str">
        <f t="shared" si="86"/>
        <v>11328-0000</v>
      </c>
      <c r="D1391" t="s">
        <v>19022</v>
      </c>
      <c r="E1391" t="s">
        <v>13241</v>
      </c>
      <c r="F1391" t="s">
        <v>14039</v>
      </c>
      <c r="G1391" t="s">
        <v>14672</v>
      </c>
      <c r="H1391" t="s">
        <v>13869</v>
      </c>
      <c r="I1391" t="s">
        <v>14690</v>
      </c>
      <c r="J1391" s="62">
        <v>0</v>
      </c>
      <c r="K1391" s="62">
        <v>0</v>
      </c>
      <c r="L1391" t="str">
        <f>VLOOKUP(VALUE(LEFT(C1391,5)),Xref!A:B,2,0)</f>
        <v>LOM</v>
      </c>
      <c r="M1391" t="str">
        <f t="shared" si="87"/>
        <v>EAG-LOM</v>
      </c>
    </row>
    <row r="1392" spans="1:13" ht="14.25" customHeight="true">
      <c r="A1392" s="33" t="str">
        <f t="shared" si="84"/>
        <v>EAG - Intercompany</v>
      </c>
      <c r="B1392" s="33" t="str">
        <f t="shared" si="85"/>
        <v>EAG</v>
      </c>
      <c r="C1392" s="33" t="str">
        <f t="shared" si="86"/>
        <v>11329-0000</v>
      </c>
      <c r="D1392" t="s">
        <v>19023</v>
      </c>
      <c r="E1392" t="s">
        <v>13353</v>
      </c>
      <c r="F1392" t="s">
        <v>14039</v>
      </c>
      <c r="G1392" t="s">
        <v>14672</v>
      </c>
      <c r="H1392" t="s">
        <v>13869</v>
      </c>
      <c r="I1392" t="s">
        <v>14690</v>
      </c>
      <c r="J1392" s="62">
        <v>0</v>
      </c>
      <c r="K1392" s="62">
        <v>0</v>
      </c>
      <c r="L1392" t="str">
        <f>VLOOKUP(VALUE(LEFT(C1392,5)),Xref!A:B,2,0)</f>
        <v>AKS</v>
      </c>
      <c r="M1392" t="str">
        <f t="shared" si="87"/>
        <v>AKS-EAG</v>
      </c>
    </row>
    <row r="1393" spans="1:13" ht="14.25" customHeight="true">
      <c r="A1393" s="33" t="str">
        <f t="shared" si="84"/>
        <v>EAG - Intercompany</v>
      </c>
      <c r="B1393" s="33" t="str">
        <f t="shared" si="85"/>
        <v>EAG</v>
      </c>
      <c r="C1393" s="33" t="str">
        <f t="shared" si="86"/>
        <v>11330-0000</v>
      </c>
      <c r="D1393" t="s">
        <v>19024</v>
      </c>
      <c r="E1393" t="s">
        <v>13242</v>
      </c>
      <c r="F1393" t="s">
        <v>14039</v>
      </c>
      <c r="G1393" t="s">
        <v>14672</v>
      </c>
      <c r="H1393" t="s">
        <v>13869</v>
      </c>
      <c r="I1393" t="s">
        <v>14690</v>
      </c>
      <c r="J1393" s="62">
        <v>0</v>
      </c>
      <c r="K1393" s="62">
        <v>0</v>
      </c>
      <c r="L1393" t="str">
        <f>VLOOKUP(VALUE(LEFT(C1393,5)),Xref!A:B,2,0)</f>
        <v>MAR</v>
      </c>
      <c r="M1393" t="str">
        <f t="shared" si="87"/>
        <v>EAG-MAR</v>
      </c>
    </row>
    <row r="1394" spans="1:13" ht="14.25" customHeight="true">
      <c r="A1394" s="33" t="str">
        <f t="shared" si="84"/>
        <v>EAG - Intercompany</v>
      </c>
      <c r="B1394" s="33" t="str">
        <f t="shared" si="85"/>
        <v>EAG</v>
      </c>
      <c r="C1394" s="33" t="str">
        <f t="shared" si="86"/>
        <v>11331-0000</v>
      </c>
      <c r="D1394" t="s">
        <v>19025</v>
      </c>
      <c r="E1394" t="s">
        <v>13354</v>
      </c>
      <c r="F1394" t="s">
        <v>14039</v>
      </c>
      <c r="G1394" t="s">
        <v>14672</v>
      </c>
      <c r="H1394" t="s">
        <v>13869</v>
      </c>
      <c r="I1394" t="s">
        <v>14690</v>
      </c>
      <c r="J1394" s="62">
        <v>0</v>
      </c>
      <c r="K1394" s="62">
        <v>0</v>
      </c>
      <c r="L1394" t="str">
        <f>VLOOKUP(VALUE(LEFT(C1394,5)),Xref!A:B,2,0)</f>
        <v>WIL</v>
      </c>
      <c r="M1394" t="str">
        <f t="shared" si="87"/>
        <v>EAG-WIL</v>
      </c>
    </row>
    <row r="1395" spans="1:13" ht="14.25" customHeight="true">
      <c r="A1395" s="33" t="str">
        <f t="shared" si="84"/>
        <v>EAG - Intercompany</v>
      </c>
      <c r="B1395" s="33" t="str">
        <f t="shared" si="85"/>
        <v>EAG</v>
      </c>
      <c r="C1395" s="33" t="str">
        <f t="shared" si="86"/>
        <v>11332-0000</v>
      </c>
      <c r="D1395" t="s">
        <v>1057</v>
      </c>
      <c r="E1395" t="s">
        <v>13243</v>
      </c>
      <c r="F1395" t="s">
        <v>14039</v>
      </c>
      <c r="G1395" t="s">
        <v>14672</v>
      </c>
      <c r="H1395" t="s">
        <v>13869</v>
      </c>
      <c r="I1395" t="s">
        <v>14690</v>
      </c>
      <c r="J1395" s="62">
        <v>0</v>
      </c>
      <c r="K1395" s="62">
        <v>35000</v>
      </c>
      <c r="L1395" t="str">
        <f>VLOOKUP(VALUE(LEFT(C1395,5)),Xref!A:B,2,0)</f>
        <v>STO</v>
      </c>
      <c r="M1395" t="str">
        <f t="shared" si="87"/>
        <v>EAG-STO</v>
      </c>
    </row>
    <row r="1396" spans="1:13" ht="14.25" customHeight="true">
      <c r="A1396" s="33" t="str">
        <f t="shared" si="84"/>
        <v>EAG - Intercompany</v>
      </c>
      <c r="B1396" s="33" t="str">
        <f t="shared" si="85"/>
        <v>EAG</v>
      </c>
      <c r="C1396" s="33" t="str">
        <f t="shared" si="86"/>
        <v>11333-0000</v>
      </c>
      <c r="D1396" t="s">
        <v>1058</v>
      </c>
      <c r="E1396" t="s">
        <v>13244</v>
      </c>
      <c r="F1396" t="s">
        <v>14039</v>
      </c>
      <c r="G1396" t="s">
        <v>14672</v>
      </c>
      <c r="H1396" t="s">
        <v>13869</v>
      </c>
      <c r="I1396" t="s">
        <v>14690</v>
      </c>
      <c r="J1396" s="62">
        <v>0</v>
      </c>
      <c r="K1396" s="62">
        <v>-10000</v>
      </c>
      <c r="L1396" t="str">
        <f>VLOOKUP(VALUE(LEFT(C1396,5)),Xref!A:B,2,0)</f>
        <v>ANG</v>
      </c>
      <c r="M1396" t="str">
        <f t="shared" si="87"/>
        <v>ANG-EAG</v>
      </c>
    </row>
    <row r="1397" spans="1:13" ht="14.25" customHeight="true">
      <c r="A1397" s="33" t="str">
        <f t="shared" si="84"/>
        <v>EAG - Intercompany</v>
      </c>
      <c r="B1397" s="33" t="str">
        <f t="shared" si="85"/>
        <v>EAG</v>
      </c>
      <c r="C1397" s="33" t="str">
        <f t="shared" si="86"/>
        <v>11334-0000</v>
      </c>
      <c r="D1397" t="s">
        <v>19026</v>
      </c>
      <c r="E1397" t="s">
        <v>13245</v>
      </c>
      <c r="F1397" t="s">
        <v>14039</v>
      </c>
      <c r="G1397" t="s">
        <v>14672</v>
      </c>
      <c r="H1397" t="s">
        <v>13869</v>
      </c>
      <c r="I1397" t="s">
        <v>14690</v>
      </c>
      <c r="J1397" s="62">
        <v>0</v>
      </c>
      <c r="K1397" s="62">
        <v>0</v>
      </c>
      <c r="L1397" t="str">
        <f>VLOOKUP(VALUE(LEFT(C1397,5)),Xref!A:B,2,0)</f>
        <v>BRU</v>
      </c>
      <c r="M1397" t="str">
        <f t="shared" si="87"/>
        <v>BRU-EAG</v>
      </c>
    </row>
    <row r="1398" spans="1:13" ht="14.25" customHeight="true">
      <c r="A1398" s="33" t="str">
        <f t="shared" si="84"/>
        <v>EAG - Intercompany</v>
      </c>
      <c r="B1398" s="33" t="str">
        <f t="shared" si="85"/>
        <v>EAG</v>
      </c>
      <c r="C1398" s="33" t="str">
        <f t="shared" si="86"/>
        <v>11335-0000</v>
      </c>
      <c r="D1398" t="s">
        <v>1059</v>
      </c>
      <c r="E1398" t="s">
        <v>13246</v>
      </c>
      <c r="F1398" t="s">
        <v>14039</v>
      </c>
      <c r="G1398" t="s">
        <v>14672</v>
      </c>
      <c r="H1398" t="s">
        <v>13869</v>
      </c>
      <c r="I1398" t="s">
        <v>14690</v>
      </c>
      <c r="J1398" s="62">
        <v>0</v>
      </c>
      <c r="K1398" s="62">
        <v>20000</v>
      </c>
      <c r="L1398" t="str">
        <f>VLOOKUP(VALUE(LEFT(C1398,5)),Xref!A:B,2,0)</f>
        <v>VEN</v>
      </c>
      <c r="M1398" t="str">
        <f t="shared" si="87"/>
        <v>EAG-VEN</v>
      </c>
    </row>
    <row r="1399" spans="1:13" ht="14.25" customHeight="true">
      <c r="A1399" s="33" t="str">
        <f t="shared" si="84"/>
        <v>EAG - Intercompany</v>
      </c>
      <c r="B1399" s="33" t="str">
        <f t="shared" si="85"/>
        <v>EAG</v>
      </c>
      <c r="C1399" s="33" t="str">
        <f t="shared" si="86"/>
        <v>11336-0000</v>
      </c>
      <c r="D1399" t="s">
        <v>19027</v>
      </c>
      <c r="E1399" t="s">
        <v>13247</v>
      </c>
      <c r="F1399" t="s">
        <v>14039</v>
      </c>
      <c r="G1399" t="s">
        <v>14672</v>
      </c>
      <c r="H1399" t="s">
        <v>13869</v>
      </c>
      <c r="I1399" t="s">
        <v>14690</v>
      </c>
      <c r="J1399" s="62">
        <v>0</v>
      </c>
      <c r="K1399" s="62">
        <v>0</v>
      </c>
      <c r="L1399" t="str">
        <f>VLOOKUP(VALUE(LEFT(C1399,5)),Xref!A:B,2,0)</f>
        <v>SAT</v>
      </c>
      <c r="M1399" t="str">
        <f t="shared" si="87"/>
        <v>EAG-SAT</v>
      </c>
    </row>
    <row r="1400" spans="1:13" ht="14.25" customHeight="true">
      <c r="A1400" s="33" t="str">
        <f t="shared" si="84"/>
        <v>EAG - Intercompany</v>
      </c>
      <c r="B1400" s="33" t="str">
        <f t="shared" si="85"/>
        <v>EAG</v>
      </c>
      <c r="C1400" s="33" t="str">
        <f t="shared" si="86"/>
        <v>11337-0000</v>
      </c>
      <c r="D1400" t="s">
        <v>19028</v>
      </c>
      <c r="E1400" t="s">
        <v>13248</v>
      </c>
      <c r="F1400" t="s">
        <v>14039</v>
      </c>
      <c r="G1400" t="s">
        <v>14672</v>
      </c>
      <c r="H1400" t="s">
        <v>13869</v>
      </c>
      <c r="I1400" t="s">
        <v>14690</v>
      </c>
      <c r="J1400" s="62">
        <v>0</v>
      </c>
      <c r="K1400" s="62">
        <v>0</v>
      </c>
      <c r="L1400" t="str">
        <f>VLOOKUP(VALUE(LEFT(C1400,5)),Xref!A:B,2,0)</f>
        <v>NEP</v>
      </c>
      <c r="M1400" t="str">
        <f t="shared" si="87"/>
        <v>EAG-NEP</v>
      </c>
    </row>
    <row r="1401" spans="1:13" ht="14.25" customHeight="true">
      <c r="A1401" s="33" t="str">
        <f t="shared" si="84"/>
        <v>EAG - Intercompany</v>
      </c>
      <c r="B1401" s="33" t="str">
        <f t="shared" si="85"/>
        <v>EAG</v>
      </c>
      <c r="C1401" s="33" t="str">
        <f t="shared" si="86"/>
        <v>11338-0000</v>
      </c>
      <c r="D1401" t="s">
        <v>19029</v>
      </c>
      <c r="E1401" t="s">
        <v>14131</v>
      </c>
      <c r="F1401" t="s">
        <v>14039</v>
      </c>
      <c r="G1401" t="s">
        <v>14672</v>
      </c>
      <c r="H1401" t="s">
        <v>13869</v>
      </c>
      <c r="I1401" t="s">
        <v>14690</v>
      </c>
      <c r="J1401" s="62">
        <v>0</v>
      </c>
      <c r="K1401" s="62">
        <v>0</v>
      </c>
      <c r="L1401" t="str">
        <f>VLOOKUP(VALUE(LEFT(C1401,5)),Xref!A:B,2,0)</f>
        <v>JUP</v>
      </c>
      <c r="M1401" t="str">
        <f t="shared" si="87"/>
        <v>EAG-JUP</v>
      </c>
    </row>
    <row r="1402" spans="1:13" ht="14.25" customHeight="true">
      <c r="A1402" s="33" t="str">
        <f t="shared" si="84"/>
        <v>EAG - Intercompany</v>
      </c>
      <c r="B1402" s="33" t="str">
        <f t="shared" si="85"/>
        <v>EAG</v>
      </c>
      <c r="C1402" s="33" t="str">
        <f t="shared" si="86"/>
        <v>11339-0000</v>
      </c>
      <c r="D1402" t="s">
        <v>19030</v>
      </c>
      <c r="E1402" t="s">
        <v>14133</v>
      </c>
      <c r="F1402" t="s">
        <v>14039</v>
      </c>
      <c r="G1402" t="s">
        <v>14672</v>
      </c>
      <c r="H1402" t="s">
        <v>13869</v>
      </c>
      <c r="I1402" t="s">
        <v>14690</v>
      </c>
      <c r="J1402" s="62">
        <v>0</v>
      </c>
      <c r="K1402" s="62">
        <v>0</v>
      </c>
      <c r="L1402" t="str">
        <f>VLOOKUP(VALUE(LEFT(C1402,5)),Xref!A:B,2,0)</f>
        <v>WES</v>
      </c>
      <c r="M1402" t="str">
        <f t="shared" si="87"/>
        <v>EAG-WES</v>
      </c>
    </row>
    <row r="1403" spans="1:13" ht="14.25" customHeight="true">
      <c r="A1403" s="33" t="str">
        <f t="shared" si="84"/>
        <v>EAG - Intercompany</v>
      </c>
      <c r="B1403" s="33" t="str">
        <f t="shared" si="85"/>
        <v>EAG</v>
      </c>
      <c r="C1403" s="33" t="str">
        <f t="shared" si="86"/>
        <v>11340-0000</v>
      </c>
      <c r="D1403" t="s">
        <v>19031</v>
      </c>
      <c r="E1403" t="s">
        <v>14135</v>
      </c>
      <c r="F1403" t="s">
        <v>14039</v>
      </c>
      <c r="G1403" t="s">
        <v>14672</v>
      </c>
      <c r="H1403" t="s">
        <v>13869</v>
      </c>
      <c r="I1403" t="s">
        <v>14690</v>
      </c>
      <c r="J1403" s="62">
        <v>0</v>
      </c>
      <c r="K1403" s="62">
        <v>0</v>
      </c>
      <c r="L1403" t="str">
        <f>VLOOKUP(VALUE(LEFT(C1403,5)),Xref!A:B,2,0)</f>
        <v>LCP</v>
      </c>
      <c r="M1403" t="str">
        <f t="shared" si="87"/>
        <v>EAG-LCP</v>
      </c>
    </row>
    <row r="1404" spans="1:13" ht="14.25" customHeight="true">
      <c r="A1404" s="33" t="str">
        <f t="shared" si="84"/>
        <v>EAG - Intercompany</v>
      </c>
      <c r="B1404" s="33" t="str">
        <f t="shared" si="85"/>
        <v>EAG</v>
      </c>
      <c r="C1404" s="33" t="str">
        <f t="shared" si="86"/>
        <v>11341-0000</v>
      </c>
      <c r="D1404" t="s">
        <v>19032</v>
      </c>
      <c r="E1404" t="s">
        <v>13639</v>
      </c>
      <c r="F1404" t="s">
        <v>14039</v>
      </c>
      <c r="G1404" t="s">
        <v>14672</v>
      </c>
      <c r="H1404" t="s">
        <v>13869</v>
      </c>
      <c r="I1404" t="s">
        <v>14690</v>
      </c>
      <c r="J1404" s="62">
        <v>0</v>
      </c>
      <c r="K1404" s="62">
        <v>0</v>
      </c>
      <c r="L1404" t="str">
        <f>VLOOKUP(VALUE(LEFT(C1404,5)),Xref!A:B,2,0)</f>
        <v>NOR</v>
      </c>
      <c r="M1404" t="str">
        <f t="shared" si="87"/>
        <v>EAG-NOR</v>
      </c>
    </row>
    <row r="1405" spans="1:13" ht="14.25" customHeight="true">
      <c r="A1405" s="33" t="str">
        <f t="shared" si="84"/>
        <v>EAG - Intercompany</v>
      </c>
      <c r="B1405" s="33" t="str">
        <f t="shared" si="85"/>
        <v>EAG</v>
      </c>
      <c r="C1405" s="33" t="str">
        <f t="shared" si="86"/>
        <v>11342-0000</v>
      </c>
      <c r="D1405" t="s">
        <v>19033</v>
      </c>
      <c r="E1405" t="s">
        <v>13355</v>
      </c>
      <c r="F1405" t="s">
        <v>14039</v>
      </c>
      <c r="G1405" t="s">
        <v>14672</v>
      </c>
      <c r="H1405" t="s">
        <v>13869</v>
      </c>
      <c r="I1405" t="s">
        <v>14690</v>
      </c>
      <c r="J1405" s="62">
        <v>0</v>
      </c>
      <c r="K1405" s="62">
        <v>0</v>
      </c>
      <c r="L1405" t="str">
        <f>VLOOKUP(VALUE(LEFT(C1405,5)),Xref!A:B,2,0)</f>
        <v>EAS</v>
      </c>
      <c r="M1405" t="str">
        <f t="shared" si="87"/>
        <v>EAG-EAS</v>
      </c>
    </row>
    <row r="1406" spans="1:13" ht="14.25" customHeight="true">
      <c r="A1406" s="33" t="str">
        <f t="shared" si="84"/>
        <v>EAG - Intercompany</v>
      </c>
      <c r="B1406" s="33" t="str">
        <f t="shared" si="85"/>
        <v>EAG</v>
      </c>
      <c r="C1406" s="33" t="str">
        <f t="shared" si="86"/>
        <v>11343-0000</v>
      </c>
      <c r="D1406" t="s">
        <v>1060</v>
      </c>
      <c r="E1406" t="s">
        <v>14139</v>
      </c>
      <c r="F1406" t="s">
        <v>14039</v>
      </c>
      <c r="G1406" t="s">
        <v>14672</v>
      </c>
      <c r="H1406" t="s">
        <v>13869</v>
      </c>
      <c r="I1406" t="s">
        <v>14690</v>
      </c>
      <c r="J1406" s="62">
        <v>0</v>
      </c>
      <c r="K1406" s="62">
        <v>79900</v>
      </c>
      <c r="L1406" t="str">
        <f>VLOOKUP(VALUE(LEFT(C1406,5)),Xref!A:B,2,0)</f>
        <v>GRA</v>
      </c>
      <c r="M1406" t="str">
        <f t="shared" si="87"/>
        <v>EAG-GRA</v>
      </c>
    </row>
    <row r="1407" spans="1:13" ht="14.25" customHeight="true">
      <c r="A1407" s="33" t="str">
        <f t="shared" si="84"/>
        <v>EAG - Intercompany</v>
      </c>
      <c r="B1407" s="33" t="str">
        <f t="shared" si="85"/>
        <v>EAG</v>
      </c>
      <c r="C1407" s="33" t="str">
        <f t="shared" si="86"/>
        <v>11344-0000</v>
      </c>
      <c r="D1407" t="s">
        <v>19034</v>
      </c>
      <c r="E1407" t="s">
        <v>14141</v>
      </c>
      <c r="F1407" t="s">
        <v>14039</v>
      </c>
      <c r="G1407" t="s">
        <v>14672</v>
      </c>
      <c r="H1407" t="s">
        <v>13869</v>
      </c>
      <c r="I1407" t="s">
        <v>14690</v>
      </c>
      <c r="J1407" s="62">
        <v>0</v>
      </c>
      <c r="K1407" s="62">
        <v>0</v>
      </c>
      <c r="L1407" t="str">
        <f>VLOOKUP(VALUE(LEFT(C1407,5)),Xref!A:B,2,0)</f>
        <v>SOU</v>
      </c>
      <c r="M1407" t="str">
        <f t="shared" si="87"/>
        <v>EAG-SOU</v>
      </c>
    </row>
    <row r="1408" spans="1:13" ht="14.25" customHeight="true">
      <c r="A1408" s="33" t="str">
        <f t="shared" si="84"/>
        <v>EAG - Intercompany</v>
      </c>
      <c r="B1408" s="33" t="str">
        <f t="shared" si="85"/>
        <v>EAG</v>
      </c>
      <c r="C1408" s="33" t="str">
        <f t="shared" si="86"/>
        <v>11345-0000</v>
      </c>
      <c r="D1408" t="s">
        <v>19035</v>
      </c>
      <c r="E1408" t="s">
        <v>14143</v>
      </c>
      <c r="F1408" t="s">
        <v>14039</v>
      </c>
      <c r="G1408" t="s">
        <v>14672</v>
      </c>
      <c r="H1408" t="s">
        <v>13869</v>
      </c>
      <c r="I1408" t="s">
        <v>14690</v>
      </c>
      <c r="J1408" s="62">
        <v>0</v>
      </c>
      <c r="K1408" s="62">
        <v>0</v>
      </c>
      <c r="L1408" t="str">
        <f>VLOOKUP(VALUE(LEFT(C1408,5)),Xref!A:B,2,0)</f>
        <v>API</v>
      </c>
      <c r="M1408" t="str">
        <f t="shared" si="87"/>
        <v>API-EAG</v>
      </c>
    </row>
    <row r="1409" spans="1:13" ht="14.25" customHeight="true">
      <c r="A1409" s="33" t="str">
        <f t="shared" si="84"/>
        <v>EAG - Intercompany</v>
      </c>
      <c r="B1409" s="33" t="str">
        <f t="shared" si="85"/>
        <v>EAG</v>
      </c>
      <c r="C1409" s="33" t="str">
        <f t="shared" si="86"/>
        <v>11346-0000</v>
      </c>
      <c r="D1409" t="s">
        <v>19036</v>
      </c>
      <c r="E1409" t="s">
        <v>14145</v>
      </c>
      <c r="F1409" t="s">
        <v>14039</v>
      </c>
      <c r="G1409" t="s">
        <v>14672</v>
      </c>
      <c r="H1409" t="s">
        <v>13869</v>
      </c>
      <c r="I1409" t="s">
        <v>14690</v>
      </c>
      <c r="J1409" s="62">
        <v>0</v>
      </c>
      <c r="K1409" s="62">
        <v>0</v>
      </c>
      <c r="L1409" t="str">
        <f>VLOOKUP(VALUE(LEFT(C1409,5)),Xref!A:B,2,0)</f>
        <v>DPH</v>
      </c>
      <c r="M1409" t="str">
        <f t="shared" si="87"/>
        <v>DPH-EAG</v>
      </c>
    </row>
    <row r="1410" spans="1:13" ht="14.25" customHeight="true">
      <c r="A1410" s="33" t="str">
        <f t="shared" ref="A1410:A1473" si="88">B1410&amp;" - "&amp;TRIM(H1410)</f>
        <v>EAG - Intercompany</v>
      </c>
      <c r="B1410" s="33" t="str">
        <f t="shared" ref="B1410:B1473" si="89">LEFT(D1410,3)</f>
        <v>EAG</v>
      </c>
      <c r="C1410" s="33" t="str">
        <f t="shared" ref="C1410:C1473" si="90">RIGHT(D1410,10)</f>
        <v>11347-0000</v>
      </c>
      <c r="D1410" t="s">
        <v>19037</v>
      </c>
      <c r="E1410" t="s">
        <v>14147</v>
      </c>
      <c r="F1410" t="s">
        <v>14039</v>
      </c>
      <c r="G1410" t="s">
        <v>14672</v>
      </c>
      <c r="H1410" t="s">
        <v>13869</v>
      </c>
      <c r="I1410" t="s">
        <v>14690</v>
      </c>
      <c r="J1410" s="62">
        <v>0</v>
      </c>
      <c r="K1410" s="62">
        <v>0</v>
      </c>
      <c r="L1410" t="str">
        <f>VLOOKUP(VALUE(LEFT(C1410,5)),Xref!A:B,2,0)</f>
        <v>ZPI</v>
      </c>
      <c r="M1410" t="str">
        <f t="shared" ref="M1410:M1473" si="91">IF(B1410&lt;L1410,B1410&amp;"-"&amp;L1410,L1410&amp;"-"&amp;B1410)</f>
        <v>EAG-ZPI</v>
      </c>
    </row>
    <row r="1411" spans="1:13" ht="14.25" customHeight="true">
      <c r="A1411" s="33" t="str">
        <f t="shared" si="88"/>
        <v>EAG - Intercompany</v>
      </c>
      <c r="B1411" s="33" t="str">
        <f t="shared" si="89"/>
        <v>EAG</v>
      </c>
      <c r="C1411" s="33" t="str">
        <f t="shared" si="90"/>
        <v>11348-0000</v>
      </c>
      <c r="D1411" t="s">
        <v>19038</v>
      </c>
      <c r="E1411" t="s">
        <v>14149</v>
      </c>
      <c r="F1411" t="s">
        <v>14039</v>
      </c>
      <c r="G1411" t="s">
        <v>14672</v>
      </c>
      <c r="H1411" t="s">
        <v>13869</v>
      </c>
      <c r="I1411" t="s">
        <v>14690</v>
      </c>
      <c r="J1411" s="62">
        <v>0</v>
      </c>
      <c r="K1411" s="62">
        <v>0</v>
      </c>
      <c r="L1411" t="str">
        <f>VLOOKUP(VALUE(LEFT(C1411,5)),Xref!A:B,2,0)</f>
        <v>EAM</v>
      </c>
      <c r="M1411" t="str">
        <f t="shared" si="91"/>
        <v>EAG-EAM</v>
      </c>
    </row>
    <row r="1412" spans="1:13" ht="14.25" customHeight="true">
      <c r="A1412" s="33" t="str">
        <f t="shared" si="88"/>
        <v>EAG - Intercompany</v>
      </c>
      <c r="B1412" s="33" t="str">
        <f t="shared" si="89"/>
        <v>EAG</v>
      </c>
      <c r="C1412" s="33" t="str">
        <f t="shared" si="90"/>
        <v>11349-0000</v>
      </c>
      <c r="D1412" t="s">
        <v>19039</v>
      </c>
      <c r="E1412" t="s">
        <v>14151</v>
      </c>
      <c r="F1412" t="s">
        <v>14039</v>
      </c>
      <c r="G1412" t="s">
        <v>14672</v>
      </c>
      <c r="H1412" t="s">
        <v>13869</v>
      </c>
      <c r="I1412" t="s">
        <v>14690</v>
      </c>
      <c r="J1412" s="62">
        <v>0</v>
      </c>
      <c r="K1412" s="62">
        <v>0</v>
      </c>
      <c r="L1412" t="str">
        <f>VLOOKUP(VALUE(LEFT(C1412,5)),Xref!A:B,2,0)</f>
        <v>SEA</v>
      </c>
      <c r="M1412" t="str">
        <f t="shared" si="91"/>
        <v>EAG-SEA</v>
      </c>
    </row>
    <row r="1413" spans="1:13" ht="14.25" customHeight="true">
      <c r="A1413" s="33" t="str">
        <f t="shared" si="88"/>
        <v>EAG - Intercompany</v>
      </c>
      <c r="B1413" s="33" t="str">
        <f t="shared" si="89"/>
        <v>EAG</v>
      </c>
      <c r="C1413" s="33" t="str">
        <f t="shared" si="90"/>
        <v>11350-0000</v>
      </c>
      <c r="D1413" t="s">
        <v>19040</v>
      </c>
      <c r="E1413" t="s">
        <v>14153</v>
      </c>
      <c r="F1413" t="s">
        <v>14039</v>
      </c>
      <c r="G1413" t="s">
        <v>14672</v>
      </c>
      <c r="H1413" t="s">
        <v>13869</v>
      </c>
      <c r="I1413" t="s">
        <v>14690</v>
      </c>
      <c r="J1413" s="62">
        <v>0</v>
      </c>
      <c r="K1413" s="62">
        <v>-16.39</v>
      </c>
      <c r="L1413" t="str">
        <f>VLOOKUP(VALUE(LEFT(C1413,5)),Xref!A:B,2,0)</f>
        <v>EAL</v>
      </c>
      <c r="M1413" t="str">
        <f t="shared" si="91"/>
        <v>EAG-EAL</v>
      </c>
    </row>
    <row r="1414" spans="1:13" ht="14.25" customHeight="true">
      <c r="A1414" s="33" t="str">
        <f t="shared" si="88"/>
        <v>EAG - Intercompany</v>
      </c>
      <c r="B1414" s="33" t="str">
        <f t="shared" si="89"/>
        <v>EAG</v>
      </c>
      <c r="C1414" s="33" t="str">
        <f t="shared" si="90"/>
        <v>11351-0000</v>
      </c>
      <c r="D1414" t="s">
        <v>19041</v>
      </c>
      <c r="E1414" t="s">
        <v>14155</v>
      </c>
      <c r="F1414" t="s">
        <v>14039</v>
      </c>
      <c r="G1414" t="s">
        <v>14672</v>
      </c>
      <c r="H1414" t="s">
        <v>13869</v>
      </c>
      <c r="I1414" t="s">
        <v>14690</v>
      </c>
      <c r="J1414" s="62">
        <v>0</v>
      </c>
      <c r="K1414" s="62">
        <v>0</v>
      </c>
      <c r="L1414" t="str">
        <f>VLOOKUP(VALUE(LEFT(C1414,5)),Xref!A:B,2,0)</f>
        <v>WEP</v>
      </c>
      <c r="M1414" t="str">
        <f t="shared" si="91"/>
        <v>EAG-WEP</v>
      </c>
    </row>
    <row r="1415" spans="1:13" ht="14.25" customHeight="true">
      <c r="A1415" s="33" t="str">
        <f t="shared" si="88"/>
        <v>EAG - Intercompany</v>
      </c>
      <c r="B1415" s="33" t="str">
        <f t="shared" si="89"/>
        <v>EAG</v>
      </c>
      <c r="C1415" s="33" t="str">
        <f t="shared" si="90"/>
        <v>11352-0000</v>
      </c>
      <c r="D1415" t="s">
        <v>19042</v>
      </c>
      <c r="E1415" t="s">
        <v>13536</v>
      </c>
      <c r="F1415" t="s">
        <v>14039</v>
      </c>
      <c r="G1415" t="s">
        <v>14672</v>
      </c>
      <c r="H1415" t="s">
        <v>13869</v>
      </c>
      <c r="I1415" t="s">
        <v>14690</v>
      </c>
      <c r="J1415" s="62">
        <v>0</v>
      </c>
      <c r="K1415" s="62">
        <v>0</v>
      </c>
      <c r="L1415" t="str">
        <f>VLOOKUP(VALUE(LEFT(C1415,5)),Xref!A:B,2,0)</f>
        <v>KLP</v>
      </c>
      <c r="M1415" t="str">
        <f t="shared" si="91"/>
        <v>EAG-KLP</v>
      </c>
    </row>
    <row r="1416" spans="1:13" ht="14.25" customHeight="true">
      <c r="A1416" s="33" t="str">
        <f t="shared" si="88"/>
        <v>EAG - Intercompany</v>
      </c>
      <c r="B1416" s="33" t="str">
        <f t="shared" si="89"/>
        <v>EAG</v>
      </c>
      <c r="C1416" s="33" t="str">
        <f t="shared" si="90"/>
        <v>11353-0000</v>
      </c>
      <c r="D1416" t="s">
        <v>19043</v>
      </c>
      <c r="E1416" t="s">
        <v>13537</v>
      </c>
      <c r="F1416" t="s">
        <v>14039</v>
      </c>
      <c r="G1416" t="s">
        <v>14672</v>
      </c>
      <c r="H1416" t="s">
        <v>13869</v>
      </c>
      <c r="I1416" t="s">
        <v>14690</v>
      </c>
      <c r="J1416" s="62">
        <v>0</v>
      </c>
      <c r="K1416" s="62">
        <v>0</v>
      </c>
      <c r="L1416" t="str">
        <f>VLOOKUP(VALUE(LEFT(C1416,5)),Xref!A:B,2,0)</f>
        <v>AKC</v>
      </c>
      <c r="M1416" t="str">
        <f t="shared" si="91"/>
        <v>AKC-EAG</v>
      </c>
    </row>
    <row r="1417" spans="1:13" ht="14.25" customHeight="true">
      <c r="A1417" s="33" t="str">
        <f t="shared" si="88"/>
        <v>EAG - Intercompany</v>
      </c>
      <c r="B1417" s="33" t="str">
        <f t="shared" si="89"/>
        <v>EAG</v>
      </c>
      <c r="C1417" s="33" t="str">
        <f t="shared" si="90"/>
        <v>11354-0000</v>
      </c>
      <c r="D1417" t="s">
        <v>19044</v>
      </c>
      <c r="E1417" t="s">
        <v>13538</v>
      </c>
      <c r="F1417" t="s">
        <v>14039</v>
      </c>
      <c r="G1417" t="s">
        <v>14672</v>
      </c>
      <c r="H1417" t="s">
        <v>13869</v>
      </c>
      <c r="I1417" t="s">
        <v>14690</v>
      </c>
      <c r="J1417" s="62">
        <v>0</v>
      </c>
      <c r="K1417" s="62">
        <v>0</v>
      </c>
      <c r="L1417" t="str">
        <f>VLOOKUP(VALUE(LEFT(C1417,5)),Xref!A:B,2,0)</f>
        <v>AKA</v>
      </c>
      <c r="M1417" t="str">
        <f t="shared" si="91"/>
        <v>AKA-EAG</v>
      </c>
    </row>
    <row r="1418" spans="1:13" ht="14.25" customHeight="true">
      <c r="A1418" s="33" t="str">
        <f t="shared" si="88"/>
        <v>EAG - Intercompany</v>
      </c>
      <c r="B1418" s="33" t="str">
        <f t="shared" si="89"/>
        <v>EAG</v>
      </c>
      <c r="C1418" s="33" t="str">
        <f t="shared" si="90"/>
        <v>11355-0000</v>
      </c>
      <c r="D1418" t="s">
        <v>19045</v>
      </c>
      <c r="E1418" t="s">
        <v>13539</v>
      </c>
      <c r="F1418" t="s">
        <v>14039</v>
      </c>
      <c r="G1418" t="s">
        <v>14672</v>
      </c>
      <c r="H1418" t="s">
        <v>13869</v>
      </c>
      <c r="I1418" t="s">
        <v>14690</v>
      </c>
      <c r="J1418" s="62">
        <v>0</v>
      </c>
      <c r="K1418" s="62">
        <v>0</v>
      </c>
      <c r="L1418" t="str">
        <f>VLOOKUP(VALUE(LEFT(C1418,5)),Xref!A:B,2,0)</f>
        <v>SPA</v>
      </c>
      <c r="M1418" t="str">
        <f t="shared" si="91"/>
        <v>EAG-SPA</v>
      </c>
    </row>
    <row r="1419" spans="1:13" ht="14.25" customHeight="true">
      <c r="A1419" s="33" t="str">
        <f t="shared" si="88"/>
        <v>EAG - Intercompany</v>
      </c>
      <c r="B1419" s="33" t="str">
        <f t="shared" si="89"/>
        <v>EAG</v>
      </c>
      <c r="C1419" s="33" t="str">
        <f t="shared" si="90"/>
        <v>11356-0000</v>
      </c>
      <c r="D1419" t="s">
        <v>19046</v>
      </c>
      <c r="E1419" t="s">
        <v>13540</v>
      </c>
      <c r="F1419" t="s">
        <v>14039</v>
      </c>
      <c r="G1419" t="s">
        <v>14672</v>
      </c>
      <c r="H1419" t="s">
        <v>13869</v>
      </c>
      <c r="I1419" t="s">
        <v>14690</v>
      </c>
      <c r="J1419" s="62">
        <v>0</v>
      </c>
      <c r="K1419" s="62">
        <v>0</v>
      </c>
      <c r="L1419" t="str">
        <f>VLOOKUP(VALUE(LEFT(C1419,5)),Xref!A:B,2,0)</f>
        <v>DPM</v>
      </c>
      <c r="M1419" t="str">
        <f t="shared" si="91"/>
        <v>DPM-EAG</v>
      </c>
    </row>
    <row r="1420" spans="1:13" ht="14.25" customHeight="true">
      <c r="A1420" s="33" t="str">
        <f t="shared" si="88"/>
        <v>EAG - Intercompany</v>
      </c>
      <c r="B1420" s="33" t="str">
        <f t="shared" si="89"/>
        <v>EAG</v>
      </c>
      <c r="C1420" s="33" t="str">
        <f t="shared" si="90"/>
        <v>11357-0000</v>
      </c>
      <c r="D1420" t="s">
        <v>19047</v>
      </c>
      <c r="E1420" t="s">
        <v>13541</v>
      </c>
      <c r="F1420" t="s">
        <v>14039</v>
      </c>
      <c r="G1420" t="s">
        <v>14672</v>
      </c>
      <c r="H1420" t="s">
        <v>13869</v>
      </c>
      <c r="I1420" t="s">
        <v>14690</v>
      </c>
      <c r="J1420" s="62">
        <v>0</v>
      </c>
      <c r="K1420" s="62">
        <v>0</v>
      </c>
      <c r="L1420" t="str">
        <f>VLOOKUP(VALUE(LEFT(C1420,5)),Xref!A:B,2,0)</f>
        <v>HDM</v>
      </c>
      <c r="M1420" t="str">
        <f t="shared" si="91"/>
        <v>EAG-HDM</v>
      </c>
    </row>
    <row r="1421" spans="1:13" ht="14.25" customHeight="true">
      <c r="A1421" s="33" t="str">
        <f t="shared" si="88"/>
        <v>EAG - Intercompany</v>
      </c>
      <c r="B1421" s="33" t="str">
        <f t="shared" si="89"/>
        <v>EAG</v>
      </c>
      <c r="C1421" s="33" t="str">
        <f t="shared" si="90"/>
        <v>11358-0000</v>
      </c>
      <c r="D1421" t="s">
        <v>19048</v>
      </c>
      <c r="E1421" t="s">
        <v>13542</v>
      </c>
      <c r="F1421" t="s">
        <v>14039</v>
      </c>
      <c r="G1421" t="s">
        <v>14672</v>
      </c>
      <c r="H1421" t="s">
        <v>13869</v>
      </c>
      <c r="I1421" t="s">
        <v>14690</v>
      </c>
      <c r="J1421" s="62">
        <v>0</v>
      </c>
      <c r="K1421" s="62">
        <v>0</v>
      </c>
      <c r="L1421" t="str">
        <f>VLOOKUP(VALUE(LEFT(C1421,5)),Xref!A:B,2,0)</f>
        <v>GRA</v>
      </c>
      <c r="M1421" t="str">
        <f t="shared" si="91"/>
        <v>EAG-GRA</v>
      </c>
    </row>
    <row r="1422" spans="1:13" ht="14.25" customHeight="true">
      <c r="A1422" s="33" t="str">
        <f t="shared" si="88"/>
        <v>EAG - Intercompany</v>
      </c>
      <c r="B1422" s="33" t="str">
        <f t="shared" si="89"/>
        <v>EAG</v>
      </c>
      <c r="C1422" s="33" t="str">
        <f t="shared" si="90"/>
        <v>11359-0000</v>
      </c>
      <c r="D1422" t="s">
        <v>19049</v>
      </c>
      <c r="E1422" t="s">
        <v>13543</v>
      </c>
      <c r="F1422" t="s">
        <v>14039</v>
      </c>
      <c r="G1422" t="s">
        <v>14672</v>
      </c>
      <c r="H1422" t="s">
        <v>13869</v>
      </c>
      <c r="I1422" t="s">
        <v>14690</v>
      </c>
      <c r="J1422" s="62">
        <v>0</v>
      </c>
      <c r="K1422" s="62">
        <v>0</v>
      </c>
      <c r="L1422" t="str">
        <f>VLOOKUP(VALUE(LEFT(C1422,5)),Xref!A:B,2,0)</f>
        <v>TPI</v>
      </c>
      <c r="M1422" t="str">
        <f t="shared" si="91"/>
        <v>EAG-TPI</v>
      </c>
    </row>
    <row r="1423" spans="1:13" ht="14.25" customHeight="true">
      <c r="A1423" s="33" t="str">
        <f t="shared" si="88"/>
        <v>EAG - Intercompany</v>
      </c>
      <c r="B1423" s="33" t="str">
        <f t="shared" si="89"/>
        <v>EAG</v>
      </c>
      <c r="C1423" s="33" t="str">
        <f t="shared" si="90"/>
        <v>11361-0000</v>
      </c>
      <c r="D1423" t="s">
        <v>19050</v>
      </c>
      <c r="E1423" t="s">
        <v>14165</v>
      </c>
      <c r="F1423" t="s">
        <v>14039</v>
      </c>
      <c r="G1423" t="s">
        <v>14672</v>
      </c>
      <c r="H1423" t="s">
        <v>13869</v>
      </c>
      <c r="I1423" t="s">
        <v>14690</v>
      </c>
      <c r="J1423" s="62">
        <v>0</v>
      </c>
      <c r="K1423" s="62">
        <v>0</v>
      </c>
      <c r="L1423" t="str">
        <f>VLOOKUP(VALUE(LEFT(C1423,5)),Xref!A:B,2,0)</f>
        <v>GSM</v>
      </c>
      <c r="M1423" t="str">
        <f t="shared" si="91"/>
        <v>EAG-GSM</v>
      </c>
    </row>
    <row r="1424" spans="1:13" ht="14.25" customHeight="true">
      <c r="A1424" s="33" t="str">
        <f t="shared" si="88"/>
        <v>EAG - Intercompany</v>
      </c>
      <c r="B1424" s="33" t="str">
        <f t="shared" si="89"/>
        <v>EAG</v>
      </c>
      <c r="C1424" s="33" t="str">
        <f t="shared" si="90"/>
        <v>11363-0000</v>
      </c>
      <c r="D1424" t="s">
        <v>19051</v>
      </c>
      <c r="E1424" t="s">
        <v>13544</v>
      </c>
      <c r="F1424" t="s">
        <v>14039</v>
      </c>
      <c r="G1424" t="s">
        <v>14672</v>
      </c>
      <c r="H1424" t="s">
        <v>13869</v>
      </c>
      <c r="I1424" t="s">
        <v>14690</v>
      </c>
      <c r="J1424" s="62">
        <v>0</v>
      </c>
      <c r="K1424" s="62">
        <v>0</v>
      </c>
      <c r="L1424" t="str">
        <f>VLOOKUP(VALUE(LEFT(C1424,5)),Xref!A:B,2,0)</f>
        <v>SOF</v>
      </c>
      <c r="M1424" t="str">
        <f t="shared" si="91"/>
        <v>EAG-SOF</v>
      </c>
    </row>
    <row r="1425" spans="1:13" ht="14.25" customHeight="true">
      <c r="A1425" s="33" t="str">
        <f t="shared" si="88"/>
        <v>EAG - Intercompany</v>
      </c>
      <c r="B1425" s="33" t="str">
        <f t="shared" si="89"/>
        <v>EAG</v>
      </c>
      <c r="C1425" s="33" t="str">
        <f t="shared" si="90"/>
        <v>11364-0000</v>
      </c>
      <c r="D1425" t="s">
        <v>19052</v>
      </c>
      <c r="E1425" t="s">
        <v>14168</v>
      </c>
      <c r="F1425" t="s">
        <v>14039</v>
      </c>
      <c r="G1425" t="s">
        <v>14672</v>
      </c>
      <c r="H1425" t="s">
        <v>13869</v>
      </c>
      <c r="I1425" t="s">
        <v>14690</v>
      </c>
      <c r="J1425" s="62">
        <v>0</v>
      </c>
      <c r="K1425" s="62">
        <v>0</v>
      </c>
      <c r="L1425" t="e">
        <f>VLOOKUP(VALUE(LEFT(C1425,5)),Xref!A:B,2,0)</f>
        <v>#N/A</v>
      </c>
      <c r="M1425" t="e">
        <f t="shared" si="91"/>
        <v>#N/A</v>
      </c>
    </row>
    <row r="1426" spans="1:13" ht="14.25" customHeight="true">
      <c r="A1426" s="33" t="str">
        <f t="shared" si="88"/>
        <v>EAG - Intercompany</v>
      </c>
      <c r="B1426" s="33" t="str">
        <f t="shared" si="89"/>
        <v>EAG</v>
      </c>
      <c r="C1426" s="33" t="str">
        <f t="shared" si="90"/>
        <v>11365-0000</v>
      </c>
      <c r="D1426" t="s">
        <v>19053</v>
      </c>
      <c r="E1426" t="s">
        <v>14170</v>
      </c>
      <c r="F1426" t="s">
        <v>14039</v>
      </c>
      <c r="G1426" t="s">
        <v>14672</v>
      </c>
      <c r="H1426" t="s">
        <v>13869</v>
      </c>
      <c r="I1426" t="s">
        <v>14690</v>
      </c>
      <c r="J1426" s="62">
        <v>0</v>
      </c>
      <c r="K1426" s="62">
        <v>0</v>
      </c>
      <c r="L1426" t="e">
        <f>VLOOKUP(VALUE(LEFT(C1426,5)),Xref!A:B,2,0)</f>
        <v>#N/A</v>
      </c>
      <c r="M1426" t="e">
        <f t="shared" si="91"/>
        <v>#N/A</v>
      </c>
    </row>
    <row r="1427" spans="1:13" ht="14.25" customHeight="true">
      <c r="A1427" s="33" t="str">
        <f t="shared" si="88"/>
        <v>EAG - Intercompany</v>
      </c>
      <c r="B1427" s="33" t="str">
        <f t="shared" si="89"/>
        <v>EAG</v>
      </c>
      <c r="C1427" s="33" t="str">
        <f t="shared" si="90"/>
        <v>11366-0000</v>
      </c>
      <c r="D1427" t="s">
        <v>19054</v>
      </c>
      <c r="E1427" t="s">
        <v>14172</v>
      </c>
      <c r="G1427" t="s">
        <v>14672</v>
      </c>
      <c r="H1427" t="s">
        <v>13869</v>
      </c>
      <c r="I1427" t="s">
        <v>14690</v>
      </c>
      <c r="J1427" s="62">
        <v>0</v>
      </c>
      <c r="K1427" s="62">
        <v>0</v>
      </c>
      <c r="L1427" t="e">
        <f>VLOOKUP(VALUE(LEFT(C1427,5)),Xref!A:B,2,0)</f>
        <v>#N/A</v>
      </c>
      <c r="M1427" t="e">
        <f t="shared" si="91"/>
        <v>#N/A</v>
      </c>
    </row>
    <row r="1428" spans="1:13" ht="14.25" customHeight="true">
      <c r="A1428" s="33" t="str">
        <f t="shared" si="88"/>
        <v>EAG - Intercompany</v>
      </c>
      <c r="B1428" s="33" t="str">
        <f t="shared" si="89"/>
        <v>EAG</v>
      </c>
      <c r="C1428" s="33" t="str">
        <f t="shared" si="90"/>
        <v>11402-0000</v>
      </c>
      <c r="D1428" t="s">
        <v>1061</v>
      </c>
      <c r="E1428" t="s">
        <v>14174</v>
      </c>
      <c r="G1428" t="s">
        <v>14672</v>
      </c>
      <c r="H1428" t="s">
        <v>13869</v>
      </c>
      <c r="I1428" t="s">
        <v>14690</v>
      </c>
      <c r="J1428" s="62">
        <v>0</v>
      </c>
      <c r="K1428" s="62">
        <v>0</v>
      </c>
      <c r="L1428" t="str">
        <f>VLOOKUP(VALUE(LEFT(C1428,5)),Xref!A:B,2,0)</f>
        <v>DPI</v>
      </c>
      <c r="M1428" t="str">
        <f t="shared" si="91"/>
        <v>DPI-EAG</v>
      </c>
    </row>
    <row r="1429" spans="1:13" ht="14.25" customHeight="true">
      <c r="A1429" s="33" t="str">
        <f t="shared" si="88"/>
        <v>EAG - Intercompany</v>
      </c>
      <c r="B1429" s="33" t="str">
        <f t="shared" si="89"/>
        <v>EAG</v>
      </c>
      <c r="C1429" s="33" t="str">
        <f t="shared" si="90"/>
        <v>11403-0000</v>
      </c>
      <c r="D1429" t="s">
        <v>19055</v>
      </c>
      <c r="E1429" t="s">
        <v>14176</v>
      </c>
      <c r="G1429" t="s">
        <v>14672</v>
      </c>
      <c r="H1429" t="s">
        <v>13869</v>
      </c>
      <c r="I1429" t="s">
        <v>14690</v>
      </c>
      <c r="J1429" s="62">
        <v>0</v>
      </c>
      <c r="K1429" s="62">
        <v>0</v>
      </c>
      <c r="L1429" t="str">
        <f>VLOOKUP(VALUE(LEFT(C1429,5)),Xref!A:B,2,0)</f>
        <v>SEA</v>
      </c>
      <c r="M1429" t="str">
        <f t="shared" si="91"/>
        <v>EAG-SEA</v>
      </c>
    </row>
    <row r="1430" spans="1:13" ht="14.25" customHeight="true">
      <c r="A1430" s="33" t="str">
        <f t="shared" si="88"/>
        <v>EAG - Intercompany</v>
      </c>
      <c r="B1430" s="33" t="str">
        <f t="shared" si="89"/>
        <v>EAG</v>
      </c>
      <c r="C1430" s="33" t="str">
        <f t="shared" si="90"/>
        <v>12400-0000</v>
      </c>
      <c r="D1430" t="s">
        <v>19058</v>
      </c>
      <c r="E1430" t="s">
        <v>14185</v>
      </c>
      <c r="F1430" t="s">
        <v>14039</v>
      </c>
      <c r="G1430" t="s">
        <v>14672</v>
      </c>
      <c r="H1430" t="s">
        <v>13869</v>
      </c>
      <c r="I1430" t="s">
        <v>14690</v>
      </c>
      <c r="J1430" s="62">
        <v>0</v>
      </c>
      <c r="K1430" s="62">
        <v>0</v>
      </c>
      <c r="L1430" t="str">
        <f>VLOOKUP(VALUE(LEFT(C1430,5)),Xref!A:B,2,0)</f>
        <v>aka</v>
      </c>
      <c r="M1430" t="str">
        <f t="shared" si="91"/>
        <v>aka-EAG</v>
      </c>
    </row>
    <row r="1431" spans="1:13" ht="14.25" customHeight="true">
      <c r="A1431" s="33" t="str">
        <f t="shared" si="88"/>
        <v>EAG - Intercompany</v>
      </c>
      <c r="B1431" s="33" t="str">
        <f t="shared" si="89"/>
        <v>EAG</v>
      </c>
      <c r="C1431" s="33" t="str">
        <f t="shared" si="90"/>
        <v>12401-0000</v>
      </c>
      <c r="D1431" t="s">
        <v>19059</v>
      </c>
      <c r="E1431" t="s">
        <v>14187</v>
      </c>
      <c r="F1431" t="s">
        <v>14039</v>
      </c>
      <c r="G1431" t="s">
        <v>14672</v>
      </c>
      <c r="H1431" t="s">
        <v>13869</v>
      </c>
      <c r="I1431" t="s">
        <v>14690</v>
      </c>
      <c r="J1431" s="62">
        <v>0</v>
      </c>
      <c r="K1431" s="62">
        <v>0</v>
      </c>
      <c r="L1431" t="str">
        <f>VLOOKUP(VALUE(LEFT(C1431,5)),Xref!A:B,2,0)</f>
        <v>aka</v>
      </c>
      <c r="M1431" t="str">
        <f t="shared" si="91"/>
        <v>aka-EAG</v>
      </c>
    </row>
    <row r="1432" spans="1:13" ht="14.25" customHeight="true">
      <c r="A1432" s="33" t="str">
        <f t="shared" si="88"/>
        <v>EAG - Intercompany</v>
      </c>
      <c r="B1432" s="33" t="str">
        <f t="shared" si="89"/>
        <v>EAG</v>
      </c>
      <c r="C1432" s="33" t="str">
        <f t="shared" si="90"/>
        <v>12402-0000</v>
      </c>
      <c r="D1432" t="s">
        <v>19060</v>
      </c>
      <c r="E1432" t="s">
        <v>14189</v>
      </c>
      <c r="F1432" t="s">
        <v>14039</v>
      </c>
      <c r="G1432" t="s">
        <v>14672</v>
      </c>
      <c r="H1432" t="s">
        <v>13869</v>
      </c>
      <c r="I1432" t="s">
        <v>14690</v>
      </c>
      <c r="J1432" s="62">
        <v>0</v>
      </c>
      <c r="K1432" s="62">
        <v>20000</v>
      </c>
      <c r="L1432" t="str">
        <f>VLOOKUP(VALUE(LEFT(C1432,5)),Xref!A:B,2,0)</f>
        <v>aka</v>
      </c>
      <c r="M1432" t="str">
        <f t="shared" si="91"/>
        <v>aka-EAG</v>
      </c>
    </row>
    <row r="1433" spans="1:13" ht="14.25" customHeight="true">
      <c r="A1433" s="33" t="str">
        <f t="shared" si="88"/>
        <v>EAG - Intercompany</v>
      </c>
      <c r="B1433" s="33" t="str">
        <f t="shared" si="89"/>
        <v>EAG</v>
      </c>
      <c r="C1433" s="33" t="str">
        <f t="shared" si="90"/>
        <v>12403-0000</v>
      </c>
      <c r="D1433" t="s">
        <v>19061</v>
      </c>
      <c r="E1433" t="s">
        <v>5226</v>
      </c>
      <c r="F1433" t="s">
        <v>14039</v>
      </c>
      <c r="G1433" t="s">
        <v>14672</v>
      </c>
      <c r="H1433" t="s">
        <v>13869</v>
      </c>
      <c r="I1433" t="s">
        <v>14690</v>
      </c>
      <c r="J1433" s="62">
        <v>0</v>
      </c>
      <c r="K1433" s="62">
        <v>0</v>
      </c>
      <c r="L1433" t="str">
        <f>VLOOKUP(VALUE(LEFT(C1433,5)),Xref!A:B,2,0)</f>
        <v>aka</v>
      </c>
      <c r="M1433" t="str">
        <f t="shared" si="91"/>
        <v>aka-EAG</v>
      </c>
    </row>
    <row r="1434" spans="1:13" ht="14.25" customHeight="true">
      <c r="A1434" s="33" t="str">
        <f t="shared" si="88"/>
        <v>EAG - Intercompany</v>
      </c>
      <c r="B1434" s="33" t="str">
        <f t="shared" si="89"/>
        <v>EAG</v>
      </c>
      <c r="C1434" s="33" t="str">
        <f t="shared" si="90"/>
        <v>12501-0000</v>
      </c>
      <c r="D1434" t="s">
        <v>19062</v>
      </c>
      <c r="E1434" t="s">
        <v>14192</v>
      </c>
      <c r="F1434" t="s">
        <v>14039</v>
      </c>
      <c r="G1434" t="s">
        <v>14672</v>
      </c>
      <c r="H1434" t="s">
        <v>13869</v>
      </c>
      <c r="I1434" t="s">
        <v>14690</v>
      </c>
      <c r="J1434" s="62">
        <v>0</v>
      </c>
      <c r="K1434" s="62">
        <v>0</v>
      </c>
      <c r="L1434" t="str">
        <f>VLOOKUP(VALUE(LEFT(C1434,5)),Xref!A:B,2,0)</f>
        <v>aka</v>
      </c>
      <c r="M1434" t="str">
        <f t="shared" si="91"/>
        <v>aka-EAG</v>
      </c>
    </row>
    <row r="1435" spans="1:13" ht="14.25" customHeight="true">
      <c r="A1435" s="33" t="str">
        <f t="shared" si="88"/>
        <v>EAG - InterCo Notes</v>
      </c>
      <c r="B1435" s="33" t="str">
        <f t="shared" si="89"/>
        <v>EAG</v>
      </c>
      <c r="C1435" s="33" t="str">
        <f t="shared" si="90"/>
        <v>25600-0000</v>
      </c>
      <c r="D1435" t="s">
        <v>19109</v>
      </c>
      <c r="E1435" t="s">
        <v>314</v>
      </c>
      <c r="F1435" t="s">
        <v>14039</v>
      </c>
      <c r="G1435" t="s">
        <v>14672</v>
      </c>
      <c r="H1435" t="s">
        <v>13889</v>
      </c>
      <c r="I1435" t="s">
        <v>14690</v>
      </c>
      <c r="J1435" s="62">
        <v>0</v>
      </c>
      <c r="K1435" s="62">
        <v>0</v>
      </c>
      <c r="L1435" t="str">
        <f>VLOOKUP(VALUE(LEFT(C1435,5)),Xref!A:B,2,0)</f>
        <v>D7</v>
      </c>
      <c r="M1435" t="str">
        <f t="shared" si="91"/>
        <v>D7-EAG</v>
      </c>
    </row>
    <row r="1436" spans="1:13" ht="14.25" customHeight="true">
      <c r="A1436" s="33" t="str">
        <f t="shared" si="88"/>
        <v>EAG - InterCo Notes</v>
      </c>
      <c r="B1436" s="33" t="str">
        <f t="shared" si="89"/>
        <v>EAG</v>
      </c>
      <c r="C1436" s="33" t="str">
        <f t="shared" si="90"/>
        <v>25602-0000</v>
      </c>
      <c r="D1436" t="s">
        <v>19111</v>
      </c>
      <c r="E1436" t="s">
        <v>13426</v>
      </c>
      <c r="F1436" t="s">
        <v>14039</v>
      </c>
      <c r="G1436" t="s">
        <v>14672</v>
      </c>
      <c r="H1436" t="s">
        <v>13889</v>
      </c>
      <c r="I1436" t="s">
        <v>14690</v>
      </c>
      <c r="J1436" s="62">
        <v>0</v>
      </c>
      <c r="K1436" s="62">
        <v>0</v>
      </c>
      <c r="L1436" t="str">
        <f>VLOOKUP(VALUE(LEFT(C1436,5)),Xref!A:B,2,0)</f>
        <v>DFLP</v>
      </c>
      <c r="M1436" t="str">
        <f t="shared" si="91"/>
        <v>DFLP-EAG</v>
      </c>
    </row>
    <row r="1437" spans="1:13" ht="14.25" customHeight="true">
      <c r="A1437" s="33" t="str">
        <f t="shared" si="88"/>
        <v>EAG - InterCo Notes</v>
      </c>
      <c r="B1437" s="33" t="str">
        <f t="shared" si="89"/>
        <v>EAG</v>
      </c>
      <c r="C1437" s="33" t="str">
        <f t="shared" si="90"/>
        <v>25603-0000</v>
      </c>
      <c r="D1437" t="s">
        <v>19112</v>
      </c>
      <c r="E1437" t="s">
        <v>14311</v>
      </c>
      <c r="F1437" t="s">
        <v>14039</v>
      </c>
      <c r="G1437" t="s">
        <v>14832</v>
      </c>
      <c r="H1437" t="s">
        <v>13889</v>
      </c>
      <c r="I1437" t="s">
        <v>14690</v>
      </c>
      <c r="J1437" s="62">
        <v>0</v>
      </c>
      <c r="K1437" s="62">
        <v>0</v>
      </c>
      <c r="L1437" t="str">
        <f>VLOOKUP(VALUE(LEFT(C1437,5)),Xref!A:B,2,0)</f>
        <v>aka</v>
      </c>
      <c r="M1437" t="str">
        <f t="shared" si="91"/>
        <v>aka-EAG</v>
      </c>
    </row>
    <row r="1438" spans="1:13" ht="14.25" customHeight="true">
      <c r="A1438" s="33" t="str">
        <f t="shared" si="88"/>
        <v>EAG - Intercompany</v>
      </c>
      <c r="B1438" s="33" t="str">
        <f t="shared" si="89"/>
        <v>EAG</v>
      </c>
      <c r="C1438" s="33" t="str">
        <f t="shared" si="90"/>
        <v>25604-0000</v>
      </c>
      <c r="D1438" t="s">
        <v>19113</v>
      </c>
      <c r="E1438" t="s">
        <v>13490</v>
      </c>
      <c r="F1438" t="s">
        <v>14039</v>
      </c>
      <c r="G1438" t="s">
        <v>14672</v>
      </c>
      <c r="H1438" t="s">
        <v>13869</v>
      </c>
      <c r="I1438" t="s">
        <v>14690</v>
      </c>
      <c r="J1438" s="62">
        <v>0</v>
      </c>
      <c r="K1438" s="62">
        <v>0</v>
      </c>
      <c r="L1438">
        <f>VLOOKUP(VALUE(LEFT(C1438,5)),Xref!A:B,2,0)</f>
        <v>0</v>
      </c>
      <c r="M1438" t="str">
        <f t="shared" si="91"/>
        <v>0-EAG</v>
      </c>
    </row>
    <row r="1439" spans="1:13" ht="14.25" customHeight="true">
      <c r="A1439" s="33" t="str">
        <f t="shared" si="88"/>
        <v>EAL - Intercompany</v>
      </c>
      <c r="B1439" s="33" t="str">
        <f t="shared" si="89"/>
        <v>EAL</v>
      </c>
      <c r="C1439" s="33" t="str">
        <f t="shared" si="90"/>
        <v>11200-0000</v>
      </c>
      <c r="D1439" t="s">
        <v>19282</v>
      </c>
      <c r="E1439" t="s">
        <v>14069</v>
      </c>
      <c r="F1439" t="s">
        <v>14039</v>
      </c>
      <c r="G1439" t="s">
        <v>14672</v>
      </c>
      <c r="H1439" t="s">
        <v>13869</v>
      </c>
      <c r="I1439" t="s">
        <v>14690</v>
      </c>
      <c r="J1439" s="62">
        <v>0</v>
      </c>
      <c r="K1439" s="62">
        <v>0</v>
      </c>
      <c r="L1439" t="str">
        <f>VLOOKUP(VALUE(LEFT(C1439,5)),Xref!A:B,2,0)</f>
        <v>SCL</v>
      </c>
      <c r="M1439" t="str">
        <f t="shared" si="91"/>
        <v>EAL-SCL</v>
      </c>
    </row>
    <row r="1440" spans="1:13" ht="14.25" customHeight="true">
      <c r="A1440" s="33" t="str">
        <f t="shared" si="88"/>
        <v>EAL - Intercompany</v>
      </c>
      <c r="B1440" s="33" t="str">
        <f t="shared" si="89"/>
        <v>EAL</v>
      </c>
      <c r="C1440" s="33" t="str">
        <f t="shared" si="90"/>
        <v>11201-0000</v>
      </c>
      <c r="D1440" t="s">
        <v>19283</v>
      </c>
      <c r="E1440" t="s">
        <v>14071</v>
      </c>
      <c r="F1440" t="s">
        <v>14039</v>
      </c>
      <c r="G1440" t="s">
        <v>14672</v>
      </c>
      <c r="H1440" t="s">
        <v>13869</v>
      </c>
      <c r="I1440" t="s">
        <v>14690</v>
      </c>
      <c r="J1440" s="62">
        <v>0</v>
      </c>
      <c r="K1440" s="62">
        <v>0</v>
      </c>
      <c r="L1440" t="str">
        <f>VLOOKUP(VALUE(LEFT(C1440,5)),Xref!A:B,2,0)</f>
        <v>SG2</v>
      </c>
      <c r="M1440" t="str">
        <f t="shared" si="91"/>
        <v>EAL-SG2</v>
      </c>
    </row>
    <row r="1441" spans="1:13" ht="14.25" customHeight="true">
      <c r="A1441" s="33" t="str">
        <f t="shared" si="88"/>
        <v>EAL - Intercompany</v>
      </c>
      <c r="B1441" s="33" t="str">
        <f t="shared" si="89"/>
        <v>EAL</v>
      </c>
      <c r="C1441" s="33" t="str">
        <f t="shared" si="90"/>
        <v>11202-0000</v>
      </c>
      <c r="D1441" t="s">
        <v>19284</v>
      </c>
      <c r="E1441" t="s">
        <v>14073</v>
      </c>
      <c r="F1441" t="s">
        <v>14039</v>
      </c>
      <c r="G1441" t="s">
        <v>14672</v>
      </c>
      <c r="H1441" t="s">
        <v>13869</v>
      </c>
      <c r="I1441" t="s">
        <v>14690</v>
      </c>
      <c r="J1441" s="62">
        <v>0</v>
      </c>
      <c r="K1441" s="62">
        <v>0</v>
      </c>
      <c r="L1441" t="str">
        <f>VLOOKUP(VALUE(LEFT(C1441,5)),Xref!A:B,2,0)</f>
        <v>FFC</v>
      </c>
      <c r="M1441" t="str">
        <f t="shared" si="91"/>
        <v>EAL-FFC</v>
      </c>
    </row>
    <row r="1442" spans="1:13" ht="14.25" customHeight="true">
      <c r="A1442" s="33" t="str">
        <f t="shared" si="88"/>
        <v>EAL - Intercompany</v>
      </c>
      <c r="B1442" s="33" t="str">
        <f t="shared" si="89"/>
        <v>EAL</v>
      </c>
      <c r="C1442" s="33" t="str">
        <f t="shared" si="90"/>
        <v>11203-0000</v>
      </c>
      <c r="D1442" t="s">
        <v>19285</v>
      </c>
      <c r="E1442" t="s">
        <v>14075</v>
      </c>
      <c r="F1442" t="s">
        <v>14039</v>
      </c>
      <c r="G1442" t="s">
        <v>14672</v>
      </c>
      <c r="H1442" t="s">
        <v>13869</v>
      </c>
      <c r="I1442" t="s">
        <v>14690</v>
      </c>
      <c r="J1442" s="62">
        <v>0</v>
      </c>
      <c r="K1442" s="62">
        <v>0</v>
      </c>
      <c r="L1442" t="str">
        <f>VLOOKUP(VALUE(LEFT(C1442,5)),Xref!A:B,2,0)</f>
        <v>HN2</v>
      </c>
      <c r="M1442" t="str">
        <f t="shared" si="91"/>
        <v>EAL-HN2</v>
      </c>
    </row>
    <row r="1443" spans="1:13" ht="14.25" customHeight="true">
      <c r="A1443" s="33" t="str">
        <f t="shared" si="88"/>
        <v>EAL - Intercompany</v>
      </c>
      <c r="B1443" s="33" t="str">
        <f t="shared" si="89"/>
        <v>EAL</v>
      </c>
      <c r="C1443" s="33" t="str">
        <f t="shared" si="90"/>
        <v>11204-0000</v>
      </c>
      <c r="D1443" t="s">
        <v>19286</v>
      </c>
      <c r="E1443" t="s">
        <v>14077</v>
      </c>
      <c r="F1443" t="s">
        <v>14039</v>
      </c>
      <c r="G1443" t="s">
        <v>14672</v>
      </c>
      <c r="H1443" t="s">
        <v>13869</v>
      </c>
      <c r="I1443" t="s">
        <v>14690</v>
      </c>
      <c r="J1443" s="62">
        <v>0</v>
      </c>
      <c r="K1443" s="62">
        <v>0</v>
      </c>
      <c r="L1443" t="str">
        <f>VLOOKUP(VALUE(LEFT(C1443,5)),Xref!A:B,2,0)</f>
        <v>DF2</v>
      </c>
      <c r="M1443" t="str">
        <f t="shared" si="91"/>
        <v>DF2-EAL</v>
      </c>
    </row>
    <row r="1444" spans="1:13" ht="14.25" customHeight="true">
      <c r="A1444" s="33" t="str">
        <f t="shared" si="88"/>
        <v>EAL - Intercompany</v>
      </c>
      <c r="B1444" s="33" t="str">
        <f t="shared" si="89"/>
        <v>EAL</v>
      </c>
      <c r="C1444" s="33" t="str">
        <f t="shared" si="90"/>
        <v>11208-0000</v>
      </c>
      <c r="D1444" t="s">
        <v>19287</v>
      </c>
      <c r="E1444" t="s">
        <v>14079</v>
      </c>
      <c r="F1444" t="s">
        <v>14039</v>
      </c>
      <c r="G1444" t="s">
        <v>14672</v>
      </c>
      <c r="H1444" t="s">
        <v>13869</v>
      </c>
      <c r="I1444" t="s">
        <v>14690</v>
      </c>
      <c r="J1444" s="62">
        <v>0</v>
      </c>
      <c r="K1444" s="62">
        <v>0</v>
      </c>
      <c r="L1444" t="str">
        <f>VLOOKUP(VALUE(LEFT(C1444,5)),Xref!A:B,2,0)</f>
        <v>SRE</v>
      </c>
      <c r="M1444" t="str">
        <f t="shared" si="91"/>
        <v>EAL-SRE</v>
      </c>
    </row>
    <row r="1445" spans="1:13" ht="14.25" customHeight="true">
      <c r="A1445" s="33" t="str">
        <f t="shared" si="88"/>
        <v>EAL - Intercompany</v>
      </c>
      <c r="B1445" s="33" t="str">
        <f t="shared" si="89"/>
        <v>EAL</v>
      </c>
      <c r="C1445" s="33" t="str">
        <f t="shared" si="90"/>
        <v>11210-0000</v>
      </c>
      <c r="D1445" t="s">
        <v>19288</v>
      </c>
      <c r="E1445" t="s">
        <v>14081</v>
      </c>
      <c r="F1445" t="s">
        <v>14039</v>
      </c>
      <c r="G1445" t="s">
        <v>14672</v>
      </c>
      <c r="H1445" t="s">
        <v>13869</v>
      </c>
      <c r="I1445" t="s">
        <v>14690</v>
      </c>
      <c r="J1445" s="62">
        <v>0</v>
      </c>
      <c r="K1445" s="62">
        <v>0</v>
      </c>
      <c r="L1445" t="str">
        <f>VLOOKUP(VALUE(LEFT(C1445,5)),Xref!A:B,2,0)</f>
        <v>REM</v>
      </c>
      <c r="M1445" t="str">
        <f t="shared" si="91"/>
        <v>EAL-REM</v>
      </c>
    </row>
    <row r="1446" spans="1:13" ht="14.25" customHeight="true">
      <c r="A1446" s="33" t="str">
        <f t="shared" si="88"/>
        <v>EAL - Intercompany</v>
      </c>
      <c r="B1446" s="33" t="str">
        <f t="shared" si="89"/>
        <v>EAL</v>
      </c>
      <c r="C1446" s="33" t="str">
        <f t="shared" si="90"/>
        <v>11212-0000</v>
      </c>
      <c r="D1446" t="s">
        <v>19289</v>
      </c>
      <c r="E1446" t="s">
        <v>14083</v>
      </c>
      <c r="F1446" t="s">
        <v>14039</v>
      </c>
      <c r="G1446" t="s">
        <v>14672</v>
      </c>
      <c r="H1446" t="s">
        <v>13869</v>
      </c>
      <c r="I1446" t="s">
        <v>14690</v>
      </c>
      <c r="J1446" s="62">
        <v>0</v>
      </c>
      <c r="K1446" s="62">
        <v>0</v>
      </c>
      <c r="L1446" t="str">
        <f>VLOOKUP(VALUE(LEFT(C1446,5)),Xref!A:B,2,0)</f>
        <v>FRM</v>
      </c>
      <c r="M1446" t="str">
        <f t="shared" si="91"/>
        <v>EAL-FRM</v>
      </c>
    </row>
    <row r="1447" spans="1:13" ht="14.25" customHeight="true">
      <c r="A1447" s="33" t="str">
        <f t="shared" si="88"/>
        <v>EAL - Intercompany</v>
      </c>
      <c r="B1447" s="33" t="str">
        <f t="shared" si="89"/>
        <v>EAL</v>
      </c>
      <c r="C1447" s="33" t="str">
        <f t="shared" si="90"/>
        <v>11214-0000</v>
      </c>
      <c r="D1447" t="s">
        <v>19290</v>
      </c>
      <c r="E1447" t="s">
        <v>14085</v>
      </c>
      <c r="F1447" t="s">
        <v>14039</v>
      </c>
      <c r="G1447" t="s">
        <v>14672</v>
      </c>
      <c r="H1447" t="s">
        <v>13869</v>
      </c>
      <c r="I1447" t="s">
        <v>14690</v>
      </c>
      <c r="J1447" s="62">
        <v>0</v>
      </c>
      <c r="K1447" s="62">
        <v>0</v>
      </c>
      <c r="L1447" t="str">
        <f>VLOOKUP(VALUE(LEFT(C1447,5)),Xref!A:B,2,0)</f>
        <v>D7R</v>
      </c>
      <c r="M1447" t="str">
        <f t="shared" si="91"/>
        <v>D7R-EAL</v>
      </c>
    </row>
    <row r="1448" spans="1:13" ht="14.25" customHeight="true">
      <c r="A1448" s="33" t="str">
        <f t="shared" si="88"/>
        <v>EAL - Intercompany</v>
      </c>
      <c r="B1448" s="33" t="str">
        <f t="shared" si="89"/>
        <v>EAL</v>
      </c>
      <c r="C1448" s="33" t="str">
        <f t="shared" si="90"/>
        <v>11215-0000</v>
      </c>
      <c r="D1448" t="s">
        <v>19291</v>
      </c>
      <c r="E1448" t="s">
        <v>14087</v>
      </c>
      <c r="F1448" t="s">
        <v>14039</v>
      </c>
      <c r="G1448" t="s">
        <v>14672</v>
      </c>
      <c r="H1448" t="s">
        <v>13869</v>
      </c>
      <c r="I1448" t="s">
        <v>14690</v>
      </c>
      <c r="J1448" s="62">
        <v>0</v>
      </c>
      <c r="K1448" s="62">
        <v>0</v>
      </c>
      <c r="L1448" t="str">
        <f>VLOOKUP(VALUE(LEFT(C1448,5)),Xref!A:B,2,0)</f>
        <v>CDP</v>
      </c>
      <c r="M1448" t="str">
        <f t="shared" si="91"/>
        <v>CDP-EAL</v>
      </c>
    </row>
    <row r="1449" spans="1:13" ht="14.25" customHeight="true">
      <c r="A1449" s="33" t="str">
        <f t="shared" si="88"/>
        <v>EAL - Intercompany</v>
      </c>
      <c r="B1449" s="33" t="str">
        <f t="shared" si="89"/>
        <v>EAL</v>
      </c>
      <c r="C1449" s="33" t="str">
        <f t="shared" si="90"/>
        <v>11216-0000</v>
      </c>
      <c r="D1449" t="s">
        <v>5634</v>
      </c>
      <c r="E1449" t="s">
        <v>13224</v>
      </c>
      <c r="F1449" t="s">
        <v>14039</v>
      </c>
      <c r="G1449" t="s">
        <v>14672</v>
      </c>
      <c r="H1449" t="s">
        <v>13869</v>
      </c>
      <c r="I1449" t="s">
        <v>14690</v>
      </c>
      <c r="J1449" s="62">
        <v>-3709.43</v>
      </c>
      <c r="K1449" s="62">
        <v>-6598.17</v>
      </c>
      <c r="L1449" t="str">
        <f>VLOOKUP(VALUE(LEFT(C1449,5)),Xref!A:B,2,0)</f>
        <v>SIL</v>
      </c>
      <c r="M1449" t="str">
        <f t="shared" si="91"/>
        <v>EAL-SIL</v>
      </c>
    </row>
    <row r="1450" spans="1:13" ht="14.25" customHeight="true">
      <c r="A1450" s="33" t="str">
        <f t="shared" si="88"/>
        <v>EAL - Intercompany</v>
      </c>
      <c r="B1450" s="33" t="str">
        <f t="shared" si="89"/>
        <v>EAL</v>
      </c>
      <c r="C1450" s="33" t="str">
        <f t="shared" si="90"/>
        <v>11232-0000</v>
      </c>
      <c r="D1450" t="s">
        <v>19292</v>
      </c>
      <c r="E1450" t="s">
        <v>12486</v>
      </c>
      <c r="F1450" t="s">
        <v>14039</v>
      </c>
      <c r="G1450" t="s">
        <v>14672</v>
      </c>
      <c r="H1450" t="s">
        <v>13869</v>
      </c>
      <c r="I1450" t="s">
        <v>14690</v>
      </c>
      <c r="J1450" s="62">
        <v>0</v>
      </c>
      <c r="K1450" s="62">
        <v>0</v>
      </c>
      <c r="L1450" t="str">
        <f>VLOOKUP(VALUE(LEFT(C1450,5)),Xref!A:B,2,0)</f>
        <v>SC2</v>
      </c>
      <c r="M1450" t="str">
        <f t="shared" si="91"/>
        <v>EAL-SC2</v>
      </c>
    </row>
    <row r="1451" spans="1:13" ht="14.25" customHeight="true">
      <c r="A1451" s="33" t="str">
        <f t="shared" si="88"/>
        <v>EAL - Intercompany</v>
      </c>
      <c r="B1451" s="33" t="str">
        <f t="shared" si="89"/>
        <v>EAL</v>
      </c>
      <c r="C1451" s="33" t="str">
        <f t="shared" si="90"/>
        <v>11301-0000</v>
      </c>
      <c r="D1451" t="s">
        <v>19293</v>
      </c>
      <c r="E1451" t="s">
        <v>13225</v>
      </c>
      <c r="F1451" t="s">
        <v>14039</v>
      </c>
      <c r="G1451" t="s">
        <v>14672</v>
      </c>
      <c r="H1451" t="s">
        <v>13869</v>
      </c>
      <c r="I1451" t="s">
        <v>14690</v>
      </c>
      <c r="J1451" s="62">
        <v>0</v>
      </c>
      <c r="K1451" s="62">
        <v>29.2</v>
      </c>
      <c r="L1451" t="str">
        <f>VLOOKUP(VALUE(LEFT(C1451,5)),Xref!A:B,2,0)</f>
        <v>CRE</v>
      </c>
      <c r="M1451" t="str">
        <f t="shared" si="91"/>
        <v>CRE-EAL</v>
      </c>
    </row>
    <row r="1452" spans="1:13" ht="14.25" customHeight="true">
      <c r="A1452" s="33" t="str">
        <f t="shared" si="88"/>
        <v>EAL - Intercompany</v>
      </c>
      <c r="B1452" s="33" t="str">
        <f t="shared" si="89"/>
        <v>EAL</v>
      </c>
      <c r="C1452" s="33" t="str">
        <f t="shared" si="90"/>
        <v>11302-0000</v>
      </c>
      <c r="D1452" t="s">
        <v>19294</v>
      </c>
      <c r="E1452" t="s">
        <v>13226</v>
      </c>
      <c r="F1452" t="s">
        <v>14039</v>
      </c>
      <c r="G1452" t="s">
        <v>14672</v>
      </c>
      <c r="H1452" t="s">
        <v>13869</v>
      </c>
      <c r="I1452" t="s">
        <v>14690</v>
      </c>
      <c r="J1452" s="62">
        <v>0</v>
      </c>
      <c r="K1452" s="62">
        <v>14.35</v>
      </c>
      <c r="L1452" t="str">
        <f>VLOOKUP(VALUE(LEFT(C1452,5)),Xref!A:B,2,0)</f>
        <v>CHA</v>
      </c>
      <c r="M1452" t="str">
        <f t="shared" si="91"/>
        <v>CHA-EAL</v>
      </c>
    </row>
    <row r="1453" spans="1:13" ht="14.25" customHeight="true">
      <c r="A1453" s="33" t="str">
        <f t="shared" si="88"/>
        <v>EAL - Intercompany</v>
      </c>
      <c r="B1453" s="33" t="str">
        <f t="shared" si="89"/>
        <v>EAL</v>
      </c>
      <c r="C1453" s="33" t="str">
        <f t="shared" si="90"/>
        <v>11303-0000</v>
      </c>
      <c r="D1453" t="s">
        <v>19295</v>
      </c>
      <c r="E1453" t="s">
        <v>13227</v>
      </c>
      <c r="F1453" t="s">
        <v>14039</v>
      </c>
      <c r="G1453" t="s">
        <v>14672</v>
      </c>
      <c r="H1453" t="s">
        <v>13869</v>
      </c>
      <c r="I1453" t="s">
        <v>14690</v>
      </c>
      <c r="J1453" s="62">
        <v>0</v>
      </c>
      <c r="K1453" s="62">
        <v>20.49</v>
      </c>
      <c r="L1453" t="str">
        <f>VLOOKUP(VALUE(LEFT(C1453,5)),Xref!A:B,2,0)</f>
        <v>DIA</v>
      </c>
      <c r="M1453" t="str">
        <f t="shared" si="91"/>
        <v>DIA-EAL</v>
      </c>
    </row>
    <row r="1454" spans="1:13" ht="14.25" customHeight="true">
      <c r="A1454" s="33" t="str">
        <f t="shared" si="88"/>
        <v>EAL - Intercompany</v>
      </c>
      <c r="B1454" s="33" t="str">
        <f t="shared" si="89"/>
        <v>EAL</v>
      </c>
      <c r="C1454" s="33" t="str">
        <f t="shared" si="90"/>
        <v>11304-0000</v>
      </c>
      <c r="D1454" t="s">
        <v>19296</v>
      </c>
      <c r="E1454" t="s">
        <v>13228</v>
      </c>
      <c r="F1454" t="s">
        <v>14039</v>
      </c>
      <c r="G1454" t="s">
        <v>14672</v>
      </c>
      <c r="H1454" t="s">
        <v>13869</v>
      </c>
      <c r="I1454" t="s">
        <v>14690</v>
      </c>
      <c r="J1454" s="62">
        <v>0</v>
      </c>
      <c r="K1454" s="62">
        <v>16.39</v>
      </c>
      <c r="L1454" t="str">
        <f>VLOOKUP(VALUE(LEFT(C1454,5)),Xref!A:B,2,0)</f>
        <v>EAG</v>
      </c>
      <c r="M1454" t="str">
        <f t="shared" si="91"/>
        <v>EAG-EAL</v>
      </c>
    </row>
    <row r="1455" spans="1:13" ht="14.25" customHeight="true">
      <c r="A1455" s="33" t="str">
        <f t="shared" si="88"/>
        <v>EAL - Intercompany</v>
      </c>
      <c r="B1455" s="33" t="str">
        <f t="shared" si="89"/>
        <v>EAL</v>
      </c>
      <c r="C1455" s="33" t="str">
        <f t="shared" si="90"/>
        <v>11305-0000</v>
      </c>
      <c r="D1455" t="s">
        <v>19297</v>
      </c>
      <c r="E1455" t="s">
        <v>13229</v>
      </c>
      <c r="F1455" t="s">
        <v>14039</v>
      </c>
      <c r="G1455" t="s">
        <v>14672</v>
      </c>
      <c r="H1455" t="s">
        <v>13869</v>
      </c>
      <c r="I1455" t="s">
        <v>14690</v>
      </c>
      <c r="J1455" s="62">
        <v>0</v>
      </c>
      <c r="K1455" s="62">
        <v>32.79</v>
      </c>
      <c r="L1455" t="str">
        <f>VLOOKUP(VALUE(LEFT(C1455,5)),Xref!A:B,2,0)</f>
        <v>NEW</v>
      </c>
      <c r="M1455" t="str">
        <f t="shared" si="91"/>
        <v>EAL-NEW</v>
      </c>
    </row>
    <row r="1456" spans="1:13" ht="14.25" customHeight="true">
      <c r="A1456" s="33" t="str">
        <f t="shared" si="88"/>
        <v>EAL - Intercompany</v>
      </c>
      <c r="B1456" s="33" t="str">
        <f t="shared" si="89"/>
        <v>EAL</v>
      </c>
      <c r="C1456" s="33" t="str">
        <f t="shared" si="90"/>
        <v>11307-0000</v>
      </c>
      <c r="D1456" t="s">
        <v>19298</v>
      </c>
      <c r="E1456" t="s">
        <v>14096</v>
      </c>
      <c r="F1456" t="s">
        <v>14039</v>
      </c>
      <c r="G1456" t="s">
        <v>14672</v>
      </c>
      <c r="H1456" t="s">
        <v>13869</v>
      </c>
      <c r="I1456" t="s">
        <v>14690</v>
      </c>
      <c r="J1456" s="62">
        <v>0</v>
      </c>
      <c r="K1456" s="62">
        <v>0</v>
      </c>
      <c r="L1456" t="str">
        <f>VLOOKUP(VALUE(LEFT(C1456,5)),Xref!A:B,2,0)</f>
        <v>NES</v>
      </c>
      <c r="M1456" t="str">
        <f t="shared" si="91"/>
        <v>EAL-NES</v>
      </c>
    </row>
    <row r="1457" spans="1:13" ht="14.25" customHeight="true">
      <c r="A1457" s="33" t="str">
        <f t="shared" si="88"/>
        <v>EAL - Intercompany</v>
      </c>
      <c r="B1457" s="33" t="str">
        <f t="shared" si="89"/>
        <v>EAL</v>
      </c>
      <c r="C1457" s="33" t="str">
        <f t="shared" si="90"/>
        <v>11308-0000</v>
      </c>
      <c r="D1457" t="s">
        <v>19299</v>
      </c>
      <c r="E1457" t="s">
        <v>13476</v>
      </c>
      <c r="F1457" t="s">
        <v>14039</v>
      </c>
      <c r="G1457" t="s">
        <v>14672</v>
      </c>
      <c r="H1457" t="s">
        <v>13869</v>
      </c>
      <c r="I1457" t="s">
        <v>14690</v>
      </c>
      <c r="J1457" s="62">
        <v>0</v>
      </c>
      <c r="K1457" s="62">
        <v>2.55</v>
      </c>
      <c r="L1457" t="str">
        <f>VLOOKUP(VALUE(LEFT(C1457,5)),Xref!A:B,2,0)</f>
        <v>LPI</v>
      </c>
      <c r="M1457" t="str">
        <f t="shared" si="91"/>
        <v>EAL-LPI</v>
      </c>
    </row>
    <row r="1458" spans="1:13" ht="14.25" customHeight="true">
      <c r="A1458" s="33" t="str">
        <f t="shared" si="88"/>
        <v>EAL - Intercompany</v>
      </c>
      <c r="B1458" s="33" t="str">
        <f t="shared" si="89"/>
        <v>EAL</v>
      </c>
      <c r="C1458" s="33" t="str">
        <f t="shared" si="90"/>
        <v>11309-0000</v>
      </c>
      <c r="D1458" t="s">
        <v>19300</v>
      </c>
      <c r="E1458" t="s">
        <v>13230</v>
      </c>
      <c r="F1458" t="s">
        <v>14039</v>
      </c>
      <c r="G1458" t="s">
        <v>14672</v>
      </c>
      <c r="H1458" t="s">
        <v>13869</v>
      </c>
      <c r="I1458" t="s">
        <v>14690</v>
      </c>
      <c r="J1458" s="62">
        <v>0</v>
      </c>
      <c r="K1458" s="62">
        <v>0</v>
      </c>
      <c r="L1458" t="str">
        <f>VLOOKUP(VALUE(LEFT(C1458,5)),Xref!A:B,2,0)</f>
        <v>GPI</v>
      </c>
      <c r="M1458" t="str">
        <f t="shared" si="91"/>
        <v>EAL-GPI</v>
      </c>
    </row>
    <row r="1459" spans="1:13" ht="14.25" customHeight="true">
      <c r="A1459" s="33" t="str">
        <f t="shared" si="88"/>
        <v>EAL - Intercompany</v>
      </c>
      <c r="B1459" s="33" t="str">
        <f t="shared" si="89"/>
        <v>EAL</v>
      </c>
      <c r="C1459" s="33" t="str">
        <f t="shared" si="90"/>
        <v>11310-0000</v>
      </c>
      <c r="D1459" t="s">
        <v>19301</v>
      </c>
      <c r="E1459" t="s">
        <v>13231</v>
      </c>
      <c r="F1459" t="s">
        <v>14039</v>
      </c>
      <c r="G1459" t="s">
        <v>14672</v>
      </c>
      <c r="H1459" t="s">
        <v>13869</v>
      </c>
      <c r="I1459" t="s">
        <v>14690</v>
      </c>
      <c r="J1459" s="62">
        <v>0</v>
      </c>
      <c r="K1459" s="62">
        <v>50.21</v>
      </c>
      <c r="L1459" t="str">
        <f>VLOOKUP(VALUE(LEFT(C1459,5)),Xref!A:B,2,0)</f>
        <v>ALP</v>
      </c>
      <c r="M1459" t="str">
        <f t="shared" si="91"/>
        <v>ALP-EAL</v>
      </c>
    </row>
    <row r="1460" spans="1:13" ht="14.25" customHeight="true">
      <c r="A1460" s="33" t="str">
        <f t="shared" si="88"/>
        <v>EAL - Intercompany</v>
      </c>
      <c r="B1460" s="33" t="str">
        <f t="shared" si="89"/>
        <v>EAL</v>
      </c>
      <c r="C1460" s="33" t="str">
        <f t="shared" si="90"/>
        <v>11311-0000</v>
      </c>
      <c r="D1460" t="s">
        <v>19302</v>
      </c>
      <c r="E1460" t="s">
        <v>13232</v>
      </c>
      <c r="F1460" t="s">
        <v>14039</v>
      </c>
      <c r="G1460" t="s">
        <v>14672</v>
      </c>
      <c r="H1460" t="s">
        <v>13869</v>
      </c>
      <c r="I1460" t="s">
        <v>14690</v>
      </c>
      <c r="J1460" s="62">
        <v>0</v>
      </c>
      <c r="K1460" s="62">
        <v>59.43</v>
      </c>
      <c r="L1460" t="str">
        <f>VLOOKUP(VALUE(LEFT(C1460,5)),Xref!A:B,2,0)</f>
        <v>BET</v>
      </c>
      <c r="M1460" t="str">
        <f t="shared" si="91"/>
        <v>BET-EAL</v>
      </c>
    </row>
    <row r="1461" spans="1:13" ht="14.25" customHeight="true">
      <c r="A1461" s="33" t="str">
        <f t="shared" si="88"/>
        <v>EAL - Intercompany</v>
      </c>
      <c r="B1461" s="33" t="str">
        <f t="shared" si="89"/>
        <v>EAL</v>
      </c>
      <c r="C1461" s="33" t="str">
        <f t="shared" si="90"/>
        <v>11312-0000</v>
      </c>
      <c r="D1461" t="s">
        <v>19303</v>
      </c>
      <c r="E1461" t="s">
        <v>14102</v>
      </c>
      <c r="F1461" t="s">
        <v>14039</v>
      </c>
      <c r="G1461" t="s">
        <v>14672</v>
      </c>
      <c r="H1461" t="s">
        <v>13869</v>
      </c>
      <c r="I1461" t="s">
        <v>14690</v>
      </c>
      <c r="J1461" s="62">
        <v>0</v>
      </c>
      <c r="K1461" s="62">
        <v>0</v>
      </c>
      <c r="L1461" t="str">
        <f>VLOOKUP(VALUE(LEFT(C1461,5)),Xref!A:B,2,0)</f>
        <v>DEL</v>
      </c>
      <c r="M1461" t="str">
        <f t="shared" si="91"/>
        <v>DEL-EAL</v>
      </c>
    </row>
    <row r="1462" spans="1:13" ht="14.25" customHeight="true">
      <c r="A1462" s="33" t="str">
        <f t="shared" si="88"/>
        <v>EAL - Intercompany</v>
      </c>
      <c r="B1462" s="33" t="str">
        <f t="shared" si="89"/>
        <v>EAL</v>
      </c>
      <c r="C1462" s="33" t="str">
        <f t="shared" si="90"/>
        <v>11313-0000</v>
      </c>
      <c r="D1462" t="s">
        <v>19304</v>
      </c>
      <c r="E1462" t="s">
        <v>13233</v>
      </c>
      <c r="F1462" t="s">
        <v>14039</v>
      </c>
      <c r="G1462" t="s">
        <v>14672</v>
      </c>
      <c r="H1462" t="s">
        <v>13869</v>
      </c>
      <c r="I1462" t="s">
        <v>14690</v>
      </c>
      <c r="J1462" s="62">
        <v>0</v>
      </c>
      <c r="K1462" s="62">
        <v>22.54</v>
      </c>
      <c r="L1462" t="str">
        <f>VLOOKUP(VALUE(LEFT(C1462,5)),Xref!A:B,2,0)</f>
        <v>DOL</v>
      </c>
      <c r="M1462" t="str">
        <f t="shared" si="91"/>
        <v>DOL-EAL</v>
      </c>
    </row>
    <row r="1463" spans="1:13" ht="14.25" customHeight="true">
      <c r="A1463" s="33" t="str">
        <f t="shared" si="88"/>
        <v>EAL - Intercompany</v>
      </c>
      <c r="B1463" s="33" t="str">
        <f t="shared" si="89"/>
        <v>EAL</v>
      </c>
      <c r="C1463" s="33" t="str">
        <f t="shared" si="90"/>
        <v>11314-0000</v>
      </c>
      <c r="D1463" t="s">
        <v>19305</v>
      </c>
      <c r="E1463" t="s">
        <v>13351</v>
      </c>
      <c r="F1463" t="s">
        <v>14039</v>
      </c>
      <c r="G1463" t="s">
        <v>14672</v>
      </c>
      <c r="H1463" t="s">
        <v>13869</v>
      </c>
      <c r="I1463" t="s">
        <v>14690</v>
      </c>
      <c r="J1463" s="62">
        <v>0</v>
      </c>
      <c r="K1463" s="62">
        <v>0</v>
      </c>
      <c r="L1463" t="str">
        <f>VLOOKUP(VALUE(LEFT(C1463,5)),Xref!A:B,2,0)</f>
        <v>GRI</v>
      </c>
      <c r="M1463" t="str">
        <f t="shared" si="91"/>
        <v>EAL-GRI</v>
      </c>
    </row>
    <row r="1464" spans="1:13" ht="14.25" customHeight="true">
      <c r="A1464" s="33" t="str">
        <f t="shared" si="88"/>
        <v>EAL - Intercompany</v>
      </c>
      <c r="B1464" s="33" t="str">
        <f t="shared" si="89"/>
        <v>EAL</v>
      </c>
      <c r="C1464" s="33" t="str">
        <f t="shared" si="90"/>
        <v>11315-0000</v>
      </c>
      <c r="D1464" t="s">
        <v>19306</v>
      </c>
      <c r="E1464" t="s">
        <v>13234</v>
      </c>
      <c r="F1464" t="s">
        <v>14039</v>
      </c>
      <c r="G1464" t="s">
        <v>14672</v>
      </c>
      <c r="H1464" t="s">
        <v>13869</v>
      </c>
      <c r="I1464" t="s">
        <v>14690</v>
      </c>
      <c r="J1464" s="62">
        <v>0</v>
      </c>
      <c r="K1464" s="62">
        <v>18.44</v>
      </c>
      <c r="L1464" t="str">
        <f>VLOOKUP(VALUE(LEFT(C1464,5)),Xref!A:B,2,0)</f>
        <v>PUR</v>
      </c>
      <c r="M1464" t="str">
        <f t="shared" si="91"/>
        <v>EAL-PUR</v>
      </c>
    </row>
    <row r="1465" spans="1:13" ht="14.25" customHeight="true">
      <c r="A1465" s="33" t="str">
        <f t="shared" si="88"/>
        <v>EAL - Intercompany</v>
      </c>
      <c r="B1465" s="33" t="str">
        <f t="shared" si="89"/>
        <v>EAL</v>
      </c>
      <c r="C1465" s="33" t="str">
        <f t="shared" si="90"/>
        <v>11316-0000</v>
      </c>
      <c r="D1465" t="s">
        <v>19307</v>
      </c>
      <c r="E1465" t="s">
        <v>13235</v>
      </c>
      <c r="F1465" t="s">
        <v>14039</v>
      </c>
      <c r="G1465" t="s">
        <v>14672</v>
      </c>
      <c r="H1465" t="s">
        <v>13869</v>
      </c>
      <c r="I1465" t="s">
        <v>14690</v>
      </c>
      <c r="J1465" s="62">
        <v>0</v>
      </c>
      <c r="K1465" s="62">
        <v>4.1</v>
      </c>
      <c r="L1465" t="str">
        <f>VLOOKUP(VALUE(LEFT(C1465,5)),Xref!A:B,2,0)</f>
        <v>VAL</v>
      </c>
      <c r="M1465" t="str">
        <f t="shared" si="91"/>
        <v>EAL-VAL</v>
      </c>
    </row>
    <row r="1466" spans="1:13" ht="14.25" customHeight="true">
      <c r="A1466" s="33" t="str">
        <f t="shared" si="88"/>
        <v>EAL - Intercompany</v>
      </c>
      <c r="B1466" s="33" t="str">
        <f t="shared" si="89"/>
        <v>EAL</v>
      </c>
      <c r="C1466" s="33" t="str">
        <f t="shared" si="90"/>
        <v>11317-0000</v>
      </c>
      <c r="D1466" t="s">
        <v>19308</v>
      </c>
      <c r="E1466" t="s">
        <v>13352</v>
      </c>
      <c r="F1466" t="s">
        <v>14039</v>
      </c>
      <c r="G1466" t="s">
        <v>14672</v>
      </c>
      <c r="H1466" t="s">
        <v>13869</v>
      </c>
      <c r="I1466" t="s">
        <v>14690</v>
      </c>
      <c r="J1466" s="62">
        <v>0</v>
      </c>
      <c r="K1466" s="62">
        <v>61.48</v>
      </c>
      <c r="L1466" t="str">
        <f>VLOOKUP(VALUE(LEFT(C1466,5)),Xref!A:B,2,0)</f>
        <v>AKG</v>
      </c>
      <c r="M1466" t="str">
        <f t="shared" si="91"/>
        <v>AKG-EAL</v>
      </c>
    </row>
    <row r="1467" spans="1:13" ht="14.25" customHeight="true">
      <c r="A1467" s="33" t="str">
        <f t="shared" si="88"/>
        <v>EAL - Intercompany</v>
      </c>
      <c r="B1467" s="33" t="str">
        <f t="shared" si="89"/>
        <v>EAL</v>
      </c>
      <c r="C1467" s="33" t="str">
        <f t="shared" si="90"/>
        <v>11318-0000</v>
      </c>
      <c r="D1467" t="s">
        <v>19309</v>
      </c>
      <c r="E1467" t="s">
        <v>13477</v>
      </c>
      <c r="F1467" t="s">
        <v>14039</v>
      </c>
      <c r="G1467" t="s">
        <v>14672</v>
      </c>
      <c r="H1467" t="s">
        <v>13869</v>
      </c>
      <c r="I1467" t="s">
        <v>14690</v>
      </c>
      <c r="J1467" s="62">
        <v>0</v>
      </c>
      <c r="K1467" s="62">
        <v>0</v>
      </c>
      <c r="L1467" t="str">
        <f>VLOOKUP(VALUE(LEFT(C1467,5)),Xref!A:B,2,0)</f>
        <v>FIR</v>
      </c>
      <c r="M1467" t="str">
        <f t="shared" si="91"/>
        <v>EAL-FIR</v>
      </c>
    </row>
    <row r="1468" spans="1:13" ht="14.25" customHeight="true">
      <c r="A1468" s="33" t="str">
        <f t="shared" si="88"/>
        <v>EAL - Intercompany</v>
      </c>
      <c r="B1468" s="33" t="str">
        <f t="shared" si="89"/>
        <v>EAL</v>
      </c>
      <c r="C1468" s="33" t="str">
        <f t="shared" si="90"/>
        <v>11319-0000</v>
      </c>
      <c r="D1468" t="s">
        <v>19310</v>
      </c>
      <c r="E1468" t="s">
        <v>266</v>
      </c>
      <c r="F1468" t="s">
        <v>14039</v>
      </c>
      <c r="G1468" t="s">
        <v>14672</v>
      </c>
      <c r="H1468" t="s">
        <v>13869</v>
      </c>
      <c r="I1468" t="s">
        <v>14690</v>
      </c>
      <c r="J1468" s="62">
        <v>0</v>
      </c>
      <c r="K1468" s="62">
        <v>0</v>
      </c>
      <c r="L1468" t="str">
        <f>VLOOKUP(VALUE(LEFT(C1468,5)),Xref!A:B,2,0)</f>
        <v>GST</v>
      </c>
      <c r="M1468" t="str">
        <f t="shared" si="91"/>
        <v>EAL-GST</v>
      </c>
    </row>
    <row r="1469" spans="1:13" ht="14.25" customHeight="true">
      <c r="A1469" s="33" t="str">
        <f t="shared" si="88"/>
        <v>EAL - Intercompany</v>
      </c>
      <c r="B1469" s="33" t="str">
        <f t="shared" si="89"/>
        <v>EAL</v>
      </c>
      <c r="C1469" s="33" t="str">
        <f t="shared" si="90"/>
        <v>11320-0000</v>
      </c>
      <c r="D1469" t="s">
        <v>19311</v>
      </c>
      <c r="E1469" t="s">
        <v>14111</v>
      </c>
      <c r="F1469" t="s">
        <v>14039</v>
      </c>
      <c r="G1469" t="s">
        <v>14672</v>
      </c>
      <c r="H1469" t="s">
        <v>13869</v>
      </c>
      <c r="I1469" t="s">
        <v>14690</v>
      </c>
      <c r="J1469" s="62">
        <v>0</v>
      </c>
      <c r="K1469" s="62">
        <v>0</v>
      </c>
      <c r="L1469" t="str">
        <f>VLOOKUP(VALUE(LEFT(C1469,5)),Xref!A:B,2,0)</f>
        <v>HDN</v>
      </c>
      <c r="M1469" t="str">
        <f t="shared" si="91"/>
        <v>EAL-HDN</v>
      </c>
    </row>
    <row r="1470" spans="1:13" ht="14.25" customHeight="true">
      <c r="A1470" s="33" t="str">
        <f t="shared" si="88"/>
        <v>EAL - Intercompany</v>
      </c>
      <c r="B1470" s="33" t="str">
        <f t="shared" si="89"/>
        <v>EAL</v>
      </c>
      <c r="C1470" s="33" t="str">
        <f t="shared" si="90"/>
        <v>11321-0000</v>
      </c>
      <c r="D1470" t="s">
        <v>19312</v>
      </c>
      <c r="E1470" t="s">
        <v>13236</v>
      </c>
      <c r="F1470" t="s">
        <v>14039</v>
      </c>
      <c r="G1470" t="s">
        <v>14672</v>
      </c>
      <c r="H1470" t="s">
        <v>13869</v>
      </c>
      <c r="I1470" t="s">
        <v>14690</v>
      </c>
      <c r="J1470" s="62">
        <v>0</v>
      </c>
      <c r="K1470" s="62">
        <v>20.49</v>
      </c>
      <c r="L1470" t="str">
        <f>VLOOKUP(VALUE(LEFT(C1470,5)),Xref!A:B,2,0)</f>
        <v>OVA</v>
      </c>
      <c r="M1470" t="str">
        <f t="shared" si="91"/>
        <v>EAL-OVA</v>
      </c>
    </row>
    <row r="1471" spans="1:13" ht="14.25" customHeight="true">
      <c r="A1471" s="33" t="str">
        <f t="shared" si="88"/>
        <v>EAL - Intercompany</v>
      </c>
      <c r="B1471" s="33" t="str">
        <f t="shared" si="89"/>
        <v>EAL</v>
      </c>
      <c r="C1471" s="33" t="str">
        <f t="shared" si="90"/>
        <v>11322-0000</v>
      </c>
      <c r="D1471" t="s">
        <v>19313</v>
      </c>
      <c r="E1471" t="s">
        <v>13237</v>
      </c>
      <c r="F1471" t="s">
        <v>14039</v>
      </c>
      <c r="G1471" t="s">
        <v>14672</v>
      </c>
      <c r="H1471" t="s">
        <v>13869</v>
      </c>
      <c r="I1471" t="s">
        <v>14690</v>
      </c>
      <c r="J1471" s="62">
        <v>0</v>
      </c>
      <c r="K1471" s="62">
        <v>12.81</v>
      </c>
      <c r="L1471" t="str">
        <f>VLOOKUP(VALUE(LEFT(C1471,5)),Xref!A:B,2,0)</f>
        <v>WOO</v>
      </c>
      <c r="M1471" t="str">
        <f t="shared" si="91"/>
        <v>EAL-WOO</v>
      </c>
    </row>
    <row r="1472" spans="1:13" ht="14.25" customHeight="true">
      <c r="A1472" s="33" t="str">
        <f t="shared" si="88"/>
        <v>EAL - Intercompany</v>
      </c>
      <c r="B1472" s="33" t="str">
        <f t="shared" si="89"/>
        <v>EAL</v>
      </c>
      <c r="C1472" s="33" t="str">
        <f t="shared" si="90"/>
        <v>11323-0000</v>
      </c>
      <c r="D1472" t="s">
        <v>19314</v>
      </c>
      <c r="E1472" t="s">
        <v>13478</v>
      </c>
      <c r="F1472" t="s">
        <v>14039</v>
      </c>
      <c r="G1472" t="s">
        <v>14672</v>
      </c>
      <c r="H1472" t="s">
        <v>13869</v>
      </c>
      <c r="I1472" t="s">
        <v>14690</v>
      </c>
      <c r="J1472" s="62">
        <v>0</v>
      </c>
      <c r="K1472" s="62">
        <v>0</v>
      </c>
      <c r="L1472" t="str">
        <f>VLOOKUP(VALUE(LEFT(C1472,5)),Xref!A:B,2,0)</f>
        <v>SPI</v>
      </c>
      <c r="M1472" t="str">
        <f t="shared" si="91"/>
        <v>EAL-SPI</v>
      </c>
    </row>
    <row r="1473" spans="1:13" ht="14.25" customHeight="true">
      <c r="A1473" s="33" t="str">
        <f t="shared" si="88"/>
        <v>EAL - Intercompany</v>
      </c>
      <c r="B1473" s="33" t="str">
        <f t="shared" si="89"/>
        <v>EAL</v>
      </c>
      <c r="C1473" s="33" t="str">
        <f t="shared" si="90"/>
        <v>11324-0000</v>
      </c>
      <c r="D1473" t="s">
        <v>19315</v>
      </c>
      <c r="E1473" t="s">
        <v>13238</v>
      </c>
      <c r="F1473" t="s">
        <v>14039</v>
      </c>
      <c r="G1473" t="s">
        <v>14672</v>
      </c>
      <c r="H1473" t="s">
        <v>13869</v>
      </c>
      <c r="I1473" t="s">
        <v>14690</v>
      </c>
      <c r="J1473" s="62">
        <v>0</v>
      </c>
      <c r="K1473" s="62">
        <v>35.86</v>
      </c>
      <c r="L1473" t="str">
        <f>VLOOKUP(VALUE(LEFT(C1473,5)),Xref!A:B,2,0)</f>
        <v>NET</v>
      </c>
      <c r="M1473" t="str">
        <f t="shared" si="91"/>
        <v>EAL-NET</v>
      </c>
    </row>
    <row r="1474" spans="1:13" ht="14.25" customHeight="true">
      <c r="A1474" s="33" t="str">
        <f t="shared" ref="A1474:A1537" si="92">B1474&amp;" - "&amp;TRIM(H1474)</f>
        <v>EAL - Intercompany</v>
      </c>
      <c r="B1474" s="33" t="str">
        <f t="shared" ref="B1474:B1537" si="93">LEFT(D1474,3)</f>
        <v>EAL</v>
      </c>
      <c r="C1474" s="33" t="str">
        <f t="shared" ref="C1474:C1537" si="94">RIGHT(D1474,10)</f>
        <v>11325-0000</v>
      </c>
      <c r="D1474" t="s">
        <v>19316</v>
      </c>
      <c r="E1474" t="s">
        <v>13239</v>
      </c>
      <c r="F1474" t="s">
        <v>14039</v>
      </c>
      <c r="G1474" t="s">
        <v>14672</v>
      </c>
      <c r="H1474" t="s">
        <v>13869</v>
      </c>
      <c r="I1474" t="s">
        <v>14690</v>
      </c>
      <c r="J1474" s="62">
        <v>0</v>
      </c>
      <c r="K1474" s="62">
        <v>7.68</v>
      </c>
      <c r="L1474" t="str">
        <f>VLOOKUP(VALUE(LEFT(C1474,5)),Xref!A:B,2,0)</f>
        <v>DPI</v>
      </c>
      <c r="M1474" t="str">
        <f t="shared" ref="M1474:M1537" si="95">IF(B1474&lt;L1474,B1474&amp;"-"&amp;L1474,L1474&amp;"-"&amp;B1474)</f>
        <v>DPI-EAL</v>
      </c>
    </row>
    <row r="1475" spans="1:13" ht="14.25" customHeight="true">
      <c r="A1475" s="33" t="str">
        <f t="shared" si="92"/>
        <v>EAL - Intercompany</v>
      </c>
      <c r="B1475" s="33" t="str">
        <f t="shared" si="93"/>
        <v>EAL</v>
      </c>
      <c r="C1475" s="33" t="str">
        <f t="shared" si="94"/>
        <v>11326-0000</v>
      </c>
      <c r="D1475" t="s">
        <v>19317</v>
      </c>
      <c r="E1475" t="s">
        <v>13240</v>
      </c>
      <c r="F1475" t="s">
        <v>14039</v>
      </c>
      <c r="G1475" t="s">
        <v>14672</v>
      </c>
      <c r="H1475" t="s">
        <v>13869</v>
      </c>
      <c r="I1475" t="s">
        <v>14690</v>
      </c>
      <c r="J1475" s="62">
        <v>0</v>
      </c>
      <c r="K1475" s="62">
        <v>5.64</v>
      </c>
      <c r="L1475" t="str">
        <f>VLOOKUP(VALUE(LEFT(C1475,5)),Xref!A:B,2,0)</f>
        <v>SEK</v>
      </c>
      <c r="M1475" t="str">
        <f t="shared" si="95"/>
        <v>EAL-SEK</v>
      </c>
    </row>
    <row r="1476" spans="1:13" ht="14.25" customHeight="true">
      <c r="A1476" s="33" t="str">
        <f t="shared" si="92"/>
        <v>EAL - Intercompany</v>
      </c>
      <c r="B1476" s="33" t="str">
        <f t="shared" si="93"/>
        <v>EAL</v>
      </c>
      <c r="C1476" s="33" t="str">
        <f t="shared" si="94"/>
        <v>11327-0000</v>
      </c>
      <c r="D1476" t="s">
        <v>19318</v>
      </c>
      <c r="E1476" t="s">
        <v>14119</v>
      </c>
      <c r="F1476" t="s">
        <v>14039</v>
      </c>
      <c r="G1476" t="s">
        <v>14672</v>
      </c>
      <c r="H1476" t="s">
        <v>13869</v>
      </c>
      <c r="I1476" t="s">
        <v>14690</v>
      </c>
      <c r="J1476" s="62">
        <v>0</v>
      </c>
      <c r="K1476" s="62">
        <v>12.3</v>
      </c>
      <c r="L1476" t="str">
        <f>VLOOKUP(VALUE(LEFT(C1476,5)),Xref!A:B,2,0)</f>
        <v>CPI</v>
      </c>
      <c r="M1476" t="str">
        <f t="shared" si="95"/>
        <v>CPI-EAL</v>
      </c>
    </row>
    <row r="1477" spans="1:13" ht="14.25" customHeight="true">
      <c r="A1477" s="33" t="str">
        <f t="shared" si="92"/>
        <v>EAL - Intercompany</v>
      </c>
      <c r="B1477" s="33" t="str">
        <f t="shared" si="93"/>
        <v>EAL</v>
      </c>
      <c r="C1477" s="33" t="str">
        <f t="shared" si="94"/>
        <v>11328-0000</v>
      </c>
      <c r="D1477" t="s">
        <v>19319</v>
      </c>
      <c r="E1477" t="s">
        <v>13241</v>
      </c>
      <c r="F1477" t="s">
        <v>14039</v>
      </c>
      <c r="G1477" t="s">
        <v>14672</v>
      </c>
      <c r="H1477" t="s">
        <v>13869</v>
      </c>
      <c r="I1477" t="s">
        <v>14690</v>
      </c>
      <c r="J1477" s="62">
        <v>0</v>
      </c>
      <c r="K1477" s="62">
        <v>8.71</v>
      </c>
      <c r="L1477" t="str">
        <f>VLOOKUP(VALUE(LEFT(C1477,5)),Xref!A:B,2,0)</f>
        <v>LOM</v>
      </c>
      <c r="M1477" t="str">
        <f t="shared" si="95"/>
        <v>EAL-LOM</v>
      </c>
    </row>
    <row r="1478" spans="1:13" ht="14.25" customHeight="true">
      <c r="A1478" s="33" t="str">
        <f t="shared" si="92"/>
        <v>EAL - Intercompany</v>
      </c>
      <c r="B1478" s="33" t="str">
        <f t="shared" si="93"/>
        <v>EAL</v>
      </c>
      <c r="C1478" s="33" t="str">
        <f t="shared" si="94"/>
        <v>11329-0000</v>
      </c>
      <c r="D1478" t="s">
        <v>19320</v>
      </c>
      <c r="E1478" t="s">
        <v>13353</v>
      </c>
      <c r="F1478" t="s">
        <v>14039</v>
      </c>
      <c r="G1478" t="s">
        <v>14672</v>
      </c>
      <c r="H1478" t="s">
        <v>13869</v>
      </c>
      <c r="I1478" t="s">
        <v>14690</v>
      </c>
      <c r="J1478" s="62">
        <v>0</v>
      </c>
      <c r="K1478" s="62">
        <v>0</v>
      </c>
      <c r="L1478" t="str">
        <f>VLOOKUP(VALUE(LEFT(C1478,5)),Xref!A:B,2,0)</f>
        <v>AKS</v>
      </c>
      <c r="M1478" t="str">
        <f t="shared" si="95"/>
        <v>AKS-EAL</v>
      </c>
    </row>
    <row r="1479" spans="1:13" ht="14.25" customHeight="true">
      <c r="A1479" s="33" t="str">
        <f t="shared" si="92"/>
        <v>EAL - Intercompany</v>
      </c>
      <c r="B1479" s="33" t="str">
        <f t="shared" si="93"/>
        <v>EAL</v>
      </c>
      <c r="C1479" s="33" t="str">
        <f t="shared" si="94"/>
        <v>11330-0000</v>
      </c>
      <c r="D1479" t="s">
        <v>19321</v>
      </c>
      <c r="E1479" t="s">
        <v>13242</v>
      </c>
      <c r="F1479" t="s">
        <v>14039</v>
      </c>
      <c r="G1479" t="s">
        <v>14672</v>
      </c>
      <c r="H1479" t="s">
        <v>13869</v>
      </c>
      <c r="I1479" t="s">
        <v>14690</v>
      </c>
      <c r="J1479" s="62">
        <v>0</v>
      </c>
      <c r="K1479" s="62">
        <v>13.32</v>
      </c>
      <c r="L1479" t="str">
        <f>VLOOKUP(VALUE(LEFT(C1479,5)),Xref!A:B,2,0)</f>
        <v>MAR</v>
      </c>
      <c r="M1479" t="str">
        <f t="shared" si="95"/>
        <v>EAL-MAR</v>
      </c>
    </row>
    <row r="1480" spans="1:13" ht="14.25" customHeight="true">
      <c r="A1480" s="33" t="str">
        <f t="shared" si="92"/>
        <v>EAL - Intercompany</v>
      </c>
      <c r="B1480" s="33" t="str">
        <f t="shared" si="93"/>
        <v>EAL</v>
      </c>
      <c r="C1480" s="33" t="str">
        <f t="shared" si="94"/>
        <v>11331-0000</v>
      </c>
      <c r="D1480" t="s">
        <v>19322</v>
      </c>
      <c r="E1480" t="s">
        <v>13354</v>
      </c>
      <c r="F1480" t="s">
        <v>14039</v>
      </c>
      <c r="G1480" t="s">
        <v>14672</v>
      </c>
      <c r="H1480" t="s">
        <v>13869</v>
      </c>
      <c r="I1480" t="s">
        <v>14690</v>
      </c>
      <c r="J1480" s="62">
        <v>0</v>
      </c>
      <c r="K1480" s="62">
        <v>0</v>
      </c>
      <c r="L1480" t="str">
        <f>VLOOKUP(VALUE(LEFT(C1480,5)),Xref!A:B,2,0)</f>
        <v>WIL</v>
      </c>
      <c r="M1480" t="str">
        <f t="shared" si="95"/>
        <v>EAL-WIL</v>
      </c>
    </row>
    <row r="1481" spans="1:13" ht="14.25" customHeight="true">
      <c r="A1481" s="33" t="str">
        <f t="shared" si="92"/>
        <v>EAL - Intercompany</v>
      </c>
      <c r="B1481" s="33" t="str">
        <f t="shared" si="93"/>
        <v>EAL</v>
      </c>
      <c r="C1481" s="33" t="str">
        <f t="shared" si="94"/>
        <v>11332-0000</v>
      </c>
      <c r="D1481" t="s">
        <v>19323</v>
      </c>
      <c r="E1481" t="s">
        <v>13243</v>
      </c>
      <c r="F1481" t="s">
        <v>14039</v>
      </c>
      <c r="G1481" t="s">
        <v>14672</v>
      </c>
      <c r="H1481" t="s">
        <v>13869</v>
      </c>
      <c r="I1481" t="s">
        <v>14690</v>
      </c>
      <c r="J1481" s="62">
        <v>0</v>
      </c>
      <c r="K1481" s="62">
        <v>10.76</v>
      </c>
      <c r="L1481" t="str">
        <f>VLOOKUP(VALUE(LEFT(C1481,5)),Xref!A:B,2,0)</f>
        <v>STO</v>
      </c>
      <c r="M1481" t="str">
        <f t="shared" si="95"/>
        <v>EAL-STO</v>
      </c>
    </row>
    <row r="1482" spans="1:13" ht="14.25" customHeight="true">
      <c r="A1482" s="33" t="str">
        <f t="shared" si="92"/>
        <v>EAL - Intercompany</v>
      </c>
      <c r="B1482" s="33" t="str">
        <f t="shared" si="93"/>
        <v>EAL</v>
      </c>
      <c r="C1482" s="33" t="str">
        <f t="shared" si="94"/>
        <v>11333-0000</v>
      </c>
      <c r="D1482" t="s">
        <v>19324</v>
      </c>
      <c r="E1482" t="s">
        <v>13244</v>
      </c>
      <c r="F1482" t="s">
        <v>14039</v>
      </c>
      <c r="G1482" t="s">
        <v>14672</v>
      </c>
      <c r="H1482" t="s">
        <v>13869</v>
      </c>
      <c r="I1482" t="s">
        <v>14690</v>
      </c>
      <c r="J1482" s="62">
        <v>0</v>
      </c>
      <c r="K1482" s="62">
        <v>6.66</v>
      </c>
      <c r="L1482" t="str">
        <f>VLOOKUP(VALUE(LEFT(C1482,5)),Xref!A:B,2,0)</f>
        <v>ANG</v>
      </c>
      <c r="M1482" t="str">
        <f t="shared" si="95"/>
        <v>ANG-EAL</v>
      </c>
    </row>
    <row r="1483" spans="1:13" ht="14.25" customHeight="true">
      <c r="A1483" s="33" t="str">
        <f t="shared" si="92"/>
        <v>EAL - Intercompany</v>
      </c>
      <c r="B1483" s="33" t="str">
        <f t="shared" si="93"/>
        <v>EAL</v>
      </c>
      <c r="C1483" s="33" t="str">
        <f t="shared" si="94"/>
        <v>11334-0000</v>
      </c>
      <c r="D1483" t="s">
        <v>19325</v>
      </c>
      <c r="E1483" t="s">
        <v>13245</v>
      </c>
      <c r="F1483" t="s">
        <v>14039</v>
      </c>
      <c r="G1483" t="s">
        <v>14672</v>
      </c>
      <c r="H1483" t="s">
        <v>13869</v>
      </c>
      <c r="I1483" t="s">
        <v>14690</v>
      </c>
      <c r="J1483" s="62">
        <v>0</v>
      </c>
      <c r="K1483" s="62">
        <v>6.15</v>
      </c>
      <c r="L1483" t="str">
        <f>VLOOKUP(VALUE(LEFT(C1483,5)),Xref!A:B,2,0)</f>
        <v>BRU</v>
      </c>
      <c r="M1483" t="str">
        <f t="shared" si="95"/>
        <v>BRU-EAL</v>
      </c>
    </row>
    <row r="1484" spans="1:13" ht="14.25" customHeight="true">
      <c r="A1484" s="33" t="str">
        <f t="shared" si="92"/>
        <v>EAL - Intercompany</v>
      </c>
      <c r="B1484" s="33" t="str">
        <f t="shared" si="93"/>
        <v>EAL</v>
      </c>
      <c r="C1484" s="33" t="str">
        <f t="shared" si="94"/>
        <v>11335-0000</v>
      </c>
      <c r="D1484" t="s">
        <v>19326</v>
      </c>
      <c r="E1484" t="s">
        <v>13246</v>
      </c>
      <c r="F1484" t="s">
        <v>14039</v>
      </c>
      <c r="G1484" t="s">
        <v>14672</v>
      </c>
      <c r="H1484" t="s">
        <v>13869</v>
      </c>
      <c r="I1484" t="s">
        <v>14690</v>
      </c>
      <c r="J1484" s="62">
        <v>0</v>
      </c>
      <c r="K1484" s="62">
        <v>6.15</v>
      </c>
      <c r="L1484" t="str">
        <f>VLOOKUP(VALUE(LEFT(C1484,5)),Xref!A:B,2,0)</f>
        <v>VEN</v>
      </c>
      <c r="M1484" t="str">
        <f t="shared" si="95"/>
        <v>EAL-VEN</v>
      </c>
    </row>
    <row r="1485" spans="1:13" ht="14.25" customHeight="true">
      <c r="A1485" s="33" t="str">
        <f t="shared" si="92"/>
        <v>EAL - Intercompany</v>
      </c>
      <c r="B1485" s="33" t="str">
        <f t="shared" si="93"/>
        <v>EAL</v>
      </c>
      <c r="C1485" s="33" t="str">
        <f t="shared" si="94"/>
        <v>11336-0000</v>
      </c>
      <c r="D1485" t="s">
        <v>19327</v>
      </c>
      <c r="E1485" t="s">
        <v>13247</v>
      </c>
      <c r="F1485" t="s">
        <v>14039</v>
      </c>
      <c r="G1485" t="s">
        <v>14672</v>
      </c>
      <c r="H1485" t="s">
        <v>13869</v>
      </c>
      <c r="I1485" t="s">
        <v>14690</v>
      </c>
      <c r="J1485" s="62">
        <v>0</v>
      </c>
      <c r="K1485" s="62">
        <v>0</v>
      </c>
      <c r="L1485" t="str">
        <f>VLOOKUP(VALUE(LEFT(C1485,5)),Xref!A:B,2,0)</f>
        <v>SAT</v>
      </c>
      <c r="M1485" t="str">
        <f t="shared" si="95"/>
        <v>EAL-SAT</v>
      </c>
    </row>
    <row r="1486" spans="1:13" ht="14.25" customHeight="true">
      <c r="A1486" s="33" t="str">
        <f t="shared" si="92"/>
        <v>EAL - Intercompany</v>
      </c>
      <c r="B1486" s="33" t="str">
        <f t="shared" si="93"/>
        <v>EAL</v>
      </c>
      <c r="C1486" s="33" t="str">
        <f t="shared" si="94"/>
        <v>11337-0000</v>
      </c>
      <c r="D1486" t="s">
        <v>19328</v>
      </c>
      <c r="E1486" t="s">
        <v>13248</v>
      </c>
      <c r="F1486" t="s">
        <v>14039</v>
      </c>
      <c r="G1486" t="s">
        <v>14672</v>
      </c>
      <c r="H1486" t="s">
        <v>13869</v>
      </c>
      <c r="I1486" t="s">
        <v>14690</v>
      </c>
      <c r="J1486" s="62">
        <v>0</v>
      </c>
      <c r="K1486" s="62">
        <v>18.44</v>
      </c>
      <c r="L1486" t="str">
        <f>VLOOKUP(VALUE(LEFT(C1486,5)),Xref!A:B,2,0)</f>
        <v>NEP</v>
      </c>
      <c r="M1486" t="str">
        <f t="shared" si="95"/>
        <v>EAL-NEP</v>
      </c>
    </row>
    <row r="1487" spans="1:13" ht="14.25" customHeight="true">
      <c r="A1487" s="33" t="str">
        <f t="shared" si="92"/>
        <v>EAL - Intercompany</v>
      </c>
      <c r="B1487" s="33" t="str">
        <f t="shared" si="93"/>
        <v>EAL</v>
      </c>
      <c r="C1487" s="33" t="str">
        <f t="shared" si="94"/>
        <v>11338-0000</v>
      </c>
      <c r="D1487" t="s">
        <v>19329</v>
      </c>
      <c r="E1487" t="s">
        <v>14131</v>
      </c>
      <c r="F1487" t="s">
        <v>14039</v>
      </c>
      <c r="G1487" t="s">
        <v>14672</v>
      </c>
      <c r="H1487" t="s">
        <v>13869</v>
      </c>
      <c r="I1487" t="s">
        <v>14690</v>
      </c>
      <c r="J1487" s="62">
        <v>0</v>
      </c>
      <c r="K1487" s="62">
        <v>10.25</v>
      </c>
      <c r="L1487" t="str">
        <f>VLOOKUP(VALUE(LEFT(C1487,5)),Xref!A:B,2,0)</f>
        <v>JUP</v>
      </c>
      <c r="M1487" t="str">
        <f t="shared" si="95"/>
        <v>EAL-JUP</v>
      </c>
    </row>
    <row r="1488" spans="1:13" ht="14.25" customHeight="true">
      <c r="A1488" s="33" t="str">
        <f t="shared" si="92"/>
        <v>EAL - Intercompany</v>
      </c>
      <c r="B1488" s="33" t="str">
        <f t="shared" si="93"/>
        <v>EAL</v>
      </c>
      <c r="C1488" s="33" t="str">
        <f t="shared" si="94"/>
        <v>11339-0000</v>
      </c>
      <c r="D1488" t="s">
        <v>19330</v>
      </c>
      <c r="E1488" t="s">
        <v>14133</v>
      </c>
      <c r="F1488" t="s">
        <v>14039</v>
      </c>
      <c r="G1488" t="s">
        <v>14672</v>
      </c>
      <c r="H1488" t="s">
        <v>13869</v>
      </c>
      <c r="I1488" t="s">
        <v>14690</v>
      </c>
      <c r="J1488" s="62">
        <v>0</v>
      </c>
      <c r="K1488" s="62">
        <v>0.51</v>
      </c>
      <c r="L1488" t="str">
        <f>VLOOKUP(VALUE(LEFT(C1488,5)),Xref!A:B,2,0)</f>
        <v>WES</v>
      </c>
      <c r="M1488" t="str">
        <f t="shared" si="95"/>
        <v>EAL-WES</v>
      </c>
    </row>
    <row r="1489" spans="1:13" ht="14.25" customHeight="true">
      <c r="A1489" s="33" t="str">
        <f t="shared" si="92"/>
        <v>EAL - Intercompany</v>
      </c>
      <c r="B1489" s="33" t="str">
        <f t="shared" si="93"/>
        <v>EAL</v>
      </c>
      <c r="C1489" s="33" t="str">
        <f t="shared" si="94"/>
        <v>11340-0000</v>
      </c>
      <c r="D1489" t="s">
        <v>19331</v>
      </c>
      <c r="E1489" t="s">
        <v>14135</v>
      </c>
      <c r="F1489" t="s">
        <v>14039</v>
      </c>
      <c r="G1489" t="s">
        <v>14672</v>
      </c>
      <c r="H1489" t="s">
        <v>13869</v>
      </c>
      <c r="I1489" t="s">
        <v>14690</v>
      </c>
      <c r="J1489" s="62">
        <v>0</v>
      </c>
      <c r="K1489" s="62">
        <v>105.54</v>
      </c>
      <c r="L1489" t="str">
        <f>VLOOKUP(VALUE(LEFT(C1489,5)),Xref!A:B,2,0)</f>
        <v>LCP</v>
      </c>
      <c r="M1489" t="str">
        <f t="shared" si="95"/>
        <v>EAL-LCP</v>
      </c>
    </row>
    <row r="1490" spans="1:13" ht="14.25" customHeight="true">
      <c r="A1490" s="33" t="str">
        <f t="shared" si="92"/>
        <v>EAL - Intercompany</v>
      </c>
      <c r="B1490" s="33" t="str">
        <f t="shared" si="93"/>
        <v>EAL</v>
      </c>
      <c r="C1490" s="33" t="str">
        <f t="shared" si="94"/>
        <v>11341-0000</v>
      </c>
      <c r="D1490" t="s">
        <v>19332</v>
      </c>
      <c r="E1490" t="s">
        <v>13639</v>
      </c>
      <c r="F1490" t="s">
        <v>14039</v>
      </c>
      <c r="G1490" t="s">
        <v>14672</v>
      </c>
      <c r="H1490" t="s">
        <v>13869</v>
      </c>
      <c r="I1490" t="s">
        <v>14690</v>
      </c>
      <c r="J1490" s="62">
        <v>0</v>
      </c>
      <c r="K1490" s="62">
        <v>0</v>
      </c>
      <c r="L1490" t="str">
        <f>VLOOKUP(VALUE(LEFT(C1490,5)),Xref!A:B,2,0)</f>
        <v>NOR</v>
      </c>
      <c r="M1490" t="str">
        <f t="shared" si="95"/>
        <v>EAL-NOR</v>
      </c>
    </row>
    <row r="1491" spans="1:13" ht="14.25" customHeight="true">
      <c r="A1491" s="33" t="str">
        <f t="shared" si="92"/>
        <v>EAL - Intercompany</v>
      </c>
      <c r="B1491" s="33" t="str">
        <f t="shared" si="93"/>
        <v>EAL</v>
      </c>
      <c r="C1491" s="33" t="str">
        <f t="shared" si="94"/>
        <v>11342-0000</v>
      </c>
      <c r="D1491" t="s">
        <v>5635</v>
      </c>
      <c r="E1491" t="s">
        <v>13355</v>
      </c>
      <c r="F1491" t="s">
        <v>14039</v>
      </c>
      <c r="G1491" t="s">
        <v>14672</v>
      </c>
      <c r="H1491" t="s">
        <v>13869</v>
      </c>
      <c r="I1491" t="s">
        <v>14690</v>
      </c>
      <c r="J1491" s="62">
        <v>0</v>
      </c>
      <c r="K1491" s="62">
        <v>-3447023.94</v>
      </c>
      <c r="L1491" t="str">
        <f>VLOOKUP(VALUE(LEFT(C1491,5)),Xref!A:B,2,0)</f>
        <v>EAS</v>
      </c>
      <c r="M1491" t="str">
        <f t="shared" si="95"/>
        <v>EAL-EAS</v>
      </c>
    </row>
    <row r="1492" spans="1:13" ht="14.25" customHeight="true">
      <c r="A1492" s="33" t="str">
        <f t="shared" si="92"/>
        <v>EAL - Intercompany</v>
      </c>
      <c r="B1492" s="33" t="str">
        <f t="shared" si="93"/>
        <v>EAL</v>
      </c>
      <c r="C1492" s="33" t="str">
        <f t="shared" si="94"/>
        <v>11343-0000</v>
      </c>
      <c r="D1492" t="s">
        <v>19333</v>
      </c>
      <c r="E1492" t="s">
        <v>14139</v>
      </c>
      <c r="F1492" t="s">
        <v>14039</v>
      </c>
      <c r="G1492" t="s">
        <v>14672</v>
      </c>
      <c r="H1492" t="s">
        <v>13869</v>
      </c>
      <c r="I1492" t="s">
        <v>14690</v>
      </c>
      <c r="J1492" s="62">
        <v>0</v>
      </c>
      <c r="K1492" s="62">
        <v>77.87</v>
      </c>
      <c r="L1492" t="str">
        <f>VLOOKUP(VALUE(LEFT(C1492,5)),Xref!A:B,2,0)</f>
        <v>GRA</v>
      </c>
      <c r="M1492" t="str">
        <f t="shared" si="95"/>
        <v>EAL-GRA</v>
      </c>
    </row>
    <row r="1493" spans="1:13" ht="14.25" customHeight="true">
      <c r="A1493" s="33" t="str">
        <f t="shared" si="92"/>
        <v>EAL - Intercompany</v>
      </c>
      <c r="B1493" s="33" t="str">
        <f t="shared" si="93"/>
        <v>EAL</v>
      </c>
      <c r="C1493" s="33" t="str">
        <f t="shared" si="94"/>
        <v>11344-0000</v>
      </c>
      <c r="D1493" t="s">
        <v>19334</v>
      </c>
      <c r="E1493" t="s">
        <v>14141</v>
      </c>
      <c r="F1493" t="s">
        <v>14039</v>
      </c>
      <c r="G1493" t="s">
        <v>14672</v>
      </c>
      <c r="H1493" t="s">
        <v>13869</v>
      </c>
      <c r="I1493" t="s">
        <v>14690</v>
      </c>
      <c r="J1493" s="62">
        <v>0</v>
      </c>
      <c r="K1493" s="62">
        <v>0</v>
      </c>
      <c r="L1493" t="str">
        <f>VLOOKUP(VALUE(LEFT(C1493,5)),Xref!A:B,2,0)</f>
        <v>SOU</v>
      </c>
      <c r="M1493" t="str">
        <f t="shared" si="95"/>
        <v>EAL-SOU</v>
      </c>
    </row>
    <row r="1494" spans="1:13" ht="14.25" customHeight="true">
      <c r="A1494" s="33" t="str">
        <f t="shared" si="92"/>
        <v>EAL - Intercompany</v>
      </c>
      <c r="B1494" s="33" t="str">
        <f t="shared" si="93"/>
        <v>EAL</v>
      </c>
      <c r="C1494" s="33" t="str">
        <f t="shared" si="94"/>
        <v>11345-0000</v>
      </c>
      <c r="D1494" t="s">
        <v>19335</v>
      </c>
      <c r="E1494" t="s">
        <v>14143</v>
      </c>
      <c r="F1494" t="s">
        <v>14039</v>
      </c>
      <c r="G1494" t="s">
        <v>14672</v>
      </c>
      <c r="H1494" t="s">
        <v>13869</v>
      </c>
      <c r="I1494" t="s">
        <v>14690</v>
      </c>
      <c r="J1494" s="62">
        <v>0</v>
      </c>
      <c r="K1494" s="62">
        <v>75.31</v>
      </c>
      <c r="L1494" t="str">
        <f>VLOOKUP(VALUE(LEFT(C1494,5)),Xref!A:B,2,0)</f>
        <v>API</v>
      </c>
      <c r="M1494" t="str">
        <f t="shared" si="95"/>
        <v>API-EAL</v>
      </c>
    </row>
    <row r="1495" spans="1:13" ht="14.25" customHeight="true">
      <c r="A1495" s="33" t="str">
        <f t="shared" si="92"/>
        <v>EAL - Intercompany</v>
      </c>
      <c r="B1495" s="33" t="str">
        <f t="shared" si="93"/>
        <v>EAL</v>
      </c>
      <c r="C1495" s="33" t="str">
        <f t="shared" si="94"/>
        <v>11346-0000</v>
      </c>
      <c r="D1495" t="s">
        <v>5636</v>
      </c>
      <c r="E1495" t="s">
        <v>14145</v>
      </c>
      <c r="F1495" t="s">
        <v>14039</v>
      </c>
      <c r="G1495" t="s">
        <v>14672</v>
      </c>
      <c r="H1495" t="s">
        <v>13869</v>
      </c>
      <c r="I1495" t="s">
        <v>14690</v>
      </c>
      <c r="J1495" s="62">
        <v>0</v>
      </c>
      <c r="K1495" s="62">
        <v>0</v>
      </c>
      <c r="L1495" t="str">
        <f>VLOOKUP(VALUE(LEFT(C1495,5)),Xref!A:B,2,0)</f>
        <v>DPH</v>
      </c>
      <c r="M1495" t="str">
        <f t="shared" si="95"/>
        <v>DPH-EAL</v>
      </c>
    </row>
    <row r="1496" spans="1:13" ht="14.25" customHeight="true">
      <c r="A1496" s="33" t="str">
        <f t="shared" si="92"/>
        <v>EAL - Intercompany</v>
      </c>
      <c r="B1496" s="33" t="str">
        <f t="shared" si="93"/>
        <v>EAL</v>
      </c>
      <c r="C1496" s="33" t="str">
        <f t="shared" si="94"/>
        <v>11347-0000</v>
      </c>
      <c r="D1496" t="s">
        <v>19336</v>
      </c>
      <c r="E1496" t="s">
        <v>14147</v>
      </c>
      <c r="F1496" t="s">
        <v>14039</v>
      </c>
      <c r="G1496" t="s">
        <v>14672</v>
      </c>
      <c r="H1496" t="s">
        <v>13869</v>
      </c>
      <c r="I1496" t="s">
        <v>14690</v>
      </c>
      <c r="J1496" s="62">
        <v>0</v>
      </c>
      <c r="K1496" s="62">
        <v>57.38</v>
      </c>
      <c r="L1496" t="str">
        <f>VLOOKUP(VALUE(LEFT(C1496,5)),Xref!A:B,2,0)</f>
        <v>ZPI</v>
      </c>
      <c r="M1496" t="str">
        <f t="shared" si="95"/>
        <v>EAL-ZPI</v>
      </c>
    </row>
    <row r="1497" spans="1:13" ht="14.25" customHeight="true">
      <c r="A1497" s="33" t="str">
        <f t="shared" si="92"/>
        <v>EAL - Intercompany</v>
      </c>
      <c r="B1497" s="33" t="str">
        <f t="shared" si="93"/>
        <v>EAL</v>
      </c>
      <c r="C1497" s="33" t="str">
        <f t="shared" si="94"/>
        <v>11348-0000</v>
      </c>
      <c r="D1497" t="s">
        <v>19337</v>
      </c>
      <c r="E1497" t="s">
        <v>14149</v>
      </c>
      <c r="F1497" t="s">
        <v>14039</v>
      </c>
      <c r="G1497" t="s">
        <v>14672</v>
      </c>
      <c r="H1497" t="s">
        <v>13869</v>
      </c>
      <c r="I1497" t="s">
        <v>14690</v>
      </c>
      <c r="J1497" s="62">
        <v>0</v>
      </c>
      <c r="K1497" s="62">
        <v>15.37</v>
      </c>
      <c r="L1497" t="str">
        <f>VLOOKUP(VALUE(LEFT(C1497,5)),Xref!A:B,2,0)</f>
        <v>EAM</v>
      </c>
      <c r="M1497" t="str">
        <f t="shared" si="95"/>
        <v>EAL-EAM</v>
      </c>
    </row>
    <row r="1498" spans="1:13" ht="14.25" customHeight="true">
      <c r="A1498" s="33" t="str">
        <f t="shared" si="92"/>
        <v>EAL - Intercompany</v>
      </c>
      <c r="B1498" s="33" t="str">
        <f t="shared" si="93"/>
        <v>EAL</v>
      </c>
      <c r="C1498" s="33" t="str">
        <f t="shared" si="94"/>
        <v>11349-0000</v>
      </c>
      <c r="D1498" t="s">
        <v>19338</v>
      </c>
      <c r="E1498" t="s">
        <v>14151</v>
      </c>
      <c r="F1498" t="s">
        <v>14039</v>
      </c>
      <c r="G1498" t="s">
        <v>14672</v>
      </c>
      <c r="H1498" t="s">
        <v>13869</v>
      </c>
      <c r="I1498" t="s">
        <v>14690</v>
      </c>
      <c r="J1498" s="62">
        <v>0</v>
      </c>
      <c r="K1498" s="62">
        <v>5.12</v>
      </c>
      <c r="L1498" t="str">
        <f>VLOOKUP(VALUE(LEFT(C1498,5)),Xref!A:B,2,0)</f>
        <v>SEA</v>
      </c>
      <c r="M1498" t="str">
        <f t="shared" si="95"/>
        <v>EAL-SEA</v>
      </c>
    </row>
    <row r="1499" spans="1:13" ht="14.25" customHeight="true">
      <c r="A1499" s="33" t="str">
        <f t="shared" si="92"/>
        <v>EAL - Intercompany</v>
      </c>
      <c r="B1499" s="33" t="str">
        <f t="shared" si="93"/>
        <v>EAL</v>
      </c>
      <c r="C1499" s="33" t="str">
        <f t="shared" si="94"/>
        <v>11350-0000</v>
      </c>
      <c r="D1499" t="s">
        <v>19339</v>
      </c>
      <c r="E1499" t="s">
        <v>14153</v>
      </c>
      <c r="F1499" t="s">
        <v>14039</v>
      </c>
      <c r="G1499" t="s">
        <v>14672</v>
      </c>
      <c r="H1499" t="s">
        <v>13869</v>
      </c>
      <c r="I1499" t="s">
        <v>14690</v>
      </c>
      <c r="J1499" s="62">
        <v>0</v>
      </c>
      <c r="K1499" s="62">
        <v>0</v>
      </c>
      <c r="L1499" t="str">
        <f>VLOOKUP(VALUE(LEFT(C1499,5)),Xref!A:B,2,0)</f>
        <v>EAL</v>
      </c>
      <c r="M1499" t="str">
        <f t="shared" si="95"/>
        <v>EAL-EAL</v>
      </c>
    </row>
    <row r="1500" spans="1:13" ht="14.25" customHeight="true">
      <c r="A1500" s="33" t="str">
        <f t="shared" si="92"/>
        <v>EAL - Intercompany</v>
      </c>
      <c r="B1500" s="33" t="str">
        <f t="shared" si="93"/>
        <v>EAL</v>
      </c>
      <c r="C1500" s="33" t="str">
        <f t="shared" si="94"/>
        <v>11351-0000</v>
      </c>
      <c r="D1500" t="s">
        <v>19340</v>
      </c>
      <c r="E1500" t="s">
        <v>14155</v>
      </c>
      <c r="F1500" t="s">
        <v>14039</v>
      </c>
      <c r="G1500" t="s">
        <v>14672</v>
      </c>
      <c r="H1500" t="s">
        <v>13869</v>
      </c>
      <c r="I1500" t="s">
        <v>14690</v>
      </c>
      <c r="J1500" s="62">
        <v>0</v>
      </c>
      <c r="K1500" s="62">
        <v>0</v>
      </c>
      <c r="L1500" t="str">
        <f>VLOOKUP(VALUE(LEFT(C1500,5)),Xref!A:B,2,0)</f>
        <v>WEP</v>
      </c>
      <c r="M1500" t="str">
        <f t="shared" si="95"/>
        <v>EAL-WEP</v>
      </c>
    </row>
    <row r="1501" spans="1:13" ht="14.25" customHeight="true">
      <c r="A1501" s="33" t="str">
        <f t="shared" si="92"/>
        <v>EAL - Intercompany</v>
      </c>
      <c r="B1501" s="33" t="str">
        <f t="shared" si="93"/>
        <v>EAL</v>
      </c>
      <c r="C1501" s="33" t="str">
        <f t="shared" si="94"/>
        <v>11352-0000</v>
      </c>
      <c r="D1501" t="s">
        <v>19341</v>
      </c>
      <c r="E1501" t="s">
        <v>13536</v>
      </c>
      <c r="F1501" t="s">
        <v>14039</v>
      </c>
      <c r="G1501" t="s">
        <v>14672</v>
      </c>
      <c r="H1501" t="s">
        <v>13869</v>
      </c>
      <c r="I1501" t="s">
        <v>14690</v>
      </c>
      <c r="J1501" s="62">
        <v>0</v>
      </c>
      <c r="K1501" s="62">
        <v>32.79</v>
      </c>
      <c r="L1501" t="str">
        <f>VLOOKUP(VALUE(LEFT(C1501,5)),Xref!A:B,2,0)</f>
        <v>KLP</v>
      </c>
      <c r="M1501" t="str">
        <f t="shared" si="95"/>
        <v>EAL-KLP</v>
      </c>
    </row>
    <row r="1502" spans="1:13" ht="14.25" customHeight="true">
      <c r="A1502" s="33" t="str">
        <f t="shared" si="92"/>
        <v>EAL - Intercompany</v>
      </c>
      <c r="B1502" s="33" t="str">
        <f t="shared" si="93"/>
        <v>EAL</v>
      </c>
      <c r="C1502" s="33" t="str">
        <f t="shared" si="94"/>
        <v>11353-0000</v>
      </c>
      <c r="D1502" t="s">
        <v>19342</v>
      </c>
      <c r="E1502" t="s">
        <v>13537</v>
      </c>
      <c r="F1502" t="s">
        <v>14039</v>
      </c>
      <c r="G1502" t="s">
        <v>14672</v>
      </c>
      <c r="H1502" t="s">
        <v>13869</v>
      </c>
      <c r="I1502" t="s">
        <v>14690</v>
      </c>
      <c r="J1502" s="62">
        <v>0</v>
      </c>
      <c r="K1502" s="62">
        <v>5.12</v>
      </c>
      <c r="L1502" t="str">
        <f>VLOOKUP(VALUE(LEFT(C1502,5)),Xref!A:B,2,0)</f>
        <v>AKC</v>
      </c>
      <c r="M1502" t="str">
        <f t="shared" si="95"/>
        <v>AKC-EAL</v>
      </c>
    </row>
    <row r="1503" spans="1:13" ht="14.25" customHeight="true">
      <c r="A1503" s="33" t="str">
        <f t="shared" si="92"/>
        <v>EAL - Intercompany</v>
      </c>
      <c r="B1503" s="33" t="str">
        <f t="shared" si="93"/>
        <v>EAL</v>
      </c>
      <c r="C1503" s="33" t="str">
        <f t="shared" si="94"/>
        <v>11354-0000</v>
      </c>
      <c r="D1503" t="s">
        <v>19343</v>
      </c>
      <c r="E1503" t="s">
        <v>13538</v>
      </c>
      <c r="F1503" t="s">
        <v>14039</v>
      </c>
      <c r="G1503" t="s">
        <v>14672</v>
      </c>
      <c r="H1503" t="s">
        <v>13869</v>
      </c>
      <c r="I1503" t="s">
        <v>14690</v>
      </c>
      <c r="J1503" s="62">
        <v>0</v>
      </c>
      <c r="K1503" s="62">
        <v>17.42</v>
      </c>
      <c r="L1503" t="str">
        <f>VLOOKUP(VALUE(LEFT(C1503,5)),Xref!A:B,2,0)</f>
        <v>AKA</v>
      </c>
      <c r="M1503" t="str">
        <f t="shared" si="95"/>
        <v>AKA-EAL</v>
      </c>
    </row>
    <row r="1504" spans="1:13" ht="14.25" customHeight="true">
      <c r="A1504" s="33" t="str">
        <f t="shared" si="92"/>
        <v>EAL - Intercompany</v>
      </c>
      <c r="B1504" s="33" t="str">
        <f t="shared" si="93"/>
        <v>EAL</v>
      </c>
      <c r="C1504" s="33" t="str">
        <f t="shared" si="94"/>
        <v>11355-0000</v>
      </c>
      <c r="D1504" t="s">
        <v>19344</v>
      </c>
      <c r="E1504" t="s">
        <v>13539</v>
      </c>
      <c r="F1504" t="s">
        <v>14039</v>
      </c>
      <c r="G1504" t="s">
        <v>14672</v>
      </c>
      <c r="H1504" t="s">
        <v>13869</v>
      </c>
      <c r="I1504" t="s">
        <v>14690</v>
      </c>
      <c r="J1504" s="62">
        <v>0</v>
      </c>
      <c r="K1504" s="62">
        <v>22.03</v>
      </c>
      <c r="L1504" t="str">
        <f>VLOOKUP(VALUE(LEFT(C1504,5)),Xref!A:B,2,0)</f>
        <v>SPA</v>
      </c>
      <c r="M1504" t="str">
        <f t="shared" si="95"/>
        <v>EAL-SPA</v>
      </c>
    </row>
    <row r="1505" spans="1:13" ht="14.25" customHeight="true">
      <c r="A1505" s="33" t="str">
        <f t="shared" si="92"/>
        <v>EAL - Intercompany</v>
      </c>
      <c r="B1505" s="33" t="str">
        <f t="shared" si="93"/>
        <v>EAL</v>
      </c>
      <c r="C1505" s="33" t="str">
        <f t="shared" si="94"/>
        <v>11356-0000</v>
      </c>
      <c r="D1505" t="s">
        <v>19345</v>
      </c>
      <c r="E1505" t="s">
        <v>13540</v>
      </c>
      <c r="F1505" t="s">
        <v>14039</v>
      </c>
      <c r="G1505" t="s">
        <v>14672</v>
      </c>
      <c r="H1505" t="s">
        <v>13869</v>
      </c>
      <c r="I1505" t="s">
        <v>14690</v>
      </c>
      <c r="J1505" s="62">
        <v>0</v>
      </c>
      <c r="K1505" s="62">
        <v>5.12</v>
      </c>
      <c r="L1505" t="str">
        <f>VLOOKUP(VALUE(LEFT(C1505,5)),Xref!A:B,2,0)</f>
        <v>DPM</v>
      </c>
      <c r="M1505" t="str">
        <f t="shared" si="95"/>
        <v>DPM-EAL</v>
      </c>
    </row>
    <row r="1506" spans="1:13" ht="14.25" customHeight="true">
      <c r="A1506" s="33" t="str">
        <f t="shared" si="92"/>
        <v>EAL - Intercompany</v>
      </c>
      <c r="B1506" s="33" t="str">
        <f t="shared" si="93"/>
        <v>EAL</v>
      </c>
      <c r="C1506" s="33" t="str">
        <f t="shared" si="94"/>
        <v>11357-0000</v>
      </c>
      <c r="D1506" t="s">
        <v>19346</v>
      </c>
      <c r="E1506" t="s">
        <v>13541</v>
      </c>
      <c r="F1506" t="s">
        <v>14039</v>
      </c>
      <c r="G1506" t="s">
        <v>14672</v>
      </c>
      <c r="H1506" t="s">
        <v>13869</v>
      </c>
      <c r="I1506" t="s">
        <v>14690</v>
      </c>
      <c r="J1506" s="62">
        <v>0</v>
      </c>
      <c r="K1506" s="62">
        <v>15.88</v>
      </c>
      <c r="L1506" t="str">
        <f>VLOOKUP(VALUE(LEFT(C1506,5)),Xref!A:B,2,0)</f>
        <v>HDM</v>
      </c>
      <c r="M1506" t="str">
        <f t="shared" si="95"/>
        <v>EAL-HDM</v>
      </c>
    </row>
    <row r="1507" spans="1:13" ht="14.25" customHeight="true">
      <c r="A1507" s="33" t="str">
        <f t="shared" si="92"/>
        <v>EAL - Intercompany</v>
      </c>
      <c r="B1507" s="33" t="str">
        <f t="shared" si="93"/>
        <v>EAL</v>
      </c>
      <c r="C1507" s="33" t="str">
        <f t="shared" si="94"/>
        <v>11358-0000</v>
      </c>
      <c r="D1507" t="s">
        <v>19347</v>
      </c>
      <c r="E1507" t="s">
        <v>13542</v>
      </c>
      <c r="F1507" t="s">
        <v>14039</v>
      </c>
      <c r="G1507" t="s">
        <v>14672</v>
      </c>
      <c r="H1507" t="s">
        <v>13869</v>
      </c>
      <c r="I1507" t="s">
        <v>14690</v>
      </c>
      <c r="J1507" s="62">
        <v>0</v>
      </c>
      <c r="K1507" s="62">
        <v>51.23</v>
      </c>
      <c r="L1507" t="str">
        <f>VLOOKUP(VALUE(LEFT(C1507,5)),Xref!A:B,2,0)</f>
        <v>GRA</v>
      </c>
      <c r="M1507" t="str">
        <f t="shared" si="95"/>
        <v>EAL-GRA</v>
      </c>
    </row>
    <row r="1508" spans="1:13" ht="14.25" customHeight="true">
      <c r="A1508" s="33" t="str">
        <f t="shared" si="92"/>
        <v>EAL - Intercompany</v>
      </c>
      <c r="B1508" s="33" t="str">
        <f t="shared" si="93"/>
        <v>EAL</v>
      </c>
      <c r="C1508" s="33" t="str">
        <f t="shared" si="94"/>
        <v>11359-0000</v>
      </c>
      <c r="D1508" t="s">
        <v>19348</v>
      </c>
      <c r="E1508" t="s">
        <v>13543</v>
      </c>
      <c r="F1508" t="s">
        <v>14039</v>
      </c>
      <c r="G1508" t="s">
        <v>14672</v>
      </c>
      <c r="H1508" t="s">
        <v>13869</v>
      </c>
      <c r="I1508" t="s">
        <v>14690</v>
      </c>
      <c r="J1508" s="62">
        <v>0</v>
      </c>
      <c r="K1508" s="62">
        <v>85.56</v>
      </c>
      <c r="L1508" t="str">
        <f>VLOOKUP(VALUE(LEFT(C1508,5)),Xref!A:B,2,0)</f>
        <v>TPI</v>
      </c>
      <c r="M1508" t="str">
        <f t="shared" si="95"/>
        <v>EAL-TPI</v>
      </c>
    </row>
    <row r="1509" spans="1:13" ht="14.25" customHeight="true">
      <c r="A1509" s="33" t="str">
        <f t="shared" si="92"/>
        <v>EAL - Intercompany</v>
      </c>
      <c r="B1509" s="33" t="str">
        <f t="shared" si="93"/>
        <v>EAL</v>
      </c>
      <c r="C1509" s="33" t="str">
        <f t="shared" si="94"/>
        <v>11361-0000</v>
      </c>
      <c r="D1509" t="s">
        <v>19349</v>
      </c>
      <c r="E1509" t="s">
        <v>14165</v>
      </c>
      <c r="F1509" t="s">
        <v>14039</v>
      </c>
      <c r="G1509" t="s">
        <v>14672</v>
      </c>
      <c r="H1509" t="s">
        <v>13869</v>
      </c>
      <c r="I1509" t="s">
        <v>14690</v>
      </c>
      <c r="J1509" s="62">
        <v>0</v>
      </c>
      <c r="K1509" s="62">
        <v>155.75</v>
      </c>
      <c r="L1509" t="str">
        <f>VLOOKUP(VALUE(LEFT(C1509,5)),Xref!A:B,2,0)</f>
        <v>GSM</v>
      </c>
      <c r="M1509" t="str">
        <f t="shared" si="95"/>
        <v>EAL-GSM</v>
      </c>
    </row>
    <row r="1510" spans="1:13" ht="14.25" customHeight="true">
      <c r="A1510" s="33" t="str">
        <f t="shared" si="92"/>
        <v>EAL - Intercompany</v>
      </c>
      <c r="B1510" s="33" t="str">
        <f t="shared" si="93"/>
        <v>EAL</v>
      </c>
      <c r="C1510" s="33" t="str">
        <f t="shared" si="94"/>
        <v>11363-0000</v>
      </c>
      <c r="D1510" t="s">
        <v>19350</v>
      </c>
      <c r="E1510" t="s">
        <v>13544</v>
      </c>
      <c r="F1510" t="s">
        <v>14039</v>
      </c>
      <c r="G1510" t="s">
        <v>14672</v>
      </c>
      <c r="H1510" t="s">
        <v>13869</v>
      </c>
      <c r="I1510" t="s">
        <v>14690</v>
      </c>
      <c r="J1510" s="62">
        <v>0</v>
      </c>
      <c r="K1510" s="62">
        <v>89.15</v>
      </c>
      <c r="L1510" t="str">
        <f>VLOOKUP(VALUE(LEFT(C1510,5)),Xref!A:B,2,0)</f>
        <v>SOF</v>
      </c>
      <c r="M1510" t="str">
        <f t="shared" si="95"/>
        <v>EAL-SOF</v>
      </c>
    </row>
    <row r="1511" spans="1:13" ht="14.25" customHeight="true">
      <c r="A1511" s="33" t="str">
        <f t="shared" si="92"/>
        <v>EAL - Intercompany</v>
      </c>
      <c r="B1511" s="33" t="str">
        <f t="shared" si="93"/>
        <v>EAL</v>
      </c>
      <c r="C1511" s="33" t="str">
        <f t="shared" si="94"/>
        <v>11364-0000</v>
      </c>
      <c r="D1511" t="s">
        <v>19351</v>
      </c>
      <c r="E1511" t="s">
        <v>14168</v>
      </c>
      <c r="F1511" t="s">
        <v>14039</v>
      </c>
      <c r="G1511" t="s">
        <v>14672</v>
      </c>
      <c r="H1511" t="s">
        <v>13869</v>
      </c>
      <c r="I1511" t="s">
        <v>14690</v>
      </c>
      <c r="J1511" s="62">
        <v>0</v>
      </c>
      <c r="K1511" s="62">
        <v>0</v>
      </c>
      <c r="L1511" t="e">
        <f>VLOOKUP(VALUE(LEFT(C1511,5)),Xref!A:B,2,0)</f>
        <v>#N/A</v>
      </c>
      <c r="M1511" t="e">
        <f t="shared" si="95"/>
        <v>#N/A</v>
      </c>
    </row>
    <row r="1512" spans="1:13" ht="14.25" customHeight="true">
      <c r="A1512" s="33" t="str">
        <f t="shared" si="92"/>
        <v>EAL - Intercompany</v>
      </c>
      <c r="B1512" s="33" t="str">
        <f t="shared" si="93"/>
        <v>EAL</v>
      </c>
      <c r="C1512" s="33" t="str">
        <f t="shared" si="94"/>
        <v>11365-0000</v>
      </c>
      <c r="D1512" t="s">
        <v>19352</v>
      </c>
      <c r="E1512" t="s">
        <v>14170</v>
      </c>
      <c r="F1512" t="s">
        <v>14039</v>
      </c>
      <c r="G1512" t="s">
        <v>14672</v>
      </c>
      <c r="H1512" t="s">
        <v>13869</v>
      </c>
      <c r="I1512" t="s">
        <v>14690</v>
      </c>
      <c r="J1512" s="62">
        <v>0</v>
      </c>
      <c r="K1512" s="62">
        <v>0.51</v>
      </c>
      <c r="L1512" t="e">
        <f>VLOOKUP(VALUE(LEFT(C1512,5)),Xref!A:B,2,0)</f>
        <v>#N/A</v>
      </c>
      <c r="M1512" t="e">
        <f t="shared" si="95"/>
        <v>#N/A</v>
      </c>
    </row>
    <row r="1513" spans="1:13" ht="14.25" customHeight="true">
      <c r="A1513" s="33" t="str">
        <f t="shared" si="92"/>
        <v>EAL - Intercompany</v>
      </c>
      <c r="B1513" s="33" t="str">
        <f t="shared" si="93"/>
        <v>EAL</v>
      </c>
      <c r="C1513" s="33" t="str">
        <f t="shared" si="94"/>
        <v>11366-0000</v>
      </c>
      <c r="D1513" t="s">
        <v>19353</v>
      </c>
      <c r="E1513" t="s">
        <v>14172</v>
      </c>
      <c r="G1513" t="s">
        <v>14672</v>
      </c>
      <c r="H1513" t="s">
        <v>13869</v>
      </c>
      <c r="I1513" t="s">
        <v>14690</v>
      </c>
      <c r="J1513" s="62">
        <v>0</v>
      </c>
      <c r="K1513" s="62">
        <v>0</v>
      </c>
      <c r="L1513" t="e">
        <f>VLOOKUP(VALUE(LEFT(C1513,5)),Xref!A:B,2,0)</f>
        <v>#N/A</v>
      </c>
      <c r="M1513" t="e">
        <f t="shared" si="95"/>
        <v>#N/A</v>
      </c>
    </row>
    <row r="1514" spans="1:13" ht="14.25" customHeight="true">
      <c r="A1514" s="33" t="str">
        <f t="shared" si="92"/>
        <v>EAL - Intercompany</v>
      </c>
      <c r="B1514" s="33" t="str">
        <f t="shared" si="93"/>
        <v>EAL</v>
      </c>
      <c r="C1514" s="33" t="str">
        <f t="shared" si="94"/>
        <v>11402-0000</v>
      </c>
      <c r="D1514" t="s">
        <v>19354</v>
      </c>
      <c r="E1514" t="s">
        <v>14174</v>
      </c>
      <c r="G1514" t="s">
        <v>14672</v>
      </c>
      <c r="H1514" t="s">
        <v>13869</v>
      </c>
      <c r="I1514" t="s">
        <v>14690</v>
      </c>
      <c r="J1514" s="62">
        <v>0</v>
      </c>
      <c r="K1514" s="62">
        <v>0</v>
      </c>
      <c r="L1514" t="str">
        <f>VLOOKUP(VALUE(LEFT(C1514,5)),Xref!A:B,2,0)</f>
        <v>DPI</v>
      </c>
      <c r="M1514" t="str">
        <f t="shared" si="95"/>
        <v>DPI-EAL</v>
      </c>
    </row>
    <row r="1515" spans="1:13" ht="14.25" customHeight="true">
      <c r="A1515" s="33" t="str">
        <f t="shared" si="92"/>
        <v>EAL - Intercompany</v>
      </c>
      <c r="B1515" s="33" t="str">
        <f t="shared" si="93"/>
        <v>EAL</v>
      </c>
      <c r="C1515" s="33" t="str">
        <f t="shared" si="94"/>
        <v>11403-0000</v>
      </c>
      <c r="D1515" t="s">
        <v>19355</v>
      </c>
      <c r="E1515" t="s">
        <v>14176</v>
      </c>
      <c r="G1515" t="s">
        <v>14672</v>
      </c>
      <c r="H1515" t="s">
        <v>13869</v>
      </c>
      <c r="I1515" t="s">
        <v>14690</v>
      </c>
      <c r="J1515" s="62">
        <v>0</v>
      </c>
      <c r="K1515" s="62">
        <v>0</v>
      </c>
      <c r="L1515" t="str">
        <f>VLOOKUP(VALUE(LEFT(C1515,5)),Xref!A:B,2,0)</f>
        <v>SEA</v>
      </c>
      <c r="M1515" t="str">
        <f t="shared" si="95"/>
        <v>EAL-SEA</v>
      </c>
    </row>
    <row r="1516" spans="1:13" ht="14.25" customHeight="true">
      <c r="A1516" s="33" t="str">
        <f t="shared" si="92"/>
        <v>EAL - Intercompany</v>
      </c>
      <c r="B1516" s="33" t="str">
        <f t="shared" si="93"/>
        <v>EAL</v>
      </c>
      <c r="C1516" s="33" t="str">
        <f t="shared" si="94"/>
        <v>12400-0000</v>
      </c>
      <c r="D1516" t="s">
        <v>19358</v>
      </c>
      <c r="E1516" t="s">
        <v>14185</v>
      </c>
      <c r="F1516" t="s">
        <v>14039</v>
      </c>
      <c r="G1516" t="s">
        <v>14672</v>
      </c>
      <c r="H1516" t="s">
        <v>13869</v>
      </c>
      <c r="I1516" t="s">
        <v>14690</v>
      </c>
      <c r="J1516" s="62">
        <v>0</v>
      </c>
      <c r="K1516" s="62">
        <v>0</v>
      </c>
      <c r="L1516" t="str">
        <f>VLOOKUP(VALUE(LEFT(C1516,5)),Xref!A:B,2,0)</f>
        <v>aka</v>
      </c>
      <c r="M1516" t="str">
        <f t="shared" si="95"/>
        <v>aka-EAL</v>
      </c>
    </row>
    <row r="1517" spans="1:13" ht="14.25" customHeight="true">
      <c r="A1517" s="33" t="str">
        <f t="shared" si="92"/>
        <v>EAL - Intercompany</v>
      </c>
      <c r="B1517" s="33" t="str">
        <f t="shared" si="93"/>
        <v>EAL</v>
      </c>
      <c r="C1517" s="33" t="str">
        <f t="shared" si="94"/>
        <v>12401-0000</v>
      </c>
      <c r="D1517" t="s">
        <v>19359</v>
      </c>
      <c r="E1517" t="s">
        <v>14187</v>
      </c>
      <c r="F1517" t="s">
        <v>14039</v>
      </c>
      <c r="G1517" t="s">
        <v>14672</v>
      </c>
      <c r="H1517" t="s">
        <v>13869</v>
      </c>
      <c r="I1517" t="s">
        <v>14690</v>
      </c>
      <c r="J1517" s="62">
        <v>0</v>
      </c>
      <c r="K1517" s="62">
        <v>0</v>
      </c>
      <c r="L1517" t="str">
        <f>VLOOKUP(VALUE(LEFT(C1517,5)),Xref!A:B,2,0)</f>
        <v>aka</v>
      </c>
      <c r="M1517" t="str">
        <f t="shared" si="95"/>
        <v>aka-EAL</v>
      </c>
    </row>
    <row r="1518" spans="1:13" ht="14.25" customHeight="true">
      <c r="A1518" s="33" t="str">
        <f t="shared" si="92"/>
        <v>EAL - Intercompany</v>
      </c>
      <c r="B1518" s="33" t="str">
        <f t="shared" si="93"/>
        <v>EAL</v>
      </c>
      <c r="C1518" s="33" t="str">
        <f t="shared" si="94"/>
        <v>12402-0000</v>
      </c>
      <c r="D1518" t="s">
        <v>19360</v>
      </c>
      <c r="E1518" t="s">
        <v>14189</v>
      </c>
      <c r="F1518" t="s">
        <v>14039</v>
      </c>
      <c r="G1518" t="s">
        <v>14672</v>
      </c>
      <c r="H1518" t="s">
        <v>13869</v>
      </c>
      <c r="I1518" t="s">
        <v>14690</v>
      </c>
      <c r="J1518" s="62">
        <v>0</v>
      </c>
      <c r="K1518" s="62">
        <v>0</v>
      </c>
      <c r="L1518" t="str">
        <f>VLOOKUP(VALUE(LEFT(C1518,5)),Xref!A:B,2,0)</f>
        <v>aka</v>
      </c>
      <c r="M1518" t="str">
        <f t="shared" si="95"/>
        <v>aka-EAL</v>
      </c>
    </row>
    <row r="1519" spans="1:13" ht="14.25" customHeight="true">
      <c r="A1519" s="33" t="str">
        <f t="shared" si="92"/>
        <v>EAL - Intercompany</v>
      </c>
      <c r="B1519" s="33" t="str">
        <f t="shared" si="93"/>
        <v>EAL</v>
      </c>
      <c r="C1519" s="33" t="str">
        <f t="shared" si="94"/>
        <v>12403-0000</v>
      </c>
      <c r="D1519" t="s">
        <v>19361</v>
      </c>
      <c r="E1519" t="s">
        <v>5226</v>
      </c>
      <c r="F1519" t="s">
        <v>14039</v>
      </c>
      <c r="G1519" t="s">
        <v>14672</v>
      </c>
      <c r="H1519" t="s">
        <v>13869</v>
      </c>
      <c r="I1519" t="s">
        <v>14690</v>
      </c>
      <c r="J1519" s="62">
        <v>0</v>
      </c>
      <c r="K1519" s="62">
        <v>0</v>
      </c>
      <c r="L1519" t="str">
        <f>VLOOKUP(VALUE(LEFT(C1519,5)),Xref!A:B,2,0)</f>
        <v>aka</v>
      </c>
      <c r="M1519" t="str">
        <f t="shared" si="95"/>
        <v>aka-EAL</v>
      </c>
    </row>
    <row r="1520" spans="1:13" ht="14.25" customHeight="true">
      <c r="A1520" s="33" t="str">
        <f t="shared" si="92"/>
        <v>EAL - Intercompany</v>
      </c>
      <c r="B1520" s="33" t="str">
        <f t="shared" si="93"/>
        <v>EAL</v>
      </c>
      <c r="C1520" s="33" t="str">
        <f t="shared" si="94"/>
        <v>12501-0000</v>
      </c>
      <c r="D1520" t="s">
        <v>19362</v>
      </c>
      <c r="E1520" t="s">
        <v>14192</v>
      </c>
      <c r="F1520" t="s">
        <v>14039</v>
      </c>
      <c r="G1520" t="s">
        <v>14672</v>
      </c>
      <c r="H1520" t="s">
        <v>13869</v>
      </c>
      <c r="I1520" t="s">
        <v>14690</v>
      </c>
      <c r="J1520" s="62">
        <v>0</v>
      </c>
      <c r="K1520" s="62">
        <v>0</v>
      </c>
      <c r="L1520" t="str">
        <f>VLOOKUP(VALUE(LEFT(C1520,5)),Xref!A:B,2,0)</f>
        <v>aka</v>
      </c>
      <c r="M1520" t="str">
        <f t="shared" si="95"/>
        <v>aka-EAL</v>
      </c>
    </row>
    <row r="1521" spans="1:13" ht="14.25" customHeight="true">
      <c r="A1521" s="33" t="str">
        <f t="shared" si="92"/>
        <v>EAL - InterCo Notes</v>
      </c>
      <c r="B1521" s="33" t="str">
        <f t="shared" si="93"/>
        <v>EAL</v>
      </c>
      <c r="C1521" s="33" t="str">
        <f t="shared" si="94"/>
        <v>25600-0000</v>
      </c>
      <c r="D1521" t="s">
        <v>19413</v>
      </c>
      <c r="E1521" t="s">
        <v>314</v>
      </c>
      <c r="F1521" t="s">
        <v>14039</v>
      </c>
      <c r="G1521" t="s">
        <v>14672</v>
      </c>
      <c r="H1521" t="s">
        <v>13889</v>
      </c>
      <c r="I1521" t="s">
        <v>14690</v>
      </c>
      <c r="J1521" s="62">
        <v>0</v>
      </c>
      <c r="K1521" s="62">
        <v>0</v>
      </c>
      <c r="L1521" t="str">
        <f>VLOOKUP(VALUE(LEFT(C1521,5)),Xref!A:B,2,0)</f>
        <v>D7</v>
      </c>
      <c r="M1521" t="str">
        <f t="shared" si="95"/>
        <v>D7-EAL</v>
      </c>
    </row>
    <row r="1522" spans="1:13" ht="14.25" customHeight="true">
      <c r="A1522" s="33" t="str">
        <f t="shared" si="92"/>
        <v>EAL - InterCo Notes</v>
      </c>
      <c r="B1522" s="33" t="str">
        <f t="shared" si="93"/>
        <v>EAL</v>
      </c>
      <c r="C1522" s="33" t="str">
        <f t="shared" si="94"/>
        <v>25602-0000</v>
      </c>
      <c r="D1522" t="s">
        <v>19415</v>
      </c>
      <c r="E1522" t="s">
        <v>13426</v>
      </c>
      <c r="F1522" t="s">
        <v>14039</v>
      </c>
      <c r="G1522" t="s">
        <v>14672</v>
      </c>
      <c r="H1522" t="s">
        <v>13889</v>
      </c>
      <c r="I1522" t="s">
        <v>14690</v>
      </c>
      <c r="J1522" s="62">
        <v>0</v>
      </c>
      <c r="K1522" s="62">
        <v>0</v>
      </c>
      <c r="L1522" t="str">
        <f>VLOOKUP(VALUE(LEFT(C1522,5)),Xref!A:B,2,0)</f>
        <v>DFLP</v>
      </c>
      <c r="M1522" t="str">
        <f t="shared" si="95"/>
        <v>DFLP-EAL</v>
      </c>
    </row>
    <row r="1523" spans="1:13" ht="14.25" customHeight="true">
      <c r="A1523" s="33" t="str">
        <f t="shared" si="92"/>
        <v>EAL - InterCo Notes</v>
      </c>
      <c r="B1523" s="33" t="str">
        <f t="shared" si="93"/>
        <v>EAL</v>
      </c>
      <c r="C1523" s="33" t="str">
        <f t="shared" si="94"/>
        <v>25603-0000</v>
      </c>
      <c r="D1523" t="s">
        <v>19416</v>
      </c>
      <c r="E1523" t="s">
        <v>14311</v>
      </c>
      <c r="F1523" t="s">
        <v>14039</v>
      </c>
      <c r="G1523" t="s">
        <v>14832</v>
      </c>
      <c r="H1523" t="s">
        <v>13889</v>
      </c>
      <c r="I1523" t="s">
        <v>14690</v>
      </c>
      <c r="J1523" s="62">
        <v>0</v>
      </c>
      <c r="K1523" s="62">
        <v>0</v>
      </c>
      <c r="L1523" t="str">
        <f>VLOOKUP(VALUE(LEFT(C1523,5)),Xref!A:B,2,0)</f>
        <v>aka</v>
      </c>
      <c r="M1523" t="str">
        <f t="shared" si="95"/>
        <v>aka-EAL</v>
      </c>
    </row>
    <row r="1524" spans="1:13" ht="14.25" customHeight="true">
      <c r="A1524" s="33" t="str">
        <f t="shared" si="92"/>
        <v>EAL - Intercompany</v>
      </c>
      <c r="B1524" s="33" t="str">
        <f t="shared" si="93"/>
        <v>EAL</v>
      </c>
      <c r="C1524" s="33" t="str">
        <f t="shared" si="94"/>
        <v>25604-0000</v>
      </c>
      <c r="D1524" t="s">
        <v>19417</v>
      </c>
      <c r="E1524" t="s">
        <v>13490</v>
      </c>
      <c r="F1524" t="s">
        <v>14039</v>
      </c>
      <c r="G1524" t="s">
        <v>14672</v>
      </c>
      <c r="H1524" t="s">
        <v>13869</v>
      </c>
      <c r="I1524" t="s">
        <v>14690</v>
      </c>
      <c r="J1524" s="62">
        <v>0</v>
      </c>
      <c r="K1524" s="62">
        <v>0</v>
      </c>
      <c r="L1524">
        <f>VLOOKUP(VALUE(LEFT(C1524,5)),Xref!A:B,2,0)</f>
        <v>0</v>
      </c>
      <c r="M1524" t="str">
        <f t="shared" si="95"/>
        <v>0-EAL</v>
      </c>
    </row>
    <row r="1525" spans="1:13" ht="14.25" customHeight="true">
      <c r="A1525" s="33" t="str">
        <f t="shared" si="92"/>
        <v>EAM - Intercompany</v>
      </c>
      <c r="B1525" s="33" t="str">
        <f t="shared" si="93"/>
        <v>EAM</v>
      </c>
      <c r="C1525" s="33" t="str">
        <f t="shared" si="94"/>
        <v>11200-0000</v>
      </c>
      <c r="D1525" t="s">
        <v>19589</v>
      </c>
      <c r="E1525" t="s">
        <v>14069</v>
      </c>
      <c r="F1525" t="s">
        <v>14039</v>
      </c>
      <c r="G1525" t="s">
        <v>14672</v>
      </c>
      <c r="H1525" t="s">
        <v>13869</v>
      </c>
      <c r="I1525" t="s">
        <v>14690</v>
      </c>
      <c r="J1525" s="62">
        <v>0</v>
      </c>
      <c r="K1525" s="62">
        <v>0</v>
      </c>
      <c r="L1525" t="str">
        <f>VLOOKUP(VALUE(LEFT(C1525,5)),Xref!A:B,2,0)</f>
        <v>SCL</v>
      </c>
      <c r="M1525" t="str">
        <f t="shared" si="95"/>
        <v>EAM-SCL</v>
      </c>
    </row>
    <row r="1526" spans="1:13" ht="14.25" customHeight="true">
      <c r="A1526" s="33" t="str">
        <f t="shared" si="92"/>
        <v>EAM - Intercompany</v>
      </c>
      <c r="B1526" s="33" t="str">
        <f t="shared" si="93"/>
        <v>EAM</v>
      </c>
      <c r="C1526" s="33" t="str">
        <f t="shared" si="94"/>
        <v>11201-0000</v>
      </c>
      <c r="D1526" t="s">
        <v>19590</v>
      </c>
      <c r="E1526" t="s">
        <v>14071</v>
      </c>
      <c r="F1526" t="s">
        <v>14039</v>
      </c>
      <c r="G1526" t="s">
        <v>14672</v>
      </c>
      <c r="H1526" t="s">
        <v>13869</v>
      </c>
      <c r="I1526" t="s">
        <v>14690</v>
      </c>
      <c r="J1526" s="62">
        <v>0</v>
      </c>
      <c r="K1526" s="62">
        <v>0</v>
      </c>
      <c r="L1526" t="str">
        <f>VLOOKUP(VALUE(LEFT(C1526,5)),Xref!A:B,2,0)</f>
        <v>SG2</v>
      </c>
      <c r="M1526" t="str">
        <f t="shared" si="95"/>
        <v>EAM-SG2</v>
      </c>
    </row>
    <row r="1527" spans="1:13" ht="14.25" customHeight="true">
      <c r="A1527" s="33" t="str">
        <f t="shared" si="92"/>
        <v>EAM - Intercompany</v>
      </c>
      <c r="B1527" s="33" t="str">
        <f t="shared" si="93"/>
        <v>EAM</v>
      </c>
      <c r="C1527" s="33" t="str">
        <f t="shared" si="94"/>
        <v>11202-0000</v>
      </c>
      <c r="D1527" t="s">
        <v>19591</v>
      </c>
      <c r="E1527" t="s">
        <v>14073</v>
      </c>
      <c r="F1527" t="s">
        <v>14039</v>
      </c>
      <c r="G1527" t="s">
        <v>14672</v>
      </c>
      <c r="H1527" t="s">
        <v>13869</v>
      </c>
      <c r="I1527" t="s">
        <v>14690</v>
      </c>
      <c r="J1527" s="62">
        <v>0</v>
      </c>
      <c r="K1527" s="62">
        <v>0</v>
      </c>
      <c r="L1527" t="str">
        <f>VLOOKUP(VALUE(LEFT(C1527,5)),Xref!A:B,2,0)</f>
        <v>FFC</v>
      </c>
      <c r="M1527" t="str">
        <f t="shared" si="95"/>
        <v>EAM-FFC</v>
      </c>
    </row>
    <row r="1528" spans="1:13" ht="14.25" customHeight="true">
      <c r="A1528" s="33" t="str">
        <f t="shared" si="92"/>
        <v>EAM - Intercompany</v>
      </c>
      <c r="B1528" s="33" t="str">
        <f t="shared" si="93"/>
        <v>EAM</v>
      </c>
      <c r="C1528" s="33" t="str">
        <f t="shared" si="94"/>
        <v>11203-0000</v>
      </c>
      <c r="D1528" t="s">
        <v>19592</v>
      </c>
      <c r="E1528" t="s">
        <v>14075</v>
      </c>
      <c r="F1528" t="s">
        <v>14039</v>
      </c>
      <c r="G1528" t="s">
        <v>14672</v>
      </c>
      <c r="H1528" t="s">
        <v>13869</v>
      </c>
      <c r="I1528" t="s">
        <v>14690</v>
      </c>
      <c r="J1528" s="62">
        <v>0</v>
      </c>
      <c r="K1528" s="62">
        <v>0</v>
      </c>
      <c r="L1528" t="str">
        <f>VLOOKUP(VALUE(LEFT(C1528,5)),Xref!A:B,2,0)</f>
        <v>HN2</v>
      </c>
      <c r="M1528" t="str">
        <f t="shared" si="95"/>
        <v>EAM-HN2</v>
      </c>
    </row>
    <row r="1529" spans="1:13" ht="14.25" customHeight="true">
      <c r="A1529" s="33" t="str">
        <f t="shared" si="92"/>
        <v>EAM - Intercompany</v>
      </c>
      <c r="B1529" s="33" t="str">
        <f t="shared" si="93"/>
        <v>EAM</v>
      </c>
      <c r="C1529" s="33" t="str">
        <f t="shared" si="94"/>
        <v>11204-0000</v>
      </c>
      <c r="D1529" t="s">
        <v>19593</v>
      </c>
      <c r="E1529" t="s">
        <v>14077</v>
      </c>
      <c r="F1529" t="s">
        <v>14039</v>
      </c>
      <c r="G1529" t="s">
        <v>14672</v>
      </c>
      <c r="H1529" t="s">
        <v>13869</v>
      </c>
      <c r="I1529" t="s">
        <v>14690</v>
      </c>
      <c r="J1529" s="62">
        <v>0</v>
      </c>
      <c r="K1529" s="62">
        <v>0</v>
      </c>
      <c r="L1529" t="str">
        <f>VLOOKUP(VALUE(LEFT(C1529,5)),Xref!A:B,2,0)</f>
        <v>DF2</v>
      </c>
      <c r="M1529" t="str">
        <f t="shared" si="95"/>
        <v>DF2-EAM</v>
      </c>
    </row>
    <row r="1530" spans="1:13" ht="14.25" customHeight="true">
      <c r="A1530" s="33" t="str">
        <f t="shared" si="92"/>
        <v>EAM - Intercompany</v>
      </c>
      <c r="B1530" s="33" t="str">
        <f t="shared" si="93"/>
        <v>EAM</v>
      </c>
      <c r="C1530" s="33" t="str">
        <f t="shared" si="94"/>
        <v>11208-0000</v>
      </c>
      <c r="D1530" t="s">
        <v>19594</v>
      </c>
      <c r="E1530" t="s">
        <v>14079</v>
      </c>
      <c r="F1530" t="s">
        <v>14039</v>
      </c>
      <c r="G1530" t="s">
        <v>14672</v>
      </c>
      <c r="H1530" t="s">
        <v>13869</v>
      </c>
      <c r="I1530" t="s">
        <v>14690</v>
      </c>
      <c r="J1530" s="62">
        <v>0</v>
      </c>
      <c r="K1530" s="62">
        <v>0</v>
      </c>
      <c r="L1530" t="str">
        <f>VLOOKUP(VALUE(LEFT(C1530,5)),Xref!A:B,2,0)</f>
        <v>SRE</v>
      </c>
      <c r="M1530" t="str">
        <f t="shared" si="95"/>
        <v>EAM-SRE</v>
      </c>
    </row>
    <row r="1531" spans="1:13" ht="14.25" customHeight="true">
      <c r="A1531" s="33" t="str">
        <f t="shared" si="92"/>
        <v>EAM - Intercompany</v>
      </c>
      <c r="B1531" s="33" t="str">
        <f t="shared" si="93"/>
        <v>EAM</v>
      </c>
      <c r="C1531" s="33" t="str">
        <f t="shared" si="94"/>
        <v>11210-0000</v>
      </c>
      <c r="D1531" t="s">
        <v>19595</v>
      </c>
      <c r="E1531" t="s">
        <v>14081</v>
      </c>
      <c r="F1531" t="s">
        <v>14039</v>
      </c>
      <c r="G1531" t="s">
        <v>14672</v>
      </c>
      <c r="H1531" t="s">
        <v>13869</v>
      </c>
      <c r="I1531" t="s">
        <v>14690</v>
      </c>
      <c r="J1531" s="62">
        <v>0</v>
      </c>
      <c r="K1531" s="62">
        <v>0</v>
      </c>
      <c r="L1531" t="str">
        <f>VLOOKUP(VALUE(LEFT(C1531,5)),Xref!A:B,2,0)</f>
        <v>REM</v>
      </c>
      <c r="M1531" t="str">
        <f t="shared" si="95"/>
        <v>EAM-REM</v>
      </c>
    </row>
    <row r="1532" spans="1:13" ht="14.25" customHeight="true">
      <c r="A1532" s="33" t="str">
        <f t="shared" si="92"/>
        <v>EAM - Intercompany</v>
      </c>
      <c r="B1532" s="33" t="str">
        <f t="shared" si="93"/>
        <v>EAM</v>
      </c>
      <c r="C1532" s="33" t="str">
        <f t="shared" si="94"/>
        <v>11212-0000</v>
      </c>
      <c r="D1532" t="s">
        <v>19596</v>
      </c>
      <c r="E1532" t="s">
        <v>14083</v>
      </c>
      <c r="F1532" t="s">
        <v>14039</v>
      </c>
      <c r="G1532" t="s">
        <v>14672</v>
      </c>
      <c r="H1532" t="s">
        <v>13869</v>
      </c>
      <c r="I1532" t="s">
        <v>14690</v>
      </c>
      <c r="J1532" s="62">
        <v>0</v>
      </c>
      <c r="K1532" s="62">
        <v>0</v>
      </c>
      <c r="L1532" t="str">
        <f>VLOOKUP(VALUE(LEFT(C1532,5)),Xref!A:B,2,0)</f>
        <v>FRM</v>
      </c>
      <c r="M1532" t="str">
        <f t="shared" si="95"/>
        <v>EAM-FRM</v>
      </c>
    </row>
    <row r="1533" spans="1:13" ht="14.25" customHeight="true">
      <c r="A1533" s="33" t="str">
        <f t="shared" si="92"/>
        <v>EAM - Intercompany</v>
      </c>
      <c r="B1533" s="33" t="str">
        <f t="shared" si="93"/>
        <v>EAM</v>
      </c>
      <c r="C1533" s="33" t="str">
        <f t="shared" si="94"/>
        <v>11214-0000</v>
      </c>
      <c r="D1533" t="s">
        <v>19597</v>
      </c>
      <c r="E1533" t="s">
        <v>14085</v>
      </c>
      <c r="F1533" t="s">
        <v>14039</v>
      </c>
      <c r="G1533" t="s">
        <v>14672</v>
      </c>
      <c r="H1533" t="s">
        <v>13869</v>
      </c>
      <c r="I1533" t="s">
        <v>14690</v>
      </c>
      <c r="J1533" s="62">
        <v>0</v>
      </c>
      <c r="K1533" s="62">
        <v>0</v>
      </c>
      <c r="L1533" t="str">
        <f>VLOOKUP(VALUE(LEFT(C1533,5)),Xref!A:B,2,0)</f>
        <v>D7R</v>
      </c>
      <c r="M1533" t="str">
        <f t="shared" si="95"/>
        <v>D7R-EAM</v>
      </c>
    </row>
    <row r="1534" spans="1:13" ht="14.25" customHeight="true">
      <c r="A1534" s="33" t="str">
        <f t="shared" si="92"/>
        <v>EAM - Intercompany</v>
      </c>
      <c r="B1534" s="33" t="str">
        <f t="shared" si="93"/>
        <v>EAM</v>
      </c>
      <c r="C1534" s="33" t="str">
        <f t="shared" si="94"/>
        <v>11215-0000</v>
      </c>
      <c r="D1534" t="s">
        <v>19598</v>
      </c>
      <c r="E1534" t="s">
        <v>14087</v>
      </c>
      <c r="F1534" t="s">
        <v>14039</v>
      </c>
      <c r="G1534" t="s">
        <v>14672</v>
      </c>
      <c r="H1534" t="s">
        <v>13869</v>
      </c>
      <c r="I1534" t="s">
        <v>14690</v>
      </c>
      <c r="J1534" s="62">
        <v>0</v>
      </c>
      <c r="K1534" s="62">
        <v>0</v>
      </c>
      <c r="L1534" t="str">
        <f>VLOOKUP(VALUE(LEFT(C1534,5)),Xref!A:B,2,0)</f>
        <v>CDP</v>
      </c>
      <c r="M1534" t="str">
        <f t="shared" si="95"/>
        <v>CDP-EAM</v>
      </c>
    </row>
    <row r="1535" spans="1:13" ht="14.25" customHeight="true">
      <c r="A1535" s="33" t="str">
        <f t="shared" si="92"/>
        <v>EAM - Intercompany</v>
      </c>
      <c r="B1535" s="33" t="str">
        <f t="shared" si="93"/>
        <v>EAM</v>
      </c>
      <c r="C1535" s="33" t="str">
        <f t="shared" si="94"/>
        <v>11216-0000</v>
      </c>
      <c r="D1535" t="s">
        <v>5708</v>
      </c>
      <c r="E1535" t="s">
        <v>13224</v>
      </c>
      <c r="F1535" t="s">
        <v>14039</v>
      </c>
      <c r="G1535" t="s">
        <v>14672</v>
      </c>
      <c r="H1535" t="s">
        <v>13869</v>
      </c>
      <c r="I1535" t="s">
        <v>14690</v>
      </c>
      <c r="J1535" s="62">
        <v>-97.19</v>
      </c>
      <c r="K1535" s="62">
        <v>-3272.74</v>
      </c>
      <c r="L1535" t="str">
        <f>VLOOKUP(VALUE(LEFT(C1535,5)),Xref!A:B,2,0)</f>
        <v>SIL</v>
      </c>
      <c r="M1535" t="str">
        <f t="shared" si="95"/>
        <v>EAM-SIL</v>
      </c>
    </row>
    <row r="1536" spans="1:13" ht="14.25" customHeight="true">
      <c r="A1536" s="33" t="str">
        <f t="shared" si="92"/>
        <v>EAM - Intercompany</v>
      </c>
      <c r="B1536" s="33" t="str">
        <f t="shared" si="93"/>
        <v>EAM</v>
      </c>
      <c r="C1536" s="33" t="str">
        <f t="shared" si="94"/>
        <v>11232-0000</v>
      </c>
      <c r="D1536" t="s">
        <v>19599</v>
      </c>
      <c r="E1536" t="s">
        <v>12486</v>
      </c>
      <c r="F1536" t="s">
        <v>14039</v>
      </c>
      <c r="G1536" t="s">
        <v>14672</v>
      </c>
      <c r="H1536" t="s">
        <v>13869</v>
      </c>
      <c r="I1536" t="s">
        <v>14690</v>
      </c>
      <c r="J1536" s="62">
        <v>0</v>
      </c>
      <c r="K1536" s="62">
        <v>0</v>
      </c>
      <c r="L1536" t="str">
        <f>VLOOKUP(VALUE(LEFT(C1536,5)),Xref!A:B,2,0)</f>
        <v>SC2</v>
      </c>
      <c r="M1536" t="str">
        <f t="shared" si="95"/>
        <v>EAM-SC2</v>
      </c>
    </row>
    <row r="1537" spans="1:13" ht="14.25" customHeight="true">
      <c r="A1537" s="33" t="str">
        <f t="shared" si="92"/>
        <v>EAM - Intercompany</v>
      </c>
      <c r="B1537" s="33" t="str">
        <f t="shared" si="93"/>
        <v>EAM</v>
      </c>
      <c r="C1537" s="33" t="str">
        <f t="shared" si="94"/>
        <v>11301-0000</v>
      </c>
      <c r="D1537" t="s">
        <v>19600</v>
      </c>
      <c r="E1537" t="s">
        <v>13225</v>
      </c>
      <c r="F1537" t="s">
        <v>14039</v>
      </c>
      <c r="G1537" t="s">
        <v>14672</v>
      </c>
      <c r="H1537" t="s">
        <v>13869</v>
      </c>
      <c r="I1537" t="s">
        <v>14690</v>
      </c>
      <c r="J1537" s="62">
        <v>0</v>
      </c>
      <c r="K1537" s="62">
        <v>0</v>
      </c>
      <c r="L1537" t="str">
        <f>VLOOKUP(VALUE(LEFT(C1537,5)),Xref!A:B,2,0)</f>
        <v>CRE</v>
      </c>
      <c r="M1537" t="str">
        <f t="shared" si="95"/>
        <v>CRE-EAM</v>
      </c>
    </row>
    <row r="1538" spans="1:13" ht="14.25" customHeight="true">
      <c r="A1538" s="33" t="str">
        <f t="shared" ref="A1538:A1601" si="96">B1538&amp;" - "&amp;TRIM(H1538)</f>
        <v>EAM - Intercompany</v>
      </c>
      <c r="B1538" s="33" t="str">
        <f t="shared" ref="B1538:B1601" si="97">LEFT(D1538,3)</f>
        <v>EAM</v>
      </c>
      <c r="C1538" s="33" t="str">
        <f t="shared" ref="C1538:C1601" si="98">RIGHT(D1538,10)</f>
        <v>11302-0000</v>
      </c>
      <c r="D1538" t="s">
        <v>19601</v>
      </c>
      <c r="E1538" t="s">
        <v>13226</v>
      </c>
      <c r="F1538" t="s">
        <v>14039</v>
      </c>
      <c r="G1538" t="s">
        <v>14672</v>
      </c>
      <c r="H1538" t="s">
        <v>13869</v>
      </c>
      <c r="I1538" t="s">
        <v>14690</v>
      </c>
      <c r="J1538" s="62">
        <v>0</v>
      </c>
      <c r="K1538" s="62">
        <v>0</v>
      </c>
      <c r="L1538" t="str">
        <f>VLOOKUP(VALUE(LEFT(C1538,5)),Xref!A:B,2,0)</f>
        <v>CHA</v>
      </c>
      <c r="M1538" t="str">
        <f t="shared" ref="M1538:M1601" si="99">IF(B1538&lt;L1538,B1538&amp;"-"&amp;L1538,L1538&amp;"-"&amp;B1538)</f>
        <v>CHA-EAM</v>
      </c>
    </row>
    <row r="1539" spans="1:13" ht="14.25" customHeight="true">
      <c r="A1539" s="33" t="str">
        <f t="shared" si="96"/>
        <v>EAM - Intercompany</v>
      </c>
      <c r="B1539" s="33" t="str">
        <f t="shared" si="97"/>
        <v>EAM</v>
      </c>
      <c r="C1539" s="33" t="str">
        <f t="shared" si="98"/>
        <v>11303-0000</v>
      </c>
      <c r="D1539" t="s">
        <v>19602</v>
      </c>
      <c r="E1539" t="s">
        <v>13227</v>
      </c>
      <c r="F1539" t="s">
        <v>14039</v>
      </c>
      <c r="G1539" t="s">
        <v>14672</v>
      </c>
      <c r="H1539" t="s">
        <v>13869</v>
      </c>
      <c r="I1539" t="s">
        <v>14690</v>
      </c>
      <c r="J1539" s="62">
        <v>0</v>
      </c>
      <c r="K1539" s="62">
        <v>0</v>
      </c>
      <c r="L1539" t="str">
        <f>VLOOKUP(VALUE(LEFT(C1539,5)),Xref!A:B,2,0)</f>
        <v>DIA</v>
      </c>
      <c r="M1539" t="str">
        <f t="shared" si="99"/>
        <v>DIA-EAM</v>
      </c>
    </row>
    <row r="1540" spans="1:13" ht="14.25" customHeight="true">
      <c r="A1540" s="33" t="str">
        <f t="shared" si="96"/>
        <v>EAM - Intercompany</v>
      </c>
      <c r="B1540" s="33" t="str">
        <f t="shared" si="97"/>
        <v>EAM</v>
      </c>
      <c r="C1540" s="33" t="str">
        <f t="shared" si="98"/>
        <v>11304-0000</v>
      </c>
      <c r="D1540" t="s">
        <v>19603</v>
      </c>
      <c r="E1540" t="s">
        <v>13228</v>
      </c>
      <c r="F1540" t="s">
        <v>14039</v>
      </c>
      <c r="G1540" t="s">
        <v>14672</v>
      </c>
      <c r="H1540" t="s">
        <v>13869</v>
      </c>
      <c r="I1540" t="s">
        <v>14690</v>
      </c>
      <c r="J1540" s="62">
        <v>0</v>
      </c>
      <c r="K1540" s="62">
        <v>0</v>
      </c>
      <c r="L1540" t="str">
        <f>VLOOKUP(VALUE(LEFT(C1540,5)),Xref!A:B,2,0)</f>
        <v>EAG</v>
      </c>
      <c r="M1540" t="str">
        <f t="shared" si="99"/>
        <v>EAG-EAM</v>
      </c>
    </row>
    <row r="1541" spans="1:13" ht="14.25" customHeight="true">
      <c r="A1541" s="33" t="str">
        <f t="shared" si="96"/>
        <v>EAM - Intercompany</v>
      </c>
      <c r="B1541" s="33" t="str">
        <f t="shared" si="97"/>
        <v>EAM</v>
      </c>
      <c r="C1541" s="33" t="str">
        <f t="shared" si="98"/>
        <v>11305-0000</v>
      </c>
      <c r="D1541" t="s">
        <v>19604</v>
      </c>
      <c r="E1541" t="s">
        <v>13229</v>
      </c>
      <c r="F1541" t="s">
        <v>14039</v>
      </c>
      <c r="G1541" t="s">
        <v>14672</v>
      </c>
      <c r="H1541" t="s">
        <v>13869</v>
      </c>
      <c r="I1541" t="s">
        <v>14690</v>
      </c>
      <c r="J1541" s="62">
        <v>0</v>
      </c>
      <c r="K1541" s="62">
        <v>0</v>
      </c>
      <c r="L1541" t="str">
        <f>VLOOKUP(VALUE(LEFT(C1541,5)),Xref!A:B,2,0)</f>
        <v>NEW</v>
      </c>
      <c r="M1541" t="str">
        <f t="shared" si="99"/>
        <v>EAM-NEW</v>
      </c>
    </row>
    <row r="1542" spans="1:13" ht="14.25" customHeight="true">
      <c r="A1542" s="33" t="str">
        <f t="shared" si="96"/>
        <v>EAM - Intercompany</v>
      </c>
      <c r="B1542" s="33" t="str">
        <f t="shared" si="97"/>
        <v>EAM</v>
      </c>
      <c r="C1542" s="33" t="str">
        <f t="shared" si="98"/>
        <v>11307-0000</v>
      </c>
      <c r="D1542" t="s">
        <v>19605</v>
      </c>
      <c r="E1542" t="s">
        <v>14096</v>
      </c>
      <c r="F1542" t="s">
        <v>14039</v>
      </c>
      <c r="G1542" t="s">
        <v>14672</v>
      </c>
      <c r="H1542" t="s">
        <v>13869</v>
      </c>
      <c r="I1542" t="s">
        <v>14690</v>
      </c>
      <c r="J1542" s="62">
        <v>0</v>
      </c>
      <c r="K1542" s="62">
        <v>0</v>
      </c>
      <c r="L1542" t="str">
        <f>VLOOKUP(VALUE(LEFT(C1542,5)),Xref!A:B,2,0)</f>
        <v>NES</v>
      </c>
      <c r="M1542" t="str">
        <f t="shared" si="99"/>
        <v>EAM-NES</v>
      </c>
    </row>
    <row r="1543" spans="1:13" ht="14.25" customHeight="true">
      <c r="A1543" s="33" t="str">
        <f t="shared" si="96"/>
        <v>EAM - Intercompany</v>
      </c>
      <c r="B1543" s="33" t="str">
        <f t="shared" si="97"/>
        <v>EAM</v>
      </c>
      <c r="C1543" s="33" t="str">
        <f t="shared" si="98"/>
        <v>11308-0000</v>
      </c>
      <c r="D1543" t="s">
        <v>19606</v>
      </c>
      <c r="E1543" t="s">
        <v>13476</v>
      </c>
      <c r="F1543" t="s">
        <v>14039</v>
      </c>
      <c r="G1543" t="s">
        <v>14672</v>
      </c>
      <c r="H1543" t="s">
        <v>13869</v>
      </c>
      <c r="I1543" t="s">
        <v>14690</v>
      </c>
      <c r="J1543" s="62">
        <v>0</v>
      </c>
      <c r="K1543" s="62">
        <v>0</v>
      </c>
      <c r="L1543" t="str">
        <f>VLOOKUP(VALUE(LEFT(C1543,5)),Xref!A:B,2,0)</f>
        <v>LPI</v>
      </c>
      <c r="M1543" t="str">
        <f t="shared" si="99"/>
        <v>EAM-LPI</v>
      </c>
    </row>
    <row r="1544" spans="1:13" ht="14.25" customHeight="true">
      <c r="A1544" s="33" t="str">
        <f t="shared" si="96"/>
        <v>EAM - Intercompany</v>
      </c>
      <c r="B1544" s="33" t="str">
        <f t="shared" si="97"/>
        <v>EAM</v>
      </c>
      <c r="C1544" s="33" t="str">
        <f t="shared" si="98"/>
        <v>11309-0000</v>
      </c>
      <c r="D1544" t="s">
        <v>19607</v>
      </c>
      <c r="E1544" t="s">
        <v>13230</v>
      </c>
      <c r="F1544" t="s">
        <v>14039</v>
      </c>
      <c r="G1544" t="s">
        <v>14672</v>
      </c>
      <c r="H1544" t="s">
        <v>13869</v>
      </c>
      <c r="I1544" t="s">
        <v>14690</v>
      </c>
      <c r="J1544" s="62">
        <v>0</v>
      </c>
      <c r="K1544" s="62">
        <v>0</v>
      </c>
      <c r="L1544" t="str">
        <f>VLOOKUP(VALUE(LEFT(C1544,5)),Xref!A:B,2,0)</f>
        <v>GPI</v>
      </c>
      <c r="M1544" t="str">
        <f t="shared" si="99"/>
        <v>EAM-GPI</v>
      </c>
    </row>
    <row r="1545" spans="1:13" ht="14.25" customHeight="true">
      <c r="A1545" s="33" t="str">
        <f t="shared" si="96"/>
        <v>EAM - Intercompany</v>
      </c>
      <c r="B1545" s="33" t="str">
        <f t="shared" si="97"/>
        <v>EAM</v>
      </c>
      <c r="C1545" s="33" t="str">
        <f t="shared" si="98"/>
        <v>11310-0000</v>
      </c>
      <c r="D1545" t="s">
        <v>19608</v>
      </c>
      <c r="E1545" t="s">
        <v>13231</v>
      </c>
      <c r="F1545" t="s">
        <v>14039</v>
      </c>
      <c r="G1545" t="s">
        <v>14672</v>
      </c>
      <c r="H1545" t="s">
        <v>13869</v>
      </c>
      <c r="I1545" t="s">
        <v>14690</v>
      </c>
      <c r="J1545" s="62">
        <v>0</v>
      </c>
      <c r="K1545" s="62">
        <v>0</v>
      </c>
      <c r="L1545" t="str">
        <f>VLOOKUP(VALUE(LEFT(C1545,5)),Xref!A:B,2,0)</f>
        <v>ALP</v>
      </c>
      <c r="M1545" t="str">
        <f t="shared" si="99"/>
        <v>ALP-EAM</v>
      </c>
    </row>
    <row r="1546" spans="1:13" ht="14.25" customHeight="true">
      <c r="A1546" s="33" t="str">
        <f t="shared" si="96"/>
        <v>EAM - Intercompany</v>
      </c>
      <c r="B1546" s="33" t="str">
        <f t="shared" si="97"/>
        <v>EAM</v>
      </c>
      <c r="C1546" s="33" t="str">
        <f t="shared" si="98"/>
        <v>11311-0000</v>
      </c>
      <c r="D1546" t="s">
        <v>19609</v>
      </c>
      <c r="E1546" t="s">
        <v>13232</v>
      </c>
      <c r="F1546" t="s">
        <v>14039</v>
      </c>
      <c r="G1546" t="s">
        <v>14672</v>
      </c>
      <c r="H1546" t="s">
        <v>13869</v>
      </c>
      <c r="I1546" t="s">
        <v>14690</v>
      </c>
      <c r="J1546" s="62">
        <v>0</v>
      </c>
      <c r="K1546" s="62">
        <v>0</v>
      </c>
      <c r="L1546" t="str">
        <f>VLOOKUP(VALUE(LEFT(C1546,5)),Xref!A:B,2,0)</f>
        <v>BET</v>
      </c>
      <c r="M1546" t="str">
        <f t="shared" si="99"/>
        <v>BET-EAM</v>
      </c>
    </row>
    <row r="1547" spans="1:13" ht="14.25" customHeight="true">
      <c r="A1547" s="33" t="str">
        <f t="shared" si="96"/>
        <v>EAM - Intercompany</v>
      </c>
      <c r="B1547" s="33" t="str">
        <f t="shared" si="97"/>
        <v>EAM</v>
      </c>
      <c r="C1547" s="33" t="str">
        <f t="shared" si="98"/>
        <v>11312-0000</v>
      </c>
      <c r="D1547" t="s">
        <v>19610</v>
      </c>
      <c r="E1547" t="s">
        <v>14102</v>
      </c>
      <c r="F1547" t="s">
        <v>14039</v>
      </c>
      <c r="G1547" t="s">
        <v>14672</v>
      </c>
      <c r="H1547" t="s">
        <v>13869</v>
      </c>
      <c r="I1547" t="s">
        <v>14690</v>
      </c>
      <c r="J1547" s="62">
        <v>0</v>
      </c>
      <c r="K1547" s="62">
        <v>0</v>
      </c>
      <c r="L1547" t="str">
        <f>VLOOKUP(VALUE(LEFT(C1547,5)),Xref!A:B,2,0)</f>
        <v>DEL</v>
      </c>
      <c r="M1547" t="str">
        <f t="shared" si="99"/>
        <v>DEL-EAM</v>
      </c>
    </row>
    <row r="1548" spans="1:13" ht="14.25" customHeight="true">
      <c r="A1548" s="33" t="str">
        <f t="shared" si="96"/>
        <v>EAM - Intercompany</v>
      </c>
      <c r="B1548" s="33" t="str">
        <f t="shared" si="97"/>
        <v>EAM</v>
      </c>
      <c r="C1548" s="33" t="str">
        <f t="shared" si="98"/>
        <v>11313-0000</v>
      </c>
      <c r="D1548" t="s">
        <v>19611</v>
      </c>
      <c r="E1548" t="s">
        <v>13233</v>
      </c>
      <c r="F1548" t="s">
        <v>14039</v>
      </c>
      <c r="G1548" t="s">
        <v>14672</v>
      </c>
      <c r="H1548" t="s">
        <v>13869</v>
      </c>
      <c r="I1548" t="s">
        <v>14690</v>
      </c>
      <c r="J1548" s="62">
        <v>0</v>
      </c>
      <c r="K1548" s="62">
        <v>0</v>
      </c>
      <c r="L1548" t="str">
        <f>VLOOKUP(VALUE(LEFT(C1548,5)),Xref!A:B,2,0)</f>
        <v>DOL</v>
      </c>
      <c r="M1548" t="str">
        <f t="shared" si="99"/>
        <v>DOL-EAM</v>
      </c>
    </row>
    <row r="1549" spans="1:13" ht="14.25" customHeight="true">
      <c r="A1549" s="33" t="str">
        <f t="shared" si="96"/>
        <v>EAM - Intercompany</v>
      </c>
      <c r="B1549" s="33" t="str">
        <f t="shared" si="97"/>
        <v>EAM</v>
      </c>
      <c r="C1549" s="33" t="str">
        <f t="shared" si="98"/>
        <v>11314-0000</v>
      </c>
      <c r="D1549" t="s">
        <v>19612</v>
      </c>
      <c r="E1549" t="s">
        <v>13351</v>
      </c>
      <c r="F1549" t="s">
        <v>14039</v>
      </c>
      <c r="G1549" t="s">
        <v>14672</v>
      </c>
      <c r="H1549" t="s">
        <v>13869</v>
      </c>
      <c r="I1549" t="s">
        <v>14690</v>
      </c>
      <c r="J1549" s="62">
        <v>0</v>
      </c>
      <c r="K1549" s="62">
        <v>0</v>
      </c>
      <c r="L1549" t="str">
        <f>VLOOKUP(VALUE(LEFT(C1549,5)),Xref!A:B,2,0)</f>
        <v>GRI</v>
      </c>
      <c r="M1549" t="str">
        <f t="shared" si="99"/>
        <v>EAM-GRI</v>
      </c>
    </row>
    <row r="1550" spans="1:13" ht="14.25" customHeight="true">
      <c r="A1550" s="33" t="str">
        <f t="shared" si="96"/>
        <v>EAM - Intercompany</v>
      </c>
      <c r="B1550" s="33" t="str">
        <f t="shared" si="97"/>
        <v>EAM</v>
      </c>
      <c r="C1550" s="33" t="str">
        <f t="shared" si="98"/>
        <v>11315-0000</v>
      </c>
      <c r="D1550" t="s">
        <v>19613</v>
      </c>
      <c r="E1550" t="s">
        <v>13234</v>
      </c>
      <c r="F1550" t="s">
        <v>14039</v>
      </c>
      <c r="G1550" t="s">
        <v>14672</v>
      </c>
      <c r="H1550" t="s">
        <v>13869</v>
      </c>
      <c r="I1550" t="s">
        <v>14690</v>
      </c>
      <c r="J1550" s="62">
        <v>0</v>
      </c>
      <c r="K1550" s="62">
        <v>0</v>
      </c>
      <c r="L1550" t="str">
        <f>VLOOKUP(VALUE(LEFT(C1550,5)),Xref!A:B,2,0)</f>
        <v>PUR</v>
      </c>
      <c r="M1550" t="str">
        <f t="shared" si="99"/>
        <v>EAM-PUR</v>
      </c>
    </row>
    <row r="1551" spans="1:13" ht="14.25" customHeight="true">
      <c r="A1551" s="33" t="str">
        <f t="shared" si="96"/>
        <v>EAM - Intercompany</v>
      </c>
      <c r="B1551" s="33" t="str">
        <f t="shared" si="97"/>
        <v>EAM</v>
      </c>
      <c r="C1551" s="33" t="str">
        <f t="shared" si="98"/>
        <v>11316-0000</v>
      </c>
      <c r="D1551" t="s">
        <v>19614</v>
      </c>
      <c r="E1551" t="s">
        <v>13235</v>
      </c>
      <c r="F1551" t="s">
        <v>14039</v>
      </c>
      <c r="G1551" t="s">
        <v>14672</v>
      </c>
      <c r="H1551" t="s">
        <v>13869</v>
      </c>
      <c r="I1551" t="s">
        <v>14690</v>
      </c>
      <c r="J1551" s="62">
        <v>0</v>
      </c>
      <c r="K1551" s="62">
        <v>0</v>
      </c>
      <c r="L1551" t="str">
        <f>VLOOKUP(VALUE(LEFT(C1551,5)),Xref!A:B,2,0)</f>
        <v>VAL</v>
      </c>
      <c r="M1551" t="str">
        <f t="shared" si="99"/>
        <v>EAM-VAL</v>
      </c>
    </row>
    <row r="1552" spans="1:13" ht="14.25" customHeight="true">
      <c r="A1552" s="33" t="str">
        <f t="shared" si="96"/>
        <v>EAM - Intercompany</v>
      </c>
      <c r="B1552" s="33" t="str">
        <f t="shared" si="97"/>
        <v>EAM</v>
      </c>
      <c r="C1552" s="33" t="str">
        <f t="shared" si="98"/>
        <v>11317-0000</v>
      </c>
      <c r="D1552" t="s">
        <v>19615</v>
      </c>
      <c r="E1552" t="s">
        <v>13352</v>
      </c>
      <c r="F1552" t="s">
        <v>14039</v>
      </c>
      <c r="G1552" t="s">
        <v>14672</v>
      </c>
      <c r="H1552" t="s">
        <v>13869</v>
      </c>
      <c r="I1552" t="s">
        <v>14690</v>
      </c>
      <c r="J1552" s="62">
        <v>0</v>
      </c>
      <c r="K1552" s="62">
        <v>0</v>
      </c>
      <c r="L1552" t="str">
        <f>VLOOKUP(VALUE(LEFT(C1552,5)),Xref!A:B,2,0)</f>
        <v>AKG</v>
      </c>
      <c r="M1552" t="str">
        <f t="shared" si="99"/>
        <v>AKG-EAM</v>
      </c>
    </row>
    <row r="1553" spans="1:13" ht="14.25" customHeight="true">
      <c r="A1553" s="33" t="str">
        <f t="shared" si="96"/>
        <v>EAM - Intercompany</v>
      </c>
      <c r="B1553" s="33" t="str">
        <f t="shared" si="97"/>
        <v>EAM</v>
      </c>
      <c r="C1553" s="33" t="str">
        <f t="shared" si="98"/>
        <v>11318-0000</v>
      </c>
      <c r="D1553" t="s">
        <v>19616</v>
      </c>
      <c r="E1553" t="s">
        <v>13477</v>
      </c>
      <c r="F1553" t="s">
        <v>14039</v>
      </c>
      <c r="G1553" t="s">
        <v>14672</v>
      </c>
      <c r="H1553" t="s">
        <v>13869</v>
      </c>
      <c r="I1553" t="s">
        <v>14690</v>
      </c>
      <c r="J1553" s="62">
        <v>0</v>
      </c>
      <c r="K1553" s="62">
        <v>0</v>
      </c>
      <c r="L1553" t="str">
        <f>VLOOKUP(VALUE(LEFT(C1553,5)),Xref!A:B,2,0)</f>
        <v>FIR</v>
      </c>
      <c r="M1553" t="str">
        <f t="shared" si="99"/>
        <v>EAM-FIR</v>
      </c>
    </row>
    <row r="1554" spans="1:13" ht="14.25" customHeight="true">
      <c r="A1554" s="33" t="str">
        <f t="shared" si="96"/>
        <v>EAM - Intercompany</v>
      </c>
      <c r="B1554" s="33" t="str">
        <f t="shared" si="97"/>
        <v>EAM</v>
      </c>
      <c r="C1554" s="33" t="str">
        <f t="shared" si="98"/>
        <v>11319-0000</v>
      </c>
      <c r="D1554" t="s">
        <v>19617</v>
      </c>
      <c r="E1554" t="s">
        <v>266</v>
      </c>
      <c r="F1554" t="s">
        <v>14039</v>
      </c>
      <c r="G1554" t="s">
        <v>14672</v>
      </c>
      <c r="H1554" t="s">
        <v>13869</v>
      </c>
      <c r="I1554" t="s">
        <v>14690</v>
      </c>
      <c r="J1554" s="62">
        <v>0</v>
      </c>
      <c r="K1554" s="62">
        <v>0</v>
      </c>
      <c r="L1554" t="str">
        <f>VLOOKUP(VALUE(LEFT(C1554,5)),Xref!A:B,2,0)</f>
        <v>GST</v>
      </c>
      <c r="M1554" t="str">
        <f t="shared" si="99"/>
        <v>EAM-GST</v>
      </c>
    </row>
    <row r="1555" spans="1:13" ht="14.25" customHeight="true">
      <c r="A1555" s="33" t="str">
        <f t="shared" si="96"/>
        <v>EAM - Intercompany</v>
      </c>
      <c r="B1555" s="33" t="str">
        <f t="shared" si="97"/>
        <v>EAM</v>
      </c>
      <c r="C1555" s="33" t="str">
        <f t="shared" si="98"/>
        <v>11320-0000</v>
      </c>
      <c r="D1555" t="s">
        <v>19618</v>
      </c>
      <c r="E1555" t="s">
        <v>14111</v>
      </c>
      <c r="F1555" t="s">
        <v>14039</v>
      </c>
      <c r="G1555" t="s">
        <v>14672</v>
      </c>
      <c r="H1555" t="s">
        <v>13869</v>
      </c>
      <c r="I1555" t="s">
        <v>14690</v>
      </c>
      <c r="J1555" s="62">
        <v>0</v>
      </c>
      <c r="K1555" s="62">
        <v>0</v>
      </c>
      <c r="L1555" t="str">
        <f>VLOOKUP(VALUE(LEFT(C1555,5)),Xref!A:B,2,0)</f>
        <v>HDN</v>
      </c>
      <c r="M1555" t="str">
        <f t="shared" si="99"/>
        <v>EAM-HDN</v>
      </c>
    </row>
    <row r="1556" spans="1:13" ht="14.25" customHeight="true">
      <c r="A1556" s="33" t="str">
        <f t="shared" si="96"/>
        <v>EAM - Intercompany</v>
      </c>
      <c r="B1556" s="33" t="str">
        <f t="shared" si="97"/>
        <v>EAM</v>
      </c>
      <c r="C1556" s="33" t="str">
        <f t="shared" si="98"/>
        <v>11321-0000</v>
      </c>
      <c r="D1556" t="s">
        <v>19619</v>
      </c>
      <c r="E1556" t="s">
        <v>13236</v>
      </c>
      <c r="F1556" t="s">
        <v>14039</v>
      </c>
      <c r="G1556" t="s">
        <v>14672</v>
      </c>
      <c r="H1556" t="s">
        <v>13869</v>
      </c>
      <c r="I1556" t="s">
        <v>14690</v>
      </c>
      <c r="J1556" s="62">
        <v>0</v>
      </c>
      <c r="K1556" s="62">
        <v>0</v>
      </c>
      <c r="L1556" t="str">
        <f>VLOOKUP(VALUE(LEFT(C1556,5)),Xref!A:B,2,0)</f>
        <v>OVA</v>
      </c>
      <c r="M1556" t="str">
        <f t="shared" si="99"/>
        <v>EAM-OVA</v>
      </c>
    </row>
    <row r="1557" spans="1:13" ht="14.25" customHeight="true">
      <c r="A1557" s="33" t="str">
        <f t="shared" si="96"/>
        <v>EAM - Intercompany</v>
      </c>
      <c r="B1557" s="33" t="str">
        <f t="shared" si="97"/>
        <v>EAM</v>
      </c>
      <c r="C1557" s="33" t="str">
        <f t="shared" si="98"/>
        <v>11322-0000</v>
      </c>
      <c r="D1557" t="s">
        <v>19620</v>
      </c>
      <c r="E1557" t="s">
        <v>13237</v>
      </c>
      <c r="F1557" t="s">
        <v>14039</v>
      </c>
      <c r="G1557" t="s">
        <v>14672</v>
      </c>
      <c r="H1557" t="s">
        <v>13869</v>
      </c>
      <c r="I1557" t="s">
        <v>14690</v>
      </c>
      <c r="J1557" s="62">
        <v>0</v>
      </c>
      <c r="K1557" s="62">
        <v>0</v>
      </c>
      <c r="L1557" t="str">
        <f>VLOOKUP(VALUE(LEFT(C1557,5)),Xref!A:B,2,0)</f>
        <v>WOO</v>
      </c>
      <c r="M1557" t="str">
        <f t="shared" si="99"/>
        <v>EAM-WOO</v>
      </c>
    </row>
    <row r="1558" spans="1:13" ht="14.25" customHeight="true">
      <c r="A1558" s="33" t="str">
        <f t="shared" si="96"/>
        <v>EAM - Intercompany</v>
      </c>
      <c r="B1558" s="33" t="str">
        <f t="shared" si="97"/>
        <v>EAM</v>
      </c>
      <c r="C1558" s="33" t="str">
        <f t="shared" si="98"/>
        <v>11323-0000</v>
      </c>
      <c r="D1558" t="s">
        <v>19621</v>
      </c>
      <c r="E1558" t="s">
        <v>13478</v>
      </c>
      <c r="F1558" t="s">
        <v>14039</v>
      </c>
      <c r="G1558" t="s">
        <v>14672</v>
      </c>
      <c r="H1558" t="s">
        <v>13869</v>
      </c>
      <c r="I1558" t="s">
        <v>14690</v>
      </c>
      <c r="J1558" s="62">
        <v>0</v>
      </c>
      <c r="K1558" s="62">
        <v>0</v>
      </c>
      <c r="L1558" t="str">
        <f>VLOOKUP(VALUE(LEFT(C1558,5)),Xref!A:B,2,0)</f>
        <v>SPI</v>
      </c>
      <c r="M1558" t="str">
        <f t="shared" si="99"/>
        <v>EAM-SPI</v>
      </c>
    </row>
    <row r="1559" spans="1:13" ht="14.25" customHeight="true">
      <c r="A1559" s="33" t="str">
        <f t="shared" si="96"/>
        <v>EAM - Intercompany</v>
      </c>
      <c r="B1559" s="33" t="str">
        <f t="shared" si="97"/>
        <v>EAM</v>
      </c>
      <c r="C1559" s="33" t="str">
        <f t="shared" si="98"/>
        <v>11324-0000</v>
      </c>
      <c r="D1559" t="s">
        <v>19622</v>
      </c>
      <c r="E1559" t="s">
        <v>13238</v>
      </c>
      <c r="F1559" t="s">
        <v>14039</v>
      </c>
      <c r="G1559" t="s">
        <v>14672</v>
      </c>
      <c r="H1559" t="s">
        <v>13869</v>
      </c>
      <c r="I1559" t="s">
        <v>14690</v>
      </c>
      <c r="J1559" s="62">
        <v>0</v>
      </c>
      <c r="K1559" s="62">
        <v>0</v>
      </c>
      <c r="L1559" t="str">
        <f>VLOOKUP(VALUE(LEFT(C1559,5)),Xref!A:B,2,0)</f>
        <v>NET</v>
      </c>
      <c r="M1559" t="str">
        <f t="shared" si="99"/>
        <v>EAM-NET</v>
      </c>
    </row>
    <row r="1560" spans="1:13" ht="14.25" customHeight="true">
      <c r="A1560" s="33" t="str">
        <f t="shared" si="96"/>
        <v>EAM - Intercompany</v>
      </c>
      <c r="B1560" s="33" t="str">
        <f t="shared" si="97"/>
        <v>EAM</v>
      </c>
      <c r="C1560" s="33" t="str">
        <f t="shared" si="98"/>
        <v>11325-0000</v>
      </c>
      <c r="D1560" t="s">
        <v>19623</v>
      </c>
      <c r="E1560" t="s">
        <v>13239</v>
      </c>
      <c r="F1560" t="s">
        <v>14039</v>
      </c>
      <c r="G1560" t="s">
        <v>14672</v>
      </c>
      <c r="H1560" t="s">
        <v>13869</v>
      </c>
      <c r="I1560" t="s">
        <v>14690</v>
      </c>
      <c r="J1560" s="62">
        <v>0</v>
      </c>
      <c r="K1560" s="62">
        <v>0</v>
      </c>
      <c r="L1560" t="str">
        <f>VLOOKUP(VALUE(LEFT(C1560,5)),Xref!A:B,2,0)</f>
        <v>DPI</v>
      </c>
      <c r="M1560" t="str">
        <f t="shared" si="99"/>
        <v>DPI-EAM</v>
      </c>
    </row>
    <row r="1561" spans="1:13" ht="14.25" customHeight="true">
      <c r="A1561" s="33" t="str">
        <f t="shared" si="96"/>
        <v>EAM - Intercompany</v>
      </c>
      <c r="B1561" s="33" t="str">
        <f t="shared" si="97"/>
        <v>EAM</v>
      </c>
      <c r="C1561" s="33" t="str">
        <f t="shared" si="98"/>
        <v>11326-0000</v>
      </c>
      <c r="D1561" t="s">
        <v>19624</v>
      </c>
      <c r="E1561" t="s">
        <v>13240</v>
      </c>
      <c r="F1561" t="s">
        <v>14039</v>
      </c>
      <c r="G1561" t="s">
        <v>14672</v>
      </c>
      <c r="H1561" t="s">
        <v>13869</v>
      </c>
      <c r="I1561" t="s">
        <v>14690</v>
      </c>
      <c r="J1561" s="62">
        <v>0</v>
      </c>
      <c r="K1561" s="62">
        <v>0</v>
      </c>
      <c r="L1561" t="str">
        <f>VLOOKUP(VALUE(LEFT(C1561,5)),Xref!A:B,2,0)</f>
        <v>SEK</v>
      </c>
      <c r="M1561" t="str">
        <f t="shared" si="99"/>
        <v>EAM-SEK</v>
      </c>
    </row>
    <row r="1562" spans="1:13" ht="14.25" customHeight="true">
      <c r="A1562" s="33" t="str">
        <f t="shared" si="96"/>
        <v>EAM - Intercompany</v>
      </c>
      <c r="B1562" s="33" t="str">
        <f t="shared" si="97"/>
        <v>EAM</v>
      </c>
      <c r="C1562" s="33" t="str">
        <f t="shared" si="98"/>
        <v>11327-0000</v>
      </c>
      <c r="D1562" t="s">
        <v>19625</v>
      </c>
      <c r="E1562" t="s">
        <v>14119</v>
      </c>
      <c r="F1562" t="s">
        <v>14039</v>
      </c>
      <c r="G1562" t="s">
        <v>14672</v>
      </c>
      <c r="H1562" t="s">
        <v>13869</v>
      </c>
      <c r="I1562" t="s">
        <v>14690</v>
      </c>
      <c r="J1562" s="62">
        <v>0</v>
      </c>
      <c r="K1562" s="62">
        <v>0</v>
      </c>
      <c r="L1562" t="str">
        <f>VLOOKUP(VALUE(LEFT(C1562,5)),Xref!A:B,2,0)</f>
        <v>CPI</v>
      </c>
      <c r="M1562" t="str">
        <f t="shared" si="99"/>
        <v>CPI-EAM</v>
      </c>
    </row>
    <row r="1563" spans="1:13" ht="14.25" customHeight="true">
      <c r="A1563" s="33" t="str">
        <f t="shared" si="96"/>
        <v>EAM - Intercompany</v>
      </c>
      <c r="B1563" s="33" t="str">
        <f t="shared" si="97"/>
        <v>EAM</v>
      </c>
      <c r="C1563" s="33" t="str">
        <f t="shared" si="98"/>
        <v>11328-0000</v>
      </c>
      <c r="D1563" t="s">
        <v>19626</v>
      </c>
      <c r="E1563" t="s">
        <v>13241</v>
      </c>
      <c r="F1563" t="s">
        <v>14039</v>
      </c>
      <c r="G1563" t="s">
        <v>14672</v>
      </c>
      <c r="H1563" t="s">
        <v>13869</v>
      </c>
      <c r="I1563" t="s">
        <v>14690</v>
      </c>
      <c r="J1563" s="62">
        <v>0</v>
      </c>
      <c r="K1563" s="62">
        <v>0</v>
      </c>
      <c r="L1563" t="str">
        <f>VLOOKUP(VALUE(LEFT(C1563,5)),Xref!A:B,2,0)</f>
        <v>LOM</v>
      </c>
      <c r="M1563" t="str">
        <f t="shared" si="99"/>
        <v>EAM-LOM</v>
      </c>
    </row>
    <row r="1564" spans="1:13" ht="14.25" customHeight="true">
      <c r="A1564" s="33" t="str">
        <f t="shared" si="96"/>
        <v>EAM - Intercompany</v>
      </c>
      <c r="B1564" s="33" t="str">
        <f t="shared" si="97"/>
        <v>EAM</v>
      </c>
      <c r="C1564" s="33" t="str">
        <f t="shared" si="98"/>
        <v>11329-0000</v>
      </c>
      <c r="D1564" t="s">
        <v>19627</v>
      </c>
      <c r="E1564" t="s">
        <v>13353</v>
      </c>
      <c r="F1564" t="s">
        <v>14039</v>
      </c>
      <c r="G1564" t="s">
        <v>14672</v>
      </c>
      <c r="H1564" t="s">
        <v>13869</v>
      </c>
      <c r="I1564" t="s">
        <v>14690</v>
      </c>
      <c r="J1564" s="62">
        <v>0</v>
      </c>
      <c r="K1564" s="62">
        <v>0</v>
      </c>
      <c r="L1564" t="str">
        <f>VLOOKUP(VALUE(LEFT(C1564,5)),Xref!A:B,2,0)</f>
        <v>AKS</v>
      </c>
      <c r="M1564" t="str">
        <f t="shared" si="99"/>
        <v>AKS-EAM</v>
      </c>
    </row>
    <row r="1565" spans="1:13" ht="14.25" customHeight="true">
      <c r="A1565" s="33" t="str">
        <f t="shared" si="96"/>
        <v>EAM - Intercompany</v>
      </c>
      <c r="B1565" s="33" t="str">
        <f t="shared" si="97"/>
        <v>EAM</v>
      </c>
      <c r="C1565" s="33" t="str">
        <f t="shared" si="98"/>
        <v>11330-0000</v>
      </c>
      <c r="D1565" t="s">
        <v>19628</v>
      </c>
      <c r="E1565" t="s">
        <v>13242</v>
      </c>
      <c r="F1565" t="s">
        <v>14039</v>
      </c>
      <c r="G1565" t="s">
        <v>14672</v>
      </c>
      <c r="H1565" t="s">
        <v>13869</v>
      </c>
      <c r="I1565" t="s">
        <v>14690</v>
      </c>
      <c r="J1565" s="62">
        <v>0</v>
      </c>
      <c r="K1565" s="62">
        <v>0</v>
      </c>
      <c r="L1565" t="str">
        <f>VLOOKUP(VALUE(LEFT(C1565,5)),Xref!A:B,2,0)</f>
        <v>MAR</v>
      </c>
      <c r="M1565" t="str">
        <f t="shared" si="99"/>
        <v>EAM-MAR</v>
      </c>
    </row>
    <row r="1566" spans="1:13" ht="14.25" customHeight="true">
      <c r="A1566" s="33" t="str">
        <f t="shared" si="96"/>
        <v>EAM - Intercompany</v>
      </c>
      <c r="B1566" s="33" t="str">
        <f t="shared" si="97"/>
        <v>EAM</v>
      </c>
      <c r="C1566" s="33" t="str">
        <f t="shared" si="98"/>
        <v>11331-0000</v>
      </c>
      <c r="D1566" t="s">
        <v>19629</v>
      </c>
      <c r="E1566" t="s">
        <v>13354</v>
      </c>
      <c r="F1566" t="s">
        <v>14039</v>
      </c>
      <c r="G1566" t="s">
        <v>14672</v>
      </c>
      <c r="H1566" t="s">
        <v>13869</v>
      </c>
      <c r="I1566" t="s">
        <v>14690</v>
      </c>
      <c r="J1566" s="62">
        <v>0</v>
      </c>
      <c r="K1566" s="62">
        <v>0</v>
      </c>
      <c r="L1566" t="str">
        <f>VLOOKUP(VALUE(LEFT(C1566,5)),Xref!A:B,2,0)</f>
        <v>WIL</v>
      </c>
      <c r="M1566" t="str">
        <f t="shared" si="99"/>
        <v>EAM-WIL</v>
      </c>
    </row>
    <row r="1567" spans="1:13" ht="14.25" customHeight="true">
      <c r="A1567" s="33" t="str">
        <f t="shared" si="96"/>
        <v>EAM - Intercompany</v>
      </c>
      <c r="B1567" s="33" t="str">
        <f t="shared" si="97"/>
        <v>EAM</v>
      </c>
      <c r="C1567" s="33" t="str">
        <f t="shared" si="98"/>
        <v>11332-0000</v>
      </c>
      <c r="D1567" t="s">
        <v>19630</v>
      </c>
      <c r="E1567" t="s">
        <v>13243</v>
      </c>
      <c r="F1567" t="s">
        <v>14039</v>
      </c>
      <c r="G1567" t="s">
        <v>14672</v>
      </c>
      <c r="H1567" t="s">
        <v>13869</v>
      </c>
      <c r="I1567" t="s">
        <v>14690</v>
      </c>
      <c r="J1567" s="62">
        <v>0</v>
      </c>
      <c r="K1567" s="62">
        <v>0</v>
      </c>
      <c r="L1567" t="str">
        <f>VLOOKUP(VALUE(LEFT(C1567,5)),Xref!A:B,2,0)</f>
        <v>STO</v>
      </c>
      <c r="M1567" t="str">
        <f t="shared" si="99"/>
        <v>EAM-STO</v>
      </c>
    </row>
    <row r="1568" spans="1:13" ht="14.25" customHeight="true">
      <c r="A1568" s="33" t="str">
        <f t="shared" si="96"/>
        <v>EAM - Intercompany</v>
      </c>
      <c r="B1568" s="33" t="str">
        <f t="shared" si="97"/>
        <v>EAM</v>
      </c>
      <c r="C1568" s="33" t="str">
        <f t="shared" si="98"/>
        <v>11333-0000</v>
      </c>
      <c r="D1568" t="s">
        <v>19631</v>
      </c>
      <c r="E1568" t="s">
        <v>13244</v>
      </c>
      <c r="F1568" t="s">
        <v>14039</v>
      </c>
      <c r="G1568" t="s">
        <v>14672</v>
      </c>
      <c r="H1568" t="s">
        <v>13869</v>
      </c>
      <c r="I1568" t="s">
        <v>14690</v>
      </c>
      <c r="J1568" s="62">
        <v>0</v>
      </c>
      <c r="K1568" s="62">
        <v>0</v>
      </c>
      <c r="L1568" t="str">
        <f>VLOOKUP(VALUE(LEFT(C1568,5)),Xref!A:B,2,0)</f>
        <v>ANG</v>
      </c>
      <c r="M1568" t="str">
        <f t="shared" si="99"/>
        <v>ANG-EAM</v>
      </c>
    </row>
    <row r="1569" spans="1:13" ht="14.25" customHeight="true">
      <c r="A1569" s="33" t="str">
        <f t="shared" si="96"/>
        <v>EAM - Intercompany</v>
      </c>
      <c r="B1569" s="33" t="str">
        <f t="shared" si="97"/>
        <v>EAM</v>
      </c>
      <c r="C1569" s="33" t="str">
        <f t="shared" si="98"/>
        <v>11334-0000</v>
      </c>
      <c r="D1569" t="s">
        <v>19632</v>
      </c>
      <c r="E1569" t="s">
        <v>13245</v>
      </c>
      <c r="F1569" t="s">
        <v>14039</v>
      </c>
      <c r="G1569" t="s">
        <v>14672</v>
      </c>
      <c r="H1569" t="s">
        <v>13869</v>
      </c>
      <c r="I1569" t="s">
        <v>14690</v>
      </c>
      <c r="J1569" s="62">
        <v>0</v>
      </c>
      <c r="K1569" s="62">
        <v>0</v>
      </c>
      <c r="L1569" t="str">
        <f>VLOOKUP(VALUE(LEFT(C1569,5)),Xref!A:B,2,0)</f>
        <v>BRU</v>
      </c>
      <c r="M1569" t="str">
        <f t="shared" si="99"/>
        <v>BRU-EAM</v>
      </c>
    </row>
    <row r="1570" spans="1:13" ht="14.25" customHeight="true">
      <c r="A1570" s="33" t="str">
        <f t="shared" si="96"/>
        <v>EAM - Intercompany</v>
      </c>
      <c r="B1570" s="33" t="str">
        <f t="shared" si="97"/>
        <v>EAM</v>
      </c>
      <c r="C1570" s="33" t="str">
        <f t="shared" si="98"/>
        <v>11335-0000</v>
      </c>
      <c r="D1570" t="s">
        <v>19633</v>
      </c>
      <c r="E1570" t="s">
        <v>13246</v>
      </c>
      <c r="F1570" t="s">
        <v>14039</v>
      </c>
      <c r="G1570" t="s">
        <v>14672</v>
      </c>
      <c r="H1570" t="s">
        <v>13869</v>
      </c>
      <c r="I1570" t="s">
        <v>14690</v>
      </c>
      <c r="J1570" s="62">
        <v>0</v>
      </c>
      <c r="K1570" s="62">
        <v>0</v>
      </c>
      <c r="L1570" t="str">
        <f>VLOOKUP(VALUE(LEFT(C1570,5)),Xref!A:B,2,0)</f>
        <v>VEN</v>
      </c>
      <c r="M1570" t="str">
        <f t="shared" si="99"/>
        <v>EAM-VEN</v>
      </c>
    </row>
    <row r="1571" spans="1:13" ht="14.25" customHeight="true">
      <c r="A1571" s="33" t="str">
        <f t="shared" si="96"/>
        <v>EAM - Intercompany</v>
      </c>
      <c r="B1571" s="33" t="str">
        <f t="shared" si="97"/>
        <v>EAM</v>
      </c>
      <c r="C1571" s="33" t="str">
        <f t="shared" si="98"/>
        <v>11336-0000</v>
      </c>
      <c r="D1571" t="s">
        <v>19634</v>
      </c>
      <c r="E1571" t="s">
        <v>13247</v>
      </c>
      <c r="F1571" t="s">
        <v>14039</v>
      </c>
      <c r="G1571" t="s">
        <v>14672</v>
      </c>
      <c r="H1571" t="s">
        <v>13869</v>
      </c>
      <c r="I1571" t="s">
        <v>14690</v>
      </c>
      <c r="J1571" s="62">
        <v>0</v>
      </c>
      <c r="K1571" s="62">
        <v>0</v>
      </c>
      <c r="L1571" t="str">
        <f>VLOOKUP(VALUE(LEFT(C1571,5)),Xref!A:B,2,0)</f>
        <v>SAT</v>
      </c>
      <c r="M1571" t="str">
        <f t="shared" si="99"/>
        <v>EAM-SAT</v>
      </c>
    </row>
    <row r="1572" spans="1:13" ht="14.25" customHeight="true">
      <c r="A1572" s="33" t="str">
        <f t="shared" si="96"/>
        <v>EAM - Intercompany</v>
      </c>
      <c r="B1572" s="33" t="str">
        <f t="shared" si="97"/>
        <v>EAM</v>
      </c>
      <c r="C1572" s="33" t="str">
        <f t="shared" si="98"/>
        <v>11337-0000</v>
      </c>
      <c r="D1572" t="s">
        <v>19635</v>
      </c>
      <c r="E1572" t="s">
        <v>13248</v>
      </c>
      <c r="F1572" t="s">
        <v>14039</v>
      </c>
      <c r="G1572" t="s">
        <v>14672</v>
      </c>
      <c r="H1572" t="s">
        <v>13869</v>
      </c>
      <c r="I1572" t="s">
        <v>14690</v>
      </c>
      <c r="J1572" s="62">
        <v>0</v>
      </c>
      <c r="K1572" s="62">
        <v>0</v>
      </c>
      <c r="L1572" t="str">
        <f>VLOOKUP(VALUE(LEFT(C1572,5)),Xref!A:B,2,0)</f>
        <v>NEP</v>
      </c>
      <c r="M1572" t="str">
        <f t="shared" si="99"/>
        <v>EAM-NEP</v>
      </c>
    </row>
    <row r="1573" spans="1:13" ht="14.25" customHeight="true">
      <c r="A1573" s="33" t="str">
        <f t="shared" si="96"/>
        <v>EAM - Intercompany</v>
      </c>
      <c r="B1573" s="33" t="str">
        <f t="shared" si="97"/>
        <v>EAM</v>
      </c>
      <c r="C1573" s="33" t="str">
        <f t="shared" si="98"/>
        <v>11338-0000</v>
      </c>
      <c r="D1573" t="s">
        <v>19636</v>
      </c>
      <c r="E1573" t="s">
        <v>14131</v>
      </c>
      <c r="F1573" t="s">
        <v>14039</v>
      </c>
      <c r="G1573" t="s">
        <v>14672</v>
      </c>
      <c r="H1573" t="s">
        <v>13869</v>
      </c>
      <c r="I1573" t="s">
        <v>14690</v>
      </c>
      <c r="J1573" s="62">
        <v>0</v>
      </c>
      <c r="K1573" s="62">
        <v>0</v>
      </c>
      <c r="L1573" t="str">
        <f>VLOOKUP(VALUE(LEFT(C1573,5)),Xref!A:B,2,0)</f>
        <v>JUP</v>
      </c>
      <c r="M1573" t="str">
        <f t="shared" si="99"/>
        <v>EAM-JUP</v>
      </c>
    </row>
    <row r="1574" spans="1:13" ht="14.25" customHeight="true">
      <c r="A1574" s="33" t="str">
        <f t="shared" si="96"/>
        <v>EAM - Intercompany</v>
      </c>
      <c r="B1574" s="33" t="str">
        <f t="shared" si="97"/>
        <v>EAM</v>
      </c>
      <c r="C1574" s="33" t="str">
        <f t="shared" si="98"/>
        <v>11339-0000</v>
      </c>
      <c r="D1574" t="s">
        <v>19637</v>
      </c>
      <c r="E1574" t="s">
        <v>14133</v>
      </c>
      <c r="F1574" t="s">
        <v>14039</v>
      </c>
      <c r="G1574" t="s">
        <v>14672</v>
      </c>
      <c r="H1574" t="s">
        <v>13869</v>
      </c>
      <c r="I1574" t="s">
        <v>14690</v>
      </c>
      <c r="J1574" s="62">
        <v>0</v>
      </c>
      <c r="K1574" s="62">
        <v>0</v>
      </c>
      <c r="L1574" t="str">
        <f>VLOOKUP(VALUE(LEFT(C1574,5)),Xref!A:B,2,0)</f>
        <v>WES</v>
      </c>
      <c r="M1574" t="str">
        <f t="shared" si="99"/>
        <v>EAM-WES</v>
      </c>
    </row>
    <row r="1575" spans="1:13" ht="14.25" customHeight="true">
      <c r="A1575" s="33" t="str">
        <f t="shared" si="96"/>
        <v>EAM - Intercompany</v>
      </c>
      <c r="B1575" s="33" t="str">
        <f t="shared" si="97"/>
        <v>EAM</v>
      </c>
      <c r="C1575" s="33" t="str">
        <f t="shared" si="98"/>
        <v>11340-0000</v>
      </c>
      <c r="D1575" t="s">
        <v>19638</v>
      </c>
      <c r="E1575" t="s">
        <v>14135</v>
      </c>
      <c r="F1575" t="s">
        <v>14039</v>
      </c>
      <c r="G1575" t="s">
        <v>14672</v>
      </c>
      <c r="H1575" t="s">
        <v>13869</v>
      </c>
      <c r="I1575" t="s">
        <v>14690</v>
      </c>
      <c r="J1575" s="62">
        <v>0</v>
      </c>
      <c r="K1575" s="62">
        <v>0</v>
      </c>
      <c r="L1575" t="str">
        <f>VLOOKUP(VALUE(LEFT(C1575,5)),Xref!A:B,2,0)</f>
        <v>LCP</v>
      </c>
      <c r="M1575" t="str">
        <f t="shared" si="99"/>
        <v>EAM-LCP</v>
      </c>
    </row>
    <row r="1576" spans="1:13" ht="14.25" customHeight="true">
      <c r="A1576" s="33" t="str">
        <f t="shared" si="96"/>
        <v>EAM - Intercompany</v>
      </c>
      <c r="B1576" s="33" t="str">
        <f t="shared" si="97"/>
        <v>EAM</v>
      </c>
      <c r="C1576" s="33" t="str">
        <f t="shared" si="98"/>
        <v>11341-0000</v>
      </c>
      <c r="D1576" t="s">
        <v>19639</v>
      </c>
      <c r="E1576" t="s">
        <v>13639</v>
      </c>
      <c r="F1576" t="s">
        <v>14039</v>
      </c>
      <c r="G1576" t="s">
        <v>14672</v>
      </c>
      <c r="H1576" t="s">
        <v>13869</v>
      </c>
      <c r="I1576" t="s">
        <v>14690</v>
      </c>
      <c r="J1576" s="62">
        <v>0</v>
      </c>
      <c r="K1576" s="62">
        <v>0</v>
      </c>
      <c r="L1576" t="str">
        <f>VLOOKUP(VALUE(LEFT(C1576,5)),Xref!A:B,2,0)</f>
        <v>NOR</v>
      </c>
      <c r="M1576" t="str">
        <f t="shared" si="99"/>
        <v>EAM-NOR</v>
      </c>
    </row>
    <row r="1577" spans="1:13" ht="14.25" customHeight="true">
      <c r="A1577" s="33" t="str">
        <f t="shared" si="96"/>
        <v>EAM - Intercompany</v>
      </c>
      <c r="B1577" s="33" t="str">
        <f t="shared" si="97"/>
        <v>EAM</v>
      </c>
      <c r="C1577" s="33" t="str">
        <f t="shared" si="98"/>
        <v>11342-0000</v>
      </c>
      <c r="D1577" t="s">
        <v>1085</v>
      </c>
      <c r="E1577" t="s">
        <v>13355</v>
      </c>
      <c r="F1577" t="s">
        <v>14039</v>
      </c>
      <c r="G1577" t="s">
        <v>14672</v>
      </c>
      <c r="H1577" t="s">
        <v>13869</v>
      </c>
      <c r="I1577" t="s">
        <v>14690</v>
      </c>
      <c r="J1577" s="62">
        <v>0</v>
      </c>
      <c r="K1577" s="62">
        <v>-2725000</v>
      </c>
      <c r="L1577" t="str">
        <f>VLOOKUP(VALUE(LEFT(C1577,5)),Xref!A:B,2,0)</f>
        <v>EAS</v>
      </c>
      <c r="M1577" t="str">
        <f t="shared" si="99"/>
        <v>EAM-EAS</v>
      </c>
    </row>
    <row r="1578" spans="1:13" ht="14.25" customHeight="true">
      <c r="A1578" s="33" t="str">
        <f t="shared" si="96"/>
        <v>EAM - Intercompany</v>
      </c>
      <c r="B1578" s="33" t="str">
        <f t="shared" si="97"/>
        <v>EAM</v>
      </c>
      <c r="C1578" s="33" t="str">
        <f t="shared" si="98"/>
        <v>11343-0000</v>
      </c>
      <c r="D1578" t="s">
        <v>19640</v>
      </c>
      <c r="E1578" t="s">
        <v>14139</v>
      </c>
      <c r="F1578" t="s">
        <v>14039</v>
      </c>
      <c r="G1578" t="s">
        <v>14672</v>
      </c>
      <c r="H1578" t="s">
        <v>13869</v>
      </c>
      <c r="I1578" t="s">
        <v>14690</v>
      </c>
      <c r="J1578" s="62">
        <v>0</v>
      </c>
      <c r="K1578" s="62">
        <v>-40000</v>
      </c>
      <c r="L1578" t="str">
        <f>VLOOKUP(VALUE(LEFT(C1578,5)),Xref!A:B,2,0)</f>
        <v>GRA</v>
      </c>
      <c r="M1578" t="str">
        <f t="shared" si="99"/>
        <v>EAM-GRA</v>
      </c>
    </row>
    <row r="1579" spans="1:13" ht="14.25" customHeight="true">
      <c r="A1579" s="33" t="str">
        <f t="shared" si="96"/>
        <v>EAM - Intercompany</v>
      </c>
      <c r="B1579" s="33" t="str">
        <f t="shared" si="97"/>
        <v>EAM</v>
      </c>
      <c r="C1579" s="33" t="str">
        <f t="shared" si="98"/>
        <v>11344-0000</v>
      </c>
      <c r="D1579" t="s">
        <v>19641</v>
      </c>
      <c r="E1579" t="s">
        <v>14141</v>
      </c>
      <c r="F1579" t="s">
        <v>14039</v>
      </c>
      <c r="G1579" t="s">
        <v>14672</v>
      </c>
      <c r="H1579" t="s">
        <v>13869</v>
      </c>
      <c r="I1579" t="s">
        <v>14690</v>
      </c>
      <c r="J1579" s="62">
        <v>0</v>
      </c>
      <c r="K1579" s="62">
        <v>0</v>
      </c>
      <c r="L1579" t="str">
        <f>VLOOKUP(VALUE(LEFT(C1579,5)),Xref!A:B,2,0)</f>
        <v>SOU</v>
      </c>
      <c r="M1579" t="str">
        <f t="shared" si="99"/>
        <v>EAM-SOU</v>
      </c>
    </row>
    <row r="1580" spans="1:13" ht="14.25" customHeight="true">
      <c r="A1580" s="33" t="str">
        <f t="shared" si="96"/>
        <v>EAM - Intercompany</v>
      </c>
      <c r="B1580" s="33" t="str">
        <f t="shared" si="97"/>
        <v>EAM</v>
      </c>
      <c r="C1580" s="33" t="str">
        <f t="shared" si="98"/>
        <v>11345-0000</v>
      </c>
      <c r="D1580" t="s">
        <v>19642</v>
      </c>
      <c r="E1580" t="s">
        <v>14143</v>
      </c>
      <c r="F1580" t="s">
        <v>14039</v>
      </c>
      <c r="G1580" t="s">
        <v>14672</v>
      </c>
      <c r="H1580" t="s">
        <v>13869</v>
      </c>
      <c r="I1580" t="s">
        <v>14690</v>
      </c>
      <c r="J1580" s="62">
        <v>0</v>
      </c>
      <c r="K1580" s="62">
        <v>0</v>
      </c>
      <c r="L1580" t="str">
        <f>VLOOKUP(VALUE(LEFT(C1580,5)),Xref!A:B,2,0)</f>
        <v>API</v>
      </c>
      <c r="M1580" t="str">
        <f t="shared" si="99"/>
        <v>API-EAM</v>
      </c>
    </row>
    <row r="1581" spans="1:13" ht="14.25" customHeight="true">
      <c r="A1581" s="33" t="str">
        <f t="shared" si="96"/>
        <v>EAM - Intercompany</v>
      </c>
      <c r="B1581" s="33" t="str">
        <f t="shared" si="97"/>
        <v>EAM</v>
      </c>
      <c r="C1581" s="33" t="str">
        <f t="shared" si="98"/>
        <v>11346-0000</v>
      </c>
      <c r="D1581" t="s">
        <v>19643</v>
      </c>
      <c r="E1581" t="s">
        <v>14145</v>
      </c>
      <c r="F1581" t="s">
        <v>14039</v>
      </c>
      <c r="G1581" t="s">
        <v>14672</v>
      </c>
      <c r="H1581" t="s">
        <v>13869</v>
      </c>
      <c r="I1581" t="s">
        <v>14690</v>
      </c>
      <c r="J1581" s="62">
        <v>0</v>
      </c>
      <c r="K1581" s="62">
        <v>0</v>
      </c>
      <c r="L1581" t="str">
        <f>VLOOKUP(VALUE(LEFT(C1581,5)),Xref!A:B,2,0)</f>
        <v>DPH</v>
      </c>
      <c r="M1581" t="str">
        <f t="shared" si="99"/>
        <v>DPH-EAM</v>
      </c>
    </row>
    <row r="1582" spans="1:13" ht="14.25" customHeight="true">
      <c r="A1582" s="33" t="str">
        <f t="shared" si="96"/>
        <v>EAM - Intercompany</v>
      </c>
      <c r="B1582" s="33" t="str">
        <f t="shared" si="97"/>
        <v>EAM</v>
      </c>
      <c r="C1582" s="33" t="str">
        <f t="shared" si="98"/>
        <v>11347-0000</v>
      </c>
      <c r="D1582" t="s">
        <v>19644</v>
      </c>
      <c r="E1582" t="s">
        <v>14147</v>
      </c>
      <c r="F1582" t="s">
        <v>14039</v>
      </c>
      <c r="G1582" t="s">
        <v>14672</v>
      </c>
      <c r="H1582" t="s">
        <v>13869</v>
      </c>
      <c r="I1582" t="s">
        <v>14690</v>
      </c>
      <c r="J1582" s="62">
        <v>0</v>
      </c>
      <c r="K1582" s="62">
        <v>0</v>
      </c>
      <c r="L1582" t="str">
        <f>VLOOKUP(VALUE(LEFT(C1582,5)),Xref!A:B,2,0)</f>
        <v>ZPI</v>
      </c>
      <c r="M1582" t="str">
        <f t="shared" si="99"/>
        <v>EAM-ZPI</v>
      </c>
    </row>
    <row r="1583" spans="1:13" ht="14.25" customHeight="true">
      <c r="A1583" s="33" t="str">
        <f t="shared" si="96"/>
        <v>EAM - Intercompany</v>
      </c>
      <c r="B1583" s="33" t="str">
        <f t="shared" si="97"/>
        <v>EAM</v>
      </c>
      <c r="C1583" s="33" t="str">
        <f t="shared" si="98"/>
        <v>11348-0000</v>
      </c>
      <c r="D1583" t="s">
        <v>19645</v>
      </c>
      <c r="E1583" t="s">
        <v>14149</v>
      </c>
      <c r="F1583" t="s">
        <v>14039</v>
      </c>
      <c r="G1583" t="s">
        <v>14672</v>
      </c>
      <c r="H1583" t="s">
        <v>13869</v>
      </c>
      <c r="I1583" t="s">
        <v>14690</v>
      </c>
      <c r="J1583" s="62">
        <v>0</v>
      </c>
      <c r="K1583" s="62">
        <v>0</v>
      </c>
      <c r="L1583" t="str">
        <f>VLOOKUP(VALUE(LEFT(C1583,5)),Xref!A:B,2,0)</f>
        <v>EAM</v>
      </c>
      <c r="M1583" t="str">
        <f t="shared" si="99"/>
        <v>EAM-EAM</v>
      </c>
    </row>
    <row r="1584" spans="1:13" ht="14.25" customHeight="true">
      <c r="A1584" s="33" t="str">
        <f t="shared" si="96"/>
        <v>EAM - Intercompany</v>
      </c>
      <c r="B1584" s="33" t="str">
        <f t="shared" si="97"/>
        <v>EAM</v>
      </c>
      <c r="C1584" s="33" t="str">
        <f t="shared" si="98"/>
        <v>11349-0000</v>
      </c>
      <c r="D1584" t="s">
        <v>19646</v>
      </c>
      <c r="E1584" t="s">
        <v>14151</v>
      </c>
      <c r="F1584" t="s">
        <v>14039</v>
      </c>
      <c r="G1584" t="s">
        <v>14672</v>
      </c>
      <c r="H1584" t="s">
        <v>13869</v>
      </c>
      <c r="I1584" t="s">
        <v>14690</v>
      </c>
      <c r="J1584" s="62">
        <v>0</v>
      </c>
      <c r="K1584" s="62">
        <v>0</v>
      </c>
      <c r="L1584" t="str">
        <f>VLOOKUP(VALUE(LEFT(C1584,5)),Xref!A:B,2,0)</f>
        <v>SEA</v>
      </c>
      <c r="M1584" t="str">
        <f t="shared" si="99"/>
        <v>EAM-SEA</v>
      </c>
    </row>
    <row r="1585" spans="1:13" ht="14.25" customHeight="true">
      <c r="A1585" s="33" t="str">
        <f t="shared" si="96"/>
        <v>EAM - Intercompany</v>
      </c>
      <c r="B1585" s="33" t="str">
        <f t="shared" si="97"/>
        <v>EAM</v>
      </c>
      <c r="C1585" s="33" t="str">
        <f t="shared" si="98"/>
        <v>11350-0000</v>
      </c>
      <c r="D1585" t="s">
        <v>19647</v>
      </c>
      <c r="E1585" t="s">
        <v>14153</v>
      </c>
      <c r="F1585" t="s">
        <v>14039</v>
      </c>
      <c r="G1585" t="s">
        <v>14672</v>
      </c>
      <c r="H1585" t="s">
        <v>13869</v>
      </c>
      <c r="I1585" t="s">
        <v>14690</v>
      </c>
      <c r="J1585" s="62">
        <v>0</v>
      </c>
      <c r="K1585" s="62">
        <v>-15.37</v>
      </c>
      <c r="L1585" t="str">
        <f>VLOOKUP(VALUE(LEFT(C1585,5)),Xref!A:B,2,0)</f>
        <v>EAL</v>
      </c>
      <c r="M1585" t="str">
        <f t="shared" si="99"/>
        <v>EAL-EAM</v>
      </c>
    </row>
    <row r="1586" spans="1:13" ht="14.25" customHeight="true">
      <c r="A1586" s="33" t="str">
        <f t="shared" si="96"/>
        <v>EAM - Intercompany</v>
      </c>
      <c r="B1586" s="33" t="str">
        <f t="shared" si="97"/>
        <v>EAM</v>
      </c>
      <c r="C1586" s="33" t="str">
        <f t="shared" si="98"/>
        <v>11351-0000</v>
      </c>
      <c r="D1586" t="s">
        <v>19648</v>
      </c>
      <c r="E1586" t="s">
        <v>14155</v>
      </c>
      <c r="F1586" t="s">
        <v>14039</v>
      </c>
      <c r="G1586" t="s">
        <v>14672</v>
      </c>
      <c r="H1586" t="s">
        <v>13869</v>
      </c>
      <c r="I1586" t="s">
        <v>14690</v>
      </c>
      <c r="J1586" s="62">
        <v>0</v>
      </c>
      <c r="K1586" s="62">
        <v>0</v>
      </c>
      <c r="L1586" t="str">
        <f>VLOOKUP(VALUE(LEFT(C1586,5)),Xref!A:B,2,0)</f>
        <v>WEP</v>
      </c>
      <c r="M1586" t="str">
        <f t="shared" si="99"/>
        <v>EAM-WEP</v>
      </c>
    </row>
    <row r="1587" spans="1:13" ht="14.25" customHeight="true">
      <c r="A1587" s="33" t="str">
        <f t="shared" si="96"/>
        <v>EAM - Intercompany</v>
      </c>
      <c r="B1587" s="33" t="str">
        <f t="shared" si="97"/>
        <v>EAM</v>
      </c>
      <c r="C1587" s="33" t="str">
        <f t="shared" si="98"/>
        <v>11352-0000</v>
      </c>
      <c r="D1587" t="s">
        <v>19649</v>
      </c>
      <c r="E1587" t="s">
        <v>13536</v>
      </c>
      <c r="F1587" t="s">
        <v>14039</v>
      </c>
      <c r="G1587" t="s">
        <v>14672</v>
      </c>
      <c r="H1587" t="s">
        <v>13869</v>
      </c>
      <c r="I1587" t="s">
        <v>14690</v>
      </c>
      <c r="J1587" s="62">
        <v>0</v>
      </c>
      <c r="K1587" s="62">
        <v>0</v>
      </c>
      <c r="L1587" t="str">
        <f>VLOOKUP(VALUE(LEFT(C1587,5)),Xref!A:B,2,0)</f>
        <v>KLP</v>
      </c>
      <c r="M1587" t="str">
        <f t="shared" si="99"/>
        <v>EAM-KLP</v>
      </c>
    </row>
    <row r="1588" spans="1:13" ht="14.25" customHeight="true">
      <c r="A1588" s="33" t="str">
        <f t="shared" si="96"/>
        <v>EAM - Intercompany</v>
      </c>
      <c r="B1588" s="33" t="str">
        <f t="shared" si="97"/>
        <v>EAM</v>
      </c>
      <c r="C1588" s="33" t="str">
        <f t="shared" si="98"/>
        <v>11353-0000</v>
      </c>
      <c r="D1588" t="s">
        <v>19650</v>
      </c>
      <c r="E1588" t="s">
        <v>13537</v>
      </c>
      <c r="F1588" t="s">
        <v>14039</v>
      </c>
      <c r="G1588" t="s">
        <v>14672</v>
      </c>
      <c r="H1588" t="s">
        <v>13869</v>
      </c>
      <c r="I1588" t="s">
        <v>14690</v>
      </c>
      <c r="J1588" s="62">
        <v>0</v>
      </c>
      <c r="K1588" s="62">
        <v>0</v>
      </c>
      <c r="L1588" t="str">
        <f>VLOOKUP(VALUE(LEFT(C1588,5)),Xref!A:B,2,0)</f>
        <v>AKC</v>
      </c>
      <c r="M1588" t="str">
        <f t="shared" si="99"/>
        <v>AKC-EAM</v>
      </c>
    </row>
    <row r="1589" spans="1:13" ht="14.25" customHeight="true">
      <c r="A1589" s="33" t="str">
        <f t="shared" si="96"/>
        <v>EAM - Intercompany</v>
      </c>
      <c r="B1589" s="33" t="str">
        <f t="shared" si="97"/>
        <v>EAM</v>
      </c>
      <c r="C1589" s="33" t="str">
        <f t="shared" si="98"/>
        <v>11354-0000</v>
      </c>
      <c r="D1589" t="s">
        <v>19651</v>
      </c>
      <c r="E1589" t="s">
        <v>13538</v>
      </c>
      <c r="F1589" t="s">
        <v>14039</v>
      </c>
      <c r="G1589" t="s">
        <v>14672</v>
      </c>
      <c r="H1589" t="s">
        <v>13869</v>
      </c>
      <c r="I1589" t="s">
        <v>14690</v>
      </c>
      <c r="J1589" s="62">
        <v>0</v>
      </c>
      <c r="K1589" s="62">
        <v>0</v>
      </c>
      <c r="L1589" t="str">
        <f>VLOOKUP(VALUE(LEFT(C1589,5)),Xref!A:B,2,0)</f>
        <v>AKA</v>
      </c>
      <c r="M1589" t="str">
        <f t="shared" si="99"/>
        <v>AKA-EAM</v>
      </c>
    </row>
    <row r="1590" spans="1:13" ht="14.25" customHeight="true">
      <c r="A1590" s="33" t="str">
        <f t="shared" si="96"/>
        <v>EAM - Intercompany</v>
      </c>
      <c r="B1590" s="33" t="str">
        <f t="shared" si="97"/>
        <v>EAM</v>
      </c>
      <c r="C1590" s="33" t="str">
        <f t="shared" si="98"/>
        <v>11355-0000</v>
      </c>
      <c r="D1590" t="s">
        <v>19652</v>
      </c>
      <c r="E1590" t="s">
        <v>13539</v>
      </c>
      <c r="F1590" t="s">
        <v>14039</v>
      </c>
      <c r="G1590" t="s">
        <v>14672</v>
      </c>
      <c r="H1590" t="s">
        <v>13869</v>
      </c>
      <c r="I1590" t="s">
        <v>14690</v>
      </c>
      <c r="J1590" s="62">
        <v>0</v>
      </c>
      <c r="K1590" s="62">
        <v>0</v>
      </c>
      <c r="L1590" t="str">
        <f>VLOOKUP(VALUE(LEFT(C1590,5)),Xref!A:B,2,0)</f>
        <v>SPA</v>
      </c>
      <c r="M1590" t="str">
        <f t="shared" si="99"/>
        <v>EAM-SPA</v>
      </c>
    </row>
    <row r="1591" spans="1:13" ht="14.25" customHeight="true">
      <c r="A1591" s="33" t="str">
        <f t="shared" si="96"/>
        <v>EAM - Intercompany</v>
      </c>
      <c r="B1591" s="33" t="str">
        <f t="shared" si="97"/>
        <v>EAM</v>
      </c>
      <c r="C1591" s="33" t="str">
        <f t="shared" si="98"/>
        <v>11356-0000</v>
      </c>
      <c r="D1591" t="s">
        <v>19653</v>
      </c>
      <c r="E1591" t="s">
        <v>13540</v>
      </c>
      <c r="F1591" t="s">
        <v>14039</v>
      </c>
      <c r="G1591" t="s">
        <v>14672</v>
      </c>
      <c r="H1591" t="s">
        <v>13869</v>
      </c>
      <c r="I1591" t="s">
        <v>14690</v>
      </c>
      <c r="J1591" s="62">
        <v>0</v>
      </c>
      <c r="K1591" s="62">
        <v>0</v>
      </c>
      <c r="L1591" t="str">
        <f>VLOOKUP(VALUE(LEFT(C1591,5)),Xref!A:B,2,0)</f>
        <v>DPM</v>
      </c>
      <c r="M1591" t="str">
        <f t="shared" si="99"/>
        <v>DPM-EAM</v>
      </c>
    </row>
    <row r="1592" spans="1:13" ht="14.25" customHeight="true">
      <c r="A1592" s="33" t="str">
        <f t="shared" si="96"/>
        <v>EAM - Intercompany</v>
      </c>
      <c r="B1592" s="33" t="str">
        <f t="shared" si="97"/>
        <v>EAM</v>
      </c>
      <c r="C1592" s="33" t="str">
        <f t="shared" si="98"/>
        <v>11357-0000</v>
      </c>
      <c r="D1592" t="s">
        <v>19654</v>
      </c>
      <c r="E1592" t="s">
        <v>13541</v>
      </c>
      <c r="F1592" t="s">
        <v>14039</v>
      </c>
      <c r="G1592" t="s">
        <v>14672</v>
      </c>
      <c r="H1592" t="s">
        <v>13869</v>
      </c>
      <c r="I1592" t="s">
        <v>14690</v>
      </c>
      <c r="J1592" s="62">
        <v>0</v>
      </c>
      <c r="K1592" s="62">
        <v>0</v>
      </c>
      <c r="L1592" t="str">
        <f>VLOOKUP(VALUE(LEFT(C1592,5)),Xref!A:B,2,0)</f>
        <v>HDM</v>
      </c>
      <c r="M1592" t="str">
        <f t="shared" si="99"/>
        <v>EAM-HDM</v>
      </c>
    </row>
    <row r="1593" spans="1:13" ht="14.25" customHeight="true">
      <c r="A1593" s="33" t="str">
        <f t="shared" si="96"/>
        <v>EAM - Intercompany</v>
      </c>
      <c r="B1593" s="33" t="str">
        <f t="shared" si="97"/>
        <v>EAM</v>
      </c>
      <c r="C1593" s="33" t="str">
        <f t="shared" si="98"/>
        <v>11358-0000</v>
      </c>
      <c r="D1593" t="s">
        <v>19655</v>
      </c>
      <c r="E1593" t="s">
        <v>13542</v>
      </c>
      <c r="F1593" t="s">
        <v>14039</v>
      </c>
      <c r="G1593" t="s">
        <v>14672</v>
      </c>
      <c r="H1593" t="s">
        <v>13869</v>
      </c>
      <c r="I1593" t="s">
        <v>14690</v>
      </c>
      <c r="J1593" s="62">
        <v>0</v>
      </c>
      <c r="K1593" s="62">
        <v>0</v>
      </c>
      <c r="L1593" t="str">
        <f>VLOOKUP(VALUE(LEFT(C1593,5)),Xref!A:B,2,0)</f>
        <v>GRA</v>
      </c>
      <c r="M1593" t="str">
        <f t="shared" si="99"/>
        <v>EAM-GRA</v>
      </c>
    </row>
    <row r="1594" spans="1:13" ht="14.25" customHeight="true">
      <c r="A1594" s="33" t="str">
        <f t="shared" si="96"/>
        <v>EAM - Intercompany</v>
      </c>
      <c r="B1594" s="33" t="str">
        <f t="shared" si="97"/>
        <v>EAM</v>
      </c>
      <c r="C1594" s="33" t="str">
        <f t="shared" si="98"/>
        <v>11359-0000</v>
      </c>
      <c r="D1594" t="s">
        <v>19656</v>
      </c>
      <c r="E1594" t="s">
        <v>13543</v>
      </c>
      <c r="F1594" t="s">
        <v>14039</v>
      </c>
      <c r="G1594" t="s">
        <v>14672</v>
      </c>
      <c r="H1594" t="s">
        <v>13869</v>
      </c>
      <c r="I1594" t="s">
        <v>14690</v>
      </c>
      <c r="J1594" s="62">
        <v>0</v>
      </c>
      <c r="K1594" s="62">
        <v>0</v>
      </c>
      <c r="L1594" t="str">
        <f>VLOOKUP(VALUE(LEFT(C1594,5)),Xref!A:B,2,0)</f>
        <v>TPI</v>
      </c>
      <c r="M1594" t="str">
        <f t="shared" si="99"/>
        <v>EAM-TPI</v>
      </c>
    </row>
    <row r="1595" spans="1:13" ht="14.25" customHeight="true">
      <c r="A1595" s="33" t="str">
        <f t="shared" si="96"/>
        <v>EAM - Intercompany</v>
      </c>
      <c r="B1595" s="33" t="str">
        <f t="shared" si="97"/>
        <v>EAM</v>
      </c>
      <c r="C1595" s="33" t="str">
        <f t="shared" si="98"/>
        <v>11361-0000</v>
      </c>
      <c r="D1595" t="s">
        <v>19657</v>
      </c>
      <c r="E1595" t="s">
        <v>14165</v>
      </c>
      <c r="F1595" t="s">
        <v>14039</v>
      </c>
      <c r="G1595" t="s">
        <v>14672</v>
      </c>
      <c r="H1595" t="s">
        <v>13869</v>
      </c>
      <c r="I1595" t="s">
        <v>14690</v>
      </c>
      <c r="J1595" s="62">
        <v>0</v>
      </c>
      <c r="K1595" s="62">
        <v>0</v>
      </c>
      <c r="L1595" t="str">
        <f>VLOOKUP(VALUE(LEFT(C1595,5)),Xref!A:B,2,0)</f>
        <v>GSM</v>
      </c>
      <c r="M1595" t="str">
        <f t="shared" si="99"/>
        <v>EAM-GSM</v>
      </c>
    </row>
    <row r="1596" spans="1:13" ht="14.25" customHeight="true">
      <c r="A1596" s="33" t="str">
        <f t="shared" si="96"/>
        <v>EAM - Intercompany</v>
      </c>
      <c r="B1596" s="33" t="str">
        <f t="shared" si="97"/>
        <v>EAM</v>
      </c>
      <c r="C1596" s="33" t="str">
        <f t="shared" si="98"/>
        <v>11363-0000</v>
      </c>
      <c r="D1596" t="s">
        <v>19658</v>
      </c>
      <c r="E1596" t="s">
        <v>13544</v>
      </c>
      <c r="F1596" t="s">
        <v>14039</v>
      </c>
      <c r="G1596" t="s">
        <v>14672</v>
      </c>
      <c r="H1596" t="s">
        <v>13869</v>
      </c>
      <c r="I1596" t="s">
        <v>14690</v>
      </c>
      <c r="J1596" s="62">
        <v>0</v>
      </c>
      <c r="K1596" s="62">
        <v>0</v>
      </c>
      <c r="L1596" t="str">
        <f>VLOOKUP(VALUE(LEFT(C1596,5)),Xref!A:B,2,0)</f>
        <v>SOF</v>
      </c>
      <c r="M1596" t="str">
        <f t="shared" si="99"/>
        <v>EAM-SOF</v>
      </c>
    </row>
    <row r="1597" spans="1:13" ht="14.25" customHeight="true">
      <c r="A1597" s="33" t="str">
        <f t="shared" si="96"/>
        <v>EAM - Intercompany</v>
      </c>
      <c r="B1597" s="33" t="str">
        <f t="shared" si="97"/>
        <v>EAM</v>
      </c>
      <c r="C1597" s="33" t="str">
        <f t="shared" si="98"/>
        <v>11364-0000</v>
      </c>
      <c r="D1597" t="s">
        <v>19659</v>
      </c>
      <c r="E1597" t="s">
        <v>14168</v>
      </c>
      <c r="F1597" t="s">
        <v>14039</v>
      </c>
      <c r="G1597" t="s">
        <v>14672</v>
      </c>
      <c r="H1597" t="s">
        <v>13869</v>
      </c>
      <c r="I1597" t="s">
        <v>14690</v>
      </c>
      <c r="J1597" s="62">
        <v>0</v>
      </c>
      <c r="K1597" s="62">
        <v>0</v>
      </c>
      <c r="L1597" t="e">
        <f>VLOOKUP(VALUE(LEFT(C1597,5)),Xref!A:B,2,0)</f>
        <v>#N/A</v>
      </c>
      <c r="M1597" t="e">
        <f t="shared" si="99"/>
        <v>#N/A</v>
      </c>
    </row>
    <row r="1598" spans="1:13" ht="14.25" customHeight="true">
      <c r="A1598" s="33" t="str">
        <f t="shared" si="96"/>
        <v>EAM - Intercompany</v>
      </c>
      <c r="B1598" s="33" t="str">
        <f t="shared" si="97"/>
        <v>EAM</v>
      </c>
      <c r="C1598" s="33" t="str">
        <f t="shared" si="98"/>
        <v>11365-0000</v>
      </c>
      <c r="D1598" t="s">
        <v>19660</v>
      </c>
      <c r="E1598" t="s">
        <v>14170</v>
      </c>
      <c r="F1598" t="s">
        <v>14039</v>
      </c>
      <c r="G1598" t="s">
        <v>14672</v>
      </c>
      <c r="H1598" t="s">
        <v>13869</v>
      </c>
      <c r="I1598" t="s">
        <v>14690</v>
      </c>
      <c r="J1598" s="62">
        <v>0</v>
      </c>
      <c r="K1598" s="62">
        <v>0</v>
      </c>
      <c r="L1598" t="e">
        <f>VLOOKUP(VALUE(LEFT(C1598,5)),Xref!A:B,2,0)</f>
        <v>#N/A</v>
      </c>
      <c r="M1598" t="e">
        <f t="shared" si="99"/>
        <v>#N/A</v>
      </c>
    </row>
    <row r="1599" spans="1:13" ht="14.25" customHeight="true">
      <c r="A1599" s="33" t="str">
        <f t="shared" si="96"/>
        <v>EAM - Intercompany</v>
      </c>
      <c r="B1599" s="33" t="str">
        <f t="shared" si="97"/>
        <v>EAM</v>
      </c>
      <c r="C1599" s="33" t="str">
        <f t="shared" si="98"/>
        <v>11366-0000</v>
      </c>
      <c r="D1599" t="s">
        <v>19661</v>
      </c>
      <c r="E1599" t="s">
        <v>14172</v>
      </c>
      <c r="G1599" t="s">
        <v>14672</v>
      </c>
      <c r="H1599" t="s">
        <v>13869</v>
      </c>
      <c r="I1599" t="s">
        <v>14690</v>
      </c>
      <c r="J1599" s="62">
        <v>0</v>
      </c>
      <c r="K1599" s="62">
        <v>0</v>
      </c>
      <c r="L1599" t="e">
        <f>VLOOKUP(VALUE(LEFT(C1599,5)),Xref!A:B,2,0)</f>
        <v>#N/A</v>
      </c>
      <c r="M1599" t="e">
        <f t="shared" si="99"/>
        <v>#N/A</v>
      </c>
    </row>
    <row r="1600" spans="1:13" ht="14.25" customHeight="true">
      <c r="A1600" s="33" t="str">
        <f t="shared" si="96"/>
        <v>EAM - Intercompany</v>
      </c>
      <c r="B1600" s="33" t="str">
        <f t="shared" si="97"/>
        <v>EAM</v>
      </c>
      <c r="C1600" s="33" t="str">
        <f t="shared" si="98"/>
        <v>11402-0000</v>
      </c>
      <c r="D1600" t="s">
        <v>19662</v>
      </c>
      <c r="E1600" t="s">
        <v>14174</v>
      </c>
      <c r="G1600" t="s">
        <v>14672</v>
      </c>
      <c r="H1600" t="s">
        <v>13869</v>
      </c>
      <c r="I1600" t="s">
        <v>14690</v>
      </c>
      <c r="J1600" s="62">
        <v>0</v>
      </c>
      <c r="K1600" s="62">
        <v>0</v>
      </c>
      <c r="L1600" t="str">
        <f>VLOOKUP(VALUE(LEFT(C1600,5)),Xref!A:B,2,0)</f>
        <v>DPI</v>
      </c>
      <c r="M1600" t="str">
        <f t="shared" si="99"/>
        <v>DPI-EAM</v>
      </c>
    </row>
    <row r="1601" spans="1:13" ht="14.25" customHeight="true">
      <c r="A1601" s="33" t="str">
        <f t="shared" si="96"/>
        <v>EAM - Intercompany</v>
      </c>
      <c r="B1601" s="33" t="str">
        <f t="shared" si="97"/>
        <v>EAM</v>
      </c>
      <c r="C1601" s="33" t="str">
        <f t="shared" si="98"/>
        <v>11403-0000</v>
      </c>
      <c r="D1601" t="s">
        <v>19663</v>
      </c>
      <c r="E1601" t="s">
        <v>14176</v>
      </c>
      <c r="G1601" t="s">
        <v>14672</v>
      </c>
      <c r="H1601" t="s">
        <v>13869</v>
      </c>
      <c r="I1601" t="s">
        <v>14690</v>
      </c>
      <c r="J1601" s="62">
        <v>0</v>
      </c>
      <c r="K1601" s="62">
        <v>0</v>
      </c>
      <c r="L1601" t="str">
        <f>VLOOKUP(VALUE(LEFT(C1601,5)),Xref!A:B,2,0)</f>
        <v>SEA</v>
      </c>
      <c r="M1601" t="str">
        <f t="shared" si="99"/>
        <v>EAM-SEA</v>
      </c>
    </row>
    <row r="1602" spans="1:13" ht="14.25" customHeight="true">
      <c r="A1602" s="33" t="str">
        <f t="shared" ref="A1602:A1665" si="100">B1602&amp;" - "&amp;TRIM(H1602)</f>
        <v>EAM - Intercompany</v>
      </c>
      <c r="B1602" s="33" t="str">
        <f t="shared" ref="B1602:B1665" si="101">LEFT(D1602,3)</f>
        <v>EAM</v>
      </c>
      <c r="C1602" s="33" t="str">
        <f t="shared" ref="C1602:C1665" si="102">RIGHT(D1602,10)</f>
        <v>12400-0000</v>
      </c>
      <c r="D1602" t="s">
        <v>19666</v>
      </c>
      <c r="E1602" t="s">
        <v>14185</v>
      </c>
      <c r="F1602" t="s">
        <v>14039</v>
      </c>
      <c r="G1602" t="s">
        <v>14672</v>
      </c>
      <c r="H1602" t="s">
        <v>13869</v>
      </c>
      <c r="I1602" t="s">
        <v>14690</v>
      </c>
      <c r="J1602" s="62">
        <v>0</v>
      </c>
      <c r="K1602" s="62">
        <v>0</v>
      </c>
      <c r="L1602" t="str">
        <f>VLOOKUP(VALUE(LEFT(C1602,5)),Xref!A:B,2,0)</f>
        <v>aka</v>
      </c>
      <c r="M1602" t="str">
        <f t="shared" ref="M1602:M1665" si="103">IF(B1602&lt;L1602,B1602&amp;"-"&amp;L1602,L1602&amp;"-"&amp;B1602)</f>
        <v>aka-EAM</v>
      </c>
    </row>
    <row r="1603" spans="1:13" ht="14.25" customHeight="true">
      <c r="A1603" s="33" t="str">
        <f t="shared" si="100"/>
        <v>EAM - Intercompany</v>
      </c>
      <c r="B1603" s="33" t="str">
        <f t="shared" si="101"/>
        <v>EAM</v>
      </c>
      <c r="C1603" s="33" t="str">
        <f t="shared" si="102"/>
        <v>12401-0000</v>
      </c>
      <c r="D1603" t="s">
        <v>19667</v>
      </c>
      <c r="E1603" t="s">
        <v>14187</v>
      </c>
      <c r="F1603" t="s">
        <v>14039</v>
      </c>
      <c r="G1603" t="s">
        <v>14672</v>
      </c>
      <c r="H1603" t="s">
        <v>13869</v>
      </c>
      <c r="I1603" t="s">
        <v>14690</v>
      </c>
      <c r="J1603" s="62">
        <v>0</v>
      </c>
      <c r="K1603" s="62">
        <v>0</v>
      </c>
      <c r="L1603" t="str">
        <f>VLOOKUP(VALUE(LEFT(C1603,5)),Xref!A:B,2,0)</f>
        <v>aka</v>
      </c>
      <c r="M1603" t="str">
        <f t="shared" si="103"/>
        <v>aka-EAM</v>
      </c>
    </row>
    <row r="1604" spans="1:13" ht="14.25" customHeight="true">
      <c r="A1604" s="33" t="str">
        <f t="shared" si="100"/>
        <v>EAM - Intercompany</v>
      </c>
      <c r="B1604" s="33" t="str">
        <f t="shared" si="101"/>
        <v>EAM</v>
      </c>
      <c r="C1604" s="33" t="str">
        <f t="shared" si="102"/>
        <v>12402-0000</v>
      </c>
      <c r="D1604" t="s">
        <v>19668</v>
      </c>
      <c r="E1604" t="s">
        <v>14189</v>
      </c>
      <c r="F1604" t="s">
        <v>14039</v>
      </c>
      <c r="G1604" t="s">
        <v>14672</v>
      </c>
      <c r="H1604" t="s">
        <v>13869</v>
      </c>
      <c r="I1604" t="s">
        <v>14690</v>
      </c>
      <c r="J1604" s="62">
        <v>0</v>
      </c>
      <c r="K1604" s="62">
        <v>0</v>
      </c>
      <c r="L1604" t="str">
        <f>VLOOKUP(VALUE(LEFT(C1604,5)),Xref!A:B,2,0)</f>
        <v>aka</v>
      </c>
      <c r="M1604" t="str">
        <f t="shared" si="103"/>
        <v>aka-EAM</v>
      </c>
    </row>
    <row r="1605" spans="1:13" ht="14.25" customHeight="true">
      <c r="A1605" s="33" t="str">
        <f t="shared" si="100"/>
        <v>EAM - Intercompany</v>
      </c>
      <c r="B1605" s="33" t="str">
        <f t="shared" si="101"/>
        <v>EAM</v>
      </c>
      <c r="C1605" s="33" t="str">
        <f t="shared" si="102"/>
        <v>12403-0000</v>
      </c>
      <c r="D1605" t="s">
        <v>19669</v>
      </c>
      <c r="E1605" t="s">
        <v>5226</v>
      </c>
      <c r="F1605" t="s">
        <v>14039</v>
      </c>
      <c r="G1605" t="s">
        <v>14672</v>
      </c>
      <c r="H1605" t="s">
        <v>13869</v>
      </c>
      <c r="I1605" t="s">
        <v>14690</v>
      </c>
      <c r="J1605" s="62">
        <v>0</v>
      </c>
      <c r="K1605" s="62">
        <v>0</v>
      </c>
      <c r="L1605" t="str">
        <f>VLOOKUP(VALUE(LEFT(C1605,5)),Xref!A:B,2,0)</f>
        <v>aka</v>
      </c>
      <c r="M1605" t="str">
        <f t="shared" si="103"/>
        <v>aka-EAM</v>
      </c>
    </row>
    <row r="1606" spans="1:13" ht="14.25" customHeight="true">
      <c r="A1606" s="33" t="str">
        <f t="shared" si="100"/>
        <v>EAM - Intercompany</v>
      </c>
      <c r="B1606" s="33" t="str">
        <f t="shared" si="101"/>
        <v>EAM</v>
      </c>
      <c r="C1606" s="33" t="str">
        <f t="shared" si="102"/>
        <v>12501-0000</v>
      </c>
      <c r="D1606" t="s">
        <v>19670</v>
      </c>
      <c r="E1606" t="s">
        <v>14192</v>
      </c>
      <c r="F1606" t="s">
        <v>14039</v>
      </c>
      <c r="G1606" t="s">
        <v>14672</v>
      </c>
      <c r="H1606" t="s">
        <v>13869</v>
      </c>
      <c r="I1606" t="s">
        <v>14690</v>
      </c>
      <c r="J1606" s="62">
        <v>0</v>
      </c>
      <c r="K1606" s="62">
        <v>0</v>
      </c>
      <c r="L1606" t="str">
        <f>VLOOKUP(VALUE(LEFT(C1606,5)),Xref!A:B,2,0)</f>
        <v>aka</v>
      </c>
      <c r="M1606" t="str">
        <f t="shared" si="103"/>
        <v>aka-EAM</v>
      </c>
    </row>
    <row r="1607" spans="1:13" ht="14.25" customHeight="true">
      <c r="A1607" s="33" t="str">
        <f t="shared" si="100"/>
        <v>EAM - InterCo Notes</v>
      </c>
      <c r="B1607" s="33" t="str">
        <f t="shared" si="101"/>
        <v>EAM</v>
      </c>
      <c r="C1607" s="33" t="str">
        <f t="shared" si="102"/>
        <v>25600-0000</v>
      </c>
      <c r="D1607" t="s">
        <v>19720</v>
      </c>
      <c r="E1607" t="s">
        <v>314</v>
      </c>
      <c r="F1607" t="s">
        <v>14039</v>
      </c>
      <c r="G1607" t="s">
        <v>14672</v>
      </c>
      <c r="H1607" t="s">
        <v>13889</v>
      </c>
      <c r="I1607" t="s">
        <v>14690</v>
      </c>
      <c r="J1607" s="62">
        <v>0</v>
      </c>
      <c r="K1607" s="62">
        <v>0</v>
      </c>
      <c r="L1607" t="str">
        <f>VLOOKUP(VALUE(LEFT(C1607,5)),Xref!A:B,2,0)</f>
        <v>D7</v>
      </c>
      <c r="M1607" t="str">
        <f t="shared" si="103"/>
        <v>D7-EAM</v>
      </c>
    </row>
    <row r="1608" spans="1:13" ht="14.25" customHeight="true">
      <c r="A1608" s="33" t="str">
        <f t="shared" si="100"/>
        <v>EAM - InterCo Notes</v>
      </c>
      <c r="B1608" s="33" t="str">
        <f t="shared" si="101"/>
        <v>EAM</v>
      </c>
      <c r="C1608" s="33" t="str">
        <f t="shared" si="102"/>
        <v>25602-0000</v>
      </c>
      <c r="D1608" t="s">
        <v>19722</v>
      </c>
      <c r="E1608" t="s">
        <v>13426</v>
      </c>
      <c r="F1608" t="s">
        <v>14039</v>
      </c>
      <c r="G1608" t="s">
        <v>14672</v>
      </c>
      <c r="H1608" t="s">
        <v>13889</v>
      </c>
      <c r="I1608" t="s">
        <v>14690</v>
      </c>
      <c r="J1608" s="62">
        <v>0</v>
      </c>
      <c r="K1608" s="62">
        <v>0</v>
      </c>
      <c r="L1608" t="str">
        <f>VLOOKUP(VALUE(LEFT(C1608,5)),Xref!A:B,2,0)</f>
        <v>DFLP</v>
      </c>
      <c r="M1608" t="str">
        <f t="shared" si="103"/>
        <v>DFLP-EAM</v>
      </c>
    </row>
    <row r="1609" spans="1:13" ht="14.25" customHeight="true">
      <c r="A1609" s="33" t="str">
        <f t="shared" si="100"/>
        <v>EAM - InterCo Notes</v>
      </c>
      <c r="B1609" s="33" t="str">
        <f t="shared" si="101"/>
        <v>EAM</v>
      </c>
      <c r="C1609" s="33" t="str">
        <f t="shared" si="102"/>
        <v>25603-0000</v>
      </c>
      <c r="D1609" t="s">
        <v>19723</v>
      </c>
      <c r="E1609" t="s">
        <v>14311</v>
      </c>
      <c r="F1609" t="s">
        <v>14039</v>
      </c>
      <c r="G1609" t="s">
        <v>14832</v>
      </c>
      <c r="H1609" t="s">
        <v>13889</v>
      </c>
      <c r="I1609" t="s">
        <v>14690</v>
      </c>
      <c r="J1609" s="62">
        <v>0</v>
      </c>
      <c r="K1609" s="62">
        <v>0</v>
      </c>
      <c r="L1609" t="str">
        <f>VLOOKUP(VALUE(LEFT(C1609,5)),Xref!A:B,2,0)</f>
        <v>aka</v>
      </c>
      <c r="M1609" t="str">
        <f t="shared" si="103"/>
        <v>aka-EAM</v>
      </c>
    </row>
    <row r="1610" spans="1:13" ht="14.25" customHeight="true">
      <c r="A1610" s="33" t="str">
        <f t="shared" si="100"/>
        <v>EAM - Intercompany</v>
      </c>
      <c r="B1610" s="33" t="str">
        <f t="shared" si="101"/>
        <v>EAM</v>
      </c>
      <c r="C1610" s="33" t="str">
        <f t="shared" si="102"/>
        <v>25604-0000</v>
      </c>
      <c r="D1610" t="s">
        <v>19724</v>
      </c>
      <c r="E1610" t="s">
        <v>13490</v>
      </c>
      <c r="F1610" t="s">
        <v>14039</v>
      </c>
      <c r="G1610" t="s">
        <v>14672</v>
      </c>
      <c r="H1610" t="s">
        <v>13869</v>
      </c>
      <c r="I1610" t="s">
        <v>14690</v>
      </c>
      <c r="J1610" s="62">
        <v>-5000</v>
      </c>
      <c r="K1610" s="62">
        <v>-5000</v>
      </c>
      <c r="L1610">
        <f>VLOOKUP(VALUE(LEFT(C1610,5)),Xref!A:B,2,0)</f>
        <v>0</v>
      </c>
      <c r="M1610" t="str">
        <f t="shared" si="103"/>
        <v>0-EAM</v>
      </c>
    </row>
    <row r="1611" spans="1:13" ht="14.25" customHeight="true">
      <c r="A1611" s="33" t="str">
        <f t="shared" si="100"/>
        <v>FFC - Intercompany</v>
      </c>
      <c r="B1611" s="33" t="str">
        <f t="shared" si="101"/>
        <v>FFC</v>
      </c>
      <c r="C1611" s="33" t="str">
        <f t="shared" si="102"/>
        <v>11200-0000</v>
      </c>
      <c r="D1611" t="s">
        <v>1123</v>
      </c>
      <c r="E1611" t="s">
        <v>620</v>
      </c>
      <c r="F1611" t="s">
        <v>13795</v>
      </c>
      <c r="G1611" t="s">
        <v>16</v>
      </c>
      <c r="H1611" t="s">
        <v>13869</v>
      </c>
      <c r="I1611" t="s">
        <v>40</v>
      </c>
      <c r="J1611" s="62">
        <v>-92340.17</v>
      </c>
      <c r="K1611" s="62">
        <v>-93492.46</v>
      </c>
      <c r="L1611" t="str">
        <f>VLOOKUP(VALUE(LEFT(C1611,5)),Xref!A:B,2,0)</f>
        <v>SCL</v>
      </c>
      <c r="M1611" t="str">
        <f t="shared" si="103"/>
        <v>FFC-SCL</v>
      </c>
    </row>
    <row r="1612" spans="1:13" ht="14.25" customHeight="true">
      <c r="A1612" s="33" t="str">
        <f t="shared" si="100"/>
        <v>FFC - Intercompany</v>
      </c>
      <c r="B1612" s="33" t="str">
        <f t="shared" si="101"/>
        <v>FFC</v>
      </c>
      <c r="C1612" s="33" t="str">
        <f t="shared" si="102"/>
        <v>11207-0000</v>
      </c>
      <c r="D1612" t="s">
        <v>1124</v>
      </c>
      <c r="E1612" t="s">
        <v>1125</v>
      </c>
      <c r="F1612" t="s">
        <v>13795</v>
      </c>
      <c r="G1612" t="s">
        <v>16</v>
      </c>
      <c r="H1612" t="s">
        <v>13869</v>
      </c>
      <c r="I1612" t="s">
        <v>40</v>
      </c>
      <c r="J1612" s="62">
        <v>5000</v>
      </c>
      <c r="K1612" s="62">
        <v>600364.77</v>
      </c>
      <c r="L1612" t="str">
        <f>VLOOKUP(VALUE(LEFT(C1612,5)),Xref!A:B,2,0)</f>
        <v>DFL</v>
      </c>
      <c r="M1612" t="str">
        <f t="shared" si="103"/>
        <v>DFL-FFC</v>
      </c>
    </row>
    <row r="1613" spans="1:13" ht="14.25" customHeight="true">
      <c r="A1613" s="33" t="str">
        <f t="shared" si="100"/>
        <v>FFC - Intercompany</v>
      </c>
      <c r="B1613" s="33" t="str">
        <f t="shared" si="101"/>
        <v>FFC</v>
      </c>
      <c r="C1613" s="33" t="str">
        <f t="shared" si="102"/>
        <v>11212-0000</v>
      </c>
      <c r="D1613" t="s">
        <v>1126</v>
      </c>
      <c r="E1613" t="s">
        <v>1127</v>
      </c>
      <c r="F1613" t="s">
        <v>13795</v>
      </c>
      <c r="G1613" t="s">
        <v>16</v>
      </c>
      <c r="H1613" t="s">
        <v>13869</v>
      </c>
      <c r="I1613" t="s">
        <v>40</v>
      </c>
      <c r="J1613" s="62">
        <v>0</v>
      </c>
      <c r="K1613" s="62">
        <v>4507.7</v>
      </c>
      <c r="L1613" t="str">
        <f>VLOOKUP(VALUE(LEFT(C1613,5)),Xref!A:B,2,0)</f>
        <v>FRM</v>
      </c>
      <c r="M1613" t="str">
        <f t="shared" si="103"/>
        <v>FFC-FRM</v>
      </c>
    </row>
    <row r="1614" spans="1:13" ht="14.25" customHeight="true">
      <c r="A1614" s="33" t="str">
        <f t="shared" si="100"/>
        <v>FFC - Intercompany</v>
      </c>
      <c r="B1614" s="33" t="str">
        <f t="shared" si="101"/>
        <v>FFC</v>
      </c>
      <c r="C1614" s="33" t="str">
        <f t="shared" si="102"/>
        <v>11222-0000</v>
      </c>
      <c r="D1614" t="s">
        <v>1128</v>
      </c>
      <c r="E1614" t="s">
        <v>1129</v>
      </c>
      <c r="F1614" t="s">
        <v>13795</v>
      </c>
      <c r="G1614" t="s">
        <v>16</v>
      </c>
      <c r="H1614" t="s">
        <v>13869</v>
      </c>
      <c r="I1614" t="s">
        <v>40</v>
      </c>
      <c r="J1614" s="62">
        <v>0</v>
      </c>
      <c r="K1614" s="62">
        <v>1461.62</v>
      </c>
      <c r="L1614" t="str">
        <f>VLOOKUP(VALUE(LEFT(C1614,5)),Xref!A:B,2,0)</f>
        <v>RCI</v>
      </c>
      <c r="M1614" t="str">
        <f t="shared" si="103"/>
        <v>FFC-RCI</v>
      </c>
    </row>
    <row r="1615" spans="1:13" ht="14.25" customHeight="true">
      <c r="A1615" s="33" t="str">
        <f t="shared" si="100"/>
        <v>FRM - Intercompany</v>
      </c>
      <c r="B1615" s="33" t="str">
        <f t="shared" si="101"/>
        <v>FRM</v>
      </c>
      <c r="C1615" s="33" t="str">
        <f t="shared" si="102"/>
        <v>11200-0000</v>
      </c>
      <c r="D1615" t="s">
        <v>1196</v>
      </c>
      <c r="E1615" t="s">
        <v>620</v>
      </c>
      <c r="F1615" t="s">
        <v>13793</v>
      </c>
      <c r="G1615" t="s">
        <v>16</v>
      </c>
      <c r="H1615" t="s">
        <v>13869</v>
      </c>
      <c r="I1615" t="s">
        <v>40</v>
      </c>
      <c r="J1615" s="62">
        <v>0</v>
      </c>
      <c r="K1615" s="62">
        <v>-470505.53</v>
      </c>
      <c r="L1615" t="str">
        <f>VLOOKUP(VALUE(LEFT(C1615,5)),Xref!A:B,2,0)</f>
        <v>SCL</v>
      </c>
      <c r="M1615" t="str">
        <f t="shared" si="103"/>
        <v>FRM-SCL</v>
      </c>
    </row>
    <row r="1616" spans="1:13" ht="14.25" customHeight="true">
      <c r="A1616" s="33" t="str">
        <f t="shared" si="100"/>
        <v>FRM - Intercompany</v>
      </c>
      <c r="B1616" s="33" t="str">
        <f t="shared" si="101"/>
        <v>FRM</v>
      </c>
      <c r="C1616" s="33" t="str">
        <f t="shared" si="102"/>
        <v>11202-0000</v>
      </c>
      <c r="D1616" t="s">
        <v>1197</v>
      </c>
      <c r="E1616" t="s">
        <v>1198</v>
      </c>
      <c r="F1616" t="s">
        <v>13793</v>
      </c>
      <c r="G1616" t="s">
        <v>16</v>
      </c>
      <c r="H1616" t="s">
        <v>13869</v>
      </c>
      <c r="I1616" t="s">
        <v>40</v>
      </c>
      <c r="J1616" s="62">
        <v>0</v>
      </c>
      <c r="K1616" s="62">
        <v>-4507.7</v>
      </c>
      <c r="L1616" t="str">
        <f>VLOOKUP(VALUE(LEFT(C1616,5)),Xref!A:B,2,0)</f>
        <v>FFC</v>
      </c>
      <c r="M1616" t="str">
        <f t="shared" si="103"/>
        <v>FFC-FRM</v>
      </c>
    </row>
    <row r="1617" spans="1:13" ht="14.25" customHeight="true">
      <c r="A1617" s="33" t="str">
        <f t="shared" si="100"/>
        <v>FRM - Intercompany</v>
      </c>
      <c r="B1617" s="33" t="str">
        <f t="shared" si="101"/>
        <v>FRM</v>
      </c>
      <c r="C1617" s="33" t="str">
        <f t="shared" si="102"/>
        <v>11204-0000</v>
      </c>
      <c r="D1617" t="s">
        <v>1199</v>
      </c>
      <c r="E1617" t="s">
        <v>1200</v>
      </c>
      <c r="F1617" t="s">
        <v>13793</v>
      </c>
      <c r="G1617" t="s">
        <v>16</v>
      </c>
      <c r="H1617" t="s">
        <v>13869</v>
      </c>
      <c r="I1617" t="s">
        <v>40</v>
      </c>
      <c r="J1617" s="62">
        <v>0</v>
      </c>
      <c r="K1617" s="62">
        <v>-21286.16</v>
      </c>
      <c r="L1617" t="str">
        <f>VLOOKUP(VALUE(LEFT(C1617,5)),Xref!A:B,2,0)</f>
        <v>DF2</v>
      </c>
      <c r="M1617" t="str">
        <f t="shared" si="103"/>
        <v>DF2-FRM</v>
      </c>
    </row>
    <row r="1618" spans="1:13" ht="14.25" customHeight="true">
      <c r="A1618" s="33" t="str">
        <f t="shared" si="100"/>
        <v>FSH - Intercompany</v>
      </c>
      <c r="B1618" s="33" t="str">
        <f t="shared" si="101"/>
        <v>FSH</v>
      </c>
      <c r="C1618" s="33" t="str">
        <f t="shared" si="102"/>
        <v>11200-0000</v>
      </c>
      <c r="D1618" t="s">
        <v>1231</v>
      </c>
      <c r="E1618" t="s">
        <v>38</v>
      </c>
      <c r="F1618" t="s">
        <v>30843</v>
      </c>
      <c r="G1618" t="s">
        <v>16</v>
      </c>
      <c r="H1618" t="s">
        <v>13869</v>
      </c>
      <c r="I1618" t="s">
        <v>40</v>
      </c>
      <c r="J1618" s="62">
        <v>-1000</v>
      </c>
      <c r="K1618" s="62">
        <v>-890655.42</v>
      </c>
      <c r="L1618" t="str">
        <f>VLOOKUP(VALUE(LEFT(C1618,5)),Xref!A:B,2,0)</f>
        <v>SCL</v>
      </c>
      <c r="M1618" t="str">
        <f t="shared" si="103"/>
        <v>FSH-SCL</v>
      </c>
    </row>
    <row r="1619" spans="1:13" ht="14.25" customHeight="true">
      <c r="A1619" s="33" t="str">
        <f t="shared" si="100"/>
        <v>FSH - Intercompany</v>
      </c>
      <c r="B1619" s="33" t="str">
        <f t="shared" si="101"/>
        <v>FSH</v>
      </c>
      <c r="C1619" s="33" t="str">
        <f t="shared" si="102"/>
        <v>11201-0000</v>
      </c>
      <c r="D1619" t="s">
        <v>1232</v>
      </c>
      <c r="E1619" t="s">
        <v>765</v>
      </c>
      <c r="F1619" t="s">
        <v>30843</v>
      </c>
      <c r="G1619" t="s">
        <v>16</v>
      </c>
      <c r="H1619" t="s">
        <v>13869</v>
      </c>
      <c r="I1619" t="s">
        <v>40</v>
      </c>
      <c r="J1619" s="62">
        <v>-132</v>
      </c>
      <c r="K1619" s="62">
        <v>-4974.64</v>
      </c>
      <c r="L1619" t="str">
        <f>VLOOKUP(VALUE(LEFT(C1619,5)),Xref!A:B,2,0)</f>
        <v>SG2</v>
      </c>
      <c r="M1619" t="str">
        <f t="shared" si="103"/>
        <v>FSH-SG2</v>
      </c>
    </row>
    <row r="1620" spans="1:13" ht="14.25" customHeight="true">
      <c r="A1620" s="33" t="str">
        <f t="shared" si="100"/>
        <v>FSH - Intercompany</v>
      </c>
      <c r="B1620" s="33" t="str">
        <f t="shared" si="101"/>
        <v>FSH</v>
      </c>
      <c r="C1620" s="33" t="str">
        <f t="shared" si="102"/>
        <v>11204-0000</v>
      </c>
      <c r="D1620" t="s">
        <v>1233</v>
      </c>
      <c r="E1620" t="s">
        <v>1234</v>
      </c>
      <c r="F1620" t="s">
        <v>30843</v>
      </c>
      <c r="G1620" t="s">
        <v>16</v>
      </c>
      <c r="H1620" t="s">
        <v>13869</v>
      </c>
      <c r="I1620" t="s">
        <v>40</v>
      </c>
      <c r="J1620" s="62">
        <v>0</v>
      </c>
      <c r="K1620" s="62">
        <v>-279643.71</v>
      </c>
      <c r="L1620" t="str">
        <f>VLOOKUP(VALUE(LEFT(C1620,5)),Xref!A:B,2,0)</f>
        <v>DF2</v>
      </c>
      <c r="M1620" t="str">
        <f t="shared" si="103"/>
        <v>DF2-FSH</v>
      </c>
    </row>
    <row r="1621" spans="1:13" ht="14.25" customHeight="true">
      <c r="A1621" s="33" t="str">
        <f t="shared" si="100"/>
        <v>GPI - Intercompany</v>
      </c>
      <c r="B1621" s="33" t="str">
        <f t="shared" si="101"/>
        <v>GPI</v>
      </c>
      <c r="C1621" s="33" t="str">
        <f t="shared" si="102"/>
        <v>11200-0000</v>
      </c>
      <c r="D1621" t="s">
        <v>19890</v>
      </c>
      <c r="E1621" t="s">
        <v>14069</v>
      </c>
      <c r="F1621" t="s">
        <v>14039</v>
      </c>
      <c r="G1621" t="s">
        <v>14672</v>
      </c>
      <c r="H1621" t="s">
        <v>13869</v>
      </c>
      <c r="I1621" t="s">
        <v>14690</v>
      </c>
      <c r="J1621" s="62">
        <v>0</v>
      </c>
      <c r="K1621" s="62">
        <v>0</v>
      </c>
      <c r="L1621" t="str">
        <f>VLOOKUP(VALUE(LEFT(C1621,5)),Xref!A:B,2,0)</f>
        <v>SCL</v>
      </c>
      <c r="M1621" t="str">
        <f t="shared" si="103"/>
        <v>GPI-SCL</v>
      </c>
    </row>
    <row r="1622" spans="1:13" ht="14.25" customHeight="true">
      <c r="A1622" s="33" t="str">
        <f t="shared" si="100"/>
        <v>GPI - Intercompany</v>
      </c>
      <c r="B1622" s="33" t="str">
        <f t="shared" si="101"/>
        <v>GPI</v>
      </c>
      <c r="C1622" s="33" t="str">
        <f t="shared" si="102"/>
        <v>11201-0000</v>
      </c>
      <c r="D1622" t="s">
        <v>19891</v>
      </c>
      <c r="E1622" t="s">
        <v>14071</v>
      </c>
      <c r="F1622" t="s">
        <v>14039</v>
      </c>
      <c r="G1622" t="s">
        <v>14672</v>
      </c>
      <c r="H1622" t="s">
        <v>13869</v>
      </c>
      <c r="I1622" t="s">
        <v>14690</v>
      </c>
      <c r="J1622" s="62">
        <v>0</v>
      </c>
      <c r="K1622" s="62">
        <v>0</v>
      </c>
      <c r="L1622" t="str">
        <f>VLOOKUP(VALUE(LEFT(C1622,5)),Xref!A:B,2,0)</f>
        <v>SG2</v>
      </c>
      <c r="M1622" t="str">
        <f t="shared" si="103"/>
        <v>GPI-SG2</v>
      </c>
    </row>
    <row r="1623" spans="1:13" ht="14.25" customHeight="true">
      <c r="A1623" s="33" t="str">
        <f t="shared" si="100"/>
        <v>GPI - Intercompany</v>
      </c>
      <c r="B1623" s="33" t="str">
        <f t="shared" si="101"/>
        <v>GPI</v>
      </c>
      <c r="C1623" s="33" t="str">
        <f t="shared" si="102"/>
        <v>11202-0000</v>
      </c>
      <c r="D1623" t="s">
        <v>19892</v>
      </c>
      <c r="E1623" t="s">
        <v>14073</v>
      </c>
      <c r="F1623" t="s">
        <v>14039</v>
      </c>
      <c r="G1623" t="s">
        <v>14672</v>
      </c>
      <c r="H1623" t="s">
        <v>13869</v>
      </c>
      <c r="I1623" t="s">
        <v>14690</v>
      </c>
      <c r="J1623" s="62">
        <v>0</v>
      </c>
      <c r="K1623" s="62">
        <v>0</v>
      </c>
      <c r="L1623" t="str">
        <f>VLOOKUP(VALUE(LEFT(C1623,5)),Xref!A:B,2,0)</f>
        <v>FFC</v>
      </c>
      <c r="M1623" t="str">
        <f t="shared" si="103"/>
        <v>FFC-GPI</v>
      </c>
    </row>
    <row r="1624" spans="1:13" ht="14.25" customHeight="true">
      <c r="A1624" s="33" t="str">
        <f t="shared" si="100"/>
        <v>GPI - Intercompany</v>
      </c>
      <c r="B1624" s="33" t="str">
        <f t="shared" si="101"/>
        <v>GPI</v>
      </c>
      <c r="C1624" s="33" t="str">
        <f t="shared" si="102"/>
        <v>11203-0000</v>
      </c>
      <c r="D1624" t="s">
        <v>19893</v>
      </c>
      <c r="E1624" t="s">
        <v>14075</v>
      </c>
      <c r="F1624" t="s">
        <v>14039</v>
      </c>
      <c r="G1624" t="s">
        <v>14672</v>
      </c>
      <c r="H1624" t="s">
        <v>13869</v>
      </c>
      <c r="I1624" t="s">
        <v>14690</v>
      </c>
      <c r="J1624" s="62">
        <v>0</v>
      </c>
      <c r="K1624" s="62">
        <v>0</v>
      </c>
      <c r="L1624" t="str">
        <f>VLOOKUP(VALUE(LEFT(C1624,5)),Xref!A:B,2,0)</f>
        <v>HN2</v>
      </c>
      <c r="M1624" t="str">
        <f t="shared" si="103"/>
        <v>GPI-HN2</v>
      </c>
    </row>
    <row r="1625" spans="1:13" ht="14.25" customHeight="true">
      <c r="A1625" s="33" t="str">
        <f t="shared" si="100"/>
        <v>GPI - Intercompany</v>
      </c>
      <c r="B1625" s="33" t="str">
        <f t="shared" si="101"/>
        <v>GPI</v>
      </c>
      <c r="C1625" s="33" t="str">
        <f t="shared" si="102"/>
        <v>11204-0000</v>
      </c>
      <c r="D1625" t="s">
        <v>19894</v>
      </c>
      <c r="E1625" t="s">
        <v>14077</v>
      </c>
      <c r="F1625" t="s">
        <v>14039</v>
      </c>
      <c r="G1625" t="s">
        <v>14672</v>
      </c>
      <c r="H1625" t="s">
        <v>13869</v>
      </c>
      <c r="I1625" t="s">
        <v>14690</v>
      </c>
      <c r="J1625" s="62">
        <v>0</v>
      </c>
      <c r="K1625" s="62">
        <v>0</v>
      </c>
      <c r="L1625" t="str">
        <f>VLOOKUP(VALUE(LEFT(C1625,5)),Xref!A:B,2,0)</f>
        <v>DF2</v>
      </c>
      <c r="M1625" t="str">
        <f t="shared" si="103"/>
        <v>DF2-GPI</v>
      </c>
    </row>
    <row r="1626" spans="1:13" ht="14.25" customHeight="true">
      <c r="A1626" s="33" t="str">
        <f t="shared" si="100"/>
        <v>GPI - Intercompany</v>
      </c>
      <c r="B1626" s="33" t="str">
        <f t="shared" si="101"/>
        <v>GPI</v>
      </c>
      <c r="C1626" s="33" t="str">
        <f t="shared" si="102"/>
        <v>11208-0000</v>
      </c>
      <c r="D1626" t="s">
        <v>19895</v>
      </c>
      <c r="E1626" t="s">
        <v>14079</v>
      </c>
      <c r="F1626" t="s">
        <v>14039</v>
      </c>
      <c r="G1626" t="s">
        <v>14672</v>
      </c>
      <c r="H1626" t="s">
        <v>13869</v>
      </c>
      <c r="I1626" t="s">
        <v>14690</v>
      </c>
      <c r="J1626" s="62">
        <v>0</v>
      </c>
      <c r="K1626" s="62">
        <v>0</v>
      </c>
      <c r="L1626" t="str">
        <f>VLOOKUP(VALUE(LEFT(C1626,5)),Xref!A:B,2,0)</f>
        <v>SRE</v>
      </c>
      <c r="M1626" t="str">
        <f t="shared" si="103"/>
        <v>GPI-SRE</v>
      </c>
    </row>
    <row r="1627" spans="1:13" ht="14.25" customHeight="true">
      <c r="A1627" s="33" t="str">
        <f t="shared" si="100"/>
        <v>GPI - Intercompany</v>
      </c>
      <c r="B1627" s="33" t="str">
        <f t="shared" si="101"/>
        <v>GPI</v>
      </c>
      <c r="C1627" s="33" t="str">
        <f t="shared" si="102"/>
        <v>11210-0000</v>
      </c>
      <c r="D1627" t="s">
        <v>19896</v>
      </c>
      <c r="E1627" t="s">
        <v>14081</v>
      </c>
      <c r="F1627" t="s">
        <v>14039</v>
      </c>
      <c r="G1627" t="s">
        <v>14672</v>
      </c>
      <c r="H1627" t="s">
        <v>13869</v>
      </c>
      <c r="I1627" t="s">
        <v>14690</v>
      </c>
      <c r="J1627" s="62">
        <v>0</v>
      </c>
      <c r="K1627" s="62">
        <v>0</v>
      </c>
      <c r="L1627" t="str">
        <f>VLOOKUP(VALUE(LEFT(C1627,5)),Xref!A:B,2,0)</f>
        <v>REM</v>
      </c>
      <c r="M1627" t="str">
        <f t="shared" si="103"/>
        <v>GPI-REM</v>
      </c>
    </row>
    <row r="1628" spans="1:13" ht="14.25" customHeight="true">
      <c r="A1628" s="33" t="str">
        <f t="shared" si="100"/>
        <v>GPI - Intercompany</v>
      </c>
      <c r="B1628" s="33" t="str">
        <f t="shared" si="101"/>
        <v>GPI</v>
      </c>
      <c r="C1628" s="33" t="str">
        <f t="shared" si="102"/>
        <v>11212-0000</v>
      </c>
      <c r="D1628" t="s">
        <v>19897</v>
      </c>
      <c r="E1628" t="s">
        <v>14083</v>
      </c>
      <c r="F1628" t="s">
        <v>14039</v>
      </c>
      <c r="G1628" t="s">
        <v>14672</v>
      </c>
      <c r="H1628" t="s">
        <v>13869</v>
      </c>
      <c r="I1628" t="s">
        <v>14690</v>
      </c>
      <c r="J1628" s="62">
        <v>0</v>
      </c>
      <c r="K1628" s="62">
        <v>0</v>
      </c>
      <c r="L1628" t="str">
        <f>VLOOKUP(VALUE(LEFT(C1628,5)),Xref!A:B,2,0)</f>
        <v>FRM</v>
      </c>
      <c r="M1628" t="str">
        <f t="shared" si="103"/>
        <v>FRM-GPI</v>
      </c>
    </row>
    <row r="1629" spans="1:13" ht="14.25" customHeight="true">
      <c r="A1629" s="33" t="str">
        <f t="shared" si="100"/>
        <v>GPI - Intercompany</v>
      </c>
      <c r="B1629" s="33" t="str">
        <f t="shared" si="101"/>
        <v>GPI</v>
      </c>
      <c r="C1629" s="33" t="str">
        <f t="shared" si="102"/>
        <v>11214-0000</v>
      </c>
      <c r="D1629" t="s">
        <v>1258</v>
      </c>
      <c r="E1629" t="s">
        <v>14085</v>
      </c>
      <c r="F1629" t="s">
        <v>14039</v>
      </c>
      <c r="G1629" t="s">
        <v>14672</v>
      </c>
      <c r="H1629" t="s">
        <v>13869</v>
      </c>
      <c r="I1629" t="s">
        <v>14690</v>
      </c>
      <c r="J1629" s="62">
        <v>0</v>
      </c>
      <c r="K1629" s="62">
        <v>0</v>
      </c>
      <c r="L1629" t="str">
        <f>VLOOKUP(VALUE(LEFT(C1629,5)),Xref!A:B,2,0)</f>
        <v>D7R</v>
      </c>
      <c r="M1629" t="str">
        <f t="shared" si="103"/>
        <v>D7R-GPI</v>
      </c>
    </row>
    <row r="1630" spans="1:13" ht="14.25" customHeight="true">
      <c r="A1630" s="33" t="str">
        <f t="shared" si="100"/>
        <v>GPI - Intercompany</v>
      </c>
      <c r="B1630" s="33" t="str">
        <f t="shared" si="101"/>
        <v>GPI</v>
      </c>
      <c r="C1630" s="33" t="str">
        <f t="shared" si="102"/>
        <v>11215-0000</v>
      </c>
      <c r="D1630" t="s">
        <v>19898</v>
      </c>
      <c r="E1630" t="s">
        <v>14087</v>
      </c>
      <c r="F1630" t="s">
        <v>14039</v>
      </c>
      <c r="G1630" t="s">
        <v>14672</v>
      </c>
      <c r="H1630" t="s">
        <v>13869</v>
      </c>
      <c r="I1630" t="s">
        <v>14690</v>
      </c>
      <c r="J1630" s="62">
        <v>0</v>
      </c>
      <c r="K1630" s="62">
        <v>0</v>
      </c>
      <c r="L1630" t="str">
        <f>VLOOKUP(VALUE(LEFT(C1630,5)),Xref!A:B,2,0)</f>
        <v>CDP</v>
      </c>
      <c r="M1630" t="str">
        <f t="shared" si="103"/>
        <v>CDP-GPI</v>
      </c>
    </row>
    <row r="1631" spans="1:13" ht="14.25" customHeight="true">
      <c r="A1631" s="33" t="str">
        <f t="shared" si="100"/>
        <v>GPI - Intercompany</v>
      </c>
      <c r="B1631" s="33" t="str">
        <f t="shared" si="101"/>
        <v>GPI</v>
      </c>
      <c r="C1631" s="33" t="str">
        <f t="shared" si="102"/>
        <v>11216-0000</v>
      </c>
      <c r="D1631" t="s">
        <v>1259</v>
      </c>
      <c r="E1631" t="s">
        <v>13224</v>
      </c>
      <c r="F1631" t="s">
        <v>14039</v>
      </c>
      <c r="G1631" t="s">
        <v>14672</v>
      </c>
      <c r="H1631" t="s">
        <v>13869</v>
      </c>
      <c r="I1631" t="s">
        <v>14690</v>
      </c>
      <c r="J1631" s="62">
        <v>0</v>
      </c>
      <c r="K1631" s="62">
        <v>0</v>
      </c>
      <c r="L1631" t="str">
        <f>VLOOKUP(VALUE(LEFT(C1631,5)),Xref!A:B,2,0)</f>
        <v>SIL</v>
      </c>
      <c r="M1631" t="str">
        <f t="shared" si="103"/>
        <v>GPI-SIL</v>
      </c>
    </row>
    <row r="1632" spans="1:13" ht="14.25" customHeight="true">
      <c r="A1632" s="33" t="str">
        <f t="shared" si="100"/>
        <v>GPI - Intercompany</v>
      </c>
      <c r="B1632" s="33" t="str">
        <f t="shared" si="101"/>
        <v>GPI</v>
      </c>
      <c r="C1632" s="33" t="str">
        <f t="shared" si="102"/>
        <v>11232-0000</v>
      </c>
      <c r="D1632" t="s">
        <v>19899</v>
      </c>
      <c r="E1632" t="s">
        <v>12486</v>
      </c>
      <c r="F1632" t="s">
        <v>14039</v>
      </c>
      <c r="G1632" t="s">
        <v>14672</v>
      </c>
      <c r="H1632" t="s">
        <v>13869</v>
      </c>
      <c r="I1632" t="s">
        <v>14690</v>
      </c>
      <c r="J1632" s="62">
        <v>0</v>
      </c>
      <c r="K1632" s="62">
        <v>0</v>
      </c>
      <c r="L1632" t="str">
        <f>VLOOKUP(VALUE(LEFT(C1632,5)),Xref!A:B,2,0)</f>
        <v>SC2</v>
      </c>
      <c r="M1632" t="str">
        <f t="shared" si="103"/>
        <v>GPI-SC2</v>
      </c>
    </row>
    <row r="1633" spans="1:13" ht="14.25" customHeight="true">
      <c r="A1633" s="33" t="str">
        <f t="shared" si="100"/>
        <v>GPI - Intercompany</v>
      </c>
      <c r="B1633" s="33" t="str">
        <f t="shared" si="101"/>
        <v>GPI</v>
      </c>
      <c r="C1633" s="33" t="str">
        <f t="shared" si="102"/>
        <v>11301-0000</v>
      </c>
      <c r="D1633" t="s">
        <v>1260</v>
      </c>
      <c r="E1633" t="s">
        <v>13225</v>
      </c>
      <c r="F1633" t="s">
        <v>14039</v>
      </c>
      <c r="G1633" t="s">
        <v>14672</v>
      </c>
      <c r="H1633" t="s">
        <v>13869</v>
      </c>
      <c r="I1633" t="s">
        <v>14690</v>
      </c>
      <c r="J1633" s="62">
        <v>0</v>
      </c>
      <c r="K1633" s="62">
        <v>0</v>
      </c>
      <c r="L1633" t="str">
        <f>VLOOKUP(VALUE(LEFT(C1633,5)),Xref!A:B,2,0)</f>
        <v>CRE</v>
      </c>
      <c r="M1633" t="str">
        <f t="shared" si="103"/>
        <v>CRE-GPI</v>
      </c>
    </row>
    <row r="1634" spans="1:13" ht="14.25" customHeight="true">
      <c r="A1634" s="33" t="str">
        <f t="shared" si="100"/>
        <v>GPI - Intercompany</v>
      </c>
      <c r="B1634" s="33" t="str">
        <f t="shared" si="101"/>
        <v>GPI</v>
      </c>
      <c r="C1634" s="33" t="str">
        <f t="shared" si="102"/>
        <v>11302-0000</v>
      </c>
      <c r="D1634" t="s">
        <v>19900</v>
      </c>
      <c r="E1634" t="s">
        <v>13226</v>
      </c>
      <c r="F1634" t="s">
        <v>14039</v>
      </c>
      <c r="G1634" t="s">
        <v>14672</v>
      </c>
      <c r="H1634" t="s">
        <v>13869</v>
      </c>
      <c r="I1634" t="s">
        <v>14690</v>
      </c>
      <c r="J1634" s="62">
        <v>0</v>
      </c>
      <c r="K1634" s="62">
        <v>0</v>
      </c>
      <c r="L1634" t="str">
        <f>VLOOKUP(VALUE(LEFT(C1634,5)),Xref!A:B,2,0)</f>
        <v>CHA</v>
      </c>
      <c r="M1634" t="str">
        <f t="shared" si="103"/>
        <v>CHA-GPI</v>
      </c>
    </row>
    <row r="1635" spans="1:13" ht="14.25" customHeight="true">
      <c r="A1635" s="33" t="str">
        <f t="shared" si="100"/>
        <v>GPI - Intercompany</v>
      </c>
      <c r="B1635" s="33" t="str">
        <f t="shared" si="101"/>
        <v>GPI</v>
      </c>
      <c r="C1635" s="33" t="str">
        <f t="shared" si="102"/>
        <v>11303-0000</v>
      </c>
      <c r="D1635" t="s">
        <v>19901</v>
      </c>
      <c r="E1635" t="s">
        <v>13227</v>
      </c>
      <c r="F1635" t="s">
        <v>14039</v>
      </c>
      <c r="G1635" t="s">
        <v>14672</v>
      </c>
      <c r="H1635" t="s">
        <v>13869</v>
      </c>
      <c r="I1635" t="s">
        <v>14690</v>
      </c>
      <c r="J1635" s="62">
        <v>0</v>
      </c>
      <c r="K1635" s="62">
        <v>0</v>
      </c>
      <c r="L1635" t="str">
        <f>VLOOKUP(VALUE(LEFT(C1635,5)),Xref!A:B,2,0)</f>
        <v>DIA</v>
      </c>
      <c r="M1635" t="str">
        <f t="shared" si="103"/>
        <v>DIA-GPI</v>
      </c>
    </row>
    <row r="1636" spans="1:13" ht="14.25" customHeight="true">
      <c r="A1636" s="33" t="str">
        <f t="shared" si="100"/>
        <v>GPI - Intercompany</v>
      </c>
      <c r="B1636" s="33" t="str">
        <f t="shared" si="101"/>
        <v>GPI</v>
      </c>
      <c r="C1636" s="33" t="str">
        <f t="shared" si="102"/>
        <v>11304-0000</v>
      </c>
      <c r="D1636" t="s">
        <v>19902</v>
      </c>
      <c r="E1636" t="s">
        <v>13228</v>
      </c>
      <c r="F1636" t="s">
        <v>14039</v>
      </c>
      <c r="G1636" t="s">
        <v>14672</v>
      </c>
      <c r="H1636" t="s">
        <v>13869</v>
      </c>
      <c r="I1636" t="s">
        <v>14690</v>
      </c>
      <c r="J1636" s="62">
        <v>0</v>
      </c>
      <c r="K1636" s="62">
        <v>0</v>
      </c>
      <c r="L1636" t="str">
        <f>VLOOKUP(VALUE(LEFT(C1636,5)),Xref!A:B,2,0)</f>
        <v>EAG</v>
      </c>
      <c r="M1636" t="str">
        <f t="shared" si="103"/>
        <v>EAG-GPI</v>
      </c>
    </row>
    <row r="1637" spans="1:13" ht="14.25" customHeight="true">
      <c r="A1637" s="33" t="str">
        <f t="shared" si="100"/>
        <v>GPI - Intercompany</v>
      </c>
      <c r="B1637" s="33" t="str">
        <f t="shared" si="101"/>
        <v>GPI</v>
      </c>
      <c r="C1637" s="33" t="str">
        <f t="shared" si="102"/>
        <v>11305-0000</v>
      </c>
      <c r="D1637" t="s">
        <v>1261</v>
      </c>
      <c r="E1637" t="s">
        <v>13229</v>
      </c>
      <c r="F1637" t="s">
        <v>14039</v>
      </c>
      <c r="G1637" t="s">
        <v>14672</v>
      </c>
      <c r="H1637" t="s">
        <v>13869</v>
      </c>
      <c r="I1637" t="s">
        <v>14690</v>
      </c>
      <c r="J1637" s="62">
        <v>0</v>
      </c>
      <c r="K1637" s="62">
        <v>0</v>
      </c>
      <c r="L1637" t="str">
        <f>VLOOKUP(VALUE(LEFT(C1637,5)),Xref!A:B,2,0)</f>
        <v>NEW</v>
      </c>
      <c r="M1637" t="str">
        <f t="shared" si="103"/>
        <v>GPI-NEW</v>
      </c>
    </row>
    <row r="1638" spans="1:13" ht="14.25" customHeight="true">
      <c r="A1638" s="33" t="str">
        <f t="shared" si="100"/>
        <v>GPI - Intercompany</v>
      </c>
      <c r="B1638" s="33" t="str">
        <f t="shared" si="101"/>
        <v>GPI</v>
      </c>
      <c r="C1638" s="33" t="str">
        <f t="shared" si="102"/>
        <v>11307-0000</v>
      </c>
      <c r="D1638" t="s">
        <v>19903</v>
      </c>
      <c r="E1638" t="s">
        <v>14096</v>
      </c>
      <c r="F1638" t="s">
        <v>14039</v>
      </c>
      <c r="G1638" t="s">
        <v>14672</v>
      </c>
      <c r="H1638" t="s">
        <v>13869</v>
      </c>
      <c r="I1638" t="s">
        <v>14690</v>
      </c>
      <c r="J1638" s="62">
        <v>0</v>
      </c>
      <c r="K1638" s="62">
        <v>0</v>
      </c>
      <c r="L1638" t="str">
        <f>VLOOKUP(VALUE(LEFT(C1638,5)),Xref!A:B,2,0)</f>
        <v>NES</v>
      </c>
      <c r="M1638" t="str">
        <f t="shared" si="103"/>
        <v>GPI-NES</v>
      </c>
    </row>
    <row r="1639" spans="1:13" ht="14.25" customHeight="true">
      <c r="A1639" s="33" t="str">
        <f t="shared" si="100"/>
        <v>GPI - Intercompany</v>
      </c>
      <c r="B1639" s="33" t="str">
        <f t="shared" si="101"/>
        <v>GPI</v>
      </c>
      <c r="C1639" s="33" t="str">
        <f t="shared" si="102"/>
        <v>11308-0000</v>
      </c>
      <c r="D1639" t="s">
        <v>1262</v>
      </c>
      <c r="E1639" t="s">
        <v>13476</v>
      </c>
      <c r="F1639" t="s">
        <v>14039</v>
      </c>
      <c r="G1639" t="s">
        <v>14672</v>
      </c>
      <c r="H1639" t="s">
        <v>13869</v>
      </c>
      <c r="I1639" t="s">
        <v>14690</v>
      </c>
      <c r="J1639" s="62">
        <v>0</v>
      </c>
      <c r="K1639" s="62">
        <v>0</v>
      </c>
      <c r="L1639" t="str">
        <f>VLOOKUP(VALUE(LEFT(C1639,5)),Xref!A:B,2,0)</f>
        <v>LPI</v>
      </c>
      <c r="M1639" t="str">
        <f t="shared" si="103"/>
        <v>GPI-LPI</v>
      </c>
    </row>
    <row r="1640" spans="1:13" ht="14.25" customHeight="true">
      <c r="A1640" s="33" t="str">
        <f t="shared" si="100"/>
        <v>GPI - Intercompany</v>
      </c>
      <c r="B1640" s="33" t="str">
        <f t="shared" si="101"/>
        <v>GPI</v>
      </c>
      <c r="C1640" s="33" t="str">
        <f t="shared" si="102"/>
        <v>11309-0000</v>
      </c>
      <c r="D1640" t="s">
        <v>19904</v>
      </c>
      <c r="E1640" t="s">
        <v>13230</v>
      </c>
      <c r="F1640" t="s">
        <v>14039</v>
      </c>
      <c r="G1640" t="s">
        <v>14672</v>
      </c>
      <c r="H1640" t="s">
        <v>13869</v>
      </c>
      <c r="I1640" t="s">
        <v>14690</v>
      </c>
      <c r="J1640" s="62">
        <v>0</v>
      </c>
      <c r="K1640" s="62">
        <v>0</v>
      </c>
      <c r="L1640" t="str">
        <f>VLOOKUP(VALUE(LEFT(C1640,5)),Xref!A:B,2,0)</f>
        <v>GPI</v>
      </c>
      <c r="M1640" t="str">
        <f t="shared" si="103"/>
        <v>GPI-GPI</v>
      </c>
    </row>
    <row r="1641" spans="1:13" ht="14.25" customHeight="true">
      <c r="A1641" s="33" t="str">
        <f t="shared" si="100"/>
        <v>GPI - Intercompany</v>
      </c>
      <c r="B1641" s="33" t="str">
        <f t="shared" si="101"/>
        <v>GPI</v>
      </c>
      <c r="C1641" s="33" t="str">
        <f t="shared" si="102"/>
        <v>11310-0000</v>
      </c>
      <c r="D1641" t="s">
        <v>19905</v>
      </c>
      <c r="E1641" t="s">
        <v>13231</v>
      </c>
      <c r="F1641" t="s">
        <v>14039</v>
      </c>
      <c r="G1641" t="s">
        <v>14672</v>
      </c>
      <c r="H1641" t="s">
        <v>13869</v>
      </c>
      <c r="I1641" t="s">
        <v>14690</v>
      </c>
      <c r="J1641" s="62">
        <v>0</v>
      </c>
      <c r="K1641" s="62">
        <v>0</v>
      </c>
      <c r="L1641" t="str">
        <f>VLOOKUP(VALUE(LEFT(C1641,5)),Xref!A:B,2,0)</f>
        <v>ALP</v>
      </c>
      <c r="M1641" t="str">
        <f t="shared" si="103"/>
        <v>ALP-GPI</v>
      </c>
    </row>
    <row r="1642" spans="1:13" ht="14.25" customHeight="true">
      <c r="A1642" s="33" t="str">
        <f t="shared" si="100"/>
        <v>GPI - Intercompany</v>
      </c>
      <c r="B1642" s="33" t="str">
        <f t="shared" si="101"/>
        <v>GPI</v>
      </c>
      <c r="C1642" s="33" t="str">
        <f t="shared" si="102"/>
        <v>11311-0000</v>
      </c>
      <c r="D1642" t="s">
        <v>19906</v>
      </c>
      <c r="E1642" t="s">
        <v>13232</v>
      </c>
      <c r="F1642" t="s">
        <v>14039</v>
      </c>
      <c r="G1642" t="s">
        <v>14672</v>
      </c>
      <c r="H1642" t="s">
        <v>13869</v>
      </c>
      <c r="I1642" t="s">
        <v>14690</v>
      </c>
      <c r="J1642" s="62">
        <v>0</v>
      </c>
      <c r="K1642" s="62">
        <v>0</v>
      </c>
      <c r="L1642" t="str">
        <f>VLOOKUP(VALUE(LEFT(C1642,5)),Xref!A:B,2,0)</f>
        <v>BET</v>
      </c>
      <c r="M1642" t="str">
        <f t="shared" si="103"/>
        <v>BET-GPI</v>
      </c>
    </row>
    <row r="1643" spans="1:13" ht="14.25" customHeight="true">
      <c r="A1643" s="33" t="str">
        <f t="shared" si="100"/>
        <v>GPI - Intercompany</v>
      </c>
      <c r="B1643" s="33" t="str">
        <f t="shared" si="101"/>
        <v>GPI</v>
      </c>
      <c r="C1643" s="33" t="str">
        <f t="shared" si="102"/>
        <v>11312-0000</v>
      </c>
      <c r="D1643" t="s">
        <v>19907</v>
      </c>
      <c r="E1643" t="s">
        <v>14102</v>
      </c>
      <c r="F1643" t="s">
        <v>14039</v>
      </c>
      <c r="G1643" t="s">
        <v>14672</v>
      </c>
      <c r="H1643" t="s">
        <v>13869</v>
      </c>
      <c r="I1643" t="s">
        <v>14690</v>
      </c>
      <c r="J1643" s="62">
        <v>0</v>
      </c>
      <c r="K1643" s="62">
        <v>0</v>
      </c>
      <c r="L1643" t="str">
        <f>VLOOKUP(VALUE(LEFT(C1643,5)),Xref!A:B,2,0)</f>
        <v>DEL</v>
      </c>
      <c r="M1643" t="str">
        <f t="shared" si="103"/>
        <v>DEL-GPI</v>
      </c>
    </row>
    <row r="1644" spans="1:13" ht="14.25" customHeight="true">
      <c r="A1644" s="33" t="str">
        <f t="shared" si="100"/>
        <v>GPI - Intercompany</v>
      </c>
      <c r="B1644" s="33" t="str">
        <f t="shared" si="101"/>
        <v>GPI</v>
      </c>
      <c r="C1644" s="33" t="str">
        <f t="shared" si="102"/>
        <v>11313-0000</v>
      </c>
      <c r="D1644" t="s">
        <v>19908</v>
      </c>
      <c r="E1644" t="s">
        <v>13233</v>
      </c>
      <c r="F1644" t="s">
        <v>14039</v>
      </c>
      <c r="G1644" t="s">
        <v>14672</v>
      </c>
      <c r="H1644" t="s">
        <v>13869</v>
      </c>
      <c r="I1644" t="s">
        <v>14690</v>
      </c>
      <c r="J1644" s="62">
        <v>0</v>
      </c>
      <c r="K1644" s="62">
        <v>0</v>
      </c>
      <c r="L1644" t="str">
        <f>VLOOKUP(VALUE(LEFT(C1644,5)),Xref!A:B,2,0)</f>
        <v>DOL</v>
      </c>
      <c r="M1644" t="str">
        <f t="shared" si="103"/>
        <v>DOL-GPI</v>
      </c>
    </row>
    <row r="1645" spans="1:13" ht="14.25" customHeight="true">
      <c r="A1645" s="33" t="str">
        <f t="shared" si="100"/>
        <v>GPI - Intercompany</v>
      </c>
      <c r="B1645" s="33" t="str">
        <f t="shared" si="101"/>
        <v>GPI</v>
      </c>
      <c r="C1645" s="33" t="str">
        <f t="shared" si="102"/>
        <v>11314-0000</v>
      </c>
      <c r="D1645" t="s">
        <v>19909</v>
      </c>
      <c r="E1645" t="s">
        <v>13351</v>
      </c>
      <c r="F1645" t="s">
        <v>14039</v>
      </c>
      <c r="G1645" t="s">
        <v>14672</v>
      </c>
      <c r="H1645" t="s">
        <v>13869</v>
      </c>
      <c r="I1645" t="s">
        <v>14690</v>
      </c>
      <c r="J1645" s="62">
        <v>0</v>
      </c>
      <c r="K1645" s="62">
        <v>0</v>
      </c>
      <c r="L1645" t="str">
        <f>VLOOKUP(VALUE(LEFT(C1645,5)),Xref!A:B,2,0)</f>
        <v>GRI</v>
      </c>
      <c r="M1645" t="str">
        <f t="shared" si="103"/>
        <v>GPI-GRI</v>
      </c>
    </row>
    <row r="1646" spans="1:13" ht="14.25" customHeight="true">
      <c r="A1646" s="33" t="str">
        <f t="shared" si="100"/>
        <v>GPI - Intercompany</v>
      </c>
      <c r="B1646" s="33" t="str">
        <f t="shared" si="101"/>
        <v>GPI</v>
      </c>
      <c r="C1646" s="33" t="str">
        <f t="shared" si="102"/>
        <v>11315-0000</v>
      </c>
      <c r="D1646" t="s">
        <v>19910</v>
      </c>
      <c r="E1646" t="s">
        <v>13234</v>
      </c>
      <c r="F1646" t="s">
        <v>14039</v>
      </c>
      <c r="G1646" t="s">
        <v>14672</v>
      </c>
      <c r="H1646" t="s">
        <v>13869</v>
      </c>
      <c r="I1646" t="s">
        <v>14690</v>
      </c>
      <c r="J1646" s="62">
        <v>0</v>
      </c>
      <c r="K1646" s="62">
        <v>0</v>
      </c>
      <c r="L1646" t="str">
        <f>VLOOKUP(VALUE(LEFT(C1646,5)),Xref!A:B,2,0)</f>
        <v>PUR</v>
      </c>
      <c r="M1646" t="str">
        <f t="shared" si="103"/>
        <v>GPI-PUR</v>
      </c>
    </row>
    <row r="1647" spans="1:13" ht="14.25" customHeight="true">
      <c r="A1647" s="33" t="str">
        <f t="shared" si="100"/>
        <v>GPI - Intercompany</v>
      </c>
      <c r="B1647" s="33" t="str">
        <f t="shared" si="101"/>
        <v>GPI</v>
      </c>
      <c r="C1647" s="33" t="str">
        <f t="shared" si="102"/>
        <v>11316-0000</v>
      </c>
      <c r="D1647" t="s">
        <v>19911</v>
      </c>
      <c r="E1647" t="s">
        <v>13235</v>
      </c>
      <c r="F1647" t="s">
        <v>14039</v>
      </c>
      <c r="G1647" t="s">
        <v>14672</v>
      </c>
      <c r="H1647" t="s">
        <v>13869</v>
      </c>
      <c r="I1647" t="s">
        <v>14690</v>
      </c>
      <c r="J1647" s="62">
        <v>0</v>
      </c>
      <c r="K1647" s="62">
        <v>0</v>
      </c>
      <c r="L1647" t="str">
        <f>VLOOKUP(VALUE(LEFT(C1647,5)),Xref!A:B,2,0)</f>
        <v>VAL</v>
      </c>
      <c r="M1647" t="str">
        <f t="shared" si="103"/>
        <v>GPI-VAL</v>
      </c>
    </row>
    <row r="1648" spans="1:13" ht="14.25" customHeight="true">
      <c r="A1648" s="33" t="str">
        <f t="shared" si="100"/>
        <v>GPI - Intercompany</v>
      </c>
      <c r="B1648" s="33" t="str">
        <f t="shared" si="101"/>
        <v>GPI</v>
      </c>
      <c r="C1648" s="33" t="str">
        <f t="shared" si="102"/>
        <v>11317-0000</v>
      </c>
      <c r="D1648" t="s">
        <v>1263</v>
      </c>
      <c r="E1648" t="s">
        <v>13352</v>
      </c>
      <c r="F1648" t="s">
        <v>14039</v>
      </c>
      <c r="G1648" t="s">
        <v>14672</v>
      </c>
      <c r="H1648" t="s">
        <v>13869</v>
      </c>
      <c r="I1648" t="s">
        <v>14690</v>
      </c>
      <c r="J1648" s="62">
        <v>0</v>
      </c>
      <c r="K1648" s="62">
        <v>0</v>
      </c>
      <c r="L1648" t="str">
        <f>VLOOKUP(VALUE(LEFT(C1648,5)),Xref!A:B,2,0)</f>
        <v>AKG</v>
      </c>
      <c r="M1648" t="str">
        <f t="shared" si="103"/>
        <v>AKG-GPI</v>
      </c>
    </row>
    <row r="1649" spans="1:13" ht="14.25" customHeight="true">
      <c r="A1649" s="33" t="str">
        <f t="shared" si="100"/>
        <v>GPI - Intercompany</v>
      </c>
      <c r="B1649" s="33" t="str">
        <f t="shared" si="101"/>
        <v>GPI</v>
      </c>
      <c r="C1649" s="33" t="str">
        <f t="shared" si="102"/>
        <v>11318-0000</v>
      </c>
      <c r="D1649" t="s">
        <v>19912</v>
      </c>
      <c r="E1649" t="s">
        <v>13477</v>
      </c>
      <c r="F1649" t="s">
        <v>14039</v>
      </c>
      <c r="G1649" t="s">
        <v>14672</v>
      </c>
      <c r="H1649" t="s">
        <v>13869</v>
      </c>
      <c r="I1649" t="s">
        <v>14690</v>
      </c>
      <c r="J1649" s="62">
        <v>0</v>
      </c>
      <c r="K1649" s="62">
        <v>0</v>
      </c>
      <c r="L1649" t="str">
        <f>VLOOKUP(VALUE(LEFT(C1649,5)),Xref!A:B,2,0)</f>
        <v>FIR</v>
      </c>
      <c r="M1649" t="str">
        <f t="shared" si="103"/>
        <v>FIR-GPI</v>
      </c>
    </row>
    <row r="1650" spans="1:13" ht="14.25" customHeight="true">
      <c r="A1650" s="33" t="str">
        <f t="shared" si="100"/>
        <v>GPI - Intercompany</v>
      </c>
      <c r="B1650" s="33" t="str">
        <f t="shared" si="101"/>
        <v>GPI</v>
      </c>
      <c r="C1650" s="33" t="str">
        <f t="shared" si="102"/>
        <v>11319-0000</v>
      </c>
      <c r="D1650" t="s">
        <v>19913</v>
      </c>
      <c r="E1650" t="s">
        <v>266</v>
      </c>
      <c r="F1650" t="s">
        <v>14039</v>
      </c>
      <c r="G1650" t="s">
        <v>14672</v>
      </c>
      <c r="H1650" t="s">
        <v>13869</v>
      </c>
      <c r="I1650" t="s">
        <v>14690</v>
      </c>
      <c r="J1650" s="62">
        <v>0</v>
      </c>
      <c r="K1650" s="62">
        <v>0</v>
      </c>
      <c r="L1650" t="str">
        <f>VLOOKUP(VALUE(LEFT(C1650,5)),Xref!A:B,2,0)</f>
        <v>GST</v>
      </c>
      <c r="M1650" t="str">
        <f t="shared" si="103"/>
        <v>GPI-GST</v>
      </c>
    </row>
    <row r="1651" spans="1:13" ht="14.25" customHeight="true">
      <c r="A1651" s="33" t="str">
        <f t="shared" si="100"/>
        <v>GPI - Intercompany</v>
      </c>
      <c r="B1651" s="33" t="str">
        <f t="shared" si="101"/>
        <v>GPI</v>
      </c>
      <c r="C1651" s="33" t="str">
        <f t="shared" si="102"/>
        <v>11320-0000</v>
      </c>
      <c r="D1651" t="s">
        <v>19914</v>
      </c>
      <c r="E1651" t="s">
        <v>14111</v>
      </c>
      <c r="F1651" t="s">
        <v>14039</v>
      </c>
      <c r="G1651" t="s">
        <v>14672</v>
      </c>
      <c r="H1651" t="s">
        <v>13869</v>
      </c>
      <c r="I1651" t="s">
        <v>14690</v>
      </c>
      <c r="J1651" s="62">
        <v>0</v>
      </c>
      <c r="K1651" s="62">
        <v>0</v>
      </c>
      <c r="L1651" t="str">
        <f>VLOOKUP(VALUE(LEFT(C1651,5)),Xref!A:B,2,0)</f>
        <v>HDN</v>
      </c>
      <c r="M1651" t="str">
        <f t="shared" si="103"/>
        <v>GPI-HDN</v>
      </c>
    </row>
    <row r="1652" spans="1:13" ht="14.25" customHeight="true">
      <c r="A1652" s="33" t="str">
        <f t="shared" si="100"/>
        <v>GPI - Intercompany</v>
      </c>
      <c r="B1652" s="33" t="str">
        <f t="shared" si="101"/>
        <v>GPI</v>
      </c>
      <c r="C1652" s="33" t="str">
        <f t="shared" si="102"/>
        <v>11321-0000</v>
      </c>
      <c r="D1652" t="s">
        <v>19915</v>
      </c>
      <c r="E1652" t="s">
        <v>13236</v>
      </c>
      <c r="F1652" t="s">
        <v>14039</v>
      </c>
      <c r="G1652" t="s">
        <v>14672</v>
      </c>
      <c r="H1652" t="s">
        <v>13869</v>
      </c>
      <c r="I1652" t="s">
        <v>14690</v>
      </c>
      <c r="J1652" s="62">
        <v>0</v>
      </c>
      <c r="K1652" s="62">
        <v>0</v>
      </c>
      <c r="L1652" t="str">
        <f>VLOOKUP(VALUE(LEFT(C1652,5)),Xref!A:B,2,0)</f>
        <v>OVA</v>
      </c>
      <c r="M1652" t="str">
        <f t="shared" si="103"/>
        <v>GPI-OVA</v>
      </c>
    </row>
    <row r="1653" spans="1:13" ht="14.25" customHeight="true">
      <c r="A1653" s="33" t="str">
        <f t="shared" si="100"/>
        <v>GPI - Intercompany</v>
      </c>
      <c r="B1653" s="33" t="str">
        <f t="shared" si="101"/>
        <v>GPI</v>
      </c>
      <c r="C1653" s="33" t="str">
        <f t="shared" si="102"/>
        <v>11322-0000</v>
      </c>
      <c r="D1653" t="s">
        <v>19916</v>
      </c>
      <c r="E1653" t="s">
        <v>13237</v>
      </c>
      <c r="F1653" t="s">
        <v>14039</v>
      </c>
      <c r="G1653" t="s">
        <v>14672</v>
      </c>
      <c r="H1653" t="s">
        <v>13869</v>
      </c>
      <c r="I1653" t="s">
        <v>14690</v>
      </c>
      <c r="J1653" s="62">
        <v>0</v>
      </c>
      <c r="K1653" s="62">
        <v>0</v>
      </c>
      <c r="L1653" t="str">
        <f>VLOOKUP(VALUE(LEFT(C1653,5)),Xref!A:B,2,0)</f>
        <v>WOO</v>
      </c>
      <c r="M1653" t="str">
        <f t="shared" si="103"/>
        <v>GPI-WOO</v>
      </c>
    </row>
    <row r="1654" spans="1:13" ht="14.25" customHeight="true">
      <c r="A1654" s="33" t="str">
        <f t="shared" si="100"/>
        <v>GPI - Intercompany</v>
      </c>
      <c r="B1654" s="33" t="str">
        <f t="shared" si="101"/>
        <v>GPI</v>
      </c>
      <c r="C1654" s="33" t="str">
        <f t="shared" si="102"/>
        <v>11323-0000</v>
      </c>
      <c r="D1654" t="s">
        <v>19917</v>
      </c>
      <c r="E1654" t="s">
        <v>13478</v>
      </c>
      <c r="F1654" t="s">
        <v>14039</v>
      </c>
      <c r="G1654" t="s">
        <v>14672</v>
      </c>
      <c r="H1654" t="s">
        <v>13869</v>
      </c>
      <c r="I1654" t="s">
        <v>14690</v>
      </c>
      <c r="J1654" s="62">
        <v>0</v>
      </c>
      <c r="K1654" s="62">
        <v>0</v>
      </c>
      <c r="L1654" t="str">
        <f>VLOOKUP(VALUE(LEFT(C1654,5)),Xref!A:B,2,0)</f>
        <v>SPI</v>
      </c>
      <c r="M1654" t="str">
        <f t="shared" si="103"/>
        <v>GPI-SPI</v>
      </c>
    </row>
    <row r="1655" spans="1:13" ht="14.25" customHeight="true">
      <c r="A1655" s="33" t="str">
        <f t="shared" si="100"/>
        <v>GPI - Intercompany</v>
      </c>
      <c r="B1655" s="33" t="str">
        <f t="shared" si="101"/>
        <v>GPI</v>
      </c>
      <c r="C1655" s="33" t="str">
        <f t="shared" si="102"/>
        <v>11324-0000</v>
      </c>
      <c r="D1655" t="s">
        <v>19918</v>
      </c>
      <c r="E1655" t="s">
        <v>13238</v>
      </c>
      <c r="F1655" t="s">
        <v>14039</v>
      </c>
      <c r="G1655" t="s">
        <v>14672</v>
      </c>
      <c r="H1655" t="s">
        <v>13869</v>
      </c>
      <c r="I1655" t="s">
        <v>14690</v>
      </c>
      <c r="J1655" s="62">
        <v>0</v>
      </c>
      <c r="K1655" s="62">
        <v>0</v>
      </c>
      <c r="L1655" t="str">
        <f>VLOOKUP(VALUE(LEFT(C1655,5)),Xref!A:B,2,0)</f>
        <v>NET</v>
      </c>
      <c r="M1655" t="str">
        <f t="shared" si="103"/>
        <v>GPI-NET</v>
      </c>
    </row>
    <row r="1656" spans="1:13" ht="14.25" customHeight="true">
      <c r="A1656" s="33" t="str">
        <f t="shared" si="100"/>
        <v>GPI - Intercompany</v>
      </c>
      <c r="B1656" s="33" t="str">
        <f t="shared" si="101"/>
        <v>GPI</v>
      </c>
      <c r="C1656" s="33" t="str">
        <f t="shared" si="102"/>
        <v>11325-0000</v>
      </c>
      <c r="D1656" t="s">
        <v>19919</v>
      </c>
      <c r="E1656" t="s">
        <v>13239</v>
      </c>
      <c r="F1656" t="s">
        <v>14039</v>
      </c>
      <c r="G1656" t="s">
        <v>14672</v>
      </c>
      <c r="H1656" t="s">
        <v>13869</v>
      </c>
      <c r="I1656" t="s">
        <v>14690</v>
      </c>
      <c r="J1656" s="62">
        <v>0</v>
      </c>
      <c r="K1656" s="62">
        <v>0</v>
      </c>
      <c r="L1656" t="str">
        <f>VLOOKUP(VALUE(LEFT(C1656,5)),Xref!A:B,2,0)</f>
        <v>DPI</v>
      </c>
      <c r="M1656" t="str">
        <f t="shared" si="103"/>
        <v>DPI-GPI</v>
      </c>
    </row>
    <row r="1657" spans="1:13" ht="14.25" customHeight="true">
      <c r="A1657" s="33" t="str">
        <f t="shared" si="100"/>
        <v>GPI - Intercompany</v>
      </c>
      <c r="B1657" s="33" t="str">
        <f t="shared" si="101"/>
        <v>GPI</v>
      </c>
      <c r="C1657" s="33" t="str">
        <f t="shared" si="102"/>
        <v>11326-0000</v>
      </c>
      <c r="D1657" t="s">
        <v>19920</v>
      </c>
      <c r="E1657" t="s">
        <v>13240</v>
      </c>
      <c r="F1657" t="s">
        <v>14039</v>
      </c>
      <c r="G1657" t="s">
        <v>14672</v>
      </c>
      <c r="H1657" t="s">
        <v>13869</v>
      </c>
      <c r="I1657" t="s">
        <v>14690</v>
      </c>
      <c r="J1657" s="62">
        <v>0</v>
      </c>
      <c r="K1657" s="62">
        <v>0</v>
      </c>
      <c r="L1657" t="str">
        <f>VLOOKUP(VALUE(LEFT(C1657,5)),Xref!A:B,2,0)</f>
        <v>SEK</v>
      </c>
      <c r="M1657" t="str">
        <f t="shared" si="103"/>
        <v>GPI-SEK</v>
      </c>
    </row>
    <row r="1658" spans="1:13" ht="14.25" customHeight="true">
      <c r="A1658" s="33" t="str">
        <f t="shared" si="100"/>
        <v>GPI - Intercompany</v>
      </c>
      <c r="B1658" s="33" t="str">
        <f t="shared" si="101"/>
        <v>GPI</v>
      </c>
      <c r="C1658" s="33" t="str">
        <f t="shared" si="102"/>
        <v>11327-0000</v>
      </c>
      <c r="D1658" t="s">
        <v>19921</v>
      </c>
      <c r="E1658" t="s">
        <v>14119</v>
      </c>
      <c r="F1658" t="s">
        <v>14039</v>
      </c>
      <c r="G1658" t="s">
        <v>14672</v>
      </c>
      <c r="H1658" t="s">
        <v>13869</v>
      </c>
      <c r="I1658" t="s">
        <v>14690</v>
      </c>
      <c r="J1658" s="62">
        <v>0</v>
      </c>
      <c r="K1658" s="62">
        <v>0</v>
      </c>
      <c r="L1658" t="str">
        <f>VLOOKUP(VALUE(LEFT(C1658,5)),Xref!A:B,2,0)</f>
        <v>CPI</v>
      </c>
      <c r="M1658" t="str">
        <f t="shared" si="103"/>
        <v>CPI-GPI</v>
      </c>
    </row>
    <row r="1659" spans="1:13" ht="14.25" customHeight="true">
      <c r="A1659" s="33" t="str">
        <f t="shared" si="100"/>
        <v>GPI - Intercompany</v>
      </c>
      <c r="B1659" s="33" t="str">
        <f t="shared" si="101"/>
        <v>GPI</v>
      </c>
      <c r="C1659" s="33" t="str">
        <f t="shared" si="102"/>
        <v>11328-0000</v>
      </c>
      <c r="D1659" t="s">
        <v>19922</v>
      </c>
      <c r="E1659" t="s">
        <v>13241</v>
      </c>
      <c r="F1659" t="s">
        <v>14039</v>
      </c>
      <c r="G1659" t="s">
        <v>14672</v>
      </c>
      <c r="H1659" t="s">
        <v>13869</v>
      </c>
      <c r="I1659" t="s">
        <v>14690</v>
      </c>
      <c r="J1659" s="62">
        <v>0</v>
      </c>
      <c r="K1659" s="62">
        <v>0</v>
      </c>
      <c r="L1659" t="str">
        <f>VLOOKUP(VALUE(LEFT(C1659,5)),Xref!A:B,2,0)</f>
        <v>LOM</v>
      </c>
      <c r="M1659" t="str">
        <f t="shared" si="103"/>
        <v>GPI-LOM</v>
      </c>
    </row>
    <row r="1660" spans="1:13" ht="14.25" customHeight="true">
      <c r="A1660" s="33" t="str">
        <f t="shared" si="100"/>
        <v>GPI - Intercompany</v>
      </c>
      <c r="B1660" s="33" t="str">
        <f t="shared" si="101"/>
        <v>GPI</v>
      </c>
      <c r="C1660" s="33" t="str">
        <f t="shared" si="102"/>
        <v>11329-0000</v>
      </c>
      <c r="D1660" t="s">
        <v>19923</v>
      </c>
      <c r="E1660" t="s">
        <v>13353</v>
      </c>
      <c r="F1660" t="s">
        <v>14039</v>
      </c>
      <c r="G1660" t="s">
        <v>14672</v>
      </c>
      <c r="H1660" t="s">
        <v>13869</v>
      </c>
      <c r="I1660" t="s">
        <v>14690</v>
      </c>
      <c r="J1660" s="62">
        <v>0</v>
      </c>
      <c r="K1660" s="62">
        <v>0</v>
      </c>
      <c r="L1660" t="str">
        <f>VLOOKUP(VALUE(LEFT(C1660,5)),Xref!A:B,2,0)</f>
        <v>AKS</v>
      </c>
      <c r="M1660" t="str">
        <f t="shared" si="103"/>
        <v>AKS-GPI</v>
      </c>
    </row>
    <row r="1661" spans="1:13" ht="14.25" customHeight="true">
      <c r="A1661" s="33" t="str">
        <f t="shared" si="100"/>
        <v>GPI - Intercompany</v>
      </c>
      <c r="B1661" s="33" t="str">
        <f t="shared" si="101"/>
        <v>GPI</v>
      </c>
      <c r="C1661" s="33" t="str">
        <f t="shared" si="102"/>
        <v>11330-0000</v>
      </c>
      <c r="D1661" t="s">
        <v>19924</v>
      </c>
      <c r="E1661" t="s">
        <v>13242</v>
      </c>
      <c r="F1661" t="s">
        <v>14039</v>
      </c>
      <c r="G1661" t="s">
        <v>14672</v>
      </c>
      <c r="H1661" t="s">
        <v>13869</v>
      </c>
      <c r="I1661" t="s">
        <v>14690</v>
      </c>
      <c r="J1661" s="62">
        <v>0</v>
      </c>
      <c r="K1661" s="62">
        <v>0</v>
      </c>
      <c r="L1661" t="str">
        <f>VLOOKUP(VALUE(LEFT(C1661,5)),Xref!A:B,2,0)</f>
        <v>MAR</v>
      </c>
      <c r="M1661" t="str">
        <f t="shared" si="103"/>
        <v>GPI-MAR</v>
      </c>
    </row>
    <row r="1662" spans="1:13" ht="14.25" customHeight="true">
      <c r="A1662" s="33" t="str">
        <f t="shared" si="100"/>
        <v>GPI - Intercompany</v>
      </c>
      <c r="B1662" s="33" t="str">
        <f t="shared" si="101"/>
        <v>GPI</v>
      </c>
      <c r="C1662" s="33" t="str">
        <f t="shared" si="102"/>
        <v>11331-0000</v>
      </c>
      <c r="D1662" t="s">
        <v>19925</v>
      </c>
      <c r="E1662" t="s">
        <v>13354</v>
      </c>
      <c r="F1662" t="s">
        <v>14039</v>
      </c>
      <c r="G1662" t="s">
        <v>14672</v>
      </c>
      <c r="H1662" t="s">
        <v>13869</v>
      </c>
      <c r="I1662" t="s">
        <v>14690</v>
      </c>
      <c r="J1662" s="62">
        <v>0</v>
      </c>
      <c r="K1662" s="62">
        <v>0</v>
      </c>
      <c r="L1662" t="str">
        <f>VLOOKUP(VALUE(LEFT(C1662,5)),Xref!A:B,2,0)</f>
        <v>WIL</v>
      </c>
      <c r="M1662" t="str">
        <f t="shared" si="103"/>
        <v>GPI-WIL</v>
      </c>
    </row>
    <row r="1663" spans="1:13" ht="14.25" customHeight="true">
      <c r="A1663" s="33" t="str">
        <f t="shared" si="100"/>
        <v>GPI - Intercompany</v>
      </c>
      <c r="B1663" s="33" t="str">
        <f t="shared" si="101"/>
        <v>GPI</v>
      </c>
      <c r="C1663" s="33" t="str">
        <f t="shared" si="102"/>
        <v>11332-0000</v>
      </c>
      <c r="D1663" t="s">
        <v>19926</v>
      </c>
      <c r="E1663" t="s">
        <v>13243</v>
      </c>
      <c r="F1663" t="s">
        <v>14039</v>
      </c>
      <c r="G1663" t="s">
        <v>14672</v>
      </c>
      <c r="H1663" t="s">
        <v>13869</v>
      </c>
      <c r="I1663" t="s">
        <v>14690</v>
      </c>
      <c r="J1663" s="62">
        <v>0</v>
      </c>
      <c r="K1663" s="62">
        <v>0</v>
      </c>
      <c r="L1663" t="str">
        <f>VLOOKUP(VALUE(LEFT(C1663,5)),Xref!A:B,2,0)</f>
        <v>STO</v>
      </c>
      <c r="M1663" t="str">
        <f t="shared" si="103"/>
        <v>GPI-STO</v>
      </c>
    </row>
    <row r="1664" spans="1:13" ht="14.25" customHeight="true">
      <c r="A1664" s="33" t="str">
        <f t="shared" si="100"/>
        <v>GPI - Intercompany</v>
      </c>
      <c r="B1664" s="33" t="str">
        <f t="shared" si="101"/>
        <v>GPI</v>
      </c>
      <c r="C1664" s="33" t="str">
        <f t="shared" si="102"/>
        <v>11333-0000</v>
      </c>
      <c r="D1664" t="s">
        <v>19927</v>
      </c>
      <c r="E1664" t="s">
        <v>13244</v>
      </c>
      <c r="F1664" t="s">
        <v>14039</v>
      </c>
      <c r="G1664" t="s">
        <v>14672</v>
      </c>
      <c r="H1664" t="s">
        <v>13869</v>
      </c>
      <c r="I1664" t="s">
        <v>14690</v>
      </c>
      <c r="J1664" s="62">
        <v>0</v>
      </c>
      <c r="K1664" s="62">
        <v>0</v>
      </c>
      <c r="L1664" t="str">
        <f>VLOOKUP(VALUE(LEFT(C1664,5)),Xref!A:B,2,0)</f>
        <v>ANG</v>
      </c>
      <c r="M1664" t="str">
        <f t="shared" si="103"/>
        <v>ANG-GPI</v>
      </c>
    </row>
    <row r="1665" spans="1:13" ht="14.25" customHeight="true">
      <c r="A1665" s="33" t="str">
        <f t="shared" si="100"/>
        <v>GPI - Intercompany</v>
      </c>
      <c r="B1665" s="33" t="str">
        <f t="shared" si="101"/>
        <v>GPI</v>
      </c>
      <c r="C1665" s="33" t="str">
        <f t="shared" si="102"/>
        <v>11334-0000</v>
      </c>
      <c r="D1665" t="s">
        <v>19928</v>
      </c>
      <c r="E1665" t="s">
        <v>13245</v>
      </c>
      <c r="F1665" t="s">
        <v>14039</v>
      </c>
      <c r="G1665" t="s">
        <v>14672</v>
      </c>
      <c r="H1665" t="s">
        <v>13869</v>
      </c>
      <c r="I1665" t="s">
        <v>14690</v>
      </c>
      <c r="J1665" s="62">
        <v>0</v>
      </c>
      <c r="K1665" s="62">
        <v>0</v>
      </c>
      <c r="L1665" t="str">
        <f>VLOOKUP(VALUE(LEFT(C1665,5)),Xref!A:B,2,0)</f>
        <v>BRU</v>
      </c>
      <c r="M1665" t="str">
        <f t="shared" si="103"/>
        <v>BRU-GPI</v>
      </c>
    </row>
    <row r="1666" spans="1:13" ht="14.25" customHeight="true">
      <c r="A1666" s="33" t="str">
        <f t="shared" ref="A1666:A1729" si="104">B1666&amp;" - "&amp;TRIM(H1666)</f>
        <v>GPI - Intercompany</v>
      </c>
      <c r="B1666" s="33" t="str">
        <f t="shared" ref="B1666:B1729" si="105">LEFT(D1666,3)</f>
        <v>GPI</v>
      </c>
      <c r="C1666" s="33" t="str">
        <f t="shared" ref="C1666:C1729" si="106">RIGHT(D1666,10)</f>
        <v>11335-0000</v>
      </c>
      <c r="D1666" t="s">
        <v>19929</v>
      </c>
      <c r="E1666" t="s">
        <v>13246</v>
      </c>
      <c r="F1666" t="s">
        <v>14039</v>
      </c>
      <c r="G1666" t="s">
        <v>14672</v>
      </c>
      <c r="H1666" t="s">
        <v>13869</v>
      </c>
      <c r="I1666" t="s">
        <v>14690</v>
      </c>
      <c r="J1666" s="62">
        <v>0</v>
      </c>
      <c r="K1666" s="62">
        <v>0</v>
      </c>
      <c r="L1666" t="str">
        <f>VLOOKUP(VALUE(LEFT(C1666,5)),Xref!A:B,2,0)</f>
        <v>VEN</v>
      </c>
      <c r="M1666" t="str">
        <f t="shared" ref="M1666:M1729" si="107">IF(B1666&lt;L1666,B1666&amp;"-"&amp;L1666,L1666&amp;"-"&amp;B1666)</f>
        <v>GPI-VEN</v>
      </c>
    </row>
    <row r="1667" spans="1:13" ht="14.25" customHeight="true">
      <c r="A1667" s="33" t="str">
        <f t="shared" si="104"/>
        <v>GPI - Intercompany</v>
      </c>
      <c r="B1667" s="33" t="str">
        <f t="shared" si="105"/>
        <v>GPI</v>
      </c>
      <c r="C1667" s="33" t="str">
        <f t="shared" si="106"/>
        <v>11336-0000</v>
      </c>
      <c r="D1667" t="s">
        <v>19930</v>
      </c>
      <c r="E1667" t="s">
        <v>13247</v>
      </c>
      <c r="F1667" t="s">
        <v>14039</v>
      </c>
      <c r="G1667" t="s">
        <v>14672</v>
      </c>
      <c r="H1667" t="s">
        <v>13869</v>
      </c>
      <c r="I1667" t="s">
        <v>14690</v>
      </c>
      <c r="J1667" s="62">
        <v>0</v>
      </c>
      <c r="K1667" s="62">
        <v>0</v>
      </c>
      <c r="L1667" t="str">
        <f>VLOOKUP(VALUE(LEFT(C1667,5)),Xref!A:B,2,0)</f>
        <v>SAT</v>
      </c>
      <c r="M1667" t="str">
        <f t="shared" si="107"/>
        <v>GPI-SAT</v>
      </c>
    </row>
    <row r="1668" spans="1:13" ht="14.25" customHeight="true">
      <c r="A1668" s="33" t="str">
        <f t="shared" si="104"/>
        <v>GPI - Intercompany</v>
      </c>
      <c r="B1668" s="33" t="str">
        <f t="shared" si="105"/>
        <v>GPI</v>
      </c>
      <c r="C1668" s="33" t="str">
        <f t="shared" si="106"/>
        <v>11337-0000</v>
      </c>
      <c r="D1668" t="s">
        <v>19931</v>
      </c>
      <c r="E1668" t="s">
        <v>13248</v>
      </c>
      <c r="F1668" t="s">
        <v>14039</v>
      </c>
      <c r="G1668" t="s">
        <v>14672</v>
      </c>
      <c r="H1668" t="s">
        <v>13869</v>
      </c>
      <c r="I1668" t="s">
        <v>14690</v>
      </c>
      <c r="J1668" s="62">
        <v>0</v>
      </c>
      <c r="K1668" s="62">
        <v>0</v>
      </c>
      <c r="L1668" t="str">
        <f>VLOOKUP(VALUE(LEFT(C1668,5)),Xref!A:B,2,0)</f>
        <v>NEP</v>
      </c>
      <c r="M1668" t="str">
        <f t="shared" si="107"/>
        <v>GPI-NEP</v>
      </c>
    </row>
    <row r="1669" spans="1:13" ht="14.25" customHeight="true">
      <c r="A1669" s="33" t="str">
        <f t="shared" si="104"/>
        <v>GPI - Intercompany</v>
      </c>
      <c r="B1669" s="33" t="str">
        <f t="shared" si="105"/>
        <v>GPI</v>
      </c>
      <c r="C1669" s="33" t="str">
        <f t="shared" si="106"/>
        <v>11338-0000</v>
      </c>
      <c r="D1669" t="s">
        <v>19932</v>
      </c>
      <c r="E1669" t="s">
        <v>14131</v>
      </c>
      <c r="F1669" t="s">
        <v>14039</v>
      </c>
      <c r="G1669" t="s">
        <v>14672</v>
      </c>
      <c r="H1669" t="s">
        <v>13869</v>
      </c>
      <c r="I1669" t="s">
        <v>14690</v>
      </c>
      <c r="J1669" s="62">
        <v>0</v>
      </c>
      <c r="K1669" s="62">
        <v>0</v>
      </c>
      <c r="L1669" t="str">
        <f>VLOOKUP(VALUE(LEFT(C1669,5)),Xref!A:B,2,0)</f>
        <v>JUP</v>
      </c>
      <c r="M1669" t="str">
        <f t="shared" si="107"/>
        <v>GPI-JUP</v>
      </c>
    </row>
    <row r="1670" spans="1:13" ht="14.25" customHeight="true">
      <c r="A1670" s="33" t="str">
        <f t="shared" si="104"/>
        <v>GPI - Intercompany</v>
      </c>
      <c r="B1670" s="33" t="str">
        <f t="shared" si="105"/>
        <v>GPI</v>
      </c>
      <c r="C1670" s="33" t="str">
        <f t="shared" si="106"/>
        <v>11339-0000</v>
      </c>
      <c r="D1670" t="s">
        <v>19933</v>
      </c>
      <c r="E1670" t="s">
        <v>14133</v>
      </c>
      <c r="F1670" t="s">
        <v>14039</v>
      </c>
      <c r="G1670" t="s">
        <v>14672</v>
      </c>
      <c r="H1670" t="s">
        <v>13869</v>
      </c>
      <c r="I1670" t="s">
        <v>14690</v>
      </c>
      <c r="J1670" s="62">
        <v>0</v>
      </c>
      <c r="K1670" s="62">
        <v>0</v>
      </c>
      <c r="L1670" t="str">
        <f>VLOOKUP(VALUE(LEFT(C1670,5)),Xref!A:B,2,0)</f>
        <v>WES</v>
      </c>
      <c r="M1670" t="str">
        <f t="shared" si="107"/>
        <v>GPI-WES</v>
      </c>
    </row>
    <row r="1671" spans="1:13" ht="14.25" customHeight="true">
      <c r="A1671" s="33" t="str">
        <f t="shared" si="104"/>
        <v>GPI - Intercompany</v>
      </c>
      <c r="B1671" s="33" t="str">
        <f t="shared" si="105"/>
        <v>GPI</v>
      </c>
      <c r="C1671" s="33" t="str">
        <f t="shared" si="106"/>
        <v>11340-0000</v>
      </c>
      <c r="D1671" t="s">
        <v>19934</v>
      </c>
      <c r="E1671" t="s">
        <v>14135</v>
      </c>
      <c r="F1671" t="s">
        <v>14039</v>
      </c>
      <c r="G1671" t="s">
        <v>14672</v>
      </c>
      <c r="H1671" t="s">
        <v>13869</v>
      </c>
      <c r="I1671" t="s">
        <v>14690</v>
      </c>
      <c r="J1671" s="62">
        <v>0</v>
      </c>
      <c r="K1671" s="62">
        <v>0</v>
      </c>
      <c r="L1671" t="str">
        <f>VLOOKUP(VALUE(LEFT(C1671,5)),Xref!A:B,2,0)</f>
        <v>LCP</v>
      </c>
      <c r="M1671" t="str">
        <f t="shared" si="107"/>
        <v>GPI-LCP</v>
      </c>
    </row>
    <row r="1672" spans="1:13" ht="14.25" customHeight="true">
      <c r="A1672" s="33" t="str">
        <f t="shared" si="104"/>
        <v>GPI - Intercompany</v>
      </c>
      <c r="B1672" s="33" t="str">
        <f t="shared" si="105"/>
        <v>GPI</v>
      </c>
      <c r="C1672" s="33" t="str">
        <f t="shared" si="106"/>
        <v>11341-0000</v>
      </c>
      <c r="D1672" t="s">
        <v>19935</v>
      </c>
      <c r="E1672" t="s">
        <v>13639</v>
      </c>
      <c r="F1672" t="s">
        <v>14039</v>
      </c>
      <c r="G1672" t="s">
        <v>14672</v>
      </c>
      <c r="H1672" t="s">
        <v>13869</v>
      </c>
      <c r="I1672" t="s">
        <v>14690</v>
      </c>
      <c r="J1672" s="62">
        <v>0</v>
      </c>
      <c r="K1672" s="62">
        <v>0</v>
      </c>
      <c r="L1672" t="str">
        <f>VLOOKUP(VALUE(LEFT(C1672,5)),Xref!A:B,2,0)</f>
        <v>NOR</v>
      </c>
      <c r="M1672" t="str">
        <f t="shared" si="107"/>
        <v>GPI-NOR</v>
      </c>
    </row>
    <row r="1673" spans="1:13" ht="14.25" customHeight="true">
      <c r="A1673" s="33" t="str">
        <f t="shared" si="104"/>
        <v>GPI - Intercompany</v>
      </c>
      <c r="B1673" s="33" t="str">
        <f t="shared" si="105"/>
        <v>GPI</v>
      </c>
      <c r="C1673" s="33" t="str">
        <f t="shared" si="106"/>
        <v>11342-0000</v>
      </c>
      <c r="D1673" t="s">
        <v>19936</v>
      </c>
      <c r="E1673" t="s">
        <v>13355</v>
      </c>
      <c r="F1673" t="s">
        <v>14039</v>
      </c>
      <c r="G1673" t="s">
        <v>14672</v>
      </c>
      <c r="H1673" t="s">
        <v>13869</v>
      </c>
      <c r="I1673" t="s">
        <v>14690</v>
      </c>
      <c r="J1673" s="62">
        <v>0</v>
      </c>
      <c r="K1673" s="62">
        <v>0</v>
      </c>
      <c r="L1673" t="str">
        <f>VLOOKUP(VALUE(LEFT(C1673,5)),Xref!A:B,2,0)</f>
        <v>EAS</v>
      </c>
      <c r="M1673" t="str">
        <f t="shared" si="107"/>
        <v>EAS-GPI</v>
      </c>
    </row>
    <row r="1674" spans="1:13" ht="14.25" customHeight="true">
      <c r="A1674" s="33" t="str">
        <f t="shared" si="104"/>
        <v>GPI - Intercompany</v>
      </c>
      <c r="B1674" s="33" t="str">
        <f t="shared" si="105"/>
        <v>GPI</v>
      </c>
      <c r="C1674" s="33" t="str">
        <f t="shared" si="106"/>
        <v>11343-0000</v>
      </c>
      <c r="D1674" t="s">
        <v>19937</v>
      </c>
      <c r="E1674" t="s">
        <v>14139</v>
      </c>
      <c r="F1674" t="s">
        <v>14039</v>
      </c>
      <c r="G1674" t="s">
        <v>14672</v>
      </c>
      <c r="H1674" t="s">
        <v>13869</v>
      </c>
      <c r="I1674" t="s">
        <v>14690</v>
      </c>
      <c r="J1674" s="62">
        <v>0</v>
      </c>
      <c r="K1674" s="62">
        <v>0</v>
      </c>
      <c r="L1674" t="str">
        <f>VLOOKUP(VALUE(LEFT(C1674,5)),Xref!A:B,2,0)</f>
        <v>GRA</v>
      </c>
      <c r="M1674" t="str">
        <f t="shared" si="107"/>
        <v>GPI-GRA</v>
      </c>
    </row>
    <row r="1675" spans="1:13" ht="14.25" customHeight="true">
      <c r="A1675" s="33" t="str">
        <f t="shared" si="104"/>
        <v>GPI - Intercompany</v>
      </c>
      <c r="B1675" s="33" t="str">
        <f t="shared" si="105"/>
        <v>GPI</v>
      </c>
      <c r="C1675" s="33" t="str">
        <f t="shared" si="106"/>
        <v>11344-0000</v>
      </c>
      <c r="D1675" t="s">
        <v>19938</v>
      </c>
      <c r="E1675" t="s">
        <v>14141</v>
      </c>
      <c r="F1675" t="s">
        <v>14039</v>
      </c>
      <c r="G1675" t="s">
        <v>14672</v>
      </c>
      <c r="H1675" t="s">
        <v>13869</v>
      </c>
      <c r="I1675" t="s">
        <v>14690</v>
      </c>
      <c r="J1675" s="62">
        <v>0</v>
      </c>
      <c r="K1675" s="62">
        <v>0</v>
      </c>
      <c r="L1675" t="str">
        <f>VLOOKUP(VALUE(LEFT(C1675,5)),Xref!A:B,2,0)</f>
        <v>SOU</v>
      </c>
      <c r="M1675" t="str">
        <f t="shared" si="107"/>
        <v>GPI-SOU</v>
      </c>
    </row>
    <row r="1676" spans="1:13" ht="14.25" customHeight="true">
      <c r="A1676" s="33" t="str">
        <f t="shared" si="104"/>
        <v>GPI - Intercompany</v>
      </c>
      <c r="B1676" s="33" t="str">
        <f t="shared" si="105"/>
        <v>GPI</v>
      </c>
      <c r="C1676" s="33" t="str">
        <f t="shared" si="106"/>
        <v>11345-0000</v>
      </c>
      <c r="D1676" t="s">
        <v>19939</v>
      </c>
      <c r="E1676" t="s">
        <v>14143</v>
      </c>
      <c r="F1676" t="s">
        <v>14039</v>
      </c>
      <c r="G1676" t="s">
        <v>14672</v>
      </c>
      <c r="H1676" t="s">
        <v>13869</v>
      </c>
      <c r="I1676" t="s">
        <v>14690</v>
      </c>
      <c r="J1676" s="62">
        <v>0</v>
      </c>
      <c r="K1676" s="62">
        <v>0</v>
      </c>
      <c r="L1676" t="str">
        <f>VLOOKUP(VALUE(LEFT(C1676,5)),Xref!A:B,2,0)</f>
        <v>API</v>
      </c>
      <c r="M1676" t="str">
        <f t="shared" si="107"/>
        <v>API-GPI</v>
      </c>
    </row>
    <row r="1677" spans="1:13" ht="14.25" customHeight="true">
      <c r="A1677" s="33" t="str">
        <f t="shared" si="104"/>
        <v>GPI - Intercompany</v>
      </c>
      <c r="B1677" s="33" t="str">
        <f t="shared" si="105"/>
        <v>GPI</v>
      </c>
      <c r="C1677" s="33" t="str">
        <f t="shared" si="106"/>
        <v>11346-0000</v>
      </c>
      <c r="D1677" t="s">
        <v>19940</v>
      </c>
      <c r="E1677" t="s">
        <v>14145</v>
      </c>
      <c r="F1677" t="s">
        <v>14039</v>
      </c>
      <c r="G1677" t="s">
        <v>14672</v>
      </c>
      <c r="H1677" t="s">
        <v>13869</v>
      </c>
      <c r="I1677" t="s">
        <v>14690</v>
      </c>
      <c r="J1677" s="62">
        <v>0</v>
      </c>
      <c r="K1677" s="62">
        <v>0</v>
      </c>
      <c r="L1677" t="str">
        <f>VLOOKUP(VALUE(LEFT(C1677,5)),Xref!A:B,2,0)</f>
        <v>DPH</v>
      </c>
      <c r="M1677" t="str">
        <f t="shared" si="107"/>
        <v>DPH-GPI</v>
      </c>
    </row>
    <row r="1678" spans="1:13" ht="14.25" customHeight="true">
      <c r="A1678" s="33" t="str">
        <f t="shared" si="104"/>
        <v>GPI - Intercompany</v>
      </c>
      <c r="B1678" s="33" t="str">
        <f t="shared" si="105"/>
        <v>GPI</v>
      </c>
      <c r="C1678" s="33" t="str">
        <f t="shared" si="106"/>
        <v>11347-0000</v>
      </c>
      <c r="D1678" t="s">
        <v>19941</v>
      </c>
      <c r="E1678" t="s">
        <v>14147</v>
      </c>
      <c r="F1678" t="s">
        <v>14039</v>
      </c>
      <c r="G1678" t="s">
        <v>14672</v>
      </c>
      <c r="H1678" t="s">
        <v>13869</v>
      </c>
      <c r="I1678" t="s">
        <v>14690</v>
      </c>
      <c r="J1678" s="62">
        <v>0</v>
      </c>
      <c r="K1678" s="62">
        <v>0</v>
      </c>
      <c r="L1678" t="str">
        <f>VLOOKUP(VALUE(LEFT(C1678,5)),Xref!A:B,2,0)</f>
        <v>ZPI</v>
      </c>
      <c r="M1678" t="str">
        <f t="shared" si="107"/>
        <v>GPI-ZPI</v>
      </c>
    </row>
    <row r="1679" spans="1:13" ht="14.25" customHeight="true">
      <c r="A1679" s="33" t="str">
        <f t="shared" si="104"/>
        <v>GPI - Intercompany</v>
      </c>
      <c r="B1679" s="33" t="str">
        <f t="shared" si="105"/>
        <v>GPI</v>
      </c>
      <c r="C1679" s="33" t="str">
        <f t="shared" si="106"/>
        <v>11348-0000</v>
      </c>
      <c r="D1679" t="s">
        <v>19942</v>
      </c>
      <c r="E1679" t="s">
        <v>14149</v>
      </c>
      <c r="F1679" t="s">
        <v>14039</v>
      </c>
      <c r="G1679" t="s">
        <v>14672</v>
      </c>
      <c r="H1679" t="s">
        <v>13869</v>
      </c>
      <c r="I1679" t="s">
        <v>14690</v>
      </c>
      <c r="J1679" s="62">
        <v>0</v>
      </c>
      <c r="K1679" s="62">
        <v>0</v>
      </c>
      <c r="L1679" t="str">
        <f>VLOOKUP(VALUE(LEFT(C1679,5)),Xref!A:B,2,0)</f>
        <v>EAM</v>
      </c>
      <c r="M1679" t="str">
        <f t="shared" si="107"/>
        <v>EAM-GPI</v>
      </c>
    </row>
    <row r="1680" spans="1:13" ht="14.25" customHeight="true">
      <c r="A1680" s="33" t="str">
        <f t="shared" si="104"/>
        <v>GPI - Intercompany</v>
      </c>
      <c r="B1680" s="33" t="str">
        <f t="shared" si="105"/>
        <v>GPI</v>
      </c>
      <c r="C1680" s="33" t="str">
        <f t="shared" si="106"/>
        <v>11349-0000</v>
      </c>
      <c r="D1680" t="s">
        <v>19943</v>
      </c>
      <c r="E1680" t="s">
        <v>14151</v>
      </c>
      <c r="F1680" t="s">
        <v>14039</v>
      </c>
      <c r="G1680" t="s">
        <v>14672</v>
      </c>
      <c r="H1680" t="s">
        <v>13869</v>
      </c>
      <c r="I1680" t="s">
        <v>14690</v>
      </c>
      <c r="J1680" s="62">
        <v>0</v>
      </c>
      <c r="K1680" s="62">
        <v>0</v>
      </c>
      <c r="L1680" t="str">
        <f>VLOOKUP(VALUE(LEFT(C1680,5)),Xref!A:B,2,0)</f>
        <v>SEA</v>
      </c>
      <c r="M1680" t="str">
        <f t="shared" si="107"/>
        <v>GPI-SEA</v>
      </c>
    </row>
    <row r="1681" spans="1:13" ht="14.25" customHeight="true">
      <c r="A1681" s="33" t="str">
        <f t="shared" si="104"/>
        <v>GPI - Intercompany</v>
      </c>
      <c r="B1681" s="33" t="str">
        <f t="shared" si="105"/>
        <v>GPI</v>
      </c>
      <c r="C1681" s="33" t="str">
        <f t="shared" si="106"/>
        <v>11350-0000</v>
      </c>
      <c r="D1681" t="s">
        <v>19944</v>
      </c>
      <c r="E1681" t="s">
        <v>14153</v>
      </c>
      <c r="F1681" t="s">
        <v>14039</v>
      </c>
      <c r="G1681" t="s">
        <v>14672</v>
      </c>
      <c r="H1681" t="s">
        <v>13869</v>
      </c>
      <c r="I1681" t="s">
        <v>14690</v>
      </c>
      <c r="J1681" s="62">
        <v>0</v>
      </c>
      <c r="K1681" s="62">
        <v>0</v>
      </c>
      <c r="L1681" t="str">
        <f>VLOOKUP(VALUE(LEFT(C1681,5)),Xref!A:B,2,0)</f>
        <v>EAL</v>
      </c>
      <c r="M1681" t="str">
        <f t="shared" si="107"/>
        <v>EAL-GPI</v>
      </c>
    </row>
    <row r="1682" spans="1:13" ht="14.25" customHeight="true">
      <c r="A1682" s="33" t="str">
        <f t="shared" si="104"/>
        <v>GPI - Intercompany</v>
      </c>
      <c r="B1682" s="33" t="str">
        <f t="shared" si="105"/>
        <v>GPI</v>
      </c>
      <c r="C1682" s="33" t="str">
        <f t="shared" si="106"/>
        <v>11351-0000</v>
      </c>
      <c r="D1682" t="s">
        <v>19945</v>
      </c>
      <c r="E1682" t="s">
        <v>14155</v>
      </c>
      <c r="F1682" t="s">
        <v>14039</v>
      </c>
      <c r="G1682" t="s">
        <v>14672</v>
      </c>
      <c r="H1682" t="s">
        <v>13869</v>
      </c>
      <c r="I1682" t="s">
        <v>14690</v>
      </c>
      <c r="J1682" s="62">
        <v>0</v>
      </c>
      <c r="K1682" s="62">
        <v>0</v>
      </c>
      <c r="L1682" t="str">
        <f>VLOOKUP(VALUE(LEFT(C1682,5)),Xref!A:B,2,0)</f>
        <v>WEP</v>
      </c>
      <c r="M1682" t="str">
        <f t="shared" si="107"/>
        <v>GPI-WEP</v>
      </c>
    </row>
    <row r="1683" spans="1:13" ht="14.25" customHeight="true">
      <c r="A1683" s="33" t="str">
        <f t="shared" si="104"/>
        <v>GPI - Intercompany</v>
      </c>
      <c r="B1683" s="33" t="str">
        <f t="shared" si="105"/>
        <v>GPI</v>
      </c>
      <c r="C1683" s="33" t="str">
        <f t="shared" si="106"/>
        <v>11352-0000</v>
      </c>
      <c r="D1683" t="s">
        <v>19946</v>
      </c>
      <c r="E1683" t="s">
        <v>13536</v>
      </c>
      <c r="F1683" t="s">
        <v>14039</v>
      </c>
      <c r="G1683" t="s">
        <v>14672</v>
      </c>
      <c r="H1683" t="s">
        <v>13869</v>
      </c>
      <c r="I1683" t="s">
        <v>14690</v>
      </c>
      <c r="J1683" s="62">
        <v>0</v>
      </c>
      <c r="K1683" s="62">
        <v>0</v>
      </c>
      <c r="L1683" t="str">
        <f>VLOOKUP(VALUE(LEFT(C1683,5)),Xref!A:B,2,0)</f>
        <v>KLP</v>
      </c>
      <c r="M1683" t="str">
        <f t="shared" si="107"/>
        <v>GPI-KLP</v>
      </c>
    </row>
    <row r="1684" spans="1:13" ht="14.25" customHeight="true">
      <c r="A1684" s="33" t="str">
        <f t="shared" si="104"/>
        <v>GPI - Intercompany</v>
      </c>
      <c r="B1684" s="33" t="str">
        <f t="shared" si="105"/>
        <v>GPI</v>
      </c>
      <c r="C1684" s="33" t="str">
        <f t="shared" si="106"/>
        <v>11353-0000</v>
      </c>
      <c r="D1684" t="s">
        <v>19947</v>
      </c>
      <c r="E1684" t="s">
        <v>13537</v>
      </c>
      <c r="F1684" t="s">
        <v>14039</v>
      </c>
      <c r="G1684" t="s">
        <v>14672</v>
      </c>
      <c r="H1684" t="s">
        <v>13869</v>
      </c>
      <c r="I1684" t="s">
        <v>14690</v>
      </c>
      <c r="J1684" s="62">
        <v>0</v>
      </c>
      <c r="K1684" s="62">
        <v>0</v>
      </c>
      <c r="L1684" t="str">
        <f>VLOOKUP(VALUE(LEFT(C1684,5)),Xref!A:B,2,0)</f>
        <v>AKC</v>
      </c>
      <c r="M1684" t="str">
        <f t="shared" si="107"/>
        <v>AKC-GPI</v>
      </c>
    </row>
    <row r="1685" spans="1:13" ht="14.25" customHeight="true">
      <c r="A1685" s="33" t="str">
        <f t="shared" si="104"/>
        <v>GPI - Intercompany</v>
      </c>
      <c r="B1685" s="33" t="str">
        <f t="shared" si="105"/>
        <v>GPI</v>
      </c>
      <c r="C1685" s="33" t="str">
        <f t="shared" si="106"/>
        <v>11354-0000</v>
      </c>
      <c r="D1685" t="s">
        <v>19948</v>
      </c>
      <c r="E1685" t="s">
        <v>13538</v>
      </c>
      <c r="F1685" t="s">
        <v>14039</v>
      </c>
      <c r="G1685" t="s">
        <v>14672</v>
      </c>
      <c r="H1685" t="s">
        <v>13869</v>
      </c>
      <c r="I1685" t="s">
        <v>14690</v>
      </c>
      <c r="J1685" s="62">
        <v>0</v>
      </c>
      <c r="K1685" s="62">
        <v>0</v>
      </c>
      <c r="L1685" t="str">
        <f>VLOOKUP(VALUE(LEFT(C1685,5)),Xref!A:B,2,0)</f>
        <v>AKA</v>
      </c>
      <c r="M1685" t="str">
        <f t="shared" si="107"/>
        <v>AKA-GPI</v>
      </c>
    </row>
    <row r="1686" spans="1:13" ht="14.25" customHeight="true">
      <c r="A1686" s="33" t="str">
        <f t="shared" si="104"/>
        <v>GPI - Intercompany</v>
      </c>
      <c r="B1686" s="33" t="str">
        <f t="shared" si="105"/>
        <v>GPI</v>
      </c>
      <c r="C1686" s="33" t="str">
        <f t="shared" si="106"/>
        <v>11355-0000</v>
      </c>
      <c r="D1686" t="s">
        <v>19949</v>
      </c>
      <c r="E1686" t="s">
        <v>13539</v>
      </c>
      <c r="F1686" t="s">
        <v>14039</v>
      </c>
      <c r="G1686" t="s">
        <v>14672</v>
      </c>
      <c r="H1686" t="s">
        <v>13869</v>
      </c>
      <c r="I1686" t="s">
        <v>14690</v>
      </c>
      <c r="J1686" s="62">
        <v>0</v>
      </c>
      <c r="K1686" s="62">
        <v>0</v>
      </c>
      <c r="L1686" t="str">
        <f>VLOOKUP(VALUE(LEFT(C1686,5)),Xref!A:B,2,0)</f>
        <v>SPA</v>
      </c>
      <c r="M1686" t="str">
        <f t="shared" si="107"/>
        <v>GPI-SPA</v>
      </c>
    </row>
    <row r="1687" spans="1:13" ht="14.25" customHeight="true">
      <c r="A1687" s="33" t="str">
        <f t="shared" si="104"/>
        <v>GPI - Intercompany</v>
      </c>
      <c r="B1687" s="33" t="str">
        <f t="shared" si="105"/>
        <v>GPI</v>
      </c>
      <c r="C1687" s="33" t="str">
        <f t="shared" si="106"/>
        <v>11356-0000</v>
      </c>
      <c r="D1687" t="s">
        <v>19950</v>
      </c>
      <c r="E1687" t="s">
        <v>13540</v>
      </c>
      <c r="F1687" t="s">
        <v>14039</v>
      </c>
      <c r="G1687" t="s">
        <v>14672</v>
      </c>
      <c r="H1687" t="s">
        <v>13869</v>
      </c>
      <c r="I1687" t="s">
        <v>14690</v>
      </c>
      <c r="J1687" s="62">
        <v>0</v>
      </c>
      <c r="K1687" s="62">
        <v>0</v>
      </c>
      <c r="L1687" t="str">
        <f>VLOOKUP(VALUE(LEFT(C1687,5)),Xref!A:B,2,0)</f>
        <v>DPM</v>
      </c>
      <c r="M1687" t="str">
        <f t="shared" si="107"/>
        <v>DPM-GPI</v>
      </c>
    </row>
    <row r="1688" spans="1:13" ht="14.25" customHeight="true">
      <c r="A1688" s="33" t="str">
        <f t="shared" si="104"/>
        <v>GPI - Intercompany</v>
      </c>
      <c r="B1688" s="33" t="str">
        <f t="shared" si="105"/>
        <v>GPI</v>
      </c>
      <c r="C1688" s="33" t="str">
        <f t="shared" si="106"/>
        <v>11357-0000</v>
      </c>
      <c r="D1688" t="s">
        <v>19951</v>
      </c>
      <c r="E1688" t="s">
        <v>13541</v>
      </c>
      <c r="F1688" t="s">
        <v>14039</v>
      </c>
      <c r="G1688" t="s">
        <v>14672</v>
      </c>
      <c r="H1688" t="s">
        <v>13869</v>
      </c>
      <c r="I1688" t="s">
        <v>14690</v>
      </c>
      <c r="J1688" s="62">
        <v>0</v>
      </c>
      <c r="K1688" s="62">
        <v>0</v>
      </c>
      <c r="L1688" t="str">
        <f>VLOOKUP(VALUE(LEFT(C1688,5)),Xref!A:B,2,0)</f>
        <v>HDM</v>
      </c>
      <c r="M1688" t="str">
        <f t="shared" si="107"/>
        <v>GPI-HDM</v>
      </c>
    </row>
    <row r="1689" spans="1:13" ht="14.25" customHeight="true">
      <c r="A1689" s="33" t="str">
        <f t="shared" si="104"/>
        <v>GPI - Intercompany</v>
      </c>
      <c r="B1689" s="33" t="str">
        <f t="shared" si="105"/>
        <v>GPI</v>
      </c>
      <c r="C1689" s="33" t="str">
        <f t="shared" si="106"/>
        <v>11358-0000</v>
      </c>
      <c r="D1689" t="s">
        <v>19952</v>
      </c>
      <c r="E1689" t="s">
        <v>13542</v>
      </c>
      <c r="F1689" t="s">
        <v>14039</v>
      </c>
      <c r="G1689" t="s">
        <v>14672</v>
      </c>
      <c r="H1689" t="s">
        <v>13869</v>
      </c>
      <c r="I1689" t="s">
        <v>14690</v>
      </c>
      <c r="J1689" s="62">
        <v>0</v>
      </c>
      <c r="K1689" s="62">
        <v>0</v>
      </c>
      <c r="L1689" t="str">
        <f>VLOOKUP(VALUE(LEFT(C1689,5)),Xref!A:B,2,0)</f>
        <v>GRA</v>
      </c>
      <c r="M1689" t="str">
        <f t="shared" si="107"/>
        <v>GPI-GRA</v>
      </c>
    </row>
    <row r="1690" spans="1:13" ht="14.25" customHeight="true">
      <c r="A1690" s="33" t="str">
        <f t="shared" si="104"/>
        <v>GPI - Intercompany</v>
      </c>
      <c r="B1690" s="33" t="str">
        <f t="shared" si="105"/>
        <v>GPI</v>
      </c>
      <c r="C1690" s="33" t="str">
        <f t="shared" si="106"/>
        <v>11359-0000</v>
      </c>
      <c r="D1690" t="s">
        <v>19953</v>
      </c>
      <c r="E1690" t="s">
        <v>13543</v>
      </c>
      <c r="F1690" t="s">
        <v>14039</v>
      </c>
      <c r="G1690" t="s">
        <v>14672</v>
      </c>
      <c r="H1690" t="s">
        <v>13869</v>
      </c>
      <c r="I1690" t="s">
        <v>14690</v>
      </c>
      <c r="J1690" s="62">
        <v>0</v>
      </c>
      <c r="K1690" s="62">
        <v>0</v>
      </c>
      <c r="L1690" t="str">
        <f>VLOOKUP(VALUE(LEFT(C1690,5)),Xref!A:B,2,0)</f>
        <v>TPI</v>
      </c>
      <c r="M1690" t="str">
        <f t="shared" si="107"/>
        <v>GPI-TPI</v>
      </c>
    </row>
    <row r="1691" spans="1:13" ht="14.25" customHeight="true">
      <c r="A1691" s="33" t="str">
        <f t="shared" si="104"/>
        <v>GPI - Intercompany</v>
      </c>
      <c r="B1691" s="33" t="str">
        <f t="shared" si="105"/>
        <v>GPI</v>
      </c>
      <c r="C1691" s="33" t="str">
        <f t="shared" si="106"/>
        <v>11361-0000</v>
      </c>
      <c r="D1691" t="s">
        <v>19954</v>
      </c>
      <c r="E1691" t="s">
        <v>14165</v>
      </c>
      <c r="F1691" t="s">
        <v>14039</v>
      </c>
      <c r="G1691" t="s">
        <v>14672</v>
      </c>
      <c r="H1691" t="s">
        <v>13869</v>
      </c>
      <c r="I1691" t="s">
        <v>14690</v>
      </c>
      <c r="J1691" s="62">
        <v>0</v>
      </c>
      <c r="K1691" s="62">
        <v>0</v>
      </c>
      <c r="L1691" t="str">
        <f>VLOOKUP(VALUE(LEFT(C1691,5)),Xref!A:B,2,0)</f>
        <v>GSM</v>
      </c>
      <c r="M1691" t="str">
        <f t="shared" si="107"/>
        <v>GPI-GSM</v>
      </c>
    </row>
    <row r="1692" spans="1:13" ht="14.25" customHeight="true">
      <c r="A1692" s="33" t="str">
        <f t="shared" si="104"/>
        <v>GPI - Intercompany</v>
      </c>
      <c r="B1692" s="33" t="str">
        <f t="shared" si="105"/>
        <v>GPI</v>
      </c>
      <c r="C1692" s="33" t="str">
        <f t="shared" si="106"/>
        <v>11363-0000</v>
      </c>
      <c r="D1692" t="s">
        <v>19955</v>
      </c>
      <c r="E1692" t="s">
        <v>13544</v>
      </c>
      <c r="F1692" t="s">
        <v>14039</v>
      </c>
      <c r="G1692" t="s">
        <v>14672</v>
      </c>
      <c r="H1692" t="s">
        <v>13869</v>
      </c>
      <c r="I1692" t="s">
        <v>14690</v>
      </c>
      <c r="J1692" s="62">
        <v>0</v>
      </c>
      <c r="K1692" s="62">
        <v>0</v>
      </c>
      <c r="L1692" t="str">
        <f>VLOOKUP(VALUE(LEFT(C1692,5)),Xref!A:B,2,0)</f>
        <v>SOF</v>
      </c>
      <c r="M1692" t="str">
        <f t="shared" si="107"/>
        <v>GPI-SOF</v>
      </c>
    </row>
    <row r="1693" spans="1:13" ht="14.25" customHeight="true">
      <c r="A1693" s="33" t="str">
        <f t="shared" si="104"/>
        <v>GPI - Intercompany</v>
      </c>
      <c r="B1693" s="33" t="str">
        <f t="shared" si="105"/>
        <v>GPI</v>
      </c>
      <c r="C1693" s="33" t="str">
        <f t="shared" si="106"/>
        <v>11364-0000</v>
      </c>
      <c r="D1693" t="s">
        <v>19956</v>
      </c>
      <c r="E1693" t="s">
        <v>14168</v>
      </c>
      <c r="F1693" t="s">
        <v>14039</v>
      </c>
      <c r="G1693" t="s">
        <v>14672</v>
      </c>
      <c r="H1693" t="s">
        <v>13869</v>
      </c>
      <c r="I1693" t="s">
        <v>14690</v>
      </c>
      <c r="J1693" s="62">
        <v>0</v>
      </c>
      <c r="K1693" s="62">
        <v>0</v>
      </c>
      <c r="L1693" t="e">
        <f>VLOOKUP(VALUE(LEFT(C1693,5)),Xref!A:B,2,0)</f>
        <v>#N/A</v>
      </c>
      <c r="M1693" t="e">
        <f t="shared" si="107"/>
        <v>#N/A</v>
      </c>
    </row>
    <row r="1694" spans="1:13" ht="14.25" customHeight="true">
      <c r="A1694" s="33" t="str">
        <f t="shared" si="104"/>
        <v>GPI - Intercompany</v>
      </c>
      <c r="B1694" s="33" t="str">
        <f t="shared" si="105"/>
        <v>GPI</v>
      </c>
      <c r="C1694" s="33" t="str">
        <f t="shared" si="106"/>
        <v>11365-0000</v>
      </c>
      <c r="D1694" t="s">
        <v>19957</v>
      </c>
      <c r="E1694" t="s">
        <v>14170</v>
      </c>
      <c r="F1694" t="s">
        <v>14039</v>
      </c>
      <c r="G1694" t="s">
        <v>14672</v>
      </c>
      <c r="H1694" t="s">
        <v>13869</v>
      </c>
      <c r="I1694" t="s">
        <v>14690</v>
      </c>
      <c r="J1694" s="62">
        <v>0</v>
      </c>
      <c r="K1694" s="62">
        <v>0</v>
      </c>
      <c r="L1694" t="e">
        <f>VLOOKUP(VALUE(LEFT(C1694,5)),Xref!A:B,2,0)</f>
        <v>#N/A</v>
      </c>
      <c r="M1694" t="e">
        <f t="shared" si="107"/>
        <v>#N/A</v>
      </c>
    </row>
    <row r="1695" spans="1:13" ht="14.25" customHeight="true">
      <c r="A1695" s="33" t="str">
        <f t="shared" si="104"/>
        <v>GPI - Intercompany</v>
      </c>
      <c r="B1695" s="33" t="str">
        <f t="shared" si="105"/>
        <v>GPI</v>
      </c>
      <c r="C1695" s="33" t="str">
        <f t="shared" si="106"/>
        <v>11366-0000</v>
      </c>
      <c r="D1695" t="s">
        <v>19958</v>
      </c>
      <c r="E1695" t="s">
        <v>14172</v>
      </c>
      <c r="G1695" t="s">
        <v>14672</v>
      </c>
      <c r="H1695" t="s">
        <v>13869</v>
      </c>
      <c r="I1695" t="s">
        <v>14690</v>
      </c>
      <c r="J1695" s="62">
        <v>0</v>
      </c>
      <c r="K1695" s="62">
        <v>0</v>
      </c>
      <c r="L1695" t="e">
        <f>VLOOKUP(VALUE(LEFT(C1695,5)),Xref!A:B,2,0)</f>
        <v>#N/A</v>
      </c>
      <c r="M1695" t="e">
        <f t="shared" si="107"/>
        <v>#N/A</v>
      </c>
    </row>
    <row r="1696" spans="1:13" ht="14.25" customHeight="true">
      <c r="A1696" s="33" t="str">
        <f t="shared" si="104"/>
        <v>GPI - Intercompany</v>
      </c>
      <c r="B1696" s="33" t="str">
        <f t="shared" si="105"/>
        <v>GPI</v>
      </c>
      <c r="C1696" s="33" t="str">
        <f t="shared" si="106"/>
        <v>11402-0000</v>
      </c>
      <c r="D1696" t="s">
        <v>1264</v>
      </c>
      <c r="E1696" t="s">
        <v>14174</v>
      </c>
      <c r="G1696" t="s">
        <v>14672</v>
      </c>
      <c r="H1696" t="s">
        <v>13869</v>
      </c>
      <c r="I1696" t="s">
        <v>14690</v>
      </c>
      <c r="J1696" s="62">
        <v>0</v>
      </c>
      <c r="K1696" s="62">
        <v>0</v>
      </c>
      <c r="L1696" t="str">
        <f>VLOOKUP(VALUE(LEFT(C1696,5)),Xref!A:B,2,0)</f>
        <v>DPI</v>
      </c>
      <c r="M1696" t="str">
        <f t="shared" si="107"/>
        <v>DPI-GPI</v>
      </c>
    </row>
    <row r="1697" spans="1:13" ht="14.25" customHeight="true">
      <c r="A1697" s="33" t="str">
        <f t="shared" si="104"/>
        <v>GPI - Intercompany</v>
      </c>
      <c r="B1697" s="33" t="str">
        <f t="shared" si="105"/>
        <v>GPI</v>
      </c>
      <c r="C1697" s="33" t="str">
        <f t="shared" si="106"/>
        <v>11403-0000</v>
      </c>
      <c r="D1697" t="s">
        <v>19959</v>
      </c>
      <c r="E1697" t="s">
        <v>14176</v>
      </c>
      <c r="G1697" t="s">
        <v>14672</v>
      </c>
      <c r="H1697" t="s">
        <v>13869</v>
      </c>
      <c r="I1697" t="s">
        <v>14690</v>
      </c>
      <c r="J1697" s="62">
        <v>0</v>
      </c>
      <c r="K1697" s="62">
        <v>0</v>
      </c>
      <c r="L1697" t="str">
        <f>VLOOKUP(VALUE(LEFT(C1697,5)),Xref!A:B,2,0)</f>
        <v>SEA</v>
      </c>
      <c r="M1697" t="str">
        <f t="shared" si="107"/>
        <v>GPI-SEA</v>
      </c>
    </row>
    <row r="1698" spans="1:13" ht="14.25" customHeight="true">
      <c r="A1698" s="33" t="str">
        <f t="shared" si="104"/>
        <v>GPI - Intercompany</v>
      </c>
      <c r="B1698" s="33" t="str">
        <f t="shared" si="105"/>
        <v>GPI</v>
      </c>
      <c r="C1698" s="33" t="str">
        <f t="shared" si="106"/>
        <v>12400-0000</v>
      </c>
      <c r="D1698" t="s">
        <v>19962</v>
      </c>
      <c r="E1698" t="s">
        <v>14185</v>
      </c>
      <c r="F1698" t="s">
        <v>14039</v>
      </c>
      <c r="G1698" t="s">
        <v>14672</v>
      </c>
      <c r="H1698" t="s">
        <v>13869</v>
      </c>
      <c r="I1698" t="s">
        <v>14690</v>
      </c>
      <c r="J1698" s="62">
        <v>0</v>
      </c>
      <c r="K1698" s="62">
        <v>0</v>
      </c>
      <c r="L1698" t="str">
        <f>VLOOKUP(VALUE(LEFT(C1698,5)),Xref!A:B,2,0)</f>
        <v>aka</v>
      </c>
      <c r="M1698" t="str">
        <f t="shared" si="107"/>
        <v>aka-GPI</v>
      </c>
    </row>
    <row r="1699" spans="1:13" ht="14.25" customHeight="true">
      <c r="A1699" s="33" t="str">
        <f t="shared" si="104"/>
        <v>GPI - Intercompany</v>
      </c>
      <c r="B1699" s="33" t="str">
        <f t="shared" si="105"/>
        <v>GPI</v>
      </c>
      <c r="C1699" s="33" t="str">
        <f t="shared" si="106"/>
        <v>12401-0000</v>
      </c>
      <c r="D1699" t="s">
        <v>19963</v>
      </c>
      <c r="E1699" t="s">
        <v>14187</v>
      </c>
      <c r="F1699" t="s">
        <v>14039</v>
      </c>
      <c r="G1699" t="s">
        <v>14672</v>
      </c>
      <c r="H1699" t="s">
        <v>13869</v>
      </c>
      <c r="I1699" t="s">
        <v>14690</v>
      </c>
      <c r="J1699" s="62">
        <v>0</v>
      </c>
      <c r="K1699" s="62">
        <v>0</v>
      </c>
      <c r="L1699" t="str">
        <f>VLOOKUP(VALUE(LEFT(C1699,5)),Xref!A:B,2,0)</f>
        <v>aka</v>
      </c>
      <c r="M1699" t="str">
        <f t="shared" si="107"/>
        <v>aka-GPI</v>
      </c>
    </row>
    <row r="1700" spans="1:13" ht="14.25" customHeight="true">
      <c r="A1700" s="33" t="str">
        <f t="shared" si="104"/>
        <v>GPI - Intercompany</v>
      </c>
      <c r="B1700" s="33" t="str">
        <f t="shared" si="105"/>
        <v>GPI</v>
      </c>
      <c r="C1700" s="33" t="str">
        <f t="shared" si="106"/>
        <v>12402-0000</v>
      </c>
      <c r="D1700" t="s">
        <v>19964</v>
      </c>
      <c r="E1700" t="s">
        <v>14189</v>
      </c>
      <c r="F1700" t="s">
        <v>14039</v>
      </c>
      <c r="G1700" t="s">
        <v>14672</v>
      </c>
      <c r="H1700" t="s">
        <v>13869</v>
      </c>
      <c r="I1700" t="s">
        <v>14690</v>
      </c>
      <c r="J1700" s="62">
        <v>0</v>
      </c>
      <c r="K1700" s="62">
        <v>0</v>
      </c>
      <c r="L1700" t="str">
        <f>VLOOKUP(VALUE(LEFT(C1700,5)),Xref!A:B,2,0)</f>
        <v>aka</v>
      </c>
      <c r="M1700" t="str">
        <f t="shared" si="107"/>
        <v>aka-GPI</v>
      </c>
    </row>
    <row r="1701" spans="1:13" ht="14.25" customHeight="true">
      <c r="A1701" s="33" t="str">
        <f t="shared" si="104"/>
        <v>GPI - Intercompany</v>
      </c>
      <c r="B1701" s="33" t="str">
        <f t="shared" si="105"/>
        <v>GPI</v>
      </c>
      <c r="C1701" s="33" t="str">
        <f t="shared" si="106"/>
        <v>12403-0000</v>
      </c>
      <c r="D1701" t="s">
        <v>19965</v>
      </c>
      <c r="E1701" t="s">
        <v>5226</v>
      </c>
      <c r="F1701" t="s">
        <v>14039</v>
      </c>
      <c r="G1701" t="s">
        <v>14672</v>
      </c>
      <c r="H1701" t="s">
        <v>13869</v>
      </c>
      <c r="I1701" t="s">
        <v>14690</v>
      </c>
      <c r="J1701" s="62">
        <v>0</v>
      </c>
      <c r="K1701" s="62">
        <v>0</v>
      </c>
      <c r="L1701" t="str">
        <f>VLOOKUP(VALUE(LEFT(C1701,5)),Xref!A:B,2,0)</f>
        <v>aka</v>
      </c>
      <c r="M1701" t="str">
        <f t="shared" si="107"/>
        <v>aka-GPI</v>
      </c>
    </row>
    <row r="1702" spans="1:13" ht="14.25" customHeight="true">
      <c r="A1702" s="33" t="str">
        <f t="shared" si="104"/>
        <v>GPI - Intercompany</v>
      </c>
      <c r="B1702" s="33" t="str">
        <f t="shared" si="105"/>
        <v>GPI</v>
      </c>
      <c r="C1702" s="33" t="str">
        <f t="shared" si="106"/>
        <v>12501-0000</v>
      </c>
      <c r="D1702" t="s">
        <v>19966</v>
      </c>
      <c r="E1702" t="s">
        <v>14192</v>
      </c>
      <c r="F1702" t="s">
        <v>14039</v>
      </c>
      <c r="G1702" t="s">
        <v>14672</v>
      </c>
      <c r="H1702" t="s">
        <v>13869</v>
      </c>
      <c r="I1702" t="s">
        <v>14690</v>
      </c>
      <c r="J1702" s="62">
        <v>0</v>
      </c>
      <c r="K1702" s="62">
        <v>0</v>
      </c>
      <c r="L1702" t="str">
        <f>VLOOKUP(VALUE(LEFT(C1702,5)),Xref!A:B,2,0)</f>
        <v>aka</v>
      </c>
      <c r="M1702" t="str">
        <f t="shared" si="107"/>
        <v>aka-GPI</v>
      </c>
    </row>
    <row r="1703" spans="1:13" ht="14.25" customHeight="true">
      <c r="A1703" s="33" t="str">
        <f t="shared" si="104"/>
        <v>GPI - InterCo Notes</v>
      </c>
      <c r="B1703" s="33" t="str">
        <f t="shared" si="105"/>
        <v>GPI</v>
      </c>
      <c r="C1703" s="33" t="str">
        <f t="shared" si="106"/>
        <v>25600-0000</v>
      </c>
      <c r="D1703" t="s">
        <v>20014</v>
      </c>
      <c r="E1703" t="s">
        <v>314</v>
      </c>
      <c r="F1703" t="s">
        <v>14039</v>
      </c>
      <c r="G1703" t="s">
        <v>14672</v>
      </c>
      <c r="H1703" t="s">
        <v>13889</v>
      </c>
      <c r="I1703" t="s">
        <v>14690</v>
      </c>
      <c r="J1703" s="62">
        <v>0</v>
      </c>
      <c r="K1703" s="62">
        <v>0</v>
      </c>
      <c r="L1703" t="str">
        <f>VLOOKUP(VALUE(LEFT(C1703,5)),Xref!A:B,2,0)</f>
        <v>D7</v>
      </c>
      <c r="M1703" t="str">
        <f t="shared" si="107"/>
        <v>D7-GPI</v>
      </c>
    </row>
    <row r="1704" spans="1:13" ht="14.25" customHeight="true">
      <c r="A1704" s="33" t="str">
        <f t="shared" si="104"/>
        <v>GPI - InterCo Notes</v>
      </c>
      <c r="B1704" s="33" t="str">
        <f t="shared" si="105"/>
        <v>GPI</v>
      </c>
      <c r="C1704" s="33" t="str">
        <f t="shared" si="106"/>
        <v>25602-0000</v>
      </c>
      <c r="D1704" t="s">
        <v>20016</v>
      </c>
      <c r="E1704" t="s">
        <v>13426</v>
      </c>
      <c r="F1704" t="s">
        <v>14039</v>
      </c>
      <c r="G1704" t="s">
        <v>14672</v>
      </c>
      <c r="H1704" t="s">
        <v>13889</v>
      </c>
      <c r="I1704" t="s">
        <v>14690</v>
      </c>
      <c r="J1704" s="62">
        <v>0</v>
      </c>
      <c r="K1704" s="62">
        <v>0</v>
      </c>
      <c r="L1704" t="str">
        <f>VLOOKUP(VALUE(LEFT(C1704,5)),Xref!A:B,2,0)</f>
        <v>DFLP</v>
      </c>
      <c r="M1704" t="str">
        <f t="shared" si="107"/>
        <v>DFLP-GPI</v>
      </c>
    </row>
    <row r="1705" spans="1:13" ht="14.25" customHeight="true">
      <c r="A1705" s="33" t="str">
        <f t="shared" si="104"/>
        <v>GPI - InterCo Notes</v>
      </c>
      <c r="B1705" s="33" t="str">
        <f t="shared" si="105"/>
        <v>GPI</v>
      </c>
      <c r="C1705" s="33" t="str">
        <f t="shared" si="106"/>
        <v>25603-0000</v>
      </c>
      <c r="D1705" t="s">
        <v>20017</v>
      </c>
      <c r="E1705" t="s">
        <v>14311</v>
      </c>
      <c r="F1705" t="s">
        <v>14039</v>
      </c>
      <c r="G1705" t="s">
        <v>14832</v>
      </c>
      <c r="H1705" t="s">
        <v>13889</v>
      </c>
      <c r="I1705" t="s">
        <v>14690</v>
      </c>
      <c r="J1705" s="62">
        <v>0</v>
      </c>
      <c r="K1705" s="62">
        <v>0</v>
      </c>
      <c r="L1705" t="str">
        <f>VLOOKUP(VALUE(LEFT(C1705,5)),Xref!A:B,2,0)</f>
        <v>aka</v>
      </c>
      <c r="M1705" t="str">
        <f t="shared" si="107"/>
        <v>aka-GPI</v>
      </c>
    </row>
    <row r="1706" spans="1:13" ht="14.25" customHeight="true">
      <c r="A1706" s="33" t="str">
        <f t="shared" si="104"/>
        <v>GPI - Intercompany</v>
      </c>
      <c r="B1706" s="33" t="str">
        <f t="shared" si="105"/>
        <v>GPI</v>
      </c>
      <c r="C1706" s="33" t="str">
        <f t="shared" si="106"/>
        <v>25604-0000</v>
      </c>
      <c r="D1706" t="s">
        <v>20018</v>
      </c>
      <c r="E1706" t="s">
        <v>13490</v>
      </c>
      <c r="F1706" t="s">
        <v>14039</v>
      </c>
      <c r="G1706" t="s">
        <v>14672</v>
      </c>
      <c r="H1706" t="s">
        <v>13869</v>
      </c>
      <c r="I1706" t="s">
        <v>14690</v>
      </c>
      <c r="J1706" s="62">
        <v>0</v>
      </c>
      <c r="K1706" s="62">
        <v>0</v>
      </c>
      <c r="L1706">
        <f>VLOOKUP(VALUE(LEFT(C1706,5)),Xref!A:B,2,0)</f>
        <v>0</v>
      </c>
      <c r="M1706" t="str">
        <f t="shared" si="107"/>
        <v>0-GPI</v>
      </c>
    </row>
    <row r="1707" spans="1:13" ht="14.25" customHeight="true">
      <c r="A1707" s="33" t="str">
        <f t="shared" si="104"/>
        <v>GRA - Intercompany</v>
      </c>
      <c r="B1707" s="33" t="str">
        <f t="shared" si="105"/>
        <v>GRA</v>
      </c>
      <c r="C1707" s="33" t="str">
        <f t="shared" si="106"/>
        <v>11200-0000</v>
      </c>
      <c r="D1707" t="s">
        <v>20211</v>
      </c>
      <c r="E1707" t="s">
        <v>14069</v>
      </c>
      <c r="F1707" t="s">
        <v>14039</v>
      </c>
      <c r="G1707" t="s">
        <v>14672</v>
      </c>
      <c r="H1707" t="s">
        <v>13869</v>
      </c>
      <c r="I1707" t="s">
        <v>14690</v>
      </c>
      <c r="J1707" s="62">
        <v>0</v>
      </c>
      <c r="K1707" s="62">
        <v>0</v>
      </c>
      <c r="L1707" t="str">
        <f>VLOOKUP(VALUE(LEFT(C1707,5)),Xref!A:B,2,0)</f>
        <v>SCL</v>
      </c>
      <c r="M1707" t="str">
        <f t="shared" si="107"/>
        <v>GRA-SCL</v>
      </c>
    </row>
    <row r="1708" spans="1:13" ht="14.25" customHeight="true">
      <c r="A1708" s="33" t="str">
        <f t="shared" si="104"/>
        <v>GRA - Intercompany</v>
      </c>
      <c r="B1708" s="33" t="str">
        <f t="shared" si="105"/>
        <v>GRA</v>
      </c>
      <c r="C1708" s="33" t="str">
        <f t="shared" si="106"/>
        <v>11201-0000</v>
      </c>
      <c r="D1708" t="s">
        <v>20212</v>
      </c>
      <c r="E1708" t="s">
        <v>14071</v>
      </c>
      <c r="F1708" t="s">
        <v>14039</v>
      </c>
      <c r="G1708" t="s">
        <v>14672</v>
      </c>
      <c r="H1708" t="s">
        <v>13869</v>
      </c>
      <c r="I1708" t="s">
        <v>14690</v>
      </c>
      <c r="J1708" s="62">
        <v>0</v>
      </c>
      <c r="K1708" s="62">
        <v>0</v>
      </c>
      <c r="L1708" t="str">
        <f>VLOOKUP(VALUE(LEFT(C1708,5)),Xref!A:B,2,0)</f>
        <v>SG2</v>
      </c>
      <c r="M1708" t="str">
        <f t="shared" si="107"/>
        <v>GRA-SG2</v>
      </c>
    </row>
    <row r="1709" spans="1:13" ht="14.25" customHeight="true">
      <c r="A1709" s="33" t="str">
        <f t="shared" si="104"/>
        <v>GRA - Intercompany</v>
      </c>
      <c r="B1709" s="33" t="str">
        <f t="shared" si="105"/>
        <v>GRA</v>
      </c>
      <c r="C1709" s="33" t="str">
        <f t="shared" si="106"/>
        <v>11202-0000</v>
      </c>
      <c r="D1709" t="s">
        <v>20213</v>
      </c>
      <c r="E1709" t="s">
        <v>14073</v>
      </c>
      <c r="F1709" t="s">
        <v>14039</v>
      </c>
      <c r="G1709" t="s">
        <v>14672</v>
      </c>
      <c r="H1709" t="s">
        <v>13869</v>
      </c>
      <c r="I1709" t="s">
        <v>14690</v>
      </c>
      <c r="J1709" s="62">
        <v>0</v>
      </c>
      <c r="K1709" s="62">
        <v>0</v>
      </c>
      <c r="L1709" t="str">
        <f>VLOOKUP(VALUE(LEFT(C1709,5)),Xref!A:B,2,0)</f>
        <v>FFC</v>
      </c>
      <c r="M1709" t="str">
        <f t="shared" si="107"/>
        <v>FFC-GRA</v>
      </c>
    </row>
    <row r="1710" spans="1:13" ht="14.25" customHeight="true">
      <c r="A1710" s="33" t="str">
        <f t="shared" si="104"/>
        <v>GRA - Intercompany</v>
      </c>
      <c r="B1710" s="33" t="str">
        <f t="shared" si="105"/>
        <v>GRA</v>
      </c>
      <c r="C1710" s="33" t="str">
        <f t="shared" si="106"/>
        <v>11203-0000</v>
      </c>
      <c r="D1710" t="s">
        <v>20214</v>
      </c>
      <c r="E1710" t="s">
        <v>14075</v>
      </c>
      <c r="F1710" t="s">
        <v>14039</v>
      </c>
      <c r="G1710" t="s">
        <v>14672</v>
      </c>
      <c r="H1710" t="s">
        <v>13869</v>
      </c>
      <c r="I1710" t="s">
        <v>14690</v>
      </c>
      <c r="J1710" s="62">
        <v>0</v>
      </c>
      <c r="K1710" s="62">
        <v>0</v>
      </c>
      <c r="L1710" t="str">
        <f>VLOOKUP(VALUE(LEFT(C1710,5)),Xref!A:B,2,0)</f>
        <v>HN2</v>
      </c>
      <c r="M1710" t="str">
        <f t="shared" si="107"/>
        <v>GRA-HN2</v>
      </c>
    </row>
    <row r="1711" spans="1:13" ht="14.25" customHeight="true">
      <c r="A1711" s="33" t="str">
        <f t="shared" si="104"/>
        <v>GRA - Intercompany</v>
      </c>
      <c r="B1711" s="33" t="str">
        <f t="shared" si="105"/>
        <v>GRA</v>
      </c>
      <c r="C1711" s="33" t="str">
        <f t="shared" si="106"/>
        <v>11204-0000</v>
      </c>
      <c r="D1711" t="s">
        <v>20215</v>
      </c>
      <c r="E1711" t="s">
        <v>14077</v>
      </c>
      <c r="F1711" t="s">
        <v>14039</v>
      </c>
      <c r="G1711" t="s">
        <v>14672</v>
      </c>
      <c r="H1711" t="s">
        <v>13869</v>
      </c>
      <c r="I1711" t="s">
        <v>14690</v>
      </c>
      <c r="J1711" s="62">
        <v>0</v>
      </c>
      <c r="K1711" s="62">
        <v>0</v>
      </c>
      <c r="L1711" t="str">
        <f>VLOOKUP(VALUE(LEFT(C1711,5)),Xref!A:B,2,0)</f>
        <v>DF2</v>
      </c>
      <c r="M1711" t="str">
        <f t="shared" si="107"/>
        <v>DF2-GRA</v>
      </c>
    </row>
    <row r="1712" spans="1:13" ht="14.25" customHeight="true">
      <c r="A1712" s="33" t="str">
        <f t="shared" si="104"/>
        <v>GRA - Intercompany</v>
      </c>
      <c r="B1712" s="33" t="str">
        <f t="shared" si="105"/>
        <v>GRA</v>
      </c>
      <c r="C1712" s="33" t="str">
        <f t="shared" si="106"/>
        <v>11208-0000</v>
      </c>
      <c r="D1712" t="s">
        <v>20216</v>
      </c>
      <c r="E1712" t="s">
        <v>14079</v>
      </c>
      <c r="F1712" t="s">
        <v>14039</v>
      </c>
      <c r="G1712" t="s">
        <v>14672</v>
      </c>
      <c r="H1712" t="s">
        <v>13869</v>
      </c>
      <c r="I1712" t="s">
        <v>14690</v>
      </c>
      <c r="J1712" s="62">
        <v>0</v>
      </c>
      <c r="K1712" s="62">
        <v>0</v>
      </c>
      <c r="L1712" t="str">
        <f>VLOOKUP(VALUE(LEFT(C1712,5)),Xref!A:B,2,0)</f>
        <v>SRE</v>
      </c>
      <c r="M1712" t="str">
        <f t="shared" si="107"/>
        <v>GRA-SRE</v>
      </c>
    </row>
    <row r="1713" spans="1:13" ht="14.25" customHeight="true">
      <c r="A1713" s="33" t="str">
        <f t="shared" si="104"/>
        <v>GRA - Intercompany</v>
      </c>
      <c r="B1713" s="33" t="str">
        <f t="shared" si="105"/>
        <v>GRA</v>
      </c>
      <c r="C1713" s="33" t="str">
        <f t="shared" si="106"/>
        <v>11210-0000</v>
      </c>
      <c r="D1713" t="s">
        <v>20217</v>
      </c>
      <c r="E1713" t="s">
        <v>14081</v>
      </c>
      <c r="F1713" t="s">
        <v>14039</v>
      </c>
      <c r="G1713" t="s">
        <v>14672</v>
      </c>
      <c r="H1713" t="s">
        <v>13869</v>
      </c>
      <c r="I1713" t="s">
        <v>14690</v>
      </c>
      <c r="J1713" s="62">
        <v>0</v>
      </c>
      <c r="K1713" s="62">
        <v>0</v>
      </c>
      <c r="L1713" t="str">
        <f>VLOOKUP(VALUE(LEFT(C1713,5)),Xref!A:B,2,0)</f>
        <v>REM</v>
      </c>
      <c r="M1713" t="str">
        <f t="shared" si="107"/>
        <v>GRA-REM</v>
      </c>
    </row>
    <row r="1714" spans="1:13" ht="14.25" customHeight="true">
      <c r="A1714" s="33" t="str">
        <f t="shared" si="104"/>
        <v>GRA - Intercompany</v>
      </c>
      <c r="B1714" s="33" t="str">
        <f t="shared" si="105"/>
        <v>GRA</v>
      </c>
      <c r="C1714" s="33" t="str">
        <f t="shared" si="106"/>
        <v>11212-0000</v>
      </c>
      <c r="D1714" t="s">
        <v>20218</v>
      </c>
      <c r="E1714" t="s">
        <v>14083</v>
      </c>
      <c r="F1714" t="s">
        <v>14039</v>
      </c>
      <c r="G1714" t="s">
        <v>14672</v>
      </c>
      <c r="H1714" t="s">
        <v>13869</v>
      </c>
      <c r="I1714" t="s">
        <v>14690</v>
      </c>
      <c r="J1714" s="62">
        <v>0</v>
      </c>
      <c r="K1714" s="62">
        <v>0</v>
      </c>
      <c r="L1714" t="str">
        <f>VLOOKUP(VALUE(LEFT(C1714,5)),Xref!A:B,2,0)</f>
        <v>FRM</v>
      </c>
      <c r="M1714" t="str">
        <f t="shared" si="107"/>
        <v>FRM-GRA</v>
      </c>
    </row>
    <row r="1715" spans="1:13" ht="14.25" customHeight="true">
      <c r="A1715" s="33" t="str">
        <f t="shared" si="104"/>
        <v>GRA - Intercompany</v>
      </c>
      <c r="B1715" s="33" t="str">
        <f t="shared" si="105"/>
        <v>GRA</v>
      </c>
      <c r="C1715" s="33" t="str">
        <f t="shared" si="106"/>
        <v>11214-0000</v>
      </c>
      <c r="D1715" t="s">
        <v>20219</v>
      </c>
      <c r="E1715" t="s">
        <v>14085</v>
      </c>
      <c r="F1715" t="s">
        <v>14039</v>
      </c>
      <c r="G1715" t="s">
        <v>14672</v>
      </c>
      <c r="H1715" t="s">
        <v>13869</v>
      </c>
      <c r="I1715" t="s">
        <v>14690</v>
      </c>
      <c r="J1715" s="62">
        <v>0</v>
      </c>
      <c r="K1715" s="62">
        <v>0</v>
      </c>
      <c r="L1715" t="str">
        <f>VLOOKUP(VALUE(LEFT(C1715,5)),Xref!A:B,2,0)</f>
        <v>D7R</v>
      </c>
      <c r="M1715" t="str">
        <f t="shared" si="107"/>
        <v>D7R-GRA</v>
      </c>
    </row>
    <row r="1716" spans="1:13" ht="14.25" customHeight="true">
      <c r="A1716" s="33" t="str">
        <f t="shared" si="104"/>
        <v>GRA - Intercompany</v>
      </c>
      <c r="B1716" s="33" t="str">
        <f t="shared" si="105"/>
        <v>GRA</v>
      </c>
      <c r="C1716" s="33" t="str">
        <f t="shared" si="106"/>
        <v>11215-0000</v>
      </c>
      <c r="D1716" t="s">
        <v>20220</v>
      </c>
      <c r="E1716" t="s">
        <v>14087</v>
      </c>
      <c r="F1716" t="s">
        <v>14039</v>
      </c>
      <c r="G1716" t="s">
        <v>14672</v>
      </c>
      <c r="H1716" t="s">
        <v>13869</v>
      </c>
      <c r="I1716" t="s">
        <v>14690</v>
      </c>
      <c r="J1716" s="62">
        <v>0</v>
      </c>
      <c r="K1716" s="62">
        <v>0</v>
      </c>
      <c r="L1716" t="str">
        <f>VLOOKUP(VALUE(LEFT(C1716,5)),Xref!A:B,2,0)</f>
        <v>CDP</v>
      </c>
      <c r="M1716" t="str">
        <f t="shared" si="107"/>
        <v>CDP-GRA</v>
      </c>
    </row>
    <row r="1717" spans="1:13" ht="14.25" customHeight="true">
      <c r="A1717" s="33" t="str">
        <f t="shared" si="104"/>
        <v>GRA - Intercompany</v>
      </c>
      <c r="B1717" s="33" t="str">
        <f t="shared" si="105"/>
        <v>GRA</v>
      </c>
      <c r="C1717" s="33" t="str">
        <f t="shared" si="106"/>
        <v>11216-0000</v>
      </c>
      <c r="D1717" t="s">
        <v>1301</v>
      </c>
      <c r="E1717" t="s">
        <v>13224</v>
      </c>
      <c r="F1717" t="s">
        <v>14039</v>
      </c>
      <c r="G1717" t="s">
        <v>14672</v>
      </c>
      <c r="H1717" t="s">
        <v>13869</v>
      </c>
      <c r="I1717" t="s">
        <v>14690</v>
      </c>
      <c r="J1717" s="62">
        <v>16582.64</v>
      </c>
      <c r="K1717" s="62">
        <v>535805.41</v>
      </c>
      <c r="L1717" t="str">
        <f>VLOOKUP(VALUE(LEFT(C1717,5)),Xref!A:B,2,0)</f>
        <v>SIL</v>
      </c>
      <c r="M1717" t="str">
        <f t="shared" si="107"/>
        <v>GRA-SIL</v>
      </c>
    </row>
    <row r="1718" spans="1:13" ht="14.25" customHeight="true">
      <c r="A1718" s="33" t="str">
        <f t="shared" si="104"/>
        <v>GRA - Intercompany</v>
      </c>
      <c r="B1718" s="33" t="str">
        <f t="shared" si="105"/>
        <v>GRA</v>
      </c>
      <c r="C1718" s="33" t="str">
        <f t="shared" si="106"/>
        <v>11232-0000</v>
      </c>
      <c r="D1718" t="s">
        <v>20221</v>
      </c>
      <c r="E1718" t="s">
        <v>12486</v>
      </c>
      <c r="F1718" t="s">
        <v>14039</v>
      </c>
      <c r="G1718" t="s">
        <v>14672</v>
      </c>
      <c r="H1718" t="s">
        <v>13869</v>
      </c>
      <c r="I1718" t="s">
        <v>14690</v>
      </c>
      <c r="J1718" s="62">
        <v>0</v>
      </c>
      <c r="K1718" s="62">
        <v>0</v>
      </c>
      <c r="L1718" t="str">
        <f>VLOOKUP(VALUE(LEFT(C1718,5)),Xref!A:B,2,0)</f>
        <v>SC2</v>
      </c>
      <c r="M1718" t="str">
        <f t="shared" si="107"/>
        <v>GRA-SC2</v>
      </c>
    </row>
    <row r="1719" spans="1:13" ht="14.25" customHeight="true">
      <c r="A1719" s="33" t="str">
        <f t="shared" si="104"/>
        <v>GRA - Intercompany</v>
      </c>
      <c r="B1719" s="33" t="str">
        <f t="shared" si="105"/>
        <v>GRA</v>
      </c>
      <c r="C1719" s="33" t="str">
        <f t="shared" si="106"/>
        <v>11301-0000</v>
      </c>
      <c r="D1719" t="s">
        <v>1302</v>
      </c>
      <c r="E1719" t="s">
        <v>13225</v>
      </c>
      <c r="F1719" t="s">
        <v>14039</v>
      </c>
      <c r="G1719" t="s">
        <v>14672</v>
      </c>
      <c r="H1719" t="s">
        <v>13869</v>
      </c>
      <c r="I1719" t="s">
        <v>14690</v>
      </c>
      <c r="J1719" s="62">
        <v>0</v>
      </c>
      <c r="K1719" s="62">
        <v>-9900</v>
      </c>
      <c r="L1719" t="str">
        <f>VLOOKUP(VALUE(LEFT(C1719,5)),Xref!A:B,2,0)</f>
        <v>CRE</v>
      </c>
      <c r="M1719" t="str">
        <f t="shared" si="107"/>
        <v>CRE-GRA</v>
      </c>
    </row>
    <row r="1720" spans="1:13" ht="14.25" customHeight="true">
      <c r="A1720" s="33" t="str">
        <f t="shared" si="104"/>
        <v>GRA - Intercompany</v>
      </c>
      <c r="B1720" s="33" t="str">
        <f t="shared" si="105"/>
        <v>GRA</v>
      </c>
      <c r="C1720" s="33" t="str">
        <f t="shared" si="106"/>
        <v>11302-0000</v>
      </c>
      <c r="D1720" t="s">
        <v>1303</v>
      </c>
      <c r="E1720" t="s">
        <v>13226</v>
      </c>
      <c r="F1720" t="s">
        <v>14039</v>
      </c>
      <c r="G1720" t="s">
        <v>14672</v>
      </c>
      <c r="H1720" t="s">
        <v>13869</v>
      </c>
      <c r="I1720" t="s">
        <v>14690</v>
      </c>
      <c r="J1720" s="62">
        <v>0</v>
      </c>
      <c r="K1720" s="62">
        <v>30100</v>
      </c>
      <c r="L1720" t="str">
        <f>VLOOKUP(VALUE(LEFT(C1720,5)),Xref!A:B,2,0)</f>
        <v>CHA</v>
      </c>
      <c r="M1720" t="str">
        <f t="shared" si="107"/>
        <v>CHA-GRA</v>
      </c>
    </row>
    <row r="1721" spans="1:13" ht="14.25" customHeight="true">
      <c r="A1721" s="33" t="str">
        <f t="shared" si="104"/>
        <v>GRA - Intercompany</v>
      </c>
      <c r="B1721" s="33" t="str">
        <f t="shared" si="105"/>
        <v>GRA</v>
      </c>
      <c r="C1721" s="33" t="str">
        <f t="shared" si="106"/>
        <v>11303-0000</v>
      </c>
      <c r="D1721" t="s">
        <v>20222</v>
      </c>
      <c r="E1721" t="s">
        <v>13227</v>
      </c>
      <c r="F1721" t="s">
        <v>14039</v>
      </c>
      <c r="G1721" t="s">
        <v>14672</v>
      </c>
      <c r="H1721" t="s">
        <v>13869</v>
      </c>
      <c r="I1721" t="s">
        <v>14690</v>
      </c>
      <c r="J1721" s="62">
        <v>0</v>
      </c>
      <c r="K1721" s="62">
        <v>0</v>
      </c>
      <c r="L1721" t="str">
        <f>VLOOKUP(VALUE(LEFT(C1721,5)),Xref!A:B,2,0)</f>
        <v>DIA</v>
      </c>
      <c r="M1721" t="str">
        <f t="shared" si="107"/>
        <v>DIA-GRA</v>
      </c>
    </row>
    <row r="1722" spans="1:13" ht="14.25" customHeight="true">
      <c r="A1722" s="33" t="str">
        <f t="shared" si="104"/>
        <v>GRA - Intercompany</v>
      </c>
      <c r="B1722" s="33" t="str">
        <f t="shared" si="105"/>
        <v>GRA</v>
      </c>
      <c r="C1722" s="33" t="str">
        <f t="shared" si="106"/>
        <v>11304-0000</v>
      </c>
      <c r="D1722" t="s">
        <v>1304</v>
      </c>
      <c r="E1722" t="s">
        <v>13228</v>
      </c>
      <c r="F1722" t="s">
        <v>14039</v>
      </c>
      <c r="G1722" t="s">
        <v>14672</v>
      </c>
      <c r="H1722" t="s">
        <v>13869</v>
      </c>
      <c r="I1722" t="s">
        <v>14690</v>
      </c>
      <c r="J1722" s="62">
        <v>0</v>
      </c>
      <c r="K1722" s="62">
        <v>-79900</v>
      </c>
      <c r="L1722" t="str">
        <f>VLOOKUP(VALUE(LEFT(C1722,5)),Xref!A:B,2,0)</f>
        <v>EAG</v>
      </c>
      <c r="M1722" t="str">
        <f t="shared" si="107"/>
        <v>EAG-GRA</v>
      </c>
    </row>
    <row r="1723" spans="1:13" ht="14.25" customHeight="true">
      <c r="A1723" s="33" t="str">
        <f t="shared" si="104"/>
        <v>GRA - Intercompany</v>
      </c>
      <c r="B1723" s="33" t="str">
        <f t="shared" si="105"/>
        <v>GRA</v>
      </c>
      <c r="C1723" s="33" t="str">
        <f t="shared" si="106"/>
        <v>11305-0000</v>
      </c>
      <c r="D1723" t="s">
        <v>20223</v>
      </c>
      <c r="E1723" t="s">
        <v>13229</v>
      </c>
      <c r="F1723" t="s">
        <v>14039</v>
      </c>
      <c r="G1723" t="s">
        <v>14672</v>
      </c>
      <c r="H1723" t="s">
        <v>13869</v>
      </c>
      <c r="I1723" t="s">
        <v>14690</v>
      </c>
      <c r="J1723" s="62">
        <v>0</v>
      </c>
      <c r="K1723" s="62">
        <v>0</v>
      </c>
      <c r="L1723" t="str">
        <f>VLOOKUP(VALUE(LEFT(C1723,5)),Xref!A:B,2,0)</f>
        <v>NEW</v>
      </c>
      <c r="M1723" t="str">
        <f t="shared" si="107"/>
        <v>GRA-NEW</v>
      </c>
    </row>
    <row r="1724" spans="1:13" ht="14.25" customHeight="true">
      <c r="A1724" s="33" t="str">
        <f t="shared" si="104"/>
        <v>GRA - Intercompany</v>
      </c>
      <c r="B1724" s="33" t="str">
        <f t="shared" si="105"/>
        <v>GRA</v>
      </c>
      <c r="C1724" s="33" t="str">
        <f t="shared" si="106"/>
        <v>11307-0000</v>
      </c>
      <c r="D1724" t="s">
        <v>20224</v>
      </c>
      <c r="E1724" t="s">
        <v>14096</v>
      </c>
      <c r="F1724" t="s">
        <v>14039</v>
      </c>
      <c r="G1724" t="s">
        <v>14672</v>
      </c>
      <c r="H1724" t="s">
        <v>13869</v>
      </c>
      <c r="I1724" t="s">
        <v>14690</v>
      </c>
      <c r="J1724" s="62">
        <v>0</v>
      </c>
      <c r="K1724" s="62">
        <v>0</v>
      </c>
      <c r="L1724" t="str">
        <f>VLOOKUP(VALUE(LEFT(C1724,5)),Xref!A:B,2,0)</f>
        <v>NES</v>
      </c>
      <c r="M1724" t="str">
        <f t="shared" si="107"/>
        <v>GRA-NES</v>
      </c>
    </row>
    <row r="1725" spans="1:13" ht="14.25" customHeight="true">
      <c r="A1725" s="33" t="str">
        <f t="shared" si="104"/>
        <v>GRA - Intercompany</v>
      </c>
      <c r="B1725" s="33" t="str">
        <f t="shared" si="105"/>
        <v>GRA</v>
      </c>
      <c r="C1725" s="33" t="str">
        <f t="shared" si="106"/>
        <v>11308-0000</v>
      </c>
      <c r="D1725" t="s">
        <v>20225</v>
      </c>
      <c r="E1725" t="s">
        <v>13476</v>
      </c>
      <c r="F1725" t="s">
        <v>14039</v>
      </c>
      <c r="G1725" t="s">
        <v>14672</v>
      </c>
      <c r="H1725" t="s">
        <v>13869</v>
      </c>
      <c r="I1725" t="s">
        <v>14690</v>
      </c>
      <c r="J1725" s="62">
        <v>0</v>
      </c>
      <c r="K1725" s="62">
        <v>0</v>
      </c>
      <c r="L1725" t="str">
        <f>VLOOKUP(VALUE(LEFT(C1725,5)),Xref!A:B,2,0)</f>
        <v>LPI</v>
      </c>
      <c r="M1725" t="str">
        <f t="shared" si="107"/>
        <v>GRA-LPI</v>
      </c>
    </row>
    <row r="1726" spans="1:13" ht="14.25" customHeight="true">
      <c r="A1726" s="33" t="str">
        <f t="shared" si="104"/>
        <v>GRA - Intercompany</v>
      </c>
      <c r="B1726" s="33" t="str">
        <f t="shared" si="105"/>
        <v>GRA</v>
      </c>
      <c r="C1726" s="33" t="str">
        <f t="shared" si="106"/>
        <v>11309-0000</v>
      </c>
      <c r="D1726" t="s">
        <v>20226</v>
      </c>
      <c r="E1726" t="s">
        <v>13230</v>
      </c>
      <c r="F1726" t="s">
        <v>14039</v>
      </c>
      <c r="G1726" t="s">
        <v>14672</v>
      </c>
      <c r="H1726" t="s">
        <v>13869</v>
      </c>
      <c r="I1726" t="s">
        <v>14690</v>
      </c>
      <c r="J1726" s="62">
        <v>0</v>
      </c>
      <c r="K1726" s="62">
        <v>0</v>
      </c>
      <c r="L1726" t="str">
        <f>VLOOKUP(VALUE(LEFT(C1726,5)),Xref!A:B,2,0)</f>
        <v>GPI</v>
      </c>
      <c r="M1726" t="str">
        <f t="shared" si="107"/>
        <v>GPI-GRA</v>
      </c>
    </row>
    <row r="1727" spans="1:13" ht="14.25" customHeight="true">
      <c r="A1727" s="33" t="str">
        <f t="shared" si="104"/>
        <v>GRA - Intercompany</v>
      </c>
      <c r="B1727" s="33" t="str">
        <f t="shared" si="105"/>
        <v>GRA</v>
      </c>
      <c r="C1727" s="33" t="str">
        <f t="shared" si="106"/>
        <v>11310-0000</v>
      </c>
      <c r="D1727" t="s">
        <v>1305</v>
      </c>
      <c r="E1727" t="s">
        <v>13231</v>
      </c>
      <c r="F1727" t="s">
        <v>14039</v>
      </c>
      <c r="G1727" t="s">
        <v>14672</v>
      </c>
      <c r="H1727" t="s">
        <v>13869</v>
      </c>
      <c r="I1727" t="s">
        <v>14690</v>
      </c>
      <c r="J1727" s="62">
        <v>0</v>
      </c>
      <c r="K1727" s="62">
        <v>-249900</v>
      </c>
      <c r="L1727" t="str">
        <f>VLOOKUP(VALUE(LEFT(C1727,5)),Xref!A:B,2,0)</f>
        <v>ALP</v>
      </c>
      <c r="M1727" t="str">
        <f t="shared" si="107"/>
        <v>ALP-GRA</v>
      </c>
    </row>
    <row r="1728" spans="1:13" ht="14.25" customHeight="true">
      <c r="A1728" s="33" t="str">
        <f t="shared" si="104"/>
        <v>GRA - Intercompany</v>
      </c>
      <c r="B1728" s="33" t="str">
        <f t="shared" si="105"/>
        <v>GRA</v>
      </c>
      <c r="C1728" s="33" t="str">
        <f t="shared" si="106"/>
        <v>11311-0000</v>
      </c>
      <c r="D1728" t="s">
        <v>20227</v>
      </c>
      <c r="E1728" t="s">
        <v>13232</v>
      </c>
      <c r="F1728" t="s">
        <v>14039</v>
      </c>
      <c r="G1728" t="s">
        <v>14672</v>
      </c>
      <c r="H1728" t="s">
        <v>13869</v>
      </c>
      <c r="I1728" t="s">
        <v>14690</v>
      </c>
      <c r="J1728" s="62">
        <v>0</v>
      </c>
      <c r="K1728" s="62">
        <v>-90000</v>
      </c>
      <c r="L1728" t="str">
        <f>VLOOKUP(VALUE(LEFT(C1728,5)),Xref!A:B,2,0)</f>
        <v>BET</v>
      </c>
      <c r="M1728" t="str">
        <f t="shared" si="107"/>
        <v>BET-GRA</v>
      </c>
    </row>
    <row r="1729" spans="1:13" ht="14.25" customHeight="true">
      <c r="A1729" s="33" t="str">
        <f t="shared" si="104"/>
        <v>GRA - Intercompany</v>
      </c>
      <c r="B1729" s="33" t="str">
        <f t="shared" si="105"/>
        <v>GRA</v>
      </c>
      <c r="C1729" s="33" t="str">
        <f t="shared" si="106"/>
        <v>11312-0000</v>
      </c>
      <c r="D1729" t="s">
        <v>20228</v>
      </c>
      <c r="E1729" t="s">
        <v>14102</v>
      </c>
      <c r="F1729" t="s">
        <v>14039</v>
      </c>
      <c r="G1729" t="s">
        <v>14672</v>
      </c>
      <c r="H1729" t="s">
        <v>13869</v>
      </c>
      <c r="I1729" t="s">
        <v>14690</v>
      </c>
      <c r="J1729" s="62">
        <v>0</v>
      </c>
      <c r="K1729" s="62">
        <v>0</v>
      </c>
      <c r="L1729" t="str">
        <f>VLOOKUP(VALUE(LEFT(C1729,5)),Xref!A:B,2,0)</f>
        <v>DEL</v>
      </c>
      <c r="M1729" t="str">
        <f t="shared" si="107"/>
        <v>DEL-GRA</v>
      </c>
    </row>
    <row r="1730" spans="1:13" ht="14.25" customHeight="true">
      <c r="A1730" s="33" t="str">
        <f t="shared" ref="A1730:A1793" si="108">B1730&amp;" - "&amp;TRIM(H1730)</f>
        <v>GRA - Intercompany</v>
      </c>
      <c r="B1730" s="33" t="str">
        <f t="shared" ref="B1730:B1793" si="109">LEFT(D1730,3)</f>
        <v>GRA</v>
      </c>
      <c r="C1730" s="33" t="str">
        <f t="shared" ref="C1730:C1793" si="110">RIGHT(D1730,10)</f>
        <v>11313-0000</v>
      </c>
      <c r="D1730" t="s">
        <v>20229</v>
      </c>
      <c r="E1730" t="s">
        <v>13233</v>
      </c>
      <c r="F1730" t="s">
        <v>14039</v>
      </c>
      <c r="G1730" t="s">
        <v>14672</v>
      </c>
      <c r="H1730" t="s">
        <v>13869</v>
      </c>
      <c r="I1730" t="s">
        <v>14690</v>
      </c>
      <c r="J1730" s="62">
        <v>0</v>
      </c>
      <c r="K1730" s="62">
        <v>0</v>
      </c>
      <c r="L1730" t="str">
        <f>VLOOKUP(VALUE(LEFT(C1730,5)),Xref!A:B,2,0)</f>
        <v>DOL</v>
      </c>
      <c r="M1730" t="str">
        <f t="shared" ref="M1730:M1793" si="111">IF(B1730&lt;L1730,B1730&amp;"-"&amp;L1730,L1730&amp;"-"&amp;B1730)</f>
        <v>DOL-GRA</v>
      </c>
    </row>
    <row r="1731" spans="1:13" ht="14.25" customHeight="true">
      <c r="A1731" s="33" t="str">
        <f t="shared" si="108"/>
        <v>GRA - Intercompany</v>
      </c>
      <c r="B1731" s="33" t="str">
        <f t="shared" si="109"/>
        <v>GRA</v>
      </c>
      <c r="C1731" s="33" t="str">
        <f t="shared" si="110"/>
        <v>11314-0000</v>
      </c>
      <c r="D1731" t="s">
        <v>1306</v>
      </c>
      <c r="E1731" t="s">
        <v>13351</v>
      </c>
      <c r="F1731" t="s">
        <v>14039</v>
      </c>
      <c r="G1731" t="s">
        <v>14672</v>
      </c>
      <c r="H1731" t="s">
        <v>13869</v>
      </c>
      <c r="I1731" t="s">
        <v>14690</v>
      </c>
      <c r="J1731" s="62">
        <v>0</v>
      </c>
      <c r="K1731" s="62">
        <v>-7912921.76</v>
      </c>
      <c r="L1731" t="str">
        <f>VLOOKUP(VALUE(LEFT(C1731,5)),Xref!A:B,2,0)</f>
        <v>GRI</v>
      </c>
      <c r="M1731" t="str">
        <f t="shared" si="111"/>
        <v>GRA-GRI</v>
      </c>
    </row>
    <row r="1732" spans="1:13" ht="14.25" customHeight="true">
      <c r="A1732" s="33" t="str">
        <f t="shared" si="108"/>
        <v>GRA - Intercompany</v>
      </c>
      <c r="B1732" s="33" t="str">
        <f t="shared" si="109"/>
        <v>GRA</v>
      </c>
      <c r="C1732" s="33" t="str">
        <f t="shared" si="110"/>
        <v>11315-0000</v>
      </c>
      <c r="D1732" t="s">
        <v>20230</v>
      </c>
      <c r="E1732" t="s">
        <v>13234</v>
      </c>
      <c r="F1732" t="s">
        <v>14039</v>
      </c>
      <c r="G1732" t="s">
        <v>14672</v>
      </c>
      <c r="H1732" t="s">
        <v>13869</v>
      </c>
      <c r="I1732" t="s">
        <v>14690</v>
      </c>
      <c r="J1732" s="62">
        <v>0</v>
      </c>
      <c r="K1732" s="62">
        <v>10000</v>
      </c>
      <c r="L1732" t="str">
        <f>VLOOKUP(VALUE(LEFT(C1732,5)),Xref!A:B,2,0)</f>
        <v>PUR</v>
      </c>
      <c r="M1732" t="str">
        <f t="shared" si="111"/>
        <v>GRA-PUR</v>
      </c>
    </row>
    <row r="1733" spans="1:13" ht="14.25" customHeight="true">
      <c r="A1733" s="33" t="str">
        <f t="shared" si="108"/>
        <v>GRA - Intercompany</v>
      </c>
      <c r="B1733" s="33" t="str">
        <f t="shared" si="109"/>
        <v>GRA</v>
      </c>
      <c r="C1733" s="33" t="str">
        <f t="shared" si="110"/>
        <v>11316-0000</v>
      </c>
      <c r="D1733" t="s">
        <v>1307</v>
      </c>
      <c r="E1733" t="s">
        <v>13235</v>
      </c>
      <c r="F1733" t="s">
        <v>14039</v>
      </c>
      <c r="G1733" t="s">
        <v>14672</v>
      </c>
      <c r="H1733" t="s">
        <v>13869</v>
      </c>
      <c r="I1733" t="s">
        <v>14690</v>
      </c>
      <c r="J1733" s="62">
        <v>0</v>
      </c>
      <c r="K1733" s="62">
        <v>10000</v>
      </c>
      <c r="L1733" t="str">
        <f>VLOOKUP(VALUE(LEFT(C1733,5)),Xref!A:B,2,0)</f>
        <v>VAL</v>
      </c>
      <c r="M1733" t="str">
        <f t="shared" si="111"/>
        <v>GRA-VAL</v>
      </c>
    </row>
    <row r="1734" spans="1:13" ht="14.25" customHeight="true">
      <c r="A1734" s="33" t="str">
        <f t="shared" si="108"/>
        <v>GRA - Intercompany</v>
      </c>
      <c r="B1734" s="33" t="str">
        <f t="shared" si="109"/>
        <v>GRA</v>
      </c>
      <c r="C1734" s="33" t="str">
        <f t="shared" si="110"/>
        <v>11317-0000</v>
      </c>
      <c r="D1734" t="s">
        <v>20231</v>
      </c>
      <c r="E1734" t="s">
        <v>13352</v>
      </c>
      <c r="F1734" t="s">
        <v>14039</v>
      </c>
      <c r="G1734" t="s">
        <v>14672</v>
      </c>
      <c r="H1734" t="s">
        <v>13869</v>
      </c>
      <c r="I1734" t="s">
        <v>14690</v>
      </c>
      <c r="J1734" s="62">
        <v>0</v>
      </c>
      <c r="K1734" s="62">
        <v>10000</v>
      </c>
      <c r="L1734" t="str">
        <f>VLOOKUP(VALUE(LEFT(C1734,5)),Xref!A:B,2,0)</f>
        <v>AKG</v>
      </c>
      <c r="M1734" t="str">
        <f t="shared" si="111"/>
        <v>AKG-GRA</v>
      </c>
    </row>
    <row r="1735" spans="1:13" ht="14.25" customHeight="true">
      <c r="A1735" s="33" t="str">
        <f t="shared" si="108"/>
        <v>GRA - Intercompany</v>
      </c>
      <c r="B1735" s="33" t="str">
        <f t="shared" si="109"/>
        <v>GRA</v>
      </c>
      <c r="C1735" s="33" t="str">
        <f t="shared" si="110"/>
        <v>11318-0000</v>
      </c>
      <c r="D1735" t="s">
        <v>20232</v>
      </c>
      <c r="E1735" t="s">
        <v>13477</v>
      </c>
      <c r="F1735" t="s">
        <v>14039</v>
      </c>
      <c r="G1735" t="s">
        <v>14672</v>
      </c>
      <c r="H1735" t="s">
        <v>13869</v>
      </c>
      <c r="I1735" t="s">
        <v>14690</v>
      </c>
      <c r="J1735" s="62">
        <v>0</v>
      </c>
      <c r="K1735" s="62">
        <v>0</v>
      </c>
      <c r="L1735" t="str">
        <f>VLOOKUP(VALUE(LEFT(C1735,5)),Xref!A:B,2,0)</f>
        <v>FIR</v>
      </c>
      <c r="M1735" t="str">
        <f t="shared" si="111"/>
        <v>FIR-GRA</v>
      </c>
    </row>
    <row r="1736" spans="1:13" ht="14.25" customHeight="true">
      <c r="A1736" s="33" t="str">
        <f t="shared" si="108"/>
        <v>GRA - Intercompany</v>
      </c>
      <c r="B1736" s="33" t="str">
        <f t="shared" si="109"/>
        <v>GRA</v>
      </c>
      <c r="C1736" s="33" t="str">
        <f t="shared" si="110"/>
        <v>11319-0000</v>
      </c>
      <c r="D1736" t="s">
        <v>20233</v>
      </c>
      <c r="E1736" t="s">
        <v>266</v>
      </c>
      <c r="F1736" t="s">
        <v>14039</v>
      </c>
      <c r="G1736" t="s">
        <v>14672</v>
      </c>
      <c r="H1736" t="s">
        <v>13869</v>
      </c>
      <c r="I1736" t="s">
        <v>14690</v>
      </c>
      <c r="J1736" s="62">
        <v>0</v>
      </c>
      <c r="K1736" s="62">
        <v>0</v>
      </c>
      <c r="L1736" t="str">
        <f>VLOOKUP(VALUE(LEFT(C1736,5)),Xref!A:B,2,0)</f>
        <v>GST</v>
      </c>
      <c r="M1736" t="str">
        <f t="shared" si="111"/>
        <v>GRA-GST</v>
      </c>
    </row>
    <row r="1737" spans="1:13" ht="14.25" customHeight="true">
      <c r="A1737" s="33" t="str">
        <f t="shared" si="108"/>
        <v>GRA - Intercompany</v>
      </c>
      <c r="B1737" s="33" t="str">
        <f t="shared" si="109"/>
        <v>GRA</v>
      </c>
      <c r="C1737" s="33" t="str">
        <f t="shared" si="110"/>
        <v>11320-0000</v>
      </c>
      <c r="D1737" t="s">
        <v>20234</v>
      </c>
      <c r="E1737" t="s">
        <v>14111</v>
      </c>
      <c r="F1737" t="s">
        <v>14039</v>
      </c>
      <c r="G1737" t="s">
        <v>14672</v>
      </c>
      <c r="H1737" t="s">
        <v>13869</v>
      </c>
      <c r="I1737" t="s">
        <v>14690</v>
      </c>
      <c r="J1737" s="62">
        <v>0</v>
      </c>
      <c r="K1737" s="62">
        <v>0</v>
      </c>
      <c r="L1737" t="str">
        <f>VLOOKUP(VALUE(LEFT(C1737,5)),Xref!A:B,2,0)</f>
        <v>HDN</v>
      </c>
      <c r="M1737" t="str">
        <f t="shared" si="111"/>
        <v>GRA-HDN</v>
      </c>
    </row>
    <row r="1738" spans="1:13" ht="14.25" customHeight="true">
      <c r="A1738" s="33" t="str">
        <f t="shared" si="108"/>
        <v>GRA - Intercompany</v>
      </c>
      <c r="B1738" s="33" t="str">
        <f t="shared" si="109"/>
        <v>GRA</v>
      </c>
      <c r="C1738" s="33" t="str">
        <f t="shared" si="110"/>
        <v>11321-0000</v>
      </c>
      <c r="D1738" t="s">
        <v>20235</v>
      </c>
      <c r="E1738" t="s">
        <v>13236</v>
      </c>
      <c r="F1738" t="s">
        <v>14039</v>
      </c>
      <c r="G1738" t="s">
        <v>14672</v>
      </c>
      <c r="H1738" t="s">
        <v>13869</v>
      </c>
      <c r="I1738" t="s">
        <v>14690</v>
      </c>
      <c r="J1738" s="62">
        <v>0</v>
      </c>
      <c r="K1738" s="62">
        <v>0</v>
      </c>
      <c r="L1738" t="str">
        <f>VLOOKUP(VALUE(LEFT(C1738,5)),Xref!A:B,2,0)</f>
        <v>OVA</v>
      </c>
      <c r="M1738" t="str">
        <f t="shared" si="111"/>
        <v>GRA-OVA</v>
      </c>
    </row>
    <row r="1739" spans="1:13" ht="14.25" customHeight="true">
      <c r="A1739" s="33" t="str">
        <f t="shared" si="108"/>
        <v>GRA - Intercompany</v>
      </c>
      <c r="B1739" s="33" t="str">
        <f t="shared" si="109"/>
        <v>GRA</v>
      </c>
      <c r="C1739" s="33" t="str">
        <f t="shared" si="110"/>
        <v>11322-0000</v>
      </c>
      <c r="D1739" t="s">
        <v>1308</v>
      </c>
      <c r="E1739" t="s">
        <v>13237</v>
      </c>
      <c r="F1739" t="s">
        <v>14039</v>
      </c>
      <c r="G1739" t="s">
        <v>14672</v>
      </c>
      <c r="H1739" t="s">
        <v>13869</v>
      </c>
      <c r="I1739" t="s">
        <v>14690</v>
      </c>
      <c r="J1739" s="62">
        <v>0</v>
      </c>
      <c r="K1739" s="62">
        <v>15000</v>
      </c>
      <c r="L1739" t="str">
        <f>VLOOKUP(VALUE(LEFT(C1739,5)),Xref!A:B,2,0)</f>
        <v>WOO</v>
      </c>
      <c r="M1739" t="str">
        <f t="shared" si="111"/>
        <v>GRA-WOO</v>
      </c>
    </row>
    <row r="1740" spans="1:13" ht="14.25" customHeight="true">
      <c r="A1740" s="33" t="str">
        <f t="shared" si="108"/>
        <v>GRA - Intercompany</v>
      </c>
      <c r="B1740" s="33" t="str">
        <f t="shared" si="109"/>
        <v>GRA</v>
      </c>
      <c r="C1740" s="33" t="str">
        <f t="shared" si="110"/>
        <v>11323-0000</v>
      </c>
      <c r="D1740" t="s">
        <v>20236</v>
      </c>
      <c r="E1740" t="s">
        <v>13478</v>
      </c>
      <c r="F1740" t="s">
        <v>14039</v>
      </c>
      <c r="G1740" t="s">
        <v>14672</v>
      </c>
      <c r="H1740" t="s">
        <v>13869</v>
      </c>
      <c r="I1740" t="s">
        <v>14690</v>
      </c>
      <c r="J1740" s="62">
        <v>0</v>
      </c>
      <c r="K1740" s="62">
        <v>0</v>
      </c>
      <c r="L1740" t="str">
        <f>VLOOKUP(VALUE(LEFT(C1740,5)),Xref!A:B,2,0)</f>
        <v>SPI</v>
      </c>
      <c r="M1740" t="str">
        <f t="shared" si="111"/>
        <v>GRA-SPI</v>
      </c>
    </row>
    <row r="1741" spans="1:13" ht="14.25" customHeight="true">
      <c r="A1741" s="33" t="str">
        <f t="shared" si="108"/>
        <v>GRA - Intercompany</v>
      </c>
      <c r="B1741" s="33" t="str">
        <f t="shared" si="109"/>
        <v>GRA</v>
      </c>
      <c r="C1741" s="33" t="str">
        <f t="shared" si="110"/>
        <v>11324-0000</v>
      </c>
      <c r="D1741" t="s">
        <v>1309</v>
      </c>
      <c r="E1741" t="s">
        <v>13238</v>
      </c>
      <c r="F1741" t="s">
        <v>14039</v>
      </c>
      <c r="G1741" t="s">
        <v>14672</v>
      </c>
      <c r="H1741" t="s">
        <v>13869</v>
      </c>
      <c r="I1741" t="s">
        <v>14690</v>
      </c>
      <c r="J1741" s="62">
        <v>0</v>
      </c>
      <c r="K1741" s="62">
        <v>120000</v>
      </c>
      <c r="L1741" t="str">
        <f>VLOOKUP(VALUE(LEFT(C1741,5)),Xref!A:B,2,0)</f>
        <v>NET</v>
      </c>
      <c r="M1741" t="str">
        <f t="shared" si="111"/>
        <v>GRA-NET</v>
      </c>
    </row>
    <row r="1742" spans="1:13" ht="14.25" customHeight="true">
      <c r="A1742" s="33" t="str">
        <f t="shared" si="108"/>
        <v>GRA - Intercompany</v>
      </c>
      <c r="B1742" s="33" t="str">
        <f t="shared" si="109"/>
        <v>GRA</v>
      </c>
      <c r="C1742" s="33" t="str">
        <f t="shared" si="110"/>
        <v>11325-0000</v>
      </c>
      <c r="D1742" t="s">
        <v>20237</v>
      </c>
      <c r="E1742" t="s">
        <v>13239</v>
      </c>
      <c r="F1742" t="s">
        <v>14039</v>
      </c>
      <c r="G1742" t="s">
        <v>14672</v>
      </c>
      <c r="H1742" t="s">
        <v>13869</v>
      </c>
      <c r="I1742" t="s">
        <v>14690</v>
      </c>
      <c r="J1742" s="62">
        <v>0</v>
      </c>
      <c r="K1742" s="62">
        <v>0</v>
      </c>
      <c r="L1742" t="str">
        <f>VLOOKUP(VALUE(LEFT(C1742,5)),Xref!A:B,2,0)</f>
        <v>DPI</v>
      </c>
      <c r="M1742" t="str">
        <f t="shared" si="111"/>
        <v>DPI-GRA</v>
      </c>
    </row>
    <row r="1743" spans="1:13" ht="14.25" customHeight="true">
      <c r="A1743" s="33" t="str">
        <f t="shared" si="108"/>
        <v>GRA - Intercompany</v>
      </c>
      <c r="B1743" s="33" t="str">
        <f t="shared" si="109"/>
        <v>GRA</v>
      </c>
      <c r="C1743" s="33" t="str">
        <f t="shared" si="110"/>
        <v>11326-0000</v>
      </c>
      <c r="D1743" t="s">
        <v>20238</v>
      </c>
      <c r="E1743" t="s">
        <v>13240</v>
      </c>
      <c r="F1743" t="s">
        <v>14039</v>
      </c>
      <c r="G1743" t="s">
        <v>14672</v>
      </c>
      <c r="H1743" t="s">
        <v>13869</v>
      </c>
      <c r="I1743" t="s">
        <v>14690</v>
      </c>
      <c r="J1743" s="62">
        <v>0</v>
      </c>
      <c r="K1743" s="62">
        <v>0</v>
      </c>
      <c r="L1743" t="str">
        <f>VLOOKUP(VALUE(LEFT(C1743,5)),Xref!A:B,2,0)</f>
        <v>SEK</v>
      </c>
      <c r="M1743" t="str">
        <f t="shared" si="111"/>
        <v>GRA-SEK</v>
      </c>
    </row>
    <row r="1744" spans="1:13" ht="14.25" customHeight="true">
      <c r="A1744" s="33" t="str">
        <f t="shared" si="108"/>
        <v>GRA - Intercompany</v>
      </c>
      <c r="B1744" s="33" t="str">
        <f t="shared" si="109"/>
        <v>GRA</v>
      </c>
      <c r="C1744" s="33" t="str">
        <f t="shared" si="110"/>
        <v>11327-0000</v>
      </c>
      <c r="D1744" t="s">
        <v>20239</v>
      </c>
      <c r="E1744" t="s">
        <v>14119</v>
      </c>
      <c r="F1744" t="s">
        <v>14039</v>
      </c>
      <c r="G1744" t="s">
        <v>14672</v>
      </c>
      <c r="H1744" t="s">
        <v>13869</v>
      </c>
      <c r="I1744" t="s">
        <v>14690</v>
      </c>
      <c r="J1744" s="62">
        <v>0</v>
      </c>
      <c r="K1744" s="62">
        <v>0</v>
      </c>
      <c r="L1744" t="str">
        <f>VLOOKUP(VALUE(LEFT(C1744,5)),Xref!A:B,2,0)</f>
        <v>CPI</v>
      </c>
      <c r="M1744" t="str">
        <f t="shared" si="111"/>
        <v>CPI-GRA</v>
      </c>
    </row>
    <row r="1745" spans="1:13" ht="14.25" customHeight="true">
      <c r="A1745" s="33" t="str">
        <f t="shared" si="108"/>
        <v>GRA - Intercompany</v>
      </c>
      <c r="B1745" s="33" t="str">
        <f t="shared" si="109"/>
        <v>GRA</v>
      </c>
      <c r="C1745" s="33" t="str">
        <f t="shared" si="110"/>
        <v>11328-0000</v>
      </c>
      <c r="D1745" t="s">
        <v>20240</v>
      </c>
      <c r="E1745" t="s">
        <v>13241</v>
      </c>
      <c r="F1745" t="s">
        <v>14039</v>
      </c>
      <c r="G1745" t="s">
        <v>14672</v>
      </c>
      <c r="H1745" t="s">
        <v>13869</v>
      </c>
      <c r="I1745" t="s">
        <v>14690</v>
      </c>
      <c r="J1745" s="62">
        <v>0</v>
      </c>
      <c r="K1745" s="62">
        <v>0</v>
      </c>
      <c r="L1745" t="str">
        <f>VLOOKUP(VALUE(LEFT(C1745,5)),Xref!A:B,2,0)</f>
        <v>LOM</v>
      </c>
      <c r="M1745" t="str">
        <f t="shared" si="111"/>
        <v>GRA-LOM</v>
      </c>
    </row>
    <row r="1746" spans="1:13" ht="14.25" customHeight="true">
      <c r="A1746" s="33" t="str">
        <f t="shared" si="108"/>
        <v>GRA - Intercompany</v>
      </c>
      <c r="B1746" s="33" t="str">
        <f t="shared" si="109"/>
        <v>GRA</v>
      </c>
      <c r="C1746" s="33" t="str">
        <f t="shared" si="110"/>
        <v>11329-0000</v>
      </c>
      <c r="D1746" t="s">
        <v>20241</v>
      </c>
      <c r="E1746" t="s">
        <v>13353</v>
      </c>
      <c r="F1746" t="s">
        <v>14039</v>
      </c>
      <c r="G1746" t="s">
        <v>14672</v>
      </c>
      <c r="H1746" t="s">
        <v>13869</v>
      </c>
      <c r="I1746" t="s">
        <v>14690</v>
      </c>
      <c r="J1746" s="62">
        <v>0</v>
      </c>
      <c r="K1746" s="62">
        <v>0</v>
      </c>
      <c r="L1746" t="str">
        <f>VLOOKUP(VALUE(LEFT(C1746,5)),Xref!A:B,2,0)</f>
        <v>AKS</v>
      </c>
      <c r="M1746" t="str">
        <f t="shared" si="111"/>
        <v>AKS-GRA</v>
      </c>
    </row>
    <row r="1747" spans="1:13" ht="14.25" customHeight="true">
      <c r="A1747" s="33" t="str">
        <f t="shared" si="108"/>
        <v>GRA - Intercompany</v>
      </c>
      <c r="B1747" s="33" t="str">
        <f t="shared" si="109"/>
        <v>GRA</v>
      </c>
      <c r="C1747" s="33" t="str">
        <f t="shared" si="110"/>
        <v>11330-0000</v>
      </c>
      <c r="D1747" t="s">
        <v>20242</v>
      </c>
      <c r="E1747" t="s">
        <v>13242</v>
      </c>
      <c r="F1747" t="s">
        <v>14039</v>
      </c>
      <c r="G1747" t="s">
        <v>14672</v>
      </c>
      <c r="H1747" t="s">
        <v>13869</v>
      </c>
      <c r="I1747" t="s">
        <v>14690</v>
      </c>
      <c r="J1747" s="62">
        <v>0</v>
      </c>
      <c r="K1747" s="62">
        <v>0</v>
      </c>
      <c r="L1747" t="str">
        <f>VLOOKUP(VALUE(LEFT(C1747,5)),Xref!A:B,2,0)</f>
        <v>MAR</v>
      </c>
      <c r="M1747" t="str">
        <f t="shared" si="111"/>
        <v>GRA-MAR</v>
      </c>
    </row>
    <row r="1748" spans="1:13" ht="14.25" customHeight="true">
      <c r="A1748" s="33" t="str">
        <f t="shared" si="108"/>
        <v>GRA - Intercompany</v>
      </c>
      <c r="B1748" s="33" t="str">
        <f t="shared" si="109"/>
        <v>GRA</v>
      </c>
      <c r="C1748" s="33" t="str">
        <f t="shared" si="110"/>
        <v>11331-0000</v>
      </c>
      <c r="D1748" t="s">
        <v>20243</v>
      </c>
      <c r="E1748" t="s">
        <v>13354</v>
      </c>
      <c r="F1748" t="s">
        <v>14039</v>
      </c>
      <c r="G1748" t="s">
        <v>14672</v>
      </c>
      <c r="H1748" t="s">
        <v>13869</v>
      </c>
      <c r="I1748" t="s">
        <v>14690</v>
      </c>
      <c r="J1748" s="62">
        <v>0</v>
      </c>
      <c r="K1748" s="62">
        <v>0</v>
      </c>
      <c r="L1748" t="str">
        <f>VLOOKUP(VALUE(LEFT(C1748,5)),Xref!A:B,2,0)</f>
        <v>WIL</v>
      </c>
      <c r="M1748" t="str">
        <f t="shared" si="111"/>
        <v>GRA-WIL</v>
      </c>
    </row>
    <row r="1749" spans="1:13" ht="14.25" customHeight="true">
      <c r="A1749" s="33" t="str">
        <f t="shared" si="108"/>
        <v>GRA - Intercompany</v>
      </c>
      <c r="B1749" s="33" t="str">
        <f t="shared" si="109"/>
        <v>GRA</v>
      </c>
      <c r="C1749" s="33" t="str">
        <f t="shared" si="110"/>
        <v>11332-0000</v>
      </c>
      <c r="D1749" t="s">
        <v>20244</v>
      </c>
      <c r="E1749" t="s">
        <v>13243</v>
      </c>
      <c r="F1749" t="s">
        <v>14039</v>
      </c>
      <c r="G1749" t="s">
        <v>14672</v>
      </c>
      <c r="H1749" t="s">
        <v>13869</v>
      </c>
      <c r="I1749" t="s">
        <v>14690</v>
      </c>
      <c r="J1749" s="62">
        <v>0</v>
      </c>
      <c r="K1749" s="62">
        <v>0</v>
      </c>
      <c r="L1749" t="str">
        <f>VLOOKUP(VALUE(LEFT(C1749,5)),Xref!A:B,2,0)</f>
        <v>STO</v>
      </c>
      <c r="M1749" t="str">
        <f t="shared" si="111"/>
        <v>GRA-STO</v>
      </c>
    </row>
    <row r="1750" spans="1:13" ht="14.25" customHeight="true">
      <c r="A1750" s="33" t="str">
        <f t="shared" si="108"/>
        <v>GRA - Intercompany</v>
      </c>
      <c r="B1750" s="33" t="str">
        <f t="shared" si="109"/>
        <v>GRA</v>
      </c>
      <c r="C1750" s="33" t="str">
        <f t="shared" si="110"/>
        <v>11333-0000</v>
      </c>
      <c r="D1750" t="s">
        <v>20245</v>
      </c>
      <c r="E1750" t="s">
        <v>13244</v>
      </c>
      <c r="F1750" t="s">
        <v>14039</v>
      </c>
      <c r="G1750" t="s">
        <v>14672</v>
      </c>
      <c r="H1750" t="s">
        <v>13869</v>
      </c>
      <c r="I1750" t="s">
        <v>14690</v>
      </c>
      <c r="J1750" s="62">
        <v>0</v>
      </c>
      <c r="K1750" s="62">
        <v>0</v>
      </c>
      <c r="L1750" t="str">
        <f>VLOOKUP(VALUE(LEFT(C1750,5)),Xref!A:B,2,0)</f>
        <v>ANG</v>
      </c>
      <c r="M1750" t="str">
        <f t="shared" si="111"/>
        <v>ANG-GRA</v>
      </c>
    </row>
    <row r="1751" spans="1:13" ht="14.25" customHeight="true">
      <c r="A1751" s="33" t="str">
        <f t="shared" si="108"/>
        <v>GRA - Intercompany</v>
      </c>
      <c r="B1751" s="33" t="str">
        <f t="shared" si="109"/>
        <v>GRA</v>
      </c>
      <c r="C1751" s="33" t="str">
        <f t="shared" si="110"/>
        <v>11334-0000</v>
      </c>
      <c r="D1751" t="s">
        <v>20246</v>
      </c>
      <c r="E1751" t="s">
        <v>13245</v>
      </c>
      <c r="F1751" t="s">
        <v>14039</v>
      </c>
      <c r="G1751" t="s">
        <v>14672</v>
      </c>
      <c r="H1751" t="s">
        <v>13869</v>
      </c>
      <c r="I1751" t="s">
        <v>14690</v>
      </c>
      <c r="J1751" s="62">
        <v>0</v>
      </c>
      <c r="K1751" s="62">
        <v>0</v>
      </c>
      <c r="L1751" t="str">
        <f>VLOOKUP(VALUE(LEFT(C1751,5)),Xref!A:B,2,0)</f>
        <v>BRU</v>
      </c>
      <c r="M1751" t="str">
        <f t="shared" si="111"/>
        <v>BRU-GRA</v>
      </c>
    </row>
    <row r="1752" spans="1:13" ht="14.25" customHeight="true">
      <c r="A1752" s="33" t="str">
        <f t="shared" si="108"/>
        <v>GRA - Intercompany</v>
      </c>
      <c r="B1752" s="33" t="str">
        <f t="shared" si="109"/>
        <v>GRA</v>
      </c>
      <c r="C1752" s="33" t="str">
        <f t="shared" si="110"/>
        <v>11335-0000</v>
      </c>
      <c r="D1752" t="s">
        <v>20247</v>
      </c>
      <c r="E1752" t="s">
        <v>13246</v>
      </c>
      <c r="F1752" t="s">
        <v>14039</v>
      </c>
      <c r="G1752" t="s">
        <v>14672</v>
      </c>
      <c r="H1752" t="s">
        <v>13869</v>
      </c>
      <c r="I1752" t="s">
        <v>14690</v>
      </c>
      <c r="J1752" s="62">
        <v>0</v>
      </c>
      <c r="K1752" s="62">
        <v>0</v>
      </c>
      <c r="L1752" t="str">
        <f>VLOOKUP(VALUE(LEFT(C1752,5)),Xref!A:B,2,0)</f>
        <v>VEN</v>
      </c>
      <c r="M1752" t="str">
        <f t="shared" si="111"/>
        <v>GRA-VEN</v>
      </c>
    </row>
    <row r="1753" spans="1:13" ht="14.25" customHeight="true">
      <c r="A1753" s="33" t="str">
        <f t="shared" si="108"/>
        <v>GRA - Intercompany</v>
      </c>
      <c r="B1753" s="33" t="str">
        <f t="shared" si="109"/>
        <v>GRA</v>
      </c>
      <c r="C1753" s="33" t="str">
        <f t="shared" si="110"/>
        <v>11336-0000</v>
      </c>
      <c r="D1753" t="s">
        <v>20248</v>
      </c>
      <c r="E1753" t="s">
        <v>13247</v>
      </c>
      <c r="F1753" t="s">
        <v>14039</v>
      </c>
      <c r="G1753" t="s">
        <v>14672</v>
      </c>
      <c r="H1753" t="s">
        <v>13869</v>
      </c>
      <c r="I1753" t="s">
        <v>14690</v>
      </c>
      <c r="J1753" s="62">
        <v>0</v>
      </c>
      <c r="K1753" s="62">
        <v>0</v>
      </c>
      <c r="L1753" t="str">
        <f>VLOOKUP(VALUE(LEFT(C1753,5)),Xref!A:B,2,0)</f>
        <v>SAT</v>
      </c>
      <c r="M1753" t="str">
        <f t="shared" si="111"/>
        <v>GRA-SAT</v>
      </c>
    </row>
    <row r="1754" spans="1:13" ht="14.25" customHeight="true">
      <c r="A1754" s="33" t="str">
        <f t="shared" si="108"/>
        <v>GRA - Intercompany</v>
      </c>
      <c r="B1754" s="33" t="str">
        <f t="shared" si="109"/>
        <v>GRA</v>
      </c>
      <c r="C1754" s="33" t="str">
        <f t="shared" si="110"/>
        <v>11337-0000</v>
      </c>
      <c r="D1754" t="s">
        <v>1310</v>
      </c>
      <c r="E1754" t="s">
        <v>13248</v>
      </c>
      <c r="F1754" t="s">
        <v>14039</v>
      </c>
      <c r="G1754" t="s">
        <v>14672</v>
      </c>
      <c r="H1754" t="s">
        <v>13869</v>
      </c>
      <c r="I1754" t="s">
        <v>14690</v>
      </c>
      <c r="J1754" s="62">
        <v>0</v>
      </c>
      <c r="K1754" s="62">
        <v>20000</v>
      </c>
      <c r="L1754" t="str">
        <f>VLOOKUP(VALUE(LEFT(C1754,5)),Xref!A:B,2,0)</f>
        <v>NEP</v>
      </c>
      <c r="M1754" t="str">
        <f t="shared" si="111"/>
        <v>GRA-NEP</v>
      </c>
    </row>
    <row r="1755" spans="1:13" ht="14.25" customHeight="true">
      <c r="A1755" s="33" t="str">
        <f t="shared" si="108"/>
        <v>GRA - Intercompany</v>
      </c>
      <c r="B1755" s="33" t="str">
        <f t="shared" si="109"/>
        <v>GRA</v>
      </c>
      <c r="C1755" s="33" t="str">
        <f t="shared" si="110"/>
        <v>11338-0000</v>
      </c>
      <c r="D1755" t="s">
        <v>20249</v>
      </c>
      <c r="E1755" t="s">
        <v>14131</v>
      </c>
      <c r="F1755" t="s">
        <v>14039</v>
      </c>
      <c r="G1755" t="s">
        <v>14672</v>
      </c>
      <c r="H1755" t="s">
        <v>13869</v>
      </c>
      <c r="I1755" t="s">
        <v>14690</v>
      </c>
      <c r="J1755" s="62">
        <v>0</v>
      </c>
      <c r="K1755" s="62">
        <v>0</v>
      </c>
      <c r="L1755" t="str">
        <f>VLOOKUP(VALUE(LEFT(C1755,5)),Xref!A:B,2,0)</f>
        <v>JUP</v>
      </c>
      <c r="M1755" t="str">
        <f t="shared" si="111"/>
        <v>GRA-JUP</v>
      </c>
    </row>
    <row r="1756" spans="1:13" ht="14.25" customHeight="true">
      <c r="A1756" s="33" t="str">
        <f t="shared" si="108"/>
        <v>GRA - Intercompany</v>
      </c>
      <c r="B1756" s="33" t="str">
        <f t="shared" si="109"/>
        <v>GRA</v>
      </c>
      <c r="C1756" s="33" t="str">
        <f t="shared" si="110"/>
        <v>11339-0000</v>
      </c>
      <c r="D1756" t="s">
        <v>20250</v>
      </c>
      <c r="E1756" t="s">
        <v>14133</v>
      </c>
      <c r="F1756" t="s">
        <v>14039</v>
      </c>
      <c r="G1756" t="s">
        <v>14672</v>
      </c>
      <c r="H1756" t="s">
        <v>13869</v>
      </c>
      <c r="I1756" t="s">
        <v>14690</v>
      </c>
      <c r="J1756" s="62">
        <v>0</v>
      </c>
      <c r="K1756" s="62">
        <v>0</v>
      </c>
      <c r="L1756" t="str">
        <f>VLOOKUP(VALUE(LEFT(C1756,5)),Xref!A:B,2,0)</f>
        <v>WES</v>
      </c>
      <c r="M1756" t="str">
        <f t="shared" si="111"/>
        <v>GRA-WES</v>
      </c>
    </row>
    <row r="1757" spans="1:13" ht="14.25" customHeight="true">
      <c r="A1757" s="33" t="str">
        <f t="shared" si="108"/>
        <v>GRA - Intercompany</v>
      </c>
      <c r="B1757" s="33" t="str">
        <f t="shared" si="109"/>
        <v>GRA</v>
      </c>
      <c r="C1757" s="33" t="str">
        <f t="shared" si="110"/>
        <v>11340-0000</v>
      </c>
      <c r="D1757" t="s">
        <v>20251</v>
      </c>
      <c r="E1757" t="s">
        <v>14135</v>
      </c>
      <c r="F1757" t="s">
        <v>14039</v>
      </c>
      <c r="G1757" t="s">
        <v>14672</v>
      </c>
      <c r="H1757" t="s">
        <v>13869</v>
      </c>
      <c r="I1757" t="s">
        <v>14690</v>
      </c>
      <c r="J1757" s="62">
        <v>0</v>
      </c>
      <c r="K1757" s="62">
        <v>0</v>
      </c>
      <c r="L1757" t="str">
        <f>VLOOKUP(VALUE(LEFT(C1757,5)),Xref!A:B,2,0)</f>
        <v>LCP</v>
      </c>
      <c r="M1757" t="str">
        <f t="shared" si="111"/>
        <v>GRA-LCP</v>
      </c>
    </row>
    <row r="1758" spans="1:13" ht="14.25" customHeight="true">
      <c r="A1758" s="33" t="str">
        <f t="shared" si="108"/>
        <v>GRA - Intercompany</v>
      </c>
      <c r="B1758" s="33" t="str">
        <f t="shared" si="109"/>
        <v>GRA</v>
      </c>
      <c r="C1758" s="33" t="str">
        <f t="shared" si="110"/>
        <v>11341-0000</v>
      </c>
      <c r="D1758" t="s">
        <v>20252</v>
      </c>
      <c r="E1758" t="s">
        <v>13639</v>
      </c>
      <c r="F1758" t="s">
        <v>14039</v>
      </c>
      <c r="G1758" t="s">
        <v>14672</v>
      </c>
      <c r="H1758" t="s">
        <v>13869</v>
      </c>
      <c r="I1758" t="s">
        <v>14690</v>
      </c>
      <c r="J1758" s="62">
        <v>0</v>
      </c>
      <c r="K1758" s="62">
        <v>0</v>
      </c>
      <c r="L1758" t="str">
        <f>VLOOKUP(VALUE(LEFT(C1758,5)),Xref!A:B,2,0)</f>
        <v>NOR</v>
      </c>
      <c r="M1758" t="str">
        <f t="shared" si="111"/>
        <v>GRA-NOR</v>
      </c>
    </row>
    <row r="1759" spans="1:13" ht="14.25" customHeight="true">
      <c r="A1759" s="33" t="str">
        <f t="shared" si="108"/>
        <v>GRA - Intercompany</v>
      </c>
      <c r="B1759" s="33" t="str">
        <f t="shared" si="109"/>
        <v>GRA</v>
      </c>
      <c r="C1759" s="33" t="str">
        <f t="shared" si="110"/>
        <v>11342-0000</v>
      </c>
      <c r="D1759" t="s">
        <v>1311</v>
      </c>
      <c r="E1759" t="s">
        <v>13355</v>
      </c>
      <c r="F1759" t="s">
        <v>14039</v>
      </c>
      <c r="G1759" t="s">
        <v>14672</v>
      </c>
      <c r="H1759" t="s">
        <v>13869</v>
      </c>
      <c r="I1759" t="s">
        <v>14690</v>
      </c>
      <c r="J1759" s="62">
        <v>0</v>
      </c>
      <c r="K1759" s="62">
        <v>100000</v>
      </c>
      <c r="L1759" t="str">
        <f>VLOOKUP(VALUE(LEFT(C1759,5)),Xref!A:B,2,0)</f>
        <v>EAS</v>
      </c>
      <c r="M1759" t="str">
        <f t="shared" si="111"/>
        <v>EAS-GRA</v>
      </c>
    </row>
    <row r="1760" spans="1:13" ht="14.25" customHeight="true">
      <c r="A1760" s="33" t="str">
        <f t="shared" si="108"/>
        <v>GRA - Intercompany</v>
      </c>
      <c r="B1760" s="33" t="str">
        <f t="shared" si="109"/>
        <v>GRA</v>
      </c>
      <c r="C1760" s="33" t="str">
        <f t="shared" si="110"/>
        <v>11343-0000</v>
      </c>
      <c r="D1760" t="s">
        <v>20253</v>
      </c>
      <c r="E1760" t="s">
        <v>14139</v>
      </c>
      <c r="F1760" t="s">
        <v>14039</v>
      </c>
      <c r="G1760" t="s">
        <v>14672</v>
      </c>
      <c r="H1760" t="s">
        <v>13869</v>
      </c>
      <c r="I1760" t="s">
        <v>14690</v>
      </c>
      <c r="J1760" s="62">
        <v>0</v>
      </c>
      <c r="K1760" s="62">
        <v>150000</v>
      </c>
      <c r="L1760" t="str">
        <f>VLOOKUP(VALUE(LEFT(C1760,5)),Xref!A:B,2,0)</f>
        <v>GRA</v>
      </c>
      <c r="M1760" t="str">
        <f t="shared" si="111"/>
        <v>GRA-GRA</v>
      </c>
    </row>
    <row r="1761" spans="1:13" ht="14.25" customHeight="true">
      <c r="A1761" s="33" t="str">
        <f t="shared" si="108"/>
        <v>GRA - Intercompany</v>
      </c>
      <c r="B1761" s="33" t="str">
        <f t="shared" si="109"/>
        <v>GRA</v>
      </c>
      <c r="C1761" s="33" t="str">
        <f t="shared" si="110"/>
        <v>11344-0000</v>
      </c>
      <c r="D1761" t="s">
        <v>20254</v>
      </c>
      <c r="E1761" t="s">
        <v>14141</v>
      </c>
      <c r="F1761" t="s">
        <v>14039</v>
      </c>
      <c r="G1761" t="s">
        <v>14672</v>
      </c>
      <c r="H1761" t="s">
        <v>13869</v>
      </c>
      <c r="I1761" t="s">
        <v>14690</v>
      </c>
      <c r="J1761" s="62">
        <v>0</v>
      </c>
      <c r="K1761" s="62">
        <v>0</v>
      </c>
      <c r="L1761" t="str">
        <f>VLOOKUP(VALUE(LEFT(C1761,5)),Xref!A:B,2,0)</f>
        <v>SOU</v>
      </c>
      <c r="M1761" t="str">
        <f t="shared" si="111"/>
        <v>GRA-SOU</v>
      </c>
    </row>
    <row r="1762" spans="1:13" ht="14.25" customHeight="true">
      <c r="A1762" s="33" t="str">
        <f t="shared" si="108"/>
        <v>GRA - Intercompany</v>
      </c>
      <c r="B1762" s="33" t="str">
        <f t="shared" si="109"/>
        <v>GRA</v>
      </c>
      <c r="C1762" s="33" t="str">
        <f t="shared" si="110"/>
        <v>11345-0000</v>
      </c>
      <c r="D1762" t="s">
        <v>20255</v>
      </c>
      <c r="E1762" t="s">
        <v>14143</v>
      </c>
      <c r="F1762" t="s">
        <v>14039</v>
      </c>
      <c r="G1762" t="s">
        <v>14672</v>
      </c>
      <c r="H1762" t="s">
        <v>13869</v>
      </c>
      <c r="I1762" t="s">
        <v>14690</v>
      </c>
      <c r="J1762" s="62">
        <v>0</v>
      </c>
      <c r="K1762" s="62">
        <v>0</v>
      </c>
      <c r="L1762" t="str">
        <f>VLOOKUP(VALUE(LEFT(C1762,5)),Xref!A:B,2,0)</f>
        <v>API</v>
      </c>
      <c r="M1762" t="str">
        <f t="shared" si="111"/>
        <v>API-GRA</v>
      </c>
    </row>
    <row r="1763" spans="1:13" ht="14.25" customHeight="true">
      <c r="A1763" s="33" t="str">
        <f t="shared" si="108"/>
        <v>GRA - Intercompany</v>
      </c>
      <c r="B1763" s="33" t="str">
        <f t="shared" si="109"/>
        <v>GRA</v>
      </c>
      <c r="C1763" s="33" t="str">
        <f t="shared" si="110"/>
        <v>11346-0000</v>
      </c>
      <c r="D1763" t="s">
        <v>20256</v>
      </c>
      <c r="E1763" t="s">
        <v>14145</v>
      </c>
      <c r="F1763" t="s">
        <v>14039</v>
      </c>
      <c r="G1763" t="s">
        <v>14672</v>
      </c>
      <c r="H1763" t="s">
        <v>13869</v>
      </c>
      <c r="I1763" t="s">
        <v>14690</v>
      </c>
      <c r="J1763" s="62">
        <v>0</v>
      </c>
      <c r="K1763" s="62">
        <v>0</v>
      </c>
      <c r="L1763" t="str">
        <f>VLOOKUP(VALUE(LEFT(C1763,5)),Xref!A:B,2,0)</f>
        <v>DPH</v>
      </c>
      <c r="M1763" t="str">
        <f t="shared" si="111"/>
        <v>DPH-GRA</v>
      </c>
    </row>
    <row r="1764" spans="1:13" ht="14.25" customHeight="true">
      <c r="A1764" s="33" t="str">
        <f t="shared" si="108"/>
        <v>GRA - Intercompany</v>
      </c>
      <c r="B1764" s="33" t="str">
        <f t="shared" si="109"/>
        <v>GRA</v>
      </c>
      <c r="C1764" s="33" t="str">
        <f t="shared" si="110"/>
        <v>11347-0000</v>
      </c>
      <c r="D1764" t="s">
        <v>20257</v>
      </c>
      <c r="E1764" t="s">
        <v>14147</v>
      </c>
      <c r="F1764" t="s">
        <v>14039</v>
      </c>
      <c r="G1764" t="s">
        <v>14672</v>
      </c>
      <c r="H1764" t="s">
        <v>13869</v>
      </c>
      <c r="I1764" t="s">
        <v>14690</v>
      </c>
      <c r="J1764" s="62">
        <v>0</v>
      </c>
      <c r="K1764" s="62">
        <v>0</v>
      </c>
      <c r="L1764" t="str">
        <f>VLOOKUP(VALUE(LEFT(C1764,5)),Xref!A:B,2,0)</f>
        <v>ZPI</v>
      </c>
      <c r="M1764" t="str">
        <f t="shared" si="111"/>
        <v>GRA-ZPI</v>
      </c>
    </row>
    <row r="1765" spans="1:13" ht="14.25" customHeight="true">
      <c r="A1765" s="33" t="str">
        <f t="shared" si="108"/>
        <v>GRA - Intercompany</v>
      </c>
      <c r="B1765" s="33" t="str">
        <f t="shared" si="109"/>
        <v>GRA</v>
      </c>
      <c r="C1765" s="33" t="str">
        <f t="shared" si="110"/>
        <v>11348-0000</v>
      </c>
      <c r="D1765" t="s">
        <v>20258</v>
      </c>
      <c r="E1765" t="s">
        <v>14149</v>
      </c>
      <c r="F1765" t="s">
        <v>14039</v>
      </c>
      <c r="G1765" t="s">
        <v>14672</v>
      </c>
      <c r="H1765" t="s">
        <v>13869</v>
      </c>
      <c r="I1765" t="s">
        <v>14690</v>
      </c>
      <c r="J1765" s="62">
        <v>0</v>
      </c>
      <c r="K1765" s="62">
        <v>35000</v>
      </c>
      <c r="L1765" t="str">
        <f>VLOOKUP(VALUE(LEFT(C1765,5)),Xref!A:B,2,0)</f>
        <v>EAM</v>
      </c>
      <c r="M1765" t="str">
        <f t="shared" si="111"/>
        <v>EAM-GRA</v>
      </c>
    </row>
    <row r="1766" spans="1:13" ht="14.25" customHeight="true">
      <c r="A1766" s="33" t="str">
        <f t="shared" si="108"/>
        <v>GRA - Intercompany</v>
      </c>
      <c r="B1766" s="33" t="str">
        <f t="shared" si="109"/>
        <v>GRA</v>
      </c>
      <c r="C1766" s="33" t="str">
        <f t="shared" si="110"/>
        <v>11349-0000</v>
      </c>
      <c r="D1766" t="s">
        <v>20259</v>
      </c>
      <c r="E1766" t="s">
        <v>14151</v>
      </c>
      <c r="F1766" t="s">
        <v>14039</v>
      </c>
      <c r="G1766" t="s">
        <v>14672</v>
      </c>
      <c r="H1766" t="s">
        <v>13869</v>
      </c>
      <c r="I1766" t="s">
        <v>14690</v>
      </c>
      <c r="J1766" s="62">
        <v>0</v>
      </c>
      <c r="K1766" s="62">
        <v>0</v>
      </c>
      <c r="L1766" t="str">
        <f>VLOOKUP(VALUE(LEFT(C1766,5)),Xref!A:B,2,0)</f>
        <v>SEA</v>
      </c>
      <c r="M1766" t="str">
        <f t="shared" si="111"/>
        <v>GRA-SEA</v>
      </c>
    </row>
    <row r="1767" spans="1:13" ht="14.25" customHeight="true">
      <c r="A1767" s="33" t="str">
        <f t="shared" si="108"/>
        <v>GRA - Intercompany</v>
      </c>
      <c r="B1767" s="33" t="str">
        <f t="shared" si="109"/>
        <v>GRA</v>
      </c>
      <c r="C1767" s="33" t="str">
        <f t="shared" si="110"/>
        <v>11350-0000</v>
      </c>
      <c r="D1767" t="s">
        <v>20260</v>
      </c>
      <c r="E1767" t="s">
        <v>14153</v>
      </c>
      <c r="F1767" t="s">
        <v>14039</v>
      </c>
      <c r="G1767" t="s">
        <v>14672</v>
      </c>
      <c r="H1767" t="s">
        <v>13869</v>
      </c>
      <c r="I1767" t="s">
        <v>14690</v>
      </c>
      <c r="J1767" s="62">
        <v>0</v>
      </c>
      <c r="K1767" s="62">
        <v>-77.87</v>
      </c>
      <c r="L1767" t="str">
        <f>VLOOKUP(VALUE(LEFT(C1767,5)),Xref!A:B,2,0)</f>
        <v>EAL</v>
      </c>
      <c r="M1767" t="str">
        <f t="shared" si="111"/>
        <v>EAL-GRA</v>
      </c>
    </row>
    <row r="1768" spans="1:13" ht="14.25" customHeight="true">
      <c r="A1768" s="33" t="str">
        <f t="shared" si="108"/>
        <v>GRA - Intercompany</v>
      </c>
      <c r="B1768" s="33" t="str">
        <f t="shared" si="109"/>
        <v>GRA</v>
      </c>
      <c r="C1768" s="33" t="str">
        <f t="shared" si="110"/>
        <v>11351-0000</v>
      </c>
      <c r="D1768" t="s">
        <v>20261</v>
      </c>
      <c r="E1768" t="s">
        <v>14155</v>
      </c>
      <c r="F1768" t="s">
        <v>14039</v>
      </c>
      <c r="G1768" t="s">
        <v>14672</v>
      </c>
      <c r="H1768" t="s">
        <v>13869</v>
      </c>
      <c r="I1768" t="s">
        <v>14690</v>
      </c>
      <c r="J1768" s="62">
        <v>0</v>
      </c>
      <c r="K1768" s="62">
        <v>0</v>
      </c>
      <c r="L1768" t="str">
        <f>VLOOKUP(VALUE(LEFT(C1768,5)),Xref!A:B,2,0)</f>
        <v>WEP</v>
      </c>
      <c r="M1768" t="str">
        <f t="shared" si="111"/>
        <v>GRA-WEP</v>
      </c>
    </row>
    <row r="1769" spans="1:13" ht="14.25" customHeight="true">
      <c r="A1769" s="33" t="str">
        <f t="shared" si="108"/>
        <v>GRA - Intercompany</v>
      </c>
      <c r="B1769" s="33" t="str">
        <f t="shared" si="109"/>
        <v>GRA</v>
      </c>
      <c r="C1769" s="33" t="str">
        <f t="shared" si="110"/>
        <v>11352-0000</v>
      </c>
      <c r="D1769" t="s">
        <v>6126</v>
      </c>
      <c r="E1769" t="s">
        <v>13536</v>
      </c>
      <c r="F1769" t="s">
        <v>14039</v>
      </c>
      <c r="G1769" t="s">
        <v>14672</v>
      </c>
      <c r="H1769" t="s">
        <v>13869</v>
      </c>
      <c r="I1769" t="s">
        <v>14690</v>
      </c>
      <c r="J1769" s="62">
        <v>0</v>
      </c>
      <c r="K1769" s="62">
        <v>-2252.77</v>
      </c>
      <c r="L1769" t="str">
        <f>VLOOKUP(VALUE(LEFT(C1769,5)),Xref!A:B,2,0)</f>
        <v>KLP</v>
      </c>
      <c r="M1769" t="str">
        <f t="shared" si="111"/>
        <v>GRA-KLP</v>
      </c>
    </row>
    <row r="1770" spans="1:13" ht="14.25" customHeight="true">
      <c r="A1770" s="33" t="str">
        <f t="shared" si="108"/>
        <v>GRA - Intercompany</v>
      </c>
      <c r="B1770" s="33" t="str">
        <f t="shared" si="109"/>
        <v>GRA</v>
      </c>
      <c r="C1770" s="33" t="str">
        <f t="shared" si="110"/>
        <v>11353-0000</v>
      </c>
      <c r="D1770" t="s">
        <v>6128</v>
      </c>
      <c r="E1770" t="s">
        <v>13537</v>
      </c>
      <c r="F1770" t="s">
        <v>14039</v>
      </c>
      <c r="G1770" t="s">
        <v>14672</v>
      </c>
      <c r="H1770" t="s">
        <v>13869</v>
      </c>
      <c r="I1770" t="s">
        <v>14690</v>
      </c>
      <c r="J1770" s="62">
        <v>0</v>
      </c>
      <c r="K1770" s="62">
        <v>1562.75</v>
      </c>
      <c r="L1770" t="str">
        <f>VLOOKUP(VALUE(LEFT(C1770,5)),Xref!A:B,2,0)</f>
        <v>AKC</v>
      </c>
      <c r="M1770" t="str">
        <f t="shared" si="111"/>
        <v>AKC-GRA</v>
      </c>
    </row>
    <row r="1771" spans="1:13" ht="14.25" customHeight="true">
      <c r="A1771" s="33" t="str">
        <f t="shared" si="108"/>
        <v>GRA - Intercompany</v>
      </c>
      <c r="B1771" s="33" t="str">
        <f t="shared" si="109"/>
        <v>GRA</v>
      </c>
      <c r="C1771" s="33" t="str">
        <f t="shared" si="110"/>
        <v>11354-0000</v>
      </c>
      <c r="D1771" t="s">
        <v>6129</v>
      </c>
      <c r="E1771" t="s">
        <v>13538</v>
      </c>
      <c r="F1771" t="s">
        <v>14039</v>
      </c>
      <c r="G1771" t="s">
        <v>14672</v>
      </c>
      <c r="H1771" t="s">
        <v>13869</v>
      </c>
      <c r="I1771" t="s">
        <v>14690</v>
      </c>
      <c r="J1771" s="62">
        <v>9995.52</v>
      </c>
      <c r="K1771" s="62">
        <v>13948.16</v>
      </c>
      <c r="L1771" t="str">
        <f>VLOOKUP(VALUE(LEFT(C1771,5)),Xref!A:B,2,0)</f>
        <v>AKA</v>
      </c>
      <c r="M1771" t="str">
        <f t="shared" si="111"/>
        <v>AKA-GRA</v>
      </c>
    </row>
    <row r="1772" spans="1:13" ht="14.25" customHeight="true">
      <c r="A1772" s="33" t="str">
        <f t="shared" si="108"/>
        <v>GRA - Intercompany</v>
      </c>
      <c r="B1772" s="33" t="str">
        <f t="shared" si="109"/>
        <v>GRA</v>
      </c>
      <c r="C1772" s="33" t="str">
        <f t="shared" si="110"/>
        <v>11355-0000</v>
      </c>
      <c r="D1772" t="s">
        <v>6130</v>
      </c>
      <c r="E1772" t="s">
        <v>13539</v>
      </c>
      <c r="F1772" t="s">
        <v>14039</v>
      </c>
      <c r="G1772" t="s">
        <v>14672</v>
      </c>
      <c r="H1772" t="s">
        <v>13869</v>
      </c>
      <c r="I1772" t="s">
        <v>14690</v>
      </c>
      <c r="J1772" s="62">
        <v>0</v>
      </c>
      <c r="K1772" s="62">
        <v>-1249.09</v>
      </c>
      <c r="L1772" t="str">
        <f>VLOOKUP(VALUE(LEFT(C1772,5)),Xref!A:B,2,0)</f>
        <v>SPA</v>
      </c>
      <c r="M1772" t="str">
        <f t="shared" si="111"/>
        <v>GRA-SPA</v>
      </c>
    </row>
    <row r="1773" spans="1:13" ht="14.25" customHeight="true">
      <c r="A1773" s="33" t="str">
        <f t="shared" si="108"/>
        <v>GRA - Intercompany</v>
      </c>
      <c r="B1773" s="33" t="str">
        <f t="shared" si="109"/>
        <v>GRA</v>
      </c>
      <c r="C1773" s="33" t="str">
        <f t="shared" si="110"/>
        <v>11356-0000</v>
      </c>
      <c r="D1773" t="s">
        <v>6132</v>
      </c>
      <c r="E1773" t="s">
        <v>13540</v>
      </c>
      <c r="F1773" t="s">
        <v>14039</v>
      </c>
      <c r="G1773" t="s">
        <v>14672</v>
      </c>
      <c r="H1773" t="s">
        <v>13869</v>
      </c>
      <c r="I1773" t="s">
        <v>14690</v>
      </c>
      <c r="J1773" s="62">
        <v>0</v>
      </c>
      <c r="K1773" s="62">
        <v>12944.85</v>
      </c>
      <c r="L1773" t="str">
        <f>VLOOKUP(VALUE(LEFT(C1773,5)),Xref!A:B,2,0)</f>
        <v>DPM</v>
      </c>
      <c r="M1773" t="str">
        <f t="shared" si="111"/>
        <v>DPM-GRA</v>
      </c>
    </row>
    <row r="1774" spans="1:13" ht="14.25" customHeight="true">
      <c r="A1774" s="33" t="str">
        <f t="shared" si="108"/>
        <v>GRA - Intercompany</v>
      </c>
      <c r="B1774" s="33" t="str">
        <f t="shared" si="109"/>
        <v>GRA</v>
      </c>
      <c r="C1774" s="33" t="str">
        <f t="shared" si="110"/>
        <v>11357-0000</v>
      </c>
      <c r="D1774" t="s">
        <v>6134</v>
      </c>
      <c r="E1774" t="s">
        <v>13541</v>
      </c>
      <c r="F1774" t="s">
        <v>14039</v>
      </c>
      <c r="G1774" t="s">
        <v>14672</v>
      </c>
      <c r="H1774" t="s">
        <v>13869</v>
      </c>
      <c r="I1774" t="s">
        <v>14690</v>
      </c>
      <c r="J1774" s="62">
        <v>0</v>
      </c>
      <c r="K1774" s="62">
        <v>-0.75</v>
      </c>
      <c r="L1774" t="str">
        <f>VLOOKUP(VALUE(LEFT(C1774,5)),Xref!A:B,2,0)</f>
        <v>HDM</v>
      </c>
      <c r="M1774" t="str">
        <f t="shared" si="111"/>
        <v>GRA-HDM</v>
      </c>
    </row>
    <row r="1775" spans="1:13" ht="14.25" customHeight="true">
      <c r="A1775" s="33" t="str">
        <f t="shared" si="108"/>
        <v>GRA - Intercompany</v>
      </c>
      <c r="B1775" s="33" t="str">
        <f t="shared" si="109"/>
        <v>GRA</v>
      </c>
      <c r="C1775" s="33" t="str">
        <f t="shared" si="110"/>
        <v>11358-0000</v>
      </c>
      <c r="D1775" t="s">
        <v>6136</v>
      </c>
      <c r="E1775" t="s">
        <v>13542</v>
      </c>
      <c r="F1775" t="s">
        <v>14039</v>
      </c>
      <c r="G1775" t="s">
        <v>14672</v>
      </c>
      <c r="H1775" t="s">
        <v>13869</v>
      </c>
      <c r="I1775" t="s">
        <v>14690</v>
      </c>
      <c r="J1775" s="62">
        <v>3846.72</v>
      </c>
      <c r="K1775" s="62">
        <v>-3904.55</v>
      </c>
      <c r="L1775" t="str">
        <f>VLOOKUP(VALUE(LEFT(C1775,5)),Xref!A:B,2,0)</f>
        <v>GRA</v>
      </c>
      <c r="M1775" t="str">
        <f t="shared" si="111"/>
        <v>GRA-GRA</v>
      </c>
    </row>
    <row r="1776" spans="1:13" ht="14.25" customHeight="true">
      <c r="A1776" s="33" t="str">
        <f t="shared" si="108"/>
        <v>GRA - Intercompany</v>
      </c>
      <c r="B1776" s="33" t="str">
        <f t="shared" si="109"/>
        <v>GRA</v>
      </c>
      <c r="C1776" s="33" t="str">
        <f t="shared" si="110"/>
        <v>11359-0000</v>
      </c>
      <c r="D1776" t="s">
        <v>6137</v>
      </c>
      <c r="E1776" t="s">
        <v>13543</v>
      </c>
      <c r="F1776" t="s">
        <v>14039</v>
      </c>
      <c r="G1776" t="s">
        <v>14672</v>
      </c>
      <c r="H1776" t="s">
        <v>13869</v>
      </c>
      <c r="I1776" t="s">
        <v>14690</v>
      </c>
      <c r="J1776" s="62">
        <v>13624.9</v>
      </c>
      <c r="K1776" s="62">
        <v>23400.21</v>
      </c>
      <c r="L1776" t="str">
        <f>VLOOKUP(VALUE(LEFT(C1776,5)),Xref!A:B,2,0)</f>
        <v>TPI</v>
      </c>
      <c r="M1776" t="str">
        <f t="shared" si="111"/>
        <v>GRA-TPI</v>
      </c>
    </row>
    <row r="1777" spans="1:13" ht="14.25" customHeight="true">
      <c r="A1777" s="33" t="str">
        <f t="shared" si="108"/>
        <v>GRA - Intercompany</v>
      </c>
      <c r="B1777" s="33" t="str">
        <f t="shared" si="109"/>
        <v>GRA</v>
      </c>
      <c r="C1777" s="33" t="str">
        <f t="shared" si="110"/>
        <v>11361-0000</v>
      </c>
      <c r="D1777" t="s">
        <v>20262</v>
      </c>
      <c r="E1777" t="s">
        <v>14165</v>
      </c>
      <c r="F1777" t="s">
        <v>14039</v>
      </c>
      <c r="G1777" t="s">
        <v>14672</v>
      </c>
      <c r="H1777" t="s">
        <v>13869</v>
      </c>
      <c r="I1777" t="s">
        <v>14690</v>
      </c>
      <c r="J1777" s="62">
        <v>0</v>
      </c>
      <c r="K1777" s="62">
        <v>0</v>
      </c>
      <c r="L1777" t="str">
        <f>VLOOKUP(VALUE(LEFT(C1777,5)),Xref!A:B,2,0)</f>
        <v>GSM</v>
      </c>
      <c r="M1777" t="str">
        <f t="shared" si="111"/>
        <v>GRA-GSM</v>
      </c>
    </row>
    <row r="1778" spans="1:13" ht="14.25" customHeight="true">
      <c r="A1778" s="33" t="str">
        <f t="shared" si="108"/>
        <v>GRA - Intercompany</v>
      </c>
      <c r="B1778" s="33" t="str">
        <f t="shared" si="109"/>
        <v>GRA</v>
      </c>
      <c r="C1778" s="33" t="str">
        <f t="shared" si="110"/>
        <v>11363-0000</v>
      </c>
      <c r="D1778" t="s">
        <v>6138</v>
      </c>
      <c r="E1778" t="s">
        <v>13544</v>
      </c>
      <c r="F1778" t="s">
        <v>14039</v>
      </c>
      <c r="G1778" t="s">
        <v>14672</v>
      </c>
      <c r="H1778" t="s">
        <v>13869</v>
      </c>
      <c r="I1778" t="s">
        <v>14690</v>
      </c>
      <c r="J1778" s="62">
        <v>7567.52</v>
      </c>
      <c r="K1778" s="62">
        <v>8322.98</v>
      </c>
      <c r="L1778" t="str">
        <f>VLOOKUP(VALUE(LEFT(C1778,5)),Xref!A:B,2,0)</f>
        <v>SOF</v>
      </c>
      <c r="M1778" t="str">
        <f t="shared" si="111"/>
        <v>GRA-SOF</v>
      </c>
    </row>
    <row r="1779" spans="1:13" ht="14.25" customHeight="true">
      <c r="A1779" s="33" t="str">
        <f t="shared" si="108"/>
        <v>GRA - Intercompany</v>
      </c>
      <c r="B1779" s="33" t="str">
        <f t="shared" si="109"/>
        <v>GRA</v>
      </c>
      <c r="C1779" s="33" t="str">
        <f t="shared" si="110"/>
        <v>11364-0000</v>
      </c>
      <c r="D1779" t="s">
        <v>20263</v>
      </c>
      <c r="E1779" t="s">
        <v>14168</v>
      </c>
      <c r="F1779" t="s">
        <v>14039</v>
      </c>
      <c r="G1779" t="s">
        <v>14672</v>
      </c>
      <c r="H1779" t="s">
        <v>13869</v>
      </c>
      <c r="I1779" t="s">
        <v>14690</v>
      </c>
      <c r="J1779" s="62">
        <v>0</v>
      </c>
      <c r="K1779" s="62">
        <v>0</v>
      </c>
      <c r="L1779" t="e">
        <f>VLOOKUP(VALUE(LEFT(C1779,5)),Xref!A:B,2,0)</f>
        <v>#N/A</v>
      </c>
      <c r="M1779" t="e">
        <f t="shared" si="111"/>
        <v>#N/A</v>
      </c>
    </row>
    <row r="1780" spans="1:13" ht="14.25" customHeight="true">
      <c r="A1780" s="33" t="str">
        <f t="shared" si="108"/>
        <v>GRA - Intercompany</v>
      </c>
      <c r="B1780" s="33" t="str">
        <f t="shared" si="109"/>
        <v>GRA</v>
      </c>
      <c r="C1780" s="33" t="str">
        <f t="shared" si="110"/>
        <v>11365-0000</v>
      </c>
      <c r="D1780" t="s">
        <v>20264</v>
      </c>
      <c r="E1780" t="s">
        <v>14170</v>
      </c>
      <c r="F1780" t="s">
        <v>14039</v>
      </c>
      <c r="G1780" t="s">
        <v>14672</v>
      </c>
      <c r="H1780" t="s">
        <v>13869</v>
      </c>
      <c r="I1780" t="s">
        <v>14690</v>
      </c>
      <c r="J1780" s="62">
        <v>0</v>
      </c>
      <c r="K1780" s="62">
        <v>0</v>
      </c>
      <c r="L1780" t="e">
        <f>VLOOKUP(VALUE(LEFT(C1780,5)),Xref!A:B,2,0)</f>
        <v>#N/A</v>
      </c>
      <c r="M1780" t="e">
        <f t="shared" si="111"/>
        <v>#N/A</v>
      </c>
    </row>
    <row r="1781" spans="1:13" ht="14.25" customHeight="true">
      <c r="A1781" s="33" t="str">
        <f t="shared" si="108"/>
        <v>GRA - Intercompany</v>
      </c>
      <c r="B1781" s="33" t="str">
        <f t="shared" si="109"/>
        <v>GRA</v>
      </c>
      <c r="C1781" s="33" t="str">
        <f t="shared" si="110"/>
        <v>11366-0000</v>
      </c>
      <c r="D1781" t="s">
        <v>20265</v>
      </c>
      <c r="E1781" t="s">
        <v>14172</v>
      </c>
      <c r="G1781" t="s">
        <v>14672</v>
      </c>
      <c r="H1781" t="s">
        <v>13869</v>
      </c>
      <c r="I1781" t="s">
        <v>14690</v>
      </c>
      <c r="J1781" s="62">
        <v>0</v>
      </c>
      <c r="K1781" s="62">
        <v>0</v>
      </c>
      <c r="L1781" t="e">
        <f>VLOOKUP(VALUE(LEFT(C1781,5)),Xref!A:B,2,0)</f>
        <v>#N/A</v>
      </c>
      <c r="M1781" t="e">
        <f t="shared" si="111"/>
        <v>#N/A</v>
      </c>
    </row>
    <row r="1782" spans="1:13" ht="14.25" customHeight="true">
      <c r="A1782" s="33" t="str">
        <f t="shared" si="108"/>
        <v>GRA - Intercompany</v>
      </c>
      <c r="B1782" s="33" t="str">
        <f t="shared" si="109"/>
        <v>GRA</v>
      </c>
      <c r="C1782" s="33" t="str">
        <f t="shared" si="110"/>
        <v>11402-0000</v>
      </c>
      <c r="D1782" t="s">
        <v>20266</v>
      </c>
      <c r="E1782" t="s">
        <v>14174</v>
      </c>
      <c r="G1782" t="s">
        <v>14672</v>
      </c>
      <c r="H1782" t="s">
        <v>13869</v>
      </c>
      <c r="I1782" t="s">
        <v>14690</v>
      </c>
      <c r="J1782" s="62">
        <v>0</v>
      </c>
      <c r="K1782" s="62">
        <v>0</v>
      </c>
      <c r="L1782" t="str">
        <f>VLOOKUP(VALUE(LEFT(C1782,5)),Xref!A:B,2,0)</f>
        <v>DPI</v>
      </c>
      <c r="M1782" t="str">
        <f t="shared" si="111"/>
        <v>DPI-GRA</v>
      </c>
    </row>
    <row r="1783" spans="1:13" ht="14.25" customHeight="true">
      <c r="A1783" s="33" t="str">
        <f t="shared" si="108"/>
        <v>GRA - Intercompany</v>
      </c>
      <c r="B1783" s="33" t="str">
        <f t="shared" si="109"/>
        <v>GRA</v>
      </c>
      <c r="C1783" s="33" t="str">
        <f t="shared" si="110"/>
        <v>11403-0000</v>
      </c>
      <c r="D1783" t="s">
        <v>20267</v>
      </c>
      <c r="E1783" t="s">
        <v>14176</v>
      </c>
      <c r="G1783" t="s">
        <v>14672</v>
      </c>
      <c r="H1783" t="s">
        <v>13869</v>
      </c>
      <c r="I1783" t="s">
        <v>14690</v>
      </c>
      <c r="J1783" s="62">
        <v>0</v>
      </c>
      <c r="K1783" s="62">
        <v>0</v>
      </c>
      <c r="L1783" t="str">
        <f>VLOOKUP(VALUE(LEFT(C1783,5)),Xref!A:B,2,0)</f>
        <v>SEA</v>
      </c>
      <c r="M1783" t="str">
        <f t="shared" si="111"/>
        <v>GRA-SEA</v>
      </c>
    </row>
    <row r="1784" spans="1:13" ht="14.25" customHeight="true">
      <c r="A1784" s="33" t="str">
        <f t="shared" si="108"/>
        <v>GRA - Intercompany</v>
      </c>
      <c r="B1784" s="33" t="str">
        <f t="shared" si="109"/>
        <v>GRA</v>
      </c>
      <c r="C1784" s="33" t="str">
        <f t="shared" si="110"/>
        <v>12400-0000</v>
      </c>
      <c r="D1784" t="s">
        <v>20269</v>
      </c>
      <c r="E1784" t="s">
        <v>14185</v>
      </c>
      <c r="F1784" t="s">
        <v>14039</v>
      </c>
      <c r="G1784" t="s">
        <v>14672</v>
      </c>
      <c r="H1784" t="s">
        <v>13869</v>
      </c>
      <c r="I1784" t="s">
        <v>14690</v>
      </c>
      <c r="J1784" s="62">
        <v>0</v>
      </c>
      <c r="K1784" s="62">
        <v>0</v>
      </c>
      <c r="L1784" t="str">
        <f>VLOOKUP(VALUE(LEFT(C1784,5)),Xref!A:B,2,0)</f>
        <v>aka</v>
      </c>
      <c r="M1784" t="str">
        <f t="shared" si="111"/>
        <v>aka-GRA</v>
      </c>
    </row>
    <row r="1785" spans="1:13" ht="14.25" customHeight="true">
      <c r="A1785" s="33" t="str">
        <f t="shared" si="108"/>
        <v>GRA - Intercompany</v>
      </c>
      <c r="B1785" s="33" t="str">
        <f t="shared" si="109"/>
        <v>GRA</v>
      </c>
      <c r="C1785" s="33" t="str">
        <f t="shared" si="110"/>
        <v>12401-0000</v>
      </c>
      <c r="D1785" t="s">
        <v>20270</v>
      </c>
      <c r="E1785" t="s">
        <v>14187</v>
      </c>
      <c r="F1785" t="s">
        <v>14039</v>
      </c>
      <c r="G1785" t="s">
        <v>14672</v>
      </c>
      <c r="H1785" t="s">
        <v>13869</v>
      </c>
      <c r="I1785" t="s">
        <v>14690</v>
      </c>
      <c r="J1785" s="62">
        <v>0</v>
      </c>
      <c r="K1785" s="62">
        <v>0</v>
      </c>
      <c r="L1785" t="str">
        <f>VLOOKUP(VALUE(LEFT(C1785,5)),Xref!A:B,2,0)</f>
        <v>aka</v>
      </c>
      <c r="M1785" t="str">
        <f t="shared" si="111"/>
        <v>aka-GRA</v>
      </c>
    </row>
    <row r="1786" spans="1:13" ht="14.25" customHeight="true">
      <c r="A1786" s="33" t="str">
        <f t="shared" si="108"/>
        <v>GRA - Intercompany</v>
      </c>
      <c r="B1786" s="33" t="str">
        <f t="shared" si="109"/>
        <v>GRA</v>
      </c>
      <c r="C1786" s="33" t="str">
        <f t="shared" si="110"/>
        <v>12402-0000</v>
      </c>
      <c r="D1786" t="s">
        <v>20271</v>
      </c>
      <c r="E1786" t="s">
        <v>14189</v>
      </c>
      <c r="F1786" t="s">
        <v>14039</v>
      </c>
      <c r="G1786" t="s">
        <v>14672</v>
      </c>
      <c r="H1786" t="s">
        <v>13869</v>
      </c>
      <c r="I1786" t="s">
        <v>14690</v>
      </c>
      <c r="J1786" s="62">
        <v>0</v>
      </c>
      <c r="K1786" s="62">
        <v>0</v>
      </c>
      <c r="L1786" t="str">
        <f>VLOOKUP(VALUE(LEFT(C1786,5)),Xref!A:B,2,0)</f>
        <v>aka</v>
      </c>
      <c r="M1786" t="str">
        <f t="shared" si="111"/>
        <v>aka-GRA</v>
      </c>
    </row>
    <row r="1787" spans="1:13" ht="14.25" customHeight="true">
      <c r="A1787" s="33" t="str">
        <f t="shared" si="108"/>
        <v>GRA - Intercompany</v>
      </c>
      <c r="B1787" s="33" t="str">
        <f t="shared" si="109"/>
        <v>GRA</v>
      </c>
      <c r="C1787" s="33" t="str">
        <f t="shared" si="110"/>
        <v>12403-0000</v>
      </c>
      <c r="D1787" t="s">
        <v>20272</v>
      </c>
      <c r="E1787" t="s">
        <v>5226</v>
      </c>
      <c r="F1787" t="s">
        <v>14039</v>
      </c>
      <c r="G1787" t="s">
        <v>14672</v>
      </c>
      <c r="H1787" t="s">
        <v>13869</v>
      </c>
      <c r="I1787" t="s">
        <v>14690</v>
      </c>
      <c r="J1787" s="62">
        <v>0</v>
      </c>
      <c r="K1787" s="62">
        <v>0</v>
      </c>
      <c r="L1787" t="str">
        <f>VLOOKUP(VALUE(LEFT(C1787,5)),Xref!A:B,2,0)</f>
        <v>aka</v>
      </c>
      <c r="M1787" t="str">
        <f t="shared" si="111"/>
        <v>aka-GRA</v>
      </c>
    </row>
    <row r="1788" spans="1:13" ht="14.25" customHeight="true">
      <c r="A1788" s="33" t="str">
        <f t="shared" si="108"/>
        <v>GRA - Intercompany</v>
      </c>
      <c r="B1788" s="33" t="str">
        <f t="shared" si="109"/>
        <v>GRA</v>
      </c>
      <c r="C1788" s="33" t="str">
        <f t="shared" si="110"/>
        <v>12501-0000</v>
      </c>
      <c r="D1788" t="s">
        <v>20273</v>
      </c>
      <c r="E1788" t="s">
        <v>14192</v>
      </c>
      <c r="F1788" t="s">
        <v>14039</v>
      </c>
      <c r="G1788" t="s">
        <v>14672</v>
      </c>
      <c r="H1788" t="s">
        <v>13869</v>
      </c>
      <c r="I1788" t="s">
        <v>14690</v>
      </c>
      <c r="J1788" s="62">
        <v>0</v>
      </c>
      <c r="K1788" s="62">
        <v>0</v>
      </c>
      <c r="L1788" t="str">
        <f>VLOOKUP(VALUE(LEFT(C1788,5)),Xref!A:B,2,0)</f>
        <v>aka</v>
      </c>
      <c r="M1788" t="str">
        <f t="shared" si="111"/>
        <v>aka-GRA</v>
      </c>
    </row>
    <row r="1789" spans="1:13" ht="14.25" customHeight="true">
      <c r="A1789" s="33" t="str">
        <f t="shared" si="108"/>
        <v>GRA - InterCo Notes</v>
      </c>
      <c r="B1789" s="33" t="str">
        <f t="shared" si="109"/>
        <v>GRA</v>
      </c>
      <c r="C1789" s="33" t="str">
        <f t="shared" si="110"/>
        <v>25600-0000</v>
      </c>
      <c r="D1789" t="s">
        <v>13553</v>
      </c>
      <c r="E1789" t="s">
        <v>314</v>
      </c>
      <c r="F1789" t="s">
        <v>14039</v>
      </c>
      <c r="G1789" t="s">
        <v>14672</v>
      </c>
      <c r="H1789" t="s">
        <v>13889</v>
      </c>
      <c r="I1789" t="s">
        <v>14690</v>
      </c>
      <c r="J1789" s="62">
        <v>0</v>
      </c>
      <c r="K1789" s="62">
        <v>-266000</v>
      </c>
      <c r="L1789" t="str">
        <f>VLOOKUP(VALUE(LEFT(C1789,5)),Xref!A:B,2,0)</f>
        <v>D7</v>
      </c>
      <c r="M1789" t="str">
        <f t="shared" si="111"/>
        <v>D7-GRA</v>
      </c>
    </row>
    <row r="1790" spans="1:13" ht="14.25" customHeight="true">
      <c r="A1790" s="33" t="str">
        <f t="shared" si="108"/>
        <v>GRA - InterCo Notes</v>
      </c>
      <c r="B1790" s="33" t="str">
        <f t="shared" si="109"/>
        <v>GRA</v>
      </c>
      <c r="C1790" s="33" t="str">
        <f t="shared" si="110"/>
        <v>25602-0000</v>
      </c>
      <c r="D1790" t="s">
        <v>20315</v>
      </c>
      <c r="E1790" t="s">
        <v>13426</v>
      </c>
      <c r="F1790" t="s">
        <v>14039</v>
      </c>
      <c r="G1790" t="s">
        <v>14672</v>
      </c>
      <c r="H1790" t="s">
        <v>13889</v>
      </c>
      <c r="I1790" t="s">
        <v>14690</v>
      </c>
      <c r="J1790" s="62">
        <v>0</v>
      </c>
      <c r="K1790" s="62">
        <v>0</v>
      </c>
      <c r="L1790" t="str">
        <f>VLOOKUP(VALUE(LEFT(C1790,5)),Xref!A:B,2,0)</f>
        <v>DFLP</v>
      </c>
      <c r="M1790" t="str">
        <f t="shared" si="111"/>
        <v>DFLP-GRA</v>
      </c>
    </row>
    <row r="1791" spans="1:13" ht="14.25" customHeight="true">
      <c r="A1791" s="33" t="str">
        <f t="shared" si="108"/>
        <v>GRA - InterCo Notes</v>
      </c>
      <c r="B1791" s="33" t="str">
        <f t="shared" si="109"/>
        <v>GRA</v>
      </c>
      <c r="C1791" s="33" t="str">
        <f t="shared" si="110"/>
        <v>25603-0000</v>
      </c>
      <c r="D1791" t="s">
        <v>20316</v>
      </c>
      <c r="E1791" t="s">
        <v>14311</v>
      </c>
      <c r="F1791" t="s">
        <v>14039</v>
      </c>
      <c r="G1791" t="s">
        <v>14832</v>
      </c>
      <c r="H1791" t="s">
        <v>13889</v>
      </c>
      <c r="I1791" t="s">
        <v>14690</v>
      </c>
      <c r="J1791" s="62">
        <v>0</v>
      </c>
      <c r="K1791" s="62">
        <v>0</v>
      </c>
      <c r="L1791" t="str">
        <f>VLOOKUP(VALUE(LEFT(C1791,5)),Xref!A:B,2,0)</f>
        <v>aka</v>
      </c>
      <c r="M1791" t="str">
        <f t="shared" si="111"/>
        <v>aka-GRA</v>
      </c>
    </row>
    <row r="1792" spans="1:13" ht="14.25" customHeight="true">
      <c r="A1792" s="33" t="str">
        <f t="shared" si="108"/>
        <v>GRA - Intercompany</v>
      </c>
      <c r="B1792" s="33" t="str">
        <f t="shared" si="109"/>
        <v>GRA</v>
      </c>
      <c r="C1792" s="33" t="str">
        <f t="shared" si="110"/>
        <v>25604-0000</v>
      </c>
      <c r="D1792" t="s">
        <v>20317</v>
      </c>
      <c r="E1792" t="s">
        <v>13490</v>
      </c>
      <c r="F1792" t="s">
        <v>14039</v>
      </c>
      <c r="G1792" t="s">
        <v>14672</v>
      </c>
      <c r="H1792" t="s">
        <v>13869</v>
      </c>
      <c r="I1792" t="s">
        <v>14690</v>
      </c>
      <c r="J1792" s="62">
        <v>0</v>
      </c>
      <c r="K1792" s="62">
        <v>0</v>
      </c>
      <c r="L1792">
        <f>VLOOKUP(VALUE(LEFT(C1792,5)),Xref!A:B,2,0)</f>
        <v>0</v>
      </c>
      <c r="M1792" t="str">
        <f t="shared" si="111"/>
        <v>0-GRA</v>
      </c>
    </row>
    <row r="1793" spans="1:13" ht="14.25" customHeight="true">
      <c r="A1793" s="33" t="str">
        <f t="shared" si="108"/>
        <v>GSM - Intercompany</v>
      </c>
      <c r="B1793" s="33" t="str">
        <f t="shared" si="109"/>
        <v>GSM</v>
      </c>
      <c r="C1793" s="33" t="str">
        <f t="shared" si="110"/>
        <v>11200-0000</v>
      </c>
      <c r="D1793" t="s">
        <v>20440</v>
      </c>
      <c r="E1793" t="s">
        <v>14069</v>
      </c>
      <c r="F1793" t="s">
        <v>14039</v>
      </c>
      <c r="G1793" t="s">
        <v>14672</v>
      </c>
      <c r="H1793" t="s">
        <v>13869</v>
      </c>
      <c r="I1793" t="s">
        <v>14690</v>
      </c>
      <c r="J1793" s="62">
        <v>0</v>
      </c>
      <c r="K1793" s="62">
        <v>0</v>
      </c>
      <c r="L1793" t="str">
        <f>VLOOKUP(VALUE(LEFT(C1793,5)),Xref!A:B,2,0)</f>
        <v>SCL</v>
      </c>
      <c r="M1793" t="str">
        <f t="shared" si="111"/>
        <v>GSM-SCL</v>
      </c>
    </row>
    <row r="1794" spans="1:13" ht="14.25" customHeight="true">
      <c r="A1794" s="33" t="str">
        <f t="shared" ref="A1794:A1857" si="112">B1794&amp;" - "&amp;TRIM(H1794)</f>
        <v>GSM - Intercompany</v>
      </c>
      <c r="B1794" s="33" t="str">
        <f t="shared" ref="B1794:B1857" si="113">LEFT(D1794,3)</f>
        <v>GSM</v>
      </c>
      <c r="C1794" s="33" t="str">
        <f t="shared" ref="C1794:C1857" si="114">RIGHT(D1794,10)</f>
        <v>11201-0000</v>
      </c>
      <c r="D1794" t="s">
        <v>20441</v>
      </c>
      <c r="E1794" t="s">
        <v>14071</v>
      </c>
      <c r="F1794" t="s">
        <v>14039</v>
      </c>
      <c r="G1794" t="s">
        <v>14672</v>
      </c>
      <c r="H1794" t="s">
        <v>13869</v>
      </c>
      <c r="I1794" t="s">
        <v>14690</v>
      </c>
      <c r="J1794" s="62">
        <v>0</v>
      </c>
      <c r="K1794" s="62">
        <v>0</v>
      </c>
      <c r="L1794" t="str">
        <f>VLOOKUP(VALUE(LEFT(C1794,5)),Xref!A:B,2,0)</f>
        <v>SG2</v>
      </c>
      <c r="M1794" t="str">
        <f t="shared" ref="M1794:M1857" si="115">IF(B1794&lt;L1794,B1794&amp;"-"&amp;L1794,L1794&amp;"-"&amp;B1794)</f>
        <v>GSM-SG2</v>
      </c>
    </row>
    <row r="1795" spans="1:13" ht="14.25" customHeight="true">
      <c r="A1795" s="33" t="str">
        <f t="shared" si="112"/>
        <v>GSM - Intercompany</v>
      </c>
      <c r="B1795" s="33" t="str">
        <f t="shared" si="113"/>
        <v>GSM</v>
      </c>
      <c r="C1795" s="33" t="str">
        <f t="shared" si="114"/>
        <v>11202-0000</v>
      </c>
      <c r="D1795" t="s">
        <v>20442</v>
      </c>
      <c r="E1795" t="s">
        <v>14073</v>
      </c>
      <c r="F1795" t="s">
        <v>14039</v>
      </c>
      <c r="G1795" t="s">
        <v>14672</v>
      </c>
      <c r="H1795" t="s">
        <v>13869</v>
      </c>
      <c r="I1795" t="s">
        <v>14690</v>
      </c>
      <c r="J1795" s="62">
        <v>0</v>
      </c>
      <c r="K1795" s="62">
        <v>0</v>
      </c>
      <c r="L1795" t="str">
        <f>VLOOKUP(VALUE(LEFT(C1795,5)),Xref!A:B,2,0)</f>
        <v>FFC</v>
      </c>
      <c r="M1795" t="str">
        <f t="shared" si="115"/>
        <v>FFC-GSM</v>
      </c>
    </row>
    <row r="1796" spans="1:13" ht="14.25" customHeight="true">
      <c r="A1796" s="33" t="str">
        <f t="shared" si="112"/>
        <v>GSM - Intercompany</v>
      </c>
      <c r="B1796" s="33" t="str">
        <f t="shared" si="113"/>
        <v>GSM</v>
      </c>
      <c r="C1796" s="33" t="str">
        <f t="shared" si="114"/>
        <v>11203-0000</v>
      </c>
      <c r="D1796" t="s">
        <v>20443</v>
      </c>
      <c r="E1796" t="s">
        <v>14075</v>
      </c>
      <c r="F1796" t="s">
        <v>14039</v>
      </c>
      <c r="G1796" t="s">
        <v>14672</v>
      </c>
      <c r="H1796" t="s">
        <v>13869</v>
      </c>
      <c r="I1796" t="s">
        <v>14690</v>
      </c>
      <c r="J1796" s="62">
        <v>0</v>
      </c>
      <c r="K1796" s="62">
        <v>0</v>
      </c>
      <c r="L1796" t="str">
        <f>VLOOKUP(VALUE(LEFT(C1796,5)),Xref!A:B,2,0)</f>
        <v>HN2</v>
      </c>
      <c r="M1796" t="str">
        <f t="shared" si="115"/>
        <v>GSM-HN2</v>
      </c>
    </row>
    <row r="1797" spans="1:13" ht="14.25" customHeight="true">
      <c r="A1797" s="33" t="str">
        <f t="shared" si="112"/>
        <v>GSM - Intercompany</v>
      </c>
      <c r="B1797" s="33" t="str">
        <f t="shared" si="113"/>
        <v>GSM</v>
      </c>
      <c r="C1797" s="33" t="str">
        <f t="shared" si="114"/>
        <v>11204-0000</v>
      </c>
      <c r="D1797" t="s">
        <v>20444</v>
      </c>
      <c r="E1797" t="s">
        <v>14077</v>
      </c>
      <c r="F1797" t="s">
        <v>14039</v>
      </c>
      <c r="G1797" t="s">
        <v>14672</v>
      </c>
      <c r="H1797" t="s">
        <v>13869</v>
      </c>
      <c r="I1797" t="s">
        <v>14690</v>
      </c>
      <c r="J1797" s="62">
        <v>0</v>
      </c>
      <c r="K1797" s="62">
        <v>0</v>
      </c>
      <c r="L1797" t="str">
        <f>VLOOKUP(VALUE(LEFT(C1797,5)),Xref!A:B,2,0)</f>
        <v>DF2</v>
      </c>
      <c r="M1797" t="str">
        <f t="shared" si="115"/>
        <v>DF2-GSM</v>
      </c>
    </row>
    <row r="1798" spans="1:13" ht="14.25" customHeight="true">
      <c r="A1798" s="33" t="str">
        <f t="shared" si="112"/>
        <v>GSM - Intercompany</v>
      </c>
      <c r="B1798" s="33" t="str">
        <f t="shared" si="113"/>
        <v>GSM</v>
      </c>
      <c r="C1798" s="33" t="str">
        <f t="shared" si="114"/>
        <v>11208-0000</v>
      </c>
      <c r="D1798" t="s">
        <v>20445</v>
      </c>
      <c r="E1798" t="s">
        <v>14079</v>
      </c>
      <c r="F1798" t="s">
        <v>14039</v>
      </c>
      <c r="G1798" t="s">
        <v>14672</v>
      </c>
      <c r="H1798" t="s">
        <v>13869</v>
      </c>
      <c r="I1798" t="s">
        <v>14690</v>
      </c>
      <c r="J1798" s="62">
        <v>0</v>
      </c>
      <c r="K1798" s="62">
        <v>0</v>
      </c>
      <c r="L1798" t="str">
        <f>VLOOKUP(VALUE(LEFT(C1798,5)),Xref!A:B,2,0)</f>
        <v>SRE</v>
      </c>
      <c r="M1798" t="str">
        <f t="shared" si="115"/>
        <v>GSM-SRE</v>
      </c>
    </row>
    <row r="1799" spans="1:13" ht="14.25" customHeight="true">
      <c r="A1799" s="33" t="str">
        <f t="shared" si="112"/>
        <v>GSM - Intercompany</v>
      </c>
      <c r="B1799" s="33" t="str">
        <f t="shared" si="113"/>
        <v>GSM</v>
      </c>
      <c r="C1799" s="33" t="str">
        <f t="shared" si="114"/>
        <v>11210-0000</v>
      </c>
      <c r="D1799" t="s">
        <v>20446</v>
      </c>
      <c r="E1799" t="s">
        <v>14081</v>
      </c>
      <c r="F1799" t="s">
        <v>14039</v>
      </c>
      <c r="G1799" t="s">
        <v>14672</v>
      </c>
      <c r="H1799" t="s">
        <v>13869</v>
      </c>
      <c r="I1799" t="s">
        <v>14690</v>
      </c>
      <c r="J1799" s="62">
        <v>0</v>
      </c>
      <c r="K1799" s="62">
        <v>0</v>
      </c>
      <c r="L1799" t="str">
        <f>VLOOKUP(VALUE(LEFT(C1799,5)),Xref!A:B,2,0)</f>
        <v>REM</v>
      </c>
      <c r="M1799" t="str">
        <f t="shared" si="115"/>
        <v>GSM-REM</v>
      </c>
    </row>
    <row r="1800" spans="1:13" ht="14.25" customHeight="true">
      <c r="A1800" s="33" t="str">
        <f t="shared" si="112"/>
        <v>GSM - Intercompany</v>
      </c>
      <c r="B1800" s="33" t="str">
        <f t="shared" si="113"/>
        <v>GSM</v>
      </c>
      <c r="C1800" s="33" t="str">
        <f t="shared" si="114"/>
        <v>11212-0000</v>
      </c>
      <c r="D1800" t="s">
        <v>20447</v>
      </c>
      <c r="E1800" t="s">
        <v>14083</v>
      </c>
      <c r="F1800" t="s">
        <v>14039</v>
      </c>
      <c r="G1800" t="s">
        <v>14672</v>
      </c>
      <c r="H1800" t="s">
        <v>13869</v>
      </c>
      <c r="I1800" t="s">
        <v>14690</v>
      </c>
      <c r="J1800" s="62">
        <v>0</v>
      </c>
      <c r="K1800" s="62">
        <v>0</v>
      </c>
      <c r="L1800" t="str">
        <f>VLOOKUP(VALUE(LEFT(C1800,5)),Xref!A:B,2,0)</f>
        <v>FRM</v>
      </c>
      <c r="M1800" t="str">
        <f t="shared" si="115"/>
        <v>FRM-GSM</v>
      </c>
    </row>
    <row r="1801" spans="1:13" ht="14.25" customHeight="true">
      <c r="A1801" s="33" t="str">
        <f t="shared" si="112"/>
        <v>GSM - Intercompany</v>
      </c>
      <c r="B1801" s="33" t="str">
        <f t="shared" si="113"/>
        <v>GSM</v>
      </c>
      <c r="C1801" s="33" t="str">
        <f t="shared" si="114"/>
        <v>11214-0000</v>
      </c>
      <c r="D1801" t="s">
        <v>20448</v>
      </c>
      <c r="E1801" t="s">
        <v>14085</v>
      </c>
      <c r="F1801" t="s">
        <v>14039</v>
      </c>
      <c r="G1801" t="s">
        <v>14672</v>
      </c>
      <c r="H1801" t="s">
        <v>13869</v>
      </c>
      <c r="I1801" t="s">
        <v>14690</v>
      </c>
      <c r="J1801" s="62">
        <v>0</v>
      </c>
      <c r="K1801" s="62">
        <v>0</v>
      </c>
      <c r="L1801" t="str">
        <f>VLOOKUP(VALUE(LEFT(C1801,5)),Xref!A:B,2,0)</f>
        <v>D7R</v>
      </c>
      <c r="M1801" t="str">
        <f t="shared" si="115"/>
        <v>D7R-GSM</v>
      </c>
    </row>
    <row r="1802" spans="1:13" ht="14.25" customHeight="true">
      <c r="A1802" s="33" t="str">
        <f t="shared" si="112"/>
        <v>GSM - Intercompany</v>
      </c>
      <c r="B1802" s="33" t="str">
        <f t="shared" si="113"/>
        <v>GSM</v>
      </c>
      <c r="C1802" s="33" t="str">
        <f t="shared" si="114"/>
        <v>11215-0000</v>
      </c>
      <c r="D1802" t="s">
        <v>20449</v>
      </c>
      <c r="E1802" t="s">
        <v>14087</v>
      </c>
      <c r="F1802" t="s">
        <v>14039</v>
      </c>
      <c r="G1802" t="s">
        <v>14672</v>
      </c>
      <c r="H1802" t="s">
        <v>13869</v>
      </c>
      <c r="I1802" t="s">
        <v>14690</v>
      </c>
      <c r="J1802" s="62">
        <v>0</v>
      </c>
      <c r="K1802" s="62">
        <v>0</v>
      </c>
      <c r="L1802" t="str">
        <f>VLOOKUP(VALUE(LEFT(C1802,5)),Xref!A:B,2,0)</f>
        <v>CDP</v>
      </c>
      <c r="M1802" t="str">
        <f t="shared" si="115"/>
        <v>CDP-GSM</v>
      </c>
    </row>
    <row r="1803" spans="1:13" ht="14.25" customHeight="true">
      <c r="A1803" s="33" t="str">
        <f t="shared" si="112"/>
        <v>GSM - Intercompany</v>
      </c>
      <c r="B1803" s="33" t="str">
        <f t="shared" si="113"/>
        <v>GSM</v>
      </c>
      <c r="C1803" s="33" t="str">
        <f t="shared" si="114"/>
        <v>11216-0000</v>
      </c>
      <c r="D1803" t="s">
        <v>6221</v>
      </c>
      <c r="E1803" t="s">
        <v>13224</v>
      </c>
      <c r="F1803" t="s">
        <v>14039</v>
      </c>
      <c r="G1803" t="s">
        <v>14672</v>
      </c>
      <c r="H1803" t="s">
        <v>13869</v>
      </c>
      <c r="I1803" t="s">
        <v>14690</v>
      </c>
      <c r="J1803" s="62">
        <v>-22313.07</v>
      </c>
      <c r="K1803" s="62">
        <v>-83060.38</v>
      </c>
      <c r="L1803" t="str">
        <f>VLOOKUP(VALUE(LEFT(C1803,5)),Xref!A:B,2,0)</f>
        <v>SIL</v>
      </c>
      <c r="M1803" t="str">
        <f t="shared" si="115"/>
        <v>GSM-SIL</v>
      </c>
    </row>
    <row r="1804" spans="1:13" ht="14.25" customHeight="true">
      <c r="A1804" s="33" t="str">
        <f t="shared" si="112"/>
        <v>GSM - Intercompany</v>
      </c>
      <c r="B1804" s="33" t="str">
        <f t="shared" si="113"/>
        <v>GSM</v>
      </c>
      <c r="C1804" s="33" t="str">
        <f t="shared" si="114"/>
        <v>11232-0000</v>
      </c>
      <c r="D1804" t="s">
        <v>20450</v>
      </c>
      <c r="E1804" t="s">
        <v>12486</v>
      </c>
      <c r="F1804" t="s">
        <v>14039</v>
      </c>
      <c r="G1804" t="s">
        <v>14672</v>
      </c>
      <c r="H1804" t="s">
        <v>13869</v>
      </c>
      <c r="I1804" t="s">
        <v>14690</v>
      </c>
      <c r="J1804" s="62">
        <v>0</v>
      </c>
      <c r="K1804" s="62">
        <v>0</v>
      </c>
      <c r="L1804" t="str">
        <f>VLOOKUP(VALUE(LEFT(C1804,5)),Xref!A:B,2,0)</f>
        <v>SC2</v>
      </c>
      <c r="M1804" t="str">
        <f t="shared" si="115"/>
        <v>GSM-SC2</v>
      </c>
    </row>
    <row r="1805" spans="1:13" ht="14.25" customHeight="true">
      <c r="A1805" s="33" t="str">
        <f t="shared" si="112"/>
        <v>GSM - Intercompany</v>
      </c>
      <c r="B1805" s="33" t="str">
        <f t="shared" si="113"/>
        <v>GSM</v>
      </c>
      <c r="C1805" s="33" t="str">
        <f t="shared" si="114"/>
        <v>11301-0000</v>
      </c>
      <c r="D1805" t="s">
        <v>20451</v>
      </c>
      <c r="E1805" t="s">
        <v>13225</v>
      </c>
      <c r="F1805" t="s">
        <v>14039</v>
      </c>
      <c r="G1805" t="s">
        <v>14672</v>
      </c>
      <c r="H1805" t="s">
        <v>13869</v>
      </c>
      <c r="I1805" t="s">
        <v>14690</v>
      </c>
      <c r="J1805" s="62">
        <v>0</v>
      </c>
      <c r="K1805" s="62">
        <v>0</v>
      </c>
      <c r="L1805" t="str">
        <f>VLOOKUP(VALUE(LEFT(C1805,5)),Xref!A:B,2,0)</f>
        <v>CRE</v>
      </c>
      <c r="M1805" t="str">
        <f t="shared" si="115"/>
        <v>CRE-GSM</v>
      </c>
    </row>
    <row r="1806" spans="1:13" ht="14.25" customHeight="true">
      <c r="A1806" s="33" t="str">
        <f t="shared" si="112"/>
        <v>GSM - Intercompany</v>
      </c>
      <c r="B1806" s="33" t="str">
        <f t="shared" si="113"/>
        <v>GSM</v>
      </c>
      <c r="C1806" s="33" t="str">
        <f t="shared" si="114"/>
        <v>11302-0000</v>
      </c>
      <c r="D1806" t="s">
        <v>20452</v>
      </c>
      <c r="E1806" t="s">
        <v>13226</v>
      </c>
      <c r="F1806" t="s">
        <v>14039</v>
      </c>
      <c r="G1806" t="s">
        <v>14672</v>
      </c>
      <c r="H1806" t="s">
        <v>13869</v>
      </c>
      <c r="I1806" t="s">
        <v>14690</v>
      </c>
      <c r="J1806" s="62">
        <v>0</v>
      </c>
      <c r="K1806" s="62">
        <v>0</v>
      </c>
      <c r="L1806" t="str">
        <f>VLOOKUP(VALUE(LEFT(C1806,5)),Xref!A:B,2,0)</f>
        <v>CHA</v>
      </c>
      <c r="M1806" t="str">
        <f t="shared" si="115"/>
        <v>CHA-GSM</v>
      </c>
    </row>
    <row r="1807" spans="1:13" ht="14.25" customHeight="true">
      <c r="A1807" s="33" t="str">
        <f t="shared" si="112"/>
        <v>GSM - Intercompany</v>
      </c>
      <c r="B1807" s="33" t="str">
        <f t="shared" si="113"/>
        <v>GSM</v>
      </c>
      <c r="C1807" s="33" t="str">
        <f t="shared" si="114"/>
        <v>11303-0000</v>
      </c>
      <c r="D1807" t="s">
        <v>20453</v>
      </c>
      <c r="E1807" t="s">
        <v>13227</v>
      </c>
      <c r="F1807" t="s">
        <v>14039</v>
      </c>
      <c r="G1807" t="s">
        <v>14672</v>
      </c>
      <c r="H1807" t="s">
        <v>13869</v>
      </c>
      <c r="I1807" t="s">
        <v>14690</v>
      </c>
      <c r="J1807" s="62">
        <v>0</v>
      </c>
      <c r="K1807" s="62">
        <v>0</v>
      </c>
      <c r="L1807" t="str">
        <f>VLOOKUP(VALUE(LEFT(C1807,5)),Xref!A:B,2,0)</f>
        <v>DIA</v>
      </c>
      <c r="M1807" t="str">
        <f t="shared" si="115"/>
        <v>DIA-GSM</v>
      </c>
    </row>
    <row r="1808" spans="1:13" ht="14.25" customHeight="true">
      <c r="A1808" s="33" t="str">
        <f t="shared" si="112"/>
        <v>GSM - Intercompany</v>
      </c>
      <c r="B1808" s="33" t="str">
        <f t="shared" si="113"/>
        <v>GSM</v>
      </c>
      <c r="C1808" s="33" t="str">
        <f t="shared" si="114"/>
        <v>11304-0000</v>
      </c>
      <c r="D1808" t="s">
        <v>20454</v>
      </c>
      <c r="E1808" t="s">
        <v>13228</v>
      </c>
      <c r="F1808" t="s">
        <v>14039</v>
      </c>
      <c r="G1808" t="s">
        <v>14672</v>
      </c>
      <c r="H1808" t="s">
        <v>13869</v>
      </c>
      <c r="I1808" t="s">
        <v>14690</v>
      </c>
      <c r="J1808" s="62">
        <v>0</v>
      </c>
      <c r="K1808" s="62">
        <v>0</v>
      </c>
      <c r="L1808" t="str">
        <f>VLOOKUP(VALUE(LEFT(C1808,5)),Xref!A:B,2,0)</f>
        <v>EAG</v>
      </c>
      <c r="M1808" t="str">
        <f t="shared" si="115"/>
        <v>EAG-GSM</v>
      </c>
    </row>
    <row r="1809" spans="1:13" ht="14.25" customHeight="true">
      <c r="A1809" s="33" t="str">
        <f t="shared" si="112"/>
        <v>GSM - Intercompany</v>
      </c>
      <c r="B1809" s="33" t="str">
        <f t="shared" si="113"/>
        <v>GSM</v>
      </c>
      <c r="C1809" s="33" t="str">
        <f t="shared" si="114"/>
        <v>11305-0000</v>
      </c>
      <c r="D1809" t="s">
        <v>20455</v>
      </c>
      <c r="E1809" t="s">
        <v>13229</v>
      </c>
      <c r="F1809" t="s">
        <v>14039</v>
      </c>
      <c r="G1809" t="s">
        <v>14672</v>
      </c>
      <c r="H1809" t="s">
        <v>13869</v>
      </c>
      <c r="I1809" t="s">
        <v>14690</v>
      </c>
      <c r="J1809" s="62">
        <v>0</v>
      </c>
      <c r="K1809" s="62">
        <v>0</v>
      </c>
      <c r="L1809" t="str">
        <f>VLOOKUP(VALUE(LEFT(C1809,5)),Xref!A:B,2,0)</f>
        <v>NEW</v>
      </c>
      <c r="M1809" t="str">
        <f t="shared" si="115"/>
        <v>GSM-NEW</v>
      </c>
    </row>
    <row r="1810" spans="1:13" ht="14.25" customHeight="true">
      <c r="A1810" s="33" t="str">
        <f t="shared" si="112"/>
        <v>GSM - Intercompany</v>
      </c>
      <c r="B1810" s="33" t="str">
        <f t="shared" si="113"/>
        <v>GSM</v>
      </c>
      <c r="C1810" s="33" t="str">
        <f t="shared" si="114"/>
        <v>11307-0000</v>
      </c>
      <c r="D1810" t="s">
        <v>20456</v>
      </c>
      <c r="E1810" t="s">
        <v>14096</v>
      </c>
      <c r="F1810" t="s">
        <v>14039</v>
      </c>
      <c r="G1810" t="s">
        <v>14672</v>
      </c>
      <c r="H1810" t="s">
        <v>13869</v>
      </c>
      <c r="I1810" t="s">
        <v>14690</v>
      </c>
      <c r="J1810" s="62">
        <v>0</v>
      </c>
      <c r="K1810" s="62">
        <v>0</v>
      </c>
      <c r="L1810" t="str">
        <f>VLOOKUP(VALUE(LEFT(C1810,5)),Xref!A:B,2,0)</f>
        <v>NES</v>
      </c>
      <c r="M1810" t="str">
        <f t="shared" si="115"/>
        <v>GSM-NES</v>
      </c>
    </row>
    <row r="1811" spans="1:13" ht="14.25" customHeight="true">
      <c r="A1811" s="33" t="str">
        <f t="shared" si="112"/>
        <v>GSM - Intercompany</v>
      </c>
      <c r="B1811" s="33" t="str">
        <f t="shared" si="113"/>
        <v>GSM</v>
      </c>
      <c r="C1811" s="33" t="str">
        <f t="shared" si="114"/>
        <v>11308-0000</v>
      </c>
      <c r="D1811" t="s">
        <v>20457</v>
      </c>
      <c r="E1811" t="s">
        <v>13476</v>
      </c>
      <c r="F1811" t="s">
        <v>14039</v>
      </c>
      <c r="G1811" t="s">
        <v>14672</v>
      </c>
      <c r="H1811" t="s">
        <v>13869</v>
      </c>
      <c r="I1811" t="s">
        <v>14690</v>
      </c>
      <c r="J1811" s="62">
        <v>0</v>
      </c>
      <c r="K1811" s="62">
        <v>0</v>
      </c>
      <c r="L1811" t="str">
        <f>VLOOKUP(VALUE(LEFT(C1811,5)),Xref!A:B,2,0)</f>
        <v>LPI</v>
      </c>
      <c r="M1811" t="str">
        <f t="shared" si="115"/>
        <v>GSM-LPI</v>
      </c>
    </row>
    <row r="1812" spans="1:13" ht="14.25" customHeight="true">
      <c r="A1812" s="33" t="str">
        <f t="shared" si="112"/>
        <v>GSM - Intercompany</v>
      </c>
      <c r="B1812" s="33" t="str">
        <f t="shared" si="113"/>
        <v>GSM</v>
      </c>
      <c r="C1812" s="33" t="str">
        <f t="shared" si="114"/>
        <v>11309-0000</v>
      </c>
      <c r="D1812" t="s">
        <v>20458</v>
      </c>
      <c r="E1812" t="s">
        <v>13230</v>
      </c>
      <c r="F1812" t="s">
        <v>14039</v>
      </c>
      <c r="G1812" t="s">
        <v>14672</v>
      </c>
      <c r="H1812" t="s">
        <v>13869</v>
      </c>
      <c r="I1812" t="s">
        <v>14690</v>
      </c>
      <c r="J1812" s="62">
        <v>0</v>
      </c>
      <c r="K1812" s="62">
        <v>0</v>
      </c>
      <c r="L1812" t="str">
        <f>VLOOKUP(VALUE(LEFT(C1812,5)),Xref!A:B,2,0)</f>
        <v>GPI</v>
      </c>
      <c r="M1812" t="str">
        <f t="shared" si="115"/>
        <v>GPI-GSM</v>
      </c>
    </row>
    <row r="1813" spans="1:13" ht="14.25" customHeight="true">
      <c r="A1813" s="33" t="str">
        <f t="shared" si="112"/>
        <v>GSM - Intercompany</v>
      </c>
      <c r="B1813" s="33" t="str">
        <f t="shared" si="113"/>
        <v>GSM</v>
      </c>
      <c r="C1813" s="33" t="str">
        <f t="shared" si="114"/>
        <v>11310-0000</v>
      </c>
      <c r="D1813" t="s">
        <v>20459</v>
      </c>
      <c r="E1813" t="s">
        <v>13231</v>
      </c>
      <c r="F1813" t="s">
        <v>14039</v>
      </c>
      <c r="G1813" t="s">
        <v>14672</v>
      </c>
      <c r="H1813" t="s">
        <v>13869</v>
      </c>
      <c r="I1813" t="s">
        <v>14690</v>
      </c>
      <c r="J1813" s="62">
        <v>0</v>
      </c>
      <c r="K1813" s="62">
        <v>0</v>
      </c>
      <c r="L1813" t="str">
        <f>VLOOKUP(VALUE(LEFT(C1813,5)),Xref!A:B,2,0)</f>
        <v>ALP</v>
      </c>
      <c r="M1813" t="str">
        <f t="shared" si="115"/>
        <v>ALP-GSM</v>
      </c>
    </row>
    <row r="1814" spans="1:13" ht="14.25" customHeight="true">
      <c r="A1814" s="33" t="str">
        <f t="shared" si="112"/>
        <v>GSM - Intercompany</v>
      </c>
      <c r="B1814" s="33" t="str">
        <f t="shared" si="113"/>
        <v>GSM</v>
      </c>
      <c r="C1814" s="33" t="str">
        <f t="shared" si="114"/>
        <v>11311-0000</v>
      </c>
      <c r="D1814" t="s">
        <v>20460</v>
      </c>
      <c r="E1814" t="s">
        <v>13232</v>
      </c>
      <c r="F1814" t="s">
        <v>14039</v>
      </c>
      <c r="G1814" t="s">
        <v>14672</v>
      </c>
      <c r="H1814" t="s">
        <v>13869</v>
      </c>
      <c r="I1814" t="s">
        <v>14690</v>
      </c>
      <c r="J1814" s="62">
        <v>0</v>
      </c>
      <c r="K1814" s="62">
        <v>0</v>
      </c>
      <c r="L1814" t="str">
        <f>VLOOKUP(VALUE(LEFT(C1814,5)),Xref!A:B,2,0)</f>
        <v>BET</v>
      </c>
      <c r="M1814" t="str">
        <f t="shared" si="115"/>
        <v>BET-GSM</v>
      </c>
    </row>
    <row r="1815" spans="1:13" ht="14.25" customHeight="true">
      <c r="A1815" s="33" t="str">
        <f t="shared" si="112"/>
        <v>GSM - Intercompany</v>
      </c>
      <c r="B1815" s="33" t="str">
        <f t="shared" si="113"/>
        <v>GSM</v>
      </c>
      <c r="C1815" s="33" t="str">
        <f t="shared" si="114"/>
        <v>11312-0000</v>
      </c>
      <c r="D1815" t="s">
        <v>20461</v>
      </c>
      <c r="E1815" t="s">
        <v>14102</v>
      </c>
      <c r="F1815" t="s">
        <v>14039</v>
      </c>
      <c r="G1815" t="s">
        <v>14672</v>
      </c>
      <c r="H1815" t="s">
        <v>13869</v>
      </c>
      <c r="I1815" t="s">
        <v>14690</v>
      </c>
      <c r="J1815" s="62">
        <v>0</v>
      </c>
      <c r="K1815" s="62">
        <v>0</v>
      </c>
      <c r="L1815" t="str">
        <f>VLOOKUP(VALUE(LEFT(C1815,5)),Xref!A:B,2,0)</f>
        <v>DEL</v>
      </c>
      <c r="M1815" t="str">
        <f t="shared" si="115"/>
        <v>DEL-GSM</v>
      </c>
    </row>
    <row r="1816" spans="1:13" ht="14.25" customHeight="true">
      <c r="A1816" s="33" t="str">
        <f t="shared" si="112"/>
        <v>GSM - Intercompany</v>
      </c>
      <c r="B1816" s="33" t="str">
        <f t="shared" si="113"/>
        <v>GSM</v>
      </c>
      <c r="C1816" s="33" t="str">
        <f t="shared" si="114"/>
        <v>11313-0000</v>
      </c>
      <c r="D1816" t="s">
        <v>20462</v>
      </c>
      <c r="E1816" t="s">
        <v>13233</v>
      </c>
      <c r="F1816" t="s">
        <v>14039</v>
      </c>
      <c r="G1816" t="s">
        <v>14672</v>
      </c>
      <c r="H1816" t="s">
        <v>13869</v>
      </c>
      <c r="I1816" t="s">
        <v>14690</v>
      </c>
      <c r="J1816" s="62">
        <v>0</v>
      </c>
      <c r="K1816" s="62">
        <v>0</v>
      </c>
      <c r="L1816" t="str">
        <f>VLOOKUP(VALUE(LEFT(C1816,5)),Xref!A:B,2,0)</f>
        <v>DOL</v>
      </c>
      <c r="M1816" t="str">
        <f t="shared" si="115"/>
        <v>DOL-GSM</v>
      </c>
    </row>
    <row r="1817" spans="1:13" ht="14.25" customHeight="true">
      <c r="A1817" s="33" t="str">
        <f t="shared" si="112"/>
        <v>GSM - Intercompany</v>
      </c>
      <c r="B1817" s="33" t="str">
        <f t="shared" si="113"/>
        <v>GSM</v>
      </c>
      <c r="C1817" s="33" t="str">
        <f t="shared" si="114"/>
        <v>11314-0000</v>
      </c>
      <c r="D1817" t="s">
        <v>20463</v>
      </c>
      <c r="E1817" t="s">
        <v>13351</v>
      </c>
      <c r="F1817" t="s">
        <v>14039</v>
      </c>
      <c r="G1817" t="s">
        <v>14672</v>
      </c>
      <c r="H1817" t="s">
        <v>13869</v>
      </c>
      <c r="I1817" t="s">
        <v>14690</v>
      </c>
      <c r="J1817" s="62">
        <v>0</v>
      </c>
      <c r="K1817" s="62">
        <v>0</v>
      </c>
      <c r="L1817" t="str">
        <f>VLOOKUP(VALUE(LEFT(C1817,5)),Xref!A:B,2,0)</f>
        <v>GRI</v>
      </c>
      <c r="M1817" t="str">
        <f t="shared" si="115"/>
        <v>GRI-GSM</v>
      </c>
    </row>
    <row r="1818" spans="1:13" ht="14.25" customHeight="true">
      <c r="A1818" s="33" t="str">
        <f t="shared" si="112"/>
        <v>GSM - Intercompany</v>
      </c>
      <c r="B1818" s="33" t="str">
        <f t="shared" si="113"/>
        <v>GSM</v>
      </c>
      <c r="C1818" s="33" t="str">
        <f t="shared" si="114"/>
        <v>11315-0000</v>
      </c>
      <c r="D1818" t="s">
        <v>20464</v>
      </c>
      <c r="E1818" t="s">
        <v>13234</v>
      </c>
      <c r="F1818" t="s">
        <v>14039</v>
      </c>
      <c r="G1818" t="s">
        <v>14672</v>
      </c>
      <c r="H1818" t="s">
        <v>13869</v>
      </c>
      <c r="I1818" t="s">
        <v>14690</v>
      </c>
      <c r="J1818" s="62">
        <v>0</v>
      </c>
      <c r="K1818" s="62">
        <v>0</v>
      </c>
      <c r="L1818" t="str">
        <f>VLOOKUP(VALUE(LEFT(C1818,5)),Xref!A:B,2,0)</f>
        <v>PUR</v>
      </c>
      <c r="M1818" t="str">
        <f t="shared" si="115"/>
        <v>GSM-PUR</v>
      </c>
    </row>
    <row r="1819" spans="1:13" ht="14.25" customHeight="true">
      <c r="A1819" s="33" t="str">
        <f t="shared" si="112"/>
        <v>GSM - Intercompany</v>
      </c>
      <c r="B1819" s="33" t="str">
        <f t="shared" si="113"/>
        <v>GSM</v>
      </c>
      <c r="C1819" s="33" t="str">
        <f t="shared" si="114"/>
        <v>11316-0000</v>
      </c>
      <c r="D1819" t="s">
        <v>20465</v>
      </c>
      <c r="E1819" t="s">
        <v>13235</v>
      </c>
      <c r="F1819" t="s">
        <v>14039</v>
      </c>
      <c r="G1819" t="s">
        <v>14672</v>
      </c>
      <c r="H1819" t="s">
        <v>13869</v>
      </c>
      <c r="I1819" t="s">
        <v>14690</v>
      </c>
      <c r="J1819" s="62">
        <v>0</v>
      </c>
      <c r="K1819" s="62">
        <v>0</v>
      </c>
      <c r="L1819" t="str">
        <f>VLOOKUP(VALUE(LEFT(C1819,5)),Xref!A:B,2,0)</f>
        <v>VAL</v>
      </c>
      <c r="M1819" t="str">
        <f t="shared" si="115"/>
        <v>GSM-VAL</v>
      </c>
    </row>
    <row r="1820" spans="1:13" ht="14.25" customHeight="true">
      <c r="A1820" s="33" t="str">
        <f t="shared" si="112"/>
        <v>GSM - Intercompany</v>
      </c>
      <c r="B1820" s="33" t="str">
        <f t="shared" si="113"/>
        <v>GSM</v>
      </c>
      <c r="C1820" s="33" t="str">
        <f t="shared" si="114"/>
        <v>11317-0000</v>
      </c>
      <c r="D1820" t="s">
        <v>20466</v>
      </c>
      <c r="E1820" t="s">
        <v>13352</v>
      </c>
      <c r="F1820" t="s">
        <v>14039</v>
      </c>
      <c r="G1820" t="s">
        <v>14672</v>
      </c>
      <c r="H1820" t="s">
        <v>13869</v>
      </c>
      <c r="I1820" t="s">
        <v>14690</v>
      </c>
      <c r="J1820" s="62">
        <v>0</v>
      </c>
      <c r="K1820" s="62">
        <v>0</v>
      </c>
      <c r="L1820" t="str">
        <f>VLOOKUP(VALUE(LEFT(C1820,5)),Xref!A:B,2,0)</f>
        <v>AKG</v>
      </c>
      <c r="M1820" t="str">
        <f t="shared" si="115"/>
        <v>AKG-GSM</v>
      </c>
    </row>
    <row r="1821" spans="1:13" ht="14.25" customHeight="true">
      <c r="A1821" s="33" t="str">
        <f t="shared" si="112"/>
        <v>GSM - Intercompany</v>
      </c>
      <c r="B1821" s="33" t="str">
        <f t="shared" si="113"/>
        <v>GSM</v>
      </c>
      <c r="C1821" s="33" t="str">
        <f t="shared" si="114"/>
        <v>11318-0000</v>
      </c>
      <c r="D1821" t="s">
        <v>20467</v>
      </c>
      <c r="E1821" t="s">
        <v>13477</v>
      </c>
      <c r="F1821" t="s">
        <v>14039</v>
      </c>
      <c r="G1821" t="s">
        <v>14672</v>
      </c>
      <c r="H1821" t="s">
        <v>13869</v>
      </c>
      <c r="I1821" t="s">
        <v>14690</v>
      </c>
      <c r="J1821" s="62">
        <v>0</v>
      </c>
      <c r="K1821" s="62">
        <v>0</v>
      </c>
      <c r="L1821" t="str">
        <f>VLOOKUP(VALUE(LEFT(C1821,5)),Xref!A:B,2,0)</f>
        <v>FIR</v>
      </c>
      <c r="M1821" t="str">
        <f t="shared" si="115"/>
        <v>FIR-GSM</v>
      </c>
    </row>
    <row r="1822" spans="1:13" ht="14.25" customHeight="true">
      <c r="A1822" s="33" t="str">
        <f t="shared" si="112"/>
        <v>GSM - Intercompany</v>
      </c>
      <c r="B1822" s="33" t="str">
        <f t="shared" si="113"/>
        <v>GSM</v>
      </c>
      <c r="C1822" s="33" t="str">
        <f t="shared" si="114"/>
        <v>11319-0000</v>
      </c>
      <c r="D1822" t="s">
        <v>6222</v>
      </c>
      <c r="E1822" t="s">
        <v>266</v>
      </c>
      <c r="F1822" t="s">
        <v>14039</v>
      </c>
      <c r="G1822" t="s">
        <v>14672</v>
      </c>
      <c r="H1822" t="s">
        <v>13869</v>
      </c>
      <c r="I1822" t="s">
        <v>14690</v>
      </c>
      <c r="J1822" s="62">
        <v>0</v>
      </c>
      <c r="K1822" s="62">
        <v>-1886004.3</v>
      </c>
      <c r="L1822" t="str">
        <f>VLOOKUP(VALUE(LEFT(C1822,5)),Xref!A:B,2,0)</f>
        <v>GST</v>
      </c>
      <c r="M1822" t="str">
        <f t="shared" si="115"/>
        <v>GSM-GST</v>
      </c>
    </row>
    <row r="1823" spans="1:13" ht="14.25" customHeight="true">
      <c r="A1823" s="33" t="str">
        <f t="shared" si="112"/>
        <v>GSM - Intercompany</v>
      </c>
      <c r="B1823" s="33" t="str">
        <f t="shared" si="113"/>
        <v>GSM</v>
      </c>
      <c r="C1823" s="33" t="str">
        <f t="shared" si="114"/>
        <v>11320-0000</v>
      </c>
      <c r="D1823" t="s">
        <v>20468</v>
      </c>
      <c r="E1823" t="s">
        <v>14111</v>
      </c>
      <c r="F1823" t="s">
        <v>14039</v>
      </c>
      <c r="G1823" t="s">
        <v>14672</v>
      </c>
      <c r="H1823" t="s">
        <v>13869</v>
      </c>
      <c r="I1823" t="s">
        <v>14690</v>
      </c>
      <c r="J1823" s="62">
        <v>0</v>
      </c>
      <c r="K1823" s="62">
        <v>0</v>
      </c>
      <c r="L1823" t="str">
        <f>VLOOKUP(VALUE(LEFT(C1823,5)),Xref!A:B,2,0)</f>
        <v>HDN</v>
      </c>
      <c r="M1823" t="str">
        <f t="shared" si="115"/>
        <v>GSM-HDN</v>
      </c>
    </row>
    <row r="1824" spans="1:13" ht="14.25" customHeight="true">
      <c r="A1824" s="33" t="str">
        <f t="shared" si="112"/>
        <v>GSM - Intercompany</v>
      </c>
      <c r="B1824" s="33" t="str">
        <f t="shared" si="113"/>
        <v>GSM</v>
      </c>
      <c r="C1824" s="33" t="str">
        <f t="shared" si="114"/>
        <v>11321-0000</v>
      </c>
      <c r="D1824" t="s">
        <v>20469</v>
      </c>
      <c r="E1824" t="s">
        <v>13236</v>
      </c>
      <c r="F1824" t="s">
        <v>14039</v>
      </c>
      <c r="G1824" t="s">
        <v>14672</v>
      </c>
      <c r="H1824" t="s">
        <v>13869</v>
      </c>
      <c r="I1824" t="s">
        <v>14690</v>
      </c>
      <c r="J1824" s="62">
        <v>0</v>
      </c>
      <c r="K1824" s="62">
        <v>0</v>
      </c>
      <c r="L1824" t="str">
        <f>VLOOKUP(VALUE(LEFT(C1824,5)),Xref!A:B,2,0)</f>
        <v>OVA</v>
      </c>
      <c r="M1824" t="str">
        <f t="shared" si="115"/>
        <v>GSM-OVA</v>
      </c>
    </row>
    <row r="1825" spans="1:13" ht="14.25" customHeight="true">
      <c r="A1825" s="33" t="str">
        <f t="shared" si="112"/>
        <v>GSM - Intercompany</v>
      </c>
      <c r="B1825" s="33" t="str">
        <f t="shared" si="113"/>
        <v>GSM</v>
      </c>
      <c r="C1825" s="33" t="str">
        <f t="shared" si="114"/>
        <v>11322-0000</v>
      </c>
      <c r="D1825" t="s">
        <v>20470</v>
      </c>
      <c r="E1825" t="s">
        <v>13237</v>
      </c>
      <c r="F1825" t="s">
        <v>14039</v>
      </c>
      <c r="G1825" t="s">
        <v>14672</v>
      </c>
      <c r="H1825" t="s">
        <v>13869</v>
      </c>
      <c r="I1825" t="s">
        <v>14690</v>
      </c>
      <c r="J1825" s="62">
        <v>0</v>
      </c>
      <c r="K1825" s="62">
        <v>0</v>
      </c>
      <c r="L1825" t="str">
        <f>VLOOKUP(VALUE(LEFT(C1825,5)),Xref!A:B,2,0)</f>
        <v>WOO</v>
      </c>
      <c r="M1825" t="str">
        <f t="shared" si="115"/>
        <v>GSM-WOO</v>
      </c>
    </row>
    <row r="1826" spans="1:13" ht="14.25" customHeight="true">
      <c r="A1826" s="33" t="str">
        <f t="shared" si="112"/>
        <v>GSM - Intercompany</v>
      </c>
      <c r="B1826" s="33" t="str">
        <f t="shared" si="113"/>
        <v>GSM</v>
      </c>
      <c r="C1826" s="33" t="str">
        <f t="shared" si="114"/>
        <v>11323-0000</v>
      </c>
      <c r="D1826" t="s">
        <v>20471</v>
      </c>
      <c r="E1826" t="s">
        <v>13478</v>
      </c>
      <c r="F1826" t="s">
        <v>14039</v>
      </c>
      <c r="G1826" t="s">
        <v>14672</v>
      </c>
      <c r="H1826" t="s">
        <v>13869</v>
      </c>
      <c r="I1826" t="s">
        <v>14690</v>
      </c>
      <c r="J1826" s="62">
        <v>0</v>
      </c>
      <c r="K1826" s="62">
        <v>0</v>
      </c>
      <c r="L1826" t="str">
        <f>VLOOKUP(VALUE(LEFT(C1826,5)),Xref!A:B,2,0)</f>
        <v>SPI</v>
      </c>
      <c r="M1826" t="str">
        <f t="shared" si="115"/>
        <v>GSM-SPI</v>
      </c>
    </row>
    <row r="1827" spans="1:13" ht="14.25" customHeight="true">
      <c r="A1827" s="33" t="str">
        <f t="shared" si="112"/>
        <v>GSM - Intercompany</v>
      </c>
      <c r="B1827" s="33" t="str">
        <f t="shared" si="113"/>
        <v>GSM</v>
      </c>
      <c r="C1827" s="33" t="str">
        <f t="shared" si="114"/>
        <v>11324-0000</v>
      </c>
      <c r="D1827" t="s">
        <v>20472</v>
      </c>
      <c r="E1827" t="s">
        <v>13238</v>
      </c>
      <c r="F1827" t="s">
        <v>14039</v>
      </c>
      <c r="G1827" t="s">
        <v>14672</v>
      </c>
      <c r="H1827" t="s">
        <v>13869</v>
      </c>
      <c r="I1827" t="s">
        <v>14690</v>
      </c>
      <c r="J1827" s="62">
        <v>0</v>
      </c>
      <c r="K1827" s="62">
        <v>0</v>
      </c>
      <c r="L1827" t="str">
        <f>VLOOKUP(VALUE(LEFT(C1827,5)),Xref!A:B,2,0)</f>
        <v>NET</v>
      </c>
      <c r="M1827" t="str">
        <f t="shared" si="115"/>
        <v>GSM-NET</v>
      </c>
    </row>
    <row r="1828" spans="1:13" ht="14.25" customHeight="true">
      <c r="A1828" s="33" t="str">
        <f t="shared" si="112"/>
        <v>GSM - Intercompany</v>
      </c>
      <c r="B1828" s="33" t="str">
        <f t="shared" si="113"/>
        <v>GSM</v>
      </c>
      <c r="C1828" s="33" t="str">
        <f t="shared" si="114"/>
        <v>11325-0000</v>
      </c>
      <c r="D1828" t="s">
        <v>20473</v>
      </c>
      <c r="E1828" t="s">
        <v>13239</v>
      </c>
      <c r="F1828" t="s">
        <v>14039</v>
      </c>
      <c r="G1828" t="s">
        <v>14672</v>
      </c>
      <c r="H1828" t="s">
        <v>13869</v>
      </c>
      <c r="I1828" t="s">
        <v>14690</v>
      </c>
      <c r="J1828" s="62">
        <v>0</v>
      </c>
      <c r="K1828" s="62">
        <v>0</v>
      </c>
      <c r="L1828" t="str">
        <f>VLOOKUP(VALUE(LEFT(C1828,5)),Xref!A:B,2,0)</f>
        <v>DPI</v>
      </c>
      <c r="M1828" t="str">
        <f t="shared" si="115"/>
        <v>DPI-GSM</v>
      </c>
    </row>
    <row r="1829" spans="1:13" ht="14.25" customHeight="true">
      <c r="A1829" s="33" t="str">
        <f t="shared" si="112"/>
        <v>GSM - Intercompany</v>
      </c>
      <c r="B1829" s="33" t="str">
        <f t="shared" si="113"/>
        <v>GSM</v>
      </c>
      <c r="C1829" s="33" t="str">
        <f t="shared" si="114"/>
        <v>11326-0000</v>
      </c>
      <c r="D1829" t="s">
        <v>20474</v>
      </c>
      <c r="E1829" t="s">
        <v>13240</v>
      </c>
      <c r="F1829" t="s">
        <v>14039</v>
      </c>
      <c r="G1829" t="s">
        <v>14672</v>
      </c>
      <c r="H1829" t="s">
        <v>13869</v>
      </c>
      <c r="I1829" t="s">
        <v>14690</v>
      </c>
      <c r="J1829" s="62">
        <v>0</v>
      </c>
      <c r="K1829" s="62">
        <v>0</v>
      </c>
      <c r="L1829" t="str">
        <f>VLOOKUP(VALUE(LEFT(C1829,5)),Xref!A:B,2,0)</f>
        <v>SEK</v>
      </c>
      <c r="M1829" t="str">
        <f t="shared" si="115"/>
        <v>GSM-SEK</v>
      </c>
    </row>
    <row r="1830" spans="1:13" ht="14.25" customHeight="true">
      <c r="A1830" s="33" t="str">
        <f t="shared" si="112"/>
        <v>GSM - Intercompany</v>
      </c>
      <c r="B1830" s="33" t="str">
        <f t="shared" si="113"/>
        <v>GSM</v>
      </c>
      <c r="C1830" s="33" t="str">
        <f t="shared" si="114"/>
        <v>11327-0000</v>
      </c>
      <c r="D1830" t="s">
        <v>20475</v>
      </c>
      <c r="E1830" t="s">
        <v>14119</v>
      </c>
      <c r="F1830" t="s">
        <v>14039</v>
      </c>
      <c r="G1830" t="s">
        <v>14672</v>
      </c>
      <c r="H1830" t="s">
        <v>13869</v>
      </c>
      <c r="I1830" t="s">
        <v>14690</v>
      </c>
      <c r="J1830" s="62">
        <v>0</v>
      </c>
      <c r="K1830" s="62">
        <v>0</v>
      </c>
      <c r="L1830" t="str">
        <f>VLOOKUP(VALUE(LEFT(C1830,5)),Xref!A:B,2,0)</f>
        <v>CPI</v>
      </c>
      <c r="M1830" t="str">
        <f t="shared" si="115"/>
        <v>CPI-GSM</v>
      </c>
    </row>
    <row r="1831" spans="1:13" ht="14.25" customHeight="true">
      <c r="A1831" s="33" t="str">
        <f t="shared" si="112"/>
        <v>GSM - Intercompany</v>
      </c>
      <c r="B1831" s="33" t="str">
        <f t="shared" si="113"/>
        <v>GSM</v>
      </c>
      <c r="C1831" s="33" t="str">
        <f t="shared" si="114"/>
        <v>11328-0000</v>
      </c>
      <c r="D1831" t="s">
        <v>20476</v>
      </c>
      <c r="E1831" t="s">
        <v>13241</v>
      </c>
      <c r="F1831" t="s">
        <v>14039</v>
      </c>
      <c r="G1831" t="s">
        <v>14672</v>
      </c>
      <c r="H1831" t="s">
        <v>13869</v>
      </c>
      <c r="I1831" t="s">
        <v>14690</v>
      </c>
      <c r="J1831" s="62">
        <v>0</v>
      </c>
      <c r="K1831" s="62">
        <v>0</v>
      </c>
      <c r="L1831" t="str">
        <f>VLOOKUP(VALUE(LEFT(C1831,5)),Xref!A:B,2,0)</f>
        <v>LOM</v>
      </c>
      <c r="M1831" t="str">
        <f t="shared" si="115"/>
        <v>GSM-LOM</v>
      </c>
    </row>
    <row r="1832" spans="1:13" ht="14.25" customHeight="true">
      <c r="A1832" s="33" t="str">
        <f t="shared" si="112"/>
        <v>GSM - Intercompany</v>
      </c>
      <c r="B1832" s="33" t="str">
        <f t="shared" si="113"/>
        <v>GSM</v>
      </c>
      <c r="C1832" s="33" t="str">
        <f t="shared" si="114"/>
        <v>11329-0000</v>
      </c>
      <c r="D1832" t="s">
        <v>20477</v>
      </c>
      <c r="E1832" t="s">
        <v>13353</v>
      </c>
      <c r="F1832" t="s">
        <v>14039</v>
      </c>
      <c r="G1832" t="s">
        <v>14672</v>
      </c>
      <c r="H1832" t="s">
        <v>13869</v>
      </c>
      <c r="I1832" t="s">
        <v>14690</v>
      </c>
      <c r="J1832" s="62">
        <v>0</v>
      </c>
      <c r="K1832" s="62">
        <v>0</v>
      </c>
      <c r="L1832" t="str">
        <f>VLOOKUP(VALUE(LEFT(C1832,5)),Xref!A:B,2,0)</f>
        <v>AKS</v>
      </c>
      <c r="M1832" t="str">
        <f t="shared" si="115"/>
        <v>AKS-GSM</v>
      </c>
    </row>
    <row r="1833" spans="1:13" ht="14.25" customHeight="true">
      <c r="A1833" s="33" t="str">
        <f t="shared" si="112"/>
        <v>GSM - Intercompany</v>
      </c>
      <c r="B1833" s="33" t="str">
        <f t="shared" si="113"/>
        <v>GSM</v>
      </c>
      <c r="C1833" s="33" t="str">
        <f t="shared" si="114"/>
        <v>11330-0000</v>
      </c>
      <c r="D1833" t="s">
        <v>20478</v>
      </c>
      <c r="E1833" t="s">
        <v>13242</v>
      </c>
      <c r="F1833" t="s">
        <v>14039</v>
      </c>
      <c r="G1833" t="s">
        <v>14672</v>
      </c>
      <c r="H1833" t="s">
        <v>13869</v>
      </c>
      <c r="I1833" t="s">
        <v>14690</v>
      </c>
      <c r="J1833" s="62">
        <v>0</v>
      </c>
      <c r="K1833" s="62">
        <v>0</v>
      </c>
      <c r="L1833" t="str">
        <f>VLOOKUP(VALUE(LEFT(C1833,5)),Xref!A:B,2,0)</f>
        <v>MAR</v>
      </c>
      <c r="M1833" t="str">
        <f t="shared" si="115"/>
        <v>GSM-MAR</v>
      </c>
    </row>
    <row r="1834" spans="1:13" ht="14.25" customHeight="true">
      <c r="A1834" s="33" t="str">
        <f t="shared" si="112"/>
        <v>GSM - Intercompany</v>
      </c>
      <c r="B1834" s="33" t="str">
        <f t="shared" si="113"/>
        <v>GSM</v>
      </c>
      <c r="C1834" s="33" t="str">
        <f t="shared" si="114"/>
        <v>11331-0000</v>
      </c>
      <c r="D1834" t="s">
        <v>20479</v>
      </c>
      <c r="E1834" t="s">
        <v>13354</v>
      </c>
      <c r="F1834" t="s">
        <v>14039</v>
      </c>
      <c r="G1834" t="s">
        <v>14672</v>
      </c>
      <c r="H1834" t="s">
        <v>13869</v>
      </c>
      <c r="I1834" t="s">
        <v>14690</v>
      </c>
      <c r="J1834" s="62">
        <v>0</v>
      </c>
      <c r="K1834" s="62">
        <v>0</v>
      </c>
      <c r="L1834" t="str">
        <f>VLOOKUP(VALUE(LEFT(C1834,5)),Xref!A:B,2,0)</f>
        <v>WIL</v>
      </c>
      <c r="M1834" t="str">
        <f t="shared" si="115"/>
        <v>GSM-WIL</v>
      </c>
    </row>
    <row r="1835" spans="1:13" ht="14.25" customHeight="true">
      <c r="A1835" s="33" t="str">
        <f t="shared" si="112"/>
        <v>GSM - Intercompany</v>
      </c>
      <c r="B1835" s="33" t="str">
        <f t="shared" si="113"/>
        <v>GSM</v>
      </c>
      <c r="C1835" s="33" t="str">
        <f t="shared" si="114"/>
        <v>11332-0000</v>
      </c>
      <c r="D1835" t="s">
        <v>20480</v>
      </c>
      <c r="E1835" t="s">
        <v>13243</v>
      </c>
      <c r="F1835" t="s">
        <v>14039</v>
      </c>
      <c r="G1835" t="s">
        <v>14672</v>
      </c>
      <c r="H1835" t="s">
        <v>13869</v>
      </c>
      <c r="I1835" t="s">
        <v>14690</v>
      </c>
      <c r="J1835" s="62">
        <v>0</v>
      </c>
      <c r="K1835" s="62">
        <v>0</v>
      </c>
      <c r="L1835" t="str">
        <f>VLOOKUP(VALUE(LEFT(C1835,5)),Xref!A:B,2,0)</f>
        <v>STO</v>
      </c>
      <c r="M1835" t="str">
        <f t="shared" si="115"/>
        <v>GSM-STO</v>
      </c>
    </row>
    <row r="1836" spans="1:13" ht="14.25" customHeight="true">
      <c r="A1836" s="33" t="str">
        <f t="shared" si="112"/>
        <v>GSM - Intercompany</v>
      </c>
      <c r="B1836" s="33" t="str">
        <f t="shared" si="113"/>
        <v>GSM</v>
      </c>
      <c r="C1836" s="33" t="str">
        <f t="shared" si="114"/>
        <v>11333-0000</v>
      </c>
      <c r="D1836" t="s">
        <v>20481</v>
      </c>
      <c r="E1836" t="s">
        <v>13244</v>
      </c>
      <c r="F1836" t="s">
        <v>14039</v>
      </c>
      <c r="G1836" t="s">
        <v>14672</v>
      </c>
      <c r="H1836" t="s">
        <v>13869</v>
      </c>
      <c r="I1836" t="s">
        <v>14690</v>
      </c>
      <c r="J1836" s="62">
        <v>0</v>
      </c>
      <c r="K1836" s="62">
        <v>0</v>
      </c>
      <c r="L1836" t="str">
        <f>VLOOKUP(VALUE(LEFT(C1836,5)),Xref!A:B,2,0)</f>
        <v>ANG</v>
      </c>
      <c r="M1836" t="str">
        <f t="shared" si="115"/>
        <v>ANG-GSM</v>
      </c>
    </row>
    <row r="1837" spans="1:13" ht="14.25" customHeight="true">
      <c r="A1837" s="33" t="str">
        <f t="shared" si="112"/>
        <v>GSM - Intercompany</v>
      </c>
      <c r="B1837" s="33" t="str">
        <f t="shared" si="113"/>
        <v>GSM</v>
      </c>
      <c r="C1837" s="33" t="str">
        <f t="shared" si="114"/>
        <v>11334-0000</v>
      </c>
      <c r="D1837" t="s">
        <v>20482</v>
      </c>
      <c r="E1837" t="s">
        <v>13245</v>
      </c>
      <c r="F1837" t="s">
        <v>14039</v>
      </c>
      <c r="G1837" t="s">
        <v>14672</v>
      </c>
      <c r="H1837" t="s">
        <v>13869</v>
      </c>
      <c r="I1837" t="s">
        <v>14690</v>
      </c>
      <c r="J1837" s="62">
        <v>0</v>
      </c>
      <c r="K1837" s="62">
        <v>0</v>
      </c>
      <c r="L1837" t="str">
        <f>VLOOKUP(VALUE(LEFT(C1837,5)),Xref!A:B,2,0)</f>
        <v>BRU</v>
      </c>
      <c r="M1837" t="str">
        <f t="shared" si="115"/>
        <v>BRU-GSM</v>
      </c>
    </row>
    <row r="1838" spans="1:13" ht="14.25" customHeight="true">
      <c r="A1838" s="33" t="str">
        <f t="shared" si="112"/>
        <v>GSM - Intercompany</v>
      </c>
      <c r="B1838" s="33" t="str">
        <f t="shared" si="113"/>
        <v>GSM</v>
      </c>
      <c r="C1838" s="33" t="str">
        <f t="shared" si="114"/>
        <v>11335-0000</v>
      </c>
      <c r="D1838" t="s">
        <v>20483</v>
      </c>
      <c r="E1838" t="s">
        <v>13246</v>
      </c>
      <c r="F1838" t="s">
        <v>14039</v>
      </c>
      <c r="G1838" t="s">
        <v>14672</v>
      </c>
      <c r="H1838" t="s">
        <v>13869</v>
      </c>
      <c r="I1838" t="s">
        <v>14690</v>
      </c>
      <c r="J1838" s="62">
        <v>0</v>
      </c>
      <c r="K1838" s="62">
        <v>0</v>
      </c>
      <c r="L1838" t="str">
        <f>VLOOKUP(VALUE(LEFT(C1838,5)),Xref!A:B,2,0)</f>
        <v>VEN</v>
      </c>
      <c r="M1838" t="str">
        <f t="shared" si="115"/>
        <v>GSM-VEN</v>
      </c>
    </row>
    <row r="1839" spans="1:13" ht="14.25" customHeight="true">
      <c r="A1839" s="33" t="str">
        <f t="shared" si="112"/>
        <v>GSM - Intercompany</v>
      </c>
      <c r="B1839" s="33" t="str">
        <f t="shared" si="113"/>
        <v>GSM</v>
      </c>
      <c r="C1839" s="33" t="str">
        <f t="shared" si="114"/>
        <v>11336-0000</v>
      </c>
      <c r="D1839" t="s">
        <v>20484</v>
      </c>
      <c r="E1839" t="s">
        <v>13247</v>
      </c>
      <c r="F1839" t="s">
        <v>14039</v>
      </c>
      <c r="G1839" t="s">
        <v>14672</v>
      </c>
      <c r="H1839" t="s">
        <v>13869</v>
      </c>
      <c r="I1839" t="s">
        <v>14690</v>
      </c>
      <c r="J1839" s="62">
        <v>0</v>
      </c>
      <c r="K1839" s="62">
        <v>0</v>
      </c>
      <c r="L1839" t="str">
        <f>VLOOKUP(VALUE(LEFT(C1839,5)),Xref!A:B,2,0)</f>
        <v>SAT</v>
      </c>
      <c r="M1839" t="str">
        <f t="shared" si="115"/>
        <v>GSM-SAT</v>
      </c>
    </row>
    <row r="1840" spans="1:13" ht="14.25" customHeight="true">
      <c r="A1840" s="33" t="str">
        <f t="shared" si="112"/>
        <v>GSM - Intercompany</v>
      </c>
      <c r="B1840" s="33" t="str">
        <f t="shared" si="113"/>
        <v>GSM</v>
      </c>
      <c r="C1840" s="33" t="str">
        <f t="shared" si="114"/>
        <v>11337-0000</v>
      </c>
      <c r="D1840" t="s">
        <v>20485</v>
      </c>
      <c r="E1840" t="s">
        <v>13248</v>
      </c>
      <c r="F1840" t="s">
        <v>14039</v>
      </c>
      <c r="G1840" t="s">
        <v>14672</v>
      </c>
      <c r="H1840" t="s">
        <v>13869</v>
      </c>
      <c r="I1840" t="s">
        <v>14690</v>
      </c>
      <c r="J1840" s="62">
        <v>0</v>
      </c>
      <c r="K1840" s="62">
        <v>0</v>
      </c>
      <c r="L1840" t="str">
        <f>VLOOKUP(VALUE(LEFT(C1840,5)),Xref!A:B,2,0)</f>
        <v>NEP</v>
      </c>
      <c r="M1840" t="str">
        <f t="shared" si="115"/>
        <v>GSM-NEP</v>
      </c>
    </row>
    <row r="1841" spans="1:13" ht="14.25" customHeight="true">
      <c r="A1841" s="33" t="str">
        <f t="shared" si="112"/>
        <v>GSM - Intercompany</v>
      </c>
      <c r="B1841" s="33" t="str">
        <f t="shared" si="113"/>
        <v>GSM</v>
      </c>
      <c r="C1841" s="33" t="str">
        <f t="shared" si="114"/>
        <v>11338-0000</v>
      </c>
      <c r="D1841" t="s">
        <v>20486</v>
      </c>
      <c r="E1841" t="s">
        <v>14131</v>
      </c>
      <c r="F1841" t="s">
        <v>14039</v>
      </c>
      <c r="G1841" t="s">
        <v>14672</v>
      </c>
      <c r="H1841" t="s">
        <v>13869</v>
      </c>
      <c r="I1841" t="s">
        <v>14690</v>
      </c>
      <c r="J1841" s="62">
        <v>0</v>
      </c>
      <c r="K1841" s="62">
        <v>0</v>
      </c>
      <c r="L1841" t="str">
        <f>VLOOKUP(VALUE(LEFT(C1841,5)),Xref!A:B,2,0)</f>
        <v>JUP</v>
      </c>
      <c r="M1841" t="str">
        <f t="shared" si="115"/>
        <v>GSM-JUP</v>
      </c>
    </row>
    <row r="1842" spans="1:13" ht="14.25" customHeight="true">
      <c r="A1842" s="33" t="str">
        <f t="shared" si="112"/>
        <v>GSM - Intercompany</v>
      </c>
      <c r="B1842" s="33" t="str">
        <f t="shared" si="113"/>
        <v>GSM</v>
      </c>
      <c r="C1842" s="33" t="str">
        <f t="shared" si="114"/>
        <v>11339-0000</v>
      </c>
      <c r="D1842" t="s">
        <v>20487</v>
      </c>
      <c r="E1842" t="s">
        <v>14133</v>
      </c>
      <c r="F1842" t="s">
        <v>14039</v>
      </c>
      <c r="G1842" t="s">
        <v>14672</v>
      </c>
      <c r="H1842" t="s">
        <v>13869</v>
      </c>
      <c r="I1842" t="s">
        <v>14690</v>
      </c>
      <c r="J1842" s="62">
        <v>0</v>
      </c>
      <c r="K1842" s="62">
        <v>0</v>
      </c>
      <c r="L1842" t="str">
        <f>VLOOKUP(VALUE(LEFT(C1842,5)),Xref!A:B,2,0)</f>
        <v>WES</v>
      </c>
      <c r="M1842" t="str">
        <f t="shared" si="115"/>
        <v>GSM-WES</v>
      </c>
    </row>
    <row r="1843" spans="1:13" ht="14.25" customHeight="true">
      <c r="A1843" s="33" t="str">
        <f t="shared" si="112"/>
        <v>GSM - Intercompany</v>
      </c>
      <c r="B1843" s="33" t="str">
        <f t="shared" si="113"/>
        <v>GSM</v>
      </c>
      <c r="C1843" s="33" t="str">
        <f t="shared" si="114"/>
        <v>11340-0000</v>
      </c>
      <c r="D1843" t="s">
        <v>20488</v>
      </c>
      <c r="E1843" t="s">
        <v>14135</v>
      </c>
      <c r="F1843" t="s">
        <v>14039</v>
      </c>
      <c r="G1843" t="s">
        <v>14672</v>
      </c>
      <c r="H1843" t="s">
        <v>13869</v>
      </c>
      <c r="I1843" t="s">
        <v>14690</v>
      </c>
      <c r="J1843" s="62">
        <v>0</v>
      </c>
      <c r="K1843" s="62">
        <v>0</v>
      </c>
      <c r="L1843" t="str">
        <f>VLOOKUP(VALUE(LEFT(C1843,5)),Xref!A:B,2,0)</f>
        <v>LCP</v>
      </c>
      <c r="M1843" t="str">
        <f t="shared" si="115"/>
        <v>GSM-LCP</v>
      </c>
    </row>
    <row r="1844" spans="1:13" ht="14.25" customHeight="true">
      <c r="A1844" s="33" t="str">
        <f t="shared" si="112"/>
        <v>GSM - Intercompany</v>
      </c>
      <c r="B1844" s="33" t="str">
        <f t="shared" si="113"/>
        <v>GSM</v>
      </c>
      <c r="C1844" s="33" t="str">
        <f t="shared" si="114"/>
        <v>11341-0000</v>
      </c>
      <c r="D1844" t="s">
        <v>20489</v>
      </c>
      <c r="E1844" t="s">
        <v>13639</v>
      </c>
      <c r="F1844" t="s">
        <v>14039</v>
      </c>
      <c r="G1844" t="s">
        <v>14672</v>
      </c>
      <c r="H1844" t="s">
        <v>13869</v>
      </c>
      <c r="I1844" t="s">
        <v>14690</v>
      </c>
      <c r="J1844" s="62">
        <v>0</v>
      </c>
      <c r="K1844" s="62">
        <v>0</v>
      </c>
      <c r="L1844" t="str">
        <f>VLOOKUP(VALUE(LEFT(C1844,5)),Xref!A:B,2,0)</f>
        <v>NOR</v>
      </c>
      <c r="M1844" t="str">
        <f t="shared" si="115"/>
        <v>GSM-NOR</v>
      </c>
    </row>
    <row r="1845" spans="1:13" ht="14.25" customHeight="true">
      <c r="A1845" s="33" t="str">
        <f t="shared" si="112"/>
        <v>GSM - Intercompany</v>
      </c>
      <c r="B1845" s="33" t="str">
        <f t="shared" si="113"/>
        <v>GSM</v>
      </c>
      <c r="C1845" s="33" t="str">
        <f t="shared" si="114"/>
        <v>11342-0000</v>
      </c>
      <c r="D1845" t="s">
        <v>20490</v>
      </c>
      <c r="E1845" t="s">
        <v>13355</v>
      </c>
      <c r="F1845" t="s">
        <v>14039</v>
      </c>
      <c r="G1845" t="s">
        <v>14672</v>
      </c>
      <c r="H1845" t="s">
        <v>13869</v>
      </c>
      <c r="I1845" t="s">
        <v>14690</v>
      </c>
      <c r="J1845" s="62">
        <v>0</v>
      </c>
      <c r="K1845" s="62">
        <v>0</v>
      </c>
      <c r="L1845" t="str">
        <f>VLOOKUP(VALUE(LEFT(C1845,5)),Xref!A:B,2,0)</f>
        <v>EAS</v>
      </c>
      <c r="M1845" t="str">
        <f t="shared" si="115"/>
        <v>EAS-GSM</v>
      </c>
    </row>
    <row r="1846" spans="1:13" ht="14.25" customHeight="true">
      <c r="A1846" s="33" t="str">
        <f t="shared" si="112"/>
        <v>GSM - Intercompany</v>
      </c>
      <c r="B1846" s="33" t="str">
        <f t="shared" si="113"/>
        <v>GSM</v>
      </c>
      <c r="C1846" s="33" t="str">
        <f t="shared" si="114"/>
        <v>11343-0000</v>
      </c>
      <c r="D1846" t="s">
        <v>20491</v>
      </c>
      <c r="E1846" t="s">
        <v>14139</v>
      </c>
      <c r="F1846" t="s">
        <v>14039</v>
      </c>
      <c r="G1846" t="s">
        <v>14672</v>
      </c>
      <c r="H1846" t="s">
        <v>13869</v>
      </c>
      <c r="I1846" t="s">
        <v>14690</v>
      </c>
      <c r="J1846" s="62">
        <v>0</v>
      </c>
      <c r="K1846" s="62">
        <v>0</v>
      </c>
      <c r="L1846" t="str">
        <f>VLOOKUP(VALUE(LEFT(C1846,5)),Xref!A:B,2,0)</f>
        <v>GRA</v>
      </c>
      <c r="M1846" t="str">
        <f t="shared" si="115"/>
        <v>GRA-GSM</v>
      </c>
    </row>
    <row r="1847" spans="1:13" ht="14.25" customHeight="true">
      <c r="A1847" s="33" t="str">
        <f t="shared" si="112"/>
        <v>GSM - Intercompany</v>
      </c>
      <c r="B1847" s="33" t="str">
        <f t="shared" si="113"/>
        <v>GSM</v>
      </c>
      <c r="C1847" s="33" t="str">
        <f t="shared" si="114"/>
        <v>11344-0000</v>
      </c>
      <c r="D1847" t="s">
        <v>20492</v>
      </c>
      <c r="E1847" t="s">
        <v>14141</v>
      </c>
      <c r="F1847" t="s">
        <v>14039</v>
      </c>
      <c r="G1847" t="s">
        <v>14672</v>
      </c>
      <c r="H1847" t="s">
        <v>13869</v>
      </c>
      <c r="I1847" t="s">
        <v>14690</v>
      </c>
      <c r="J1847" s="62">
        <v>0</v>
      </c>
      <c r="K1847" s="62">
        <v>0</v>
      </c>
      <c r="L1847" t="str">
        <f>VLOOKUP(VALUE(LEFT(C1847,5)),Xref!A:B,2,0)</f>
        <v>SOU</v>
      </c>
      <c r="M1847" t="str">
        <f t="shared" si="115"/>
        <v>GSM-SOU</v>
      </c>
    </row>
    <row r="1848" spans="1:13" ht="14.25" customHeight="true">
      <c r="A1848" s="33" t="str">
        <f t="shared" si="112"/>
        <v>GSM - Intercompany</v>
      </c>
      <c r="B1848" s="33" t="str">
        <f t="shared" si="113"/>
        <v>GSM</v>
      </c>
      <c r="C1848" s="33" t="str">
        <f t="shared" si="114"/>
        <v>11345-0000</v>
      </c>
      <c r="D1848" t="s">
        <v>20493</v>
      </c>
      <c r="E1848" t="s">
        <v>14143</v>
      </c>
      <c r="F1848" t="s">
        <v>14039</v>
      </c>
      <c r="G1848" t="s">
        <v>14672</v>
      </c>
      <c r="H1848" t="s">
        <v>13869</v>
      </c>
      <c r="I1848" t="s">
        <v>14690</v>
      </c>
      <c r="J1848" s="62">
        <v>0</v>
      </c>
      <c r="K1848" s="62">
        <v>0</v>
      </c>
      <c r="L1848" t="str">
        <f>VLOOKUP(VALUE(LEFT(C1848,5)),Xref!A:B,2,0)</f>
        <v>API</v>
      </c>
      <c r="M1848" t="str">
        <f t="shared" si="115"/>
        <v>API-GSM</v>
      </c>
    </row>
    <row r="1849" spans="1:13" ht="14.25" customHeight="true">
      <c r="A1849" s="33" t="str">
        <f t="shared" si="112"/>
        <v>GSM - Intercompany</v>
      </c>
      <c r="B1849" s="33" t="str">
        <f t="shared" si="113"/>
        <v>GSM</v>
      </c>
      <c r="C1849" s="33" t="str">
        <f t="shared" si="114"/>
        <v>11346-0000</v>
      </c>
      <c r="D1849" t="s">
        <v>20494</v>
      </c>
      <c r="E1849" t="s">
        <v>14145</v>
      </c>
      <c r="F1849" t="s">
        <v>14039</v>
      </c>
      <c r="G1849" t="s">
        <v>14672</v>
      </c>
      <c r="H1849" t="s">
        <v>13869</v>
      </c>
      <c r="I1849" t="s">
        <v>14690</v>
      </c>
      <c r="J1849" s="62">
        <v>0</v>
      </c>
      <c r="K1849" s="62">
        <v>0</v>
      </c>
      <c r="L1849" t="str">
        <f>VLOOKUP(VALUE(LEFT(C1849,5)),Xref!A:B,2,0)</f>
        <v>DPH</v>
      </c>
      <c r="M1849" t="str">
        <f t="shared" si="115"/>
        <v>DPH-GSM</v>
      </c>
    </row>
    <row r="1850" spans="1:13" ht="14.25" customHeight="true">
      <c r="A1850" s="33" t="str">
        <f t="shared" si="112"/>
        <v>GSM - Intercompany</v>
      </c>
      <c r="B1850" s="33" t="str">
        <f t="shared" si="113"/>
        <v>GSM</v>
      </c>
      <c r="C1850" s="33" t="str">
        <f t="shared" si="114"/>
        <v>11347-0000</v>
      </c>
      <c r="D1850" t="s">
        <v>20495</v>
      </c>
      <c r="E1850" t="s">
        <v>14147</v>
      </c>
      <c r="F1850" t="s">
        <v>14039</v>
      </c>
      <c r="G1850" t="s">
        <v>14672</v>
      </c>
      <c r="H1850" t="s">
        <v>13869</v>
      </c>
      <c r="I1850" t="s">
        <v>14690</v>
      </c>
      <c r="J1850" s="62">
        <v>0</v>
      </c>
      <c r="K1850" s="62">
        <v>0</v>
      </c>
      <c r="L1850" t="str">
        <f>VLOOKUP(VALUE(LEFT(C1850,5)),Xref!A:B,2,0)</f>
        <v>ZPI</v>
      </c>
      <c r="M1850" t="str">
        <f t="shared" si="115"/>
        <v>GSM-ZPI</v>
      </c>
    </row>
    <row r="1851" spans="1:13" ht="14.25" customHeight="true">
      <c r="A1851" s="33" t="str">
        <f t="shared" si="112"/>
        <v>GSM - Intercompany</v>
      </c>
      <c r="B1851" s="33" t="str">
        <f t="shared" si="113"/>
        <v>GSM</v>
      </c>
      <c r="C1851" s="33" t="str">
        <f t="shared" si="114"/>
        <v>11348-0000</v>
      </c>
      <c r="D1851" t="s">
        <v>20496</v>
      </c>
      <c r="E1851" t="s">
        <v>14149</v>
      </c>
      <c r="F1851" t="s">
        <v>14039</v>
      </c>
      <c r="G1851" t="s">
        <v>14672</v>
      </c>
      <c r="H1851" t="s">
        <v>13869</v>
      </c>
      <c r="I1851" t="s">
        <v>14690</v>
      </c>
      <c r="J1851" s="62">
        <v>0</v>
      </c>
      <c r="K1851" s="62">
        <v>0</v>
      </c>
      <c r="L1851" t="str">
        <f>VLOOKUP(VALUE(LEFT(C1851,5)),Xref!A:B,2,0)</f>
        <v>EAM</v>
      </c>
      <c r="M1851" t="str">
        <f t="shared" si="115"/>
        <v>EAM-GSM</v>
      </c>
    </row>
    <row r="1852" spans="1:13" ht="14.25" customHeight="true">
      <c r="A1852" s="33" t="str">
        <f t="shared" si="112"/>
        <v>GSM - Intercompany</v>
      </c>
      <c r="B1852" s="33" t="str">
        <f t="shared" si="113"/>
        <v>GSM</v>
      </c>
      <c r="C1852" s="33" t="str">
        <f t="shared" si="114"/>
        <v>11349-0000</v>
      </c>
      <c r="D1852" t="s">
        <v>20497</v>
      </c>
      <c r="E1852" t="s">
        <v>14151</v>
      </c>
      <c r="F1852" t="s">
        <v>14039</v>
      </c>
      <c r="G1852" t="s">
        <v>14672</v>
      </c>
      <c r="H1852" t="s">
        <v>13869</v>
      </c>
      <c r="I1852" t="s">
        <v>14690</v>
      </c>
      <c r="J1852" s="62">
        <v>0</v>
      </c>
      <c r="K1852" s="62">
        <v>0</v>
      </c>
      <c r="L1852" t="str">
        <f>VLOOKUP(VALUE(LEFT(C1852,5)),Xref!A:B,2,0)</f>
        <v>SEA</v>
      </c>
      <c r="M1852" t="str">
        <f t="shared" si="115"/>
        <v>GSM-SEA</v>
      </c>
    </row>
    <row r="1853" spans="1:13" ht="14.25" customHeight="true">
      <c r="A1853" s="33" t="str">
        <f t="shared" si="112"/>
        <v>GSM - Intercompany</v>
      </c>
      <c r="B1853" s="33" t="str">
        <f t="shared" si="113"/>
        <v>GSM</v>
      </c>
      <c r="C1853" s="33" t="str">
        <f t="shared" si="114"/>
        <v>11350-0000</v>
      </c>
      <c r="D1853" t="s">
        <v>20498</v>
      </c>
      <c r="E1853" t="s">
        <v>14153</v>
      </c>
      <c r="F1853" t="s">
        <v>14039</v>
      </c>
      <c r="G1853" t="s">
        <v>14672</v>
      </c>
      <c r="H1853" t="s">
        <v>13869</v>
      </c>
      <c r="I1853" t="s">
        <v>14690</v>
      </c>
      <c r="J1853" s="62">
        <v>0</v>
      </c>
      <c r="K1853" s="62">
        <v>-155.75</v>
      </c>
      <c r="L1853" t="str">
        <f>VLOOKUP(VALUE(LEFT(C1853,5)),Xref!A:B,2,0)</f>
        <v>EAL</v>
      </c>
      <c r="M1853" t="str">
        <f t="shared" si="115"/>
        <v>EAL-GSM</v>
      </c>
    </row>
    <row r="1854" spans="1:13" ht="14.25" customHeight="true">
      <c r="A1854" s="33" t="str">
        <f t="shared" si="112"/>
        <v>GSM - Intercompany</v>
      </c>
      <c r="B1854" s="33" t="str">
        <f t="shared" si="113"/>
        <v>GSM</v>
      </c>
      <c r="C1854" s="33" t="str">
        <f t="shared" si="114"/>
        <v>11351-0000</v>
      </c>
      <c r="D1854" t="s">
        <v>20499</v>
      </c>
      <c r="E1854" t="s">
        <v>14155</v>
      </c>
      <c r="F1854" t="s">
        <v>14039</v>
      </c>
      <c r="G1854" t="s">
        <v>14672</v>
      </c>
      <c r="H1854" t="s">
        <v>13869</v>
      </c>
      <c r="I1854" t="s">
        <v>14690</v>
      </c>
      <c r="J1854" s="62">
        <v>0</v>
      </c>
      <c r="K1854" s="62">
        <v>0</v>
      </c>
      <c r="L1854" t="str">
        <f>VLOOKUP(VALUE(LEFT(C1854,5)),Xref!A:B,2,0)</f>
        <v>WEP</v>
      </c>
      <c r="M1854" t="str">
        <f t="shared" si="115"/>
        <v>GSM-WEP</v>
      </c>
    </row>
    <row r="1855" spans="1:13" ht="14.25" customHeight="true">
      <c r="A1855" s="33" t="str">
        <f t="shared" si="112"/>
        <v>GSM - Intercompany</v>
      </c>
      <c r="B1855" s="33" t="str">
        <f t="shared" si="113"/>
        <v>GSM</v>
      </c>
      <c r="C1855" s="33" t="str">
        <f t="shared" si="114"/>
        <v>11352-0000</v>
      </c>
      <c r="D1855" t="s">
        <v>20500</v>
      </c>
      <c r="E1855" t="s">
        <v>13536</v>
      </c>
      <c r="F1855" t="s">
        <v>14039</v>
      </c>
      <c r="G1855" t="s">
        <v>14672</v>
      </c>
      <c r="H1855" t="s">
        <v>13869</v>
      </c>
      <c r="I1855" t="s">
        <v>14690</v>
      </c>
      <c r="J1855" s="62">
        <v>0</v>
      </c>
      <c r="K1855" s="62">
        <v>0</v>
      </c>
      <c r="L1855" t="str">
        <f>VLOOKUP(VALUE(LEFT(C1855,5)),Xref!A:B,2,0)</f>
        <v>KLP</v>
      </c>
      <c r="M1855" t="str">
        <f t="shared" si="115"/>
        <v>GSM-KLP</v>
      </c>
    </row>
    <row r="1856" spans="1:13" ht="14.25" customHeight="true">
      <c r="A1856" s="33" t="str">
        <f t="shared" si="112"/>
        <v>GSM - Intercompany</v>
      </c>
      <c r="B1856" s="33" t="str">
        <f t="shared" si="113"/>
        <v>GSM</v>
      </c>
      <c r="C1856" s="33" t="str">
        <f t="shared" si="114"/>
        <v>11353-0000</v>
      </c>
      <c r="D1856" t="s">
        <v>20501</v>
      </c>
      <c r="E1856" t="s">
        <v>13537</v>
      </c>
      <c r="F1856" t="s">
        <v>14039</v>
      </c>
      <c r="G1856" t="s">
        <v>14672</v>
      </c>
      <c r="H1856" t="s">
        <v>13869</v>
      </c>
      <c r="I1856" t="s">
        <v>14690</v>
      </c>
      <c r="J1856" s="62">
        <v>0</v>
      </c>
      <c r="K1856" s="62">
        <v>0</v>
      </c>
      <c r="L1856" t="str">
        <f>VLOOKUP(VALUE(LEFT(C1856,5)),Xref!A:B,2,0)</f>
        <v>AKC</v>
      </c>
      <c r="M1856" t="str">
        <f t="shared" si="115"/>
        <v>AKC-GSM</v>
      </c>
    </row>
    <row r="1857" spans="1:13" ht="14.25" customHeight="true">
      <c r="A1857" s="33" t="str">
        <f t="shared" si="112"/>
        <v>GSM - Intercompany</v>
      </c>
      <c r="B1857" s="33" t="str">
        <f t="shared" si="113"/>
        <v>GSM</v>
      </c>
      <c r="C1857" s="33" t="str">
        <f t="shared" si="114"/>
        <v>11354-0000</v>
      </c>
      <c r="D1857" t="s">
        <v>20502</v>
      </c>
      <c r="E1857" t="s">
        <v>13538</v>
      </c>
      <c r="F1857" t="s">
        <v>14039</v>
      </c>
      <c r="G1857" t="s">
        <v>14672</v>
      </c>
      <c r="H1857" t="s">
        <v>13869</v>
      </c>
      <c r="I1857" t="s">
        <v>14690</v>
      </c>
      <c r="J1857" s="62">
        <v>0</v>
      </c>
      <c r="K1857" s="62">
        <v>0</v>
      </c>
      <c r="L1857" t="str">
        <f>VLOOKUP(VALUE(LEFT(C1857,5)),Xref!A:B,2,0)</f>
        <v>AKA</v>
      </c>
      <c r="M1857" t="str">
        <f t="shared" si="115"/>
        <v>AKA-GSM</v>
      </c>
    </row>
    <row r="1858" spans="1:13" ht="14.25" customHeight="true">
      <c r="A1858" s="33" t="str">
        <f t="shared" ref="A1858:A1921" si="116">B1858&amp;" - "&amp;TRIM(H1858)</f>
        <v>GSM - Intercompany</v>
      </c>
      <c r="B1858" s="33" t="str">
        <f t="shared" ref="B1858:B1921" si="117">LEFT(D1858,3)</f>
        <v>GSM</v>
      </c>
      <c r="C1858" s="33" t="str">
        <f t="shared" ref="C1858:C1921" si="118">RIGHT(D1858,10)</f>
        <v>11355-0000</v>
      </c>
      <c r="D1858" t="s">
        <v>20503</v>
      </c>
      <c r="E1858" t="s">
        <v>13539</v>
      </c>
      <c r="F1858" t="s">
        <v>14039</v>
      </c>
      <c r="G1858" t="s">
        <v>14672</v>
      </c>
      <c r="H1858" t="s">
        <v>13869</v>
      </c>
      <c r="I1858" t="s">
        <v>14690</v>
      </c>
      <c r="J1858" s="62">
        <v>0</v>
      </c>
      <c r="K1858" s="62">
        <v>0</v>
      </c>
      <c r="L1858" t="str">
        <f>VLOOKUP(VALUE(LEFT(C1858,5)),Xref!A:B,2,0)</f>
        <v>SPA</v>
      </c>
      <c r="M1858" t="str">
        <f t="shared" ref="M1858:M1921" si="119">IF(B1858&lt;L1858,B1858&amp;"-"&amp;L1858,L1858&amp;"-"&amp;B1858)</f>
        <v>GSM-SPA</v>
      </c>
    </row>
    <row r="1859" spans="1:13" ht="14.25" customHeight="true">
      <c r="A1859" s="33" t="str">
        <f t="shared" si="116"/>
        <v>GSM - Intercompany</v>
      </c>
      <c r="B1859" s="33" t="str">
        <f t="shared" si="117"/>
        <v>GSM</v>
      </c>
      <c r="C1859" s="33" t="str">
        <f t="shared" si="118"/>
        <v>11356-0000</v>
      </c>
      <c r="D1859" t="s">
        <v>20504</v>
      </c>
      <c r="E1859" t="s">
        <v>13540</v>
      </c>
      <c r="F1859" t="s">
        <v>14039</v>
      </c>
      <c r="G1859" t="s">
        <v>14672</v>
      </c>
      <c r="H1859" t="s">
        <v>13869</v>
      </c>
      <c r="I1859" t="s">
        <v>14690</v>
      </c>
      <c r="J1859" s="62">
        <v>0</v>
      </c>
      <c r="K1859" s="62">
        <v>0</v>
      </c>
      <c r="L1859" t="str">
        <f>VLOOKUP(VALUE(LEFT(C1859,5)),Xref!A:B,2,0)</f>
        <v>DPM</v>
      </c>
      <c r="M1859" t="str">
        <f t="shared" si="119"/>
        <v>DPM-GSM</v>
      </c>
    </row>
    <row r="1860" spans="1:13" ht="14.25" customHeight="true">
      <c r="A1860" s="33" t="str">
        <f t="shared" si="116"/>
        <v>GSM - Intercompany</v>
      </c>
      <c r="B1860" s="33" t="str">
        <f t="shared" si="117"/>
        <v>GSM</v>
      </c>
      <c r="C1860" s="33" t="str">
        <f t="shared" si="118"/>
        <v>11357-0000</v>
      </c>
      <c r="D1860" t="s">
        <v>20505</v>
      </c>
      <c r="E1860" t="s">
        <v>13541</v>
      </c>
      <c r="F1860" t="s">
        <v>14039</v>
      </c>
      <c r="G1860" t="s">
        <v>14672</v>
      </c>
      <c r="H1860" t="s">
        <v>13869</v>
      </c>
      <c r="I1860" t="s">
        <v>14690</v>
      </c>
      <c r="J1860" s="62">
        <v>0</v>
      </c>
      <c r="K1860" s="62">
        <v>0</v>
      </c>
      <c r="L1860" t="str">
        <f>VLOOKUP(VALUE(LEFT(C1860,5)),Xref!A:B,2,0)</f>
        <v>HDM</v>
      </c>
      <c r="M1860" t="str">
        <f t="shared" si="119"/>
        <v>GSM-HDM</v>
      </c>
    </row>
    <row r="1861" spans="1:13" ht="14.25" customHeight="true">
      <c r="A1861" s="33" t="str">
        <f t="shared" si="116"/>
        <v>GSM - Intercompany</v>
      </c>
      <c r="B1861" s="33" t="str">
        <f t="shared" si="117"/>
        <v>GSM</v>
      </c>
      <c r="C1861" s="33" t="str">
        <f t="shared" si="118"/>
        <v>11358-0000</v>
      </c>
      <c r="D1861" t="s">
        <v>20506</v>
      </c>
      <c r="E1861" t="s">
        <v>13542</v>
      </c>
      <c r="F1861" t="s">
        <v>14039</v>
      </c>
      <c r="G1861" t="s">
        <v>14672</v>
      </c>
      <c r="H1861" t="s">
        <v>13869</v>
      </c>
      <c r="I1861" t="s">
        <v>14690</v>
      </c>
      <c r="J1861" s="62">
        <v>0</v>
      </c>
      <c r="K1861" s="62">
        <v>0</v>
      </c>
      <c r="L1861" t="str">
        <f>VLOOKUP(VALUE(LEFT(C1861,5)),Xref!A:B,2,0)</f>
        <v>GRA</v>
      </c>
      <c r="M1861" t="str">
        <f t="shared" si="119"/>
        <v>GRA-GSM</v>
      </c>
    </row>
    <row r="1862" spans="1:13" ht="14.25" customHeight="true">
      <c r="A1862" s="33" t="str">
        <f t="shared" si="116"/>
        <v>GSM - Intercompany</v>
      </c>
      <c r="B1862" s="33" t="str">
        <f t="shared" si="117"/>
        <v>GSM</v>
      </c>
      <c r="C1862" s="33" t="str">
        <f t="shared" si="118"/>
        <v>11359-0000</v>
      </c>
      <c r="D1862" t="s">
        <v>20507</v>
      </c>
      <c r="E1862" t="s">
        <v>13543</v>
      </c>
      <c r="F1862" t="s">
        <v>14039</v>
      </c>
      <c r="G1862" t="s">
        <v>14672</v>
      </c>
      <c r="H1862" t="s">
        <v>13869</v>
      </c>
      <c r="I1862" t="s">
        <v>14690</v>
      </c>
      <c r="J1862" s="62">
        <v>0</v>
      </c>
      <c r="K1862" s="62">
        <v>0</v>
      </c>
      <c r="L1862" t="str">
        <f>VLOOKUP(VALUE(LEFT(C1862,5)),Xref!A:B,2,0)</f>
        <v>TPI</v>
      </c>
      <c r="M1862" t="str">
        <f t="shared" si="119"/>
        <v>GSM-TPI</v>
      </c>
    </row>
    <row r="1863" spans="1:13" ht="14.25" customHeight="true">
      <c r="A1863" s="33" t="str">
        <f t="shared" si="116"/>
        <v>GSM - Intercompany</v>
      </c>
      <c r="B1863" s="33" t="str">
        <f t="shared" si="117"/>
        <v>GSM</v>
      </c>
      <c r="C1863" s="33" t="str">
        <f t="shared" si="118"/>
        <v>11361-0000</v>
      </c>
      <c r="D1863" t="s">
        <v>20508</v>
      </c>
      <c r="E1863" t="s">
        <v>14165</v>
      </c>
      <c r="F1863" t="s">
        <v>14039</v>
      </c>
      <c r="G1863" t="s">
        <v>14672</v>
      </c>
      <c r="H1863" t="s">
        <v>13869</v>
      </c>
      <c r="I1863" t="s">
        <v>14690</v>
      </c>
      <c r="J1863" s="62">
        <v>0</v>
      </c>
      <c r="K1863" s="62">
        <v>0</v>
      </c>
      <c r="L1863" t="str">
        <f>VLOOKUP(VALUE(LEFT(C1863,5)),Xref!A:B,2,0)</f>
        <v>GSM</v>
      </c>
      <c r="M1863" t="str">
        <f t="shared" si="119"/>
        <v>GSM-GSM</v>
      </c>
    </row>
    <row r="1864" spans="1:13" ht="14.25" customHeight="true">
      <c r="A1864" s="33" t="str">
        <f t="shared" si="116"/>
        <v>GSM - Intercompany</v>
      </c>
      <c r="B1864" s="33" t="str">
        <f t="shared" si="117"/>
        <v>GSM</v>
      </c>
      <c r="C1864" s="33" t="str">
        <f t="shared" si="118"/>
        <v>11363-0000</v>
      </c>
      <c r="D1864" t="s">
        <v>20509</v>
      </c>
      <c r="E1864" t="s">
        <v>13544</v>
      </c>
      <c r="F1864" t="s">
        <v>14039</v>
      </c>
      <c r="G1864" t="s">
        <v>14672</v>
      </c>
      <c r="H1864" t="s">
        <v>13869</v>
      </c>
      <c r="I1864" t="s">
        <v>14690</v>
      </c>
      <c r="J1864" s="62">
        <v>0</v>
      </c>
      <c r="K1864" s="62">
        <v>0</v>
      </c>
      <c r="L1864" t="str">
        <f>VLOOKUP(VALUE(LEFT(C1864,5)),Xref!A:B,2,0)</f>
        <v>SOF</v>
      </c>
      <c r="M1864" t="str">
        <f t="shared" si="119"/>
        <v>GSM-SOF</v>
      </c>
    </row>
    <row r="1865" spans="1:13" ht="14.25" customHeight="true">
      <c r="A1865" s="33" t="str">
        <f t="shared" si="116"/>
        <v>GSM - Intercompany</v>
      </c>
      <c r="B1865" s="33" t="str">
        <f t="shared" si="117"/>
        <v>GSM</v>
      </c>
      <c r="C1865" s="33" t="str">
        <f t="shared" si="118"/>
        <v>11364-0000</v>
      </c>
      <c r="D1865" t="s">
        <v>20510</v>
      </c>
      <c r="E1865" t="s">
        <v>14168</v>
      </c>
      <c r="F1865" t="s">
        <v>14039</v>
      </c>
      <c r="G1865" t="s">
        <v>14672</v>
      </c>
      <c r="H1865" t="s">
        <v>13869</v>
      </c>
      <c r="I1865" t="s">
        <v>14690</v>
      </c>
      <c r="J1865" s="62">
        <v>0</v>
      </c>
      <c r="K1865" s="62">
        <v>0</v>
      </c>
      <c r="L1865" t="e">
        <f>VLOOKUP(VALUE(LEFT(C1865,5)),Xref!A:B,2,0)</f>
        <v>#N/A</v>
      </c>
      <c r="M1865" t="e">
        <f t="shared" si="119"/>
        <v>#N/A</v>
      </c>
    </row>
    <row r="1866" spans="1:13" ht="14.25" customHeight="true">
      <c r="A1866" s="33" t="str">
        <f t="shared" si="116"/>
        <v>GSM - Intercompany</v>
      </c>
      <c r="B1866" s="33" t="str">
        <f t="shared" si="117"/>
        <v>GSM</v>
      </c>
      <c r="C1866" s="33" t="str">
        <f t="shared" si="118"/>
        <v>11365-0000</v>
      </c>
      <c r="D1866" t="s">
        <v>20511</v>
      </c>
      <c r="E1866" t="s">
        <v>14170</v>
      </c>
      <c r="F1866" t="s">
        <v>14039</v>
      </c>
      <c r="G1866" t="s">
        <v>14672</v>
      </c>
      <c r="H1866" t="s">
        <v>13869</v>
      </c>
      <c r="I1866" t="s">
        <v>14690</v>
      </c>
      <c r="J1866" s="62">
        <v>0</v>
      </c>
      <c r="K1866" s="62">
        <v>0</v>
      </c>
      <c r="L1866" t="e">
        <f>VLOOKUP(VALUE(LEFT(C1866,5)),Xref!A:B,2,0)</f>
        <v>#N/A</v>
      </c>
      <c r="M1866" t="e">
        <f t="shared" si="119"/>
        <v>#N/A</v>
      </c>
    </row>
    <row r="1867" spans="1:13" ht="14.25" customHeight="true">
      <c r="A1867" s="33" t="str">
        <f t="shared" si="116"/>
        <v>GSM - Intercompany</v>
      </c>
      <c r="B1867" s="33" t="str">
        <f t="shared" si="117"/>
        <v>GSM</v>
      </c>
      <c r="C1867" s="33" t="str">
        <f t="shared" si="118"/>
        <v>11366-0000</v>
      </c>
      <c r="D1867" t="s">
        <v>20512</v>
      </c>
      <c r="E1867" t="s">
        <v>14172</v>
      </c>
      <c r="G1867" t="s">
        <v>14672</v>
      </c>
      <c r="H1867" t="s">
        <v>13869</v>
      </c>
      <c r="I1867" t="s">
        <v>14690</v>
      </c>
      <c r="J1867" s="62">
        <v>0</v>
      </c>
      <c r="K1867" s="62">
        <v>0</v>
      </c>
      <c r="L1867" t="e">
        <f>VLOOKUP(VALUE(LEFT(C1867,5)),Xref!A:B,2,0)</f>
        <v>#N/A</v>
      </c>
      <c r="M1867" t="e">
        <f t="shared" si="119"/>
        <v>#N/A</v>
      </c>
    </row>
    <row r="1868" spans="1:13" ht="14.25" customHeight="true">
      <c r="A1868" s="33" t="str">
        <f t="shared" si="116"/>
        <v>GSM - Intercompany</v>
      </c>
      <c r="B1868" s="33" t="str">
        <f t="shared" si="117"/>
        <v>GSM</v>
      </c>
      <c r="C1868" s="33" t="str">
        <f t="shared" si="118"/>
        <v>11402-0000</v>
      </c>
      <c r="D1868" t="s">
        <v>20513</v>
      </c>
      <c r="E1868" t="s">
        <v>14174</v>
      </c>
      <c r="G1868" t="s">
        <v>14672</v>
      </c>
      <c r="H1868" t="s">
        <v>13869</v>
      </c>
      <c r="I1868" t="s">
        <v>14690</v>
      </c>
      <c r="J1868" s="62">
        <v>0</v>
      </c>
      <c r="K1868" s="62">
        <v>0</v>
      </c>
      <c r="L1868" t="str">
        <f>VLOOKUP(VALUE(LEFT(C1868,5)),Xref!A:B,2,0)</f>
        <v>DPI</v>
      </c>
      <c r="M1868" t="str">
        <f t="shared" si="119"/>
        <v>DPI-GSM</v>
      </c>
    </row>
    <row r="1869" spans="1:13" ht="14.25" customHeight="true">
      <c r="A1869" s="33" t="str">
        <f t="shared" si="116"/>
        <v>GSM - Intercompany</v>
      </c>
      <c r="B1869" s="33" t="str">
        <f t="shared" si="117"/>
        <v>GSM</v>
      </c>
      <c r="C1869" s="33" t="str">
        <f t="shared" si="118"/>
        <v>11403-0000</v>
      </c>
      <c r="D1869" t="s">
        <v>20514</v>
      </c>
      <c r="E1869" t="s">
        <v>14176</v>
      </c>
      <c r="G1869" t="s">
        <v>14672</v>
      </c>
      <c r="H1869" t="s">
        <v>13869</v>
      </c>
      <c r="I1869" t="s">
        <v>14690</v>
      </c>
      <c r="J1869" s="62">
        <v>0</v>
      </c>
      <c r="K1869" s="62">
        <v>0</v>
      </c>
      <c r="L1869" t="str">
        <f>VLOOKUP(VALUE(LEFT(C1869,5)),Xref!A:B,2,0)</f>
        <v>SEA</v>
      </c>
      <c r="M1869" t="str">
        <f t="shared" si="119"/>
        <v>GSM-SEA</v>
      </c>
    </row>
    <row r="1870" spans="1:13" ht="14.25" customHeight="true">
      <c r="A1870" s="33" t="str">
        <f t="shared" si="116"/>
        <v>GSM - Intercompany</v>
      </c>
      <c r="B1870" s="33" t="str">
        <f t="shared" si="117"/>
        <v>GSM</v>
      </c>
      <c r="C1870" s="33" t="str">
        <f t="shared" si="118"/>
        <v>12400-0000</v>
      </c>
      <c r="D1870" t="s">
        <v>20516</v>
      </c>
      <c r="E1870" t="s">
        <v>14185</v>
      </c>
      <c r="F1870" t="s">
        <v>14039</v>
      </c>
      <c r="G1870" t="s">
        <v>14672</v>
      </c>
      <c r="H1870" t="s">
        <v>13869</v>
      </c>
      <c r="I1870" t="s">
        <v>14690</v>
      </c>
      <c r="J1870" s="62">
        <v>0</v>
      </c>
      <c r="K1870" s="62">
        <v>0</v>
      </c>
      <c r="L1870" t="str">
        <f>VLOOKUP(VALUE(LEFT(C1870,5)),Xref!A:B,2,0)</f>
        <v>aka</v>
      </c>
      <c r="M1870" t="str">
        <f t="shared" si="119"/>
        <v>aka-GSM</v>
      </c>
    </row>
    <row r="1871" spans="1:13" ht="14.25" customHeight="true">
      <c r="A1871" s="33" t="str">
        <f t="shared" si="116"/>
        <v>GSM - Intercompany</v>
      </c>
      <c r="B1871" s="33" t="str">
        <f t="shared" si="117"/>
        <v>GSM</v>
      </c>
      <c r="C1871" s="33" t="str">
        <f t="shared" si="118"/>
        <v>12401-0000</v>
      </c>
      <c r="D1871" t="s">
        <v>20517</v>
      </c>
      <c r="E1871" t="s">
        <v>14187</v>
      </c>
      <c r="F1871" t="s">
        <v>14039</v>
      </c>
      <c r="G1871" t="s">
        <v>14672</v>
      </c>
      <c r="H1871" t="s">
        <v>13869</v>
      </c>
      <c r="I1871" t="s">
        <v>14690</v>
      </c>
      <c r="J1871" s="62">
        <v>0</v>
      </c>
      <c r="K1871" s="62">
        <v>0</v>
      </c>
      <c r="L1871" t="str">
        <f>VLOOKUP(VALUE(LEFT(C1871,5)),Xref!A:B,2,0)</f>
        <v>aka</v>
      </c>
      <c r="M1871" t="str">
        <f t="shared" si="119"/>
        <v>aka-GSM</v>
      </c>
    </row>
    <row r="1872" spans="1:13" ht="14.25" customHeight="true">
      <c r="A1872" s="33" t="str">
        <f t="shared" si="116"/>
        <v>GSM - Intercompany</v>
      </c>
      <c r="B1872" s="33" t="str">
        <f t="shared" si="117"/>
        <v>GSM</v>
      </c>
      <c r="C1872" s="33" t="str">
        <f t="shared" si="118"/>
        <v>12402-0000</v>
      </c>
      <c r="D1872" t="s">
        <v>20518</v>
      </c>
      <c r="E1872" t="s">
        <v>14189</v>
      </c>
      <c r="F1872" t="s">
        <v>14039</v>
      </c>
      <c r="G1872" t="s">
        <v>14672</v>
      </c>
      <c r="H1872" t="s">
        <v>13869</v>
      </c>
      <c r="I1872" t="s">
        <v>14690</v>
      </c>
      <c r="J1872" s="62">
        <v>0</v>
      </c>
      <c r="K1872" s="62">
        <v>0</v>
      </c>
      <c r="L1872" t="str">
        <f>VLOOKUP(VALUE(LEFT(C1872,5)),Xref!A:B,2,0)</f>
        <v>aka</v>
      </c>
      <c r="M1872" t="str">
        <f t="shared" si="119"/>
        <v>aka-GSM</v>
      </c>
    </row>
    <row r="1873" spans="1:13" ht="14.25" customHeight="true">
      <c r="A1873" s="33" t="str">
        <f t="shared" si="116"/>
        <v>GSM - Intercompany</v>
      </c>
      <c r="B1873" s="33" t="str">
        <f t="shared" si="117"/>
        <v>GSM</v>
      </c>
      <c r="C1873" s="33" t="str">
        <f t="shared" si="118"/>
        <v>12403-0000</v>
      </c>
      <c r="D1873" t="s">
        <v>20519</v>
      </c>
      <c r="E1873" t="s">
        <v>5226</v>
      </c>
      <c r="F1873" t="s">
        <v>14039</v>
      </c>
      <c r="G1873" t="s">
        <v>14672</v>
      </c>
      <c r="H1873" t="s">
        <v>13869</v>
      </c>
      <c r="I1873" t="s">
        <v>14690</v>
      </c>
      <c r="J1873" s="62">
        <v>0</v>
      </c>
      <c r="K1873" s="62">
        <v>0</v>
      </c>
      <c r="L1873" t="str">
        <f>VLOOKUP(VALUE(LEFT(C1873,5)),Xref!A:B,2,0)</f>
        <v>aka</v>
      </c>
      <c r="M1873" t="str">
        <f t="shared" si="119"/>
        <v>aka-GSM</v>
      </c>
    </row>
    <row r="1874" spans="1:13" ht="14.25" customHeight="true">
      <c r="A1874" s="33" t="str">
        <f t="shared" si="116"/>
        <v>GSM - Intercompany</v>
      </c>
      <c r="B1874" s="33" t="str">
        <f t="shared" si="117"/>
        <v>GSM</v>
      </c>
      <c r="C1874" s="33" t="str">
        <f t="shared" si="118"/>
        <v>12501-0000</v>
      </c>
      <c r="D1874" t="s">
        <v>20520</v>
      </c>
      <c r="E1874" t="s">
        <v>14192</v>
      </c>
      <c r="F1874" t="s">
        <v>14039</v>
      </c>
      <c r="G1874" t="s">
        <v>14672</v>
      </c>
      <c r="H1874" t="s">
        <v>13869</v>
      </c>
      <c r="I1874" t="s">
        <v>14690</v>
      </c>
      <c r="J1874" s="62">
        <v>0</v>
      </c>
      <c r="K1874" s="62">
        <v>0</v>
      </c>
      <c r="L1874" t="str">
        <f>VLOOKUP(VALUE(LEFT(C1874,5)),Xref!A:B,2,0)</f>
        <v>aka</v>
      </c>
      <c r="M1874" t="str">
        <f t="shared" si="119"/>
        <v>aka-GSM</v>
      </c>
    </row>
    <row r="1875" spans="1:13" ht="14.25" customHeight="true">
      <c r="A1875" s="33" t="str">
        <f t="shared" si="116"/>
        <v>GSM - InterCo Notes</v>
      </c>
      <c r="B1875" s="33" t="str">
        <f t="shared" si="117"/>
        <v>GSM</v>
      </c>
      <c r="C1875" s="33" t="str">
        <f t="shared" si="118"/>
        <v>25600-0000</v>
      </c>
      <c r="D1875" t="s">
        <v>20563</v>
      </c>
      <c r="E1875" t="s">
        <v>314</v>
      </c>
      <c r="F1875" t="s">
        <v>14039</v>
      </c>
      <c r="G1875" t="s">
        <v>14672</v>
      </c>
      <c r="H1875" t="s">
        <v>13889</v>
      </c>
      <c r="I1875" t="s">
        <v>14690</v>
      </c>
      <c r="J1875" s="62">
        <v>0</v>
      </c>
      <c r="K1875" s="62">
        <v>0</v>
      </c>
      <c r="L1875" t="str">
        <f>VLOOKUP(VALUE(LEFT(C1875,5)),Xref!A:B,2,0)</f>
        <v>D7</v>
      </c>
      <c r="M1875" t="str">
        <f t="shared" si="119"/>
        <v>D7-GSM</v>
      </c>
    </row>
    <row r="1876" spans="1:13" ht="14.25" customHeight="true">
      <c r="A1876" s="33" t="str">
        <f t="shared" si="116"/>
        <v>GSM - InterCo Notes</v>
      </c>
      <c r="B1876" s="33" t="str">
        <f t="shared" si="117"/>
        <v>GSM</v>
      </c>
      <c r="C1876" s="33" t="str">
        <f t="shared" si="118"/>
        <v>25602-0000</v>
      </c>
      <c r="D1876" t="s">
        <v>20565</v>
      </c>
      <c r="E1876" t="s">
        <v>13426</v>
      </c>
      <c r="F1876" t="s">
        <v>14039</v>
      </c>
      <c r="G1876" t="s">
        <v>14672</v>
      </c>
      <c r="H1876" t="s">
        <v>13889</v>
      </c>
      <c r="I1876" t="s">
        <v>14690</v>
      </c>
      <c r="J1876" s="62">
        <v>0</v>
      </c>
      <c r="K1876" s="62">
        <v>-230000</v>
      </c>
      <c r="L1876" t="str">
        <f>VLOOKUP(VALUE(LEFT(C1876,5)),Xref!A:B,2,0)</f>
        <v>DFLP</v>
      </c>
      <c r="M1876" t="str">
        <f t="shared" si="119"/>
        <v>DFLP-GSM</v>
      </c>
    </row>
    <row r="1877" spans="1:13" ht="14.25" customHeight="true">
      <c r="A1877" s="33" t="str">
        <f t="shared" si="116"/>
        <v>GSM - InterCo Notes</v>
      </c>
      <c r="B1877" s="33" t="str">
        <f t="shared" si="117"/>
        <v>GSM</v>
      </c>
      <c r="C1877" s="33" t="str">
        <f t="shared" si="118"/>
        <v>25603-0000</v>
      </c>
      <c r="D1877" t="s">
        <v>20566</v>
      </c>
      <c r="E1877" t="s">
        <v>14311</v>
      </c>
      <c r="F1877" t="s">
        <v>14039</v>
      </c>
      <c r="G1877" t="s">
        <v>14832</v>
      </c>
      <c r="H1877" t="s">
        <v>13889</v>
      </c>
      <c r="I1877" t="s">
        <v>14690</v>
      </c>
      <c r="J1877" s="62">
        <v>0</v>
      </c>
      <c r="K1877" s="62">
        <v>0</v>
      </c>
      <c r="L1877" t="str">
        <f>VLOOKUP(VALUE(LEFT(C1877,5)),Xref!A:B,2,0)</f>
        <v>aka</v>
      </c>
      <c r="M1877" t="str">
        <f t="shared" si="119"/>
        <v>aka-GSM</v>
      </c>
    </row>
    <row r="1878" spans="1:13" ht="14.25" customHeight="true">
      <c r="A1878" s="33" t="str">
        <f t="shared" si="116"/>
        <v>GSM - Intercompany</v>
      </c>
      <c r="B1878" s="33" t="str">
        <f t="shared" si="117"/>
        <v>GSM</v>
      </c>
      <c r="C1878" s="33" t="str">
        <f t="shared" si="118"/>
        <v>25604-0000</v>
      </c>
      <c r="D1878" t="s">
        <v>20567</v>
      </c>
      <c r="E1878" t="s">
        <v>13490</v>
      </c>
      <c r="F1878" t="s">
        <v>14039</v>
      </c>
      <c r="G1878" t="s">
        <v>14672</v>
      </c>
      <c r="H1878" t="s">
        <v>13869</v>
      </c>
      <c r="I1878" t="s">
        <v>14690</v>
      </c>
      <c r="J1878" s="62">
        <v>0</v>
      </c>
      <c r="K1878" s="62">
        <v>0</v>
      </c>
      <c r="L1878">
        <f>VLOOKUP(VALUE(LEFT(C1878,5)),Xref!A:B,2,0)</f>
        <v>0</v>
      </c>
      <c r="M1878" t="str">
        <f t="shared" si="119"/>
        <v>0-GSM</v>
      </c>
    </row>
    <row r="1879" spans="1:13" ht="14.25" customHeight="true">
      <c r="A1879" s="33" t="str">
        <f t="shared" si="116"/>
        <v>HDM - Intercompany</v>
      </c>
      <c r="B1879" s="33" t="str">
        <f t="shared" si="117"/>
        <v>HDM</v>
      </c>
      <c r="C1879" s="33" t="str">
        <f t="shared" si="118"/>
        <v>11200-0000</v>
      </c>
      <c r="D1879" t="s">
        <v>20715</v>
      </c>
      <c r="E1879" t="s">
        <v>14069</v>
      </c>
      <c r="F1879" t="s">
        <v>14039</v>
      </c>
      <c r="G1879" t="s">
        <v>14672</v>
      </c>
      <c r="H1879" t="s">
        <v>13869</v>
      </c>
      <c r="I1879" t="s">
        <v>14690</v>
      </c>
      <c r="J1879" s="62">
        <v>0</v>
      </c>
      <c r="K1879" s="62">
        <v>0</v>
      </c>
      <c r="L1879" t="str">
        <f>VLOOKUP(VALUE(LEFT(C1879,5)),Xref!A:B,2,0)</f>
        <v>SCL</v>
      </c>
      <c r="M1879" t="str">
        <f t="shared" si="119"/>
        <v>HDM-SCL</v>
      </c>
    </row>
    <row r="1880" spans="1:13" ht="14.25" customHeight="true">
      <c r="A1880" s="33" t="str">
        <f t="shared" si="116"/>
        <v>HDM - Intercompany</v>
      </c>
      <c r="B1880" s="33" t="str">
        <f t="shared" si="117"/>
        <v>HDM</v>
      </c>
      <c r="C1880" s="33" t="str">
        <f t="shared" si="118"/>
        <v>11201-0000</v>
      </c>
      <c r="D1880" t="s">
        <v>20716</v>
      </c>
      <c r="E1880" t="s">
        <v>14071</v>
      </c>
      <c r="F1880" t="s">
        <v>14039</v>
      </c>
      <c r="G1880" t="s">
        <v>14672</v>
      </c>
      <c r="H1880" t="s">
        <v>13869</v>
      </c>
      <c r="I1880" t="s">
        <v>14690</v>
      </c>
      <c r="J1880" s="62">
        <v>0</v>
      </c>
      <c r="K1880" s="62">
        <v>0</v>
      </c>
      <c r="L1880" t="str">
        <f>VLOOKUP(VALUE(LEFT(C1880,5)),Xref!A:B,2,0)</f>
        <v>SG2</v>
      </c>
      <c r="M1880" t="str">
        <f t="shared" si="119"/>
        <v>HDM-SG2</v>
      </c>
    </row>
    <row r="1881" spans="1:13" ht="14.25" customHeight="true">
      <c r="A1881" s="33" t="str">
        <f t="shared" si="116"/>
        <v>HDM - Intercompany</v>
      </c>
      <c r="B1881" s="33" t="str">
        <f t="shared" si="117"/>
        <v>HDM</v>
      </c>
      <c r="C1881" s="33" t="str">
        <f t="shared" si="118"/>
        <v>11202-0000</v>
      </c>
      <c r="D1881" t="s">
        <v>20717</v>
      </c>
      <c r="E1881" t="s">
        <v>14073</v>
      </c>
      <c r="F1881" t="s">
        <v>14039</v>
      </c>
      <c r="G1881" t="s">
        <v>14672</v>
      </c>
      <c r="H1881" t="s">
        <v>13869</v>
      </c>
      <c r="I1881" t="s">
        <v>14690</v>
      </c>
      <c r="J1881" s="62">
        <v>0</v>
      </c>
      <c r="K1881" s="62">
        <v>0</v>
      </c>
      <c r="L1881" t="str">
        <f>VLOOKUP(VALUE(LEFT(C1881,5)),Xref!A:B,2,0)</f>
        <v>FFC</v>
      </c>
      <c r="M1881" t="str">
        <f t="shared" si="119"/>
        <v>FFC-HDM</v>
      </c>
    </row>
    <row r="1882" spans="1:13" ht="14.25" customHeight="true">
      <c r="A1882" s="33" t="str">
        <f t="shared" si="116"/>
        <v>HDM - Intercompany</v>
      </c>
      <c r="B1882" s="33" t="str">
        <f t="shared" si="117"/>
        <v>HDM</v>
      </c>
      <c r="C1882" s="33" t="str">
        <f t="shared" si="118"/>
        <v>11203-0000</v>
      </c>
      <c r="D1882" t="s">
        <v>20718</v>
      </c>
      <c r="E1882" t="s">
        <v>14075</v>
      </c>
      <c r="F1882" t="s">
        <v>14039</v>
      </c>
      <c r="G1882" t="s">
        <v>14672</v>
      </c>
      <c r="H1882" t="s">
        <v>13869</v>
      </c>
      <c r="I1882" t="s">
        <v>14690</v>
      </c>
      <c r="J1882" s="62">
        <v>0</v>
      </c>
      <c r="K1882" s="62">
        <v>0</v>
      </c>
      <c r="L1882" t="str">
        <f>VLOOKUP(VALUE(LEFT(C1882,5)),Xref!A:B,2,0)</f>
        <v>HN2</v>
      </c>
      <c r="M1882" t="str">
        <f t="shared" si="119"/>
        <v>HDM-HN2</v>
      </c>
    </row>
    <row r="1883" spans="1:13" ht="14.25" customHeight="true">
      <c r="A1883" s="33" t="str">
        <f t="shared" si="116"/>
        <v>HDM - Intercompany</v>
      </c>
      <c r="B1883" s="33" t="str">
        <f t="shared" si="117"/>
        <v>HDM</v>
      </c>
      <c r="C1883" s="33" t="str">
        <f t="shared" si="118"/>
        <v>11204-0000</v>
      </c>
      <c r="D1883" t="s">
        <v>20719</v>
      </c>
      <c r="E1883" t="s">
        <v>14077</v>
      </c>
      <c r="F1883" t="s">
        <v>14039</v>
      </c>
      <c r="G1883" t="s">
        <v>14672</v>
      </c>
      <c r="H1883" t="s">
        <v>13869</v>
      </c>
      <c r="I1883" t="s">
        <v>14690</v>
      </c>
      <c r="J1883" s="62">
        <v>0</v>
      </c>
      <c r="K1883" s="62">
        <v>0</v>
      </c>
      <c r="L1883" t="str">
        <f>VLOOKUP(VALUE(LEFT(C1883,5)),Xref!A:B,2,0)</f>
        <v>DF2</v>
      </c>
      <c r="M1883" t="str">
        <f t="shared" si="119"/>
        <v>DF2-HDM</v>
      </c>
    </row>
    <row r="1884" spans="1:13" ht="14.25" customHeight="true">
      <c r="A1884" s="33" t="str">
        <f t="shared" si="116"/>
        <v>HDM - Intercompany</v>
      </c>
      <c r="B1884" s="33" t="str">
        <f t="shared" si="117"/>
        <v>HDM</v>
      </c>
      <c r="C1884" s="33" t="str">
        <f t="shared" si="118"/>
        <v>11208-0000</v>
      </c>
      <c r="D1884" t="s">
        <v>20720</v>
      </c>
      <c r="E1884" t="s">
        <v>14079</v>
      </c>
      <c r="F1884" t="s">
        <v>14039</v>
      </c>
      <c r="G1884" t="s">
        <v>14672</v>
      </c>
      <c r="H1884" t="s">
        <v>13869</v>
      </c>
      <c r="I1884" t="s">
        <v>14690</v>
      </c>
      <c r="J1884" s="62">
        <v>0</v>
      </c>
      <c r="K1884" s="62">
        <v>0</v>
      </c>
      <c r="L1884" t="str">
        <f>VLOOKUP(VALUE(LEFT(C1884,5)),Xref!A:B,2,0)</f>
        <v>SRE</v>
      </c>
      <c r="M1884" t="str">
        <f t="shared" si="119"/>
        <v>HDM-SRE</v>
      </c>
    </row>
    <row r="1885" spans="1:13" ht="14.25" customHeight="true">
      <c r="A1885" s="33" t="str">
        <f t="shared" si="116"/>
        <v>HDM - Intercompany</v>
      </c>
      <c r="B1885" s="33" t="str">
        <f t="shared" si="117"/>
        <v>HDM</v>
      </c>
      <c r="C1885" s="33" t="str">
        <f t="shared" si="118"/>
        <v>11210-0000</v>
      </c>
      <c r="D1885" t="s">
        <v>20721</v>
      </c>
      <c r="E1885" t="s">
        <v>14081</v>
      </c>
      <c r="F1885" t="s">
        <v>14039</v>
      </c>
      <c r="G1885" t="s">
        <v>14672</v>
      </c>
      <c r="H1885" t="s">
        <v>13869</v>
      </c>
      <c r="I1885" t="s">
        <v>14690</v>
      </c>
      <c r="J1885" s="62">
        <v>0</v>
      </c>
      <c r="K1885" s="62">
        <v>0</v>
      </c>
      <c r="L1885" t="str">
        <f>VLOOKUP(VALUE(LEFT(C1885,5)),Xref!A:B,2,0)</f>
        <v>REM</v>
      </c>
      <c r="M1885" t="str">
        <f t="shared" si="119"/>
        <v>HDM-REM</v>
      </c>
    </row>
    <row r="1886" spans="1:13" ht="14.25" customHeight="true">
      <c r="A1886" s="33" t="str">
        <f t="shared" si="116"/>
        <v>HDM - Intercompany</v>
      </c>
      <c r="B1886" s="33" t="str">
        <f t="shared" si="117"/>
        <v>HDM</v>
      </c>
      <c r="C1886" s="33" t="str">
        <f t="shared" si="118"/>
        <v>11212-0000</v>
      </c>
      <c r="D1886" t="s">
        <v>20722</v>
      </c>
      <c r="E1886" t="s">
        <v>14083</v>
      </c>
      <c r="F1886" t="s">
        <v>14039</v>
      </c>
      <c r="G1886" t="s">
        <v>14672</v>
      </c>
      <c r="H1886" t="s">
        <v>13869</v>
      </c>
      <c r="I1886" t="s">
        <v>14690</v>
      </c>
      <c r="J1886" s="62">
        <v>0</v>
      </c>
      <c r="K1886" s="62">
        <v>0</v>
      </c>
      <c r="L1886" t="str">
        <f>VLOOKUP(VALUE(LEFT(C1886,5)),Xref!A:B,2,0)</f>
        <v>FRM</v>
      </c>
      <c r="M1886" t="str">
        <f t="shared" si="119"/>
        <v>FRM-HDM</v>
      </c>
    </row>
    <row r="1887" spans="1:13" ht="14.25" customHeight="true">
      <c r="A1887" s="33" t="str">
        <f t="shared" si="116"/>
        <v>HDM - Intercompany</v>
      </c>
      <c r="B1887" s="33" t="str">
        <f t="shared" si="117"/>
        <v>HDM</v>
      </c>
      <c r="C1887" s="33" t="str">
        <f t="shared" si="118"/>
        <v>11214-0000</v>
      </c>
      <c r="D1887" t="s">
        <v>20723</v>
      </c>
      <c r="E1887" t="s">
        <v>14085</v>
      </c>
      <c r="F1887" t="s">
        <v>14039</v>
      </c>
      <c r="G1887" t="s">
        <v>14672</v>
      </c>
      <c r="H1887" t="s">
        <v>13869</v>
      </c>
      <c r="I1887" t="s">
        <v>14690</v>
      </c>
      <c r="J1887" s="62">
        <v>0</v>
      </c>
      <c r="K1887" s="62">
        <v>0</v>
      </c>
      <c r="L1887" t="str">
        <f>VLOOKUP(VALUE(LEFT(C1887,5)),Xref!A:B,2,0)</f>
        <v>D7R</v>
      </c>
      <c r="M1887" t="str">
        <f t="shared" si="119"/>
        <v>D7R-HDM</v>
      </c>
    </row>
    <row r="1888" spans="1:13" ht="14.25" customHeight="true">
      <c r="A1888" s="33" t="str">
        <f t="shared" si="116"/>
        <v>HDM - Intercompany</v>
      </c>
      <c r="B1888" s="33" t="str">
        <f t="shared" si="117"/>
        <v>HDM</v>
      </c>
      <c r="C1888" s="33" t="str">
        <f t="shared" si="118"/>
        <v>11215-0000</v>
      </c>
      <c r="D1888" t="s">
        <v>20724</v>
      </c>
      <c r="E1888" t="s">
        <v>14087</v>
      </c>
      <c r="F1888" t="s">
        <v>14039</v>
      </c>
      <c r="G1888" t="s">
        <v>14672</v>
      </c>
      <c r="H1888" t="s">
        <v>13869</v>
      </c>
      <c r="I1888" t="s">
        <v>14690</v>
      </c>
      <c r="J1888" s="62">
        <v>0</v>
      </c>
      <c r="K1888" s="62">
        <v>0</v>
      </c>
      <c r="L1888" t="str">
        <f>VLOOKUP(VALUE(LEFT(C1888,5)),Xref!A:B,2,0)</f>
        <v>CDP</v>
      </c>
      <c r="M1888" t="str">
        <f t="shared" si="119"/>
        <v>CDP-HDM</v>
      </c>
    </row>
    <row r="1889" spans="1:13" ht="14.25" customHeight="true">
      <c r="A1889" s="33" t="str">
        <f t="shared" si="116"/>
        <v>HDM - Intercompany</v>
      </c>
      <c r="B1889" s="33" t="str">
        <f t="shared" si="117"/>
        <v>HDM</v>
      </c>
      <c r="C1889" s="33" t="str">
        <f t="shared" si="118"/>
        <v>11216-0000</v>
      </c>
      <c r="D1889" t="s">
        <v>6341</v>
      </c>
      <c r="E1889" t="s">
        <v>13224</v>
      </c>
      <c r="F1889" t="s">
        <v>14039</v>
      </c>
      <c r="G1889" t="s">
        <v>14672</v>
      </c>
      <c r="H1889" t="s">
        <v>13869</v>
      </c>
      <c r="I1889" t="s">
        <v>14690</v>
      </c>
      <c r="J1889" s="62">
        <v>-32.4</v>
      </c>
      <c r="K1889" s="62">
        <v>-805.58</v>
      </c>
      <c r="L1889" t="str">
        <f>VLOOKUP(VALUE(LEFT(C1889,5)),Xref!A:B,2,0)</f>
        <v>SIL</v>
      </c>
      <c r="M1889" t="str">
        <f t="shared" si="119"/>
        <v>HDM-SIL</v>
      </c>
    </row>
    <row r="1890" spans="1:13" ht="14.25" customHeight="true">
      <c r="A1890" s="33" t="str">
        <f t="shared" si="116"/>
        <v>HDM - Intercompany</v>
      </c>
      <c r="B1890" s="33" t="str">
        <f t="shared" si="117"/>
        <v>HDM</v>
      </c>
      <c r="C1890" s="33" t="str">
        <f t="shared" si="118"/>
        <v>11232-0000</v>
      </c>
      <c r="D1890" t="s">
        <v>20725</v>
      </c>
      <c r="E1890" t="s">
        <v>12486</v>
      </c>
      <c r="F1890" t="s">
        <v>14039</v>
      </c>
      <c r="G1890" t="s">
        <v>14672</v>
      </c>
      <c r="H1890" t="s">
        <v>13869</v>
      </c>
      <c r="I1890" t="s">
        <v>14690</v>
      </c>
      <c r="J1890" s="62">
        <v>0</v>
      </c>
      <c r="K1890" s="62">
        <v>0</v>
      </c>
      <c r="L1890" t="str">
        <f>VLOOKUP(VALUE(LEFT(C1890,5)),Xref!A:B,2,0)</f>
        <v>SC2</v>
      </c>
      <c r="M1890" t="str">
        <f t="shared" si="119"/>
        <v>HDM-SC2</v>
      </c>
    </row>
    <row r="1891" spans="1:13" ht="14.25" customHeight="true">
      <c r="A1891" s="33" t="str">
        <f t="shared" si="116"/>
        <v>HDM - Intercompany</v>
      </c>
      <c r="B1891" s="33" t="str">
        <f t="shared" si="117"/>
        <v>HDM</v>
      </c>
      <c r="C1891" s="33" t="str">
        <f t="shared" si="118"/>
        <v>11301-0000</v>
      </c>
      <c r="D1891" t="s">
        <v>20726</v>
      </c>
      <c r="E1891" t="s">
        <v>13225</v>
      </c>
      <c r="F1891" t="s">
        <v>14039</v>
      </c>
      <c r="G1891" t="s">
        <v>14672</v>
      </c>
      <c r="H1891" t="s">
        <v>13869</v>
      </c>
      <c r="I1891" t="s">
        <v>14690</v>
      </c>
      <c r="J1891" s="62">
        <v>0</v>
      </c>
      <c r="K1891" s="62">
        <v>0</v>
      </c>
      <c r="L1891" t="str">
        <f>VLOOKUP(VALUE(LEFT(C1891,5)),Xref!A:B,2,0)</f>
        <v>CRE</v>
      </c>
      <c r="M1891" t="str">
        <f t="shared" si="119"/>
        <v>CRE-HDM</v>
      </c>
    </row>
    <row r="1892" spans="1:13" ht="14.25" customHeight="true">
      <c r="A1892" s="33" t="str">
        <f t="shared" si="116"/>
        <v>HDM - Intercompany</v>
      </c>
      <c r="B1892" s="33" t="str">
        <f t="shared" si="117"/>
        <v>HDM</v>
      </c>
      <c r="C1892" s="33" t="str">
        <f t="shared" si="118"/>
        <v>11302-0000</v>
      </c>
      <c r="D1892" t="s">
        <v>20727</v>
      </c>
      <c r="E1892" t="s">
        <v>13226</v>
      </c>
      <c r="F1892" t="s">
        <v>14039</v>
      </c>
      <c r="G1892" t="s">
        <v>14672</v>
      </c>
      <c r="H1892" t="s">
        <v>13869</v>
      </c>
      <c r="I1892" t="s">
        <v>14690</v>
      </c>
      <c r="J1892" s="62">
        <v>0</v>
      </c>
      <c r="K1892" s="62">
        <v>0</v>
      </c>
      <c r="L1892" t="str">
        <f>VLOOKUP(VALUE(LEFT(C1892,5)),Xref!A:B,2,0)</f>
        <v>CHA</v>
      </c>
      <c r="M1892" t="str">
        <f t="shared" si="119"/>
        <v>CHA-HDM</v>
      </c>
    </row>
    <row r="1893" spans="1:13" ht="14.25" customHeight="true">
      <c r="A1893" s="33" t="str">
        <f t="shared" si="116"/>
        <v>HDM - Intercompany</v>
      </c>
      <c r="B1893" s="33" t="str">
        <f t="shared" si="117"/>
        <v>HDM</v>
      </c>
      <c r="C1893" s="33" t="str">
        <f t="shared" si="118"/>
        <v>11303-0000</v>
      </c>
      <c r="D1893" t="s">
        <v>20728</v>
      </c>
      <c r="E1893" t="s">
        <v>13227</v>
      </c>
      <c r="F1893" t="s">
        <v>14039</v>
      </c>
      <c r="G1893" t="s">
        <v>14672</v>
      </c>
      <c r="H1893" t="s">
        <v>13869</v>
      </c>
      <c r="I1893" t="s">
        <v>14690</v>
      </c>
      <c r="J1893" s="62">
        <v>0</v>
      </c>
      <c r="K1893" s="62">
        <v>0</v>
      </c>
      <c r="L1893" t="str">
        <f>VLOOKUP(VALUE(LEFT(C1893,5)),Xref!A:B,2,0)</f>
        <v>DIA</v>
      </c>
      <c r="M1893" t="str">
        <f t="shared" si="119"/>
        <v>DIA-HDM</v>
      </c>
    </row>
    <row r="1894" spans="1:13" ht="14.25" customHeight="true">
      <c r="A1894" s="33" t="str">
        <f t="shared" si="116"/>
        <v>HDM - Intercompany</v>
      </c>
      <c r="B1894" s="33" t="str">
        <f t="shared" si="117"/>
        <v>HDM</v>
      </c>
      <c r="C1894" s="33" t="str">
        <f t="shared" si="118"/>
        <v>11304-0000</v>
      </c>
      <c r="D1894" t="s">
        <v>20729</v>
      </c>
      <c r="E1894" t="s">
        <v>13228</v>
      </c>
      <c r="F1894" t="s">
        <v>14039</v>
      </c>
      <c r="G1894" t="s">
        <v>14672</v>
      </c>
      <c r="H1894" t="s">
        <v>13869</v>
      </c>
      <c r="I1894" t="s">
        <v>14690</v>
      </c>
      <c r="J1894" s="62">
        <v>0</v>
      </c>
      <c r="K1894" s="62">
        <v>0</v>
      </c>
      <c r="L1894" t="str">
        <f>VLOOKUP(VALUE(LEFT(C1894,5)),Xref!A:B,2,0)</f>
        <v>EAG</v>
      </c>
      <c r="M1894" t="str">
        <f t="shared" si="119"/>
        <v>EAG-HDM</v>
      </c>
    </row>
    <row r="1895" spans="1:13" ht="14.25" customHeight="true">
      <c r="A1895" s="33" t="str">
        <f t="shared" si="116"/>
        <v>HDM - Intercompany</v>
      </c>
      <c r="B1895" s="33" t="str">
        <f t="shared" si="117"/>
        <v>HDM</v>
      </c>
      <c r="C1895" s="33" t="str">
        <f t="shared" si="118"/>
        <v>11305-0000</v>
      </c>
      <c r="D1895" t="s">
        <v>20730</v>
      </c>
      <c r="E1895" t="s">
        <v>13229</v>
      </c>
      <c r="F1895" t="s">
        <v>14039</v>
      </c>
      <c r="G1895" t="s">
        <v>14672</v>
      </c>
      <c r="H1895" t="s">
        <v>13869</v>
      </c>
      <c r="I1895" t="s">
        <v>14690</v>
      </c>
      <c r="J1895" s="62">
        <v>0</v>
      </c>
      <c r="K1895" s="62">
        <v>0</v>
      </c>
      <c r="L1895" t="str">
        <f>VLOOKUP(VALUE(LEFT(C1895,5)),Xref!A:B,2,0)</f>
        <v>NEW</v>
      </c>
      <c r="M1895" t="str">
        <f t="shared" si="119"/>
        <v>HDM-NEW</v>
      </c>
    </row>
    <row r="1896" spans="1:13" ht="14.25" customHeight="true">
      <c r="A1896" s="33" t="str">
        <f t="shared" si="116"/>
        <v>HDM - Intercompany</v>
      </c>
      <c r="B1896" s="33" t="str">
        <f t="shared" si="117"/>
        <v>HDM</v>
      </c>
      <c r="C1896" s="33" t="str">
        <f t="shared" si="118"/>
        <v>11307-0000</v>
      </c>
      <c r="D1896" t="s">
        <v>20731</v>
      </c>
      <c r="E1896" t="s">
        <v>14096</v>
      </c>
      <c r="F1896" t="s">
        <v>14039</v>
      </c>
      <c r="G1896" t="s">
        <v>14672</v>
      </c>
      <c r="H1896" t="s">
        <v>13869</v>
      </c>
      <c r="I1896" t="s">
        <v>14690</v>
      </c>
      <c r="J1896" s="62">
        <v>0</v>
      </c>
      <c r="K1896" s="62">
        <v>0</v>
      </c>
      <c r="L1896" t="str">
        <f>VLOOKUP(VALUE(LEFT(C1896,5)),Xref!A:B,2,0)</f>
        <v>NES</v>
      </c>
      <c r="M1896" t="str">
        <f t="shared" si="119"/>
        <v>HDM-NES</v>
      </c>
    </row>
    <row r="1897" spans="1:13" ht="14.25" customHeight="true">
      <c r="A1897" s="33" t="str">
        <f t="shared" si="116"/>
        <v>HDM - Intercompany</v>
      </c>
      <c r="B1897" s="33" t="str">
        <f t="shared" si="117"/>
        <v>HDM</v>
      </c>
      <c r="C1897" s="33" t="str">
        <f t="shared" si="118"/>
        <v>11308-0000</v>
      </c>
      <c r="D1897" t="s">
        <v>20732</v>
      </c>
      <c r="E1897" t="s">
        <v>13476</v>
      </c>
      <c r="F1897" t="s">
        <v>14039</v>
      </c>
      <c r="G1897" t="s">
        <v>14672</v>
      </c>
      <c r="H1897" t="s">
        <v>13869</v>
      </c>
      <c r="I1897" t="s">
        <v>14690</v>
      </c>
      <c r="J1897" s="62">
        <v>0</v>
      </c>
      <c r="K1897" s="62">
        <v>0</v>
      </c>
      <c r="L1897" t="str">
        <f>VLOOKUP(VALUE(LEFT(C1897,5)),Xref!A:B,2,0)</f>
        <v>LPI</v>
      </c>
      <c r="M1897" t="str">
        <f t="shared" si="119"/>
        <v>HDM-LPI</v>
      </c>
    </row>
    <row r="1898" spans="1:13" ht="14.25" customHeight="true">
      <c r="A1898" s="33" t="str">
        <f t="shared" si="116"/>
        <v>HDM - Intercompany</v>
      </c>
      <c r="B1898" s="33" t="str">
        <f t="shared" si="117"/>
        <v>HDM</v>
      </c>
      <c r="C1898" s="33" t="str">
        <f t="shared" si="118"/>
        <v>11309-0000</v>
      </c>
      <c r="D1898" t="s">
        <v>20733</v>
      </c>
      <c r="E1898" t="s">
        <v>13230</v>
      </c>
      <c r="F1898" t="s">
        <v>14039</v>
      </c>
      <c r="G1898" t="s">
        <v>14672</v>
      </c>
      <c r="H1898" t="s">
        <v>13869</v>
      </c>
      <c r="I1898" t="s">
        <v>14690</v>
      </c>
      <c r="J1898" s="62">
        <v>0</v>
      </c>
      <c r="K1898" s="62">
        <v>0</v>
      </c>
      <c r="L1898" t="str">
        <f>VLOOKUP(VALUE(LEFT(C1898,5)),Xref!A:B,2,0)</f>
        <v>GPI</v>
      </c>
      <c r="M1898" t="str">
        <f t="shared" si="119"/>
        <v>GPI-HDM</v>
      </c>
    </row>
    <row r="1899" spans="1:13" ht="14.25" customHeight="true">
      <c r="A1899" s="33" t="str">
        <f t="shared" si="116"/>
        <v>HDM - Intercompany</v>
      </c>
      <c r="B1899" s="33" t="str">
        <f t="shared" si="117"/>
        <v>HDM</v>
      </c>
      <c r="C1899" s="33" t="str">
        <f t="shared" si="118"/>
        <v>11310-0000</v>
      </c>
      <c r="D1899" t="s">
        <v>20734</v>
      </c>
      <c r="E1899" t="s">
        <v>13231</v>
      </c>
      <c r="F1899" t="s">
        <v>14039</v>
      </c>
      <c r="G1899" t="s">
        <v>14672</v>
      </c>
      <c r="H1899" t="s">
        <v>13869</v>
      </c>
      <c r="I1899" t="s">
        <v>14690</v>
      </c>
      <c r="J1899" s="62">
        <v>0</v>
      </c>
      <c r="K1899" s="62">
        <v>0</v>
      </c>
      <c r="L1899" t="str">
        <f>VLOOKUP(VALUE(LEFT(C1899,5)),Xref!A:B,2,0)</f>
        <v>ALP</v>
      </c>
      <c r="M1899" t="str">
        <f t="shared" si="119"/>
        <v>ALP-HDM</v>
      </c>
    </row>
    <row r="1900" spans="1:13" ht="14.25" customHeight="true">
      <c r="A1900" s="33" t="str">
        <f t="shared" si="116"/>
        <v>HDM - Intercompany</v>
      </c>
      <c r="B1900" s="33" t="str">
        <f t="shared" si="117"/>
        <v>HDM</v>
      </c>
      <c r="C1900" s="33" t="str">
        <f t="shared" si="118"/>
        <v>11311-0000</v>
      </c>
      <c r="D1900" t="s">
        <v>20735</v>
      </c>
      <c r="E1900" t="s">
        <v>13232</v>
      </c>
      <c r="F1900" t="s">
        <v>14039</v>
      </c>
      <c r="G1900" t="s">
        <v>14672</v>
      </c>
      <c r="H1900" t="s">
        <v>13869</v>
      </c>
      <c r="I1900" t="s">
        <v>14690</v>
      </c>
      <c r="J1900" s="62">
        <v>0</v>
      </c>
      <c r="K1900" s="62">
        <v>0</v>
      </c>
      <c r="L1900" t="str">
        <f>VLOOKUP(VALUE(LEFT(C1900,5)),Xref!A:B,2,0)</f>
        <v>BET</v>
      </c>
      <c r="M1900" t="str">
        <f t="shared" si="119"/>
        <v>BET-HDM</v>
      </c>
    </row>
    <row r="1901" spans="1:13" ht="14.25" customHeight="true">
      <c r="A1901" s="33" t="str">
        <f t="shared" si="116"/>
        <v>HDM - Intercompany</v>
      </c>
      <c r="B1901" s="33" t="str">
        <f t="shared" si="117"/>
        <v>HDM</v>
      </c>
      <c r="C1901" s="33" t="str">
        <f t="shared" si="118"/>
        <v>11312-0000</v>
      </c>
      <c r="D1901" t="s">
        <v>20736</v>
      </c>
      <c r="E1901" t="s">
        <v>14102</v>
      </c>
      <c r="F1901" t="s">
        <v>14039</v>
      </c>
      <c r="G1901" t="s">
        <v>14672</v>
      </c>
      <c r="H1901" t="s">
        <v>13869</v>
      </c>
      <c r="I1901" t="s">
        <v>14690</v>
      </c>
      <c r="J1901" s="62">
        <v>0</v>
      </c>
      <c r="K1901" s="62">
        <v>0</v>
      </c>
      <c r="L1901" t="str">
        <f>VLOOKUP(VALUE(LEFT(C1901,5)),Xref!A:B,2,0)</f>
        <v>DEL</v>
      </c>
      <c r="M1901" t="str">
        <f t="shared" si="119"/>
        <v>DEL-HDM</v>
      </c>
    </row>
    <row r="1902" spans="1:13" ht="14.25" customHeight="true">
      <c r="A1902" s="33" t="str">
        <f t="shared" si="116"/>
        <v>HDM - Intercompany</v>
      </c>
      <c r="B1902" s="33" t="str">
        <f t="shared" si="117"/>
        <v>HDM</v>
      </c>
      <c r="C1902" s="33" t="str">
        <f t="shared" si="118"/>
        <v>11313-0000</v>
      </c>
      <c r="D1902" t="s">
        <v>20737</v>
      </c>
      <c r="E1902" t="s">
        <v>13233</v>
      </c>
      <c r="F1902" t="s">
        <v>14039</v>
      </c>
      <c r="G1902" t="s">
        <v>14672</v>
      </c>
      <c r="H1902" t="s">
        <v>13869</v>
      </c>
      <c r="I1902" t="s">
        <v>14690</v>
      </c>
      <c r="J1902" s="62">
        <v>0</v>
      </c>
      <c r="K1902" s="62">
        <v>0</v>
      </c>
      <c r="L1902" t="str">
        <f>VLOOKUP(VALUE(LEFT(C1902,5)),Xref!A:B,2,0)</f>
        <v>DOL</v>
      </c>
      <c r="M1902" t="str">
        <f t="shared" si="119"/>
        <v>DOL-HDM</v>
      </c>
    </row>
    <row r="1903" spans="1:13" ht="14.25" customHeight="true">
      <c r="A1903" s="33" t="str">
        <f t="shared" si="116"/>
        <v>HDM - Intercompany</v>
      </c>
      <c r="B1903" s="33" t="str">
        <f t="shared" si="117"/>
        <v>HDM</v>
      </c>
      <c r="C1903" s="33" t="str">
        <f t="shared" si="118"/>
        <v>11314-0000</v>
      </c>
      <c r="D1903" t="s">
        <v>20738</v>
      </c>
      <c r="E1903" t="s">
        <v>13351</v>
      </c>
      <c r="F1903" t="s">
        <v>14039</v>
      </c>
      <c r="G1903" t="s">
        <v>14672</v>
      </c>
      <c r="H1903" t="s">
        <v>13869</v>
      </c>
      <c r="I1903" t="s">
        <v>14690</v>
      </c>
      <c r="J1903" s="62">
        <v>0</v>
      </c>
      <c r="K1903" s="62">
        <v>0</v>
      </c>
      <c r="L1903" t="str">
        <f>VLOOKUP(VALUE(LEFT(C1903,5)),Xref!A:B,2,0)</f>
        <v>GRI</v>
      </c>
      <c r="M1903" t="str">
        <f t="shared" si="119"/>
        <v>GRI-HDM</v>
      </c>
    </row>
    <row r="1904" spans="1:13" ht="14.25" customHeight="true">
      <c r="A1904" s="33" t="str">
        <f t="shared" si="116"/>
        <v>HDM - Intercompany</v>
      </c>
      <c r="B1904" s="33" t="str">
        <f t="shared" si="117"/>
        <v>HDM</v>
      </c>
      <c r="C1904" s="33" t="str">
        <f t="shared" si="118"/>
        <v>11315-0000</v>
      </c>
      <c r="D1904" t="s">
        <v>20739</v>
      </c>
      <c r="E1904" t="s">
        <v>13234</v>
      </c>
      <c r="F1904" t="s">
        <v>14039</v>
      </c>
      <c r="G1904" t="s">
        <v>14672</v>
      </c>
      <c r="H1904" t="s">
        <v>13869</v>
      </c>
      <c r="I1904" t="s">
        <v>14690</v>
      </c>
      <c r="J1904" s="62">
        <v>0</v>
      </c>
      <c r="K1904" s="62">
        <v>0</v>
      </c>
      <c r="L1904" t="str">
        <f>VLOOKUP(VALUE(LEFT(C1904,5)),Xref!A:B,2,0)</f>
        <v>PUR</v>
      </c>
      <c r="M1904" t="str">
        <f t="shared" si="119"/>
        <v>HDM-PUR</v>
      </c>
    </row>
    <row r="1905" spans="1:13" ht="14.25" customHeight="true">
      <c r="A1905" s="33" t="str">
        <f t="shared" si="116"/>
        <v>HDM - Intercompany</v>
      </c>
      <c r="B1905" s="33" t="str">
        <f t="shared" si="117"/>
        <v>HDM</v>
      </c>
      <c r="C1905" s="33" t="str">
        <f t="shared" si="118"/>
        <v>11316-0000</v>
      </c>
      <c r="D1905" t="s">
        <v>20740</v>
      </c>
      <c r="E1905" t="s">
        <v>13235</v>
      </c>
      <c r="F1905" t="s">
        <v>14039</v>
      </c>
      <c r="G1905" t="s">
        <v>14672</v>
      </c>
      <c r="H1905" t="s">
        <v>13869</v>
      </c>
      <c r="I1905" t="s">
        <v>14690</v>
      </c>
      <c r="J1905" s="62">
        <v>0</v>
      </c>
      <c r="K1905" s="62">
        <v>0</v>
      </c>
      <c r="L1905" t="str">
        <f>VLOOKUP(VALUE(LEFT(C1905,5)),Xref!A:B,2,0)</f>
        <v>VAL</v>
      </c>
      <c r="M1905" t="str">
        <f t="shared" si="119"/>
        <v>HDM-VAL</v>
      </c>
    </row>
    <row r="1906" spans="1:13" ht="14.25" customHeight="true">
      <c r="A1906" s="33" t="str">
        <f t="shared" si="116"/>
        <v>HDM - Intercompany</v>
      </c>
      <c r="B1906" s="33" t="str">
        <f t="shared" si="117"/>
        <v>HDM</v>
      </c>
      <c r="C1906" s="33" t="str">
        <f t="shared" si="118"/>
        <v>11317-0000</v>
      </c>
      <c r="D1906" t="s">
        <v>20741</v>
      </c>
      <c r="E1906" t="s">
        <v>13352</v>
      </c>
      <c r="F1906" t="s">
        <v>14039</v>
      </c>
      <c r="G1906" t="s">
        <v>14672</v>
      </c>
      <c r="H1906" t="s">
        <v>13869</v>
      </c>
      <c r="I1906" t="s">
        <v>14690</v>
      </c>
      <c r="J1906" s="62">
        <v>0</v>
      </c>
      <c r="K1906" s="62">
        <v>0</v>
      </c>
      <c r="L1906" t="str">
        <f>VLOOKUP(VALUE(LEFT(C1906,5)),Xref!A:B,2,0)</f>
        <v>AKG</v>
      </c>
      <c r="M1906" t="str">
        <f t="shared" si="119"/>
        <v>AKG-HDM</v>
      </c>
    </row>
    <row r="1907" spans="1:13" ht="14.25" customHeight="true">
      <c r="A1907" s="33" t="str">
        <f t="shared" si="116"/>
        <v>HDM - Intercompany</v>
      </c>
      <c r="B1907" s="33" t="str">
        <f t="shared" si="117"/>
        <v>HDM</v>
      </c>
      <c r="C1907" s="33" t="str">
        <f t="shared" si="118"/>
        <v>11318-0000</v>
      </c>
      <c r="D1907" t="s">
        <v>20742</v>
      </c>
      <c r="E1907" t="s">
        <v>13477</v>
      </c>
      <c r="F1907" t="s">
        <v>14039</v>
      </c>
      <c r="G1907" t="s">
        <v>14672</v>
      </c>
      <c r="H1907" t="s">
        <v>13869</v>
      </c>
      <c r="I1907" t="s">
        <v>14690</v>
      </c>
      <c r="J1907" s="62">
        <v>0</v>
      </c>
      <c r="K1907" s="62">
        <v>0</v>
      </c>
      <c r="L1907" t="str">
        <f>VLOOKUP(VALUE(LEFT(C1907,5)),Xref!A:B,2,0)</f>
        <v>FIR</v>
      </c>
      <c r="M1907" t="str">
        <f t="shared" si="119"/>
        <v>FIR-HDM</v>
      </c>
    </row>
    <row r="1908" spans="1:13" ht="14.25" customHeight="true">
      <c r="A1908" s="33" t="str">
        <f t="shared" si="116"/>
        <v>HDM - Intercompany</v>
      </c>
      <c r="B1908" s="33" t="str">
        <f t="shared" si="117"/>
        <v>HDM</v>
      </c>
      <c r="C1908" s="33" t="str">
        <f t="shared" si="118"/>
        <v>11319-0000</v>
      </c>
      <c r="D1908" t="s">
        <v>20743</v>
      </c>
      <c r="E1908" t="s">
        <v>266</v>
      </c>
      <c r="F1908" t="s">
        <v>14039</v>
      </c>
      <c r="G1908" t="s">
        <v>14672</v>
      </c>
      <c r="H1908" t="s">
        <v>13869</v>
      </c>
      <c r="I1908" t="s">
        <v>14690</v>
      </c>
      <c r="J1908" s="62">
        <v>0</v>
      </c>
      <c r="K1908" s="62">
        <v>0</v>
      </c>
      <c r="L1908" t="str">
        <f>VLOOKUP(VALUE(LEFT(C1908,5)),Xref!A:B,2,0)</f>
        <v>GST</v>
      </c>
      <c r="M1908" t="str">
        <f t="shared" si="119"/>
        <v>GST-HDM</v>
      </c>
    </row>
    <row r="1909" spans="1:13" ht="14.25" customHeight="true">
      <c r="A1909" s="33" t="str">
        <f t="shared" si="116"/>
        <v>HDM - Intercompany</v>
      </c>
      <c r="B1909" s="33" t="str">
        <f t="shared" si="117"/>
        <v>HDM</v>
      </c>
      <c r="C1909" s="33" t="str">
        <f t="shared" si="118"/>
        <v>11320-0000</v>
      </c>
      <c r="D1909" t="s">
        <v>6342</v>
      </c>
      <c r="E1909" t="s">
        <v>14111</v>
      </c>
      <c r="F1909" t="s">
        <v>14039</v>
      </c>
      <c r="G1909" t="s">
        <v>14672</v>
      </c>
      <c r="H1909" t="s">
        <v>13869</v>
      </c>
      <c r="I1909" t="s">
        <v>14690</v>
      </c>
      <c r="J1909" s="62">
        <v>0</v>
      </c>
      <c r="K1909" s="62">
        <v>-450000</v>
      </c>
      <c r="L1909" t="str">
        <f>VLOOKUP(VALUE(LEFT(C1909,5)),Xref!A:B,2,0)</f>
        <v>HDN</v>
      </c>
      <c r="M1909" t="str">
        <f t="shared" si="119"/>
        <v>HDM-HDN</v>
      </c>
    </row>
    <row r="1910" spans="1:13" ht="14.25" customHeight="true">
      <c r="A1910" s="33" t="str">
        <f t="shared" si="116"/>
        <v>HDM - Intercompany</v>
      </c>
      <c r="B1910" s="33" t="str">
        <f t="shared" si="117"/>
        <v>HDM</v>
      </c>
      <c r="C1910" s="33" t="str">
        <f t="shared" si="118"/>
        <v>11321-0000</v>
      </c>
      <c r="D1910" t="s">
        <v>20744</v>
      </c>
      <c r="E1910" t="s">
        <v>13236</v>
      </c>
      <c r="F1910" t="s">
        <v>14039</v>
      </c>
      <c r="G1910" t="s">
        <v>14672</v>
      </c>
      <c r="H1910" t="s">
        <v>13869</v>
      </c>
      <c r="I1910" t="s">
        <v>14690</v>
      </c>
      <c r="J1910" s="62">
        <v>0</v>
      </c>
      <c r="K1910" s="62">
        <v>0</v>
      </c>
      <c r="L1910" t="str">
        <f>VLOOKUP(VALUE(LEFT(C1910,5)),Xref!A:B,2,0)</f>
        <v>OVA</v>
      </c>
      <c r="M1910" t="str">
        <f t="shared" si="119"/>
        <v>HDM-OVA</v>
      </c>
    </row>
    <row r="1911" spans="1:13" ht="14.25" customHeight="true">
      <c r="A1911" s="33" t="str">
        <f t="shared" si="116"/>
        <v>HDM - Intercompany</v>
      </c>
      <c r="B1911" s="33" t="str">
        <f t="shared" si="117"/>
        <v>HDM</v>
      </c>
      <c r="C1911" s="33" t="str">
        <f t="shared" si="118"/>
        <v>11322-0000</v>
      </c>
      <c r="D1911" t="s">
        <v>20745</v>
      </c>
      <c r="E1911" t="s">
        <v>13237</v>
      </c>
      <c r="F1911" t="s">
        <v>14039</v>
      </c>
      <c r="G1911" t="s">
        <v>14672</v>
      </c>
      <c r="H1911" t="s">
        <v>13869</v>
      </c>
      <c r="I1911" t="s">
        <v>14690</v>
      </c>
      <c r="J1911" s="62">
        <v>0</v>
      </c>
      <c r="K1911" s="62">
        <v>0</v>
      </c>
      <c r="L1911" t="str">
        <f>VLOOKUP(VALUE(LEFT(C1911,5)),Xref!A:B,2,0)</f>
        <v>WOO</v>
      </c>
      <c r="M1911" t="str">
        <f t="shared" si="119"/>
        <v>HDM-WOO</v>
      </c>
    </row>
    <row r="1912" spans="1:13" ht="14.25" customHeight="true">
      <c r="A1912" s="33" t="str">
        <f t="shared" si="116"/>
        <v>HDM - Intercompany</v>
      </c>
      <c r="B1912" s="33" t="str">
        <f t="shared" si="117"/>
        <v>HDM</v>
      </c>
      <c r="C1912" s="33" t="str">
        <f t="shared" si="118"/>
        <v>11323-0000</v>
      </c>
      <c r="D1912" t="s">
        <v>20746</v>
      </c>
      <c r="E1912" t="s">
        <v>13478</v>
      </c>
      <c r="F1912" t="s">
        <v>14039</v>
      </c>
      <c r="G1912" t="s">
        <v>14672</v>
      </c>
      <c r="H1912" t="s">
        <v>13869</v>
      </c>
      <c r="I1912" t="s">
        <v>14690</v>
      </c>
      <c r="J1912" s="62">
        <v>0</v>
      </c>
      <c r="K1912" s="62">
        <v>0</v>
      </c>
      <c r="L1912" t="str">
        <f>VLOOKUP(VALUE(LEFT(C1912,5)),Xref!A:B,2,0)</f>
        <v>SPI</v>
      </c>
      <c r="M1912" t="str">
        <f t="shared" si="119"/>
        <v>HDM-SPI</v>
      </c>
    </row>
    <row r="1913" spans="1:13" ht="14.25" customHeight="true">
      <c r="A1913" s="33" t="str">
        <f t="shared" si="116"/>
        <v>HDM - Intercompany</v>
      </c>
      <c r="B1913" s="33" t="str">
        <f t="shared" si="117"/>
        <v>HDM</v>
      </c>
      <c r="C1913" s="33" t="str">
        <f t="shared" si="118"/>
        <v>11324-0000</v>
      </c>
      <c r="D1913" t="s">
        <v>20747</v>
      </c>
      <c r="E1913" t="s">
        <v>13238</v>
      </c>
      <c r="F1913" t="s">
        <v>14039</v>
      </c>
      <c r="G1913" t="s">
        <v>14672</v>
      </c>
      <c r="H1913" t="s">
        <v>13869</v>
      </c>
      <c r="I1913" t="s">
        <v>14690</v>
      </c>
      <c r="J1913" s="62">
        <v>0</v>
      </c>
      <c r="K1913" s="62">
        <v>0</v>
      </c>
      <c r="L1913" t="str">
        <f>VLOOKUP(VALUE(LEFT(C1913,5)),Xref!A:B,2,0)</f>
        <v>NET</v>
      </c>
      <c r="M1913" t="str">
        <f t="shared" si="119"/>
        <v>HDM-NET</v>
      </c>
    </row>
    <row r="1914" spans="1:13" ht="14.25" customHeight="true">
      <c r="A1914" s="33" t="str">
        <f t="shared" si="116"/>
        <v>HDM - Intercompany</v>
      </c>
      <c r="B1914" s="33" t="str">
        <f t="shared" si="117"/>
        <v>HDM</v>
      </c>
      <c r="C1914" s="33" t="str">
        <f t="shared" si="118"/>
        <v>11325-0000</v>
      </c>
      <c r="D1914" t="s">
        <v>20748</v>
      </c>
      <c r="E1914" t="s">
        <v>13239</v>
      </c>
      <c r="F1914" t="s">
        <v>14039</v>
      </c>
      <c r="G1914" t="s">
        <v>14672</v>
      </c>
      <c r="H1914" t="s">
        <v>13869</v>
      </c>
      <c r="I1914" t="s">
        <v>14690</v>
      </c>
      <c r="J1914" s="62">
        <v>0</v>
      </c>
      <c r="K1914" s="62">
        <v>0</v>
      </c>
      <c r="L1914" t="str">
        <f>VLOOKUP(VALUE(LEFT(C1914,5)),Xref!A:B,2,0)</f>
        <v>DPI</v>
      </c>
      <c r="M1914" t="str">
        <f t="shared" si="119"/>
        <v>DPI-HDM</v>
      </c>
    </row>
    <row r="1915" spans="1:13" ht="14.25" customHeight="true">
      <c r="A1915" s="33" t="str">
        <f t="shared" si="116"/>
        <v>HDM - Intercompany</v>
      </c>
      <c r="B1915" s="33" t="str">
        <f t="shared" si="117"/>
        <v>HDM</v>
      </c>
      <c r="C1915" s="33" t="str">
        <f t="shared" si="118"/>
        <v>11326-0000</v>
      </c>
      <c r="D1915" t="s">
        <v>20749</v>
      </c>
      <c r="E1915" t="s">
        <v>13240</v>
      </c>
      <c r="F1915" t="s">
        <v>14039</v>
      </c>
      <c r="G1915" t="s">
        <v>14672</v>
      </c>
      <c r="H1915" t="s">
        <v>13869</v>
      </c>
      <c r="I1915" t="s">
        <v>14690</v>
      </c>
      <c r="J1915" s="62">
        <v>0</v>
      </c>
      <c r="K1915" s="62">
        <v>0</v>
      </c>
      <c r="L1915" t="str">
        <f>VLOOKUP(VALUE(LEFT(C1915,5)),Xref!A:B,2,0)</f>
        <v>SEK</v>
      </c>
      <c r="M1915" t="str">
        <f t="shared" si="119"/>
        <v>HDM-SEK</v>
      </c>
    </row>
    <row r="1916" spans="1:13" ht="14.25" customHeight="true">
      <c r="A1916" s="33" t="str">
        <f t="shared" si="116"/>
        <v>HDM - Intercompany</v>
      </c>
      <c r="B1916" s="33" t="str">
        <f t="shared" si="117"/>
        <v>HDM</v>
      </c>
      <c r="C1916" s="33" t="str">
        <f t="shared" si="118"/>
        <v>11327-0000</v>
      </c>
      <c r="D1916" t="s">
        <v>20750</v>
      </c>
      <c r="E1916" t="s">
        <v>14119</v>
      </c>
      <c r="F1916" t="s">
        <v>14039</v>
      </c>
      <c r="G1916" t="s">
        <v>14672</v>
      </c>
      <c r="H1916" t="s">
        <v>13869</v>
      </c>
      <c r="I1916" t="s">
        <v>14690</v>
      </c>
      <c r="J1916" s="62">
        <v>0</v>
      </c>
      <c r="K1916" s="62">
        <v>0</v>
      </c>
      <c r="L1916" t="str">
        <f>VLOOKUP(VALUE(LEFT(C1916,5)),Xref!A:B,2,0)</f>
        <v>CPI</v>
      </c>
      <c r="M1916" t="str">
        <f t="shared" si="119"/>
        <v>CPI-HDM</v>
      </c>
    </row>
    <row r="1917" spans="1:13" ht="14.25" customHeight="true">
      <c r="A1917" s="33" t="str">
        <f t="shared" si="116"/>
        <v>HDM - Intercompany</v>
      </c>
      <c r="B1917" s="33" t="str">
        <f t="shared" si="117"/>
        <v>HDM</v>
      </c>
      <c r="C1917" s="33" t="str">
        <f t="shared" si="118"/>
        <v>11328-0000</v>
      </c>
      <c r="D1917" t="s">
        <v>20751</v>
      </c>
      <c r="E1917" t="s">
        <v>13241</v>
      </c>
      <c r="F1917" t="s">
        <v>14039</v>
      </c>
      <c r="G1917" t="s">
        <v>14672</v>
      </c>
      <c r="H1917" t="s">
        <v>13869</v>
      </c>
      <c r="I1917" t="s">
        <v>14690</v>
      </c>
      <c r="J1917" s="62">
        <v>0</v>
      </c>
      <c r="K1917" s="62">
        <v>0</v>
      </c>
      <c r="L1917" t="str">
        <f>VLOOKUP(VALUE(LEFT(C1917,5)),Xref!A:B,2,0)</f>
        <v>LOM</v>
      </c>
      <c r="M1917" t="str">
        <f t="shared" si="119"/>
        <v>HDM-LOM</v>
      </c>
    </row>
    <row r="1918" spans="1:13" ht="14.25" customHeight="true">
      <c r="A1918" s="33" t="str">
        <f t="shared" si="116"/>
        <v>HDM - Intercompany</v>
      </c>
      <c r="B1918" s="33" t="str">
        <f t="shared" si="117"/>
        <v>HDM</v>
      </c>
      <c r="C1918" s="33" t="str">
        <f t="shared" si="118"/>
        <v>11329-0000</v>
      </c>
      <c r="D1918" t="s">
        <v>20752</v>
      </c>
      <c r="E1918" t="s">
        <v>13353</v>
      </c>
      <c r="F1918" t="s">
        <v>14039</v>
      </c>
      <c r="G1918" t="s">
        <v>14672</v>
      </c>
      <c r="H1918" t="s">
        <v>13869</v>
      </c>
      <c r="I1918" t="s">
        <v>14690</v>
      </c>
      <c r="J1918" s="62">
        <v>0</v>
      </c>
      <c r="K1918" s="62">
        <v>0</v>
      </c>
      <c r="L1918" t="str">
        <f>VLOOKUP(VALUE(LEFT(C1918,5)),Xref!A:B,2,0)</f>
        <v>AKS</v>
      </c>
      <c r="M1918" t="str">
        <f t="shared" si="119"/>
        <v>AKS-HDM</v>
      </c>
    </row>
    <row r="1919" spans="1:13" ht="14.25" customHeight="true">
      <c r="A1919" s="33" t="str">
        <f t="shared" si="116"/>
        <v>HDM - Intercompany</v>
      </c>
      <c r="B1919" s="33" t="str">
        <f t="shared" si="117"/>
        <v>HDM</v>
      </c>
      <c r="C1919" s="33" t="str">
        <f t="shared" si="118"/>
        <v>11330-0000</v>
      </c>
      <c r="D1919" t="s">
        <v>20753</v>
      </c>
      <c r="E1919" t="s">
        <v>13242</v>
      </c>
      <c r="F1919" t="s">
        <v>14039</v>
      </c>
      <c r="G1919" t="s">
        <v>14672</v>
      </c>
      <c r="H1919" t="s">
        <v>13869</v>
      </c>
      <c r="I1919" t="s">
        <v>14690</v>
      </c>
      <c r="J1919" s="62">
        <v>0</v>
      </c>
      <c r="K1919" s="62">
        <v>0</v>
      </c>
      <c r="L1919" t="str">
        <f>VLOOKUP(VALUE(LEFT(C1919,5)),Xref!A:B,2,0)</f>
        <v>MAR</v>
      </c>
      <c r="M1919" t="str">
        <f t="shared" si="119"/>
        <v>HDM-MAR</v>
      </c>
    </row>
    <row r="1920" spans="1:13" ht="14.25" customHeight="true">
      <c r="A1920" s="33" t="str">
        <f t="shared" si="116"/>
        <v>HDM - Intercompany</v>
      </c>
      <c r="B1920" s="33" t="str">
        <f t="shared" si="117"/>
        <v>HDM</v>
      </c>
      <c r="C1920" s="33" t="str">
        <f t="shared" si="118"/>
        <v>11331-0000</v>
      </c>
      <c r="D1920" t="s">
        <v>20754</v>
      </c>
      <c r="E1920" t="s">
        <v>13354</v>
      </c>
      <c r="F1920" t="s">
        <v>14039</v>
      </c>
      <c r="G1920" t="s">
        <v>14672</v>
      </c>
      <c r="H1920" t="s">
        <v>13869</v>
      </c>
      <c r="I1920" t="s">
        <v>14690</v>
      </c>
      <c r="J1920" s="62">
        <v>0</v>
      </c>
      <c r="K1920" s="62">
        <v>0</v>
      </c>
      <c r="L1920" t="str">
        <f>VLOOKUP(VALUE(LEFT(C1920,5)),Xref!A:B,2,0)</f>
        <v>WIL</v>
      </c>
      <c r="M1920" t="str">
        <f t="shared" si="119"/>
        <v>HDM-WIL</v>
      </c>
    </row>
    <row r="1921" spans="1:13" ht="14.25" customHeight="true">
      <c r="A1921" s="33" t="str">
        <f t="shared" si="116"/>
        <v>HDM - Intercompany</v>
      </c>
      <c r="B1921" s="33" t="str">
        <f t="shared" si="117"/>
        <v>HDM</v>
      </c>
      <c r="C1921" s="33" t="str">
        <f t="shared" si="118"/>
        <v>11332-0000</v>
      </c>
      <c r="D1921" t="s">
        <v>20755</v>
      </c>
      <c r="E1921" t="s">
        <v>13243</v>
      </c>
      <c r="F1921" t="s">
        <v>14039</v>
      </c>
      <c r="G1921" t="s">
        <v>14672</v>
      </c>
      <c r="H1921" t="s">
        <v>13869</v>
      </c>
      <c r="I1921" t="s">
        <v>14690</v>
      </c>
      <c r="J1921" s="62">
        <v>0</v>
      </c>
      <c r="K1921" s="62">
        <v>0</v>
      </c>
      <c r="L1921" t="str">
        <f>VLOOKUP(VALUE(LEFT(C1921,5)),Xref!A:B,2,0)</f>
        <v>STO</v>
      </c>
      <c r="M1921" t="str">
        <f t="shared" si="119"/>
        <v>HDM-STO</v>
      </c>
    </row>
    <row r="1922" spans="1:13" ht="14.25" customHeight="true">
      <c r="A1922" s="33" t="str">
        <f t="shared" ref="A1922:A1985" si="120">B1922&amp;" - "&amp;TRIM(H1922)</f>
        <v>HDM - Intercompany</v>
      </c>
      <c r="B1922" s="33" t="str">
        <f t="shared" ref="B1922:B1985" si="121">LEFT(D1922,3)</f>
        <v>HDM</v>
      </c>
      <c r="C1922" s="33" t="str">
        <f t="shared" ref="C1922:C1985" si="122">RIGHT(D1922,10)</f>
        <v>11333-0000</v>
      </c>
      <c r="D1922" t="s">
        <v>20756</v>
      </c>
      <c r="E1922" t="s">
        <v>13244</v>
      </c>
      <c r="F1922" t="s">
        <v>14039</v>
      </c>
      <c r="G1922" t="s">
        <v>14672</v>
      </c>
      <c r="H1922" t="s">
        <v>13869</v>
      </c>
      <c r="I1922" t="s">
        <v>14690</v>
      </c>
      <c r="J1922" s="62">
        <v>0</v>
      </c>
      <c r="K1922" s="62">
        <v>0</v>
      </c>
      <c r="L1922" t="str">
        <f>VLOOKUP(VALUE(LEFT(C1922,5)),Xref!A:B,2,0)</f>
        <v>ANG</v>
      </c>
      <c r="M1922" t="str">
        <f t="shared" ref="M1922:M1985" si="123">IF(B1922&lt;L1922,B1922&amp;"-"&amp;L1922,L1922&amp;"-"&amp;B1922)</f>
        <v>ANG-HDM</v>
      </c>
    </row>
    <row r="1923" spans="1:13" ht="14.25" customHeight="true">
      <c r="A1923" s="33" t="str">
        <f t="shared" si="120"/>
        <v>HDM - Intercompany</v>
      </c>
      <c r="B1923" s="33" t="str">
        <f t="shared" si="121"/>
        <v>HDM</v>
      </c>
      <c r="C1923" s="33" t="str">
        <f t="shared" si="122"/>
        <v>11334-0000</v>
      </c>
      <c r="D1923" t="s">
        <v>20757</v>
      </c>
      <c r="E1923" t="s">
        <v>13245</v>
      </c>
      <c r="F1923" t="s">
        <v>14039</v>
      </c>
      <c r="G1923" t="s">
        <v>14672</v>
      </c>
      <c r="H1923" t="s">
        <v>13869</v>
      </c>
      <c r="I1923" t="s">
        <v>14690</v>
      </c>
      <c r="J1923" s="62">
        <v>0</v>
      </c>
      <c r="K1923" s="62">
        <v>0</v>
      </c>
      <c r="L1923" t="str">
        <f>VLOOKUP(VALUE(LEFT(C1923,5)),Xref!A:B,2,0)</f>
        <v>BRU</v>
      </c>
      <c r="M1923" t="str">
        <f t="shared" si="123"/>
        <v>BRU-HDM</v>
      </c>
    </row>
    <row r="1924" spans="1:13" ht="14.25" customHeight="true">
      <c r="A1924" s="33" t="str">
        <f t="shared" si="120"/>
        <v>HDM - Intercompany</v>
      </c>
      <c r="B1924" s="33" t="str">
        <f t="shared" si="121"/>
        <v>HDM</v>
      </c>
      <c r="C1924" s="33" t="str">
        <f t="shared" si="122"/>
        <v>11335-0000</v>
      </c>
      <c r="D1924" t="s">
        <v>20758</v>
      </c>
      <c r="E1924" t="s">
        <v>13246</v>
      </c>
      <c r="F1924" t="s">
        <v>14039</v>
      </c>
      <c r="G1924" t="s">
        <v>14672</v>
      </c>
      <c r="H1924" t="s">
        <v>13869</v>
      </c>
      <c r="I1924" t="s">
        <v>14690</v>
      </c>
      <c r="J1924" s="62">
        <v>0</v>
      </c>
      <c r="K1924" s="62">
        <v>0</v>
      </c>
      <c r="L1924" t="str">
        <f>VLOOKUP(VALUE(LEFT(C1924,5)),Xref!A:B,2,0)</f>
        <v>VEN</v>
      </c>
      <c r="M1924" t="str">
        <f t="shared" si="123"/>
        <v>HDM-VEN</v>
      </c>
    </row>
    <row r="1925" spans="1:13" ht="14.25" customHeight="true">
      <c r="A1925" s="33" t="str">
        <f t="shared" si="120"/>
        <v>HDM - Intercompany</v>
      </c>
      <c r="B1925" s="33" t="str">
        <f t="shared" si="121"/>
        <v>HDM</v>
      </c>
      <c r="C1925" s="33" t="str">
        <f t="shared" si="122"/>
        <v>11336-0000</v>
      </c>
      <c r="D1925" t="s">
        <v>20759</v>
      </c>
      <c r="E1925" t="s">
        <v>13247</v>
      </c>
      <c r="F1925" t="s">
        <v>14039</v>
      </c>
      <c r="G1925" t="s">
        <v>14672</v>
      </c>
      <c r="H1925" t="s">
        <v>13869</v>
      </c>
      <c r="I1925" t="s">
        <v>14690</v>
      </c>
      <c r="J1925" s="62">
        <v>0</v>
      </c>
      <c r="K1925" s="62">
        <v>0</v>
      </c>
      <c r="L1925" t="str">
        <f>VLOOKUP(VALUE(LEFT(C1925,5)),Xref!A:B,2,0)</f>
        <v>SAT</v>
      </c>
      <c r="M1925" t="str">
        <f t="shared" si="123"/>
        <v>HDM-SAT</v>
      </c>
    </row>
    <row r="1926" spans="1:13" ht="14.25" customHeight="true">
      <c r="A1926" s="33" t="str">
        <f t="shared" si="120"/>
        <v>HDM - Intercompany</v>
      </c>
      <c r="B1926" s="33" t="str">
        <f t="shared" si="121"/>
        <v>HDM</v>
      </c>
      <c r="C1926" s="33" t="str">
        <f t="shared" si="122"/>
        <v>11337-0000</v>
      </c>
      <c r="D1926" t="s">
        <v>20760</v>
      </c>
      <c r="E1926" t="s">
        <v>13248</v>
      </c>
      <c r="F1926" t="s">
        <v>14039</v>
      </c>
      <c r="G1926" t="s">
        <v>14672</v>
      </c>
      <c r="H1926" t="s">
        <v>13869</v>
      </c>
      <c r="I1926" t="s">
        <v>14690</v>
      </c>
      <c r="J1926" s="62">
        <v>0</v>
      </c>
      <c r="K1926" s="62">
        <v>0</v>
      </c>
      <c r="L1926" t="str">
        <f>VLOOKUP(VALUE(LEFT(C1926,5)),Xref!A:B,2,0)</f>
        <v>NEP</v>
      </c>
      <c r="M1926" t="str">
        <f t="shared" si="123"/>
        <v>HDM-NEP</v>
      </c>
    </row>
    <row r="1927" spans="1:13" ht="14.25" customHeight="true">
      <c r="A1927" s="33" t="str">
        <f t="shared" si="120"/>
        <v>HDM - Intercompany</v>
      </c>
      <c r="B1927" s="33" t="str">
        <f t="shared" si="121"/>
        <v>HDM</v>
      </c>
      <c r="C1927" s="33" t="str">
        <f t="shared" si="122"/>
        <v>11338-0000</v>
      </c>
      <c r="D1927" t="s">
        <v>20761</v>
      </c>
      <c r="E1927" t="s">
        <v>14131</v>
      </c>
      <c r="F1927" t="s">
        <v>14039</v>
      </c>
      <c r="G1927" t="s">
        <v>14672</v>
      </c>
      <c r="H1927" t="s">
        <v>13869</v>
      </c>
      <c r="I1927" t="s">
        <v>14690</v>
      </c>
      <c r="J1927" s="62">
        <v>0</v>
      </c>
      <c r="K1927" s="62">
        <v>0</v>
      </c>
      <c r="L1927" t="str">
        <f>VLOOKUP(VALUE(LEFT(C1927,5)),Xref!A:B,2,0)</f>
        <v>JUP</v>
      </c>
      <c r="M1927" t="str">
        <f t="shared" si="123"/>
        <v>HDM-JUP</v>
      </c>
    </row>
    <row r="1928" spans="1:13" ht="14.25" customHeight="true">
      <c r="A1928" s="33" t="str">
        <f t="shared" si="120"/>
        <v>HDM - Intercompany</v>
      </c>
      <c r="B1928" s="33" t="str">
        <f t="shared" si="121"/>
        <v>HDM</v>
      </c>
      <c r="C1928" s="33" t="str">
        <f t="shared" si="122"/>
        <v>11339-0000</v>
      </c>
      <c r="D1928" t="s">
        <v>20762</v>
      </c>
      <c r="E1928" t="s">
        <v>14133</v>
      </c>
      <c r="F1928" t="s">
        <v>14039</v>
      </c>
      <c r="G1928" t="s">
        <v>14672</v>
      </c>
      <c r="H1928" t="s">
        <v>13869</v>
      </c>
      <c r="I1928" t="s">
        <v>14690</v>
      </c>
      <c r="J1928" s="62">
        <v>0</v>
      </c>
      <c r="K1928" s="62">
        <v>0</v>
      </c>
      <c r="L1928" t="str">
        <f>VLOOKUP(VALUE(LEFT(C1928,5)),Xref!A:B,2,0)</f>
        <v>WES</v>
      </c>
      <c r="M1928" t="str">
        <f t="shared" si="123"/>
        <v>HDM-WES</v>
      </c>
    </row>
    <row r="1929" spans="1:13" ht="14.25" customHeight="true">
      <c r="A1929" s="33" t="str">
        <f t="shared" si="120"/>
        <v>HDM - Intercompany</v>
      </c>
      <c r="B1929" s="33" t="str">
        <f t="shared" si="121"/>
        <v>HDM</v>
      </c>
      <c r="C1929" s="33" t="str">
        <f t="shared" si="122"/>
        <v>11340-0000</v>
      </c>
      <c r="D1929" t="s">
        <v>20763</v>
      </c>
      <c r="E1929" t="s">
        <v>14135</v>
      </c>
      <c r="F1929" t="s">
        <v>14039</v>
      </c>
      <c r="G1929" t="s">
        <v>14672</v>
      </c>
      <c r="H1929" t="s">
        <v>13869</v>
      </c>
      <c r="I1929" t="s">
        <v>14690</v>
      </c>
      <c r="J1929" s="62">
        <v>0</v>
      </c>
      <c r="K1929" s="62">
        <v>0</v>
      </c>
      <c r="L1929" t="str">
        <f>VLOOKUP(VALUE(LEFT(C1929,5)),Xref!A:B,2,0)</f>
        <v>LCP</v>
      </c>
      <c r="M1929" t="str">
        <f t="shared" si="123"/>
        <v>HDM-LCP</v>
      </c>
    </row>
    <row r="1930" spans="1:13" ht="14.25" customHeight="true">
      <c r="A1930" s="33" t="str">
        <f t="shared" si="120"/>
        <v>HDM - Intercompany</v>
      </c>
      <c r="B1930" s="33" t="str">
        <f t="shared" si="121"/>
        <v>HDM</v>
      </c>
      <c r="C1930" s="33" t="str">
        <f t="shared" si="122"/>
        <v>11341-0000</v>
      </c>
      <c r="D1930" t="s">
        <v>20764</v>
      </c>
      <c r="E1930" t="s">
        <v>13639</v>
      </c>
      <c r="F1930" t="s">
        <v>14039</v>
      </c>
      <c r="G1930" t="s">
        <v>14672</v>
      </c>
      <c r="H1930" t="s">
        <v>13869</v>
      </c>
      <c r="I1930" t="s">
        <v>14690</v>
      </c>
      <c r="J1930" s="62">
        <v>0</v>
      </c>
      <c r="K1930" s="62">
        <v>0</v>
      </c>
      <c r="L1930" t="str">
        <f>VLOOKUP(VALUE(LEFT(C1930,5)),Xref!A:B,2,0)</f>
        <v>NOR</v>
      </c>
      <c r="M1930" t="str">
        <f t="shared" si="123"/>
        <v>HDM-NOR</v>
      </c>
    </row>
    <row r="1931" spans="1:13" ht="14.25" customHeight="true">
      <c r="A1931" s="33" t="str">
        <f t="shared" si="120"/>
        <v>HDM - Intercompany</v>
      </c>
      <c r="B1931" s="33" t="str">
        <f t="shared" si="121"/>
        <v>HDM</v>
      </c>
      <c r="C1931" s="33" t="str">
        <f t="shared" si="122"/>
        <v>11342-0000</v>
      </c>
      <c r="D1931" t="s">
        <v>20765</v>
      </c>
      <c r="E1931" t="s">
        <v>13355</v>
      </c>
      <c r="F1931" t="s">
        <v>14039</v>
      </c>
      <c r="G1931" t="s">
        <v>14672</v>
      </c>
      <c r="H1931" t="s">
        <v>13869</v>
      </c>
      <c r="I1931" t="s">
        <v>14690</v>
      </c>
      <c r="J1931" s="62">
        <v>0</v>
      </c>
      <c r="K1931" s="62">
        <v>0</v>
      </c>
      <c r="L1931" t="str">
        <f>VLOOKUP(VALUE(LEFT(C1931,5)),Xref!A:B,2,0)</f>
        <v>EAS</v>
      </c>
      <c r="M1931" t="str">
        <f t="shared" si="123"/>
        <v>EAS-HDM</v>
      </c>
    </row>
    <row r="1932" spans="1:13" ht="14.25" customHeight="true">
      <c r="A1932" s="33" t="str">
        <f t="shared" si="120"/>
        <v>HDM - Intercompany</v>
      </c>
      <c r="B1932" s="33" t="str">
        <f t="shared" si="121"/>
        <v>HDM</v>
      </c>
      <c r="C1932" s="33" t="str">
        <f t="shared" si="122"/>
        <v>11343-0000</v>
      </c>
      <c r="D1932" t="s">
        <v>6343</v>
      </c>
      <c r="E1932" t="s">
        <v>14139</v>
      </c>
      <c r="F1932" t="s">
        <v>14039</v>
      </c>
      <c r="G1932" t="s">
        <v>14672</v>
      </c>
      <c r="H1932" t="s">
        <v>13869</v>
      </c>
      <c r="I1932" t="s">
        <v>14690</v>
      </c>
      <c r="J1932" s="62">
        <v>0</v>
      </c>
      <c r="K1932" s="62">
        <v>-1020.05</v>
      </c>
      <c r="L1932" t="str">
        <f>VLOOKUP(VALUE(LEFT(C1932,5)),Xref!A:B,2,0)</f>
        <v>GRA</v>
      </c>
      <c r="M1932" t="str">
        <f t="shared" si="123"/>
        <v>GRA-HDM</v>
      </c>
    </row>
    <row r="1933" spans="1:13" ht="14.25" customHeight="true">
      <c r="A1933" s="33" t="str">
        <f t="shared" si="120"/>
        <v>HDM - Intercompany</v>
      </c>
      <c r="B1933" s="33" t="str">
        <f t="shared" si="121"/>
        <v>HDM</v>
      </c>
      <c r="C1933" s="33" t="str">
        <f t="shared" si="122"/>
        <v>11344-0000</v>
      </c>
      <c r="D1933" t="s">
        <v>20766</v>
      </c>
      <c r="E1933" t="s">
        <v>14141</v>
      </c>
      <c r="F1933" t="s">
        <v>14039</v>
      </c>
      <c r="G1933" t="s">
        <v>14672</v>
      </c>
      <c r="H1933" t="s">
        <v>13869</v>
      </c>
      <c r="I1933" t="s">
        <v>14690</v>
      </c>
      <c r="J1933" s="62">
        <v>0</v>
      </c>
      <c r="K1933" s="62">
        <v>0</v>
      </c>
      <c r="L1933" t="str">
        <f>VLOOKUP(VALUE(LEFT(C1933,5)),Xref!A:B,2,0)</f>
        <v>SOU</v>
      </c>
      <c r="M1933" t="str">
        <f t="shared" si="123"/>
        <v>HDM-SOU</v>
      </c>
    </row>
    <row r="1934" spans="1:13" ht="14.25" customHeight="true">
      <c r="A1934" s="33" t="str">
        <f t="shared" si="120"/>
        <v>HDM - Intercompany</v>
      </c>
      <c r="B1934" s="33" t="str">
        <f t="shared" si="121"/>
        <v>HDM</v>
      </c>
      <c r="C1934" s="33" t="str">
        <f t="shared" si="122"/>
        <v>11345-0000</v>
      </c>
      <c r="D1934" t="s">
        <v>20767</v>
      </c>
      <c r="E1934" t="s">
        <v>14143</v>
      </c>
      <c r="F1934" t="s">
        <v>14039</v>
      </c>
      <c r="G1934" t="s">
        <v>14672</v>
      </c>
      <c r="H1934" t="s">
        <v>13869</v>
      </c>
      <c r="I1934" t="s">
        <v>14690</v>
      </c>
      <c r="J1934" s="62">
        <v>0</v>
      </c>
      <c r="K1934" s="62">
        <v>0</v>
      </c>
      <c r="L1934" t="str">
        <f>VLOOKUP(VALUE(LEFT(C1934,5)),Xref!A:B,2,0)</f>
        <v>API</v>
      </c>
      <c r="M1934" t="str">
        <f t="shared" si="123"/>
        <v>API-HDM</v>
      </c>
    </row>
    <row r="1935" spans="1:13" ht="14.25" customHeight="true">
      <c r="A1935" s="33" t="str">
        <f t="shared" si="120"/>
        <v>HDM - Intercompany</v>
      </c>
      <c r="B1935" s="33" t="str">
        <f t="shared" si="121"/>
        <v>HDM</v>
      </c>
      <c r="C1935" s="33" t="str">
        <f t="shared" si="122"/>
        <v>11346-0000</v>
      </c>
      <c r="D1935" t="s">
        <v>20768</v>
      </c>
      <c r="E1935" t="s">
        <v>14145</v>
      </c>
      <c r="F1935" t="s">
        <v>14039</v>
      </c>
      <c r="G1935" t="s">
        <v>14672</v>
      </c>
      <c r="H1935" t="s">
        <v>13869</v>
      </c>
      <c r="I1935" t="s">
        <v>14690</v>
      </c>
      <c r="J1935" s="62">
        <v>0</v>
      </c>
      <c r="K1935" s="62">
        <v>0</v>
      </c>
      <c r="L1935" t="str">
        <f>VLOOKUP(VALUE(LEFT(C1935,5)),Xref!A:B,2,0)</f>
        <v>DPH</v>
      </c>
      <c r="M1935" t="str">
        <f t="shared" si="123"/>
        <v>DPH-HDM</v>
      </c>
    </row>
    <row r="1936" spans="1:13" ht="14.25" customHeight="true">
      <c r="A1936" s="33" t="str">
        <f t="shared" si="120"/>
        <v>HDM - Intercompany</v>
      </c>
      <c r="B1936" s="33" t="str">
        <f t="shared" si="121"/>
        <v>HDM</v>
      </c>
      <c r="C1936" s="33" t="str">
        <f t="shared" si="122"/>
        <v>11347-0000</v>
      </c>
      <c r="D1936" t="s">
        <v>20769</v>
      </c>
      <c r="E1936" t="s">
        <v>14147</v>
      </c>
      <c r="F1936" t="s">
        <v>14039</v>
      </c>
      <c r="G1936" t="s">
        <v>14672</v>
      </c>
      <c r="H1936" t="s">
        <v>13869</v>
      </c>
      <c r="I1936" t="s">
        <v>14690</v>
      </c>
      <c r="J1936" s="62">
        <v>0</v>
      </c>
      <c r="K1936" s="62">
        <v>0</v>
      </c>
      <c r="L1936" t="str">
        <f>VLOOKUP(VALUE(LEFT(C1936,5)),Xref!A:B,2,0)</f>
        <v>ZPI</v>
      </c>
      <c r="M1936" t="str">
        <f t="shared" si="123"/>
        <v>HDM-ZPI</v>
      </c>
    </row>
    <row r="1937" spans="1:13" ht="14.25" customHeight="true">
      <c r="A1937" s="33" t="str">
        <f t="shared" si="120"/>
        <v>HDM - Intercompany</v>
      </c>
      <c r="B1937" s="33" t="str">
        <f t="shared" si="121"/>
        <v>HDM</v>
      </c>
      <c r="C1937" s="33" t="str">
        <f t="shared" si="122"/>
        <v>11348-0000</v>
      </c>
      <c r="D1937" t="s">
        <v>20770</v>
      </c>
      <c r="E1937" t="s">
        <v>14149</v>
      </c>
      <c r="F1937" t="s">
        <v>14039</v>
      </c>
      <c r="G1937" t="s">
        <v>14672</v>
      </c>
      <c r="H1937" t="s">
        <v>13869</v>
      </c>
      <c r="I1937" t="s">
        <v>14690</v>
      </c>
      <c r="J1937" s="62">
        <v>0</v>
      </c>
      <c r="K1937" s="62">
        <v>0</v>
      </c>
      <c r="L1937" t="str">
        <f>VLOOKUP(VALUE(LEFT(C1937,5)),Xref!A:B,2,0)</f>
        <v>EAM</v>
      </c>
      <c r="M1937" t="str">
        <f t="shared" si="123"/>
        <v>EAM-HDM</v>
      </c>
    </row>
    <row r="1938" spans="1:13" ht="14.25" customHeight="true">
      <c r="A1938" s="33" t="str">
        <f t="shared" si="120"/>
        <v>HDM - Intercompany</v>
      </c>
      <c r="B1938" s="33" t="str">
        <f t="shared" si="121"/>
        <v>HDM</v>
      </c>
      <c r="C1938" s="33" t="str">
        <f t="shared" si="122"/>
        <v>11349-0000</v>
      </c>
      <c r="D1938" t="s">
        <v>20771</v>
      </c>
      <c r="E1938" t="s">
        <v>14151</v>
      </c>
      <c r="F1938" t="s">
        <v>14039</v>
      </c>
      <c r="G1938" t="s">
        <v>14672</v>
      </c>
      <c r="H1938" t="s">
        <v>13869</v>
      </c>
      <c r="I1938" t="s">
        <v>14690</v>
      </c>
      <c r="J1938" s="62">
        <v>0</v>
      </c>
      <c r="K1938" s="62">
        <v>0</v>
      </c>
      <c r="L1938" t="str">
        <f>VLOOKUP(VALUE(LEFT(C1938,5)),Xref!A:B,2,0)</f>
        <v>SEA</v>
      </c>
      <c r="M1938" t="str">
        <f t="shared" si="123"/>
        <v>HDM-SEA</v>
      </c>
    </row>
    <row r="1939" spans="1:13" ht="14.25" customHeight="true">
      <c r="A1939" s="33" t="str">
        <f t="shared" si="120"/>
        <v>HDM - Intercompany</v>
      </c>
      <c r="B1939" s="33" t="str">
        <f t="shared" si="121"/>
        <v>HDM</v>
      </c>
      <c r="C1939" s="33" t="str">
        <f t="shared" si="122"/>
        <v>11350-0000</v>
      </c>
      <c r="D1939" t="s">
        <v>20772</v>
      </c>
      <c r="E1939" t="s">
        <v>14153</v>
      </c>
      <c r="F1939" t="s">
        <v>14039</v>
      </c>
      <c r="G1939" t="s">
        <v>14672</v>
      </c>
      <c r="H1939" t="s">
        <v>13869</v>
      </c>
      <c r="I1939" t="s">
        <v>14690</v>
      </c>
      <c r="J1939" s="62">
        <v>0</v>
      </c>
      <c r="K1939" s="62">
        <v>-5.12</v>
      </c>
      <c r="L1939" t="str">
        <f>VLOOKUP(VALUE(LEFT(C1939,5)),Xref!A:B,2,0)</f>
        <v>EAL</v>
      </c>
      <c r="M1939" t="str">
        <f t="shared" si="123"/>
        <v>EAL-HDM</v>
      </c>
    </row>
    <row r="1940" spans="1:13" ht="14.25" customHeight="true">
      <c r="A1940" s="33" t="str">
        <f t="shared" si="120"/>
        <v>HDM - Intercompany</v>
      </c>
      <c r="B1940" s="33" t="str">
        <f t="shared" si="121"/>
        <v>HDM</v>
      </c>
      <c r="C1940" s="33" t="str">
        <f t="shared" si="122"/>
        <v>11351-0000</v>
      </c>
      <c r="D1940" t="s">
        <v>20773</v>
      </c>
      <c r="E1940" t="s">
        <v>14155</v>
      </c>
      <c r="F1940" t="s">
        <v>14039</v>
      </c>
      <c r="G1940" t="s">
        <v>14672</v>
      </c>
      <c r="H1940" t="s">
        <v>13869</v>
      </c>
      <c r="I1940" t="s">
        <v>14690</v>
      </c>
      <c r="J1940" s="62">
        <v>0</v>
      </c>
      <c r="K1940" s="62">
        <v>0</v>
      </c>
      <c r="L1940" t="str">
        <f>VLOOKUP(VALUE(LEFT(C1940,5)),Xref!A:B,2,0)</f>
        <v>WEP</v>
      </c>
      <c r="M1940" t="str">
        <f t="shared" si="123"/>
        <v>HDM-WEP</v>
      </c>
    </row>
    <row r="1941" spans="1:13" ht="14.25" customHeight="true">
      <c r="A1941" s="33" t="str">
        <f t="shared" si="120"/>
        <v>HDM - Intercompany</v>
      </c>
      <c r="B1941" s="33" t="str">
        <f t="shared" si="121"/>
        <v>HDM</v>
      </c>
      <c r="C1941" s="33" t="str">
        <f t="shared" si="122"/>
        <v>11352-0000</v>
      </c>
      <c r="D1941" t="s">
        <v>20774</v>
      </c>
      <c r="E1941" t="s">
        <v>13536</v>
      </c>
      <c r="F1941" t="s">
        <v>14039</v>
      </c>
      <c r="G1941" t="s">
        <v>14672</v>
      </c>
      <c r="H1941" t="s">
        <v>13869</v>
      </c>
      <c r="I1941" t="s">
        <v>14690</v>
      </c>
      <c r="J1941" s="62">
        <v>0</v>
      </c>
      <c r="K1941" s="62">
        <v>0</v>
      </c>
      <c r="L1941" t="str">
        <f>VLOOKUP(VALUE(LEFT(C1941,5)),Xref!A:B,2,0)</f>
        <v>KLP</v>
      </c>
      <c r="M1941" t="str">
        <f t="shared" si="123"/>
        <v>HDM-KLP</v>
      </c>
    </row>
    <row r="1942" spans="1:13" ht="14.25" customHeight="true">
      <c r="A1942" s="33" t="str">
        <f t="shared" si="120"/>
        <v>HDM - Intercompany</v>
      </c>
      <c r="B1942" s="33" t="str">
        <f t="shared" si="121"/>
        <v>HDM</v>
      </c>
      <c r="C1942" s="33" t="str">
        <f t="shared" si="122"/>
        <v>11353-0000</v>
      </c>
      <c r="D1942" t="s">
        <v>20775</v>
      </c>
      <c r="E1942" t="s">
        <v>13537</v>
      </c>
      <c r="F1942" t="s">
        <v>14039</v>
      </c>
      <c r="G1942" t="s">
        <v>14672</v>
      </c>
      <c r="H1942" t="s">
        <v>13869</v>
      </c>
      <c r="I1942" t="s">
        <v>14690</v>
      </c>
      <c r="J1942" s="62">
        <v>0</v>
      </c>
      <c r="K1942" s="62">
        <v>0</v>
      </c>
      <c r="L1942" t="str">
        <f>VLOOKUP(VALUE(LEFT(C1942,5)),Xref!A:B,2,0)</f>
        <v>AKC</v>
      </c>
      <c r="M1942" t="str">
        <f t="shared" si="123"/>
        <v>AKC-HDM</v>
      </c>
    </row>
    <row r="1943" spans="1:13" ht="14.25" customHeight="true">
      <c r="A1943" s="33" t="str">
        <f t="shared" si="120"/>
        <v>HDM - Intercompany</v>
      </c>
      <c r="B1943" s="33" t="str">
        <f t="shared" si="121"/>
        <v>HDM</v>
      </c>
      <c r="C1943" s="33" t="str">
        <f t="shared" si="122"/>
        <v>11354-0000</v>
      </c>
      <c r="D1943" t="s">
        <v>20776</v>
      </c>
      <c r="E1943" t="s">
        <v>13538</v>
      </c>
      <c r="F1943" t="s">
        <v>14039</v>
      </c>
      <c r="G1943" t="s">
        <v>14672</v>
      </c>
      <c r="H1943" t="s">
        <v>13869</v>
      </c>
      <c r="I1943" t="s">
        <v>14690</v>
      </c>
      <c r="J1943" s="62">
        <v>0</v>
      </c>
      <c r="K1943" s="62">
        <v>0</v>
      </c>
      <c r="L1943" t="str">
        <f>VLOOKUP(VALUE(LEFT(C1943,5)),Xref!A:B,2,0)</f>
        <v>AKA</v>
      </c>
      <c r="M1943" t="str">
        <f t="shared" si="123"/>
        <v>AKA-HDM</v>
      </c>
    </row>
    <row r="1944" spans="1:13" ht="14.25" customHeight="true">
      <c r="A1944" s="33" t="str">
        <f t="shared" si="120"/>
        <v>HDM - Intercompany</v>
      </c>
      <c r="B1944" s="33" t="str">
        <f t="shared" si="121"/>
        <v>HDM</v>
      </c>
      <c r="C1944" s="33" t="str">
        <f t="shared" si="122"/>
        <v>11355-0000</v>
      </c>
      <c r="D1944" t="s">
        <v>20777</v>
      </c>
      <c r="E1944" t="s">
        <v>13539</v>
      </c>
      <c r="F1944" t="s">
        <v>14039</v>
      </c>
      <c r="G1944" t="s">
        <v>14672</v>
      </c>
      <c r="H1944" t="s">
        <v>13869</v>
      </c>
      <c r="I1944" t="s">
        <v>14690</v>
      </c>
      <c r="J1944" s="62">
        <v>0</v>
      </c>
      <c r="K1944" s="62">
        <v>0</v>
      </c>
      <c r="L1944" t="str">
        <f>VLOOKUP(VALUE(LEFT(C1944,5)),Xref!A:B,2,0)</f>
        <v>SPA</v>
      </c>
      <c r="M1944" t="str">
        <f t="shared" si="123"/>
        <v>HDM-SPA</v>
      </c>
    </row>
    <row r="1945" spans="1:13" ht="14.25" customHeight="true">
      <c r="A1945" s="33" t="str">
        <f t="shared" si="120"/>
        <v>HDM - Intercompany</v>
      </c>
      <c r="B1945" s="33" t="str">
        <f t="shared" si="121"/>
        <v>HDM</v>
      </c>
      <c r="C1945" s="33" t="str">
        <f t="shared" si="122"/>
        <v>11356-0000</v>
      </c>
      <c r="D1945" t="s">
        <v>20778</v>
      </c>
      <c r="E1945" t="s">
        <v>13540</v>
      </c>
      <c r="F1945" t="s">
        <v>14039</v>
      </c>
      <c r="G1945" t="s">
        <v>14672</v>
      </c>
      <c r="H1945" t="s">
        <v>13869</v>
      </c>
      <c r="I1945" t="s">
        <v>14690</v>
      </c>
      <c r="J1945" s="62">
        <v>0</v>
      </c>
      <c r="K1945" s="62">
        <v>0</v>
      </c>
      <c r="L1945" t="str">
        <f>VLOOKUP(VALUE(LEFT(C1945,5)),Xref!A:B,2,0)</f>
        <v>DPM</v>
      </c>
      <c r="M1945" t="str">
        <f t="shared" si="123"/>
        <v>DPM-HDM</v>
      </c>
    </row>
    <row r="1946" spans="1:13" ht="14.25" customHeight="true">
      <c r="A1946" s="33" t="str">
        <f t="shared" si="120"/>
        <v>HDM - Intercompany</v>
      </c>
      <c r="B1946" s="33" t="str">
        <f t="shared" si="121"/>
        <v>HDM</v>
      </c>
      <c r="C1946" s="33" t="str">
        <f t="shared" si="122"/>
        <v>11357-0000</v>
      </c>
      <c r="D1946" t="s">
        <v>20779</v>
      </c>
      <c r="E1946" t="s">
        <v>13541</v>
      </c>
      <c r="F1946" t="s">
        <v>14039</v>
      </c>
      <c r="G1946" t="s">
        <v>14672</v>
      </c>
      <c r="H1946" t="s">
        <v>13869</v>
      </c>
      <c r="I1946" t="s">
        <v>14690</v>
      </c>
      <c r="J1946" s="62">
        <v>0</v>
      </c>
      <c r="K1946" s="62">
        <v>257.62</v>
      </c>
      <c r="L1946" t="str">
        <f>VLOOKUP(VALUE(LEFT(C1946,5)),Xref!A:B,2,0)</f>
        <v>HDM</v>
      </c>
      <c r="M1946" t="str">
        <f t="shared" si="123"/>
        <v>HDM-HDM</v>
      </c>
    </row>
    <row r="1947" spans="1:13" ht="14.25" customHeight="true">
      <c r="A1947" s="33" t="str">
        <f t="shared" si="120"/>
        <v>HDM - Intercompany</v>
      </c>
      <c r="B1947" s="33" t="str">
        <f t="shared" si="121"/>
        <v>HDM</v>
      </c>
      <c r="C1947" s="33" t="str">
        <f t="shared" si="122"/>
        <v>11358-0000</v>
      </c>
      <c r="D1947" t="s">
        <v>20780</v>
      </c>
      <c r="E1947" t="s">
        <v>13542</v>
      </c>
      <c r="F1947" t="s">
        <v>14039</v>
      </c>
      <c r="G1947" t="s">
        <v>14672</v>
      </c>
      <c r="H1947" t="s">
        <v>13869</v>
      </c>
      <c r="I1947" t="s">
        <v>14690</v>
      </c>
      <c r="J1947" s="62">
        <v>0</v>
      </c>
      <c r="K1947" s="62">
        <v>0</v>
      </c>
      <c r="L1947" t="str">
        <f>VLOOKUP(VALUE(LEFT(C1947,5)),Xref!A:B,2,0)</f>
        <v>GRA</v>
      </c>
      <c r="M1947" t="str">
        <f t="shared" si="123"/>
        <v>GRA-HDM</v>
      </c>
    </row>
    <row r="1948" spans="1:13" ht="14.25" customHeight="true">
      <c r="A1948" s="33" t="str">
        <f t="shared" si="120"/>
        <v>HDM - Intercompany</v>
      </c>
      <c r="B1948" s="33" t="str">
        <f t="shared" si="121"/>
        <v>HDM</v>
      </c>
      <c r="C1948" s="33" t="str">
        <f t="shared" si="122"/>
        <v>11359-0000</v>
      </c>
      <c r="D1948" t="s">
        <v>20781</v>
      </c>
      <c r="E1948" t="s">
        <v>13543</v>
      </c>
      <c r="F1948" t="s">
        <v>14039</v>
      </c>
      <c r="G1948" t="s">
        <v>14672</v>
      </c>
      <c r="H1948" t="s">
        <v>13869</v>
      </c>
      <c r="I1948" t="s">
        <v>14690</v>
      </c>
      <c r="J1948" s="62">
        <v>0</v>
      </c>
      <c r="K1948" s="62">
        <v>0</v>
      </c>
      <c r="L1948" t="str">
        <f>VLOOKUP(VALUE(LEFT(C1948,5)),Xref!A:B,2,0)</f>
        <v>TPI</v>
      </c>
      <c r="M1948" t="str">
        <f t="shared" si="123"/>
        <v>HDM-TPI</v>
      </c>
    </row>
    <row r="1949" spans="1:13" ht="14.25" customHeight="true">
      <c r="A1949" s="33" t="str">
        <f t="shared" si="120"/>
        <v>HDM - Intercompany</v>
      </c>
      <c r="B1949" s="33" t="str">
        <f t="shared" si="121"/>
        <v>HDM</v>
      </c>
      <c r="C1949" s="33" t="str">
        <f t="shared" si="122"/>
        <v>11361-0000</v>
      </c>
      <c r="D1949" t="s">
        <v>20782</v>
      </c>
      <c r="E1949" t="s">
        <v>14165</v>
      </c>
      <c r="F1949" t="s">
        <v>14039</v>
      </c>
      <c r="G1949" t="s">
        <v>14672</v>
      </c>
      <c r="H1949" t="s">
        <v>13869</v>
      </c>
      <c r="I1949" t="s">
        <v>14690</v>
      </c>
      <c r="J1949" s="62">
        <v>0</v>
      </c>
      <c r="K1949" s="62">
        <v>0</v>
      </c>
      <c r="L1949" t="str">
        <f>VLOOKUP(VALUE(LEFT(C1949,5)),Xref!A:B,2,0)</f>
        <v>GSM</v>
      </c>
      <c r="M1949" t="str">
        <f t="shared" si="123"/>
        <v>GSM-HDM</v>
      </c>
    </row>
    <row r="1950" spans="1:13" ht="14.25" customHeight="true">
      <c r="A1950" s="33" t="str">
        <f t="shared" si="120"/>
        <v>HDM - Intercompany</v>
      </c>
      <c r="B1950" s="33" t="str">
        <f t="shared" si="121"/>
        <v>HDM</v>
      </c>
      <c r="C1950" s="33" t="str">
        <f t="shared" si="122"/>
        <v>11363-0000</v>
      </c>
      <c r="D1950" t="s">
        <v>20783</v>
      </c>
      <c r="E1950" t="s">
        <v>13544</v>
      </c>
      <c r="F1950" t="s">
        <v>14039</v>
      </c>
      <c r="G1950" t="s">
        <v>14672</v>
      </c>
      <c r="H1950" t="s">
        <v>13869</v>
      </c>
      <c r="I1950" t="s">
        <v>14690</v>
      </c>
      <c r="J1950" s="62">
        <v>0</v>
      </c>
      <c r="K1950" s="62">
        <v>0</v>
      </c>
      <c r="L1950" t="str">
        <f>VLOOKUP(VALUE(LEFT(C1950,5)),Xref!A:B,2,0)</f>
        <v>SOF</v>
      </c>
      <c r="M1950" t="str">
        <f t="shared" si="123"/>
        <v>HDM-SOF</v>
      </c>
    </row>
    <row r="1951" spans="1:13" ht="14.25" customHeight="true">
      <c r="A1951" s="33" t="str">
        <f t="shared" si="120"/>
        <v>HDM - Intercompany</v>
      </c>
      <c r="B1951" s="33" t="str">
        <f t="shared" si="121"/>
        <v>HDM</v>
      </c>
      <c r="C1951" s="33" t="str">
        <f t="shared" si="122"/>
        <v>11364-0000</v>
      </c>
      <c r="D1951" t="s">
        <v>20784</v>
      </c>
      <c r="E1951" t="s">
        <v>14168</v>
      </c>
      <c r="F1951" t="s">
        <v>14039</v>
      </c>
      <c r="G1951" t="s">
        <v>14672</v>
      </c>
      <c r="H1951" t="s">
        <v>13869</v>
      </c>
      <c r="I1951" t="s">
        <v>14690</v>
      </c>
      <c r="J1951" s="62">
        <v>0</v>
      </c>
      <c r="K1951" s="62">
        <v>0</v>
      </c>
      <c r="L1951" t="e">
        <f>VLOOKUP(VALUE(LEFT(C1951,5)),Xref!A:B,2,0)</f>
        <v>#N/A</v>
      </c>
      <c r="M1951" t="e">
        <f t="shared" si="123"/>
        <v>#N/A</v>
      </c>
    </row>
    <row r="1952" spans="1:13" ht="14.25" customHeight="true">
      <c r="A1952" s="33" t="str">
        <f t="shared" si="120"/>
        <v>HDM - Intercompany</v>
      </c>
      <c r="B1952" s="33" t="str">
        <f t="shared" si="121"/>
        <v>HDM</v>
      </c>
      <c r="C1952" s="33" t="str">
        <f t="shared" si="122"/>
        <v>11365-0000</v>
      </c>
      <c r="D1952" t="s">
        <v>20785</v>
      </c>
      <c r="E1952" t="s">
        <v>14170</v>
      </c>
      <c r="F1952" t="s">
        <v>14039</v>
      </c>
      <c r="G1952" t="s">
        <v>14672</v>
      </c>
      <c r="H1952" t="s">
        <v>13869</v>
      </c>
      <c r="I1952" t="s">
        <v>14690</v>
      </c>
      <c r="J1952" s="62">
        <v>0</v>
      </c>
      <c r="K1952" s="62">
        <v>0</v>
      </c>
      <c r="L1952" t="e">
        <f>VLOOKUP(VALUE(LEFT(C1952,5)),Xref!A:B,2,0)</f>
        <v>#N/A</v>
      </c>
      <c r="M1952" t="e">
        <f t="shared" si="123"/>
        <v>#N/A</v>
      </c>
    </row>
    <row r="1953" spans="1:13" ht="14.25" customHeight="true">
      <c r="A1953" s="33" t="str">
        <f t="shared" si="120"/>
        <v>HDM - Intercompany</v>
      </c>
      <c r="B1953" s="33" t="str">
        <f t="shared" si="121"/>
        <v>HDM</v>
      </c>
      <c r="C1953" s="33" t="str">
        <f t="shared" si="122"/>
        <v>11366-0000</v>
      </c>
      <c r="D1953" t="s">
        <v>20786</v>
      </c>
      <c r="E1953" t="s">
        <v>14172</v>
      </c>
      <c r="G1953" t="s">
        <v>14672</v>
      </c>
      <c r="H1953" t="s">
        <v>13869</v>
      </c>
      <c r="I1953" t="s">
        <v>14690</v>
      </c>
      <c r="J1953" s="62">
        <v>0</v>
      </c>
      <c r="K1953" s="62">
        <v>0</v>
      </c>
      <c r="L1953" t="e">
        <f>VLOOKUP(VALUE(LEFT(C1953,5)),Xref!A:B,2,0)</f>
        <v>#N/A</v>
      </c>
      <c r="M1953" t="e">
        <f t="shared" si="123"/>
        <v>#N/A</v>
      </c>
    </row>
    <row r="1954" spans="1:13" ht="14.25" customHeight="true">
      <c r="A1954" s="33" t="str">
        <f t="shared" si="120"/>
        <v>HDM - Intercompany</v>
      </c>
      <c r="B1954" s="33" t="str">
        <f t="shared" si="121"/>
        <v>HDM</v>
      </c>
      <c r="C1954" s="33" t="str">
        <f t="shared" si="122"/>
        <v>11402-0000</v>
      </c>
      <c r="D1954" t="s">
        <v>20787</v>
      </c>
      <c r="E1954" t="s">
        <v>14174</v>
      </c>
      <c r="G1954" t="s">
        <v>14672</v>
      </c>
      <c r="H1954" t="s">
        <v>13869</v>
      </c>
      <c r="I1954" t="s">
        <v>14690</v>
      </c>
      <c r="J1954" s="62">
        <v>0</v>
      </c>
      <c r="K1954" s="62">
        <v>0</v>
      </c>
      <c r="L1954" t="str">
        <f>VLOOKUP(VALUE(LEFT(C1954,5)),Xref!A:B,2,0)</f>
        <v>DPI</v>
      </c>
      <c r="M1954" t="str">
        <f t="shared" si="123"/>
        <v>DPI-HDM</v>
      </c>
    </row>
    <row r="1955" spans="1:13" ht="14.25" customHeight="true">
      <c r="A1955" s="33" t="str">
        <f t="shared" si="120"/>
        <v>HDM - Intercompany</v>
      </c>
      <c r="B1955" s="33" t="str">
        <f t="shared" si="121"/>
        <v>HDM</v>
      </c>
      <c r="C1955" s="33" t="str">
        <f t="shared" si="122"/>
        <v>11403-0000</v>
      </c>
      <c r="D1955" t="s">
        <v>20788</v>
      </c>
      <c r="E1955" t="s">
        <v>14176</v>
      </c>
      <c r="G1955" t="s">
        <v>14672</v>
      </c>
      <c r="H1955" t="s">
        <v>13869</v>
      </c>
      <c r="I1955" t="s">
        <v>14690</v>
      </c>
      <c r="J1955" s="62">
        <v>0</v>
      </c>
      <c r="K1955" s="62">
        <v>0</v>
      </c>
      <c r="L1955" t="str">
        <f>VLOOKUP(VALUE(LEFT(C1955,5)),Xref!A:B,2,0)</f>
        <v>SEA</v>
      </c>
      <c r="M1955" t="str">
        <f t="shared" si="123"/>
        <v>HDM-SEA</v>
      </c>
    </row>
    <row r="1956" spans="1:13" ht="14.25" customHeight="true">
      <c r="A1956" s="33" t="str">
        <f t="shared" si="120"/>
        <v>HDM - Intercompany</v>
      </c>
      <c r="B1956" s="33" t="str">
        <f t="shared" si="121"/>
        <v>HDM</v>
      </c>
      <c r="C1956" s="33" t="str">
        <f t="shared" si="122"/>
        <v>12400-0000</v>
      </c>
      <c r="D1956" t="s">
        <v>20791</v>
      </c>
      <c r="E1956" t="s">
        <v>14185</v>
      </c>
      <c r="F1956" t="s">
        <v>14039</v>
      </c>
      <c r="G1956" t="s">
        <v>14672</v>
      </c>
      <c r="H1956" t="s">
        <v>13869</v>
      </c>
      <c r="I1956" t="s">
        <v>14690</v>
      </c>
      <c r="J1956" s="62">
        <v>0</v>
      </c>
      <c r="K1956" s="62">
        <v>0</v>
      </c>
      <c r="L1956" t="str">
        <f>VLOOKUP(VALUE(LEFT(C1956,5)),Xref!A:B,2,0)</f>
        <v>aka</v>
      </c>
      <c r="M1956" t="str">
        <f t="shared" si="123"/>
        <v>aka-HDM</v>
      </c>
    </row>
    <row r="1957" spans="1:13" ht="14.25" customHeight="true">
      <c r="A1957" s="33" t="str">
        <f t="shared" si="120"/>
        <v>HDM - Intercompany</v>
      </c>
      <c r="B1957" s="33" t="str">
        <f t="shared" si="121"/>
        <v>HDM</v>
      </c>
      <c r="C1957" s="33" t="str">
        <f t="shared" si="122"/>
        <v>12401-0000</v>
      </c>
      <c r="D1957" t="s">
        <v>20792</v>
      </c>
      <c r="E1957" t="s">
        <v>14187</v>
      </c>
      <c r="F1957" t="s">
        <v>14039</v>
      </c>
      <c r="G1957" t="s">
        <v>14672</v>
      </c>
      <c r="H1957" t="s">
        <v>13869</v>
      </c>
      <c r="I1957" t="s">
        <v>14690</v>
      </c>
      <c r="J1957" s="62">
        <v>0</v>
      </c>
      <c r="K1957" s="62">
        <v>0</v>
      </c>
      <c r="L1957" t="str">
        <f>VLOOKUP(VALUE(LEFT(C1957,5)),Xref!A:B,2,0)</f>
        <v>aka</v>
      </c>
      <c r="M1957" t="str">
        <f t="shared" si="123"/>
        <v>aka-HDM</v>
      </c>
    </row>
    <row r="1958" spans="1:13" ht="14.25" customHeight="true">
      <c r="A1958" s="33" t="str">
        <f t="shared" si="120"/>
        <v>HDM - Intercompany</v>
      </c>
      <c r="B1958" s="33" t="str">
        <f t="shared" si="121"/>
        <v>HDM</v>
      </c>
      <c r="C1958" s="33" t="str">
        <f t="shared" si="122"/>
        <v>12402-0000</v>
      </c>
      <c r="D1958" t="s">
        <v>20793</v>
      </c>
      <c r="E1958" t="s">
        <v>14189</v>
      </c>
      <c r="F1958" t="s">
        <v>14039</v>
      </c>
      <c r="G1958" t="s">
        <v>14672</v>
      </c>
      <c r="H1958" t="s">
        <v>13869</v>
      </c>
      <c r="I1958" t="s">
        <v>14690</v>
      </c>
      <c r="J1958" s="62">
        <v>0</v>
      </c>
      <c r="K1958" s="62">
        <v>0</v>
      </c>
      <c r="L1958" t="str">
        <f>VLOOKUP(VALUE(LEFT(C1958,5)),Xref!A:B,2,0)</f>
        <v>aka</v>
      </c>
      <c r="M1958" t="str">
        <f t="shared" si="123"/>
        <v>aka-HDM</v>
      </c>
    </row>
    <row r="1959" spans="1:13" ht="14.25" customHeight="true">
      <c r="A1959" s="33" t="str">
        <f t="shared" si="120"/>
        <v>HDM - Intercompany</v>
      </c>
      <c r="B1959" s="33" t="str">
        <f t="shared" si="121"/>
        <v>HDM</v>
      </c>
      <c r="C1959" s="33" t="str">
        <f t="shared" si="122"/>
        <v>12403-0000</v>
      </c>
      <c r="D1959" t="s">
        <v>20794</v>
      </c>
      <c r="E1959" t="s">
        <v>5226</v>
      </c>
      <c r="F1959" t="s">
        <v>14039</v>
      </c>
      <c r="G1959" t="s">
        <v>14672</v>
      </c>
      <c r="H1959" t="s">
        <v>13869</v>
      </c>
      <c r="I1959" t="s">
        <v>14690</v>
      </c>
      <c r="J1959" s="62">
        <v>0</v>
      </c>
      <c r="K1959" s="62">
        <v>0</v>
      </c>
      <c r="L1959" t="str">
        <f>VLOOKUP(VALUE(LEFT(C1959,5)),Xref!A:B,2,0)</f>
        <v>aka</v>
      </c>
      <c r="M1959" t="str">
        <f t="shared" si="123"/>
        <v>aka-HDM</v>
      </c>
    </row>
    <row r="1960" spans="1:13" ht="14.25" customHeight="true">
      <c r="A1960" s="33" t="str">
        <f t="shared" si="120"/>
        <v>HDM - Intercompany</v>
      </c>
      <c r="B1960" s="33" t="str">
        <f t="shared" si="121"/>
        <v>HDM</v>
      </c>
      <c r="C1960" s="33" t="str">
        <f t="shared" si="122"/>
        <v>12501-0000</v>
      </c>
      <c r="D1960" t="s">
        <v>20795</v>
      </c>
      <c r="E1960" t="s">
        <v>14192</v>
      </c>
      <c r="F1960" t="s">
        <v>14039</v>
      </c>
      <c r="G1960" t="s">
        <v>14672</v>
      </c>
      <c r="H1960" t="s">
        <v>13869</v>
      </c>
      <c r="I1960" t="s">
        <v>14690</v>
      </c>
      <c r="J1960" s="62">
        <v>0</v>
      </c>
      <c r="K1960" s="62">
        <v>0</v>
      </c>
      <c r="L1960" t="str">
        <f>VLOOKUP(VALUE(LEFT(C1960,5)),Xref!A:B,2,0)</f>
        <v>aka</v>
      </c>
      <c r="M1960" t="str">
        <f t="shared" si="123"/>
        <v>aka-HDM</v>
      </c>
    </row>
    <row r="1961" spans="1:13" ht="14.25" customHeight="true">
      <c r="A1961" s="33" t="str">
        <f t="shared" si="120"/>
        <v>HDM - InterCo Notes</v>
      </c>
      <c r="B1961" s="33" t="str">
        <f t="shared" si="121"/>
        <v>HDM</v>
      </c>
      <c r="C1961" s="33" t="str">
        <f t="shared" si="122"/>
        <v>25600-0000</v>
      </c>
      <c r="D1961" t="s">
        <v>20845</v>
      </c>
      <c r="E1961" t="s">
        <v>314</v>
      </c>
      <c r="F1961" t="s">
        <v>14039</v>
      </c>
      <c r="G1961" t="s">
        <v>14672</v>
      </c>
      <c r="H1961" t="s">
        <v>13889</v>
      </c>
      <c r="I1961" t="s">
        <v>14690</v>
      </c>
      <c r="J1961" s="62">
        <v>0</v>
      </c>
      <c r="K1961" s="62">
        <v>0</v>
      </c>
      <c r="L1961" t="str">
        <f>VLOOKUP(VALUE(LEFT(C1961,5)),Xref!A:B,2,0)</f>
        <v>D7</v>
      </c>
      <c r="M1961" t="str">
        <f t="shared" si="123"/>
        <v>D7-HDM</v>
      </c>
    </row>
    <row r="1962" spans="1:13" ht="14.25" customHeight="true">
      <c r="A1962" s="33" t="str">
        <f t="shared" si="120"/>
        <v>HDM - InterCo Notes</v>
      </c>
      <c r="B1962" s="33" t="str">
        <f t="shared" si="121"/>
        <v>HDM</v>
      </c>
      <c r="C1962" s="33" t="str">
        <f t="shared" si="122"/>
        <v>25602-0000</v>
      </c>
      <c r="D1962" t="s">
        <v>20847</v>
      </c>
      <c r="E1962" t="s">
        <v>13426</v>
      </c>
      <c r="F1962" t="s">
        <v>14039</v>
      </c>
      <c r="G1962" t="s">
        <v>14672</v>
      </c>
      <c r="H1962" t="s">
        <v>13889</v>
      </c>
      <c r="I1962" t="s">
        <v>14690</v>
      </c>
      <c r="J1962" s="62">
        <v>-5000</v>
      </c>
      <c r="K1962" s="62">
        <v>-49000</v>
      </c>
      <c r="L1962" t="str">
        <f>VLOOKUP(VALUE(LEFT(C1962,5)),Xref!A:B,2,0)</f>
        <v>DFLP</v>
      </c>
      <c r="M1962" t="str">
        <f t="shared" si="123"/>
        <v>DFLP-HDM</v>
      </c>
    </row>
    <row r="1963" spans="1:13" ht="14.25" customHeight="true">
      <c r="A1963" s="33" t="str">
        <f t="shared" si="120"/>
        <v>HDM - InterCo Notes</v>
      </c>
      <c r="B1963" s="33" t="str">
        <f t="shared" si="121"/>
        <v>HDM</v>
      </c>
      <c r="C1963" s="33" t="str">
        <f t="shared" si="122"/>
        <v>25603-0000</v>
      </c>
      <c r="D1963" t="s">
        <v>20848</v>
      </c>
      <c r="E1963" t="s">
        <v>14311</v>
      </c>
      <c r="F1963" t="s">
        <v>14039</v>
      </c>
      <c r="G1963" t="s">
        <v>14832</v>
      </c>
      <c r="H1963" t="s">
        <v>13889</v>
      </c>
      <c r="I1963" t="s">
        <v>14690</v>
      </c>
      <c r="J1963" s="62">
        <v>0</v>
      </c>
      <c r="K1963" s="62">
        <v>0</v>
      </c>
      <c r="L1963" t="str">
        <f>VLOOKUP(VALUE(LEFT(C1963,5)),Xref!A:B,2,0)</f>
        <v>aka</v>
      </c>
      <c r="M1963" t="str">
        <f t="shared" si="123"/>
        <v>aka-HDM</v>
      </c>
    </row>
    <row r="1964" spans="1:13" ht="14.25" customHeight="true">
      <c r="A1964" s="33" t="str">
        <f t="shared" si="120"/>
        <v>HDM - Intercompany</v>
      </c>
      <c r="B1964" s="33" t="str">
        <f t="shared" si="121"/>
        <v>HDM</v>
      </c>
      <c r="C1964" s="33" t="str">
        <f t="shared" si="122"/>
        <v>25604-0000</v>
      </c>
      <c r="D1964" t="s">
        <v>20849</v>
      </c>
      <c r="E1964" t="s">
        <v>13490</v>
      </c>
      <c r="F1964" t="s">
        <v>14039</v>
      </c>
      <c r="G1964" t="s">
        <v>14672</v>
      </c>
      <c r="H1964" t="s">
        <v>13869</v>
      </c>
      <c r="I1964" t="s">
        <v>14690</v>
      </c>
      <c r="J1964" s="62">
        <v>0</v>
      </c>
      <c r="K1964" s="62">
        <v>0</v>
      </c>
      <c r="L1964">
        <f>VLOOKUP(VALUE(LEFT(C1964,5)),Xref!A:B,2,0)</f>
        <v>0</v>
      </c>
      <c r="M1964" t="str">
        <f t="shared" si="123"/>
        <v>0-HDM</v>
      </c>
    </row>
    <row r="1965" spans="1:13" ht="14.25" customHeight="true">
      <c r="A1965" s="33" t="str">
        <f t="shared" si="120"/>
        <v>HDR - Intercompany</v>
      </c>
      <c r="B1965" s="33" t="str">
        <f t="shared" si="121"/>
        <v>HDR</v>
      </c>
      <c r="C1965" s="33" t="str">
        <f t="shared" si="122"/>
        <v>11200-0000</v>
      </c>
      <c r="D1965" t="s">
        <v>21028</v>
      </c>
      <c r="E1965" t="s">
        <v>14069</v>
      </c>
      <c r="F1965" t="s">
        <v>14039</v>
      </c>
      <c r="G1965" t="s">
        <v>14672</v>
      </c>
      <c r="H1965" t="s">
        <v>13869</v>
      </c>
      <c r="I1965" t="s">
        <v>14690</v>
      </c>
      <c r="J1965" s="62">
        <v>0</v>
      </c>
      <c r="K1965" s="62">
        <v>0</v>
      </c>
      <c r="L1965" t="str">
        <f>VLOOKUP(VALUE(LEFT(C1965,5)),Xref!A:B,2,0)</f>
        <v>SCL</v>
      </c>
      <c r="M1965" t="str">
        <f t="shared" si="123"/>
        <v>HDR-SCL</v>
      </c>
    </row>
    <row r="1966" spans="1:13" ht="14.25" customHeight="true">
      <c r="A1966" s="33" t="str">
        <f t="shared" si="120"/>
        <v>HDR - Intercompany</v>
      </c>
      <c r="B1966" s="33" t="str">
        <f t="shared" si="121"/>
        <v>HDR</v>
      </c>
      <c r="C1966" s="33" t="str">
        <f t="shared" si="122"/>
        <v>11201-0000</v>
      </c>
      <c r="D1966" t="s">
        <v>21029</v>
      </c>
      <c r="E1966" t="s">
        <v>14071</v>
      </c>
      <c r="F1966" t="s">
        <v>14039</v>
      </c>
      <c r="G1966" t="s">
        <v>14672</v>
      </c>
      <c r="H1966" t="s">
        <v>13869</v>
      </c>
      <c r="I1966" t="s">
        <v>14690</v>
      </c>
      <c r="J1966" s="62">
        <v>0</v>
      </c>
      <c r="K1966" s="62">
        <v>0</v>
      </c>
      <c r="L1966" t="str">
        <f>VLOOKUP(VALUE(LEFT(C1966,5)),Xref!A:B,2,0)</f>
        <v>SG2</v>
      </c>
      <c r="M1966" t="str">
        <f t="shared" si="123"/>
        <v>HDR-SG2</v>
      </c>
    </row>
    <row r="1967" spans="1:13" ht="14.25" customHeight="true">
      <c r="A1967" s="33" t="str">
        <f t="shared" si="120"/>
        <v>HDR - Intercompany</v>
      </c>
      <c r="B1967" s="33" t="str">
        <f t="shared" si="121"/>
        <v>HDR</v>
      </c>
      <c r="C1967" s="33" t="str">
        <f t="shared" si="122"/>
        <v>11202-0000</v>
      </c>
      <c r="D1967" t="s">
        <v>21030</v>
      </c>
      <c r="E1967" t="s">
        <v>14073</v>
      </c>
      <c r="F1967" t="s">
        <v>14039</v>
      </c>
      <c r="G1967" t="s">
        <v>14672</v>
      </c>
      <c r="H1967" t="s">
        <v>13869</v>
      </c>
      <c r="I1967" t="s">
        <v>14690</v>
      </c>
      <c r="J1967" s="62">
        <v>0</v>
      </c>
      <c r="K1967" s="62">
        <v>0</v>
      </c>
      <c r="L1967" t="str">
        <f>VLOOKUP(VALUE(LEFT(C1967,5)),Xref!A:B,2,0)</f>
        <v>FFC</v>
      </c>
      <c r="M1967" t="str">
        <f t="shared" si="123"/>
        <v>FFC-HDR</v>
      </c>
    </row>
    <row r="1968" spans="1:13" ht="14.25" customHeight="true">
      <c r="A1968" s="33" t="str">
        <f t="shared" si="120"/>
        <v>HDR - Intercompany</v>
      </c>
      <c r="B1968" s="33" t="str">
        <f t="shared" si="121"/>
        <v>HDR</v>
      </c>
      <c r="C1968" s="33" t="str">
        <f t="shared" si="122"/>
        <v>11203-0000</v>
      </c>
      <c r="D1968" t="s">
        <v>21031</v>
      </c>
      <c r="E1968" t="s">
        <v>14075</v>
      </c>
      <c r="F1968" t="s">
        <v>14039</v>
      </c>
      <c r="G1968" t="s">
        <v>14672</v>
      </c>
      <c r="H1968" t="s">
        <v>13869</v>
      </c>
      <c r="I1968" t="s">
        <v>14690</v>
      </c>
      <c r="J1968" s="62">
        <v>0</v>
      </c>
      <c r="K1968" s="62">
        <v>0</v>
      </c>
      <c r="L1968" t="str">
        <f>VLOOKUP(VALUE(LEFT(C1968,5)),Xref!A:B,2,0)</f>
        <v>HN2</v>
      </c>
      <c r="M1968" t="str">
        <f t="shared" si="123"/>
        <v>HDR-HN2</v>
      </c>
    </row>
    <row r="1969" spans="1:13" ht="14.25" customHeight="true">
      <c r="A1969" s="33" t="str">
        <f t="shared" si="120"/>
        <v>HDR - Intercompany</v>
      </c>
      <c r="B1969" s="33" t="str">
        <f t="shared" si="121"/>
        <v>HDR</v>
      </c>
      <c r="C1969" s="33" t="str">
        <f t="shared" si="122"/>
        <v>11204-0000</v>
      </c>
      <c r="D1969" t="s">
        <v>21032</v>
      </c>
      <c r="E1969" t="s">
        <v>14077</v>
      </c>
      <c r="F1969" t="s">
        <v>14039</v>
      </c>
      <c r="G1969" t="s">
        <v>14672</v>
      </c>
      <c r="H1969" t="s">
        <v>13869</v>
      </c>
      <c r="I1969" t="s">
        <v>14690</v>
      </c>
      <c r="J1969" s="62">
        <v>0</v>
      </c>
      <c r="K1969" s="62">
        <v>0</v>
      </c>
      <c r="L1969" t="str">
        <f>VLOOKUP(VALUE(LEFT(C1969,5)),Xref!A:B,2,0)</f>
        <v>DF2</v>
      </c>
      <c r="M1969" t="str">
        <f t="shared" si="123"/>
        <v>DF2-HDR</v>
      </c>
    </row>
    <row r="1970" spans="1:13" ht="14.25" customHeight="true">
      <c r="A1970" s="33" t="str">
        <f t="shared" si="120"/>
        <v>HDR - Intercompany</v>
      </c>
      <c r="B1970" s="33" t="str">
        <f t="shared" si="121"/>
        <v>HDR</v>
      </c>
      <c r="C1970" s="33" t="str">
        <f t="shared" si="122"/>
        <v>11208-0000</v>
      </c>
      <c r="D1970" t="s">
        <v>21033</v>
      </c>
      <c r="E1970" t="s">
        <v>14079</v>
      </c>
      <c r="F1970" t="s">
        <v>14039</v>
      </c>
      <c r="G1970" t="s">
        <v>14672</v>
      </c>
      <c r="H1970" t="s">
        <v>13869</v>
      </c>
      <c r="I1970" t="s">
        <v>14690</v>
      </c>
      <c r="J1970" s="62">
        <v>0</v>
      </c>
      <c r="K1970" s="62">
        <v>0</v>
      </c>
      <c r="L1970" t="str">
        <f>VLOOKUP(VALUE(LEFT(C1970,5)),Xref!A:B,2,0)</f>
        <v>SRE</v>
      </c>
      <c r="M1970" t="str">
        <f t="shared" si="123"/>
        <v>HDR-SRE</v>
      </c>
    </row>
    <row r="1971" spans="1:13" ht="14.25" customHeight="true">
      <c r="A1971" s="33" t="str">
        <f t="shared" si="120"/>
        <v>HDR - Intercompany</v>
      </c>
      <c r="B1971" s="33" t="str">
        <f t="shared" si="121"/>
        <v>HDR</v>
      </c>
      <c r="C1971" s="33" t="str">
        <f t="shared" si="122"/>
        <v>11210-0000</v>
      </c>
      <c r="D1971" t="s">
        <v>21034</v>
      </c>
      <c r="E1971" t="s">
        <v>14081</v>
      </c>
      <c r="F1971" t="s">
        <v>14039</v>
      </c>
      <c r="G1971" t="s">
        <v>14672</v>
      </c>
      <c r="H1971" t="s">
        <v>13869</v>
      </c>
      <c r="I1971" t="s">
        <v>14690</v>
      </c>
      <c r="J1971" s="62">
        <v>0</v>
      </c>
      <c r="K1971" s="62">
        <v>0</v>
      </c>
      <c r="L1971" t="str">
        <f>VLOOKUP(VALUE(LEFT(C1971,5)),Xref!A:B,2,0)</f>
        <v>REM</v>
      </c>
      <c r="M1971" t="str">
        <f t="shared" si="123"/>
        <v>HDR-REM</v>
      </c>
    </row>
    <row r="1972" spans="1:13" ht="14.25" customHeight="true">
      <c r="A1972" s="33" t="str">
        <f t="shared" si="120"/>
        <v>HDR - Intercompany</v>
      </c>
      <c r="B1972" s="33" t="str">
        <f t="shared" si="121"/>
        <v>HDR</v>
      </c>
      <c r="C1972" s="33" t="str">
        <f t="shared" si="122"/>
        <v>11212-0000</v>
      </c>
      <c r="D1972" t="s">
        <v>21035</v>
      </c>
      <c r="E1972" t="s">
        <v>14083</v>
      </c>
      <c r="F1972" t="s">
        <v>14039</v>
      </c>
      <c r="G1972" t="s">
        <v>14672</v>
      </c>
      <c r="H1972" t="s">
        <v>13869</v>
      </c>
      <c r="I1972" t="s">
        <v>14690</v>
      </c>
      <c r="J1972" s="62">
        <v>0</v>
      </c>
      <c r="K1972" s="62">
        <v>0</v>
      </c>
      <c r="L1972" t="str">
        <f>VLOOKUP(VALUE(LEFT(C1972,5)),Xref!A:B,2,0)</f>
        <v>FRM</v>
      </c>
      <c r="M1972" t="str">
        <f t="shared" si="123"/>
        <v>FRM-HDR</v>
      </c>
    </row>
    <row r="1973" spans="1:13" ht="14.25" customHeight="true">
      <c r="A1973" s="33" t="str">
        <f t="shared" si="120"/>
        <v>HDR - Intercompany</v>
      </c>
      <c r="B1973" s="33" t="str">
        <f t="shared" si="121"/>
        <v>HDR</v>
      </c>
      <c r="C1973" s="33" t="str">
        <f t="shared" si="122"/>
        <v>11214-0000</v>
      </c>
      <c r="D1973" t="s">
        <v>21036</v>
      </c>
      <c r="E1973" t="s">
        <v>14085</v>
      </c>
      <c r="F1973" t="s">
        <v>14039</v>
      </c>
      <c r="G1973" t="s">
        <v>14672</v>
      </c>
      <c r="H1973" t="s">
        <v>13869</v>
      </c>
      <c r="I1973" t="s">
        <v>14690</v>
      </c>
      <c r="J1973" s="62">
        <v>0</v>
      </c>
      <c r="K1973" s="62">
        <v>0</v>
      </c>
      <c r="L1973" t="str">
        <f>VLOOKUP(VALUE(LEFT(C1973,5)),Xref!A:B,2,0)</f>
        <v>D7R</v>
      </c>
      <c r="M1973" t="str">
        <f t="shared" si="123"/>
        <v>D7R-HDR</v>
      </c>
    </row>
    <row r="1974" spans="1:13" ht="14.25" customHeight="true">
      <c r="A1974" s="33" t="str">
        <f t="shared" si="120"/>
        <v>HDR - Intercompany</v>
      </c>
      <c r="B1974" s="33" t="str">
        <f t="shared" si="121"/>
        <v>HDR</v>
      </c>
      <c r="C1974" s="33" t="str">
        <f t="shared" si="122"/>
        <v>11215-0000</v>
      </c>
      <c r="D1974" t="s">
        <v>21037</v>
      </c>
      <c r="E1974" t="s">
        <v>14087</v>
      </c>
      <c r="F1974" t="s">
        <v>14039</v>
      </c>
      <c r="G1974" t="s">
        <v>14672</v>
      </c>
      <c r="H1974" t="s">
        <v>13869</v>
      </c>
      <c r="I1974" t="s">
        <v>14690</v>
      </c>
      <c r="J1974" s="62">
        <v>0</v>
      </c>
      <c r="K1974" s="62">
        <v>0</v>
      </c>
      <c r="L1974" t="str">
        <f>VLOOKUP(VALUE(LEFT(C1974,5)),Xref!A:B,2,0)</f>
        <v>CDP</v>
      </c>
      <c r="M1974" t="str">
        <f t="shared" si="123"/>
        <v>CDP-HDR</v>
      </c>
    </row>
    <row r="1975" spans="1:13" ht="14.25" customHeight="true">
      <c r="A1975" s="33" t="str">
        <f t="shared" si="120"/>
        <v>HDR - Intercompany</v>
      </c>
      <c r="B1975" s="33" t="str">
        <f t="shared" si="121"/>
        <v>HDR</v>
      </c>
      <c r="C1975" s="33" t="str">
        <f t="shared" si="122"/>
        <v>11216-0000</v>
      </c>
      <c r="D1975" t="s">
        <v>6470</v>
      </c>
      <c r="E1975" t="s">
        <v>13224</v>
      </c>
      <c r="F1975" t="s">
        <v>14039</v>
      </c>
      <c r="G1975" t="s">
        <v>14672</v>
      </c>
      <c r="H1975" t="s">
        <v>13869</v>
      </c>
      <c r="I1975" t="s">
        <v>14690</v>
      </c>
      <c r="J1975" s="62">
        <v>-100.43</v>
      </c>
      <c r="K1975" s="62">
        <v>-2309.79</v>
      </c>
      <c r="L1975" t="str">
        <f>VLOOKUP(VALUE(LEFT(C1975,5)),Xref!A:B,2,0)</f>
        <v>SIL</v>
      </c>
      <c r="M1975" t="str">
        <f t="shared" si="123"/>
        <v>HDR-SIL</v>
      </c>
    </row>
    <row r="1976" spans="1:13" ht="14.25" customHeight="true">
      <c r="A1976" s="33" t="str">
        <f t="shared" si="120"/>
        <v>HDR - Intercompany</v>
      </c>
      <c r="B1976" s="33" t="str">
        <f t="shared" si="121"/>
        <v>HDR</v>
      </c>
      <c r="C1976" s="33" t="str">
        <f t="shared" si="122"/>
        <v>11232-0000</v>
      </c>
      <c r="D1976" t="s">
        <v>21038</v>
      </c>
      <c r="E1976" t="s">
        <v>12486</v>
      </c>
      <c r="F1976" t="s">
        <v>14039</v>
      </c>
      <c r="G1976" t="s">
        <v>14672</v>
      </c>
      <c r="H1976" t="s">
        <v>13869</v>
      </c>
      <c r="I1976" t="s">
        <v>14690</v>
      </c>
      <c r="J1976" s="62">
        <v>0</v>
      </c>
      <c r="K1976" s="62">
        <v>0</v>
      </c>
      <c r="L1976" t="str">
        <f>VLOOKUP(VALUE(LEFT(C1976,5)),Xref!A:B,2,0)</f>
        <v>SC2</v>
      </c>
      <c r="M1976" t="str">
        <f t="shared" si="123"/>
        <v>HDR-SC2</v>
      </c>
    </row>
    <row r="1977" spans="1:13" ht="14.25" customHeight="true">
      <c r="A1977" s="33" t="str">
        <f t="shared" si="120"/>
        <v>HDR - Intercompany</v>
      </c>
      <c r="B1977" s="33" t="str">
        <f t="shared" si="121"/>
        <v>HDR</v>
      </c>
      <c r="C1977" s="33" t="str">
        <f t="shared" si="122"/>
        <v>11301-0000</v>
      </c>
      <c r="D1977" t="s">
        <v>21039</v>
      </c>
      <c r="E1977" t="s">
        <v>13225</v>
      </c>
      <c r="F1977" t="s">
        <v>14039</v>
      </c>
      <c r="G1977" t="s">
        <v>14672</v>
      </c>
      <c r="H1977" t="s">
        <v>13869</v>
      </c>
      <c r="I1977" t="s">
        <v>14690</v>
      </c>
      <c r="J1977" s="62">
        <v>0</v>
      </c>
      <c r="K1977" s="62">
        <v>0</v>
      </c>
      <c r="L1977" t="str">
        <f>VLOOKUP(VALUE(LEFT(C1977,5)),Xref!A:B,2,0)</f>
        <v>CRE</v>
      </c>
      <c r="M1977" t="str">
        <f t="shared" si="123"/>
        <v>CRE-HDR</v>
      </c>
    </row>
    <row r="1978" spans="1:13" ht="14.25" customHeight="true">
      <c r="A1978" s="33" t="str">
        <f t="shared" si="120"/>
        <v>HDR - Intercompany</v>
      </c>
      <c r="B1978" s="33" t="str">
        <f t="shared" si="121"/>
        <v>HDR</v>
      </c>
      <c r="C1978" s="33" t="str">
        <f t="shared" si="122"/>
        <v>11302-0000</v>
      </c>
      <c r="D1978" t="s">
        <v>21040</v>
      </c>
      <c r="E1978" t="s">
        <v>13226</v>
      </c>
      <c r="F1978" t="s">
        <v>14039</v>
      </c>
      <c r="G1978" t="s">
        <v>14672</v>
      </c>
      <c r="H1978" t="s">
        <v>13869</v>
      </c>
      <c r="I1978" t="s">
        <v>14690</v>
      </c>
      <c r="J1978" s="62">
        <v>0</v>
      </c>
      <c r="K1978" s="62">
        <v>0</v>
      </c>
      <c r="L1978" t="str">
        <f>VLOOKUP(VALUE(LEFT(C1978,5)),Xref!A:B,2,0)</f>
        <v>CHA</v>
      </c>
      <c r="M1978" t="str">
        <f t="shared" si="123"/>
        <v>CHA-HDR</v>
      </c>
    </row>
    <row r="1979" spans="1:13" ht="14.25" customHeight="true">
      <c r="A1979" s="33" t="str">
        <f t="shared" si="120"/>
        <v>HDR - Intercompany</v>
      </c>
      <c r="B1979" s="33" t="str">
        <f t="shared" si="121"/>
        <v>HDR</v>
      </c>
      <c r="C1979" s="33" t="str">
        <f t="shared" si="122"/>
        <v>11303-0000</v>
      </c>
      <c r="D1979" t="s">
        <v>21041</v>
      </c>
      <c r="E1979" t="s">
        <v>13227</v>
      </c>
      <c r="F1979" t="s">
        <v>14039</v>
      </c>
      <c r="G1979" t="s">
        <v>14672</v>
      </c>
      <c r="H1979" t="s">
        <v>13869</v>
      </c>
      <c r="I1979" t="s">
        <v>14690</v>
      </c>
      <c r="J1979" s="62">
        <v>0</v>
      </c>
      <c r="K1979" s="62">
        <v>0</v>
      </c>
      <c r="L1979" t="str">
        <f>VLOOKUP(VALUE(LEFT(C1979,5)),Xref!A:B,2,0)</f>
        <v>DIA</v>
      </c>
      <c r="M1979" t="str">
        <f t="shared" si="123"/>
        <v>DIA-HDR</v>
      </c>
    </row>
    <row r="1980" spans="1:13" ht="14.25" customHeight="true">
      <c r="A1980" s="33" t="str">
        <f t="shared" si="120"/>
        <v>HDR - Intercompany</v>
      </c>
      <c r="B1980" s="33" t="str">
        <f t="shared" si="121"/>
        <v>HDR</v>
      </c>
      <c r="C1980" s="33" t="str">
        <f t="shared" si="122"/>
        <v>11304-0000</v>
      </c>
      <c r="D1980" t="s">
        <v>21042</v>
      </c>
      <c r="E1980" t="s">
        <v>13228</v>
      </c>
      <c r="F1980" t="s">
        <v>14039</v>
      </c>
      <c r="G1980" t="s">
        <v>14672</v>
      </c>
      <c r="H1980" t="s">
        <v>13869</v>
      </c>
      <c r="I1980" t="s">
        <v>14690</v>
      </c>
      <c r="J1980" s="62">
        <v>0</v>
      </c>
      <c r="K1980" s="62">
        <v>0</v>
      </c>
      <c r="L1980" t="str">
        <f>VLOOKUP(VALUE(LEFT(C1980,5)),Xref!A:B,2,0)</f>
        <v>EAG</v>
      </c>
      <c r="M1980" t="str">
        <f t="shared" si="123"/>
        <v>EAG-HDR</v>
      </c>
    </row>
    <row r="1981" spans="1:13" ht="14.25" customHeight="true">
      <c r="A1981" s="33" t="str">
        <f t="shared" si="120"/>
        <v>HDR - Intercompany</v>
      </c>
      <c r="B1981" s="33" t="str">
        <f t="shared" si="121"/>
        <v>HDR</v>
      </c>
      <c r="C1981" s="33" t="str">
        <f t="shared" si="122"/>
        <v>11305-0000</v>
      </c>
      <c r="D1981" t="s">
        <v>21043</v>
      </c>
      <c r="E1981" t="s">
        <v>13229</v>
      </c>
      <c r="F1981" t="s">
        <v>14039</v>
      </c>
      <c r="G1981" t="s">
        <v>14672</v>
      </c>
      <c r="H1981" t="s">
        <v>13869</v>
      </c>
      <c r="I1981" t="s">
        <v>14690</v>
      </c>
      <c r="J1981" s="62">
        <v>0</v>
      </c>
      <c r="K1981" s="62">
        <v>0</v>
      </c>
      <c r="L1981" t="str">
        <f>VLOOKUP(VALUE(LEFT(C1981,5)),Xref!A:B,2,0)</f>
        <v>NEW</v>
      </c>
      <c r="M1981" t="str">
        <f t="shared" si="123"/>
        <v>HDR-NEW</v>
      </c>
    </row>
    <row r="1982" spans="1:13" ht="14.25" customHeight="true">
      <c r="A1982" s="33" t="str">
        <f t="shared" si="120"/>
        <v>HDR - Intercompany</v>
      </c>
      <c r="B1982" s="33" t="str">
        <f t="shared" si="121"/>
        <v>HDR</v>
      </c>
      <c r="C1982" s="33" t="str">
        <f t="shared" si="122"/>
        <v>11307-0000</v>
      </c>
      <c r="D1982" t="s">
        <v>21044</v>
      </c>
      <c r="E1982" t="s">
        <v>14096</v>
      </c>
      <c r="F1982" t="s">
        <v>14039</v>
      </c>
      <c r="G1982" t="s">
        <v>14672</v>
      </c>
      <c r="H1982" t="s">
        <v>13869</v>
      </c>
      <c r="I1982" t="s">
        <v>14690</v>
      </c>
      <c r="J1982" s="62">
        <v>0</v>
      </c>
      <c r="K1982" s="62">
        <v>0</v>
      </c>
      <c r="L1982" t="str">
        <f>VLOOKUP(VALUE(LEFT(C1982,5)),Xref!A:B,2,0)</f>
        <v>NES</v>
      </c>
      <c r="M1982" t="str">
        <f t="shared" si="123"/>
        <v>HDR-NES</v>
      </c>
    </row>
    <row r="1983" spans="1:13" ht="14.25" customHeight="true">
      <c r="A1983" s="33" t="str">
        <f t="shared" si="120"/>
        <v>HDR - Intercompany</v>
      </c>
      <c r="B1983" s="33" t="str">
        <f t="shared" si="121"/>
        <v>HDR</v>
      </c>
      <c r="C1983" s="33" t="str">
        <f t="shared" si="122"/>
        <v>11308-0000</v>
      </c>
      <c r="D1983" t="s">
        <v>21045</v>
      </c>
      <c r="E1983" t="s">
        <v>13476</v>
      </c>
      <c r="F1983" t="s">
        <v>14039</v>
      </c>
      <c r="G1983" t="s">
        <v>14672</v>
      </c>
      <c r="H1983" t="s">
        <v>13869</v>
      </c>
      <c r="I1983" t="s">
        <v>14690</v>
      </c>
      <c r="J1983" s="62">
        <v>0</v>
      </c>
      <c r="K1983" s="62">
        <v>0</v>
      </c>
      <c r="L1983" t="str">
        <f>VLOOKUP(VALUE(LEFT(C1983,5)),Xref!A:B,2,0)</f>
        <v>LPI</v>
      </c>
      <c r="M1983" t="str">
        <f t="shared" si="123"/>
        <v>HDR-LPI</v>
      </c>
    </row>
    <row r="1984" spans="1:13" ht="14.25" customHeight="true">
      <c r="A1984" s="33" t="str">
        <f t="shared" si="120"/>
        <v>HDR - Intercompany</v>
      </c>
      <c r="B1984" s="33" t="str">
        <f t="shared" si="121"/>
        <v>HDR</v>
      </c>
      <c r="C1984" s="33" t="str">
        <f t="shared" si="122"/>
        <v>11309-0000</v>
      </c>
      <c r="D1984" t="s">
        <v>21046</v>
      </c>
      <c r="E1984" t="s">
        <v>13230</v>
      </c>
      <c r="F1984" t="s">
        <v>14039</v>
      </c>
      <c r="G1984" t="s">
        <v>14672</v>
      </c>
      <c r="H1984" t="s">
        <v>13869</v>
      </c>
      <c r="I1984" t="s">
        <v>14690</v>
      </c>
      <c r="J1984" s="62">
        <v>0</v>
      </c>
      <c r="K1984" s="62">
        <v>0</v>
      </c>
      <c r="L1984" t="str">
        <f>VLOOKUP(VALUE(LEFT(C1984,5)),Xref!A:B,2,0)</f>
        <v>GPI</v>
      </c>
      <c r="M1984" t="str">
        <f t="shared" si="123"/>
        <v>GPI-HDR</v>
      </c>
    </row>
    <row r="1985" spans="1:13" ht="14.25" customHeight="true">
      <c r="A1985" s="33" t="str">
        <f t="shared" si="120"/>
        <v>HDR - Intercompany</v>
      </c>
      <c r="B1985" s="33" t="str">
        <f t="shared" si="121"/>
        <v>HDR</v>
      </c>
      <c r="C1985" s="33" t="str">
        <f t="shared" si="122"/>
        <v>11310-0000</v>
      </c>
      <c r="D1985" t="s">
        <v>21047</v>
      </c>
      <c r="E1985" t="s">
        <v>13231</v>
      </c>
      <c r="F1985" t="s">
        <v>14039</v>
      </c>
      <c r="G1985" t="s">
        <v>14672</v>
      </c>
      <c r="H1985" t="s">
        <v>13869</v>
      </c>
      <c r="I1985" t="s">
        <v>14690</v>
      </c>
      <c r="J1985" s="62">
        <v>0</v>
      </c>
      <c r="K1985" s="62">
        <v>0</v>
      </c>
      <c r="L1985" t="str">
        <f>VLOOKUP(VALUE(LEFT(C1985,5)),Xref!A:B,2,0)</f>
        <v>ALP</v>
      </c>
      <c r="M1985" t="str">
        <f t="shared" si="123"/>
        <v>ALP-HDR</v>
      </c>
    </row>
    <row r="1986" spans="1:13" ht="14.25" customHeight="true">
      <c r="A1986" s="33" t="str">
        <f t="shared" ref="A1986:A2049" si="124">B1986&amp;" - "&amp;TRIM(H1986)</f>
        <v>HDR - Intercompany</v>
      </c>
      <c r="B1986" s="33" t="str">
        <f t="shared" ref="B1986:B2049" si="125">LEFT(D1986,3)</f>
        <v>HDR</v>
      </c>
      <c r="C1986" s="33" t="str">
        <f t="shared" ref="C1986:C2049" si="126">RIGHT(D1986,10)</f>
        <v>11311-0000</v>
      </c>
      <c r="D1986" t="s">
        <v>21048</v>
      </c>
      <c r="E1986" t="s">
        <v>13232</v>
      </c>
      <c r="F1986" t="s">
        <v>14039</v>
      </c>
      <c r="G1986" t="s">
        <v>14672</v>
      </c>
      <c r="H1986" t="s">
        <v>13869</v>
      </c>
      <c r="I1986" t="s">
        <v>14690</v>
      </c>
      <c r="J1986" s="62">
        <v>0</v>
      </c>
      <c r="K1986" s="62">
        <v>0</v>
      </c>
      <c r="L1986" t="str">
        <f>VLOOKUP(VALUE(LEFT(C1986,5)),Xref!A:B,2,0)</f>
        <v>BET</v>
      </c>
      <c r="M1986" t="str">
        <f t="shared" ref="M1986:M2049" si="127">IF(B1986&lt;L1986,B1986&amp;"-"&amp;L1986,L1986&amp;"-"&amp;B1986)</f>
        <v>BET-HDR</v>
      </c>
    </row>
    <row r="1987" spans="1:13" ht="14.25" customHeight="true">
      <c r="A1987" s="33" t="str">
        <f t="shared" si="124"/>
        <v>HDR - Intercompany</v>
      </c>
      <c r="B1987" s="33" t="str">
        <f t="shared" si="125"/>
        <v>HDR</v>
      </c>
      <c r="C1987" s="33" t="str">
        <f t="shared" si="126"/>
        <v>11312-0000</v>
      </c>
      <c r="D1987" t="s">
        <v>21049</v>
      </c>
      <c r="E1987" t="s">
        <v>14102</v>
      </c>
      <c r="F1987" t="s">
        <v>14039</v>
      </c>
      <c r="G1987" t="s">
        <v>14672</v>
      </c>
      <c r="H1987" t="s">
        <v>13869</v>
      </c>
      <c r="I1987" t="s">
        <v>14690</v>
      </c>
      <c r="J1987" s="62">
        <v>0</v>
      </c>
      <c r="K1987" s="62">
        <v>0</v>
      </c>
      <c r="L1987" t="str">
        <f>VLOOKUP(VALUE(LEFT(C1987,5)),Xref!A:B,2,0)</f>
        <v>DEL</v>
      </c>
      <c r="M1987" t="str">
        <f t="shared" si="127"/>
        <v>DEL-HDR</v>
      </c>
    </row>
    <row r="1988" spans="1:13" ht="14.25" customHeight="true">
      <c r="A1988" s="33" t="str">
        <f t="shared" si="124"/>
        <v>HDR - Intercompany</v>
      </c>
      <c r="B1988" s="33" t="str">
        <f t="shared" si="125"/>
        <v>HDR</v>
      </c>
      <c r="C1988" s="33" t="str">
        <f t="shared" si="126"/>
        <v>11313-0000</v>
      </c>
      <c r="D1988" t="s">
        <v>21050</v>
      </c>
      <c r="E1988" t="s">
        <v>13233</v>
      </c>
      <c r="F1988" t="s">
        <v>14039</v>
      </c>
      <c r="G1988" t="s">
        <v>14672</v>
      </c>
      <c r="H1988" t="s">
        <v>13869</v>
      </c>
      <c r="I1988" t="s">
        <v>14690</v>
      </c>
      <c r="J1988" s="62">
        <v>0</v>
      </c>
      <c r="K1988" s="62">
        <v>0</v>
      </c>
      <c r="L1988" t="str">
        <f>VLOOKUP(VALUE(LEFT(C1988,5)),Xref!A:B,2,0)</f>
        <v>DOL</v>
      </c>
      <c r="M1988" t="str">
        <f t="shared" si="127"/>
        <v>DOL-HDR</v>
      </c>
    </row>
    <row r="1989" spans="1:13" ht="14.25" customHeight="true">
      <c r="A1989" s="33" t="str">
        <f t="shared" si="124"/>
        <v>HDR - Intercompany</v>
      </c>
      <c r="B1989" s="33" t="str">
        <f t="shared" si="125"/>
        <v>HDR</v>
      </c>
      <c r="C1989" s="33" t="str">
        <f t="shared" si="126"/>
        <v>11314-0000</v>
      </c>
      <c r="D1989" t="s">
        <v>21051</v>
      </c>
      <c r="E1989" t="s">
        <v>13351</v>
      </c>
      <c r="F1989" t="s">
        <v>14039</v>
      </c>
      <c r="G1989" t="s">
        <v>14672</v>
      </c>
      <c r="H1989" t="s">
        <v>13869</v>
      </c>
      <c r="I1989" t="s">
        <v>14690</v>
      </c>
      <c r="J1989" s="62">
        <v>0</v>
      </c>
      <c r="K1989" s="62">
        <v>0</v>
      </c>
      <c r="L1989" t="str">
        <f>VLOOKUP(VALUE(LEFT(C1989,5)),Xref!A:B,2,0)</f>
        <v>GRI</v>
      </c>
      <c r="M1989" t="str">
        <f t="shared" si="127"/>
        <v>GRI-HDR</v>
      </c>
    </row>
    <row r="1990" spans="1:13" ht="14.25" customHeight="true">
      <c r="A1990" s="33" t="str">
        <f t="shared" si="124"/>
        <v>HDR - Intercompany</v>
      </c>
      <c r="B1990" s="33" t="str">
        <f t="shared" si="125"/>
        <v>HDR</v>
      </c>
      <c r="C1990" s="33" t="str">
        <f t="shared" si="126"/>
        <v>11315-0000</v>
      </c>
      <c r="D1990" t="s">
        <v>21052</v>
      </c>
      <c r="E1990" t="s">
        <v>13234</v>
      </c>
      <c r="F1990" t="s">
        <v>14039</v>
      </c>
      <c r="G1990" t="s">
        <v>14672</v>
      </c>
      <c r="H1990" t="s">
        <v>13869</v>
      </c>
      <c r="I1990" t="s">
        <v>14690</v>
      </c>
      <c r="J1990" s="62">
        <v>0</v>
      </c>
      <c r="K1990" s="62">
        <v>0</v>
      </c>
      <c r="L1990" t="str">
        <f>VLOOKUP(VALUE(LEFT(C1990,5)),Xref!A:B,2,0)</f>
        <v>PUR</v>
      </c>
      <c r="M1990" t="str">
        <f t="shared" si="127"/>
        <v>HDR-PUR</v>
      </c>
    </row>
    <row r="1991" spans="1:13" ht="14.25" customHeight="true">
      <c r="A1991" s="33" t="str">
        <f t="shared" si="124"/>
        <v>HDR - Intercompany</v>
      </c>
      <c r="B1991" s="33" t="str">
        <f t="shared" si="125"/>
        <v>HDR</v>
      </c>
      <c r="C1991" s="33" t="str">
        <f t="shared" si="126"/>
        <v>11316-0000</v>
      </c>
      <c r="D1991" t="s">
        <v>21053</v>
      </c>
      <c r="E1991" t="s">
        <v>13235</v>
      </c>
      <c r="F1991" t="s">
        <v>14039</v>
      </c>
      <c r="G1991" t="s">
        <v>14672</v>
      </c>
      <c r="H1991" t="s">
        <v>13869</v>
      </c>
      <c r="I1991" t="s">
        <v>14690</v>
      </c>
      <c r="J1991" s="62">
        <v>0</v>
      </c>
      <c r="K1991" s="62">
        <v>0</v>
      </c>
      <c r="L1991" t="str">
        <f>VLOOKUP(VALUE(LEFT(C1991,5)),Xref!A:B,2,0)</f>
        <v>VAL</v>
      </c>
      <c r="M1991" t="str">
        <f t="shared" si="127"/>
        <v>HDR-VAL</v>
      </c>
    </row>
    <row r="1992" spans="1:13" ht="14.25" customHeight="true">
      <c r="A1992" s="33" t="str">
        <f t="shared" si="124"/>
        <v>HDR - Intercompany</v>
      </c>
      <c r="B1992" s="33" t="str">
        <f t="shared" si="125"/>
        <v>HDR</v>
      </c>
      <c r="C1992" s="33" t="str">
        <f t="shared" si="126"/>
        <v>11317-0000</v>
      </c>
      <c r="D1992" t="s">
        <v>21054</v>
      </c>
      <c r="E1992" t="s">
        <v>13352</v>
      </c>
      <c r="F1992" t="s">
        <v>14039</v>
      </c>
      <c r="G1992" t="s">
        <v>14672</v>
      </c>
      <c r="H1992" t="s">
        <v>13869</v>
      </c>
      <c r="I1992" t="s">
        <v>14690</v>
      </c>
      <c r="J1992" s="62">
        <v>0</v>
      </c>
      <c r="K1992" s="62">
        <v>0</v>
      </c>
      <c r="L1992" t="str">
        <f>VLOOKUP(VALUE(LEFT(C1992,5)),Xref!A:B,2,0)</f>
        <v>AKG</v>
      </c>
      <c r="M1992" t="str">
        <f t="shared" si="127"/>
        <v>AKG-HDR</v>
      </c>
    </row>
    <row r="1993" spans="1:13" ht="14.25" customHeight="true">
      <c r="A1993" s="33" t="str">
        <f t="shared" si="124"/>
        <v>HDR - Intercompany</v>
      </c>
      <c r="B1993" s="33" t="str">
        <f t="shared" si="125"/>
        <v>HDR</v>
      </c>
      <c r="C1993" s="33" t="str">
        <f t="shared" si="126"/>
        <v>11318-0000</v>
      </c>
      <c r="D1993" t="s">
        <v>21055</v>
      </c>
      <c r="E1993" t="s">
        <v>13477</v>
      </c>
      <c r="F1993" t="s">
        <v>14039</v>
      </c>
      <c r="G1993" t="s">
        <v>14672</v>
      </c>
      <c r="H1993" t="s">
        <v>13869</v>
      </c>
      <c r="I1993" t="s">
        <v>14690</v>
      </c>
      <c r="J1993" s="62">
        <v>0</v>
      </c>
      <c r="K1993" s="62">
        <v>0</v>
      </c>
      <c r="L1993" t="str">
        <f>VLOOKUP(VALUE(LEFT(C1993,5)),Xref!A:B,2,0)</f>
        <v>FIR</v>
      </c>
      <c r="M1993" t="str">
        <f t="shared" si="127"/>
        <v>FIR-HDR</v>
      </c>
    </row>
    <row r="1994" spans="1:13" ht="14.25" customHeight="true">
      <c r="A1994" s="33" t="str">
        <f t="shared" si="124"/>
        <v>HDR - Intercompany</v>
      </c>
      <c r="B1994" s="33" t="str">
        <f t="shared" si="125"/>
        <v>HDR</v>
      </c>
      <c r="C1994" s="33" t="str">
        <f t="shared" si="126"/>
        <v>11319-0000</v>
      </c>
      <c r="D1994" t="s">
        <v>21056</v>
      </c>
      <c r="E1994" t="s">
        <v>266</v>
      </c>
      <c r="F1994" t="s">
        <v>14039</v>
      </c>
      <c r="G1994" t="s">
        <v>14672</v>
      </c>
      <c r="H1994" t="s">
        <v>13869</v>
      </c>
      <c r="I1994" t="s">
        <v>14690</v>
      </c>
      <c r="J1994" s="62">
        <v>0</v>
      </c>
      <c r="K1994" s="62">
        <v>0</v>
      </c>
      <c r="L1994" t="str">
        <f>VLOOKUP(VALUE(LEFT(C1994,5)),Xref!A:B,2,0)</f>
        <v>GST</v>
      </c>
      <c r="M1994" t="str">
        <f t="shared" si="127"/>
        <v>GST-HDR</v>
      </c>
    </row>
    <row r="1995" spans="1:13" ht="14.25" customHeight="true">
      <c r="A1995" s="33" t="str">
        <f t="shared" si="124"/>
        <v>HDR - Intercompany</v>
      </c>
      <c r="B1995" s="33" t="str">
        <f t="shared" si="125"/>
        <v>HDR</v>
      </c>
      <c r="C1995" s="33" t="str">
        <f t="shared" si="126"/>
        <v>11320-0000</v>
      </c>
      <c r="D1995" t="s">
        <v>6471</v>
      </c>
      <c r="E1995" t="s">
        <v>14111</v>
      </c>
      <c r="F1995" t="s">
        <v>14039</v>
      </c>
      <c r="G1995" t="s">
        <v>14672</v>
      </c>
      <c r="H1995" t="s">
        <v>13869</v>
      </c>
      <c r="I1995" t="s">
        <v>14690</v>
      </c>
      <c r="J1995" s="62">
        <v>0</v>
      </c>
      <c r="K1995" s="62">
        <v>-2238642.92</v>
      </c>
      <c r="L1995" t="str">
        <f>VLOOKUP(VALUE(LEFT(C1995,5)),Xref!A:B,2,0)</f>
        <v>HDN</v>
      </c>
      <c r="M1995" t="str">
        <f t="shared" si="127"/>
        <v>HDN-HDR</v>
      </c>
    </row>
    <row r="1996" spans="1:13" ht="14.25" customHeight="true">
      <c r="A1996" s="33" t="str">
        <f t="shared" si="124"/>
        <v>HDR - Intercompany</v>
      </c>
      <c r="B1996" s="33" t="str">
        <f t="shared" si="125"/>
        <v>HDR</v>
      </c>
      <c r="C1996" s="33" t="str">
        <f t="shared" si="126"/>
        <v>11321-0000</v>
      </c>
      <c r="D1996" t="s">
        <v>21057</v>
      </c>
      <c r="E1996" t="s">
        <v>13236</v>
      </c>
      <c r="F1996" t="s">
        <v>14039</v>
      </c>
      <c r="G1996" t="s">
        <v>14672</v>
      </c>
      <c r="H1996" t="s">
        <v>13869</v>
      </c>
      <c r="I1996" t="s">
        <v>14690</v>
      </c>
      <c r="J1996" s="62">
        <v>0</v>
      </c>
      <c r="K1996" s="62">
        <v>0</v>
      </c>
      <c r="L1996" t="str">
        <f>VLOOKUP(VALUE(LEFT(C1996,5)),Xref!A:B,2,0)</f>
        <v>OVA</v>
      </c>
      <c r="M1996" t="str">
        <f t="shared" si="127"/>
        <v>HDR-OVA</v>
      </c>
    </row>
    <row r="1997" spans="1:13" ht="14.25" customHeight="true">
      <c r="A1997" s="33" t="str">
        <f t="shared" si="124"/>
        <v>HDR - Intercompany</v>
      </c>
      <c r="B1997" s="33" t="str">
        <f t="shared" si="125"/>
        <v>HDR</v>
      </c>
      <c r="C1997" s="33" t="str">
        <f t="shared" si="126"/>
        <v>11322-0000</v>
      </c>
      <c r="D1997" t="s">
        <v>21058</v>
      </c>
      <c r="E1997" t="s">
        <v>13237</v>
      </c>
      <c r="F1997" t="s">
        <v>14039</v>
      </c>
      <c r="G1997" t="s">
        <v>14672</v>
      </c>
      <c r="H1997" t="s">
        <v>13869</v>
      </c>
      <c r="I1997" t="s">
        <v>14690</v>
      </c>
      <c r="J1997" s="62">
        <v>0</v>
      </c>
      <c r="K1997" s="62">
        <v>0</v>
      </c>
      <c r="L1997" t="str">
        <f>VLOOKUP(VALUE(LEFT(C1997,5)),Xref!A:B,2,0)</f>
        <v>WOO</v>
      </c>
      <c r="M1997" t="str">
        <f t="shared" si="127"/>
        <v>HDR-WOO</v>
      </c>
    </row>
    <row r="1998" spans="1:13" ht="14.25" customHeight="true">
      <c r="A1998" s="33" t="str">
        <f t="shared" si="124"/>
        <v>HDR - Intercompany</v>
      </c>
      <c r="B1998" s="33" t="str">
        <f t="shared" si="125"/>
        <v>HDR</v>
      </c>
      <c r="C1998" s="33" t="str">
        <f t="shared" si="126"/>
        <v>11323-0000</v>
      </c>
      <c r="D1998" t="s">
        <v>21059</v>
      </c>
      <c r="E1998" t="s">
        <v>13478</v>
      </c>
      <c r="F1998" t="s">
        <v>14039</v>
      </c>
      <c r="G1998" t="s">
        <v>14672</v>
      </c>
      <c r="H1998" t="s">
        <v>13869</v>
      </c>
      <c r="I1998" t="s">
        <v>14690</v>
      </c>
      <c r="J1998" s="62">
        <v>0</v>
      </c>
      <c r="K1998" s="62">
        <v>0</v>
      </c>
      <c r="L1998" t="str">
        <f>VLOOKUP(VALUE(LEFT(C1998,5)),Xref!A:B,2,0)</f>
        <v>SPI</v>
      </c>
      <c r="M1998" t="str">
        <f t="shared" si="127"/>
        <v>HDR-SPI</v>
      </c>
    </row>
    <row r="1999" spans="1:13" ht="14.25" customHeight="true">
      <c r="A1999" s="33" t="str">
        <f t="shared" si="124"/>
        <v>HDR - Intercompany</v>
      </c>
      <c r="B1999" s="33" t="str">
        <f t="shared" si="125"/>
        <v>HDR</v>
      </c>
      <c r="C1999" s="33" t="str">
        <f t="shared" si="126"/>
        <v>11324-0000</v>
      </c>
      <c r="D1999" t="s">
        <v>21060</v>
      </c>
      <c r="E1999" t="s">
        <v>13238</v>
      </c>
      <c r="F1999" t="s">
        <v>14039</v>
      </c>
      <c r="G1999" t="s">
        <v>14672</v>
      </c>
      <c r="H1999" t="s">
        <v>13869</v>
      </c>
      <c r="I1999" t="s">
        <v>14690</v>
      </c>
      <c r="J1999" s="62">
        <v>0</v>
      </c>
      <c r="K1999" s="62">
        <v>0</v>
      </c>
      <c r="L1999" t="str">
        <f>VLOOKUP(VALUE(LEFT(C1999,5)),Xref!A:B,2,0)</f>
        <v>NET</v>
      </c>
      <c r="M1999" t="str">
        <f t="shared" si="127"/>
        <v>HDR-NET</v>
      </c>
    </row>
    <row r="2000" spans="1:13" ht="14.25" customHeight="true">
      <c r="A2000" s="33" t="str">
        <f t="shared" si="124"/>
        <v>HDR - Intercompany</v>
      </c>
      <c r="B2000" s="33" t="str">
        <f t="shared" si="125"/>
        <v>HDR</v>
      </c>
      <c r="C2000" s="33" t="str">
        <f t="shared" si="126"/>
        <v>11325-0000</v>
      </c>
      <c r="D2000" t="s">
        <v>21061</v>
      </c>
      <c r="E2000" t="s">
        <v>13239</v>
      </c>
      <c r="F2000" t="s">
        <v>14039</v>
      </c>
      <c r="G2000" t="s">
        <v>14672</v>
      </c>
      <c r="H2000" t="s">
        <v>13869</v>
      </c>
      <c r="I2000" t="s">
        <v>14690</v>
      </c>
      <c r="J2000" s="62">
        <v>0</v>
      </c>
      <c r="K2000" s="62">
        <v>0</v>
      </c>
      <c r="L2000" t="str">
        <f>VLOOKUP(VALUE(LEFT(C2000,5)),Xref!A:B,2,0)</f>
        <v>DPI</v>
      </c>
      <c r="M2000" t="str">
        <f t="shared" si="127"/>
        <v>DPI-HDR</v>
      </c>
    </row>
    <row r="2001" spans="1:13" ht="14.25" customHeight="true">
      <c r="A2001" s="33" t="str">
        <f t="shared" si="124"/>
        <v>HDR - Intercompany</v>
      </c>
      <c r="B2001" s="33" t="str">
        <f t="shared" si="125"/>
        <v>HDR</v>
      </c>
      <c r="C2001" s="33" t="str">
        <f t="shared" si="126"/>
        <v>11326-0000</v>
      </c>
      <c r="D2001" t="s">
        <v>21062</v>
      </c>
      <c r="E2001" t="s">
        <v>13240</v>
      </c>
      <c r="F2001" t="s">
        <v>14039</v>
      </c>
      <c r="G2001" t="s">
        <v>14672</v>
      </c>
      <c r="H2001" t="s">
        <v>13869</v>
      </c>
      <c r="I2001" t="s">
        <v>14690</v>
      </c>
      <c r="J2001" s="62">
        <v>0</v>
      </c>
      <c r="K2001" s="62">
        <v>0</v>
      </c>
      <c r="L2001" t="str">
        <f>VLOOKUP(VALUE(LEFT(C2001,5)),Xref!A:B,2,0)</f>
        <v>SEK</v>
      </c>
      <c r="M2001" t="str">
        <f t="shared" si="127"/>
        <v>HDR-SEK</v>
      </c>
    </row>
    <row r="2002" spans="1:13" ht="14.25" customHeight="true">
      <c r="A2002" s="33" t="str">
        <f t="shared" si="124"/>
        <v>HDR - Intercompany</v>
      </c>
      <c r="B2002" s="33" t="str">
        <f t="shared" si="125"/>
        <v>HDR</v>
      </c>
      <c r="C2002" s="33" t="str">
        <f t="shared" si="126"/>
        <v>11327-0000</v>
      </c>
      <c r="D2002" t="s">
        <v>21063</v>
      </c>
      <c r="E2002" t="s">
        <v>14119</v>
      </c>
      <c r="F2002" t="s">
        <v>14039</v>
      </c>
      <c r="G2002" t="s">
        <v>14672</v>
      </c>
      <c r="H2002" t="s">
        <v>13869</v>
      </c>
      <c r="I2002" t="s">
        <v>14690</v>
      </c>
      <c r="J2002" s="62">
        <v>0</v>
      </c>
      <c r="K2002" s="62">
        <v>0</v>
      </c>
      <c r="L2002" t="str">
        <f>VLOOKUP(VALUE(LEFT(C2002,5)),Xref!A:B,2,0)</f>
        <v>CPI</v>
      </c>
      <c r="M2002" t="str">
        <f t="shared" si="127"/>
        <v>CPI-HDR</v>
      </c>
    </row>
    <row r="2003" spans="1:13" ht="14.25" customHeight="true">
      <c r="A2003" s="33" t="str">
        <f t="shared" si="124"/>
        <v>HDR - Intercompany</v>
      </c>
      <c r="B2003" s="33" t="str">
        <f t="shared" si="125"/>
        <v>HDR</v>
      </c>
      <c r="C2003" s="33" t="str">
        <f t="shared" si="126"/>
        <v>11328-0000</v>
      </c>
      <c r="D2003" t="s">
        <v>21064</v>
      </c>
      <c r="E2003" t="s">
        <v>13241</v>
      </c>
      <c r="F2003" t="s">
        <v>14039</v>
      </c>
      <c r="G2003" t="s">
        <v>14672</v>
      </c>
      <c r="H2003" t="s">
        <v>13869</v>
      </c>
      <c r="I2003" t="s">
        <v>14690</v>
      </c>
      <c r="J2003" s="62">
        <v>0</v>
      </c>
      <c r="K2003" s="62">
        <v>0</v>
      </c>
      <c r="L2003" t="str">
        <f>VLOOKUP(VALUE(LEFT(C2003,5)),Xref!A:B,2,0)</f>
        <v>LOM</v>
      </c>
      <c r="M2003" t="str">
        <f t="shared" si="127"/>
        <v>HDR-LOM</v>
      </c>
    </row>
    <row r="2004" spans="1:13" ht="14.25" customHeight="true">
      <c r="A2004" s="33" t="str">
        <f t="shared" si="124"/>
        <v>HDR - Intercompany</v>
      </c>
      <c r="B2004" s="33" t="str">
        <f t="shared" si="125"/>
        <v>HDR</v>
      </c>
      <c r="C2004" s="33" t="str">
        <f t="shared" si="126"/>
        <v>11329-0000</v>
      </c>
      <c r="D2004" t="s">
        <v>21065</v>
      </c>
      <c r="E2004" t="s">
        <v>13353</v>
      </c>
      <c r="F2004" t="s">
        <v>14039</v>
      </c>
      <c r="G2004" t="s">
        <v>14672</v>
      </c>
      <c r="H2004" t="s">
        <v>13869</v>
      </c>
      <c r="I2004" t="s">
        <v>14690</v>
      </c>
      <c r="J2004" s="62">
        <v>0</v>
      </c>
      <c r="K2004" s="62">
        <v>0</v>
      </c>
      <c r="L2004" t="str">
        <f>VLOOKUP(VALUE(LEFT(C2004,5)),Xref!A:B,2,0)</f>
        <v>AKS</v>
      </c>
      <c r="M2004" t="str">
        <f t="shared" si="127"/>
        <v>AKS-HDR</v>
      </c>
    </row>
    <row r="2005" spans="1:13" ht="14.25" customHeight="true">
      <c r="A2005" s="33" t="str">
        <f t="shared" si="124"/>
        <v>HDR - Intercompany</v>
      </c>
      <c r="B2005" s="33" t="str">
        <f t="shared" si="125"/>
        <v>HDR</v>
      </c>
      <c r="C2005" s="33" t="str">
        <f t="shared" si="126"/>
        <v>11330-0000</v>
      </c>
      <c r="D2005" t="s">
        <v>21066</v>
      </c>
      <c r="E2005" t="s">
        <v>13242</v>
      </c>
      <c r="F2005" t="s">
        <v>14039</v>
      </c>
      <c r="G2005" t="s">
        <v>14672</v>
      </c>
      <c r="H2005" t="s">
        <v>13869</v>
      </c>
      <c r="I2005" t="s">
        <v>14690</v>
      </c>
      <c r="J2005" s="62">
        <v>0</v>
      </c>
      <c r="K2005" s="62">
        <v>0</v>
      </c>
      <c r="L2005" t="str">
        <f>VLOOKUP(VALUE(LEFT(C2005,5)),Xref!A:B,2,0)</f>
        <v>MAR</v>
      </c>
      <c r="M2005" t="str">
        <f t="shared" si="127"/>
        <v>HDR-MAR</v>
      </c>
    </row>
    <row r="2006" spans="1:13" ht="14.25" customHeight="true">
      <c r="A2006" s="33" t="str">
        <f t="shared" si="124"/>
        <v>HDR - Intercompany</v>
      </c>
      <c r="B2006" s="33" t="str">
        <f t="shared" si="125"/>
        <v>HDR</v>
      </c>
      <c r="C2006" s="33" t="str">
        <f t="shared" si="126"/>
        <v>11331-0000</v>
      </c>
      <c r="D2006" t="s">
        <v>21067</v>
      </c>
      <c r="E2006" t="s">
        <v>13354</v>
      </c>
      <c r="F2006" t="s">
        <v>14039</v>
      </c>
      <c r="G2006" t="s">
        <v>14672</v>
      </c>
      <c r="H2006" t="s">
        <v>13869</v>
      </c>
      <c r="I2006" t="s">
        <v>14690</v>
      </c>
      <c r="J2006" s="62">
        <v>0</v>
      </c>
      <c r="K2006" s="62">
        <v>0</v>
      </c>
      <c r="L2006" t="str">
        <f>VLOOKUP(VALUE(LEFT(C2006,5)),Xref!A:B,2,0)</f>
        <v>WIL</v>
      </c>
      <c r="M2006" t="str">
        <f t="shared" si="127"/>
        <v>HDR-WIL</v>
      </c>
    </row>
    <row r="2007" spans="1:13" ht="14.25" customHeight="true">
      <c r="A2007" s="33" t="str">
        <f t="shared" si="124"/>
        <v>HDR - Intercompany</v>
      </c>
      <c r="B2007" s="33" t="str">
        <f t="shared" si="125"/>
        <v>HDR</v>
      </c>
      <c r="C2007" s="33" t="str">
        <f t="shared" si="126"/>
        <v>11332-0000</v>
      </c>
      <c r="D2007" t="s">
        <v>21068</v>
      </c>
      <c r="E2007" t="s">
        <v>13243</v>
      </c>
      <c r="F2007" t="s">
        <v>14039</v>
      </c>
      <c r="G2007" t="s">
        <v>14672</v>
      </c>
      <c r="H2007" t="s">
        <v>13869</v>
      </c>
      <c r="I2007" t="s">
        <v>14690</v>
      </c>
      <c r="J2007" s="62">
        <v>0</v>
      </c>
      <c r="K2007" s="62">
        <v>0</v>
      </c>
      <c r="L2007" t="str">
        <f>VLOOKUP(VALUE(LEFT(C2007,5)),Xref!A:B,2,0)</f>
        <v>STO</v>
      </c>
      <c r="M2007" t="str">
        <f t="shared" si="127"/>
        <v>HDR-STO</v>
      </c>
    </row>
    <row r="2008" spans="1:13" ht="14.25" customHeight="true">
      <c r="A2008" s="33" t="str">
        <f t="shared" si="124"/>
        <v>HDR - Intercompany</v>
      </c>
      <c r="B2008" s="33" t="str">
        <f t="shared" si="125"/>
        <v>HDR</v>
      </c>
      <c r="C2008" s="33" t="str">
        <f t="shared" si="126"/>
        <v>11333-0000</v>
      </c>
      <c r="D2008" t="s">
        <v>21069</v>
      </c>
      <c r="E2008" t="s">
        <v>13244</v>
      </c>
      <c r="F2008" t="s">
        <v>14039</v>
      </c>
      <c r="G2008" t="s">
        <v>14672</v>
      </c>
      <c r="H2008" t="s">
        <v>13869</v>
      </c>
      <c r="I2008" t="s">
        <v>14690</v>
      </c>
      <c r="J2008" s="62">
        <v>0</v>
      </c>
      <c r="K2008" s="62">
        <v>0</v>
      </c>
      <c r="L2008" t="str">
        <f>VLOOKUP(VALUE(LEFT(C2008,5)),Xref!A:B,2,0)</f>
        <v>ANG</v>
      </c>
      <c r="M2008" t="str">
        <f t="shared" si="127"/>
        <v>ANG-HDR</v>
      </c>
    </row>
    <row r="2009" spans="1:13" ht="14.25" customHeight="true">
      <c r="A2009" s="33" t="str">
        <f t="shared" si="124"/>
        <v>HDR - Intercompany</v>
      </c>
      <c r="B2009" s="33" t="str">
        <f t="shared" si="125"/>
        <v>HDR</v>
      </c>
      <c r="C2009" s="33" t="str">
        <f t="shared" si="126"/>
        <v>11334-0000</v>
      </c>
      <c r="D2009" t="s">
        <v>21070</v>
      </c>
      <c r="E2009" t="s">
        <v>13245</v>
      </c>
      <c r="F2009" t="s">
        <v>14039</v>
      </c>
      <c r="G2009" t="s">
        <v>14672</v>
      </c>
      <c r="H2009" t="s">
        <v>13869</v>
      </c>
      <c r="I2009" t="s">
        <v>14690</v>
      </c>
      <c r="J2009" s="62">
        <v>0</v>
      </c>
      <c r="K2009" s="62">
        <v>0</v>
      </c>
      <c r="L2009" t="str">
        <f>VLOOKUP(VALUE(LEFT(C2009,5)),Xref!A:B,2,0)</f>
        <v>BRU</v>
      </c>
      <c r="M2009" t="str">
        <f t="shared" si="127"/>
        <v>BRU-HDR</v>
      </c>
    </row>
    <row r="2010" spans="1:13" ht="14.25" customHeight="true">
      <c r="A2010" s="33" t="str">
        <f t="shared" si="124"/>
        <v>HDR - Intercompany</v>
      </c>
      <c r="B2010" s="33" t="str">
        <f t="shared" si="125"/>
        <v>HDR</v>
      </c>
      <c r="C2010" s="33" t="str">
        <f t="shared" si="126"/>
        <v>11335-0000</v>
      </c>
      <c r="D2010" t="s">
        <v>21071</v>
      </c>
      <c r="E2010" t="s">
        <v>13246</v>
      </c>
      <c r="F2010" t="s">
        <v>14039</v>
      </c>
      <c r="G2010" t="s">
        <v>14672</v>
      </c>
      <c r="H2010" t="s">
        <v>13869</v>
      </c>
      <c r="I2010" t="s">
        <v>14690</v>
      </c>
      <c r="J2010" s="62">
        <v>0</v>
      </c>
      <c r="K2010" s="62">
        <v>0</v>
      </c>
      <c r="L2010" t="str">
        <f>VLOOKUP(VALUE(LEFT(C2010,5)),Xref!A:B,2,0)</f>
        <v>VEN</v>
      </c>
      <c r="M2010" t="str">
        <f t="shared" si="127"/>
        <v>HDR-VEN</v>
      </c>
    </row>
    <row r="2011" spans="1:13" ht="14.25" customHeight="true">
      <c r="A2011" s="33" t="str">
        <f t="shared" si="124"/>
        <v>HDR - Intercompany</v>
      </c>
      <c r="B2011" s="33" t="str">
        <f t="shared" si="125"/>
        <v>HDR</v>
      </c>
      <c r="C2011" s="33" t="str">
        <f t="shared" si="126"/>
        <v>11336-0000</v>
      </c>
      <c r="D2011" t="s">
        <v>21072</v>
      </c>
      <c r="E2011" t="s">
        <v>13247</v>
      </c>
      <c r="F2011" t="s">
        <v>14039</v>
      </c>
      <c r="G2011" t="s">
        <v>14672</v>
      </c>
      <c r="H2011" t="s">
        <v>13869</v>
      </c>
      <c r="I2011" t="s">
        <v>14690</v>
      </c>
      <c r="J2011" s="62">
        <v>0</v>
      </c>
      <c r="K2011" s="62">
        <v>0</v>
      </c>
      <c r="L2011" t="str">
        <f>VLOOKUP(VALUE(LEFT(C2011,5)),Xref!A:B,2,0)</f>
        <v>SAT</v>
      </c>
      <c r="M2011" t="str">
        <f t="shared" si="127"/>
        <v>HDR-SAT</v>
      </c>
    </row>
    <row r="2012" spans="1:13" ht="14.25" customHeight="true">
      <c r="A2012" s="33" t="str">
        <f t="shared" si="124"/>
        <v>HDR - Intercompany</v>
      </c>
      <c r="B2012" s="33" t="str">
        <f t="shared" si="125"/>
        <v>HDR</v>
      </c>
      <c r="C2012" s="33" t="str">
        <f t="shared" si="126"/>
        <v>11337-0000</v>
      </c>
      <c r="D2012" t="s">
        <v>21073</v>
      </c>
      <c r="E2012" t="s">
        <v>13248</v>
      </c>
      <c r="F2012" t="s">
        <v>14039</v>
      </c>
      <c r="G2012" t="s">
        <v>14672</v>
      </c>
      <c r="H2012" t="s">
        <v>13869</v>
      </c>
      <c r="I2012" t="s">
        <v>14690</v>
      </c>
      <c r="J2012" s="62">
        <v>0</v>
      </c>
      <c r="K2012" s="62">
        <v>0</v>
      </c>
      <c r="L2012" t="str">
        <f>VLOOKUP(VALUE(LEFT(C2012,5)),Xref!A:B,2,0)</f>
        <v>NEP</v>
      </c>
      <c r="M2012" t="str">
        <f t="shared" si="127"/>
        <v>HDR-NEP</v>
      </c>
    </row>
    <row r="2013" spans="1:13" ht="14.25" customHeight="true">
      <c r="A2013" s="33" t="str">
        <f t="shared" si="124"/>
        <v>HDR - Intercompany</v>
      </c>
      <c r="B2013" s="33" t="str">
        <f t="shared" si="125"/>
        <v>HDR</v>
      </c>
      <c r="C2013" s="33" t="str">
        <f t="shared" si="126"/>
        <v>11338-0000</v>
      </c>
      <c r="D2013" t="s">
        <v>21074</v>
      </c>
      <c r="E2013" t="s">
        <v>14131</v>
      </c>
      <c r="F2013" t="s">
        <v>14039</v>
      </c>
      <c r="G2013" t="s">
        <v>14672</v>
      </c>
      <c r="H2013" t="s">
        <v>13869</v>
      </c>
      <c r="I2013" t="s">
        <v>14690</v>
      </c>
      <c r="J2013" s="62">
        <v>0</v>
      </c>
      <c r="K2013" s="62">
        <v>0</v>
      </c>
      <c r="L2013" t="str">
        <f>VLOOKUP(VALUE(LEFT(C2013,5)),Xref!A:B,2,0)</f>
        <v>JUP</v>
      </c>
      <c r="M2013" t="str">
        <f t="shared" si="127"/>
        <v>HDR-JUP</v>
      </c>
    </row>
    <row r="2014" spans="1:13" ht="14.25" customHeight="true">
      <c r="A2014" s="33" t="str">
        <f t="shared" si="124"/>
        <v>HDR - Intercompany</v>
      </c>
      <c r="B2014" s="33" t="str">
        <f t="shared" si="125"/>
        <v>HDR</v>
      </c>
      <c r="C2014" s="33" t="str">
        <f t="shared" si="126"/>
        <v>11339-0000</v>
      </c>
      <c r="D2014" t="s">
        <v>21075</v>
      </c>
      <c r="E2014" t="s">
        <v>14133</v>
      </c>
      <c r="F2014" t="s">
        <v>14039</v>
      </c>
      <c r="G2014" t="s">
        <v>14672</v>
      </c>
      <c r="H2014" t="s">
        <v>13869</v>
      </c>
      <c r="I2014" t="s">
        <v>14690</v>
      </c>
      <c r="J2014" s="62">
        <v>0</v>
      </c>
      <c r="K2014" s="62">
        <v>0</v>
      </c>
      <c r="L2014" t="str">
        <f>VLOOKUP(VALUE(LEFT(C2014,5)),Xref!A:B,2,0)</f>
        <v>WES</v>
      </c>
      <c r="M2014" t="str">
        <f t="shared" si="127"/>
        <v>HDR-WES</v>
      </c>
    </row>
    <row r="2015" spans="1:13" ht="14.25" customHeight="true">
      <c r="A2015" s="33" t="str">
        <f t="shared" si="124"/>
        <v>HDR - Intercompany</v>
      </c>
      <c r="B2015" s="33" t="str">
        <f t="shared" si="125"/>
        <v>HDR</v>
      </c>
      <c r="C2015" s="33" t="str">
        <f t="shared" si="126"/>
        <v>11340-0000</v>
      </c>
      <c r="D2015" t="s">
        <v>21076</v>
      </c>
      <c r="E2015" t="s">
        <v>14135</v>
      </c>
      <c r="F2015" t="s">
        <v>14039</v>
      </c>
      <c r="G2015" t="s">
        <v>14672</v>
      </c>
      <c r="H2015" t="s">
        <v>13869</v>
      </c>
      <c r="I2015" t="s">
        <v>14690</v>
      </c>
      <c r="J2015" s="62">
        <v>0</v>
      </c>
      <c r="K2015" s="62">
        <v>0</v>
      </c>
      <c r="L2015" t="str">
        <f>VLOOKUP(VALUE(LEFT(C2015,5)),Xref!A:B,2,0)</f>
        <v>LCP</v>
      </c>
      <c r="M2015" t="str">
        <f t="shared" si="127"/>
        <v>HDR-LCP</v>
      </c>
    </row>
    <row r="2016" spans="1:13" ht="14.25" customHeight="true">
      <c r="A2016" s="33" t="str">
        <f t="shared" si="124"/>
        <v>HDR - Intercompany</v>
      </c>
      <c r="B2016" s="33" t="str">
        <f t="shared" si="125"/>
        <v>HDR</v>
      </c>
      <c r="C2016" s="33" t="str">
        <f t="shared" si="126"/>
        <v>11341-0000</v>
      </c>
      <c r="D2016" t="s">
        <v>21077</v>
      </c>
      <c r="E2016" t="s">
        <v>13639</v>
      </c>
      <c r="F2016" t="s">
        <v>14039</v>
      </c>
      <c r="G2016" t="s">
        <v>14672</v>
      </c>
      <c r="H2016" t="s">
        <v>13869</v>
      </c>
      <c r="I2016" t="s">
        <v>14690</v>
      </c>
      <c r="J2016" s="62">
        <v>0</v>
      </c>
      <c r="K2016" s="62">
        <v>0</v>
      </c>
      <c r="L2016" t="str">
        <f>VLOOKUP(VALUE(LEFT(C2016,5)),Xref!A:B,2,0)</f>
        <v>NOR</v>
      </c>
      <c r="M2016" t="str">
        <f t="shared" si="127"/>
        <v>HDR-NOR</v>
      </c>
    </row>
    <row r="2017" spans="1:13" ht="14.25" customHeight="true">
      <c r="A2017" s="33" t="str">
        <f t="shared" si="124"/>
        <v>HDR - Intercompany</v>
      </c>
      <c r="B2017" s="33" t="str">
        <f t="shared" si="125"/>
        <v>HDR</v>
      </c>
      <c r="C2017" s="33" t="str">
        <f t="shared" si="126"/>
        <v>11342-0000</v>
      </c>
      <c r="D2017" t="s">
        <v>21078</v>
      </c>
      <c r="E2017" t="s">
        <v>13355</v>
      </c>
      <c r="F2017" t="s">
        <v>14039</v>
      </c>
      <c r="G2017" t="s">
        <v>14672</v>
      </c>
      <c r="H2017" t="s">
        <v>13869</v>
      </c>
      <c r="I2017" t="s">
        <v>14690</v>
      </c>
      <c r="J2017" s="62">
        <v>0</v>
      </c>
      <c r="K2017" s="62">
        <v>0</v>
      </c>
      <c r="L2017" t="str">
        <f>VLOOKUP(VALUE(LEFT(C2017,5)),Xref!A:B,2,0)</f>
        <v>EAS</v>
      </c>
      <c r="M2017" t="str">
        <f t="shared" si="127"/>
        <v>EAS-HDR</v>
      </c>
    </row>
    <row r="2018" spans="1:13" ht="14.25" customHeight="true">
      <c r="A2018" s="33" t="str">
        <f t="shared" si="124"/>
        <v>HDR - Intercompany</v>
      </c>
      <c r="B2018" s="33" t="str">
        <f t="shared" si="125"/>
        <v>HDR</v>
      </c>
      <c r="C2018" s="33" t="str">
        <f t="shared" si="126"/>
        <v>11343-0000</v>
      </c>
      <c r="D2018" t="s">
        <v>6472</v>
      </c>
      <c r="E2018" t="s">
        <v>14139</v>
      </c>
      <c r="F2018" t="s">
        <v>14039</v>
      </c>
      <c r="G2018" t="s">
        <v>14672</v>
      </c>
      <c r="H2018" t="s">
        <v>13869</v>
      </c>
      <c r="I2018" t="s">
        <v>14690</v>
      </c>
      <c r="J2018" s="62">
        <v>0</v>
      </c>
      <c r="K2018" s="62">
        <v>-3459.8</v>
      </c>
      <c r="L2018" t="str">
        <f>VLOOKUP(VALUE(LEFT(C2018,5)),Xref!A:B,2,0)</f>
        <v>GRA</v>
      </c>
      <c r="M2018" t="str">
        <f t="shared" si="127"/>
        <v>GRA-HDR</v>
      </c>
    </row>
    <row r="2019" spans="1:13" ht="14.25" customHeight="true">
      <c r="A2019" s="33" t="str">
        <f t="shared" si="124"/>
        <v>HDR - Intercompany</v>
      </c>
      <c r="B2019" s="33" t="str">
        <f t="shared" si="125"/>
        <v>HDR</v>
      </c>
      <c r="C2019" s="33" t="str">
        <f t="shared" si="126"/>
        <v>11344-0000</v>
      </c>
      <c r="D2019" t="s">
        <v>21079</v>
      </c>
      <c r="E2019" t="s">
        <v>14141</v>
      </c>
      <c r="F2019" t="s">
        <v>14039</v>
      </c>
      <c r="G2019" t="s">
        <v>14672</v>
      </c>
      <c r="H2019" t="s">
        <v>13869</v>
      </c>
      <c r="I2019" t="s">
        <v>14690</v>
      </c>
      <c r="J2019" s="62">
        <v>0</v>
      </c>
      <c r="K2019" s="62">
        <v>0</v>
      </c>
      <c r="L2019" t="str">
        <f>VLOOKUP(VALUE(LEFT(C2019,5)),Xref!A:B,2,0)</f>
        <v>SOU</v>
      </c>
      <c r="M2019" t="str">
        <f t="shared" si="127"/>
        <v>HDR-SOU</v>
      </c>
    </row>
    <row r="2020" spans="1:13" ht="14.25" customHeight="true">
      <c r="A2020" s="33" t="str">
        <f t="shared" si="124"/>
        <v>HDR - Intercompany</v>
      </c>
      <c r="B2020" s="33" t="str">
        <f t="shared" si="125"/>
        <v>HDR</v>
      </c>
      <c r="C2020" s="33" t="str">
        <f t="shared" si="126"/>
        <v>11345-0000</v>
      </c>
      <c r="D2020" t="s">
        <v>21080</v>
      </c>
      <c r="E2020" t="s">
        <v>14143</v>
      </c>
      <c r="F2020" t="s">
        <v>14039</v>
      </c>
      <c r="G2020" t="s">
        <v>14672</v>
      </c>
      <c r="H2020" t="s">
        <v>13869</v>
      </c>
      <c r="I2020" t="s">
        <v>14690</v>
      </c>
      <c r="J2020" s="62">
        <v>0</v>
      </c>
      <c r="K2020" s="62">
        <v>0</v>
      </c>
      <c r="L2020" t="str">
        <f>VLOOKUP(VALUE(LEFT(C2020,5)),Xref!A:B,2,0)</f>
        <v>API</v>
      </c>
      <c r="M2020" t="str">
        <f t="shared" si="127"/>
        <v>API-HDR</v>
      </c>
    </row>
    <row r="2021" spans="1:13" ht="14.25" customHeight="true">
      <c r="A2021" s="33" t="str">
        <f t="shared" si="124"/>
        <v>HDR - Intercompany</v>
      </c>
      <c r="B2021" s="33" t="str">
        <f t="shared" si="125"/>
        <v>HDR</v>
      </c>
      <c r="C2021" s="33" t="str">
        <f t="shared" si="126"/>
        <v>11346-0000</v>
      </c>
      <c r="D2021" t="s">
        <v>21081</v>
      </c>
      <c r="E2021" t="s">
        <v>14145</v>
      </c>
      <c r="F2021" t="s">
        <v>14039</v>
      </c>
      <c r="G2021" t="s">
        <v>14672</v>
      </c>
      <c r="H2021" t="s">
        <v>13869</v>
      </c>
      <c r="I2021" t="s">
        <v>14690</v>
      </c>
      <c r="J2021" s="62">
        <v>0</v>
      </c>
      <c r="K2021" s="62">
        <v>0</v>
      </c>
      <c r="L2021" t="str">
        <f>VLOOKUP(VALUE(LEFT(C2021,5)),Xref!A:B,2,0)</f>
        <v>DPH</v>
      </c>
      <c r="M2021" t="str">
        <f t="shared" si="127"/>
        <v>DPH-HDR</v>
      </c>
    </row>
    <row r="2022" spans="1:13" ht="14.25" customHeight="true">
      <c r="A2022" s="33" t="str">
        <f t="shared" si="124"/>
        <v>HDR - Intercompany</v>
      </c>
      <c r="B2022" s="33" t="str">
        <f t="shared" si="125"/>
        <v>HDR</v>
      </c>
      <c r="C2022" s="33" t="str">
        <f t="shared" si="126"/>
        <v>11347-0000</v>
      </c>
      <c r="D2022" t="s">
        <v>21082</v>
      </c>
      <c r="E2022" t="s">
        <v>14147</v>
      </c>
      <c r="F2022" t="s">
        <v>14039</v>
      </c>
      <c r="G2022" t="s">
        <v>14672</v>
      </c>
      <c r="H2022" t="s">
        <v>13869</v>
      </c>
      <c r="I2022" t="s">
        <v>14690</v>
      </c>
      <c r="J2022" s="62">
        <v>0</v>
      </c>
      <c r="K2022" s="62">
        <v>0</v>
      </c>
      <c r="L2022" t="str">
        <f>VLOOKUP(VALUE(LEFT(C2022,5)),Xref!A:B,2,0)</f>
        <v>ZPI</v>
      </c>
      <c r="M2022" t="str">
        <f t="shared" si="127"/>
        <v>HDR-ZPI</v>
      </c>
    </row>
    <row r="2023" spans="1:13" ht="14.25" customHeight="true">
      <c r="A2023" s="33" t="str">
        <f t="shared" si="124"/>
        <v>HDR - Intercompany</v>
      </c>
      <c r="B2023" s="33" t="str">
        <f t="shared" si="125"/>
        <v>HDR</v>
      </c>
      <c r="C2023" s="33" t="str">
        <f t="shared" si="126"/>
        <v>11348-0000</v>
      </c>
      <c r="D2023" t="s">
        <v>21083</v>
      </c>
      <c r="E2023" t="s">
        <v>14149</v>
      </c>
      <c r="F2023" t="s">
        <v>14039</v>
      </c>
      <c r="G2023" t="s">
        <v>14672</v>
      </c>
      <c r="H2023" t="s">
        <v>13869</v>
      </c>
      <c r="I2023" t="s">
        <v>14690</v>
      </c>
      <c r="J2023" s="62">
        <v>0</v>
      </c>
      <c r="K2023" s="62">
        <v>0</v>
      </c>
      <c r="L2023" t="str">
        <f>VLOOKUP(VALUE(LEFT(C2023,5)),Xref!A:B,2,0)</f>
        <v>EAM</v>
      </c>
      <c r="M2023" t="str">
        <f t="shared" si="127"/>
        <v>EAM-HDR</v>
      </c>
    </row>
    <row r="2024" spans="1:13" ht="14.25" customHeight="true">
      <c r="A2024" s="33" t="str">
        <f t="shared" si="124"/>
        <v>HDR - Intercompany</v>
      </c>
      <c r="B2024" s="33" t="str">
        <f t="shared" si="125"/>
        <v>HDR</v>
      </c>
      <c r="C2024" s="33" t="str">
        <f t="shared" si="126"/>
        <v>11349-0000</v>
      </c>
      <c r="D2024" t="s">
        <v>21084</v>
      </c>
      <c r="E2024" t="s">
        <v>14151</v>
      </c>
      <c r="F2024" t="s">
        <v>14039</v>
      </c>
      <c r="G2024" t="s">
        <v>14672</v>
      </c>
      <c r="H2024" t="s">
        <v>13869</v>
      </c>
      <c r="I2024" t="s">
        <v>14690</v>
      </c>
      <c r="J2024" s="62">
        <v>0</v>
      </c>
      <c r="K2024" s="62">
        <v>0</v>
      </c>
      <c r="L2024" t="str">
        <f>VLOOKUP(VALUE(LEFT(C2024,5)),Xref!A:B,2,0)</f>
        <v>SEA</v>
      </c>
      <c r="M2024" t="str">
        <f t="shared" si="127"/>
        <v>HDR-SEA</v>
      </c>
    </row>
    <row r="2025" spans="1:13" ht="14.25" customHeight="true">
      <c r="A2025" s="33" t="str">
        <f t="shared" si="124"/>
        <v>HDR - Intercompany</v>
      </c>
      <c r="B2025" s="33" t="str">
        <f t="shared" si="125"/>
        <v>HDR</v>
      </c>
      <c r="C2025" s="33" t="str">
        <f t="shared" si="126"/>
        <v>11350-0000</v>
      </c>
      <c r="D2025" t="s">
        <v>21085</v>
      </c>
      <c r="E2025" t="s">
        <v>14153</v>
      </c>
      <c r="F2025" t="s">
        <v>14039</v>
      </c>
      <c r="G2025" t="s">
        <v>14672</v>
      </c>
      <c r="H2025" t="s">
        <v>13869</v>
      </c>
      <c r="I2025" t="s">
        <v>14690</v>
      </c>
      <c r="J2025" s="62">
        <v>0</v>
      </c>
      <c r="K2025" s="62">
        <v>-15.88</v>
      </c>
      <c r="L2025" t="str">
        <f>VLOOKUP(VALUE(LEFT(C2025,5)),Xref!A:B,2,0)</f>
        <v>EAL</v>
      </c>
      <c r="M2025" t="str">
        <f t="shared" si="127"/>
        <v>EAL-HDR</v>
      </c>
    </row>
    <row r="2026" spans="1:13" ht="14.25" customHeight="true">
      <c r="A2026" s="33" t="str">
        <f t="shared" si="124"/>
        <v>HDR - Intercompany</v>
      </c>
      <c r="B2026" s="33" t="str">
        <f t="shared" si="125"/>
        <v>HDR</v>
      </c>
      <c r="C2026" s="33" t="str">
        <f t="shared" si="126"/>
        <v>11351-0000</v>
      </c>
      <c r="D2026" t="s">
        <v>21086</v>
      </c>
      <c r="E2026" t="s">
        <v>14155</v>
      </c>
      <c r="F2026" t="s">
        <v>14039</v>
      </c>
      <c r="G2026" t="s">
        <v>14672</v>
      </c>
      <c r="H2026" t="s">
        <v>13869</v>
      </c>
      <c r="I2026" t="s">
        <v>14690</v>
      </c>
      <c r="J2026" s="62">
        <v>0</v>
      </c>
      <c r="K2026" s="62">
        <v>0</v>
      </c>
      <c r="L2026" t="str">
        <f>VLOOKUP(VALUE(LEFT(C2026,5)),Xref!A:B,2,0)</f>
        <v>WEP</v>
      </c>
      <c r="M2026" t="str">
        <f t="shared" si="127"/>
        <v>HDR-WEP</v>
      </c>
    </row>
    <row r="2027" spans="1:13" ht="14.25" customHeight="true">
      <c r="A2027" s="33" t="str">
        <f t="shared" si="124"/>
        <v>HDR - Intercompany</v>
      </c>
      <c r="B2027" s="33" t="str">
        <f t="shared" si="125"/>
        <v>HDR</v>
      </c>
      <c r="C2027" s="33" t="str">
        <f t="shared" si="126"/>
        <v>11352-0000</v>
      </c>
      <c r="D2027" t="s">
        <v>21087</v>
      </c>
      <c r="E2027" t="s">
        <v>13536</v>
      </c>
      <c r="F2027" t="s">
        <v>14039</v>
      </c>
      <c r="G2027" t="s">
        <v>14672</v>
      </c>
      <c r="H2027" t="s">
        <v>13869</v>
      </c>
      <c r="I2027" t="s">
        <v>14690</v>
      </c>
      <c r="J2027" s="62">
        <v>0</v>
      </c>
      <c r="K2027" s="62">
        <v>0</v>
      </c>
      <c r="L2027" t="str">
        <f>VLOOKUP(VALUE(LEFT(C2027,5)),Xref!A:B,2,0)</f>
        <v>KLP</v>
      </c>
      <c r="M2027" t="str">
        <f t="shared" si="127"/>
        <v>HDR-KLP</v>
      </c>
    </row>
    <row r="2028" spans="1:13" ht="14.25" customHeight="true">
      <c r="A2028" s="33" t="str">
        <f t="shared" si="124"/>
        <v>HDR - Intercompany</v>
      </c>
      <c r="B2028" s="33" t="str">
        <f t="shared" si="125"/>
        <v>HDR</v>
      </c>
      <c r="C2028" s="33" t="str">
        <f t="shared" si="126"/>
        <v>11353-0000</v>
      </c>
      <c r="D2028" t="s">
        <v>21088</v>
      </c>
      <c r="E2028" t="s">
        <v>13537</v>
      </c>
      <c r="F2028" t="s">
        <v>14039</v>
      </c>
      <c r="G2028" t="s">
        <v>14672</v>
      </c>
      <c r="H2028" t="s">
        <v>13869</v>
      </c>
      <c r="I2028" t="s">
        <v>14690</v>
      </c>
      <c r="J2028" s="62">
        <v>0</v>
      </c>
      <c r="K2028" s="62">
        <v>0</v>
      </c>
      <c r="L2028" t="str">
        <f>VLOOKUP(VALUE(LEFT(C2028,5)),Xref!A:B,2,0)</f>
        <v>AKC</v>
      </c>
      <c r="M2028" t="str">
        <f t="shared" si="127"/>
        <v>AKC-HDR</v>
      </c>
    </row>
    <row r="2029" spans="1:13" ht="14.25" customHeight="true">
      <c r="A2029" s="33" t="str">
        <f t="shared" si="124"/>
        <v>HDR - Intercompany</v>
      </c>
      <c r="B2029" s="33" t="str">
        <f t="shared" si="125"/>
        <v>HDR</v>
      </c>
      <c r="C2029" s="33" t="str">
        <f t="shared" si="126"/>
        <v>11354-0000</v>
      </c>
      <c r="D2029" t="s">
        <v>21089</v>
      </c>
      <c r="E2029" t="s">
        <v>13538</v>
      </c>
      <c r="F2029" t="s">
        <v>14039</v>
      </c>
      <c r="G2029" t="s">
        <v>14672</v>
      </c>
      <c r="H2029" t="s">
        <v>13869</v>
      </c>
      <c r="I2029" t="s">
        <v>14690</v>
      </c>
      <c r="J2029" s="62">
        <v>0</v>
      </c>
      <c r="K2029" s="62">
        <v>0</v>
      </c>
      <c r="L2029" t="str">
        <f>VLOOKUP(VALUE(LEFT(C2029,5)),Xref!A:B,2,0)</f>
        <v>AKA</v>
      </c>
      <c r="M2029" t="str">
        <f t="shared" si="127"/>
        <v>AKA-HDR</v>
      </c>
    </row>
    <row r="2030" spans="1:13" ht="14.25" customHeight="true">
      <c r="A2030" s="33" t="str">
        <f t="shared" si="124"/>
        <v>HDR - Intercompany</v>
      </c>
      <c r="B2030" s="33" t="str">
        <f t="shared" si="125"/>
        <v>HDR</v>
      </c>
      <c r="C2030" s="33" t="str">
        <f t="shared" si="126"/>
        <v>11355-0000</v>
      </c>
      <c r="D2030" t="s">
        <v>21090</v>
      </c>
      <c r="E2030" t="s">
        <v>13539</v>
      </c>
      <c r="F2030" t="s">
        <v>14039</v>
      </c>
      <c r="G2030" t="s">
        <v>14672</v>
      </c>
      <c r="H2030" t="s">
        <v>13869</v>
      </c>
      <c r="I2030" t="s">
        <v>14690</v>
      </c>
      <c r="J2030" s="62">
        <v>0</v>
      </c>
      <c r="K2030" s="62">
        <v>0</v>
      </c>
      <c r="L2030" t="str">
        <f>VLOOKUP(VALUE(LEFT(C2030,5)),Xref!A:B,2,0)</f>
        <v>SPA</v>
      </c>
      <c r="M2030" t="str">
        <f t="shared" si="127"/>
        <v>HDR-SPA</v>
      </c>
    </row>
    <row r="2031" spans="1:13" ht="14.25" customHeight="true">
      <c r="A2031" s="33" t="str">
        <f t="shared" si="124"/>
        <v>HDR - Intercompany</v>
      </c>
      <c r="B2031" s="33" t="str">
        <f t="shared" si="125"/>
        <v>HDR</v>
      </c>
      <c r="C2031" s="33" t="str">
        <f t="shared" si="126"/>
        <v>11356-0000</v>
      </c>
      <c r="D2031" t="s">
        <v>21091</v>
      </c>
      <c r="E2031" t="s">
        <v>13540</v>
      </c>
      <c r="F2031" t="s">
        <v>14039</v>
      </c>
      <c r="G2031" t="s">
        <v>14672</v>
      </c>
      <c r="H2031" t="s">
        <v>13869</v>
      </c>
      <c r="I2031" t="s">
        <v>14690</v>
      </c>
      <c r="J2031" s="62">
        <v>0</v>
      </c>
      <c r="K2031" s="62">
        <v>-257.62</v>
      </c>
      <c r="L2031" t="str">
        <f>VLOOKUP(VALUE(LEFT(C2031,5)),Xref!A:B,2,0)</f>
        <v>DPM</v>
      </c>
      <c r="M2031" t="str">
        <f t="shared" si="127"/>
        <v>DPM-HDR</v>
      </c>
    </row>
    <row r="2032" spans="1:13" ht="14.25" customHeight="true">
      <c r="A2032" s="33" t="str">
        <f t="shared" si="124"/>
        <v>HDR - Intercompany</v>
      </c>
      <c r="B2032" s="33" t="str">
        <f t="shared" si="125"/>
        <v>HDR</v>
      </c>
      <c r="C2032" s="33" t="str">
        <f t="shared" si="126"/>
        <v>11357-0000</v>
      </c>
      <c r="D2032" t="s">
        <v>21092</v>
      </c>
      <c r="E2032" t="s">
        <v>13541</v>
      </c>
      <c r="F2032" t="s">
        <v>14039</v>
      </c>
      <c r="G2032" t="s">
        <v>14672</v>
      </c>
      <c r="H2032" t="s">
        <v>13869</v>
      </c>
      <c r="I2032" t="s">
        <v>14690</v>
      </c>
      <c r="J2032" s="62">
        <v>0</v>
      </c>
      <c r="K2032" s="62">
        <v>-3200</v>
      </c>
      <c r="L2032" t="str">
        <f>VLOOKUP(VALUE(LEFT(C2032,5)),Xref!A:B,2,0)</f>
        <v>HDM</v>
      </c>
      <c r="M2032" t="str">
        <f t="shared" si="127"/>
        <v>HDM-HDR</v>
      </c>
    </row>
    <row r="2033" spans="1:13" ht="14.25" customHeight="true">
      <c r="A2033" s="33" t="str">
        <f t="shared" si="124"/>
        <v>HDR - Intercompany</v>
      </c>
      <c r="B2033" s="33" t="str">
        <f t="shared" si="125"/>
        <v>HDR</v>
      </c>
      <c r="C2033" s="33" t="str">
        <f t="shared" si="126"/>
        <v>11358-0000</v>
      </c>
      <c r="D2033" t="s">
        <v>21093</v>
      </c>
      <c r="E2033" t="s">
        <v>13542</v>
      </c>
      <c r="F2033" t="s">
        <v>14039</v>
      </c>
      <c r="G2033" t="s">
        <v>14672</v>
      </c>
      <c r="H2033" t="s">
        <v>13869</v>
      </c>
      <c r="I2033" t="s">
        <v>14690</v>
      </c>
      <c r="J2033" s="62">
        <v>0</v>
      </c>
      <c r="K2033" s="62">
        <v>0</v>
      </c>
      <c r="L2033" t="str">
        <f>VLOOKUP(VALUE(LEFT(C2033,5)),Xref!A:B,2,0)</f>
        <v>GRA</v>
      </c>
      <c r="M2033" t="str">
        <f t="shared" si="127"/>
        <v>GRA-HDR</v>
      </c>
    </row>
    <row r="2034" spans="1:13" ht="14.25" customHeight="true">
      <c r="A2034" s="33" t="str">
        <f t="shared" si="124"/>
        <v>HDR - Intercompany</v>
      </c>
      <c r="B2034" s="33" t="str">
        <f t="shared" si="125"/>
        <v>HDR</v>
      </c>
      <c r="C2034" s="33" t="str">
        <f t="shared" si="126"/>
        <v>11359-0000</v>
      </c>
      <c r="D2034" t="s">
        <v>21094</v>
      </c>
      <c r="E2034" t="s">
        <v>13543</v>
      </c>
      <c r="F2034" t="s">
        <v>14039</v>
      </c>
      <c r="G2034" t="s">
        <v>14672</v>
      </c>
      <c r="H2034" t="s">
        <v>13869</v>
      </c>
      <c r="I2034" t="s">
        <v>14690</v>
      </c>
      <c r="J2034" s="62">
        <v>0</v>
      </c>
      <c r="K2034" s="62">
        <v>0</v>
      </c>
      <c r="L2034" t="str">
        <f>VLOOKUP(VALUE(LEFT(C2034,5)),Xref!A:B,2,0)</f>
        <v>TPI</v>
      </c>
      <c r="M2034" t="str">
        <f t="shared" si="127"/>
        <v>HDR-TPI</v>
      </c>
    </row>
    <row r="2035" spans="1:13" ht="14.25" customHeight="true">
      <c r="A2035" s="33" t="str">
        <f t="shared" si="124"/>
        <v>HDR - Intercompany</v>
      </c>
      <c r="B2035" s="33" t="str">
        <f t="shared" si="125"/>
        <v>HDR</v>
      </c>
      <c r="C2035" s="33" t="str">
        <f t="shared" si="126"/>
        <v>11361-0000</v>
      </c>
      <c r="D2035" t="s">
        <v>21095</v>
      </c>
      <c r="E2035" t="s">
        <v>14165</v>
      </c>
      <c r="F2035" t="s">
        <v>14039</v>
      </c>
      <c r="G2035" t="s">
        <v>14672</v>
      </c>
      <c r="H2035" t="s">
        <v>13869</v>
      </c>
      <c r="I2035" t="s">
        <v>14690</v>
      </c>
      <c r="J2035" s="62">
        <v>0</v>
      </c>
      <c r="K2035" s="62">
        <v>0</v>
      </c>
      <c r="L2035" t="str">
        <f>VLOOKUP(VALUE(LEFT(C2035,5)),Xref!A:B,2,0)</f>
        <v>GSM</v>
      </c>
      <c r="M2035" t="str">
        <f t="shared" si="127"/>
        <v>GSM-HDR</v>
      </c>
    </row>
    <row r="2036" spans="1:13" ht="14.25" customHeight="true">
      <c r="A2036" s="33" t="str">
        <f t="shared" si="124"/>
        <v>HDR - Intercompany</v>
      </c>
      <c r="B2036" s="33" t="str">
        <f t="shared" si="125"/>
        <v>HDR</v>
      </c>
      <c r="C2036" s="33" t="str">
        <f t="shared" si="126"/>
        <v>11363-0000</v>
      </c>
      <c r="D2036" t="s">
        <v>21096</v>
      </c>
      <c r="E2036" t="s">
        <v>13544</v>
      </c>
      <c r="F2036" t="s">
        <v>14039</v>
      </c>
      <c r="G2036" t="s">
        <v>14672</v>
      </c>
      <c r="H2036" t="s">
        <v>13869</v>
      </c>
      <c r="I2036" t="s">
        <v>14690</v>
      </c>
      <c r="J2036" s="62">
        <v>0</v>
      </c>
      <c r="K2036" s="62">
        <v>0</v>
      </c>
      <c r="L2036" t="str">
        <f>VLOOKUP(VALUE(LEFT(C2036,5)),Xref!A:B,2,0)</f>
        <v>SOF</v>
      </c>
      <c r="M2036" t="str">
        <f t="shared" si="127"/>
        <v>HDR-SOF</v>
      </c>
    </row>
    <row r="2037" spans="1:13" ht="14.25" customHeight="true">
      <c r="A2037" s="33" t="str">
        <f t="shared" si="124"/>
        <v>HDR - Intercompany</v>
      </c>
      <c r="B2037" s="33" t="str">
        <f t="shared" si="125"/>
        <v>HDR</v>
      </c>
      <c r="C2037" s="33" t="str">
        <f t="shared" si="126"/>
        <v>11364-0000</v>
      </c>
      <c r="D2037" t="s">
        <v>21097</v>
      </c>
      <c r="E2037" t="s">
        <v>14168</v>
      </c>
      <c r="F2037" t="s">
        <v>14039</v>
      </c>
      <c r="G2037" t="s">
        <v>14672</v>
      </c>
      <c r="H2037" t="s">
        <v>13869</v>
      </c>
      <c r="I2037" t="s">
        <v>14690</v>
      </c>
      <c r="J2037" s="62">
        <v>0</v>
      </c>
      <c r="K2037" s="62">
        <v>0</v>
      </c>
      <c r="L2037" t="e">
        <f>VLOOKUP(VALUE(LEFT(C2037,5)),Xref!A:B,2,0)</f>
        <v>#N/A</v>
      </c>
      <c r="M2037" t="e">
        <f t="shared" si="127"/>
        <v>#N/A</v>
      </c>
    </row>
    <row r="2038" spans="1:13" ht="14.25" customHeight="true">
      <c r="A2038" s="33" t="str">
        <f t="shared" si="124"/>
        <v>HDR - Intercompany</v>
      </c>
      <c r="B2038" s="33" t="str">
        <f t="shared" si="125"/>
        <v>HDR</v>
      </c>
      <c r="C2038" s="33" t="str">
        <f t="shared" si="126"/>
        <v>11365-0000</v>
      </c>
      <c r="D2038" t="s">
        <v>21098</v>
      </c>
      <c r="E2038" t="s">
        <v>14170</v>
      </c>
      <c r="F2038" t="s">
        <v>14039</v>
      </c>
      <c r="G2038" t="s">
        <v>14672</v>
      </c>
      <c r="H2038" t="s">
        <v>13869</v>
      </c>
      <c r="I2038" t="s">
        <v>14690</v>
      </c>
      <c r="J2038" s="62">
        <v>0</v>
      </c>
      <c r="K2038" s="62">
        <v>0</v>
      </c>
      <c r="L2038" t="e">
        <f>VLOOKUP(VALUE(LEFT(C2038,5)),Xref!A:B,2,0)</f>
        <v>#N/A</v>
      </c>
      <c r="M2038" t="e">
        <f t="shared" si="127"/>
        <v>#N/A</v>
      </c>
    </row>
    <row r="2039" spans="1:13" ht="14.25" customHeight="true">
      <c r="A2039" s="33" t="str">
        <f t="shared" si="124"/>
        <v>HDR - Intercompany</v>
      </c>
      <c r="B2039" s="33" t="str">
        <f t="shared" si="125"/>
        <v>HDR</v>
      </c>
      <c r="C2039" s="33" t="str">
        <f t="shared" si="126"/>
        <v>11366-0000</v>
      </c>
      <c r="D2039" t="s">
        <v>21099</v>
      </c>
      <c r="E2039" t="s">
        <v>14172</v>
      </c>
      <c r="G2039" t="s">
        <v>14672</v>
      </c>
      <c r="H2039" t="s">
        <v>13869</v>
      </c>
      <c r="I2039" t="s">
        <v>14690</v>
      </c>
      <c r="J2039" s="62">
        <v>0</v>
      </c>
      <c r="K2039" s="62">
        <v>0</v>
      </c>
      <c r="L2039" t="e">
        <f>VLOOKUP(VALUE(LEFT(C2039,5)),Xref!A:B,2,0)</f>
        <v>#N/A</v>
      </c>
      <c r="M2039" t="e">
        <f t="shared" si="127"/>
        <v>#N/A</v>
      </c>
    </row>
    <row r="2040" spans="1:13" ht="14.25" customHeight="true">
      <c r="A2040" s="33" t="str">
        <f t="shared" si="124"/>
        <v>HDR - Intercompany</v>
      </c>
      <c r="B2040" s="33" t="str">
        <f t="shared" si="125"/>
        <v>HDR</v>
      </c>
      <c r="C2040" s="33" t="str">
        <f t="shared" si="126"/>
        <v>11402-0000</v>
      </c>
      <c r="D2040" t="s">
        <v>21100</v>
      </c>
      <c r="E2040" t="s">
        <v>14174</v>
      </c>
      <c r="G2040" t="s">
        <v>14672</v>
      </c>
      <c r="H2040" t="s">
        <v>13869</v>
      </c>
      <c r="I2040" t="s">
        <v>14690</v>
      </c>
      <c r="J2040" s="62">
        <v>0</v>
      </c>
      <c r="K2040" s="62">
        <v>0</v>
      </c>
      <c r="L2040" t="str">
        <f>VLOOKUP(VALUE(LEFT(C2040,5)),Xref!A:B,2,0)</f>
        <v>DPI</v>
      </c>
      <c r="M2040" t="str">
        <f t="shared" si="127"/>
        <v>DPI-HDR</v>
      </c>
    </row>
    <row r="2041" spans="1:13" ht="14.25" customHeight="true">
      <c r="A2041" s="33" t="str">
        <f t="shared" si="124"/>
        <v>HDR - Intercompany</v>
      </c>
      <c r="B2041" s="33" t="str">
        <f t="shared" si="125"/>
        <v>HDR</v>
      </c>
      <c r="C2041" s="33" t="str">
        <f t="shared" si="126"/>
        <v>11403-0000</v>
      </c>
      <c r="D2041" t="s">
        <v>21101</v>
      </c>
      <c r="E2041" t="s">
        <v>14176</v>
      </c>
      <c r="G2041" t="s">
        <v>14672</v>
      </c>
      <c r="H2041" t="s">
        <v>13869</v>
      </c>
      <c r="I2041" t="s">
        <v>14690</v>
      </c>
      <c r="J2041" s="62">
        <v>0</v>
      </c>
      <c r="K2041" s="62">
        <v>0</v>
      </c>
      <c r="L2041" t="str">
        <f>VLOOKUP(VALUE(LEFT(C2041,5)),Xref!A:B,2,0)</f>
        <v>SEA</v>
      </c>
      <c r="M2041" t="str">
        <f t="shared" si="127"/>
        <v>HDR-SEA</v>
      </c>
    </row>
    <row r="2042" spans="1:13" ht="14.25" customHeight="true">
      <c r="A2042" s="33" t="str">
        <f t="shared" si="124"/>
        <v>HDR - Intercompany</v>
      </c>
      <c r="B2042" s="33" t="str">
        <f t="shared" si="125"/>
        <v>HDR</v>
      </c>
      <c r="C2042" s="33" t="str">
        <f t="shared" si="126"/>
        <v>12400-0000</v>
      </c>
      <c r="D2042" t="s">
        <v>21104</v>
      </c>
      <c r="E2042" t="s">
        <v>14185</v>
      </c>
      <c r="F2042" t="s">
        <v>14039</v>
      </c>
      <c r="G2042" t="s">
        <v>14672</v>
      </c>
      <c r="H2042" t="s">
        <v>13869</v>
      </c>
      <c r="I2042" t="s">
        <v>14690</v>
      </c>
      <c r="J2042" s="62">
        <v>0</v>
      </c>
      <c r="K2042" s="62">
        <v>0</v>
      </c>
      <c r="L2042" t="str">
        <f>VLOOKUP(VALUE(LEFT(C2042,5)),Xref!A:B,2,0)</f>
        <v>aka</v>
      </c>
      <c r="M2042" t="str">
        <f t="shared" si="127"/>
        <v>aka-HDR</v>
      </c>
    </row>
    <row r="2043" spans="1:13" ht="14.25" customHeight="true">
      <c r="A2043" s="33" t="str">
        <f t="shared" si="124"/>
        <v>HDR - Intercompany</v>
      </c>
      <c r="B2043" s="33" t="str">
        <f t="shared" si="125"/>
        <v>HDR</v>
      </c>
      <c r="C2043" s="33" t="str">
        <f t="shared" si="126"/>
        <v>12401-0000</v>
      </c>
      <c r="D2043" t="s">
        <v>21105</v>
      </c>
      <c r="E2043" t="s">
        <v>14187</v>
      </c>
      <c r="F2043" t="s">
        <v>14039</v>
      </c>
      <c r="G2043" t="s">
        <v>14672</v>
      </c>
      <c r="H2043" t="s">
        <v>13869</v>
      </c>
      <c r="I2043" t="s">
        <v>14690</v>
      </c>
      <c r="J2043" s="62">
        <v>0</v>
      </c>
      <c r="K2043" s="62">
        <v>0</v>
      </c>
      <c r="L2043" t="str">
        <f>VLOOKUP(VALUE(LEFT(C2043,5)),Xref!A:B,2,0)</f>
        <v>aka</v>
      </c>
      <c r="M2043" t="str">
        <f t="shared" si="127"/>
        <v>aka-HDR</v>
      </c>
    </row>
    <row r="2044" spans="1:13" ht="14.25" customHeight="true">
      <c r="A2044" s="33" t="str">
        <f t="shared" si="124"/>
        <v>HDR - Intercompany</v>
      </c>
      <c r="B2044" s="33" t="str">
        <f t="shared" si="125"/>
        <v>HDR</v>
      </c>
      <c r="C2044" s="33" t="str">
        <f t="shared" si="126"/>
        <v>12402-0000</v>
      </c>
      <c r="D2044" t="s">
        <v>21106</v>
      </c>
      <c r="E2044" t="s">
        <v>14189</v>
      </c>
      <c r="F2044" t="s">
        <v>14039</v>
      </c>
      <c r="G2044" t="s">
        <v>14672</v>
      </c>
      <c r="H2044" t="s">
        <v>13869</v>
      </c>
      <c r="I2044" t="s">
        <v>14690</v>
      </c>
      <c r="J2044" s="62">
        <v>0</v>
      </c>
      <c r="K2044" s="62">
        <v>0</v>
      </c>
      <c r="L2044" t="str">
        <f>VLOOKUP(VALUE(LEFT(C2044,5)),Xref!A:B,2,0)</f>
        <v>aka</v>
      </c>
      <c r="M2044" t="str">
        <f t="shared" si="127"/>
        <v>aka-HDR</v>
      </c>
    </row>
    <row r="2045" spans="1:13" ht="14.25" customHeight="true">
      <c r="A2045" s="33" t="str">
        <f t="shared" si="124"/>
        <v>HDR - Intercompany</v>
      </c>
      <c r="B2045" s="33" t="str">
        <f t="shared" si="125"/>
        <v>HDR</v>
      </c>
      <c r="C2045" s="33" t="str">
        <f t="shared" si="126"/>
        <v>12403-0000</v>
      </c>
      <c r="D2045" t="s">
        <v>21107</v>
      </c>
      <c r="E2045" t="s">
        <v>5226</v>
      </c>
      <c r="F2045" t="s">
        <v>14039</v>
      </c>
      <c r="G2045" t="s">
        <v>14672</v>
      </c>
      <c r="H2045" t="s">
        <v>13869</v>
      </c>
      <c r="I2045" t="s">
        <v>14690</v>
      </c>
      <c r="J2045" s="62">
        <v>0</v>
      </c>
      <c r="K2045" s="62">
        <v>0</v>
      </c>
      <c r="L2045" t="str">
        <f>VLOOKUP(VALUE(LEFT(C2045,5)),Xref!A:B,2,0)</f>
        <v>aka</v>
      </c>
      <c r="M2045" t="str">
        <f t="shared" si="127"/>
        <v>aka-HDR</v>
      </c>
    </row>
    <row r="2046" spans="1:13" ht="14.25" customHeight="true">
      <c r="A2046" s="33" t="str">
        <f t="shared" si="124"/>
        <v>HDR - Intercompany</v>
      </c>
      <c r="B2046" s="33" t="str">
        <f t="shared" si="125"/>
        <v>HDR</v>
      </c>
      <c r="C2046" s="33" t="str">
        <f t="shared" si="126"/>
        <v>12501-0000</v>
      </c>
      <c r="D2046" t="s">
        <v>21108</v>
      </c>
      <c r="E2046" t="s">
        <v>14192</v>
      </c>
      <c r="F2046" t="s">
        <v>14039</v>
      </c>
      <c r="G2046" t="s">
        <v>14672</v>
      </c>
      <c r="H2046" t="s">
        <v>13869</v>
      </c>
      <c r="I2046" t="s">
        <v>14690</v>
      </c>
      <c r="J2046" s="62">
        <v>0</v>
      </c>
      <c r="K2046" s="62">
        <v>0</v>
      </c>
      <c r="L2046" t="str">
        <f>VLOOKUP(VALUE(LEFT(C2046,5)),Xref!A:B,2,0)</f>
        <v>aka</v>
      </c>
      <c r="M2046" t="str">
        <f t="shared" si="127"/>
        <v>aka-HDR</v>
      </c>
    </row>
    <row r="2047" spans="1:13" ht="14.25" customHeight="true">
      <c r="A2047" s="33" t="str">
        <f t="shared" si="124"/>
        <v>HDR - InterCo Notes</v>
      </c>
      <c r="B2047" s="33" t="str">
        <f t="shared" si="125"/>
        <v>HDR</v>
      </c>
      <c r="C2047" s="33" t="str">
        <f t="shared" si="126"/>
        <v>25600-0000</v>
      </c>
      <c r="D2047" t="s">
        <v>21158</v>
      </c>
      <c r="E2047" t="s">
        <v>314</v>
      </c>
      <c r="F2047" t="s">
        <v>14039</v>
      </c>
      <c r="G2047" t="s">
        <v>14672</v>
      </c>
      <c r="H2047" t="s">
        <v>13889</v>
      </c>
      <c r="I2047" t="s">
        <v>14690</v>
      </c>
      <c r="J2047" s="62">
        <v>0</v>
      </c>
      <c r="K2047" s="62">
        <v>0</v>
      </c>
      <c r="L2047" t="str">
        <f>VLOOKUP(VALUE(LEFT(C2047,5)),Xref!A:B,2,0)</f>
        <v>D7</v>
      </c>
      <c r="M2047" t="str">
        <f t="shared" si="127"/>
        <v>D7-HDR</v>
      </c>
    </row>
    <row r="2048" spans="1:13" ht="14.25" customHeight="true">
      <c r="A2048" s="33" t="str">
        <f t="shared" si="124"/>
        <v>HDR - InterCo Notes</v>
      </c>
      <c r="B2048" s="33" t="str">
        <f t="shared" si="125"/>
        <v>HDR</v>
      </c>
      <c r="C2048" s="33" t="str">
        <f t="shared" si="126"/>
        <v>25602-0000</v>
      </c>
      <c r="D2048" t="s">
        <v>21160</v>
      </c>
      <c r="E2048" t="s">
        <v>13426</v>
      </c>
      <c r="F2048" t="s">
        <v>14039</v>
      </c>
      <c r="G2048" t="s">
        <v>14672</v>
      </c>
      <c r="H2048" t="s">
        <v>13889</v>
      </c>
      <c r="I2048" t="s">
        <v>14690</v>
      </c>
      <c r="J2048" s="62">
        <v>-17000</v>
      </c>
      <c r="K2048" s="62">
        <v>-62000</v>
      </c>
      <c r="L2048" t="str">
        <f>VLOOKUP(VALUE(LEFT(C2048,5)),Xref!A:B,2,0)</f>
        <v>DFLP</v>
      </c>
      <c r="M2048" t="str">
        <f t="shared" si="127"/>
        <v>DFLP-HDR</v>
      </c>
    </row>
    <row r="2049" spans="1:13" ht="14.25" customHeight="true">
      <c r="A2049" s="33" t="str">
        <f t="shared" si="124"/>
        <v>HDR - InterCo Notes</v>
      </c>
      <c r="B2049" s="33" t="str">
        <f t="shared" si="125"/>
        <v>HDR</v>
      </c>
      <c r="C2049" s="33" t="str">
        <f t="shared" si="126"/>
        <v>25603-0000</v>
      </c>
      <c r="D2049" t="s">
        <v>21161</v>
      </c>
      <c r="E2049" t="s">
        <v>14311</v>
      </c>
      <c r="F2049" t="s">
        <v>14039</v>
      </c>
      <c r="G2049" t="s">
        <v>14832</v>
      </c>
      <c r="H2049" t="s">
        <v>13889</v>
      </c>
      <c r="I2049" t="s">
        <v>14690</v>
      </c>
      <c r="J2049" s="62">
        <v>0</v>
      </c>
      <c r="K2049" s="62">
        <v>0</v>
      </c>
      <c r="L2049" t="str">
        <f>VLOOKUP(VALUE(LEFT(C2049,5)),Xref!A:B,2,0)</f>
        <v>aka</v>
      </c>
      <c r="M2049" t="str">
        <f t="shared" si="127"/>
        <v>aka-HDR</v>
      </c>
    </row>
    <row r="2050" spans="1:13" ht="14.25" customHeight="true">
      <c r="A2050" s="33" t="str">
        <f t="shared" ref="A2050:A2113" si="128">B2050&amp;" - "&amp;TRIM(H2050)</f>
        <v>HDR - Intercompany</v>
      </c>
      <c r="B2050" s="33" t="str">
        <f t="shared" ref="B2050:B2113" si="129">LEFT(D2050,3)</f>
        <v>HDR</v>
      </c>
      <c r="C2050" s="33" t="str">
        <f t="shared" ref="C2050:C2113" si="130">RIGHT(D2050,10)</f>
        <v>25604-0000</v>
      </c>
      <c r="D2050" t="s">
        <v>21162</v>
      </c>
      <c r="E2050" t="s">
        <v>13490</v>
      </c>
      <c r="F2050" t="s">
        <v>14039</v>
      </c>
      <c r="G2050" t="s">
        <v>14672</v>
      </c>
      <c r="H2050" t="s">
        <v>13869</v>
      </c>
      <c r="I2050" t="s">
        <v>14690</v>
      </c>
      <c r="J2050" s="62">
        <v>0</v>
      </c>
      <c r="K2050" s="62">
        <v>0</v>
      </c>
      <c r="L2050">
        <f>VLOOKUP(VALUE(LEFT(C2050,5)),Xref!A:B,2,0)</f>
        <v>0</v>
      </c>
      <c r="M2050" t="str">
        <f t="shared" ref="M2050:M2113" si="131">IF(B2050&lt;L2050,B2050&amp;"-"&amp;L2050,L2050&amp;"-"&amp;B2050)</f>
        <v>0-HDR</v>
      </c>
    </row>
    <row r="2051" spans="1:13" ht="14.25" customHeight="true">
      <c r="A2051" s="33" t="str">
        <f t="shared" si="128"/>
        <v>HN2 - Intercompany</v>
      </c>
      <c r="B2051" s="33" t="str">
        <f t="shared" si="129"/>
        <v>HN2</v>
      </c>
      <c r="C2051" s="33" t="str">
        <f t="shared" si="130"/>
        <v>11200-0000</v>
      </c>
      <c r="D2051" t="s">
        <v>1402</v>
      </c>
      <c r="E2051" t="s">
        <v>38</v>
      </c>
      <c r="F2051" t="s">
        <v>30843</v>
      </c>
      <c r="G2051" t="s">
        <v>16</v>
      </c>
      <c r="H2051" t="s">
        <v>13869</v>
      </c>
      <c r="I2051" t="s">
        <v>40</v>
      </c>
      <c r="J2051" s="62">
        <v>184083.88</v>
      </c>
      <c r="K2051" s="62">
        <v>9287221.89</v>
      </c>
      <c r="L2051" t="str">
        <f>VLOOKUP(VALUE(LEFT(C2051,5)),Xref!A:B,2,0)</f>
        <v>SCL</v>
      </c>
      <c r="M2051" t="str">
        <f t="shared" si="131"/>
        <v>HN2-SCL</v>
      </c>
    </row>
    <row r="2052" spans="1:13" ht="14.25" customHeight="true">
      <c r="A2052" s="33" t="str">
        <f t="shared" si="128"/>
        <v>HN2 - Intercompany</v>
      </c>
      <c r="B2052" s="33" t="str">
        <f t="shared" si="129"/>
        <v>HN2</v>
      </c>
      <c r="C2052" s="33" t="str">
        <f t="shared" si="130"/>
        <v>11201-0000</v>
      </c>
      <c r="D2052" t="s">
        <v>1403</v>
      </c>
      <c r="E2052" t="s">
        <v>765</v>
      </c>
      <c r="F2052" t="s">
        <v>30843</v>
      </c>
      <c r="G2052" t="s">
        <v>16</v>
      </c>
      <c r="H2052" t="s">
        <v>13869</v>
      </c>
      <c r="I2052" t="s">
        <v>40</v>
      </c>
      <c r="J2052" s="62">
        <v>-103258.24</v>
      </c>
      <c r="K2052" s="62">
        <v>-9710048.15</v>
      </c>
      <c r="L2052" t="str">
        <f>VLOOKUP(VALUE(LEFT(C2052,5)),Xref!A:B,2,0)</f>
        <v>SG2</v>
      </c>
      <c r="M2052" t="str">
        <f t="shared" si="131"/>
        <v>HN2-SG2</v>
      </c>
    </row>
    <row r="2053" spans="1:13" ht="14.25" customHeight="true">
      <c r="A2053" s="33" t="str">
        <f t="shared" si="128"/>
        <v>HN2 - Intercompany</v>
      </c>
      <c r="B2053" s="33" t="str">
        <f t="shared" si="129"/>
        <v>HN2</v>
      </c>
      <c r="C2053" s="33" t="str">
        <f t="shared" si="130"/>
        <v>11204-0000</v>
      </c>
      <c r="D2053" t="s">
        <v>1404</v>
      </c>
      <c r="E2053" t="s">
        <v>1234</v>
      </c>
      <c r="F2053" t="s">
        <v>30843</v>
      </c>
      <c r="G2053" t="s">
        <v>16</v>
      </c>
      <c r="H2053" t="s">
        <v>13869</v>
      </c>
      <c r="I2053" t="s">
        <v>40</v>
      </c>
      <c r="J2053" s="62">
        <v>-21367.17</v>
      </c>
      <c r="K2053" s="62">
        <v>-2330264.45</v>
      </c>
      <c r="L2053" t="str">
        <f>VLOOKUP(VALUE(LEFT(C2053,5)),Xref!A:B,2,0)</f>
        <v>DF2</v>
      </c>
      <c r="M2053" t="str">
        <f t="shared" si="131"/>
        <v>DF2-HN2</v>
      </c>
    </row>
    <row r="2054" spans="1:13" ht="14.25" customHeight="true">
      <c r="A2054" s="33" t="str">
        <f t="shared" si="128"/>
        <v>JUP - Intercompany</v>
      </c>
      <c r="B2054" s="33" t="str">
        <f t="shared" si="129"/>
        <v>JUP</v>
      </c>
      <c r="C2054" s="33" t="str">
        <f t="shared" si="130"/>
        <v>11200-0000</v>
      </c>
      <c r="D2054" t="s">
        <v>21338</v>
      </c>
      <c r="E2054" t="s">
        <v>14069</v>
      </c>
      <c r="F2054" t="s">
        <v>14039</v>
      </c>
      <c r="G2054" t="s">
        <v>14672</v>
      </c>
      <c r="H2054" t="s">
        <v>13869</v>
      </c>
      <c r="I2054" t="s">
        <v>14690</v>
      </c>
      <c r="J2054" s="62">
        <v>0</v>
      </c>
      <c r="K2054" s="62">
        <v>0</v>
      </c>
      <c r="L2054" t="str">
        <f>VLOOKUP(VALUE(LEFT(C2054,5)),Xref!A:B,2,0)</f>
        <v>SCL</v>
      </c>
      <c r="M2054" t="str">
        <f t="shared" si="131"/>
        <v>JUP-SCL</v>
      </c>
    </row>
    <row r="2055" spans="1:13" ht="14.25" customHeight="true">
      <c r="A2055" s="33" t="str">
        <f t="shared" si="128"/>
        <v>JUP - Intercompany</v>
      </c>
      <c r="B2055" s="33" t="str">
        <f t="shared" si="129"/>
        <v>JUP</v>
      </c>
      <c r="C2055" s="33" t="str">
        <f t="shared" si="130"/>
        <v>11201-0000</v>
      </c>
      <c r="D2055" t="s">
        <v>21339</v>
      </c>
      <c r="E2055" t="s">
        <v>14071</v>
      </c>
      <c r="F2055" t="s">
        <v>14039</v>
      </c>
      <c r="G2055" t="s">
        <v>14672</v>
      </c>
      <c r="H2055" t="s">
        <v>13869</v>
      </c>
      <c r="I2055" t="s">
        <v>14690</v>
      </c>
      <c r="J2055" s="62">
        <v>0</v>
      </c>
      <c r="K2055" s="62">
        <v>0</v>
      </c>
      <c r="L2055" t="str">
        <f>VLOOKUP(VALUE(LEFT(C2055,5)),Xref!A:B,2,0)</f>
        <v>SG2</v>
      </c>
      <c r="M2055" t="str">
        <f t="shared" si="131"/>
        <v>JUP-SG2</v>
      </c>
    </row>
    <row r="2056" spans="1:13" ht="14.25" customHeight="true">
      <c r="A2056" s="33" t="str">
        <f t="shared" si="128"/>
        <v>JUP - Intercompany</v>
      </c>
      <c r="B2056" s="33" t="str">
        <f t="shared" si="129"/>
        <v>JUP</v>
      </c>
      <c r="C2056" s="33" t="str">
        <f t="shared" si="130"/>
        <v>11202-0000</v>
      </c>
      <c r="D2056" t="s">
        <v>21340</v>
      </c>
      <c r="E2056" t="s">
        <v>14073</v>
      </c>
      <c r="F2056" t="s">
        <v>14039</v>
      </c>
      <c r="G2056" t="s">
        <v>14672</v>
      </c>
      <c r="H2056" t="s">
        <v>13869</v>
      </c>
      <c r="I2056" t="s">
        <v>14690</v>
      </c>
      <c r="J2056" s="62">
        <v>0</v>
      </c>
      <c r="K2056" s="62">
        <v>0</v>
      </c>
      <c r="L2056" t="str">
        <f>VLOOKUP(VALUE(LEFT(C2056,5)),Xref!A:B,2,0)</f>
        <v>FFC</v>
      </c>
      <c r="M2056" t="str">
        <f t="shared" si="131"/>
        <v>FFC-JUP</v>
      </c>
    </row>
    <row r="2057" spans="1:13" ht="14.25" customHeight="true">
      <c r="A2057" s="33" t="str">
        <f t="shared" si="128"/>
        <v>JUP - Intercompany</v>
      </c>
      <c r="B2057" s="33" t="str">
        <f t="shared" si="129"/>
        <v>JUP</v>
      </c>
      <c r="C2057" s="33" t="str">
        <f t="shared" si="130"/>
        <v>11203-0000</v>
      </c>
      <c r="D2057" t="s">
        <v>21341</v>
      </c>
      <c r="E2057" t="s">
        <v>14075</v>
      </c>
      <c r="F2057" t="s">
        <v>14039</v>
      </c>
      <c r="G2057" t="s">
        <v>14672</v>
      </c>
      <c r="H2057" t="s">
        <v>13869</v>
      </c>
      <c r="I2057" t="s">
        <v>14690</v>
      </c>
      <c r="J2057" s="62">
        <v>0</v>
      </c>
      <c r="K2057" s="62">
        <v>0</v>
      </c>
      <c r="L2057" t="str">
        <f>VLOOKUP(VALUE(LEFT(C2057,5)),Xref!A:B,2,0)</f>
        <v>HN2</v>
      </c>
      <c r="M2057" t="str">
        <f t="shared" si="131"/>
        <v>HN2-JUP</v>
      </c>
    </row>
    <row r="2058" spans="1:13" ht="14.25" customHeight="true">
      <c r="A2058" s="33" t="str">
        <f t="shared" si="128"/>
        <v>JUP - Intercompany</v>
      </c>
      <c r="B2058" s="33" t="str">
        <f t="shared" si="129"/>
        <v>JUP</v>
      </c>
      <c r="C2058" s="33" t="str">
        <f t="shared" si="130"/>
        <v>11204-0000</v>
      </c>
      <c r="D2058" t="s">
        <v>21342</v>
      </c>
      <c r="E2058" t="s">
        <v>14077</v>
      </c>
      <c r="F2058" t="s">
        <v>14039</v>
      </c>
      <c r="G2058" t="s">
        <v>14672</v>
      </c>
      <c r="H2058" t="s">
        <v>13869</v>
      </c>
      <c r="I2058" t="s">
        <v>14690</v>
      </c>
      <c r="J2058" s="62">
        <v>0</v>
      </c>
      <c r="K2058" s="62">
        <v>0</v>
      </c>
      <c r="L2058" t="str">
        <f>VLOOKUP(VALUE(LEFT(C2058,5)),Xref!A:B,2,0)</f>
        <v>DF2</v>
      </c>
      <c r="M2058" t="str">
        <f t="shared" si="131"/>
        <v>DF2-JUP</v>
      </c>
    </row>
    <row r="2059" spans="1:13" ht="14.25" customHeight="true">
      <c r="A2059" s="33" t="str">
        <f t="shared" si="128"/>
        <v>JUP - Intercompany</v>
      </c>
      <c r="B2059" s="33" t="str">
        <f t="shared" si="129"/>
        <v>JUP</v>
      </c>
      <c r="C2059" s="33" t="str">
        <f t="shared" si="130"/>
        <v>11208-0000</v>
      </c>
      <c r="D2059" t="s">
        <v>21343</v>
      </c>
      <c r="E2059" t="s">
        <v>14079</v>
      </c>
      <c r="F2059" t="s">
        <v>14039</v>
      </c>
      <c r="G2059" t="s">
        <v>14672</v>
      </c>
      <c r="H2059" t="s">
        <v>13869</v>
      </c>
      <c r="I2059" t="s">
        <v>14690</v>
      </c>
      <c r="J2059" s="62">
        <v>0</v>
      </c>
      <c r="K2059" s="62">
        <v>0</v>
      </c>
      <c r="L2059" t="str">
        <f>VLOOKUP(VALUE(LEFT(C2059,5)),Xref!A:B,2,0)</f>
        <v>SRE</v>
      </c>
      <c r="M2059" t="str">
        <f t="shared" si="131"/>
        <v>JUP-SRE</v>
      </c>
    </row>
    <row r="2060" spans="1:13" ht="14.25" customHeight="true">
      <c r="A2060" s="33" t="str">
        <f t="shared" si="128"/>
        <v>JUP - Intercompany</v>
      </c>
      <c r="B2060" s="33" t="str">
        <f t="shared" si="129"/>
        <v>JUP</v>
      </c>
      <c r="C2060" s="33" t="str">
        <f t="shared" si="130"/>
        <v>11210-0000</v>
      </c>
      <c r="D2060" t="s">
        <v>21344</v>
      </c>
      <c r="E2060" t="s">
        <v>14081</v>
      </c>
      <c r="F2060" t="s">
        <v>14039</v>
      </c>
      <c r="G2060" t="s">
        <v>14672</v>
      </c>
      <c r="H2060" t="s">
        <v>13869</v>
      </c>
      <c r="I2060" t="s">
        <v>14690</v>
      </c>
      <c r="J2060" s="62">
        <v>0</v>
      </c>
      <c r="K2060" s="62">
        <v>0</v>
      </c>
      <c r="L2060" t="str">
        <f>VLOOKUP(VALUE(LEFT(C2060,5)),Xref!A:B,2,0)</f>
        <v>REM</v>
      </c>
      <c r="M2060" t="str">
        <f t="shared" si="131"/>
        <v>JUP-REM</v>
      </c>
    </row>
    <row r="2061" spans="1:13" ht="14.25" customHeight="true">
      <c r="A2061" s="33" t="str">
        <f t="shared" si="128"/>
        <v>JUP - Intercompany</v>
      </c>
      <c r="B2061" s="33" t="str">
        <f t="shared" si="129"/>
        <v>JUP</v>
      </c>
      <c r="C2061" s="33" t="str">
        <f t="shared" si="130"/>
        <v>11212-0000</v>
      </c>
      <c r="D2061" t="s">
        <v>21345</v>
      </c>
      <c r="E2061" t="s">
        <v>14083</v>
      </c>
      <c r="F2061" t="s">
        <v>14039</v>
      </c>
      <c r="G2061" t="s">
        <v>14672</v>
      </c>
      <c r="H2061" t="s">
        <v>13869</v>
      </c>
      <c r="I2061" t="s">
        <v>14690</v>
      </c>
      <c r="J2061" s="62">
        <v>0</v>
      </c>
      <c r="K2061" s="62">
        <v>0</v>
      </c>
      <c r="L2061" t="str">
        <f>VLOOKUP(VALUE(LEFT(C2061,5)),Xref!A:B,2,0)</f>
        <v>FRM</v>
      </c>
      <c r="M2061" t="str">
        <f t="shared" si="131"/>
        <v>FRM-JUP</v>
      </c>
    </row>
    <row r="2062" spans="1:13" ht="14.25" customHeight="true">
      <c r="A2062" s="33" t="str">
        <f t="shared" si="128"/>
        <v>JUP - Intercompany</v>
      </c>
      <c r="B2062" s="33" t="str">
        <f t="shared" si="129"/>
        <v>JUP</v>
      </c>
      <c r="C2062" s="33" t="str">
        <f t="shared" si="130"/>
        <v>11214-0000</v>
      </c>
      <c r="D2062" t="s">
        <v>21346</v>
      </c>
      <c r="E2062" t="s">
        <v>14085</v>
      </c>
      <c r="F2062" t="s">
        <v>14039</v>
      </c>
      <c r="G2062" t="s">
        <v>14672</v>
      </c>
      <c r="H2062" t="s">
        <v>13869</v>
      </c>
      <c r="I2062" t="s">
        <v>14690</v>
      </c>
      <c r="J2062" s="62">
        <v>0</v>
      </c>
      <c r="K2062" s="62">
        <v>0</v>
      </c>
      <c r="L2062" t="str">
        <f>VLOOKUP(VALUE(LEFT(C2062,5)),Xref!A:B,2,0)</f>
        <v>D7R</v>
      </c>
      <c r="M2062" t="str">
        <f t="shared" si="131"/>
        <v>D7R-JUP</v>
      </c>
    </row>
    <row r="2063" spans="1:13" ht="14.25" customHeight="true">
      <c r="A2063" s="33" t="str">
        <f t="shared" si="128"/>
        <v>JUP - Intercompany</v>
      </c>
      <c r="B2063" s="33" t="str">
        <f t="shared" si="129"/>
        <v>JUP</v>
      </c>
      <c r="C2063" s="33" t="str">
        <f t="shared" si="130"/>
        <v>11215-0000</v>
      </c>
      <c r="D2063" t="s">
        <v>21347</v>
      </c>
      <c r="E2063" t="s">
        <v>14087</v>
      </c>
      <c r="F2063" t="s">
        <v>14039</v>
      </c>
      <c r="G2063" t="s">
        <v>14672</v>
      </c>
      <c r="H2063" t="s">
        <v>13869</v>
      </c>
      <c r="I2063" t="s">
        <v>14690</v>
      </c>
      <c r="J2063" s="62">
        <v>0</v>
      </c>
      <c r="K2063" s="62">
        <v>0</v>
      </c>
      <c r="L2063" t="str">
        <f>VLOOKUP(VALUE(LEFT(C2063,5)),Xref!A:B,2,0)</f>
        <v>CDP</v>
      </c>
      <c r="M2063" t="str">
        <f t="shared" si="131"/>
        <v>CDP-JUP</v>
      </c>
    </row>
    <row r="2064" spans="1:13" ht="14.25" customHeight="true">
      <c r="A2064" s="33" t="str">
        <f t="shared" si="128"/>
        <v>JUP - Intercompany</v>
      </c>
      <c r="B2064" s="33" t="str">
        <f t="shared" si="129"/>
        <v>JUP</v>
      </c>
      <c r="C2064" s="33" t="str">
        <f t="shared" si="130"/>
        <v>11216-0000</v>
      </c>
      <c r="D2064" t="s">
        <v>1461</v>
      </c>
      <c r="E2064" t="s">
        <v>13224</v>
      </c>
      <c r="F2064" t="s">
        <v>14039</v>
      </c>
      <c r="G2064" t="s">
        <v>14672</v>
      </c>
      <c r="H2064" t="s">
        <v>13869</v>
      </c>
      <c r="I2064" t="s">
        <v>14690</v>
      </c>
      <c r="J2064" s="62">
        <v>-4381.33</v>
      </c>
      <c r="K2064" s="62">
        <v>-14999.35</v>
      </c>
      <c r="L2064" t="str">
        <f>VLOOKUP(VALUE(LEFT(C2064,5)),Xref!A:B,2,0)</f>
        <v>SIL</v>
      </c>
      <c r="M2064" t="str">
        <f t="shared" si="131"/>
        <v>JUP-SIL</v>
      </c>
    </row>
    <row r="2065" spans="1:13" ht="14.25" customHeight="true">
      <c r="A2065" s="33" t="str">
        <f t="shared" si="128"/>
        <v>JUP - Intercompany</v>
      </c>
      <c r="B2065" s="33" t="str">
        <f t="shared" si="129"/>
        <v>JUP</v>
      </c>
      <c r="C2065" s="33" t="str">
        <f t="shared" si="130"/>
        <v>11232-0000</v>
      </c>
      <c r="D2065" t="s">
        <v>21348</v>
      </c>
      <c r="E2065" t="s">
        <v>12486</v>
      </c>
      <c r="F2065" t="s">
        <v>14039</v>
      </c>
      <c r="G2065" t="s">
        <v>14672</v>
      </c>
      <c r="H2065" t="s">
        <v>13869</v>
      </c>
      <c r="I2065" t="s">
        <v>14690</v>
      </c>
      <c r="J2065" s="62">
        <v>0</v>
      </c>
      <c r="K2065" s="62">
        <v>0</v>
      </c>
      <c r="L2065" t="str">
        <f>VLOOKUP(VALUE(LEFT(C2065,5)),Xref!A:B,2,0)</f>
        <v>SC2</v>
      </c>
      <c r="M2065" t="str">
        <f t="shared" si="131"/>
        <v>JUP-SC2</v>
      </c>
    </row>
    <row r="2066" spans="1:13" ht="14.25" customHeight="true">
      <c r="A2066" s="33" t="str">
        <f t="shared" si="128"/>
        <v>JUP - Intercompany</v>
      </c>
      <c r="B2066" s="33" t="str">
        <f t="shared" si="129"/>
        <v>JUP</v>
      </c>
      <c r="C2066" s="33" t="str">
        <f t="shared" si="130"/>
        <v>11301-0000</v>
      </c>
      <c r="D2066" t="s">
        <v>21349</v>
      </c>
      <c r="E2066" t="s">
        <v>13225</v>
      </c>
      <c r="F2066" t="s">
        <v>14039</v>
      </c>
      <c r="G2066" t="s">
        <v>14672</v>
      </c>
      <c r="H2066" t="s">
        <v>13869</v>
      </c>
      <c r="I2066" t="s">
        <v>14690</v>
      </c>
      <c r="J2066" s="62">
        <v>0</v>
      </c>
      <c r="K2066" s="62">
        <v>0</v>
      </c>
      <c r="L2066" t="str">
        <f>VLOOKUP(VALUE(LEFT(C2066,5)),Xref!A:B,2,0)</f>
        <v>CRE</v>
      </c>
      <c r="M2066" t="str">
        <f t="shared" si="131"/>
        <v>CRE-JUP</v>
      </c>
    </row>
    <row r="2067" spans="1:13" ht="14.25" customHeight="true">
      <c r="A2067" s="33" t="str">
        <f t="shared" si="128"/>
        <v>JUP - Intercompany</v>
      </c>
      <c r="B2067" s="33" t="str">
        <f t="shared" si="129"/>
        <v>JUP</v>
      </c>
      <c r="C2067" s="33" t="str">
        <f t="shared" si="130"/>
        <v>11302-0000</v>
      </c>
      <c r="D2067" t="s">
        <v>21350</v>
      </c>
      <c r="E2067" t="s">
        <v>13226</v>
      </c>
      <c r="F2067" t="s">
        <v>14039</v>
      </c>
      <c r="G2067" t="s">
        <v>14672</v>
      </c>
      <c r="H2067" t="s">
        <v>13869</v>
      </c>
      <c r="I2067" t="s">
        <v>14690</v>
      </c>
      <c r="J2067" s="62">
        <v>0</v>
      </c>
      <c r="K2067" s="62">
        <v>0</v>
      </c>
      <c r="L2067" t="str">
        <f>VLOOKUP(VALUE(LEFT(C2067,5)),Xref!A:B,2,0)</f>
        <v>CHA</v>
      </c>
      <c r="M2067" t="str">
        <f t="shared" si="131"/>
        <v>CHA-JUP</v>
      </c>
    </row>
    <row r="2068" spans="1:13" ht="14.25" customHeight="true">
      <c r="A2068" s="33" t="str">
        <f t="shared" si="128"/>
        <v>JUP - Intercompany</v>
      </c>
      <c r="B2068" s="33" t="str">
        <f t="shared" si="129"/>
        <v>JUP</v>
      </c>
      <c r="C2068" s="33" t="str">
        <f t="shared" si="130"/>
        <v>11303-0000</v>
      </c>
      <c r="D2068" t="s">
        <v>21351</v>
      </c>
      <c r="E2068" t="s">
        <v>13227</v>
      </c>
      <c r="F2068" t="s">
        <v>14039</v>
      </c>
      <c r="G2068" t="s">
        <v>14672</v>
      </c>
      <c r="H2068" t="s">
        <v>13869</v>
      </c>
      <c r="I2068" t="s">
        <v>14690</v>
      </c>
      <c r="J2068" s="62">
        <v>0</v>
      </c>
      <c r="K2068" s="62">
        <v>0</v>
      </c>
      <c r="L2068" t="str">
        <f>VLOOKUP(VALUE(LEFT(C2068,5)),Xref!A:B,2,0)</f>
        <v>DIA</v>
      </c>
      <c r="M2068" t="str">
        <f t="shared" si="131"/>
        <v>DIA-JUP</v>
      </c>
    </row>
    <row r="2069" spans="1:13" ht="14.25" customHeight="true">
      <c r="A2069" s="33" t="str">
        <f t="shared" si="128"/>
        <v>JUP - Intercompany</v>
      </c>
      <c r="B2069" s="33" t="str">
        <f t="shared" si="129"/>
        <v>JUP</v>
      </c>
      <c r="C2069" s="33" t="str">
        <f t="shared" si="130"/>
        <v>11304-0000</v>
      </c>
      <c r="D2069" t="s">
        <v>21352</v>
      </c>
      <c r="E2069" t="s">
        <v>13228</v>
      </c>
      <c r="F2069" t="s">
        <v>14039</v>
      </c>
      <c r="G2069" t="s">
        <v>14672</v>
      </c>
      <c r="H2069" t="s">
        <v>13869</v>
      </c>
      <c r="I2069" t="s">
        <v>14690</v>
      </c>
      <c r="J2069" s="62">
        <v>0</v>
      </c>
      <c r="K2069" s="62">
        <v>0</v>
      </c>
      <c r="L2069" t="str">
        <f>VLOOKUP(VALUE(LEFT(C2069,5)),Xref!A:B,2,0)</f>
        <v>EAG</v>
      </c>
      <c r="M2069" t="str">
        <f t="shared" si="131"/>
        <v>EAG-JUP</v>
      </c>
    </row>
    <row r="2070" spans="1:13" ht="14.25" customHeight="true">
      <c r="A2070" s="33" t="str">
        <f t="shared" si="128"/>
        <v>JUP - Intercompany</v>
      </c>
      <c r="B2070" s="33" t="str">
        <f t="shared" si="129"/>
        <v>JUP</v>
      </c>
      <c r="C2070" s="33" t="str">
        <f t="shared" si="130"/>
        <v>11305-0000</v>
      </c>
      <c r="D2070" t="s">
        <v>21353</v>
      </c>
      <c r="E2070" t="s">
        <v>13229</v>
      </c>
      <c r="F2070" t="s">
        <v>14039</v>
      </c>
      <c r="G2070" t="s">
        <v>14672</v>
      </c>
      <c r="H2070" t="s">
        <v>13869</v>
      </c>
      <c r="I2070" t="s">
        <v>14690</v>
      </c>
      <c r="J2070" s="62">
        <v>0</v>
      </c>
      <c r="K2070" s="62">
        <v>0</v>
      </c>
      <c r="L2070" t="str">
        <f>VLOOKUP(VALUE(LEFT(C2070,5)),Xref!A:B,2,0)</f>
        <v>NEW</v>
      </c>
      <c r="M2070" t="str">
        <f t="shared" si="131"/>
        <v>JUP-NEW</v>
      </c>
    </row>
    <row r="2071" spans="1:13" ht="14.25" customHeight="true">
      <c r="A2071" s="33" t="str">
        <f t="shared" si="128"/>
        <v>JUP - Intercompany</v>
      </c>
      <c r="B2071" s="33" t="str">
        <f t="shared" si="129"/>
        <v>JUP</v>
      </c>
      <c r="C2071" s="33" t="str">
        <f t="shared" si="130"/>
        <v>11307-0000</v>
      </c>
      <c r="D2071" t="s">
        <v>21354</v>
      </c>
      <c r="E2071" t="s">
        <v>14096</v>
      </c>
      <c r="F2071" t="s">
        <v>14039</v>
      </c>
      <c r="G2071" t="s">
        <v>14672</v>
      </c>
      <c r="H2071" t="s">
        <v>13869</v>
      </c>
      <c r="I2071" t="s">
        <v>14690</v>
      </c>
      <c r="J2071" s="62">
        <v>0</v>
      </c>
      <c r="K2071" s="62">
        <v>0</v>
      </c>
      <c r="L2071" t="str">
        <f>VLOOKUP(VALUE(LEFT(C2071,5)),Xref!A:B,2,0)</f>
        <v>NES</v>
      </c>
      <c r="M2071" t="str">
        <f t="shared" si="131"/>
        <v>JUP-NES</v>
      </c>
    </row>
    <row r="2072" spans="1:13" ht="14.25" customHeight="true">
      <c r="A2072" s="33" t="str">
        <f t="shared" si="128"/>
        <v>JUP - Intercompany</v>
      </c>
      <c r="B2072" s="33" t="str">
        <f t="shared" si="129"/>
        <v>JUP</v>
      </c>
      <c r="C2072" s="33" t="str">
        <f t="shared" si="130"/>
        <v>11308-0000</v>
      </c>
      <c r="D2072" t="s">
        <v>21355</v>
      </c>
      <c r="E2072" t="s">
        <v>13476</v>
      </c>
      <c r="F2072" t="s">
        <v>14039</v>
      </c>
      <c r="G2072" t="s">
        <v>14672</v>
      </c>
      <c r="H2072" t="s">
        <v>13869</v>
      </c>
      <c r="I2072" t="s">
        <v>14690</v>
      </c>
      <c r="J2072" s="62">
        <v>0</v>
      </c>
      <c r="K2072" s="62">
        <v>0</v>
      </c>
      <c r="L2072" t="str">
        <f>VLOOKUP(VALUE(LEFT(C2072,5)),Xref!A:B,2,0)</f>
        <v>LPI</v>
      </c>
      <c r="M2072" t="str">
        <f t="shared" si="131"/>
        <v>JUP-LPI</v>
      </c>
    </row>
    <row r="2073" spans="1:13" ht="14.25" customHeight="true">
      <c r="A2073" s="33" t="str">
        <f t="shared" si="128"/>
        <v>JUP - Intercompany</v>
      </c>
      <c r="B2073" s="33" t="str">
        <f t="shared" si="129"/>
        <v>JUP</v>
      </c>
      <c r="C2073" s="33" t="str">
        <f t="shared" si="130"/>
        <v>11309-0000</v>
      </c>
      <c r="D2073" t="s">
        <v>21356</v>
      </c>
      <c r="E2073" t="s">
        <v>13230</v>
      </c>
      <c r="F2073" t="s">
        <v>14039</v>
      </c>
      <c r="G2073" t="s">
        <v>14672</v>
      </c>
      <c r="H2073" t="s">
        <v>13869</v>
      </c>
      <c r="I2073" t="s">
        <v>14690</v>
      </c>
      <c r="J2073" s="62">
        <v>0</v>
      </c>
      <c r="K2073" s="62">
        <v>0</v>
      </c>
      <c r="L2073" t="str">
        <f>VLOOKUP(VALUE(LEFT(C2073,5)),Xref!A:B,2,0)</f>
        <v>GPI</v>
      </c>
      <c r="M2073" t="str">
        <f t="shared" si="131"/>
        <v>GPI-JUP</v>
      </c>
    </row>
    <row r="2074" spans="1:13" ht="14.25" customHeight="true">
      <c r="A2074" s="33" t="str">
        <f t="shared" si="128"/>
        <v>JUP - Intercompany</v>
      </c>
      <c r="B2074" s="33" t="str">
        <f t="shared" si="129"/>
        <v>JUP</v>
      </c>
      <c r="C2074" s="33" t="str">
        <f t="shared" si="130"/>
        <v>11310-0000</v>
      </c>
      <c r="D2074" t="s">
        <v>21357</v>
      </c>
      <c r="E2074" t="s">
        <v>13231</v>
      </c>
      <c r="F2074" t="s">
        <v>14039</v>
      </c>
      <c r="G2074" t="s">
        <v>14672</v>
      </c>
      <c r="H2074" t="s">
        <v>13869</v>
      </c>
      <c r="I2074" t="s">
        <v>14690</v>
      </c>
      <c r="J2074" s="62">
        <v>0</v>
      </c>
      <c r="K2074" s="62">
        <v>0</v>
      </c>
      <c r="L2074" t="str">
        <f>VLOOKUP(VALUE(LEFT(C2074,5)),Xref!A:B,2,0)</f>
        <v>ALP</v>
      </c>
      <c r="M2074" t="str">
        <f t="shared" si="131"/>
        <v>ALP-JUP</v>
      </c>
    </row>
    <row r="2075" spans="1:13" ht="14.25" customHeight="true">
      <c r="A2075" s="33" t="str">
        <f t="shared" si="128"/>
        <v>JUP - Intercompany</v>
      </c>
      <c r="B2075" s="33" t="str">
        <f t="shared" si="129"/>
        <v>JUP</v>
      </c>
      <c r="C2075" s="33" t="str">
        <f t="shared" si="130"/>
        <v>11311-0000</v>
      </c>
      <c r="D2075" t="s">
        <v>21358</v>
      </c>
      <c r="E2075" t="s">
        <v>13232</v>
      </c>
      <c r="F2075" t="s">
        <v>14039</v>
      </c>
      <c r="G2075" t="s">
        <v>14672</v>
      </c>
      <c r="H2075" t="s">
        <v>13869</v>
      </c>
      <c r="I2075" t="s">
        <v>14690</v>
      </c>
      <c r="J2075" s="62">
        <v>0</v>
      </c>
      <c r="K2075" s="62">
        <v>0</v>
      </c>
      <c r="L2075" t="str">
        <f>VLOOKUP(VALUE(LEFT(C2075,5)),Xref!A:B,2,0)</f>
        <v>BET</v>
      </c>
      <c r="M2075" t="str">
        <f t="shared" si="131"/>
        <v>BET-JUP</v>
      </c>
    </row>
    <row r="2076" spans="1:13" ht="14.25" customHeight="true">
      <c r="A2076" s="33" t="str">
        <f t="shared" si="128"/>
        <v>JUP - Intercompany</v>
      </c>
      <c r="B2076" s="33" t="str">
        <f t="shared" si="129"/>
        <v>JUP</v>
      </c>
      <c r="C2076" s="33" t="str">
        <f t="shared" si="130"/>
        <v>11312-0000</v>
      </c>
      <c r="D2076" t="s">
        <v>21359</v>
      </c>
      <c r="E2076" t="s">
        <v>14102</v>
      </c>
      <c r="F2076" t="s">
        <v>14039</v>
      </c>
      <c r="G2076" t="s">
        <v>14672</v>
      </c>
      <c r="H2076" t="s">
        <v>13869</v>
      </c>
      <c r="I2076" t="s">
        <v>14690</v>
      </c>
      <c r="J2076" s="62">
        <v>0</v>
      </c>
      <c r="K2076" s="62">
        <v>0</v>
      </c>
      <c r="L2076" t="str">
        <f>VLOOKUP(VALUE(LEFT(C2076,5)),Xref!A:B,2,0)</f>
        <v>DEL</v>
      </c>
      <c r="M2076" t="str">
        <f t="shared" si="131"/>
        <v>DEL-JUP</v>
      </c>
    </row>
    <row r="2077" spans="1:13" ht="14.25" customHeight="true">
      <c r="A2077" s="33" t="str">
        <f t="shared" si="128"/>
        <v>JUP - Intercompany</v>
      </c>
      <c r="B2077" s="33" t="str">
        <f t="shared" si="129"/>
        <v>JUP</v>
      </c>
      <c r="C2077" s="33" t="str">
        <f t="shared" si="130"/>
        <v>11313-0000</v>
      </c>
      <c r="D2077" t="s">
        <v>21360</v>
      </c>
      <c r="E2077" t="s">
        <v>13233</v>
      </c>
      <c r="F2077" t="s">
        <v>14039</v>
      </c>
      <c r="G2077" t="s">
        <v>14672</v>
      </c>
      <c r="H2077" t="s">
        <v>13869</v>
      </c>
      <c r="I2077" t="s">
        <v>14690</v>
      </c>
      <c r="J2077" s="62">
        <v>0</v>
      </c>
      <c r="K2077" s="62">
        <v>0</v>
      </c>
      <c r="L2077" t="str">
        <f>VLOOKUP(VALUE(LEFT(C2077,5)),Xref!A:B,2,0)</f>
        <v>DOL</v>
      </c>
      <c r="M2077" t="str">
        <f t="shared" si="131"/>
        <v>DOL-JUP</v>
      </c>
    </row>
    <row r="2078" spans="1:13" ht="14.25" customHeight="true">
      <c r="A2078" s="33" t="str">
        <f t="shared" si="128"/>
        <v>JUP - Intercompany</v>
      </c>
      <c r="B2078" s="33" t="str">
        <f t="shared" si="129"/>
        <v>JUP</v>
      </c>
      <c r="C2078" s="33" t="str">
        <f t="shared" si="130"/>
        <v>11314-0000</v>
      </c>
      <c r="D2078" t="s">
        <v>21361</v>
      </c>
      <c r="E2078" t="s">
        <v>13351</v>
      </c>
      <c r="F2078" t="s">
        <v>14039</v>
      </c>
      <c r="G2078" t="s">
        <v>14672</v>
      </c>
      <c r="H2078" t="s">
        <v>13869</v>
      </c>
      <c r="I2078" t="s">
        <v>14690</v>
      </c>
      <c r="J2078" s="62">
        <v>0</v>
      </c>
      <c r="K2078" s="62">
        <v>0</v>
      </c>
      <c r="L2078" t="str">
        <f>VLOOKUP(VALUE(LEFT(C2078,5)),Xref!A:B,2,0)</f>
        <v>GRI</v>
      </c>
      <c r="M2078" t="str">
        <f t="shared" si="131"/>
        <v>GRI-JUP</v>
      </c>
    </row>
    <row r="2079" spans="1:13" ht="14.25" customHeight="true">
      <c r="A2079" s="33" t="str">
        <f t="shared" si="128"/>
        <v>JUP - Intercompany</v>
      </c>
      <c r="B2079" s="33" t="str">
        <f t="shared" si="129"/>
        <v>JUP</v>
      </c>
      <c r="C2079" s="33" t="str">
        <f t="shared" si="130"/>
        <v>11315-0000</v>
      </c>
      <c r="D2079" t="s">
        <v>21362</v>
      </c>
      <c r="E2079" t="s">
        <v>13234</v>
      </c>
      <c r="F2079" t="s">
        <v>14039</v>
      </c>
      <c r="G2079" t="s">
        <v>14672</v>
      </c>
      <c r="H2079" t="s">
        <v>13869</v>
      </c>
      <c r="I2079" t="s">
        <v>14690</v>
      </c>
      <c r="J2079" s="62">
        <v>0</v>
      </c>
      <c r="K2079" s="62">
        <v>0</v>
      </c>
      <c r="L2079" t="str">
        <f>VLOOKUP(VALUE(LEFT(C2079,5)),Xref!A:B,2,0)</f>
        <v>PUR</v>
      </c>
      <c r="M2079" t="str">
        <f t="shared" si="131"/>
        <v>JUP-PUR</v>
      </c>
    </row>
    <row r="2080" spans="1:13" ht="14.25" customHeight="true">
      <c r="A2080" s="33" t="str">
        <f t="shared" si="128"/>
        <v>JUP - Intercompany</v>
      </c>
      <c r="B2080" s="33" t="str">
        <f t="shared" si="129"/>
        <v>JUP</v>
      </c>
      <c r="C2080" s="33" t="str">
        <f t="shared" si="130"/>
        <v>11316-0000</v>
      </c>
      <c r="D2080" t="s">
        <v>21363</v>
      </c>
      <c r="E2080" t="s">
        <v>13235</v>
      </c>
      <c r="F2080" t="s">
        <v>14039</v>
      </c>
      <c r="G2080" t="s">
        <v>14672</v>
      </c>
      <c r="H2080" t="s">
        <v>13869</v>
      </c>
      <c r="I2080" t="s">
        <v>14690</v>
      </c>
      <c r="J2080" s="62">
        <v>0</v>
      </c>
      <c r="K2080" s="62">
        <v>0</v>
      </c>
      <c r="L2080" t="str">
        <f>VLOOKUP(VALUE(LEFT(C2080,5)),Xref!A:B,2,0)</f>
        <v>VAL</v>
      </c>
      <c r="M2080" t="str">
        <f t="shared" si="131"/>
        <v>JUP-VAL</v>
      </c>
    </row>
    <row r="2081" spans="1:13" ht="14.25" customHeight="true">
      <c r="A2081" s="33" t="str">
        <f t="shared" si="128"/>
        <v>JUP - Intercompany</v>
      </c>
      <c r="B2081" s="33" t="str">
        <f t="shared" si="129"/>
        <v>JUP</v>
      </c>
      <c r="C2081" s="33" t="str">
        <f t="shared" si="130"/>
        <v>11317-0000</v>
      </c>
      <c r="D2081" t="s">
        <v>21364</v>
      </c>
      <c r="E2081" t="s">
        <v>13352</v>
      </c>
      <c r="F2081" t="s">
        <v>14039</v>
      </c>
      <c r="G2081" t="s">
        <v>14672</v>
      </c>
      <c r="H2081" t="s">
        <v>13869</v>
      </c>
      <c r="I2081" t="s">
        <v>14690</v>
      </c>
      <c r="J2081" s="62">
        <v>0</v>
      </c>
      <c r="K2081" s="62">
        <v>0</v>
      </c>
      <c r="L2081" t="str">
        <f>VLOOKUP(VALUE(LEFT(C2081,5)),Xref!A:B,2,0)</f>
        <v>AKG</v>
      </c>
      <c r="M2081" t="str">
        <f t="shared" si="131"/>
        <v>AKG-JUP</v>
      </c>
    </row>
    <row r="2082" spans="1:13" ht="14.25" customHeight="true">
      <c r="A2082" s="33" t="str">
        <f t="shared" si="128"/>
        <v>JUP - Intercompany</v>
      </c>
      <c r="B2082" s="33" t="str">
        <f t="shared" si="129"/>
        <v>JUP</v>
      </c>
      <c r="C2082" s="33" t="str">
        <f t="shared" si="130"/>
        <v>11318-0000</v>
      </c>
      <c r="D2082" t="s">
        <v>21365</v>
      </c>
      <c r="E2082" t="s">
        <v>13477</v>
      </c>
      <c r="F2082" t="s">
        <v>14039</v>
      </c>
      <c r="G2082" t="s">
        <v>14672</v>
      </c>
      <c r="H2082" t="s">
        <v>13869</v>
      </c>
      <c r="I2082" t="s">
        <v>14690</v>
      </c>
      <c r="J2082" s="62">
        <v>0</v>
      </c>
      <c r="K2082" s="62">
        <v>0</v>
      </c>
      <c r="L2082" t="str">
        <f>VLOOKUP(VALUE(LEFT(C2082,5)),Xref!A:B,2,0)</f>
        <v>FIR</v>
      </c>
      <c r="M2082" t="str">
        <f t="shared" si="131"/>
        <v>FIR-JUP</v>
      </c>
    </row>
    <row r="2083" spans="1:13" ht="14.25" customHeight="true">
      <c r="A2083" s="33" t="str">
        <f t="shared" si="128"/>
        <v>JUP - Intercompany</v>
      </c>
      <c r="B2083" s="33" t="str">
        <f t="shared" si="129"/>
        <v>JUP</v>
      </c>
      <c r="C2083" s="33" t="str">
        <f t="shared" si="130"/>
        <v>11319-0000</v>
      </c>
      <c r="D2083" t="s">
        <v>21366</v>
      </c>
      <c r="E2083" t="s">
        <v>266</v>
      </c>
      <c r="F2083" t="s">
        <v>14039</v>
      </c>
      <c r="G2083" t="s">
        <v>14672</v>
      </c>
      <c r="H2083" t="s">
        <v>13869</v>
      </c>
      <c r="I2083" t="s">
        <v>14690</v>
      </c>
      <c r="J2083" s="62">
        <v>0</v>
      </c>
      <c r="K2083" s="62">
        <v>0</v>
      </c>
      <c r="L2083" t="str">
        <f>VLOOKUP(VALUE(LEFT(C2083,5)),Xref!A:B,2,0)</f>
        <v>GST</v>
      </c>
      <c r="M2083" t="str">
        <f t="shared" si="131"/>
        <v>GST-JUP</v>
      </c>
    </row>
    <row r="2084" spans="1:13" ht="14.25" customHeight="true">
      <c r="A2084" s="33" t="str">
        <f t="shared" si="128"/>
        <v>JUP - Intercompany</v>
      </c>
      <c r="B2084" s="33" t="str">
        <f t="shared" si="129"/>
        <v>JUP</v>
      </c>
      <c r="C2084" s="33" t="str">
        <f t="shared" si="130"/>
        <v>11320-0000</v>
      </c>
      <c r="D2084" t="s">
        <v>21367</v>
      </c>
      <c r="E2084" t="s">
        <v>14111</v>
      </c>
      <c r="F2084" t="s">
        <v>14039</v>
      </c>
      <c r="G2084" t="s">
        <v>14672</v>
      </c>
      <c r="H2084" t="s">
        <v>13869</v>
      </c>
      <c r="I2084" t="s">
        <v>14690</v>
      </c>
      <c r="J2084" s="62">
        <v>0</v>
      </c>
      <c r="K2084" s="62">
        <v>0</v>
      </c>
      <c r="L2084" t="str">
        <f>VLOOKUP(VALUE(LEFT(C2084,5)),Xref!A:B,2,0)</f>
        <v>HDN</v>
      </c>
      <c r="M2084" t="str">
        <f t="shared" si="131"/>
        <v>HDN-JUP</v>
      </c>
    </row>
    <row r="2085" spans="1:13" ht="14.25" customHeight="true">
      <c r="A2085" s="33" t="str">
        <f t="shared" si="128"/>
        <v>JUP - Intercompany</v>
      </c>
      <c r="B2085" s="33" t="str">
        <f t="shared" si="129"/>
        <v>JUP</v>
      </c>
      <c r="C2085" s="33" t="str">
        <f t="shared" si="130"/>
        <v>11321-0000</v>
      </c>
      <c r="D2085" t="s">
        <v>21368</v>
      </c>
      <c r="E2085" t="s">
        <v>13236</v>
      </c>
      <c r="F2085" t="s">
        <v>14039</v>
      </c>
      <c r="G2085" t="s">
        <v>14672</v>
      </c>
      <c r="H2085" t="s">
        <v>13869</v>
      </c>
      <c r="I2085" t="s">
        <v>14690</v>
      </c>
      <c r="J2085" s="62">
        <v>0</v>
      </c>
      <c r="K2085" s="62">
        <v>0</v>
      </c>
      <c r="L2085" t="str">
        <f>VLOOKUP(VALUE(LEFT(C2085,5)),Xref!A:B,2,0)</f>
        <v>OVA</v>
      </c>
      <c r="M2085" t="str">
        <f t="shared" si="131"/>
        <v>JUP-OVA</v>
      </c>
    </row>
    <row r="2086" spans="1:13" ht="14.25" customHeight="true">
      <c r="A2086" s="33" t="str">
        <f t="shared" si="128"/>
        <v>JUP - Intercompany</v>
      </c>
      <c r="B2086" s="33" t="str">
        <f t="shared" si="129"/>
        <v>JUP</v>
      </c>
      <c r="C2086" s="33" t="str">
        <f t="shared" si="130"/>
        <v>11322-0000</v>
      </c>
      <c r="D2086" t="s">
        <v>21369</v>
      </c>
      <c r="E2086" t="s">
        <v>13237</v>
      </c>
      <c r="F2086" t="s">
        <v>14039</v>
      </c>
      <c r="G2086" t="s">
        <v>14672</v>
      </c>
      <c r="H2086" t="s">
        <v>13869</v>
      </c>
      <c r="I2086" t="s">
        <v>14690</v>
      </c>
      <c r="J2086" s="62">
        <v>0</v>
      </c>
      <c r="K2086" s="62">
        <v>0</v>
      </c>
      <c r="L2086" t="str">
        <f>VLOOKUP(VALUE(LEFT(C2086,5)),Xref!A:B,2,0)</f>
        <v>WOO</v>
      </c>
      <c r="M2086" t="str">
        <f t="shared" si="131"/>
        <v>JUP-WOO</v>
      </c>
    </row>
    <row r="2087" spans="1:13" ht="14.25" customHeight="true">
      <c r="A2087" s="33" t="str">
        <f t="shared" si="128"/>
        <v>JUP - Intercompany</v>
      </c>
      <c r="B2087" s="33" t="str">
        <f t="shared" si="129"/>
        <v>JUP</v>
      </c>
      <c r="C2087" s="33" t="str">
        <f t="shared" si="130"/>
        <v>11323-0000</v>
      </c>
      <c r="D2087" t="s">
        <v>21370</v>
      </c>
      <c r="E2087" t="s">
        <v>13478</v>
      </c>
      <c r="F2087" t="s">
        <v>14039</v>
      </c>
      <c r="G2087" t="s">
        <v>14672</v>
      </c>
      <c r="H2087" t="s">
        <v>13869</v>
      </c>
      <c r="I2087" t="s">
        <v>14690</v>
      </c>
      <c r="J2087" s="62">
        <v>0</v>
      </c>
      <c r="K2087" s="62">
        <v>0</v>
      </c>
      <c r="L2087" t="str">
        <f>VLOOKUP(VALUE(LEFT(C2087,5)),Xref!A:B,2,0)</f>
        <v>SPI</v>
      </c>
      <c r="M2087" t="str">
        <f t="shared" si="131"/>
        <v>JUP-SPI</v>
      </c>
    </row>
    <row r="2088" spans="1:13" ht="14.25" customHeight="true">
      <c r="A2088" s="33" t="str">
        <f t="shared" si="128"/>
        <v>JUP - Intercompany</v>
      </c>
      <c r="B2088" s="33" t="str">
        <f t="shared" si="129"/>
        <v>JUP</v>
      </c>
      <c r="C2088" s="33" t="str">
        <f t="shared" si="130"/>
        <v>11324-0000</v>
      </c>
      <c r="D2088" t="s">
        <v>21371</v>
      </c>
      <c r="E2088" t="s">
        <v>13238</v>
      </c>
      <c r="F2088" t="s">
        <v>14039</v>
      </c>
      <c r="G2088" t="s">
        <v>14672</v>
      </c>
      <c r="H2088" t="s">
        <v>13869</v>
      </c>
      <c r="I2088" t="s">
        <v>14690</v>
      </c>
      <c r="J2088" s="62">
        <v>0</v>
      </c>
      <c r="K2088" s="62">
        <v>0</v>
      </c>
      <c r="L2088" t="str">
        <f>VLOOKUP(VALUE(LEFT(C2088,5)),Xref!A:B,2,0)</f>
        <v>NET</v>
      </c>
      <c r="M2088" t="str">
        <f t="shared" si="131"/>
        <v>JUP-NET</v>
      </c>
    </row>
    <row r="2089" spans="1:13" ht="14.25" customHeight="true">
      <c r="A2089" s="33" t="str">
        <f t="shared" si="128"/>
        <v>JUP - Intercompany</v>
      </c>
      <c r="B2089" s="33" t="str">
        <f t="shared" si="129"/>
        <v>JUP</v>
      </c>
      <c r="C2089" s="33" t="str">
        <f t="shared" si="130"/>
        <v>11325-0000</v>
      </c>
      <c r="D2089" t="s">
        <v>21372</v>
      </c>
      <c r="E2089" t="s">
        <v>13239</v>
      </c>
      <c r="F2089" t="s">
        <v>14039</v>
      </c>
      <c r="G2089" t="s">
        <v>14672</v>
      </c>
      <c r="H2089" t="s">
        <v>13869</v>
      </c>
      <c r="I2089" t="s">
        <v>14690</v>
      </c>
      <c r="J2089" s="62">
        <v>0</v>
      </c>
      <c r="K2089" s="62">
        <v>0</v>
      </c>
      <c r="L2089" t="str">
        <f>VLOOKUP(VALUE(LEFT(C2089,5)),Xref!A:B,2,0)</f>
        <v>DPI</v>
      </c>
      <c r="M2089" t="str">
        <f t="shared" si="131"/>
        <v>DPI-JUP</v>
      </c>
    </row>
    <row r="2090" spans="1:13" ht="14.25" customHeight="true">
      <c r="A2090" s="33" t="str">
        <f t="shared" si="128"/>
        <v>JUP - Intercompany</v>
      </c>
      <c r="B2090" s="33" t="str">
        <f t="shared" si="129"/>
        <v>JUP</v>
      </c>
      <c r="C2090" s="33" t="str">
        <f t="shared" si="130"/>
        <v>11326-0000</v>
      </c>
      <c r="D2090" t="s">
        <v>21373</v>
      </c>
      <c r="E2090" t="s">
        <v>13240</v>
      </c>
      <c r="F2090" t="s">
        <v>14039</v>
      </c>
      <c r="G2090" t="s">
        <v>14672</v>
      </c>
      <c r="H2090" t="s">
        <v>13869</v>
      </c>
      <c r="I2090" t="s">
        <v>14690</v>
      </c>
      <c r="J2090" s="62">
        <v>0</v>
      </c>
      <c r="K2090" s="62">
        <v>0</v>
      </c>
      <c r="L2090" t="str">
        <f>VLOOKUP(VALUE(LEFT(C2090,5)),Xref!A:B,2,0)</f>
        <v>SEK</v>
      </c>
      <c r="M2090" t="str">
        <f t="shared" si="131"/>
        <v>JUP-SEK</v>
      </c>
    </row>
    <row r="2091" spans="1:13" ht="14.25" customHeight="true">
      <c r="A2091" s="33" t="str">
        <f t="shared" si="128"/>
        <v>JUP - Intercompany</v>
      </c>
      <c r="B2091" s="33" t="str">
        <f t="shared" si="129"/>
        <v>JUP</v>
      </c>
      <c r="C2091" s="33" t="str">
        <f t="shared" si="130"/>
        <v>11327-0000</v>
      </c>
      <c r="D2091" t="s">
        <v>21374</v>
      </c>
      <c r="E2091" t="s">
        <v>14119</v>
      </c>
      <c r="F2091" t="s">
        <v>14039</v>
      </c>
      <c r="G2091" t="s">
        <v>14672</v>
      </c>
      <c r="H2091" t="s">
        <v>13869</v>
      </c>
      <c r="I2091" t="s">
        <v>14690</v>
      </c>
      <c r="J2091" s="62">
        <v>0</v>
      </c>
      <c r="K2091" s="62">
        <v>0</v>
      </c>
      <c r="L2091" t="str">
        <f>VLOOKUP(VALUE(LEFT(C2091,5)),Xref!A:B,2,0)</f>
        <v>CPI</v>
      </c>
      <c r="M2091" t="str">
        <f t="shared" si="131"/>
        <v>CPI-JUP</v>
      </c>
    </row>
    <row r="2092" spans="1:13" ht="14.25" customHeight="true">
      <c r="A2092" s="33" t="str">
        <f t="shared" si="128"/>
        <v>JUP - Intercompany</v>
      </c>
      <c r="B2092" s="33" t="str">
        <f t="shared" si="129"/>
        <v>JUP</v>
      </c>
      <c r="C2092" s="33" t="str">
        <f t="shared" si="130"/>
        <v>11328-0000</v>
      </c>
      <c r="D2092" t="s">
        <v>21375</v>
      </c>
      <c r="E2092" t="s">
        <v>13241</v>
      </c>
      <c r="F2092" t="s">
        <v>14039</v>
      </c>
      <c r="G2092" t="s">
        <v>14672</v>
      </c>
      <c r="H2092" t="s">
        <v>13869</v>
      </c>
      <c r="I2092" t="s">
        <v>14690</v>
      </c>
      <c r="J2092" s="62">
        <v>0</v>
      </c>
      <c r="K2092" s="62">
        <v>0</v>
      </c>
      <c r="L2092" t="str">
        <f>VLOOKUP(VALUE(LEFT(C2092,5)),Xref!A:B,2,0)</f>
        <v>LOM</v>
      </c>
      <c r="M2092" t="str">
        <f t="shared" si="131"/>
        <v>JUP-LOM</v>
      </c>
    </row>
    <row r="2093" spans="1:13" ht="14.25" customHeight="true">
      <c r="A2093" s="33" t="str">
        <f t="shared" si="128"/>
        <v>JUP - Intercompany</v>
      </c>
      <c r="B2093" s="33" t="str">
        <f t="shared" si="129"/>
        <v>JUP</v>
      </c>
      <c r="C2093" s="33" t="str">
        <f t="shared" si="130"/>
        <v>11329-0000</v>
      </c>
      <c r="D2093" t="s">
        <v>21376</v>
      </c>
      <c r="E2093" t="s">
        <v>13353</v>
      </c>
      <c r="F2093" t="s">
        <v>14039</v>
      </c>
      <c r="G2093" t="s">
        <v>14672</v>
      </c>
      <c r="H2093" t="s">
        <v>13869</v>
      </c>
      <c r="I2093" t="s">
        <v>14690</v>
      </c>
      <c r="J2093" s="62">
        <v>0</v>
      </c>
      <c r="K2093" s="62">
        <v>0</v>
      </c>
      <c r="L2093" t="str">
        <f>VLOOKUP(VALUE(LEFT(C2093,5)),Xref!A:B,2,0)</f>
        <v>AKS</v>
      </c>
      <c r="M2093" t="str">
        <f t="shared" si="131"/>
        <v>AKS-JUP</v>
      </c>
    </row>
    <row r="2094" spans="1:13" ht="14.25" customHeight="true">
      <c r="A2094" s="33" t="str">
        <f t="shared" si="128"/>
        <v>JUP - Intercompany</v>
      </c>
      <c r="B2094" s="33" t="str">
        <f t="shared" si="129"/>
        <v>JUP</v>
      </c>
      <c r="C2094" s="33" t="str">
        <f t="shared" si="130"/>
        <v>11330-0000</v>
      </c>
      <c r="D2094" t="s">
        <v>21377</v>
      </c>
      <c r="E2094" t="s">
        <v>13242</v>
      </c>
      <c r="F2094" t="s">
        <v>14039</v>
      </c>
      <c r="G2094" t="s">
        <v>14672</v>
      </c>
      <c r="H2094" t="s">
        <v>13869</v>
      </c>
      <c r="I2094" t="s">
        <v>14690</v>
      </c>
      <c r="J2094" s="62">
        <v>0</v>
      </c>
      <c r="K2094" s="62">
        <v>0</v>
      </c>
      <c r="L2094" t="str">
        <f>VLOOKUP(VALUE(LEFT(C2094,5)),Xref!A:B,2,0)</f>
        <v>MAR</v>
      </c>
      <c r="M2094" t="str">
        <f t="shared" si="131"/>
        <v>JUP-MAR</v>
      </c>
    </row>
    <row r="2095" spans="1:13" ht="14.25" customHeight="true">
      <c r="A2095" s="33" t="str">
        <f t="shared" si="128"/>
        <v>JUP - Intercompany</v>
      </c>
      <c r="B2095" s="33" t="str">
        <f t="shared" si="129"/>
        <v>JUP</v>
      </c>
      <c r="C2095" s="33" t="str">
        <f t="shared" si="130"/>
        <v>11331-0000</v>
      </c>
      <c r="D2095" t="s">
        <v>21378</v>
      </c>
      <c r="E2095" t="s">
        <v>13354</v>
      </c>
      <c r="F2095" t="s">
        <v>14039</v>
      </c>
      <c r="G2095" t="s">
        <v>14672</v>
      </c>
      <c r="H2095" t="s">
        <v>13869</v>
      </c>
      <c r="I2095" t="s">
        <v>14690</v>
      </c>
      <c r="J2095" s="62">
        <v>0</v>
      </c>
      <c r="K2095" s="62">
        <v>0</v>
      </c>
      <c r="L2095" t="str">
        <f>VLOOKUP(VALUE(LEFT(C2095,5)),Xref!A:B,2,0)</f>
        <v>WIL</v>
      </c>
      <c r="M2095" t="str">
        <f t="shared" si="131"/>
        <v>JUP-WIL</v>
      </c>
    </row>
    <row r="2096" spans="1:13" ht="14.25" customHeight="true">
      <c r="A2096" s="33" t="str">
        <f t="shared" si="128"/>
        <v>JUP - Intercompany</v>
      </c>
      <c r="B2096" s="33" t="str">
        <f t="shared" si="129"/>
        <v>JUP</v>
      </c>
      <c r="C2096" s="33" t="str">
        <f t="shared" si="130"/>
        <v>11332-0000</v>
      </c>
      <c r="D2096" t="s">
        <v>21379</v>
      </c>
      <c r="E2096" t="s">
        <v>13243</v>
      </c>
      <c r="F2096" t="s">
        <v>14039</v>
      </c>
      <c r="G2096" t="s">
        <v>14672</v>
      </c>
      <c r="H2096" t="s">
        <v>13869</v>
      </c>
      <c r="I2096" t="s">
        <v>14690</v>
      </c>
      <c r="J2096" s="62">
        <v>0</v>
      </c>
      <c r="K2096" s="62">
        <v>0</v>
      </c>
      <c r="L2096" t="str">
        <f>VLOOKUP(VALUE(LEFT(C2096,5)),Xref!A:B,2,0)</f>
        <v>STO</v>
      </c>
      <c r="M2096" t="str">
        <f t="shared" si="131"/>
        <v>JUP-STO</v>
      </c>
    </row>
    <row r="2097" spans="1:13" ht="14.25" customHeight="true">
      <c r="A2097" s="33" t="str">
        <f t="shared" si="128"/>
        <v>JUP - Intercompany</v>
      </c>
      <c r="B2097" s="33" t="str">
        <f t="shared" si="129"/>
        <v>JUP</v>
      </c>
      <c r="C2097" s="33" t="str">
        <f t="shared" si="130"/>
        <v>11333-0000</v>
      </c>
      <c r="D2097" t="s">
        <v>21380</v>
      </c>
      <c r="E2097" t="s">
        <v>13244</v>
      </c>
      <c r="F2097" t="s">
        <v>14039</v>
      </c>
      <c r="G2097" t="s">
        <v>14672</v>
      </c>
      <c r="H2097" t="s">
        <v>13869</v>
      </c>
      <c r="I2097" t="s">
        <v>14690</v>
      </c>
      <c r="J2097" s="62">
        <v>0</v>
      </c>
      <c r="K2097" s="62">
        <v>0</v>
      </c>
      <c r="L2097" t="str">
        <f>VLOOKUP(VALUE(LEFT(C2097,5)),Xref!A:B,2,0)</f>
        <v>ANG</v>
      </c>
      <c r="M2097" t="str">
        <f t="shared" si="131"/>
        <v>ANG-JUP</v>
      </c>
    </row>
    <row r="2098" spans="1:13" ht="14.25" customHeight="true">
      <c r="A2098" s="33" t="str">
        <f t="shared" si="128"/>
        <v>JUP - Intercompany</v>
      </c>
      <c r="B2098" s="33" t="str">
        <f t="shared" si="129"/>
        <v>JUP</v>
      </c>
      <c r="C2098" s="33" t="str">
        <f t="shared" si="130"/>
        <v>11334-0000</v>
      </c>
      <c r="D2098" t="s">
        <v>21381</v>
      </c>
      <c r="E2098" t="s">
        <v>13245</v>
      </c>
      <c r="F2098" t="s">
        <v>14039</v>
      </c>
      <c r="G2098" t="s">
        <v>14672</v>
      </c>
      <c r="H2098" t="s">
        <v>13869</v>
      </c>
      <c r="I2098" t="s">
        <v>14690</v>
      </c>
      <c r="J2098" s="62">
        <v>0</v>
      </c>
      <c r="K2098" s="62">
        <v>0</v>
      </c>
      <c r="L2098" t="str">
        <f>VLOOKUP(VALUE(LEFT(C2098,5)),Xref!A:B,2,0)</f>
        <v>BRU</v>
      </c>
      <c r="M2098" t="str">
        <f t="shared" si="131"/>
        <v>BRU-JUP</v>
      </c>
    </row>
    <row r="2099" spans="1:13" ht="14.25" customHeight="true">
      <c r="A2099" s="33" t="str">
        <f t="shared" si="128"/>
        <v>JUP - Intercompany</v>
      </c>
      <c r="B2099" s="33" t="str">
        <f t="shared" si="129"/>
        <v>JUP</v>
      </c>
      <c r="C2099" s="33" t="str">
        <f t="shared" si="130"/>
        <v>11335-0000</v>
      </c>
      <c r="D2099" t="s">
        <v>21382</v>
      </c>
      <c r="E2099" t="s">
        <v>13246</v>
      </c>
      <c r="F2099" t="s">
        <v>14039</v>
      </c>
      <c r="G2099" t="s">
        <v>14672</v>
      </c>
      <c r="H2099" t="s">
        <v>13869</v>
      </c>
      <c r="I2099" t="s">
        <v>14690</v>
      </c>
      <c r="J2099" s="62">
        <v>0</v>
      </c>
      <c r="K2099" s="62">
        <v>0</v>
      </c>
      <c r="L2099" t="str">
        <f>VLOOKUP(VALUE(LEFT(C2099,5)),Xref!A:B,2,0)</f>
        <v>VEN</v>
      </c>
      <c r="M2099" t="str">
        <f t="shared" si="131"/>
        <v>JUP-VEN</v>
      </c>
    </row>
    <row r="2100" spans="1:13" ht="14.25" customHeight="true">
      <c r="A2100" s="33" t="str">
        <f t="shared" si="128"/>
        <v>JUP - Intercompany</v>
      </c>
      <c r="B2100" s="33" t="str">
        <f t="shared" si="129"/>
        <v>JUP</v>
      </c>
      <c r="C2100" s="33" t="str">
        <f t="shared" si="130"/>
        <v>11336-0000</v>
      </c>
      <c r="D2100" t="s">
        <v>21383</v>
      </c>
      <c r="E2100" t="s">
        <v>13247</v>
      </c>
      <c r="F2100" t="s">
        <v>14039</v>
      </c>
      <c r="G2100" t="s">
        <v>14672</v>
      </c>
      <c r="H2100" t="s">
        <v>13869</v>
      </c>
      <c r="I2100" t="s">
        <v>14690</v>
      </c>
      <c r="J2100" s="62">
        <v>0</v>
      </c>
      <c r="K2100" s="62">
        <v>0</v>
      </c>
      <c r="L2100" t="str">
        <f>VLOOKUP(VALUE(LEFT(C2100,5)),Xref!A:B,2,0)</f>
        <v>SAT</v>
      </c>
      <c r="M2100" t="str">
        <f t="shared" si="131"/>
        <v>JUP-SAT</v>
      </c>
    </row>
    <row r="2101" spans="1:13" ht="14.25" customHeight="true">
      <c r="A2101" s="33" t="str">
        <f t="shared" si="128"/>
        <v>JUP - Intercompany</v>
      </c>
      <c r="B2101" s="33" t="str">
        <f t="shared" si="129"/>
        <v>JUP</v>
      </c>
      <c r="C2101" s="33" t="str">
        <f t="shared" si="130"/>
        <v>11337-0000</v>
      </c>
      <c r="D2101" t="s">
        <v>21384</v>
      </c>
      <c r="E2101" t="s">
        <v>13248</v>
      </c>
      <c r="F2101" t="s">
        <v>14039</v>
      </c>
      <c r="G2101" t="s">
        <v>14672</v>
      </c>
      <c r="H2101" t="s">
        <v>13869</v>
      </c>
      <c r="I2101" t="s">
        <v>14690</v>
      </c>
      <c r="J2101" s="62">
        <v>0</v>
      </c>
      <c r="K2101" s="62">
        <v>0</v>
      </c>
      <c r="L2101" t="str">
        <f>VLOOKUP(VALUE(LEFT(C2101,5)),Xref!A:B,2,0)</f>
        <v>NEP</v>
      </c>
      <c r="M2101" t="str">
        <f t="shared" si="131"/>
        <v>JUP-NEP</v>
      </c>
    </row>
    <row r="2102" spans="1:13" ht="14.25" customHeight="true">
      <c r="A2102" s="33" t="str">
        <f t="shared" si="128"/>
        <v>JUP - Intercompany</v>
      </c>
      <c r="B2102" s="33" t="str">
        <f t="shared" si="129"/>
        <v>JUP</v>
      </c>
      <c r="C2102" s="33" t="str">
        <f t="shared" si="130"/>
        <v>11338-0000</v>
      </c>
      <c r="D2102" t="s">
        <v>21385</v>
      </c>
      <c r="E2102" t="s">
        <v>14131</v>
      </c>
      <c r="F2102" t="s">
        <v>14039</v>
      </c>
      <c r="G2102" t="s">
        <v>14672</v>
      </c>
      <c r="H2102" t="s">
        <v>13869</v>
      </c>
      <c r="I2102" t="s">
        <v>14690</v>
      </c>
      <c r="J2102" s="62">
        <v>0</v>
      </c>
      <c r="K2102" s="62">
        <v>-10000</v>
      </c>
      <c r="L2102" t="str">
        <f>VLOOKUP(VALUE(LEFT(C2102,5)),Xref!A:B,2,0)</f>
        <v>JUP</v>
      </c>
      <c r="M2102" t="str">
        <f t="shared" si="131"/>
        <v>JUP-JUP</v>
      </c>
    </row>
    <row r="2103" spans="1:13" ht="14.25" customHeight="true">
      <c r="A2103" s="33" t="str">
        <f t="shared" si="128"/>
        <v>JUP - Intercompany</v>
      </c>
      <c r="B2103" s="33" t="str">
        <f t="shared" si="129"/>
        <v>JUP</v>
      </c>
      <c r="C2103" s="33" t="str">
        <f t="shared" si="130"/>
        <v>11339-0000</v>
      </c>
      <c r="D2103" t="s">
        <v>21386</v>
      </c>
      <c r="E2103" t="s">
        <v>14133</v>
      </c>
      <c r="F2103" t="s">
        <v>14039</v>
      </c>
      <c r="G2103" t="s">
        <v>14672</v>
      </c>
      <c r="H2103" t="s">
        <v>13869</v>
      </c>
      <c r="I2103" t="s">
        <v>14690</v>
      </c>
      <c r="J2103" s="62">
        <v>0</v>
      </c>
      <c r="K2103" s="62">
        <v>0</v>
      </c>
      <c r="L2103" t="str">
        <f>VLOOKUP(VALUE(LEFT(C2103,5)),Xref!A:B,2,0)</f>
        <v>WES</v>
      </c>
      <c r="M2103" t="str">
        <f t="shared" si="131"/>
        <v>JUP-WES</v>
      </c>
    </row>
    <row r="2104" spans="1:13" ht="14.25" customHeight="true">
      <c r="A2104" s="33" t="str">
        <f t="shared" si="128"/>
        <v>JUP - Intercompany</v>
      </c>
      <c r="B2104" s="33" t="str">
        <f t="shared" si="129"/>
        <v>JUP</v>
      </c>
      <c r="C2104" s="33" t="str">
        <f t="shared" si="130"/>
        <v>11340-0000</v>
      </c>
      <c r="D2104" t="s">
        <v>21387</v>
      </c>
      <c r="E2104" t="s">
        <v>14135</v>
      </c>
      <c r="F2104" t="s">
        <v>14039</v>
      </c>
      <c r="G2104" t="s">
        <v>14672</v>
      </c>
      <c r="H2104" t="s">
        <v>13869</v>
      </c>
      <c r="I2104" t="s">
        <v>14690</v>
      </c>
      <c r="J2104" s="62">
        <v>0</v>
      </c>
      <c r="K2104" s="62">
        <v>0</v>
      </c>
      <c r="L2104" t="str">
        <f>VLOOKUP(VALUE(LEFT(C2104,5)),Xref!A:B,2,0)</f>
        <v>LCP</v>
      </c>
      <c r="M2104" t="str">
        <f t="shared" si="131"/>
        <v>JUP-LCP</v>
      </c>
    </row>
    <row r="2105" spans="1:13" ht="14.25" customHeight="true">
      <c r="A2105" s="33" t="str">
        <f t="shared" si="128"/>
        <v>JUP - Intercompany</v>
      </c>
      <c r="B2105" s="33" t="str">
        <f t="shared" si="129"/>
        <v>JUP</v>
      </c>
      <c r="C2105" s="33" t="str">
        <f t="shared" si="130"/>
        <v>11341-0000</v>
      </c>
      <c r="D2105" t="s">
        <v>21388</v>
      </c>
      <c r="E2105" t="s">
        <v>13639</v>
      </c>
      <c r="F2105" t="s">
        <v>14039</v>
      </c>
      <c r="G2105" t="s">
        <v>14672</v>
      </c>
      <c r="H2105" t="s">
        <v>13869</v>
      </c>
      <c r="I2105" t="s">
        <v>14690</v>
      </c>
      <c r="J2105" s="62">
        <v>0</v>
      </c>
      <c r="K2105" s="62">
        <v>0</v>
      </c>
      <c r="L2105" t="str">
        <f>VLOOKUP(VALUE(LEFT(C2105,5)),Xref!A:B,2,0)</f>
        <v>NOR</v>
      </c>
      <c r="M2105" t="str">
        <f t="shared" si="131"/>
        <v>JUP-NOR</v>
      </c>
    </row>
    <row r="2106" spans="1:13" ht="14.25" customHeight="true">
      <c r="A2106" s="33" t="str">
        <f t="shared" si="128"/>
        <v>JUP - Intercompany</v>
      </c>
      <c r="B2106" s="33" t="str">
        <f t="shared" si="129"/>
        <v>JUP</v>
      </c>
      <c r="C2106" s="33" t="str">
        <f t="shared" si="130"/>
        <v>11342-0000</v>
      </c>
      <c r="D2106" t="s">
        <v>21389</v>
      </c>
      <c r="E2106" t="s">
        <v>13355</v>
      </c>
      <c r="F2106" t="s">
        <v>14039</v>
      </c>
      <c r="G2106" t="s">
        <v>14672</v>
      </c>
      <c r="H2106" t="s">
        <v>13869</v>
      </c>
      <c r="I2106" t="s">
        <v>14690</v>
      </c>
      <c r="J2106" s="62">
        <v>0</v>
      </c>
      <c r="K2106" s="62">
        <v>0</v>
      </c>
      <c r="L2106" t="str">
        <f>VLOOKUP(VALUE(LEFT(C2106,5)),Xref!A:B,2,0)</f>
        <v>EAS</v>
      </c>
      <c r="M2106" t="str">
        <f t="shared" si="131"/>
        <v>EAS-JUP</v>
      </c>
    </row>
    <row r="2107" spans="1:13" ht="14.25" customHeight="true">
      <c r="A2107" s="33" t="str">
        <f t="shared" si="128"/>
        <v>JUP - Intercompany</v>
      </c>
      <c r="B2107" s="33" t="str">
        <f t="shared" si="129"/>
        <v>JUP</v>
      </c>
      <c r="C2107" s="33" t="str">
        <f t="shared" si="130"/>
        <v>11343-0000</v>
      </c>
      <c r="D2107" t="s">
        <v>21390</v>
      </c>
      <c r="E2107" t="s">
        <v>14139</v>
      </c>
      <c r="F2107" t="s">
        <v>14039</v>
      </c>
      <c r="G2107" t="s">
        <v>14672</v>
      </c>
      <c r="H2107" t="s">
        <v>13869</v>
      </c>
      <c r="I2107" t="s">
        <v>14690</v>
      </c>
      <c r="J2107" s="62">
        <v>0</v>
      </c>
      <c r="K2107" s="62">
        <v>0</v>
      </c>
      <c r="L2107" t="str">
        <f>VLOOKUP(VALUE(LEFT(C2107,5)),Xref!A:B,2,0)</f>
        <v>GRA</v>
      </c>
      <c r="M2107" t="str">
        <f t="shared" si="131"/>
        <v>GRA-JUP</v>
      </c>
    </row>
    <row r="2108" spans="1:13" ht="14.25" customHeight="true">
      <c r="A2108" s="33" t="str">
        <f t="shared" si="128"/>
        <v>JUP - Intercompany</v>
      </c>
      <c r="B2108" s="33" t="str">
        <f t="shared" si="129"/>
        <v>JUP</v>
      </c>
      <c r="C2108" s="33" t="str">
        <f t="shared" si="130"/>
        <v>11344-0000</v>
      </c>
      <c r="D2108" t="s">
        <v>21391</v>
      </c>
      <c r="E2108" t="s">
        <v>14141</v>
      </c>
      <c r="F2108" t="s">
        <v>14039</v>
      </c>
      <c r="G2108" t="s">
        <v>14672</v>
      </c>
      <c r="H2108" t="s">
        <v>13869</v>
      </c>
      <c r="I2108" t="s">
        <v>14690</v>
      </c>
      <c r="J2108" s="62">
        <v>0</v>
      </c>
      <c r="K2108" s="62">
        <v>0</v>
      </c>
      <c r="L2108" t="str">
        <f>VLOOKUP(VALUE(LEFT(C2108,5)),Xref!A:B,2,0)</f>
        <v>SOU</v>
      </c>
      <c r="M2108" t="str">
        <f t="shared" si="131"/>
        <v>JUP-SOU</v>
      </c>
    </row>
    <row r="2109" spans="1:13" ht="14.25" customHeight="true">
      <c r="A2109" s="33" t="str">
        <f t="shared" si="128"/>
        <v>JUP - Intercompany</v>
      </c>
      <c r="B2109" s="33" t="str">
        <f t="shared" si="129"/>
        <v>JUP</v>
      </c>
      <c r="C2109" s="33" t="str">
        <f t="shared" si="130"/>
        <v>11345-0000</v>
      </c>
      <c r="D2109" t="s">
        <v>21392</v>
      </c>
      <c r="E2109" t="s">
        <v>14143</v>
      </c>
      <c r="F2109" t="s">
        <v>14039</v>
      </c>
      <c r="G2109" t="s">
        <v>14672</v>
      </c>
      <c r="H2109" t="s">
        <v>13869</v>
      </c>
      <c r="I2109" t="s">
        <v>14690</v>
      </c>
      <c r="J2109" s="62">
        <v>0</v>
      </c>
      <c r="K2109" s="62">
        <v>0</v>
      </c>
      <c r="L2109" t="str">
        <f>VLOOKUP(VALUE(LEFT(C2109,5)),Xref!A:B,2,0)</f>
        <v>API</v>
      </c>
      <c r="M2109" t="str">
        <f t="shared" si="131"/>
        <v>API-JUP</v>
      </c>
    </row>
    <row r="2110" spans="1:13" ht="14.25" customHeight="true">
      <c r="A2110" s="33" t="str">
        <f t="shared" si="128"/>
        <v>JUP - Intercompany</v>
      </c>
      <c r="B2110" s="33" t="str">
        <f t="shared" si="129"/>
        <v>JUP</v>
      </c>
      <c r="C2110" s="33" t="str">
        <f t="shared" si="130"/>
        <v>11346-0000</v>
      </c>
      <c r="D2110" t="s">
        <v>21393</v>
      </c>
      <c r="E2110" t="s">
        <v>14145</v>
      </c>
      <c r="F2110" t="s">
        <v>14039</v>
      </c>
      <c r="G2110" t="s">
        <v>14672</v>
      </c>
      <c r="H2110" t="s">
        <v>13869</v>
      </c>
      <c r="I2110" t="s">
        <v>14690</v>
      </c>
      <c r="J2110" s="62">
        <v>0</v>
      </c>
      <c r="K2110" s="62">
        <v>0</v>
      </c>
      <c r="L2110" t="str">
        <f>VLOOKUP(VALUE(LEFT(C2110,5)),Xref!A:B,2,0)</f>
        <v>DPH</v>
      </c>
      <c r="M2110" t="str">
        <f t="shared" si="131"/>
        <v>DPH-JUP</v>
      </c>
    </row>
    <row r="2111" spans="1:13" ht="14.25" customHeight="true">
      <c r="A2111" s="33" t="str">
        <f t="shared" si="128"/>
        <v>JUP - Intercompany</v>
      </c>
      <c r="B2111" s="33" t="str">
        <f t="shared" si="129"/>
        <v>JUP</v>
      </c>
      <c r="C2111" s="33" t="str">
        <f t="shared" si="130"/>
        <v>11347-0000</v>
      </c>
      <c r="D2111" t="s">
        <v>21394</v>
      </c>
      <c r="E2111" t="s">
        <v>14147</v>
      </c>
      <c r="F2111" t="s">
        <v>14039</v>
      </c>
      <c r="G2111" t="s">
        <v>14672</v>
      </c>
      <c r="H2111" t="s">
        <v>13869</v>
      </c>
      <c r="I2111" t="s">
        <v>14690</v>
      </c>
      <c r="J2111" s="62">
        <v>0</v>
      </c>
      <c r="K2111" s="62">
        <v>0</v>
      </c>
      <c r="L2111" t="str">
        <f>VLOOKUP(VALUE(LEFT(C2111,5)),Xref!A:B,2,0)</f>
        <v>ZPI</v>
      </c>
      <c r="M2111" t="str">
        <f t="shared" si="131"/>
        <v>JUP-ZPI</v>
      </c>
    </row>
    <row r="2112" spans="1:13" ht="14.25" customHeight="true">
      <c r="A2112" s="33" t="str">
        <f t="shared" si="128"/>
        <v>JUP - Intercompany</v>
      </c>
      <c r="B2112" s="33" t="str">
        <f t="shared" si="129"/>
        <v>JUP</v>
      </c>
      <c r="C2112" s="33" t="str">
        <f t="shared" si="130"/>
        <v>11348-0000</v>
      </c>
      <c r="D2112" t="s">
        <v>21395</v>
      </c>
      <c r="E2112" t="s">
        <v>14149</v>
      </c>
      <c r="F2112" t="s">
        <v>14039</v>
      </c>
      <c r="G2112" t="s">
        <v>14672</v>
      </c>
      <c r="H2112" t="s">
        <v>13869</v>
      </c>
      <c r="I2112" t="s">
        <v>14690</v>
      </c>
      <c r="J2112" s="62">
        <v>0</v>
      </c>
      <c r="K2112" s="62">
        <v>0</v>
      </c>
      <c r="L2112" t="str">
        <f>VLOOKUP(VALUE(LEFT(C2112,5)),Xref!A:B,2,0)</f>
        <v>EAM</v>
      </c>
      <c r="M2112" t="str">
        <f t="shared" si="131"/>
        <v>EAM-JUP</v>
      </c>
    </row>
    <row r="2113" spans="1:13" ht="14.25" customHeight="true">
      <c r="A2113" s="33" t="str">
        <f t="shared" si="128"/>
        <v>JUP - Intercompany</v>
      </c>
      <c r="B2113" s="33" t="str">
        <f t="shared" si="129"/>
        <v>JUP</v>
      </c>
      <c r="C2113" s="33" t="str">
        <f t="shared" si="130"/>
        <v>11349-0000</v>
      </c>
      <c r="D2113" t="s">
        <v>21396</v>
      </c>
      <c r="E2113" t="s">
        <v>14151</v>
      </c>
      <c r="F2113" t="s">
        <v>14039</v>
      </c>
      <c r="G2113" t="s">
        <v>14672</v>
      </c>
      <c r="H2113" t="s">
        <v>13869</v>
      </c>
      <c r="I2113" t="s">
        <v>14690</v>
      </c>
      <c r="J2113" s="62">
        <v>0</v>
      </c>
      <c r="K2113" s="62">
        <v>0</v>
      </c>
      <c r="L2113" t="str">
        <f>VLOOKUP(VALUE(LEFT(C2113,5)),Xref!A:B,2,0)</f>
        <v>SEA</v>
      </c>
      <c r="M2113" t="str">
        <f t="shared" si="131"/>
        <v>JUP-SEA</v>
      </c>
    </row>
    <row r="2114" spans="1:13" ht="14.25" customHeight="true">
      <c r="A2114" s="33" t="str">
        <f t="shared" ref="A2114:A2177" si="132">B2114&amp;" - "&amp;TRIM(H2114)</f>
        <v>JUP - Intercompany</v>
      </c>
      <c r="B2114" s="33" t="str">
        <f t="shared" ref="B2114:B2177" si="133">LEFT(D2114,3)</f>
        <v>JUP</v>
      </c>
      <c r="C2114" s="33" t="str">
        <f t="shared" ref="C2114:C2177" si="134">RIGHT(D2114,10)</f>
        <v>11350-0000</v>
      </c>
      <c r="D2114" t="s">
        <v>21397</v>
      </c>
      <c r="E2114" t="s">
        <v>14153</v>
      </c>
      <c r="F2114" t="s">
        <v>14039</v>
      </c>
      <c r="G2114" t="s">
        <v>14672</v>
      </c>
      <c r="H2114" t="s">
        <v>13869</v>
      </c>
      <c r="I2114" t="s">
        <v>14690</v>
      </c>
      <c r="J2114" s="62">
        <v>0</v>
      </c>
      <c r="K2114" s="62">
        <v>-10.25</v>
      </c>
      <c r="L2114" t="str">
        <f>VLOOKUP(VALUE(LEFT(C2114,5)),Xref!A:B,2,0)</f>
        <v>EAL</v>
      </c>
      <c r="M2114" t="str">
        <f t="shared" ref="M2114:M2177" si="135">IF(B2114&lt;L2114,B2114&amp;"-"&amp;L2114,L2114&amp;"-"&amp;B2114)</f>
        <v>EAL-JUP</v>
      </c>
    </row>
    <row r="2115" spans="1:13" ht="14.25" customHeight="true">
      <c r="A2115" s="33" t="str">
        <f t="shared" si="132"/>
        <v>JUP - Intercompany</v>
      </c>
      <c r="B2115" s="33" t="str">
        <f t="shared" si="133"/>
        <v>JUP</v>
      </c>
      <c r="C2115" s="33" t="str">
        <f t="shared" si="134"/>
        <v>11351-0000</v>
      </c>
      <c r="D2115" t="s">
        <v>21398</v>
      </c>
      <c r="E2115" t="s">
        <v>14155</v>
      </c>
      <c r="F2115" t="s">
        <v>14039</v>
      </c>
      <c r="G2115" t="s">
        <v>14672</v>
      </c>
      <c r="H2115" t="s">
        <v>13869</v>
      </c>
      <c r="I2115" t="s">
        <v>14690</v>
      </c>
      <c r="J2115" s="62">
        <v>0</v>
      </c>
      <c r="K2115" s="62">
        <v>0</v>
      </c>
      <c r="L2115" t="str">
        <f>VLOOKUP(VALUE(LEFT(C2115,5)),Xref!A:B,2,0)</f>
        <v>WEP</v>
      </c>
      <c r="M2115" t="str">
        <f t="shared" si="135"/>
        <v>JUP-WEP</v>
      </c>
    </row>
    <row r="2116" spans="1:13" ht="14.25" customHeight="true">
      <c r="A2116" s="33" t="str">
        <f t="shared" si="132"/>
        <v>JUP - Intercompany</v>
      </c>
      <c r="B2116" s="33" t="str">
        <f t="shared" si="133"/>
        <v>JUP</v>
      </c>
      <c r="C2116" s="33" t="str">
        <f t="shared" si="134"/>
        <v>11352-0000</v>
      </c>
      <c r="D2116" t="s">
        <v>21399</v>
      </c>
      <c r="E2116" t="s">
        <v>13536</v>
      </c>
      <c r="F2116" t="s">
        <v>14039</v>
      </c>
      <c r="G2116" t="s">
        <v>14672</v>
      </c>
      <c r="H2116" t="s">
        <v>13869</v>
      </c>
      <c r="I2116" t="s">
        <v>14690</v>
      </c>
      <c r="J2116" s="62">
        <v>0</v>
      </c>
      <c r="K2116" s="62">
        <v>0</v>
      </c>
      <c r="L2116" t="str">
        <f>VLOOKUP(VALUE(LEFT(C2116,5)),Xref!A:B,2,0)</f>
        <v>KLP</v>
      </c>
      <c r="M2116" t="str">
        <f t="shared" si="135"/>
        <v>JUP-KLP</v>
      </c>
    </row>
    <row r="2117" spans="1:13" ht="14.25" customHeight="true">
      <c r="A2117" s="33" t="str">
        <f t="shared" si="132"/>
        <v>JUP - Intercompany</v>
      </c>
      <c r="B2117" s="33" t="str">
        <f t="shared" si="133"/>
        <v>JUP</v>
      </c>
      <c r="C2117" s="33" t="str">
        <f t="shared" si="134"/>
        <v>11353-0000</v>
      </c>
      <c r="D2117" t="s">
        <v>21400</v>
      </c>
      <c r="E2117" t="s">
        <v>13537</v>
      </c>
      <c r="F2117" t="s">
        <v>14039</v>
      </c>
      <c r="G2117" t="s">
        <v>14672</v>
      </c>
      <c r="H2117" t="s">
        <v>13869</v>
      </c>
      <c r="I2117" t="s">
        <v>14690</v>
      </c>
      <c r="J2117" s="62">
        <v>0</v>
      </c>
      <c r="K2117" s="62">
        <v>0</v>
      </c>
      <c r="L2117" t="str">
        <f>VLOOKUP(VALUE(LEFT(C2117,5)),Xref!A:B,2,0)</f>
        <v>AKC</v>
      </c>
      <c r="M2117" t="str">
        <f t="shared" si="135"/>
        <v>AKC-JUP</v>
      </c>
    </row>
    <row r="2118" spans="1:13" ht="14.25" customHeight="true">
      <c r="A2118" s="33" t="str">
        <f t="shared" si="132"/>
        <v>JUP - Intercompany</v>
      </c>
      <c r="B2118" s="33" t="str">
        <f t="shared" si="133"/>
        <v>JUP</v>
      </c>
      <c r="C2118" s="33" t="str">
        <f t="shared" si="134"/>
        <v>11354-0000</v>
      </c>
      <c r="D2118" t="s">
        <v>21401</v>
      </c>
      <c r="E2118" t="s">
        <v>13538</v>
      </c>
      <c r="F2118" t="s">
        <v>14039</v>
      </c>
      <c r="G2118" t="s">
        <v>14672</v>
      </c>
      <c r="H2118" t="s">
        <v>13869</v>
      </c>
      <c r="I2118" t="s">
        <v>14690</v>
      </c>
      <c r="J2118" s="62">
        <v>0</v>
      </c>
      <c r="K2118" s="62">
        <v>0</v>
      </c>
      <c r="L2118" t="str">
        <f>VLOOKUP(VALUE(LEFT(C2118,5)),Xref!A:B,2,0)</f>
        <v>AKA</v>
      </c>
      <c r="M2118" t="str">
        <f t="shared" si="135"/>
        <v>AKA-JUP</v>
      </c>
    </row>
    <row r="2119" spans="1:13" ht="14.25" customHeight="true">
      <c r="A2119" s="33" t="str">
        <f t="shared" si="132"/>
        <v>JUP - Intercompany</v>
      </c>
      <c r="B2119" s="33" t="str">
        <f t="shared" si="133"/>
        <v>JUP</v>
      </c>
      <c r="C2119" s="33" t="str">
        <f t="shared" si="134"/>
        <v>11355-0000</v>
      </c>
      <c r="D2119" t="s">
        <v>21402</v>
      </c>
      <c r="E2119" t="s">
        <v>13539</v>
      </c>
      <c r="F2119" t="s">
        <v>14039</v>
      </c>
      <c r="G2119" t="s">
        <v>14672</v>
      </c>
      <c r="H2119" t="s">
        <v>13869</v>
      </c>
      <c r="I2119" t="s">
        <v>14690</v>
      </c>
      <c r="J2119" s="62">
        <v>0</v>
      </c>
      <c r="K2119" s="62">
        <v>0</v>
      </c>
      <c r="L2119" t="str">
        <f>VLOOKUP(VALUE(LEFT(C2119,5)),Xref!A:B,2,0)</f>
        <v>SPA</v>
      </c>
      <c r="M2119" t="str">
        <f t="shared" si="135"/>
        <v>JUP-SPA</v>
      </c>
    </row>
    <row r="2120" spans="1:13" ht="14.25" customHeight="true">
      <c r="A2120" s="33" t="str">
        <f t="shared" si="132"/>
        <v>JUP - Intercompany</v>
      </c>
      <c r="B2120" s="33" t="str">
        <f t="shared" si="133"/>
        <v>JUP</v>
      </c>
      <c r="C2120" s="33" t="str">
        <f t="shared" si="134"/>
        <v>11356-0000</v>
      </c>
      <c r="D2120" t="s">
        <v>21403</v>
      </c>
      <c r="E2120" t="s">
        <v>13540</v>
      </c>
      <c r="F2120" t="s">
        <v>14039</v>
      </c>
      <c r="G2120" t="s">
        <v>14672</v>
      </c>
      <c r="H2120" t="s">
        <v>13869</v>
      </c>
      <c r="I2120" t="s">
        <v>14690</v>
      </c>
      <c r="J2120" s="62">
        <v>0</v>
      </c>
      <c r="K2120" s="62">
        <v>0</v>
      </c>
      <c r="L2120" t="str">
        <f>VLOOKUP(VALUE(LEFT(C2120,5)),Xref!A:B,2,0)</f>
        <v>DPM</v>
      </c>
      <c r="M2120" t="str">
        <f t="shared" si="135"/>
        <v>DPM-JUP</v>
      </c>
    </row>
    <row r="2121" spans="1:13" ht="14.25" customHeight="true">
      <c r="A2121" s="33" t="str">
        <f t="shared" si="132"/>
        <v>JUP - Intercompany</v>
      </c>
      <c r="B2121" s="33" t="str">
        <f t="shared" si="133"/>
        <v>JUP</v>
      </c>
      <c r="C2121" s="33" t="str">
        <f t="shared" si="134"/>
        <v>11357-0000</v>
      </c>
      <c r="D2121" t="s">
        <v>21404</v>
      </c>
      <c r="E2121" t="s">
        <v>13541</v>
      </c>
      <c r="F2121" t="s">
        <v>14039</v>
      </c>
      <c r="G2121" t="s">
        <v>14672</v>
      </c>
      <c r="H2121" t="s">
        <v>13869</v>
      </c>
      <c r="I2121" t="s">
        <v>14690</v>
      </c>
      <c r="J2121" s="62">
        <v>0</v>
      </c>
      <c r="K2121" s="62">
        <v>0</v>
      </c>
      <c r="L2121" t="str">
        <f>VLOOKUP(VALUE(LEFT(C2121,5)),Xref!A:B,2,0)</f>
        <v>HDM</v>
      </c>
      <c r="M2121" t="str">
        <f t="shared" si="135"/>
        <v>HDM-JUP</v>
      </c>
    </row>
    <row r="2122" spans="1:13" ht="14.25" customHeight="true">
      <c r="A2122" s="33" t="str">
        <f t="shared" si="132"/>
        <v>JUP - Intercompany</v>
      </c>
      <c r="B2122" s="33" t="str">
        <f t="shared" si="133"/>
        <v>JUP</v>
      </c>
      <c r="C2122" s="33" t="str">
        <f t="shared" si="134"/>
        <v>11358-0000</v>
      </c>
      <c r="D2122" t="s">
        <v>21405</v>
      </c>
      <c r="E2122" t="s">
        <v>13542</v>
      </c>
      <c r="F2122" t="s">
        <v>14039</v>
      </c>
      <c r="G2122" t="s">
        <v>14672</v>
      </c>
      <c r="H2122" t="s">
        <v>13869</v>
      </c>
      <c r="I2122" t="s">
        <v>14690</v>
      </c>
      <c r="J2122" s="62">
        <v>0</v>
      </c>
      <c r="K2122" s="62">
        <v>0</v>
      </c>
      <c r="L2122" t="str">
        <f>VLOOKUP(VALUE(LEFT(C2122,5)),Xref!A:B,2,0)</f>
        <v>GRA</v>
      </c>
      <c r="M2122" t="str">
        <f t="shared" si="135"/>
        <v>GRA-JUP</v>
      </c>
    </row>
    <row r="2123" spans="1:13" ht="14.25" customHeight="true">
      <c r="A2123" s="33" t="str">
        <f t="shared" si="132"/>
        <v>JUP - Intercompany</v>
      </c>
      <c r="B2123" s="33" t="str">
        <f t="shared" si="133"/>
        <v>JUP</v>
      </c>
      <c r="C2123" s="33" t="str">
        <f t="shared" si="134"/>
        <v>11359-0000</v>
      </c>
      <c r="D2123" t="s">
        <v>21406</v>
      </c>
      <c r="E2123" t="s">
        <v>13543</v>
      </c>
      <c r="F2123" t="s">
        <v>14039</v>
      </c>
      <c r="G2123" t="s">
        <v>14672</v>
      </c>
      <c r="H2123" t="s">
        <v>13869</v>
      </c>
      <c r="I2123" t="s">
        <v>14690</v>
      </c>
      <c r="J2123" s="62">
        <v>0</v>
      </c>
      <c r="K2123" s="62">
        <v>0</v>
      </c>
      <c r="L2123" t="str">
        <f>VLOOKUP(VALUE(LEFT(C2123,5)),Xref!A:B,2,0)</f>
        <v>TPI</v>
      </c>
      <c r="M2123" t="str">
        <f t="shared" si="135"/>
        <v>JUP-TPI</v>
      </c>
    </row>
    <row r="2124" spans="1:13" ht="14.25" customHeight="true">
      <c r="A2124" s="33" t="str">
        <f t="shared" si="132"/>
        <v>JUP - Intercompany</v>
      </c>
      <c r="B2124" s="33" t="str">
        <f t="shared" si="133"/>
        <v>JUP</v>
      </c>
      <c r="C2124" s="33" t="str">
        <f t="shared" si="134"/>
        <v>11361-0000</v>
      </c>
      <c r="D2124" t="s">
        <v>21407</v>
      </c>
      <c r="E2124" t="s">
        <v>14165</v>
      </c>
      <c r="F2124" t="s">
        <v>14039</v>
      </c>
      <c r="G2124" t="s">
        <v>14672</v>
      </c>
      <c r="H2124" t="s">
        <v>13869</v>
      </c>
      <c r="I2124" t="s">
        <v>14690</v>
      </c>
      <c r="J2124" s="62">
        <v>0</v>
      </c>
      <c r="K2124" s="62">
        <v>0</v>
      </c>
      <c r="L2124" t="str">
        <f>VLOOKUP(VALUE(LEFT(C2124,5)),Xref!A:B,2,0)</f>
        <v>GSM</v>
      </c>
      <c r="M2124" t="str">
        <f t="shared" si="135"/>
        <v>GSM-JUP</v>
      </c>
    </row>
    <row r="2125" spans="1:13" ht="14.25" customHeight="true">
      <c r="A2125" s="33" t="str">
        <f t="shared" si="132"/>
        <v>JUP - Intercompany</v>
      </c>
      <c r="B2125" s="33" t="str">
        <f t="shared" si="133"/>
        <v>JUP</v>
      </c>
      <c r="C2125" s="33" t="str">
        <f t="shared" si="134"/>
        <v>11363-0000</v>
      </c>
      <c r="D2125" t="s">
        <v>21408</v>
      </c>
      <c r="E2125" t="s">
        <v>13544</v>
      </c>
      <c r="F2125" t="s">
        <v>14039</v>
      </c>
      <c r="G2125" t="s">
        <v>14672</v>
      </c>
      <c r="H2125" t="s">
        <v>13869</v>
      </c>
      <c r="I2125" t="s">
        <v>14690</v>
      </c>
      <c r="J2125" s="62">
        <v>0</v>
      </c>
      <c r="K2125" s="62">
        <v>0</v>
      </c>
      <c r="L2125" t="str">
        <f>VLOOKUP(VALUE(LEFT(C2125,5)),Xref!A:B,2,0)</f>
        <v>SOF</v>
      </c>
      <c r="M2125" t="str">
        <f t="shared" si="135"/>
        <v>JUP-SOF</v>
      </c>
    </row>
    <row r="2126" spans="1:13" ht="14.25" customHeight="true">
      <c r="A2126" s="33" t="str">
        <f t="shared" si="132"/>
        <v>JUP - Intercompany</v>
      </c>
      <c r="B2126" s="33" t="str">
        <f t="shared" si="133"/>
        <v>JUP</v>
      </c>
      <c r="C2126" s="33" t="str">
        <f t="shared" si="134"/>
        <v>11364-0000</v>
      </c>
      <c r="D2126" t="s">
        <v>21409</v>
      </c>
      <c r="E2126" t="s">
        <v>14168</v>
      </c>
      <c r="F2126" t="s">
        <v>14039</v>
      </c>
      <c r="G2126" t="s">
        <v>14672</v>
      </c>
      <c r="H2126" t="s">
        <v>13869</v>
      </c>
      <c r="I2126" t="s">
        <v>14690</v>
      </c>
      <c r="J2126" s="62">
        <v>0</v>
      </c>
      <c r="K2126" s="62">
        <v>0</v>
      </c>
      <c r="L2126" t="e">
        <f>VLOOKUP(VALUE(LEFT(C2126,5)),Xref!A:B,2,0)</f>
        <v>#N/A</v>
      </c>
      <c r="M2126" t="e">
        <f t="shared" si="135"/>
        <v>#N/A</v>
      </c>
    </row>
    <row r="2127" spans="1:13" ht="14.25" customHeight="true">
      <c r="A2127" s="33" t="str">
        <f t="shared" si="132"/>
        <v>JUP - Intercompany</v>
      </c>
      <c r="B2127" s="33" t="str">
        <f t="shared" si="133"/>
        <v>JUP</v>
      </c>
      <c r="C2127" s="33" t="str">
        <f t="shared" si="134"/>
        <v>11365-0000</v>
      </c>
      <c r="D2127" t="s">
        <v>21410</v>
      </c>
      <c r="E2127" t="s">
        <v>14170</v>
      </c>
      <c r="F2127" t="s">
        <v>14039</v>
      </c>
      <c r="G2127" t="s">
        <v>14672</v>
      </c>
      <c r="H2127" t="s">
        <v>13869</v>
      </c>
      <c r="I2127" t="s">
        <v>14690</v>
      </c>
      <c r="J2127" s="62">
        <v>0</v>
      </c>
      <c r="K2127" s="62">
        <v>0</v>
      </c>
      <c r="L2127" t="e">
        <f>VLOOKUP(VALUE(LEFT(C2127,5)),Xref!A:B,2,0)</f>
        <v>#N/A</v>
      </c>
      <c r="M2127" t="e">
        <f t="shared" si="135"/>
        <v>#N/A</v>
      </c>
    </row>
    <row r="2128" spans="1:13" ht="14.25" customHeight="true">
      <c r="A2128" s="33" t="str">
        <f t="shared" si="132"/>
        <v>JUP - Intercompany</v>
      </c>
      <c r="B2128" s="33" t="str">
        <f t="shared" si="133"/>
        <v>JUP</v>
      </c>
      <c r="C2128" s="33" t="str">
        <f t="shared" si="134"/>
        <v>11366-0000</v>
      </c>
      <c r="D2128" t="s">
        <v>21411</v>
      </c>
      <c r="E2128" t="s">
        <v>14172</v>
      </c>
      <c r="G2128" t="s">
        <v>14672</v>
      </c>
      <c r="H2128" t="s">
        <v>13869</v>
      </c>
      <c r="I2128" t="s">
        <v>14690</v>
      </c>
      <c r="J2128" s="62">
        <v>0</v>
      </c>
      <c r="K2128" s="62">
        <v>0</v>
      </c>
      <c r="L2128" t="e">
        <f>VLOOKUP(VALUE(LEFT(C2128,5)),Xref!A:B,2,0)</f>
        <v>#N/A</v>
      </c>
      <c r="M2128" t="e">
        <f t="shared" si="135"/>
        <v>#N/A</v>
      </c>
    </row>
    <row r="2129" spans="1:13" ht="14.25" customHeight="true">
      <c r="A2129" s="33" t="str">
        <f t="shared" si="132"/>
        <v>JUP - Intercompany</v>
      </c>
      <c r="B2129" s="33" t="str">
        <f t="shared" si="133"/>
        <v>JUP</v>
      </c>
      <c r="C2129" s="33" t="str">
        <f t="shared" si="134"/>
        <v>11402-0000</v>
      </c>
      <c r="D2129" t="s">
        <v>21412</v>
      </c>
      <c r="E2129" t="s">
        <v>14174</v>
      </c>
      <c r="G2129" t="s">
        <v>14672</v>
      </c>
      <c r="H2129" t="s">
        <v>13869</v>
      </c>
      <c r="I2129" t="s">
        <v>14690</v>
      </c>
      <c r="J2129" s="62">
        <v>0</v>
      </c>
      <c r="K2129" s="62">
        <v>0</v>
      </c>
      <c r="L2129" t="str">
        <f>VLOOKUP(VALUE(LEFT(C2129,5)),Xref!A:B,2,0)</f>
        <v>DPI</v>
      </c>
      <c r="M2129" t="str">
        <f t="shared" si="135"/>
        <v>DPI-JUP</v>
      </c>
    </row>
    <row r="2130" spans="1:13" ht="14.25" customHeight="true">
      <c r="A2130" s="33" t="str">
        <f t="shared" si="132"/>
        <v>JUP - Intercompany</v>
      </c>
      <c r="B2130" s="33" t="str">
        <f t="shared" si="133"/>
        <v>JUP</v>
      </c>
      <c r="C2130" s="33" t="str">
        <f t="shared" si="134"/>
        <v>11403-0000</v>
      </c>
      <c r="D2130" t="s">
        <v>21413</v>
      </c>
      <c r="E2130" t="s">
        <v>14176</v>
      </c>
      <c r="G2130" t="s">
        <v>14672</v>
      </c>
      <c r="H2130" t="s">
        <v>13869</v>
      </c>
      <c r="I2130" t="s">
        <v>14690</v>
      </c>
      <c r="J2130" s="62">
        <v>0</v>
      </c>
      <c r="K2130" s="62">
        <v>0</v>
      </c>
      <c r="L2130" t="str">
        <f>VLOOKUP(VALUE(LEFT(C2130,5)),Xref!A:B,2,0)</f>
        <v>SEA</v>
      </c>
      <c r="M2130" t="str">
        <f t="shared" si="135"/>
        <v>JUP-SEA</v>
      </c>
    </row>
    <row r="2131" spans="1:13" ht="14.25" customHeight="true">
      <c r="A2131" s="33" t="str">
        <f t="shared" si="132"/>
        <v>JUP - Intercompany</v>
      </c>
      <c r="B2131" s="33" t="str">
        <f t="shared" si="133"/>
        <v>JUP</v>
      </c>
      <c r="C2131" s="33" t="str">
        <f t="shared" si="134"/>
        <v>12400-0000</v>
      </c>
      <c r="D2131" t="s">
        <v>21416</v>
      </c>
      <c r="E2131" t="s">
        <v>14185</v>
      </c>
      <c r="F2131" t="s">
        <v>14039</v>
      </c>
      <c r="G2131" t="s">
        <v>14672</v>
      </c>
      <c r="H2131" t="s">
        <v>13869</v>
      </c>
      <c r="I2131" t="s">
        <v>14690</v>
      </c>
      <c r="J2131" s="62">
        <v>0</v>
      </c>
      <c r="K2131" s="62">
        <v>0</v>
      </c>
      <c r="L2131" t="str">
        <f>VLOOKUP(VALUE(LEFT(C2131,5)),Xref!A:B,2,0)</f>
        <v>aka</v>
      </c>
      <c r="M2131" t="str">
        <f t="shared" si="135"/>
        <v>aka-JUP</v>
      </c>
    </row>
    <row r="2132" spans="1:13" ht="14.25" customHeight="true">
      <c r="A2132" s="33" t="str">
        <f t="shared" si="132"/>
        <v>JUP - Intercompany</v>
      </c>
      <c r="B2132" s="33" t="str">
        <f t="shared" si="133"/>
        <v>JUP</v>
      </c>
      <c r="C2132" s="33" t="str">
        <f t="shared" si="134"/>
        <v>12401-0000</v>
      </c>
      <c r="D2132" t="s">
        <v>21417</v>
      </c>
      <c r="E2132" t="s">
        <v>14187</v>
      </c>
      <c r="F2132" t="s">
        <v>14039</v>
      </c>
      <c r="G2132" t="s">
        <v>14672</v>
      </c>
      <c r="H2132" t="s">
        <v>13869</v>
      </c>
      <c r="I2132" t="s">
        <v>14690</v>
      </c>
      <c r="J2132" s="62">
        <v>0</v>
      </c>
      <c r="K2132" s="62">
        <v>0</v>
      </c>
      <c r="L2132" t="str">
        <f>VLOOKUP(VALUE(LEFT(C2132,5)),Xref!A:B,2,0)</f>
        <v>aka</v>
      </c>
      <c r="M2132" t="str">
        <f t="shared" si="135"/>
        <v>aka-JUP</v>
      </c>
    </row>
    <row r="2133" spans="1:13" ht="14.25" customHeight="true">
      <c r="A2133" s="33" t="str">
        <f t="shared" si="132"/>
        <v>JUP - Intercompany</v>
      </c>
      <c r="B2133" s="33" t="str">
        <f t="shared" si="133"/>
        <v>JUP</v>
      </c>
      <c r="C2133" s="33" t="str">
        <f t="shared" si="134"/>
        <v>12402-0000</v>
      </c>
      <c r="D2133" t="s">
        <v>21418</v>
      </c>
      <c r="E2133" t="s">
        <v>14189</v>
      </c>
      <c r="F2133" t="s">
        <v>14039</v>
      </c>
      <c r="G2133" t="s">
        <v>14672</v>
      </c>
      <c r="H2133" t="s">
        <v>13869</v>
      </c>
      <c r="I2133" t="s">
        <v>14690</v>
      </c>
      <c r="J2133" s="62">
        <v>0</v>
      </c>
      <c r="K2133" s="62">
        <v>0</v>
      </c>
      <c r="L2133" t="str">
        <f>VLOOKUP(VALUE(LEFT(C2133,5)),Xref!A:B,2,0)</f>
        <v>aka</v>
      </c>
      <c r="M2133" t="str">
        <f t="shared" si="135"/>
        <v>aka-JUP</v>
      </c>
    </row>
    <row r="2134" spans="1:13" ht="14.25" customHeight="true">
      <c r="A2134" s="33" t="str">
        <f t="shared" si="132"/>
        <v>JUP - Intercompany</v>
      </c>
      <c r="B2134" s="33" t="str">
        <f t="shared" si="133"/>
        <v>JUP</v>
      </c>
      <c r="C2134" s="33" t="str">
        <f t="shared" si="134"/>
        <v>12403-0000</v>
      </c>
      <c r="D2134" t="s">
        <v>21419</v>
      </c>
      <c r="E2134" t="s">
        <v>5226</v>
      </c>
      <c r="F2134" t="s">
        <v>14039</v>
      </c>
      <c r="G2134" t="s">
        <v>14672</v>
      </c>
      <c r="H2134" t="s">
        <v>13869</v>
      </c>
      <c r="I2134" t="s">
        <v>14690</v>
      </c>
      <c r="J2134" s="62">
        <v>0</v>
      </c>
      <c r="K2134" s="62">
        <v>0</v>
      </c>
      <c r="L2134" t="str">
        <f>VLOOKUP(VALUE(LEFT(C2134,5)),Xref!A:B,2,0)</f>
        <v>aka</v>
      </c>
      <c r="M2134" t="str">
        <f t="shared" si="135"/>
        <v>aka-JUP</v>
      </c>
    </row>
    <row r="2135" spans="1:13" ht="14.25" customHeight="true">
      <c r="A2135" s="33" t="str">
        <f t="shared" si="132"/>
        <v>JUP - Intercompany</v>
      </c>
      <c r="B2135" s="33" t="str">
        <f t="shared" si="133"/>
        <v>JUP</v>
      </c>
      <c r="C2135" s="33" t="str">
        <f t="shared" si="134"/>
        <v>12501-0000</v>
      </c>
      <c r="D2135" t="s">
        <v>21420</v>
      </c>
      <c r="E2135" t="s">
        <v>14192</v>
      </c>
      <c r="F2135" t="s">
        <v>14039</v>
      </c>
      <c r="G2135" t="s">
        <v>14672</v>
      </c>
      <c r="H2135" t="s">
        <v>13869</v>
      </c>
      <c r="I2135" t="s">
        <v>14690</v>
      </c>
      <c r="J2135" s="62">
        <v>0</v>
      </c>
      <c r="K2135" s="62">
        <v>0</v>
      </c>
      <c r="L2135" t="str">
        <f>VLOOKUP(VALUE(LEFT(C2135,5)),Xref!A:B,2,0)</f>
        <v>aka</v>
      </c>
      <c r="M2135" t="str">
        <f t="shared" si="135"/>
        <v>aka-JUP</v>
      </c>
    </row>
    <row r="2136" spans="1:13" ht="14.25" customHeight="true">
      <c r="A2136" s="33" t="str">
        <f t="shared" si="132"/>
        <v>JUP - InterCo Notes</v>
      </c>
      <c r="B2136" s="33" t="str">
        <f t="shared" si="133"/>
        <v>JUP</v>
      </c>
      <c r="C2136" s="33" t="str">
        <f t="shared" si="134"/>
        <v>25600-0000</v>
      </c>
      <c r="D2136" t="s">
        <v>21466</v>
      </c>
      <c r="E2136" t="s">
        <v>314</v>
      </c>
      <c r="F2136" t="s">
        <v>14039</v>
      </c>
      <c r="G2136" t="s">
        <v>14672</v>
      </c>
      <c r="H2136" t="s">
        <v>13889</v>
      </c>
      <c r="I2136" t="s">
        <v>14690</v>
      </c>
      <c r="J2136" s="62">
        <v>0</v>
      </c>
      <c r="K2136" s="62">
        <v>-1828872.33</v>
      </c>
      <c r="L2136" t="str">
        <f>VLOOKUP(VALUE(LEFT(C2136,5)),Xref!A:B,2,0)</f>
        <v>D7</v>
      </c>
      <c r="M2136" t="str">
        <f t="shared" si="135"/>
        <v>D7-JUP</v>
      </c>
    </row>
    <row r="2137" spans="1:13" ht="14.25" customHeight="true">
      <c r="A2137" s="33" t="str">
        <f t="shared" si="132"/>
        <v>JUP - InterCo Notes</v>
      </c>
      <c r="B2137" s="33" t="str">
        <f t="shared" si="133"/>
        <v>JUP</v>
      </c>
      <c r="C2137" s="33" t="str">
        <f t="shared" si="134"/>
        <v>25602-0000</v>
      </c>
      <c r="D2137" t="s">
        <v>21468</v>
      </c>
      <c r="E2137" t="s">
        <v>13426</v>
      </c>
      <c r="F2137" t="s">
        <v>14039</v>
      </c>
      <c r="G2137" t="s">
        <v>14672</v>
      </c>
      <c r="H2137" t="s">
        <v>13889</v>
      </c>
      <c r="I2137" t="s">
        <v>14690</v>
      </c>
      <c r="J2137" s="62">
        <v>0</v>
      </c>
      <c r="K2137" s="62">
        <v>-1678572.19</v>
      </c>
      <c r="L2137" t="str">
        <f>VLOOKUP(VALUE(LEFT(C2137,5)),Xref!A:B,2,0)</f>
        <v>DFLP</v>
      </c>
      <c r="M2137" t="str">
        <f t="shared" si="135"/>
        <v>DFLP-JUP</v>
      </c>
    </row>
    <row r="2138" spans="1:13" ht="14.25" customHeight="true">
      <c r="A2138" s="33" t="str">
        <f t="shared" si="132"/>
        <v>JUP - InterCo Notes</v>
      </c>
      <c r="B2138" s="33" t="str">
        <f t="shared" si="133"/>
        <v>JUP</v>
      </c>
      <c r="C2138" s="33" t="str">
        <f t="shared" si="134"/>
        <v>25603-0000</v>
      </c>
      <c r="D2138" t="s">
        <v>21469</v>
      </c>
      <c r="E2138" t="s">
        <v>14311</v>
      </c>
      <c r="F2138" t="s">
        <v>14039</v>
      </c>
      <c r="G2138" t="s">
        <v>14832</v>
      </c>
      <c r="H2138" t="s">
        <v>13889</v>
      </c>
      <c r="I2138" t="s">
        <v>14690</v>
      </c>
      <c r="J2138" s="62">
        <v>0</v>
      </c>
      <c r="K2138" s="62">
        <v>0</v>
      </c>
      <c r="L2138" t="str">
        <f>VLOOKUP(VALUE(LEFT(C2138,5)),Xref!A:B,2,0)</f>
        <v>aka</v>
      </c>
      <c r="M2138" t="str">
        <f t="shared" si="135"/>
        <v>aka-JUP</v>
      </c>
    </row>
    <row r="2139" spans="1:13" ht="14.25" customHeight="true">
      <c r="A2139" s="33" t="str">
        <f t="shared" si="132"/>
        <v>JUP - Intercompany</v>
      </c>
      <c r="B2139" s="33" t="str">
        <f t="shared" si="133"/>
        <v>JUP</v>
      </c>
      <c r="C2139" s="33" t="str">
        <f t="shared" si="134"/>
        <v>25604-0000</v>
      </c>
      <c r="D2139" t="s">
        <v>21470</v>
      </c>
      <c r="E2139" t="s">
        <v>13490</v>
      </c>
      <c r="F2139" t="s">
        <v>14039</v>
      </c>
      <c r="G2139" t="s">
        <v>14672</v>
      </c>
      <c r="H2139" t="s">
        <v>13869</v>
      </c>
      <c r="I2139" t="s">
        <v>14690</v>
      </c>
      <c r="J2139" s="62">
        <v>0</v>
      </c>
      <c r="K2139" s="62">
        <v>0</v>
      </c>
      <c r="L2139">
        <f>VLOOKUP(VALUE(LEFT(C2139,5)),Xref!A:B,2,0)</f>
        <v>0</v>
      </c>
      <c r="M2139" t="str">
        <f t="shared" si="135"/>
        <v>0-JUP</v>
      </c>
    </row>
    <row r="2140" spans="1:13" ht="14.25" customHeight="true">
      <c r="A2140" s="33" t="str">
        <f t="shared" si="132"/>
        <v>KLP - Intercompany</v>
      </c>
      <c r="B2140" s="33" t="str">
        <f t="shared" si="133"/>
        <v>KLP</v>
      </c>
      <c r="C2140" s="33" t="str">
        <f t="shared" si="134"/>
        <v>11200-0000</v>
      </c>
      <c r="D2140" t="s">
        <v>21641</v>
      </c>
      <c r="E2140" t="s">
        <v>14069</v>
      </c>
      <c r="F2140" t="s">
        <v>14039</v>
      </c>
      <c r="G2140" t="s">
        <v>14672</v>
      </c>
      <c r="H2140" t="s">
        <v>13869</v>
      </c>
      <c r="I2140" t="s">
        <v>14690</v>
      </c>
      <c r="J2140" s="62">
        <v>0</v>
      </c>
      <c r="K2140" s="62">
        <v>0</v>
      </c>
      <c r="L2140" t="str">
        <f>VLOOKUP(VALUE(LEFT(C2140,5)),Xref!A:B,2,0)</f>
        <v>SCL</v>
      </c>
      <c r="M2140" t="str">
        <f t="shared" si="135"/>
        <v>KLP-SCL</v>
      </c>
    </row>
    <row r="2141" spans="1:13" ht="14.25" customHeight="true">
      <c r="A2141" s="33" t="str">
        <f t="shared" si="132"/>
        <v>KLP - Intercompany</v>
      </c>
      <c r="B2141" s="33" t="str">
        <f t="shared" si="133"/>
        <v>KLP</v>
      </c>
      <c r="C2141" s="33" t="str">
        <f t="shared" si="134"/>
        <v>11201-0000</v>
      </c>
      <c r="D2141" t="s">
        <v>21642</v>
      </c>
      <c r="E2141" t="s">
        <v>14071</v>
      </c>
      <c r="F2141" t="s">
        <v>14039</v>
      </c>
      <c r="G2141" t="s">
        <v>14672</v>
      </c>
      <c r="H2141" t="s">
        <v>13869</v>
      </c>
      <c r="I2141" t="s">
        <v>14690</v>
      </c>
      <c r="J2141" s="62">
        <v>0</v>
      </c>
      <c r="K2141" s="62">
        <v>0</v>
      </c>
      <c r="L2141" t="str">
        <f>VLOOKUP(VALUE(LEFT(C2141,5)),Xref!A:B,2,0)</f>
        <v>SG2</v>
      </c>
      <c r="M2141" t="str">
        <f t="shared" si="135"/>
        <v>KLP-SG2</v>
      </c>
    </row>
    <row r="2142" spans="1:13" ht="14.25" customHeight="true">
      <c r="A2142" s="33" t="str">
        <f t="shared" si="132"/>
        <v>KLP - Intercompany</v>
      </c>
      <c r="B2142" s="33" t="str">
        <f t="shared" si="133"/>
        <v>KLP</v>
      </c>
      <c r="C2142" s="33" t="str">
        <f t="shared" si="134"/>
        <v>11202-0000</v>
      </c>
      <c r="D2142" t="s">
        <v>21643</v>
      </c>
      <c r="E2142" t="s">
        <v>14073</v>
      </c>
      <c r="F2142" t="s">
        <v>14039</v>
      </c>
      <c r="G2142" t="s">
        <v>14672</v>
      </c>
      <c r="H2142" t="s">
        <v>13869</v>
      </c>
      <c r="I2142" t="s">
        <v>14690</v>
      </c>
      <c r="J2142" s="62">
        <v>0</v>
      </c>
      <c r="K2142" s="62">
        <v>0</v>
      </c>
      <c r="L2142" t="str">
        <f>VLOOKUP(VALUE(LEFT(C2142,5)),Xref!A:B,2,0)</f>
        <v>FFC</v>
      </c>
      <c r="M2142" t="str">
        <f t="shared" si="135"/>
        <v>FFC-KLP</v>
      </c>
    </row>
    <row r="2143" spans="1:13" ht="14.25" customHeight="true">
      <c r="A2143" s="33" t="str">
        <f t="shared" si="132"/>
        <v>KLP - Intercompany</v>
      </c>
      <c r="B2143" s="33" t="str">
        <f t="shared" si="133"/>
        <v>KLP</v>
      </c>
      <c r="C2143" s="33" t="str">
        <f t="shared" si="134"/>
        <v>11203-0000</v>
      </c>
      <c r="D2143" t="s">
        <v>21644</v>
      </c>
      <c r="E2143" t="s">
        <v>14075</v>
      </c>
      <c r="F2143" t="s">
        <v>14039</v>
      </c>
      <c r="G2143" t="s">
        <v>14672</v>
      </c>
      <c r="H2143" t="s">
        <v>13869</v>
      </c>
      <c r="I2143" t="s">
        <v>14690</v>
      </c>
      <c r="J2143" s="62">
        <v>0</v>
      </c>
      <c r="K2143" s="62">
        <v>0</v>
      </c>
      <c r="L2143" t="str">
        <f>VLOOKUP(VALUE(LEFT(C2143,5)),Xref!A:B,2,0)</f>
        <v>HN2</v>
      </c>
      <c r="M2143" t="str">
        <f t="shared" si="135"/>
        <v>HN2-KLP</v>
      </c>
    </row>
    <row r="2144" spans="1:13" ht="14.25" customHeight="true">
      <c r="A2144" s="33" t="str">
        <f t="shared" si="132"/>
        <v>KLP - Intercompany</v>
      </c>
      <c r="B2144" s="33" t="str">
        <f t="shared" si="133"/>
        <v>KLP</v>
      </c>
      <c r="C2144" s="33" t="str">
        <f t="shared" si="134"/>
        <v>11204-0000</v>
      </c>
      <c r="D2144" t="s">
        <v>21645</v>
      </c>
      <c r="E2144" t="s">
        <v>14077</v>
      </c>
      <c r="F2144" t="s">
        <v>14039</v>
      </c>
      <c r="G2144" t="s">
        <v>14672</v>
      </c>
      <c r="H2144" t="s">
        <v>13869</v>
      </c>
      <c r="I2144" t="s">
        <v>14690</v>
      </c>
      <c r="J2144" s="62">
        <v>0</v>
      </c>
      <c r="K2144" s="62">
        <v>0</v>
      </c>
      <c r="L2144" t="str">
        <f>VLOOKUP(VALUE(LEFT(C2144,5)),Xref!A:B,2,0)</f>
        <v>DF2</v>
      </c>
      <c r="M2144" t="str">
        <f t="shared" si="135"/>
        <v>DF2-KLP</v>
      </c>
    </row>
    <row r="2145" spans="1:13" ht="14.25" customHeight="true">
      <c r="A2145" s="33" t="str">
        <f t="shared" si="132"/>
        <v>KLP - Intercompany</v>
      </c>
      <c r="B2145" s="33" t="str">
        <f t="shared" si="133"/>
        <v>KLP</v>
      </c>
      <c r="C2145" s="33" t="str">
        <f t="shared" si="134"/>
        <v>11208-0000</v>
      </c>
      <c r="D2145" t="s">
        <v>21646</v>
      </c>
      <c r="E2145" t="s">
        <v>14079</v>
      </c>
      <c r="F2145" t="s">
        <v>14039</v>
      </c>
      <c r="G2145" t="s">
        <v>14672</v>
      </c>
      <c r="H2145" t="s">
        <v>13869</v>
      </c>
      <c r="I2145" t="s">
        <v>14690</v>
      </c>
      <c r="J2145" s="62">
        <v>0</v>
      </c>
      <c r="K2145" s="62">
        <v>0</v>
      </c>
      <c r="L2145" t="str">
        <f>VLOOKUP(VALUE(LEFT(C2145,5)),Xref!A:B,2,0)</f>
        <v>SRE</v>
      </c>
      <c r="M2145" t="str">
        <f t="shared" si="135"/>
        <v>KLP-SRE</v>
      </c>
    </row>
    <row r="2146" spans="1:13" ht="14.25" customHeight="true">
      <c r="A2146" s="33" t="str">
        <f t="shared" si="132"/>
        <v>KLP - Intercompany</v>
      </c>
      <c r="B2146" s="33" t="str">
        <f t="shared" si="133"/>
        <v>KLP</v>
      </c>
      <c r="C2146" s="33" t="str">
        <f t="shared" si="134"/>
        <v>11210-0000</v>
      </c>
      <c r="D2146" t="s">
        <v>21647</v>
      </c>
      <c r="E2146" t="s">
        <v>14081</v>
      </c>
      <c r="F2146" t="s">
        <v>14039</v>
      </c>
      <c r="G2146" t="s">
        <v>14672</v>
      </c>
      <c r="H2146" t="s">
        <v>13869</v>
      </c>
      <c r="I2146" t="s">
        <v>14690</v>
      </c>
      <c r="J2146" s="62">
        <v>0</v>
      </c>
      <c r="K2146" s="62">
        <v>0</v>
      </c>
      <c r="L2146" t="str">
        <f>VLOOKUP(VALUE(LEFT(C2146,5)),Xref!A:B,2,0)</f>
        <v>REM</v>
      </c>
      <c r="M2146" t="str">
        <f t="shared" si="135"/>
        <v>KLP-REM</v>
      </c>
    </row>
    <row r="2147" spans="1:13" ht="14.25" customHeight="true">
      <c r="A2147" s="33" t="str">
        <f t="shared" si="132"/>
        <v>KLP - Intercompany</v>
      </c>
      <c r="B2147" s="33" t="str">
        <f t="shared" si="133"/>
        <v>KLP</v>
      </c>
      <c r="C2147" s="33" t="str">
        <f t="shared" si="134"/>
        <v>11212-0000</v>
      </c>
      <c r="D2147" t="s">
        <v>21648</v>
      </c>
      <c r="E2147" t="s">
        <v>14083</v>
      </c>
      <c r="F2147" t="s">
        <v>14039</v>
      </c>
      <c r="G2147" t="s">
        <v>14672</v>
      </c>
      <c r="H2147" t="s">
        <v>13869</v>
      </c>
      <c r="I2147" t="s">
        <v>14690</v>
      </c>
      <c r="J2147" s="62">
        <v>0</v>
      </c>
      <c r="K2147" s="62">
        <v>0</v>
      </c>
      <c r="L2147" t="str">
        <f>VLOOKUP(VALUE(LEFT(C2147,5)),Xref!A:B,2,0)</f>
        <v>FRM</v>
      </c>
      <c r="M2147" t="str">
        <f t="shared" si="135"/>
        <v>FRM-KLP</v>
      </c>
    </row>
    <row r="2148" spans="1:13" ht="14.25" customHeight="true">
      <c r="A2148" s="33" t="str">
        <f t="shared" si="132"/>
        <v>KLP - Intercompany</v>
      </c>
      <c r="B2148" s="33" t="str">
        <f t="shared" si="133"/>
        <v>KLP</v>
      </c>
      <c r="C2148" s="33" t="str">
        <f t="shared" si="134"/>
        <v>11214-0000</v>
      </c>
      <c r="D2148" t="s">
        <v>21649</v>
      </c>
      <c r="E2148" t="s">
        <v>14085</v>
      </c>
      <c r="F2148" t="s">
        <v>14039</v>
      </c>
      <c r="G2148" t="s">
        <v>14672</v>
      </c>
      <c r="H2148" t="s">
        <v>13869</v>
      </c>
      <c r="I2148" t="s">
        <v>14690</v>
      </c>
      <c r="J2148" s="62">
        <v>0</v>
      </c>
      <c r="K2148" s="62">
        <v>0</v>
      </c>
      <c r="L2148" t="str">
        <f>VLOOKUP(VALUE(LEFT(C2148,5)),Xref!A:B,2,0)</f>
        <v>D7R</v>
      </c>
      <c r="M2148" t="str">
        <f t="shared" si="135"/>
        <v>D7R-KLP</v>
      </c>
    </row>
    <row r="2149" spans="1:13" ht="14.25" customHeight="true">
      <c r="A2149" s="33" t="str">
        <f t="shared" si="132"/>
        <v>KLP - Intercompany</v>
      </c>
      <c r="B2149" s="33" t="str">
        <f t="shared" si="133"/>
        <v>KLP</v>
      </c>
      <c r="C2149" s="33" t="str">
        <f t="shared" si="134"/>
        <v>11215-0000</v>
      </c>
      <c r="D2149" t="s">
        <v>21650</v>
      </c>
      <c r="E2149" t="s">
        <v>14087</v>
      </c>
      <c r="F2149" t="s">
        <v>14039</v>
      </c>
      <c r="G2149" t="s">
        <v>14672</v>
      </c>
      <c r="H2149" t="s">
        <v>13869</v>
      </c>
      <c r="I2149" t="s">
        <v>14690</v>
      </c>
      <c r="J2149" s="62">
        <v>0</v>
      </c>
      <c r="K2149" s="62">
        <v>0</v>
      </c>
      <c r="L2149" t="str">
        <f>VLOOKUP(VALUE(LEFT(C2149,5)),Xref!A:B,2,0)</f>
        <v>CDP</v>
      </c>
      <c r="M2149" t="str">
        <f t="shared" si="135"/>
        <v>CDP-KLP</v>
      </c>
    </row>
    <row r="2150" spans="1:13" ht="14.25" customHeight="true">
      <c r="A2150" s="33" t="str">
        <f t="shared" si="132"/>
        <v>KLP - Intercompany</v>
      </c>
      <c r="B2150" s="33" t="str">
        <f t="shared" si="133"/>
        <v>KLP</v>
      </c>
      <c r="C2150" s="33" t="str">
        <f t="shared" si="134"/>
        <v>11216-0000</v>
      </c>
      <c r="D2150" t="s">
        <v>6961</v>
      </c>
      <c r="E2150" t="s">
        <v>13224</v>
      </c>
      <c r="F2150" t="s">
        <v>14039</v>
      </c>
      <c r="G2150" t="s">
        <v>14672</v>
      </c>
      <c r="H2150" t="s">
        <v>13869</v>
      </c>
      <c r="I2150" t="s">
        <v>14690</v>
      </c>
      <c r="J2150" s="62">
        <v>-207.34</v>
      </c>
      <c r="K2150" s="62">
        <v>-5841.8</v>
      </c>
      <c r="L2150" t="str">
        <f>VLOOKUP(VALUE(LEFT(C2150,5)),Xref!A:B,2,0)</f>
        <v>SIL</v>
      </c>
      <c r="M2150" t="str">
        <f t="shared" si="135"/>
        <v>KLP-SIL</v>
      </c>
    </row>
    <row r="2151" spans="1:13" ht="14.25" customHeight="true">
      <c r="A2151" s="33" t="str">
        <f t="shared" si="132"/>
        <v>KLP - Intercompany</v>
      </c>
      <c r="B2151" s="33" t="str">
        <f t="shared" si="133"/>
        <v>KLP</v>
      </c>
      <c r="C2151" s="33" t="str">
        <f t="shared" si="134"/>
        <v>11232-0000</v>
      </c>
      <c r="D2151" t="s">
        <v>21651</v>
      </c>
      <c r="E2151" t="s">
        <v>12486</v>
      </c>
      <c r="F2151" t="s">
        <v>14039</v>
      </c>
      <c r="G2151" t="s">
        <v>14672</v>
      </c>
      <c r="H2151" t="s">
        <v>13869</v>
      </c>
      <c r="I2151" t="s">
        <v>14690</v>
      </c>
      <c r="J2151" s="62">
        <v>0</v>
      </c>
      <c r="K2151" s="62">
        <v>0</v>
      </c>
      <c r="L2151" t="str">
        <f>VLOOKUP(VALUE(LEFT(C2151,5)),Xref!A:B,2,0)</f>
        <v>SC2</v>
      </c>
      <c r="M2151" t="str">
        <f t="shared" si="135"/>
        <v>KLP-SC2</v>
      </c>
    </row>
    <row r="2152" spans="1:13" ht="14.25" customHeight="true">
      <c r="A2152" s="33" t="str">
        <f t="shared" si="132"/>
        <v>KLP - Intercompany</v>
      </c>
      <c r="B2152" s="33" t="str">
        <f t="shared" si="133"/>
        <v>KLP</v>
      </c>
      <c r="C2152" s="33" t="str">
        <f t="shared" si="134"/>
        <v>11301-0000</v>
      </c>
      <c r="D2152" t="s">
        <v>21652</v>
      </c>
      <c r="E2152" t="s">
        <v>13225</v>
      </c>
      <c r="F2152" t="s">
        <v>14039</v>
      </c>
      <c r="G2152" t="s">
        <v>14672</v>
      </c>
      <c r="H2152" t="s">
        <v>13869</v>
      </c>
      <c r="I2152" t="s">
        <v>14690</v>
      </c>
      <c r="J2152" s="62">
        <v>0</v>
      </c>
      <c r="K2152" s="62">
        <v>0</v>
      </c>
      <c r="L2152" t="str">
        <f>VLOOKUP(VALUE(LEFT(C2152,5)),Xref!A:B,2,0)</f>
        <v>CRE</v>
      </c>
      <c r="M2152" t="str">
        <f t="shared" si="135"/>
        <v>CRE-KLP</v>
      </c>
    </row>
    <row r="2153" spans="1:13" ht="14.25" customHeight="true">
      <c r="A2153" s="33" t="str">
        <f t="shared" si="132"/>
        <v>KLP - Intercompany</v>
      </c>
      <c r="B2153" s="33" t="str">
        <f t="shared" si="133"/>
        <v>KLP</v>
      </c>
      <c r="C2153" s="33" t="str">
        <f t="shared" si="134"/>
        <v>11302-0000</v>
      </c>
      <c r="D2153" t="s">
        <v>21653</v>
      </c>
      <c r="E2153" t="s">
        <v>13226</v>
      </c>
      <c r="F2153" t="s">
        <v>14039</v>
      </c>
      <c r="G2153" t="s">
        <v>14672</v>
      </c>
      <c r="H2153" t="s">
        <v>13869</v>
      </c>
      <c r="I2153" t="s">
        <v>14690</v>
      </c>
      <c r="J2153" s="62">
        <v>0</v>
      </c>
      <c r="K2153" s="62">
        <v>0</v>
      </c>
      <c r="L2153" t="str">
        <f>VLOOKUP(VALUE(LEFT(C2153,5)),Xref!A:B,2,0)</f>
        <v>CHA</v>
      </c>
      <c r="M2153" t="str">
        <f t="shared" si="135"/>
        <v>CHA-KLP</v>
      </c>
    </row>
    <row r="2154" spans="1:13" ht="14.25" customHeight="true">
      <c r="A2154" s="33" t="str">
        <f t="shared" si="132"/>
        <v>KLP - Intercompany</v>
      </c>
      <c r="B2154" s="33" t="str">
        <f t="shared" si="133"/>
        <v>KLP</v>
      </c>
      <c r="C2154" s="33" t="str">
        <f t="shared" si="134"/>
        <v>11303-0000</v>
      </c>
      <c r="D2154" t="s">
        <v>21654</v>
      </c>
      <c r="E2154" t="s">
        <v>13227</v>
      </c>
      <c r="F2154" t="s">
        <v>14039</v>
      </c>
      <c r="G2154" t="s">
        <v>14672</v>
      </c>
      <c r="H2154" t="s">
        <v>13869</v>
      </c>
      <c r="I2154" t="s">
        <v>14690</v>
      </c>
      <c r="J2154" s="62">
        <v>0</v>
      </c>
      <c r="K2154" s="62">
        <v>0</v>
      </c>
      <c r="L2154" t="str">
        <f>VLOOKUP(VALUE(LEFT(C2154,5)),Xref!A:B,2,0)</f>
        <v>DIA</v>
      </c>
      <c r="M2154" t="str">
        <f t="shared" si="135"/>
        <v>DIA-KLP</v>
      </c>
    </row>
    <row r="2155" spans="1:13" ht="14.25" customHeight="true">
      <c r="A2155" s="33" t="str">
        <f t="shared" si="132"/>
        <v>KLP - Intercompany</v>
      </c>
      <c r="B2155" s="33" t="str">
        <f t="shared" si="133"/>
        <v>KLP</v>
      </c>
      <c r="C2155" s="33" t="str">
        <f t="shared" si="134"/>
        <v>11304-0000</v>
      </c>
      <c r="D2155" t="s">
        <v>21655</v>
      </c>
      <c r="E2155" t="s">
        <v>13228</v>
      </c>
      <c r="F2155" t="s">
        <v>14039</v>
      </c>
      <c r="G2155" t="s">
        <v>14672</v>
      </c>
      <c r="H2155" t="s">
        <v>13869</v>
      </c>
      <c r="I2155" t="s">
        <v>14690</v>
      </c>
      <c r="J2155" s="62">
        <v>0</v>
      </c>
      <c r="K2155" s="62">
        <v>0</v>
      </c>
      <c r="L2155" t="str">
        <f>VLOOKUP(VALUE(LEFT(C2155,5)),Xref!A:B,2,0)</f>
        <v>EAG</v>
      </c>
      <c r="M2155" t="str">
        <f t="shared" si="135"/>
        <v>EAG-KLP</v>
      </c>
    </row>
    <row r="2156" spans="1:13" ht="14.25" customHeight="true">
      <c r="A2156" s="33" t="str">
        <f t="shared" si="132"/>
        <v>KLP - Intercompany</v>
      </c>
      <c r="B2156" s="33" t="str">
        <f t="shared" si="133"/>
        <v>KLP</v>
      </c>
      <c r="C2156" s="33" t="str">
        <f t="shared" si="134"/>
        <v>11305-0000</v>
      </c>
      <c r="D2156" t="s">
        <v>21656</v>
      </c>
      <c r="E2156" t="s">
        <v>13229</v>
      </c>
      <c r="F2156" t="s">
        <v>14039</v>
      </c>
      <c r="G2156" t="s">
        <v>14672</v>
      </c>
      <c r="H2156" t="s">
        <v>13869</v>
      </c>
      <c r="I2156" t="s">
        <v>14690</v>
      </c>
      <c r="J2156" s="62">
        <v>0</v>
      </c>
      <c r="K2156" s="62">
        <v>0</v>
      </c>
      <c r="L2156" t="str">
        <f>VLOOKUP(VALUE(LEFT(C2156,5)),Xref!A:B,2,0)</f>
        <v>NEW</v>
      </c>
      <c r="M2156" t="str">
        <f t="shared" si="135"/>
        <v>KLP-NEW</v>
      </c>
    </row>
    <row r="2157" spans="1:13" ht="14.25" customHeight="true">
      <c r="A2157" s="33" t="str">
        <f t="shared" si="132"/>
        <v>KLP - Intercompany</v>
      </c>
      <c r="B2157" s="33" t="str">
        <f t="shared" si="133"/>
        <v>KLP</v>
      </c>
      <c r="C2157" s="33" t="str">
        <f t="shared" si="134"/>
        <v>11307-0000</v>
      </c>
      <c r="D2157" t="s">
        <v>21657</v>
      </c>
      <c r="E2157" t="s">
        <v>14096</v>
      </c>
      <c r="F2157" t="s">
        <v>14039</v>
      </c>
      <c r="G2157" t="s">
        <v>14672</v>
      </c>
      <c r="H2157" t="s">
        <v>13869</v>
      </c>
      <c r="I2157" t="s">
        <v>14690</v>
      </c>
      <c r="J2157" s="62">
        <v>0</v>
      </c>
      <c r="K2157" s="62">
        <v>0</v>
      </c>
      <c r="L2157" t="str">
        <f>VLOOKUP(VALUE(LEFT(C2157,5)),Xref!A:B,2,0)</f>
        <v>NES</v>
      </c>
      <c r="M2157" t="str">
        <f t="shared" si="135"/>
        <v>KLP-NES</v>
      </c>
    </row>
    <row r="2158" spans="1:13" ht="14.25" customHeight="true">
      <c r="A2158" s="33" t="str">
        <f t="shared" si="132"/>
        <v>KLP - Intercompany</v>
      </c>
      <c r="B2158" s="33" t="str">
        <f t="shared" si="133"/>
        <v>KLP</v>
      </c>
      <c r="C2158" s="33" t="str">
        <f t="shared" si="134"/>
        <v>11308-0000</v>
      </c>
      <c r="D2158" t="s">
        <v>21658</v>
      </c>
      <c r="E2158" t="s">
        <v>13476</v>
      </c>
      <c r="F2158" t="s">
        <v>14039</v>
      </c>
      <c r="G2158" t="s">
        <v>14672</v>
      </c>
      <c r="H2158" t="s">
        <v>13869</v>
      </c>
      <c r="I2158" t="s">
        <v>14690</v>
      </c>
      <c r="J2158" s="62">
        <v>0</v>
      </c>
      <c r="K2158" s="62">
        <v>0</v>
      </c>
      <c r="L2158" t="str">
        <f>VLOOKUP(VALUE(LEFT(C2158,5)),Xref!A:B,2,0)</f>
        <v>LPI</v>
      </c>
      <c r="M2158" t="str">
        <f t="shared" si="135"/>
        <v>KLP-LPI</v>
      </c>
    </row>
    <row r="2159" spans="1:13" ht="14.25" customHeight="true">
      <c r="A2159" s="33" t="str">
        <f t="shared" si="132"/>
        <v>KLP - Intercompany</v>
      </c>
      <c r="B2159" s="33" t="str">
        <f t="shared" si="133"/>
        <v>KLP</v>
      </c>
      <c r="C2159" s="33" t="str">
        <f t="shared" si="134"/>
        <v>11309-0000</v>
      </c>
      <c r="D2159" t="s">
        <v>21659</v>
      </c>
      <c r="E2159" t="s">
        <v>13230</v>
      </c>
      <c r="F2159" t="s">
        <v>14039</v>
      </c>
      <c r="G2159" t="s">
        <v>14672</v>
      </c>
      <c r="H2159" t="s">
        <v>13869</v>
      </c>
      <c r="I2159" t="s">
        <v>14690</v>
      </c>
      <c r="J2159" s="62">
        <v>0</v>
      </c>
      <c r="K2159" s="62">
        <v>0</v>
      </c>
      <c r="L2159" t="str">
        <f>VLOOKUP(VALUE(LEFT(C2159,5)),Xref!A:B,2,0)</f>
        <v>GPI</v>
      </c>
      <c r="M2159" t="str">
        <f t="shared" si="135"/>
        <v>GPI-KLP</v>
      </c>
    </row>
    <row r="2160" spans="1:13" ht="14.25" customHeight="true">
      <c r="A2160" s="33" t="str">
        <f t="shared" si="132"/>
        <v>KLP - Intercompany</v>
      </c>
      <c r="B2160" s="33" t="str">
        <f t="shared" si="133"/>
        <v>KLP</v>
      </c>
      <c r="C2160" s="33" t="str">
        <f t="shared" si="134"/>
        <v>11310-0000</v>
      </c>
      <c r="D2160" t="s">
        <v>21660</v>
      </c>
      <c r="E2160" t="s">
        <v>13231</v>
      </c>
      <c r="F2160" t="s">
        <v>14039</v>
      </c>
      <c r="G2160" t="s">
        <v>14672</v>
      </c>
      <c r="H2160" t="s">
        <v>13869</v>
      </c>
      <c r="I2160" t="s">
        <v>14690</v>
      </c>
      <c r="J2160" s="62">
        <v>0</v>
      </c>
      <c r="K2160" s="62">
        <v>0</v>
      </c>
      <c r="L2160" t="str">
        <f>VLOOKUP(VALUE(LEFT(C2160,5)),Xref!A:B,2,0)</f>
        <v>ALP</v>
      </c>
      <c r="M2160" t="str">
        <f t="shared" si="135"/>
        <v>ALP-KLP</v>
      </c>
    </row>
    <row r="2161" spans="1:13" ht="14.25" customHeight="true">
      <c r="A2161" s="33" t="str">
        <f t="shared" si="132"/>
        <v>KLP - Intercompany</v>
      </c>
      <c r="B2161" s="33" t="str">
        <f t="shared" si="133"/>
        <v>KLP</v>
      </c>
      <c r="C2161" s="33" t="str">
        <f t="shared" si="134"/>
        <v>11311-0000</v>
      </c>
      <c r="D2161" t="s">
        <v>21661</v>
      </c>
      <c r="E2161" t="s">
        <v>13232</v>
      </c>
      <c r="F2161" t="s">
        <v>14039</v>
      </c>
      <c r="G2161" t="s">
        <v>14672</v>
      </c>
      <c r="H2161" t="s">
        <v>13869</v>
      </c>
      <c r="I2161" t="s">
        <v>14690</v>
      </c>
      <c r="J2161" s="62">
        <v>0</v>
      </c>
      <c r="K2161" s="62">
        <v>0</v>
      </c>
      <c r="L2161" t="str">
        <f>VLOOKUP(VALUE(LEFT(C2161,5)),Xref!A:B,2,0)</f>
        <v>BET</v>
      </c>
      <c r="M2161" t="str">
        <f t="shared" si="135"/>
        <v>BET-KLP</v>
      </c>
    </row>
    <row r="2162" spans="1:13" ht="14.25" customHeight="true">
      <c r="A2162" s="33" t="str">
        <f t="shared" si="132"/>
        <v>KLP - Intercompany</v>
      </c>
      <c r="B2162" s="33" t="str">
        <f t="shared" si="133"/>
        <v>KLP</v>
      </c>
      <c r="C2162" s="33" t="str">
        <f t="shared" si="134"/>
        <v>11312-0000</v>
      </c>
      <c r="D2162" t="s">
        <v>21662</v>
      </c>
      <c r="E2162" t="s">
        <v>14102</v>
      </c>
      <c r="F2162" t="s">
        <v>14039</v>
      </c>
      <c r="G2162" t="s">
        <v>14672</v>
      </c>
      <c r="H2162" t="s">
        <v>13869</v>
      </c>
      <c r="I2162" t="s">
        <v>14690</v>
      </c>
      <c r="J2162" s="62">
        <v>0</v>
      </c>
      <c r="K2162" s="62">
        <v>0</v>
      </c>
      <c r="L2162" t="str">
        <f>VLOOKUP(VALUE(LEFT(C2162,5)),Xref!A:B,2,0)</f>
        <v>DEL</v>
      </c>
      <c r="M2162" t="str">
        <f t="shared" si="135"/>
        <v>DEL-KLP</v>
      </c>
    </row>
    <row r="2163" spans="1:13" ht="14.25" customHeight="true">
      <c r="A2163" s="33" t="str">
        <f t="shared" si="132"/>
        <v>KLP - Intercompany</v>
      </c>
      <c r="B2163" s="33" t="str">
        <f t="shared" si="133"/>
        <v>KLP</v>
      </c>
      <c r="C2163" s="33" t="str">
        <f t="shared" si="134"/>
        <v>11313-0000</v>
      </c>
      <c r="D2163" t="s">
        <v>21663</v>
      </c>
      <c r="E2163" t="s">
        <v>13233</v>
      </c>
      <c r="F2163" t="s">
        <v>14039</v>
      </c>
      <c r="G2163" t="s">
        <v>14672</v>
      </c>
      <c r="H2163" t="s">
        <v>13869</v>
      </c>
      <c r="I2163" t="s">
        <v>14690</v>
      </c>
      <c r="J2163" s="62">
        <v>0</v>
      </c>
      <c r="K2163" s="62">
        <v>0</v>
      </c>
      <c r="L2163" t="str">
        <f>VLOOKUP(VALUE(LEFT(C2163,5)),Xref!A:B,2,0)</f>
        <v>DOL</v>
      </c>
      <c r="M2163" t="str">
        <f t="shared" si="135"/>
        <v>DOL-KLP</v>
      </c>
    </row>
    <row r="2164" spans="1:13" ht="14.25" customHeight="true">
      <c r="A2164" s="33" t="str">
        <f t="shared" si="132"/>
        <v>KLP - Intercompany</v>
      </c>
      <c r="B2164" s="33" t="str">
        <f t="shared" si="133"/>
        <v>KLP</v>
      </c>
      <c r="C2164" s="33" t="str">
        <f t="shared" si="134"/>
        <v>11314-0000</v>
      </c>
      <c r="D2164" t="s">
        <v>21664</v>
      </c>
      <c r="E2164" t="s">
        <v>13351</v>
      </c>
      <c r="F2164" t="s">
        <v>14039</v>
      </c>
      <c r="G2164" t="s">
        <v>14672</v>
      </c>
      <c r="H2164" t="s">
        <v>13869</v>
      </c>
      <c r="I2164" t="s">
        <v>14690</v>
      </c>
      <c r="J2164" s="62">
        <v>0</v>
      </c>
      <c r="K2164" s="62">
        <v>0</v>
      </c>
      <c r="L2164" t="str">
        <f>VLOOKUP(VALUE(LEFT(C2164,5)),Xref!A:B,2,0)</f>
        <v>GRI</v>
      </c>
      <c r="M2164" t="str">
        <f t="shared" si="135"/>
        <v>GRI-KLP</v>
      </c>
    </row>
    <row r="2165" spans="1:13" ht="14.25" customHeight="true">
      <c r="A2165" s="33" t="str">
        <f t="shared" si="132"/>
        <v>KLP - Intercompany</v>
      </c>
      <c r="B2165" s="33" t="str">
        <f t="shared" si="133"/>
        <v>KLP</v>
      </c>
      <c r="C2165" s="33" t="str">
        <f t="shared" si="134"/>
        <v>11315-0000</v>
      </c>
      <c r="D2165" t="s">
        <v>21665</v>
      </c>
      <c r="E2165" t="s">
        <v>13234</v>
      </c>
      <c r="F2165" t="s">
        <v>14039</v>
      </c>
      <c r="G2165" t="s">
        <v>14672</v>
      </c>
      <c r="H2165" t="s">
        <v>13869</v>
      </c>
      <c r="I2165" t="s">
        <v>14690</v>
      </c>
      <c r="J2165" s="62">
        <v>0</v>
      </c>
      <c r="K2165" s="62">
        <v>0</v>
      </c>
      <c r="L2165" t="str">
        <f>VLOOKUP(VALUE(LEFT(C2165,5)),Xref!A:B,2,0)</f>
        <v>PUR</v>
      </c>
      <c r="M2165" t="str">
        <f t="shared" si="135"/>
        <v>KLP-PUR</v>
      </c>
    </row>
    <row r="2166" spans="1:13" ht="14.25" customHeight="true">
      <c r="A2166" s="33" t="str">
        <f t="shared" si="132"/>
        <v>KLP - Intercompany</v>
      </c>
      <c r="B2166" s="33" t="str">
        <f t="shared" si="133"/>
        <v>KLP</v>
      </c>
      <c r="C2166" s="33" t="str">
        <f t="shared" si="134"/>
        <v>11316-0000</v>
      </c>
      <c r="D2166" t="s">
        <v>21666</v>
      </c>
      <c r="E2166" t="s">
        <v>13235</v>
      </c>
      <c r="F2166" t="s">
        <v>14039</v>
      </c>
      <c r="G2166" t="s">
        <v>14672</v>
      </c>
      <c r="H2166" t="s">
        <v>13869</v>
      </c>
      <c r="I2166" t="s">
        <v>14690</v>
      </c>
      <c r="J2166" s="62">
        <v>0</v>
      </c>
      <c r="K2166" s="62">
        <v>0</v>
      </c>
      <c r="L2166" t="str">
        <f>VLOOKUP(VALUE(LEFT(C2166,5)),Xref!A:B,2,0)</f>
        <v>VAL</v>
      </c>
      <c r="M2166" t="str">
        <f t="shared" si="135"/>
        <v>KLP-VAL</v>
      </c>
    </row>
    <row r="2167" spans="1:13" ht="14.25" customHeight="true">
      <c r="A2167" s="33" t="str">
        <f t="shared" si="132"/>
        <v>KLP - Intercompany</v>
      </c>
      <c r="B2167" s="33" t="str">
        <f t="shared" si="133"/>
        <v>KLP</v>
      </c>
      <c r="C2167" s="33" t="str">
        <f t="shared" si="134"/>
        <v>11317-0000</v>
      </c>
      <c r="D2167" t="s">
        <v>21667</v>
      </c>
      <c r="E2167" t="s">
        <v>13352</v>
      </c>
      <c r="F2167" t="s">
        <v>14039</v>
      </c>
      <c r="G2167" t="s">
        <v>14672</v>
      </c>
      <c r="H2167" t="s">
        <v>13869</v>
      </c>
      <c r="I2167" t="s">
        <v>14690</v>
      </c>
      <c r="J2167" s="62">
        <v>0</v>
      </c>
      <c r="K2167" s="62">
        <v>0</v>
      </c>
      <c r="L2167" t="str">
        <f>VLOOKUP(VALUE(LEFT(C2167,5)),Xref!A:B,2,0)</f>
        <v>AKG</v>
      </c>
      <c r="M2167" t="str">
        <f t="shared" si="135"/>
        <v>AKG-KLP</v>
      </c>
    </row>
    <row r="2168" spans="1:13" ht="14.25" customHeight="true">
      <c r="A2168" s="33" t="str">
        <f t="shared" si="132"/>
        <v>KLP - Intercompany</v>
      </c>
      <c r="B2168" s="33" t="str">
        <f t="shared" si="133"/>
        <v>KLP</v>
      </c>
      <c r="C2168" s="33" t="str">
        <f t="shared" si="134"/>
        <v>11318-0000</v>
      </c>
      <c r="D2168" t="s">
        <v>21668</v>
      </c>
      <c r="E2168" t="s">
        <v>13477</v>
      </c>
      <c r="F2168" t="s">
        <v>14039</v>
      </c>
      <c r="G2168" t="s">
        <v>14672</v>
      </c>
      <c r="H2168" t="s">
        <v>13869</v>
      </c>
      <c r="I2168" t="s">
        <v>14690</v>
      </c>
      <c r="J2168" s="62">
        <v>0</v>
      </c>
      <c r="K2168" s="62">
        <v>0</v>
      </c>
      <c r="L2168" t="str">
        <f>VLOOKUP(VALUE(LEFT(C2168,5)),Xref!A:B,2,0)</f>
        <v>FIR</v>
      </c>
      <c r="M2168" t="str">
        <f t="shared" si="135"/>
        <v>FIR-KLP</v>
      </c>
    </row>
    <row r="2169" spans="1:13" ht="14.25" customHeight="true">
      <c r="A2169" s="33" t="str">
        <f t="shared" si="132"/>
        <v>KLP - Intercompany</v>
      </c>
      <c r="B2169" s="33" t="str">
        <f t="shared" si="133"/>
        <v>KLP</v>
      </c>
      <c r="C2169" s="33" t="str">
        <f t="shared" si="134"/>
        <v>11319-0000</v>
      </c>
      <c r="D2169" t="s">
        <v>21669</v>
      </c>
      <c r="E2169" t="s">
        <v>266</v>
      </c>
      <c r="F2169" t="s">
        <v>14039</v>
      </c>
      <c r="G2169" t="s">
        <v>14672</v>
      </c>
      <c r="H2169" t="s">
        <v>13869</v>
      </c>
      <c r="I2169" t="s">
        <v>14690</v>
      </c>
      <c r="J2169" s="62">
        <v>0</v>
      </c>
      <c r="K2169" s="62">
        <v>0</v>
      </c>
      <c r="L2169" t="str">
        <f>VLOOKUP(VALUE(LEFT(C2169,5)),Xref!A:B,2,0)</f>
        <v>GST</v>
      </c>
      <c r="M2169" t="str">
        <f t="shared" si="135"/>
        <v>GST-KLP</v>
      </c>
    </row>
    <row r="2170" spans="1:13" ht="14.25" customHeight="true">
      <c r="A2170" s="33" t="str">
        <f t="shared" si="132"/>
        <v>KLP - Intercompany</v>
      </c>
      <c r="B2170" s="33" t="str">
        <f t="shared" si="133"/>
        <v>KLP</v>
      </c>
      <c r="C2170" s="33" t="str">
        <f t="shared" si="134"/>
        <v>11320-0000</v>
      </c>
      <c r="D2170" t="s">
        <v>21670</v>
      </c>
      <c r="E2170" t="s">
        <v>14111</v>
      </c>
      <c r="F2170" t="s">
        <v>14039</v>
      </c>
      <c r="G2170" t="s">
        <v>14672</v>
      </c>
      <c r="H2170" t="s">
        <v>13869</v>
      </c>
      <c r="I2170" t="s">
        <v>14690</v>
      </c>
      <c r="J2170" s="62">
        <v>0</v>
      </c>
      <c r="K2170" s="62">
        <v>0</v>
      </c>
      <c r="L2170" t="str">
        <f>VLOOKUP(VALUE(LEFT(C2170,5)),Xref!A:B,2,0)</f>
        <v>HDN</v>
      </c>
      <c r="M2170" t="str">
        <f t="shared" si="135"/>
        <v>HDN-KLP</v>
      </c>
    </row>
    <row r="2171" spans="1:13" ht="14.25" customHeight="true">
      <c r="A2171" s="33" t="str">
        <f t="shared" si="132"/>
        <v>KLP - Intercompany</v>
      </c>
      <c r="B2171" s="33" t="str">
        <f t="shared" si="133"/>
        <v>KLP</v>
      </c>
      <c r="C2171" s="33" t="str">
        <f t="shared" si="134"/>
        <v>11321-0000</v>
      </c>
      <c r="D2171" t="s">
        <v>21671</v>
      </c>
      <c r="E2171" t="s">
        <v>13236</v>
      </c>
      <c r="F2171" t="s">
        <v>14039</v>
      </c>
      <c r="G2171" t="s">
        <v>14672</v>
      </c>
      <c r="H2171" t="s">
        <v>13869</v>
      </c>
      <c r="I2171" t="s">
        <v>14690</v>
      </c>
      <c r="J2171" s="62">
        <v>0</v>
      </c>
      <c r="K2171" s="62">
        <v>0</v>
      </c>
      <c r="L2171" t="str">
        <f>VLOOKUP(VALUE(LEFT(C2171,5)),Xref!A:B,2,0)</f>
        <v>OVA</v>
      </c>
      <c r="M2171" t="str">
        <f t="shared" si="135"/>
        <v>KLP-OVA</v>
      </c>
    </row>
    <row r="2172" spans="1:13" ht="14.25" customHeight="true">
      <c r="A2172" s="33" t="str">
        <f t="shared" si="132"/>
        <v>KLP - Intercompany</v>
      </c>
      <c r="B2172" s="33" t="str">
        <f t="shared" si="133"/>
        <v>KLP</v>
      </c>
      <c r="C2172" s="33" t="str">
        <f t="shared" si="134"/>
        <v>11322-0000</v>
      </c>
      <c r="D2172" t="s">
        <v>21672</v>
      </c>
      <c r="E2172" t="s">
        <v>13237</v>
      </c>
      <c r="F2172" t="s">
        <v>14039</v>
      </c>
      <c r="G2172" t="s">
        <v>14672</v>
      </c>
      <c r="H2172" t="s">
        <v>13869</v>
      </c>
      <c r="I2172" t="s">
        <v>14690</v>
      </c>
      <c r="J2172" s="62">
        <v>0</v>
      </c>
      <c r="K2172" s="62">
        <v>0</v>
      </c>
      <c r="L2172" t="str">
        <f>VLOOKUP(VALUE(LEFT(C2172,5)),Xref!A:B,2,0)</f>
        <v>WOO</v>
      </c>
      <c r="M2172" t="str">
        <f t="shared" si="135"/>
        <v>KLP-WOO</v>
      </c>
    </row>
    <row r="2173" spans="1:13" ht="14.25" customHeight="true">
      <c r="A2173" s="33" t="str">
        <f t="shared" si="132"/>
        <v>KLP - Intercompany</v>
      </c>
      <c r="B2173" s="33" t="str">
        <f t="shared" si="133"/>
        <v>KLP</v>
      </c>
      <c r="C2173" s="33" t="str">
        <f t="shared" si="134"/>
        <v>11323-0000</v>
      </c>
      <c r="D2173" t="s">
        <v>21673</v>
      </c>
      <c r="E2173" t="s">
        <v>13478</v>
      </c>
      <c r="F2173" t="s">
        <v>14039</v>
      </c>
      <c r="G2173" t="s">
        <v>14672</v>
      </c>
      <c r="H2173" t="s">
        <v>13869</v>
      </c>
      <c r="I2173" t="s">
        <v>14690</v>
      </c>
      <c r="J2173" s="62">
        <v>0</v>
      </c>
      <c r="K2173" s="62">
        <v>0</v>
      </c>
      <c r="L2173" t="str">
        <f>VLOOKUP(VALUE(LEFT(C2173,5)),Xref!A:B,2,0)</f>
        <v>SPI</v>
      </c>
      <c r="M2173" t="str">
        <f t="shared" si="135"/>
        <v>KLP-SPI</v>
      </c>
    </row>
    <row r="2174" spans="1:13" ht="14.25" customHeight="true">
      <c r="A2174" s="33" t="str">
        <f t="shared" si="132"/>
        <v>KLP - Intercompany</v>
      </c>
      <c r="B2174" s="33" t="str">
        <f t="shared" si="133"/>
        <v>KLP</v>
      </c>
      <c r="C2174" s="33" t="str">
        <f t="shared" si="134"/>
        <v>11324-0000</v>
      </c>
      <c r="D2174" t="s">
        <v>21674</v>
      </c>
      <c r="E2174" t="s">
        <v>13238</v>
      </c>
      <c r="F2174" t="s">
        <v>14039</v>
      </c>
      <c r="G2174" t="s">
        <v>14672</v>
      </c>
      <c r="H2174" t="s">
        <v>13869</v>
      </c>
      <c r="I2174" t="s">
        <v>14690</v>
      </c>
      <c r="J2174" s="62">
        <v>0</v>
      </c>
      <c r="K2174" s="62">
        <v>0</v>
      </c>
      <c r="L2174" t="str">
        <f>VLOOKUP(VALUE(LEFT(C2174,5)),Xref!A:B,2,0)</f>
        <v>NET</v>
      </c>
      <c r="M2174" t="str">
        <f t="shared" si="135"/>
        <v>KLP-NET</v>
      </c>
    </row>
    <row r="2175" spans="1:13" ht="14.25" customHeight="true">
      <c r="A2175" s="33" t="str">
        <f t="shared" si="132"/>
        <v>KLP - Intercompany</v>
      </c>
      <c r="B2175" s="33" t="str">
        <f t="shared" si="133"/>
        <v>KLP</v>
      </c>
      <c r="C2175" s="33" t="str">
        <f t="shared" si="134"/>
        <v>11325-0000</v>
      </c>
      <c r="D2175" t="s">
        <v>21675</v>
      </c>
      <c r="E2175" t="s">
        <v>13239</v>
      </c>
      <c r="F2175" t="s">
        <v>14039</v>
      </c>
      <c r="G2175" t="s">
        <v>14672</v>
      </c>
      <c r="H2175" t="s">
        <v>13869</v>
      </c>
      <c r="I2175" t="s">
        <v>14690</v>
      </c>
      <c r="J2175" s="62">
        <v>0</v>
      </c>
      <c r="K2175" s="62">
        <v>0</v>
      </c>
      <c r="L2175" t="str">
        <f>VLOOKUP(VALUE(LEFT(C2175,5)),Xref!A:B,2,0)</f>
        <v>DPI</v>
      </c>
      <c r="M2175" t="str">
        <f t="shared" si="135"/>
        <v>DPI-KLP</v>
      </c>
    </row>
    <row r="2176" spans="1:13" ht="14.25" customHeight="true">
      <c r="A2176" s="33" t="str">
        <f t="shared" si="132"/>
        <v>KLP - Intercompany</v>
      </c>
      <c r="B2176" s="33" t="str">
        <f t="shared" si="133"/>
        <v>KLP</v>
      </c>
      <c r="C2176" s="33" t="str">
        <f t="shared" si="134"/>
        <v>11326-0000</v>
      </c>
      <c r="D2176" t="s">
        <v>21676</v>
      </c>
      <c r="E2176" t="s">
        <v>13240</v>
      </c>
      <c r="F2176" t="s">
        <v>14039</v>
      </c>
      <c r="G2176" t="s">
        <v>14672</v>
      </c>
      <c r="H2176" t="s">
        <v>13869</v>
      </c>
      <c r="I2176" t="s">
        <v>14690</v>
      </c>
      <c r="J2176" s="62">
        <v>0</v>
      </c>
      <c r="K2176" s="62">
        <v>0</v>
      </c>
      <c r="L2176" t="str">
        <f>VLOOKUP(VALUE(LEFT(C2176,5)),Xref!A:B,2,0)</f>
        <v>SEK</v>
      </c>
      <c r="M2176" t="str">
        <f t="shared" si="135"/>
        <v>KLP-SEK</v>
      </c>
    </row>
    <row r="2177" spans="1:13" ht="14.25" customHeight="true">
      <c r="A2177" s="33" t="str">
        <f t="shared" si="132"/>
        <v>KLP - Intercompany</v>
      </c>
      <c r="B2177" s="33" t="str">
        <f t="shared" si="133"/>
        <v>KLP</v>
      </c>
      <c r="C2177" s="33" t="str">
        <f t="shared" si="134"/>
        <v>11327-0000</v>
      </c>
      <c r="D2177" t="s">
        <v>21677</v>
      </c>
      <c r="E2177" t="s">
        <v>14119</v>
      </c>
      <c r="F2177" t="s">
        <v>14039</v>
      </c>
      <c r="G2177" t="s">
        <v>14672</v>
      </c>
      <c r="H2177" t="s">
        <v>13869</v>
      </c>
      <c r="I2177" t="s">
        <v>14690</v>
      </c>
      <c r="J2177" s="62">
        <v>0</v>
      </c>
      <c r="K2177" s="62">
        <v>0</v>
      </c>
      <c r="L2177" t="str">
        <f>VLOOKUP(VALUE(LEFT(C2177,5)),Xref!A:B,2,0)</f>
        <v>CPI</v>
      </c>
      <c r="M2177" t="str">
        <f t="shared" si="135"/>
        <v>CPI-KLP</v>
      </c>
    </row>
    <row r="2178" spans="1:13" ht="14.25" customHeight="true">
      <c r="A2178" s="33" t="str">
        <f t="shared" ref="A2178:A2241" si="136">B2178&amp;" - "&amp;TRIM(H2178)</f>
        <v>KLP - Intercompany</v>
      </c>
      <c r="B2178" s="33" t="str">
        <f t="shared" ref="B2178:B2241" si="137">LEFT(D2178,3)</f>
        <v>KLP</v>
      </c>
      <c r="C2178" s="33" t="str">
        <f t="shared" ref="C2178:C2241" si="138">RIGHT(D2178,10)</f>
        <v>11328-0000</v>
      </c>
      <c r="D2178" t="s">
        <v>21678</v>
      </c>
      <c r="E2178" t="s">
        <v>13241</v>
      </c>
      <c r="F2178" t="s">
        <v>14039</v>
      </c>
      <c r="G2178" t="s">
        <v>14672</v>
      </c>
      <c r="H2178" t="s">
        <v>13869</v>
      </c>
      <c r="I2178" t="s">
        <v>14690</v>
      </c>
      <c r="J2178" s="62">
        <v>0</v>
      </c>
      <c r="K2178" s="62">
        <v>0</v>
      </c>
      <c r="L2178" t="str">
        <f>VLOOKUP(VALUE(LEFT(C2178,5)),Xref!A:B,2,0)</f>
        <v>LOM</v>
      </c>
      <c r="M2178" t="str">
        <f t="shared" ref="M2178:M2241" si="139">IF(B2178&lt;L2178,B2178&amp;"-"&amp;L2178,L2178&amp;"-"&amp;B2178)</f>
        <v>KLP-LOM</v>
      </c>
    </row>
    <row r="2179" spans="1:13" ht="14.25" customHeight="true">
      <c r="A2179" s="33" t="str">
        <f t="shared" si="136"/>
        <v>KLP - Intercompany</v>
      </c>
      <c r="B2179" s="33" t="str">
        <f t="shared" si="137"/>
        <v>KLP</v>
      </c>
      <c r="C2179" s="33" t="str">
        <f t="shared" si="138"/>
        <v>11329-0000</v>
      </c>
      <c r="D2179" t="s">
        <v>21679</v>
      </c>
      <c r="E2179" t="s">
        <v>13353</v>
      </c>
      <c r="F2179" t="s">
        <v>14039</v>
      </c>
      <c r="G2179" t="s">
        <v>14672</v>
      </c>
      <c r="H2179" t="s">
        <v>13869</v>
      </c>
      <c r="I2179" t="s">
        <v>14690</v>
      </c>
      <c r="J2179" s="62">
        <v>0</v>
      </c>
      <c r="K2179" s="62">
        <v>0</v>
      </c>
      <c r="L2179" t="str">
        <f>VLOOKUP(VALUE(LEFT(C2179,5)),Xref!A:B,2,0)</f>
        <v>AKS</v>
      </c>
      <c r="M2179" t="str">
        <f t="shared" si="139"/>
        <v>AKS-KLP</v>
      </c>
    </row>
    <row r="2180" spans="1:13" ht="14.25" customHeight="true">
      <c r="A2180" s="33" t="str">
        <f t="shared" si="136"/>
        <v>KLP - Intercompany</v>
      </c>
      <c r="B2180" s="33" t="str">
        <f t="shared" si="137"/>
        <v>KLP</v>
      </c>
      <c r="C2180" s="33" t="str">
        <f t="shared" si="138"/>
        <v>11330-0000</v>
      </c>
      <c r="D2180" t="s">
        <v>21680</v>
      </c>
      <c r="E2180" t="s">
        <v>13242</v>
      </c>
      <c r="F2180" t="s">
        <v>14039</v>
      </c>
      <c r="G2180" t="s">
        <v>14672</v>
      </c>
      <c r="H2180" t="s">
        <v>13869</v>
      </c>
      <c r="I2180" t="s">
        <v>14690</v>
      </c>
      <c r="J2180" s="62">
        <v>0</v>
      </c>
      <c r="K2180" s="62">
        <v>0</v>
      </c>
      <c r="L2180" t="str">
        <f>VLOOKUP(VALUE(LEFT(C2180,5)),Xref!A:B,2,0)</f>
        <v>MAR</v>
      </c>
      <c r="M2180" t="str">
        <f t="shared" si="139"/>
        <v>KLP-MAR</v>
      </c>
    </row>
    <row r="2181" spans="1:13" ht="14.25" customHeight="true">
      <c r="A2181" s="33" t="str">
        <f t="shared" si="136"/>
        <v>KLP - Intercompany</v>
      </c>
      <c r="B2181" s="33" t="str">
        <f t="shared" si="137"/>
        <v>KLP</v>
      </c>
      <c r="C2181" s="33" t="str">
        <f t="shared" si="138"/>
        <v>11331-0000</v>
      </c>
      <c r="D2181" t="s">
        <v>21681</v>
      </c>
      <c r="E2181" t="s">
        <v>13354</v>
      </c>
      <c r="F2181" t="s">
        <v>14039</v>
      </c>
      <c r="G2181" t="s">
        <v>14672</v>
      </c>
      <c r="H2181" t="s">
        <v>13869</v>
      </c>
      <c r="I2181" t="s">
        <v>14690</v>
      </c>
      <c r="J2181" s="62">
        <v>0</v>
      </c>
      <c r="K2181" s="62">
        <v>0</v>
      </c>
      <c r="L2181" t="str">
        <f>VLOOKUP(VALUE(LEFT(C2181,5)),Xref!A:B,2,0)</f>
        <v>WIL</v>
      </c>
      <c r="M2181" t="str">
        <f t="shared" si="139"/>
        <v>KLP-WIL</v>
      </c>
    </row>
    <row r="2182" spans="1:13" ht="14.25" customHeight="true">
      <c r="A2182" s="33" t="str">
        <f t="shared" si="136"/>
        <v>KLP - Intercompany</v>
      </c>
      <c r="B2182" s="33" t="str">
        <f t="shared" si="137"/>
        <v>KLP</v>
      </c>
      <c r="C2182" s="33" t="str">
        <f t="shared" si="138"/>
        <v>11332-0000</v>
      </c>
      <c r="D2182" t="s">
        <v>21682</v>
      </c>
      <c r="E2182" t="s">
        <v>13243</v>
      </c>
      <c r="F2182" t="s">
        <v>14039</v>
      </c>
      <c r="G2182" t="s">
        <v>14672</v>
      </c>
      <c r="H2182" t="s">
        <v>13869</v>
      </c>
      <c r="I2182" t="s">
        <v>14690</v>
      </c>
      <c r="J2182" s="62">
        <v>0</v>
      </c>
      <c r="K2182" s="62">
        <v>0</v>
      </c>
      <c r="L2182" t="str">
        <f>VLOOKUP(VALUE(LEFT(C2182,5)),Xref!A:B,2,0)</f>
        <v>STO</v>
      </c>
      <c r="M2182" t="str">
        <f t="shared" si="139"/>
        <v>KLP-STO</v>
      </c>
    </row>
    <row r="2183" spans="1:13" ht="14.25" customHeight="true">
      <c r="A2183" s="33" t="str">
        <f t="shared" si="136"/>
        <v>KLP - Intercompany</v>
      </c>
      <c r="B2183" s="33" t="str">
        <f t="shared" si="137"/>
        <v>KLP</v>
      </c>
      <c r="C2183" s="33" t="str">
        <f t="shared" si="138"/>
        <v>11333-0000</v>
      </c>
      <c r="D2183" t="s">
        <v>21683</v>
      </c>
      <c r="E2183" t="s">
        <v>13244</v>
      </c>
      <c r="F2183" t="s">
        <v>14039</v>
      </c>
      <c r="G2183" t="s">
        <v>14672</v>
      </c>
      <c r="H2183" t="s">
        <v>13869</v>
      </c>
      <c r="I2183" t="s">
        <v>14690</v>
      </c>
      <c r="J2183" s="62">
        <v>0</v>
      </c>
      <c r="K2183" s="62">
        <v>0</v>
      </c>
      <c r="L2183" t="str">
        <f>VLOOKUP(VALUE(LEFT(C2183,5)),Xref!A:B,2,0)</f>
        <v>ANG</v>
      </c>
      <c r="M2183" t="str">
        <f t="shared" si="139"/>
        <v>ANG-KLP</v>
      </c>
    </row>
    <row r="2184" spans="1:13" ht="14.25" customHeight="true">
      <c r="A2184" s="33" t="str">
        <f t="shared" si="136"/>
        <v>KLP - Intercompany</v>
      </c>
      <c r="B2184" s="33" t="str">
        <f t="shared" si="137"/>
        <v>KLP</v>
      </c>
      <c r="C2184" s="33" t="str">
        <f t="shared" si="138"/>
        <v>11334-0000</v>
      </c>
      <c r="D2184" t="s">
        <v>21684</v>
      </c>
      <c r="E2184" t="s">
        <v>13245</v>
      </c>
      <c r="F2184" t="s">
        <v>14039</v>
      </c>
      <c r="G2184" t="s">
        <v>14672</v>
      </c>
      <c r="H2184" t="s">
        <v>13869</v>
      </c>
      <c r="I2184" t="s">
        <v>14690</v>
      </c>
      <c r="J2184" s="62">
        <v>0</v>
      </c>
      <c r="K2184" s="62">
        <v>0</v>
      </c>
      <c r="L2184" t="str">
        <f>VLOOKUP(VALUE(LEFT(C2184,5)),Xref!A:B,2,0)</f>
        <v>BRU</v>
      </c>
      <c r="M2184" t="str">
        <f t="shared" si="139"/>
        <v>BRU-KLP</v>
      </c>
    </row>
    <row r="2185" spans="1:13" ht="14.25" customHeight="true">
      <c r="A2185" s="33" t="str">
        <f t="shared" si="136"/>
        <v>KLP - Intercompany</v>
      </c>
      <c r="B2185" s="33" t="str">
        <f t="shared" si="137"/>
        <v>KLP</v>
      </c>
      <c r="C2185" s="33" t="str">
        <f t="shared" si="138"/>
        <v>11335-0000</v>
      </c>
      <c r="D2185" t="s">
        <v>21685</v>
      </c>
      <c r="E2185" t="s">
        <v>13246</v>
      </c>
      <c r="F2185" t="s">
        <v>14039</v>
      </c>
      <c r="G2185" t="s">
        <v>14672</v>
      </c>
      <c r="H2185" t="s">
        <v>13869</v>
      </c>
      <c r="I2185" t="s">
        <v>14690</v>
      </c>
      <c r="J2185" s="62">
        <v>0</v>
      </c>
      <c r="K2185" s="62">
        <v>0</v>
      </c>
      <c r="L2185" t="str">
        <f>VLOOKUP(VALUE(LEFT(C2185,5)),Xref!A:B,2,0)</f>
        <v>VEN</v>
      </c>
      <c r="M2185" t="str">
        <f t="shared" si="139"/>
        <v>KLP-VEN</v>
      </c>
    </row>
    <row r="2186" spans="1:13" ht="14.25" customHeight="true">
      <c r="A2186" s="33" t="str">
        <f t="shared" si="136"/>
        <v>KLP - Intercompany</v>
      </c>
      <c r="B2186" s="33" t="str">
        <f t="shared" si="137"/>
        <v>KLP</v>
      </c>
      <c r="C2186" s="33" t="str">
        <f t="shared" si="138"/>
        <v>11336-0000</v>
      </c>
      <c r="D2186" t="s">
        <v>21686</v>
      </c>
      <c r="E2186" t="s">
        <v>13247</v>
      </c>
      <c r="F2186" t="s">
        <v>14039</v>
      </c>
      <c r="G2186" t="s">
        <v>14672</v>
      </c>
      <c r="H2186" t="s">
        <v>13869</v>
      </c>
      <c r="I2186" t="s">
        <v>14690</v>
      </c>
      <c r="J2186" s="62">
        <v>0</v>
      </c>
      <c r="K2186" s="62">
        <v>0</v>
      </c>
      <c r="L2186" t="str">
        <f>VLOOKUP(VALUE(LEFT(C2186,5)),Xref!A:B,2,0)</f>
        <v>SAT</v>
      </c>
      <c r="M2186" t="str">
        <f t="shared" si="139"/>
        <v>KLP-SAT</v>
      </c>
    </row>
    <row r="2187" spans="1:13" ht="14.25" customHeight="true">
      <c r="A2187" s="33" t="str">
        <f t="shared" si="136"/>
        <v>KLP - Intercompany</v>
      </c>
      <c r="B2187" s="33" t="str">
        <f t="shared" si="137"/>
        <v>KLP</v>
      </c>
      <c r="C2187" s="33" t="str">
        <f t="shared" si="138"/>
        <v>11337-0000</v>
      </c>
      <c r="D2187" t="s">
        <v>21687</v>
      </c>
      <c r="E2187" t="s">
        <v>13248</v>
      </c>
      <c r="F2187" t="s">
        <v>14039</v>
      </c>
      <c r="G2187" t="s">
        <v>14672</v>
      </c>
      <c r="H2187" t="s">
        <v>13869</v>
      </c>
      <c r="I2187" t="s">
        <v>14690</v>
      </c>
      <c r="J2187" s="62">
        <v>0</v>
      </c>
      <c r="K2187" s="62">
        <v>0</v>
      </c>
      <c r="L2187" t="str">
        <f>VLOOKUP(VALUE(LEFT(C2187,5)),Xref!A:B,2,0)</f>
        <v>NEP</v>
      </c>
      <c r="M2187" t="str">
        <f t="shared" si="139"/>
        <v>KLP-NEP</v>
      </c>
    </row>
    <row r="2188" spans="1:13" ht="14.25" customHeight="true">
      <c r="A2188" s="33" t="str">
        <f t="shared" si="136"/>
        <v>KLP - Intercompany</v>
      </c>
      <c r="B2188" s="33" t="str">
        <f t="shared" si="137"/>
        <v>KLP</v>
      </c>
      <c r="C2188" s="33" t="str">
        <f t="shared" si="138"/>
        <v>11338-0000</v>
      </c>
      <c r="D2188" t="s">
        <v>21688</v>
      </c>
      <c r="E2188" t="s">
        <v>14131</v>
      </c>
      <c r="F2188" t="s">
        <v>14039</v>
      </c>
      <c r="G2188" t="s">
        <v>14672</v>
      </c>
      <c r="H2188" t="s">
        <v>13869</v>
      </c>
      <c r="I2188" t="s">
        <v>14690</v>
      </c>
      <c r="J2188" s="62">
        <v>0</v>
      </c>
      <c r="K2188" s="62">
        <v>0</v>
      </c>
      <c r="L2188" t="str">
        <f>VLOOKUP(VALUE(LEFT(C2188,5)),Xref!A:B,2,0)</f>
        <v>JUP</v>
      </c>
      <c r="M2188" t="str">
        <f t="shared" si="139"/>
        <v>JUP-KLP</v>
      </c>
    </row>
    <row r="2189" spans="1:13" ht="14.25" customHeight="true">
      <c r="A2189" s="33" t="str">
        <f t="shared" si="136"/>
        <v>KLP - Intercompany</v>
      </c>
      <c r="B2189" s="33" t="str">
        <f t="shared" si="137"/>
        <v>KLP</v>
      </c>
      <c r="C2189" s="33" t="str">
        <f t="shared" si="138"/>
        <v>11339-0000</v>
      </c>
      <c r="D2189" t="s">
        <v>21689</v>
      </c>
      <c r="E2189" t="s">
        <v>14133</v>
      </c>
      <c r="F2189" t="s">
        <v>14039</v>
      </c>
      <c r="G2189" t="s">
        <v>14672</v>
      </c>
      <c r="H2189" t="s">
        <v>13869</v>
      </c>
      <c r="I2189" t="s">
        <v>14690</v>
      </c>
      <c r="J2189" s="62">
        <v>0</v>
      </c>
      <c r="K2189" s="62">
        <v>0</v>
      </c>
      <c r="L2189" t="str">
        <f>VLOOKUP(VALUE(LEFT(C2189,5)),Xref!A:B,2,0)</f>
        <v>WES</v>
      </c>
      <c r="M2189" t="str">
        <f t="shared" si="139"/>
        <v>KLP-WES</v>
      </c>
    </row>
    <row r="2190" spans="1:13" ht="14.25" customHeight="true">
      <c r="A2190" s="33" t="str">
        <f t="shared" si="136"/>
        <v>KLP - Intercompany</v>
      </c>
      <c r="B2190" s="33" t="str">
        <f t="shared" si="137"/>
        <v>KLP</v>
      </c>
      <c r="C2190" s="33" t="str">
        <f t="shared" si="138"/>
        <v>11340-0000</v>
      </c>
      <c r="D2190" t="s">
        <v>21690</v>
      </c>
      <c r="E2190" t="s">
        <v>14135</v>
      </c>
      <c r="F2190" t="s">
        <v>14039</v>
      </c>
      <c r="G2190" t="s">
        <v>14672</v>
      </c>
      <c r="H2190" t="s">
        <v>13869</v>
      </c>
      <c r="I2190" t="s">
        <v>14690</v>
      </c>
      <c r="J2190" s="62">
        <v>0</v>
      </c>
      <c r="K2190" s="62">
        <v>0</v>
      </c>
      <c r="L2190" t="str">
        <f>VLOOKUP(VALUE(LEFT(C2190,5)),Xref!A:B,2,0)</f>
        <v>LCP</v>
      </c>
      <c r="M2190" t="str">
        <f t="shared" si="139"/>
        <v>KLP-LCP</v>
      </c>
    </row>
    <row r="2191" spans="1:13" ht="14.25" customHeight="true">
      <c r="A2191" s="33" t="str">
        <f t="shared" si="136"/>
        <v>KLP - Intercompany</v>
      </c>
      <c r="B2191" s="33" t="str">
        <f t="shared" si="137"/>
        <v>KLP</v>
      </c>
      <c r="C2191" s="33" t="str">
        <f t="shared" si="138"/>
        <v>11341-0000</v>
      </c>
      <c r="D2191" t="s">
        <v>21691</v>
      </c>
      <c r="E2191" t="s">
        <v>13639</v>
      </c>
      <c r="F2191" t="s">
        <v>14039</v>
      </c>
      <c r="G2191" t="s">
        <v>14672</v>
      </c>
      <c r="H2191" t="s">
        <v>13869</v>
      </c>
      <c r="I2191" t="s">
        <v>14690</v>
      </c>
      <c r="J2191" s="62">
        <v>0</v>
      </c>
      <c r="K2191" s="62">
        <v>0</v>
      </c>
      <c r="L2191" t="str">
        <f>VLOOKUP(VALUE(LEFT(C2191,5)),Xref!A:B,2,0)</f>
        <v>NOR</v>
      </c>
      <c r="M2191" t="str">
        <f t="shared" si="139"/>
        <v>KLP-NOR</v>
      </c>
    </row>
    <row r="2192" spans="1:13" ht="14.25" customHeight="true">
      <c r="A2192" s="33" t="str">
        <f t="shared" si="136"/>
        <v>KLP - Intercompany</v>
      </c>
      <c r="B2192" s="33" t="str">
        <f t="shared" si="137"/>
        <v>KLP</v>
      </c>
      <c r="C2192" s="33" t="str">
        <f t="shared" si="138"/>
        <v>11342-0000</v>
      </c>
      <c r="D2192" t="s">
        <v>21692</v>
      </c>
      <c r="E2192" t="s">
        <v>13355</v>
      </c>
      <c r="F2192" t="s">
        <v>14039</v>
      </c>
      <c r="G2192" t="s">
        <v>14672</v>
      </c>
      <c r="H2192" t="s">
        <v>13869</v>
      </c>
      <c r="I2192" t="s">
        <v>14690</v>
      </c>
      <c r="J2192" s="62">
        <v>0</v>
      </c>
      <c r="K2192" s="62">
        <v>0</v>
      </c>
      <c r="L2192" t="str">
        <f>VLOOKUP(VALUE(LEFT(C2192,5)),Xref!A:B,2,0)</f>
        <v>EAS</v>
      </c>
      <c r="M2192" t="str">
        <f t="shared" si="139"/>
        <v>EAS-KLP</v>
      </c>
    </row>
    <row r="2193" spans="1:13" ht="14.25" customHeight="true">
      <c r="A2193" s="33" t="str">
        <f t="shared" si="136"/>
        <v>KLP - Intercompany</v>
      </c>
      <c r="B2193" s="33" t="str">
        <f t="shared" si="137"/>
        <v>KLP</v>
      </c>
      <c r="C2193" s="33" t="str">
        <f t="shared" si="138"/>
        <v>11343-0000</v>
      </c>
      <c r="D2193" t="s">
        <v>6962</v>
      </c>
      <c r="E2193" t="s">
        <v>14139</v>
      </c>
      <c r="F2193" t="s">
        <v>14039</v>
      </c>
      <c r="G2193" t="s">
        <v>14672</v>
      </c>
      <c r="H2193" t="s">
        <v>13869</v>
      </c>
      <c r="I2193" t="s">
        <v>14690</v>
      </c>
      <c r="J2193" s="62">
        <v>0</v>
      </c>
      <c r="K2193" s="62">
        <v>833.84</v>
      </c>
      <c r="L2193" t="str">
        <f>VLOOKUP(VALUE(LEFT(C2193,5)),Xref!A:B,2,0)</f>
        <v>GRA</v>
      </c>
      <c r="M2193" t="str">
        <f t="shared" si="139"/>
        <v>GRA-KLP</v>
      </c>
    </row>
    <row r="2194" spans="1:13" ht="14.25" customHeight="true">
      <c r="A2194" s="33" t="str">
        <f t="shared" si="136"/>
        <v>KLP - Intercompany</v>
      </c>
      <c r="B2194" s="33" t="str">
        <f t="shared" si="137"/>
        <v>KLP</v>
      </c>
      <c r="C2194" s="33" t="str">
        <f t="shared" si="138"/>
        <v>11344-0000</v>
      </c>
      <c r="D2194" t="s">
        <v>21693</v>
      </c>
      <c r="E2194" t="s">
        <v>14141</v>
      </c>
      <c r="F2194" t="s">
        <v>14039</v>
      </c>
      <c r="G2194" t="s">
        <v>14672</v>
      </c>
      <c r="H2194" t="s">
        <v>13869</v>
      </c>
      <c r="I2194" t="s">
        <v>14690</v>
      </c>
      <c r="J2194" s="62">
        <v>0</v>
      </c>
      <c r="K2194" s="62">
        <v>0</v>
      </c>
      <c r="L2194" t="str">
        <f>VLOOKUP(VALUE(LEFT(C2194,5)),Xref!A:B,2,0)</f>
        <v>SOU</v>
      </c>
      <c r="M2194" t="str">
        <f t="shared" si="139"/>
        <v>KLP-SOU</v>
      </c>
    </row>
    <row r="2195" spans="1:13" ht="14.25" customHeight="true">
      <c r="A2195" s="33" t="str">
        <f t="shared" si="136"/>
        <v>KLP - Intercompany</v>
      </c>
      <c r="B2195" s="33" t="str">
        <f t="shared" si="137"/>
        <v>KLP</v>
      </c>
      <c r="C2195" s="33" t="str">
        <f t="shared" si="138"/>
        <v>11345-0000</v>
      </c>
      <c r="D2195" t="s">
        <v>21694</v>
      </c>
      <c r="E2195" t="s">
        <v>14143</v>
      </c>
      <c r="F2195" t="s">
        <v>14039</v>
      </c>
      <c r="G2195" t="s">
        <v>14672</v>
      </c>
      <c r="H2195" t="s">
        <v>13869</v>
      </c>
      <c r="I2195" t="s">
        <v>14690</v>
      </c>
      <c r="J2195" s="62">
        <v>0</v>
      </c>
      <c r="K2195" s="62">
        <v>0</v>
      </c>
      <c r="L2195" t="str">
        <f>VLOOKUP(VALUE(LEFT(C2195,5)),Xref!A:B,2,0)</f>
        <v>API</v>
      </c>
      <c r="M2195" t="str">
        <f t="shared" si="139"/>
        <v>API-KLP</v>
      </c>
    </row>
    <row r="2196" spans="1:13" ht="14.25" customHeight="true">
      <c r="A2196" s="33" t="str">
        <f t="shared" si="136"/>
        <v>KLP - Intercompany</v>
      </c>
      <c r="B2196" s="33" t="str">
        <f t="shared" si="137"/>
        <v>KLP</v>
      </c>
      <c r="C2196" s="33" t="str">
        <f t="shared" si="138"/>
        <v>11346-0000</v>
      </c>
      <c r="D2196" t="s">
        <v>21695</v>
      </c>
      <c r="E2196" t="s">
        <v>14145</v>
      </c>
      <c r="F2196" t="s">
        <v>14039</v>
      </c>
      <c r="G2196" t="s">
        <v>14672</v>
      </c>
      <c r="H2196" t="s">
        <v>13869</v>
      </c>
      <c r="I2196" t="s">
        <v>14690</v>
      </c>
      <c r="J2196" s="62">
        <v>0</v>
      </c>
      <c r="K2196" s="62">
        <v>0</v>
      </c>
      <c r="L2196" t="str">
        <f>VLOOKUP(VALUE(LEFT(C2196,5)),Xref!A:B,2,0)</f>
        <v>DPH</v>
      </c>
      <c r="M2196" t="str">
        <f t="shared" si="139"/>
        <v>DPH-KLP</v>
      </c>
    </row>
    <row r="2197" spans="1:13" ht="14.25" customHeight="true">
      <c r="A2197" s="33" t="str">
        <f t="shared" si="136"/>
        <v>KLP - Intercompany</v>
      </c>
      <c r="B2197" s="33" t="str">
        <f t="shared" si="137"/>
        <v>KLP</v>
      </c>
      <c r="C2197" s="33" t="str">
        <f t="shared" si="138"/>
        <v>11347-0000</v>
      </c>
      <c r="D2197" t="s">
        <v>21696</v>
      </c>
      <c r="E2197" t="s">
        <v>14147</v>
      </c>
      <c r="F2197" t="s">
        <v>14039</v>
      </c>
      <c r="G2197" t="s">
        <v>14672</v>
      </c>
      <c r="H2197" t="s">
        <v>13869</v>
      </c>
      <c r="I2197" t="s">
        <v>14690</v>
      </c>
      <c r="J2197" s="62">
        <v>0</v>
      </c>
      <c r="K2197" s="62">
        <v>0</v>
      </c>
      <c r="L2197" t="str">
        <f>VLOOKUP(VALUE(LEFT(C2197,5)),Xref!A:B,2,0)</f>
        <v>ZPI</v>
      </c>
      <c r="M2197" t="str">
        <f t="shared" si="139"/>
        <v>KLP-ZPI</v>
      </c>
    </row>
    <row r="2198" spans="1:13" ht="14.25" customHeight="true">
      <c r="A2198" s="33" t="str">
        <f t="shared" si="136"/>
        <v>KLP - Intercompany</v>
      </c>
      <c r="B2198" s="33" t="str">
        <f t="shared" si="137"/>
        <v>KLP</v>
      </c>
      <c r="C2198" s="33" t="str">
        <f t="shared" si="138"/>
        <v>11348-0000</v>
      </c>
      <c r="D2198" t="s">
        <v>21697</v>
      </c>
      <c r="E2198" t="s">
        <v>14149</v>
      </c>
      <c r="F2198" t="s">
        <v>14039</v>
      </c>
      <c r="G2198" t="s">
        <v>14672</v>
      </c>
      <c r="H2198" t="s">
        <v>13869</v>
      </c>
      <c r="I2198" t="s">
        <v>14690</v>
      </c>
      <c r="J2198" s="62">
        <v>0</v>
      </c>
      <c r="K2198" s="62">
        <v>0</v>
      </c>
      <c r="L2198" t="str">
        <f>VLOOKUP(VALUE(LEFT(C2198,5)),Xref!A:B,2,0)</f>
        <v>EAM</v>
      </c>
      <c r="M2198" t="str">
        <f t="shared" si="139"/>
        <v>EAM-KLP</v>
      </c>
    </row>
    <row r="2199" spans="1:13" ht="14.25" customHeight="true">
      <c r="A2199" s="33" t="str">
        <f t="shared" si="136"/>
        <v>KLP - Intercompany</v>
      </c>
      <c r="B2199" s="33" t="str">
        <f t="shared" si="137"/>
        <v>KLP</v>
      </c>
      <c r="C2199" s="33" t="str">
        <f t="shared" si="138"/>
        <v>11349-0000</v>
      </c>
      <c r="D2199" t="s">
        <v>21698</v>
      </c>
      <c r="E2199" t="s">
        <v>14151</v>
      </c>
      <c r="F2199" t="s">
        <v>14039</v>
      </c>
      <c r="G2199" t="s">
        <v>14672</v>
      </c>
      <c r="H2199" t="s">
        <v>13869</v>
      </c>
      <c r="I2199" t="s">
        <v>14690</v>
      </c>
      <c r="J2199" s="62">
        <v>0</v>
      </c>
      <c r="K2199" s="62">
        <v>0</v>
      </c>
      <c r="L2199" t="str">
        <f>VLOOKUP(VALUE(LEFT(C2199,5)),Xref!A:B,2,0)</f>
        <v>SEA</v>
      </c>
      <c r="M2199" t="str">
        <f t="shared" si="139"/>
        <v>KLP-SEA</v>
      </c>
    </row>
    <row r="2200" spans="1:13" ht="14.25" customHeight="true">
      <c r="A2200" s="33" t="str">
        <f t="shared" si="136"/>
        <v>KLP - Intercompany</v>
      </c>
      <c r="B2200" s="33" t="str">
        <f t="shared" si="137"/>
        <v>KLP</v>
      </c>
      <c r="C2200" s="33" t="str">
        <f t="shared" si="138"/>
        <v>11350-0000</v>
      </c>
      <c r="D2200" t="s">
        <v>21699</v>
      </c>
      <c r="E2200" t="s">
        <v>14153</v>
      </c>
      <c r="F2200" t="s">
        <v>14039</v>
      </c>
      <c r="G2200" t="s">
        <v>14672</v>
      </c>
      <c r="H2200" t="s">
        <v>13869</v>
      </c>
      <c r="I2200" t="s">
        <v>14690</v>
      </c>
      <c r="J2200" s="62">
        <v>0</v>
      </c>
      <c r="K2200" s="62">
        <v>-32.79</v>
      </c>
      <c r="L2200" t="str">
        <f>VLOOKUP(VALUE(LEFT(C2200,5)),Xref!A:B,2,0)</f>
        <v>EAL</v>
      </c>
      <c r="M2200" t="str">
        <f t="shared" si="139"/>
        <v>EAL-KLP</v>
      </c>
    </row>
    <row r="2201" spans="1:13" ht="14.25" customHeight="true">
      <c r="A2201" s="33" t="str">
        <f t="shared" si="136"/>
        <v>KLP - Intercompany</v>
      </c>
      <c r="B2201" s="33" t="str">
        <f t="shared" si="137"/>
        <v>KLP</v>
      </c>
      <c r="C2201" s="33" t="str">
        <f t="shared" si="138"/>
        <v>11351-0000</v>
      </c>
      <c r="D2201" t="s">
        <v>21700</v>
      </c>
      <c r="E2201" t="s">
        <v>14155</v>
      </c>
      <c r="F2201" t="s">
        <v>14039</v>
      </c>
      <c r="G2201" t="s">
        <v>14672</v>
      </c>
      <c r="H2201" t="s">
        <v>13869</v>
      </c>
      <c r="I2201" t="s">
        <v>14690</v>
      </c>
      <c r="J2201" s="62">
        <v>0</v>
      </c>
      <c r="K2201" s="62">
        <v>0</v>
      </c>
      <c r="L2201" t="str">
        <f>VLOOKUP(VALUE(LEFT(C2201,5)),Xref!A:B,2,0)</f>
        <v>WEP</v>
      </c>
      <c r="M2201" t="str">
        <f t="shared" si="139"/>
        <v>KLP-WEP</v>
      </c>
    </row>
    <row r="2202" spans="1:13" ht="14.25" customHeight="true">
      <c r="A2202" s="33" t="str">
        <f t="shared" si="136"/>
        <v>KLP - Intercompany</v>
      </c>
      <c r="B2202" s="33" t="str">
        <f t="shared" si="137"/>
        <v>KLP</v>
      </c>
      <c r="C2202" s="33" t="str">
        <f t="shared" si="138"/>
        <v>11352-0000</v>
      </c>
      <c r="D2202" t="s">
        <v>21701</v>
      </c>
      <c r="E2202" t="s">
        <v>13536</v>
      </c>
      <c r="F2202" t="s">
        <v>14039</v>
      </c>
      <c r="G2202" t="s">
        <v>14672</v>
      </c>
      <c r="H2202" t="s">
        <v>13869</v>
      </c>
      <c r="I2202" t="s">
        <v>14690</v>
      </c>
      <c r="J2202" s="62">
        <v>0</v>
      </c>
      <c r="K2202" s="62">
        <v>3200</v>
      </c>
      <c r="L2202" t="str">
        <f>VLOOKUP(VALUE(LEFT(C2202,5)),Xref!A:B,2,0)</f>
        <v>KLP</v>
      </c>
      <c r="M2202" t="str">
        <f t="shared" si="139"/>
        <v>KLP-KLP</v>
      </c>
    </row>
    <row r="2203" spans="1:13" ht="14.25" customHeight="true">
      <c r="A2203" s="33" t="str">
        <f t="shared" si="136"/>
        <v>KLP - Intercompany</v>
      </c>
      <c r="B2203" s="33" t="str">
        <f t="shared" si="137"/>
        <v>KLP</v>
      </c>
      <c r="C2203" s="33" t="str">
        <f t="shared" si="138"/>
        <v>11353-0000</v>
      </c>
      <c r="D2203" t="s">
        <v>21702</v>
      </c>
      <c r="E2203" t="s">
        <v>13537</v>
      </c>
      <c r="F2203" t="s">
        <v>14039</v>
      </c>
      <c r="G2203" t="s">
        <v>14672</v>
      </c>
      <c r="H2203" t="s">
        <v>13869</v>
      </c>
      <c r="I2203" t="s">
        <v>14690</v>
      </c>
      <c r="J2203" s="62">
        <v>0</v>
      </c>
      <c r="K2203" s="62">
        <v>0</v>
      </c>
      <c r="L2203" t="str">
        <f>VLOOKUP(VALUE(LEFT(C2203,5)),Xref!A:B,2,0)</f>
        <v>AKC</v>
      </c>
      <c r="M2203" t="str">
        <f t="shared" si="139"/>
        <v>AKC-KLP</v>
      </c>
    </row>
    <row r="2204" spans="1:13" ht="14.25" customHeight="true">
      <c r="A2204" s="33" t="str">
        <f t="shared" si="136"/>
        <v>KLP - Intercompany</v>
      </c>
      <c r="B2204" s="33" t="str">
        <f t="shared" si="137"/>
        <v>KLP</v>
      </c>
      <c r="C2204" s="33" t="str">
        <f t="shared" si="138"/>
        <v>11354-0000</v>
      </c>
      <c r="D2204" t="s">
        <v>21703</v>
      </c>
      <c r="E2204" t="s">
        <v>13538</v>
      </c>
      <c r="F2204" t="s">
        <v>14039</v>
      </c>
      <c r="G2204" t="s">
        <v>14672</v>
      </c>
      <c r="H2204" t="s">
        <v>13869</v>
      </c>
      <c r="I2204" t="s">
        <v>14690</v>
      </c>
      <c r="J2204" s="62">
        <v>0</v>
      </c>
      <c r="K2204" s="62">
        <v>0</v>
      </c>
      <c r="L2204" t="str">
        <f>VLOOKUP(VALUE(LEFT(C2204,5)),Xref!A:B,2,0)</f>
        <v>AKA</v>
      </c>
      <c r="M2204" t="str">
        <f t="shared" si="139"/>
        <v>AKA-KLP</v>
      </c>
    </row>
    <row r="2205" spans="1:13" ht="14.25" customHeight="true">
      <c r="A2205" s="33" t="str">
        <f t="shared" si="136"/>
        <v>KLP - Intercompany</v>
      </c>
      <c r="B2205" s="33" t="str">
        <f t="shared" si="137"/>
        <v>KLP</v>
      </c>
      <c r="C2205" s="33" t="str">
        <f t="shared" si="138"/>
        <v>11355-0000</v>
      </c>
      <c r="D2205" t="s">
        <v>21704</v>
      </c>
      <c r="E2205" t="s">
        <v>13539</v>
      </c>
      <c r="F2205" t="s">
        <v>14039</v>
      </c>
      <c r="G2205" t="s">
        <v>14672</v>
      </c>
      <c r="H2205" t="s">
        <v>13869</v>
      </c>
      <c r="I2205" t="s">
        <v>14690</v>
      </c>
      <c r="J2205" s="62">
        <v>0</v>
      </c>
      <c r="K2205" s="62">
        <v>0</v>
      </c>
      <c r="L2205" t="str">
        <f>VLOOKUP(VALUE(LEFT(C2205,5)),Xref!A:B,2,0)</f>
        <v>SPA</v>
      </c>
      <c r="M2205" t="str">
        <f t="shared" si="139"/>
        <v>KLP-SPA</v>
      </c>
    </row>
    <row r="2206" spans="1:13" ht="14.25" customHeight="true">
      <c r="A2206" s="33" t="str">
        <f t="shared" si="136"/>
        <v>KLP - Intercompany</v>
      </c>
      <c r="B2206" s="33" t="str">
        <f t="shared" si="137"/>
        <v>KLP</v>
      </c>
      <c r="C2206" s="33" t="str">
        <f t="shared" si="138"/>
        <v>11356-0000</v>
      </c>
      <c r="D2206" t="s">
        <v>21705</v>
      </c>
      <c r="E2206" t="s">
        <v>13540</v>
      </c>
      <c r="F2206" t="s">
        <v>14039</v>
      </c>
      <c r="G2206" t="s">
        <v>14672</v>
      </c>
      <c r="H2206" t="s">
        <v>13869</v>
      </c>
      <c r="I2206" t="s">
        <v>14690</v>
      </c>
      <c r="J2206" s="62">
        <v>0</v>
      </c>
      <c r="K2206" s="62">
        <v>0</v>
      </c>
      <c r="L2206" t="str">
        <f>VLOOKUP(VALUE(LEFT(C2206,5)),Xref!A:B,2,0)</f>
        <v>DPM</v>
      </c>
      <c r="M2206" t="str">
        <f t="shared" si="139"/>
        <v>DPM-KLP</v>
      </c>
    </row>
    <row r="2207" spans="1:13" ht="14.25" customHeight="true">
      <c r="A2207" s="33" t="str">
        <f t="shared" si="136"/>
        <v>KLP - Intercompany</v>
      </c>
      <c r="B2207" s="33" t="str">
        <f t="shared" si="137"/>
        <v>KLP</v>
      </c>
      <c r="C2207" s="33" t="str">
        <f t="shared" si="138"/>
        <v>11357-0000</v>
      </c>
      <c r="D2207" t="s">
        <v>21706</v>
      </c>
      <c r="E2207" t="s">
        <v>13541</v>
      </c>
      <c r="F2207" t="s">
        <v>14039</v>
      </c>
      <c r="G2207" t="s">
        <v>14672</v>
      </c>
      <c r="H2207" t="s">
        <v>13869</v>
      </c>
      <c r="I2207" t="s">
        <v>14690</v>
      </c>
      <c r="J2207" s="62">
        <v>0</v>
      </c>
      <c r="K2207" s="62">
        <v>0</v>
      </c>
      <c r="L2207" t="str">
        <f>VLOOKUP(VALUE(LEFT(C2207,5)),Xref!A:B,2,0)</f>
        <v>HDM</v>
      </c>
      <c r="M2207" t="str">
        <f t="shared" si="139"/>
        <v>HDM-KLP</v>
      </c>
    </row>
    <row r="2208" spans="1:13" ht="14.25" customHeight="true">
      <c r="A2208" s="33" t="str">
        <f t="shared" si="136"/>
        <v>KLP - Intercompany</v>
      </c>
      <c r="B2208" s="33" t="str">
        <f t="shared" si="137"/>
        <v>KLP</v>
      </c>
      <c r="C2208" s="33" t="str">
        <f t="shared" si="138"/>
        <v>11358-0000</v>
      </c>
      <c r="D2208" t="s">
        <v>21707</v>
      </c>
      <c r="E2208" t="s">
        <v>13542</v>
      </c>
      <c r="F2208" t="s">
        <v>14039</v>
      </c>
      <c r="G2208" t="s">
        <v>14672</v>
      </c>
      <c r="H2208" t="s">
        <v>13869</v>
      </c>
      <c r="I2208" t="s">
        <v>14690</v>
      </c>
      <c r="J2208" s="62">
        <v>-15000</v>
      </c>
      <c r="K2208" s="62">
        <v>-100079.15</v>
      </c>
      <c r="L2208" t="str">
        <f>VLOOKUP(VALUE(LEFT(C2208,5)),Xref!A:B,2,0)</f>
        <v>GRA</v>
      </c>
      <c r="M2208" t="str">
        <f t="shared" si="139"/>
        <v>GRA-KLP</v>
      </c>
    </row>
    <row r="2209" spans="1:13" ht="14.25" customHeight="true">
      <c r="A2209" s="33" t="str">
        <f t="shared" si="136"/>
        <v>KLP - Intercompany</v>
      </c>
      <c r="B2209" s="33" t="str">
        <f t="shared" si="137"/>
        <v>KLP</v>
      </c>
      <c r="C2209" s="33" t="str">
        <f t="shared" si="138"/>
        <v>11359-0000</v>
      </c>
      <c r="D2209" t="s">
        <v>21708</v>
      </c>
      <c r="E2209" t="s">
        <v>13543</v>
      </c>
      <c r="F2209" t="s">
        <v>14039</v>
      </c>
      <c r="G2209" t="s">
        <v>14672</v>
      </c>
      <c r="H2209" t="s">
        <v>13869</v>
      </c>
      <c r="I2209" t="s">
        <v>14690</v>
      </c>
      <c r="J2209" s="62">
        <v>0</v>
      </c>
      <c r="K2209" s="62">
        <v>0</v>
      </c>
      <c r="L2209" t="str">
        <f>VLOOKUP(VALUE(LEFT(C2209,5)),Xref!A:B,2,0)</f>
        <v>TPI</v>
      </c>
      <c r="M2209" t="str">
        <f t="shared" si="139"/>
        <v>KLP-TPI</v>
      </c>
    </row>
    <row r="2210" spans="1:13" ht="14.25" customHeight="true">
      <c r="A2210" s="33" t="str">
        <f t="shared" si="136"/>
        <v>KLP - Intercompany</v>
      </c>
      <c r="B2210" s="33" t="str">
        <f t="shared" si="137"/>
        <v>KLP</v>
      </c>
      <c r="C2210" s="33" t="str">
        <f t="shared" si="138"/>
        <v>11361-0000</v>
      </c>
      <c r="D2210" t="s">
        <v>21709</v>
      </c>
      <c r="E2210" t="s">
        <v>14165</v>
      </c>
      <c r="F2210" t="s">
        <v>14039</v>
      </c>
      <c r="G2210" t="s">
        <v>14672</v>
      </c>
      <c r="H2210" t="s">
        <v>13869</v>
      </c>
      <c r="I2210" t="s">
        <v>14690</v>
      </c>
      <c r="J2210" s="62">
        <v>0</v>
      </c>
      <c r="K2210" s="62">
        <v>0</v>
      </c>
      <c r="L2210" t="str">
        <f>VLOOKUP(VALUE(LEFT(C2210,5)),Xref!A:B,2,0)</f>
        <v>GSM</v>
      </c>
      <c r="M2210" t="str">
        <f t="shared" si="139"/>
        <v>GSM-KLP</v>
      </c>
    </row>
    <row r="2211" spans="1:13" ht="14.25" customHeight="true">
      <c r="A2211" s="33" t="str">
        <f t="shared" si="136"/>
        <v>KLP - Intercompany</v>
      </c>
      <c r="B2211" s="33" t="str">
        <f t="shared" si="137"/>
        <v>KLP</v>
      </c>
      <c r="C2211" s="33" t="str">
        <f t="shared" si="138"/>
        <v>11363-0000</v>
      </c>
      <c r="D2211" t="s">
        <v>21710</v>
      </c>
      <c r="E2211" t="s">
        <v>13544</v>
      </c>
      <c r="F2211" t="s">
        <v>14039</v>
      </c>
      <c r="G2211" t="s">
        <v>14672</v>
      </c>
      <c r="H2211" t="s">
        <v>13869</v>
      </c>
      <c r="I2211" t="s">
        <v>14690</v>
      </c>
      <c r="J2211" s="62">
        <v>0</v>
      </c>
      <c r="K2211" s="62">
        <v>0</v>
      </c>
      <c r="L2211" t="str">
        <f>VLOOKUP(VALUE(LEFT(C2211,5)),Xref!A:B,2,0)</f>
        <v>SOF</v>
      </c>
      <c r="M2211" t="str">
        <f t="shared" si="139"/>
        <v>KLP-SOF</v>
      </c>
    </row>
    <row r="2212" spans="1:13" ht="14.25" customHeight="true">
      <c r="A2212" s="33" t="str">
        <f t="shared" si="136"/>
        <v>KLP - Intercompany</v>
      </c>
      <c r="B2212" s="33" t="str">
        <f t="shared" si="137"/>
        <v>KLP</v>
      </c>
      <c r="C2212" s="33" t="str">
        <f t="shared" si="138"/>
        <v>11364-0000</v>
      </c>
      <c r="D2212" t="s">
        <v>21711</v>
      </c>
      <c r="E2212" t="s">
        <v>14168</v>
      </c>
      <c r="F2212" t="s">
        <v>14039</v>
      </c>
      <c r="G2212" t="s">
        <v>14672</v>
      </c>
      <c r="H2212" t="s">
        <v>13869</v>
      </c>
      <c r="I2212" t="s">
        <v>14690</v>
      </c>
      <c r="J2212" s="62">
        <v>0</v>
      </c>
      <c r="K2212" s="62">
        <v>0</v>
      </c>
      <c r="L2212" t="e">
        <f>VLOOKUP(VALUE(LEFT(C2212,5)),Xref!A:B,2,0)</f>
        <v>#N/A</v>
      </c>
      <c r="M2212" t="e">
        <f t="shared" si="139"/>
        <v>#N/A</v>
      </c>
    </row>
    <row r="2213" spans="1:13" ht="14.25" customHeight="true">
      <c r="A2213" s="33" t="str">
        <f t="shared" si="136"/>
        <v>KLP - Intercompany</v>
      </c>
      <c r="B2213" s="33" t="str">
        <f t="shared" si="137"/>
        <v>KLP</v>
      </c>
      <c r="C2213" s="33" t="str">
        <f t="shared" si="138"/>
        <v>11365-0000</v>
      </c>
      <c r="D2213" t="s">
        <v>21712</v>
      </c>
      <c r="E2213" t="s">
        <v>14170</v>
      </c>
      <c r="F2213" t="s">
        <v>14039</v>
      </c>
      <c r="G2213" t="s">
        <v>14672</v>
      </c>
      <c r="H2213" t="s">
        <v>13869</v>
      </c>
      <c r="I2213" t="s">
        <v>14690</v>
      </c>
      <c r="J2213" s="62">
        <v>0</v>
      </c>
      <c r="K2213" s="62">
        <v>0</v>
      </c>
      <c r="L2213" t="e">
        <f>VLOOKUP(VALUE(LEFT(C2213,5)),Xref!A:B,2,0)</f>
        <v>#N/A</v>
      </c>
      <c r="M2213" t="e">
        <f t="shared" si="139"/>
        <v>#N/A</v>
      </c>
    </row>
    <row r="2214" spans="1:13" ht="14.25" customHeight="true">
      <c r="A2214" s="33" t="str">
        <f t="shared" si="136"/>
        <v>KLP - Intercompany</v>
      </c>
      <c r="B2214" s="33" t="str">
        <f t="shared" si="137"/>
        <v>KLP</v>
      </c>
      <c r="C2214" s="33" t="str">
        <f t="shared" si="138"/>
        <v>11366-0000</v>
      </c>
      <c r="D2214" t="s">
        <v>21713</v>
      </c>
      <c r="E2214" t="s">
        <v>14172</v>
      </c>
      <c r="G2214" t="s">
        <v>14672</v>
      </c>
      <c r="H2214" t="s">
        <v>13869</v>
      </c>
      <c r="I2214" t="s">
        <v>14690</v>
      </c>
      <c r="J2214" s="62">
        <v>0</v>
      </c>
      <c r="K2214" s="62">
        <v>0</v>
      </c>
      <c r="L2214" t="e">
        <f>VLOOKUP(VALUE(LEFT(C2214,5)),Xref!A:B,2,0)</f>
        <v>#N/A</v>
      </c>
      <c r="M2214" t="e">
        <f t="shared" si="139"/>
        <v>#N/A</v>
      </c>
    </row>
    <row r="2215" spans="1:13" ht="14.25" customHeight="true">
      <c r="A2215" s="33" t="str">
        <f t="shared" si="136"/>
        <v>KLP - Intercompany</v>
      </c>
      <c r="B2215" s="33" t="str">
        <f t="shared" si="137"/>
        <v>KLP</v>
      </c>
      <c r="C2215" s="33" t="str">
        <f t="shared" si="138"/>
        <v>11402-0000</v>
      </c>
      <c r="D2215" t="s">
        <v>21714</v>
      </c>
      <c r="E2215" t="s">
        <v>14174</v>
      </c>
      <c r="G2215" t="s">
        <v>14672</v>
      </c>
      <c r="H2215" t="s">
        <v>13869</v>
      </c>
      <c r="I2215" t="s">
        <v>14690</v>
      </c>
      <c r="J2215" s="62">
        <v>0</v>
      </c>
      <c r="K2215" s="62">
        <v>0</v>
      </c>
      <c r="L2215" t="str">
        <f>VLOOKUP(VALUE(LEFT(C2215,5)),Xref!A:B,2,0)</f>
        <v>DPI</v>
      </c>
      <c r="M2215" t="str">
        <f t="shared" si="139"/>
        <v>DPI-KLP</v>
      </c>
    </row>
    <row r="2216" spans="1:13" ht="14.25" customHeight="true">
      <c r="A2216" s="33" t="str">
        <f t="shared" si="136"/>
        <v>KLP - Intercompany</v>
      </c>
      <c r="B2216" s="33" t="str">
        <f t="shared" si="137"/>
        <v>KLP</v>
      </c>
      <c r="C2216" s="33" t="str">
        <f t="shared" si="138"/>
        <v>11403-0000</v>
      </c>
      <c r="D2216" t="s">
        <v>21715</v>
      </c>
      <c r="E2216" t="s">
        <v>14176</v>
      </c>
      <c r="G2216" t="s">
        <v>14672</v>
      </c>
      <c r="H2216" t="s">
        <v>13869</v>
      </c>
      <c r="I2216" t="s">
        <v>14690</v>
      </c>
      <c r="J2216" s="62">
        <v>0</v>
      </c>
      <c r="K2216" s="62">
        <v>0</v>
      </c>
      <c r="L2216" t="str">
        <f>VLOOKUP(VALUE(LEFT(C2216,5)),Xref!A:B,2,0)</f>
        <v>SEA</v>
      </c>
      <c r="M2216" t="str">
        <f t="shared" si="139"/>
        <v>KLP-SEA</v>
      </c>
    </row>
    <row r="2217" spans="1:13" ht="14.25" customHeight="true">
      <c r="A2217" s="33" t="str">
        <f t="shared" si="136"/>
        <v>KLP - Intercompany</v>
      </c>
      <c r="B2217" s="33" t="str">
        <f t="shared" si="137"/>
        <v>KLP</v>
      </c>
      <c r="C2217" s="33" t="str">
        <f t="shared" si="138"/>
        <v>12400-0000</v>
      </c>
      <c r="D2217" t="s">
        <v>21718</v>
      </c>
      <c r="E2217" t="s">
        <v>14185</v>
      </c>
      <c r="F2217" t="s">
        <v>14039</v>
      </c>
      <c r="G2217" t="s">
        <v>14672</v>
      </c>
      <c r="H2217" t="s">
        <v>13869</v>
      </c>
      <c r="I2217" t="s">
        <v>14690</v>
      </c>
      <c r="J2217" s="62">
        <v>0</v>
      </c>
      <c r="K2217" s="62">
        <v>0</v>
      </c>
      <c r="L2217" t="str">
        <f>VLOOKUP(VALUE(LEFT(C2217,5)),Xref!A:B,2,0)</f>
        <v>aka</v>
      </c>
      <c r="M2217" t="str">
        <f t="shared" si="139"/>
        <v>aka-KLP</v>
      </c>
    </row>
    <row r="2218" spans="1:13" ht="14.25" customHeight="true">
      <c r="A2218" s="33" t="str">
        <f t="shared" si="136"/>
        <v>KLP - Intercompany</v>
      </c>
      <c r="B2218" s="33" t="str">
        <f t="shared" si="137"/>
        <v>KLP</v>
      </c>
      <c r="C2218" s="33" t="str">
        <f t="shared" si="138"/>
        <v>12401-0000</v>
      </c>
      <c r="D2218" t="s">
        <v>21719</v>
      </c>
      <c r="E2218" t="s">
        <v>14187</v>
      </c>
      <c r="F2218" t="s">
        <v>14039</v>
      </c>
      <c r="G2218" t="s">
        <v>14672</v>
      </c>
      <c r="H2218" t="s">
        <v>13869</v>
      </c>
      <c r="I2218" t="s">
        <v>14690</v>
      </c>
      <c r="J2218" s="62">
        <v>0</v>
      </c>
      <c r="K2218" s="62">
        <v>0</v>
      </c>
      <c r="L2218" t="str">
        <f>VLOOKUP(VALUE(LEFT(C2218,5)),Xref!A:B,2,0)</f>
        <v>aka</v>
      </c>
      <c r="M2218" t="str">
        <f t="shared" si="139"/>
        <v>aka-KLP</v>
      </c>
    </row>
    <row r="2219" spans="1:13" ht="14.25" customHeight="true">
      <c r="A2219" s="33" t="str">
        <f t="shared" si="136"/>
        <v>KLP - Intercompany</v>
      </c>
      <c r="B2219" s="33" t="str">
        <f t="shared" si="137"/>
        <v>KLP</v>
      </c>
      <c r="C2219" s="33" t="str">
        <f t="shared" si="138"/>
        <v>12402-0000</v>
      </c>
      <c r="D2219" t="s">
        <v>21720</v>
      </c>
      <c r="E2219" t="s">
        <v>14189</v>
      </c>
      <c r="F2219" t="s">
        <v>14039</v>
      </c>
      <c r="G2219" t="s">
        <v>14672</v>
      </c>
      <c r="H2219" t="s">
        <v>13869</v>
      </c>
      <c r="I2219" t="s">
        <v>14690</v>
      </c>
      <c r="J2219" s="62">
        <v>0</v>
      </c>
      <c r="K2219" s="62">
        <v>0</v>
      </c>
      <c r="L2219" t="str">
        <f>VLOOKUP(VALUE(LEFT(C2219,5)),Xref!A:B,2,0)</f>
        <v>aka</v>
      </c>
      <c r="M2219" t="str">
        <f t="shared" si="139"/>
        <v>aka-KLP</v>
      </c>
    </row>
    <row r="2220" spans="1:13" ht="14.25" customHeight="true">
      <c r="A2220" s="33" t="str">
        <f t="shared" si="136"/>
        <v>KLP - Intercompany</v>
      </c>
      <c r="B2220" s="33" t="str">
        <f t="shared" si="137"/>
        <v>KLP</v>
      </c>
      <c r="C2220" s="33" t="str">
        <f t="shared" si="138"/>
        <v>12403-0000</v>
      </c>
      <c r="D2220" t="s">
        <v>21721</v>
      </c>
      <c r="E2220" t="s">
        <v>5226</v>
      </c>
      <c r="F2220" t="s">
        <v>14039</v>
      </c>
      <c r="G2220" t="s">
        <v>14672</v>
      </c>
      <c r="H2220" t="s">
        <v>13869</v>
      </c>
      <c r="I2220" t="s">
        <v>14690</v>
      </c>
      <c r="J2220" s="62">
        <v>0</v>
      </c>
      <c r="K2220" s="62">
        <v>0</v>
      </c>
      <c r="L2220" t="str">
        <f>VLOOKUP(VALUE(LEFT(C2220,5)),Xref!A:B,2,0)</f>
        <v>aka</v>
      </c>
      <c r="M2220" t="str">
        <f t="shared" si="139"/>
        <v>aka-KLP</v>
      </c>
    </row>
    <row r="2221" spans="1:13" ht="14.25" customHeight="true">
      <c r="A2221" s="33" t="str">
        <f t="shared" si="136"/>
        <v>KLP - Intercompany</v>
      </c>
      <c r="B2221" s="33" t="str">
        <f t="shared" si="137"/>
        <v>KLP</v>
      </c>
      <c r="C2221" s="33" t="str">
        <f t="shared" si="138"/>
        <v>12501-0000</v>
      </c>
      <c r="D2221" t="s">
        <v>21722</v>
      </c>
      <c r="E2221" t="s">
        <v>14192</v>
      </c>
      <c r="F2221" t="s">
        <v>14039</v>
      </c>
      <c r="G2221" t="s">
        <v>14672</v>
      </c>
      <c r="H2221" t="s">
        <v>13869</v>
      </c>
      <c r="I2221" t="s">
        <v>14690</v>
      </c>
      <c r="J2221" s="62">
        <v>0</v>
      </c>
      <c r="K2221" s="62">
        <v>0</v>
      </c>
      <c r="L2221" t="str">
        <f>VLOOKUP(VALUE(LEFT(C2221,5)),Xref!A:B,2,0)</f>
        <v>aka</v>
      </c>
      <c r="M2221" t="str">
        <f t="shared" si="139"/>
        <v>aka-KLP</v>
      </c>
    </row>
    <row r="2222" spans="1:13" ht="14.25" customHeight="true">
      <c r="A2222" s="33" t="str">
        <f t="shared" si="136"/>
        <v>KLP - InterCo Notes</v>
      </c>
      <c r="B2222" s="33" t="str">
        <f t="shared" si="137"/>
        <v>KLP</v>
      </c>
      <c r="C2222" s="33" t="str">
        <f t="shared" si="138"/>
        <v>25600-0000</v>
      </c>
      <c r="D2222" t="s">
        <v>21772</v>
      </c>
      <c r="E2222" t="s">
        <v>314</v>
      </c>
      <c r="F2222" t="s">
        <v>14039</v>
      </c>
      <c r="G2222" t="s">
        <v>14672</v>
      </c>
      <c r="H2222" t="s">
        <v>13889</v>
      </c>
      <c r="I2222" t="s">
        <v>14690</v>
      </c>
      <c r="J2222" s="62">
        <v>0</v>
      </c>
      <c r="K2222" s="62">
        <v>0</v>
      </c>
      <c r="L2222" t="str">
        <f>VLOOKUP(VALUE(LEFT(C2222,5)),Xref!A:B,2,0)</f>
        <v>D7</v>
      </c>
      <c r="M2222" t="str">
        <f t="shared" si="139"/>
        <v>D7-KLP</v>
      </c>
    </row>
    <row r="2223" spans="1:13" ht="14.25" customHeight="true">
      <c r="A2223" s="33" t="str">
        <f t="shared" si="136"/>
        <v>KLP - InterCo Notes</v>
      </c>
      <c r="B2223" s="33" t="str">
        <f t="shared" si="137"/>
        <v>KLP</v>
      </c>
      <c r="C2223" s="33" t="str">
        <f t="shared" si="138"/>
        <v>25602-0000</v>
      </c>
      <c r="D2223" t="s">
        <v>21774</v>
      </c>
      <c r="E2223" t="s">
        <v>13426</v>
      </c>
      <c r="F2223" t="s">
        <v>14039</v>
      </c>
      <c r="G2223" t="s">
        <v>14672</v>
      </c>
      <c r="H2223" t="s">
        <v>13889</v>
      </c>
      <c r="I2223" t="s">
        <v>14690</v>
      </c>
      <c r="J2223" s="62">
        <v>-35000</v>
      </c>
      <c r="K2223" s="62">
        <v>-545000</v>
      </c>
      <c r="L2223" t="str">
        <f>VLOOKUP(VALUE(LEFT(C2223,5)),Xref!A:B,2,0)</f>
        <v>DFLP</v>
      </c>
      <c r="M2223" t="str">
        <f t="shared" si="139"/>
        <v>DFLP-KLP</v>
      </c>
    </row>
    <row r="2224" spans="1:13" ht="14.25" customHeight="true">
      <c r="A2224" s="33" t="str">
        <f t="shared" si="136"/>
        <v>KLP - InterCo Notes</v>
      </c>
      <c r="B2224" s="33" t="str">
        <f t="shared" si="137"/>
        <v>KLP</v>
      </c>
      <c r="C2224" s="33" t="str">
        <f t="shared" si="138"/>
        <v>25603-0000</v>
      </c>
      <c r="D2224" t="s">
        <v>21775</v>
      </c>
      <c r="E2224" t="s">
        <v>14311</v>
      </c>
      <c r="F2224" t="s">
        <v>14039</v>
      </c>
      <c r="G2224" t="s">
        <v>14832</v>
      </c>
      <c r="H2224" t="s">
        <v>13889</v>
      </c>
      <c r="I2224" t="s">
        <v>14690</v>
      </c>
      <c r="J2224" s="62">
        <v>0</v>
      </c>
      <c r="K2224" s="62">
        <v>0</v>
      </c>
      <c r="L2224" t="str">
        <f>VLOOKUP(VALUE(LEFT(C2224,5)),Xref!A:B,2,0)</f>
        <v>aka</v>
      </c>
      <c r="M2224" t="str">
        <f t="shared" si="139"/>
        <v>aka-KLP</v>
      </c>
    </row>
    <row r="2225" spans="1:13" ht="14.25" customHeight="true">
      <c r="A2225" s="33" t="str">
        <f t="shared" si="136"/>
        <v>KLP - Intercompany</v>
      </c>
      <c r="B2225" s="33" t="str">
        <f t="shared" si="137"/>
        <v>KLP</v>
      </c>
      <c r="C2225" s="33" t="str">
        <f t="shared" si="138"/>
        <v>25604-0000</v>
      </c>
      <c r="D2225" t="s">
        <v>21776</v>
      </c>
      <c r="E2225" t="s">
        <v>13490</v>
      </c>
      <c r="F2225" t="s">
        <v>14039</v>
      </c>
      <c r="G2225" t="s">
        <v>14672</v>
      </c>
      <c r="H2225" t="s">
        <v>13869</v>
      </c>
      <c r="I2225" t="s">
        <v>14690</v>
      </c>
      <c r="J2225" s="62">
        <v>0</v>
      </c>
      <c r="K2225" s="62">
        <v>0</v>
      </c>
      <c r="L2225">
        <f>VLOOKUP(VALUE(LEFT(C2225,5)),Xref!A:B,2,0)</f>
        <v>0</v>
      </c>
      <c r="M2225" t="str">
        <f t="shared" si="139"/>
        <v>0-KLP</v>
      </c>
    </row>
    <row r="2226" spans="1:13" ht="14.25" customHeight="true">
      <c r="A2226" s="33" t="str">
        <f t="shared" si="136"/>
        <v>LAN - Intercompany</v>
      </c>
      <c r="B2226" s="33" t="str">
        <f t="shared" si="137"/>
        <v>LAN</v>
      </c>
      <c r="C2226" s="33" t="str">
        <f t="shared" si="138"/>
        <v>11231-0000</v>
      </c>
      <c r="D2226" t="s">
        <v>1484</v>
      </c>
      <c r="E2226" t="s">
        <v>549</v>
      </c>
      <c r="F2226" t="s">
        <v>30853</v>
      </c>
      <c r="G2226" t="s">
        <v>16</v>
      </c>
      <c r="H2226" t="s">
        <v>13869</v>
      </c>
      <c r="I2226" t="s">
        <v>40</v>
      </c>
      <c r="J2226" s="62">
        <v>586.54</v>
      </c>
      <c r="K2226" s="62">
        <v>15970.97</v>
      </c>
      <c r="L2226" t="str">
        <f>VLOOKUP(VALUE(LEFT(C2226,5)),Xref!A:B,2,0)</f>
        <v>SC1</v>
      </c>
      <c r="M2226" t="str">
        <f t="shared" si="139"/>
        <v>LAN-SC1</v>
      </c>
    </row>
    <row r="2227" spans="1:13" ht="14.25" customHeight="true">
      <c r="A2227" s="33" t="str">
        <f t="shared" si="136"/>
        <v>LCP - Intercompany</v>
      </c>
      <c r="B2227" s="33" t="str">
        <f t="shared" si="137"/>
        <v>LCP</v>
      </c>
      <c r="C2227" s="33" t="str">
        <f t="shared" si="138"/>
        <v>11200-0000</v>
      </c>
      <c r="D2227" t="s">
        <v>21936</v>
      </c>
      <c r="E2227" t="s">
        <v>14069</v>
      </c>
      <c r="F2227" t="s">
        <v>14039</v>
      </c>
      <c r="G2227" t="s">
        <v>14672</v>
      </c>
      <c r="H2227" t="s">
        <v>13869</v>
      </c>
      <c r="I2227" t="s">
        <v>14690</v>
      </c>
      <c r="J2227" s="62">
        <v>0</v>
      </c>
      <c r="K2227" s="62">
        <v>0</v>
      </c>
      <c r="L2227" t="str">
        <f>VLOOKUP(VALUE(LEFT(C2227,5)),Xref!A:B,2,0)</f>
        <v>SCL</v>
      </c>
      <c r="M2227" t="str">
        <f t="shared" si="139"/>
        <v>LCP-SCL</v>
      </c>
    </row>
    <row r="2228" spans="1:13" ht="14.25" customHeight="true">
      <c r="A2228" s="33" t="str">
        <f t="shared" si="136"/>
        <v>LCP - Intercompany</v>
      </c>
      <c r="B2228" s="33" t="str">
        <f t="shared" si="137"/>
        <v>LCP</v>
      </c>
      <c r="C2228" s="33" t="str">
        <f t="shared" si="138"/>
        <v>11201-0000</v>
      </c>
      <c r="D2228" t="s">
        <v>21937</v>
      </c>
      <c r="E2228" t="s">
        <v>14071</v>
      </c>
      <c r="F2228" t="s">
        <v>14039</v>
      </c>
      <c r="G2228" t="s">
        <v>14672</v>
      </c>
      <c r="H2228" t="s">
        <v>13869</v>
      </c>
      <c r="I2228" t="s">
        <v>14690</v>
      </c>
      <c r="J2228" s="62">
        <v>0</v>
      </c>
      <c r="K2228" s="62">
        <v>0</v>
      </c>
      <c r="L2228" t="str">
        <f>VLOOKUP(VALUE(LEFT(C2228,5)),Xref!A:B,2,0)</f>
        <v>SG2</v>
      </c>
      <c r="M2228" t="str">
        <f t="shared" si="139"/>
        <v>LCP-SG2</v>
      </c>
    </row>
    <row r="2229" spans="1:13" ht="14.25" customHeight="true">
      <c r="A2229" s="33" t="str">
        <f t="shared" si="136"/>
        <v>LCP - Intercompany</v>
      </c>
      <c r="B2229" s="33" t="str">
        <f t="shared" si="137"/>
        <v>LCP</v>
      </c>
      <c r="C2229" s="33" t="str">
        <f t="shared" si="138"/>
        <v>11202-0000</v>
      </c>
      <c r="D2229" t="s">
        <v>21938</v>
      </c>
      <c r="E2229" t="s">
        <v>14073</v>
      </c>
      <c r="F2229" t="s">
        <v>14039</v>
      </c>
      <c r="G2229" t="s">
        <v>14672</v>
      </c>
      <c r="H2229" t="s">
        <v>13869</v>
      </c>
      <c r="I2229" t="s">
        <v>14690</v>
      </c>
      <c r="J2229" s="62">
        <v>0</v>
      </c>
      <c r="K2229" s="62">
        <v>0</v>
      </c>
      <c r="L2229" t="str">
        <f>VLOOKUP(VALUE(LEFT(C2229,5)),Xref!A:B,2,0)</f>
        <v>FFC</v>
      </c>
      <c r="M2229" t="str">
        <f t="shared" si="139"/>
        <v>FFC-LCP</v>
      </c>
    </row>
    <row r="2230" spans="1:13" ht="14.25" customHeight="true">
      <c r="A2230" s="33" t="str">
        <f t="shared" si="136"/>
        <v>LCP - Intercompany</v>
      </c>
      <c r="B2230" s="33" t="str">
        <f t="shared" si="137"/>
        <v>LCP</v>
      </c>
      <c r="C2230" s="33" t="str">
        <f t="shared" si="138"/>
        <v>11203-0000</v>
      </c>
      <c r="D2230" t="s">
        <v>21939</v>
      </c>
      <c r="E2230" t="s">
        <v>14075</v>
      </c>
      <c r="F2230" t="s">
        <v>14039</v>
      </c>
      <c r="G2230" t="s">
        <v>14672</v>
      </c>
      <c r="H2230" t="s">
        <v>13869</v>
      </c>
      <c r="I2230" t="s">
        <v>14690</v>
      </c>
      <c r="J2230" s="62">
        <v>0</v>
      </c>
      <c r="K2230" s="62">
        <v>0</v>
      </c>
      <c r="L2230" t="str">
        <f>VLOOKUP(VALUE(LEFT(C2230,5)),Xref!A:B,2,0)</f>
        <v>HN2</v>
      </c>
      <c r="M2230" t="str">
        <f t="shared" si="139"/>
        <v>HN2-LCP</v>
      </c>
    </row>
    <row r="2231" spans="1:13" ht="14.25" customHeight="true">
      <c r="A2231" s="33" t="str">
        <f t="shared" si="136"/>
        <v>LCP - Intercompany</v>
      </c>
      <c r="B2231" s="33" t="str">
        <f t="shared" si="137"/>
        <v>LCP</v>
      </c>
      <c r="C2231" s="33" t="str">
        <f t="shared" si="138"/>
        <v>11204-0000</v>
      </c>
      <c r="D2231" t="s">
        <v>21940</v>
      </c>
      <c r="E2231" t="s">
        <v>14077</v>
      </c>
      <c r="F2231" t="s">
        <v>14039</v>
      </c>
      <c r="G2231" t="s">
        <v>14672</v>
      </c>
      <c r="H2231" t="s">
        <v>13869</v>
      </c>
      <c r="I2231" t="s">
        <v>14690</v>
      </c>
      <c r="J2231" s="62">
        <v>0</v>
      </c>
      <c r="K2231" s="62">
        <v>0</v>
      </c>
      <c r="L2231" t="str">
        <f>VLOOKUP(VALUE(LEFT(C2231,5)),Xref!A:B,2,0)</f>
        <v>DF2</v>
      </c>
      <c r="M2231" t="str">
        <f t="shared" si="139"/>
        <v>DF2-LCP</v>
      </c>
    </row>
    <row r="2232" spans="1:13" ht="14.25" customHeight="true">
      <c r="A2232" s="33" t="str">
        <f t="shared" si="136"/>
        <v>LCP - Intercompany</v>
      </c>
      <c r="B2232" s="33" t="str">
        <f t="shared" si="137"/>
        <v>LCP</v>
      </c>
      <c r="C2232" s="33" t="str">
        <f t="shared" si="138"/>
        <v>11208-0000</v>
      </c>
      <c r="D2232" t="s">
        <v>21941</v>
      </c>
      <c r="E2232" t="s">
        <v>14079</v>
      </c>
      <c r="F2232" t="s">
        <v>14039</v>
      </c>
      <c r="G2232" t="s">
        <v>14672</v>
      </c>
      <c r="H2232" t="s">
        <v>13869</v>
      </c>
      <c r="I2232" t="s">
        <v>14690</v>
      </c>
      <c r="J2232" s="62">
        <v>0</v>
      </c>
      <c r="K2232" s="62">
        <v>0</v>
      </c>
      <c r="L2232" t="str">
        <f>VLOOKUP(VALUE(LEFT(C2232,5)),Xref!A:B,2,0)</f>
        <v>SRE</v>
      </c>
      <c r="M2232" t="str">
        <f t="shared" si="139"/>
        <v>LCP-SRE</v>
      </c>
    </row>
    <row r="2233" spans="1:13" ht="14.25" customHeight="true">
      <c r="A2233" s="33" t="str">
        <f t="shared" si="136"/>
        <v>LCP - Intercompany</v>
      </c>
      <c r="B2233" s="33" t="str">
        <f t="shared" si="137"/>
        <v>LCP</v>
      </c>
      <c r="C2233" s="33" t="str">
        <f t="shared" si="138"/>
        <v>11210-0000</v>
      </c>
      <c r="D2233" t="s">
        <v>21942</v>
      </c>
      <c r="E2233" t="s">
        <v>14081</v>
      </c>
      <c r="F2233" t="s">
        <v>14039</v>
      </c>
      <c r="G2233" t="s">
        <v>14672</v>
      </c>
      <c r="H2233" t="s">
        <v>13869</v>
      </c>
      <c r="I2233" t="s">
        <v>14690</v>
      </c>
      <c r="J2233" s="62">
        <v>0</v>
      </c>
      <c r="K2233" s="62">
        <v>0</v>
      </c>
      <c r="L2233" t="str">
        <f>VLOOKUP(VALUE(LEFT(C2233,5)),Xref!A:B,2,0)</f>
        <v>REM</v>
      </c>
      <c r="M2233" t="str">
        <f t="shared" si="139"/>
        <v>LCP-REM</v>
      </c>
    </row>
    <row r="2234" spans="1:13" ht="14.25" customHeight="true">
      <c r="A2234" s="33" t="str">
        <f t="shared" si="136"/>
        <v>LCP - Intercompany</v>
      </c>
      <c r="B2234" s="33" t="str">
        <f t="shared" si="137"/>
        <v>LCP</v>
      </c>
      <c r="C2234" s="33" t="str">
        <f t="shared" si="138"/>
        <v>11212-0000</v>
      </c>
      <c r="D2234" t="s">
        <v>21943</v>
      </c>
      <c r="E2234" t="s">
        <v>14083</v>
      </c>
      <c r="F2234" t="s">
        <v>14039</v>
      </c>
      <c r="G2234" t="s">
        <v>14672</v>
      </c>
      <c r="H2234" t="s">
        <v>13869</v>
      </c>
      <c r="I2234" t="s">
        <v>14690</v>
      </c>
      <c r="J2234" s="62">
        <v>0</v>
      </c>
      <c r="K2234" s="62">
        <v>0</v>
      </c>
      <c r="L2234" t="str">
        <f>VLOOKUP(VALUE(LEFT(C2234,5)),Xref!A:B,2,0)</f>
        <v>FRM</v>
      </c>
      <c r="M2234" t="str">
        <f t="shared" si="139"/>
        <v>FRM-LCP</v>
      </c>
    </row>
    <row r="2235" spans="1:13" ht="14.25" customHeight="true">
      <c r="A2235" s="33" t="str">
        <f t="shared" si="136"/>
        <v>LCP - Intercompany</v>
      </c>
      <c r="B2235" s="33" t="str">
        <f t="shared" si="137"/>
        <v>LCP</v>
      </c>
      <c r="C2235" s="33" t="str">
        <f t="shared" si="138"/>
        <v>11214-0000</v>
      </c>
      <c r="D2235" t="s">
        <v>21944</v>
      </c>
      <c r="E2235" t="s">
        <v>14085</v>
      </c>
      <c r="F2235" t="s">
        <v>14039</v>
      </c>
      <c r="G2235" t="s">
        <v>14672</v>
      </c>
      <c r="H2235" t="s">
        <v>13869</v>
      </c>
      <c r="I2235" t="s">
        <v>14690</v>
      </c>
      <c r="J2235" s="62">
        <v>0</v>
      </c>
      <c r="K2235" s="62">
        <v>0</v>
      </c>
      <c r="L2235" t="str">
        <f>VLOOKUP(VALUE(LEFT(C2235,5)),Xref!A:B,2,0)</f>
        <v>D7R</v>
      </c>
      <c r="M2235" t="str">
        <f t="shared" si="139"/>
        <v>D7R-LCP</v>
      </c>
    </row>
    <row r="2236" spans="1:13" ht="14.25" customHeight="true">
      <c r="A2236" s="33" t="str">
        <f t="shared" si="136"/>
        <v>LCP - Intercompany</v>
      </c>
      <c r="B2236" s="33" t="str">
        <f t="shared" si="137"/>
        <v>LCP</v>
      </c>
      <c r="C2236" s="33" t="str">
        <f t="shared" si="138"/>
        <v>11215-0000</v>
      </c>
      <c r="D2236" t="s">
        <v>21945</v>
      </c>
      <c r="E2236" t="s">
        <v>14087</v>
      </c>
      <c r="F2236" t="s">
        <v>14039</v>
      </c>
      <c r="G2236" t="s">
        <v>14672</v>
      </c>
      <c r="H2236" t="s">
        <v>13869</v>
      </c>
      <c r="I2236" t="s">
        <v>14690</v>
      </c>
      <c r="J2236" s="62">
        <v>0</v>
      </c>
      <c r="K2236" s="62">
        <v>0</v>
      </c>
      <c r="L2236" t="str">
        <f>VLOOKUP(VALUE(LEFT(C2236,5)),Xref!A:B,2,0)</f>
        <v>CDP</v>
      </c>
      <c r="M2236" t="str">
        <f t="shared" si="139"/>
        <v>CDP-LCP</v>
      </c>
    </row>
    <row r="2237" spans="1:13" ht="14.25" customHeight="true">
      <c r="A2237" s="33" t="str">
        <f t="shared" si="136"/>
        <v>LCP - Intercompany</v>
      </c>
      <c r="B2237" s="33" t="str">
        <f t="shared" si="137"/>
        <v>LCP</v>
      </c>
      <c r="C2237" s="33" t="str">
        <f t="shared" si="138"/>
        <v>11216-0000</v>
      </c>
      <c r="D2237" t="s">
        <v>1505</v>
      </c>
      <c r="E2237" t="s">
        <v>13224</v>
      </c>
      <c r="F2237" t="s">
        <v>14039</v>
      </c>
      <c r="G2237" t="s">
        <v>14672</v>
      </c>
      <c r="H2237" t="s">
        <v>13869</v>
      </c>
      <c r="I2237" t="s">
        <v>14690</v>
      </c>
      <c r="J2237" s="62">
        <v>-13483.68</v>
      </c>
      <c r="K2237" s="62">
        <v>-91265.98</v>
      </c>
      <c r="L2237" t="str">
        <f>VLOOKUP(VALUE(LEFT(C2237,5)),Xref!A:B,2,0)</f>
        <v>SIL</v>
      </c>
      <c r="M2237" t="str">
        <f t="shared" si="139"/>
        <v>LCP-SIL</v>
      </c>
    </row>
    <row r="2238" spans="1:13" ht="14.25" customHeight="true">
      <c r="A2238" s="33" t="str">
        <f t="shared" si="136"/>
        <v>LCP - Intercompany</v>
      </c>
      <c r="B2238" s="33" t="str">
        <f t="shared" si="137"/>
        <v>LCP</v>
      </c>
      <c r="C2238" s="33" t="str">
        <f t="shared" si="138"/>
        <v>11232-0000</v>
      </c>
      <c r="D2238" t="s">
        <v>21946</v>
      </c>
      <c r="E2238" t="s">
        <v>12486</v>
      </c>
      <c r="F2238" t="s">
        <v>14039</v>
      </c>
      <c r="G2238" t="s">
        <v>14672</v>
      </c>
      <c r="H2238" t="s">
        <v>13869</v>
      </c>
      <c r="I2238" t="s">
        <v>14690</v>
      </c>
      <c r="J2238" s="62">
        <v>0</v>
      </c>
      <c r="K2238" s="62">
        <v>0</v>
      </c>
      <c r="L2238" t="str">
        <f>VLOOKUP(VALUE(LEFT(C2238,5)),Xref!A:B,2,0)</f>
        <v>SC2</v>
      </c>
      <c r="M2238" t="str">
        <f t="shared" si="139"/>
        <v>LCP-SC2</v>
      </c>
    </row>
    <row r="2239" spans="1:13" ht="14.25" customHeight="true">
      <c r="A2239" s="33" t="str">
        <f t="shared" si="136"/>
        <v>LCP - Intercompany</v>
      </c>
      <c r="B2239" s="33" t="str">
        <f t="shared" si="137"/>
        <v>LCP</v>
      </c>
      <c r="C2239" s="33" t="str">
        <f t="shared" si="138"/>
        <v>11301-0000</v>
      </c>
      <c r="D2239" t="s">
        <v>21947</v>
      </c>
      <c r="E2239" t="s">
        <v>13225</v>
      </c>
      <c r="F2239" t="s">
        <v>14039</v>
      </c>
      <c r="G2239" t="s">
        <v>14672</v>
      </c>
      <c r="H2239" t="s">
        <v>13869</v>
      </c>
      <c r="I2239" t="s">
        <v>14690</v>
      </c>
      <c r="J2239" s="62">
        <v>0</v>
      </c>
      <c r="K2239" s="62">
        <v>0</v>
      </c>
      <c r="L2239" t="str">
        <f>VLOOKUP(VALUE(LEFT(C2239,5)),Xref!A:B,2,0)</f>
        <v>CRE</v>
      </c>
      <c r="M2239" t="str">
        <f t="shared" si="139"/>
        <v>CRE-LCP</v>
      </c>
    </row>
    <row r="2240" spans="1:13" ht="14.25" customHeight="true">
      <c r="A2240" s="33" t="str">
        <f t="shared" si="136"/>
        <v>LCP - Intercompany</v>
      </c>
      <c r="B2240" s="33" t="str">
        <f t="shared" si="137"/>
        <v>LCP</v>
      </c>
      <c r="C2240" s="33" t="str">
        <f t="shared" si="138"/>
        <v>11302-0000</v>
      </c>
      <c r="D2240" t="s">
        <v>21948</v>
      </c>
      <c r="E2240" t="s">
        <v>13226</v>
      </c>
      <c r="F2240" t="s">
        <v>14039</v>
      </c>
      <c r="G2240" t="s">
        <v>14672</v>
      </c>
      <c r="H2240" t="s">
        <v>13869</v>
      </c>
      <c r="I2240" t="s">
        <v>14690</v>
      </c>
      <c r="J2240" s="62">
        <v>0</v>
      </c>
      <c r="K2240" s="62">
        <v>0</v>
      </c>
      <c r="L2240" t="str">
        <f>VLOOKUP(VALUE(LEFT(C2240,5)),Xref!A:B,2,0)</f>
        <v>CHA</v>
      </c>
      <c r="M2240" t="str">
        <f t="shared" si="139"/>
        <v>CHA-LCP</v>
      </c>
    </row>
    <row r="2241" spans="1:13" ht="14.25" customHeight="true">
      <c r="A2241" s="33" t="str">
        <f t="shared" si="136"/>
        <v>LCP - Intercompany</v>
      </c>
      <c r="B2241" s="33" t="str">
        <f t="shared" si="137"/>
        <v>LCP</v>
      </c>
      <c r="C2241" s="33" t="str">
        <f t="shared" si="138"/>
        <v>11303-0000</v>
      </c>
      <c r="D2241" t="s">
        <v>21949</v>
      </c>
      <c r="E2241" t="s">
        <v>13227</v>
      </c>
      <c r="F2241" t="s">
        <v>14039</v>
      </c>
      <c r="G2241" t="s">
        <v>14672</v>
      </c>
      <c r="H2241" t="s">
        <v>13869</v>
      </c>
      <c r="I2241" t="s">
        <v>14690</v>
      </c>
      <c r="J2241" s="62">
        <v>0</v>
      </c>
      <c r="K2241" s="62">
        <v>0</v>
      </c>
      <c r="L2241" t="str">
        <f>VLOOKUP(VALUE(LEFT(C2241,5)),Xref!A:B,2,0)</f>
        <v>DIA</v>
      </c>
      <c r="M2241" t="str">
        <f t="shared" si="139"/>
        <v>DIA-LCP</v>
      </c>
    </row>
    <row r="2242" spans="1:13" ht="14.25" customHeight="true">
      <c r="A2242" s="33" t="str">
        <f t="shared" ref="A2242:A2305" si="140">B2242&amp;" - "&amp;TRIM(H2242)</f>
        <v>LCP - Intercompany</v>
      </c>
      <c r="B2242" s="33" t="str">
        <f t="shared" ref="B2242:B2305" si="141">LEFT(D2242,3)</f>
        <v>LCP</v>
      </c>
      <c r="C2242" s="33" t="str">
        <f t="shared" ref="C2242:C2305" si="142">RIGHT(D2242,10)</f>
        <v>11304-0000</v>
      </c>
      <c r="D2242" t="s">
        <v>21950</v>
      </c>
      <c r="E2242" t="s">
        <v>13228</v>
      </c>
      <c r="F2242" t="s">
        <v>14039</v>
      </c>
      <c r="G2242" t="s">
        <v>14672</v>
      </c>
      <c r="H2242" t="s">
        <v>13869</v>
      </c>
      <c r="I2242" t="s">
        <v>14690</v>
      </c>
      <c r="J2242" s="62">
        <v>0</v>
      </c>
      <c r="K2242" s="62">
        <v>0</v>
      </c>
      <c r="L2242" t="str">
        <f>VLOOKUP(VALUE(LEFT(C2242,5)),Xref!A:B,2,0)</f>
        <v>EAG</v>
      </c>
      <c r="M2242" t="str">
        <f t="shared" ref="M2242:M2305" si="143">IF(B2242&lt;L2242,B2242&amp;"-"&amp;L2242,L2242&amp;"-"&amp;B2242)</f>
        <v>EAG-LCP</v>
      </c>
    </row>
    <row r="2243" spans="1:13" ht="14.25" customHeight="true">
      <c r="A2243" s="33" t="str">
        <f t="shared" si="140"/>
        <v>LCP - Intercompany</v>
      </c>
      <c r="B2243" s="33" t="str">
        <f t="shared" si="141"/>
        <v>LCP</v>
      </c>
      <c r="C2243" s="33" t="str">
        <f t="shared" si="142"/>
        <v>11305-0000</v>
      </c>
      <c r="D2243" t="s">
        <v>21951</v>
      </c>
      <c r="E2243" t="s">
        <v>13229</v>
      </c>
      <c r="F2243" t="s">
        <v>14039</v>
      </c>
      <c r="G2243" t="s">
        <v>14672</v>
      </c>
      <c r="H2243" t="s">
        <v>13869</v>
      </c>
      <c r="I2243" t="s">
        <v>14690</v>
      </c>
      <c r="J2243" s="62">
        <v>0</v>
      </c>
      <c r="K2243" s="62">
        <v>0</v>
      </c>
      <c r="L2243" t="str">
        <f>VLOOKUP(VALUE(LEFT(C2243,5)),Xref!A:B,2,0)</f>
        <v>NEW</v>
      </c>
      <c r="M2243" t="str">
        <f t="shared" si="143"/>
        <v>LCP-NEW</v>
      </c>
    </row>
    <row r="2244" spans="1:13" ht="14.25" customHeight="true">
      <c r="A2244" s="33" t="str">
        <f t="shared" si="140"/>
        <v>LCP - Intercompany</v>
      </c>
      <c r="B2244" s="33" t="str">
        <f t="shared" si="141"/>
        <v>LCP</v>
      </c>
      <c r="C2244" s="33" t="str">
        <f t="shared" si="142"/>
        <v>11307-0000</v>
      </c>
      <c r="D2244" t="s">
        <v>21952</v>
      </c>
      <c r="E2244" t="s">
        <v>14096</v>
      </c>
      <c r="F2244" t="s">
        <v>14039</v>
      </c>
      <c r="G2244" t="s">
        <v>14672</v>
      </c>
      <c r="H2244" t="s">
        <v>13869</v>
      </c>
      <c r="I2244" t="s">
        <v>14690</v>
      </c>
      <c r="J2244" s="62">
        <v>0</v>
      </c>
      <c r="K2244" s="62">
        <v>0</v>
      </c>
      <c r="L2244" t="str">
        <f>VLOOKUP(VALUE(LEFT(C2244,5)),Xref!A:B,2,0)</f>
        <v>NES</v>
      </c>
      <c r="M2244" t="str">
        <f t="shared" si="143"/>
        <v>LCP-NES</v>
      </c>
    </row>
    <row r="2245" spans="1:13" ht="14.25" customHeight="true">
      <c r="A2245" s="33" t="str">
        <f t="shared" si="140"/>
        <v>LCP - Intercompany</v>
      </c>
      <c r="B2245" s="33" t="str">
        <f t="shared" si="141"/>
        <v>LCP</v>
      </c>
      <c r="C2245" s="33" t="str">
        <f t="shared" si="142"/>
        <v>11308-0000</v>
      </c>
      <c r="D2245" t="s">
        <v>21953</v>
      </c>
      <c r="E2245" t="s">
        <v>13476</v>
      </c>
      <c r="F2245" t="s">
        <v>14039</v>
      </c>
      <c r="G2245" t="s">
        <v>14672</v>
      </c>
      <c r="H2245" t="s">
        <v>13869</v>
      </c>
      <c r="I2245" t="s">
        <v>14690</v>
      </c>
      <c r="J2245" s="62">
        <v>0</v>
      </c>
      <c r="K2245" s="62">
        <v>0</v>
      </c>
      <c r="L2245" t="str">
        <f>VLOOKUP(VALUE(LEFT(C2245,5)),Xref!A:B,2,0)</f>
        <v>LPI</v>
      </c>
      <c r="M2245" t="str">
        <f t="shared" si="143"/>
        <v>LCP-LPI</v>
      </c>
    </row>
    <row r="2246" spans="1:13" ht="14.25" customHeight="true">
      <c r="A2246" s="33" t="str">
        <f t="shared" si="140"/>
        <v>LCP - Intercompany</v>
      </c>
      <c r="B2246" s="33" t="str">
        <f t="shared" si="141"/>
        <v>LCP</v>
      </c>
      <c r="C2246" s="33" t="str">
        <f t="shared" si="142"/>
        <v>11309-0000</v>
      </c>
      <c r="D2246" t="s">
        <v>21954</v>
      </c>
      <c r="E2246" t="s">
        <v>13230</v>
      </c>
      <c r="F2246" t="s">
        <v>14039</v>
      </c>
      <c r="G2246" t="s">
        <v>14672</v>
      </c>
      <c r="H2246" t="s">
        <v>13869</v>
      </c>
      <c r="I2246" t="s">
        <v>14690</v>
      </c>
      <c r="J2246" s="62">
        <v>0</v>
      </c>
      <c r="K2246" s="62">
        <v>0</v>
      </c>
      <c r="L2246" t="str">
        <f>VLOOKUP(VALUE(LEFT(C2246,5)),Xref!A:B,2,0)</f>
        <v>GPI</v>
      </c>
      <c r="M2246" t="str">
        <f t="shared" si="143"/>
        <v>GPI-LCP</v>
      </c>
    </row>
    <row r="2247" spans="1:13" ht="14.25" customHeight="true">
      <c r="A2247" s="33" t="str">
        <f t="shared" si="140"/>
        <v>LCP - Intercompany</v>
      </c>
      <c r="B2247" s="33" t="str">
        <f t="shared" si="141"/>
        <v>LCP</v>
      </c>
      <c r="C2247" s="33" t="str">
        <f t="shared" si="142"/>
        <v>11310-0000</v>
      </c>
      <c r="D2247" t="s">
        <v>21955</v>
      </c>
      <c r="E2247" t="s">
        <v>13231</v>
      </c>
      <c r="F2247" t="s">
        <v>14039</v>
      </c>
      <c r="G2247" t="s">
        <v>14672</v>
      </c>
      <c r="H2247" t="s">
        <v>13869</v>
      </c>
      <c r="I2247" t="s">
        <v>14690</v>
      </c>
      <c r="J2247" s="62">
        <v>0</v>
      </c>
      <c r="K2247" s="62">
        <v>0</v>
      </c>
      <c r="L2247" t="str">
        <f>VLOOKUP(VALUE(LEFT(C2247,5)),Xref!A:B,2,0)</f>
        <v>ALP</v>
      </c>
      <c r="M2247" t="str">
        <f t="shared" si="143"/>
        <v>ALP-LCP</v>
      </c>
    </row>
    <row r="2248" spans="1:13" ht="14.25" customHeight="true">
      <c r="A2248" s="33" t="str">
        <f t="shared" si="140"/>
        <v>LCP - Intercompany</v>
      </c>
      <c r="B2248" s="33" t="str">
        <f t="shared" si="141"/>
        <v>LCP</v>
      </c>
      <c r="C2248" s="33" t="str">
        <f t="shared" si="142"/>
        <v>11311-0000</v>
      </c>
      <c r="D2248" t="s">
        <v>21956</v>
      </c>
      <c r="E2248" t="s">
        <v>13232</v>
      </c>
      <c r="F2248" t="s">
        <v>14039</v>
      </c>
      <c r="G2248" t="s">
        <v>14672</v>
      </c>
      <c r="H2248" t="s">
        <v>13869</v>
      </c>
      <c r="I2248" t="s">
        <v>14690</v>
      </c>
      <c r="J2248" s="62">
        <v>0</v>
      </c>
      <c r="K2248" s="62">
        <v>0</v>
      </c>
      <c r="L2248" t="str">
        <f>VLOOKUP(VALUE(LEFT(C2248,5)),Xref!A:B,2,0)</f>
        <v>BET</v>
      </c>
      <c r="M2248" t="str">
        <f t="shared" si="143"/>
        <v>BET-LCP</v>
      </c>
    </row>
    <row r="2249" spans="1:13" ht="14.25" customHeight="true">
      <c r="A2249" s="33" t="str">
        <f t="shared" si="140"/>
        <v>LCP - Intercompany</v>
      </c>
      <c r="B2249" s="33" t="str">
        <f t="shared" si="141"/>
        <v>LCP</v>
      </c>
      <c r="C2249" s="33" t="str">
        <f t="shared" si="142"/>
        <v>11312-0000</v>
      </c>
      <c r="D2249" t="s">
        <v>21957</v>
      </c>
      <c r="E2249" t="s">
        <v>14102</v>
      </c>
      <c r="F2249" t="s">
        <v>14039</v>
      </c>
      <c r="G2249" t="s">
        <v>14672</v>
      </c>
      <c r="H2249" t="s">
        <v>13869</v>
      </c>
      <c r="I2249" t="s">
        <v>14690</v>
      </c>
      <c r="J2249" s="62">
        <v>0</v>
      </c>
      <c r="K2249" s="62">
        <v>0</v>
      </c>
      <c r="L2249" t="str">
        <f>VLOOKUP(VALUE(LEFT(C2249,5)),Xref!A:B,2,0)</f>
        <v>DEL</v>
      </c>
      <c r="M2249" t="str">
        <f t="shared" si="143"/>
        <v>DEL-LCP</v>
      </c>
    </row>
    <row r="2250" spans="1:13" ht="14.25" customHeight="true">
      <c r="A2250" s="33" t="str">
        <f t="shared" si="140"/>
        <v>LCP - Intercompany</v>
      </c>
      <c r="B2250" s="33" t="str">
        <f t="shared" si="141"/>
        <v>LCP</v>
      </c>
      <c r="C2250" s="33" t="str">
        <f t="shared" si="142"/>
        <v>11313-0000</v>
      </c>
      <c r="D2250" t="s">
        <v>21958</v>
      </c>
      <c r="E2250" t="s">
        <v>13233</v>
      </c>
      <c r="F2250" t="s">
        <v>14039</v>
      </c>
      <c r="G2250" t="s">
        <v>14672</v>
      </c>
      <c r="H2250" t="s">
        <v>13869</v>
      </c>
      <c r="I2250" t="s">
        <v>14690</v>
      </c>
      <c r="J2250" s="62">
        <v>0</v>
      </c>
      <c r="K2250" s="62">
        <v>0</v>
      </c>
      <c r="L2250" t="str">
        <f>VLOOKUP(VALUE(LEFT(C2250,5)),Xref!A:B,2,0)</f>
        <v>DOL</v>
      </c>
      <c r="M2250" t="str">
        <f t="shared" si="143"/>
        <v>DOL-LCP</v>
      </c>
    </row>
    <row r="2251" spans="1:13" ht="14.25" customHeight="true">
      <c r="A2251" s="33" t="str">
        <f t="shared" si="140"/>
        <v>LCP - Intercompany</v>
      </c>
      <c r="B2251" s="33" t="str">
        <f t="shared" si="141"/>
        <v>LCP</v>
      </c>
      <c r="C2251" s="33" t="str">
        <f t="shared" si="142"/>
        <v>11314-0000</v>
      </c>
      <c r="D2251" t="s">
        <v>21959</v>
      </c>
      <c r="E2251" t="s">
        <v>13351</v>
      </c>
      <c r="F2251" t="s">
        <v>14039</v>
      </c>
      <c r="G2251" t="s">
        <v>14672</v>
      </c>
      <c r="H2251" t="s">
        <v>13869</v>
      </c>
      <c r="I2251" t="s">
        <v>14690</v>
      </c>
      <c r="J2251" s="62">
        <v>0</v>
      </c>
      <c r="K2251" s="62">
        <v>0</v>
      </c>
      <c r="L2251" t="str">
        <f>VLOOKUP(VALUE(LEFT(C2251,5)),Xref!A:B,2,0)</f>
        <v>GRI</v>
      </c>
      <c r="M2251" t="str">
        <f t="shared" si="143"/>
        <v>GRI-LCP</v>
      </c>
    </row>
    <row r="2252" spans="1:13" ht="14.25" customHeight="true">
      <c r="A2252" s="33" t="str">
        <f t="shared" si="140"/>
        <v>LCP - Intercompany</v>
      </c>
      <c r="B2252" s="33" t="str">
        <f t="shared" si="141"/>
        <v>LCP</v>
      </c>
      <c r="C2252" s="33" t="str">
        <f t="shared" si="142"/>
        <v>11315-0000</v>
      </c>
      <c r="D2252" t="s">
        <v>21960</v>
      </c>
      <c r="E2252" t="s">
        <v>13234</v>
      </c>
      <c r="F2252" t="s">
        <v>14039</v>
      </c>
      <c r="G2252" t="s">
        <v>14672</v>
      </c>
      <c r="H2252" t="s">
        <v>13869</v>
      </c>
      <c r="I2252" t="s">
        <v>14690</v>
      </c>
      <c r="J2252" s="62">
        <v>0</v>
      </c>
      <c r="K2252" s="62">
        <v>0</v>
      </c>
      <c r="L2252" t="str">
        <f>VLOOKUP(VALUE(LEFT(C2252,5)),Xref!A:B,2,0)</f>
        <v>PUR</v>
      </c>
      <c r="M2252" t="str">
        <f t="shared" si="143"/>
        <v>LCP-PUR</v>
      </c>
    </row>
    <row r="2253" spans="1:13" ht="14.25" customHeight="true">
      <c r="A2253" s="33" t="str">
        <f t="shared" si="140"/>
        <v>LCP - Intercompany</v>
      </c>
      <c r="B2253" s="33" t="str">
        <f t="shared" si="141"/>
        <v>LCP</v>
      </c>
      <c r="C2253" s="33" t="str">
        <f t="shared" si="142"/>
        <v>11316-0000</v>
      </c>
      <c r="D2253" t="s">
        <v>21961</v>
      </c>
      <c r="E2253" t="s">
        <v>13235</v>
      </c>
      <c r="F2253" t="s">
        <v>14039</v>
      </c>
      <c r="G2253" t="s">
        <v>14672</v>
      </c>
      <c r="H2253" t="s">
        <v>13869</v>
      </c>
      <c r="I2253" t="s">
        <v>14690</v>
      </c>
      <c r="J2253" s="62">
        <v>0</v>
      </c>
      <c r="K2253" s="62">
        <v>0</v>
      </c>
      <c r="L2253" t="str">
        <f>VLOOKUP(VALUE(LEFT(C2253,5)),Xref!A:B,2,0)</f>
        <v>VAL</v>
      </c>
      <c r="M2253" t="str">
        <f t="shared" si="143"/>
        <v>LCP-VAL</v>
      </c>
    </row>
    <row r="2254" spans="1:13" ht="14.25" customHeight="true">
      <c r="A2254" s="33" t="str">
        <f t="shared" si="140"/>
        <v>LCP - Intercompany</v>
      </c>
      <c r="B2254" s="33" t="str">
        <f t="shared" si="141"/>
        <v>LCP</v>
      </c>
      <c r="C2254" s="33" t="str">
        <f t="shared" si="142"/>
        <v>11317-0000</v>
      </c>
      <c r="D2254" t="s">
        <v>21962</v>
      </c>
      <c r="E2254" t="s">
        <v>13352</v>
      </c>
      <c r="F2254" t="s">
        <v>14039</v>
      </c>
      <c r="G2254" t="s">
        <v>14672</v>
      </c>
      <c r="H2254" t="s">
        <v>13869</v>
      </c>
      <c r="I2254" t="s">
        <v>14690</v>
      </c>
      <c r="J2254" s="62">
        <v>0</v>
      </c>
      <c r="K2254" s="62">
        <v>0</v>
      </c>
      <c r="L2254" t="str">
        <f>VLOOKUP(VALUE(LEFT(C2254,5)),Xref!A:B,2,0)</f>
        <v>AKG</v>
      </c>
      <c r="M2254" t="str">
        <f t="shared" si="143"/>
        <v>AKG-LCP</v>
      </c>
    </row>
    <row r="2255" spans="1:13" ht="14.25" customHeight="true">
      <c r="A2255" s="33" t="str">
        <f t="shared" si="140"/>
        <v>LCP - Intercompany</v>
      </c>
      <c r="B2255" s="33" t="str">
        <f t="shared" si="141"/>
        <v>LCP</v>
      </c>
      <c r="C2255" s="33" t="str">
        <f t="shared" si="142"/>
        <v>11318-0000</v>
      </c>
      <c r="D2255" t="s">
        <v>21963</v>
      </c>
      <c r="E2255" t="s">
        <v>13477</v>
      </c>
      <c r="F2255" t="s">
        <v>14039</v>
      </c>
      <c r="G2255" t="s">
        <v>14672</v>
      </c>
      <c r="H2255" t="s">
        <v>13869</v>
      </c>
      <c r="I2255" t="s">
        <v>14690</v>
      </c>
      <c r="J2255" s="62">
        <v>0</v>
      </c>
      <c r="K2255" s="62">
        <v>0</v>
      </c>
      <c r="L2255" t="str">
        <f>VLOOKUP(VALUE(LEFT(C2255,5)),Xref!A:B,2,0)</f>
        <v>FIR</v>
      </c>
      <c r="M2255" t="str">
        <f t="shared" si="143"/>
        <v>FIR-LCP</v>
      </c>
    </row>
    <row r="2256" spans="1:13" ht="14.25" customHeight="true">
      <c r="A2256" s="33" t="str">
        <f t="shared" si="140"/>
        <v>LCP - Intercompany</v>
      </c>
      <c r="B2256" s="33" t="str">
        <f t="shared" si="141"/>
        <v>LCP</v>
      </c>
      <c r="C2256" s="33" t="str">
        <f t="shared" si="142"/>
        <v>11319-0000</v>
      </c>
      <c r="D2256" t="s">
        <v>21964</v>
      </c>
      <c r="E2256" t="s">
        <v>266</v>
      </c>
      <c r="F2256" t="s">
        <v>14039</v>
      </c>
      <c r="G2256" t="s">
        <v>14672</v>
      </c>
      <c r="H2256" t="s">
        <v>13869</v>
      </c>
      <c r="I2256" t="s">
        <v>14690</v>
      </c>
      <c r="J2256" s="62">
        <v>0</v>
      </c>
      <c r="K2256" s="62">
        <v>0</v>
      </c>
      <c r="L2256" t="str">
        <f>VLOOKUP(VALUE(LEFT(C2256,5)),Xref!A:B,2,0)</f>
        <v>GST</v>
      </c>
      <c r="M2256" t="str">
        <f t="shared" si="143"/>
        <v>GST-LCP</v>
      </c>
    </row>
    <row r="2257" spans="1:13" ht="14.25" customHeight="true">
      <c r="A2257" s="33" t="str">
        <f t="shared" si="140"/>
        <v>LCP - Intercompany</v>
      </c>
      <c r="B2257" s="33" t="str">
        <f t="shared" si="141"/>
        <v>LCP</v>
      </c>
      <c r="C2257" s="33" t="str">
        <f t="shared" si="142"/>
        <v>11320-0000</v>
      </c>
      <c r="D2257" t="s">
        <v>21965</v>
      </c>
      <c r="E2257" t="s">
        <v>14111</v>
      </c>
      <c r="F2257" t="s">
        <v>14039</v>
      </c>
      <c r="G2257" t="s">
        <v>14672</v>
      </c>
      <c r="H2257" t="s">
        <v>13869</v>
      </c>
      <c r="I2257" t="s">
        <v>14690</v>
      </c>
      <c r="J2257" s="62">
        <v>0</v>
      </c>
      <c r="K2257" s="62">
        <v>0</v>
      </c>
      <c r="L2257" t="str">
        <f>VLOOKUP(VALUE(LEFT(C2257,5)),Xref!A:B,2,0)</f>
        <v>HDN</v>
      </c>
      <c r="M2257" t="str">
        <f t="shared" si="143"/>
        <v>HDN-LCP</v>
      </c>
    </row>
    <row r="2258" spans="1:13" ht="14.25" customHeight="true">
      <c r="A2258" s="33" t="str">
        <f t="shared" si="140"/>
        <v>LCP - Intercompany</v>
      </c>
      <c r="B2258" s="33" t="str">
        <f t="shared" si="141"/>
        <v>LCP</v>
      </c>
      <c r="C2258" s="33" t="str">
        <f t="shared" si="142"/>
        <v>11321-0000</v>
      </c>
      <c r="D2258" t="s">
        <v>21966</v>
      </c>
      <c r="E2258" t="s">
        <v>13236</v>
      </c>
      <c r="F2258" t="s">
        <v>14039</v>
      </c>
      <c r="G2258" t="s">
        <v>14672</v>
      </c>
      <c r="H2258" t="s">
        <v>13869</v>
      </c>
      <c r="I2258" t="s">
        <v>14690</v>
      </c>
      <c r="J2258" s="62">
        <v>0</v>
      </c>
      <c r="K2258" s="62">
        <v>0</v>
      </c>
      <c r="L2258" t="str">
        <f>VLOOKUP(VALUE(LEFT(C2258,5)),Xref!A:B,2,0)</f>
        <v>OVA</v>
      </c>
      <c r="M2258" t="str">
        <f t="shared" si="143"/>
        <v>LCP-OVA</v>
      </c>
    </row>
    <row r="2259" spans="1:13" ht="14.25" customHeight="true">
      <c r="A2259" s="33" t="str">
        <f t="shared" si="140"/>
        <v>LCP - Intercompany</v>
      </c>
      <c r="B2259" s="33" t="str">
        <f t="shared" si="141"/>
        <v>LCP</v>
      </c>
      <c r="C2259" s="33" t="str">
        <f t="shared" si="142"/>
        <v>11322-0000</v>
      </c>
      <c r="D2259" t="s">
        <v>21967</v>
      </c>
      <c r="E2259" t="s">
        <v>13237</v>
      </c>
      <c r="F2259" t="s">
        <v>14039</v>
      </c>
      <c r="G2259" t="s">
        <v>14672</v>
      </c>
      <c r="H2259" t="s">
        <v>13869</v>
      </c>
      <c r="I2259" t="s">
        <v>14690</v>
      </c>
      <c r="J2259" s="62">
        <v>0</v>
      </c>
      <c r="K2259" s="62">
        <v>0</v>
      </c>
      <c r="L2259" t="str">
        <f>VLOOKUP(VALUE(LEFT(C2259,5)),Xref!A:B,2,0)</f>
        <v>WOO</v>
      </c>
      <c r="M2259" t="str">
        <f t="shared" si="143"/>
        <v>LCP-WOO</v>
      </c>
    </row>
    <row r="2260" spans="1:13" ht="14.25" customHeight="true">
      <c r="A2260" s="33" t="str">
        <f t="shared" si="140"/>
        <v>LCP - Intercompany</v>
      </c>
      <c r="B2260" s="33" t="str">
        <f t="shared" si="141"/>
        <v>LCP</v>
      </c>
      <c r="C2260" s="33" t="str">
        <f t="shared" si="142"/>
        <v>11323-0000</v>
      </c>
      <c r="D2260" t="s">
        <v>21968</v>
      </c>
      <c r="E2260" t="s">
        <v>13478</v>
      </c>
      <c r="F2260" t="s">
        <v>14039</v>
      </c>
      <c r="G2260" t="s">
        <v>14672</v>
      </c>
      <c r="H2260" t="s">
        <v>13869</v>
      </c>
      <c r="I2260" t="s">
        <v>14690</v>
      </c>
      <c r="J2260" s="62">
        <v>0</v>
      </c>
      <c r="K2260" s="62">
        <v>0</v>
      </c>
      <c r="L2260" t="str">
        <f>VLOOKUP(VALUE(LEFT(C2260,5)),Xref!A:B,2,0)</f>
        <v>SPI</v>
      </c>
      <c r="M2260" t="str">
        <f t="shared" si="143"/>
        <v>LCP-SPI</v>
      </c>
    </row>
    <row r="2261" spans="1:13" ht="14.25" customHeight="true">
      <c r="A2261" s="33" t="str">
        <f t="shared" si="140"/>
        <v>LCP - Intercompany</v>
      </c>
      <c r="B2261" s="33" t="str">
        <f t="shared" si="141"/>
        <v>LCP</v>
      </c>
      <c r="C2261" s="33" t="str">
        <f t="shared" si="142"/>
        <v>11324-0000</v>
      </c>
      <c r="D2261" t="s">
        <v>21969</v>
      </c>
      <c r="E2261" t="s">
        <v>13238</v>
      </c>
      <c r="F2261" t="s">
        <v>14039</v>
      </c>
      <c r="G2261" t="s">
        <v>14672</v>
      </c>
      <c r="H2261" t="s">
        <v>13869</v>
      </c>
      <c r="I2261" t="s">
        <v>14690</v>
      </c>
      <c r="J2261" s="62">
        <v>0</v>
      </c>
      <c r="K2261" s="62">
        <v>0</v>
      </c>
      <c r="L2261" t="str">
        <f>VLOOKUP(VALUE(LEFT(C2261,5)),Xref!A:B,2,0)</f>
        <v>NET</v>
      </c>
      <c r="M2261" t="str">
        <f t="shared" si="143"/>
        <v>LCP-NET</v>
      </c>
    </row>
    <row r="2262" spans="1:13" ht="14.25" customHeight="true">
      <c r="A2262" s="33" t="str">
        <f t="shared" si="140"/>
        <v>LCP - Intercompany</v>
      </c>
      <c r="B2262" s="33" t="str">
        <f t="shared" si="141"/>
        <v>LCP</v>
      </c>
      <c r="C2262" s="33" t="str">
        <f t="shared" si="142"/>
        <v>11325-0000</v>
      </c>
      <c r="D2262" t="s">
        <v>21970</v>
      </c>
      <c r="E2262" t="s">
        <v>13239</v>
      </c>
      <c r="F2262" t="s">
        <v>14039</v>
      </c>
      <c r="G2262" t="s">
        <v>14672</v>
      </c>
      <c r="H2262" t="s">
        <v>13869</v>
      </c>
      <c r="I2262" t="s">
        <v>14690</v>
      </c>
      <c r="J2262" s="62">
        <v>0</v>
      </c>
      <c r="K2262" s="62">
        <v>0</v>
      </c>
      <c r="L2262" t="str">
        <f>VLOOKUP(VALUE(LEFT(C2262,5)),Xref!A:B,2,0)</f>
        <v>DPI</v>
      </c>
      <c r="M2262" t="str">
        <f t="shared" si="143"/>
        <v>DPI-LCP</v>
      </c>
    </row>
    <row r="2263" spans="1:13" ht="14.25" customHeight="true">
      <c r="A2263" s="33" t="str">
        <f t="shared" si="140"/>
        <v>LCP - Intercompany</v>
      </c>
      <c r="B2263" s="33" t="str">
        <f t="shared" si="141"/>
        <v>LCP</v>
      </c>
      <c r="C2263" s="33" t="str">
        <f t="shared" si="142"/>
        <v>11326-0000</v>
      </c>
      <c r="D2263" t="s">
        <v>21971</v>
      </c>
      <c r="E2263" t="s">
        <v>13240</v>
      </c>
      <c r="F2263" t="s">
        <v>14039</v>
      </c>
      <c r="G2263" t="s">
        <v>14672</v>
      </c>
      <c r="H2263" t="s">
        <v>13869</v>
      </c>
      <c r="I2263" t="s">
        <v>14690</v>
      </c>
      <c r="J2263" s="62">
        <v>0</v>
      </c>
      <c r="K2263" s="62">
        <v>0</v>
      </c>
      <c r="L2263" t="str">
        <f>VLOOKUP(VALUE(LEFT(C2263,5)),Xref!A:B,2,0)</f>
        <v>SEK</v>
      </c>
      <c r="M2263" t="str">
        <f t="shared" si="143"/>
        <v>LCP-SEK</v>
      </c>
    </row>
    <row r="2264" spans="1:13" ht="14.25" customHeight="true">
      <c r="A2264" s="33" t="str">
        <f t="shared" si="140"/>
        <v>LCP - Intercompany</v>
      </c>
      <c r="B2264" s="33" t="str">
        <f t="shared" si="141"/>
        <v>LCP</v>
      </c>
      <c r="C2264" s="33" t="str">
        <f t="shared" si="142"/>
        <v>11327-0000</v>
      </c>
      <c r="D2264" t="s">
        <v>21972</v>
      </c>
      <c r="E2264" t="s">
        <v>14119</v>
      </c>
      <c r="F2264" t="s">
        <v>14039</v>
      </c>
      <c r="G2264" t="s">
        <v>14672</v>
      </c>
      <c r="H2264" t="s">
        <v>13869</v>
      </c>
      <c r="I2264" t="s">
        <v>14690</v>
      </c>
      <c r="J2264" s="62">
        <v>0</v>
      </c>
      <c r="K2264" s="62">
        <v>0</v>
      </c>
      <c r="L2264" t="str">
        <f>VLOOKUP(VALUE(LEFT(C2264,5)),Xref!A:B,2,0)</f>
        <v>CPI</v>
      </c>
      <c r="M2264" t="str">
        <f t="shared" si="143"/>
        <v>CPI-LCP</v>
      </c>
    </row>
    <row r="2265" spans="1:13" ht="14.25" customHeight="true">
      <c r="A2265" s="33" t="str">
        <f t="shared" si="140"/>
        <v>LCP - Intercompany</v>
      </c>
      <c r="B2265" s="33" t="str">
        <f t="shared" si="141"/>
        <v>LCP</v>
      </c>
      <c r="C2265" s="33" t="str">
        <f t="shared" si="142"/>
        <v>11328-0000</v>
      </c>
      <c r="D2265" t="s">
        <v>21973</v>
      </c>
      <c r="E2265" t="s">
        <v>13241</v>
      </c>
      <c r="F2265" t="s">
        <v>14039</v>
      </c>
      <c r="G2265" t="s">
        <v>14672</v>
      </c>
      <c r="H2265" t="s">
        <v>13869</v>
      </c>
      <c r="I2265" t="s">
        <v>14690</v>
      </c>
      <c r="J2265" s="62">
        <v>0</v>
      </c>
      <c r="K2265" s="62">
        <v>0</v>
      </c>
      <c r="L2265" t="str">
        <f>VLOOKUP(VALUE(LEFT(C2265,5)),Xref!A:B,2,0)</f>
        <v>LOM</v>
      </c>
      <c r="M2265" t="str">
        <f t="shared" si="143"/>
        <v>LCP-LOM</v>
      </c>
    </row>
    <row r="2266" spans="1:13" ht="14.25" customHeight="true">
      <c r="A2266" s="33" t="str">
        <f t="shared" si="140"/>
        <v>LCP - Intercompany</v>
      </c>
      <c r="B2266" s="33" t="str">
        <f t="shared" si="141"/>
        <v>LCP</v>
      </c>
      <c r="C2266" s="33" t="str">
        <f t="shared" si="142"/>
        <v>11329-0000</v>
      </c>
      <c r="D2266" t="s">
        <v>21974</v>
      </c>
      <c r="E2266" t="s">
        <v>13353</v>
      </c>
      <c r="F2266" t="s">
        <v>14039</v>
      </c>
      <c r="G2266" t="s">
        <v>14672</v>
      </c>
      <c r="H2266" t="s">
        <v>13869</v>
      </c>
      <c r="I2266" t="s">
        <v>14690</v>
      </c>
      <c r="J2266" s="62">
        <v>0</v>
      </c>
      <c r="K2266" s="62">
        <v>0</v>
      </c>
      <c r="L2266" t="str">
        <f>VLOOKUP(VALUE(LEFT(C2266,5)),Xref!A:B,2,0)</f>
        <v>AKS</v>
      </c>
      <c r="M2266" t="str">
        <f t="shared" si="143"/>
        <v>AKS-LCP</v>
      </c>
    </row>
    <row r="2267" spans="1:13" ht="14.25" customHeight="true">
      <c r="A2267" s="33" t="str">
        <f t="shared" si="140"/>
        <v>LCP - Intercompany</v>
      </c>
      <c r="B2267" s="33" t="str">
        <f t="shared" si="141"/>
        <v>LCP</v>
      </c>
      <c r="C2267" s="33" t="str">
        <f t="shared" si="142"/>
        <v>11330-0000</v>
      </c>
      <c r="D2267" t="s">
        <v>21975</v>
      </c>
      <c r="E2267" t="s">
        <v>13242</v>
      </c>
      <c r="F2267" t="s">
        <v>14039</v>
      </c>
      <c r="G2267" t="s">
        <v>14672</v>
      </c>
      <c r="H2267" t="s">
        <v>13869</v>
      </c>
      <c r="I2267" t="s">
        <v>14690</v>
      </c>
      <c r="J2267" s="62">
        <v>0</v>
      </c>
      <c r="K2267" s="62">
        <v>0</v>
      </c>
      <c r="L2267" t="str">
        <f>VLOOKUP(VALUE(LEFT(C2267,5)),Xref!A:B,2,0)</f>
        <v>MAR</v>
      </c>
      <c r="M2267" t="str">
        <f t="shared" si="143"/>
        <v>LCP-MAR</v>
      </c>
    </row>
    <row r="2268" spans="1:13" ht="14.25" customHeight="true">
      <c r="A2268" s="33" t="str">
        <f t="shared" si="140"/>
        <v>LCP - Intercompany</v>
      </c>
      <c r="B2268" s="33" t="str">
        <f t="shared" si="141"/>
        <v>LCP</v>
      </c>
      <c r="C2268" s="33" t="str">
        <f t="shared" si="142"/>
        <v>11331-0000</v>
      </c>
      <c r="D2268" t="s">
        <v>21976</v>
      </c>
      <c r="E2268" t="s">
        <v>13354</v>
      </c>
      <c r="F2268" t="s">
        <v>14039</v>
      </c>
      <c r="G2268" t="s">
        <v>14672</v>
      </c>
      <c r="H2268" t="s">
        <v>13869</v>
      </c>
      <c r="I2268" t="s">
        <v>14690</v>
      </c>
      <c r="J2268" s="62">
        <v>0</v>
      </c>
      <c r="K2268" s="62">
        <v>0</v>
      </c>
      <c r="L2268" t="str">
        <f>VLOOKUP(VALUE(LEFT(C2268,5)),Xref!A:B,2,0)</f>
        <v>WIL</v>
      </c>
      <c r="M2268" t="str">
        <f t="shared" si="143"/>
        <v>LCP-WIL</v>
      </c>
    </row>
    <row r="2269" spans="1:13" ht="14.25" customHeight="true">
      <c r="A2269" s="33" t="str">
        <f t="shared" si="140"/>
        <v>LCP - Intercompany</v>
      </c>
      <c r="B2269" s="33" t="str">
        <f t="shared" si="141"/>
        <v>LCP</v>
      </c>
      <c r="C2269" s="33" t="str">
        <f t="shared" si="142"/>
        <v>11332-0000</v>
      </c>
      <c r="D2269" t="s">
        <v>21977</v>
      </c>
      <c r="E2269" t="s">
        <v>13243</v>
      </c>
      <c r="F2269" t="s">
        <v>14039</v>
      </c>
      <c r="G2269" t="s">
        <v>14672</v>
      </c>
      <c r="H2269" t="s">
        <v>13869</v>
      </c>
      <c r="I2269" t="s">
        <v>14690</v>
      </c>
      <c r="J2269" s="62">
        <v>0</v>
      </c>
      <c r="K2269" s="62">
        <v>0</v>
      </c>
      <c r="L2269" t="str">
        <f>VLOOKUP(VALUE(LEFT(C2269,5)),Xref!A:B,2,0)</f>
        <v>STO</v>
      </c>
      <c r="M2269" t="str">
        <f t="shared" si="143"/>
        <v>LCP-STO</v>
      </c>
    </row>
    <row r="2270" spans="1:13" ht="14.25" customHeight="true">
      <c r="A2270" s="33" t="str">
        <f t="shared" si="140"/>
        <v>LCP - Intercompany</v>
      </c>
      <c r="B2270" s="33" t="str">
        <f t="shared" si="141"/>
        <v>LCP</v>
      </c>
      <c r="C2270" s="33" t="str">
        <f t="shared" si="142"/>
        <v>11333-0000</v>
      </c>
      <c r="D2270" t="s">
        <v>21978</v>
      </c>
      <c r="E2270" t="s">
        <v>13244</v>
      </c>
      <c r="F2270" t="s">
        <v>14039</v>
      </c>
      <c r="G2270" t="s">
        <v>14672</v>
      </c>
      <c r="H2270" t="s">
        <v>13869</v>
      </c>
      <c r="I2270" t="s">
        <v>14690</v>
      </c>
      <c r="J2270" s="62">
        <v>0</v>
      </c>
      <c r="K2270" s="62">
        <v>0</v>
      </c>
      <c r="L2270" t="str">
        <f>VLOOKUP(VALUE(LEFT(C2270,5)),Xref!A:B,2,0)</f>
        <v>ANG</v>
      </c>
      <c r="M2270" t="str">
        <f t="shared" si="143"/>
        <v>ANG-LCP</v>
      </c>
    </row>
    <row r="2271" spans="1:13" ht="14.25" customHeight="true">
      <c r="A2271" s="33" t="str">
        <f t="shared" si="140"/>
        <v>LCP - Intercompany</v>
      </c>
      <c r="B2271" s="33" t="str">
        <f t="shared" si="141"/>
        <v>LCP</v>
      </c>
      <c r="C2271" s="33" t="str">
        <f t="shared" si="142"/>
        <v>11334-0000</v>
      </c>
      <c r="D2271" t="s">
        <v>21979</v>
      </c>
      <c r="E2271" t="s">
        <v>13245</v>
      </c>
      <c r="F2271" t="s">
        <v>14039</v>
      </c>
      <c r="G2271" t="s">
        <v>14672</v>
      </c>
      <c r="H2271" t="s">
        <v>13869</v>
      </c>
      <c r="I2271" t="s">
        <v>14690</v>
      </c>
      <c r="J2271" s="62">
        <v>0</v>
      </c>
      <c r="K2271" s="62">
        <v>0</v>
      </c>
      <c r="L2271" t="str">
        <f>VLOOKUP(VALUE(LEFT(C2271,5)),Xref!A:B,2,0)</f>
        <v>BRU</v>
      </c>
      <c r="M2271" t="str">
        <f t="shared" si="143"/>
        <v>BRU-LCP</v>
      </c>
    </row>
    <row r="2272" spans="1:13" ht="14.25" customHeight="true">
      <c r="A2272" s="33" t="str">
        <f t="shared" si="140"/>
        <v>LCP - Intercompany</v>
      </c>
      <c r="B2272" s="33" t="str">
        <f t="shared" si="141"/>
        <v>LCP</v>
      </c>
      <c r="C2272" s="33" t="str">
        <f t="shared" si="142"/>
        <v>11335-0000</v>
      </c>
      <c r="D2272" t="s">
        <v>21980</v>
      </c>
      <c r="E2272" t="s">
        <v>13246</v>
      </c>
      <c r="F2272" t="s">
        <v>14039</v>
      </c>
      <c r="G2272" t="s">
        <v>14672</v>
      </c>
      <c r="H2272" t="s">
        <v>13869</v>
      </c>
      <c r="I2272" t="s">
        <v>14690</v>
      </c>
      <c r="J2272" s="62">
        <v>0</v>
      </c>
      <c r="K2272" s="62">
        <v>0</v>
      </c>
      <c r="L2272" t="str">
        <f>VLOOKUP(VALUE(LEFT(C2272,5)),Xref!A:B,2,0)</f>
        <v>VEN</v>
      </c>
      <c r="M2272" t="str">
        <f t="shared" si="143"/>
        <v>LCP-VEN</v>
      </c>
    </row>
    <row r="2273" spans="1:13" ht="14.25" customHeight="true">
      <c r="A2273" s="33" t="str">
        <f t="shared" si="140"/>
        <v>LCP - Intercompany</v>
      </c>
      <c r="B2273" s="33" t="str">
        <f t="shared" si="141"/>
        <v>LCP</v>
      </c>
      <c r="C2273" s="33" t="str">
        <f t="shared" si="142"/>
        <v>11336-0000</v>
      </c>
      <c r="D2273" t="s">
        <v>21981</v>
      </c>
      <c r="E2273" t="s">
        <v>13247</v>
      </c>
      <c r="F2273" t="s">
        <v>14039</v>
      </c>
      <c r="G2273" t="s">
        <v>14672</v>
      </c>
      <c r="H2273" t="s">
        <v>13869</v>
      </c>
      <c r="I2273" t="s">
        <v>14690</v>
      </c>
      <c r="J2273" s="62">
        <v>0</v>
      </c>
      <c r="K2273" s="62">
        <v>0</v>
      </c>
      <c r="L2273" t="str">
        <f>VLOOKUP(VALUE(LEFT(C2273,5)),Xref!A:B,2,0)</f>
        <v>SAT</v>
      </c>
      <c r="M2273" t="str">
        <f t="shared" si="143"/>
        <v>LCP-SAT</v>
      </c>
    </row>
    <row r="2274" spans="1:13" ht="14.25" customHeight="true">
      <c r="A2274" s="33" t="str">
        <f t="shared" si="140"/>
        <v>LCP - Intercompany</v>
      </c>
      <c r="B2274" s="33" t="str">
        <f t="shared" si="141"/>
        <v>LCP</v>
      </c>
      <c r="C2274" s="33" t="str">
        <f t="shared" si="142"/>
        <v>11337-0000</v>
      </c>
      <c r="D2274" t="s">
        <v>21982</v>
      </c>
      <c r="E2274" t="s">
        <v>13248</v>
      </c>
      <c r="F2274" t="s">
        <v>14039</v>
      </c>
      <c r="G2274" t="s">
        <v>14672</v>
      </c>
      <c r="H2274" t="s">
        <v>13869</v>
      </c>
      <c r="I2274" t="s">
        <v>14690</v>
      </c>
      <c r="J2274" s="62">
        <v>0</v>
      </c>
      <c r="K2274" s="62">
        <v>0</v>
      </c>
      <c r="L2274" t="str">
        <f>VLOOKUP(VALUE(LEFT(C2274,5)),Xref!A:B,2,0)</f>
        <v>NEP</v>
      </c>
      <c r="M2274" t="str">
        <f t="shared" si="143"/>
        <v>LCP-NEP</v>
      </c>
    </row>
    <row r="2275" spans="1:13" ht="14.25" customHeight="true">
      <c r="A2275" s="33" t="str">
        <f t="shared" si="140"/>
        <v>LCP - Intercompany</v>
      </c>
      <c r="B2275" s="33" t="str">
        <f t="shared" si="141"/>
        <v>LCP</v>
      </c>
      <c r="C2275" s="33" t="str">
        <f t="shared" si="142"/>
        <v>11338-0000</v>
      </c>
      <c r="D2275" t="s">
        <v>21983</v>
      </c>
      <c r="E2275" t="s">
        <v>14131</v>
      </c>
      <c r="F2275" t="s">
        <v>14039</v>
      </c>
      <c r="G2275" t="s">
        <v>14672</v>
      </c>
      <c r="H2275" t="s">
        <v>13869</v>
      </c>
      <c r="I2275" t="s">
        <v>14690</v>
      </c>
      <c r="J2275" s="62">
        <v>0</v>
      </c>
      <c r="K2275" s="62">
        <v>0</v>
      </c>
      <c r="L2275" t="str">
        <f>VLOOKUP(VALUE(LEFT(C2275,5)),Xref!A:B,2,0)</f>
        <v>JUP</v>
      </c>
      <c r="M2275" t="str">
        <f t="shared" si="143"/>
        <v>JUP-LCP</v>
      </c>
    </row>
    <row r="2276" spans="1:13" ht="14.25" customHeight="true">
      <c r="A2276" s="33" t="str">
        <f t="shared" si="140"/>
        <v>LCP - Intercompany</v>
      </c>
      <c r="B2276" s="33" t="str">
        <f t="shared" si="141"/>
        <v>LCP</v>
      </c>
      <c r="C2276" s="33" t="str">
        <f t="shared" si="142"/>
        <v>11339-0000</v>
      </c>
      <c r="D2276" t="s">
        <v>21984</v>
      </c>
      <c r="E2276" t="s">
        <v>14133</v>
      </c>
      <c r="F2276" t="s">
        <v>14039</v>
      </c>
      <c r="G2276" t="s">
        <v>14672</v>
      </c>
      <c r="H2276" t="s">
        <v>13869</v>
      </c>
      <c r="I2276" t="s">
        <v>14690</v>
      </c>
      <c r="J2276" s="62">
        <v>0</v>
      </c>
      <c r="K2276" s="62">
        <v>0</v>
      </c>
      <c r="L2276" t="str">
        <f>VLOOKUP(VALUE(LEFT(C2276,5)),Xref!A:B,2,0)</f>
        <v>WES</v>
      </c>
      <c r="M2276" t="str">
        <f t="shared" si="143"/>
        <v>LCP-WES</v>
      </c>
    </row>
    <row r="2277" spans="1:13" ht="14.25" customHeight="true">
      <c r="A2277" s="33" t="str">
        <f t="shared" si="140"/>
        <v>LCP - Intercompany</v>
      </c>
      <c r="B2277" s="33" t="str">
        <f t="shared" si="141"/>
        <v>LCP</v>
      </c>
      <c r="C2277" s="33" t="str">
        <f t="shared" si="142"/>
        <v>11340-0000</v>
      </c>
      <c r="D2277" t="s">
        <v>21985</v>
      </c>
      <c r="E2277" t="s">
        <v>14135</v>
      </c>
      <c r="F2277" t="s">
        <v>14039</v>
      </c>
      <c r="G2277" t="s">
        <v>14672</v>
      </c>
      <c r="H2277" t="s">
        <v>13869</v>
      </c>
      <c r="I2277" t="s">
        <v>14690</v>
      </c>
      <c r="J2277" s="62">
        <v>0</v>
      </c>
      <c r="K2277" s="62">
        <v>240000</v>
      </c>
      <c r="L2277" t="str">
        <f>VLOOKUP(VALUE(LEFT(C2277,5)),Xref!A:B,2,0)</f>
        <v>LCP</v>
      </c>
      <c r="M2277" t="str">
        <f t="shared" si="143"/>
        <v>LCP-LCP</v>
      </c>
    </row>
    <row r="2278" spans="1:13" ht="14.25" customHeight="true">
      <c r="A2278" s="33" t="str">
        <f t="shared" si="140"/>
        <v>LCP - Intercompany</v>
      </c>
      <c r="B2278" s="33" t="str">
        <f t="shared" si="141"/>
        <v>LCP</v>
      </c>
      <c r="C2278" s="33" t="str">
        <f t="shared" si="142"/>
        <v>11341-0000</v>
      </c>
      <c r="D2278" t="s">
        <v>1506</v>
      </c>
      <c r="E2278" t="s">
        <v>13639</v>
      </c>
      <c r="F2278" t="s">
        <v>14039</v>
      </c>
      <c r="G2278" t="s">
        <v>14672</v>
      </c>
      <c r="H2278" t="s">
        <v>13869</v>
      </c>
      <c r="I2278" t="s">
        <v>14690</v>
      </c>
      <c r="J2278" s="62">
        <v>0</v>
      </c>
      <c r="K2278" s="62">
        <v>-200000</v>
      </c>
      <c r="L2278" t="str">
        <f>VLOOKUP(VALUE(LEFT(C2278,5)),Xref!A:B,2,0)</f>
        <v>NOR</v>
      </c>
      <c r="M2278" t="str">
        <f t="shared" si="143"/>
        <v>LCP-NOR</v>
      </c>
    </row>
    <row r="2279" spans="1:13" ht="14.25" customHeight="true">
      <c r="A2279" s="33" t="str">
        <f t="shared" si="140"/>
        <v>LCP - Intercompany</v>
      </c>
      <c r="B2279" s="33" t="str">
        <f t="shared" si="141"/>
        <v>LCP</v>
      </c>
      <c r="C2279" s="33" t="str">
        <f t="shared" si="142"/>
        <v>11342-0000</v>
      </c>
      <c r="D2279" t="s">
        <v>21986</v>
      </c>
      <c r="E2279" t="s">
        <v>13355</v>
      </c>
      <c r="F2279" t="s">
        <v>14039</v>
      </c>
      <c r="G2279" t="s">
        <v>14672</v>
      </c>
      <c r="H2279" t="s">
        <v>13869</v>
      </c>
      <c r="I2279" t="s">
        <v>14690</v>
      </c>
      <c r="J2279" s="62">
        <v>0</v>
      </c>
      <c r="K2279" s="62">
        <v>0</v>
      </c>
      <c r="L2279" t="str">
        <f>VLOOKUP(VALUE(LEFT(C2279,5)),Xref!A:B,2,0)</f>
        <v>EAS</v>
      </c>
      <c r="M2279" t="str">
        <f t="shared" si="143"/>
        <v>EAS-LCP</v>
      </c>
    </row>
    <row r="2280" spans="1:13" ht="14.25" customHeight="true">
      <c r="A2280" s="33" t="str">
        <f t="shared" si="140"/>
        <v>LCP - Intercompany</v>
      </c>
      <c r="B2280" s="33" t="str">
        <f t="shared" si="141"/>
        <v>LCP</v>
      </c>
      <c r="C2280" s="33" t="str">
        <f t="shared" si="142"/>
        <v>11343-0000</v>
      </c>
      <c r="D2280" t="s">
        <v>21987</v>
      </c>
      <c r="E2280" t="s">
        <v>14139</v>
      </c>
      <c r="F2280" t="s">
        <v>14039</v>
      </c>
      <c r="G2280" t="s">
        <v>14672</v>
      </c>
      <c r="H2280" t="s">
        <v>13869</v>
      </c>
      <c r="I2280" t="s">
        <v>14690</v>
      </c>
      <c r="J2280" s="62">
        <v>0</v>
      </c>
      <c r="K2280" s="62">
        <v>0</v>
      </c>
      <c r="L2280" t="str">
        <f>VLOOKUP(VALUE(LEFT(C2280,5)),Xref!A:B,2,0)</f>
        <v>GRA</v>
      </c>
      <c r="M2280" t="str">
        <f t="shared" si="143"/>
        <v>GRA-LCP</v>
      </c>
    </row>
    <row r="2281" spans="1:13" ht="14.25" customHeight="true">
      <c r="A2281" s="33" t="str">
        <f t="shared" si="140"/>
        <v>LCP - Intercompany</v>
      </c>
      <c r="B2281" s="33" t="str">
        <f t="shared" si="141"/>
        <v>LCP</v>
      </c>
      <c r="C2281" s="33" t="str">
        <f t="shared" si="142"/>
        <v>11344-0000</v>
      </c>
      <c r="D2281" t="s">
        <v>21988</v>
      </c>
      <c r="E2281" t="s">
        <v>14141</v>
      </c>
      <c r="F2281" t="s">
        <v>14039</v>
      </c>
      <c r="G2281" t="s">
        <v>14672</v>
      </c>
      <c r="H2281" t="s">
        <v>13869</v>
      </c>
      <c r="I2281" t="s">
        <v>14690</v>
      </c>
      <c r="J2281" s="62">
        <v>0</v>
      </c>
      <c r="K2281" s="62">
        <v>0</v>
      </c>
      <c r="L2281" t="str">
        <f>VLOOKUP(VALUE(LEFT(C2281,5)),Xref!A:B,2,0)</f>
        <v>SOU</v>
      </c>
      <c r="M2281" t="str">
        <f t="shared" si="143"/>
        <v>LCP-SOU</v>
      </c>
    </row>
    <row r="2282" spans="1:13" ht="14.25" customHeight="true">
      <c r="A2282" s="33" t="str">
        <f t="shared" si="140"/>
        <v>LCP - Intercompany</v>
      </c>
      <c r="B2282" s="33" t="str">
        <f t="shared" si="141"/>
        <v>LCP</v>
      </c>
      <c r="C2282" s="33" t="str">
        <f t="shared" si="142"/>
        <v>11345-0000</v>
      </c>
      <c r="D2282" t="s">
        <v>21989</v>
      </c>
      <c r="E2282" t="s">
        <v>14143</v>
      </c>
      <c r="F2282" t="s">
        <v>14039</v>
      </c>
      <c r="G2282" t="s">
        <v>14672</v>
      </c>
      <c r="H2282" t="s">
        <v>13869</v>
      </c>
      <c r="I2282" t="s">
        <v>14690</v>
      </c>
      <c r="J2282" s="62">
        <v>0</v>
      </c>
      <c r="K2282" s="62">
        <v>0</v>
      </c>
      <c r="L2282" t="str">
        <f>VLOOKUP(VALUE(LEFT(C2282,5)),Xref!A:B,2,0)</f>
        <v>API</v>
      </c>
      <c r="M2282" t="str">
        <f t="shared" si="143"/>
        <v>API-LCP</v>
      </c>
    </row>
    <row r="2283" spans="1:13" ht="14.25" customHeight="true">
      <c r="A2283" s="33" t="str">
        <f t="shared" si="140"/>
        <v>LCP - Intercompany</v>
      </c>
      <c r="B2283" s="33" t="str">
        <f t="shared" si="141"/>
        <v>LCP</v>
      </c>
      <c r="C2283" s="33" t="str">
        <f t="shared" si="142"/>
        <v>11346-0000</v>
      </c>
      <c r="D2283" t="s">
        <v>21990</v>
      </c>
      <c r="E2283" t="s">
        <v>14145</v>
      </c>
      <c r="F2283" t="s">
        <v>14039</v>
      </c>
      <c r="G2283" t="s">
        <v>14672</v>
      </c>
      <c r="H2283" t="s">
        <v>13869</v>
      </c>
      <c r="I2283" t="s">
        <v>14690</v>
      </c>
      <c r="J2283" s="62">
        <v>0</v>
      </c>
      <c r="K2283" s="62">
        <v>0</v>
      </c>
      <c r="L2283" t="str">
        <f>VLOOKUP(VALUE(LEFT(C2283,5)),Xref!A:B,2,0)</f>
        <v>DPH</v>
      </c>
      <c r="M2283" t="str">
        <f t="shared" si="143"/>
        <v>DPH-LCP</v>
      </c>
    </row>
    <row r="2284" spans="1:13" ht="14.25" customHeight="true">
      <c r="A2284" s="33" t="str">
        <f t="shared" si="140"/>
        <v>LCP - Intercompany</v>
      </c>
      <c r="B2284" s="33" t="str">
        <f t="shared" si="141"/>
        <v>LCP</v>
      </c>
      <c r="C2284" s="33" t="str">
        <f t="shared" si="142"/>
        <v>11347-0000</v>
      </c>
      <c r="D2284" t="s">
        <v>21991</v>
      </c>
      <c r="E2284" t="s">
        <v>14147</v>
      </c>
      <c r="F2284" t="s">
        <v>14039</v>
      </c>
      <c r="G2284" t="s">
        <v>14672</v>
      </c>
      <c r="H2284" t="s">
        <v>13869</v>
      </c>
      <c r="I2284" t="s">
        <v>14690</v>
      </c>
      <c r="J2284" s="62">
        <v>0</v>
      </c>
      <c r="K2284" s="62">
        <v>0</v>
      </c>
      <c r="L2284" t="str">
        <f>VLOOKUP(VALUE(LEFT(C2284,5)),Xref!A:B,2,0)</f>
        <v>ZPI</v>
      </c>
      <c r="M2284" t="str">
        <f t="shared" si="143"/>
        <v>LCP-ZPI</v>
      </c>
    </row>
    <row r="2285" spans="1:13" ht="14.25" customHeight="true">
      <c r="A2285" s="33" t="str">
        <f t="shared" si="140"/>
        <v>LCP - Intercompany</v>
      </c>
      <c r="B2285" s="33" t="str">
        <f t="shared" si="141"/>
        <v>LCP</v>
      </c>
      <c r="C2285" s="33" t="str">
        <f t="shared" si="142"/>
        <v>11348-0000</v>
      </c>
      <c r="D2285" t="s">
        <v>21992</v>
      </c>
      <c r="E2285" t="s">
        <v>14149</v>
      </c>
      <c r="F2285" t="s">
        <v>14039</v>
      </c>
      <c r="G2285" t="s">
        <v>14672</v>
      </c>
      <c r="H2285" t="s">
        <v>13869</v>
      </c>
      <c r="I2285" t="s">
        <v>14690</v>
      </c>
      <c r="J2285" s="62">
        <v>0</v>
      </c>
      <c r="K2285" s="62">
        <v>0</v>
      </c>
      <c r="L2285" t="str">
        <f>VLOOKUP(VALUE(LEFT(C2285,5)),Xref!A:B,2,0)</f>
        <v>EAM</v>
      </c>
      <c r="M2285" t="str">
        <f t="shared" si="143"/>
        <v>EAM-LCP</v>
      </c>
    </row>
    <row r="2286" spans="1:13" ht="14.25" customHeight="true">
      <c r="A2286" s="33" t="str">
        <f t="shared" si="140"/>
        <v>LCP - Intercompany</v>
      </c>
      <c r="B2286" s="33" t="str">
        <f t="shared" si="141"/>
        <v>LCP</v>
      </c>
      <c r="C2286" s="33" t="str">
        <f t="shared" si="142"/>
        <v>11349-0000</v>
      </c>
      <c r="D2286" t="s">
        <v>21993</v>
      </c>
      <c r="E2286" t="s">
        <v>14151</v>
      </c>
      <c r="F2286" t="s">
        <v>14039</v>
      </c>
      <c r="G2286" t="s">
        <v>14672</v>
      </c>
      <c r="H2286" t="s">
        <v>13869</v>
      </c>
      <c r="I2286" t="s">
        <v>14690</v>
      </c>
      <c r="J2286" s="62">
        <v>0</v>
      </c>
      <c r="K2286" s="62">
        <v>0</v>
      </c>
      <c r="L2286" t="str">
        <f>VLOOKUP(VALUE(LEFT(C2286,5)),Xref!A:B,2,0)</f>
        <v>SEA</v>
      </c>
      <c r="M2286" t="str">
        <f t="shared" si="143"/>
        <v>LCP-SEA</v>
      </c>
    </row>
    <row r="2287" spans="1:13" ht="14.25" customHeight="true">
      <c r="A2287" s="33" t="str">
        <f t="shared" si="140"/>
        <v>LCP - Intercompany</v>
      </c>
      <c r="B2287" s="33" t="str">
        <f t="shared" si="141"/>
        <v>LCP</v>
      </c>
      <c r="C2287" s="33" t="str">
        <f t="shared" si="142"/>
        <v>11350-0000</v>
      </c>
      <c r="D2287" t="s">
        <v>21994</v>
      </c>
      <c r="E2287" t="s">
        <v>14153</v>
      </c>
      <c r="F2287" t="s">
        <v>14039</v>
      </c>
      <c r="G2287" t="s">
        <v>14672</v>
      </c>
      <c r="H2287" t="s">
        <v>13869</v>
      </c>
      <c r="I2287" t="s">
        <v>14690</v>
      </c>
      <c r="J2287" s="62">
        <v>0</v>
      </c>
      <c r="K2287" s="62">
        <v>-105.54</v>
      </c>
      <c r="L2287" t="str">
        <f>VLOOKUP(VALUE(LEFT(C2287,5)),Xref!A:B,2,0)</f>
        <v>EAL</v>
      </c>
      <c r="M2287" t="str">
        <f t="shared" si="143"/>
        <v>EAL-LCP</v>
      </c>
    </row>
    <row r="2288" spans="1:13" ht="14.25" customHeight="true">
      <c r="A2288" s="33" t="str">
        <f t="shared" si="140"/>
        <v>LCP - Intercompany</v>
      </c>
      <c r="B2288" s="33" t="str">
        <f t="shared" si="141"/>
        <v>LCP</v>
      </c>
      <c r="C2288" s="33" t="str">
        <f t="shared" si="142"/>
        <v>11351-0000</v>
      </c>
      <c r="D2288" t="s">
        <v>21995</v>
      </c>
      <c r="E2288" t="s">
        <v>14155</v>
      </c>
      <c r="F2288" t="s">
        <v>14039</v>
      </c>
      <c r="G2288" t="s">
        <v>14672</v>
      </c>
      <c r="H2288" t="s">
        <v>13869</v>
      </c>
      <c r="I2288" t="s">
        <v>14690</v>
      </c>
      <c r="J2288" s="62">
        <v>0</v>
      </c>
      <c r="K2288" s="62">
        <v>0</v>
      </c>
      <c r="L2288" t="str">
        <f>VLOOKUP(VALUE(LEFT(C2288,5)),Xref!A:B,2,0)</f>
        <v>WEP</v>
      </c>
      <c r="M2288" t="str">
        <f t="shared" si="143"/>
        <v>LCP-WEP</v>
      </c>
    </row>
    <row r="2289" spans="1:13" ht="14.25" customHeight="true">
      <c r="A2289" s="33" t="str">
        <f t="shared" si="140"/>
        <v>LCP - Intercompany</v>
      </c>
      <c r="B2289" s="33" t="str">
        <f t="shared" si="141"/>
        <v>LCP</v>
      </c>
      <c r="C2289" s="33" t="str">
        <f t="shared" si="142"/>
        <v>11352-0000</v>
      </c>
      <c r="D2289" t="s">
        <v>21996</v>
      </c>
      <c r="E2289" t="s">
        <v>13536</v>
      </c>
      <c r="F2289" t="s">
        <v>14039</v>
      </c>
      <c r="G2289" t="s">
        <v>14672</v>
      </c>
      <c r="H2289" t="s">
        <v>13869</v>
      </c>
      <c r="I2289" t="s">
        <v>14690</v>
      </c>
      <c r="J2289" s="62">
        <v>0</v>
      </c>
      <c r="K2289" s="62">
        <v>0</v>
      </c>
      <c r="L2289" t="str">
        <f>VLOOKUP(VALUE(LEFT(C2289,5)),Xref!A:B,2,0)</f>
        <v>KLP</v>
      </c>
      <c r="M2289" t="str">
        <f t="shared" si="143"/>
        <v>KLP-LCP</v>
      </c>
    </row>
    <row r="2290" spans="1:13" ht="14.25" customHeight="true">
      <c r="A2290" s="33" t="str">
        <f t="shared" si="140"/>
        <v>LCP - Intercompany</v>
      </c>
      <c r="B2290" s="33" t="str">
        <f t="shared" si="141"/>
        <v>LCP</v>
      </c>
      <c r="C2290" s="33" t="str">
        <f t="shared" si="142"/>
        <v>11353-0000</v>
      </c>
      <c r="D2290" t="s">
        <v>21997</v>
      </c>
      <c r="E2290" t="s">
        <v>13537</v>
      </c>
      <c r="F2290" t="s">
        <v>14039</v>
      </c>
      <c r="G2290" t="s">
        <v>14672</v>
      </c>
      <c r="H2290" t="s">
        <v>13869</v>
      </c>
      <c r="I2290" t="s">
        <v>14690</v>
      </c>
      <c r="J2290" s="62">
        <v>0</v>
      </c>
      <c r="K2290" s="62">
        <v>0</v>
      </c>
      <c r="L2290" t="str">
        <f>VLOOKUP(VALUE(LEFT(C2290,5)),Xref!A:B,2,0)</f>
        <v>AKC</v>
      </c>
      <c r="M2290" t="str">
        <f t="shared" si="143"/>
        <v>AKC-LCP</v>
      </c>
    </row>
    <row r="2291" spans="1:13" ht="14.25" customHeight="true">
      <c r="A2291" s="33" t="str">
        <f t="shared" si="140"/>
        <v>LCP - Intercompany</v>
      </c>
      <c r="B2291" s="33" t="str">
        <f t="shared" si="141"/>
        <v>LCP</v>
      </c>
      <c r="C2291" s="33" t="str">
        <f t="shared" si="142"/>
        <v>11354-0000</v>
      </c>
      <c r="D2291" t="s">
        <v>21998</v>
      </c>
      <c r="E2291" t="s">
        <v>13538</v>
      </c>
      <c r="F2291" t="s">
        <v>14039</v>
      </c>
      <c r="G2291" t="s">
        <v>14672</v>
      </c>
      <c r="H2291" t="s">
        <v>13869</v>
      </c>
      <c r="I2291" t="s">
        <v>14690</v>
      </c>
      <c r="J2291" s="62">
        <v>0</v>
      </c>
      <c r="K2291" s="62">
        <v>0</v>
      </c>
      <c r="L2291" t="str">
        <f>VLOOKUP(VALUE(LEFT(C2291,5)),Xref!A:B,2,0)</f>
        <v>AKA</v>
      </c>
      <c r="M2291" t="str">
        <f t="shared" si="143"/>
        <v>AKA-LCP</v>
      </c>
    </row>
    <row r="2292" spans="1:13" ht="14.25" customHeight="true">
      <c r="A2292" s="33" t="str">
        <f t="shared" si="140"/>
        <v>LCP - Intercompany</v>
      </c>
      <c r="B2292" s="33" t="str">
        <f t="shared" si="141"/>
        <v>LCP</v>
      </c>
      <c r="C2292" s="33" t="str">
        <f t="shared" si="142"/>
        <v>11355-0000</v>
      </c>
      <c r="D2292" t="s">
        <v>21999</v>
      </c>
      <c r="E2292" t="s">
        <v>13539</v>
      </c>
      <c r="F2292" t="s">
        <v>14039</v>
      </c>
      <c r="G2292" t="s">
        <v>14672</v>
      </c>
      <c r="H2292" t="s">
        <v>13869</v>
      </c>
      <c r="I2292" t="s">
        <v>14690</v>
      </c>
      <c r="J2292" s="62">
        <v>0</v>
      </c>
      <c r="K2292" s="62">
        <v>0</v>
      </c>
      <c r="L2292" t="str">
        <f>VLOOKUP(VALUE(LEFT(C2292,5)),Xref!A:B,2,0)</f>
        <v>SPA</v>
      </c>
      <c r="M2292" t="str">
        <f t="shared" si="143"/>
        <v>LCP-SPA</v>
      </c>
    </row>
    <row r="2293" spans="1:13" ht="14.25" customHeight="true">
      <c r="A2293" s="33" t="str">
        <f t="shared" si="140"/>
        <v>LCP - Intercompany</v>
      </c>
      <c r="B2293" s="33" t="str">
        <f t="shared" si="141"/>
        <v>LCP</v>
      </c>
      <c r="C2293" s="33" t="str">
        <f t="shared" si="142"/>
        <v>11356-0000</v>
      </c>
      <c r="D2293" t="s">
        <v>22000</v>
      </c>
      <c r="E2293" t="s">
        <v>13540</v>
      </c>
      <c r="F2293" t="s">
        <v>14039</v>
      </c>
      <c r="G2293" t="s">
        <v>14672</v>
      </c>
      <c r="H2293" t="s">
        <v>13869</v>
      </c>
      <c r="I2293" t="s">
        <v>14690</v>
      </c>
      <c r="J2293" s="62">
        <v>0</v>
      </c>
      <c r="K2293" s="62">
        <v>0</v>
      </c>
      <c r="L2293" t="str">
        <f>VLOOKUP(VALUE(LEFT(C2293,5)),Xref!A:B,2,0)</f>
        <v>DPM</v>
      </c>
      <c r="M2293" t="str">
        <f t="shared" si="143"/>
        <v>DPM-LCP</v>
      </c>
    </row>
    <row r="2294" spans="1:13" ht="14.25" customHeight="true">
      <c r="A2294" s="33" t="str">
        <f t="shared" si="140"/>
        <v>LCP - Intercompany</v>
      </c>
      <c r="B2294" s="33" t="str">
        <f t="shared" si="141"/>
        <v>LCP</v>
      </c>
      <c r="C2294" s="33" t="str">
        <f t="shared" si="142"/>
        <v>11357-0000</v>
      </c>
      <c r="D2294" t="s">
        <v>22001</v>
      </c>
      <c r="E2294" t="s">
        <v>13541</v>
      </c>
      <c r="F2294" t="s">
        <v>14039</v>
      </c>
      <c r="G2294" t="s">
        <v>14672</v>
      </c>
      <c r="H2294" t="s">
        <v>13869</v>
      </c>
      <c r="I2294" t="s">
        <v>14690</v>
      </c>
      <c r="J2294" s="62">
        <v>0</v>
      </c>
      <c r="K2294" s="62">
        <v>0</v>
      </c>
      <c r="L2294" t="str">
        <f>VLOOKUP(VALUE(LEFT(C2294,5)),Xref!A:B,2,0)</f>
        <v>HDM</v>
      </c>
      <c r="M2294" t="str">
        <f t="shared" si="143"/>
        <v>HDM-LCP</v>
      </c>
    </row>
    <row r="2295" spans="1:13" ht="14.25" customHeight="true">
      <c r="A2295" s="33" t="str">
        <f t="shared" si="140"/>
        <v>LCP - Intercompany</v>
      </c>
      <c r="B2295" s="33" t="str">
        <f t="shared" si="141"/>
        <v>LCP</v>
      </c>
      <c r="C2295" s="33" t="str">
        <f t="shared" si="142"/>
        <v>11358-0000</v>
      </c>
      <c r="D2295" t="s">
        <v>22002</v>
      </c>
      <c r="E2295" t="s">
        <v>13542</v>
      </c>
      <c r="F2295" t="s">
        <v>14039</v>
      </c>
      <c r="G2295" t="s">
        <v>14672</v>
      </c>
      <c r="H2295" t="s">
        <v>13869</v>
      </c>
      <c r="I2295" t="s">
        <v>14690</v>
      </c>
      <c r="J2295" s="62">
        <v>0</v>
      </c>
      <c r="K2295" s="62">
        <v>0</v>
      </c>
      <c r="L2295" t="str">
        <f>VLOOKUP(VALUE(LEFT(C2295,5)),Xref!A:B,2,0)</f>
        <v>GRA</v>
      </c>
      <c r="M2295" t="str">
        <f t="shared" si="143"/>
        <v>GRA-LCP</v>
      </c>
    </row>
    <row r="2296" spans="1:13" ht="14.25" customHeight="true">
      <c r="A2296" s="33" t="str">
        <f t="shared" si="140"/>
        <v>LCP - Intercompany</v>
      </c>
      <c r="B2296" s="33" t="str">
        <f t="shared" si="141"/>
        <v>LCP</v>
      </c>
      <c r="C2296" s="33" t="str">
        <f t="shared" si="142"/>
        <v>11359-0000</v>
      </c>
      <c r="D2296" t="s">
        <v>22003</v>
      </c>
      <c r="E2296" t="s">
        <v>13543</v>
      </c>
      <c r="F2296" t="s">
        <v>14039</v>
      </c>
      <c r="G2296" t="s">
        <v>14672</v>
      </c>
      <c r="H2296" t="s">
        <v>13869</v>
      </c>
      <c r="I2296" t="s">
        <v>14690</v>
      </c>
      <c r="J2296" s="62">
        <v>0</v>
      </c>
      <c r="K2296" s="62">
        <v>0</v>
      </c>
      <c r="L2296" t="str">
        <f>VLOOKUP(VALUE(LEFT(C2296,5)),Xref!A:B,2,0)</f>
        <v>TPI</v>
      </c>
      <c r="M2296" t="str">
        <f t="shared" si="143"/>
        <v>LCP-TPI</v>
      </c>
    </row>
    <row r="2297" spans="1:13" ht="14.25" customHeight="true">
      <c r="A2297" s="33" t="str">
        <f t="shared" si="140"/>
        <v>LCP - Intercompany</v>
      </c>
      <c r="B2297" s="33" t="str">
        <f t="shared" si="141"/>
        <v>LCP</v>
      </c>
      <c r="C2297" s="33" t="str">
        <f t="shared" si="142"/>
        <v>11361-0000</v>
      </c>
      <c r="D2297" t="s">
        <v>22004</v>
      </c>
      <c r="E2297" t="s">
        <v>14165</v>
      </c>
      <c r="F2297" t="s">
        <v>14039</v>
      </c>
      <c r="G2297" t="s">
        <v>14672</v>
      </c>
      <c r="H2297" t="s">
        <v>13869</v>
      </c>
      <c r="I2297" t="s">
        <v>14690</v>
      </c>
      <c r="J2297" s="62">
        <v>0</v>
      </c>
      <c r="K2297" s="62">
        <v>0</v>
      </c>
      <c r="L2297" t="str">
        <f>VLOOKUP(VALUE(LEFT(C2297,5)),Xref!A:B,2,0)</f>
        <v>GSM</v>
      </c>
      <c r="M2297" t="str">
        <f t="shared" si="143"/>
        <v>GSM-LCP</v>
      </c>
    </row>
    <row r="2298" spans="1:13" ht="14.25" customHeight="true">
      <c r="A2298" s="33" t="str">
        <f t="shared" si="140"/>
        <v>LCP - Intercompany</v>
      </c>
      <c r="B2298" s="33" t="str">
        <f t="shared" si="141"/>
        <v>LCP</v>
      </c>
      <c r="C2298" s="33" t="str">
        <f t="shared" si="142"/>
        <v>11363-0000</v>
      </c>
      <c r="D2298" t="s">
        <v>22005</v>
      </c>
      <c r="E2298" t="s">
        <v>13544</v>
      </c>
      <c r="F2298" t="s">
        <v>14039</v>
      </c>
      <c r="G2298" t="s">
        <v>14672</v>
      </c>
      <c r="H2298" t="s">
        <v>13869</v>
      </c>
      <c r="I2298" t="s">
        <v>14690</v>
      </c>
      <c r="J2298" s="62">
        <v>0</v>
      </c>
      <c r="K2298" s="62">
        <v>0</v>
      </c>
      <c r="L2298" t="str">
        <f>VLOOKUP(VALUE(LEFT(C2298,5)),Xref!A:B,2,0)</f>
        <v>SOF</v>
      </c>
      <c r="M2298" t="str">
        <f t="shared" si="143"/>
        <v>LCP-SOF</v>
      </c>
    </row>
    <row r="2299" spans="1:13" ht="14.25" customHeight="true">
      <c r="A2299" s="33" t="str">
        <f t="shared" si="140"/>
        <v>LCP - Intercompany</v>
      </c>
      <c r="B2299" s="33" t="str">
        <f t="shared" si="141"/>
        <v>LCP</v>
      </c>
      <c r="C2299" s="33" t="str">
        <f t="shared" si="142"/>
        <v>11364-0000</v>
      </c>
      <c r="D2299" t="s">
        <v>22006</v>
      </c>
      <c r="E2299" t="s">
        <v>14168</v>
      </c>
      <c r="F2299" t="s">
        <v>14039</v>
      </c>
      <c r="G2299" t="s">
        <v>14672</v>
      </c>
      <c r="H2299" t="s">
        <v>13869</v>
      </c>
      <c r="I2299" t="s">
        <v>14690</v>
      </c>
      <c r="J2299" s="62">
        <v>0</v>
      </c>
      <c r="K2299" s="62">
        <v>0</v>
      </c>
      <c r="L2299" t="e">
        <f>VLOOKUP(VALUE(LEFT(C2299,5)),Xref!A:B,2,0)</f>
        <v>#N/A</v>
      </c>
      <c r="M2299" t="e">
        <f t="shared" si="143"/>
        <v>#N/A</v>
      </c>
    </row>
    <row r="2300" spans="1:13" ht="14.25" customHeight="true">
      <c r="A2300" s="33" t="str">
        <f t="shared" si="140"/>
        <v>LCP - Intercompany</v>
      </c>
      <c r="B2300" s="33" t="str">
        <f t="shared" si="141"/>
        <v>LCP</v>
      </c>
      <c r="C2300" s="33" t="str">
        <f t="shared" si="142"/>
        <v>11365-0000</v>
      </c>
      <c r="D2300" t="s">
        <v>22007</v>
      </c>
      <c r="E2300" t="s">
        <v>14170</v>
      </c>
      <c r="F2300" t="s">
        <v>14039</v>
      </c>
      <c r="G2300" t="s">
        <v>14672</v>
      </c>
      <c r="H2300" t="s">
        <v>13869</v>
      </c>
      <c r="I2300" t="s">
        <v>14690</v>
      </c>
      <c r="J2300" s="62">
        <v>0</v>
      </c>
      <c r="K2300" s="62">
        <v>0</v>
      </c>
      <c r="L2300" t="e">
        <f>VLOOKUP(VALUE(LEFT(C2300,5)),Xref!A:B,2,0)</f>
        <v>#N/A</v>
      </c>
      <c r="M2300" t="e">
        <f t="shared" si="143"/>
        <v>#N/A</v>
      </c>
    </row>
    <row r="2301" spans="1:13" ht="14.25" customHeight="true">
      <c r="A2301" s="33" t="str">
        <f t="shared" si="140"/>
        <v>LCP - Intercompany</v>
      </c>
      <c r="B2301" s="33" t="str">
        <f t="shared" si="141"/>
        <v>LCP</v>
      </c>
      <c r="C2301" s="33" t="str">
        <f t="shared" si="142"/>
        <v>11366-0000</v>
      </c>
      <c r="D2301" t="s">
        <v>22008</v>
      </c>
      <c r="E2301" t="s">
        <v>14172</v>
      </c>
      <c r="G2301" t="s">
        <v>14672</v>
      </c>
      <c r="H2301" t="s">
        <v>13869</v>
      </c>
      <c r="I2301" t="s">
        <v>14690</v>
      </c>
      <c r="J2301" s="62">
        <v>0</v>
      </c>
      <c r="K2301" s="62">
        <v>0</v>
      </c>
      <c r="L2301" t="e">
        <f>VLOOKUP(VALUE(LEFT(C2301,5)),Xref!A:B,2,0)</f>
        <v>#N/A</v>
      </c>
      <c r="M2301" t="e">
        <f t="shared" si="143"/>
        <v>#N/A</v>
      </c>
    </row>
    <row r="2302" spans="1:13" ht="14.25" customHeight="true">
      <c r="A2302" s="33" t="str">
        <f t="shared" si="140"/>
        <v>LCP - Intercompany</v>
      </c>
      <c r="B2302" s="33" t="str">
        <f t="shared" si="141"/>
        <v>LCP</v>
      </c>
      <c r="C2302" s="33" t="str">
        <f t="shared" si="142"/>
        <v>11402-0000</v>
      </c>
      <c r="D2302" t="s">
        <v>22009</v>
      </c>
      <c r="E2302" t="s">
        <v>14174</v>
      </c>
      <c r="G2302" t="s">
        <v>14672</v>
      </c>
      <c r="H2302" t="s">
        <v>13869</v>
      </c>
      <c r="I2302" t="s">
        <v>14690</v>
      </c>
      <c r="J2302" s="62">
        <v>0</v>
      </c>
      <c r="K2302" s="62">
        <v>0</v>
      </c>
      <c r="L2302" t="str">
        <f>VLOOKUP(VALUE(LEFT(C2302,5)),Xref!A:B,2,0)</f>
        <v>DPI</v>
      </c>
      <c r="M2302" t="str">
        <f t="shared" si="143"/>
        <v>DPI-LCP</v>
      </c>
    </row>
    <row r="2303" spans="1:13" ht="14.25" customHeight="true">
      <c r="A2303" s="33" t="str">
        <f t="shared" si="140"/>
        <v>LCP - Intercompany</v>
      </c>
      <c r="B2303" s="33" t="str">
        <f t="shared" si="141"/>
        <v>LCP</v>
      </c>
      <c r="C2303" s="33" t="str">
        <f t="shared" si="142"/>
        <v>11403-0000</v>
      </c>
      <c r="D2303" t="s">
        <v>22010</v>
      </c>
      <c r="E2303" t="s">
        <v>14176</v>
      </c>
      <c r="G2303" t="s">
        <v>14672</v>
      </c>
      <c r="H2303" t="s">
        <v>13869</v>
      </c>
      <c r="I2303" t="s">
        <v>14690</v>
      </c>
      <c r="J2303" s="62">
        <v>0</v>
      </c>
      <c r="K2303" s="62">
        <v>0</v>
      </c>
      <c r="L2303" t="str">
        <f>VLOOKUP(VALUE(LEFT(C2303,5)),Xref!A:B,2,0)</f>
        <v>SEA</v>
      </c>
      <c r="M2303" t="str">
        <f t="shared" si="143"/>
        <v>LCP-SEA</v>
      </c>
    </row>
    <row r="2304" spans="1:13" ht="14.25" customHeight="true">
      <c r="A2304" s="33" t="str">
        <f t="shared" si="140"/>
        <v>LCP - Intercompany</v>
      </c>
      <c r="B2304" s="33" t="str">
        <f t="shared" si="141"/>
        <v>LCP</v>
      </c>
      <c r="C2304" s="33" t="str">
        <f t="shared" si="142"/>
        <v>12400-0000</v>
      </c>
      <c r="D2304" t="s">
        <v>22012</v>
      </c>
      <c r="E2304" t="s">
        <v>14185</v>
      </c>
      <c r="F2304" t="s">
        <v>14039</v>
      </c>
      <c r="G2304" t="s">
        <v>14672</v>
      </c>
      <c r="H2304" t="s">
        <v>13869</v>
      </c>
      <c r="I2304" t="s">
        <v>14690</v>
      </c>
      <c r="J2304" s="62">
        <v>0</v>
      </c>
      <c r="K2304" s="62">
        <v>0</v>
      </c>
      <c r="L2304" t="str">
        <f>VLOOKUP(VALUE(LEFT(C2304,5)),Xref!A:B,2,0)</f>
        <v>aka</v>
      </c>
      <c r="M2304" t="str">
        <f t="shared" si="143"/>
        <v>aka-LCP</v>
      </c>
    </row>
    <row r="2305" spans="1:13" ht="14.25" customHeight="true">
      <c r="A2305" s="33" t="str">
        <f t="shared" si="140"/>
        <v>LCP - Intercompany</v>
      </c>
      <c r="B2305" s="33" t="str">
        <f t="shared" si="141"/>
        <v>LCP</v>
      </c>
      <c r="C2305" s="33" t="str">
        <f t="shared" si="142"/>
        <v>12401-0000</v>
      </c>
      <c r="D2305" t="s">
        <v>22013</v>
      </c>
      <c r="E2305" t="s">
        <v>14187</v>
      </c>
      <c r="F2305" t="s">
        <v>14039</v>
      </c>
      <c r="G2305" t="s">
        <v>14672</v>
      </c>
      <c r="H2305" t="s">
        <v>13869</v>
      </c>
      <c r="I2305" t="s">
        <v>14690</v>
      </c>
      <c r="J2305" s="62">
        <v>0</v>
      </c>
      <c r="K2305" s="62">
        <v>0</v>
      </c>
      <c r="L2305" t="str">
        <f>VLOOKUP(VALUE(LEFT(C2305,5)),Xref!A:B,2,0)</f>
        <v>aka</v>
      </c>
      <c r="M2305" t="str">
        <f t="shared" si="143"/>
        <v>aka-LCP</v>
      </c>
    </row>
    <row r="2306" spans="1:13" ht="14.25" customHeight="true">
      <c r="A2306" s="33" t="str">
        <f t="shared" ref="A2306:A2369" si="144">B2306&amp;" - "&amp;TRIM(H2306)</f>
        <v>LCP - Intercompany</v>
      </c>
      <c r="B2306" s="33" t="str">
        <f t="shared" ref="B2306:B2369" si="145">LEFT(D2306,3)</f>
        <v>LCP</v>
      </c>
      <c r="C2306" s="33" t="str">
        <f t="shared" ref="C2306:C2369" si="146">RIGHT(D2306,10)</f>
        <v>12402-0000</v>
      </c>
      <c r="D2306" t="s">
        <v>22014</v>
      </c>
      <c r="E2306" t="s">
        <v>14189</v>
      </c>
      <c r="F2306" t="s">
        <v>14039</v>
      </c>
      <c r="G2306" t="s">
        <v>14672</v>
      </c>
      <c r="H2306" t="s">
        <v>13869</v>
      </c>
      <c r="I2306" t="s">
        <v>14690</v>
      </c>
      <c r="J2306" s="62">
        <v>0</v>
      </c>
      <c r="K2306" s="62">
        <v>0</v>
      </c>
      <c r="L2306" t="str">
        <f>VLOOKUP(VALUE(LEFT(C2306,5)),Xref!A:B,2,0)</f>
        <v>aka</v>
      </c>
      <c r="M2306" t="str">
        <f t="shared" ref="M2306:M2369" si="147">IF(B2306&lt;L2306,B2306&amp;"-"&amp;L2306,L2306&amp;"-"&amp;B2306)</f>
        <v>aka-LCP</v>
      </c>
    </row>
    <row r="2307" spans="1:13" ht="14.25" customHeight="true">
      <c r="A2307" s="33" t="str">
        <f t="shared" si="144"/>
        <v>LCP - Intercompany</v>
      </c>
      <c r="B2307" s="33" t="str">
        <f t="shared" si="145"/>
        <v>LCP</v>
      </c>
      <c r="C2307" s="33" t="str">
        <f t="shared" si="146"/>
        <v>12403-0000</v>
      </c>
      <c r="D2307" t="s">
        <v>22015</v>
      </c>
      <c r="E2307" t="s">
        <v>5226</v>
      </c>
      <c r="F2307" t="s">
        <v>14039</v>
      </c>
      <c r="G2307" t="s">
        <v>14672</v>
      </c>
      <c r="H2307" t="s">
        <v>13869</v>
      </c>
      <c r="I2307" t="s">
        <v>14690</v>
      </c>
      <c r="J2307" s="62">
        <v>0</v>
      </c>
      <c r="K2307" s="62">
        <v>0</v>
      </c>
      <c r="L2307" t="str">
        <f>VLOOKUP(VALUE(LEFT(C2307,5)),Xref!A:B,2,0)</f>
        <v>aka</v>
      </c>
      <c r="M2307" t="str">
        <f t="shared" si="147"/>
        <v>aka-LCP</v>
      </c>
    </row>
    <row r="2308" spans="1:13" ht="14.25" customHeight="true">
      <c r="A2308" s="33" t="str">
        <f t="shared" si="144"/>
        <v>LCP - Intercompany</v>
      </c>
      <c r="B2308" s="33" t="str">
        <f t="shared" si="145"/>
        <v>LCP</v>
      </c>
      <c r="C2308" s="33" t="str">
        <f t="shared" si="146"/>
        <v>12501-0000</v>
      </c>
      <c r="D2308" t="s">
        <v>22016</v>
      </c>
      <c r="E2308" t="s">
        <v>14192</v>
      </c>
      <c r="F2308" t="s">
        <v>14039</v>
      </c>
      <c r="G2308" t="s">
        <v>14672</v>
      </c>
      <c r="H2308" t="s">
        <v>13869</v>
      </c>
      <c r="I2308" t="s">
        <v>14690</v>
      </c>
      <c r="J2308" s="62">
        <v>0</v>
      </c>
      <c r="K2308" s="62">
        <v>0</v>
      </c>
      <c r="L2308" t="str">
        <f>VLOOKUP(VALUE(LEFT(C2308,5)),Xref!A:B,2,0)</f>
        <v>aka</v>
      </c>
      <c r="M2308" t="str">
        <f t="shared" si="147"/>
        <v>aka-LCP</v>
      </c>
    </row>
    <row r="2309" spans="1:13" ht="14.25" customHeight="true">
      <c r="A2309" s="33" t="str">
        <f t="shared" si="144"/>
        <v>LCP - InterCo Notes</v>
      </c>
      <c r="B2309" s="33" t="str">
        <f t="shared" si="145"/>
        <v>LCP</v>
      </c>
      <c r="C2309" s="33" t="str">
        <f t="shared" si="146"/>
        <v>25600-0000</v>
      </c>
      <c r="D2309" t="s">
        <v>22055</v>
      </c>
      <c r="E2309" t="s">
        <v>314</v>
      </c>
      <c r="F2309" t="s">
        <v>14039</v>
      </c>
      <c r="G2309" t="s">
        <v>14672</v>
      </c>
      <c r="H2309" t="s">
        <v>13889</v>
      </c>
      <c r="I2309" t="s">
        <v>14690</v>
      </c>
      <c r="J2309" s="62">
        <v>0</v>
      </c>
      <c r="K2309" s="62">
        <v>0</v>
      </c>
      <c r="L2309" t="str">
        <f>VLOOKUP(VALUE(LEFT(C2309,5)),Xref!A:B,2,0)</f>
        <v>D7</v>
      </c>
      <c r="M2309" t="str">
        <f t="shared" si="147"/>
        <v>D7-LCP</v>
      </c>
    </row>
    <row r="2310" spans="1:13" ht="14.25" customHeight="true">
      <c r="A2310" s="33" t="str">
        <f t="shared" si="144"/>
        <v>LCP - InterCo Notes</v>
      </c>
      <c r="B2310" s="33" t="str">
        <f t="shared" si="145"/>
        <v>LCP</v>
      </c>
      <c r="C2310" s="33" t="str">
        <f t="shared" si="146"/>
        <v>25602-0000</v>
      </c>
      <c r="D2310" t="s">
        <v>22057</v>
      </c>
      <c r="E2310" t="s">
        <v>13426</v>
      </c>
      <c r="F2310" t="s">
        <v>14039</v>
      </c>
      <c r="G2310" t="s">
        <v>14672</v>
      </c>
      <c r="H2310" t="s">
        <v>13889</v>
      </c>
      <c r="I2310" t="s">
        <v>14690</v>
      </c>
      <c r="J2310" s="62">
        <v>0</v>
      </c>
      <c r="K2310" s="62">
        <v>-365000</v>
      </c>
      <c r="L2310" t="str">
        <f>VLOOKUP(VALUE(LEFT(C2310,5)),Xref!A:B,2,0)</f>
        <v>DFLP</v>
      </c>
      <c r="M2310" t="str">
        <f t="shared" si="147"/>
        <v>DFLP-LCP</v>
      </c>
    </row>
    <row r="2311" spans="1:13" ht="14.25" customHeight="true">
      <c r="A2311" s="33" t="str">
        <f t="shared" si="144"/>
        <v>LCP - InterCo Notes</v>
      </c>
      <c r="B2311" s="33" t="str">
        <f t="shared" si="145"/>
        <v>LCP</v>
      </c>
      <c r="C2311" s="33" t="str">
        <f t="shared" si="146"/>
        <v>25603-0000</v>
      </c>
      <c r="D2311" t="s">
        <v>22058</v>
      </c>
      <c r="E2311" t="s">
        <v>14311</v>
      </c>
      <c r="F2311" t="s">
        <v>14039</v>
      </c>
      <c r="G2311" t="s">
        <v>14832</v>
      </c>
      <c r="H2311" t="s">
        <v>13889</v>
      </c>
      <c r="I2311" t="s">
        <v>14690</v>
      </c>
      <c r="J2311" s="62">
        <v>0</v>
      </c>
      <c r="K2311" s="62">
        <v>0</v>
      </c>
      <c r="L2311" t="str">
        <f>VLOOKUP(VALUE(LEFT(C2311,5)),Xref!A:B,2,0)</f>
        <v>aka</v>
      </c>
      <c r="M2311" t="str">
        <f t="shared" si="147"/>
        <v>aka-LCP</v>
      </c>
    </row>
    <row r="2312" spans="1:13" ht="14.25" customHeight="true">
      <c r="A2312" s="33" t="str">
        <f t="shared" si="144"/>
        <v>LCP - Intercompany</v>
      </c>
      <c r="B2312" s="33" t="str">
        <f t="shared" si="145"/>
        <v>LCP</v>
      </c>
      <c r="C2312" s="33" t="str">
        <f t="shared" si="146"/>
        <v>25604-0000</v>
      </c>
      <c r="D2312" t="s">
        <v>22059</v>
      </c>
      <c r="E2312" t="s">
        <v>13490</v>
      </c>
      <c r="F2312" t="s">
        <v>14039</v>
      </c>
      <c r="G2312" t="s">
        <v>14672</v>
      </c>
      <c r="H2312" t="s">
        <v>13869</v>
      </c>
      <c r="I2312" t="s">
        <v>14690</v>
      </c>
      <c r="J2312" s="62">
        <v>-150000</v>
      </c>
      <c r="K2312" s="62">
        <v>-150000</v>
      </c>
      <c r="L2312">
        <f>VLOOKUP(VALUE(LEFT(C2312,5)),Xref!A:B,2,0)</f>
        <v>0</v>
      </c>
      <c r="M2312" t="str">
        <f t="shared" si="147"/>
        <v>0-LCP</v>
      </c>
    </row>
    <row r="2313" spans="1:13" ht="14.25" customHeight="true">
      <c r="A2313" s="33" t="str">
        <f t="shared" si="144"/>
        <v>LOM - Intercompany</v>
      </c>
      <c r="B2313" s="33" t="str">
        <f t="shared" si="145"/>
        <v>LOM</v>
      </c>
      <c r="C2313" s="33" t="str">
        <f t="shared" si="146"/>
        <v>11200-0000</v>
      </c>
      <c r="D2313" t="s">
        <v>22167</v>
      </c>
      <c r="E2313" t="s">
        <v>14069</v>
      </c>
      <c r="F2313" t="s">
        <v>14039</v>
      </c>
      <c r="G2313" t="s">
        <v>14672</v>
      </c>
      <c r="H2313" t="s">
        <v>13869</v>
      </c>
      <c r="I2313" t="s">
        <v>14690</v>
      </c>
      <c r="J2313" s="62">
        <v>0</v>
      </c>
      <c r="K2313" s="62">
        <v>0</v>
      </c>
      <c r="L2313" t="str">
        <f>VLOOKUP(VALUE(LEFT(C2313,5)),Xref!A:B,2,0)</f>
        <v>SCL</v>
      </c>
      <c r="M2313" t="str">
        <f t="shared" si="147"/>
        <v>LOM-SCL</v>
      </c>
    </row>
    <row r="2314" spans="1:13" ht="14.25" customHeight="true">
      <c r="A2314" s="33" t="str">
        <f t="shared" si="144"/>
        <v>LOM - Intercompany</v>
      </c>
      <c r="B2314" s="33" t="str">
        <f t="shared" si="145"/>
        <v>LOM</v>
      </c>
      <c r="C2314" s="33" t="str">
        <f t="shared" si="146"/>
        <v>11201-0000</v>
      </c>
      <c r="D2314" t="s">
        <v>22168</v>
      </c>
      <c r="E2314" t="s">
        <v>14071</v>
      </c>
      <c r="F2314" t="s">
        <v>14039</v>
      </c>
      <c r="G2314" t="s">
        <v>14672</v>
      </c>
      <c r="H2314" t="s">
        <v>13869</v>
      </c>
      <c r="I2314" t="s">
        <v>14690</v>
      </c>
      <c r="J2314" s="62">
        <v>0</v>
      </c>
      <c r="K2314" s="62">
        <v>0</v>
      </c>
      <c r="L2314" t="str">
        <f>VLOOKUP(VALUE(LEFT(C2314,5)),Xref!A:B,2,0)</f>
        <v>SG2</v>
      </c>
      <c r="M2314" t="str">
        <f t="shared" si="147"/>
        <v>LOM-SG2</v>
      </c>
    </row>
    <row r="2315" spans="1:13" ht="14.25" customHeight="true">
      <c r="A2315" s="33" t="str">
        <f t="shared" si="144"/>
        <v>LOM - Intercompany</v>
      </c>
      <c r="B2315" s="33" t="str">
        <f t="shared" si="145"/>
        <v>LOM</v>
      </c>
      <c r="C2315" s="33" t="str">
        <f t="shared" si="146"/>
        <v>11202-0000</v>
      </c>
      <c r="D2315" t="s">
        <v>22169</v>
      </c>
      <c r="E2315" t="s">
        <v>14073</v>
      </c>
      <c r="F2315" t="s">
        <v>14039</v>
      </c>
      <c r="G2315" t="s">
        <v>14672</v>
      </c>
      <c r="H2315" t="s">
        <v>13869</v>
      </c>
      <c r="I2315" t="s">
        <v>14690</v>
      </c>
      <c r="J2315" s="62">
        <v>0</v>
      </c>
      <c r="K2315" s="62">
        <v>0</v>
      </c>
      <c r="L2315" t="str">
        <f>VLOOKUP(VALUE(LEFT(C2315,5)),Xref!A:B,2,0)</f>
        <v>FFC</v>
      </c>
      <c r="M2315" t="str">
        <f t="shared" si="147"/>
        <v>FFC-LOM</v>
      </c>
    </row>
    <row r="2316" spans="1:13" ht="14.25" customHeight="true">
      <c r="A2316" s="33" t="str">
        <f t="shared" si="144"/>
        <v>LOM - Intercompany</v>
      </c>
      <c r="B2316" s="33" t="str">
        <f t="shared" si="145"/>
        <v>LOM</v>
      </c>
      <c r="C2316" s="33" t="str">
        <f t="shared" si="146"/>
        <v>11203-0000</v>
      </c>
      <c r="D2316" t="s">
        <v>22170</v>
      </c>
      <c r="E2316" t="s">
        <v>14075</v>
      </c>
      <c r="F2316" t="s">
        <v>14039</v>
      </c>
      <c r="G2316" t="s">
        <v>14672</v>
      </c>
      <c r="H2316" t="s">
        <v>13869</v>
      </c>
      <c r="I2316" t="s">
        <v>14690</v>
      </c>
      <c r="J2316" s="62">
        <v>0</v>
      </c>
      <c r="K2316" s="62">
        <v>0</v>
      </c>
      <c r="L2316" t="str">
        <f>VLOOKUP(VALUE(LEFT(C2316,5)),Xref!A:B,2,0)</f>
        <v>HN2</v>
      </c>
      <c r="M2316" t="str">
        <f t="shared" si="147"/>
        <v>HN2-LOM</v>
      </c>
    </row>
    <row r="2317" spans="1:13" ht="14.25" customHeight="true">
      <c r="A2317" s="33" t="str">
        <f t="shared" si="144"/>
        <v>LOM - Intercompany</v>
      </c>
      <c r="B2317" s="33" t="str">
        <f t="shared" si="145"/>
        <v>LOM</v>
      </c>
      <c r="C2317" s="33" t="str">
        <f t="shared" si="146"/>
        <v>11204-0000</v>
      </c>
      <c r="D2317" t="s">
        <v>22171</v>
      </c>
      <c r="E2317" t="s">
        <v>14077</v>
      </c>
      <c r="F2317" t="s">
        <v>14039</v>
      </c>
      <c r="G2317" t="s">
        <v>14672</v>
      </c>
      <c r="H2317" t="s">
        <v>13869</v>
      </c>
      <c r="I2317" t="s">
        <v>14690</v>
      </c>
      <c r="J2317" s="62">
        <v>0</v>
      </c>
      <c r="K2317" s="62">
        <v>0</v>
      </c>
      <c r="L2317" t="str">
        <f>VLOOKUP(VALUE(LEFT(C2317,5)),Xref!A:B,2,0)</f>
        <v>DF2</v>
      </c>
      <c r="M2317" t="str">
        <f t="shared" si="147"/>
        <v>DF2-LOM</v>
      </c>
    </row>
    <row r="2318" spans="1:13" ht="14.25" customHeight="true">
      <c r="A2318" s="33" t="str">
        <f t="shared" si="144"/>
        <v>LOM - Intercompany</v>
      </c>
      <c r="B2318" s="33" t="str">
        <f t="shared" si="145"/>
        <v>LOM</v>
      </c>
      <c r="C2318" s="33" t="str">
        <f t="shared" si="146"/>
        <v>11208-0000</v>
      </c>
      <c r="D2318" t="s">
        <v>22172</v>
      </c>
      <c r="E2318" t="s">
        <v>14079</v>
      </c>
      <c r="F2318" t="s">
        <v>14039</v>
      </c>
      <c r="G2318" t="s">
        <v>14672</v>
      </c>
      <c r="H2318" t="s">
        <v>13869</v>
      </c>
      <c r="I2318" t="s">
        <v>14690</v>
      </c>
      <c r="J2318" s="62">
        <v>0</v>
      </c>
      <c r="K2318" s="62">
        <v>0</v>
      </c>
      <c r="L2318" t="str">
        <f>VLOOKUP(VALUE(LEFT(C2318,5)),Xref!A:B,2,0)</f>
        <v>SRE</v>
      </c>
      <c r="M2318" t="str">
        <f t="shared" si="147"/>
        <v>LOM-SRE</v>
      </c>
    </row>
    <row r="2319" spans="1:13" ht="14.25" customHeight="true">
      <c r="A2319" s="33" t="str">
        <f t="shared" si="144"/>
        <v>LOM - Intercompany</v>
      </c>
      <c r="B2319" s="33" t="str">
        <f t="shared" si="145"/>
        <v>LOM</v>
      </c>
      <c r="C2319" s="33" t="str">
        <f t="shared" si="146"/>
        <v>11210-0000</v>
      </c>
      <c r="D2319" t="s">
        <v>22173</v>
      </c>
      <c r="E2319" t="s">
        <v>14081</v>
      </c>
      <c r="F2319" t="s">
        <v>14039</v>
      </c>
      <c r="G2319" t="s">
        <v>14672</v>
      </c>
      <c r="H2319" t="s">
        <v>13869</v>
      </c>
      <c r="I2319" t="s">
        <v>14690</v>
      </c>
      <c r="J2319" s="62">
        <v>0</v>
      </c>
      <c r="K2319" s="62">
        <v>0</v>
      </c>
      <c r="L2319" t="str">
        <f>VLOOKUP(VALUE(LEFT(C2319,5)),Xref!A:B,2,0)</f>
        <v>REM</v>
      </c>
      <c r="M2319" t="str">
        <f t="shared" si="147"/>
        <v>LOM-REM</v>
      </c>
    </row>
    <row r="2320" spans="1:13" ht="14.25" customHeight="true">
      <c r="A2320" s="33" t="str">
        <f t="shared" si="144"/>
        <v>LOM - Intercompany</v>
      </c>
      <c r="B2320" s="33" t="str">
        <f t="shared" si="145"/>
        <v>LOM</v>
      </c>
      <c r="C2320" s="33" t="str">
        <f t="shared" si="146"/>
        <v>11212-0000</v>
      </c>
      <c r="D2320" t="s">
        <v>22174</v>
      </c>
      <c r="E2320" t="s">
        <v>14083</v>
      </c>
      <c r="F2320" t="s">
        <v>14039</v>
      </c>
      <c r="G2320" t="s">
        <v>14672</v>
      </c>
      <c r="H2320" t="s">
        <v>13869</v>
      </c>
      <c r="I2320" t="s">
        <v>14690</v>
      </c>
      <c r="J2320" s="62">
        <v>0</v>
      </c>
      <c r="K2320" s="62">
        <v>0</v>
      </c>
      <c r="L2320" t="str">
        <f>VLOOKUP(VALUE(LEFT(C2320,5)),Xref!A:B,2,0)</f>
        <v>FRM</v>
      </c>
      <c r="M2320" t="str">
        <f t="shared" si="147"/>
        <v>FRM-LOM</v>
      </c>
    </row>
    <row r="2321" spans="1:13" ht="14.25" customHeight="true">
      <c r="A2321" s="33" t="str">
        <f t="shared" si="144"/>
        <v>LOM - Intercompany</v>
      </c>
      <c r="B2321" s="33" t="str">
        <f t="shared" si="145"/>
        <v>LOM</v>
      </c>
      <c r="C2321" s="33" t="str">
        <f t="shared" si="146"/>
        <v>11214-0000</v>
      </c>
      <c r="D2321" t="s">
        <v>22175</v>
      </c>
      <c r="E2321" t="s">
        <v>14085</v>
      </c>
      <c r="F2321" t="s">
        <v>14039</v>
      </c>
      <c r="G2321" t="s">
        <v>14672</v>
      </c>
      <c r="H2321" t="s">
        <v>13869</v>
      </c>
      <c r="I2321" t="s">
        <v>14690</v>
      </c>
      <c r="J2321" s="62">
        <v>0</v>
      </c>
      <c r="K2321" s="62">
        <v>0</v>
      </c>
      <c r="L2321" t="str">
        <f>VLOOKUP(VALUE(LEFT(C2321,5)),Xref!A:B,2,0)</f>
        <v>D7R</v>
      </c>
      <c r="M2321" t="str">
        <f t="shared" si="147"/>
        <v>D7R-LOM</v>
      </c>
    </row>
    <row r="2322" spans="1:13" ht="14.25" customHeight="true">
      <c r="A2322" s="33" t="str">
        <f t="shared" si="144"/>
        <v>LOM - Intercompany</v>
      </c>
      <c r="B2322" s="33" t="str">
        <f t="shared" si="145"/>
        <v>LOM</v>
      </c>
      <c r="C2322" s="33" t="str">
        <f t="shared" si="146"/>
        <v>11215-0000</v>
      </c>
      <c r="D2322" t="s">
        <v>22176</v>
      </c>
      <c r="E2322" t="s">
        <v>14087</v>
      </c>
      <c r="F2322" t="s">
        <v>14039</v>
      </c>
      <c r="G2322" t="s">
        <v>14672</v>
      </c>
      <c r="H2322" t="s">
        <v>13869</v>
      </c>
      <c r="I2322" t="s">
        <v>14690</v>
      </c>
      <c r="J2322" s="62">
        <v>0</v>
      </c>
      <c r="K2322" s="62">
        <v>0</v>
      </c>
      <c r="L2322" t="str">
        <f>VLOOKUP(VALUE(LEFT(C2322,5)),Xref!A:B,2,0)</f>
        <v>CDP</v>
      </c>
      <c r="M2322" t="str">
        <f t="shared" si="147"/>
        <v>CDP-LOM</v>
      </c>
    </row>
    <row r="2323" spans="1:13" ht="14.25" customHeight="true">
      <c r="A2323" s="33" t="str">
        <f t="shared" si="144"/>
        <v>LOM - Intercompany</v>
      </c>
      <c r="B2323" s="33" t="str">
        <f t="shared" si="145"/>
        <v>LOM</v>
      </c>
      <c r="C2323" s="33" t="str">
        <f t="shared" si="146"/>
        <v>11216-0000</v>
      </c>
      <c r="D2323" t="s">
        <v>1536</v>
      </c>
      <c r="E2323" t="s">
        <v>13224</v>
      </c>
      <c r="F2323" t="s">
        <v>14039</v>
      </c>
      <c r="G2323" t="s">
        <v>14672</v>
      </c>
      <c r="H2323" t="s">
        <v>13869</v>
      </c>
      <c r="I2323" t="s">
        <v>14690</v>
      </c>
      <c r="J2323" s="62">
        <v>-2662.47</v>
      </c>
      <c r="K2323" s="62">
        <v>-15280.98</v>
      </c>
      <c r="L2323" t="str">
        <f>VLOOKUP(VALUE(LEFT(C2323,5)),Xref!A:B,2,0)</f>
        <v>SIL</v>
      </c>
      <c r="M2323" t="str">
        <f t="shared" si="147"/>
        <v>LOM-SIL</v>
      </c>
    </row>
    <row r="2324" spans="1:13" ht="14.25" customHeight="true">
      <c r="A2324" s="33" t="str">
        <f t="shared" si="144"/>
        <v>LOM - Intercompany</v>
      </c>
      <c r="B2324" s="33" t="str">
        <f t="shared" si="145"/>
        <v>LOM</v>
      </c>
      <c r="C2324" s="33" t="str">
        <f t="shared" si="146"/>
        <v>11232-0000</v>
      </c>
      <c r="D2324" t="s">
        <v>22177</v>
      </c>
      <c r="E2324" t="s">
        <v>12486</v>
      </c>
      <c r="F2324" t="s">
        <v>14039</v>
      </c>
      <c r="G2324" t="s">
        <v>14672</v>
      </c>
      <c r="H2324" t="s">
        <v>13869</v>
      </c>
      <c r="I2324" t="s">
        <v>14690</v>
      </c>
      <c r="J2324" s="62">
        <v>0</v>
      </c>
      <c r="K2324" s="62">
        <v>0</v>
      </c>
      <c r="L2324" t="str">
        <f>VLOOKUP(VALUE(LEFT(C2324,5)),Xref!A:B,2,0)</f>
        <v>SC2</v>
      </c>
      <c r="M2324" t="str">
        <f t="shared" si="147"/>
        <v>LOM-SC2</v>
      </c>
    </row>
    <row r="2325" spans="1:13" ht="14.25" customHeight="true">
      <c r="A2325" s="33" t="str">
        <f t="shared" si="144"/>
        <v>LOM - Intercompany</v>
      </c>
      <c r="B2325" s="33" t="str">
        <f t="shared" si="145"/>
        <v>LOM</v>
      </c>
      <c r="C2325" s="33" t="str">
        <f t="shared" si="146"/>
        <v>11301-0000</v>
      </c>
      <c r="D2325" t="s">
        <v>22178</v>
      </c>
      <c r="E2325" t="s">
        <v>13225</v>
      </c>
      <c r="F2325" t="s">
        <v>14039</v>
      </c>
      <c r="G2325" t="s">
        <v>14672</v>
      </c>
      <c r="H2325" t="s">
        <v>13869</v>
      </c>
      <c r="I2325" t="s">
        <v>14690</v>
      </c>
      <c r="J2325" s="62">
        <v>0</v>
      </c>
      <c r="K2325" s="62">
        <v>0</v>
      </c>
      <c r="L2325" t="str">
        <f>VLOOKUP(VALUE(LEFT(C2325,5)),Xref!A:B,2,0)</f>
        <v>CRE</v>
      </c>
      <c r="M2325" t="str">
        <f t="shared" si="147"/>
        <v>CRE-LOM</v>
      </c>
    </row>
    <row r="2326" spans="1:13" ht="14.25" customHeight="true">
      <c r="A2326" s="33" t="str">
        <f t="shared" si="144"/>
        <v>LOM - Intercompany</v>
      </c>
      <c r="B2326" s="33" t="str">
        <f t="shared" si="145"/>
        <v>LOM</v>
      </c>
      <c r="C2326" s="33" t="str">
        <f t="shared" si="146"/>
        <v>11302-0000</v>
      </c>
      <c r="D2326" t="s">
        <v>22179</v>
      </c>
      <c r="E2326" t="s">
        <v>13226</v>
      </c>
      <c r="F2326" t="s">
        <v>14039</v>
      </c>
      <c r="G2326" t="s">
        <v>14672</v>
      </c>
      <c r="H2326" t="s">
        <v>13869</v>
      </c>
      <c r="I2326" t="s">
        <v>14690</v>
      </c>
      <c r="J2326" s="62">
        <v>0</v>
      </c>
      <c r="K2326" s="62">
        <v>0</v>
      </c>
      <c r="L2326" t="str">
        <f>VLOOKUP(VALUE(LEFT(C2326,5)),Xref!A:B,2,0)</f>
        <v>CHA</v>
      </c>
      <c r="M2326" t="str">
        <f t="shared" si="147"/>
        <v>CHA-LOM</v>
      </c>
    </row>
    <row r="2327" spans="1:13" ht="14.25" customHeight="true">
      <c r="A2327" s="33" t="str">
        <f t="shared" si="144"/>
        <v>LOM - Intercompany</v>
      </c>
      <c r="B2327" s="33" t="str">
        <f t="shared" si="145"/>
        <v>LOM</v>
      </c>
      <c r="C2327" s="33" t="str">
        <f t="shared" si="146"/>
        <v>11303-0000</v>
      </c>
      <c r="D2327" t="s">
        <v>22180</v>
      </c>
      <c r="E2327" t="s">
        <v>13227</v>
      </c>
      <c r="F2327" t="s">
        <v>14039</v>
      </c>
      <c r="G2327" t="s">
        <v>14672</v>
      </c>
      <c r="H2327" t="s">
        <v>13869</v>
      </c>
      <c r="I2327" t="s">
        <v>14690</v>
      </c>
      <c r="J2327" s="62">
        <v>0</v>
      </c>
      <c r="K2327" s="62">
        <v>0</v>
      </c>
      <c r="L2327" t="str">
        <f>VLOOKUP(VALUE(LEFT(C2327,5)),Xref!A:B,2,0)</f>
        <v>DIA</v>
      </c>
      <c r="M2327" t="str">
        <f t="shared" si="147"/>
        <v>DIA-LOM</v>
      </c>
    </row>
    <row r="2328" spans="1:13" ht="14.25" customHeight="true">
      <c r="A2328" s="33" t="str">
        <f t="shared" si="144"/>
        <v>LOM - Intercompany</v>
      </c>
      <c r="B2328" s="33" t="str">
        <f t="shared" si="145"/>
        <v>LOM</v>
      </c>
      <c r="C2328" s="33" t="str">
        <f t="shared" si="146"/>
        <v>11304-0000</v>
      </c>
      <c r="D2328" t="s">
        <v>22181</v>
      </c>
      <c r="E2328" t="s">
        <v>13228</v>
      </c>
      <c r="F2328" t="s">
        <v>14039</v>
      </c>
      <c r="G2328" t="s">
        <v>14672</v>
      </c>
      <c r="H2328" t="s">
        <v>13869</v>
      </c>
      <c r="I2328" t="s">
        <v>14690</v>
      </c>
      <c r="J2328" s="62">
        <v>0</v>
      </c>
      <c r="K2328" s="62">
        <v>0</v>
      </c>
      <c r="L2328" t="str">
        <f>VLOOKUP(VALUE(LEFT(C2328,5)),Xref!A:B,2,0)</f>
        <v>EAG</v>
      </c>
      <c r="M2328" t="str">
        <f t="shared" si="147"/>
        <v>EAG-LOM</v>
      </c>
    </row>
    <row r="2329" spans="1:13" ht="14.25" customHeight="true">
      <c r="A2329" s="33" t="str">
        <f t="shared" si="144"/>
        <v>LOM - Intercompany</v>
      </c>
      <c r="B2329" s="33" t="str">
        <f t="shared" si="145"/>
        <v>LOM</v>
      </c>
      <c r="C2329" s="33" t="str">
        <f t="shared" si="146"/>
        <v>11305-0000</v>
      </c>
      <c r="D2329" t="s">
        <v>22182</v>
      </c>
      <c r="E2329" t="s">
        <v>13229</v>
      </c>
      <c r="F2329" t="s">
        <v>14039</v>
      </c>
      <c r="G2329" t="s">
        <v>14672</v>
      </c>
      <c r="H2329" t="s">
        <v>13869</v>
      </c>
      <c r="I2329" t="s">
        <v>14690</v>
      </c>
      <c r="J2329" s="62">
        <v>0</v>
      </c>
      <c r="K2329" s="62">
        <v>0</v>
      </c>
      <c r="L2329" t="str">
        <f>VLOOKUP(VALUE(LEFT(C2329,5)),Xref!A:B,2,0)</f>
        <v>NEW</v>
      </c>
      <c r="M2329" t="str">
        <f t="shared" si="147"/>
        <v>LOM-NEW</v>
      </c>
    </row>
    <row r="2330" spans="1:13" ht="14.25" customHeight="true">
      <c r="A2330" s="33" t="str">
        <f t="shared" si="144"/>
        <v>LOM - Intercompany</v>
      </c>
      <c r="B2330" s="33" t="str">
        <f t="shared" si="145"/>
        <v>LOM</v>
      </c>
      <c r="C2330" s="33" t="str">
        <f t="shared" si="146"/>
        <v>11307-0000</v>
      </c>
      <c r="D2330" t="s">
        <v>22183</v>
      </c>
      <c r="E2330" t="s">
        <v>14096</v>
      </c>
      <c r="F2330" t="s">
        <v>14039</v>
      </c>
      <c r="G2330" t="s">
        <v>14672</v>
      </c>
      <c r="H2330" t="s">
        <v>13869</v>
      </c>
      <c r="I2330" t="s">
        <v>14690</v>
      </c>
      <c r="J2330" s="62">
        <v>0</v>
      </c>
      <c r="K2330" s="62">
        <v>0</v>
      </c>
      <c r="L2330" t="str">
        <f>VLOOKUP(VALUE(LEFT(C2330,5)),Xref!A:B,2,0)</f>
        <v>NES</v>
      </c>
      <c r="M2330" t="str">
        <f t="shared" si="147"/>
        <v>LOM-NES</v>
      </c>
    </row>
    <row r="2331" spans="1:13" ht="14.25" customHeight="true">
      <c r="A2331" s="33" t="str">
        <f t="shared" si="144"/>
        <v>LOM - Intercompany</v>
      </c>
      <c r="B2331" s="33" t="str">
        <f t="shared" si="145"/>
        <v>LOM</v>
      </c>
      <c r="C2331" s="33" t="str">
        <f t="shared" si="146"/>
        <v>11308-0000</v>
      </c>
      <c r="D2331" t="s">
        <v>22184</v>
      </c>
      <c r="E2331" t="s">
        <v>13476</v>
      </c>
      <c r="F2331" t="s">
        <v>14039</v>
      </c>
      <c r="G2331" t="s">
        <v>14672</v>
      </c>
      <c r="H2331" t="s">
        <v>13869</v>
      </c>
      <c r="I2331" t="s">
        <v>14690</v>
      </c>
      <c r="J2331" s="62">
        <v>0</v>
      </c>
      <c r="K2331" s="62">
        <v>0</v>
      </c>
      <c r="L2331" t="str">
        <f>VLOOKUP(VALUE(LEFT(C2331,5)),Xref!A:B,2,0)</f>
        <v>LPI</v>
      </c>
      <c r="M2331" t="str">
        <f t="shared" si="147"/>
        <v>LOM-LPI</v>
      </c>
    </row>
    <row r="2332" spans="1:13" ht="14.25" customHeight="true">
      <c r="A2332" s="33" t="str">
        <f t="shared" si="144"/>
        <v>LOM - Intercompany</v>
      </c>
      <c r="B2332" s="33" t="str">
        <f t="shared" si="145"/>
        <v>LOM</v>
      </c>
      <c r="C2332" s="33" t="str">
        <f t="shared" si="146"/>
        <v>11309-0000</v>
      </c>
      <c r="D2332" t="s">
        <v>22185</v>
      </c>
      <c r="E2332" t="s">
        <v>13230</v>
      </c>
      <c r="F2332" t="s">
        <v>14039</v>
      </c>
      <c r="G2332" t="s">
        <v>14672</v>
      </c>
      <c r="H2332" t="s">
        <v>13869</v>
      </c>
      <c r="I2332" t="s">
        <v>14690</v>
      </c>
      <c r="J2332" s="62">
        <v>0</v>
      </c>
      <c r="K2332" s="62">
        <v>0</v>
      </c>
      <c r="L2332" t="str">
        <f>VLOOKUP(VALUE(LEFT(C2332,5)),Xref!A:B,2,0)</f>
        <v>GPI</v>
      </c>
      <c r="M2332" t="str">
        <f t="shared" si="147"/>
        <v>GPI-LOM</v>
      </c>
    </row>
    <row r="2333" spans="1:13" ht="14.25" customHeight="true">
      <c r="A2333" s="33" t="str">
        <f t="shared" si="144"/>
        <v>LOM - Intercompany</v>
      </c>
      <c r="B2333" s="33" t="str">
        <f t="shared" si="145"/>
        <v>LOM</v>
      </c>
      <c r="C2333" s="33" t="str">
        <f t="shared" si="146"/>
        <v>11310-0000</v>
      </c>
      <c r="D2333" t="s">
        <v>1537</v>
      </c>
      <c r="E2333" t="s">
        <v>13231</v>
      </c>
      <c r="F2333" t="s">
        <v>14039</v>
      </c>
      <c r="G2333" t="s">
        <v>14672</v>
      </c>
      <c r="H2333" t="s">
        <v>13869</v>
      </c>
      <c r="I2333" t="s">
        <v>14690</v>
      </c>
      <c r="J2333" s="62">
        <v>0</v>
      </c>
      <c r="K2333" s="62">
        <v>-10000</v>
      </c>
      <c r="L2333" t="str">
        <f>VLOOKUP(VALUE(LEFT(C2333,5)),Xref!A:B,2,0)</f>
        <v>ALP</v>
      </c>
      <c r="M2333" t="str">
        <f t="shared" si="147"/>
        <v>ALP-LOM</v>
      </c>
    </row>
    <row r="2334" spans="1:13" ht="14.25" customHeight="true">
      <c r="A2334" s="33" t="str">
        <f t="shared" si="144"/>
        <v>LOM - Intercompany</v>
      </c>
      <c r="B2334" s="33" t="str">
        <f t="shared" si="145"/>
        <v>LOM</v>
      </c>
      <c r="C2334" s="33" t="str">
        <f t="shared" si="146"/>
        <v>11311-0000</v>
      </c>
      <c r="D2334" t="s">
        <v>1538</v>
      </c>
      <c r="E2334" t="s">
        <v>13232</v>
      </c>
      <c r="F2334" t="s">
        <v>14039</v>
      </c>
      <c r="G2334" t="s">
        <v>14672</v>
      </c>
      <c r="H2334" t="s">
        <v>13869</v>
      </c>
      <c r="I2334" t="s">
        <v>14690</v>
      </c>
      <c r="J2334" s="62">
        <v>0</v>
      </c>
      <c r="K2334" s="62">
        <v>-15000</v>
      </c>
      <c r="L2334" t="str">
        <f>VLOOKUP(VALUE(LEFT(C2334,5)),Xref!A:B,2,0)</f>
        <v>BET</v>
      </c>
      <c r="M2334" t="str">
        <f t="shared" si="147"/>
        <v>BET-LOM</v>
      </c>
    </row>
    <row r="2335" spans="1:13" ht="14.25" customHeight="true">
      <c r="A2335" s="33" t="str">
        <f t="shared" si="144"/>
        <v>LOM - Intercompany</v>
      </c>
      <c r="B2335" s="33" t="str">
        <f t="shared" si="145"/>
        <v>LOM</v>
      </c>
      <c r="C2335" s="33" t="str">
        <f t="shared" si="146"/>
        <v>11312-0000</v>
      </c>
      <c r="D2335" t="s">
        <v>22186</v>
      </c>
      <c r="E2335" t="s">
        <v>14102</v>
      </c>
      <c r="F2335" t="s">
        <v>14039</v>
      </c>
      <c r="G2335" t="s">
        <v>14672</v>
      </c>
      <c r="H2335" t="s">
        <v>13869</v>
      </c>
      <c r="I2335" t="s">
        <v>14690</v>
      </c>
      <c r="J2335" s="62">
        <v>0</v>
      </c>
      <c r="K2335" s="62">
        <v>0</v>
      </c>
      <c r="L2335" t="str">
        <f>VLOOKUP(VALUE(LEFT(C2335,5)),Xref!A:B,2,0)</f>
        <v>DEL</v>
      </c>
      <c r="M2335" t="str">
        <f t="shared" si="147"/>
        <v>DEL-LOM</v>
      </c>
    </row>
    <row r="2336" spans="1:13" ht="14.25" customHeight="true">
      <c r="A2336" s="33" t="str">
        <f t="shared" si="144"/>
        <v>LOM - Intercompany</v>
      </c>
      <c r="B2336" s="33" t="str">
        <f t="shared" si="145"/>
        <v>LOM</v>
      </c>
      <c r="C2336" s="33" t="str">
        <f t="shared" si="146"/>
        <v>11313-0000</v>
      </c>
      <c r="D2336" t="s">
        <v>22187</v>
      </c>
      <c r="E2336" t="s">
        <v>13233</v>
      </c>
      <c r="F2336" t="s">
        <v>14039</v>
      </c>
      <c r="G2336" t="s">
        <v>14672</v>
      </c>
      <c r="H2336" t="s">
        <v>13869</v>
      </c>
      <c r="I2336" t="s">
        <v>14690</v>
      </c>
      <c r="J2336" s="62">
        <v>0</v>
      </c>
      <c r="K2336" s="62">
        <v>0</v>
      </c>
      <c r="L2336" t="str">
        <f>VLOOKUP(VALUE(LEFT(C2336,5)),Xref!A:B,2,0)</f>
        <v>DOL</v>
      </c>
      <c r="M2336" t="str">
        <f t="shared" si="147"/>
        <v>DOL-LOM</v>
      </c>
    </row>
    <row r="2337" spans="1:13" ht="14.25" customHeight="true">
      <c r="A2337" s="33" t="str">
        <f t="shared" si="144"/>
        <v>LOM - Intercompany</v>
      </c>
      <c r="B2337" s="33" t="str">
        <f t="shared" si="145"/>
        <v>LOM</v>
      </c>
      <c r="C2337" s="33" t="str">
        <f t="shared" si="146"/>
        <v>11314-0000</v>
      </c>
      <c r="D2337" t="s">
        <v>22188</v>
      </c>
      <c r="E2337" t="s">
        <v>13351</v>
      </c>
      <c r="F2337" t="s">
        <v>14039</v>
      </c>
      <c r="G2337" t="s">
        <v>14672</v>
      </c>
      <c r="H2337" t="s">
        <v>13869</v>
      </c>
      <c r="I2337" t="s">
        <v>14690</v>
      </c>
      <c r="J2337" s="62">
        <v>0</v>
      </c>
      <c r="K2337" s="62">
        <v>0</v>
      </c>
      <c r="L2337" t="str">
        <f>VLOOKUP(VALUE(LEFT(C2337,5)),Xref!A:B,2,0)</f>
        <v>GRI</v>
      </c>
      <c r="M2337" t="str">
        <f t="shared" si="147"/>
        <v>GRI-LOM</v>
      </c>
    </row>
    <row r="2338" spans="1:13" ht="14.25" customHeight="true">
      <c r="A2338" s="33" t="str">
        <f t="shared" si="144"/>
        <v>LOM - Intercompany</v>
      </c>
      <c r="B2338" s="33" t="str">
        <f t="shared" si="145"/>
        <v>LOM</v>
      </c>
      <c r="C2338" s="33" t="str">
        <f t="shared" si="146"/>
        <v>11315-0000</v>
      </c>
      <c r="D2338" t="s">
        <v>22189</v>
      </c>
      <c r="E2338" t="s">
        <v>13234</v>
      </c>
      <c r="F2338" t="s">
        <v>14039</v>
      </c>
      <c r="G2338" t="s">
        <v>14672</v>
      </c>
      <c r="H2338" t="s">
        <v>13869</v>
      </c>
      <c r="I2338" t="s">
        <v>14690</v>
      </c>
      <c r="J2338" s="62">
        <v>0</v>
      </c>
      <c r="K2338" s="62">
        <v>0</v>
      </c>
      <c r="L2338" t="str">
        <f>VLOOKUP(VALUE(LEFT(C2338,5)),Xref!A:B,2,0)</f>
        <v>PUR</v>
      </c>
      <c r="M2338" t="str">
        <f t="shared" si="147"/>
        <v>LOM-PUR</v>
      </c>
    </row>
    <row r="2339" spans="1:13" ht="14.25" customHeight="true">
      <c r="A2339" s="33" t="str">
        <f t="shared" si="144"/>
        <v>LOM - Intercompany</v>
      </c>
      <c r="B2339" s="33" t="str">
        <f t="shared" si="145"/>
        <v>LOM</v>
      </c>
      <c r="C2339" s="33" t="str">
        <f t="shared" si="146"/>
        <v>11316-0000</v>
      </c>
      <c r="D2339" t="s">
        <v>22190</v>
      </c>
      <c r="E2339" t="s">
        <v>13235</v>
      </c>
      <c r="F2339" t="s">
        <v>14039</v>
      </c>
      <c r="G2339" t="s">
        <v>14672</v>
      </c>
      <c r="H2339" t="s">
        <v>13869</v>
      </c>
      <c r="I2339" t="s">
        <v>14690</v>
      </c>
      <c r="J2339" s="62">
        <v>0</v>
      </c>
      <c r="K2339" s="62">
        <v>0</v>
      </c>
      <c r="L2339" t="str">
        <f>VLOOKUP(VALUE(LEFT(C2339,5)),Xref!A:B,2,0)</f>
        <v>VAL</v>
      </c>
      <c r="M2339" t="str">
        <f t="shared" si="147"/>
        <v>LOM-VAL</v>
      </c>
    </row>
    <row r="2340" spans="1:13" ht="14.25" customHeight="true">
      <c r="A2340" s="33" t="str">
        <f t="shared" si="144"/>
        <v>LOM - Intercompany</v>
      </c>
      <c r="B2340" s="33" t="str">
        <f t="shared" si="145"/>
        <v>LOM</v>
      </c>
      <c r="C2340" s="33" t="str">
        <f t="shared" si="146"/>
        <v>11317-0000</v>
      </c>
      <c r="D2340" t="s">
        <v>1539</v>
      </c>
      <c r="E2340" t="s">
        <v>13352</v>
      </c>
      <c r="F2340" t="s">
        <v>14039</v>
      </c>
      <c r="G2340" t="s">
        <v>14672</v>
      </c>
      <c r="H2340" t="s">
        <v>13869</v>
      </c>
      <c r="I2340" t="s">
        <v>14690</v>
      </c>
      <c r="J2340" s="62">
        <v>0</v>
      </c>
      <c r="K2340" s="62">
        <v>-10000</v>
      </c>
      <c r="L2340" t="str">
        <f>VLOOKUP(VALUE(LEFT(C2340,5)),Xref!A:B,2,0)</f>
        <v>AKG</v>
      </c>
      <c r="M2340" t="str">
        <f t="shared" si="147"/>
        <v>AKG-LOM</v>
      </c>
    </row>
    <row r="2341" spans="1:13" ht="14.25" customHeight="true">
      <c r="A2341" s="33" t="str">
        <f t="shared" si="144"/>
        <v>LOM - Intercompany</v>
      </c>
      <c r="B2341" s="33" t="str">
        <f t="shared" si="145"/>
        <v>LOM</v>
      </c>
      <c r="C2341" s="33" t="str">
        <f t="shared" si="146"/>
        <v>11318-0000</v>
      </c>
      <c r="D2341" t="s">
        <v>22191</v>
      </c>
      <c r="E2341" t="s">
        <v>13477</v>
      </c>
      <c r="F2341" t="s">
        <v>14039</v>
      </c>
      <c r="G2341" t="s">
        <v>14672</v>
      </c>
      <c r="H2341" t="s">
        <v>13869</v>
      </c>
      <c r="I2341" t="s">
        <v>14690</v>
      </c>
      <c r="J2341" s="62">
        <v>0</v>
      </c>
      <c r="K2341" s="62">
        <v>0</v>
      </c>
      <c r="L2341" t="str">
        <f>VLOOKUP(VALUE(LEFT(C2341,5)),Xref!A:B,2,0)</f>
        <v>FIR</v>
      </c>
      <c r="M2341" t="str">
        <f t="shared" si="147"/>
        <v>FIR-LOM</v>
      </c>
    </row>
    <row r="2342" spans="1:13" ht="14.25" customHeight="true">
      <c r="A2342" s="33" t="str">
        <f t="shared" si="144"/>
        <v>LOM - Intercompany</v>
      </c>
      <c r="B2342" s="33" t="str">
        <f t="shared" si="145"/>
        <v>LOM</v>
      </c>
      <c r="C2342" s="33" t="str">
        <f t="shared" si="146"/>
        <v>11319-0000</v>
      </c>
      <c r="D2342" t="s">
        <v>22192</v>
      </c>
      <c r="E2342" t="s">
        <v>266</v>
      </c>
      <c r="F2342" t="s">
        <v>14039</v>
      </c>
      <c r="G2342" t="s">
        <v>14672</v>
      </c>
      <c r="H2342" t="s">
        <v>13869</v>
      </c>
      <c r="I2342" t="s">
        <v>14690</v>
      </c>
      <c r="J2342" s="62">
        <v>0</v>
      </c>
      <c r="K2342" s="62">
        <v>0</v>
      </c>
      <c r="L2342" t="str">
        <f>VLOOKUP(VALUE(LEFT(C2342,5)),Xref!A:B,2,0)</f>
        <v>GST</v>
      </c>
      <c r="M2342" t="str">
        <f t="shared" si="147"/>
        <v>GST-LOM</v>
      </c>
    </row>
    <row r="2343" spans="1:13" ht="14.25" customHeight="true">
      <c r="A2343" s="33" t="str">
        <f t="shared" si="144"/>
        <v>LOM - Intercompany</v>
      </c>
      <c r="B2343" s="33" t="str">
        <f t="shared" si="145"/>
        <v>LOM</v>
      </c>
      <c r="C2343" s="33" t="str">
        <f t="shared" si="146"/>
        <v>11320-0000</v>
      </c>
      <c r="D2343" t="s">
        <v>22193</v>
      </c>
      <c r="E2343" t="s">
        <v>14111</v>
      </c>
      <c r="F2343" t="s">
        <v>14039</v>
      </c>
      <c r="G2343" t="s">
        <v>14672</v>
      </c>
      <c r="H2343" t="s">
        <v>13869</v>
      </c>
      <c r="I2343" t="s">
        <v>14690</v>
      </c>
      <c r="J2343" s="62">
        <v>0</v>
      </c>
      <c r="K2343" s="62">
        <v>0</v>
      </c>
      <c r="L2343" t="str">
        <f>VLOOKUP(VALUE(LEFT(C2343,5)),Xref!A:B,2,0)</f>
        <v>HDN</v>
      </c>
      <c r="M2343" t="str">
        <f t="shared" si="147"/>
        <v>HDN-LOM</v>
      </c>
    </row>
    <row r="2344" spans="1:13" ht="14.25" customHeight="true">
      <c r="A2344" s="33" t="str">
        <f t="shared" si="144"/>
        <v>LOM - Intercompany</v>
      </c>
      <c r="B2344" s="33" t="str">
        <f t="shared" si="145"/>
        <v>LOM</v>
      </c>
      <c r="C2344" s="33" t="str">
        <f t="shared" si="146"/>
        <v>11321-0000</v>
      </c>
      <c r="D2344" t="s">
        <v>22194</v>
      </c>
      <c r="E2344" t="s">
        <v>13236</v>
      </c>
      <c r="F2344" t="s">
        <v>14039</v>
      </c>
      <c r="G2344" t="s">
        <v>14672</v>
      </c>
      <c r="H2344" t="s">
        <v>13869</v>
      </c>
      <c r="I2344" t="s">
        <v>14690</v>
      </c>
      <c r="J2344" s="62">
        <v>0</v>
      </c>
      <c r="K2344" s="62">
        <v>0</v>
      </c>
      <c r="L2344" t="str">
        <f>VLOOKUP(VALUE(LEFT(C2344,5)),Xref!A:B,2,0)</f>
        <v>OVA</v>
      </c>
      <c r="M2344" t="str">
        <f t="shared" si="147"/>
        <v>LOM-OVA</v>
      </c>
    </row>
    <row r="2345" spans="1:13" ht="14.25" customHeight="true">
      <c r="A2345" s="33" t="str">
        <f t="shared" si="144"/>
        <v>LOM - Intercompany</v>
      </c>
      <c r="B2345" s="33" t="str">
        <f t="shared" si="145"/>
        <v>LOM</v>
      </c>
      <c r="C2345" s="33" t="str">
        <f t="shared" si="146"/>
        <v>11322-0000</v>
      </c>
      <c r="D2345" t="s">
        <v>22195</v>
      </c>
      <c r="E2345" t="s">
        <v>13237</v>
      </c>
      <c r="F2345" t="s">
        <v>14039</v>
      </c>
      <c r="G2345" t="s">
        <v>14672</v>
      </c>
      <c r="H2345" t="s">
        <v>13869</v>
      </c>
      <c r="I2345" t="s">
        <v>14690</v>
      </c>
      <c r="J2345" s="62">
        <v>0</v>
      </c>
      <c r="K2345" s="62">
        <v>0</v>
      </c>
      <c r="L2345" t="str">
        <f>VLOOKUP(VALUE(LEFT(C2345,5)),Xref!A:B,2,0)</f>
        <v>WOO</v>
      </c>
      <c r="M2345" t="str">
        <f t="shared" si="147"/>
        <v>LOM-WOO</v>
      </c>
    </row>
    <row r="2346" spans="1:13" ht="14.25" customHeight="true">
      <c r="A2346" s="33" t="str">
        <f t="shared" si="144"/>
        <v>LOM - Intercompany</v>
      </c>
      <c r="B2346" s="33" t="str">
        <f t="shared" si="145"/>
        <v>LOM</v>
      </c>
      <c r="C2346" s="33" t="str">
        <f t="shared" si="146"/>
        <v>11323-0000</v>
      </c>
      <c r="D2346" t="s">
        <v>22196</v>
      </c>
      <c r="E2346" t="s">
        <v>13478</v>
      </c>
      <c r="F2346" t="s">
        <v>14039</v>
      </c>
      <c r="G2346" t="s">
        <v>14672</v>
      </c>
      <c r="H2346" t="s">
        <v>13869</v>
      </c>
      <c r="I2346" t="s">
        <v>14690</v>
      </c>
      <c r="J2346" s="62">
        <v>0</v>
      </c>
      <c r="K2346" s="62">
        <v>0</v>
      </c>
      <c r="L2346" t="str">
        <f>VLOOKUP(VALUE(LEFT(C2346,5)),Xref!A:B,2,0)</f>
        <v>SPI</v>
      </c>
      <c r="M2346" t="str">
        <f t="shared" si="147"/>
        <v>LOM-SPI</v>
      </c>
    </row>
    <row r="2347" spans="1:13" ht="14.25" customHeight="true">
      <c r="A2347" s="33" t="str">
        <f t="shared" si="144"/>
        <v>LOM - Intercompany</v>
      </c>
      <c r="B2347" s="33" t="str">
        <f t="shared" si="145"/>
        <v>LOM</v>
      </c>
      <c r="C2347" s="33" t="str">
        <f t="shared" si="146"/>
        <v>11324-0000</v>
      </c>
      <c r="D2347" t="s">
        <v>22197</v>
      </c>
      <c r="E2347" t="s">
        <v>13238</v>
      </c>
      <c r="F2347" t="s">
        <v>14039</v>
      </c>
      <c r="G2347" t="s">
        <v>14672</v>
      </c>
      <c r="H2347" t="s">
        <v>13869</v>
      </c>
      <c r="I2347" t="s">
        <v>14690</v>
      </c>
      <c r="J2347" s="62">
        <v>0</v>
      </c>
      <c r="K2347" s="62">
        <v>0</v>
      </c>
      <c r="L2347" t="str">
        <f>VLOOKUP(VALUE(LEFT(C2347,5)),Xref!A:B,2,0)</f>
        <v>NET</v>
      </c>
      <c r="M2347" t="str">
        <f t="shared" si="147"/>
        <v>LOM-NET</v>
      </c>
    </row>
    <row r="2348" spans="1:13" ht="14.25" customHeight="true">
      <c r="A2348" s="33" t="str">
        <f t="shared" si="144"/>
        <v>LOM - Intercompany</v>
      </c>
      <c r="B2348" s="33" t="str">
        <f t="shared" si="145"/>
        <v>LOM</v>
      </c>
      <c r="C2348" s="33" t="str">
        <f t="shared" si="146"/>
        <v>11325-0000</v>
      </c>
      <c r="D2348" t="s">
        <v>22198</v>
      </c>
      <c r="E2348" t="s">
        <v>13239</v>
      </c>
      <c r="F2348" t="s">
        <v>14039</v>
      </c>
      <c r="G2348" t="s">
        <v>14672</v>
      </c>
      <c r="H2348" t="s">
        <v>13869</v>
      </c>
      <c r="I2348" t="s">
        <v>14690</v>
      </c>
      <c r="J2348" s="62">
        <v>0</v>
      </c>
      <c r="K2348" s="62">
        <v>0</v>
      </c>
      <c r="L2348" t="str">
        <f>VLOOKUP(VALUE(LEFT(C2348,5)),Xref!A:B,2,0)</f>
        <v>DPI</v>
      </c>
      <c r="M2348" t="str">
        <f t="shared" si="147"/>
        <v>DPI-LOM</v>
      </c>
    </row>
    <row r="2349" spans="1:13" ht="14.25" customHeight="true">
      <c r="A2349" s="33" t="str">
        <f t="shared" si="144"/>
        <v>LOM - Intercompany</v>
      </c>
      <c r="B2349" s="33" t="str">
        <f t="shared" si="145"/>
        <v>LOM</v>
      </c>
      <c r="C2349" s="33" t="str">
        <f t="shared" si="146"/>
        <v>11326-0000</v>
      </c>
      <c r="D2349" t="s">
        <v>1540</v>
      </c>
      <c r="E2349" t="s">
        <v>13240</v>
      </c>
      <c r="F2349" t="s">
        <v>14039</v>
      </c>
      <c r="G2349" t="s">
        <v>14672</v>
      </c>
      <c r="H2349" t="s">
        <v>13869</v>
      </c>
      <c r="I2349" t="s">
        <v>14690</v>
      </c>
      <c r="J2349" s="62">
        <v>0</v>
      </c>
      <c r="K2349" s="62">
        <v>20000</v>
      </c>
      <c r="L2349" t="str">
        <f>VLOOKUP(VALUE(LEFT(C2349,5)),Xref!A:B,2,0)</f>
        <v>SEK</v>
      </c>
      <c r="M2349" t="str">
        <f t="shared" si="147"/>
        <v>LOM-SEK</v>
      </c>
    </row>
    <row r="2350" spans="1:13" ht="14.25" customHeight="true">
      <c r="A2350" s="33" t="str">
        <f t="shared" si="144"/>
        <v>LOM - Intercompany</v>
      </c>
      <c r="B2350" s="33" t="str">
        <f t="shared" si="145"/>
        <v>LOM</v>
      </c>
      <c r="C2350" s="33" t="str">
        <f t="shared" si="146"/>
        <v>11327-0000</v>
      </c>
      <c r="D2350" t="s">
        <v>22199</v>
      </c>
      <c r="E2350" t="s">
        <v>14119</v>
      </c>
      <c r="F2350" t="s">
        <v>14039</v>
      </c>
      <c r="G2350" t="s">
        <v>14672</v>
      </c>
      <c r="H2350" t="s">
        <v>13869</v>
      </c>
      <c r="I2350" t="s">
        <v>14690</v>
      </c>
      <c r="J2350" s="62">
        <v>0</v>
      </c>
      <c r="K2350" s="62">
        <v>0</v>
      </c>
      <c r="L2350" t="str">
        <f>VLOOKUP(VALUE(LEFT(C2350,5)),Xref!A:B,2,0)</f>
        <v>CPI</v>
      </c>
      <c r="M2350" t="str">
        <f t="shared" si="147"/>
        <v>CPI-LOM</v>
      </c>
    </row>
    <row r="2351" spans="1:13" ht="14.25" customHeight="true">
      <c r="A2351" s="33" t="str">
        <f t="shared" si="144"/>
        <v>LOM - Intercompany</v>
      </c>
      <c r="B2351" s="33" t="str">
        <f t="shared" si="145"/>
        <v>LOM</v>
      </c>
      <c r="C2351" s="33" t="str">
        <f t="shared" si="146"/>
        <v>11328-0000</v>
      </c>
      <c r="D2351" t="s">
        <v>22200</v>
      </c>
      <c r="E2351" t="s">
        <v>13241</v>
      </c>
      <c r="F2351" t="s">
        <v>14039</v>
      </c>
      <c r="G2351" t="s">
        <v>14672</v>
      </c>
      <c r="H2351" t="s">
        <v>13869</v>
      </c>
      <c r="I2351" t="s">
        <v>14690</v>
      </c>
      <c r="J2351" s="62">
        <v>0</v>
      </c>
      <c r="K2351" s="62">
        <v>0</v>
      </c>
      <c r="L2351" t="str">
        <f>VLOOKUP(VALUE(LEFT(C2351,5)),Xref!A:B,2,0)</f>
        <v>LOM</v>
      </c>
      <c r="M2351" t="str">
        <f t="shared" si="147"/>
        <v>LOM-LOM</v>
      </c>
    </row>
    <row r="2352" spans="1:13" ht="14.25" customHeight="true">
      <c r="A2352" s="33" t="str">
        <f t="shared" si="144"/>
        <v>LOM - Intercompany</v>
      </c>
      <c r="B2352" s="33" t="str">
        <f t="shared" si="145"/>
        <v>LOM</v>
      </c>
      <c r="C2352" s="33" t="str">
        <f t="shared" si="146"/>
        <v>11329-0000</v>
      </c>
      <c r="D2352" t="s">
        <v>22201</v>
      </c>
      <c r="E2352" t="s">
        <v>13353</v>
      </c>
      <c r="F2352" t="s">
        <v>14039</v>
      </c>
      <c r="G2352" t="s">
        <v>14672</v>
      </c>
      <c r="H2352" t="s">
        <v>13869</v>
      </c>
      <c r="I2352" t="s">
        <v>14690</v>
      </c>
      <c r="J2352" s="62">
        <v>0</v>
      </c>
      <c r="K2352" s="62">
        <v>0</v>
      </c>
      <c r="L2352" t="str">
        <f>VLOOKUP(VALUE(LEFT(C2352,5)),Xref!A:B,2,0)</f>
        <v>AKS</v>
      </c>
      <c r="M2352" t="str">
        <f t="shared" si="147"/>
        <v>AKS-LOM</v>
      </c>
    </row>
    <row r="2353" spans="1:13" ht="14.25" customHeight="true">
      <c r="A2353" s="33" t="str">
        <f t="shared" si="144"/>
        <v>LOM - Intercompany</v>
      </c>
      <c r="B2353" s="33" t="str">
        <f t="shared" si="145"/>
        <v>LOM</v>
      </c>
      <c r="C2353" s="33" t="str">
        <f t="shared" si="146"/>
        <v>11330-0000</v>
      </c>
      <c r="D2353" t="s">
        <v>22202</v>
      </c>
      <c r="E2353" t="s">
        <v>13242</v>
      </c>
      <c r="F2353" t="s">
        <v>14039</v>
      </c>
      <c r="G2353" t="s">
        <v>14672</v>
      </c>
      <c r="H2353" t="s">
        <v>13869</v>
      </c>
      <c r="I2353" t="s">
        <v>14690</v>
      </c>
      <c r="J2353" s="62">
        <v>0</v>
      </c>
      <c r="K2353" s="62">
        <v>0</v>
      </c>
      <c r="L2353" t="str">
        <f>VLOOKUP(VALUE(LEFT(C2353,5)),Xref!A:B,2,0)</f>
        <v>MAR</v>
      </c>
      <c r="M2353" t="str">
        <f t="shared" si="147"/>
        <v>LOM-MAR</v>
      </c>
    </row>
    <row r="2354" spans="1:13" ht="14.25" customHeight="true">
      <c r="A2354" s="33" t="str">
        <f t="shared" si="144"/>
        <v>LOM - Intercompany</v>
      </c>
      <c r="B2354" s="33" t="str">
        <f t="shared" si="145"/>
        <v>LOM</v>
      </c>
      <c r="C2354" s="33" t="str">
        <f t="shared" si="146"/>
        <v>11331-0000</v>
      </c>
      <c r="D2354" t="s">
        <v>1542</v>
      </c>
      <c r="E2354" t="s">
        <v>13354</v>
      </c>
      <c r="F2354" t="s">
        <v>14039</v>
      </c>
      <c r="G2354" t="s">
        <v>14672</v>
      </c>
      <c r="H2354" t="s">
        <v>13869</v>
      </c>
      <c r="I2354" t="s">
        <v>14690</v>
      </c>
      <c r="J2354" s="62">
        <v>0</v>
      </c>
      <c r="K2354" s="62">
        <v>-10000</v>
      </c>
      <c r="L2354" t="str">
        <f>VLOOKUP(VALUE(LEFT(C2354,5)),Xref!A:B,2,0)</f>
        <v>WIL</v>
      </c>
      <c r="M2354" t="str">
        <f t="shared" si="147"/>
        <v>LOM-WIL</v>
      </c>
    </row>
    <row r="2355" spans="1:13" ht="14.25" customHeight="true">
      <c r="A2355" s="33" t="str">
        <f t="shared" si="144"/>
        <v>LOM - Intercompany</v>
      </c>
      <c r="B2355" s="33" t="str">
        <f t="shared" si="145"/>
        <v>LOM</v>
      </c>
      <c r="C2355" s="33" t="str">
        <f t="shared" si="146"/>
        <v>11332-0000</v>
      </c>
      <c r="D2355" t="s">
        <v>22203</v>
      </c>
      <c r="E2355" t="s">
        <v>13243</v>
      </c>
      <c r="F2355" t="s">
        <v>14039</v>
      </c>
      <c r="G2355" t="s">
        <v>14672</v>
      </c>
      <c r="H2355" t="s">
        <v>13869</v>
      </c>
      <c r="I2355" t="s">
        <v>14690</v>
      </c>
      <c r="J2355" s="62">
        <v>0</v>
      </c>
      <c r="K2355" s="62">
        <v>0</v>
      </c>
      <c r="L2355" t="str">
        <f>VLOOKUP(VALUE(LEFT(C2355,5)),Xref!A:B,2,0)</f>
        <v>STO</v>
      </c>
      <c r="M2355" t="str">
        <f t="shared" si="147"/>
        <v>LOM-STO</v>
      </c>
    </row>
    <row r="2356" spans="1:13" ht="14.25" customHeight="true">
      <c r="A2356" s="33" t="str">
        <f t="shared" si="144"/>
        <v>LOM - Intercompany</v>
      </c>
      <c r="B2356" s="33" t="str">
        <f t="shared" si="145"/>
        <v>LOM</v>
      </c>
      <c r="C2356" s="33" t="str">
        <f t="shared" si="146"/>
        <v>11333-0000</v>
      </c>
      <c r="D2356" t="s">
        <v>22204</v>
      </c>
      <c r="E2356" t="s">
        <v>13244</v>
      </c>
      <c r="F2356" t="s">
        <v>14039</v>
      </c>
      <c r="G2356" t="s">
        <v>14672</v>
      </c>
      <c r="H2356" t="s">
        <v>13869</v>
      </c>
      <c r="I2356" t="s">
        <v>14690</v>
      </c>
      <c r="J2356" s="62">
        <v>0</v>
      </c>
      <c r="K2356" s="62">
        <v>0</v>
      </c>
      <c r="L2356" t="str">
        <f>VLOOKUP(VALUE(LEFT(C2356,5)),Xref!A:B,2,0)</f>
        <v>ANG</v>
      </c>
      <c r="M2356" t="str">
        <f t="shared" si="147"/>
        <v>ANG-LOM</v>
      </c>
    </row>
    <row r="2357" spans="1:13" ht="14.25" customHeight="true">
      <c r="A2357" s="33" t="str">
        <f t="shared" si="144"/>
        <v>LOM - Intercompany</v>
      </c>
      <c r="B2357" s="33" t="str">
        <f t="shared" si="145"/>
        <v>LOM</v>
      </c>
      <c r="C2357" s="33" t="str">
        <f t="shared" si="146"/>
        <v>11334-0000</v>
      </c>
      <c r="D2357" t="s">
        <v>22205</v>
      </c>
      <c r="E2357" t="s">
        <v>13245</v>
      </c>
      <c r="F2357" t="s">
        <v>14039</v>
      </c>
      <c r="G2357" t="s">
        <v>14672</v>
      </c>
      <c r="H2357" t="s">
        <v>13869</v>
      </c>
      <c r="I2357" t="s">
        <v>14690</v>
      </c>
      <c r="J2357" s="62">
        <v>0</v>
      </c>
      <c r="K2357" s="62">
        <v>0</v>
      </c>
      <c r="L2357" t="str">
        <f>VLOOKUP(VALUE(LEFT(C2357,5)),Xref!A:B,2,0)</f>
        <v>BRU</v>
      </c>
      <c r="M2357" t="str">
        <f t="shared" si="147"/>
        <v>BRU-LOM</v>
      </c>
    </row>
    <row r="2358" spans="1:13" ht="14.25" customHeight="true">
      <c r="A2358" s="33" t="str">
        <f t="shared" si="144"/>
        <v>LOM - Intercompany</v>
      </c>
      <c r="B2358" s="33" t="str">
        <f t="shared" si="145"/>
        <v>LOM</v>
      </c>
      <c r="C2358" s="33" t="str">
        <f t="shared" si="146"/>
        <v>11335-0000</v>
      </c>
      <c r="D2358" t="s">
        <v>22206</v>
      </c>
      <c r="E2358" t="s">
        <v>13246</v>
      </c>
      <c r="F2358" t="s">
        <v>14039</v>
      </c>
      <c r="G2358" t="s">
        <v>14672</v>
      </c>
      <c r="H2358" t="s">
        <v>13869</v>
      </c>
      <c r="I2358" t="s">
        <v>14690</v>
      </c>
      <c r="J2358" s="62">
        <v>0</v>
      </c>
      <c r="K2358" s="62">
        <v>0</v>
      </c>
      <c r="L2358" t="str">
        <f>VLOOKUP(VALUE(LEFT(C2358,5)),Xref!A:B,2,0)</f>
        <v>VEN</v>
      </c>
      <c r="M2358" t="str">
        <f t="shared" si="147"/>
        <v>LOM-VEN</v>
      </c>
    </row>
    <row r="2359" spans="1:13" ht="14.25" customHeight="true">
      <c r="A2359" s="33" t="str">
        <f t="shared" si="144"/>
        <v>LOM - Intercompany</v>
      </c>
      <c r="B2359" s="33" t="str">
        <f t="shared" si="145"/>
        <v>LOM</v>
      </c>
      <c r="C2359" s="33" t="str">
        <f t="shared" si="146"/>
        <v>11336-0000</v>
      </c>
      <c r="D2359" t="s">
        <v>22207</v>
      </c>
      <c r="E2359" t="s">
        <v>13247</v>
      </c>
      <c r="F2359" t="s">
        <v>14039</v>
      </c>
      <c r="G2359" t="s">
        <v>14672</v>
      </c>
      <c r="H2359" t="s">
        <v>13869</v>
      </c>
      <c r="I2359" t="s">
        <v>14690</v>
      </c>
      <c r="J2359" s="62">
        <v>0</v>
      </c>
      <c r="K2359" s="62">
        <v>0</v>
      </c>
      <c r="L2359" t="str">
        <f>VLOOKUP(VALUE(LEFT(C2359,5)),Xref!A:B,2,0)</f>
        <v>SAT</v>
      </c>
      <c r="M2359" t="str">
        <f t="shared" si="147"/>
        <v>LOM-SAT</v>
      </c>
    </row>
    <row r="2360" spans="1:13" ht="14.25" customHeight="true">
      <c r="A2360" s="33" t="str">
        <f t="shared" si="144"/>
        <v>LOM - Intercompany</v>
      </c>
      <c r="B2360" s="33" t="str">
        <f t="shared" si="145"/>
        <v>LOM</v>
      </c>
      <c r="C2360" s="33" t="str">
        <f t="shared" si="146"/>
        <v>11337-0000</v>
      </c>
      <c r="D2360" t="s">
        <v>22208</v>
      </c>
      <c r="E2360" t="s">
        <v>13248</v>
      </c>
      <c r="F2360" t="s">
        <v>14039</v>
      </c>
      <c r="G2360" t="s">
        <v>14672</v>
      </c>
      <c r="H2360" t="s">
        <v>13869</v>
      </c>
      <c r="I2360" t="s">
        <v>14690</v>
      </c>
      <c r="J2360" s="62">
        <v>0</v>
      </c>
      <c r="K2360" s="62">
        <v>0</v>
      </c>
      <c r="L2360" t="str">
        <f>VLOOKUP(VALUE(LEFT(C2360,5)),Xref!A:B,2,0)</f>
        <v>NEP</v>
      </c>
      <c r="M2360" t="str">
        <f t="shared" si="147"/>
        <v>LOM-NEP</v>
      </c>
    </row>
    <row r="2361" spans="1:13" ht="14.25" customHeight="true">
      <c r="A2361" s="33" t="str">
        <f t="shared" si="144"/>
        <v>LOM - Intercompany</v>
      </c>
      <c r="B2361" s="33" t="str">
        <f t="shared" si="145"/>
        <v>LOM</v>
      </c>
      <c r="C2361" s="33" t="str">
        <f t="shared" si="146"/>
        <v>11338-0000</v>
      </c>
      <c r="D2361" t="s">
        <v>22209</v>
      </c>
      <c r="E2361" t="s">
        <v>14131</v>
      </c>
      <c r="F2361" t="s">
        <v>14039</v>
      </c>
      <c r="G2361" t="s">
        <v>14672</v>
      </c>
      <c r="H2361" t="s">
        <v>13869</v>
      </c>
      <c r="I2361" t="s">
        <v>14690</v>
      </c>
      <c r="J2361" s="62">
        <v>0</v>
      </c>
      <c r="K2361" s="62">
        <v>0</v>
      </c>
      <c r="L2361" t="str">
        <f>VLOOKUP(VALUE(LEFT(C2361,5)),Xref!A:B,2,0)</f>
        <v>JUP</v>
      </c>
      <c r="M2361" t="str">
        <f t="shared" si="147"/>
        <v>JUP-LOM</v>
      </c>
    </row>
    <row r="2362" spans="1:13" ht="14.25" customHeight="true">
      <c r="A2362" s="33" t="str">
        <f t="shared" si="144"/>
        <v>LOM - Intercompany</v>
      </c>
      <c r="B2362" s="33" t="str">
        <f t="shared" si="145"/>
        <v>LOM</v>
      </c>
      <c r="C2362" s="33" t="str">
        <f t="shared" si="146"/>
        <v>11339-0000</v>
      </c>
      <c r="D2362" t="s">
        <v>22210</v>
      </c>
      <c r="E2362" t="s">
        <v>14133</v>
      </c>
      <c r="F2362" t="s">
        <v>14039</v>
      </c>
      <c r="G2362" t="s">
        <v>14672</v>
      </c>
      <c r="H2362" t="s">
        <v>13869</v>
      </c>
      <c r="I2362" t="s">
        <v>14690</v>
      </c>
      <c r="J2362" s="62">
        <v>0</v>
      </c>
      <c r="K2362" s="62">
        <v>0</v>
      </c>
      <c r="L2362" t="str">
        <f>VLOOKUP(VALUE(LEFT(C2362,5)),Xref!A:B,2,0)</f>
        <v>WES</v>
      </c>
      <c r="M2362" t="str">
        <f t="shared" si="147"/>
        <v>LOM-WES</v>
      </c>
    </row>
    <row r="2363" spans="1:13" ht="14.25" customHeight="true">
      <c r="A2363" s="33" t="str">
        <f t="shared" si="144"/>
        <v>LOM - Intercompany</v>
      </c>
      <c r="B2363" s="33" t="str">
        <f t="shared" si="145"/>
        <v>LOM</v>
      </c>
      <c r="C2363" s="33" t="str">
        <f t="shared" si="146"/>
        <v>11340-0000</v>
      </c>
      <c r="D2363" t="s">
        <v>22211</v>
      </c>
      <c r="E2363" t="s">
        <v>14135</v>
      </c>
      <c r="F2363" t="s">
        <v>14039</v>
      </c>
      <c r="G2363" t="s">
        <v>14672</v>
      </c>
      <c r="H2363" t="s">
        <v>13869</v>
      </c>
      <c r="I2363" t="s">
        <v>14690</v>
      </c>
      <c r="J2363" s="62">
        <v>0</v>
      </c>
      <c r="K2363" s="62">
        <v>0</v>
      </c>
      <c r="L2363" t="str">
        <f>VLOOKUP(VALUE(LEFT(C2363,5)),Xref!A:B,2,0)</f>
        <v>LCP</v>
      </c>
      <c r="M2363" t="str">
        <f t="shared" si="147"/>
        <v>LCP-LOM</v>
      </c>
    </row>
    <row r="2364" spans="1:13" ht="14.25" customHeight="true">
      <c r="A2364" s="33" t="str">
        <f t="shared" si="144"/>
        <v>LOM - Intercompany</v>
      </c>
      <c r="B2364" s="33" t="str">
        <f t="shared" si="145"/>
        <v>LOM</v>
      </c>
      <c r="C2364" s="33" t="str">
        <f t="shared" si="146"/>
        <v>11341-0000</v>
      </c>
      <c r="D2364" t="s">
        <v>22212</v>
      </c>
      <c r="E2364" t="s">
        <v>13639</v>
      </c>
      <c r="F2364" t="s">
        <v>14039</v>
      </c>
      <c r="G2364" t="s">
        <v>14672</v>
      </c>
      <c r="H2364" t="s">
        <v>13869</v>
      </c>
      <c r="I2364" t="s">
        <v>14690</v>
      </c>
      <c r="J2364" s="62">
        <v>0</v>
      </c>
      <c r="K2364" s="62">
        <v>0</v>
      </c>
      <c r="L2364" t="str">
        <f>VLOOKUP(VALUE(LEFT(C2364,5)),Xref!A:B,2,0)</f>
        <v>NOR</v>
      </c>
      <c r="M2364" t="str">
        <f t="shared" si="147"/>
        <v>LOM-NOR</v>
      </c>
    </row>
    <row r="2365" spans="1:13" ht="14.25" customHeight="true">
      <c r="A2365" s="33" t="str">
        <f t="shared" si="144"/>
        <v>LOM - Intercompany</v>
      </c>
      <c r="B2365" s="33" t="str">
        <f t="shared" si="145"/>
        <v>LOM</v>
      </c>
      <c r="C2365" s="33" t="str">
        <f t="shared" si="146"/>
        <v>11342-0000</v>
      </c>
      <c r="D2365" t="s">
        <v>22213</v>
      </c>
      <c r="E2365" t="s">
        <v>13355</v>
      </c>
      <c r="F2365" t="s">
        <v>14039</v>
      </c>
      <c r="G2365" t="s">
        <v>14672</v>
      </c>
      <c r="H2365" t="s">
        <v>13869</v>
      </c>
      <c r="I2365" t="s">
        <v>14690</v>
      </c>
      <c r="J2365" s="62">
        <v>0</v>
      </c>
      <c r="K2365" s="62">
        <v>0</v>
      </c>
      <c r="L2365" t="str">
        <f>VLOOKUP(VALUE(LEFT(C2365,5)),Xref!A:B,2,0)</f>
        <v>EAS</v>
      </c>
      <c r="M2365" t="str">
        <f t="shared" si="147"/>
        <v>EAS-LOM</v>
      </c>
    </row>
    <row r="2366" spans="1:13" ht="14.25" customHeight="true">
      <c r="A2366" s="33" t="str">
        <f t="shared" si="144"/>
        <v>LOM - Intercompany</v>
      </c>
      <c r="B2366" s="33" t="str">
        <f t="shared" si="145"/>
        <v>LOM</v>
      </c>
      <c r="C2366" s="33" t="str">
        <f t="shared" si="146"/>
        <v>11343-0000</v>
      </c>
      <c r="D2366" t="s">
        <v>22214</v>
      </c>
      <c r="E2366" t="s">
        <v>14139</v>
      </c>
      <c r="F2366" t="s">
        <v>14039</v>
      </c>
      <c r="G2366" t="s">
        <v>14672</v>
      </c>
      <c r="H2366" t="s">
        <v>13869</v>
      </c>
      <c r="I2366" t="s">
        <v>14690</v>
      </c>
      <c r="J2366" s="62">
        <v>0</v>
      </c>
      <c r="K2366" s="62">
        <v>0</v>
      </c>
      <c r="L2366" t="str">
        <f>VLOOKUP(VALUE(LEFT(C2366,5)),Xref!A:B,2,0)</f>
        <v>GRA</v>
      </c>
      <c r="M2366" t="str">
        <f t="shared" si="147"/>
        <v>GRA-LOM</v>
      </c>
    </row>
    <row r="2367" spans="1:13" ht="14.25" customHeight="true">
      <c r="A2367" s="33" t="str">
        <f t="shared" si="144"/>
        <v>LOM - Intercompany</v>
      </c>
      <c r="B2367" s="33" t="str">
        <f t="shared" si="145"/>
        <v>LOM</v>
      </c>
      <c r="C2367" s="33" t="str">
        <f t="shared" si="146"/>
        <v>11344-0000</v>
      </c>
      <c r="D2367" t="s">
        <v>22215</v>
      </c>
      <c r="E2367" t="s">
        <v>14141</v>
      </c>
      <c r="F2367" t="s">
        <v>14039</v>
      </c>
      <c r="G2367" t="s">
        <v>14672</v>
      </c>
      <c r="H2367" t="s">
        <v>13869</v>
      </c>
      <c r="I2367" t="s">
        <v>14690</v>
      </c>
      <c r="J2367" s="62">
        <v>0</v>
      </c>
      <c r="K2367" s="62">
        <v>0</v>
      </c>
      <c r="L2367" t="str">
        <f>VLOOKUP(VALUE(LEFT(C2367,5)),Xref!A:B,2,0)</f>
        <v>SOU</v>
      </c>
      <c r="M2367" t="str">
        <f t="shared" si="147"/>
        <v>LOM-SOU</v>
      </c>
    </row>
    <row r="2368" spans="1:13" ht="14.25" customHeight="true">
      <c r="A2368" s="33" t="str">
        <f t="shared" si="144"/>
        <v>LOM - Intercompany</v>
      </c>
      <c r="B2368" s="33" t="str">
        <f t="shared" si="145"/>
        <v>LOM</v>
      </c>
      <c r="C2368" s="33" t="str">
        <f t="shared" si="146"/>
        <v>11345-0000</v>
      </c>
      <c r="D2368" t="s">
        <v>22216</v>
      </c>
      <c r="E2368" t="s">
        <v>14143</v>
      </c>
      <c r="F2368" t="s">
        <v>14039</v>
      </c>
      <c r="G2368" t="s">
        <v>14672</v>
      </c>
      <c r="H2368" t="s">
        <v>13869</v>
      </c>
      <c r="I2368" t="s">
        <v>14690</v>
      </c>
      <c r="J2368" s="62">
        <v>0</v>
      </c>
      <c r="K2368" s="62">
        <v>0</v>
      </c>
      <c r="L2368" t="str">
        <f>VLOOKUP(VALUE(LEFT(C2368,5)),Xref!A:B,2,0)</f>
        <v>API</v>
      </c>
      <c r="M2368" t="str">
        <f t="shared" si="147"/>
        <v>API-LOM</v>
      </c>
    </row>
    <row r="2369" spans="1:13" ht="14.25" customHeight="true">
      <c r="A2369" s="33" t="str">
        <f t="shared" si="144"/>
        <v>LOM - Intercompany</v>
      </c>
      <c r="B2369" s="33" t="str">
        <f t="shared" si="145"/>
        <v>LOM</v>
      </c>
      <c r="C2369" s="33" t="str">
        <f t="shared" si="146"/>
        <v>11346-0000</v>
      </c>
      <c r="D2369" t="s">
        <v>22217</v>
      </c>
      <c r="E2369" t="s">
        <v>14145</v>
      </c>
      <c r="F2369" t="s">
        <v>14039</v>
      </c>
      <c r="G2369" t="s">
        <v>14672</v>
      </c>
      <c r="H2369" t="s">
        <v>13869</v>
      </c>
      <c r="I2369" t="s">
        <v>14690</v>
      </c>
      <c r="J2369" s="62">
        <v>0</v>
      </c>
      <c r="K2369" s="62">
        <v>0</v>
      </c>
      <c r="L2369" t="str">
        <f>VLOOKUP(VALUE(LEFT(C2369,5)),Xref!A:B,2,0)</f>
        <v>DPH</v>
      </c>
      <c r="M2369" t="str">
        <f t="shared" si="147"/>
        <v>DPH-LOM</v>
      </c>
    </row>
    <row r="2370" spans="1:13" ht="14.25" customHeight="true">
      <c r="A2370" s="33" t="str">
        <f t="shared" ref="A2370:A2433" si="148">B2370&amp;" - "&amp;TRIM(H2370)</f>
        <v>LOM - Intercompany</v>
      </c>
      <c r="B2370" s="33" t="str">
        <f t="shared" ref="B2370:B2433" si="149">LEFT(D2370,3)</f>
        <v>LOM</v>
      </c>
      <c r="C2370" s="33" t="str">
        <f t="shared" ref="C2370:C2433" si="150">RIGHT(D2370,10)</f>
        <v>11347-0000</v>
      </c>
      <c r="D2370" t="s">
        <v>22218</v>
      </c>
      <c r="E2370" t="s">
        <v>14147</v>
      </c>
      <c r="F2370" t="s">
        <v>14039</v>
      </c>
      <c r="G2370" t="s">
        <v>14672</v>
      </c>
      <c r="H2370" t="s">
        <v>13869</v>
      </c>
      <c r="I2370" t="s">
        <v>14690</v>
      </c>
      <c r="J2370" s="62">
        <v>0</v>
      </c>
      <c r="K2370" s="62">
        <v>0</v>
      </c>
      <c r="L2370" t="str">
        <f>VLOOKUP(VALUE(LEFT(C2370,5)),Xref!A:B,2,0)</f>
        <v>ZPI</v>
      </c>
      <c r="M2370" t="str">
        <f t="shared" ref="M2370:M2433" si="151">IF(B2370&lt;L2370,B2370&amp;"-"&amp;L2370,L2370&amp;"-"&amp;B2370)</f>
        <v>LOM-ZPI</v>
      </c>
    </row>
    <row r="2371" spans="1:13" ht="14.25" customHeight="true">
      <c r="A2371" s="33" t="str">
        <f t="shared" si="148"/>
        <v>LOM - Intercompany</v>
      </c>
      <c r="B2371" s="33" t="str">
        <f t="shared" si="149"/>
        <v>LOM</v>
      </c>
      <c r="C2371" s="33" t="str">
        <f t="shared" si="150"/>
        <v>11348-0000</v>
      </c>
      <c r="D2371" t="s">
        <v>22219</v>
      </c>
      <c r="E2371" t="s">
        <v>14149</v>
      </c>
      <c r="F2371" t="s">
        <v>14039</v>
      </c>
      <c r="G2371" t="s">
        <v>14672</v>
      </c>
      <c r="H2371" t="s">
        <v>13869</v>
      </c>
      <c r="I2371" t="s">
        <v>14690</v>
      </c>
      <c r="J2371" s="62">
        <v>0</v>
      </c>
      <c r="K2371" s="62">
        <v>0</v>
      </c>
      <c r="L2371" t="str">
        <f>VLOOKUP(VALUE(LEFT(C2371,5)),Xref!A:B,2,0)</f>
        <v>EAM</v>
      </c>
      <c r="M2371" t="str">
        <f t="shared" si="151"/>
        <v>EAM-LOM</v>
      </c>
    </row>
    <row r="2372" spans="1:13" ht="14.25" customHeight="true">
      <c r="A2372" s="33" t="str">
        <f t="shared" si="148"/>
        <v>LOM - Intercompany</v>
      </c>
      <c r="B2372" s="33" t="str">
        <f t="shared" si="149"/>
        <v>LOM</v>
      </c>
      <c r="C2372" s="33" t="str">
        <f t="shared" si="150"/>
        <v>11349-0000</v>
      </c>
      <c r="D2372" t="s">
        <v>22220</v>
      </c>
      <c r="E2372" t="s">
        <v>14151</v>
      </c>
      <c r="F2372" t="s">
        <v>14039</v>
      </c>
      <c r="G2372" t="s">
        <v>14672</v>
      </c>
      <c r="H2372" t="s">
        <v>13869</v>
      </c>
      <c r="I2372" t="s">
        <v>14690</v>
      </c>
      <c r="J2372" s="62">
        <v>0</v>
      </c>
      <c r="K2372" s="62">
        <v>0</v>
      </c>
      <c r="L2372" t="str">
        <f>VLOOKUP(VALUE(LEFT(C2372,5)),Xref!A:B,2,0)</f>
        <v>SEA</v>
      </c>
      <c r="M2372" t="str">
        <f t="shared" si="151"/>
        <v>LOM-SEA</v>
      </c>
    </row>
    <row r="2373" spans="1:13" ht="14.25" customHeight="true">
      <c r="A2373" s="33" t="str">
        <f t="shared" si="148"/>
        <v>LOM - Intercompany</v>
      </c>
      <c r="B2373" s="33" t="str">
        <f t="shared" si="149"/>
        <v>LOM</v>
      </c>
      <c r="C2373" s="33" t="str">
        <f t="shared" si="150"/>
        <v>11350-0000</v>
      </c>
      <c r="D2373" t="s">
        <v>22221</v>
      </c>
      <c r="E2373" t="s">
        <v>14153</v>
      </c>
      <c r="F2373" t="s">
        <v>14039</v>
      </c>
      <c r="G2373" t="s">
        <v>14672</v>
      </c>
      <c r="H2373" t="s">
        <v>13869</v>
      </c>
      <c r="I2373" t="s">
        <v>14690</v>
      </c>
      <c r="J2373" s="62">
        <v>0</v>
      </c>
      <c r="K2373" s="62">
        <v>-8.71</v>
      </c>
      <c r="L2373" t="str">
        <f>VLOOKUP(VALUE(LEFT(C2373,5)),Xref!A:B,2,0)</f>
        <v>EAL</v>
      </c>
      <c r="M2373" t="str">
        <f t="shared" si="151"/>
        <v>EAL-LOM</v>
      </c>
    </row>
    <row r="2374" spans="1:13" ht="14.25" customHeight="true">
      <c r="A2374" s="33" t="str">
        <f t="shared" si="148"/>
        <v>LOM - Intercompany</v>
      </c>
      <c r="B2374" s="33" t="str">
        <f t="shared" si="149"/>
        <v>LOM</v>
      </c>
      <c r="C2374" s="33" t="str">
        <f t="shared" si="150"/>
        <v>11351-0000</v>
      </c>
      <c r="D2374" t="s">
        <v>22222</v>
      </c>
      <c r="E2374" t="s">
        <v>14155</v>
      </c>
      <c r="F2374" t="s">
        <v>14039</v>
      </c>
      <c r="G2374" t="s">
        <v>14672</v>
      </c>
      <c r="H2374" t="s">
        <v>13869</v>
      </c>
      <c r="I2374" t="s">
        <v>14690</v>
      </c>
      <c r="J2374" s="62">
        <v>0</v>
      </c>
      <c r="K2374" s="62">
        <v>0</v>
      </c>
      <c r="L2374" t="str">
        <f>VLOOKUP(VALUE(LEFT(C2374,5)),Xref!A:B,2,0)</f>
        <v>WEP</v>
      </c>
      <c r="M2374" t="str">
        <f t="shared" si="151"/>
        <v>LOM-WEP</v>
      </c>
    </row>
    <row r="2375" spans="1:13" ht="14.25" customHeight="true">
      <c r="A2375" s="33" t="str">
        <f t="shared" si="148"/>
        <v>LOM - Intercompany</v>
      </c>
      <c r="B2375" s="33" t="str">
        <f t="shared" si="149"/>
        <v>LOM</v>
      </c>
      <c r="C2375" s="33" t="str">
        <f t="shared" si="150"/>
        <v>11352-0000</v>
      </c>
      <c r="D2375" t="s">
        <v>22223</v>
      </c>
      <c r="E2375" t="s">
        <v>13536</v>
      </c>
      <c r="F2375" t="s">
        <v>14039</v>
      </c>
      <c r="G2375" t="s">
        <v>14672</v>
      </c>
      <c r="H2375" t="s">
        <v>13869</v>
      </c>
      <c r="I2375" t="s">
        <v>14690</v>
      </c>
      <c r="J2375" s="62">
        <v>0</v>
      </c>
      <c r="K2375" s="62">
        <v>0</v>
      </c>
      <c r="L2375" t="str">
        <f>VLOOKUP(VALUE(LEFT(C2375,5)),Xref!A:B,2,0)</f>
        <v>KLP</v>
      </c>
      <c r="M2375" t="str">
        <f t="shared" si="151"/>
        <v>KLP-LOM</v>
      </c>
    </row>
    <row r="2376" spans="1:13" ht="14.25" customHeight="true">
      <c r="A2376" s="33" t="str">
        <f t="shared" si="148"/>
        <v>LOM - Intercompany</v>
      </c>
      <c r="B2376" s="33" t="str">
        <f t="shared" si="149"/>
        <v>LOM</v>
      </c>
      <c r="C2376" s="33" t="str">
        <f t="shared" si="150"/>
        <v>11353-0000</v>
      </c>
      <c r="D2376" t="s">
        <v>22224</v>
      </c>
      <c r="E2376" t="s">
        <v>13537</v>
      </c>
      <c r="F2376" t="s">
        <v>14039</v>
      </c>
      <c r="G2376" t="s">
        <v>14672</v>
      </c>
      <c r="H2376" t="s">
        <v>13869</v>
      </c>
      <c r="I2376" t="s">
        <v>14690</v>
      </c>
      <c r="J2376" s="62">
        <v>0</v>
      </c>
      <c r="K2376" s="62">
        <v>0</v>
      </c>
      <c r="L2376" t="str">
        <f>VLOOKUP(VALUE(LEFT(C2376,5)),Xref!A:B,2,0)</f>
        <v>AKC</v>
      </c>
      <c r="M2376" t="str">
        <f t="shared" si="151"/>
        <v>AKC-LOM</v>
      </c>
    </row>
    <row r="2377" spans="1:13" ht="14.25" customHeight="true">
      <c r="A2377" s="33" t="str">
        <f t="shared" si="148"/>
        <v>LOM - Intercompany</v>
      </c>
      <c r="B2377" s="33" t="str">
        <f t="shared" si="149"/>
        <v>LOM</v>
      </c>
      <c r="C2377" s="33" t="str">
        <f t="shared" si="150"/>
        <v>11354-0000</v>
      </c>
      <c r="D2377" t="s">
        <v>22225</v>
      </c>
      <c r="E2377" t="s">
        <v>13538</v>
      </c>
      <c r="F2377" t="s">
        <v>14039</v>
      </c>
      <c r="G2377" t="s">
        <v>14672</v>
      </c>
      <c r="H2377" t="s">
        <v>13869</v>
      </c>
      <c r="I2377" t="s">
        <v>14690</v>
      </c>
      <c r="J2377" s="62">
        <v>0</v>
      </c>
      <c r="K2377" s="62">
        <v>0</v>
      </c>
      <c r="L2377" t="str">
        <f>VLOOKUP(VALUE(LEFT(C2377,5)),Xref!A:B,2,0)</f>
        <v>AKA</v>
      </c>
      <c r="M2377" t="str">
        <f t="shared" si="151"/>
        <v>AKA-LOM</v>
      </c>
    </row>
    <row r="2378" spans="1:13" ht="14.25" customHeight="true">
      <c r="A2378" s="33" t="str">
        <f t="shared" si="148"/>
        <v>LOM - Intercompany</v>
      </c>
      <c r="B2378" s="33" t="str">
        <f t="shared" si="149"/>
        <v>LOM</v>
      </c>
      <c r="C2378" s="33" t="str">
        <f t="shared" si="150"/>
        <v>11355-0000</v>
      </c>
      <c r="D2378" t="s">
        <v>22226</v>
      </c>
      <c r="E2378" t="s">
        <v>13539</v>
      </c>
      <c r="F2378" t="s">
        <v>14039</v>
      </c>
      <c r="G2378" t="s">
        <v>14672</v>
      </c>
      <c r="H2378" t="s">
        <v>13869</v>
      </c>
      <c r="I2378" t="s">
        <v>14690</v>
      </c>
      <c r="J2378" s="62">
        <v>0</v>
      </c>
      <c r="K2378" s="62">
        <v>0</v>
      </c>
      <c r="L2378" t="str">
        <f>VLOOKUP(VALUE(LEFT(C2378,5)),Xref!A:B,2,0)</f>
        <v>SPA</v>
      </c>
      <c r="M2378" t="str">
        <f t="shared" si="151"/>
        <v>LOM-SPA</v>
      </c>
    </row>
    <row r="2379" spans="1:13" ht="14.25" customHeight="true">
      <c r="A2379" s="33" t="str">
        <f t="shared" si="148"/>
        <v>LOM - Intercompany</v>
      </c>
      <c r="B2379" s="33" t="str">
        <f t="shared" si="149"/>
        <v>LOM</v>
      </c>
      <c r="C2379" s="33" t="str">
        <f t="shared" si="150"/>
        <v>11356-0000</v>
      </c>
      <c r="D2379" t="s">
        <v>22227</v>
      </c>
      <c r="E2379" t="s">
        <v>13540</v>
      </c>
      <c r="F2379" t="s">
        <v>14039</v>
      </c>
      <c r="G2379" t="s">
        <v>14672</v>
      </c>
      <c r="H2379" t="s">
        <v>13869</v>
      </c>
      <c r="I2379" t="s">
        <v>14690</v>
      </c>
      <c r="J2379" s="62">
        <v>0</v>
      </c>
      <c r="K2379" s="62">
        <v>0</v>
      </c>
      <c r="L2379" t="str">
        <f>VLOOKUP(VALUE(LEFT(C2379,5)),Xref!A:B,2,0)</f>
        <v>DPM</v>
      </c>
      <c r="M2379" t="str">
        <f t="shared" si="151"/>
        <v>DPM-LOM</v>
      </c>
    </row>
    <row r="2380" spans="1:13" ht="14.25" customHeight="true">
      <c r="A2380" s="33" t="str">
        <f t="shared" si="148"/>
        <v>LOM - Intercompany</v>
      </c>
      <c r="B2380" s="33" t="str">
        <f t="shared" si="149"/>
        <v>LOM</v>
      </c>
      <c r="C2380" s="33" t="str">
        <f t="shared" si="150"/>
        <v>11357-0000</v>
      </c>
      <c r="D2380" t="s">
        <v>22228</v>
      </c>
      <c r="E2380" t="s">
        <v>13541</v>
      </c>
      <c r="F2380" t="s">
        <v>14039</v>
      </c>
      <c r="G2380" t="s">
        <v>14672</v>
      </c>
      <c r="H2380" t="s">
        <v>13869</v>
      </c>
      <c r="I2380" t="s">
        <v>14690</v>
      </c>
      <c r="J2380" s="62">
        <v>0</v>
      </c>
      <c r="K2380" s="62">
        <v>0</v>
      </c>
      <c r="L2380" t="str">
        <f>VLOOKUP(VALUE(LEFT(C2380,5)),Xref!A:B,2,0)</f>
        <v>HDM</v>
      </c>
      <c r="M2380" t="str">
        <f t="shared" si="151"/>
        <v>HDM-LOM</v>
      </c>
    </row>
    <row r="2381" spans="1:13" ht="14.25" customHeight="true">
      <c r="A2381" s="33" t="str">
        <f t="shared" si="148"/>
        <v>LOM - Intercompany</v>
      </c>
      <c r="B2381" s="33" t="str">
        <f t="shared" si="149"/>
        <v>LOM</v>
      </c>
      <c r="C2381" s="33" t="str">
        <f t="shared" si="150"/>
        <v>11358-0000</v>
      </c>
      <c r="D2381" t="s">
        <v>22229</v>
      </c>
      <c r="E2381" t="s">
        <v>13542</v>
      </c>
      <c r="F2381" t="s">
        <v>14039</v>
      </c>
      <c r="G2381" t="s">
        <v>14672</v>
      </c>
      <c r="H2381" t="s">
        <v>13869</v>
      </c>
      <c r="I2381" t="s">
        <v>14690</v>
      </c>
      <c r="J2381" s="62">
        <v>0</v>
      </c>
      <c r="K2381" s="62">
        <v>0</v>
      </c>
      <c r="L2381" t="str">
        <f>VLOOKUP(VALUE(LEFT(C2381,5)),Xref!A:B,2,0)</f>
        <v>GRA</v>
      </c>
      <c r="M2381" t="str">
        <f t="shared" si="151"/>
        <v>GRA-LOM</v>
      </c>
    </row>
    <row r="2382" spans="1:13" ht="14.25" customHeight="true">
      <c r="A2382" s="33" t="str">
        <f t="shared" si="148"/>
        <v>LOM - Intercompany</v>
      </c>
      <c r="B2382" s="33" t="str">
        <f t="shared" si="149"/>
        <v>LOM</v>
      </c>
      <c r="C2382" s="33" t="str">
        <f t="shared" si="150"/>
        <v>11359-0000</v>
      </c>
      <c r="D2382" t="s">
        <v>22230</v>
      </c>
      <c r="E2382" t="s">
        <v>13543</v>
      </c>
      <c r="F2382" t="s">
        <v>14039</v>
      </c>
      <c r="G2382" t="s">
        <v>14672</v>
      </c>
      <c r="H2382" t="s">
        <v>13869</v>
      </c>
      <c r="I2382" t="s">
        <v>14690</v>
      </c>
      <c r="J2382" s="62">
        <v>0</v>
      </c>
      <c r="K2382" s="62">
        <v>0</v>
      </c>
      <c r="L2382" t="str">
        <f>VLOOKUP(VALUE(LEFT(C2382,5)),Xref!A:B,2,0)</f>
        <v>TPI</v>
      </c>
      <c r="M2382" t="str">
        <f t="shared" si="151"/>
        <v>LOM-TPI</v>
      </c>
    </row>
    <row r="2383" spans="1:13" ht="14.25" customHeight="true">
      <c r="A2383" s="33" t="str">
        <f t="shared" si="148"/>
        <v>LOM - Intercompany</v>
      </c>
      <c r="B2383" s="33" t="str">
        <f t="shared" si="149"/>
        <v>LOM</v>
      </c>
      <c r="C2383" s="33" t="str">
        <f t="shared" si="150"/>
        <v>11361-0000</v>
      </c>
      <c r="D2383" t="s">
        <v>22231</v>
      </c>
      <c r="E2383" t="s">
        <v>14165</v>
      </c>
      <c r="F2383" t="s">
        <v>14039</v>
      </c>
      <c r="G2383" t="s">
        <v>14672</v>
      </c>
      <c r="H2383" t="s">
        <v>13869</v>
      </c>
      <c r="I2383" t="s">
        <v>14690</v>
      </c>
      <c r="J2383" s="62">
        <v>0</v>
      </c>
      <c r="K2383" s="62">
        <v>0</v>
      </c>
      <c r="L2383" t="str">
        <f>VLOOKUP(VALUE(LEFT(C2383,5)),Xref!A:B,2,0)</f>
        <v>GSM</v>
      </c>
      <c r="M2383" t="str">
        <f t="shared" si="151"/>
        <v>GSM-LOM</v>
      </c>
    </row>
    <row r="2384" spans="1:13" ht="14.25" customHeight="true">
      <c r="A2384" s="33" t="str">
        <f t="shared" si="148"/>
        <v>LOM - Intercompany</v>
      </c>
      <c r="B2384" s="33" t="str">
        <f t="shared" si="149"/>
        <v>LOM</v>
      </c>
      <c r="C2384" s="33" t="str">
        <f t="shared" si="150"/>
        <v>11363-0000</v>
      </c>
      <c r="D2384" t="s">
        <v>22232</v>
      </c>
      <c r="E2384" t="s">
        <v>13544</v>
      </c>
      <c r="F2384" t="s">
        <v>14039</v>
      </c>
      <c r="G2384" t="s">
        <v>14672</v>
      </c>
      <c r="H2384" t="s">
        <v>13869</v>
      </c>
      <c r="I2384" t="s">
        <v>14690</v>
      </c>
      <c r="J2384" s="62">
        <v>0</v>
      </c>
      <c r="K2384" s="62">
        <v>0</v>
      </c>
      <c r="L2384" t="str">
        <f>VLOOKUP(VALUE(LEFT(C2384,5)),Xref!A:B,2,0)</f>
        <v>SOF</v>
      </c>
      <c r="M2384" t="str">
        <f t="shared" si="151"/>
        <v>LOM-SOF</v>
      </c>
    </row>
    <row r="2385" spans="1:13" ht="14.25" customHeight="true">
      <c r="A2385" s="33" t="str">
        <f t="shared" si="148"/>
        <v>LOM - Intercompany</v>
      </c>
      <c r="B2385" s="33" t="str">
        <f t="shared" si="149"/>
        <v>LOM</v>
      </c>
      <c r="C2385" s="33" t="str">
        <f t="shared" si="150"/>
        <v>11364-0000</v>
      </c>
      <c r="D2385" t="s">
        <v>22233</v>
      </c>
      <c r="E2385" t="s">
        <v>14168</v>
      </c>
      <c r="F2385" t="s">
        <v>14039</v>
      </c>
      <c r="G2385" t="s">
        <v>14672</v>
      </c>
      <c r="H2385" t="s">
        <v>13869</v>
      </c>
      <c r="I2385" t="s">
        <v>14690</v>
      </c>
      <c r="J2385" s="62">
        <v>0</v>
      </c>
      <c r="K2385" s="62">
        <v>0</v>
      </c>
      <c r="L2385" t="e">
        <f>VLOOKUP(VALUE(LEFT(C2385,5)),Xref!A:B,2,0)</f>
        <v>#N/A</v>
      </c>
      <c r="M2385" t="e">
        <f t="shared" si="151"/>
        <v>#N/A</v>
      </c>
    </row>
    <row r="2386" spans="1:13" ht="14.25" customHeight="true">
      <c r="A2386" s="33" t="str">
        <f t="shared" si="148"/>
        <v>LOM - Intercompany</v>
      </c>
      <c r="B2386" s="33" t="str">
        <f t="shared" si="149"/>
        <v>LOM</v>
      </c>
      <c r="C2386" s="33" t="str">
        <f t="shared" si="150"/>
        <v>11365-0000</v>
      </c>
      <c r="D2386" t="s">
        <v>22234</v>
      </c>
      <c r="E2386" t="s">
        <v>14170</v>
      </c>
      <c r="F2386" t="s">
        <v>14039</v>
      </c>
      <c r="G2386" t="s">
        <v>14672</v>
      </c>
      <c r="H2386" t="s">
        <v>13869</v>
      </c>
      <c r="I2386" t="s">
        <v>14690</v>
      </c>
      <c r="J2386" s="62">
        <v>0</v>
      </c>
      <c r="K2386" s="62">
        <v>0</v>
      </c>
      <c r="L2386" t="e">
        <f>VLOOKUP(VALUE(LEFT(C2386,5)),Xref!A:B,2,0)</f>
        <v>#N/A</v>
      </c>
      <c r="M2386" t="e">
        <f t="shared" si="151"/>
        <v>#N/A</v>
      </c>
    </row>
    <row r="2387" spans="1:13" ht="14.25" customHeight="true">
      <c r="A2387" s="33" t="str">
        <f t="shared" si="148"/>
        <v>LOM - Intercompany</v>
      </c>
      <c r="B2387" s="33" t="str">
        <f t="shared" si="149"/>
        <v>LOM</v>
      </c>
      <c r="C2387" s="33" t="str">
        <f t="shared" si="150"/>
        <v>11366-0000</v>
      </c>
      <c r="D2387" t="s">
        <v>22235</v>
      </c>
      <c r="E2387" t="s">
        <v>14172</v>
      </c>
      <c r="G2387" t="s">
        <v>14672</v>
      </c>
      <c r="H2387" t="s">
        <v>13869</v>
      </c>
      <c r="I2387" t="s">
        <v>14690</v>
      </c>
      <c r="J2387" s="62">
        <v>0</v>
      </c>
      <c r="K2387" s="62">
        <v>0</v>
      </c>
      <c r="L2387" t="e">
        <f>VLOOKUP(VALUE(LEFT(C2387,5)),Xref!A:B,2,0)</f>
        <v>#N/A</v>
      </c>
      <c r="M2387" t="e">
        <f t="shared" si="151"/>
        <v>#N/A</v>
      </c>
    </row>
    <row r="2388" spans="1:13" ht="14.25" customHeight="true">
      <c r="A2388" s="33" t="str">
        <f t="shared" si="148"/>
        <v>LOM - Intercompany</v>
      </c>
      <c r="B2388" s="33" t="str">
        <f t="shared" si="149"/>
        <v>LOM</v>
      </c>
      <c r="C2388" s="33" t="str">
        <f t="shared" si="150"/>
        <v>11402-0000</v>
      </c>
      <c r="D2388" t="s">
        <v>22236</v>
      </c>
      <c r="E2388" t="s">
        <v>14174</v>
      </c>
      <c r="G2388" t="s">
        <v>14672</v>
      </c>
      <c r="H2388" t="s">
        <v>13869</v>
      </c>
      <c r="I2388" t="s">
        <v>14690</v>
      </c>
      <c r="J2388" s="62">
        <v>0</v>
      </c>
      <c r="K2388" s="62">
        <v>0</v>
      </c>
      <c r="L2388" t="str">
        <f>VLOOKUP(VALUE(LEFT(C2388,5)),Xref!A:B,2,0)</f>
        <v>DPI</v>
      </c>
      <c r="M2388" t="str">
        <f t="shared" si="151"/>
        <v>DPI-LOM</v>
      </c>
    </row>
    <row r="2389" spans="1:13" ht="14.25" customHeight="true">
      <c r="A2389" s="33" t="str">
        <f t="shared" si="148"/>
        <v>LOM - Intercompany</v>
      </c>
      <c r="B2389" s="33" t="str">
        <f t="shared" si="149"/>
        <v>LOM</v>
      </c>
      <c r="C2389" s="33" t="str">
        <f t="shared" si="150"/>
        <v>11403-0000</v>
      </c>
      <c r="D2389" t="s">
        <v>22237</v>
      </c>
      <c r="E2389" t="s">
        <v>14176</v>
      </c>
      <c r="G2389" t="s">
        <v>14672</v>
      </c>
      <c r="H2389" t="s">
        <v>13869</v>
      </c>
      <c r="I2389" t="s">
        <v>14690</v>
      </c>
      <c r="J2389" s="62">
        <v>0</v>
      </c>
      <c r="K2389" s="62">
        <v>0</v>
      </c>
      <c r="L2389" t="str">
        <f>VLOOKUP(VALUE(LEFT(C2389,5)),Xref!A:B,2,0)</f>
        <v>SEA</v>
      </c>
      <c r="M2389" t="str">
        <f t="shared" si="151"/>
        <v>LOM-SEA</v>
      </c>
    </row>
    <row r="2390" spans="1:13" ht="14.25" customHeight="true">
      <c r="A2390" s="33" t="str">
        <f t="shared" si="148"/>
        <v>LOM - Intercompany</v>
      </c>
      <c r="B2390" s="33" t="str">
        <f t="shared" si="149"/>
        <v>LOM</v>
      </c>
      <c r="C2390" s="33" t="str">
        <f t="shared" si="150"/>
        <v>12400-0000</v>
      </c>
      <c r="D2390" t="s">
        <v>22240</v>
      </c>
      <c r="E2390" t="s">
        <v>14185</v>
      </c>
      <c r="F2390" t="s">
        <v>14039</v>
      </c>
      <c r="G2390" t="s">
        <v>14672</v>
      </c>
      <c r="H2390" t="s">
        <v>13869</v>
      </c>
      <c r="I2390" t="s">
        <v>14690</v>
      </c>
      <c r="J2390" s="62">
        <v>0</v>
      </c>
      <c r="K2390" s="62">
        <v>0</v>
      </c>
      <c r="L2390" t="str">
        <f>VLOOKUP(VALUE(LEFT(C2390,5)),Xref!A:B,2,0)</f>
        <v>aka</v>
      </c>
      <c r="M2390" t="str">
        <f t="shared" si="151"/>
        <v>aka-LOM</v>
      </c>
    </row>
    <row r="2391" spans="1:13" ht="14.25" customHeight="true">
      <c r="A2391" s="33" t="str">
        <f t="shared" si="148"/>
        <v>LOM - Intercompany</v>
      </c>
      <c r="B2391" s="33" t="str">
        <f t="shared" si="149"/>
        <v>LOM</v>
      </c>
      <c r="C2391" s="33" t="str">
        <f t="shared" si="150"/>
        <v>12401-0000</v>
      </c>
      <c r="D2391" t="s">
        <v>22241</v>
      </c>
      <c r="E2391" t="s">
        <v>14187</v>
      </c>
      <c r="F2391" t="s">
        <v>14039</v>
      </c>
      <c r="G2391" t="s">
        <v>14672</v>
      </c>
      <c r="H2391" t="s">
        <v>13869</v>
      </c>
      <c r="I2391" t="s">
        <v>14690</v>
      </c>
      <c r="J2391" s="62">
        <v>0</v>
      </c>
      <c r="K2391" s="62">
        <v>0</v>
      </c>
      <c r="L2391" t="str">
        <f>VLOOKUP(VALUE(LEFT(C2391,5)),Xref!A:B,2,0)</f>
        <v>aka</v>
      </c>
      <c r="M2391" t="str">
        <f t="shared" si="151"/>
        <v>aka-LOM</v>
      </c>
    </row>
    <row r="2392" spans="1:13" ht="14.25" customHeight="true">
      <c r="A2392" s="33" t="str">
        <f t="shared" si="148"/>
        <v>LOM - Intercompany</v>
      </c>
      <c r="B2392" s="33" t="str">
        <f t="shared" si="149"/>
        <v>LOM</v>
      </c>
      <c r="C2392" s="33" t="str">
        <f t="shared" si="150"/>
        <v>12402-0000</v>
      </c>
      <c r="D2392" t="s">
        <v>22242</v>
      </c>
      <c r="E2392" t="s">
        <v>14189</v>
      </c>
      <c r="F2392" t="s">
        <v>14039</v>
      </c>
      <c r="G2392" t="s">
        <v>14672</v>
      </c>
      <c r="H2392" t="s">
        <v>13869</v>
      </c>
      <c r="I2392" t="s">
        <v>14690</v>
      </c>
      <c r="J2392" s="62">
        <v>0</v>
      </c>
      <c r="K2392" s="62">
        <v>0</v>
      </c>
      <c r="L2392" t="str">
        <f>VLOOKUP(VALUE(LEFT(C2392,5)),Xref!A:B,2,0)</f>
        <v>aka</v>
      </c>
      <c r="M2392" t="str">
        <f t="shared" si="151"/>
        <v>aka-LOM</v>
      </c>
    </row>
    <row r="2393" spans="1:13" ht="14.25" customHeight="true">
      <c r="A2393" s="33" t="str">
        <f t="shared" si="148"/>
        <v>LOM - Intercompany</v>
      </c>
      <c r="B2393" s="33" t="str">
        <f t="shared" si="149"/>
        <v>LOM</v>
      </c>
      <c r="C2393" s="33" t="str">
        <f t="shared" si="150"/>
        <v>12403-0000</v>
      </c>
      <c r="D2393" t="s">
        <v>22243</v>
      </c>
      <c r="E2393" t="s">
        <v>5226</v>
      </c>
      <c r="F2393" t="s">
        <v>14039</v>
      </c>
      <c r="G2393" t="s">
        <v>14672</v>
      </c>
      <c r="H2393" t="s">
        <v>13869</v>
      </c>
      <c r="I2393" t="s">
        <v>14690</v>
      </c>
      <c r="J2393" s="62">
        <v>0</v>
      </c>
      <c r="K2393" s="62">
        <v>0</v>
      </c>
      <c r="L2393" t="str">
        <f>VLOOKUP(VALUE(LEFT(C2393,5)),Xref!A:B,2,0)</f>
        <v>aka</v>
      </c>
      <c r="M2393" t="str">
        <f t="shared" si="151"/>
        <v>aka-LOM</v>
      </c>
    </row>
    <row r="2394" spans="1:13" ht="14.25" customHeight="true">
      <c r="A2394" s="33" t="str">
        <f t="shared" si="148"/>
        <v>LOM - Intercompany</v>
      </c>
      <c r="B2394" s="33" t="str">
        <f t="shared" si="149"/>
        <v>LOM</v>
      </c>
      <c r="C2394" s="33" t="str">
        <f t="shared" si="150"/>
        <v>12501-0000</v>
      </c>
      <c r="D2394" t="s">
        <v>22244</v>
      </c>
      <c r="E2394" t="s">
        <v>14192</v>
      </c>
      <c r="F2394" t="s">
        <v>14039</v>
      </c>
      <c r="G2394" t="s">
        <v>14672</v>
      </c>
      <c r="H2394" t="s">
        <v>13869</v>
      </c>
      <c r="I2394" t="s">
        <v>14690</v>
      </c>
      <c r="J2394" s="62">
        <v>0</v>
      </c>
      <c r="K2394" s="62">
        <v>0</v>
      </c>
      <c r="L2394" t="str">
        <f>VLOOKUP(VALUE(LEFT(C2394,5)),Xref!A:B,2,0)</f>
        <v>aka</v>
      </c>
      <c r="M2394" t="str">
        <f t="shared" si="151"/>
        <v>aka-LOM</v>
      </c>
    </row>
    <row r="2395" spans="1:13" ht="14.25" customHeight="true">
      <c r="A2395" s="33" t="str">
        <f t="shared" si="148"/>
        <v>LOM - InterCo Notes</v>
      </c>
      <c r="B2395" s="33" t="str">
        <f t="shared" si="149"/>
        <v>LOM</v>
      </c>
      <c r="C2395" s="33" t="str">
        <f t="shared" si="150"/>
        <v>25600-0000</v>
      </c>
      <c r="D2395" t="s">
        <v>22290</v>
      </c>
      <c r="E2395" t="s">
        <v>314</v>
      </c>
      <c r="F2395" t="s">
        <v>14039</v>
      </c>
      <c r="G2395" t="s">
        <v>14672</v>
      </c>
      <c r="H2395" t="s">
        <v>13889</v>
      </c>
      <c r="I2395" t="s">
        <v>14690</v>
      </c>
      <c r="J2395" s="62">
        <v>0</v>
      </c>
      <c r="K2395" s="62">
        <v>0</v>
      </c>
      <c r="L2395" t="str">
        <f>VLOOKUP(VALUE(LEFT(C2395,5)),Xref!A:B,2,0)</f>
        <v>D7</v>
      </c>
      <c r="M2395" t="str">
        <f t="shared" si="151"/>
        <v>D7-LOM</v>
      </c>
    </row>
    <row r="2396" spans="1:13" ht="14.25" customHeight="true">
      <c r="A2396" s="33" t="str">
        <f t="shared" si="148"/>
        <v>LOM - InterCo Notes</v>
      </c>
      <c r="B2396" s="33" t="str">
        <f t="shared" si="149"/>
        <v>LOM</v>
      </c>
      <c r="C2396" s="33" t="str">
        <f t="shared" si="150"/>
        <v>25602-0000</v>
      </c>
      <c r="D2396" t="s">
        <v>22292</v>
      </c>
      <c r="E2396" t="s">
        <v>13426</v>
      </c>
      <c r="F2396" t="s">
        <v>14039</v>
      </c>
      <c r="G2396" t="s">
        <v>14672</v>
      </c>
      <c r="H2396" t="s">
        <v>13889</v>
      </c>
      <c r="I2396" t="s">
        <v>14690</v>
      </c>
      <c r="J2396" s="62">
        <v>0</v>
      </c>
      <c r="K2396" s="62">
        <v>0</v>
      </c>
      <c r="L2396" t="str">
        <f>VLOOKUP(VALUE(LEFT(C2396,5)),Xref!A:B,2,0)</f>
        <v>DFLP</v>
      </c>
      <c r="M2396" t="str">
        <f t="shared" si="151"/>
        <v>DFLP-LOM</v>
      </c>
    </row>
    <row r="2397" spans="1:13" ht="14.25" customHeight="true">
      <c r="A2397" s="33" t="str">
        <f t="shared" si="148"/>
        <v>LOM - InterCo Notes</v>
      </c>
      <c r="B2397" s="33" t="str">
        <f t="shared" si="149"/>
        <v>LOM</v>
      </c>
      <c r="C2397" s="33" t="str">
        <f t="shared" si="150"/>
        <v>25603-0000</v>
      </c>
      <c r="D2397" t="s">
        <v>22293</v>
      </c>
      <c r="E2397" t="s">
        <v>14311</v>
      </c>
      <c r="F2397" t="s">
        <v>14039</v>
      </c>
      <c r="G2397" t="s">
        <v>14832</v>
      </c>
      <c r="H2397" t="s">
        <v>13889</v>
      </c>
      <c r="I2397" t="s">
        <v>14690</v>
      </c>
      <c r="J2397" s="62">
        <v>0</v>
      </c>
      <c r="K2397" s="62">
        <v>0</v>
      </c>
      <c r="L2397" t="str">
        <f>VLOOKUP(VALUE(LEFT(C2397,5)),Xref!A:B,2,0)</f>
        <v>aka</v>
      </c>
      <c r="M2397" t="str">
        <f t="shared" si="151"/>
        <v>aka-LOM</v>
      </c>
    </row>
    <row r="2398" spans="1:13" ht="14.25" customHeight="true">
      <c r="A2398" s="33" t="str">
        <f t="shared" si="148"/>
        <v>LOM - Intercompany</v>
      </c>
      <c r="B2398" s="33" t="str">
        <f t="shared" si="149"/>
        <v>LOM</v>
      </c>
      <c r="C2398" s="33" t="str">
        <f t="shared" si="150"/>
        <v>25604-0000</v>
      </c>
      <c r="D2398" t="s">
        <v>22294</v>
      </c>
      <c r="E2398" t="s">
        <v>13490</v>
      </c>
      <c r="F2398" t="s">
        <v>14039</v>
      </c>
      <c r="G2398" t="s">
        <v>14672</v>
      </c>
      <c r="H2398" t="s">
        <v>13869</v>
      </c>
      <c r="I2398" t="s">
        <v>14690</v>
      </c>
      <c r="J2398" s="62">
        <v>0</v>
      </c>
      <c r="K2398" s="62">
        <v>0</v>
      </c>
      <c r="L2398">
        <f>VLOOKUP(VALUE(LEFT(C2398,5)),Xref!A:B,2,0)</f>
        <v>0</v>
      </c>
      <c r="M2398" t="str">
        <f t="shared" si="151"/>
        <v>0-LOM</v>
      </c>
    </row>
    <row r="2399" spans="1:13" ht="14.25" customHeight="true">
      <c r="A2399" s="33" t="str">
        <f t="shared" si="148"/>
        <v>LPI - Intercompany</v>
      </c>
      <c r="B2399" s="33" t="str">
        <f t="shared" si="149"/>
        <v>LPI</v>
      </c>
      <c r="C2399" s="33" t="str">
        <f t="shared" si="150"/>
        <v>11200-0000</v>
      </c>
      <c r="D2399" t="s">
        <v>22464</v>
      </c>
      <c r="E2399" t="s">
        <v>14069</v>
      </c>
      <c r="F2399" t="s">
        <v>14039</v>
      </c>
      <c r="G2399" t="s">
        <v>14672</v>
      </c>
      <c r="H2399" t="s">
        <v>13869</v>
      </c>
      <c r="I2399" t="s">
        <v>14690</v>
      </c>
      <c r="J2399" s="62">
        <v>0</v>
      </c>
      <c r="K2399" s="62">
        <v>0</v>
      </c>
      <c r="L2399" t="str">
        <f>VLOOKUP(VALUE(LEFT(C2399,5)),Xref!A:B,2,0)</f>
        <v>SCL</v>
      </c>
      <c r="M2399" t="str">
        <f t="shared" si="151"/>
        <v>LPI-SCL</v>
      </c>
    </row>
    <row r="2400" spans="1:13" ht="14.25" customHeight="true">
      <c r="A2400" s="33" t="str">
        <f t="shared" si="148"/>
        <v>LPI - Intercompany</v>
      </c>
      <c r="B2400" s="33" t="str">
        <f t="shared" si="149"/>
        <v>LPI</v>
      </c>
      <c r="C2400" s="33" t="str">
        <f t="shared" si="150"/>
        <v>11201-0000</v>
      </c>
      <c r="D2400" t="s">
        <v>22465</v>
      </c>
      <c r="E2400" t="s">
        <v>14071</v>
      </c>
      <c r="F2400" t="s">
        <v>14039</v>
      </c>
      <c r="G2400" t="s">
        <v>14672</v>
      </c>
      <c r="H2400" t="s">
        <v>13869</v>
      </c>
      <c r="I2400" t="s">
        <v>14690</v>
      </c>
      <c r="J2400" s="62">
        <v>0</v>
      </c>
      <c r="K2400" s="62">
        <v>0</v>
      </c>
      <c r="L2400" t="str">
        <f>VLOOKUP(VALUE(LEFT(C2400,5)),Xref!A:B,2,0)</f>
        <v>SG2</v>
      </c>
      <c r="M2400" t="str">
        <f t="shared" si="151"/>
        <v>LPI-SG2</v>
      </c>
    </row>
    <row r="2401" spans="1:13" ht="14.25" customHeight="true">
      <c r="A2401" s="33" t="str">
        <f t="shared" si="148"/>
        <v>LPI - Intercompany</v>
      </c>
      <c r="B2401" s="33" t="str">
        <f t="shared" si="149"/>
        <v>LPI</v>
      </c>
      <c r="C2401" s="33" t="str">
        <f t="shared" si="150"/>
        <v>11202-0000</v>
      </c>
      <c r="D2401" t="s">
        <v>22466</v>
      </c>
      <c r="E2401" t="s">
        <v>14073</v>
      </c>
      <c r="F2401" t="s">
        <v>14039</v>
      </c>
      <c r="G2401" t="s">
        <v>14672</v>
      </c>
      <c r="H2401" t="s">
        <v>13869</v>
      </c>
      <c r="I2401" t="s">
        <v>14690</v>
      </c>
      <c r="J2401" s="62">
        <v>0</v>
      </c>
      <c r="K2401" s="62">
        <v>0</v>
      </c>
      <c r="L2401" t="str">
        <f>VLOOKUP(VALUE(LEFT(C2401,5)),Xref!A:B,2,0)</f>
        <v>FFC</v>
      </c>
      <c r="M2401" t="str">
        <f t="shared" si="151"/>
        <v>FFC-LPI</v>
      </c>
    </row>
    <row r="2402" spans="1:13" ht="14.25" customHeight="true">
      <c r="A2402" s="33" t="str">
        <f t="shared" si="148"/>
        <v>LPI - Intercompany</v>
      </c>
      <c r="B2402" s="33" t="str">
        <f t="shared" si="149"/>
        <v>LPI</v>
      </c>
      <c r="C2402" s="33" t="str">
        <f t="shared" si="150"/>
        <v>11203-0000</v>
      </c>
      <c r="D2402" t="s">
        <v>22467</v>
      </c>
      <c r="E2402" t="s">
        <v>14075</v>
      </c>
      <c r="F2402" t="s">
        <v>14039</v>
      </c>
      <c r="G2402" t="s">
        <v>14672</v>
      </c>
      <c r="H2402" t="s">
        <v>13869</v>
      </c>
      <c r="I2402" t="s">
        <v>14690</v>
      </c>
      <c r="J2402" s="62">
        <v>0</v>
      </c>
      <c r="K2402" s="62">
        <v>0</v>
      </c>
      <c r="L2402" t="str">
        <f>VLOOKUP(VALUE(LEFT(C2402,5)),Xref!A:B,2,0)</f>
        <v>HN2</v>
      </c>
      <c r="M2402" t="str">
        <f t="shared" si="151"/>
        <v>HN2-LPI</v>
      </c>
    </row>
    <row r="2403" spans="1:13" ht="14.25" customHeight="true">
      <c r="A2403" s="33" t="str">
        <f t="shared" si="148"/>
        <v>LPI - Intercompany</v>
      </c>
      <c r="B2403" s="33" t="str">
        <f t="shared" si="149"/>
        <v>LPI</v>
      </c>
      <c r="C2403" s="33" t="str">
        <f t="shared" si="150"/>
        <v>11204-0000</v>
      </c>
      <c r="D2403" t="s">
        <v>22468</v>
      </c>
      <c r="E2403" t="s">
        <v>14077</v>
      </c>
      <c r="F2403" t="s">
        <v>14039</v>
      </c>
      <c r="G2403" t="s">
        <v>14672</v>
      </c>
      <c r="H2403" t="s">
        <v>13869</v>
      </c>
      <c r="I2403" t="s">
        <v>14690</v>
      </c>
      <c r="J2403" s="62">
        <v>0</v>
      </c>
      <c r="K2403" s="62">
        <v>0</v>
      </c>
      <c r="L2403" t="str">
        <f>VLOOKUP(VALUE(LEFT(C2403,5)),Xref!A:B,2,0)</f>
        <v>DF2</v>
      </c>
      <c r="M2403" t="str">
        <f t="shared" si="151"/>
        <v>DF2-LPI</v>
      </c>
    </row>
    <row r="2404" spans="1:13" ht="14.25" customHeight="true">
      <c r="A2404" s="33" t="str">
        <f t="shared" si="148"/>
        <v>LPI - Intercompany</v>
      </c>
      <c r="B2404" s="33" t="str">
        <f t="shared" si="149"/>
        <v>LPI</v>
      </c>
      <c r="C2404" s="33" t="str">
        <f t="shared" si="150"/>
        <v>11208-0000</v>
      </c>
      <c r="D2404" t="s">
        <v>22469</v>
      </c>
      <c r="E2404" t="s">
        <v>14079</v>
      </c>
      <c r="F2404" t="s">
        <v>14039</v>
      </c>
      <c r="G2404" t="s">
        <v>14672</v>
      </c>
      <c r="H2404" t="s">
        <v>13869</v>
      </c>
      <c r="I2404" t="s">
        <v>14690</v>
      </c>
      <c r="J2404" s="62">
        <v>0</v>
      </c>
      <c r="K2404" s="62">
        <v>0</v>
      </c>
      <c r="L2404" t="str">
        <f>VLOOKUP(VALUE(LEFT(C2404,5)),Xref!A:B,2,0)</f>
        <v>SRE</v>
      </c>
      <c r="M2404" t="str">
        <f t="shared" si="151"/>
        <v>LPI-SRE</v>
      </c>
    </row>
    <row r="2405" spans="1:13" ht="14.25" customHeight="true">
      <c r="A2405" s="33" t="str">
        <f t="shared" si="148"/>
        <v>LPI - Intercompany</v>
      </c>
      <c r="B2405" s="33" t="str">
        <f t="shared" si="149"/>
        <v>LPI</v>
      </c>
      <c r="C2405" s="33" t="str">
        <f t="shared" si="150"/>
        <v>11210-0000</v>
      </c>
      <c r="D2405" t="s">
        <v>22470</v>
      </c>
      <c r="E2405" t="s">
        <v>14081</v>
      </c>
      <c r="F2405" t="s">
        <v>14039</v>
      </c>
      <c r="G2405" t="s">
        <v>14672</v>
      </c>
      <c r="H2405" t="s">
        <v>13869</v>
      </c>
      <c r="I2405" t="s">
        <v>14690</v>
      </c>
      <c r="J2405" s="62">
        <v>0</v>
      </c>
      <c r="K2405" s="62">
        <v>0</v>
      </c>
      <c r="L2405" t="str">
        <f>VLOOKUP(VALUE(LEFT(C2405,5)),Xref!A:B,2,0)</f>
        <v>REM</v>
      </c>
      <c r="M2405" t="str">
        <f t="shared" si="151"/>
        <v>LPI-REM</v>
      </c>
    </row>
    <row r="2406" spans="1:13" ht="14.25" customHeight="true">
      <c r="A2406" s="33" t="str">
        <f t="shared" si="148"/>
        <v>LPI - Intercompany</v>
      </c>
      <c r="B2406" s="33" t="str">
        <f t="shared" si="149"/>
        <v>LPI</v>
      </c>
      <c r="C2406" s="33" t="str">
        <f t="shared" si="150"/>
        <v>11212-0000</v>
      </c>
      <c r="D2406" t="s">
        <v>22471</v>
      </c>
      <c r="E2406" t="s">
        <v>14083</v>
      </c>
      <c r="F2406" t="s">
        <v>14039</v>
      </c>
      <c r="G2406" t="s">
        <v>14672</v>
      </c>
      <c r="H2406" t="s">
        <v>13869</v>
      </c>
      <c r="I2406" t="s">
        <v>14690</v>
      </c>
      <c r="J2406" s="62">
        <v>0</v>
      </c>
      <c r="K2406" s="62">
        <v>0</v>
      </c>
      <c r="L2406" t="str">
        <f>VLOOKUP(VALUE(LEFT(C2406,5)),Xref!A:B,2,0)</f>
        <v>FRM</v>
      </c>
      <c r="M2406" t="str">
        <f t="shared" si="151"/>
        <v>FRM-LPI</v>
      </c>
    </row>
    <row r="2407" spans="1:13" ht="14.25" customHeight="true">
      <c r="A2407" s="33" t="str">
        <f t="shared" si="148"/>
        <v>LPI - Intercompany</v>
      </c>
      <c r="B2407" s="33" t="str">
        <f t="shared" si="149"/>
        <v>LPI</v>
      </c>
      <c r="C2407" s="33" t="str">
        <f t="shared" si="150"/>
        <v>11214-0000</v>
      </c>
      <c r="D2407" t="s">
        <v>22472</v>
      </c>
      <c r="E2407" t="s">
        <v>14085</v>
      </c>
      <c r="F2407" t="s">
        <v>14039</v>
      </c>
      <c r="G2407" t="s">
        <v>14672</v>
      </c>
      <c r="H2407" t="s">
        <v>13869</v>
      </c>
      <c r="I2407" t="s">
        <v>14690</v>
      </c>
      <c r="J2407" s="62">
        <v>0</v>
      </c>
      <c r="K2407" s="62">
        <v>-50000</v>
      </c>
      <c r="L2407" t="str">
        <f>VLOOKUP(VALUE(LEFT(C2407,5)),Xref!A:B,2,0)</f>
        <v>D7R</v>
      </c>
      <c r="M2407" t="str">
        <f t="shared" si="151"/>
        <v>D7R-LPI</v>
      </c>
    </row>
    <row r="2408" spans="1:13" ht="14.25" customHeight="true">
      <c r="A2408" s="33" t="str">
        <f t="shared" si="148"/>
        <v>LPI - Intercompany</v>
      </c>
      <c r="B2408" s="33" t="str">
        <f t="shared" si="149"/>
        <v>LPI</v>
      </c>
      <c r="C2408" s="33" t="str">
        <f t="shared" si="150"/>
        <v>11215-0000</v>
      </c>
      <c r="D2408" t="s">
        <v>22473</v>
      </c>
      <c r="E2408" t="s">
        <v>14087</v>
      </c>
      <c r="F2408" t="s">
        <v>14039</v>
      </c>
      <c r="G2408" t="s">
        <v>14672</v>
      </c>
      <c r="H2408" t="s">
        <v>13869</v>
      </c>
      <c r="I2408" t="s">
        <v>14690</v>
      </c>
      <c r="J2408" s="62">
        <v>0</v>
      </c>
      <c r="K2408" s="62">
        <v>0</v>
      </c>
      <c r="L2408" t="str">
        <f>VLOOKUP(VALUE(LEFT(C2408,5)),Xref!A:B,2,0)</f>
        <v>CDP</v>
      </c>
      <c r="M2408" t="str">
        <f t="shared" si="151"/>
        <v>CDP-LPI</v>
      </c>
    </row>
    <row r="2409" spans="1:13" ht="14.25" customHeight="true">
      <c r="A2409" s="33" t="str">
        <f t="shared" si="148"/>
        <v>LPI - Intercompany</v>
      </c>
      <c r="B2409" s="33" t="str">
        <f t="shared" si="149"/>
        <v>LPI</v>
      </c>
      <c r="C2409" s="33" t="str">
        <f t="shared" si="150"/>
        <v>11216-0000</v>
      </c>
      <c r="D2409" t="s">
        <v>22474</v>
      </c>
      <c r="E2409" t="s">
        <v>13224</v>
      </c>
      <c r="F2409" t="s">
        <v>14039</v>
      </c>
      <c r="G2409" t="s">
        <v>14672</v>
      </c>
      <c r="H2409" t="s">
        <v>13869</v>
      </c>
      <c r="I2409" t="s">
        <v>14690</v>
      </c>
      <c r="J2409" s="62">
        <v>209.76</v>
      </c>
      <c r="K2409" s="62">
        <v>-13023.69</v>
      </c>
      <c r="L2409" t="str">
        <f>VLOOKUP(VALUE(LEFT(C2409,5)),Xref!A:B,2,0)</f>
        <v>SIL</v>
      </c>
      <c r="M2409" t="str">
        <f t="shared" si="151"/>
        <v>LPI-SIL</v>
      </c>
    </row>
    <row r="2410" spans="1:13" ht="14.25" customHeight="true">
      <c r="A2410" s="33" t="str">
        <f t="shared" si="148"/>
        <v>LPI - Intercompany</v>
      </c>
      <c r="B2410" s="33" t="str">
        <f t="shared" si="149"/>
        <v>LPI</v>
      </c>
      <c r="C2410" s="33" t="str">
        <f t="shared" si="150"/>
        <v>11232-0000</v>
      </c>
      <c r="D2410" t="s">
        <v>22475</v>
      </c>
      <c r="E2410" t="s">
        <v>12486</v>
      </c>
      <c r="F2410" t="s">
        <v>14039</v>
      </c>
      <c r="G2410" t="s">
        <v>14672</v>
      </c>
      <c r="H2410" t="s">
        <v>13869</v>
      </c>
      <c r="I2410" t="s">
        <v>14690</v>
      </c>
      <c r="J2410" s="62">
        <v>0</v>
      </c>
      <c r="K2410" s="62">
        <v>0</v>
      </c>
      <c r="L2410" t="str">
        <f>VLOOKUP(VALUE(LEFT(C2410,5)),Xref!A:B,2,0)</f>
        <v>SC2</v>
      </c>
      <c r="M2410" t="str">
        <f t="shared" si="151"/>
        <v>LPI-SC2</v>
      </c>
    </row>
    <row r="2411" spans="1:13" ht="14.25" customHeight="true">
      <c r="A2411" s="33" t="str">
        <f t="shared" si="148"/>
        <v>LPI - Intercompany</v>
      </c>
      <c r="B2411" s="33" t="str">
        <f t="shared" si="149"/>
        <v>LPI</v>
      </c>
      <c r="C2411" s="33" t="str">
        <f t="shared" si="150"/>
        <v>11301-0000</v>
      </c>
      <c r="D2411" t="s">
        <v>22476</v>
      </c>
      <c r="E2411" t="s">
        <v>13225</v>
      </c>
      <c r="F2411" t="s">
        <v>14039</v>
      </c>
      <c r="G2411" t="s">
        <v>14672</v>
      </c>
      <c r="H2411" t="s">
        <v>13869</v>
      </c>
      <c r="I2411" t="s">
        <v>14690</v>
      </c>
      <c r="J2411" s="62">
        <v>0</v>
      </c>
      <c r="K2411" s="62">
        <v>0</v>
      </c>
      <c r="L2411" t="str">
        <f>VLOOKUP(VALUE(LEFT(C2411,5)),Xref!A:B,2,0)</f>
        <v>CRE</v>
      </c>
      <c r="M2411" t="str">
        <f t="shared" si="151"/>
        <v>CRE-LPI</v>
      </c>
    </row>
    <row r="2412" spans="1:13" ht="14.25" customHeight="true">
      <c r="A2412" s="33" t="str">
        <f t="shared" si="148"/>
        <v>LPI - Intercompany</v>
      </c>
      <c r="B2412" s="33" t="str">
        <f t="shared" si="149"/>
        <v>LPI</v>
      </c>
      <c r="C2412" s="33" t="str">
        <f t="shared" si="150"/>
        <v>11302-0000</v>
      </c>
      <c r="D2412" t="s">
        <v>22477</v>
      </c>
      <c r="E2412" t="s">
        <v>13226</v>
      </c>
      <c r="F2412" t="s">
        <v>14039</v>
      </c>
      <c r="G2412" t="s">
        <v>14672</v>
      </c>
      <c r="H2412" t="s">
        <v>13869</v>
      </c>
      <c r="I2412" t="s">
        <v>14690</v>
      </c>
      <c r="J2412" s="62">
        <v>0</v>
      </c>
      <c r="K2412" s="62">
        <v>0</v>
      </c>
      <c r="L2412" t="str">
        <f>VLOOKUP(VALUE(LEFT(C2412,5)),Xref!A:B,2,0)</f>
        <v>CHA</v>
      </c>
      <c r="M2412" t="str">
        <f t="shared" si="151"/>
        <v>CHA-LPI</v>
      </c>
    </row>
    <row r="2413" spans="1:13" ht="14.25" customHeight="true">
      <c r="A2413" s="33" t="str">
        <f t="shared" si="148"/>
        <v>LPI - Intercompany</v>
      </c>
      <c r="B2413" s="33" t="str">
        <f t="shared" si="149"/>
        <v>LPI</v>
      </c>
      <c r="C2413" s="33" t="str">
        <f t="shared" si="150"/>
        <v>11303-0000</v>
      </c>
      <c r="D2413" t="s">
        <v>22478</v>
      </c>
      <c r="E2413" t="s">
        <v>13227</v>
      </c>
      <c r="F2413" t="s">
        <v>14039</v>
      </c>
      <c r="G2413" t="s">
        <v>14672</v>
      </c>
      <c r="H2413" t="s">
        <v>13869</v>
      </c>
      <c r="I2413" t="s">
        <v>14690</v>
      </c>
      <c r="J2413" s="62">
        <v>0</v>
      </c>
      <c r="K2413" s="62">
        <v>0</v>
      </c>
      <c r="L2413" t="str">
        <f>VLOOKUP(VALUE(LEFT(C2413,5)),Xref!A:B,2,0)</f>
        <v>DIA</v>
      </c>
      <c r="M2413" t="str">
        <f t="shared" si="151"/>
        <v>DIA-LPI</v>
      </c>
    </row>
    <row r="2414" spans="1:13" ht="14.25" customHeight="true">
      <c r="A2414" s="33" t="str">
        <f t="shared" si="148"/>
        <v>LPI - Intercompany</v>
      </c>
      <c r="B2414" s="33" t="str">
        <f t="shared" si="149"/>
        <v>LPI</v>
      </c>
      <c r="C2414" s="33" t="str">
        <f t="shared" si="150"/>
        <v>11304-0000</v>
      </c>
      <c r="D2414" t="s">
        <v>22479</v>
      </c>
      <c r="E2414" t="s">
        <v>13228</v>
      </c>
      <c r="F2414" t="s">
        <v>14039</v>
      </c>
      <c r="G2414" t="s">
        <v>14672</v>
      </c>
      <c r="H2414" t="s">
        <v>13869</v>
      </c>
      <c r="I2414" t="s">
        <v>14690</v>
      </c>
      <c r="J2414" s="62">
        <v>0</v>
      </c>
      <c r="K2414" s="62">
        <v>0</v>
      </c>
      <c r="L2414" t="str">
        <f>VLOOKUP(VALUE(LEFT(C2414,5)),Xref!A:B,2,0)</f>
        <v>EAG</v>
      </c>
      <c r="M2414" t="str">
        <f t="shared" si="151"/>
        <v>EAG-LPI</v>
      </c>
    </row>
    <row r="2415" spans="1:13" ht="14.25" customHeight="true">
      <c r="A2415" s="33" t="str">
        <f t="shared" si="148"/>
        <v>LPI - Intercompany</v>
      </c>
      <c r="B2415" s="33" t="str">
        <f t="shared" si="149"/>
        <v>LPI</v>
      </c>
      <c r="C2415" s="33" t="str">
        <f t="shared" si="150"/>
        <v>11305-0000</v>
      </c>
      <c r="D2415" t="s">
        <v>22480</v>
      </c>
      <c r="E2415" t="s">
        <v>13229</v>
      </c>
      <c r="F2415" t="s">
        <v>14039</v>
      </c>
      <c r="G2415" t="s">
        <v>14672</v>
      </c>
      <c r="H2415" t="s">
        <v>13869</v>
      </c>
      <c r="I2415" t="s">
        <v>14690</v>
      </c>
      <c r="J2415" s="62">
        <v>0</v>
      </c>
      <c r="K2415" s="62">
        <v>0</v>
      </c>
      <c r="L2415" t="str">
        <f>VLOOKUP(VALUE(LEFT(C2415,5)),Xref!A:B,2,0)</f>
        <v>NEW</v>
      </c>
      <c r="M2415" t="str">
        <f t="shared" si="151"/>
        <v>LPI-NEW</v>
      </c>
    </row>
    <row r="2416" spans="1:13" ht="14.25" customHeight="true">
      <c r="A2416" s="33" t="str">
        <f t="shared" si="148"/>
        <v>LPI - Intercompany</v>
      </c>
      <c r="B2416" s="33" t="str">
        <f t="shared" si="149"/>
        <v>LPI</v>
      </c>
      <c r="C2416" s="33" t="str">
        <f t="shared" si="150"/>
        <v>11307-0000</v>
      </c>
      <c r="D2416" t="s">
        <v>22481</v>
      </c>
      <c r="E2416" t="s">
        <v>14096</v>
      </c>
      <c r="F2416" t="s">
        <v>14039</v>
      </c>
      <c r="G2416" t="s">
        <v>14672</v>
      </c>
      <c r="H2416" t="s">
        <v>13869</v>
      </c>
      <c r="I2416" t="s">
        <v>14690</v>
      </c>
      <c r="J2416" s="62">
        <v>0</v>
      </c>
      <c r="K2416" s="62">
        <v>0</v>
      </c>
      <c r="L2416" t="str">
        <f>VLOOKUP(VALUE(LEFT(C2416,5)),Xref!A:B,2,0)</f>
        <v>NES</v>
      </c>
      <c r="M2416" t="str">
        <f t="shared" si="151"/>
        <v>LPI-NES</v>
      </c>
    </row>
    <row r="2417" spans="1:13" ht="14.25" customHeight="true">
      <c r="A2417" s="33" t="str">
        <f t="shared" si="148"/>
        <v>LPI - Intercompany</v>
      </c>
      <c r="B2417" s="33" t="str">
        <f t="shared" si="149"/>
        <v>LPI</v>
      </c>
      <c r="C2417" s="33" t="str">
        <f t="shared" si="150"/>
        <v>11308-0000</v>
      </c>
      <c r="D2417" t="s">
        <v>22482</v>
      </c>
      <c r="E2417" t="s">
        <v>13476</v>
      </c>
      <c r="F2417" t="s">
        <v>14039</v>
      </c>
      <c r="G2417" t="s">
        <v>14672</v>
      </c>
      <c r="H2417" t="s">
        <v>13869</v>
      </c>
      <c r="I2417" t="s">
        <v>14690</v>
      </c>
      <c r="J2417" s="62">
        <v>0</v>
      </c>
      <c r="K2417" s="62">
        <v>-1000</v>
      </c>
      <c r="L2417" t="str">
        <f>VLOOKUP(VALUE(LEFT(C2417,5)),Xref!A:B,2,0)</f>
        <v>LPI</v>
      </c>
      <c r="M2417" t="str">
        <f t="shared" si="151"/>
        <v>LPI-LPI</v>
      </c>
    </row>
    <row r="2418" spans="1:13" ht="14.25" customHeight="true">
      <c r="A2418" s="33" t="str">
        <f t="shared" si="148"/>
        <v>LPI - Intercompany</v>
      </c>
      <c r="B2418" s="33" t="str">
        <f t="shared" si="149"/>
        <v>LPI</v>
      </c>
      <c r="C2418" s="33" t="str">
        <f t="shared" si="150"/>
        <v>11309-0000</v>
      </c>
      <c r="D2418" t="s">
        <v>22483</v>
      </c>
      <c r="E2418" t="s">
        <v>13230</v>
      </c>
      <c r="F2418" t="s">
        <v>14039</v>
      </c>
      <c r="G2418" t="s">
        <v>14672</v>
      </c>
      <c r="H2418" t="s">
        <v>13869</v>
      </c>
      <c r="I2418" t="s">
        <v>14690</v>
      </c>
      <c r="J2418" s="62">
        <v>0</v>
      </c>
      <c r="K2418" s="62">
        <v>-8000</v>
      </c>
      <c r="L2418" t="str">
        <f>VLOOKUP(VALUE(LEFT(C2418,5)),Xref!A:B,2,0)</f>
        <v>GPI</v>
      </c>
      <c r="M2418" t="str">
        <f t="shared" si="151"/>
        <v>GPI-LPI</v>
      </c>
    </row>
    <row r="2419" spans="1:13" ht="14.25" customHeight="true">
      <c r="A2419" s="33" t="str">
        <f t="shared" si="148"/>
        <v>LPI - Intercompany</v>
      </c>
      <c r="B2419" s="33" t="str">
        <f t="shared" si="149"/>
        <v>LPI</v>
      </c>
      <c r="C2419" s="33" t="str">
        <f t="shared" si="150"/>
        <v>11310-0000</v>
      </c>
      <c r="D2419" t="s">
        <v>22484</v>
      </c>
      <c r="E2419" t="s">
        <v>13231</v>
      </c>
      <c r="F2419" t="s">
        <v>14039</v>
      </c>
      <c r="G2419" t="s">
        <v>14672</v>
      </c>
      <c r="H2419" t="s">
        <v>13869</v>
      </c>
      <c r="I2419" t="s">
        <v>14690</v>
      </c>
      <c r="J2419" s="62">
        <v>0</v>
      </c>
      <c r="K2419" s="62">
        <v>0</v>
      </c>
      <c r="L2419" t="str">
        <f>VLOOKUP(VALUE(LEFT(C2419,5)),Xref!A:B,2,0)</f>
        <v>ALP</v>
      </c>
      <c r="M2419" t="str">
        <f t="shared" si="151"/>
        <v>ALP-LPI</v>
      </c>
    </row>
    <row r="2420" spans="1:13" ht="14.25" customHeight="true">
      <c r="A2420" s="33" t="str">
        <f t="shared" si="148"/>
        <v>LPI - Intercompany</v>
      </c>
      <c r="B2420" s="33" t="str">
        <f t="shared" si="149"/>
        <v>LPI</v>
      </c>
      <c r="C2420" s="33" t="str">
        <f t="shared" si="150"/>
        <v>11311-0000</v>
      </c>
      <c r="D2420" t="s">
        <v>22485</v>
      </c>
      <c r="E2420" t="s">
        <v>13232</v>
      </c>
      <c r="F2420" t="s">
        <v>14039</v>
      </c>
      <c r="G2420" t="s">
        <v>14672</v>
      </c>
      <c r="H2420" t="s">
        <v>13869</v>
      </c>
      <c r="I2420" t="s">
        <v>14690</v>
      </c>
      <c r="J2420" s="62">
        <v>0</v>
      </c>
      <c r="K2420" s="62">
        <v>-1000</v>
      </c>
      <c r="L2420" t="str">
        <f>VLOOKUP(VALUE(LEFT(C2420,5)),Xref!A:B,2,0)</f>
        <v>BET</v>
      </c>
      <c r="M2420" t="str">
        <f t="shared" si="151"/>
        <v>BET-LPI</v>
      </c>
    </row>
    <row r="2421" spans="1:13" ht="14.25" customHeight="true">
      <c r="A2421" s="33" t="str">
        <f t="shared" si="148"/>
        <v>LPI - Intercompany</v>
      </c>
      <c r="B2421" s="33" t="str">
        <f t="shared" si="149"/>
        <v>LPI</v>
      </c>
      <c r="C2421" s="33" t="str">
        <f t="shared" si="150"/>
        <v>11312-0000</v>
      </c>
      <c r="D2421" t="s">
        <v>22486</v>
      </c>
      <c r="E2421" t="s">
        <v>14102</v>
      </c>
      <c r="F2421" t="s">
        <v>14039</v>
      </c>
      <c r="G2421" t="s">
        <v>14672</v>
      </c>
      <c r="H2421" t="s">
        <v>13869</v>
      </c>
      <c r="I2421" t="s">
        <v>14690</v>
      </c>
      <c r="J2421" s="62">
        <v>0</v>
      </c>
      <c r="K2421" s="62">
        <v>0</v>
      </c>
      <c r="L2421" t="str">
        <f>VLOOKUP(VALUE(LEFT(C2421,5)),Xref!A:B,2,0)</f>
        <v>DEL</v>
      </c>
      <c r="M2421" t="str">
        <f t="shared" si="151"/>
        <v>DEL-LPI</v>
      </c>
    </row>
    <row r="2422" spans="1:13" ht="14.25" customHeight="true">
      <c r="A2422" s="33" t="str">
        <f t="shared" si="148"/>
        <v>LPI - Intercompany</v>
      </c>
      <c r="B2422" s="33" t="str">
        <f t="shared" si="149"/>
        <v>LPI</v>
      </c>
      <c r="C2422" s="33" t="str">
        <f t="shared" si="150"/>
        <v>11313-0000</v>
      </c>
      <c r="D2422" t="s">
        <v>22487</v>
      </c>
      <c r="E2422" t="s">
        <v>13233</v>
      </c>
      <c r="F2422" t="s">
        <v>14039</v>
      </c>
      <c r="G2422" t="s">
        <v>14672</v>
      </c>
      <c r="H2422" t="s">
        <v>13869</v>
      </c>
      <c r="I2422" t="s">
        <v>14690</v>
      </c>
      <c r="J2422" s="62">
        <v>0</v>
      </c>
      <c r="K2422" s="62">
        <v>0</v>
      </c>
      <c r="L2422" t="str">
        <f>VLOOKUP(VALUE(LEFT(C2422,5)),Xref!A:B,2,0)</f>
        <v>DOL</v>
      </c>
      <c r="M2422" t="str">
        <f t="shared" si="151"/>
        <v>DOL-LPI</v>
      </c>
    </row>
    <row r="2423" spans="1:13" ht="14.25" customHeight="true">
      <c r="A2423" s="33" t="str">
        <f t="shared" si="148"/>
        <v>LPI - Intercompany</v>
      </c>
      <c r="B2423" s="33" t="str">
        <f t="shared" si="149"/>
        <v>LPI</v>
      </c>
      <c r="C2423" s="33" t="str">
        <f t="shared" si="150"/>
        <v>11314-0000</v>
      </c>
      <c r="D2423" t="s">
        <v>22488</v>
      </c>
      <c r="E2423" t="s">
        <v>13351</v>
      </c>
      <c r="F2423" t="s">
        <v>14039</v>
      </c>
      <c r="G2423" t="s">
        <v>14672</v>
      </c>
      <c r="H2423" t="s">
        <v>13869</v>
      </c>
      <c r="I2423" t="s">
        <v>14690</v>
      </c>
      <c r="J2423" s="62">
        <v>0</v>
      </c>
      <c r="K2423" s="62">
        <v>0</v>
      </c>
      <c r="L2423" t="str">
        <f>VLOOKUP(VALUE(LEFT(C2423,5)),Xref!A:B,2,0)</f>
        <v>GRI</v>
      </c>
      <c r="M2423" t="str">
        <f t="shared" si="151"/>
        <v>GRI-LPI</v>
      </c>
    </row>
    <row r="2424" spans="1:13" ht="14.25" customHeight="true">
      <c r="A2424" s="33" t="str">
        <f t="shared" si="148"/>
        <v>LPI - Intercompany</v>
      </c>
      <c r="B2424" s="33" t="str">
        <f t="shared" si="149"/>
        <v>LPI</v>
      </c>
      <c r="C2424" s="33" t="str">
        <f t="shared" si="150"/>
        <v>11315-0000</v>
      </c>
      <c r="D2424" t="s">
        <v>22489</v>
      </c>
      <c r="E2424" t="s">
        <v>13234</v>
      </c>
      <c r="F2424" t="s">
        <v>14039</v>
      </c>
      <c r="G2424" t="s">
        <v>14672</v>
      </c>
      <c r="H2424" t="s">
        <v>13869</v>
      </c>
      <c r="I2424" t="s">
        <v>14690</v>
      </c>
      <c r="J2424" s="62">
        <v>0</v>
      </c>
      <c r="K2424" s="62">
        <v>0</v>
      </c>
      <c r="L2424" t="str">
        <f>VLOOKUP(VALUE(LEFT(C2424,5)),Xref!A:B,2,0)</f>
        <v>PUR</v>
      </c>
      <c r="M2424" t="str">
        <f t="shared" si="151"/>
        <v>LPI-PUR</v>
      </c>
    </row>
    <row r="2425" spans="1:13" ht="14.25" customHeight="true">
      <c r="A2425" s="33" t="str">
        <f t="shared" si="148"/>
        <v>LPI - Intercompany</v>
      </c>
      <c r="B2425" s="33" t="str">
        <f t="shared" si="149"/>
        <v>LPI</v>
      </c>
      <c r="C2425" s="33" t="str">
        <f t="shared" si="150"/>
        <v>11316-0000</v>
      </c>
      <c r="D2425" t="s">
        <v>22490</v>
      </c>
      <c r="E2425" t="s">
        <v>13235</v>
      </c>
      <c r="F2425" t="s">
        <v>14039</v>
      </c>
      <c r="G2425" t="s">
        <v>14672</v>
      </c>
      <c r="H2425" t="s">
        <v>13869</v>
      </c>
      <c r="I2425" t="s">
        <v>14690</v>
      </c>
      <c r="J2425" s="62">
        <v>0</v>
      </c>
      <c r="K2425" s="62">
        <v>0</v>
      </c>
      <c r="L2425" t="str">
        <f>VLOOKUP(VALUE(LEFT(C2425,5)),Xref!A:B,2,0)</f>
        <v>VAL</v>
      </c>
      <c r="M2425" t="str">
        <f t="shared" si="151"/>
        <v>LPI-VAL</v>
      </c>
    </row>
    <row r="2426" spans="1:13" ht="14.25" customHeight="true">
      <c r="A2426" s="33" t="str">
        <f t="shared" si="148"/>
        <v>LPI - Intercompany</v>
      </c>
      <c r="B2426" s="33" t="str">
        <f t="shared" si="149"/>
        <v>LPI</v>
      </c>
      <c r="C2426" s="33" t="str">
        <f t="shared" si="150"/>
        <v>11317-0000</v>
      </c>
      <c r="D2426" t="s">
        <v>22491</v>
      </c>
      <c r="E2426" t="s">
        <v>13352</v>
      </c>
      <c r="F2426" t="s">
        <v>14039</v>
      </c>
      <c r="G2426" t="s">
        <v>14672</v>
      </c>
      <c r="H2426" t="s">
        <v>13869</v>
      </c>
      <c r="I2426" t="s">
        <v>14690</v>
      </c>
      <c r="J2426" s="62">
        <v>0</v>
      </c>
      <c r="K2426" s="62">
        <v>0</v>
      </c>
      <c r="L2426" t="str">
        <f>VLOOKUP(VALUE(LEFT(C2426,5)),Xref!A:B,2,0)</f>
        <v>AKG</v>
      </c>
      <c r="M2426" t="str">
        <f t="shared" si="151"/>
        <v>AKG-LPI</v>
      </c>
    </row>
    <row r="2427" spans="1:13" ht="14.25" customHeight="true">
      <c r="A2427" s="33" t="str">
        <f t="shared" si="148"/>
        <v>LPI - Intercompany</v>
      </c>
      <c r="B2427" s="33" t="str">
        <f t="shared" si="149"/>
        <v>LPI</v>
      </c>
      <c r="C2427" s="33" t="str">
        <f t="shared" si="150"/>
        <v>11318-0000</v>
      </c>
      <c r="D2427" t="s">
        <v>22492</v>
      </c>
      <c r="E2427" t="s">
        <v>13477</v>
      </c>
      <c r="F2427" t="s">
        <v>14039</v>
      </c>
      <c r="G2427" t="s">
        <v>14672</v>
      </c>
      <c r="H2427" t="s">
        <v>13869</v>
      </c>
      <c r="I2427" t="s">
        <v>14690</v>
      </c>
      <c r="J2427" s="62">
        <v>0</v>
      </c>
      <c r="K2427" s="62">
        <v>0</v>
      </c>
      <c r="L2427" t="str">
        <f>VLOOKUP(VALUE(LEFT(C2427,5)),Xref!A:B,2,0)</f>
        <v>FIR</v>
      </c>
      <c r="M2427" t="str">
        <f t="shared" si="151"/>
        <v>FIR-LPI</v>
      </c>
    </row>
    <row r="2428" spans="1:13" ht="14.25" customHeight="true">
      <c r="A2428" s="33" t="str">
        <f t="shared" si="148"/>
        <v>LPI - Intercompany</v>
      </c>
      <c r="B2428" s="33" t="str">
        <f t="shared" si="149"/>
        <v>LPI</v>
      </c>
      <c r="C2428" s="33" t="str">
        <f t="shared" si="150"/>
        <v>11319-0000</v>
      </c>
      <c r="D2428" t="s">
        <v>22493</v>
      </c>
      <c r="E2428" t="s">
        <v>266</v>
      </c>
      <c r="F2428" t="s">
        <v>14039</v>
      </c>
      <c r="G2428" t="s">
        <v>14672</v>
      </c>
      <c r="H2428" t="s">
        <v>13869</v>
      </c>
      <c r="I2428" t="s">
        <v>14690</v>
      </c>
      <c r="J2428" s="62">
        <v>0</v>
      </c>
      <c r="K2428" s="62">
        <v>0</v>
      </c>
      <c r="L2428" t="str">
        <f>VLOOKUP(VALUE(LEFT(C2428,5)),Xref!A:B,2,0)</f>
        <v>GST</v>
      </c>
      <c r="M2428" t="str">
        <f t="shared" si="151"/>
        <v>GST-LPI</v>
      </c>
    </row>
    <row r="2429" spans="1:13" ht="14.25" customHeight="true">
      <c r="A2429" s="33" t="str">
        <f t="shared" si="148"/>
        <v>LPI - Intercompany</v>
      </c>
      <c r="B2429" s="33" t="str">
        <f t="shared" si="149"/>
        <v>LPI</v>
      </c>
      <c r="C2429" s="33" t="str">
        <f t="shared" si="150"/>
        <v>11320-0000</v>
      </c>
      <c r="D2429" t="s">
        <v>22494</v>
      </c>
      <c r="E2429" t="s">
        <v>14111</v>
      </c>
      <c r="F2429" t="s">
        <v>14039</v>
      </c>
      <c r="G2429" t="s">
        <v>14672</v>
      </c>
      <c r="H2429" t="s">
        <v>13869</v>
      </c>
      <c r="I2429" t="s">
        <v>14690</v>
      </c>
      <c r="J2429" s="62">
        <v>0</v>
      </c>
      <c r="K2429" s="62">
        <v>0</v>
      </c>
      <c r="L2429" t="str">
        <f>VLOOKUP(VALUE(LEFT(C2429,5)),Xref!A:B,2,0)</f>
        <v>HDN</v>
      </c>
      <c r="M2429" t="str">
        <f t="shared" si="151"/>
        <v>HDN-LPI</v>
      </c>
    </row>
    <row r="2430" spans="1:13" ht="14.25" customHeight="true">
      <c r="A2430" s="33" t="str">
        <f t="shared" si="148"/>
        <v>LPI - Intercompany</v>
      </c>
      <c r="B2430" s="33" t="str">
        <f t="shared" si="149"/>
        <v>LPI</v>
      </c>
      <c r="C2430" s="33" t="str">
        <f t="shared" si="150"/>
        <v>11321-0000</v>
      </c>
      <c r="D2430" t="s">
        <v>22495</v>
      </c>
      <c r="E2430" t="s">
        <v>13236</v>
      </c>
      <c r="F2430" t="s">
        <v>14039</v>
      </c>
      <c r="G2430" t="s">
        <v>14672</v>
      </c>
      <c r="H2430" t="s">
        <v>13869</v>
      </c>
      <c r="I2430" t="s">
        <v>14690</v>
      </c>
      <c r="J2430" s="62">
        <v>0</v>
      </c>
      <c r="K2430" s="62">
        <v>0</v>
      </c>
      <c r="L2430" t="str">
        <f>VLOOKUP(VALUE(LEFT(C2430,5)),Xref!A:B,2,0)</f>
        <v>OVA</v>
      </c>
      <c r="M2430" t="str">
        <f t="shared" si="151"/>
        <v>LPI-OVA</v>
      </c>
    </row>
    <row r="2431" spans="1:13" ht="14.25" customHeight="true">
      <c r="A2431" s="33" t="str">
        <f t="shared" si="148"/>
        <v>LPI - Intercompany</v>
      </c>
      <c r="B2431" s="33" t="str">
        <f t="shared" si="149"/>
        <v>LPI</v>
      </c>
      <c r="C2431" s="33" t="str">
        <f t="shared" si="150"/>
        <v>11322-0000</v>
      </c>
      <c r="D2431" t="s">
        <v>22496</v>
      </c>
      <c r="E2431" t="s">
        <v>13237</v>
      </c>
      <c r="F2431" t="s">
        <v>14039</v>
      </c>
      <c r="G2431" t="s">
        <v>14672</v>
      </c>
      <c r="H2431" t="s">
        <v>13869</v>
      </c>
      <c r="I2431" t="s">
        <v>14690</v>
      </c>
      <c r="J2431" s="62">
        <v>0</v>
      </c>
      <c r="K2431" s="62">
        <v>0</v>
      </c>
      <c r="L2431" t="str">
        <f>VLOOKUP(VALUE(LEFT(C2431,5)),Xref!A:B,2,0)</f>
        <v>WOO</v>
      </c>
      <c r="M2431" t="str">
        <f t="shared" si="151"/>
        <v>LPI-WOO</v>
      </c>
    </row>
    <row r="2432" spans="1:13" ht="14.25" customHeight="true">
      <c r="A2432" s="33" t="str">
        <f t="shared" si="148"/>
        <v>LPI - Intercompany</v>
      </c>
      <c r="B2432" s="33" t="str">
        <f t="shared" si="149"/>
        <v>LPI</v>
      </c>
      <c r="C2432" s="33" t="str">
        <f t="shared" si="150"/>
        <v>11323-0000</v>
      </c>
      <c r="D2432" t="s">
        <v>22497</v>
      </c>
      <c r="E2432" t="s">
        <v>13478</v>
      </c>
      <c r="F2432" t="s">
        <v>14039</v>
      </c>
      <c r="G2432" t="s">
        <v>14672</v>
      </c>
      <c r="H2432" t="s">
        <v>13869</v>
      </c>
      <c r="I2432" t="s">
        <v>14690</v>
      </c>
      <c r="J2432" s="62">
        <v>0</v>
      </c>
      <c r="K2432" s="62">
        <v>0</v>
      </c>
      <c r="L2432" t="str">
        <f>VLOOKUP(VALUE(LEFT(C2432,5)),Xref!A:B,2,0)</f>
        <v>SPI</v>
      </c>
      <c r="M2432" t="str">
        <f t="shared" si="151"/>
        <v>LPI-SPI</v>
      </c>
    </row>
    <row r="2433" spans="1:13" ht="14.25" customHeight="true">
      <c r="A2433" s="33" t="str">
        <f t="shared" si="148"/>
        <v>LPI - Intercompany</v>
      </c>
      <c r="B2433" s="33" t="str">
        <f t="shared" si="149"/>
        <v>LPI</v>
      </c>
      <c r="C2433" s="33" t="str">
        <f t="shared" si="150"/>
        <v>11324-0000</v>
      </c>
      <c r="D2433" t="s">
        <v>22498</v>
      </c>
      <c r="E2433" t="s">
        <v>13238</v>
      </c>
      <c r="F2433" t="s">
        <v>14039</v>
      </c>
      <c r="G2433" t="s">
        <v>14672</v>
      </c>
      <c r="H2433" t="s">
        <v>13869</v>
      </c>
      <c r="I2433" t="s">
        <v>14690</v>
      </c>
      <c r="J2433" s="62">
        <v>0</v>
      </c>
      <c r="K2433" s="62">
        <v>0</v>
      </c>
      <c r="L2433" t="str">
        <f>VLOOKUP(VALUE(LEFT(C2433,5)),Xref!A:B,2,0)</f>
        <v>NET</v>
      </c>
      <c r="M2433" t="str">
        <f t="shared" si="151"/>
        <v>LPI-NET</v>
      </c>
    </row>
    <row r="2434" spans="1:13" ht="14.25" customHeight="true">
      <c r="A2434" s="33" t="str">
        <f t="shared" ref="A2434:A2497" si="152">B2434&amp;" - "&amp;TRIM(H2434)</f>
        <v>LPI - Intercompany</v>
      </c>
      <c r="B2434" s="33" t="str">
        <f t="shared" ref="B2434:B2497" si="153">LEFT(D2434,3)</f>
        <v>LPI</v>
      </c>
      <c r="C2434" s="33" t="str">
        <f t="shared" ref="C2434:C2497" si="154">RIGHT(D2434,10)</f>
        <v>11325-0000</v>
      </c>
      <c r="D2434" t="s">
        <v>22499</v>
      </c>
      <c r="E2434" t="s">
        <v>13239</v>
      </c>
      <c r="F2434" t="s">
        <v>14039</v>
      </c>
      <c r="G2434" t="s">
        <v>14672</v>
      </c>
      <c r="H2434" t="s">
        <v>13869</v>
      </c>
      <c r="I2434" t="s">
        <v>14690</v>
      </c>
      <c r="J2434" s="62">
        <v>0</v>
      </c>
      <c r="K2434" s="62">
        <v>0</v>
      </c>
      <c r="L2434" t="str">
        <f>VLOOKUP(VALUE(LEFT(C2434,5)),Xref!A:B,2,0)</f>
        <v>DPI</v>
      </c>
      <c r="M2434" t="str">
        <f t="shared" ref="M2434:M2497" si="155">IF(B2434&lt;L2434,B2434&amp;"-"&amp;L2434,L2434&amp;"-"&amp;B2434)</f>
        <v>DPI-LPI</v>
      </c>
    </row>
    <row r="2435" spans="1:13" ht="14.25" customHeight="true">
      <c r="A2435" s="33" t="str">
        <f t="shared" si="152"/>
        <v>LPI - Intercompany</v>
      </c>
      <c r="B2435" s="33" t="str">
        <f t="shared" si="153"/>
        <v>LPI</v>
      </c>
      <c r="C2435" s="33" t="str">
        <f t="shared" si="154"/>
        <v>11326-0000</v>
      </c>
      <c r="D2435" t="s">
        <v>22500</v>
      </c>
      <c r="E2435" t="s">
        <v>13240</v>
      </c>
      <c r="F2435" t="s">
        <v>14039</v>
      </c>
      <c r="G2435" t="s">
        <v>14672</v>
      </c>
      <c r="H2435" t="s">
        <v>13869</v>
      </c>
      <c r="I2435" t="s">
        <v>14690</v>
      </c>
      <c r="J2435" s="62">
        <v>0</v>
      </c>
      <c r="K2435" s="62">
        <v>0</v>
      </c>
      <c r="L2435" t="str">
        <f>VLOOKUP(VALUE(LEFT(C2435,5)),Xref!A:B,2,0)</f>
        <v>SEK</v>
      </c>
      <c r="M2435" t="str">
        <f t="shared" si="155"/>
        <v>LPI-SEK</v>
      </c>
    </row>
    <row r="2436" spans="1:13" ht="14.25" customHeight="true">
      <c r="A2436" s="33" t="str">
        <f t="shared" si="152"/>
        <v>LPI - Intercompany</v>
      </c>
      <c r="B2436" s="33" t="str">
        <f t="shared" si="153"/>
        <v>LPI</v>
      </c>
      <c r="C2436" s="33" t="str">
        <f t="shared" si="154"/>
        <v>11327-0000</v>
      </c>
      <c r="D2436" t="s">
        <v>22501</v>
      </c>
      <c r="E2436" t="s">
        <v>14119</v>
      </c>
      <c r="F2436" t="s">
        <v>14039</v>
      </c>
      <c r="G2436" t="s">
        <v>14672</v>
      </c>
      <c r="H2436" t="s">
        <v>13869</v>
      </c>
      <c r="I2436" t="s">
        <v>14690</v>
      </c>
      <c r="J2436" s="62">
        <v>0</v>
      </c>
      <c r="K2436" s="62">
        <v>0</v>
      </c>
      <c r="L2436" t="str">
        <f>VLOOKUP(VALUE(LEFT(C2436,5)),Xref!A:B,2,0)</f>
        <v>CPI</v>
      </c>
      <c r="M2436" t="str">
        <f t="shared" si="155"/>
        <v>CPI-LPI</v>
      </c>
    </row>
    <row r="2437" spans="1:13" ht="14.25" customHeight="true">
      <c r="A2437" s="33" t="str">
        <f t="shared" si="152"/>
        <v>LPI - Intercompany</v>
      </c>
      <c r="B2437" s="33" t="str">
        <f t="shared" si="153"/>
        <v>LPI</v>
      </c>
      <c r="C2437" s="33" t="str">
        <f t="shared" si="154"/>
        <v>11328-0000</v>
      </c>
      <c r="D2437" t="s">
        <v>22502</v>
      </c>
      <c r="E2437" t="s">
        <v>13241</v>
      </c>
      <c r="F2437" t="s">
        <v>14039</v>
      </c>
      <c r="G2437" t="s">
        <v>14672</v>
      </c>
      <c r="H2437" t="s">
        <v>13869</v>
      </c>
      <c r="I2437" t="s">
        <v>14690</v>
      </c>
      <c r="J2437" s="62">
        <v>0</v>
      </c>
      <c r="K2437" s="62">
        <v>0</v>
      </c>
      <c r="L2437" t="str">
        <f>VLOOKUP(VALUE(LEFT(C2437,5)),Xref!A:B,2,0)</f>
        <v>LOM</v>
      </c>
      <c r="M2437" t="str">
        <f t="shared" si="155"/>
        <v>LOM-LPI</v>
      </c>
    </row>
    <row r="2438" spans="1:13" ht="14.25" customHeight="true">
      <c r="A2438" s="33" t="str">
        <f t="shared" si="152"/>
        <v>LPI - Intercompany</v>
      </c>
      <c r="B2438" s="33" t="str">
        <f t="shared" si="153"/>
        <v>LPI</v>
      </c>
      <c r="C2438" s="33" t="str">
        <f t="shared" si="154"/>
        <v>11329-0000</v>
      </c>
      <c r="D2438" t="s">
        <v>22503</v>
      </c>
      <c r="E2438" t="s">
        <v>13353</v>
      </c>
      <c r="F2438" t="s">
        <v>14039</v>
      </c>
      <c r="G2438" t="s">
        <v>14672</v>
      </c>
      <c r="H2438" t="s">
        <v>13869</v>
      </c>
      <c r="I2438" t="s">
        <v>14690</v>
      </c>
      <c r="J2438" s="62">
        <v>0</v>
      </c>
      <c r="K2438" s="62">
        <v>0</v>
      </c>
      <c r="L2438" t="str">
        <f>VLOOKUP(VALUE(LEFT(C2438,5)),Xref!A:B,2,0)</f>
        <v>AKS</v>
      </c>
      <c r="M2438" t="str">
        <f t="shared" si="155"/>
        <v>AKS-LPI</v>
      </c>
    </row>
    <row r="2439" spans="1:13" ht="14.25" customHeight="true">
      <c r="A2439" s="33" t="str">
        <f t="shared" si="152"/>
        <v>LPI - Intercompany</v>
      </c>
      <c r="B2439" s="33" t="str">
        <f t="shared" si="153"/>
        <v>LPI</v>
      </c>
      <c r="C2439" s="33" t="str">
        <f t="shared" si="154"/>
        <v>11330-0000</v>
      </c>
      <c r="D2439" t="s">
        <v>22504</v>
      </c>
      <c r="E2439" t="s">
        <v>13242</v>
      </c>
      <c r="F2439" t="s">
        <v>14039</v>
      </c>
      <c r="G2439" t="s">
        <v>14672</v>
      </c>
      <c r="H2439" t="s">
        <v>13869</v>
      </c>
      <c r="I2439" t="s">
        <v>14690</v>
      </c>
      <c r="J2439" s="62">
        <v>0</v>
      </c>
      <c r="K2439" s="62">
        <v>0</v>
      </c>
      <c r="L2439" t="str">
        <f>VLOOKUP(VALUE(LEFT(C2439,5)),Xref!A:B,2,0)</f>
        <v>MAR</v>
      </c>
      <c r="M2439" t="str">
        <f t="shared" si="155"/>
        <v>LPI-MAR</v>
      </c>
    </row>
    <row r="2440" spans="1:13" ht="14.25" customHeight="true">
      <c r="A2440" s="33" t="str">
        <f t="shared" si="152"/>
        <v>LPI - Intercompany</v>
      </c>
      <c r="B2440" s="33" t="str">
        <f t="shared" si="153"/>
        <v>LPI</v>
      </c>
      <c r="C2440" s="33" t="str">
        <f t="shared" si="154"/>
        <v>11331-0000</v>
      </c>
      <c r="D2440" t="s">
        <v>22505</v>
      </c>
      <c r="E2440" t="s">
        <v>13354</v>
      </c>
      <c r="F2440" t="s">
        <v>14039</v>
      </c>
      <c r="G2440" t="s">
        <v>14672</v>
      </c>
      <c r="H2440" t="s">
        <v>13869</v>
      </c>
      <c r="I2440" t="s">
        <v>14690</v>
      </c>
      <c r="J2440" s="62">
        <v>0</v>
      </c>
      <c r="K2440" s="62">
        <v>0</v>
      </c>
      <c r="L2440" t="str">
        <f>VLOOKUP(VALUE(LEFT(C2440,5)),Xref!A:B,2,0)</f>
        <v>WIL</v>
      </c>
      <c r="M2440" t="str">
        <f t="shared" si="155"/>
        <v>LPI-WIL</v>
      </c>
    </row>
    <row r="2441" spans="1:13" ht="14.25" customHeight="true">
      <c r="A2441" s="33" t="str">
        <f t="shared" si="152"/>
        <v>LPI - Intercompany</v>
      </c>
      <c r="B2441" s="33" t="str">
        <f t="shared" si="153"/>
        <v>LPI</v>
      </c>
      <c r="C2441" s="33" t="str">
        <f t="shared" si="154"/>
        <v>11332-0000</v>
      </c>
      <c r="D2441" t="s">
        <v>22506</v>
      </c>
      <c r="E2441" t="s">
        <v>13243</v>
      </c>
      <c r="F2441" t="s">
        <v>14039</v>
      </c>
      <c r="G2441" t="s">
        <v>14672</v>
      </c>
      <c r="H2441" t="s">
        <v>13869</v>
      </c>
      <c r="I2441" t="s">
        <v>14690</v>
      </c>
      <c r="J2441" s="62">
        <v>0</v>
      </c>
      <c r="K2441" s="62">
        <v>0</v>
      </c>
      <c r="L2441" t="str">
        <f>VLOOKUP(VALUE(LEFT(C2441,5)),Xref!A:B,2,0)</f>
        <v>STO</v>
      </c>
      <c r="M2441" t="str">
        <f t="shared" si="155"/>
        <v>LPI-STO</v>
      </c>
    </row>
    <row r="2442" spans="1:13" ht="14.25" customHeight="true">
      <c r="A2442" s="33" t="str">
        <f t="shared" si="152"/>
        <v>LPI - Intercompany</v>
      </c>
      <c r="B2442" s="33" t="str">
        <f t="shared" si="153"/>
        <v>LPI</v>
      </c>
      <c r="C2442" s="33" t="str">
        <f t="shared" si="154"/>
        <v>11333-0000</v>
      </c>
      <c r="D2442" t="s">
        <v>22507</v>
      </c>
      <c r="E2442" t="s">
        <v>13244</v>
      </c>
      <c r="F2442" t="s">
        <v>14039</v>
      </c>
      <c r="G2442" t="s">
        <v>14672</v>
      </c>
      <c r="H2442" t="s">
        <v>13869</v>
      </c>
      <c r="I2442" t="s">
        <v>14690</v>
      </c>
      <c r="J2442" s="62">
        <v>0</v>
      </c>
      <c r="K2442" s="62">
        <v>0</v>
      </c>
      <c r="L2442" t="str">
        <f>VLOOKUP(VALUE(LEFT(C2442,5)),Xref!A:B,2,0)</f>
        <v>ANG</v>
      </c>
      <c r="M2442" t="str">
        <f t="shared" si="155"/>
        <v>ANG-LPI</v>
      </c>
    </row>
    <row r="2443" spans="1:13" ht="14.25" customHeight="true">
      <c r="A2443" s="33" t="str">
        <f t="shared" si="152"/>
        <v>LPI - Intercompany</v>
      </c>
      <c r="B2443" s="33" t="str">
        <f t="shared" si="153"/>
        <v>LPI</v>
      </c>
      <c r="C2443" s="33" t="str">
        <f t="shared" si="154"/>
        <v>11334-0000</v>
      </c>
      <c r="D2443" t="s">
        <v>22508</v>
      </c>
      <c r="E2443" t="s">
        <v>13245</v>
      </c>
      <c r="F2443" t="s">
        <v>14039</v>
      </c>
      <c r="G2443" t="s">
        <v>14672</v>
      </c>
      <c r="H2443" t="s">
        <v>13869</v>
      </c>
      <c r="I2443" t="s">
        <v>14690</v>
      </c>
      <c r="J2443" s="62">
        <v>0</v>
      </c>
      <c r="K2443" s="62">
        <v>0</v>
      </c>
      <c r="L2443" t="str">
        <f>VLOOKUP(VALUE(LEFT(C2443,5)),Xref!A:B,2,0)</f>
        <v>BRU</v>
      </c>
      <c r="M2443" t="str">
        <f t="shared" si="155"/>
        <v>BRU-LPI</v>
      </c>
    </row>
    <row r="2444" spans="1:13" ht="14.25" customHeight="true">
      <c r="A2444" s="33" t="str">
        <f t="shared" si="152"/>
        <v>LPI - Intercompany</v>
      </c>
      <c r="B2444" s="33" t="str">
        <f t="shared" si="153"/>
        <v>LPI</v>
      </c>
      <c r="C2444" s="33" t="str">
        <f t="shared" si="154"/>
        <v>11335-0000</v>
      </c>
      <c r="D2444" t="s">
        <v>22509</v>
      </c>
      <c r="E2444" t="s">
        <v>13246</v>
      </c>
      <c r="F2444" t="s">
        <v>14039</v>
      </c>
      <c r="G2444" t="s">
        <v>14672</v>
      </c>
      <c r="H2444" t="s">
        <v>13869</v>
      </c>
      <c r="I2444" t="s">
        <v>14690</v>
      </c>
      <c r="J2444" s="62">
        <v>0</v>
      </c>
      <c r="K2444" s="62">
        <v>0</v>
      </c>
      <c r="L2444" t="str">
        <f>VLOOKUP(VALUE(LEFT(C2444,5)),Xref!A:B,2,0)</f>
        <v>VEN</v>
      </c>
      <c r="M2444" t="str">
        <f t="shared" si="155"/>
        <v>LPI-VEN</v>
      </c>
    </row>
    <row r="2445" spans="1:13" ht="14.25" customHeight="true">
      <c r="A2445" s="33" t="str">
        <f t="shared" si="152"/>
        <v>LPI - Intercompany</v>
      </c>
      <c r="B2445" s="33" t="str">
        <f t="shared" si="153"/>
        <v>LPI</v>
      </c>
      <c r="C2445" s="33" t="str">
        <f t="shared" si="154"/>
        <v>11336-0000</v>
      </c>
      <c r="D2445" t="s">
        <v>22510</v>
      </c>
      <c r="E2445" t="s">
        <v>13247</v>
      </c>
      <c r="F2445" t="s">
        <v>14039</v>
      </c>
      <c r="G2445" t="s">
        <v>14672</v>
      </c>
      <c r="H2445" t="s">
        <v>13869</v>
      </c>
      <c r="I2445" t="s">
        <v>14690</v>
      </c>
      <c r="J2445" s="62">
        <v>0</v>
      </c>
      <c r="K2445" s="62">
        <v>0</v>
      </c>
      <c r="L2445" t="str">
        <f>VLOOKUP(VALUE(LEFT(C2445,5)),Xref!A:B,2,0)</f>
        <v>SAT</v>
      </c>
      <c r="M2445" t="str">
        <f t="shared" si="155"/>
        <v>LPI-SAT</v>
      </c>
    </row>
    <row r="2446" spans="1:13" ht="14.25" customHeight="true">
      <c r="A2446" s="33" t="str">
        <f t="shared" si="152"/>
        <v>LPI - Intercompany</v>
      </c>
      <c r="B2446" s="33" t="str">
        <f t="shared" si="153"/>
        <v>LPI</v>
      </c>
      <c r="C2446" s="33" t="str">
        <f t="shared" si="154"/>
        <v>11337-0000</v>
      </c>
      <c r="D2446" t="s">
        <v>22511</v>
      </c>
      <c r="E2446" t="s">
        <v>13248</v>
      </c>
      <c r="F2446" t="s">
        <v>14039</v>
      </c>
      <c r="G2446" t="s">
        <v>14672</v>
      </c>
      <c r="H2446" t="s">
        <v>13869</v>
      </c>
      <c r="I2446" t="s">
        <v>14690</v>
      </c>
      <c r="J2446" s="62">
        <v>0</v>
      </c>
      <c r="K2446" s="62">
        <v>0</v>
      </c>
      <c r="L2446" t="str">
        <f>VLOOKUP(VALUE(LEFT(C2446,5)),Xref!A:B,2,0)</f>
        <v>NEP</v>
      </c>
      <c r="M2446" t="str">
        <f t="shared" si="155"/>
        <v>LPI-NEP</v>
      </c>
    </row>
    <row r="2447" spans="1:13" ht="14.25" customHeight="true">
      <c r="A2447" s="33" t="str">
        <f t="shared" si="152"/>
        <v>LPI - Intercompany</v>
      </c>
      <c r="B2447" s="33" t="str">
        <f t="shared" si="153"/>
        <v>LPI</v>
      </c>
      <c r="C2447" s="33" t="str">
        <f t="shared" si="154"/>
        <v>11338-0000</v>
      </c>
      <c r="D2447" t="s">
        <v>22512</v>
      </c>
      <c r="E2447" t="s">
        <v>14131</v>
      </c>
      <c r="F2447" t="s">
        <v>14039</v>
      </c>
      <c r="G2447" t="s">
        <v>14672</v>
      </c>
      <c r="H2447" t="s">
        <v>13869</v>
      </c>
      <c r="I2447" t="s">
        <v>14690</v>
      </c>
      <c r="J2447" s="62">
        <v>0</v>
      </c>
      <c r="K2447" s="62">
        <v>0</v>
      </c>
      <c r="L2447" t="str">
        <f>VLOOKUP(VALUE(LEFT(C2447,5)),Xref!A:B,2,0)</f>
        <v>JUP</v>
      </c>
      <c r="M2447" t="str">
        <f t="shared" si="155"/>
        <v>JUP-LPI</v>
      </c>
    </row>
    <row r="2448" spans="1:13" ht="14.25" customHeight="true">
      <c r="A2448" s="33" t="str">
        <f t="shared" si="152"/>
        <v>LPI - Intercompany</v>
      </c>
      <c r="B2448" s="33" t="str">
        <f t="shared" si="153"/>
        <v>LPI</v>
      </c>
      <c r="C2448" s="33" t="str">
        <f t="shared" si="154"/>
        <v>11339-0000</v>
      </c>
      <c r="D2448" t="s">
        <v>22513</v>
      </c>
      <c r="E2448" t="s">
        <v>14133</v>
      </c>
      <c r="F2448" t="s">
        <v>14039</v>
      </c>
      <c r="G2448" t="s">
        <v>14672</v>
      </c>
      <c r="H2448" t="s">
        <v>13869</v>
      </c>
      <c r="I2448" t="s">
        <v>14690</v>
      </c>
      <c r="J2448" s="62">
        <v>0</v>
      </c>
      <c r="K2448" s="62">
        <v>0</v>
      </c>
      <c r="L2448" t="str">
        <f>VLOOKUP(VALUE(LEFT(C2448,5)),Xref!A:B,2,0)</f>
        <v>WES</v>
      </c>
      <c r="M2448" t="str">
        <f t="shared" si="155"/>
        <v>LPI-WES</v>
      </c>
    </row>
    <row r="2449" spans="1:13" ht="14.25" customHeight="true">
      <c r="A2449" s="33" t="str">
        <f t="shared" si="152"/>
        <v>LPI - Intercompany</v>
      </c>
      <c r="B2449" s="33" t="str">
        <f t="shared" si="153"/>
        <v>LPI</v>
      </c>
      <c r="C2449" s="33" t="str">
        <f t="shared" si="154"/>
        <v>11340-0000</v>
      </c>
      <c r="D2449" t="s">
        <v>22514</v>
      </c>
      <c r="E2449" t="s">
        <v>14135</v>
      </c>
      <c r="F2449" t="s">
        <v>14039</v>
      </c>
      <c r="G2449" t="s">
        <v>14672</v>
      </c>
      <c r="H2449" t="s">
        <v>13869</v>
      </c>
      <c r="I2449" t="s">
        <v>14690</v>
      </c>
      <c r="J2449" s="62">
        <v>0</v>
      </c>
      <c r="K2449" s="62">
        <v>0</v>
      </c>
      <c r="L2449" t="str">
        <f>VLOOKUP(VALUE(LEFT(C2449,5)),Xref!A:B,2,0)</f>
        <v>LCP</v>
      </c>
      <c r="M2449" t="str">
        <f t="shared" si="155"/>
        <v>LCP-LPI</v>
      </c>
    </row>
    <row r="2450" spans="1:13" ht="14.25" customHeight="true">
      <c r="A2450" s="33" t="str">
        <f t="shared" si="152"/>
        <v>LPI - Intercompany</v>
      </c>
      <c r="B2450" s="33" t="str">
        <f t="shared" si="153"/>
        <v>LPI</v>
      </c>
      <c r="C2450" s="33" t="str">
        <f t="shared" si="154"/>
        <v>11341-0000</v>
      </c>
      <c r="D2450" t="s">
        <v>22515</v>
      </c>
      <c r="E2450" t="s">
        <v>13639</v>
      </c>
      <c r="F2450" t="s">
        <v>14039</v>
      </c>
      <c r="G2450" t="s">
        <v>14672</v>
      </c>
      <c r="H2450" t="s">
        <v>13869</v>
      </c>
      <c r="I2450" t="s">
        <v>14690</v>
      </c>
      <c r="J2450" s="62">
        <v>0</v>
      </c>
      <c r="K2450" s="62">
        <v>0</v>
      </c>
      <c r="L2450" t="str">
        <f>VLOOKUP(VALUE(LEFT(C2450,5)),Xref!A:B,2,0)</f>
        <v>NOR</v>
      </c>
      <c r="M2450" t="str">
        <f t="shared" si="155"/>
        <v>LPI-NOR</v>
      </c>
    </row>
    <row r="2451" spans="1:13" ht="14.25" customHeight="true">
      <c r="A2451" s="33" t="str">
        <f t="shared" si="152"/>
        <v>LPI - Intercompany</v>
      </c>
      <c r="B2451" s="33" t="str">
        <f t="shared" si="153"/>
        <v>LPI</v>
      </c>
      <c r="C2451" s="33" t="str">
        <f t="shared" si="154"/>
        <v>11342-0000</v>
      </c>
      <c r="D2451" t="s">
        <v>22516</v>
      </c>
      <c r="E2451" t="s">
        <v>13355</v>
      </c>
      <c r="F2451" t="s">
        <v>14039</v>
      </c>
      <c r="G2451" t="s">
        <v>14672</v>
      </c>
      <c r="H2451" t="s">
        <v>13869</v>
      </c>
      <c r="I2451" t="s">
        <v>14690</v>
      </c>
      <c r="J2451" s="62">
        <v>0</v>
      </c>
      <c r="K2451" s="62">
        <v>0</v>
      </c>
      <c r="L2451" t="str">
        <f>VLOOKUP(VALUE(LEFT(C2451,5)),Xref!A:B,2,0)</f>
        <v>EAS</v>
      </c>
      <c r="M2451" t="str">
        <f t="shared" si="155"/>
        <v>EAS-LPI</v>
      </c>
    </row>
    <row r="2452" spans="1:13" ht="14.25" customHeight="true">
      <c r="A2452" s="33" t="str">
        <f t="shared" si="152"/>
        <v>LPI - Intercompany</v>
      </c>
      <c r="B2452" s="33" t="str">
        <f t="shared" si="153"/>
        <v>LPI</v>
      </c>
      <c r="C2452" s="33" t="str">
        <f t="shared" si="154"/>
        <v>11343-0000</v>
      </c>
      <c r="D2452" t="s">
        <v>22517</v>
      </c>
      <c r="E2452" t="s">
        <v>14139</v>
      </c>
      <c r="F2452" t="s">
        <v>14039</v>
      </c>
      <c r="G2452" t="s">
        <v>14672</v>
      </c>
      <c r="H2452" t="s">
        <v>13869</v>
      </c>
      <c r="I2452" t="s">
        <v>14690</v>
      </c>
      <c r="J2452" s="62">
        <v>0</v>
      </c>
      <c r="K2452" s="62">
        <v>0</v>
      </c>
      <c r="L2452" t="str">
        <f>VLOOKUP(VALUE(LEFT(C2452,5)),Xref!A:B,2,0)</f>
        <v>GRA</v>
      </c>
      <c r="M2452" t="str">
        <f t="shared" si="155"/>
        <v>GRA-LPI</v>
      </c>
    </row>
    <row r="2453" spans="1:13" ht="14.25" customHeight="true">
      <c r="A2453" s="33" t="str">
        <f t="shared" si="152"/>
        <v>LPI - Intercompany</v>
      </c>
      <c r="B2453" s="33" t="str">
        <f t="shared" si="153"/>
        <v>LPI</v>
      </c>
      <c r="C2453" s="33" t="str">
        <f t="shared" si="154"/>
        <v>11344-0000</v>
      </c>
      <c r="D2453" t="s">
        <v>22518</v>
      </c>
      <c r="E2453" t="s">
        <v>14141</v>
      </c>
      <c r="F2453" t="s">
        <v>14039</v>
      </c>
      <c r="G2453" t="s">
        <v>14672</v>
      </c>
      <c r="H2453" t="s">
        <v>13869</v>
      </c>
      <c r="I2453" t="s">
        <v>14690</v>
      </c>
      <c r="J2453" s="62">
        <v>0</v>
      </c>
      <c r="K2453" s="62">
        <v>0</v>
      </c>
      <c r="L2453" t="str">
        <f>VLOOKUP(VALUE(LEFT(C2453,5)),Xref!A:B,2,0)</f>
        <v>SOU</v>
      </c>
      <c r="M2453" t="str">
        <f t="shared" si="155"/>
        <v>LPI-SOU</v>
      </c>
    </row>
    <row r="2454" spans="1:13" ht="14.25" customHeight="true">
      <c r="A2454" s="33" t="str">
        <f t="shared" si="152"/>
        <v>LPI - Intercompany</v>
      </c>
      <c r="B2454" s="33" t="str">
        <f t="shared" si="153"/>
        <v>LPI</v>
      </c>
      <c r="C2454" s="33" t="str">
        <f t="shared" si="154"/>
        <v>11345-0000</v>
      </c>
      <c r="D2454" t="s">
        <v>22519</v>
      </c>
      <c r="E2454" t="s">
        <v>14143</v>
      </c>
      <c r="F2454" t="s">
        <v>14039</v>
      </c>
      <c r="G2454" t="s">
        <v>14672</v>
      </c>
      <c r="H2454" t="s">
        <v>13869</v>
      </c>
      <c r="I2454" t="s">
        <v>14690</v>
      </c>
      <c r="J2454" s="62">
        <v>0</v>
      </c>
      <c r="K2454" s="62">
        <v>0</v>
      </c>
      <c r="L2454" t="str">
        <f>VLOOKUP(VALUE(LEFT(C2454,5)),Xref!A:B,2,0)</f>
        <v>API</v>
      </c>
      <c r="M2454" t="str">
        <f t="shared" si="155"/>
        <v>API-LPI</v>
      </c>
    </row>
    <row r="2455" spans="1:13" ht="14.25" customHeight="true">
      <c r="A2455" s="33" t="str">
        <f t="shared" si="152"/>
        <v>LPI - Intercompany</v>
      </c>
      <c r="B2455" s="33" t="str">
        <f t="shared" si="153"/>
        <v>LPI</v>
      </c>
      <c r="C2455" s="33" t="str">
        <f t="shared" si="154"/>
        <v>11346-0000</v>
      </c>
      <c r="D2455" t="s">
        <v>22520</v>
      </c>
      <c r="E2455" t="s">
        <v>14145</v>
      </c>
      <c r="F2455" t="s">
        <v>14039</v>
      </c>
      <c r="G2455" t="s">
        <v>14672</v>
      </c>
      <c r="H2455" t="s">
        <v>13869</v>
      </c>
      <c r="I2455" t="s">
        <v>14690</v>
      </c>
      <c r="J2455" s="62">
        <v>0</v>
      </c>
      <c r="K2455" s="62">
        <v>0</v>
      </c>
      <c r="L2455" t="str">
        <f>VLOOKUP(VALUE(LEFT(C2455,5)),Xref!A:B,2,0)</f>
        <v>DPH</v>
      </c>
      <c r="M2455" t="str">
        <f t="shared" si="155"/>
        <v>DPH-LPI</v>
      </c>
    </row>
    <row r="2456" spans="1:13" ht="14.25" customHeight="true">
      <c r="A2456" s="33" t="str">
        <f t="shared" si="152"/>
        <v>LPI - Intercompany</v>
      </c>
      <c r="B2456" s="33" t="str">
        <f t="shared" si="153"/>
        <v>LPI</v>
      </c>
      <c r="C2456" s="33" t="str">
        <f t="shared" si="154"/>
        <v>11347-0000</v>
      </c>
      <c r="D2456" t="s">
        <v>22521</v>
      </c>
      <c r="E2456" t="s">
        <v>14147</v>
      </c>
      <c r="F2456" t="s">
        <v>14039</v>
      </c>
      <c r="G2456" t="s">
        <v>14672</v>
      </c>
      <c r="H2456" t="s">
        <v>13869</v>
      </c>
      <c r="I2456" t="s">
        <v>14690</v>
      </c>
      <c r="J2456" s="62">
        <v>0</v>
      </c>
      <c r="K2456" s="62">
        <v>0</v>
      </c>
      <c r="L2456" t="str">
        <f>VLOOKUP(VALUE(LEFT(C2456,5)),Xref!A:B,2,0)</f>
        <v>ZPI</v>
      </c>
      <c r="M2456" t="str">
        <f t="shared" si="155"/>
        <v>LPI-ZPI</v>
      </c>
    </row>
    <row r="2457" spans="1:13" ht="14.25" customHeight="true">
      <c r="A2457" s="33" t="str">
        <f t="shared" si="152"/>
        <v>LPI - Intercompany</v>
      </c>
      <c r="B2457" s="33" t="str">
        <f t="shared" si="153"/>
        <v>LPI</v>
      </c>
      <c r="C2457" s="33" t="str">
        <f t="shared" si="154"/>
        <v>11348-0000</v>
      </c>
      <c r="D2457" t="s">
        <v>22522</v>
      </c>
      <c r="E2457" t="s">
        <v>14149</v>
      </c>
      <c r="F2457" t="s">
        <v>14039</v>
      </c>
      <c r="G2457" t="s">
        <v>14672</v>
      </c>
      <c r="H2457" t="s">
        <v>13869</v>
      </c>
      <c r="I2457" t="s">
        <v>14690</v>
      </c>
      <c r="J2457" s="62">
        <v>0</v>
      </c>
      <c r="K2457" s="62">
        <v>0</v>
      </c>
      <c r="L2457" t="str">
        <f>VLOOKUP(VALUE(LEFT(C2457,5)),Xref!A:B,2,0)</f>
        <v>EAM</v>
      </c>
      <c r="M2457" t="str">
        <f t="shared" si="155"/>
        <v>EAM-LPI</v>
      </c>
    </row>
    <row r="2458" spans="1:13" ht="14.25" customHeight="true">
      <c r="A2458" s="33" t="str">
        <f t="shared" si="152"/>
        <v>LPI - Intercompany</v>
      </c>
      <c r="B2458" s="33" t="str">
        <f t="shared" si="153"/>
        <v>LPI</v>
      </c>
      <c r="C2458" s="33" t="str">
        <f t="shared" si="154"/>
        <v>11349-0000</v>
      </c>
      <c r="D2458" t="s">
        <v>22523</v>
      </c>
      <c r="E2458" t="s">
        <v>14151</v>
      </c>
      <c r="F2458" t="s">
        <v>14039</v>
      </c>
      <c r="G2458" t="s">
        <v>14672</v>
      </c>
      <c r="H2458" t="s">
        <v>13869</v>
      </c>
      <c r="I2458" t="s">
        <v>14690</v>
      </c>
      <c r="J2458" s="62">
        <v>0</v>
      </c>
      <c r="K2458" s="62">
        <v>0</v>
      </c>
      <c r="L2458" t="str">
        <f>VLOOKUP(VALUE(LEFT(C2458,5)),Xref!A:B,2,0)</f>
        <v>SEA</v>
      </c>
      <c r="M2458" t="str">
        <f t="shared" si="155"/>
        <v>LPI-SEA</v>
      </c>
    </row>
    <row r="2459" spans="1:13" ht="14.25" customHeight="true">
      <c r="A2459" s="33" t="str">
        <f t="shared" si="152"/>
        <v>LPI - Intercompany</v>
      </c>
      <c r="B2459" s="33" t="str">
        <f t="shared" si="153"/>
        <v>LPI</v>
      </c>
      <c r="C2459" s="33" t="str">
        <f t="shared" si="154"/>
        <v>11350-0000</v>
      </c>
      <c r="D2459" t="s">
        <v>22524</v>
      </c>
      <c r="E2459" t="s">
        <v>14153</v>
      </c>
      <c r="F2459" t="s">
        <v>14039</v>
      </c>
      <c r="G2459" t="s">
        <v>14672</v>
      </c>
      <c r="H2459" t="s">
        <v>13869</v>
      </c>
      <c r="I2459" t="s">
        <v>14690</v>
      </c>
      <c r="J2459" s="62">
        <v>0</v>
      </c>
      <c r="K2459" s="62">
        <v>-0.51</v>
      </c>
      <c r="L2459" t="str">
        <f>VLOOKUP(VALUE(LEFT(C2459,5)),Xref!A:B,2,0)</f>
        <v>EAL</v>
      </c>
      <c r="M2459" t="str">
        <f t="shared" si="155"/>
        <v>EAL-LPI</v>
      </c>
    </row>
    <row r="2460" spans="1:13" ht="14.25" customHeight="true">
      <c r="A2460" s="33" t="str">
        <f t="shared" si="152"/>
        <v>LPI - Intercompany</v>
      </c>
      <c r="B2460" s="33" t="str">
        <f t="shared" si="153"/>
        <v>LPI</v>
      </c>
      <c r="C2460" s="33" t="str">
        <f t="shared" si="154"/>
        <v>11351-0000</v>
      </c>
      <c r="D2460" t="s">
        <v>22525</v>
      </c>
      <c r="E2460" t="s">
        <v>14155</v>
      </c>
      <c r="F2460" t="s">
        <v>14039</v>
      </c>
      <c r="G2460" t="s">
        <v>14672</v>
      </c>
      <c r="H2460" t="s">
        <v>13869</v>
      </c>
      <c r="I2460" t="s">
        <v>14690</v>
      </c>
      <c r="J2460" s="62">
        <v>0</v>
      </c>
      <c r="K2460" s="62">
        <v>0</v>
      </c>
      <c r="L2460" t="str">
        <f>VLOOKUP(VALUE(LEFT(C2460,5)),Xref!A:B,2,0)</f>
        <v>WEP</v>
      </c>
      <c r="M2460" t="str">
        <f t="shared" si="155"/>
        <v>LPI-WEP</v>
      </c>
    </row>
    <row r="2461" spans="1:13" ht="14.25" customHeight="true">
      <c r="A2461" s="33" t="str">
        <f t="shared" si="152"/>
        <v>LPI - Intercompany</v>
      </c>
      <c r="B2461" s="33" t="str">
        <f t="shared" si="153"/>
        <v>LPI</v>
      </c>
      <c r="C2461" s="33" t="str">
        <f t="shared" si="154"/>
        <v>11352-0000</v>
      </c>
      <c r="D2461" t="s">
        <v>22526</v>
      </c>
      <c r="E2461" t="s">
        <v>13536</v>
      </c>
      <c r="F2461" t="s">
        <v>14039</v>
      </c>
      <c r="G2461" t="s">
        <v>14672</v>
      </c>
      <c r="H2461" t="s">
        <v>13869</v>
      </c>
      <c r="I2461" t="s">
        <v>14690</v>
      </c>
      <c r="J2461" s="62">
        <v>0</v>
      </c>
      <c r="K2461" s="62">
        <v>0</v>
      </c>
      <c r="L2461" t="str">
        <f>VLOOKUP(VALUE(LEFT(C2461,5)),Xref!A:B,2,0)</f>
        <v>KLP</v>
      </c>
      <c r="M2461" t="str">
        <f t="shared" si="155"/>
        <v>KLP-LPI</v>
      </c>
    </row>
    <row r="2462" spans="1:13" ht="14.25" customHeight="true">
      <c r="A2462" s="33" t="str">
        <f t="shared" si="152"/>
        <v>LPI - Intercompany</v>
      </c>
      <c r="B2462" s="33" t="str">
        <f t="shared" si="153"/>
        <v>LPI</v>
      </c>
      <c r="C2462" s="33" t="str">
        <f t="shared" si="154"/>
        <v>11353-0000</v>
      </c>
      <c r="D2462" t="s">
        <v>22527</v>
      </c>
      <c r="E2462" t="s">
        <v>13537</v>
      </c>
      <c r="F2462" t="s">
        <v>14039</v>
      </c>
      <c r="G2462" t="s">
        <v>14672</v>
      </c>
      <c r="H2462" t="s">
        <v>13869</v>
      </c>
      <c r="I2462" t="s">
        <v>14690</v>
      </c>
      <c r="J2462" s="62">
        <v>0</v>
      </c>
      <c r="K2462" s="62">
        <v>0</v>
      </c>
      <c r="L2462" t="str">
        <f>VLOOKUP(VALUE(LEFT(C2462,5)),Xref!A:B,2,0)</f>
        <v>AKC</v>
      </c>
      <c r="M2462" t="str">
        <f t="shared" si="155"/>
        <v>AKC-LPI</v>
      </c>
    </row>
    <row r="2463" spans="1:13" ht="14.25" customHeight="true">
      <c r="A2463" s="33" t="str">
        <f t="shared" si="152"/>
        <v>LPI - Intercompany</v>
      </c>
      <c r="B2463" s="33" t="str">
        <f t="shared" si="153"/>
        <v>LPI</v>
      </c>
      <c r="C2463" s="33" t="str">
        <f t="shared" si="154"/>
        <v>11354-0000</v>
      </c>
      <c r="D2463" t="s">
        <v>22528</v>
      </c>
      <c r="E2463" t="s">
        <v>13538</v>
      </c>
      <c r="F2463" t="s">
        <v>14039</v>
      </c>
      <c r="G2463" t="s">
        <v>14672</v>
      </c>
      <c r="H2463" t="s">
        <v>13869</v>
      </c>
      <c r="I2463" t="s">
        <v>14690</v>
      </c>
      <c r="J2463" s="62">
        <v>0</v>
      </c>
      <c r="K2463" s="62">
        <v>0</v>
      </c>
      <c r="L2463" t="str">
        <f>VLOOKUP(VALUE(LEFT(C2463,5)),Xref!A:B,2,0)</f>
        <v>AKA</v>
      </c>
      <c r="M2463" t="str">
        <f t="shared" si="155"/>
        <v>AKA-LPI</v>
      </c>
    </row>
    <row r="2464" spans="1:13" ht="14.25" customHeight="true">
      <c r="A2464" s="33" t="str">
        <f t="shared" si="152"/>
        <v>LPI - Intercompany</v>
      </c>
      <c r="B2464" s="33" t="str">
        <f t="shared" si="153"/>
        <v>LPI</v>
      </c>
      <c r="C2464" s="33" t="str">
        <f t="shared" si="154"/>
        <v>11355-0000</v>
      </c>
      <c r="D2464" t="s">
        <v>22529</v>
      </c>
      <c r="E2464" t="s">
        <v>13539</v>
      </c>
      <c r="F2464" t="s">
        <v>14039</v>
      </c>
      <c r="G2464" t="s">
        <v>14672</v>
      </c>
      <c r="H2464" t="s">
        <v>13869</v>
      </c>
      <c r="I2464" t="s">
        <v>14690</v>
      </c>
      <c r="J2464" s="62">
        <v>0</v>
      </c>
      <c r="K2464" s="62">
        <v>0</v>
      </c>
      <c r="L2464" t="str">
        <f>VLOOKUP(VALUE(LEFT(C2464,5)),Xref!A:B,2,0)</f>
        <v>SPA</v>
      </c>
      <c r="M2464" t="str">
        <f t="shared" si="155"/>
        <v>LPI-SPA</v>
      </c>
    </row>
    <row r="2465" spans="1:13" ht="14.25" customHeight="true">
      <c r="A2465" s="33" t="str">
        <f t="shared" si="152"/>
        <v>LPI - Intercompany</v>
      </c>
      <c r="B2465" s="33" t="str">
        <f t="shared" si="153"/>
        <v>LPI</v>
      </c>
      <c r="C2465" s="33" t="str">
        <f t="shared" si="154"/>
        <v>11356-0000</v>
      </c>
      <c r="D2465" t="s">
        <v>22530</v>
      </c>
      <c r="E2465" t="s">
        <v>13540</v>
      </c>
      <c r="F2465" t="s">
        <v>14039</v>
      </c>
      <c r="G2465" t="s">
        <v>14672</v>
      </c>
      <c r="H2465" t="s">
        <v>13869</v>
      </c>
      <c r="I2465" t="s">
        <v>14690</v>
      </c>
      <c r="J2465" s="62">
        <v>0</v>
      </c>
      <c r="K2465" s="62">
        <v>0</v>
      </c>
      <c r="L2465" t="str">
        <f>VLOOKUP(VALUE(LEFT(C2465,5)),Xref!A:B,2,0)</f>
        <v>DPM</v>
      </c>
      <c r="M2465" t="str">
        <f t="shared" si="155"/>
        <v>DPM-LPI</v>
      </c>
    </row>
    <row r="2466" spans="1:13" ht="14.25" customHeight="true">
      <c r="A2466" s="33" t="str">
        <f t="shared" si="152"/>
        <v>LPI - Intercompany</v>
      </c>
      <c r="B2466" s="33" t="str">
        <f t="shared" si="153"/>
        <v>LPI</v>
      </c>
      <c r="C2466" s="33" t="str">
        <f t="shared" si="154"/>
        <v>11357-0000</v>
      </c>
      <c r="D2466" t="s">
        <v>22531</v>
      </c>
      <c r="E2466" t="s">
        <v>13541</v>
      </c>
      <c r="F2466" t="s">
        <v>14039</v>
      </c>
      <c r="G2466" t="s">
        <v>14672</v>
      </c>
      <c r="H2466" t="s">
        <v>13869</v>
      </c>
      <c r="I2466" t="s">
        <v>14690</v>
      </c>
      <c r="J2466" s="62">
        <v>0</v>
      </c>
      <c r="K2466" s="62">
        <v>0</v>
      </c>
      <c r="L2466" t="str">
        <f>VLOOKUP(VALUE(LEFT(C2466,5)),Xref!A:B,2,0)</f>
        <v>HDM</v>
      </c>
      <c r="M2466" t="str">
        <f t="shared" si="155"/>
        <v>HDM-LPI</v>
      </c>
    </row>
    <row r="2467" spans="1:13" ht="14.25" customHeight="true">
      <c r="A2467" s="33" t="str">
        <f t="shared" si="152"/>
        <v>LPI - Intercompany</v>
      </c>
      <c r="B2467" s="33" t="str">
        <f t="shared" si="153"/>
        <v>LPI</v>
      </c>
      <c r="C2467" s="33" t="str">
        <f t="shared" si="154"/>
        <v>11358-0000</v>
      </c>
      <c r="D2467" t="s">
        <v>22532</v>
      </c>
      <c r="E2467" t="s">
        <v>13542</v>
      </c>
      <c r="F2467" t="s">
        <v>14039</v>
      </c>
      <c r="G2467" t="s">
        <v>14672</v>
      </c>
      <c r="H2467" t="s">
        <v>13869</v>
      </c>
      <c r="I2467" t="s">
        <v>14690</v>
      </c>
      <c r="J2467" s="62">
        <v>0</v>
      </c>
      <c r="K2467" s="62">
        <v>0</v>
      </c>
      <c r="L2467" t="str">
        <f>VLOOKUP(VALUE(LEFT(C2467,5)),Xref!A:B,2,0)</f>
        <v>GRA</v>
      </c>
      <c r="M2467" t="str">
        <f t="shared" si="155"/>
        <v>GRA-LPI</v>
      </c>
    </row>
    <row r="2468" spans="1:13" ht="14.25" customHeight="true">
      <c r="A2468" s="33" t="str">
        <f t="shared" si="152"/>
        <v>LPI - Intercompany</v>
      </c>
      <c r="B2468" s="33" t="str">
        <f t="shared" si="153"/>
        <v>LPI</v>
      </c>
      <c r="C2468" s="33" t="str">
        <f t="shared" si="154"/>
        <v>11359-0000</v>
      </c>
      <c r="D2468" t="s">
        <v>22533</v>
      </c>
      <c r="E2468" t="s">
        <v>13543</v>
      </c>
      <c r="F2468" t="s">
        <v>14039</v>
      </c>
      <c r="G2468" t="s">
        <v>14672</v>
      </c>
      <c r="H2468" t="s">
        <v>13869</v>
      </c>
      <c r="I2468" t="s">
        <v>14690</v>
      </c>
      <c r="J2468" s="62">
        <v>0</v>
      </c>
      <c r="K2468" s="62">
        <v>0</v>
      </c>
      <c r="L2468" t="str">
        <f>VLOOKUP(VALUE(LEFT(C2468,5)),Xref!A:B,2,0)</f>
        <v>TPI</v>
      </c>
      <c r="M2468" t="str">
        <f t="shared" si="155"/>
        <v>LPI-TPI</v>
      </c>
    </row>
    <row r="2469" spans="1:13" ht="14.25" customHeight="true">
      <c r="A2469" s="33" t="str">
        <f t="shared" si="152"/>
        <v>LPI - Intercompany</v>
      </c>
      <c r="B2469" s="33" t="str">
        <f t="shared" si="153"/>
        <v>LPI</v>
      </c>
      <c r="C2469" s="33" t="str">
        <f t="shared" si="154"/>
        <v>11361-0000</v>
      </c>
      <c r="D2469" t="s">
        <v>22534</v>
      </c>
      <c r="E2469" t="s">
        <v>14165</v>
      </c>
      <c r="F2469" t="s">
        <v>14039</v>
      </c>
      <c r="G2469" t="s">
        <v>14672</v>
      </c>
      <c r="H2469" t="s">
        <v>13869</v>
      </c>
      <c r="I2469" t="s">
        <v>14690</v>
      </c>
      <c r="J2469" s="62">
        <v>0</v>
      </c>
      <c r="K2469" s="62">
        <v>0</v>
      </c>
      <c r="L2469" t="str">
        <f>VLOOKUP(VALUE(LEFT(C2469,5)),Xref!A:B,2,0)</f>
        <v>GSM</v>
      </c>
      <c r="M2469" t="str">
        <f t="shared" si="155"/>
        <v>GSM-LPI</v>
      </c>
    </row>
    <row r="2470" spans="1:13" ht="14.25" customHeight="true">
      <c r="A2470" s="33" t="str">
        <f t="shared" si="152"/>
        <v>LPI - Intercompany</v>
      </c>
      <c r="B2470" s="33" t="str">
        <f t="shared" si="153"/>
        <v>LPI</v>
      </c>
      <c r="C2470" s="33" t="str">
        <f t="shared" si="154"/>
        <v>11363-0000</v>
      </c>
      <c r="D2470" t="s">
        <v>22535</v>
      </c>
      <c r="E2470" t="s">
        <v>13544</v>
      </c>
      <c r="F2470" t="s">
        <v>14039</v>
      </c>
      <c r="G2470" t="s">
        <v>14672</v>
      </c>
      <c r="H2470" t="s">
        <v>13869</v>
      </c>
      <c r="I2470" t="s">
        <v>14690</v>
      </c>
      <c r="J2470" s="62">
        <v>0</v>
      </c>
      <c r="K2470" s="62">
        <v>0</v>
      </c>
      <c r="L2470" t="str">
        <f>VLOOKUP(VALUE(LEFT(C2470,5)),Xref!A:B,2,0)</f>
        <v>SOF</v>
      </c>
      <c r="M2470" t="str">
        <f t="shared" si="155"/>
        <v>LPI-SOF</v>
      </c>
    </row>
    <row r="2471" spans="1:13" ht="14.25" customHeight="true">
      <c r="A2471" s="33" t="str">
        <f t="shared" si="152"/>
        <v>LPI - Intercompany</v>
      </c>
      <c r="B2471" s="33" t="str">
        <f t="shared" si="153"/>
        <v>LPI</v>
      </c>
      <c r="C2471" s="33" t="str">
        <f t="shared" si="154"/>
        <v>11364-0000</v>
      </c>
      <c r="D2471" t="s">
        <v>22536</v>
      </c>
      <c r="E2471" t="s">
        <v>14168</v>
      </c>
      <c r="F2471" t="s">
        <v>14039</v>
      </c>
      <c r="G2471" t="s">
        <v>14672</v>
      </c>
      <c r="H2471" t="s">
        <v>13869</v>
      </c>
      <c r="I2471" t="s">
        <v>14690</v>
      </c>
      <c r="J2471" s="62">
        <v>0</v>
      </c>
      <c r="K2471" s="62">
        <v>0</v>
      </c>
      <c r="L2471" t="e">
        <f>VLOOKUP(VALUE(LEFT(C2471,5)),Xref!A:B,2,0)</f>
        <v>#N/A</v>
      </c>
      <c r="M2471" t="e">
        <f t="shared" si="155"/>
        <v>#N/A</v>
      </c>
    </row>
    <row r="2472" spans="1:13" ht="14.25" customHeight="true">
      <c r="A2472" s="33" t="str">
        <f t="shared" si="152"/>
        <v>LPI - Intercompany</v>
      </c>
      <c r="B2472" s="33" t="str">
        <f t="shared" si="153"/>
        <v>LPI</v>
      </c>
      <c r="C2472" s="33" t="str">
        <f t="shared" si="154"/>
        <v>11365-0000</v>
      </c>
      <c r="D2472" t="s">
        <v>22537</v>
      </c>
      <c r="E2472" t="s">
        <v>14170</v>
      </c>
      <c r="F2472" t="s">
        <v>14039</v>
      </c>
      <c r="G2472" t="s">
        <v>14672</v>
      </c>
      <c r="H2472" t="s">
        <v>13869</v>
      </c>
      <c r="I2472" t="s">
        <v>14690</v>
      </c>
      <c r="J2472" s="62">
        <v>0</v>
      </c>
      <c r="K2472" s="62">
        <v>0</v>
      </c>
      <c r="L2472" t="e">
        <f>VLOOKUP(VALUE(LEFT(C2472,5)),Xref!A:B,2,0)</f>
        <v>#N/A</v>
      </c>
      <c r="M2472" t="e">
        <f t="shared" si="155"/>
        <v>#N/A</v>
      </c>
    </row>
    <row r="2473" spans="1:13" ht="14.25" customHeight="true">
      <c r="A2473" s="33" t="str">
        <f t="shared" si="152"/>
        <v>LPI - Intercompany</v>
      </c>
      <c r="B2473" s="33" t="str">
        <f t="shared" si="153"/>
        <v>LPI</v>
      </c>
      <c r="C2473" s="33" t="str">
        <f t="shared" si="154"/>
        <v>11366-0000</v>
      </c>
      <c r="D2473" t="s">
        <v>22538</v>
      </c>
      <c r="E2473" t="s">
        <v>14172</v>
      </c>
      <c r="G2473" t="s">
        <v>14672</v>
      </c>
      <c r="H2473" t="s">
        <v>13869</v>
      </c>
      <c r="I2473" t="s">
        <v>14690</v>
      </c>
      <c r="J2473" s="62">
        <v>0</v>
      </c>
      <c r="K2473" s="62">
        <v>0</v>
      </c>
      <c r="L2473" t="e">
        <f>VLOOKUP(VALUE(LEFT(C2473,5)),Xref!A:B,2,0)</f>
        <v>#N/A</v>
      </c>
      <c r="M2473" t="e">
        <f t="shared" si="155"/>
        <v>#N/A</v>
      </c>
    </row>
    <row r="2474" spans="1:13" ht="14.25" customHeight="true">
      <c r="A2474" s="33" t="str">
        <f t="shared" si="152"/>
        <v>LPI - Intercompany</v>
      </c>
      <c r="B2474" s="33" t="str">
        <f t="shared" si="153"/>
        <v>LPI</v>
      </c>
      <c r="C2474" s="33" t="str">
        <f t="shared" si="154"/>
        <v>11402-0000</v>
      </c>
      <c r="D2474" t="s">
        <v>22539</v>
      </c>
      <c r="E2474" t="s">
        <v>14174</v>
      </c>
      <c r="G2474" t="s">
        <v>14672</v>
      </c>
      <c r="H2474" t="s">
        <v>13869</v>
      </c>
      <c r="I2474" t="s">
        <v>14690</v>
      </c>
      <c r="J2474" s="62">
        <v>0</v>
      </c>
      <c r="K2474" s="62">
        <v>0</v>
      </c>
      <c r="L2474" t="str">
        <f>VLOOKUP(VALUE(LEFT(C2474,5)),Xref!A:B,2,0)</f>
        <v>DPI</v>
      </c>
      <c r="M2474" t="str">
        <f t="shared" si="155"/>
        <v>DPI-LPI</v>
      </c>
    </row>
    <row r="2475" spans="1:13" ht="14.25" customHeight="true">
      <c r="A2475" s="33" t="str">
        <f t="shared" si="152"/>
        <v>LPI - Intercompany</v>
      </c>
      <c r="B2475" s="33" t="str">
        <f t="shared" si="153"/>
        <v>LPI</v>
      </c>
      <c r="C2475" s="33" t="str">
        <f t="shared" si="154"/>
        <v>11403-0000</v>
      </c>
      <c r="D2475" t="s">
        <v>22540</v>
      </c>
      <c r="E2475" t="s">
        <v>14176</v>
      </c>
      <c r="G2475" t="s">
        <v>14672</v>
      </c>
      <c r="H2475" t="s">
        <v>13869</v>
      </c>
      <c r="I2475" t="s">
        <v>14690</v>
      </c>
      <c r="J2475" s="62">
        <v>0</v>
      </c>
      <c r="K2475" s="62">
        <v>0</v>
      </c>
      <c r="L2475" t="str">
        <f>VLOOKUP(VALUE(LEFT(C2475,5)),Xref!A:B,2,0)</f>
        <v>SEA</v>
      </c>
      <c r="M2475" t="str">
        <f t="shared" si="155"/>
        <v>LPI-SEA</v>
      </c>
    </row>
    <row r="2476" spans="1:13" ht="14.25" customHeight="true">
      <c r="A2476" s="33" t="str">
        <f t="shared" si="152"/>
        <v>LPI - Intercompany</v>
      </c>
      <c r="B2476" s="33" t="str">
        <f t="shared" si="153"/>
        <v>LPI</v>
      </c>
      <c r="C2476" s="33" t="str">
        <f t="shared" si="154"/>
        <v>12400-0000</v>
      </c>
      <c r="D2476" t="s">
        <v>22543</v>
      </c>
      <c r="E2476" t="s">
        <v>14185</v>
      </c>
      <c r="F2476" t="s">
        <v>14039</v>
      </c>
      <c r="G2476" t="s">
        <v>14672</v>
      </c>
      <c r="H2476" t="s">
        <v>13869</v>
      </c>
      <c r="I2476" t="s">
        <v>14690</v>
      </c>
      <c r="J2476" s="62">
        <v>0</v>
      </c>
      <c r="K2476" s="62">
        <v>0</v>
      </c>
      <c r="L2476" t="str">
        <f>VLOOKUP(VALUE(LEFT(C2476,5)),Xref!A:B,2,0)</f>
        <v>aka</v>
      </c>
      <c r="M2476" t="str">
        <f t="shared" si="155"/>
        <v>aka-LPI</v>
      </c>
    </row>
    <row r="2477" spans="1:13" ht="14.25" customHeight="true">
      <c r="A2477" s="33" t="str">
        <f t="shared" si="152"/>
        <v>LPI - Intercompany</v>
      </c>
      <c r="B2477" s="33" t="str">
        <f t="shared" si="153"/>
        <v>LPI</v>
      </c>
      <c r="C2477" s="33" t="str">
        <f t="shared" si="154"/>
        <v>12401-0000</v>
      </c>
      <c r="D2477" t="s">
        <v>22544</v>
      </c>
      <c r="E2477" t="s">
        <v>14187</v>
      </c>
      <c r="F2477" t="s">
        <v>14039</v>
      </c>
      <c r="G2477" t="s">
        <v>14672</v>
      </c>
      <c r="H2477" t="s">
        <v>13869</v>
      </c>
      <c r="I2477" t="s">
        <v>14690</v>
      </c>
      <c r="J2477" s="62">
        <v>0</v>
      </c>
      <c r="K2477" s="62">
        <v>0</v>
      </c>
      <c r="L2477" t="str">
        <f>VLOOKUP(VALUE(LEFT(C2477,5)),Xref!A:B,2,0)</f>
        <v>aka</v>
      </c>
      <c r="M2477" t="str">
        <f t="shared" si="155"/>
        <v>aka-LPI</v>
      </c>
    </row>
    <row r="2478" spans="1:13" ht="14.25" customHeight="true">
      <c r="A2478" s="33" t="str">
        <f t="shared" si="152"/>
        <v>LPI - Intercompany</v>
      </c>
      <c r="B2478" s="33" t="str">
        <f t="shared" si="153"/>
        <v>LPI</v>
      </c>
      <c r="C2478" s="33" t="str">
        <f t="shared" si="154"/>
        <v>12402-0000</v>
      </c>
      <c r="D2478" t="s">
        <v>22545</v>
      </c>
      <c r="E2478" t="s">
        <v>14189</v>
      </c>
      <c r="F2478" t="s">
        <v>14039</v>
      </c>
      <c r="G2478" t="s">
        <v>14672</v>
      </c>
      <c r="H2478" t="s">
        <v>13869</v>
      </c>
      <c r="I2478" t="s">
        <v>14690</v>
      </c>
      <c r="J2478" s="62">
        <v>0</v>
      </c>
      <c r="K2478" s="62">
        <v>5000</v>
      </c>
      <c r="L2478" t="str">
        <f>VLOOKUP(VALUE(LEFT(C2478,5)),Xref!A:B,2,0)</f>
        <v>aka</v>
      </c>
      <c r="M2478" t="str">
        <f t="shared" si="155"/>
        <v>aka-LPI</v>
      </c>
    </row>
    <row r="2479" spans="1:13" ht="14.25" customHeight="true">
      <c r="A2479" s="33" t="str">
        <f t="shared" si="152"/>
        <v>LPI - Intercompany</v>
      </c>
      <c r="B2479" s="33" t="str">
        <f t="shared" si="153"/>
        <v>LPI</v>
      </c>
      <c r="C2479" s="33" t="str">
        <f t="shared" si="154"/>
        <v>12403-0000</v>
      </c>
      <c r="D2479" t="s">
        <v>22546</v>
      </c>
      <c r="E2479" t="s">
        <v>5226</v>
      </c>
      <c r="F2479" t="s">
        <v>14039</v>
      </c>
      <c r="G2479" t="s">
        <v>14672</v>
      </c>
      <c r="H2479" t="s">
        <v>13869</v>
      </c>
      <c r="I2479" t="s">
        <v>14690</v>
      </c>
      <c r="J2479" s="62">
        <v>0</v>
      </c>
      <c r="K2479" s="62">
        <v>0</v>
      </c>
      <c r="L2479" t="str">
        <f>VLOOKUP(VALUE(LEFT(C2479,5)),Xref!A:B,2,0)</f>
        <v>aka</v>
      </c>
      <c r="M2479" t="str">
        <f t="shared" si="155"/>
        <v>aka-LPI</v>
      </c>
    </row>
    <row r="2480" spans="1:13" ht="14.25" customHeight="true">
      <c r="A2480" s="33" t="str">
        <f t="shared" si="152"/>
        <v>LPI - Intercompany</v>
      </c>
      <c r="B2480" s="33" t="str">
        <f t="shared" si="153"/>
        <v>LPI</v>
      </c>
      <c r="C2480" s="33" t="str">
        <f t="shared" si="154"/>
        <v>12501-0000</v>
      </c>
      <c r="D2480" t="s">
        <v>22547</v>
      </c>
      <c r="E2480" t="s">
        <v>14192</v>
      </c>
      <c r="F2480" t="s">
        <v>14039</v>
      </c>
      <c r="G2480" t="s">
        <v>14672</v>
      </c>
      <c r="H2480" t="s">
        <v>13869</v>
      </c>
      <c r="I2480" t="s">
        <v>14690</v>
      </c>
      <c r="J2480" s="62">
        <v>0</v>
      </c>
      <c r="K2480" s="62">
        <v>0</v>
      </c>
      <c r="L2480" t="str">
        <f>VLOOKUP(VALUE(LEFT(C2480,5)),Xref!A:B,2,0)</f>
        <v>aka</v>
      </c>
      <c r="M2480" t="str">
        <f t="shared" si="155"/>
        <v>aka-LPI</v>
      </c>
    </row>
    <row r="2481" spans="1:13" ht="14.25" customHeight="true">
      <c r="A2481" s="33" t="str">
        <f t="shared" si="152"/>
        <v>LPI - InterCo Notes</v>
      </c>
      <c r="B2481" s="33" t="str">
        <f t="shared" si="153"/>
        <v>LPI</v>
      </c>
      <c r="C2481" s="33" t="str">
        <f t="shared" si="154"/>
        <v>25600-0000</v>
      </c>
      <c r="D2481" t="s">
        <v>22600</v>
      </c>
      <c r="E2481" t="s">
        <v>314</v>
      </c>
      <c r="F2481" t="s">
        <v>14039</v>
      </c>
      <c r="G2481" t="s">
        <v>14672</v>
      </c>
      <c r="H2481" t="s">
        <v>13889</v>
      </c>
      <c r="I2481" t="s">
        <v>14690</v>
      </c>
      <c r="J2481" s="62">
        <v>0</v>
      </c>
      <c r="K2481" s="62">
        <v>0</v>
      </c>
      <c r="L2481" t="str">
        <f>VLOOKUP(VALUE(LEFT(C2481,5)),Xref!A:B,2,0)</f>
        <v>D7</v>
      </c>
      <c r="M2481" t="str">
        <f t="shared" si="155"/>
        <v>D7-LPI</v>
      </c>
    </row>
    <row r="2482" spans="1:13" ht="14.25" customHeight="true">
      <c r="A2482" s="33" t="str">
        <f t="shared" si="152"/>
        <v>LPI - InterCo Notes</v>
      </c>
      <c r="B2482" s="33" t="str">
        <f t="shared" si="153"/>
        <v>LPI</v>
      </c>
      <c r="C2482" s="33" t="str">
        <f t="shared" si="154"/>
        <v>25602-0000</v>
      </c>
      <c r="D2482" t="s">
        <v>22602</v>
      </c>
      <c r="E2482" t="s">
        <v>13426</v>
      </c>
      <c r="F2482" t="s">
        <v>14039</v>
      </c>
      <c r="G2482" t="s">
        <v>14672</v>
      </c>
      <c r="H2482" t="s">
        <v>13889</v>
      </c>
      <c r="I2482" t="s">
        <v>14690</v>
      </c>
      <c r="J2482" s="62">
        <v>0</v>
      </c>
      <c r="K2482" s="62">
        <v>0</v>
      </c>
      <c r="L2482" t="str">
        <f>VLOOKUP(VALUE(LEFT(C2482,5)),Xref!A:B,2,0)</f>
        <v>DFLP</v>
      </c>
      <c r="M2482" t="str">
        <f t="shared" si="155"/>
        <v>DFLP-LPI</v>
      </c>
    </row>
    <row r="2483" spans="1:13" ht="14.25" customHeight="true">
      <c r="A2483" s="33" t="str">
        <f t="shared" si="152"/>
        <v>LPI - InterCo Notes</v>
      </c>
      <c r="B2483" s="33" t="str">
        <f t="shared" si="153"/>
        <v>LPI</v>
      </c>
      <c r="C2483" s="33" t="str">
        <f t="shared" si="154"/>
        <v>25603-0000</v>
      </c>
      <c r="D2483" t="s">
        <v>22603</v>
      </c>
      <c r="E2483" t="s">
        <v>14311</v>
      </c>
      <c r="F2483" t="s">
        <v>14039</v>
      </c>
      <c r="G2483" t="s">
        <v>14832</v>
      </c>
      <c r="H2483" t="s">
        <v>13889</v>
      </c>
      <c r="I2483" t="s">
        <v>14690</v>
      </c>
      <c r="J2483" s="62">
        <v>0</v>
      </c>
      <c r="K2483" s="62">
        <v>0</v>
      </c>
      <c r="L2483" t="str">
        <f>VLOOKUP(VALUE(LEFT(C2483,5)),Xref!A:B,2,0)</f>
        <v>aka</v>
      </c>
      <c r="M2483" t="str">
        <f t="shared" si="155"/>
        <v>aka-LPI</v>
      </c>
    </row>
    <row r="2484" spans="1:13" ht="14.25" customHeight="true">
      <c r="A2484" s="33" t="str">
        <f t="shared" si="152"/>
        <v>LPI - Intercompany</v>
      </c>
      <c r="B2484" s="33" t="str">
        <f t="shared" si="153"/>
        <v>LPI</v>
      </c>
      <c r="C2484" s="33" t="str">
        <f t="shared" si="154"/>
        <v>25604-0000</v>
      </c>
      <c r="D2484" t="s">
        <v>22604</v>
      </c>
      <c r="E2484" t="s">
        <v>13490</v>
      </c>
      <c r="F2484" t="s">
        <v>14039</v>
      </c>
      <c r="G2484" t="s">
        <v>14672</v>
      </c>
      <c r="H2484" t="s">
        <v>13869</v>
      </c>
      <c r="I2484" t="s">
        <v>14690</v>
      </c>
      <c r="J2484" s="62">
        <v>0</v>
      </c>
      <c r="K2484" s="62">
        <v>0</v>
      </c>
      <c r="L2484">
        <f>VLOOKUP(VALUE(LEFT(C2484,5)),Xref!A:B,2,0)</f>
        <v>0</v>
      </c>
      <c r="M2484" t="str">
        <f t="shared" si="155"/>
        <v>0-LPI</v>
      </c>
    </row>
    <row r="2485" spans="1:13" ht="14.25" customHeight="true">
      <c r="A2485" s="33" t="str">
        <f t="shared" si="152"/>
        <v>LPI - Intercompany</v>
      </c>
      <c r="B2485" s="33" t="str">
        <f t="shared" si="153"/>
        <v>LPI</v>
      </c>
      <c r="C2485" s="33" t="str">
        <f t="shared" si="154"/>
        <v>11200-0000</v>
      </c>
      <c r="D2485" t="s">
        <v>22807</v>
      </c>
      <c r="E2485" t="s">
        <v>14069</v>
      </c>
      <c r="F2485" t="s">
        <v>14039</v>
      </c>
      <c r="G2485" t="s">
        <v>14672</v>
      </c>
      <c r="H2485" t="s">
        <v>13869</v>
      </c>
      <c r="I2485" t="s">
        <v>14690</v>
      </c>
      <c r="J2485" s="62">
        <v>0</v>
      </c>
      <c r="K2485" s="62">
        <v>0</v>
      </c>
      <c r="L2485" t="str">
        <f>VLOOKUP(VALUE(LEFT(C2485,5)),Xref!A:B,2,0)</f>
        <v>SCL</v>
      </c>
      <c r="M2485" t="str">
        <f t="shared" si="155"/>
        <v>LPI-SCL</v>
      </c>
    </row>
    <row r="2486" spans="1:13" ht="14.25" customHeight="true">
      <c r="A2486" s="33" t="str">
        <f t="shared" si="152"/>
        <v>LPI - Intercompany</v>
      </c>
      <c r="B2486" s="33" t="str">
        <f t="shared" si="153"/>
        <v>LPI</v>
      </c>
      <c r="C2486" s="33" t="str">
        <f t="shared" si="154"/>
        <v>11201-0000</v>
      </c>
      <c r="D2486" t="s">
        <v>22808</v>
      </c>
      <c r="E2486" t="s">
        <v>14071</v>
      </c>
      <c r="F2486" t="s">
        <v>14039</v>
      </c>
      <c r="G2486" t="s">
        <v>14672</v>
      </c>
      <c r="H2486" t="s">
        <v>13869</v>
      </c>
      <c r="I2486" t="s">
        <v>14690</v>
      </c>
      <c r="J2486" s="62">
        <v>0</v>
      </c>
      <c r="K2486" s="62">
        <v>0</v>
      </c>
      <c r="L2486" t="str">
        <f>VLOOKUP(VALUE(LEFT(C2486,5)),Xref!A:B,2,0)</f>
        <v>SG2</v>
      </c>
      <c r="M2486" t="str">
        <f t="shared" si="155"/>
        <v>LPI-SG2</v>
      </c>
    </row>
    <row r="2487" spans="1:13" ht="14.25" customHeight="true">
      <c r="A2487" s="33" t="str">
        <f t="shared" si="152"/>
        <v>LPI - Intercompany</v>
      </c>
      <c r="B2487" s="33" t="str">
        <f t="shared" si="153"/>
        <v>LPI</v>
      </c>
      <c r="C2487" s="33" t="str">
        <f t="shared" si="154"/>
        <v>11202-0000</v>
      </c>
      <c r="D2487" t="s">
        <v>22809</v>
      </c>
      <c r="E2487" t="s">
        <v>14073</v>
      </c>
      <c r="F2487" t="s">
        <v>14039</v>
      </c>
      <c r="G2487" t="s">
        <v>14672</v>
      </c>
      <c r="H2487" t="s">
        <v>13869</v>
      </c>
      <c r="I2487" t="s">
        <v>14690</v>
      </c>
      <c r="J2487" s="62">
        <v>0</v>
      </c>
      <c r="K2487" s="62">
        <v>0</v>
      </c>
      <c r="L2487" t="str">
        <f>VLOOKUP(VALUE(LEFT(C2487,5)),Xref!A:B,2,0)</f>
        <v>FFC</v>
      </c>
      <c r="M2487" t="str">
        <f t="shared" si="155"/>
        <v>FFC-LPI</v>
      </c>
    </row>
    <row r="2488" spans="1:13" ht="14.25" customHeight="true">
      <c r="A2488" s="33" t="str">
        <f t="shared" si="152"/>
        <v>LPI - Intercompany</v>
      </c>
      <c r="B2488" s="33" t="str">
        <f t="shared" si="153"/>
        <v>LPI</v>
      </c>
      <c r="C2488" s="33" t="str">
        <f t="shared" si="154"/>
        <v>11203-0000</v>
      </c>
      <c r="D2488" t="s">
        <v>22810</v>
      </c>
      <c r="E2488" t="s">
        <v>14075</v>
      </c>
      <c r="F2488" t="s">
        <v>14039</v>
      </c>
      <c r="G2488" t="s">
        <v>14672</v>
      </c>
      <c r="H2488" t="s">
        <v>13869</v>
      </c>
      <c r="I2488" t="s">
        <v>14690</v>
      </c>
      <c r="J2488" s="62">
        <v>0</v>
      </c>
      <c r="K2488" s="62">
        <v>0</v>
      </c>
      <c r="L2488" t="str">
        <f>VLOOKUP(VALUE(LEFT(C2488,5)),Xref!A:B,2,0)</f>
        <v>HN2</v>
      </c>
      <c r="M2488" t="str">
        <f t="shared" si="155"/>
        <v>HN2-LPI</v>
      </c>
    </row>
    <row r="2489" spans="1:13" ht="14.25" customHeight="true">
      <c r="A2489" s="33" t="str">
        <f t="shared" si="152"/>
        <v>LPI - Intercompany</v>
      </c>
      <c r="B2489" s="33" t="str">
        <f t="shared" si="153"/>
        <v>LPI</v>
      </c>
      <c r="C2489" s="33" t="str">
        <f t="shared" si="154"/>
        <v>11204-0000</v>
      </c>
      <c r="D2489" t="s">
        <v>22811</v>
      </c>
      <c r="E2489" t="s">
        <v>14077</v>
      </c>
      <c r="F2489" t="s">
        <v>14039</v>
      </c>
      <c r="G2489" t="s">
        <v>14672</v>
      </c>
      <c r="H2489" t="s">
        <v>13869</v>
      </c>
      <c r="I2489" t="s">
        <v>14690</v>
      </c>
      <c r="J2489" s="62">
        <v>0</v>
      </c>
      <c r="K2489" s="62">
        <v>0</v>
      </c>
      <c r="L2489" t="str">
        <f>VLOOKUP(VALUE(LEFT(C2489,5)),Xref!A:B,2,0)</f>
        <v>DF2</v>
      </c>
      <c r="M2489" t="str">
        <f t="shared" si="155"/>
        <v>DF2-LPI</v>
      </c>
    </row>
    <row r="2490" spans="1:13" ht="14.25" customHeight="true">
      <c r="A2490" s="33" t="str">
        <f t="shared" si="152"/>
        <v>LPI - Intercompany</v>
      </c>
      <c r="B2490" s="33" t="str">
        <f t="shared" si="153"/>
        <v>LPI</v>
      </c>
      <c r="C2490" s="33" t="str">
        <f t="shared" si="154"/>
        <v>11208-0000</v>
      </c>
      <c r="D2490" t="s">
        <v>22812</v>
      </c>
      <c r="E2490" t="s">
        <v>14079</v>
      </c>
      <c r="F2490" t="s">
        <v>14039</v>
      </c>
      <c r="G2490" t="s">
        <v>14672</v>
      </c>
      <c r="H2490" t="s">
        <v>13869</v>
      </c>
      <c r="I2490" t="s">
        <v>14690</v>
      </c>
      <c r="J2490" s="62">
        <v>0</v>
      </c>
      <c r="K2490" s="62">
        <v>0</v>
      </c>
      <c r="L2490" t="str">
        <f>VLOOKUP(VALUE(LEFT(C2490,5)),Xref!A:B,2,0)</f>
        <v>SRE</v>
      </c>
      <c r="M2490" t="str">
        <f t="shared" si="155"/>
        <v>LPI-SRE</v>
      </c>
    </row>
    <row r="2491" spans="1:13" ht="14.25" customHeight="true">
      <c r="A2491" s="33" t="str">
        <f t="shared" si="152"/>
        <v>LPI - Intercompany</v>
      </c>
      <c r="B2491" s="33" t="str">
        <f t="shared" si="153"/>
        <v>LPI</v>
      </c>
      <c r="C2491" s="33" t="str">
        <f t="shared" si="154"/>
        <v>11210-0000</v>
      </c>
      <c r="D2491" t="s">
        <v>22813</v>
      </c>
      <c r="E2491" t="s">
        <v>14081</v>
      </c>
      <c r="F2491" t="s">
        <v>14039</v>
      </c>
      <c r="G2491" t="s">
        <v>14672</v>
      </c>
      <c r="H2491" t="s">
        <v>13869</v>
      </c>
      <c r="I2491" t="s">
        <v>14690</v>
      </c>
      <c r="J2491" s="62">
        <v>0</v>
      </c>
      <c r="K2491" s="62">
        <v>0</v>
      </c>
      <c r="L2491" t="str">
        <f>VLOOKUP(VALUE(LEFT(C2491,5)),Xref!A:B,2,0)</f>
        <v>REM</v>
      </c>
      <c r="M2491" t="str">
        <f t="shared" si="155"/>
        <v>LPI-REM</v>
      </c>
    </row>
    <row r="2492" spans="1:13" ht="14.25" customHeight="true">
      <c r="A2492" s="33" t="str">
        <f t="shared" si="152"/>
        <v>LPI - Intercompany</v>
      </c>
      <c r="B2492" s="33" t="str">
        <f t="shared" si="153"/>
        <v>LPI</v>
      </c>
      <c r="C2492" s="33" t="str">
        <f t="shared" si="154"/>
        <v>11212-0000</v>
      </c>
      <c r="D2492" t="s">
        <v>22814</v>
      </c>
      <c r="E2492" t="s">
        <v>14083</v>
      </c>
      <c r="F2492" t="s">
        <v>14039</v>
      </c>
      <c r="G2492" t="s">
        <v>14672</v>
      </c>
      <c r="H2492" t="s">
        <v>13869</v>
      </c>
      <c r="I2492" t="s">
        <v>14690</v>
      </c>
      <c r="J2492" s="62">
        <v>0</v>
      </c>
      <c r="K2492" s="62">
        <v>0</v>
      </c>
      <c r="L2492" t="str">
        <f>VLOOKUP(VALUE(LEFT(C2492,5)),Xref!A:B,2,0)</f>
        <v>FRM</v>
      </c>
      <c r="M2492" t="str">
        <f t="shared" si="155"/>
        <v>FRM-LPI</v>
      </c>
    </row>
    <row r="2493" spans="1:13" ht="14.25" customHeight="true">
      <c r="A2493" s="33" t="str">
        <f t="shared" si="152"/>
        <v>LPI - Intercompany</v>
      </c>
      <c r="B2493" s="33" t="str">
        <f t="shared" si="153"/>
        <v>LPI</v>
      </c>
      <c r="C2493" s="33" t="str">
        <f t="shared" si="154"/>
        <v>11214-0000</v>
      </c>
      <c r="D2493" t="s">
        <v>22815</v>
      </c>
      <c r="E2493" t="s">
        <v>14085</v>
      </c>
      <c r="F2493" t="s">
        <v>14039</v>
      </c>
      <c r="G2493" t="s">
        <v>14672</v>
      </c>
      <c r="H2493" t="s">
        <v>13869</v>
      </c>
      <c r="I2493" t="s">
        <v>14690</v>
      </c>
      <c r="J2493" s="62">
        <v>0</v>
      </c>
      <c r="K2493" s="62">
        <v>-50000</v>
      </c>
      <c r="L2493" t="str">
        <f>VLOOKUP(VALUE(LEFT(C2493,5)),Xref!A:B,2,0)</f>
        <v>D7R</v>
      </c>
      <c r="M2493" t="str">
        <f t="shared" si="155"/>
        <v>D7R-LPI</v>
      </c>
    </row>
    <row r="2494" spans="1:13" ht="14.25" customHeight="true">
      <c r="A2494" s="33" t="str">
        <f t="shared" si="152"/>
        <v>LPI - Intercompany</v>
      </c>
      <c r="B2494" s="33" t="str">
        <f t="shared" si="153"/>
        <v>LPI</v>
      </c>
      <c r="C2494" s="33" t="str">
        <f t="shared" si="154"/>
        <v>11215-0000</v>
      </c>
      <c r="D2494" t="s">
        <v>22816</v>
      </c>
      <c r="E2494" t="s">
        <v>14087</v>
      </c>
      <c r="F2494" t="s">
        <v>14039</v>
      </c>
      <c r="G2494" t="s">
        <v>14672</v>
      </c>
      <c r="H2494" t="s">
        <v>13869</v>
      </c>
      <c r="I2494" t="s">
        <v>14690</v>
      </c>
      <c r="J2494" s="62">
        <v>0</v>
      </c>
      <c r="K2494" s="62">
        <v>0</v>
      </c>
      <c r="L2494" t="str">
        <f>VLOOKUP(VALUE(LEFT(C2494,5)),Xref!A:B,2,0)</f>
        <v>CDP</v>
      </c>
      <c r="M2494" t="str">
        <f t="shared" si="155"/>
        <v>CDP-LPI</v>
      </c>
    </row>
    <row r="2495" spans="1:13" ht="14.25" customHeight="true">
      <c r="A2495" s="33" t="str">
        <f t="shared" si="152"/>
        <v>LPI - Intercompany</v>
      </c>
      <c r="B2495" s="33" t="str">
        <f t="shared" si="153"/>
        <v>LPI</v>
      </c>
      <c r="C2495" s="33" t="str">
        <f t="shared" si="154"/>
        <v>11216-0000</v>
      </c>
      <c r="D2495" t="s">
        <v>22817</v>
      </c>
      <c r="E2495" t="s">
        <v>13224</v>
      </c>
      <c r="F2495" t="s">
        <v>14039</v>
      </c>
      <c r="G2495" t="s">
        <v>14672</v>
      </c>
      <c r="H2495" t="s">
        <v>13869</v>
      </c>
      <c r="I2495" t="s">
        <v>14690</v>
      </c>
      <c r="J2495" s="62">
        <v>-33.54</v>
      </c>
      <c r="K2495" s="62">
        <v>-13302.69</v>
      </c>
      <c r="L2495" t="str">
        <f>VLOOKUP(VALUE(LEFT(C2495,5)),Xref!A:B,2,0)</f>
        <v>SIL</v>
      </c>
      <c r="M2495" t="str">
        <f t="shared" si="155"/>
        <v>LPI-SIL</v>
      </c>
    </row>
    <row r="2496" spans="1:13" ht="14.25" customHeight="true">
      <c r="A2496" s="33" t="str">
        <f t="shared" si="152"/>
        <v>LPI - Intercompany</v>
      </c>
      <c r="B2496" s="33" t="str">
        <f t="shared" si="153"/>
        <v>LPI</v>
      </c>
      <c r="C2496" s="33" t="str">
        <f t="shared" si="154"/>
        <v>11232-0000</v>
      </c>
      <c r="D2496" t="s">
        <v>22818</v>
      </c>
      <c r="E2496" t="s">
        <v>12486</v>
      </c>
      <c r="F2496" t="s">
        <v>14039</v>
      </c>
      <c r="G2496" t="s">
        <v>14672</v>
      </c>
      <c r="H2496" t="s">
        <v>13869</v>
      </c>
      <c r="I2496" t="s">
        <v>14690</v>
      </c>
      <c r="J2496" s="62">
        <v>0</v>
      </c>
      <c r="K2496" s="62">
        <v>0</v>
      </c>
      <c r="L2496" t="str">
        <f>VLOOKUP(VALUE(LEFT(C2496,5)),Xref!A:B,2,0)</f>
        <v>SC2</v>
      </c>
      <c r="M2496" t="str">
        <f t="shared" si="155"/>
        <v>LPI-SC2</v>
      </c>
    </row>
    <row r="2497" spans="1:13" ht="14.25" customHeight="true">
      <c r="A2497" s="33" t="str">
        <f t="shared" si="152"/>
        <v>LPI - Intercompany</v>
      </c>
      <c r="B2497" s="33" t="str">
        <f t="shared" si="153"/>
        <v>LPI</v>
      </c>
      <c r="C2497" s="33" t="str">
        <f t="shared" si="154"/>
        <v>11301-0000</v>
      </c>
      <c r="D2497" t="s">
        <v>22819</v>
      </c>
      <c r="E2497" t="s">
        <v>13225</v>
      </c>
      <c r="F2497" t="s">
        <v>14039</v>
      </c>
      <c r="G2497" t="s">
        <v>14672</v>
      </c>
      <c r="H2497" t="s">
        <v>13869</v>
      </c>
      <c r="I2497" t="s">
        <v>14690</v>
      </c>
      <c r="J2497" s="62">
        <v>0</v>
      </c>
      <c r="K2497" s="62">
        <v>0</v>
      </c>
      <c r="L2497" t="str">
        <f>VLOOKUP(VALUE(LEFT(C2497,5)),Xref!A:B,2,0)</f>
        <v>CRE</v>
      </c>
      <c r="M2497" t="str">
        <f t="shared" si="155"/>
        <v>CRE-LPI</v>
      </c>
    </row>
    <row r="2498" spans="1:13" ht="14.25" customHeight="true">
      <c r="A2498" s="33" t="str">
        <f t="shared" ref="A2498:A2561" si="156">B2498&amp;" - "&amp;TRIM(H2498)</f>
        <v>LPI - Intercompany</v>
      </c>
      <c r="B2498" s="33" t="str">
        <f t="shared" ref="B2498:B2561" si="157">LEFT(D2498,3)</f>
        <v>LPI</v>
      </c>
      <c r="C2498" s="33" t="str">
        <f t="shared" ref="C2498:C2561" si="158">RIGHT(D2498,10)</f>
        <v>11302-0000</v>
      </c>
      <c r="D2498" t="s">
        <v>22820</v>
      </c>
      <c r="E2498" t="s">
        <v>13226</v>
      </c>
      <c r="F2498" t="s">
        <v>14039</v>
      </c>
      <c r="G2498" t="s">
        <v>14672</v>
      </c>
      <c r="H2498" t="s">
        <v>13869</v>
      </c>
      <c r="I2498" t="s">
        <v>14690</v>
      </c>
      <c r="J2498" s="62">
        <v>0</v>
      </c>
      <c r="K2498" s="62">
        <v>0</v>
      </c>
      <c r="L2498" t="str">
        <f>VLOOKUP(VALUE(LEFT(C2498,5)),Xref!A:B,2,0)</f>
        <v>CHA</v>
      </c>
      <c r="M2498" t="str">
        <f t="shared" ref="M2498:M2561" si="159">IF(B2498&lt;L2498,B2498&amp;"-"&amp;L2498,L2498&amp;"-"&amp;B2498)</f>
        <v>CHA-LPI</v>
      </c>
    </row>
    <row r="2499" spans="1:13" ht="14.25" customHeight="true">
      <c r="A2499" s="33" t="str">
        <f t="shared" si="156"/>
        <v>LPI - Intercompany</v>
      </c>
      <c r="B2499" s="33" t="str">
        <f t="shared" si="157"/>
        <v>LPI</v>
      </c>
      <c r="C2499" s="33" t="str">
        <f t="shared" si="158"/>
        <v>11303-0000</v>
      </c>
      <c r="D2499" t="s">
        <v>22821</v>
      </c>
      <c r="E2499" t="s">
        <v>13227</v>
      </c>
      <c r="F2499" t="s">
        <v>14039</v>
      </c>
      <c r="G2499" t="s">
        <v>14672</v>
      </c>
      <c r="H2499" t="s">
        <v>13869</v>
      </c>
      <c r="I2499" t="s">
        <v>14690</v>
      </c>
      <c r="J2499" s="62">
        <v>0</v>
      </c>
      <c r="K2499" s="62">
        <v>0</v>
      </c>
      <c r="L2499" t="str">
        <f>VLOOKUP(VALUE(LEFT(C2499,5)),Xref!A:B,2,0)</f>
        <v>DIA</v>
      </c>
      <c r="M2499" t="str">
        <f t="shared" si="159"/>
        <v>DIA-LPI</v>
      </c>
    </row>
    <row r="2500" spans="1:13" ht="14.25" customHeight="true">
      <c r="A2500" s="33" t="str">
        <f t="shared" si="156"/>
        <v>LPI - Intercompany</v>
      </c>
      <c r="B2500" s="33" t="str">
        <f t="shared" si="157"/>
        <v>LPI</v>
      </c>
      <c r="C2500" s="33" t="str">
        <f t="shared" si="158"/>
        <v>11304-0000</v>
      </c>
      <c r="D2500" t="s">
        <v>22822</v>
      </c>
      <c r="E2500" t="s">
        <v>13228</v>
      </c>
      <c r="F2500" t="s">
        <v>14039</v>
      </c>
      <c r="G2500" t="s">
        <v>14672</v>
      </c>
      <c r="H2500" t="s">
        <v>13869</v>
      </c>
      <c r="I2500" t="s">
        <v>14690</v>
      </c>
      <c r="J2500" s="62">
        <v>0</v>
      </c>
      <c r="K2500" s="62">
        <v>0</v>
      </c>
      <c r="L2500" t="str">
        <f>VLOOKUP(VALUE(LEFT(C2500,5)),Xref!A:B,2,0)</f>
        <v>EAG</v>
      </c>
      <c r="M2500" t="str">
        <f t="shared" si="159"/>
        <v>EAG-LPI</v>
      </c>
    </row>
    <row r="2501" spans="1:13" ht="14.25" customHeight="true">
      <c r="A2501" s="33" t="str">
        <f t="shared" si="156"/>
        <v>LPI - Intercompany</v>
      </c>
      <c r="B2501" s="33" t="str">
        <f t="shared" si="157"/>
        <v>LPI</v>
      </c>
      <c r="C2501" s="33" t="str">
        <f t="shared" si="158"/>
        <v>11305-0000</v>
      </c>
      <c r="D2501" t="s">
        <v>22823</v>
      </c>
      <c r="E2501" t="s">
        <v>13229</v>
      </c>
      <c r="F2501" t="s">
        <v>14039</v>
      </c>
      <c r="G2501" t="s">
        <v>14672</v>
      </c>
      <c r="H2501" t="s">
        <v>13869</v>
      </c>
      <c r="I2501" t="s">
        <v>14690</v>
      </c>
      <c r="J2501" s="62">
        <v>0</v>
      </c>
      <c r="K2501" s="62">
        <v>0</v>
      </c>
      <c r="L2501" t="str">
        <f>VLOOKUP(VALUE(LEFT(C2501,5)),Xref!A:B,2,0)</f>
        <v>NEW</v>
      </c>
      <c r="M2501" t="str">
        <f t="shared" si="159"/>
        <v>LPI-NEW</v>
      </c>
    </row>
    <row r="2502" spans="1:13" ht="14.25" customHeight="true">
      <c r="A2502" s="33" t="str">
        <f t="shared" si="156"/>
        <v>LPI - Intercompany</v>
      </c>
      <c r="B2502" s="33" t="str">
        <f t="shared" si="157"/>
        <v>LPI</v>
      </c>
      <c r="C2502" s="33" t="str">
        <f t="shared" si="158"/>
        <v>11307-0000</v>
      </c>
      <c r="D2502" t="s">
        <v>22824</v>
      </c>
      <c r="E2502" t="s">
        <v>14096</v>
      </c>
      <c r="F2502" t="s">
        <v>14039</v>
      </c>
      <c r="G2502" t="s">
        <v>14672</v>
      </c>
      <c r="H2502" t="s">
        <v>13869</v>
      </c>
      <c r="I2502" t="s">
        <v>14690</v>
      </c>
      <c r="J2502" s="62">
        <v>0</v>
      </c>
      <c r="K2502" s="62">
        <v>0</v>
      </c>
      <c r="L2502" t="str">
        <f>VLOOKUP(VALUE(LEFT(C2502,5)),Xref!A:B,2,0)</f>
        <v>NES</v>
      </c>
      <c r="M2502" t="str">
        <f t="shared" si="159"/>
        <v>LPI-NES</v>
      </c>
    </row>
    <row r="2503" spans="1:13" ht="14.25" customHeight="true">
      <c r="A2503" s="33" t="str">
        <f t="shared" si="156"/>
        <v>LPI - Intercompany</v>
      </c>
      <c r="B2503" s="33" t="str">
        <f t="shared" si="157"/>
        <v>LPI</v>
      </c>
      <c r="C2503" s="33" t="str">
        <f t="shared" si="158"/>
        <v>11308-0000</v>
      </c>
      <c r="D2503" t="s">
        <v>22825</v>
      </c>
      <c r="E2503" t="s">
        <v>13476</v>
      </c>
      <c r="F2503" t="s">
        <v>14039</v>
      </c>
      <c r="G2503" t="s">
        <v>14672</v>
      </c>
      <c r="H2503" t="s">
        <v>13869</v>
      </c>
      <c r="I2503" t="s">
        <v>14690</v>
      </c>
      <c r="J2503" s="62">
        <v>0</v>
      </c>
      <c r="K2503" s="62">
        <v>0</v>
      </c>
      <c r="L2503" t="str">
        <f>VLOOKUP(VALUE(LEFT(C2503,5)),Xref!A:B,2,0)</f>
        <v>LPI</v>
      </c>
      <c r="M2503" t="str">
        <f t="shared" si="159"/>
        <v>LPI-LPI</v>
      </c>
    </row>
    <row r="2504" spans="1:13" ht="14.25" customHeight="true">
      <c r="A2504" s="33" t="str">
        <f t="shared" si="156"/>
        <v>LPI - Intercompany</v>
      </c>
      <c r="B2504" s="33" t="str">
        <f t="shared" si="157"/>
        <v>LPI</v>
      </c>
      <c r="C2504" s="33" t="str">
        <f t="shared" si="158"/>
        <v>11309-0000</v>
      </c>
      <c r="D2504" t="s">
        <v>22826</v>
      </c>
      <c r="E2504" t="s">
        <v>13230</v>
      </c>
      <c r="F2504" t="s">
        <v>14039</v>
      </c>
      <c r="G2504" t="s">
        <v>14672</v>
      </c>
      <c r="H2504" t="s">
        <v>13869</v>
      </c>
      <c r="I2504" t="s">
        <v>14690</v>
      </c>
      <c r="J2504" s="62">
        <v>0</v>
      </c>
      <c r="K2504" s="62">
        <v>-8000</v>
      </c>
      <c r="L2504" t="str">
        <f>VLOOKUP(VALUE(LEFT(C2504,5)),Xref!A:B,2,0)</f>
        <v>GPI</v>
      </c>
      <c r="M2504" t="str">
        <f t="shared" si="159"/>
        <v>GPI-LPI</v>
      </c>
    </row>
    <row r="2505" spans="1:13" ht="14.25" customHeight="true">
      <c r="A2505" s="33" t="str">
        <f t="shared" si="156"/>
        <v>LPI - Intercompany</v>
      </c>
      <c r="B2505" s="33" t="str">
        <f t="shared" si="157"/>
        <v>LPI</v>
      </c>
      <c r="C2505" s="33" t="str">
        <f t="shared" si="158"/>
        <v>11310-0000</v>
      </c>
      <c r="D2505" t="s">
        <v>22827</v>
      </c>
      <c r="E2505" t="s">
        <v>13231</v>
      </c>
      <c r="F2505" t="s">
        <v>14039</v>
      </c>
      <c r="G2505" t="s">
        <v>14672</v>
      </c>
      <c r="H2505" t="s">
        <v>13869</v>
      </c>
      <c r="I2505" t="s">
        <v>14690</v>
      </c>
      <c r="J2505" s="62">
        <v>0</v>
      </c>
      <c r="K2505" s="62">
        <v>0</v>
      </c>
      <c r="L2505" t="str">
        <f>VLOOKUP(VALUE(LEFT(C2505,5)),Xref!A:B,2,0)</f>
        <v>ALP</v>
      </c>
      <c r="M2505" t="str">
        <f t="shared" si="159"/>
        <v>ALP-LPI</v>
      </c>
    </row>
    <row r="2506" spans="1:13" ht="14.25" customHeight="true">
      <c r="A2506" s="33" t="str">
        <f t="shared" si="156"/>
        <v>LPI - Intercompany</v>
      </c>
      <c r="B2506" s="33" t="str">
        <f t="shared" si="157"/>
        <v>LPI</v>
      </c>
      <c r="C2506" s="33" t="str">
        <f t="shared" si="158"/>
        <v>11311-0000</v>
      </c>
      <c r="D2506" t="s">
        <v>22828</v>
      </c>
      <c r="E2506" t="s">
        <v>13232</v>
      </c>
      <c r="F2506" t="s">
        <v>14039</v>
      </c>
      <c r="G2506" t="s">
        <v>14672</v>
      </c>
      <c r="H2506" t="s">
        <v>13869</v>
      </c>
      <c r="I2506" t="s">
        <v>14690</v>
      </c>
      <c r="J2506" s="62">
        <v>0</v>
      </c>
      <c r="K2506" s="62">
        <v>-1000</v>
      </c>
      <c r="L2506" t="str">
        <f>VLOOKUP(VALUE(LEFT(C2506,5)),Xref!A:B,2,0)</f>
        <v>BET</v>
      </c>
      <c r="M2506" t="str">
        <f t="shared" si="159"/>
        <v>BET-LPI</v>
      </c>
    </row>
    <row r="2507" spans="1:13" ht="14.25" customHeight="true">
      <c r="A2507" s="33" t="str">
        <f t="shared" si="156"/>
        <v>LPI - Intercompany</v>
      </c>
      <c r="B2507" s="33" t="str">
        <f t="shared" si="157"/>
        <v>LPI</v>
      </c>
      <c r="C2507" s="33" t="str">
        <f t="shared" si="158"/>
        <v>11312-0000</v>
      </c>
      <c r="D2507" t="s">
        <v>22829</v>
      </c>
      <c r="E2507" t="s">
        <v>14102</v>
      </c>
      <c r="F2507" t="s">
        <v>14039</v>
      </c>
      <c r="G2507" t="s">
        <v>14672</v>
      </c>
      <c r="H2507" t="s">
        <v>13869</v>
      </c>
      <c r="I2507" t="s">
        <v>14690</v>
      </c>
      <c r="J2507" s="62">
        <v>0</v>
      </c>
      <c r="K2507" s="62">
        <v>0</v>
      </c>
      <c r="L2507" t="str">
        <f>VLOOKUP(VALUE(LEFT(C2507,5)),Xref!A:B,2,0)</f>
        <v>DEL</v>
      </c>
      <c r="M2507" t="str">
        <f t="shared" si="159"/>
        <v>DEL-LPI</v>
      </c>
    </row>
    <row r="2508" spans="1:13" ht="14.25" customHeight="true">
      <c r="A2508" s="33" t="str">
        <f t="shared" si="156"/>
        <v>LPI - Intercompany</v>
      </c>
      <c r="B2508" s="33" t="str">
        <f t="shared" si="157"/>
        <v>LPI</v>
      </c>
      <c r="C2508" s="33" t="str">
        <f t="shared" si="158"/>
        <v>11313-0000</v>
      </c>
      <c r="D2508" t="s">
        <v>22830</v>
      </c>
      <c r="E2508" t="s">
        <v>13233</v>
      </c>
      <c r="F2508" t="s">
        <v>14039</v>
      </c>
      <c r="G2508" t="s">
        <v>14672</v>
      </c>
      <c r="H2508" t="s">
        <v>13869</v>
      </c>
      <c r="I2508" t="s">
        <v>14690</v>
      </c>
      <c r="J2508" s="62">
        <v>0</v>
      </c>
      <c r="K2508" s="62">
        <v>0</v>
      </c>
      <c r="L2508" t="str">
        <f>VLOOKUP(VALUE(LEFT(C2508,5)),Xref!A:B,2,0)</f>
        <v>DOL</v>
      </c>
      <c r="M2508" t="str">
        <f t="shared" si="159"/>
        <v>DOL-LPI</v>
      </c>
    </row>
    <row r="2509" spans="1:13" ht="14.25" customHeight="true">
      <c r="A2509" s="33" t="str">
        <f t="shared" si="156"/>
        <v>LPI - Intercompany</v>
      </c>
      <c r="B2509" s="33" t="str">
        <f t="shared" si="157"/>
        <v>LPI</v>
      </c>
      <c r="C2509" s="33" t="str">
        <f t="shared" si="158"/>
        <v>11314-0000</v>
      </c>
      <c r="D2509" t="s">
        <v>22831</v>
      </c>
      <c r="E2509" t="s">
        <v>13351</v>
      </c>
      <c r="F2509" t="s">
        <v>14039</v>
      </c>
      <c r="G2509" t="s">
        <v>14672</v>
      </c>
      <c r="H2509" t="s">
        <v>13869</v>
      </c>
      <c r="I2509" t="s">
        <v>14690</v>
      </c>
      <c r="J2509" s="62">
        <v>0</v>
      </c>
      <c r="K2509" s="62">
        <v>0</v>
      </c>
      <c r="L2509" t="str">
        <f>VLOOKUP(VALUE(LEFT(C2509,5)),Xref!A:B,2,0)</f>
        <v>GRI</v>
      </c>
      <c r="M2509" t="str">
        <f t="shared" si="159"/>
        <v>GRI-LPI</v>
      </c>
    </row>
    <row r="2510" spans="1:13" ht="14.25" customHeight="true">
      <c r="A2510" s="33" t="str">
        <f t="shared" si="156"/>
        <v>LPI - Intercompany</v>
      </c>
      <c r="B2510" s="33" t="str">
        <f t="shared" si="157"/>
        <v>LPI</v>
      </c>
      <c r="C2510" s="33" t="str">
        <f t="shared" si="158"/>
        <v>11315-0000</v>
      </c>
      <c r="D2510" t="s">
        <v>22832</v>
      </c>
      <c r="E2510" t="s">
        <v>13234</v>
      </c>
      <c r="F2510" t="s">
        <v>14039</v>
      </c>
      <c r="G2510" t="s">
        <v>14672</v>
      </c>
      <c r="H2510" t="s">
        <v>13869</v>
      </c>
      <c r="I2510" t="s">
        <v>14690</v>
      </c>
      <c r="J2510" s="62">
        <v>0</v>
      </c>
      <c r="K2510" s="62">
        <v>0</v>
      </c>
      <c r="L2510" t="str">
        <f>VLOOKUP(VALUE(LEFT(C2510,5)),Xref!A:B,2,0)</f>
        <v>PUR</v>
      </c>
      <c r="M2510" t="str">
        <f t="shared" si="159"/>
        <v>LPI-PUR</v>
      </c>
    </row>
    <row r="2511" spans="1:13" ht="14.25" customHeight="true">
      <c r="A2511" s="33" t="str">
        <f t="shared" si="156"/>
        <v>LPI - Intercompany</v>
      </c>
      <c r="B2511" s="33" t="str">
        <f t="shared" si="157"/>
        <v>LPI</v>
      </c>
      <c r="C2511" s="33" t="str">
        <f t="shared" si="158"/>
        <v>11316-0000</v>
      </c>
      <c r="D2511" t="s">
        <v>22833</v>
      </c>
      <c r="E2511" t="s">
        <v>13235</v>
      </c>
      <c r="F2511" t="s">
        <v>14039</v>
      </c>
      <c r="G2511" t="s">
        <v>14672</v>
      </c>
      <c r="H2511" t="s">
        <v>13869</v>
      </c>
      <c r="I2511" t="s">
        <v>14690</v>
      </c>
      <c r="J2511" s="62">
        <v>0</v>
      </c>
      <c r="K2511" s="62">
        <v>0</v>
      </c>
      <c r="L2511" t="str">
        <f>VLOOKUP(VALUE(LEFT(C2511,5)),Xref!A:B,2,0)</f>
        <v>VAL</v>
      </c>
      <c r="M2511" t="str">
        <f t="shared" si="159"/>
        <v>LPI-VAL</v>
      </c>
    </row>
    <row r="2512" spans="1:13" ht="14.25" customHeight="true">
      <c r="A2512" s="33" t="str">
        <f t="shared" si="156"/>
        <v>LPI - Intercompany</v>
      </c>
      <c r="B2512" s="33" t="str">
        <f t="shared" si="157"/>
        <v>LPI</v>
      </c>
      <c r="C2512" s="33" t="str">
        <f t="shared" si="158"/>
        <v>11317-0000</v>
      </c>
      <c r="D2512" t="s">
        <v>22834</v>
      </c>
      <c r="E2512" t="s">
        <v>13352</v>
      </c>
      <c r="F2512" t="s">
        <v>14039</v>
      </c>
      <c r="G2512" t="s">
        <v>14672</v>
      </c>
      <c r="H2512" t="s">
        <v>13869</v>
      </c>
      <c r="I2512" t="s">
        <v>14690</v>
      </c>
      <c r="J2512" s="62">
        <v>0</v>
      </c>
      <c r="K2512" s="62">
        <v>0</v>
      </c>
      <c r="L2512" t="str">
        <f>VLOOKUP(VALUE(LEFT(C2512,5)),Xref!A:B,2,0)</f>
        <v>AKG</v>
      </c>
      <c r="M2512" t="str">
        <f t="shared" si="159"/>
        <v>AKG-LPI</v>
      </c>
    </row>
    <row r="2513" spans="1:13" ht="14.25" customHeight="true">
      <c r="A2513" s="33" t="str">
        <f t="shared" si="156"/>
        <v>LPI - Intercompany</v>
      </c>
      <c r="B2513" s="33" t="str">
        <f t="shared" si="157"/>
        <v>LPI</v>
      </c>
      <c r="C2513" s="33" t="str">
        <f t="shared" si="158"/>
        <v>11318-0000</v>
      </c>
      <c r="D2513" t="s">
        <v>22835</v>
      </c>
      <c r="E2513" t="s">
        <v>13477</v>
      </c>
      <c r="F2513" t="s">
        <v>14039</v>
      </c>
      <c r="G2513" t="s">
        <v>14672</v>
      </c>
      <c r="H2513" t="s">
        <v>13869</v>
      </c>
      <c r="I2513" t="s">
        <v>14690</v>
      </c>
      <c r="J2513" s="62">
        <v>0</v>
      </c>
      <c r="K2513" s="62">
        <v>0</v>
      </c>
      <c r="L2513" t="str">
        <f>VLOOKUP(VALUE(LEFT(C2513,5)),Xref!A:B,2,0)</f>
        <v>FIR</v>
      </c>
      <c r="M2513" t="str">
        <f t="shared" si="159"/>
        <v>FIR-LPI</v>
      </c>
    </row>
    <row r="2514" spans="1:13" ht="14.25" customHeight="true">
      <c r="A2514" s="33" t="str">
        <f t="shared" si="156"/>
        <v>LPI - Intercompany</v>
      </c>
      <c r="B2514" s="33" t="str">
        <f t="shared" si="157"/>
        <v>LPI</v>
      </c>
      <c r="C2514" s="33" t="str">
        <f t="shared" si="158"/>
        <v>11319-0000</v>
      </c>
      <c r="D2514" t="s">
        <v>22836</v>
      </c>
      <c r="E2514" t="s">
        <v>266</v>
      </c>
      <c r="F2514" t="s">
        <v>14039</v>
      </c>
      <c r="G2514" t="s">
        <v>14672</v>
      </c>
      <c r="H2514" t="s">
        <v>13869</v>
      </c>
      <c r="I2514" t="s">
        <v>14690</v>
      </c>
      <c r="J2514" s="62">
        <v>0</v>
      </c>
      <c r="K2514" s="62">
        <v>0</v>
      </c>
      <c r="L2514" t="str">
        <f>VLOOKUP(VALUE(LEFT(C2514,5)),Xref!A:B,2,0)</f>
        <v>GST</v>
      </c>
      <c r="M2514" t="str">
        <f t="shared" si="159"/>
        <v>GST-LPI</v>
      </c>
    </row>
    <row r="2515" spans="1:13" ht="14.25" customHeight="true">
      <c r="A2515" s="33" t="str">
        <f t="shared" si="156"/>
        <v>LPI - Intercompany</v>
      </c>
      <c r="B2515" s="33" t="str">
        <f t="shared" si="157"/>
        <v>LPI</v>
      </c>
      <c r="C2515" s="33" t="str">
        <f t="shared" si="158"/>
        <v>11320-0000</v>
      </c>
      <c r="D2515" t="s">
        <v>22837</v>
      </c>
      <c r="E2515" t="s">
        <v>14111</v>
      </c>
      <c r="F2515" t="s">
        <v>14039</v>
      </c>
      <c r="G2515" t="s">
        <v>14672</v>
      </c>
      <c r="H2515" t="s">
        <v>13869</v>
      </c>
      <c r="I2515" t="s">
        <v>14690</v>
      </c>
      <c r="J2515" s="62">
        <v>0</v>
      </c>
      <c r="K2515" s="62">
        <v>0</v>
      </c>
      <c r="L2515" t="str">
        <f>VLOOKUP(VALUE(LEFT(C2515,5)),Xref!A:B,2,0)</f>
        <v>HDN</v>
      </c>
      <c r="M2515" t="str">
        <f t="shared" si="159"/>
        <v>HDN-LPI</v>
      </c>
    </row>
    <row r="2516" spans="1:13" ht="14.25" customHeight="true">
      <c r="A2516" s="33" t="str">
        <f t="shared" si="156"/>
        <v>LPI - Intercompany</v>
      </c>
      <c r="B2516" s="33" t="str">
        <f t="shared" si="157"/>
        <v>LPI</v>
      </c>
      <c r="C2516" s="33" t="str">
        <f t="shared" si="158"/>
        <v>11321-0000</v>
      </c>
      <c r="D2516" t="s">
        <v>22838</v>
      </c>
      <c r="E2516" t="s">
        <v>13236</v>
      </c>
      <c r="F2516" t="s">
        <v>14039</v>
      </c>
      <c r="G2516" t="s">
        <v>14672</v>
      </c>
      <c r="H2516" t="s">
        <v>13869</v>
      </c>
      <c r="I2516" t="s">
        <v>14690</v>
      </c>
      <c r="J2516" s="62">
        <v>0</v>
      </c>
      <c r="K2516" s="62">
        <v>0</v>
      </c>
      <c r="L2516" t="str">
        <f>VLOOKUP(VALUE(LEFT(C2516,5)),Xref!A:B,2,0)</f>
        <v>OVA</v>
      </c>
      <c r="M2516" t="str">
        <f t="shared" si="159"/>
        <v>LPI-OVA</v>
      </c>
    </row>
    <row r="2517" spans="1:13" ht="14.25" customHeight="true">
      <c r="A2517" s="33" t="str">
        <f t="shared" si="156"/>
        <v>LPI - Intercompany</v>
      </c>
      <c r="B2517" s="33" t="str">
        <f t="shared" si="157"/>
        <v>LPI</v>
      </c>
      <c r="C2517" s="33" t="str">
        <f t="shared" si="158"/>
        <v>11322-0000</v>
      </c>
      <c r="D2517" t="s">
        <v>22839</v>
      </c>
      <c r="E2517" t="s">
        <v>13237</v>
      </c>
      <c r="F2517" t="s">
        <v>14039</v>
      </c>
      <c r="G2517" t="s">
        <v>14672</v>
      </c>
      <c r="H2517" t="s">
        <v>13869</v>
      </c>
      <c r="I2517" t="s">
        <v>14690</v>
      </c>
      <c r="J2517" s="62">
        <v>0</v>
      </c>
      <c r="K2517" s="62">
        <v>0</v>
      </c>
      <c r="L2517" t="str">
        <f>VLOOKUP(VALUE(LEFT(C2517,5)),Xref!A:B,2,0)</f>
        <v>WOO</v>
      </c>
      <c r="M2517" t="str">
        <f t="shared" si="159"/>
        <v>LPI-WOO</v>
      </c>
    </row>
    <row r="2518" spans="1:13" ht="14.25" customHeight="true">
      <c r="A2518" s="33" t="str">
        <f t="shared" si="156"/>
        <v>LPI - Intercompany</v>
      </c>
      <c r="B2518" s="33" t="str">
        <f t="shared" si="157"/>
        <v>LPI</v>
      </c>
      <c r="C2518" s="33" t="str">
        <f t="shared" si="158"/>
        <v>11323-0000</v>
      </c>
      <c r="D2518" t="s">
        <v>22840</v>
      </c>
      <c r="E2518" t="s">
        <v>13478</v>
      </c>
      <c r="F2518" t="s">
        <v>14039</v>
      </c>
      <c r="G2518" t="s">
        <v>14672</v>
      </c>
      <c r="H2518" t="s">
        <v>13869</v>
      </c>
      <c r="I2518" t="s">
        <v>14690</v>
      </c>
      <c r="J2518" s="62">
        <v>0</v>
      </c>
      <c r="K2518" s="62">
        <v>0</v>
      </c>
      <c r="L2518" t="str">
        <f>VLOOKUP(VALUE(LEFT(C2518,5)),Xref!A:B,2,0)</f>
        <v>SPI</v>
      </c>
      <c r="M2518" t="str">
        <f t="shared" si="159"/>
        <v>LPI-SPI</v>
      </c>
    </row>
    <row r="2519" spans="1:13" ht="14.25" customHeight="true">
      <c r="A2519" s="33" t="str">
        <f t="shared" si="156"/>
        <v>LPI - Intercompany</v>
      </c>
      <c r="B2519" s="33" t="str">
        <f t="shared" si="157"/>
        <v>LPI</v>
      </c>
      <c r="C2519" s="33" t="str">
        <f t="shared" si="158"/>
        <v>11324-0000</v>
      </c>
      <c r="D2519" t="s">
        <v>22841</v>
      </c>
      <c r="E2519" t="s">
        <v>13238</v>
      </c>
      <c r="F2519" t="s">
        <v>14039</v>
      </c>
      <c r="G2519" t="s">
        <v>14672</v>
      </c>
      <c r="H2519" t="s">
        <v>13869</v>
      </c>
      <c r="I2519" t="s">
        <v>14690</v>
      </c>
      <c r="J2519" s="62">
        <v>0</v>
      </c>
      <c r="K2519" s="62">
        <v>0</v>
      </c>
      <c r="L2519" t="str">
        <f>VLOOKUP(VALUE(LEFT(C2519,5)),Xref!A:B,2,0)</f>
        <v>NET</v>
      </c>
      <c r="M2519" t="str">
        <f t="shared" si="159"/>
        <v>LPI-NET</v>
      </c>
    </row>
    <row r="2520" spans="1:13" ht="14.25" customHeight="true">
      <c r="A2520" s="33" t="str">
        <f t="shared" si="156"/>
        <v>LPI - Intercompany</v>
      </c>
      <c r="B2520" s="33" t="str">
        <f t="shared" si="157"/>
        <v>LPI</v>
      </c>
      <c r="C2520" s="33" t="str">
        <f t="shared" si="158"/>
        <v>11325-0000</v>
      </c>
      <c r="D2520" t="s">
        <v>22842</v>
      </c>
      <c r="E2520" t="s">
        <v>13239</v>
      </c>
      <c r="F2520" t="s">
        <v>14039</v>
      </c>
      <c r="G2520" t="s">
        <v>14672</v>
      </c>
      <c r="H2520" t="s">
        <v>13869</v>
      </c>
      <c r="I2520" t="s">
        <v>14690</v>
      </c>
      <c r="J2520" s="62">
        <v>0</v>
      </c>
      <c r="K2520" s="62">
        <v>0</v>
      </c>
      <c r="L2520" t="str">
        <f>VLOOKUP(VALUE(LEFT(C2520,5)),Xref!A:B,2,0)</f>
        <v>DPI</v>
      </c>
      <c r="M2520" t="str">
        <f t="shared" si="159"/>
        <v>DPI-LPI</v>
      </c>
    </row>
    <row r="2521" spans="1:13" ht="14.25" customHeight="true">
      <c r="A2521" s="33" t="str">
        <f t="shared" si="156"/>
        <v>LPI - Intercompany</v>
      </c>
      <c r="B2521" s="33" t="str">
        <f t="shared" si="157"/>
        <v>LPI</v>
      </c>
      <c r="C2521" s="33" t="str">
        <f t="shared" si="158"/>
        <v>11326-0000</v>
      </c>
      <c r="D2521" t="s">
        <v>22843</v>
      </c>
      <c r="E2521" t="s">
        <v>13240</v>
      </c>
      <c r="F2521" t="s">
        <v>14039</v>
      </c>
      <c r="G2521" t="s">
        <v>14672</v>
      </c>
      <c r="H2521" t="s">
        <v>13869</v>
      </c>
      <c r="I2521" t="s">
        <v>14690</v>
      </c>
      <c r="J2521" s="62">
        <v>0</v>
      </c>
      <c r="K2521" s="62">
        <v>0</v>
      </c>
      <c r="L2521" t="str">
        <f>VLOOKUP(VALUE(LEFT(C2521,5)),Xref!A:B,2,0)</f>
        <v>SEK</v>
      </c>
      <c r="M2521" t="str">
        <f t="shared" si="159"/>
        <v>LPI-SEK</v>
      </c>
    </row>
    <row r="2522" spans="1:13" ht="14.25" customHeight="true">
      <c r="A2522" s="33" t="str">
        <f t="shared" si="156"/>
        <v>LPI - Intercompany</v>
      </c>
      <c r="B2522" s="33" t="str">
        <f t="shared" si="157"/>
        <v>LPI</v>
      </c>
      <c r="C2522" s="33" t="str">
        <f t="shared" si="158"/>
        <v>11327-0000</v>
      </c>
      <c r="D2522" t="s">
        <v>22844</v>
      </c>
      <c r="E2522" t="s">
        <v>14119</v>
      </c>
      <c r="F2522" t="s">
        <v>14039</v>
      </c>
      <c r="G2522" t="s">
        <v>14672</v>
      </c>
      <c r="H2522" t="s">
        <v>13869</v>
      </c>
      <c r="I2522" t="s">
        <v>14690</v>
      </c>
      <c r="J2522" s="62">
        <v>0</v>
      </c>
      <c r="K2522" s="62">
        <v>0</v>
      </c>
      <c r="L2522" t="str">
        <f>VLOOKUP(VALUE(LEFT(C2522,5)),Xref!A:B,2,0)</f>
        <v>CPI</v>
      </c>
      <c r="M2522" t="str">
        <f t="shared" si="159"/>
        <v>CPI-LPI</v>
      </c>
    </row>
    <row r="2523" spans="1:13" ht="14.25" customHeight="true">
      <c r="A2523" s="33" t="str">
        <f t="shared" si="156"/>
        <v>LPI - Intercompany</v>
      </c>
      <c r="B2523" s="33" t="str">
        <f t="shared" si="157"/>
        <v>LPI</v>
      </c>
      <c r="C2523" s="33" t="str">
        <f t="shared" si="158"/>
        <v>11328-0000</v>
      </c>
      <c r="D2523" t="s">
        <v>22845</v>
      </c>
      <c r="E2523" t="s">
        <v>13241</v>
      </c>
      <c r="F2523" t="s">
        <v>14039</v>
      </c>
      <c r="G2523" t="s">
        <v>14672</v>
      </c>
      <c r="H2523" t="s">
        <v>13869</v>
      </c>
      <c r="I2523" t="s">
        <v>14690</v>
      </c>
      <c r="J2523" s="62">
        <v>0</v>
      </c>
      <c r="K2523" s="62">
        <v>0</v>
      </c>
      <c r="L2523" t="str">
        <f>VLOOKUP(VALUE(LEFT(C2523,5)),Xref!A:B,2,0)</f>
        <v>LOM</v>
      </c>
      <c r="M2523" t="str">
        <f t="shared" si="159"/>
        <v>LOM-LPI</v>
      </c>
    </row>
    <row r="2524" spans="1:13" ht="14.25" customHeight="true">
      <c r="A2524" s="33" t="str">
        <f t="shared" si="156"/>
        <v>LPI - Intercompany</v>
      </c>
      <c r="B2524" s="33" t="str">
        <f t="shared" si="157"/>
        <v>LPI</v>
      </c>
      <c r="C2524" s="33" t="str">
        <f t="shared" si="158"/>
        <v>11329-0000</v>
      </c>
      <c r="D2524" t="s">
        <v>22846</v>
      </c>
      <c r="E2524" t="s">
        <v>13353</v>
      </c>
      <c r="F2524" t="s">
        <v>14039</v>
      </c>
      <c r="G2524" t="s">
        <v>14672</v>
      </c>
      <c r="H2524" t="s">
        <v>13869</v>
      </c>
      <c r="I2524" t="s">
        <v>14690</v>
      </c>
      <c r="J2524" s="62">
        <v>0</v>
      </c>
      <c r="K2524" s="62">
        <v>0</v>
      </c>
      <c r="L2524" t="str">
        <f>VLOOKUP(VALUE(LEFT(C2524,5)),Xref!A:B,2,0)</f>
        <v>AKS</v>
      </c>
      <c r="M2524" t="str">
        <f t="shared" si="159"/>
        <v>AKS-LPI</v>
      </c>
    </row>
    <row r="2525" spans="1:13" ht="14.25" customHeight="true">
      <c r="A2525" s="33" t="str">
        <f t="shared" si="156"/>
        <v>LPI - Intercompany</v>
      </c>
      <c r="B2525" s="33" t="str">
        <f t="shared" si="157"/>
        <v>LPI</v>
      </c>
      <c r="C2525" s="33" t="str">
        <f t="shared" si="158"/>
        <v>11330-0000</v>
      </c>
      <c r="D2525" t="s">
        <v>22847</v>
      </c>
      <c r="E2525" t="s">
        <v>13242</v>
      </c>
      <c r="F2525" t="s">
        <v>14039</v>
      </c>
      <c r="G2525" t="s">
        <v>14672</v>
      </c>
      <c r="H2525" t="s">
        <v>13869</v>
      </c>
      <c r="I2525" t="s">
        <v>14690</v>
      </c>
      <c r="J2525" s="62">
        <v>0</v>
      </c>
      <c r="K2525" s="62">
        <v>0</v>
      </c>
      <c r="L2525" t="str">
        <f>VLOOKUP(VALUE(LEFT(C2525,5)),Xref!A:B,2,0)</f>
        <v>MAR</v>
      </c>
      <c r="M2525" t="str">
        <f t="shared" si="159"/>
        <v>LPI-MAR</v>
      </c>
    </row>
    <row r="2526" spans="1:13" ht="14.25" customHeight="true">
      <c r="A2526" s="33" t="str">
        <f t="shared" si="156"/>
        <v>LPI - Intercompany</v>
      </c>
      <c r="B2526" s="33" t="str">
        <f t="shared" si="157"/>
        <v>LPI</v>
      </c>
      <c r="C2526" s="33" t="str">
        <f t="shared" si="158"/>
        <v>11331-0000</v>
      </c>
      <c r="D2526" t="s">
        <v>22848</v>
      </c>
      <c r="E2526" t="s">
        <v>13354</v>
      </c>
      <c r="F2526" t="s">
        <v>14039</v>
      </c>
      <c r="G2526" t="s">
        <v>14672</v>
      </c>
      <c r="H2526" t="s">
        <v>13869</v>
      </c>
      <c r="I2526" t="s">
        <v>14690</v>
      </c>
      <c r="J2526" s="62">
        <v>0</v>
      </c>
      <c r="K2526" s="62">
        <v>0</v>
      </c>
      <c r="L2526" t="str">
        <f>VLOOKUP(VALUE(LEFT(C2526,5)),Xref!A:B,2,0)</f>
        <v>WIL</v>
      </c>
      <c r="M2526" t="str">
        <f t="shared" si="159"/>
        <v>LPI-WIL</v>
      </c>
    </row>
    <row r="2527" spans="1:13" ht="14.25" customHeight="true">
      <c r="A2527" s="33" t="str">
        <f t="shared" si="156"/>
        <v>LPI - Intercompany</v>
      </c>
      <c r="B2527" s="33" t="str">
        <f t="shared" si="157"/>
        <v>LPI</v>
      </c>
      <c r="C2527" s="33" t="str">
        <f t="shared" si="158"/>
        <v>11332-0000</v>
      </c>
      <c r="D2527" t="s">
        <v>22849</v>
      </c>
      <c r="E2527" t="s">
        <v>13243</v>
      </c>
      <c r="F2527" t="s">
        <v>14039</v>
      </c>
      <c r="G2527" t="s">
        <v>14672</v>
      </c>
      <c r="H2527" t="s">
        <v>13869</v>
      </c>
      <c r="I2527" t="s">
        <v>14690</v>
      </c>
      <c r="J2527" s="62">
        <v>0</v>
      </c>
      <c r="K2527" s="62">
        <v>0</v>
      </c>
      <c r="L2527" t="str">
        <f>VLOOKUP(VALUE(LEFT(C2527,5)),Xref!A:B,2,0)</f>
        <v>STO</v>
      </c>
      <c r="M2527" t="str">
        <f t="shared" si="159"/>
        <v>LPI-STO</v>
      </c>
    </row>
    <row r="2528" spans="1:13" ht="14.25" customHeight="true">
      <c r="A2528" s="33" t="str">
        <f t="shared" si="156"/>
        <v>LPI - Intercompany</v>
      </c>
      <c r="B2528" s="33" t="str">
        <f t="shared" si="157"/>
        <v>LPI</v>
      </c>
      <c r="C2528" s="33" t="str">
        <f t="shared" si="158"/>
        <v>11333-0000</v>
      </c>
      <c r="D2528" t="s">
        <v>22850</v>
      </c>
      <c r="E2528" t="s">
        <v>13244</v>
      </c>
      <c r="F2528" t="s">
        <v>14039</v>
      </c>
      <c r="G2528" t="s">
        <v>14672</v>
      </c>
      <c r="H2528" t="s">
        <v>13869</v>
      </c>
      <c r="I2528" t="s">
        <v>14690</v>
      </c>
      <c r="J2528" s="62">
        <v>0</v>
      </c>
      <c r="K2528" s="62">
        <v>0</v>
      </c>
      <c r="L2528" t="str">
        <f>VLOOKUP(VALUE(LEFT(C2528,5)),Xref!A:B,2,0)</f>
        <v>ANG</v>
      </c>
      <c r="M2528" t="str">
        <f t="shared" si="159"/>
        <v>ANG-LPI</v>
      </c>
    </row>
    <row r="2529" spans="1:13" ht="14.25" customHeight="true">
      <c r="A2529" s="33" t="str">
        <f t="shared" si="156"/>
        <v>LPI - Intercompany</v>
      </c>
      <c r="B2529" s="33" t="str">
        <f t="shared" si="157"/>
        <v>LPI</v>
      </c>
      <c r="C2529" s="33" t="str">
        <f t="shared" si="158"/>
        <v>11334-0000</v>
      </c>
      <c r="D2529" t="s">
        <v>22851</v>
      </c>
      <c r="E2529" t="s">
        <v>13245</v>
      </c>
      <c r="F2529" t="s">
        <v>14039</v>
      </c>
      <c r="G2529" t="s">
        <v>14672</v>
      </c>
      <c r="H2529" t="s">
        <v>13869</v>
      </c>
      <c r="I2529" t="s">
        <v>14690</v>
      </c>
      <c r="J2529" s="62">
        <v>0</v>
      </c>
      <c r="K2529" s="62">
        <v>0</v>
      </c>
      <c r="L2529" t="str">
        <f>VLOOKUP(VALUE(LEFT(C2529,5)),Xref!A:B,2,0)</f>
        <v>BRU</v>
      </c>
      <c r="M2529" t="str">
        <f t="shared" si="159"/>
        <v>BRU-LPI</v>
      </c>
    </row>
    <row r="2530" spans="1:13" ht="14.25" customHeight="true">
      <c r="A2530" s="33" t="str">
        <f t="shared" si="156"/>
        <v>LPI - Intercompany</v>
      </c>
      <c r="B2530" s="33" t="str">
        <f t="shared" si="157"/>
        <v>LPI</v>
      </c>
      <c r="C2530" s="33" t="str">
        <f t="shared" si="158"/>
        <v>11335-0000</v>
      </c>
      <c r="D2530" t="s">
        <v>22852</v>
      </c>
      <c r="E2530" t="s">
        <v>13246</v>
      </c>
      <c r="F2530" t="s">
        <v>14039</v>
      </c>
      <c r="G2530" t="s">
        <v>14672</v>
      </c>
      <c r="H2530" t="s">
        <v>13869</v>
      </c>
      <c r="I2530" t="s">
        <v>14690</v>
      </c>
      <c r="J2530" s="62">
        <v>0</v>
      </c>
      <c r="K2530" s="62">
        <v>0</v>
      </c>
      <c r="L2530" t="str">
        <f>VLOOKUP(VALUE(LEFT(C2530,5)),Xref!A:B,2,0)</f>
        <v>VEN</v>
      </c>
      <c r="M2530" t="str">
        <f t="shared" si="159"/>
        <v>LPI-VEN</v>
      </c>
    </row>
    <row r="2531" spans="1:13" ht="14.25" customHeight="true">
      <c r="A2531" s="33" t="str">
        <f t="shared" si="156"/>
        <v>LPI - Intercompany</v>
      </c>
      <c r="B2531" s="33" t="str">
        <f t="shared" si="157"/>
        <v>LPI</v>
      </c>
      <c r="C2531" s="33" t="str">
        <f t="shared" si="158"/>
        <v>11336-0000</v>
      </c>
      <c r="D2531" t="s">
        <v>22853</v>
      </c>
      <c r="E2531" t="s">
        <v>13247</v>
      </c>
      <c r="F2531" t="s">
        <v>14039</v>
      </c>
      <c r="G2531" t="s">
        <v>14672</v>
      </c>
      <c r="H2531" t="s">
        <v>13869</v>
      </c>
      <c r="I2531" t="s">
        <v>14690</v>
      </c>
      <c r="J2531" s="62">
        <v>0</v>
      </c>
      <c r="K2531" s="62">
        <v>0</v>
      </c>
      <c r="L2531" t="str">
        <f>VLOOKUP(VALUE(LEFT(C2531,5)),Xref!A:B,2,0)</f>
        <v>SAT</v>
      </c>
      <c r="M2531" t="str">
        <f t="shared" si="159"/>
        <v>LPI-SAT</v>
      </c>
    </row>
    <row r="2532" spans="1:13" ht="14.25" customHeight="true">
      <c r="A2532" s="33" t="str">
        <f t="shared" si="156"/>
        <v>LPI - Intercompany</v>
      </c>
      <c r="B2532" s="33" t="str">
        <f t="shared" si="157"/>
        <v>LPI</v>
      </c>
      <c r="C2532" s="33" t="str">
        <f t="shared" si="158"/>
        <v>11337-0000</v>
      </c>
      <c r="D2532" t="s">
        <v>22854</v>
      </c>
      <c r="E2532" t="s">
        <v>13248</v>
      </c>
      <c r="F2532" t="s">
        <v>14039</v>
      </c>
      <c r="G2532" t="s">
        <v>14672</v>
      </c>
      <c r="H2532" t="s">
        <v>13869</v>
      </c>
      <c r="I2532" t="s">
        <v>14690</v>
      </c>
      <c r="J2532" s="62">
        <v>0</v>
      </c>
      <c r="K2532" s="62">
        <v>0</v>
      </c>
      <c r="L2532" t="str">
        <f>VLOOKUP(VALUE(LEFT(C2532,5)),Xref!A:B,2,0)</f>
        <v>NEP</v>
      </c>
      <c r="M2532" t="str">
        <f t="shared" si="159"/>
        <v>LPI-NEP</v>
      </c>
    </row>
    <row r="2533" spans="1:13" ht="14.25" customHeight="true">
      <c r="A2533" s="33" t="str">
        <f t="shared" si="156"/>
        <v>LPI - Intercompany</v>
      </c>
      <c r="B2533" s="33" t="str">
        <f t="shared" si="157"/>
        <v>LPI</v>
      </c>
      <c r="C2533" s="33" t="str">
        <f t="shared" si="158"/>
        <v>11338-0000</v>
      </c>
      <c r="D2533" t="s">
        <v>22855</v>
      </c>
      <c r="E2533" t="s">
        <v>14131</v>
      </c>
      <c r="F2533" t="s">
        <v>14039</v>
      </c>
      <c r="G2533" t="s">
        <v>14672</v>
      </c>
      <c r="H2533" t="s">
        <v>13869</v>
      </c>
      <c r="I2533" t="s">
        <v>14690</v>
      </c>
      <c r="J2533" s="62">
        <v>0</v>
      </c>
      <c r="K2533" s="62">
        <v>0</v>
      </c>
      <c r="L2533" t="str">
        <f>VLOOKUP(VALUE(LEFT(C2533,5)),Xref!A:B,2,0)</f>
        <v>JUP</v>
      </c>
      <c r="M2533" t="str">
        <f t="shared" si="159"/>
        <v>JUP-LPI</v>
      </c>
    </row>
    <row r="2534" spans="1:13" ht="14.25" customHeight="true">
      <c r="A2534" s="33" t="str">
        <f t="shared" si="156"/>
        <v>LPI - Intercompany</v>
      </c>
      <c r="B2534" s="33" t="str">
        <f t="shared" si="157"/>
        <v>LPI</v>
      </c>
      <c r="C2534" s="33" t="str">
        <f t="shared" si="158"/>
        <v>11339-0000</v>
      </c>
      <c r="D2534" t="s">
        <v>22856</v>
      </c>
      <c r="E2534" t="s">
        <v>14133</v>
      </c>
      <c r="F2534" t="s">
        <v>14039</v>
      </c>
      <c r="G2534" t="s">
        <v>14672</v>
      </c>
      <c r="H2534" t="s">
        <v>13869</v>
      </c>
      <c r="I2534" t="s">
        <v>14690</v>
      </c>
      <c r="J2534" s="62">
        <v>0</v>
      </c>
      <c r="K2534" s="62">
        <v>0</v>
      </c>
      <c r="L2534" t="str">
        <f>VLOOKUP(VALUE(LEFT(C2534,5)),Xref!A:B,2,0)</f>
        <v>WES</v>
      </c>
      <c r="M2534" t="str">
        <f t="shared" si="159"/>
        <v>LPI-WES</v>
      </c>
    </row>
    <row r="2535" spans="1:13" ht="14.25" customHeight="true">
      <c r="A2535" s="33" t="str">
        <f t="shared" si="156"/>
        <v>LPI - Intercompany</v>
      </c>
      <c r="B2535" s="33" t="str">
        <f t="shared" si="157"/>
        <v>LPI</v>
      </c>
      <c r="C2535" s="33" t="str">
        <f t="shared" si="158"/>
        <v>11340-0000</v>
      </c>
      <c r="D2535" t="s">
        <v>22857</v>
      </c>
      <c r="E2535" t="s">
        <v>14135</v>
      </c>
      <c r="F2535" t="s">
        <v>14039</v>
      </c>
      <c r="G2535" t="s">
        <v>14672</v>
      </c>
      <c r="H2535" t="s">
        <v>13869</v>
      </c>
      <c r="I2535" t="s">
        <v>14690</v>
      </c>
      <c r="J2535" s="62">
        <v>0</v>
      </c>
      <c r="K2535" s="62">
        <v>0</v>
      </c>
      <c r="L2535" t="str">
        <f>VLOOKUP(VALUE(LEFT(C2535,5)),Xref!A:B,2,0)</f>
        <v>LCP</v>
      </c>
      <c r="M2535" t="str">
        <f t="shared" si="159"/>
        <v>LCP-LPI</v>
      </c>
    </row>
    <row r="2536" spans="1:13" ht="14.25" customHeight="true">
      <c r="A2536" s="33" t="str">
        <f t="shared" si="156"/>
        <v>LPI - Intercompany</v>
      </c>
      <c r="B2536" s="33" t="str">
        <f t="shared" si="157"/>
        <v>LPI</v>
      </c>
      <c r="C2536" s="33" t="str">
        <f t="shared" si="158"/>
        <v>11341-0000</v>
      </c>
      <c r="D2536" t="s">
        <v>22858</v>
      </c>
      <c r="E2536" t="s">
        <v>13639</v>
      </c>
      <c r="F2536" t="s">
        <v>14039</v>
      </c>
      <c r="G2536" t="s">
        <v>14672</v>
      </c>
      <c r="H2536" t="s">
        <v>13869</v>
      </c>
      <c r="I2536" t="s">
        <v>14690</v>
      </c>
      <c r="J2536" s="62">
        <v>0</v>
      </c>
      <c r="K2536" s="62">
        <v>0</v>
      </c>
      <c r="L2536" t="str">
        <f>VLOOKUP(VALUE(LEFT(C2536,5)),Xref!A:B,2,0)</f>
        <v>NOR</v>
      </c>
      <c r="M2536" t="str">
        <f t="shared" si="159"/>
        <v>LPI-NOR</v>
      </c>
    </row>
    <row r="2537" spans="1:13" ht="14.25" customHeight="true">
      <c r="A2537" s="33" t="str">
        <f t="shared" si="156"/>
        <v>LPI - Intercompany</v>
      </c>
      <c r="B2537" s="33" t="str">
        <f t="shared" si="157"/>
        <v>LPI</v>
      </c>
      <c r="C2537" s="33" t="str">
        <f t="shared" si="158"/>
        <v>11342-0000</v>
      </c>
      <c r="D2537" t="s">
        <v>22859</v>
      </c>
      <c r="E2537" t="s">
        <v>13355</v>
      </c>
      <c r="F2537" t="s">
        <v>14039</v>
      </c>
      <c r="G2537" t="s">
        <v>14672</v>
      </c>
      <c r="H2537" t="s">
        <v>13869</v>
      </c>
      <c r="I2537" t="s">
        <v>14690</v>
      </c>
      <c r="J2537" s="62">
        <v>0</v>
      </c>
      <c r="K2537" s="62">
        <v>0</v>
      </c>
      <c r="L2537" t="str">
        <f>VLOOKUP(VALUE(LEFT(C2537,5)),Xref!A:B,2,0)</f>
        <v>EAS</v>
      </c>
      <c r="M2537" t="str">
        <f t="shared" si="159"/>
        <v>EAS-LPI</v>
      </c>
    </row>
    <row r="2538" spans="1:13" ht="14.25" customHeight="true">
      <c r="A2538" s="33" t="str">
        <f t="shared" si="156"/>
        <v>LPI - Intercompany</v>
      </c>
      <c r="B2538" s="33" t="str">
        <f t="shared" si="157"/>
        <v>LPI</v>
      </c>
      <c r="C2538" s="33" t="str">
        <f t="shared" si="158"/>
        <v>11343-0000</v>
      </c>
      <c r="D2538" t="s">
        <v>22860</v>
      </c>
      <c r="E2538" t="s">
        <v>14139</v>
      </c>
      <c r="F2538" t="s">
        <v>14039</v>
      </c>
      <c r="G2538" t="s">
        <v>14672</v>
      </c>
      <c r="H2538" t="s">
        <v>13869</v>
      </c>
      <c r="I2538" t="s">
        <v>14690</v>
      </c>
      <c r="J2538" s="62">
        <v>0</v>
      </c>
      <c r="K2538" s="62">
        <v>0</v>
      </c>
      <c r="L2538" t="str">
        <f>VLOOKUP(VALUE(LEFT(C2538,5)),Xref!A:B,2,0)</f>
        <v>GRA</v>
      </c>
      <c r="M2538" t="str">
        <f t="shared" si="159"/>
        <v>GRA-LPI</v>
      </c>
    </row>
    <row r="2539" spans="1:13" ht="14.25" customHeight="true">
      <c r="A2539" s="33" t="str">
        <f t="shared" si="156"/>
        <v>LPI - Intercompany</v>
      </c>
      <c r="B2539" s="33" t="str">
        <f t="shared" si="157"/>
        <v>LPI</v>
      </c>
      <c r="C2539" s="33" t="str">
        <f t="shared" si="158"/>
        <v>11344-0000</v>
      </c>
      <c r="D2539" t="s">
        <v>22861</v>
      </c>
      <c r="E2539" t="s">
        <v>14141</v>
      </c>
      <c r="F2539" t="s">
        <v>14039</v>
      </c>
      <c r="G2539" t="s">
        <v>14672</v>
      </c>
      <c r="H2539" t="s">
        <v>13869</v>
      </c>
      <c r="I2539" t="s">
        <v>14690</v>
      </c>
      <c r="J2539" s="62">
        <v>0</v>
      </c>
      <c r="K2539" s="62">
        <v>0</v>
      </c>
      <c r="L2539" t="str">
        <f>VLOOKUP(VALUE(LEFT(C2539,5)),Xref!A:B,2,0)</f>
        <v>SOU</v>
      </c>
      <c r="M2539" t="str">
        <f t="shared" si="159"/>
        <v>LPI-SOU</v>
      </c>
    </row>
    <row r="2540" spans="1:13" ht="14.25" customHeight="true">
      <c r="A2540" s="33" t="str">
        <f t="shared" si="156"/>
        <v>LPI - Intercompany</v>
      </c>
      <c r="B2540" s="33" t="str">
        <f t="shared" si="157"/>
        <v>LPI</v>
      </c>
      <c r="C2540" s="33" t="str">
        <f t="shared" si="158"/>
        <v>11345-0000</v>
      </c>
      <c r="D2540" t="s">
        <v>22862</v>
      </c>
      <c r="E2540" t="s">
        <v>14143</v>
      </c>
      <c r="F2540" t="s">
        <v>14039</v>
      </c>
      <c r="G2540" t="s">
        <v>14672</v>
      </c>
      <c r="H2540" t="s">
        <v>13869</v>
      </c>
      <c r="I2540" t="s">
        <v>14690</v>
      </c>
      <c r="J2540" s="62">
        <v>0</v>
      </c>
      <c r="K2540" s="62">
        <v>0</v>
      </c>
      <c r="L2540" t="str">
        <f>VLOOKUP(VALUE(LEFT(C2540,5)),Xref!A:B,2,0)</f>
        <v>API</v>
      </c>
      <c r="M2540" t="str">
        <f t="shared" si="159"/>
        <v>API-LPI</v>
      </c>
    </row>
    <row r="2541" spans="1:13" ht="14.25" customHeight="true">
      <c r="A2541" s="33" t="str">
        <f t="shared" si="156"/>
        <v>LPI - Intercompany</v>
      </c>
      <c r="B2541" s="33" t="str">
        <f t="shared" si="157"/>
        <v>LPI</v>
      </c>
      <c r="C2541" s="33" t="str">
        <f t="shared" si="158"/>
        <v>11346-0000</v>
      </c>
      <c r="D2541" t="s">
        <v>22863</v>
      </c>
      <c r="E2541" t="s">
        <v>14145</v>
      </c>
      <c r="F2541" t="s">
        <v>14039</v>
      </c>
      <c r="G2541" t="s">
        <v>14672</v>
      </c>
      <c r="H2541" t="s">
        <v>13869</v>
      </c>
      <c r="I2541" t="s">
        <v>14690</v>
      </c>
      <c r="J2541" s="62">
        <v>0</v>
      </c>
      <c r="K2541" s="62">
        <v>0</v>
      </c>
      <c r="L2541" t="str">
        <f>VLOOKUP(VALUE(LEFT(C2541,5)),Xref!A:B,2,0)</f>
        <v>DPH</v>
      </c>
      <c r="M2541" t="str">
        <f t="shared" si="159"/>
        <v>DPH-LPI</v>
      </c>
    </row>
    <row r="2542" spans="1:13" ht="14.25" customHeight="true">
      <c r="A2542" s="33" t="str">
        <f t="shared" si="156"/>
        <v>LPI - Intercompany</v>
      </c>
      <c r="B2542" s="33" t="str">
        <f t="shared" si="157"/>
        <v>LPI</v>
      </c>
      <c r="C2542" s="33" t="str">
        <f t="shared" si="158"/>
        <v>11347-0000</v>
      </c>
      <c r="D2542" t="s">
        <v>22864</v>
      </c>
      <c r="E2542" t="s">
        <v>14147</v>
      </c>
      <c r="F2542" t="s">
        <v>14039</v>
      </c>
      <c r="G2542" t="s">
        <v>14672</v>
      </c>
      <c r="H2542" t="s">
        <v>13869</v>
      </c>
      <c r="I2542" t="s">
        <v>14690</v>
      </c>
      <c r="J2542" s="62">
        <v>0</v>
      </c>
      <c r="K2542" s="62">
        <v>0</v>
      </c>
      <c r="L2542" t="str">
        <f>VLOOKUP(VALUE(LEFT(C2542,5)),Xref!A:B,2,0)</f>
        <v>ZPI</v>
      </c>
      <c r="M2542" t="str">
        <f t="shared" si="159"/>
        <v>LPI-ZPI</v>
      </c>
    </row>
    <row r="2543" spans="1:13" ht="14.25" customHeight="true">
      <c r="A2543" s="33" t="str">
        <f t="shared" si="156"/>
        <v>LPI - Intercompany</v>
      </c>
      <c r="B2543" s="33" t="str">
        <f t="shared" si="157"/>
        <v>LPI</v>
      </c>
      <c r="C2543" s="33" t="str">
        <f t="shared" si="158"/>
        <v>11348-0000</v>
      </c>
      <c r="D2543" t="s">
        <v>22865</v>
      </c>
      <c r="E2543" t="s">
        <v>14149</v>
      </c>
      <c r="F2543" t="s">
        <v>14039</v>
      </c>
      <c r="G2543" t="s">
        <v>14672</v>
      </c>
      <c r="H2543" t="s">
        <v>13869</v>
      </c>
      <c r="I2543" t="s">
        <v>14690</v>
      </c>
      <c r="J2543" s="62">
        <v>0</v>
      </c>
      <c r="K2543" s="62">
        <v>0</v>
      </c>
      <c r="L2543" t="str">
        <f>VLOOKUP(VALUE(LEFT(C2543,5)),Xref!A:B,2,0)</f>
        <v>EAM</v>
      </c>
      <c r="M2543" t="str">
        <f t="shared" si="159"/>
        <v>EAM-LPI</v>
      </c>
    </row>
    <row r="2544" spans="1:13" ht="14.25" customHeight="true">
      <c r="A2544" s="33" t="str">
        <f t="shared" si="156"/>
        <v>LPI - Intercompany</v>
      </c>
      <c r="B2544" s="33" t="str">
        <f t="shared" si="157"/>
        <v>LPI</v>
      </c>
      <c r="C2544" s="33" t="str">
        <f t="shared" si="158"/>
        <v>11349-0000</v>
      </c>
      <c r="D2544" t="s">
        <v>22866</v>
      </c>
      <c r="E2544" t="s">
        <v>14151</v>
      </c>
      <c r="F2544" t="s">
        <v>14039</v>
      </c>
      <c r="G2544" t="s">
        <v>14672</v>
      </c>
      <c r="H2544" t="s">
        <v>13869</v>
      </c>
      <c r="I2544" t="s">
        <v>14690</v>
      </c>
      <c r="J2544" s="62">
        <v>0</v>
      </c>
      <c r="K2544" s="62">
        <v>0</v>
      </c>
      <c r="L2544" t="str">
        <f>VLOOKUP(VALUE(LEFT(C2544,5)),Xref!A:B,2,0)</f>
        <v>SEA</v>
      </c>
      <c r="M2544" t="str">
        <f t="shared" si="159"/>
        <v>LPI-SEA</v>
      </c>
    </row>
    <row r="2545" spans="1:13" ht="14.25" customHeight="true">
      <c r="A2545" s="33" t="str">
        <f t="shared" si="156"/>
        <v>LPI - Intercompany</v>
      </c>
      <c r="B2545" s="33" t="str">
        <f t="shared" si="157"/>
        <v>LPI</v>
      </c>
      <c r="C2545" s="33" t="str">
        <f t="shared" si="158"/>
        <v>11350-0000</v>
      </c>
      <c r="D2545" t="s">
        <v>22867</v>
      </c>
      <c r="E2545" t="s">
        <v>14153</v>
      </c>
      <c r="F2545" t="s">
        <v>14039</v>
      </c>
      <c r="G2545" t="s">
        <v>14672</v>
      </c>
      <c r="H2545" t="s">
        <v>13869</v>
      </c>
      <c r="I2545" t="s">
        <v>14690</v>
      </c>
      <c r="J2545" s="62">
        <v>0</v>
      </c>
      <c r="K2545" s="62">
        <v>-0.51</v>
      </c>
      <c r="L2545" t="str">
        <f>VLOOKUP(VALUE(LEFT(C2545,5)),Xref!A:B,2,0)</f>
        <v>EAL</v>
      </c>
      <c r="M2545" t="str">
        <f t="shared" si="159"/>
        <v>EAL-LPI</v>
      </c>
    </row>
    <row r="2546" spans="1:13" ht="14.25" customHeight="true">
      <c r="A2546" s="33" t="str">
        <f t="shared" si="156"/>
        <v>LPI - Intercompany</v>
      </c>
      <c r="B2546" s="33" t="str">
        <f t="shared" si="157"/>
        <v>LPI</v>
      </c>
      <c r="C2546" s="33" t="str">
        <f t="shared" si="158"/>
        <v>11351-0000</v>
      </c>
      <c r="D2546" t="s">
        <v>22868</v>
      </c>
      <c r="E2546" t="s">
        <v>14155</v>
      </c>
      <c r="F2546" t="s">
        <v>14039</v>
      </c>
      <c r="G2546" t="s">
        <v>14672</v>
      </c>
      <c r="H2546" t="s">
        <v>13869</v>
      </c>
      <c r="I2546" t="s">
        <v>14690</v>
      </c>
      <c r="J2546" s="62">
        <v>0</v>
      </c>
      <c r="K2546" s="62">
        <v>0</v>
      </c>
      <c r="L2546" t="str">
        <f>VLOOKUP(VALUE(LEFT(C2546,5)),Xref!A:B,2,0)</f>
        <v>WEP</v>
      </c>
      <c r="M2546" t="str">
        <f t="shared" si="159"/>
        <v>LPI-WEP</v>
      </c>
    </row>
    <row r="2547" spans="1:13" ht="14.25" customHeight="true">
      <c r="A2547" s="33" t="str">
        <f t="shared" si="156"/>
        <v>LPI - Intercompany</v>
      </c>
      <c r="B2547" s="33" t="str">
        <f t="shared" si="157"/>
        <v>LPI</v>
      </c>
      <c r="C2547" s="33" t="str">
        <f t="shared" si="158"/>
        <v>11352-0000</v>
      </c>
      <c r="D2547" t="s">
        <v>22869</v>
      </c>
      <c r="E2547" t="s">
        <v>13536</v>
      </c>
      <c r="F2547" t="s">
        <v>14039</v>
      </c>
      <c r="G2547" t="s">
        <v>14672</v>
      </c>
      <c r="H2547" t="s">
        <v>13869</v>
      </c>
      <c r="I2547" t="s">
        <v>14690</v>
      </c>
      <c r="J2547" s="62">
        <v>0</v>
      </c>
      <c r="K2547" s="62">
        <v>0</v>
      </c>
      <c r="L2547" t="str">
        <f>VLOOKUP(VALUE(LEFT(C2547,5)),Xref!A:B,2,0)</f>
        <v>KLP</v>
      </c>
      <c r="M2547" t="str">
        <f t="shared" si="159"/>
        <v>KLP-LPI</v>
      </c>
    </row>
    <row r="2548" spans="1:13" ht="14.25" customHeight="true">
      <c r="A2548" s="33" t="str">
        <f t="shared" si="156"/>
        <v>LPI - Intercompany</v>
      </c>
      <c r="B2548" s="33" t="str">
        <f t="shared" si="157"/>
        <v>LPI</v>
      </c>
      <c r="C2548" s="33" t="str">
        <f t="shared" si="158"/>
        <v>11353-0000</v>
      </c>
      <c r="D2548" t="s">
        <v>22870</v>
      </c>
      <c r="E2548" t="s">
        <v>13537</v>
      </c>
      <c r="F2548" t="s">
        <v>14039</v>
      </c>
      <c r="G2548" t="s">
        <v>14672</v>
      </c>
      <c r="H2548" t="s">
        <v>13869</v>
      </c>
      <c r="I2548" t="s">
        <v>14690</v>
      </c>
      <c r="J2548" s="62">
        <v>0</v>
      </c>
      <c r="K2548" s="62">
        <v>0</v>
      </c>
      <c r="L2548" t="str">
        <f>VLOOKUP(VALUE(LEFT(C2548,5)),Xref!A:B,2,0)</f>
        <v>AKC</v>
      </c>
      <c r="M2548" t="str">
        <f t="shared" si="159"/>
        <v>AKC-LPI</v>
      </c>
    </row>
    <row r="2549" spans="1:13" ht="14.25" customHeight="true">
      <c r="A2549" s="33" t="str">
        <f t="shared" si="156"/>
        <v>LPI - Intercompany</v>
      </c>
      <c r="B2549" s="33" t="str">
        <f t="shared" si="157"/>
        <v>LPI</v>
      </c>
      <c r="C2549" s="33" t="str">
        <f t="shared" si="158"/>
        <v>11354-0000</v>
      </c>
      <c r="D2549" t="s">
        <v>22871</v>
      </c>
      <c r="E2549" t="s">
        <v>13538</v>
      </c>
      <c r="F2549" t="s">
        <v>14039</v>
      </c>
      <c r="G2549" t="s">
        <v>14672</v>
      </c>
      <c r="H2549" t="s">
        <v>13869</v>
      </c>
      <c r="I2549" t="s">
        <v>14690</v>
      </c>
      <c r="J2549" s="62">
        <v>0</v>
      </c>
      <c r="K2549" s="62">
        <v>0</v>
      </c>
      <c r="L2549" t="str">
        <f>VLOOKUP(VALUE(LEFT(C2549,5)),Xref!A:B,2,0)</f>
        <v>AKA</v>
      </c>
      <c r="M2549" t="str">
        <f t="shared" si="159"/>
        <v>AKA-LPI</v>
      </c>
    </row>
    <row r="2550" spans="1:13" ht="14.25" customHeight="true">
      <c r="A2550" s="33" t="str">
        <f t="shared" si="156"/>
        <v>LPI - Intercompany</v>
      </c>
      <c r="B2550" s="33" t="str">
        <f t="shared" si="157"/>
        <v>LPI</v>
      </c>
      <c r="C2550" s="33" t="str">
        <f t="shared" si="158"/>
        <v>11355-0000</v>
      </c>
      <c r="D2550" t="s">
        <v>22872</v>
      </c>
      <c r="E2550" t="s">
        <v>13539</v>
      </c>
      <c r="F2550" t="s">
        <v>14039</v>
      </c>
      <c r="G2550" t="s">
        <v>14672</v>
      </c>
      <c r="H2550" t="s">
        <v>13869</v>
      </c>
      <c r="I2550" t="s">
        <v>14690</v>
      </c>
      <c r="J2550" s="62">
        <v>0</v>
      </c>
      <c r="K2550" s="62">
        <v>0</v>
      </c>
      <c r="L2550" t="str">
        <f>VLOOKUP(VALUE(LEFT(C2550,5)),Xref!A:B,2,0)</f>
        <v>SPA</v>
      </c>
      <c r="M2550" t="str">
        <f t="shared" si="159"/>
        <v>LPI-SPA</v>
      </c>
    </row>
    <row r="2551" spans="1:13" ht="14.25" customHeight="true">
      <c r="A2551" s="33" t="str">
        <f t="shared" si="156"/>
        <v>LPI - Intercompany</v>
      </c>
      <c r="B2551" s="33" t="str">
        <f t="shared" si="157"/>
        <v>LPI</v>
      </c>
      <c r="C2551" s="33" t="str">
        <f t="shared" si="158"/>
        <v>11356-0000</v>
      </c>
      <c r="D2551" t="s">
        <v>22873</v>
      </c>
      <c r="E2551" t="s">
        <v>13540</v>
      </c>
      <c r="F2551" t="s">
        <v>14039</v>
      </c>
      <c r="G2551" t="s">
        <v>14672</v>
      </c>
      <c r="H2551" t="s">
        <v>13869</v>
      </c>
      <c r="I2551" t="s">
        <v>14690</v>
      </c>
      <c r="J2551" s="62">
        <v>0</v>
      </c>
      <c r="K2551" s="62">
        <v>0</v>
      </c>
      <c r="L2551" t="str">
        <f>VLOOKUP(VALUE(LEFT(C2551,5)),Xref!A:B,2,0)</f>
        <v>DPM</v>
      </c>
      <c r="M2551" t="str">
        <f t="shared" si="159"/>
        <v>DPM-LPI</v>
      </c>
    </row>
    <row r="2552" spans="1:13" ht="14.25" customHeight="true">
      <c r="A2552" s="33" t="str">
        <f t="shared" si="156"/>
        <v>LPI - Intercompany</v>
      </c>
      <c r="B2552" s="33" t="str">
        <f t="shared" si="157"/>
        <v>LPI</v>
      </c>
      <c r="C2552" s="33" t="str">
        <f t="shared" si="158"/>
        <v>11357-0000</v>
      </c>
      <c r="D2552" t="s">
        <v>22874</v>
      </c>
      <c r="E2552" t="s">
        <v>13541</v>
      </c>
      <c r="F2552" t="s">
        <v>14039</v>
      </c>
      <c r="G2552" t="s">
        <v>14672</v>
      </c>
      <c r="H2552" t="s">
        <v>13869</v>
      </c>
      <c r="I2552" t="s">
        <v>14690</v>
      </c>
      <c r="J2552" s="62">
        <v>0</v>
      </c>
      <c r="K2552" s="62">
        <v>0</v>
      </c>
      <c r="L2552" t="str">
        <f>VLOOKUP(VALUE(LEFT(C2552,5)),Xref!A:B,2,0)</f>
        <v>HDM</v>
      </c>
      <c r="M2552" t="str">
        <f t="shared" si="159"/>
        <v>HDM-LPI</v>
      </c>
    </row>
    <row r="2553" spans="1:13" ht="14.25" customHeight="true">
      <c r="A2553" s="33" t="str">
        <f t="shared" si="156"/>
        <v>LPI - Intercompany</v>
      </c>
      <c r="B2553" s="33" t="str">
        <f t="shared" si="157"/>
        <v>LPI</v>
      </c>
      <c r="C2553" s="33" t="str">
        <f t="shared" si="158"/>
        <v>11358-0000</v>
      </c>
      <c r="D2553" t="s">
        <v>22875</v>
      </c>
      <c r="E2553" t="s">
        <v>13542</v>
      </c>
      <c r="F2553" t="s">
        <v>14039</v>
      </c>
      <c r="G2553" t="s">
        <v>14672</v>
      </c>
      <c r="H2553" t="s">
        <v>13869</v>
      </c>
      <c r="I2553" t="s">
        <v>14690</v>
      </c>
      <c r="J2553" s="62">
        <v>0</v>
      </c>
      <c r="K2553" s="62">
        <v>0</v>
      </c>
      <c r="L2553" t="str">
        <f>VLOOKUP(VALUE(LEFT(C2553,5)),Xref!A:B,2,0)</f>
        <v>GRA</v>
      </c>
      <c r="M2553" t="str">
        <f t="shared" si="159"/>
        <v>GRA-LPI</v>
      </c>
    </row>
    <row r="2554" spans="1:13" ht="14.25" customHeight="true">
      <c r="A2554" s="33" t="str">
        <f t="shared" si="156"/>
        <v>LPI - Intercompany</v>
      </c>
      <c r="B2554" s="33" t="str">
        <f t="shared" si="157"/>
        <v>LPI</v>
      </c>
      <c r="C2554" s="33" t="str">
        <f t="shared" si="158"/>
        <v>11359-0000</v>
      </c>
      <c r="D2554" t="s">
        <v>22876</v>
      </c>
      <c r="E2554" t="s">
        <v>13543</v>
      </c>
      <c r="F2554" t="s">
        <v>14039</v>
      </c>
      <c r="G2554" t="s">
        <v>14672</v>
      </c>
      <c r="H2554" t="s">
        <v>13869</v>
      </c>
      <c r="I2554" t="s">
        <v>14690</v>
      </c>
      <c r="J2554" s="62">
        <v>0</v>
      </c>
      <c r="K2554" s="62">
        <v>0</v>
      </c>
      <c r="L2554" t="str">
        <f>VLOOKUP(VALUE(LEFT(C2554,5)),Xref!A:B,2,0)</f>
        <v>TPI</v>
      </c>
      <c r="M2554" t="str">
        <f t="shared" si="159"/>
        <v>LPI-TPI</v>
      </c>
    </row>
    <row r="2555" spans="1:13" ht="14.25" customHeight="true">
      <c r="A2555" s="33" t="str">
        <f t="shared" si="156"/>
        <v>LPI - Intercompany</v>
      </c>
      <c r="B2555" s="33" t="str">
        <f t="shared" si="157"/>
        <v>LPI</v>
      </c>
      <c r="C2555" s="33" t="str">
        <f t="shared" si="158"/>
        <v>11361-0000</v>
      </c>
      <c r="D2555" t="s">
        <v>22877</v>
      </c>
      <c r="E2555" t="s">
        <v>14165</v>
      </c>
      <c r="F2555" t="s">
        <v>14039</v>
      </c>
      <c r="G2555" t="s">
        <v>14672</v>
      </c>
      <c r="H2555" t="s">
        <v>13869</v>
      </c>
      <c r="I2555" t="s">
        <v>14690</v>
      </c>
      <c r="J2555" s="62">
        <v>0</v>
      </c>
      <c r="K2555" s="62">
        <v>0</v>
      </c>
      <c r="L2555" t="str">
        <f>VLOOKUP(VALUE(LEFT(C2555,5)),Xref!A:B,2,0)</f>
        <v>GSM</v>
      </c>
      <c r="M2555" t="str">
        <f t="shared" si="159"/>
        <v>GSM-LPI</v>
      </c>
    </row>
    <row r="2556" spans="1:13" ht="14.25" customHeight="true">
      <c r="A2556" s="33" t="str">
        <f t="shared" si="156"/>
        <v>LPI - Intercompany</v>
      </c>
      <c r="B2556" s="33" t="str">
        <f t="shared" si="157"/>
        <v>LPI</v>
      </c>
      <c r="C2556" s="33" t="str">
        <f t="shared" si="158"/>
        <v>11363-0000</v>
      </c>
      <c r="D2556" t="s">
        <v>22878</v>
      </c>
      <c r="E2556" t="s">
        <v>13544</v>
      </c>
      <c r="F2556" t="s">
        <v>14039</v>
      </c>
      <c r="G2556" t="s">
        <v>14672</v>
      </c>
      <c r="H2556" t="s">
        <v>13869</v>
      </c>
      <c r="I2556" t="s">
        <v>14690</v>
      </c>
      <c r="J2556" s="62">
        <v>0</v>
      </c>
      <c r="K2556" s="62">
        <v>0</v>
      </c>
      <c r="L2556" t="str">
        <f>VLOOKUP(VALUE(LEFT(C2556,5)),Xref!A:B,2,0)</f>
        <v>SOF</v>
      </c>
      <c r="M2556" t="str">
        <f t="shared" si="159"/>
        <v>LPI-SOF</v>
      </c>
    </row>
    <row r="2557" spans="1:13" ht="14.25" customHeight="true">
      <c r="A2557" s="33" t="str">
        <f t="shared" si="156"/>
        <v>LPI - Intercompany</v>
      </c>
      <c r="B2557" s="33" t="str">
        <f t="shared" si="157"/>
        <v>LPI</v>
      </c>
      <c r="C2557" s="33" t="str">
        <f t="shared" si="158"/>
        <v>11364-0000</v>
      </c>
      <c r="D2557" t="s">
        <v>22879</v>
      </c>
      <c r="E2557" t="s">
        <v>14168</v>
      </c>
      <c r="F2557" t="s">
        <v>14039</v>
      </c>
      <c r="G2557" t="s">
        <v>14672</v>
      </c>
      <c r="H2557" t="s">
        <v>13869</v>
      </c>
      <c r="I2557" t="s">
        <v>14690</v>
      </c>
      <c r="J2557" s="62">
        <v>0</v>
      </c>
      <c r="K2557" s="62">
        <v>0</v>
      </c>
      <c r="L2557" t="e">
        <f>VLOOKUP(VALUE(LEFT(C2557,5)),Xref!A:B,2,0)</f>
        <v>#N/A</v>
      </c>
      <c r="M2557" t="e">
        <f t="shared" si="159"/>
        <v>#N/A</v>
      </c>
    </row>
    <row r="2558" spans="1:13" ht="14.25" customHeight="true">
      <c r="A2558" s="33" t="str">
        <f t="shared" si="156"/>
        <v>LPI - Intercompany</v>
      </c>
      <c r="B2558" s="33" t="str">
        <f t="shared" si="157"/>
        <v>LPI</v>
      </c>
      <c r="C2558" s="33" t="str">
        <f t="shared" si="158"/>
        <v>11365-0000</v>
      </c>
      <c r="D2558" t="s">
        <v>22880</v>
      </c>
      <c r="E2558" t="s">
        <v>14170</v>
      </c>
      <c r="F2558" t="s">
        <v>14039</v>
      </c>
      <c r="G2558" t="s">
        <v>14672</v>
      </c>
      <c r="H2558" t="s">
        <v>13869</v>
      </c>
      <c r="I2558" t="s">
        <v>14690</v>
      </c>
      <c r="J2558" s="62">
        <v>0</v>
      </c>
      <c r="K2558" s="62">
        <v>0</v>
      </c>
      <c r="L2558" t="e">
        <f>VLOOKUP(VALUE(LEFT(C2558,5)),Xref!A:B,2,0)</f>
        <v>#N/A</v>
      </c>
      <c r="M2558" t="e">
        <f t="shared" si="159"/>
        <v>#N/A</v>
      </c>
    </row>
    <row r="2559" spans="1:13" ht="14.25" customHeight="true">
      <c r="A2559" s="33" t="str">
        <f t="shared" si="156"/>
        <v>LPI - Intercompany</v>
      </c>
      <c r="B2559" s="33" t="str">
        <f t="shared" si="157"/>
        <v>LPI</v>
      </c>
      <c r="C2559" s="33" t="str">
        <f t="shared" si="158"/>
        <v>11366-0000</v>
      </c>
      <c r="D2559" t="s">
        <v>22881</v>
      </c>
      <c r="E2559" t="s">
        <v>14172</v>
      </c>
      <c r="G2559" t="s">
        <v>14672</v>
      </c>
      <c r="H2559" t="s">
        <v>13869</v>
      </c>
      <c r="I2559" t="s">
        <v>14690</v>
      </c>
      <c r="J2559" s="62">
        <v>0</v>
      </c>
      <c r="K2559" s="62">
        <v>0</v>
      </c>
      <c r="L2559" t="e">
        <f>VLOOKUP(VALUE(LEFT(C2559,5)),Xref!A:B,2,0)</f>
        <v>#N/A</v>
      </c>
      <c r="M2559" t="e">
        <f t="shared" si="159"/>
        <v>#N/A</v>
      </c>
    </row>
    <row r="2560" spans="1:13" ht="14.25" customHeight="true">
      <c r="A2560" s="33" t="str">
        <f t="shared" si="156"/>
        <v>LPI - Intercompany</v>
      </c>
      <c r="B2560" s="33" t="str">
        <f t="shared" si="157"/>
        <v>LPI</v>
      </c>
      <c r="C2560" s="33" t="str">
        <f t="shared" si="158"/>
        <v>11402-0000</v>
      </c>
      <c r="D2560" t="s">
        <v>22882</v>
      </c>
      <c r="E2560" t="s">
        <v>14174</v>
      </c>
      <c r="G2560" t="s">
        <v>14672</v>
      </c>
      <c r="H2560" t="s">
        <v>13869</v>
      </c>
      <c r="I2560" t="s">
        <v>14690</v>
      </c>
      <c r="J2560" s="62">
        <v>0</v>
      </c>
      <c r="K2560" s="62">
        <v>0</v>
      </c>
      <c r="L2560" t="str">
        <f>VLOOKUP(VALUE(LEFT(C2560,5)),Xref!A:B,2,0)</f>
        <v>DPI</v>
      </c>
      <c r="M2560" t="str">
        <f t="shared" si="159"/>
        <v>DPI-LPI</v>
      </c>
    </row>
    <row r="2561" spans="1:13" ht="14.25" customHeight="true">
      <c r="A2561" s="33" t="str">
        <f t="shared" si="156"/>
        <v>LPI - Intercompany</v>
      </c>
      <c r="B2561" s="33" t="str">
        <f t="shared" si="157"/>
        <v>LPI</v>
      </c>
      <c r="C2561" s="33" t="str">
        <f t="shared" si="158"/>
        <v>11403-0000</v>
      </c>
      <c r="D2561" t="s">
        <v>22883</v>
      </c>
      <c r="E2561" t="s">
        <v>14176</v>
      </c>
      <c r="G2561" t="s">
        <v>14672</v>
      </c>
      <c r="H2561" t="s">
        <v>13869</v>
      </c>
      <c r="I2561" t="s">
        <v>14690</v>
      </c>
      <c r="J2561" s="62">
        <v>0</v>
      </c>
      <c r="K2561" s="62">
        <v>0</v>
      </c>
      <c r="L2561" t="str">
        <f>VLOOKUP(VALUE(LEFT(C2561,5)),Xref!A:B,2,0)</f>
        <v>SEA</v>
      </c>
      <c r="M2561" t="str">
        <f t="shared" si="159"/>
        <v>LPI-SEA</v>
      </c>
    </row>
    <row r="2562" spans="1:13" ht="14.25" customHeight="true">
      <c r="A2562" s="33" t="str">
        <f t="shared" ref="A2562:A2625" si="160">B2562&amp;" - "&amp;TRIM(H2562)</f>
        <v>LPI - Intercompany</v>
      </c>
      <c r="B2562" s="33" t="str">
        <f t="shared" ref="B2562:B2625" si="161">LEFT(D2562,3)</f>
        <v>LPI</v>
      </c>
      <c r="C2562" s="33" t="str">
        <f t="shared" ref="C2562:C2625" si="162">RIGHT(D2562,10)</f>
        <v>12400-0000</v>
      </c>
      <c r="D2562" t="s">
        <v>22886</v>
      </c>
      <c r="E2562" t="s">
        <v>14185</v>
      </c>
      <c r="F2562" t="s">
        <v>14039</v>
      </c>
      <c r="G2562" t="s">
        <v>14672</v>
      </c>
      <c r="H2562" t="s">
        <v>13869</v>
      </c>
      <c r="I2562" t="s">
        <v>14690</v>
      </c>
      <c r="J2562" s="62">
        <v>0</v>
      </c>
      <c r="K2562" s="62">
        <v>0</v>
      </c>
      <c r="L2562" t="str">
        <f>VLOOKUP(VALUE(LEFT(C2562,5)),Xref!A:B,2,0)</f>
        <v>aka</v>
      </c>
      <c r="M2562" t="str">
        <f t="shared" ref="M2562:M2625" si="163">IF(B2562&lt;L2562,B2562&amp;"-"&amp;L2562,L2562&amp;"-"&amp;B2562)</f>
        <v>aka-LPI</v>
      </c>
    </row>
    <row r="2563" spans="1:13" ht="14.25" customHeight="true">
      <c r="A2563" s="33" t="str">
        <f t="shared" si="160"/>
        <v>LPI - Intercompany</v>
      </c>
      <c r="B2563" s="33" t="str">
        <f t="shared" si="161"/>
        <v>LPI</v>
      </c>
      <c r="C2563" s="33" t="str">
        <f t="shared" si="162"/>
        <v>12401-0000</v>
      </c>
      <c r="D2563" t="s">
        <v>22887</v>
      </c>
      <c r="E2563" t="s">
        <v>14187</v>
      </c>
      <c r="F2563" t="s">
        <v>14039</v>
      </c>
      <c r="G2563" t="s">
        <v>14672</v>
      </c>
      <c r="H2563" t="s">
        <v>13869</v>
      </c>
      <c r="I2563" t="s">
        <v>14690</v>
      </c>
      <c r="J2563" s="62">
        <v>0</v>
      </c>
      <c r="K2563" s="62">
        <v>0</v>
      </c>
      <c r="L2563" t="str">
        <f>VLOOKUP(VALUE(LEFT(C2563,5)),Xref!A:B,2,0)</f>
        <v>aka</v>
      </c>
      <c r="M2563" t="str">
        <f t="shared" si="163"/>
        <v>aka-LPI</v>
      </c>
    </row>
    <row r="2564" spans="1:13" ht="14.25" customHeight="true">
      <c r="A2564" s="33" t="str">
        <f t="shared" si="160"/>
        <v>LPI - Intercompany</v>
      </c>
      <c r="B2564" s="33" t="str">
        <f t="shared" si="161"/>
        <v>LPI</v>
      </c>
      <c r="C2564" s="33" t="str">
        <f t="shared" si="162"/>
        <v>12402-0000</v>
      </c>
      <c r="D2564" t="s">
        <v>22888</v>
      </c>
      <c r="E2564" t="s">
        <v>14189</v>
      </c>
      <c r="F2564" t="s">
        <v>14039</v>
      </c>
      <c r="G2564" t="s">
        <v>14672</v>
      </c>
      <c r="H2564" t="s">
        <v>13869</v>
      </c>
      <c r="I2564" t="s">
        <v>14690</v>
      </c>
      <c r="J2564" s="62">
        <v>0</v>
      </c>
      <c r="K2564" s="62">
        <v>5000</v>
      </c>
      <c r="L2564" t="str">
        <f>VLOOKUP(VALUE(LEFT(C2564,5)),Xref!A:B,2,0)</f>
        <v>aka</v>
      </c>
      <c r="M2564" t="str">
        <f t="shared" si="163"/>
        <v>aka-LPI</v>
      </c>
    </row>
    <row r="2565" spans="1:13" ht="14.25" customHeight="true">
      <c r="A2565" s="33" t="str">
        <f t="shared" si="160"/>
        <v>LPI - Intercompany</v>
      </c>
      <c r="B2565" s="33" t="str">
        <f t="shared" si="161"/>
        <v>LPI</v>
      </c>
      <c r="C2565" s="33" t="str">
        <f t="shared" si="162"/>
        <v>12403-0000</v>
      </c>
      <c r="D2565" t="s">
        <v>22889</v>
      </c>
      <c r="E2565" t="s">
        <v>5226</v>
      </c>
      <c r="F2565" t="s">
        <v>14039</v>
      </c>
      <c r="G2565" t="s">
        <v>14672</v>
      </c>
      <c r="H2565" t="s">
        <v>13869</v>
      </c>
      <c r="I2565" t="s">
        <v>14690</v>
      </c>
      <c r="J2565" s="62">
        <v>0</v>
      </c>
      <c r="K2565" s="62">
        <v>0</v>
      </c>
      <c r="L2565" t="str">
        <f>VLOOKUP(VALUE(LEFT(C2565,5)),Xref!A:B,2,0)</f>
        <v>aka</v>
      </c>
      <c r="M2565" t="str">
        <f t="shared" si="163"/>
        <v>aka-LPI</v>
      </c>
    </row>
    <row r="2566" spans="1:13" ht="14.25" customHeight="true">
      <c r="A2566" s="33" t="str">
        <f t="shared" si="160"/>
        <v>LPI - Intercompany</v>
      </c>
      <c r="B2566" s="33" t="str">
        <f t="shared" si="161"/>
        <v>LPI</v>
      </c>
      <c r="C2566" s="33" t="str">
        <f t="shared" si="162"/>
        <v>12501-0000</v>
      </c>
      <c r="D2566" t="s">
        <v>22890</v>
      </c>
      <c r="E2566" t="s">
        <v>14192</v>
      </c>
      <c r="F2566" t="s">
        <v>14039</v>
      </c>
      <c r="G2566" t="s">
        <v>14672</v>
      </c>
      <c r="H2566" t="s">
        <v>13869</v>
      </c>
      <c r="I2566" t="s">
        <v>14690</v>
      </c>
      <c r="J2566" s="62">
        <v>0</v>
      </c>
      <c r="K2566" s="62">
        <v>0</v>
      </c>
      <c r="L2566" t="str">
        <f>VLOOKUP(VALUE(LEFT(C2566,5)),Xref!A:B,2,0)</f>
        <v>aka</v>
      </c>
      <c r="M2566" t="str">
        <f t="shared" si="163"/>
        <v>aka-LPI</v>
      </c>
    </row>
    <row r="2567" spans="1:13" ht="14.25" customHeight="true">
      <c r="A2567" s="33" t="str">
        <f t="shared" si="160"/>
        <v>LPI - InterCo Notes</v>
      </c>
      <c r="B2567" s="33" t="str">
        <f t="shared" si="161"/>
        <v>LPI</v>
      </c>
      <c r="C2567" s="33" t="str">
        <f t="shared" si="162"/>
        <v>25600-0000</v>
      </c>
      <c r="D2567" t="s">
        <v>22943</v>
      </c>
      <c r="E2567" t="s">
        <v>314</v>
      </c>
      <c r="F2567" t="s">
        <v>14039</v>
      </c>
      <c r="G2567" t="s">
        <v>14672</v>
      </c>
      <c r="H2567" t="s">
        <v>13889</v>
      </c>
      <c r="I2567" t="s">
        <v>14690</v>
      </c>
      <c r="J2567" s="62">
        <v>0</v>
      </c>
      <c r="K2567" s="62">
        <v>0</v>
      </c>
      <c r="L2567" t="str">
        <f>VLOOKUP(VALUE(LEFT(C2567,5)),Xref!A:B,2,0)</f>
        <v>D7</v>
      </c>
      <c r="M2567" t="str">
        <f t="shared" si="163"/>
        <v>D7-LPI</v>
      </c>
    </row>
    <row r="2568" spans="1:13" ht="14.25" customHeight="true">
      <c r="A2568" s="33" t="str">
        <f t="shared" si="160"/>
        <v>LPI - InterCo Notes</v>
      </c>
      <c r="B2568" s="33" t="str">
        <f t="shared" si="161"/>
        <v>LPI</v>
      </c>
      <c r="C2568" s="33" t="str">
        <f t="shared" si="162"/>
        <v>25602-0000</v>
      </c>
      <c r="D2568" t="s">
        <v>22945</v>
      </c>
      <c r="E2568" t="s">
        <v>13426</v>
      </c>
      <c r="F2568" t="s">
        <v>14039</v>
      </c>
      <c r="G2568" t="s">
        <v>14672</v>
      </c>
      <c r="H2568" t="s">
        <v>13889</v>
      </c>
      <c r="I2568" t="s">
        <v>14690</v>
      </c>
      <c r="J2568" s="62">
        <v>0</v>
      </c>
      <c r="K2568" s="62">
        <v>0</v>
      </c>
      <c r="L2568" t="str">
        <f>VLOOKUP(VALUE(LEFT(C2568,5)),Xref!A:B,2,0)</f>
        <v>DFLP</v>
      </c>
      <c r="M2568" t="str">
        <f t="shared" si="163"/>
        <v>DFLP-LPI</v>
      </c>
    </row>
    <row r="2569" spans="1:13" ht="14.25" customHeight="true">
      <c r="A2569" s="33" t="str">
        <f t="shared" si="160"/>
        <v>LPI - InterCo Notes</v>
      </c>
      <c r="B2569" s="33" t="str">
        <f t="shared" si="161"/>
        <v>LPI</v>
      </c>
      <c r="C2569" s="33" t="str">
        <f t="shared" si="162"/>
        <v>25603-0000</v>
      </c>
      <c r="D2569" t="s">
        <v>22946</v>
      </c>
      <c r="E2569" t="s">
        <v>14311</v>
      </c>
      <c r="F2569" t="s">
        <v>14039</v>
      </c>
      <c r="G2569" t="s">
        <v>14832</v>
      </c>
      <c r="H2569" t="s">
        <v>13889</v>
      </c>
      <c r="I2569" t="s">
        <v>14690</v>
      </c>
      <c r="J2569" s="62">
        <v>0</v>
      </c>
      <c r="K2569" s="62">
        <v>0</v>
      </c>
      <c r="L2569" t="str">
        <f>VLOOKUP(VALUE(LEFT(C2569,5)),Xref!A:B,2,0)</f>
        <v>aka</v>
      </c>
      <c r="M2569" t="str">
        <f t="shared" si="163"/>
        <v>aka-LPI</v>
      </c>
    </row>
    <row r="2570" spans="1:13" ht="14.25" customHeight="true">
      <c r="A2570" s="33" t="str">
        <f t="shared" si="160"/>
        <v>LPI - Intercompany</v>
      </c>
      <c r="B2570" s="33" t="str">
        <f t="shared" si="161"/>
        <v>LPI</v>
      </c>
      <c r="C2570" s="33" t="str">
        <f t="shared" si="162"/>
        <v>25604-0000</v>
      </c>
      <c r="D2570" t="s">
        <v>22947</v>
      </c>
      <c r="E2570" t="s">
        <v>13490</v>
      </c>
      <c r="F2570" t="s">
        <v>14039</v>
      </c>
      <c r="G2570" t="s">
        <v>14672</v>
      </c>
      <c r="H2570" t="s">
        <v>13869</v>
      </c>
      <c r="I2570" t="s">
        <v>14690</v>
      </c>
      <c r="J2570" s="62">
        <v>0</v>
      </c>
      <c r="K2570" s="62">
        <v>0</v>
      </c>
      <c r="L2570">
        <f>VLOOKUP(VALUE(LEFT(C2570,5)),Xref!A:B,2,0)</f>
        <v>0</v>
      </c>
      <c r="M2570" t="str">
        <f t="shared" si="163"/>
        <v>0-LPI</v>
      </c>
    </row>
    <row r="2571" spans="1:13" ht="14.25" customHeight="true">
      <c r="A2571" s="33" t="str">
        <f t="shared" si="160"/>
        <v>LPI - Intercompany</v>
      </c>
      <c r="B2571" s="33" t="str">
        <f t="shared" si="161"/>
        <v>LPI</v>
      </c>
      <c r="C2571" s="33" t="str">
        <f t="shared" si="162"/>
        <v>11200-0000</v>
      </c>
      <c r="D2571" t="s">
        <v>23150</v>
      </c>
      <c r="E2571" t="s">
        <v>14069</v>
      </c>
      <c r="F2571" t="s">
        <v>14039</v>
      </c>
      <c r="G2571" t="s">
        <v>14672</v>
      </c>
      <c r="H2571" t="s">
        <v>13869</v>
      </c>
      <c r="I2571" t="s">
        <v>14690</v>
      </c>
      <c r="J2571" s="62">
        <v>0</v>
      </c>
      <c r="K2571" s="62">
        <v>0</v>
      </c>
      <c r="L2571" t="str">
        <f>VLOOKUP(VALUE(LEFT(C2571,5)),Xref!A:B,2,0)</f>
        <v>SCL</v>
      </c>
      <c r="M2571" t="str">
        <f t="shared" si="163"/>
        <v>LPI-SCL</v>
      </c>
    </row>
    <row r="2572" spans="1:13" ht="14.25" customHeight="true">
      <c r="A2572" s="33" t="str">
        <f t="shared" si="160"/>
        <v>LPI - Intercompany</v>
      </c>
      <c r="B2572" s="33" t="str">
        <f t="shared" si="161"/>
        <v>LPI</v>
      </c>
      <c r="C2572" s="33" t="str">
        <f t="shared" si="162"/>
        <v>11201-0000</v>
      </c>
      <c r="D2572" t="s">
        <v>23151</v>
      </c>
      <c r="E2572" t="s">
        <v>14071</v>
      </c>
      <c r="F2572" t="s">
        <v>14039</v>
      </c>
      <c r="G2572" t="s">
        <v>14672</v>
      </c>
      <c r="H2572" t="s">
        <v>13869</v>
      </c>
      <c r="I2572" t="s">
        <v>14690</v>
      </c>
      <c r="J2572" s="62">
        <v>0</v>
      </c>
      <c r="K2572" s="62">
        <v>0</v>
      </c>
      <c r="L2572" t="str">
        <f>VLOOKUP(VALUE(LEFT(C2572,5)),Xref!A:B,2,0)</f>
        <v>SG2</v>
      </c>
      <c r="M2572" t="str">
        <f t="shared" si="163"/>
        <v>LPI-SG2</v>
      </c>
    </row>
    <row r="2573" spans="1:13" ht="14.25" customHeight="true">
      <c r="A2573" s="33" t="str">
        <f t="shared" si="160"/>
        <v>LPI - Intercompany</v>
      </c>
      <c r="B2573" s="33" t="str">
        <f t="shared" si="161"/>
        <v>LPI</v>
      </c>
      <c r="C2573" s="33" t="str">
        <f t="shared" si="162"/>
        <v>11202-0000</v>
      </c>
      <c r="D2573" t="s">
        <v>23152</v>
      </c>
      <c r="E2573" t="s">
        <v>14073</v>
      </c>
      <c r="F2573" t="s">
        <v>14039</v>
      </c>
      <c r="G2573" t="s">
        <v>14672</v>
      </c>
      <c r="H2573" t="s">
        <v>13869</v>
      </c>
      <c r="I2573" t="s">
        <v>14690</v>
      </c>
      <c r="J2573" s="62">
        <v>0</v>
      </c>
      <c r="K2573" s="62">
        <v>0</v>
      </c>
      <c r="L2573" t="str">
        <f>VLOOKUP(VALUE(LEFT(C2573,5)),Xref!A:B,2,0)</f>
        <v>FFC</v>
      </c>
      <c r="M2573" t="str">
        <f t="shared" si="163"/>
        <v>FFC-LPI</v>
      </c>
    </row>
    <row r="2574" spans="1:13" ht="14.25" customHeight="true">
      <c r="A2574" s="33" t="str">
        <f t="shared" si="160"/>
        <v>LPI - Intercompany</v>
      </c>
      <c r="B2574" s="33" t="str">
        <f t="shared" si="161"/>
        <v>LPI</v>
      </c>
      <c r="C2574" s="33" t="str">
        <f t="shared" si="162"/>
        <v>11203-0000</v>
      </c>
      <c r="D2574" t="s">
        <v>23153</v>
      </c>
      <c r="E2574" t="s">
        <v>14075</v>
      </c>
      <c r="F2574" t="s">
        <v>14039</v>
      </c>
      <c r="G2574" t="s">
        <v>14672</v>
      </c>
      <c r="H2574" t="s">
        <v>13869</v>
      </c>
      <c r="I2574" t="s">
        <v>14690</v>
      </c>
      <c r="J2574" s="62">
        <v>0</v>
      </c>
      <c r="K2574" s="62">
        <v>0</v>
      </c>
      <c r="L2574" t="str">
        <f>VLOOKUP(VALUE(LEFT(C2574,5)),Xref!A:B,2,0)</f>
        <v>HN2</v>
      </c>
      <c r="M2574" t="str">
        <f t="shared" si="163"/>
        <v>HN2-LPI</v>
      </c>
    </row>
    <row r="2575" spans="1:13" ht="14.25" customHeight="true">
      <c r="A2575" s="33" t="str">
        <f t="shared" si="160"/>
        <v>LPI - Intercompany</v>
      </c>
      <c r="B2575" s="33" t="str">
        <f t="shared" si="161"/>
        <v>LPI</v>
      </c>
      <c r="C2575" s="33" t="str">
        <f t="shared" si="162"/>
        <v>11204-0000</v>
      </c>
      <c r="D2575" t="s">
        <v>23154</v>
      </c>
      <c r="E2575" t="s">
        <v>14077</v>
      </c>
      <c r="F2575" t="s">
        <v>14039</v>
      </c>
      <c r="G2575" t="s">
        <v>14672</v>
      </c>
      <c r="H2575" t="s">
        <v>13869</v>
      </c>
      <c r="I2575" t="s">
        <v>14690</v>
      </c>
      <c r="J2575" s="62">
        <v>0</v>
      </c>
      <c r="K2575" s="62">
        <v>0</v>
      </c>
      <c r="L2575" t="str">
        <f>VLOOKUP(VALUE(LEFT(C2575,5)),Xref!A:B,2,0)</f>
        <v>DF2</v>
      </c>
      <c r="M2575" t="str">
        <f t="shared" si="163"/>
        <v>DF2-LPI</v>
      </c>
    </row>
    <row r="2576" spans="1:13" ht="14.25" customHeight="true">
      <c r="A2576" s="33" t="str">
        <f t="shared" si="160"/>
        <v>LPI - Intercompany</v>
      </c>
      <c r="B2576" s="33" t="str">
        <f t="shared" si="161"/>
        <v>LPI</v>
      </c>
      <c r="C2576" s="33" t="str">
        <f t="shared" si="162"/>
        <v>11208-0000</v>
      </c>
      <c r="D2576" t="s">
        <v>23155</v>
      </c>
      <c r="E2576" t="s">
        <v>14079</v>
      </c>
      <c r="F2576" t="s">
        <v>14039</v>
      </c>
      <c r="G2576" t="s">
        <v>14672</v>
      </c>
      <c r="H2576" t="s">
        <v>13869</v>
      </c>
      <c r="I2576" t="s">
        <v>14690</v>
      </c>
      <c r="J2576" s="62">
        <v>0</v>
      </c>
      <c r="K2576" s="62">
        <v>0</v>
      </c>
      <c r="L2576" t="str">
        <f>VLOOKUP(VALUE(LEFT(C2576,5)),Xref!A:B,2,0)</f>
        <v>SRE</v>
      </c>
      <c r="M2576" t="str">
        <f t="shared" si="163"/>
        <v>LPI-SRE</v>
      </c>
    </row>
    <row r="2577" spans="1:13" ht="14.25" customHeight="true">
      <c r="A2577" s="33" t="str">
        <f t="shared" si="160"/>
        <v>LPI - Intercompany</v>
      </c>
      <c r="B2577" s="33" t="str">
        <f t="shared" si="161"/>
        <v>LPI</v>
      </c>
      <c r="C2577" s="33" t="str">
        <f t="shared" si="162"/>
        <v>11210-0000</v>
      </c>
      <c r="D2577" t="s">
        <v>23156</v>
      </c>
      <c r="E2577" t="s">
        <v>14081</v>
      </c>
      <c r="F2577" t="s">
        <v>14039</v>
      </c>
      <c r="G2577" t="s">
        <v>14672</v>
      </c>
      <c r="H2577" t="s">
        <v>13869</v>
      </c>
      <c r="I2577" t="s">
        <v>14690</v>
      </c>
      <c r="J2577" s="62">
        <v>0</v>
      </c>
      <c r="K2577" s="62">
        <v>0</v>
      </c>
      <c r="L2577" t="str">
        <f>VLOOKUP(VALUE(LEFT(C2577,5)),Xref!A:B,2,0)</f>
        <v>REM</v>
      </c>
      <c r="M2577" t="str">
        <f t="shared" si="163"/>
        <v>LPI-REM</v>
      </c>
    </row>
    <row r="2578" spans="1:13" ht="14.25" customHeight="true">
      <c r="A2578" s="33" t="str">
        <f t="shared" si="160"/>
        <v>LPI - Intercompany</v>
      </c>
      <c r="B2578" s="33" t="str">
        <f t="shared" si="161"/>
        <v>LPI</v>
      </c>
      <c r="C2578" s="33" t="str">
        <f t="shared" si="162"/>
        <v>11212-0000</v>
      </c>
      <c r="D2578" t="s">
        <v>23157</v>
      </c>
      <c r="E2578" t="s">
        <v>14083</v>
      </c>
      <c r="F2578" t="s">
        <v>14039</v>
      </c>
      <c r="G2578" t="s">
        <v>14672</v>
      </c>
      <c r="H2578" t="s">
        <v>13869</v>
      </c>
      <c r="I2578" t="s">
        <v>14690</v>
      </c>
      <c r="J2578" s="62">
        <v>0</v>
      </c>
      <c r="K2578" s="62">
        <v>0</v>
      </c>
      <c r="L2578" t="str">
        <f>VLOOKUP(VALUE(LEFT(C2578,5)),Xref!A:B,2,0)</f>
        <v>FRM</v>
      </c>
      <c r="M2578" t="str">
        <f t="shared" si="163"/>
        <v>FRM-LPI</v>
      </c>
    </row>
    <row r="2579" spans="1:13" ht="14.25" customHeight="true">
      <c r="A2579" s="33" t="str">
        <f t="shared" si="160"/>
        <v>LPI - Intercompany</v>
      </c>
      <c r="B2579" s="33" t="str">
        <f t="shared" si="161"/>
        <v>LPI</v>
      </c>
      <c r="C2579" s="33" t="str">
        <f t="shared" si="162"/>
        <v>11214-0000</v>
      </c>
      <c r="D2579" t="s">
        <v>23158</v>
      </c>
      <c r="E2579" t="s">
        <v>14085</v>
      </c>
      <c r="F2579" t="s">
        <v>14039</v>
      </c>
      <c r="G2579" t="s">
        <v>14672</v>
      </c>
      <c r="H2579" t="s">
        <v>13869</v>
      </c>
      <c r="I2579" t="s">
        <v>14690</v>
      </c>
      <c r="J2579" s="62">
        <v>0</v>
      </c>
      <c r="K2579" s="62">
        <v>-50000</v>
      </c>
      <c r="L2579" t="str">
        <f>VLOOKUP(VALUE(LEFT(C2579,5)),Xref!A:B,2,0)</f>
        <v>D7R</v>
      </c>
      <c r="M2579" t="str">
        <f t="shared" si="163"/>
        <v>D7R-LPI</v>
      </c>
    </row>
    <row r="2580" spans="1:13" ht="14.25" customHeight="true">
      <c r="A2580" s="33" t="str">
        <f t="shared" si="160"/>
        <v>LPI - Intercompany</v>
      </c>
      <c r="B2580" s="33" t="str">
        <f t="shared" si="161"/>
        <v>LPI</v>
      </c>
      <c r="C2580" s="33" t="str">
        <f t="shared" si="162"/>
        <v>11215-0000</v>
      </c>
      <c r="D2580" t="s">
        <v>23159</v>
      </c>
      <c r="E2580" t="s">
        <v>14087</v>
      </c>
      <c r="F2580" t="s">
        <v>14039</v>
      </c>
      <c r="G2580" t="s">
        <v>14672</v>
      </c>
      <c r="H2580" t="s">
        <v>13869</v>
      </c>
      <c r="I2580" t="s">
        <v>14690</v>
      </c>
      <c r="J2580" s="62">
        <v>0</v>
      </c>
      <c r="K2580" s="62">
        <v>0</v>
      </c>
      <c r="L2580" t="str">
        <f>VLOOKUP(VALUE(LEFT(C2580,5)),Xref!A:B,2,0)</f>
        <v>CDP</v>
      </c>
      <c r="M2580" t="str">
        <f t="shared" si="163"/>
        <v>CDP-LPI</v>
      </c>
    </row>
    <row r="2581" spans="1:13" ht="14.25" customHeight="true">
      <c r="A2581" s="33" t="str">
        <f t="shared" si="160"/>
        <v>LPI - Intercompany</v>
      </c>
      <c r="B2581" s="33" t="str">
        <f t="shared" si="161"/>
        <v>LPI</v>
      </c>
      <c r="C2581" s="33" t="str">
        <f t="shared" si="162"/>
        <v>11216-0000</v>
      </c>
      <c r="D2581" t="s">
        <v>23160</v>
      </c>
      <c r="E2581" t="s">
        <v>13224</v>
      </c>
      <c r="F2581" t="s">
        <v>14039</v>
      </c>
      <c r="G2581" t="s">
        <v>14672</v>
      </c>
      <c r="H2581" t="s">
        <v>13869</v>
      </c>
      <c r="I2581" t="s">
        <v>14690</v>
      </c>
      <c r="J2581" s="62">
        <v>-3.24000000000001</v>
      </c>
      <c r="K2581" s="62">
        <v>-13209.69</v>
      </c>
      <c r="L2581" t="str">
        <f>VLOOKUP(VALUE(LEFT(C2581,5)),Xref!A:B,2,0)</f>
        <v>SIL</v>
      </c>
      <c r="M2581" t="str">
        <f t="shared" si="163"/>
        <v>LPI-SIL</v>
      </c>
    </row>
    <row r="2582" spans="1:13" ht="14.25" customHeight="true">
      <c r="A2582" s="33" t="str">
        <f t="shared" si="160"/>
        <v>LPI - Intercompany</v>
      </c>
      <c r="B2582" s="33" t="str">
        <f t="shared" si="161"/>
        <v>LPI</v>
      </c>
      <c r="C2582" s="33" t="str">
        <f t="shared" si="162"/>
        <v>11232-0000</v>
      </c>
      <c r="D2582" t="s">
        <v>23161</v>
      </c>
      <c r="E2582" t="s">
        <v>12486</v>
      </c>
      <c r="F2582" t="s">
        <v>14039</v>
      </c>
      <c r="G2582" t="s">
        <v>14672</v>
      </c>
      <c r="H2582" t="s">
        <v>13869</v>
      </c>
      <c r="I2582" t="s">
        <v>14690</v>
      </c>
      <c r="J2582" s="62">
        <v>0</v>
      </c>
      <c r="K2582" s="62">
        <v>0</v>
      </c>
      <c r="L2582" t="str">
        <f>VLOOKUP(VALUE(LEFT(C2582,5)),Xref!A:B,2,0)</f>
        <v>SC2</v>
      </c>
      <c r="M2582" t="str">
        <f t="shared" si="163"/>
        <v>LPI-SC2</v>
      </c>
    </row>
    <row r="2583" spans="1:13" ht="14.25" customHeight="true">
      <c r="A2583" s="33" t="str">
        <f t="shared" si="160"/>
        <v>LPI - Intercompany</v>
      </c>
      <c r="B2583" s="33" t="str">
        <f t="shared" si="161"/>
        <v>LPI</v>
      </c>
      <c r="C2583" s="33" t="str">
        <f t="shared" si="162"/>
        <v>11301-0000</v>
      </c>
      <c r="D2583" t="s">
        <v>23162</v>
      </c>
      <c r="E2583" t="s">
        <v>13225</v>
      </c>
      <c r="F2583" t="s">
        <v>14039</v>
      </c>
      <c r="G2583" t="s">
        <v>14672</v>
      </c>
      <c r="H2583" t="s">
        <v>13869</v>
      </c>
      <c r="I2583" t="s">
        <v>14690</v>
      </c>
      <c r="J2583" s="62">
        <v>0</v>
      </c>
      <c r="K2583" s="62">
        <v>0</v>
      </c>
      <c r="L2583" t="str">
        <f>VLOOKUP(VALUE(LEFT(C2583,5)),Xref!A:B,2,0)</f>
        <v>CRE</v>
      </c>
      <c r="M2583" t="str">
        <f t="shared" si="163"/>
        <v>CRE-LPI</v>
      </c>
    </row>
    <row r="2584" spans="1:13" ht="14.25" customHeight="true">
      <c r="A2584" s="33" t="str">
        <f t="shared" si="160"/>
        <v>LPI - Intercompany</v>
      </c>
      <c r="B2584" s="33" t="str">
        <f t="shared" si="161"/>
        <v>LPI</v>
      </c>
      <c r="C2584" s="33" t="str">
        <f t="shared" si="162"/>
        <v>11302-0000</v>
      </c>
      <c r="D2584" t="s">
        <v>23163</v>
      </c>
      <c r="E2584" t="s">
        <v>13226</v>
      </c>
      <c r="F2584" t="s">
        <v>14039</v>
      </c>
      <c r="G2584" t="s">
        <v>14672</v>
      </c>
      <c r="H2584" t="s">
        <v>13869</v>
      </c>
      <c r="I2584" t="s">
        <v>14690</v>
      </c>
      <c r="J2584" s="62">
        <v>0</v>
      </c>
      <c r="K2584" s="62">
        <v>0</v>
      </c>
      <c r="L2584" t="str">
        <f>VLOOKUP(VALUE(LEFT(C2584,5)),Xref!A:B,2,0)</f>
        <v>CHA</v>
      </c>
      <c r="M2584" t="str">
        <f t="shared" si="163"/>
        <v>CHA-LPI</v>
      </c>
    </row>
    <row r="2585" spans="1:13" ht="14.25" customHeight="true">
      <c r="A2585" s="33" t="str">
        <f t="shared" si="160"/>
        <v>LPI - Intercompany</v>
      </c>
      <c r="B2585" s="33" t="str">
        <f t="shared" si="161"/>
        <v>LPI</v>
      </c>
      <c r="C2585" s="33" t="str">
        <f t="shared" si="162"/>
        <v>11303-0000</v>
      </c>
      <c r="D2585" t="s">
        <v>23164</v>
      </c>
      <c r="E2585" t="s">
        <v>13227</v>
      </c>
      <c r="F2585" t="s">
        <v>14039</v>
      </c>
      <c r="G2585" t="s">
        <v>14672</v>
      </c>
      <c r="H2585" t="s">
        <v>13869</v>
      </c>
      <c r="I2585" t="s">
        <v>14690</v>
      </c>
      <c r="J2585" s="62">
        <v>0</v>
      </c>
      <c r="K2585" s="62">
        <v>0</v>
      </c>
      <c r="L2585" t="str">
        <f>VLOOKUP(VALUE(LEFT(C2585,5)),Xref!A:B,2,0)</f>
        <v>DIA</v>
      </c>
      <c r="M2585" t="str">
        <f t="shared" si="163"/>
        <v>DIA-LPI</v>
      </c>
    </row>
    <row r="2586" spans="1:13" ht="14.25" customHeight="true">
      <c r="A2586" s="33" t="str">
        <f t="shared" si="160"/>
        <v>LPI - Intercompany</v>
      </c>
      <c r="B2586" s="33" t="str">
        <f t="shared" si="161"/>
        <v>LPI</v>
      </c>
      <c r="C2586" s="33" t="str">
        <f t="shared" si="162"/>
        <v>11304-0000</v>
      </c>
      <c r="D2586" t="s">
        <v>23165</v>
      </c>
      <c r="E2586" t="s">
        <v>13228</v>
      </c>
      <c r="F2586" t="s">
        <v>14039</v>
      </c>
      <c r="G2586" t="s">
        <v>14672</v>
      </c>
      <c r="H2586" t="s">
        <v>13869</v>
      </c>
      <c r="I2586" t="s">
        <v>14690</v>
      </c>
      <c r="J2586" s="62">
        <v>0</v>
      </c>
      <c r="K2586" s="62">
        <v>0</v>
      </c>
      <c r="L2586" t="str">
        <f>VLOOKUP(VALUE(LEFT(C2586,5)),Xref!A:B,2,0)</f>
        <v>EAG</v>
      </c>
      <c r="M2586" t="str">
        <f t="shared" si="163"/>
        <v>EAG-LPI</v>
      </c>
    </row>
    <row r="2587" spans="1:13" ht="14.25" customHeight="true">
      <c r="A2587" s="33" t="str">
        <f t="shared" si="160"/>
        <v>LPI - Intercompany</v>
      </c>
      <c r="B2587" s="33" t="str">
        <f t="shared" si="161"/>
        <v>LPI</v>
      </c>
      <c r="C2587" s="33" t="str">
        <f t="shared" si="162"/>
        <v>11305-0000</v>
      </c>
      <c r="D2587" t="s">
        <v>23166</v>
      </c>
      <c r="E2587" t="s">
        <v>13229</v>
      </c>
      <c r="F2587" t="s">
        <v>14039</v>
      </c>
      <c r="G2587" t="s">
        <v>14672</v>
      </c>
      <c r="H2587" t="s">
        <v>13869</v>
      </c>
      <c r="I2587" t="s">
        <v>14690</v>
      </c>
      <c r="J2587" s="62">
        <v>0</v>
      </c>
      <c r="K2587" s="62">
        <v>0</v>
      </c>
      <c r="L2587" t="str">
        <f>VLOOKUP(VALUE(LEFT(C2587,5)),Xref!A:B,2,0)</f>
        <v>NEW</v>
      </c>
      <c r="M2587" t="str">
        <f t="shared" si="163"/>
        <v>LPI-NEW</v>
      </c>
    </row>
    <row r="2588" spans="1:13" ht="14.25" customHeight="true">
      <c r="A2588" s="33" t="str">
        <f t="shared" si="160"/>
        <v>LPI - Intercompany</v>
      </c>
      <c r="B2588" s="33" t="str">
        <f t="shared" si="161"/>
        <v>LPI</v>
      </c>
      <c r="C2588" s="33" t="str">
        <f t="shared" si="162"/>
        <v>11307-0000</v>
      </c>
      <c r="D2588" t="s">
        <v>23167</v>
      </c>
      <c r="E2588" t="s">
        <v>14096</v>
      </c>
      <c r="F2588" t="s">
        <v>14039</v>
      </c>
      <c r="G2588" t="s">
        <v>14672</v>
      </c>
      <c r="H2588" t="s">
        <v>13869</v>
      </c>
      <c r="I2588" t="s">
        <v>14690</v>
      </c>
      <c r="J2588" s="62">
        <v>0</v>
      </c>
      <c r="K2588" s="62">
        <v>0</v>
      </c>
      <c r="L2588" t="str">
        <f>VLOOKUP(VALUE(LEFT(C2588,5)),Xref!A:B,2,0)</f>
        <v>NES</v>
      </c>
      <c r="M2588" t="str">
        <f t="shared" si="163"/>
        <v>LPI-NES</v>
      </c>
    </row>
    <row r="2589" spans="1:13" ht="14.25" customHeight="true">
      <c r="A2589" s="33" t="str">
        <f t="shared" si="160"/>
        <v>LPI - Intercompany</v>
      </c>
      <c r="B2589" s="33" t="str">
        <f t="shared" si="161"/>
        <v>LPI</v>
      </c>
      <c r="C2589" s="33" t="str">
        <f t="shared" si="162"/>
        <v>11308-0000</v>
      </c>
      <c r="D2589" t="s">
        <v>23168</v>
      </c>
      <c r="E2589" t="s">
        <v>13476</v>
      </c>
      <c r="F2589" t="s">
        <v>14039</v>
      </c>
      <c r="G2589" t="s">
        <v>14672</v>
      </c>
      <c r="H2589" t="s">
        <v>13869</v>
      </c>
      <c r="I2589" t="s">
        <v>14690</v>
      </c>
      <c r="J2589" s="62">
        <v>0</v>
      </c>
      <c r="K2589" s="62">
        <v>0</v>
      </c>
      <c r="L2589" t="str">
        <f>VLOOKUP(VALUE(LEFT(C2589,5)),Xref!A:B,2,0)</f>
        <v>LPI</v>
      </c>
      <c r="M2589" t="str">
        <f t="shared" si="163"/>
        <v>LPI-LPI</v>
      </c>
    </row>
    <row r="2590" spans="1:13" ht="14.25" customHeight="true">
      <c r="A2590" s="33" t="str">
        <f t="shared" si="160"/>
        <v>LPI - Intercompany</v>
      </c>
      <c r="B2590" s="33" t="str">
        <f t="shared" si="161"/>
        <v>LPI</v>
      </c>
      <c r="C2590" s="33" t="str">
        <f t="shared" si="162"/>
        <v>11309-0000</v>
      </c>
      <c r="D2590" t="s">
        <v>23169</v>
      </c>
      <c r="E2590" t="s">
        <v>13230</v>
      </c>
      <c r="F2590" t="s">
        <v>14039</v>
      </c>
      <c r="G2590" t="s">
        <v>14672</v>
      </c>
      <c r="H2590" t="s">
        <v>13869</v>
      </c>
      <c r="I2590" t="s">
        <v>14690</v>
      </c>
      <c r="J2590" s="62">
        <v>0</v>
      </c>
      <c r="K2590" s="62">
        <v>-8000</v>
      </c>
      <c r="L2590" t="str">
        <f>VLOOKUP(VALUE(LEFT(C2590,5)),Xref!A:B,2,0)</f>
        <v>GPI</v>
      </c>
      <c r="M2590" t="str">
        <f t="shared" si="163"/>
        <v>GPI-LPI</v>
      </c>
    </row>
    <row r="2591" spans="1:13" ht="14.25" customHeight="true">
      <c r="A2591" s="33" t="str">
        <f t="shared" si="160"/>
        <v>LPI - Intercompany</v>
      </c>
      <c r="B2591" s="33" t="str">
        <f t="shared" si="161"/>
        <v>LPI</v>
      </c>
      <c r="C2591" s="33" t="str">
        <f t="shared" si="162"/>
        <v>11310-0000</v>
      </c>
      <c r="D2591" t="s">
        <v>23170</v>
      </c>
      <c r="E2591" t="s">
        <v>13231</v>
      </c>
      <c r="F2591" t="s">
        <v>14039</v>
      </c>
      <c r="G2591" t="s">
        <v>14672</v>
      </c>
      <c r="H2591" t="s">
        <v>13869</v>
      </c>
      <c r="I2591" t="s">
        <v>14690</v>
      </c>
      <c r="J2591" s="62">
        <v>0</v>
      </c>
      <c r="K2591" s="62">
        <v>0</v>
      </c>
      <c r="L2591" t="str">
        <f>VLOOKUP(VALUE(LEFT(C2591,5)),Xref!A:B,2,0)</f>
        <v>ALP</v>
      </c>
      <c r="M2591" t="str">
        <f t="shared" si="163"/>
        <v>ALP-LPI</v>
      </c>
    </row>
    <row r="2592" spans="1:13" ht="14.25" customHeight="true">
      <c r="A2592" s="33" t="str">
        <f t="shared" si="160"/>
        <v>LPI - Intercompany</v>
      </c>
      <c r="B2592" s="33" t="str">
        <f t="shared" si="161"/>
        <v>LPI</v>
      </c>
      <c r="C2592" s="33" t="str">
        <f t="shared" si="162"/>
        <v>11311-0000</v>
      </c>
      <c r="D2592" t="s">
        <v>23171</v>
      </c>
      <c r="E2592" t="s">
        <v>13232</v>
      </c>
      <c r="F2592" t="s">
        <v>14039</v>
      </c>
      <c r="G2592" t="s">
        <v>14672</v>
      </c>
      <c r="H2592" t="s">
        <v>13869</v>
      </c>
      <c r="I2592" t="s">
        <v>14690</v>
      </c>
      <c r="J2592" s="62">
        <v>0</v>
      </c>
      <c r="K2592" s="62">
        <v>-1000</v>
      </c>
      <c r="L2592" t="str">
        <f>VLOOKUP(VALUE(LEFT(C2592,5)),Xref!A:B,2,0)</f>
        <v>BET</v>
      </c>
      <c r="M2592" t="str">
        <f t="shared" si="163"/>
        <v>BET-LPI</v>
      </c>
    </row>
    <row r="2593" spans="1:13" ht="14.25" customHeight="true">
      <c r="A2593" s="33" t="str">
        <f t="shared" si="160"/>
        <v>LPI - Intercompany</v>
      </c>
      <c r="B2593" s="33" t="str">
        <f t="shared" si="161"/>
        <v>LPI</v>
      </c>
      <c r="C2593" s="33" t="str">
        <f t="shared" si="162"/>
        <v>11312-0000</v>
      </c>
      <c r="D2593" t="s">
        <v>23172</v>
      </c>
      <c r="E2593" t="s">
        <v>14102</v>
      </c>
      <c r="F2593" t="s">
        <v>14039</v>
      </c>
      <c r="G2593" t="s">
        <v>14672</v>
      </c>
      <c r="H2593" t="s">
        <v>13869</v>
      </c>
      <c r="I2593" t="s">
        <v>14690</v>
      </c>
      <c r="J2593" s="62">
        <v>0</v>
      </c>
      <c r="K2593" s="62">
        <v>0</v>
      </c>
      <c r="L2593" t="str">
        <f>VLOOKUP(VALUE(LEFT(C2593,5)),Xref!A:B,2,0)</f>
        <v>DEL</v>
      </c>
      <c r="M2593" t="str">
        <f t="shared" si="163"/>
        <v>DEL-LPI</v>
      </c>
    </row>
    <row r="2594" spans="1:13" ht="14.25" customHeight="true">
      <c r="A2594" s="33" t="str">
        <f t="shared" si="160"/>
        <v>LPI - Intercompany</v>
      </c>
      <c r="B2594" s="33" t="str">
        <f t="shared" si="161"/>
        <v>LPI</v>
      </c>
      <c r="C2594" s="33" t="str">
        <f t="shared" si="162"/>
        <v>11313-0000</v>
      </c>
      <c r="D2594" t="s">
        <v>23173</v>
      </c>
      <c r="E2594" t="s">
        <v>13233</v>
      </c>
      <c r="F2594" t="s">
        <v>14039</v>
      </c>
      <c r="G2594" t="s">
        <v>14672</v>
      </c>
      <c r="H2594" t="s">
        <v>13869</v>
      </c>
      <c r="I2594" t="s">
        <v>14690</v>
      </c>
      <c r="J2594" s="62">
        <v>0</v>
      </c>
      <c r="K2594" s="62">
        <v>0</v>
      </c>
      <c r="L2594" t="str">
        <f>VLOOKUP(VALUE(LEFT(C2594,5)),Xref!A:B,2,0)</f>
        <v>DOL</v>
      </c>
      <c r="M2594" t="str">
        <f t="shared" si="163"/>
        <v>DOL-LPI</v>
      </c>
    </row>
    <row r="2595" spans="1:13" ht="14.25" customHeight="true">
      <c r="A2595" s="33" t="str">
        <f t="shared" si="160"/>
        <v>LPI - Intercompany</v>
      </c>
      <c r="B2595" s="33" t="str">
        <f t="shared" si="161"/>
        <v>LPI</v>
      </c>
      <c r="C2595" s="33" t="str">
        <f t="shared" si="162"/>
        <v>11314-0000</v>
      </c>
      <c r="D2595" t="s">
        <v>23174</v>
      </c>
      <c r="E2595" t="s">
        <v>13351</v>
      </c>
      <c r="F2595" t="s">
        <v>14039</v>
      </c>
      <c r="G2595" t="s">
        <v>14672</v>
      </c>
      <c r="H2595" t="s">
        <v>13869</v>
      </c>
      <c r="I2595" t="s">
        <v>14690</v>
      </c>
      <c r="J2595" s="62">
        <v>0</v>
      </c>
      <c r="K2595" s="62">
        <v>0</v>
      </c>
      <c r="L2595" t="str">
        <f>VLOOKUP(VALUE(LEFT(C2595,5)),Xref!A:B,2,0)</f>
        <v>GRI</v>
      </c>
      <c r="M2595" t="str">
        <f t="shared" si="163"/>
        <v>GRI-LPI</v>
      </c>
    </row>
    <row r="2596" spans="1:13" ht="14.25" customHeight="true">
      <c r="A2596" s="33" t="str">
        <f t="shared" si="160"/>
        <v>LPI - Intercompany</v>
      </c>
      <c r="B2596" s="33" t="str">
        <f t="shared" si="161"/>
        <v>LPI</v>
      </c>
      <c r="C2596" s="33" t="str">
        <f t="shared" si="162"/>
        <v>11315-0000</v>
      </c>
      <c r="D2596" t="s">
        <v>23175</v>
      </c>
      <c r="E2596" t="s">
        <v>13234</v>
      </c>
      <c r="F2596" t="s">
        <v>14039</v>
      </c>
      <c r="G2596" t="s">
        <v>14672</v>
      </c>
      <c r="H2596" t="s">
        <v>13869</v>
      </c>
      <c r="I2596" t="s">
        <v>14690</v>
      </c>
      <c r="J2596" s="62">
        <v>0</v>
      </c>
      <c r="K2596" s="62">
        <v>0</v>
      </c>
      <c r="L2596" t="str">
        <f>VLOOKUP(VALUE(LEFT(C2596,5)),Xref!A:B,2,0)</f>
        <v>PUR</v>
      </c>
      <c r="M2596" t="str">
        <f t="shared" si="163"/>
        <v>LPI-PUR</v>
      </c>
    </row>
    <row r="2597" spans="1:13" ht="14.25" customHeight="true">
      <c r="A2597" s="33" t="str">
        <f t="shared" si="160"/>
        <v>LPI - Intercompany</v>
      </c>
      <c r="B2597" s="33" t="str">
        <f t="shared" si="161"/>
        <v>LPI</v>
      </c>
      <c r="C2597" s="33" t="str">
        <f t="shared" si="162"/>
        <v>11316-0000</v>
      </c>
      <c r="D2597" t="s">
        <v>23176</v>
      </c>
      <c r="E2597" t="s">
        <v>13235</v>
      </c>
      <c r="F2597" t="s">
        <v>14039</v>
      </c>
      <c r="G2597" t="s">
        <v>14672</v>
      </c>
      <c r="H2597" t="s">
        <v>13869</v>
      </c>
      <c r="I2597" t="s">
        <v>14690</v>
      </c>
      <c r="J2597" s="62">
        <v>0</v>
      </c>
      <c r="K2597" s="62">
        <v>0</v>
      </c>
      <c r="L2597" t="str">
        <f>VLOOKUP(VALUE(LEFT(C2597,5)),Xref!A:B,2,0)</f>
        <v>VAL</v>
      </c>
      <c r="M2597" t="str">
        <f t="shared" si="163"/>
        <v>LPI-VAL</v>
      </c>
    </row>
    <row r="2598" spans="1:13" ht="14.25" customHeight="true">
      <c r="A2598" s="33" t="str">
        <f t="shared" si="160"/>
        <v>LPI - Intercompany</v>
      </c>
      <c r="B2598" s="33" t="str">
        <f t="shared" si="161"/>
        <v>LPI</v>
      </c>
      <c r="C2598" s="33" t="str">
        <f t="shared" si="162"/>
        <v>11317-0000</v>
      </c>
      <c r="D2598" t="s">
        <v>23177</v>
      </c>
      <c r="E2598" t="s">
        <v>13352</v>
      </c>
      <c r="F2598" t="s">
        <v>14039</v>
      </c>
      <c r="G2598" t="s">
        <v>14672</v>
      </c>
      <c r="H2598" t="s">
        <v>13869</v>
      </c>
      <c r="I2598" t="s">
        <v>14690</v>
      </c>
      <c r="J2598" s="62">
        <v>0</v>
      </c>
      <c r="K2598" s="62">
        <v>0</v>
      </c>
      <c r="L2598" t="str">
        <f>VLOOKUP(VALUE(LEFT(C2598,5)),Xref!A:B,2,0)</f>
        <v>AKG</v>
      </c>
      <c r="M2598" t="str">
        <f t="shared" si="163"/>
        <v>AKG-LPI</v>
      </c>
    </row>
    <row r="2599" spans="1:13" ht="14.25" customHeight="true">
      <c r="A2599" s="33" t="str">
        <f t="shared" si="160"/>
        <v>LPI - Intercompany</v>
      </c>
      <c r="B2599" s="33" t="str">
        <f t="shared" si="161"/>
        <v>LPI</v>
      </c>
      <c r="C2599" s="33" t="str">
        <f t="shared" si="162"/>
        <v>11318-0000</v>
      </c>
      <c r="D2599" t="s">
        <v>23178</v>
      </c>
      <c r="E2599" t="s">
        <v>13477</v>
      </c>
      <c r="F2599" t="s">
        <v>14039</v>
      </c>
      <c r="G2599" t="s">
        <v>14672</v>
      </c>
      <c r="H2599" t="s">
        <v>13869</v>
      </c>
      <c r="I2599" t="s">
        <v>14690</v>
      </c>
      <c r="J2599" s="62">
        <v>0</v>
      </c>
      <c r="K2599" s="62">
        <v>0</v>
      </c>
      <c r="L2599" t="str">
        <f>VLOOKUP(VALUE(LEFT(C2599,5)),Xref!A:B,2,0)</f>
        <v>FIR</v>
      </c>
      <c r="M2599" t="str">
        <f t="shared" si="163"/>
        <v>FIR-LPI</v>
      </c>
    </row>
    <row r="2600" spans="1:13" ht="14.25" customHeight="true">
      <c r="A2600" s="33" t="str">
        <f t="shared" si="160"/>
        <v>LPI - Intercompany</v>
      </c>
      <c r="B2600" s="33" t="str">
        <f t="shared" si="161"/>
        <v>LPI</v>
      </c>
      <c r="C2600" s="33" t="str">
        <f t="shared" si="162"/>
        <v>11319-0000</v>
      </c>
      <c r="D2600" t="s">
        <v>23179</v>
      </c>
      <c r="E2600" t="s">
        <v>266</v>
      </c>
      <c r="F2600" t="s">
        <v>14039</v>
      </c>
      <c r="G2600" t="s">
        <v>14672</v>
      </c>
      <c r="H2600" t="s">
        <v>13869</v>
      </c>
      <c r="I2600" t="s">
        <v>14690</v>
      </c>
      <c r="J2600" s="62">
        <v>0</v>
      </c>
      <c r="K2600" s="62">
        <v>0</v>
      </c>
      <c r="L2600" t="str">
        <f>VLOOKUP(VALUE(LEFT(C2600,5)),Xref!A:B,2,0)</f>
        <v>GST</v>
      </c>
      <c r="M2600" t="str">
        <f t="shared" si="163"/>
        <v>GST-LPI</v>
      </c>
    </row>
    <row r="2601" spans="1:13" ht="14.25" customHeight="true">
      <c r="A2601" s="33" t="str">
        <f t="shared" si="160"/>
        <v>LPI - Intercompany</v>
      </c>
      <c r="B2601" s="33" t="str">
        <f t="shared" si="161"/>
        <v>LPI</v>
      </c>
      <c r="C2601" s="33" t="str">
        <f t="shared" si="162"/>
        <v>11320-0000</v>
      </c>
      <c r="D2601" t="s">
        <v>23180</v>
      </c>
      <c r="E2601" t="s">
        <v>14111</v>
      </c>
      <c r="F2601" t="s">
        <v>14039</v>
      </c>
      <c r="G2601" t="s">
        <v>14672</v>
      </c>
      <c r="H2601" t="s">
        <v>13869</v>
      </c>
      <c r="I2601" t="s">
        <v>14690</v>
      </c>
      <c r="J2601" s="62">
        <v>0</v>
      </c>
      <c r="K2601" s="62">
        <v>0</v>
      </c>
      <c r="L2601" t="str">
        <f>VLOOKUP(VALUE(LEFT(C2601,5)),Xref!A:B,2,0)</f>
        <v>HDN</v>
      </c>
      <c r="M2601" t="str">
        <f t="shared" si="163"/>
        <v>HDN-LPI</v>
      </c>
    </row>
    <row r="2602" spans="1:13" ht="14.25" customHeight="true">
      <c r="A2602" s="33" t="str">
        <f t="shared" si="160"/>
        <v>LPI - Intercompany</v>
      </c>
      <c r="B2602" s="33" t="str">
        <f t="shared" si="161"/>
        <v>LPI</v>
      </c>
      <c r="C2602" s="33" t="str">
        <f t="shared" si="162"/>
        <v>11321-0000</v>
      </c>
      <c r="D2602" t="s">
        <v>23181</v>
      </c>
      <c r="E2602" t="s">
        <v>13236</v>
      </c>
      <c r="F2602" t="s">
        <v>14039</v>
      </c>
      <c r="G2602" t="s">
        <v>14672</v>
      </c>
      <c r="H2602" t="s">
        <v>13869</v>
      </c>
      <c r="I2602" t="s">
        <v>14690</v>
      </c>
      <c r="J2602" s="62">
        <v>0</v>
      </c>
      <c r="K2602" s="62">
        <v>0</v>
      </c>
      <c r="L2602" t="str">
        <f>VLOOKUP(VALUE(LEFT(C2602,5)),Xref!A:B,2,0)</f>
        <v>OVA</v>
      </c>
      <c r="M2602" t="str">
        <f t="shared" si="163"/>
        <v>LPI-OVA</v>
      </c>
    </row>
    <row r="2603" spans="1:13" ht="14.25" customHeight="true">
      <c r="A2603" s="33" t="str">
        <f t="shared" si="160"/>
        <v>LPI - Intercompany</v>
      </c>
      <c r="B2603" s="33" t="str">
        <f t="shared" si="161"/>
        <v>LPI</v>
      </c>
      <c r="C2603" s="33" t="str">
        <f t="shared" si="162"/>
        <v>11322-0000</v>
      </c>
      <c r="D2603" t="s">
        <v>23182</v>
      </c>
      <c r="E2603" t="s">
        <v>13237</v>
      </c>
      <c r="F2603" t="s">
        <v>14039</v>
      </c>
      <c r="G2603" t="s">
        <v>14672</v>
      </c>
      <c r="H2603" t="s">
        <v>13869</v>
      </c>
      <c r="I2603" t="s">
        <v>14690</v>
      </c>
      <c r="J2603" s="62">
        <v>0</v>
      </c>
      <c r="K2603" s="62">
        <v>0</v>
      </c>
      <c r="L2603" t="str">
        <f>VLOOKUP(VALUE(LEFT(C2603,5)),Xref!A:B,2,0)</f>
        <v>WOO</v>
      </c>
      <c r="M2603" t="str">
        <f t="shared" si="163"/>
        <v>LPI-WOO</v>
      </c>
    </row>
    <row r="2604" spans="1:13" ht="14.25" customHeight="true">
      <c r="A2604" s="33" t="str">
        <f t="shared" si="160"/>
        <v>LPI - Intercompany</v>
      </c>
      <c r="B2604" s="33" t="str">
        <f t="shared" si="161"/>
        <v>LPI</v>
      </c>
      <c r="C2604" s="33" t="str">
        <f t="shared" si="162"/>
        <v>11323-0000</v>
      </c>
      <c r="D2604" t="s">
        <v>23183</v>
      </c>
      <c r="E2604" t="s">
        <v>13478</v>
      </c>
      <c r="F2604" t="s">
        <v>14039</v>
      </c>
      <c r="G2604" t="s">
        <v>14672</v>
      </c>
      <c r="H2604" t="s">
        <v>13869</v>
      </c>
      <c r="I2604" t="s">
        <v>14690</v>
      </c>
      <c r="J2604" s="62">
        <v>0</v>
      </c>
      <c r="K2604" s="62">
        <v>0</v>
      </c>
      <c r="L2604" t="str">
        <f>VLOOKUP(VALUE(LEFT(C2604,5)),Xref!A:B,2,0)</f>
        <v>SPI</v>
      </c>
      <c r="M2604" t="str">
        <f t="shared" si="163"/>
        <v>LPI-SPI</v>
      </c>
    </row>
    <row r="2605" spans="1:13" ht="14.25" customHeight="true">
      <c r="A2605" s="33" t="str">
        <f t="shared" si="160"/>
        <v>LPI - Intercompany</v>
      </c>
      <c r="B2605" s="33" t="str">
        <f t="shared" si="161"/>
        <v>LPI</v>
      </c>
      <c r="C2605" s="33" t="str">
        <f t="shared" si="162"/>
        <v>11324-0000</v>
      </c>
      <c r="D2605" t="s">
        <v>23184</v>
      </c>
      <c r="E2605" t="s">
        <v>13238</v>
      </c>
      <c r="F2605" t="s">
        <v>14039</v>
      </c>
      <c r="G2605" t="s">
        <v>14672</v>
      </c>
      <c r="H2605" t="s">
        <v>13869</v>
      </c>
      <c r="I2605" t="s">
        <v>14690</v>
      </c>
      <c r="J2605" s="62">
        <v>0</v>
      </c>
      <c r="K2605" s="62">
        <v>0</v>
      </c>
      <c r="L2605" t="str">
        <f>VLOOKUP(VALUE(LEFT(C2605,5)),Xref!A:B,2,0)</f>
        <v>NET</v>
      </c>
      <c r="M2605" t="str">
        <f t="shared" si="163"/>
        <v>LPI-NET</v>
      </c>
    </row>
    <row r="2606" spans="1:13" ht="14.25" customHeight="true">
      <c r="A2606" s="33" t="str">
        <f t="shared" si="160"/>
        <v>LPI - Intercompany</v>
      </c>
      <c r="B2606" s="33" t="str">
        <f t="shared" si="161"/>
        <v>LPI</v>
      </c>
      <c r="C2606" s="33" t="str">
        <f t="shared" si="162"/>
        <v>11325-0000</v>
      </c>
      <c r="D2606" t="s">
        <v>23185</v>
      </c>
      <c r="E2606" t="s">
        <v>13239</v>
      </c>
      <c r="F2606" t="s">
        <v>14039</v>
      </c>
      <c r="G2606" t="s">
        <v>14672</v>
      </c>
      <c r="H2606" t="s">
        <v>13869</v>
      </c>
      <c r="I2606" t="s">
        <v>14690</v>
      </c>
      <c r="J2606" s="62">
        <v>0</v>
      </c>
      <c r="K2606" s="62">
        <v>0</v>
      </c>
      <c r="L2606" t="str">
        <f>VLOOKUP(VALUE(LEFT(C2606,5)),Xref!A:B,2,0)</f>
        <v>DPI</v>
      </c>
      <c r="M2606" t="str">
        <f t="shared" si="163"/>
        <v>DPI-LPI</v>
      </c>
    </row>
    <row r="2607" spans="1:13" ht="14.25" customHeight="true">
      <c r="A2607" s="33" t="str">
        <f t="shared" si="160"/>
        <v>LPI - Intercompany</v>
      </c>
      <c r="B2607" s="33" t="str">
        <f t="shared" si="161"/>
        <v>LPI</v>
      </c>
      <c r="C2607" s="33" t="str">
        <f t="shared" si="162"/>
        <v>11326-0000</v>
      </c>
      <c r="D2607" t="s">
        <v>23186</v>
      </c>
      <c r="E2607" t="s">
        <v>13240</v>
      </c>
      <c r="F2607" t="s">
        <v>14039</v>
      </c>
      <c r="G2607" t="s">
        <v>14672</v>
      </c>
      <c r="H2607" t="s">
        <v>13869</v>
      </c>
      <c r="I2607" t="s">
        <v>14690</v>
      </c>
      <c r="J2607" s="62">
        <v>0</v>
      </c>
      <c r="K2607" s="62">
        <v>0</v>
      </c>
      <c r="L2607" t="str">
        <f>VLOOKUP(VALUE(LEFT(C2607,5)),Xref!A:B,2,0)</f>
        <v>SEK</v>
      </c>
      <c r="M2607" t="str">
        <f t="shared" si="163"/>
        <v>LPI-SEK</v>
      </c>
    </row>
    <row r="2608" spans="1:13" ht="14.25" customHeight="true">
      <c r="A2608" s="33" t="str">
        <f t="shared" si="160"/>
        <v>LPI - Intercompany</v>
      </c>
      <c r="B2608" s="33" t="str">
        <f t="shared" si="161"/>
        <v>LPI</v>
      </c>
      <c r="C2608" s="33" t="str">
        <f t="shared" si="162"/>
        <v>11327-0000</v>
      </c>
      <c r="D2608" t="s">
        <v>23187</v>
      </c>
      <c r="E2608" t="s">
        <v>14119</v>
      </c>
      <c r="F2608" t="s">
        <v>14039</v>
      </c>
      <c r="G2608" t="s">
        <v>14672</v>
      </c>
      <c r="H2608" t="s">
        <v>13869</v>
      </c>
      <c r="I2608" t="s">
        <v>14690</v>
      </c>
      <c r="J2608" s="62">
        <v>0</v>
      </c>
      <c r="K2608" s="62">
        <v>0</v>
      </c>
      <c r="L2608" t="str">
        <f>VLOOKUP(VALUE(LEFT(C2608,5)),Xref!A:B,2,0)</f>
        <v>CPI</v>
      </c>
      <c r="M2608" t="str">
        <f t="shared" si="163"/>
        <v>CPI-LPI</v>
      </c>
    </row>
    <row r="2609" spans="1:13" ht="14.25" customHeight="true">
      <c r="A2609" s="33" t="str">
        <f t="shared" si="160"/>
        <v>LPI - Intercompany</v>
      </c>
      <c r="B2609" s="33" t="str">
        <f t="shared" si="161"/>
        <v>LPI</v>
      </c>
      <c r="C2609" s="33" t="str">
        <f t="shared" si="162"/>
        <v>11328-0000</v>
      </c>
      <c r="D2609" t="s">
        <v>23188</v>
      </c>
      <c r="E2609" t="s">
        <v>13241</v>
      </c>
      <c r="F2609" t="s">
        <v>14039</v>
      </c>
      <c r="G2609" t="s">
        <v>14672</v>
      </c>
      <c r="H2609" t="s">
        <v>13869</v>
      </c>
      <c r="I2609" t="s">
        <v>14690</v>
      </c>
      <c r="J2609" s="62">
        <v>0</v>
      </c>
      <c r="K2609" s="62">
        <v>0</v>
      </c>
      <c r="L2609" t="str">
        <f>VLOOKUP(VALUE(LEFT(C2609,5)),Xref!A:B,2,0)</f>
        <v>LOM</v>
      </c>
      <c r="M2609" t="str">
        <f t="shared" si="163"/>
        <v>LOM-LPI</v>
      </c>
    </row>
    <row r="2610" spans="1:13" ht="14.25" customHeight="true">
      <c r="A2610" s="33" t="str">
        <f t="shared" si="160"/>
        <v>LPI - Intercompany</v>
      </c>
      <c r="B2610" s="33" t="str">
        <f t="shared" si="161"/>
        <v>LPI</v>
      </c>
      <c r="C2610" s="33" t="str">
        <f t="shared" si="162"/>
        <v>11329-0000</v>
      </c>
      <c r="D2610" t="s">
        <v>23189</v>
      </c>
      <c r="E2610" t="s">
        <v>13353</v>
      </c>
      <c r="F2610" t="s">
        <v>14039</v>
      </c>
      <c r="G2610" t="s">
        <v>14672</v>
      </c>
      <c r="H2610" t="s">
        <v>13869</v>
      </c>
      <c r="I2610" t="s">
        <v>14690</v>
      </c>
      <c r="J2610" s="62">
        <v>0</v>
      </c>
      <c r="K2610" s="62">
        <v>0</v>
      </c>
      <c r="L2610" t="str">
        <f>VLOOKUP(VALUE(LEFT(C2610,5)),Xref!A:B,2,0)</f>
        <v>AKS</v>
      </c>
      <c r="M2610" t="str">
        <f t="shared" si="163"/>
        <v>AKS-LPI</v>
      </c>
    </row>
    <row r="2611" spans="1:13" ht="14.25" customHeight="true">
      <c r="A2611" s="33" t="str">
        <f t="shared" si="160"/>
        <v>LPI - Intercompany</v>
      </c>
      <c r="B2611" s="33" t="str">
        <f t="shared" si="161"/>
        <v>LPI</v>
      </c>
      <c r="C2611" s="33" t="str">
        <f t="shared" si="162"/>
        <v>11330-0000</v>
      </c>
      <c r="D2611" t="s">
        <v>23190</v>
      </c>
      <c r="E2611" t="s">
        <v>13242</v>
      </c>
      <c r="F2611" t="s">
        <v>14039</v>
      </c>
      <c r="G2611" t="s">
        <v>14672</v>
      </c>
      <c r="H2611" t="s">
        <v>13869</v>
      </c>
      <c r="I2611" t="s">
        <v>14690</v>
      </c>
      <c r="J2611" s="62">
        <v>0</v>
      </c>
      <c r="K2611" s="62">
        <v>0</v>
      </c>
      <c r="L2611" t="str">
        <f>VLOOKUP(VALUE(LEFT(C2611,5)),Xref!A:B,2,0)</f>
        <v>MAR</v>
      </c>
      <c r="M2611" t="str">
        <f t="shared" si="163"/>
        <v>LPI-MAR</v>
      </c>
    </row>
    <row r="2612" spans="1:13" ht="14.25" customHeight="true">
      <c r="A2612" s="33" t="str">
        <f t="shared" si="160"/>
        <v>LPI - Intercompany</v>
      </c>
      <c r="B2612" s="33" t="str">
        <f t="shared" si="161"/>
        <v>LPI</v>
      </c>
      <c r="C2612" s="33" t="str">
        <f t="shared" si="162"/>
        <v>11331-0000</v>
      </c>
      <c r="D2612" t="s">
        <v>23191</v>
      </c>
      <c r="E2612" t="s">
        <v>13354</v>
      </c>
      <c r="F2612" t="s">
        <v>14039</v>
      </c>
      <c r="G2612" t="s">
        <v>14672</v>
      </c>
      <c r="H2612" t="s">
        <v>13869</v>
      </c>
      <c r="I2612" t="s">
        <v>14690</v>
      </c>
      <c r="J2612" s="62">
        <v>0</v>
      </c>
      <c r="K2612" s="62">
        <v>0</v>
      </c>
      <c r="L2612" t="str">
        <f>VLOOKUP(VALUE(LEFT(C2612,5)),Xref!A:B,2,0)</f>
        <v>WIL</v>
      </c>
      <c r="M2612" t="str">
        <f t="shared" si="163"/>
        <v>LPI-WIL</v>
      </c>
    </row>
    <row r="2613" spans="1:13" ht="14.25" customHeight="true">
      <c r="A2613" s="33" t="str">
        <f t="shared" si="160"/>
        <v>LPI - Intercompany</v>
      </c>
      <c r="B2613" s="33" t="str">
        <f t="shared" si="161"/>
        <v>LPI</v>
      </c>
      <c r="C2613" s="33" t="str">
        <f t="shared" si="162"/>
        <v>11332-0000</v>
      </c>
      <c r="D2613" t="s">
        <v>23192</v>
      </c>
      <c r="E2613" t="s">
        <v>13243</v>
      </c>
      <c r="F2613" t="s">
        <v>14039</v>
      </c>
      <c r="G2613" t="s">
        <v>14672</v>
      </c>
      <c r="H2613" t="s">
        <v>13869</v>
      </c>
      <c r="I2613" t="s">
        <v>14690</v>
      </c>
      <c r="J2613" s="62">
        <v>0</v>
      </c>
      <c r="K2613" s="62">
        <v>0</v>
      </c>
      <c r="L2613" t="str">
        <f>VLOOKUP(VALUE(LEFT(C2613,5)),Xref!A:B,2,0)</f>
        <v>STO</v>
      </c>
      <c r="M2613" t="str">
        <f t="shared" si="163"/>
        <v>LPI-STO</v>
      </c>
    </row>
    <row r="2614" spans="1:13" ht="14.25" customHeight="true">
      <c r="A2614" s="33" t="str">
        <f t="shared" si="160"/>
        <v>LPI - Intercompany</v>
      </c>
      <c r="B2614" s="33" t="str">
        <f t="shared" si="161"/>
        <v>LPI</v>
      </c>
      <c r="C2614" s="33" t="str">
        <f t="shared" si="162"/>
        <v>11333-0000</v>
      </c>
      <c r="D2614" t="s">
        <v>23193</v>
      </c>
      <c r="E2614" t="s">
        <v>13244</v>
      </c>
      <c r="F2614" t="s">
        <v>14039</v>
      </c>
      <c r="G2614" t="s">
        <v>14672</v>
      </c>
      <c r="H2614" t="s">
        <v>13869</v>
      </c>
      <c r="I2614" t="s">
        <v>14690</v>
      </c>
      <c r="J2614" s="62">
        <v>0</v>
      </c>
      <c r="K2614" s="62">
        <v>0</v>
      </c>
      <c r="L2614" t="str">
        <f>VLOOKUP(VALUE(LEFT(C2614,5)),Xref!A:B,2,0)</f>
        <v>ANG</v>
      </c>
      <c r="M2614" t="str">
        <f t="shared" si="163"/>
        <v>ANG-LPI</v>
      </c>
    </row>
    <row r="2615" spans="1:13" ht="14.25" customHeight="true">
      <c r="A2615" s="33" t="str">
        <f t="shared" si="160"/>
        <v>LPI - Intercompany</v>
      </c>
      <c r="B2615" s="33" t="str">
        <f t="shared" si="161"/>
        <v>LPI</v>
      </c>
      <c r="C2615" s="33" t="str">
        <f t="shared" si="162"/>
        <v>11334-0000</v>
      </c>
      <c r="D2615" t="s">
        <v>23194</v>
      </c>
      <c r="E2615" t="s">
        <v>13245</v>
      </c>
      <c r="F2615" t="s">
        <v>14039</v>
      </c>
      <c r="G2615" t="s">
        <v>14672</v>
      </c>
      <c r="H2615" t="s">
        <v>13869</v>
      </c>
      <c r="I2615" t="s">
        <v>14690</v>
      </c>
      <c r="J2615" s="62">
        <v>0</v>
      </c>
      <c r="K2615" s="62">
        <v>0</v>
      </c>
      <c r="L2615" t="str">
        <f>VLOOKUP(VALUE(LEFT(C2615,5)),Xref!A:B,2,0)</f>
        <v>BRU</v>
      </c>
      <c r="M2615" t="str">
        <f t="shared" si="163"/>
        <v>BRU-LPI</v>
      </c>
    </row>
    <row r="2616" spans="1:13" ht="14.25" customHeight="true">
      <c r="A2616" s="33" t="str">
        <f t="shared" si="160"/>
        <v>LPI - Intercompany</v>
      </c>
      <c r="B2616" s="33" t="str">
        <f t="shared" si="161"/>
        <v>LPI</v>
      </c>
      <c r="C2616" s="33" t="str">
        <f t="shared" si="162"/>
        <v>11335-0000</v>
      </c>
      <c r="D2616" t="s">
        <v>23195</v>
      </c>
      <c r="E2616" t="s">
        <v>13246</v>
      </c>
      <c r="F2616" t="s">
        <v>14039</v>
      </c>
      <c r="G2616" t="s">
        <v>14672</v>
      </c>
      <c r="H2616" t="s">
        <v>13869</v>
      </c>
      <c r="I2616" t="s">
        <v>14690</v>
      </c>
      <c r="J2616" s="62">
        <v>0</v>
      </c>
      <c r="K2616" s="62">
        <v>0</v>
      </c>
      <c r="L2616" t="str">
        <f>VLOOKUP(VALUE(LEFT(C2616,5)),Xref!A:B,2,0)</f>
        <v>VEN</v>
      </c>
      <c r="M2616" t="str">
        <f t="shared" si="163"/>
        <v>LPI-VEN</v>
      </c>
    </row>
    <row r="2617" spans="1:13" ht="14.25" customHeight="true">
      <c r="A2617" s="33" t="str">
        <f t="shared" si="160"/>
        <v>LPI - Intercompany</v>
      </c>
      <c r="B2617" s="33" t="str">
        <f t="shared" si="161"/>
        <v>LPI</v>
      </c>
      <c r="C2617" s="33" t="str">
        <f t="shared" si="162"/>
        <v>11336-0000</v>
      </c>
      <c r="D2617" t="s">
        <v>23196</v>
      </c>
      <c r="E2617" t="s">
        <v>13247</v>
      </c>
      <c r="F2617" t="s">
        <v>14039</v>
      </c>
      <c r="G2617" t="s">
        <v>14672</v>
      </c>
      <c r="H2617" t="s">
        <v>13869</v>
      </c>
      <c r="I2617" t="s">
        <v>14690</v>
      </c>
      <c r="J2617" s="62">
        <v>0</v>
      </c>
      <c r="K2617" s="62">
        <v>0</v>
      </c>
      <c r="L2617" t="str">
        <f>VLOOKUP(VALUE(LEFT(C2617,5)),Xref!A:B,2,0)</f>
        <v>SAT</v>
      </c>
      <c r="M2617" t="str">
        <f t="shared" si="163"/>
        <v>LPI-SAT</v>
      </c>
    </row>
    <row r="2618" spans="1:13" ht="14.25" customHeight="true">
      <c r="A2618" s="33" t="str">
        <f t="shared" si="160"/>
        <v>LPI - Intercompany</v>
      </c>
      <c r="B2618" s="33" t="str">
        <f t="shared" si="161"/>
        <v>LPI</v>
      </c>
      <c r="C2618" s="33" t="str">
        <f t="shared" si="162"/>
        <v>11337-0000</v>
      </c>
      <c r="D2618" t="s">
        <v>23197</v>
      </c>
      <c r="E2618" t="s">
        <v>13248</v>
      </c>
      <c r="F2618" t="s">
        <v>14039</v>
      </c>
      <c r="G2618" t="s">
        <v>14672</v>
      </c>
      <c r="H2618" t="s">
        <v>13869</v>
      </c>
      <c r="I2618" t="s">
        <v>14690</v>
      </c>
      <c r="J2618" s="62">
        <v>0</v>
      </c>
      <c r="K2618" s="62">
        <v>0</v>
      </c>
      <c r="L2618" t="str">
        <f>VLOOKUP(VALUE(LEFT(C2618,5)),Xref!A:B,2,0)</f>
        <v>NEP</v>
      </c>
      <c r="M2618" t="str">
        <f t="shared" si="163"/>
        <v>LPI-NEP</v>
      </c>
    </row>
    <row r="2619" spans="1:13" ht="14.25" customHeight="true">
      <c r="A2619" s="33" t="str">
        <f t="shared" si="160"/>
        <v>LPI - Intercompany</v>
      </c>
      <c r="B2619" s="33" t="str">
        <f t="shared" si="161"/>
        <v>LPI</v>
      </c>
      <c r="C2619" s="33" t="str">
        <f t="shared" si="162"/>
        <v>11338-0000</v>
      </c>
      <c r="D2619" t="s">
        <v>23198</v>
      </c>
      <c r="E2619" t="s">
        <v>14131</v>
      </c>
      <c r="F2619" t="s">
        <v>14039</v>
      </c>
      <c r="G2619" t="s">
        <v>14672</v>
      </c>
      <c r="H2619" t="s">
        <v>13869</v>
      </c>
      <c r="I2619" t="s">
        <v>14690</v>
      </c>
      <c r="J2619" s="62">
        <v>0</v>
      </c>
      <c r="K2619" s="62">
        <v>0</v>
      </c>
      <c r="L2619" t="str">
        <f>VLOOKUP(VALUE(LEFT(C2619,5)),Xref!A:B,2,0)</f>
        <v>JUP</v>
      </c>
      <c r="M2619" t="str">
        <f t="shared" si="163"/>
        <v>JUP-LPI</v>
      </c>
    </row>
    <row r="2620" spans="1:13" ht="14.25" customHeight="true">
      <c r="A2620" s="33" t="str">
        <f t="shared" si="160"/>
        <v>LPI - Intercompany</v>
      </c>
      <c r="B2620" s="33" t="str">
        <f t="shared" si="161"/>
        <v>LPI</v>
      </c>
      <c r="C2620" s="33" t="str">
        <f t="shared" si="162"/>
        <v>11339-0000</v>
      </c>
      <c r="D2620" t="s">
        <v>23199</v>
      </c>
      <c r="E2620" t="s">
        <v>14133</v>
      </c>
      <c r="F2620" t="s">
        <v>14039</v>
      </c>
      <c r="G2620" t="s">
        <v>14672</v>
      </c>
      <c r="H2620" t="s">
        <v>13869</v>
      </c>
      <c r="I2620" t="s">
        <v>14690</v>
      </c>
      <c r="J2620" s="62">
        <v>0</v>
      </c>
      <c r="K2620" s="62">
        <v>0</v>
      </c>
      <c r="L2620" t="str">
        <f>VLOOKUP(VALUE(LEFT(C2620,5)),Xref!A:B,2,0)</f>
        <v>WES</v>
      </c>
      <c r="M2620" t="str">
        <f t="shared" si="163"/>
        <v>LPI-WES</v>
      </c>
    </row>
    <row r="2621" spans="1:13" ht="14.25" customHeight="true">
      <c r="A2621" s="33" t="str">
        <f t="shared" si="160"/>
        <v>LPI - Intercompany</v>
      </c>
      <c r="B2621" s="33" t="str">
        <f t="shared" si="161"/>
        <v>LPI</v>
      </c>
      <c r="C2621" s="33" t="str">
        <f t="shared" si="162"/>
        <v>11340-0000</v>
      </c>
      <c r="D2621" t="s">
        <v>23200</v>
      </c>
      <c r="E2621" t="s">
        <v>14135</v>
      </c>
      <c r="F2621" t="s">
        <v>14039</v>
      </c>
      <c r="G2621" t="s">
        <v>14672</v>
      </c>
      <c r="H2621" t="s">
        <v>13869</v>
      </c>
      <c r="I2621" t="s">
        <v>14690</v>
      </c>
      <c r="J2621" s="62">
        <v>0</v>
      </c>
      <c r="K2621" s="62">
        <v>0</v>
      </c>
      <c r="L2621" t="str">
        <f>VLOOKUP(VALUE(LEFT(C2621,5)),Xref!A:B,2,0)</f>
        <v>LCP</v>
      </c>
      <c r="M2621" t="str">
        <f t="shared" si="163"/>
        <v>LCP-LPI</v>
      </c>
    </row>
    <row r="2622" spans="1:13" ht="14.25" customHeight="true">
      <c r="A2622" s="33" t="str">
        <f t="shared" si="160"/>
        <v>LPI - Intercompany</v>
      </c>
      <c r="B2622" s="33" t="str">
        <f t="shared" si="161"/>
        <v>LPI</v>
      </c>
      <c r="C2622" s="33" t="str">
        <f t="shared" si="162"/>
        <v>11341-0000</v>
      </c>
      <c r="D2622" t="s">
        <v>23201</v>
      </c>
      <c r="E2622" t="s">
        <v>13639</v>
      </c>
      <c r="F2622" t="s">
        <v>14039</v>
      </c>
      <c r="G2622" t="s">
        <v>14672</v>
      </c>
      <c r="H2622" t="s">
        <v>13869</v>
      </c>
      <c r="I2622" t="s">
        <v>14690</v>
      </c>
      <c r="J2622" s="62">
        <v>0</v>
      </c>
      <c r="K2622" s="62">
        <v>0</v>
      </c>
      <c r="L2622" t="str">
        <f>VLOOKUP(VALUE(LEFT(C2622,5)),Xref!A:B,2,0)</f>
        <v>NOR</v>
      </c>
      <c r="M2622" t="str">
        <f t="shared" si="163"/>
        <v>LPI-NOR</v>
      </c>
    </row>
    <row r="2623" spans="1:13" ht="14.25" customHeight="true">
      <c r="A2623" s="33" t="str">
        <f t="shared" si="160"/>
        <v>LPI - Intercompany</v>
      </c>
      <c r="B2623" s="33" t="str">
        <f t="shared" si="161"/>
        <v>LPI</v>
      </c>
      <c r="C2623" s="33" t="str">
        <f t="shared" si="162"/>
        <v>11342-0000</v>
      </c>
      <c r="D2623" t="s">
        <v>23202</v>
      </c>
      <c r="E2623" t="s">
        <v>13355</v>
      </c>
      <c r="F2623" t="s">
        <v>14039</v>
      </c>
      <c r="G2623" t="s">
        <v>14672</v>
      </c>
      <c r="H2623" t="s">
        <v>13869</v>
      </c>
      <c r="I2623" t="s">
        <v>14690</v>
      </c>
      <c r="J2623" s="62">
        <v>0</v>
      </c>
      <c r="K2623" s="62">
        <v>0</v>
      </c>
      <c r="L2623" t="str">
        <f>VLOOKUP(VALUE(LEFT(C2623,5)),Xref!A:B,2,0)</f>
        <v>EAS</v>
      </c>
      <c r="M2623" t="str">
        <f t="shared" si="163"/>
        <v>EAS-LPI</v>
      </c>
    </row>
    <row r="2624" spans="1:13" ht="14.25" customHeight="true">
      <c r="A2624" s="33" t="str">
        <f t="shared" si="160"/>
        <v>LPI - Intercompany</v>
      </c>
      <c r="B2624" s="33" t="str">
        <f t="shared" si="161"/>
        <v>LPI</v>
      </c>
      <c r="C2624" s="33" t="str">
        <f t="shared" si="162"/>
        <v>11343-0000</v>
      </c>
      <c r="D2624" t="s">
        <v>23203</v>
      </c>
      <c r="E2624" t="s">
        <v>14139</v>
      </c>
      <c r="F2624" t="s">
        <v>14039</v>
      </c>
      <c r="G2624" t="s">
        <v>14672</v>
      </c>
      <c r="H2624" t="s">
        <v>13869</v>
      </c>
      <c r="I2624" t="s">
        <v>14690</v>
      </c>
      <c r="J2624" s="62">
        <v>0</v>
      </c>
      <c r="K2624" s="62">
        <v>0</v>
      </c>
      <c r="L2624" t="str">
        <f>VLOOKUP(VALUE(LEFT(C2624,5)),Xref!A:B,2,0)</f>
        <v>GRA</v>
      </c>
      <c r="M2624" t="str">
        <f t="shared" si="163"/>
        <v>GRA-LPI</v>
      </c>
    </row>
    <row r="2625" spans="1:13" ht="14.25" customHeight="true">
      <c r="A2625" s="33" t="str">
        <f t="shared" si="160"/>
        <v>LPI - Intercompany</v>
      </c>
      <c r="B2625" s="33" t="str">
        <f t="shared" si="161"/>
        <v>LPI</v>
      </c>
      <c r="C2625" s="33" t="str">
        <f t="shared" si="162"/>
        <v>11344-0000</v>
      </c>
      <c r="D2625" t="s">
        <v>23204</v>
      </c>
      <c r="E2625" t="s">
        <v>14141</v>
      </c>
      <c r="F2625" t="s">
        <v>14039</v>
      </c>
      <c r="G2625" t="s">
        <v>14672</v>
      </c>
      <c r="H2625" t="s">
        <v>13869</v>
      </c>
      <c r="I2625" t="s">
        <v>14690</v>
      </c>
      <c r="J2625" s="62">
        <v>0</v>
      </c>
      <c r="K2625" s="62">
        <v>0</v>
      </c>
      <c r="L2625" t="str">
        <f>VLOOKUP(VALUE(LEFT(C2625,5)),Xref!A:B,2,0)</f>
        <v>SOU</v>
      </c>
      <c r="M2625" t="str">
        <f t="shared" si="163"/>
        <v>LPI-SOU</v>
      </c>
    </row>
    <row r="2626" spans="1:13" ht="14.25" customHeight="true">
      <c r="A2626" s="33" t="str">
        <f t="shared" ref="A2626:A2689" si="164">B2626&amp;" - "&amp;TRIM(H2626)</f>
        <v>LPI - Intercompany</v>
      </c>
      <c r="B2626" s="33" t="str">
        <f t="shared" ref="B2626:B2689" si="165">LEFT(D2626,3)</f>
        <v>LPI</v>
      </c>
      <c r="C2626" s="33" t="str">
        <f t="shared" ref="C2626:C2689" si="166">RIGHT(D2626,10)</f>
        <v>11345-0000</v>
      </c>
      <c r="D2626" t="s">
        <v>23205</v>
      </c>
      <c r="E2626" t="s">
        <v>14143</v>
      </c>
      <c r="F2626" t="s">
        <v>14039</v>
      </c>
      <c r="G2626" t="s">
        <v>14672</v>
      </c>
      <c r="H2626" t="s">
        <v>13869</v>
      </c>
      <c r="I2626" t="s">
        <v>14690</v>
      </c>
      <c r="J2626" s="62">
        <v>0</v>
      </c>
      <c r="K2626" s="62">
        <v>0</v>
      </c>
      <c r="L2626" t="str">
        <f>VLOOKUP(VALUE(LEFT(C2626,5)),Xref!A:B,2,0)</f>
        <v>API</v>
      </c>
      <c r="M2626" t="str">
        <f t="shared" ref="M2626:M2689" si="167">IF(B2626&lt;L2626,B2626&amp;"-"&amp;L2626,L2626&amp;"-"&amp;B2626)</f>
        <v>API-LPI</v>
      </c>
    </row>
    <row r="2627" spans="1:13" ht="14.25" customHeight="true">
      <c r="A2627" s="33" t="str">
        <f t="shared" si="164"/>
        <v>LPI - Intercompany</v>
      </c>
      <c r="B2627" s="33" t="str">
        <f t="shared" si="165"/>
        <v>LPI</v>
      </c>
      <c r="C2627" s="33" t="str">
        <f t="shared" si="166"/>
        <v>11346-0000</v>
      </c>
      <c r="D2627" t="s">
        <v>23206</v>
      </c>
      <c r="E2627" t="s">
        <v>14145</v>
      </c>
      <c r="F2627" t="s">
        <v>14039</v>
      </c>
      <c r="G2627" t="s">
        <v>14672</v>
      </c>
      <c r="H2627" t="s">
        <v>13869</v>
      </c>
      <c r="I2627" t="s">
        <v>14690</v>
      </c>
      <c r="J2627" s="62">
        <v>0</v>
      </c>
      <c r="K2627" s="62">
        <v>0</v>
      </c>
      <c r="L2627" t="str">
        <f>VLOOKUP(VALUE(LEFT(C2627,5)),Xref!A:B,2,0)</f>
        <v>DPH</v>
      </c>
      <c r="M2627" t="str">
        <f t="shared" si="167"/>
        <v>DPH-LPI</v>
      </c>
    </row>
    <row r="2628" spans="1:13" ht="14.25" customHeight="true">
      <c r="A2628" s="33" t="str">
        <f t="shared" si="164"/>
        <v>LPI - Intercompany</v>
      </c>
      <c r="B2628" s="33" t="str">
        <f t="shared" si="165"/>
        <v>LPI</v>
      </c>
      <c r="C2628" s="33" t="str">
        <f t="shared" si="166"/>
        <v>11347-0000</v>
      </c>
      <c r="D2628" t="s">
        <v>23207</v>
      </c>
      <c r="E2628" t="s">
        <v>14147</v>
      </c>
      <c r="F2628" t="s">
        <v>14039</v>
      </c>
      <c r="G2628" t="s">
        <v>14672</v>
      </c>
      <c r="H2628" t="s">
        <v>13869</v>
      </c>
      <c r="I2628" t="s">
        <v>14690</v>
      </c>
      <c r="J2628" s="62">
        <v>0</v>
      </c>
      <c r="K2628" s="62">
        <v>0</v>
      </c>
      <c r="L2628" t="str">
        <f>VLOOKUP(VALUE(LEFT(C2628,5)),Xref!A:B,2,0)</f>
        <v>ZPI</v>
      </c>
      <c r="M2628" t="str">
        <f t="shared" si="167"/>
        <v>LPI-ZPI</v>
      </c>
    </row>
    <row r="2629" spans="1:13" ht="14.25" customHeight="true">
      <c r="A2629" s="33" t="str">
        <f t="shared" si="164"/>
        <v>LPI - Intercompany</v>
      </c>
      <c r="B2629" s="33" t="str">
        <f t="shared" si="165"/>
        <v>LPI</v>
      </c>
      <c r="C2629" s="33" t="str">
        <f t="shared" si="166"/>
        <v>11348-0000</v>
      </c>
      <c r="D2629" t="s">
        <v>23208</v>
      </c>
      <c r="E2629" t="s">
        <v>14149</v>
      </c>
      <c r="F2629" t="s">
        <v>14039</v>
      </c>
      <c r="G2629" t="s">
        <v>14672</v>
      </c>
      <c r="H2629" t="s">
        <v>13869</v>
      </c>
      <c r="I2629" t="s">
        <v>14690</v>
      </c>
      <c r="J2629" s="62">
        <v>0</v>
      </c>
      <c r="K2629" s="62">
        <v>0</v>
      </c>
      <c r="L2629" t="str">
        <f>VLOOKUP(VALUE(LEFT(C2629,5)),Xref!A:B,2,0)</f>
        <v>EAM</v>
      </c>
      <c r="M2629" t="str">
        <f t="shared" si="167"/>
        <v>EAM-LPI</v>
      </c>
    </row>
    <row r="2630" spans="1:13" ht="14.25" customHeight="true">
      <c r="A2630" s="33" t="str">
        <f t="shared" si="164"/>
        <v>LPI - Intercompany</v>
      </c>
      <c r="B2630" s="33" t="str">
        <f t="shared" si="165"/>
        <v>LPI</v>
      </c>
      <c r="C2630" s="33" t="str">
        <f t="shared" si="166"/>
        <v>11349-0000</v>
      </c>
      <c r="D2630" t="s">
        <v>23209</v>
      </c>
      <c r="E2630" t="s">
        <v>14151</v>
      </c>
      <c r="F2630" t="s">
        <v>14039</v>
      </c>
      <c r="G2630" t="s">
        <v>14672</v>
      </c>
      <c r="H2630" t="s">
        <v>13869</v>
      </c>
      <c r="I2630" t="s">
        <v>14690</v>
      </c>
      <c r="J2630" s="62">
        <v>0</v>
      </c>
      <c r="K2630" s="62">
        <v>0</v>
      </c>
      <c r="L2630" t="str">
        <f>VLOOKUP(VALUE(LEFT(C2630,5)),Xref!A:B,2,0)</f>
        <v>SEA</v>
      </c>
      <c r="M2630" t="str">
        <f t="shared" si="167"/>
        <v>LPI-SEA</v>
      </c>
    </row>
    <row r="2631" spans="1:13" ht="14.25" customHeight="true">
      <c r="A2631" s="33" t="str">
        <f t="shared" si="164"/>
        <v>LPI - Intercompany</v>
      </c>
      <c r="B2631" s="33" t="str">
        <f t="shared" si="165"/>
        <v>LPI</v>
      </c>
      <c r="C2631" s="33" t="str">
        <f t="shared" si="166"/>
        <v>11350-0000</v>
      </c>
      <c r="D2631" t="s">
        <v>23210</v>
      </c>
      <c r="E2631" t="s">
        <v>14153</v>
      </c>
      <c r="F2631" t="s">
        <v>14039</v>
      </c>
      <c r="G2631" t="s">
        <v>14672</v>
      </c>
      <c r="H2631" t="s">
        <v>13869</v>
      </c>
      <c r="I2631" t="s">
        <v>14690</v>
      </c>
      <c r="J2631" s="62">
        <v>0</v>
      </c>
      <c r="K2631" s="62">
        <v>-0.51</v>
      </c>
      <c r="L2631" t="str">
        <f>VLOOKUP(VALUE(LEFT(C2631,5)),Xref!A:B,2,0)</f>
        <v>EAL</v>
      </c>
      <c r="M2631" t="str">
        <f t="shared" si="167"/>
        <v>EAL-LPI</v>
      </c>
    </row>
    <row r="2632" spans="1:13" ht="14.25" customHeight="true">
      <c r="A2632" s="33" t="str">
        <f t="shared" si="164"/>
        <v>LPI - Intercompany</v>
      </c>
      <c r="B2632" s="33" t="str">
        <f t="shared" si="165"/>
        <v>LPI</v>
      </c>
      <c r="C2632" s="33" t="str">
        <f t="shared" si="166"/>
        <v>11351-0000</v>
      </c>
      <c r="D2632" t="s">
        <v>23211</v>
      </c>
      <c r="E2632" t="s">
        <v>14155</v>
      </c>
      <c r="F2632" t="s">
        <v>14039</v>
      </c>
      <c r="G2632" t="s">
        <v>14672</v>
      </c>
      <c r="H2632" t="s">
        <v>13869</v>
      </c>
      <c r="I2632" t="s">
        <v>14690</v>
      </c>
      <c r="J2632" s="62">
        <v>0</v>
      </c>
      <c r="K2632" s="62">
        <v>0</v>
      </c>
      <c r="L2632" t="str">
        <f>VLOOKUP(VALUE(LEFT(C2632,5)),Xref!A:B,2,0)</f>
        <v>WEP</v>
      </c>
      <c r="M2632" t="str">
        <f t="shared" si="167"/>
        <v>LPI-WEP</v>
      </c>
    </row>
    <row r="2633" spans="1:13" ht="14.25" customHeight="true">
      <c r="A2633" s="33" t="str">
        <f t="shared" si="164"/>
        <v>LPI - Intercompany</v>
      </c>
      <c r="B2633" s="33" t="str">
        <f t="shared" si="165"/>
        <v>LPI</v>
      </c>
      <c r="C2633" s="33" t="str">
        <f t="shared" si="166"/>
        <v>11352-0000</v>
      </c>
      <c r="D2633" t="s">
        <v>23212</v>
      </c>
      <c r="E2633" t="s">
        <v>13536</v>
      </c>
      <c r="F2633" t="s">
        <v>14039</v>
      </c>
      <c r="G2633" t="s">
        <v>14672</v>
      </c>
      <c r="H2633" t="s">
        <v>13869</v>
      </c>
      <c r="I2633" t="s">
        <v>14690</v>
      </c>
      <c r="J2633" s="62">
        <v>0</v>
      </c>
      <c r="K2633" s="62">
        <v>0</v>
      </c>
      <c r="L2633" t="str">
        <f>VLOOKUP(VALUE(LEFT(C2633,5)),Xref!A:B,2,0)</f>
        <v>KLP</v>
      </c>
      <c r="M2633" t="str">
        <f t="shared" si="167"/>
        <v>KLP-LPI</v>
      </c>
    </row>
    <row r="2634" spans="1:13" ht="14.25" customHeight="true">
      <c r="A2634" s="33" t="str">
        <f t="shared" si="164"/>
        <v>LPI - Intercompany</v>
      </c>
      <c r="B2634" s="33" t="str">
        <f t="shared" si="165"/>
        <v>LPI</v>
      </c>
      <c r="C2634" s="33" t="str">
        <f t="shared" si="166"/>
        <v>11353-0000</v>
      </c>
      <c r="D2634" t="s">
        <v>23213</v>
      </c>
      <c r="E2634" t="s">
        <v>13537</v>
      </c>
      <c r="F2634" t="s">
        <v>14039</v>
      </c>
      <c r="G2634" t="s">
        <v>14672</v>
      </c>
      <c r="H2634" t="s">
        <v>13869</v>
      </c>
      <c r="I2634" t="s">
        <v>14690</v>
      </c>
      <c r="J2634" s="62">
        <v>0</v>
      </c>
      <c r="K2634" s="62">
        <v>0</v>
      </c>
      <c r="L2634" t="str">
        <f>VLOOKUP(VALUE(LEFT(C2634,5)),Xref!A:B,2,0)</f>
        <v>AKC</v>
      </c>
      <c r="M2634" t="str">
        <f t="shared" si="167"/>
        <v>AKC-LPI</v>
      </c>
    </row>
    <row r="2635" spans="1:13" ht="14.25" customHeight="true">
      <c r="A2635" s="33" t="str">
        <f t="shared" si="164"/>
        <v>LPI - Intercompany</v>
      </c>
      <c r="B2635" s="33" t="str">
        <f t="shared" si="165"/>
        <v>LPI</v>
      </c>
      <c r="C2635" s="33" t="str">
        <f t="shared" si="166"/>
        <v>11354-0000</v>
      </c>
      <c r="D2635" t="s">
        <v>23214</v>
      </c>
      <c r="E2635" t="s">
        <v>13538</v>
      </c>
      <c r="F2635" t="s">
        <v>14039</v>
      </c>
      <c r="G2635" t="s">
        <v>14672</v>
      </c>
      <c r="H2635" t="s">
        <v>13869</v>
      </c>
      <c r="I2635" t="s">
        <v>14690</v>
      </c>
      <c r="J2635" s="62">
        <v>0</v>
      </c>
      <c r="K2635" s="62">
        <v>0</v>
      </c>
      <c r="L2635" t="str">
        <f>VLOOKUP(VALUE(LEFT(C2635,5)),Xref!A:B,2,0)</f>
        <v>AKA</v>
      </c>
      <c r="M2635" t="str">
        <f t="shared" si="167"/>
        <v>AKA-LPI</v>
      </c>
    </row>
    <row r="2636" spans="1:13" ht="14.25" customHeight="true">
      <c r="A2636" s="33" t="str">
        <f t="shared" si="164"/>
        <v>LPI - Intercompany</v>
      </c>
      <c r="B2636" s="33" t="str">
        <f t="shared" si="165"/>
        <v>LPI</v>
      </c>
      <c r="C2636" s="33" t="str">
        <f t="shared" si="166"/>
        <v>11355-0000</v>
      </c>
      <c r="D2636" t="s">
        <v>23215</v>
      </c>
      <c r="E2636" t="s">
        <v>13539</v>
      </c>
      <c r="F2636" t="s">
        <v>14039</v>
      </c>
      <c r="G2636" t="s">
        <v>14672</v>
      </c>
      <c r="H2636" t="s">
        <v>13869</v>
      </c>
      <c r="I2636" t="s">
        <v>14690</v>
      </c>
      <c r="J2636" s="62">
        <v>0</v>
      </c>
      <c r="K2636" s="62">
        <v>0</v>
      </c>
      <c r="L2636" t="str">
        <f>VLOOKUP(VALUE(LEFT(C2636,5)),Xref!A:B,2,0)</f>
        <v>SPA</v>
      </c>
      <c r="M2636" t="str">
        <f t="shared" si="167"/>
        <v>LPI-SPA</v>
      </c>
    </row>
    <row r="2637" spans="1:13" ht="14.25" customHeight="true">
      <c r="A2637" s="33" t="str">
        <f t="shared" si="164"/>
        <v>LPI - Intercompany</v>
      </c>
      <c r="B2637" s="33" t="str">
        <f t="shared" si="165"/>
        <v>LPI</v>
      </c>
      <c r="C2637" s="33" t="str">
        <f t="shared" si="166"/>
        <v>11356-0000</v>
      </c>
      <c r="D2637" t="s">
        <v>23216</v>
      </c>
      <c r="E2637" t="s">
        <v>13540</v>
      </c>
      <c r="F2637" t="s">
        <v>14039</v>
      </c>
      <c r="G2637" t="s">
        <v>14672</v>
      </c>
      <c r="H2637" t="s">
        <v>13869</v>
      </c>
      <c r="I2637" t="s">
        <v>14690</v>
      </c>
      <c r="J2637" s="62">
        <v>0</v>
      </c>
      <c r="K2637" s="62">
        <v>0</v>
      </c>
      <c r="L2637" t="str">
        <f>VLOOKUP(VALUE(LEFT(C2637,5)),Xref!A:B,2,0)</f>
        <v>DPM</v>
      </c>
      <c r="M2637" t="str">
        <f t="shared" si="167"/>
        <v>DPM-LPI</v>
      </c>
    </row>
    <row r="2638" spans="1:13" ht="14.25" customHeight="true">
      <c r="A2638" s="33" t="str">
        <f t="shared" si="164"/>
        <v>LPI - Intercompany</v>
      </c>
      <c r="B2638" s="33" t="str">
        <f t="shared" si="165"/>
        <v>LPI</v>
      </c>
      <c r="C2638" s="33" t="str">
        <f t="shared" si="166"/>
        <v>11357-0000</v>
      </c>
      <c r="D2638" t="s">
        <v>23217</v>
      </c>
      <c r="E2638" t="s">
        <v>13541</v>
      </c>
      <c r="F2638" t="s">
        <v>14039</v>
      </c>
      <c r="G2638" t="s">
        <v>14672</v>
      </c>
      <c r="H2638" t="s">
        <v>13869</v>
      </c>
      <c r="I2638" t="s">
        <v>14690</v>
      </c>
      <c r="J2638" s="62">
        <v>0</v>
      </c>
      <c r="K2638" s="62">
        <v>0</v>
      </c>
      <c r="L2638" t="str">
        <f>VLOOKUP(VALUE(LEFT(C2638,5)),Xref!A:B,2,0)</f>
        <v>HDM</v>
      </c>
      <c r="M2638" t="str">
        <f t="shared" si="167"/>
        <v>HDM-LPI</v>
      </c>
    </row>
    <row r="2639" spans="1:13" ht="14.25" customHeight="true">
      <c r="A2639" s="33" t="str">
        <f t="shared" si="164"/>
        <v>LPI - Intercompany</v>
      </c>
      <c r="B2639" s="33" t="str">
        <f t="shared" si="165"/>
        <v>LPI</v>
      </c>
      <c r="C2639" s="33" t="str">
        <f t="shared" si="166"/>
        <v>11358-0000</v>
      </c>
      <c r="D2639" t="s">
        <v>23218</v>
      </c>
      <c r="E2639" t="s">
        <v>13542</v>
      </c>
      <c r="F2639" t="s">
        <v>14039</v>
      </c>
      <c r="G2639" t="s">
        <v>14672</v>
      </c>
      <c r="H2639" t="s">
        <v>13869</v>
      </c>
      <c r="I2639" t="s">
        <v>14690</v>
      </c>
      <c r="J2639" s="62">
        <v>0</v>
      </c>
      <c r="K2639" s="62">
        <v>0</v>
      </c>
      <c r="L2639" t="str">
        <f>VLOOKUP(VALUE(LEFT(C2639,5)),Xref!A:B,2,0)</f>
        <v>GRA</v>
      </c>
      <c r="M2639" t="str">
        <f t="shared" si="167"/>
        <v>GRA-LPI</v>
      </c>
    </row>
    <row r="2640" spans="1:13" ht="14.25" customHeight="true">
      <c r="A2640" s="33" t="str">
        <f t="shared" si="164"/>
        <v>LPI - Intercompany</v>
      </c>
      <c r="B2640" s="33" t="str">
        <f t="shared" si="165"/>
        <v>LPI</v>
      </c>
      <c r="C2640" s="33" t="str">
        <f t="shared" si="166"/>
        <v>11359-0000</v>
      </c>
      <c r="D2640" t="s">
        <v>23219</v>
      </c>
      <c r="E2640" t="s">
        <v>13543</v>
      </c>
      <c r="F2640" t="s">
        <v>14039</v>
      </c>
      <c r="G2640" t="s">
        <v>14672</v>
      </c>
      <c r="H2640" t="s">
        <v>13869</v>
      </c>
      <c r="I2640" t="s">
        <v>14690</v>
      </c>
      <c r="J2640" s="62">
        <v>0</v>
      </c>
      <c r="K2640" s="62">
        <v>0</v>
      </c>
      <c r="L2640" t="str">
        <f>VLOOKUP(VALUE(LEFT(C2640,5)),Xref!A:B,2,0)</f>
        <v>TPI</v>
      </c>
      <c r="M2640" t="str">
        <f t="shared" si="167"/>
        <v>LPI-TPI</v>
      </c>
    </row>
    <row r="2641" spans="1:13" ht="14.25" customHeight="true">
      <c r="A2641" s="33" t="str">
        <f t="shared" si="164"/>
        <v>LPI - Intercompany</v>
      </c>
      <c r="B2641" s="33" t="str">
        <f t="shared" si="165"/>
        <v>LPI</v>
      </c>
      <c r="C2641" s="33" t="str">
        <f t="shared" si="166"/>
        <v>11361-0000</v>
      </c>
      <c r="D2641" t="s">
        <v>23220</v>
      </c>
      <c r="E2641" t="s">
        <v>14165</v>
      </c>
      <c r="F2641" t="s">
        <v>14039</v>
      </c>
      <c r="G2641" t="s">
        <v>14672</v>
      </c>
      <c r="H2641" t="s">
        <v>13869</v>
      </c>
      <c r="I2641" t="s">
        <v>14690</v>
      </c>
      <c r="J2641" s="62">
        <v>0</v>
      </c>
      <c r="K2641" s="62">
        <v>0</v>
      </c>
      <c r="L2641" t="str">
        <f>VLOOKUP(VALUE(LEFT(C2641,5)),Xref!A:B,2,0)</f>
        <v>GSM</v>
      </c>
      <c r="M2641" t="str">
        <f t="shared" si="167"/>
        <v>GSM-LPI</v>
      </c>
    </row>
    <row r="2642" spans="1:13" ht="14.25" customHeight="true">
      <c r="A2642" s="33" t="str">
        <f t="shared" si="164"/>
        <v>LPI - Intercompany</v>
      </c>
      <c r="B2642" s="33" t="str">
        <f t="shared" si="165"/>
        <v>LPI</v>
      </c>
      <c r="C2642" s="33" t="str">
        <f t="shared" si="166"/>
        <v>11363-0000</v>
      </c>
      <c r="D2642" t="s">
        <v>23221</v>
      </c>
      <c r="E2642" t="s">
        <v>13544</v>
      </c>
      <c r="F2642" t="s">
        <v>14039</v>
      </c>
      <c r="G2642" t="s">
        <v>14672</v>
      </c>
      <c r="H2642" t="s">
        <v>13869</v>
      </c>
      <c r="I2642" t="s">
        <v>14690</v>
      </c>
      <c r="J2642" s="62">
        <v>0</v>
      </c>
      <c r="K2642" s="62">
        <v>0</v>
      </c>
      <c r="L2642" t="str">
        <f>VLOOKUP(VALUE(LEFT(C2642,5)),Xref!A:B,2,0)</f>
        <v>SOF</v>
      </c>
      <c r="M2642" t="str">
        <f t="shared" si="167"/>
        <v>LPI-SOF</v>
      </c>
    </row>
    <row r="2643" spans="1:13" ht="14.25" customHeight="true">
      <c r="A2643" s="33" t="str">
        <f t="shared" si="164"/>
        <v>LPI - Intercompany</v>
      </c>
      <c r="B2643" s="33" t="str">
        <f t="shared" si="165"/>
        <v>LPI</v>
      </c>
      <c r="C2643" s="33" t="str">
        <f t="shared" si="166"/>
        <v>11364-0000</v>
      </c>
      <c r="D2643" t="s">
        <v>23222</v>
      </c>
      <c r="E2643" t="s">
        <v>14168</v>
      </c>
      <c r="F2643" t="s">
        <v>14039</v>
      </c>
      <c r="G2643" t="s">
        <v>14672</v>
      </c>
      <c r="H2643" t="s">
        <v>13869</v>
      </c>
      <c r="I2643" t="s">
        <v>14690</v>
      </c>
      <c r="J2643" s="62">
        <v>0</v>
      </c>
      <c r="K2643" s="62">
        <v>0</v>
      </c>
      <c r="L2643" t="e">
        <f>VLOOKUP(VALUE(LEFT(C2643,5)),Xref!A:B,2,0)</f>
        <v>#N/A</v>
      </c>
      <c r="M2643" t="e">
        <f t="shared" si="167"/>
        <v>#N/A</v>
      </c>
    </row>
    <row r="2644" spans="1:13" ht="14.25" customHeight="true">
      <c r="A2644" s="33" t="str">
        <f t="shared" si="164"/>
        <v>LPI - Intercompany</v>
      </c>
      <c r="B2644" s="33" t="str">
        <f t="shared" si="165"/>
        <v>LPI</v>
      </c>
      <c r="C2644" s="33" t="str">
        <f t="shared" si="166"/>
        <v>11365-0000</v>
      </c>
      <c r="D2644" t="s">
        <v>23223</v>
      </c>
      <c r="E2644" t="s">
        <v>14170</v>
      </c>
      <c r="F2644" t="s">
        <v>14039</v>
      </c>
      <c r="G2644" t="s">
        <v>14672</v>
      </c>
      <c r="H2644" t="s">
        <v>13869</v>
      </c>
      <c r="I2644" t="s">
        <v>14690</v>
      </c>
      <c r="J2644" s="62">
        <v>0</v>
      </c>
      <c r="K2644" s="62">
        <v>0</v>
      </c>
      <c r="L2644" t="e">
        <f>VLOOKUP(VALUE(LEFT(C2644,5)),Xref!A:B,2,0)</f>
        <v>#N/A</v>
      </c>
      <c r="M2644" t="e">
        <f t="shared" si="167"/>
        <v>#N/A</v>
      </c>
    </row>
    <row r="2645" spans="1:13" ht="14.25" customHeight="true">
      <c r="A2645" s="33" t="str">
        <f t="shared" si="164"/>
        <v>LPI - Intercompany</v>
      </c>
      <c r="B2645" s="33" t="str">
        <f t="shared" si="165"/>
        <v>LPI</v>
      </c>
      <c r="C2645" s="33" t="str">
        <f t="shared" si="166"/>
        <v>11366-0000</v>
      </c>
      <c r="D2645" t="s">
        <v>23224</v>
      </c>
      <c r="E2645" t="s">
        <v>14172</v>
      </c>
      <c r="G2645" t="s">
        <v>14672</v>
      </c>
      <c r="H2645" t="s">
        <v>13869</v>
      </c>
      <c r="I2645" t="s">
        <v>14690</v>
      </c>
      <c r="J2645" s="62">
        <v>0</v>
      </c>
      <c r="K2645" s="62">
        <v>0</v>
      </c>
      <c r="L2645" t="e">
        <f>VLOOKUP(VALUE(LEFT(C2645,5)),Xref!A:B,2,0)</f>
        <v>#N/A</v>
      </c>
      <c r="M2645" t="e">
        <f t="shared" si="167"/>
        <v>#N/A</v>
      </c>
    </row>
    <row r="2646" spans="1:13" ht="14.25" customHeight="true">
      <c r="A2646" s="33" t="str">
        <f t="shared" si="164"/>
        <v>LPI - Intercompany</v>
      </c>
      <c r="B2646" s="33" t="str">
        <f t="shared" si="165"/>
        <v>LPI</v>
      </c>
      <c r="C2646" s="33" t="str">
        <f t="shared" si="166"/>
        <v>11402-0000</v>
      </c>
      <c r="D2646" t="s">
        <v>23225</v>
      </c>
      <c r="E2646" t="s">
        <v>14174</v>
      </c>
      <c r="G2646" t="s">
        <v>14672</v>
      </c>
      <c r="H2646" t="s">
        <v>13869</v>
      </c>
      <c r="I2646" t="s">
        <v>14690</v>
      </c>
      <c r="J2646" s="62">
        <v>0</v>
      </c>
      <c r="K2646" s="62">
        <v>0</v>
      </c>
      <c r="L2646" t="str">
        <f>VLOOKUP(VALUE(LEFT(C2646,5)),Xref!A:B,2,0)</f>
        <v>DPI</v>
      </c>
      <c r="M2646" t="str">
        <f t="shared" si="167"/>
        <v>DPI-LPI</v>
      </c>
    </row>
    <row r="2647" spans="1:13" ht="14.25" customHeight="true">
      <c r="A2647" s="33" t="str">
        <f t="shared" si="164"/>
        <v>LPI - Intercompany</v>
      </c>
      <c r="B2647" s="33" t="str">
        <f t="shared" si="165"/>
        <v>LPI</v>
      </c>
      <c r="C2647" s="33" t="str">
        <f t="shared" si="166"/>
        <v>11403-0000</v>
      </c>
      <c r="D2647" t="s">
        <v>23226</v>
      </c>
      <c r="E2647" t="s">
        <v>14176</v>
      </c>
      <c r="G2647" t="s">
        <v>14672</v>
      </c>
      <c r="H2647" t="s">
        <v>13869</v>
      </c>
      <c r="I2647" t="s">
        <v>14690</v>
      </c>
      <c r="J2647" s="62">
        <v>0</v>
      </c>
      <c r="K2647" s="62">
        <v>0</v>
      </c>
      <c r="L2647" t="str">
        <f>VLOOKUP(VALUE(LEFT(C2647,5)),Xref!A:B,2,0)</f>
        <v>SEA</v>
      </c>
      <c r="M2647" t="str">
        <f t="shared" si="167"/>
        <v>LPI-SEA</v>
      </c>
    </row>
    <row r="2648" spans="1:13" ht="14.25" customHeight="true">
      <c r="A2648" s="33" t="str">
        <f t="shared" si="164"/>
        <v>LPI - Intercompany</v>
      </c>
      <c r="B2648" s="33" t="str">
        <f t="shared" si="165"/>
        <v>LPI</v>
      </c>
      <c r="C2648" s="33" t="str">
        <f t="shared" si="166"/>
        <v>12400-0000</v>
      </c>
      <c r="D2648" t="s">
        <v>23229</v>
      </c>
      <c r="E2648" t="s">
        <v>14185</v>
      </c>
      <c r="F2648" t="s">
        <v>14039</v>
      </c>
      <c r="G2648" t="s">
        <v>14672</v>
      </c>
      <c r="H2648" t="s">
        <v>13869</v>
      </c>
      <c r="I2648" t="s">
        <v>14690</v>
      </c>
      <c r="J2648" s="62">
        <v>0</v>
      </c>
      <c r="K2648" s="62">
        <v>0</v>
      </c>
      <c r="L2648" t="str">
        <f>VLOOKUP(VALUE(LEFT(C2648,5)),Xref!A:B,2,0)</f>
        <v>aka</v>
      </c>
      <c r="M2648" t="str">
        <f t="shared" si="167"/>
        <v>aka-LPI</v>
      </c>
    </row>
    <row r="2649" spans="1:13" ht="14.25" customHeight="true">
      <c r="A2649" s="33" t="str">
        <f t="shared" si="164"/>
        <v>LPI - Intercompany</v>
      </c>
      <c r="B2649" s="33" t="str">
        <f t="shared" si="165"/>
        <v>LPI</v>
      </c>
      <c r="C2649" s="33" t="str">
        <f t="shared" si="166"/>
        <v>12401-0000</v>
      </c>
      <c r="D2649" t="s">
        <v>23230</v>
      </c>
      <c r="E2649" t="s">
        <v>14187</v>
      </c>
      <c r="F2649" t="s">
        <v>14039</v>
      </c>
      <c r="G2649" t="s">
        <v>14672</v>
      </c>
      <c r="H2649" t="s">
        <v>13869</v>
      </c>
      <c r="I2649" t="s">
        <v>14690</v>
      </c>
      <c r="J2649" s="62">
        <v>0</v>
      </c>
      <c r="K2649" s="62">
        <v>0</v>
      </c>
      <c r="L2649" t="str">
        <f>VLOOKUP(VALUE(LEFT(C2649,5)),Xref!A:B,2,0)</f>
        <v>aka</v>
      </c>
      <c r="M2649" t="str">
        <f t="shared" si="167"/>
        <v>aka-LPI</v>
      </c>
    </row>
    <row r="2650" spans="1:13" ht="14.25" customHeight="true">
      <c r="A2650" s="33" t="str">
        <f t="shared" si="164"/>
        <v>LPI - Intercompany</v>
      </c>
      <c r="B2650" s="33" t="str">
        <f t="shared" si="165"/>
        <v>LPI</v>
      </c>
      <c r="C2650" s="33" t="str">
        <f t="shared" si="166"/>
        <v>12402-0000</v>
      </c>
      <c r="D2650" t="s">
        <v>23231</v>
      </c>
      <c r="E2650" t="s">
        <v>14189</v>
      </c>
      <c r="F2650" t="s">
        <v>14039</v>
      </c>
      <c r="G2650" t="s">
        <v>14672</v>
      </c>
      <c r="H2650" t="s">
        <v>13869</v>
      </c>
      <c r="I2650" t="s">
        <v>14690</v>
      </c>
      <c r="J2650" s="62">
        <v>0</v>
      </c>
      <c r="K2650" s="62">
        <v>5000</v>
      </c>
      <c r="L2650" t="str">
        <f>VLOOKUP(VALUE(LEFT(C2650,5)),Xref!A:B,2,0)</f>
        <v>aka</v>
      </c>
      <c r="M2650" t="str">
        <f t="shared" si="167"/>
        <v>aka-LPI</v>
      </c>
    </row>
    <row r="2651" spans="1:13" ht="14.25" customHeight="true">
      <c r="A2651" s="33" t="str">
        <f t="shared" si="164"/>
        <v>LPI - Intercompany</v>
      </c>
      <c r="B2651" s="33" t="str">
        <f t="shared" si="165"/>
        <v>LPI</v>
      </c>
      <c r="C2651" s="33" t="str">
        <f t="shared" si="166"/>
        <v>12403-0000</v>
      </c>
      <c r="D2651" t="s">
        <v>23232</v>
      </c>
      <c r="E2651" t="s">
        <v>5226</v>
      </c>
      <c r="F2651" t="s">
        <v>14039</v>
      </c>
      <c r="G2651" t="s">
        <v>14672</v>
      </c>
      <c r="H2651" t="s">
        <v>13869</v>
      </c>
      <c r="I2651" t="s">
        <v>14690</v>
      </c>
      <c r="J2651" s="62">
        <v>0</v>
      </c>
      <c r="K2651" s="62">
        <v>0</v>
      </c>
      <c r="L2651" t="str">
        <f>VLOOKUP(VALUE(LEFT(C2651,5)),Xref!A:B,2,0)</f>
        <v>aka</v>
      </c>
      <c r="M2651" t="str">
        <f t="shared" si="167"/>
        <v>aka-LPI</v>
      </c>
    </row>
    <row r="2652" spans="1:13" ht="14.25" customHeight="true">
      <c r="A2652" s="33" t="str">
        <f t="shared" si="164"/>
        <v>LPI - Intercompany</v>
      </c>
      <c r="B2652" s="33" t="str">
        <f t="shared" si="165"/>
        <v>LPI</v>
      </c>
      <c r="C2652" s="33" t="str">
        <f t="shared" si="166"/>
        <v>12501-0000</v>
      </c>
      <c r="D2652" t="s">
        <v>23233</v>
      </c>
      <c r="E2652" t="s">
        <v>14192</v>
      </c>
      <c r="F2652" t="s">
        <v>14039</v>
      </c>
      <c r="G2652" t="s">
        <v>14672</v>
      </c>
      <c r="H2652" t="s">
        <v>13869</v>
      </c>
      <c r="I2652" t="s">
        <v>14690</v>
      </c>
      <c r="J2652" s="62">
        <v>0</v>
      </c>
      <c r="K2652" s="62">
        <v>0</v>
      </c>
      <c r="L2652" t="str">
        <f>VLOOKUP(VALUE(LEFT(C2652,5)),Xref!A:B,2,0)</f>
        <v>aka</v>
      </c>
      <c r="M2652" t="str">
        <f t="shared" si="167"/>
        <v>aka-LPI</v>
      </c>
    </row>
    <row r="2653" spans="1:13" ht="14.25" customHeight="true">
      <c r="A2653" s="33" t="str">
        <f t="shared" si="164"/>
        <v>LPI - InterCo Notes</v>
      </c>
      <c r="B2653" s="33" t="str">
        <f t="shared" si="165"/>
        <v>LPI</v>
      </c>
      <c r="C2653" s="33" t="str">
        <f t="shared" si="166"/>
        <v>25600-0000</v>
      </c>
      <c r="D2653" t="s">
        <v>23286</v>
      </c>
      <c r="E2653" t="s">
        <v>314</v>
      </c>
      <c r="F2653" t="s">
        <v>14039</v>
      </c>
      <c r="G2653" t="s">
        <v>14672</v>
      </c>
      <c r="H2653" t="s">
        <v>13889</v>
      </c>
      <c r="I2653" t="s">
        <v>14690</v>
      </c>
      <c r="J2653" s="62">
        <v>0</v>
      </c>
      <c r="K2653" s="62">
        <v>0</v>
      </c>
      <c r="L2653" t="str">
        <f>VLOOKUP(VALUE(LEFT(C2653,5)),Xref!A:B,2,0)</f>
        <v>D7</v>
      </c>
      <c r="M2653" t="str">
        <f t="shared" si="167"/>
        <v>D7-LPI</v>
      </c>
    </row>
    <row r="2654" spans="1:13" ht="14.25" customHeight="true">
      <c r="A2654" s="33" t="str">
        <f t="shared" si="164"/>
        <v>LPI - InterCo Notes</v>
      </c>
      <c r="B2654" s="33" t="str">
        <f t="shared" si="165"/>
        <v>LPI</v>
      </c>
      <c r="C2654" s="33" t="str">
        <f t="shared" si="166"/>
        <v>25602-0000</v>
      </c>
      <c r="D2654" t="s">
        <v>23288</v>
      </c>
      <c r="E2654" t="s">
        <v>13426</v>
      </c>
      <c r="F2654" t="s">
        <v>14039</v>
      </c>
      <c r="G2654" t="s">
        <v>14672</v>
      </c>
      <c r="H2654" t="s">
        <v>13889</v>
      </c>
      <c r="I2654" t="s">
        <v>14690</v>
      </c>
      <c r="J2654" s="62">
        <v>0</v>
      </c>
      <c r="K2654" s="62">
        <v>0</v>
      </c>
      <c r="L2654" t="str">
        <f>VLOOKUP(VALUE(LEFT(C2654,5)),Xref!A:B,2,0)</f>
        <v>DFLP</v>
      </c>
      <c r="M2654" t="str">
        <f t="shared" si="167"/>
        <v>DFLP-LPI</v>
      </c>
    </row>
    <row r="2655" spans="1:13" ht="14.25" customHeight="true">
      <c r="A2655" s="33" t="str">
        <f t="shared" si="164"/>
        <v>LPI - InterCo Notes</v>
      </c>
      <c r="B2655" s="33" t="str">
        <f t="shared" si="165"/>
        <v>LPI</v>
      </c>
      <c r="C2655" s="33" t="str">
        <f t="shared" si="166"/>
        <v>25603-0000</v>
      </c>
      <c r="D2655" t="s">
        <v>23289</v>
      </c>
      <c r="E2655" t="s">
        <v>14311</v>
      </c>
      <c r="F2655" t="s">
        <v>14039</v>
      </c>
      <c r="G2655" t="s">
        <v>14832</v>
      </c>
      <c r="H2655" t="s">
        <v>13889</v>
      </c>
      <c r="I2655" t="s">
        <v>14690</v>
      </c>
      <c r="J2655" s="62">
        <v>0</v>
      </c>
      <c r="K2655" s="62">
        <v>0</v>
      </c>
      <c r="L2655" t="str">
        <f>VLOOKUP(VALUE(LEFT(C2655,5)),Xref!A:B,2,0)</f>
        <v>aka</v>
      </c>
      <c r="M2655" t="str">
        <f t="shared" si="167"/>
        <v>aka-LPI</v>
      </c>
    </row>
    <row r="2656" spans="1:13" ht="14.25" customHeight="true">
      <c r="A2656" s="33" t="str">
        <f t="shared" si="164"/>
        <v>LPI - Intercompany</v>
      </c>
      <c r="B2656" s="33" t="str">
        <f t="shared" si="165"/>
        <v>LPI</v>
      </c>
      <c r="C2656" s="33" t="str">
        <f t="shared" si="166"/>
        <v>25604-0000</v>
      </c>
      <c r="D2656" t="s">
        <v>23290</v>
      </c>
      <c r="E2656" t="s">
        <v>13490</v>
      </c>
      <c r="F2656" t="s">
        <v>14039</v>
      </c>
      <c r="G2656" t="s">
        <v>14672</v>
      </c>
      <c r="H2656" t="s">
        <v>13869</v>
      </c>
      <c r="I2656" t="s">
        <v>14690</v>
      </c>
      <c r="J2656" s="62">
        <v>0</v>
      </c>
      <c r="K2656" s="62">
        <v>0</v>
      </c>
      <c r="L2656">
        <f>VLOOKUP(VALUE(LEFT(C2656,5)),Xref!A:B,2,0)</f>
        <v>0</v>
      </c>
      <c r="M2656" t="str">
        <f t="shared" si="167"/>
        <v>0-LPI</v>
      </c>
    </row>
    <row r="2657" spans="1:13" ht="14.25" customHeight="true">
      <c r="A2657" s="33" t="str">
        <f t="shared" si="164"/>
        <v>LPI - Intercompany</v>
      </c>
      <c r="B2657" s="33" t="str">
        <f t="shared" si="165"/>
        <v>LPI</v>
      </c>
      <c r="C2657" s="33" t="str">
        <f t="shared" si="166"/>
        <v>11200-0000</v>
      </c>
      <c r="D2657" t="s">
        <v>23493</v>
      </c>
      <c r="E2657" t="s">
        <v>14069</v>
      </c>
      <c r="F2657" t="s">
        <v>14039</v>
      </c>
      <c r="G2657" t="s">
        <v>14672</v>
      </c>
      <c r="H2657" t="s">
        <v>13869</v>
      </c>
      <c r="I2657" t="s">
        <v>14690</v>
      </c>
      <c r="J2657" s="62">
        <v>0</v>
      </c>
      <c r="K2657" s="62">
        <v>0</v>
      </c>
      <c r="L2657" t="str">
        <f>VLOOKUP(VALUE(LEFT(C2657,5)),Xref!A:B,2,0)</f>
        <v>SCL</v>
      </c>
      <c r="M2657" t="str">
        <f t="shared" si="167"/>
        <v>LPI-SCL</v>
      </c>
    </row>
    <row r="2658" spans="1:13" ht="14.25" customHeight="true">
      <c r="A2658" s="33" t="str">
        <f t="shared" si="164"/>
        <v>LPI - Intercompany</v>
      </c>
      <c r="B2658" s="33" t="str">
        <f t="shared" si="165"/>
        <v>LPI</v>
      </c>
      <c r="C2658" s="33" t="str">
        <f t="shared" si="166"/>
        <v>11201-0000</v>
      </c>
      <c r="D2658" t="s">
        <v>23494</v>
      </c>
      <c r="E2658" t="s">
        <v>14071</v>
      </c>
      <c r="F2658" t="s">
        <v>14039</v>
      </c>
      <c r="G2658" t="s">
        <v>14672</v>
      </c>
      <c r="H2658" t="s">
        <v>13869</v>
      </c>
      <c r="I2658" t="s">
        <v>14690</v>
      </c>
      <c r="J2658" s="62">
        <v>0</v>
      </c>
      <c r="K2658" s="62">
        <v>0</v>
      </c>
      <c r="L2658" t="str">
        <f>VLOOKUP(VALUE(LEFT(C2658,5)),Xref!A:B,2,0)</f>
        <v>SG2</v>
      </c>
      <c r="M2658" t="str">
        <f t="shared" si="167"/>
        <v>LPI-SG2</v>
      </c>
    </row>
    <row r="2659" spans="1:13" ht="14.25" customHeight="true">
      <c r="A2659" s="33" t="str">
        <f t="shared" si="164"/>
        <v>LPI - Intercompany</v>
      </c>
      <c r="B2659" s="33" t="str">
        <f t="shared" si="165"/>
        <v>LPI</v>
      </c>
      <c r="C2659" s="33" t="str">
        <f t="shared" si="166"/>
        <v>11202-0000</v>
      </c>
      <c r="D2659" t="s">
        <v>23495</v>
      </c>
      <c r="E2659" t="s">
        <v>14073</v>
      </c>
      <c r="F2659" t="s">
        <v>14039</v>
      </c>
      <c r="G2659" t="s">
        <v>14672</v>
      </c>
      <c r="H2659" t="s">
        <v>13869</v>
      </c>
      <c r="I2659" t="s">
        <v>14690</v>
      </c>
      <c r="J2659" s="62">
        <v>0</v>
      </c>
      <c r="K2659" s="62">
        <v>0</v>
      </c>
      <c r="L2659" t="str">
        <f>VLOOKUP(VALUE(LEFT(C2659,5)),Xref!A:B,2,0)</f>
        <v>FFC</v>
      </c>
      <c r="M2659" t="str">
        <f t="shared" si="167"/>
        <v>FFC-LPI</v>
      </c>
    </row>
    <row r="2660" spans="1:13" ht="14.25" customHeight="true">
      <c r="A2660" s="33" t="str">
        <f t="shared" si="164"/>
        <v>LPI - Intercompany</v>
      </c>
      <c r="B2660" s="33" t="str">
        <f t="shared" si="165"/>
        <v>LPI</v>
      </c>
      <c r="C2660" s="33" t="str">
        <f t="shared" si="166"/>
        <v>11203-0000</v>
      </c>
      <c r="D2660" t="s">
        <v>23496</v>
      </c>
      <c r="E2660" t="s">
        <v>14075</v>
      </c>
      <c r="F2660" t="s">
        <v>14039</v>
      </c>
      <c r="G2660" t="s">
        <v>14672</v>
      </c>
      <c r="H2660" t="s">
        <v>13869</v>
      </c>
      <c r="I2660" t="s">
        <v>14690</v>
      </c>
      <c r="J2660" s="62">
        <v>0</v>
      </c>
      <c r="K2660" s="62">
        <v>0</v>
      </c>
      <c r="L2660" t="str">
        <f>VLOOKUP(VALUE(LEFT(C2660,5)),Xref!A:B,2,0)</f>
        <v>HN2</v>
      </c>
      <c r="M2660" t="str">
        <f t="shared" si="167"/>
        <v>HN2-LPI</v>
      </c>
    </row>
    <row r="2661" spans="1:13" ht="14.25" customHeight="true">
      <c r="A2661" s="33" t="str">
        <f t="shared" si="164"/>
        <v>LPI - Intercompany</v>
      </c>
      <c r="B2661" s="33" t="str">
        <f t="shared" si="165"/>
        <v>LPI</v>
      </c>
      <c r="C2661" s="33" t="str">
        <f t="shared" si="166"/>
        <v>11204-0000</v>
      </c>
      <c r="D2661" t="s">
        <v>23497</v>
      </c>
      <c r="E2661" t="s">
        <v>14077</v>
      </c>
      <c r="F2661" t="s">
        <v>14039</v>
      </c>
      <c r="G2661" t="s">
        <v>14672</v>
      </c>
      <c r="H2661" t="s">
        <v>13869</v>
      </c>
      <c r="I2661" t="s">
        <v>14690</v>
      </c>
      <c r="J2661" s="62">
        <v>0</v>
      </c>
      <c r="K2661" s="62">
        <v>0</v>
      </c>
      <c r="L2661" t="str">
        <f>VLOOKUP(VALUE(LEFT(C2661,5)),Xref!A:B,2,0)</f>
        <v>DF2</v>
      </c>
      <c r="M2661" t="str">
        <f t="shared" si="167"/>
        <v>DF2-LPI</v>
      </c>
    </row>
    <row r="2662" spans="1:13" ht="14.25" customHeight="true">
      <c r="A2662" s="33" t="str">
        <f t="shared" si="164"/>
        <v>LPI - Intercompany</v>
      </c>
      <c r="B2662" s="33" t="str">
        <f t="shared" si="165"/>
        <v>LPI</v>
      </c>
      <c r="C2662" s="33" t="str">
        <f t="shared" si="166"/>
        <v>11208-0000</v>
      </c>
      <c r="D2662" t="s">
        <v>23498</v>
      </c>
      <c r="E2662" t="s">
        <v>14079</v>
      </c>
      <c r="F2662" t="s">
        <v>14039</v>
      </c>
      <c r="G2662" t="s">
        <v>14672</v>
      </c>
      <c r="H2662" t="s">
        <v>13869</v>
      </c>
      <c r="I2662" t="s">
        <v>14690</v>
      </c>
      <c r="J2662" s="62">
        <v>0</v>
      </c>
      <c r="K2662" s="62">
        <v>0</v>
      </c>
      <c r="L2662" t="str">
        <f>VLOOKUP(VALUE(LEFT(C2662,5)),Xref!A:B,2,0)</f>
        <v>SRE</v>
      </c>
      <c r="M2662" t="str">
        <f t="shared" si="167"/>
        <v>LPI-SRE</v>
      </c>
    </row>
    <row r="2663" spans="1:13" ht="14.25" customHeight="true">
      <c r="A2663" s="33" t="str">
        <f t="shared" si="164"/>
        <v>LPI - Intercompany</v>
      </c>
      <c r="B2663" s="33" t="str">
        <f t="shared" si="165"/>
        <v>LPI</v>
      </c>
      <c r="C2663" s="33" t="str">
        <f t="shared" si="166"/>
        <v>11210-0000</v>
      </c>
      <c r="D2663" t="s">
        <v>23499</v>
      </c>
      <c r="E2663" t="s">
        <v>14081</v>
      </c>
      <c r="F2663" t="s">
        <v>14039</v>
      </c>
      <c r="G2663" t="s">
        <v>14672</v>
      </c>
      <c r="H2663" t="s">
        <v>13869</v>
      </c>
      <c r="I2663" t="s">
        <v>14690</v>
      </c>
      <c r="J2663" s="62">
        <v>0</v>
      </c>
      <c r="K2663" s="62">
        <v>0</v>
      </c>
      <c r="L2663" t="str">
        <f>VLOOKUP(VALUE(LEFT(C2663,5)),Xref!A:B,2,0)</f>
        <v>REM</v>
      </c>
      <c r="M2663" t="str">
        <f t="shared" si="167"/>
        <v>LPI-REM</v>
      </c>
    </row>
    <row r="2664" spans="1:13" ht="14.25" customHeight="true">
      <c r="A2664" s="33" t="str">
        <f t="shared" si="164"/>
        <v>LPI - Intercompany</v>
      </c>
      <c r="B2664" s="33" t="str">
        <f t="shared" si="165"/>
        <v>LPI</v>
      </c>
      <c r="C2664" s="33" t="str">
        <f t="shared" si="166"/>
        <v>11212-0000</v>
      </c>
      <c r="D2664" t="s">
        <v>23500</v>
      </c>
      <c r="E2664" t="s">
        <v>14083</v>
      </c>
      <c r="F2664" t="s">
        <v>14039</v>
      </c>
      <c r="G2664" t="s">
        <v>14672</v>
      </c>
      <c r="H2664" t="s">
        <v>13869</v>
      </c>
      <c r="I2664" t="s">
        <v>14690</v>
      </c>
      <c r="J2664" s="62">
        <v>0</v>
      </c>
      <c r="K2664" s="62">
        <v>0</v>
      </c>
      <c r="L2664" t="str">
        <f>VLOOKUP(VALUE(LEFT(C2664,5)),Xref!A:B,2,0)</f>
        <v>FRM</v>
      </c>
      <c r="M2664" t="str">
        <f t="shared" si="167"/>
        <v>FRM-LPI</v>
      </c>
    </row>
    <row r="2665" spans="1:13" ht="14.25" customHeight="true">
      <c r="A2665" s="33" t="str">
        <f t="shared" si="164"/>
        <v>LPI - Intercompany</v>
      </c>
      <c r="B2665" s="33" t="str">
        <f t="shared" si="165"/>
        <v>LPI</v>
      </c>
      <c r="C2665" s="33" t="str">
        <f t="shared" si="166"/>
        <v>11214-0000</v>
      </c>
      <c r="D2665" t="s">
        <v>23501</v>
      </c>
      <c r="E2665" t="s">
        <v>14085</v>
      </c>
      <c r="F2665" t="s">
        <v>14039</v>
      </c>
      <c r="G2665" t="s">
        <v>14672</v>
      </c>
      <c r="H2665" t="s">
        <v>13869</v>
      </c>
      <c r="I2665" t="s">
        <v>14690</v>
      </c>
      <c r="J2665" s="62">
        <v>0</v>
      </c>
      <c r="K2665" s="62">
        <v>-50000</v>
      </c>
      <c r="L2665" t="str">
        <f>VLOOKUP(VALUE(LEFT(C2665,5)),Xref!A:B,2,0)</f>
        <v>D7R</v>
      </c>
      <c r="M2665" t="str">
        <f t="shared" si="167"/>
        <v>D7R-LPI</v>
      </c>
    </row>
    <row r="2666" spans="1:13" ht="14.25" customHeight="true">
      <c r="A2666" s="33" t="str">
        <f t="shared" si="164"/>
        <v>LPI - Intercompany</v>
      </c>
      <c r="B2666" s="33" t="str">
        <f t="shared" si="165"/>
        <v>LPI</v>
      </c>
      <c r="C2666" s="33" t="str">
        <f t="shared" si="166"/>
        <v>11215-0000</v>
      </c>
      <c r="D2666" t="s">
        <v>23502</v>
      </c>
      <c r="E2666" t="s">
        <v>14087</v>
      </c>
      <c r="F2666" t="s">
        <v>14039</v>
      </c>
      <c r="G2666" t="s">
        <v>14672</v>
      </c>
      <c r="H2666" t="s">
        <v>13869</v>
      </c>
      <c r="I2666" t="s">
        <v>14690</v>
      </c>
      <c r="J2666" s="62">
        <v>0</v>
      </c>
      <c r="K2666" s="62">
        <v>0</v>
      </c>
      <c r="L2666" t="str">
        <f>VLOOKUP(VALUE(LEFT(C2666,5)),Xref!A:B,2,0)</f>
        <v>CDP</v>
      </c>
      <c r="M2666" t="str">
        <f t="shared" si="167"/>
        <v>CDP-LPI</v>
      </c>
    </row>
    <row r="2667" spans="1:13" ht="14.25" customHeight="true">
      <c r="A2667" s="33" t="str">
        <f t="shared" si="164"/>
        <v>LPI - Intercompany</v>
      </c>
      <c r="B2667" s="33" t="str">
        <f t="shared" si="165"/>
        <v>LPI</v>
      </c>
      <c r="C2667" s="33" t="str">
        <f t="shared" si="166"/>
        <v>11216-0000</v>
      </c>
      <c r="D2667" t="s">
        <v>23503</v>
      </c>
      <c r="E2667" t="s">
        <v>13224</v>
      </c>
      <c r="F2667" t="s">
        <v>14039</v>
      </c>
      <c r="G2667" t="s">
        <v>14672</v>
      </c>
      <c r="H2667" t="s">
        <v>13869</v>
      </c>
      <c r="I2667" t="s">
        <v>14690</v>
      </c>
      <c r="J2667" s="62">
        <v>-3.24000000000001</v>
      </c>
      <c r="K2667" s="62">
        <v>-13051.83</v>
      </c>
      <c r="L2667" t="str">
        <f>VLOOKUP(VALUE(LEFT(C2667,5)),Xref!A:B,2,0)</f>
        <v>SIL</v>
      </c>
      <c r="M2667" t="str">
        <f t="shared" si="167"/>
        <v>LPI-SIL</v>
      </c>
    </row>
    <row r="2668" spans="1:13" ht="14.25" customHeight="true">
      <c r="A2668" s="33" t="str">
        <f t="shared" si="164"/>
        <v>LPI - Intercompany</v>
      </c>
      <c r="B2668" s="33" t="str">
        <f t="shared" si="165"/>
        <v>LPI</v>
      </c>
      <c r="C2668" s="33" t="str">
        <f t="shared" si="166"/>
        <v>11232-0000</v>
      </c>
      <c r="D2668" t="s">
        <v>23504</v>
      </c>
      <c r="E2668" t="s">
        <v>12486</v>
      </c>
      <c r="F2668" t="s">
        <v>14039</v>
      </c>
      <c r="G2668" t="s">
        <v>14672</v>
      </c>
      <c r="H2668" t="s">
        <v>13869</v>
      </c>
      <c r="I2668" t="s">
        <v>14690</v>
      </c>
      <c r="J2668" s="62">
        <v>0</v>
      </c>
      <c r="K2668" s="62">
        <v>0</v>
      </c>
      <c r="L2668" t="str">
        <f>VLOOKUP(VALUE(LEFT(C2668,5)),Xref!A:B,2,0)</f>
        <v>SC2</v>
      </c>
      <c r="M2668" t="str">
        <f t="shared" si="167"/>
        <v>LPI-SC2</v>
      </c>
    </row>
    <row r="2669" spans="1:13" ht="14.25" customHeight="true">
      <c r="A2669" s="33" t="str">
        <f t="shared" si="164"/>
        <v>LPI - Intercompany</v>
      </c>
      <c r="B2669" s="33" t="str">
        <f t="shared" si="165"/>
        <v>LPI</v>
      </c>
      <c r="C2669" s="33" t="str">
        <f t="shared" si="166"/>
        <v>11301-0000</v>
      </c>
      <c r="D2669" t="s">
        <v>23505</v>
      </c>
      <c r="E2669" t="s">
        <v>13225</v>
      </c>
      <c r="F2669" t="s">
        <v>14039</v>
      </c>
      <c r="G2669" t="s">
        <v>14672</v>
      </c>
      <c r="H2669" t="s">
        <v>13869</v>
      </c>
      <c r="I2669" t="s">
        <v>14690</v>
      </c>
      <c r="J2669" s="62">
        <v>0</v>
      </c>
      <c r="K2669" s="62">
        <v>0</v>
      </c>
      <c r="L2669" t="str">
        <f>VLOOKUP(VALUE(LEFT(C2669,5)),Xref!A:B,2,0)</f>
        <v>CRE</v>
      </c>
      <c r="M2669" t="str">
        <f t="shared" si="167"/>
        <v>CRE-LPI</v>
      </c>
    </row>
    <row r="2670" spans="1:13" ht="14.25" customHeight="true">
      <c r="A2670" s="33" t="str">
        <f t="shared" si="164"/>
        <v>LPI - Intercompany</v>
      </c>
      <c r="B2670" s="33" t="str">
        <f t="shared" si="165"/>
        <v>LPI</v>
      </c>
      <c r="C2670" s="33" t="str">
        <f t="shared" si="166"/>
        <v>11302-0000</v>
      </c>
      <c r="D2670" t="s">
        <v>23506</v>
      </c>
      <c r="E2670" t="s">
        <v>13226</v>
      </c>
      <c r="F2670" t="s">
        <v>14039</v>
      </c>
      <c r="G2670" t="s">
        <v>14672</v>
      </c>
      <c r="H2670" t="s">
        <v>13869</v>
      </c>
      <c r="I2670" t="s">
        <v>14690</v>
      </c>
      <c r="J2670" s="62">
        <v>0</v>
      </c>
      <c r="K2670" s="62">
        <v>0</v>
      </c>
      <c r="L2670" t="str">
        <f>VLOOKUP(VALUE(LEFT(C2670,5)),Xref!A:B,2,0)</f>
        <v>CHA</v>
      </c>
      <c r="M2670" t="str">
        <f t="shared" si="167"/>
        <v>CHA-LPI</v>
      </c>
    </row>
    <row r="2671" spans="1:13" ht="14.25" customHeight="true">
      <c r="A2671" s="33" t="str">
        <f t="shared" si="164"/>
        <v>LPI - Intercompany</v>
      </c>
      <c r="B2671" s="33" t="str">
        <f t="shared" si="165"/>
        <v>LPI</v>
      </c>
      <c r="C2671" s="33" t="str">
        <f t="shared" si="166"/>
        <v>11303-0000</v>
      </c>
      <c r="D2671" t="s">
        <v>23507</v>
      </c>
      <c r="E2671" t="s">
        <v>13227</v>
      </c>
      <c r="F2671" t="s">
        <v>14039</v>
      </c>
      <c r="G2671" t="s">
        <v>14672</v>
      </c>
      <c r="H2671" t="s">
        <v>13869</v>
      </c>
      <c r="I2671" t="s">
        <v>14690</v>
      </c>
      <c r="J2671" s="62">
        <v>0</v>
      </c>
      <c r="K2671" s="62">
        <v>0</v>
      </c>
      <c r="L2671" t="str">
        <f>VLOOKUP(VALUE(LEFT(C2671,5)),Xref!A:B,2,0)</f>
        <v>DIA</v>
      </c>
      <c r="M2671" t="str">
        <f t="shared" si="167"/>
        <v>DIA-LPI</v>
      </c>
    </row>
    <row r="2672" spans="1:13" ht="14.25" customHeight="true">
      <c r="A2672" s="33" t="str">
        <f t="shared" si="164"/>
        <v>LPI - Intercompany</v>
      </c>
      <c r="B2672" s="33" t="str">
        <f t="shared" si="165"/>
        <v>LPI</v>
      </c>
      <c r="C2672" s="33" t="str">
        <f t="shared" si="166"/>
        <v>11304-0000</v>
      </c>
      <c r="D2672" t="s">
        <v>23508</v>
      </c>
      <c r="E2672" t="s">
        <v>13228</v>
      </c>
      <c r="F2672" t="s">
        <v>14039</v>
      </c>
      <c r="G2672" t="s">
        <v>14672</v>
      </c>
      <c r="H2672" t="s">
        <v>13869</v>
      </c>
      <c r="I2672" t="s">
        <v>14690</v>
      </c>
      <c r="J2672" s="62">
        <v>0</v>
      </c>
      <c r="K2672" s="62">
        <v>0</v>
      </c>
      <c r="L2672" t="str">
        <f>VLOOKUP(VALUE(LEFT(C2672,5)),Xref!A:B,2,0)</f>
        <v>EAG</v>
      </c>
      <c r="M2672" t="str">
        <f t="shared" si="167"/>
        <v>EAG-LPI</v>
      </c>
    </row>
    <row r="2673" spans="1:13" ht="14.25" customHeight="true">
      <c r="A2673" s="33" t="str">
        <f t="shared" si="164"/>
        <v>LPI - Intercompany</v>
      </c>
      <c r="B2673" s="33" t="str">
        <f t="shared" si="165"/>
        <v>LPI</v>
      </c>
      <c r="C2673" s="33" t="str">
        <f t="shared" si="166"/>
        <v>11305-0000</v>
      </c>
      <c r="D2673" t="s">
        <v>23509</v>
      </c>
      <c r="E2673" t="s">
        <v>13229</v>
      </c>
      <c r="F2673" t="s">
        <v>14039</v>
      </c>
      <c r="G2673" t="s">
        <v>14672</v>
      </c>
      <c r="H2673" t="s">
        <v>13869</v>
      </c>
      <c r="I2673" t="s">
        <v>14690</v>
      </c>
      <c r="J2673" s="62">
        <v>0</v>
      </c>
      <c r="K2673" s="62">
        <v>0</v>
      </c>
      <c r="L2673" t="str">
        <f>VLOOKUP(VALUE(LEFT(C2673,5)),Xref!A:B,2,0)</f>
        <v>NEW</v>
      </c>
      <c r="M2673" t="str">
        <f t="shared" si="167"/>
        <v>LPI-NEW</v>
      </c>
    </row>
    <row r="2674" spans="1:13" ht="14.25" customHeight="true">
      <c r="A2674" s="33" t="str">
        <f t="shared" si="164"/>
        <v>LPI - Intercompany</v>
      </c>
      <c r="B2674" s="33" t="str">
        <f t="shared" si="165"/>
        <v>LPI</v>
      </c>
      <c r="C2674" s="33" t="str">
        <f t="shared" si="166"/>
        <v>11307-0000</v>
      </c>
      <c r="D2674" t="s">
        <v>23510</v>
      </c>
      <c r="E2674" t="s">
        <v>14096</v>
      </c>
      <c r="F2674" t="s">
        <v>14039</v>
      </c>
      <c r="G2674" t="s">
        <v>14672</v>
      </c>
      <c r="H2674" t="s">
        <v>13869</v>
      </c>
      <c r="I2674" t="s">
        <v>14690</v>
      </c>
      <c r="J2674" s="62">
        <v>0</v>
      </c>
      <c r="K2674" s="62">
        <v>0</v>
      </c>
      <c r="L2674" t="str">
        <f>VLOOKUP(VALUE(LEFT(C2674,5)),Xref!A:B,2,0)</f>
        <v>NES</v>
      </c>
      <c r="M2674" t="str">
        <f t="shared" si="167"/>
        <v>LPI-NES</v>
      </c>
    </row>
    <row r="2675" spans="1:13" ht="14.25" customHeight="true">
      <c r="A2675" s="33" t="str">
        <f t="shared" si="164"/>
        <v>LPI - Intercompany</v>
      </c>
      <c r="B2675" s="33" t="str">
        <f t="shared" si="165"/>
        <v>LPI</v>
      </c>
      <c r="C2675" s="33" t="str">
        <f t="shared" si="166"/>
        <v>11308-0000</v>
      </c>
      <c r="D2675" t="s">
        <v>23511</v>
      </c>
      <c r="E2675" t="s">
        <v>13476</v>
      </c>
      <c r="F2675" t="s">
        <v>14039</v>
      </c>
      <c r="G2675" t="s">
        <v>14672</v>
      </c>
      <c r="H2675" t="s">
        <v>13869</v>
      </c>
      <c r="I2675" t="s">
        <v>14690</v>
      </c>
      <c r="J2675" s="62">
        <v>0</v>
      </c>
      <c r="K2675" s="62">
        <v>0</v>
      </c>
      <c r="L2675" t="str">
        <f>VLOOKUP(VALUE(LEFT(C2675,5)),Xref!A:B,2,0)</f>
        <v>LPI</v>
      </c>
      <c r="M2675" t="str">
        <f t="shared" si="167"/>
        <v>LPI-LPI</v>
      </c>
    </row>
    <row r="2676" spans="1:13" ht="14.25" customHeight="true">
      <c r="A2676" s="33" t="str">
        <f t="shared" si="164"/>
        <v>LPI - Intercompany</v>
      </c>
      <c r="B2676" s="33" t="str">
        <f t="shared" si="165"/>
        <v>LPI</v>
      </c>
      <c r="C2676" s="33" t="str">
        <f t="shared" si="166"/>
        <v>11309-0000</v>
      </c>
      <c r="D2676" t="s">
        <v>23512</v>
      </c>
      <c r="E2676" t="s">
        <v>13230</v>
      </c>
      <c r="F2676" t="s">
        <v>14039</v>
      </c>
      <c r="G2676" t="s">
        <v>14672</v>
      </c>
      <c r="H2676" t="s">
        <v>13869</v>
      </c>
      <c r="I2676" t="s">
        <v>14690</v>
      </c>
      <c r="J2676" s="62">
        <v>0</v>
      </c>
      <c r="K2676" s="62">
        <v>-8000</v>
      </c>
      <c r="L2676" t="str">
        <f>VLOOKUP(VALUE(LEFT(C2676,5)),Xref!A:B,2,0)</f>
        <v>GPI</v>
      </c>
      <c r="M2676" t="str">
        <f t="shared" si="167"/>
        <v>GPI-LPI</v>
      </c>
    </row>
    <row r="2677" spans="1:13" ht="14.25" customHeight="true">
      <c r="A2677" s="33" t="str">
        <f t="shared" si="164"/>
        <v>LPI - Intercompany</v>
      </c>
      <c r="B2677" s="33" t="str">
        <f t="shared" si="165"/>
        <v>LPI</v>
      </c>
      <c r="C2677" s="33" t="str">
        <f t="shared" si="166"/>
        <v>11310-0000</v>
      </c>
      <c r="D2677" t="s">
        <v>23513</v>
      </c>
      <c r="E2677" t="s">
        <v>13231</v>
      </c>
      <c r="F2677" t="s">
        <v>14039</v>
      </c>
      <c r="G2677" t="s">
        <v>14672</v>
      </c>
      <c r="H2677" t="s">
        <v>13869</v>
      </c>
      <c r="I2677" t="s">
        <v>14690</v>
      </c>
      <c r="J2677" s="62">
        <v>0</v>
      </c>
      <c r="K2677" s="62">
        <v>0</v>
      </c>
      <c r="L2677" t="str">
        <f>VLOOKUP(VALUE(LEFT(C2677,5)),Xref!A:B,2,0)</f>
        <v>ALP</v>
      </c>
      <c r="M2677" t="str">
        <f t="shared" si="167"/>
        <v>ALP-LPI</v>
      </c>
    </row>
    <row r="2678" spans="1:13" ht="14.25" customHeight="true">
      <c r="A2678" s="33" t="str">
        <f t="shared" si="164"/>
        <v>LPI - Intercompany</v>
      </c>
      <c r="B2678" s="33" t="str">
        <f t="shared" si="165"/>
        <v>LPI</v>
      </c>
      <c r="C2678" s="33" t="str">
        <f t="shared" si="166"/>
        <v>11311-0000</v>
      </c>
      <c r="D2678" t="s">
        <v>23514</v>
      </c>
      <c r="E2678" t="s">
        <v>13232</v>
      </c>
      <c r="F2678" t="s">
        <v>14039</v>
      </c>
      <c r="G2678" t="s">
        <v>14672</v>
      </c>
      <c r="H2678" t="s">
        <v>13869</v>
      </c>
      <c r="I2678" t="s">
        <v>14690</v>
      </c>
      <c r="J2678" s="62">
        <v>0</v>
      </c>
      <c r="K2678" s="62">
        <v>-1000</v>
      </c>
      <c r="L2678" t="str">
        <f>VLOOKUP(VALUE(LEFT(C2678,5)),Xref!A:B,2,0)</f>
        <v>BET</v>
      </c>
      <c r="M2678" t="str">
        <f t="shared" si="167"/>
        <v>BET-LPI</v>
      </c>
    </row>
    <row r="2679" spans="1:13" ht="14.25" customHeight="true">
      <c r="A2679" s="33" t="str">
        <f t="shared" si="164"/>
        <v>LPI - Intercompany</v>
      </c>
      <c r="B2679" s="33" t="str">
        <f t="shared" si="165"/>
        <v>LPI</v>
      </c>
      <c r="C2679" s="33" t="str">
        <f t="shared" si="166"/>
        <v>11312-0000</v>
      </c>
      <c r="D2679" t="s">
        <v>23515</v>
      </c>
      <c r="E2679" t="s">
        <v>14102</v>
      </c>
      <c r="F2679" t="s">
        <v>14039</v>
      </c>
      <c r="G2679" t="s">
        <v>14672</v>
      </c>
      <c r="H2679" t="s">
        <v>13869</v>
      </c>
      <c r="I2679" t="s">
        <v>14690</v>
      </c>
      <c r="J2679" s="62">
        <v>0</v>
      </c>
      <c r="K2679" s="62">
        <v>0</v>
      </c>
      <c r="L2679" t="str">
        <f>VLOOKUP(VALUE(LEFT(C2679,5)),Xref!A:B,2,0)</f>
        <v>DEL</v>
      </c>
      <c r="M2679" t="str">
        <f t="shared" si="167"/>
        <v>DEL-LPI</v>
      </c>
    </row>
    <row r="2680" spans="1:13" ht="14.25" customHeight="true">
      <c r="A2680" s="33" t="str">
        <f t="shared" si="164"/>
        <v>LPI - Intercompany</v>
      </c>
      <c r="B2680" s="33" t="str">
        <f t="shared" si="165"/>
        <v>LPI</v>
      </c>
      <c r="C2680" s="33" t="str">
        <f t="shared" si="166"/>
        <v>11313-0000</v>
      </c>
      <c r="D2680" t="s">
        <v>23516</v>
      </c>
      <c r="E2680" t="s">
        <v>13233</v>
      </c>
      <c r="F2680" t="s">
        <v>14039</v>
      </c>
      <c r="G2680" t="s">
        <v>14672</v>
      </c>
      <c r="H2680" t="s">
        <v>13869</v>
      </c>
      <c r="I2680" t="s">
        <v>14690</v>
      </c>
      <c r="J2680" s="62">
        <v>0</v>
      </c>
      <c r="K2680" s="62">
        <v>0</v>
      </c>
      <c r="L2680" t="str">
        <f>VLOOKUP(VALUE(LEFT(C2680,5)),Xref!A:B,2,0)</f>
        <v>DOL</v>
      </c>
      <c r="M2680" t="str">
        <f t="shared" si="167"/>
        <v>DOL-LPI</v>
      </c>
    </row>
    <row r="2681" spans="1:13" ht="14.25" customHeight="true">
      <c r="A2681" s="33" t="str">
        <f t="shared" si="164"/>
        <v>LPI - Intercompany</v>
      </c>
      <c r="B2681" s="33" t="str">
        <f t="shared" si="165"/>
        <v>LPI</v>
      </c>
      <c r="C2681" s="33" t="str">
        <f t="shared" si="166"/>
        <v>11314-0000</v>
      </c>
      <c r="D2681" t="s">
        <v>23517</v>
      </c>
      <c r="E2681" t="s">
        <v>13351</v>
      </c>
      <c r="F2681" t="s">
        <v>14039</v>
      </c>
      <c r="G2681" t="s">
        <v>14672</v>
      </c>
      <c r="H2681" t="s">
        <v>13869</v>
      </c>
      <c r="I2681" t="s">
        <v>14690</v>
      </c>
      <c r="J2681" s="62">
        <v>0</v>
      </c>
      <c r="K2681" s="62">
        <v>0</v>
      </c>
      <c r="L2681" t="str">
        <f>VLOOKUP(VALUE(LEFT(C2681,5)),Xref!A:B,2,0)</f>
        <v>GRI</v>
      </c>
      <c r="M2681" t="str">
        <f t="shared" si="167"/>
        <v>GRI-LPI</v>
      </c>
    </row>
    <row r="2682" spans="1:13" ht="14.25" customHeight="true">
      <c r="A2682" s="33" t="str">
        <f t="shared" si="164"/>
        <v>LPI - Intercompany</v>
      </c>
      <c r="B2682" s="33" t="str">
        <f t="shared" si="165"/>
        <v>LPI</v>
      </c>
      <c r="C2682" s="33" t="str">
        <f t="shared" si="166"/>
        <v>11315-0000</v>
      </c>
      <c r="D2682" t="s">
        <v>23518</v>
      </c>
      <c r="E2682" t="s">
        <v>13234</v>
      </c>
      <c r="F2682" t="s">
        <v>14039</v>
      </c>
      <c r="G2682" t="s">
        <v>14672</v>
      </c>
      <c r="H2682" t="s">
        <v>13869</v>
      </c>
      <c r="I2682" t="s">
        <v>14690</v>
      </c>
      <c r="J2682" s="62">
        <v>0</v>
      </c>
      <c r="K2682" s="62">
        <v>0</v>
      </c>
      <c r="L2682" t="str">
        <f>VLOOKUP(VALUE(LEFT(C2682,5)),Xref!A:B,2,0)</f>
        <v>PUR</v>
      </c>
      <c r="M2682" t="str">
        <f t="shared" si="167"/>
        <v>LPI-PUR</v>
      </c>
    </row>
    <row r="2683" spans="1:13" ht="14.25" customHeight="true">
      <c r="A2683" s="33" t="str">
        <f t="shared" si="164"/>
        <v>LPI - Intercompany</v>
      </c>
      <c r="B2683" s="33" t="str">
        <f t="shared" si="165"/>
        <v>LPI</v>
      </c>
      <c r="C2683" s="33" t="str">
        <f t="shared" si="166"/>
        <v>11316-0000</v>
      </c>
      <c r="D2683" t="s">
        <v>23519</v>
      </c>
      <c r="E2683" t="s">
        <v>13235</v>
      </c>
      <c r="F2683" t="s">
        <v>14039</v>
      </c>
      <c r="G2683" t="s">
        <v>14672</v>
      </c>
      <c r="H2683" t="s">
        <v>13869</v>
      </c>
      <c r="I2683" t="s">
        <v>14690</v>
      </c>
      <c r="J2683" s="62">
        <v>0</v>
      </c>
      <c r="K2683" s="62">
        <v>0</v>
      </c>
      <c r="L2683" t="str">
        <f>VLOOKUP(VALUE(LEFT(C2683,5)),Xref!A:B,2,0)</f>
        <v>VAL</v>
      </c>
      <c r="M2683" t="str">
        <f t="shared" si="167"/>
        <v>LPI-VAL</v>
      </c>
    </row>
    <row r="2684" spans="1:13" ht="14.25" customHeight="true">
      <c r="A2684" s="33" t="str">
        <f t="shared" si="164"/>
        <v>LPI - Intercompany</v>
      </c>
      <c r="B2684" s="33" t="str">
        <f t="shared" si="165"/>
        <v>LPI</v>
      </c>
      <c r="C2684" s="33" t="str">
        <f t="shared" si="166"/>
        <v>11317-0000</v>
      </c>
      <c r="D2684" t="s">
        <v>23520</v>
      </c>
      <c r="E2684" t="s">
        <v>13352</v>
      </c>
      <c r="F2684" t="s">
        <v>14039</v>
      </c>
      <c r="G2684" t="s">
        <v>14672</v>
      </c>
      <c r="H2684" t="s">
        <v>13869</v>
      </c>
      <c r="I2684" t="s">
        <v>14690</v>
      </c>
      <c r="J2684" s="62">
        <v>0</v>
      </c>
      <c r="K2684" s="62">
        <v>0</v>
      </c>
      <c r="L2684" t="str">
        <f>VLOOKUP(VALUE(LEFT(C2684,5)),Xref!A:B,2,0)</f>
        <v>AKG</v>
      </c>
      <c r="M2684" t="str">
        <f t="shared" si="167"/>
        <v>AKG-LPI</v>
      </c>
    </row>
    <row r="2685" spans="1:13" ht="14.25" customHeight="true">
      <c r="A2685" s="33" t="str">
        <f t="shared" si="164"/>
        <v>LPI - Intercompany</v>
      </c>
      <c r="B2685" s="33" t="str">
        <f t="shared" si="165"/>
        <v>LPI</v>
      </c>
      <c r="C2685" s="33" t="str">
        <f t="shared" si="166"/>
        <v>11318-0000</v>
      </c>
      <c r="D2685" t="s">
        <v>23521</v>
      </c>
      <c r="E2685" t="s">
        <v>13477</v>
      </c>
      <c r="F2685" t="s">
        <v>14039</v>
      </c>
      <c r="G2685" t="s">
        <v>14672</v>
      </c>
      <c r="H2685" t="s">
        <v>13869</v>
      </c>
      <c r="I2685" t="s">
        <v>14690</v>
      </c>
      <c r="J2685" s="62">
        <v>0</v>
      </c>
      <c r="K2685" s="62">
        <v>0</v>
      </c>
      <c r="L2685" t="str">
        <f>VLOOKUP(VALUE(LEFT(C2685,5)),Xref!A:B,2,0)</f>
        <v>FIR</v>
      </c>
      <c r="M2685" t="str">
        <f t="shared" si="167"/>
        <v>FIR-LPI</v>
      </c>
    </row>
    <row r="2686" spans="1:13" ht="14.25" customHeight="true">
      <c r="A2686" s="33" t="str">
        <f t="shared" si="164"/>
        <v>LPI - Intercompany</v>
      </c>
      <c r="B2686" s="33" t="str">
        <f t="shared" si="165"/>
        <v>LPI</v>
      </c>
      <c r="C2686" s="33" t="str">
        <f t="shared" si="166"/>
        <v>11319-0000</v>
      </c>
      <c r="D2686" t="s">
        <v>23522</v>
      </c>
      <c r="E2686" t="s">
        <v>266</v>
      </c>
      <c r="F2686" t="s">
        <v>14039</v>
      </c>
      <c r="G2686" t="s">
        <v>14672</v>
      </c>
      <c r="H2686" t="s">
        <v>13869</v>
      </c>
      <c r="I2686" t="s">
        <v>14690</v>
      </c>
      <c r="J2686" s="62">
        <v>0</v>
      </c>
      <c r="K2686" s="62">
        <v>0</v>
      </c>
      <c r="L2686" t="str">
        <f>VLOOKUP(VALUE(LEFT(C2686,5)),Xref!A:B,2,0)</f>
        <v>GST</v>
      </c>
      <c r="M2686" t="str">
        <f t="shared" si="167"/>
        <v>GST-LPI</v>
      </c>
    </row>
    <row r="2687" spans="1:13" ht="14.25" customHeight="true">
      <c r="A2687" s="33" t="str">
        <f t="shared" si="164"/>
        <v>LPI - Intercompany</v>
      </c>
      <c r="B2687" s="33" t="str">
        <f t="shared" si="165"/>
        <v>LPI</v>
      </c>
      <c r="C2687" s="33" t="str">
        <f t="shared" si="166"/>
        <v>11320-0000</v>
      </c>
      <c r="D2687" t="s">
        <v>23523</v>
      </c>
      <c r="E2687" t="s">
        <v>14111</v>
      </c>
      <c r="F2687" t="s">
        <v>14039</v>
      </c>
      <c r="G2687" t="s">
        <v>14672</v>
      </c>
      <c r="H2687" t="s">
        <v>13869</v>
      </c>
      <c r="I2687" t="s">
        <v>14690</v>
      </c>
      <c r="J2687" s="62">
        <v>0</v>
      </c>
      <c r="K2687" s="62">
        <v>0</v>
      </c>
      <c r="L2687" t="str">
        <f>VLOOKUP(VALUE(LEFT(C2687,5)),Xref!A:B,2,0)</f>
        <v>HDN</v>
      </c>
      <c r="M2687" t="str">
        <f t="shared" si="167"/>
        <v>HDN-LPI</v>
      </c>
    </row>
    <row r="2688" spans="1:13" ht="14.25" customHeight="true">
      <c r="A2688" s="33" t="str">
        <f t="shared" si="164"/>
        <v>LPI - Intercompany</v>
      </c>
      <c r="B2688" s="33" t="str">
        <f t="shared" si="165"/>
        <v>LPI</v>
      </c>
      <c r="C2688" s="33" t="str">
        <f t="shared" si="166"/>
        <v>11321-0000</v>
      </c>
      <c r="D2688" t="s">
        <v>23524</v>
      </c>
      <c r="E2688" t="s">
        <v>13236</v>
      </c>
      <c r="F2688" t="s">
        <v>14039</v>
      </c>
      <c r="G2688" t="s">
        <v>14672</v>
      </c>
      <c r="H2688" t="s">
        <v>13869</v>
      </c>
      <c r="I2688" t="s">
        <v>14690</v>
      </c>
      <c r="J2688" s="62">
        <v>0</v>
      </c>
      <c r="K2688" s="62">
        <v>0</v>
      </c>
      <c r="L2688" t="str">
        <f>VLOOKUP(VALUE(LEFT(C2688,5)),Xref!A:B,2,0)</f>
        <v>OVA</v>
      </c>
      <c r="M2688" t="str">
        <f t="shared" si="167"/>
        <v>LPI-OVA</v>
      </c>
    </row>
    <row r="2689" spans="1:13" ht="14.25" customHeight="true">
      <c r="A2689" s="33" t="str">
        <f t="shared" si="164"/>
        <v>LPI - Intercompany</v>
      </c>
      <c r="B2689" s="33" t="str">
        <f t="shared" si="165"/>
        <v>LPI</v>
      </c>
      <c r="C2689" s="33" t="str">
        <f t="shared" si="166"/>
        <v>11322-0000</v>
      </c>
      <c r="D2689" t="s">
        <v>23525</v>
      </c>
      <c r="E2689" t="s">
        <v>13237</v>
      </c>
      <c r="F2689" t="s">
        <v>14039</v>
      </c>
      <c r="G2689" t="s">
        <v>14672</v>
      </c>
      <c r="H2689" t="s">
        <v>13869</v>
      </c>
      <c r="I2689" t="s">
        <v>14690</v>
      </c>
      <c r="J2689" s="62">
        <v>0</v>
      </c>
      <c r="K2689" s="62">
        <v>0</v>
      </c>
      <c r="L2689" t="str">
        <f>VLOOKUP(VALUE(LEFT(C2689,5)),Xref!A:B,2,0)</f>
        <v>WOO</v>
      </c>
      <c r="M2689" t="str">
        <f t="shared" si="167"/>
        <v>LPI-WOO</v>
      </c>
    </row>
    <row r="2690" spans="1:13" ht="14.25" customHeight="true">
      <c r="A2690" s="33" t="str">
        <f t="shared" ref="A2690:A2753" si="168">B2690&amp;" - "&amp;TRIM(H2690)</f>
        <v>LPI - Intercompany</v>
      </c>
      <c r="B2690" s="33" t="str">
        <f t="shared" ref="B2690:B2753" si="169">LEFT(D2690,3)</f>
        <v>LPI</v>
      </c>
      <c r="C2690" s="33" t="str">
        <f t="shared" ref="C2690:C2753" si="170">RIGHT(D2690,10)</f>
        <v>11323-0000</v>
      </c>
      <c r="D2690" t="s">
        <v>23526</v>
      </c>
      <c r="E2690" t="s">
        <v>13478</v>
      </c>
      <c r="F2690" t="s">
        <v>14039</v>
      </c>
      <c r="G2690" t="s">
        <v>14672</v>
      </c>
      <c r="H2690" t="s">
        <v>13869</v>
      </c>
      <c r="I2690" t="s">
        <v>14690</v>
      </c>
      <c r="J2690" s="62">
        <v>0</v>
      </c>
      <c r="K2690" s="62">
        <v>0</v>
      </c>
      <c r="L2690" t="str">
        <f>VLOOKUP(VALUE(LEFT(C2690,5)),Xref!A:B,2,0)</f>
        <v>SPI</v>
      </c>
      <c r="M2690" t="str">
        <f t="shared" ref="M2690:M2753" si="171">IF(B2690&lt;L2690,B2690&amp;"-"&amp;L2690,L2690&amp;"-"&amp;B2690)</f>
        <v>LPI-SPI</v>
      </c>
    </row>
    <row r="2691" spans="1:13" ht="14.25" customHeight="true">
      <c r="A2691" s="33" t="str">
        <f t="shared" si="168"/>
        <v>LPI - Intercompany</v>
      </c>
      <c r="B2691" s="33" t="str">
        <f t="shared" si="169"/>
        <v>LPI</v>
      </c>
      <c r="C2691" s="33" t="str">
        <f t="shared" si="170"/>
        <v>11324-0000</v>
      </c>
      <c r="D2691" t="s">
        <v>23527</v>
      </c>
      <c r="E2691" t="s">
        <v>13238</v>
      </c>
      <c r="F2691" t="s">
        <v>14039</v>
      </c>
      <c r="G2691" t="s">
        <v>14672</v>
      </c>
      <c r="H2691" t="s">
        <v>13869</v>
      </c>
      <c r="I2691" t="s">
        <v>14690</v>
      </c>
      <c r="J2691" s="62">
        <v>0</v>
      </c>
      <c r="K2691" s="62">
        <v>0</v>
      </c>
      <c r="L2691" t="str">
        <f>VLOOKUP(VALUE(LEFT(C2691,5)),Xref!A:B,2,0)</f>
        <v>NET</v>
      </c>
      <c r="M2691" t="str">
        <f t="shared" si="171"/>
        <v>LPI-NET</v>
      </c>
    </row>
    <row r="2692" spans="1:13" ht="14.25" customHeight="true">
      <c r="A2692" s="33" t="str">
        <f t="shared" si="168"/>
        <v>LPI - Intercompany</v>
      </c>
      <c r="B2692" s="33" t="str">
        <f t="shared" si="169"/>
        <v>LPI</v>
      </c>
      <c r="C2692" s="33" t="str">
        <f t="shared" si="170"/>
        <v>11325-0000</v>
      </c>
      <c r="D2692" t="s">
        <v>23528</v>
      </c>
      <c r="E2692" t="s">
        <v>13239</v>
      </c>
      <c r="F2692" t="s">
        <v>14039</v>
      </c>
      <c r="G2692" t="s">
        <v>14672</v>
      </c>
      <c r="H2692" t="s">
        <v>13869</v>
      </c>
      <c r="I2692" t="s">
        <v>14690</v>
      </c>
      <c r="J2692" s="62">
        <v>0</v>
      </c>
      <c r="K2692" s="62">
        <v>0</v>
      </c>
      <c r="L2692" t="str">
        <f>VLOOKUP(VALUE(LEFT(C2692,5)),Xref!A:B,2,0)</f>
        <v>DPI</v>
      </c>
      <c r="M2692" t="str">
        <f t="shared" si="171"/>
        <v>DPI-LPI</v>
      </c>
    </row>
    <row r="2693" spans="1:13" ht="14.25" customHeight="true">
      <c r="A2693" s="33" t="str">
        <f t="shared" si="168"/>
        <v>LPI - Intercompany</v>
      </c>
      <c r="B2693" s="33" t="str">
        <f t="shared" si="169"/>
        <v>LPI</v>
      </c>
      <c r="C2693" s="33" t="str">
        <f t="shared" si="170"/>
        <v>11326-0000</v>
      </c>
      <c r="D2693" t="s">
        <v>23529</v>
      </c>
      <c r="E2693" t="s">
        <v>13240</v>
      </c>
      <c r="F2693" t="s">
        <v>14039</v>
      </c>
      <c r="G2693" t="s">
        <v>14672</v>
      </c>
      <c r="H2693" t="s">
        <v>13869</v>
      </c>
      <c r="I2693" t="s">
        <v>14690</v>
      </c>
      <c r="J2693" s="62">
        <v>0</v>
      </c>
      <c r="K2693" s="62">
        <v>0</v>
      </c>
      <c r="L2693" t="str">
        <f>VLOOKUP(VALUE(LEFT(C2693,5)),Xref!A:B,2,0)</f>
        <v>SEK</v>
      </c>
      <c r="M2693" t="str">
        <f t="shared" si="171"/>
        <v>LPI-SEK</v>
      </c>
    </row>
    <row r="2694" spans="1:13" ht="14.25" customHeight="true">
      <c r="A2694" s="33" t="str">
        <f t="shared" si="168"/>
        <v>LPI - Intercompany</v>
      </c>
      <c r="B2694" s="33" t="str">
        <f t="shared" si="169"/>
        <v>LPI</v>
      </c>
      <c r="C2694" s="33" t="str">
        <f t="shared" si="170"/>
        <v>11327-0000</v>
      </c>
      <c r="D2694" t="s">
        <v>23530</v>
      </c>
      <c r="E2694" t="s">
        <v>14119</v>
      </c>
      <c r="F2694" t="s">
        <v>14039</v>
      </c>
      <c r="G2694" t="s">
        <v>14672</v>
      </c>
      <c r="H2694" t="s">
        <v>13869</v>
      </c>
      <c r="I2694" t="s">
        <v>14690</v>
      </c>
      <c r="J2694" s="62">
        <v>0</v>
      </c>
      <c r="K2694" s="62">
        <v>0</v>
      </c>
      <c r="L2694" t="str">
        <f>VLOOKUP(VALUE(LEFT(C2694,5)),Xref!A:B,2,0)</f>
        <v>CPI</v>
      </c>
      <c r="M2694" t="str">
        <f t="shared" si="171"/>
        <v>CPI-LPI</v>
      </c>
    </row>
    <row r="2695" spans="1:13" ht="14.25" customHeight="true">
      <c r="A2695" s="33" t="str">
        <f t="shared" si="168"/>
        <v>LPI - Intercompany</v>
      </c>
      <c r="B2695" s="33" t="str">
        <f t="shared" si="169"/>
        <v>LPI</v>
      </c>
      <c r="C2695" s="33" t="str">
        <f t="shared" si="170"/>
        <v>11328-0000</v>
      </c>
      <c r="D2695" t="s">
        <v>23531</v>
      </c>
      <c r="E2695" t="s">
        <v>13241</v>
      </c>
      <c r="F2695" t="s">
        <v>14039</v>
      </c>
      <c r="G2695" t="s">
        <v>14672</v>
      </c>
      <c r="H2695" t="s">
        <v>13869</v>
      </c>
      <c r="I2695" t="s">
        <v>14690</v>
      </c>
      <c r="J2695" s="62">
        <v>0</v>
      </c>
      <c r="K2695" s="62">
        <v>0</v>
      </c>
      <c r="L2695" t="str">
        <f>VLOOKUP(VALUE(LEFT(C2695,5)),Xref!A:B,2,0)</f>
        <v>LOM</v>
      </c>
      <c r="M2695" t="str">
        <f t="shared" si="171"/>
        <v>LOM-LPI</v>
      </c>
    </row>
    <row r="2696" spans="1:13" ht="14.25" customHeight="true">
      <c r="A2696" s="33" t="str">
        <f t="shared" si="168"/>
        <v>LPI - Intercompany</v>
      </c>
      <c r="B2696" s="33" t="str">
        <f t="shared" si="169"/>
        <v>LPI</v>
      </c>
      <c r="C2696" s="33" t="str">
        <f t="shared" si="170"/>
        <v>11329-0000</v>
      </c>
      <c r="D2696" t="s">
        <v>23532</v>
      </c>
      <c r="E2696" t="s">
        <v>13353</v>
      </c>
      <c r="F2696" t="s">
        <v>14039</v>
      </c>
      <c r="G2696" t="s">
        <v>14672</v>
      </c>
      <c r="H2696" t="s">
        <v>13869</v>
      </c>
      <c r="I2696" t="s">
        <v>14690</v>
      </c>
      <c r="J2696" s="62">
        <v>0</v>
      </c>
      <c r="K2696" s="62">
        <v>0</v>
      </c>
      <c r="L2696" t="str">
        <f>VLOOKUP(VALUE(LEFT(C2696,5)),Xref!A:B,2,0)</f>
        <v>AKS</v>
      </c>
      <c r="M2696" t="str">
        <f t="shared" si="171"/>
        <v>AKS-LPI</v>
      </c>
    </row>
    <row r="2697" spans="1:13" ht="14.25" customHeight="true">
      <c r="A2697" s="33" t="str">
        <f t="shared" si="168"/>
        <v>LPI - Intercompany</v>
      </c>
      <c r="B2697" s="33" t="str">
        <f t="shared" si="169"/>
        <v>LPI</v>
      </c>
      <c r="C2697" s="33" t="str">
        <f t="shared" si="170"/>
        <v>11330-0000</v>
      </c>
      <c r="D2697" t="s">
        <v>23533</v>
      </c>
      <c r="E2697" t="s">
        <v>13242</v>
      </c>
      <c r="F2697" t="s">
        <v>14039</v>
      </c>
      <c r="G2697" t="s">
        <v>14672</v>
      </c>
      <c r="H2697" t="s">
        <v>13869</v>
      </c>
      <c r="I2697" t="s">
        <v>14690</v>
      </c>
      <c r="J2697" s="62">
        <v>0</v>
      </c>
      <c r="K2697" s="62">
        <v>0</v>
      </c>
      <c r="L2697" t="str">
        <f>VLOOKUP(VALUE(LEFT(C2697,5)),Xref!A:B,2,0)</f>
        <v>MAR</v>
      </c>
      <c r="M2697" t="str">
        <f t="shared" si="171"/>
        <v>LPI-MAR</v>
      </c>
    </row>
    <row r="2698" spans="1:13" ht="14.25" customHeight="true">
      <c r="A2698" s="33" t="str">
        <f t="shared" si="168"/>
        <v>LPI - Intercompany</v>
      </c>
      <c r="B2698" s="33" t="str">
        <f t="shared" si="169"/>
        <v>LPI</v>
      </c>
      <c r="C2698" s="33" t="str">
        <f t="shared" si="170"/>
        <v>11331-0000</v>
      </c>
      <c r="D2698" t="s">
        <v>23534</v>
      </c>
      <c r="E2698" t="s">
        <v>13354</v>
      </c>
      <c r="F2698" t="s">
        <v>14039</v>
      </c>
      <c r="G2698" t="s">
        <v>14672</v>
      </c>
      <c r="H2698" t="s">
        <v>13869</v>
      </c>
      <c r="I2698" t="s">
        <v>14690</v>
      </c>
      <c r="J2698" s="62">
        <v>0</v>
      </c>
      <c r="K2698" s="62">
        <v>0</v>
      </c>
      <c r="L2698" t="str">
        <f>VLOOKUP(VALUE(LEFT(C2698,5)),Xref!A:B,2,0)</f>
        <v>WIL</v>
      </c>
      <c r="M2698" t="str">
        <f t="shared" si="171"/>
        <v>LPI-WIL</v>
      </c>
    </row>
    <row r="2699" spans="1:13" ht="14.25" customHeight="true">
      <c r="A2699" s="33" t="str">
        <f t="shared" si="168"/>
        <v>LPI - Intercompany</v>
      </c>
      <c r="B2699" s="33" t="str">
        <f t="shared" si="169"/>
        <v>LPI</v>
      </c>
      <c r="C2699" s="33" t="str">
        <f t="shared" si="170"/>
        <v>11332-0000</v>
      </c>
      <c r="D2699" t="s">
        <v>23535</v>
      </c>
      <c r="E2699" t="s">
        <v>13243</v>
      </c>
      <c r="F2699" t="s">
        <v>14039</v>
      </c>
      <c r="G2699" t="s">
        <v>14672</v>
      </c>
      <c r="H2699" t="s">
        <v>13869</v>
      </c>
      <c r="I2699" t="s">
        <v>14690</v>
      </c>
      <c r="J2699" s="62">
        <v>0</v>
      </c>
      <c r="K2699" s="62">
        <v>0</v>
      </c>
      <c r="L2699" t="str">
        <f>VLOOKUP(VALUE(LEFT(C2699,5)),Xref!A:B,2,0)</f>
        <v>STO</v>
      </c>
      <c r="M2699" t="str">
        <f t="shared" si="171"/>
        <v>LPI-STO</v>
      </c>
    </row>
    <row r="2700" spans="1:13" ht="14.25" customHeight="true">
      <c r="A2700" s="33" t="str">
        <f t="shared" si="168"/>
        <v>LPI - Intercompany</v>
      </c>
      <c r="B2700" s="33" t="str">
        <f t="shared" si="169"/>
        <v>LPI</v>
      </c>
      <c r="C2700" s="33" t="str">
        <f t="shared" si="170"/>
        <v>11333-0000</v>
      </c>
      <c r="D2700" t="s">
        <v>23536</v>
      </c>
      <c r="E2700" t="s">
        <v>13244</v>
      </c>
      <c r="F2700" t="s">
        <v>14039</v>
      </c>
      <c r="G2700" t="s">
        <v>14672</v>
      </c>
      <c r="H2700" t="s">
        <v>13869</v>
      </c>
      <c r="I2700" t="s">
        <v>14690</v>
      </c>
      <c r="J2700" s="62">
        <v>0</v>
      </c>
      <c r="K2700" s="62">
        <v>0</v>
      </c>
      <c r="L2700" t="str">
        <f>VLOOKUP(VALUE(LEFT(C2700,5)),Xref!A:B,2,0)</f>
        <v>ANG</v>
      </c>
      <c r="M2700" t="str">
        <f t="shared" si="171"/>
        <v>ANG-LPI</v>
      </c>
    </row>
    <row r="2701" spans="1:13" ht="14.25" customHeight="true">
      <c r="A2701" s="33" t="str">
        <f t="shared" si="168"/>
        <v>LPI - Intercompany</v>
      </c>
      <c r="B2701" s="33" t="str">
        <f t="shared" si="169"/>
        <v>LPI</v>
      </c>
      <c r="C2701" s="33" t="str">
        <f t="shared" si="170"/>
        <v>11334-0000</v>
      </c>
      <c r="D2701" t="s">
        <v>23537</v>
      </c>
      <c r="E2701" t="s">
        <v>13245</v>
      </c>
      <c r="F2701" t="s">
        <v>14039</v>
      </c>
      <c r="G2701" t="s">
        <v>14672</v>
      </c>
      <c r="H2701" t="s">
        <v>13869</v>
      </c>
      <c r="I2701" t="s">
        <v>14690</v>
      </c>
      <c r="J2701" s="62">
        <v>0</v>
      </c>
      <c r="K2701" s="62">
        <v>0</v>
      </c>
      <c r="L2701" t="str">
        <f>VLOOKUP(VALUE(LEFT(C2701,5)),Xref!A:B,2,0)</f>
        <v>BRU</v>
      </c>
      <c r="M2701" t="str">
        <f t="shared" si="171"/>
        <v>BRU-LPI</v>
      </c>
    </row>
    <row r="2702" spans="1:13" ht="14.25" customHeight="true">
      <c r="A2702" s="33" t="str">
        <f t="shared" si="168"/>
        <v>LPI - Intercompany</v>
      </c>
      <c r="B2702" s="33" t="str">
        <f t="shared" si="169"/>
        <v>LPI</v>
      </c>
      <c r="C2702" s="33" t="str">
        <f t="shared" si="170"/>
        <v>11335-0000</v>
      </c>
      <c r="D2702" t="s">
        <v>23538</v>
      </c>
      <c r="E2702" t="s">
        <v>13246</v>
      </c>
      <c r="F2702" t="s">
        <v>14039</v>
      </c>
      <c r="G2702" t="s">
        <v>14672</v>
      </c>
      <c r="H2702" t="s">
        <v>13869</v>
      </c>
      <c r="I2702" t="s">
        <v>14690</v>
      </c>
      <c r="J2702" s="62">
        <v>0</v>
      </c>
      <c r="K2702" s="62">
        <v>0</v>
      </c>
      <c r="L2702" t="str">
        <f>VLOOKUP(VALUE(LEFT(C2702,5)),Xref!A:B,2,0)</f>
        <v>VEN</v>
      </c>
      <c r="M2702" t="str">
        <f t="shared" si="171"/>
        <v>LPI-VEN</v>
      </c>
    </row>
    <row r="2703" spans="1:13" ht="14.25" customHeight="true">
      <c r="A2703" s="33" t="str">
        <f t="shared" si="168"/>
        <v>LPI - Intercompany</v>
      </c>
      <c r="B2703" s="33" t="str">
        <f t="shared" si="169"/>
        <v>LPI</v>
      </c>
      <c r="C2703" s="33" t="str">
        <f t="shared" si="170"/>
        <v>11336-0000</v>
      </c>
      <c r="D2703" t="s">
        <v>23539</v>
      </c>
      <c r="E2703" t="s">
        <v>13247</v>
      </c>
      <c r="F2703" t="s">
        <v>14039</v>
      </c>
      <c r="G2703" t="s">
        <v>14672</v>
      </c>
      <c r="H2703" t="s">
        <v>13869</v>
      </c>
      <c r="I2703" t="s">
        <v>14690</v>
      </c>
      <c r="J2703" s="62">
        <v>0</v>
      </c>
      <c r="K2703" s="62">
        <v>0</v>
      </c>
      <c r="L2703" t="str">
        <f>VLOOKUP(VALUE(LEFT(C2703,5)),Xref!A:B,2,0)</f>
        <v>SAT</v>
      </c>
      <c r="M2703" t="str">
        <f t="shared" si="171"/>
        <v>LPI-SAT</v>
      </c>
    </row>
    <row r="2704" spans="1:13" ht="14.25" customHeight="true">
      <c r="A2704" s="33" t="str">
        <f t="shared" si="168"/>
        <v>LPI - Intercompany</v>
      </c>
      <c r="B2704" s="33" t="str">
        <f t="shared" si="169"/>
        <v>LPI</v>
      </c>
      <c r="C2704" s="33" t="str">
        <f t="shared" si="170"/>
        <v>11337-0000</v>
      </c>
      <c r="D2704" t="s">
        <v>23540</v>
      </c>
      <c r="E2704" t="s">
        <v>13248</v>
      </c>
      <c r="F2704" t="s">
        <v>14039</v>
      </c>
      <c r="G2704" t="s">
        <v>14672</v>
      </c>
      <c r="H2704" t="s">
        <v>13869</v>
      </c>
      <c r="I2704" t="s">
        <v>14690</v>
      </c>
      <c r="J2704" s="62">
        <v>0</v>
      </c>
      <c r="K2704" s="62">
        <v>0</v>
      </c>
      <c r="L2704" t="str">
        <f>VLOOKUP(VALUE(LEFT(C2704,5)),Xref!A:B,2,0)</f>
        <v>NEP</v>
      </c>
      <c r="M2704" t="str">
        <f t="shared" si="171"/>
        <v>LPI-NEP</v>
      </c>
    </row>
    <row r="2705" spans="1:13" ht="14.25" customHeight="true">
      <c r="A2705" s="33" t="str">
        <f t="shared" si="168"/>
        <v>LPI - Intercompany</v>
      </c>
      <c r="B2705" s="33" t="str">
        <f t="shared" si="169"/>
        <v>LPI</v>
      </c>
      <c r="C2705" s="33" t="str">
        <f t="shared" si="170"/>
        <v>11338-0000</v>
      </c>
      <c r="D2705" t="s">
        <v>23541</v>
      </c>
      <c r="E2705" t="s">
        <v>14131</v>
      </c>
      <c r="F2705" t="s">
        <v>14039</v>
      </c>
      <c r="G2705" t="s">
        <v>14672</v>
      </c>
      <c r="H2705" t="s">
        <v>13869</v>
      </c>
      <c r="I2705" t="s">
        <v>14690</v>
      </c>
      <c r="J2705" s="62">
        <v>0</v>
      </c>
      <c r="K2705" s="62">
        <v>0</v>
      </c>
      <c r="L2705" t="str">
        <f>VLOOKUP(VALUE(LEFT(C2705,5)),Xref!A:B,2,0)</f>
        <v>JUP</v>
      </c>
      <c r="M2705" t="str">
        <f t="shared" si="171"/>
        <v>JUP-LPI</v>
      </c>
    </row>
    <row r="2706" spans="1:13" ht="14.25" customHeight="true">
      <c r="A2706" s="33" t="str">
        <f t="shared" si="168"/>
        <v>LPI - Intercompany</v>
      </c>
      <c r="B2706" s="33" t="str">
        <f t="shared" si="169"/>
        <v>LPI</v>
      </c>
      <c r="C2706" s="33" t="str">
        <f t="shared" si="170"/>
        <v>11339-0000</v>
      </c>
      <c r="D2706" t="s">
        <v>23542</v>
      </c>
      <c r="E2706" t="s">
        <v>14133</v>
      </c>
      <c r="F2706" t="s">
        <v>14039</v>
      </c>
      <c r="G2706" t="s">
        <v>14672</v>
      </c>
      <c r="H2706" t="s">
        <v>13869</v>
      </c>
      <c r="I2706" t="s">
        <v>14690</v>
      </c>
      <c r="J2706" s="62">
        <v>0</v>
      </c>
      <c r="K2706" s="62">
        <v>0</v>
      </c>
      <c r="L2706" t="str">
        <f>VLOOKUP(VALUE(LEFT(C2706,5)),Xref!A:B,2,0)</f>
        <v>WES</v>
      </c>
      <c r="M2706" t="str">
        <f t="shared" si="171"/>
        <v>LPI-WES</v>
      </c>
    </row>
    <row r="2707" spans="1:13" ht="14.25" customHeight="true">
      <c r="A2707" s="33" t="str">
        <f t="shared" si="168"/>
        <v>LPI - Intercompany</v>
      </c>
      <c r="B2707" s="33" t="str">
        <f t="shared" si="169"/>
        <v>LPI</v>
      </c>
      <c r="C2707" s="33" t="str">
        <f t="shared" si="170"/>
        <v>11340-0000</v>
      </c>
      <c r="D2707" t="s">
        <v>23543</v>
      </c>
      <c r="E2707" t="s">
        <v>14135</v>
      </c>
      <c r="F2707" t="s">
        <v>14039</v>
      </c>
      <c r="G2707" t="s">
        <v>14672</v>
      </c>
      <c r="H2707" t="s">
        <v>13869</v>
      </c>
      <c r="I2707" t="s">
        <v>14690</v>
      </c>
      <c r="J2707" s="62">
        <v>0</v>
      </c>
      <c r="K2707" s="62">
        <v>0</v>
      </c>
      <c r="L2707" t="str">
        <f>VLOOKUP(VALUE(LEFT(C2707,5)),Xref!A:B,2,0)</f>
        <v>LCP</v>
      </c>
      <c r="M2707" t="str">
        <f t="shared" si="171"/>
        <v>LCP-LPI</v>
      </c>
    </row>
    <row r="2708" spans="1:13" ht="14.25" customHeight="true">
      <c r="A2708" s="33" t="str">
        <f t="shared" si="168"/>
        <v>LPI - Intercompany</v>
      </c>
      <c r="B2708" s="33" t="str">
        <f t="shared" si="169"/>
        <v>LPI</v>
      </c>
      <c r="C2708" s="33" t="str">
        <f t="shared" si="170"/>
        <v>11341-0000</v>
      </c>
      <c r="D2708" t="s">
        <v>23544</v>
      </c>
      <c r="E2708" t="s">
        <v>13639</v>
      </c>
      <c r="F2708" t="s">
        <v>14039</v>
      </c>
      <c r="G2708" t="s">
        <v>14672</v>
      </c>
      <c r="H2708" t="s">
        <v>13869</v>
      </c>
      <c r="I2708" t="s">
        <v>14690</v>
      </c>
      <c r="J2708" s="62">
        <v>0</v>
      </c>
      <c r="K2708" s="62">
        <v>0</v>
      </c>
      <c r="L2708" t="str">
        <f>VLOOKUP(VALUE(LEFT(C2708,5)),Xref!A:B,2,0)</f>
        <v>NOR</v>
      </c>
      <c r="M2708" t="str">
        <f t="shared" si="171"/>
        <v>LPI-NOR</v>
      </c>
    </row>
    <row r="2709" spans="1:13" ht="14.25" customHeight="true">
      <c r="A2709" s="33" t="str">
        <f t="shared" si="168"/>
        <v>LPI - Intercompany</v>
      </c>
      <c r="B2709" s="33" t="str">
        <f t="shared" si="169"/>
        <v>LPI</v>
      </c>
      <c r="C2709" s="33" t="str">
        <f t="shared" si="170"/>
        <v>11342-0000</v>
      </c>
      <c r="D2709" t="s">
        <v>23545</v>
      </c>
      <c r="E2709" t="s">
        <v>13355</v>
      </c>
      <c r="F2709" t="s">
        <v>14039</v>
      </c>
      <c r="G2709" t="s">
        <v>14672</v>
      </c>
      <c r="H2709" t="s">
        <v>13869</v>
      </c>
      <c r="I2709" t="s">
        <v>14690</v>
      </c>
      <c r="J2709" s="62">
        <v>0</v>
      </c>
      <c r="K2709" s="62">
        <v>0</v>
      </c>
      <c r="L2709" t="str">
        <f>VLOOKUP(VALUE(LEFT(C2709,5)),Xref!A:B,2,0)</f>
        <v>EAS</v>
      </c>
      <c r="M2709" t="str">
        <f t="shared" si="171"/>
        <v>EAS-LPI</v>
      </c>
    </row>
    <row r="2710" spans="1:13" ht="14.25" customHeight="true">
      <c r="A2710" s="33" t="str">
        <f t="shared" si="168"/>
        <v>LPI - Intercompany</v>
      </c>
      <c r="B2710" s="33" t="str">
        <f t="shared" si="169"/>
        <v>LPI</v>
      </c>
      <c r="C2710" s="33" t="str">
        <f t="shared" si="170"/>
        <v>11343-0000</v>
      </c>
      <c r="D2710" t="s">
        <v>23546</v>
      </c>
      <c r="E2710" t="s">
        <v>14139</v>
      </c>
      <c r="F2710" t="s">
        <v>14039</v>
      </c>
      <c r="G2710" t="s">
        <v>14672</v>
      </c>
      <c r="H2710" t="s">
        <v>13869</v>
      </c>
      <c r="I2710" t="s">
        <v>14690</v>
      </c>
      <c r="J2710" s="62">
        <v>0</v>
      </c>
      <c r="K2710" s="62">
        <v>0</v>
      </c>
      <c r="L2710" t="str">
        <f>VLOOKUP(VALUE(LEFT(C2710,5)),Xref!A:B,2,0)</f>
        <v>GRA</v>
      </c>
      <c r="M2710" t="str">
        <f t="shared" si="171"/>
        <v>GRA-LPI</v>
      </c>
    </row>
    <row r="2711" spans="1:13" ht="14.25" customHeight="true">
      <c r="A2711" s="33" t="str">
        <f t="shared" si="168"/>
        <v>LPI - Intercompany</v>
      </c>
      <c r="B2711" s="33" t="str">
        <f t="shared" si="169"/>
        <v>LPI</v>
      </c>
      <c r="C2711" s="33" t="str">
        <f t="shared" si="170"/>
        <v>11344-0000</v>
      </c>
      <c r="D2711" t="s">
        <v>23547</v>
      </c>
      <c r="E2711" t="s">
        <v>14141</v>
      </c>
      <c r="F2711" t="s">
        <v>14039</v>
      </c>
      <c r="G2711" t="s">
        <v>14672</v>
      </c>
      <c r="H2711" t="s">
        <v>13869</v>
      </c>
      <c r="I2711" t="s">
        <v>14690</v>
      </c>
      <c r="J2711" s="62">
        <v>0</v>
      </c>
      <c r="K2711" s="62">
        <v>0</v>
      </c>
      <c r="L2711" t="str">
        <f>VLOOKUP(VALUE(LEFT(C2711,5)),Xref!A:B,2,0)</f>
        <v>SOU</v>
      </c>
      <c r="M2711" t="str">
        <f t="shared" si="171"/>
        <v>LPI-SOU</v>
      </c>
    </row>
    <row r="2712" spans="1:13" ht="14.25" customHeight="true">
      <c r="A2712" s="33" t="str">
        <f t="shared" si="168"/>
        <v>LPI - Intercompany</v>
      </c>
      <c r="B2712" s="33" t="str">
        <f t="shared" si="169"/>
        <v>LPI</v>
      </c>
      <c r="C2712" s="33" t="str">
        <f t="shared" si="170"/>
        <v>11345-0000</v>
      </c>
      <c r="D2712" t="s">
        <v>23548</v>
      </c>
      <c r="E2712" t="s">
        <v>14143</v>
      </c>
      <c r="F2712" t="s">
        <v>14039</v>
      </c>
      <c r="G2712" t="s">
        <v>14672</v>
      </c>
      <c r="H2712" t="s">
        <v>13869</v>
      </c>
      <c r="I2712" t="s">
        <v>14690</v>
      </c>
      <c r="J2712" s="62">
        <v>0</v>
      </c>
      <c r="K2712" s="62">
        <v>0</v>
      </c>
      <c r="L2712" t="str">
        <f>VLOOKUP(VALUE(LEFT(C2712,5)),Xref!A:B,2,0)</f>
        <v>API</v>
      </c>
      <c r="M2712" t="str">
        <f t="shared" si="171"/>
        <v>API-LPI</v>
      </c>
    </row>
    <row r="2713" spans="1:13" ht="14.25" customHeight="true">
      <c r="A2713" s="33" t="str">
        <f t="shared" si="168"/>
        <v>LPI - Intercompany</v>
      </c>
      <c r="B2713" s="33" t="str">
        <f t="shared" si="169"/>
        <v>LPI</v>
      </c>
      <c r="C2713" s="33" t="str">
        <f t="shared" si="170"/>
        <v>11346-0000</v>
      </c>
      <c r="D2713" t="s">
        <v>23549</v>
      </c>
      <c r="E2713" t="s">
        <v>14145</v>
      </c>
      <c r="F2713" t="s">
        <v>14039</v>
      </c>
      <c r="G2713" t="s">
        <v>14672</v>
      </c>
      <c r="H2713" t="s">
        <v>13869</v>
      </c>
      <c r="I2713" t="s">
        <v>14690</v>
      </c>
      <c r="J2713" s="62">
        <v>0</v>
      </c>
      <c r="K2713" s="62">
        <v>0</v>
      </c>
      <c r="L2713" t="str">
        <f>VLOOKUP(VALUE(LEFT(C2713,5)),Xref!A:B,2,0)</f>
        <v>DPH</v>
      </c>
      <c r="M2713" t="str">
        <f t="shared" si="171"/>
        <v>DPH-LPI</v>
      </c>
    </row>
    <row r="2714" spans="1:13" ht="14.25" customHeight="true">
      <c r="A2714" s="33" t="str">
        <f t="shared" si="168"/>
        <v>LPI - Intercompany</v>
      </c>
      <c r="B2714" s="33" t="str">
        <f t="shared" si="169"/>
        <v>LPI</v>
      </c>
      <c r="C2714" s="33" t="str">
        <f t="shared" si="170"/>
        <v>11347-0000</v>
      </c>
      <c r="D2714" t="s">
        <v>23550</v>
      </c>
      <c r="E2714" t="s">
        <v>14147</v>
      </c>
      <c r="F2714" t="s">
        <v>14039</v>
      </c>
      <c r="G2714" t="s">
        <v>14672</v>
      </c>
      <c r="H2714" t="s">
        <v>13869</v>
      </c>
      <c r="I2714" t="s">
        <v>14690</v>
      </c>
      <c r="J2714" s="62">
        <v>0</v>
      </c>
      <c r="K2714" s="62">
        <v>0</v>
      </c>
      <c r="L2714" t="str">
        <f>VLOOKUP(VALUE(LEFT(C2714,5)),Xref!A:B,2,0)</f>
        <v>ZPI</v>
      </c>
      <c r="M2714" t="str">
        <f t="shared" si="171"/>
        <v>LPI-ZPI</v>
      </c>
    </row>
    <row r="2715" spans="1:13" ht="14.25" customHeight="true">
      <c r="A2715" s="33" t="str">
        <f t="shared" si="168"/>
        <v>LPI - Intercompany</v>
      </c>
      <c r="B2715" s="33" t="str">
        <f t="shared" si="169"/>
        <v>LPI</v>
      </c>
      <c r="C2715" s="33" t="str">
        <f t="shared" si="170"/>
        <v>11348-0000</v>
      </c>
      <c r="D2715" t="s">
        <v>23551</v>
      </c>
      <c r="E2715" t="s">
        <v>14149</v>
      </c>
      <c r="F2715" t="s">
        <v>14039</v>
      </c>
      <c r="G2715" t="s">
        <v>14672</v>
      </c>
      <c r="H2715" t="s">
        <v>13869</v>
      </c>
      <c r="I2715" t="s">
        <v>14690</v>
      </c>
      <c r="J2715" s="62">
        <v>0</v>
      </c>
      <c r="K2715" s="62">
        <v>0</v>
      </c>
      <c r="L2715" t="str">
        <f>VLOOKUP(VALUE(LEFT(C2715,5)),Xref!A:B,2,0)</f>
        <v>EAM</v>
      </c>
      <c r="M2715" t="str">
        <f t="shared" si="171"/>
        <v>EAM-LPI</v>
      </c>
    </row>
    <row r="2716" spans="1:13" ht="14.25" customHeight="true">
      <c r="A2716" s="33" t="str">
        <f t="shared" si="168"/>
        <v>LPI - Intercompany</v>
      </c>
      <c r="B2716" s="33" t="str">
        <f t="shared" si="169"/>
        <v>LPI</v>
      </c>
      <c r="C2716" s="33" t="str">
        <f t="shared" si="170"/>
        <v>11349-0000</v>
      </c>
      <c r="D2716" t="s">
        <v>23552</v>
      </c>
      <c r="E2716" t="s">
        <v>14151</v>
      </c>
      <c r="F2716" t="s">
        <v>14039</v>
      </c>
      <c r="G2716" t="s">
        <v>14672</v>
      </c>
      <c r="H2716" t="s">
        <v>13869</v>
      </c>
      <c r="I2716" t="s">
        <v>14690</v>
      </c>
      <c r="J2716" s="62">
        <v>0</v>
      </c>
      <c r="K2716" s="62">
        <v>0</v>
      </c>
      <c r="L2716" t="str">
        <f>VLOOKUP(VALUE(LEFT(C2716,5)),Xref!A:B,2,0)</f>
        <v>SEA</v>
      </c>
      <c r="M2716" t="str">
        <f t="shared" si="171"/>
        <v>LPI-SEA</v>
      </c>
    </row>
    <row r="2717" spans="1:13" ht="14.25" customHeight="true">
      <c r="A2717" s="33" t="str">
        <f t="shared" si="168"/>
        <v>LPI - Intercompany</v>
      </c>
      <c r="B2717" s="33" t="str">
        <f t="shared" si="169"/>
        <v>LPI</v>
      </c>
      <c r="C2717" s="33" t="str">
        <f t="shared" si="170"/>
        <v>11350-0000</v>
      </c>
      <c r="D2717" t="s">
        <v>23553</v>
      </c>
      <c r="E2717" t="s">
        <v>14153</v>
      </c>
      <c r="F2717" t="s">
        <v>14039</v>
      </c>
      <c r="G2717" t="s">
        <v>14672</v>
      </c>
      <c r="H2717" t="s">
        <v>13869</v>
      </c>
      <c r="I2717" t="s">
        <v>14690</v>
      </c>
      <c r="J2717" s="62">
        <v>0</v>
      </c>
      <c r="K2717" s="62">
        <v>-0.51</v>
      </c>
      <c r="L2717" t="str">
        <f>VLOOKUP(VALUE(LEFT(C2717,5)),Xref!A:B,2,0)</f>
        <v>EAL</v>
      </c>
      <c r="M2717" t="str">
        <f t="shared" si="171"/>
        <v>EAL-LPI</v>
      </c>
    </row>
    <row r="2718" spans="1:13" ht="14.25" customHeight="true">
      <c r="A2718" s="33" t="str">
        <f t="shared" si="168"/>
        <v>LPI - Intercompany</v>
      </c>
      <c r="B2718" s="33" t="str">
        <f t="shared" si="169"/>
        <v>LPI</v>
      </c>
      <c r="C2718" s="33" t="str">
        <f t="shared" si="170"/>
        <v>11351-0000</v>
      </c>
      <c r="D2718" t="s">
        <v>23554</v>
      </c>
      <c r="E2718" t="s">
        <v>14155</v>
      </c>
      <c r="F2718" t="s">
        <v>14039</v>
      </c>
      <c r="G2718" t="s">
        <v>14672</v>
      </c>
      <c r="H2718" t="s">
        <v>13869</v>
      </c>
      <c r="I2718" t="s">
        <v>14690</v>
      </c>
      <c r="J2718" s="62">
        <v>0</v>
      </c>
      <c r="K2718" s="62">
        <v>0</v>
      </c>
      <c r="L2718" t="str">
        <f>VLOOKUP(VALUE(LEFT(C2718,5)),Xref!A:B,2,0)</f>
        <v>WEP</v>
      </c>
      <c r="M2718" t="str">
        <f t="shared" si="171"/>
        <v>LPI-WEP</v>
      </c>
    </row>
    <row r="2719" spans="1:13" ht="14.25" customHeight="true">
      <c r="A2719" s="33" t="str">
        <f t="shared" si="168"/>
        <v>LPI - Intercompany</v>
      </c>
      <c r="B2719" s="33" t="str">
        <f t="shared" si="169"/>
        <v>LPI</v>
      </c>
      <c r="C2719" s="33" t="str">
        <f t="shared" si="170"/>
        <v>11352-0000</v>
      </c>
      <c r="D2719" t="s">
        <v>23555</v>
      </c>
      <c r="E2719" t="s">
        <v>13536</v>
      </c>
      <c r="F2719" t="s">
        <v>14039</v>
      </c>
      <c r="G2719" t="s">
        <v>14672</v>
      </c>
      <c r="H2719" t="s">
        <v>13869</v>
      </c>
      <c r="I2719" t="s">
        <v>14690</v>
      </c>
      <c r="J2719" s="62">
        <v>0</v>
      </c>
      <c r="K2719" s="62">
        <v>0</v>
      </c>
      <c r="L2719" t="str">
        <f>VLOOKUP(VALUE(LEFT(C2719,5)),Xref!A:B,2,0)</f>
        <v>KLP</v>
      </c>
      <c r="M2719" t="str">
        <f t="shared" si="171"/>
        <v>KLP-LPI</v>
      </c>
    </row>
    <row r="2720" spans="1:13" ht="14.25" customHeight="true">
      <c r="A2720" s="33" t="str">
        <f t="shared" si="168"/>
        <v>LPI - Intercompany</v>
      </c>
      <c r="B2720" s="33" t="str">
        <f t="shared" si="169"/>
        <v>LPI</v>
      </c>
      <c r="C2720" s="33" t="str">
        <f t="shared" si="170"/>
        <v>11353-0000</v>
      </c>
      <c r="D2720" t="s">
        <v>23556</v>
      </c>
      <c r="E2720" t="s">
        <v>13537</v>
      </c>
      <c r="F2720" t="s">
        <v>14039</v>
      </c>
      <c r="G2720" t="s">
        <v>14672</v>
      </c>
      <c r="H2720" t="s">
        <v>13869</v>
      </c>
      <c r="I2720" t="s">
        <v>14690</v>
      </c>
      <c r="J2720" s="62">
        <v>0</v>
      </c>
      <c r="K2720" s="62">
        <v>0</v>
      </c>
      <c r="L2720" t="str">
        <f>VLOOKUP(VALUE(LEFT(C2720,5)),Xref!A:B,2,0)</f>
        <v>AKC</v>
      </c>
      <c r="M2720" t="str">
        <f t="shared" si="171"/>
        <v>AKC-LPI</v>
      </c>
    </row>
    <row r="2721" spans="1:13" ht="14.25" customHeight="true">
      <c r="A2721" s="33" t="str">
        <f t="shared" si="168"/>
        <v>LPI - Intercompany</v>
      </c>
      <c r="B2721" s="33" t="str">
        <f t="shared" si="169"/>
        <v>LPI</v>
      </c>
      <c r="C2721" s="33" t="str">
        <f t="shared" si="170"/>
        <v>11354-0000</v>
      </c>
      <c r="D2721" t="s">
        <v>23557</v>
      </c>
      <c r="E2721" t="s">
        <v>13538</v>
      </c>
      <c r="F2721" t="s">
        <v>14039</v>
      </c>
      <c r="G2721" t="s">
        <v>14672</v>
      </c>
      <c r="H2721" t="s">
        <v>13869</v>
      </c>
      <c r="I2721" t="s">
        <v>14690</v>
      </c>
      <c r="J2721" s="62">
        <v>0</v>
      </c>
      <c r="K2721" s="62">
        <v>0</v>
      </c>
      <c r="L2721" t="str">
        <f>VLOOKUP(VALUE(LEFT(C2721,5)),Xref!A:B,2,0)</f>
        <v>AKA</v>
      </c>
      <c r="M2721" t="str">
        <f t="shared" si="171"/>
        <v>AKA-LPI</v>
      </c>
    </row>
    <row r="2722" spans="1:13" ht="14.25" customHeight="true">
      <c r="A2722" s="33" t="str">
        <f t="shared" si="168"/>
        <v>LPI - Intercompany</v>
      </c>
      <c r="B2722" s="33" t="str">
        <f t="shared" si="169"/>
        <v>LPI</v>
      </c>
      <c r="C2722" s="33" t="str">
        <f t="shared" si="170"/>
        <v>11355-0000</v>
      </c>
      <c r="D2722" t="s">
        <v>23558</v>
      </c>
      <c r="E2722" t="s">
        <v>13539</v>
      </c>
      <c r="F2722" t="s">
        <v>14039</v>
      </c>
      <c r="G2722" t="s">
        <v>14672</v>
      </c>
      <c r="H2722" t="s">
        <v>13869</v>
      </c>
      <c r="I2722" t="s">
        <v>14690</v>
      </c>
      <c r="J2722" s="62">
        <v>0</v>
      </c>
      <c r="K2722" s="62">
        <v>0</v>
      </c>
      <c r="L2722" t="str">
        <f>VLOOKUP(VALUE(LEFT(C2722,5)),Xref!A:B,2,0)</f>
        <v>SPA</v>
      </c>
      <c r="M2722" t="str">
        <f t="shared" si="171"/>
        <v>LPI-SPA</v>
      </c>
    </row>
    <row r="2723" spans="1:13" ht="14.25" customHeight="true">
      <c r="A2723" s="33" t="str">
        <f t="shared" si="168"/>
        <v>LPI - Intercompany</v>
      </c>
      <c r="B2723" s="33" t="str">
        <f t="shared" si="169"/>
        <v>LPI</v>
      </c>
      <c r="C2723" s="33" t="str">
        <f t="shared" si="170"/>
        <v>11356-0000</v>
      </c>
      <c r="D2723" t="s">
        <v>23559</v>
      </c>
      <c r="E2723" t="s">
        <v>13540</v>
      </c>
      <c r="F2723" t="s">
        <v>14039</v>
      </c>
      <c r="G2723" t="s">
        <v>14672</v>
      </c>
      <c r="H2723" t="s">
        <v>13869</v>
      </c>
      <c r="I2723" t="s">
        <v>14690</v>
      </c>
      <c r="J2723" s="62">
        <v>0</v>
      </c>
      <c r="K2723" s="62">
        <v>0</v>
      </c>
      <c r="L2723" t="str">
        <f>VLOOKUP(VALUE(LEFT(C2723,5)),Xref!A:B,2,0)</f>
        <v>DPM</v>
      </c>
      <c r="M2723" t="str">
        <f t="shared" si="171"/>
        <v>DPM-LPI</v>
      </c>
    </row>
    <row r="2724" spans="1:13" ht="14.25" customHeight="true">
      <c r="A2724" s="33" t="str">
        <f t="shared" si="168"/>
        <v>LPI - Intercompany</v>
      </c>
      <c r="B2724" s="33" t="str">
        <f t="shared" si="169"/>
        <v>LPI</v>
      </c>
      <c r="C2724" s="33" t="str">
        <f t="shared" si="170"/>
        <v>11357-0000</v>
      </c>
      <c r="D2724" t="s">
        <v>23560</v>
      </c>
      <c r="E2724" t="s">
        <v>13541</v>
      </c>
      <c r="F2724" t="s">
        <v>14039</v>
      </c>
      <c r="G2724" t="s">
        <v>14672</v>
      </c>
      <c r="H2724" t="s">
        <v>13869</v>
      </c>
      <c r="I2724" t="s">
        <v>14690</v>
      </c>
      <c r="J2724" s="62">
        <v>0</v>
      </c>
      <c r="K2724" s="62">
        <v>0</v>
      </c>
      <c r="L2724" t="str">
        <f>VLOOKUP(VALUE(LEFT(C2724,5)),Xref!A:B,2,0)</f>
        <v>HDM</v>
      </c>
      <c r="M2724" t="str">
        <f t="shared" si="171"/>
        <v>HDM-LPI</v>
      </c>
    </row>
    <row r="2725" spans="1:13" ht="14.25" customHeight="true">
      <c r="A2725" s="33" t="str">
        <f t="shared" si="168"/>
        <v>LPI - Intercompany</v>
      </c>
      <c r="B2725" s="33" t="str">
        <f t="shared" si="169"/>
        <v>LPI</v>
      </c>
      <c r="C2725" s="33" t="str">
        <f t="shared" si="170"/>
        <v>11358-0000</v>
      </c>
      <c r="D2725" t="s">
        <v>23561</v>
      </c>
      <c r="E2725" t="s">
        <v>13542</v>
      </c>
      <c r="F2725" t="s">
        <v>14039</v>
      </c>
      <c r="G2725" t="s">
        <v>14672</v>
      </c>
      <c r="H2725" t="s">
        <v>13869</v>
      </c>
      <c r="I2725" t="s">
        <v>14690</v>
      </c>
      <c r="J2725" s="62">
        <v>0</v>
      </c>
      <c r="K2725" s="62">
        <v>0</v>
      </c>
      <c r="L2725" t="str">
        <f>VLOOKUP(VALUE(LEFT(C2725,5)),Xref!A:B,2,0)</f>
        <v>GRA</v>
      </c>
      <c r="M2725" t="str">
        <f t="shared" si="171"/>
        <v>GRA-LPI</v>
      </c>
    </row>
    <row r="2726" spans="1:13" ht="14.25" customHeight="true">
      <c r="A2726" s="33" t="str">
        <f t="shared" si="168"/>
        <v>LPI - Intercompany</v>
      </c>
      <c r="B2726" s="33" t="str">
        <f t="shared" si="169"/>
        <v>LPI</v>
      </c>
      <c r="C2726" s="33" t="str">
        <f t="shared" si="170"/>
        <v>11359-0000</v>
      </c>
      <c r="D2726" t="s">
        <v>23562</v>
      </c>
      <c r="E2726" t="s">
        <v>13543</v>
      </c>
      <c r="F2726" t="s">
        <v>14039</v>
      </c>
      <c r="G2726" t="s">
        <v>14672</v>
      </c>
      <c r="H2726" t="s">
        <v>13869</v>
      </c>
      <c r="I2726" t="s">
        <v>14690</v>
      </c>
      <c r="J2726" s="62">
        <v>0</v>
      </c>
      <c r="K2726" s="62">
        <v>0</v>
      </c>
      <c r="L2726" t="str">
        <f>VLOOKUP(VALUE(LEFT(C2726,5)),Xref!A:B,2,0)</f>
        <v>TPI</v>
      </c>
      <c r="M2726" t="str">
        <f t="shared" si="171"/>
        <v>LPI-TPI</v>
      </c>
    </row>
    <row r="2727" spans="1:13" ht="14.25" customHeight="true">
      <c r="A2727" s="33" t="str">
        <f t="shared" si="168"/>
        <v>LPI - Intercompany</v>
      </c>
      <c r="B2727" s="33" t="str">
        <f t="shared" si="169"/>
        <v>LPI</v>
      </c>
      <c r="C2727" s="33" t="str">
        <f t="shared" si="170"/>
        <v>11361-0000</v>
      </c>
      <c r="D2727" t="s">
        <v>23563</v>
      </c>
      <c r="E2727" t="s">
        <v>14165</v>
      </c>
      <c r="F2727" t="s">
        <v>14039</v>
      </c>
      <c r="G2727" t="s">
        <v>14672</v>
      </c>
      <c r="H2727" t="s">
        <v>13869</v>
      </c>
      <c r="I2727" t="s">
        <v>14690</v>
      </c>
      <c r="J2727" s="62">
        <v>0</v>
      </c>
      <c r="K2727" s="62">
        <v>0</v>
      </c>
      <c r="L2727" t="str">
        <f>VLOOKUP(VALUE(LEFT(C2727,5)),Xref!A:B,2,0)</f>
        <v>GSM</v>
      </c>
      <c r="M2727" t="str">
        <f t="shared" si="171"/>
        <v>GSM-LPI</v>
      </c>
    </row>
    <row r="2728" spans="1:13" ht="14.25" customHeight="true">
      <c r="A2728" s="33" t="str">
        <f t="shared" si="168"/>
        <v>LPI - Intercompany</v>
      </c>
      <c r="B2728" s="33" t="str">
        <f t="shared" si="169"/>
        <v>LPI</v>
      </c>
      <c r="C2728" s="33" t="str">
        <f t="shared" si="170"/>
        <v>11363-0000</v>
      </c>
      <c r="D2728" t="s">
        <v>23564</v>
      </c>
      <c r="E2728" t="s">
        <v>13544</v>
      </c>
      <c r="F2728" t="s">
        <v>14039</v>
      </c>
      <c r="G2728" t="s">
        <v>14672</v>
      </c>
      <c r="H2728" t="s">
        <v>13869</v>
      </c>
      <c r="I2728" t="s">
        <v>14690</v>
      </c>
      <c r="J2728" s="62">
        <v>0</v>
      </c>
      <c r="K2728" s="62">
        <v>0</v>
      </c>
      <c r="L2728" t="str">
        <f>VLOOKUP(VALUE(LEFT(C2728,5)),Xref!A:B,2,0)</f>
        <v>SOF</v>
      </c>
      <c r="M2728" t="str">
        <f t="shared" si="171"/>
        <v>LPI-SOF</v>
      </c>
    </row>
    <row r="2729" spans="1:13" ht="14.25" customHeight="true">
      <c r="A2729" s="33" t="str">
        <f t="shared" si="168"/>
        <v>LPI - Intercompany</v>
      </c>
      <c r="B2729" s="33" t="str">
        <f t="shared" si="169"/>
        <v>LPI</v>
      </c>
      <c r="C2729" s="33" t="str">
        <f t="shared" si="170"/>
        <v>11364-0000</v>
      </c>
      <c r="D2729" t="s">
        <v>23565</v>
      </c>
      <c r="E2729" t="s">
        <v>14168</v>
      </c>
      <c r="F2729" t="s">
        <v>14039</v>
      </c>
      <c r="G2729" t="s">
        <v>14672</v>
      </c>
      <c r="H2729" t="s">
        <v>13869</v>
      </c>
      <c r="I2729" t="s">
        <v>14690</v>
      </c>
      <c r="J2729" s="62">
        <v>0</v>
      </c>
      <c r="K2729" s="62">
        <v>0</v>
      </c>
      <c r="L2729" t="e">
        <f>VLOOKUP(VALUE(LEFT(C2729,5)),Xref!A:B,2,0)</f>
        <v>#N/A</v>
      </c>
      <c r="M2729" t="e">
        <f t="shared" si="171"/>
        <v>#N/A</v>
      </c>
    </row>
    <row r="2730" spans="1:13" ht="14.25" customHeight="true">
      <c r="A2730" s="33" t="str">
        <f t="shared" si="168"/>
        <v>LPI - Intercompany</v>
      </c>
      <c r="B2730" s="33" t="str">
        <f t="shared" si="169"/>
        <v>LPI</v>
      </c>
      <c r="C2730" s="33" t="str">
        <f t="shared" si="170"/>
        <v>11365-0000</v>
      </c>
      <c r="D2730" t="s">
        <v>23566</v>
      </c>
      <c r="E2730" t="s">
        <v>14170</v>
      </c>
      <c r="F2730" t="s">
        <v>14039</v>
      </c>
      <c r="G2730" t="s">
        <v>14672</v>
      </c>
      <c r="H2730" t="s">
        <v>13869</v>
      </c>
      <c r="I2730" t="s">
        <v>14690</v>
      </c>
      <c r="J2730" s="62">
        <v>0</v>
      </c>
      <c r="K2730" s="62">
        <v>0</v>
      </c>
      <c r="L2730" t="e">
        <f>VLOOKUP(VALUE(LEFT(C2730,5)),Xref!A:B,2,0)</f>
        <v>#N/A</v>
      </c>
      <c r="M2730" t="e">
        <f t="shared" si="171"/>
        <v>#N/A</v>
      </c>
    </row>
    <row r="2731" spans="1:13" ht="14.25" customHeight="true">
      <c r="A2731" s="33" t="str">
        <f t="shared" si="168"/>
        <v>LPI - Intercompany</v>
      </c>
      <c r="B2731" s="33" t="str">
        <f t="shared" si="169"/>
        <v>LPI</v>
      </c>
      <c r="C2731" s="33" t="str">
        <f t="shared" si="170"/>
        <v>11366-0000</v>
      </c>
      <c r="D2731" t="s">
        <v>23567</v>
      </c>
      <c r="E2731" t="s">
        <v>14172</v>
      </c>
      <c r="G2731" t="s">
        <v>14672</v>
      </c>
      <c r="H2731" t="s">
        <v>13869</v>
      </c>
      <c r="I2731" t="s">
        <v>14690</v>
      </c>
      <c r="J2731" s="62">
        <v>0</v>
      </c>
      <c r="K2731" s="62">
        <v>0</v>
      </c>
      <c r="L2731" t="e">
        <f>VLOOKUP(VALUE(LEFT(C2731,5)),Xref!A:B,2,0)</f>
        <v>#N/A</v>
      </c>
      <c r="M2731" t="e">
        <f t="shared" si="171"/>
        <v>#N/A</v>
      </c>
    </row>
    <row r="2732" spans="1:13" ht="14.25" customHeight="true">
      <c r="A2732" s="33" t="str">
        <f t="shared" si="168"/>
        <v>LPI - Intercompany</v>
      </c>
      <c r="B2732" s="33" t="str">
        <f t="shared" si="169"/>
        <v>LPI</v>
      </c>
      <c r="C2732" s="33" t="str">
        <f t="shared" si="170"/>
        <v>11402-0000</v>
      </c>
      <c r="D2732" t="s">
        <v>23568</v>
      </c>
      <c r="E2732" t="s">
        <v>14174</v>
      </c>
      <c r="G2732" t="s">
        <v>14672</v>
      </c>
      <c r="H2732" t="s">
        <v>13869</v>
      </c>
      <c r="I2732" t="s">
        <v>14690</v>
      </c>
      <c r="J2732" s="62">
        <v>0</v>
      </c>
      <c r="K2732" s="62">
        <v>0</v>
      </c>
      <c r="L2732" t="str">
        <f>VLOOKUP(VALUE(LEFT(C2732,5)),Xref!A:B,2,0)</f>
        <v>DPI</v>
      </c>
      <c r="M2732" t="str">
        <f t="shared" si="171"/>
        <v>DPI-LPI</v>
      </c>
    </row>
    <row r="2733" spans="1:13" ht="14.25" customHeight="true">
      <c r="A2733" s="33" t="str">
        <f t="shared" si="168"/>
        <v>LPI - Intercompany</v>
      </c>
      <c r="B2733" s="33" t="str">
        <f t="shared" si="169"/>
        <v>LPI</v>
      </c>
      <c r="C2733" s="33" t="str">
        <f t="shared" si="170"/>
        <v>11403-0000</v>
      </c>
      <c r="D2733" t="s">
        <v>23569</v>
      </c>
      <c r="E2733" t="s">
        <v>14176</v>
      </c>
      <c r="G2733" t="s">
        <v>14672</v>
      </c>
      <c r="H2733" t="s">
        <v>13869</v>
      </c>
      <c r="I2733" t="s">
        <v>14690</v>
      </c>
      <c r="J2733" s="62">
        <v>0</v>
      </c>
      <c r="K2733" s="62">
        <v>0</v>
      </c>
      <c r="L2733" t="str">
        <f>VLOOKUP(VALUE(LEFT(C2733,5)),Xref!A:B,2,0)</f>
        <v>SEA</v>
      </c>
      <c r="M2733" t="str">
        <f t="shared" si="171"/>
        <v>LPI-SEA</v>
      </c>
    </row>
    <row r="2734" spans="1:13" ht="14.25" customHeight="true">
      <c r="A2734" s="33" t="str">
        <f t="shared" si="168"/>
        <v>LPI - Intercompany</v>
      </c>
      <c r="B2734" s="33" t="str">
        <f t="shared" si="169"/>
        <v>LPI</v>
      </c>
      <c r="C2734" s="33" t="str">
        <f t="shared" si="170"/>
        <v>12400-0000</v>
      </c>
      <c r="D2734" t="s">
        <v>23572</v>
      </c>
      <c r="E2734" t="s">
        <v>14185</v>
      </c>
      <c r="F2734" t="s">
        <v>14039</v>
      </c>
      <c r="G2734" t="s">
        <v>14672</v>
      </c>
      <c r="H2734" t="s">
        <v>13869</v>
      </c>
      <c r="I2734" t="s">
        <v>14690</v>
      </c>
      <c r="J2734" s="62">
        <v>0</v>
      </c>
      <c r="K2734" s="62">
        <v>0</v>
      </c>
      <c r="L2734" t="str">
        <f>VLOOKUP(VALUE(LEFT(C2734,5)),Xref!A:B,2,0)</f>
        <v>aka</v>
      </c>
      <c r="M2734" t="str">
        <f t="shared" si="171"/>
        <v>aka-LPI</v>
      </c>
    </row>
    <row r="2735" spans="1:13" ht="14.25" customHeight="true">
      <c r="A2735" s="33" t="str">
        <f t="shared" si="168"/>
        <v>LPI - Intercompany</v>
      </c>
      <c r="B2735" s="33" t="str">
        <f t="shared" si="169"/>
        <v>LPI</v>
      </c>
      <c r="C2735" s="33" t="str">
        <f t="shared" si="170"/>
        <v>12401-0000</v>
      </c>
      <c r="D2735" t="s">
        <v>23573</v>
      </c>
      <c r="E2735" t="s">
        <v>14187</v>
      </c>
      <c r="F2735" t="s">
        <v>14039</v>
      </c>
      <c r="G2735" t="s">
        <v>14672</v>
      </c>
      <c r="H2735" t="s">
        <v>13869</v>
      </c>
      <c r="I2735" t="s">
        <v>14690</v>
      </c>
      <c r="J2735" s="62">
        <v>0</v>
      </c>
      <c r="K2735" s="62">
        <v>0</v>
      </c>
      <c r="L2735" t="str">
        <f>VLOOKUP(VALUE(LEFT(C2735,5)),Xref!A:B,2,0)</f>
        <v>aka</v>
      </c>
      <c r="M2735" t="str">
        <f t="shared" si="171"/>
        <v>aka-LPI</v>
      </c>
    </row>
    <row r="2736" spans="1:13" ht="14.25" customHeight="true">
      <c r="A2736" s="33" t="str">
        <f t="shared" si="168"/>
        <v>LPI - Intercompany</v>
      </c>
      <c r="B2736" s="33" t="str">
        <f t="shared" si="169"/>
        <v>LPI</v>
      </c>
      <c r="C2736" s="33" t="str">
        <f t="shared" si="170"/>
        <v>12402-0000</v>
      </c>
      <c r="D2736" t="s">
        <v>23574</v>
      </c>
      <c r="E2736" t="s">
        <v>14189</v>
      </c>
      <c r="F2736" t="s">
        <v>14039</v>
      </c>
      <c r="G2736" t="s">
        <v>14672</v>
      </c>
      <c r="H2736" t="s">
        <v>13869</v>
      </c>
      <c r="I2736" t="s">
        <v>14690</v>
      </c>
      <c r="J2736" s="62">
        <v>0</v>
      </c>
      <c r="K2736" s="62">
        <v>5000</v>
      </c>
      <c r="L2736" t="str">
        <f>VLOOKUP(VALUE(LEFT(C2736,5)),Xref!A:B,2,0)</f>
        <v>aka</v>
      </c>
      <c r="M2736" t="str">
        <f t="shared" si="171"/>
        <v>aka-LPI</v>
      </c>
    </row>
    <row r="2737" spans="1:13" ht="14.25" customHeight="true">
      <c r="A2737" s="33" t="str">
        <f t="shared" si="168"/>
        <v>LPI - Intercompany</v>
      </c>
      <c r="B2737" s="33" t="str">
        <f t="shared" si="169"/>
        <v>LPI</v>
      </c>
      <c r="C2737" s="33" t="str">
        <f t="shared" si="170"/>
        <v>12403-0000</v>
      </c>
      <c r="D2737" t="s">
        <v>23575</v>
      </c>
      <c r="E2737" t="s">
        <v>5226</v>
      </c>
      <c r="F2737" t="s">
        <v>14039</v>
      </c>
      <c r="G2737" t="s">
        <v>14672</v>
      </c>
      <c r="H2737" t="s">
        <v>13869</v>
      </c>
      <c r="I2737" t="s">
        <v>14690</v>
      </c>
      <c r="J2737" s="62">
        <v>0</v>
      </c>
      <c r="K2737" s="62">
        <v>0</v>
      </c>
      <c r="L2737" t="str">
        <f>VLOOKUP(VALUE(LEFT(C2737,5)),Xref!A:B,2,0)</f>
        <v>aka</v>
      </c>
      <c r="M2737" t="str">
        <f t="shared" si="171"/>
        <v>aka-LPI</v>
      </c>
    </row>
    <row r="2738" spans="1:13" ht="14.25" customHeight="true">
      <c r="A2738" s="33" t="str">
        <f t="shared" si="168"/>
        <v>LPI - Intercompany</v>
      </c>
      <c r="B2738" s="33" t="str">
        <f t="shared" si="169"/>
        <v>LPI</v>
      </c>
      <c r="C2738" s="33" t="str">
        <f t="shared" si="170"/>
        <v>12501-0000</v>
      </c>
      <c r="D2738" t="s">
        <v>23576</v>
      </c>
      <c r="E2738" t="s">
        <v>14192</v>
      </c>
      <c r="F2738" t="s">
        <v>14039</v>
      </c>
      <c r="G2738" t="s">
        <v>14672</v>
      </c>
      <c r="H2738" t="s">
        <v>13869</v>
      </c>
      <c r="I2738" t="s">
        <v>14690</v>
      </c>
      <c r="J2738" s="62">
        <v>0</v>
      </c>
      <c r="K2738" s="62">
        <v>0</v>
      </c>
      <c r="L2738" t="str">
        <f>VLOOKUP(VALUE(LEFT(C2738,5)),Xref!A:B,2,0)</f>
        <v>aka</v>
      </c>
      <c r="M2738" t="str">
        <f t="shared" si="171"/>
        <v>aka-LPI</v>
      </c>
    </row>
    <row r="2739" spans="1:13" ht="14.25" customHeight="true">
      <c r="A2739" s="33" t="str">
        <f t="shared" si="168"/>
        <v>LPI - InterCo Notes</v>
      </c>
      <c r="B2739" s="33" t="str">
        <f t="shared" si="169"/>
        <v>LPI</v>
      </c>
      <c r="C2739" s="33" t="str">
        <f t="shared" si="170"/>
        <v>25600-0000</v>
      </c>
      <c r="D2739" t="s">
        <v>23629</v>
      </c>
      <c r="E2739" t="s">
        <v>314</v>
      </c>
      <c r="F2739" t="s">
        <v>14039</v>
      </c>
      <c r="G2739" t="s">
        <v>14672</v>
      </c>
      <c r="H2739" t="s">
        <v>13889</v>
      </c>
      <c r="I2739" t="s">
        <v>14690</v>
      </c>
      <c r="J2739" s="62">
        <v>0</v>
      </c>
      <c r="K2739" s="62">
        <v>0</v>
      </c>
      <c r="L2739" t="str">
        <f>VLOOKUP(VALUE(LEFT(C2739,5)),Xref!A:B,2,0)</f>
        <v>D7</v>
      </c>
      <c r="M2739" t="str">
        <f t="shared" si="171"/>
        <v>D7-LPI</v>
      </c>
    </row>
    <row r="2740" spans="1:13" ht="14.25" customHeight="true">
      <c r="A2740" s="33" t="str">
        <f t="shared" si="168"/>
        <v>LPI - InterCo Notes</v>
      </c>
      <c r="B2740" s="33" t="str">
        <f t="shared" si="169"/>
        <v>LPI</v>
      </c>
      <c r="C2740" s="33" t="str">
        <f t="shared" si="170"/>
        <v>25602-0000</v>
      </c>
      <c r="D2740" t="s">
        <v>23631</v>
      </c>
      <c r="E2740" t="s">
        <v>13426</v>
      </c>
      <c r="F2740" t="s">
        <v>14039</v>
      </c>
      <c r="G2740" t="s">
        <v>14672</v>
      </c>
      <c r="H2740" t="s">
        <v>13889</v>
      </c>
      <c r="I2740" t="s">
        <v>14690</v>
      </c>
      <c r="J2740" s="62">
        <v>0</v>
      </c>
      <c r="K2740" s="62">
        <v>0</v>
      </c>
      <c r="L2740" t="str">
        <f>VLOOKUP(VALUE(LEFT(C2740,5)),Xref!A:B,2,0)</f>
        <v>DFLP</v>
      </c>
      <c r="M2740" t="str">
        <f t="shared" si="171"/>
        <v>DFLP-LPI</v>
      </c>
    </row>
    <row r="2741" spans="1:13" ht="14.25" customHeight="true">
      <c r="A2741" s="33" t="str">
        <f t="shared" si="168"/>
        <v>LPI - InterCo Notes</v>
      </c>
      <c r="B2741" s="33" t="str">
        <f t="shared" si="169"/>
        <v>LPI</v>
      </c>
      <c r="C2741" s="33" t="str">
        <f t="shared" si="170"/>
        <v>25603-0000</v>
      </c>
      <c r="D2741" t="s">
        <v>23632</v>
      </c>
      <c r="E2741" t="s">
        <v>14311</v>
      </c>
      <c r="F2741" t="s">
        <v>14039</v>
      </c>
      <c r="G2741" t="s">
        <v>14832</v>
      </c>
      <c r="H2741" t="s">
        <v>13889</v>
      </c>
      <c r="I2741" t="s">
        <v>14690</v>
      </c>
      <c r="J2741" s="62">
        <v>0</v>
      </c>
      <c r="K2741" s="62">
        <v>0</v>
      </c>
      <c r="L2741" t="str">
        <f>VLOOKUP(VALUE(LEFT(C2741,5)),Xref!A:B,2,0)</f>
        <v>aka</v>
      </c>
      <c r="M2741" t="str">
        <f t="shared" si="171"/>
        <v>aka-LPI</v>
      </c>
    </row>
    <row r="2742" spans="1:13" ht="14.25" customHeight="true">
      <c r="A2742" s="33" t="str">
        <f t="shared" si="168"/>
        <v>LPI - Intercompany</v>
      </c>
      <c r="B2742" s="33" t="str">
        <f t="shared" si="169"/>
        <v>LPI</v>
      </c>
      <c r="C2742" s="33" t="str">
        <f t="shared" si="170"/>
        <v>25604-0000</v>
      </c>
      <c r="D2742" t="s">
        <v>23633</v>
      </c>
      <c r="E2742" t="s">
        <v>13490</v>
      </c>
      <c r="F2742" t="s">
        <v>14039</v>
      </c>
      <c r="G2742" t="s">
        <v>14672</v>
      </c>
      <c r="H2742" t="s">
        <v>13869</v>
      </c>
      <c r="I2742" t="s">
        <v>14690</v>
      </c>
      <c r="J2742" s="62">
        <v>0</v>
      </c>
      <c r="K2742" s="62">
        <v>0</v>
      </c>
      <c r="L2742">
        <f>VLOOKUP(VALUE(LEFT(C2742,5)),Xref!A:B,2,0)</f>
        <v>0</v>
      </c>
      <c r="M2742" t="str">
        <f t="shared" si="171"/>
        <v>0-LPI</v>
      </c>
    </row>
    <row r="2743" spans="1:13" ht="14.25" customHeight="true">
      <c r="A2743" s="33" t="str">
        <f t="shared" si="168"/>
        <v>LPI - Intercompany</v>
      </c>
      <c r="B2743" s="33" t="str">
        <f t="shared" si="169"/>
        <v>LPI</v>
      </c>
      <c r="C2743" s="33" t="str">
        <f t="shared" si="170"/>
        <v>11200-0000</v>
      </c>
      <c r="D2743" t="s">
        <v>23836</v>
      </c>
      <c r="E2743" t="s">
        <v>14069</v>
      </c>
      <c r="F2743" t="s">
        <v>14039</v>
      </c>
      <c r="G2743" t="s">
        <v>14672</v>
      </c>
      <c r="H2743" t="s">
        <v>13869</v>
      </c>
      <c r="I2743" t="s">
        <v>14690</v>
      </c>
      <c r="J2743" s="62">
        <v>0</v>
      </c>
      <c r="K2743" s="62">
        <v>0</v>
      </c>
      <c r="L2743" t="str">
        <f>VLOOKUP(VALUE(LEFT(C2743,5)),Xref!A:B,2,0)</f>
        <v>SCL</v>
      </c>
      <c r="M2743" t="str">
        <f t="shared" si="171"/>
        <v>LPI-SCL</v>
      </c>
    </row>
    <row r="2744" spans="1:13" ht="14.25" customHeight="true">
      <c r="A2744" s="33" t="str">
        <f t="shared" si="168"/>
        <v>LPI - Intercompany</v>
      </c>
      <c r="B2744" s="33" t="str">
        <f t="shared" si="169"/>
        <v>LPI</v>
      </c>
      <c r="C2744" s="33" t="str">
        <f t="shared" si="170"/>
        <v>11201-0000</v>
      </c>
      <c r="D2744" t="s">
        <v>23837</v>
      </c>
      <c r="E2744" t="s">
        <v>14071</v>
      </c>
      <c r="F2744" t="s">
        <v>14039</v>
      </c>
      <c r="G2744" t="s">
        <v>14672</v>
      </c>
      <c r="H2744" t="s">
        <v>13869</v>
      </c>
      <c r="I2744" t="s">
        <v>14690</v>
      </c>
      <c r="J2744" s="62">
        <v>0</v>
      </c>
      <c r="K2744" s="62">
        <v>0</v>
      </c>
      <c r="L2744" t="str">
        <f>VLOOKUP(VALUE(LEFT(C2744,5)),Xref!A:B,2,0)</f>
        <v>SG2</v>
      </c>
      <c r="M2744" t="str">
        <f t="shared" si="171"/>
        <v>LPI-SG2</v>
      </c>
    </row>
    <row r="2745" spans="1:13" ht="14.25" customHeight="true">
      <c r="A2745" s="33" t="str">
        <f t="shared" si="168"/>
        <v>LPI - Intercompany</v>
      </c>
      <c r="B2745" s="33" t="str">
        <f t="shared" si="169"/>
        <v>LPI</v>
      </c>
      <c r="C2745" s="33" t="str">
        <f t="shared" si="170"/>
        <v>11202-0000</v>
      </c>
      <c r="D2745" t="s">
        <v>23838</v>
      </c>
      <c r="E2745" t="s">
        <v>14073</v>
      </c>
      <c r="F2745" t="s">
        <v>14039</v>
      </c>
      <c r="G2745" t="s">
        <v>14672</v>
      </c>
      <c r="H2745" t="s">
        <v>13869</v>
      </c>
      <c r="I2745" t="s">
        <v>14690</v>
      </c>
      <c r="J2745" s="62">
        <v>0</v>
      </c>
      <c r="K2745" s="62">
        <v>0</v>
      </c>
      <c r="L2745" t="str">
        <f>VLOOKUP(VALUE(LEFT(C2745,5)),Xref!A:B,2,0)</f>
        <v>FFC</v>
      </c>
      <c r="M2745" t="str">
        <f t="shared" si="171"/>
        <v>FFC-LPI</v>
      </c>
    </row>
    <row r="2746" spans="1:13" ht="14.25" customHeight="true">
      <c r="A2746" s="33" t="str">
        <f t="shared" si="168"/>
        <v>LPI - Intercompany</v>
      </c>
      <c r="B2746" s="33" t="str">
        <f t="shared" si="169"/>
        <v>LPI</v>
      </c>
      <c r="C2746" s="33" t="str">
        <f t="shared" si="170"/>
        <v>11203-0000</v>
      </c>
      <c r="D2746" t="s">
        <v>23839</v>
      </c>
      <c r="E2746" t="s">
        <v>14075</v>
      </c>
      <c r="F2746" t="s">
        <v>14039</v>
      </c>
      <c r="G2746" t="s">
        <v>14672</v>
      </c>
      <c r="H2746" t="s">
        <v>13869</v>
      </c>
      <c r="I2746" t="s">
        <v>14690</v>
      </c>
      <c r="J2746" s="62">
        <v>0</v>
      </c>
      <c r="K2746" s="62">
        <v>0</v>
      </c>
      <c r="L2746" t="str">
        <f>VLOOKUP(VALUE(LEFT(C2746,5)),Xref!A:B,2,0)</f>
        <v>HN2</v>
      </c>
      <c r="M2746" t="str">
        <f t="shared" si="171"/>
        <v>HN2-LPI</v>
      </c>
    </row>
    <row r="2747" spans="1:13" ht="14.25" customHeight="true">
      <c r="A2747" s="33" t="str">
        <f t="shared" si="168"/>
        <v>LPI - Intercompany</v>
      </c>
      <c r="B2747" s="33" t="str">
        <f t="shared" si="169"/>
        <v>LPI</v>
      </c>
      <c r="C2747" s="33" t="str">
        <f t="shared" si="170"/>
        <v>11204-0000</v>
      </c>
      <c r="D2747" t="s">
        <v>23840</v>
      </c>
      <c r="E2747" t="s">
        <v>14077</v>
      </c>
      <c r="F2747" t="s">
        <v>14039</v>
      </c>
      <c r="G2747" t="s">
        <v>14672</v>
      </c>
      <c r="H2747" t="s">
        <v>13869</v>
      </c>
      <c r="I2747" t="s">
        <v>14690</v>
      </c>
      <c r="J2747" s="62">
        <v>0</v>
      </c>
      <c r="K2747" s="62">
        <v>0</v>
      </c>
      <c r="L2747" t="str">
        <f>VLOOKUP(VALUE(LEFT(C2747,5)),Xref!A:B,2,0)</f>
        <v>DF2</v>
      </c>
      <c r="M2747" t="str">
        <f t="shared" si="171"/>
        <v>DF2-LPI</v>
      </c>
    </row>
    <row r="2748" spans="1:13" ht="14.25" customHeight="true">
      <c r="A2748" s="33" t="str">
        <f t="shared" si="168"/>
        <v>LPI - Intercompany</v>
      </c>
      <c r="B2748" s="33" t="str">
        <f t="shared" si="169"/>
        <v>LPI</v>
      </c>
      <c r="C2748" s="33" t="str">
        <f t="shared" si="170"/>
        <v>11208-0000</v>
      </c>
      <c r="D2748" t="s">
        <v>23841</v>
      </c>
      <c r="E2748" t="s">
        <v>14079</v>
      </c>
      <c r="F2748" t="s">
        <v>14039</v>
      </c>
      <c r="G2748" t="s">
        <v>14672</v>
      </c>
      <c r="H2748" t="s">
        <v>13869</v>
      </c>
      <c r="I2748" t="s">
        <v>14690</v>
      </c>
      <c r="J2748" s="62">
        <v>0</v>
      </c>
      <c r="K2748" s="62">
        <v>0</v>
      </c>
      <c r="L2748" t="str">
        <f>VLOOKUP(VALUE(LEFT(C2748,5)),Xref!A:B,2,0)</f>
        <v>SRE</v>
      </c>
      <c r="M2748" t="str">
        <f t="shared" si="171"/>
        <v>LPI-SRE</v>
      </c>
    </row>
    <row r="2749" spans="1:13" ht="14.25" customHeight="true">
      <c r="A2749" s="33" t="str">
        <f t="shared" si="168"/>
        <v>LPI - Intercompany</v>
      </c>
      <c r="B2749" s="33" t="str">
        <f t="shared" si="169"/>
        <v>LPI</v>
      </c>
      <c r="C2749" s="33" t="str">
        <f t="shared" si="170"/>
        <v>11210-0000</v>
      </c>
      <c r="D2749" t="s">
        <v>23842</v>
      </c>
      <c r="E2749" t="s">
        <v>14081</v>
      </c>
      <c r="F2749" t="s">
        <v>14039</v>
      </c>
      <c r="G2749" t="s">
        <v>14672</v>
      </c>
      <c r="H2749" t="s">
        <v>13869</v>
      </c>
      <c r="I2749" t="s">
        <v>14690</v>
      </c>
      <c r="J2749" s="62">
        <v>0</v>
      </c>
      <c r="K2749" s="62">
        <v>0</v>
      </c>
      <c r="L2749" t="str">
        <f>VLOOKUP(VALUE(LEFT(C2749,5)),Xref!A:B,2,0)</f>
        <v>REM</v>
      </c>
      <c r="M2749" t="str">
        <f t="shared" si="171"/>
        <v>LPI-REM</v>
      </c>
    </row>
    <row r="2750" spans="1:13" ht="14.25" customHeight="true">
      <c r="A2750" s="33" t="str">
        <f t="shared" si="168"/>
        <v>LPI - Intercompany</v>
      </c>
      <c r="B2750" s="33" t="str">
        <f t="shared" si="169"/>
        <v>LPI</v>
      </c>
      <c r="C2750" s="33" t="str">
        <f t="shared" si="170"/>
        <v>11212-0000</v>
      </c>
      <c r="D2750" t="s">
        <v>23843</v>
      </c>
      <c r="E2750" t="s">
        <v>14083</v>
      </c>
      <c r="F2750" t="s">
        <v>14039</v>
      </c>
      <c r="G2750" t="s">
        <v>14672</v>
      </c>
      <c r="H2750" t="s">
        <v>13869</v>
      </c>
      <c r="I2750" t="s">
        <v>14690</v>
      </c>
      <c r="J2750" s="62">
        <v>0</v>
      </c>
      <c r="K2750" s="62">
        <v>0</v>
      </c>
      <c r="L2750" t="str">
        <f>VLOOKUP(VALUE(LEFT(C2750,5)),Xref!A:B,2,0)</f>
        <v>FRM</v>
      </c>
      <c r="M2750" t="str">
        <f t="shared" si="171"/>
        <v>FRM-LPI</v>
      </c>
    </row>
    <row r="2751" spans="1:13" ht="14.25" customHeight="true">
      <c r="A2751" s="33" t="str">
        <f t="shared" si="168"/>
        <v>LPI - Intercompany</v>
      </c>
      <c r="B2751" s="33" t="str">
        <f t="shared" si="169"/>
        <v>LPI</v>
      </c>
      <c r="C2751" s="33" t="str">
        <f t="shared" si="170"/>
        <v>11214-0000</v>
      </c>
      <c r="D2751" t="s">
        <v>23844</v>
      </c>
      <c r="E2751" t="s">
        <v>14085</v>
      </c>
      <c r="F2751" t="s">
        <v>14039</v>
      </c>
      <c r="G2751" t="s">
        <v>14672</v>
      </c>
      <c r="H2751" t="s">
        <v>13869</v>
      </c>
      <c r="I2751" t="s">
        <v>14690</v>
      </c>
      <c r="J2751" s="62">
        <v>0</v>
      </c>
      <c r="K2751" s="62">
        <v>-50000</v>
      </c>
      <c r="L2751" t="str">
        <f>VLOOKUP(VALUE(LEFT(C2751,5)),Xref!A:B,2,0)</f>
        <v>D7R</v>
      </c>
      <c r="M2751" t="str">
        <f t="shared" si="171"/>
        <v>D7R-LPI</v>
      </c>
    </row>
    <row r="2752" spans="1:13" ht="14.25" customHeight="true">
      <c r="A2752" s="33" t="str">
        <f t="shared" si="168"/>
        <v>LPI - Intercompany</v>
      </c>
      <c r="B2752" s="33" t="str">
        <f t="shared" si="169"/>
        <v>LPI</v>
      </c>
      <c r="C2752" s="33" t="str">
        <f t="shared" si="170"/>
        <v>11215-0000</v>
      </c>
      <c r="D2752" t="s">
        <v>23845</v>
      </c>
      <c r="E2752" t="s">
        <v>14087</v>
      </c>
      <c r="F2752" t="s">
        <v>14039</v>
      </c>
      <c r="G2752" t="s">
        <v>14672</v>
      </c>
      <c r="H2752" t="s">
        <v>13869</v>
      </c>
      <c r="I2752" t="s">
        <v>14690</v>
      </c>
      <c r="J2752" s="62">
        <v>0</v>
      </c>
      <c r="K2752" s="62">
        <v>0</v>
      </c>
      <c r="L2752" t="str">
        <f>VLOOKUP(VALUE(LEFT(C2752,5)),Xref!A:B,2,0)</f>
        <v>CDP</v>
      </c>
      <c r="M2752" t="str">
        <f t="shared" si="171"/>
        <v>CDP-LPI</v>
      </c>
    </row>
    <row r="2753" spans="1:13" ht="14.25" customHeight="true">
      <c r="A2753" s="33" t="str">
        <f t="shared" si="168"/>
        <v>LPI - Intercompany</v>
      </c>
      <c r="B2753" s="33" t="str">
        <f t="shared" si="169"/>
        <v>LPI</v>
      </c>
      <c r="C2753" s="33" t="str">
        <f t="shared" si="170"/>
        <v>11216-0000</v>
      </c>
      <c r="D2753" t="s">
        <v>23846</v>
      </c>
      <c r="E2753" t="s">
        <v>13224</v>
      </c>
      <c r="F2753" t="s">
        <v>14039</v>
      </c>
      <c r="G2753" t="s">
        <v>14672</v>
      </c>
      <c r="H2753" t="s">
        <v>13869</v>
      </c>
      <c r="I2753" t="s">
        <v>14690</v>
      </c>
      <c r="J2753" s="62">
        <v>115.68</v>
      </c>
      <c r="K2753" s="62">
        <v>-13127.19</v>
      </c>
      <c r="L2753" t="str">
        <f>VLOOKUP(VALUE(LEFT(C2753,5)),Xref!A:B,2,0)</f>
        <v>SIL</v>
      </c>
      <c r="M2753" t="str">
        <f t="shared" si="171"/>
        <v>LPI-SIL</v>
      </c>
    </row>
    <row r="2754" spans="1:13" ht="14.25" customHeight="true">
      <c r="A2754" s="33" t="str">
        <f t="shared" ref="A2754:A2817" si="172">B2754&amp;" - "&amp;TRIM(H2754)</f>
        <v>LPI - Intercompany</v>
      </c>
      <c r="B2754" s="33" t="str">
        <f t="shared" ref="B2754:B2817" si="173">LEFT(D2754,3)</f>
        <v>LPI</v>
      </c>
      <c r="C2754" s="33" t="str">
        <f t="shared" ref="C2754:C2817" si="174">RIGHT(D2754,10)</f>
        <v>11232-0000</v>
      </c>
      <c r="D2754" t="s">
        <v>23847</v>
      </c>
      <c r="E2754" t="s">
        <v>12486</v>
      </c>
      <c r="F2754" t="s">
        <v>14039</v>
      </c>
      <c r="G2754" t="s">
        <v>14672</v>
      </c>
      <c r="H2754" t="s">
        <v>13869</v>
      </c>
      <c r="I2754" t="s">
        <v>14690</v>
      </c>
      <c r="J2754" s="62">
        <v>0</v>
      </c>
      <c r="K2754" s="62">
        <v>0</v>
      </c>
      <c r="L2754" t="str">
        <f>VLOOKUP(VALUE(LEFT(C2754,5)),Xref!A:B,2,0)</f>
        <v>SC2</v>
      </c>
      <c r="M2754" t="str">
        <f t="shared" ref="M2754:M2817" si="175">IF(B2754&lt;L2754,B2754&amp;"-"&amp;L2754,L2754&amp;"-"&amp;B2754)</f>
        <v>LPI-SC2</v>
      </c>
    </row>
    <row r="2755" spans="1:13" ht="14.25" customHeight="true">
      <c r="A2755" s="33" t="str">
        <f t="shared" si="172"/>
        <v>LPI - Intercompany</v>
      </c>
      <c r="B2755" s="33" t="str">
        <f t="shared" si="173"/>
        <v>LPI</v>
      </c>
      <c r="C2755" s="33" t="str">
        <f t="shared" si="174"/>
        <v>11301-0000</v>
      </c>
      <c r="D2755" t="s">
        <v>23848</v>
      </c>
      <c r="E2755" t="s">
        <v>13225</v>
      </c>
      <c r="F2755" t="s">
        <v>14039</v>
      </c>
      <c r="G2755" t="s">
        <v>14672</v>
      </c>
      <c r="H2755" t="s">
        <v>13869</v>
      </c>
      <c r="I2755" t="s">
        <v>14690</v>
      </c>
      <c r="J2755" s="62">
        <v>0</v>
      </c>
      <c r="K2755" s="62">
        <v>0</v>
      </c>
      <c r="L2755" t="str">
        <f>VLOOKUP(VALUE(LEFT(C2755,5)),Xref!A:B,2,0)</f>
        <v>CRE</v>
      </c>
      <c r="M2755" t="str">
        <f t="shared" si="175"/>
        <v>CRE-LPI</v>
      </c>
    </row>
    <row r="2756" spans="1:13" ht="14.25" customHeight="true">
      <c r="A2756" s="33" t="str">
        <f t="shared" si="172"/>
        <v>LPI - Intercompany</v>
      </c>
      <c r="B2756" s="33" t="str">
        <f t="shared" si="173"/>
        <v>LPI</v>
      </c>
      <c r="C2756" s="33" t="str">
        <f t="shared" si="174"/>
        <v>11302-0000</v>
      </c>
      <c r="D2756" t="s">
        <v>23849</v>
      </c>
      <c r="E2756" t="s">
        <v>13226</v>
      </c>
      <c r="F2756" t="s">
        <v>14039</v>
      </c>
      <c r="G2756" t="s">
        <v>14672</v>
      </c>
      <c r="H2756" t="s">
        <v>13869</v>
      </c>
      <c r="I2756" t="s">
        <v>14690</v>
      </c>
      <c r="J2756" s="62">
        <v>0</v>
      </c>
      <c r="K2756" s="62">
        <v>0</v>
      </c>
      <c r="L2756" t="str">
        <f>VLOOKUP(VALUE(LEFT(C2756,5)),Xref!A:B,2,0)</f>
        <v>CHA</v>
      </c>
      <c r="M2756" t="str">
        <f t="shared" si="175"/>
        <v>CHA-LPI</v>
      </c>
    </row>
    <row r="2757" spans="1:13" ht="14.25" customHeight="true">
      <c r="A2757" s="33" t="str">
        <f t="shared" si="172"/>
        <v>LPI - Intercompany</v>
      </c>
      <c r="B2757" s="33" t="str">
        <f t="shared" si="173"/>
        <v>LPI</v>
      </c>
      <c r="C2757" s="33" t="str">
        <f t="shared" si="174"/>
        <v>11303-0000</v>
      </c>
      <c r="D2757" t="s">
        <v>23850</v>
      </c>
      <c r="E2757" t="s">
        <v>13227</v>
      </c>
      <c r="F2757" t="s">
        <v>14039</v>
      </c>
      <c r="G2757" t="s">
        <v>14672</v>
      </c>
      <c r="H2757" t="s">
        <v>13869</v>
      </c>
      <c r="I2757" t="s">
        <v>14690</v>
      </c>
      <c r="J2757" s="62">
        <v>0</v>
      </c>
      <c r="K2757" s="62">
        <v>0</v>
      </c>
      <c r="L2757" t="str">
        <f>VLOOKUP(VALUE(LEFT(C2757,5)),Xref!A:B,2,0)</f>
        <v>DIA</v>
      </c>
      <c r="M2757" t="str">
        <f t="shared" si="175"/>
        <v>DIA-LPI</v>
      </c>
    </row>
    <row r="2758" spans="1:13" ht="14.25" customHeight="true">
      <c r="A2758" s="33" t="str">
        <f t="shared" si="172"/>
        <v>LPI - Intercompany</v>
      </c>
      <c r="B2758" s="33" t="str">
        <f t="shared" si="173"/>
        <v>LPI</v>
      </c>
      <c r="C2758" s="33" t="str">
        <f t="shared" si="174"/>
        <v>11304-0000</v>
      </c>
      <c r="D2758" t="s">
        <v>23851</v>
      </c>
      <c r="E2758" t="s">
        <v>13228</v>
      </c>
      <c r="F2758" t="s">
        <v>14039</v>
      </c>
      <c r="G2758" t="s">
        <v>14672</v>
      </c>
      <c r="H2758" t="s">
        <v>13869</v>
      </c>
      <c r="I2758" t="s">
        <v>14690</v>
      </c>
      <c r="J2758" s="62">
        <v>0</v>
      </c>
      <c r="K2758" s="62">
        <v>0</v>
      </c>
      <c r="L2758" t="str">
        <f>VLOOKUP(VALUE(LEFT(C2758,5)),Xref!A:B,2,0)</f>
        <v>EAG</v>
      </c>
      <c r="M2758" t="str">
        <f t="shared" si="175"/>
        <v>EAG-LPI</v>
      </c>
    </row>
    <row r="2759" spans="1:13" ht="14.25" customHeight="true">
      <c r="A2759" s="33" t="str">
        <f t="shared" si="172"/>
        <v>LPI - Intercompany</v>
      </c>
      <c r="B2759" s="33" t="str">
        <f t="shared" si="173"/>
        <v>LPI</v>
      </c>
      <c r="C2759" s="33" t="str">
        <f t="shared" si="174"/>
        <v>11305-0000</v>
      </c>
      <c r="D2759" t="s">
        <v>23852</v>
      </c>
      <c r="E2759" t="s">
        <v>13229</v>
      </c>
      <c r="F2759" t="s">
        <v>14039</v>
      </c>
      <c r="G2759" t="s">
        <v>14672</v>
      </c>
      <c r="H2759" t="s">
        <v>13869</v>
      </c>
      <c r="I2759" t="s">
        <v>14690</v>
      </c>
      <c r="J2759" s="62">
        <v>0</v>
      </c>
      <c r="K2759" s="62">
        <v>0</v>
      </c>
      <c r="L2759" t="str">
        <f>VLOOKUP(VALUE(LEFT(C2759,5)),Xref!A:B,2,0)</f>
        <v>NEW</v>
      </c>
      <c r="M2759" t="str">
        <f t="shared" si="175"/>
        <v>LPI-NEW</v>
      </c>
    </row>
    <row r="2760" spans="1:13" ht="14.25" customHeight="true">
      <c r="A2760" s="33" t="str">
        <f t="shared" si="172"/>
        <v>LPI - Intercompany</v>
      </c>
      <c r="B2760" s="33" t="str">
        <f t="shared" si="173"/>
        <v>LPI</v>
      </c>
      <c r="C2760" s="33" t="str">
        <f t="shared" si="174"/>
        <v>11307-0000</v>
      </c>
      <c r="D2760" t="s">
        <v>23853</v>
      </c>
      <c r="E2760" t="s">
        <v>14096</v>
      </c>
      <c r="F2760" t="s">
        <v>14039</v>
      </c>
      <c r="G2760" t="s">
        <v>14672</v>
      </c>
      <c r="H2760" t="s">
        <v>13869</v>
      </c>
      <c r="I2760" t="s">
        <v>14690</v>
      </c>
      <c r="J2760" s="62">
        <v>0</v>
      </c>
      <c r="K2760" s="62">
        <v>0</v>
      </c>
      <c r="L2760" t="str">
        <f>VLOOKUP(VALUE(LEFT(C2760,5)),Xref!A:B,2,0)</f>
        <v>NES</v>
      </c>
      <c r="M2760" t="str">
        <f t="shared" si="175"/>
        <v>LPI-NES</v>
      </c>
    </row>
    <row r="2761" spans="1:13" ht="14.25" customHeight="true">
      <c r="A2761" s="33" t="str">
        <f t="shared" si="172"/>
        <v>LPI - Intercompany</v>
      </c>
      <c r="B2761" s="33" t="str">
        <f t="shared" si="173"/>
        <v>LPI</v>
      </c>
      <c r="C2761" s="33" t="str">
        <f t="shared" si="174"/>
        <v>11308-0000</v>
      </c>
      <c r="D2761" t="s">
        <v>23854</v>
      </c>
      <c r="E2761" t="s">
        <v>13476</v>
      </c>
      <c r="F2761" t="s">
        <v>14039</v>
      </c>
      <c r="G2761" t="s">
        <v>14672</v>
      </c>
      <c r="H2761" t="s">
        <v>13869</v>
      </c>
      <c r="I2761" t="s">
        <v>14690</v>
      </c>
      <c r="J2761" s="62">
        <v>0</v>
      </c>
      <c r="K2761" s="62">
        <v>0</v>
      </c>
      <c r="L2761" t="str">
        <f>VLOOKUP(VALUE(LEFT(C2761,5)),Xref!A:B,2,0)</f>
        <v>LPI</v>
      </c>
      <c r="M2761" t="str">
        <f t="shared" si="175"/>
        <v>LPI-LPI</v>
      </c>
    </row>
    <row r="2762" spans="1:13" ht="14.25" customHeight="true">
      <c r="A2762" s="33" t="str">
        <f t="shared" si="172"/>
        <v>LPI - Intercompany</v>
      </c>
      <c r="B2762" s="33" t="str">
        <f t="shared" si="173"/>
        <v>LPI</v>
      </c>
      <c r="C2762" s="33" t="str">
        <f t="shared" si="174"/>
        <v>11309-0000</v>
      </c>
      <c r="D2762" t="s">
        <v>23855</v>
      </c>
      <c r="E2762" t="s">
        <v>13230</v>
      </c>
      <c r="F2762" t="s">
        <v>14039</v>
      </c>
      <c r="G2762" t="s">
        <v>14672</v>
      </c>
      <c r="H2762" t="s">
        <v>13869</v>
      </c>
      <c r="I2762" t="s">
        <v>14690</v>
      </c>
      <c r="J2762" s="62">
        <v>0</v>
      </c>
      <c r="K2762" s="62">
        <v>-8000</v>
      </c>
      <c r="L2762" t="str">
        <f>VLOOKUP(VALUE(LEFT(C2762,5)),Xref!A:B,2,0)</f>
        <v>GPI</v>
      </c>
      <c r="M2762" t="str">
        <f t="shared" si="175"/>
        <v>GPI-LPI</v>
      </c>
    </row>
    <row r="2763" spans="1:13" ht="14.25" customHeight="true">
      <c r="A2763" s="33" t="str">
        <f t="shared" si="172"/>
        <v>LPI - Intercompany</v>
      </c>
      <c r="B2763" s="33" t="str">
        <f t="shared" si="173"/>
        <v>LPI</v>
      </c>
      <c r="C2763" s="33" t="str">
        <f t="shared" si="174"/>
        <v>11310-0000</v>
      </c>
      <c r="D2763" t="s">
        <v>23856</v>
      </c>
      <c r="E2763" t="s">
        <v>13231</v>
      </c>
      <c r="F2763" t="s">
        <v>14039</v>
      </c>
      <c r="G2763" t="s">
        <v>14672</v>
      </c>
      <c r="H2763" t="s">
        <v>13869</v>
      </c>
      <c r="I2763" t="s">
        <v>14690</v>
      </c>
      <c r="J2763" s="62">
        <v>0</v>
      </c>
      <c r="K2763" s="62">
        <v>0</v>
      </c>
      <c r="L2763" t="str">
        <f>VLOOKUP(VALUE(LEFT(C2763,5)),Xref!A:B,2,0)</f>
        <v>ALP</v>
      </c>
      <c r="M2763" t="str">
        <f t="shared" si="175"/>
        <v>ALP-LPI</v>
      </c>
    </row>
    <row r="2764" spans="1:13" ht="14.25" customHeight="true">
      <c r="A2764" s="33" t="str">
        <f t="shared" si="172"/>
        <v>LPI - Intercompany</v>
      </c>
      <c r="B2764" s="33" t="str">
        <f t="shared" si="173"/>
        <v>LPI</v>
      </c>
      <c r="C2764" s="33" t="str">
        <f t="shared" si="174"/>
        <v>11311-0000</v>
      </c>
      <c r="D2764" t="s">
        <v>23857</v>
      </c>
      <c r="E2764" t="s">
        <v>13232</v>
      </c>
      <c r="F2764" t="s">
        <v>14039</v>
      </c>
      <c r="G2764" t="s">
        <v>14672</v>
      </c>
      <c r="H2764" t="s">
        <v>13869</v>
      </c>
      <c r="I2764" t="s">
        <v>14690</v>
      </c>
      <c r="J2764" s="62">
        <v>0</v>
      </c>
      <c r="K2764" s="62">
        <v>-1000</v>
      </c>
      <c r="L2764" t="str">
        <f>VLOOKUP(VALUE(LEFT(C2764,5)),Xref!A:B,2,0)</f>
        <v>BET</v>
      </c>
      <c r="M2764" t="str">
        <f t="shared" si="175"/>
        <v>BET-LPI</v>
      </c>
    </row>
    <row r="2765" spans="1:13" ht="14.25" customHeight="true">
      <c r="A2765" s="33" t="str">
        <f t="shared" si="172"/>
        <v>LPI - Intercompany</v>
      </c>
      <c r="B2765" s="33" t="str">
        <f t="shared" si="173"/>
        <v>LPI</v>
      </c>
      <c r="C2765" s="33" t="str">
        <f t="shared" si="174"/>
        <v>11312-0000</v>
      </c>
      <c r="D2765" t="s">
        <v>23858</v>
      </c>
      <c r="E2765" t="s">
        <v>14102</v>
      </c>
      <c r="F2765" t="s">
        <v>14039</v>
      </c>
      <c r="G2765" t="s">
        <v>14672</v>
      </c>
      <c r="H2765" t="s">
        <v>13869</v>
      </c>
      <c r="I2765" t="s">
        <v>14690</v>
      </c>
      <c r="J2765" s="62">
        <v>0</v>
      </c>
      <c r="K2765" s="62">
        <v>0</v>
      </c>
      <c r="L2765" t="str">
        <f>VLOOKUP(VALUE(LEFT(C2765,5)),Xref!A:B,2,0)</f>
        <v>DEL</v>
      </c>
      <c r="M2765" t="str">
        <f t="shared" si="175"/>
        <v>DEL-LPI</v>
      </c>
    </row>
    <row r="2766" spans="1:13" ht="14.25" customHeight="true">
      <c r="A2766" s="33" t="str">
        <f t="shared" si="172"/>
        <v>LPI - Intercompany</v>
      </c>
      <c r="B2766" s="33" t="str">
        <f t="shared" si="173"/>
        <v>LPI</v>
      </c>
      <c r="C2766" s="33" t="str">
        <f t="shared" si="174"/>
        <v>11313-0000</v>
      </c>
      <c r="D2766" t="s">
        <v>23859</v>
      </c>
      <c r="E2766" t="s">
        <v>13233</v>
      </c>
      <c r="F2766" t="s">
        <v>14039</v>
      </c>
      <c r="G2766" t="s">
        <v>14672</v>
      </c>
      <c r="H2766" t="s">
        <v>13869</v>
      </c>
      <c r="I2766" t="s">
        <v>14690</v>
      </c>
      <c r="J2766" s="62">
        <v>0</v>
      </c>
      <c r="K2766" s="62">
        <v>0</v>
      </c>
      <c r="L2766" t="str">
        <f>VLOOKUP(VALUE(LEFT(C2766,5)),Xref!A:B,2,0)</f>
        <v>DOL</v>
      </c>
      <c r="M2766" t="str">
        <f t="shared" si="175"/>
        <v>DOL-LPI</v>
      </c>
    </row>
    <row r="2767" spans="1:13" ht="14.25" customHeight="true">
      <c r="A2767" s="33" t="str">
        <f t="shared" si="172"/>
        <v>LPI - Intercompany</v>
      </c>
      <c r="B2767" s="33" t="str">
        <f t="shared" si="173"/>
        <v>LPI</v>
      </c>
      <c r="C2767" s="33" t="str">
        <f t="shared" si="174"/>
        <v>11314-0000</v>
      </c>
      <c r="D2767" t="s">
        <v>23860</v>
      </c>
      <c r="E2767" t="s">
        <v>13351</v>
      </c>
      <c r="F2767" t="s">
        <v>14039</v>
      </c>
      <c r="G2767" t="s">
        <v>14672</v>
      </c>
      <c r="H2767" t="s">
        <v>13869</v>
      </c>
      <c r="I2767" t="s">
        <v>14690</v>
      </c>
      <c r="J2767" s="62">
        <v>0</v>
      </c>
      <c r="K2767" s="62">
        <v>0</v>
      </c>
      <c r="L2767" t="str">
        <f>VLOOKUP(VALUE(LEFT(C2767,5)),Xref!A:B,2,0)</f>
        <v>GRI</v>
      </c>
      <c r="M2767" t="str">
        <f t="shared" si="175"/>
        <v>GRI-LPI</v>
      </c>
    </row>
    <row r="2768" spans="1:13" ht="14.25" customHeight="true">
      <c r="A2768" s="33" t="str">
        <f t="shared" si="172"/>
        <v>LPI - Intercompany</v>
      </c>
      <c r="B2768" s="33" t="str">
        <f t="shared" si="173"/>
        <v>LPI</v>
      </c>
      <c r="C2768" s="33" t="str">
        <f t="shared" si="174"/>
        <v>11315-0000</v>
      </c>
      <c r="D2768" t="s">
        <v>23861</v>
      </c>
      <c r="E2768" t="s">
        <v>13234</v>
      </c>
      <c r="F2768" t="s">
        <v>14039</v>
      </c>
      <c r="G2768" t="s">
        <v>14672</v>
      </c>
      <c r="H2768" t="s">
        <v>13869</v>
      </c>
      <c r="I2768" t="s">
        <v>14690</v>
      </c>
      <c r="J2768" s="62">
        <v>0</v>
      </c>
      <c r="K2768" s="62">
        <v>0</v>
      </c>
      <c r="L2768" t="str">
        <f>VLOOKUP(VALUE(LEFT(C2768,5)),Xref!A:B,2,0)</f>
        <v>PUR</v>
      </c>
      <c r="M2768" t="str">
        <f t="shared" si="175"/>
        <v>LPI-PUR</v>
      </c>
    </row>
    <row r="2769" spans="1:13" ht="14.25" customHeight="true">
      <c r="A2769" s="33" t="str">
        <f t="shared" si="172"/>
        <v>LPI - Intercompany</v>
      </c>
      <c r="B2769" s="33" t="str">
        <f t="shared" si="173"/>
        <v>LPI</v>
      </c>
      <c r="C2769" s="33" t="str">
        <f t="shared" si="174"/>
        <v>11316-0000</v>
      </c>
      <c r="D2769" t="s">
        <v>23862</v>
      </c>
      <c r="E2769" t="s">
        <v>13235</v>
      </c>
      <c r="F2769" t="s">
        <v>14039</v>
      </c>
      <c r="G2769" t="s">
        <v>14672</v>
      </c>
      <c r="H2769" t="s">
        <v>13869</v>
      </c>
      <c r="I2769" t="s">
        <v>14690</v>
      </c>
      <c r="J2769" s="62">
        <v>0</v>
      </c>
      <c r="K2769" s="62">
        <v>0</v>
      </c>
      <c r="L2769" t="str">
        <f>VLOOKUP(VALUE(LEFT(C2769,5)),Xref!A:B,2,0)</f>
        <v>VAL</v>
      </c>
      <c r="M2769" t="str">
        <f t="shared" si="175"/>
        <v>LPI-VAL</v>
      </c>
    </row>
    <row r="2770" spans="1:13" ht="14.25" customHeight="true">
      <c r="A2770" s="33" t="str">
        <f t="shared" si="172"/>
        <v>LPI - Intercompany</v>
      </c>
      <c r="B2770" s="33" t="str">
        <f t="shared" si="173"/>
        <v>LPI</v>
      </c>
      <c r="C2770" s="33" t="str">
        <f t="shared" si="174"/>
        <v>11317-0000</v>
      </c>
      <c r="D2770" t="s">
        <v>23863</v>
      </c>
      <c r="E2770" t="s">
        <v>13352</v>
      </c>
      <c r="F2770" t="s">
        <v>14039</v>
      </c>
      <c r="G2770" t="s">
        <v>14672</v>
      </c>
      <c r="H2770" t="s">
        <v>13869</v>
      </c>
      <c r="I2770" t="s">
        <v>14690</v>
      </c>
      <c r="J2770" s="62">
        <v>0</v>
      </c>
      <c r="K2770" s="62">
        <v>0</v>
      </c>
      <c r="L2770" t="str">
        <f>VLOOKUP(VALUE(LEFT(C2770,5)),Xref!A:B,2,0)</f>
        <v>AKG</v>
      </c>
      <c r="M2770" t="str">
        <f t="shared" si="175"/>
        <v>AKG-LPI</v>
      </c>
    </row>
    <row r="2771" spans="1:13" ht="14.25" customHeight="true">
      <c r="A2771" s="33" t="str">
        <f t="shared" si="172"/>
        <v>LPI - Intercompany</v>
      </c>
      <c r="B2771" s="33" t="str">
        <f t="shared" si="173"/>
        <v>LPI</v>
      </c>
      <c r="C2771" s="33" t="str">
        <f t="shared" si="174"/>
        <v>11318-0000</v>
      </c>
      <c r="D2771" t="s">
        <v>23864</v>
      </c>
      <c r="E2771" t="s">
        <v>13477</v>
      </c>
      <c r="F2771" t="s">
        <v>14039</v>
      </c>
      <c r="G2771" t="s">
        <v>14672</v>
      </c>
      <c r="H2771" t="s">
        <v>13869</v>
      </c>
      <c r="I2771" t="s">
        <v>14690</v>
      </c>
      <c r="J2771" s="62">
        <v>0</v>
      </c>
      <c r="K2771" s="62">
        <v>0</v>
      </c>
      <c r="L2771" t="str">
        <f>VLOOKUP(VALUE(LEFT(C2771,5)),Xref!A:B,2,0)</f>
        <v>FIR</v>
      </c>
      <c r="M2771" t="str">
        <f t="shared" si="175"/>
        <v>FIR-LPI</v>
      </c>
    </row>
    <row r="2772" spans="1:13" ht="14.25" customHeight="true">
      <c r="A2772" s="33" t="str">
        <f t="shared" si="172"/>
        <v>LPI - Intercompany</v>
      </c>
      <c r="B2772" s="33" t="str">
        <f t="shared" si="173"/>
        <v>LPI</v>
      </c>
      <c r="C2772" s="33" t="str">
        <f t="shared" si="174"/>
        <v>11319-0000</v>
      </c>
      <c r="D2772" t="s">
        <v>23865</v>
      </c>
      <c r="E2772" t="s">
        <v>266</v>
      </c>
      <c r="F2772" t="s">
        <v>14039</v>
      </c>
      <c r="G2772" t="s">
        <v>14672</v>
      </c>
      <c r="H2772" t="s">
        <v>13869</v>
      </c>
      <c r="I2772" t="s">
        <v>14690</v>
      </c>
      <c r="J2772" s="62">
        <v>0</v>
      </c>
      <c r="K2772" s="62">
        <v>0</v>
      </c>
      <c r="L2772" t="str">
        <f>VLOOKUP(VALUE(LEFT(C2772,5)),Xref!A:B,2,0)</f>
        <v>GST</v>
      </c>
      <c r="M2772" t="str">
        <f t="shared" si="175"/>
        <v>GST-LPI</v>
      </c>
    </row>
    <row r="2773" spans="1:13" ht="14.25" customHeight="true">
      <c r="A2773" s="33" t="str">
        <f t="shared" si="172"/>
        <v>LPI - Intercompany</v>
      </c>
      <c r="B2773" s="33" t="str">
        <f t="shared" si="173"/>
        <v>LPI</v>
      </c>
      <c r="C2773" s="33" t="str">
        <f t="shared" si="174"/>
        <v>11320-0000</v>
      </c>
      <c r="D2773" t="s">
        <v>23866</v>
      </c>
      <c r="E2773" t="s">
        <v>14111</v>
      </c>
      <c r="F2773" t="s">
        <v>14039</v>
      </c>
      <c r="G2773" t="s">
        <v>14672</v>
      </c>
      <c r="H2773" t="s">
        <v>13869</v>
      </c>
      <c r="I2773" t="s">
        <v>14690</v>
      </c>
      <c r="J2773" s="62">
        <v>0</v>
      </c>
      <c r="K2773" s="62">
        <v>0</v>
      </c>
      <c r="L2773" t="str">
        <f>VLOOKUP(VALUE(LEFT(C2773,5)),Xref!A:B,2,0)</f>
        <v>HDN</v>
      </c>
      <c r="M2773" t="str">
        <f t="shared" si="175"/>
        <v>HDN-LPI</v>
      </c>
    </row>
    <row r="2774" spans="1:13" ht="14.25" customHeight="true">
      <c r="A2774" s="33" t="str">
        <f t="shared" si="172"/>
        <v>LPI - Intercompany</v>
      </c>
      <c r="B2774" s="33" t="str">
        <f t="shared" si="173"/>
        <v>LPI</v>
      </c>
      <c r="C2774" s="33" t="str">
        <f t="shared" si="174"/>
        <v>11321-0000</v>
      </c>
      <c r="D2774" t="s">
        <v>23867</v>
      </c>
      <c r="E2774" t="s">
        <v>13236</v>
      </c>
      <c r="F2774" t="s">
        <v>14039</v>
      </c>
      <c r="G2774" t="s">
        <v>14672</v>
      </c>
      <c r="H2774" t="s">
        <v>13869</v>
      </c>
      <c r="I2774" t="s">
        <v>14690</v>
      </c>
      <c r="J2774" s="62">
        <v>0</v>
      </c>
      <c r="K2774" s="62">
        <v>0</v>
      </c>
      <c r="L2774" t="str">
        <f>VLOOKUP(VALUE(LEFT(C2774,5)),Xref!A:B,2,0)</f>
        <v>OVA</v>
      </c>
      <c r="M2774" t="str">
        <f t="shared" si="175"/>
        <v>LPI-OVA</v>
      </c>
    </row>
    <row r="2775" spans="1:13" ht="14.25" customHeight="true">
      <c r="A2775" s="33" t="str">
        <f t="shared" si="172"/>
        <v>LPI - Intercompany</v>
      </c>
      <c r="B2775" s="33" t="str">
        <f t="shared" si="173"/>
        <v>LPI</v>
      </c>
      <c r="C2775" s="33" t="str">
        <f t="shared" si="174"/>
        <v>11322-0000</v>
      </c>
      <c r="D2775" t="s">
        <v>23868</v>
      </c>
      <c r="E2775" t="s">
        <v>13237</v>
      </c>
      <c r="F2775" t="s">
        <v>14039</v>
      </c>
      <c r="G2775" t="s">
        <v>14672</v>
      </c>
      <c r="H2775" t="s">
        <v>13869</v>
      </c>
      <c r="I2775" t="s">
        <v>14690</v>
      </c>
      <c r="J2775" s="62">
        <v>0</v>
      </c>
      <c r="K2775" s="62">
        <v>0</v>
      </c>
      <c r="L2775" t="str">
        <f>VLOOKUP(VALUE(LEFT(C2775,5)),Xref!A:B,2,0)</f>
        <v>WOO</v>
      </c>
      <c r="M2775" t="str">
        <f t="shared" si="175"/>
        <v>LPI-WOO</v>
      </c>
    </row>
    <row r="2776" spans="1:13" ht="14.25" customHeight="true">
      <c r="A2776" s="33" t="str">
        <f t="shared" si="172"/>
        <v>LPI - Intercompany</v>
      </c>
      <c r="B2776" s="33" t="str">
        <f t="shared" si="173"/>
        <v>LPI</v>
      </c>
      <c r="C2776" s="33" t="str">
        <f t="shared" si="174"/>
        <v>11323-0000</v>
      </c>
      <c r="D2776" t="s">
        <v>23869</v>
      </c>
      <c r="E2776" t="s">
        <v>13478</v>
      </c>
      <c r="F2776" t="s">
        <v>14039</v>
      </c>
      <c r="G2776" t="s">
        <v>14672</v>
      </c>
      <c r="H2776" t="s">
        <v>13869</v>
      </c>
      <c r="I2776" t="s">
        <v>14690</v>
      </c>
      <c r="J2776" s="62">
        <v>0</v>
      </c>
      <c r="K2776" s="62">
        <v>0</v>
      </c>
      <c r="L2776" t="str">
        <f>VLOOKUP(VALUE(LEFT(C2776,5)),Xref!A:B,2,0)</f>
        <v>SPI</v>
      </c>
      <c r="M2776" t="str">
        <f t="shared" si="175"/>
        <v>LPI-SPI</v>
      </c>
    </row>
    <row r="2777" spans="1:13" ht="14.25" customHeight="true">
      <c r="A2777" s="33" t="str">
        <f t="shared" si="172"/>
        <v>LPI - Intercompany</v>
      </c>
      <c r="B2777" s="33" t="str">
        <f t="shared" si="173"/>
        <v>LPI</v>
      </c>
      <c r="C2777" s="33" t="str">
        <f t="shared" si="174"/>
        <v>11324-0000</v>
      </c>
      <c r="D2777" t="s">
        <v>23870</v>
      </c>
      <c r="E2777" t="s">
        <v>13238</v>
      </c>
      <c r="F2777" t="s">
        <v>14039</v>
      </c>
      <c r="G2777" t="s">
        <v>14672</v>
      </c>
      <c r="H2777" t="s">
        <v>13869</v>
      </c>
      <c r="I2777" t="s">
        <v>14690</v>
      </c>
      <c r="J2777" s="62">
        <v>0</v>
      </c>
      <c r="K2777" s="62">
        <v>0</v>
      </c>
      <c r="L2777" t="str">
        <f>VLOOKUP(VALUE(LEFT(C2777,5)),Xref!A:B,2,0)</f>
        <v>NET</v>
      </c>
      <c r="M2777" t="str">
        <f t="shared" si="175"/>
        <v>LPI-NET</v>
      </c>
    </row>
    <row r="2778" spans="1:13" ht="14.25" customHeight="true">
      <c r="A2778" s="33" t="str">
        <f t="shared" si="172"/>
        <v>LPI - Intercompany</v>
      </c>
      <c r="B2778" s="33" t="str">
        <f t="shared" si="173"/>
        <v>LPI</v>
      </c>
      <c r="C2778" s="33" t="str">
        <f t="shared" si="174"/>
        <v>11325-0000</v>
      </c>
      <c r="D2778" t="s">
        <v>23871</v>
      </c>
      <c r="E2778" t="s">
        <v>13239</v>
      </c>
      <c r="F2778" t="s">
        <v>14039</v>
      </c>
      <c r="G2778" t="s">
        <v>14672</v>
      </c>
      <c r="H2778" t="s">
        <v>13869</v>
      </c>
      <c r="I2778" t="s">
        <v>14690</v>
      </c>
      <c r="J2778" s="62">
        <v>0</v>
      </c>
      <c r="K2778" s="62">
        <v>0</v>
      </c>
      <c r="L2778" t="str">
        <f>VLOOKUP(VALUE(LEFT(C2778,5)),Xref!A:B,2,0)</f>
        <v>DPI</v>
      </c>
      <c r="M2778" t="str">
        <f t="shared" si="175"/>
        <v>DPI-LPI</v>
      </c>
    </row>
    <row r="2779" spans="1:13" ht="14.25" customHeight="true">
      <c r="A2779" s="33" t="str">
        <f t="shared" si="172"/>
        <v>LPI - Intercompany</v>
      </c>
      <c r="B2779" s="33" t="str">
        <f t="shared" si="173"/>
        <v>LPI</v>
      </c>
      <c r="C2779" s="33" t="str">
        <f t="shared" si="174"/>
        <v>11326-0000</v>
      </c>
      <c r="D2779" t="s">
        <v>23872</v>
      </c>
      <c r="E2779" t="s">
        <v>13240</v>
      </c>
      <c r="F2779" t="s">
        <v>14039</v>
      </c>
      <c r="G2779" t="s">
        <v>14672</v>
      </c>
      <c r="H2779" t="s">
        <v>13869</v>
      </c>
      <c r="I2779" t="s">
        <v>14690</v>
      </c>
      <c r="J2779" s="62">
        <v>0</v>
      </c>
      <c r="K2779" s="62">
        <v>0</v>
      </c>
      <c r="L2779" t="str">
        <f>VLOOKUP(VALUE(LEFT(C2779,5)),Xref!A:B,2,0)</f>
        <v>SEK</v>
      </c>
      <c r="M2779" t="str">
        <f t="shared" si="175"/>
        <v>LPI-SEK</v>
      </c>
    </row>
    <row r="2780" spans="1:13" ht="14.25" customHeight="true">
      <c r="A2780" s="33" t="str">
        <f t="shared" si="172"/>
        <v>LPI - Intercompany</v>
      </c>
      <c r="B2780" s="33" t="str">
        <f t="shared" si="173"/>
        <v>LPI</v>
      </c>
      <c r="C2780" s="33" t="str">
        <f t="shared" si="174"/>
        <v>11327-0000</v>
      </c>
      <c r="D2780" t="s">
        <v>23873</v>
      </c>
      <c r="E2780" t="s">
        <v>14119</v>
      </c>
      <c r="F2780" t="s">
        <v>14039</v>
      </c>
      <c r="G2780" t="s">
        <v>14672</v>
      </c>
      <c r="H2780" t="s">
        <v>13869</v>
      </c>
      <c r="I2780" t="s">
        <v>14690</v>
      </c>
      <c r="J2780" s="62">
        <v>0</v>
      </c>
      <c r="K2780" s="62">
        <v>0</v>
      </c>
      <c r="L2780" t="str">
        <f>VLOOKUP(VALUE(LEFT(C2780,5)),Xref!A:B,2,0)</f>
        <v>CPI</v>
      </c>
      <c r="M2780" t="str">
        <f t="shared" si="175"/>
        <v>CPI-LPI</v>
      </c>
    </row>
    <row r="2781" spans="1:13" ht="14.25" customHeight="true">
      <c r="A2781" s="33" t="str">
        <f t="shared" si="172"/>
        <v>LPI - Intercompany</v>
      </c>
      <c r="B2781" s="33" t="str">
        <f t="shared" si="173"/>
        <v>LPI</v>
      </c>
      <c r="C2781" s="33" t="str">
        <f t="shared" si="174"/>
        <v>11328-0000</v>
      </c>
      <c r="D2781" t="s">
        <v>23874</v>
      </c>
      <c r="E2781" t="s">
        <v>13241</v>
      </c>
      <c r="F2781" t="s">
        <v>14039</v>
      </c>
      <c r="G2781" t="s">
        <v>14672</v>
      </c>
      <c r="H2781" t="s">
        <v>13869</v>
      </c>
      <c r="I2781" t="s">
        <v>14690</v>
      </c>
      <c r="J2781" s="62">
        <v>0</v>
      </c>
      <c r="K2781" s="62">
        <v>0</v>
      </c>
      <c r="L2781" t="str">
        <f>VLOOKUP(VALUE(LEFT(C2781,5)),Xref!A:B,2,0)</f>
        <v>LOM</v>
      </c>
      <c r="M2781" t="str">
        <f t="shared" si="175"/>
        <v>LOM-LPI</v>
      </c>
    </row>
    <row r="2782" spans="1:13" ht="14.25" customHeight="true">
      <c r="A2782" s="33" t="str">
        <f t="shared" si="172"/>
        <v>LPI - Intercompany</v>
      </c>
      <c r="B2782" s="33" t="str">
        <f t="shared" si="173"/>
        <v>LPI</v>
      </c>
      <c r="C2782" s="33" t="str">
        <f t="shared" si="174"/>
        <v>11329-0000</v>
      </c>
      <c r="D2782" t="s">
        <v>23875</v>
      </c>
      <c r="E2782" t="s">
        <v>13353</v>
      </c>
      <c r="F2782" t="s">
        <v>14039</v>
      </c>
      <c r="G2782" t="s">
        <v>14672</v>
      </c>
      <c r="H2782" t="s">
        <v>13869</v>
      </c>
      <c r="I2782" t="s">
        <v>14690</v>
      </c>
      <c r="J2782" s="62">
        <v>0</v>
      </c>
      <c r="K2782" s="62">
        <v>0</v>
      </c>
      <c r="L2782" t="str">
        <f>VLOOKUP(VALUE(LEFT(C2782,5)),Xref!A:B,2,0)</f>
        <v>AKS</v>
      </c>
      <c r="M2782" t="str">
        <f t="shared" si="175"/>
        <v>AKS-LPI</v>
      </c>
    </row>
    <row r="2783" spans="1:13" ht="14.25" customHeight="true">
      <c r="A2783" s="33" t="str">
        <f t="shared" si="172"/>
        <v>LPI - Intercompany</v>
      </c>
      <c r="B2783" s="33" t="str">
        <f t="shared" si="173"/>
        <v>LPI</v>
      </c>
      <c r="C2783" s="33" t="str">
        <f t="shared" si="174"/>
        <v>11330-0000</v>
      </c>
      <c r="D2783" t="s">
        <v>23876</v>
      </c>
      <c r="E2783" t="s">
        <v>13242</v>
      </c>
      <c r="F2783" t="s">
        <v>14039</v>
      </c>
      <c r="G2783" t="s">
        <v>14672</v>
      </c>
      <c r="H2783" t="s">
        <v>13869</v>
      </c>
      <c r="I2783" t="s">
        <v>14690</v>
      </c>
      <c r="J2783" s="62">
        <v>0</v>
      </c>
      <c r="K2783" s="62">
        <v>0</v>
      </c>
      <c r="L2783" t="str">
        <f>VLOOKUP(VALUE(LEFT(C2783,5)),Xref!A:B,2,0)</f>
        <v>MAR</v>
      </c>
      <c r="M2783" t="str">
        <f t="shared" si="175"/>
        <v>LPI-MAR</v>
      </c>
    </row>
    <row r="2784" spans="1:13" ht="14.25" customHeight="true">
      <c r="A2784" s="33" t="str">
        <f t="shared" si="172"/>
        <v>LPI - Intercompany</v>
      </c>
      <c r="B2784" s="33" t="str">
        <f t="shared" si="173"/>
        <v>LPI</v>
      </c>
      <c r="C2784" s="33" t="str">
        <f t="shared" si="174"/>
        <v>11331-0000</v>
      </c>
      <c r="D2784" t="s">
        <v>23877</v>
      </c>
      <c r="E2784" t="s">
        <v>13354</v>
      </c>
      <c r="F2784" t="s">
        <v>14039</v>
      </c>
      <c r="G2784" t="s">
        <v>14672</v>
      </c>
      <c r="H2784" t="s">
        <v>13869</v>
      </c>
      <c r="I2784" t="s">
        <v>14690</v>
      </c>
      <c r="J2784" s="62">
        <v>0</v>
      </c>
      <c r="K2784" s="62">
        <v>0</v>
      </c>
      <c r="L2784" t="str">
        <f>VLOOKUP(VALUE(LEFT(C2784,5)),Xref!A:B,2,0)</f>
        <v>WIL</v>
      </c>
      <c r="M2784" t="str">
        <f t="shared" si="175"/>
        <v>LPI-WIL</v>
      </c>
    </row>
    <row r="2785" spans="1:13" ht="14.25" customHeight="true">
      <c r="A2785" s="33" t="str">
        <f t="shared" si="172"/>
        <v>LPI - Intercompany</v>
      </c>
      <c r="B2785" s="33" t="str">
        <f t="shared" si="173"/>
        <v>LPI</v>
      </c>
      <c r="C2785" s="33" t="str">
        <f t="shared" si="174"/>
        <v>11332-0000</v>
      </c>
      <c r="D2785" t="s">
        <v>23878</v>
      </c>
      <c r="E2785" t="s">
        <v>13243</v>
      </c>
      <c r="F2785" t="s">
        <v>14039</v>
      </c>
      <c r="G2785" t="s">
        <v>14672</v>
      </c>
      <c r="H2785" t="s">
        <v>13869</v>
      </c>
      <c r="I2785" t="s">
        <v>14690</v>
      </c>
      <c r="J2785" s="62">
        <v>0</v>
      </c>
      <c r="K2785" s="62">
        <v>0</v>
      </c>
      <c r="L2785" t="str">
        <f>VLOOKUP(VALUE(LEFT(C2785,5)),Xref!A:B,2,0)</f>
        <v>STO</v>
      </c>
      <c r="M2785" t="str">
        <f t="shared" si="175"/>
        <v>LPI-STO</v>
      </c>
    </row>
    <row r="2786" spans="1:13" ht="14.25" customHeight="true">
      <c r="A2786" s="33" t="str">
        <f t="shared" si="172"/>
        <v>LPI - Intercompany</v>
      </c>
      <c r="B2786" s="33" t="str">
        <f t="shared" si="173"/>
        <v>LPI</v>
      </c>
      <c r="C2786" s="33" t="str">
        <f t="shared" si="174"/>
        <v>11333-0000</v>
      </c>
      <c r="D2786" t="s">
        <v>23879</v>
      </c>
      <c r="E2786" t="s">
        <v>13244</v>
      </c>
      <c r="F2786" t="s">
        <v>14039</v>
      </c>
      <c r="G2786" t="s">
        <v>14672</v>
      </c>
      <c r="H2786" t="s">
        <v>13869</v>
      </c>
      <c r="I2786" t="s">
        <v>14690</v>
      </c>
      <c r="J2786" s="62">
        <v>0</v>
      </c>
      <c r="K2786" s="62">
        <v>0</v>
      </c>
      <c r="L2786" t="str">
        <f>VLOOKUP(VALUE(LEFT(C2786,5)),Xref!A:B,2,0)</f>
        <v>ANG</v>
      </c>
      <c r="M2786" t="str">
        <f t="shared" si="175"/>
        <v>ANG-LPI</v>
      </c>
    </row>
    <row r="2787" spans="1:13" ht="14.25" customHeight="true">
      <c r="A2787" s="33" t="str">
        <f t="shared" si="172"/>
        <v>LPI - Intercompany</v>
      </c>
      <c r="B2787" s="33" t="str">
        <f t="shared" si="173"/>
        <v>LPI</v>
      </c>
      <c r="C2787" s="33" t="str">
        <f t="shared" si="174"/>
        <v>11334-0000</v>
      </c>
      <c r="D2787" t="s">
        <v>23880</v>
      </c>
      <c r="E2787" t="s">
        <v>13245</v>
      </c>
      <c r="F2787" t="s">
        <v>14039</v>
      </c>
      <c r="G2787" t="s">
        <v>14672</v>
      </c>
      <c r="H2787" t="s">
        <v>13869</v>
      </c>
      <c r="I2787" t="s">
        <v>14690</v>
      </c>
      <c r="J2787" s="62">
        <v>0</v>
      </c>
      <c r="K2787" s="62">
        <v>0</v>
      </c>
      <c r="L2787" t="str">
        <f>VLOOKUP(VALUE(LEFT(C2787,5)),Xref!A:B,2,0)</f>
        <v>BRU</v>
      </c>
      <c r="M2787" t="str">
        <f t="shared" si="175"/>
        <v>BRU-LPI</v>
      </c>
    </row>
    <row r="2788" spans="1:13" ht="14.25" customHeight="true">
      <c r="A2788" s="33" t="str">
        <f t="shared" si="172"/>
        <v>LPI - Intercompany</v>
      </c>
      <c r="B2788" s="33" t="str">
        <f t="shared" si="173"/>
        <v>LPI</v>
      </c>
      <c r="C2788" s="33" t="str">
        <f t="shared" si="174"/>
        <v>11335-0000</v>
      </c>
      <c r="D2788" t="s">
        <v>23881</v>
      </c>
      <c r="E2788" t="s">
        <v>13246</v>
      </c>
      <c r="F2788" t="s">
        <v>14039</v>
      </c>
      <c r="G2788" t="s">
        <v>14672</v>
      </c>
      <c r="H2788" t="s">
        <v>13869</v>
      </c>
      <c r="I2788" t="s">
        <v>14690</v>
      </c>
      <c r="J2788" s="62">
        <v>0</v>
      </c>
      <c r="K2788" s="62">
        <v>0</v>
      </c>
      <c r="L2788" t="str">
        <f>VLOOKUP(VALUE(LEFT(C2788,5)),Xref!A:B,2,0)</f>
        <v>VEN</v>
      </c>
      <c r="M2788" t="str">
        <f t="shared" si="175"/>
        <v>LPI-VEN</v>
      </c>
    </row>
    <row r="2789" spans="1:13" ht="14.25" customHeight="true">
      <c r="A2789" s="33" t="str">
        <f t="shared" si="172"/>
        <v>LPI - Intercompany</v>
      </c>
      <c r="B2789" s="33" t="str">
        <f t="shared" si="173"/>
        <v>LPI</v>
      </c>
      <c r="C2789" s="33" t="str">
        <f t="shared" si="174"/>
        <v>11336-0000</v>
      </c>
      <c r="D2789" t="s">
        <v>23882</v>
      </c>
      <c r="E2789" t="s">
        <v>13247</v>
      </c>
      <c r="F2789" t="s">
        <v>14039</v>
      </c>
      <c r="G2789" t="s">
        <v>14672</v>
      </c>
      <c r="H2789" t="s">
        <v>13869</v>
      </c>
      <c r="I2789" t="s">
        <v>14690</v>
      </c>
      <c r="J2789" s="62">
        <v>0</v>
      </c>
      <c r="K2789" s="62">
        <v>0</v>
      </c>
      <c r="L2789" t="str">
        <f>VLOOKUP(VALUE(LEFT(C2789,5)),Xref!A:B,2,0)</f>
        <v>SAT</v>
      </c>
      <c r="M2789" t="str">
        <f t="shared" si="175"/>
        <v>LPI-SAT</v>
      </c>
    </row>
    <row r="2790" spans="1:13" ht="14.25" customHeight="true">
      <c r="A2790" s="33" t="str">
        <f t="shared" si="172"/>
        <v>LPI - Intercompany</v>
      </c>
      <c r="B2790" s="33" t="str">
        <f t="shared" si="173"/>
        <v>LPI</v>
      </c>
      <c r="C2790" s="33" t="str">
        <f t="shared" si="174"/>
        <v>11337-0000</v>
      </c>
      <c r="D2790" t="s">
        <v>23883</v>
      </c>
      <c r="E2790" t="s">
        <v>13248</v>
      </c>
      <c r="F2790" t="s">
        <v>14039</v>
      </c>
      <c r="G2790" t="s">
        <v>14672</v>
      </c>
      <c r="H2790" t="s">
        <v>13869</v>
      </c>
      <c r="I2790" t="s">
        <v>14690</v>
      </c>
      <c r="J2790" s="62">
        <v>0</v>
      </c>
      <c r="K2790" s="62">
        <v>0</v>
      </c>
      <c r="L2790" t="str">
        <f>VLOOKUP(VALUE(LEFT(C2790,5)),Xref!A:B,2,0)</f>
        <v>NEP</v>
      </c>
      <c r="M2790" t="str">
        <f t="shared" si="175"/>
        <v>LPI-NEP</v>
      </c>
    </row>
    <row r="2791" spans="1:13" ht="14.25" customHeight="true">
      <c r="A2791" s="33" t="str">
        <f t="shared" si="172"/>
        <v>LPI - Intercompany</v>
      </c>
      <c r="B2791" s="33" t="str">
        <f t="shared" si="173"/>
        <v>LPI</v>
      </c>
      <c r="C2791" s="33" t="str">
        <f t="shared" si="174"/>
        <v>11338-0000</v>
      </c>
      <c r="D2791" t="s">
        <v>23884</v>
      </c>
      <c r="E2791" t="s">
        <v>14131</v>
      </c>
      <c r="F2791" t="s">
        <v>14039</v>
      </c>
      <c r="G2791" t="s">
        <v>14672</v>
      </c>
      <c r="H2791" t="s">
        <v>13869</v>
      </c>
      <c r="I2791" t="s">
        <v>14690</v>
      </c>
      <c r="J2791" s="62">
        <v>0</v>
      </c>
      <c r="K2791" s="62">
        <v>0</v>
      </c>
      <c r="L2791" t="str">
        <f>VLOOKUP(VALUE(LEFT(C2791,5)),Xref!A:B,2,0)</f>
        <v>JUP</v>
      </c>
      <c r="M2791" t="str">
        <f t="shared" si="175"/>
        <v>JUP-LPI</v>
      </c>
    </row>
    <row r="2792" spans="1:13" ht="14.25" customHeight="true">
      <c r="A2792" s="33" t="str">
        <f t="shared" si="172"/>
        <v>LPI - Intercompany</v>
      </c>
      <c r="B2792" s="33" t="str">
        <f t="shared" si="173"/>
        <v>LPI</v>
      </c>
      <c r="C2792" s="33" t="str">
        <f t="shared" si="174"/>
        <v>11339-0000</v>
      </c>
      <c r="D2792" t="s">
        <v>23885</v>
      </c>
      <c r="E2792" t="s">
        <v>14133</v>
      </c>
      <c r="F2792" t="s">
        <v>14039</v>
      </c>
      <c r="G2792" t="s">
        <v>14672</v>
      </c>
      <c r="H2792" t="s">
        <v>13869</v>
      </c>
      <c r="I2792" t="s">
        <v>14690</v>
      </c>
      <c r="J2792" s="62">
        <v>0</v>
      </c>
      <c r="K2792" s="62">
        <v>0</v>
      </c>
      <c r="L2792" t="str">
        <f>VLOOKUP(VALUE(LEFT(C2792,5)),Xref!A:B,2,0)</f>
        <v>WES</v>
      </c>
      <c r="M2792" t="str">
        <f t="shared" si="175"/>
        <v>LPI-WES</v>
      </c>
    </row>
    <row r="2793" spans="1:13" ht="14.25" customHeight="true">
      <c r="A2793" s="33" t="str">
        <f t="shared" si="172"/>
        <v>LPI - Intercompany</v>
      </c>
      <c r="B2793" s="33" t="str">
        <f t="shared" si="173"/>
        <v>LPI</v>
      </c>
      <c r="C2793" s="33" t="str">
        <f t="shared" si="174"/>
        <v>11340-0000</v>
      </c>
      <c r="D2793" t="s">
        <v>23886</v>
      </c>
      <c r="E2793" t="s">
        <v>14135</v>
      </c>
      <c r="F2793" t="s">
        <v>14039</v>
      </c>
      <c r="G2793" t="s">
        <v>14672</v>
      </c>
      <c r="H2793" t="s">
        <v>13869</v>
      </c>
      <c r="I2793" t="s">
        <v>14690</v>
      </c>
      <c r="J2793" s="62">
        <v>0</v>
      </c>
      <c r="K2793" s="62">
        <v>0</v>
      </c>
      <c r="L2793" t="str">
        <f>VLOOKUP(VALUE(LEFT(C2793,5)),Xref!A:B,2,0)</f>
        <v>LCP</v>
      </c>
      <c r="M2793" t="str">
        <f t="shared" si="175"/>
        <v>LCP-LPI</v>
      </c>
    </row>
    <row r="2794" spans="1:13" ht="14.25" customHeight="true">
      <c r="A2794" s="33" t="str">
        <f t="shared" si="172"/>
        <v>LPI - Intercompany</v>
      </c>
      <c r="B2794" s="33" t="str">
        <f t="shared" si="173"/>
        <v>LPI</v>
      </c>
      <c r="C2794" s="33" t="str">
        <f t="shared" si="174"/>
        <v>11341-0000</v>
      </c>
      <c r="D2794" t="s">
        <v>23887</v>
      </c>
      <c r="E2794" t="s">
        <v>13639</v>
      </c>
      <c r="F2794" t="s">
        <v>14039</v>
      </c>
      <c r="G2794" t="s">
        <v>14672</v>
      </c>
      <c r="H2794" t="s">
        <v>13869</v>
      </c>
      <c r="I2794" t="s">
        <v>14690</v>
      </c>
      <c r="J2794" s="62">
        <v>0</v>
      </c>
      <c r="K2794" s="62">
        <v>0</v>
      </c>
      <c r="L2794" t="str">
        <f>VLOOKUP(VALUE(LEFT(C2794,5)),Xref!A:B,2,0)</f>
        <v>NOR</v>
      </c>
      <c r="M2794" t="str">
        <f t="shared" si="175"/>
        <v>LPI-NOR</v>
      </c>
    </row>
    <row r="2795" spans="1:13" ht="14.25" customHeight="true">
      <c r="A2795" s="33" t="str">
        <f t="shared" si="172"/>
        <v>LPI - Intercompany</v>
      </c>
      <c r="B2795" s="33" t="str">
        <f t="shared" si="173"/>
        <v>LPI</v>
      </c>
      <c r="C2795" s="33" t="str">
        <f t="shared" si="174"/>
        <v>11342-0000</v>
      </c>
      <c r="D2795" t="s">
        <v>23888</v>
      </c>
      <c r="E2795" t="s">
        <v>13355</v>
      </c>
      <c r="F2795" t="s">
        <v>14039</v>
      </c>
      <c r="G2795" t="s">
        <v>14672</v>
      </c>
      <c r="H2795" t="s">
        <v>13869</v>
      </c>
      <c r="I2795" t="s">
        <v>14690</v>
      </c>
      <c r="J2795" s="62">
        <v>0</v>
      </c>
      <c r="K2795" s="62">
        <v>0</v>
      </c>
      <c r="L2795" t="str">
        <f>VLOOKUP(VALUE(LEFT(C2795,5)),Xref!A:B,2,0)</f>
        <v>EAS</v>
      </c>
      <c r="M2795" t="str">
        <f t="shared" si="175"/>
        <v>EAS-LPI</v>
      </c>
    </row>
    <row r="2796" spans="1:13" ht="14.25" customHeight="true">
      <c r="A2796" s="33" t="str">
        <f t="shared" si="172"/>
        <v>LPI - Intercompany</v>
      </c>
      <c r="B2796" s="33" t="str">
        <f t="shared" si="173"/>
        <v>LPI</v>
      </c>
      <c r="C2796" s="33" t="str">
        <f t="shared" si="174"/>
        <v>11343-0000</v>
      </c>
      <c r="D2796" t="s">
        <v>23889</v>
      </c>
      <c r="E2796" t="s">
        <v>14139</v>
      </c>
      <c r="F2796" t="s">
        <v>14039</v>
      </c>
      <c r="G2796" t="s">
        <v>14672</v>
      </c>
      <c r="H2796" t="s">
        <v>13869</v>
      </c>
      <c r="I2796" t="s">
        <v>14690</v>
      </c>
      <c r="J2796" s="62">
        <v>0</v>
      </c>
      <c r="K2796" s="62">
        <v>0</v>
      </c>
      <c r="L2796" t="str">
        <f>VLOOKUP(VALUE(LEFT(C2796,5)),Xref!A:B,2,0)</f>
        <v>GRA</v>
      </c>
      <c r="M2796" t="str">
        <f t="shared" si="175"/>
        <v>GRA-LPI</v>
      </c>
    </row>
    <row r="2797" spans="1:13" ht="14.25" customHeight="true">
      <c r="A2797" s="33" t="str">
        <f t="shared" si="172"/>
        <v>LPI - Intercompany</v>
      </c>
      <c r="B2797" s="33" t="str">
        <f t="shared" si="173"/>
        <v>LPI</v>
      </c>
      <c r="C2797" s="33" t="str">
        <f t="shared" si="174"/>
        <v>11344-0000</v>
      </c>
      <c r="D2797" t="s">
        <v>23890</v>
      </c>
      <c r="E2797" t="s">
        <v>14141</v>
      </c>
      <c r="F2797" t="s">
        <v>14039</v>
      </c>
      <c r="G2797" t="s">
        <v>14672</v>
      </c>
      <c r="H2797" t="s">
        <v>13869</v>
      </c>
      <c r="I2797" t="s">
        <v>14690</v>
      </c>
      <c r="J2797" s="62">
        <v>0</v>
      </c>
      <c r="K2797" s="62">
        <v>0</v>
      </c>
      <c r="L2797" t="str">
        <f>VLOOKUP(VALUE(LEFT(C2797,5)),Xref!A:B,2,0)</f>
        <v>SOU</v>
      </c>
      <c r="M2797" t="str">
        <f t="shared" si="175"/>
        <v>LPI-SOU</v>
      </c>
    </row>
    <row r="2798" spans="1:13" ht="14.25" customHeight="true">
      <c r="A2798" s="33" t="str">
        <f t="shared" si="172"/>
        <v>LPI - Intercompany</v>
      </c>
      <c r="B2798" s="33" t="str">
        <f t="shared" si="173"/>
        <v>LPI</v>
      </c>
      <c r="C2798" s="33" t="str">
        <f t="shared" si="174"/>
        <v>11345-0000</v>
      </c>
      <c r="D2798" t="s">
        <v>23891</v>
      </c>
      <c r="E2798" t="s">
        <v>14143</v>
      </c>
      <c r="F2798" t="s">
        <v>14039</v>
      </c>
      <c r="G2798" t="s">
        <v>14672</v>
      </c>
      <c r="H2798" t="s">
        <v>13869</v>
      </c>
      <c r="I2798" t="s">
        <v>14690</v>
      </c>
      <c r="J2798" s="62">
        <v>0</v>
      </c>
      <c r="K2798" s="62">
        <v>0</v>
      </c>
      <c r="L2798" t="str">
        <f>VLOOKUP(VALUE(LEFT(C2798,5)),Xref!A:B,2,0)</f>
        <v>API</v>
      </c>
      <c r="M2798" t="str">
        <f t="shared" si="175"/>
        <v>API-LPI</v>
      </c>
    </row>
    <row r="2799" spans="1:13" ht="14.25" customHeight="true">
      <c r="A2799" s="33" t="str">
        <f t="shared" si="172"/>
        <v>LPI - Intercompany</v>
      </c>
      <c r="B2799" s="33" t="str">
        <f t="shared" si="173"/>
        <v>LPI</v>
      </c>
      <c r="C2799" s="33" t="str">
        <f t="shared" si="174"/>
        <v>11346-0000</v>
      </c>
      <c r="D2799" t="s">
        <v>23892</v>
      </c>
      <c r="E2799" t="s">
        <v>14145</v>
      </c>
      <c r="F2799" t="s">
        <v>14039</v>
      </c>
      <c r="G2799" t="s">
        <v>14672</v>
      </c>
      <c r="H2799" t="s">
        <v>13869</v>
      </c>
      <c r="I2799" t="s">
        <v>14690</v>
      </c>
      <c r="J2799" s="62">
        <v>0</v>
      </c>
      <c r="K2799" s="62">
        <v>0</v>
      </c>
      <c r="L2799" t="str">
        <f>VLOOKUP(VALUE(LEFT(C2799,5)),Xref!A:B,2,0)</f>
        <v>DPH</v>
      </c>
      <c r="M2799" t="str">
        <f t="shared" si="175"/>
        <v>DPH-LPI</v>
      </c>
    </row>
    <row r="2800" spans="1:13" ht="14.25" customHeight="true">
      <c r="A2800" s="33" t="str">
        <f t="shared" si="172"/>
        <v>LPI - Intercompany</v>
      </c>
      <c r="B2800" s="33" t="str">
        <f t="shared" si="173"/>
        <v>LPI</v>
      </c>
      <c r="C2800" s="33" t="str">
        <f t="shared" si="174"/>
        <v>11347-0000</v>
      </c>
      <c r="D2800" t="s">
        <v>23893</v>
      </c>
      <c r="E2800" t="s">
        <v>14147</v>
      </c>
      <c r="F2800" t="s">
        <v>14039</v>
      </c>
      <c r="G2800" t="s">
        <v>14672</v>
      </c>
      <c r="H2800" t="s">
        <v>13869</v>
      </c>
      <c r="I2800" t="s">
        <v>14690</v>
      </c>
      <c r="J2800" s="62">
        <v>0</v>
      </c>
      <c r="K2800" s="62">
        <v>0</v>
      </c>
      <c r="L2800" t="str">
        <f>VLOOKUP(VALUE(LEFT(C2800,5)),Xref!A:B,2,0)</f>
        <v>ZPI</v>
      </c>
      <c r="M2800" t="str">
        <f t="shared" si="175"/>
        <v>LPI-ZPI</v>
      </c>
    </row>
    <row r="2801" spans="1:13" ht="14.25" customHeight="true">
      <c r="A2801" s="33" t="str">
        <f t="shared" si="172"/>
        <v>LPI - Intercompany</v>
      </c>
      <c r="B2801" s="33" t="str">
        <f t="shared" si="173"/>
        <v>LPI</v>
      </c>
      <c r="C2801" s="33" t="str">
        <f t="shared" si="174"/>
        <v>11348-0000</v>
      </c>
      <c r="D2801" t="s">
        <v>23894</v>
      </c>
      <c r="E2801" t="s">
        <v>14149</v>
      </c>
      <c r="F2801" t="s">
        <v>14039</v>
      </c>
      <c r="G2801" t="s">
        <v>14672</v>
      </c>
      <c r="H2801" t="s">
        <v>13869</v>
      </c>
      <c r="I2801" t="s">
        <v>14690</v>
      </c>
      <c r="J2801" s="62">
        <v>0</v>
      </c>
      <c r="K2801" s="62">
        <v>0</v>
      </c>
      <c r="L2801" t="str">
        <f>VLOOKUP(VALUE(LEFT(C2801,5)),Xref!A:B,2,0)</f>
        <v>EAM</v>
      </c>
      <c r="M2801" t="str">
        <f t="shared" si="175"/>
        <v>EAM-LPI</v>
      </c>
    </row>
    <row r="2802" spans="1:13" ht="14.25" customHeight="true">
      <c r="A2802" s="33" t="str">
        <f t="shared" si="172"/>
        <v>LPI - Intercompany</v>
      </c>
      <c r="B2802" s="33" t="str">
        <f t="shared" si="173"/>
        <v>LPI</v>
      </c>
      <c r="C2802" s="33" t="str">
        <f t="shared" si="174"/>
        <v>11349-0000</v>
      </c>
      <c r="D2802" t="s">
        <v>23895</v>
      </c>
      <c r="E2802" t="s">
        <v>14151</v>
      </c>
      <c r="F2802" t="s">
        <v>14039</v>
      </c>
      <c r="G2802" t="s">
        <v>14672</v>
      </c>
      <c r="H2802" t="s">
        <v>13869</v>
      </c>
      <c r="I2802" t="s">
        <v>14690</v>
      </c>
      <c r="J2802" s="62">
        <v>0</v>
      </c>
      <c r="K2802" s="62">
        <v>0</v>
      </c>
      <c r="L2802" t="str">
        <f>VLOOKUP(VALUE(LEFT(C2802,5)),Xref!A:B,2,0)</f>
        <v>SEA</v>
      </c>
      <c r="M2802" t="str">
        <f t="shared" si="175"/>
        <v>LPI-SEA</v>
      </c>
    </row>
    <row r="2803" spans="1:13" ht="14.25" customHeight="true">
      <c r="A2803" s="33" t="str">
        <f t="shared" si="172"/>
        <v>LPI - Intercompany</v>
      </c>
      <c r="B2803" s="33" t="str">
        <f t="shared" si="173"/>
        <v>LPI</v>
      </c>
      <c r="C2803" s="33" t="str">
        <f t="shared" si="174"/>
        <v>11350-0000</v>
      </c>
      <c r="D2803" t="s">
        <v>23896</v>
      </c>
      <c r="E2803" t="s">
        <v>14153</v>
      </c>
      <c r="F2803" t="s">
        <v>14039</v>
      </c>
      <c r="G2803" t="s">
        <v>14672</v>
      </c>
      <c r="H2803" t="s">
        <v>13869</v>
      </c>
      <c r="I2803" t="s">
        <v>14690</v>
      </c>
      <c r="J2803" s="62">
        <v>0</v>
      </c>
      <c r="K2803" s="62">
        <v>-0.51</v>
      </c>
      <c r="L2803" t="str">
        <f>VLOOKUP(VALUE(LEFT(C2803,5)),Xref!A:B,2,0)</f>
        <v>EAL</v>
      </c>
      <c r="M2803" t="str">
        <f t="shared" si="175"/>
        <v>EAL-LPI</v>
      </c>
    </row>
    <row r="2804" spans="1:13" ht="14.25" customHeight="true">
      <c r="A2804" s="33" t="str">
        <f t="shared" si="172"/>
        <v>LPI - Intercompany</v>
      </c>
      <c r="B2804" s="33" t="str">
        <f t="shared" si="173"/>
        <v>LPI</v>
      </c>
      <c r="C2804" s="33" t="str">
        <f t="shared" si="174"/>
        <v>11351-0000</v>
      </c>
      <c r="D2804" t="s">
        <v>23897</v>
      </c>
      <c r="E2804" t="s">
        <v>14155</v>
      </c>
      <c r="F2804" t="s">
        <v>14039</v>
      </c>
      <c r="G2804" t="s">
        <v>14672</v>
      </c>
      <c r="H2804" t="s">
        <v>13869</v>
      </c>
      <c r="I2804" t="s">
        <v>14690</v>
      </c>
      <c r="J2804" s="62">
        <v>0</v>
      </c>
      <c r="K2804" s="62">
        <v>0</v>
      </c>
      <c r="L2804" t="str">
        <f>VLOOKUP(VALUE(LEFT(C2804,5)),Xref!A:B,2,0)</f>
        <v>WEP</v>
      </c>
      <c r="M2804" t="str">
        <f t="shared" si="175"/>
        <v>LPI-WEP</v>
      </c>
    </row>
    <row r="2805" spans="1:13" ht="14.25" customHeight="true">
      <c r="A2805" s="33" t="str">
        <f t="shared" si="172"/>
        <v>LPI - Intercompany</v>
      </c>
      <c r="B2805" s="33" t="str">
        <f t="shared" si="173"/>
        <v>LPI</v>
      </c>
      <c r="C2805" s="33" t="str">
        <f t="shared" si="174"/>
        <v>11352-0000</v>
      </c>
      <c r="D2805" t="s">
        <v>23898</v>
      </c>
      <c r="E2805" t="s">
        <v>13536</v>
      </c>
      <c r="F2805" t="s">
        <v>14039</v>
      </c>
      <c r="G2805" t="s">
        <v>14672</v>
      </c>
      <c r="H2805" t="s">
        <v>13869</v>
      </c>
      <c r="I2805" t="s">
        <v>14690</v>
      </c>
      <c r="J2805" s="62">
        <v>0</v>
      </c>
      <c r="K2805" s="62">
        <v>0</v>
      </c>
      <c r="L2805" t="str">
        <f>VLOOKUP(VALUE(LEFT(C2805,5)),Xref!A:B,2,0)</f>
        <v>KLP</v>
      </c>
      <c r="M2805" t="str">
        <f t="shared" si="175"/>
        <v>KLP-LPI</v>
      </c>
    </row>
    <row r="2806" spans="1:13" ht="14.25" customHeight="true">
      <c r="A2806" s="33" t="str">
        <f t="shared" si="172"/>
        <v>LPI - Intercompany</v>
      </c>
      <c r="B2806" s="33" t="str">
        <f t="shared" si="173"/>
        <v>LPI</v>
      </c>
      <c r="C2806" s="33" t="str">
        <f t="shared" si="174"/>
        <v>11353-0000</v>
      </c>
      <c r="D2806" t="s">
        <v>23899</v>
      </c>
      <c r="E2806" t="s">
        <v>13537</v>
      </c>
      <c r="F2806" t="s">
        <v>14039</v>
      </c>
      <c r="G2806" t="s">
        <v>14672</v>
      </c>
      <c r="H2806" t="s">
        <v>13869</v>
      </c>
      <c r="I2806" t="s">
        <v>14690</v>
      </c>
      <c r="J2806" s="62">
        <v>0</v>
      </c>
      <c r="K2806" s="62">
        <v>0</v>
      </c>
      <c r="L2806" t="str">
        <f>VLOOKUP(VALUE(LEFT(C2806,5)),Xref!A:B,2,0)</f>
        <v>AKC</v>
      </c>
      <c r="M2806" t="str">
        <f t="shared" si="175"/>
        <v>AKC-LPI</v>
      </c>
    </row>
    <row r="2807" spans="1:13" ht="14.25" customHeight="true">
      <c r="A2807" s="33" t="str">
        <f t="shared" si="172"/>
        <v>LPI - Intercompany</v>
      </c>
      <c r="B2807" s="33" t="str">
        <f t="shared" si="173"/>
        <v>LPI</v>
      </c>
      <c r="C2807" s="33" t="str">
        <f t="shared" si="174"/>
        <v>11354-0000</v>
      </c>
      <c r="D2807" t="s">
        <v>23900</v>
      </c>
      <c r="E2807" t="s">
        <v>13538</v>
      </c>
      <c r="F2807" t="s">
        <v>14039</v>
      </c>
      <c r="G2807" t="s">
        <v>14672</v>
      </c>
      <c r="H2807" t="s">
        <v>13869</v>
      </c>
      <c r="I2807" t="s">
        <v>14690</v>
      </c>
      <c r="J2807" s="62">
        <v>0</v>
      </c>
      <c r="K2807" s="62">
        <v>0</v>
      </c>
      <c r="L2807" t="str">
        <f>VLOOKUP(VALUE(LEFT(C2807,5)),Xref!A:B,2,0)</f>
        <v>AKA</v>
      </c>
      <c r="M2807" t="str">
        <f t="shared" si="175"/>
        <v>AKA-LPI</v>
      </c>
    </row>
    <row r="2808" spans="1:13" ht="14.25" customHeight="true">
      <c r="A2808" s="33" t="str">
        <f t="shared" si="172"/>
        <v>LPI - Intercompany</v>
      </c>
      <c r="B2808" s="33" t="str">
        <f t="shared" si="173"/>
        <v>LPI</v>
      </c>
      <c r="C2808" s="33" t="str">
        <f t="shared" si="174"/>
        <v>11355-0000</v>
      </c>
      <c r="D2808" t="s">
        <v>23901</v>
      </c>
      <c r="E2808" t="s">
        <v>13539</v>
      </c>
      <c r="F2808" t="s">
        <v>14039</v>
      </c>
      <c r="G2808" t="s">
        <v>14672</v>
      </c>
      <c r="H2808" t="s">
        <v>13869</v>
      </c>
      <c r="I2808" t="s">
        <v>14690</v>
      </c>
      <c r="J2808" s="62">
        <v>0</v>
      </c>
      <c r="K2808" s="62">
        <v>0</v>
      </c>
      <c r="L2808" t="str">
        <f>VLOOKUP(VALUE(LEFT(C2808,5)),Xref!A:B,2,0)</f>
        <v>SPA</v>
      </c>
      <c r="M2808" t="str">
        <f t="shared" si="175"/>
        <v>LPI-SPA</v>
      </c>
    </row>
    <row r="2809" spans="1:13" ht="14.25" customHeight="true">
      <c r="A2809" s="33" t="str">
        <f t="shared" si="172"/>
        <v>LPI - Intercompany</v>
      </c>
      <c r="B2809" s="33" t="str">
        <f t="shared" si="173"/>
        <v>LPI</v>
      </c>
      <c r="C2809" s="33" t="str">
        <f t="shared" si="174"/>
        <v>11356-0000</v>
      </c>
      <c r="D2809" t="s">
        <v>23902</v>
      </c>
      <c r="E2809" t="s">
        <v>13540</v>
      </c>
      <c r="F2809" t="s">
        <v>14039</v>
      </c>
      <c r="G2809" t="s">
        <v>14672</v>
      </c>
      <c r="H2809" t="s">
        <v>13869</v>
      </c>
      <c r="I2809" t="s">
        <v>14690</v>
      </c>
      <c r="J2809" s="62">
        <v>0</v>
      </c>
      <c r="K2809" s="62">
        <v>0</v>
      </c>
      <c r="L2809" t="str">
        <f>VLOOKUP(VALUE(LEFT(C2809,5)),Xref!A:B,2,0)</f>
        <v>DPM</v>
      </c>
      <c r="M2809" t="str">
        <f t="shared" si="175"/>
        <v>DPM-LPI</v>
      </c>
    </row>
    <row r="2810" spans="1:13" ht="14.25" customHeight="true">
      <c r="A2810" s="33" t="str">
        <f t="shared" si="172"/>
        <v>LPI - Intercompany</v>
      </c>
      <c r="B2810" s="33" t="str">
        <f t="shared" si="173"/>
        <v>LPI</v>
      </c>
      <c r="C2810" s="33" t="str">
        <f t="shared" si="174"/>
        <v>11357-0000</v>
      </c>
      <c r="D2810" t="s">
        <v>23903</v>
      </c>
      <c r="E2810" t="s">
        <v>13541</v>
      </c>
      <c r="F2810" t="s">
        <v>14039</v>
      </c>
      <c r="G2810" t="s">
        <v>14672</v>
      </c>
      <c r="H2810" t="s">
        <v>13869</v>
      </c>
      <c r="I2810" t="s">
        <v>14690</v>
      </c>
      <c r="J2810" s="62">
        <v>0</v>
      </c>
      <c r="K2810" s="62">
        <v>0</v>
      </c>
      <c r="L2810" t="str">
        <f>VLOOKUP(VALUE(LEFT(C2810,5)),Xref!A:B,2,0)</f>
        <v>HDM</v>
      </c>
      <c r="M2810" t="str">
        <f t="shared" si="175"/>
        <v>HDM-LPI</v>
      </c>
    </row>
    <row r="2811" spans="1:13" ht="14.25" customHeight="true">
      <c r="A2811" s="33" t="str">
        <f t="shared" si="172"/>
        <v>LPI - Intercompany</v>
      </c>
      <c r="B2811" s="33" t="str">
        <f t="shared" si="173"/>
        <v>LPI</v>
      </c>
      <c r="C2811" s="33" t="str">
        <f t="shared" si="174"/>
        <v>11358-0000</v>
      </c>
      <c r="D2811" t="s">
        <v>23904</v>
      </c>
      <c r="E2811" t="s">
        <v>13542</v>
      </c>
      <c r="F2811" t="s">
        <v>14039</v>
      </c>
      <c r="G2811" t="s">
        <v>14672</v>
      </c>
      <c r="H2811" t="s">
        <v>13869</v>
      </c>
      <c r="I2811" t="s">
        <v>14690</v>
      </c>
      <c r="J2811" s="62">
        <v>0</v>
      </c>
      <c r="K2811" s="62">
        <v>0</v>
      </c>
      <c r="L2811" t="str">
        <f>VLOOKUP(VALUE(LEFT(C2811,5)),Xref!A:B,2,0)</f>
        <v>GRA</v>
      </c>
      <c r="M2811" t="str">
        <f t="shared" si="175"/>
        <v>GRA-LPI</v>
      </c>
    </row>
    <row r="2812" spans="1:13" ht="14.25" customHeight="true">
      <c r="A2812" s="33" t="str">
        <f t="shared" si="172"/>
        <v>LPI - Intercompany</v>
      </c>
      <c r="B2812" s="33" t="str">
        <f t="shared" si="173"/>
        <v>LPI</v>
      </c>
      <c r="C2812" s="33" t="str">
        <f t="shared" si="174"/>
        <v>11359-0000</v>
      </c>
      <c r="D2812" t="s">
        <v>23905</v>
      </c>
      <c r="E2812" t="s">
        <v>13543</v>
      </c>
      <c r="F2812" t="s">
        <v>14039</v>
      </c>
      <c r="G2812" t="s">
        <v>14672</v>
      </c>
      <c r="H2812" t="s">
        <v>13869</v>
      </c>
      <c r="I2812" t="s">
        <v>14690</v>
      </c>
      <c r="J2812" s="62">
        <v>0</v>
      </c>
      <c r="K2812" s="62">
        <v>0</v>
      </c>
      <c r="L2812" t="str">
        <f>VLOOKUP(VALUE(LEFT(C2812,5)),Xref!A:B,2,0)</f>
        <v>TPI</v>
      </c>
      <c r="M2812" t="str">
        <f t="shared" si="175"/>
        <v>LPI-TPI</v>
      </c>
    </row>
    <row r="2813" spans="1:13" ht="14.25" customHeight="true">
      <c r="A2813" s="33" t="str">
        <f t="shared" si="172"/>
        <v>LPI - Intercompany</v>
      </c>
      <c r="B2813" s="33" t="str">
        <f t="shared" si="173"/>
        <v>LPI</v>
      </c>
      <c r="C2813" s="33" t="str">
        <f t="shared" si="174"/>
        <v>11361-0000</v>
      </c>
      <c r="D2813" t="s">
        <v>23906</v>
      </c>
      <c r="E2813" t="s">
        <v>14165</v>
      </c>
      <c r="F2813" t="s">
        <v>14039</v>
      </c>
      <c r="G2813" t="s">
        <v>14672</v>
      </c>
      <c r="H2813" t="s">
        <v>13869</v>
      </c>
      <c r="I2813" t="s">
        <v>14690</v>
      </c>
      <c r="J2813" s="62">
        <v>0</v>
      </c>
      <c r="K2813" s="62">
        <v>0</v>
      </c>
      <c r="L2813" t="str">
        <f>VLOOKUP(VALUE(LEFT(C2813,5)),Xref!A:B,2,0)</f>
        <v>GSM</v>
      </c>
      <c r="M2813" t="str">
        <f t="shared" si="175"/>
        <v>GSM-LPI</v>
      </c>
    </row>
    <row r="2814" spans="1:13" ht="14.25" customHeight="true">
      <c r="A2814" s="33" t="str">
        <f t="shared" si="172"/>
        <v>LPI - Intercompany</v>
      </c>
      <c r="B2814" s="33" t="str">
        <f t="shared" si="173"/>
        <v>LPI</v>
      </c>
      <c r="C2814" s="33" t="str">
        <f t="shared" si="174"/>
        <v>11363-0000</v>
      </c>
      <c r="D2814" t="s">
        <v>23907</v>
      </c>
      <c r="E2814" t="s">
        <v>13544</v>
      </c>
      <c r="F2814" t="s">
        <v>14039</v>
      </c>
      <c r="G2814" t="s">
        <v>14672</v>
      </c>
      <c r="H2814" t="s">
        <v>13869</v>
      </c>
      <c r="I2814" t="s">
        <v>14690</v>
      </c>
      <c r="J2814" s="62">
        <v>0</v>
      </c>
      <c r="K2814" s="62">
        <v>0</v>
      </c>
      <c r="L2814" t="str">
        <f>VLOOKUP(VALUE(LEFT(C2814,5)),Xref!A:B,2,0)</f>
        <v>SOF</v>
      </c>
      <c r="M2814" t="str">
        <f t="shared" si="175"/>
        <v>LPI-SOF</v>
      </c>
    </row>
    <row r="2815" spans="1:13" ht="14.25" customHeight="true">
      <c r="A2815" s="33" t="str">
        <f t="shared" si="172"/>
        <v>LPI - Intercompany</v>
      </c>
      <c r="B2815" s="33" t="str">
        <f t="shared" si="173"/>
        <v>LPI</v>
      </c>
      <c r="C2815" s="33" t="str">
        <f t="shared" si="174"/>
        <v>11364-0000</v>
      </c>
      <c r="D2815" t="s">
        <v>23908</v>
      </c>
      <c r="E2815" t="s">
        <v>14168</v>
      </c>
      <c r="F2815" t="s">
        <v>14039</v>
      </c>
      <c r="G2815" t="s">
        <v>14672</v>
      </c>
      <c r="H2815" t="s">
        <v>13869</v>
      </c>
      <c r="I2815" t="s">
        <v>14690</v>
      </c>
      <c r="J2815" s="62">
        <v>0</v>
      </c>
      <c r="K2815" s="62">
        <v>0</v>
      </c>
      <c r="L2815" t="e">
        <f>VLOOKUP(VALUE(LEFT(C2815,5)),Xref!A:B,2,0)</f>
        <v>#N/A</v>
      </c>
      <c r="M2815" t="e">
        <f t="shared" si="175"/>
        <v>#N/A</v>
      </c>
    </row>
    <row r="2816" spans="1:13" ht="14.25" customHeight="true">
      <c r="A2816" s="33" t="str">
        <f t="shared" si="172"/>
        <v>LPI - Intercompany</v>
      </c>
      <c r="B2816" s="33" t="str">
        <f t="shared" si="173"/>
        <v>LPI</v>
      </c>
      <c r="C2816" s="33" t="str">
        <f t="shared" si="174"/>
        <v>11365-0000</v>
      </c>
      <c r="D2816" t="s">
        <v>23909</v>
      </c>
      <c r="E2816" t="s">
        <v>14170</v>
      </c>
      <c r="F2816" t="s">
        <v>14039</v>
      </c>
      <c r="G2816" t="s">
        <v>14672</v>
      </c>
      <c r="H2816" t="s">
        <v>13869</v>
      </c>
      <c r="I2816" t="s">
        <v>14690</v>
      </c>
      <c r="J2816" s="62">
        <v>0</v>
      </c>
      <c r="K2816" s="62">
        <v>0</v>
      </c>
      <c r="L2816" t="e">
        <f>VLOOKUP(VALUE(LEFT(C2816,5)),Xref!A:B,2,0)</f>
        <v>#N/A</v>
      </c>
      <c r="M2816" t="e">
        <f t="shared" si="175"/>
        <v>#N/A</v>
      </c>
    </row>
    <row r="2817" spans="1:13" ht="14.25" customHeight="true">
      <c r="A2817" s="33" t="str">
        <f t="shared" si="172"/>
        <v>LPI - Intercompany</v>
      </c>
      <c r="B2817" s="33" t="str">
        <f t="shared" si="173"/>
        <v>LPI</v>
      </c>
      <c r="C2817" s="33" t="str">
        <f t="shared" si="174"/>
        <v>11366-0000</v>
      </c>
      <c r="D2817" t="s">
        <v>23910</v>
      </c>
      <c r="E2817" t="s">
        <v>14172</v>
      </c>
      <c r="G2817" t="s">
        <v>14672</v>
      </c>
      <c r="H2817" t="s">
        <v>13869</v>
      </c>
      <c r="I2817" t="s">
        <v>14690</v>
      </c>
      <c r="J2817" s="62">
        <v>0</v>
      </c>
      <c r="K2817" s="62">
        <v>0</v>
      </c>
      <c r="L2817" t="e">
        <f>VLOOKUP(VALUE(LEFT(C2817,5)),Xref!A:B,2,0)</f>
        <v>#N/A</v>
      </c>
      <c r="M2817" t="e">
        <f t="shared" si="175"/>
        <v>#N/A</v>
      </c>
    </row>
    <row r="2818" spans="1:13" ht="14.25" customHeight="true">
      <c r="A2818" s="33" t="str">
        <f t="shared" ref="A2818:A2881" si="176">B2818&amp;" - "&amp;TRIM(H2818)</f>
        <v>LPI - Intercompany</v>
      </c>
      <c r="B2818" s="33" t="str">
        <f t="shared" ref="B2818:B2881" si="177">LEFT(D2818,3)</f>
        <v>LPI</v>
      </c>
      <c r="C2818" s="33" t="str">
        <f t="shared" ref="C2818:C2881" si="178">RIGHT(D2818,10)</f>
        <v>11402-0000</v>
      </c>
      <c r="D2818" t="s">
        <v>23911</v>
      </c>
      <c r="E2818" t="s">
        <v>14174</v>
      </c>
      <c r="G2818" t="s">
        <v>14672</v>
      </c>
      <c r="H2818" t="s">
        <v>13869</v>
      </c>
      <c r="I2818" t="s">
        <v>14690</v>
      </c>
      <c r="J2818" s="62">
        <v>0</v>
      </c>
      <c r="K2818" s="62">
        <v>0</v>
      </c>
      <c r="L2818" t="str">
        <f>VLOOKUP(VALUE(LEFT(C2818,5)),Xref!A:B,2,0)</f>
        <v>DPI</v>
      </c>
      <c r="M2818" t="str">
        <f t="shared" ref="M2818:M2881" si="179">IF(B2818&lt;L2818,B2818&amp;"-"&amp;L2818,L2818&amp;"-"&amp;B2818)</f>
        <v>DPI-LPI</v>
      </c>
    </row>
    <row r="2819" spans="1:13" ht="14.25" customHeight="true">
      <c r="A2819" s="33" t="str">
        <f t="shared" si="176"/>
        <v>LPI - Intercompany</v>
      </c>
      <c r="B2819" s="33" t="str">
        <f t="shared" si="177"/>
        <v>LPI</v>
      </c>
      <c r="C2819" s="33" t="str">
        <f t="shared" si="178"/>
        <v>11403-0000</v>
      </c>
      <c r="D2819" t="s">
        <v>23912</v>
      </c>
      <c r="E2819" t="s">
        <v>14176</v>
      </c>
      <c r="G2819" t="s">
        <v>14672</v>
      </c>
      <c r="H2819" t="s">
        <v>13869</v>
      </c>
      <c r="I2819" t="s">
        <v>14690</v>
      </c>
      <c r="J2819" s="62">
        <v>0</v>
      </c>
      <c r="K2819" s="62">
        <v>0</v>
      </c>
      <c r="L2819" t="str">
        <f>VLOOKUP(VALUE(LEFT(C2819,5)),Xref!A:B,2,0)</f>
        <v>SEA</v>
      </c>
      <c r="M2819" t="str">
        <f t="shared" si="179"/>
        <v>LPI-SEA</v>
      </c>
    </row>
    <row r="2820" spans="1:13" ht="14.25" customHeight="true">
      <c r="A2820" s="33" t="str">
        <f t="shared" si="176"/>
        <v>LPI - Intercompany</v>
      </c>
      <c r="B2820" s="33" t="str">
        <f t="shared" si="177"/>
        <v>LPI</v>
      </c>
      <c r="C2820" s="33" t="str">
        <f t="shared" si="178"/>
        <v>12400-0000</v>
      </c>
      <c r="D2820" t="s">
        <v>23915</v>
      </c>
      <c r="E2820" t="s">
        <v>14185</v>
      </c>
      <c r="F2820" t="s">
        <v>14039</v>
      </c>
      <c r="G2820" t="s">
        <v>14672</v>
      </c>
      <c r="H2820" t="s">
        <v>13869</v>
      </c>
      <c r="I2820" t="s">
        <v>14690</v>
      </c>
      <c r="J2820" s="62">
        <v>0</v>
      </c>
      <c r="K2820" s="62">
        <v>0</v>
      </c>
      <c r="L2820" t="str">
        <f>VLOOKUP(VALUE(LEFT(C2820,5)),Xref!A:B,2,0)</f>
        <v>aka</v>
      </c>
      <c r="M2820" t="str">
        <f t="shared" si="179"/>
        <v>aka-LPI</v>
      </c>
    </row>
    <row r="2821" spans="1:13" ht="14.25" customHeight="true">
      <c r="A2821" s="33" t="str">
        <f t="shared" si="176"/>
        <v>LPI - Intercompany</v>
      </c>
      <c r="B2821" s="33" t="str">
        <f t="shared" si="177"/>
        <v>LPI</v>
      </c>
      <c r="C2821" s="33" t="str">
        <f t="shared" si="178"/>
        <v>12401-0000</v>
      </c>
      <c r="D2821" t="s">
        <v>23916</v>
      </c>
      <c r="E2821" t="s">
        <v>14187</v>
      </c>
      <c r="F2821" t="s">
        <v>14039</v>
      </c>
      <c r="G2821" t="s">
        <v>14672</v>
      </c>
      <c r="H2821" t="s">
        <v>13869</v>
      </c>
      <c r="I2821" t="s">
        <v>14690</v>
      </c>
      <c r="J2821" s="62">
        <v>0</v>
      </c>
      <c r="K2821" s="62">
        <v>0</v>
      </c>
      <c r="L2821" t="str">
        <f>VLOOKUP(VALUE(LEFT(C2821,5)),Xref!A:B,2,0)</f>
        <v>aka</v>
      </c>
      <c r="M2821" t="str">
        <f t="shared" si="179"/>
        <v>aka-LPI</v>
      </c>
    </row>
    <row r="2822" spans="1:13" ht="14.25" customHeight="true">
      <c r="A2822" s="33" t="str">
        <f t="shared" si="176"/>
        <v>LPI - Intercompany</v>
      </c>
      <c r="B2822" s="33" t="str">
        <f t="shared" si="177"/>
        <v>LPI</v>
      </c>
      <c r="C2822" s="33" t="str">
        <f t="shared" si="178"/>
        <v>12402-0000</v>
      </c>
      <c r="D2822" t="s">
        <v>23917</v>
      </c>
      <c r="E2822" t="s">
        <v>14189</v>
      </c>
      <c r="F2822" t="s">
        <v>14039</v>
      </c>
      <c r="G2822" t="s">
        <v>14672</v>
      </c>
      <c r="H2822" t="s">
        <v>13869</v>
      </c>
      <c r="I2822" t="s">
        <v>14690</v>
      </c>
      <c r="J2822" s="62">
        <v>0</v>
      </c>
      <c r="K2822" s="62">
        <v>5000</v>
      </c>
      <c r="L2822" t="str">
        <f>VLOOKUP(VALUE(LEFT(C2822,5)),Xref!A:B,2,0)</f>
        <v>aka</v>
      </c>
      <c r="M2822" t="str">
        <f t="shared" si="179"/>
        <v>aka-LPI</v>
      </c>
    </row>
    <row r="2823" spans="1:13" ht="14.25" customHeight="true">
      <c r="A2823" s="33" t="str">
        <f t="shared" si="176"/>
        <v>LPI - Intercompany</v>
      </c>
      <c r="B2823" s="33" t="str">
        <f t="shared" si="177"/>
        <v>LPI</v>
      </c>
      <c r="C2823" s="33" t="str">
        <f t="shared" si="178"/>
        <v>12403-0000</v>
      </c>
      <c r="D2823" t="s">
        <v>23918</v>
      </c>
      <c r="E2823" t="s">
        <v>5226</v>
      </c>
      <c r="F2823" t="s">
        <v>14039</v>
      </c>
      <c r="G2823" t="s">
        <v>14672</v>
      </c>
      <c r="H2823" t="s">
        <v>13869</v>
      </c>
      <c r="I2823" t="s">
        <v>14690</v>
      </c>
      <c r="J2823" s="62">
        <v>0</v>
      </c>
      <c r="K2823" s="62">
        <v>0</v>
      </c>
      <c r="L2823" t="str">
        <f>VLOOKUP(VALUE(LEFT(C2823,5)),Xref!A:B,2,0)</f>
        <v>aka</v>
      </c>
      <c r="M2823" t="str">
        <f t="shared" si="179"/>
        <v>aka-LPI</v>
      </c>
    </row>
    <row r="2824" spans="1:13" ht="14.25" customHeight="true">
      <c r="A2824" s="33" t="str">
        <f t="shared" si="176"/>
        <v>LPI - Intercompany</v>
      </c>
      <c r="B2824" s="33" t="str">
        <f t="shared" si="177"/>
        <v>LPI</v>
      </c>
      <c r="C2824" s="33" t="str">
        <f t="shared" si="178"/>
        <v>12501-0000</v>
      </c>
      <c r="D2824" t="s">
        <v>23919</v>
      </c>
      <c r="E2824" t="s">
        <v>14192</v>
      </c>
      <c r="F2824" t="s">
        <v>14039</v>
      </c>
      <c r="G2824" t="s">
        <v>14672</v>
      </c>
      <c r="H2824" t="s">
        <v>13869</v>
      </c>
      <c r="I2824" t="s">
        <v>14690</v>
      </c>
      <c r="J2824" s="62">
        <v>0</v>
      </c>
      <c r="K2824" s="62">
        <v>0</v>
      </c>
      <c r="L2824" t="str">
        <f>VLOOKUP(VALUE(LEFT(C2824,5)),Xref!A:B,2,0)</f>
        <v>aka</v>
      </c>
      <c r="M2824" t="str">
        <f t="shared" si="179"/>
        <v>aka-LPI</v>
      </c>
    </row>
    <row r="2825" spans="1:13" ht="14.25" customHeight="true">
      <c r="A2825" s="33" t="str">
        <f t="shared" si="176"/>
        <v>LPI - InterCo Notes</v>
      </c>
      <c r="B2825" s="33" t="str">
        <f t="shared" si="177"/>
        <v>LPI</v>
      </c>
      <c r="C2825" s="33" t="str">
        <f t="shared" si="178"/>
        <v>25600-0000</v>
      </c>
      <c r="D2825" t="s">
        <v>23972</v>
      </c>
      <c r="E2825" t="s">
        <v>314</v>
      </c>
      <c r="F2825" t="s">
        <v>14039</v>
      </c>
      <c r="G2825" t="s">
        <v>14672</v>
      </c>
      <c r="H2825" t="s">
        <v>13889</v>
      </c>
      <c r="I2825" t="s">
        <v>14690</v>
      </c>
      <c r="J2825" s="62">
        <v>0</v>
      </c>
      <c r="K2825" s="62">
        <v>0</v>
      </c>
      <c r="L2825" t="str">
        <f>VLOOKUP(VALUE(LEFT(C2825,5)),Xref!A:B,2,0)</f>
        <v>D7</v>
      </c>
      <c r="M2825" t="str">
        <f t="shared" si="179"/>
        <v>D7-LPI</v>
      </c>
    </row>
    <row r="2826" spans="1:13" ht="14.25" customHeight="true">
      <c r="A2826" s="33" t="str">
        <f t="shared" si="176"/>
        <v>LPI - InterCo Notes</v>
      </c>
      <c r="B2826" s="33" t="str">
        <f t="shared" si="177"/>
        <v>LPI</v>
      </c>
      <c r="C2826" s="33" t="str">
        <f t="shared" si="178"/>
        <v>25602-0000</v>
      </c>
      <c r="D2826" t="s">
        <v>23974</v>
      </c>
      <c r="E2826" t="s">
        <v>13426</v>
      </c>
      <c r="F2826" t="s">
        <v>14039</v>
      </c>
      <c r="G2826" t="s">
        <v>14672</v>
      </c>
      <c r="H2826" t="s">
        <v>13889</v>
      </c>
      <c r="I2826" t="s">
        <v>14690</v>
      </c>
      <c r="J2826" s="62">
        <v>0</v>
      </c>
      <c r="K2826" s="62">
        <v>0</v>
      </c>
      <c r="L2826" t="str">
        <f>VLOOKUP(VALUE(LEFT(C2826,5)),Xref!A:B,2,0)</f>
        <v>DFLP</v>
      </c>
      <c r="M2826" t="str">
        <f t="shared" si="179"/>
        <v>DFLP-LPI</v>
      </c>
    </row>
    <row r="2827" spans="1:13" ht="14.25" customHeight="true">
      <c r="A2827" s="33" t="str">
        <f t="shared" si="176"/>
        <v>LPI - InterCo Notes</v>
      </c>
      <c r="B2827" s="33" t="str">
        <f t="shared" si="177"/>
        <v>LPI</v>
      </c>
      <c r="C2827" s="33" t="str">
        <f t="shared" si="178"/>
        <v>25603-0000</v>
      </c>
      <c r="D2827" t="s">
        <v>23975</v>
      </c>
      <c r="E2827" t="s">
        <v>14311</v>
      </c>
      <c r="F2827" t="s">
        <v>14039</v>
      </c>
      <c r="G2827" t="s">
        <v>14832</v>
      </c>
      <c r="H2827" t="s">
        <v>13889</v>
      </c>
      <c r="I2827" t="s">
        <v>14690</v>
      </c>
      <c r="J2827" s="62">
        <v>0</v>
      </c>
      <c r="K2827" s="62">
        <v>0</v>
      </c>
      <c r="L2827" t="str">
        <f>VLOOKUP(VALUE(LEFT(C2827,5)),Xref!A:B,2,0)</f>
        <v>aka</v>
      </c>
      <c r="M2827" t="str">
        <f t="shared" si="179"/>
        <v>aka-LPI</v>
      </c>
    </row>
    <row r="2828" spans="1:13" ht="14.25" customHeight="true">
      <c r="A2828" s="33" t="str">
        <f t="shared" si="176"/>
        <v>LPI - Intercompany</v>
      </c>
      <c r="B2828" s="33" t="str">
        <f t="shared" si="177"/>
        <v>LPI</v>
      </c>
      <c r="C2828" s="33" t="str">
        <f t="shared" si="178"/>
        <v>25604-0000</v>
      </c>
      <c r="D2828" t="s">
        <v>23976</v>
      </c>
      <c r="E2828" t="s">
        <v>13490</v>
      </c>
      <c r="F2828" t="s">
        <v>14039</v>
      </c>
      <c r="G2828" t="s">
        <v>14672</v>
      </c>
      <c r="H2828" t="s">
        <v>13869</v>
      </c>
      <c r="I2828" t="s">
        <v>14690</v>
      </c>
      <c r="J2828" s="62">
        <v>0</v>
      </c>
      <c r="K2828" s="62">
        <v>0</v>
      </c>
      <c r="L2828">
        <f>VLOOKUP(VALUE(LEFT(C2828,5)),Xref!A:B,2,0)</f>
        <v>0</v>
      </c>
      <c r="M2828" t="str">
        <f t="shared" si="179"/>
        <v>0-LPI</v>
      </c>
    </row>
    <row r="2829" spans="1:13" ht="14.25" customHeight="true">
      <c r="A2829" s="33" t="str">
        <f t="shared" si="176"/>
        <v>MAR - Intercompany</v>
      </c>
      <c r="B2829" s="33" t="str">
        <f t="shared" si="177"/>
        <v>MAR</v>
      </c>
      <c r="C2829" s="33" t="str">
        <f t="shared" si="178"/>
        <v>11200-0000</v>
      </c>
      <c r="D2829" t="s">
        <v>24178</v>
      </c>
      <c r="E2829" t="s">
        <v>14069</v>
      </c>
      <c r="F2829" t="s">
        <v>14039</v>
      </c>
      <c r="G2829" t="s">
        <v>14672</v>
      </c>
      <c r="H2829" t="s">
        <v>13869</v>
      </c>
      <c r="I2829" t="s">
        <v>14690</v>
      </c>
      <c r="J2829" s="62">
        <v>0</v>
      </c>
      <c r="K2829" s="62">
        <v>0</v>
      </c>
      <c r="L2829" t="str">
        <f>VLOOKUP(VALUE(LEFT(C2829,5)),Xref!A:B,2,0)</f>
        <v>SCL</v>
      </c>
      <c r="M2829" t="str">
        <f t="shared" si="179"/>
        <v>MAR-SCL</v>
      </c>
    </row>
    <row r="2830" spans="1:13" ht="14.25" customHeight="true">
      <c r="A2830" s="33" t="str">
        <f t="shared" si="176"/>
        <v>MAR - Intercompany</v>
      </c>
      <c r="B2830" s="33" t="str">
        <f t="shared" si="177"/>
        <v>MAR</v>
      </c>
      <c r="C2830" s="33" t="str">
        <f t="shared" si="178"/>
        <v>11201-0000</v>
      </c>
      <c r="D2830" t="s">
        <v>24179</v>
      </c>
      <c r="E2830" t="s">
        <v>14071</v>
      </c>
      <c r="F2830" t="s">
        <v>14039</v>
      </c>
      <c r="G2830" t="s">
        <v>14672</v>
      </c>
      <c r="H2830" t="s">
        <v>13869</v>
      </c>
      <c r="I2830" t="s">
        <v>14690</v>
      </c>
      <c r="J2830" s="62">
        <v>0</v>
      </c>
      <c r="K2830" s="62">
        <v>0</v>
      </c>
      <c r="L2830" t="str">
        <f>VLOOKUP(VALUE(LEFT(C2830,5)),Xref!A:B,2,0)</f>
        <v>SG2</v>
      </c>
      <c r="M2830" t="str">
        <f t="shared" si="179"/>
        <v>MAR-SG2</v>
      </c>
    </row>
    <row r="2831" spans="1:13" ht="14.25" customHeight="true">
      <c r="A2831" s="33" t="str">
        <f t="shared" si="176"/>
        <v>MAR - Intercompany</v>
      </c>
      <c r="B2831" s="33" t="str">
        <f t="shared" si="177"/>
        <v>MAR</v>
      </c>
      <c r="C2831" s="33" t="str">
        <f t="shared" si="178"/>
        <v>11202-0000</v>
      </c>
      <c r="D2831" t="s">
        <v>24180</v>
      </c>
      <c r="E2831" t="s">
        <v>14073</v>
      </c>
      <c r="F2831" t="s">
        <v>14039</v>
      </c>
      <c r="G2831" t="s">
        <v>14672</v>
      </c>
      <c r="H2831" t="s">
        <v>13869</v>
      </c>
      <c r="I2831" t="s">
        <v>14690</v>
      </c>
      <c r="J2831" s="62">
        <v>0</v>
      </c>
      <c r="K2831" s="62">
        <v>0</v>
      </c>
      <c r="L2831" t="str">
        <f>VLOOKUP(VALUE(LEFT(C2831,5)),Xref!A:B,2,0)</f>
        <v>FFC</v>
      </c>
      <c r="M2831" t="str">
        <f t="shared" si="179"/>
        <v>FFC-MAR</v>
      </c>
    </row>
    <row r="2832" spans="1:13" ht="14.25" customHeight="true">
      <c r="A2832" s="33" t="str">
        <f t="shared" si="176"/>
        <v>MAR - Intercompany</v>
      </c>
      <c r="B2832" s="33" t="str">
        <f t="shared" si="177"/>
        <v>MAR</v>
      </c>
      <c r="C2832" s="33" t="str">
        <f t="shared" si="178"/>
        <v>11203-0000</v>
      </c>
      <c r="D2832" t="s">
        <v>24181</v>
      </c>
      <c r="E2832" t="s">
        <v>14075</v>
      </c>
      <c r="F2832" t="s">
        <v>14039</v>
      </c>
      <c r="G2832" t="s">
        <v>14672</v>
      </c>
      <c r="H2832" t="s">
        <v>13869</v>
      </c>
      <c r="I2832" t="s">
        <v>14690</v>
      </c>
      <c r="J2832" s="62">
        <v>0</v>
      </c>
      <c r="K2832" s="62">
        <v>0</v>
      </c>
      <c r="L2832" t="str">
        <f>VLOOKUP(VALUE(LEFT(C2832,5)),Xref!A:B,2,0)</f>
        <v>HN2</v>
      </c>
      <c r="M2832" t="str">
        <f t="shared" si="179"/>
        <v>HN2-MAR</v>
      </c>
    </row>
    <row r="2833" spans="1:13" ht="14.25" customHeight="true">
      <c r="A2833" s="33" t="str">
        <f t="shared" si="176"/>
        <v>MAR - Intercompany</v>
      </c>
      <c r="B2833" s="33" t="str">
        <f t="shared" si="177"/>
        <v>MAR</v>
      </c>
      <c r="C2833" s="33" t="str">
        <f t="shared" si="178"/>
        <v>11204-0000</v>
      </c>
      <c r="D2833" t="s">
        <v>24182</v>
      </c>
      <c r="E2833" t="s">
        <v>14077</v>
      </c>
      <c r="F2833" t="s">
        <v>14039</v>
      </c>
      <c r="G2833" t="s">
        <v>14672</v>
      </c>
      <c r="H2833" t="s">
        <v>13869</v>
      </c>
      <c r="I2833" t="s">
        <v>14690</v>
      </c>
      <c r="J2833" s="62">
        <v>0</v>
      </c>
      <c r="K2833" s="62">
        <v>0</v>
      </c>
      <c r="L2833" t="str">
        <f>VLOOKUP(VALUE(LEFT(C2833,5)),Xref!A:B,2,0)</f>
        <v>DF2</v>
      </c>
      <c r="M2833" t="str">
        <f t="shared" si="179"/>
        <v>DF2-MAR</v>
      </c>
    </row>
    <row r="2834" spans="1:13" ht="14.25" customHeight="true">
      <c r="A2834" s="33" t="str">
        <f t="shared" si="176"/>
        <v>MAR - Intercompany</v>
      </c>
      <c r="B2834" s="33" t="str">
        <f t="shared" si="177"/>
        <v>MAR</v>
      </c>
      <c r="C2834" s="33" t="str">
        <f t="shared" si="178"/>
        <v>11208-0000</v>
      </c>
      <c r="D2834" t="s">
        <v>24183</v>
      </c>
      <c r="E2834" t="s">
        <v>14079</v>
      </c>
      <c r="F2834" t="s">
        <v>14039</v>
      </c>
      <c r="G2834" t="s">
        <v>14672</v>
      </c>
      <c r="H2834" t="s">
        <v>13869</v>
      </c>
      <c r="I2834" t="s">
        <v>14690</v>
      </c>
      <c r="J2834" s="62">
        <v>0</v>
      </c>
      <c r="K2834" s="62">
        <v>0</v>
      </c>
      <c r="L2834" t="str">
        <f>VLOOKUP(VALUE(LEFT(C2834,5)),Xref!A:B,2,0)</f>
        <v>SRE</v>
      </c>
      <c r="M2834" t="str">
        <f t="shared" si="179"/>
        <v>MAR-SRE</v>
      </c>
    </row>
    <row r="2835" spans="1:13" ht="14.25" customHeight="true">
      <c r="A2835" s="33" t="str">
        <f t="shared" si="176"/>
        <v>MAR - Intercompany</v>
      </c>
      <c r="B2835" s="33" t="str">
        <f t="shared" si="177"/>
        <v>MAR</v>
      </c>
      <c r="C2835" s="33" t="str">
        <f t="shared" si="178"/>
        <v>11210-0000</v>
      </c>
      <c r="D2835" t="s">
        <v>24184</v>
      </c>
      <c r="E2835" t="s">
        <v>14081</v>
      </c>
      <c r="F2835" t="s">
        <v>14039</v>
      </c>
      <c r="G2835" t="s">
        <v>14672</v>
      </c>
      <c r="H2835" t="s">
        <v>13869</v>
      </c>
      <c r="I2835" t="s">
        <v>14690</v>
      </c>
      <c r="J2835" s="62">
        <v>0</v>
      </c>
      <c r="K2835" s="62">
        <v>0</v>
      </c>
      <c r="L2835" t="str">
        <f>VLOOKUP(VALUE(LEFT(C2835,5)),Xref!A:B,2,0)</f>
        <v>REM</v>
      </c>
      <c r="M2835" t="str">
        <f t="shared" si="179"/>
        <v>MAR-REM</v>
      </c>
    </row>
    <row r="2836" spans="1:13" ht="14.25" customHeight="true">
      <c r="A2836" s="33" t="str">
        <f t="shared" si="176"/>
        <v>MAR - Intercompany</v>
      </c>
      <c r="B2836" s="33" t="str">
        <f t="shared" si="177"/>
        <v>MAR</v>
      </c>
      <c r="C2836" s="33" t="str">
        <f t="shared" si="178"/>
        <v>11212-0000</v>
      </c>
      <c r="D2836" t="s">
        <v>24185</v>
      </c>
      <c r="E2836" t="s">
        <v>14083</v>
      </c>
      <c r="F2836" t="s">
        <v>14039</v>
      </c>
      <c r="G2836" t="s">
        <v>14672</v>
      </c>
      <c r="H2836" t="s">
        <v>13869</v>
      </c>
      <c r="I2836" t="s">
        <v>14690</v>
      </c>
      <c r="J2836" s="62">
        <v>0</v>
      </c>
      <c r="K2836" s="62">
        <v>0</v>
      </c>
      <c r="L2836" t="str">
        <f>VLOOKUP(VALUE(LEFT(C2836,5)),Xref!A:B,2,0)</f>
        <v>FRM</v>
      </c>
      <c r="M2836" t="str">
        <f t="shared" si="179"/>
        <v>FRM-MAR</v>
      </c>
    </row>
    <row r="2837" spans="1:13" ht="14.25" customHeight="true">
      <c r="A2837" s="33" t="str">
        <f t="shared" si="176"/>
        <v>MAR - Intercompany</v>
      </c>
      <c r="B2837" s="33" t="str">
        <f t="shared" si="177"/>
        <v>MAR</v>
      </c>
      <c r="C2837" s="33" t="str">
        <f t="shared" si="178"/>
        <v>11214-0000</v>
      </c>
      <c r="D2837" t="s">
        <v>24186</v>
      </c>
      <c r="E2837" t="s">
        <v>14085</v>
      </c>
      <c r="F2837" t="s">
        <v>14039</v>
      </c>
      <c r="G2837" t="s">
        <v>14672</v>
      </c>
      <c r="H2837" t="s">
        <v>13869</v>
      </c>
      <c r="I2837" t="s">
        <v>14690</v>
      </c>
      <c r="J2837" s="62">
        <v>0</v>
      </c>
      <c r="K2837" s="62">
        <v>0</v>
      </c>
      <c r="L2837" t="str">
        <f>VLOOKUP(VALUE(LEFT(C2837,5)),Xref!A:B,2,0)</f>
        <v>D7R</v>
      </c>
      <c r="M2837" t="str">
        <f t="shared" si="179"/>
        <v>D7R-MAR</v>
      </c>
    </row>
    <row r="2838" spans="1:13" ht="14.25" customHeight="true">
      <c r="A2838" s="33" t="str">
        <f t="shared" si="176"/>
        <v>MAR - Intercompany</v>
      </c>
      <c r="B2838" s="33" t="str">
        <f t="shared" si="177"/>
        <v>MAR</v>
      </c>
      <c r="C2838" s="33" t="str">
        <f t="shared" si="178"/>
        <v>11215-0000</v>
      </c>
      <c r="D2838" t="s">
        <v>24187</v>
      </c>
      <c r="E2838" t="s">
        <v>14087</v>
      </c>
      <c r="F2838" t="s">
        <v>14039</v>
      </c>
      <c r="G2838" t="s">
        <v>14672</v>
      </c>
      <c r="H2838" t="s">
        <v>13869</v>
      </c>
      <c r="I2838" t="s">
        <v>14690</v>
      </c>
      <c r="J2838" s="62">
        <v>0</v>
      </c>
      <c r="K2838" s="62">
        <v>0</v>
      </c>
      <c r="L2838" t="str">
        <f>VLOOKUP(VALUE(LEFT(C2838,5)),Xref!A:B,2,0)</f>
        <v>CDP</v>
      </c>
      <c r="M2838" t="str">
        <f t="shared" si="179"/>
        <v>CDP-MAR</v>
      </c>
    </row>
    <row r="2839" spans="1:13" ht="14.25" customHeight="true">
      <c r="A2839" s="33" t="str">
        <f t="shared" si="176"/>
        <v>MAR - Intercompany</v>
      </c>
      <c r="B2839" s="33" t="str">
        <f t="shared" si="177"/>
        <v>MAR</v>
      </c>
      <c r="C2839" s="33" t="str">
        <f t="shared" si="178"/>
        <v>11216-0000</v>
      </c>
      <c r="D2839" t="s">
        <v>1634</v>
      </c>
      <c r="E2839" t="s">
        <v>13224</v>
      </c>
      <c r="F2839" t="s">
        <v>14039</v>
      </c>
      <c r="G2839" t="s">
        <v>14672</v>
      </c>
      <c r="H2839" t="s">
        <v>13869</v>
      </c>
      <c r="I2839" t="s">
        <v>14690</v>
      </c>
      <c r="J2839" s="62">
        <v>-1986.24</v>
      </c>
      <c r="K2839" s="62">
        <v>7710.92</v>
      </c>
      <c r="L2839" t="str">
        <f>VLOOKUP(VALUE(LEFT(C2839,5)),Xref!A:B,2,0)</f>
        <v>SIL</v>
      </c>
      <c r="M2839" t="str">
        <f t="shared" si="179"/>
        <v>MAR-SIL</v>
      </c>
    </row>
    <row r="2840" spans="1:13" ht="14.25" customHeight="true">
      <c r="A2840" s="33" t="str">
        <f t="shared" si="176"/>
        <v>MAR - Intercompany</v>
      </c>
      <c r="B2840" s="33" t="str">
        <f t="shared" si="177"/>
        <v>MAR</v>
      </c>
      <c r="C2840" s="33" t="str">
        <f t="shared" si="178"/>
        <v>11232-0000</v>
      </c>
      <c r="D2840" t="s">
        <v>24188</v>
      </c>
      <c r="E2840" t="s">
        <v>12486</v>
      </c>
      <c r="F2840" t="s">
        <v>14039</v>
      </c>
      <c r="G2840" t="s">
        <v>14672</v>
      </c>
      <c r="H2840" t="s">
        <v>13869</v>
      </c>
      <c r="I2840" t="s">
        <v>14690</v>
      </c>
      <c r="J2840" s="62">
        <v>0</v>
      </c>
      <c r="K2840" s="62">
        <v>0</v>
      </c>
      <c r="L2840" t="str">
        <f>VLOOKUP(VALUE(LEFT(C2840,5)),Xref!A:B,2,0)</f>
        <v>SC2</v>
      </c>
      <c r="M2840" t="str">
        <f t="shared" si="179"/>
        <v>MAR-SC2</v>
      </c>
    </row>
    <row r="2841" spans="1:13" ht="14.25" customHeight="true">
      <c r="A2841" s="33" t="str">
        <f t="shared" si="176"/>
        <v>MAR - Intercompany</v>
      </c>
      <c r="B2841" s="33" t="str">
        <f t="shared" si="177"/>
        <v>MAR</v>
      </c>
      <c r="C2841" s="33" t="str">
        <f t="shared" si="178"/>
        <v>11301-0000</v>
      </c>
      <c r="D2841" t="s">
        <v>24189</v>
      </c>
      <c r="E2841" t="s">
        <v>13225</v>
      </c>
      <c r="F2841" t="s">
        <v>14039</v>
      </c>
      <c r="G2841" t="s">
        <v>14672</v>
      </c>
      <c r="H2841" t="s">
        <v>13869</v>
      </c>
      <c r="I2841" t="s">
        <v>14690</v>
      </c>
      <c r="J2841" s="62">
        <v>0</v>
      </c>
      <c r="K2841" s="62">
        <v>0</v>
      </c>
      <c r="L2841" t="str">
        <f>VLOOKUP(VALUE(LEFT(C2841,5)),Xref!A:B,2,0)</f>
        <v>CRE</v>
      </c>
      <c r="M2841" t="str">
        <f t="shared" si="179"/>
        <v>CRE-MAR</v>
      </c>
    </row>
    <row r="2842" spans="1:13" ht="14.25" customHeight="true">
      <c r="A2842" s="33" t="str">
        <f t="shared" si="176"/>
        <v>MAR - Intercompany</v>
      </c>
      <c r="B2842" s="33" t="str">
        <f t="shared" si="177"/>
        <v>MAR</v>
      </c>
      <c r="C2842" s="33" t="str">
        <f t="shared" si="178"/>
        <v>11302-0000</v>
      </c>
      <c r="D2842" t="s">
        <v>24190</v>
      </c>
      <c r="E2842" t="s">
        <v>13226</v>
      </c>
      <c r="F2842" t="s">
        <v>14039</v>
      </c>
      <c r="G2842" t="s">
        <v>14672</v>
      </c>
      <c r="H2842" t="s">
        <v>13869</v>
      </c>
      <c r="I2842" t="s">
        <v>14690</v>
      </c>
      <c r="J2842" s="62">
        <v>0</v>
      </c>
      <c r="K2842" s="62">
        <v>0</v>
      </c>
      <c r="L2842" t="str">
        <f>VLOOKUP(VALUE(LEFT(C2842,5)),Xref!A:B,2,0)</f>
        <v>CHA</v>
      </c>
      <c r="M2842" t="str">
        <f t="shared" si="179"/>
        <v>CHA-MAR</v>
      </c>
    </row>
    <row r="2843" spans="1:13" ht="14.25" customHeight="true">
      <c r="A2843" s="33" t="str">
        <f t="shared" si="176"/>
        <v>MAR - Intercompany</v>
      </c>
      <c r="B2843" s="33" t="str">
        <f t="shared" si="177"/>
        <v>MAR</v>
      </c>
      <c r="C2843" s="33" t="str">
        <f t="shared" si="178"/>
        <v>11303-0000</v>
      </c>
      <c r="D2843" t="s">
        <v>24191</v>
      </c>
      <c r="E2843" t="s">
        <v>13227</v>
      </c>
      <c r="F2843" t="s">
        <v>14039</v>
      </c>
      <c r="G2843" t="s">
        <v>14672</v>
      </c>
      <c r="H2843" t="s">
        <v>13869</v>
      </c>
      <c r="I2843" t="s">
        <v>14690</v>
      </c>
      <c r="J2843" s="62">
        <v>0</v>
      </c>
      <c r="K2843" s="62">
        <v>0</v>
      </c>
      <c r="L2843" t="str">
        <f>VLOOKUP(VALUE(LEFT(C2843,5)),Xref!A:B,2,0)</f>
        <v>DIA</v>
      </c>
      <c r="M2843" t="str">
        <f t="shared" si="179"/>
        <v>DIA-MAR</v>
      </c>
    </row>
    <row r="2844" spans="1:13" ht="14.25" customHeight="true">
      <c r="A2844" s="33" t="str">
        <f t="shared" si="176"/>
        <v>MAR - Intercompany</v>
      </c>
      <c r="B2844" s="33" t="str">
        <f t="shared" si="177"/>
        <v>MAR</v>
      </c>
      <c r="C2844" s="33" t="str">
        <f t="shared" si="178"/>
        <v>11304-0000</v>
      </c>
      <c r="D2844" t="s">
        <v>24192</v>
      </c>
      <c r="E2844" t="s">
        <v>13228</v>
      </c>
      <c r="F2844" t="s">
        <v>14039</v>
      </c>
      <c r="G2844" t="s">
        <v>14672</v>
      </c>
      <c r="H2844" t="s">
        <v>13869</v>
      </c>
      <c r="I2844" t="s">
        <v>14690</v>
      </c>
      <c r="J2844" s="62">
        <v>0</v>
      </c>
      <c r="K2844" s="62">
        <v>0</v>
      </c>
      <c r="L2844" t="str">
        <f>VLOOKUP(VALUE(LEFT(C2844,5)),Xref!A:B,2,0)</f>
        <v>EAG</v>
      </c>
      <c r="M2844" t="str">
        <f t="shared" si="179"/>
        <v>EAG-MAR</v>
      </c>
    </row>
    <row r="2845" spans="1:13" ht="14.25" customHeight="true">
      <c r="A2845" s="33" t="str">
        <f t="shared" si="176"/>
        <v>MAR - Intercompany</v>
      </c>
      <c r="B2845" s="33" t="str">
        <f t="shared" si="177"/>
        <v>MAR</v>
      </c>
      <c r="C2845" s="33" t="str">
        <f t="shared" si="178"/>
        <v>11305-0000</v>
      </c>
      <c r="D2845" t="s">
        <v>24193</v>
      </c>
      <c r="E2845" t="s">
        <v>13229</v>
      </c>
      <c r="F2845" t="s">
        <v>14039</v>
      </c>
      <c r="G2845" t="s">
        <v>14672</v>
      </c>
      <c r="H2845" t="s">
        <v>13869</v>
      </c>
      <c r="I2845" t="s">
        <v>14690</v>
      </c>
      <c r="J2845" s="62">
        <v>0</v>
      </c>
      <c r="K2845" s="62">
        <v>0</v>
      </c>
      <c r="L2845" t="str">
        <f>VLOOKUP(VALUE(LEFT(C2845,5)),Xref!A:B,2,0)</f>
        <v>NEW</v>
      </c>
      <c r="M2845" t="str">
        <f t="shared" si="179"/>
        <v>MAR-NEW</v>
      </c>
    </row>
    <row r="2846" spans="1:13" ht="14.25" customHeight="true">
      <c r="A2846" s="33" t="str">
        <f t="shared" si="176"/>
        <v>MAR - Intercompany</v>
      </c>
      <c r="B2846" s="33" t="str">
        <f t="shared" si="177"/>
        <v>MAR</v>
      </c>
      <c r="C2846" s="33" t="str">
        <f t="shared" si="178"/>
        <v>11307-0000</v>
      </c>
      <c r="D2846" t="s">
        <v>24194</v>
      </c>
      <c r="E2846" t="s">
        <v>14096</v>
      </c>
      <c r="F2846" t="s">
        <v>14039</v>
      </c>
      <c r="G2846" t="s">
        <v>14672</v>
      </c>
      <c r="H2846" t="s">
        <v>13869</v>
      </c>
      <c r="I2846" t="s">
        <v>14690</v>
      </c>
      <c r="J2846" s="62">
        <v>0</v>
      </c>
      <c r="K2846" s="62">
        <v>0</v>
      </c>
      <c r="L2846" t="str">
        <f>VLOOKUP(VALUE(LEFT(C2846,5)),Xref!A:B,2,0)</f>
        <v>NES</v>
      </c>
      <c r="M2846" t="str">
        <f t="shared" si="179"/>
        <v>MAR-NES</v>
      </c>
    </row>
    <row r="2847" spans="1:13" ht="14.25" customHeight="true">
      <c r="A2847" s="33" t="str">
        <f t="shared" si="176"/>
        <v>MAR - Intercompany</v>
      </c>
      <c r="B2847" s="33" t="str">
        <f t="shared" si="177"/>
        <v>MAR</v>
      </c>
      <c r="C2847" s="33" t="str">
        <f t="shared" si="178"/>
        <v>11308-0000</v>
      </c>
      <c r="D2847" t="s">
        <v>24195</v>
      </c>
      <c r="E2847" t="s">
        <v>13476</v>
      </c>
      <c r="F2847" t="s">
        <v>14039</v>
      </c>
      <c r="G2847" t="s">
        <v>14672</v>
      </c>
      <c r="H2847" t="s">
        <v>13869</v>
      </c>
      <c r="I2847" t="s">
        <v>14690</v>
      </c>
      <c r="J2847" s="62">
        <v>0</v>
      </c>
      <c r="K2847" s="62">
        <v>0</v>
      </c>
      <c r="L2847" t="str">
        <f>VLOOKUP(VALUE(LEFT(C2847,5)),Xref!A:B,2,0)</f>
        <v>LPI</v>
      </c>
      <c r="M2847" t="str">
        <f t="shared" si="179"/>
        <v>LPI-MAR</v>
      </c>
    </row>
    <row r="2848" spans="1:13" ht="14.25" customHeight="true">
      <c r="A2848" s="33" t="str">
        <f t="shared" si="176"/>
        <v>MAR - Intercompany</v>
      </c>
      <c r="B2848" s="33" t="str">
        <f t="shared" si="177"/>
        <v>MAR</v>
      </c>
      <c r="C2848" s="33" t="str">
        <f t="shared" si="178"/>
        <v>11309-0000</v>
      </c>
      <c r="D2848" t="s">
        <v>24196</v>
      </c>
      <c r="E2848" t="s">
        <v>13230</v>
      </c>
      <c r="F2848" t="s">
        <v>14039</v>
      </c>
      <c r="G2848" t="s">
        <v>14672</v>
      </c>
      <c r="H2848" t="s">
        <v>13869</v>
      </c>
      <c r="I2848" t="s">
        <v>14690</v>
      </c>
      <c r="J2848" s="62">
        <v>0</v>
      </c>
      <c r="K2848" s="62">
        <v>0</v>
      </c>
      <c r="L2848" t="str">
        <f>VLOOKUP(VALUE(LEFT(C2848,5)),Xref!A:B,2,0)</f>
        <v>GPI</v>
      </c>
      <c r="M2848" t="str">
        <f t="shared" si="179"/>
        <v>GPI-MAR</v>
      </c>
    </row>
    <row r="2849" spans="1:13" ht="14.25" customHeight="true">
      <c r="A2849" s="33" t="str">
        <f t="shared" si="176"/>
        <v>MAR - Intercompany</v>
      </c>
      <c r="B2849" s="33" t="str">
        <f t="shared" si="177"/>
        <v>MAR</v>
      </c>
      <c r="C2849" s="33" t="str">
        <f t="shared" si="178"/>
        <v>11310-0000</v>
      </c>
      <c r="D2849" t="s">
        <v>24197</v>
      </c>
      <c r="E2849" t="s">
        <v>13231</v>
      </c>
      <c r="F2849" t="s">
        <v>14039</v>
      </c>
      <c r="G2849" t="s">
        <v>14672</v>
      </c>
      <c r="H2849" t="s">
        <v>13869</v>
      </c>
      <c r="I2849" t="s">
        <v>14690</v>
      </c>
      <c r="J2849" s="62">
        <v>0</v>
      </c>
      <c r="K2849" s="62">
        <v>0</v>
      </c>
      <c r="L2849" t="str">
        <f>VLOOKUP(VALUE(LEFT(C2849,5)),Xref!A:B,2,0)</f>
        <v>ALP</v>
      </c>
      <c r="M2849" t="str">
        <f t="shared" si="179"/>
        <v>ALP-MAR</v>
      </c>
    </row>
    <row r="2850" spans="1:13" ht="14.25" customHeight="true">
      <c r="A2850" s="33" t="str">
        <f t="shared" si="176"/>
        <v>MAR - Intercompany</v>
      </c>
      <c r="B2850" s="33" t="str">
        <f t="shared" si="177"/>
        <v>MAR</v>
      </c>
      <c r="C2850" s="33" t="str">
        <f t="shared" si="178"/>
        <v>11311-0000</v>
      </c>
      <c r="D2850" t="s">
        <v>24198</v>
      </c>
      <c r="E2850" t="s">
        <v>13232</v>
      </c>
      <c r="F2850" t="s">
        <v>14039</v>
      </c>
      <c r="G2850" t="s">
        <v>14672</v>
      </c>
      <c r="H2850" t="s">
        <v>13869</v>
      </c>
      <c r="I2850" t="s">
        <v>14690</v>
      </c>
      <c r="J2850" s="62">
        <v>0</v>
      </c>
      <c r="K2850" s="62">
        <v>0</v>
      </c>
      <c r="L2850" t="str">
        <f>VLOOKUP(VALUE(LEFT(C2850,5)),Xref!A:B,2,0)</f>
        <v>BET</v>
      </c>
      <c r="M2850" t="str">
        <f t="shared" si="179"/>
        <v>BET-MAR</v>
      </c>
    </row>
    <row r="2851" spans="1:13" ht="14.25" customHeight="true">
      <c r="A2851" s="33" t="str">
        <f t="shared" si="176"/>
        <v>MAR - Intercompany</v>
      </c>
      <c r="B2851" s="33" t="str">
        <f t="shared" si="177"/>
        <v>MAR</v>
      </c>
      <c r="C2851" s="33" t="str">
        <f t="shared" si="178"/>
        <v>11312-0000</v>
      </c>
      <c r="D2851" t="s">
        <v>24199</v>
      </c>
      <c r="E2851" t="s">
        <v>14102</v>
      </c>
      <c r="F2851" t="s">
        <v>14039</v>
      </c>
      <c r="G2851" t="s">
        <v>14672</v>
      </c>
      <c r="H2851" t="s">
        <v>13869</v>
      </c>
      <c r="I2851" t="s">
        <v>14690</v>
      </c>
      <c r="J2851" s="62">
        <v>0</v>
      </c>
      <c r="K2851" s="62">
        <v>0</v>
      </c>
      <c r="L2851" t="str">
        <f>VLOOKUP(VALUE(LEFT(C2851,5)),Xref!A:B,2,0)</f>
        <v>DEL</v>
      </c>
      <c r="M2851" t="str">
        <f t="shared" si="179"/>
        <v>DEL-MAR</v>
      </c>
    </row>
    <row r="2852" spans="1:13" ht="14.25" customHeight="true">
      <c r="A2852" s="33" t="str">
        <f t="shared" si="176"/>
        <v>MAR - Intercompany</v>
      </c>
      <c r="B2852" s="33" t="str">
        <f t="shared" si="177"/>
        <v>MAR</v>
      </c>
      <c r="C2852" s="33" t="str">
        <f t="shared" si="178"/>
        <v>11313-0000</v>
      </c>
      <c r="D2852" t="s">
        <v>24200</v>
      </c>
      <c r="E2852" t="s">
        <v>13233</v>
      </c>
      <c r="F2852" t="s">
        <v>14039</v>
      </c>
      <c r="G2852" t="s">
        <v>14672</v>
      </c>
      <c r="H2852" t="s">
        <v>13869</v>
      </c>
      <c r="I2852" t="s">
        <v>14690</v>
      </c>
      <c r="J2852" s="62">
        <v>0</v>
      </c>
      <c r="K2852" s="62">
        <v>0</v>
      </c>
      <c r="L2852" t="str">
        <f>VLOOKUP(VALUE(LEFT(C2852,5)),Xref!A:B,2,0)</f>
        <v>DOL</v>
      </c>
      <c r="M2852" t="str">
        <f t="shared" si="179"/>
        <v>DOL-MAR</v>
      </c>
    </row>
    <row r="2853" spans="1:13" ht="14.25" customHeight="true">
      <c r="A2853" s="33" t="str">
        <f t="shared" si="176"/>
        <v>MAR - Intercompany</v>
      </c>
      <c r="B2853" s="33" t="str">
        <f t="shared" si="177"/>
        <v>MAR</v>
      </c>
      <c r="C2853" s="33" t="str">
        <f t="shared" si="178"/>
        <v>11314-0000</v>
      </c>
      <c r="D2853" t="s">
        <v>24201</v>
      </c>
      <c r="E2853" t="s">
        <v>13351</v>
      </c>
      <c r="F2853" t="s">
        <v>14039</v>
      </c>
      <c r="G2853" t="s">
        <v>14672</v>
      </c>
      <c r="H2853" t="s">
        <v>13869</v>
      </c>
      <c r="I2853" t="s">
        <v>14690</v>
      </c>
      <c r="J2853" s="62">
        <v>0</v>
      </c>
      <c r="K2853" s="62">
        <v>0</v>
      </c>
      <c r="L2853" t="str">
        <f>VLOOKUP(VALUE(LEFT(C2853,5)),Xref!A:B,2,0)</f>
        <v>GRI</v>
      </c>
      <c r="M2853" t="str">
        <f t="shared" si="179"/>
        <v>GRI-MAR</v>
      </c>
    </row>
    <row r="2854" spans="1:13" ht="14.25" customHeight="true">
      <c r="A2854" s="33" t="str">
        <f t="shared" si="176"/>
        <v>MAR - Intercompany</v>
      </c>
      <c r="B2854" s="33" t="str">
        <f t="shared" si="177"/>
        <v>MAR</v>
      </c>
      <c r="C2854" s="33" t="str">
        <f t="shared" si="178"/>
        <v>11315-0000</v>
      </c>
      <c r="D2854" t="s">
        <v>24202</v>
      </c>
      <c r="E2854" t="s">
        <v>13234</v>
      </c>
      <c r="F2854" t="s">
        <v>14039</v>
      </c>
      <c r="G2854" t="s">
        <v>14672</v>
      </c>
      <c r="H2854" t="s">
        <v>13869</v>
      </c>
      <c r="I2854" t="s">
        <v>14690</v>
      </c>
      <c r="J2854" s="62">
        <v>0</v>
      </c>
      <c r="K2854" s="62">
        <v>0</v>
      </c>
      <c r="L2854" t="str">
        <f>VLOOKUP(VALUE(LEFT(C2854,5)),Xref!A:B,2,0)</f>
        <v>PUR</v>
      </c>
      <c r="M2854" t="str">
        <f t="shared" si="179"/>
        <v>MAR-PUR</v>
      </c>
    </row>
    <row r="2855" spans="1:13" ht="14.25" customHeight="true">
      <c r="A2855" s="33" t="str">
        <f t="shared" si="176"/>
        <v>MAR - Intercompany</v>
      </c>
      <c r="B2855" s="33" t="str">
        <f t="shared" si="177"/>
        <v>MAR</v>
      </c>
      <c r="C2855" s="33" t="str">
        <f t="shared" si="178"/>
        <v>11316-0000</v>
      </c>
      <c r="D2855" t="s">
        <v>24203</v>
      </c>
      <c r="E2855" t="s">
        <v>13235</v>
      </c>
      <c r="F2855" t="s">
        <v>14039</v>
      </c>
      <c r="G2855" t="s">
        <v>14672</v>
      </c>
      <c r="H2855" t="s">
        <v>13869</v>
      </c>
      <c r="I2855" t="s">
        <v>14690</v>
      </c>
      <c r="J2855" s="62">
        <v>0</v>
      </c>
      <c r="K2855" s="62">
        <v>0</v>
      </c>
      <c r="L2855" t="str">
        <f>VLOOKUP(VALUE(LEFT(C2855,5)),Xref!A:B,2,0)</f>
        <v>VAL</v>
      </c>
      <c r="M2855" t="str">
        <f t="shared" si="179"/>
        <v>MAR-VAL</v>
      </c>
    </row>
    <row r="2856" spans="1:13" ht="14.25" customHeight="true">
      <c r="A2856" s="33" t="str">
        <f t="shared" si="176"/>
        <v>MAR - Intercompany</v>
      </c>
      <c r="B2856" s="33" t="str">
        <f t="shared" si="177"/>
        <v>MAR</v>
      </c>
      <c r="C2856" s="33" t="str">
        <f t="shared" si="178"/>
        <v>11317-0000</v>
      </c>
      <c r="D2856" t="s">
        <v>1635</v>
      </c>
      <c r="E2856" t="s">
        <v>13352</v>
      </c>
      <c r="F2856" t="s">
        <v>14039</v>
      </c>
      <c r="G2856" t="s">
        <v>14672</v>
      </c>
      <c r="H2856" t="s">
        <v>13869</v>
      </c>
      <c r="I2856" t="s">
        <v>14690</v>
      </c>
      <c r="J2856" s="62">
        <v>0</v>
      </c>
      <c r="K2856" s="62">
        <v>-10000</v>
      </c>
      <c r="L2856" t="str">
        <f>VLOOKUP(VALUE(LEFT(C2856,5)),Xref!A:B,2,0)</f>
        <v>AKG</v>
      </c>
      <c r="M2856" t="str">
        <f t="shared" si="179"/>
        <v>AKG-MAR</v>
      </c>
    </row>
    <row r="2857" spans="1:13" ht="14.25" customHeight="true">
      <c r="A2857" s="33" t="str">
        <f t="shared" si="176"/>
        <v>MAR - Intercompany</v>
      </c>
      <c r="B2857" s="33" t="str">
        <f t="shared" si="177"/>
        <v>MAR</v>
      </c>
      <c r="C2857" s="33" t="str">
        <f t="shared" si="178"/>
        <v>11318-0000</v>
      </c>
      <c r="D2857" t="s">
        <v>24204</v>
      </c>
      <c r="E2857" t="s">
        <v>13477</v>
      </c>
      <c r="F2857" t="s">
        <v>14039</v>
      </c>
      <c r="G2857" t="s">
        <v>14672</v>
      </c>
      <c r="H2857" t="s">
        <v>13869</v>
      </c>
      <c r="I2857" t="s">
        <v>14690</v>
      </c>
      <c r="J2857" s="62">
        <v>0</v>
      </c>
      <c r="K2857" s="62">
        <v>0</v>
      </c>
      <c r="L2857" t="str">
        <f>VLOOKUP(VALUE(LEFT(C2857,5)),Xref!A:B,2,0)</f>
        <v>FIR</v>
      </c>
      <c r="M2857" t="str">
        <f t="shared" si="179"/>
        <v>FIR-MAR</v>
      </c>
    </row>
    <row r="2858" spans="1:13" ht="14.25" customHeight="true">
      <c r="A2858" s="33" t="str">
        <f t="shared" si="176"/>
        <v>MAR - Intercompany</v>
      </c>
      <c r="B2858" s="33" t="str">
        <f t="shared" si="177"/>
        <v>MAR</v>
      </c>
      <c r="C2858" s="33" t="str">
        <f t="shared" si="178"/>
        <v>11319-0000</v>
      </c>
      <c r="D2858" t="s">
        <v>24205</v>
      </c>
      <c r="E2858" t="s">
        <v>266</v>
      </c>
      <c r="F2858" t="s">
        <v>14039</v>
      </c>
      <c r="G2858" t="s">
        <v>14672</v>
      </c>
      <c r="H2858" t="s">
        <v>13869</v>
      </c>
      <c r="I2858" t="s">
        <v>14690</v>
      </c>
      <c r="J2858" s="62">
        <v>0</v>
      </c>
      <c r="K2858" s="62">
        <v>0</v>
      </c>
      <c r="L2858" t="str">
        <f>VLOOKUP(VALUE(LEFT(C2858,5)),Xref!A:B,2,0)</f>
        <v>GST</v>
      </c>
      <c r="M2858" t="str">
        <f t="shared" si="179"/>
        <v>GST-MAR</v>
      </c>
    </row>
    <row r="2859" spans="1:13" ht="14.25" customHeight="true">
      <c r="A2859" s="33" t="str">
        <f t="shared" si="176"/>
        <v>MAR - Intercompany</v>
      </c>
      <c r="B2859" s="33" t="str">
        <f t="shared" si="177"/>
        <v>MAR</v>
      </c>
      <c r="C2859" s="33" t="str">
        <f t="shared" si="178"/>
        <v>11320-0000</v>
      </c>
      <c r="D2859" t="s">
        <v>24206</v>
      </c>
      <c r="E2859" t="s">
        <v>14111</v>
      </c>
      <c r="F2859" t="s">
        <v>14039</v>
      </c>
      <c r="G2859" t="s">
        <v>14672</v>
      </c>
      <c r="H2859" t="s">
        <v>13869</v>
      </c>
      <c r="I2859" t="s">
        <v>14690</v>
      </c>
      <c r="J2859" s="62">
        <v>0</v>
      </c>
      <c r="K2859" s="62">
        <v>0</v>
      </c>
      <c r="L2859" t="str">
        <f>VLOOKUP(VALUE(LEFT(C2859,5)),Xref!A:B,2,0)</f>
        <v>HDN</v>
      </c>
      <c r="M2859" t="str">
        <f t="shared" si="179"/>
        <v>HDN-MAR</v>
      </c>
    </row>
    <row r="2860" spans="1:13" ht="14.25" customHeight="true">
      <c r="A2860" s="33" t="str">
        <f t="shared" si="176"/>
        <v>MAR - Intercompany</v>
      </c>
      <c r="B2860" s="33" t="str">
        <f t="shared" si="177"/>
        <v>MAR</v>
      </c>
      <c r="C2860" s="33" t="str">
        <f t="shared" si="178"/>
        <v>11321-0000</v>
      </c>
      <c r="D2860" t="s">
        <v>24207</v>
      </c>
      <c r="E2860" t="s">
        <v>13236</v>
      </c>
      <c r="F2860" t="s">
        <v>14039</v>
      </c>
      <c r="G2860" t="s">
        <v>14672</v>
      </c>
      <c r="H2860" t="s">
        <v>13869</v>
      </c>
      <c r="I2860" t="s">
        <v>14690</v>
      </c>
      <c r="J2860" s="62">
        <v>0</v>
      </c>
      <c r="K2860" s="62">
        <v>0</v>
      </c>
      <c r="L2860" t="str">
        <f>VLOOKUP(VALUE(LEFT(C2860,5)),Xref!A:B,2,0)</f>
        <v>OVA</v>
      </c>
      <c r="M2860" t="str">
        <f t="shared" si="179"/>
        <v>MAR-OVA</v>
      </c>
    </row>
    <row r="2861" spans="1:13" ht="14.25" customHeight="true">
      <c r="A2861" s="33" t="str">
        <f t="shared" si="176"/>
        <v>MAR - Intercompany</v>
      </c>
      <c r="B2861" s="33" t="str">
        <f t="shared" si="177"/>
        <v>MAR</v>
      </c>
      <c r="C2861" s="33" t="str">
        <f t="shared" si="178"/>
        <v>11322-0000</v>
      </c>
      <c r="D2861" t="s">
        <v>24208</v>
      </c>
      <c r="E2861" t="s">
        <v>13237</v>
      </c>
      <c r="F2861" t="s">
        <v>14039</v>
      </c>
      <c r="G2861" t="s">
        <v>14672</v>
      </c>
      <c r="H2861" t="s">
        <v>13869</v>
      </c>
      <c r="I2861" t="s">
        <v>14690</v>
      </c>
      <c r="J2861" s="62">
        <v>0</v>
      </c>
      <c r="K2861" s="62">
        <v>0</v>
      </c>
      <c r="L2861" t="str">
        <f>VLOOKUP(VALUE(LEFT(C2861,5)),Xref!A:B,2,0)</f>
        <v>WOO</v>
      </c>
      <c r="M2861" t="str">
        <f t="shared" si="179"/>
        <v>MAR-WOO</v>
      </c>
    </row>
    <row r="2862" spans="1:13" ht="14.25" customHeight="true">
      <c r="A2862" s="33" t="str">
        <f t="shared" si="176"/>
        <v>MAR - Intercompany</v>
      </c>
      <c r="B2862" s="33" t="str">
        <f t="shared" si="177"/>
        <v>MAR</v>
      </c>
      <c r="C2862" s="33" t="str">
        <f t="shared" si="178"/>
        <v>11323-0000</v>
      </c>
      <c r="D2862" t="s">
        <v>24209</v>
      </c>
      <c r="E2862" t="s">
        <v>13478</v>
      </c>
      <c r="F2862" t="s">
        <v>14039</v>
      </c>
      <c r="G2862" t="s">
        <v>14672</v>
      </c>
      <c r="H2862" t="s">
        <v>13869</v>
      </c>
      <c r="I2862" t="s">
        <v>14690</v>
      </c>
      <c r="J2862" s="62">
        <v>0</v>
      </c>
      <c r="K2862" s="62">
        <v>0</v>
      </c>
      <c r="L2862" t="str">
        <f>VLOOKUP(VALUE(LEFT(C2862,5)),Xref!A:B,2,0)</f>
        <v>SPI</v>
      </c>
      <c r="M2862" t="str">
        <f t="shared" si="179"/>
        <v>MAR-SPI</v>
      </c>
    </row>
    <row r="2863" spans="1:13" ht="14.25" customHeight="true">
      <c r="A2863" s="33" t="str">
        <f t="shared" si="176"/>
        <v>MAR - Intercompany</v>
      </c>
      <c r="B2863" s="33" t="str">
        <f t="shared" si="177"/>
        <v>MAR</v>
      </c>
      <c r="C2863" s="33" t="str">
        <f t="shared" si="178"/>
        <v>11324-0000</v>
      </c>
      <c r="D2863" t="s">
        <v>24210</v>
      </c>
      <c r="E2863" t="s">
        <v>13238</v>
      </c>
      <c r="F2863" t="s">
        <v>14039</v>
      </c>
      <c r="G2863" t="s">
        <v>14672</v>
      </c>
      <c r="H2863" t="s">
        <v>13869</v>
      </c>
      <c r="I2863" t="s">
        <v>14690</v>
      </c>
      <c r="J2863" s="62">
        <v>0</v>
      </c>
      <c r="K2863" s="62">
        <v>0</v>
      </c>
      <c r="L2863" t="str">
        <f>VLOOKUP(VALUE(LEFT(C2863,5)),Xref!A:B,2,0)</f>
        <v>NET</v>
      </c>
      <c r="M2863" t="str">
        <f t="shared" si="179"/>
        <v>MAR-NET</v>
      </c>
    </row>
    <row r="2864" spans="1:13" ht="14.25" customHeight="true">
      <c r="A2864" s="33" t="str">
        <f t="shared" si="176"/>
        <v>MAR - Intercompany</v>
      </c>
      <c r="B2864" s="33" t="str">
        <f t="shared" si="177"/>
        <v>MAR</v>
      </c>
      <c r="C2864" s="33" t="str">
        <f t="shared" si="178"/>
        <v>11325-0000</v>
      </c>
      <c r="D2864" t="s">
        <v>24211</v>
      </c>
      <c r="E2864" t="s">
        <v>13239</v>
      </c>
      <c r="F2864" t="s">
        <v>14039</v>
      </c>
      <c r="G2864" t="s">
        <v>14672</v>
      </c>
      <c r="H2864" t="s">
        <v>13869</v>
      </c>
      <c r="I2864" t="s">
        <v>14690</v>
      </c>
      <c r="J2864" s="62">
        <v>0</v>
      </c>
      <c r="K2864" s="62">
        <v>0</v>
      </c>
      <c r="L2864" t="str">
        <f>VLOOKUP(VALUE(LEFT(C2864,5)),Xref!A:B,2,0)</f>
        <v>DPI</v>
      </c>
      <c r="M2864" t="str">
        <f t="shared" si="179"/>
        <v>DPI-MAR</v>
      </c>
    </row>
    <row r="2865" spans="1:13" ht="14.25" customHeight="true">
      <c r="A2865" s="33" t="str">
        <f t="shared" si="176"/>
        <v>MAR - Intercompany</v>
      </c>
      <c r="B2865" s="33" t="str">
        <f t="shared" si="177"/>
        <v>MAR</v>
      </c>
      <c r="C2865" s="33" t="str">
        <f t="shared" si="178"/>
        <v>11326-0000</v>
      </c>
      <c r="D2865" t="s">
        <v>24212</v>
      </c>
      <c r="E2865" t="s">
        <v>13240</v>
      </c>
      <c r="F2865" t="s">
        <v>14039</v>
      </c>
      <c r="G2865" t="s">
        <v>14672</v>
      </c>
      <c r="H2865" t="s">
        <v>13869</v>
      </c>
      <c r="I2865" t="s">
        <v>14690</v>
      </c>
      <c r="J2865" s="62">
        <v>0</v>
      </c>
      <c r="K2865" s="62">
        <v>0</v>
      </c>
      <c r="L2865" t="str">
        <f>VLOOKUP(VALUE(LEFT(C2865,5)),Xref!A:B,2,0)</f>
        <v>SEK</v>
      </c>
      <c r="M2865" t="str">
        <f t="shared" si="179"/>
        <v>MAR-SEK</v>
      </c>
    </row>
    <row r="2866" spans="1:13" ht="14.25" customHeight="true">
      <c r="A2866" s="33" t="str">
        <f t="shared" si="176"/>
        <v>MAR - Intercompany</v>
      </c>
      <c r="B2866" s="33" t="str">
        <f t="shared" si="177"/>
        <v>MAR</v>
      </c>
      <c r="C2866" s="33" t="str">
        <f t="shared" si="178"/>
        <v>11327-0000</v>
      </c>
      <c r="D2866" t="s">
        <v>24213</v>
      </c>
      <c r="E2866" t="s">
        <v>14119</v>
      </c>
      <c r="F2866" t="s">
        <v>14039</v>
      </c>
      <c r="G2866" t="s">
        <v>14672</v>
      </c>
      <c r="H2866" t="s">
        <v>13869</v>
      </c>
      <c r="I2866" t="s">
        <v>14690</v>
      </c>
      <c r="J2866" s="62">
        <v>0</v>
      </c>
      <c r="K2866" s="62">
        <v>0</v>
      </c>
      <c r="L2866" t="str">
        <f>VLOOKUP(VALUE(LEFT(C2866,5)),Xref!A:B,2,0)</f>
        <v>CPI</v>
      </c>
      <c r="M2866" t="str">
        <f t="shared" si="179"/>
        <v>CPI-MAR</v>
      </c>
    </row>
    <row r="2867" spans="1:13" ht="14.25" customHeight="true">
      <c r="A2867" s="33" t="str">
        <f t="shared" si="176"/>
        <v>MAR - Intercompany</v>
      </c>
      <c r="B2867" s="33" t="str">
        <f t="shared" si="177"/>
        <v>MAR</v>
      </c>
      <c r="C2867" s="33" t="str">
        <f t="shared" si="178"/>
        <v>11328-0000</v>
      </c>
      <c r="D2867" t="s">
        <v>24214</v>
      </c>
      <c r="E2867" t="s">
        <v>13241</v>
      </c>
      <c r="F2867" t="s">
        <v>14039</v>
      </c>
      <c r="G2867" t="s">
        <v>14672</v>
      </c>
      <c r="H2867" t="s">
        <v>13869</v>
      </c>
      <c r="I2867" t="s">
        <v>14690</v>
      </c>
      <c r="J2867" s="62">
        <v>0</v>
      </c>
      <c r="K2867" s="62">
        <v>0</v>
      </c>
      <c r="L2867" t="str">
        <f>VLOOKUP(VALUE(LEFT(C2867,5)),Xref!A:B,2,0)</f>
        <v>LOM</v>
      </c>
      <c r="M2867" t="str">
        <f t="shared" si="179"/>
        <v>LOM-MAR</v>
      </c>
    </row>
    <row r="2868" spans="1:13" ht="14.25" customHeight="true">
      <c r="A2868" s="33" t="str">
        <f t="shared" si="176"/>
        <v>MAR - Intercompany</v>
      </c>
      <c r="B2868" s="33" t="str">
        <f t="shared" si="177"/>
        <v>MAR</v>
      </c>
      <c r="C2868" s="33" t="str">
        <f t="shared" si="178"/>
        <v>11329-0000</v>
      </c>
      <c r="D2868" t="s">
        <v>24215</v>
      </c>
      <c r="E2868" t="s">
        <v>13353</v>
      </c>
      <c r="F2868" t="s">
        <v>14039</v>
      </c>
      <c r="G2868" t="s">
        <v>14672</v>
      </c>
      <c r="H2868" t="s">
        <v>13869</v>
      </c>
      <c r="I2868" t="s">
        <v>14690</v>
      </c>
      <c r="J2868" s="62">
        <v>0</v>
      </c>
      <c r="K2868" s="62">
        <v>0</v>
      </c>
      <c r="L2868" t="str">
        <f>VLOOKUP(VALUE(LEFT(C2868,5)),Xref!A:B,2,0)</f>
        <v>AKS</v>
      </c>
      <c r="M2868" t="str">
        <f t="shared" si="179"/>
        <v>AKS-MAR</v>
      </c>
    </row>
    <row r="2869" spans="1:13" ht="14.25" customHeight="true">
      <c r="A2869" s="33" t="str">
        <f t="shared" si="176"/>
        <v>MAR - Intercompany</v>
      </c>
      <c r="B2869" s="33" t="str">
        <f t="shared" si="177"/>
        <v>MAR</v>
      </c>
      <c r="C2869" s="33" t="str">
        <f t="shared" si="178"/>
        <v>11330-0000</v>
      </c>
      <c r="D2869" t="s">
        <v>24216</v>
      </c>
      <c r="E2869" t="s">
        <v>13242</v>
      </c>
      <c r="F2869" t="s">
        <v>14039</v>
      </c>
      <c r="G2869" t="s">
        <v>14672</v>
      </c>
      <c r="H2869" t="s">
        <v>13869</v>
      </c>
      <c r="I2869" t="s">
        <v>14690</v>
      </c>
      <c r="J2869" s="62">
        <v>0</v>
      </c>
      <c r="K2869" s="62">
        <v>0</v>
      </c>
      <c r="L2869" t="str">
        <f>VLOOKUP(VALUE(LEFT(C2869,5)),Xref!A:B,2,0)</f>
        <v>MAR</v>
      </c>
      <c r="M2869" t="str">
        <f t="shared" si="179"/>
        <v>MAR-MAR</v>
      </c>
    </row>
    <row r="2870" spans="1:13" ht="14.25" customHeight="true">
      <c r="A2870" s="33" t="str">
        <f t="shared" si="176"/>
        <v>MAR - Intercompany</v>
      </c>
      <c r="B2870" s="33" t="str">
        <f t="shared" si="177"/>
        <v>MAR</v>
      </c>
      <c r="C2870" s="33" t="str">
        <f t="shared" si="178"/>
        <v>11331-0000</v>
      </c>
      <c r="D2870" t="s">
        <v>24217</v>
      </c>
      <c r="E2870" t="s">
        <v>13354</v>
      </c>
      <c r="F2870" t="s">
        <v>14039</v>
      </c>
      <c r="G2870" t="s">
        <v>14672</v>
      </c>
      <c r="H2870" t="s">
        <v>13869</v>
      </c>
      <c r="I2870" t="s">
        <v>14690</v>
      </c>
      <c r="J2870" s="62">
        <v>0</v>
      </c>
      <c r="K2870" s="62">
        <v>0</v>
      </c>
      <c r="L2870" t="str">
        <f>VLOOKUP(VALUE(LEFT(C2870,5)),Xref!A:B,2,0)</f>
        <v>WIL</v>
      </c>
      <c r="M2870" t="str">
        <f t="shared" si="179"/>
        <v>MAR-WIL</v>
      </c>
    </row>
    <row r="2871" spans="1:13" ht="14.25" customHeight="true">
      <c r="A2871" s="33" t="str">
        <f t="shared" si="176"/>
        <v>MAR - Intercompany</v>
      </c>
      <c r="B2871" s="33" t="str">
        <f t="shared" si="177"/>
        <v>MAR</v>
      </c>
      <c r="C2871" s="33" t="str">
        <f t="shared" si="178"/>
        <v>11332-0000</v>
      </c>
      <c r="D2871" t="s">
        <v>24218</v>
      </c>
      <c r="E2871" t="s">
        <v>13243</v>
      </c>
      <c r="F2871" t="s">
        <v>14039</v>
      </c>
      <c r="G2871" t="s">
        <v>14672</v>
      </c>
      <c r="H2871" t="s">
        <v>13869</v>
      </c>
      <c r="I2871" t="s">
        <v>14690</v>
      </c>
      <c r="J2871" s="62">
        <v>0</v>
      </c>
      <c r="K2871" s="62">
        <v>0</v>
      </c>
      <c r="L2871" t="str">
        <f>VLOOKUP(VALUE(LEFT(C2871,5)),Xref!A:B,2,0)</f>
        <v>STO</v>
      </c>
      <c r="M2871" t="str">
        <f t="shared" si="179"/>
        <v>MAR-STO</v>
      </c>
    </row>
    <row r="2872" spans="1:13" ht="14.25" customHeight="true">
      <c r="A2872" s="33" t="str">
        <f t="shared" si="176"/>
        <v>MAR - Intercompany</v>
      </c>
      <c r="B2872" s="33" t="str">
        <f t="shared" si="177"/>
        <v>MAR</v>
      </c>
      <c r="C2872" s="33" t="str">
        <f t="shared" si="178"/>
        <v>11333-0000</v>
      </c>
      <c r="D2872" t="s">
        <v>24219</v>
      </c>
      <c r="E2872" t="s">
        <v>13244</v>
      </c>
      <c r="F2872" t="s">
        <v>14039</v>
      </c>
      <c r="G2872" t="s">
        <v>14672</v>
      </c>
      <c r="H2872" t="s">
        <v>13869</v>
      </c>
      <c r="I2872" t="s">
        <v>14690</v>
      </c>
      <c r="J2872" s="62">
        <v>0</v>
      </c>
      <c r="K2872" s="62">
        <v>0</v>
      </c>
      <c r="L2872" t="str">
        <f>VLOOKUP(VALUE(LEFT(C2872,5)),Xref!A:B,2,0)</f>
        <v>ANG</v>
      </c>
      <c r="M2872" t="str">
        <f t="shared" si="179"/>
        <v>ANG-MAR</v>
      </c>
    </row>
    <row r="2873" spans="1:13" ht="14.25" customHeight="true">
      <c r="A2873" s="33" t="str">
        <f t="shared" si="176"/>
        <v>MAR - Intercompany</v>
      </c>
      <c r="B2873" s="33" t="str">
        <f t="shared" si="177"/>
        <v>MAR</v>
      </c>
      <c r="C2873" s="33" t="str">
        <f t="shared" si="178"/>
        <v>11334-0000</v>
      </c>
      <c r="D2873" t="s">
        <v>1637</v>
      </c>
      <c r="E2873" t="s">
        <v>13245</v>
      </c>
      <c r="F2873" t="s">
        <v>14039</v>
      </c>
      <c r="G2873" t="s">
        <v>14672</v>
      </c>
      <c r="H2873" t="s">
        <v>13869</v>
      </c>
      <c r="I2873" t="s">
        <v>14690</v>
      </c>
      <c r="J2873" s="62">
        <v>0</v>
      </c>
      <c r="K2873" s="62">
        <v>-5000</v>
      </c>
      <c r="L2873" t="str">
        <f>VLOOKUP(VALUE(LEFT(C2873,5)),Xref!A:B,2,0)</f>
        <v>BRU</v>
      </c>
      <c r="M2873" t="str">
        <f t="shared" si="179"/>
        <v>BRU-MAR</v>
      </c>
    </row>
    <row r="2874" spans="1:13" ht="14.25" customHeight="true">
      <c r="A2874" s="33" t="str">
        <f t="shared" si="176"/>
        <v>MAR - Intercompany</v>
      </c>
      <c r="B2874" s="33" t="str">
        <f t="shared" si="177"/>
        <v>MAR</v>
      </c>
      <c r="C2874" s="33" t="str">
        <f t="shared" si="178"/>
        <v>11335-0000</v>
      </c>
      <c r="D2874" t="s">
        <v>24220</v>
      </c>
      <c r="E2874" t="s">
        <v>13246</v>
      </c>
      <c r="F2874" t="s">
        <v>14039</v>
      </c>
      <c r="G2874" t="s">
        <v>14672</v>
      </c>
      <c r="H2874" t="s">
        <v>13869</v>
      </c>
      <c r="I2874" t="s">
        <v>14690</v>
      </c>
      <c r="J2874" s="62">
        <v>0</v>
      </c>
      <c r="K2874" s="62">
        <v>0</v>
      </c>
      <c r="L2874" t="str">
        <f>VLOOKUP(VALUE(LEFT(C2874,5)),Xref!A:B,2,0)</f>
        <v>VEN</v>
      </c>
      <c r="M2874" t="str">
        <f t="shared" si="179"/>
        <v>MAR-VEN</v>
      </c>
    </row>
    <row r="2875" spans="1:13" ht="14.25" customHeight="true">
      <c r="A2875" s="33" t="str">
        <f t="shared" si="176"/>
        <v>MAR - Intercompany</v>
      </c>
      <c r="B2875" s="33" t="str">
        <f t="shared" si="177"/>
        <v>MAR</v>
      </c>
      <c r="C2875" s="33" t="str">
        <f t="shared" si="178"/>
        <v>11336-0000</v>
      </c>
      <c r="D2875" t="s">
        <v>24221</v>
      </c>
      <c r="E2875" t="s">
        <v>13247</v>
      </c>
      <c r="F2875" t="s">
        <v>14039</v>
      </c>
      <c r="G2875" t="s">
        <v>14672</v>
      </c>
      <c r="H2875" t="s">
        <v>13869</v>
      </c>
      <c r="I2875" t="s">
        <v>14690</v>
      </c>
      <c r="J2875" s="62">
        <v>0</v>
      </c>
      <c r="K2875" s="62">
        <v>0</v>
      </c>
      <c r="L2875" t="str">
        <f>VLOOKUP(VALUE(LEFT(C2875,5)),Xref!A:B,2,0)</f>
        <v>SAT</v>
      </c>
      <c r="M2875" t="str">
        <f t="shared" si="179"/>
        <v>MAR-SAT</v>
      </c>
    </row>
    <row r="2876" spans="1:13" ht="14.25" customHeight="true">
      <c r="A2876" s="33" t="str">
        <f t="shared" si="176"/>
        <v>MAR - Intercompany</v>
      </c>
      <c r="B2876" s="33" t="str">
        <f t="shared" si="177"/>
        <v>MAR</v>
      </c>
      <c r="C2876" s="33" t="str">
        <f t="shared" si="178"/>
        <v>11337-0000</v>
      </c>
      <c r="D2876" t="s">
        <v>24222</v>
      </c>
      <c r="E2876" t="s">
        <v>13248</v>
      </c>
      <c r="F2876" t="s">
        <v>14039</v>
      </c>
      <c r="G2876" t="s">
        <v>14672</v>
      </c>
      <c r="H2876" t="s">
        <v>13869</v>
      </c>
      <c r="I2876" t="s">
        <v>14690</v>
      </c>
      <c r="J2876" s="62">
        <v>0</v>
      </c>
      <c r="K2876" s="62">
        <v>0</v>
      </c>
      <c r="L2876" t="str">
        <f>VLOOKUP(VALUE(LEFT(C2876,5)),Xref!A:B,2,0)</f>
        <v>NEP</v>
      </c>
      <c r="M2876" t="str">
        <f t="shared" si="179"/>
        <v>MAR-NEP</v>
      </c>
    </row>
    <row r="2877" spans="1:13" ht="14.25" customHeight="true">
      <c r="A2877" s="33" t="str">
        <f t="shared" si="176"/>
        <v>MAR - Intercompany</v>
      </c>
      <c r="B2877" s="33" t="str">
        <f t="shared" si="177"/>
        <v>MAR</v>
      </c>
      <c r="C2877" s="33" t="str">
        <f t="shared" si="178"/>
        <v>11338-0000</v>
      </c>
      <c r="D2877" t="s">
        <v>24223</v>
      </c>
      <c r="E2877" t="s">
        <v>14131</v>
      </c>
      <c r="F2877" t="s">
        <v>14039</v>
      </c>
      <c r="G2877" t="s">
        <v>14672</v>
      </c>
      <c r="H2877" t="s">
        <v>13869</v>
      </c>
      <c r="I2877" t="s">
        <v>14690</v>
      </c>
      <c r="J2877" s="62">
        <v>0</v>
      </c>
      <c r="K2877" s="62">
        <v>0</v>
      </c>
      <c r="L2877" t="str">
        <f>VLOOKUP(VALUE(LEFT(C2877,5)),Xref!A:B,2,0)</f>
        <v>JUP</v>
      </c>
      <c r="M2877" t="str">
        <f t="shared" si="179"/>
        <v>JUP-MAR</v>
      </c>
    </row>
    <row r="2878" spans="1:13" ht="14.25" customHeight="true">
      <c r="A2878" s="33" t="str">
        <f t="shared" si="176"/>
        <v>MAR - Intercompany</v>
      </c>
      <c r="B2878" s="33" t="str">
        <f t="shared" si="177"/>
        <v>MAR</v>
      </c>
      <c r="C2878" s="33" t="str">
        <f t="shared" si="178"/>
        <v>11339-0000</v>
      </c>
      <c r="D2878" t="s">
        <v>24224</v>
      </c>
      <c r="E2878" t="s">
        <v>14133</v>
      </c>
      <c r="F2878" t="s">
        <v>14039</v>
      </c>
      <c r="G2878" t="s">
        <v>14672</v>
      </c>
      <c r="H2878" t="s">
        <v>13869</v>
      </c>
      <c r="I2878" t="s">
        <v>14690</v>
      </c>
      <c r="J2878" s="62">
        <v>0</v>
      </c>
      <c r="K2878" s="62">
        <v>0</v>
      </c>
      <c r="L2878" t="str">
        <f>VLOOKUP(VALUE(LEFT(C2878,5)),Xref!A:B,2,0)</f>
        <v>WES</v>
      </c>
      <c r="M2878" t="str">
        <f t="shared" si="179"/>
        <v>MAR-WES</v>
      </c>
    </row>
    <row r="2879" spans="1:13" ht="14.25" customHeight="true">
      <c r="A2879" s="33" t="str">
        <f t="shared" si="176"/>
        <v>MAR - Intercompany</v>
      </c>
      <c r="B2879" s="33" t="str">
        <f t="shared" si="177"/>
        <v>MAR</v>
      </c>
      <c r="C2879" s="33" t="str">
        <f t="shared" si="178"/>
        <v>11340-0000</v>
      </c>
      <c r="D2879" t="s">
        <v>24225</v>
      </c>
      <c r="E2879" t="s">
        <v>14135</v>
      </c>
      <c r="F2879" t="s">
        <v>14039</v>
      </c>
      <c r="G2879" t="s">
        <v>14672</v>
      </c>
      <c r="H2879" t="s">
        <v>13869</v>
      </c>
      <c r="I2879" t="s">
        <v>14690</v>
      </c>
      <c r="J2879" s="62">
        <v>0</v>
      </c>
      <c r="K2879" s="62">
        <v>0</v>
      </c>
      <c r="L2879" t="str">
        <f>VLOOKUP(VALUE(LEFT(C2879,5)),Xref!A:B,2,0)</f>
        <v>LCP</v>
      </c>
      <c r="M2879" t="str">
        <f t="shared" si="179"/>
        <v>LCP-MAR</v>
      </c>
    </row>
    <row r="2880" spans="1:13" ht="14.25" customHeight="true">
      <c r="A2880" s="33" t="str">
        <f t="shared" si="176"/>
        <v>MAR - Intercompany</v>
      </c>
      <c r="B2880" s="33" t="str">
        <f t="shared" si="177"/>
        <v>MAR</v>
      </c>
      <c r="C2880" s="33" t="str">
        <f t="shared" si="178"/>
        <v>11341-0000</v>
      </c>
      <c r="D2880" t="s">
        <v>24226</v>
      </c>
      <c r="E2880" t="s">
        <v>13639</v>
      </c>
      <c r="F2880" t="s">
        <v>14039</v>
      </c>
      <c r="G2880" t="s">
        <v>14672</v>
      </c>
      <c r="H2880" t="s">
        <v>13869</v>
      </c>
      <c r="I2880" t="s">
        <v>14690</v>
      </c>
      <c r="J2880" s="62">
        <v>0</v>
      </c>
      <c r="K2880" s="62">
        <v>0</v>
      </c>
      <c r="L2880" t="str">
        <f>VLOOKUP(VALUE(LEFT(C2880,5)),Xref!A:B,2,0)</f>
        <v>NOR</v>
      </c>
      <c r="M2880" t="str">
        <f t="shared" si="179"/>
        <v>MAR-NOR</v>
      </c>
    </row>
    <row r="2881" spans="1:13" ht="14.25" customHeight="true">
      <c r="A2881" s="33" t="str">
        <f t="shared" si="176"/>
        <v>MAR - Intercompany</v>
      </c>
      <c r="B2881" s="33" t="str">
        <f t="shared" si="177"/>
        <v>MAR</v>
      </c>
      <c r="C2881" s="33" t="str">
        <f t="shared" si="178"/>
        <v>11342-0000</v>
      </c>
      <c r="D2881" t="s">
        <v>24227</v>
      </c>
      <c r="E2881" t="s">
        <v>13355</v>
      </c>
      <c r="F2881" t="s">
        <v>14039</v>
      </c>
      <c r="G2881" t="s">
        <v>14672</v>
      </c>
      <c r="H2881" t="s">
        <v>13869</v>
      </c>
      <c r="I2881" t="s">
        <v>14690</v>
      </c>
      <c r="J2881" s="62">
        <v>0</v>
      </c>
      <c r="K2881" s="62">
        <v>0</v>
      </c>
      <c r="L2881" t="str">
        <f>VLOOKUP(VALUE(LEFT(C2881,5)),Xref!A:B,2,0)</f>
        <v>EAS</v>
      </c>
      <c r="M2881" t="str">
        <f t="shared" si="179"/>
        <v>EAS-MAR</v>
      </c>
    </row>
    <row r="2882" spans="1:13" ht="14.25" customHeight="true">
      <c r="A2882" s="33" t="str">
        <f t="shared" ref="A2882:A2945" si="180">B2882&amp;" - "&amp;TRIM(H2882)</f>
        <v>MAR - Intercompany</v>
      </c>
      <c r="B2882" s="33" t="str">
        <f t="shared" ref="B2882:B2945" si="181">LEFT(D2882,3)</f>
        <v>MAR</v>
      </c>
      <c r="C2882" s="33" t="str">
        <f t="shared" ref="C2882:C2945" si="182">RIGHT(D2882,10)</f>
        <v>11343-0000</v>
      </c>
      <c r="D2882" t="s">
        <v>24228</v>
      </c>
      <c r="E2882" t="s">
        <v>14139</v>
      </c>
      <c r="F2882" t="s">
        <v>14039</v>
      </c>
      <c r="G2882" t="s">
        <v>14672</v>
      </c>
      <c r="H2882" t="s">
        <v>13869</v>
      </c>
      <c r="I2882" t="s">
        <v>14690</v>
      </c>
      <c r="J2882" s="62">
        <v>0</v>
      </c>
      <c r="K2882" s="62">
        <v>0</v>
      </c>
      <c r="L2882" t="str">
        <f>VLOOKUP(VALUE(LEFT(C2882,5)),Xref!A:B,2,0)</f>
        <v>GRA</v>
      </c>
      <c r="M2882" t="str">
        <f t="shared" ref="M2882:M2945" si="183">IF(B2882&lt;L2882,B2882&amp;"-"&amp;L2882,L2882&amp;"-"&amp;B2882)</f>
        <v>GRA-MAR</v>
      </c>
    </row>
    <row r="2883" spans="1:13" ht="14.25" customHeight="true">
      <c r="A2883" s="33" t="str">
        <f t="shared" si="180"/>
        <v>MAR - Intercompany</v>
      </c>
      <c r="B2883" s="33" t="str">
        <f t="shared" si="181"/>
        <v>MAR</v>
      </c>
      <c r="C2883" s="33" t="str">
        <f t="shared" si="182"/>
        <v>11344-0000</v>
      </c>
      <c r="D2883" t="s">
        <v>1638</v>
      </c>
      <c r="E2883" t="s">
        <v>14141</v>
      </c>
      <c r="F2883" t="s">
        <v>14039</v>
      </c>
      <c r="G2883" t="s">
        <v>14672</v>
      </c>
      <c r="H2883" t="s">
        <v>13869</v>
      </c>
      <c r="I2883" t="s">
        <v>14690</v>
      </c>
      <c r="J2883" s="62">
        <v>0</v>
      </c>
      <c r="K2883" s="62">
        <v>-14000</v>
      </c>
      <c r="L2883" t="str">
        <f>VLOOKUP(VALUE(LEFT(C2883,5)),Xref!A:B,2,0)</f>
        <v>SOU</v>
      </c>
      <c r="M2883" t="str">
        <f t="shared" si="183"/>
        <v>MAR-SOU</v>
      </c>
    </row>
    <row r="2884" spans="1:13" ht="14.25" customHeight="true">
      <c r="A2884" s="33" t="str">
        <f t="shared" si="180"/>
        <v>MAR - Intercompany</v>
      </c>
      <c r="B2884" s="33" t="str">
        <f t="shared" si="181"/>
        <v>MAR</v>
      </c>
      <c r="C2884" s="33" t="str">
        <f t="shared" si="182"/>
        <v>11345-0000</v>
      </c>
      <c r="D2884" t="s">
        <v>24229</v>
      </c>
      <c r="E2884" t="s">
        <v>14143</v>
      </c>
      <c r="F2884" t="s">
        <v>14039</v>
      </c>
      <c r="G2884" t="s">
        <v>14672</v>
      </c>
      <c r="H2884" t="s">
        <v>13869</v>
      </c>
      <c r="I2884" t="s">
        <v>14690</v>
      </c>
      <c r="J2884" s="62">
        <v>0</v>
      </c>
      <c r="K2884" s="62">
        <v>0</v>
      </c>
      <c r="L2884" t="str">
        <f>VLOOKUP(VALUE(LEFT(C2884,5)),Xref!A:B,2,0)</f>
        <v>API</v>
      </c>
      <c r="M2884" t="str">
        <f t="shared" si="183"/>
        <v>API-MAR</v>
      </c>
    </row>
    <row r="2885" spans="1:13" ht="14.25" customHeight="true">
      <c r="A2885" s="33" t="str">
        <f t="shared" si="180"/>
        <v>MAR - Intercompany</v>
      </c>
      <c r="B2885" s="33" t="str">
        <f t="shared" si="181"/>
        <v>MAR</v>
      </c>
      <c r="C2885" s="33" t="str">
        <f t="shared" si="182"/>
        <v>11346-0000</v>
      </c>
      <c r="D2885" t="s">
        <v>24230</v>
      </c>
      <c r="E2885" t="s">
        <v>14145</v>
      </c>
      <c r="F2885" t="s">
        <v>14039</v>
      </c>
      <c r="G2885" t="s">
        <v>14672</v>
      </c>
      <c r="H2885" t="s">
        <v>13869</v>
      </c>
      <c r="I2885" t="s">
        <v>14690</v>
      </c>
      <c r="J2885" s="62">
        <v>0</v>
      </c>
      <c r="K2885" s="62">
        <v>0</v>
      </c>
      <c r="L2885" t="str">
        <f>VLOOKUP(VALUE(LEFT(C2885,5)),Xref!A:B,2,0)</f>
        <v>DPH</v>
      </c>
      <c r="M2885" t="str">
        <f t="shared" si="183"/>
        <v>DPH-MAR</v>
      </c>
    </row>
    <row r="2886" spans="1:13" ht="14.25" customHeight="true">
      <c r="A2886" s="33" t="str">
        <f t="shared" si="180"/>
        <v>MAR - Intercompany</v>
      </c>
      <c r="B2886" s="33" t="str">
        <f t="shared" si="181"/>
        <v>MAR</v>
      </c>
      <c r="C2886" s="33" t="str">
        <f t="shared" si="182"/>
        <v>11347-0000</v>
      </c>
      <c r="D2886" t="s">
        <v>24231</v>
      </c>
      <c r="E2886" t="s">
        <v>14147</v>
      </c>
      <c r="F2886" t="s">
        <v>14039</v>
      </c>
      <c r="G2886" t="s">
        <v>14672</v>
      </c>
      <c r="H2886" t="s">
        <v>13869</v>
      </c>
      <c r="I2886" t="s">
        <v>14690</v>
      </c>
      <c r="J2886" s="62">
        <v>0</v>
      </c>
      <c r="K2886" s="62">
        <v>0</v>
      </c>
      <c r="L2886" t="str">
        <f>VLOOKUP(VALUE(LEFT(C2886,5)),Xref!A:B,2,0)</f>
        <v>ZPI</v>
      </c>
      <c r="M2886" t="str">
        <f t="shared" si="183"/>
        <v>MAR-ZPI</v>
      </c>
    </row>
    <row r="2887" spans="1:13" ht="14.25" customHeight="true">
      <c r="A2887" s="33" t="str">
        <f t="shared" si="180"/>
        <v>MAR - Intercompany</v>
      </c>
      <c r="B2887" s="33" t="str">
        <f t="shared" si="181"/>
        <v>MAR</v>
      </c>
      <c r="C2887" s="33" t="str">
        <f t="shared" si="182"/>
        <v>11348-0000</v>
      </c>
      <c r="D2887" t="s">
        <v>24232</v>
      </c>
      <c r="E2887" t="s">
        <v>14149</v>
      </c>
      <c r="F2887" t="s">
        <v>14039</v>
      </c>
      <c r="G2887" t="s">
        <v>14672</v>
      </c>
      <c r="H2887" t="s">
        <v>13869</v>
      </c>
      <c r="I2887" t="s">
        <v>14690</v>
      </c>
      <c r="J2887" s="62">
        <v>0</v>
      </c>
      <c r="K2887" s="62">
        <v>0</v>
      </c>
      <c r="L2887" t="str">
        <f>VLOOKUP(VALUE(LEFT(C2887,5)),Xref!A:B,2,0)</f>
        <v>EAM</v>
      </c>
      <c r="M2887" t="str">
        <f t="shared" si="183"/>
        <v>EAM-MAR</v>
      </c>
    </row>
    <row r="2888" spans="1:13" ht="14.25" customHeight="true">
      <c r="A2888" s="33" t="str">
        <f t="shared" si="180"/>
        <v>MAR - Intercompany</v>
      </c>
      <c r="B2888" s="33" t="str">
        <f t="shared" si="181"/>
        <v>MAR</v>
      </c>
      <c r="C2888" s="33" t="str">
        <f t="shared" si="182"/>
        <v>11349-0000</v>
      </c>
      <c r="D2888" t="s">
        <v>24233</v>
      </c>
      <c r="E2888" t="s">
        <v>14151</v>
      </c>
      <c r="F2888" t="s">
        <v>14039</v>
      </c>
      <c r="G2888" t="s">
        <v>14672</v>
      </c>
      <c r="H2888" t="s">
        <v>13869</v>
      </c>
      <c r="I2888" t="s">
        <v>14690</v>
      </c>
      <c r="J2888" s="62">
        <v>0</v>
      </c>
      <c r="K2888" s="62">
        <v>0</v>
      </c>
      <c r="L2888" t="str">
        <f>VLOOKUP(VALUE(LEFT(C2888,5)),Xref!A:B,2,0)</f>
        <v>SEA</v>
      </c>
      <c r="M2888" t="str">
        <f t="shared" si="183"/>
        <v>MAR-SEA</v>
      </c>
    </row>
    <row r="2889" spans="1:13" ht="14.25" customHeight="true">
      <c r="A2889" s="33" t="str">
        <f t="shared" si="180"/>
        <v>MAR - Intercompany</v>
      </c>
      <c r="B2889" s="33" t="str">
        <f t="shared" si="181"/>
        <v>MAR</v>
      </c>
      <c r="C2889" s="33" t="str">
        <f t="shared" si="182"/>
        <v>11350-0000</v>
      </c>
      <c r="D2889" t="s">
        <v>24234</v>
      </c>
      <c r="E2889" t="s">
        <v>14153</v>
      </c>
      <c r="F2889" t="s">
        <v>14039</v>
      </c>
      <c r="G2889" t="s">
        <v>14672</v>
      </c>
      <c r="H2889" t="s">
        <v>13869</v>
      </c>
      <c r="I2889" t="s">
        <v>14690</v>
      </c>
      <c r="J2889" s="62">
        <v>0</v>
      </c>
      <c r="K2889" s="62">
        <v>-13.32</v>
      </c>
      <c r="L2889" t="str">
        <f>VLOOKUP(VALUE(LEFT(C2889,5)),Xref!A:B,2,0)</f>
        <v>EAL</v>
      </c>
      <c r="M2889" t="str">
        <f t="shared" si="183"/>
        <v>EAL-MAR</v>
      </c>
    </row>
    <row r="2890" spans="1:13" ht="14.25" customHeight="true">
      <c r="A2890" s="33" t="str">
        <f t="shared" si="180"/>
        <v>MAR - Intercompany</v>
      </c>
      <c r="B2890" s="33" t="str">
        <f t="shared" si="181"/>
        <v>MAR</v>
      </c>
      <c r="C2890" s="33" t="str">
        <f t="shared" si="182"/>
        <v>11351-0000</v>
      </c>
      <c r="D2890" t="s">
        <v>24235</v>
      </c>
      <c r="E2890" t="s">
        <v>14155</v>
      </c>
      <c r="F2890" t="s">
        <v>14039</v>
      </c>
      <c r="G2890" t="s">
        <v>14672</v>
      </c>
      <c r="H2890" t="s">
        <v>13869</v>
      </c>
      <c r="I2890" t="s">
        <v>14690</v>
      </c>
      <c r="J2890" s="62">
        <v>0</v>
      </c>
      <c r="K2890" s="62">
        <v>0</v>
      </c>
      <c r="L2890" t="str">
        <f>VLOOKUP(VALUE(LEFT(C2890,5)),Xref!A:B,2,0)</f>
        <v>WEP</v>
      </c>
      <c r="M2890" t="str">
        <f t="shared" si="183"/>
        <v>MAR-WEP</v>
      </c>
    </row>
    <row r="2891" spans="1:13" ht="14.25" customHeight="true">
      <c r="A2891" s="33" t="str">
        <f t="shared" si="180"/>
        <v>MAR - Intercompany</v>
      </c>
      <c r="B2891" s="33" t="str">
        <f t="shared" si="181"/>
        <v>MAR</v>
      </c>
      <c r="C2891" s="33" t="str">
        <f t="shared" si="182"/>
        <v>11352-0000</v>
      </c>
      <c r="D2891" t="s">
        <v>24236</v>
      </c>
      <c r="E2891" t="s">
        <v>13536</v>
      </c>
      <c r="F2891" t="s">
        <v>14039</v>
      </c>
      <c r="G2891" t="s">
        <v>14672</v>
      </c>
      <c r="H2891" t="s">
        <v>13869</v>
      </c>
      <c r="I2891" t="s">
        <v>14690</v>
      </c>
      <c r="J2891" s="62">
        <v>0</v>
      </c>
      <c r="K2891" s="62">
        <v>0</v>
      </c>
      <c r="L2891" t="str">
        <f>VLOOKUP(VALUE(LEFT(C2891,5)),Xref!A:B,2,0)</f>
        <v>KLP</v>
      </c>
      <c r="M2891" t="str">
        <f t="shared" si="183"/>
        <v>KLP-MAR</v>
      </c>
    </row>
    <row r="2892" spans="1:13" ht="14.25" customHeight="true">
      <c r="A2892" s="33" t="str">
        <f t="shared" si="180"/>
        <v>MAR - Intercompany</v>
      </c>
      <c r="B2892" s="33" t="str">
        <f t="shared" si="181"/>
        <v>MAR</v>
      </c>
      <c r="C2892" s="33" t="str">
        <f t="shared" si="182"/>
        <v>11353-0000</v>
      </c>
      <c r="D2892" t="s">
        <v>24237</v>
      </c>
      <c r="E2892" t="s">
        <v>13537</v>
      </c>
      <c r="F2892" t="s">
        <v>14039</v>
      </c>
      <c r="G2892" t="s">
        <v>14672</v>
      </c>
      <c r="H2892" t="s">
        <v>13869</v>
      </c>
      <c r="I2892" t="s">
        <v>14690</v>
      </c>
      <c r="J2892" s="62">
        <v>0</v>
      </c>
      <c r="K2892" s="62">
        <v>0</v>
      </c>
      <c r="L2892" t="str">
        <f>VLOOKUP(VALUE(LEFT(C2892,5)),Xref!A:B,2,0)</f>
        <v>AKC</v>
      </c>
      <c r="M2892" t="str">
        <f t="shared" si="183"/>
        <v>AKC-MAR</v>
      </c>
    </row>
    <row r="2893" spans="1:13" ht="14.25" customHeight="true">
      <c r="A2893" s="33" t="str">
        <f t="shared" si="180"/>
        <v>MAR - Intercompany</v>
      </c>
      <c r="B2893" s="33" t="str">
        <f t="shared" si="181"/>
        <v>MAR</v>
      </c>
      <c r="C2893" s="33" t="str">
        <f t="shared" si="182"/>
        <v>11354-0000</v>
      </c>
      <c r="D2893" t="s">
        <v>24238</v>
      </c>
      <c r="E2893" t="s">
        <v>13538</v>
      </c>
      <c r="F2893" t="s">
        <v>14039</v>
      </c>
      <c r="G2893" t="s">
        <v>14672</v>
      </c>
      <c r="H2893" t="s">
        <v>13869</v>
      </c>
      <c r="I2893" t="s">
        <v>14690</v>
      </c>
      <c r="J2893" s="62">
        <v>0</v>
      </c>
      <c r="K2893" s="62">
        <v>0</v>
      </c>
      <c r="L2893" t="str">
        <f>VLOOKUP(VALUE(LEFT(C2893,5)),Xref!A:B,2,0)</f>
        <v>AKA</v>
      </c>
      <c r="M2893" t="str">
        <f t="shared" si="183"/>
        <v>AKA-MAR</v>
      </c>
    </row>
    <row r="2894" spans="1:13" ht="14.25" customHeight="true">
      <c r="A2894" s="33" t="str">
        <f t="shared" si="180"/>
        <v>MAR - Intercompany</v>
      </c>
      <c r="B2894" s="33" t="str">
        <f t="shared" si="181"/>
        <v>MAR</v>
      </c>
      <c r="C2894" s="33" t="str">
        <f t="shared" si="182"/>
        <v>11355-0000</v>
      </c>
      <c r="D2894" t="s">
        <v>24239</v>
      </c>
      <c r="E2894" t="s">
        <v>13539</v>
      </c>
      <c r="F2894" t="s">
        <v>14039</v>
      </c>
      <c r="G2894" t="s">
        <v>14672</v>
      </c>
      <c r="H2894" t="s">
        <v>13869</v>
      </c>
      <c r="I2894" t="s">
        <v>14690</v>
      </c>
      <c r="J2894" s="62">
        <v>0</v>
      </c>
      <c r="K2894" s="62">
        <v>0</v>
      </c>
      <c r="L2894" t="str">
        <f>VLOOKUP(VALUE(LEFT(C2894,5)),Xref!A:B,2,0)</f>
        <v>SPA</v>
      </c>
      <c r="M2894" t="str">
        <f t="shared" si="183"/>
        <v>MAR-SPA</v>
      </c>
    </row>
    <row r="2895" spans="1:13" ht="14.25" customHeight="true">
      <c r="A2895" s="33" t="str">
        <f t="shared" si="180"/>
        <v>MAR - Intercompany</v>
      </c>
      <c r="B2895" s="33" t="str">
        <f t="shared" si="181"/>
        <v>MAR</v>
      </c>
      <c r="C2895" s="33" t="str">
        <f t="shared" si="182"/>
        <v>11356-0000</v>
      </c>
      <c r="D2895" t="s">
        <v>24240</v>
      </c>
      <c r="E2895" t="s">
        <v>13540</v>
      </c>
      <c r="F2895" t="s">
        <v>14039</v>
      </c>
      <c r="G2895" t="s">
        <v>14672</v>
      </c>
      <c r="H2895" t="s">
        <v>13869</v>
      </c>
      <c r="I2895" t="s">
        <v>14690</v>
      </c>
      <c r="J2895" s="62">
        <v>0</v>
      </c>
      <c r="K2895" s="62">
        <v>0</v>
      </c>
      <c r="L2895" t="str">
        <f>VLOOKUP(VALUE(LEFT(C2895,5)),Xref!A:B,2,0)</f>
        <v>DPM</v>
      </c>
      <c r="M2895" t="str">
        <f t="shared" si="183"/>
        <v>DPM-MAR</v>
      </c>
    </row>
    <row r="2896" spans="1:13" ht="14.25" customHeight="true">
      <c r="A2896" s="33" t="str">
        <f t="shared" si="180"/>
        <v>MAR - Intercompany</v>
      </c>
      <c r="B2896" s="33" t="str">
        <f t="shared" si="181"/>
        <v>MAR</v>
      </c>
      <c r="C2896" s="33" t="str">
        <f t="shared" si="182"/>
        <v>11357-0000</v>
      </c>
      <c r="D2896" t="s">
        <v>24241</v>
      </c>
      <c r="E2896" t="s">
        <v>13541</v>
      </c>
      <c r="F2896" t="s">
        <v>14039</v>
      </c>
      <c r="G2896" t="s">
        <v>14672</v>
      </c>
      <c r="H2896" t="s">
        <v>13869</v>
      </c>
      <c r="I2896" t="s">
        <v>14690</v>
      </c>
      <c r="J2896" s="62">
        <v>0</v>
      </c>
      <c r="K2896" s="62">
        <v>0</v>
      </c>
      <c r="L2896" t="str">
        <f>VLOOKUP(VALUE(LEFT(C2896,5)),Xref!A:B,2,0)</f>
        <v>HDM</v>
      </c>
      <c r="M2896" t="str">
        <f t="shared" si="183"/>
        <v>HDM-MAR</v>
      </c>
    </row>
    <row r="2897" spans="1:13" ht="14.25" customHeight="true">
      <c r="A2897" s="33" t="str">
        <f t="shared" si="180"/>
        <v>MAR - Intercompany</v>
      </c>
      <c r="B2897" s="33" t="str">
        <f t="shared" si="181"/>
        <v>MAR</v>
      </c>
      <c r="C2897" s="33" t="str">
        <f t="shared" si="182"/>
        <v>11358-0000</v>
      </c>
      <c r="D2897" t="s">
        <v>24242</v>
      </c>
      <c r="E2897" t="s">
        <v>13542</v>
      </c>
      <c r="F2897" t="s">
        <v>14039</v>
      </c>
      <c r="G2897" t="s">
        <v>14672</v>
      </c>
      <c r="H2897" t="s">
        <v>13869</v>
      </c>
      <c r="I2897" t="s">
        <v>14690</v>
      </c>
      <c r="J2897" s="62">
        <v>0</v>
      </c>
      <c r="K2897" s="62">
        <v>0</v>
      </c>
      <c r="L2897" t="str">
        <f>VLOOKUP(VALUE(LEFT(C2897,5)),Xref!A:B,2,0)</f>
        <v>GRA</v>
      </c>
      <c r="M2897" t="str">
        <f t="shared" si="183"/>
        <v>GRA-MAR</v>
      </c>
    </row>
    <row r="2898" spans="1:13" ht="14.25" customHeight="true">
      <c r="A2898" s="33" t="str">
        <f t="shared" si="180"/>
        <v>MAR - Intercompany</v>
      </c>
      <c r="B2898" s="33" t="str">
        <f t="shared" si="181"/>
        <v>MAR</v>
      </c>
      <c r="C2898" s="33" t="str">
        <f t="shared" si="182"/>
        <v>11359-0000</v>
      </c>
      <c r="D2898" t="s">
        <v>24243</v>
      </c>
      <c r="E2898" t="s">
        <v>13543</v>
      </c>
      <c r="F2898" t="s">
        <v>14039</v>
      </c>
      <c r="G2898" t="s">
        <v>14672</v>
      </c>
      <c r="H2898" t="s">
        <v>13869</v>
      </c>
      <c r="I2898" t="s">
        <v>14690</v>
      </c>
      <c r="J2898" s="62">
        <v>0</v>
      </c>
      <c r="K2898" s="62">
        <v>0</v>
      </c>
      <c r="L2898" t="str">
        <f>VLOOKUP(VALUE(LEFT(C2898,5)),Xref!A:B,2,0)</f>
        <v>TPI</v>
      </c>
      <c r="M2898" t="str">
        <f t="shared" si="183"/>
        <v>MAR-TPI</v>
      </c>
    </row>
    <row r="2899" spans="1:13" ht="14.25" customHeight="true">
      <c r="A2899" s="33" t="str">
        <f t="shared" si="180"/>
        <v>MAR - Intercompany</v>
      </c>
      <c r="B2899" s="33" t="str">
        <f t="shared" si="181"/>
        <v>MAR</v>
      </c>
      <c r="C2899" s="33" t="str">
        <f t="shared" si="182"/>
        <v>11361-0000</v>
      </c>
      <c r="D2899" t="s">
        <v>24244</v>
      </c>
      <c r="E2899" t="s">
        <v>14165</v>
      </c>
      <c r="F2899" t="s">
        <v>14039</v>
      </c>
      <c r="G2899" t="s">
        <v>14672</v>
      </c>
      <c r="H2899" t="s">
        <v>13869</v>
      </c>
      <c r="I2899" t="s">
        <v>14690</v>
      </c>
      <c r="J2899" s="62">
        <v>0</v>
      </c>
      <c r="K2899" s="62">
        <v>0</v>
      </c>
      <c r="L2899" t="str">
        <f>VLOOKUP(VALUE(LEFT(C2899,5)),Xref!A:B,2,0)</f>
        <v>GSM</v>
      </c>
      <c r="M2899" t="str">
        <f t="shared" si="183"/>
        <v>GSM-MAR</v>
      </c>
    </row>
    <row r="2900" spans="1:13" ht="14.25" customHeight="true">
      <c r="A2900" s="33" t="str">
        <f t="shared" si="180"/>
        <v>MAR - Intercompany</v>
      </c>
      <c r="B2900" s="33" t="str">
        <f t="shared" si="181"/>
        <v>MAR</v>
      </c>
      <c r="C2900" s="33" t="str">
        <f t="shared" si="182"/>
        <v>11363-0000</v>
      </c>
      <c r="D2900" t="s">
        <v>24245</v>
      </c>
      <c r="E2900" t="s">
        <v>13544</v>
      </c>
      <c r="F2900" t="s">
        <v>14039</v>
      </c>
      <c r="G2900" t="s">
        <v>14672</v>
      </c>
      <c r="H2900" t="s">
        <v>13869</v>
      </c>
      <c r="I2900" t="s">
        <v>14690</v>
      </c>
      <c r="J2900" s="62">
        <v>0</v>
      </c>
      <c r="K2900" s="62">
        <v>0</v>
      </c>
      <c r="L2900" t="str">
        <f>VLOOKUP(VALUE(LEFT(C2900,5)),Xref!A:B,2,0)</f>
        <v>SOF</v>
      </c>
      <c r="M2900" t="str">
        <f t="shared" si="183"/>
        <v>MAR-SOF</v>
      </c>
    </row>
    <row r="2901" spans="1:13" ht="14.25" customHeight="true">
      <c r="A2901" s="33" t="str">
        <f t="shared" si="180"/>
        <v>MAR - Intercompany</v>
      </c>
      <c r="B2901" s="33" t="str">
        <f t="shared" si="181"/>
        <v>MAR</v>
      </c>
      <c r="C2901" s="33" t="str">
        <f t="shared" si="182"/>
        <v>11364-0000</v>
      </c>
      <c r="D2901" t="s">
        <v>24246</v>
      </c>
      <c r="E2901" t="s">
        <v>14168</v>
      </c>
      <c r="F2901" t="s">
        <v>14039</v>
      </c>
      <c r="G2901" t="s">
        <v>14672</v>
      </c>
      <c r="H2901" t="s">
        <v>13869</v>
      </c>
      <c r="I2901" t="s">
        <v>14690</v>
      </c>
      <c r="J2901" s="62">
        <v>0</v>
      </c>
      <c r="K2901" s="62">
        <v>0</v>
      </c>
      <c r="L2901" t="e">
        <f>VLOOKUP(VALUE(LEFT(C2901,5)),Xref!A:B,2,0)</f>
        <v>#N/A</v>
      </c>
      <c r="M2901" t="e">
        <f t="shared" si="183"/>
        <v>#N/A</v>
      </c>
    </row>
    <row r="2902" spans="1:13" ht="14.25" customHeight="true">
      <c r="A2902" s="33" t="str">
        <f t="shared" si="180"/>
        <v>MAR - Intercompany</v>
      </c>
      <c r="B2902" s="33" t="str">
        <f t="shared" si="181"/>
        <v>MAR</v>
      </c>
      <c r="C2902" s="33" t="str">
        <f t="shared" si="182"/>
        <v>11365-0000</v>
      </c>
      <c r="D2902" t="s">
        <v>24247</v>
      </c>
      <c r="E2902" t="s">
        <v>14170</v>
      </c>
      <c r="F2902" t="s">
        <v>14039</v>
      </c>
      <c r="G2902" t="s">
        <v>14672</v>
      </c>
      <c r="H2902" t="s">
        <v>13869</v>
      </c>
      <c r="I2902" t="s">
        <v>14690</v>
      </c>
      <c r="J2902" s="62">
        <v>0</v>
      </c>
      <c r="K2902" s="62">
        <v>0</v>
      </c>
      <c r="L2902" t="e">
        <f>VLOOKUP(VALUE(LEFT(C2902,5)),Xref!A:B,2,0)</f>
        <v>#N/A</v>
      </c>
      <c r="M2902" t="e">
        <f t="shared" si="183"/>
        <v>#N/A</v>
      </c>
    </row>
    <row r="2903" spans="1:13" ht="14.25" customHeight="true">
      <c r="A2903" s="33" t="str">
        <f t="shared" si="180"/>
        <v>MAR - Intercompany</v>
      </c>
      <c r="B2903" s="33" t="str">
        <f t="shared" si="181"/>
        <v>MAR</v>
      </c>
      <c r="C2903" s="33" t="str">
        <f t="shared" si="182"/>
        <v>11366-0000</v>
      </c>
      <c r="D2903" t="s">
        <v>24248</v>
      </c>
      <c r="E2903" t="s">
        <v>14172</v>
      </c>
      <c r="G2903" t="s">
        <v>14672</v>
      </c>
      <c r="H2903" t="s">
        <v>13869</v>
      </c>
      <c r="I2903" t="s">
        <v>14690</v>
      </c>
      <c r="J2903" s="62">
        <v>0</v>
      </c>
      <c r="K2903" s="62">
        <v>0</v>
      </c>
      <c r="L2903" t="e">
        <f>VLOOKUP(VALUE(LEFT(C2903,5)),Xref!A:B,2,0)</f>
        <v>#N/A</v>
      </c>
      <c r="M2903" t="e">
        <f t="shared" si="183"/>
        <v>#N/A</v>
      </c>
    </row>
    <row r="2904" spans="1:13" ht="14.25" customHeight="true">
      <c r="A2904" s="33" t="str">
        <f t="shared" si="180"/>
        <v>MAR - Intercompany</v>
      </c>
      <c r="B2904" s="33" t="str">
        <f t="shared" si="181"/>
        <v>MAR</v>
      </c>
      <c r="C2904" s="33" t="str">
        <f t="shared" si="182"/>
        <v>11402-0000</v>
      </c>
      <c r="D2904" t="s">
        <v>24249</v>
      </c>
      <c r="E2904" t="s">
        <v>14174</v>
      </c>
      <c r="G2904" t="s">
        <v>14672</v>
      </c>
      <c r="H2904" t="s">
        <v>13869</v>
      </c>
      <c r="I2904" t="s">
        <v>14690</v>
      </c>
      <c r="J2904" s="62">
        <v>0</v>
      </c>
      <c r="K2904" s="62">
        <v>0</v>
      </c>
      <c r="L2904" t="str">
        <f>VLOOKUP(VALUE(LEFT(C2904,5)),Xref!A:B,2,0)</f>
        <v>DPI</v>
      </c>
      <c r="M2904" t="str">
        <f t="shared" si="183"/>
        <v>DPI-MAR</v>
      </c>
    </row>
    <row r="2905" spans="1:13" ht="14.25" customHeight="true">
      <c r="A2905" s="33" t="str">
        <f t="shared" si="180"/>
        <v>MAR - Intercompany</v>
      </c>
      <c r="B2905" s="33" t="str">
        <f t="shared" si="181"/>
        <v>MAR</v>
      </c>
      <c r="C2905" s="33" t="str">
        <f t="shared" si="182"/>
        <v>11403-0000</v>
      </c>
      <c r="D2905" t="s">
        <v>24250</v>
      </c>
      <c r="E2905" t="s">
        <v>14176</v>
      </c>
      <c r="G2905" t="s">
        <v>14672</v>
      </c>
      <c r="H2905" t="s">
        <v>13869</v>
      </c>
      <c r="I2905" t="s">
        <v>14690</v>
      </c>
      <c r="J2905" s="62">
        <v>0</v>
      </c>
      <c r="K2905" s="62">
        <v>0</v>
      </c>
      <c r="L2905" t="str">
        <f>VLOOKUP(VALUE(LEFT(C2905,5)),Xref!A:B,2,0)</f>
        <v>SEA</v>
      </c>
      <c r="M2905" t="str">
        <f t="shared" si="183"/>
        <v>MAR-SEA</v>
      </c>
    </row>
    <row r="2906" spans="1:13" ht="14.25" customHeight="true">
      <c r="A2906" s="33" t="str">
        <f t="shared" si="180"/>
        <v>MAR - Intercompany</v>
      </c>
      <c r="B2906" s="33" t="str">
        <f t="shared" si="181"/>
        <v>MAR</v>
      </c>
      <c r="C2906" s="33" t="str">
        <f t="shared" si="182"/>
        <v>12400-0000</v>
      </c>
      <c r="D2906" t="s">
        <v>24253</v>
      </c>
      <c r="E2906" t="s">
        <v>14185</v>
      </c>
      <c r="F2906" t="s">
        <v>14039</v>
      </c>
      <c r="G2906" t="s">
        <v>14672</v>
      </c>
      <c r="H2906" t="s">
        <v>13869</v>
      </c>
      <c r="I2906" t="s">
        <v>14690</v>
      </c>
      <c r="J2906" s="62">
        <v>0</v>
      </c>
      <c r="K2906" s="62">
        <v>0</v>
      </c>
      <c r="L2906" t="str">
        <f>VLOOKUP(VALUE(LEFT(C2906,5)),Xref!A:B,2,0)</f>
        <v>aka</v>
      </c>
      <c r="M2906" t="str">
        <f t="shared" si="183"/>
        <v>aka-MAR</v>
      </c>
    </row>
    <row r="2907" spans="1:13" ht="14.25" customHeight="true">
      <c r="A2907" s="33" t="str">
        <f t="shared" si="180"/>
        <v>MAR - Intercompany</v>
      </c>
      <c r="B2907" s="33" t="str">
        <f t="shared" si="181"/>
        <v>MAR</v>
      </c>
      <c r="C2907" s="33" t="str">
        <f t="shared" si="182"/>
        <v>12401-0000</v>
      </c>
      <c r="D2907" t="s">
        <v>24254</v>
      </c>
      <c r="E2907" t="s">
        <v>14187</v>
      </c>
      <c r="F2907" t="s">
        <v>14039</v>
      </c>
      <c r="G2907" t="s">
        <v>14672</v>
      </c>
      <c r="H2907" t="s">
        <v>13869</v>
      </c>
      <c r="I2907" t="s">
        <v>14690</v>
      </c>
      <c r="J2907" s="62">
        <v>0</v>
      </c>
      <c r="K2907" s="62">
        <v>0</v>
      </c>
      <c r="L2907" t="str">
        <f>VLOOKUP(VALUE(LEFT(C2907,5)),Xref!A:B,2,0)</f>
        <v>aka</v>
      </c>
      <c r="M2907" t="str">
        <f t="shared" si="183"/>
        <v>aka-MAR</v>
      </c>
    </row>
    <row r="2908" spans="1:13" ht="14.25" customHeight="true">
      <c r="A2908" s="33" t="str">
        <f t="shared" si="180"/>
        <v>MAR - Intercompany</v>
      </c>
      <c r="B2908" s="33" t="str">
        <f t="shared" si="181"/>
        <v>MAR</v>
      </c>
      <c r="C2908" s="33" t="str">
        <f t="shared" si="182"/>
        <v>12402-0000</v>
      </c>
      <c r="D2908" t="s">
        <v>24255</v>
      </c>
      <c r="E2908" t="s">
        <v>14189</v>
      </c>
      <c r="F2908" t="s">
        <v>14039</v>
      </c>
      <c r="G2908" t="s">
        <v>14672</v>
      </c>
      <c r="H2908" t="s">
        <v>13869</v>
      </c>
      <c r="I2908" t="s">
        <v>14690</v>
      </c>
      <c r="J2908" s="62">
        <v>0</v>
      </c>
      <c r="K2908" s="62">
        <v>0</v>
      </c>
      <c r="L2908" t="str">
        <f>VLOOKUP(VALUE(LEFT(C2908,5)),Xref!A:B,2,0)</f>
        <v>aka</v>
      </c>
      <c r="M2908" t="str">
        <f t="shared" si="183"/>
        <v>aka-MAR</v>
      </c>
    </row>
    <row r="2909" spans="1:13" ht="14.25" customHeight="true">
      <c r="A2909" s="33" t="str">
        <f t="shared" si="180"/>
        <v>MAR - Intercompany</v>
      </c>
      <c r="B2909" s="33" t="str">
        <f t="shared" si="181"/>
        <v>MAR</v>
      </c>
      <c r="C2909" s="33" t="str">
        <f t="shared" si="182"/>
        <v>12403-0000</v>
      </c>
      <c r="D2909" t="s">
        <v>24256</v>
      </c>
      <c r="E2909" t="s">
        <v>5226</v>
      </c>
      <c r="F2909" t="s">
        <v>14039</v>
      </c>
      <c r="G2909" t="s">
        <v>14672</v>
      </c>
      <c r="H2909" t="s">
        <v>13869</v>
      </c>
      <c r="I2909" t="s">
        <v>14690</v>
      </c>
      <c r="J2909" s="62">
        <v>0</v>
      </c>
      <c r="K2909" s="62">
        <v>0</v>
      </c>
      <c r="L2909" t="str">
        <f>VLOOKUP(VALUE(LEFT(C2909,5)),Xref!A:B,2,0)</f>
        <v>aka</v>
      </c>
      <c r="M2909" t="str">
        <f t="shared" si="183"/>
        <v>aka-MAR</v>
      </c>
    </row>
    <row r="2910" spans="1:13" ht="14.25" customHeight="true">
      <c r="A2910" s="33" t="str">
        <f t="shared" si="180"/>
        <v>MAR - Intercompany</v>
      </c>
      <c r="B2910" s="33" t="str">
        <f t="shared" si="181"/>
        <v>MAR</v>
      </c>
      <c r="C2910" s="33" t="str">
        <f t="shared" si="182"/>
        <v>12501-0000</v>
      </c>
      <c r="D2910" t="s">
        <v>24257</v>
      </c>
      <c r="E2910" t="s">
        <v>14192</v>
      </c>
      <c r="F2910" t="s">
        <v>14039</v>
      </c>
      <c r="G2910" t="s">
        <v>14672</v>
      </c>
      <c r="H2910" t="s">
        <v>13869</v>
      </c>
      <c r="I2910" t="s">
        <v>14690</v>
      </c>
      <c r="J2910" s="62">
        <v>0</v>
      </c>
      <c r="K2910" s="62">
        <v>0</v>
      </c>
      <c r="L2910" t="str">
        <f>VLOOKUP(VALUE(LEFT(C2910,5)),Xref!A:B,2,0)</f>
        <v>aka</v>
      </c>
      <c r="M2910" t="str">
        <f t="shared" si="183"/>
        <v>aka-MAR</v>
      </c>
    </row>
    <row r="2911" spans="1:13" ht="14.25" customHeight="true">
      <c r="A2911" s="33" t="str">
        <f t="shared" si="180"/>
        <v>MAR - InterCo Notes</v>
      </c>
      <c r="B2911" s="33" t="str">
        <f t="shared" si="181"/>
        <v>MAR</v>
      </c>
      <c r="C2911" s="33" t="str">
        <f t="shared" si="182"/>
        <v>25600-0000</v>
      </c>
      <c r="D2911" t="s">
        <v>24304</v>
      </c>
      <c r="E2911" t="s">
        <v>314</v>
      </c>
      <c r="F2911" t="s">
        <v>14039</v>
      </c>
      <c r="G2911" t="s">
        <v>14672</v>
      </c>
      <c r="H2911" t="s">
        <v>13889</v>
      </c>
      <c r="I2911" t="s">
        <v>14690</v>
      </c>
      <c r="J2911" s="62">
        <v>0</v>
      </c>
      <c r="K2911" s="62">
        <v>0</v>
      </c>
      <c r="L2911" t="str">
        <f>VLOOKUP(VALUE(LEFT(C2911,5)),Xref!A:B,2,0)</f>
        <v>D7</v>
      </c>
      <c r="M2911" t="str">
        <f t="shared" si="183"/>
        <v>D7-MAR</v>
      </c>
    </row>
    <row r="2912" spans="1:13" ht="14.25" customHeight="true">
      <c r="A2912" s="33" t="str">
        <f t="shared" si="180"/>
        <v>MAR - InterCo Notes</v>
      </c>
      <c r="B2912" s="33" t="str">
        <f t="shared" si="181"/>
        <v>MAR</v>
      </c>
      <c r="C2912" s="33" t="str">
        <f t="shared" si="182"/>
        <v>25602-0000</v>
      </c>
      <c r="D2912" t="s">
        <v>24306</v>
      </c>
      <c r="E2912" t="s">
        <v>13426</v>
      </c>
      <c r="F2912" t="s">
        <v>14039</v>
      </c>
      <c r="G2912" t="s">
        <v>14672</v>
      </c>
      <c r="H2912" t="s">
        <v>13889</v>
      </c>
      <c r="I2912" t="s">
        <v>14690</v>
      </c>
      <c r="J2912" s="62">
        <v>0</v>
      </c>
      <c r="K2912" s="62">
        <v>-1238500</v>
      </c>
      <c r="L2912" t="str">
        <f>VLOOKUP(VALUE(LEFT(C2912,5)),Xref!A:B,2,0)</f>
        <v>DFLP</v>
      </c>
      <c r="M2912" t="str">
        <f t="shared" si="183"/>
        <v>DFLP-MAR</v>
      </c>
    </row>
    <row r="2913" spans="1:13" ht="14.25" customHeight="true">
      <c r="A2913" s="33" t="str">
        <f t="shared" si="180"/>
        <v>MAR - InterCo Notes</v>
      </c>
      <c r="B2913" s="33" t="str">
        <f t="shared" si="181"/>
        <v>MAR</v>
      </c>
      <c r="C2913" s="33" t="str">
        <f t="shared" si="182"/>
        <v>25603-0000</v>
      </c>
      <c r="D2913" t="s">
        <v>24307</v>
      </c>
      <c r="E2913" t="s">
        <v>14311</v>
      </c>
      <c r="F2913" t="s">
        <v>14039</v>
      </c>
      <c r="G2913" t="s">
        <v>14832</v>
      </c>
      <c r="H2913" t="s">
        <v>13889</v>
      </c>
      <c r="I2913" t="s">
        <v>14690</v>
      </c>
      <c r="J2913" s="62">
        <v>0</v>
      </c>
      <c r="K2913" s="62">
        <v>0</v>
      </c>
      <c r="L2913" t="str">
        <f>VLOOKUP(VALUE(LEFT(C2913,5)),Xref!A:B,2,0)</f>
        <v>aka</v>
      </c>
      <c r="M2913" t="str">
        <f t="shared" si="183"/>
        <v>aka-MAR</v>
      </c>
    </row>
    <row r="2914" spans="1:13" ht="14.25" customHeight="true">
      <c r="A2914" s="33" t="str">
        <f t="shared" si="180"/>
        <v>MAR - Intercompany</v>
      </c>
      <c r="B2914" s="33" t="str">
        <f t="shared" si="181"/>
        <v>MAR</v>
      </c>
      <c r="C2914" s="33" t="str">
        <f t="shared" si="182"/>
        <v>25604-0000</v>
      </c>
      <c r="D2914" t="s">
        <v>24308</v>
      </c>
      <c r="E2914" t="s">
        <v>13490</v>
      </c>
      <c r="F2914" t="s">
        <v>14039</v>
      </c>
      <c r="G2914" t="s">
        <v>14672</v>
      </c>
      <c r="H2914" t="s">
        <v>13869</v>
      </c>
      <c r="I2914" t="s">
        <v>14690</v>
      </c>
      <c r="J2914" s="62">
        <v>0</v>
      </c>
      <c r="K2914" s="62">
        <v>0</v>
      </c>
      <c r="L2914">
        <f>VLOOKUP(VALUE(LEFT(C2914,5)),Xref!A:B,2,0)</f>
        <v>0</v>
      </c>
      <c r="M2914" t="str">
        <f t="shared" si="183"/>
        <v>0-MAR</v>
      </c>
    </row>
    <row r="2915" spans="1:13" ht="14.25" customHeight="true">
      <c r="A2915" s="33" t="str">
        <f t="shared" si="180"/>
        <v>NCE - InterCo Notes</v>
      </c>
      <c r="B2915" s="33" t="str">
        <f t="shared" si="181"/>
        <v>NCE</v>
      </c>
      <c r="C2915" s="33" t="str">
        <f t="shared" si="182"/>
        <v>11060-0000</v>
      </c>
      <c r="D2915" t="s">
        <v>1667</v>
      </c>
      <c r="E2915" t="s">
        <v>716</v>
      </c>
      <c r="F2915" t="s">
        <v>30855</v>
      </c>
      <c r="G2915" t="s">
        <v>362</v>
      </c>
      <c r="H2915" t="s">
        <v>13889</v>
      </c>
      <c r="I2915" t="s">
        <v>40</v>
      </c>
      <c r="J2915" s="62">
        <v>0</v>
      </c>
      <c r="K2915" s="62">
        <v>500000</v>
      </c>
      <c r="L2915" t="str">
        <f>VLOOKUP(VALUE(LEFT(C2915,5)),Xref!A:B,2,0)</f>
        <v>SAT</v>
      </c>
      <c r="M2915" t="str">
        <f t="shared" si="183"/>
        <v>NCE-SAT</v>
      </c>
    </row>
    <row r="2916" spans="1:13" ht="14.25" customHeight="true">
      <c r="A2916" s="33" t="str">
        <f t="shared" si="180"/>
        <v>NEP - Intercompany</v>
      </c>
      <c r="B2916" s="33" t="str">
        <f t="shared" si="181"/>
        <v>NEP</v>
      </c>
      <c r="C2916" s="33" t="str">
        <f t="shared" si="182"/>
        <v>11200-0000</v>
      </c>
      <c r="D2916" t="s">
        <v>24481</v>
      </c>
      <c r="E2916" t="s">
        <v>14069</v>
      </c>
      <c r="F2916" t="s">
        <v>14039</v>
      </c>
      <c r="G2916" t="s">
        <v>14672</v>
      </c>
      <c r="H2916" t="s">
        <v>13869</v>
      </c>
      <c r="I2916" t="s">
        <v>14690</v>
      </c>
      <c r="J2916" s="62">
        <v>0</v>
      </c>
      <c r="K2916" s="62">
        <v>0</v>
      </c>
      <c r="L2916" t="str">
        <f>VLOOKUP(VALUE(LEFT(C2916,5)),Xref!A:B,2,0)</f>
        <v>SCL</v>
      </c>
      <c r="M2916" t="str">
        <f t="shared" si="183"/>
        <v>NEP-SCL</v>
      </c>
    </row>
    <row r="2917" spans="1:13" ht="14.25" customHeight="true">
      <c r="A2917" s="33" t="str">
        <f t="shared" si="180"/>
        <v>NEP - Intercompany</v>
      </c>
      <c r="B2917" s="33" t="str">
        <f t="shared" si="181"/>
        <v>NEP</v>
      </c>
      <c r="C2917" s="33" t="str">
        <f t="shared" si="182"/>
        <v>11201-0000</v>
      </c>
      <c r="D2917" t="s">
        <v>24482</v>
      </c>
      <c r="E2917" t="s">
        <v>14071</v>
      </c>
      <c r="F2917" t="s">
        <v>14039</v>
      </c>
      <c r="G2917" t="s">
        <v>14672</v>
      </c>
      <c r="H2917" t="s">
        <v>13869</v>
      </c>
      <c r="I2917" t="s">
        <v>14690</v>
      </c>
      <c r="J2917" s="62">
        <v>0</v>
      </c>
      <c r="K2917" s="62">
        <v>0</v>
      </c>
      <c r="L2917" t="str">
        <f>VLOOKUP(VALUE(LEFT(C2917,5)),Xref!A:B,2,0)</f>
        <v>SG2</v>
      </c>
      <c r="M2917" t="str">
        <f t="shared" si="183"/>
        <v>NEP-SG2</v>
      </c>
    </row>
    <row r="2918" spans="1:13" ht="14.25" customHeight="true">
      <c r="A2918" s="33" t="str">
        <f t="shared" si="180"/>
        <v>NEP - Intercompany</v>
      </c>
      <c r="B2918" s="33" t="str">
        <f t="shared" si="181"/>
        <v>NEP</v>
      </c>
      <c r="C2918" s="33" t="str">
        <f t="shared" si="182"/>
        <v>11202-0000</v>
      </c>
      <c r="D2918" t="s">
        <v>24483</v>
      </c>
      <c r="E2918" t="s">
        <v>14073</v>
      </c>
      <c r="F2918" t="s">
        <v>14039</v>
      </c>
      <c r="G2918" t="s">
        <v>14672</v>
      </c>
      <c r="H2918" t="s">
        <v>13869</v>
      </c>
      <c r="I2918" t="s">
        <v>14690</v>
      </c>
      <c r="J2918" s="62">
        <v>0</v>
      </c>
      <c r="K2918" s="62">
        <v>0</v>
      </c>
      <c r="L2918" t="str">
        <f>VLOOKUP(VALUE(LEFT(C2918,5)),Xref!A:B,2,0)</f>
        <v>FFC</v>
      </c>
      <c r="M2918" t="str">
        <f t="shared" si="183"/>
        <v>FFC-NEP</v>
      </c>
    </row>
    <row r="2919" spans="1:13" ht="14.25" customHeight="true">
      <c r="A2919" s="33" t="str">
        <f t="shared" si="180"/>
        <v>NEP - Intercompany</v>
      </c>
      <c r="B2919" s="33" t="str">
        <f t="shared" si="181"/>
        <v>NEP</v>
      </c>
      <c r="C2919" s="33" t="str">
        <f t="shared" si="182"/>
        <v>11203-0000</v>
      </c>
      <c r="D2919" t="s">
        <v>24484</v>
      </c>
      <c r="E2919" t="s">
        <v>14075</v>
      </c>
      <c r="F2919" t="s">
        <v>14039</v>
      </c>
      <c r="G2919" t="s">
        <v>14672</v>
      </c>
      <c r="H2919" t="s">
        <v>13869</v>
      </c>
      <c r="I2919" t="s">
        <v>14690</v>
      </c>
      <c r="J2919" s="62">
        <v>0</v>
      </c>
      <c r="K2919" s="62">
        <v>0</v>
      </c>
      <c r="L2919" t="str">
        <f>VLOOKUP(VALUE(LEFT(C2919,5)),Xref!A:B,2,0)</f>
        <v>HN2</v>
      </c>
      <c r="M2919" t="str">
        <f t="shared" si="183"/>
        <v>HN2-NEP</v>
      </c>
    </row>
    <row r="2920" spans="1:13" ht="14.25" customHeight="true">
      <c r="A2920" s="33" t="str">
        <f t="shared" si="180"/>
        <v>NEP - Intercompany</v>
      </c>
      <c r="B2920" s="33" t="str">
        <f t="shared" si="181"/>
        <v>NEP</v>
      </c>
      <c r="C2920" s="33" t="str">
        <f t="shared" si="182"/>
        <v>11204-0000</v>
      </c>
      <c r="D2920" t="s">
        <v>24485</v>
      </c>
      <c r="E2920" t="s">
        <v>14077</v>
      </c>
      <c r="F2920" t="s">
        <v>14039</v>
      </c>
      <c r="G2920" t="s">
        <v>14672</v>
      </c>
      <c r="H2920" t="s">
        <v>13869</v>
      </c>
      <c r="I2920" t="s">
        <v>14690</v>
      </c>
      <c r="J2920" s="62">
        <v>0</v>
      </c>
      <c r="K2920" s="62">
        <v>0</v>
      </c>
      <c r="L2920" t="str">
        <f>VLOOKUP(VALUE(LEFT(C2920,5)),Xref!A:B,2,0)</f>
        <v>DF2</v>
      </c>
      <c r="M2920" t="str">
        <f t="shared" si="183"/>
        <v>DF2-NEP</v>
      </c>
    </row>
    <row r="2921" spans="1:13" ht="14.25" customHeight="true">
      <c r="A2921" s="33" t="str">
        <f t="shared" si="180"/>
        <v>NEP - Intercompany</v>
      </c>
      <c r="B2921" s="33" t="str">
        <f t="shared" si="181"/>
        <v>NEP</v>
      </c>
      <c r="C2921" s="33" t="str">
        <f t="shared" si="182"/>
        <v>11208-0000</v>
      </c>
      <c r="D2921" t="s">
        <v>24486</v>
      </c>
      <c r="E2921" t="s">
        <v>14079</v>
      </c>
      <c r="F2921" t="s">
        <v>14039</v>
      </c>
      <c r="G2921" t="s">
        <v>14672</v>
      </c>
      <c r="H2921" t="s">
        <v>13869</v>
      </c>
      <c r="I2921" t="s">
        <v>14690</v>
      </c>
      <c r="J2921" s="62">
        <v>0</v>
      </c>
      <c r="K2921" s="62">
        <v>0</v>
      </c>
      <c r="L2921" t="str">
        <f>VLOOKUP(VALUE(LEFT(C2921,5)),Xref!A:B,2,0)</f>
        <v>SRE</v>
      </c>
      <c r="M2921" t="str">
        <f t="shared" si="183"/>
        <v>NEP-SRE</v>
      </c>
    </row>
    <row r="2922" spans="1:13" ht="14.25" customHeight="true">
      <c r="A2922" s="33" t="str">
        <f t="shared" si="180"/>
        <v>NEP - Intercompany</v>
      </c>
      <c r="B2922" s="33" t="str">
        <f t="shared" si="181"/>
        <v>NEP</v>
      </c>
      <c r="C2922" s="33" t="str">
        <f t="shared" si="182"/>
        <v>11210-0000</v>
      </c>
      <c r="D2922" t="s">
        <v>24487</v>
      </c>
      <c r="E2922" t="s">
        <v>14081</v>
      </c>
      <c r="F2922" t="s">
        <v>14039</v>
      </c>
      <c r="G2922" t="s">
        <v>14672</v>
      </c>
      <c r="H2922" t="s">
        <v>13869</v>
      </c>
      <c r="I2922" t="s">
        <v>14690</v>
      </c>
      <c r="J2922" s="62">
        <v>0</v>
      </c>
      <c r="K2922" s="62">
        <v>0</v>
      </c>
      <c r="L2922" t="str">
        <f>VLOOKUP(VALUE(LEFT(C2922,5)),Xref!A:B,2,0)</f>
        <v>REM</v>
      </c>
      <c r="M2922" t="str">
        <f t="shared" si="183"/>
        <v>NEP-REM</v>
      </c>
    </row>
    <row r="2923" spans="1:13" ht="14.25" customHeight="true">
      <c r="A2923" s="33" t="str">
        <f t="shared" si="180"/>
        <v>NEP - Intercompany</v>
      </c>
      <c r="B2923" s="33" t="str">
        <f t="shared" si="181"/>
        <v>NEP</v>
      </c>
      <c r="C2923" s="33" t="str">
        <f t="shared" si="182"/>
        <v>11212-0000</v>
      </c>
      <c r="D2923" t="s">
        <v>24488</v>
      </c>
      <c r="E2923" t="s">
        <v>14083</v>
      </c>
      <c r="F2923" t="s">
        <v>14039</v>
      </c>
      <c r="G2923" t="s">
        <v>14672</v>
      </c>
      <c r="H2923" t="s">
        <v>13869</v>
      </c>
      <c r="I2923" t="s">
        <v>14690</v>
      </c>
      <c r="J2923" s="62">
        <v>0</v>
      </c>
      <c r="K2923" s="62">
        <v>0</v>
      </c>
      <c r="L2923" t="str">
        <f>VLOOKUP(VALUE(LEFT(C2923,5)),Xref!A:B,2,0)</f>
        <v>FRM</v>
      </c>
      <c r="M2923" t="str">
        <f t="shared" si="183"/>
        <v>FRM-NEP</v>
      </c>
    </row>
    <row r="2924" spans="1:13" ht="14.25" customHeight="true">
      <c r="A2924" s="33" t="str">
        <f t="shared" si="180"/>
        <v>NEP - Intercompany</v>
      </c>
      <c r="B2924" s="33" t="str">
        <f t="shared" si="181"/>
        <v>NEP</v>
      </c>
      <c r="C2924" s="33" t="str">
        <f t="shared" si="182"/>
        <v>11214-0000</v>
      </c>
      <c r="D2924" t="s">
        <v>24489</v>
      </c>
      <c r="E2924" t="s">
        <v>14085</v>
      </c>
      <c r="F2924" t="s">
        <v>14039</v>
      </c>
      <c r="G2924" t="s">
        <v>14672</v>
      </c>
      <c r="H2924" t="s">
        <v>13869</v>
      </c>
      <c r="I2924" t="s">
        <v>14690</v>
      </c>
      <c r="J2924" s="62">
        <v>0</v>
      </c>
      <c r="K2924" s="62">
        <v>0</v>
      </c>
      <c r="L2924" t="str">
        <f>VLOOKUP(VALUE(LEFT(C2924,5)),Xref!A:B,2,0)</f>
        <v>D7R</v>
      </c>
      <c r="M2924" t="str">
        <f t="shared" si="183"/>
        <v>D7R-NEP</v>
      </c>
    </row>
    <row r="2925" spans="1:13" ht="14.25" customHeight="true">
      <c r="A2925" s="33" t="str">
        <f t="shared" si="180"/>
        <v>NEP - Intercompany</v>
      </c>
      <c r="B2925" s="33" t="str">
        <f t="shared" si="181"/>
        <v>NEP</v>
      </c>
      <c r="C2925" s="33" t="str">
        <f t="shared" si="182"/>
        <v>11215-0000</v>
      </c>
      <c r="D2925" t="s">
        <v>24490</v>
      </c>
      <c r="E2925" t="s">
        <v>14087</v>
      </c>
      <c r="F2925" t="s">
        <v>14039</v>
      </c>
      <c r="G2925" t="s">
        <v>14672</v>
      </c>
      <c r="H2925" t="s">
        <v>13869</v>
      </c>
      <c r="I2925" t="s">
        <v>14690</v>
      </c>
      <c r="J2925" s="62">
        <v>0</v>
      </c>
      <c r="K2925" s="62">
        <v>0</v>
      </c>
      <c r="L2925" t="str">
        <f>VLOOKUP(VALUE(LEFT(C2925,5)),Xref!A:B,2,0)</f>
        <v>CDP</v>
      </c>
      <c r="M2925" t="str">
        <f t="shared" si="183"/>
        <v>CDP-NEP</v>
      </c>
    </row>
    <row r="2926" spans="1:13" ht="14.25" customHeight="true">
      <c r="A2926" s="33" t="str">
        <f t="shared" si="180"/>
        <v>NEP - Intercompany</v>
      </c>
      <c r="B2926" s="33" t="str">
        <f t="shared" si="181"/>
        <v>NEP</v>
      </c>
      <c r="C2926" s="33" t="str">
        <f t="shared" si="182"/>
        <v>11216-0000</v>
      </c>
      <c r="D2926" t="s">
        <v>1686</v>
      </c>
      <c r="E2926" t="s">
        <v>13224</v>
      </c>
      <c r="F2926" t="s">
        <v>14039</v>
      </c>
      <c r="G2926" t="s">
        <v>14672</v>
      </c>
      <c r="H2926" t="s">
        <v>13869</v>
      </c>
      <c r="I2926" t="s">
        <v>14690</v>
      </c>
      <c r="J2926" s="62">
        <v>-4951.21</v>
      </c>
      <c r="K2926" s="62">
        <v>79078.48</v>
      </c>
      <c r="L2926" t="str">
        <f>VLOOKUP(VALUE(LEFT(C2926,5)),Xref!A:B,2,0)</f>
        <v>SIL</v>
      </c>
      <c r="M2926" t="str">
        <f t="shared" si="183"/>
        <v>NEP-SIL</v>
      </c>
    </row>
    <row r="2927" spans="1:13" ht="14.25" customHeight="true">
      <c r="A2927" s="33" t="str">
        <f t="shared" si="180"/>
        <v>NEP - Intercompany</v>
      </c>
      <c r="B2927" s="33" t="str">
        <f t="shared" si="181"/>
        <v>NEP</v>
      </c>
      <c r="C2927" s="33" t="str">
        <f t="shared" si="182"/>
        <v>11232-0000</v>
      </c>
      <c r="D2927" t="s">
        <v>24491</v>
      </c>
      <c r="E2927" t="s">
        <v>12486</v>
      </c>
      <c r="F2927" t="s">
        <v>14039</v>
      </c>
      <c r="G2927" t="s">
        <v>14672</v>
      </c>
      <c r="H2927" t="s">
        <v>13869</v>
      </c>
      <c r="I2927" t="s">
        <v>14690</v>
      </c>
      <c r="J2927" s="62">
        <v>0</v>
      </c>
      <c r="K2927" s="62">
        <v>0</v>
      </c>
      <c r="L2927" t="str">
        <f>VLOOKUP(VALUE(LEFT(C2927,5)),Xref!A:B,2,0)</f>
        <v>SC2</v>
      </c>
      <c r="M2927" t="str">
        <f t="shared" si="183"/>
        <v>NEP-SC2</v>
      </c>
    </row>
    <row r="2928" spans="1:13" ht="14.25" customHeight="true">
      <c r="A2928" s="33" t="str">
        <f t="shared" si="180"/>
        <v>NEP - Intercompany</v>
      </c>
      <c r="B2928" s="33" t="str">
        <f t="shared" si="181"/>
        <v>NEP</v>
      </c>
      <c r="C2928" s="33" t="str">
        <f t="shared" si="182"/>
        <v>11301-0000</v>
      </c>
      <c r="D2928" t="s">
        <v>24492</v>
      </c>
      <c r="E2928" t="s">
        <v>13225</v>
      </c>
      <c r="F2928" t="s">
        <v>14039</v>
      </c>
      <c r="G2928" t="s">
        <v>14672</v>
      </c>
      <c r="H2928" t="s">
        <v>13869</v>
      </c>
      <c r="I2928" t="s">
        <v>14690</v>
      </c>
      <c r="J2928" s="62">
        <v>0</v>
      </c>
      <c r="K2928" s="62">
        <v>0</v>
      </c>
      <c r="L2928" t="str">
        <f>VLOOKUP(VALUE(LEFT(C2928,5)),Xref!A:B,2,0)</f>
        <v>CRE</v>
      </c>
      <c r="M2928" t="str">
        <f t="shared" si="183"/>
        <v>CRE-NEP</v>
      </c>
    </row>
    <row r="2929" spans="1:13" ht="14.25" customHeight="true">
      <c r="A2929" s="33" t="str">
        <f t="shared" si="180"/>
        <v>NEP - Intercompany</v>
      </c>
      <c r="B2929" s="33" t="str">
        <f t="shared" si="181"/>
        <v>NEP</v>
      </c>
      <c r="C2929" s="33" t="str">
        <f t="shared" si="182"/>
        <v>11302-0000</v>
      </c>
      <c r="D2929" t="s">
        <v>24493</v>
      </c>
      <c r="E2929" t="s">
        <v>13226</v>
      </c>
      <c r="F2929" t="s">
        <v>14039</v>
      </c>
      <c r="G2929" t="s">
        <v>14672</v>
      </c>
      <c r="H2929" t="s">
        <v>13869</v>
      </c>
      <c r="I2929" t="s">
        <v>14690</v>
      </c>
      <c r="J2929" s="62">
        <v>0</v>
      </c>
      <c r="K2929" s="62">
        <v>0</v>
      </c>
      <c r="L2929" t="str">
        <f>VLOOKUP(VALUE(LEFT(C2929,5)),Xref!A:B,2,0)</f>
        <v>CHA</v>
      </c>
      <c r="M2929" t="str">
        <f t="shared" si="183"/>
        <v>CHA-NEP</v>
      </c>
    </row>
    <row r="2930" spans="1:13" ht="14.25" customHeight="true">
      <c r="A2930" s="33" t="str">
        <f t="shared" si="180"/>
        <v>NEP - Intercompany</v>
      </c>
      <c r="B2930" s="33" t="str">
        <f t="shared" si="181"/>
        <v>NEP</v>
      </c>
      <c r="C2930" s="33" t="str">
        <f t="shared" si="182"/>
        <v>11303-0000</v>
      </c>
      <c r="D2930" t="s">
        <v>24494</v>
      </c>
      <c r="E2930" t="s">
        <v>13227</v>
      </c>
      <c r="F2930" t="s">
        <v>14039</v>
      </c>
      <c r="G2930" t="s">
        <v>14672</v>
      </c>
      <c r="H2930" t="s">
        <v>13869</v>
      </c>
      <c r="I2930" t="s">
        <v>14690</v>
      </c>
      <c r="J2930" s="62">
        <v>0</v>
      </c>
      <c r="K2930" s="62">
        <v>0</v>
      </c>
      <c r="L2930" t="str">
        <f>VLOOKUP(VALUE(LEFT(C2930,5)),Xref!A:B,2,0)</f>
        <v>DIA</v>
      </c>
      <c r="M2930" t="str">
        <f t="shared" si="183"/>
        <v>DIA-NEP</v>
      </c>
    </row>
    <row r="2931" spans="1:13" ht="14.25" customHeight="true">
      <c r="A2931" s="33" t="str">
        <f t="shared" si="180"/>
        <v>NEP - Intercompany</v>
      </c>
      <c r="B2931" s="33" t="str">
        <f t="shared" si="181"/>
        <v>NEP</v>
      </c>
      <c r="C2931" s="33" t="str">
        <f t="shared" si="182"/>
        <v>11304-0000</v>
      </c>
      <c r="D2931" t="s">
        <v>24495</v>
      </c>
      <c r="E2931" t="s">
        <v>13228</v>
      </c>
      <c r="F2931" t="s">
        <v>14039</v>
      </c>
      <c r="G2931" t="s">
        <v>14672</v>
      </c>
      <c r="H2931" t="s">
        <v>13869</v>
      </c>
      <c r="I2931" t="s">
        <v>14690</v>
      </c>
      <c r="J2931" s="62">
        <v>0</v>
      </c>
      <c r="K2931" s="62">
        <v>0</v>
      </c>
      <c r="L2931" t="str">
        <f>VLOOKUP(VALUE(LEFT(C2931,5)),Xref!A:B,2,0)</f>
        <v>EAG</v>
      </c>
      <c r="M2931" t="str">
        <f t="shared" si="183"/>
        <v>EAG-NEP</v>
      </c>
    </row>
    <row r="2932" spans="1:13" ht="14.25" customHeight="true">
      <c r="A2932" s="33" t="str">
        <f t="shared" si="180"/>
        <v>NEP - Intercompany</v>
      </c>
      <c r="B2932" s="33" t="str">
        <f t="shared" si="181"/>
        <v>NEP</v>
      </c>
      <c r="C2932" s="33" t="str">
        <f t="shared" si="182"/>
        <v>11305-0000</v>
      </c>
      <c r="D2932" t="s">
        <v>24496</v>
      </c>
      <c r="E2932" t="s">
        <v>13229</v>
      </c>
      <c r="F2932" t="s">
        <v>14039</v>
      </c>
      <c r="G2932" t="s">
        <v>14672</v>
      </c>
      <c r="H2932" t="s">
        <v>13869</v>
      </c>
      <c r="I2932" t="s">
        <v>14690</v>
      </c>
      <c r="J2932" s="62">
        <v>0</v>
      </c>
      <c r="K2932" s="62">
        <v>0</v>
      </c>
      <c r="L2932" t="str">
        <f>VLOOKUP(VALUE(LEFT(C2932,5)),Xref!A:B,2,0)</f>
        <v>NEW</v>
      </c>
      <c r="M2932" t="str">
        <f t="shared" si="183"/>
        <v>NEP-NEW</v>
      </c>
    </row>
    <row r="2933" spans="1:13" ht="14.25" customHeight="true">
      <c r="A2933" s="33" t="str">
        <f t="shared" si="180"/>
        <v>NEP - Intercompany</v>
      </c>
      <c r="B2933" s="33" t="str">
        <f t="shared" si="181"/>
        <v>NEP</v>
      </c>
      <c r="C2933" s="33" t="str">
        <f t="shared" si="182"/>
        <v>11307-0000</v>
      </c>
      <c r="D2933" t="s">
        <v>24497</v>
      </c>
      <c r="E2933" t="s">
        <v>14096</v>
      </c>
      <c r="F2933" t="s">
        <v>14039</v>
      </c>
      <c r="G2933" t="s">
        <v>14672</v>
      </c>
      <c r="H2933" t="s">
        <v>13869</v>
      </c>
      <c r="I2933" t="s">
        <v>14690</v>
      </c>
      <c r="J2933" s="62">
        <v>0</v>
      </c>
      <c r="K2933" s="62">
        <v>0</v>
      </c>
      <c r="L2933" t="str">
        <f>VLOOKUP(VALUE(LEFT(C2933,5)),Xref!A:B,2,0)</f>
        <v>NES</v>
      </c>
      <c r="M2933" t="str">
        <f t="shared" si="183"/>
        <v>NEP-NES</v>
      </c>
    </row>
    <row r="2934" spans="1:13" ht="14.25" customHeight="true">
      <c r="A2934" s="33" t="str">
        <f t="shared" si="180"/>
        <v>NEP - Intercompany</v>
      </c>
      <c r="B2934" s="33" t="str">
        <f t="shared" si="181"/>
        <v>NEP</v>
      </c>
      <c r="C2934" s="33" t="str">
        <f t="shared" si="182"/>
        <v>11308-0000</v>
      </c>
      <c r="D2934" t="s">
        <v>24498</v>
      </c>
      <c r="E2934" t="s">
        <v>13476</v>
      </c>
      <c r="F2934" t="s">
        <v>14039</v>
      </c>
      <c r="G2934" t="s">
        <v>14672</v>
      </c>
      <c r="H2934" t="s">
        <v>13869</v>
      </c>
      <c r="I2934" t="s">
        <v>14690</v>
      </c>
      <c r="J2934" s="62">
        <v>0</v>
      </c>
      <c r="K2934" s="62">
        <v>0</v>
      </c>
      <c r="L2934" t="str">
        <f>VLOOKUP(VALUE(LEFT(C2934,5)),Xref!A:B,2,0)</f>
        <v>LPI</v>
      </c>
      <c r="M2934" t="str">
        <f t="shared" si="183"/>
        <v>LPI-NEP</v>
      </c>
    </row>
    <row r="2935" spans="1:13" ht="14.25" customHeight="true">
      <c r="A2935" s="33" t="str">
        <f t="shared" si="180"/>
        <v>NEP - Intercompany</v>
      </c>
      <c r="B2935" s="33" t="str">
        <f t="shared" si="181"/>
        <v>NEP</v>
      </c>
      <c r="C2935" s="33" t="str">
        <f t="shared" si="182"/>
        <v>11309-0000</v>
      </c>
      <c r="D2935" t="s">
        <v>24499</v>
      </c>
      <c r="E2935" t="s">
        <v>13230</v>
      </c>
      <c r="F2935" t="s">
        <v>14039</v>
      </c>
      <c r="G2935" t="s">
        <v>14672</v>
      </c>
      <c r="H2935" t="s">
        <v>13869</v>
      </c>
      <c r="I2935" t="s">
        <v>14690</v>
      </c>
      <c r="J2935" s="62">
        <v>0</v>
      </c>
      <c r="K2935" s="62">
        <v>0</v>
      </c>
      <c r="L2935" t="str">
        <f>VLOOKUP(VALUE(LEFT(C2935,5)),Xref!A:B,2,0)</f>
        <v>GPI</v>
      </c>
      <c r="M2935" t="str">
        <f t="shared" si="183"/>
        <v>GPI-NEP</v>
      </c>
    </row>
    <row r="2936" spans="1:13" ht="14.25" customHeight="true">
      <c r="A2936" s="33" t="str">
        <f t="shared" si="180"/>
        <v>NEP - Intercompany</v>
      </c>
      <c r="B2936" s="33" t="str">
        <f t="shared" si="181"/>
        <v>NEP</v>
      </c>
      <c r="C2936" s="33" t="str">
        <f t="shared" si="182"/>
        <v>11310-0000</v>
      </c>
      <c r="D2936" t="s">
        <v>1687</v>
      </c>
      <c r="E2936" t="s">
        <v>13231</v>
      </c>
      <c r="F2936" t="s">
        <v>14039</v>
      </c>
      <c r="G2936" t="s">
        <v>14672</v>
      </c>
      <c r="H2936" t="s">
        <v>13869</v>
      </c>
      <c r="I2936" t="s">
        <v>14690</v>
      </c>
      <c r="J2936" s="62">
        <v>0</v>
      </c>
      <c r="K2936" s="62">
        <v>-15000</v>
      </c>
      <c r="L2936" t="str">
        <f>VLOOKUP(VALUE(LEFT(C2936,5)),Xref!A:B,2,0)</f>
        <v>ALP</v>
      </c>
      <c r="M2936" t="str">
        <f t="shared" si="183"/>
        <v>ALP-NEP</v>
      </c>
    </row>
    <row r="2937" spans="1:13" ht="14.25" customHeight="true">
      <c r="A2937" s="33" t="str">
        <f t="shared" si="180"/>
        <v>NEP - Intercompany</v>
      </c>
      <c r="B2937" s="33" t="str">
        <f t="shared" si="181"/>
        <v>NEP</v>
      </c>
      <c r="C2937" s="33" t="str">
        <f t="shared" si="182"/>
        <v>11311-0000</v>
      </c>
      <c r="D2937" t="s">
        <v>1688</v>
      </c>
      <c r="E2937" t="s">
        <v>13232</v>
      </c>
      <c r="F2937" t="s">
        <v>14039</v>
      </c>
      <c r="G2937" t="s">
        <v>14672</v>
      </c>
      <c r="H2937" t="s">
        <v>13869</v>
      </c>
      <c r="I2937" t="s">
        <v>14690</v>
      </c>
      <c r="J2937" s="62">
        <v>0</v>
      </c>
      <c r="K2937" s="62">
        <v>-25000</v>
      </c>
      <c r="L2937" t="str">
        <f>VLOOKUP(VALUE(LEFT(C2937,5)),Xref!A:B,2,0)</f>
        <v>BET</v>
      </c>
      <c r="M2937" t="str">
        <f t="shared" si="183"/>
        <v>BET-NEP</v>
      </c>
    </row>
    <row r="2938" spans="1:13" ht="14.25" customHeight="true">
      <c r="A2938" s="33" t="str">
        <f t="shared" si="180"/>
        <v>NEP - Intercompany</v>
      </c>
      <c r="B2938" s="33" t="str">
        <f t="shared" si="181"/>
        <v>NEP</v>
      </c>
      <c r="C2938" s="33" t="str">
        <f t="shared" si="182"/>
        <v>11312-0000</v>
      </c>
      <c r="D2938" t="s">
        <v>24500</v>
      </c>
      <c r="E2938" t="s">
        <v>14102</v>
      </c>
      <c r="F2938" t="s">
        <v>14039</v>
      </c>
      <c r="G2938" t="s">
        <v>14672</v>
      </c>
      <c r="H2938" t="s">
        <v>13869</v>
      </c>
      <c r="I2938" t="s">
        <v>14690</v>
      </c>
      <c r="J2938" s="62">
        <v>0</v>
      </c>
      <c r="K2938" s="62">
        <v>0</v>
      </c>
      <c r="L2938" t="str">
        <f>VLOOKUP(VALUE(LEFT(C2938,5)),Xref!A:B,2,0)</f>
        <v>DEL</v>
      </c>
      <c r="M2938" t="str">
        <f t="shared" si="183"/>
        <v>DEL-NEP</v>
      </c>
    </row>
    <row r="2939" spans="1:13" ht="14.25" customHeight="true">
      <c r="A2939" s="33" t="str">
        <f t="shared" si="180"/>
        <v>NEP - Intercompany</v>
      </c>
      <c r="B2939" s="33" t="str">
        <f t="shared" si="181"/>
        <v>NEP</v>
      </c>
      <c r="C2939" s="33" t="str">
        <f t="shared" si="182"/>
        <v>11313-0000</v>
      </c>
      <c r="D2939" t="s">
        <v>1689</v>
      </c>
      <c r="E2939" t="s">
        <v>13233</v>
      </c>
      <c r="F2939" t="s">
        <v>14039</v>
      </c>
      <c r="G2939" t="s">
        <v>14672</v>
      </c>
      <c r="H2939" t="s">
        <v>13869</v>
      </c>
      <c r="I2939" t="s">
        <v>14690</v>
      </c>
      <c r="J2939" s="62">
        <v>0</v>
      </c>
      <c r="K2939" s="62">
        <v>-15000</v>
      </c>
      <c r="L2939" t="str">
        <f>VLOOKUP(VALUE(LEFT(C2939,5)),Xref!A:B,2,0)</f>
        <v>DOL</v>
      </c>
      <c r="M2939" t="str">
        <f t="shared" si="183"/>
        <v>DOL-NEP</v>
      </c>
    </row>
    <row r="2940" spans="1:13" ht="14.25" customHeight="true">
      <c r="A2940" s="33" t="str">
        <f t="shared" si="180"/>
        <v>NEP - Intercompany</v>
      </c>
      <c r="B2940" s="33" t="str">
        <f t="shared" si="181"/>
        <v>NEP</v>
      </c>
      <c r="C2940" s="33" t="str">
        <f t="shared" si="182"/>
        <v>11314-0000</v>
      </c>
      <c r="D2940" t="s">
        <v>24501</v>
      </c>
      <c r="E2940" t="s">
        <v>13351</v>
      </c>
      <c r="F2940" t="s">
        <v>14039</v>
      </c>
      <c r="G2940" t="s">
        <v>14672</v>
      </c>
      <c r="H2940" t="s">
        <v>13869</v>
      </c>
      <c r="I2940" t="s">
        <v>14690</v>
      </c>
      <c r="J2940" s="62">
        <v>0</v>
      </c>
      <c r="K2940" s="62">
        <v>0</v>
      </c>
      <c r="L2940" t="str">
        <f>VLOOKUP(VALUE(LEFT(C2940,5)),Xref!A:B,2,0)</f>
        <v>GRI</v>
      </c>
      <c r="M2940" t="str">
        <f t="shared" si="183"/>
        <v>GRI-NEP</v>
      </c>
    </row>
    <row r="2941" spans="1:13" ht="14.25" customHeight="true">
      <c r="A2941" s="33" t="str">
        <f t="shared" si="180"/>
        <v>NEP - Intercompany</v>
      </c>
      <c r="B2941" s="33" t="str">
        <f t="shared" si="181"/>
        <v>NEP</v>
      </c>
      <c r="C2941" s="33" t="str">
        <f t="shared" si="182"/>
        <v>11315-0000</v>
      </c>
      <c r="D2941" t="s">
        <v>24502</v>
      </c>
      <c r="E2941" t="s">
        <v>13234</v>
      </c>
      <c r="F2941" t="s">
        <v>14039</v>
      </c>
      <c r="G2941" t="s">
        <v>14672</v>
      </c>
      <c r="H2941" t="s">
        <v>13869</v>
      </c>
      <c r="I2941" t="s">
        <v>14690</v>
      </c>
      <c r="J2941" s="62">
        <v>0</v>
      </c>
      <c r="K2941" s="62">
        <v>0</v>
      </c>
      <c r="L2941" t="str">
        <f>VLOOKUP(VALUE(LEFT(C2941,5)),Xref!A:B,2,0)</f>
        <v>PUR</v>
      </c>
      <c r="M2941" t="str">
        <f t="shared" si="183"/>
        <v>NEP-PUR</v>
      </c>
    </row>
    <row r="2942" spans="1:13" ht="14.25" customHeight="true">
      <c r="A2942" s="33" t="str">
        <f t="shared" si="180"/>
        <v>NEP - Intercompany</v>
      </c>
      <c r="B2942" s="33" t="str">
        <f t="shared" si="181"/>
        <v>NEP</v>
      </c>
      <c r="C2942" s="33" t="str">
        <f t="shared" si="182"/>
        <v>11316-0000</v>
      </c>
      <c r="D2942" t="s">
        <v>24503</v>
      </c>
      <c r="E2942" t="s">
        <v>13235</v>
      </c>
      <c r="F2942" t="s">
        <v>14039</v>
      </c>
      <c r="G2942" t="s">
        <v>14672</v>
      </c>
      <c r="H2942" t="s">
        <v>13869</v>
      </c>
      <c r="I2942" t="s">
        <v>14690</v>
      </c>
      <c r="J2942" s="62">
        <v>0</v>
      </c>
      <c r="K2942" s="62">
        <v>0</v>
      </c>
      <c r="L2942" t="str">
        <f>VLOOKUP(VALUE(LEFT(C2942,5)),Xref!A:B,2,0)</f>
        <v>VAL</v>
      </c>
      <c r="M2942" t="str">
        <f t="shared" si="183"/>
        <v>NEP-VAL</v>
      </c>
    </row>
    <row r="2943" spans="1:13" ht="14.25" customHeight="true">
      <c r="A2943" s="33" t="str">
        <f t="shared" si="180"/>
        <v>NEP - Intercompany</v>
      </c>
      <c r="B2943" s="33" t="str">
        <f t="shared" si="181"/>
        <v>NEP</v>
      </c>
      <c r="C2943" s="33" t="str">
        <f t="shared" si="182"/>
        <v>11317-0000</v>
      </c>
      <c r="D2943" t="s">
        <v>1690</v>
      </c>
      <c r="E2943" t="s">
        <v>13352</v>
      </c>
      <c r="F2943" t="s">
        <v>14039</v>
      </c>
      <c r="G2943" t="s">
        <v>14672</v>
      </c>
      <c r="H2943" t="s">
        <v>13869</v>
      </c>
      <c r="I2943" t="s">
        <v>14690</v>
      </c>
      <c r="J2943" s="62">
        <v>0</v>
      </c>
      <c r="K2943" s="62">
        <v>-5000</v>
      </c>
      <c r="L2943" t="str">
        <f>VLOOKUP(VALUE(LEFT(C2943,5)),Xref!A:B,2,0)</f>
        <v>AKG</v>
      </c>
      <c r="M2943" t="str">
        <f t="shared" si="183"/>
        <v>AKG-NEP</v>
      </c>
    </row>
    <row r="2944" spans="1:13" ht="14.25" customHeight="true">
      <c r="A2944" s="33" t="str">
        <f t="shared" si="180"/>
        <v>NEP - Intercompany</v>
      </c>
      <c r="B2944" s="33" t="str">
        <f t="shared" si="181"/>
        <v>NEP</v>
      </c>
      <c r="C2944" s="33" t="str">
        <f t="shared" si="182"/>
        <v>11318-0000</v>
      </c>
      <c r="D2944" t="s">
        <v>1691</v>
      </c>
      <c r="E2944" t="s">
        <v>13477</v>
      </c>
      <c r="F2944" t="s">
        <v>14039</v>
      </c>
      <c r="G2944" t="s">
        <v>14672</v>
      </c>
      <c r="H2944" t="s">
        <v>13869</v>
      </c>
      <c r="I2944" t="s">
        <v>14690</v>
      </c>
      <c r="J2944" s="62">
        <v>0</v>
      </c>
      <c r="K2944" s="62">
        <v>15000</v>
      </c>
      <c r="L2944" t="str">
        <f>VLOOKUP(VALUE(LEFT(C2944,5)),Xref!A:B,2,0)</f>
        <v>FIR</v>
      </c>
      <c r="M2944" t="str">
        <f t="shared" si="183"/>
        <v>FIR-NEP</v>
      </c>
    </row>
    <row r="2945" spans="1:13" ht="14.25" customHeight="true">
      <c r="A2945" s="33" t="str">
        <f t="shared" si="180"/>
        <v>NEP - Intercompany</v>
      </c>
      <c r="B2945" s="33" t="str">
        <f t="shared" si="181"/>
        <v>NEP</v>
      </c>
      <c r="C2945" s="33" t="str">
        <f t="shared" si="182"/>
        <v>11319-0000</v>
      </c>
      <c r="D2945" t="s">
        <v>24504</v>
      </c>
      <c r="E2945" t="s">
        <v>266</v>
      </c>
      <c r="F2945" t="s">
        <v>14039</v>
      </c>
      <c r="G2945" t="s">
        <v>14672</v>
      </c>
      <c r="H2945" t="s">
        <v>13869</v>
      </c>
      <c r="I2945" t="s">
        <v>14690</v>
      </c>
      <c r="J2945" s="62">
        <v>0</v>
      </c>
      <c r="K2945" s="62">
        <v>0</v>
      </c>
      <c r="L2945" t="str">
        <f>VLOOKUP(VALUE(LEFT(C2945,5)),Xref!A:B,2,0)</f>
        <v>GST</v>
      </c>
      <c r="M2945" t="str">
        <f t="shared" si="183"/>
        <v>GST-NEP</v>
      </c>
    </row>
    <row r="2946" spans="1:13" ht="14.25" customHeight="true">
      <c r="A2946" s="33" t="str">
        <f t="shared" ref="A2946:A3009" si="184">B2946&amp;" - "&amp;TRIM(H2946)</f>
        <v>NEP - Intercompany</v>
      </c>
      <c r="B2946" s="33" t="str">
        <f t="shared" ref="B2946:B3009" si="185">LEFT(D2946,3)</f>
        <v>NEP</v>
      </c>
      <c r="C2946" s="33" t="str">
        <f t="shared" ref="C2946:C3009" si="186">RIGHT(D2946,10)</f>
        <v>11320-0000</v>
      </c>
      <c r="D2946" t="s">
        <v>24505</v>
      </c>
      <c r="E2946" t="s">
        <v>14111</v>
      </c>
      <c r="F2946" t="s">
        <v>14039</v>
      </c>
      <c r="G2946" t="s">
        <v>14672</v>
      </c>
      <c r="H2946" t="s">
        <v>13869</v>
      </c>
      <c r="I2946" t="s">
        <v>14690</v>
      </c>
      <c r="J2946" s="62">
        <v>0</v>
      </c>
      <c r="K2946" s="62">
        <v>0</v>
      </c>
      <c r="L2946" t="str">
        <f>VLOOKUP(VALUE(LEFT(C2946,5)),Xref!A:B,2,0)</f>
        <v>HDN</v>
      </c>
      <c r="M2946" t="str">
        <f t="shared" ref="M2946:M3009" si="187">IF(B2946&lt;L2946,B2946&amp;"-"&amp;L2946,L2946&amp;"-"&amp;B2946)</f>
        <v>HDN-NEP</v>
      </c>
    </row>
    <row r="2947" spans="1:13" ht="14.25" customHeight="true">
      <c r="A2947" s="33" t="str">
        <f t="shared" si="184"/>
        <v>NEP - Intercompany</v>
      </c>
      <c r="B2947" s="33" t="str">
        <f t="shared" si="185"/>
        <v>NEP</v>
      </c>
      <c r="C2947" s="33" t="str">
        <f t="shared" si="186"/>
        <v>11321-0000</v>
      </c>
      <c r="D2947" t="s">
        <v>24506</v>
      </c>
      <c r="E2947" t="s">
        <v>13236</v>
      </c>
      <c r="F2947" t="s">
        <v>14039</v>
      </c>
      <c r="G2947" t="s">
        <v>14672</v>
      </c>
      <c r="H2947" t="s">
        <v>13869</v>
      </c>
      <c r="I2947" t="s">
        <v>14690</v>
      </c>
      <c r="J2947" s="62">
        <v>0</v>
      </c>
      <c r="K2947" s="62">
        <v>0</v>
      </c>
      <c r="L2947" t="str">
        <f>VLOOKUP(VALUE(LEFT(C2947,5)),Xref!A:B,2,0)</f>
        <v>OVA</v>
      </c>
      <c r="M2947" t="str">
        <f t="shared" si="187"/>
        <v>NEP-OVA</v>
      </c>
    </row>
    <row r="2948" spans="1:13" ht="14.25" customHeight="true">
      <c r="A2948" s="33" t="str">
        <f t="shared" si="184"/>
        <v>NEP - Intercompany</v>
      </c>
      <c r="B2948" s="33" t="str">
        <f t="shared" si="185"/>
        <v>NEP</v>
      </c>
      <c r="C2948" s="33" t="str">
        <f t="shared" si="186"/>
        <v>11322-0000</v>
      </c>
      <c r="D2948" t="s">
        <v>24507</v>
      </c>
      <c r="E2948" t="s">
        <v>13237</v>
      </c>
      <c r="F2948" t="s">
        <v>14039</v>
      </c>
      <c r="G2948" t="s">
        <v>14672</v>
      </c>
      <c r="H2948" t="s">
        <v>13869</v>
      </c>
      <c r="I2948" t="s">
        <v>14690</v>
      </c>
      <c r="J2948" s="62">
        <v>0</v>
      </c>
      <c r="K2948" s="62">
        <v>0</v>
      </c>
      <c r="L2948" t="str">
        <f>VLOOKUP(VALUE(LEFT(C2948,5)),Xref!A:B,2,0)</f>
        <v>WOO</v>
      </c>
      <c r="M2948" t="str">
        <f t="shared" si="187"/>
        <v>NEP-WOO</v>
      </c>
    </row>
    <row r="2949" spans="1:13" ht="14.25" customHeight="true">
      <c r="A2949" s="33" t="str">
        <f t="shared" si="184"/>
        <v>NEP - Intercompany</v>
      </c>
      <c r="B2949" s="33" t="str">
        <f t="shared" si="185"/>
        <v>NEP</v>
      </c>
      <c r="C2949" s="33" t="str">
        <f t="shared" si="186"/>
        <v>11323-0000</v>
      </c>
      <c r="D2949" t="s">
        <v>24508</v>
      </c>
      <c r="E2949" t="s">
        <v>13478</v>
      </c>
      <c r="F2949" t="s">
        <v>14039</v>
      </c>
      <c r="G2949" t="s">
        <v>14672</v>
      </c>
      <c r="H2949" t="s">
        <v>13869</v>
      </c>
      <c r="I2949" t="s">
        <v>14690</v>
      </c>
      <c r="J2949" s="62">
        <v>0</v>
      </c>
      <c r="K2949" s="62">
        <v>0</v>
      </c>
      <c r="L2949" t="str">
        <f>VLOOKUP(VALUE(LEFT(C2949,5)),Xref!A:B,2,0)</f>
        <v>SPI</v>
      </c>
      <c r="M2949" t="str">
        <f t="shared" si="187"/>
        <v>NEP-SPI</v>
      </c>
    </row>
    <row r="2950" spans="1:13" ht="14.25" customHeight="true">
      <c r="A2950" s="33" t="str">
        <f t="shared" si="184"/>
        <v>NEP - Intercompany</v>
      </c>
      <c r="B2950" s="33" t="str">
        <f t="shared" si="185"/>
        <v>NEP</v>
      </c>
      <c r="C2950" s="33" t="str">
        <f t="shared" si="186"/>
        <v>11324-0000</v>
      </c>
      <c r="D2950" t="s">
        <v>24509</v>
      </c>
      <c r="E2950" t="s">
        <v>13238</v>
      </c>
      <c r="F2950" t="s">
        <v>14039</v>
      </c>
      <c r="G2950" t="s">
        <v>14672</v>
      </c>
      <c r="H2950" t="s">
        <v>13869</v>
      </c>
      <c r="I2950" t="s">
        <v>14690</v>
      </c>
      <c r="J2950" s="62">
        <v>0</v>
      </c>
      <c r="K2950" s="62">
        <v>0</v>
      </c>
      <c r="L2950" t="str">
        <f>VLOOKUP(VALUE(LEFT(C2950,5)),Xref!A:B,2,0)</f>
        <v>NET</v>
      </c>
      <c r="M2950" t="str">
        <f t="shared" si="187"/>
        <v>NEP-NET</v>
      </c>
    </row>
    <row r="2951" spans="1:13" ht="14.25" customHeight="true">
      <c r="A2951" s="33" t="str">
        <f t="shared" si="184"/>
        <v>NEP - Intercompany</v>
      </c>
      <c r="B2951" s="33" t="str">
        <f t="shared" si="185"/>
        <v>NEP</v>
      </c>
      <c r="C2951" s="33" t="str">
        <f t="shared" si="186"/>
        <v>11325-0000</v>
      </c>
      <c r="D2951" t="s">
        <v>1692</v>
      </c>
      <c r="E2951" t="s">
        <v>13239</v>
      </c>
      <c r="F2951" t="s">
        <v>14039</v>
      </c>
      <c r="G2951" t="s">
        <v>14672</v>
      </c>
      <c r="H2951" t="s">
        <v>13869</v>
      </c>
      <c r="I2951" t="s">
        <v>14690</v>
      </c>
      <c r="J2951" s="62">
        <v>0</v>
      </c>
      <c r="K2951" s="62">
        <v>-5000</v>
      </c>
      <c r="L2951" t="str">
        <f>VLOOKUP(VALUE(LEFT(C2951,5)),Xref!A:B,2,0)</f>
        <v>DPI</v>
      </c>
      <c r="M2951" t="str">
        <f t="shared" si="187"/>
        <v>DPI-NEP</v>
      </c>
    </row>
    <row r="2952" spans="1:13" ht="14.25" customHeight="true">
      <c r="A2952" s="33" t="str">
        <f t="shared" si="184"/>
        <v>NEP - Intercompany</v>
      </c>
      <c r="B2952" s="33" t="str">
        <f t="shared" si="185"/>
        <v>NEP</v>
      </c>
      <c r="C2952" s="33" t="str">
        <f t="shared" si="186"/>
        <v>11326-0000</v>
      </c>
      <c r="D2952" t="s">
        <v>24510</v>
      </c>
      <c r="E2952" t="s">
        <v>13240</v>
      </c>
      <c r="F2952" t="s">
        <v>14039</v>
      </c>
      <c r="G2952" t="s">
        <v>14672</v>
      </c>
      <c r="H2952" t="s">
        <v>13869</v>
      </c>
      <c r="I2952" t="s">
        <v>14690</v>
      </c>
      <c r="J2952" s="62">
        <v>0</v>
      </c>
      <c r="K2952" s="62">
        <v>0</v>
      </c>
      <c r="L2952" t="str">
        <f>VLOOKUP(VALUE(LEFT(C2952,5)),Xref!A:B,2,0)</f>
        <v>SEK</v>
      </c>
      <c r="M2952" t="str">
        <f t="shared" si="187"/>
        <v>NEP-SEK</v>
      </c>
    </row>
    <row r="2953" spans="1:13" ht="14.25" customHeight="true">
      <c r="A2953" s="33" t="str">
        <f t="shared" si="184"/>
        <v>NEP - Intercompany</v>
      </c>
      <c r="B2953" s="33" t="str">
        <f t="shared" si="185"/>
        <v>NEP</v>
      </c>
      <c r="C2953" s="33" t="str">
        <f t="shared" si="186"/>
        <v>11327-0000</v>
      </c>
      <c r="D2953" t="s">
        <v>24511</v>
      </c>
      <c r="E2953" t="s">
        <v>14119</v>
      </c>
      <c r="F2953" t="s">
        <v>14039</v>
      </c>
      <c r="G2953" t="s">
        <v>14672</v>
      </c>
      <c r="H2953" t="s">
        <v>13869</v>
      </c>
      <c r="I2953" t="s">
        <v>14690</v>
      </c>
      <c r="J2953" s="62">
        <v>0</v>
      </c>
      <c r="K2953" s="62">
        <v>0</v>
      </c>
      <c r="L2953" t="str">
        <f>VLOOKUP(VALUE(LEFT(C2953,5)),Xref!A:B,2,0)</f>
        <v>CPI</v>
      </c>
      <c r="M2953" t="str">
        <f t="shared" si="187"/>
        <v>CPI-NEP</v>
      </c>
    </row>
    <row r="2954" spans="1:13" ht="14.25" customHeight="true">
      <c r="A2954" s="33" t="str">
        <f t="shared" si="184"/>
        <v>NEP - Intercompany</v>
      </c>
      <c r="B2954" s="33" t="str">
        <f t="shared" si="185"/>
        <v>NEP</v>
      </c>
      <c r="C2954" s="33" t="str">
        <f t="shared" si="186"/>
        <v>11328-0000</v>
      </c>
      <c r="D2954" t="s">
        <v>24512</v>
      </c>
      <c r="E2954" t="s">
        <v>13241</v>
      </c>
      <c r="F2954" t="s">
        <v>14039</v>
      </c>
      <c r="G2954" t="s">
        <v>14672</v>
      </c>
      <c r="H2954" t="s">
        <v>13869</v>
      </c>
      <c r="I2954" t="s">
        <v>14690</v>
      </c>
      <c r="J2954" s="62">
        <v>0</v>
      </c>
      <c r="K2954" s="62">
        <v>0</v>
      </c>
      <c r="L2954" t="str">
        <f>VLOOKUP(VALUE(LEFT(C2954,5)),Xref!A:B,2,0)</f>
        <v>LOM</v>
      </c>
      <c r="M2954" t="str">
        <f t="shared" si="187"/>
        <v>LOM-NEP</v>
      </c>
    </row>
    <row r="2955" spans="1:13" ht="14.25" customHeight="true">
      <c r="A2955" s="33" t="str">
        <f t="shared" si="184"/>
        <v>NEP - Intercompany</v>
      </c>
      <c r="B2955" s="33" t="str">
        <f t="shared" si="185"/>
        <v>NEP</v>
      </c>
      <c r="C2955" s="33" t="str">
        <f t="shared" si="186"/>
        <v>11329-0000</v>
      </c>
      <c r="D2955" t="s">
        <v>1693</v>
      </c>
      <c r="E2955" t="s">
        <v>13353</v>
      </c>
      <c r="F2955" t="s">
        <v>14039</v>
      </c>
      <c r="G2955" t="s">
        <v>14672</v>
      </c>
      <c r="H2955" t="s">
        <v>13869</v>
      </c>
      <c r="I2955" t="s">
        <v>14690</v>
      </c>
      <c r="J2955" s="62">
        <v>0</v>
      </c>
      <c r="K2955" s="62">
        <v>20000</v>
      </c>
      <c r="L2955" t="str">
        <f>VLOOKUP(VALUE(LEFT(C2955,5)),Xref!A:B,2,0)</f>
        <v>AKS</v>
      </c>
      <c r="M2955" t="str">
        <f t="shared" si="187"/>
        <v>AKS-NEP</v>
      </c>
    </row>
    <row r="2956" spans="1:13" ht="14.25" customHeight="true">
      <c r="A2956" s="33" t="str">
        <f t="shared" si="184"/>
        <v>NEP - Intercompany</v>
      </c>
      <c r="B2956" s="33" t="str">
        <f t="shared" si="185"/>
        <v>NEP</v>
      </c>
      <c r="C2956" s="33" t="str">
        <f t="shared" si="186"/>
        <v>11330-0000</v>
      </c>
      <c r="D2956" t="s">
        <v>24513</v>
      </c>
      <c r="E2956" t="s">
        <v>13242</v>
      </c>
      <c r="F2956" t="s">
        <v>14039</v>
      </c>
      <c r="G2956" t="s">
        <v>14672</v>
      </c>
      <c r="H2956" t="s">
        <v>13869</v>
      </c>
      <c r="I2956" t="s">
        <v>14690</v>
      </c>
      <c r="J2956" s="62">
        <v>0</v>
      </c>
      <c r="K2956" s="62">
        <v>0</v>
      </c>
      <c r="L2956" t="str">
        <f>VLOOKUP(VALUE(LEFT(C2956,5)),Xref!A:B,2,0)</f>
        <v>MAR</v>
      </c>
      <c r="M2956" t="str">
        <f t="shared" si="187"/>
        <v>MAR-NEP</v>
      </c>
    </row>
    <row r="2957" spans="1:13" ht="14.25" customHeight="true">
      <c r="A2957" s="33" t="str">
        <f t="shared" si="184"/>
        <v>NEP - Intercompany</v>
      </c>
      <c r="B2957" s="33" t="str">
        <f t="shared" si="185"/>
        <v>NEP</v>
      </c>
      <c r="C2957" s="33" t="str">
        <f t="shared" si="186"/>
        <v>11331-0000</v>
      </c>
      <c r="D2957" t="s">
        <v>24514</v>
      </c>
      <c r="E2957" t="s">
        <v>13354</v>
      </c>
      <c r="F2957" t="s">
        <v>14039</v>
      </c>
      <c r="G2957" t="s">
        <v>14672</v>
      </c>
      <c r="H2957" t="s">
        <v>13869</v>
      </c>
      <c r="I2957" t="s">
        <v>14690</v>
      </c>
      <c r="J2957" s="62">
        <v>0</v>
      </c>
      <c r="K2957" s="62">
        <v>0</v>
      </c>
      <c r="L2957" t="str">
        <f>VLOOKUP(VALUE(LEFT(C2957,5)),Xref!A:B,2,0)</f>
        <v>WIL</v>
      </c>
      <c r="M2957" t="str">
        <f t="shared" si="187"/>
        <v>NEP-WIL</v>
      </c>
    </row>
    <row r="2958" spans="1:13" ht="14.25" customHeight="true">
      <c r="A2958" s="33" t="str">
        <f t="shared" si="184"/>
        <v>NEP - Intercompany</v>
      </c>
      <c r="B2958" s="33" t="str">
        <f t="shared" si="185"/>
        <v>NEP</v>
      </c>
      <c r="C2958" s="33" t="str">
        <f t="shared" si="186"/>
        <v>11332-0000</v>
      </c>
      <c r="D2958" t="s">
        <v>1694</v>
      </c>
      <c r="E2958" t="s">
        <v>13243</v>
      </c>
      <c r="F2958" t="s">
        <v>14039</v>
      </c>
      <c r="G2958" t="s">
        <v>14672</v>
      </c>
      <c r="H2958" t="s">
        <v>13869</v>
      </c>
      <c r="I2958" t="s">
        <v>14690</v>
      </c>
      <c r="J2958" s="62">
        <v>0</v>
      </c>
      <c r="K2958" s="62">
        <v>70000</v>
      </c>
      <c r="L2958" t="str">
        <f>VLOOKUP(VALUE(LEFT(C2958,5)),Xref!A:B,2,0)</f>
        <v>STO</v>
      </c>
      <c r="M2958" t="str">
        <f t="shared" si="187"/>
        <v>NEP-STO</v>
      </c>
    </row>
    <row r="2959" spans="1:13" ht="14.25" customHeight="true">
      <c r="A2959" s="33" t="str">
        <f t="shared" si="184"/>
        <v>NEP - Intercompany</v>
      </c>
      <c r="B2959" s="33" t="str">
        <f t="shared" si="185"/>
        <v>NEP</v>
      </c>
      <c r="C2959" s="33" t="str">
        <f t="shared" si="186"/>
        <v>11333-0000</v>
      </c>
      <c r="D2959" t="s">
        <v>24515</v>
      </c>
      <c r="E2959" t="s">
        <v>13244</v>
      </c>
      <c r="F2959" t="s">
        <v>14039</v>
      </c>
      <c r="G2959" t="s">
        <v>14672</v>
      </c>
      <c r="H2959" t="s">
        <v>13869</v>
      </c>
      <c r="I2959" t="s">
        <v>14690</v>
      </c>
      <c r="J2959" s="62">
        <v>0</v>
      </c>
      <c r="K2959" s="62">
        <v>0</v>
      </c>
      <c r="L2959" t="str">
        <f>VLOOKUP(VALUE(LEFT(C2959,5)),Xref!A:B,2,0)</f>
        <v>ANG</v>
      </c>
      <c r="M2959" t="str">
        <f t="shared" si="187"/>
        <v>ANG-NEP</v>
      </c>
    </row>
    <row r="2960" spans="1:13" ht="14.25" customHeight="true">
      <c r="A2960" s="33" t="str">
        <f t="shared" si="184"/>
        <v>NEP - Intercompany</v>
      </c>
      <c r="B2960" s="33" t="str">
        <f t="shared" si="185"/>
        <v>NEP</v>
      </c>
      <c r="C2960" s="33" t="str">
        <f t="shared" si="186"/>
        <v>11334-0000</v>
      </c>
      <c r="D2960" t="s">
        <v>24516</v>
      </c>
      <c r="E2960" t="s">
        <v>13245</v>
      </c>
      <c r="F2960" t="s">
        <v>14039</v>
      </c>
      <c r="G2960" t="s">
        <v>14672</v>
      </c>
      <c r="H2960" t="s">
        <v>13869</v>
      </c>
      <c r="I2960" t="s">
        <v>14690</v>
      </c>
      <c r="J2960" s="62">
        <v>0</v>
      </c>
      <c r="K2960" s="62">
        <v>0</v>
      </c>
      <c r="L2960" t="str">
        <f>VLOOKUP(VALUE(LEFT(C2960,5)),Xref!A:B,2,0)</f>
        <v>BRU</v>
      </c>
      <c r="M2960" t="str">
        <f t="shared" si="187"/>
        <v>BRU-NEP</v>
      </c>
    </row>
    <row r="2961" spans="1:13" ht="14.25" customHeight="true">
      <c r="A2961" s="33" t="str">
        <f t="shared" si="184"/>
        <v>NEP - Intercompany</v>
      </c>
      <c r="B2961" s="33" t="str">
        <f t="shared" si="185"/>
        <v>NEP</v>
      </c>
      <c r="C2961" s="33" t="str">
        <f t="shared" si="186"/>
        <v>11335-0000</v>
      </c>
      <c r="D2961" t="s">
        <v>24517</v>
      </c>
      <c r="E2961" t="s">
        <v>13246</v>
      </c>
      <c r="F2961" t="s">
        <v>14039</v>
      </c>
      <c r="G2961" t="s">
        <v>14672</v>
      </c>
      <c r="H2961" t="s">
        <v>13869</v>
      </c>
      <c r="I2961" t="s">
        <v>14690</v>
      </c>
      <c r="J2961" s="62">
        <v>0</v>
      </c>
      <c r="K2961" s="62">
        <v>0</v>
      </c>
      <c r="L2961" t="str">
        <f>VLOOKUP(VALUE(LEFT(C2961,5)),Xref!A:B,2,0)</f>
        <v>VEN</v>
      </c>
      <c r="M2961" t="str">
        <f t="shared" si="187"/>
        <v>NEP-VEN</v>
      </c>
    </row>
    <row r="2962" spans="1:13" ht="14.25" customHeight="true">
      <c r="A2962" s="33" t="str">
        <f t="shared" si="184"/>
        <v>NEP - Intercompany</v>
      </c>
      <c r="B2962" s="33" t="str">
        <f t="shared" si="185"/>
        <v>NEP</v>
      </c>
      <c r="C2962" s="33" t="str">
        <f t="shared" si="186"/>
        <v>11336-0000</v>
      </c>
      <c r="D2962" t="s">
        <v>24518</v>
      </c>
      <c r="E2962" t="s">
        <v>13247</v>
      </c>
      <c r="F2962" t="s">
        <v>14039</v>
      </c>
      <c r="G2962" t="s">
        <v>14672</v>
      </c>
      <c r="H2962" t="s">
        <v>13869</v>
      </c>
      <c r="I2962" t="s">
        <v>14690</v>
      </c>
      <c r="J2962" s="62">
        <v>0</v>
      </c>
      <c r="K2962" s="62">
        <v>0</v>
      </c>
      <c r="L2962" t="str">
        <f>VLOOKUP(VALUE(LEFT(C2962,5)),Xref!A:B,2,0)</f>
        <v>SAT</v>
      </c>
      <c r="M2962" t="str">
        <f t="shared" si="187"/>
        <v>NEP-SAT</v>
      </c>
    </row>
    <row r="2963" spans="1:13" ht="14.25" customHeight="true">
      <c r="A2963" s="33" t="str">
        <f t="shared" si="184"/>
        <v>NEP - Intercompany</v>
      </c>
      <c r="B2963" s="33" t="str">
        <f t="shared" si="185"/>
        <v>NEP</v>
      </c>
      <c r="C2963" s="33" t="str">
        <f t="shared" si="186"/>
        <v>11337-0000</v>
      </c>
      <c r="D2963" t="s">
        <v>24519</v>
      </c>
      <c r="E2963" t="s">
        <v>13248</v>
      </c>
      <c r="F2963" t="s">
        <v>14039</v>
      </c>
      <c r="G2963" t="s">
        <v>14672</v>
      </c>
      <c r="H2963" t="s">
        <v>13869</v>
      </c>
      <c r="I2963" t="s">
        <v>14690</v>
      </c>
      <c r="J2963" s="62">
        <v>0</v>
      </c>
      <c r="K2963" s="62">
        <v>0</v>
      </c>
      <c r="L2963" t="str">
        <f>VLOOKUP(VALUE(LEFT(C2963,5)),Xref!A:B,2,0)</f>
        <v>NEP</v>
      </c>
      <c r="M2963" t="str">
        <f t="shared" si="187"/>
        <v>NEP-NEP</v>
      </c>
    </row>
    <row r="2964" spans="1:13" ht="14.25" customHeight="true">
      <c r="A2964" s="33" t="str">
        <f t="shared" si="184"/>
        <v>NEP - Intercompany</v>
      </c>
      <c r="B2964" s="33" t="str">
        <f t="shared" si="185"/>
        <v>NEP</v>
      </c>
      <c r="C2964" s="33" t="str">
        <f t="shared" si="186"/>
        <v>11338-0000</v>
      </c>
      <c r="D2964" t="s">
        <v>24520</v>
      </c>
      <c r="E2964" t="s">
        <v>14131</v>
      </c>
      <c r="F2964" t="s">
        <v>14039</v>
      </c>
      <c r="G2964" t="s">
        <v>14672</v>
      </c>
      <c r="H2964" t="s">
        <v>13869</v>
      </c>
      <c r="I2964" t="s">
        <v>14690</v>
      </c>
      <c r="J2964" s="62">
        <v>0</v>
      </c>
      <c r="K2964" s="62">
        <v>0</v>
      </c>
      <c r="L2964" t="str">
        <f>VLOOKUP(VALUE(LEFT(C2964,5)),Xref!A:B,2,0)</f>
        <v>JUP</v>
      </c>
      <c r="M2964" t="str">
        <f t="shared" si="187"/>
        <v>JUP-NEP</v>
      </c>
    </row>
    <row r="2965" spans="1:13" ht="14.25" customHeight="true">
      <c r="A2965" s="33" t="str">
        <f t="shared" si="184"/>
        <v>NEP - Intercompany</v>
      </c>
      <c r="B2965" s="33" t="str">
        <f t="shared" si="185"/>
        <v>NEP</v>
      </c>
      <c r="C2965" s="33" t="str">
        <f t="shared" si="186"/>
        <v>11339-0000</v>
      </c>
      <c r="D2965" t="s">
        <v>24521</v>
      </c>
      <c r="E2965" t="s">
        <v>14133</v>
      </c>
      <c r="F2965" t="s">
        <v>14039</v>
      </c>
      <c r="G2965" t="s">
        <v>14672</v>
      </c>
      <c r="H2965" t="s">
        <v>13869</v>
      </c>
      <c r="I2965" t="s">
        <v>14690</v>
      </c>
      <c r="J2965" s="62">
        <v>0</v>
      </c>
      <c r="K2965" s="62">
        <v>0</v>
      </c>
      <c r="L2965" t="str">
        <f>VLOOKUP(VALUE(LEFT(C2965,5)),Xref!A:B,2,0)</f>
        <v>WES</v>
      </c>
      <c r="M2965" t="str">
        <f t="shared" si="187"/>
        <v>NEP-WES</v>
      </c>
    </row>
    <row r="2966" spans="1:13" ht="14.25" customHeight="true">
      <c r="A2966" s="33" t="str">
        <f t="shared" si="184"/>
        <v>NEP - Intercompany</v>
      </c>
      <c r="B2966" s="33" t="str">
        <f t="shared" si="185"/>
        <v>NEP</v>
      </c>
      <c r="C2966" s="33" t="str">
        <f t="shared" si="186"/>
        <v>11340-0000</v>
      </c>
      <c r="D2966" t="s">
        <v>24522</v>
      </c>
      <c r="E2966" t="s">
        <v>14135</v>
      </c>
      <c r="F2966" t="s">
        <v>14039</v>
      </c>
      <c r="G2966" t="s">
        <v>14672</v>
      </c>
      <c r="H2966" t="s">
        <v>13869</v>
      </c>
      <c r="I2966" t="s">
        <v>14690</v>
      </c>
      <c r="J2966" s="62">
        <v>0</v>
      </c>
      <c r="K2966" s="62">
        <v>0</v>
      </c>
      <c r="L2966" t="str">
        <f>VLOOKUP(VALUE(LEFT(C2966,5)),Xref!A:B,2,0)</f>
        <v>LCP</v>
      </c>
      <c r="M2966" t="str">
        <f t="shared" si="187"/>
        <v>LCP-NEP</v>
      </c>
    </row>
    <row r="2967" spans="1:13" ht="14.25" customHeight="true">
      <c r="A2967" s="33" t="str">
        <f t="shared" si="184"/>
        <v>NEP - Intercompany</v>
      </c>
      <c r="B2967" s="33" t="str">
        <f t="shared" si="185"/>
        <v>NEP</v>
      </c>
      <c r="C2967" s="33" t="str">
        <f t="shared" si="186"/>
        <v>11341-0000</v>
      </c>
      <c r="D2967" t="s">
        <v>24523</v>
      </c>
      <c r="E2967" t="s">
        <v>13639</v>
      </c>
      <c r="F2967" t="s">
        <v>14039</v>
      </c>
      <c r="G2967" t="s">
        <v>14672</v>
      </c>
      <c r="H2967" t="s">
        <v>13869</v>
      </c>
      <c r="I2967" t="s">
        <v>14690</v>
      </c>
      <c r="J2967" s="62">
        <v>0</v>
      </c>
      <c r="K2967" s="62">
        <v>0</v>
      </c>
      <c r="L2967" t="str">
        <f>VLOOKUP(VALUE(LEFT(C2967,5)),Xref!A:B,2,0)</f>
        <v>NOR</v>
      </c>
      <c r="M2967" t="str">
        <f t="shared" si="187"/>
        <v>NEP-NOR</v>
      </c>
    </row>
    <row r="2968" spans="1:13" ht="14.25" customHeight="true">
      <c r="A2968" s="33" t="str">
        <f t="shared" si="184"/>
        <v>NEP - Intercompany</v>
      </c>
      <c r="B2968" s="33" t="str">
        <f t="shared" si="185"/>
        <v>NEP</v>
      </c>
      <c r="C2968" s="33" t="str">
        <f t="shared" si="186"/>
        <v>11342-0000</v>
      </c>
      <c r="D2968" t="s">
        <v>1695</v>
      </c>
      <c r="E2968" t="s">
        <v>13355</v>
      </c>
      <c r="F2968" t="s">
        <v>14039</v>
      </c>
      <c r="G2968" t="s">
        <v>14672</v>
      </c>
      <c r="H2968" t="s">
        <v>13869</v>
      </c>
      <c r="I2968" t="s">
        <v>14690</v>
      </c>
      <c r="J2968" s="62">
        <v>0</v>
      </c>
      <c r="K2968" s="62">
        <v>-5000</v>
      </c>
      <c r="L2968" t="str">
        <f>VLOOKUP(VALUE(LEFT(C2968,5)),Xref!A:B,2,0)</f>
        <v>EAS</v>
      </c>
      <c r="M2968" t="str">
        <f t="shared" si="187"/>
        <v>EAS-NEP</v>
      </c>
    </row>
    <row r="2969" spans="1:13" ht="14.25" customHeight="true">
      <c r="A2969" s="33" t="str">
        <f t="shared" si="184"/>
        <v>NEP - Intercompany</v>
      </c>
      <c r="B2969" s="33" t="str">
        <f t="shared" si="185"/>
        <v>NEP</v>
      </c>
      <c r="C2969" s="33" t="str">
        <f t="shared" si="186"/>
        <v>11343-0000</v>
      </c>
      <c r="D2969" t="s">
        <v>1696</v>
      </c>
      <c r="E2969" t="s">
        <v>14139</v>
      </c>
      <c r="F2969" t="s">
        <v>14039</v>
      </c>
      <c r="G2969" t="s">
        <v>14672</v>
      </c>
      <c r="H2969" t="s">
        <v>13869</v>
      </c>
      <c r="I2969" t="s">
        <v>14690</v>
      </c>
      <c r="J2969" s="62">
        <v>0</v>
      </c>
      <c r="K2969" s="62">
        <v>-20000</v>
      </c>
      <c r="L2969" t="str">
        <f>VLOOKUP(VALUE(LEFT(C2969,5)),Xref!A:B,2,0)</f>
        <v>GRA</v>
      </c>
      <c r="M2969" t="str">
        <f t="shared" si="187"/>
        <v>GRA-NEP</v>
      </c>
    </row>
    <row r="2970" spans="1:13" ht="14.25" customHeight="true">
      <c r="A2970" s="33" t="str">
        <f t="shared" si="184"/>
        <v>NEP - Intercompany</v>
      </c>
      <c r="B2970" s="33" t="str">
        <f t="shared" si="185"/>
        <v>NEP</v>
      </c>
      <c r="C2970" s="33" t="str">
        <f t="shared" si="186"/>
        <v>11344-0000</v>
      </c>
      <c r="D2970" t="s">
        <v>24524</v>
      </c>
      <c r="E2970" t="s">
        <v>14141</v>
      </c>
      <c r="F2970" t="s">
        <v>14039</v>
      </c>
      <c r="G2970" t="s">
        <v>14672</v>
      </c>
      <c r="H2970" t="s">
        <v>13869</v>
      </c>
      <c r="I2970" t="s">
        <v>14690</v>
      </c>
      <c r="J2970" s="62">
        <v>0</v>
      </c>
      <c r="K2970" s="62">
        <v>0</v>
      </c>
      <c r="L2970" t="str">
        <f>VLOOKUP(VALUE(LEFT(C2970,5)),Xref!A:B,2,0)</f>
        <v>SOU</v>
      </c>
      <c r="M2970" t="str">
        <f t="shared" si="187"/>
        <v>NEP-SOU</v>
      </c>
    </row>
    <row r="2971" spans="1:13" ht="14.25" customHeight="true">
      <c r="A2971" s="33" t="str">
        <f t="shared" si="184"/>
        <v>NEP - Intercompany</v>
      </c>
      <c r="B2971" s="33" t="str">
        <f t="shared" si="185"/>
        <v>NEP</v>
      </c>
      <c r="C2971" s="33" t="str">
        <f t="shared" si="186"/>
        <v>11345-0000</v>
      </c>
      <c r="D2971" t="s">
        <v>24525</v>
      </c>
      <c r="E2971" t="s">
        <v>14143</v>
      </c>
      <c r="F2971" t="s">
        <v>14039</v>
      </c>
      <c r="G2971" t="s">
        <v>14672</v>
      </c>
      <c r="H2971" t="s">
        <v>13869</v>
      </c>
      <c r="I2971" t="s">
        <v>14690</v>
      </c>
      <c r="J2971" s="62">
        <v>0</v>
      </c>
      <c r="K2971" s="62">
        <v>0</v>
      </c>
      <c r="L2971" t="str">
        <f>VLOOKUP(VALUE(LEFT(C2971,5)),Xref!A:B,2,0)</f>
        <v>API</v>
      </c>
      <c r="M2971" t="str">
        <f t="shared" si="187"/>
        <v>API-NEP</v>
      </c>
    </row>
    <row r="2972" spans="1:13" ht="14.25" customHeight="true">
      <c r="A2972" s="33" t="str">
        <f t="shared" si="184"/>
        <v>NEP - Intercompany</v>
      </c>
      <c r="B2972" s="33" t="str">
        <f t="shared" si="185"/>
        <v>NEP</v>
      </c>
      <c r="C2972" s="33" t="str">
        <f t="shared" si="186"/>
        <v>11346-0000</v>
      </c>
      <c r="D2972" t="s">
        <v>24526</v>
      </c>
      <c r="E2972" t="s">
        <v>14145</v>
      </c>
      <c r="F2972" t="s">
        <v>14039</v>
      </c>
      <c r="G2972" t="s">
        <v>14672</v>
      </c>
      <c r="H2972" t="s">
        <v>13869</v>
      </c>
      <c r="I2972" t="s">
        <v>14690</v>
      </c>
      <c r="J2972" s="62">
        <v>0</v>
      </c>
      <c r="K2972" s="62">
        <v>0</v>
      </c>
      <c r="L2972" t="str">
        <f>VLOOKUP(VALUE(LEFT(C2972,5)),Xref!A:B,2,0)</f>
        <v>DPH</v>
      </c>
      <c r="M2972" t="str">
        <f t="shared" si="187"/>
        <v>DPH-NEP</v>
      </c>
    </row>
    <row r="2973" spans="1:13" ht="14.25" customHeight="true">
      <c r="A2973" s="33" t="str">
        <f t="shared" si="184"/>
        <v>NEP - Intercompany</v>
      </c>
      <c r="B2973" s="33" t="str">
        <f t="shared" si="185"/>
        <v>NEP</v>
      </c>
      <c r="C2973" s="33" t="str">
        <f t="shared" si="186"/>
        <v>11347-0000</v>
      </c>
      <c r="D2973" t="s">
        <v>24527</v>
      </c>
      <c r="E2973" t="s">
        <v>14147</v>
      </c>
      <c r="F2973" t="s">
        <v>14039</v>
      </c>
      <c r="G2973" t="s">
        <v>14672</v>
      </c>
      <c r="H2973" t="s">
        <v>13869</v>
      </c>
      <c r="I2973" t="s">
        <v>14690</v>
      </c>
      <c r="J2973" s="62">
        <v>0</v>
      </c>
      <c r="K2973" s="62">
        <v>0</v>
      </c>
      <c r="L2973" t="str">
        <f>VLOOKUP(VALUE(LEFT(C2973,5)),Xref!A:B,2,0)</f>
        <v>ZPI</v>
      </c>
      <c r="M2973" t="str">
        <f t="shared" si="187"/>
        <v>NEP-ZPI</v>
      </c>
    </row>
    <row r="2974" spans="1:13" ht="14.25" customHeight="true">
      <c r="A2974" s="33" t="str">
        <f t="shared" si="184"/>
        <v>NEP - Intercompany</v>
      </c>
      <c r="B2974" s="33" t="str">
        <f t="shared" si="185"/>
        <v>NEP</v>
      </c>
      <c r="C2974" s="33" t="str">
        <f t="shared" si="186"/>
        <v>11348-0000</v>
      </c>
      <c r="D2974" t="s">
        <v>24528</v>
      </c>
      <c r="E2974" t="s">
        <v>14149</v>
      </c>
      <c r="F2974" t="s">
        <v>14039</v>
      </c>
      <c r="G2974" t="s">
        <v>14672</v>
      </c>
      <c r="H2974" t="s">
        <v>13869</v>
      </c>
      <c r="I2974" t="s">
        <v>14690</v>
      </c>
      <c r="J2974" s="62">
        <v>0</v>
      </c>
      <c r="K2974" s="62">
        <v>0</v>
      </c>
      <c r="L2974" t="str">
        <f>VLOOKUP(VALUE(LEFT(C2974,5)),Xref!A:B,2,0)</f>
        <v>EAM</v>
      </c>
      <c r="M2974" t="str">
        <f t="shared" si="187"/>
        <v>EAM-NEP</v>
      </c>
    </row>
    <row r="2975" spans="1:13" ht="14.25" customHeight="true">
      <c r="A2975" s="33" t="str">
        <f t="shared" si="184"/>
        <v>NEP - Intercompany</v>
      </c>
      <c r="B2975" s="33" t="str">
        <f t="shared" si="185"/>
        <v>NEP</v>
      </c>
      <c r="C2975" s="33" t="str">
        <f t="shared" si="186"/>
        <v>11349-0000</v>
      </c>
      <c r="D2975" t="s">
        <v>24529</v>
      </c>
      <c r="E2975" t="s">
        <v>14151</v>
      </c>
      <c r="F2975" t="s">
        <v>14039</v>
      </c>
      <c r="G2975" t="s">
        <v>14672</v>
      </c>
      <c r="H2975" t="s">
        <v>13869</v>
      </c>
      <c r="I2975" t="s">
        <v>14690</v>
      </c>
      <c r="J2975" s="62">
        <v>0</v>
      </c>
      <c r="K2975" s="62">
        <v>0</v>
      </c>
      <c r="L2975" t="str">
        <f>VLOOKUP(VALUE(LEFT(C2975,5)),Xref!A:B,2,0)</f>
        <v>SEA</v>
      </c>
      <c r="M2975" t="str">
        <f t="shared" si="187"/>
        <v>NEP-SEA</v>
      </c>
    </row>
    <row r="2976" spans="1:13" ht="14.25" customHeight="true">
      <c r="A2976" s="33" t="str">
        <f t="shared" si="184"/>
        <v>NEP - Intercompany</v>
      </c>
      <c r="B2976" s="33" t="str">
        <f t="shared" si="185"/>
        <v>NEP</v>
      </c>
      <c r="C2976" s="33" t="str">
        <f t="shared" si="186"/>
        <v>11350-0000</v>
      </c>
      <c r="D2976" t="s">
        <v>24530</v>
      </c>
      <c r="E2976" t="s">
        <v>14153</v>
      </c>
      <c r="F2976" t="s">
        <v>14039</v>
      </c>
      <c r="G2976" t="s">
        <v>14672</v>
      </c>
      <c r="H2976" t="s">
        <v>13869</v>
      </c>
      <c r="I2976" t="s">
        <v>14690</v>
      </c>
      <c r="J2976" s="62">
        <v>0</v>
      </c>
      <c r="K2976" s="62">
        <v>-18.44</v>
      </c>
      <c r="L2976" t="str">
        <f>VLOOKUP(VALUE(LEFT(C2976,5)),Xref!A:B,2,0)</f>
        <v>EAL</v>
      </c>
      <c r="M2976" t="str">
        <f t="shared" si="187"/>
        <v>EAL-NEP</v>
      </c>
    </row>
    <row r="2977" spans="1:13" ht="14.25" customHeight="true">
      <c r="A2977" s="33" t="str">
        <f t="shared" si="184"/>
        <v>NEP - Intercompany</v>
      </c>
      <c r="B2977" s="33" t="str">
        <f t="shared" si="185"/>
        <v>NEP</v>
      </c>
      <c r="C2977" s="33" t="str">
        <f t="shared" si="186"/>
        <v>11351-0000</v>
      </c>
      <c r="D2977" t="s">
        <v>24531</v>
      </c>
      <c r="E2977" t="s">
        <v>14155</v>
      </c>
      <c r="F2977" t="s">
        <v>14039</v>
      </c>
      <c r="G2977" t="s">
        <v>14672</v>
      </c>
      <c r="H2977" t="s">
        <v>13869</v>
      </c>
      <c r="I2977" t="s">
        <v>14690</v>
      </c>
      <c r="J2977" s="62">
        <v>0</v>
      </c>
      <c r="K2977" s="62">
        <v>0</v>
      </c>
      <c r="L2977" t="str">
        <f>VLOOKUP(VALUE(LEFT(C2977,5)),Xref!A:B,2,0)</f>
        <v>WEP</v>
      </c>
      <c r="M2977" t="str">
        <f t="shared" si="187"/>
        <v>NEP-WEP</v>
      </c>
    </row>
    <row r="2978" spans="1:13" ht="14.25" customHeight="true">
      <c r="A2978" s="33" t="str">
        <f t="shared" si="184"/>
        <v>NEP - Intercompany</v>
      </c>
      <c r="B2978" s="33" t="str">
        <f t="shared" si="185"/>
        <v>NEP</v>
      </c>
      <c r="C2978" s="33" t="str">
        <f t="shared" si="186"/>
        <v>11352-0000</v>
      </c>
      <c r="D2978" t="s">
        <v>24532</v>
      </c>
      <c r="E2978" t="s">
        <v>13536</v>
      </c>
      <c r="F2978" t="s">
        <v>14039</v>
      </c>
      <c r="G2978" t="s">
        <v>14672</v>
      </c>
      <c r="H2978" t="s">
        <v>13869</v>
      </c>
      <c r="I2978" t="s">
        <v>14690</v>
      </c>
      <c r="J2978" s="62">
        <v>0</v>
      </c>
      <c r="K2978" s="62">
        <v>0</v>
      </c>
      <c r="L2978" t="str">
        <f>VLOOKUP(VALUE(LEFT(C2978,5)),Xref!A:B,2,0)</f>
        <v>KLP</v>
      </c>
      <c r="M2978" t="str">
        <f t="shared" si="187"/>
        <v>KLP-NEP</v>
      </c>
    </row>
    <row r="2979" spans="1:13" ht="14.25" customHeight="true">
      <c r="A2979" s="33" t="str">
        <f t="shared" si="184"/>
        <v>NEP - Intercompany</v>
      </c>
      <c r="B2979" s="33" t="str">
        <f t="shared" si="185"/>
        <v>NEP</v>
      </c>
      <c r="C2979" s="33" t="str">
        <f t="shared" si="186"/>
        <v>11353-0000</v>
      </c>
      <c r="D2979" t="s">
        <v>24533</v>
      </c>
      <c r="E2979" t="s">
        <v>13537</v>
      </c>
      <c r="F2979" t="s">
        <v>14039</v>
      </c>
      <c r="G2979" t="s">
        <v>14672</v>
      </c>
      <c r="H2979" t="s">
        <v>13869</v>
      </c>
      <c r="I2979" t="s">
        <v>14690</v>
      </c>
      <c r="J2979" s="62">
        <v>0</v>
      </c>
      <c r="K2979" s="62">
        <v>0</v>
      </c>
      <c r="L2979" t="str">
        <f>VLOOKUP(VALUE(LEFT(C2979,5)),Xref!A:B,2,0)</f>
        <v>AKC</v>
      </c>
      <c r="M2979" t="str">
        <f t="shared" si="187"/>
        <v>AKC-NEP</v>
      </c>
    </row>
    <row r="2980" spans="1:13" ht="14.25" customHeight="true">
      <c r="A2980" s="33" t="str">
        <f t="shared" si="184"/>
        <v>NEP - Intercompany</v>
      </c>
      <c r="B2980" s="33" t="str">
        <f t="shared" si="185"/>
        <v>NEP</v>
      </c>
      <c r="C2980" s="33" t="str">
        <f t="shared" si="186"/>
        <v>11354-0000</v>
      </c>
      <c r="D2980" t="s">
        <v>24534</v>
      </c>
      <c r="E2980" t="s">
        <v>13538</v>
      </c>
      <c r="F2980" t="s">
        <v>14039</v>
      </c>
      <c r="G2980" t="s">
        <v>14672</v>
      </c>
      <c r="H2980" t="s">
        <v>13869</v>
      </c>
      <c r="I2980" t="s">
        <v>14690</v>
      </c>
      <c r="J2980" s="62">
        <v>0</v>
      </c>
      <c r="K2980" s="62">
        <v>0</v>
      </c>
      <c r="L2980" t="str">
        <f>VLOOKUP(VALUE(LEFT(C2980,5)),Xref!A:B,2,0)</f>
        <v>AKA</v>
      </c>
      <c r="M2980" t="str">
        <f t="shared" si="187"/>
        <v>AKA-NEP</v>
      </c>
    </row>
    <row r="2981" spans="1:13" ht="14.25" customHeight="true">
      <c r="A2981" s="33" t="str">
        <f t="shared" si="184"/>
        <v>NEP - Intercompany</v>
      </c>
      <c r="B2981" s="33" t="str">
        <f t="shared" si="185"/>
        <v>NEP</v>
      </c>
      <c r="C2981" s="33" t="str">
        <f t="shared" si="186"/>
        <v>11355-0000</v>
      </c>
      <c r="D2981" t="s">
        <v>24535</v>
      </c>
      <c r="E2981" t="s">
        <v>13539</v>
      </c>
      <c r="F2981" t="s">
        <v>14039</v>
      </c>
      <c r="G2981" t="s">
        <v>14672</v>
      </c>
      <c r="H2981" t="s">
        <v>13869</v>
      </c>
      <c r="I2981" t="s">
        <v>14690</v>
      </c>
      <c r="J2981" s="62">
        <v>0</v>
      </c>
      <c r="K2981" s="62">
        <v>0</v>
      </c>
      <c r="L2981" t="str">
        <f>VLOOKUP(VALUE(LEFT(C2981,5)),Xref!A:B,2,0)</f>
        <v>SPA</v>
      </c>
      <c r="M2981" t="str">
        <f t="shared" si="187"/>
        <v>NEP-SPA</v>
      </c>
    </row>
    <row r="2982" spans="1:13" ht="14.25" customHeight="true">
      <c r="A2982" s="33" t="str">
        <f t="shared" si="184"/>
        <v>NEP - Intercompany</v>
      </c>
      <c r="B2982" s="33" t="str">
        <f t="shared" si="185"/>
        <v>NEP</v>
      </c>
      <c r="C2982" s="33" t="str">
        <f t="shared" si="186"/>
        <v>11356-0000</v>
      </c>
      <c r="D2982" t="s">
        <v>24536</v>
      </c>
      <c r="E2982" t="s">
        <v>13540</v>
      </c>
      <c r="F2982" t="s">
        <v>14039</v>
      </c>
      <c r="G2982" t="s">
        <v>14672</v>
      </c>
      <c r="H2982" t="s">
        <v>13869</v>
      </c>
      <c r="I2982" t="s">
        <v>14690</v>
      </c>
      <c r="J2982" s="62">
        <v>0</v>
      </c>
      <c r="K2982" s="62">
        <v>0</v>
      </c>
      <c r="L2982" t="str">
        <f>VLOOKUP(VALUE(LEFT(C2982,5)),Xref!A:B,2,0)</f>
        <v>DPM</v>
      </c>
      <c r="M2982" t="str">
        <f t="shared" si="187"/>
        <v>DPM-NEP</v>
      </c>
    </row>
    <row r="2983" spans="1:13" ht="14.25" customHeight="true">
      <c r="A2983" s="33" t="str">
        <f t="shared" si="184"/>
        <v>NEP - Intercompany</v>
      </c>
      <c r="B2983" s="33" t="str">
        <f t="shared" si="185"/>
        <v>NEP</v>
      </c>
      <c r="C2983" s="33" t="str">
        <f t="shared" si="186"/>
        <v>11357-0000</v>
      </c>
      <c r="D2983" t="s">
        <v>24537</v>
      </c>
      <c r="E2983" t="s">
        <v>13541</v>
      </c>
      <c r="F2983" t="s">
        <v>14039</v>
      </c>
      <c r="G2983" t="s">
        <v>14672</v>
      </c>
      <c r="H2983" t="s">
        <v>13869</v>
      </c>
      <c r="I2983" t="s">
        <v>14690</v>
      </c>
      <c r="J2983" s="62">
        <v>0</v>
      </c>
      <c r="K2983" s="62">
        <v>0</v>
      </c>
      <c r="L2983" t="str">
        <f>VLOOKUP(VALUE(LEFT(C2983,5)),Xref!A:B,2,0)</f>
        <v>HDM</v>
      </c>
      <c r="M2983" t="str">
        <f t="shared" si="187"/>
        <v>HDM-NEP</v>
      </c>
    </row>
    <row r="2984" spans="1:13" ht="14.25" customHeight="true">
      <c r="A2984" s="33" t="str">
        <f t="shared" si="184"/>
        <v>NEP - Intercompany</v>
      </c>
      <c r="B2984" s="33" t="str">
        <f t="shared" si="185"/>
        <v>NEP</v>
      </c>
      <c r="C2984" s="33" t="str">
        <f t="shared" si="186"/>
        <v>11358-0000</v>
      </c>
      <c r="D2984" t="s">
        <v>24538</v>
      </c>
      <c r="E2984" t="s">
        <v>13542</v>
      </c>
      <c r="F2984" t="s">
        <v>14039</v>
      </c>
      <c r="G2984" t="s">
        <v>14672</v>
      </c>
      <c r="H2984" t="s">
        <v>13869</v>
      </c>
      <c r="I2984" t="s">
        <v>14690</v>
      </c>
      <c r="J2984" s="62">
        <v>0</v>
      </c>
      <c r="K2984" s="62">
        <v>0</v>
      </c>
      <c r="L2984" t="str">
        <f>VLOOKUP(VALUE(LEFT(C2984,5)),Xref!A:B,2,0)</f>
        <v>GRA</v>
      </c>
      <c r="M2984" t="str">
        <f t="shared" si="187"/>
        <v>GRA-NEP</v>
      </c>
    </row>
    <row r="2985" spans="1:13" ht="14.25" customHeight="true">
      <c r="A2985" s="33" t="str">
        <f t="shared" si="184"/>
        <v>NEP - Intercompany</v>
      </c>
      <c r="B2985" s="33" t="str">
        <f t="shared" si="185"/>
        <v>NEP</v>
      </c>
      <c r="C2985" s="33" t="str">
        <f t="shared" si="186"/>
        <v>11359-0000</v>
      </c>
      <c r="D2985" t="s">
        <v>24539</v>
      </c>
      <c r="E2985" t="s">
        <v>13543</v>
      </c>
      <c r="F2985" t="s">
        <v>14039</v>
      </c>
      <c r="G2985" t="s">
        <v>14672</v>
      </c>
      <c r="H2985" t="s">
        <v>13869</v>
      </c>
      <c r="I2985" t="s">
        <v>14690</v>
      </c>
      <c r="J2985" s="62">
        <v>0</v>
      </c>
      <c r="K2985" s="62">
        <v>0</v>
      </c>
      <c r="L2985" t="str">
        <f>VLOOKUP(VALUE(LEFT(C2985,5)),Xref!A:B,2,0)</f>
        <v>TPI</v>
      </c>
      <c r="M2985" t="str">
        <f t="shared" si="187"/>
        <v>NEP-TPI</v>
      </c>
    </row>
    <row r="2986" spans="1:13" ht="14.25" customHeight="true">
      <c r="A2986" s="33" t="str">
        <f t="shared" si="184"/>
        <v>NEP - Intercompany</v>
      </c>
      <c r="B2986" s="33" t="str">
        <f t="shared" si="185"/>
        <v>NEP</v>
      </c>
      <c r="C2986" s="33" t="str">
        <f t="shared" si="186"/>
        <v>11361-0000</v>
      </c>
      <c r="D2986" t="s">
        <v>24540</v>
      </c>
      <c r="E2986" t="s">
        <v>14165</v>
      </c>
      <c r="F2986" t="s">
        <v>14039</v>
      </c>
      <c r="G2986" t="s">
        <v>14672</v>
      </c>
      <c r="H2986" t="s">
        <v>13869</v>
      </c>
      <c r="I2986" t="s">
        <v>14690</v>
      </c>
      <c r="J2986" s="62">
        <v>0</v>
      </c>
      <c r="K2986" s="62">
        <v>0</v>
      </c>
      <c r="L2986" t="str">
        <f>VLOOKUP(VALUE(LEFT(C2986,5)),Xref!A:B,2,0)</f>
        <v>GSM</v>
      </c>
      <c r="M2986" t="str">
        <f t="shared" si="187"/>
        <v>GSM-NEP</v>
      </c>
    </row>
    <row r="2987" spans="1:13" ht="14.25" customHeight="true">
      <c r="A2987" s="33" t="str">
        <f t="shared" si="184"/>
        <v>NEP - Intercompany</v>
      </c>
      <c r="B2987" s="33" t="str">
        <f t="shared" si="185"/>
        <v>NEP</v>
      </c>
      <c r="C2987" s="33" t="str">
        <f t="shared" si="186"/>
        <v>11363-0000</v>
      </c>
      <c r="D2987" t="s">
        <v>24541</v>
      </c>
      <c r="E2987" t="s">
        <v>13544</v>
      </c>
      <c r="F2987" t="s">
        <v>14039</v>
      </c>
      <c r="G2987" t="s">
        <v>14672</v>
      </c>
      <c r="H2987" t="s">
        <v>13869</v>
      </c>
      <c r="I2987" t="s">
        <v>14690</v>
      </c>
      <c r="J2987" s="62">
        <v>0</v>
      </c>
      <c r="K2987" s="62">
        <v>0</v>
      </c>
      <c r="L2987" t="str">
        <f>VLOOKUP(VALUE(LEFT(C2987,5)),Xref!A:B,2,0)</f>
        <v>SOF</v>
      </c>
      <c r="M2987" t="str">
        <f t="shared" si="187"/>
        <v>NEP-SOF</v>
      </c>
    </row>
    <row r="2988" spans="1:13" ht="14.25" customHeight="true">
      <c r="A2988" s="33" t="str">
        <f t="shared" si="184"/>
        <v>NEP - Intercompany</v>
      </c>
      <c r="B2988" s="33" t="str">
        <f t="shared" si="185"/>
        <v>NEP</v>
      </c>
      <c r="C2988" s="33" t="str">
        <f t="shared" si="186"/>
        <v>11364-0000</v>
      </c>
      <c r="D2988" t="s">
        <v>24542</v>
      </c>
      <c r="E2988" t="s">
        <v>14168</v>
      </c>
      <c r="F2988" t="s">
        <v>14039</v>
      </c>
      <c r="G2988" t="s">
        <v>14672</v>
      </c>
      <c r="H2988" t="s">
        <v>13869</v>
      </c>
      <c r="I2988" t="s">
        <v>14690</v>
      </c>
      <c r="J2988" s="62">
        <v>0</v>
      </c>
      <c r="K2988" s="62">
        <v>0</v>
      </c>
      <c r="L2988" t="e">
        <f>VLOOKUP(VALUE(LEFT(C2988,5)),Xref!A:B,2,0)</f>
        <v>#N/A</v>
      </c>
      <c r="M2988" t="e">
        <f t="shared" si="187"/>
        <v>#N/A</v>
      </c>
    </row>
    <row r="2989" spans="1:13" ht="14.25" customHeight="true">
      <c r="A2989" s="33" t="str">
        <f t="shared" si="184"/>
        <v>NEP - Intercompany</v>
      </c>
      <c r="B2989" s="33" t="str">
        <f t="shared" si="185"/>
        <v>NEP</v>
      </c>
      <c r="C2989" s="33" t="str">
        <f t="shared" si="186"/>
        <v>11365-0000</v>
      </c>
      <c r="D2989" t="s">
        <v>24543</v>
      </c>
      <c r="E2989" t="s">
        <v>14170</v>
      </c>
      <c r="F2989" t="s">
        <v>14039</v>
      </c>
      <c r="G2989" t="s">
        <v>14672</v>
      </c>
      <c r="H2989" t="s">
        <v>13869</v>
      </c>
      <c r="I2989" t="s">
        <v>14690</v>
      </c>
      <c r="J2989" s="62">
        <v>0</v>
      </c>
      <c r="K2989" s="62">
        <v>0</v>
      </c>
      <c r="L2989" t="e">
        <f>VLOOKUP(VALUE(LEFT(C2989,5)),Xref!A:B,2,0)</f>
        <v>#N/A</v>
      </c>
      <c r="M2989" t="e">
        <f t="shared" si="187"/>
        <v>#N/A</v>
      </c>
    </row>
    <row r="2990" spans="1:13" ht="14.25" customHeight="true">
      <c r="A2990" s="33" t="str">
        <f t="shared" si="184"/>
        <v>NEP - Intercompany</v>
      </c>
      <c r="B2990" s="33" t="str">
        <f t="shared" si="185"/>
        <v>NEP</v>
      </c>
      <c r="C2990" s="33" t="str">
        <f t="shared" si="186"/>
        <v>11366-0000</v>
      </c>
      <c r="D2990" t="s">
        <v>24544</v>
      </c>
      <c r="E2990" t="s">
        <v>14172</v>
      </c>
      <c r="G2990" t="s">
        <v>14672</v>
      </c>
      <c r="H2990" t="s">
        <v>13869</v>
      </c>
      <c r="I2990" t="s">
        <v>14690</v>
      </c>
      <c r="J2990" s="62">
        <v>0</v>
      </c>
      <c r="K2990" s="62">
        <v>0</v>
      </c>
      <c r="L2990" t="e">
        <f>VLOOKUP(VALUE(LEFT(C2990,5)),Xref!A:B,2,0)</f>
        <v>#N/A</v>
      </c>
      <c r="M2990" t="e">
        <f t="shared" si="187"/>
        <v>#N/A</v>
      </c>
    </row>
    <row r="2991" spans="1:13" ht="14.25" customHeight="true">
      <c r="A2991" s="33" t="str">
        <f t="shared" si="184"/>
        <v>NEP - Intercompany</v>
      </c>
      <c r="B2991" s="33" t="str">
        <f t="shared" si="185"/>
        <v>NEP</v>
      </c>
      <c r="C2991" s="33" t="str">
        <f t="shared" si="186"/>
        <v>11402-0000</v>
      </c>
      <c r="D2991" t="s">
        <v>24545</v>
      </c>
      <c r="E2991" t="s">
        <v>14174</v>
      </c>
      <c r="G2991" t="s">
        <v>14672</v>
      </c>
      <c r="H2991" t="s">
        <v>13869</v>
      </c>
      <c r="I2991" t="s">
        <v>14690</v>
      </c>
      <c r="J2991" s="62">
        <v>0</v>
      </c>
      <c r="K2991" s="62">
        <v>0</v>
      </c>
      <c r="L2991" t="str">
        <f>VLOOKUP(VALUE(LEFT(C2991,5)),Xref!A:B,2,0)</f>
        <v>DPI</v>
      </c>
      <c r="M2991" t="str">
        <f t="shared" si="187"/>
        <v>DPI-NEP</v>
      </c>
    </row>
    <row r="2992" spans="1:13" ht="14.25" customHeight="true">
      <c r="A2992" s="33" t="str">
        <f t="shared" si="184"/>
        <v>NEP - Intercompany</v>
      </c>
      <c r="B2992" s="33" t="str">
        <f t="shared" si="185"/>
        <v>NEP</v>
      </c>
      <c r="C2992" s="33" t="str">
        <f t="shared" si="186"/>
        <v>11403-0000</v>
      </c>
      <c r="D2992" t="s">
        <v>24546</v>
      </c>
      <c r="E2992" t="s">
        <v>14176</v>
      </c>
      <c r="G2992" t="s">
        <v>14672</v>
      </c>
      <c r="H2992" t="s">
        <v>13869</v>
      </c>
      <c r="I2992" t="s">
        <v>14690</v>
      </c>
      <c r="J2992" s="62">
        <v>0</v>
      </c>
      <c r="K2992" s="62">
        <v>0</v>
      </c>
      <c r="L2992" t="str">
        <f>VLOOKUP(VALUE(LEFT(C2992,5)),Xref!A:B,2,0)</f>
        <v>SEA</v>
      </c>
      <c r="M2992" t="str">
        <f t="shared" si="187"/>
        <v>NEP-SEA</v>
      </c>
    </row>
    <row r="2993" spans="1:13" ht="14.25" customHeight="true">
      <c r="A2993" s="33" t="str">
        <f t="shared" si="184"/>
        <v>NEP - Intercompany</v>
      </c>
      <c r="B2993" s="33" t="str">
        <f t="shared" si="185"/>
        <v>NEP</v>
      </c>
      <c r="C2993" s="33" t="str">
        <f t="shared" si="186"/>
        <v>12400-0000</v>
      </c>
      <c r="D2993" t="s">
        <v>24549</v>
      </c>
      <c r="E2993" t="s">
        <v>14185</v>
      </c>
      <c r="F2993" t="s">
        <v>14039</v>
      </c>
      <c r="G2993" t="s">
        <v>14672</v>
      </c>
      <c r="H2993" t="s">
        <v>13869</v>
      </c>
      <c r="I2993" t="s">
        <v>14690</v>
      </c>
      <c r="J2993" s="62">
        <v>0</v>
      </c>
      <c r="K2993" s="62">
        <v>0</v>
      </c>
      <c r="L2993" t="str">
        <f>VLOOKUP(VALUE(LEFT(C2993,5)),Xref!A:B,2,0)</f>
        <v>aka</v>
      </c>
      <c r="M2993" t="str">
        <f t="shared" si="187"/>
        <v>aka-NEP</v>
      </c>
    </row>
    <row r="2994" spans="1:13" ht="14.25" customHeight="true">
      <c r="A2994" s="33" t="str">
        <f t="shared" si="184"/>
        <v>NEP - Intercompany</v>
      </c>
      <c r="B2994" s="33" t="str">
        <f t="shared" si="185"/>
        <v>NEP</v>
      </c>
      <c r="C2994" s="33" t="str">
        <f t="shared" si="186"/>
        <v>12401-0000</v>
      </c>
      <c r="D2994" t="s">
        <v>24550</v>
      </c>
      <c r="E2994" t="s">
        <v>14187</v>
      </c>
      <c r="F2994" t="s">
        <v>14039</v>
      </c>
      <c r="G2994" t="s">
        <v>14672</v>
      </c>
      <c r="H2994" t="s">
        <v>13869</v>
      </c>
      <c r="I2994" t="s">
        <v>14690</v>
      </c>
      <c r="J2994" s="62">
        <v>0</v>
      </c>
      <c r="K2994" s="62">
        <v>0</v>
      </c>
      <c r="L2994" t="str">
        <f>VLOOKUP(VALUE(LEFT(C2994,5)),Xref!A:B,2,0)</f>
        <v>aka</v>
      </c>
      <c r="M2994" t="str">
        <f t="shared" si="187"/>
        <v>aka-NEP</v>
      </c>
    </row>
    <row r="2995" spans="1:13" ht="14.25" customHeight="true">
      <c r="A2995" s="33" t="str">
        <f t="shared" si="184"/>
        <v>NEP - Intercompany</v>
      </c>
      <c r="B2995" s="33" t="str">
        <f t="shared" si="185"/>
        <v>NEP</v>
      </c>
      <c r="C2995" s="33" t="str">
        <f t="shared" si="186"/>
        <v>12402-0000</v>
      </c>
      <c r="D2995" t="s">
        <v>24551</v>
      </c>
      <c r="E2995" t="s">
        <v>14189</v>
      </c>
      <c r="F2995" t="s">
        <v>14039</v>
      </c>
      <c r="G2995" t="s">
        <v>14672</v>
      </c>
      <c r="H2995" t="s">
        <v>13869</v>
      </c>
      <c r="I2995" t="s">
        <v>14690</v>
      </c>
      <c r="J2995" s="62">
        <v>0</v>
      </c>
      <c r="K2995" s="62">
        <v>0</v>
      </c>
      <c r="L2995" t="str">
        <f>VLOOKUP(VALUE(LEFT(C2995,5)),Xref!A:B,2,0)</f>
        <v>aka</v>
      </c>
      <c r="M2995" t="str">
        <f t="shared" si="187"/>
        <v>aka-NEP</v>
      </c>
    </row>
    <row r="2996" spans="1:13" ht="14.25" customHeight="true">
      <c r="A2996" s="33" t="str">
        <f t="shared" si="184"/>
        <v>NEP - Intercompany</v>
      </c>
      <c r="B2996" s="33" t="str">
        <f t="shared" si="185"/>
        <v>NEP</v>
      </c>
      <c r="C2996" s="33" t="str">
        <f t="shared" si="186"/>
        <v>12403-0000</v>
      </c>
      <c r="D2996" t="s">
        <v>24552</v>
      </c>
      <c r="E2996" t="s">
        <v>5226</v>
      </c>
      <c r="F2996" t="s">
        <v>14039</v>
      </c>
      <c r="G2996" t="s">
        <v>14672</v>
      </c>
      <c r="H2996" t="s">
        <v>13869</v>
      </c>
      <c r="I2996" t="s">
        <v>14690</v>
      </c>
      <c r="J2996" s="62">
        <v>0</v>
      </c>
      <c r="K2996" s="62">
        <v>0</v>
      </c>
      <c r="L2996" t="str">
        <f>VLOOKUP(VALUE(LEFT(C2996,5)),Xref!A:B,2,0)</f>
        <v>aka</v>
      </c>
      <c r="M2996" t="str">
        <f t="shared" si="187"/>
        <v>aka-NEP</v>
      </c>
    </row>
    <row r="2997" spans="1:13" ht="14.25" customHeight="true">
      <c r="A2997" s="33" t="str">
        <f t="shared" si="184"/>
        <v>NEP - Intercompany</v>
      </c>
      <c r="B2997" s="33" t="str">
        <f t="shared" si="185"/>
        <v>NEP</v>
      </c>
      <c r="C2997" s="33" t="str">
        <f t="shared" si="186"/>
        <v>12501-0000</v>
      </c>
      <c r="D2997" t="s">
        <v>24553</v>
      </c>
      <c r="E2997" t="s">
        <v>14192</v>
      </c>
      <c r="F2997" t="s">
        <v>14039</v>
      </c>
      <c r="G2997" t="s">
        <v>14672</v>
      </c>
      <c r="H2997" t="s">
        <v>13869</v>
      </c>
      <c r="I2997" t="s">
        <v>14690</v>
      </c>
      <c r="J2997" s="62">
        <v>0</v>
      </c>
      <c r="K2997" s="62">
        <v>0</v>
      </c>
      <c r="L2997" t="str">
        <f>VLOOKUP(VALUE(LEFT(C2997,5)),Xref!A:B,2,0)</f>
        <v>aka</v>
      </c>
      <c r="M2997" t="str">
        <f t="shared" si="187"/>
        <v>aka-NEP</v>
      </c>
    </row>
    <row r="2998" spans="1:13" ht="14.25" customHeight="true">
      <c r="A2998" s="33" t="str">
        <f t="shared" si="184"/>
        <v>NEP - InterCo Notes</v>
      </c>
      <c r="B2998" s="33" t="str">
        <f t="shared" si="185"/>
        <v>NEP</v>
      </c>
      <c r="C2998" s="33" t="str">
        <f t="shared" si="186"/>
        <v>25600-0000</v>
      </c>
      <c r="D2998" t="s">
        <v>24599</v>
      </c>
      <c r="E2998" t="s">
        <v>314</v>
      </c>
      <c r="F2998" t="s">
        <v>14039</v>
      </c>
      <c r="G2998" t="s">
        <v>14672</v>
      </c>
      <c r="H2998" t="s">
        <v>13889</v>
      </c>
      <c r="I2998" t="s">
        <v>14690</v>
      </c>
      <c r="J2998" s="62">
        <v>0</v>
      </c>
      <c r="K2998" s="62">
        <v>0</v>
      </c>
      <c r="L2998" t="str">
        <f>VLOOKUP(VALUE(LEFT(C2998,5)),Xref!A:B,2,0)</f>
        <v>D7</v>
      </c>
      <c r="M2998" t="str">
        <f t="shared" si="187"/>
        <v>D7-NEP</v>
      </c>
    </row>
    <row r="2999" spans="1:13" ht="14.25" customHeight="true">
      <c r="A2999" s="33" t="str">
        <f t="shared" si="184"/>
        <v>NEP - InterCo Notes</v>
      </c>
      <c r="B2999" s="33" t="str">
        <f t="shared" si="185"/>
        <v>NEP</v>
      </c>
      <c r="C2999" s="33" t="str">
        <f t="shared" si="186"/>
        <v>25602-0000</v>
      </c>
      <c r="D2999" t="s">
        <v>24601</v>
      </c>
      <c r="E2999" t="s">
        <v>13426</v>
      </c>
      <c r="F2999" t="s">
        <v>14039</v>
      </c>
      <c r="G2999" t="s">
        <v>14672</v>
      </c>
      <c r="H2999" t="s">
        <v>13889</v>
      </c>
      <c r="I2999" t="s">
        <v>14690</v>
      </c>
      <c r="J2999" s="62">
        <v>0</v>
      </c>
      <c r="K2999" s="62">
        <v>-3160000</v>
      </c>
      <c r="L2999" t="str">
        <f>VLOOKUP(VALUE(LEFT(C2999,5)),Xref!A:B,2,0)</f>
        <v>DFLP</v>
      </c>
      <c r="M2999" t="str">
        <f t="shared" si="187"/>
        <v>DFLP-NEP</v>
      </c>
    </row>
    <row r="3000" spans="1:13" ht="14.25" customHeight="true">
      <c r="A3000" s="33" t="str">
        <f t="shared" si="184"/>
        <v>NEP - InterCo Notes</v>
      </c>
      <c r="B3000" s="33" t="str">
        <f t="shared" si="185"/>
        <v>NEP</v>
      </c>
      <c r="C3000" s="33" t="str">
        <f t="shared" si="186"/>
        <v>25603-0000</v>
      </c>
      <c r="D3000" t="s">
        <v>24602</v>
      </c>
      <c r="E3000" t="s">
        <v>14311</v>
      </c>
      <c r="F3000" t="s">
        <v>14039</v>
      </c>
      <c r="G3000" t="s">
        <v>14832</v>
      </c>
      <c r="H3000" t="s">
        <v>13889</v>
      </c>
      <c r="I3000" t="s">
        <v>14690</v>
      </c>
      <c r="J3000" s="62">
        <v>0</v>
      </c>
      <c r="K3000" s="62">
        <v>0</v>
      </c>
      <c r="L3000" t="str">
        <f>VLOOKUP(VALUE(LEFT(C3000,5)),Xref!A:B,2,0)</f>
        <v>aka</v>
      </c>
      <c r="M3000" t="str">
        <f t="shared" si="187"/>
        <v>aka-NEP</v>
      </c>
    </row>
    <row r="3001" spans="1:13" ht="14.25" customHeight="true">
      <c r="A3001" s="33" t="str">
        <f t="shared" si="184"/>
        <v>NEP - Intercompany</v>
      </c>
      <c r="B3001" s="33" t="str">
        <f t="shared" si="185"/>
        <v>NEP</v>
      </c>
      <c r="C3001" s="33" t="str">
        <f t="shared" si="186"/>
        <v>25604-0000</v>
      </c>
      <c r="D3001" t="s">
        <v>24603</v>
      </c>
      <c r="E3001" t="s">
        <v>13490</v>
      </c>
      <c r="F3001" t="s">
        <v>14039</v>
      </c>
      <c r="G3001" t="s">
        <v>14672</v>
      </c>
      <c r="H3001" t="s">
        <v>13869</v>
      </c>
      <c r="I3001" t="s">
        <v>14690</v>
      </c>
      <c r="J3001" s="62">
        <v>0</v>
      </c>
      <c r="K3001" s="62">
        <v>0</v>
      </c>
      <c r="L3001">
        <f>VLOOKUP(VALUE(LEFT(C3001,5)),Xref!A:B,2,0)</f>
        <v>0</v>
      </c>
      <c r="M3001" t="str">
        <f t="shared" si="187"/>
        <v>0-NEP</v>
      </c>
    </row>
    <row r="3002" spans="1:13" ht="14.25" customHeight="true">
      <c r="A3002" s="33" t="str">
        <f t="shared" si="184"/>
        <v>NES - Intercompany</v>
      </c>
      <c r="B3002" s="33" t="str">
        <f t="shared" si="185"/>
        <v>NES</v>
      </c>
      <c r="C3002" s="33" t="str">
        <f t="shared" si="186"/>
        <v>11216-0000</v>
      </c>
      <c r="D3002" t="s">
        <v>1716</v>
      </c>
      <c r="E3002" t="s">
        <v>242</v>
      </c>
      <c r="F3002" t="s">
        <v>30855</v>
      </c>
      <c r="G3002" t="s">
        <v>16</v>
      </c>
      <c r="H3002" t="s">
        <v>13869</v>
      </c>
      <c r="I3002" t="s">
        <v>40</v>
      </c>
      <c r="J3002" s="62">
        <v>0</v>
      </c>
      <c r="K3002" s="62">
        <v>25000</v>
      </c>
      <c r="L3002" t="str">
        <f>VLOOKUP(VALUE(LEFT(C3002,5)),Xref!A:B,2,0)</f>
        <v>SIL</v>
      </c>
      <c r="M3002" t="str">
        <f t="shared" si="187"/>
        <v>NES-SIL</v>
      </c>
    </row>
    <row r="3003" spans="1:13" ht="14.25" customHeight="true">
      <c r="A3003" s="33" t="str">
        <f t="shared" si="184"/>
        <v>NET - Intercompany</v>
      </c>
      <c r="B3003" s="33" t="str">
        <f t="shared" si="185"/>
        <v>NET</v>
      </c>
      <c r="C3003" s="33" t="str">
        <f t="shared" si="186"/>
        <v>11200-0000</v>
      </c>
      <c r="D3003" t="s">
        <v>24772</v>
      </c>
      <c r="E3003" t="s">
        <v>14069</v>
      </c>
      <c r="F3003" t="s">
        <v>14039</v>
      </c>
      <c r="G3003" t="s">
        <v>14672</v>
      </c>
      <c r="H3003" t="s">
        <v>13869</v>
      </c>
      <c r="I3003" t="s">
        <v>14690</v>
      </c>
      <c r="J3003" s="62">
        <v>0</v>
      </c>
      <c r="K3003" s="62">
        <v>0</v>
      </c>
      <c r="L3003" t="str">
        <f>VLOOKUP(VALUE(LEFT(C3003,5)),Xref!A:B,2,0)</f>
        <v>SCL</v>
      </c>
      <c r="M3003" t="str">
        <f t="shared" si="187"/>
        <v>NET-SCL</v>
      </c>
    </row>
    <row r="3004" spans="1:13" ht="14.25" customHeight="true">
      <c r="A3004" s="33" t="str">
        <f t="shared" si="184"/>
        <v>NET - Intercompany</v>
      </c>
      <c r="B3004" s="33" t="str">
        <f t="shared" si="185"/>
        <v>NET</v>
      </c>
      <c r="C3004" s="33" t="str">
        <f t="shared" si="186"/>
        <v>11201-0000</v>
      </c>
      <c r="D3004" t="s">
        <v>24773</v>
      </c>
      <c r="E3004" t="s">
        <v>14071</v>
      </c>
      <c r="F3004" t="s">
        <v>14039</v>
      </c>
      <c r="G3004" t="s">
        <v>14672</v>
      </c>
      <c r="H3004" t="s">
        <v>13869</v>
      </c>
      <c r="I3004" t="s">
        <v>14690</v>
      </c>
      <c r="J3004" s="62">
        <v>0</v>
      </c>
      <c r="K3004" s="62">
        <v>0</v>
      </c>
      <c r="L3004" t="str">
        <f>VLOOKUP(VALUE(LEFT(C3004,5)),Xref!A:B,2,0)</f>
        <v>SG2</v>
      </c>
      <c r="M3004" t="str">
        <f t="shared" si="187"/>
        <v>NET-SG2</v>
      </c>
    </row>
    <row r="3005" spans="1:13" ht="14.25" customHeight="true">
      <c r="A3005" s="33" t="str">
        <f t="shared" si="184"/>
        <v>NET - Intercompany</v>
      </c>
      <c r="B3005" s="33" t="str">
        <f t="shared" si="185"/>
        <v>NET</v>
      </c>
      <c r="C3005" s="33" t="str">
        <f t="shared" si="186"/>
        <v>11202-0000</v>
      </c>
      <c r="D3005" t="s">
        <v>24774</v>
      </c>
      <c r="E3005" t="s">
        <v>14073</v>
      </c>
      <c r="F3005" t="s">
        <v>14039</v>
      </c>
      <c r="G3005" t="s">
        <v>14672</v>
      </c>
      <c r="H3005" t="s">
        <v>13869</v>
      </c>
      <c r="I3005" t="s">
        <v>14690</v>
      </c>
      <c r="J3005" s="62">
        <v>0</v>
      </c>
      <c r="K3005" s="62">
        <v>0</v>
      </c>
      <c r="L3005" t="str">
        <f>VLOOKUP(VALUE(LEFT(C3005,5)),Xref!A:B,2,0)</f>
        <v>FFC</v>
      </c>
      <c r="M3005" t="str">
        <f t="shared" si="187"/>
        <v>FFC-NET</v>
      </c>
    </row>
    <row r="3006" spans="1:13" ht="14.25" customHeight="true">
      <c r="A3006" s="33" t="str">
        <f t="shared" si="184"/>
        <v>NET - Intercompany</v>
      </c>
      <c r="B3006" s="33" t="str">
        <f t="shared" si="185"/>
        <v>NET</v>
      </c>
      <c r="C3006" s="33" t="str">
        <f t="shared" si="186"/>
        <v>11203-0000</v>
      </c>
      <c r="D3006" t="s">
        <v>24775</v>
      </c>
      <c r="E3006" t="s">
        <v>14075</v>
      </c>
      <c r="F3006" t="s">
        <v>14039</v>
      </c>
      <c r="G3006" t="s">
        <v>14672</v>
      </c>
      <c r="H3006" t="s">
        <v>13869</v>
      </c>
      <c r="I3006" t="s">
        <v>14690</v>
      </c>
      <c r="J3006" s="62">
        <v>0</v>
      </c>
      <c r="K3006" s="62">
        <v>0</v>
      </c>
      <c r="L3006" t="str">
        <f>VLOOKUP(VALUE(LEFT(C3006,5)),Xref!A:B,2,0)</f>
        <v>HN2</v>
      </c>
      <c r="M3006" t="str">
        <f t="shared" si="187"/>
        <v>HN2-NET</v>
      </c>
    </row>
    <row r="3007" spans="1:13" ht="14.25" customHeight="true">
      <c r="A3007" s="33" t="str">
        <f t="shared" si="184"/>
        <v>NET - Intercompany</v>
      </c>
      <c r="B3007" s="33" t="str">
        <f t="shared" si="185"/>
        <v>NET</v>
      </c>
      <c r="C3007" s="33" t="str">
        <f t="shared" si="186"/>
        <v>11204-0000</v>
      </c>
      <c r="D3007" t="s">
        <v>24776</v>
      </c>
      <c r="E3007" t="s">
        <v>14077</v>
      </c>
      <c r="F3007" t="s">
        <v>14039</v>
      </c>
      <c r="G3007" t="s">
        <v>14672</v>
      </c>
      <c r="H3007" t="s">
        <v>13869</v>
      </c>
      <c r="I3007" t="s">
        <v>14690</v>
      </c>
      <c r="J3007" s="62">
        <v>0</v>
      </c>
      <c r="K3007" s="62">
        <v>0</v>
      </c>
      <c r="L3007" t="str">
        <f>VLOOKUP(VALUE(LEFT(C3007,5)),Xref!A:B,2,0)</f>
        <v>DF2</v>
      </c>
      <c r="M3007" t="str">
        <f t="shared" si="187"/>
        <v>DF2-NET</v>
      </c>
    </row>
    <row r="3008" spans="1:13" ht="14.25" customHeight="true">
      <c r="A3008" s="33" t="str">
        <f t="shared" si="184"/>
        <v>NET - Intercompany</v>
      </c>
      <c r="B3008" s="33" t="str">
        <f t="shared" si="185"/>
        <v>NET</v>
      </c>
      <c r="C3008" s="33" t="str">
        <f t="shared" si="186"/>
        <v>11208-0000</v>
      </c>
      <c r="D3008" t="s">
        <v>24777</v>
      </c>
      <c r="E3008" t="s">
        <v>14079</v>
      </c>
      <c r="F3008" t="s">
        <v>14039</v>
      </c>
      <c r="G3008" t="s">
        <v>14672</v>
      </c>
      <c r="H3008" t="s">
        <v>13869</v>
      </c>
      <c r="I3008" t="s">
        <v>14690</v>
      </c>
      <c r="J3008" s="62">
        <v>0</v>
      </c>
      <c r="K3008" s="62">
        <v>0</v>
      </c>
      <c r="L3008" t="str">
        <f>VLOOKUP(VALUE(LEFT(C3008,5)),Xref!A:B,2,0)</f>
        <v>SRE</v>
      </c>
      <c r="M3008" t="str">
        <f t="shared" si="187"/>
        <v>NET-SRE</v>
      </c>
    </row>
    <row r="3009" spans="1:13" ht="14.25" customHeight="true">
      <c r="A3009" s="33" t="str">
        <f t="shared" si="184"/>
        <v>NET - Intercompany</v>
      </c>
      <c r="B3009" s="33" t="str">
        <f t="shared" si="185"/>
        <v>NET</v>
      </c>
      <c r="C3009" s="33" t="str">
        <f t="shared" si="186"/>
        <v>11210-0000</v>
      </c>
      <c r="D3009" t="s">
        <v>24778</v>
      </c>
      <c r="E3009" t="s">
        <v>14081</v>
      </c>
      <c r="F3009" t="s">
        <v>14039</v>
      </c>
      <c r="G3009" t="s">
        <v>14672</v>
      </c>
      <c r="H3009" t="s">
        <v>13869</v>
      </c>
      <c r="I3009" t="s">
        <v>14690</v>
      </c>
      <c r="J3009" s="62">
        <v>0</v>
      </c>
      <c r="K3009" s="62">
        <v>0</v>
      </c>
      <c r="L3009" t="str">
        <f>VLOOKUP(VALUE(LEFT(C3009,5)),Xref!A:B,2,0)</f>
        <v>REM</v>
      </c>
      <c r="M3009" t="str">
        <f t="shared" si="187"/>
        <v>NET-REM</v>
      </c>
    </row>
    <row r="3010" spans="1:13" ht="14.25" customHeight="true">
      <c r="A3010" s="33" t="str">
        <f t="shared" ref="A3010:A3073" si="188">B3010&amp;" - "&amp;TRIM(H3010)</f>
        <v>NET - Intercompany</v>
      </c>
      <c r="B3010" s="33" t="str">
        <f t="shared" ref="B3010:B3073" si="189">LEFT(D3010,3)</f>
        <v>NET</v>
      </c>
      <c r="C3010" s="33" t="str">
        <f t="shared" ref="C3010:C3073" si="190">RIGHT(D3010,10)</f>
        <v>11212-0000</v>
      </c>
      <c r="D3010" t="s">
        <v>24779</v>
      </c>
      <c r="E3010" t="s">
        <v>14083</v>
      </c>
      <c r="F3010" t="s">
        <v>14039</v>
      </c>
      <c r="G3010" t="s">
        <v>14672</v>
      </c>
      <c r="H3010" t="s">
        <v>13869</v>
      </c>
      <c r="I3010" t="s">
        <v>14690</v>
      </c>
      <c r="J3010" s="62">
        <v>0</v>
      </c>
      <c r="K3010" s="62">
        <v>0</v>
      </c>
      <c r="L3010" t="str">
        <f>VLOOKUP(VALUE(LEFT(C3010,5)),Xref!A:B,2,0)</f>
        <v>FRM</v>
      </c>
      <c r="M3010" t="str">
        <f t="shared" ref="M3010:M3073" si="191">IF(B3010&lt;L3010,B3010&amp;"-"&amp;L3010,L3010&amp;"-"&amp;B3010)</f>
        <v>FRM-NET</v>
      </c>
    </row>
    <row r="3011" spans="1:13" ht="14.25" customHeight="true">
      <c r="A3011" s="33" t="str">
        <f t="shared" si="188"/>
        <v>NET - Intercompany</v>
      </c>
      <c r="B3011" s="33" t="str">
        <f t="shared" si="189"/>
        <v>NET</v>
      </c>
      <c r="C3011" s="33" t="str">
        <f t="shared" si="190"/>
        <v>11214-0000</v>
      </c>
      <c r="D3011" t="s">
        <v>24780</v>
      </c>
      <c r="E3011" t="s">
        <v>14085</v>
      </c>
      <c r="F3011" t="s">
        <v>14039</v>
      </c>
      <c r="G3011" t="s">
        <v>14672</v>
      </c>
      <c r="H3011" t="s">
        <v>13869</v>
      </c>
      <c r="I3011" t="s">
        <v>14690</v>
      </c>
      <c r="J3011" s="62">
        <v>0</v>
      </c>
      <c r="K3011" s="62">
        <v>0</v>
      </c>
      <c r="L3011" t="str">
        <f>VLOOKUP(VALUE(LEFT(C3011,5)),Xref!A:B,2,0)</f>
        <v>D7R</v>
      </c>
      <c r="M3011" t="str">
        <f t="shared" si="191"/>
        <v>D7R-NET</v>
      </c>
    </row>
    <row r="3012" spans="1:13" ht="14.25" customHeight="true">
      <c r="A3012" s="33" t="str">
        <f t="shared" si="188"/>
        <v>NET - Intercompany</v>
      </c>
      <c r="B3012" s="33" t="str">
        <f t="shared" si="189"/>
        <v>NET</v>
      </c>
      <c r="C3012" s="33" t="str">
        <f t="shared" si="190"/>
        <v>11215-0000</v>
      </c>
      <c r="D3012" t="s">
        <v>24781</v>
      </c>
      <c r="E3012" t="s">
        <v>14087</v>
      </c>
      <c r="F3012" t="s">
        <v>14039</v>
      </c>
      <c r="G3012" t="s">
        <v>14672</v>
      </c>
      <c r="H3012" t="s">
        <v>13869</v>
      </c>
      <c r="I3012" t="s">
        <v>14690</v>
      </c>
      <c r="J3012" s="62">
        <v>0</v>
      </c>
      <c r="K3012" s="62">
        <v>0</v>
      </c>
      <c r="L3012" t="str">
        <f>VLOOKUP(VALUE(LEFT(C3012,5)),Xref!A:B,2,0)</f>
        <v>CDP</v>
      </c>
      <c r="M3012" t="str">
        <f t="shared" si="191"/>
        <v>CDP-NET</v>
      </c>
    </row>
    <row r="3013" spans="1:13" ht="14.25" customHeight="true">
      <c r="A3013" s="33" t="str">
        <f t="shared" si="188"/>
        <v>NET - Intercompany</v>
      </c>
      <c r="B3013" s="33" t="str">
        <f t="shared" si="189"/>
        <v>NET</v>
      </c>
      <c r="C3013" s="33" t="str">
        <f t="shared" si="190"/>
        <v>11216-0000</v>
      </c>
      <c r="D3013" t="s">
        <v>1721</v>
      </c>
      <c r="E3013" t="s">
        <v>13224</v>
      </c>
      <c r="F3013" t="s">
        <v>14039</v>
      </c>
      <c r="G3013" t="s">
        <v>14672</v>
      </c>
      <c r="H3013" t="s">
        <v>13869</v>
      </c>
      <c r="I3013" t="s">
        <v>14690</v>
      </c>
      <c r="J3013" s="62">
        <v>-7726.72</v>
      </c>
      <c r="K3013" s="62">
        <v>-13252.87</v>
      </c>
      <c r="L3013" t="str">
        <f>VLOOKUP(VALUE(LEFT(C3013,5)),Xref!A:B,2,0)</f>
        <v>SIL</v>
      </c>
      <c r="M3013" t="str">
        <f t="shared" si="191"/>
        <v>NET-SIL</v>
      </c>
    </row>
    <row r="3014" spans="1:13" ht="14.25" customHeight="true">
      <c r="A3014" s="33" t="str">
        <f t="shared" si="188"/>
        <v>NET - Intercompany</v>
      </c>
      <c r="B3014" s="33" t="str">
        <f t="shared" si="189"/>
        <v>NET</v>
      </c>
      <c r="C3014" s="33" t="str">
        <f t="shared" si="190"/>
        <v>11232-0000</v>
      </c>
      <c r="D3014" t="s">
        <v>24782</v>
      </c>
      <c r="E3014" t="s">
        <v>12486</v>
      </c>
      <c r="F3014" t="s">
        <v>14039</v>
      </c>
      <c r="G3014" t="s">
        <v>14672</v>
      </c>
      <c r="H3014" t="s">
        <v>13869</v>
      </c>
      <c r="I3014" t="s">
        <v>14690</v>
      </c>
      <c r="J3014" s="62">
        <v>0</v>
      </c>
      <c r="K3014" s="62">
        <v>0</v>
      </c>
      <c r="L3014" t="str">
        <f>VLOOKUP(VALUE(LEFT(C3014,5)),Xref!A:B,2,0)</f>
        <v>SC2</v>
      </c>
      <c r="M3014" t="str">
        <f t="shared" si="191"/>
        <v>NET-SC2</v>
      </c>
    </row>
    <row r="3015" spans="1:13" ht="14.25" customHeight="true">
      <c r="A3015" s="33" t="str">
        <f t="shared" si="188"/>
        <v>NET - Intercompany</v>
      </c>
      <c r="B3015" s="33" t="str">
        <f t="shared" si="189"/>
        <v>NET</v>
      </c>
      <c r="C3015" s="33" t="str">
        <f t="shared" si="190"/>
        <v>11301-0000</v>
      </c>
      <c r="D3015" t="s">
        <v>24783</v>
      </c>
      <c r="E3015" t="s">
        <v>13225</v>
      </c>
      <c r="F3015" t="s">
        <v>14039</v>
      </c>
      <c r="G3015" t="s">
        <v>14672</v>
      </c>
      <c r="H3015" t="s">
        <v>13869</v>
      </c>
      <c r="I3015" t="s">
        <v>14690</v>
      </c>
      <c r="J3015" s="62">
        <v>0</v>
      </c>
      <c r="K3015" s="62">
        <v>0</v>
      </c>
      <c r="L3015" t="str">
        <f>VLOOKUP(VALUE(LEFT(C3015,5)),Xref!A:B,2,0)</f>
        <v>CRE</v>
      </c>
      <c r="M3015" t="str">
        <f t="shared" si="191"/>
        <v>CRE-NET</v>
      </c>
    </row>
    <row r="3016" spans="1:13" ht="14.25" customHeight="true">
      <c r="A3016" s="33" t="str">
        <f t="shared" si="188"/>
        <v>NET - Intercompany</v>
      </c>
      <c r="B3016" s="33" t="str">
        <f t="shared" si="189"/>
        <v>NET</v>
      </c>
      <c r="C3016" s="33" t="str">
        <f t="shared" si="190"/>
        <v>11302-0000</v>
      </c>
      <c r="D3016" t="s">
        <v>24784</v>
      </c>
      <c r="E3016" t="s">
        <v>13226</v>
      </c>
      <c r="F3016" t="s">
        <v>14039</v>
      </c>
      <c r="G3016" t="s">
        <v>14672</v>
      </c>
      <c r="H3016" t="s">
        <v>13869</v>
      </c>
      <c r="I3016" t="s">
        <v>14690</v>
      </c>
      <c r="J3016" s="62">
        <v>0</v>
      </c>
      <c r="K3016" s="62">
        <v>0</v>
      </c>
      <c r="L3016" t="str">
        <f>VLOOKUP(VALUE(LEFT(C3016,5)),Xref!A:B,2,0)</f>
        <v>CHA</v>
      </c>
      <c r="M3016" t="str">
        <f t="shared" si="191"/>
        <v>CHA-NET</v>
      </c>
    </row>
    <row r="3017" spans="1:13" ht="14.25" customHeight="true">
      <c r="A3017" s="33" t="str">
        <f t="shared" si="188"/>
        <v>NET - Intercompany</v>
      </c>
      <c r="B3017" s="33" t="str">
        <f t="shared" si="189"/>
        <v>NET</v>
      </c>
      <c r="C3017" s="33" t="str">
        <f t="shared" si="190"/>
        <v>11303-0000</v>
      </c>
      <c r="D3017" t="s">
        <v>1722</v>
      </c>
      <c r="E3017" t="s">
        <v>13227</v>
      </c>
      <c r="F3017" t="s">
        <v>14039</v>
      </c>
      <c r="G3017" t="s">
        <v>14672</v>
      </c>
      <c r="H3017" t="s">
        <v>13869</v>
      </c>
      <c r="I3017" t="s">
        <v>14690</v>
      </c>
      <c r="J3017" s="62">
        <v>0</v>
      </c>
      <c r="K3017" s="62">
        <v>-15000</v>
      </c>
      <c r="L3017" t="str">
        <f>VLOOKUP(VALUE(LEFT(C3017,5)),Xref!A:B,2,0)</f>
        <v>DIA</v>
      </c>
      <c r="M3017" t="str">
        <f t="shared" si="191"/>
        <v>DIA-NET</v>
      </c>
    </row>
    <row r="3018" spans="1:13" ht="14.25" customHeight="true">
      <c r="A3018" s="33" t="str">
        <f t="shared" si="188"/>
        <v>NET - Intercompany</v>
      </c>
      <c r="B3018" s="33" t="str">
        <f t="shared" si="189"/>
        <v>NET</v>
      </c>
      <c r="C3018" s="33" t="str">
        <f t="shared" si="190"/>
        <v>11304-0000</v>
      </c>
      <c r="D3018" t="s">
        <v>24785</v>
      </c>
      <c r="E3018" t="s">
        <v>13228</v>
      </c>
      <c r="F3018" t="s">
        <v>14039</v>
      </c>
      <c r="G3018" t="s">
        <v>14672</v>
      </c>
      <c r="H3018" t="s">
        <v>13869</v>
      </c>
      <c r="I3018" t="s">
        <v>14690</v>
      </c>
      <c r="J3018" s="62">
        <v>0</v>
      </c>
      <c r="K3018" s="62">
        <v>0</v>
      </c>
      <c r="L3018" t="str">
        <f>VLOOKUP(VALUE(LEFT(C3018,5)),Xref!A:B,2,0)</f>
        <v>EAG</v>
      </c>
      <c r="M3018" t="str">
        <f t="shared" si="191"/>
        <v>EAG-NET</v>
      </c>
    </row>
    <row r="3019" spans="1:13" ht="14.25" customHeight="true">
      <c r="A3019" s="33" t="str">
        <f t="shared" si="188"/>
        <v>NET - Intercompany</v>
      </c>
      <c r="B3019" s="33" t="str">
        <f t="shared" si="189"/>
        <v>NET</v>
      </c>
      <c r="C3019" s="33" t="str">
        <f t="shared" si="190"/>
        <v>11305-0000</v>
      </c>
      <c r="D3019" t="s">
        <v>1723</v>
      </c>
      <c r="E3019" t="s">
        <v>13229</v>
      </c>
      <c r="F3019" t="s">
        <v>14039</v>
      </c>
      <c r="G3019" t="s">
        <v>14672</v>
      </c>
      <c r="H3019" t="s">
        <v>13869</v>
      </c>
      <c r="I3019" t="s">
        <v>14690</v>
      </c>
      <c r="J3019" s="62">
        <v>0</v>
      </c>
      <c r="K3019" s="62">
        <v>50000</v>
      </c>
      <c r="L3019" t="str">
        <f>VLOOKUP(VALUE(LEFT(C3019,5)),Xref!A:B,2,0)</f>
        <v>NEW</v>
      </c>
      <c r="M3019" t="str">
        <f t="shared" si="191"/>
        <v>NET-NEW</v>
      </c>
    </row>
    <row r="3020" spans="1:13" ht="14.25" customHeight="true">
      <c r="A3020" s="33" t="str">
        <f t="shared" si="188"/>
        <v>NET - Intercompany</v>
      </c>
      <c r="B3020" s="33" t="str">
        <f t="shared" si="189"/>
        <v>NET</v>
      </c>
      <c r="C3020" s="33" t="str">
        <f t="shared" si="190"/>
        <v>11307-0000</v>
      </c>
      <c r="D3020" t="s">
        <v>24786</v>
      </c>
      <c r="E3020" t="s">
        <v>14096</v>
      </c>
      <c r="F3020" t="s">
        <v>14039</v>
      </c>
      <c r="G3020" t="s">
        <v>14672</v>
      </c>
      <c r="H3020" t="s">
        <v>13869</v>
      </c>
      <c r="I3020" t="s">
        <v>14690</v>
      </c>
      <c r="J3020" s="62">
        <v>0</v>
      </c>
      <c r="K3020" s="62">
        <v>0</v>
      </c>
      <c r="L3020" t="str">
        <f>VLOOKUP(VALUE(LEFT(C3020,5)),Xref!A:B,2,0)</f>
        <v>NES</v>
      </c>
      <c r="M3020" t="str">
        <f t="shared" si="191"/>
        <v>NES-NET</v>
      </c>
    </row>
    <row r="3021" spans="1:13" ht="14.25" customHeight="true">
      <c r="A3021" s="33" t="str">
        <f t="shared" si="188"/>
        <v>NET - Intercompany</v>
      </c>
      <c r="B3021" s="33" t="str">
        <f t="shared" si="189"/>
        <v>NET</v>
      </c>
      <c r="C3021" s="33" t="str">
        <f t="shared" si="190"/>
        <v>11308-0000</v>
      </c>
      <c r="D3021" t="s">
        <v>24787</v>
      </c>
      <c r="E3021" t="s">
        <v>13476</v>
      </c>
      <c r="F3021" t="s">
        <v>14039</v>
      </c>
      <c r="G3021" t="s">
        <v>14672</v>
      </c>
      <c r="H3021" t="s">
        <v>13869</v>
      </c>
      <c r="I3021" t="s">
        <v>14690</v>
      </c>
      <c r="J3021" s="62">
        <v>0</v>
      </c>
      <c r="K3021" s="62">
        <v>0</v>
      </c>
      <c r="L3021" t="str">
        <f>VLOOKUP(VALUE(LEFT(C3021,5)),Xref!A:B,2,0)</f>
        <v>LPI</v>
      </c>
      <c r="M3021" t="str">
        <f t="shared" si="191"/>
        <v>LPI-NET</v>
      </c>
    </row>
    <row r="3022" spans="1:13" ht="14.25" customHeight="true">
      <c r="A3022" s="33" t="str">
        <f t="shared" si="188"/>
        <v>NET - Intercompany</v>
      </c>
      <c r="B3022" s="33" t="str">
        <f t="shared" si="189"/>
        <v>NET</v>
      </c>
      <c r="C3022" s="33" t="str">
        <f t="shared" si="190"/>
        <v>11309-0000</v>
      </c>
      <c r="D3022" t="s">
        <v>24788</v>
      </c>
      <c r="E3022" t="s">
        <v>13230</v>
      </c>
      <c r="F3022" t="s">
        <v>14039</v>
      </c>
      <c r="G3022" t="s">
        <v>14672</v>
      </c>
      <c r="H3022" t="s">
        <v>13869</v>
      </c>
      <c r="I3022" t="s">
        <v>14690</v>
      </c>
      <c r="J3022" s="62">
        <v>0</v>
      </c>
      <c r="K3022" s="62">
        <v>0</v>
      </c>
      <c r="L3022" t="str">
        <f>VLOOKUP(VALUE(LEFT(C3022,5)),Xref!A:B,2,0)</f>
        <v>GPI</v>
      </c>
      <c r="M3022" t="str">
        <f t="shared" si="191"/>
        <v>GPI-NET</v>
      </c>
    </row>
    <row r="3023" spans="1:13" ht="14.25" customHeight="true">
      <c r="A3023" s="33" t="str">
        <f t="shared" si="188"/>
        <v>NET - Intercompany</v>
      </c>
      <c r="B3023" s="33" t="str">
        <f t="shared" si="189"/>
        <v>NET</v>
      </c>
      <c r="C3023" s="33" t="str">
        <f t="shared" si="190"/>
        <v>11310-0000</v>
      </c>
      <c r="D3023" t="s">
        <v>1724</v>
      </c>
      <c r="E3023" t="s">
        <v>13231</v>
      </c>
      <c r="F3023" t="s">
        <v>14039</v>
      </c>
      <c r="G3023" t="s">
        <v>14672</v>
      </c>
      <c r="H3023" t="s">
        <v>13869</v>
      </c>
      <c r="I3023" t="s">
        <v>14690</v>
      </c>
      <c r="J3023" s="62">
        <v>0</v>
      </c>
      <c r="K3023" s="62">
        <v>40000</v>
      </c>
      <c r="L3023" t="str">
        <f>VLOOKUP(VALUE(LEFT(C3023,5)),Xref!A:B,2,0)</f>
        <v>ALP</v>
      </c>
      <c r="M3023" t="str">
        <f t="shared" si="191"/>
        <v>ALP-NET</v>
      </c>
    </row>
    <row r="3024" spans="1:13" ht="14.25" customHeight="true">
      <c r="A3024" s="33" t="str">
        <f t="shared" si="188"/>
        <v>NET - Intercompany</v>
      </c>
      <c r="B3024" s="33" t="str">
        <f t="shared" si="189"/>
        <v>NET</v>
      </c>
      <c r="C3024" s="33" t="str">
        <f t="shared" si="190"/>
        <v>11311-0000</v>
      </c>
      <c r="D3024" t="s">
        <v>1725</v>
      </c>
      <c r="E3024" t="s">
        <v>13232</v>
      </c>
      <c r="F3024" t="s">
        <v>14039</v>
      </c>
      <c r="G3024" t="s">
        <v>14672</v>
      </c>
      <c r="H3024" t="s">
        <v>13869</v>
      </c>
      <c r="I3024" t="s">
        <v>14690</v>
      </c>
      <c r="J3024" s="62">
        <v>0</v>
      </c>
      <c r="K3024" s="62">
        <v>-35000</v>
      </c>
      <c r="L3024" t="str">
        <f>VLOOKUP(VALUE(LEFT(C3024,5)),Xref!A:B,2,0)</f>
        <v>BET</v>
      </c>
      <c r="M3024" t="str">
        <f t="shared" si="191"/>
        <v>BET-NET</v>
      </c>
    </row>
    <row r="3025" spans="1:13" ht="14.25" customHeight="true">
      <c r="A3025" s="33" t="str">
        <f t="shared" si="188"/>
        <v>NET - Intercompany</v>
      </c>
      <c r="B3025" s="33" t="str">
        <f t="shared" si="189"/>
        <v>NET</v>
      </c>
      <c r="C3025" s="33" t="str">
        <f t="shared" si="190"/>
        <v>11312-0000</v>
      </c>
      <c r="D3025" t="s">
        <v>24789</v>
      </c>
      <c r="E3025" t="s">
        <v>14102</v>
      </c>
      <c r="F3025" t="s">
        <v>14039</v>
      </c>
      <c r="G3025" t="s">
        <v>14672</v>
      </c>
      <c r="H3025" t="s">
        <v>13869</v>
      </c>
      <c r="I3025" t="s">
        <v>14690</v>
      </c>
      <c r="J3025" s="62">
        <v>0</v>
      </c>
      <c r="K3025" s="62">
        <v>0</v>
      </c>
      <c r="L3025" t="str">
        <f>VLOOKUP(VALUE(LEFT(C3025,5)),Xref!A:B,2,0)</f>
        <v>DEL</v>
      </c>
      <c r="M3025" t="str">
        <f t="shared" si="191"/>
        <v>DEL-NET</v>
      </c>
    </row>
    <row r="3026" spans="1:13" ht="14.25" customHeight="true">
      <c r="A3026" s="33" t="str">
        <f t="shared" si="188"/>
        <v>NET - Intercompany</v>
      </c>
      <c r="B3026" s="33" t="str">
        <f t="shared" si="189"/>
        <v>NET</v>
      </c>
      <c r="C3026" s="33" t="str">
        <f t="shared" si="190"/>
        <v>11313-0000</v>
      </c>
      <c r="D3026" t="s">
        <v>1726</v>
      </c>
      <c r="E3026" t="s">
        <v>13233</v>
      </c>
      <c r="F3026" t="s">
        <v>14039</v>
      </c>
      <c r="G3026" t="s">
        <v>14672</v>
      </c>
      <c r="H3026" t="s">
        <v>13869</v>
      </c>
      <c r="I3026" t="s">
        <v>14690</v>
      </c>
      <c r="J3026" s="62">
        <v>0</v>
      </c>
      <c r="K3026" s="62">
        <v>-20000</v>
      </c>
      <c r="L3026" t="str">
        <f>VLOOKUP(VALUE(LEFT(C3026,5)),Xref!A:B,2,0)</f>
        <v>DOL</v>
      </c>
      <c r="M3026" t="str">
        <f t="shared" si="191"/>
        <v>DOL-NET</v>
      </c>
    </row>
    <row r="3027" spans="1:13" ht="14.25" customHeight="true">
      <c r="A3027" s="33" t="str">
        <f t="shared" si="188"/>
        <v>NET - Intercompany</v>
      </c>
      <c r="B3027" s="33" t="str">
        <f t="shared" si="189"/>
        <v>NET</v>
      </c>
      <c r="C3027" s="33" t="str">
        <f t="shared" si="190"/>
        <v>11314-0000</v>
      </c>
      <c r="D3027" t="s">
        <v>24790</v>
      </c>
      <c r="E3027" t="s">
        <v>13351</v>
      </c>
      <c r="F3027" t="s">
        <v>14039</v>
      </c>
      <c r="G3027" t="s">
        <v>14672</v>
      </c>
      <c r="H3027" t="s">
        <v>13869</v>
      </c>
      <c r="I3027" t="s">
        <v>14690</v>
      </c>
      <c r="J3027" s="62">
        <v>0</v>
      </c>
      <c r="K3027" s="62">
        <v>0</v>
      </c>
      <c r="L3027" t="str">
        <f>VLOOKUP(VALUE(LEFT(C3027,5)),Xref!A:B,2,0)</f>
        <v>GRI</v>
      </c>
      <c r="M3027" t="str">
        <f t="shared" si="191"/>
        <v>GRI-NET</v>
      </c>
    </row>
    <row r="3028" spans="1:13" ht="14.25" customHeight="true">
      <c r="A3028" s="33" t="str">
        <f t="shared" si="188"/>
        <v>NET - Intercompany</v>
      </c>
      <c r="B3028" s="33" t="str">
        <f t="shared" si="189"/>
        <v>NET</v>
      </c>
      <c r="C3028" s="33" t="str">
        <f t="shared" si="190"/>
        <v>11315-0000</v>
      </c>
      <c r="D3028" t="s">
        <v>24791</v>
      </c>
      <c r="E3028" t="s">
        <v>13234</v>
      </c>
      <c r="F3028" t="s">
        <v>14039</v>
      </c>
      <c r="G3028" t="s">
        <v>14672</v>
      </c>
      <c r="H3028" t="s">
        <v>13869</v>
      </c>
      <c r="I3028" t="s">
        <v>14690</v>
      </c>
      <c r="J3028" s="62">
        <v>0</v>
      </c>
      <c r="K3028" s="62">
        <v>0</v>
      </c>
      <c r="L3028" t="str">
        <f>VLOOKUP(VALUE(LEFT(C3028,5)),Xref!A:B,2,0)</f>
        <v>PUR</v>
      </c>
      <c r="M3028" t="str">
        <f t="shared" si="191"/>
        <v>NET-PUR</v>
      </c>
    </row>
    <row r="3029" spans="1:13" ht="14.25" customHeight="true">
      <c r="A3029" s="33" t="str">
        <f t="shared" si="188"/>
        <v>NET - Intercompany</v>
      </c>
      <c r="B3029" s="33" t="str">
        <f t="shared" si="189"/>
        <v>NET</v>
      </c>
      <c r="C3029" s="33" t="str">
        <f t="shared" si="190"/>
        <v>11316-0000</v>
      </c>
      <c r="D3029" t="s">
        <v>24792</v>
      </c>
      <c r="E3029" t="s">
        <v>13235</v>
      </c>
      <c r="F3029" t="s">
        <v>14039</v>
      </c>
      <c r="G3029" t="s">
        <v>14672</v>
      </c>
      <c r="H3029" t="s">
        <v>13869</v>
      </c>
      <c r="I3029" t="s">
        <v>14690</v>
      </c>
      <c r="J3029" s="62">
        <v>0</v>
      </c>
      <c r="K3029" s="62">
        <v>0</v>
      </c>
      <c r="L3029" t="str">
        <f>VLOOKUP(VALUE(LEFT(C3029,5)),Xref!A:B,2,0)</f>
        <v>VAL</v>
      </c>
      <c r="M3029" t="str">
        <f t="shared" si="191"/>
        <v>NET-VAL</v>
      </c>
    </row>
    <row r="3030" spans="1:13" ht="14.25" customHeight="true">
      <c r="A3030" s="33" t="str">
        <f t="shared" si="188"/>
        <v>NET - Intercompany</v>
      </c>
      <c r="B3030" s="33" t="str">
        <f t="shared" si="189"/>
        <v>NET</v>
      </c>
      <c r="C3030" s="33" t="str">
        <f t="shared" si="190"/>
        <v>11317-0000</v>
      </c>
      <c r="D3030" t="s">
        <v>1727</v>
      </c>
      <c r="E3030" t="s">
        <v>13352</v>
      </c>
      <c r="F3030" t="s">
        <v>14039</v>
      </c>
      <c r="G3030" t="s">
        <v>14672</v>
      </c>
      <c r="H3030" t="s">
        <v>13869</v>
      </c>
      <c r="I3030" t="s">
        <v>14690</v>
      </c>
      <c r="J3030" s="62">
        <v>0</v>
      </c>
      <c r="K3030" s="62">
        <v>-60000</v>
      </c>
      <c r="L3030" t="str">
        <f>VLOOKUP(VALUE(LEFT(C3030,5)),Xref!A:B,2,0)</f>
        <v>AKG</v>
      </c>
      <c r="M3030" t="str">
        <f t="shared" si="191"/>
        <v>AKG-NET</v>
      </c>
    </row>
    <row r="3031" spans="1:13" ht="14.25" customHeight="true">
      <c r="A3031" s="33" t="str">
        <f t="shared" si="188"/>
        <v>NET - Intercompany</v>
      </c>
      <c r="B3031" s="33" t="str">
        <f t="shared" si="189"/>
        <v>NET</v>
      </c>
      <c r="C3031" s="33" t="str">
        <f t="shared" si="190"/>
        <v>11318-0000</v>
      </c>
      <c r="D3031" t="s">
        <v>24793</v>
      </c>
      <c r="E3031" t="s">
        <v>13477</v>
      </c>
      <c r="F3031" t="s">
        <v>14039</v>
      </c>
      <c r="G3031" t="s">
        <v>14672</v>
      </c>
      <c r="H3031" t="s">
        <v>13869</v>
      </c>
      <c r="I3031" t="s">
        <v>14690</v>
      </c>
      <c r="J3031" s="62">
        <v>0</v>
      </c>
      <c r="K3031" s="62">
        <v>0</v>
      </c>
      <c r="L3031" t="str">
        <f>VLOOKUP(VALUE(LEFT(C3031,5)),Xref!A:B,2,0)</f>
        <v>FIR</v>
      </c>
      <c r="M3031" t="str">
        <f t="shared" si="191"/>
        <v>FIR-NET</v>
      </c>
    </row>
    <row r="3032" spans="1:13" ht="14.25" customHeight="true">
      <c r="A3032" s="33" t="str">
        <f t="shared" si="188"/>
        <v>NET - Intercompany</v>
      </c>
      <c r="B3032" s="33" t="str">
        <f t="shared" si="189"/>
        <v>NET</v>
      </c>
      <c r="C3032" s="33" t="str">
        <f t="shared" si="190"/>
        <v>11319-0000</v>
      </c>
      <c r="D3032" t="s">
        <v>24794</v>
      </c>
      <c r="E3032" t="s">
        <v>266</v>
      </c>
      <c r="F3032" t="s">
        <v>14039</v>
      </c>
      <c r="G3032" t="s">
        <v>14672</v>
      </c>
      <c r="H3032" t="s">
        <v>13869</v>
      </c>
      <c r="I3032" t="s">
        <v>14690</v>
      </c>
      <c r="J3032" s="62">
        <v>0</v>
      </c>
      <c r="K3032" s="62">
        <v>0</v>
      </c>
      <c r="L3032" t="str">
        <f>VLOOKUP(VALUE(LEFT(C3032,5)),Xref!A:B,2,0)</f>
        <v>GST</v>
      </c>
      <c r="M3032" t="str">
        <f t="shared" si="191"/>
        <v>GST-NET</v>
      </c>
    </row>
    <row r="3033" spans="1:13" ht="14.25" customHeight="true">
      <c r="A3033" s="33" t="str">
        <f t="shared" si="188"/>
        <v>NET - Intercompany</v>
      </c>
      <c r="B3033" s="33" t="str">
        <f t="shared" si="189"/>
        <v>NET</v>
      </c>
      <c r="C3033" s="33" t="str">
        <f t="shared" si="190"/>
        <v>11320-0000</v>
      </c>
      <c r="D3033" t="s">
        <v>24795</v>
      </c>
      <c r="E3033" t="s">
        <v>14111</v>
      </c>
      <c r="F3033" t="s">
        <v>14039</v>
      </c>
      <c r="G3033" t="s">
        <v>14672</v>
      </c>
      <c r="H3033" t="s">
        <v>13869</v>
      </c>
      <c r="I3033" t="s">
        <v>14690</v>
      </c>
      <c r="J3033" s="62">
        <v>0</v>
      </c>
      <c r="K3033" s="62">
        <v>0</v>
      </c>
      <c r="L3033" t="str">
        <f>VLOOKUP(VALUE(LEFT(C3033,5)),Xref!A:B,2,0)</f>
        <v>HDN</v>
      </c>
      <c r="M3033" t="str">
        <f t="shared" si="191"/>
        <v>HDN-NET</v>
      </c>
    </row>
    <row r="3034" spans="1:13" ht="14.25" customHeight="true">
      <c r="A3034" s="33" t="str">
        <f t="shared" si="188"/>
        <v>NET - Intercompany</v>
      </c>
      <c r="B3034" s="33" t="str">
        <f t="shared" si="189"/>
        <v>NET</v>
      </c>
      <c r="C3034" s="33" t="str">
        <f t="shared" si="190"/>
        <v>11321-0000</v>
      </c>
      <c r="D3034" t="s">
        <v>24796</v>
      </c>
      <c r="E3034" t="s">
        <v>13236</v>
      </c>
      <c r="F3034" t="s">
        <v>14039</v>
      </c>
      <c r="G3034" t="s">
        <v>14672</v>
      </c>
      <c r="H3034" t="s">
        <v>13869</v>
      </c>
      <c r="I3034" t="s">
        <v>14690</v>
      </c>
      <c r="J3034" s="62">
        <v>0</v>
      </c>
      <c r="K3034" s="62">
        <v>0</v>
      </c>
      <c r="L3034" t="str">
        <f>VLOOKUP(VALUE(LEFT(C3034,5)),Xref!A:B,2,0)</f>
        <v>OVA</v>
      </c>
      <c r="M3034" t="str">
        <f t="shared" si="191"/>
        <v>NET-OVA</v>
      </c>
    </row>
    <row r="3035" spans="1:13" ht="14.25" customHeight="true">
      <c r="A3035" s="33" t="str">
        <f t="shared" si="188"/>
        <v>NET - Intercompany</v>
      </c>
      <c r="B3035" s="33" t="str">
        <f t="shared" si="189"/>
        <v>NET</v>
      </c>
      <c r="C3035" s="33" t="str">
        <f t="shared" si="190"/>
        <v>11322-0000</v>
      </c>
      <c r="D3035" t="s">
        <v>24797</v>
      </c>
      <c r="E3035" t="s">
        <v>13237</v>
      </c>
      <c r="F3035" t="s">
        <v>14039</v>
      </c>
      <c r="G3035" t="s">
        <v>14672</v>
      </c>
      <c r="H3035" t="s">
        <v>13869</v>
      </c>
      <c r="I3035" t="s">
        <v>14690</v>
      </c>
      <c r="J3035" s="62">
        <v>0</v>
      </c>
      <c r="K3035" s="62">
        <v>0</v>
      </c>
      <c r="L3035" t="str">
        <f>VLOOKUP(VALUE(LEFT(C3035,5)),Xref!A:B,2,0)</f>
        <v>WOO</v>
      </c>
      <c r="M3035" t="str">
        <f t="shared" si="191"/>
        <v>NET-WOO</v>
      </c>
    </row>
    <row r="3036" spans="1:13" ht="14.25" customHeight="true">
      <c r="A3036" s="33" t="str">
        <f t="shared" si="188"/>
        <v>NET - Intercompany</v>
      </c>
      <c r="B3036" s="33" t="str">
        <f t="shared" si="189"/>
        <v>NET</v>
      </c>
      <c r="C3036" s="33" t="str">
        <f t="shared" si="190"/>
        <v>11323-0000</v>
      </c>
      <c r="D3036" t="s">
        <v>24798</v>
      </c>
      <c r="E3036" t="s">
        <v>13478</v>
      </c>
      <c r="F3036" t="s">
        <v>14039</v>
      </c>
      <c r="G3036" t="s">
        <v>14672</v>
      </c>
      <c r="H3036" t="s">
        <v>13869</v>
      </c>
      <c r="I3036" t="s">
        <v>14690</v>
      </c>
      <c r="J3036" s="62">
        <v>0</v>
      </c>
      <c r="K3036" s="62">
        <v>0</v>
      </c>
      <c r="L3036" t="str">
        <f>VLOOKUP(VALUE(LEFT(C3036,5)),Xref!A:B,2,0)</f>
        <v>SPI</v>
      </c>
      <c r="M3036" t="str">
        <f t="shared" si="191"/>
        <v>NET-SPI</v>
      </c>
    </row>
    <row r="3037" spans="1:13" ht="14.25" customHeight="true">
      <c r="A3037" s="33" t="str">
        <f t="shared" si="188"/>
        <v>NET - Intercompany</v>
      </c>
      <c r="B3037" s="33" t="str">
        <f t="shared" si="189"/>
        <v>NET</v>
      </c>
      <c r="C3037" s="33" t="str">
        <f t="shared" si="190"/>
        <v>11324-0000</v>
      </c>
      <c r="D3037" t="s">
        <v>24799</v>
      </c>
      <c r="E3037" t="s">
        <v>13238</v>
      </c>
      <c r="F3037" t="s">
        <v>14039</v>
      </c>
      <c r="G3037" t="s">
        <v>14672</v>
      </c>
      <c r="H3037" t="s">
        <v>13869</v>
      </c>
      <c r="I3037" t="s">
        <v>14690</v>
      </c>
      <c r="J3037" s="62">
        <v>0</v>
      </c>
      <c r="K3037" s="62">
        <v>0</v>
      </c>
      <c r="L3037" t="str">
        <f>VLOOKUP(VALUE(LEFT(C3037,5)),Xref!A:B,2,0)</f>
        <v>NET</v>
      </c>
      <c r="M3037" t="str">
        <f t="shared" si="191"/>
        <v>NET-NET</v>
      </c>
    </row>
    <row r="3038" spans="1:13" ht="14.25" customHeight="true">
      <c r="A3038" s="33" t="str">
        <f t="shared" si="188"/>
        <v>NET - Intercompany</v>
      </c>
      <c r="B3038" s="33" t="str">
        <f t="shared" si="189"/>
        <v>NET</v>
      </c>
      <c r="C3038" s="33" t="str">
        <f t="shared" si="190"/>
        <v>11325-0000</v>
      </c>
      <c r="D3038" t="s">
        <v>24800</v>
      </c>
      <c r="E3038" t="s">
        <v>13239</v>
      </c>
      <c r="F3038" t="s">
        <v>14039</v>
      </c>
      <c r="G3038" t="s">
        <v>14672</v>
      </c>
      <c r="H3038" t="s">
        <v>13869</v>
      </c>
      <c r="I3038" t="s">
        <v>14690</v>
      </c>
      <c r="J3038" s="62">
        <v>0</v>
      </c>
      <c r="K3038" s="62">
        <v>0</v>
      </c>
      <c r="L3038" t="str">
        <f>VLOOKUP(VALUE(LEFT(C3038,5)),Xref!A:B,2,0)</f>
        <v>DPI</v>
      </c>
      <c r="M3038" t="str">
        <f t="shared" si="191"/>
        <v>DPI-NET</v>
      </c>
    </row>
    <row r="3039" spans="1:13" ht="14.25" customHeight="true">
      <c r="A3039" s="33" t="str">
        <f t="shared" si="188"/>
        <v>NET - Intercompany</v>
      </c>
      <c r="B3039" s="33" t="str">
        <f t="shared" si="189"/>
        <v>NET</v>
      </c>
      <c r="C3039" s="33" t="str">
        <f t="shared" si="190"/>
        <v>11326-0000</v>
      </c>
      <c r="D3039" t="s">
        <v>1728</v>
      </c>
      <c r="E3039" t="s">
        <v>13240</v>
      </c>
      <c r="F3039" t="s">
        <v>14039</v>
      </c>
      <c r="G3039" t="s">
        <v>14672</v>
      </c>
      <c r="H3039" t="s">
        <v>13869</v>
      </c>
      <c r="I3039" t="s">
        <v>14690</v>
      </c>
      <c r="J3039" s="62">
        <v>0</v>
      </c>
      <c r="K3039" s="62">
        <v>-15000</v>
      </c>
      <c r="L3039" t="str">
        <f>VLOOKUP(VALUE(LEFT(C3039,5)),Xref!A:B,2,0)</f>
        <v>SEK</v>
      </c>
      <c r="M3039" t="str">
        <f t="shared" si="191"/>
        <v>NET-SEK</v>
      </c>
    </row>
    <row r="3040" spans="1:13" ht="14.25" customHeight="true">
      <c r="A3040" s="33" t="str">
        <f t="shared" si="188"/>
        <v>NET - Intercompany</v>
      </c>
      <c r="B3040" s="33" t="str">
        <f t="shared" si="189"/>
        <v>NET</v>
      </c>
      <c r="C3040" s="33" t="str">
        <f t="shared" si="190"/>
        <v>11327-0000</v>
      </c>
      <c r="D3040" t="s">
        <v>24801</v>
      </c>
      <c r="E3040" t="s">
        <v>14119</v>
      </c>
      <c r="F3040" t="s">
        <v>14039</v>
      </c>
      <c r="G3040" t="s">
        <v>14672</v>
      </c>
      <c r="H3040" t="s">
        <v>13869</v>
      </c>
      <c r="I3040" t="s">
        <v>14690</v>
      </c>
      <c r="J3040" s="62">
        <v>0</v>
      </c>
      <c r="K3040" s="62">
        <v>0</v>
      </c>
      <c r="L3040" t="str">
        <f>VLOOKUP(VALUE(LEFT(C3040,5)),Xref!A:B,2,0)</f>
        <v>CPI</v>
      </c>
      <c r="M3040" t="str">
        <f t="shared" si="191"/>
        <v>CPI-NET</v>
      </c>
    </row>
    <row r="3041" spans="1:13" ht="14.25" customHeight="true">
      <c r="A3041" s="33" t="str">
        <f t="shared" si="188"/>
        <v>NET - Intercompany</v>
      </c>
      <c r="B3041" s="33" t="str">
        <f t="shared" si="189"/>
        <v>NET</v>
      </c>
      <c r="C3041" s="33" t="str">
        <f t="shared" si="190"/>
        <v>11328-0000</v>
      </c>
      <c r="D3041" t="s">
        <v>24802</v>
      </c>
      <c r="E3041" t="s">
        <v>13241</v>
      </c>
      <c r="F3041" t="s">
        <v>14039</v>
      </c>
      <c r="G3041" t="s">
        <v>14672</v>
      </c>
      <c r="H3041" t="s">
        <v>13869</v>
      </c>
      <c r="I3041" t="s">
        <v>14690</v>
      </c>
      <c r="J3041" s="62">
        <v>0</v>
      </c>
      <c r="K3041" s="62">
        <v>0</v>
      </c>
      <c r="L3041" t="str">
        <f>VLOOKUP(VALUE(LEFT(C3041,5)),Xref!A:B,2,0)</f>
        <v>LOM</v>
      </c>
      <c r="M3041" t="str">
        <f t="shared" si="191"/>
        <v>LOM-NET</v>
      </c>
    </row>
    <row r="3042" spans="1:13" ht="14.25" customHeight="true">
      <c r="A3042" s="33" t="str">
        <f t="shared" si="188"/>
        <v>NET - Intercompany</v>
      </c>
      <c r="B3042" s="33" t="str">
        <f t="shared" si="189"/>
        <v>NET</v>
      </c>
      <c r="C3042" s="33" t="str">
        <f t="shared" si="190"/>
        <v>11329-0000</v>
      </c>
      <c r="D3042" t="s">
        <v>24803</v>
      </c>
      <c r="E3042" t="s">
        <v>13353</v>
      </c>
      <c r="F3042" t="s">
        <v>14039</v>
      </c>
      <c r="G3042" t="s">
        <v>14672</v>
      </c>
      <c r="H3042" t="s">
        <v>13869</v>
      </c>
      <c r="I3042" t="s">
        <v>14690</v>
      </c>
      <c r="J3042" s="62">
        <v>0</v>
      </c>
      <c r="K3042" s="62">
        <v>0</v>
      </c>
      <c r="L3042" t="str">
        <f>VLOOKUP(VALUE(LEFT(C3042,5)),Xref!A:B,2,0)</f>
        <v>AKS</v>
      </c>
      <c r="M3042" t="str">
        <f t="shared" si="191"/>
        <v>AKS-NET</v>
      </c>
    </row>
    <row r="3043" spans="1:13" ht="14.25" customHeight="true">
      <c r="A3043" s="33" t="str">
        <f t="shared" si="188"/>
        <v>NET - Intercompany</v>
      </c>
      <c r="B3043" s="33" t="str">
        <f t="shared" si="189"/>
        <v>NET</v>
      </c>
      <c r="C3043" s="33" t="str">
        <f t="shared" si="190"/>
        <v>11330-0000</v>
      </c>
      <c r="D3043" t="s">
        <v>24804</v>
      </c>
      <c r="E3043" t="s">
        <v>13242</v>
      </c>
      <c r="F3043" t="s">
        <v>14039</v>
      </c>
      <c r="G3043" t="s">
        <v>14672</v>
      </c>
      <c r="H3043" t="s">
        <v>13869</v>
      </c>
      <c r="I3043" t="s">
        <v>14690</v>
      </c>
      <c r="J3043" s="62">
        <v>0</v>
      </c>
      <c r="K3043" s="62">
        <v>0</v>
      </c>
      <c r="L3043" t="str">
        <f>VLOOKUP(VALUE(LEFT(C3043,5)),Xref!A:B,2,0)</f>
        <v>MAR</v>
      </c>
      <c r="M3043" t="str">
        <f t="shared" si="191"/>
        <v>MAR-NET</v>
      </c>
    </row>
    <row r="3044" spans="1:13" ht="14.25" customHeight="true">
      <c r="A3044" s="33" t="str">
        <f t="shared" si="188"/>
        <v>NET - Intercompany</v>
      </c>
      <c r="B3044" s="33" t="str">
        <f t="shared" si="189"/>
        <v>NET</v>
      </c>
      <c r="C3044" s="33" t="str">
        <f t="shared" si="190"/>
        <v>11331-0000</v>
      </c>
      <c r="D3044" t="s">
        <v>24805</v>
      </c>
      <c r="E3044" t="s">
        <v>13354</v>
      </c>
      <c r="F3044" t="s">
        <v>14039</v>
      </c>
      <c r="G3044" t="s">
        <v>14672</v>
      </c>
      <c r="H3044" t="s">
        <v>13869</v>
      </c>
      <c r="I3044" t="s">
        <v>14690</v>
      </c>
      <c r="J3044" s="62">
        <v>0</v>
      </c>
      <c r="K3044" s="62">
        <v>0</v>
      </c>
      <c r="L3044" t="str">
        <f>VLOOKUP(VALUE(LEFT(C3044,5)),Xref!A:B,2,0)</f>
        <v>WIL</v>
      </c>
      <c r="M3044" t="str">
        <f t="shared" si="191"/>
        <v>NET-WIL</v>
      </c>
    </row>
    <row r="3045" spans="1:13" ht="14.25" customHeight="true">
      <c r="A3045" s="33" t="str">
        <f t="shared" si="188"/>
        <v>NET - Intercompany</v>
      </c>
      <c r="B3045" s="33" t="str">
        <f t="shared" si="189"/>
        <v>NET</v>
      </c>
      <c r="C3045" s="33" t="str">
        <f t="shared" si="190"/>
        <v>11332-0000</v>
      </c>
      <c r="D3045" t="s">
        <v>24806</v>
      </c>
      <c r="E3045" t="s">
        <v>13243</v>
      </c>
      <c r="F3045" t="s">
        <v>14039</v>
      </c>
      <c r="G3045" t="s">
        <v>14672</v>
      </c>
      <c r="H3045" t="s">
        <v>13869</v>
      </c>
      <c r="I3045" t="s">
        <v>14690</v>
      </c>
      <c r="J3045" s="62">
        <v>0</v>
      </c>
      <c r="K3045" s="62">
        <v>0</v>
      </c>
      <c r="L3045" t="str">
        <f>VLOOKUP(VALUE(LEFT(C3045,5)),Xref!A:B,2,0)</f>
        <v>STO</v>
      </c>
      <c r="M3045" t="str">
        <f t="shared" si="191"/>
        <v>NET-STO</v>
      </c>
    </row>
    <row r="3046" spans="1:13" ht="14.25" customHeight="true">
      <c r="A3046" s="33" t="str">
        <f t="shared" si="188"/>
        <v>NET - Intercompany</v>
      </c>
      <c r="B3046" s="33" t="str">
        <f t="shared" si="189"/>
        <v>NET</v>
      </c>
      <c r="C3046" s="33" t="str">
        <f t="shared" si="190"/>
        <v>11333-0000</v>
      </c>
      <c r="D3046" t="s">
        <v>24807</v>
      </c>
      <c r="E3046" t="s">
        <v>13244</v>
      </c>
      <c r="F3046" t="s">
        <v>14039</v>
      </c>
      <c r="G3046" t="s">
        <v>14672</v>
      </c>
      <c r="H3046" t="s">
        <v>13869</v>
      </c>
      <c r="I3046" t="s">
        <v>14690</v>
      </c>
      <c r="J3046" s="62">
        <v>0</v>
      </c>
      <c r="K3046" s="62">
        <v>0</v>
      </c>
      <c r="L3046" t="str">
        <f>VLOOKUP(VALUE(LEFT(C3046,5)),Xref!A:B,2,0)</f>
        <v>ANG</v>
      </c>
      <c r="M3046" t="str">
        <f t="shared" si="191"/>
        <v>ANG-NET</v>
      </c>
    </row>
    <row r="3047" spans="1:13" ht="14.25" customHeight="true">
      <c r="A3047" s="33" t="str">
        <f t="shared" si="188"/>
        <v>NET - Intercompany</v>
      </c>
      <c r="B3047" s="33" t="str">
        <f t="shared" si="189"/>
        <v>NET</v>
      </c>
      <c r="C3047" s="33" t="str">
        <f t="shared" si="190"/>
        <v>11334-0000</v>
      </c>
      <c r="D3047" t="s">
        <v>24808</v>
      </c>
      <c r="E3047" t="s">
        <v>13245</v>
      </c>
      <c r="F3047" t="s">
        <v>14039</v>
      </c>
      <c r="G3047" t="s">
        <v>14672</v>
      </c>
      <c r="H3047" t="s">
        <v>13869</v>
      </c>
      <c r="I3047" t="s">
        <v>14690</v>
      </c>
      <c r="J3047" s="62">
        <v>0</v>
      </c>
      <c r="K3047" s="62">
        <v>0</v>
      </c>
      <c r="L3047" t="str">
        <f>VLOOKUP(VALUE(LEFT(C3047,5)),Xref!A:B,2,0)</f>
        <v>BRU</v>
      </c>
      <c r="M3047" t="str">
        <f t="shared" si="191"/>
        <v>BRU-NET</v>
      </c>
    </row>
    <row r="3048" spans="1:13" ht="14.25" customHeight="true">
      <c r="A3048" s="33" t="str">
        <f t="shared" si="188"/>
        <v>NET - Intercompany</v>
      </c>
      <c r="B3048" s="33" t="str">
        <f t="shared" si="189"/>
        <v>NET</v>
      </c>
      <c r="C3048" s="33" t="str">
        <f t="shared" si="190"/>
        <v>11335-0000</v>
      </c>
      <c r="D3048" t="s">
        <v>24809</v>
      </c>
      <c r="E3048" t="s">
        <v>13246</v>
      </c>
      <c r="F3048" t="s">
        <v>14039</v>
      </c>
      <c r="G3048" t="s">
        <v>14672</v>
      </c>
      <c r="H3048" t="s">
        <v>13869</v>
      </c>
      <c r="I3048" t="s">
        <v>14690</v>
      </c>
      <c r="J3048" s="62">
        <v>0</v>
      </c>
      <c r="K3048" s="62">
        <v>0</v>
      </c>
      <c r="L3048" t="str">
        <f>VLOOKUP(VALUE(LEFT(C3048,5)),Xref!A:B,2,0)</f>
        <v>VEN</v>
      </c>
      <c r="M3048" t="str">
        <f t="shared" si="191"/>
        <v>NET-VEN</v>
      </c>
    </row>
    <row r="3049" spans="1:13" ht="14.25" customHeight="true">
      <c r="A3049" s="33" t="str">
        <f t="shared" si="188"/>
        <v>NET - Intercompany</v>
      </c>
      <c r="B3049" s="33" t="str">
        <f t="shared" si="189"/>
        <v>NET</v>
      </c>
      <c r="C3049" s="33" t="str">
        <f t="shared" si="190"/>
        <v>11336-0000</v>
      </c>
      <c r="D3049" t="s">
        <v>1729</v>
      </c>
      <c r="E3049" t="s">
        <v>13247</v>
      </c>
      <c r="F3049" t="s">
        <v>14039</v>
      </c>
      <c r="G3049" t="s">
        <v>14672</v>
      </c>
      <c r="H3049" t="s">
        <v>13869</v>
      </c>
      <c r="I3049" t="s">
        <v>14690</v>
      </c>
      <c r="J3049" s="62">
        <v>0</v>
      </c>
      <c r="K3049" s="62">
        <v>-10000</v>
      </c>
      <c r="L3049" t="str">
        <f>VLOOKUP(VALUE(LEFT(C3049,5)),Xref!A:B,2,0)</f>
        <v>SAT</v>
      </c>
      <c r="M3049" t="str">
        <f t="shared" si="191"/>
        <v>NET-SAT</v>
      </c>
    </row>
    <row r="3050" spans="1:13" ht="14.25" customHeight="true">
      <c r="A3050" s="33" t="str">
        <f t="shared" si="188"/>
        <v>NET - Intercompany</v>
      </c>
      <c r="B3050" s="33" t="str">
        <f t="shared" si="189"/>
        <v>NET</v>
      </c>
      <c r="C3050" s="33" t="str">
        <f t="shared" si="190"/>
        <v>11337-0000</v>
      </c>
      <c r="D3050" t="s">
        <v>24810</v>
      </c>
      <c r="E3050" t="s">
        <v>13248</v>
      </c>
      <c r="F3050" t="s">
        <v>14039</v>
      </c>
      <c r="G3050" t="s">
        <v>14672</v>
      </c>
      <c r="H3050" t="s">
        <v>13869</v>
      </c>
      <c r="I3050" t="s">
        <v>14690</v>
      </c>
      <c r="J3050" s="62">
        <v>0</v>
      </c>
      <c r="K3050" s="62">
        <v>0</v>
      </c>
      <c r="L3050" t="str">
        <f>VLOOKUP(VALUE(LEFT(C3050,5)),Xref!A:B,2,0)</f>
        <v>NEP</v>
      </c>
      <c r="M3050" t="str">
        <f t="shared" si="191"/>
        <v>NEP-NET</v>
      </c>
    </row>
    <row r="3051" spans="1:13" ht="14.25" customHeight="true">
      <c r="A3051" s="33" t="str">
        <f t="shared" si="188"/>
        <v>NET - Intercompany</v>
      </c>
      <c r="B3051" s="33" t="str">
        <f t="shared" si="189"/>
        <v>NET</v>
      </c>
      <c r="C3051" s="33" t="str">
        <f t="shared" si="190"/>
        <v>11338-0000</v>
      </c>
      <c r="D3051" t="s">
        <v>24811</v>
      </c>
      <c r="E3051" t="s">
        <v>14131</v>
      </c>
      <c r="F3051" t="s">
        <v>14039</v>
      </c>
      <c r="G3051" t="s">
        <v>14672</v>
      </c>
      <c r="H3051" t="s">
        <v>13869</v>
      </c>
      <c r="I3051" t="s">
        <v>14690</v>
      </c>
      <c r="J3051" s="62">
        <v>0</v>
      </c>
      <c r="K3051" s="62">
        <v>0</v>
      </c>
      <c r="L3051" t="str">
        <f>VLOOKUP(VALUE(LEFT(C3051,5)),Xref!A:B,2,0)</f>
        <v>JUP</v>
      </c>
      <c r="M3051" t="str">
        <f t="shared" si="191"/>
        <v>JUP-NET</v>
      </c>
    </row>
    <row r="3052" spans="1:13" ht="14.25" customHeight="true">
      <c r="A3052" s="33" t="str">
        <f t="shared" si="188"/>
        <v>NET - Intercompany</v>
      </c>
      <c r="B3052" s="33" t="str">
        <f t="shared" si="189"/>
        <v>NET</v>
      </c>
      <c r="C3052" s="33" t="str">
        <f t="shared" si="190"/>
        <v>11339-0000</v>
      </c>
      <c r="D3052" t="s">
        <v>24812</v>
      </c>
      <c r="E3052" t="s">
        <v>14133</v>
      </c>
      <c r="F3052" t="s">
        <v>14039</v>
      </c>
      <c r="G3052" t="s">
        <v>14672</v>
      </c>
      <c r="H3052" t="s">
        <v>13869</v>
      </c>
      <c r="I3052" t="s">
        <v>14690</v>
      </c>
      <c r="J3052" s="62">
        <v>0</v>
      </c>
      <c r="K3052" s="62">
        <v>0</v>
      </c>
      <c r="L3052" t="str">
        <f>VLOOKUP(VALUE(LEFT(C3052,5)),Xref!A:B,2,0)</f>
        <v>WES</v>
      </c>
      <c r="M3052" t="str">
        <f t="shared" si="191"/>
        <v>NET-WES</v>
      </c>
    </row>
    <row r="3053" spans="1:13" ht="14.25" customHeight="true">
      <c r="A3053" s="33" t="str">
        <f t="shared" si="188"/>
        <v>NET - Intercompany</v>
      </c>
      <c r="B3053" s="33" t="str">
        <f t="shared" si="189"/>
        <v>NET</v>
      </c>
      <c r="C3053" s="33" t="str">
        <f t="shared" si="190"/>
        <v>11340-0000</v>
      </c>
      <c r="D3053" t="s">
        <v>24813</v>
      </c>
      <c r="E3053" t="s">
        <v>14135</v>
      </c>
      <c r="F3053" t="s">
        <v>14039</v>
      </c>
      <c r="G3053" t="s">
        <v>14672</v>
      </c>
      <c r="H3053" t="s">
        <v>13869</v>
      </c>
      <c r="I3053" t="s">
        <v>14690</v>
      </c>
      <c r="J3053" s="62">
        <v>0</v>
      </c>
      <c r="K3053" s="62">
        <v>0</v>
      </c>
      <c r="L3053" t="str">
        <f>VLOOKUP(VALUE(LEFT(C3053,5)),Xref!A:B,2,0)</f>
        <v>LCP</v>
      </c>
      <c r="M3053" t="str">
        <f t="shared" si="191"/>
        <v>LCP-NET</v>
      </c>
    </row>
    <row r="3054" spans="1:13" ht="14.25" customHeight="true">
      <c r="A3054" s="33" t="str">
        <f t="shared" si="188"/>
        <v>NET - Intercompany</v>
      </c>
      <c r="B3054" s="33" t="str">
        <f t="shared" si="189"/>
        <v>NET</v>
      </c>
      <c r="C3054" s="33" t="str">
        <f t="shared" si="190"/>
        <v>11341-0000</v>
      </c>
      <c r="D3054" t="s">
        <v>24814</v>
      </c>
      <c r="E3054" t="s">
        <v>13639</v>
      </c>
      <c r="F3054" t="s">
        <v>14039</v>
      </c>
      <c r="G3054" t="s">
        <v>14672</v>
      </c>
      <c r="H3054" t="s">
        <v>13869</v>
      </c>
      <c r="I3054" t="s">
        <v>14690</v>
      </c>
      <c r="J3054" s="62">
        <v>0</v>
      </c>
      <c r="K3054" s="62">
        <v>0</v>
      </c>
      <c r="L3054" t="str">
        <f>VLOOKUP(VALUE(LEFT(C3054,5)),Xref!A:B,2,0)</f>
        <v>NOR</v>
      </c>
      <c r="M3054" t="str">
        <f t="shared" si="191"/>
        <v>NET-NOR</v>
      </c>
    </row>
    <row r="3055" spans="1:13" ht="14.25" customHeight="true">
      <c r="A3055" s="33" t="str">
        <f t="shared" si="188"/>
        <v>NET - Intercompany</v>
      </c>
      <c r="B3055" s="33" t="str">
        <f t="shared" si="189"/>
        <v>NET</v>
      </c>
      <c r="C3055" s="33" t="str">
        <f t="shared" si="190"/>
        <v>11342-0000</v>
      </c>
      <c r="D3055" t="s">
        <v>24815</v>
      </c>
      <c r="E3055" t="s">
        <v>13355</v>
      </c>
      <c r="F3055" t="s">
        <v>14039</v>
      </c>
      <c r="G3055" t="s">
        <v>14672</v>
      </c>
      <c r="H3055" t="s">
        <v>13869</v>
      </c>
      <c r="I3055" t="s">
        <v>14690</v>
      </c>
      <c r="J3055" s="62">
        <v>0</v>
      </c>
      <c r="K3055" s="62">
        <v>0</v>
      </c>
      <c r="L3055" t="str">
        <f>VLOOKUP(VALUE(LEFT(C3055,5)),Xref!A:B,2,0)</f>
        <v>EAS</v>
      </c>
      <c r="M3055" t="str">
        <f t="shared" si="191"/>
        <v>EAS-NET</v>
      </c>
    </row>
    <row r="3056" spans="1:13" ht="14.25" customHeight="true">
      <c r="A3056" s="33" t="str">
        <f t="shared" si="188"/>
        <v>NET - Intercompany</v>
      </c>
      <c r="B3056" s="33" t="str">
        <f t="shared" si="189"/>
        <v>NET</v>
      </c>
      <c r="C3056" s="33" t="str">
        <f t="shared" si="190"/>
        <v>11343-0000</v>
      </c>
      <c r="D3056" t="s">
        <v>1730</v>
      </c>
      <c r="E3056" t="s">
        <v>14139</v>
      </c>
      <c r="F3056" t="s">
        <v>14039</v>
      </c>
      <c r="G3056" t="s">
        <v>14672</v>
      </c>
      <c r="H3056" t="s">
        <v>13869</v>
      </c>
      <c r="I3056" t="s">
        <v>14690</v>
      </c>
      <c r="J3056" s="62">
        <v>0</v>
      </c>
      <c r="K3056" s="62">
        <v>-120000</v>
      </c>
      <c r="L3056" t="str">
        <f>VLOOKUP(VALUE(LEFT(C3056,5)),Xref!A:B,2,0)</f>
        <v>GRA</v>
      </c>
      <c r="M3056" t="str">
        <f t="shared" si="191"/>
        <v>GRA-NET</v>
      </c>
    </row>
    <row r="3057" spans="1:13" ht="14.25" customHeight="true">
      <c r="A3057" s="33" t="str">
        <f t="shared" si="188"/>
        <v>NET - Intercompany</v>
      </c>
      <c r="B3057" s="33" t="str">
        <f t="shared" si="189"/>
        <v>NET</v>
      </c>
      <c r="C3057" s="33" t="str">
        <f t="shared" si="190"/>
        <v>11344-0000</v>
      </c>
      <c r="D3057" t="s">
        <v>24816</v>
      </c>
      <c r="E3057" t="s">
        <v>14141</v>
      </c>
      <c r="F3057" t="s">
        <v>14039</v>
      </c>
      <c r="G3057" t="s">
        <v>14672</v>
      </c>
      <c r="H3057" t="s">
        <v>13869</v>
      </c>
      <c r="I3057" t="s">
        <v>14690</v>
      </c>
      <c r="J3057" s="62">
        <v>0</v>
      </c>
      <c r="K3057" s="62">
        <v>0</v>
      </c>
      <c r="L3057" t="str">
        <f>VLOOKUP(VALUE(LEFT(C3057,5)),Xref!A:B,2,0)</f>
        <v>SOU</v>
      </c>
      <c r="M3057" t="str">
        <f t="shared" si="191"/>
        <v>NET-SOU</v>
      </c>
    </row>
    <row r="3058" spans="1:13" ht="14.25" customHeight="true">
      <c r="A3058" s="33" t="str">
        <f t="shared" si="188"/>
        <v>NET - Intercompany</v>
      </c>
      <c r="B3058" s="33" t="str">
        <f t="shared" si="189"/>
        <v>NET</v>
      </c>
      <c r="C3058" s="33" t="str">
        <f t="shared" si="190"/>
        <v>11345-0000</v>
      </c>
      <c r="D3058" t="s">
        <v>24817</v>
      </c>
      <c r="E3058" t="s">
        <v>14143</v>
      </c>
      <c r="F3058" t="s">
        <v>14039</v>
      </c>
      <c r="G3058" t="s">
        <v>14672</v>
      </c>
      <c r="H3058" t="s">
        <v>13869</v>
      </c>
      <c r="I3058" t="s">
        <v>14690</v>
      </c>
      <c r="J3058" s="62">
        <v>0</v>
      </c>
      <c r="K3058" s="62">
        <v>0</v>
      </c>
      <c r="L3058" t="str">
        <f>VLOOKUP(VALUE(LEFT(C3058,5)),Xref!A:B,2,0)</f>
        <v>API</v>
      </c>
      <c r="M3058" t="str">
        <f t="shared" si="191"/>
        <v>API-NET</v>
      </c>
    </row>
    <row r="3059" spans="1:13" ht="14.25" customHeight="true">
      <c r="A3059" s="33" t="str">
        <f t="shared" si="188"/>
        <v>NET - Intercompany</v>
      </c>
      <c r="B3059" s="33" t="str">
        <f t="shared" si="189"/>
        <v>NET</v>
      </c>
      <c r="C3059" s="33" t="str">
        <f t="shared" si="190"/>
        <v>11346-0000</v>
      </c>
      <c r="D3059" t="s">
        <v>24818</v>
      </c>
      <c r="E3059" t="s">
        <v>14145</v>
      </c>
      <c r="F3059" t="s">
        <v>14039</v>
      </c>
      <c r="G3059" t="s">
        <v>14672</v>
      </c>
      <c r="H3059" t="s">
        <v>13869</v>
      </c>
      <c r="I3059" t="s">
        <v>14690</v>
      </c>
      <c r="J3059" s="62">
        <v>0</v>
      </c>
      <c r="K3059" s="62">
        <v>0</v>
      </c>
      <c r="L3059" t="str">
        <f>VLOOKUP(VALUE(LEFT(C3059,5)),Xref!A:B,2,0)</f>
        <v>DPH</v>
      </c>
      <c r="M3059" t="str">
        <f t="shared" si="191"/>
        <v>DPH-NET</v>
      </c>
    </row>
    <row r="3060" spans="1:13" ht="14.25" customHeight="true">
      <c r="A3060" s="33" t="str">
        <f t="shared" si="188"/>
        <v>NET - Intercompany</v>
      </c>
      <c r="B3060" s="33" t="str">
        <f t="shared" si="189"/>
        <v>NET</v>
      </c>
      <c r="C3060" s="33" t="str">
        <f t="shared" si="190"/>
        <v>11347-0000</v>
      </c>
      <c r="D3060" t="s">
        <v>24819</v>
      </c>
      <c r="E3060" t="s">
        <v>14147</v>
      </c>
      <c r="F3060" t="s">
        <v>14039</v>
      </c>
      <c r="G3060" t="s">
        <v>14672</v>
      </c>
      <c r="H3060" t="s">
        <v>13869</v>
      </c>
      <c r="I3060" t="s">
        <v>14690</v>
      </c>
      <c r="J3060" s="62">
        <v>0</v>
      </c>
      <c r="K3060" s="62">
        <v>0</v>
      </c>
      <c r="L3060" t="str">
        <f>VLOOKUP(VALUE(LEFT(C3060,5)),Xref!A:B,2,0)</f>
        <v>ZPI</v>
      </c>
      <c r="M3060" t="str">
        <f t="shared" si="191"/>
        <v>NET-ZPI</v>
      </c>
    </row>
    <row r="3061" spans="1:13" ht="14.25" customHeight="true">
      <c r="A3061" s="33" t="str">
        <f t="shared" si="188"/>
        <v>NET - Intercompany</v>
      </c>
      <c r="B3061" s="33" t="str">
        <f t="shared" si="189"/>
        <v>NET</v>
      </c>
      <c r="C3061" s="33" t="str">
        <f t="shared" si="190"/>
        <v>11348-0000</v>
      </c>
      <c r="D3061" t="s">
        <v>24820</v>
      </c>
      <c r="E3061" t="s">
        <v>14149</v>
      </c>
      <c r="F3061" t="s">
        <v>14039</v>
      </c>
      <c r="G3061" t="s">
        <v>14672</v>
      </c>
      <c r="H3061" t="s">
        <v>13869</v>
      </c>
      <c r="I3061" t="s">
        <v>14690</v>
      </c>
      <c r="J3061" s="62">
        <v>0</v>
      </c>
      <c r="K3061" s="62">
        <v>0</v>
      </c>
      <c r="L3061" t="str">
        <f>VLOOKUP(VALUE(LEFT(C3061,5)),Xref!A:B,2,0)</f>
        <v>EAM</v>
      </c>
      <c r="M3061" t="str">
        <f t="shared" si="191"/>
        <v>EAM-NET</v>
      </c>
    </row>
    <row r="3062" spans="1:13" ht="14.25" customHeight="true">
      <c r="A3062" s="33" t="str">
        <f t="shared" si="188"/>
        <v>NET - Intercompany</v>
      </c>
      <c r="B3062" s="33" t="str">
        <f t="shared" si="189"/>
        <v>NET</v>
      </c>
      <c r="C3062" s="33" t="str">
        <f t="shared" si="190"/>
        <v>11349-0000</v>
      </c>
      <c r="D3062" t="s">
        <v>24821</v>
      </c>
      <c r="E3062" t="s">
        <v>14151</v>
      </c>
      <c r="F3062" t="s">
        <v>14039</v>
      </c>
      <c r="G3062" t="s">
        <v>14672</v>
      </c>
      <c r="H3062" t="s">
        <v>13869</v>
      </c>
      <c r="I3062" t="s">
        <v>14690</v>
      </c>
      <c r="J3062" s="62">
        <v>0</v>
      </c>
      <c r="K3062" s="62">
        <v>0</v>
      </c>
      <c r="L3062" t="str">
        <f>VLOOKUP(VALUE(LEFT(C3062,5)),Xref!A:B,2,0)</f>
        <v>SEA</v>
      </c>
      <c r="M3062" t="str">
        <f t="shared" si="191"/>
        <v>NET-SEA</v>
      </c>
    </row>
    <row r="3063" spans="1:13" ht="14.25" customHeight="true">
      <c r="A3063" s="33" t="str">
        <f t="shared" si="188"/>
        <v>NET - Intercompany</v>
      </c>
      <c r="B3063" s="33" t="str">
        <f t="shared" si="189"/>
        <v>NET</v>
      </c>
      <c r="C3063" s="33" t="str">
        <f t="shared" si="190"/>
        <v>11350-0000</v>
      </c>
      <c r="D3063" t="s">
        <v>24822</v>
      </c>
      <c r="E3063" t="s">
        <v>14153</v>
      </c>
      <c r="F3063" t="s">
        <v>14039</v>
      </c>
      <c r="G3063" t="s">
        <v>14672</v>
      </c>
      <c r="H3063" t="s">
        <v>13869</v>
      </c>
      <c r="I3063" t="s">
        <v>14690</v>
      </c>
      <c r="J3063" s="62">
        <v>0</v>
      </c>
      <c r="K3063" s="62">
        <v>-35.86</v>
      </c>
      <c r="L3063" t="str">
        <f>VLOOKUP(VALUE(LEFT(C3063,5)),Xref!A:B,2,0)</f>
        <v>EAL</v>
      </c>
      <c r="M3063" t="str">
        <f t="shared" si="191"/>
        <v>EAL-NET</v>
      </c>
    </row>
    <row r="3064" spans="1:13" ht="14.25" customHeight="true">
      <c r="A3064" s="33" t="str">
        <f t="shared" si="188"/>
        <v>NET - Intercompany</v>
      </c>
      <c r="B3064" s="33" t="str">
        <f t="shared" si="189"/>
        <v>NET</v>
      </c>
      <c r="C3064" s="33" t="str">
        <f t="shared" si="190"/>
        <v>11351-0000</v>
      </c>
      <c r="D3064" t="s">
        <v>24823</v>
      </c>
      <c r="E3064" t="s">
        <v>14155</v>
      </c>
      <c r="F3064" t="s">
        <v>14039</v>
      </c>
      <c r="G3064" t="s">
        <v>14672</v>
      </c>
      <c r="H3064" t="s">
        <v>13869</v>
      </c>
      <c r="I3064" t="s">
        <v>14690</v>
      </c>
      <c r="J3064" s="62">
        <v>0</v>
      </c>
      <c r="K3064" s="62">
        <v>0</v>
      </c>
      <c r="L3064" t="str">
        <f>VLOOKUP(VALUE(LEFT(C3064,5)),Xref!A:B,2,0)</f>
        <v>WEP</v>
      </c>
      <c r="M3064" t="str">
        <f t="shared" si="191"/>
        <v>NET-WEP</v>
      </c>
    </row>
    <row r="3065" spans="1:13" ht="14.25" customHeight="true">
      <c r="A3065" s="33" t="str">
        <f t="shared" si="188"/>
        <v>NET - Intercompany</v>
      </c>
      <c r="B3065" s="33" t="str">
        <f t="shared" si="189"/>
        <v>NET</v>
      </c>
      <c r="C3065" s="33" t="str">
        <f t="shared" si="190"/>
        <v>11352-0000</v>
      </c>
      <c r="D3065" t="s">
        <v>24824</v>
      </c>
      <c r="E3065" t="s">
        <v>13536</v>
      </c>
      <c r="F3065" t="s">
        <v>14039</v>
      </c>
      <c r="G3065" t="s">
        <v>14672</v>
      </c>
      <c r="H3065" t="s">
        <v>13869</v>
      </c>
      <c r="I3065" t="s">
        <v>14690</v>
      </c>
      <c r="J3065" s="62">
        <v>0</v>
      </c>
      <c r="K3065" s="62">
        <v>0</v>
      </c>
      <c r="L3065" t="str">
        <f>VLOOKUP(VALUE(LEFT(C3065,5)),Xref!A:B,2,0)</f>
        <v>KLP</v>
      </c>
      <c r="M3065" t="str">
        <f t="shared" si="191"/>
        <v>KLP-NET</v>
      </c>
    </row>
    <row r="3066" spans="1:13" ht="14.25" customHeight="true">
      <c r="A3066" s="33" t="str">
        <f t="shared" si="188"/>
        <v>NET - Intercompany</v>
      </c>
      <c r="B3066" s="33" t="str">
        <f t="shared" si="189"/>
        <v>NET</v>
      </c>
      <c r="C3066" s="33" t="str">
        <f t="shared" si="190"/>
        <v>11353-0000</v>
      </c>
      <c r="D3066" t="s">
        <v>24825</v>
      </c>
      <c r="E3066" t="s">
        <v>13537</v>
      </c>
      <c r="F3066" t="s">
        <v>14039</v>
      </c>
      <c r="G3066" t="s">
        <v>14672</v>
      </c>
      <c r="H3066" t="s">
        <v>13869</v>
      </c>
      <c r="I3066" t="s">
        <v>14690</v>
      </c>
      <c r="J3066" s="62">
        <v>0</v>
      </c>
      <c r="K3066" s="62">
        <v>0</v>
      </c>
      <c r="L3066" t="str">
        <f>VLOOKUP(VALUE(LEFT(C3066,5)),Xref!A:B,2,0)</f>
        <v>AKC</v>
      </c>
      <c r="M3066" t="str">
        <f t="shared" si="191"/>
        <v>AKC-NET</v>
      </c>
    </row>
    <row r="3067" spans="1:13" ht="14.25" customHeight="true">
      <c r="A3067" s="33" t="str">
        <f t="shared" si="188"/>
        <v>NET - Intercompany</v>
      </c>
      <c r="B3067" s="33" t="str">
        <f t="shared" si="189"/>
        <v>NET</v>
      </c>
      <c r="C3067" s="33" t="str">
        <f t="shared" si="190"/>
        <v>11354-0000</v>
      </c>
      <c r="D3067" t="s">
        <v>24826</v>
      </c>
      <c r="E3067" t="s">
        <v>13538</v>
      </c>
      <c r="F3067" t="s">
        <v>14039</v>
      </c>
      <c r="G3067" t="s">
        <v>14672</v>
      </c>
      <c r="H3067" t="s">
        <v>13869</v>
      </c>
      <c r="I3067" t="s">
        <v>14690</v>
      </c>
      <c r="J3067" s="62">
        <v>0</v>
      </c>
      <c r="K3067" s="62">
        <v>0</v>
      </c>
      <c r="L3067" t="str">
        <f>VLOOKUP(VALUE(LEFT(C3067,5)),Xref!A:B,2,0)</f>
        <v>AKA</v>
      </c>
      <c r="M3067" t="str">
        <f t="shared" si="191"/>
        <v>AKA-NET</v>
      </c>
    </row>
    <row r="3068" spans="1:13" ht="14.25" customHeight="true">
      <c r="A3068" s="33" t="str">
        <f t="shared" si="188"/>
        <v>NET - Intercompany</v>
      </c>
      <c r="B3068" s="33" t="str">
        <f t="shared" si="189"/>
        <v>NET</v>
      </c>
      <c r="C3068" s="33" t="str">
        <f t="shared" si="190"/>
        <v>11355-0000</v>
      </c>
      <c r="D3068" t="s">
        <v>24827</v>
      </c>
      <c r="E3068" t="s">
        <v>13539</v>
      </c>
      <c r="F3068" t="s">
        <v>14039</v>
      </c>
      <c r="G3068" t="s">
        <v>14672</v>
      </c>
      <c r="H3068" t="s">
        <v>13869</v>
      </c>
      <c r="I3068" t="s">
        <v>14690</v>
      </c>
      <c r="J3068" s="62">
        <v>0</v>
      </c>
      <c r="K3068" s="62">
        <v>0</v>
      </c>
      <c r="L3068" t="str">
        <f>VLOOKUP(VALUE(LEFT(C3068,5)),Xref!A:B,2,0)</f>
        <v>SPA</v>
      </c>
      <c r="M3068" t="str">
        <f t="shared" si="191"/>
        <v>NET-SPA</v>
      </c>
    </row>
    <row r="3069" spans="1:13" ht="14.25" customHeight="true">
      <c r="A3069" s="33" t="str">
        <f t="shared" si="188"/>
        <v>NET - Intercompany</v>
      </c>
      <c r="B3069" s="33" t="str">
        <f t="shared" si="189"/>
        <v>NET</v>
      </c>
      <c r="C3069" s="33" t="str">
        <f t="shared" si="190"/>
        <v>11356-0000</v>
      </c>
      <c r="D3069" t="s">
        <v>24828</v>
      </c>
      <c r="E3069" t="s">
        <v>13540</v>
      </c>
      <c r="F3069" t="s">
        <v>14039</v>
      </c>
      <c r="G3069" t="s">
        <v>14672</v>
      </c>
      <c r="H3069" t="s">
        <v>13869</v>
      </c>
      <c r="I3069" t="s">
        <v>14690</v>
      </c>
      <c r="J3069" s="62">
        <v>0</v>
      </c>
      <c r="K3069" s="62">
        <v>0</v>
      </c>
      <c r="L3069" t="str">
        <f>VLOOKUP(VALUE(LEFT(C3069,5)),Xref!A:B,2,0)</f>
        <v>DPM</v>
      </c>
      <c r="M3069" t="str">
        <f t="shared" si="191"/>
        <v>DPM-NET</v>
      </c>
    </row>
    <row r="3070" spans="1:13" ht="14.25" customHeight="true">
      <c r="A3070" s="33" t="str">
        <f t="shared" si="188"/>
        <v>NET - Intercompany</v>
      </c>
      <c r="B3070" s="33" t="str">
        <f t="shared" si="189"/>
        <v>NET</v>
      </c>
      <c r="C3070" s="33" t="str">
        <f t="shared" si="190"/>
        <v>11357-0000</v>
      </c>
      <c r="D3070" t="s">
        <v>24829</v>
      </c>
      <c r="E3070" t="s">
        <v>13541</v>
      </c>
      <c r="F3070" t="s">
        <v>14039</v>
      </c>
      <c r="G3070" t="s">
        <v>14672</v>
      </c>
      <c r="H3070" t="s">
        <v>13869</v>
      </c>
      <c r="I3070" t="s">
        <v>14690</v>
      </c>
      <c r="J3070" s="62">
        <v>0</v>
      </c>
      <c r="K3070" s="62">
        <v>0</v>
      </c>
      <c r="L3070" t="str">
        <f>VLOOKUP(VALUE(LEFT(C3070,5)),Xref!A:B,2,0)</f>
        <v>HDM</v>
      </c>
      <c r="M3070" t="str">
        <f t="shared" si="191"/>
        <v>HDM-NET</v>
      </c>
    </row>
    <row r="3071" spans="1:13" ht="14.25" customHeight="true">
      <c r="A3071" s="33" t="str">
        <f t="shared" si="188"/>
        <v>NET - Intercompany</v>
      </c>
      <c r="B3071" s="33" t="str">
        <f t="shared" si="189"/>
        <v>NET</v>
      </c>
      <c r="C3071" s="33" t="str">
        <f t="shared" si="190"/>
        <v>11358-0000</v>
      </c>
      <c r="D3071" t="s">
        <v>24830</v>
      </c>
      <c r="E3071" t="s">
        <v>13542</v>
      </c>
      <c r="F3071" t="s">
        <v>14039</v>
      </c>
      <c r="G3071" t="s">
        <v>14672</v>
      </c>
      <c r="H3071" t="s">
        <v>13869</v>
      </c>
      <c r="I3071" t="s">
        <v>14690</v>
      </c>
      <c r="J3071" s="62">
        <v>0</v>
      </c>
      <c r="K3071" s="62">
        <v>0</v>
      </c>
      <c r="L3071" t="str">
        <f>VLOOKUP(VALUE(LEFT(C3071,5)),Xref!A:B,2,0)</f>
        <v>GRA</v>
      </c>
      <c r="M3071" t="str">
        <f t="shared" si="191"/>
        <v>GRA-NET</v>
      </c>
    </row>
    <row r="3072" spans="1:13" ht="14.25" customHeight="true">
      <c r="A3072" s="33" t="str">
        <f t="shared" si="188"/>
        <v>NET - Intercompany</v>
      </c>
      <c r="B3072" s="33" t="str">
        <f t="shared" si="189"/>
        <v>NET</v>
      </c>
      <c r="C3072" s="33" t="str">
        <f t="shared" si="190"/>
        <v>11359-0000</v>
      </c>
      <c r="D3072" t="s">
        <v>24831</v>
      </c>
      <c r="E3072" t="s">
        <v>13543</v>
      </c>
      <c r="F3072" t="s">
        <v>14039</v>
      </c>
      <c r="G3072" t="s">
        <v>14672</v>
      </c>
      <c r="H3072" t="s">
        <v>13869</v>
      </c>
      <c r="I3072" t="s">
        <v>14690</v>
      </c>
      <c r="J3072" s="62">
        <v>0</v>
      </c>
      <c r="K3072" s="62">
        <v>0</v>
      </c>
      <c r="L3072" t="str">
        <f>VLOOKUP(VALUE(LEFT(C3072,5)),Xref!A:B,2,0)</f>
        <v>TPI</v>
      </c>
      <c r="M3072" t="str">
        <f t="shared" si="191"/>
        <v>NET-TPI</v>
      </c>
    </row>
    <row r="3073" spans="1:13" ht="14.25" customHeight="true">
      <c r="A3073" s="33" t="str">
        <f t="shared" si="188"/>
        <v>NET - Intercompany</v>
      </c>
      <c r="B3073" s="33" t="str">
        <f t="shared" si="189"/>
        <v>NET</v>
      </c>
      <c r="C3073" s="33" t="str">
        <f t="shared" si="190"/>
        <v>11361-0000</v>
      </c>
      <c r="D3073" t="s">
        <v>24832</v>
      </c>
      <c r="E3073" t="s">
        <v>14165</v>
      </c>
      <c r="F3073" t="s">
        <v>14039</v>
      </c>
      <c r="G3073" t="s">
        <v>14672</v>
      </c>
      <c r="H3073" t="s">
        <v>13869</v>
      </c>
      <c r="I3073" t="s">
        <v>14690</v>
      </c>
      <c r="J3073" s="62">
        <v>0</v>
      </c>
      <c r="K3073" s="62">
        <v>0</v>
      </c>
      <c r="L3073" t="str">
        <f>VLOOKUP(VALUE(LEFT(C3073,5)),Xref!A:B,2,0)</f>
        <v>GSM</v>
      </c>
      <c r="M3073" t="str">
        <f t="shared" si="191"/>
        <v>GSM-NET</v>
      </c>
    </row>
    <row r="3074" spans="1:13" ht="14.25" customHeight="true">
      <c r="A3074" s="33" t="str">
        <f t="shared" ref="A3074:A3137" si="192">B3074&amp;" - "&amp;TRIM(H3074)</f>
        <v>NET - Intercompany</v>
      </c>
      <c r="B3074" s="33" t="str">
        <f t="shared" ref="B3074:B3137" si="193">LEFT(D3074,3)</f>
        <v>NET</v>
      </c>
      <c r="C3074" s="33" t="str">
        <f t="shared" ref="C3074:C3137" si="194">RIGHT(D3074,10)</f>
        <v>11363-0000</v>
      </c>
      <c r="D3074" t="s">
        <v>24833</v>
      </c>
      <c r="E3074" t="s">
        <v>13544</v>
      </c>
      <c r="F3074" t="s">
        <v>14039</v>
      </c>
      <c r="G3074" t="s">
        <v>14672</v>
      </c>
      <c r="H3074" t="s">
        <v>13869</v>
      </c>
      <c r="I3074" t="s">
        <v>14690</v>
      </c>
      <c r="J3074" s="62">
        <v>0</v>
      </c>
      <c r="K3074" s="62">
        <v>0</v>
      </c>
      <c r="L3074" t="str">
        <f>VLOOKUP(VALUE(LEFT(C3074,5)),Xref!A:B,2,0)</f>
        <v>SOF</v>
      </c>
      <c r="M3074" t="str">
        <f t="shared" ref="M3074:M3137" si="195">IF(B3074&lt;L3074,B3074&amp;"-"&amp;L3074,L3074&amp;"-"&amp;B3074)</f>
        <v>NET-SOF</v>
      </c>
    </row>
    <row r="3075" spans="1:13" ht="14.25" customHeight="true">
      <c r="A3075" s="33" t="str">
        <f t="shared" si="192"/>
        <v>NET - Intercompany</v>
      </c>
      <c r="B3075" s="33" t="str">
        <f t="shared" si="193"/>
        <v>NET</v>
      </c>
      <c r="C3075" s="33" t="str">
        <f t="shared" si="194"/>
        <v>11364-0000</v>
      </c>
      <c r="D3075" t="s">
        <v>24834</v>
      </c>
      <c r="E3075" t="s">
        <v>14168</v>
      </c>
      <c r="F3075" t="s">
        <v>14039</v>
      </c>
      <c r="G3075" t="s">
        <v>14672</v>
      </c>
      <c r="H3075" t="s">
        <v>13869</v>
      </c>
      <c r="I3075" t="s">
        <v>14690</v>
      </c>
      <c r="J3075" s="62">
        <v>0</v>
      </c>
      <c r="K3075" s="62">
        <v>0</v>
      </c>
      <c r="L3075" t="e">
        <f>VLOOKUP(VALUE(LEFT(C3075,5)),Xref!A:B,2,0)</f>
        <v>#N/A</v>
      </c>
      <c r="M3075" t="e">
        <f t="shared" si="195"/>
        <v>#N/A</v>
      </c>
    </row>
    <row r="3076" spans="1:13" ht="14.25" customHeight="true">
      <c r="A3076" s="33" t="str">
        <f t="shared" si="192"/>
        <v>NET - Intercompany</v>
      </c>
      <c r="B3076" s="33" t="str">
        <f t="shared" si="193"/>
        <v>NET</v>
      </c>
      <c r="C3076" s="33" t="str">
        <f t="shared" si="194"/>
        <v>11365-0000</v>
      </c>
      <c r="D3076" t="s">
        <v>24835</v>
      </c>
      <c r="E3076" t="s">
        <v>14170</v>
      </c>
      <c r="F3076" t="s">
        <v>14039</v>
      </c>
      <c r="G3076" t="s">
        <v>14672</v>
      </c>
      <c r="H3076" t="s">
        <v>13869</v>
      </c>
      <c r="I3076" t="s">
        <v>14690</v>
      </c>
      <c r="J3076" s="62">
        <v>0</v>
      </c>
      <c r="K3076" s="62">
        <v>0</v>
      </c>
      <c r="L3076" t="e">
        <f>VLOOKUP(VALUE(LEFT(C3076,5)),Xref!A:B,2,0)</f>
        <v>#N/A</v>
      </c>
      <c r="M3076" t="e">
        <f t="shared" si="195"/>
        <v>#N/A</v>
      </c>
    </row>
    <row r="3077" spans="1:13" ht="14.25" customHeight="true">
      <c r="A3077" s="33" t="str">
        <f t="shared" si="192"/>
        <v>NET - Intercompany</v>
      </c>
      <c r="B3077" s="33" t="str">
        <f t="shared" si="193"/>
        <v>NET</v>
      </c>
      <c r="C3077" s="33" t="str">
        <f t="shared" si="194"/>
        <v>11366-0000</v>
      </c>
      <c r="D3077" t="s">
        <v>24836</v>
      </c>
      <c r="E3077" t="s">
        <v>14172</v>
      </c>
      <c r="G3077" t="s">
        <v>14672</v>
      </c>
      <c r="H3077" t="s">
        <v>13869</v>
      </c>
      <c r="I3077" t="s">
        <v>14690</v>
      </c>
      <c r="J3077" s="62">
        <v>0</v>
      </c>
      <c r="K3077" s="62">
        <v>0</v>
      </c>
      <c r="L3077" t="e">
        <f>VLOOKUP(VALUE(LEFT(C3077,5)),Xref!A:B,2,0)</f>
        <v>#N/A</v>
      </c>
      <c r="M3077" t="e">
        <f t="shared" si="195"/>
        <v>#N/A</v>
      </c>
    </row>
    <row r="3078" spans="1:13" ht="14.25" customHeight="true">
      <c r="A3078" s="33" t="str">
        <f t="shared" si="192"/>
        <v>NET - Intercompany</v>
      </c>
      <c r="B3078" s="33" t="str">
        <f t="shared" si="193"/>
        <v>NET</v>
      </c>
      <c r="C3078" s="33" t="str">
        <f t="shared" si="194"/>
        <v>11402-0000</v>
      </c>
      <c r="D3078" t="s">
        <v>24837</v>
      </c>
      <c r="E3078" t="s">
        <v>14174</v>
      </c>
      <c r="G3078" t="s">
        <v>14672</v>
      </c>
      <c r="H3078" t="s">
        <v>13869</v>
      </c>
      <c r="I3078" t="s">
        <v>14690</v>
      </c>
      <c r="J3078" s="62">
        <v>0</v>
      </c>
      <c r="K3078" s="62">
        <v>0</v>
      </c>
      <c r="L3078" t="str">
        <f>VLOOKUP(VALUE(LEFT(C3078,5)),Xref!A:B,2,0)</f>
        <v>DPI</v>
      </c>
      <c r="M3078" t="str">
        <f t="shared" si="195"/>
        <v>DPI-NET</v>
      </c>
    </row>
    <row r="3079" spans="1:13" ht="14.25" customHeight="true">
      <c r="A3079" s="33" t="str">
        <f t="shared" si="192"/>
        <v>NET - Intercompany</v>
      </c>
      <c r="B3079" s="33" t="str">
        <f t="shared" si="193"/>
        <v>NET</v>
      </c>
      <c r="C3079" s="33" t="str">
        <f t="shared" si="194"/>
        <v>11403-0000</v>
      </c>
      <c r="D3079" t="s">
        <v>24838</v>
      </c>
      <c r="E3079" t="s">
        <v>14176</v>
      </c>
      <c r="G3079" t="s">
        <v>14672</v>
      </c>
      <c r="H3079" t="s">
        <v>13869</v>
      </c>
      <c r="I3079" t="s">
        <v>14690</v>
      </c>
      <c r="J3079" s="62">
        <v>0</v>
      </c>
      <c r="K3079" s="62">
        <v>0</v>
      </c>
      <c r="L3079" t="str">
        <f>VLOOKUP(VALUE(LEFT(C3079,5)),Xref!A:B,2,0)</f>
        <v>SEA</v>
      </c>
      <c r="M3079" t="str">
        <f t="shared" si="195"/>
        <v>NET-SEA</v>
      </c>
    </row>
    <row r="3080" spans="1:13" ht="14.25" customHeight="true">
      <c r="A3080" s="33" t="str">
        <f t="shared" si="192"/>
        <v>NET - Intercompany</v>
      </c>
      <c r="B3080" s="33" t="str">
        <f t="shared" si="193"/>
        <v>NET</v>
      </c>
      <c r="C3080" s="33" t="str">
        <f t="shared" si="194"/>
        <v>12400-0000</v>
      </c>
      <c r="D3080" t="s">
        <v>24841</v>
      </c>
      <c r="E3080" t="s">
        <v>14185</v>
      </c>
      <c r="F3080" t="s">
        <v>14039</v>
      </c>
      <c r="G3080" t="s">
        <v>14672</v>
      </c>
      <c r="H3080" t="s">
        <v>13869</v>
      </c>
      <c r="I3080" t="s">
        <v>14690</v>
      </c>
      <c r="J3080" s="62">
        <v>0</v>
      </c>
      <c r="K3080" s="62">
        <v>0</v>
      </c>
      <c r="L3080" t="str">
        <f>VLOOKUP(VALUE(LEFT(C3080,5)),Xref!A:B,2,0)</f>
        <v>aka</v>
      </c>
      <c r="M3080" t="str">
        <f t="shared" si="195"/>
        <v>aka-NET</v>
      </c>
    </row>
    <row r="3081" spans="1:13" ht="14.25" customHeight="true">
      <c r="A3081" s="33" t="str">
        <f t="shared" si="192"/>
        <v>NET - Intercompany</v>
      </c>
      <c r="B3081" s="33" t="str">
        <f t="shared" si="193"/>
        <v>NET</v>
      </c>
      <c r="C3081" s="33" t="str">
        <f t="shared" si="194"/>
        <v>12401-0000</v>
      </c>
      <c r="D3081" t="s">
        <v>24842</v>
      </c>
      <c r="E3081" t="s">
        <v>14187</v>
      </c>
      <c r="F3081" t="s">
        <v>14039</v>
      </c>
      <c r="G3081" t="s">
        <v>14672</v>
      </c>
      <c r="H3081" t="s">
        <v>13869</v>
      </c>
      <c r="I3081" t="s">
        <v>14690</v>
      </c>
      <c r="J3081" s="62">
        <v>0</v>
      </c>
      <c r="K3081" s="62">
        <v>0</v>
      </c>
      <c r="L3081" t="str">
        <f>VLOOKUP(VALUE(LEFT(C3081,5)),Xref!A:B,2,0)</f>
        <v>aka</v>
      </c>
      <c r="M3081" t="str">
        <f t="shared" si="195"/>
        <v>aka-NET</v>
      </c>
    </row>
    <row r="3082" spans="1:13" ht="14.25" customHeight="true">
      <c r="A3082" s="33" t="str">
        <f t="shared" si="192"/>
        <v>NET - Intercompany</v>
      </c>
      <c r="B3082" s="33" t="str">
        <f t="shared" si="193"/>
        <v>NET</v>
      </c>
      <c r="C3082" s="33" t="str">
        <f t="shared" si="194"/>
        <v>12402-0000</v>
      </c>
      <c r="D3082" t="s">
        <v>24843</v>
      </c>
      <c r="E3082" t="s">
        <v>14189</v>
      </c>
      <c r="F3082" t="s">
        <v>14039</v>
      </c>
      <c r="G3082" t="s">
        <v>14672</v>
      </c>
      <c r="H3082" t="s">
        <v>13869</v>
      </c>
      <c r="I3082" t="s">
        <v>14690</v>
      </c>
      <c r="J3082" s="62">
        <v>0</v>
      </c>
      <c r="K3082" s="62">
        <v>0</v>
      </c>
      <c r="L3082" t="str">
        <f>VLOOKUP(VALUE(LEFT(C3082,5)),Xref!A:B,2,0)</f>
        <v>aka</v>
      </c>
      <c r="M3082" t="str">
        <f t="shared" si="195"/>
        <v>aka-NET</v>
      </c>
    </row>
    <row r="3083" spans="1:13" ht="14.25" customHeight="true">
      <c r="A3083" s="33" t="str">
        <f t="shared" si="192"/>
        <v>NET - Intercompany</v>
      </c>
      <c r="B3083" s="33" t="str">
        <f t="shared" si="193"/>
        <v>NET</v>
      </c>
      <c r="C3083" s="33" t="str">
        <f t="shared" si="194"/>
        <v>12403-0000</v>
      </c>
      <c r="D3083" t="s">
        <v>24844</v>
      </c>
      <c r="E3083" t="s">
        <v>5226</v>
      </c>
      <c r="F3083" t="s">
        <v>14039</v>
      </c>
      <c r="G3083" t="s">
        <v>14672</v>
      </c>
      <c r="H3083" t="s">
        <v>13869</v>
      </c>
      <c r="I3083" t="s">
        <v>14690</v>
      </c>
      <c r="J3083" s="62">
        <v>0</v>
      </c>
      <c r="K3083" s="62">
        <v>0</v>
      </c>
      <c r="L3083" t="str">
        <f>VLOOKUP(VALUE(LEFT(C3083,5)),Xref!A:B,2,0)</f>
        <v>aka</v>
      </c>
      <c r="M3083" t="str">
        <f t="shared" si="195"/>
        <v>aka-NET</v>
      </c>
    </row>
    <row r="3084" spans="1:13" ht="14.25" customHeight="true">
      <c r="A3084" s="33" t="str">
        <f t="shared" si="192"/>
        <v>NET - Intercompany</v>
      </c>
      <c r="B3084" s="33" t="str">
        <f t="shared" si="193"/>
        <v>NET</v>
      </c>
      <c r="C3084" s="33" t="str">
        <f t="shared" si="194"/>
        <v>12501-0000</v>
      </c>
      <c r="D3084" t="s">
        <v>24845</v>
      </c>
      <c r="E3084" t="s">
        <v>14192</v>
      </c>
      <c r="F3084" t="s">
        <v>14039</v>
      </c>
      <c r="G3084" t="s">
        <v>14672</v>
      </c>
      <c r="H3084" t="s">
        <v>13869</v>
      </c>
      <c r="I3084" t="s">
        <v>14690</v>
      </c>
      <c r="J3084" s="62">
        <v>0</v>
      </c>
      <c r="K3084" s="62">
        <v>0</v>
      </c>
      <c r="L3084" t="str">
        <f>VLOOKUP(VALUE(LEFT(C3084,5)),Xref!A:B,2,0)</f>
        <v>aka</v>
      </c>
      <c r="M3084" t="str">
        <f t="shared" si="195"/>
        <v>aka-NET</v>
      </c>
    </row>
    <row r="3085" spans="1:13" ht="14.25" customHeight="true">
      <c r="A3085" s="33" t="str">
        <f t="shared" si="192"/>
        <v>NET - InterCo Notes</v>
      </c>
      <c r="B3085" s="33" t="str">
        <f t="shared" si="193"/>
        <v>NET</v>
      </c>
      <c r="C3085" s="33" t="str">
        <f t="shared" si="194"/>
        <v>25600-0000</v>
      </c>
      <c r="D3085" t="s">
        <v>24893</v>
      </c>
      <c r="E3085" t="s">
        <v>314</v>
      </c>
      <c r="F3085" t="s">
        <v>14039</v>
      </c>
      <c r="G3085" t="s">
        <v>14672</v>
      </c>
      <c r="H3085" t="s">
        <v>13889</v>
      </c>
      <c r="I3085" t="s">
        <v>14690</v>
      </c>
      <c r="J3085" s="62">
        <v>0</v>
      </c>
      <c r="K3085" s="62">
        <v>-568625</v>
      </c>
      <c r="L3085" t="str">
        <f>VLOOKUP(VALUE(LEFT(C3085,5)),Xref!A:B,2,0)</f>
        <v>D7</v>
      </c>
      <c r="M3085" t="str">
        <f t="shared" si="195"/>
        <v>D7-NET</v>
      </c>
    </row>
    <row r="3086" spans="1:13" ht="14.25" customHeight="true">
      <c r="A3086" s="33" t="str">
        <f t="shared" si="192"/>
        <v>NET - InterCo Notes</v>
      </c>
      <c r="B3086" s="33" t="str">
        <f t="shared" si="193"/>
        <v>NET</v>
      </c>
      <c r="C3086" s="33" t="str">
        <f t="shared" si="194"/>
        <v>25602-0000</v>
      </c>
      <c r="D3086" t="s">
        <v>24895</v>
      </c>
      <c r="E3086" t="s">
        <v>13426</v>
      </c>
      <c r="F3086" t="s">
        <v>14039</v>
      </c>
      <c r="G3086" t="s">
        <v>14672</v>
      </c>
      <c r="H3086" t="s">
        <v>13889</v>
      </c>
      <c r="I3086" t="s">
        <v>14690</v>
      </c>
      <c r="J3086" s="62">
        <v>0</v>
      </c>
      <c r="K3086" s="62">
        <v>-5500000</v>
      </c>
      <c r="L3086" t="str">
        <f>VLOOKUP(VALUE(LEFT(C3086,5)),Xref!A:B,2,0)</f>
        <v>DFLP</v>
      </c>
      <c r="M3086" t="str">
        <f t="shared" si="195"/>
        <v>DFLP-NET</v>
      </c>
    </row>
    <row r="3087" spans="1:13" ht="14.25" customHeight="true">
      <c r="A3087" s="33" t="str">
        <f t="shared" si="192"/>
        <v>NET - InterCo Notes</v>
      </c>
      <c r="B3087" s="33" t="str">
        <f t="shared" si="193"/>
        <v>NET</v>
      </c>
      <c r="C3087" s="33" t="str">
        <f t="shared" si="194"/>
        <v>25603-0000</v>
      </c>
      <c r="D3087" t="s">
        <v>24896</v>
      </c>
      <c r="E3087" t="s">
        <v>14311</v>
      </c>
      <c r="F3087" t="s">
        <v>14039</v>
      </c>
      <c r="G3087" t="s">
        <v>14832</v>
      </c>
      <c r="H3087" t="s">
        <v>13889</v>
      </c>
      <c r="I3087" t="s">
        <v>14690</v>
      </c>
      <c r="J3087" s="62">
        <v>0</v>
      </c>
      <c r="K3087" s="62">
        <v>0</v>
      </c>
      <c r="L3087" t="str">
        <f>VLOOKUP(VALUE(LEFT(C3087,5)),Xref!A:B,2,0)</f>
        <v>aka</v>
      </c>
      <c r="M3087" t="str">
        <f t="shared" si="195"/>
        <v>aka-NET</v>
      </c>
    </row>
    <row r="3088" spans="1:13" ht="14.25" customHeight="true">
      <c r="A3088" s="33" t="str">
        <f t="shared" si="192"/>
        <v>NET - Intercompany</v>
      </c>
      <c r="B3088" s="33" t="str">
        <f t="shared" si="193"/>
        <v>NET</v>
      </c>
      <c r="C3088" s="33" t="str">
        <f t="shared" si="194"/>
        <v>25604-0000</v>
      </c>
      <c r="D3088" t="s">
        <v>24897</v>
      </c>
      <c r="E3088" t="s">
        <v>13490</v>
      </c>
      <c r="F3088" t="s">
        <v>14039</v>
      </c>
      <c r="G3088" t="s">
        <v>14672</v>
      </c>
      <c r="H3088" t="s">
        <v>13869</v>
      </c>
      <c r="I3088" t="s">
        <v>14690</v>
      </c>
      <c r="J3088" s="62">
        <v>0</v>
      </c>
      <c r="K3088" s="62">
        <v>0</v>
      </c>
      <c r="L3088">
        <f>VLOOKUP(VALUE(LEFT(C3088,5)),Xref!A:B,2,0)</f>
        <v>0</v>
      </c>
      <c r="M3088" t="str">
        <f t="shared" si="195"/>
        <v>0-NET</v>
      </c>
    </row>
    <row r="3089" spans="1:13" ht="14.25" customHeight="true">
      <c r="A3089" s="33" t="str">
        <f t="shared" si="192"/>
        <v>NEW - Intercompany</v>
      </c>
      <c r="B3089" s="33" t="str">
        <f t="shared" si="193"/>
        <v>NEW</v>
      </c>
      <c r="C3089" s="33" t="str">
        <f t="shared" si="194"/>
        <v>11200-0000</v>
      </c>
      <c r="D3089" t="s">
        <v>25064</v>
      </c>
      <c r="E3089" t="s">
        <v>14069</v>
      </c>
      <c r="F3089" t="s">
        <v>14039</v>
      </c>
      <c r="G3089" t="s">
        <v>14672</v>
      </c>
      <c r="H3089" t="s">
        <v>13869</v>
      </c>
      <c r="I3089" t="s">
        <v>14690</v>
      </c>
      <c r="J3089" s="62">
        <v>0</v>
      </c>
      <c r="K3089" s="62">
        <v>0</v>
      </c>
      <c r="L3089" t="str">
        <f>VLOOKUP(VALUE(LEFT(C3089,5)),Xref!A:B,2,0)</f>
        <v>SCL</v>
      </c>
      <c r="M3089" t="str">
        <f t="shared" si="195"/>
        <v>NEW-SCL</v>
      </c>
    </row>
    <row r="3090" spans="1:13" ht="14.25" customHeight="true">
      <c r="A3090" s="33" t="str">
        <f t="shared" si="192"/>
        <v>NEW - Intercompany</v>
      </c>
      <c r="B3090" s="33" t="str">
        <f t="shared" si="193"/>
        <v>NEW</v>
      </c>
      <c r="C3090" s="33" t="str">
        <f t="shared" si="194"/>
        <v>11201-0000</v>
      </c>
      <c r="D3090" t="s">
        <v>25065</v>
      </c>
      <c r="E3090" t="s">
        <v>14071</v>
      </c>
      <c r="F3090" t="s">
        <v>14039</v>
      </c>
      <c r="G3090" t="s">
        <v>14672</v>
      </c>
      <c r="H3090" t="s">
        <v>13869</v>
      </c>
      <c r="I3090" t="s">
        <v>14690</v>
      </c>
      <c r="J3090" s="62">
        <v>0</v>
      </c>
      <c r="K3090" s="62">
        <v>0</v>
      </c>
      <c r="L3090" t="str">
        <f>VLOOKUP(VALUE(LEFT(C3090,5)),Xref!A:B,2,0)</f>
        <v>SG2</v>
      </c>
      <c r="M3090" t="str">
        <f t="shared" si="195"/>
        <v>NEW-SG2</v>
      </c>
    </row>
    <row r="3091" spans="1:13" ht="14.25" customHeight="true">
      <c r="A3091" s="33" t="str">
        <f t="shared" si="192"/>
        <v>NEW - Intercompany</v>
      </c>
      <c r="B3091" s="33" t="str">
        <f t="shared" si="193"/>
        <v>NEW</v>
      </c>
      <c r="C3091" s="33" t="str">
        <f t="shared" si="194"/>
        <v>11202-0000</v>
      </c>
      <c r="D3091" t="s">
        <v>25066</v>
      </c>
      <c r="E3091" t="s">
        <v>14073</v>
      </c>
      <c r="F3091" t="s">
        <v>14039</v>
      </c>
      <c r="G3091" t="s">
        <v>14672</v>
      </c>
      <c r="H3091" t="s">
        <v>13869</v>
      </c>
      <c r="I3091" t="s">
        <v>14690</v>
      </c>
      <c r="J3091" s="62">
        <v>0</v>
      </c>
      <c r="K3091" s="62">
        <v>0</v>
      </c>
      <c r="L3091" t="str">
        <f>VLOOKUP(VALUE(LEFT(C3091,5)),Xref!A:B,2,0)</f>
        <v>FFC</v>
      </c>
      <c r="M3091" t="str">
        <f t="shared" si="195"/>
        <v>FFC-NEW</v>
      </c>
    </row>
    <row r="3092" spans="1:13" ht="14.25" customHeight="true">
      <c r="A3092" s="33" t="str">
        <f t="shared" si="192"/>
        <v>NEW - Intercompany</v>
      </c>
      <c r="B3092" s="33" t="str">
        <f t="shared" si="193"/>
        <v>NEW</v>
      </c>
      <c r="C3092" s="33" t="str">
        <f t="shared" si="194"/>
        <v>11203-0000</v>
      </c>
      <c r="D3092" t="s">
        <v>25067</v>
      </c>
      <c r="E3092" t="s">
        <v>14075</v>
      </c>
      <c r="F3092" t="s">
        <v>14039</v>
      </c>
      <c r="G3092" t="s">
        <v>14672</v>
      </c>
      <c r="H3092" t="s">
        <v>13869</v>
      </c>
      <c r="I3092" t="s">
        <v>14690</v>
      </c>
      <c r="J3092" s="62">
        <v>0</v>
      </c>
      <c r="K3092" s="62">
        <v>0</v>
      </c>
      <c r="L3092" t="str">
        <f>VLOOKUP(VALUE(LEFT(C3092,5)),Xref!A:B,2,0)</f>
        <v>HN2</v>
      </c>
      <c r="M3092" t="str">
        <f t="shared" si="195"/>
        <v>HN2-NEW</v>
      </c>
    </row>
    <row r="3093" spans="1:13" ht="14.25" customHeight="true">
      <c r="A3093" s="33" t="str">
        <f t="shared" si="192"/>
        <v>NEW - Intercompany</v>
      </c>
      <c r="B3093" s="33" t="str">
        <f t="shared" si="193"/>
        <v>NEW</v>
      </c>
      <c r="C3093" s="33" t="str">
        <f t="shared" si="194"/>
        <v>11204-0000</v>
      </c>
      <c r="D3093" t="s">
        <v>25068</v>
      </c>
      <c r="E3093" t="s">
        <v>14077</v>
      </c>
      <c r="F3093" t="s">
        <v>14039</v>
      </c>
      <c r="G3093" t="s">
        <v>14672</v>
      </c>
      <c r="H3093" t="s">
        <v>13869</v>
      </c>
      <c r="I3093" t="s">
        <v>14690</v>
      </c>
      <c r="J3093" s="62">
        <v>0</v>
      </c>
      <c r="K3093" s="62">
        <v>0</v>
      </c>
      <c r="L3093" t="str">
        <f>VLOOKUP(VALUE(LEFT(C3093,5)),Xref!A:B,2,0)</f>
        <v>DF2</v>
      </c>
      <c r="M3093" t="str">
        <f t="shared" si="195"/>
        <v>DF2-NEW</v>
      </c>
    </row>
    <row r="3094" spans="1:13" ht="14.25" customHeight="true">
      <c r="A3094" s="33" t="str">
        <f t="shared" si="192"/>
        <v>NEW - Intercompany</v>
      </c>
      <c r="B3094" s="33" t="str">
        <f t="shared" si="193"/>
        <v>NEW</v>
      </c>
      <c r="C3094" s="33" t="str">
        <f t="shared" si="194"/>
        <v>11208-0000</v>
      </c>
      <c r="D3094" t="s">
        <v>25069</v>
      </c>
      <c r="E3094" t="s">
        <v>14079</v>
      </c>
      <c r="F3094" t="s">
        <v>14039</v>
      </c>
      <c r="G3094" t="s">
        <v>14672</v>
      </c>
      <c r="H3094" t="s">
        <v>13869</v>
      </c>
      <c r="I3094" t="s">
        <v>14690</v>
      </c>
      <c r="J3094" s="62">
        <v>0</v>
      </c>
      <c r="K3094" s="62">
        <v>0</v>
      </c>
      <c r="L3094" t="str">
        <f>VLOOKUP(VALUE(LEFT(C3094,5)),Xref!A:B,2,0)</f>
        <v>SRE</v>
      </c>
      <c r="M3094" t="str">
        <f t="shared" si="195"/>
        <v>NEW-SRE</v>
      </c>
    </row>
    <row r="3095" spans="1:13" ht="14.25" customHeight="true">
      <c r="A3095" s="33" t="str">
        <f t="shared" si="192"/>
        <v>NEW - Intercompany</v>
      </c>
      <c r="B3095" s="33" t="str">
        <f t="shared" si="193"/>
        <v>NEW</v>
      </c>
      <c r="C3095" s="33" t="str">
        <f t="shared" si="194"/>
        <v>11210-0000</v>
      </c>
      <c r="D3095" t="s">
        <v>25070</v>
      </c>
      <c r="E3095" t="s">
        <v>14081</v>
      </c>
      <c r="F3095" t="s">
        <v>14039</v>
      </c>
      <c r="G3095" t="s">
        <v>14672</v>
      </c>
      <c r="H3095" t="s">
        <v>13869</v>
      </c>
      <c r="I3095" t="s">
        <v>14690</v>
      </c>
      <c r="J3095" s="62">
        <v>0</v>
      </c>
      <c r="K3095" s="62">
        <v>0</v>
      </c>
      <c r="L3095" t="str">
        <f>VLOOKUP(VALUE(LEFT(C3095,5)),Xref!A:B,2,0)</f>
        <v>REM</v>
      </c>
      <c r="M3095" t="str">
        <f t="shared" si="195"/>
        <v>NEW-REM</v>
      </c>
    </row>
    <row r="3096" spans="1:13" ht="14.25" customHeight="true">
      <c r="A3096" s="33" t="str">
        <f t="shared" si="192"/>
        <v>NEW - Intercompany</v>
      </c>
      <c r="B3096" s="33" t="str">
        <f t="shared" si="193"/>
        <v>NEW</v>
      </c>
      <c r="C3096" s="33" t="str">
        <f t="shared" si="194"/>
        <v>11212-0000</v>
      </c>
      <c r="D3096" t="s">
        <v>25071</v>
      </c>
      <c r="E3096" t="s">
        <v>14083</v>
      </c>
      <c r="F3096" t="s">
        <v>14039</v>
      </c>
      <c r="G3096" t="s">
        <v>14672</v>
      </c>
      <c r="H3096" t="s">
        <v>13869</v>
      </c>
      <c r="I3096" t="s">
        <v>14690</v>
      </c>
      <c r="J3096" s="62">
        <v>0</v>
      </c>
      <c r="K3096" s="62">
        <v>0</v>
      </c>
      <c r="L3096" t="str">
        <f>VLOOKUP(VALUE(LEFT(C3096,5)),Xref!A:B,2,0)</f>
        <v>FRM</v>
      </c>
      <c r="M3096" t="str">
        <f t="shared" si="195"/>
        <v>FRM-NEW</v>
      </c>
    </row>
    <row r="3097" spans="1:13" ht="14.25" customHeight="true">
      <c r="A3097" s="33" t="str">
        <f t="shared" si="192"/>
        <v>NEW - Intercompany</v>
      </c>
      <c r="B3097" s="33" t="str">
        <f t="shared" si="193"/>
        <v>NEW</v>
      </c>
      <c r="C3097" s="33" t="str">
        <f t="shared" si="194"/>
        <v>11214-0000</v>
      </c>
      <c r="D3097" t="s">
        <v>25072</v>
      </c>
      <c r="E3097" t="s">
        <v>14085</v>
      </c>
      <c r="F3097" t="s">
        <v>14039</v>
      </c>
      <c r="G3097" t="s">
        <v>14672</v>
      </c>
      <c r="H3097" t="s">
        <v>13869</v>
      </c>
      <c r="I3097" t="s">
        <v>14690</v>
      </c>
      <c r="J3097" s="62">
        <v>0</v>
      </c>
      <c r="K3097" s="62">
        <v>0</v>
      </c>
      <c r="L3097" t="str">
        <f>VLOOKUP(VALUE(LEFT(C3097,5)),Xref!A:B,2,0)</f>
        <v>D7R</v>
      </c>
      <c r="M3097" t="str">
        <f t="shared" si="195"/>
        <v>D7R-NEW</v>
      </c>
    </row>
    <row r="3098" spans="1:13" ht="14.25" customHeight="true">
      <c r="A3098" s="33" t="str">
        <f t="shared" si="192"/>
        <v>NEW - Intercompany</v>
      </c>
      <c r="B3098" s="33" t="str">
        <f t="shared" si="193"/>
        <v>NEW</v>
      </c>
      <c r="C3098" s="33" t="str">
        <f t="shared" si="194"/>
        <v>11215-0000</v>
      </c>
      <c r="D3098" t="s">
        <v>25073</v>
      </c>
      <c r="E3098" t="s">
        <v>14087</v>
      </c>
      <c r="F3098" t="s">
        <v>14039</v>
      </c>
      <c r="G3098" t="s">
        <v>14672</v>
      </c>
      <c r="H3098" t="s">
        <v>13869</v>
      </c>
      <c r="I3098" t="s">
        <v>14690</v>
      </c>
      <c r="J3098" s="62">
        <v>0</v>
      </c>
      <c r="K3098" s="62">
        <v>0</v>
      </c>
      <c r="L3098" t="str">
        <f>VLOOKUP(VALUE(LEFT(C3098,5)),Xref!A:B,2,0)</f>
        <v>CDP</v>
      </c>
      <c r="M3098" t="str">
        <f t="shared" si="195"/>
        <v>CDP-NEW</v>
      </c>
    </row>
    <row r="3099" spans="1:13" ht="14.25" customHeight="true">
      <c r="A3099" s="33" t="str">
        <f t="shared" si="192"/>
        <v>NEW - Intercompany</v>
      </c>
      <c r="B3099" s="33" t="str">
        <f t="shared" si="193"/>
        <v>NEW</v>
      </c>
      <c r="C3099" s="33" t="str">
        <f t="shared" si="194"/>
        <v>11216-0000</v>
      </c>
      <c r="D3099" t="s">
        <v>1749</v>
      </c>
      <c r="E3099" t="s">
        <v>13224</v>
      </c>
      <c r="F3099" t="s">
        <v>14039</v>
      </c>
      <c r="G3099" t="s">
        <v>14672</v>
      </c>
      <c r="H3099" t="s">
        <v>13869</v>
      </c>
      <c r="I3099" t="s">
        <v>14690</v>
      </c>
      <c r="J3099" s="62">
        <v>-5471.16</v>
      </c>
      <c r="K3099" s="62">
        <v>-36916.22</v>
      </c>
      <c r="L3099" t="str">
        <f>VLOOKUP(VALUE(LEFT(C3099,5)),Xref!A:B,2,0)</f>
        <v>SIL</v>
      </c>
      <c r="M3099" t="str">
        <f t="shared" si="195"/>
        <v>NEW-SIL</v>
      </c>
    </row>
    <row r="3100" spans="1:13" ht="14.25" customHeight="true">
      <c r="A3100" s="33" t="str">
        <f t="shared" si="192"/>
        <v>NEW - Intercompany</v>
      </c>
      <c r="B3100" s="33" t="str">
        <f t="shared" si="193"/>
        <v>NEW</v>
      </c>
      <c r="C3100" s="33" t="str">
        <f t="shared" si="194"/>
        <v>11232-0000</v>
      </c>
      <c r="D3100" t="s">
        <v>25074</v>
      </c>
      <c r="E3100" t="s">
        <v>12486</v>
      </c>
      <c r="F3100" t="s">
        <v>14039</v>
      </c>
      <c r="G3100" t="s">
        <v>14672</v>
      </c>
      <c r="H3100" t="s">
        <v>13869</v>
      </c>
      <c r="I3100" t="s">
        <v>14690</v>
      </c>
      <c r="J3100" s="62">
        <v>0</v>
      </c>
      <c r="K3100" s="62">
        <v>0</v>
      </c>
      <c r="L3100" t="str">
        <f>VLOOKUP(VALUE(LEFT(C3100,5)),Xref!A:B,2,0)</f>
        <v>SC2</v>
      </c>
      <c r="M3100" t="str">
        <f t="shared" si="195"/>
        <v>NEW-SC2</v>
      </c>
    </row>
    <row r="3101" spans="1:13" ht="14.25" customHeight="true">
      <c r="A3101" s="33" t="str">
        <f t="shared" si="192"/>
        <v>NEW - Intercompany</v>
      </c>
      <c r="B3101" s="33" t="str">
        <f t="shared" si="193"/>
        <v>NEW</v>
      </c>
      <c r="C3101" s="33" t="str">
        <f t="shared" si="194"/>
        <v>11301-0000</v>
      </c>
      <c r="D3101" t="s">
        <v>25075</v>
      </c>
      <c r="E3101" t="s">
        <v>13225</v>
      </c>
      <c r="F3101" t="s">
        <v>14039</v>
      </c>
      <c r="G3101" t="s">
        <v>14672</v>
      </c>
      <c r="H3101" t="s">
        <v>13869</v>
      </c>
      <c r="I3101" t="s">
        <v>14690</v>
      </c>
      <c r="J3101" s="62">
        <v>0</v>
      </c>
      <c r="K3101" s="62">
        <v>0</v>
      </c>
      <c r="L3101" t="str">
        <f>VLOOKUP(VALUE(LEFT(C3101,5)),Xref!A:B,2,0)</f>
        <v>CRE</v>
      </c>
      <c r="M3101" t="str">
        <f t="shared" si="195"/>
        <v>CRE-NEW</v>
      </c>
    </row>
    <row r="3102" spans="1:13" ht="14.25" customHeight="true">
      <c r="A3102" s="33" t="str">
        <f t="shared" si="192"/>
        <v>NEW - Intercompany</v>
      </c>
      <c r="B3102" s="33" t="str">
        <f t="shared" si="193"/>
        <v>NEW</v>
      </c>
      <c r="C3102" s="33" t="str">
        <f t="shared" si="194"/>
        <v>11302-0000</v>
      </c>
      <c r="D3102" t="s">
        <v>1750</v>
      </c>
      <c r="E3102" t="s">
        <v>13226</v>
      </c>
      <c r="F3102" t="s">
        <v>14039</v>
      </c>
      <c r="G3102" t="s">
        <v>14672</v>
      </c>
      <c r="H3102" t="s">
        <v>13869</v>
      </c>
      <c r="I3102" t="s">
        <v>14690</v>
      </c>
      <c r="J3102" s="62">
        <v>0</v>
      </c>
      <c r="K3102" s="62">
        <v>-50300</v>
      </c>
      <c r="L3102" t="str">
        <f>VLOOKUP(VALUE(LEFT(C3102,5)),Xref!A:B,2,0)</f>
        <v>CHA</v>
      </c>
      <c r="M3102" t="str">
        <f t="shared" si="195"/>
        <v>CHA-NEW</v>
      </c>
    </row>
    <row r="3103" spans="1:13" ht="14.25" customHeight="true">
      <c r="A3103" s="33" t="str">
        <f t="shared" si="192"/>
        <v>NEW - Intercompany</v>
      </c>
      <c r="B3103" s="33" t="str">
        <f t="shared" si="193"/>
        <v>NEW</v>
      </c>
      <c r="C3103" s="33" t="str">
        <f t="shared" si="194"/>
        <v>11303-0000</v>
      </c>
      <c r="D3103" t="s">
        <v>1752</v>
      </c>
      <c r="E3103" t="s">
        <v>13227</v>
      </c>
      <c r="F3103" t="s">
        <v>14039</v>
      </c>
      <c r="G3103" t="s">
        <v>14672</v>
      </c>
      <c r="H3103" t="s">
        <v>13869</v>
      </c>
      <c r="I3103" t="s">
        <v>14690</v>
      </c>
      <c r="J3103" s="62">
        <v>0</v>
      </c>
      <c r="K3103" s="62">
        <v>-40000</v>
      </c>
      <c r="L3103" t="str">
        <f>VLOOKUP(VALUE(LEFT(C3103,5)),Xref!A:B,2,0)</f>
        <v>DIA</v>
      </c>
      <c r="M3103" t="str">
        <f t="shared" si="195"/>
        <v>DIA-NEW</v>
      </c>
    </row>
    <row r="3104" spans="1:13" ht="14.25" customHeight="true">
      <c r="A3104" s="33" t="str">
        <f t="shared" si="192"/>
        <v>NEW - Intercompany</v>
      </c>
      <c r="B3104" s="33" t="str">
        <f t="shared" si="193"/>
        <v>NEW</v>
      </c>
      <c r="C3104" s="33" t="str">
        <f t="shared" si="194"/>
        <v>11304-0000</v>
      </c>
      <c r="D3104" t="s">
        <v>1753</v>
      </c>
      <c r="E3104" t="s">
        <v>13228</v>
      </c>
      <c r="F3104" t="s">
        <v>14039</v>
      </c>
      <c r="G3104" t="s">
        <v>14672</v>
      </c>
      <c r="H3104" t="s">
        <v>13869</v>
      </c>
      <c r="I3104" t="s">
        <v>14690</v>
      </c>
      <c r="J3104" s="62">
        <v>0</v>
      </c>
      <c r="K3104" s="62">
        <v>-30000</v>
      </c>
      <c r="L3104" t="str">
        <f>VLOOKUP(VALUE(LEFT(C3104,5)),Xref!A:B,2,0)</f>
        <v>EAG</v>
      </c>
      <c r="M3104" t="str">
        <f t="shared" si="195"/>
        <v>EAG-NEW</v>
      </c>
    </row>
    <row r="3105" spans="1:13" ht="14.25" customHeight="true">
      <c r="A3105" s="33" t="str">
        <f t="shared" si="192"/>
        <v>NEW - Intercompany</v>
      </c>
      <c r="B3105" s="33" t="str">
        <f t="shared" si="193"/>
        <v>NEW</v>
      </c>
      <c r="C3105" s="33" t="str">
        <f t="shared" si="194"/>
        <v>11305-0000</v>
      </c>
      <c r="D3105" t="s">
        <v>25076</v>
      </c>
      <c r="E3105" t="s">
        <v>13229</v>
      </c>
      <c r="F3105" t="s">
        <v>14039</v>
      </c>
      <c r="G3105" t="s">
        <v>14672</v>
      </c>
      <c r="H3105" t="s">
        <v>13869</v>
      </c>
      <c r="I3105" t="s">
        <v>14690</v>
      </c>
      <c r="J3105" s="62">
        <v>0</v>
      </c>
      <c r="K3105" s="62">
        <v>0</v>
      </c>
      <c r="L3105" t="str">
        <f>VLOOKUP(VALUE(LEFT(C3105,5)),Xref!A:B,2,0)</f>
        <v>NEW</v>
      </c>
      <c r="M3105" t="str">
        <f t="shared" si="195"/>
        <v>NEW-NEW</v>
      </c>
    </row>
    <row r="3106" spans="1:13" ht="14.25" customHeight="true">
      <c r="A3106" s="33" t="str">
        <f t="shared" si="192"/>
        <v>NEW - Intercompany</v>
      </c>
      <c r="B3106" s="33" t="str">
        <f t="shared" si="193"/>
        <v>NEW</v>
      </c>
      <c r="C3106" s="33" t="str">
        <f t="shared" si="194"/>
        <v>11307-0000</v>
      </c>
      <c r="D3106" t="s">
        <v>25077</v>
      </c>
      <c r="E3106" t="s">
        <v>14096</v>
      </c>
      <c r="F3106" t="s">
        <v>14039</v>
      </c>
      <c r="G3106" t="s">
        <v>14672</v>
      </c>
      <c r="H3106" t="s">
        <v>13869</v>
      </c>
      <c r="I3106" t="s">
        <v>14690</v>
      </c>
      <c r="J3106" s="62">
        <v>0</v>
      </c>
      <c r="K3106" s="62">
        <v>0</v>
      </c>
      <c r="L3106" t="str">
        <f>VLOOKUP(VALUE(LEFT(C3106,5)),Xref!A:B,2,0)</f>
        <v>NES</v>
      </c>
      <c r="M3106" t="str">
        <f t="shared" si="195"/>
        <v>NES-NEW</v>
      </c>
    </row>
    <row r="3107" spans="1:13" ht="14.25" customHeight="true">
      <c r="A3107" s="33" t="str">
        <f t="shared" si="192"/>
        <v>NEW - Intercompany</v>
      </c>
      <c r="B3107" s="33" t="str">
        <f t="shared" si="193"/>
        <v>NEW</v>
      </c>
      <c r="C3107" s="33" t="str">
        <f t="shared" si="194"/>
        <v>11308-0000</v>
      </c>
      <c r="D3107" t="s">
        <v>25078</v>
      </c>
      <c r="E3107" t="s">
        <v>13476</v>
      </c>
      <c r="F3107" t="s">
        <v>14039</v>
      </c>
      <c r="G3107" t="s">
        <v>14672</v>
      </c>
      <c r="H3107" t="s">
        <v>13869</v>
      </c>
      <c r="I3107" t="s">
        <v>14690</v>
      </c>
      <c r="J3107" s="62">
        <v>0</v>
      </c>
      <c r="K3107" s="62">
        <v>0</v>
      </c>
      <c r="L3107" t="str">
        <f>VLOOKUP(VALUE(LEFT(C3107,5)),Xref!A:B,2,0)</f>
        <v>LPI</v>
      </c>
      <c r="M3107" t="str">
        <f t="shared" si="195"/>
        <v>LPI-NEW</v>
      </c>
    </row>
    <row r="3108" spans="1:13" ht="14.25" customHeight="true">
      <c r="A3108" s="33" t="str">
        <f t="shared" si="192"/>
        <v>NEW - Intercompany</v>
      </c>
      <c r="B3108" s="33" t="str">
        <f t="shared" si="193"/>
        <v>NEW</v>
      </c>
      <c r="C3108" s="33" t="str">
        <f t="shared" si="194"/>
        <v>11309-0000</v>
      </c>
      <c r="D3108" t="s">
        <v>1754</v>
      </c>
      <c r="E3108" t="s">
        <v>13230</v>
      </c>
      <c r="F3108" t="s">
        <v>14039</v>
      </c>
      <c r="G3108" t="s">
        <v>14672</v>
      </c>
      <c r="H3108" t="s">
        <v>13869</v>
      </c>
      <c r="I3108" t="s">
        <v>14690</v>
      </c>
      <c r="J3108" s="62">
        <v>0</v>
      </c>
      <c r="K3108" s="62">
        <v>6000</v>
      </c>
      <c r="L3108" t="str">
        <f>VLOOKUP(VALUE(LEFT(C3108,5)),Xref!A:B,2,0)</f>
        <v>GPI</v>
      </c>
      <c r="M3108" t="str">
        <f t="shared" si="195"/>
        <v>GPI-NEW</v>
      </c>
    </row>
    <row r="3109" spans="1:13" ht="14.25" customHeight="true">
      <c r="A3109" s="33" t="str">
        <f t="shared" si="192"/>
        <v>NEW - Intercompany</v>
      </c>
      <c r="B3109" s="33" t="str">
        <f t="shared" si="193"/>
        <v>NEW</v>
      </c>
      <c r="C3109" s="33" t="str">
        <f t="shared" si="194"/>
        <v>11310-0000</v>
      </c>
      <c r="D3109" t="s">
        <v>1755</v>
      </c>
      <c r="E3109" t="s">
        <v>13231</v>
      </c>
      <c r="F3109" t="s">
        <v>14039</v>
      </c>
      <c r="G3109" t="s">
        <v>14672</v>
      </c>
      <c r="H3109" t="s">
        <v>13869</v>
      </c>
      <c r="I3109" t="s">
        <v>14690</v>
      </c>
      <c r="J3109" s="62">
        <v>0</v>
      </c>
      <c r="K3109" s="62">
        <v>-165000</v>
      </c>
      <c r="L3109" t="str">
        <f>VLOOKUP(VALUE(LEFT(C3109,5)),Xref!A:B,2,0)</f>
        <v>ALP</v>
      </c>
      <c r="M3109" t="str">
        <f t="shared" si="195"/>
        <v>ALP-NEW</v>
      </c>
    </row>
    <row r="3110" spans="1:13" ht="14.25" customHeight="true">
      <c r="A3110" s="33" t="str">
        <f t="shared" si="192"/>
        <v>NEW - Intercompany</v>
      </c>
      <c r="B3110" s="33" t="str">
        <f t="shared" si="193"/>
        <v>NEW</v>
      </c>
      <c r="C3110" s="33" t="str">
        <f t="shared" si="194"/>
        <v>11311-0000</v>
      </c>
      <c r="D3110" t="s">
        <v>25079</v>
      </c>
      <c r="E3110" t="s">
        <v>13232</v>
      </c>
      <c r="F3110" t="s">
        <v>14039</v>
      </c>
      <c r="G3110" t="s">
        <v>14672</v>
      </c>
      <c r="H3110" t="s">
        <v>13869</v>
      </c>
      <c r="I3110" t="s">
        <v>14690</v>
      </c>
      <c r="J3110" s="62">
        <v>0</v>
      </c>
      <c r="K3110" s="62">
        <v>0</v>
      </c>
      <c r="L3110" t="str">
        <f>VLOOKUP(VALUE(LEFT(C3110,5)),Xref!A:B,2,0)</f>
        <v>BET</v>
      </c>
      <c r="M3110" t="str">
        <f t="shared" si="195"/>
        <v>BET-NEW</v>
      </c>
    </row>
    <row r="3111" spans="1:13" ht="14.25" customHeight="true">
      <c r="A3111" s="33" t="str">
        <f t="shared" si="192"/>
        <v>NEW - Intercompany</v>
      </c>
      <c r="B3111" s="33" t="str">
        <f t="shared" si="193"/>
        <v>NEW</v>
      </c>
      <c r="C3111" s="33" t="str">
        <f t="shared" si="194"/>
        <v>11312-0000</v>
      </c>
      <c r="D3111" t="s">
        <v>25080</v>
      </c>
      <c r="E3111" t="s">
        <v>14102</v>
      </c>
      <c r="F3111" t="s">
        <v>14039</v>
      </c>
      <c r="G3111" t="s">
        <v>14672</v>
      </c>
      <c r="H3111" t="s">
        <v>13869</v>
      </c>
      <c r="I3111" t="s">
        <v>14690</v>
      </c>
      <c r="J3111" s="62">
        <v>0</v>
      </c>
      <c r="K3111" s="62">
        <v>0</v>
      </c>
      <c r="L3111" t="str">
        <f>VLOOKUP(VALUE(LEFT(C3111,5)),Xref!A:B,2,0)</f>
        <v>DEL</v>
      </c>
      <c r="M3111" t="str">
        <f t="shared" si="195"/>
        <v>DEL-NEW</v>
      </c>
    </row>
    <row r="3112" spans="1:13" ht="14.25" customHeight="true">
      <c r="A3112" s="33" t="str">
        <f t="shared" si="192"/>
        <v>NEW - Intercompany</v>
      </c>
      <c r="B3112" s="33" t="str">
        <f t="shared" si="193"/>
        <v>NEW</v>
      </c>
      <c r="C3112" s="33" t="str">
        <f t="shared" si="194"/>
        <v>11313-0000</v>
      </c>
      <c r="D3112" t="s">
        <v>25081</v>
      </c>
      <c r="E3112" t="s">
        <v>13233</v>
      </c>
      <c r="F3112" t="s">
        <v>14039</v>
      </c>
      <c r="G3112" t="s">
        <v>14672</v>
      </c>
      <c r="H3112" t="s">
        <v>13869</v>
      </c>
      <c r="I3112" t="s">
        <v>14690</v>
      </c>
      <c r="J3112" s="62">
        <v>0</v>
      </c>
      <c r="K3112" s="62">
        <v>0</v>
      </c>
      <c r="L3112" t="str">
        <f>VLOOKUP(VALUE(LEFT(C3112,5)),Xref!A:B,2,0)</f>
        <v>DOL</v>
      </c>
      <c r="M3112" t="str">
        <f t="shared" si="195"/>
        <v>DOL-NEW</v>
      </c>
    </row>
    <row r="3113" spans="1:13" ht="14.25" customHeight="true">
      <c r="A3113" s="33" t="str">
        <f t="shared" si="192"/>
        <v>NEW - Intercompany</v>
      </c>
      <c r="B3113" s="33" t="str">
        <f t="shared" si="193"/>
        <v>NEW</v>
      </c>
      <c r="C3113" s="33" t="str">
        <f t="shared" si="194"/>
        <v>11314-0000</v>
      </c>
      <c r="D3113" t="s">
        <v>25082</v>
      </c>
      <c r="E3113" t="s">
        <v>13351</v>
      </c>
      <c r="F3113" t="s">
        <v>14039</v>
      </c>
      <c r="G3113" t="s">
        <v>14672</v>
      </c>
      <c r="H3113" t="s">
        <v>13869</v>
      </c>
      <c r="I3113" t="s">
        <v>14690</v>
      </c>
      <c r="J3113" s="62">
        <v>0</v>
      </c>
      <c r="K3113" s="62">
        <v>0</v>
      </c>
      <c r="L3113" t="str">
        <f>VLOOKUP(VALUE(LEFT(C3113,5)),Xref!A:B,2,0)</f>
        <v>GRI</v>
      </c>
      <c r="M3113" t="str">
        <f t="shared" si="195"/>
        <v>GRI-NEW</v>
      </c>
    </row>
    <row r="3114" spans="1:13" ht="14.25" customHeight="true">
      <c r="A3114" s="33" t="str">
        <f t="shared" si="192"/>
        <v>NEW - Intercompany</v>
      </c>
      <c r="B3114" s="33" t="str">
        <f t="shared" si="193"/>
        <v>NEW</v>
      </c>
      <c r="C3114" s="33" t="str">
        <f t="shared" si="194"/>
        <v>11315-0000</v>
      </c>
      <c r="D3114" t="s">
        <v>1756</v>
      </c>
      <c r="E3114" t="s">
        <v>13234</v>
      </c>
      <c r="F3114" t="s">
        <v>14039</v>
      </c>
      <c r="G3114" t="s">
        <v>14672</v>
      </c>
      <c r="H3114" t="s">
        <v>13869</v>
      </c>
      <c r="I3114" t="s">
        <v>14690</v>
      </c>
      <c r="J3114" s="62">
        <v>0</v>
      </c>
      <c r="K3114" s="62">
        <v>-30000</v>
      </c>
      <c r="L3114" t="str">
        <f>VLOOKUP(VALUE(LEFT(C3114,5)),Xref!A:B,2,0)</f>
        <v>PUR</v>
      </c>
      <c r="M3114" t="str">
        <f t="shared" si="195"/>
        <v>NEW-PUR</v>
      </c>
    </row>
    <row r="3115" spans="1:13" ht="14.25" customHeight="true">
      <c r="A3115" s="33" t="str">
        <f t="shared" si="192"/>
        <v>NEW - Intercompany</v>
      </c>
      <c r="B3115" s="33" t="str">
        <f t="shared" si="193"/>
        <v>NEW</v>
      </c>
      <c r="C3115" s="33" t="str">
        <f t="shared" si="194"/>
        <v>11316-0000</v>
      </c>
      <c r="D3115" t="s">
        <v>25083</v>
      </c>
      <c r="E3115" t="s">
        <v>13235</v>
      </c>
      <c r="F3115" t="s">
        <v>14039</v>
      </c>
      <c r="G3115" t="s">
        <v>14672</v>
      </c>
      <c r="H3115" t="s">
        <v>13869</v>
      </c>
      <c r="I3115" t="s">
        <v>14690</v>
      </c>
      <c r="J3115" s="62">
        <v>0</v>
      </c>
      <c r="K3115" s="62">
        <v>0</v>
      </c>
      <c r="L3115" t="str">
        <f>VLOOKUP(VALUE(LEFT(C3115,5)),Xref!A:B,2,0)</f>
        <v>VAL</v>
      </c>
      <c r="M3115" t="str">
        <f t="shared" si="195"/>
        <v>NEW-VAL</v>
      </c>
    </row>
    <row r="3116" spans="1:13" ht="14.25" customHeight="true">
      <c r="A3116" s="33" t="str">
        <f t="shared" si="192"/>
        <v>NEW - Intercompany</v>
      </c>
      <c r="B3116" s="33" t="str">
        <f t="shared" si="193"/>
        <v>NEW</v>
      </c>
      <c r="C3116" s="33" t="str">
        <f t="shared" si="194"/>
        <v>11317-0000</v>
      </c>
      <c r="D3116" t="s">
        <v>1758</v>
      </c>
      <c r="E3116" t="s">
        <v>13352</v>
      </c>
      <c r="F3116" t="s">
        <v>14039</v>
      </c>
      <c r="G3116" t="s">
        <v>14672</v>
      </c>
      <c r="H3116" t="s">
        <v>13869</v>
      </c>
      <c r="I3116" t="s">
        <v>14690</v>
      </c>
      <c r="J3116" s="62">
        <v>0</v>
      </c>
      <c r="K3116" s="62">
        <v>-245000</v>
      </c>
      <c r="L3116" t="str">
        <f>VLOOKUP(VALUE(LEFT(C3116,5)),Xref!A:B,2,0)</f>
        <v>AKG</v>
      </c>
      <c r="M3116" t="str">
        <f t="shared" si="195"/>
        <v>AKG-NEW</v>
      </c>
    </row>
    <row r="3117" spans="1:13" ht="14.25" customHeight="true">
      <c r="A3117" s="33" t="str">
        <f t="shared" si="192"/>
        <v>NEW - Intercompany</v>
      </c>
      <c r="B3117" s="33" t="str">
        <f t="shared" si="193"/>
        <v>NEW</v>
      </c>
      <c r="C3117" s="33" t="str">
        <f t="shared" si="194"/>
        <v>11318-0000</v>
      </c>
      <c r="D3117" t="s">
        <v>25084</v>
      </c>
      <c r="E3117" t="s">
        <v>13477</v>
      </c>
      <c r="F3117" t="s">
        <v>14039</v>
      </c>
      <c r="G3117" t="s">
        <v>14672</v>
      </c>
      <c r="H3117" t="s">
        <v>13869</v>
      </c>
      <c r="I3117" t="s">
        <v>14690</v>
      </c>
      <c r="J3117" s="62">
        <v>0</v>
      </c>
      <c r="K3117" s="62">
        <v>0</v>
      </c>
      <c r="L3117" t="str">
        <f>VLOOKUP(VALUE(LEFT(C3117,5)),Xref!A:B,2,0)</f>
        <v>FIR</v>
      </c>
      <c r="M3117" t="str">
        <f t="shared" si="195"/>
        <v>FIR-NEW</v>
      </c>
    </row>
    <row r="3118" spans="1:13" ht="14.25" customHeight="true">
      <c r="A3118" s="33" t="str">
        <f t="shared" si="192"/>
        <v>NEW - Intercompany</v>
      </c>
      <c r="B3118" s="33" t="str">
        <f t="shared" si="193"/>
        <v>NEW</v>
      </c>
      <c r="C3118" s="33" t="str">
        <f t="shared" si="194"/>
        <v>11319-0000</v>
      </c>
      <c r="D3118" t="s">
        <v>25085</v>
      </c>
      <c r="E3118" t="s">
        <v>266</v>
      </c>
      <c r="F3118" t="s">
        <v>14039</v>
      </c>
      <c r="G3118" t="s">
        <v>14672</v>
      </c>
      <c r="H3118" t="s">
        <v>13869</v>
      </c>
      <c r="I3118" t="s">
        <v>14690</v>
      </c>
      <c r="J3118" s="62">
        <v>0</v>
      </c>
      <c r="K3118" s="62">
        <v>0</v>
      </c>
      <c r="L3118" t="str">
        <f>VLOOKUP(VALUE(LEFT(C3118,5)),Xref!A:B,2,0)</f>
        <v>GST</v>
      </c>
      <c r="M3118" t="str">
        <f t="shared" si="195"/>
        <v>GST-NEW</v>
      </c>
    </row>
    <row r="3119" spans="1:13" ht="14.25" customHeight="true">
      <c r="A3119" s="33" t="str">
        <f t="shared" si="192"/>
        <v>NEW - Intercompany</v>
      </c>
      <c r="B3119" s="33" t="str">
        <f t="shared" si="193"/>
        <v>NEW</v>
      </c>
      <c r="C3119" s="33" t="str">
        <f t="shared" si="194"/>
        <v>11320-0000</v>
      </c>
      <c r="D3119" t="s">
        <v>25086</v>
      </c>
      <c r="E3119" t="s">
        <v>14111</v>
      </c>
      <c r="F3119" t="s">
        <v>14039</v>
      </c>
      <c r="G3119" t="s">
        <v>14672</v>
      </c>
      <c r="H3119" t="s">
        <v>13869</v>
      </c>
      <c r="I3119" t="s">
        <v>14690</v>
      </c>
      <c r="J3119" s="62">
        <v>0</v>
      </c>
      <c r="K3119" s="62">
        <v>0</v>
      </c>
      <c r="L3119" t="str">
        <f>VLOOKUP(VALUE(LEFT(C3119,5)),Xref!A:B,2,0)</f>
        <v>HDN</v>
      </c>
      <c r="M3119" t="str">
        <f t="shared" si="195"/>
        <v>HDN-NEW</v>
      </c>
    </row>
    <row r="3120" spans="1:13" ht="14.25" customHeight="true">
      <c r="A3120" s="33" t="str">
        <f t="shared" si="192"/>
        <v>NEW - Intercompany</v>
      </c>
      <c r="B3120" s="33" t="str">
        <f t="shared" si="193"/>
        <v>NEW</v>
      </c>
      <c r="C3120" s="33" t="str">
        <f t="shared" si="194"/>
        <v>11321-0000</v>
      </c>
      <c r="D3120" t="s">
        <v>25087</v>
      </c>
      <c r="E3120" t="s">
        <v>13236</v>
      </c>
      <c r="F3120" t="s">
        <v>14039</v>
      </c>
      <c r="G3120" t="s">
        <v>14672</v>
      </c>
      <c r="H3120" t="s">
        <v>13869</v>
      </c>
      <c r="I3120" t="s">
        <v>14690</v>
      </c>
      <c r="J3120" s="62">
        <v>0</v>
      </c>
      <c r="K3120" s="62">
        <v>0</v>
      </c>
      <c r="L3120" t="str">
        <f>VLOOKUP(VALUE(LEFT(C3120,5)),Xref!A:B,2,0)</f>
        <v>OVA</v>
      </c>
      <c r="M3120" t="str">
        <f t="shared" si="195"/>
        <v>NEW-OVA</v>
      </c>
    </row>
    <row r="3121" spans="1:13" ht="14.25" customHeight="true">
      <c r="A3121" s="33" t="str">
        <f t="shared" si="192"/>
        <v>NEW - Intercompany</v>
      </c>
      <c r="B3121" s="33" t="str">
        <f t="shared" si="193"/>
        <v>NEW</v>
      </c>
      <c r="C3121" s="33" t="str">
        <f t="shared" si="194"/>
        <v>11322-0000</v>
      </c>
      <c r="D3121" t="s">
        <v>25088</v>
      </c>
      <c r="E3121" t="s">
        <v>13237</v>
      </c>
      <c r="F3121" t="s">
        <v>14039</v>
      </c>
      <c r="G3121" t="s">
        <v>14672</v>
      </c>
      <c r="H3121" t="s">
        <v>13869</v>
      </c>
      <c r="I3121" t="s">
        <v>14690</v>
      </c>
      <c r="J3121" s="62">
        <v>0</v>
      </c>
      <c r="K3121" s="62">
        <v>0</v>
      </c>
      <c r="L3121" t="str">
        <f>VLOOKUP(VALUE(LEFT(C3121,5)),Xref!A:B,2,0)</f>
        <v>WOO</v>
      </c>
      <c r="M3121" t="str">
        <f t="shared" si="195"/>
        <v>NEW-WOO</v>
      </c>
    </row>
    <row r="3122" spans="1:13" ht="14.25" customHeight="true">
      <c r="A3122" s="33" t="str">
        <f t="shared" si="192"/>
        <v>NEW - Intercompany</v>
      </c>
      <c r="B3122" s="33" t="str">
        <f t="shared" si="193"/>
        <v>NEW</v>
      </c>
      <c r="C3122" s="33" t="str">
        <f t="shared" si="194"/>
        <v>11323-0000</v>
      </c>
      <c r="D3122" t="s">
        <v>25089</v>
      </c>
      <c r="E3122" t="s">
        <v>13478</v>
      </c>
      <c r="F3122" t="s">
        <v>14039</v>
      </c>
      <c r="G3122" t="s">
        <v>14672</v>
      </c>
      <c r="H3122" t="s">
        <v>13869</v>
      </c>
      <c r="I3122" t="s">
        <v>14690</v>
      </c>
      <c r="J3122" s="62">
        <v>0</v>
      </c>
      <c r="K3122" s="62">
        <v>0</v>
      </c>
      <c r="L3122" t="str">
        <f>VLOOKUP(VALUE(LEFT(C3122,5)),Xref!A:B,2,0)</f>
        <v>SPI</v>
      </c>
      <c r="M3122" t="str">
        <f t="shared" si="195"/>
        <v>NEW-SPI</v>
      </c>
    </row>
    <row r="3123" spans="1:13" ht="14.25" customHeight="true">
      <c r="A3123" s="33" t="str">
        <f t="shared" si="192"/>
        <v>NEW - Intercompany</v>
      </c>
      <c r="B3123" s="33" t="str">
        <f t="shared" si="193"/>
        <v>NEW</v>
      </c>
      <c r="C3123" s="33" t="str">
        <f t="shared" si="194"/>
        <v>11324-0000</v>
      </c>
      <c r="D3123" t="s">
        <v>1759</v>
      </c>
      <c r="E3123" t="s">
        <v>13238</v>
      </c>
      <c r="F3123" t="s">
        <v>14039</v>
      </c>
      <c r="G3123" t="s">
        <v>14672</v>
      </c>
      <c r="H3123" t="s">
        <v>13869</v>
      </c>
      <c r="I3123" t="s">
        <v>14690</v>
      </c>
      <c r="J3123" s="62">
        <v>0</v>
      </c>
      <c r="K3123" s="62">
        <v>-50000</v>
      </c>
      <c r="L3123" t="str">
        <f>VLOOKUP(VALUE(LEFT(C3123,5)),Xref!A:B,2,0)</f>
        <v>NET</v>
      </c>
      <c r="M3123" t="str">
        <f t="shared" si="195"/>
        <v>NET-NEW</v>
      </c>
    </row>
    <row r="3124" spans="1:13" ht="14.25" customHeight="true">
      <c r="A3124" s="33" t="str">
        <f t="shared" si="192"/>
        <v>NEW - Intercompany</v>
      </c>
      <c r="B3124" s="33" t="str">
        <f t="shared" si="193"/>
        <v>NEW</v>
      </c>
      <c r="C3124" s="33" t="str">
        <f t="shared" si="194"/>
        <v>11325-0000</v>
      </c>
      <c r="D3124" t="s">
        <v>1760</v>
      </c>
      <c r="E3124" t="s">
        <v>13239</v>
      </c>
      <c r="F3124" t="s">
        <v>14039</v>
      </c>
      <c r="G3124" t="s">
        <v>14672</v>
      </c>
      <c r="H3124" t="s">
        <v>13869</v>
      </c>
      <c r="I3124" t="s">
        <v>14690</v>
      </c>
      <c r="J3124" s="62">
        <v>0</v>
      </c>
      <c r="K3124" s="62">
        <v>20000</v>
      </c>
      <c r="L3124" t="str">
        <f>VLOOKUP(VALUE(LEFT(C3124,5)),Xref!A:B,2,0)</f>
        <v>DPI</v>
      </c>
      <c r="M3124" t="str">
        <f t="shared" si="195"/>
        <v>DPI-NEW</v>
      </c>
    </row>
    <row r="3125" spans="1:13" ht="14.25" customHeight="true">
      <c r="A3125" s="33" t="str">
        <f t="shared" si="192"/>
        <v>NEW - Intercompany</v>
      </c>
      <c r="B3125" s="33" t="str">
        <f t="shared" si="193"/>
        <v>NEW</v>
      </c>
      <c r="C3125" s="33" t="str">
        <f t="shared" si="194"/>
        <v>11326-0000</v>
      </c>
      <c r="D3125" t="s">
        <v>25090</v>
      </c>
      <c r="E3125" t="s">
        <v>13240</v>
      </c>
      <c r="F3125" t="s">
        <v>14039</v>
      </c>
      <c r="G3125" t="s">
        <v>14672</v>
      </c>
      <c r="H3125" t="s">
        <v>13869</v>
      </c>
      <c r="I3125" t="s">
        <v>14690</v>
      </c>
      <c r="J3125" s="62">
        <v>0</v>
      </c>
      <c r="K3125" s="62">
        <v>0</v>
      </c>
      <c r="L3125" t="str">
        <f>VLOOKUP(VALUE(LEFT(C3125,5)),Xref!A:B,2,0)</f>
        <v>SEK</v>
      </c>
      <c r="M3125" t="str">
        <f t="shared" si="195"/>
        <v>NEW-SEK</v>
      </c>
    </row>
    <row r="3126" spans="1:13" ht="14.25" customHeight="true">
      <c r="A3126" s="33" t="str">
        <f t="shared" si="192"/>
        <v>NEW - Intercompany</v>
      </c>
      <c r="B3126" s="33" t="str">
        <f t="shared" si="193"/>
        <v>NEW</v>
      </c>
      <c r="C3126" s="33" t="str">
        <f t="shared" si="194"/>
        <v>11327-0000</v>
      </c>
      <c r="D3126" t="s">
        <v>25091</v>
      </c>
      <c r="E3126" t="s">
        <v>14119</v>
      </c>
      <c r="F3126" t="s">
        <v>14039</v>
      </c>
      <c r="G3126" t="s">
        <v>14672</v>
      </c>
      <c r="H3126" t="s">
        <v>13869</v>
      </c>
      <c r="I3126" t="s">
        <v>14690</v>
      </c>
      <c r="J3126" s="62">
        <v>0</v>
      </c>
      <c r="K3126" s="62">
        <v>0</v>
      </c>
      <c r="L3126" t="str">
        <f>VLOOKUP(VALUE(LEFT(C3126,5)),Xref!A:B,2,0)</f>
        <v>CPI</v>
      </c>
      <c r="M3126" t="str">
        <f t="shared" si="195"/>
        <v>CPI-NEW</v>
      </c>
    </row>
    <row r="3127" spans="1:13" ht="14.25" customHeight="true">
      <c r="A3127" s="33" t="str">
        <f t="shared" si="192"/>
        <v>NEW - Intercompany</v>
      </c>
      <c r="B3127" s="33" t="str">
        <f t="shared" si="193"/>
        <v>NEW</v>
      </c>
      <c r="C3127" s="33" t="str">
        <f t="shared" si="194"/>
        <v>11328-0000</v>
      </c>
      <c r="D3127" t="s">
        <v>25092</v>
      </c>
      <c r="E3127" t="s">
        <v>13241</v>
      </c>
      <c r="F3127" t="s">
        <v>14039</v>
      </c>
      <c r="G3127" t="s">
        <v>14672</v>
      </c>
      <c r="H3127" t="s">
        <v>13869</v>
      </c>
      <c r="I3127" t="s">
        <v>14690</v>
      </c>
      <c r="J3127" s="62">
        <v>0</v>
      </c>
      <c r="K3127" s="62">
        <v>0</v>
      </c>
      <c r="L3127" t="str">
        <f>VLOOKUP(VALUE(LEFT(C3127,5)),Xref!A:B,2,0)</f>
        <v>LOM</v>
      </c>
      <c r="M3127" t="str">
        <f t="shared" si="195"/>
        <v>LOM-NEW</v>
      </c>
    </row>
    <row r="3128" spans="1:13" ht="14.25" customHeight="true">
      <c r="A3128" s="33" t="str">
        <f t="shared" si="192"/>
        <v>NEW - Intercompany</v>
      </c>
      <c r="B3128" s="33" t="str">
        <f t="shared" si="193"/>
        <v>NEW</v>
      </c>
      <c r="C3128" s="33" t="str">
        <f t="shared" si="194"/>
        <v>11329-0000</v>
      </c>
      <c r="D3128" t="s">
        <v>25093</v>
      </c>
      <c r="E3128" t="s">
        <v>13353</v>
      </c>
      <c r="F3128" t="s">
        <v>14039</v>
      </c>
      <c r="G3128" t="s">
        <v>14672</v>
      </c>
      <c r="H3128" t="s">
        <v>13869</v>
      </c>
      <c r="I3128" t="s">
        <v>14690</v>
      </c>
      <c r="J3128" s="62">
        <v>0</v>
      </c>
      <c r="K3128" s="62">
        <v>0</v>
      </c>
      <c r="L3128" t="str">
        <f>VLOOKUP(VALUE(LEFT(C3128,5)),Xref!A:B,2,0)</f>
        <v>AKS</v>
      </c>
      <c r="M3128" t="str">
        <f t="shared" si="195"/>
        <v>AKS-NEW</v>
      </c>
    </row>
    <row r="3129" spans="1:13" ht="14.25" customHeight="true">
      <c r="A3129" s="33" t="str">
        <f t="shared" si="192"/>
        <v>NEW - Intercompany</v>
      </c>
      <c r="B3129" s="33" t="str">
        <f t="shared" si="193"/>
        <v>NEW</v>
      </c>
      <c r="C3129" s="33" t="str">
        <f t="shared" si="194"/>
        <v>11330-0000</v>
      </c>
      <c r="D3129" t="s">
        <v>25094</v>
      </c>
      <c r="E3129" t="s">
        <v>13242</v>
      </c>
      <c r="F3129" t="s">
        <v>14039</v>
      </c>
      <c r="G3129" t="s">
        <v>14672</v>
      </c>
      <c r="H3129" t="s">
        <v>13869</v>
      </c>
      <c r="I3129" t="s">
        <v>14690</v>
      </c>
      <c r="J3129" s="62">
        <v>0</v>
      </c>
      <c r="K3129" s="62">
        <v>0</v>
      </c>
      <c r="L3129" t="str">
        <f>VLOOKUP(VALUE(LEFT(C3129,5)),Xref!A:B,2,0)</f>
        <v>MAR</v>
      </c>
      <c r="M3129" t="str">
        <f t="shared" si="195"/>
        <v>MAR-NEW</v>
      </c>
    </row>
    <row r="3130" spans="1:13" ht="14.25" customHeight="true">
      <c r="A3130" s="33" t="str">
        <f t="shared" si="192"/>
        <v>NEW - Intercompany</v>
      </c>
      <c r="B3130" s="33" t="str">
        <f t="shared" si="193"/>
        <v>NEW</v>
      </c>
      <c r="C3130" s="33" t="str">
        <f t="shared" si="194"/>
        <v>11331-0000</v>
      </c>
      <c r="D3130" t="s">
        <v>25095</v>
      </c>
      <c r="E3130" t="s">
        <v>13354</v>
      </c>
      <c r="F3130" t="s">
        <v>14039</v>
      </c>
      <c r="G3130" t="s">
        <v>14672</v>
      </c>
      <c r="H3130" t="s">
        <v>13869</v>
      </c>
      <c r="I3130" t="s">
        <v>14690</v>
      </c>
      <c r="J3130" s="62">
        <v>0</v>
      </c>
      <c r="K3130" s="62">
        <v>0</v>
      </c>
      <c r="L3130" t="str">
        <f>VLOOKUP(VALUE(LEFT(C3130,5)),Xref!A:B,2,0)</f>
        <v>WIL</v>
      </c>
      <c r="M3130" t="str">
        <f t="shared" si="195"/>
        <v>NEW-WIL</v>
      </c>
    </row>
    <row r="3131" spans="1:13" ht="14.25" customHeight="true">
      <c r="A3131" s="33" t="str">
        <f t="shared" si="192"/>
        <v>NEW - Intercompany</v>
      </c>
      <c r="B3131" s="33" t="str">
        <f t="shared" si="193"/>
        <v>NEW</v>
      </c>
      <c r="C3131" s="33" t="str">
        <f t="shared" si="194"/>
        <v>11332-0000</v>
      </c>
      <c r="D3131" t="s">
        <v>25096</v>
      </c>
      <c r="E3131" t="s">
        <v>13243</v>
      </c>
      <c r="F3131" t="s">
        <v>14039</v>
      </c>
      <c r="G3131" t="s">
        <v>14672</v>
      </c>
      <c r="H3131" t="s">
        <v>13869</v>
      </c>
      <c r="I3131" t="s">
        <v>14690</v>
      </c>
      <c r="J3131" s="62">
        <v>0</v>
      </c>
      <c r="K3131" s="62">
        <v>0</v>
      </c>
      <c r="L3131" t="str">
        <f>VLOOKUP(VALUE(LEFT(C3131,5)),Xref!A:B,2,0)</f>
        <v>STO</v>
      </c>
      <c r="M3131" t="str">
        <f t="shared" si="195"/>
        <v>NEW-STO</v>
      </c>
    </row>
    <row r="3132" spans="1:13" ht="14.25" customHeight="true">
      <c r="A3132" s="33" t="str">
        <f t="shared" si="192"/>
        <v>NEW - Intercompany</v>
      </c>
      <c r="B3132" s="33" t="str">
        <f t="shared" si="193"/>
        <v>NEW</v>
      </c>
      <c r="C3132" s="33" t="str">
        <f t="shared" si="194"/>
        <v>11333-0000</v>
      </c>
      <c r="D3132" t="s">
        <v>25097</v>
      </c>
      <c r="E3132" t="s">
        <v>13244</v>
      </c>
      <c r="F3132" t="s">
        <v>14039</v>
      </c>
      <c r="G3132" t="s">
        <v>14672</v>
      </c>
      <c r="H3132" t="s">
        <v>13869</v>
      </c>
      <c r="I3132" t="s">
        <v>14690</v>
      </c>
      <c r="J3132" s="62">
        <v>0</v>
      </c>
      <c r="K3132" s="62">
        <v>0</v>
      </c>
      <c r="L3132" t="str">
        <f>VLOOKUP(VALUE(LEFT(C3132,5)),Xref!A:B,2,0)</f>
        <v>ANG</v>
      </c>
      <c r="M3132" t="str">
        <f t="shared" si="195"/>
        <v>ANG-NEW</v>
      </c>
    </row>
    <row r="3133" spans="1:13" ht="14.25" customHeight="true">
      <c r="A3133" s="33" t="str">
        <f t="shared" si="192"/>
        <v>NEW - Intercompany</v>
      </c>
      <c r="B3133" s="33" t="str">
        <f t="shared" si="193"/>
        <v>NEW</v>
      </c>
      <c r="C3133" s="33" t="str">
        <f t="shared" si="194"/>
        <v>11334-0000</v>
      </c>
      <c r="D3133" t="s">
        <v>25098</v>
      </c>
      <c r="E3133" t="s">
        <v>13245</v>
      </c>
      <c r="F3133" t="s">
        <v>14039</v>
      </c>
      <c r="G3133" t="s">
        <v>14672</v>
      </c>
      <c r="H3133" t="s">
        <v>13869</v>
      </c>
      <c r="I3133" t="s">
        <v>14690</v>
      </c>
      <c r="J3133" s="62">
        <v>0</v>
      </c>
      <c r="K3133" s="62">
        <v>0</v>
      </c>
      <c r="L3133" t="str">
        <f>VLOOKUP(VALUE(LEFT(C3133,5)),Xref!A:B,2,0)</f>
        <v>BRU</v>
      </c>
      <c r="M3133" t="str">
        <f t="shared" si="195"/>
        <v>BRU-NEW</v>
      </c>
    </row>
    <row r="3134" spans="1:13" ht="14.25" customHeight="true">
      <c r="A3134" s="33" t="str">
        <f t="shared" si="192"/>
        <v>NEW - Intercompany</v>
      </c>
      <c r="B3134" s="33" t="str">
        <f t="shared" si="193"/>
        <v>NEW</v>
      </c>
      <c r="C3134" s="33" t="str">
        <f t="shared" si="194"/>
        <v>11335-0000</v>
      </c>
      <c r="D3134" t="s">
        <v>25099</v>
      </c>
      <c r="E3134" t="s">
        <v>13246</v>
      </c>
      <c r="F3134" t="s">
        <v>14039</v>
      </c>
      <c r="G3134" t="s">
        <v>14672</v>
      </c>
      <c r="H3134" t="s">
        <v>13869</v>
      </c>
      <c r="I3134" t="s">
        <v>14690</v>
      </c>
      <c r="J3134" s="62">
        <v>0</v>
      </c>
      <c r="K3134" s="62">
        <v>0</v>
      </c>
      <c r="L3134" t="str">
        <f>VLOOKUP(VALUE(LEFT(C3134,5)),Xref!A:B,2,0)</f>
        <v>VEN</v>
      </c>
      <c r="M3134" t="str">
        <f t="shared" si="195"/>
        <v>NEW-VEN</v>
      </c>
    </row>
    <row r="3135" spans="1:13" ht="14.25" customHeight="true">
      <c r="A3135" s="33" t="str">
        <f t="shared" si="192"/>
        <v>NEW - Intercompany</v>
      </c>
      <c r="B3135" s="33" t="str">
        <f t="shared" si="193"/>
        <v>NEW</v>
      </c>
      <c r="C3135" s="33" t="str">
        <f t="shared" si="194"/>
        <v>11336-0000</v>
      </c>
      <c r="D3135" t="s">
        <v>25100</v>
      </c>
      <c r="E3135" t="s">
        <v>13247</v>
      </c>
      <c r="F3135" t="s">
        <v>14039</v>
      </c>
      <c r="G3135" t="s">
        <v>14672</v>
      </c>
      <c r="H3135" t="s">
        <v>13869</v>
      </c>
      <c r="I3135" t="s">
        <v>14690</v>
      </c>
      <c r="J3135" s="62">
        <v>0</v>
      </c>
      <c r="K3135" s="62">
        <v>0</v>
      </c>
      <c r="L3135" t="str">
        <f>VLOOKUP(VALUE(LEFT(C3135,5)),Xref!A:B,2,0)</f>
        <v>SAT</v>
      </c>
      <c r="M3135" t="str">
        <f t="shared" si="195"/>
        <v>NEW-SAT</v>
      </c>
    </row>
    <row r="3136" spans="1:13" ht="14.25" customHeight="true">
      <c r="A3136" s="33" t="str">
        <f t="shared" si="192"/>
        <v>NEW - Intercompany</v>
      </c>
      <c r="B3136" s="33" t="str">
        <f t="shared" si="193"/>
        <v>NEW</v>
      </c>
      <c r="C3136" s="33" t="str">
        <f t="shared" si="194"/>
        <v>11337-0000</v>
      </c>
      <c r="D3136" t="s">
        <v>25101</v>
      </c>
      <c r="E3136" t="s">
        <v>13248</v>
      </c>
      <c r="F3136" t="s">
        <v>14039</v>
      </c>
      <c r="G3136" t="s">
        <v>14672</v>
      </c>
      <c r="H3136" t="s">
        <v>13869</v>
      </c>
      <c r="I3136" t="s">
        <v>14690</v>
      </c>
      <c r="J3136" s="62">
        <v>0</v>
      </c>
      <c r="K3136" s="62">
        <v>0</v>
      </c>
      <c r="L3136" t="str">
        <f>VLOOKUP(VALUE(LEFT(C3136,5)),Xref!A:B,2,0)</f>
        <v>NEP</v>
      </c>
      <c r="M3136" t="str">
        <f t="shared" si="195"/>
        <v>NEP-NEW</v>
      </c>
    </row>
    <row r="3137" spans="1:13" ht="14.25" customHeight="true">
      <c r="A3137" s="33" t="str">
        <f t="shared" si="192"/>
        <v>NEW - Intercompany</v>
      </c>
      <c r="B3137" s="33" t="str">
        <f t="shared" si="193"/>
        <v>NEW</v>
      </c>
      <c r="C3137" s="33" t="str">
        <f t="shared" si="194"/>
        <v>11338-0000</v>
      </c>
      <c r="D3137" t="s">
        <v>25102</v>
      </c>
      <c r="E3137" t="s">
        <v>14131</v>
      </c>
      <c r="F3137" t="s">
        <v>14039</v>
      </c>
      <c r="G3137" t="s">
        <v>14672</v>
      </c>
      <c r="H3137" t="s">
        <v>13869</v>
      </c>
      <c r="I3137" t="s">
        <v>14690</v>
      </c>
      <c r="J3137" s="62">
        <v>0</v>
      </c>
      <c r="K3137" s="62">
        <v>0</v>
      </c>
      <c r="L3137" t="str">
        <f>VLOOKUP(VALUE(LEFT(C3137,5)),Xref!A:B,2,0)</f>
        <v>JUP</v>
      </c>
      <c r="M3137" t="str">
        <f t="shared" si="195"/>
        <v>JUP-NEW</v>
      </c>
    </row>
    <row r="3138" spans="1:13" ht="14.25" customHeight="true">
      <c r="A3138" s="33" t="str">
        <f t="shared" ref="A3138:A3201" si="196">B3138&amp;" - "&amp;TRIM(H3138)</f>
        <v>NEW - Intercompany</v>
      </c>
      <c r="B3138" s="33" t="str">
        <f t="shared" ref="B3138:B3201" si="197">LEFT(D3138,3)</f>
        <v>NEW</v>
      </c>
      <c r="C3138" s="33" t="str">
        <f t="shared" ref="C3138:C3201" si="198">RIGHT(D3138,10)</f>
        <v>11339-0000</v>
      </c>
      <c r="D3138" t="s">
        <v>25103</v>
      </c>
      <c r="E3138" t="s">
        <v>14133</v>
      </c>
      <c r="F3138" t="s">
        <v>14039</v>
      </c>
      <c r="G3138" t="s">
        <v>14672</v>
      </c>
      <c r="H3138" t="s">
        <v>13869</v>
      </c>
      <c r="I3138" t="s">
        <v>14690</v>
      </c>
      <c r="J3138" s="62">
        <v>0</v>
      </c>
      <c r="K3138" s="62">
        <v>0</v>
      </c>
      <c r="L3138" t="str">
        <f>VLOOKUP(VALUE(LEFT(C3138,5)),Xref!A:B,2,0)</f>
        <v>WES</v>
      </c>
      <c r="M3138" t="str">
        <f t="shared" ref="M3138:M3201" si="199">IF(B3138&lt;L3138,B3138&amp;"-"&amp;L3138,L3138&amp;"-"&amp;B3138)</f>
        <v>NEW-WES</v>
      </c>
    </row>
    <row r="3139" spans="1:13" ht="14.25" customHeight="true">
      <c r="A3139" s="33" t="str">
        <f t="shared" si="196"/>
        <v>NEW - Intercompany</v>
      </c>
      <c r="B3139" s="33" t="str">
        <f t="shared" si="197"/>
        <v>NEW</v>
      </c>
      <c r="C3139" s="33" t="str">
        <f t="shared" si="198"/>
        <v>11340-0000</v>
      </c>
      <c r="D3139" t="s">
        <v>25104</v>
      </c>
      <c r="E3139" t="s">
        <v>14135</v>
      </c>
      <c r="F3139" t="s">
        <v>14039</v>
      </c>
      <c r="G3139" t="s">
        <v>14672</v>
      </c>
      <c r="H3139" t="s">
        <v>13869</v>
      </c>
      <c r="I3139" t="s">
        <v>14690</v>
      </c>
      <c r="J3139" s="62">
        <v>0</v>
      </c>
      <c r="K3139" s="62">
        <v>0</v>
      </c>
      <c r="L3139" t="str">
        <f>VLOOKUP(VALUE(LEFT(C3139,5)),Xref!A:B,2,0)</f>
        <v>LCP</v>
      </c>
      <c r="M3139" t="str">
        <f t="shared" si="199"/>
        <v>LCP-NEW</v>
      </c>
    </row>
    <row r="3140" spans="1:13" ht="14.25" customHeight="true">
      <c r="A3140" s="33" t="str">
        <f t="shared" si="196"/>
        <v>NEW - Intercompany</v>
      </c>
      <c r="B3140" s="33" t="str">
        <f t="shared" si="197"/>
        <v>NEW</v>
      </c>
      <c r="C3140" s="33" t="str">
        <f t="shared" si="198"/>
        <v>11341-0000</v>
      </c>
      <c r="D3140" t="s">
        <v>25105</v>
      </c>
      <c r="E3140" t="s">
        <v>13639</v>
      </c>
      <c r="F3140" t="s">
        <v>14039</v>
      </c>
      <c r="G3140" t="s">
        <v>14672</v>
      </c>
      <c r="H3140" t="s">
        <v>13869</v>
      </c>
      <c r="I3140" t="s">
        <v>14690</v>
      </c>
      <c r="J3140" s="62">
        <v>0</v>
      </c>
      <c r="K3140" s="62">
        <v>0</v>
      </c>
      <c r="L3140" t="str">
        <f>VLOOKUP(VALUE(LEFT(C3140,5)),Xref!A:B,2,0)</f>
        <v>NOR</v>
      </c>
      <c r="M3140" t="str">
        <f t="shared" si="199"/>
        <v>NEW-NOR</v>
      </c>
    </row>
    <row r="3141" spans="1:13" ht="14.25" customHeight="true">
      <c r="A3141" s="33" t="str">
        <f t="shared" si="196"/>
        <v>NEW - Intercompany</v>
      </c>
      <c r="B3141" s="33" t="str">
        <f t="shared" si="197"/>
        <v>NEW</v>
      </c>
      <c r="C3141" s="33" t="str">
        <f t="shared" si="198"/>
        <v>11342-0000</v>
      </c>
      <c r="D3141" t="s">
        <v>25106</v>
      </c>
      <c r="E3141" t="s">
        <v>13355</v>
      </c>
      <c r="F3141" t="s">
        <v>14039</v>
      </c>
      <c r="G3141" t="s">
        <v>14672</v>
      </c>
      <c r="H3141" t="s">
        <v>13869</v>
      </c>
      <c r="I3141" t="s">
        <v>14690</v>
      </c>
      <c r="J3141" s="62">
        <v>0</v>
      </c>
      <c r="K3141" s="62">
        <v>0</v>
      </c>
      <c r="L3141" t="str">
        <f>VLOOKUP(VALUE(LEFT(C3141,5)),Xref!A:B,2,0)</f>
        <v>EAS</v>
      </c>
      <c r="M3141" t="str">
        <f t="shared" si="199"/>
        <v>EAS-NEW</v>
      </c>
    </row>
    <row r="3142" spans="1:13" ht="14.25" customHeight="true">
      <c r="A3142" s="33" t="str">
        <f t="shared" si="196"/>
        <v>NEW - Intercompany</v>
      </c>
      <c r="B3142" s="33" t="str">
        <f t="shared" si="197"/>
        <v>NEW</v>
      </c>
      <c r="C3142" s="33" t="str">
        <f t="shared" si="198"/>
        <v>11343-0000</v>
      </c>
      <c r="D3142" t="s">
        <v>25107</v>
      </c>
      <c r="E3142" t="s">
        <v>14139</v>
      </c>
      <c r="F3142" t="s">
        <v>14039</v>
      </c>
      <c r="G3142" t="s">
        <v>14672</v>
      </c>
      <c r="H3142" t="s">
        <v>13869</v>
      </c>
      <c r="I3142" t="s">
        <v>14690</v>
      </c>
      <c r="J3142" s="62">
        <v>0</v>
      </c>
      <c r="K3142" s="62">
        <v>0</v>
      </c>
      <c r="L3142" t="str">
        <f>VLOOKUP(VALUE(LEFT(C3142,5)),Xref!A:B,2,0)</f>
        <v>GRA</v>
      </c>
      <c r="M3142" t="str">
        <f t="shared" si="199"/>
        <v>GRA-NEW</v>
      </c>
    </row>
    <row r="3143" spans="1:13" ht="14.25" customHeight="true">
      <c r="A3143" s="33" t="str">
        <f t="shared" si="196"/>
        <v>NEW - Intercompany</v>
      </c>
      <c r="B3143" s="33" t="str">
        <f t="shared" si="197"/>
        <v>NEW</v>
      </c>
      <c r="C3143" s="33" t="str">
        <f t="shared" si="198"/>
        <v>11344-0000</v>
      </c>
      <c r="D3143" t="s">
        <v>25108</v>
      </c>
      <c r="E3143" t="s">
        <v>14141</v>
      </c>
      <c r="F3143" t="s">
        <v>14039</v>
      </c>
      <c r="G3143" t="s">
        <v>14672</v>
      </c>
      <c r="H3143" t="s">
        <v>13869</v>
      </c>
      <c r="I3143" t="s">
        <v>14690</v>
      </c>
      <c r="J3143" s="62">
        <v>0</v>
      </c>
      <c r="K3143" s="62">
        <v>0</v>
      </c>
      <c r="L3143" t="str">
        <f>VLOOKUP(VALUE(LEFT(C3143,5)),Xref!A:B,2,0)</f>
        <v>SOU</v>
      </c>
      <c r="M3143" t="str">
        <f t="shared" si="199"/>
        <v>NEW-SOU</v>
      </c>
    </row>
    <row r="3144" spans="1:13" ht="14.25" customHeight="true">
      <c r="A3144" s="33" t="str">
        <f t="shared" si="196"/>
        <v>NEW - Intercompany</v>
      </c>
      <c r="B3144" s="33" t="str">
        <f t="shared" si="197"/>
        <v>NEW</v>
      </c>
      <c r="C3144" s="33" t="str">
        <f t="shared" si="198"/>
        <v>11345-0000</v>
      </c>
      <c r="D3144" t="s">
        <v>25109</v>
      </c>
      <c r="E3144" t="s">
        <v>14143</v>
      </c>
      <c r="F3144" t="s">
        <v>14039</v>
      </c>
      <c r="G3144" t="s">
        <v>14672</v>
      </c>
      <c r="H3144" t="s">
        <v>13869</v>
      </c>
      <c r="I3144" t="s">
        <v>14690</v>
      </c>
      <c r="J3144" s="62">
        <v>0</v>
      </c>
      <c r="K3144" s="62">
        <v>0</v>
      </c>
      <c r="L3144" t="str">
        <f>VLOOKUP(VALUE(LEFT(C3144,5)),Xref!A:B,2,0)</f>
        <v>API</v>
      </c>
      <c r="M3144" t="str">
        <f t="shared" si="199"/>
        <v>API-NEW</v>
      </c>
    </row>
    <row r="3145" spans="1:13" ht="14.25" customHeight="true">
      <c r="A3145" s="33" t="str">
        <f t="shared" si="196"/>
        <v>NEW - Intercompany</v>
      </c>
      <c r="B3145" s="33" t="str">
        <f t="shared" si="197"/>
        <v>NEW</v>
      </c>
      <c r="C3145" s="33" t="str">
        <f t="shared" si="198"/>
        <v>11346-0000</v>
      </c>
      <c r="D3145" t="s">
        <v>25110</v>
      </c>
      <c r="E3145" t="s">
        <v>14145</v>
      </c>
      <c r="F3145" t="s">
        <v>14039</v>
      </c>
      <c r="G3145" t="s">
        <v>14672</v>
      </c>
      <c r="H3145" t="s">
        <v>13869</v>
      </c>
      <c r="I3145" t="s">
        <v>14690</v>
      </c>
      <c r="J3145" s="62">
        <v>0</v>
      </c>
      <c r="K3145" s="62">
        <v>0</v>
      </c>
      <c r="L3145" t="str">
        <f>VLOOKUP(VALUE(LEFT(C3145,5)),Xref!A:B,2,0)</f>
        <v>DPH</v>
      </c>
      <c r="M3145" t="str">
        <f t="shared" si="199"/>
        <v>DPH-NEW</v>
      </c>
    </row>
    <row r="3146" spans="1:13" ht="14.25" customHeight="true">
      <c r="A3146" s="33" t="str">
        <f t="shared" si="196"/>
        <v>NEW - Intercompany</v>
      </c>
      <c r="B3146" s="33" t="str">
        <f t="shared" si="197"/>
        <v>NEW</v>
      </c>
      <c r="C3146" s="33" t="str">
        <f t="shared" si="198"/>
        <v>11347-0000</v>
      </c>
      <c r="D3146" t="s">
        <v>25111</v>
      </c>
      <c r="E3146" t="s">
        <v>14147</v>
      </c>
      <c r="F3146" t="s">
        <v>14039</v>
      </c>
      <c r="G3146" t="s">
        <v>14672</v>
      </c>
      <c r="H3146" t="s">
        <v>13869</v>
      </c>
      <c r="I3146" t="s">
        <v>14690</v>
      </c>
      <c r="J3146" s="62">
        <v>0</v>
      </c>
      <c r="K3146" s="62">
        <v>0</v>
      </c>
      <c r="L3146" t="str">
        <f>VLOOKUP(VALUE(LEFT(C3146,5)),Xref!A:B,2,0)</f>
        <v>ZPI</v>
      </c>
      <c r="M3146" t="str">
        <f t="shared" si="199"/>
        <v>NEW-ZPI</v>
      </c>
    </row>
    <row r="3147" spans="1:13" ht="14.25" customHeight="true">
      <c r="A3147" s="33" t="str">
        <f t="shared" si="196"/>
        <v>NEW - Intercompany</v>
      </c>
      <c r="B3147" s="33" t="str">
        <f t="shared" si="197"/>
        <v>NEW</v>
      </c>
      <c r="C3147" s="33" t="str">
        <f t="shared" si="198"/>
        <v>11348-0000</v>
      </c>
      <c r="D3147" t="s">
        <v>25112</v>
      </c>
      <c r="E3147" t="s">
        <v>14149</v>
      </c>
      <c r="F3147" t="s">
        <v>14039</v>
      </c>
      <c r="G3147" t="s">
        <v>14672</v>
      </c>
      <c r="H3147" t="s">
        <v>13869</v>
      </c>
      <c r="I3147" t="s">
        <v>14690</v>
      </c>
      <c r="J3147" s="62">
        <v>0</v>
      </c>
      <c r="K3147" s="62">
        <v>0</v>
      </c>
      <c r="L3147" t="str">
        <f>VLOOKUP(VALUE(LEFT(C3147,5)),Xref!A:B,2,0)</f>
        <v>EAM</v>
      </c>
      <c r="M3147" t="str">
        <f t="shared" si="199"/>
        <v>EAM-NEW</v>
      </c>
    </row>
    <row r="3148" spans="1:13" ht="14.25" customHeight="true">
      <c r="A3148" s="33" t="str">
        <f t="shared" si="196"/>
        <v>NEW - Intercompany</v>
      </c>
      <c r="B3148" s="33" t="str">
        <f t="shared" si="197"/>
        <v>NEW</v>
      </c>
      <c r="C3148" s="33" t="str">
        <f t="shared" si="198"/>
        <v>11349-0000</v>
      </c>
      <c r="D3148" t="s">
        <v>25113</v>
      </c>
      <c r="E3148" t="s">
        <v>14151</v>
      </c>
      <c r="F3148" t="s">
        <v>14039</v>
      </c>
      <c r="G3148" t="s">
        <v>14672</v>
      </c>
      <c r="H3148" t="s">
        <v>13869</v>
      </c>
      <c r="I3148" t="s">
        <v>14690</v>
      </c>
      <c r="J3148" s="62">
        <v>0</v>
      </c>
      <c r="K3148" s="62">
        <v>0</v>
      </c>
      <c r="L3148" t="str">
        <f>VLOOKUP(VALUE(LEFT(C3148,5)),Xref!A:B,2,0)</f>
        <v>SEA</v>
      </c>
      <c r="M3148" t="str">
        <f t="shared" si="199"/>
        <v>NEW-SEA</v>
      </c>
    </row>
    <row r="3149" spans="1:13" ht="14.25" customHeight="true">
      <c r="A3149" s="33" t="str">
        <f t="shared" si="196"/>
        <v>NEW - Intercompany</v>
      </c>
      <c r="B3149" s="33" t="str">
        <f t="shared" si="197"/>
        <v>NEW</v>
      </c>
      <c r="C3149" s="33" t="str">
        <f t="shared" si="198"/>
        <v>11350-0000</v>
      </c>
      <c r="D3149" t="s">
        <v>25114</v>
      </c>
      <c r="E3149" t="s">
        <v>14153</v>
      </c>
      <c r="F3149" t="s">
        <v>14039</v>
      </c>
      <c r="G3149" t="s">
        <v>14672</v>
      </c>
      <c r="H3149" t="s">
        <v>13869</v>
      </c>
      <c r="I3149" t="s">
        <v>14690</v>
      </c>
      <c r="J3149" s="62">
        <v>0</v>
      </c>
      <c r="K3149" s="62">
        <v>-32.79</v>
      </c>
      <c r="L3149" t="str">
        <f>VLOOKUP(VALUE(LEFT(C3149,5)),Xref!A:B,2,0)</f>
        <v>EAL</v>
      </c>
      <c r="M3149" t="str">
        <f t="shared" si="199"/>
        <v>EAL-NEW</v>
      </c>
    </row>
    <row r="3150" spans="1:13" ht="14.25" customHeight="true">
      <c r="A3150" s="33" t="str">
        <f t="shared" si="196"/>
        <v>NEW - Intercompany</v>
      </c>
      <c r="B3150" s="33" t="str">
        <f t="shared" si="197"/>
        <v>NEW</v>
      </c>
      <c r="C3150" s="33" t="str">
        <f t="shared" si="198"/>
        <v>11351-0000</v>
      </c>
      <c r="D3150" t="s">
        <v>25115</v>
      </c>
      <c r="E3150" t="s">
        <v>14155</v>
      </c>
      <c r="F3150" t="s">
        <v>14039</v>
      </c>
      <c r="G3150" t="s">
        <v>14672</v>
      </c>
      <c r="H3150" t="s">
        <v>13869</v>
      </c>
      <c r="I3150" t="s">
        <v>14690</v>
      </c>
      <c r="J3150" s="62">
        <v>0</v>
      </c>
      <c r="K3150" s="62">
        <v>0</v>
      </c>
      <c r="L3150" t="str">
        <f>VLOOKUP(VALUE(LEFT(C3150,5)),Xref!A:B,2,0)</f>
        <v>WEP</v>
      </c>
      <c r="M3150" t="str">
        <f t="shared" si="199"/>
        <v>NEW-WEP</v>
      </c>
    </row>
    <row r="3151" spans="1:13" ht="14.25" customHeight="true">
      <c r="A3151" s="33" t="str">
        <f t="shared" si="196"/>
        <v>NEW - Intercompany</v>
      </c>
      <c r="B3151" s="33" t="str">
        <f t="shared" si="197"/>
        <v>NEW</v>
      </c>
      <c r="C3151" s="33" t="str">
        <f t="shared" si="198"/>
        <v>11352-0000</v>
      </c>
      <c r="D3151" t="s">
        <v>25116</v>
      </c>
      <c r="E3151" t="s">
        <v>13536</v>
      </c>
      <c r="F3151" t="s">
        <v>14039</v>
      </c>
      <c r="G3151" t="s">
        <v>14672</v>
      </c>
      <c r="H3151" t="s">
        <v>13869</v>
      </c>
      <c r="I3151" t="s">
        <v>14690</v>
      </c>
      <c r="J3151" s="62">
        <v>0</v>
      </c>
      <c r="K3151" s="62">
        <v>0</v>
      </c>
      <c r="L3151" t="str">
        <f>VLOOKUP(VALUE(LEFT(C3151,5)),Xref!A:B,2,0)</f>
        <v>KLP</v>
      </c>
      <c r="M3151" t="str">
        <f t="shared" si="199"/>
        <v>KLP-NEW</v>
      </c>
    </row>
    <row r="3152" spans="1:13" ht="14.25" customHeight="true">
      <c r="A3152" s="33" t="str">
        <f t="shared" si="196"/>
        <v>NEW - Intercompany</v>
      </c>
      <c r="B3152" s="33" t="str">
        <f t="shared" si="197"/>
        <v>NEW</v>
      </c>
      <c r="C3152" s="33" t="str">
        <f t="shared" si="198"/>
        <v>11353-0000</v>
      </c>
      <c r="D3152" t="s">
        <v>25117</v>
      </c>
      <c r="E3152" t="s">
        <v>13537</v>
      </c>
      <c r="F3152" t="s">
        <v>14039</v>
      </c>
      <c r="G3152" t="s">
        <v>14672</v>
      </c>
      <c r="H3152" t="s">
        <v>13869</v>
      </c>
      <c r="I3152" t="s">
        <v>14690</v>
      </c>
      <c r="J3152" s="62">
        <v>0</v>
      </c>
      <c r="K3152" s="62">
        <v>0</v>
      </c>
      <c r="L3152" t="str">
        <f>VLOOKUP(VALUE(LEFT(C3152,5)),Xref!A:B,2,0)</f>
        <v>AKC</v>
      </c>
      <c r="M3152" t="str">
        <f t="shared" si="199"/>
        <v>AKC-NEW</v>
      </c>
    </row>
    <row r="3153" spans="1:13" ht="14.25" customHeight="true">
      <c r="A3153" s="33" t="str">
        <f t="shared" si="196"/>
        <v>NEW - Intercompany</v>
      </c>
      <c r="B3153" s="33" t="str">
        <f t="shared" si="197"/>
        <v>NEW</v>
      </c>
      <c r="C3153" s="33" t="str">
        <f t="shared" si="198"/>
        <v>11354-0000</v>
      </c>
      <c r="D3153" t="s">
        <v>25118</v>
      </c>
      <c r="E3153" t="s">
        <v>13538</v>
      </c>
      <c r="F3153" t="s">
        <v>14039</v>
      </c>
      <c r="G3153" t="s">
        <v>14672</v>
      </c>
      <c r="H3153" t="s">
        <v>13869</v>
      </c>
      <c r="I3153" t="s">
        <v>14690</v>
      </c>
      <c r="J3153" s="62">
        <v>0</v>
      </c>
      <c r="K3153" s="62">
        <v>0</v>
      </c>
      <c r="L3153" t="str">
        <f>VLOOKUP(VALUE(LEFT(C3153,5)),Xref!A:B,2,0)</f>
        <v>AKA</v>
      </c>
      <c r="M3153" t="str">
        <f t="shared" si="199"/>
        <v>AKA-NEW</v>
      </c>
    </row>
    <row r="3154" spans="1:13" ht="14.25" customHeight="true">
      <c r="A3154" s="33" t="str">
        <f t="shared" si="196"/>
        <v>NEW - Intercompany</v>
      </c>
      <c r="B3154" s="33" t="str">
        <f t="shared" si="197"/>
        <v>NEW</v>
      </c>
      <c r="C3154" s="33" t="str">
        <f t="shared" si="198"/>
        <v>11355-0000</v>
      </c>
      <c r="D3154" t="s">
        <v>25119</v>
      </c>
      <c r="E3154" t="s">
        <v>13539</v>
      </c>
      <c r="F3154" t="s">
        <v>14039</v>
      </c>
      <c r="G3154" t="s">
        <v>14672</v>
      </c>
      <c r="H3154" t="s">
        <v>13869</v>
      </c>
      <c r="I3154" t="s">
        <v>14690</v>
      </c>
      <c r="J3154" s="62">
        <v>0</v>
      </c>
      <c r="K3154" s="62">
        <v>0</v>
      </c>
      <c r="L3154" t="str">
        <f>VLOOKUP(VALUE(LEFT(C3154,5)),Xref!A:B,2,0)</f>
        <v>SPA</v>
      </c>
      <c r="M3154" t="str">
        <f t="shared" si="199"/>
        <v>NEW-SPA</v>
      </c>
    </row>
    <row r="3155" spans="1:13" ht="14.25" customHeight="true">
      <c r="A3155" s="33" t="str">
        <f t="shared" si="196"/>
        <v>NEW - Intercompany</v>
      </c>
      <c r="B3155" s="33" t="str">
        <f t="shared" si="197"/>
        <v>NEW</v>
      </c>
      <c r="C3155" s="33" t="str">
        <f t="shared" si="198"/>
        <v>11356-0000</v>
      </c>
      <c r="D3155" t="s">
        <v>25120</v>
      </c>
      <c r="E3155" t="s">
        <v>13540</v>
      </c>
      <c r="F3155" t="s">
        <v>14039</v>
      </c>
      <c r="G3155" t="s">
        <v>14672</v>
      </c>
      <c r="H3155" t="s">
        <v>13869</v>
      </c>
      <c r="I3155" t="s">
        <v>14690</v>
      </c>
      <c r="J3155" s="62">
        <v>0</v>
      </c>
      <c r="K3155" s="62">
        <v>0</v>
      </c>
      <c r="L3155" t="str">
        <f>VLOOKUP(VALUE(LEFT(C3155,5)),Xref!A:B,2,0)</f>
        <v>DPM</v>
      </c>
      <c r="M3155" t="str">
        <f t="shared" si="199"/>
        <v>DPM-NEW</v>
      </c>
    </row>
    <row r="3156" spans="1:13" ht="14.25" customHeight="true">
      <c r="A3156" s="33" t="str">
        <f t="shared" si="196"/>
        <v>NEW - Intercompany</v>
      </c>
      <c r="B3156" s="33" t="str">
        <f t="shared" si="197"/>
        <v>NEW</v>
      </c>
      <c r="C3156" s="33" t="str">
        <f t="shared" si="198"/>
        <v>11357-0000</v>
      </c>
      <c r="D3156" t="s">
        <v>25121</v>
      </c>
      <c r="E3156" t="s">
        <v>13541</v>
      </c>
      <c r="F3156" t="s">
        <v>14039</v>
      </c>
      <c r="G3156" t="s">
        <v>14672</v>
      </c>
      <c r="H3156" t="s">
        <v>13869</v>
      </c>
      <c r="I3156" t="s">
        <v>14690</v>
      </c>
      <c r="J3156" s="62">
        <v>0</v>
      </c>
      <c r="K3156" s="62">
        <v>0</v>
      </c>
      <c r="L3156" t="str">
        <f>VLOOKUP(VALUE(LEFT(C3156,5)),Xref!A:B,2,0)</f>
        <v>HDM</v>
      </c>
      <c r="M3156" t="str">
        <f t="shared" si="199"/>
        <v>HDM-NEW</v>
      </c>
    </row>
    <row r="3157" spans="1:13" ht="14.25" customHeight="true">
      <c r="A3157" s="33" t="str">
        <f t="shared" si="196"/>
        <v>NEW - Intercompany</v>
      </c>
      <c r="B3157" s="33" t="str">
        <f t="shared" si="197"/>
        <v>NEW</v>
      </c>
      <c r="C3157" s="33" t="str">
        <f t="shared" si="198"/>
        <v>11358-0000</v>
      </c>
      <c r="D3157" t="s">
        <v>25122</v>
      </c>
      <c r="E3157" t="s">
        <v>13542</v>
      </c>
      <c r="F3157" t="s">
        <v>14039</v>
      </c>
      <c r="G3157" t="s">
        <v>14672</v>
      </c>
      <c r="H3157" t="s">
        <v>13869</v>
      </c>
      <c r="I3157" t="s">
        <v>14690</v>
      </c>
      <c r="J3157" s="62">
        <v>0</v>
      </c>
      <c r="K3157" s="62">
        <v>0</v>
      </c>
      <c r="L3157" t="str">
        <f>VLOOKUP(VALUE(LEFT(C3157,5)),Xref!A:B,2,0)</f>
        <v>GRA</v>
      </c>
      <c r="M3157" t="str">
        <f t="shared" si="199"/>
        <v>GRA-NEW</v>
      </c>
    </row>
    <row r="3158" spans="1:13" ht="14.25" customHeight="true">
      <c r="A3158" s="33" t="str">
        <f t="shared" si="196"/>
        <v>NEW - Intercompany</v>
      </c>
      <c r="B3158" s="33" t="str">
        <f t="shared" si="197"/>
        <v>NEW</v>
      </c>
      <c r="C3158" s="33" t="str">
        <f t="shared" si="198"/>
        <v>11359-0000</v>
      </c>
      <c r="D3158" t="s">
        <v>25123</v>
      </c>
      <c r="E3158" t="s">
        <v>13543</v>
      </c>
      <c r="F3158" t="s">
        <v>14039</v>
      </c>
      <c r="G3158" t="s">
        <v>14672</v>
      </c>
      <c r="H3158" t="s">
        <v>13869</v>
      </c>
      <c r="I3158" t="s">
        <v>14690</v>
      </c>
      <c r="J3158" s="62">
        <v>0</v>
      </c>
      <c r="K3158" s="62">
        <v>0</v>
      </c>
      <c r="L3158" t="str">
        <f>VLOOKUP(VALUE(LEFT(C3158,5)),Xref!A:B,2,0)</f>
        <v>TPI</v>
      </c>
      <c r="M3158" t="str">
        <f t="shared" si="199"/>
        <v>NEW-TPI</v>
      </c>
    </row>
    <row r="3159" spans="1:13" ht="14.25" customHeight="true">
      <c r="A3159" s="33" t="str">
        <f t="shared" si="196"/>
        <v>NEW - Intercompany</v>
      </c>
      <c r="B3159" s="33" t="str">
        <f t="shared" si="197"/>
        <v>NEW</v>
      </c>
      <c r="C3159" s="33" t="str">
        <f t="shared" si="198"/>
        <v>11361-0000</v>
      </c>
      <c r="D3159" t="s">
        <v>25124</v>
      </c>
      <c r="E3159" t="s">
        <v>14165</v>
      </c>
      <c r="F3159" t="s">
        <v>14039</v>
      </c>
      <c r="G3159" t="s">
        <v>14672</v>
      </c>
      <c r="H3159" t="s">
        <v>13869</v>
      </c>
      <c r="I3159" t="s">
        <v>14690</v>
      </c>
      <c r="J3159" s="62">
        <v>0</v>
      </c>
      <c r="K3159" s="62">
        <v>0</v>
      </c>
      <c r="L3159" t="str">
        <f>VLOOKUP(VALUE(LEFT(C3159,5)),Xref!A:B,2,0)</f>
        <v>GSM</v>
      </c>
      <c r="M3159" t="str">
        <f t="shared" si="199"/>
        <v>GSM-NEW</v>
      </c>
    </row>
    <row r="3160" spans="1:13" ht="14.25" customHeight="true">
      <c r="A3160" s="33" t="str">
        <f t="shared" si="196"/>
        <v>NEW - Intercompany</v>
      </c>
      <c r="B3160" s="33" t="str">
        <f t="shared" si="197"/>
        <v>NEW</v>
      </c>
      <c r="C3160" s="33" t="str">
        <f t="shared" si="198"/>
        <v>11363-0000</v>
      </c>
      <c r="D3160" t="s">
        <v>25125</v>
      </c>
      <c r="E3160" t="s">
        <v>13544</v>
      </c>
      <c r="F3160" t="s">
        <v>14039</v>
      </c>
      <c r="G3160" t="s">
        <v>14672</v>
      </c>
      <c r="H3160" t="s">
        <v>13869</v>
      </c>
      <c r="I3160" t="s">
        <v>14690</v>
      </c>
      <c r="J3160" s="62">
        <v>0</v>
      </c>
      <c r="K3160" s="62">
        <v>0</v>
      </c>
      <c r="L3160" t="str">
        <f>VLOOKUP(VALUE(LEFT(C3160,5)),Xref!A:B,2,0)</f>
        <v>SOF</v>
      </c>
      <c r="M3160" t="str">
        <f t="shared" si="199"/>
        <v>NEW-SOF</v>
      </c>
    </row>
    <row r="3161" spans="1:13" ht="14.25" customHeight="true">
      <c r="A3161" s="33" t="str">
        <f t="shared" si="196"/>
        <v>NEW - Intercompany</v>
      </c>
      <c r="B3161" s="33" t="str">
        <f t="shared" si="197"/>
        <v>NEW</v>
      </c>
      <c r="C3161" s="33" t="str">
        <f t="shared" si="198"/>
        <v>11364-0000</v>
      </c>
      <c r="D3161" t="s">
        <v>25126</v>
      </c>
      <c r="E3161" t="s">
        <v>14168</v>
      </c>
      <c r="F3161" t="s">
        <v>14039</v>
      </c>
      <c r="G3161" t="s">
        <v>14672</v>
      </c>
      <c r="H3161" t="s">
        <v>13869</v>
      </c>
      <c r="I3161" t="s">
        <v>14690</v>
      </c>
      <c r="J3161" s="62">
        <v>0</v>
      </c>
      <c r="K3161" s="62">
        <v>0</v>
      </c>
      <c r="L3161" t="e">
        <f>VLOOKUP(VALUE(LEFT(C3161,5)),Xref!A:B,2,0)</f>
        <v>#N/A</v>
      </c>
      <c r="M3161" t="e">
        <f t="shared" si="199"/>
        <v>#N/A</v>
      </c>
    </row>
    <row r="3162" spans="1:13" ht="14.25" customHeight="true">
      <c r="A3162" s="33" t="str">
        <f t="shared" si="196"/>
        <v>NEW - Intercompany</v>
      </c>
      <c r="B3162" s="33" t="str">
        <f t="shared" si="197"/>
        <v>NEW</v>
      </c>
      <c r="C3162" s="33" t="str">
        <f t="shared" si="198"/>
        <v>11365-0000</v>
      </c>
      <c r="D3162" t="s">
        <v>25127</v>
      </c>
      <c r="E3162" t="s">
        <v>14170</v>
      </c>
      <c r="F3162" t="s">
        <v>14039</v>
      </c>
      <c r="G3162" t="s">
        <v>14672</v>
      </c>
      <c r="H3162" t="s">
        <v>13869</v>
      </c>
      <c r="I3162" t="s">
        <v>14690</v>
      </c>
      <c r="J3162" s="62">
        <v>0</v>
      </c>
      <c r="K3162" s="62">
        <v>0</v>
      </c>
      <c r="L3162" t="e">
        <f>VLOOKUP(VALUE(LEFT(C3162,5)),Xref!A:B,2,0)</f>
        <v>#N/A</v>
      </c>
      <c r="M3162" t="e">
        <f t="shared" si="199"/>
        <v>#N/A</v>
      </c>
    </row>
    <row r="3163" spans="1:13" ht="14.25" customHeight="true">
      <c r="A3163" s="33" t="str">
        <f t="shared" si="196"/>
        <v>NEW - Intercompany</v>
      </c>
      <c r="B3163" s="33" t="str">
        <f t="shared" si="197"/>
        <v>NEW</v>
      </c>
      <c r="C3163" s="33" t="str">
        <f t="shared" si="198"/>
        <v>11366-0000</v>
      </c>
      <c r="D3163" t="s">
        <v>25128</v>
      </c>
      <c r="E3163" t="s">
        <v>14172</v>
      </c>
      <c r="G3163" t="s">
        <v>14672</v>
      </c>
      <c r="H3163" t="s">
        <v>13869</v>
      </c>
      <c r="I3163" t="s">
        <v>14690</v>
      </c>
      <c r="J3163" s="62">
        <v>0</v>
      </c>
      <c r="K3163" s="62">
        <v>0</v>
      </c>
      <c r="L3163" t="e">
        <f>VLOOKUP(VALUE(LEFT(C3163,5)),Xref!A:B,2,0)</f>
        <v>#N/A</v>
      </c>
      <c r="M3163" t="e">
        <f t="shared" si="199"/>
        <v>#N/A</v>
      </c>
    </row>
    <row r="3164" spans="1:13" ht="14.25" customHeight="true">
      <c r="A3164" s="33" t="str">
        <f t="shared" si="196"/>
        <v>NEW - Intercompany</v>
      </c>
      <c r="B3164" s="33" t="str">
        <f t="shared" si="197"/>
        <v>NEW</v>
      </c>
      <c r="C3164" s="33" t="str">
        <f t="shared" si="198"/>
        <v>11402-0000</v>
      </c>
      <c r="D3164" t="s">
        <v>1761</v>
      </c>
      <c r="E3164" t="s">
        <v>14174</v>
      </c>
      <c r="G3164" t="s">
        <v>14672</v>
      </c>
      <c r="H3164" t="s">
        <v>13869</v>
      </c>
      <c r="I3164" t="s">
        <v>14690</v>
      </c>
      <c r="J3164" s="62">
        <v>0</v>
      </c>
      <c r="K3164" s="62">
        <v>0</v>
      </c>
      <c r="L3164" t="str">
        <f>VLOOKUP(VALUE(LEFT(C3164,5)),Xref!A:B,2,0)</f>
        <v>DPI</v>
      </c>
      <c r="M3164" t="str">
        <f t="shared" si="199"/>
        <v>DPI-NEW</v>
      </c>
    </row>
    <row r="3165" spans="1:13" ht="14.25" customHeight="true">
      <c r="A3165" s="33" t="str">
        <f t="shared" si="196"/>
        <v>NEW - Intercompany</v>
      </c>
      <c r="B3165" s="33" t="str">
        <f t="shared" si="197"/>
        <v>NEW</v>
      </c>
      <c r="C3165" s="33" t="str">
        <f t="shared" si="198"/>
        <v>11403-0000</v>
      </c>
      <c r="D3165" t="s">
        <v>25129</v>
      </c>
      <c r="E3165" t="s">
        <v>14176</v>
      </c>
      <c r="G3165" t="s">
        <v>14672</v>
      </c>
      <c r="H3165" t="s">
        <v>13869</v>
      </c>
      <c r="I3165" t="s">
        <v>14690</v>
      </c>
      <c r="J3165" s="62">
        <v>0</v>
      </c>
      <c r="K3165" s="62">
        <v>0</v>
      </c>
      <c r="L3165" t="str">
        <f>VLOOKUP(VALUE(LEFT(C3165,5)),Xref!A:B,2,0)</f>
        <v>SEA</v>
      </c>
      <c r="M3165" t="str">
        <f t="shared" si="199"/>
        <v>NEW-SEA</v>
      </c>
    </row>
    <row r="3166" spans="1:13" ht="14.25" customHeight="true">
      <c r="A3166" s="33" t="str">
        <f t="shared" si="196"/>
        <v>NEW - Intercompany</v>
      </c>
      <c r="B3166" s="33" t="str">
        <f t="shared" si="197"/>
        <v>NEW</v>
      </c>
      <c r="C3166" s="33" t="str">
        <f t="shared" si="198"/>
        <v>12400-0000</v>
      </c>
      <c r="D3166" t="s">
        <v>25132</v>
      </c>
      <c r="E3166" t="s">
        <v>14185</v>
      </c>
      <c r="F3166" t="s">
        <v>14039</v>
      </c>
      <c r="G3166" t="s">
        <v>14672</v>
      </c>
      <c r="H3166" t="s">
        <v>13869</v>
      </c>
      <c r="I3166" t="s">
        <v>14690</v>
      </c>
      <c r="J3166" s="62">
        <v>0</v>
      </c>
      <c r="K3166" s="62">
        <v>0</v>
      </c>
      <c r="L3166" t="str">
        <f>VLOOKUP(VALUE(LEFT(C3166,5)),Xref!A:B,2,0)</f>
        <v>aka</v>
      </c>
      <c r="M3166" t="str">
        <f t="shared" si="199"/>
        <v>aka-NEW</v>
      </c>
    </row>
    <row r="3167" spans="1:13" ht="14.25" customHeight="true">
      <c r="A3167" s="33" t="str">
        <f t="shared" si="196"/>
        <v>NEW - Intercompany</v>
      </c>
      <c r="B3167" s="33" t="str">
        <f t="shared" si="197"/>
        <v>NEW</v>
      </c>
      <c r="C3167" s="33" t="str">
        <f t="shared" si="198"/>
        <v>12401-0000</v>
      </c>
      <c r="D3167" t="s">
        <v>25133</v>
      </c>
      <c r="E3167" t="s">
        <v>14187</v>
      </c>
      <c r="F3167" t="s">
        <v>14039</v>
      </c>
      <c r="G3167" t="s">
        <v>14672</v>
      </c>
      <c r="H3167" t="s">
        <v>13869</v>
      </c>
      <c r="I3167" t="s">
        <v>14690</v>
      </c>
      <c r="J3167" s="62">
        <v>0</v>
      </c>
      <c r="K3167" s="62">
        <v>0</v>
      </c>
      <c r="L3167" t="str">
        <f>VLOOKUP(VALUE(LEFT(C3167,5)),Xref!A:B,2,0)</f>
        <v>aka</v>
      </c>
      <c r="M3167" t="str">
        <f t="shared" si="199"/>
        <v>aka-NEW</v>
      </c>
    </row>
    <row r="3168" spans="1:13" ht="14.25" customHeight="true">
      <c r="A3168" s="33" t="str">
        <f t="shared" si="196"/>
        <v>NEW - Intercompany</v>
      </c>
      <c r="B3168" s="33" t="str">
        <f t="shared" si="197"/>
        <v>NEW</v>
      </c>
      <c r="C3168" s="33" t="str">
        <f t="shared" si="198"/>
        <v>12402-0000</v>
      </c>
      <c r="D3168" t="s">
        <v>25134</v>
      </c>
      <c r="E3168" t="s">
        <v>14189</v>
      </c>
      <c r="F3168" t="s">
        <v>14039</v>
      </c>
      <c r="G3168" t="s">
        <v>14672</v>
      </c>
      <c r="H3168" t="s">
        <v>13869</v>
      </c>
      <c r="I3168" t="s">
        <v>14690</v>
      </c>
      <c r="J3168" s="62">
        <v>0</v>
      </c>
      <c r="K3168" s="62">
        <v>100000</v>
      </c>
      <c r="L3168" t="str">
        <f>VLOOKUP(VALUE(LEFT(C3168,5)),Xref!A:B,2,0)</f>
        <v>aka</v>
      </c>
      <c r="M3168" t="str">
        <f t="shared" si="199"/>
        <v>aka-NEW</v>
      </c>
    </row>
    <row r="3169" spans="1:13" ht="14.25" customHeight="true">
      <c r="A3169" s="33" t="str">
        <f t="shared" si="196"/>
        <v>NEW - Intercompany</v>
      </c>
      <c r="B3169" s="33" t="str">
        <f t="shared" si="197"/>
        <v>NEW</v>
      </c>
      <c r="C3169" s="33" t="str">
        <f t="shared" si="198"/>
        <v>12403-0000</v>
      </c>
      <c r="D3169" t="s">
        <v>25135</v>
      </c>
      <c r="E3169" t="s">
        <v>5226</v>
      </c>
      <c r="F3169" t="s">
        <v>14039</v>
      </c>
      <c r="G3169" t="s">
        <v>14672</v>
      </c>
      <c r="H3169" t="s">
        <v>13869</v>
      </c>
      <c r="I3169" t="s">
        <v>14690</v>
      </c>
      <c r="J3169" s="62">
        <v>0</v>
      </c>
      <c r="K3169" s="62">
        <v>0</v>
      </c>
      <c r="L3169" t="str">
        <f>VLOOKUP(VALUE(LEFT(C3169,5)),Xref!A:B,2,0)</f>
        <v>aka</v>
      </c>
      <c r="M3169" t="str">
        <f t="shared" si="199"/>
        <v>aka-NEW</v>
      </c>
    </row>
    <row r="3170" spans="1:13" ht="14.25" customHeight="true">
      <c r="A3170" s="33" t="str">
        <f t="shared" si="196"/>
        <v>NEW - Intercompany</v>
      </c>
      <c r="B3170" s="33" t="str">
        <f t="shared" si="197"/>
        <v>NEW</v>
      </c>
      <c r="C3170" s="33" t="str">
        <f t="shared" si="198"/>
        <v>12501-0000</v>
      </c>
      <c r="D3170" t="s">
        <v>25136</v>
      </c>
      <c r="E3170" t="s">
        <v>14192</v>
      </c>
      <c r="F3170" t="s">
        <v>14039</v>
      </c>
      <c r="G3170" t="s">
        <v>14672</v>
      </c>
      <c r="H3170" t="s">
        <v>13869</v>
      </c>
      <c r="I3170" t="s">
        <v>14690</v>
      </c>
      <c r="J3170" s="62">
        <v>0</v>
      </c>
      <c r="K3170" s="62">
        <v>0</v>
      </c>
      <c r="L3170" t="str">
        <f>VLOOKUP(VALUE(LEFT(C3170,5)),Xref!A:B,2,0)</f>
        <v>aka</v>
      </c>
      <c r="M3170" t="str">
        <f t="shared" si="199"/>
        <v>aka-NEW</v>
      </c>
    </row>
    <row r="3171" spans="1:13" ht="14.25" customHeight="true">
      <c r="A3171" s="33" t="str">
        <f t="shared" si="196"/>
        <v>NEW - InterCo Notes</v>
      </c>
      <c r="B3171" s="33" t="str">
        <f t="shared" si="197"/>
        <v>NEW</v>
      </c>
      <c r="C3171" s="33" t="str">
        <f t="shared" si="198"/>
        <v>25600-0000</v>
      </c>
      <c r="D3171" t="s">
        <v>25186</v>
      </c>
      <c r="E3171" t="s">
        <v>314</v>
      </c>
      <c r="F3171" t="s">
        <v>14039</v>
      </c>
      <c r="G3171" t="s">
        <v>14672</v>
      </c>
      <c r="H3171" t="s">
        <v>13889</v>
      </c>
      <c r="I3171" t="s">
        <v>14690</v>
      </c>
      <c r="J3171" s="62">
        <v>0</v>
      </c>
      <c r="K3171" s="62">
        <v>0</v>
      </c>
      <c r="L3171" t="str">
        <f>VLOOKUP(VALUE(LEFT(C3171,5)),Xref!A:B,2,0)</f>
        <v>D7</v>
      </c>
      <c r="M3171" t="str">
        <f t="shared" si="199"/>
        <v>D7-NEW</v>
      </c>
    </row>
    <row r="3172" spans="1:13" ht="14.25" customHeight="true">
      <c r="A3172" s="33" t="str">
        <f t="shared" si="196"/>
        <v>NEW - InterCo Notes</v>
      </c>
      <c r="B3172" s="33" t="str">
        <f t="shared" si="197"/>
        <v>NEW</v>
      </c>
      <c r="C3172" s="33" t="str">
        <f t="shared" si="198"/>
        <v>25602-0000</v>
      </c>
      <c r="D3172" t="s">
        <v>25188</v>
      </c>
      <c r="E3172" t="s">
        <v>13426</v>
      </c>
      <c r="F3172" t="s">
        <v>14039</v>
      </c>
      <c r="G3172" t="s">
        <v>14672</v>
      </c>
      <c r="H3172" t="s">
        <v>13889</v>
      </c>
      <c r="I3172" t="s">
        <v>14690</v>
      </c>
      <c r="J3172" s="62">
        <v>0</v>
      </c>
      <c r="K3172" s="62">
        <v>0</v>
      </c>
      <c r="L3172" t="str">
        <f>VLOOKUP(VALUE(LEFT(C3172,5)),Xref!A:B,2,0)</f>
        <v>DFLP</v>
      </c>
      <c r="M3172" t="str">
        <f t="shared" si="199"/>
        <v>DFLP-NEW</v>
      </c>
    </row>
    <row r="3173" spans="1:13" ht="14.25" customHeight="true">
      <c r="A3173" s="33" t="str">
        <f t="shared" si="196"/>
        <v>NEW - InterCo Notes</v>
      </c>
      <c r="B3173" s="33" t="str">
        <f t="shared" si="197"/>
        <v>NEW</v>
      </c>
      <c r="C3173" s="33" t="str">
        <f t="shared" si="198"/>
        <v>25603-0000</v>
      </c>
      <c r="D3173" t="s">
        <v>25189</v>
      </c>
      <c r="E3173" t="s">
        <v>14311</v>
      </c>
      <c r="F3173" t="s">
        <v>14039</v>
      </c>
      <c r="G3173" t="s">
        <v>14832</v>
      </c>
      <c r="H3173" t="s">
        <v>13889</v>
      </c>
      <c r="I3173" t="s">
        <v>14690</v>
      </c>
      <c r="J3173" s="62">
        <v>0</v>
      </c>
      <c r="K3173" s="62">
        <v>0</v>
      </c>
      <c r="L3173" t="str">
        <f>VLOOKUP(VALUE(LEFT(C3173,5)),Xref!A:B,2,0)</f>
        <v>aka</v>
      </c>
      <c r="M3173" t="str">
        <f t="shared" si="199"/>
        <v>aka-NEW</v>
      </c>
    </row>
    <row r="3174" spans="1:13" ht="14.25" customHeight="true">
      <c r="A3174" s="33" t="str">
        <f t="shared" si="196"/>
        <v>NEW - Intercompany</v>
      </c>
      <c r="B3174" s="33" t="str">
        <f t="shared" si="197"/>
        <v>NEW</v>
      </c>
      <c r="C3174" s="33" t="str">
        <f t="shared" si="198"/>
        <v>25604-0000</v>
      </c>
      <c r="D3174" t="s">
        <v>25190</v>
      </c>
      <c r="E3174" t="s">
        <v>13490</v>
      </c>
      <c r="F3174" t="s">
        <v>14039</v>
      </c>
      <c r="G3174" t="s">
        <v>14672</v>
      </c>
      <c r="H3174" t="s">
        <v>13869</v>
      </c>
      <c r="I3174" t="s">
        <v>14690</v>
      </c>
      <c r="J3174" s="62">
        <v>0</v>
      </c>
      <c r="K3174" s="62">
        <v>0</v>
      </c>
      <c r="L3174">
        <f>VLOOKUP(VALUE(LEFT(C3174,5)),Xref!A:B,2,0)</f>
        <v>0</v>
      </c>
      <c r="M3174" t="str">
        <f t="shared" si="199"/>
        <v>0-NEW</v>
      </c>
    </row>
    <row r="3175" spans="1:13" ht="14.25" customHeight="true">
      <c r="A3175" s="33" t="str">
        <f t="shared" si="196"/>
        <v>NWS - Intercompany</v>
      </c>
      <c r="B3175" s="33" t="str">
        <f t="shared" si="197"/>
        <v>NWS</v>
      </c>
      <c r="C3175" s="33" t="str">
        <f t="shared" si="198"/>
        <v>11217-0000</v>
      </c>
      <c r="D3175" t="s">
        <v>1795</v>
      </c>
      <c r="E3175" t="s">
        <v>172</v>
      </c>
      <c r="F3175" t="s">
        <v>30885</v>
      </c>
      <c r="G3175" t="s">
        <v>16</v>
      </c>
      <c r="H3175" t="s">
        <v>13869</v>
      </c>
      <c r="I3175" t="s">
        <v>40</v>
      </c>
      <c r="J3175" s="62">
        <v>14027.81</v>
      </c>
      <c r="K3175" s="62">
        <v>21586.44</v>
      </c>
      <c r="L3175" t="str">
        <f>VLOOKUP(VALUE(LEFT(C3175,5)),Xref!A:B,2,0)</f>
        <v>2SH</v>
      </c>
      <c r="M3175" t="str">
        <f t="shared" si="199"/>
        <v>2SH-NWS</v>
      </c>
    </row>
    <row r="3176" spans="1:13" ht="14.25" customHeight="true">
      <c r="A3176" s="33" t="str">
        <f t="shared" si="196"/>
        <v>NWS - Intercompany</v>
      </c>
      <c r="B3176" s="33" t="str">
        <f t="shared" si="197"/>
        <v>NWS</v>
      </c>
      <c r="C3176" s="33" t="str">
        <f t="shared" si="198"/>
        <v>11218-0000</v>
      </c>
      <c r="D3176" t="s">
        <v>1796</v>
      </c>
      <c r="E3176" t="s">
        <v>42</v>
      </c>
      <c r="F3176" t="s">
        <v>30885</v>
      </c>
      <c r="G3176" t="s">
        <v>16</v>
      </c>
      <c r="H3176" t="s">
        <v>13869</v>
      </c>
      <c r="I3176" t="s">
        <v>40</v>
      </c>
      <c r="J3176" s="62">
        <v>5872.35</v>
      </c>
      <c r="K3176" s="62">
        <v>13513.78</v>
      </c>
      <c r="L3176" t="str">
        <f>VLOOKUP(VALUE(LEFT(C3176,5)),Xref!A:B,2,0)</f>
        <v>3SI</v>
      </c>
      <c r="M3176" t="str">
        <f t="shared" si="199"/>
        <v>3SI-NWS</v>
      </c>
    </row>
    <row r="3177" spans="1:13" ht="14.25" customHeight="true">
      <c r="A3177" s="33" t="str">
        <f t="shared" si="196"/>
        <v>OVA - Intercompany</v>
      </c>
      <c r="B3177" s="33" t="str">
        <f t="shared" si="197"/>
        <v>OVA</v>
      </c>
      <c r="C3177" s="33" t="str">
        <f t="shared" si="198"/>
        <v>11200-0000</v>
      </c>
      <c r="D3177" t="s">
        <v>25375</v>
      </c>
      <c r="E3177" t="s">
        <v>14069</v>
      </c>
      <c r="F3177" t="s">
        <v>14039</v>
      </c>
      <c r="G3177" t="s">
        <v>14672</v>
      </c>
      <c r="H3177" t="s">
        <v>13869</v>
      </c>
      <c r="I3177" t="s">
        <v>14690</v>
      </c>
      <c r="J3177" s="62">
        <v>0</v>
      </c>
      <c r="K3177" s="62">
        <v>0</v>
      </c>
      <c r="L3177" t="str">
        <f>VLOOKUP(VALUE(LEFT(C3177,5)),Xref!A:B,2,0)</f>
        <v>SCL</v>
      </c>
      <c r="M3177" t="str">
        <f t="shared" si="199"/>
        <v>OVA-SCL</v>
      </c>
    </row>
    <row r="3178" spans="1:13" ht="14.25" customHeight="true">
      <c r="A3178" s="33" t="str">
        <f t="shared" si="196"/>
        <v>OVA - Intercompany</v>
      </c>
      <c r="B3178" s="33" t="str">
        <f t="shared" si="197"/>
        <v>OVA</v>
      </c>
      <c r="C3178" s="33" t="str">
        <f t="shared" si="198"/>
        <v>11201-0000</v>
      </c>
      <c r="D3178" t="s">
        <v>25376</v>
      </c>
      <c r="E3178" t="s">
        <v>14071</v>
      </c>
      <c r="F3178" t="s">
        <v>14039</v>
      </c>
      <c r="G3178" t="s">
        <v>14672</v>
      </c>
      <c r="H3178" t="s">
        <v>13869</v>
      </c>
      <c r="I3178" t="s">
        <v>14690</v>
      </c>
      <c r="J3178" s="62">
        <v>0</v>
      </c>
      <c r="K3178" s="62">
        <v>0</v>
      </c>
      <c r="L3178" t="str">
        <f>VLOOKUP(VALUE(LEFT(C3178,5)),Xref!A:B,2,0)</f>
        <v>SG2</v>
      </c>
      <c r="M3178" t="str">
        <f t="shared" si="199"/>
        <v>OVA-SG2</v>
      </c>
    </row>
    <row r="3179" spans="1:13" ht="14.25" customHeight="true">
      <c r="A3179" s="33" t="str">
        <f t="shared" si="196"/>
        <v>OVA - Intercompany</v>
      </c>
      <c r="B3179" s="33" t="str">
        <f t="shared" si="197"/>
        <v>OVA</v>
      </c>
      <c r="C3179" s="33" t="str">
        <f t="shared" si="198"/>
        <v>11202-0000</v>
      </c>
      <c r="D3179" t="s">
        <v>25377</v>
      </c>
      <c r="E3179" t="s">
        <v>14073</v>
      </c>
      <c r="F3179" t="s">
        <v>14039</v>
      </c>
      <c r="G3179" t="s">
        <v>14672</v>
      </c>
      <c r="H3179" t="s">
        <v>13869</v>
      </c>
      <c r="I3179" t="s">
        <v>14690</v>
      </c>
      <c r="J3179" s="62">
        <v>0</v>
      </c>
      <c r="K3179" s="62">
        <v>0</v>
      </c>
      <c r="L3179" t="str">
        <f>VLOOKUP(VALUE(LEFT(C3179,5)),Xref!A:B,2,0)</f>
        <v>FFC</v>
      </c>
      <c r="M3179" t="str">
        <f t="shared" si="199"/>
        <v>FFC-OVA</v>
      </c>
    </row>
    <row r="3180" spans="1:13" ht="14.25" customHeight="true">
      <c r="A3180" s="33" t="str">
        <f t="shared" si="196"/>
        <v>OVA - Intercompany</v>
      </c>
      <c r="B3180" s="33" t="str">
        <f t="shared" si="197"/>
        <v>OVA</v>
      </c>
      <c r="C3180" s="33" t="str">
        <f t="shared" si="198"/>
        <v>11203-0000</v>
      </c>
      <c r="D3180" t="s">
        <v>25378</v>
      </c>
      <c r="E3180" t="s">
        <v>14075</v>
      </c>
      <c r="F3180" t="s">
        <v>14039</v>
      </c>
      <c r="G3180" t="s">
        <v>14672</v>
      </c>
      <c r="H3180" t="s">
        <v>13869</v>
      </c>
      <c r="I3180" t="s">
        <v>14690</v>
      </c>
      <c r="J3180" s="62">
        <v>0</v>
      </c>
      <c r="K3180" s="62">
        <v>0</v>
      </c>
      <c r="L3180" t="str">
        <f>VLOOKUP(VALUE(LEFT(C3180,5)),Xref!A:B,2,0)</f>
        <v>HN2</v>
      </c>
      <c r="M3180" t="str">
        <f t="shared" si="199"/>
        <v>HN2-OVA</v>
      </c>
    </row>
    <row r="3181" spans="1:13" ht="14.25" customHeight="true">
      <c r="A3181" s="33" t="str">
        <f t="shared" si="196"/>
        <v>OVA - Intercompany</v>
      </c>
      <c r="B3181" s="33" t="str">
        <f t="shared" si="197"/>
        <v>OVA</v>
      </c>
      <c r="C3181" s="33" t="str">
        <f t="shared" si="198"/>
        <v>11204-0000</v>
      </c>
      <c r="D3181" t="s">
        <v>25379</v>
      </c>
      <c r="E3181" t="s">
        <v>14077</v>
      </c>
      <c r="F3181" t="s">
        <v>14039</v>
      </c>
      <c r="G3181" t="s">
        <v>14672</v>
      </c>
      <c r="H3181" t="s">
        <v>13869</v>
      </c>
      <c r="I3181" t="s">
        <v>14690</v>
      </c>
      <c r="J3181" s="62">
        <v>0</v>
      </c>
      <c r="K3181" s="62">
        <v>0</v>
      </c>
      <c r="L3181" t="str">
        <f>VLOOKUP(VALUE(LEFT(C3181,5)),Xref!A:B,2,0)</f>
        <v>DF2</v>
      </c>
      <c r="M3181" t="str">
        <f t="shared" si="199"/>
        <v>DF2-OVA</v>
      </c>
    </row>
    <row r="3182" spans="1:13" ht="14.25" customHeight="true">
      <c r="A3182" s="33" t="str">
        <f t="shared" si="196"/>
        <v>OVA - Intercompany</v>
      </c>
      <c r="B3182" s="33" t="str">
        <f t="shared" si="197"/>
        <v>OVA</v>
      </c>
      <c r="C3182" s="33" t="str">
        <f t="shared" si="198"/>
        <v>11208-0000</v>
      </c>
      <c r="D3182" t="s">
        <v>25380</v>
      </c>
      <c r="E3182" t="s">
        <v>14079</v>
      </c>
      <c r="F3182" t="s">
        <v>14039</v>
      </c>
      <c r="G3182" t="s">
        <v>14672</v>
      </c>
      <c r="H3182" t="s">
        <v>13869</v>
      </c>
      <c r="I3182" t="s">
        <v>14690</v>
      </c>
      <c r="J3182" s="62">
        <v>0</v>
      </c>
      <c r="K3182" s="62">
        <v>0</v>
      </c>
      <c r="L3182" t="str">
        <f>VLOOKUP(VALUE(LEFT(C3182,5)),Xref!A:B,2,0)</f>
        <v>SRE</v>
      </c>
      <c r="M3182" t="str">
        <f t="shared" si="199"/>
        <v>OVA-SRE</v>
      </c>
    </row>
    <row r="3183" spans="1:13" ht="14.25" customHeight="true">
      <c r="A3183" s="33" t="str">
        <f t="shared" si="196"/>
        <v>OVA - Intercompany</v>
      </c>
      <c r="B3183" s="33" t="str">
        <f t="shared" si="197"/>
        <v>OVA</v>
      </c>
      <c r="C3183" s="33" t="str">
        <f t="shared" si="198"/>
        <v>11210-0000</v>
      </c>
      <c r="D3183" t="s">
        <v>25381</v>
      </c>
      <c r="E3183" t="s">
        <v>14081</v>
      </c>
      <c r="F3183" t="s">
        <v>14039</v>
      </c>
      <c r="G3183" t="s">
        <v>14672</v>
      </c>
      <c r="H3183" t="s">
        <v>13869</v>
      </c>
      <c r="I3183" t="s">
        <v>14690</v>
      </c>
      <c r="J3183" s="62">
        <v>0</v>
      </c>
      <c r="K3183" s="62">
        <v>0</v>
      </c>
      <c r="L3183" t="str">
        <f>VLOOKUP(VALUE(LEFT(C3183,5)),Xref!A:B,2,0)</f>
        <v>REM</v>
      </c>
      <c r="M3183" t="str">
        <f t="shared" si="199"/>
        <v>OVA-REM</v>
      </c>
    </row>
    <row r="3184" spans="1:13" ht="14.25" customHeight="true">
      <c r="A3184" s="33" t="str">
        <f t="shared" si="196"/>
        <v>OVA - Intercompany</v>
      </c>
      <c r="B3184" s="33" t="str">
        <f t="shared" si="197"/>
        <v>OVA</v>
      </c>
      <c r="C3184" s="33" t="str">
        <f t="shared" si="198"/>
        <v>11212-0000</v>
      </c>
      <c r="D3184" t="s">
        <v>25382</v>
      </c>
      <c r="E3184" t="s">
        <v>14083</v>
      </c>
      <c r="F3184" t="s">
        <v>14039</v>
      </c>
      <c r="G3184" t="s">
        <v>14672</v>
      </c>
      <c r="H3184" t="s">
        <v>13869</v>
      </c>
      <c r="I3184" t="s">
        <v>14690</v>
      </c>
      <c r="J3184" s="62">
        <v>0</v>
      </c>
      <c r="K3184" s="62">
        <v>0</v>
      </c>
      <c r="L3184" t="str">
        <f>VLOOKUP(VALUE(LEFT(C3184,5)),Xref!A:B,2,0)</f>
        <v>FRM</v>
      </c>
      <c r="M3184" t="str">
        <f t="shared" si="199"/>
        <v>FRM-OVA</v>
      </c>
    </row>
    <row r="3185" spans="1:13" ht="14.25" customHeight="true">
      <c r="A3185" s="33" t="str">
        <f t="shared" si="196"/>
        <v>OVA - Intercompany</v>
      </c>
      <c r="B3185" s="33" t="str">
        <f t="shared" si="197"/>
        <v>OVA</v>
      </c>
      <c r="C3185" s="33" t="str">
        <f t="shared" si="198"/>
        <v>11214-0000</v>
      </c>
      <c r="D3185" t="s">
        <v>25383</v>
      </c>
      <c r="E3185" t="s">
        <v>14085</v>
      </c>
      <c r="F3185" t="s">
        <v>14039</v>
      </c>
      <c r="G3185" t="s">
        <v>14672</v>
      </c>
      <c r="H3185" t="s">
        <v>13869</v>
      </c>
      <c r="I3185" t="s">
        <v>14690</v>
      </c>
      <c r="J3185" s="62">
        <v>0</v>
      </c>
      <c r="K3185" s="62">
        <v>0</v>
      </c>
      <c r="L3185" t="str">
        <f>VLOOKUP(VALUE(LEFT(C3185,5)),Xref!A:B,2,0)</f>
        <v>D7R</v>
      </c>
      <c r="M3185" t="str">
        <f t="shared" si="199"/>
        <v>D7R-OVA</v>
      </c>
    </row>
    <row r="3186" spans="1:13" ht="14.25" customHeight="true">
      <c r="A3186" s="33" t="str">
        <f t="shared" si="196"/>
        <v>OVA - Intercompany</v>
      </c>
      <c r="B3186" s="33" t="str">
        <f t="shared" si="197"/>
        <v>OVA</v>
      </c>
      <c r="C3186" s="33" t="str">
        <f t="shared" si="198"/>
        <v>11215-0000</v>
      </c>
      <c r="D3186" t="s">
        <v>25384</v>
      </c>
      <c r="E3186" t="s">
        <v>14087</v>
      </c>
      <c r="F3186" t="s">
        <v>14039</v>
      </c>
      <c r="G3186" t="s">
        <v>14672</v>
      </c>
      <c r="H3186" t="s">
        <v>13869</v>
      </c>
      <c r="I3186" t="s">
        <v>14690</v>
      </c>
      <c r="J3186" s="62">
        <v>0</v>
      </c>
      <c r="K3186" s="62">
        <v>0</v>
      </c>
      <c r="L3186" t="str">
        <f>VLOOKUP(VALUE(LEFT(C3186,5)),Xref!A:B,2,0)</f>
        <v>CDP</v>
      </c>
      <c r="M3186" t="str">
        <f t="shared" si="199"/>
        <v>CDP-OVA</v>
      </c>
    </row>
    <row r="3187" spans="1:13" ht="14.25" customHeight="true">
      <c r="A3187" s="33" t="str">
        <f t="shared" si="196"/>
        <v>OVA - Intercompany</v>
      </c>
      <c r="B3187" s="33" t="str">
        <f t="shared" si="197"/>
        <v>OVA</v>
      </c>
      <c r="C3187" s="33" t="str">
        <f t="shared" si="198"/>
        <v>11216-0000</v>
      </c>
      <c r="D3187" t="s">
        <v>1878</v>
      </c>
      <c r="E3187" t="s">
        <v>13224</v>
      </c>
      <c r="F3187" t="s">
        <v>14039</v>
      </c>
      <c r="G3187" t="s">
        <v>14672</v>
      </c>
      <c r="H3187" t="s">
        <v>13869</v>
      </c>
      <c r="I3187" t="s">
        <v>14690</v>
      </c>
      <c r="J3187" s="62">
        <v>-3448.57</v>
      </c>
      <c r="K3187" s="62">
        <v>-135100.45</v>
      </c>
      <c r="L3187" t="str">
        <f>VLOOKUP(VALUE(LEFT(C3187,5)),Xref!A:B,2,0)</f>
        <v>SIL</v>
      </c>
      <c r="M3187" t="str">
        <f t="shared" si="199"/>
        <v>OVA-SIL</v>
      </c>
    </row>
    <row r="3188" spans="1:13" ht="14.25" customHeight="true">
      <c r="A3188" s="33" t="str">
        <f t="shared" si="196"/>
        <v>OVA - Intercompany</v>
      </c>
      <c r="B3188" s="33" t="str">
        <f t="shared" si="197"/>
        <v>OVA</v>
      </c>
      <c r="C3188" s="33" t="str">
        <f t="shared" si="198"/>
        <v>11232-0000</v>
      </c>
      <c r="D3188" t="s">
        <v>25385</v>
      </c>
      <c r="E3188" t="s">
        <v>12486</v>
      </c>
      <c r="F3188" t="s">
        <v>14039</v>
      </c>
      <c r="G3188" t="s">
        <v>14672</v>
      </c>
      <c r="H3188" t="s">
        <v>13869</v>
      </c>
      <c r="I3188" t="s">
        <v>14690</v>
      </c>
      <c r="J3188" s="62">
        <v>0</v>
      </c>
      <c r="K3188" s="62">
        <v>0</v>
      </c>
      <c r="L3188" t="str">
        <f>VLOOKUP(VALUE(LEFT(C3188,5)),Xref!A:B,2,0)</f>
        <v>SC2</v>
      </c>
      <c r="M3188" t="str">
        <f t="shared" si="199"/>
        <v>OVA-SC2</v>
      </c>
    </row>
    <row r="3189" spans="1:13" ht="14.25" customHeight="true">
      <c r="A3189" s="33" t="str">
        <f t="shared" si="196"/>
        <v>OVA - Intercompany</v>
      </c>
      <c r="B3189" s="33" t="str">
        <f t="shared" si="197"/>
        <v>OVA</v>
      </c>
      <c r="C3189" s="33" t="str">
        <f t="shared" si="198"/>
        <v>11301-0000</v>
      </c>
      <c r="D3189" t="s">
        <v>25386</v>
      </c>
      <c r="E3189" t="s">
        <v>13225</v>
      </c>
      <c r="F3189" t="s">
        <v>14039</v>
      </c>
      <c r="G3189" t="s">
        <v>14672</v>
      </c>
      <c r="H3189" t="s">
        <v>13869</v>
      </c>
      <c r="I3189" t="s">
        <v>14690</v>
      </c>
      <c r="J3189" s="62">
        <v>0</v>
      </c>
      <c r="K3189" s="62">
        <v>0</v>
      </c>
      <c r="L3189" t="str">
        <f>VLOOKUP(VALUE(LEFT(C3189,5)),Xref!A:B,2,0)</f>
        <v>CRE</v>
      </c>
      <c r="M3189" t="str">
        <f t="shared" si="199"/>
        <v>CRE-OVA</v>
      </c>
    </row>
    <row r="3190" spans="1:13" ht="14.25" customHeight="true">
      <c r="A3190" s="33" t="str">
        <f t="shared" si="196"/>
        <v>OVA - Intercompany</v>
      </c>
      <c r="B3190" s="33" t="str">
        <f t="shared" si="197"/>
        <v>OVA</v>
      </c>
      <c r="C3190" s="33" t="str">
        <f t="shared" si="198"/>
        <v>11302-0000</v>
      </c>
      <c r="D3190" t="s">
        <v>1879</v>
      </c>
      <c r="E3190" t="s">
        <v>13226</v>
      </c>
      <c r="F3190" t="s">
        <v>14039</v>
      </c>
      <c r="G3190" t="s">
        <v>14672</v>
      </c>
      <c r="H3190" t="s">
        <v>13869</v>
      </c>
      <c r="I3190" t="s">
        <v>14690</v>
      </c>
      <c r="J3190" s="62">
        <v>0</v>
      </c>
      <c r="K3190" s="62">
        <v>-20000</v>
      </c>
      <c r="L3190" t="str">
        <f>VLOOKUP(VALUE(LEFT(C3190,5)),Xref!A:B,2,0)</f>
        <v>CHA</v>
      </c>
      <c r="M3190" t="str">
        <f t="shared" si="199"/>
        <v>CHA-OVA</v>
      </c>
    </row>
    <row r="3191" spans="1:13" ht="14.25" customHeight="true">
      <c r="A3191" s="33" t="str">
        <f t="shared" si="196"/>
        <v>OVA - Intercompany</v>
      </c>
      <c r="B3191" s="33" t="str">
        <f t="shared" si="197"/>
        <v>OVA</v>
      </c>
      <c r="C3191" s="33" t="str">
        <f t="shared" si="198"/>
        <v>11303-0000</v>
      </c>
      <c r="D3191" t="s">
        <v>25387</v>
      </c>
      <c r="E3191" t="s">
        <v>13227</v>
      </c>
      <c r="F3191" t="s">
        <v>14039</v>
      </c>
      <c r="G3191" t="s">
        <v>14672</v>
      </c>
      <c r="H3191" t="s">
        <v>13869</v>
      </c>
      <c r="I3191" t="s">
        <v>14690</v>
      </c>
      <c r="J3191" s="62">
        <v>0</v>
      </c>
      <c r="K3191" s="62">
        <v>0</v>
      </c>
      <c r="L3191" t="str">
        <f>VLOOKUP(VALUE(LEFT(C3191,5)),Xref!A:B,2,0)</f>
        <v>DIA</v>
      </c>
      <c r="M3191" t="str">
        <f t="shared" si="199"/>
        <v>DIA-OVA</v>
      </c>
    </row>
    <row r="3192" spans="1:13" ht="14.25" customHeight="true">
      <c r="A3192" s="33" t="str">
        <f t="shared" si="196"/>
        <v>OVA - Intercompany</v>
      </c>
      <c r="B3192" s="33" t="str">
        <f t="shared" si="197"/>
        <v>OVA</v>
      </c>
      <c r="C3192" s="33" t="str">
        <f t="shared" si="198"/>
        <v>11304-0000</v>
      </c>
      <c r="D3192" t="s">
        <v>25388</v>
      </c>
      <c r="E3192" t="s">
        <v>13228</v>
      </c>
      <c r="F3192" t="s">
        <v>14039</v>
      </c>
      <c r="G3192" t="s">
        <v>14672</v>
      </c>
      <c r="H3192" t="s">
        <v>13869</v>
      </c>
      <c r="I3192" t="s">
        <v>14690</v>
      </c>
      <c r="J3192" s="62">
        <v>0</v>
      </c>
      <c r="K3192" s="62">
        <v>0</v>
      </c>
      <c r="L3192" t="str">
        <f>VLOOKUP(VALUE(LEFT(C3192,5)),Xref!A:B,2,0)</f>
        <v>EAG</v>
      </c>
      <c r="M3192" t="str">
        <f t="shared" si="199"/>
        <v>EAG-OVA</v>
      </c>
    </row>
    <row r="3193" spans="1:13" ht="14.25" customHeight="true">
      <c r="A3193" s="33" t="str">
        <f t="shared" si="196"/>
        <v>OVA - Intercompany</v>
      </c>
      <c r="B3193" s="33" t="str">
        <f t="shared" si="197"/>
        <v>OVA</v>
      </c>
      <c r="C3193" s="33" t="str">
        <f t="shared" si="198"/>
        <v>11305-0000</v>
      </c>
      <c r="D3193" t="s">
        <v>25389</v>
      </c>
      <c r="E3193" t="s">
        <v>13229</v>
      </c>
      <c r="F3193" t="s">
        <v>14039</v>
      </c>
      <c r="G3193" t="s">
        <v>14672</v>
      </c>
      <c r="H3193" t="s">
        <v>13869</v>
      </c>
      <c r="I3193" t="s">
        <v>14690</v>
      </c>
      <c r="J3193" s="62">
        <v>0</v>
      </c>
      <c r="K3193" s="62">
        <v>0</v>
      </c>
      <c r="L3193" t="str">
        <f>VLOOKUP(VALUE(LEFT(C3193,5)),Xref!A:B,2,0)</f>
        <v>NEW</v>
      </c>
      <c r="M3193" t="str">
        <f t="shared" si="199"/>
        <v>NEW-OVA</v>
      </c>
    </row>
    <row r="3194" spans="1:13" ht="14.25" customHeight="true">
      <c r="A3194" s="33" t="str">
        <f t="shared" si="196"/>
        <v>OVA - Intercompany</v>
      </c>
      <c r="B3194" s="33" t="str">
        <f t="shared" si="197"/>
        <v>OVA</v>
      </c>
      <c r="C3194" s="33" t="str">
        <f t="shared" si="198"/>
        <v>11307-0000</v>
      </c>
      <c r="D3194" t="s">
        <v>25390</v>
      </c>
      <c r="E3194" t="s">
        <v>14096</v>
      </c>
      <c r="F3194" t="s">
        <v>14039</v>
      </c>
      <c r="G3194" t="s">
        <v>14672</v>
      </c>
      <c r="H3194" t="s">
        <v>13869</v>
      </c>
      <c r="I3194" t="s">
        <v>14690</v>
      </c>
      <c r="J3194" s="62">
        <v>0</v>
      </c>
      <c r="K3194" s="62">
        <v>0</v>
      </c>
      <c r="L3194" t="str">
        <f>VLOOKUP(VALUE(LEFT(C3194,5)),Xref!A:B,2,0)</f>
        <v>NES</v>
      </c>
      <c r="M3194" t="str">
        <f t="shared" si="199"/>
        <v>NES-OVA</v>
      </c>
    </row>
    <row r="3195" spans="1:13" ht="14.25" customHeight="true">
      <c r="A3195" s="33" t="str">
        <f t="shared" si="196"/>
        <v>OVA - Intercompany</v>
      </c>
      <c r="B3195" s="33" t="str">
        <f t="shared" si="197"/>
        <v>OVA</v>
      </c>
      <c r="C3195" s="33" t="str">
        <f t="shared" si="198"/>
        <v>11308-0000</v>
      </c>
      <c r="D3195" t="s">
        <v>25391</v>
      </c>
      <c r="E3195" t="s">
        <v>13476</v>
      </c>
      <c r="F3195" t="s">
        <v>14039</v>
      </c>
      <c r="G3195" t="s">
        <v>14672</v>
      </c>
      <c r="H3195" t="s">
        <v>13869</v>
      </c>
      <c r="I3195" t="s">
        <v>14690</v>
      </c>
      <c r="J3195" s="62">
        <v>0</v>
      </c>
      <c r="K3195" s="62">
        <v>0</v>
      </c>
      <c r="L3195" t="str">
        <f>VLOOKUP(VALUE(LEFT(C3195,5)),Xref!A:B,2,0)</f>
        <v>LPI</v>
      </c>
      <c r="M3195" t="str">
        <f t="shared" si="199"/>
        <v>LPI-OVA</v>
      </c>
    </row>
    <row r="3196" spans="1:13" ht="14.25" customHeight="true">
      <c r="A3196" s="33" t="str">
        <f t="shared" si="196"/>
        <v>OVA - Intercompany</v>
      </c>
      <c r="B3196" s="33" t="str">
        <f t="shared" si="197"/>
        <v>OVA</v>
      </c>
      <c r="C3196" s="33" t="str">
        <f t="shared" si="198"/>
        <v>11309-0000</v>
      </c>
      <c r="D3196" t="s">
        <v>25392</v>
      </c>
      <c r="E3196" t="s">
        <v>13230</v>
      </c>
      <c r="F3196" t="s">
        <v>14039</v>
      </c>
      <c r="G3196" t="s">
        <v>14672</v>
      </c>
      <c r="H3196" t="s">
        <v>13869</v>
      </c>
      <c r="I3196" t="s">
        <v>14690</v>
      </c>
      <c r="J3196" s="62">
        <v>0</v>
      </c>
      <c r="K3196" s="62">
        <v>0</v>
      </c>
      <c r="L3196" t="str">
        <f>VLOOKUP(VALUE(LEFT(C3196,5)),Xref!A:B,2,0)</f>
        <v>GPI</v>
      </c>
      <c r="M3196" t="str">
        <f t="shared" si="199"/>
        <v>GPI-OVA</v>
      </c>
    </row>
    <row r="3197" spans="1:13" ht="14.25" customHeight="true">
      <c r="A3197" s="33" t="str">
        <f t="shared" si="196"/>
        <v>OVA - Intercompany</v>
      </c>
      <c r="B3197" s="33" t="str">
        <f t="shared" si="197"/>
        <v>OVA</v>
      </c>
      <c r="C3197" s="33" t="str">
        <f t="shared" si="198"/>
        <v>11310-0000</v>
      </c>
      <c r="D3197" t="s">
        <v>1880</v>
      </c>
      <c r="E3197" t="s">
        <v>13231</v>
      </c>
      <c r="F3197" t="s">
        <v>14039</v>
      </c>
      <c r="G3197" t="s">
        <v>14672</v>
      </c>
      <c r="H3197" t="s">
        <v>13869</v>
      </c>
      <c r="I3197" t="s">
        <v>14690</v>
      </c>
      <c r="J3197" s="62">
        <v>0</v>
      </c>
      <c r="K3197" s="62">
        <v>-12000</v>
      </c>
      <c r="L3197" t="str">
        <f>VLOOKUP(VALUE(LEFT(C3197,5)),Xref!A:B,2,0)</f>
        <v>ALP</v>
      </c>
      <c r="M3197" t="str">
        <f t="shared" si="199"/>
        <v>ALP-OVA</v>
      </c>
    </row>
    <row r="3198" spans="1:13" ht="14.25" customHeight="true">
      <c r="A3198" s="33" t="str">
        <f t="shared" si="196"/>
        <v>OVA - Intercompany</v>
      </c>
      <c r="B3198" s="33" t="str">
        <f t="shared" si="197"/>
        <v>OVA</v>
      </c>
      <c r="C3198" s="33" t="str">
        <f t="shared" si="198"/>
        <v>11311-0000</v>
      </c>
      <c r="D3198" t="s">
        <v>1881</v>
      </c>
      <c r="E3198" t="s">
        <v>13232</v>
      </c>
      <c r="F3198" t="s">
        <v>14039</v>
      </c>
      <c r="G3198" t="s">
        <v>14672</v>
      </c>
      <c r="H3198" t="s">
        <v>13869</v>
      </c>
      <c r="I3198" t="s">
        <v>14690</v>
      </c>
      <c r="J3198" s="62">
        <v>0</v>
      </c>
      <c r="K3198" s="62">
        <v>-72000</v>
      </c>
      <c r="L3198" t="str">
        <f>VLOOKUP(VALUE(LEFT(C3198,5)),Xref!A:B,2,0)</f>
        <v>BET</v>
      </c>
      <c r="M3198" t="str">
        <f t="shared" si="199"/>
        <v>BET-OVA</v>
      </c>
    </row>
    <row r="3199" spans="1:13" ht="14.25" customHeight="true">
      <c r="A3199" s="33" t="str">
        <f t="shared" si="196"/>
        <v>OVA - Intercompany</v>
      </c>
      <c r="B3199" s="33" t="str">
        <f t="shared" si="197"/>
        <v>OVA</v>
      </c>
      <c r="C3199" s="33" t="str">
        <f t="shared" si="198"/>
        <v>11312-0000</v>
      </c>
      <c r="D3199" t="s">
        <v>25393</v>
      </c>
      <c r="E3199" t="s">
        <v>14102</v>
      </c>
      <c r="F3199" t="s">
        <v>14039</v>
      </c>
      <c r="G3199" t="s">
        <v>14672</v>
      </c>
      <c r="H3199" t="s">
        <v>13869</v>
      </c>
      <c r="I3199" t="s">
        <v>14690</v>
      </c>
      <c r="J3199" s="62">
        <v>0</v>
      </c>
      <c r="K3199" s="62">
        <v>0</v>
      </c>
      <c r="L3199" t="str">
        <f>VLOOKUP(VALUE(LEFT(C3199,5)),Xref!A:B,2,0)</f>
        <v>DEL</v>
      </c>
      <c r="M3199" t="str">
        <f t="shared" si="199"/>
        <v>DEL-OVA</v>
      </c>
    </row>
    <row r="3200" spans="1:13" ht="14.25" customHeight="true">
      <c r="A3200" s="33" t="str">
        <f t="shared" si="196"/>
        <v>OVA - Intercompany</v>
      </c>
      <c r="B3200" s="33" t="str">
        <f t="shared" si="197"/>
        <v>OVA</v>
      </c>
      <c r="C3200" s="33" t="str">
        <f t="shared" si="198"/>
        <v>11313-0000</v>
      </c>
      <c r="D3200" t="s">
        <v>25394</v>
      </c>
      <c r="E3200" t="s">
        <v>13233</v>
      </c>
      <c r="F3200" t="s">
        <v>14039</v>
      </c>
      <c r="G3200" t="s">
        <v>14672</v>
      </c>
      <c r="H3200" t="s">
        <v>13869</v>
      </c>
      <c r="I3200" t="s">
        <v>14690</v>
      </c>
      <c r="J3200" s="62">
        <v>0</v>
      </c>
      <c r="K3200" s="62">
        <v>0</v>
      </c>
      <c r="L3200" t="str">
        <f>VLOOKUP(VALUE(LEFT(C3200,5)),Xref!A:B,2,0)</f>
        <v>DOL</v>
      </c>
      <c r="M3200" t="str">
        <f t="shared" si="199"/>
        <v>DOL-OVA</v>
      </c>
    </row>
    <row r="3201" spans="1:13" ht="14.25" customHeight="true">
      <c r="A3201" s="33" t="str">
        <f t="shared" si="196"/>
        <v>OVA - Intercompany</v>
      </c>
      <c r="B3201" s="33" t="str">
        <f t="shared" si="197"/>
        <v>OVA</v>
      </c>
      <c r="C3201" s="33" t="str">
        <f t="shared" si="198"/>
        <v>11314-0000</v>
      </c>
      <c r="D3201" t="s">
        <v>25395</v>
      </c>
      <c r="E3201" t="s">
        <v>13351</v>
      </c>
      <c r="F3201" t="s">
        <v>14039</v>
      </c>
      <c r="G3201" t="s">
        <v>14672</v>
      </c>
      <c r="H3201" t="s">
        <v>13869</v>
      </c>
      <c r="I3201" t="s">
        <v>14690</v>
      </c>
      <c r="J3201" s="62">
        <v>0</v>
      </c>
      <c r="K3201" s="62">
        <v>0</v>
      </c>
      <c r="L3201" t="str">
        <f>VLOOKUP(VALUE(LEFT(C3201,5)),Xref!A:B,2,0)</f>
        <v>GRI</v>
      </c>
      <c r="M3201" t="str">
        <f t="shared" si="199"/>
        <v>GRI-OVA</v>
      </c>
    </row>
    <row r="3202" spans="1:13" ht="14.25" customHeight="true">
      <c r="A3202" s="33" t="str">
        <f t="shared" ref="A3202:A3265" si="200">B3202&amp;" - "&amp;TRIM(H3202)</f>
        <v>OVA - Intercompany</v>
      </c>
      <c r="B3202" s="33" t="str">
        <f t="shared" ref="B3202:B3265" si="201">LEFT(D3202,3)</f>
        <v>OVA</v>
      </c>
      <c r="C3202" s="33" t="str">
        <f t="shared" ref="C3202:C3265" si="202">RIGHT(D3202,10)</f>
        <v>11315-0000</v>
      </c>
      <c r="D3202" t="s">
        <v>25396</v>
      </c>
      <c r="E3202" t="s">
        <v>13234</v>
      </c>
      <c r="F3202" t="s">
        <v>14039</v>
      </c>
      <c r="G3202" t="s">
        <v>14672</v>
      </c>
      <c r="H3202" t="s">
        <v>13869</v>
      </c>
      <c r="I3202" t="s">
        <v>14690</v>
      </c>
      <c r="J3202" s="62">
        <v>0</v>
      </c>
      <c r="K3202" s="62">
        <v>0</v>
      </c>
      <c r="L3202" t="str">
        <f>VLOOKUP(VALUE(LEFT(C3202,5)),Xref!A:B,2,0)</f>
        <v>PUR</v>
      </c>
      <c r="M3202" t="str">
        <f t="shared" ref="M3202:M3265" si="203">IF(B3202&lt;L3202,B3202&amp;"-"&amp;L3202,L3202&amp;"-"&amp;B3202)</f>
        <v>OVA-PUR</v>
      </c>
    </row>
    <row r="3203" spans="1:13" ht="14.25" customHeight="true">
      <c r="A3203" s="33" t="str">
        <f t="shared" si="200"/>
        <v>OVA - Intercompany</v>
      </c>
      <c r="B3203" s="33" t="str">
        <f t="shared" si="201"/>
        <v>OVA</v>
      </c>
      <c r="C3203" s="33" t="str">
        <f t="shared" si="202"/>
        <v>11316-0000</v>
      </c>
      <c r="D3203" t="s">
        <v>25397</v>
      </c>
      <c r="E3203" t="s">
        <v>13235</v>
      </c>
      <c r="F3203" t="s">
        <v>14039</v>
      </c>
      <c r="G3203" t="s">
        <v>14672</v>
      </c>
      <c r="H3203" t="s">
        <v>13869</v>
      </c>
      <c r="I3203" t="s">
        <v>14690</v>
      </c>
      <c r="J3203" s="62">
        <v>0</v>
      </c>
      <c r="K3203" s="62">
        <v>0</v>
      </c>
      <c r="L3203" t="str">
        <f>VLOOKUP(VALUE(LEFT(C3203,5)),Xref!A:B,2,0)</f>
        <v>VAL</v>
      </c>
      <c r="M3203" t="str">
        <f t="shared" si="203"/>
        <v>OVA-VAL</v>
      </c>
    </row>
    <row r="3204" spans="1:13" ht="14.25" customHeight="true">
      <c r="A3204" s="33" t="str">
        <f t="shared" si="200"/>
        <v>OVA - Intercompany</v>
      </c>
      <c r="B3204" s="33" t="str">
        <f t="shared" si="201"/>
        <v>OVA</v>
      </c>
      <c r="C3204" s="33" t="str">
        <f t="shared" si="202"/>
        <v>11317-0000</v>
      </c>
      <c r="D3204" t="s">
        <v>1882</v>
      </c>
      <c r="E3204" t="s">
        <v>13352</v>
      </c>
      <c r="F3204" t="s">
        <v>14039</v>
      </c>
      <c r="G3204" t="s">
        <v>14672</v>
      </c>
      <c r="H3204" t="s">
        <v>13869</v>
      </c>
      <c r="I3204" t="s">
        <v>14690</v>
      </c>
      <c r="J3204" s="62">
        <v>0</v>
      </c>
      <c r="K3204" s="62">
        <v>-130000</v>
      </c>
      <c r="L3204" t="str">
        <f>VLOOKUP(VALUE(LEFT(C3204,5)),Xref!A:B,2,0)</f>
        <v>AKG</v>
      </c>
      <c r="M3204" t="str">
        <f t="shared" si="203"/>
        <v>AKG-OVA</v>
      </c>
    </row>
    <row r="3205" spans="1:13" ht="14.25" customHeight="true">
      <c r="A3205" s="33" t="str">
        <f t="shared" si="200"/>
        <v>OVA - Intercompany</v>
      </c>
      <c r="B3205" s="33" t="str">
        <f t="shared" si="201"/>
        <v>OVA</v>
      </c>
      <c r="C3205" s="33" t="str">
        <f t="shared" si="202"/>
        <v>11318-0000</v>
      </c>
      <c r="D3205" t="s">
        <v>25398</v>
      </c>
      <c r="E3205" t="s">
        <v>13477</v>
      </c>
      <c r="F3205" t="s">
        <v>14039</v>
      </c>
      <c r="G3205" t="s">
        <v>14672</v>
      </c>
      <c r="H3205" t="s">
        <v>13869</v>
      </c>
      <c r="I3205" t="s">
        <v>14690</v>
      </c>
      <c r="J3205" s="62">
        <v>0</v>
      </c>
      <c r="K3205" s="62">
        <v>0</v>
      </c>
      <c r="L3205" t="str">
        <f>VLOOKUP(VALUE(LEFT(C3205,5)),Xref!A:B,2,0)</f>
        <v>FIR</v>
      </c>
      <c r="M3205" t="str">
        <f t="shared" si="203"/>
        <v>FIR-OVA</v>
      </c>
    </row>
    <row r="3206" spans="1:13" ht="14.25" customHeight="true">
      <c r="A3206" s="33" t="str">
        <f t="shared" si="200"/>
        <v>OVA - Intercompany</v>
      </c>
      <c r="B3206" s="33" t="str">
        <f t="shared" si="201"/>
        <v>OVA</v>
      </c>
      <c r="C3206" s="33" t="str">
        <f t="shared" si="202"/>
        <v>11319-0000</v>
      </c>
      <c r="D3206" t="s">
        <v>25399</v>
      </c>
      <c r="E3206" t="s">
        <v>266</v>
      </c>
      <c r="F3206" t="s">
        <v>14039</v>
      </c>
      <c r="G3206" t="s">
        <v>14672</v>
      </c>
      <c r="H3206" t="s">
        <v>13869</v>
      </c>
      <c r="I3206" t="s">
        <v>14690</v>
      </c>
      <c r="J3206" s="62">
        <v>0</v>
      </c>
      <c r="K3206" s="62">
        <v>0</v>
      </c>
      <c r="L3206" t="str">
        <f>VLOOKUP(VALUE(LEFT(C3206,5)),Xref!A:B,2,0)</f>
        <v>GST</v>
      </c>
      <c r="M3206" t="str">
        <f t="shared" si="203"/>
        <v>GST-OVA</v>
      </c>
    </row>
    <row r="3207" spans="1:13" ht="14.25" customHeight="true">
      <c r="A3207" s="33" t="str">
        <f t="shared" si="200"/>
        <v>OVA - Intercompany</v>
      </c>
      <c r="B3207" s="33" t="str">
        <f t="shared" si="201"/>
        <v>OVA</v>
      </c>
      <c r="C3207" s="33" t="str">
        <f t="shared" si="202"/>
        <v>11320-0000</v>
      </c>
      <c r="D3207" t="s">
        <v>1883</v>
      </c>
      <c r="E3207" t="s">
        <v>14111</v>
      </c>
      <c r="F3207" t="s">
        <v>14039</v>
      </c>
      <c r="G3207" t="s">
        <v>14672</v>
      </c>
      <c r="H3207" t="s">
        <v>13869</v>
      </c>
      <c r="I3207" t="s">
        <v>14690</v>
      </c>
      <c r="J3207" s="62">
        <v>0</v>
      </c>
      <c r="K3207" s="62">
        <v>19000</v>
      </c>
      <c r="L3207" t="str">
        <f>VLOOKUP(VALUE(LEFT(C3207,5)),Xref!A:B,2,0)</f>
        <v>HDN</v>
      </c>
      <c r="M3207" t="str">
        <f t="shared" si="203"/>
        <v>HDN-OVA</v>
      </c>
    </row>
    <row r="3208" spans="1:13" ht="14.25" customHeight="true">
      <c r="A3208" s="33" t="str">
        <f t="shared" si="200"/>
        <v>OVA - Intercompany</v>
      </c>
      <c r="B3208" s="33" t="str">
        <f t="shared" si="201"/>
        <v>OVA</v>
      </c>
      <c r="C3208" s="33" t="str">
        <f t="shared" si="202"/>
        <v>11321-0000</v>
      </c>
      <c r="D3208" t="s">
        <v>25400</v>
      </c>
      <c r="E3208" t="s">
        <v>13236</v>
      </c>
      <c r="F3208" t="s">
        <v>14039</v>
      </c>
      <c r="G3208" t="s">
        <v>14672</v>
      </c>
      <c r="H3208" t="s">
        <v>13869</v>
      </c>
      <c r="I3208" t="s">
        <v>14690</v>
      </c>
      <c r="J3208" s="62">
        <v>0</v>
      </c>
      <c r="K3208" s="62">
        <v>-20000</v>
      </c>
      <c r="L3208" t="str">
        <f>VLOOKUP(VALUE(LEFT(C3208,5)),Xref!A:B,2,0)</f>
        <v>OVA</v>
      </c>
      <c r="M3208" t="str">
        <f t="shared" si="203"/>
        <v>OVA-OVA</v>
      </c>
    </row>
    <row r="3209" spans="1:13" ht="14.25" customHeight="true">
      <c r="A3209" s="33" t="str">
        <f t="shared" si="200"/>
        <v>OVA - Intercompany</v>
      </c>
      <c r="B3209" s="33" t="str">
        <f t="shared" si="201"/>
        <v>OVA</v>
      </c>
      <c r="C3209" s="33" t="str">
        <f t="shared" si="202"/>
        <v>11322-0000</v>
      </c>
      <c r="D3209" t="s">
        <v>25401</v>
      </c>
      <c r="E3209" t="s">
        <v>13237</v>
      </c>
      <c r="F3209" t="s">
        <v>14039</v>
      </c>
      <c r="G3209" t="s">
        <v>14672</v>
      </c>
      <c r="H3209" t="s">
        <v>13869</v>
      </c>
      <c r="I3209" t="s">
        <v>14690</v>
      </c>
      <c r="J3209" s="62">
        <v>0</v>
      </c>
      <c r="K3209" s="62">
        <v>0</v>
      </c>
      <c r="L3209" t="str">
        <f>VLOOKUP(VALUE(LEFT(C3209,5)),Xref!A:B,2,0)</f>
        <v>WOO</v>
      </c>
      <c r="M3209" t="str">
        <f t="shared" si="203"/>
        <v>OVA-WOO</v>
      </c>
    </row>
    <row r="3210" spans="1:13" ht="14.25" customHeight="true">
      <c r="A3210" s="33" t="str">
        <f t="shared" si="200"/>
        <v>OVA - Intercompany</v>
      </c>
      <c r="B3210" s="33" t="str">
        <f t="shared" si="201"/>
        <v>OVA</v>
      </c>
      <c r="C3210" s="33" t="str">
        <f t="shared" si="202"/>
        <v>11323-0000</v>
      </c>
      <c r="D3210" t="s">
        <v>25402</v>
      </c>
      <c r="E3210" t="s">
        <v>13478</v>
      </c>
      <c r="F3210" t="s">
        <v>14039</v>
      </c>
      <c r="G3210" t="s">
        <v>14672</v>
      </c>
      <c r="H3210" t="s">
        <v>13869</v>
      </c>
      <c r="I3210" t="s">
        <v>14690</v>
      </c>
      <c r="J3210" s="62">
        <v>0</v>
      </c>
      <c r="K3210" s="62">
        <v>0</v>
      </c>
      <c r="L3210" t="str">
        <f>VLOOKUP(VALUE(LEFT(C3210,5)),Xref!A:B,2,0)</f>
        <v>SPI</v>
      </c>
      <c r="M3210" t="str">
        <f t="shared" si="203"/>
        <v>OVA-SPI</v>
      </c>
    </row>
    <row r="3211" spans="1:13" ht="14.25" customHeight="true">
      <c r="A3211" s="33" t="str">
        <f t="shared" si="200"/>
        <v>OVA - Intercompany</v>
      </c>
      <c r="B3211" s="33" t="str">
        <f t="shared" si="201"/>
        <v>OVA</v>
      </c>
      <c r="C3211" s="33" t="str">
        <f t="shared" si="202"/>
        <v>11324-0000</v>
      </c>
      <c r="D3211" t="s">
        <v>25403</v>
      </c>
      <c r="E3211" t="s">
        <v>13238</v>
      </c>
      <c r="F3211" t="s">
        <v>14039</v>
      </c>
      <c r="G3211" t="s">
        <v>14672</v>
      </c>
      <c r="H3211" t="s">
        <v>13869</v>
      </c>
      <c r="I3211" t="s">
        <v>14690</v>
      </c>
      <c r="J3211" s="62">
        <v>0</v>
      </c>
      <c r="K3211" s="62">
        <v>0</v>
      </c>
      <c r="L3211" t="str">
        <f>VLOOKUP(VALUE(LEFT(C3211,5)),Xref!A:B,2,0)</f>
        <v>NET</v>
      </c>
      <c r="M3211" t="str">
        <f t="shared" si="203"/>
        <v>NET-OVA</v>
      </c>
    </row>
    <row r="3212" spans="1:13" ht="14.25" customHeight="true">
      <c r="A3212" s="33" t="str">
        <f t="shared" si="200"/>
        <v>OVA - Intercompany</v>
      </c>
      <c r="B3212" s="33" t="str">
        <f t="shared" si="201"/>
        <v>OVA</v>
      </c>
      <c r="C3212" s="33" t="str">
        <f t="shared" si="202"/>
        <v>11325-0000</v>
      </c>
      <c r="D3212" t="s">
        <v>25404</v>
      </c>
      <c r="E3212" t="s">
        <v>13239</v>
      </c>
      <c r="F3212" t="s">
        <v>14039</v>
      </c>
      <c r="G3212" t="s">
        <v>14672</v>
      </c>
      <c r="H3212" t="s">
        <v>13869</v>
      </c>
      <c r="I3212" t="s">
        <v>14690</v>
      </c>
      <c r="J3212" s="62">
        <v>0</v>
      </c>
      <c r="K3212" s="62">
        <v>0</v>
      </c>
      <c r="L3212" t="str">
        <f>VLOOKUP(VALUE(LEFT(C3212,5)),Xref!A:B,2,0)</f>
        <v>DPI</v>
      </c>
      <c r="M3212" t="str">
        <f t="shared" si="203"/>
        <v>DPI-OVA</v>
      </c>
    </row>
    <row r="3213" spans="1:13" ht="14.25" customHeight="true">
      <c r="A3213" s="33" t="str">
        <f t="shared" si="200"/>
        <v>OVA - Intercompany</v>
      </c>
      <c r="B3213" s="33" t="str">
        <f t="shared" si="201"/>
        <v>OVA</v>
      </c>
      <c r="C3213" s="33" t="str">
        <f t="shared" si="202"/>
        <v>11326-0000</v>
      </c>
      <c r="D3213" t="s">
        <v>25405</v>
      </c>
      <c r="E3213" t="s">
        <v>13240</v>
      </c>
      <c r="F3213" t="s">
        <v>14039</v>
      </c>
      <c r="G3213" t="s">
        <v>14672</v>
      </c>
      <c r="H3213" t="s">
        <v>13869</v>
      </c>
      <c r="I3213" t="s">
        <v>14690</v>
      </c>
      <c r="J3213" s="62">
        <v>0</v>
      </c>
      <c r="K3213" s="62">
        <v>0</v>
      </c>
      <c r="L3213" t="str">
        <f>VLOOKUP(VALUE(LEFT(C3213,5)),Xref!A:B,2,0)</f>
        <v>SEK</v>
      </c>
      <c r="M3213" t="str">
        <f t="shared" si="203"/>
        <v>OVA-SEK</v>
      </c>
    </row>
    <row r="3214" spans="1:13" ht="14.25" customHeight="true">
      <c r="A3214" s="33" t="str">
        <f t="shared" si="200"/>
        <v>OVA - Intercompany</v>
      </c>
      <c r="B3214" s="33" t="str">
        <f t="shared" si="201"/>
        <v>OVA</v>
      </c>
      <c r="C3214" s="33" t="str">
        <f t="shared" si="202"/>
        <v>11327-0000</v>
      </c>
      <c r="D3214" t="s">
        <v>25406</v>
      </c>
      <c r="E3214" t="s">
        <v>14119</v>
      </c>
      <c r="F3214" t="s">
        <v>14039</v>
      </c>
      <c r="G3214" t="s">
        <v>14672</v>
      </c>
      <c r="H3214" t="s">
        <v>13869</v>
      </c>
      <c r="I3214" t="s">
        <v>14690</v>
      </c>
      <c r="J3214" s="62">
        <v>0</v>
      </c>
      <c r="K3214" s="62">
        <v>0</v>
      </c>
      <c r="L3214" t="str">
        <f>VLOOKUP(VALUE(LEFT(C3214,5)),Xref!A:B,2,0)</f>
        <v>CPI</v>
      </c>
      <c r="M3214" t="str">
        <f t="shared" si="203"/>
        <v>CPI-OVA</v>
      </c>
    </row>
    <row r="3215" spans="1:13" ht="14.25" customHeight="true">
      <c r="A3215" s="33" t="str">
        <f t="shared" si="200"/>
        <v>OVA - Intercompany</v>
      </c>
      <c r="B3215" s="33" t="str">
        <f t="shared" si="201"/>
        <v>OVA</v>
      </c>
      <c r="C3215" s="33" t="str">
        <f t="shared" si="202"/>
        <v>11328-0000</v>
      </c>
      <c r="D3215" t="s">
        <v>25407</v>
      </c>
      <c r="E3215" t="s">
        <v>13241</v>
      </c>
      <c r="F3215" t="s">
        <v>14039</v>
      </c>
      <c r="G3215" t="s">
        <v>14672</v>
      </c>
      <c r="H3215" t="s">
        <v>13869</v>
      </c>
      <c r="I3215" t="s">
        <v>14690</v>
      </c>
      <c r="J3215" s="62">
        <v>0</v>
      </c>
      <c r="K3215" s="62">
        <v>0</v>
      </c>
      <c r="L3215" t="str">
        <f>VLOOKUP(VALUE(LEFT(C3215,5)),Xref!A:B,2,0)</f>
        <v>LOM</v>
      </c>
      <c r="M3215" t="str">
        <f t="shared" si="203"/>
        <v>LOM-OVA</v>
      </c>
    </row>
    <row r="3216" spans="1:13" ht="14.25" customHeight="true">
      <c r="A3216" s="33" t="str">
        <f t="shared" si="200"/>
        <v>OVA - Intercompany</v>
      </c>
      <c r="B3216" s="33" t="str">
        <f t="shared" si="201"/>
        <v>OVA</v>
      </c>
      <c r="C3216" s="33" t="str">
        <f t="shared" si="202"/>
        <v>11329-0000</v>
      </c>
      <c r="D3216" t="s">
        <v>25408</v>
      </c>
      <c r="E3216" t="s">
        <v>13353</v>
      </c>
      <c r="F3216" t="s">
        <v>14039</v>
      </c>
      <c r="G3216" t="s">
        <v>14672</v>
      </c>
      <c r="H3216" t="s">
        <v>13869</v>
      </c>
      <c r="I3216" t="s">
        <v>14690</v>
      </c>
      <c r="J3216" s="62">
        <v>0</v>
      </c>
      <c r="K3216" s="62">
        <v>0</v>
      </c>
      <c r="L3216" t="str">
        <f>VLOOKUP(VALUE(LEFT(C3216,5)),Xref!A:B,2,0)</f>
        <v>AKS</v>
      </c>
      <c r="M3216" t="str">
        <f t="shared" si="203"/>
        <v>AKS-OVA</v>
      </c>
    </row>
    <row r="3217" spans="1:13" ht="14.25" customHeight="true">
      <c r="A3217" s="33" t="str">
        <f t="shared" si="200"/>
        <v>OVA - Intercompany</v>
      </c>
      <c r="B3217" s="33" t="str">
        <f t="shared" si="201"/>
        <v>OVA</v>
      </c>
      <c r="C3217" s="33" t="str">
        <f t="shared" si="202"/>
        <v>11330-0000</v>
      </c>
      <c r="D3217" t="s">
        <v>25409</v>
      </c>
      <c r="E3217" t="s">
        <v>13242</v>
      </c>
      <c r="F3217" t="s">
        <v>14039</v>
      </c>
      <c r="G3217" t="s">
        <v>14672</v>
      </c>
      <c r="H3217" t="s">
        <v>13869</v>
      </c>
      <c r="I3217" t="s">
        <v>14690</v>
      </c>
      <c r="J3217" s="62">
        <v>0</v>
      </c>
      <c r="K3217" s="62">
        <v>0</v>
      </c>
      <c r="L3217" t="str">
        <f>VLOOKUP(VALUE(LEFT(C3217,5)),Xref!A:B,2,0)</f>
        <v>MAR</v>
      </c>
      <c r="M3217" t="str">
        <f t="shared" si="203"/>
        <v>MAR-OVA</v>
      </c>
    </row>
    <row r="3218" spans="1:13" ht="14.25" customHeight="true">
      <c r="A3218" s="33" t="str">
        <f t="shared" si="200"/>
        <v>OVA - Intercompany</v>
      </c>
      <c r="B3218" s="33" t="str">
        <f t="shared" si="201"/>
        <v>OVA</v>
      </c>
      <c r="C3218" s="33" t="str">
        <f t="shared" si="202"/>
        <v>11331-0000</v>
      </c>
      <c r="D3218" t="s">
        <v>25410</v>
      </c>
      <c r="E3218" t="s">
        <v>13354</v>
      </c>
      <c r="F3218" t="s">
        <v>14039</v>
      </c>
      <c r="G3218" t="s">
        <v>14672</v>
      </c>
      <c r="H3218" t="s">
        <v>13869</v>
      </c>
      <c r="I3218" t="s">
        <v>14690</v>
      </c>
      <c r="J3218" s="62">
        <v>0</v>
      </c>
      <c r="K3218" s="62">
        <v>0</v>
      </c>
      <c r="L3218" t="str">
        <f>VLOOKUP(VALUE(LEFT(C3218,5)),Xref!A:B,2,0)</f>
        <v>WIL</v>
      </c>
      <c r="M3218" t="str">
        <f t="shared" si="203"/>
        <v>OVA-WIL</v>
      </c>
    </row>
    <row r="3219" spans="1:13" ht="14.25" customHeight="true">
      <c r="A3219" s="33" t="str">
        <f t="shared" si="200"/>
        <v>OVA - Intercompany</v>
      </c>
      <c r="B3219" s="33" t="str">
        <f t="shared" si="201"/>
        <v>OVA</v>
      </c>
      <c r="C3219" s="33" t="str">
        <f t="shared" si="202"/>
        <v>11332-0000</v>
      </c>
      <c r="D3219" t="s">
        <v>1884</v>
      </c>
      <c r="E3219" t="s">
        <v>13243</v>
      </c>
      <c r="F3219" t="s">
        <v>14039</v>
      </c>
      <c r="G3219" t="s">
        <v>14672</v>
      </c>
      <c r="H3219" t="s">
        <v>13869</v>
      </c>
      <c r="I3219" t="s">
        <v>14690</v>
      </c>
      <c r="J3219" s="62">
        <v>0</v>
      </c>
      <c r="K3219" s="62">
        <v>-10000</v>
      </c>
      <c r="L3219" t="str">
        <f>VLOOKUP(VALUE(LEFT(C3219,5)),Xref!A:B,2,0)</f>
        <v>STO</v>
      </c>
      <c r="M3219" t="str">
        <f t="shared" si="203"/>
        <v>OVA-STO</v>
      </c>
    </row>
    <row r="3220" spans="1:13" ht="14.25" customHeight="true">
      <c r="A3220" s="33" t="str">
        <f t="shared" si="200"/>
        <v>OVA - Intercompany</v>
      </c>
      <c r="B3220" s="33" t="str">
        <f t="shared" si="201"/>
        <v>OVA</v>
      </c>
      <c r="C3220" s="33" t="str">
        <f t="shared" si="202"/>
        <v>11333-0000</v>
      </c>
      <c r="D3220" t="s">
        <v>25411</v>
      </c>
      <c r="E3220" t="s">
        <v>13244</v>
      </c>
      <c r="F3220" t="s">
        <v>14039</v>
      </c>
      <c r="G3220" t="s">
        <v>14672</v>
      </c>
      <c r="H3220" t="s">
        <v>13869</v>
      </c>
      <c r="I3220" t="s">
        <v>14690</v>
      </c>
      <c r="J3220" s="62">
        <v>0</v>
      </c>
      <c r="K3220" s="62">
        <v>0</v>
      </c>
      <c r="L3220" t="str">
        <f>VLOOKUP(VALUE(LEFT(C3220,5)),Xref!A:B,2,0)</f>
        <v>ANG</v>
      </c>
      <c r="M3220" t="str">
        <f t="shared" si="203"/>
        <v>ANG-OVA</v>
      </c>
    </row>
    <row r="3221" spans="1:13" ht="14.25" customHeight="true">
      <c r="A3221" s="33" t="str">
        <f t="shared" si="200"/>
        <v>OVA - Intercompany</v>
      </c>
      <c r="B3221" s="33" t="str">
        <f t="shared" si="201"/>
        <v>OVA</v>
      </c>
      <c r="C3221" s="33" t="str">
        <f t="shared" si="202"/>
        <v>11334-0000</v>
      </c>
      <c r="D3221" t="s">
        <v>25412</v>
      </c>
      <c r="E3221" t="s">
        <v>13245</v>
      </c>
      <c r="F3221" t="s">
        <v>14039</v>
      </c>
      <c r="G3221" t="s">
        <v>14672</v>
      </c>
      <c r="H3221" t="s">
        <v>13869</v>
      </c>
      <c r="I3221" t="s">
        <v>14690</v>
      </c>
      <c r="J3221" s="62">
        <v>0</v>
      </c>
      <c r="K3221" s="62">
        <v>0</v>
      </c>
      <c r="L3221" t="str">
        <f>VLOOKUP(VALUE(LEFT(C3221,5)),Xref!A:B,2,0)</f>
        <v>BRU</v>
      </c>
      <c r="M3221" t="str">
        <f t="shared" si="203"/>
        <v>BRU-OVA</v>
      </c>
    </row>
    <row r="3222" spans="1:13" ht="14.25" customHeight="true">
      <c r="A3222" s="33" t="str">
        <f t="shared" si="200"/>
        <v>OVA - Intercompany</v>
      </c>
      <c r="B3222" s="33" t="str">
        <f t="shared" si="201"/>
        <v>OVA</v>
      </c>
      <c r="C3222" s="33" t="str">
        <f t="shared" si="202"/>
        <v>11335-0000</v>
      </c>
      <c r="D3222" t="s">
        <v>25413</v>
      </c>
      <c r="E3222" t="s">
        <v>13246</v>
      </c>
      <c r="F3222" t="s">
        <v>14039</v>
      </c>
      <c r="G3222" t="s">
        <v>14672</v>
      </c>
      <c r="H3222" t="s">
        <v>13869</v>
      </c>
      <c r="I3222" t="s">
        <v>14690</v>
      </c>
      <c r="J3222" s="62">
        <v>0</v>
      </c>
      <c r="K3222" s="62">
        <v>0</v>
      </c>
      <c r="L3222" t="str">
        <f>VLOOKUP(VALUE(LEFT(C3222,5)),Xref!A:B,2,0)</f>
        <v>VEN</v>
      </c>
      <c r="M3222" t="str">
        <f t="shared" si="203"/>
        <v>OVA-VEN</v>
      </c>
    </row>
    <row r="3223" spans="1:13" ht="14.25" customHeight="true">
      <c r="A3223" s="33" t="str">
        <f t="shared" si="200"/>
        <v>OVA - Intercompany</v>
      </c>
      <c r="B3223" s="33" t="str">
        <f t="shared" si="201"/>
        <v>OVA</v>
      </c>
      <c r="C3223" s="33" t="str">
        <f t="shared" si="202"/>
        <v>11336-0000</v>
      </c>
      <c r="D3223" t="s">
        <v>25414</v>
      </c>
      <c r="E3223" t="s">
        <v>13247</v>
      </c>
      <c r="F3223" t="s">
        <v>14039</v>
      </c>
      <c r="G3223" t="s">
        <v>14672</v>
      </c>
      <c r="H3223" t="s">
        <v>13869</v>
      </c>
      <c r="I3223" t="s">
        <v>14690</v>
      </c>
      <c r="J3223" s="62">
        <v>0</v>
      </c>
      <c r="K3223" s="62">
        <v>0</v>
      </c>
      <c r="L3223" t="str">
        <f>VLOOKUP(VALUE(LEFT(C3223,5)),Xref!A:B,2,0)</f>
        <v>SAT</v>
      </c>
      <c r="M3223" t="str">
        <f t="shared" si="203"/>
        <v>OVA-SAT</v>
      </c>
    </row>
    <row r="3224" spans="1:13" ht="14.25" customHeight="true">
      <c r="A3224" s="33" t="str">
        <f t="shared" si="200"/>
        <v>OVA - Intercompany</v>
      </c>
      <c r="B3224" s="33" t="str">
        <f t="shared" si="201"/>
        <v>OVA</v>
      </c>
      <c r="C3224" s="33" t="str">
        <f t="shared" si="202"/>
        <v>11337-0000</v>
      </c>
      <c r="D3224" t="s">
        <v>25415</v>
      </c>
      <c r="E3224" t="s">
        <v>13248</v>
      </c>
      <c r="F3224" t="s">
        <v>14039</v>
      </c>
      <c r="G3224" t="s">
        <v>14672</v>
      </c>
      <c r="H3224" t="s">
        <v>13869</v>
      </c>
      <c r="I3224" t="s">
        <v>14690</v>
      </c>
      <c r="J3224" s="62">
        <v>0</v>
      </c>
      <c r="K3224" s="62">
        <v>0</v>
      </c>
      <c r="L3224" t="str">
        <f>VLOOKUP(VALUE(LEFT(C3224,5)),Xref!A:B,2,0)</f>
        <v>NEP</v>
      </c>
      <c r="M3224" t="str">
        <f t="shared" si="203"/>
        <v>NEP-OVA</v>
      </c>
    </row>
    <row r="3225" spans="1:13" ht="14.25" customHeight="true">
      <c r="A3225" s="33" t="str">
        <f t="shared" si="200"/>
        <v>OVA - Intercompany</v>
      </c>
      <c r="B3225" s="33" t="str">
        <f t="shared" si="201"/>
        <v>OVA</v>
      </c>
      <c r="C3225" s="33" t="str">
        <f t="shared" si="202"/>
        <v>11338-0000</v>
      </c>
      <c r="D3225" t="s">
        <v>25416</v>
      </c>
      <c r="E3225" t="s">
        <v>14131</v>
      </c>
      <c r="F3225" t="s">
        <v>14039</v>
      </c>
      <c r="G3225" t="s">
        <v>14672</v>
      </c>
      <c r="H3225" t="s">
        <v>13869</v>
      </c>
      <c r="I3225" t="s">
        <v>14690</v>
      </c>
      <c r="J3225" s="62">
        <v>0</v>
      </c>
      <c r="K3225" s="62">
        <v>0</v>
      </c>
      <c r="L3225" t="str">
        <f>VLOOKUP(VALUE(LEFT(C3225,5)),Xref!A:B,2,0)</f>
        <v>JUP</v>
      </c>
      <c r="M3225" t="str">
        <f t="shared" si="203"/>
        <v>JUP-OVA</v>
      </c>
    </row>
    <row r="3226" spans="1:13" ht="14.25" customHeight="true">
      <c r="A3226" s="33" t="str">
        <f t="shared" si="200"/>
        <v>OVA - Intercompany</v>
      </c>
      <c r="B3226" s="33" t="str">
        <f t="shared" si="201"/>
        <v>OVA</v>
      </c>
      <c r="C3226" s="33" t="str">
        <f t="shared" si="202"/>
        <v>11339-0000</v>
      </c>
      <c r="D3226" t="s">
        <v>25417</v>
      </c>
      <c r="E3226" t="s">
        <v>14133</v>
      </c>
      <c r="F3226" t="s">
        <v>14039</v>
      </c>
      <c r="G3226" t="s">
        <v>14672</v>
      </c>
      <c r="H3226" t="s">
        <v>13869</v>
      </c>
      <c r="I3226" t="s">
        <v>14690</v>
      </c>
      <c r="J3226" s="62">
        <v>0</v>
      </c>
      <c r="K3226" s="62">
        <v>0</v>
      </c>
      <c r="L3226" t="str">
        <f>VLOOKUP(VALUE(LEFT(C3226,5)),Xref!A:B,2,0)</f>
        <v>WES</v>
      </c>
      <c r="M3226" t="str">
        <f t="shared" si="203"/>
        <v>OVA-WES</v>
      </c>
    </row>
    <row r="3227" spans="1:13" ht="14.25" customHeight="true">
      <c r="A3227" s="33" t="str">
        <f t="shared" si="200"/>
        <v>OVA - Intercompany</v>
      </c>
      <c r="B3227" s="33" t="str">
        <f t="shared" si="201"/>
        <v>OVA</v>
      </c>
      <c r="C3227" s="33" t="str">
        <f t="shared" si="202"/>
        <v>11340-0000</v>
      </c>
      <c r="D3227" t="s">
        <v>25418</v>
      </c>
      <c r="E3227" t="s">
        <v>14135</v>
      </c>
      <c r="F3227" t="s">
        <v>14039</v>
      </c>
      <c r="G3227" t="s">
        <v>14672</v>
      </c>
      <c r="H3227" t="s">
        <v>13869</v>
      </c>
      <c r="I3227" t="s">
        <v>14690</v>
      </c>
      <c r="J3227" s="62">
        <v>0</v>
      </c>
      <c r="K3227" s="62">
        <v>0</v>
      </c>
      <c r="L3227" t="str">
        <f>VLOOKUP(VALUE(LEFT(C3227,5)),Xref!A:B,2,0)</f>
        <v>LCP</v>
      </c>
      <c r="M3227" t="str">
        <f t="shared" si="203"/>
        <v>LCP-OVA</v>
      </c>
    </row>
    <row r="3228" spans="1:13" ht="14.25" customHeight="true">
      <c r="A3228" s="33" t="str">
        <f t="shared" si="200"/>
        <v>OVA - Intercompany</v>
      </c>
      <c r="B3228" s="33" t="str">
        <f t="shared" si="201"/>
        <v>OVA</v>
      </c>
      <c r="C3228" s="33" t="str">
        <f t="shared" si="202"/>
        <v>11341-0000</v>
      </c>
      <c r="D3228" t="s">
        <v>25419</v>
      </c>
      <c r="E3228" t="s">
        <v>13639</v>
      </c>
      <c r="F3228" t="s">
        <v>14039</v>
      </c>
      <c r="G3228" t="s">
        <v>14672</v>
      </c>
      <c r="H3228" t="s">
        <v>13869</v>
      </c>
      <c r="I3228" t="s">
        <v>14690</v>
      </c>
      <c r="J3228" s="62">
        <v>0</v>
      </c>
      <c r="K3228" s="62">
        <v>0</v>
      </c>
      <c r="L3228" t="str">
        <f>VLOOKUP(VALUE(LEFT(C3228,5)),Xref!A:B,2,0)</f>
        <v>NOR</v>
      </c>
      <c r="M3228" t="str">
        <f t="shared" si="203"/>
        <v>NOR-OVA</v>
      </c>
    </row>
    <row r="3229" spans="1:13" ht="14.25" customHeight="true">
      <c r="A3229" s="33" t="str">
        <f t="shared" si="200"/>
        <v>OVA - Intercompany</v>
      </c>
      <c r="B3229" s="33" t="str">
        <f t="shared" si="201"/>
        <v>OVA</v>
      </c>
      <c r="C3229" s="33" t="str">
        <f t="shared" si="202"/>
        <v>11342-0000</v>
      </c>
      <c r="D3229" t="s">
        <v>25420</v>
      </c>
      <c r="E3229" t="s">
        <v>13355</v>
      </c>
      <c r="F3229" t="s">
        <v>14039</v>
      </c>
      <c r="G3229" t="s">
        <v>14672</v>
      </c>
      <c r="H3229" t="s">
        <v>13869</v>
      </c>
      <c r="I3229" t="s">
        <v>14690</v>
      </c>
      <c r="J3229" s="62">
        <v>0</v>
      </c>
      <c r="K3229" s="62">
        <v>0</v>
      </c>
      <c r="L3229" t="str">
        <f>VLOOKUP(VALUE(LEFT(C3229,5)),Xref!A:B,2,0)</f>
        <v>EAS</v>
      </c>
      <c r="M3229" t="str">
        <f t="shared" si="203"/>
        <v>EAS-OVA</v>
      </c>
    </row>
    <row r="3230" spans="1:13" ht="14.25" customHeight="true">
      <c r="A3230" s="33" t="str">
        <f t="shared" si="200"/>
        <v>OVA - Intercompany</v>
      </c>
      <c r="B3230" s="33" t="str">
        <f t="shared" si="201"/>
        <v>OVA</v>
      </c>
      <c r="C3230" s="33" t="str">
        <f t="shared" si="202"/>
        <v>11343-0000</v>
      </c>
      <c r="D3230" t="s">
        <v>25421</v>
      </c>
      <c r="E3230" t="s">
        <v>14139</v>
      </c>
      <c r="F3230" t="s">
        <v>14039</v>
      </c>
      <c r="G3230" t="s">
        <v>14672</v>
      </c>
      <c r="H3230" t="s">
        <v>13869</v>
      </c>
      <c r="I3230" t="s">
        <v>14690</v>
      </c>
      <c r="J3230" s="62">
        <v>0</v>
      </c>
      <c r="K3230" s="62">
        <v>0</v>
      </c>
      <c r="L3230" t="str">
        <f>VLOOKUP(VALUE(LEFT(C3230,5)),Xref!A:B,2,0)</f>
        <v>GRA</v>
      </c>
      <c r="M3230" t="str">
        <f t="shared" si="203"/>
        <v>GRA-OVA</v>
      </c>
    </row>
    <row r="3231" spans="1:13" ht="14.25" customHeight="true">
      <c r="A3231" s="33" t="str">
        <f t="shared" si="200"/>
        <v>OVA - Intercompany</v>
      </c>
      <c r="B3231" s="33" t="str">
        <f t="shared" si="201"/>
        <v>OVA</v>
      </c>
      <c r="C3231" s="33" t="str">
        <f t="shared" si="202"/>
        <v>11344-0000</v>
      </c>
      <c r="D3231" t="s">
        <v>25422</v>
      </c>
      <c r="E3231" t="s">
        <v>14141</v>
      </c>
      <c r="F3231" t="s">
        <v>14039</v>
      </c>
      <c r="G3231" t="s">
        <v>14672</v>
      </c>
      <c r="H3231" t="s">
        <v>13869</v>
      </c>
      <c r="I3231" t="s">
        <v>14690</v>
      </c>
      <c r="J3231" s="62">
        <v>0</v>
      </c>
      <c r="K3231" s="62">
        <v>0</v>
      </c>
      <c r="L3231" t="str">
        <f>VLOOKUP(VALUE(LEFT(C3231,5)),Xref!A:B,2,0)</f>
        <v>SOU</v>
      </c>
      <c r="M3231" t="str">
        <f t="shared" si="203"/>
        <v>OVA-SOU</v>
      </c>
    </row>
    <row r="3232" spans="1:13" ht="14.25" customHeight="true">
      <c r="A3232" s="33" t="str">
        <f t="shared" si="200"/>
        <v>OVA - Intercompany</v>
      </c>
      <c r="B3232" s="33" t="str">
        <f t="shared" si="201"/>
        <v>OVA</v>
      </c>
      <c r="C3232" s="33" t="str">
        <f t="shared" si="202"/>
        <v>11345-0000</v>
      </c>
      <c r="D3232" t="s">
        <v>25423</v>
      </c>
      <c r="E3232" t="s">
        <v>14143</v>
      </c>
      <c r="F3232" t="s">
        <v>14039</v>
      </c>
      <c r="G3232" t="s">
        <v>14672</v>
      </c>
      <c r="H3232" t="s">
        <v>13869</v>
      </c>
      <c r="I3232" t="s">
        <v>14690</v>
      </c>
      <c r="J3232" s="62">
        <v>0</v>
      </c>
      <c r="K3232" s="62">
        <v>0</v>
      </c>
      <c r="L3232" t="str">
        <f>VLOOKUP(VALUE(LEFT(C3232,5)),Xref!A:B,2,0)</f>
        <v>API</v>
      </c>
      <c r="M3232" t="str">
        <f t="shared" si="203"/>
        <v>API-OVA</v>
      </c>
    </row>
    <row r="3233" spans="1:13" ht="14.25" customHeight="true">
      <c r="A3233" s="33" t="str">
        <f t="shared" si="200"/>
        <v>OVA - Intercompany</v>
      </c>
      <c r="B3233" s="33" t="str">
        <f t="shared" si="201"/>
        <v>OVA</v>
      </c>
      <c r="C3233" s="33" t="str">
        <f t="shared" si="202"/>
        <v>11346-0000</v>
      </c>
      <c r="D3233" t="s">
        <v>25424</v>
      </c>
      <c r="E3233" t="s">
        <v>14145</v>
      </c>
      <c r="F3233" t="s">
        <v>14039</v>
      </c>
      <c r="G3233" t="s">
        <v>14672</v>
      </c>
      <c r="H3233" t="s">
        <v>13869</v>
      </c>
      <c r="I3233" t="s">
        <v>14690</v>
      </c>
      <c r="J3233" s="62">
        <v>0</v>
      </c>
      <c r="K3233" s="62">
        <v>0</v>
      </c>
      <c r="L3233" t="str">
        <f>VLOOKUP(VALUE(LEFT(C3233,5)),Xref!A:B,2,0)</f>
        <v>DPH</v>
      </c>
      <c r="M3233" t="str">
        <f t="shared" si="203"/>
        <v>DPH-OVA</v>
      </c>
    </row>
    <row r="3234" spans="1:13" ht="14.25" customHeight="true">
      <c r="A3234" s="33" t="str">
        <f t="shared" si="200"/>
        <v>OVA - Intercompany</v>
      </c>
      <c r="B3234" s="33" t="str">
        <f t="shared" si="201"/>
        <v>OVA</v>
      </c>
      <c r="C3234" s="33" t="str">
        <f t="shared" si="202"/>
        <v>11347-0000</v>
      </c>
      <c r="D3234" t="s">
        <v>25425</v>
      </c>
      <c r="E3234" t="s">
        <v>14147</v>
      </c>
      <c r="F3234" t="s">
        <v>14039</v>
      </c>
      <c r="G3234" t="s">
        <v>14672</v>
      </c>
      <c r="H3234" t="s">
        <v>13869</v>
      </c>
      <c r="I3234" t="s">
        <v>14690</v>
      </c>
      <c r="J3234" s="62">
        <v>0</v>
      </c>
      <c r="K3234" s="62">
        <v>0</v>
      </c>
      <c r="L3234" t="str">
        <f>VLOOKUP(VALUE(LEFT(C3234,5)),Xref!A:B,2,0)</f>
        <v>ZPI</v>
      </c>
      <c r="M3234" t="str">
        <f t="shared" si="203"/>
        <v>OVA-ZPI</v>
      </c>
    </row>
    <row r="3235" spans="1:13" ht="14.25" customHeight="true">
      <c r="A3235" s="33" t="str">
        <f t="shared" si="200"/>
        <v>OVA - Intercompany</v>
      </c>
      <c r="B3235" s="33" t="str">
        <f t="shared" si="201"/>
        <v>OVA</v>
      </c>
      <c r="C3235" s="33" t="str">
        <f t="shared" si="202"/>
        <v>11348-0000</v>
      </c>
      <c r="D3235" t="s">
        <v>25426</v>
      </c>
      <c r="E3235" t="s">
        <v>14149</v>
      </c>
      <c r="F3235" t="s">
        <v>14039</v>
      </c>
      <c r="G3235" t="s">
        <v>14672</v>
      </c>
      <c r="H3235" t="s">
        <v>13869</v>
      </c>
      <c r="I3235" t="s">
        <v>14690</v>
      </c>
      <c r="J3235" s="62">
        <v>0</v>
      </c>
      <c r="K3235" s="62">
        <v>0</v>
      </c>
      <c r="L3235" t="str">
        <f>VLOOKUP(VALUE(LEFT(C3235,5)),Xref!A:B,2,0)</f>
        <v>EAM</v>
      </c>
      <c r="M3235" t="str">
        <f t="shared" si="203"/>
        <v>EAM-OVA</v>
      </c>
    </row>
    <row r="3236" spans="1:13" ht="14.25" customHeight="true">
      <c r="A3236" s="33" t="str">
        <f t="shared" si="200"/>
        <v>OVA - Intercompany</v>
      </c>
      <c r="B3236" s="33" t="str">
        <f t="shared" si="201"/>
        <v>OVA</v>
      </c>
      <c r="C3236" s="33" t="str">
        <f t="shared" si="202"/>
        <v>11349-0000</v>
      </c>
      <c r="D3236" t="s">
        <v>25427</v>
      </c>
      <c r="E3236" t="s">
        <v>14151</v>
      </c>
      <c r="F3236" t="s">
        <v>14039</v>
      </c>
      <c r="G3236" t="s">
        <v>14672</v>
      </c>
      <c r="H3236" t="s">
        <v>13869</v>
      </c>
      <c r="I3236" t="s">
        <v>14690</v>
      </c>
      <c r="J3236" s="62">
        <v>0</v>
      </c>
      <c r="K3236" s="62">
        <v>0</v>
      </c>
      <c r="L3236" t="str">
        <f>VLOOKUP(VALUE(LEFT(C3236,5)),Xref!A:B,2,0)</f>
        <v>SEA</v>
      </c>
      <c r="M3236" t="str">
        <f t="shared" si="203"/>
        <v>OVA-SEA</v>
      </c>
    </row>
    <row r="3237" spans="1:13" ht="14.25" customHeight="true">
      <c r="A3237" s="33" t="str">
        <f t="shared" si="200"/>
        <v>OVA - Intercompany</v>
      </c>
      <c r="B3237" s="33" t="str">
        <f t="shared" si="201"/>
        <v>OVA</v>
      </c>
      <c r="C3237" s="33" t="str">
        <f t="shared" si="202"/>
        <v>11350-0000</v>
      </c>
      <c r="D3237" t="s">
        <v>25428</v>
      </c>
      <c r="E3237" t="s">
        <v>14153</v>
      </c>
      <c r="F3237" t="s">
        <v>14039</v>
      </c>
      <c r="G3237" t="s">
        <v>14672</v>
      </c>
      <c r="H3237" t="s">
        <v>13869</v>
      </c>
      <c r="I3237" t="s">
        <v>14690</v>
      </c>
      <c r="J3237" s="62">
        <v>0</v>
      </c>
      <c r="K3237" s="62">
        <v>-20.49</v>
      </c>
      <c r="L3237" t="str">
        <f>VLOOKUP(VALUE(LEFT(C3237,5)),Xref!A:B,2,0)</f>
        <v>EAL</v>
      </c>
      <c r="M3237" t="str">
        <f t="shared" si="203"/>
        <v>EAL-OVA</v>
      </c>
    </row>
    <row r="3238" spans="1:13" ht="14.25" customHeight="true">
      <c r="A3238" s="33" t="str">
        <f t="shared" si="200"/>
        <v>OVA - Intercompany</v>
      </c>
      <c r="B3238" s="33" t="str">
        <f t="shared" si="201"/>
        <v>OVA</v>
      </c>
      <c r="C3238" s="33" t="str">
        <f t="shared" si="202"/>
        <v>11351-0000</v>
      </c>
      <c r="D3238" t="s">
        <v>25429</v>
      </c>
      <c r="E3238" t="s">
        <v>14155</v>
      </c>
      <c r="F3238" t="s">
        <v>14039</v>
      </c>
      <c r="G3238" t="s">
        <v>14672</v>
      </c>
      <c r="H3238" t="s">
        <v>13869</v>
      </c>
      <c r="I3238" t="s">
        <v>14690</v>
      </c>
      <c r="J3238" s="62">
        <v>0</v>
      </c>
      <c r="K3238" s="62">
        <v>0</v>
      </c>
      <c r="L3238" t="str">
        <f>VLOOKUP(VALUE(LEFT(C3238,5)),Xref!A:B,2,0)</f>
        <v>WEP</v>
      </c>
      <c r="M3238" t="str">
        <f t="shared" si="203"/>
        <v>OVA-WEP</v>
      </c>
    </row>
    <row r="3239" spans="1:13" ht="14.25" customHeight="true">
      <c r="A3239" s="33" t="str">
        <f t="shared" si="200"/>
        <v>OVA - Intercompany</v>
      </c>
      <c r="B3239" s="33" t="str">
        <f t="shared" si="201"/>
        <v>OVA</v>
      </c>
      <c r="C3239" s="33" t="str">
        <f t="shared" si="202"/>
        <v>11352-0000</v>
      </c>
      <c r="D3239" t="s">
        <v>25430</v>
      </c>
      <c r="E3239" t="s">
        <v>13536</v>
      </c>
      <c r="F3239" t="s">
        <v>14039</v>
      </c>
      <c r="G3239" t="s">
        <v>14672</v>
      </c>
      <c r="H3239" t="s">
        <v>13869</v>
      </c>
      <c r="I3239" t="s">
        <v>14690</v>
      </c>
      <c r="J3239" s="62">
        <v>0</v>
      </c>
      <c r="K3239" s="62">
        <v>0</v>
      </c>
      <c r="L3239" t="str">
        <f>VLOOKUP(VALUE(LEFT(C3239,5)),Xref!A:B,2,0)</f>
        <v>KLP</v>
      </c>
      <c r="M3239" t="str">
        <f t="shared" si="203"/>
        <v>KLP-OVA</v>
      </c>
    </row>
    <row r="3240" spans="1:13" ht="14.25" customHeight="true">
      <c r="A3240" s="33" t="str">
        <f t="shared" si="200"/>
        <v>OVA - Intercompany</v>
      </c>
      <c r="B3240" s="33" t="str">
        <f t="shared" si="201"/>
        <v>OVA</v>
      </c>
      <c r="C3240" s="33" t="str">
        <f t="shared" si="202"/>
        <v>11353-0000</v>
      </c>
      <c r="D3240" t="s">
        <v>25431</v>
      </c>
      <c r="E3240" t="s">
        <v>13537</v>
      </c>
      <c r="F3240" t="s">
        <v>14039</v>
      </c>
      <c r="G3240" t="s">
        <v>14672</v>
      </c>
      <c r="H3240" t="s">
        <v>13869</v>
      </c>
      <c r="I3240" t="s">
        <v>14690</v>
      </c>
      <c r="J3240" s="62">
        <v>0</v>
      </c>
      <c r="K3240" s="62">
        <v>0</v>
      </c>
      <c r="L3240" t="str">
        <f>VLOOKUP(VALUE(LEFT(C3240,5)),Xref!A:B,2,0)</f>
        <v>AKC</v>
      </c>
      <c r="M3240" t="str">
        <f t="shared" si="203"/>
        <v>AKC-OVA</v>
      </c>
    </row>
    <row r="3241" spans="1:13" ht="14.25" customHeight="true">
      <c r="A3241" s="33" t="str">
        <f t="shared" si="200"/>
        <v>OVA - Intercompany</v>
      </c>
      <c r="B3241" s="33" t="str">
        <f t="shared" si="201"/>
        <v>OVA</v>
      </c>
      <c r="C3241" s="33" t="str">
        <f t="shared" si="202"/>
        <v>11354-0000</v>
      </c>
      <c r="D3241" t="s">
        <v>25432</v>
      </c>
      <c r="E3241" t="s">
        <v>13538</v>
      </c>
      <c r="F3241" t="s">
        <v>14039</v>
      </c>
      <c r="G3241" t="s">
        <v>14672</v>
      </c>
      <c r="H3241" t="s">
        <v>13869</v>
      </c>
      <c r="I3241" t="s">
        <v>14690</v>
      </c>
      <c r="J3241" s="62">
        <v>0</v>
      </c>
      <c r="K3241" s="62">
        <v>0</v>
      </c>
      <c r="L3241" t="str">
        <f>VLOOKUP(VALUE(LEFT(C3241,5)),Xref!A:B,2,0)</f>
        <v>AKA</v>
      </c>
      <c r="M3241" t="str">
        <f t="shared" si="203"/>
        <v>AKA-OVA</v>
      </c>
    </row>
    <row r="3242" spans="1:13" ht="14.25" customHeight="true">
      <c r="A3242" s="33" t="str">
        <f t="shared" si="200"/>
        <v>OVA - Intercompany</v>
      </c>
      <c r="B3242" s="33" t="str">
        <f t="shared" si="201"/>
        <v>OVA</v>
      </c>
      <c r="C3242" s="33" t="str">
        <f t="shared" si="202"/>
        <v>11355-0000</v>
      </c>
      <c r="D3242" t="s">
        <v>25433</v>
      </c>
      <c r="E3242" t="s">
        <v>13539</v>
      </c>
      <c r="F3242" t="s">
        <v>14039</v>
      </c>
      <c r="G3242" t="s">
        <v>14672</v>
      </c>
      <c r="H3242" t="s">
        <v>13869</v>
      </c>
      <c r="I3242" t="s">
        <v>14690</v>
      </c>
      <c r="J3242" s="62">
        <v>0</v>
      </c>
      <c r="K3242" s="62">
        <v>0</v>
      </c>
      <c r="L3242" t="str">
        <f>VLOOKUP(VALUE(LEFT(C3242,5)),Xref!A:B,2,0)</f>
        <v>SPA</v>
      </c>
      <c r="M3242" t="str">
        <f t="shared" si="203"/>
        <v>OVA-SPA</v>
      </c>
    </row>
    <row r="3243" spans="1:13" ht="14.25" customHeight="true">
      <c r="A3243" s="33" t="str">
        <f t="shared" si="200"/>
        <v>OVA - Intercompany</v>
      </c>
      <c r="B3243" s="33" t="str">
        <f t="shared" si="201"/>
        <v>OVA</v>
      </c>
      <c r="C3243" s="33" t="str">
        <f t="shared" si="202"/>
        <v>11356-0000</v>
      </c>
      <c r="D3243" t="s">
        <v>25434</v>
      </c>
      <c r="E3243" t="s">
        <v>13540</v>
      </c>
      <c r="F3243" t="s">
        <v>14039</v>
      </c>
      <c r="G3243" t="s">
        <v>14672</v>
      </c>
      <c r="H3243" t="s">
        <v>13869</v>
      </c>
      <c r="I3243" t="s">
        <v>14690</v>
      </c>
      <c r="J3243" s="62">
        <v>0</v>
      </c>
      <c r="K3243" s="62">
        <v>0</v>
      </c>
      <c r="L3243" t="str">
        <f>VLOOKUP(VALUE(LEFT(C3243,5)),Xref!A:B,2,0)</f>
        <v>DPM</v>
      </c>
      <c r="M3243" t="str">
        <f t="shared" si="203"/>
        <v>DPM-OVA</v>
      </c>
    </row>
    <row r="3244" spans="1:13" ht="14.25" customHeight="true">
      <c r="A3244" s="33" t="str">
        <f t="shared" si="200"/>
        <v>OVA - Intercompany</v>
      </c>
      <c r="B3244" s="33" t="str">
        <f t="shared" si="201"/>
        <v>OVA</v>
      </c>
      <c r="C3244" s="33" t="str">
        <f t="shared" si="202"/>
        <v>11357-0000</v>
      </c>
      <c r="D3244" t="s">
        <v>25435</v>
      </c>
      <c r="E3244" t="s">
        <v>13541</v>
      </c>
      <c r="F3244" t="s">
        <v>14039</v>
      </c>
      <c r="G3244" t="s">
        <v>14672</v>
      </c>
      <c r="H3244" t="s">
        <v>13869</v>
      </c>
      <c r="I3244" t="s">
        <v>14690</v>
      </c>
      <c r="J3244" s="62">
        <v>0</v>
      </c>
      <c r="K3244" s="62">
        <v>0</v>
      </c>
      <c r="L3244" t="str">
        <f>VLOOKUP(VALUE(LEFT(C3244,5)),Xref!A:B,2,0)</f>
        <v>HDM</v>
      </c>
      <c r="M3244" t="str">
        <f t="shared" si="203"/>
        <v>HDM-OVA</v>
      </c>
    </row>
    <row r="3245" spans="1:13" ht="14.25" customHeight="true">
      <c r="A3245" s="33" t="str">
        <f t="shared" si="200"/>
        <v>OVA - Intercompany</v>
      </c>
      <c r="B3245" s="33" t="str">
        <f t="shared" si="201"/>
        <v>OVA</v>
      </c>
      <c r="C3245" s="33" t="str">
        <f t="shared" si="202"/>
        <v>11358-0000</v>
      </c>
      <c r="D3245" t="s">
        <v>25436</v>
      </c>
      <c r="E3245" t="s">
        <v>13542</v>
      </c>
      <c r="F3245" t="s">
        <v>14039</v>
      </c>
      <c r="G3245" t="s">
        <v>14672</v>
      </c>
      <c r="H3245" t="s">
        <v>13869</v>
      </c>
      <c r="I3245" t="s">
        <v>14690</v>
      </c>
      <c r="J3245" s="62">
        <v>0</v>
      </c>
      <c r="K3245" s="62">
        <v>0</v>
      </c>
      <c r="L3245" t="str">
        <f>VLOOKUP(VALUE(LEFT(C3245,5)),Xref!A:B,2,0)</f>
        <v>GRA</v>
      </c>
      <c r="M3245" t="str">
        <f t="shared" si="203"/>
        <v>GRA-OVA</v>
      </c>
    </row>
    <row r="3246" spans="1:13" ht="14.25" customHeight="true">
      <c r="A3246" s="33" t="str">
        <f t="shared" si="200"/>
        <v>OVA - Intercompany</v>
      </c>
      <c r="B3246" s="33" t="str">
        <f t="shared" si="201"/>
        <v>OVA</v>
      </c>
      <c r="C3246" s="33" t="str">
        <f t="shared" si="202"/>
        <v>11359-0000</v>
      </c>
      <c r="D3246" t="s">
        <v>25437</v>
      </c>
      <c r="E3246" t="s">
        <v>13543</v>
      </c>
      <c r="F3246" t="s">
        <v>14039</v>
      </c>
      <c r="G3246" t="s">
        <v>14672</v>
      </c>
      <c r="H3246" t="s">
        <v>13869</v>
      </c>
      <c r="I3246" t="s">
        <v>14690</v>
      </c>
      <c r="J3246" s="62">
        <v>0</v>
      </c>
      <c r="K3246" s="62">
        <v>0</v>
      </c>
      <c r="L3246" t="str">
        <f>VLOOKUP(VALUE(LEFT(C3246,5)),Xref!A:B,2,0)</f>
        <v>TPI</v>
      </c>
      <c r="M3246" t="str">
        <f t="shared" si="203"/>
        <v>OVA-TPI</v>
      </c>
    </row>
    <row r="3247" spans="1:13" ht="14.25" customHeight="true">
      <c r="A3247" s="33" t="str">
        <f t="shared" si="200"/>
        <v>OVA - Intercompany</v>
      </c>
      <c r="B3247" s="33" t="str">
        <f t="shared" si="201"/>
        <v>OVA</v>
      </c>
      <c r="C3247" s="33" t="str">
        <f t="shared" si="202"/>
        <v>11361-0000</v>
      </c>
      <c r="D3247" t="s">
        <v>25438</v>
      </c>
      <c r="E3247" t="s">
        <v>14165</v>
      </c>
      <c r="F3247" t="s">
        <v>14039</v>
      </c>
      <c r="G3247" t="s">
        <v>14672</v>
      </c>
      <c r="H3247" t="s">
        <v>13869</v>
      </c>
      <c r="I3247" t="s">
        <v>14690</v>
      </c>
      <c r="J3247" s="62">
        <v>0</v>
      </c>
      <c r="K3247" s="62">
        <v>0</v>
      </c>
      <c r="L3247" t="str">
        <f>VLOOKUP(VALUE(LEFT(C3247,5)),Xref!A:B,2,0)</f>
        <v>GSM</v>
      </c>
      <c r="M3247" t="str">
        <f t="shared" si="203"/>
        <v>GSM-OVA</v>
      </c>
    </row>
    <row r="3248" spans="1:13" ht="14.25" customHeight="true">
      <c r="A3248" s="33" t="str">
        <f t="shared" si="200"/>
        <v>OVA - Intercompany</v>
      </c>
      <c r="B3248" s="33" t="str">
        <f t="shared" si="201"/>
        <v>OVA</v>
      </c>
      <c r="C3248" s="33" t="str">
        <f t="shared" si="202"/>
        <v>11363-0000</v>
      </c>
      <c r="D3248" t="s">
        <v>25439</v>
      </c>
      <c r="E3248" t="s">
        <v>13544</v>
      </c>
      <c r="F3248" t="s">
        <v>14039</v>
      </c>
      <c r="G3248" t="s">
        <v>14672</v>
      </c>
      <c r="H3248" t="s">
        <v>13869</v>
      </c>
      <c r="I3248" t="s">
        <v>14690</v>
      </c>
      <c r="J3248" s="62">
        <v>0</v>
      </c>
      <c r="K3248" s="62">
        <v>0</v>
      </c>
      <c r="L3248" t="str">
        <f>VLOOKUP(VALUE(LEFT(C3248,5)),Xref!A:B,2,0)</f>
        <v>SOF</v>
      </c>
      <c r="M3248" t="str">
        <f t="shared" si="203"/>
        <v>OVA-SOF</v>
      </c>
    </row>
    <row r="3249" spans="1:13" ht="14.25" customHeight="true">
      <c r="A3249" s="33" t="str">
        <f t="shared" si="200"/>
        <v>OVA - Intercompany</v>
      </c>
      <c r="B3249" s="33" t="str">
        <f t="shared" si="201"/>
        <v>OVA</v>
      </c>
      <c r="C3249" s="33" t="str">
        <f t="shared" si="202"/>
        <v>11364-0000</v>
      </c>
      <c r="D3249" t="s">
        <v>25440</v>
      </c>
      <c r="E3249" t="s">
        <v>14168</v>
      </c>
      <c r="F3249" t="s">
        <v>14039</v>
      </c>
      <c r="G3249" t="s">
        <v>14672</v>
      </c>
      <c r="H3249" t="s">
        <v>13869</v>
      </c>
      <c r="I3249" t="s">
        <v>14690</v>
      </c>
      <c r="J3249" s="62">
        <v>0</v>
      </c>
      <c r="K3249" s="62">
        <v>0</v>
      </c>
      <c r="L3249" t="e">
        <f>VLOOKUP(VALUE(LEFT(C3249,5)),Xref!A:B,2,0)</f>
        <v>#N/A</v>
      </c>
      <c r="M3249" t="e">
        <f t="shared" si="203"/>
        <v>#N/A</v>
      </c>
    </row>
    <row r="3250" spans="1:13" ht="14.25" customHeight="true">
      <c r="A3250" s="33" t="str">
        <f t="shared" si="200"/>
        <v>OVA - Intercompany</v>
      </c>
      <c r="B3250" s="33" t="str">
        <f t="shared" si="201"/>
        <v>OVA</v>
      </c>
      <c r="C3250" s="33" t="str">
        <f t="shared" si="202"/>
        <v>11365-0000</v>
      </c>
      <c r="D3250" t="s">
        <v>25441</v>
      </c>
      <c r="E3250" t="s">
        <v>14170</v>
      </c>
      <c r="F3250" t="s">
        <v>14039</v>
      </c>
      <c r="G3250" t="s">
        <v>14672</v>
      </c>
      <c r="H3250" t="s">
        <v>13869</v>
      </c>
      <c r="I3250" t="s">
        <v>14690</v>
      </c>
      <c r="J3250" s="62">
        <v>0</v>
      </c>
      <c r="K3250" s="62">
        <v>0</v>
      </c>
      <c r="L3250" t="e">
        <f>VLOOKUP(VALUE(LEFT(C3250,5)),Xref!A:B,2,0)</f>
        <v>#N/A</v>
      </c>
      <c r="M3250" t="e">
        <f t="shared" si="203"/>
        <v>#N/A</v>
      </c>
    </row>
    <row r="3251" spans="1:13" ht="14.25" customHeight="true">
      <c r="A3251" s="33" t="str">
        <f t="shared" si="200"/>
        <v>OVA - Intercompany</v>
      </c>
      <c r="B3251" s="33" t="str">
        <f t="shared" si="201"/>
        <v>OVA</v>
      </c>
      <c r="C3251" s="33" t="str">
        <f t="shared" si="202"/>
        <v>11366-0000</v>
      </c>
      <c r="D3251" t="s">
        <v>25442</v>
      </c>
      <c r="E3251" t="s">
        <v>14172</v>
      </c>
      <c r="G3251" t="s">
        <v>14672</v>
      </c>
      <c r="H3251" t="s">
        <v>13869</v>
      </c>
      <c r="I3251" t="s">
        <v>14690</v>
      </c>
      <c r="J3251" s="62">
        <v>0</v>
      </c>
      <c r="K3251" s="62">
        <v>0</v>
      </c>
      <c r="L3251" t="e">
        <f>VLOOKUP(VALUE(LEFT(C3251,5)),Xref!A:B,2,0)</f>
        <v>#N/A</v>
      </c>
      <c r="M3251" t="e">
        <f t="shared" si="203"/>
        <v>#N/A</v>
      </c>
    </row>
    <row r="3252" spans="1:13" ht="14.25" customHeight="true">
      <c r="A3252" s="33" t="str">
        <f t="shared" si="200"/>
        <v>OVA - Intercompany</v>
      </c>
      <c r="B3252" s="33" t="str">
        <f t="shared" si="201"/>
        <v>OVA</v>
      </c>
      <c r="C3252" s="33" t="str">
        <f t="shared" si="202"/>
        <v>11402-0000</v>
      </c>
      <c r="D3252" t="s">
        <v>25443</v>
      </c>
      <c r="E3252" t="s">
        <v>14174</v>
      </c>
      <c r="G3252" t="s">
        <v>14672</v>
      </c>
      <c r="H3252" t="s">
        <v>13869</v>
      </c>
      <c r="I3252" t="s">
        <v>14690</v>
      </c>
      <c r="J3252" s="62">
        <v>0</v>
      </c>
      <c r="K3252" s="62">
        <v>0</v>
      </c>
      <c r="L3252" t="str">
        <f>VLOOKUP(VALUE(LEFT(C3252,5)),Xref!A:B,2,0)</f>
        <v>DPI</v>
      </c>
      <c r="M3252" t="str">
        <f t="shared" si="203"/>
        <v>DPI-OVA</v>
      </c>
    </row>
    <row r="3253" spans="1:13" ht="14.25" customHeight="true">
      <c r="A3253" s="33" t="str">
        <f t="shared" si="200"/>
        <v>OVA - Intercompany</v>
      </c>
      <c r="B3253" s="33" t="str">
        <f t="shared" si="201"/>
        <v>OVA</v>
      </c>
      <c r="C3253" s="33" t="str">
        <f t="shared" si="202"/>
        <v>11403-0000</v>
      </c>
      <c r="D3253" t="s">
        <v>25444</v>
      </c>
      <c r="E3253" t="s">
        <v>14176</v>
      </c>
      <c r="G3253" t="s">
        <v>14672</v>
      </c>
      <c r="H3253" t="s">
        <v>13869</v>
      </c>
      <c r="I3253" t="s">
        <v>14690</v>
      </c>
      <c r="J3253" s="62">
        <v>0</v>
      </c>
      <c r="K3253" s="62">
        <v>0</v>
      </c>
      <c r="L3253" t="str">
        <f>VLOOKUP(VALUE(LEFT(C3253,5)),Xref!A:B,2,0)</f>
        <v>SEA</v>
      </c>
      <c r="M3253" t="str">
        <f t="shared" si="203"/>
        <v>OVA-SEA</v>
      </c>
    </row>
    <row r="3254" spans="1:13" ht="14.25" customHeight="true">
      <c r="A3254" s="33" t="str">
        <f t="shared" si="200"/>
        <v>OVA - Intercompany</v>
      </c>
      <c r="B3254" s="33" t="str">
        <f t="shared" si="201"/>
        <v>OVA</v>
      </c>
      <c r="C3254" s="33" t="str">
        <f t="shared" si="202"/>
        <v>12400-0000</v>
      </c>
      <c r="D3254" t="s">
        <v>25447</v>
      </c>
      <c r="E3254" t="s">
        <v>14185</v>
      </c>
      <c r="F3254" t="s">
        <v>14039</v>
      </c>
      <c r="G3254" t="s">
        <v>14672</v>
      </c>
      <c r="H3254" t="s">
        <v>13869</v>
      </c>
      <c r="I3254" t="s">
        <v>14690</v>
      </c>
      <c r="J3254" s="62">
        <v>0</v>
      </c>
      <c r="K3254" s="62">
        <v>0</v>
      </c>
      <c r="L3254" t="str">
        <f>VLOOKUP(VALUE(LEFT(C3254,5)),Xref!A:B,2,0)</f>
        <v>aka</v>
      </c>
      <c r="M3254" t="str">
        <f t="shared" si="203"/>
        <v>aka-OVA</v>
      </c>
    </row>
    <row r="3255" spans="1:13" ht="14.25" customHeight="true">
      <c r="A3255" s="33" t="str">
        <f t="shared" si="200"/>
        <v>OVA - Intercompany</v>
      </c>
      <c r="B3255" s="33" t="str">
        <f t="shared" si="201"/>
        <v>OVA</v>
      </c>
      <c r="C3255" s="33" t="str">
        <f t="shared" si="202"/>
        <v>12401-0000</v>
      </c>
      <c r="D3255" t="s">
        <v>25448</v>
      </c>
      <c r="E3255" t="s">
        <v>14187</v>
      </c>
      <c r="F3255" t="s">
        <v>14039</v>
      </c>
      <c r="G3255" t="s">
        <v>14672</v>
      </c>
      <c r="H3255" t="s">
        <v>13869</v>
      </c>
      <c r="I3255" t="s">
        <v>14690</v>
      </c>
      <c r="J3255" s="62">
        <v>0</v>
      </c>
      <c r="K3255" s="62">
        <v>0</v>
      </c>
      <c r="L3255" t="str">
        <f>VLOOKUP(VALUE(LEFT(C3255,5)),Xref!A:B,2,0)</f>
        <v>aka</v>
      </c>
      <c r="M3255" t="str">
        <f t="shared" si="203"/>
        <v>aka-OVA</v>
      </c>
    </row>
    <row r="3256" spans="1:13" ht="14.25" customHeight="true">
      <c r="A3256" s="33" t="str">
        <f t="shared" si="200"/>
        <v>OVA - Intercompany</v>
      </c>
      <c r="B3256" s="33" t="str">
        <f t="shared" si="201"/>
        <v>OVA</v>
      </c>
      <c r="C3256" s="33" t="str">
        <f t="shared" si="202"/>
        <v>12402-0000</v>
      </c>
      <c r="D3256" t="s">
        <v>25449</v>
      </c>
      <c r="E3256" t="s">
        <v>14189</v>
      </c>
      <c r="F3256" t="s">
        <v>14039</v>
      </c>
      <c r="G3256" t="s">
        <v>14672</v>
      </c>
      <c r="H3256" t="s">
        <v>13869</v>
      </c>
      <c r="I3256" t="s">
        <v>14690</v>
      </c>
      <c r="J3256" s="62">
        <v>0</v>
      </c>
      <c r="K3256" s="62">
        <v>0</v>
      </c>
      <c r="L3256" t="str">
        <f>VLOOKUP(VALUE(LEFT(C3256,5)),Xref!A:B,2,0)</f>
        <v>aka</v>
      </c>
      <c r="M3256" t="str">
        <f t="shared" si="203"/>
        <v>aka-OVA</v>
      </c>
    </row>
    <row r="3257" spans="1:13" ht="14.25" customHeight="true">
      <c r="A3257" s="33" t="str">
        <f t="shared" si="200"/>
        <v>OVA - Intercompany</v>
      </c>
      <c r="B3257" s="33" t="str">
        <f t="shared" si="201"/>
        <v>OVA</v>
      </c>
      <c r="C3257" s="33" t="str">
        <f t="shared" si="202"/>
        <v>12403-0000</v>
      </c>
      <c r="D3257" t="s">
        <v>25450</v>
      </c>
      <c r="E3257" t="s">
        <v>5226</v>
      </c>
      <c r="F3257" t="s">
        <v>14039</v>
      </c>
      <c r="G3257" t="s">
        <v>14672</v>
      </c>
      <c r="H3257" t="s">
        <v>13869</v>
      </c>
      <c r="I3257" t="s">
        <v>14690</v>
      </c>
      <c r="J3257" s="62">
        <v>0</v>
      </c>
      <c r="K3257" s="62">
        <v>0</v>
      </c>
      <c r="L3257" t="str">
        <f>VLOOKUP(VALUE(LEFT(C3257,5)),Xref!A:B,2,0)</f>
        <v>aka</v>
      </c>
      <c r="M3257" t="str">
        <f t="shared" si="203"/>
        <v>aka-OVA</v>
      </c>
    </row>
    <row r="3258" spans="1:13" ht="14.25" customHeight="true">
      <c r="A3258" s="33" t="str">
        <f t="shared" si="200"/>
        <v>OVA - Intercompany</v>
      </c>
      <c r="B3258" s="33" t="str">
        <f t="shared" si="201"/>
        <v>OVA</v>
      </c>
      <c r="C3258" s="33" t="str">
        <f t="shared" si="202"/>
        <v>12501-0000</v>
      </c>
      <c r="D3258" t="s">
        <v>25451</v>
      </c>
      <c r="E3258" t="s">
        <v>14192</v>
      </c>
      <c r="F3258" t="s">
        <v>14039</v>
      </c>
      <c r="G3258" t="s">
        <v>14672</v>
      </c>
      <c r="H3258" t="s">
        <v>13869</v>
      </c>
      <c r="I3258" t="s">
        <v>14690</v>
      </c>
      <c r="J3258" s="62">
        <v>0</v>
      </c>
      <c r="K3258" s="62">
        <v>0</v>
      </c>
      <c r="L3258" t="str">
        <f>VLOOKUP(VALUE(LEFT(C3258,5)),Xref!A:B,2,0)</f>
        <v>aka</v>
      </c>
      <c r="M3258" t="str">
        <f t="shared" si="203"/>
        <v>aka-OVA</v>
      </c>
    </row>
    <row r="3259" spans="1:13" ht="14.25" customHeight="true">
      <c r="A3259" s="33" t="str">
        <f t="shared" si="200"/>
        <v>OVA - InterCo Notes</v>
      </c>
      <c r="B3259" s="33" t="str">
        <f t="shared" si="201"/>
        <v>OVA</v>
      </c>
      <c r="C3259" s="33" t="str">
        <f t="shared" si="202"/>
        <v>25600-0000</v>
      </c>
      <c r="D3259" t="s">
        <v>25497</v>
      </c>
      <c r="E3259" t="s">
        <v>314</v>
      </c>
      <c r="F3259" t="s">
        <v>14039</v>
      </c>
      <c r="G3259" t="s">
        <v>14672</v>
      </c>
      <c r="H3259" t="s">
        <v>13889</v>
      </c>
      <c r="I3259" t="s">
        <v>14690</v>
      </c>
      <c r="J3259" s="62">
        <v>0</v>
      </c>
      <c r="K3259" s="62">
        <v>-2442000</v>
      </c>
      <c r="L3259" t="str">
        <f>VLOOKUP(VALUE(LEFT(C3259,5)),Xref!A:B,2,0)</f>
        <v>D7</v>
      </c>
      <c r="M3259" t="str">
        <f t="shared" si="203"/>
        <v>D7-OVA</v>
      </c>
    </row>
    <row r="3260" spans="1:13" ht="14.25" customHeight="true">
      <c r="A3260" s="33" t="str">
        <f t="shared" si="200"/>
        <v>OVA - InterCo Notes</v>
      </c>
      <c r="B3260" s="33" t="str">
        <f t="shared" si="201"/>
        <v>OVA</v>
      </c>
      <c r="C3260" s="33" t="str">
        <f t="shared" si="202"/>
        <v>25602-0000</v>
      </c>
      <c r="D3260" t="s">
        <v>25499</v>
      </c>
      <c r="E3260" t="s">
        <v>13426</v>
      </c>
      <c r="F3260" t="s">
        <v>14039</v>
      </c>
      <c r="G3260" t="s">
        <v>14672</v>
      </c>
      <c r="H3260" t="s">
        <v>13889</v>
      </c>
      <c r="I3260" t="s">
        <v>14690</v>
      </c>
      <c r="J3260" s="62">
        <v>0</v>
      </c>
      <c r="K3260" s="62">
        <v>0</v>
      </c>
      <c r="L3260" t="str">
        <f>VLOOKUP(VALUE(LEFT(C3260,5)),Xref!A:B,2,0)</f>
        <v>DFLP</v>
      </c>
      <c r="M3260" t="str">
        <f t="shared" si="203"/>
        <v>DFLP-OVA</v>
      </c>
    </row>
    <row r="3261" spans="1:13" ht="14.25" customHeight="true">
      <c r="A3261" s="33" t="str">
        <f t="shared" si="200"/>
        <v>OVA - InterCo Notes</v>
      </c>
      <c r="B3261" s="33" t="str">
        <f t="shared" si="201"/>
        <v>OVA</v>
      </c>
      <c r="C3261" s="33" t="str">
        <f t="shared" si="202"/>
        <v>25603-0000</v>
      </c>
      <c r="D3261" t="s">
        <v>25500</v>
      </c>
      <c r="E3261" t="s">
        <v>14311</v>
      </c>
      <c r="F3261" t="s">
        <v>14039</v>
      </c>
      <c r="G3261" t="s">
        <v>14832</v>
      </c>
      <c r="H3261" t="s">
        <v>13889</v>
      </c>
      <c r="I3261" t="s">
        <v>14690</v>
      </c>
      <c r="J3261" s="62">
        <v>0</v>
      </c>
      <c r="K3261" s="62">
        <v>0</v>
      </c>
      <c r="L3261" t="str">
        <f>VLOOKUP(VALUE(LEFT(C3261,5)),Xref!A:B,2,0)</f>
        <v>aka</v>
      </c>
      <c r="M3261" t="str">
        <f t="shared" si="203"/>
        <v>aka-OVA</v>
      </c>
    </row>
    <row r="3262" spans="1:13" ht="14.25" customHeight="true">
      <c r="A3262" s="33" t="str">
        <f t="shared" si="200"/>
        <v>OVA - Intercompany</v>
      </c>
      <c r="B3262" s="33" t="str">
        <f t="shared" si="201"/>
        <v>OVA</v>
      </c>
      <c r="C3262" s="33" t="str">
        <f t="shared" si="202"/>
        <v>25604-0000</v>
      </c>
      <c r="D3262" t="s">
        <v>25501</v>
      </c>
      <c r="E3262" t="s">
        <v>13490</v>
      </c>
      <c r="F3262" t="s">
        <v>14039</v>
      </c>
      <c r="G3262" t="s">
        <v>14672</v>
      </c>
      <c r="H3262" t="s">
        <v>13869</v>
      </c>
      <c r="I3262" t="s">
        <v>14690</v>
      </c>
      <c r="J3262" s="62">
        <v>0</v>
      </c>
      <c r="K3262" s="62">
        <v>0</v>
      </c>
      <c r="L3262">
        <f>VLOOKUP(VALUE(LEFT(C3262,5)),Xref!A:B,2,0)</f>
        <v>0</v>
      </c>
      <c r="M3262" t="str">
        <f t="shared" si="203"/>
        <v>0-OVA</v>
      </c>
    </row>
    <row r="3263" spans="1:13" ht="14.25" customHeight="true">
      <c r="A3263" s="33" t="str">
        <f t="shared" si="200"/>
        <v>PGP - Intercompany</v>
      </c>
      <c r="B3263" s="33" t="str">
        <f t="shared" si="201"/>
        <v>PGP</v>
      </c>
      <c r="C3263" s="33" t="str">
        <f t="shared" si="202"/>
        <v>11200-0000</v>
      </c>
      <c r="D3263" t="s">
        <v>25671</v>
      </c>
      <c r="E3263" t="s">
        <v>14069</v>
      </c>
      <c r="F3263" t="s">
        <v>14039</v>
      </c>
      <c r="G3263" t="s">
        <v>14672</v>
      </c>
      <c r="H3263" t="s">
        <v>13869</v>
      </c>
      <c r="I3263" t="s">
        <v>14690</v>
      </c>
      <c r="J3263" s="62">
        <v>0</v>
      </c>
      <c r="K3263" s="62">
        <v>0</v>
      </c>
      <c r="L3263" t="str">
        <f>VLOOKUP(VALUE(LEFT(C3263,5)),Xref!A:B,2,0)</f>
        <v>SCL</v>
      </c>
      <c r="M3263" t="str">
        <f t="shared" si="203"/>
        <v>PGP-SCL</v>
      </c>
    </row>
    <row r="3264" spans="1:13" ht="14.25" customHeight="true">
      <c r="A3264" s="33" t="str">
        <f t="shared" si="200"/>
        <v>PGP - Intercompany</v>
      </c>
      <c r="B3264" s="33" t="str">
        <f t="shared" si="201"/>
        <v>PGP</v>
      </c>
      <c r="C3264" s="33" t="str">
        <f t="shared" si="202"/>
        <v>11201-0000</v>
      </c>
      <c r="D3264" t="s">
        <v>25672</v>
      </c>
      <c r="E3264" t="s">
        <v>14071</v>
      </c>
      <c r="F3264" t="s">
        <v>14039</v>
      </c>
      <c r="G3264" t="s">
        <v>14672</v>
      </c>
      <c r="H3264" t="s">
        <v>13869</v>
      </c>
      <c r="I3264" t="s">
        <v>14690</v>
      </c>
      <c r="J3264" s="62">
        <v>0</v>
      </c>
      <c r="K3264" s="62">
        <v>0</v>
      </c>
      <c r="L3264" t="str">
        <f>VLOOKUP(VALUE(LEFT(C3264,5)),Xref!A:B,2,0)</f>
        <v>SG2</v>
      </c>
      <c r="M3264" t="str">
        <f t="shared" si="203"/>
        <v>PGP-SG2</v>
      </c>
    </row>
    <row r="3265" spans="1:13" ht="14.25" customHeight="true">
      <c r="A3265" s="33" t="str">
        <f t="shared" si="200"/>
        <v>PGP - Intercompany</v>
      </c>
      <c r="B3265" s="33" t="str">
        <f t="shared" si="201"/>
        <v>PGP</v>
      </c>
      <c r="C3265" s="33" t="str">
        <f t="shared" si="202"/>
        <v>11202-0000</v>
      </c>
      <c r="D3265" t="s">
        <v>25673</v>
      </c>
      <c r="E3265" t="s">
        <v>14073</v>
      </c>
      <c r="F3265" t="s">
        <v>14039</v>
      </c>
      <c r="G3265" t="s">
        <v>14672</v>
      </c>
      <c r="H3265" t="s">
        <v>13869</v>
      </c>
      <c r="I3265" t="s">
        <v>14690</v>
      </c>
      <c r="J3265" s="62">
        <v>0</v>
      </c>
      <c r="K3265" s="62">
        <v>0</v>
      </c>
      <c r="L3265" t="str">
        <f>VLOOKUP(VALUE(LEFT(C3265,5)),Xref!A:B,2,0)</f>
        <v>FFC</v>
      </c>
      <c r="M3265" t="str">
        <f t="shared" si="203"/>
        <v>FFC-PGP</v>
      </c>
    </row>
    <row r="3266" spans="1:13" ht="14.25" customHeight="true">
      <c r="A3266" s="33" t="str">
        <f t="shared" ref="A3266:A3329" si="204">B3266&amp;" - "&amp;TRIM(H3266)</f>
        <v>PGP - Intercompany</v>
      </c>
      <c r="B3266" s="33" t="str">
        <f t="shared" ref="B3266:B3329" si="205">LEFT(D3266,3)</f>
        <v>PGP</v>
      </c>
      <c r="C3266" s="33" t="str">
        <f t="shared" ref="C3266:C3329" si="206">RIGHT(D3266,10)</f>
        <v>11203-0000</v>
      </c>
      <c r="D3266" t="s">
        <v>25674</v>
      </c>
      <c r="E3266" t="s">
        <v>14075</v>
      </c>
      <c r="F3266" t="s">
        <v>14039</v>
      </c>
      <c r="G3266" t="s">
        <v>14672</v>
      </c>
      <c r="H3266" t="s">
        <v>13869</v>
      </c>
      <c r="I3266" t="s">
        <v>14690</v>
      </c>
      <c r="J3266" s="62">
        <v>0</v>
      </c>
      <c r="K3266" s="62">
        <v>0</v>
      </c>
      <c r="L3266" t="str">
        <f>VLOOKUP(VALUE(LEFT(C3266,5)),Xref!A:B,2,0)</f>
        <v>HN2</v>
      </c>
      <c r="M3266" t="str">
        <f t="shared" ref="M3266:M3329" si="207">IF(B3266&lt;L3266,B3266&amp;"-"&amp;L3266,L3266&amp;"-"&amp;B3266)</f>
        <v>HN2-PGP</v>
      </c>
    </row>
    <row r="3267" spans="1:13" ht="14.25" customHeight="true">
      <c r="A3267" s="33" t="str">
        <f t="shared" si="204"/>
        <v>PGP - Intercompany</v>
      </c>
      <c r="B3267" s="33" t="str">
        <f t="shared" si="205"/>
        <v>PGP</v>
      </c>
      <c r="C3267" s="33" t="str">
        <f t="shared" si="206"/>
        <v>11204-0000</v>
      </c>
      <c r="D3267" t="s">
        <v>25675</v>
      </c>
      <c r="E3267" t="s">
        <v>14077</v>
      </c>
      <c r="F3267" t="s">
        <v>14039</v>
      </c>
      <c r="G3267" t="s">
        <v>14672</v>
      </c>
      <c r="H3267" t="s">
        <v>13869</v>
      </c>
      <c r="I3267" t="s">
        <v>14690</v>
      </c>
      <c r="J3267" s="62">
        <v>0</v>
      </c>
      <c r="K3267" s="62">
        <v>0</v>
      </c>
      <c r="L3267" t="str">
        <f>VLOOKUP(VALUE(LEFT(C3267,5)),Xref!A:B,2,0)</f>
        <v>DF2</v>
      </c>
      <c r="M3267" t="str">
        <f t="shared" si="207"/>
        <v>DF2-PGP</v>
      </c>
    </row>
    <row r="3268" spans="1:13" ht="14.25" customHeight="true">
      <c r="A3268" s="33" t="str">
        <f t="shared" si="204"/>
        <v>PGP - Intercompany</v>
      </c>
      <c r="B3268" s="33" t="str">
        <f t="shared" si="205"/>
        <v>PGP</v>
      </c>
      <c r="C3268" s="33" t="str">
        <f t="shared" si="206"/>
        <v>11208-0000</v>
      </c>
      <c r="D3268" t="s">
        <v>25676</v>
      </c>
      <c r="E3268" t="s">
        <v>14079</v>
      </c>
      <c r="F3268" t="s">
        <v>14039</v>
      </c>
      <c r="G3268" t="s">
        <v>14672</v>
      </c>
      <c r="H3268" t="s">
        <v>13869</v>
      </c>
      <c r="I3268" t="s">
        <v>14690</v>
      </c>
      <c r="J3268" s="62">
        <v>0</v>
      </c>
      <c r="K3268" s="62">
        <v>0</v>
      </c>
      <c r="L3268" t="str">
        <f>VLOOKUP(VALUE(LEFT(C3268,5)),Xref!A:B,2,0)</f>
        <v>SRE</v>
      </c>
      <c r="M3268" t="str">
        <f t="shared" si="207"/>
        <v>PGP-SRE</v>
      </c>
    </row>
    <row r="3269" spans="1:13" ht="14.25" customHeight="true">
      <c r="A3269" s="33" t="str">
        <f t="shared" si="204"/>
        <v>PGP - Intercompany</v>
      </c>
      <c r="B3269" s="33" t="str">
        <f t="shared" si="205"/>
        <v>PGP</v>
      </c>
      <c r="C3269" s="33" t="str">
        <f t="shared" si="206"/>
        <v>11210-0000</v>
      </c>
      <c r="D3269" t="s">
        <v>25677</v>
      </c>
      <c r="E3269" t="s">
        <v>14081</v>
      </c>
      <c r="F3269" t="s">
        <v>14039</v>
      </c>
      <c r="G3269" t="s">
        <v>14672</v>
      </c>
      <c r="H3269" t="s">
        <v>13869</v>
      </c>
      <c r="I3269" t="s">
        <v>14690</v>
      </c>
      <c r="J3269" s="62">
        <v>0</v>
      </c>
      <c r="K3269" s="62">
        <v>0</v>
      </c>
      <c r="L3269" t="str">
        <f>VLOOKUP(VALUE(LEFT(C3269,5)),Xref!A:B,2,0)</f>
        <v>REM</v>
      </c>
      <c r="M3269" t="str">
        <f t="shared" si="207"/>
        <v>PGP-REM</v>
      </c>
    </row>
    <row r="3270" spans="1:13" ht="14.25" customHeight="true">
      <c r="A3270" s="33" t="str">
        <f t="shared" si="204"/>
        <v>PGP - Intercompany</v>
      </c>
      <c r="B3270" s="33" t="str">
        <f t="shared" si="205"/>
        <v>PGP</v>
      </c>
      <c r="C3270" s="33" t="str">
        <f t="shared" si="206"/>
        <v>11212-0000</v>
      </c>
      <c r="D3270" t="s">
        <v>25678</v>
      </c>
      <c r="E3270" t="s">
        <v>14083</v>
      </c>
      <c r="F3270" t="s">
        <v>14039</v>
      </c>
      <c r="G3270" t="s">
        <v>14672</v>
      </c>
      <c r="H3270" t="s">
        <v>13869</v>
      </c>
      <c r="I3270" t="s">
        <v>14690</v>
      </c>
      <c r="J3270" s="62">
        <v>0</v>
      </c>
      <c r="K3270" s="62">
        <v>0</v>
      </c>
      <c r="L3270" t="str">
        <f>VLOOKUP(VALUE(LEFT(C3270,5)),Xref!A:B,2,0)</f>
        <v>FRM</v>
      </c>
      <c r="M3270" t="str">
        <f t="shared" si="207"/>
        <v>FRM-PGP</v>
      </c>
    </row>
    <row r="3271" spans="1:13" ht="14.25" customHeight="true">
      <c r="A3271" s="33" t="str">
        <f t="shared" si="204"/>
        <v>PGP - Intercompany</v>
      </c>
      <c r="B3271" s="33" t="str">
        <f t="shared" si="205"/>
        <v>PGP</v>
      </c>
      <c r="C3271" s="33" t="str">
        <f t="shared" si="206"/>
        <v>11214-0000</v>
      </c>
      <c r="D3271" t="s">
        <v>25679</v>
      </c>
      <c r="E3271" t="s">
        <v>14085</v>
      </c>
      <c r="F3271" t="s">
        <v>14039</v>
      </c>
      <c r="G3271" t="s">
        <v>14672</v>
      </c>
      <c r="H3271" t="s">
        <v>13869</v>
      </c>
      <c r="I3271" t="s">
        <v>14690</v>
      </c>
      <c r="J3271" s="62">
        <v>0</v>
      </c>
      <c r="K3271" s="62">
        <v>0</v>
      </c>
      <c r="L3271" t="str">
        <f>VLOOKUP(VALUE(LEFT(C3271,5)),Xref!A:B,2,0)</f>
        <v>D7R</v>
      </c>
      <c r="M3271" t="str">
        <f t="shared" si="207"/>
        <v>D7R-PGP</v>
      </c>
    </row>
    <row r="3272" spans="1:13" ht="14.25" customHeight="true">
      <c r="A3272" s="33" t="str">
        <f t="shared" si="204"/>
        <v>PGP - Intercompany</v>
      </c>
      <c r="B3272" s="33" t="str">
        <f t="shared" si="205"/>
        <v>PGP</v>
      </c>
      <c r="C3272" s="33" t="str">
        <f t="shared" si="206"/>
        <v>11215-0000</v>
      </c>
      <c r="D3272" t="s">
        <v>25680</v>
      </c>
      <c r="E3272" t="s">
        <v>14087</v>
      </c>
      <c r="F3272" t="s">
        <v>14039</v>
      </c>
      <c r="G3272" t="s">
        <v>14672</v>
      </c>
      <c r="H3272" t="s">
        <v>13869</v>
      </c>
      <c r="I3272" t="s">
        <v>14690</v>
      </c>
      <c r="J3272" s="62">
        <v>0</v>
      </c>
      <c r="K3272" s="62">
        <v>0</v>
      </c>
      <c r="L3272" t="str">
        <f>VLOOKUP(VALUE(LEFT(C3272,5)),Xref!A:B,2,0)</f>
        <v>CDP</v>
      </c>
      <c r="M3272" t="str">
        <f t="shared" si="207"/>
        <v>CDP-PGP</v>
      </c>
    </row>
    <row r="3273" spans="1:13" ht="14.25" customHeight="true">
      <c r="A3273" s="33" t="str">
        <f t="shared" si="204"/>
        <v>PGP - Intercompany</v>
      </c>
      <c r="B3273" s="33" t="str">
        <f t="shared" si="205"/>
        <v>PGP</v>
      </c>
      <c r="C3273" s="33" t="str">
        <f t="shared" si="206"/>
        <v>11216-0000</v>
      </c>
      <c r="D3273" t="s">
        <v>25681</v>
      </c>
      <c r="E3273" t="s">
        <v>13224</v>
      </c>
      <c r="F3273" t="s">
        <v>14039</v>
      </c>
      <c r="G3273" t="s">
        <v>14672</v>
      </c>
      <c r="H3273" t="s">
        <v>13869</v>
      </c>
      <c r="I3273" t="s">
        <v>14690</v>
      </c>
      <c r="J3273" s="62">
        <v>-3.24</v>
      </c>
      <c r="K3273" s="62">
        <v>-5.39</v>
      </c>
      <c r="L3273" t="str">
        <f>VLOOKUP(VALUE(LEFT(C3273,5)),Xref!A:B,2,0)</f>
        <v>SIL</v>
      </c>
      <c r="M3273" t="str">
        <f t="shared" si="207"/>
        <v>PGP-SIL</v>
      </c>
    </row>
    <row r="3274" spans="1:13" ht="14.25" customHeight="true">
      <c r="A3274" s="33" t="str">
        <f t="shared" si="204"/>
        <v>PGP - Intercompany</v>
      </c>
      <c r="B3274" s="33" t="str">
        <f t="shared" si="205"/>
        <v>PGP</v>
      </c>
      <c r="C3274" s="33" t="str">
        <f t="shared" si="206"/>
        <v>11232-0000</v>
      </c>
      <c r="D3274" t="s">
        <v>25682</v>
      </c>
      <c r="E3274" t="s">
        <v>12486</v>
      </c>
      <c r="F3274" t="s">
        <v>14039</v>
      </c>
      <c r="G3274" t="s">
        <v>14672</v>
      </c>
      <c r="H3274" t="s">
        <v>13869</v>
      </c>
      <c r="I3274" t="s">
        <v>14690</v>
      </c>
      <c r="J3274" s="62">
        <v>0</v>
      </c>
      <c r="K3274" s="62">
        <v>0</v>
      </c>
      <c r="L3274" t="str">
        <f>VLOOKUP(VALUE(LEFT(C3274,5)),Xref!A:B,2,0)</f>
        <v>SC2</v>
      </c>
      <c r="M3274" t="str">
        <f t="shared" si="207"/>
        <v>PGP-SC2</v>
      </c>
    </row>
    <row r="3275" spans="1:13" ht="14.25" customHeight="true">
      <c r="A3275" s="33" t="str">
        <f t="shared" si="204"/>
        <v>PGP - Intercompany</v>
      </c>
      <c r="B3275" s="33" t="str">
        <f t="shared" si="205"/>
        <v>PGP</v>
      </c>
      <c r="C3275" s="33" t="str">
        <f t="shared" si="206"/>
        <v>11301-0000</v>
      </c>
      <c r="D3275" t="s">
        <v>25683</v>
      </c>
      <c r="E3275" t="s">
        <v>13225</v>
      </c>
      <c r="F3275" t="s">
        <v>14039</v>
      </c>
      <c r="G3275" t="s">
        <v>14672</v>
      </c>
      <c r="H3275" t="s">
        <v>13869</v>
      </c>
      <c r="I3275" t="s">
        <v>14690</v>
      </c>
      <c r="J3275" s="62">
        <v>0</v>
      </c>
      <c r="K3275" s="62">
        <v>0</v>
      </c>
      <c r="L3275" t="str">
        <f>VLOOKUP(VALUE(LEFT(C3275,5)),Xref!A:B,2,0)</f>
        <v>CRE</v>
      </c>
      <c r="M3275" t="str">
        <f t="shared" si="207"/>
        <v>CRE-PGP</v>
      </c>
    </row>
    <row r="3276" spans="1:13" ht="14.25" customHeight="true">
      <c r="A3276" s="33" t="str">
        <f t="shared" si="204"/>
        <v>PGP - Intercompany</v>
      </c>
      <c r="B3276" s="33" t="str">
        <f t="shared" si="205"/>
        <v>PGP</v>
      </c>
      <c r="C3276" s="33" t="str">
        <f t="shared" si="206"/>
        <v>11302-0000</v>
      </c>
      <c r="D3276" t="s">
        <v>25684</v>
      </c>
      <c r="E3276" t="s">
        <v>13226</v>
      </c>
      <c r="F3276" t="s">
        <v>14039</v>
      </c>
      <c r="G3276" t="s">
        <v>14672</v>
      </c>
      <c r="H3276" t="s">
        <v>13869</v>
      </c>
      <c r="I3276" t="s">
        <v>14690</v>
      </c>
      <c r="J3276" s="62">
        <v>0</v>
      </c>
      <c r="K3276" s="62">
        <v>0</v>
      </c>
      <c r="L3276" t="str">
        <f>VLOOKUP(VALUE(LEFT(C3276,5)),Xref!A:B,2,0)</f>
        <v>CHA</v>
      </c>
      <c r="M3276" t="str">
        <f t="shared" si="207"/>
        <v>CHA-PGP</v>
      </c>
    </row>
    <row r="3277" spans="1:13" ht="14.25" customHeight="true">
      <c r="A3277" s="33" t="str">
        <f t="shared" si="204"/>
        <v>PGP - Intercompany</v>
      </c>
      <c r="B3277" s="33" t="str">
        <f t="shared" si="205"/>
        <v>PGP</v>
      </c>
      <c r="C3277" s="33" t="str">
        <f t="shared" si="206"/>
        <v>11303-0000</v>
      </c>
      <c r="D3277" t="s">
        <v>25685</v>
      </c>
      <c r="E3277" t="s">
        <v>13227</v>
      </c>
      <c r="F3277" t="s">
        <v>14039</v>
      </c>
      <c r="G3277" t="s">
        <v>14672</v>
      </c>
      <c r="H3277" t="s">
        <v>13869</v>
      </c>
      <c r="I3277" t="s">
        <v>14690</v>
      </c>
      <c r="J3277" s="62">
        <v>0</v>
      </c>
      <c r="K3277" s="62">
        <v>0</v>
      </c>
      <c r="L3277" t="str">
        <f>VLOOKUP(VALUE(LEFT(C3277,5)),Xref!A:B,2,0)</f>
        <v>DIA</v>
      </c>
      <c r="M3277" t="str">
        <f t="shared" si="207"/>
        <v>DIA-PGP</v>
      </c>
    </row>
    <row r="3278" spans="1:13" ht="14.25" customHeight="true">
      <c r="A3278" s="33" t="str">
        <f t="shared" si="204"/>
        <v>PGP - Intercompany</v>
      </c>
      <c r="B3278" s="33" t="str">
        <f t="shared" si="205"/>
        <v>PGP</v>
      </c>
      <c r="C3278" s="33" t="str">
        <f t="shared" si="206"/>
        <v>11304-0000</v>
      </c>
      <c r="D3278" t="s">
        <v>25686</v>
      </c>
      <c r="E3278" t="s">
        <v>13228</v>
      </c>
      <c r="F3278" t="s">
        <v>14039</v>
      </c>
      <c r="G3278" t="s">
        <v>14672</v>
      </c>
      <c r="H3278" t="s">
        <v>13869</v>
      </c>
      <c r="I3278" t="s">
        <v>14690</v>
      </c>
      <c r="J3278" s="62">
        <v>0</v>
      </c>
      <c r="K3278" s="62">
        <v>0</v>
      </c>
      <c r="L3278" t="str">
        <f>VLOOKUP(VALUE(LEFT(C3278,5)),Xref!A:B,2,0)</f>
        <v>EAG</v>
      </c>
      <c r="M3278" t="str">
        <f t="shared" si="207"/>
        <v>EAG-PGP</v>
      </c>
    </row>
    <row r="3279" spans="1:13" ht="14.25" customHeight="true">
      <c r="A3279" s="33" t="str">
        <f t="shared" si="204"/>
        <v>PGP - Intercompany</v>
      </c>
      <c r="B3279" s="33" t="str">
        <f t="shared" si="205"/>
        <v>PGP</v>
      </c>
      <c r="C3279" s="33" t="str">
        <f t="shared" si="206"/>
        <v>11305-0000</v>
      </c>
      <c r="D3279" t="s">
        <v>25687</v>
      </c>
      <c r="E3279" t="s">
        <v>13229</v>
      </c>
      <c r="F3279" t="s">
        <v>14039</v>
      </c>
      <c r="G3279" t="s">
        <v>14672</v>
      </c>
      <c r="H3279" t="s">
        <v>13869</v>
      </c>
      <c r="I3279" t="s">
        <v>14690</v>
      </c>
      <c r="J3279" s="62">
        <v>0</v>
      </c>
      <c r="K3279" s="62">
        <v>0</v>
      </c>
      <c r="L3279" t="str">
        <f>VLOOKUP(VALUE(LEFT(C3279,5)),Xref!A:B,2,0)</f>
        <v>NEW</v>
      </c>
      <c r="M3279" t="str">
        <f t="shared" si="207"/>
        <v>NEW-PGP</v>
      </c>
    </row>
    <row r="3280" spans="1:13" ht="14.25" customHeight="true">
      <c r="A3280" s="33" t="str">
        <f t="shared" si="204"/>
        <v>PGP - Intercompany</v>
      </c>
      <c r="B3280" s="33" t="str">
        <f t="shared" si="205"/>
        <v>PGP</v>
      </c>
      <c r="C3280" s="33" t="str">
        <f t="shared" si="206"/>
        <v>11307-0000</v>
      </c>
      <c r="D3280" t="s">
        <v>25688</v>
      </c>
      <c r="E3280" t="s">
        <v>14096</v>
      </c>
      <c r="F3280" t="s">
        <v>14039</v>
      </c>
      <c r="G3280" t="s">
        <v>14672</v>
      </c>
      <c r="H3280" t="s">
        <v>13869</v>
      </c>
      <c r="I3280" t="s">
        <v>14690</v>
      </c>
      <c r="J3280" s="62">
        <v>0</v>
      </c>
      <c r="K3280" s="62">
        <v>0</v>
      </c>
      <c r="L3280" t="str">
        <f>VLOOKUP(VALUE(LEFT(C3280,5)),Xref!A:B,2,0)</f>
        <v>NES</v>
      </c>
      <c r="M3280" t="str">
        <f t="shared" si="207"/>
        <v>NES-PGP</v>
      </c>
    </row>
    <row r="3281" spans="1:13" ht="14.25" customHeight="true">
      <c r="A3281" s="33" t="str">
        <f t="shared" si="204"/>
        <v>PGP - Intercompany</v>
      </c>
      <c r="B3281" s="33" t="str">
        <f t="shared" si="205"/>
        <v>PGP</v>
      </c>
      <c r="C3281" s="33" t="str">
        <f t="shared" si="206"/>
        <v>11308-0000</v>
      </c>
      <c r="D3281" t="s">
        <v>25689</v>
      </c>
      <c r="E3281" t="s">
        <v>13476</v>
      </c>
      <c r="F3281" t="s">
        <v>14039</v>
      </c>
      <c r="G3281" t="s">
        <v>14672</v>
      </c>
      <c r="H3281" t="s">
        <v>13869</v>
      </c>
      <c r="I3281" t="s">
        <v>14690</v>
      </c>
      <c r="J3281" s="62">
        <v>0</v>
      </c>
      <c r="K3281" s="62">
        <v>0</v>
      </c>
      <c r="L3281" t="str">
        <f>VLOOKUP(VALUE(LEFT(C3281,5)),Xref!A:B,2,0)</f>
        <v>LPI</v>
      </c>
      <c r="M3281" t="str">
        <f t="shared" si="207"/>
        <v>LPI-PGP</v>
      </c>
    </row>
    <row r="3282" spans="1:13" ht="14.25" customHeight="true">
      <c r="A3282" s="33" t="str">
        <f t="shared" si="204"/>
        <v>PGP - Intercompany</v>
      </c>
      <c r="B3282" s="33" t="str">
        <f t="shared" si="205"/>
        <v>PGP</v>
      </c>
      <c r="C3282" s="33" t="str">
        <f t="shared" si="206"/>
        <v>11309-0000</v>
      </c>
      <c r="D3282" t="s">
        <v>25690</v>
      </c>
      <c r="E3282" t="s">
        <v>13230</v>
      </c>
      <c r="F3282" t="s">
        <v>14039</v>
      </c>
      <c r="G3282" t="s">
        <v>14672</v>
      </c>
      <c r="H3282" t="s">
        <v>13869</v>
      </c>
      <c r="I3282" t="s">
        <v>14690</v>
      </c>
      <c r="J3282" s="62">
        <v>0</v>
      </c>
      <c r="K3282" s="62">
        <v>0</v>
      </c>
      <c r="L3282" t="str">
        <f>VLOOKUP(VALUE(LEFT(C3282,5)),Xref!A:B,2,0)</f>
        <v>GPI</v>
      </c>
      <c r="M3282" t="str">
        <f t="shared" si="207"/>
        <v>GPI-PGP</v>
      </c>
    </row>
    <row r="3283" spans="1:13" ht="14.25" customHeight="true">
      <c r="A3283" s="33" t="str">
        <f t="shared" si="204"/>
        <v>PGP - Intercompany</v>
      </c>
      <c r="B3283" s="33" t="str">
        <f t="shared" si="205"/>
        <v>PGP</v>
      </c>
      <c r="C3283" s="33" t="str">
        <f t="shared" si="206"/>
        <v>11310-0000</v>
      </c>
      <c r="D3283" t="s">
        <v>25691</v>
      </c>
      <c r="E3283" t="s">
        <v>13231</v>
      </c>
      <c r="F3283" t="s">
        <v>14039</v>
      </c>
      <c r="G3283" t="s">
        <v>14672</v>
      </c>
      <c r="H3283" t="s">
        <v>13869</v>
      </c>
      <c r="I3283" t="s">
        <v>14690</v>
      </c>
      <c r="J3283" s="62">
        <v>0</v>
      </c>
      <c r="K3283" s="62">
        <v>0</v>
      </c>
      <c r="L3283" t="str">
        <f>VLOOKUP(VALUE(LEFT(C3283,5)),Xref!A:B,2,0)</f>
        <v>ALP</v>
      </c>
      <c r="M3283" t="str">
        <f t="shared" si="207"/>
        <v>ALP-PGP</v>
      </c>
    </row>
    <row r="3284" spans="1:13" ht="14.25" customHeight="true">
      <c r="A3284" s="33" t="str">
        <f t="shared" si="204"/>
        <v>PGP - Intercompany</v>
      </c>
      <c r="B3284" s="33" t="str">
        <f t="shared" si="205"/>
        <v>PGP</v>
      </c>
      <c r="C3284" s="33" t="str">
        <f t="shared" si="206"/>
        <v>11311-0000</v>
      </c>
      <c r="D3284" t="s">
        <v>25692</v>
      </c>
      <c r="E3284" t="s">
        <v>13232</v>
      </c>
      <c r="F3284" t="s">
        <v>14039</v>
      </c>
      <c r="G3284" t="s">
        <v>14672</v>
      </c>
      <c r="H3284" t="s">
        <v>13869</v>
      </c>
      <c r="I3284" t="s">
        <v>14690</v>
      </c>
      <c r="J3284" s="62">
        <v>0</v>
      </c>
      <c r="K3284" s="62">
        <v>0</v>
      </c>
      <c r="L3284" t="str">
        <f>VLOOKUP(VALUE(LEFT(C3284,5)),Xref!A:B,2,0)</f>
        <v>BET</v>
      </c>
      <c r="M3284" t="str">
        <f t="shared" si="207"/>
        <v>BET-PGP</v>
      </c>
    </row>
    <row r="3285" spans="1:13" ht="14.25" customHeight="true">
      <c r="A3285" s="33" t="str">
        <f t="shared" si="204"/>
        <v>PGP - Intercompany</v>
      </c>
      <c r="B3285" s="33" t="str">
        <f t="shared" si="205"/>
        <v>PGP</v>
      </c>
      <c r="C3285" s="33" t="str">
        <f t="shared" si="206"/>
        <v>11312-0000</v>
      </c>
      <c r="D3285" t="s">
        <v>25693</v>
      </c>
      <c r="E3285" t="s">
        <v>14102</v>
      </c>
      <c r="F3285" t="s">
        <v>14039</v>
      </c>
      <c r="G3285" t="s">
        <v>14672</v>
      </c>
      <c r="H3285" t="s">
        <v>13869</v>
      </c>
      <c r="I3285" t="s">
        <v>14690</v>
      </c>
      <c r="J3285" s="62">
        <v>0</v>
      </c>
      <c r="K3285" s="62">
        <v>0</v>
      </c>
      <c r="L3285" t="str">
        <f>VLOOKUP(VALUE(LEFT(C3285,5)),Xref!A:B,2,0)</f>
        <v>DEL</v>
      </c>
      <c r="M3285" t="str">
        <f t="shared" si="207"/>
        <v>DEL-PGP</v>
      </c>
    </row>
    <row r="3286" spans="1:13" ht="14.25" customHeight="true">
      <c r="A3286" s="33" t="str">
        <f t="shared" si="204"/>
        <v>PGP - Intercompany</v>
      </c>
      <c r="B3286" s="33" t="str">
        <f t="shared" si="205"/>
        <v>PGP</v>
      </c>
      <c r="C3286" s="33" t="str">
        <f t="shared" si="206"/>
        <v>11313-0000</v>
      </c>
      <c r="D3286" t="s">
        <v>25694</v>
      </c>
      <c r="E3286" t="s">
        <v>13233</v>
      </c>
      <c r="F3286" t="s">
        <v>14039</v>
      </c>
      <c r="G3286" t="s">
        <v>14672</v>
      </c>
      <c r="H3286" t="s">
        <v>13869</v>
      </c>
      <c r="I3286" t="s">
        <v>14690</v>
      </c>
      <c r="J3286" s="62">
        <v>0</v>
      </c>
      <c r="K3286" s="62">
        <v>0</v>
      </c>
      <c r="L3286" t="str">
        <f>VLOOKUP(VALUE(LEFT(C3286,5)),Xref!A:B,2,0)</f>
        <v>DOL</v>
      </c>
      <c r="M3286" t="str">
        <f t="shared" si="207"/>
        <v>DOL-PGP</v>
      </c>
    </row>
    <row r="3287" spans="1:13" ht="14.25" customHeight="true">
      <c r="A3287" s="33" t="str">
        <f t="shared" si="204"/>
        <v>PGP - Intercompany</v>
      </c>
      <c r="B3287" s="33" t="str">
        <f t="shared" si="205"/>
        <v>PGP</v>
      </c>
      <c r="C3287" s="33" t="str">
        <f t="shared" si="206"/>
        <v>11314-0000</v>
      </c>
      <c r="D3287" t="s">
        <v>25695</v>
      </c>
      <c r="E3287" t="s">
        <v>13351</v>
      </c>
      <c r="F3287" t="s">
        <v>14039</v>
      </c>
      <c r="G3287" t="s">
        <v>14672</v>
      </c>
      <c r="H3287" t="s">
        <v>13869</v>
      </c>
      <c r="I3287" t="s">
        <v>14690</v>
      </c>
      <c r="J3287" s="62">
        <v>0</v>
      </c>
      <c r="K3287" s="62">
        <v>0</v>
      </c>
      <c r="L3287" t="str">
        <f>VLOOKUP(VALUE(LEFT(C3287,5)),Xref!A:B,2,0)</f>
        <v>GRI</v>
      </c>
      <c r="M3287" t="str">
        <f t="shared" si="207"/>
        <v>GRI-PGP</v>
      </c>
    </row>
    <row r="3288" spans="1:13" ht="14.25" customHeight="true">
      <c r="A3288" s="33" t="str">
        <f t="shared" si="204"/>
        <v>PGP - Intercompany</v>
      </c>
      <c r="B3288" s="33" t="str">
        <f t="shared" si="205"/>
        <v>PGP</v>
      </c>
      <c r="C3288" s="33" t="str">
        <f t="shared" si="206"/>
        <v>11315-0000</v>
      </c>
      <c r="D3288" t="s">
        <v>25696</v>
      </c>
      <c r="E3288" t="s">
        <v>13234</v>
      </c>
      <c r="F3288" t="s">
        <v>14039</v>
      </c>
      <c r="G3288" t="s">
        <v>14672</v>
      </c>
      <c r="H3288" t="s">
        <v>13869</v>
      </c>
      <c r="I3288" t="s">
        <v>14690</v>
      </c>
      <c r="J3288" s="62">
        <v>0</v>
      </c>
      <c r="K3288" s="62">
        <v>0</v>
      </c>
      <c r="L3288" t="str">
        <f>VLOOKUP(VALUE(LEFT(C3288,5)),Xref!A:B,2,0)</f>
        <v>PUR</v>
      </c>
      <c r="M3288" t="str">
        <f t="shared" si="207"/>
        <v>PGP-PUR</v>
      </c>
    </row>
    <row r="3289" spans="1:13" ht="14.25" customHeight="true">
      <c r="A3289" s="33" t="str">
        <f t="shared" si="204"/>
        <v>PGP - Intercompany</v>
      </c>
      <c r="B3289" s="33" t="str">
        <f t="shared" si="205"/>
        <v>PGP</v>
      </c>
      <c r="C3289" s="33" t="str">
        <f t="shared" si="206"/>
        <v>11316-0000</v>
      </c>
      <c r="D3289" t="s">
        <v>25697</v>
      </c>
      <c r="E3289" t="s">
        <v>13235</v>
      </c>
      <c r="F3289" t="s">
        <v>14039</v>
      </c>
      <c r="G3289" t="s">
        <v>14672</v>
      </c>
      <c r="H3289" t="s">
        <v>13869</v>
      </c>
      <c r="I3289" t="s">
        <v>14690</v>
      </c>
      <c r="J3289" s="62">
        <v>0</v>
      </c>
      <c r="K3289" s="62">
        <v>0</v>
      </c>
      <c r="L3289" t="str">
        <f>VLOOKUP(VALUE(LEFT(C3289,5)),Xref!A:B,2,0)</f>
        <v>VAL</v>
      </c>
      <c r="M3289" t="str">
        <f t="shared" si="207"/>
        <v>PGP-VAL</v>
      </c>
    </row>
    <row r="3290" spans="1:13" ht="14.25" customHeight="true">
      <c r="A3290" s="33" t="str">
        <f t="shared" si="204"/>
        <v>PGP - Intercompany</v>
      </c>
      <c r="B3290" s="33" t="str">
        <f t="shared" si="205"/>
        <v>PGP</v>
      </c>
      <c r="C3290" s="33" t="str">
        <f t="shared" si="206"/>
        <v>11317-0000</v>
      </c>
      <c r="D3290" t="s">
        <v>25698</v>
      </c>
      <c r="E3290" t="s">
        <v>13352</v>
      </c>
      <c r="F3290" t="s">
        <v>14039</v>
      </c>
      <c r="G3290" t="s">
        <v>14672</v>
      </c>
      <c r="H3290" t="s">
        <v>13869</v>
      </c>
      <c r="I3290" t="s">
        <v>14690</v>
      </c>
      <c r="J3290" s="62">
        <v>0</v>
      </c>
      <c r="K3290" s="62">
        <v>0</v>
      </c>
      <c r="L3290" t="str">
        <f>VLOOKUP(VALUE(LEFT(C3290,5)),Xref!A:B,2,0)</f>
        <v>AKG</v>
      </c>
      <c r="M3290" t="str">
        <f t="shared" si="207"/>
        <v>AKG-PGP</v>
      </c>
    </row>
    <row r="3291" spans="1:13" ht="14.25" customHeight="true">
      <c r="A3291" s="33" t="str">
        <f t="shared" si="204"/>
        <v>PGP - Intercompany</v>
      </c>
      <c r="B3291" s="33" t="str">
        <f t="shared" si="205"/>
        <v>PGP</v>
      </c>
      <c r="C3291" s="33" t="str">
        <f t="shared" si="206"/>
        <v>11318-0000</v>
      </c>
      <c r="D3291" t="s">
        <v>25699</v>
      </c>
      <c r="E3291" t="s">
        <v>13477</v>
      </c>
      <c r="F3291" t="s">
        <v>14039</v>
      </c>
      <c r="G3291" t="s">
        <v>14672</v>
      </c>
      <c r="H3291" t="s">
        <v>13869</v>
      </c>
      <c r="I3291" t="s">
        <v>14690</v>
      </c>
      <c r="J3291" s="62">
        <v>0</v>
      </c>
      <c r="K3291" s="62">
        <v>0</v>
      </c>
      <c r="L3291" t="str">
        <f>VLOOKUP(VALUE(LEFT(C3291,5)),Xref!A:B,2,0)</f>
        <v>FIR</v>
      </c>
      <c r="M3291" t="str">
        <f t="shared" si="207"/>
        <v>FIR-PGP</v>
      </c>
    </row>
    <row r="3292" spans="1:13" ht="14.25" customHeight="true">
      <c r="A3292" s="33" t="str">
        <f t="shared" si="204"/>
        <v>PGP - Intercompany</v>
      </c>
      <c r="B3292" s="33" t="str">
        <f t="shared" si="205"/>
        <v>PGP</v>
      </c>
      <c r="C3292" s="33" t="str">
        <f t="shared" si="206"/>
        <v>11319-0000</v>
      </c>
      <c r="D3292" t="s">
        <v>25700</v>
      </c>
      <c r="E3292" t="s">
        <v>266</v>
      </c>
      <c r="F3292" t="s">
        <v>14039</v>
      </c>
      <c r="G3292" t="s">
        <v>14672</v>
      </c>
      <c r="H3292" t="s">
        <v>13869</v>
      </c>
      <c r="I3292" t="s">
        <v>14690</v>
      </c>
      <c r="J3292" s="62">
        <v>0</v>
      </c>
      <c r="K3292" s="62">
        <v>0</v>
      </c>
      <c r="L3292" t="str">
        <f>VLOOKUP(VALUE(LEFT(C3292,5)),Xref!A:B,2,0)</f>
        <v>GST</v>
      </c>
      <c r="M3292" t="str">
        <f t="shared" si="207"/>
        <v>GST-PGP</v>
      </c>
    </row>
    <row r="3293" spans="1:13" ht="14.25" customHeight="true">
      <c r="A3293" s="33" t="str">
        <f t="shared" si="204"/>
        <v>PGP - Intercompany</v>
      </c>
      <c r="B3293" s="33" t="str">
        <f t="shared" si="205"/>
        <v>PGP</v>
      </c>
      <c r="C3293" s="33" t="str">
        <f t="shared" si="206"/>
        <v>11320-0000</v>
      </c>
      <c r="D3293" t="s">
        <v>25701</v>
      </c>
      <c r="E3293" t="s">
        <v>14111</v>
      </c>
      <c r="F3293" t="s">
        <v>14039</v>
      </c>
      <c r="G3293" t="s">
        <v>14672</v>
      </c>
      <c r="H3293" t="s">
        <v>13869</v>
      </c>
      <c r="I3293" t="s">
        <v>14690</v>
      </c>
      <c r="J3293" s="62">
        <v>0</v>
      </c>
      <c r="K3293" s="62">
        <v>0</v>
      </c>
      <c r="L3293" t="str">
        <f>VLOOKUP(VALUE(LEFT(C3293,5)),Xref!A:B,2,0)</f>
        <v>HDN</v>
      </c>
      <c r="M3293" t="str">
        <f t="shared" si="207"/>
        <v>HDN-PGP</v>
      </c>
    </row>
    <row r="3294" spans="1:13" ht="14.25" customHeight="true">
      <c r="A3294" s="33" t="str">
        <f t="shared" si="204"/>
        <v>PGP - Intercompany</v>
      </c>
      <c r="B3294" s="33" t="str">
        <f t="shared" si="205"/>
        <v>PGP</v>
      </c>
      <c r="C3294" s="33" t="str">
        <f t="shared" si="206"/>
        <v>11321-0000</v>
      </c>
      <c r="D3294" t="s">
        <v>25702</v>
      </c>
      <c r="E3294" t="s">
        <v>13236</v>
      </c>
      <c r="F3294" t="s">
        <v>14039</v>
      </c>
      <c r="G3294" t="s">
        <v>14672</v>
      </c>
      <c r="H3294" t="s">
        <v>13869</v>
      </c>
      <c r="I3294" t="s">
        <v>14690</v>
      </c>
      <c r="J3294" s="62">
        <v>0</v>
      </c>
      <c r="K3294" s="62">
        <v>0</v>
      </c>
      <c r="L3294" t="str">
        <f>VLOOKUP(VALUE(LEFT(C3294,5)),Xref!A:B,2,0)</f>
        <v>OVA</v>
      </c>
      <c r="M3294" t="str">
        <f t="shared" si="207"/>
        <v>OVA-PGP</v>
      </c>
    </row>
    <row r="3295" spans="1:13" ht="14.25" customHeight="true">
      <c r="A3295" s="33" t="str">
        <f t="shared" si="204"/>
        <v>PGP - Intercompany</v>
      </c>
      <c r="B3295" s="33" t="str">
        <f t="shared" si="205"/>
        <v>PGP</v>
      </c>
      <c r="C3295" s="33" t="str">
        <f t="shared" si="206"/>
        <v>11322-0000</v>
      </c>
      <c r="D3295" t="s">
        <v>25703</v>
      </c>
      <c r="E3295" t="s">
        <v>13237</v>
      </c>
      <c r="F3295" t="s">
        <v>14039</v>
      </c>
      <c r="G3295" t="s">
        <v>14672</v>
      </c>
      <c r="H3295" t="s">
        <v>13869</v>
      </c>
      <c r="I3295" t="s">
        <v>14690</v>
      </c>
      <c r="J3295" s="62">
        <v>0</v>
      </c>
      <c r="K3295" s="62">
        <v>0</v>
      </c>
      <c r="L3295" t="str">
        <f>VLOOKUP(VALUE(LEFT(C3295,5)),Xref!A:B,2,0)</f>
        <v>WOO</v>
      </c>
      <c r="M3295" t="str">
        <f t="shared" si="207"/>
        <v>PGP-WOO</v>
      </c>
    </row>
    <row r="3296" spans="1:13" ht="14.25" customHeight="true">
      <c r="A3296" s="33" t="str">
        <f t="shared" si="204"/>
        <v>PGP - Intercompany</v>
      </c>
      <c r="B3296" s="33" t="str">
        <f t="shared" si="205"/>
        <v>PGP</v>
      </c>
      <c r="C3296" s="33" t="str">
        <f t="shared" si="206"/>
        <v>11323-0000</v>
      </c>
      <c r="D3296" t="s">
        <v>25704</v>
      </c>
      <c r="E3296" t="s">
        <v>13478</v>
      </c>
      <c r="F3296" t="s">
        <v>14039</v>
      </c>
      <c r="G3296" t="s">
        <v>14672</v>
      </c>
      <c r="H3296" t="s">
        <v>13869</v>
      </c>
      <c r="I3296" t="s">
        <v>14690</v>
      </c>
      <c r="J3296" s="62">
        <v>0</v>
      </c>
      <c r="K3296" s="62">
        <v>0</v>
      </c>
      <c r="L3296" t="str">
        <f>VLOOKUP(VALUE(LEFT(C3296,5)),Xref!A:B,2,0)</f>
        <v>SPI</v>
      </c>
      <c r="M3296" t="str">
        <f t="shared" si="207"/>
        <v>PGP-SPI</v>
      </c>
    </row>
    <row r="3297" spans="1:13" ht="14.25" customHeight="true">
      <c r="A3297" s="33" t="str">
        <f t="shared" si="204"/>
        <v>PGP - Intercompany</v>
      </c>
      <c r="B3297" s="33" t="str">
        <f t="shared" si="205"/>
        <v>PGP</v>
      </c>
      <c r="C3297" s="33" t="str">
        <f t="shared" si="206"/>
        <v>11324-0000</v>
      </c>
      <c r="D3297" t="s">
        <v>25705</v>
      </c>
      <c r="E3297" t="s">
        <v>13238</v>
      </c>
      <c r="F3297" t="s">
        <v>14039</v>
      </c>
      <c r="G3297" t="s">
        <v>14672</v>
      </c>
      <c r="H3297" t="s">
        <v>13869</v>
      </c>
      <c r="I3297" t="s">
        <v>14690</v>
      </c>
      <c r="J3297" s="62">
        <v>0</v>
      </c>
      <c r="K3297" s="62">
        <v>0</v>
      </c>
      <c r="L3297" t="str">
        <f>VLOOKUP(VALUE(LEFT(C3297,5)),Xref!A:B,2,0)</f>
        <v>NET</v>
      </c>
      <c r="M3297" t="str">
        <f t="shared" si="207"/>
        <v>NET-PGP</v>
      </c>
    </row>
    <row r="3298" spans="1:13" ht="14.25" customHeight="true">
      <c r="A3298" s="33" t="str">
        <f t="shared" si="204"/>
        <v>PGP - Intercompany</v>
      </c>
      <c r="B3298" s="33" t="str">
        <f t="shared" si="205"/>
        <v>PGP</v>
      </c>
      <c r="C3298" s="33" t="str">
        <f t="shared" si="206"/>
        <v>11325-0000</v>
      </c>
      <c r="D3298" t="s">
        <v>25706</v>
      </c>
      <c r="E3298" t="s">
        <v>13239</v>
      </c>
      <c r="F3298" t="s">
        <v>14039</v>
      </c>
      <c r="G3298" t="s">
        <v>14672</v>
      </c>
      <c r="H3298" t="s">
        <v>13869</v>
      </c>
      <c r="I3298" t="s">
        <v>14690</v>
      </c>
      <c r="J3298" s="62">
        <v>0</v>
      </c>
      <c r="K3298" s="62">
        <v>0</v>
      </c>
      <c r="L3298" t="str">
        <f>VLOOKUP(VALUE(LEFT(C3298,5)),Xref!A:B,2,0)</f>
        <v>DPI</v>
      </c>
      <c r="M3298" t="str">
        <f t="shared" si="207"/>
        <v>DPI-PGP</v>
      </c>
    </row>
    <row r="3299" spans="1:13" ht="14.25" customHeight="true">
      <c r="A3299" s="33" t="str">
        <f t="shared" si="204"/>
        <v>PGP - Intercompany</v>
      </c>
      <c r="B3299" s="33" t="str">
        <f t="shared" si="205"/>
        <v>PGP</v>
      </c>
      <c r="C3299" s="33" t="str">
        <f t="shared" si="206"/>
        <v>11326-0000</v>
      </c>
      <c r="D3299" t="s">
        <v>25707</v>
      </c>
      <c r="E3299" t="s">
        <v>13240</v>
      </c>
      <c r="F3299" t="s">
        <v>14039</v>
      </c>
      <c r="G3299" t="s">
        <v>14672</v>
      </c>
      <c r="H3299" t="s">
        <v>13869</v>
      </c>
      <c r="I3299" t="s">
        <v>14690</v>
      </c>
      <c r="J3299" s="62">
        <v>0</v>
      </c>
      <c r="K3299" s="62">
        <v>0</v>
      </c>
      <c r="L3299" t="str">
        <f>VLOOKUP(VALUE(LEFT(C3299,5)),Xref!A:B,2,0)</f>
        <v>SEK</v>
      </c>
      <c r="M3299" t="str">
        <f t="shared" si="207"/>
        <v>PGP-SEK</v>
      </c>
    </row>
    <row r="3300" spans="1:13" ht="14.25" customHeight="true">
      <c r="A3300" s="33" t="str">
        <f t="shared" si="204"/>
        <v>PGP - Intercompany</v>
      </c>
      <c r="B3300" s="33" t="str">
        <f t="shared" si="205"/>
        <v>PGP</v>
      </c>
      <c r="C3300" s="33" t="str">
        <f t="shared" si="206"/>
        <v>11327-0000</v>
      </c>
      <c r="D3300" t="s">
        <v>25708</v>
      </c>
      <c r="E3300" t="s">
        <v>14119</v>
      </c>
      <c r="F3300" t="s">
        <v>14039</v>
      </c>
      <c r="G3300" t="s">
        <v>14672</v>
      </c>
      <c r="H3300" t="s">
        <v>13869</v>
      </c>
      <c r="I3300" t="s">
        <v>14690</v>
      </c>
      <c r="J3300" s="62">
        <v>0</v>
      </c>
      <c r="K3300" s="62">
        <v>0</v>
      </c>
      <c r="L3300" t="str">
        <f>VLOOKUP(VALUE(LEFT(C3300,5)),Xref!A:B,2,0)</f>
        <v>CPI</v>
      </c>
      <c r="M3300" t="str">
        <f t="shared" si="207"/>
        <v>CPI-PGP</v>
      </c>
    </row>
    <row r="3301" spans="1:13" ht="14.25" customHeight="true">
      <c r="A3301" s="33" t="str">
        <f t="shared" si="204"/>
        <v>PGP - Intercompany</v>
      </c>
      <c r="B3301" s="33" t="str">
        <f t="shared" si="205"/>
        <v>PGP</v>
      </c>
      <c r="C3301" s="33" t="str">
        <f t="shared" si="206"/>
        <v>11328-0000</v>
      </c>
      <c r="D3301" t="s">
        <v>25709</v>
      </c>
      <c r="E3301" t="s">
        <v>13241</v>
      </c>
      <c r="F3301" t="s">
        <v>14039</v>
      </c>
      <c r="G3301" t="s">
        <v>14672</v>
      </c>
      <c r="H3301" t="s">
        <v>13869</v>
      </c>
      <c r="I3301" t="s">
        <v>14690</v>
      </c>
      <c r="J3301" s="62">
        <v>0</v>
      </c>
      <c r="K3301" s="62">
        <v>0</v>
      </c>
      <c r="L3301" t="str">
        <f>VLOOKUP(VALUE(LEFT(C3301,5)),Xref!A:B,2,0)</f>
        <v>LOM</v>
      </c>
      <c r="M3301" t="str">
        <f t="shared" si="207"/>
        <v>LOM-PGP</v>
      </c>
    </row>
    <row r="3302" spans="1:13" ht="14.25" customHeight="true">
      <c r="A3302" s="33" t="str">
        <f t="shared" si="204"/>
        <v>PGP - Intercompany</v>
      </c>
      <c r="B3302" s="33" t="str">
        <f t="shared" si="205"/>
        <v>PGP</v>
      </c>
      <c r="C3302" s="33" t="str">
        <f t="shared" si="206"/>
        <v>11329-0000</v>
      </c>
      <c r="D3302" t="s">
        <v>25710</v>
      </c>
      <c r="E3302" t="s">
        <v>13353</v>
      </c>
      <c r="F3302" t="s">
        <v>14039</v>
      </c>
      <c r="G3302" t="s">
        <v>14672</v>
      </c>
      <c r="H3302" t="s">
        <v>13869</v>
      </c>
      <c r="I3302" t="s">
        <v>14690</v>
      </c>
      <c r="J3302" s="62">
        <v>0</v>
      </c>
      <c r="K3302" s="62">
        <v>0</v>
      </c>
      <c r="L3302" t="str">
        <f>VLOOKUP(VALUE(LEFT(C3302,5)),Xref!A:B,2,0)</f>
        <v>AKS</v>
      </c>
      <c r="M3302" t="str">
        <f t="shared" si="207"/>
        <v>AKS-PGP</v>
      </c>
    </row>
    <row r="3303" spans="1:13" ht="14.25" customHeight="true">
      <c r="A3303" s="33" t="str">
        <f t="shared" si="204"/>
        <v>PGP - Intercompany</v>
      </c>
      <c r="B3303" s="33" t="str">
        <f t="shared" si="205"/>
        <v>PGP</v>
      </c>
      <c r="C3303" s="33" t="str">
        <f t="shared" si="206"/>
        <v>11330-0000</v>
      </c>
      <c r="D3303" t="s">
        <v>25711</v>
      </c>
      <c r="E3303" t="s">
        <v>13242</v>
      </c>
      <c r="F3303" t="s">
        <v>14039</v>
      </c>
      <c r="G3303" t="s">
        <v>14672</v>
      </c>
      <c r="H3303" t="s">
        <v>13869</v>
      </c>
      <c r="I3303" t="s">
        <v>14690</v>
      </c>
      <c r="J3303" s="62">
        <v>0</v>
      </c>
      <c r="K3303" s="62">
        <v>0</v>
      </c>
      <c r="L3303" t="str">
        <f>VLOOKUP(VALUE(LEFT(C3303,5)),Xref!A:B,2,0)</f>
        <v>MAR</v>
      </c>
      <c r="M3303" t="str">
        <f t="shared" si="207"/>
        <v>MAR-PGP</v>
      </c>
    </row>
    <row r="3304" spans="1:13" ht="14.25" customHeight="true">
      <c r="A3304" s="33" t="str">
        <f t="shared" si="204"/>
        <v>PGP - Intercompany</v>
      </c>
      <c r="B3304" s="33" t="str">
        <f t="shared" si="205"/>
        <v>PGP</v>
      </c>
      <c r="C3304" s="33" t="str">
        <f t="shared" si="206"/>
        <v>11331-0000</v>
      </c>
      <c r="D3304" t="s">
        <v>25712</v>
      </c>
      <c r="E3304" t="s">
        <v>13354</v>
      </c>
      <c r="F3304" t="s">
        <v>14039</v>
      </c>
      <c r="G3304" t="s">
        <v>14672</v>
      </c>
      <c r="H3304" t="s">
        <v>13869</v>
      </c>
      <c r="I3304" t="s">
        <v>14690</v>
      </c>
      <c r="J3304" s="62">
        <v>0</v>
      </c>
      <c r="K3304" s="62">
        <v>0</v>
      </c>
      <c r="L3304" t="str">
        <f>VLOOKUP(VALUE(LEFT(C3304,5)),Xref!A:B,2,0)</f>
        <v>WIL</v>
      </c>
      <c r="M3304" t="str">
        <f t="shared" si="207"/>
        <v>PGP-WIL</v>
      </c>
    </row>
    <row r="3305" spans="1:13" ht="14.25" customHeight="true">
      <c r="A3305" s="33" t="str">
        <f t="shared" si="204"/>
        <v>PGP - Intercompany</v>
      </c>
      <c r="B3305" s="33" t="str">
        <f t="shared" si="205"/>
        <v>PGP</v>
      </c>
      <c r="C3305" s="33" t="str">
        <f t="shared" si="206"/>
        <v>11332-0000</v>
      </c>
      <c r="D3305" t="s">
        <v>25713</v>
      </c>
      <c r="E3305" t="s">
        <v>13243</v>
      </c>
      <c r="F3305" t="s">
        <v>14039</v>
      </c>
      <c r="G3305" t="s">
        <v>14672</v>
      </c>
      <c r="H3305" t="s">
        <v>13869</v>
      </c>
      <c r="I3305" t="s">
        <v>14690</v>
      </c>
      <c r="J3305" s="62">
        <v>0</v>
      </c>
      <c r="K3305" s="62">
        <v>0</v>
      </c>
      <c r="L3305" t="str">
        <f>VLOOKUP(VALUE(LEFT(C3305,5)),Xref!A:B,2,0)</f>
        <v>STO</v>
      </c>
      <c r="M3305" t="str">
        <f t="shared" si="207"/>
        <v>PGP-STO</v>
      </c>
    </row>
    <row r="3306" spans="1:13" ht="14.25" customHeight="true">
      <c r="A3306" s="33" t="str">
        <f t="shared" si="204"/>
        <v>PGP - Intercompany</v>
      </c>
      <c r="B3306" s="33" t="str">
        <f t="shared" si="205"/>
        <v>PGP</v>
      </c>
      <c r="C3306" s="33" t="str">
        <f t="shared" si="206"/>
        <v>11333-0000</v>
      </c>
      <c r="D3306" t="s">
        <v>25714</v>
      </c>
      <c r="E3306" t="s">
        <v>13244</v>
      </c>
      <c r="F3306" t="s">
        <v>14039</v>
      </c>
      <c r="G3306" t="s">
        <v>14672</v>
      </c>
      <c r="H3306" t="s">
        <v>13869</v>
      </c>
      <c r="I3306" t="s">
        <v>14690</v>
      </c>
      <c r="J3306" s="62">
        <v>0</v>
      </c>
      <c r="K3306" s="62">
        <v>0</v>
      </c>
      <c r="L3306" t="str">
        <f>VLOOKUP(VALUE(LEFT(C3306,5)),Xref!A:B,2,0)</f>
        <v>ANG</v>
      </c>
      <c r="M3306" t="str">
        <f t="shared" si="207"/>
        <v>ANG-PGP</v>
      </c>
    </row>
    <row r="3307" spans="1:13" ht="14.25" customHeight="true">
      <c r="A3307" s="33" t="str">
        <f t="shared" si="204"/>
        <v>PGP - Intercompany</v>
      </c>
      <c r="B3307" s="33" t="str">
        <f t="shared" si="205"/>
        <v>PGP</v>
      </c>
      <c r="C3307" s="33" t="str">
        <f t="shared" si="206"/>
        <v>11334-0000</v>
      </c>
      <c r="D3307" t="s">
        <v>25715</v>
      </c>
      <c r="E3307" t="s">
        <v>13245</v>
      </c>
      <c r="F3307" t="s">
        <v>14039</v>
      </c>
      <c r="G3307" t="s">
        <v>14672</v>
      </c>
      <c r="H3307" t="s">
        <v>13869</v>
      </c>
      <c r="I3307" t="s">
        <v>14690</v>
      </c>
      <c r="J3307" s="62">
        <v>0</v>
      </c>
      <c r="K3307" s="62">
        <v>0</v>
      </c>
      <c r="L3307" t="str">
        <f>VLOOKUP(VALUE(LEFT(C3307,5)),Xref!A:B,2,0)</f>
        <v>BRU</v>
      </c>
      <c r="M3307" t="str">
        <f t="shared" si="207"/>
        <v>BRU-PGP</v>
      </c>
    </row>
    <row r="3308" spans="1:13" ht="14.25" customHeight="true">
      <c r="A3308" s="33" t="str">
        <f t="shared" si="204"/>
        <v>PGP - Intercompany</v>
      </c>
      <c r="B3308" s="33" t="str">
        <f t="shared" si="205"/>
        <v>PGP</v>
      </c>
      <c r="C3308" s="33" t="str">
        <f t="shared" si="206"/>
        <v>11335-0000</v>
      </c>
      <c r="D3308" t="s">
        <v>25716</v>
      </c>
      <c r="E3308" t="s">
        <v>13246</v>
      </c>
      <c r="F3308" t="s">
        <v>14039</v>
      </c>
      <c r="G3308" t="s">
        <v>14672</v>
      </c>
      <c r="H3308" t="s">
        <v>13869</v>
      </c>
      <c r="I3308" t="s">
        <v>14690</v>
      </c>
      <c r="J3308" s="62">
        <v>0</v>
      </c>
      <c r="K3308" s="62">
        <v>0</v>
      </c>
      <c r="L3308" t="str">
        <f>VLOOKUP(VALUE(LEFT(C3308,5)),Xref!A:B,2,0)</f>
        <v>VEN</v>
      </c>
      <c r="M3308" t="str">
        <f t="shared" si="207"/>
        <v>PGP-VEN</v>
      </c>
    </row>
    <row r="3309" spans="1:13" ht="14.25" customHeight="true">
      <c r="A3309" s="33" t="str">
        <f t="shared" si="204"/>
        <v>PGP - Intercompany</v>
      </c>
      <c r="B3309" s="33" t="str">
        <f t="shared" si="205"/>
        <v>PGP</v>
      </c>
      <c r="C3309" s="33" t="str">
        <f t="shared" si="206"/>
        <v>11336-0000</v>
      </c>
      <c r="D3309" t="s">
        <v>25717</v>
      </c>
      <c r="E3309" t="s">
        <v>13247</v>
      </c>
      <c r="F3309" t="s">
        <v>14039</v>
      </c>
      <c r="G3309" t="s">
        <v>14672</v>
      </c>
      <c r="H3309" t="s">
        <v>13869</v>
      </c>
      <c r="I3309" t="s">
        <v>14690</v>
      </c>
      <c r="J3309" s="62">
        <v>0</v>
      </c>
      <c r="K3309" s="62">
        <v>0</v>
      </c>
      <c r="L3309" t="str">
        <f>VLOOKUP(VALUE(LEFT(C3309,5)),Xref!A:B,2,0)</f>
        <v>SAT</v>
      </c>
      <c r="M3309" t="str">
        <f t="shared" si="207"/>
        <v>PGP-SAT</v>
      </c>
    </row>
    <row r="3310" spans="1:13" ht="14.25" customHeight="true">
      <c r="A3310" s="33" t="str">
        <f t="shared" si="204"/>
        <v>PGP - Intercompany</v>
      </c>
      <c r="B3310" s="33" t="str">
        <f t="shared" si="205"/>
        <v>PGP</v>
      </c>
      <c r="C3310" s="33" t="str">
        <f t="shared" si="206"/>
        <v>11337-0000</v>
      </c>
      <c r="D3310" t="s">
        <v>25718</v>
      </c>
      <c r="E3310" t="s">
        <v>13248</v>
      </c>
      <c r="F3310" t="s">
        <v>14039</v>
      </c>
      <c r="G3310" t="s">
        <v>14672</v>
      </c>
      <c r="H3310" t="s">
        <v>13869</v>
      </c>
      <c r="I3310" t="s">
        <v>14690</v>
      </c>
      <c r="J3310" s="62">
        <v>0</v>
      </c>
      <c r="K3310" s="62">
        <v>0</v>
      </c>
      <c r="L3310" t="str">
        <f>VLOOKUP(VALUE(LEFT(C3310,5)),Xref!A:B,2,0)</f>
        <v>NEP</v>
      </c>
      <c r="M3310" t="str">
        <f t="shared" si="207"/>
        <v>NEP-PGP</v>
      </c>
    </row>
    <row r="3311" spans="1:13" ht="14.25" customHeight="true">
      <c r="A3311" s="33" t="str">
        <f t="shared" si="204"/>
        <v>PGP - Intercompany</v>
      </c>
      <c r="B3311" s="33" t="str">
        <f t="shared" si="205"/>
        <v>PGP</v>
      </c>
      <c r="C3311" s="33" t="str">
        <f t="shared" si="206"/>
        <v>11338-0000</v>
      </c>
      <c r="D3311" t="s">
        <v>25719</v>
      </c>
      <c r="E3311" t="s">
        <v>14131</v>
      </c>
      <c r="F3311" t="s">
        <v>14039</v>
      </c>
      <c r="G3311" t="s">
        <v>14672</v>
      </c>
      <c r="H3311" t="s">
        <v>13869</v>
      </c>
      <c r="I3311" t="s">
        <v>14690</v>
      </c>
      <c r="J3311" s="62">
        <v>0</v>
      </c>
      <c r="K3311" s="62">
        <v>0</v>
      </c>
      <c r="L3311" t="str">
        <f>VLOOKUP(VALUE(LEFT(C3311,5)),Xref!A:B,2,0)</f>
        <v>JUP</v>
      </c>
      <c r="M3311" t="str">
        <f t="shared" si="207"/>
        <v>JUP-PGP</v>
      </c>
    </row>
    <row r="3312" spans="1:13" ht="14.25" customHeight="true">
      <c r="A3312" s="33" t="str">
        <f t="shared" si="204"/>
        <v>PGP - Intercompany</v>
      </c>
      <c r="B3312" s="33" t="str">
        <f t="shared" si="205"/>
        <v>PGP</v>
      </c>
      <c r="C3312" s="33" t="str">
        <f t="shared" si="206"/>
        <v>11339-0000</v>
      </c>
      <c r="D3312" t="s">
        <v>25720</v>
      </c>
      <c r="E3312" t="s">
        <v>14133</v>
      </c>
      <c r="F3312" t="s">
        <v>14039</v>
      </c>
      <c r="G3312" t="s">
        <v>14672</v>
      </c>
      <c r="H3312" t="s">
        <v>13869</v>
      </c>
      <c r="I3312" t="s">
        <v>14690</v>
      </c>
      <c r="J3312" s="62">
        <v>0</v>
      </c>
      <c r="K3312" s="62">
        <v>0</v>
      </c>
      <c r="L3312" t="str">
        <f>VLOOKUP(VALUE(LEFT(C3312,5)),Xref!A:B,2,0)</f>
        <v>WES</v>
      </c>
      <c r="M3312" t="str">
        <f t="shared" si="207"/>
        <v>PGP-WES</v>
      </c>
    </row>
    <row r="3313" spans="1:13" ht="14.25" customHeight="true">
      <c r="A3313" s="33" t="str">
        <f t="shared" si="204"/>
        <v>PGP - Intercompany</v>
      </c>
      <c r="B3313" s="33" t="str">
        <f t="shared" si="205"/>
        <v>PGP</v>
      </c>
      <c r="C3313" s="33" t="str">
        <f t="shared" si="206"/>
        <v>11340-0000</v>
      </c>
      <c r="D3313" t="s">
        <v>25721</v>
      </c>
      <c r="E3313" t="s">
        <v>14135</v>
      </c>
      <c r="F3313" t="s">
        <v>14039</v>
      </c>
      <c r="G3313" t="s">
        <v>14672</v>
      </c>
      <c r="H3313" t="s">
        <v>13869</v>
      </c>
      <c r="I3313" t="s">
        <v>14690</v>
      </c>
      <c r="J3313" s="62">
        <v>0</v>
      </c>
      <c r="K3313" s="62">
        <v>0</v>
      </c>
      <c r="L3313" t="str">
        <f>VLOOKUP(VALUE(LEFT(C3313,5)),Xref!A:B,2,0)</f>
        <v>LCP</v>
      </c>
      <c r="M3313" t="str">
        <f t="shared" si="207"/>
        <v>LCP-PGP</v>
      </c>
    </row>
    <row r="3314" spans="1:13" ht="14.25" customHeight="true">
      <c r="A3314" s="33" t="str">
        <f t="shared" si="204"/>
        <v>PGP - Intercompany</v>
      </c>
      <c r="B3314" s="33" t="str">
        <f t="shared" si="205"/>
        <v>PGP</v>
      </c>
      <c r="C3314" s="33" t="str">
        <f t="shared" si="206"/>
        <v>11341-0000</v>
      </c>
      <c r="D3314" t="s">
        <v>25722</v>
      </c>
      <c r="E3314" t="s">
        <v>13639</v>
      </c>
      <c r="F3314" t="s">
        <v>14039</v>
      </c>
      <c r="G3314" t="s">
        <v>14672</v>
      </c>
      <c r="H3314" t="s">
        <v>13869</v>
      </c>
      <c r="I3314" t="s">
        <v>14690</v>
      </c>
      <c r="J3314" s="62">
        <v>0</v>
      </c>
      <c r="K3314" s="62">
        <v>0</v>
      </c>
      <c r="L3314" t="str">
        <f>VLOOKUP(VALUE(LEFT(C3314,5)),Xref!A:B,2,0)</f>
        <v>NOR</v>
      </c>
      <c r="M3314" t="str">
        <f t="shared" si="207"/>
        <v>NOR-PGP</v>
      </c>
    </row>
    <row r="3315" spans="1:13" ht="14.25" customHeight="true">
      <c r="A3315" s="33" t="str">
        <f t="shared" si="204"/>
        <v>PGP - Intercompany</v>
      </c>
      <c r="B3315" s="33" t="str">
        <f t="shared" si="205"/>
        <v>PGP</v>
      </c>
      <c r="C3315" s="33" t="str">
        <f t="shared" si="206"/>
        <v>11342-0000</v>
      </c>
      <c r="D3315" t="s">
        <v>25723</v>
      </c>
      <c r="E3315" t="s">
        <v>13355</v>
      </c>
      <c r="F3315" t="s">
        <v>14039</v>
      </c>
      <c r="G3315" t="s">
        <v>14672</v>
      </c>
      <c r="H3315" t="s">
        <v>13869</v>
      </c>
      <c r="I3315" t="s">
        <v>14690</v>
      </c>
      <c r="J3315" s="62">
        <v>0</v>
      </c>
      <c r="K3315" s="62">
        <v>0</v>
      </c>
      <c r="L3315" t="str">
        <f>VLOOKUP(VALUE(LEFT(C3315,5)),Xref!A:B,2,0)</f>
        <v>EAS</v>
      </c>
      <c r="M3315" t="str">
        <f t="shared" si="207"/>
        <v>EAS-PGP</v>
      </c>
    </row>
    <row r="3316" spans="1:13" ht="14.25" customHeight="true">
      <c r="A3316" s="33" t="str">
        <f t="shared" si="204"/>
        <v>PGP - Intercompany</v>
      </c>
      <c r="B3316" s="33" t="str">
        <f t="shared" si="205"/>
        <v>PGP</v>
      </c>
      <c r="C3316" s="33" t="str">
        <f t="shared" si="206"/>
        <v>11343-0000</v>
      </c>
      <c r="D3316" t="s">
        <v>25724</v>
      </c>
      <c r="E3316" t="s">
        <v>14139</v>
      </c>
      <c r="F3316" t="s">
        <v>14039</v>
      </c>
      <c r="G3316" t="s">
        <v>14672</v>
      </c>
      <c r="H3316" t="s">
        <v>13869</v>
      </c>
      <c r="I3316" t="s">
        <v>14690</v>
      </c>
      <c r="J3316" s="62">
        <v>0</v>
      </c>
      <c r="K3316" s="62">
        <v>0</v>
      </c>
      <c r="L3316" t="str">
        <f>VLOOKUP(VALUE(LEFT(C3316,5)),Xref!A:B,2,0)</f>
        <v>GRA</v>
      </c>
      <c r="M3316" t="str">
        <f t="shared" si="207"/>
        <v>GRA-PGP</v>
      </c>
    </row>
    <row r="3317" spans="1:13" ht="14.25" customHeight="true">
      <c r="A3317" s="33" t="str">
        <f t="shared" si="204"/>
        <v>PGP - Intercompany</v>
      </c>
      <c r="B3317" s="33" t="str">
        <f t="shared" si="205"/>
        <v>PGP</v>
      </c>
      <c r="C3317" s="33" t="str">
        <f t="shared" si="206"/>
        <v>11344-0000</v>
      </c>
      <c r="D3317" t="s">
        <v>25725</v>
      </c>
      <c r="E3317" t="s">
        <v>14141</v>
      </c>
      <c r="F3317" t="s">
        <v>14039</v>
      </c>
      <c r="G3317" t="s">
        <v>14672</v>
      </c>
      <c r="H3317" t="s">
        <v>13869</v>
      </c>
      <c r="I3317" t="s">
        <v>14690</v>
      </c>
      <c r="J3317" s="62">
        <v>0</v>
      </c>
      <c r="K3317" s="62">
        <v>0</v>
      </c>
      <c r="L3317" t="str">
        <f>VLOOKUP(VALUE(LEFT(C3317,5)),Xref!A:B,2,0)</f>
        <v>SOU</v>
      </c>
      <c r="M3317" t="str">
        <f t="shared" si="207"/>
        <v>PGP-SOU</v>
      </c>
    </row>
    <row r="3318" spans="1:13" ht="14.25" customHeight="true">
      <c r="A3318" s="33" t="str">
        <f t="shared" si="204"/>
        <v>PGP - Intercompany</v>
      </c>
      <c r="B3318" s="33" t="str">
        <f t="shared" si="205"/>
        <v>PGP</v>
      </c>
      <c r="C3318" s="33" t="str">
        <f t="shared" si="206"/>
        <v>11345-0000</v>
      </c>
      <c r="D3318" t="s">
        <v>25726</v>
      </c>
      <c r="E3318" t="s">
        <v>14143</v>
      </c>
      <c r="F3318" t="s">
        <v>14039</v>
      </c>
      <c r="G3318" t="s">
        <v>14672</v>
      </c>
      <c r="H3318" t="s">
        <v>13869</v>
      </c>
      <c r="I3318" t="s">
        <v>14690</v>
      </c>
      <c r="J3318" s="62">
        <v>0</v>
      </c>
      <c r="K3318" s="62">
        <v>0</v>
      </c>
      <c r="L3318" t="str">
        <f>VLOOKUP(VALUE(LEFT(C3318,5)),Xref!A:B,2,0)</f>
        <v>API</v>
      </c>
      <c r="M3318" t="str">
        <f t="shared" si="207"/>
        <v>API-PGP</v>
      </c>
    </row>
    <row r="3319" spans="1:13" ht="14.25" customHeight="true">
      <c r="A3319" s="33" t="str">
        <f t="shared" si="204"/>
        <v>PGP - Intercompany</v>
      </c>
      <c r="B3319" s="33" t="str">
        <f t="shared" si="205"/>
        <v>PGP</v>
      </c>
      <c r="C3319" s="33" t="str">
        <f t="shared" si="206"/>
        <v>11346-0000</v>
      </c>
      <c r="D3319" t="s">
        <v>25727</v>
      </c>
      <c r="E3319" t="s">
        <v>14145</v>
      </c>
      <c r="F3319" t="s">
        <v>14039</v>
      </c>
      <c r="G3319" t="s">
        <v>14672</v>
      </c>
      <c r="H3319" t="s">
        <v>13869</v>
      </c>
      <c r="I3319" t="s">
        <v>14690</v>
      </c>
      <c r="J3319" s="62">
        <v>0</v>
      </c>
      <c r="K3319" s="62">
        <v>0</v>
      </c>
      <c r="L3319" t="str">
        <f>VLOOKUP(VALUE(LEFT(C3319,5)),Xref!A:B,2,0)</f>
        <v>DPH</v>
      </c>
      <c r="M3319" t="str">
        <f t="shared" si="207"/>
        <v>DPH-PGP</v>
      </c>
    </row>
    <row r="3320" spans="1:13" ht="14.25" customHeight="true">
      <c r="A3320" s="33" t="str">
        <f t="shared" si="204"/>
        <v>PGP - Intercompany</v>
      </c>
      <c r="B3320" s="33" t="str">
        <f t="shared" si="205"/>
        <v>PGP</v>
      </c>
      <c r="C3320" s="33" t="str">
        <f t="shared" si="206"/>
        <v>11347-0000</v>
      </c>
      <c r="D3320" t="s">
        <v>25728</v>
      </c>
      <c r="E3320" t="s">
        <v>14147</v>
      </c>
      <c r="F3320" t="s">
        <v>14039</v>
      </c>
      <c r="G3320" t="s">
        <v>14672</v>
      </c>
      <c r="H3320" t="s">
        <v>13869</v>
      </c>
      <c r="I3320" t="s">
        <v>14690</v>
      </c>
      <c r="J3320" s="62">
        <v>0</v>
      </c>
      <c r="K3320" s="62">
        <v>0</v>
      </c>
      <c r="L3320" t="str">
        <f>VLOOKUP(VALUE(LEFT(C3320,5)),Xref!A:B,2,0)</f>
        <v>ZPI</v>
      </c>
      <c r="M3320" t="str">
        <f t="shared" si="207"/>
        <v>PGP-ZPI</v>
      </c>
    </row>
    <row r="3321" spans="1:13" ht="14.25" customHeight="true">
      <c r="A3321" s="33" t="str">
        <f t="shared" si="204"/>
        <v>PGP - Intercompany</v>
      </c>
      <c r="B3321" s="33" t="str">
        <f t="shared" si="205"/>
        <v>PGP</v>
      </c>
      <c r="C3321" s="33" t="str">
        <f t="shared" si="206"/>
        <v>11348-0000</v>
      </c>
      <c r="D3321" t="s">
        <v>25729</v>
      </c>
      <c r="E3321" t="s">
        <v>14149</v>
      </c>
      <c r="F3321" t="s">
        <v>14039</v>
      </c>
      <c r="G3321" t="s">
        <v>14672</v>
      </c>
      <c r="H3321" t="s">
        <v>13869</v>
      </c>
      <c r="I3321" t="s">
        <v>14690</v>
      </c>
      <c r="J3321" s="62">
        <v>0</v>
      </c>
      <c r="K3321" s="62">
        <v>0</v>
      </c>
      <c r="L3321" t="str">
        <f>VLOOKUP(VALUE(LEFT(C3321,5)),Xref!A:B,2,0)</f>
        <v>EAM</v>
      </c>
      <c r="M3321" t="str">
        <f t="shared" si="207"/>
        <v>EAM-PGP</v>
      </c>
    </row>
    <row r="3322" spans="1:13" ht="14.25" customHeight="true">
      <c r="A3322" s="33" t="str">
        <f t="shared" si="204"/>
        <v>PGP - Intercompany</v>
      </c>
      <c r="B3322" s="33" t="str">
        <f t="shared" si="205"/>
        <v>PGP</v>
      </c>
      <c r="C3322" s="33" t="str">
        <f t="shared" si="206"/>
        <v>11349-0000</v>
      </c>
      <c r="D3322" t="s">
        <v>25730</v>
      </c>
      <c r="E3322" t="s">
        <v>14151</v>
      </c>
      <c r="F3322" t="s">
        <v>14039</v>
      </c>
      <c r="G3322" t="s">
        <v>14672</v>
      </c>
      <c r="H3322" t="s">
        <v>13869</v>
      </c>
      <c r="I3322" t="s">
        <v>14690</v>
      </c>
      <c r="J3322" s="62">
        <v>0</v>
      </c>
      <c r="K3322" s="62">
        <v>0</v>
      </c>
      <c r="L3322" t="str">
        <f>VLOOKUP(VALUE(LEFT(C3322,5)),Xref!A:B,2,0)</f>
        <v>SEA</v>
      </c>
      <c r="M3322" t="str">
        <f t="shared" si="207"/>
        <v>PGP-SEA</v>
      </c>
    </row>
    <row r="3323" spans="1:13" ht="14.25" customHeight="true">
      <c r="A3323" s="33" t="str">
        <f t="shared" si="204"/>
        <v>PGP - Intercompany</v>
      </c>
      <c r="B3323" s="33" t="str">
        <f t="shared" si="205"/>
        <v>PGP</v>
      </c>
      <c r="C3323" s="33" t="str">
        <f t="shared" si="206"/>
        <v>11350-0000</v>
      </c>
      <c r="D3323" t="s">
        <v>25731</v>
      </c>
      <c r="E3323" t="s">
        <v>14153</v>
      </c>
      <c r="F3323" t="s">
        <v>14039</v>
      </c>
      <c r="G3323" t="s">
        <v>14672</v>
      </c>
      <c r="H3323" t="s">
        <v>13869</v>
      </c>
      <c r="I3323" t="s">
        <v>14690</v>
      </c>
      <c r="J3323" s="62">
        <v>0</v>
      </c>
      <c r="K3323" s="62">
        <v>-0.51</v>
      </c>
      <c r="L3323" t="str">
        <f>VLOOKUP(VALUE(LEFT(C3323,5)),Xref!A:B,2,0)</f>
        <v>EAL</v>
      </c>
      <c r="M3323" t="str">
        <f t="shared" si="207"/>
        <v>EAL-PGP</v>
      </c>
    </row>
    <row r="3324" spans="1:13" ht="14.25" customHeight="true">
      <c r="A3324" s="33" t="str">
        <f t="shared" si="204"/>
        <v>PGP - Intercompany</v>
      </c>
      <c r="B3324" s="33" t="str">
        <f t="shared" si="205"/>
        <v>PGP</v>
      </c>
      <c r="C3324" s="33" t="str">
        <f t="shared" si="206"/>
        <v>11351-0000</v>
      </c>
      <c r="D3324" t="s">
        <v>25732</v>
      </c>
      <c r="E3324" t="s">
        <v>14155</v>
      </c>
      <c r="F3324" t="s">
        <v>14039</v>
      </c>
      <c r="G3324" t="s">
        <v>14672</v>
      </c>
      <c r="H3324" t="s">
        <v>13869</v>
      </c>
      <c r="I3324" t="s">
        <v>14690</v>
      </c>
      <c r="J3324" s="62">
        <v>0</v>
      </c>
      <c r="K3324" s="62">
        <v>0</v>
      </c>
      <c r="L3324" t="str">
        <f>VLOOKUP(VALUE(LEFT(C3324,5)),Xref!A:B,2,0)</f>
        <v>WEP</v>
      </c>
      <c r="M3324" t="str">
        <f t="shared" si="207"/>
        <v>PGP-WEP</v>
      </c>
    </row>
    <row r="3325" spans="1:13" ht="14.25" customHeight="true">
      <c r="A3325" s="33" t="str">
        <f t="shared" si="204"/>
        <v>PGP - Intercompany</v>
      </c>
      <c r="B3325" s="33" t="str">
        <f t="shared" si="205"/>
        <v>PGP</v>
      </c>
      <c r="C3325" s="33" t="str">
        <f t="shared" si="206"/>
        <v>11352-0000</v>
      </c>
      <c r="D3325" t="s">
        <v>25733</v>
      </c>
      <c r="E3325" t="s">
        <v>13536</v>
      </c>
      <c r="F3325" t="s">
        <v>14039</v>
      </c>
      <c r="G3325" t="s">
        <v>14672</v>
      </c>
      <c r="H3325" t="s">
        <v>13869</v>
      </c>
      <c r="I3325" t="s">
        <v>14690</v>
      </c>
      <c r="J3325" s="62">
        <v>0</v>
      </c>
      <c r="K3325" s="62">
        <v>0</v>
      </c>
      <c r="L3325" t="str">
        <f>VLOOKUP(VALUE(LEFT(C3325,5)),Xref!A:B,2,0)</f>
        <v>KLP</v>
      </c>
      <c r="M3325" t="str">
        <f t="shared" si="207"/>
        <v>KLP-PGP</v>
      </c>
    </row>
    <row r="3326" spans="1:13" ht="14.25" customHeight="true">
      <c r="A3326" s="33" t="str">
        <f t="shared" si="204"/>
        <v>PGP - Intercompany</v>
      </c>
      <c r="B3326" s="33" t="str">
        <f t="shared" si="205"/>
        <v>PGP</v>
      </c>
      <c r="C3326" s="33" t="str">
        <f t="shared" si="206"/>
        <v>11353-0000</v>
      </c>
      <c r="D3326" t="s">
        <v>25734</v>
      </c>
      <c r="E3326" t="s">
        <v>13537</v>
      </c>
      <c r="F3326" t="s">
        <v>14039</v>
      </c>
      <c r="G3326" t="s">
        <v>14672</v>
      </c>
      <c r="H3326" t="s">
        <v>13869</v>
      </c>
      <c r="I3326" t="s">
        <v>14690</v>
      </c>
      <c r="J3326" s="62">
        <v>0</v>
      </c>
      <c r="K3326" s="62">
        <v>0</v>
      </c>
      <c r="L3326" t="str">
        <f>VLOOKUP(VALUE(LEFT(C3326,5)),Xref!A:B,2,0)</f>
        <v>AKC</v>
      </c>
      <c r="M3326" t="str">
        <f t="shared" si="207"/>
        <v>AKC-PGP</v>
      </c>
    </row>
    <row r="3327" spans="1:13" ht="14.25" customHeight="true">
      <c r="A3327" s="33" t="str">
        <f t="shared" si="204"/>
        <v>PGP - Intercompany</v>
      </c>
      <c r="B3327" s="33" t="str">
        <f t="shared" si="205"/>
        <v>PGP</v>
      </c>
      <c r="C3327" s="33" t="str">
        <f t="shared" si="206"/>
        <v>11354-0000</v>
      </c>
      <c r="D3327" t="s">
        <v>25735</v>
      </c>
      <c r="E3327" t="s">
        <v>13538</v>
      </c>
      <c r="F3327" t="s">
        <v>14039</v>
      </c>
      <c r="G3327" t="s">
        <v>14672</v>
      </c>
      <c r="H3327" t="s">
        <v>13869</v>
      </c>
      <c r="I3327" t="s">
        <v>14690</v>
      </c>
      <c r="J3327" s="62">
        <v>0</v>
      </c>
      <c r="K3327" s="62">
        <v>0</v>
      </c>
      <c r="L3327" t="str">
        <f>VLOOKUP(VALUE(LEFT(C3327,5)),Xref!A:B,2,0)</f>
        <v>AKA</v>
      </c>
      <c r="M3327" t="str">
        <f t="shared" si="207"/>
        <v>AKA-PGP</v>
      </c>
    </row>
    <row r="3328" spans="1:13" ht="14.25" customHeight="true">
      <c r="A3328" s="33" t="str">
        <f t="shared" si="204"/>
        <v>PGP - Intercompany</v>
      </c>
      <c r="B3328" s="33" t="str">
        <f t="shared" si="205"/>
        <v>PGP</v>
      </c>
      <c r="C3328" s="33" t="str">
        <f t="shared" si="206"/>
        <v>11355-0000</v>
      </c>
      <c r="D3328" t="s">
        <v>25736</v>
      </c>
      <c r="E3328" t="s">
        <v>13539</v>
      </c>
      <c r="F3328" t="s">
        <v>14039</v>
      </c>
      <c r="G3328" t="s">
        <v>14672</v>
      </c>
      <c r="H3328" t="s">
        <v>13869</v>
      </c>
      <c r="I3328" t="s">
        <v>14690</v>
      </c>
      <c r="J3328" s="62">
        <v>0</v>
      </c>
      <c r="K3328" s="62">
        <v>0</v>
      </c>
      <c r="L3328" t="str">
        <f>VLOOKUP(VALUE(LEFT(C3328,5)),Xref!A:B,2,0)</f>
        <v>SPA</v>
      </c>
      <c r="M3328" t="str">
        <f t="shared" si="207"/>
        <v>PGP-SPA</v>
      </c>
    </row>
    <row r="3329" spans="1:13" ht="14.25" customHeight="true">
      <c r="A3329" s="33" t="str">
        <f t="shared" si="204"/>
        <v>PGP - Intercompany</v>
      </c>
      <c r="B3329" s="33" t="str">
        <f t="shared" si="205"/>
        <v>PGP</v>
      </c>
      <c r="C3329" s="33" t="str">
        <f t="shared" si="206"/>
        <v>11356-0000</v>
      </c>
      <c r="D3329" t="s">
        <v>25737</v>
      </c>
      <c r="E3329" t="s">
        <v>13540</v>
      </c>
      <c r="F3329" t="s">
        <v>14039</v>
      </c>
      <c r="G3329" t="s">
        <v>14672</v>
      </c>
      <c r="H3329" t="s">
        <v>13869</v>
      </c>
      <c r="I3329" t="s">
        <v>14690</v>
      </c>
      <c r="J3329" s="62">
        <v>0</v>
      </c>
      <c r="K3329" s="62">
        <v>0</v>
      </c>
      <c r="L3329" t="str">
        <f>VLOOKUP(VALUE(LEFT(C3329,5)),Xref!A:B,2,0)</f>
        <v>DPM</v>
      </c>
      <c r="M3329" t="str">
        <f t="shared" si="207"/>
        <v>DPM-PGP</v>
      </c>
    </row>
    <row r="3330" spans="1:13" ht="14.25" customHeight="true">
      <c r="A3330" s="33" t="str">
        <f t="shared" ref="A3330:A3393" si="208">B3330&amp;" - "&amp;TRIM(H3330)</f>
        <v>PGP - Intercompany</v>
      </c>
      <c r="B3330" s="33" t="str">
        <f t="shared" ref="B3330:B3393" si="209">LEFT(D3330,3)</f>
        <v>PGP</v>
      </c>
      <c r="C3330" s="33" t="str">
        <f t="shared" ref="C3330:C3393" si="210">RIGHT(D3330,10)</f>
        <v>11357-0000</v>
      </c>
      <c r="D3330" t="s">
        <v>25738</v>
      </c>
      <c r="E3330" t="s">
        <v>13541</v>
      </c>
      <c r="F3330" t="s">
        <v>14039</v>
      </c>
      <c r="G3330" t="s">
        <v>14672</v>
      </c>
      <c r="H3330" t="s">
        <v>13869</v>
      </c>
      <c r="I3330" t="s">
        <v>14690</v>
      </c>
      <c r="J3330" s="62">
        <v>-1034.58</v>
      </c>
      <c r="K3330" s="62">
        <v>0</v>
      </c>
      <c r="L3330" t="str">
        <f>VLOOKUP(VALUE(LEFT(C3330,5)),Xref!A:B,2,0)</f>
        <v>HDM</v>
      </c>
      <c r="M3330" t="str">
        <f t="shared" ref="M3330:M3393" si="211">IF(B3330&lt;L3330,B3330&amp;"-"&amp;L3330,L3330&amp;"-"&amp;B3330)</f>
        <v>HDM-PGP</v>
      </c>
    </row>
    <row r="3331" spans="1:13" ht="14.25" customHeight="true">
      <c r="A3331" s="33" t="str">
        <f t="shared" si="208"/>
        <v>PGP - Intercompany</v>
      </c>
      <c r="B3331" s="33" t="str">
        <f t="shared" si="209"/>
        <v>PGP</v>
      </c>
      <c r="C3331" s="33" t="str">
        <f t="shared" si="210"/>
        <v>11358-0000</v>
      </c>
      <c r="D3331" t="s">
        <v>25739</v>
      </c>
      <c r="E3331" t="s">
        <v>13542</v>
      </c>
      <c r="F3331" t="s">
        <v>14039</v>
      </c>
      <c r="G3331" t="s">
        <v>14672</v>
      </c>
      <c r="H3331" t="s">
        <v>13869</v>
      </c>
      <c r="I3331" t="s">
        <v>14690</v>
      </c>
      <c r="J3331" s="62">
        <v>0</v>
      </c>
      <c r="K3331" s="62">
        <v>0</v>
      </c>
      <c r="L3331" t="str">
        <f>VLOOKUP(VALUE(LEFT(C3331,5)),Xref!A:B,2,0)</f>
        <v>GRA</v>
      </c>
      <c r="M3331" t="str">
        <f t="shared" si="211"/>
        <v>GRA-PGP</v>
      </c>
    </row>
    <row r="3332" spans="1:13" ht="14.25" customHeight="true">
      <c r="A3332" s="33" t="str">
        <f t="shared" si="208"/>
        <v>PGP - Intercompany</v>
      </c>
      <c r="B3332" s="33" t="str">
        <f t="shared" si="209"/>
        <v>PGP</v>
      </c>
      <c r="C3332" s="33" t="str">
        <f t="shared" si="210"/>
        <v>11359-0000</v>
      </c>
      <c r="D3332" t="s">
        <v>25740</v>
      </c>
      <c r="E3332" t="s">
        <v>13543</v>
      </c>
      <c r="F3332" t="s">
        <v>14039</v>
      </c>
      <c r="G3332" t="s">
        <v>14672</v>
      </c>
      <c r="H3332" t="s">
        <v>13869</v>
      </c>
      <c r="I3332" t="s">
        <v>14690</v>
      </c>
      <c r="J3332" s="62">
        <v>0</v>
      </c>
      <c r="K3332" s="62">
        <v>0</v>
      </c>
      <c r="L3332" t="str">
        <f>VLOOKUP(VALUE(LEFT(C3332,5)),Xref!A:B,2,0)</f>
        <v>TPI</v>
      </c>
      <c r="M3332" t="str">
        <f t="shared" si="211"/>
        <v>PGP-TPI</v>
      </c>
    </row>
    <row r="3333" spans="1:13" ht="14.25" customHeight="true">
      <c r="A3333" s="33" t="str">
        <f t="shared" si="208"/>
        <v>PGP - Intercompany</v>
      </c>
      <c r="B3333" s="33" t="str">
        <f t="shared" si="209"/>
        <v>PGP</v>
      </c>
      <c r="C3333" s="33" t="str">
        <f t="shared" si="210"/>
        <v>11361-0000</v>
      </c>
      <c r="D3333" t="s">
        <v>25741</v>
      </c>
      <c r="E3333" t="s">
        <v>14165</v>
      </c>
      <c r="F3333" t="s">
        <v>14039</v>
      </c>
      <c r="G3333" t="s">
        <v>14672</v>
      </c>
      <c r="H3333" t="s">
        <v>13869</v>
      </c>
      <c r="I3333" t="s">
        <v>14690</v>
      </c>
      <c r="J3333" s="62">
        <v>0</v>
      </c>
      <c r="K3333" s="62">
        <v>0</v>
      </c>
      <c r="L3333" t="str">
        <f>VLOOKUP(VALUE(LEFT(C3333,5)),Xref!A:B,2,0)</f>
        <v>GSM</v>
      </c>
      <c r="M3333" t="str">
        <f t="shared" si="211"/>
        <v>GSM-PGP</v>
      </c>
    </row>
    <row r="3334" spans="1:13" ht="14.25" customHeight="true">
      <c r="A3334" s="33" t="str">
        <f t="shared" si="208"/>
        <v>PGP - Intercompany</v>
      </c>
      <c r="B3334" s="33" t="str">
        <f t="shared" si="209"/>
        <v>PGP</v>
      </c>
      <c r="C3334" s="33" t="str">
        <f t="shared" si="210"/>
        <v>11363-0000</v>
      </c>
      <c r="D3334" t="s">
        <v>25742</v>
      </c>
      <c r="E3334" t="s">
        <v>13544</v>
      </c>
      <c r="F3334" t="s">
        <v>14039</v>
      </c>
      <c r="G3334" t="s">
        <v>14672</v>
      </c>
      <c r="H3334" t="s">
        <v>13869</v>
      </c>
      <c r="I3334" t="s">
        <v>14690</v>
      </c>
      <c r="J3334" s="62">
        <v>0</v>
      </c>
      <c r="K3334" s="62">
        <v>0</v>
      </c>
      <c r="L3334" t="str">
        <f>VLOOKUP(VALUE(LEFT(C3334,5)),Xref!A:B,2,0)</f>
        <v>SOF</v>
      </c>
      <c r="M3334" t="str">
        <f t="shared" si="211"/>
        <v>PGP-SOF</v>
      </c>
    </row>
    <row r="3335" spans="1:13" ht="14.25" customHeight="true">
      <c r="A3335" s="33" t="str">
        <f t="shared" si="208"/>
        <v>PGP - Intercompany</v>
      </c>
      <c r="B3335" s="33" t="str">
        <f t="shared" si="209"/>
        <v>PGP</v>
      </c>
      <c r="C3335" s="33" t="str">
        <f t="shared" si="210"/>
        <v>11364-0000</v>
      </c>
      <c r="D3335" t="s">
        <v>25743</v>
      </c>
      <c r="E3335" t="s">
        <v>14168</v>
      </c>
      <c r="F3335" t="s">
        <v>14039</v>
      </c>
      <c r="G3335" t="s">
        <v>14672</v>
      </c>
      <c r="H3335" t="s">
        <v>13869</v>
      </c>
      <c r="I3335" t="s">
        <v>14690</v>
      </c>
      <c r="J3335" s="62">
        <v>0</v>
      </c>
      <c r="K3335" s="62">
        <v>0</v>
      </c>
      <c r="L3335" t="e">
        <f>VLOOKUP(VALUE(LEFT(C3335,5)),Xref!A:B,2,0)</f>
        <v>#N/A</v>
      </c>
      <c r="M3335" t="e">
        <f t="shared" si="211"/>
        <v>#N/A</v>
      </c>
    </row>
    <row r="3336" spans="1:13" ht="14.25" customHeight="true">
      <c r="A3336" s="33" t="str">
        <f t="shared" si="208"/>
        <v>PGP - Intercompany</v>
      </c>
      <c r="B3336" s="33" t="str">
        <f t="shared" si="209"/>
        <v>PGP</v>
      </c>
      <c r="C3336" s="33" t="str">
        <f t="shared" si="210"/>
        <v>11365-0000</v>
      </c>
      <c r="D3336" t="s">
        <v>25744</v>
      </c>
      <c r="E3336" t="s">
        <v>14170</v>
      </c>
      <c r="F3336" t="s">
        <v>14039</v>
      </c>
      <c r="G3336" t="s">
        <v>14672</v>
      </c>
      <c r="H3336" t="s">
        <v>13869</v>
      </c>
      <c r="I3336" t="s">
        <v>14690</v>
      </c>
      <c r="J3336" s="62">
        <v>0</v>
      </c>
      <c r="K3336" s="62">
        <v>0</v>
      </c>
      <c r="L3336" t="e">
        <f>VLOOKUP(VALUE(LEFT(C3336,5)),Xref!A:B,2,0)</f>
        <v>#N/A</v>
      </c>
      <c r="M3336" t="e">
        <f t="shared" si="211"/>
        <v>#N/A</v>
      </c>
    </row>
    <row r="3337" spans="1:13" ht="14.25" customHeight="true">
      <c r="A3337" s="33" t="str">
        <f t="shared" si="208"/>
        <v>PGP - Intercompany</v>
      </c>
      <c r="B3337" s="33" t="str">
        <f t="shared" si="209"/>
        <v>PGP</v>
      </c>
      <c r="C3337" s="33" t="str">
        <f t="shared" si="210"/>
        <v>11366-0000</v>
      </c>
      <c r="D3337" t="s">
        <v>25745</v>
      </c>
      <c r="E3337" t="s">
        <v>14172</v>
      </c>
      <c r="G3337" t="s">
        <v>14672</v>
      </c>
      <c r="H3337" t="s">
        <v>13869</v>
      </c>
      <c r="I3337" t="s">
        <v>14690</v>
      </c>
      <c r="J3337" s="62">
        <v>0</v>
      </c>
      <c r="K3337" s="62">
        <v>0</v>
      </c>
      <c r="L3337" t="e">
        <f>VLOOKUP(VALUE(LEFT(C3337,5)),Xref!A:B,2,0)</f>
        <v>#N/A</v>
      </c>
      <c r="M3337" t="e">
        <f t="shared" si="211"/>
        <v>#N/A</v>
      </c>
    </row>
    <row r="3338" spans="1:13" ht="14.25" customHeight="true">
      <c r="A3338" s="33" t="str">
        <f t="shared" si="208"/>
        <v>PGP - Intercompany</v>
      </c>
      <c r="B3338" s="33" t="str">
        <f t="shared" si="209"/>
        <v>PGP</v>
      </c>
      <c r="C3338" s="33" t="str">
        <f t="shared" si="210"/>
        <v>11402-0000</v>
      </c>
      <c r="D3338" t="s">
        <v>25746</v>
      </c>
      <c r="E3338" t="s">
        <v>14174</v>
      </c>
      <c r="G3338" t="s">
        <v>14672</v>
      </c>
      <c r="H3338" t="s">
        <v>13869</v>
      </c>
      <c r="I3338" t="s">
        <v>14690</v>
      </c>
      <c r="J3338" s="62">
        <v>0</v>
      </c>
      <c r="K3338" s="62">
        <v>0</v>
      </c>
      <c r="L3338" t="str">
        <f>VLOOKUP(VALUE(LEFT(C3338,5)),Xref!A:B,2,0)</f>
        <v>DPI</v>
      </c>
      <c r="M3338" t="str">
        <f t="shared" si="211"/>
        <v>DPI-PGP</v>
      </c>
    </row>
    <row r="3339" spans="1:13" ht="14.25" customHeight="true">
      <c r="A3339" s="33" t="str">
        <f t="shared" si="208"/>
        <v>PGP - Intercompany</v>
      </c>
      <c r="B3339" s="33" t="str">
        <f t="shared" si="209"/>
        <v>PGP</v>
      </c>
      <c r="C3339" s="33" t="str">
        <f t="shared" si="210"/>
        <v>11403-0000</v>
      </c>
      <c r="D3339" t="s">
        <v>25747</v>
      </c>
      <c r="E3339" t="s">
        <v>14176</v>
      </c>
      <c r="G3339" t="s">
        <v>14672</v>
      </c>
      <c r="H3339" t="s">
        <v>13869</v>
      </c>
      <c r="I3339" t="s">
        <v>14690</v>
      </c>
      <c r="J3339" s="62">
        <v>0</v>
      </c>
      <c r="K3339" s="62">
        <v>0</v>
      </c>
      <c r="L3339" t="str">
        <f>VLOOKUP(VALUE(LEFT(C3339,5)),Xref!A:B,2,0)</f>
        <v>SEA</v>
      </c>
      <c r="M3339" t="str">
        <f t="shared" si="211"/>
        <v>PGP-SEA</v>
      </c>
    </row>
    <row r="3340" spans="1:13" ht="14.25" customHeight="true">
      <c r="A3340" s="33" t="str">
        <f t="shared" si="208"/>
        <v>PGP - Intercompany</v>
      </c>
      <c r="B3340" s="33" t="str">
        <f t="shared" si="209"/>
        <v>PGP</v>
      </c>
      <c r="C3340" s="33" t="str">
        <f t="shared" si="210"/>
        <v>12400-0000</v>
      </c>
      <c r="D3340" t="s">
        <v>25750</v>
      </c>
      <c r="E3340" t="s">
        <v>14185</v>
      </c>
      <c r="F3340" t="s">
        <v>14039</v>
      </c>
      <c r="G3340" t="s">
        <v>14672</v>
      </c>
      <c r="H3340" t="s">
        <v>13869</v>
      </c>
      <c r="I3340" t="s">
        <v>14690</v>
      </c>
      <c r="J3340" s="62">
        <v>0</v>
      </c>
      <c r="K3340" s="62">
        <v>0</v>
      </c>
      <c r="L3340" t="str">
        <f>VLOOKUP(VALUE(LEFT(C3340,5)),Xref!A:B,2,0)</f>
        <v>aka</v>
      </c>
      <c r="M3340" t="str">
        <f t="shared" si="211"/>
        <v>aka-PGP</v>
      </c>
    </row>
    <row r="3341" spans="1:13" ht="14.25" customHeight="true">
      <c r="A3341" s="33" t="str">
        <f t="shared" si="208"/>
        <v>PGP - Intercompany</v>
      </c>
      <c r="B3341" s="33" t="str">
        <f t="shared" si="209"/>
        <v>PGP</v>
      </c>
      <c r="C3341" s="33" t="str">
        <f t="shared" si="210"/>
        <v>12401-0000</v>
      </c>
      <c r="D3341" t="s">
        <v>25751</v>
      </c>
      <c r="E3341" t="s">
        <v>14187</v>
      </c>
      <c r="F3341" t="s">
        <v>14039</v>
      </c>
      <c r="G3341" t="s">
        <v>14672</v>
      </c>
      <c r="H3341" t="s">
        <v>13869</v>
      </c>
      <c r="I3341" t="s">
        <v>14690</v>
      </c>
      <c r="J3341" s="62">
        <v>0</v>
      </c>
      <c r="K3341" s="62">
        <v>0</v>
      </c>
      <c r="L3341" t="str">
        <f>VLOOKUP(VALUE(LEFT(C3341,5)),Xref!A:B,2,0)</f>
        <v>aka</v>
      </c>
      <c r="M3341" t="str">
        <f t="shared" si="211"/>
        <v>aka-PGP</v>
      </c>
    </row>
    <row r="3342" spans="1:13" ht="14.25" customHeight="true">
      <c r="A3342" s="33" t="str">
        <f t="shared" si="208"/>
        <v>PGP - Intercompany</v>
      </c>
      <c r="B3342" s="33" t="str">
        <f t="shared" si="209"/>
        <v>PGP</v>
      </c>
      <c r="C3342" s="33" t="str">
        <f t="shared" si="210"/>
        <v>12402-0000</v>
      </c>
      <c r="D3342" t="s">
        <v>25752</v>
      </c>
      <c r="E3342" t="s">
        <v>14189</v>
      </c>
      <c r="F3342" t="s">
        <v>14039</v>
      </c>
      <c r="G3342" t="s">
        <v>14672</v>
      </c>
      <c r="H3342" t="s">
        <v>13869</v>
      </c>
      <c r="I3342" t="s">
        <v>14690</v>
      </c>
      <c r="J3342" s="62">
        <v>0</v>
      </c>
      <c r="K3342" s="62">
        <v>0</v>
      </c>
      <c r="L3342" t="str">
        <f>VLOOKUP(VALUE(LEFT(C3342,5)),Xref!A:B,2,0)</f>
        <v>aka</v>
      </c>
      <c r="M3342" t="str">
        <f t="shared" si="211"/>
        <v>aka-PGP</v>
      </c>
    </row>
    <row r="3343" spans="1:13" ht="14.25" customHeight="true">
      <c r="A3343" s="33" t="str">
        <f t="shared" si="208"/>
        <v>PGP - Intercompany</v>
      </c>
      <c r="B3343" s="33" t="str">
        <f t="shared" si="209"/>
        <v>PGP</v>
      </c>
      <c r="C3343" s="33" t="str">
        <f t="shared" si="210"/>
        <v>12403-0000</v>
      </c>
      <c r="D3343" t="s">
        <v>25753</v>
      </c>
      <c r="E3343" t="s">
        <v>5226</v>
      </c>
      <c r="F3343" t="s">
        <v>14039</v>
      </c>
      <c r="G3343" t="s">
        <v>14672</v>
      </c>
      <c r="H3343" t="s">
        <v>13869</v>
      </c>
      <c r="I3343" t="s">
        <v>14690</v>
      </c>
      <c r="J3343" s="62">
        <v>0</v>
      </c>
      <c r="K3343" s="62">
        <v>0</v>
      </c>
      <c r="L3343" t="str">
        <f>VLOOKUP(VALUE(LEFT(C3343,5)),Xref!A:B,2,0)</f>
        <v>aka</v>
      </c>
      <c r="M3343" t="str">
        <f t="shared" si="211"/>
        <v>aka-PGP</v>
      </c>
    </row>
    <row r="3344" spans="1:13" ht="14.25" customHeight="true">
      <c r="A3344" s="33" t="str">
        <f t="shared" si="208"/>
        <v>PGP - Intercompany</v>
      </c>
      <c r="B3344" s="33" t="str">
        <f t="shared" si="209"/>
        <v>PGP</v>
      </c>
      <c r="C3344" s="33" t="str">
        <f t="shared" si="210"/>
        <v>12501-0000</v>
      </c>
      <c r="D3344" t="s">
        <v>25754</v>
      </c>
      <c r="E3344" t="s">
        <v>14192</v>
      </c>
      <c r="F3344" t="s">
        <v>14039</v>
      </c>
      <c r="G3344" t="s">
        <v>14672</v>
      </c>
      <c r="H3344" t="s">
        <v>13869</v>
      </c>
      <c r="I3344" t="s">
        <v>14690</v>
      </c>
      <c r="J3344" s="62">
        <v>0</v>
      </c>
      <c r="K3344" s="62">
        <v>0</v>
      </c>
      <c r="L3344" t="str">
        <f>VLOOKUP(VALUE(LEFT(C3344,5)),Xref!A:B,2,0)</f>
        <v>aka</v>
      </c>
      <c r="M3344" t="str">
        <f t="shared" si="211"/>
        <v>aka-PGP</v>
      </c>
    </row>
    <row r="3345" spans="1:13" ht="14.25" customHeight="true">
      <c r="A3345" s="33" t="str">
        <f t="shared" si="208"/>
        <v>PGP - InterCo Notes</v>
      </c>
      <c r="B3345" s="33" t="str">
        <f t="shared" si="209"/>
        <v>PGP</v>
      </c>
      <c r="C3345" s="33" t="str">
        <f t="shared" si="210"/>
        <v>25600-0000</v>
      </c>
      <c r="D3345" t="s">
        <v>25806</v>
      </c>
      <c r="E3345" t="s">
        <v>314</v>
      </c>
      <c r="F3345" t="s">
        <v>14039</v>
      </c>
      <c r="G3345" t="s">
        <v>14672</v>
      </c>
      <c r="H3345" t="s">
        <v>13889</v>
      </c>
      <c r="I3345" t="s">
        <v>14690</v>
      </c>
      <c r="J3345" s="62">
        <v>0</v>
      </c>
      <c r="K3345" s="62">
        <v>0</v>
      </c>
      <c r="L3345" t="str">
        <f>VLOOKUP(VALUE(LEFT(C3345,5)),Xref!A:B,2,0)</f>
        <v>D7</v>
      </c>
      <c r="M3345" t="str">
        <f t="shared" si="211"/>
        <v>D7-PGP</v>
      </c>
    </row>
    <row r="3346" spans="1:13" ht="14.25" customHeight="true">
      <c r="A3346" s="33" t="str">
        <f t="shared" si="208"/>
        <v>PGP - InterCo Notes</v>
      </c>
      <c r="B3346" s="33" t="str">
        <f t="shared" si="209"/>
        <v>PGP</v>
      </c>
      <c r="C3346" s="33" t="str">
        <f t="shared" si="210"/>
        <v>25602-0000</v>
      </c>
      <c r="D3346" t="s">
        <v>25808</v>
      </c>
      <c r="E3346" t="s">
        <v>13426</v>
      </c>
      <c r="F3346" t="s">
        <v>14039</v>
      </c>
      <c r="G3346" t="s">
        <v>14672</v>
      </c>
      <c r="H3346" t="s">
        <v>13889</v>
      </c>
      <c r="I3346" t="s">
        <v>14690</v>
      </c>
      <c r="J3346" s="62">
        <v>0</v>
      </c>
      <c r="K3346" s="62">
        <v>0</v>
      </c>
      <c r="L3346" t="str">
        <f>VLOOKUP(VALUE(LEFT(C3346,5)),Xref!A:B,2,0)</f>
        <v>DFLP</v>
      </c>
      <c r="M3346" t="str">
        <f t="shared" si="211"/>
        <v>DFLP-PGP</v>
      </c>
    </row>
    <row r="3347" spans="1:13" ht="14.25" customHeight="true">
      <c r="A3347" s="33" t="str">
        <f t="shared" si="208"/>
        <v>PGP - InterCo Notes</v>
      </c>
      <c r="B3347" s="33" t="str">
        <f t="shared" si="209"/>
        <v>PGP</v>
      </c>
      <c r="C3347" s="33" t="str">
        <f t="shared" si="210"/>
        <v>25603-0000</v>
      </c>
      <c r="D3347" t="s">
        <v>25809</v>
      </c>
      <c r="E3347" t="s">
        <v>14311</v>
      </c>
      <c r="F3347" t="s">
        <v>14039</v>
      </c>
      <c r="G3347" t="s">
        <v>14832</v>
      </c>
      <c r="H3347" t="s">
        <v>13889</v>
      </c>
      <c r="I3347" t="s">
        <v>14690</v>
      </c>
      <c r="J3347" s="62">
        <v>0</v>
      </c>
      <c r="K3347" s="62">
        <v>0</v>
      </c>
      <c r="L3347" t="str">
        <f>VLOOKUP(VALUE(LEFT(C3347,5)),Xref!A:B,2,0)</f>
        <v>aka</v>
      </c>
      <c r="M3347" t="str">
        <f t="shared" si="211"/>
        <v>aka-PGP</v>
      </c>
    </row>
    <row r="3348" spans="1:13" ht="14.25" customHeight="true">
      <c r="A3348" s="33" t="str">
        <f t="shared" si="208"/>
        <v>PGP - Intercompany</v>
      </c>
      <c r="B3348" s="33" t="str">
        <f t="shared" si="209"/>
        <v>PGP</v>
      </c>
      <c r="C3348" s="33" t="str">
        <f t="shared" si="210"/>
        <v>25604-0000</v>
      </c>
      <c r="D3348" t="s">
        <v>25810</v>
      </c>
      <c r="E3348" t="s">
        <v>13490</v>
      </c>
      <c r="F3348" t="s">
        <v>14039</v>
      </c>
      <c r="G3348" t="s">
        <v>14672</v>
      </c>
      <c r="H3348" t="s">
        <v>13869</v>
      </c>
      <c r="I3348" t="s">
        <v>14690</v>
      </c>
      <c r="J3348" s="62">
        <v>0</v>
      </c>
      <c r="K3348" s="62">
        <v>0</v>
      </c>
      <c r="L3348">
        <f>VLOOKUP(VALUE(LEFT(C3348,5)),Xref!A:B,2,0)</f>
        <v>0</v>
      </c>
      <c r="M3348" t="str">
        <f t="shared" si="211"/>
        <v>0-PGP</v>
      </c>
    </row>
    <row r="3349" spans="1:13" ht="14.25" customHeight="true">
      <c r="A3349" s="33" t="str">
        <f t="shared" si="208"/>
        <v>PUR - Intercompany</v>
      </c>
      <c r="B3349" s="33" t="str">
        <f t="shared" si="209"/>
        <v>PUR</v>
      </c>
      <c r="C3349" s="33" t="str">
        <f t="shared" si="210"/>
        <v>11200-0000</v>
      </c>
      <c r="D3349" t="s">
        <v>26006</v>
      </c>
      <c r="E3349" t="s">
        <v>14069</v>
      </c>
      <c r="F3349" t="s">
        <v>14039</v>
      </c>
      <c r="G3349" t="s">
        <v>14672</v>
      </c>
      <c r="H3349" t="s">
        <v>13869</v>
      </c>
      <c r="I3349" t="s">
        <v>14690</v>
      </c>
      <c r="J3349" s="62">
        <v>0</v>
      </c>
      <c r="K3349" s="62">
        <v>0</v>
      </c>
      <c r="L3349" t="str">
        <f>VLOOKUP(VALUE(LEFT(C3349,5)),Xref!A:B,2,0)</f>
        <v>SCL</v>
      </c>
      <c r="M3349" t="str">
        <f t="shared" si="211"/>
        <v>PUR-SCL</v>
      </c>
    </row>
    <row r="3350" spans="1:13" ht="14.25" customHeight="true">
      <c r="A3350" s="33" t="str">
        <f t="shared" si="208"/>
        <v>PUR - Intercompany</v>
      </c>
      <c r="B3350" s="33" t="str">
        <f t="shared" si="209"/>
        <v>PUR</v>
      </c>
      <c r="C3350" s="33" t="str">
        <f t="shared" si="210"/>
        <v>11201-0000</v>
      </c>
      <c r="D3350" t="s">
        <v>26007</v>
      </c>
      <c r="E3350" t="s">
        <v>14071</v>
      </c>
      <c r="F3350" t="s">
        <v>14039</v>
      </c>
      <c r="G3350" t="s">
        <v>14672</v>
      </c>
      <c r="H3350" t="s">
        <v>13869</v>
      </c>
      <c r="I3350" t="s">
        <v>14690</v>
      </c>
      <c r="J3350" s="62">
        <v>0</v>
      </c>
      <c r="K3350" s="62">
        <v>0</v>
      </c>
      <c r="L3350" t="str">
        <f>VLOOKUP(VALUE(LEFT(C3350,5)),Xref!A:B,2,0)</f>
        <v>SG2</v>
      </c>
      <c r="M3350" t="str">
        <f t="shared" si="211"/>
        <v>PUR-SG2</v>
      </c>
    </row>
    <row r="3351" spans="1:13" ht="14.25" customHeight="true">
      <c r="A3351" s="33" t="str">
        <f t="shared" si="208"/>
        <v>PUR - Intercompany</v>
      </c>
      <c r="B3351" s="33" t="str">
        <f t="shared" si="209"/>
        <v>PUR</v>
      </c>
      <c r="C3351" s="33" t="str">
        <f t="shared" si="210"/>
        <v>11202-0000</v>
      </c>
      <c r="D3351" t="s">
        <v>26008</v>
      </c>
      <c r="E3351" t="s">
        <v>14073</v>
      </c>
      <c r="F3351" t="s">
        <v>14039</v>
      </c>
      <c r="G3351" t="s">
        <v>14672</v>
      </c>
      <c r="H3351" t="s">
        <v>13869</v>
      </c>
      <c r="I3351" t="s">
        <v>14690</v>
      </c>
      <c r="J3351" s="62">
        <v>0</v>
      </c>
      <c r="K3351" s="62">
        <v>0</v>
      </c>
      <c r="L3351" t="str">
        <f>VLOOKUP(VALUE(LEFT(C3351,5)),Xref!A:B,2,0)</f>
        <v>FFC</v>
      </c>
      <c r="M3351" t="str">
        <f t="shared" si="211"/>
        <v>FFC-PUR</v>
      </c>
    </row>
    <row r="3352" spans="1:13" ht="14.25" customHeight="true">
      <c r="A3352" s="33" t="str">
        <f t="shared" si="208"/>
        <v>PUR - Intercompany</v>
      </c>
      <c r="B3352" s="33" t="str">
        <f t="shared" si="209"/>
        <v>PUR</v>
      </c>
      <c r="C3352" s="33" t="str">
        <f t="shared" si="210"/>
        <v>11203-0000</v>
      </c>
      <c r="D3352" t="s">
        <v>26009</v>
      </c>
      <c r="E3352" t="s">
        <v>14075</v>
      </c>
      <c r="F3352" t="s">
        <v>14039</v>
      </c>
      <c r="G3352" t="s">
        <v>14672</v>
      </c>
      <c r="H3352" t="s">
        <v>13869</v>
      </c>
      <c r="I3352" t="s">
        <v>14690</v>
      </c>
      <c r="J3352" s="62">
        <v>0</v>
      </c>
      <c r="K3352" s="62">
        <v>0</v>
      </c>
      <c r="L3352" t="str">
        <f>VLOOKUP(VALUE(LEFT(C3352,5)),Xref!A:B,2,0)</f>
        <v>HN2</v>
      </c>
      <c r="M3352" t="str">
        <f t="shared" si="211"/>
        <v>HN2-PUR</v>
      </c>
    </row>
    <row r="3353" spans="1:13" ht="14.25" customHeight="true">
      <c r="A3353" s="33" t="str">
        <f t="shared" si="208"/>
        <v>PUR - Intercompany</v>
      </c>
      <c r="B3353" s="33" t="str">
        <f t="shared" si="209"/>
        <v>PUR</v>
      </c>
      <c r="C3353" s="33" t="str">
        <f t="shared" si="210"/>
        <v>11204-0000</v>
      </c>
      <c r="D3353" t="s">
        <v>26010</v>
      </c>
      <c r="E3353" t="s">
        <v>14077</v>
      </c>
      <c r="F3353" t="s">
        <v>14039</v>
      </c>
      <c r="G3353" t="s">
        <v>14672</v>
      </c>
      <c r="H3353" t="s">
        <v>13869</v>
      </c>
      <c r="I3353" t="s">
        <v>14690</v>
      </c>
      <c r="J3353" s="62">
        <v>0</v>
      </c>
      <c r="K3353" s="62">
        <v>0</v>
      </c>
      <c r="L3353" t="str">
        <f>VLOOKUP(VALUE(LEFT(C3353,5)),Xref!A:B,2,0)</f>
        <v>DF2</v>
      </c>
      <c r="M3353" t="str">
        <f t="shared" si="211"/>
        <v>DF2-PUR</v>
      </c>
    </row>
    <row r="3354" spans="1:13" ht="14.25" customHeight="true">
      <c r="A3354" s="33" t="str">
        <f t="shared" si="208"/>
        <v>PUR - Intercompany</v>
      </c>
      <c r="B3354" s="33" t="str">
        <f t="shared" si="209"/>
        <v>PUR</v>
      </c>
      <c r="C3354" s="33" t="str">
        <f t="shared" si="210"/>
        <v>11208-0000</v>
      </c>
      <c r="D3354" t="s">
        <v>26011</v>
      </c>
      <c r="E3354" t="s">
        <v>14079</v>
      </c>
      <c r="F3354" t="s">
        <v>14039</v>
      </c>
      <c r="G3354" t="s">
        <v>14672</v>
      </c>
      <c r="H3354" t="s">
        <v>13869</v>
      </c>
      <c r="I3354" t="s">
        <v>14690</v>
      </c>
      <c r="J3354" s="62">
        <v>0</v>
      </c>
      <c r="K3354" s="62">
        <v>0</v>
      </c>
      <c r="L3354" t="str">
        <f>VLOOKUP(VALUE(LEFT(C3354,5)),Xref!A:B,2,0)</f>
        <v>SRE</v>
      </c>
      <c r="M3354" t="str">
        <f t="shared" si="211"/>
        <v>PUR-SRE</v>
      </c>
    </row>
    <row r="3355" spans="1:13" ht="14.25" customHeight="true">
      <c r="A3355" s="33" t="str">
        <f t="shared" si="208"/>
        <v>PUR - Intercompany</v>
      </c>
      <c r="B3355" s="33" t="str">
        <f t="shared" si="209"/>
        <v>PUR</v>
      </c>
      <c r="C3355" s="33" t="str">
        <f t="shared" si="210"/>
        <v>11210-0000</v>
      </c>
      <c r="D3355" t="s">
        <v>26012</v>
      </c>
      <c r="E3355" t="s">
        <v>14081</v>
      </c>
      <c r="F3355" t="s">
        <v>14039</v>
      </c>
      <c r="G3355" t="s">
        <v>14672</v>
      </c>
      <c r="H3355" t="s">
        <v>13869</v>
      </c>
      <c r="I3355" t="s">
        <v>14690</v>
      </c>
      <c r="J3355" s="62">
        <v>0</v>
      </c>
      <c r="K3355" s="62">
        <v>0</v>
      </c>
      <c r="L3355" t="str">
        <f>VLOOKUP(VALUE(LEFT(C3355,5)),Xref!A:B,2,0)</f>
        <v>REM</v>
      </c>
      <c r="M3355" t="str">
        <f t="shared" si="211"/>
        <v>PUR-REM</v>
      </c>
    </row>
    <row r="3356" spans="1:13" ht="14.25" customHeight="true">
      <c r="A3356" s="33" t="str">
        <f t="shared" si="208"/>
        <v>PUR - Intercompany</v>
      </c>
      <c r="B3356" s="33" t="str">
        <f t="shared" si="209"/>
        <v>PUR</v>
      </c>
      <c r="C3356" s="33" t="str">
        <f t="shared" si="210"/>
        <v>11212-0000</v>
      </c>
      <c r="D3356" t="s">
        <v>26013</v>
      </c>
      <c r="E3356" t="s">
        <v>14083</v>
      </c>
      <c r="F3356" t="s">
        <v>14039</v>
      </c>
      <c r="G3356" t="s">
        <v>14672</v>
      </c>
      <c r="H3356" t="s">
        <v>13869</v>
      </c>
      <c r="I3356" t="s">
        <v>14690</v>
      </c>
      <c r="J3356" s="62">
        <v>0</v>
      </c>
      <c r="K3356" s="62">
        <v>0</v>
      </c>
      <c r="L3356" t="str">
        <f>VLOOKUP(VALUE(LEFT(C3356,5)),Xref!A:B,2,0)</f>
        <v>FRM</v>
      </c>
      <c r="M3356" t="str">
        <f t="shared" si="211"/>
        <v>FRM-PUR</v>
      </c>
    </row>
    <row r="3357" spans="1:13" ht="14.25" customHeight="true">
      <c r="A3357" s="33" t="str">
        <f t="shared" si="208"/>
        <v>PUR - Intercompany</v>
      </c>
      <c r="B3357" s="33" t="str">
        <f t="shared" si="209"/>
        <v>PUR</v>
      </c>
      <c r="C3357" s="33" t="str">
        <f t="shared" si="210"/>
        <v>11214-0000</v>
      </c>
      <c r="D3357" t="s">
        <v>26014</v>
      </c>
      <c r="E3357" t="s">
        <v>14085</v>
      </c>
      <c r="F3357" t="s">
        <v>14039</v>
      </c>
      <c r="G3357" t="s">
        <v>14672</v>
      </c>
      <c r="H3357" t="s">
        <v>13869</v>
      </c>
      <c r="I3357" t="s">
        <v>14690</v>
      </c>
      <c r="J3357" s="62">
        <v>0</v>
      </c>
      <c r="K3357" s="62">
        <v>0</v>
      </c>
      <c r="L3357" t="str">
        <f>VLOOKUP(VALUE(LEFT(C3357,5)),Xref!A:B,2,0)</f>
        <v>D7R</v>
      </c>
      <c r="M3357" t="str">
        <f t="shared" si="211"/>
        <v>D7R-PUR</v>
      </c>
    </row>
    <row r="3358" spans="1:13" ht="14.25" customHeight="true">
      <c r="A3358" s="33" t="str">
        <f t="shared" si="208"/>
        <v>PUR - Intercompany</v>
      </c>
      <c r="B3358" s="33" t="str">
        <f t="shared" si="209"/>
        <v>PUR</v>
      </c>
      <c r="C3358" s="33" t="str">
        <f t="shared" si="210"/>
        <v>11215-0000</v>
      </c>
      <c r="D3358" t="s">
        <v>26015</v>
      </c>
      <c r="E3358" t="s">
        <v>14087</v>
      </c>
      <c r="F3358" t="s">
        <v>14039</v>
      </c>
      <c r="G3358" t="s">
        <v>14672</v>
      </c>
      <c r="H3358" t="s">
        <v>13869</v>
      </c>
      <c r="I3358" t="s">
        <v>14690</v>
      </c>
      <c r="J3358" s="62">
        <v>0</v>
      </c>
      <c r="K3358" s="62">
        <v>0</v>
      </c>
      <c r="L3358" t="str">
        <f>VLOOKUP(VALUE(LEFT(C3358,5)),Xref!A:B,2,0)</f>
        <v>CDP</v>
      </c>
      <c r="M3358" t="str">
        <f t="shared" si="211"/>
        <v>CDP-PUR</v>
      </c>
    </row>
    <row r="3359" spans="1:13" ht="14.25" customHeight="true">
      <c r="A3359" s="33" t="str">
        <f t="shared" si="208"/>
        <v>PUR - Intercompany</v>
      </c>
      <c r="B3359" s="33" t="str">
        <f t="shared" si="209"/>
        <v>PUR</v>
      </c>
      <c r="C3359" s="33" t="str">
        <f t="shared" si="210"/>
        <v>11216-0000</v>
      </c>
      <c r="D3359" t="s">
        <v>1909</v>
      </c>
      <c r="E3359" t="s">
        <v>13224</v>
      </c>
      <c r="F3359" t="s">
        <v>14039</v>
      </c>
      <c r="G3359" t="s">
        <v>14672</v>
      </c>
      <c r="H3359" t="s">
        <v>13869</v>
      </c>
      <c r="I3359" t="s">
        <v>14690</v>
      </c>
      <c r="J3359" s="62">
        <v>-3920.78</v>
      </c>
      <c r="K3359" s="62">
        <v>-21025.01</v>
      </c>
      <c r="L3359" t="str">
        <f>VLOOKUP(VALUE(LEFT(C3359,5)),Xref!A:B,2,0)</f>
        <v>SIL</v>
      </c>
      <c r="M3359" t="str">
        <f t="shared" si="211"/>
        <v>PUR-SIL</v>
      </c>
    </row>
    <row r="3360" spans="1:13" ht="14.25" customHeight="true">
      <c r="A3360" s="33" t="str">
        <f t="shared" si="208"/>
        <v>PUR - Intercompany</v>
      </c>
      <c r="B3360" s="33" t="str">
        <f t="shared" si="209"/>
        <v>PUR</v>
      </c>
      <c r="C3360" s="33" t="str">
        <f t="shared" si="210"/>
        <v>11232-0000</v>
      </c>
      <c r="D3360" t="s">
        <v>26016</v>
      </c>
      <c r="E3360" t="s">
        <v>12486</v>
      </c>
      <c r="F3360" t="s">
        <v>14039</v>
      </c>
      <c r="G3360" t="s">
        <v>14672</v>
      </c>
      <c r="H3360" t="s">
        <v>13869</v>
      </c>
      <c r="I3360" t="s">
        <v>14690</v>
      </c>
      <c r="J3360" s="62">
        <v>0</v>
      </c>
      <c r="K3360" s="62">
        <v>0</v>
      </c>
      <c r="L3360" t="str">
        <f>VLOOKUP(VALUE(LEFT(C3360,5)),Xref!A:B,2,0)</f>
        <v>SC2</v>
      </c>
      <c r="M3360" t="str">
        <f t="shared" si="211"/>
        <v>PUR-SC2</v>
      </c>
    </row>
    <row r="3361" spans="1:13" ht="14.25" customHeight="true">
      <c r="A3361" s="33" t="str">
        <f t="shared" si="208"/>
        <v>PUR - Intercompany</v>
      </c>
      <c r="B3361" s="33" t="str">
        <f t="shared" si="209"/>
        <v>PUR</v>
      </c>
      <c r="C3361" s="33" t="str">
        <f t="shared" si="210"/>
        <v>11301-0000</v>
      </c>
      <c r="D3361" t="s">
        <v>26017</v>
      </c>
      <c r="E3361" t="s">
        <v>13225</v>
      </c>
      <c r="F3361" t="s">
        <v>14039</v>
      </c>
      <c r="G3361" t="s">
        <v>14672</v>
      </c>
      <c r="H3361" t="s">
        <v>13869</v>
      </c>
      <c r="I3361" t="s">
        <v>14690</v>
      </c>
      <c r="J3361" s="62">
        <v>0</v>
      </c>
      <c r="K3361" s="62">
        <v>0</v>
      </c>
      <c r="L3361" t="str">
        <f>VLOOKUP(VALUE(LEFT(C3361,5)),Xref!A:B,2,0)</f>
        <v>CRE</v>
      </c>
      <c r="M3361" t="str">
        <f t="shared" si="211"/>
        <v>CRE-PUR</v>
      </c>
    </row>
    <row r="3362" spans="1:13" ht="14.25" customHeight="true">
      <c r="A3362" s="33" t="str">
        <f t="shared" si="208"/>
        <v>PUR - Intercompany</v>
      </c>
      <c r="B3362" s="33" t="str">
        <f t="shared" si="209"/>
        <v>PUR</v>
      </c>
      <c r="C3362" s="33" t="str">
        <f t="shared" si="210"/>
        <v>11302-0000</v>
      </c>
      <c r="D3362" t="s">
        <v>26018</v>
      </c>
      <c r="E3362" t="s">
        <v>13226</v>
      </c>
      <c r="F3362" t="s">
        <v>14039</v>
      </c>
      <c r="G3362" t="s">
        <v>14672</v>
      </c>
      <c r="H3362" t="s">
        <v>13869</v>
      </c>
      <c r="I3362" t="s">
        <v>14690</v>
      </c>
      <c r="J3362" s="62">
        <v>0</v>
      </c>
      <c r="K3362" s="62">
        <v>0</v>
      </c>
      <c r="L3362" t="str">
        <f>VLOOKUP(VALUE(LEFT(C3362,5)),Xref!A:B,2,0)</f>
        <v>CHA</v>
      </c>
      <c r="M3362" t="str">
        <f t="shared" si="211"/>
        <v>CHA-PUR</v>
      </c>
    </row>
    <row r="3363" spans="1:13" ht="14.25" customHeight="true">
      <c r="A3363" s="33" t="str">
        <f t="shared" si="208"/>
        <v>PUR - Intercompany</v>
      </c>
      <c r="B3363" s="33" t="str">
        <f t="shared" si="209"/>
        <v>PUR</v>
      </c>
      <c r="C3363" s="33" t="str">
        <f t="shared" si="210"/>
        <v>11303-0000</v>
      </c>
      <c r="D3363" t="s">
        <v>26019</v>
      </c>
      <c r="E3363" t="s">
        <v>13227</v>
      </c>
      <c r="F3363" t="s">
        <v>14039</v>
      </c>
      <c r="G3363" t="s">
        <v>14672</v>
      </c>
      <c r="H3363" t="s">
        <v>13869</v>
      </c>
      <c r="I3363" t="s">
        <v>14690</v>
      </c>
      <c r="J3363" s="62">
        <v>0</v>
      </c>
      <c r="K3363" s="62">
        <v>0</v>
      </c>
      <c r="L3363" t="str">
        <f>VLOOKUP(VALUE(LEFT(C3363,5)),Xref!A:B,2,0)</f>
        <v>DIA</v>
      </c>
      <c r="M3363" t="str">
        <f t="shared" si="211"/>
        <v>DIA-PUR</v>
      </c>
    </row>
    <row r="3364" spans="1:13" ht="14.25" customHeight="true">
      <c r="A3364" s="33" t="str">
        <f t="shared" si="208"/>
        <v>PUR - Intercompany</v>
      </c>
      <c r="B3364" s="33" t="str">
        <f t="shared" si="209"/>
        <v>PUR</v>
      </c>
      <c r="C3364" s="33" t="str">
        <f t="shared" si="210"/>
        <v>11304-0000</v>
      </c>
      <c r="D3364" t="s">
        <v>26020</v>
      </c>
      <c r="E3364" t="s">
        <v>13228</v>
      </c>
      <c r="F3364" t="s">
        <v>14039</v>
      </c>
      <c r="G3364" t="s">
        <v>14672</v>
      </c>
      <c r="H3364" t="s">
        <v>13869</v>
      </c>
      <c r="I3364" t="s">
        <v>14690</v>
      </c>
      <c r="J3364" s="62">
        <v>0</v>
      </c>
      <c r="K3364" s="62">
        <v>0</v>
      </c>
      <c r="L3364" t="str">
        <f>VLOOKUP(VALUE(LEFT(C3364,5)),Xref!A:B,2,0)</f>
        <v>EAG</v>
      </c>
      <c r="M3364" t="str">
        <f t="shared" si="211"/>
        <v>EAG-PUR</v>
      </c>
    </row>
    <row r="3365" spans="1:13" ht="14.25" customHeight="true">
      <c r="A3365" s="33" t="str">
        <f t="shared" si="208"/>
        <v>PUR - Intercompany</v>
      </c>
      <c r="B3365" s="33" t="str">
        <f t="shared" si="209"/>
        <v>PUR</v>
      </c>
      <c r="C3365" s="33" t="str">
        <f t="shared" si="210"/>
        <v>11305-0000</v>
      </c>
      <c r="D3365" t="s">
        <v>1910</v>
      </c>
      <c r="E3365" t="s">
        <v>13229</v>
      </c>
      <c r="F3365" t="s">
        <v>14039</v>
      </c>
      <c r="G3365" t="s">
        <v>14672</v>
      </c>
      <c r="H3365" t="s">
        <v>13869</v>
      </c>
      <c r="I3365" t="s">
        <v>14690</v>
      </c>
      <c r="J3365" s="62">
        <v>0</v>
      </c>
      <c r="K3365" s="62">
        <v>30000</v>
      </c>
      <c r="L3365" t="str">
        <f>VLOOKUP(VALUE(LEFT(C3365,5)),Xref!A:B,2,0)</f>
        <v>NEW</v>
      </c>
      <c r="M3365" t="str">
        <f t="shared" si="211"/>
        <v>NEW-PUR</v>
      </c>
    </row>
    <row r="3366" spans="1:13" ht="14.25" customHeight="true">
      <c r="A3366" s="33" t="str">
        <f t="shared" si="208"/>
        <v>PUR - Intercompany</v>
      </c>
      <c r="B3366" s="33" t="str">
        <f t="shared" si="209"/>
        <v>PUR</v>
      </c>
      <c r="C3366" s="33" t="str">
        <f t="shared" si="210"/>
        <v>11307-0000</v>
      </c>
      <c r="D3366" t="s">
        <v>26021</v>
      </c>
      <c r="E3366" t="s">
        <v>14096</v>
      </c>
      <c r="F3366" t="s">
        <v>14039</v>
      </c>
      <c r="G3366" t="s">
        <v>14672</v>
      </c>
      <c r="H3366" t="s">
        <v>13869</v>
      </c>
      <c r="I3366" t="s">
        <v>14690</v>
      </c>
      <c r="J3366" s="62">
        <v>0</v>
      </c>
      <c r="K3366" s="62">
        <v>0</v>
      </c>
      <c r="L3366" t="str">
        <f>VLOOKUP(VALUE(LEFT(C3366,5)),Xref!A:B,2,0)</f>
        <v>NES</v>
      </c>
      <c r="M3366" t="str">
        <f t="shared" si="211"/>
        <v>NES-PUR</v>
      </c>
    </row>
    <row r="3367" spans="1:13" ht="14.25" customHeight="true">
      <c r="A3367" s="33" t="str">
        <f t="shared" si="208"/>
        <v>PUR - Intercompany</v>
      </c>
      <c r="B3367" s="33" t="str">
        <f t="shared" si="209"/>
        <v>PUR</v>
      </c>
      <c r="C3367" s="33" t="str">
        <f t="shared" si="210"/>
        <v>11308-0000</v>
      </c>
      <c r="D3367" t="s">
        <v>26022</v>
      </c>
      <c r="E3367" t="s">
        <v>13476</v>
      </c>
      <c r="F3367" t="s">
        <v>14039</v>
      </c>
      <c r="G3367" t="s">
        <v>14672</v>
      </c>
      <c r="H3367" t="s">
        <v>13869</v>
      </c>
      <c r="I3367" t="s">
        <v>14690</v>
      </c>
      <c r="J3367" s="62">
        <v>0</v>
      </c>
      <c r="K3367" s="62">
        <v>0</v>
      </c>
      <c r="L3367" t="str">
        <f>VLOOKUP(VALUE(LEFT(C3367,5)),Xref!A:B,2,0)</f>
        <v>LPI</v>
      </c>
      <c r="M3367" t="str">
        <f t="shared" si="211"/>
        <v>LPI-PUR</v>
      </c>
    </row>
    <row r="3368" spans="1:13" ht="14.25" customHeight="true">
      <c r="A3368" s="33" t="str">
        <f t="shared" si="208"/>
        <v>PUR - Intercompany</v>
      </c>
      <c r="B3368" s="33" t="str">
        <f t="shared" si="209"/>
        <v>PUR</v>
      </c>
      <c r="C3368" s="33" t="str">
        <f t="shared" si="210"/>
        <v>11309-0000</v>
      </c>
      <c r="D3368" t="s">
        <v>26023</v>
      </c>
      <c r="E3368" t="s">
        <v>13230</v>
      </c>
      <c r="F3368" t="s">
        <v>14039</v>
      </c>
      <c r="G3368" t="s">
        <v>14672</v>
      </c>
      <c r="H3368" t="s">
        <v>13869</v>
      </c>
      <c r="I3368" t="s">
        <v>14690</v>
      </c>
      <c r="J3368" s="62">
        <v>0</v>
      </c>
      <c r="K3368" s="62">
        <v>0</v>
      </c>
      <c r="L3368" t="str">
        <f>VLOOKUP(VALUE(LEFT(C3368,5)),Xref!A:B,2,0)</f>
        <v>GPI</v>
      </c>
      <c r="M3368" t="str">
        <f t="shared" si="211"/>
        <v>GPI-PUR</v>
      </c>
    </row>
    <row r="3369" spans="1:13" ht="14.25" customHeight="true">
      <c r="A3369" s="33" t="str">
        <f t="shared" si="208"/>
        <v>PUR - Intercompany</v>
      </c>
      <c r="B3369" s="33" t="str">
        <f t="shared" si="209"/>
        <v>PUR</v>
      </c>
      <c r="C3369" s="33" t="str">
        <f t="shared" si="210"/>
        <v>11310-0000</v>
      </c>
      <c r="D3369" t="s">
        <v>26024</v>
      </c>
      <c r="E3369" t="s">
        <v>13231</v>
      </c>
      <c r="F3369" t="s">
        <v>14039</v>
      </c>
      <c r="G3369" t="s">
        <v>14672</v>
      </c>
      <c r="H3369" t="s">
        <v>13869</v>
      </c>
      <c r="I3369" t="s">
        <v>14690</v>
      </c>
      <c r="J3369" s="62">
        <v>0</v>
      </c>
      <c r="K3369" s="62">
        <v>0</v>
      </c>
      <c r="L3369" t="str">
        <f>VLOOKUP(VALUE(LEFT(C3369,5)),Xref!A:B,2,0)</f>
        <v>ALP</v>
      </c>
      <c r="M3369" t="str">
        <f t="shared" si="211"/>
        <v>ALP-PUR</v>
      </c>
    </row>
    <row r="3370" spans="1:13" ht="14.25" customHeight="true">
      <c r="A3370" s="33" t="str">
        <f t="shared" si="208"/>
        <v>PUR - Intercompany</v>
      </c>
      <c r="B3370" s="33" t="str">
        <f t="shared" si="209"/>
        <v>PUR</v>
      </c>
      <c r="C3370" s="33" t="str">
        <f t="shared" si="210"/>
        <v>11311-0000</v>
      </c>
      <c r="D3370" t="s">
        <v>26025</v>
      </c>
      <c r="E3370" t="s">
        <v>13232</v>
      </c>
      <c r="F3370" t="s">
        <v>14039</v>
      </c>
      <c r="G3370" t="s">
        <v>14672</v>
      </c>
      <c r="H3370" t="s">
        <v>13869</v>
      </c>
      <c r="I3370" t="s">
        <v>14690</v>
      </c>
      <c r="J3370" s="62">
        <v>0</v>
      </c>
      <c r="K3370" s="62">
        <v>0</v>
      </c>
      <c r="L3370" t="str">
        <f>VLOOKUP(VALUE(LEFT(C3370,5)),Xref!A:B,2,0)</f>
        <v>BET</v>
      </c>
      <c r="M3370" t="str">
        <f t="shared" si="211"/>
        <v>BET-PUR</v>
      </c>
    </row>
    <row r="3371" spans="1:13" ht="14.25" customHeight="true">
      <c r="A3371" s="33" t="str">
        <f t="shared" si="208"/>
        <v>PUR - Intercompany</v>
      </c>
      <c r="B3371" s="33" t="str">
        <f t="shared" si="209"/>
        <v>PUR</v>
      </c>
      <c r="C3371" s="33" t="str">
        <f t="shared" si="210"/>
        <v>11312-0000</v>
      </c>
      <c r="D3371" t="s">
        <v>26026</v>
      </c>
      <c r="E3371" t="s">
        <v>14102</v>
      </c>
      <c r="F3371" t="s">
        <v>14039</v>
      </c>
      <c r="G3371" t="s">
        <v>14672</v>
      </c>
      <c r="H3371" t="s">
        <v>13869</v>
      </c>
      <c r="I3371" t="s">
        <v>14690</v>
      </c>
      <c r="J3371" s="62">
        <v>0</v>
      </c>
      <c r="K3371" s="62">
        <v>0</v>
      </c>
      <c r="L3371" t="str">
        <f>VLOOKUP(VALUE(LEFT(C3371,5)),Xref!A:B,2,0)</f>
        <v>DEL</v>
      </c>
      <c r="M3371" t="str">
        <f t="shared" si="211"/>
        <v>DEL-PUR</v>
      </c>
    </row>
    <row r="3372" spans="1:13" ht="14.25" customHeight="true">
      <c r="A3372" s="33" t="str">
        <f t="shared" si="208"/>
        <v>PUR - Intercompany</v>
      </c>
      <c r="B3372" s="33" t="str">
        <f t="shared" si="209"/>
        <v>PUR</v>
      </c>
      <c r="C3372" s="33" t="str">
        <f t="shared" si="210"/>
        <v>11313-0000</v>
      </c>
      <c r="D3372" t="s">
        <v>1912</v>
      </c>
      <c r="E3372" t="s">
        <v>13233</v>
      </c>
      <c r="F3372" t="s">
        <v>14039</v>
      </c>
      <c r="G3372" t="s">
        <v>14672</v>
      </c>
      <c r="H3372" t="s">
        <v>13869</v>
      </c>
      <c r="I3372" t="s">
        <v>14690</v>
      </c>
      <c r="J3372" s="62">
        <v>0</v>
      </c>
      <c r="K3372" s="62">
        <v>-15000</v>
      </c>
      <c r="L3372" t="str">
        <f>VLOOKUP(VALUE(LEFT(C3372,5)),Xref!A:B,2,0)</f>
        <v>DOL</v>
      </c>
      <c r="M3372" t="str">
        <f t="shared" si="211"/>
        <v>DOL-PUR</v>
      </c>
    </row>
    <row r="3373" spans="1:13" ht="14.25" customHeight="true">
      <c r="A3373" s="33" t="str">
        <f t="shared" si="208"/>
        <v>PUR - Intercompany</v>
      </c>
      <c r="B3373" s="33" t="str">
        <f t="shared" si="209"/>
        <v>PUR</v>
      </c>
      <c r="C3373" s="33" t="str">
        <f t="shared" si="210"/>
        <v>11314-0000</v>
      </c>
      <c r="D3373" t="s">
        <v>26027</v>
      </c>
      <c r="E3373" t="s">
        <v>13351</v>
      </c>
      <c r="F3373" t="s">
        <v>14039</v>
      </c>
      <c r="G3373" t="s">
        <v>14672</v>
      </c>
      <c r="H3373" t="s">
        <v>13869</v>
      </c>
      <c r="I3373" t="s">
        <v>14690</v>
      </c>
      <c r="J3373" s="62">
        <v>0</v>
      </c>
      <c r="K3373" s="62">
        <v>0</v>
      </c>
      <c r="L3373" t="str">
        <f>VLOOKUP(VALUE(LEFT(C3373,5)),Xref!A:B,2,0)</f>
        <v>GRI</v>
      </c>
      <c r="M3373" t="str">
        <f t="shared" si="211"/>
        <v>GRI-PUR</v>
      </c>
    </row>
    <row r="3374" spans="1:13" ht="14.25" customHeight="true">
      <c r="A3374" s="33" t="str">
        <f t="shared" si="208"/>
        <v>PUR - Intercompany</v>
      </c>
      <c r="B3374" s="33" t="str">
        <f t="shared" si="209"/>
        <v>PUR</v>
      </c>
      <c r="C3374" s="33" t="str">
        <f t="shared" si="210"/>
        <v>11315-0000</v>
      </c>
      <c r="D3374" t="s">
        <v>26028</v>
      </c>
      <c r="E3374" t="s">
        <v>13234</v>
      </c>
      <c r="F3374" t="s">
        <v>14039</v>
      </c>
      <c r="G3374" t="s">
        <v>14672</v>
      </c>
      <c r="H3374" t="s">
        <v>13869</v>
      </c>
      <c r="I3374" t="s">
        <v>14690</v>
      </c>
      <c r="J3374" s="62">
        <v>0</v>
      </c>
      <c r="K3374" s="62">
        <v>3000</v>
      </c>
      <c r="L3374" t="str">
        <f>VLOOKUP(VALUE(LEFT(C3374,5)),Xref!A:B,2,0)</f>
        <v>PUR</v>
      </c>
      <c r="M3374" t="str">
        <f t="shared" si="211"/>
        <v>PUR-PUR</v>
      </c>
    </row>
    <row r="3375" spans="1:13" ht="14.25" customHeight="true">
      <c r="A3375" s="33" t="str">
        <f t="shared" si="208"/>
        <v>PUR - Intercompany</v>
      </c>
      <c r="B3375" s="33" t="str">
        <f t="shared" si="209"/>
        <v>PUR</v>
      </c>
      <c r="C3375" s="33" t="str">
        <f t="shared" si="210"/>
        <v>11316-0000</v>
      </c>
      <c r="D3375" t="s">
        <v>26029</v>
      </c>
      <c r="E3375" t="s">
        <v>13235</v>
      </c>
      <c r="F3375" t="s">
        <v>14039</v>
      </c>
      <c r="G3375" t="s">
        <v>14672</v>
      </c>
      <c r="H3375" t="s">
        <v>13869</v>
      </c>
      <c r="I3375" t="s">
        <v>14690</v>
      </c>
      <c r="J3375" s="62">
        <v>0</v>
      </c>
      <c r="K3375" s="62">
        <v>0</v>
      </c>
      <c r="L3375" t="str">
        <f>VLOOKUP(VALUE(LEFT(C3375,5)),Xref!A:B,2,0)</f>
        <v>VAL</v>
      </c>
      <c r="M3375" t="str">
        <f t="shared" si="211"/>
        <v>PUR-VAL</v>
      </c>
    </row>
    <row r="3376" spans="1:13" ht="14.25" customHeight="true">
      <c r="A3376" s="33" t="str">
        <f t="shared" si="208"/>
        <v>PUR - Intercompany</v>
      </c>
      <c r="B3376" s="33" t="str">
        <f t="shared" si="209"/>
        <v>PUR</v>
      </c>
      <c r="C3376" s="33" t="str">
        <f t="shared" si="210"/>
        <v>11317-0000</v>
      </c>
      <c r="D3376" t="s">
        <v>1913</v>
      </c>
      <c r="E3376" t="s">
        <v>13352</v>
      </c>
      <c r="F3376" t="s">
        <v>14039</v>
      </c>
      <c r="G3376" t="s">
        <v>14672</v>
      </c>
      <c r="H3376" t="s">
        <v>13869</v>
      </c>
      <c r="I3376" t="s">
        <v>14690</v>
      </c>
      <c r="J3376" s="62">
        <v>0</v>
      </c>
      <c r="K3376" s="62">
        <v>-20000</v>
      </c>
      <c r="L3376" t="str">
        <f>VLOOKUP(VALUE(LEFT(C3376,5)),Xref!A:B,2,0)</f>
        <v>AKG</v>
      </c>
      <c r="M3376" t="str">
        <f t="shared" si="211"/>
        <v>AKG-PUR</v>
      </c>
    </row>
    <row r="3377" spans="1:13" ht="14.25" customHeight="true">
      <c r="A3377" s="33" t="str">
        <f t="shared" si="208"/>
        <v>PUR - Intercompany</v>
      </c>
      <c r="B3377" s="33" t="str">
        <f t="shared" si="209"/>
        <v>PUR</v>
      </c>
      <c r="C3377" s="33" t="str">
        <f t="shared" si="210"/>
        <v>11318-0000</v>
      </c>
      <c r="D3377" t="s">
        <v>26030</v>
      </c>
      <c r="E3377" t="s">
        <v>13477</v>
      </c>
      <c r="F3377" t="s">
        <v>14039</v>
      </c>
      <c r="G3377" t="s">
        <v>14672</v>
      </c>
      <c r="H3377" t="s">
        <v>13869</v>
      </c>
      <c r="I3377" t="s">
        <v>14690</v>
      </c>
      <c r="J3377" s="62">
        <v>0</v>
      </c>
      <c r="K3377" s="62">
        <v>0</v>
      </c>
      <c r="L3377" t="str">
        <f>VLOOKUP(VALUE(LEFT(C3377,5)),Xref!A:B,2,0)</f>
        <v>FIR</v>
      </c>
      <c r="M3377" t="str">
        <f t="shared" si="211"/>
        <v>FIR-PUR</v>
      </c>
    </row>
    <row r="3378" spans="1:13" ht="14.25" customHeight="true">
      <c r="A3378" s="33" t="str">
        <f t="shared" si="208"/>
        <v>PUR - Intercompany</v>
      </c>
      <c r="B3378" s="33" t="str">
        <f t="shared" si="209"/>
        <v>PUR</v>
      </c>
      <c r="C3378" s="33" t="str">
        <f t="shared" si="210"/>
        <v>11319-0000</v>
      </c>
      <c r="D3378" t="s">
        <v>26031</v>
      </c>
      <c r="E3378" t="s">
        <v>266</v>
      </c>
      <c r="F3378" t="s">
        <v>14039</v>
      </c>
      <c r="G3378" t="s">
        <v>14672</v>
      </c>
      <c r="H3378" t="s">
        <v>13869</v>
      </c>
      <c r="I3378" t="s">
        <v>14690</v>
      </c>
      <c r="J3378" s="62">
        <v>0</v>
      </c>
      <c r="K3378" s="62">
        <v>0</v>
      </c>
      <c r="L3378" t="str">
        <f>VLOOKUP(VALUE(LEFT(C3378,5)),Xref!A:B,2,0)</f>
        <v>GST</v>
      </c>
      <c r="M3378" t="str">
        <f t="shared" si="211"/>
        <v>GST-PUR</v>
      </c>
    </row>
    <row r="3379" spans="1:13" ht="14.25" customHeight="true">
      <c r="A3379" s="33" t="str">
        <f t="shared" si="208"/>
        <v>PUR - Intercompany</v>
      </c>
      <c r="B3379" s="33" t="str">
        <f t="shared" si="209"/>
        <v>PUR</v>
      </c>
      <c r="C3379" s="33" t="str">
        <f t="shared" si="210"/>
        <v>11320-0000</v>
      </c>
      <c r="D3379" t="s">
        <v>1914</v>
      </c>
      <c r="E3379" t="s">
        <v>14111</v>
      </c>
      <c r="F3379" t="s">
        <v>14039</v>
      </c>
      <c r="G3379" t="s">
        <v>14672</v>
      </c>
      <c r="H3379" t="s">
        <v>13869</v>
      </c>
      <c r="I3379" t="s">
        <v>14690</v>
      </c>
      <c r="J3379" s="62">
        <v>0</v>
      </c>
      <c r="K3379" s="62">
        <v>-44000</v>
      </c>
      <c r="L3379" t="str">
        <f>VLOOKUP(VALUE(LEFT(C3379,5)),Xref!A:B,2,0)</f>
        <v>HDN</v>
      </c>
      <c r="M3379" t="str">
        <f t="shared" si="211"/>
        <v>HDN-PUR</v>
      </c>
    </row>
    <row r="3380" spans="1:13" ht="14.25" customHeight="true">
      <c r="A3380" s="33" t="str">
        <f t="shared" si="208"/>
        <v>PUR - Intercompany</v>
      </c>
      <c r="B3380" s="33" t="str">
        <f t="shared" si="209"/>
        <v>PUR</v>
      </c>
      <c r="C3380" s="33" t="str">
        <f t="shared" si="210"/>
        <v>11321-0000</v>
      </c>
      <c r="D3380" t="s">
        <v>26032</v>
      </c>
      <c r="E3380" t="s">
        <v>13236</v>
      </c>
      <c r="F3380" t="s">
        <v>14039</v>
      </c>
      <c r="G3380" t="s">
        <v>14672</v>
      </c>
      <c r="H3380" t="s">
        <v>13869</v>
      </c>
      <c r="I3380" t="s">
        <v>14690</v>
      </c>
      <c r="J3380" s="62">
        <v>0</v>
      </c>
      <c r="K3380" s="62">
        <v>0</v>
      </c>
      <c r="L3380" t="str">
        <f>VLOOKUP(VALUE(LEFT(C3380,5)),Xref!A:B,2,0)</f>
        <v>OVA</v>
      </c>
      <c r="M3380" t="str">
        <f t="shared" si="211"/>
        <v>OVA-PUR</v>
      </c>
    </row>
    <row r="3381" spans="1:13" ht="14.25" customHeight="true">
      <c r="A3381" s="33" t="str">
        <f t="shared" si="208"/>
        <v>PUR - Intercompany</v>
      </c>
      <c r="B3381" s="33" t="str">
        <f t="shared" si="209"/>
        <v>PUR</v>
      </c>
      <c r="C3381" s="33" t="str">
        <f t="shared" si="210"/>
        <v>11322-0000</v>
      </c>
      <c r="D3381" t="s">
        <v>26033</v>
      </c>
      <c r="E3381" t="s">
        <v>13237</v>
      </c>
      <c r="F3381" t="s">
        <v>14039</v>
      </c>
      <c r="G3381" t="s">
        <v>14672</v>
      </c>
      <c r="H3381" t="s">
        <v>13869</v>
      </c>
      <c r="I3381" t="s">
        <v>14690</v>
      </c>
      <c r="J3381" s="62">
        <v>0</v>
      </c>
      <c r="K3381" s="62">
        <v>0</v>
      </c>
      <c r="L3381" t="str">
        <f>VLOOKUP(VALUE(LEFT(C3381,5)),Xref!A:B,2,0)</f>
        <v>WOO</v>
      </c>
      <c r="M3381" t="str">
        <f t="shared" si="211"/>
        <v>PUR-WOO</v>
      </c>
    </row>
    <row r="3382" spans="1:13" ht="14.25" customHeight="true">
      <c r="A3382" s="33" t="str">
        <f t="shared" si="208"/>
        <v>PUR - Intercompany</v>
      </c>
      <c r="B3382" s="33" t="str">
        <f t="shared" si="209"/>
        <v>PUR</v>
      </c>
      <c r="C3382" s="33" t="str">
        <f t="shared" si="210"/>
        <v>11323-0000</v>
      </c>
      <c r="D3382" t="s">
        <v>26034</v>
      </c>
      <c r="E3382" t="s">
        <v>13478</v>
      </c>
      <c r="F3382" t="s">
        <v>14039</v>
      </c>
      <c r="G3382" t="s">
        <v>14672</v>
      </c>
      <c r="H3382" t="s">
        <v>13869</v>
      </c>
      <c r="I3382" t="s">
        <v>14690</v>
      </c>
      <c r="J3382" s="62">
        <v>0</v>
      </c>
      <c r="K3382" s="62">
        <v>0</v>
      </c>
      <c r="L3382" t="str">
        <f>VLOOKUP(VALUE(LEFT(C3382,5)),Xref!A:B,2,0)</f>
        <v>SPI</v>
      </c>
      <c r="M3382" t="str">
        <f t="shared" si="211"/>
        <v>PUR-SPI</v>
      </c>
    </row>
    <row r="3383" spans="1:13" ht="14.25" customHeight="true">
      <c r="A3383" s="33" t="str">
        <f t="shared" si="208"/>
        <v>PUR - Intercompany</v>
      </c>
      <c r="B3383" s="33" t="str">
        <f t="shared" si="209"/>
        <v>PUR</v>
      </c>
      <c r="C3383" s="33" t="str">
        <f t="shared" si="210"/>
        <v>11324-0000</v>
      </c>
      <c r="D3383" t="s">
        <v>26035</v>
      </c>
      <c r="E3383" t="s">
        <v>13238</v>
      </c>
      <c r="F3383" t="s">
        <v>14039</v>
      </c>
      <c r="G3383" t="s">
        <v>14672</v>
      </c>
      <c r="H3383" t="s">
        <v>13869</v>
      </c>
      <c r="I3383" t="s">
        <v>14690</v>
      </c>
      <c r="J3383" s="62">
        <v>0</v>
      </c>
      <c r="K3383" s="62">
        <v>0</v>
      </c>
      <c r="L3383" t="str">
        <f>VLOOKUP(VALUE(LEFT(C3383,5)),Xref!A:B,2,0)</f>
        <v>NET</v>
      </c>
      <c r="M3383" t="str">
        <f t="shared" si="211"/>
        <v>NET-PUR</v>
      </c>
    </row>
    <row r="3384" spans="1:13" ht="14.25" customHeight="true">
      <c r="A3384" s="33" t="str">
        <f t="shared" si="208"/>
        <v>PUR - Intercompany</v>
      </c>
      <c r="B3384" s="33" t="str">
        <f t="shared" si="209"/>
        <v>PUR</v>
      </c>
      <c r="C3384" s="33" t="str">
        <f t="shared" si="210"/>
        <v>11325-0000</v>
      </c>
      <c r="D3384" t="s">
        <v>26036</v>
      </c>
      <c r="E3384" t="s">
        <v>13239</v>
      </c>
      <c r="F3384" t="s">
        <v>14039</v>
      </c>
      <c r="G3384" t="s">
        <v>14672</v>
      </c>
      <c r="H3384" t="s">
        <v>13869</v>
      </c>
      <c r="I3384" t="s">
        <v>14690</v>
      </c>
      <c r="J3384" s="62">
        <v>0</v>
      </c>
      <c r="K3384" s="62">
        <v>0</v>
      </c>
      <c r="L3384" t="str">
        <f>VLOOKUP(VALUE(LEFT(C3384,5)),Xref!A:B,2,0)</f>
        <v>DPI</v>
      </c>
      <c r="M3384" t="str">
        <f t="shared" si="211"/>
        <v>DPI-PUR</v>
      </c>
    </row>
    <row r="3385" spans="1:13" ht="14.25" customHeight="true">
      <c r="A3385" s="33" t="str">
        <f t="shared" si="208"/>
        <v>PUR - Intercompany</v>
      </c>
      <c r="B3385" s="33" t="str">
        <f t="shared" si="209"/>
        <v>PUR</v>
      </c>
      <c r="C3385" s="33" t="str">
        <f t="shared" si="210"/>
        <v>11326-0000</v>
      </c>
      <c r="D3385" t="s">
        <v>26037</v>
      </c>
      <c r="E3385" t="s">
        <v>13240</v>
      </c>
      <c r="F3385" t="s">
        <v>14039</v>
      </c>
      <c r="G3385" t="s">
        <v>14672</v>
      </c>
      <c r="H3385" t="s">
        <v>13869</v>
      </c>
      <c r="I3385" t="s">
        <v>14690</v>
      </c>
      <c r="J3385" s="62">
        <v>0</v>
      </c>
      <c r="K3385" s="62">
        <v>0</v>
      </c>
      <c r="L3385" t="str">
        <f>VLOOKUP(VALUE(LEFT(C3385,5)),Xref!A:B,2,0)</f>
        <v>SEK</v>
      </c>
      <c r="M3385" t="str">
        <f t="shared" si="211"/>
        <v>PUR-SEK</v>
      </c>
    </row>
    <row r="3386" spans="1:13" ht="14.25" customHeight="true">
      <c r="A3386" s="33" t="str">
        <f t="shared" si="208"/>
        <v>PUR - Intercompany</v>
      </c>
      <c r="B3386" s="33" t="str">
        <f t="shared" si="209"/>
        <v>PUR</v>
      </c>
      <c r="C3386" s="33" t="str">
        <f t="shared" si="210"/>
        <v>11327-0000</v>
      </c>
      <c r="D3386" t="s">
        <v>26038</v>
      </c>
      <c r="E3386" t="s">
        <v>14119</v>
      </c>
      <c r="F3386" t="s">
        <v>14039</v>
      </c>
      <c r="G3386" t="s">
        <v>14672</v>
      </c>
      <c r="H3386" t="s">
        <v>13869</v>
      </c>
      <c r="I3386" t="s">
        <v>14690</v>
      </c>
      <c r="J3386" s="62">
        <v>0</v>
      </c>
      <c r="K3386" s="62">
        <v>0</v>
      </c>
      <c r="L3386" t="str">
        <f>VLOOKUP(VALUE(LEFT(C3386,5)),Xref!A:B,2,0)</f>
        <v>CPI</v>
      </c>
      <c r="M3386" t="str">
        <f t="shared" si="211"/>
        <v>CPI-PUR</v>
      </c>
    </row>
    <row r="3387" spans="1:13" ht="14.25" customHeight="true">
      <c r="A3387" s="33" t="str">
        <f t="shared" si="208"/>
        <v>PUR - Intercompany</v>
      </c>
      <c r="B3387" s="33" t="str">
        <f t="shared" si="209"/>
        <v>PUR</v>
      </c>
      <c r="C3387" s="33" t="str">
        <f t="shared" si="210"/>
        <v>11328-0000</v>
      </c>
      <c r="D3387" t="s">
        <v>26039</v>
      </c>
      <c r="E3387" t="s">
        <v>13241</v>
      </c>
      <c r="F3387" t="s">
        <v>14039</v>
      </c>
      <c r="G3387" t="s">
        <v>14672</v>
      </c>
      <c r="H3387" t="s">
        <v>13869</v>
      </c>
      <c r="I3387" t="s">
        <v>14690</v>
      </c>
      <c r="J3387" s="62">
        <v>0</v>
      </c>
      <c r="K3387" s="62">
        <v>0</v>
      </c>
      <c r="L3387" t="str">
        <f>VLOOKUP(VALUE(LEFT(C3387,5)),Xref!A:B,2,0)</f>
        <v>LOM</v>
      </c>
      <c r="M3387" t="str">
        <f t="shared" si="211"/>
        <v>LOM-PUR</v>
      </c>
    </row>
    <row r="3388" spans="1:13" ht="14.25" customHeight="true">
      <c r="A3388" s="33" t="str">
        <f t="shared" si="208"/>
        <v>PUR - Intercompany</v>
      </c>
      <c r="B3388" s="33" t="str">
        <f t="shared" si="209"/>
        <v>PUR</v>
      </c>
      <c r="C3388" s="33" t="str">
        <f t="shared" si="210"/>
        <v>11329-0000</v>
      </c>
      <c r="D3388" t="s">
        <v>26040</v>
      </c>
      <c r="E3388" t="s">
        <v>13353</v>
      </c>
      <c r="F3388" t="s">
        <v>14039</v>
      </c>
      <c r="G3388" t="s">
        <v>14672</v>
      </c>
      <c r="H3388" t="s">
        <v>13869</v>
      </c>
      <c r="I3388" t="s">
        <v>14690</v>
      </c>
      <c r="J3388" s="62">
        <v>0</v>
      </c>
      <c r="K3388" s="62">
        <v>0</v>
      </c>
      <c r="L3388" t="str">
        <f>VLOOKUP(VALUE(LEFT(C3388,5)),Xref!A:B,2,0)</f>
        <v>AKS</v>
      </c>
      <c r="M3388" t="str">
        <f t="shared" si="211"/>
        <v>AKS-PUR</v>
      </c>
    </row>
    <row r="3389" spans="1:13" ht="14.25" customHeight="true">
      <c r="A3389" s="33" t="str">
        <f t="shared" si="208"/>
        <v>PUR - Intercompany</v>
      </c>
      <c r="B3389" s="33" t="str">
        <f t="shared" si="209"/>
        <v>PUR</v>
      </c>
      <c r="C3389" s="33" t="str">
        <f t="shared" si="210"/>
        <v>11330-0000</v>
      </c>
      <c r="D3389" t="s">
        <v>26041</v>
      </c>
      <c r="E3389" t="s">
        <v>13242</v>
      </c>
      <c r="F3389" t="s">
        <v>14039</v>
      </c>
      <c r="G3389" t="s">
        <v>14672</v>
      </c>
      <c r="H3389" t="s">
        <v>13869</v>
      </c>
      <c r="I3389" t="s">
        <v>14690</v>
      </c>
      <c r="J3389" s="62">
        <v>0</v>
      </c>
      <c r="K3389" s="62">
        <v>0</v>
      </c>
      <c r="L3389" t="str">
        <f>VLOOKUP(VALUE(LEFT(C3389,5)),Xref!A:B,2,0)</f>
        <v>MAR</v>
      </c>
      <c r="M3389" t="str">
        <f t="shared" si="211"/>
        <v>MAR-PUR</v>
      </c>
    </row>
    <row r="3390" spans="1:13" ht="14.25" customHeight="true">
      <c r="A3390" s="33" t="str">
        <f t="shared" si="208"/>
        <v>PUR - Intercompany</v>
      </c>
      <c r="B3390" s="33" t="str">
        <f t="shared" si="209"/>
        <v>PUR</v>
      </c>
      <c r="C3390" s="33" t="str">
        <f t="shared" si="210"/>
        <v>11331-0000</v>
      </c>
      <c r="D3390" t="s">
        <v>26042</v>
      </c>
      <c r="E3390" t="s">
        <v>13354</v>
      </c>
      <c r="F3390" t="s">
        <v>14039</v>
      </c>
      <c r="G3390" t="s">
        <v>14672</v>
      </c>
      <c r="H3390" t="s">
        <v>13869</v>
      </c>
      <c r="I3390" t="s">
        <v>14690</v>
      </c>
      <c r="J3390" s="62">
        <v>0</v>
      </c>
      <c r="K3390" s="62">
        <v>0</v>
      </c>
      <c r="L3390" t="str">
        <f>VLOOKUP(VALUE(LEFT(C3390,5)),Xref!A:B,2,0)</f>
        <v>WIL</v>
      </c>
      <c r="M3390" t="str">
        <f t="shared" si="211"/>
        <v>PUR-WIL</v>
      </c>
    </row>
    <row r="3391" spans="1:13" ht="14.25" customHeight="true">
      <c r="A3391" s="33" t="str">
        <f t="shared" si="208"/>
        <v>PUR - Intercompany</v>
      </c>
      <c r="B3391" s="33" t="str">
        <f t="shared" si="209"/>
        <v>PUR</v>
      </c>
      <c r="C3391" s="33" t="str">
        <f t="shared" si="210"/>
        <v>11332-0000</v>
      </c>
      <c r="D3391" t="s">
        <v>1916</v>
      </c>
      <c r="E3391" t="s">
        <v>13243</v>
      </c>
      <c r="F3391" t="s">
        <v>14039</v>
      </c>
      <c r="G3391" t="s">
        <v>14672</v>
      </c>
      <c r="H3391" t="s">
        <v>13869</v>
      </c>
      <c r="I3391" t="s">
        <v>14690</v>
      </c>
      <c r="J3391" s="62">
        <v>0</v>
      </c>
      <c r="K3391" s="62">
        <v>-20000</v>
      </c>
      <c r="L3391" t="str">
        <f>VLOOKUP(VALUE(LEFT(C3391,5)),Xref!A:B,2,0)</f>
        <v>STO</v>
      </c>
      <c r="M3391" t="str">
        <f t="shared" si="211"/>
        <v>PUR-STO</v>
      </c>
    </row>
    <row r="3392" spans="1:13" ht="14.25" customHeight="true">
      <c r="A3392" s="33" t="str">
        <f t="shared" si="208"/>
        <v>PUR - Intercompany</v>
      </c>
      <c r="B3392" s="33" t="str">
        <f t="shared" si="209"/>
        <v>PUR</v>
      </c>
      <c r="C3392" s="33" t="str">
        <f t="shared" si="210"/>
        <v>11333-0000</v>
      </c>
      <c r="D3392" t="s">
        <v>26043</v>
      </c>
      <c r="E3392" t="s">
        <v>13244</v>
      </c>
      <c r="F3392" t="s">
        <v>14039</v>
      </c>
      <c r="G3392" t="s">
        <v>14672</v>
      </c>
      <c r="H3392" t="s">
        <v>13869</v>
      </c>
      <c r="I3392" t="s">
        <v>14690</v>
      </c>
      <c r="J3392" s="62">
        <v>0</v>
      </c>
      <c r="K3392" s="62">
        <v>0</v>
      </c>
      <c r="L3392" t="str">
        <f>VLOOKUP(VALUE(LEFT(C3392,5)),Xref!A:B,2,0)</f>
        <v>ANG</v>
      </c>
      <c r="M3392" t="str">
        <f t="shared" si="211"/>
        <v>ANG-PUR</v>
      </c>
    </row>
    <row r="3393" spans="1:13" ht="14.25" customHeight="true">
      <c r="A3393" s="33" t="str">
        <f t="shared" si="208"/>
        <v>PUR - Intercompany</v>
      </c>
      <c r="B3393" s="33" t="str">
        <f t="shared" si="209"/>
        <v>PUR</v>
      </c>
      <c r="C3393" s="33" t="str">
        <f t="shared" si="210"/>
        <v>11334-0000</v>
      </c>
      <c r="D3393" t="s">
        <v>26044</v>
      </c>
      <c r="E3393" t="s">
        <v>13245</v>
      </c>
      <c r="F3393" t="s">
        <v>14039</v>
      </c>
      <c r="G3393" t="s">
        <v>14672</v>
      </c>
      <c r="H3393" t="s">
        <v>13869</v>
      </c>
      <c r="I3393" t="s">
        <v>14690</v>
      </c>
      <c r="J3393" s="62">
        <v>0</v>
      </c>
      <c r="K3393" s="62">
        <v>0</v>
      </c>
      <c r="L3393" t="str">
        <f>VLOOKUP(VALUE(LEFT(C3393,5)),Xref!A:B,2,0)</f>
        <v>BRU</v>
      </c>
      <c r="M3393" t="str">
        <f t="shared" si="211"/>
        <v>BRU-PUR</v>
      </c>
    </row>
    <row r="3394" spans="1:13" ht="14.25" customHeight="true">
      <c r="A3394" s="33" t="str">
        <f t="shared" ref="A3394:A3457" si="212">B3394&amp;" - "&amp;TRIM(H3394)</f>
        <v>PUR - Intercompany</v>
      </c>
      <c r="B3394" s="33" t="str">
        <f t="shared" ref="B3394:B3457" si="213">LEFT(D3394,3)</f>
        <v>PUR</v>
      </c>
      <c r="C3394" s="33" t="str">
        <f t="shared" ref="C3394:C3457" si="214">RIGHT(D3394,10)</f>
        <v>11335-0000</v>
      </c>
      <c r="D3394" t="s">
        <v>26045</v>
      </c>
      <c r="E3394" t="s">
        <v>13246</v>
      </c>
      <c r="F3394" t="s">
        <v>14039</v>
      </c>
      <c r="G3394" t="s">
        <v>14672</v>
      </c>
      <c r="H3394" t="s">
        <v>13869</v>
      </c>
      <c r="I3394" t="s">
        <v>14690</v>
      </c>
      <c r="J3394" s="62">
        <v>0</v>
      </c>
      <c r="K3394" s="62">
        <v>0</v>
      </c>
      <c r="L3394" t="str">
        <f>VLOOKUP(VALUE(LEFT(C3394,5)),Xref!A:B,2,0)</f>
        <v>VEN</v>
      </c>
      <c r="M3394" t="str">
        <f t="shared" ref="M3394:M3457" si="215">IF(B3394&lt;L3394,B3394&amp;"-"&amp;L3394,L3394&amp;"-"&amp;B3394)</f>
        <v>PUR-VEN</v>
      </c>
    </row>
    <row r="3395" spans="1:13" ht="14.25" customHeight="true">
      <c r="A3395" s="33" t="str">
        <f t="shared" si="212"/>
        <v>PUR - Intercompany</v>
      </c>
      <c r="B3395" s="33" t="str">
        <f t="shared" si="213"/>
        <v>PUR</v>
      </c>
      <c r="C3395" s="33" t="str">
        <f t="shared" si="214"/>
        <v>11336-0000</v>
      </c>
      <c r="D3395" t="s">
        <v>26046</v>
      </c>
      <c r="E3395" t="s">
        <v>13247</v>
      </c>
      <c r="F3395" t="s">
        <v>14039</v>
      </c>
      <c r="G3395" t="s">
        <v>14672</v>
      </c>
      <c r="H3395" t="s">
        <v>13869</v>
      </c>
      <c r="I3395" t="s">
        <v>14690</v>
      </c>
      <c r="J3395" s="62">
        <v>0</v>
      </c>
      <c r="K3395" s="62">
        <v>0</v>
      </c>
      <c r="L3395" t="str">
        <f>VLOOKUP(VALUE(LEFT(C3395,5)),Xref!A:B,2,0)</f>
        <v>SAT</v>
      </c>
      <c r="M3395" t="str">
        <f t="shared" si="215"/>
        <v>PUR-SAT</v>
      </c>
    </row>
    <row r="3396" spans="1:13" ht="14.25" customHeight="true">
      <c r="A3396" s="33" t="str">
        <f t="shared" si="212"/>
        <v>PUR - Intercompany</v>
      </c>
      <c r="B3396" s="33" t="str">
        <f t="shared" si="213"/>
        <v>PUR</v>
      </c>
      <c r="C3396" s="33" t="str">
        <f t="shared" si="214"/>
        <v>11337-0000</v>
      </c>
      <c r="D3396" t="s">
        <v>26047</v>
      </c>
      <c r="E3396" t="s">
        <v>13248</v>
      </c>
      <c r="F3396" t="s">
        <v>14039</v>
      </c>
      <c r="G3396" t="s">
        <v>14672</v>
      </c>
      <c r="H3396" t="s">
        <v>13869</v>
      </c>
      <c r="I3396" t="s">
        <v>14690</v>
      </c>
      <c r="J3396" s="62">
        <v>0</v>
      </c>
      <c r="K3396" s="62">
        <v>0</v>
      </c>
      <c r="L3396" t="str">
        <f>VLOOKUP(VALUE(LEFT(C3396,5)),Xref!A:B,2,0)</f>
        <v>NEP</v>
      </c>
      <c r="M3396" t="str">
        <f t="shared" si="215"/>
        <v>NEP-PUR</v>
      </c>
    </row>
    <row r="3397" spans="1:13" ht="14.25" customHeight="true">
      <c r="A3397" s="33" t="str">
        <f t="shared" si="212"/>
        <v>PUR - Intercompany</v>
      </c>
      <c r="B3397" s="33" t="str">
        <f t="shared" si="213"/>
        <v>PUR</v>
      </c>
      <c r="C3397" s="33" t="str">
        <f t="shared" si="214"/>
        <v>11338-0000</v>
      </c>
      <c r="D3397" t="s">
        <v>26048</v>
      </c>
      <c r="E3397" t="s">
        <v>14131</v>
      </c>
      <c r="F3397" t="s">
        <v>14039</v>
      </c>
      <c r="G3397" t="s">
        <v>14672</v>
      </c>
      <c r="H3397" t="s">
        <v>13869</v>
      </c>
      <c r="I3397" t="s">
        <v>14690</v>
      </c>
      <c r="J3397" s="62">
        <v>0</v>
      </c>
      <c r="K3397" s="62">
        <v>0</v>
      </c>
      <c r="L3397" t="str">
        <f>VLOOKUP(VALUE(LEFT(C3397,5)),Xref!A:B,2,0)</f>
        <v>JUP</v>
      </c>
      <c r="M3397" t="str">
        <f t="shared" si="215"/>
        <v>JUP-PUR</v>
      </c>
    </row>
    <row r="3398" spans="1:13" ht="14.25" customHeight="true">
      <c r="A3398" s="33" t="str">
        <f t="shared" si="212"/>
        <v>PUR - Intercompany</v>
      </c>
      <c r="B3398" s="33" t="str">
        <f t="shared" si="213"/>
        <v>PUR</v>
      </c>
      <c r="C3398" s="33" t="str">
        <f t="shared" si="214"/>
        <v>11339-0000</v>
      </c>
      <c r="D3398" t="s">
        <v>26049</v>
      </c>
      <c r="E3398" t="s">
        <v>14133</v>
      </c>
      <c r="F3398" t="s">
        <v>14039</v>
      </c>
      <c r="G3398" t="s">
        <v>14672</v>
      </c>
      <c r="H3398" t="s">
        <v>13869</v>
      </c>
      <c r="I3398" t="s">
        <v>14690</v>
      </c>
      <c r="J3398" s="62">
        <v>0</v>
      </c>
      <c r="K3398" s="62">
        <v>0</v>
      </c>
      <c r="L3398" t="str">
        <f>VLOOKUP(VALUE(LEFT(C3398,5)),Xref!A:B,2,0)</f>
        <v>WES</v>
      </c>
      <c r="M3398" t="str">
        <f t="shared" si="215"/>
        <v>PUR-WES</v>
      </c>
    </row>
    <row r="3399" spans="1:13" ht="14.25" customHeight="true">
      <c r="A3399" s="33" t="str">
        <f t="shared" si="212"/>
        <v>PUR - Intercompany</v>
      </c>
      <c r="B3399" s="33" t="str">
        <f t="shared" si="213"/>
        <v>PUR</v>
      </c>
      <c r="C3399" s="33" t="str">
        <f t="shared" si="214"/>
        <v>11340-0000</v>
      </c>
      <c r="D3399" t="s">
        <v>26050</v>
      </c>
      <c r="E3399" t="s">
        <v>14135</v>
      </c>
      <c r="F3399" t="s">
        <v>14039</v>
      </c>
      <c r="G3399" t="s">
        <v>14672</v>
      </c>
      <c r="H3399" t="s">
        <v>13869</v>
      </c>
      <c r="I3399" t="s">
        <v>14690</v>
      </c>
      <c r="J3399" s="62">
        <v>0</v>
      </c>
      <c r="K3399" s="62">
        <v>0</v>
      </c>
      <c r="L3399" t="str">
        <f>VLOOKUP(VALUE(LEFT(C3399,5)),Xref!A:B,2,0)</f>
        <v>LCP</v>
      </c>
      <c r="M3399" t="str">
        <f t="shared" si="215"/>
        <v>LCP-PUR</v>
      </c>
    </row>
    <row r="3400" spans="1:13" ht="14.25" customHeight="true">
      <c r="A3400" s="33" t="str">
        <f t="shared" si="212"/>
        <v>PUR - Intercompany</v>
      </c>
      <c r="B3400" s="33" t="str">
        <f t="shared" si="213"/>
        <v>PUR</v>
      </c>
      <c r="C3400" s="33" t="str">
        <f t="shared" si="214"/>
        <v>11341-0000</v>
      </c>
      <c r="D3400" t="s">
        <v>26051</v>
      </c>
      <c r="E3400" t="s">
        <v>13639</v>
      </c>
      <c r="F3400" t="s">
        <v>14039</v>
      </c>
      <c r="G3400" t="s">
        <v>14672</v>
      </c>
      <c r="H3400" t="s">
        <v>13869</v>
      </c>
      <c r="I3400" t="s">
        <v>14690</v>
      </c>
      <c r="J3400" s="62">
        <v>0</v>
      </c>
      <c r="K3400" s="62">
        <v>0</v>
      </c>
      <c r="L3400" t="str">
        <f>VLOOKUP(VALUE(LEFT(C3400,5)),Xref!A:B,2,0)</f>
        <v>NOR</v>
      </c>
      <c r="M3400" t="str">
        <f t="shared" si="215"/>
        <v>NOR-PUR</v>
      </c>
    </row>
    <row r="3401" spans="1:13" ht="14.25" customHeight="true">
      <c r="A3401" s="33" t="str">
        <f t="shared" si="212"/>
        <v>PUR - Intercompany</v>
      </c>
      <c r="B3401" s="33" t="str">
        <f t="shared" si="213"/>
        <v>PUR</v>
      </c>
      <c r="C3401" s="33" t="str">
        <f t="shared" si="214"/>
        <v>11342-0000</v>
      </c>
      <c r="D3401" t="s">
        <v>26052</v>
      </c>
      <c r="E3401" t="s">
        <v>13355</v>
      </c>
      <c r="F3401" t="s">
        <v>14039</v>
      </c>
      <c r="G3401" t="s">
        <v>14672</v>
      </c>
      <c r="H3401" t="s">
        <v>13869</v>
      </c>
      <c r="I3401" t="s">
        <v>14690</v>
      </c>
      <c r="J3401" s="62">
        <v>0</v>
      </c>
      <c r="K3401" s="62">
        <v>0</v>
      </c>
      <c r="L3401" t="str">
        <f>VLOOKUP(VALUE(LEFT(C3401,5)),Xref!A:B,2,0)</f>
        <v>EAS</v>
      </c>
      <c r="M3401" t="str">
        <f t="shared" si="215"/>
        <v>EAS-PUR</v>
      </c>
    </row>
    <row r="3402" spans="1:13" ht="14.25" customHeight="true">
      <c r="A3402" s="33" t="str">
        <f t="shared" si="212"/>
        <v>PUR - Intercompany</v>
      </c>
      <c r="B3402" s="33" t="str">
        <f t="shared" si="213"/>
        <v>PUR</v>
      </c>
      <c r="C3402" s="33" t="str">
        <f t="shared" si="214"/>
        <v>11343-0000</v>
      </c>
      <c r="D3402" t="s">
        <v>26053</v>
      </c>
      <c r="E3402" t="s">
        <v>14139</v>
      </c>
      <c r="F3402" t="s">
        <v>14039</v>
      </c>
      <c r="G3402" t="s">
        <v>14672</v>
      </c>
      <c r="H3402" t="s">
        <v>13869</v>
      </c>
      <c r="I3402" t="s">
        <v>14690</v>
      </c>
      <c r="J3402" s="62">
        <v>0</v>
      </c>
      <c r="K3402" s="62">
        <v>-10000</v>
      </c>
      <c r="L3402" t="str">
        <f>VLOOKUP(VALUE(LEFT(C3402,5)),Xref!A:B,2,0)</f>
        <v>GRA</v>
      </c>
      <c r="M3402" t="str">
        <f t="shared" si="215"/>
        <v>GRA-PUR</v>
      </c>
    </row>
    <row r="3403" spans="1:13" ht="14.25" customHeight="true">
      <c r="A3403" s="33" t="str">
        <f t="shared" si="212"/>
        <v>PUR - Intercompany</v>
      </c>
      <c r="B3403" s="33" t="str">
        <f t="shared" si="213"/>
        <v>PUR</v>
      </c>
      <c r="C3403" s="33" t="str">
        <f t="shared" si="214"/>
        <v>11344-0000</v>
      </c>
      <c r="D3403" t="s">
        <v>26054</v>
      </c>
      <c r="E3403" t="s">
        <v>14141</v>
      </c>
      <c r="F3403" t="s">
        <v>14039</v>
      </c>
      <c r="G3403" t="s">
        <v>14672</v>
      </c>
      <c r="H3403" t="s">
        <v>13869</v>
      </c>
      <c r="I3403" t="s">
        <v>14690</v>
      </c>
      <c r="J3403" s="62">
        <v>0</v>
      </c>
      <c r="K3403" s="62">
        <v>0</v>
      </c>
      <c r="L3403" t="str">
        <f>VLOOKUP(VALUE(LEFT(C3403,5)),Xref!A:B,2,0)</f>
        <v>SOU</v>
      </c>
      <c r="M3403" t="str">
        <f t="shared" si="215"/>
        <v>PUR-SOU</v>
      </c>
    </row>
    <row r="3404" spans="1:13" ht="14.25" customHeight="true">
      <c r="A3404" s="33" t="str">
        <f t="shared" si="212"/>
        <v>PUR - Intercompany</v>
      </c>
      <c r="B3404" s="33" t="str">
        <f t="shared" si="213"/>
        <v>PUR</v>
      </c>
      <c r="C3404" s="33" t="str">
        <f t="shared" si="214"/>
        <v>11345-0000</v>
      </c>
      <c r="D3404" t="s">
        <v>26055</v>
      </c>
      <c r="E3404" t="s">
        <v>14143</v>
      </c>
      <c r="F3404" t="s">
        <v>14039</v>
      </c>
      <c r="G3404" t="s">
        <v>14672</v>
      </c>
      <c r="H3404" t="s">
        <v>13869</v>
      </c>
      <c r="I3404" t="s">
        <v>14690</v>
      </c>
      <c r="J3404" s="62">
        <v>0</v>
      </c>
      <c r="K3404" s="62">
        <v>0</v>
      </c>
      <c r="L3404" t="str">
        <f>VLOOKUP(VALUE(LEFT(C3404,5)),Xref!A:B,2,0)</f>
        <v>API</v>
      </c>
      <c r="M3404" t="str">
        <f t="shared" si="215"/>
        <v>API-PUR</v>
      </c>
    </row>
    <row r="3405" spans="1:13" ht="14.25" customHeight="true">
      <c r="A3405" s="33" t="str">
        <f t="shared" si="212"/>
        <v>PUR - Intercompany</v>
      </c>
      <c r="B3405" s="33" t="str">
        <f t="shared" si="213"/>
        <v>PUR</v>
      </c>
      <c r="C3405" s="33" t="str">
        <f t="shared" si="214"/>
        <v>11346-0000</v>
      </c>
      <c r="D3405" t="s">
        <v>26056</v>
      </c>
      <c r="E3405" t="s">
        <v>14145</v>
      </c>
      <c r="F3405" t="s">
        <v>14039</v>
      </c>
      <c r="G3405" t="s">
        <v>14672</v>
      </c>
      <c r="H3405" t="s">
        <v>13869</v>
      </c>
      <c r="I3405" t="s">
        <v>14690</v>
      </c>
      <c r="J3405" s="62">
        <v>0</v>
      </c>
      <c r="K3405" s="62">
        <v>0</v>
      </c>
      <c r="L3405" t="str">
        <f>VLOOKUP(VALUE(LEFT(C3405,5)),Xref!A:B,2,0)</f>
        <v>DPH</v>
      </c>
      <c r="M3405" t="str">
        <f t="shared" si="215"/>
        <v>DPH-PUR</v>
      </c>
    </row>
    <row r="3406" spans="1:13" ht="14.25" customHeight="true">
      <c r="A3406" s="33" t="str">
        <f t="shared" si="212"/>
        <v>PUR - Intercompany</v>
      </c>
      <c r="B3406" s="33" t="str">
        <f t="shared" si="213"/>
        <v>PUR</v>
      </c>
      <c r="C3406" s="33" t="str">
        <f t="shared" si="214"/>
        <v>11347-0000</v>
      </c>
      <c r="D3406" t="s">
        <v>26057</v>
      </c>
      <c r="E3406" t="s">
        <v>14147</v>
      </c>
      <c r="F3406" t="s">
        <v>14039</v>
      </c>
      <c r="G3406" t="s">
        <v>14672</v>
      </c>
      <c r="H3406" t="s">
        <v>13869</v>
      </c>
      <c r="I3406" t="s">
        <v>14690</v>
      </c>
      <c r="J3406" s="62">
        <v>0</v>
      </c>
      <c r="K3406" s="62">
        <v>0</v>
      </c>
      <c r="L3406" t="str">
        <f>VLOOKUP(VALUE(LEFT(C3406,5)),Xref!A:B,2,0)</f>
        <v>ZPI</v>
      </c>
      <c r="M3406" t="str">
        <f t="shared" si="215"/>
        <v>PUR-ZPI</v>
      </c>
    </row>
    <row r="3407" spans="1:13" ht="14.25" customHeight="true">
      <c r="A3407" s="33" t="str">
        <f t="shared" si="212"/>
        <v>PUR - Intercompany</v>
      </c>
      <c r="B3407" s="33" t="str">
        <f t="shared" si="213"/>
        <v>PUR</v>
      </c>
      <c r="C3407" s="33" t="str">
        <f t="shared" si="214"/>
        <v>11348-0000</v>
      </c>
      <c r="D3407" t="s">
        <v>26058</v>
      </c>
      <c r="E3407" t="s">
        <v>14149</v>
      </c>
      <c r="F3407" t="s">
        <v>14039</v>
      </c>
      <c r="G3407" t="s">
        <v>14672</v>
      </c>
      <c r="H3407" t="s">
        <v>13869</v>
      </c>
      <c r="I3407" t="s">
        <v>14690</v>
      </c>
      <c r="J3407" s="62">
        <v>0</v>
      </c>
      <c r="K3407" s="62">
        <v>0</v>
      </c>
      <c r="L3407" t="str">
        <f>VLOOKUP(VALUE(LEFT(C3407,5)),Xref!A:B,2,0)</f>
        <v>EAM</v>
      </c>
      <c r="M3407" t="str">
        <f t="shared" si="215"/>
        <v>EAM-PUR</v>
      </c>
    </row>
    <row r="3408" spans="1:13" ht="14.25" customHeight="true">
      <c r="A3408" s="33" t="str">
        <f t="shared" si="212"/>
        <v>PUR - Intercompany</v>
      </c>
      <c r="B3408" s="33" t="str">
        <f t="shared" si="213"/>
        <v>PUR</v>
      </c>
      <c r="C3408" s="33" t="str">
        <f t="shared" si="214"/>
        <v>11349-0000</v>
      </c>
      <c r="D3408" t="s">
        <v>26059</v>
      </c>
      <c r="E3408" t="s">
        <v>14151</v>
      </c>
      <c r="F3408" t="s">
        <v>14039</v>
      </c>
      <c r="G3408" t="s">
        <v>14672</v>
      </c>
      <c r="H3408" t="s">
        <v>13869</v>
      </c>
      <c r="I3408" t="s">
        <v>14690</v>
      </c>
      <c r="J3408" s="62">
        <v>0</v>
      </c>
      <c r="K3408" s="62">
        <v>0</v>
      </c>
      <c r="L3408" t="str">
        <f>VLOOKUP(VALUE(LEFT(C3408,5)),Xref!A:B,2,0)</f>
        <v>SEA</v>
      </c>
      <c r="M3408" t="str">
        <f t="shared" si="215"/>
        <v>PUR-SEA</v>
      </c>
    </row>
    <row r="3409" spans="1:13" ht="14.25" customHeight="true">
      <c r="A3409" s="33" t="str">
        <f t="shared" si="212"/>
        <v>PUR - Intercompany</v>
      </c>
      <c r="B3409" s="33" t="str">
        <f t="shared" si="213"/>
        <v>PUR</v>
      </c>
      <c r="C3409" s="33" t="str">
        <f t="shared" si="214"/>
        <v>11350-0000</v>
      </c>
      <c r="D3409" t="s">
        <v>26060</v>
      </c>
      <c r="E3409" t="s">
        <v>14153</v>
      </c>
      <c r="F3409" t="s">
        <v>14039</v>
      </c>
      <c r="G3409" t="s">
        <v>14672</v>
      </c>
      <c r="H3409" t="s">
        <v>13869</v>
      </c>
      <c r="I3409" t="s">
        <v>14690</v>
      </c>
      <c r="J3409" s="62">
        <v>0</v>
      </c>
      <c r="K3409" s="62">
        <v>-18.44</v>
      </c>
      <c r="L3409" t="str">
        <f>VLOOKUP(VALUE(LEFT(C3409,5)),Xref!A:B,2,0)</f>
        <v>EAL</v>
      </c>
      <c r="M3409" t="str">
        <f t="shared" si="215"/>
        <v>EAL-PUR</v>
      </c>
    </row>
    <row r="3410" spans="1:13" ht="14.25" customHeight="true">
      <c r="A3410" s="33" t="str">
        <f t="shared" si="212"/>
        <v>PUR - Intercompany</v>
      </c>
      <c r="B3410" s="33" t="str">
        <f t="shared" si="213"/>
        <v>PUR</v>
      </c>
      <c r="C3410" s="33" t="str">
        <f t="shared" si="214"/>
        <v>11351-0000</v>
      </c>
      <c r="D3410" t="s">
        <v>26061</v>
      </c>
      <c r="E3410" t="s">
        <v>14155</v>
      </c>
      <c r="F3410" t="s">
        <v>14039</v>
      </c>
      <c r="G3410" t="s">
        <v>14672</v>
      </c>
      <c r="H3410" t="s">
        <v>13869</v>
      </c>
      <c r="I3410" t="s">
        <v>14690</v>
      </c>
      <c r="J3410" s="62">
        <v>0</v>
      </c>
      <c r="K3410" s="62">
        <v>0</v>
      </c>
      <c r="L3410" t="str">
        <f>VLOOKUP(VALUE(LEFT(C3410,5)),Xref!A:B,2,0)</f>
        <v>WEP</v>
      </c>
      <c r="M3410" t="str">
        <f t="shared" si="215"/>
        <v>PUR-WEP</v>
      </c>
    </row>
    <row r="3411" spans="1:13" ht="14.25" customHeight="true">
      <c r="A3411" s="33" t="str">
        <f t="shared" si="212"/>
        <v>PUR - Intercompany</v>
      </c>
      <c r="B3411" s="33" t="str">
        <f t="shared" si="213"/>
        <v>PUR</v>
      </c>
      <c r="C3411" s="33" t="str">
        <f t="shared" si="214"/>
        <v>11352-0000</v>
      </c>
      <c r="D3411" t="s">
        <v>26062</v>
      </c>
      <c r="E3411" t="s">
        <v>13536</v>
      </c>
      <c r="F3411" t="s">
        <v>14039</v>
      </c>
      <c r="G3411" t="s">
        <v>14672</v>
      </c>
      <c r="H3411" t="s">
        <v>13869</v>
      </c>
      <c r="I3411" t="s">
        <v>14690</v>
      </c>
      <c r="J3411" s="62">
        <v>0</v>
      </c>
      <c r="K3411" s="62">
        <v>0</v>
      </c>
      <c r="L3411" t="str">
        <f>VLOOKUP(VALUE(LEFT(C3411,5)),Xref!A:B,2,0)</f>
        <v>KLP</v>
      </c>
      <c r="M3411" t="str">
        <f t="shared" si="215"/>
        <v>KLP-PUR</v>
      </c>
    </row>
    <row r="3412" spans="1:13" ht="14.25" customHeight="true">
      <c r="A3412" s="33" t="str">
        <f t="shared" si="212"/>
        <v>PUR - Intercompany</v>
      </c>
      <c r="B3412" s="33" t="str">
        <f t="shared" si="213"/>
        <v>PUR</v>
      </c>
      <c r="C3412" s="33" t="str">
        <f t="shared" si="214"/>
        <v>11353-0000</v>
      </c>
      <c r="D3412" t="s">
        <v>26063</v>
      </c>
      <c r="E3412" t="s">
        <v>13537</v>
      </c>
      <c r="F3412" t="s">
        <v>14039</v>
      </c>
      <c r="G3412" t="s">
        <v>14672</v>
      </c>
      <c r="H3412" t="s">
        <v>13869</v>
      </c>
      <c r="I3412" t="s">
        <v>14690</v>
      </c>
      <c r="J3412" s="62">
        <v>0</v>
      </c>
      <c r="K3412" s="62">
        <v>0</v>
      </c>
      <c r="L3412" t="str">
        <f>VLOOKUP(VALUE(LEFT(C3412,5)),Xref!A:B,2,0)</f>
        <v>AKC</v>
      </c>
      <c r="M3412" t="str">
        <f t="shared" si="215"/>
        <v>AKC-PUR</v>
      </c>
    </row>
    <row r="3413" spans="1:13" ht="14.25" customHeight="true">
      <c r="A3413" s="33" t="str">
        <f t="shared" si="212"/>
        <v>PUR - Intercompany</v>
      </c>
      <c r="B3413" s="33" t="str">
        <f t="shared" si="213"/>
        <v>PUR</v>
      </c>
      <c r="C3413" s="33" t="str">
        <f t="shared" si="214"/>
        <v>11354-0000</v>
      </c>
      <c r="D3413" t="s">
        <v>26064</v>
      </c>
      <c r="E3413" t="s">
        <v>13538</v>
      </c>
      <c r="F3413" t="s">
        <v>14039</v>
      </c>
      <c r="G3413" t="s">
        <v>14672</v>
      </c>
      <c r="H3413" t="s">
        <v>13869</v>
      </c>
      <c r="I3413" t="s">
        <v>14690</v>
      </c>
      <c r="J3413" s="62">
        <v>0</v>
      </c>
      <c r="K3413" s="62">
        <v>0</v>
      </c>
      <c r="L3413" t="str">
        <f>VLOOKUP(VALUE(LEFT(C3413,5)),Xref!A:B,2,0)</f>
        <v>AKA</v>
      </c>
      <c r="M3413" t="str">
        <f t="shared" si="215"/>
        <v>AKA-PUR</v>
      </c>
    </row>
    <row r="3414" spans="1:13" ht="14.25" customHeight="true">
      <c r="A3414" s="33" t="str">
        <f t="shared" si="212"/>
        <v>PUR - Intercompany</v>
      </c>
      <c r="B3414" s="33" t="str">
        <f t="shared" si="213"/>
        <v>PUR</v>
      </c>
      <c r="C3414" s="33" t="str">
        <f t="shared" si="214"/>
        <v>11355-0000</v>
      </c>
      <c r="D3414" t="s">
        <v>26065</v>
      </c>
      <c r="E3414" t="s">
        <v>13539</v>
      </c>
      <c r="F3414" t="s">
        <v>14039</v>
      </c>
      <c r="G3414" t="s">
        <v>14672</v>
      </c>
      <c r="H3414" t="s">
        <v>13869</v>
      </c>
      <c r="I3414" t="s">
        <v>14690</v>
      </c>
      <c r="J3414" s="62">
        <v>0</v>
      </c>
      <c r="K3414" s="62">
        <v>0</v>
      </c>
      <c r="L3414" t="str">
        <f>VLOOKUP(VALUE(LEFT(C3414,5)),Xref!A:B,2,0)</f>
        <v>SPA</v>
      </c>
      <c r="M3414" t="str">
        <f t="shared" si="215"/>
        <v>PUR-SPA</v>
      </c>
    </row>
    <row r="3415" spans="1:13" ht="14.25" customHeight="true">
      <c r="A3415" s="33" t="str">
        <f t="shared" si="212"/>
        <v>PUR - Intercompany</v>
      </c>
      <c r="B3415" s="33" t="str">
        <f t="shared" si="213"/>
        <v>PUR</v>
      </c>
      <c r="C3415" s="33" t="str">
        <f t="shared" si="214"/>
        <v>11356-0000</v>
      </c>
      <c r="D3415" t="s">
        <v>26066</v>
      </c>
      <c r="E3415" t="s">
        <v>13540</v>
      </c>
      <c r="F3415" t="s">
        <v>14039</v>
      </c>
      <c r="G3415" t="s">
        <v>14672</v>
      </c>
      <c r="H3415" t="s">
        <v>13869</v>
      </c>
      <c r="I3415" t="s">
        <v>14690</v>
      </c>
      <c r="J3415" s="62">
        <v>0</v>
      </c>
      <c r="K3415" s="62">
        <v>0</v>
      </c>
      <c r="L3415" t="str">
        <f>VLOOKUP(VALUE(LEFT(C3415,5)),Xref!A:B,2,0)</f>
        <v>DPM</v>
      </c>
      <c r="M3415" t="str">
        <f t="shared" si="215"/>
        <v>DPM-PUR</v>
      </c>
    </row>
    <row r="3416" spans="1:13" ht="14.25" customHeight="true">
      <c r="A3416" s="33" t="str">
        <f t="shared" si="212"/>
        <v>PUR - Intercompany</v>
      </c>
      <c r="B3416" s="33" t="str">
        <f t="shared" si="213"/>
        <v>PUR</v>
      </c>
      <c r="C3416" s="33" t="str">
        <f t="shared" si="214"/>
        <v>11357-0000</v>
      </c>
      <c r="D3416" t="s">
        <v>26067</v>
      </c>
      <c r="E3416" t="s">
        <v>13541</v>
      </c>
      <c r="F3416" t="s">
        <v>14039</v>
      </c>
      <c r="G3416" t="s">
        <v>14672</v>
      </c>
      <c r="H3416" t="s">
        <v>13869</v>
      </c>
      <c r="I3416" t="s">
        <v>14690</v>
      </c>
      <c r="J3416" s="62">
        <v>0</v>
      </c>
      <c r="K3416" s="62">
        <v>0</v>
      </c>
      <c r="L3416" t="str">
        <f>VLOOKUP(VALUE(LEFT(C3416,5)),Xref!A:B,2,0)</f>
        <v>HDM</v>
      </c>
      <c r="M3416" t="str">
        <f t="shared" si="215"/>
        <v>HDM-PUR</v>
      </c>
    </row>
    <row r="3417" spans="1:13" ht="14.25" customHeight="true">
      <c r="A3417" s="33" t="str">
        <f t="shared" si="212"/>
        <v>PUR - Intercompany</v>
      </c>
      <c r="B3417" s="33" t="str">
        <f t="shared" si="213"/>
        <v>PUR</v>
      </c>
      <c r="C3417" s="33" t="str">
        <f t="shared" si="214"/>
        <v>11358-0000</v>
      </c>
      <c r="D3417" t="s">
        <v>26068</v>
      </c>
      <c r="E3417" t="s">
        <v>13542</v>
      </c>
      <c r="F3417" t="s">
        <v>14039</v>
      </c>
      <c r="G3417" t="s">
        <v>14672</v>
      </c>
      <c r="H3417" t="s">
        <v>13869</v>
      </c>
      <c r="I3417" t="s">
        <v>14690</v>
      </c>
      <c r="J3417" s="62">
        <v>0</v>
      </c>
      <c r="K3417" s="62">
        <v>0</v>
      </c>
      <c r="L3417" t="str">
        <f>VLOOKUP(VALUE(LEFT(C3417,5)),Xref!A:B,2,0)</f>
        <v>GRA</v>
      </c>
      <c r="M3417" t="str">
        <f t="shared" si="215"/>
        <v>GRA-PUR</v>
      </c>
    </row>
    <row r="3418" spans="1:13" ht="14.25" customHeight="true">
      <c r="A3418" s="33" t="str">
        <f t="shared" si="212"/>
        <v>PUR - Intercompany</v>
      </c>
      <c r="B3418" s="33" t="str">
        <f t="shared" si="213"/>
        <v>PUR</v>
      </c>
      <c r="C3418" s="33" t="str">
        <f t="shared" si="214"/>
        <v>11359-0000</v>
      </c>
      <c r="D3418" t="s">
        <v>26069</v>
      </c>
      <c r="E3418" t="s">
        <v>13543</v>
      </c>
      <c r="F3418" t="s">
        <v>14039</v>
      </c>
      <c r="G3418" t="s">
        <v>14672</v>
      </c>
      <c r="H3418" t="s">
        <v>13869</v>
      </c>
      <c r="I3418" t="s">
        <v>14690</v>
      </c>
      <c r="J3418" s="62">
        <v>0</v>
      </c>
      <c r="K3418" s="62">
        <v>0</v>
      </c>
      <c r="L3418" t="str">
        <f>VLOOKUP(VALUE(LEFT(C3418,5)),Xref!A:B,2,0)</f>
        <v>TPI</v>
      </c>
      <c r="M3418" t="str">
        <f t="shared" si="215"/>
        <v>PUR-TPI</v>
      </c>
    </row>
    <row r="3419" spans="1:13" ht="14.25" customHeight="true">
      <c r="A3419" s="33" t="str">
        <f t="shared" si="212"/>
        <v>PUR - Intercompany</v>
      </c>
      <c r="B3419" s="33" t="str">
        <f t="shared" si="213"/>
        <v>PUR</v>
      </c>
      <c r="C3419" s="33" t="str">
        <f t="shared" si="214"/>
        <v>11361-0000</v>
      </c>
      <c r="D3419" t="s">
        <v>26070</v>
      </c>
      <c r="E3419" t="s">
        <v>14165</v>
      </c>
      <c r="F3419" t="s">
        <v>14039</v>
      </c>
      <c r="G3419" t="s">
        <v>14672</v>
      </c>
      <c r="H3419" t="s">
        <v>13869</v>
      </c>
      <c r="I3419" t="s">
        <v>14690</v>
      </c>
      <c r="J3419" s="62">
        <v>0</v>
      </c>
      <c r="K3419" s="62">
        <v>0</v>
      </c>
      <c r="L3419" t="str">
        <f>VLOOKUP(VALUE(LEFT(C3419,5)),Xref!A:B,2,0)</f>
        <v>GSM</v>
      </c>
      <c r="M3419" t="str">
        <f t="shared" si="215"/>
        <v>GSM-PUR</v>
      </c>
    </row>
    <row r="3420" spans="1:13" ht="14.25" customHeight="true">
      <c r="A3420" s="33" t="str">
        <f t="shared" si="212"/>
        <v>PUR - Intercompany</v>
      </c>
      <c r="B3420" s="33" t="str">
        <f t="shared" si="213"/>
        <v>PUR</v>
      </c>
      <c r="C3420" s="33" t="str">
        <f t="shared" si="214"/>
        <v>11363-0000</v>
      </c>
      <c r="D3420" t="s">
        <v>26071</v>
      </c>
      <c r="E3420" t="s">
        <v>13544</v>
      </c>
      <c r="F3420" t="s">
        <v>14039</v>
      </c>
      <c r="G3420" t="s">
        <v>14672</v>
      </c>
      <c r="H3420" t="s">
        <v>13869</v>
      </c>
      <c r="I3420" t="s">
        <v>14690</v>
      </c>
      <c r="J3420" s="62">
        <v>0</v>
      </c>
      <c r="K3420" s="62">
        <v>0</v>
      </c>
      <c r="L3420" t="str">
        <f>VLOOKUP(VALUE(LEFT(C3420,5)),Xref!A:B,2,0)</f>
        <v>SOF</v>
      </c>
      <c r="M3420" t="str">
        <f t="shared" si="215"/>
        <v>PUR-SOF</v>
      </c>
    </row>
    <row r="3421" spans="1:13" ht="14.25" customHeight="true">
      <c r="A3421" s="33" t="str">
        <f t="shared" si="212"/>
        <v>PUR - Intercompany</v>
      </c>
      <c r="B3421" s="33" t="str">
        <f t="shared" si="213"/>
        <v>PUR</v>
      </c>
      <c r="C3421" s="33" t="str">
        <f t="shared" si="214"/>
        <v>11364-0000</v>
      </c>
      <c r="D3421" t="s">
        <v>26072</v>
      </c>
      <c r="E3421" t="s">
        <v>14168</v>
      </c>
      <c r="F3421" t="s">
        <v>14039</v>
      </c>
      <c r="G3421" t="s">
        <v>14672</v>
      </c>
      <c r="H3421" t="s">
        <v>13869</v>
      </c>
      <c r="I3421" t="s">
        <v>14690</v>
      </c>
      <c r="J3421" s="62">
        <v>0</v>
      </c>
      <c r="K3421" s="62">
        <v>0</v>
      </c>
      <c r="L3421" t="e">
        <f>VLOOKUP(VALUE(LEFT(C3421,5)),Xref!A:B,2,0)</f>
        <v>#N/A</v>
      </c>
      <c r="M3421" t="e">
        <f t="shared" si="215"/>
        <v>#N/A</v>
      </c>
    </row>
    <row r="3422" spans="1:13" ht="14.25" customHeight="true">
      <c r="A3422" s="33" t="str">
        <f t="shared" si="212"/>
        <v>PUR - Intercompany</v>
      </c>
      <c r="B3422" s="33" t="str">
        <f t="shared" si="213"/>
        <v>PUR</v>
      </c>
      <c r="C3422" s="33" t="str">
        <f t="shared" si="214"/>
        <v>11365-0000</v>
      </c>
      <c r="D3422" t="s">
        <v>26073</v>
      </c>
      <c r="E3422" t="s">
        <v>14170</v>
      </c>
      <c r="F3422" t="s">
        <v>14039</v>
      </c>
      <c r="G3422" t="s">
        <v>14672</v>
      </c>
      <c r="H3422" t="s">
        <v>13869</v>
      </c>
      <c r="I3422" t="s">
        <v>14690</v>
      </c>
      <c r="J3422" s="62">
        <v>0</v>
      </c>
      <c r="K3422" s="62">
        <v>0</v>
      </c>
      <c r="L3422" t="e">
        <f>VLOOKUP(VALUE(LEFT(C3422,5)),Xref!A:B,2,0)</f>
        <v>#N/A</v>
      </c>
      <c r="M3422" t="e">
        <f t="shared" si="215"/>
        <v>#N/A</v>
      </c>
    </row>
    <row r="3423" spans="1:13" ht="14.25" customHeight="true">
      <c r="A3423" s="33" t="str">
        <f t="shared" si="212"/>
        <v>PUR - Intercompany</v>
      </c>
      <c r="B3423" s="33" t="str">
        <f t="shared" si="213"/>
        <v>PUR</v>
      </c>
      <c r="C3423" s="33" t="str">
        <f t="shared" si="214"/>
        <v>11366-0000</v>
      </c>
      <c r="D3423" t="s">
        <v>26074</v>
      </c>
      <c r="E3423" t="s">
        <v>14172</v>
      </c>
      <c r="G3423" t="s">
        <v>14672</v>
      </c>
      <c r="H3423" t="s">
        <v>13869</v>
      </c>
      <c r="I3423" t="s">
        <v>14690</v>
      </c>
      <c r="J3423" s="62">
        <v>0</v>
      </c>
      <c r="K3423" s="62">
        <v>0</v>
      </c>
      <c r="L3423" t="e">
        <f>VLOOKUP(VALUE(LEFT(C3423,5)),Xref!A:B,2,0)</f>
        <v>#N/A</v>
      </c>
      <c r="M3423" t="e">
        <f t="shared" si="215"/>
        <v>#N/A</v>
      </c>
    </row>
    <row r="3424" spans="1:13" ht="14.25" customHeight="true">
      <c r="A3424" s="33" t="str">
        <f t="shared" si="212"/>
        <v>PUR - Intercompany</v>
      </c>
      <c r="B3424" s="33" t="str">
        <f t="shared" si="213"/>
        <v>PUR</v>
      </c>
      <c r="C3424" s="33" t="str">
        <f t="shared" si="214"/>
        <v>11402-0000</v>
      </c>
      <c r="D3424" t="s">
        <v>1917</v>
      </c>
      <c r="E3424" t="s">
        <v>14174</v>
      </c>
      <c r="G3424" t="s">
        <v>14672</v>
      </c>
      <c r="H3424" t="s">
        <v>13869</v>
      </c>
      <c r="I3424" t="s">
        <v>14690</v>
      </c>
      <c r="J3424" s="62">
        <v>0</v>
      </c>
      <c r="K3424" s="62">
        <v>0</v>
      </c>
      <c r="L3424" t="str">
        <f>VLOOKUP(VALUE(LEFT(C3424,5)),Xref!A:B,2,0)</f>
        <v>DPI</v>
      </c>
      <c r="M3424" t="str">
        <f t="shared" si="215"/>
        <v>DPI-PUR</v>
      </c>
    </row>
    <row r="3425" spans="1:13" ht="14.25" customHeight="true">
      <c r="A3425" s="33" t="str">
        <f t="shared" si="212"/>
        <v>PUR - Intercompany</v>
      </c>
      <c r="B3425" s="33" t="str">
        <f t="shared" si="213"/>
        <v>PUR</v>
      </c>
      <c r="C3425" s="33" t="str">
        <f t="shared" si="214"/>
        <v>11403-0000</v>
      </c>
      <c r="D3425" t="s">
        <v>26075</v>
      </c>
      <c r="E3425" t="s">
        <v>14176</v>
      </c>
      <c r="G3425" t="s">
        <v>14672</v>
      </c>
      <c r="H3425" t="s">
        <v>13869</v>
      </c>
      <c r="I3425" t="s">
        <v>14690</v>
      </c>
      <c r="J3425" s="62">
        <v>0</v>
      </c>
      <c r="K3425" s="62">
        <v>0</v>
      </c>
      <c r="L3425" t="str">
        <f>VLOOKUP(VALUE(LEFT(C3425,5)),Xref!A:B,2,0)</f>
        <v>SEA</v>
      </c>
      <c r="M3425" t="str">
        <f t="shared" si="215"/>
        <v>PUR-SEA</v>
      </c>
    </row>
    <row r="3426" spans="1:13" ht="14.25" customHeight="true">
      <c r="A3426" s="33" t="str">
        <f t="shared" si="212"/>
        <v>PUR - Intercompany</v>
      </c>
      <c r="B3426" s="33" t="str">
        <f t="shared" si="213"/>
        <v>PUR</v>
      </c>
      <c r="C3426" s="33" t="str">
        <f t="shared" si="214"/>
        <v>12400-0000</v>
      </c>
      <c r="D3426" t="s">
        <v>26078</v>
      </c>
      <c r="E3426" t="s">
        <v>14185</v>
      </c>
      <c r="F3426" t="s">
        <v>14039</v>
      </c>
      <c r="G3426" t="s">
        <v>14672</v>
      </c>
      <c r="H3426" t="s">
        <v>13869</v>
      </c>
      <c r="I3426" t="s">
        <v>14690</v>
      </c>
      <c r="J3426" s="62">
        <v>0</v>
      </c>
      <c r="K3426" s="62">
        <v>0</v>
      </c>
      <c r="L3426" t="str">
        <f>VLOOKUP(VALUE(LEFT(C3426,5)),Xref!A:B,2,0)</f>
        <v>aka</v>
      </c>
      <c r="M3426" t="str">
        <f t="shared" si="215"/>
        <v>aka-PUR</v>
      </c>
    </row>
    <row r="3427" spans="1:13" ht="14.25" customHeight="true">
      <c r="A3427" s="33" t="str">
        <f t="shared" si="212"/>
        <v>PUR - Intercompany</v>
      </c>
      <c r="B3427" s="33" t="str">
        <f t="shared" si="213"/>
        <v>PUR</v>
      </c>
      <c r="C3427" s="33" t="str">
        <f t="shared" si="214"/>
        <v>12401-0000</v>
      </c>
      <c r="D3427" t="s">
        <v>26079</v>
      </c>
      <c r="E3427" t="s">
        <v>14187</v>
      </c>
      <c r="F3427" t="s">
        <v>14039</v>
      </c>
      <c r="G3427" t="s">
        <v>14672</v>
      </c>
      <c r="H3427" t="s">
        <v>13869</v>
      </c>
      <c r="I3427" t="s">
        <v>14690</v>
      </c>
      <c r="J3427" s="62">
        <v>0</v>
      </c>
      <c r="K3427" s="62">
        <v>0</v>
      </c>
      <c r="L3427" t="str">
        <f>VLOOKUP(VALUE(LEFT(C3427,5)),Xref!A:B,2,0)</f>
        <v>aka</v>
      </c>
      <c r="M3427" t="str">
        <f t="shared" si="215"/>
        <v>aka-PUR</v>
      </c>
    </row>
    <row r="3428" spans="1:13" ht="14.25" customHeight="true">
      <c r="A3428" s="33" t="str">
        <f t="shared" si="212"/>
        <v>PUR - Intercompany</v>
      </c>
      <c r="B3428" s="33" t="str">
        <f t="shared" si="213"/>
        <v>PUR</v>
      </c>
      <c r="C3428" s="33" t="str">
        <f t="shared" si="214"/>
        <v>12402-0000</v>
      </c>
      <c r="D3428" t="s">
        <v>26080</v>
      </c>
      <c r="E3428" t="s">
        <v>14189</v>
      </c>
      <c r="F3428" t="s">
        <v>14039</v>
      </c>
      <c r="G3428" t="s">
        <v>14672</v>
      </c>
      <c r="H3428" t="s">
        <v>13869</v>
      </c>
      <c r="I3428" t="s">
        <v>14690</v>
      </c>
      <c r="J3428" s="62">
        <v>0</v>
      </c>
      <c r="K3428" s="62">
        <v>30000</v>
      </c>
      <c r="L3428" t="str">
        <f>VLOOKUP(VALUE(LEFT(C3428,5)),Xref!A:B,2,0)</f>
        <v>aka</v>
      </c>
      <c r="M3428" t="str">
        <f t="shared" si="215"/>
        <v>aka-PUR</v>
      </c>
    </row>
    <row r="3429" spans="1:13" ht="14.25" customHeight="true">
      <c r="A3429" s="33" t="str">
        <f t="shared" si="212"/>
        <v>PUR - Intercompany</v>
      </c>
      <c r="B3429" s="33" t="str">
        <f t="shared" si="213"/>
        <v>PUR</v>
      </c>
      <c r="C3429" s="33" t="str">
        <f t="shared" si="214"/>
        <v>12403-0000</v>
      </c>
      <c r="D3429" t="s">
        <v>26081</v>
      </c>
      <c r="E3429" t="s">
        <v>5226</v>
      </c>
      <c r="F3429" t="s">
        <v>14039</v>
      </c>
      <c r="G3429" t="s">
        <v>14672</v>
      </c>
      <c r="H3429" t="s">
        <v>13869</v>
      </c>
      <c r="I3429" t="s">
        <v>14690</v>
      </c>
      <c r="J3429" s="62">
        <v>0</v>
      </c>
      <c r="K3429" s="62">
        <v>0</v>
      </c>
      <c r="L3429" t="str">
        <f>VLOOKUP(VALUE(LEFT(C3429,5)),Xref!A:B,2,0)</f>
        <v>aka</v>
      </c>
      <c r="M3429" t="str">
        <f t="shared" si="215"/>
        <v>aka-PUR</v>
      </c>
    </row>
    <row r="3430" spans="1:13" ht="14.25" customHeight="true">
      <c r="A3430" s="33" t="str">
        <f t="shared" si="212"/>
        <v>PUR - Intercompany</v>
      </c>
      <c r="B3430" s="33" t="str">
        <f t="shared" si="213"/>
        <v>PUR</v>
      </c>
      <c r="C3430" s="33" t="str">
        <f t="shared" si="214"/>
        <v>12501-0000</v>
      </c>
      <c r="D3430" t="s">
        <v>26082</v>
      </c>
      <c r="E3430" t="s">
        <v>14192</v>
      </c>
      <c r="F3430" t="s">
        <v>14039</v>
      </c>
      <c r="G3430" t="s">
        <v>14672</v>
      </c>
      <c r="H3430" t="s">
        <v>13869</v>
      </c>
      <c r="I3430" t="s">
        <v>14690</v>
      </c>
      <c r="J3430" s="62">
        <v>0</v>
      </c>
      <c r="K3430" s="62">
        <v>0</v>
      </c>
      <c r="L3430" t="str">
        <f>VLOOKUP(VALUE(LEFT(C3430,5)),Xref!A:B,2,0)</f>
        <v>aka</v>
      </c>
      <c r="M3430" t="str">
        <f t="shared" si="215"/>
        <v>aka-PUR</v>
      </c>
    </row>
    <row r="3431" spans="1:13" ht="14.25" customHeight="true">
      <c r="A3431" s="33" t="str">
        <f t="shared" si="212"/>
        <v>PUR - InterCo Notes</v>
      </c>
      <c r="B3431" s="33" t="str">
        <f t="shared" si="213"/>
        <v>PUR</v>
      </c>
      <c r="C3431" s="33" t="str">
        <f t="shared" si="214"/>
        <v>25600-0000</v>
      </c>
      <c r="D3431" t="s">
        <v>26129</v>
      </c>
      <c r="E3431" t="s">
        <v>314</v>
      </c>
      <c r="F3431" t="s">
        <v>14039</v>
      </c>
      <c r="G3431" t="s">
        <v>14672</v>
      </c>
      <c r="H3431" t="s">
        <v>13889</v>
      </c>
      <c r="I3431" t="s">
        <v>14690</v>
      </c>
      <c r="J3431" s="62">
        <v>0</v>
      </c>
      <c r="K3431" s="62">
        <v>0</v>
      </c>
      <c r="L3431" t="str">
        <f>VLOOKUP(VALUE(LEFT(C3431,5)),Xref!A:B,2,0)</f>
        <v>D7</v>
      </c>
      <c r="M3431" t="str">
        <f t="shared" si="215"/>
        <v>D7-PUR</v>
      </c>
    </row>
    <row r="3432" spans="1:13" ht="14.25" customHeight="true">
      <c r="A3432" s="33" t="str">
        <f t="shared" si="212"/>
        <v>PUR - InterCo Notes</v>
      </c>
      <c r="B3432" s="33" t="str">
        <f t="shared" si="213"/>
        <v>PUR</v>
      </c>
      <c r="C3432" s="33" t="str">
        <f t="shared" si="214"/>
        <v>25602-0000</v>
      </c>
      <c r="D3432" t="s">
        <v>26131</v>
      </c>
      <c r="E3432" t="s">
        <v>13426</v>
      </c>
      <c r="F3432" t="s">
        <v>14039</v>
      </c>
      <c r="G3432" t="s">
        <v>14672</v>
      </c>
      <c r="H3432" t="s">
        <v>13889</v>
      </c>
      <c r="I3432" t="s">
        <v>14690</v>
      </c>
      <c r="J3432" s="62">
        <v>0</v>
      </c>
      <c r="K3432" s="62">
        <v>0</v>
      </c>
      <c r="L3432" t="str">
        <f>VLOOKUP(VALUE(LEFT(C3432,5)),Xref!A:B,2,0)</f>
        <v>DFLP</v>
      </c>
      <c r="M3432" t="str">
        <f t="shared" si="215"/>
        <v>DFLP-PUR</v>
      </c>
    </row>
    <row r="3433" spans="1:13" ht="14.25" customHeight="true">
      <c r="A3433" s="33" t="str">
        <f t="shared" si="212"/>
        <v>PUR - InterCo Notes</v>
      </c>
      <c r="B3433" s="33" t="str">
        <f t="shared" si="213"/>
        <v>PUR</v>
      </c>
      <c r="C3433" s="33" t="str">
        <f t="shared" si="214"/>
        <v>25603-0000</v>
      </c>
      <c r="D3433" t="s">
        <v>26132</v>
      </c>
      <c r="E3433" t="s">
        <v>14311</v>
      </c>
      <c r="F3433" t="s">
        <v>14039</v>
      </c>
      <c r="G3433" t="s">
        <v>14832</v>
      </c>
      <c r="H3433" t="s">
        <v>13889</v>
      </c>
      <c r="I3433" t="s">
        <v>14690</v>
      </c>
      <c r="J3433" s="62">
        <v>0</v>
      </c>
      <c r="K3433" s="62">
        <v>0</v>
      </c>
      <c r="L3433" t="str">
        <f>VLOOKUP(VALUE(LEFT(C3433,5)),Xref!A:B,2,0)</f>
        <v>aka</v>
      </c>
      <c r="M3433" t="str">
        <f t="shared" si="215"/>
        <v>aka-PUR</v>
      </c>
    </row>
    <row r="3434" spans="1:13" ht="14.25" customHeight="true">
      <c r="A3434" s="33" t="str">
        <f t="shared" si="212"/>
        <v>PUR - Intercompany</v>
      </c>
      <c r="B3434" s="33" t="str">
        <f t="shared" si="213"/>
        <v>PUR</v>
      </c>
      <c r="C3434" s="33" t="str">
        <f t="shared" si="214"/>
        <v>25604-0000</v>
      </c>
      <c r="D3434" t="s">
        <v>26133</v>
      </c>
      <c r="E3434" t="s">
        <v>13490</v>
      </c>
      <c r="F3434" t="s">
        <v>14039</v>
      </c>
      <c r="G3434" t="s">
        <v>14672</v>
      </c>
      <c r="H3434" t="s">
        <v>13869</v>
      </c>
      <c r="I3434" t="s">
        <v>14690</v>
      </c>
      <c r="J3434" s="62">
        <v>0</v>
      </c>
      <c r="K3434" s="62">
        <v>0</v>
      </c>
      <c r="L3434">
        <f>VLOOKUP(VALUE(LEFT(C3434,5)),Xref!A:B,2,0)</f>
        <v>0</v>
      </c>
      <c r="M3434" t="str">
        <f t="shared" si="215"/>
        <v>0-PUR</v>
      </c>
    </row>
    <row r="3435" spans="1:13" ht="14.25" customHeight="true">
      <c r="A3435" s="33" t="str">
        <f t="shared" si="212"/>
        <v>RCI - Intercompany</v>
      </c>
      <c r="B3435" s="33" t="str">
        <f t="shared" si="213"/>
        <v>RCI</v>
      </c>
      <c r="C3435" s="33" t="str">
        <f t="shared" si="214"/>
        <v>11202-0000</v>
      </c>
      <c r="D3435" t="s">
        <v>1938</v>
      </c>
      <c r="E3435" t="s">
        <v>576</v>
      </c>
      <c r="F3435" t="s">
        <v>30885</v>
      </c>
      <c r="G3435" t="s">
        <v>16</v>
      </c>
      <c r="H3435" t="s">
        <v>13869</v>
      </c>
      <c r="I3435" t="s">
        <v>40</v>
      </c>
      <c r="J3435" s="62">
        <v>0</v>
      </c>
      <c r="K3435" s="62">
        <v>-1674.08</v>
      </c>
      <c r="L3435" t="str">
        <f>VLOOKUP(VALUE(LEFT(C3435,5)),Xref!A:B,2,0)</f>
        <v>FFC</v>
      </c>
      <c r="M3435" t="str">
        <f t="shared" si="215"/>
        <v>FFC-RCI</v>
      </c>
    </row>
    <row r="3436" spans="1:13" ht="14.25" customHeight="true">
      <c r="A3436" s="33" t="str">
        <f t="shared" si="212"/>
        <v>RCI - Intercompany</v>
      </c>
      <c r="B3436" s="33" t="str">
        <f t="shared" si="213"/>
        <v>RCI</v>
      </c>
      <c r="C3436" s="33" t="str">
        <f t="shared" si="214"/>
        <v>11217-0000</v>
      </c>
      <c r="D3436" t="s">
        <v>1939</v>
      </c>
      <c r="E3436" t="s">
        <v>172</v>
      </c>
      <c r="F3436" t="s">
        <v>30885</v>
      </c>
      <c r="G3436" t="s">
        <v>16</v>
      </c>
      <c r="H3436" t="s">
        <v>13869</v>
      </c>
      <c r="I3436" t="s">
        <v>40</v>
      </c>
      <c r="J3436" s="62">
        <v>39987.58</v>
      </c>
      <c r="K3436" s="62">
        <v>56776.31</v>
      </c>
      <c r="L3436" t="str">
        <f>VLOOKUP(VALUE(LEFT(C3436,5)),Xref!A:B,2,0)</f>
        <v>2SH</v>
      </c>
      <c r="M3436" t="str">
        <f t="shared" si="215"/>
        <v>2SH-RCI</v>
      </c>
    </row>
    <row r="3437" spans="1:13" ht="14.25" customHeight="true">
      <c r="A3437" s="33" t="str">
        <f t="shared" si="212"/>
        <v>RCI - Intercompany</v>
      </c>
      <c r="B3437" s="33" t="str">
        <f t="shared" si="213"/>
        <v>RCI</v>
      </c>
      <c r="C3437" s="33" t="str">
        <f t="shared" si="214"/>
        <v>11218-0000</v>
      </c>
      <c r="D3437" t="s">
        <v>1940</v>
      </c>
      <c r="E3437" t="s">
        <v>42</v>
      </c>
      <c r="F3437" t="s">
        <v>30885</v>
      </c>
      <c r="G3437" t="s">
        <v>16</v>
      </c>
      <c r="H3437" t="s">
        <v>13869</v>
      </c>
      <c r="I3437" t="s">
        <v>40</v>
      </c>
      <c r="J3437" s="62">
        <v>34972.24</v>
      </c>
      <c r="K3437" s="62">
        <v>-21024.39</v>
      </c>
      <c r="L3437" t="str">
        <f>VLOOKUP(VALUE(LEFT(C3437,5)),Xref!A:B,2,0)</f>
        <v>3SI</v>
      </c>
      <c r="M3437" t="str">
        <f t="shared" si="215"/>
        <v>3SI-RCI</v>
      </c>
    </row>
    <row r="3438" spans="1:13" ht="14.25" customHeight="true">
      <c r="A3438" s="33" t="str">
        <f t="shared" si="212"/>
        <v>SC1 - Intercompany</v>
      </c>
      <c r="B3438" s="33" t="str">
        <f t="shared" si="213"/>
        <v>SC1</v>
      </c>
      <c r="C3438" s="33" t="str">
        <f t="shared" si="214"/>
        <v>11200-0000</v>
      </c>
      <c r="D3438" t="s">
        <v>1977</v>
      </c>
      <c r="E3438" t="s">
        <v>620</v>
      </c>
      <c r="F3438" t="s">
        <v>30853</v>
      </c>
      <c r="G3438" t="s">
        <v>16</v>
      </c>
      <c r="H3438" t="s">
        <v>13869</v>
      </c>
      <c r="I3438" t="s">
        <v>40</v>
      </c>
      <c r="J3438" s="62">
        <v>0</v>
      </c>
      <c r="K3438" s="62">
        <v>-0.01</v>
      </c>
      <c r="L3438" t="str">
        <f>VLOOKUP(VALUE(LEFT(C3438,5)),Xref!A:B,2,0)</f>
        <v>SCL</v>
      </c>
      <c r="M3438" t="str">
        <f t="shared" si="215"/>
        <v>SC1-SCL</v>
      </c>
    </row>
    <row r="3439" spans="1:13" ht="14.25" customHeight="true">
      <c r="A3439" s="33" t="str">
        <f t="shared" si="212"/>
        <v>SC1 - Intercompany</v>
      </c>
      <c r="B3439" s="33" t="str">
        <f t="shared" si="213"/>
        <v>SC1</v>
      </c>
      <c r="C3439" s="33" t="str">
        <f t="shared" si="214"/>
        <v>11219-0000</v>
      </c>
      <c r="D3439" t="s">
        <v>1978</v>
      </c>
      <c r="E3439" t="s">
        <v>1979</v>
      </c>
      <c r="F3439" t="s">
        <v>30853</v>
      </c>
      <c r="G3439" t="s">
        <v>16</v>
      </c>
      <c r="H3439" t="s">
        <v>13869</v>
      </c>
      <c r="I3439" t="s">
        <v>40</v>
      </c>
      <c r="J3439" s="62">
        <v>894.01</v>
      </c>
      <c r="K3439" s="62">
        <v>-29903.47</v>
      </c>
      <c r="L3439" t="str">
        <f>VLOOKUP(VALUE(LEFT(C3439,5)),Xref!A:B,2,0)</f>
        <v>BVI</v>
      </c>
      <c r="M3439" t="str">
        <f t="shared" si="215"/>
        <v>BVI-SC1</v>
      </c>
    </row>
    <row r="3440" spans="1:13" ht="14.25" customHeight="true">
      <c r="A3440" s="33" t="str">
        <f t="shared" si="212"/>
        <v>SC1 - Intercompany</v>
      </c>
      <c r="B3440" s="33" t="str">
        <f t="shared" si="213"/>
        <v>SC1</v>
      </c>
      <c r="C3440" s="33" t="str">
        <f t="shared" si="214"/>
        <v>11221-0000</v>
      </c>
      <c r="D3440" t="s">
        <v>1980</v>
      </c>
      <c r="E3440" t="s">
        <v>1981</v>
      </c>
      <c r="F3440" t="s">
        <v>30853</v>
      </c>
      <c r="G3440" t="s">
        <v>16</v>
      </c>
      <c r="H3440" t="s">
        <v>13869</v>
      </c>
      <c r="I3440" t="s">
        <v>40</v>
      </c>
      <c r="J3440" s="62">
        <v>448.67</v>
      </c>
      <c r="K3440" s="62">
        <v>-15007.03</v>
      </c>
      <c r="L3440" t="str">
        <f>VLOOKUP(VALUE(LEFT(C3440,5)),Xref!A:B,2,0)</f>
        <v>LAN</v>
      </c>
      <c r="M3440" t="str">
        <f t="shared" si="215"/>
        <v>LAN-SC1</v>
      </c>
    </row>
    <row r="3441" spans="1:13" ht="14.25" customHeight="true">
      <c r="A3441" s="33" t="str">
        <f t="shared" si="212"/>
        <v>SC1 - Intercompany</v>
      </c>
      <c r="B3441" s="33" t="str">
        <f t="shared" si="213"/>
        <v>SC1</v>
      </c>
      <c r="C3441" s="33" t="str">
        <f t="shared" si="214"/>
        <v>11232-0000</v>
      </c>
      <c r="D3441" t="s">
        <v>1982</v>
      </c>
      <c r="E3441" t="s">
        <v>1983</v>
      </c>
      <c r="F3441" t="s">
        <v>30853</v>
      </c>
      <c r="G3441" t="s">
        <v>16</v>
      </c>
      <c r="H3441" t="s">
        <v>13869</v>
      </c>
      <c r="I3441" t="s">
        <v>40</v>
      </c>
      <c r="J3441" s="62">
        <v>1575.3</v>
      </c>
      <c r="K3441" s="62">
        <v>-58490.52</v>
      </c>
      <c r="L3441" t="str">
        <f>VLOOKUP(VALUE(LEFT(C3441,5)),Xref!A:B,2,0)</f>
        <v>SC2</v>
      </c>
      <c r="M3441" t="str">
        <f t="shared" si="215"/>
        <v>SC1-SC2</v>
      </c>
    </row>
    <row r="3442" spans="1:13" ht="14.25" customHeight="true">
      <c r="A3442" s="33" t="str">
        <f t="shared" si="212"/>
        <v>SC1 - Intercompany</v>
      </c>
      <c r="B3442" s="33" t="str">
        <f t="shared" si="213"/>
        <v>SC1</v>
      </c>
      <c r="C3442" s="33" t="str">
        <f t="shared" si="214"/>
        <v>11233-0000</v>
      </c>
      <c r="D3442" t="s">
        <v>1984</v>
      </c>
      <c r="E3442" t="s">
        <v>1985</v>
      </c>
      <c r="F3442" t="s">
        <v>30853</v>
      </c>
      <c r="G3442" t="s">
        <v>16</v>
      </c>
      <c r="H3442" t="s">
        <v>13869</v>
      </c>
      <c r="I3442" t="s">
        <v>40</v>
      </c>
      <c r="J3442" s="62">
        <v>833.94</v>
      </c>
      <c r="K3442" s="62">
        <v>-28693.91</v>
      </c>
      <c r="L3442" t="str">
        <f>VLOOKUP(VALUE(LEFT(C3442,5)),Xref!A:B,2,0)</f>
        <v>SC3</v>
      </c>
      <c r="M3442" t="str">
        <f t="shared" si="215"/>
        <v>SC1-SC3</v>
      </c>
    </row>
    <row r="3443" spans="1:13" ht="14.25" customHeight="true">
      <c r="A3443" s="33" t="str">
        <f t="shared" si="212"/>
        <v>SC1 - Intercompany</v>
      </c>
      <c r="B3443" s="33" t="str">
        <f t="shared" si="213"/>
        <v>SC1</v>
      </c>
      <c r="C3443" s="33" t="str">
        <f t="shared" si="214"/>
        <v>11234-0000</v>
      </c>
      <c r="D3443" t="s">
        <v>1986</v>
      </c>
      <c r="E3443" t="s">
        <v>1987</v>
      </c>
      <c r="F3443" t="s">
        <v>30853</v>
      </c>
      <c r="G3443" t="s">
        <v>16</v>
      </c>
      <c r="H3443" t="s">
        <v>13869</v>
      </c>
      <c r="I3443" t="s">
        <v>40</v>
      </c>
      <c r="J3443" s="62">
        <v>566.62</v>
      </c>
      <c r="K3443" s="62">
        <v>-19752.35</v>
      </c>
      <c r="L3443" t="str">
        <f>VLOOKUP(VALUE(LEFT(C3443,5)),Xref!A:B,2,0)</f>
        <v>SC4</v>
      </c>
      <c r="M3443" t="str">
        <f t="shared" si="215"/>
        <v>SC1-SC4</v>
      </c>
    </row>
    <row r="3444" spans="1:13" ht="14.25" customHeight="true">
      <c r="A3444" s="33" t="str">
        <f t="shared" si="212"/>
        <v>SC2 - Intercompany</v>
      </c>
      <c r="B3444" s="33" t="str">
        <f t="shared" si="213"/>
        <v>SC2</v>
      </c>
      <c r="C3444" s="33" t="str">
        <f t="shared" si="214"/>
        <v>11231-0000</v>
      </c>
      <c r="D3444" t="s">
        <v>2012</v>
      </c>
      <c r="E3444" t="s">
        <v>549</v>
      </c>
      <c r="F3444" t="s">
        <v>30853</v>
      </c>
      <c r="G3444" t="s">
        <v>16</v>
      </c>
      <c r="H3444" t="s">
        <v>13869</v>
      </c>
      <c r="I3444" t="s">
        <v>40</v>
      </c>
      <c r="J3444" s="62">
        <v>2059.28</v>
      </c>
      <c r="K3444" s="62">
        <v>61874.84</v>
      </c>
      <c r="L3444" t="str">
        <f>VLOOKUP(VALUE(LEFT(C3444,5)),Xref!A:B,2,0)</f>
        <v>SC1</v>
      </c>
      <c r="M3444" t="str">
        <f t="shared" si="215"/>
        <v>SC1-SC2</v>
      </c>
    </row>
    <row r="3445" spans="1:13" ht="14.25" customHeight="true">
      <c r="A3445" s="33" t="str">
        <f t="shared" si="212"/>
        <v>SC2 - Intercompany</v>
      </c>
      <c r="B3445" s="33" t="str">
        <f t="shared" si="213"/>
        <v>SC2</v>
      </c>
      <c r="C3445" s="33" t="str">
        <f t="shared" si="214"/>
        <v>11363-7364</v>
      </c>
      <c r="D3445" t="s">
        <v>8451</v>
      </c>
      <c r="E3445" t="s">
        <v>6139</v>
      </c>
      <c r="F3445" t="s">
        <v>30854</v>
      </c>
      <c r="G3445" t="s">
        <v>16</v>
      </c>
      <c r="H3445" t="s">
        <v>13869</v>
      </c>
      <c r="I3445" t="s">
        <v>40</v>
      </c>
      <c r="J3445" s="62">
        <v>0</v>
      </c>
      <c r="K3445" s="62">
        <v>0</v>
      </c>
      <c r="L3445" t="str">
        <f>VLOOKUP(VALUE(LEFT(C3445,5)),Xref!A:B,2,0)</f>
        <v>SOF</v>
      </c>
      <c r="M3445" t="str">
        <f t="shared" si="215"/>
        <v>SC2-SOF</v>
      </c>
    </row>
    <row r="3446" spans="1:13" ht="14.25" customHeight="true">
      <c r="A3446" s="33" t="str">
        <f t="shared" si="212"/>
        <v>SC3 - Intercompany</v>
      </c>
      <c r="B3446" s="33" t="str">
        <f t="shared" si="213"/>
        <v>SC3</v>
      </c>
      <c r="C3446" s="33" t="str">
        <f t="shared" si="214"/>
        <v>11231-0000</v>
      </c>
      <c r="D3446" t="s">
        <v>2035</v>
      </c>
      <c r="E3446" t="s">
        <v>549</v>
      </c>
      <c r="F3446" t="s">
        <v>30853</v>
      </c>
      <c r="G3446" t="s">
        <v>16</v>
      </c>
      <c r="H3446" t="s">
        <v>13869</v>
      </c>
      <c r="I3446" t="s">
        <v>40</v>
      </c>
      <c r="J3446" s="62">
        <v>1090.17</v>
      </c>
      <c r="K3446" s="62">
        <v>30485.54</v>
      </c>
      <c r="L3446" t="str">
        <f>VLOOKUP(VALUE(LEFT(C3446,5)),Xref!A:B,2,0)</f>
        <v>SC1</v>
      </c>
      <c r="M3446" t="str">
        <f t="shared" si="215"/>
        <v>SC1-SC3</v>
      </c>
    </row>
    <row r="3447" spans="1:13" ht="14.25" customHeight="true">
      <c r="A3447" s="33" t="str">
        <f t="shared" si="212"/>
        <v>SC4 - Intercompany</v>
      </c>
      <c r="B3447" s="33" t="str">
        <f t="shared" si="213"/>
        <v>SC4</v>
      </c>
      <c r="C3447" s="33" t="str">
        <f t="shared" si="214"/>
        <v>11231-0000</v>
      </c>
      <c r="D3447" t="s">
        <v>2056</v>
      </c>
      <c r="E3447" t="s">
        <v>549</v>
      </c>
      <c r="F3447" t="s">
        <v>30853</v>
      </c>
      <c r="G3447" t="s">
        <v>16</v>
      </c>
      <c r="H3447" t="s">
        <v>13869</v>
      </c>
      <c r="I3447" t="s">
        <v>40</v>
      </c>
      <c r="J3447" s="62">
        <v>740.71</v>
      </c>
      <c r="K3447" s="62">
        <v>20969.67</v>
      </c>
      <c r="L3447" t="str">
        <f>VLOOKUP(VALUE(LEFT(C3447,5)),Xref!A:B,2,0)</f>
        <v>SC1</v>
      </c>
      <c r="M3447" t="str">
        <f t="shared" si="215"/>
        <v>SC1-SC4</v>
      </c>
    </row>
    <row r="3448" spans="1:13" ht="14.25" customHeight="true">
      <c r="A3448" s="33" t="str">
        <f t="shared" si="212"/>
        <v>SCL - Intercompany</v>
      </c>
      <c r="B3448" s="33" t="str">
        <f t="shared" si="213"/>
        <v>SCL</v>
      </c>
      <c r="C3448" s="33" t="str">
        <f t="shared" si="214"/>
        <v>11103-0000</v>
      </c>
      <c r="D3448" t="s">
        <v>2131</v>
      </c>
      <c r="E3448" t="s">
        <v>2132</v>
      </c>
      <c r="F3448" t="s">
        <v>30843</v>
      </c>
      <c r="G3448" t="s">
        <v>16</v>
      </c>
      <c r="H3448" t="s">
        <v>13869</v>
      </c>
      <c r="I3448" t="s">
        <v>40</v>
      </c>
      <c r="J3448" s="62">
        <v>0</v>
      </c>
      <c r="K3448" s="62">
        <v>250000</v>
      </c>
      <c r="L3448" t="str">
        <f>VLOOKUP(VALUE(LEFT(C3448,5)),Xref!A:B,2,0)</f>
        <v>DFL</v>
      </c>
      <c r="M3448" t="str">
        <f t="shared" si="215"/>
        <v>DFL-SCL</v>
      </c>
    </row>
    <row r="3449" spans="1:13" ht="14.25" customHeight="true">
      <c r="A3449" s="33" t="str">
        <f t="shared" si="212"/>
        <v>SCL - Intercompany</v>
      </c>
      <c r="B3449" s="33" t="str">
        <f t="shared" si="213"/>
        <v>SCL</v>
      </c>
      <c r="C3449" s="33" t="str">
        <f t="shared" si="214"/>
        <v>11201-0000</v>
      </c>
      <c r="D3449" t="s">
        <v>2133</v>
      </c>
      <c r="E3449" t="s">
        <v>765</v>
      </c>
      <c r="F3449" t="s">
        <v>30843</v>
      </c>
      <c r="G3449" t="s">
        <v>16</v>
      </c>
      <c r="H3449" t="s">
        <v>13869</v>
      </c>
      <c r="I3449" t="s">
        <v>40</v>
      </c>
      <c r="J3449" s="62">
        <v>23718.45</v>
      </c>
      <c r="K3449" s="62">
        <v>18034431.33</v>
      </c>
      <c r="L3449" t="str">
        <f>VLOOKUP(VALUE(LEFT(C3449,5)),Xref!A:B,2,0)</f>
        <v>SG2</v>
      </c>
      <c r="M3449" t="str">
        <f t="shared" si="215"/>
        <v>SCL-SG2</v>
      </c>
    </row>
    <row r="3450" spans="1:13" ht="14.25" customHeight="true">
      <c r="A3450" s="33" t="str">
        <f t="shared" si="212"/>
        <v>SCL - Intercompany</v>
      </c>
      <c r="B3450" s="33" t="str">
        <f t="shared" si="213"/>
        <v>SCL</v>
      </c>
      <c r="C3450" s="33" t="str">
        <f t="shared" si="214"/>
        <v>11202-0000</v>
      </c>
      <c r="D3450" t="s">
        <v>2134</v>
      </c>
      <c r="E3450" t="s">
        <v>576</v>
      </c>
      <c r="F3450" t="s">
        <v>30843</v>
      </c>
      <c r="G3450" t="s">
        <v>16</v>
      </c>
      <c r="H3450" t="s">
        <v>13869</v>
      </c>
      <c r="I3450" t="s">
        <v>40</v>
      </c>
      <c r="J3450" s="62">
        <v>92340.17</v>
      </c>
      <c r="K3450" s="62">
        <v>64039.66</v>
      </c>
      <c r="L3450" t="str">
        <f>VLOOKUP(VALUE(LEFT(C3450,5)),Xref!A:B,2,0)</f>
        <v>FFC</v>
      </c>
      <c r="M3450" t="str">
        <f t="shared" si="215"/>
        <v>FFC-SCL</v>
      </c>
    </row>
    <row r="3451" spans="1:13" ht="14.25" customHeight="true">
      <c r="A3451" s="33" t="str">
        <f t="shared" si="212"/>
        <v>SCL - Intercompany</v>
      </c>
      <c r="B3451" s="33" t="str">
        <f t="shared" si="213"/>
        <v>SCL</v>
      </c>
      <c r="C3451" s="33" t="str">
        <f t="shared" si="214"/>
        <v>11203-0000</v>
      </c>
      <c r="D3451" t="s">
        <v>2135</v>
      </c>
      <c r="E3451" t="s">
        <v>767</v>
      </c>
      <c r="F3451" t="s">
        <v>30843</v>
      </c>
      <c r="G3451" t="s">
        <v>16</v>
      </c>
      <c r="H3451" t="s">
        <v>13869</v>
      </c>
      <c r="I3451" t="s">
        <v>40</v>
      </c>
      <c r="J3451" s="62">
        <v>-184083.88</v>
      </c>
      <c r="K3451" s="62">
        <v>-9291136.05</v>
      </c>
      <c r="L3451" t="str">
        <f>VLOOKUP(VALUE(LEFT(C3451,5)),Xref!A:B,2,0)</f>
        <v>HN2</v>
      </c>
      <c r="M3451" t="str">
        <f t="shared" si="215"/>
        <v>HN2-SCL</v>
      </c>
    </row>
    <row r="3452" spans="1:13" ht="14.25" customHeight="true">
      <c r="A3452" s="33" t="str">
        <f t="shared" si="212"/>
        <v>SCL - Intercompany</v>
      </c>
      <c r="B3452" s="33" t="str">
        <f t="shared" si="213"/>
        <v>SCL</v>
      </c>
      <c r="C3452" s="33" t="str">
        <f t="shared" si="214"/>
        <v>11204-0000</v>
      </c>
      <c r="D3452" t="s">
        <v>2136</v>
      </c>
      <c r="E3452" t="s">
        <v>1234</v>
      </c>
      <c r="F3452" t="s">
        <v>30843</v>
      </c>
      <c r="G3452" t="s">
        <v>16</v>
      </c>
      <c r="H3452" t="s">
        <v>13869</v>
      </c>
      <c r="I3452" t="s">
        <v>40</v>
      </c>
      <c r="J3452" s="62">
        <v>-214176.85</v>
      </c>
      <c r="K3452" s="62">
        <v>-12455410.86</v>
      </c>
      <c r="L3452" t="str">
        <f>VLOOKUP(VALUE(LEFT(C3452,5)),Xref!A:B,2,0)</f>
        <v>DF2</v>
      </c>
      <c r="M3452" t="str">
        <f t="shared" si="215"/>
        <v>DF2-SCL</v>
      </c>
    </row>
    <row r="3453" spans="1:13" ht="14.25" customHeight="true">
      <c r="A3453" s="33" t="str">
        <f t="shared" si="212"/>
        <v>SCL - Intercompany</v>
      </c>
      <c r="B3453" s="33" t="str">
        <f t="shared" si="213"/>
        <v>SCL</v>
      </c>
      <c r="C3453" s="33" t="str">
        <f t="shared" si="214"/>
        <v>11206-0000</v>
      </c>
      <c r="D3453" t="s">
        <v>2137</v>
      </c>
      <c r="E3453" t="s">
        <v>2138</v>
      </c>
      <c r="F3453" t="s">
        <v>30843</v>
      </c>
      <c r="G3453" t="s">
        <v>16</v>
      </c>
      <c r="H3453" t="s">
        <v>13869</v>
      </c>
      <c r="I3453" t="s">
        <v>40</v>
      </c>
      <c r="J3453" s="62">
        <v>0</v>
      </c>
      <c r="K3453" s="62">
        <v>293500</v>
      </c>
      <c r="L3453" t="str">
        <f>VLOOKUP(VALUE(LEFT(C3453,5)),Xref!A:B,2,0)</f>
        <v>DFL</v>
      </c>
      <c r="M3453" t="str">
        <f t="shared" si="215"/>
        <v>DFL-SCL</v>
      </c>
    </row>
    <row r="3454" spans="1:13" ht="14.25" customHeight="true">
      <c r="A3454" s="33" t="str">
        <f t="shared" si="212"/>
        <v>SCL - Intercompany</v>
      </c>
      <c r="B3454" s="33" t="str">
        <f t="shared" si="213"/>
        <v>SCL</v>
      </c>
      <c r="C3454" s="33" t="str">
        <f t="shared" si="214"/>
        <v>11212-0000</v>
      </c>
      <c r="D3454" t="s">
        <v>2139</v>
      </c>
      <c r="E3454" t="s">
        <v>769</v>
      </c>
      <c r="F3454" t="s">
        <v>30843</v>
      </c>
      <c r="G3454" t="s">
        <v>16</v>
      </c>
      <c r="H3454" t="s">
        <v>13869</v>
      </c>
      <c r="I3454" t="s">
        <v>40</v>
      </c>
      <c r="J3454" s="62">
        <v>0</v>
      </c>
      <c r="K3454" s="62">
        <v>470299.37</v>
      </c>
      <c r="L3454" t="str">
        <f>VLOOKUP(VALUE(LEFT(C3454,5)),Xref!A:B,2,0)</f>
        <v>FRM</v>
      </c>
      <c r="M3454" t="str">
        <f t="shared" si="215"/>
        <v>FRM-SCL</v>
      </c>
    </row>
    <row r="3455" spans="1:13" ht="14.25" customHeight="true">
      <c r="A3455" s="33" t="str">
        <f t="shared" si="212"/>
        <v>SCL - Intercompany</v>
      </c>
      <c r="B3455" s="33" t="str">
        <f t="shared" si="213"/>
        <v>SCL</v>
      </c>
      <c r="C3455" s="33" t="str">
        <f t="shared" si="214"/>
        <v>11217-0000</v>
      </c>
      <c r="D3455" t="s">
        <v>2140</v>
      </c>
      <c r="E3455" t="s">
        <v>172</v>
      </c>
      <c r="F3455" t="s">
        <v>30843</v>
      </c>
      <c r="G3455" t="s">
        <v>16</v>
      </c>
      <c r="H3455" t="s">
        <v>13869</v>
      </c>
      <c r="I3455" t="s">
        <v>40</v>
      </c>
      <c r="J3455" s="62">
        <v>-26101.06</v>
      </c>
      <c r="K3455" s="62">
        <v>374844.39</v>
      </c>
      <c r="L3455" t="str">
        <f>VLOOKUP(VALUE(LEFT(C3455,5)),Xref!A:B,2,0)</f>
        <v>2SH</v>
      </c>
      <c r="M3455" t="str">
        <f t="shared" si="215"/>
        <v>2SH-SCL</v>
      </c>
    </row>
    <row r="3456" spans="1:13" ht="14.25" customHeight="true">
      <c r="A3456" s="33" t="str">
        <f t="shared" si="212"/>
        <v>SCL - Intercompany</v>
      </c>
      <c r="B3456" s="33" t="str">
        <f t="shared" si="213"/>
        <v>SCL</v>
      </c>
      <c r="C3456" s="33" t="str">
        <f t="shared" si="214"/>
        <v>11218-0000</v>
      </c>
      <c r="D3456" t="s">
        <v>2141</v>
      </c>
      <c r="E3456" t="s">
        <v>42</v>
      </c>
      <c r="F3456" t="s">
        <v>30843</v>
      </c>
      <c r="G3456" t="s">
        <v>16</v>
      </c>
      <c r="H3456" t="s">
        <v>13869</v>
      </c>
      <c r="I3456" t="s">
        <v>40</v>
      </c>
      <c r="J3456" s="62">
        <v>-26075.47</v>
      </c>
      <c r="K3456" s="62">
        <v>317219.41</v>
      </c>
      <c r="L3456" t="str">
        <f>VLOOKUP(VALUE(LEFT(C3456,5)),Xref!A:B,2,0)</f>
        <v>3SI</v>
      </c>
      <c r="M3456" t="str">
        <f t="shared" si="215"/>
        <v>3SI-SCL</v>
      </c>
    </row>
    <row r="3457" spans="1:13" ht="14.25" customHeight="true">
      <c r="A3457" s="33" t="str">
        <f t="shared" si="212"/>
        <v>SCL - Intercompany</v>
      </c>
      <c r="B3457" s="33" t="str">
        <f t="shared" si="213"/>
        <v>SCL</v>
      </c>
      <c r="C3457" s="33" t="str">
        <f t="shared" si="214"/>
        <v>11220-0000</v>
      </c>
      <c r="D3457" t="s">
        <v>2142</v>
      </c>
      <c r="E3457" t="s">
        <v>723</v>
      </c>
      <c r="F3457" t="s">
        <v>30843</v>
      </c>
      <c r="G3457" t="s">
        <v>16</v>
      </c>
      <c r="H3457" t="s">
        <v>13869</v>
      </c>
      <c r="I3457" t="s">
        <v>40</v>
      </c>
      <c r="J3457" s="62">
        <v>0</v>
      </c>
      <c r="K3457" s="62">
        <v>31114.5</v>
      </c>
      <c r="L3457" t="str">
        <f>VLOOKUP(VALUE(LEFT(C3457,5)),Xref!A:B,2,0)</f>
        <v>SIL</v>
      </c>
      <c r="M3457" t="str">
        <f t="shared" si="215"/>
        <v>SCL-SIL</v>
      </c>
    </row>
    <row r="3458" spans="1:13" ht="14.25" customHeight="true">
      <c r="A3458" s="33" t="str">
        <f t="shared" ref="A3458:A3521" si="216">B3458&amp;" - "&amp;TRIM(H3458)</f>
        <v>SCL - Intercompany</v>
      </c>
      <c r="B3458" s="33" t="str">
        <f t="shared" ref="B3458:B3521" si="217">LEFT(D3458,3)</f>
        <v>SCL</v>
      </c>
      <c r="C3458" s="33" t="str">
        <f t="shared" ref="C3458:C3521" si="218">RIGHT(D3458,10)</f>
        <v>11224-0000</v>
      </c>
      <c r="D3458" t="s">
        <v>2143</v>
      </c>
      <c r="E3458" t="s">
        <v>771</v>
      </c>
      <c r="F3458" t="s">
        <v>30843</v>
      </c>
      <c r="G3458" t="s">
        <v>16</v>
      </c>
      <c r="H3458" t="s">
        <v>13869</v>
      </c>
      <c r="I3458" t="s">
        <v>40</v>
      </c>
      <c r="J3458" s="62">
        <v>1000</v>
      </c>
      <c r="K3458" s="62">
        <v>869247.07</v>
      </c>
      <c r="L3458" t="str">
        <f>VLOOKUP(VALUE(LEFT(C3458,5)),Xref!A:B,2,0)</f>
        <v>FSH</v>
      </c>
      <c r="M3458" t="str">
        <f t="shared" ref="M3458:M3521" si="219">IF(B3458&lt;L3458,B3458&amp;"-"&amp;L3458,L3458&amp;"-"&amp;B3458)</f>
        <v>FSH-SCL</v>
      </c>
    </row>
    <row r="3459" spans="1:13" ht="14.25" customHeight="true">
      <c r="A3459" s="33" t="str">
        <f t="shared" si="216"/>
        <v>SCL - Intercompany</v>
      </c>
      <c r="B3459" s="33" t="str">
        <f t="shared" si="217"/>
        <v>SCL</v>
      </c>
      <c r="C3459" s="33" t="str">
        <f t="shared" si="218"/>
        <v>11228-0000</v>
      </c>
      <c r="D3459" t="s">
        <v>2144</v>
      </c>
      <c r="E3459" t="s">
        <v>2145</v>
      </c>
      <c r="F3459" t="s">
        <v>30843</v>
      </c>
      <c r="G3459" t="s">
        <v>16</v>
      </c>
      <c r="H3459" t="s">
        <v>13869</v>
      </c>
      <c r="I3459" t="s">
        <v>40</v>
      </c>
      <c r="J3459" s="62">
        <v>0</v>
      </c>
      <c r="K3459" s="62">
        <v>2460000</v>
      </c>
      <c r="L3459" t="str">
        <f>VLOOKUP(VALUE(LEFT(C3459,5)),Xref!A:B,2,0)</f>
        <v>CLI</v>
      </c>
      <c r="M3459" t="str">
        <f t="shared" si="219"/>
        <v>CLI-SCL</v>
      </c>
    </row>
    <row r="3460" spans="1:13" ht="14.25" customHeight="true">
      <c r="A3460" s="33" t="str">
        <f t="shared" si="216"/>
        <v>SCL - Intercompany</v>
      </c>
      <c r="B3460" s="33" t="str">
        <f t="shared" si="217"/>
        <v>SCL</v>
      </c>
      <c r="C3460" s="33" t="str">
        <f t="shared" si="218"/>
        <v>11231-0000</v>
      </c>
      <c r="D3460" t="s">
        <v>2146</v>
      </c>
      <c r="E3460" t="s">
        <v>549</v>
      </c>
      <c r="F3460" t="s">
        <v>30843</v>
      </c>
      <c r="G3460" t="s">
        <v>16</v>
      </c>
      <c r="H3460" t="s">
        <v>13869</v>
      </c>
      <c r="I3460" t="s">
        <v>40</v>
      </c>
      <c r="J3460" s="62">
        <v>0</v>
      </c>
      <c r="K3460" s="62">
        <v>0.01</v>
      </c>
      <c r="L3460" t="str">
        <f>VLOOKUP(VALUE(LEFT(C3460,5)),Xref!A:B,2,0)</f>
        <v>SC1</v>
      </c>
      <c r="M3460" t="str">
        <f t="shared" si="219"/>
        <v>SC1-SCL</v>
      </c>
    </row>
    <row r="3461" spans="1:13" ht="14.25" customHeight="true">
      <c r="A3461" s="33" t="str">
        <f t="shared" si="216"/>
        <v>SCR - Intercompany</v>
      </c>
      <c r="B3461" s="33" t="str">
        <f t="shared" si="217"/>
        <v>SCR</v>
      </c>
      <c r="C3461" s="33" t="str">
        <f t="shared" si="218"/>
        <v>11207-0000</v>
      </c>
      <c r="D3461" t="s">
        <v>12115</v>
      </c>
      <c r="E3461" t="s">
        <v>1125</v>
      </c>
      <c r="F3461" t="s">
        <v>13865</v>
      </c>
      <c r="G3461" t="s">
        <v>16</v>
      </c>
      <c r="H3461" t="s">
        <v>13869</v>
      </c>
      <c r="I3461" t="s">
        <v>40</v>
      </c>
      <c r="J3461" s="62">
        <v>0</v>
      </c>
      <c r="K3461" s="62">
        <v>-1305694.44</v>
      </c>
      <c r="L3461" t="str">
        <f>VLOOKUP(VALUE(LEFT(C3461,5)),Xref!A:B,2,0)</f>
        <v>DFL</v>
      </c>
      <c r="M3461" t="str">
        <f t="shared" si="219"/>
        <v>DFL-SCR</v>
      </c>
    </row>
    <row r="3462" spans="1:13" ht="14.25" customHeight="true">
      <c r="A3462" s="33" t="str">
        <f t="shared" si="216"/>
        <v>SEA - Intercompany</v>
      </c>
      <c r="B3462" s="33" t="str">
        <f t="shared" si="217"/>
        <v>SEA</v>
      </c>
      <c r="C3462" s="33" t="str">
        <f t="shared" si="218"/>
        <v>11200-0000</v>
      </c>
      <c r="D3462" t="s">
        <v>26300</v>
      </c>
      <c r="E3462" t="s">
        <v>14069</v>
      </c>
      <c r="F3462" t="s">
        <v>14039</v>
      </c>
      <c r="G3462" t="s">
        <v>14672</v>
      </c>
      <c r="H3462" t="s">
        <v>13869</v>
      </c>
      <c r="I3462" t="s">
        <v>14690</v>
      </c>
      <c r="J3462" s="62">
        <v>0</v>
      </c>
      <c r="K3462" s="62">
        <v>0</v>
      </c>
      <c r="L3462" t="str">
        <f>VLOOKUP(VALUE(LEFT(C3462,5)),Xref!A:B,2,0)</f>
        <v>SCL</v>
      </c>
      <c r="M3462" t="str">
        <f t="shared" si="219"/>
        <v>SCL-SEA</v>
      </c>
    </row>
    <row r="3463" spans="1:13" ht="14.25" customHeight="true">
      <c r="A3463" s="33" t="str">
        <f t="shared" si="216"/>
        <v>SEA - Intercompany</v>
      </c>
      <c r="B3463" s="33" t="str">
        <f t="shared" si="217"/>
        <v>SEA</v>
      </c>
      <c r="C3463" s="33" t="str">
        <f t="shared" si="218"/>
        <v>11201-0000</v>
      </c>
      <c r="D3463" t="s">
        <v>26301</v>
      </c>
      <c r="E3463" t="s">
        <v>14071</v>
      </c>
      <c r="F3463" t="s">
        <v>14039</v>
      </c>
      <c r="G3463" t="s">
        <v>14672</v>
      </c>
      <c r="H3463" t="s">
        <v>13869</v>
      </c>
      <c r="I3463" t="s">
        <v>14690</v>
      </c>
      <c r="J3463" s="62">
        <v>0</v>
      </c>
      <c r="K3463" s="62">
        <v>0</v>
      </c>
      <c r="L3463" t="str">
        <f>VLOOKUP(VALUE(LEFT(C3463,5)),Xref!A:B,2,0)</f>
        <v>SG2</v>
      </c>
      <c r="M3463" t="str">
        <f t="shared" si="219"/>
        <v>SEA-SG2</v>
      </c>
    </row>
    <row r="3464" spans="1:13" ht="14.25" customHeight="true">
      <c r="A3464" s="33" t="str">
        <f t="shared" si="216"/>
        <v>SEA - Intercompany</v>
      </c>
      <c r="B3464" s="33" t="str">
        <f t="shared" si="217"/>
        <v>SEA</v>
      </c>
      <c r="C3464" s="33" t="str">
        <f t="shared" si="218"/>
        <v>11202-0000</v>
      </c>
      <c r="D3464" t="s">
        <v>26302</v>
      </c>
      <c r="E3464" t="s">
        <v>14073</v>
      </c>
      <c r="F3464" t="s">
        <v>14039</v>
      </c>
      <c r="G3464" t="s">
        <v>14672</v>
      </c>
      <c r="H3464" t="s">
        <v>13869</v>
      </c>
      <c r="I3464" t="s">
        <v>14690</v>
      </c>
      <c r="J3464" s="62">
        <v>0</v>
      </c>
      <c r="K3464" s="62">
        <v>0</v>
      </c>
      <c r="L3464" t="str">
        <f>VLOOKUP(VALUE(LEFT(C3464,5)),Xref!A:B,2,0)</f>
        <v>FFC</v>
      </c>
      <c r="M3464" t="str">
        <f t="shared" si="219"/>
        <v>FFC-SEA</v>
      </c>
    </row>
    <row r="3465" spans="1:13" ht="14.25" customHeight="true">
      <c r="A3465" s="33" t="str">
        <f t="shared" si="216"/>
        <v>SEA - Intercompany</v>
      </c>
      <c r="B3465" s="33" t="str">
        <f t="shared" si="217"/>
        <v>SEA</v>
      </c>
      <c r="C3465" s="33" t="str">
        <f t="shared" si="218"/>
        <v>11203-0000</v>
      </c>
      <c r="D3465" t="s">
        <v>26303</v>
      </c>
      <c r="E3465" t="s">
        <v>14075</v>
      </c>
      <c r="F3465" t="s">
        <v>14039</v>
      </c>
      <c r="G3465" t="s">
        <v>14672</v>
      </c>
      <c r="H3465" t="s">
        <v>13869</v>
      </c>
      <c r="I3465" t="s">
        <v>14690</v>
      </c>
      <c r="J3465" s="62">
        <v>0</v>
      </c>
      <c r="K3465" s="62">
        <v>0</v>
      </c>
      <c r="L3465" t="str">
        <f>VLOOKUP(VALUE(LEFT(C3465,5)),Xref!A:B,2,0)</f>
        <v>HN2</v>
      </c>
      <c r="M3465" t="str">
        <f t="shared" si="219"/>
        <v>HN2-SEA</v>
      </c>
    </row>
    <row r="3466" spans="1:13" ht="14.25" customHeight="true">
      <c r="A3466" s="33" t="str">
        <f t="shared" si="216"/>
        <v>SEA - Intercompany</v>
      </c>
      <c r="B3466" s="33" t="str">
        <f t="shared" si="217"/>
        <v>SEA</v>
      </c>
      <c r="C3466" s="33" t="str">
        <f t="shared" si="218"/>
        <v>11204-0000</v>
      </c>
      <c r="D3466" t="s">
        <v>26304</v>
      </c>
      <c r="E3466" t="s">
        <v>14077</v>
      </c>
      <c r="F3466" t="s">
        <v>14039</v>
      </c>
      <c r="G3466" t="s">
        <v>14672</v>
      </c>
      <c r="H3466" t="s">
        <v>13869</v>
      </c>
      <c r="I3466" t="s">
        <v>14690</v>
      </c>
      <c r="J3466" s="62">
        <v>0</v>
      </c>
      <c r="K3466" s="62">
        <v>0</v>
      </c>
      <c r="L3466" t="str">
        <f>VLOOKUP(VALUE(LEFT(C3466,5)),Xref!A:B,2,0)</f>
        <v>DF2</v>
      </c>
      <c r="M3466" t="str">
        <f t="shared" si="219"/>
        <v>DF2-SEA</v>
      </c>
    </row>
    <row r="3467" spans="1:13" ht="14.25" customHeight="true">
      <c r="A3467" s="33" t="str">
        <f t="shared" si="216"/>
        <v>SEA - Intercompany</v>
      </c>
      <c r="B3467" s="33" t="str">
        <f t="shared" si="217"/>
        <v>SEA</v>
      </c>
      <c r="C3467" s="33" t="str">
        <f t="shared" si="218"/>
        <v>11208-0000</v>
      </c>
      <c r="D3467" t="s">
        <v>26305</v>
      </c>
      <c r="E3467" t="s">
        <v>14079</v>
      </c>
      <c r="F3467" t="s">
        <v>14039</v>
      </c>
      <c r="G3467" t="s">
        <v>14672</v>
      </c>
      <c r="H3467" t="s">
        <v>13869</v>
      </c>
      <c r="I3467" t="s">
        <v>14690</v>
      </c>
      <c r="J3467" s="62">
        <v>0</v>
      </c>
      <c r="K3467" s="62">
        <v>0</v>
      </c>
      <c r="L3467" t="str">
        <f>VLOOKUP(VALUE(LEFT(C3467,5)),Xref!A:B,2,0)</f>
        <v>SRE</v>
      </c>
      <c r="M3467" t="str">
        <f t="shared" si="219"/>
        <v>SEA-SRE</v>
      </c>
    </row>
    <row r="3468" spans="1:13" ht="14.25" customHeight="true">
      <c r="A3468" s="33" t="str">
        <f t="shared" si="216"/>
        <v>SEA - Intercompany</v>
      </c>
      <c r="B3468" s="33" t="str">
        <f t="shared" si="217"/>
        <v>SEA</v>
      </c>
      <c r="C3468" s="33" t="str">
        <f t="shared" si="218"/>
        <v>11210-0000</v>
      </c>
      <c r="D3468" t="s">
        <v>26306</v>
      </c>
      <c r="E3468" t="s">
        <v>14081</v>
      </c>
      <c r="F3468" t="s">
        <v>14039</v>
      </c>
      <c r="G3468" t="s">
        <v>14672</v>
      </c>
      <c r="H3468" t="s">
        <v>13869</v>
      </c>
      <c r="I3468" t="s">
        <v>14690</v>
      </c>
      <c r="J3468" s="62">
        <v>0</v>
      </c>
      <c r="K3468" s="62">
        <v>0</v>
      </c>
      <c r="L3468" t="str">
        <f>VLOOKUP(VALUE(LEFT(C3468,5)),Xref!A:B,2,0)</f>
        <v>REM</v>
      </c>
      <c r="M3468" t="str">
        <f t="shared" si="219"/>
        <v>REM-SEA</v>
      </c>
    </row>
    <row r="3469" spans="1:13" ht="14.25" customHeight="true">
      <c r="A3469" s="33" t="str">
        <f t="shared" si="216"/>
        <v>SEA - Intercompany</v>
      </c>
      <c r="B3469" s="33" t="str">
        <f t="shared" si="217"/>
        <v>SEA</v>
      </c>
      <c r="C3469" s="33" t="str">
        <f t="shared" si="218"/>
        <v>11212-0000</v>
      </c>
      <c r="D3469" t="s">
        <v>26307</v>
      </c>
      <c r="E3469" t="s">
        <v>14083</v>
      </c>
      <c r="F3469" t="s">
        <v>14039</v>
      </c>
      <c r="G3469" t="s">
        <v>14672</v>
      </c>
      <c r="H3469" t="s">
        <v>13869</v>
      </c>
      <c r="I3469" t="s">
        <v>14690</v>
      </c>
      <c r="J3469" s="62">
        <v>0</v>
      </c>
      <c r="K3469" s="62">
        <v>0</v>
      </c>
      <c r="L3469" t="str">
        <f>VLOOKUP(VALUE(LEFT(C3469,5)),Xref!A:B,2,0)</f>
        <v>FRM</v>
      </c>
      <c r="M3469" t="str">
        <f t="shared" si="219"/>
        <v>FRM-SEA</v>
      </c>
    </row>
    <row r="3470" spans="1:13" ht="14.25" customHeight="true">
      <c r="A3470" s="33" t="str">
        <f t="shared" si="216"/>
        <v>SEA - Intercompany</v>
      </c>
      <c r="B3470" s="33" t="str">
        <f t="shared" si="217"/>
        <v>SEA</v>
      </c>
      <c r="C3470" s="33" t="str">
        <f t="shared" si="218"/>
        <v>11214-0000</v>
      </c>
      <c r="D3470" t="s">
        <v>26308</v>
      </c>
      <c r="E3470" t="s">
        <v>14085</v>
      </c>
      <c r="F3470" t="s">
        <v>14039</v>
      </c>
      <c r="G3470" t="s">
        <v>14672</v>
      </c>
      <c r="H3470" t="s">
        <v>13869</v>
      </c>
      <c r="I3470" t="s">
        <v>14690</v>
      </c>
      <c r="J3470" s="62">
        <v>0</v>
      </c>
      <c r="K3470" s="62">
        <v>0</v>
      </c>
      <c r="L3470" t="str">
        <f>VLOOKUP(VALUE(LEFT(C3470,5)),Xref!A:B,2,0)</f>
        <v>D7R</v>
      </c>
      <c r="M3470" t="str">
        <f t="shared" si="219"/>
        <v>D7R-SEA</v>
      </c>
    </row>
    <row r="3471" spans="1:13" ht="14.25" customHeight="true">
      <c r="A3471" s="33" t="str">
        <f t="shared" si="216"/>
        <v>SEA - Intercompany</v>
      </c>
      <c r="B3471" s="33" t="str">
        <f t="shared" si="217"/>
        <v>SEA</v>
      </c>
      <c r="C3471" s="33" t="str">
        <f t="shared" si="218"/>
        <v>11215-0000</v>
      </c>
      <c r="D3471" t="s">
        <v>26309</v>
      </c>
      <c r="E3471" t="s">
        <v>14087</v>
      </c>
      <c r="F3471" t="s">
        <v>14039</v>
      </c>
      <c r="G3471" t="s">
        <v>14672</v>
      </c>
      <c r="H3471" t="s">
        <v>13869</v>
      </c>
      <c r="I3471" t="s">
        <v>14690</v>
      </c>
      <c r="J3471" s="62">
        <v>0</v>
      </c>
      <c r="K3471" s="62">
        <v>0</v>
      </c>
      <c r="L3471" t="str">
        <f>VLOOKUP(VALUE(LEFT(C3471,5)),Xref!A:B,2,0)</f>
        <v>CDP</v>
      </c>
      <c r="M3471" t="str">
        <f t="shared" si="219"/>
        <v>CDP-SEA</v>
      </c>
    </row>
    <row r="3472" spans="1:13" ht="14.25" customHeight="true">
      <c r="A3472" s="33" t="str">
        <f t="shared" si="216"/>
        <v>SEA - Intercompany</v>
      </c>
      <c r="B3472" s="33" t="str">
        <f t="shared" si="217"/>
        <v>SEA</v>
      </c>
      <c r="C3472" s="33" t="str">
        <f t="shared" si="218"/>
        <v>11216-0000</v>
      </c>
      <c r="D3472" t="s">
        <v>12117</v>
      </c>
      <c r="E3472" t="s">
        <v>13224</v>
      </c>
      <c r="F3472" t="s">
        <v>14039</v>
      </c>
      <c r="G3472" t="s">
        <v>14672</v>
      </c>
      <c r="H3472" t="s">
        <v>13869</v>
      </c>
      <c r="I3472" t="s">
        <v>14690</v>
      </c>
      <c r="J3472" s="62">
        <v>-32.4</v>
      </c>
      <c r="K3472" s="62">
        <v>-887.75</v>
      </c>
      <c r="L3472" t="str">
        <f>VLOOKUP(VALUE(LEFT(C3472,5)),Xref!A:B,2,0)</f>
        <v>SIL</v>
      </c>
      <c r="M3472" t="str">
        <f t="shared" si="219"/>
        <v>SEA-SIL</v>
      </c>
    </row>
    <row r="3473" spans="1:13" ht="14.25" customHeight="true">
      <c r="A3473" s="33" t="str">
        <f t="shared" si="216"/>
        <v>SEA - Intercompany</v>
      </c>
      <c r="B3473" s="33" t="str">
        <f t="shared" si="217"/>
        <v>SEA</v>
      </c>
      <c r="C3473" s="33" t="str">
        <f t="shared" si="218"/>
        <v>11232-0000</v>
      </c>
      <c r="D3473" t="s">
        <v>26310</v>
      </c>
      <c r="E3473" t="s">
        <v>12486</v>
      </c>
      <c r="F3473" t="s">
        <v>14039</v>
      </c>
      <c r="G3473" t="s">
        <v>14672</v>
      </c>
      <c r="H3473" t="s">
        <v>13869</v>
      </c>
      <c r="I3473" t="s">
        <v>14690</v>
      </c>
      <c r="J3473" s="62">
        <v>0</v>
      </c>
      <c r="K3473" s="62">
        <v>0</v>
      </c>
      <c r="L3473" t="str">
        <f>VLOOKUP(VALUE(LEFT(C3473,5)),Xref!A:B,2,0)</f>
        <v>SC2</v>
      </c>
      <c r="M3473" t="str">
        <f t="shared" si="219"/>
        <v>SC2-SEA</v>
      </c>
    </row>
    <row r="3474" spans="1:13" ht="14.25" customHeight="true">
      <c r="A3474" s="33" t="str">
        <f t="shared" si="216"/>
        <v>SEA - Intercompany</v>
      </c>
      <c r="B3474" s="33" t="str">
        <f t="shared" si="217"/>
        <v>SEA</v>
      </c>
      <c r="C3474" s="33" t="str">
        <f t="shared" si="218"/>
        <v>11301-0000</v>
      </c>
      <c r="D3474" t="s">
        <v>26311</v>
      </c>
      <c r="E3474" t="s">
        <v>13225</v>
      </c>
      <c r="F3474" t="s">
        <v>14039</v>
      </c>
      <c r="G3474" t="s">
        <v>14672</v>
      </c>
      <c r="H3474" t="s">
        <v>13869</v>
      </c>
      <c r="I3474" t="s">
        <v>14690</v>
      </c>
      <c r="J3474" s="62">
        <v>0</v>
      </c>
      <c r="K3474" s="62">
        <v>0</v>
      </c>
      <c r="L3474" t="str">
        <f>VLOOKUP(VALUE(LEFT(C3474,5)),Xref!A:B,2,0)</f>
        <v>CRE</v>
      </c>
      <c r="M3474" t="str">
        <f t="shared" si="219"/>
        <v>CRE-SEA</v>
      </c>
    </row>
    <row r="3475" spans="1:13" ht="14.25" customHeight="true">
      <c r="A3475" s="33" t="str">
        <f t="shared" si="216"/>
        <v>SEA - Intercompany</v>
      </c>
      <c r="B3475" s="33" t="str">
        <f t="shared" si="217"/>
        <v>SEA</v>
      </c>
      <c r="C3475" s="33" t="str">
        <f t="shared" si="218"/>
        <v>11302-0000</v>
      </c>
      <c r="D3475" t="s">
        <v>26312</v>
      </c>
      <c r="E3475" t="s">
        <v>13226</v>
      </c>
      <c r="F3475" t="s">
        <v>14039</v>
      </c>
      <c r="G3475" t="s">
        <v>14672</v>
      </c>
      <c r="H3475" t="s">
        <v>13869</v>
      </c>
      <c r="I3475" t="s">
        <v>14690</v>
      </c>
      <c r="J3475" s="62">
        <v>0</v>
      </c>
      <c r="K3475" s="62">
        <v>0</v>
      </c>
      <c r="L3475" t="str">
        <f>VLOOKUP(VALUE(LEFT(C3475,5)),Xref!A:B,2,0)</f>
        <v>CHA</v>
      </c>
      <c r="M3475" t="str">
        <f t="shared" si="219"/>
        <v>CHA-SEA</v>
      </c>
    </row>
    <row r="3476" spans="1:13" ht="14.25" customHeight="true">
      <c r="A3476" s="33" t="str">
        <f t="shared" si="216"/>
        <v>SEA - Intercompany</v>
      </c>
      <c r="B3476" s="33" t="str">
        <f t="shared" si="217"/>
        <v>SEA</v>
      </c>
      <c r="C3476" s="33" t="str">
        <f t="shared" si="218"/>
        <v>11303-0000</v>
      </c>
      <c r="D3476" t="s">
        <v>26313</v>
      </c>
      <c r="E3476" t="s">
        <v>13227</v>
      </c>
      <c r="F3476" t="s">
        <v>14039</v>
      </c>
      <c r="G3476" t="s">
        <v>14672</v>
      </c>
      <c r="H3476" t="s">
        <v>13869</v>
      </c>
      <c r="I3476" t="s">
        <v>14690</v>
      </c>
      <c r="J3476" s="62">
        <v>0</v>
      </c>
      <c r="K3476" s="62">
        <v>0</v>
      </c>
      <c r="L3476" t="str">
        <f>VLOOKUP(VALUE(LEFT(C3476,5)),Xref!A:B,2,0)</f>
        <v>DIA</v>
      </c>
      <c r="M3476" t="str">
        <f t="shared" si="219"/>
        <v>DIA-SEA</v>
      </c>
    </row>
    <row r="3477" spans="1:13" ht="14.25" customHeight="true">
      <c r="A3477" s="33" t="str">
        <f t="shared" si="216"/>
        <v>SEA - Intercompany</v>
      </c>
      <c r="B3477" s="33" t="str">
        <f t="shared" si="217"/>
        <v>SEA</v>
      </c>
      <c r="C3477" s="33" t="str">
        <f t="shared" si="218"/>
        <v>11304-0000</v>
      </c>
      <c r="D3477" t="s">
        <v>26314</v>
      </c>
      <c r="E3477" t="s">
        <v>13228</v>
      </c>
      <c r="F3477" t="s">
        <v>14039</v>
      </c>
      <c r="G3477" t="s">
        <v>14672</v>
      </c>
      <c r="H3477" t="s">
        <v>13869</v>
      </c>
      <c r="I3477" t="s">
        <v>14690</v>
      </c>
      <c r="J3477" s="62">
        <v>0</v>
      </c>
      <c r="K3477" s="62">
        <v>0</v>
      </c>
      <c r="L3477" t="str">
        <f>VLOOKUP(VALUE(LEFT(C3477,5)),Xref!A:B,2,0)</f>
        <v>EAG</v>
      </c>
      <c r="M3477" t="str">
        <f t="shared" si="219"/>
        <v>EAG-SEA</v>
      </c>
    </row>
    <row r="3478" spans="1:13" ht="14.25" customHeight="true">
      <c r="A3478" s="33" t="str">
        <f t="shared" si="216"/>
        <v>SEA - Intercompany</v>
      </c>
      <c r="B3478" s="33" t="str">
        <f t="shared" si="217"/>
        <v>SEA</v>
      </c>
      <c r="C3478" s="33" t="str">
        <f t="shared" si="218"/>
        <v>11305-0000</v>
      </c>
      <c r="D3478" t="s">
        <v>26315</v>
      </c>
      <c r="E3478" t="s">
        <v>13229</v>
      </c>
      <c r="F3478" t="s">
        <v>14039</v>
      </c>
      <c r="G3478" t="s">
        <v>14672</v>
      </c>
      <c r="H3478" t="s">
        <v>13869</v>
      </c>
      <c r="I3478" t="s">
        <v>14690</v>
      </c>
      <c r="J3478" s="62">
        <v>0</v>
      </c>
      <c r="K3478" s="62">
        <v>0</v>
      </c>
      <c r="L3478" t="str">
        <f>VLOOKUP(VALUE(LEFT(C3478,5)),Xref!A:B,2,0)</f>
        <v>NEW</v>
      </c>
      <c r="M3478" t="str">
        <f t="shared" si="219"/>
        <v>NEW-SEA</v>
      </c>
    </row>
    <row r="3479" spans="1:13" ht="14.25" customHeight="true">
      <c r="A3479" s="33" t="str">
        <f t="shared" si="216"/>
        <v>SEA - Intercompany</v>
      </c>
      <c r="B3479" s="33" t="str">
        <f t="shared" si="217"/>
        <v>SEA</v>
      </c>
      <c r="C3479" s="33" t="str">
        <f t="shared" si="218"/>
        <v>11307-0000</v>
      </c>
      <c r="D3479" t="s">
        <v>26316</v>
      </c>
      <c r="E3479" t="s">
        <v>14096</v>
      </c>
      <c r="F3479" t="s">
        <v>14039</v>
      </c>
      <c r="G3479" t="s">
        <v>14672</v>
      </c>
      <c r="H3479" t="s">
        <v>13869</v>
      </c>
      <c r="I3479" t="s">
        <v>14690</v>
      </c>
      <c r="J3479" s="62">
        <v>0</v>
      </c>
      <c r="K3479" s="62">
        <v>0</v>
      </c>
      <c r="L3479" t="str">
        <f>VLOOKUP(VALUE(LEFT(C3479,5)),Xref!A:B,2,0)</f>
        <v>NES</v>
      </c>
      <c r="M3479" t="str">
        <f t="shared" si="219"/>
        <v>NES-SEA</v>
      </c>
    </row>
    <row r="3480" spans="1:13" ht="14.25" customHeight="true">
      <c r="A3480" s="33" t="str">
        <f t="shared" si="216"/>
        <v>SEA - Intercompany</v>
      </c>
      <c r="B3480" s="33" t="str">
        <f t="shared" si="217"/>
        <v>SEA</v>
      </c>
      <c r="C3480" s="33" t="str">
        <f t="shared" si="218"/>
        <v>11308-0000</v>
      </c>
      <c r="D3480" t="s">
        <v>26317</v>
      </c>
      <c r="E3480" t="s">
        <v>13476</v>
      </c>
      <c r="F3480" t="s">
        <v>14039</v>
      </c>
      <c r="G3480" t="s">
        <v>14672</v>
      </c>
      <c r="H3480" t="s">
        <v>13869</v>
      </c>
      <c r="I3480" t="s">
        <v>14690</v>
      </c>
      <c r="J3480" s="62">
        <v>0</v>
      </c>
      <c r="K3480" s="62">
        <v>0</v>
      </c>
      <c r="L3480" t="str">
        <f>VLOOKUP(VALUE(LEFT(C3480,5)),Xref!A:B,2,0)</f>
        <v>LPI</v>
      </c>
      <c r="M3480" t="str">
        <f t="shared" si="219"/>
        <v>LPI-SEA</v>
      </c>
    </row>
    <row r="3481" spans="1:13" ht="14.25" customHeight="true">
      <c r="A3481" s="33" t="str">
        <f t="shared" si="216"/>
        <v>SEA - Intercompany</v>
      </c>
      <c r="B3481" s="33" t="str">
        <f t="shared" si="217"/>
        <v>SEA</v>
      </c>
      <c r="C3481" s="33" t="str">
        <f t="shared" si="218"/>
        <v>11309-0000</v>
      </c>
      <c r="D3481" t="s">
        <v>26318</v>
      </c>
      <c r="E3481" t="s">
        <v>13230</v>
      </c>
      <c r="F3481" t="s">
        <v>14039</v>
      </c>
      <c r="G3481" t="s">
        <v>14672</v>
      </c>
      <c r="H3481" t="s">
        <v>13869</v>
      </c>
      <c r="I3481" t="s">
        <v>14690</v>
      </c>
      <c r="J3481" s="62">
        <v>0</v>
      </c>
      <c r="K3481" s="62">
        <v>0</v>
      </c>
      <c r="L3481" t="str">
        <f>VLOOKUP(VALUE(LEFT(C3481,5)),Xref!A:B,2,0)</f>
        <v>GPI</v>
      </c>
      <c r="M3481" t="str">
        <f t="shared" si="219"/>
        <v>GPI-SEA</v>
      </c>
    </row>
    <row r="3482" spans="1:13" ht="14.25" customHeight="true">
      <c r="A3482" s="33" t="str">
        <f t="shared" si="216"/>
        <v>SEA - Intercompany</v>
      </c>
      <c r="B3482" s="33" t="str">
        <f t="shared" si="217"/>
        <v>SEA</v>
      </c>
      <c r="C3482" s="33" t="str">
        <f t="shared" si="218"/>
        <v>11310-0000</v>
      </c>
      <c r="D3482" t="s">
        <v>26319</v>
      </c>
      <c r="E3482" t="s">
        <v>13231</v>
      </c>
      <c r="F3482" t="s">
        <v>14039</v>
      </c>
      <c r="G3482" t="s">
        <v>14672</v>
      </c>
      <c r="H3482" t="s">
        <v>13869</v>
      </c>
      <c r="I3482" t="s">
        <v>14690</v>
      </c>
      <c r="J3482" s="62">
        <v>0</v>
      </c>
      <c r="K3482" s="62">
        <v>0</v>
      </c>
      <c r="L3482" t="str">
        <f>VLOOKUP(VALUE(LEFT(C3482,5)),Xref!A:B,2,0)</f>
        <v>ALP</v>
      </c>
      <c r="M3482" t="str">
        <f t="shared" si="219"/>
        <v>ALP-SEA</v>
      </c>
    </row>
    <row r="3483" spans="1:13" ht="14.25" customHeight="true">
      <c r="A3483" s="33" t="str">
        <f t="shared" si="216"/>
        <v>SEA - Intercompany</v>
      </c>
      <c r="B3483" s="33" t="str">
        <f t="shared" si="217"/>
        <v>SEA</v>
      </c>
      <c r="C3483" s="33" t="str">
        <f t="shared" si="218"/>
        <v>11311-0000</v>
      </c>
      <c r="D3483" t="s">
        <v>26320</v>
      </c>
      <c r="E3483" t="s">
        <v>13232</v>
      </c>
      <c r="F3483" t="s">
        <v>14039</v>
      </c>
      <c r="G3483" t="s">
        <v>14672</v>
      </c>
      <c r="H3483" t="s">
        <v>13869</v>
      </c>
      <c r="I3483" t="s">
        <v>14690</v>
      </c>
      <c r="J3483" s="62">
        <v>0</v>
      </c>
      <c r="K3483" s="62">
        <v>0</v>
      </c>
      <c r="L3483" t="str">
        <f>VLOOKUP(VALUE(LEFT(C3483,5)),Xref!A:B,2,0)</f>
        <v>BET</v>
      </c>
      <c r="M3483" t="str">
        <f t="shared" si="219"/>
        <v>BET-SEA</v>
      </c>
    </row>
    <row r="3484" spans="1:13" ht="14.25" customHeight="true">
      <c r="A3484" s="33" t="str">
        <f t="shared" si="216"/>
        <v>SEA - Intercompany</v>
      </c>
      <c r="B3484" s="33" t="str">
        <f t="shared" si="217"/>
        <v>SEA</v>
      </c>
      <c r="C3484" s="33" t="str">
        <f t="shared" si="218"/>
        <v>11312-0000</v>
      </c>
      <c r="D3484" t="s">
        <v>26321</v>
      </c>
      <c r="E3484" t="s">
        <v>14102</v>
      </c>
      <c r="F3484" t="s">
        <v>14039</v>
      </c>
      <c r="G3484" t="s">
        <v>14672</v>
      </c>
      <c r="H3484" t="s">
        <v>13869</v>
      </c>
      <c r="I3484" t="s">
        <v>14690</v>
      </c>
      <c r="J3484" s="62">
        <v>0</v>
      </c>
      <c r="K3484" s="62">
        <v>0</v>
      </c>
      <c r="L3484" t="str">
        <f>VLOOKUP(VALUE(LEFT(C3484,5)),Xref!A:B,2,0)</f>
        <v>DEL</v>
      </c>
      <c r="M3484" t="str">
        <f t="shared" si="219"/>
        <v>DEL-SEA</v>
      </c>
    </row>
    <row r="3485" spans="1:13" ht="14.25" customHeight="true">
      <c r="A3485" s="33" t="str">
        <f t="shared" si="216"/>
        <v>SEA - Intercompany</v>
      </c>
      <c r="B3485" s="33" t="str">
        <f t="shared" si="217"/>
        <v>SEA</v>
      </c>
      <c r="C3485" s="33" t="str">
        <f t="shared" si="218"/>
        <v>11313-0000</v>
      </c>
      <c r="D3485" t="s">
        <v>26322</v>
      </c>
      <c r="E3485" t="s">
        <v>13233</v>
      </c>
      <c r="F3485" t="s">
        <v>14039</v>
      </c>
      <c r="G3485" t="s">
        <v>14672</v>
      </c>
      <c r="H3485" t="s">
        <v>13869</v>
      </c>
      <c r="I3485" t="s">
        <v>14690</v>
      </c>
      <c r="J3485" s="62">
        <v>0</v>
      </c>
      <c r="K3485" s="62">
        <v>0</v>
      </c>
      <c r="L3485" t="str">
        <f>VLOOKUP(VALUE(LEFT(C3485,5)),Xref!A:B,2,0)</f>
        <v>DOL</v>
      </c>
      <c r="M3485" t="str">
        <f t="shared" si="219"/>
        <v>DOL-SEA</v>
      </c>
    </row>
    <row r="3486" spans="1:13" ht="14.25" customHeight="true">
      <c r="A3486" s="33" t="str">
        <f t="shared" si="216"/>
        <v>SEA - Intercompany</v>
      </c>
      <c r="B3486" s="33" t="str">
        <f t="shared" si="217"/>
        <v>SEA</v>
      </c>
      <c r="C3486" s="33" t="str">
        <f t="shared" si="218"/>
        <v>11314-0000</v>
      </c>
      <c r="D3486" t="s">
        <v>26323</v>
      </c>
      <c r="E3486" t="s">
        <v>13351</v>
      </c>
      <c r="F3486" t="s">
        <v>14039</v>
      </c>
      <c r="G3486" t="s">
        <v>14672</v>
      </c>
      <c r="H3486" t="s">
        <v>13869</v>
      </c>
      <c r="I3486" t="s">
        <v>14690</v>
      </c>
      <c r="J3486" s="62">
        <v>0</v>
      </c>
      <c r="K3486" s="62">
        <v>0</v>
      </c>
      <c r="L3486" t="str">
        <f>VLOOKUP(VALUE(LEFT(C3486,5)),Xref!A:B,2,0)</f>
        <v>GRI</v>
      </c>
      <c r="M3486" t="str">
        <f t="shared" si="219"/>
        <v>GRI-SEA</v>
      </c>
    </row>
    <row r="3487" spans="1:13" ht="14.25" customHeight="true">
      <c r="A3487" s="33" t="str">
        <f t="shared" si="216"/>
        <v>SEA - Intercompany</v>
      </c>
      <c r="B3487" s="33" t="str">
        <f t="shared" si="217"/>
        <v>SEA</v>
      </c>
      <c r="C3487" s="33" t="str">
        <f t="shared" si="218"/>
        <v>11315-0000</v>
      </c>
      <c r="D3487" t="s">
        <v>26324</v>
      </c>
      <c r="E3487" t="s">
        <v>13234</v>
      </c>
      <c r="F3487" t="s">
        <v>14039</v>
      </c>
      <c r="G3487" t="s">
        <v>14672</v>
      </c>
      <c r="H3487" t="s">
        <v>13869</v>
      </c>
      <c r="I3487" t="s">
        <v>14690</v>
      </c>
      <c r="J3487" s="62">
        <v>0</v>
      </c>
      <c r="K3487" s="62">
        <v>0</v>
      </c>
      <c r="L3487" t="str">
        <f>VLOOKUP(VALUE(LEFT(C3487,5)),Xref!A:B,2,0)</f>
        <v>PUR</v>
      </c>
      <c r="M3487" t="str">
        <f t="shared" si="219"/>
        <v>PUR-SEA</v>
      </c>
    </row>
    <row r="3488" spans="1:13" ht="14.25" customHeight="true">
      <c r="A3488" s="33" t="str">
        <f t="shared" si="216"/>
        <v>SEA - Intercompany</v>
      </c>
      <c r="B3488" s="33" t="str">
        <f t="shared" si="217"/>
        <v>SEA</v>
      </c>
      <c r="C3488" s="33" t="str">
        <f t="shared" si="218"/>
        <v>11316-0000</v>
      </c>
      <c r="D3488" t="s">
        <v>26325</v>
      </c>
      <c r="E3488" t="s">
        <v>13235</v>
      </c>
      <c r="F3488" t="s">
        <v>14039</v>
      </c>
      <c r="G3488" t="s">
        <v>14672</v>
      </c>
      <c r="H3488" t="s">
        <v>13869</v>
      </c>
      <c r="I3488" t="s">
        <v>14690</v>
      </c>
      <c r="J3488" s="62">
        <v>0</v>
      </c>
      <c r="K3488" s="62">
        <v>0</v>
      </c>
      <c r="L3488" t="str">
        <f>VLOOKUP(VALUE(LEFT(C3488,5)),Xref!A:B,2,0)</f>
        <v>VAL</v>
      </c>
      <c r="M3488" t="str">
        <f t="shared" si="219"/>
        <v>SEA-VAL</v>
      </c>
    </row>
    <row r="3489" spans="1:13" ht="14.25" customHeight="true">
      <c r="A3489" s="33" t="str">
        <f t="shared" si="216"/>
        <v>SEA - Intercompany</v>
      </c>
      <c r="B3489" s="33" t="str">
        <f t="shared" si="217"/>
        <v>SEA</v>
      </c>
      <c r="C3489" s="33" t="str">
        <f t="shared" si="218"/>
        <v>11317-0000</v>
      </c>
      <c r="D3489" t="s">
        <v>26326</v>
      </c>
      <c r="E3489" t="s">
        <v>13352</v>
      </c>
      <c r="F3489" t="s">
        <v>14039</v>
      </c>
      <c r="G3489" t="s">
        <v>14672</v>
      </c>
      <c r="H3489" t="s">
        <v>13869</v>
      </c>
      <c r="I3489" t="s">
        <v>14690</v>
      </c>
      <c r="J3489" s="62">
        <v>0</v>
      </c>
      <c r="K3489" s="62">
        <v>0</v>
      </c>
      <c r="L3489" t="str">
        <f>VLOOKUP(VALUE(LEFT(C3489,5)),Xref!A:B,2,0)</f>
        <v>AKG</v>
      </c>
      <c r="M3489" t="str">
        <f t="shared" si="219"/>
        <v>AKG-SEA</v>
      </c>
    </row>
    <row r="3490" spans="1:13" ht="14.25" customHeight="true">
      <c r="A3490" s="33" t="str">
        <f t="shared" si="216"/>
        <v>SEA - Intercompany</v>
      </c>
      <c r="B3490" s="33" t="str">
        <f t="shared" si="217"/>
        <v>SEA</v>
      </c>
      <c r="C3490" s="33" t="str">
        <f t="shared" si="218"/>
        <v>11318-0000</v>
      </c>
      <c r="D3490" t="s">
        <v>26327</v>
      </c>
      <c r="E3490" t="s">
        <v>13477</v>
      </c>
      <c r="F3490" t="s">
        <v>14039</v>
      </c>
      <c r="G3490" t="s">
        <v>14672</v>
      </c>
      <c r="H3490" t="s">
        <v>13869</v>
      </c>
      <c r="I3490" t="s">
        <v>14690</v>
      </c>
      <c r="J3490" s="62">
        <v>0</v>
      </c>
      <c r="K3490" s="62">
        <v>0</v>
      </c>
      <c r="L3490" t="str">
        <f>VLOOKUP(VALUE(LEFT(C3490,5)),Xref!A:B,2,0)</f>
        <v>FIR</v>
      </c>
      <c r="M3490" t="str">
        <f t="shared" si="219"/>
        <v>FIR-SEA</v>
      </c>
    </row>
    <row r="3491" spans="1:13" ht="14.25" customHeight="true">
      <c r="A3491" s="33" t="str">
        <f t="shared" si="216"/>
        <v>SEA - Intercompany</v>
      </c>
      <c r="B3491" s="33" t="str">
        <f t="shared" si="217"/>
        <v>SEA</v>
      </c>
      <c r="C3491" s="33" t="str">
        <f t="shared" si="218"/>
        <v>11319-0000</v>
      </c>
      <c r="D3491" t="s">
        <v>26328</v>
      </c>
      <c r="E3491" t="s">
        <v>266</v>
      </c>
      <c r="F3491" t="s">
        <v>14039</v>
      </c>
      <c r="G3491" t="s">
        <v>14672</v>
      </c>
      <c r="H3491" t="s">
        <v>13869</v>
      </c>
      <c r="I3491" t="s">
        <v>14690</v>
      </c>
      <c r="J3491" s="62">
        <v>0</v>
      </c>
      <c r="K3491" s="62">
        <v>0</v>
      </c>
      <c r="L3491" t="str">
        <f>VLOOKUP(VALUE(LEFT(C3491,5)),Xref!A:B,2,0)</f>
        <v>GST</v>
      </c>
      <c r="M3491" t="str">
        <f t="shared" si="219"/>
        <v>GST-SEA</v>
      </c>
    </row>
    <row r="3492" spans="1:13" ht="14.25" customHeight="true">
      <c r="A3492" s="33" t="str">
        <f t="shared" si="216"/>
        <v>SEA - Intercompany</v>
      </c>
      <c r="B3492" s="33" t="str">
        <f t="shared" si="217"/>
        <v>SEA</v>
      </c>
      <c r="C3492" s="33" t="str">
        <f t="shared" si="218"/>
        <v>11320-0000</v>
      </c>
      <c r="D3492" t="s">
        <v>26329</v>
      </c>
      <c r="E3492" t="s">
        <v>14111</v>
      </c>
      <c r="F3492" t="s">
        <v>14039</v>
      </c>
      <c r="G3492" t="s">
        <v>14672</v>
      </c>
      <c r="H3492" t="s">
        <v>13869</v>
      </c>
      <c r="I3492" t="s">
        <v>14690</v>
      </c>
      <c r="J3492" s="62">
        <v>0</v>
      </c>
      <c r="K3492" s="62">
        <v>0</v>
      </c>
      <c r="L3492" t="str">
        <f>VLOOKUP(VALUE(LEFT(C3492,5)),Xref!A:B,2,0)</f>
        <v>HDN</v>
      </c>
      <c r="M3492" t="str">
        <f t="shared" si="219"/>
        <v>HDN-SEA</v>
      </c>
    </row>
    <row r="3493" spans="1:13" ht="14.25" customHeight="true">
      <c r="A3493" s="33" t="str">
        <f t="shared" si="216"/>
        <v>SEA - Intercompany</v>
      </c>
      <c r="B3493" s="33" t="str">
        <f t="shared" si="217"/>
        <v>SEA</v>
      </c>
      <c r="C3493" s="33" t="str">
        <f t="shared" si="218"/>
        <v>11321-0000</v>
      </c>
      <c r="D3493" t="s">
        <v>26330</v>
      </c>
      <c r="E3493" t="s">
        <v>13236</v>
      </c>
      <c r="F3493" t="s">
        <v>14039</v>
      </c>
      <c r="G3493" t="s">
        <v>14672</v>
      </c>
      <c r="H3493" t="s">
        <v>13869</v>
      </c>
      <c r="I3493" t="s">
        <v>14690</v>
      </c>
      <c r="J3493" s="62">
        <v>0</v>
      </c>
      <c r="K3493" s="62">
        <v>0</v>
      </c>
      <c r="L3493" t="str">
        <f>VLOOKUP(VALUE(LEFT(C3493,5)),Xref!A:B,2,0)</f>
        <v>OVA</v>
      </c>
      <c r="M3493" t="str">
        <f t="shared" si="219"/>
        <v>OVA-SEA</v>
      </c>
    </row>
    <row r="3494" spans="1:13" ht="14.25" customHeight="true">
      <c r="A3494" s="33" t="str">
        <f t="shared" si="216"/>
        <v>SEA - Intercompany</v>
      </c>
      <c r="B3494" s="33" t="str">
        <f t="shared" si="217"/>
        <v>SEA</v>
      </c>
      <c r="C3494" s="33" t="str">
        <f t="shared" si="218"/>
        <v>11322-0000</v>
      </c>
      <c r="D3494" t="s">
        <v>26331</v>
      </c>
      <c r="E3494" t="s">
        <v>13237</v>
      </c>
      <c r="F3494" t="s">
        <v>14039</v>
      </c>
      <c r="G3494" t="s">
        <v>14672</v>
      </c>
      <c r="H3494" t="s">
        <v>13869</v>
      </c>
      <c r="I3494" t="s">
        <v>14690</v>
      </c>
      <c r="J3494" s="62">
        <v>0</v>
      </c>
      <c r="K3494" s="62">
        <v>0</v>
      </c>
      <c r="L3494" t="str">
        <f>VLOOKUP(VALUE(LEFT(C3494,5)),Xref!A:B,2,0)</f>
        <v>WOO</v>
      </c>
      <c r="M3494" t="str">
        <f t="shared" si="219"/>
        <v>SEA-WOO</v>
      </c>
    </row>
    <row r="3495" spans="1:13" ht="14.25" customHeight="true">
      <c r="A3495" s="33" t="str">
        <f t="shared" si="216"/>
        <v>SEA - Intercompany</v>
      </c>
      <c r="B3495" s="33" t="str">
        <f t="shared" si="217"/>
        <v>SEA</v>
      </c>
      <c r="C3495" s="33" t="str">
        <f t="shared" si="218"/>
        <v>11323-0000</v>
      </c>
      <c r="D3495" t="s">
        <v>26332</v>
      </c>
      <c r="E3495" t="s">
        <v>13478</v>
      </c>
      <c r="F3495" t="s">
        <v>14039</v>
      </c>
      <c r="G3495" t="s">
        <v>14672</v>
      </c>
      <c r="H3495" t="s">
        <v>13869</v>
      </c>
      <c r="I3495" t="s">
        <v>14690</v>
      </c>
      <c r="J3495" s="62">
        <v>0</v>
      </c>
      <c r="K3495" s="62">
        <v>0</v>
      </c>
      <c r="L3495" t="str">
        <f>VLOOKUP(VALUE(LEFT(C3495,5)),Xref!A:B,2,0)</f>
        <v>SPI</v>
      </c>
      <c r="M3495" t="str">
        <f t="shared" si="219"/>
        <v>SEA-SPI</v>
      </c>
    </row>
    <row r="3496" spans="1:13" ht="14.25" customHeight="true">
      <c r="A3496" s="33" t="str">
        <f t="shared" si="216"/>
        <v>SEA - Intercompany</v>
      </c>
      <c r="B3496" s="33" t="str">
        <f t="shared" si="217"/>
        <v>SEA</v>
      </c>
      <c r="C3496" s="33" t="str">
        <f t="shared" si="218"/>
        <v>11324-0000</v>
      </c>
      <c r="D3496" t="s">
        <v>26333</v>
      </c>
      <c r="E3496" t="s">
        <v>13238</v>
      </c>
      <c r="F3496" t="s">
        <v>14039</v>
      </c>
      <c r="G3496" t="s">
        <v>14672</v>
      </c>
      <c r="H3496" t="s">
        <v>13869</v>
      </c>
      <c r="I3496" t="s">
        <v>14690</v>
      </c>
      <c r="J3496" s="62">
        <v>0</v>
      </c>
      <c r="K3496" s="62">
        <v>0</v>
      </c>
      <c r="L3496" t="str">
        <f>VLOOKUP(VALUE(LEFT(C3496,5)),Xref!A:B,2,0)</f>
        <v>NET</v>
      </c>
      <c r="M3496" t="str">
        <f t="shared" si="219"/>
        <v>NET-SEA</v>
      </c>
    </row>
    <row r="3497" spans="1:13" ht="14.25" customHeight="true">
      <c r="A3497" s="33" t="str">
        <f t="shared" si="216"/>
        <v>SEA - Intercompany</v>
      </c>
      <c r="B3497" s="33" t="str">
        <f t="shared" si="217"/>
        <v>SEA</v>
      </c>
      <c r="C3497" s="33" t="str">
        <f t="shared" si="218"/>
        <v>11325-0000</v>
      </c>
      <c r="D3497" t="s">
        <v>26334</v>
      </c>
      <c r="E3497" t="s">
        <v>13239</v>
      </c>
      <c r="F3497" t="s">
        <v>14039</v>
      </c>
      <c r="G3497" t="s">
        <v>14672</v>
      </c>
      <c r="H3497" t="s">
        <v>13869</v>
      </c>
      <c r="I3497" t="s">
        <v>14690</v>
      </c>
      <c r="J3497" s="62">
        <v>0</v>
      </c>
      <c r="K3497" s="62">
        <v>0</v>
      </c>
      <c r="L3497" t="str">
        <f>VLOOKUP(VALUE(LEFT(C3497,5)),Xref!A:B,2,0)</f>
        <v>DPI</v>
      </c>
      <c r="M3497" t="str">
        <f t="shared" si="219"/>
        <v>DPI-SEA</v>
      </c>
    </row>
    <row r="3498" spans="1:13" ht="14.25" customHeight="true">
      <c r="A3498" s="33" t="str">
        <f t="shared" si="216"/>
        <v>SEA - Intercompany</v>
      </c>
      <c r="B3498" s="33" t="str">
        <f t="shared" si="217"/>
        <v>SEA</v>
      </c>
      <c r="C3498" s="33" t="str">
        <f t="shared" si="218"/>
        <v>11326-0000</v>
      </c>
      <c r="D3498" t="s">
        <v>26335</v>
      </c>
      <c r="E3498" t="s">
        <v>13240</v>
      </c>
      <c r="F3498" t="s">
        <v>14039</v>
      </c>
      <c r="G3498" t="s">
        <v>14672</v>
      </c>
      <c r="H3498" t="s">
        <v>13869</v>
      </c>
      <c r="I3498" t="s">
        <v>14690</v>
      </c>
      <c r="J3498" s="62">
        <v>0</v>
      </c>
      <c r="K3498" s="62">
        <v>0</v>
      </c>
      <c r="L3498" t="str">
        <f>VLOOKUP(VALUE(LEFT(C3498,5)),Xref!A:B,2,0)</f>
        <v>SEK</v>
      </c>
      <c r="M3498" t="str">
        <f t="shared" si="219"/>
        <v>SEA-SEK</v>
      </c>
    </row>
    <row r="3499" spans="1:13" ht="14.25" customHeight="true">
      <c r="A3499" s="33" t="str">
        <f t="shared" si="216"/>
        <v>SEA - Intercompany</v>
      </c>
      <c r="B3499" s="33" t="str">
        <f t="shared" si="217"/>
        <v>SEA</v>
      </c>
      <c r="C3499" s="33" t="str">
        <f t="shared" si="218"/>
        <v>11327-0000</v>
      </c>
      <c r="D3499" t="s">
        <v>26336</v>
      </c>
      <c r="E3499" t="s">
        <v>14119</v>
      </c>
      <c r="F3499" t="s">
        <v>14039</v>
      </c>
      <c r="G3499" t="s">
        <v>14672</v>
      </c>
      <c r="H3499" t="s">
        <v>13869</v>
      </c>
      <c r="I3499" t="s">
        <v>14690</v>
      </c>
      <c r="J3499" s="62">
        <v>0</v>
      </c>
      <c r="K3499" s="62">
        <v>0</v>
      </c>
      <c r="L3499" t="str">
        <f>VLOOKUP(VALUE(LEFT(C3499,5)),Xref!A:B,2,0)</f>
        <v>CPI</v>
      </c>
      <c r="M3499" t="str">
        <f t="shared" si="219"/>
        <v>CPI-SEA</v>
      </c>
    </row>
    <row r="3500" spans="1:13" ht="14.25" customHeight="true">
      <c r="A3500" s="33" t="str">
        <f t="shared" si="216"/>
        <v>SEA - Intercompany</v>
      </c>
      <c r="B3500" s="33" t="str">
        <f t="shared" si="217"/>
        <v>SEA</v>
      </c>
      <c r="C3500" s="33" t="str">
        <f t="shared" si="218"/>
        <v>11328-0000</v>
      </c>
      <c r="D3500" t="s">
        <v>26337</v>
      </c>
      <c r="E3500" t="s">
        <v>13241</v>
      </c>
      <c r="F3500" t="s">
        <v>14039</v>
      </c>
      <c r="G3500" t="s">
        <v>14672</v>
      </c>
      <c r="H3500" t="s">
        <v>13869</v>
      </c>
      <c r="I3500" t="s">
        <v>14690</v>
      </c>
      <c r="J3500" s="62">
        <v>0</v>
      </c>
      <c r="K3500" s="62">
        <v>0</v>
      </c>
      <c r="L3500" t="str">
        <f>VLOOKUP(VALUE(LEFT(C3500,5)),Xref!A:B,2,0)</f>
        <v>LOM</v>
      </c>
      <c r="M3500" t="str">
        <f t="shared" si="219"/>
        <v>LOM-SEA</v>
      </c>
    </row>
    <row r="3501" spans="1:13" ht="14.25" customHeight="true">
      <c r="A3501" s="33" t="str">
        <f t="shared" si="216"/>
        <v>SEA - Intercompany</v>
      </c>
      <c r="B3501" s="33" t="str">
        <f t="shared" si="217"/>
        <v>SEA</v>
      </c>
      <c r="C3501" s="33" t="str">
        <f t="shared" si="218"/>
        <v>11329-0000</v>
      </c>
      <c r="D3501" t="s">
        <v>26338</v>
      </c>
      <c r="E3501" t="s">
        <v>13353</v>
      </c>
      <c r="F3501" t="s">
        <v>14039</v>
      </c>
      <c r="G3501" t="s">
        <v>14672</v>
      </c>
      <c r="H3501" t="s">
        <v>13869</v>
      </c>
      <c r="I3501" t="s">
        <v>14690</v>
      </c>
      <c r="J3501" s="62">
        <v>0</v>
      </c>
      <c r="K3501" s="62">
        <v>0</v>
      </c>
      <c r="L3501" t="str">
        <f>VLOOKUP(VALUE(LEFT(C3501,5)),Xref!A:B,2,0)</f>
        <v>AKS</v>
      </c>
      <c r="M3501" t="str">
        <f t="shared" si="219"/>
        <v>AKS-SEA</v>
      </c>
    </row>
    <row r="3502" spans="1:13" ht="14.25" customHeight="true">
      <c r="A3502" s="33" t="str">
        <f t="shared" si="216"/>
        <v>SEA - Intercompany</v>
      </c>
      <c r="B3502" s="33" t="str">
        <f t="shared" si="217"/>
        <v>SEA</v>
      </c>
      <c r="C3502" s="33" t="str">
        <f t="shared" si="218"/>
        <v>11330-0000</v>
      </c>
      <c r="D3502" t="s">
        <v>26339</v>
      </c>
      <c r="E3502" t="s">
        <v>13242</v>
      </c>
      <c r="F3502" t="s">
        <v>14039</v>
      </c>
      <c r="G3502" t="s">
        <v>14672</v>
      </c>
      <c r="H3502" t="s">
        <v>13869</v>
      </c>
      <c r="I3502" t="s">
        <v>14690</v>
      </c>
      <c r="J3502" s="62">
        <v>0</v>
      </c>
      <c r="K3502" s="62">
        <v>0</v>
      </c>
      <c r="L3502" t="str">
        <f>VLOOKUP(VALUE(LEFT(C3502,5)),Xref!A:B,2,0)</f>
        <v>MAR</v>
      </c>
      <c r="M3502" t="str">
        <f t="shared" si="219"/>
        <v>MAR-SEA</v>
      </c>
    </row>
    <row r="3503" spans="1:13" ht="14.25" customHeight="true">
      <c r="A3503" s="33" t="str">
        <f t="shared" si="216"/>
        <v>SEA - Intercompany</v>
      </c>
      <c r="B3503" s="33" t="str">
        <f t="shared" si="217"/>
        <v>SEA</v>
      </c>
      <c r="C3503" s="33" t="str">
        <f t="shared" si="218"/>
        <v>11331-0000</v>
      </c>
      <c r="D3503" t="s">
        <v>26340</v>
      </c>
      <c r="E3503" t="s">
        <v>13354</v>
      </c>
      <c r="F3503" t="s">
        <v>14039</v>
      </c>
      <c r="G3503" t="s">
        <v>14672</v>
      </c>
      <c r="H3503" t="s">
        <v>13869</v>
      </c>
      <c r="I3503" t="s">
        <v>14690</v>
      </c>
      <c r="J3503" s="62">
        <v>0</v>
      </c>
      <c r="K3503" s="62">
        <v>0</v>
      </c>
      <c r="L3503" t="str">
        <f>VLOOKUP(VALUE(LEFT(C3503,5)),Xref!A:B,2,0)</f>
        <v>WIL</v>
      </c>
      <c r="M3503" t="str">
        <f t="shared" si="219"/>
        <v>SEA-WIL</v>
      </c>
    </row>
    <row r="3504" spans="1:13" ht="14.25" customHeight="true">
      <c r="A3504" s="33" t="str">
        <f t="shared" si="216"/>
        <v>SEA - Intercompany</v>
      </c>
      <c r="B3504" s="33" t="str">
        <f t="shared" si="217"/>
        <v>SEA</v>
      </c>
      <c r="C3504" s="33" t="str">
        <f t="shared" si="218"/>
        <v>11332-0000</v>
      </c>
      <c r="D3504" t="s">
        <v>26341</v>
      </c>
      <c r="E3504" t="s">
        <v>13243</v>
      </c>
      <c r="F3504" t="s">
        <v>14039</v>
      </c>
      <c r="G3504" t="s">
        <v>14672</v>
      </c>
      <c r="H3504" t="s">
        <v>13869</v>
      </c>
      <c r="I3504" t="s">
        <v>14690</v>
      </c>
      <c r="J3504" s="62">
        <v>0</v>
      </c>
      <c r="K3504" s="62">
        <v>0</v>
      </c>
      <c r="L3504" t="str">
        <f>VLOOKUP(VALUE(LEFT(C3504,5)),Xref!A:B,2,0)</f>
        <v>STO</v>
      </c>
      <c r="M3504" t="str">
        <f t="shared" si="219"/>
        <v>SEA-STO</v>
      </c>
    </row>
    <row r="3505" spans="1:13" ht="14.25" customHeight="true">
      <c r="A3505" s="33" t="str">
        <f t="shared" si="216"/>
        <v>SEA - Intercompany</v>
      </c>
      <c r="B3505" s="33" t="str">
        <f t="shared" si="217"/>
        <v>SEA</v>
      </c>
      <c r="C3505" s="33" t="str">
        <f t="shared" si="218"/>
        <v>11333-0000</v>
      </c>
      <c r="D3505" t="s">
        <v>26342</v>
      </c>
      <c r="E3505" t="s">
        <v>13244</v>
      </c>
      <c r="F3505" t="s">
        <v>14039</v>
      </c>
      <c r="G3505" t="s">
        <v>14672</v>
      </c>
      <c r="H3505" t="s">
        <v>13869</v>
      </c>
      <c r="I3505" t="s">
        <v>14690</v>
      </c>
      <c r="J3505" s="62">
        <v>0</v>
      </c>
      <c r="K3505" s="62">
        <v>0</v>
      </c>
      <c r="L3505" t="str">
        <f>VLOOKUP(VALUE(LEFT(C3505,5)),Xref!A:B,2,0)</f>
        <v>ANG</v>
      </c>
      <c r="M3505" t="str">
        <f t="shared" si="219"/>
        <v>ANG-SEA</v>
      </c>
    </row>
    <row r="3506" spans="1:13" ht="14.25" customHeight="true">
      <c r="A3506" s="33" t="str">
        <f t="shared" si="216"/>
        <v>SEA - Intercompany</v>
      </c>
      <c r="B3506" s="33" t="str">
        <f t="shared" si="217"/>
        <v>SEA</v>
      </c>
      <c r="C3506" s="33" t="str">
        <f t="shared" si="218"/>
        <v>11334-0000</v>
      </c>
      <c r="D3506" t="s">
        <v>26343</v>
      </c>
      <c r="E3506" t="s">
        <v>13245</v>
      </c>
      <c r="F3506" t="s">
        <v>14039</v>
      </c>
      <c r="G3506" t="s">
        <v>14672</v>
      </c>
      <c r="H3506" t="s">
        <v>13869</v>
      </c>
      <c r="I3506" t="s">
        <v>14690</v>
      </c>
      <c r="J3506" s="62">
        <v>0</v>
      </c>
      <c r="K3506" s="62">
        <v>0</v>
      </c>
      <c r="L3506" t="str">
        <f>VLOOKUP(VALUE(LEFT(C3506,5)),Xref!A:B,2,0)</f>
        <v>BRU</v>
      </c>
      <c r="M3506" t="str">
        <f t="shared" si="219"/>
        <v>BRU-SEA</v>
      </c>
    </row>
    <row r="3507" spans="1:13" ht="14.25" customHeight="true">
      <c r="A3507" s="33" t="str">
        <f t="shared" si="216"/>
        <v>SEA - Intercompany</v>
      </c>
      <c r="B3507" s="33" t="str">
        <f t="shared" si="217"/>
        <v>SEA</v>
      </c>
      <c r="C3507" s="33" t="str">
        <f t="shared" si="218"/>
        <v>11335-0000</v>
      </c>
      <c r="D3507" t="s">
        <v>26344</v>
      </c>
      <c r="E3507" t="s">
        <v>13246</v>
      </c>
      <c r="F3507" t="s">
        <v>14039</v>
      </c>
      <c r="G3507" t="s">
        <v>14672</v>
      </c>
      <c r="H3507" t="s">
        <v>13869</v>
      </c>
      <c r="I3507" t="s">
        <v>14690</v>
      </c>
      <c r="J3507" s="62">
        <v>0</v>
      </c>
      <c r="K3507" s="62">
        <v>0</v>
      </c>
      <c r="L3507" t="str">
        <f>VLOOKUP(VALUE(LEFT(C3507,5)),Xref!A:B,2,0)</f>
        <v>VEN</v>
      </c>
      <c r="M3507" t="str">
        <f t="shared" si="219"/>
        <v>SEA-VEN</v>
      </c>
    </row>
    <row r="3508" spans="1:13" ht="14.25" customHeight="true">
      <c r="A3508" s="33" t="str">
        <f t="shared" si="216"/>
        <v>SEA - Intercompany</v>
      </c>
      <c r="B3508" s="33" t="str">
        <f t="shared" si="217"/>
        <v>SEA</v>
      </c>
      <c r="C3508" s="33" t="str">
        <f t="shared" si="218"/>
        <v>11336-0000</v>
      </c>
      <c r="D3508" t="s">
        <v>26345</v>
      </c>
      <c r="E3508" t="s">
        <v>13247</v>
      </c>
      <c r="F3508" t="s">
        <v>14039</v>
      </c>
      <c r="G3508" t="s">
        <v>14672</v>
      </c>
      <c r="H3508" t="s">
        <v>13869</v>
      </c>
      <c r="I3508" t="s">
        <v>14690</v>
      </c>
      <c r="J3508" s="62">
        <v>0</v>
      </c>
      <c r="K3508" s="62">
        <v>0</v>
      </c>
      <c r="L3508" t="str">
        <f>VLOOKUP(VALUE(LEFT(C3508,5)),Xref!A:B,2,0)</f>
        <v>SAT</v>
      </c>
      <c r="M3508" t="str">
        <f t="shared" si="219"/>
        <v>SAT-SEA</v>
      </c>
    </row>
    <row r="3509" spans="1:13" ht="14.25" customHeight="true">
      <c r="A3509" s="33" t="str">
        <f t="shared" si="216"/>
        <v>SEA - Intercompany</v>
      </c>
      <c r="B3509" s="33" t="str">
        <f t="shared" si="217"/>
        <v>SEA</v>
      </c>
      <c r="C3509" s="33" t="str">
        <f t="shared" si="218"/>
        <v>11337-0000</v>
      </c>
      <c r="D3509" t="s">
        <v>26346</v>
      </c>
      <c r="E3509" t="s">
        <v>13248</v>
      </c>
      <c r="F3509" t="s">
        <v>14039</v>
      </c>
      <c r="G3509" t="s">
        <v>14672</v>
      </c>
      <c r="H3509" t="s">
        <v>13869</v>
      </c>
      <c r="I3509" t="s">
        <v>14690</v>
      </c>
      <c r="J3509" s="62">
        <v>0</v>
      </c>
      <c r="K3509" s="62">
        <v>0</v>
      </c>
      <c r="L3509" t="str">
        <f>VLOOKUP(VALUE(LEFT(C3509,5)),Xref!A:B,2,0)</f>
        <v>NEP</v>
      </c>
      <c r="M3509" t="str">
        <f t="shared" si="219"/>
        <v>NEP-SEA</v>
      </c>
    </row>
    <row r="3510" spans="1:13" ht="14.25" customHeight="true">
      <c r="A3510" s="33" t="str">
        <f t="shared" si="216"/>
        <v>SEA - Intercompany</v>
      </c>
      <c r="B3510" s="33" t="str">
        <f t="shared" si="217"/>
        <v>SEA</v>
      </c>
      <c r="C3510" s="33" t="str">
        <f t="shared" si="218"/>
        <v>11338-0000</v>
      </c>
      <c r="D3510" t="s">
        <v>26347</v>
      </c>
      <c r="E3510" t="s">
        <v>14131</v>
      </c>
      <c r="F3510" t="s">
        <v>14039</v>
      </c>
      <c r="G3510" t="s">
        <v>14672</v>
      </c>
      <c r="H3510" t="s">
        <v>13869</v>
      </c>
      <c r="I3510" t="s">
        <v>14690</v>
      </c>
      <c r="J3510" s="62">
        <v>0</v>
      </c>
      <c r="K3510" s="62">
        <v>0</v>
      </c>
      <c r="L3510" t="str">
        <f>VLOOKUP(VALUE(LEFT(C3510,5)),Xref!A:B,2,0)</f>
        <v>JUP</v>
      </c>
      <c r="M3510" t="str">
        <f t="shared" si="219"/>
        <v>JUP-SEA</v>
      </c>
    </row>
    <row r="3511" spans="1:13" ht="14.25" customHeight="true">
      <c r="A3511" s="33" t="str">
        <f t="shared" si="216"/>
        <v>SEA - Intercompany</v>
      </c>
      <c r="B3511" s="33" t="str">
        <f t="shared" si="217"/>
        <v>SEA</v>
      </c>
      <c r="C3511" s="33" t="str">
        <f t="shared" si="218"/>
        <v>11339-0000</v>
      </c>
      <c r="D3511" t="s">
        <v>26348</v>
      </c>
      <c r="E3511" t="s">
        <v>14133</v>
      </c>
      <c r="F3511" t="s">
        <v>14039</v>
      </c>
      <c r="G3511" t="s">
        <v>14672</v>
      </c>
      <c r="H3511" t="s">
        <v>13869</v>
      </c>
      <c r="I3511" t="s">
        <v>14690</v>
      </c>
      <c r="J3511" s="62">
        <v>0</v>
      </c>
      <c r="K3511" s="62">
        <v>0</v>
      </c>
      <c r="L3511" t="str">
        <f>VLOOKUP(VALUE(LEFT(C3511,5)),Xref!A:B,2,0)</f>
        <v>WES</v>
      </c>
      <c r="M3511" t="str">
        <f t="shared" si="219"/>
        <v>SEA-WES</v>
      </c>
    </row>
    <row r="3512" spans="1:13" ht="14.25" customHeight="true">
      <c r="A3512" s="33" t="str">
        <f t="shared" si="216"/>
        <v>SEA - Intercompany</v>
      </c>
      <c r="B3512" s="33" t="str">
        <f t="shared" si="217"/>
        <v>SEA</v>
      </c>
      <c r="C3512" s="33" t="str">
        <f t="shared" si="218"/>
        <v>11340-0000</v>
      </c>
      <c r="D3512" t="s">
        <v>26349</v>
      </c>
      <c r="E3512" t="s">
        <v>14135</v>
      </c>
      <c r="F3512" t="s">
        <v>14039</v>
      </c>
      <c r="G3512" t="s">
        <v>14672</v>
      </c>
      <c r="H3512" t="s">
        <v>13869</v>
      </c>
      <c r="I3512" t="s">
        <v>14690</v>
      </c>
      <c r="J3512" s="62">
        <v>0</v>
      </c>
      <c r="K3512" s="62">
        <v>0</v>
      </c>
      <c r="L3512" t="str">
        <f>VLOOKUP(VALUE(LEFT(C3512,5)),Xref!A:B,2,0)</f>
        <v>LCP</v>
      </c>
      <c r="M3512" t="str">
        <f t="shared" si="219"/>
        <v>LCP-SEA</v>
      </c>
    </row>
    <row r="3513" spans="1:13" ht="14.25" customHeight="true">
      <c r="A3513" s="33" t="str">
        <f t="shared" si="216"/>
        <v>SEA - Intercompany</v>
      </c>
      <c r="B3513" s="33" t="str">
        <f t="shared" si="217"/>
        <v>SEA</v>
      </c>
      <c r="C3513" s="33" t="str">
        <f t="shared" si="218"/>
        <v>11341-0000</v>
      </c>
      <c r="D3513" t="s">
        <v>26350</v>
      </c>
      <c r="E3513" t="s">
        <v>13639</v>
      </c>
      <c r="F3513" t="s">
        <v>14039</v>
      </c>
      <c r="G3513" t="s">
        <v>14672</v>
      </c>
      <c r="H3513" t="s">
        <v>13869</v>
      </c>
      <c r="I3513" t="s">
        <v>14690</v>
      </c>
      <c r="J3513" s="62">
        <v>0</v>
      </c>
      <c r="K3513" s="62">
        <v>0</v>
      </c>
      <c r="L3513" t="str">
        <f>VLOOKUP(VALUE(LEFT(C3513,5)),Xref!A:B,2,0)</f>
        <v>NOR</v>
      </c>
      <c r="M3513" t="str">
        <f t="shared" si="219"/>
        <v>NOR-SEA</v>
      </c>
    </row>
    <row r="3514" spans="1:13" ht="14.25" customHeight="true">
      <c r="A3514" s="33" t="str">
        <f t="shared" si="216"/>
        <v>SEA - Intercompany</v>
      </c>
      <c r="B3514" s="33" t="str">
        <f t="shared" si="217"/>
        <v>SEA</v>
      </c>
      <c r="C3514" s="33" t="str">
        <f t="shared" si="218"/>
        <v>11342-0000</v>
      </c>
      <c r="D3514" t="s">
        <v>26351</v>
      </c>
      <c r="E3514" t="s">
        <v>13355</v>
      </c>
      <c r="F3514" t="s">
        <v>14039</v>
      </c>
      <c r="G3514" t="s">
        <v>14672</v>
      </c>
      <c r="H3514" t="s">
        <v>13869</v>
      </c>
      <c r="I3514" t="s">
        <v>14690</v>
      </c>
      <c r="J3514" s="62">
        <v>0</v>
      </c>
      <c r="K3514" s="62">
        <v>0</v>
      </c>
      <c r="L3514" t="str">
        <f>VLOOKUP(VALUE(LEFT(C3514,5)),Xref!A:B,2,0)</f>
        <v>EAS</v>
      </c>
      <c r="M3514" t="str">
        <f t="shared" si="219"/>
        <v>EAS-SEA</v>
      </c>
    </row>
    <row r="3515" spans="1:13" ht="14.25" customHeight="true">
      <c r="A3515" s="33" t="str">
        <f t="shared" si="216"/>
        <v>SEA - Intercompany</v>
      </c>
      <c r="B3515" s="33" t="str">
        <f t="shared" si="217"/>
        <v>SEA</v>
      </c>
      <c r="C3515" s="33" t="str">
        <f t="shared" si="218"/>
        <v>11343-0000</v>
      </c>
      <c r="D3515" t="s">
        <v>26352</v>
      </c>
      <c r="E3515" t="s">
        <v>14139</v>
      </c>
      <c r="F3515" t="s">
        <v>14039</v>
      </c>
      <c r="G3515" t="s">
        <v>14672</v>
      </c>
      <c r="H3515" t="s">
        <v>13869</v>
      </c>
      <c r="I3515" t="s">
        <v>14690</v>
      </c>
      <c r="J3515" s="62">
        <v>0</v>
      </c>
      <c r="K3515" s="62">
        <v>-35000</v>
      </c>
      <c r="L3515" t="str">
        <f>VLOOKUP(VALUE(LEFT(C3515,5)),Xref!A:B,2,0)</f>
        <v>GRA</v>
      </c>
      <c r="M3515" t="str">
        <f t="shared" si="219"/>
        <v>GRA-SEA</v>
      </c>
    </row>
    <row r="3516" spans="1:13" ht="14.25" customHeight="true">
      <c r="A3516" s="33" t="str">
        <f t="shared" si="216"/>
        <v>SEA - Intercompany</v>
      </c>
      <c r="B3516" s="33" t="str">
        <f t="shared" si="217"/>
        <v>SEA</v>
      </c>
      <c r="C3516" s="33" t="str">
        <f t="shared" si="218"/>
        <v>11344-0000</v>
      </c>
      <c r="D3516" t="s">
        <v>26353</v>
      </c>
      <c r="E3516" t="s">
        <v>14141</v>
      </c>
      <c r="F3516" t="s">
        <v>14039</v>
      </c>
      <c r="G3516" t="s">
        <v>14672</v>
      </c>
      <c r="H3516" t="s">
        <v>13869</v>
      </c>
      <c r="I3516" t="s">
        <v>14690</v>
      </c>
      <c r="J3516" s="62">
        <v>0</v>
      </c>
      <c r="K3516" s="62">
        <v>0</v>
      </c>
      <c r="L3516" t="str">
        <f>VLOOKUP(VALUE(LEFT(C3516,5)),Xref!A:B,2,0)</f>
        <v>SOU</v>
      </c>
      <c r="M3516" t="str">
        <f t="shared" si="219"/>
        <v>SEA-SOU</v>
      </c>
    </row>
    <row r="3517" spans="1:13" ht="14.25" customHeight="true">
      <c r="A3517" s="33" t="str">
        <f t="shared" si="216"/>
        <v>SEA - Intercompany</v>
      </c>
      <c r="B3517" s="33" t="str">
        <f t="shared" si="217"/>
        <v>SEA</v>
      </c>
      <c r="C3517" s="33" t="str">
        <f t="shared" si="218"/>
        <v>11345-0000</v>
      </c>
      <c r="D3517" t="s">
        <v>26354</v>
      </c>
      <c r="E3517" t="s">
        <v>14143</v>
      </c>
      <c r="F3517" t="s">
        <v>14039</v>
      </c>
      <c r="G3517" t="s">
        <v>14672</v>
      </c>
      <c r="H3517" t="s">
        <v>13869</v>
      </c>
      <c r="I3517" t="s">
        <v>14690</v>
      </c>
      <c r="J3517" s="62">
        <v>0</v>
      </c>
      <c r="K3517" s="62">
        <v>0</v>
      </c>
      <c r="L3517" t="str">
        <f>VLOOKUP(VALUE(LEFT(C3517,5)),Xref!A:B,2,0)</f>
        <v>API</v>
      </c>
      <c r="M3517" t="str">
        <f t="shared" si="219"/>
        <v>API-SEA</v>
      </c>
    </row>
    <row r="3518" spans="1:13" ht="14.25" customHeight="true">
      <c r="A3518" s="33" t="str">
        <f t="shared" si="216"/>
        <v>SEA - Intercompany</v>
      </c>
      <c r="B3518" s="33" t="str">
        <f t="shared" si="217"/>
        <v>SEA</v>
      </c>
      <c r="C3518" s="33" t="str">
        <f t="shared" si="218"/>
        <v>11346-0000</v>
      </c>
      <c r="D3518" t="s">
        <v>26355</v>
      </c>
      <c r="E3518" t="s">
        <v>14145</v>
      </c>
      <c r="F3518" t="s">
        <v>14039</v>
      </c>
      <c r="G3518" t="s">
        <v>14672</v>
      </c>
      <c r="H3518" t="s">
        <v>13869</v>
      </c>
      <c r="I3518" t="s">
        <v>14690</v>
      </c>
      <c r="J3518" s="62">
        <v>0</v>
      </c>
      <c r="K3518" s="62">
        <v>0</v>
      </c>
      <c r="L3518" t="str">
        <f>VLOOKUP(VALUE(LEFT(C3518,5)),Xref!A:B,2,0)</f>
        <v>DPH</v>
      </c>
      <c r="M3518" t="str">
        <f t="shared" si="219"/>
        <v>DPH-SEA</v>
      </c>
    </row>
    <row r="3519" spans="1:13" ht="14.25" customHeight="true">
      <c r="A3519" s="33" t="str">
        <f t="shared" si="216"/>
        <v>SEA - Intercompany</v>
      </c>
      <c r="B3519" s="33" t="str">
        <f t="shared" si="217"/>
        <v>SEA</v>
      </c>
      <c r="C3519" s="33" t="str">
        <f t="shared" si="218"/>
        <v>11347-0000</v>
      </c>
      <c r="D3519" t="s">
        <v>26356</v>
      </c>
      <c r="E3519" t="s">
        <v>14147</v>
      </c>
      <c r="F3519" t="s">
        <v>14039</v>
      </c>
      <c r="G3519" t="s">
        <v>14672</v>
      </c>
      <c r="H3519" t="s">
        <v>13869</v>
      </c>
      <c r="I3519" t="s">
        <v>14690</v>
      </c>
      <c r="J3519" s="62">
        <v>0</v>
      </c>
      <c r="K3519" s="62">
        <v>0</v>
      </c>
      <c r="L3519" t="str">
        <f>VLOOKUP(VALUE(LEFT(C3519,5)),Xref!A:B,2,0)</f>
        <v>ZPI</v>
      </c>
      <c r="M3519" t="str">
        <f t="shared" si="219"/>
        <v>SEA-ZPI</v>
      </c>
    </row>
    <row r="3520" spans="1:13" ht="14.25" customHeight="true">
      <c r="A3520" s="33" t="str">
        <f t="shared" si="216"/>
        <v>SEA - Intercompany</v>
      </c>
      <c r="B3520" s="33" t="str">
        <f t="shared" si="217"/>
        <v>SEA</v>
      </c>
      <c r="C3520" s="33" t="str">
        <f t="shared" si="218"/>
        <v>11348-0000</v>
      </c>
      <c r="D3520" t="s">
        <v>26357</v>
      </c>
      <c r="E3520" t="s">
        <v>14149</v>
      </c>
      <c r="F3520" t="s">
        <v>14039</v>
      </c>
      <c r="G3520" t="s">
        <v>14672</v>
      </c>
      <c r="H3520" t="s">
        <v>13869</v>
      </c>
      <c r="I3520" t="s">
        <v>14690</v>
      </c>
      <c r="J3520" s="62">
        <v>0</v>
      </c>
      <c r="K3520" s="62">
        <v>0</v>
      </c>
      <c r="L3520" t="str">
        <f>VLOOKUP(VALUE(LEFT(C3520,5)),Xref!A:B,2,0)</f>
        <v>EAM</v>
      </c>
      <c r="M3520" t="str">
        <f t="shared" si="219"/>
        <v>EAM-SEA</v>
      </c>
    </row>
    <row r="3521" spans="1:13" ht="14.25" customHeight="true">
      <c r="A3521" s="33" t="str">
        <f t="shared" si="216"/>
        <v>SEA - Intercompany</v>
      </c>
      <c r="B3521" s="33" t="str">
        <f t="shared" si="217"/>
        <v>SEA</v>
      </c>
      <c r="C3521" s="33" t="str">
        <f t="shared" si="218"/>
        <v>11349-0000</v>
      </c>
      <c r="D3521" t="s">
        <v>26358</v>
      </c>
      <c r="E3521" t="s">
        <v>14151</v>
      </c>
      <c r="F3521" t="s">
        <v>14039</v>
      </c>
      <c r="G3521" t="s">
        <v>14672</v>
      </c>
      <c r="H3521" t="s">
        <v>13869</v>
      </c>
      <c r="I3521" t="s">
        <v>14690</v>
      </c>
      <c r="J3521" s="62">
        <v>0</v>
      </c>
      <c r="K3521" s="62">
        <v>0</v>
      </c>
      <c r="L3521" t="str">
        <f>VLOOKUP(VALUE(LEFT(C3521,5)),Xref!A:B,2,0)</f>
        <v>SEA</v>
      </c>
      <c r="M3521" t="str">
        <f t="shared" si="219"/>
        <v>SEA-SEA</v>
      </c>
    </row>
    <row r="3522" spans="1:13" ht="14.25" customHeight="true">
      <c r="A3522" s="33" t="str">
        <f t="shared" ref="A3522:A3585" si="220">B3522&amp;" - "&amp;TRIM(H3522)</f>
        <v>SEA - Intercompany</v>
      </c>
      <c r="B3522" s="33" t="str">
        <f t="shared" ref="B3522:B3585" si="221">LEFT(D3522,3)</f>
        <v>SEA</v>
      </c>
      <c r="C3522" s="33" t="str">
        <f t="shared" ref="C3522:C3585" si="222">RIGHT(D3522,10)</f>
        <v>11350-0000</v>
      </c>
      <c r="D3522" t="s">
        <v>26359</v>
      </c>
      <c r="E3522" t="s">
        <v>14153</v>
      </c>
      <c r="F3522" t="s">
        <v>14039</v>
      </c>
      <c r="G3522" t="s">
        <v>14672</v>
      </c>
      <c r="H3522" t="s">
        <v>13869</v>
      </c>
      <c r="I3522" t="s">
        <v>14690</v>
      </c>
      <c r="J3522" s="62">
        <v>0</v>
      </c>
      <c r="K3522" s="62">
        <v>-5.12</v>
      </c>
      <c r="L3522" t="str">
        <f>VLOOKUP(VALUE(LEFT(C3522,5)),Xref!A:B,2,0)</f>
        <v>EAL</v>
      </c>
      <c r="M3522" t="str">
        <f t="shared" ref="M3522:M3585" si="223">IF(B3522&lt;L3522,B3522&amp;"-"&amp;L3522,L3522&amp;"-"&amp;B3522)</f>
        <v>EAL-SEA</v>
      </c>
    </row>
    <row r="3523" spans="1:13" ht="14.25" customHeight="true">
      <c r="A3523" s="33" t="str">
        <f t="shared" si="220"/>
        <v>SEA - Intercompany</v>
      </c>
      <c r="B3523" s="33" t="str">
        <f t="shared" si="221"/>
        <v>SEA</v>
      </c>
      <c r="C3523" s="33" t="str">
        <f t="shared" si="222"/>
        <v>11351-0000</v>
      </c>
      <c r="D3523" t="s">
        <v>26360</v>
      </c>
      <c r="E3523" t="s">
        <v>14155</v>
      </c>
      <c r="F3523" t="s">
        <v>14039</v>
      </c>
      <c r="G3523" t="s">
        <v>14672</v>
      </c>
      <c r="H3523" t="s">
        <v>13869</v>
      </c>
      <c r="I3523" t="s">
        <v>14690</v>
      </c>
      <c r="J3523" s="62">
        <v>0</v>
      </c>
      <c r="K3523" s="62">
        <v>0</v>
      </c>
      <c r="L3523" t="str">
        <f>VLOOKUP(VALUE(LEFT(C3523,5)),Xref!A:B,2,0)</f>
        <v>WEP</v>
      </c>
      <c r="M3523" t="str">
        <f t="shared" si="223"/>
        <v>SEA-WEP</v>
      </c>
    </row>
    <row r="3524" spans="1:13" ht="14.25" customHeight="true">
      <c r="A3524" s="33" t="str">
        <f t="shared" si="220"/>
        <v>SEA - Intercompany</v>
      </c>
      <c r="B3524" s="33" t="str">
        <f t="shared" si="221"/>
        <v>SEA</v>
      </c>
      <c r="C3524" s="33" t="str">
        <f t="shared" si="222"/>
        <v>11352-0000</v>
      </c>
      <c r="D3524" t="s">
        <v>26361</v>
      </c>
      <c r="E3524" t="s">
        <v>13536</v>
      </c>
      <c r="F3524" t="s">
        <v>14039</v>
      </c>
      <c r="G3524" t="s">
        <v>14672</v>
      </c>
      <c r="H3524" t="s">
        <v>13869</v>
      </c>
      <c r="I3524" t="s">
        <v>14690</v>
      </c>
      <c r="J3524" s="62">
        <v>0</v>
      </c>
      <c r="K3524" s="62">
        <v>0</v>
      </c>
      <c r="L3524" t="str">
        <f>VLOOKUP(VALUE(LEFT(C3524,5)),Xref!A:B,2,0)</f>
        <v>KLP</v>
      </c>
      <c r="M3524" t="str">
        <f t="shared" si="223"/>
        <v>KLP-SEA</v>
      </c>
    </row>
    <row r="3525" spans="1:13" ht="14.25" customHeight="true">
      <c r="A3525" s="33" t="str">
        <f t="shared" si="220"/>
        <v>SEA - Intercompany</v>
      </c>
      <c r="B3525" s="33" t="str">
        <f t="shared" si="221"/>
        <v>SEA</v>
      </c>
      <c r="C3525" s="33" t="str">
        <f t="shared" si="222"/>
        <v>11353-0000</v>
      </c>
      <c r="D3525" t="s">
        <v>26362</v>
      </c>
      <c r="E3525" t="s">
        <v>13537</v>
      </c>
      <c r="F3525" t="s">
        <v>14039</v>
      </c>
      <c r="G3525" t="s">
        <v>14672</v>
      </c>
      <c r="H3525" t="s">
        <v>13869</v>
      </c>
      <c r="I3525" t="s">
        <v>14690</v>
      </c>
      <c r="J3525" s="62">
        <v>0</v>
      </c>
      <c r="K3525" s="62">
        <v>0</v>
      </c>
      <c r="L3525" t="str">
        <f>VLOOKUP(VALUE(LEFT(C3525,5)),Xref!A:B,2,0)</f>
        <v>AKC</v>
      </c>
      <c r="M3525" t="str">
        <f t="shared" si="223"/>
        <v>AKC-SEA</v>
      </c>
    </row>
    <row r="3526" spans="1:13" ht="14.25" customHeight="true">
      <c r="A3526" s="33" t="str">
        <f t="shared" si="220"/>
        <v>SEA - Intercompany</v>
      </c>
      <c r="B3526" s="33" t="str">
        <f t="shared" si="221"/>
        <v>SEA</v>
      </c>
      <c r="C3526" s="33" t="str">
        <f t="shared" si="222"/>
        <v>11354-0000</v>
      </c>
      <c r="D3526" t="s">
        <v>26363</v>
      </c>
      <c r="E3526" t="s">
        <v>13538</v>
      </c>
      <c r="F3526" t="s">
        <v>14039</v>
      </c>
      <c r="G3526" t="s">
        <v>14672</v>
      </c>
      <c r="H3526" t="s">
        <v>13869</v>
      </c>
      <c r="I3526" t="s">
        <v>14690</v>
      </c>
      <c r="J3526" s="62">
        <v>0</v>
      </c>
      <c r="K3526" s="62">
        <v>0</v>
      </c>
      <c r="L3526" t="str">
        <f>VLOOKUP(VALUE(LEFT(C3526,5)),Xref!A:B,2,0)</f>
        <v>AKA</v>
      </c>
      <c r="M3526" t="str">
        <f t="shared" si="223"/>
        <v>AKA-SEA</v>
      </c>
    </row>
    <row r="3527" spans="1:13" ht="14.25" customHeight="true">
      <c r="A3527" s="33" t="str">
        <f t="shared" si="220"/>
        <v>SEA - Intercompany</v>
      </c>
      <c r="B3527" s="33" t="str">
        <f t="shared" si="221"/>
        <v>SEA</v>
      </c>
      <c r="C3527" s="33" t="str">
        <f t="shared" si="222"/>
        <v>11355-0000</v>
      </c>
      <c r="D3527" t="s">
        <v>26364</v>
      </c>
      <c r="E3527" t="s">
        <v>13539</v>
      </c>
      <c r="F3527" t="s">
        <v>14039</v>
      </c>
      <c r="G3527" t="s">
        <v>14672</v>
      </c>
      <c r="H3527" t="s">
        <v>13869</v>
      </c>
      <c r="I3527" t="s">
        <v>14690</v>
      </c>
      <c r="J3527" s="62">
        <v>0</v>
      </c>
      <c r="K3527" s="62">
        <v>0</v>
      </c>
      <c r="L3527" t="str">
        <f>VLOOKUP(VALUE(LEFT(C3527,5)),Xref!A:B,2,0)</f>
        <v>SPA</v>
      </c>
      <c r="M3527" t="str">
        <f t="shared" si="223"/>
        <v>SEA-SPA</v>
      </c>
    </row>
    <row r="3528" spans="1:13" ht="14.25" customHeight="true">
      <c r="A3528" s="33" t="str">
        <f t="shared" si="220"/>
        <v>SEA - Intercompany</v>
      </c>
      <c r="B3528" s="33" t="str">
        <f t="shared" si="221"/>
        <v>SEA</v>
      </c>
      <c r="C3528" s="33" t="str">
        <f t="shared" si="222"/>
        <v>11356-0000</v>
      </c>
      <c r="D3528" t="s">
        <v>26365</v>
      </c>
      <c r="E3528" t="s">
        <v>13540</v>
      </c>
      <c r="F3528" t="s">
        <v>14039</v>
      </c>
      <c r="G3528" t="s">
        <v>14672</v>
      </c>
      <c r="H3528" t="s">
        <v>13869</v>
      </c>
      <c r="I3528" t="s">
        <v>14690</v>
      </c>
      <c r="J3528" s="62">
        <v>0</v>
      </c>
      <c r="K3528" s="62">
        <v>0</v>
      </c>
      <c r="L3528" t="str">
        <f>VLOOKUP(VALUE(LEFT(C3528,5)),Xref!A:B,2,0)</f>
        <v>DPM</v>
      </c>
      <c r="M3528" t="str">
        <f t="shared" si="223"/>
        <v>DPM-SEA</v>
      </c>
    </row>
    <row r="3529" spans="1:13" ht="14.25" customHeight="true">
      <c r="A3529" s="33" t="str">
        <f t="shared" si="220"/>
        <v>SEA - Intercompany</v>
      </c>
      <c r="B3529" s="33" t="str">
        <f t="shared" si="221"/>
        <v>SEA</v>
      </c>
      <c r="C3529" s="33" t="str">
        <f t="shared" si="222"/>
        <v>11357-0000</v>
      </c>
      <c r="D3529" t="s">
        <v>26366</v>
      </c>
      <c r="E3529" t="s">
        <v>13541</v>
      </c>
      <c r="F3529" t="s">
        <v>14039</v>
      </c>
      <c r="G3529" t="s">
        <v>14672</v>
      </c>
      <c r="H3529" t="s">
        <v>13869</v>
      </c>
      <c r="I3529" t="s">
        <v>14690</v>
      </c>
      <c r="J3529" s="62">
        <v>0</v>
      </c>
      <c r="K3529" s="62">
        <v>0</v>
      </c>
      <c r="L3529" t="str">
        <f>VLOOKUP(VALUE(LEFT(C3529,5)),Xref!A:B,2,0)</f>
        <v>HDM</v>
      </c>
      <c r="M3529" t="str">
        <f t="shared" si="223"/>
        <v>HDM-SEA</v>
      </c>
    </row>
    <row r="3530" spans="1:13" ht="14.25" customHeight="true">
      <c r="A3530" s="33" t="str">
        <f t="shared" si="220"/>
        <v>SEA - Intercompany</v>
      </c>
      <c r="B3530" s="33" t="str">
        <f t="shared" si="221"/>
        <v>SEA</v>
      </c>
      <c r="C3530" s="33" t="str">
        <f t="shared" si="222"/>
        <v>11358-0000</v>
      </c>
      <c r="D3530" t="s">
        <v>26367</v>
      </c>
      <c r="E3530" t="s">
        <v>13542</v>
      </c>
      <c r="F3530" t="s">
        <v>14039</v>
      </c>
      <c r="G3530" t="s">
        <v>14672</v>
      </c>
      <c r="H3530" t="s">
        <v>13869</v>
      </c>
      <c r="I3530" t="s">
        <v>14690</v>
      </c>
      <c r="J3530" s="62">
        <v>0</v>
      </c>
      <c r="K3530" s="62">
        <v>0</v>
      </c>
      <c r="L3530" t="str">
        <f>VLOOKUP(VALUE(LEFT(C3530,5)),Xref!A:B,2,0)</f>
        <v>GRA</v>
      </c>
      <c r="M3530" t="str">
        <f t="shared" si="223"/>
        <v>GRA-SEA</v>
      </c>
    </row>
    <row r="3531" spans="1:13" ht="14.25" customHeight="true">
      <c r="A3531" s="33" t="str">
        <f t="shared" si="220"/>
        <v>SEA - Intercompany</v>
      </c>
      <c r="B3531" s="33" t="str">
        <f t="shared" si="221"/>
        <v>SEA</v>
      </c>
      <c r="C3531" s="33" t="str">
        <f t="shared" si="222"/>
        <v>11359-0000</v>
      </c>
      <c r="D3531" t="s">
        <v>26368</v>
      </c>
      <c r="E3531" t="s">
        <v>13543</v>
      </c>
      <c r="F3531" t="s">
        <v>14039</v>
      </c>
      <c r="G3531" t="s">
        <v>14672</v>
      </c>
      <c r="H3531" t="s">
        <v>13869</v>
      </c>
      <c r="I3531" t="s">
        <v>14690</v>
      </c>
      <c r="J3531" s="62">
        <v>0</v>
      </c>
      <c r="K3531" s="62">
        <v>0</v>
      </c>
      <c r="L3531" t="str">
        <f>VLOOKUP(VALUE(LEFT(C3531,5)),Xref!A:B,2,0)</f>
        <v>TPI</v>
      </c>
      <c r="M3531" t="str">
        <f t="shared" si="223"/>
        <v>SEA-TPI</v>
      </c>
    </row>
    <row r="3532" spans="1:13" ht="14.25" customHeight="true">
      <c r="A3532" s="33" t="str">
        <f t="shared" si="220"/>
        <v>SEA - Intercompany</v>
      </c>
      <c r="B3532" s="33" t="str">
        <f t="shared" si="221"/>
        <v>SEA</v>
      </c>
      <c r="C3532" s="33" t="str">
        <f t="shared" si="222"/>
        <v>11361-0000</v>
      </c>
      <c r="D3532" t="s">
        <v>26369</v>
      </c>
      <c r="E3532" t="s">
        <v>14165</v>
      </c>
      <c r="F3532" t="s">
        <v>14039</v>
      </c>
      <c r="G3532" t="s">
        <v>14672</v>
      </c>
      <c r="H3532" t="s">
        <v>13869</v>
      </c>
      <c r="I3532" t="s">
        <v>14690</v>
      </c>
      <c r="J3532" s="62">
        <v>0</v>
      </c>
      <c r="K3532" s="62">
        <v>0</v>
      </c>
      <c r="L3532" t="str">
        <f>VLOOKUP(VALUE(LEFT(C3532,5)),Xref!A:B,2,0)</f>
        <v>GSM</v>
      </c>
      <c r="M3532" t="str">
        <f t="shared" si="223"/>
        <v>GSM-SEA</v>
      </c>
    </row>
    <row r="3533" spans="1:13" ht="14.25" customHeight="true">
      <c r="A3533" s="33" t="str">
        <f t="shared" si="220"/>
        <v>SEA - Intercompany</v>
      </c>
      <c r="B3533" s="33" t="str">
        <f t="shared" si="221"/>
        <v>SEA</v>
      </c>
      <c r="C3533" s="33" t="str">
        <f t="shared" si="222"/>
        <v>11363-0000</v>
      </c>
      <c r="D3533" t="s">
        <v>26370</v>
      </c>
      <c r="E3533" t="s">
        <v>13544</v>
      </c>
      <c r="F3533" t="s">
        <v>14039</v>
      </c>
      <c r="G3533" t="s">
        <v>14672</v>
      </c>
      <c r="H3533" t="s">
        <v>13869</v>
      </c>
      <c r="I3533" t="s">
        <v>14690</v>
      </c>
      <c r="J3533" s="62">
        <v>0</v>
      </c>
      <c r="K3533" s="62">
        <v>0</v>
      </c>
      <c r="L3533" t="str">
        <f>VLOOKUP(VALUE(LEFT(C3533,5)),Xref!A:B,2,0)</f>
        <v>SOF</v>
      </c>
      <c r="M3533" t="str">
        <f t="shared" si="223"/>
        <v>SEA-SOF</v>
      </c>
    </row>
    <row r="3534" spans="1:13" ht="14.25" customHeight="true">
      <c r="A3534" s="33" t="str">
        <f t="shared" si="220"/>
        <v>SEA - Intercompany</v>
      </c>
      <c r="B3534" s="33" t="str">
        <f t="shared" si="221"/>
        <v>SEA</v>
      </c>
      <c r="C3534" s="33" t="str">
        <f t="shared" si="222"/>
        <v>11364-0000</v>
      </c>
      <c r="D3534" t="s">
        <v>26371</v>
      </c>
      <c r="E3534" t="s">
        <v>14168</v>
      </c>
      <c r="F3534" t="s">
        <v>14039</v>
      </c>
      <c r="G3534" t="s">
        <v>14672</v>
      </c>
      <c r="H3534" t="s">
        <v>13869</v>
      </c>
      <c r="I3534" t="s">
        <v>14690</v>
      </c>
      <c r="J3534" s="62">
        <v>0</v>
      </c>
      <c r="K3534" s="62">
        <v>0</v>
      </c>
      <c r="L3534" t="e">
        <f>VLOOKUP(VALUE(LEFT(C3534,5)),Xref!A:B,2,0)</f>
        <v>#N/A</v>
      </c>
      <c r="M3534" t="e">
        <f t="shared" si="223"/>
        <v>#N/A</v>
      </c>
    </row>
    <row r="3535" spans="1:13" ht="14.25" customHeight="true">
      <c r="A3535" s="33" t="str">
        <f t="shared" si="220"/>
        <v>SEA - Intercompany</v>
      </c>
      <c r="B3535" s="33" t="str">
        <f t="shared" si="221"/>
        <v>SEA</v>
      </c>
      <c r="C3535" s="33" t="str">
        <f t="shared" si="222"/>
        <v>11365-0000</v>
      </c>
      <c r="D3535" t="s">
        <v>26372</v>
      </c>
      <c r="E3535" t="s">
        <v>14170</v>
      </c>
      <c r="F3535" t="s">
        <v>14039</v>
      </c>
      <c r="G3535" t="s">
        <v>14672</v>
      </c>
      <c r="H3535" t="s">
        <v>13869</v>
      </c>
      <c r="I3535" t="s">
        <v>14690</v>
      </c>
      <c r="J3535" s="62">
        <v>0</v>
      </c>
      <c r="K3535" s="62">
        <v>0</v>
      </c>
      <c r="L3535" t="e">
        <f>VLOOKUP(VALUE(LEFT(C3535,5)),Xref!A:B,2,0)</f>
        <v>#N/A</v>
      </c>
      <c r="M3535" t="e">
        <f t="shared" si="223"/>
        <v>#N/A</v>
      </c>
    </row>
    <row r="3536" spans="1:13" ht="14.25" customHeight="true">
      <c r="A3536" s="33" t="str">
        <f t="shared" si="220"/>
        <v>SEA - Intercompany</v>
      </c>
      <c r="B3536" s="33" t="str">
        <f t="shared" si="221"/>
        <v>SEA</v>
      </c>
      <c r="C3536" s="33" t="str">
        <f t="shared" si="222"/>
        <v>11366-0000</v>
      </c>
      <c r="D3536" t="s">
        <v>26373</v>
      </c>
      <c r="E3536" t="s">
        <v>14172</v>
      </c>
      <c r="G3536" t="s">
        <v>14672</v>
      </c>
      <c r="H3536" t="s">
        <v>13869</v>
      </c>
      <c r="I3536" t="s">
        <v>14690</v>
      </c>
      <c r="J3536" s="62">
        <v>0</v>
      </c>
      <c r="K3536" s="62">
        <v>0</v>
      </c>
      <c r="L3536" t="e">
        <f>VLOOKUP(VALUE(LEFT(C3536,5)),Xref!A:B,2,0)</f>
        <v>#N/A</v>
      </c>
      <c r="M3536" t="e">
        <f t="shared" si="223"/>
        <v>#N/A</v>
      </c>
    </row>
    <row r="3537" spans="1:13" ht="14.25" customHeight="true">
      <c r="A3537" s="33" t="str">
        <f t="shared" si="220"/>
        <v>SEA - Intercompany</v>
      </c>
      <c r="B3537" s="33" t="str">
        <f t="shared" si="221"/>
        <v>SEA</v>
      </c>
      <c r="C3537" s="33" t="str">
        <f t="shared" si="222"/>
        <v>11402-0000</v>
      </c>
      <c r="D3537" t="s">
        <v>26374</v>
      </c>
      <c r="E3537" t="s">
        <v>14174</v>
      </c>
      <c r="G3537" t="s">
        <v>14672</v>
      </c>
      <c r="H3537" t="s">
        <v>13869</v>
      </c>
      <c r="I3537" t="s">
        <v>14690</v>
      </c>
      <c r="J3537" s="62">
        <v>0</v>
      </c>
      <c r="K3537" s="62">
        <v>0</v>
      </c>
      <c r="L3537" t="str">
        <f>VLOOKUP(VALUE(LEFT(C3537,5)),Xref!A:B,2,0)</f>
        <v>DPI</v>
      </c>
      <c r="M3537" t="str">
        <f t="shared" si="223"/>
        <v>DPI-SEA</v>
      </c>
    </row>
    <row r="3538" spans="1:13" ht="14.25" customHeight="true">
      <c r="A3538" s="33" t="str">
        <f t="shared" si="220"/>
        <v>SEA - Intercompany</v>
      </c>
      <c r="B3538" s="33" t="str">
        <f t="shared" si="221"/>
        <v>SEA</v>
      </c>
      <c r="C3538" s="33" t="str">
        <f t="shared" si="222"/>
        <v>11403-0000</v>
      </c>
      <c r="D3538" t="s">
        <v>26375</v>
      </c>
      <c r="E3538" t="s">
        <v>14176</v>
      </c>
      <c r="G3538" t="s">
        <v>14672</v>
      </c>
      <c r="H3538" t="s">
        <v>13869</v>
      </c>
      <c r="I3538" t="s">
        <v>14690</v>
      </c>
      <c r="J3538" s="62">
        <v>0</v>
      </c>
      <c r="K3538" s="62">
        <v>0</v>
      </c>
      <c r="L3538" t="str">
        <f>VLOOKUP(VALUE(LEFT(C3538,5)),Xref!A:B,2,0)</f>
        <v>SEA</v>
      </c>
      <c r="M3538" t="str">
        <f t="shared" si="223"/>
        <v>SEA-SEA</v>
      </c>
    </row>
    <row r="3539" spans="1:13" ht="14.25" customHeight="true">
      <c r="A3539" s="33" t="str">
        <f t="shared" si="220"/>
        <v>SEA - Intercompany</v>
      </c>
      <c r="B3539" s="33" t="str">
        <f t="shared" si="221"/>
        <v>SEA</v>
      </c>
      <c r="C3539" s="33" t="str">
        <f t="shared" si="222"/>
        <v>12400-0000</v>
      </c>
      <c r="D3539" t="s">
        <v>26378</v>
      </c>
      <c r="E3539" t="s">
        <v>14185</v>
      </c>
      <c r="F3539" t="s">
        <v>14039</v>
      </c>
      <c r="G3539" t="s">
        <v>14672</v>
      </c>
      <c r="H3539" t="s">
        <v>13869</v>
      </c>
      <c r="I3539" t="s">
        <v>14690</v>
      </c>
      <c r="J3539" s="62">
        <v>0</v>
      </c>
      <c r="K3539" s="62">
        <v>0</v>
      </c>
      <c r="L3539" t="str">
        <f>VLOOKUP(VALUE(LEFT(C3539,5)),Xref!A:B,2,0)</f>
        <v>aka</v>
      </c>
      <c r="M3539" t="str">
        <f t="shared" si="223"/>
        <v>aka-SEA</v>
      </c>
    </row>
    <row r="3540" spans="1:13" ht="14.25" customHeight="true">
      <c r="A3540" s="33" t="str">
        <f t="shared" si="220"/>
        <v>SEA - Intercompany</v>
      </c>
      <c r="B3540" s="33" t="str">
        <f t="shared" si="221"/>
        <v>SEA</v>
      </c>
      <c r="C3540" s="33" t="str">
        <f t="shared" si="222"/>
        <v>12401-0000</v>
      </c>
      <c r="D3540" t="s">
        <v>26379</v>
      </c>
      <c r="E3540" t="s">
        <v>14187</v>
      </c>
      <c r="F3540" t="s">
        <v>14039</v>
      </c>
      <c r="G3540" t="s">
        <v>14672</v>
      </c>
      <c r="H3540" t="s">
        <v>13869</v>
      </c>
      <c r="I3540" t="s">
        <v>14690</v>
      </c>
      <c r="J3540" s="62">
        <v>0</v>
      </c>
      <c r="K3540" s="62">
        <v>0</v>
      </c>
      <c r="L3540" t="str">
        <f>VLOOKUP(VALUE(LEFT(C3540,5)),Xref!A:B,2,0)</f>
        <v>aka</v>
      </c>
      <c r="M3540" t="str">
        <f t="shared" si="223"/>
        <v>aka-SEA</v>
      </c>
    </row>
    <row r="3541" spans="1:13" ht="14.25" customHeight="true">
      <c r="A3541" s="33" t="str">
        <f t="shared" si="220"/>
        <v>SEA - Intercompany</v>
      </c>
      <c r="B3541" s="33" t="str">
        <f t="shared" si="221"/>
        <v>SEA</v>
      </c>
      <c r="C3541" s="33" t="str">
        <f t="shared" si="222"/>
        <v>12402-0000</v>
      </c>
      <c r="D3541" t="s">
        <v>26380</v>
      </c>
      <c r="E3541" t="s">
        <v>14189</v>
      </c>
      <c r="F3541" t="s">
        <v>14039</v>
      </c>
      <c r="G3541" t="s">
        <v>14672</v>
      </c>
      <c r="H3541" t="s">
        <v>13869</v>
      </c>
      <c r="I3541" t="s">
        <v>14690</v>
      </c>
      <c r="J3541" s="62">
        <v>0</v>
      </c>
      <c r="K3541" s="62">
        <v>0</v>
      </c>
      <c r="L3541" t="str">
        <f>VLOOKUP(VALUE(LEFT(C3541,5)),Xref!A:B,2,0)</f>
        <v>aka</v>
      </c>
      <c r="M3541" t="str">
        <f t="shared" si="223"/>
        <v>aka-SEA</v>
      </c>
    </row>
    <row r="3542" spans="1:13" ht="14.25" customHeight="true">
      <c r="A3542" s="33" t="str">
        <f t="shared" si="220"/>
        <v>SEA - Intercompany</v>
      </c>
      <c r="B3542" s="33" t="str">
        <f t="shared" si="221"/>
        <v>SEA</v>
      </c>
      <c r="C3542" s="33" t="str">
        <f t="shared" si="222"/>
        <v>12403-0000</v>
      </c>
      <c r="D3542" t="s">
        <v>26381</v>
      </c>
      <c r="E3542" t="s">
        <v>5226</v>
      </c>
      <c r="F3542" t="s">
        <v>14039</v>
      </c>
      <c r="G3542" t="s">
        <v>14672</v>
      </c>
      <c r="H3542" t="s">
        <v>13869</v>
      </c>
      <c r="I3542" t="s">
        <v>14690</v>
      </c>
      <c r="J3542" s="62">
        <v>0</v>
      </c>
      <c r="K3542" s="62">
        <v>0</v>
      </c>
      <c r="L3542" t="str">
        <f>VLOOKUP(VALUE(LEFT(C3542,5)),Xref!A:B,2,0)</f>
        <v>aka</v>
      </c>
      <c r="M3542" t="str">
        <f t="shared" si="223"/>
        <v>aka-SEA</v>
      </c>
    </row>
    <row r="3543" spans="1:13" ht="14.25" customHeight="true">
      <c r="A3543" s="33" t="str">
        <f t="shared" si="220"/>
        <v>SEA - Intercompany</v>
      </c>
      <c r="B3543" s="33" t="str">
        <f t="shared" si="221"/>
        <v>SEA</v>
      </c>
      <c r="C3543" s="33" t="str">
        <f t="shared" si="222"/>
        <v>12501-0000</v>
      </c>
      <c r="D3543" t="s">
        <v>26382</v>
      </c>
      <c r="E3543" t="s">
        <v>14192</v>
      </c>
      <c r="F3543" t="s">
        <v>14039</v>
      </c>
      <c r="G3543" t="s">
        <v>14672</v>
      </c>
      <c r="H3543" t="s">
        <v>13869</v>
      </c>
      <c r="I3543" t="s">
        <v>14690</v>
      </c>
      <c r="J3543" s="62">
        <v>0</v>
      </c>
      <c r="K3543" s="62">
        <v>0</v>
      </c>
      <c r="L3543" t="str">
        <f>VLOOKUP(VALUE(LEFT(C3543,5)),Xref!A:B,2,0)</f>
        <v>aka</v>
      </c>
      <c r="M3543" t="str">
        <f t="shared" si="223"/>
        <v>aka-SEA</v>
      </c>
    </row>
    <row r="3544" spans="1:13" ht="14.25" customHeight="true">
      <c r="A3544" s="33" t="str">
        <f t="shared" si="220"/>
        <v>SEA - InterCo Notes</v>
      </c>
      <c r="B3544" s="33" t="str">
        <f t="shared" si="221"/>
        <v>SEA</v>
      </c>
      <c r="C3544" s="33" t="str">
        <f t="shared" si="222"/>
        <v>25600-0000</v>
      </c>
      <c r="D3544" t="s">
        <v>26432</v>
      </c>
      <c r="E3544" t="s">
        <v>314</v>
      </c>
      <c r="F3544" t="s">
        <v>14039</v>
      </c>
      <c r="G3544" t="s">
        <v>14672</v>
      </c>
      <c r="H3544" t="s">
        <v>13889</v>
      </c>
      <c r="I3544" t="s">
        <v>14690</v>
      </c>
      <c r="J3544" s="62">
        <v>0</v>
      </c>
      <c r="K3544" s="62">
        <v>0</v>
      </c>
      <c r="L3544" t="str">
        <f>VLOOKUP(VALUE(LEFT(C3544,5)),Xref!A:B,2,0)</f>
        <v>D7</v>
      </c>
      <c r="M3544" t="str">
        <f t="shared" si="223"/>
        <v>D7-SEA</v>
      </c>
    </row>
    <row r="3545" spans="1:13" ht="14.25" customHeight="true">
      <c r="A3545" s="33" t="str">
        <f t="shared" si="220"/>
        <v>SEA - InterCo Notes</v>
      </c>
      <c r="B3545" s="33" t="str">
        <f t="shared" si="221"/>
        <v>SEA</v>
      </c>
      <c r="C3545" s="33" t="str">
        <f t="shared" si="222"/>
        <v>25602-0000</v>
      </c>
      <c r="D3545" t="s">
        <v>26434</v>
      </c>
      <c r="E3545" t="s">
        <v>13426</v>
      </c>
      <c r="F3545" t="s">
        <v>14039</v>
      </c>
      <c r="G3545" t="s">
        <v>14672</v>
      </c>
      <c r="H3545" t="s">
        <v>13889</v>
      </c>
      <c r="I3545" t="s">
        <v>14690</v>
      </c>
      <c r="J3545" s="62">
        <v>0</v>
      </c>
      <c r="K3545" s="62">
        <v>0</v>
      </c>
      <c r="L3545" t="str">
        <f>VLOOKUP(VALUE(LEFT(C3545,5)),Xref!A:B,2,0)</f>
        <v>DFLP</v>
      </c>
      <c r="M3545" t="str">
        <f t="shared" si="223"/>
        <v>DFLP-SEA</v>
      </c>
    </row>
    <row r="3546" spans="1:13" ht="14.25" customHeight="true">
      <c r="A3546" s="33" t="str">
        <f t="shared" si="220"/>
        <v>SEA - InterCo Notes</v>
      </c>
      <c r="B3546" s="33" t="str">
        <f t="shared" si="221"/>
        <v>SEA</v>
      </c>
      <c r="C3546" s="33" t="str">
        <f t="shared" si="222"/>
        <v>25603-0000</v>
      </c>
      <c r="D3546" t="s">
        <v>26435</v>
      </c>
      <c r="E3546" t="s">
        <v>14311</v>
      </c>
      <c r="F3546" t="s">
        <v>14039</v>
      </c>
      <c r="G3546" t="s">
        <v>14832</v>
      </c>
      <c r="H3546" t="s">
        <v>13889</v>
      </c>
      <c r="I3546" t="s">
        <v>14690</v>
      </c>
      <c r="J3546" s="62">
        <v>0</v>
      </c>
      <c r="K3546" s="62">
        <v>0</v>
      </c>
      <c r="L3546" t="str">
        <f>VLOOKUP(VALUE(LEFT(C3546,5)),Xref!A:B,2,0)</f>
        <v>aka</v>
      </c>
      <c r="M3546" t="str">
        <f t="shared" si="223"/>
        <v>aka-SEA</v>
      </c>
    </row>
    <row r="3547" spans="1:13" ht="14.25" customHeight="true">
      <c r="A3547" s="33" t="str">
        <f t="shared" si="220"/>
        <v>SEA - Intercompany</v>
      </c>
      <c r="B3547" s="33" t="str">
        <f t="shared" si="221"/>
        <v>SEA</v>
      </c>
      <c r="C3547" s="33" t="str">
        <f t="shared" si="222"/>
        <v>25604-0000</v>
      </c>
      <c r="D3547" t="s">
        <v>26436</v>
      </c>
      <c r="E3547" t="s">
        <v>13490</v>
      </c>
      <c r="F3547" t="s">
        <v>14039</v>
      </c>
      <c r="G3547" t="s">
        <v>14672</v>
      </c>
      <c r="H3547" t="s">
        <v>13869</v>
      </c>
      <c r="I3547" t="s">
        <v>14690</v>
      </c>
      <c r="J3547" s="62">
        <v>-5000</v>
      </c>
      <c r="K3547" s="62">
        <v>-5000</v>
      </c>
      <c r="L3547">
        <f>VLOOKUP(VALUE(LEFT(C3547,5)),Xref!A:B,2,0)</f>
        <v>0</v>
      </c>
      <c r="M3547" t="str">
        <f t="shared" si="223"/>
        <v>0-SEA</v>
      </c>
    </row>
    <row r="3548" spans="1:13" ht="14.25" customHeight="true">
      <c r="A3548" s="33" t="str">
        <f t="shared" si="220"/>
        <v>SEK - Intercompany</v>
      </c>
      <c r="B3548" s="33" t="str">
        <f t="shared" si="221"/>
        <v>SEK</v>
      </c>
      <c r="C3548" s="33" t="str">
        <f t="shared" si="222"/>
        <v>11200-0000</v>
      </c>
      <c r="D3548" t="s">
        <v>26614</v>
      </c>
      <c r="E3548" t="s">
        <v>14069</v>
      </c>
      <c r="F3548" t="s">
        <v>14039</v>
      </c>
      <c r="G3548" t="s">
        <v>14672</v>
      </c>
      <c r="H3548" t="s">
        <v>13869</v>
      </c>
      <c r="I3548" t="s">
        <v>14690</v>
      </c>
      <c r="J3548" s="62">
        <v>0</v>
      </c>
      <c r="K3548" s="62">
        <v>0</v>
      </c>
      <c r="L3548" t="str">
        <f>VLOOKUP(VALUE(LEFT(C3548,5)),Xref!A:B,2,0)</f>
        <v>SCL</v>
      </c>
      <c r="M3548" t="str">
        <f t="shared" si="223"/>
        <v>SCL-SEK</v>
      </c>
    </row>
    <row r="3549" spans="1:13" ht="14.25" customHeight="true">
      <c r="A3549" s="33" t="str">
        <f t="shared" si="220"/>
        <v>SEK - Intercompany</v>
      </c>
      <c r="B3549" s="33" t="str">
        <f t="shared" si="221"/>
        <v>SEK</v>
      </c>
      <c r="C3549" s="33" t="str">
        <f t="shared" si="222"/>
        <v>11201-0000</v>
      </c>
      <c r="D3549" t="s">
        <v>26615</v>
      </c>
      <c r="E3549" t="s">
        <v>14071</v>
      </c>
      <c r="F3549" t="s">
        <v>14039</v>
      </c>
      <c r="G3549" t="s">
        <v>14672</v>
      </c>
      <c r="H3549" t="s">
        <v>13869</v>
      </c>
      <c r="I3549" t="s">
        <v>14690</v>
      </c>
      <c r="J3549" s="62">
        <v>0</v>
      </c>
      <c r="K3549" s="62">
        <v>0</v>
      </c>
      <c r="L3549" t="str">
        <f>VLOOKUP(VALUE(LEFT(C3549,5)),Xref!A:B,2,0)</f>
        <v>SG2</v>
      </c>
      <c r="M3549" t="str">
        <f t="shared" si="223"/>
        <v>SEK-SG2</v>
      </c>
    </row>
    <row r="3550" spans="1:13" ht="14.25" customHeight="true">
      <c r="A3550" s="33" t="str">
        <f t="shared" si="220"/>
        <v>SEK - Intercompany</v>
      </c>
      <c r="B3550" s="33" t="str">
        <f t="shared" si="221"/>
        <v>SEK</v>
      </c>
      <c r="C3550" s="33" t="str">
        <f t="shared" si="222"/>
        <v>11202-0000</v>
      </c>
      <c r="D3550" t="s">
        <v>26616</v>
      </c>
      <c r="E3550" t="s">
        <v>14073</v>
      </c>
      <c r="F3550" t="s">
        <v>14039</v>
      </c>
      <c r="G3550" t="s">
        <v>14672</v>
      </c>
      <c r="H3550" t="s">
        <v>13869</v>
      </c>
      <c r="I3550" t="s">
        <v>14690</v>
      </c>
      <c r="J3550" s="62">
        <v>0</v>
      </c>
      <c r="K3550" s="62">
        <v>0</v>
      </c>
      <c r="L3550" t="str">
        <f>VLOOKUP(VALUE(LEFT(C3550,5)),Xref!A:B,2,0)</f>
        <v>FFC</v>
      </c>
      <c r="M3550" t="str">
        <f t="shared" si="223"/>
        <v>FFC-SEK</v>
      </c>
    </row>
    <row r="3551" spans="1:13" ht="14.25" customHeight="true">
      <c r="A3551" s="33" t="str">
        <f t="shared" si="220"/>
        <v>SEK - Intercompany</v>
      </c>
      <c r="B3551" s="33" t="str">
        <f t="shared" si="221"/>
        <v>SEK</v>
      </c>
      <c r="C3551" s="33" t="str">
        <f t="shared" si="222"/>
        <v>11203-0000</v>
      </c>
      <c r="D3551" t="s">
        <v>26617</v>
      </c>
      <c r="E3551" t="s">
        <v>14075</v>
      </c>
      <c r="F3551" t="s">
        <v>14039</v>
      </c>
      <c r="G3551" t="s">
        <v>14672</v>
      </c>
      <c r="H3551" t="s">
        <v>13869</v>
      </c>
      <c r="I3551" t="s">
        <v>14690</v>
      </c>
      <c r="J3551" s="62">
        <v>0</v>
      </c>
      <c r="K3551" s="62">
        <v>0</v>
      </c>
      <c r="L3551" t="str">
        <f>VLOOKUP(VALUE(LEFT(C3551,5)),Xref!A:B,2,0)</f>
        <v>HN2</v>
      </c>
      <c r="M3551" t="str">
        <f t="shared" si="223"/>
        <v>HN2-SEK</v>
      </c>
    </row>
    <row r="3552" spans="1:13" ht="14.25" customHeight="true">
      <c r="A3552" s="33" t="str">
        <f t="shared" si="220"/>
        <v>SEK - Intercompany</v>
      </c>
      <c r="B3552" s="33" t="str">
        <f t="shared" si="221"/>
        <v>SEK</v>
      </c>
      <c r="C3552" s="33" t="str">
        <f t="shared" si="222"/>
        <v>11204-0000</v>
      </c>
      <c r="D3552" t="s">
        <v>26618</v>
      </c>
      <c r="E3552" t="s">
        <v>14077</v>
      </c>
      <c r="F3552" t="s">
        <v>14039</v>
      </c>
      <c r="G3552" t="s">
        <v>14672</v>
      </c>
      <c r="H3552" t="s">
        <v>13869</v>
      </c>
      <c r="I3552" t="s">
        <v>14690</v>
      </c>
      <c r="J3552" s="62">
        <v>0</v>
      </c>
      <c r="K3552" s="62">
        <v>0</v>
      </c>
      <c r="L3552" t="str">
        <f>VLOOKUP(VALUE(LEFT(C3552,5)),Xref!A:B,2,0)</f>
        <v>DF2</v>
      </c>
      <c r="M3552" t="str">
        <f t="shared" si="223"/>
        <v>DF2-SEK</v>
      </c>
    </row>
    <row r="3553" spans="1:13" ht="14.25" customHeight="true">
      <c r="A3553" s="33" t="str">
        <f t="shared" si="220"/>
        <v>SEK - Intercompany</v>
      </c>
      <c r="B3553" s="33" t="str">
        <f t="shared" si="221"/>
        <v>SEK</v>
      </c>
      <c r="C3553" s="33" t="str">
        <f t="shared" si="222"/>
        <v>11208-0000</v>
      </c>
      <c r="D3553" t="s">
        <v>26619</v>
      </c>
      <c r="E3553" t="s">
        <v>14079</v>
      </c>
      <c r="F3553" t="s">
        <v>14039</v>
      </c>
      <c r="G3553" t="s">
        <v>14672</v>
      </c>
      <c r="H3553" t="s">
        <v>13869</v>
      </c>
      <c r="I3553" t="s">
        <v>14690</v>
      </c>
      <c r="J3553" s="62">
        <v>0</v>
      </c>
      <c r="K3553" s="62">
        <v>0</v>
      </c>
      <c r="L3553" t="str">
        <f>VLOOKUP(VALUE(LEFT(C3553,5)),Xref!A:B,2,0)</f>
        <v>SRE</v>
      </c>
      <c r="M3553" t="str">
        <f t="shared" si="223"/>
        <v>SEK-SRE</v>
      </c>
    </row>
    <row r="3554" spans="1:13" ht="14.25" customHeight="true">
      <c r="A3554" s="33" t="str">
        <f t="shared" si="220"/>
        <v>SEK - Intercompany</v>
      </c>
      <c r="B3554" s="33" t="str">
        <f t="shared" si="221"/>
        <v>SEK</v>
      </c>
      <c r="C3554" s="33" t="str">
        <f t="shared" si="222"/>
        <v>11210-0000</v>
      </c>
      <c r="D3554" t="s">
        <v>26620</v>
      </c>
      <c r="E3554" t="s">
        <v>14081</v>
      </c>
      <c r="F3554" t="s">
        <v>14039</v>
      </c>
      <c r="G3554" t="s">
        <v>14672</v>
      </c>
      <c r="H3554" t="s">
        <v>13869</v>
      </c>
      <c r="I3554" t="s">
        <v>14690</v>
      </c>
      <c r="J3554" s="62">
        <v>0</v>
      </c>
      <c r="K3554" s="62">
        <v>0</v>
      </c>
      <c r="L3554" t="str">
        <f>VLOOKUP(VALUE(LEFT(C3554,5)),Xref!A:B,2,0)</f>
        <v>REM</v>
      </c>
      <c r="M3554" t="str">
        <f t="shared" si="223"/>
        <v>REM-SEK</v>
      </c>
    </row>
    <row r="3555" spans="1:13" ht="14.25" customHeight="true">
      <c r="A3555" s="33" t="str">
        <f t="shared" si="220"/>
        <v>SEK - Intercompany</v>
      </c>
      <c r="B3555" s="33" t="str">
        <f t="shared" si="221"/>
        <v>SEK</v>
      </c>
      <c r="C3555" s="33" t="str">
        <f t="shared" si="222"/>
        <v>11212-0000</v>
      </c>
      <c r="D3555" t="s">
        <v>26621</v>
      </c>
      <c r="E3555" t="s">
        <v>14083</v>
      </c>
      <c r="F3555" t="s">
        <v>14039</v>
      </c>
      <c r="G3555" t="s">
        <v>14672</v>
      </c>
      <c r="H3555" t="s">
        <v>13869</v>
      </c>
      <c r="I3555" t="s">
        <v>14690</v>
      </c>
      <c r="J3555" s="62">
        <v>0</v>
      </c>
      <c r="K3555" s="62">
        <v>0</v>
      </c>
      <c r="L3555" t="str">
        <f>VLOOKUP(VALUE(LEFT(C3555,5)),Xref!A:B,2,0)</f>
        <v>FRM</v>
      </c>
      <c r="M3555" t="str">
        <f t="shared" si="223"/>
        <v>FRM-SEK</v>
      </c>
    </row>
    <row r="3556" spans="1:13" ht="14.25" customHeight="true">
      <c r="A3556" s="33" t="str">
        <f t="shared" si="220"/>
        <v>SEK - Intercompany</v>
      </c>
      <c r="B3556" s="33" t="str">
        <f t="shared" si="221"/>
        <v>SEK</v>
      </c>
      <c r="C3556" s="33" t="str">
        <f t="shared" si="222"/>
        <v>11214-0000</v>
      </c>
      <c r="D3556" t="s">
        <v>26622</v>
      </c>
      <c r="E3556" t="s">
        <v>14085</v>
      </c>
      <c r="F3556" t="s">
        <v>14039</v>
      </c>
      <c r="G3556" t="s">
        <v>14672</v>
      </c>
      <c r="H3556" t="s">
        <v>13869</v>
      </c>
      <c r="I3556" t="s">
        <v>14690</v>
      </c>
      <c r="J3556" s="62">
        <v>0</v>
      </c>
      <c r="K3556" s="62">
        <v>0</v>
      </c>
      <c r="L3556" t="str">
        <f>VLOOKUP(VALUE(LEFT(C3556,5)),Xref!A:B,2,0)</f>
        <v>D7R</v>
      </c>
      <c r="M3556" t="str">
        <f t="shared" si="223"/>
        <v>D7R-SEK</v>
      </c>
    </row>
    <row r="3557" spans="1:13" ht="14.25" customHeight="true">
      <c r="A3557" s="33" t="str">
        <f t="shared" si="220"/>
        <v>SEK - Intercompany</v>
      </c>
      <c r="B3557" s="33" t="str">
        <f t="shared" si="221"/>
        <v>SEK</v>
      </c>
      <c r="C3557" s="33" t="str">
        <f t="shared" si="222"/>
        <v>11215-0000</v>
      </c>
      <c r="D3557" t="s">
        <v>26623</v>
      </c>
      <c r="E3557" t="s">
        <v>14087</v>
      </c>
      <c r="F3557" t="s">
        <v>14039</v>
      </c>
      <c r="G3557" t="s">
        <v>14672</v>
      </c>
      <c r="H3557" t="s">
        <v>13869</v>
      </c>
      <c r="I3557" t="s">
        <v>14690</v>
      </c>
      <c r="J3557" s="62">
        <v>0</v>
      </c>
      <c r="K3557" s="62">
        <v>0</v>
      </c>
      <c r="L3557" t="str">
        <f>VLOOKUP(VALUE(LEFT(C3557,5)),Xref!A:B,2,0)</f>
        <v>CDP</v>
      </c>
      <c r="M3557" t="str">
        <f t="shared" si="223"/>
        <v>CDP-SEK</v>
      </c>
    </row>
    <row r="3558" spans="1:13" ht="14.25" customHeight="true">
      <c r="A3558" s="33" t="str">
        <f t="shared" si="220"/>
        <v>SEK - Intercompany</v>
      </c>
      <c r="B3558" s="33" t="str">
        <f t="shared" si="221"/>
        <v>SEK</v>
      </c>
      <c r="C3558" s="33" t="str">
        <f t="shared" si="222"/>
        <v>11216-0000</v>
      </c>
      <c r="D3558" t="s">
        <v>2492</v>
      </c>
      <c r="E3558" t="s">
        <v>13224</v>
      </c>
      <c r="F3558" t="s">
        <v>14039</v>
      </c>
      <c r="G3558" t="s">
        <v>14672</v>
      </c>
      <c r="H3558" t="s">
        <v>13869</v>
      </c>
      <c r="I3558" t="s">
        <v>14690</v>
      </c>
      <c r="J3558" s="62">
        <v>-2199.49</v>
      </c>
      <c r="K3558" s="62">
        <v>-163565.98</v>
      </c>
      <c r="L3558" t="str">
        <f>VLOOKUP(VALUE(LEFT(C3558,5)),Xref!A:B,2,0)</f>
        <v>SIL</v>
      </c>
      <c r="M3558" t="str">
        <f t="shared" si="223"/>
        <v>SEK-SIL</v>
      </c>
    </row>
    <row r="3559" spans="1:13" ht="14.25" customHeight="true">
      <c r="A3559" s="33" t="str">
        <f t="shared" si="220"/>
        <v>SEK - Intercompany</v>
      </c>
      <c r="B3559" s="33" t="str">
        <f t="shared" si="221"/>
        <v>SEK</v>
      </c>
      <c r="C3559" s="33" t="str">
        <f t="shared" si="222"/>
        <v>11232-0000</v>
      </c>
      <c r="D3559" t="s">
        <v>26624</v>
      </c>
      <c r="E3559" t="s">
        <v>12486</v>
      </c>
      <c r="F3559" t="s">
        <v>14039</v>
      </c>
      <c r="G3559" t="s">
        <v>14672</v>
      </c>
      <c r="H3559" t="s">
        <v>13869</v>
      </c>
      <c r="I3559" t="s">
        <v>14690</v>
      </c>
      <c r="J3559" s="62">
        <v>0</v>
      </c>
      <c r="K3559" s="62">
        <v>0</v>
      </c>
      <c r="L3559" t="str">
        <f>VLOOKUP(VALUE(LEFT(C3559,5)),Xref!A:B,2,0)</f>
        <v>SC2</v>
      </c>
      <c r="M3559" t="str">
        <f t="shared" si="223"/>
        <v>SC2-SEK</v>
      </c>
    </row>
    <row r="3560" spans="1:13" ht="14.25" customHeight="true">
      <c r="A3560" s="33" t="str">
        <f t="shared" si="220"/>
        <v>SEK - Intercompany</v>
      </c>
      <c r="B3560" s="33" t="str">
        <f t="shared" si="221"/>
        <v>SEK</v>
      </c>
      <c r="C3560" s="33" t="str">
        <f t="shared" si="222"/>
        <v>11301-0000</v>
      </c>
      <c r="D3560" t="s">
        <v>26625</v>
      </c>
      <c r="E3560" t="s">
        <v>13225</v>
      </c>
      <c r="F3560" t="s">
        <v>14039</v>
      </c>
      <c r="G3560" t="s">
        <v>14672</v>
      </c>
      <c r="H3560" t="s">
        <v>13869</v>
      </c>
      <c r="I3560" t="s">
        <v>14690</v>
      </c>
      <c r="J3560" s="62">
        <v>0</v>
      </c>
      <c r="K3560" s="62">
        <v>0</v>
      </c>
      <c r="L3560" t="str">
        <f>VLOOKUP(VALUE(LEFT(C3560,5)),Xref!A:B,2,0)</f>
        <v>CRE</v>
      </c>
      <c r="M3560" t="str">
        <f t="shared" si="223"/>
        <v>CRE-SEK</v>
      </c>
    </row>
    <row r="3561" spans="1:13" ht="14.25" customHeight="true">
      <c r="A3561" s="33" t="str">
        <f t="shared" si="220"/>
        <v>SEK - Intercompany</v>
      </c>
      <c r="B3561" s="33" t="str">
        <f t="shared" si="221"/>
        <v>SEK</v>
      </c>
      <c r="C3561" s="33" t="str">
        <f t="shared" si="222"/>
        <v>11302-0000</v>
      </c>
      <c r="D3561" t="s">
        <v>26626</v>
      </c>
      <c r="E3561" t="s">
        <v>13226</v>
      </c>
      <c r="F3561" t="s">
        <v>14039</v>
      </c>
      <c r="G3561" t="s">
        <v>14672</v>
      </c>
      <c r="H3561" t="s">
        <v>13869</v>
      </c>
      <c r="I3561" t="s">
        <v>14690</v>
      </c>
      <c r="J3561" s="62">
        <v>0</v>
      </c>
      <c r="K3561" s="62">
        <v>0</v>
      </c>
      <c r="L3561" t="str">
        <f>VLOOKUP(VALUE(LEFT(C3561,5)),Xref!A:B,2,0)</f>
        <v>CHA</v>
      </c>
      <c r="M3561" t="str">
        <f t="shared" si="223"/>
        <v>CHA-SEK</v>
      </c>
    </row>
    <row r="3562" spans="1:13" ht="14.25" customHeight="true">
      <c r="A3562" s="33" t="str">
        <f t="shared" si="220"/>
        <v>SEK - Intercompany</v>
      </c>
      <c r="B3562" s="33" t="str">
        <f t="shared" si="221"/>
        <v>SEK</v>
      </c>
      <c r="C3562" s="33" t="str">
        <f t="shared" si="222"/>
        <v>11303-0000</v>
      </c>
      <c r="D3562" t="s">
        <v>2493</v>
      </c>
      <c r="E3562" t="s">
        <v>13227</v>
      </c>
      <c r="F3562" t="s">
        <v>14039</v>
      </c>
      <c r="G3562" t="s">
        <v>14672</v>
      </c>
      <c r="H3562" t="s">
        <v>13869</v>
      </c>
      <c r="I3562" t="s">
        <v>14690</v>
      </c>
      <c r="J3562" s="62">
        <v>0</v>
      </c>
      <c r="K3562" s="62">
        <v>22000</v>
      </c>
      <c r="L3562" t="str">
        <f>VLOOKUP(VALUE(LEFT(C3562,5)),Xref!A:B,2,0)</f>
        <v>DIA</v>
      </c>
      <c r="M3562" t="str">
        <f t="shared" si="223"/>
        <v>DIA-SEK</v>
      </c>
    </row>
    <row r="3563" spans="1:13" ht="14.25" customHeight="true">
      <c r="A3563" s="33" t="str">
        <f t="shared" si="220"/>
        <v>SEK - Intercompany</v>
      </c>
      <c r="B3563" s="33" t="str">
        <f t="shared" si="221"/>
        <v>SEK</v>
      </c>
      <c r="C3563" s="33" t="str">
        <f t="shared" si="222"/>
        <v>11304-0000</v>
      </c>
      <c r="D3563" t="s">
        <v>26627</v>
      </c>
      <c r="E3563" t="s">
        <v>13228</v>
      </c>
      <c r="F3563" t="s">
        <v>14039</v>
      </c>
      <c r="G3563" t="s">
        <v>14672</v>
      </c>
      <c r="H3563" t="s">
        <v>13869</v>
      </c>
      <c r="I3563" t="s">
        <v>14690</v>
      </c>
      <c r="J3563" s="62">
        <v>0</v>
      </c>
      <c r="K3563" s="62">
        <v>0</v>
      </c>
      <c r="L3563" t="str">
        <f>VLOOKUP(VALUE(LEFT(C3563,5)),Xref!A:B,2,0)</f>
        <v>EAG</v>
      </c>
      <c r="M3563" t="str">
        <f t="shared" si="223"/>
        <v>EAG-SEK</v>
      </c>
    </row>
    <row r="3564" spans="1:13" ht="14.25" customHeight="true">
      <c r="A3564" s="33" t="str">
        <f t="shared" si="220"/>
        <v>SEK - Intercompany</v>
      </c>
      <c r="B3564" s="33" t="str">
        <f t="shared" si="221"/>
        <v>SEK</v>
      </c>
      <c r="C3564" s="33" t="str">
        <f t="shared" si="222"/>
        <v>11305-0000</v>
      </c>
      <c r="D3564" t="s">
        <v>26628</v>
      </c>
      <c r="E3564" t="s">
        <v>13229</v>
      </c>
      <c r="F3564" t="s">
        <v>14039</v>
      </c>
      <c r="G3564" t="s">
        <v>14672</v>
      </c>
      <c r="H3564" t="s">
        <v>13869</v>
      </c>
      <c r="I3564" t="s">
        <v>14690</v>
      </c>
      <c r="J3564" s="62">
        <v>0</v>
      </c>
      <c r="K3564" s="62">
        <v>0</v>
      </c>
      <c r="L3564" t="str">
        <f>VLOOKUP(VALUE(LEFT(C3564,5)),Xref!A:B,2,0)</f>
        <v>NEW</v>
      </c>
      <c r="M3564" t="str">
        <f t="shared" si="223"/>
        <v>NEW-SEK</v>
      </c>
    </row>
    <row r="3565" spans="1:13" ht="14.25" customHeight="true">
      <c r="A3565" s="33" t="str">
        <f t="shared" si="220"/>
        <v>SEK - Intercompany</v>
      </c>
      <c r="B3565" s="33" t="str">
        <f t="shared" si="221"/>
        <v>SEK</v>
      </c>
      <c r="C3565" s="33" t="str">
        <f t="shared" si="222"/>
        <v>11307-0000</v>
      </c>
      <c r="D3565" t="s">
        <v>26629</v>
      </c>
      <c r="E3565" t="s">
        <v>14096</v>
      </c>
      <c r="F3565" t="s">
        <v>14039</v>
      </c>
      <c r="G3565" t="s">
        <v>14672</v>
      </c>
      <c r="H3565" t="s">
        <v>13869</v>
      </c>
      <c r="I3565" t="s">
        <v>14690</v>
      </c>
      <c r="J3565" s="62">
        <v>0</v>
      </c>
      <c r="K3565" s="62">
        <v>0</v>
      </c>
      <c r="L3565" t="str">
        <f>VLOOKUP(VALUE(LEFT(C3565,5)),Xref!A:B,2,0)</f>
        <v>NES</v>
      </c>
      <c r="M3565" t="str">
        <f t="shared" si="223"/>
        <v>NES-SEK</v>
      </c>
    </row>
    <row r="3566" spans="1:13" ht="14.25" customHeight="true">
      <c r="A3566" s="33" t="str">
        <f t="shared" si="220"/>
        <v>SEK - Intercompany</v>
      </c>
      <c r="B3566" s="33" t="str">
        <f t="shared" si="221"/>
        <v>SEK</v>
      </c>
      <c r="C3566" s="33" t="str">
        <f t="shared" si="222"/>
        <v>11308-0000</v>
      </c>
      <c r="D3566" t="s">
        <v>26630</v>
      </c>
      <c r="E3566" t="s">
        <v>13476</v>
      </c>
      <c r="F3566" t="s">
        <v>14039</v>
      </c>
      <c r="G3566" t="s">
        <v>14672</v>
      </c>
      <c r="H3566" t="s">
        <v>13869</v>
      </c>
      <c r="I3566" t="s">
        <v>14690</v>
      </c>
      <c r="J3566" s="62">
        <v>0</v>
      </c>
      <c r="K3566" s="62">
        <v>0</v>
      </c>
      <c r="L3566" t="str">
        <f>VLOOKUP(VALUE(LEFT(C3566,5)),Xref!A:B,2,0)</f>
        <v>LPI</v>
      </c>
      <c r="M3566" t="str">
        <f t="shared" si="223"/>
        <v>LPI-SEK</v>
      </c>
    </row>
    <row r="3567" spans="1:13" ht="14.25" customHeight="true">
      <c r="A3567" s="33" t="str">
        <f t="shared" si="220"/>
        <v>SEK - Intercompany</v>
      </c>
      <c r="B3567" s="33" t="str">
        <f t="shared" si="221"/>
        <v>SEK</v>
      </c>
      <c r="C3567" s="33" t="str">
        <f t="shared" si="222"/>
        <v>11309-0000</v>
      </c>
      <c r="D3567" t="s">
        <v>26631</v>
      </c>
      <c r="E3567" t="s">
        <v>13230</v>
      </c>
      <c r="F3567" t="s">
        <v>14039</v>
      </c>
      <c r="G3567" t="s">
        <v>14672</v>
      </c>
      <c r="H3567" t="s">
        <v>13869</v>
      </c>
      <c r="I3567" t="s">
        <v>14690</v>
      </c>
      <c r="J3567" s="62">
        <v>0</v>
      </c>
      <c r="K3567" s="62">
        <v>0</v>
      </c>
      <c r="L3567" t="str">
        <f>VLOOKUP(VALUE(LEFT(C3567,5)),Xref!A:B,2,0)</f>
        <v>GPI</v>
      </c>
      <c r="M3567" t="str">
        <f t="shared" si="223"/>
        <v>GPI-SEK</v>
      </c>
    </row>
    <row r="3568" spans="1:13" ht="14.25" customHeight="true">
      <c r="A3568" s="33" t="str">
        <f t="shared" si="220"/>
        <v>SEK - Intercompany</v>
      </c>
      <c r="B3568" s="33" t="str">
        <f t="shared" si="221"/>
        <v>SEK</v>
      </c>
      <c r="C3568" s="33" t="str">
        <f t="shared" si="222"/>
        <v>11310-0000</v>
      </c>
      <c r="D3568" t="s">
        <v>2494</v>
      </c>
      <c r="E3568" t="s">
        <v>13231</v>
      </c>
      <c r="F3568" t="s">
        <v>14039</v>
      </c>
      <c r="G3568" t="s">
        <v>14672</v>
      </c>
      <c r="H3568" t="s">
        <v>13869</v>
      </c>
      <c r="I3568" t="s">
        <v>14690</v>
      </c>
      <c r="J3568" s="62">
        <v>0</v>
      </c>
      <c r="K3568" s="62">
        <v>-35000</v>
      </c>
      <c r="L3568" t="str">
        <f>VLOOKUP(VALUE(LEFT(C3568,5)),Xref!A:B,2,0)</f>
        <v>ALP</v>
      </c>
      <c r="M3568" t="str">
        <f t="shared" si="223"/>
        <v>ALP-SEK</v>
      </c>
    </row>
    <row r="3569" spans="1:13" ht="14.25" customHeight="true">
      <c r="A3569" s="33" t="str">
        <f t="shared" si="220"/>
        <v>SEK - Intercompany</v>
      </c>
      <c r="B3569" s="33" t="str">
        <f t="shared" si="221"/>
        <v>SEK</v>
      </c>
      <c r="C3569" s="33" t="str">
        <f t="shared" si="222"/>
        <v>11311-0000</v>
      </c>
      <c r="D3569" t="s">
        <v>26632</v>
      </c>
      <c r="E3569" t="s">
        <v>13232</v>
      </c>
      <c r="F3569" t="s">
        <v>14039</v>
      </c>
      <c r="G3569" t="s">
        <v>14672</v>
      </c>
      <c r="H3569" t="s">
        <v>13869</v>
      </c>
      <c r="I3569" t="s">
        <v>14690</v>
      </c>
      <c r="J3569" s="62">
        <v>0</v>
      </c>
      <c r="K3569" s="62">
        <v>0</v>
      </c>
      <c r="L3569" t="str">
        <f>VLOOKUP(VALUE(LEFT(C3569,5)),Xref!A:B,2,0)</f>
        <v>BET</v>
      </c>
      <c r="M3569" t="str">
        <f t="shared" si="223"/>
        <v>BET-SEK</v>
      </c>
    </row>
    <row r="3570" spans="1:13" ht="14.25" customHeight="true">
      <c r="A3570" s="33" t="str">
        <f t="shared" si="220"/>
        <v>SEK - Intercompany</v>
      </c>
      <c r="B3570" s="33" t="str">
        <f t="shared" si="221"/>
        <v>SEK</v>
      </c>
      <c r="C3570" s="33" t="str">
        <f t="shared" si="222"/>
        <v>11312-0000</v>
      </c>
      <c r="D3570" t="s">
        <v>26633</v>
      </c>
      <c r="E3570" t="s">
        <v>14102</v>
      </c>
      <c r="F3570" t="s">
        <v>14039</v>
      </c>
      <c r="G3570" t="s">
        <v>14672</v>
      </c>
      <c r="H3570" t="s">
        <v>13869</v>
      </c>
      <c r="I3570" t="s">
        <v>14690</v>
      </c>
      <c r="J3570" s="62">
        <v>0</v>
      </c>
      <c r="K3570" s="62">
        <v>0</v>
      </c>
      <c r="L3570" t="str">
        <f>VLOOKUP(VALUE(LEFT(C3570,5)),Xref!A:B,2,0)</f>
        <v>DEL</v>
      </c>
      <c r="M3570" t="str">
        <f t="shared" si="223"/>
        <v>DEL-SEK</v>
      </c>
    </row>
    <row r="3571" spans="1:13" ht="14.25" customHeight="true">
      <c r="A3571" s="33" t="str">
        <f t="shared" si="220"/>
        <v>SEK - Intercompany</v>
      </c>
      <c r="B3571" s="33" t="str">
        <f t="shared" si="221"/>
        <v>SEK</v>
      </c>
      <c r="C3571" s="33" t="str">
        <f t="shared" si="222"/>
        <v>11313-0000</v>
      </c>
      <c r="D3571" t="s">
        <v>2496</v>
      </c>
      <c r="E3571" t="s">
        <v>13233</v>
      </c>
      <c r="F3571" t="s">
        <v>14039</v>
      </c>
      <c r="G3571" t="s">
        <v>14672</v>
      </c>
      <c r="H3571" t="s">
        <v>13869</v>
      </c>
      <c r="I3571" t="s">
        <v>14690</v>
      </c>
      <c r="J3571" s="62">
        <v>0</v>
      </c>
      <c r="K3571" s="62">
        <v>-15000</v>
      </c>
      <c r="L3571" t="str">
        <f>VLOOKUP(VALUE(LEFT(C3571,5)),Xref!A:B,2,0)</f>
        <v>DOL</v>
      </c>
      <c r="M3571" t="str">
        <f t="shared" si="223"/>
        <v>DOL-SEK</v>
      </c>
    </row>
    <row r="3572" spans="1:13" ht="14.25" customHeight="true">
      <c r="A3572" s="33" t="str">
        <f t="shared" si="220"/>
        <v>SEK - Intercompany</v>
      </c>
      <c r="B3572" s="33" t="str">
        <f t="shared" si="221"/>
        <v>SEK</v>
      </c>
      <c r="C3572" s="33" t="str">
        <f t="shared" si="222"/>
        <v>11314-0000</v>
      </c>
      <c r="D3572" t="s">
        <v>26634</v>
      </c>
      <c r="E3572" t="s">
        <v>13351</v>
      </c>
      <c r="F3572" t="s">
        <v>14039</v>
      </c>
      <c r="G3572" t="s">
        <v>14672</v>
      </c>
      <c r="H3572" t="s">
        <v>13869</v>
      </c>
      <c r="I3572" t="s">
        <v>14690</v>
      </c>
      <c r="J3572" s="62">
        <v>0</v>
      </c>
      <c r="K3572" s="62">
        <v>0</v>
      </c>
      <c r="L3572" t="str">
        <f>VLOOKUP(VALUE(LEFT(C3572,5)),Xref!A:B,2,0)</f>
        <v>GRI</v>
      </c>
      <c r="M3572" t="str">
        <f t="shared" si="223"/>
        <v>GRI-SEK</v>
      </c>
    </row>
    <row r="3573" spans="1:13" ht="14.25" customHeight="true">
      <c r="A3573" s="33" t="str">
        <f t="shared" si="220"/>
        <v>SEK - Intercompany</v>
      </c>
      <c r="B3573" s="33" t="str">
        <f t="shared" si="221"/>
        <v>SEK</v>
      </c>
      <c r="C3573" s="33" t="str">
        <f t="shared" si="222"/>
        <v>11315-0000</v>
      </c>
      <c r="D3573" t="s">
        <v>26635</v>
      </c>
      <c r="E3573" t="s">
        <v>13234</v>
      </c>
      <c r="F3573" t="s">
        <v>14039</v>
      </c>
      <c r="G3573" t="s">
        <v>14672</v>
      </c>
      <c r="H3573" t="s">
        <v>13869</v>
      </c>
      <c r="I3573" t="s">
        <v>14690</v>
      </c>
      <c r="J3573" s="62">
        <v>0</v>
      </c>
      <c r="K3573" s="62">
        <v>0</v>
      </c>
      <c r="L3573" t="str">
        <f>VLOOKUP(VALUE(LEFT(C3573,5)),Xref!A:B,2,0)</f>
        <v>PUR</v>
      </c>
      <c r="M3573" t="str">
        <f t="shared" si="223"/>
        <v>PUR-SEK</v>
      </c>
    </row>
    <row r="3574" spans="1:13" ht="14.25" customHeight="true">
      <c r="A3574" s="33" t="str">
        <f t="shared" si="220"/>
        <v>SEK - Intercompany</v>
      </c>
      <c r="B3574" s="33" t="str">
        <f t="shared" si="221"/>
        <v>SEK</v>
      </c>
      <c r="C3574" s="33" t="str">
        <f t="shared" si="222"/>
        <v>11316-0000</v>
      </c>
      <c r="D3574" t="s">
        <v>26636</v>
      </c>
      <c r="E3574" t="s">
        <v>13235</v>
      </c>
      <c r="F3574" t="s">
        <v>14039</v>
      </c>
      <c r="G3574" t="s">
        <v>14672</v>
      </c>
      <c r="H3574" t="s">
        <v>13869</v>
      </c>
      <c r="I3574" t="s">
        <v>14690</v>
      </c>
      <c r="J3574" s="62">
        <v>0</v>
      </c>
      <c r="K3574" s="62">
        <v>0</v>
      </c>
      <c r="L3574" t="str">
        <f>VLOOKUP(VALUE(LEFT(C3574,5)),Xref!A:B,2,0)</f>
        <v>VAL</v>
      </c>
      <c r="M3574" t="str">
        <f t="shared" si="223"/>
        <v>SEK-VAL</v>
      </c>
    </row>
    <row r="3575" spans="1:13" ht="14.25" customHeight="true">
      <c r="A3575" s="33" t="str">
        <f t="shared" si="220"/>
        <v>SEK - Intercompany</v>
      </c>
      <c r="B3575" s="33" t="str">
        <f t="shared" si="221"/>
        <v>SEK</v>
      </c>
      <c r="C3575" s="33" t="str">
        <f t="shared" si="222"/>
        <v>11317-0000</v>
      </c>
      <c r="D3575" t="s">
        <v>2497</v>
      </c>
      <c r="E3575" t="s">
        <v>13352</v>
      </c>
      <c r="F3575" t="s">
        <v>14039</v>
      </c>
      <c r="G3575" t="s">
        <v>14672</v>
      </c>
      <c r="H3575" t="s">
        <v>13869</v>
      </c>
      <c r="I3575" t="s">
        <v>14690</v>
      </c>
      <c r="J3575" s="62">
        <v>0</v>
      </c>
      <c r="K3575" s="62">
        <v>-12000</v>
      </c>
      <c r="L3575" t="str">
        <f>VLOOKUP(VALUE(LEFT(C3575,5)),Xref!A:B,2,0)</f>
        <v>AKG</v>
      </c>
      <c r="M3575" t="str">
        <f t="shared" si="223"/>
        <v>AKG-SEK</v>
      </c>
    </row>
    <row r="3576" spans="1:13" ht="14.25" customHeight="true">
      <c r="A3576" s="33" t="str">
        <f t="shared" si="220"/>
        <v>SEK - Intercompany</v>
      </c>
      <c r="B3576" s="33" t="str">
        <f t="shared" si="221"/>
        <v>SEK</v>
      </c>
      <c r="C3576" s="33" t="str">
        <f t="shared" si="222"/>
        <v>11318-0000</v>
      </c>
      <c r="D3576" t="s">
        <v>26637</v>
      </c>
      <c r="E3576" t="s">
        <v>13477</v>
      </c>
      <c r="F3576" t="s">
        <v>14039</v>
      </c>
      <c r="G3576" t="s">
        <v>14672</v>
      </c>
      <c r="H3576" t="s">
        <v>13869</v>
      </c>
      <c r="I3576" t="s">
        <v>14690</v>
      </c>
      <c r="J3576" s="62">
        <v>0</v>
      </c>
      <c r="K3576" s="62">
        <v>0</v>
      </c>
      <c r="L3576" t="str">
        <f>VLOOKUP(VALUE(LEFT(C3576,5)),Xref!A:B,2,0)</f>
        <v>FIR</v>
      </c>
      <c r="M3576" t="str">
        <f t="shared" si="223"/>
        <v>FIR-SEK</v>
      </c>
    </row>
    <row r="3577" spans="1:13" ht="14.25" customHeight="true">
      <c r="A3577" s="33" t="str">
        <f t="shared" si="220"/>
        <v>SEK - Intercompany</v>
      </c>
      <c r="B3577" s="33" t="str">
        <f t="shared" si="221"/>
        <v>SEK</v>
      </c>
      <c r="C3577" s="33" t="str">
        <f t="shared" si="222"/>
        <v>11319-0000</v>
      </c>
      <c r="D3577" t="s">
        <v>26638</v>
      </c>
      <c r="E3577" t="s">
        <v>266</v>
      </c>
      <c r="F3577" t="s">
        <v>14039</v>
      </c>
      <c r="G3577" t="s">
        <v>14672</v>
      </c>
      <c r="H3577" t="s">
        <v>13869</v>
      </c>
      <c r="I3577" t="s">
        <v>14690</v>
      </c>
      <c r="J3577" s="62">
        <v>0</v>
      </c>
      <c r="K3577" s="62">
        <v>0</v>
      </c>
      <c r="L3577" t="str">
        <f>VLOOKUP(VALUE(LEFT(C3577,5)),Xref!A:B,2,0)</f>
        <v>GST</v>
      </c>
      <c r="M3577" t="str">
        <f t="shared" si="223"/>
        <v>GST-SEK</v>
      </c>
    </row>
    <row r="3578" spans="1:13" ht="14.25" customHeight="true">
      <c r="A3578" s="33" t="str">
        <f t="shared" si="220"/>
        <v>SEK - Intercompany</v>
      </c>
      <c r="B3578" s="33" t="str">
        <f t="shared" si="221"/>
        <v>SEK</v>
      </c>
      <c r="C3578" s="33" t="str">
        <f t="shared" si="222"/>
        <v>11320-0000</v>
      </c>
      <c r="D3578" t="s">
        <v>26639</v>
      </c>
      <c r="E3578" t="s">
        <v>14111</v>
      </c>
      <c r="F3578" t="s">
        <v>14039</v>
      </c>
      <c r="G3578" t="s">
        <v>14672</v>
      </c>
      <c r="H3578" t="s">
        <v>13869</v>
      </c>
      <c r="I3578" t="s">
        <v>14690</v>
      </c>
      <c r="J3578" s="62">
        <v>0</v>
      </c>
      <c r="K3578" s="62">
        <v>0</v>
      </c>
      <c r="L3578" t="str">
        <f>VLOOKUP(VALUE(LEFT(C3578,5)),Xref!A:B,2,0)</f>
        <v>HDN</v>
      </c>
      <c r="M3578" t="str">
        <f t="shared" si="223"/>
        <v>HDN-SEK</v>
      </c>
    </row>
    <row r="3579" spans="1:13" ht="14.25" customHeight="true">
      <c r="A3579" s="33" t="str">
        <f t="shared" si="220"/>
        <v>SEK - Intercompany</v>
      </c>
      <c r="B3579" s="33" t="str">
        <f t="shared" si="221"/>
        <v>SEK</v>
      </c>
      <c r="C3579" s="33" t="str">
        <f t="shared" si="222"/>
        <v>11321-0000</v>
      </c>
      <c r="D3579" t="s">
        <v>26640</v>
      </c>
      <c r="E3579" t="s">
        <v>13236</v>
      </c>
      <c r="F3579" t="s">
        <v>14039</v>
      </c>
      <c r="G3579" t="s">
        <v>14672</v>
      </c>
      <c r="H3579" t="s">
        <v>13869</v>
      </c>
      <c r="I3579" t="s">
        <v>14690</v>
      </c>
      <c r="J3579" s="62">
        <v>0</v>
      </c>
      <c r="K3579" s="62">
        <v>0</v>
      </c>
      <c r="L3579" t="str">
        <f>VLOOKUP(VALUE(LEFT(C3579,5)),Xref!A:B,2,0)</f>
        <v>OVA</v>
      </c>
      <c r="M3579" t="str">
        <f t="shared" si="223"/>
        <v>OVA-SEK</v>
      </c>
    </row>
    <row r="3580" spans="1:13" ht="14.25" customHeight="true">
      <c r="A3580" s="33" t="str">
        <f t="shared" si="220"/>
        <v>SEK - Intercompany</v>
      </c>
      <c r="B3580" s="33" t="str">
        <f t="shared" si="221"/>
        <v>SEK</v>
      </c>
      <c r="C3580" s="33" t="str">
        <f t="shared" si="222"/>
        <v>11322-0000</v>
      </c>
      <c r="D3580" t="s">
        <v>26641</v>
      </c>
      <c r="E3580" t="s">
        <v>13237</v>
      </c>
      <c r="F3580" t="s">
        <v>14039</v>
      </c>
      <c r="G3580" t="s">
        <v>14672</v>
      </c>
      <c r="H3580" t="s">
        <v>13869</v>
      </c>
      <c r="I3580" t="s">
        <v>14690</v>
      </c>
      <c r="J3580" s="62">
        <v>0</v>
      </c>
      <c r="K3580" s="62">
        <v>0</v>
      </c>
      <c r="L3580" t="str">
        <f>VLOOKUP(VALUE(LEFT(C3580,5)),Xref!A:B,2,0)</f>
        <v>WOO</v>
      </c>
      <c r="M3580" t="str">
        <f t="shared" si="223"/>
        <v>SEK-WOO</v>
      </c>
    </row>
    <row r="3581" spans="1:13" ht="14.25" customHeight="true">
      <c r="A3581" s="33" t="str">
        <f t="shared" si="220"/>
        <v>SEK - Intercompany</v>
      </c>
      <c r="B3581" s="33" t="str">
        <f t="shared" si="221"/>
        <v>SEK</v>
      </c>
      <c r="C3581" s="33" t="str">
        <f t="shared" si="222"/>
        <v>11323-0000</v>
      </c>
      <c r="D3581" t="s">
        <v>26642</v>
      </c>
      <c r="E3581" t="s">
        <v>13478</v>
      </c>
      <c r="F3581" t="s">
        <v>14039</v>
      </c>
      <c r="G3581" t="s">
        <v>14672</v>
      </c>
      <c r="H3581" t="s">
        <v>13869</v>
      </c>
      <c r="I3581" t="s">
        <v>14690</v>
      </c>
      <c r="J3581" s="62">
        <v>0</v>
      </c>
      <c r="K3581" s="62">
        <v>0</v>
      </c>
      <c r="L3581" t="str">
        <f>VLOOKUP(VALUE(LEFT(C3581,5)),Xref!A:B,2,0)</f>
        <v>SPI</v>
      </c>
      <c r="M3581" t="str">
        <f t="shared" si="223"/>
        <v>SEK-SPI</v>
      </c>
    </row>
    <row r="3582" spans="1:13" ht="14.25" customHeight="true">
      <c r="A3582" s="33" t="str">
        <f t="shared" si="220"/>
        <v>SEK - Intercompany</v>
      </c>
      <c r="B3582" s="33" t="str">
        <f t="shared" si="221"/>
        <v>SEK</v>
      </c>
      <c r="C3582" s="33" t="str">
        <f t="shared" si="222"/>
        <v>11324-0000</v>
      </c>
      <c r="D3582" t="s">
        <v>2498</v>
      </c>
      <c r="E3582" t="s">
        <v>13238</v>
      </c>
      <c r="F3582" t="s">
        <v>14039</v>
      </c>
      <c r="G3582" t="s">
        <v>14672</v>
      </c>
      <c r="H3582" t="s">
        <v>13869</v>
      </c>
      <c r="I3582" t="s">
        <v>14690</v>
      </c>
      <c r="J3582" s="62">
        <v>0</v>
      </c>
      <c r="K3582" s="62">
        <v>15000</v>
      </c>
      <c r="L3582" t="str">
        <f>VLOOKUP(VALUE(LEFT(C3582,5)),Xref!A:B,2,0)</f>
        <v>NET</v>
      </c>
      <c r="M3582" t="str">
        <f t="shared" si="223"/>
        <v>NET-SEK</v>
      </c>
    </row>
    <row r="3583" spans="1:13" ht="14.25" customHeight="true">
      <c r="A3583" s="33" t="str">
        <f t="shared" si="220"/>
        <v>SEK - Intercompany</v>
      </c>
      <c r="B3583" s="33" t="str">
        <f t="shared" si="221"/>
        <v>SEK</v>
      </c>
      <c r="C3583" s="33" t="str">
        <f t="shared" si="222"/>
        <v>11325-0000</v>
      </c>
      <c r="D3583" t="s">
        <v>26643</v>
      </c>
      <c r="E3583" t="s">
        <v>13239</v>
      </c>
      <c r="F3583" t="s">
        <v>14039</v>
      </c>
      <c r="G3583" t="s">
        <v>14672</v>
      </c>
      <c r="H3583" t="s">
        <v>13869</v>
      </c>
      <c r="I3583" t="s">
        <v>14690</v>
      </c>
      <c r="J3583" s="62">
        <v>0</v>
      </c>
      <c r="K3583" s="62">
        <v>0</v>
      </c>
      <c r="L3583" t="str">
        <f>VLOOKUP(VALUE(LEFT(C3583,5)),Xref!A:B,2,0)</f>
        <v>DPI</v>
      </c>
      <c r="M3583" t="str">
        <f t="shared" si="223"/>
        <v>DPI-SEK</v>
      </c>
    </row>
    <row r="3584" spans="1:13" ht="14.25" customHeight="true">
      <c r="A3584" s="33" t="str">
        <f t="shared" si="220"/>
        <v>SEK - Intercompany</v>
      </c>
      <c r="B3584" s="33" t="str">
        <f t="shared" si="221"/>
        <v>SEK</v>
      </c>
      <c r="C3584" s="33" t="str">
        <f t="shared" si="222"/>
        <v>11326-0000</v>
      </c>
      <c r="D3584" t="s">
        <v>26644</v>
      </c>
      <c r="E3584" t="s">
        <v>13240</v>
      </c>
      <c r="F3584" t="s">
        <v>14039</v>
      </c>
      <c r="G3584" t="s">
        <v>14672</v>
      </c>
      <c r="H3584" t="s">
        <v>13869</v>
      </c>
      <c r="I3584" t="s">
        <v>14690</v>
      </c>
      <c r="J3584" s="62">
        <v>0</v>
      </c>
      <c r="K3584" s="62">
        <v>1200</v>
      </c>
      <c r="L3584" t="str">
        <f>VLOOKUP(VALUE(LEFT(C3584,5)),Xref!A:B,2,0)</f>
        <v>SEK</v>
      </c>
      <c r="M3584" t="str">
        <f t="shared" si="223"/>
        <v>SEK-SEK</v>
      </c>
    </row>
    <row r="3585" spans="1:13" ht="14.25" customHeight="true">
      <c r="A3585" s="33" t="str">
        <f t="shared" si="220"/>
        <v>SEK - Intercompany</v>
      </c>
      <c r="B3585" s="33" t="str">
        <f t="shared" si="221"/>
        <v>SEK</v>
      </c>
      <c r="C3585" s="33" t="str">
        <f t="shared" si="222"/>
        <v>11327-0000</v>
      </c>
      <c r="D3585" t="s">
        <v>26645</v>
      </c>
      <c r="E3585" t="s">
        <v>14119</v>
      </c>
      <c r="F3585" t="s">
        <v>14039</v>
      </c>
      <c r="G3585" t="s">
        <v>14672</v>
      </c>
      <c r="H3585" t="s">
        <v>13869</v>
      </c>
      <c r="I3585" t="s">
        <v>14690</v>
      </c>
      <c r="J3585" s="62">
        <v>0</v>
      </c>
      <c r="K3585" s="62">
        <v>0</v>
      </c>
      <c r="L3585" t="str">
        <f>VLOOKUP(VALUE(LEFT(C3585,5)),Xref!A:B,2,0)</f>
        <v>CPI</v>
      </c>
      <c r="M3585" t="str">
        <f t="shared" si="223"/>
        <v>CPI-SEK</v>
      </c>
    </row>
    <row r="3586" spans="1:13" ht="14.25" customHeight="true">
      <c r="A3586" s="33" t="str">
        <f t="shared" ref="A3586:A3649" si="224">B3586&amp;" - "&amp;TRIM(H3586)</f>
        <v>SEK - Intercompany</v>
      </c>
      <c r="B3586" s="33" t="str">
        <f t="shared" ref="B3586:B3649" si="225">LEFT(D3586,3)</f>
        <v>SEK</v>
      </c>
      <c r="C3586" s="33" t="str">
        <f t="shared" ref="C3586:C3649" si="226">RIGHT(D3586,10)</f>
        <v>11328-0000</v>
      </c>
      <c r="D3586" t="s">
        <v>2499</v>
      </c>
      <c r="E3586" t="s">
        <v>13241</v>
      </c>
      <c r="F3586" t="s">
        <v>14039</v>
      </c>
      <c r="G3586" t="s">
        <v>14672</v>
      </c>
      <c r="H3586" t="s">
        <v>13869</v>
      </c>
      <c r="I3586" t="s">
        <v>14690</v>
      </c>
      <c r="J3586" s="62">
        <v>0</v>
      </c>
      <c r="K3586" s="62">
        <v>-20000</v>
      </c>
      <c r="L3586" t="str">
        <f>VLOOKUP(VALUE(LEFT(C3586,5)),Xref!A:B,2,0)</f>
        <v>LOM</v>
      </c>
      <c r="M3586" t="str">
        <f t="shared" ref="M3586:M3649" si="227">IF(B3586&lt;L3586,B3586&amp;"-"&amp;L3586,L3586&amp;"-"&amp;B3586)</f>
        <v>LOM-SEK</v>
      </c>
    </row>
    <row r="3587" spans="1:13" ht="14.25" customHeight="true">
      <c r="A3587" s="33" t="str">
        <f t="shared" si="224"/>
        <v>SEK - Intercompany</v>
      </c>
      <c r="B3587" s="33" t="str">
        <f t="shared" si="225"/>
        <v>SEK</v>
      </c>
      <c r="C3587" s="33" t="str">
        <f t="shared" si="226"/>
        <v>11329-0000</v>
      </c>
      <c r="D3587" t="s">
        <v>26646</v>
      </c>
      <c r="E3587" t="s">
        <v>13353</v>
      </c>
      <c r="F3587" t="s">
        <v>14039</v>
      </c>
      <c r="G3587" t="s">
        <v>14672</v>
      </c>
      <c r="H3587" t="s">
        <v>13869</v>
      </c>
      <c r="I3587" t="s">
        <v>14690</v>
      </c>
      <c r="J3587" s="62">
        <v>0</v>
      </c>
      <c r="K3587" s="62">
        <v>0</v>
      </c>
      <c r="L3587" t="str">
        <f>VLOOKUP(VALUE(LEFT(C3587,5)),Xref!A:B,2,0)</f>
        <v>AKS</v>
      </c>
      <c r="M3587" t="str">
        <f t="shared" si="227"/>
        <v>AKS-SEK</v>
      </c>
    </row>
    <row r="3588" spans="1:13" ht="14.25" customHeight="true">
      <c r="A3588" s="33" t="str">
        <f t="shared" si="224"/>
        <v>SEK - Intercompany</v>
      </c>
      <c r="B3588" s="33" t="str">
        <f t="shared" si="225"/>
        <v>SEK</v>
      </c>
      <c r="C3588" s="33" t="str">
        <f t="shared" si="226"/>
        <v>11330-0000</v>
      </c>
      <c r="D3588" t="s">
        <v>26647</v>
      </c>
      <c r="E3588" t="s">
        <v>13242</v>
      </c>
      <c r="F3588" t="s">
        <v>14039</v>
      </c>
      <c r="G3588" t="s">
        <v>14672</v>
      </c>
      <c r="H3588" t="s">
        <v>13869</v>
      </c>
      <c r="I3588" t="s">
        <v>14690</v>
      </c>
      <c r="J3588" s="62">
        <v>0</v>
      </c>
      <c r="K3588" s="62">
        <v>0</v>
      </c>
      <c r="L3588" t="str">
        <f>VLOOKUP(VALUE(LEFT(C3588,5)),Xref!A:B,2,0)</f>
        <v>MAR</v>
      </c>
      <c r="M3588" t="str">
        <f t="shared" si="227"/>
        <v>MAR-SEK</v>
      </c>
    </row>
    <row r="3589" spans="1:13" ht="14.25" customHeight="true">
      <c r="A3589" s="33" t="str">
        <f t="shared" si="224"/>
        <v>SEK - Intercompany</v>
      </c>
      <c r="B3589" s="33" t="str">
        <f t="shared" si="225"/>
        <v>SEK</v>
      </c>
      <c r="C3589" s="33" t="str">
        <f t="shared" si="226"/>
        <v>11331-0000</v>
      </c>
      <c r="D3589" t="s">
        <v>26648</v>
      </c>
      <c r="E3589" t="s">
        <v>13354</v>
      </c>
      <c r="F3589" t="s">
        <v>14039</v>
      </c>
      <c r="G3589" t="s">
        <v>14672</v>
      </c>
      <c r="H3589" t="s">
        <v>13869</v>
      </c>
      <c r="I3589" t="s">
        <v>14690</v>
      </c>
      <c r="J3589" s="62">
        <v>0</v>
      </c>
      <c r="K3589" s="62">
        <v>0</v>
      </c>
      <c r="L3589" t="str">
        <f>VLOOKUP(VALUE(LEFT(C3589,5)),Xref!A:B,2,0)</f>
        <v>WIL</v>
      </c>
      <c r="M3589" t="str">
        <f t="shared" si="227"/>
        <v>SEK-WIL</v>
      </c>
    </row>
    <row r="3590" spans="1:13" ht="14.25" customHeight="true">
      <c r="A3590" s="33" t="str">
        <f t="shared" si="224"/>
        <v>SEK - Intercompany</v>
      </c>
      <c r="B3590" s="33" t="str">
        <f t="shared" si="225"/>
        <v>SEK</v>
      </c>
      <c r="C3590" s="33" t="str">
        <f t="shared" si="226"/>
        <v>11332-0000</v>
      </c>
      <c r="D3590" t="s">
        <v>2501</v>
      </c>
      <c r="E3590" t="s">
        <v>13243</v>
      </c>
      <c r="F3590" t="s">
        <v>14039</v>
      </c>
      <c r="G3590" t="s">
        <v>14672</v>
      </c>
      <c r="H3590" t="s">
        <v>13869</v>
      </c>
      <c r="I3590" t="s">
        <v>14690</v>
      </c>
      <c r="J3590" s="62">
        <v>0</v>
      </c>
      <c r="K3590" s="62">
        <v>80000</v>
      </c>
      <c r="L3590" t="str">
        <f>VLOOKUP(VALUE(LEFT(C3590,5)),Xref!A:B,2,0)</f>
        <v>STO</v>
      </c>
      <c r="M3590" t="str">
        <f t="shared" si="227"/>
        <v>SEK-STO</v>
      </c>
    </row>
    <row r="3591" spans="1:13" ht="14.25" customHeight="true">
      <c r="A3591" s="33" t="str">
        <f t="shared" si="224"/>
        <v>SEK - Intercompany</v>
      </c>
      <c r="B3591" s="33" t="str">
        <f t="shared" si="225"/>
        <v>SEK</v>
      </c>
      <c r="C3591" s="33" t="str">
        <f t="shared" si="226"/>
        <v>11333-0000</v>
      </c>
      <c r="D3591" t="s">
        <v>26649</v>
      </c>
      <c r="E3591" t="s">
        <v>13244</v>
      </c>
      <c r="F3591" t="s">
        <v>14039</v>
      </c>
      <c r="G3591" t="s">
        <v>14672</v>
      </c>
      <c r="H3591" t="s">
        <v>13869</v>
      </c>
      <c r="I3591" t="s">
        <v>14690</v>
      </c>
      <c r="J3591" s="62">
        <v>0</v>
      </c>
      <c r="K3591" s="62">
        <v>0</v>
      </c>
      <c r="L3591" t="str">
        <f>VLOOKUP(VALUE(LEFT(C3591,5)),Xref!A:B,2,0)</f>
        <v>ANG</v>
      </c>
      <c r="M3591" t="str">
        <f t="shared" si="227"/>
        <v>ANG-SEK</v>
      </c>
    </row>
    <row r="3592" spans="1:13" ht="14.25" customHeight="true">
      <c r="A3592" s="33" t="str">
        <f t="shared" si="224"/>
        <v>SEK - Intercompany</v>
      </c>
      <c r="B3592" s="33" t="str">
        <f t="shared" si="225"/>
        <v>SEK</v>
      </c>
      <c r="C3592" s="33" t="str">
        <f t="shared" si="226"/>
        <v>11334-0000</v>
      </c>
      <c r="D3592" t="s">
        <v>26650</v>
      </c>
      <c r="E3592" t="s">
        <v>13245</v>
      </c>
      <c r="F3592" t="s">
        <v>14039</v>
      </c>
      <c r="G3592" t="s">
        <v>14672</v>
      </c>
      <c r="H3592" t="s">
        <v>13869</v>
      </c>
      <c r="I3592" t="s">
        <v>14690</v>
      </c>
      <c r="J3592" s="62">
        <v>0</v>
      </c>
      <c r="K3592" s="62">
        <v>0</v>
      </c>
      <c r="L3592" t="str">
        <f>VLOOKUP(VALUE(LEFT(C3592,5)),Xref!A:B,2,0)</f>
        <v>BRU</v>
      </c>
      <c r="M3592" t="str">
        <f t="shared" si="227"/>
        <v>BRU-SEK</v>
      </c>
    </row>
    <row r="3593" spans="1:13" ht="14.25" customHeight="true">
      <c r="A3593" s="33" t="str">
        <f t="shared" si="224"/>
        <v>SEK - Intercompany</v>
      </c>
      <c r="B3593" s="33" t="str">
        <f t="shared" si="225"/>
        <v>SEK</v>
      </c>
      <c r="C3593" s="33" t="str">
        <f t="shared" si="226"/>
        <v>11335-0000</v>
      </c>
      <c r="D3593" t="s">
        <v>26651</v>
      </c>
      <c r="E3593" t="s">
        <v>13246</v>
      </c>
      <c r="F3593" t="s">
        <v>14039</v>
      </c>
      <c r="G3593" t="s">
        <v>14672</v>
      </c>
      <c r="H3593" t="s">
        <v>13869</v>
      </c>
      <c r="I3593" t="s">
        <v>14690</v>
      </c>
      <c r="J3593" s="62">
        <v>0</v>
      </c>
      <c r="K3593" s="62">
        <v>0</v>
      </c>
      <c r="L3593" t="str">
        <f>VLOOKUP(VALUE(LEFT(C3593,5)),Xref!A:B,2,0)</f>
        <v>VEN</v>
      </c>
      <c r="M3593" t="str">
        <f t="shared" si="227"/>
        <v>SEK-VEN</v>
      </c>
    </row>
    <row r="3594" spans="1:13" ht="14.25" customHeight="true">
      <c r="A3594" s="33" t="str">
        <f t="shared" si="224"/>
        <v>SEK - Intercompany</v>
      </c>
      <c r="B3594" s="33" t="str">
        <f t="shared" si="225"/>
        <v>SEK</v>
      </c>
      <c r="C3594" s="33" t="str">
        <f t="shared" si="226"/>
        <v>11336-0000</v>
      </c>
      <c r="D3594" t="s">
        <v>26652</v>
      </c>
      <c r="E3594" t="s">
        <v>13247</v>
      </c>
      <c r="F3594" t="s">
        <v>14039</v>
      </c>
      <c r="G3594" t="s">
        <v>14672</v>
      </c>
      <c r="H3594" t="s">
        <v>13869</v>
      </c>
      <c r="I3594" t="s">
        <v>14690</v>
      </c>
      <c r="J3594" s="62">
        <v>0</v>
      </c>
      <c r="K3594" s="62">
        <v>0</v>
      </c>
      <c r="L3594" t="str">
        <f>VLOOKUP(VALUE(LEFT(C3594,5)),Xref!A:B,2,0)</f>
        <v>SAT</v>
      </c>
      <c r="M3594" t="str">
        <f t="shared" si="227"/>
        <v>SAT-SEK</v>
      </c>
    </row>
    <row r="3595" spans="1:13" ht="14.25" customHeight="true">
      <c r="A3595" s="33" t="str">
        <f t="shared" si="224"/>
        <v>SEK - Intercompany</v>
      </c>
      <c r="B3595" s="33" t="str">
        <f t="shared" si="225"/>
        <v>SEK</v>
      </c>
      <c r="C3595" s="33" t="str">
        <f t="shared" si="226"/>
        <v>11337-0000</v>
      </c>
      <c r="D3595" t="s">
        <v>26653</v>
      </c>
      <c r="E3595" t="s">
        <v>13248</v>
      </c>
      <c r="F3595" t="s">
        <v>14039</v>
      </c>
      <c r="G3595" t="s">
        <v>14672</v>
      </c>
      <c r="H3595" t="s">
        <v>13869</v>
      </c>
      <c r="I3595" t="s">
        <v>14690</v>
      </c>
      <c r="J3595" s="62">
        <v>0</v>
      </c>
      <c r="K3595" s="62">
        <v>0</v>
      </c>
      <c r="L3595" t="str">
        <f>VLOOKUP(VALUE(LEFT(C3595,5)),Xref!A:B,2,0)</f>
        <v>NEP</v>
      </c>
      <c r="M3595" t="str">
        <f t="shared" si="227"/>
        <v>NEP-SEK</v>
      </c>
    </row>
    <row r="3596" spans="1:13" ht="14.25" customHeight="true">
      <c r="A3596" s="33" t="str">
        <f t="shared" si="224"/>
        <v>SEK - Intercompany</v>
      </c>
      <c r="B3596" s="33" t="str">
        <f t="shared" si="225"/>
        <v>SEK</v>
      </c>
      <c r="C3596" s="33" t="str">
        <f t="shared" si="226"/>
        <v>11338-0000</v>
      </c>
      <c r="D3596" t="s">
        <v>26654</v>
      </c>
      <c r="E3596" t="s">
        <v>14131</v>
      </c>
      <c r="F3596" t="s">
        <v>14039</v>
      </c>
      <c r="G3596" t="s">
        <v>14672</v>
      </c>
      <c r="H3596" t="s">
        <v>13869</v>
      </c>
      <c r="I3596" t="s">
        <v>14690</v>
      </c>
      <c r="J3596" s="62">
        <v>0</v>
      </c>
      <c r="K3596" s="62">
        <v>0</v>
      </c>
      <c r="L3596" t="str">
        <f>VLOOKUP(VALUE(LEFT(C3596,5)),Xref!A:B,2,0)</f>
        <v>JUP</v>
      </c>
      <c r="M3596" t="str">
        <f t="shared" si="227"/>
        <v>JUP-SEK</v>
      </c>
    </row>
    <row r="3597" spans="1:13" ht="14.25" customHeight="true">
      <c r="A3597" s="33" t="str">
        <f t="shared" si="224"/>
        <v>SEK - Intercompany</v>
      </c>
      <c r="B3597" s="33" t="str">
        <f t="shared" si="225"/>
        <v>SEK</v>
      </c>
      <c r="C3597" s="33" t="str">
        <f t="shared" si="226"/>
        <v>11339-0000</v>
      </c>
      <c r="D3597" t="s">
        <v>26655</v>
      </c>
      <c r="E3597" t="s">
        <v>14133</v>
      </c>
      <c r="F3597" t="s">
        <v>14039</v>
      </c>
      <c r="G3597" t="s">
        <v>14672</v>
      </c>
      <c r="H3597" t="s">
        <v>13869</v>
      </c>
      <c r="I3597" t="s">
        <v>14690</v>
      </c>
      <c r="J3597" s="62">
        <v>0</v>
      </c>
      <c r="K3597" s="62">
        <v>0</v>
      </c>
      <c r="L3597" t="str">
        <f>VLOOKUP(VALUE(LEFT(C3597,5)),Xref!A:B,2,0)</f>
        <v>WES</v>
      </c>
      <c r="M3597" t="str">
        <f t="shared" si="227"/>
        <v>SEK-WES</v>
      </c>
    </row>
    <row r="3598" spans="1:13" ht="14.25" customHeight="true">
      <c r="A3598" s="33" t="str">
        <f t="shared" si="224"/>
        <v>SEK - Intercompany</v>
      </c>
      <c r="B3598" s="33" t="str">
        <f t="shared" si="225"/>
        <v>SEK</v>
      </c>
      <c r="C3598" s="33" t="str">
        <f t="shared" si="226"/>
        <v>11340-0000</v>
      </c>
      <c r="D3598" t="s">
        <v>26656</v>
      </c>
      <c r="E3598" t="s">
        <v>14135</v>
      </c>
      <c r="F3598" t="s">
        <v>14039</v>
      </c>
      <c r="G3598" t="s">
        <v>14672</v>
      </c>
      <c r="H3598" t="s">
        <v>13869</v>
      </c>
      <c r="I3598" t="s">
        <v>14690</v>
      </c>
      <c r="J3598" s="62">
        <v>0</v>
      </c>
      <c r="K3598" s="62">
        <v>0</v>
      </c>
      <c r="L3598" t="str">
        <f>VLOOKUP(VALUE(LEFT(C3598,5)),Xref!A:B,2,0)</f>
        <v>LCP</v>
      </c>
      <c r="M3598" t="str">
        <f t="shared" si="227"/>
        <v>LCP-SEK</v>
      </c>
    </row>
    <row r="3599" spans="1:13" ht="14.25" customHeight="true">
      <c r="A3599" s="33" t="str">
        <f t="shared" si="224"/>
        <v>SEK - Intercompany</v>
      </c>
      <c r="B3599" s="33" t="str">
        <f t="shared" si="225"/>
        <v>SEK</v>
      </c>
      <c r="C3599" s="33" t="str">
        <f t="shared" si="226"/>
        <v>11341-0000</v>
      </c>
      <c r="D3599" t="s">
        <v>26657</v>
      </c>
      <c r="E3599" t="s">
        <v>13639</v>
      </c>
      <c r="F3599" t="s">
        <v>14039</v>
      </c>
      <c r="G3599" t="s">
        <v>14672</v>
      </c>
      <c r="H3599" t="s">
        <v>13869</v>
      </c>
      <c r="I3599" t="s">
        <v>14690</v>
      </c>
      <c r="J3599" s="62">
        <v>0</v>
      </c>
      <c r="K3599" s="62">
        <v>0</v>
      </c>
      <c r="L3599" t="str">
        <f>VLOOKUP(VALUE(LEFT(C3599,5)),Xref!A:B,2,0)</f>
        <v>NOR</v>
      </c>
      <c r="M3599" t="str">
        <f t="shared" si="227"/>
        <v>NOR-SEK</v>
      </c>
    </row>
    <row r="3600" spans="1:13" ht="14.25" customHeight="true">
      <c r="A3600" s="33" t="str">
        <f t="shared" si="224"/>
        <v>SEK - Intercompany</v>
      </c>
      <c r="B3600" s="33" t="str">
        <f t="shared" si="225"/>
        <v>SEK</v>
      </c>
      <c r="C3600" s="33" t="str">
        <f t="shared" si="226"/>
        <v>11342-0000</v>
      </c>
      <c r="D3600" t="s">
        <v>26658</v>
      </c>
      <c r="E3600" t="s">
        <v>13355</v>
      </c>
      <c r="F3600" t="s">
        <v>14039</v>
      </c>
      <c r="G3600" t="s">
        <v>14672</v>
      </c>
      <c r="H3600" t="s">
        <v>13869</v>
      </c>
      <c r="I3600" t="s">
        <v>14690</v>
      </c>
      <c r="J3600" s="62">
        <v>0</v>
      </c>
      <c r="K3600" s="62">
        <v>0</v>
      </c>
      <c r="L3600" t="str">
        <f>VLOOKUP(VALUE(LEFT(C3600,5)),Xref!A:B,2,0)</f>
        <v>EAS</v>
      </c>
      <c r="M3600" t="str">
        <f t="shared" si="227"/>
        <v>EAS-SEK</v>
      </c>
    </row>
    <row r="3601" spans="1:13" ht="14.25" customHeight="true">
      <c r="A3601" s="33" t="str">
        <f t="shared" si="224"/>
        <v>SEK - Intercompany</v>
      </c>
      <c r="B3601" s="33" t="str">
        <f t="shared" si="225"/>
        <v>SEK</v>
      </c>
      <c r="C3601" s="33" t="str">
        <f t="shared" si="226"/>
        <v>11343-0000</v>
      </c>
      <c r="D3601" t="s">
        <v>26659</v>
      </c>
      <c r="E3601" t="s">
        <v>14139</v>
      </c>
      <c r="F3601" t="s">
        <v>14039</v>
      </c>
      <c r="G3601" t="s">
        <v>14672</v>
      </c>
      <c r="H3601" t="s">
        <v>13869</v>
      </c>
      <c r="I3601" t="s">
        <v>14690</v>
      </c>
      <c r="J3601" s="62">
        <v>0</v>
      </c>
      <c r="K3601" s="62">
        <v>0</v>
      </c>
      <c r="L3601" t="str">
        <f>VLOOKUP(VALUE(LEFT(C3601,5)),Xref!A:B,2,0)</f>
        <v>GRA</v>
      </c>
      <c r="M3601" t="str">
        <f t="shared" si="227"/>
        <v>GRA-SEK</v>
      </c>
    </row>
    <row r="3602" spans="1:13" ht="14.25" customHeight="true">
      <c r="A3602" s="33" t="str">
        <f t="shared" si="224"/>
        <v>SEK - Intercompany</v>
      </c>
      <c r="B3602" s="33" t="str">
        <f t="shared" si="225"/>
        <v>SEK</v>
      </c>
      <c r="C3602" s="33" t="str">
        <f t="shared" si="226"/>
        <v>11344-0000</v>
      </c>
      <c r="D3602" t="s">
        <v>26660</v>
      </c>
      <c r="E3602" t="s">
        <v>14141</v>
      </c>
      <c r="F3602" t="s">
        <v>14039</v>
      </c>
      <c r="G3602" t="s">
        <v>14672</v>
      </c>
      <c r="H3602" t="s">
        <v>13869</v>
      </c>
      <c r="I3602" t="s">
        <v>14690</v>
      </c>
      <c r="J3602" s="62">
        <v>0</v>
      </c>
      <c r="K3602" s="62">
        <v>0</v>
      </c>
      <c r="L3602" t="str">
        <f>VLOOKUP(VALUE(LEFT(C3602,5)),Xref!A:B,2,0)</f>
        <v>SOU</v>
      </c>
      <c r="M3602" t="str">
        <f t="shared" si="227"/>
        <v>SEK-SOU</v>
      </c>
    </row>
    <row r="3603" spans="1:13" ht="14.25" customHeight="true">
      <c r="A3603" s="33" t="str">
        <f t="shared" si="224"/>
        <v>SEK - Intercompany</v>
      </c>
      <c r="B3603" s="33" t="str">
        <f t="shared" si="225"/>
        <v>SEK</v>
      </c>
      <c r="C3603" s="33" t="str">
        <f t="shared" si="226"/>
        <v>11345-0000</v>
      </c>
      <c r="D3603" t="s">
        <v>26661</v>
      </c>
      <c r="E3603" t="s">
        <v>14143</v>
      </c>
      <c r="F3603" t="s">
        <v>14039</v>
      </c>
      <c r="G3603" t="s">
        <v>14672</v>
      </c>
      <c r="H3603" t="s">
        <v>13869</v>
      </c>
      <c r="I3603" t="s">
        <v>14690</v>
      </c>
      <c r="J3603" s="62">
        <v>0</v>
      </c>
      <c r="K3603" s="62">
        <v>0</v>
      </c>
      <c r="L3603" t="str">
        <f>VLOOKUP(VALUE(LEFT(C3603,5)),Xref!A:B,2,0)</f>
        <v>API</v>
      </c>
      <c r="M3603" t="str">
        <f t="shared" si="227"/>
        <v>API-SEK</v>
      </c>
    </row>
    <row r="3604" spans="1:13" ht="14.25" customHeight="true">
      <c r="A3604" s="33" t="str">
        <f t="shared" si="224"/>
        <v>SEK - Intercompany</v>
      </c>
      <c r="B3604" s="33" t="str">
        <f t="shared" si="225"/>
        <v>SEK</v>
      </c>
      <c r="C3604" s="33" t="str">
        <f t="shared" si="226"/>
        <v>11346-0000</v>
      </c>
      <c r="D3604" t="s">
        <v>26662</v>
      </c>
      <c r="E3604" t="s">
        <v>14145</v>
      </c>
      <c r="F3604" t="s">
        <v>14039</v>
      </c>
      <c r="G3604" t="s">
        <v>14672</v>
      </c>
      <c r="H3604" t="s">
        <v>13869</v>
      </c>
      <c r="I3604" t="s">
        <v>14690</v>
      </c>
      <c r="J3604" s="62">
        <v>0</v>
      </c>
      <c r="K3604" s="62">
        <v>0</v>
      </c>
      <c r="L3604" t="str">
        <f>VLOOKUP(VALUE(LEFT(C3604,5)),Xref!A:B,2,0)</f>
        <v>DPH</v>
      </c>
      <c r="M3604" t="str">
        <f t="shared" si="227"/>
        <v>DPH-SEK</v>
      </c>
    </row>
    <row r="3605" spans="1:13" ht="14.25" customHeight="true">
      <c r="A3605" s="33" t="str">
        <f t="shared" si="224"/>
        <v>SEK - Intercompany</v>
      </c>
      <c r="B3605" s="33" t="str">
        <f t="shared" si="225"/>
        <v>SEK</v>
      </c>
      <c r="C3605" s="33" t="str">
        <f t="shared" si="226"/>
        <v>11347-0000</v>
      </c>
      <c r="D3605" t="s">
        <v>26663</v>
      </c>
      <c r="E3605" t="s">
        <v>14147</v>
      </c>
      <c r="F3605" t="s">
        <v>14039</v>
      </c>
      <c r="G3605" t="s">
        <v>14672</v>
      </c>
      <c r="H3605" t="s">
        <v>13869</v>
      </c>
      <c r="I3605" t="s">
        <v>14690</v>
      </c>
      <c r="J3605" s="62">
        <v>0</v>
      </c>
      <c r="K3605" s="62">
        <v>0</v>
      </c>
      <c r="L3605" t="str">
        <f>VLOOKUP(VALUE(LEFT(C3605,5)),Xref!A:B,2,0)</f>
        <v>ZPI</v>
      </c>
      <c r="M3605" t="str">
        <f t="shared" si="227"/>
        <v>SEK-ZPI</v>
      </c>
    </row>
    <row r="3606" spans="1:13" ht="14.25" customHeight="true">
      <c r="A3606" s="33" t="str">
        <f t="shared" si="224"/>
        <v>SEK - Intercompany</v>
      </c>
      <c r="B3606" s="33" t="str">
        <f t="shared" si="225"/>
        <v>SEK</v>
      </c>
      <c r="C3606" s="33" t="str">
        <f t="shared" si="226"/>
        <v>11348-0000</v>
      </c>
      <c r="D3606" t="s">
        <v>26664</v>
      </c>
      <c r="E3606" t="s">
        <v>14149</v>
      </c>
      <c r="F3606" t="s">
        <v>14039</v>
      </c>
      <c r="G3606" t="s">
        <v>14672</v>
      </c>
      <c r="H3606" t="s">
        <v>13869</v>
      </c>
      <c r="I3606" t="s">
        <v>14690</v>
      </c>
      <c r="J3606" s="62">
        <v>0</v>
      </c>
      <c r="K3606" s="62">
        <v>0</v>
      </c>
      <c r="L3606" t="str">
        <f>VLOOKUP(VALUE(LEFT(C3606,5)),Xref!A:B,2,0)</f>
        <v>EAM</v>
      </c>
      <c r="M3606" t="str">
        <f t="shared" si="227"/>
        <v>EAM-SEK</v>
      </c>
    </row>
    <row r="3607" spans="1:13" ht="14.25" customHeight="true">
      <c r="A3607" s="33" t="str">
        <f t="shared" si="224"/>
        <v>SEK - Intercompany</v>
      </c>
      <c r="B3607" s="33" t="str">
        <f t="shared" si="225"/>
        <v>SEK</v>
      </c>
      <c r="C3607" s="33" t="str">
        <f t="shared" si="226"/>
        <v>11349-0000</v>
      </c>
      <c r="D3607" t="s">
        <v>26665</v>
      </c>
      <c r="E3607" t="s">
        <v>14151</v>
      </c>
      <c r="F3607" t="s">
        <v>14039</v>
      </c>
      <c r="G3607" t="s">
        <v>14672</v>
      </c>
      <c r="H3607" t="s">
        <v>13869</v>
      </c>
      <c r="I3607" t="s">
        <v>14690</v>
      </c>
      <c r="J3607" s="62">
        <v>0</v>
      </c>
      <c r="K3607" s="62">
        <v>0</v>
      </c>
      <c r="L3607" t="str">
        <f>VLOOKUP(VALUE(LEFT(C3607,5)),Xref!A:B,2,0)</f>
        <v>SEA</v>
      </c>
      <c r="M3607" t="str">
        <f t="shared" si="227"/>
        <v>SEA-SEK</v>
      </c>
    </row>
    <row r="3608" spans="1:13" ht="14.25" customHeight="true">
      <c r="A3608" s="33" t="str">
        <f t="shared" si="224"/>
        <v>SEK - Intercompany</v>
      </c>
      <c r="B3608" s="33" t="str">
        <f t="shared" si="225"/>
        <v>SEK</v>
      </c>
      <c r="C3608" s="33" t="str">
        <f t="shared" si="226"/>
        <v>11350-0000</v>
      </c>
      <c r="D3608" t="s">
        <v>26666</v>
      </c>
      <c r="E3608" t="s">
        <v>14153</v>
      </c>
      <c r="F3608" t="s">
        <v>14039</v>
      </c>
      <c r="G3608" t="s">
        <v>14672</v>
      </c>
      <c r="H3608" t="s">
        <v>13869</v>
      </c>
      <c r="I3608" t="s">
        <v>14690</v>
      </c>
      <c r="J3608" s="62">
        <v>0</v>
      </c>
      <c r="K3608" s="62">
        <v>-5.64</v>
      </c>
      <c r="L3608" t="str">
        <f>VLOOKUP(VALUE(LEFT(C3608,5)),Xref!A:B,2,0)</f>
        <v>EAL</v>
      </c>
      <c r="M3608" t="str">
        <f t="shared" si="227"/>
        <v>EAL-SEK</v>
      </c>
    </row>
    <row r="3609" spans="1:13" ht="14.25" customHeight="true">
      <c r="A3609" s="33" t="str">
        <f t="shared" si="224"/>
        <v>SEK - Intercompany</v>
      </c>
      <c r="B3609" s="33" t="str">
        <f t="shared" si="225"/>
        <v>SEK</v>
      </c>
      <c r="C3609" s="33" t="str">
        <f t="shared" si="226"/>
        <v>11351-0000</v>
      </c>
      <c r="D3609" t="s">
        <v>26667</v>
      </c>
      <c r="E3609" t="s">
        <v>14155</v>
      </c>
      <c r="F3609" t="s">
        <v>14039</v>
      </c>
      <c r="G3609" t="s">
        <v>14672</v>
      </c>
      <c r="H3609" t="s">
        <v>13869</v>
      </c>
      <c r="I3609" t="s">
        <v>14690</v>
      </c>
      <c r="J3609" s="62">
        <v>0</v>
      </c>
      <c r="K3609" s="62">
        <v>0</v>
      </c>
      <c r="L3609" t="str">
        <f>VLOOKUP(VALUE(LEFT(C3609,5)),Xref!A:B,2,0)</f>
        <v>WEP</v>
      </c>
      <c r="M3609" t="str">
        <f t="shared" si="227"/>
        <v>SEK-WEP</v>
      </c>
    </row>
    <row r="3610" spans="1:13" ht="14.25" customHeight="true">
      <c r="A3610" s="33" t="str">
        <f t="shared" si="224"/>
        <v>SEK - Intercompany</v>
      </c>
      <c r="B3610" s="33" t="str">
        <f t="shared" si="225"/>
        <v>SEK</v>
      </c>
      <c r="C3610" s="33" t="str">
        <f t="shared" si="226"/>
        <v>11352-0000</v>
      </c>
      <c r="D3610" t="s">
        <v>26668</v>
      </c>
      <c r="E3610" t="s">
        <v>13536</v>
      </c>
      <c r="F3610" t="s">
        <v>14039</v>
      </c>
      <c r="G3610" t="s">
        <v>14672</v>
      </c>
      <c r="H3610" t="s">
        <v>13869</v>
      </c>
      <c r="I3610" t="s">
        <v>14690</v>
      </c>
      <c r="J3610" s="62">
        <v>0</v>
      </c>
      <c r="K3610" s="62">
        <v>0</v>
      </c>
      <c r="L3610" t="str">
        <f>VLOOKUP(VALUE(LEFT(C3610,5)),Xref!A:B,2,0)</f>
        <v>KLP</v>
      </c>
      <c r="M3610" t="str">
        <f t="shared" si="227"/>
        <v>KLP-SEK</v>
      </c>
    </row>
    <row r="3611" spans="1:13" ht="14.25" customHeight="true">
      <c r="A3611" s="33" t="str">
        <f t="shared" si="224"/>
        <v>SEK - Intercompany</v>
      </c>
      <c r="B3611" s="33" t="str">
        <f t="shared" si="225"/>
        <v>SEK</v>
      </c>
      <c r="C3611" s="33" t="str">
        <f t="shared" si="226"/>
        <v>11353-0000</v>
      </c>
      <c r="D3611" t="s">
        <v>26669</v>
      </c>
      <c r="E3611" t="s">
        <v>13537</v>
      </c>
      <c r="F3611" t="s">
        <v>14039</v>
      </c>
      <c r="G3611" t="s">
        <v>14672</v>
      </c>
      <c r="H3611" t="s">
        <v>13869</v>
      </c>
      <c r="I3611" t="s">
        <v>14690</v>
      </c>
      <c r="J3611" s="62">
        <v>0</v>
      </c>
      <c r="K3611" s="62">
        <v>0</v>
      </c>
      <c r="L3611" t="str">
        <f>VLOOKUP(VALUE(LEFT(C3611,5)),Xref!A:B,2,0)</f>
        <v>AKC</v>
      </c>
      <c r="M3611" t="str">
        <f t="shared" si="227"/>
        <v>AKC-SEK</v>
      </c>
    </row>
    <row r="3612" spans="1:13" ht="14.25" customHeight="true">
      <c r="A3612" s="33" t="str">
        <f t="shared" si="224"/>
        <v>SEK - Intercompany</v>
      </c>
      <c r="B3612" s="33" t="str">
        <f t="shared" si="225"/>
        <v>SEK</v>
      </c>
      <c r="C3612" s="33" t="str">
        <f t="shared" si="226"/>
        <v>11354-0000</v>
      </c>
      <c r="D3612" t="s">
        <v>26670</v>
      </c>
      <c r="E3612" t="s">
        <v>13538</v>
      </c>
      <c r="F3612" t="s">
        <v>14039</v>
      </c>
      <c r="G3612" t="s">
        <v>14672</v>
      </c>
      <c r="H3612" t="s">
        <v>13869</v>
      </c>
      <c r="I3612" t="s">
        <v>14690</v>
      </c>
      <c r="J3612" s="62">
        <v>0</v>
      </c>
      <c r="K3612" s="62">
        <v>0</v>
      </c>
      <c r="L3612" t="str">
        <f>VLOOKUP(VALUE(LEFT(C3612,5)),Xref!A:B,2,0)</f>
        <v>AKA</v>
      </c>
      <c r="M3612" t="str">
        <f t="shared" si="227"/>
        <v>AKA-SEK</v>
      </c>
    </row>
    <row r="3613" spans="1:13" ht="14.25" customHeight="true">
      <c r="A3613" s="33" t="str">
        <f t="shared" si="224"/>
        <v>SEK - Intercompany</v>
      </c>
      <c r="B3613" s="33" t="str">
        <f t="shared" si="225"/>
        <v>SEK</v>
      </c>
      <c r="C3613" s="33" t="str">
        <f t="shared" si="226"/>
        <v>11355-0000</v>
      </c>
      <c r="D3613" t="s">
        <v>26671</v>
      </c>
      <c r="E3613" t="s">
        <v>13539</v>
      </c>
      <c r="F3613" t="s">
        <v>14039</v>
      </c>
      <c r="G3613" t="s">
        <v>14672</v>
      </c>
      <c r="H3613" t="s">
        <v>13869</v>
      </c>
      <c r="I3613" t="s">
        <v>14690</v>
      </c>
      <c r="J3613" s="62">
        <v>0</v>
      </c>
      <c r="K3613" s="62">
        <v>0</v>
      </c>
      <c r="L3613" t="str">
        <f>VLOOKUP(VALUE(LEFT(C3613,5)),Xref!A:B,2,0)</f>
        <v>SPA</v>
      </c>
      <c r="M3613" t="str">
        <f t="shared" si="227"/>
        <v>SEK-SPA</v>
      </c>
    </row>
    <row r="3614" spans="1:13" ht="14.25" customHeight="true">
      <c r="A3614" s="33" t="str">
        <f t="shared" si="224"/>
        <v>SEK - Intercompany</v>
      </c>
      <c r="B3614" s="33" t="str">
        <f t="shared" si="225"/>
        <v>SEK</v>
      </c>
      <c r="C3614" s="33" t="str">
        <f t="shared" si="226"/>
        <v>11356-0000</v>
      </c>
      <c r="D3614" t="s">
        <v>26672</v>
      </c>
      <c r="E3614" t="s">
        <v>13540</v>
      </c>
      <c r="F3614" t="s">
        <v>14039</v>
      </c>
      <c r="G3614" t="s">
        <v>14672</v>
      </c>
      <c r="H3614" t="s">
        <v>13869</v>
      </c>
      <c r="I3614" t="s">
        <v>14690</v>
      </c>
      <c r="J3614" s="62">
        <v>0</v>
      </c>
      <c r="K3614" s="62">
        <v>0</v>
      </c>
      <c r="L3614" t="str">
        <f>VLOOKUP(VALUE(LEFT(C3614,5)),Xref!A:B,2,0)</f>
        <v>DPM</v>
      </c>
      <c r="M3614" t="str">
        <f t="shared" si="227"/>
        <v>DPM-SEK</v>
      </c>
    </row>
    <row r="3615" spans="1:13" ht="14.25" customHeight="true">
      <c r="A3615" s="33" t="str">
        <f t="shared" si="224"/>
        <v>SEK - Intercompany</v>
      </c>
      <c r="B3615" s="33" t="str">
        <f t="shared" si="225"/>
        <v>SEK</v>
      </c>
      <c r="C3615" s="33" t="str">
        <f t="shared" si="226"/>
        <v>11357-0000</v>
      </c>
      <c r="D3615" t="s">
        <v>26673</v>
      </c>
      <c r="E3615" t="s">
        <v>13541</v>
      </c>
      <c r="F3615" t="s">
        <v>14039</v>
      </c>
      <c r="G3615" t="s">
        <v>14672</v>
      </c>
      <c r="H3615" t="s">
        <v>13869</v>
      </c>
      <c r="I3615" t="s">
        <v>14690</v>
      </c>
      <c r="J3615" s="62">
        <v>0</v>
      </c>
      <c r="K3615" s="62">
        <v>0</v>
      </c>
      <c r="L3615" t="str">
        <f>VLOOKUP(VALUE(LEFT(C3615,5)),Xref!A:B,2,0)</f>
        <v>HDM</v>
      </c>
      <c r="M3615" t="str">
        <f t="shared" si="227"/>
        <v>HDM-SEK</v>
      </c>
    </row>
    <row r="3616" spans="1:13" ht="14.25" customHeight="true">
      <c r="A3616" s="33" t="str">
        <f t="shared" si="224"/>
        <v>SEK - Intercompany</v>
      </c>
      <c r="B3616" s="33" t="str">
        <f t="shared" si="225"/>
        <v>SEK</v>
      </c>
      <c r="C3616" s="33" t="str">
        <f t="shared" si="226"/>
        <v>11358-0000</v>
      </c>
      <c r="D3616" t="s">
        <v>26674</v>
      </c>
      <c r="E3616" t="s">
        <v>13542</v>
      </c>
      <c r="F3616" t="s">
        <v>14039</v>
      </c>
      <c r="G3616" t="s">
        <v>14672</v>
      </c>
      <c r="H3616" t="s">
        <v>13869</v>
      </c>
      <c r="I3616" t="s">
        <v>14690</v>
      </c>
      <c r="J3616" s="62">
        <v>0</v>
      </c>
      <c r="K3616" s="62">
        <v>0</v>
      </c>
      <c r="L3616" t="str">
        <f>VLOOKUP(VALUE(LEFT(C3616,5)),Xref!A:B,2,0)</f>
        <v>GRA</v>
      </c>
      <c r="M3616" t="str">
        <f t="shared" si="227"/>
        <v>GRA-SEK</v>
      </c>
    </row>
    <row r="3617" spans="1:13" ht="14.25" customHeight="true">
      <c r="A3617" s="33" t="str">
        <f t="shared" si="224"/>
        <v>SEK - Intercompany</v>
      </c>
      <c r="B3617" s="33" t="str">
        <f t="shared" si="225"/>
        <v>SEK</v>
      </c>
      <c r="C3617" s="33" t="str">
        <f t="shared" si="226"/>
        <v>11359-0000</v>
      </c>
      <c r="D3617" t="s">
        <v>26675</v>
      </c>
      <c r="E3617" t="s">
        <v>13543</v>
      </c>
      <c r="F3617" t="s">
        <v>14039</v>
      </c>
      <c r="G3617" t="s">
        <v>14672</v>
      </c>
      <c r="H3617" t="s">
        <v>13869</v>
      </c>
      <c r="I3617" t="s">
        <v>14690</v>
      </c>
      <c r="J3617" s="62">
        <v>0</v>
      </c>
      <c r="K3617" s="62">
        <v>0</v>
      </c>
      <c r="L3617" t="str">
        <f>VLOOKUP(VALUE(LEFT(C3617,5)),Xref!A:B,2,0)</f>
        <v>TPI</v>
      </c>
      <c r="M3617" t="str">
        <f t="shared" si="227"/>
        <v>SEK-TPI</v>
      </c>
    </row>
    <row r="3618" spans="1:13" ht="14.25" customHeight="true">
      <c r="A3618" s="33" t="str">
        <f t="shared" si="224"/>
        <v>SEK - Intercompany</v>
      </c>
      <c r="B3618" s="33" t="str">
        <f t="shared" si="225"/>
        <v>SEK</v>
      </c>
      <c r="C3618" s="33" t="str">
        <f t="shared" si="226"/>
        <v>11361-0000</v>
      </c>
      <c r="D3618" t="s">
        <v>26676</v>
      </c>
      <c r="E3618" t="s">
        <v>14165</v>
      </c>
      <c r="F3618" t="s">
        <v>14039</v>
      </c>
      <c r="G3618" t="s">
        <v>14672</v>
      </c>
      <c r="H3618" t="s">
        <v>13869</v>
      </c>
      <c r="I3618" t="s">
        <v>14690</v>
      </c>
      <c r="J3618" s="62">
        <v>0</v>
      </c>
      <c r="K3618" s="62">
        <v>0</v>
      </c>
      <c r="L3618" t="str">
        <f>VLOOKUP(VALUE(LEFT(C3618,5)),Xref!A:B,2,0)</f>
        <v>GSM</v>
      </c>
      <c r="M3618" t="str">
        <f t="shared" si="227"/>
        <v>GSM-SEK</v>
      </c>
    </row>
    <row r="3619" spans="1:13" ht="14.25" customHeight="true">
      <c r="A3619" s="33" t="str">
        <f t="shared" si="224"/>
        <v>SEK - Intercompany</v>
      </c>
      <c r="B3619" s="33" t="str">
        <f t="shared" si="225"/>
        <v>SEK</v>
      </c>
      <c r="C3619" s="33" t="str">
        <f t="shared" si="226"/>
        <v>11363-0000</v>
      </c>
      <c r="D3619" t="s">
        <v>26677</v>
      </c>
      <c r="E3619" t="s">
        <v>13544</v>
      </c>
      <c r="F3619" t="s">
        <v>14039</v>
      </c>
      <c r="G3619" t="s">
        <v>14672</v>
      </c>
      <c r="H3619" t="s">
        <v>13869</v>
      </c>
      <c r="I3619" t="s">
        <v>14690</v>
      </c>
      <c r="J3619" s="62">
        <v>0</v>
      </c>
      <c r="K3619" s="62">
        <v>0</v>
      </c>
      <c r="L3619" t="str">
        <f>VLOOKUP(VALUE(LEFT(C3619,5)),Xref!A:B,2,0)</f>
        <v>SOF</v>
      </c>
      <c r="M3619" t="str">
        <f t="shared" si="227"/>
        <v>SEK-SOF</v>
      </c>
    </row>
    <row r="3620" spans="1:13" ht="14.25" customHeight="true">
      <c r="A3620" s="33" t="str">
        <f t="shared" si="224"/>
        <v>SEK - Intercompany</v>
      </c>
      <c r="B3620" s="33" t="str">
        <f t="shared" si="225"/>
        <v>SEK</v>
      </c>
      <c r="C3620" s="33" t="str">
        <f t="shared" si="226"/>
        <v>11364-0000</v>
      </c>
      <c r="D3620" t="s">
        <v>26678</v>
      </c>
      <c r="E3620" t="s">
        <v>14168</v>
      </c>
      <c r="F3620" t="s">
        <v>14039</v>
      </c>
      <c r="G3620" t="s">
        <v>14672</v>
      </c>
      <c r="H3620" t="s">
        <v>13869</v>
      </c>
      <c r="I3620" t="s">
        <v>14690</v>
      </c>
      <c r="J3620" s="62">
        <v>0</v>
      </c>
      <c r="K3620" s="62">
        <v>0</v>
      </c>
      <c r="L3620" t="e">
        <f>VLOOKUP(VALUE(LEFT(C3620,5)),Xref!A:B,2,0)</f>
        <v>#N/A</v>
      </c>
      <c r="M3620" t="e">
        <f t="shared" si="227"/>
        <v>#N/A</v>
      </c>
    </row>
    <row r="3621" spans="1:13" ht="14.25" customHeight="true">
      <c r="A3621" s="33" t="str">
        <f t="shared" si="224"/>
        <v>SEK - Intercompany</v>
      </c>
      <c r="B3621" s="33" t="str">
        <f t="shared" si="225"/>
        <v>SEK</v>
      </c>
      <c r="C3621" s="33" t="str">
        <f t="shared" si="226"/>
        <v>11365-0000</v>
      </c>
      <c r="D3621" t="s">
        <v>26679</v>
      </c>
      <c r="E3621" t="s">
        <v>14170</v>
      </c>
      <c r="F3621" t="s">
        <v>14039</v>
      </c>
      <c r="G3621" t="s">
        <v>14672</v>
      </c>
      <c r="H3621" t="s">
        <v>13869</v>
      </c>
      <c r="I3621" t="s">
        <v>14690</v>
      </c>
      <c r="J3621" s="62">
        <v>0</v>
      </c>
      <c r="K3621" s="62">
        <v>0</v>
      </c>
      <c r="L3621" t="e">
        <f>VLOOKUP(VALUE(LEFT(C3621,5)),Xref!A:B,2,0)</f>
        <v>#N/A</v>
      </c>
      <c r="M3621" t="e">
        <f t="shared" si="227"/>
        <v>#N/A</v>
      </c>
    </row>
    <row r="3622" spans="1:13" ht="14.25" customHeight="true">
      <c r="A3622" s="33" t="str">
        <f t="shared" si="224"/>
        <v>SEK - Intercompany</v>
      </c>
      <c r="B3622" s="33" t="str">
        <f t="shared" si="225"/>
        <v>SEK</v>
      </c>
      <c r="C3622" s="33" t="str">
        <f t="shared" si="226"/>
        <v>11366-0000</v>
      </c>
      <c r="D3622" t="s">
        <v>26680</v>
      </c>
      <c r="E3622" t="s">
        <v>14172</v>
      </c>
      <c r="G3622" t="s">
        <v>14672</v>
      </c>
      <c r="H3622" t="s">
        <v>13869</v>
      </c>
      <c r="I3622" t="s">
        <v>14690</v>
      </c>
      <c r="J3622" s="62">
        <v>0</v>
      </c>
      <c r="K3622" s="62">
        <v>0</v>
      </c>
      <c r="L3622" t="e">
        <f>VLOOKUP(VALUE(LEFT(C3622,5)),Xref!A:B,2,0)</f>
        <v>#N/A</v>
      </c>
      <c r="M3622" t="e">
        <f t="shared" si="227"/>
        <v>#N/A</v>
      </c>
    </row>
    <row r="3623" spans="1:13" ht="14.25" customHeight="true">
      <c r="A3623" s="33" t="str">
        <f t="shared" si="224"/>
        <v>SEK - Intercompany</v>
      </c>
      <c r="B3623" s="33" t="str">
        <f t="shared" si="225"/>
        <v>SEK</v>
      </c>
      <c r="C3623" s="33" t="str">
        <f t="shared" si="226"/>
        <v>11402-0000</v>
      </c>
      <c r="D3623" t="s">
        <v>26681</v>
      </c>
      <c r="E3623" t="s">
        <v>14174</v>
      </c>
      <c r="G3623" t="s">
        <v>14672</v>
      </c>
      <c r="H3623" t="s">
        <v>13869</v>
      </c>
      <c r="I3623" t="s">
        <v>14690</v>
      </c>
      <c r="J3623" s="62">
        <v>0</v>
      </c>
      <c r="K3623" s="62">
        <v>0</v>
      </c>
      <c r="L3623" t="str">
        <f>VLOOKUP(VALUE(LEFT(C3623,5)),Xref!A:B,2,0)</f>
        <v>DPI</v>
      </c>
      <c r="M3623" t="str">
        <f t="shared" si="227"/>
        <v>DPI-SEK</v>
      </c>
    </row>
    <row r="3624" spans="1:13" ht="14.25" customHeight="true">
      <c r="A3624" s="33" t="str">
        <f t="shared" si="224"/>
        <v>SEK - Intercompany</v>
      </c>
      <c r="B3624" s="33" t="str">
        <f t="shared" si="225"/>
        <v>SEK</v>
      </c>
      <c r="C3624" s="33" t="str">
        <f t="shared" si="226"/>
        <v>11403-0000</v>
      </c>
      <c r="D3624" t="s">
        <v>26682</v>
      </c>
      <c r="E3624" t="s">
        <v>14176</v>
      </c>
      <c r="G3624" t="s">
        <v>14672</v>
      </c>
      <c r="H3624" t="s">
        <v>13869</v>
      </c>
      <c r="I3624" t="s">
        <v>14690</v>
      </c>
      <c r="J3624" s="62">
        <v>0</v>
      </c>
      <c r="K3624" s="62">
        <v>0</v>
      </c>
      <c r="L3624" t="str">
        <f>VLOOKUP(VALUE(LEFT(C3624,5)),Xref!A:B,2,0)</f>
        <v>SEA</v>
      </c>
      <c r="M3624" t="str">
        <f t="shared" si="227"/>
        <v>SEA-SEK</v>
      </c>
    </row>
    <row r="3625" spans="1:13" ht="14.25" customHeight="true">
      <c r="A3625" s="33" t="str">
        <f t="shared" si="224"/>
        <v>SEK - Intercompany</v>
      </c>
      <c r="B3625" s="33" t="str">
        <f t="shared" si="225"/>
        <v>SEK</v>
      </c>
      <c r="C3625" s="33" t="str">
        <f t="shared" si="226"/>
        <v>12400-0000</v>
      </c>
      <c r="D3625" t="s">
        <v>26685</v>
      </c>
      <c r="E3625" t="s">
        <v>14185</v>
      </c>
      <c r="F3625" t="s">
        <v>14039</v>
      </c>
      <c r="G3625" t="s">
        <v>14672</v>
      </c>
      <c r="H3625" t="s">
        <v>13869</v>
      </c>
      <c r="I3625" t="s">
        <v>14690</v>
      </c>
      <c r="J3625" s="62">
        <v>0</v>
      </c>
      <c r="K3625" s="62">
        <v>0</v>
      </c>
      <c r="L3625" t="str">
        <f>VLOOKUP(VALUE(LEFT(C3625,5)),Xref!A:B,2,0)</f>
        <v>aka</v>
      </c>
      <c r="M3625" t="str">
        <f t="shared" si="227"/>
        <v>aka-SEK</v>
      </c>
    </row>
    <row r="3626" spans="1:13" ht="14.25" customHeight="true">
      <c r="A3626" s="33" t="str">
        <f t="shared" si="224"/>
        <v>SEK - Intercompany</v>
      </c>
      <c r="B3626" s="33" t="str">
        <f t="shared" si="225"/>
        <v>SEK</v>
      </c>
      <c r="C3626" s="33" t="str">
        <f t="shared" si="226"/>
        <v>12401-0000</v>
      </c>
      <c r="D3626" t="s">
        <v>26686</v>
      </c>
      <c r="E3626" t="s">
        <v>14187</v>
      </c>
      <c r="F3626" t="s">
        <v>14039</v>
      </c>
      <c r="G3626" t="s">
        <v>14672</v>
      </c>
      <c r="H3626" t="s">
        <v>13869</v>
      </c>
      <c r="I3626" t="s">
        <v>14690</v>
      </c>
      <c r="J3626" s="62">
        <v>0</v>
      </c>
      <c r="K3626" s="62">
        <v>0</v>
      </c>
      <c r="L3626" t="str">
        <f>VLOOKUP(VALUE(LEFT(C3626,5)),Xref!A:B,2,0)</f>
        <v>aka</v>
      </c>
      <c r="M3626" t="str">
        <f t="shared" si="227"/>
        <v>aka-SEK</v>
      </c>
    </row>
    <row r="3627" spans="1:13" ht="14.25" customHeight="true">
      <c r="A3627" s="33" t="str">
        <f t="shared" si="224"/>
        <v>SEK - Intercompany</v>
      </c>
      <c r="B3627" s="33" t="str">
        <f t="shared" si="225"/>
        <v>SEK</v>
      </c>
      <c r="C3627" s="33" t="str">
        <f t="shared" si="226"/>
        <v>12402-0000</v>
      </c>
      <c r="D3627" t="s">
        <v>26687</v>
      </c>
      <c r="E3627" t="s">
        <v>14189</v>
      </c>
      <c r="F3627" t="s">
        <v>14039</v>
      </c>
      <c r="G3627" t="s">
        <v>14672</v>
      </c>
      <c r="H3627" t="s">
        <v>13869</v>
      </c>
      <c r="I3627" t="s">
        <v>14690</v>
      </c>
      <c r="J3627" s="62">
        <v>0</v>
      </c>
      <c r="K3627" s="62">
        <v>0</v>
      </c>
      <c r="L3627" t="str">
        <f>VLOOKUP(VALUE(LEFT(C3627,5)),Xref!A:B,2,0)</f>
        <v>aka</v>
      </c>
      <c r="M3627" t="str">
        <f t="shared" si="227"/>
        <v>aka-SEK</v>
      </c>
    </row>
    <row r="3628" spans="1:13" ht="14.25" customHeight="true">
      <c r="A3628" s="33" t="str">
        <f t="shared" si="224"/>
        <v>SEK - Intercompany</v>
      </c>
      <c r="B3628" s="33" t="str">
        <f t="shared" si="225"/>
        <v>SEK</v>
      </c>
      <c r="C3628" s="33" t="str">
        <f t="shared" si="226"/>
        <v>12403-0000</v>
      </c>
      <c r="D3628" t="s">
        <v>26688</v>
      </c>
      <c r="E3628" t="s">
        <v>5226</v>
      </c>
      <c r="F3628" t="s">
        <v>14039</v>
      </c>
      <c r="G3628" t="s">
        <v>14672</v>
      </c>
      <c r="H3628" t="s">
        <v>13869</v>
      </c>
      <c r="I3628" t="s">
        <v>14690</v>
      </c>
      <c r="J3628" s="62">
        <v>0</v>
      </c>
      <c r="K3628" s="62">
        <v>0</v>
      </c>
      <c r="L3628" t="str">
        <f>VLOOKUP(VALUE(LEFT(C3628,5)),Xref!A:B,2,0)</f>
        <v>aka</v>
      </c>
      <c r="M3628" t="str">
        <f t="shared" si="227"/>
        <v>aka-SEK</v>
      </c>
    </row>
    <row r="3629" spans="1:13" ht="14.25" customHeight="true">
      <c r="A3629" s="33" t="str">
        <f t="shared" si="224"/>
        <v>SEK - Intercompany</v>
      </c>
      <c r="B3629" s="33" t="str">
        <f t="shared" si="225"/>
        <v>SEK</v>
      </c>
      <c r="C3629" s="33" t="str">
        <f t="shared" si="226"/>
        <v>12501-0000</v>
      </c>
      <c r="D3629" t="s">
        <v>26689</v>
      </c>
      <c r="E3629" t="s">
        <v>14192</v>
      </c>
      <c r="F3629" t="s">
        <v>14039</v>
      </c>
      <c r="G3629" t="s">
        <v>14672</v>
      </c>
      <c r="H3629" t="s">
        <v>13869</v>
      </c>
      <c r="I3629" t="s">
        <v>14690</v>
      </c>
      <c r="J3629" s="62">
        <v>0</v>
      </c>
      <c r="K3629" s="62">
        <v>0</v>
      </c>
      <c r="L3629" t="str">
        <f>VLOOKUP(VALUE(LEFT(C3629,5)),Xref!A:B,2,0)</f>
        <v>aka</v>
      </c>
      <c r="M3629" t="str">
        <f t="shared" si="227"/>
        <v>aka-SEK</v>
      </c>
    </row>
    <row r="3630" spans="1:13" ht="14.25" customHeight="true">
      <c r="A3630" s="33" t="str">
        <f t="shared" si="224"/>
        <v>SEK - InterCo Notes</v>
      </c>
      <c r="B3630" s="33" t="str">
        <f t="shared" si="225"/>
        <v>SEK</v>
      </c>
      <c r="C3630" s="33" t="str">
        <f t="shared" si="226"/>
        <v>25600-0000</v>
      </c>
      <c r="D3630" t="s">
        <v>26734</v>
      </c>
      <c r="E3630" t="s">
        <v>314</v>
      </c>
      <c r="F3630" t="s">
        <v>14039</v>
      </c>
      <c r="G3630" t="s">
        <v>14672</v>
      </c>
      <c r="H3630" t="s">
        <v>13889</v>
      </c>
      <c r="I3630" t="s">
        <v>14690</v>
      </c>
      <c r="J3630" s="62">
        <v>0</v>
      </c>
      <c r="K3630" s="62">
        <v>0</v>
      </c>
      <c r="L3630" t="str">
        <f>VLOOKUP(VALUE(LEFT(C3630,5)),Xref!A:B,2,0)</f>
        <v>D7</v>
      </c>
      <c r="M3630" t="str">
        <f t="shared" si="227"/>
        <v>D7-SEK</v>
      </c>
    </row>
    <row r="3631" spans="1:13" ht="14.25" customHeight="true">
      <c r="A3631" s="33" t="str">
        <f t="shared" si="224"/>
        <v>SEK - InterCo Notes</v>
      </c>
      <c r="B3631" s="33" t="str">
        <f t="shared" si="225"/>
        <v>SEK</v>
      </c>
      <c r="C3631" s="33" t="str">
        <f t="shared" si="226"/>
        <v>25602-0000</v>
      </c>
      <c r="D3631" t="s">
        <v>26736</v>
      </c>
      <c r="E3631" t="s">
        <v>13426</v>
      </c>
      <c r="F3631" t="s">
        <v>14039</v>
      </c>
      <c r="G3631" t="s">
        <v>14672</v>
      </c>
      <c r="H3631" t="s">
        <v>13889</v>
      </c>
      <c r="I3631" t="s">
        <v>14690</v>
      </c>
      <c r="J3631" s="62">
        <v>0</v>
      </c>
      <c r="K3631" s="62">
        <v>-2246716.97</v>
      </c>
      <c r="L3631" t="str">
        <f>VLOOKUP(VALUE(LEFT(C3631,5)),Xref!A:B,2,0)</f>
        <v>DFLP</v>
      </c>
      <c r="M3631" t="str">
        <f t="shared" si="227"/>
        <v>DFLP-SEK</v>
      </c>
    </row>
    <row r="3632" spans="1:13" ht="14.25" customHeight="true">
      <c r="A3632" s="33" t="str">
        <f t="shared" si="224"/>
        <v>SEK - InterCo Notes</v>
      </c>
      <c r="B3632" s="33" t="str">
        <f t="shared" si="225"/>
        <v>SEK</v>
      </c>
      <c r="C3632" s="33" t="str">
        <f t="shared" si="226"/>
        <v>25603-0000</v>
      </c>
      <c r="D3632" t="s">
        <v>26737</v>
      </c>
      <c r="E3632" t="s">
        <v>14311</v>
      </c>
      <c r="F3632" t="s">
        <v>14039</v>
      </c>
      <c r="G3632" t="s">
        <v>14832</v>
      </c>
      <c r="H3632" t="s">
        <v>13889</v>
      </c>
      <c r="I3632" t="s">
        <v>14690</v>
      </c>
      <c r="J3632" s="62">
        <v>0</v>
      </c>
      <c r="K3632" s="62">
        <v>0</v>
      </c>
      <c r="L3632" t="str">
        <f>VLOOKUP(VALUE(LEFT(C3632,5)),Xref!A:B,2,0)</f>
        <v>aka</v>
      </c>
      <c r="M3632" t="str">
        <f t="shared" si="227"/>
        <v>aka-SEK</v>
      </c>
    </row>
    <row r="3633" spans="1:13" ht="14.25" customHeight="true">
      <c r="A3633" s="33" t="str">
        <f t="shared" si="224"/>
        <v>SEK - Intercompany</v>
      </c>
      <c r="B3633" s="33" t="str">
        <f t="shared" si="225"/>
        <v>SEK</v>
      </c>
      <c r="C3633" s="33" t="str">
        <f t="shared" si="226"/>
        <v>25604-0000</v>
      </c>
      <c r="D3633" t="s">
        <v>26738</v>
      </c>
      <c r="E3633" t="s">
        <v>13490</v>
      </c>
      <c r="F3633" t="s">
        <v>14039</v>
      </c>
      <c r="G3633" t="s">
        <v>14672</v>
      </c>
      <c r="H3633" t="s">
        <v>13869</v>
      </c>
      <c r="I3633" t="s">
        <v>14690</v>
      </c>
      <c r="J3633" s="62">
        <v>0</v>
      </c>
      <c r="K3633" s="62">
        <v>0</v>
      </c>
      <c r="L3633">
        <f>VLOOKUP(VALUE(LEFT(C3633,5)),Xref!A:B,2,0)</f>
        <v>0</v>
      </c>
      <c r="M3633" t="str">
        <f t="shared" si="227"/>
        <v>0-SEK</v>
      </c>
    </row>
    <row r="3634" spans="1:13" ht="14.25" customHeight="true">
      <c r="A3634" s="33" t="str">
        <f t="shared" si="224"/>
        <v>SG2 - Intercompany</v>
      </c>
      <c r="B3634" s="33" t="str">
        <f t="shared" si="225"/>
        <v>SG2</v>
      </c>
      <c r="C3634" s="33" t="str">
        <f t="shared" si="226"/>
        <v>11200-0000</v>
      </c>
      <c r="D3634" t="s">
        <v>2524</v>
      </c>
      <c r="E3634" t="s">
        <v>38</v>
      </c>
      <c r="F3634" t="s">
        <v>30843</v>
      </c>
      <c r="G3634" t="s">
        <v>16</v>
      </c>
      <c r="H3634" t="s">
        <v>13869</v>
      </c>
      <c r="I3634" t="s">
        <v>40</v>
      </c>
      <c r="J3634" s="62">
        <v>-23718.45</v>
      </c>
      <c r="K3634" s="62">
        <v>-18046170.78</v>
      </c>
      <c r="L3634" t="str">
        <f>VLOOKUP(VALUE(LEFT(C3634,5)),Xref!A:B,2,0)</f>
        <v>SCL</v>
      </c>
      <c r="M3634" t="str">
        <f t="shared" si="227"/>
        <v>SCL-SG2</v>
      </c>
    </row>
    <row r="3635" spans="1:13" ht="14.25" customHeight="true">
      <c r="A3635" s="33" t="str">
        <f t="shared" si="224"/>
        <v>SG2 - Intercompany</v>
      </c>
      <c r="B3635" s="33" t="str">
        <f t="shared" si="225"/>
        <v>SG2</v>
      </c>
      <c r="C3635" s="33" t="str">
        <f t="shared" si="226"/>
        <v>11203-0000</v>
      </c>
      <c r="D3635" t="s">
        <v>2525</v>
      </c>
      <c r="E3635" t="s">
        <v>767</v>
      </c>
      <c r="F3635" t="s">
        <v>30843</v>
      </c>
      <c r="G3635" t="s">
        <v>16</v>
      </c>
      <c r="H3635" t="s">
        <v>13869</v>
      </c>
      <c r="I3635" t="s">
        <v>40</v>
      </c>
      <c r="J3635" s="62">
        <v>103258.24</v>
      </c>
      <c r="K3635" s="62">
        <v>9710049.02</v>
      </c>
      <c r="L3635" t="str">
        <f>VLOOKUP(VALUE(LEFT(C3635,5)),Xref!A:B,2,0)</f>
        <v>HN2</v>
      </c>
      <c r="M3635" t="str">
        <f t="shared" si="227"/>
        <v>HN2-SG2</v>
      </c>
    </row>
    <row r="3636" spans="1:13" ht="14.25" customHeight="true">
      <c r="A3636" s="33" t="str">
        <f t="shared" si="224"/>
        <v>SG2 - Intercompany</v>
      </c>
      <c r="B3636" s="33" t="str">
        <f t="shared" si="225"/>
        <v>SG2</v>
      </c>
      <c r="C3636" s="33" t="str">
        <f t="shared" si="226"/>
        <v>11204-0000</v>
      </c>
      <c r="D3636" t="s">
        <v>2526</v>
      </c>
      <c r="E3636" t="s">
        <v>1234</v>
      </c>
      <c r="F3636" t="s">
        <v>30843</v>
      </c>
      <c r="G3636" t="s">
        <v>16</v>
      </c>
      <c r="H3636" t="s">
        <v>13869</v>
      </c>
      <c r="I3636" t="s">
        <v>40</v>
      </c>
      <c r="J3636" s="62">
        <v>185275.74</v>
      </c>
      <c r="K3636" s="62">
        <v>13242529.57</v>
      </c>
      <c r="L3636" t="str">
        <f>VLOOKUP(VALUE(LEFT(C3636,5)),Xref!A:B,2,0)</f>
        <v>DF2</v>
      </c>
      <c r="M3636" t="str">
        <f t="shared" si="227"/>
        <v>DF2-SG2</v>
      </c>
    </row>
    <row r="3637" spans="1:13" ht="14.25" customHeight="true">
      <c r="A3637" s="33" t="str">
        <f t="shared" si="224"/>
        <v>SG2 - Intercompany</v>
      </c>
      <c r="B3637" s="33" t="str">
        <f t="shared" si="225"/>
        <v>SG2</v>
      </c>
      <c r="C3637" s="33" t="str">
        <f t="shared" si="226"/>
        <v>11218-0000</v>
      </c>
      <c r="D3637" t="s">
        <v>12235</v>
      </c>
      <c r="E3637" t="s">
        <v>42</v>
      </c>
      <c r="F3637" t="s">
        <v>30843</v>
      </c>
      <c r="G3637" t="s">
        <v>16</v>
      </c>
      <c r="H3637" t="s">
        <v>13869</v>
      </c>
      <c r="I3637" t="s">
        <v>40</v>
      </c>
      <c r="J3637" s="62">
        <v>0</v>
      </c>
      <c r="K3637" s="62">
        <v>27.71</v>
      </c>
      <c r="L3637" t="str">
        <f>VLOOKUP(VALUE(LEFT(C3637,5)),Xref!A:B,2,0)</f>
        <v>3SI</v>
      </c>
      <c r="M3637" t="str">
        <f t="shared" si="227"/>
        <v>3SI-SG2</v>
      </c>
    </row>
    <row r="3638" spans="1:13" ht="14.25" customHeight="true">
      <c r="A3638" s="33" t="str">
        <f t="shared" si="224"/>
        <v>SG2 - Intercompany</v>
      </c>
      <c r="B3638" s="33" t="str">
        <f t="shared" si="225"/>
        <v>SG2</v>
      </c>
      <c r="C3638" s="33" t="str">
        <f t="shared" si="226"/>
        <v>11224-0000</v>
      </c>
      <c r="D3638" t="s">
        <v>2527</v>
      </c>
      <c r="E3638" t="s">
        <v>771</v>
      </c>
      <c r="F3638" t="s">
        <v>30843</v>
      </c>
      <c r="G3638" t="s">
        <v>16</v>
      </c>
      <c r="H3638" t="s">
        <v>13869</v>
      </c>
      <c r="I3638" t="s">
        <v>40</v>
      </c>
      <c r="J3638" s="62">
        <v>132</v>
      </c>
      <c r="K3638" s="62">
        <v>4974.64</v>
      </c>
      <c r="L3638" t="str">
        <f>VLOOKUP(VALUE(LEFT(C3638,5)),Xref!A:B,2,0)</f>
        <v>FSH</v>
      </c>
      <c r="M3638" t="str">
        <f t="shared" si="227"/>
        <v>FSH-SG2</v>
      </c>
    </row>
    <row r="3639" spans="1:13" ht="14.25" customHeight="true">
      <c r="A3639" s="33" t="str">
        <f t="shared" si="224"/>
        <v>SIL - Intercompany</v>
      </c>
      <c r="B3639" s="33" t="str">
        <f t="shared" si="225"/>
        <v>SIL</v>
      </c>
      <c r="C3639" s="33" t="str">
        <f t="shared" si="226"/>
        <v>11200-0000</v>
      </c>
      <c r="D3639" t="s">
        <v>2567</v>
      </c>
      <c r="E3639" t="s">
        <v>14069</v>
      </c>
      <c r="F3639" t="s">
        <v>14039</v>
      </c>
      <c r="G3639" t="s">
        <v>14672</v>
      </c>
      <c r="H3639" t="s">
        <v>13869</v>
      </c>
      <c r="I3639" t="s">
        <v>14690</v>
      </c>
      <c r="J3639" s="62">
        <v>0</v>
      </c>
      <c r="K3639" s="62">
        <v>-20000</v>
      </c>
      <c r="L3639" t="str">
        <f>VLOOKUP(VALUE(LEFT(C3639,5)),Xref!A:B,2,0)</f>
        <v>SCL</v>
      </c>
      <c r="M3639" t="str">
        <f t="shared" si="227"/>
        <v>SCL-SIL</v>
      </c>
    </row>
    <row r="3640" spans="1:13" ht="14.25" customHeight="true">
      <c r="A3640" s="33" t="str">
        <f t="shared" si="224"/>
        <v>SIL - Intercompany</v>
      </c>
      <c r="B3640" s="33" t="str">
        <f t="shared" si="225"/>
        <v>SIL</v>
      </c>
      <c r="C3640" s="33" t="str">
        <f t="shared" si="226"/>
        <v>11201-0000</v>
      </c>
      <c r="D3640" t="s">
        <v>26918</v>
      </c>
      <c r="E3640" t="s">
        <v>14071</v>
      </c>
      <c r="F3640" t="s">
        <v>14039</v>
      </c>
      <c r="G3640" t="s">
        <v>14672</v>
      </c>
      <c r="H3640" t="s">
        <v>13869</v>
      </c>
      <c r="I3640" t="s">
        <v>14690</v>
      </c>
      <c r="J3640" s="62">
        <v>0</v>
      </c>
      <c r="K3640" s="62">
        <v>0</v>
      </c>
      <c r="L3640" t="str">
        <f>VLOOKUP(VALUE(LEFT(C3640,5)),Xref!A:B,2,0)</f>
        <v>SG2</v>
      </c>
      <c r="M3640" t="str">
        <f t="shared" si="227"/>
        <v>SG2-SIL</v>
      </c>
    </row>
    <row r="3641" spans="1:13" ht="14.25" customHeight="true">
      <c r="A3641" s="33" t="str">
        <f t="shared" si="224"/>
        <v>SIL - Intercompany</v>
      </c>
      <c r="B3641" s="33" t="str">
        <f t="shared" si="225"/>
        <v>SIL</v>
      </c>
      <c r="C3641" s="33" t="str">
        <f t="shared" si="226"/>
        <v>11202-0000</v>
      </c>
      <c r="D3641" t="s">
        <v>26919</v>
      </c>
      <c r="E3641" t="s">
        <v>14073</v>
      </c>
      <c r="F3641" t="s">
        <v>14039</v>
      </c>
      <c r="G3641" t="s">
        <v>14672</v>
      </c>
      <c r="H3641" t="s">
        <v>13869</v>
      </c>
      <c r="I3641" t="s">
        <v>14690</v>
      </c>
      <c r="J3641" s="62">
        <v>0</v>
      </c>
      <c r="K3641" s="62">
        <v>100</v>
      </c>
      <c r="L3641" t="str">
        <f>VLOOKUP(VALUE(LEFT(C3641,5)),Xref!A:B,2,0)</f>
        <v>FFC</v>
      </c>
      <c r="M3641" t="str">
        <f t="shared" si="227"/>
        <v>FFC-SIL</v>
      </c>
    </row>
    <row r="3642" spans="1:13" ht="14.25" customHeight="true">
      <c r="A3642" s="33" t="str">
        <f t="shared" si="224"/>
        <v>SIL - Intercompany</v>
      </c>
      <c r="B3642" s="33" t="str">
        <f t="shared" si="225"/>
        <v>SIL</v>
      </c>
      <c r="C3642" s="33" t="str">
        <f t="shared" si="226"/>
        <v>11203-0000</v>
      </c>
      <c r="D3642" t="s">
        <v>26920</v>
      </c>
      <c r="E3642" t="s">
        <v>14075</v>
      </c>
      <c r="F3642" t="s">
        <v>14039</v>
      </c>
      <c r="G3642" t="s">
        <v>14672</v>
      </c>
      <c r="H3642" t="s">
        <v>13869</v>
      </c>
      <c r="I3642" t="s">
        <v>14690</v>
      </c>
      <c r="J3642" s="62">
        <v>0</v>
      </c>
      <c r="K3642" s="62">
        <v>0</v>
      </c>
      <c r="L3642" t="str">
        <f>VLOOKUP(VALUE(LEFT(C3642,5)),Xref!A:B,2,0)</f>
        <v>HN2</v>
      </c>
      <c r="M3642" t="str">
        <f t="shared" si="227"/>
        <v>HN2-SIL</v>
      </c>
    </row>
    <row r="3643" spans="1:13" ht="14.25" customHeight="true">
      <c r="A3643" s="33" t="str">
        <f t="shared" si="224"/>
        <v>SIL - Intercompany</v>
      </c>
      <c r="B3643" s="33" t="str">
        <f t="shared" si="225"/>
        <v>SIL</v>
      </c>
      <c r="C3643" s="33" t="str">
        <f t="shared" si="226"/>
        <v>11204-0000</v>
      </c>
      <c r="D3643" t="s">
        <v>26921</v>
      </c>
      <c r="E3643" t="s">
        <v>14077</v>
      </c>
      <c r="F3643" t="s">
        <v>14039</v>
      </c>
      <c r="G3643" t="s">
        <v>14672</v>
      </c>
      <c r="H3643" t="s">
        <v>13869</v>
      </c>
      <c r="I3643" t="s">
        <v>14690</v>
      </c>
      <c r="J3643" s="62">
        <v>0</v>
      </c>
      <c r="K3643" s="62">
        <v>0</v>
      </c>
      <c r="L3643" t="str">
        <f>VLOOKUP(VALUE(LEFT(C3643,5)),Xref!A:B,2,0)</f>
        <v>DF2</v>
      </c>
      <c r="M3643" t="str">
        <f t="shared" si="227"/>
        <v>DF2-SIL</v>
      </c>
    </row>
    <row r="3644" spans="1:13" ht="14.25" customHeight="true">
      <c r="A3644" s="33" t="str">
        <f t="shared" si="224"/>
        <v>SIL - Intercompany</v>
      </c>
      <c r="B3644" s="33" t="str">
        <f t="shared" si="225"/>
        <v>SIL</v>
      </c>
      <c r="C3644" s="33" t="str">
        <f t="shared" si="226"/>
        <v>11208-0000</v>
      </c>
      <c r="D3644" t="s">
        <v>26922</v>
      </c>
      <c r="E3644" t="s">
        <v>14079</v>
      </c>
      <c r="F3644" t="s">
        <v>14039</v>
      </c>
      <c r="G3644" t="s">
        <v>14672</v>
      </c>
      <c r="H3644" t="s">
        <v>13869</v>
      </c>
      <c r="I3644" t="s">
        <v>14690</v>
      </c>
      <c r="J3644" s="62">
        <v>0</v>
      </c>
      <c r="K3644" s="62">
        <v>0</v>
      </c>
      <c r="L3644" t="str">
        <f>VLOOKUP(VALUE(LEFT(C3644,5)),Xref!A:B,2,0)</f>
        <v>SRE</v>
      </c>
      <c r="M3644" t="str">
        <f t="shared" si="227"/>
        <v>SIL-SRE</v>
      </c>
    </row>
    <row r="3645" spans="1:13" ht="14.25" customHeight="true">
      <c r="A3645" s="33" t="str">
        <f t="shared" si="224"/>
        <v>SIL - Intercompany</v>
      </c>
      <c r="B3645" s="33" t="str">
        <f t="shared" si="225"/>
        <v>SIL</v>
      </c>
      <c r="C3645" s="33" t="str">
        <f t="shared" si="226"/>
        <v>11210-0000</v>
      </c>
      <c r="D3645" t="s">
        <v>26923</v>
      </c>
      <c r="E3645" t="s">
        <v>14081</v>
      </c>
      <c r="F3645" t="s">
        <v>14039</v>
      </c>
      <c r="G3645" t="s">
        <v>14672</v>
      </c>
      <c r="H3645" t="s">
        <v>13869</v>
      </c>
      <c r="I3645" t="s">
        <v>14690</v>
      </c>
      <c r="J3645" s="62">
        <v>0</v>
      </c>
      <c r="K3645" s="62">
        <v>0</v>
      </c>
      <c r="L3645" t="str">
        <f>VLOOKUP(VALUE(LEFT(C3645,5)),Xref!A:B,2,0)</f>
        <v>REM</v>
      </c>
      <c r="M3645" t="str">
        <f t="shared" si="227"/>
        <v>REM-SIL</v>
      </c>
    </row>
    <row r="3646" spans="1:13" ht="14.25" customHeight="true">
      <c r="A3646" s="33" t="str">
        <f t="shared" si="224"/>
        <v>SIL - Intercompany</v>
      </c>
      <c r="B3646" s="33" t="str">
        <f t="shared" si="225"/>
        <v>SIL</v>
      </c>
      <c r="C3646" s="33" t="str">
        <f t="shared" si="226"/>
        <v>11212-0000</v>
      </c>
      <c r="D3646" t="s">
        <v>26924</v>
      </c>
      <c r="E3646" t="s">
        <v>14083</v>
      </c>
      <c r="F3646" t="s">
        <v>14039</v>
      </c>
      <c r="G3646" t="s">
        <v>14672</v>
      </c>
      <c r="H3646" t="s">
        <v>13869</v>
      </c>
      <c r="I3646" t="s">
        <v>14690</v>
      </c>
      <c r="J3646" s="62">
        <v>0</v>
      </c>
      <c r="K3646" s="62">
        <v>0</v>
      </c>
      <c r="L3646" t="str">
        <f>VLOOKUP(VALUE(LEFT(C3646,5)),Xref!A:B,2,0)</f>
        <v>FRM</v>
      </c>
      <c r="M3646" t="str">
        <f t="shared" si="227"/>
        <v>FRM-SIL</v>
      </c>
    </row>
    <row r="3647" spans="1:13" ht="14.25" customHeight="true">
      <c r="A3647" s="33" t="str">
        <f t="shared" si="224"/>
        <v>SIL - Intercompany</v>
      </c>
      <c r="B3647" s="33" t="str">
        <f t="shared" si="225"/>
        <v>SIL</v>
      </c>
      <c r="C3647" s="33" t="str">
        <f t="shared" si="226"/>
        <v>11214-0000</v>
      </c>
      <c r="D3647" t="s">
        <v>2568</v>
      </c>
      <c r="E3647" t="s">
        <v>14085</v>
      </c>
      <c r="F3647" t="s">
        <v>14039</v>
      </c>
      <c r="G3647" t="s">
        <v>14672</v>
      </c>
      <c r="H3647" t="s">
        <v>13869</v>
      </c>
      <c r="I3647" t="s">
        <v>14690</v>
      </c>
      <c r="J3647" s="62">
        <v>0</v>
      </c>
      <c r="K3647" s="62">
        <v>-184037.72</v>
      </c>
      <c r="L3647" t="str">
        <f>VLOOKUP(VALUE(LEFT(C3647,5)),Xref!A:B,2,0)</f>
        <v>D7R</v>
      </c>
      <c r="M3647" t="str">
        <f t="shared" si="227"/>
        <v>D7R-SIL</v>
      </c>
    </row>
    <row r="3648" spans="1:13" ht="14.25" customHeight="true">
      <c r="A3648" s="33" t="str">
        <f t="shared" si="224"/>
        <v>SIL - Intercompany</v>
      </c>
      <c r="B3648" s="33" t="str">
        <f t="shared" si="225"/>
        <v>SIL</v>
      </c>
      <c r="C3648" s="33" t="str">
        <f t="shared" si="226"/>
        <v>11215-0000</v>
      </c>
      <c r="D3648" t="s">
        <v>26925</v>
      </c>
      <c r="E3648" t="s">
        <v>14087</v>
      </c>
      <c r="F3648" t="s">
        <v>14039</v>
      </c>
      <c r="G3648" t="s">
        <v>14672</v>
      </c>
      <c r="H3648" t="s">
        <v>13869</v>
      </c>
      <c r="I3648" t="s">
        <v>14690</v>
      </c>
      <c r="J3648" s="62">
        <v>0</v>
      </c>
      <c r="K3648" s="62">
        <v>0</v>
      </c>
      <c r="L3648" t="str">
        <f>VLOOKUP(VALUE(LEFT(C3648,5)),Xref!A:B,2,0)</f>
        <v>CDP</v>
      </c>
      <c r="M3648" t="str">
        <f t="shared" si="227"/>
        <v>CDP-SIL</v>
      </c>
    </row>
    <row r="3649" spans="1:13" ht="14.25" customHeight="true">
      <c r="A3649" s="33" t="str">
        <f t="shared" si="224"/>
        <v>SIL - Intercompany</v>
      </c>
      <c r="B3649" s="33" t="str">
        <f t="shared" si="225"/>
        <v>SIL</v>
      </c>
      <c r="C3649" s="33" t="str">
        <f t="shared" si="226"/>
        <v>11216-0000</v>
      </c>
      <c r="D3649" t="s">
        <v>26926</v>
      </c>
      <c r="E3649" t="s">
        <v>13224</v>
      </c>
      <c r="F3649" t="s">
        <v>14039</v>
      </c>
      <c r="G3649" t="s">
        <v>14672</v>
      </c>
      <c r="H3649" t="s">
        <v>13869</v>
      </c>
      <c r="I3649" t="s">
        <v>14690</v>
      </c>
      <c r="J3649" s="62">
        <v>-156</v>
      </c>
      <c r="K3649" s="62">
        <v>-156</v>
      </c>
      <c r="L3649" t="str">
        <f>VLOOKUP(VALUE(LEFT(C3649,5)),Xref!A:B,2,0)</f>
        <v>SIL</v>
      </c>
      <c r="M3649" t="str">
        <f t="shared" si="227"/>
        <v>SIL-SIL</v>
      </c>
    </row>
    <row r="3650" spans="1:13" ht="14.25" customHeight="true">
      <c r="A3650" s="33" t="str">
        <f t="shared" ref="A3650:A3713" si="228">B3650&amp;" - "&amp;TRIM(H3650)</f>
        <v>SIL - Intercompany</v>
      </c>
      <c r="B3650" s="33" t="str">
        <f t="shared" ref="B3650:B3713" si="229">LEFT(D3650,3)</f>
        <v>SIL</v>
      </c>
      <c r="C3650" s="33" t="str">
        <f t="shared" ref="C3650:C3713" si="230">RIGHT(D3650,10)</f>
        <v>11232-0000</v>
      </c>
      <c r="D3650" t="s">
        <v>26927</v>
      </c>
      <c r="E3650" t="s">
        <v>12486</v>
      </c>
      <c r="F3650" t="s">
        <v>14039</v>
      </c>
      <c r="G3650" t="s">
        <v>14672</v>
      </c>
      <c r="H3650" t="s">
        <v>13869</v>
      </c>
      <c r="I3650" t="s">
        <v>14690</v>
      </c>
      <c r="J3650" s="62">
        <v>0</v>
      </c>
      <c r="K3650" s="62">
        <v>0</v>
      </c>
      <c r="L3650" t="str">
        <f>VLOOKUP(VALUE(LEFT(C3650,5)),Xref!A:B,2,0)</f>
        <v>SC2</v>
      </c>
      <c r="M3650" t="str">
        <f t="shared" ref="M3650:M3713" si="231">IF(B3650&lt;L3650,B3650&amp;"-"&amp;L3650,L3650&amp;"-"&amp;B3650)</f>
        <v>SC2-SIL</v>
      </c>
    </row>
    <row r="3651" spans="1:13" ht="14.25" customHeight="true">
      <c r="A3651" s="33" t="str">
        <f t="shared" si="228"/>
        <v>SIL - Intercompany</v>
      </c>
      <c r="B3651" s="33" t="str">
        <f t="shared" si="229"/>
        <v>SIL</v>
      </c>
      <c r="C3651" s="33" t="str">
        <f t="shared" si="230"/>
        <v>11301-0000</v>
      </c>
      <c r="D3651" t="s">
        <v>2569</v>
      </c>
      <c r="E3651" t="s">
        <v>13225</v>
      </c>
      <c r="F3651" t="s">
        <v>14039</v>
      </c>
      <c r="G3651" t="s">
        <v>14672</v>
      </c>
      <c r="H3651" t="s">
        <v>13869</v>
      </c>
      <c r="I3651" t="s">
        <v>14690</v>
      </c>
      <c r="J3651" s="62">
        <v>191.33</v>
      </c>
      <c r="K3651" s="62">
        <v>80900.3</v>
      </c>
      <c r="L3651" t="str">
        <f>VLOOKUP(VALUE(LEFT(C3651,5)),Xref!A:B,2,0)</f>
        <v>CRE</v>
      </c>
      <c r="M3651" t="str">
        <f t="shared" si="231"/>
        <v>CRE-SIL</v>
      </c>
    </row>
    <row r="3652" spans="1:13" ht="14.25" customHeight="true">
      <c r="A3652" s="33" t="str">
        <f t="shared" si="228"/>
        <v>SIL - Intercompany</v>
      </c>
      <c r="B3652" s="33" t="str">
        <f t="shared" si="229"/>
        <v>SIL</v>
      </c>
      <c r="C3652" s="33" t="str">
        <f t="shared" si="230"/>
        <v>11302-0000</v>
      </c>
      <c r="D3652" t="s">
        <v>2571</v>
      </c>
      <c r="E3652" t="s">
        <v>13226</v>
      </c>
      <c r="F3652" t="s">
        <v>14039</v>
      </c>
      <c r="G3652" t="s">
        <v>14672</v>
      </c>
      <c r="H3652" t="s">
        <v>13869</v>
      </c>
      <c r="I3652" t="s">
        <v>14690</v>
      </c>
      <c r="J3652" s="62">
        <v>673.33</v>
      </c>
      <c r="K3652" s="62">
        <v>-116214.8</v>
      </c>
      <c r="L3652" t="str">
        <f>VLOOKUP(VALUE(LEFT(C3652,5)),Xref!A:B,2,0)</f>
        <v>CHA</v>
      </c>
      <c r="M3652" t="str">
        <f t="shared" si="231"/>
        <v>CHA-SIL</v>
      </c>
    </row>
    <row r="3653" spans="1:13" ht="14.25" customHeight="true">
      <c r="A3653" s="33" t="str">
        <f t="shared" si="228"/>
        <v>SIL - Intercompany</v>
      </c>
      <c r="B3653" s="33" t="str">
        <f t="shared" si="229"/>
        <v>SIL</v>
      </c>
      <c r="C3653" s="33" t="str">
        <f t="shared" si="230"/>
        <v>11303-0000</v>
      </c>
      <c r="D3653" t="s">
        <v>2572</v>
      </c>
      <c r="E3653" t="s">
        <v>13227</v>
      </c>
      <c r="F3653" t="s">
        <v>14039</v>
      </c>
      <c r="G3653" t="s">
        <v>14672</v>
      </c>
      <c r="H3653" t="s">
        <v>13869</v>
      </c>
      <c r="I3653" t="s">
        <v>14690</v>
      </c>
      <c r="J3653" s="62">
        <v>4445.79</v>
      </c>
      <c r="K3653" s="62">
        <v>-121960.9</v>
      </c>
      <c r="L3653" t="str">
        <f>VLOOKUP(VALUE(LEFT(C3653,5)),Xref!A:B,2,0)</f>
        <v>DIA</v>
      </c>
      <c r="M3653" t="str">
        <f t="shared" si="231"/>
        <v>DIA-SIL</v>
      </c>
    </row>
    <row r="3654" spans="1:13" ht="14.25" customHeight="true">
      <c r="A3654" s="33" t="str">
        <f t="shared" si="228"/>
        <v>SIL - Intercompany</v>
      </c>
      <c r="B3654" s="33" t="str">
        <f t="shared" si="229"/>
        <v>SIL</v>
      </c>
      <c r="C3654" s="33" t="str">
        <f t="shared" si="230"/>
        <v>11304-0000</v>
      </c>
      <c r="D3654" t="s">
        <v>2574</v>
      </c>
      <c r="E3654" t="s">
        <v>13228</v>
      </c>
      <c r="F3654" t="s">
        <v>14039</v>
      </c>
      <c r="G3654" t="s">
        <v>14672</v>
      </c>
      <c r="H3654" t="s">
        <v>13869</v>
      </c>
      <c r="I3654" t="s">
        <v>14690</v>
      </c>
      <c r="J3654" s="62">
        <v>2146.52</v>
      </c>
      <c r="K3654" s="62">
        <v>-41426.75</v>
      </c>
      <c r="L3654" t="str">
        <f>VLOOKUP(VALUE(LEFT(C3654,5)),Xref!A:B,2,0)</f>
        <v>EAG</v>
      </c>
      <c r="M3654" t="str">
        <f t="shared" si="231"/>
        <v>EAG-SIL</v>
      </c>
    </row>
    <row r="3655" spans="1:13" ht="14.25" customHeight="true">
      <c r="A3655" s="33" t="str">
        <f t="shared" si="228"/>
        <v>SIL - Intercompany</v>
      </c>
      <c r="B3655" s="33" t="str">
        <f t="shared" si="229"/>
        <v>SIL</v>
      </c>
      <c r="C3655" s="33" t="str">
        <f t="shared" si="230"/>
        <v>11305-0000</v>
      </c>
      <c r="D3655" t="s">
        <v>2575</v>
      </c>
      <c r="E3655" t="s">
        <v>13229</v>
      </c>
      <c r="F3655" t="s">
        <v>14039</v>
      </c>
      <c r="G3655" t="s">
        <v>14672</v>
      </c>
      <c r="H3655" t="s">
        <v>13869</v>
      </c>
      <c r="I3655" t="s">
        <v>14690</v>
      </c>
      <c r="J3655" s="62">
        <v>5471.16</v>
      </c>
      <c r="K3655" s="62">
        <v>-33280.57</v>
      </c>
      <c r="L3655" t="str">
        <f>VLOOKUP(VALUE(LEFT(C3655,5)),Xref!A:B,2,0)</f>
        <v>NEW</v>
      </c>
      <c r="M3655" t="str">
        <f t="shared" si="231"/>
        <v>NEW-SIL</v>
      </c>
    </row>
    <row r="3656" spans="1:13" ht="14.25" customHeight="true">
      <c r="A3656" s="33" t="str">
        <f t="shared" si="228"/>
        <v>SIL - Intercompany</v>
      </c>
      <c r="B3656" s="33" t="str">
        <f t="shared" si="229"/>
        <v>SIL</v>
      </c>
      <c r="C3656" s="33" t="str">
        <f t="shared" si="230"/>
        <v>11307-0000</v>
      </c>
      <c r="D3656" t="s">
        <v>2576</v>
      </c>
      <c r="E3656" t="s">
        <v>14096</v>
      </c>
      <c r="F3656" t="s">
        <v>14039</v>
      </c>
      <c r="G3656" t="s">
        <v>14672</v>
      </c>
      <c r="H3656" t="s">
        <v>13869</v>
      </c>
      <c r="I3656" t="s">
        <v>14690</v>
      </c>
      <c r="J3656" s="62">
        <v>0</v>
      </c>
      <c r="K3656" s="62">
        <v>-25000</v>
      </c>
      <c r="L3656" t="str">
        <f>VLOOKUP(VALUE(LEFT(C3656,5)),Xref!A:B,2,0)</f>
        <v>NES</v>
      </c>
      <c r="M3656" t="str">
        <f t="shared" si="231"/>
        <v>NES-SIL</v>
      </c>
    </row>
    <row r="3657" spans="1:13" ht="14.25" customHeight="true">
      <c r="A3657" s="33" t="str">
        <f t="shared" si="228"/>
        <v>SIL - Intercompany</v>
      </c>
      <c r="B3657" s="33" t="str">
        <f t="shared" si="229"/>
        <v>SIL</v>
      </c>
      <c r="C3657" s="33" t="str">
        <f t="shared" si="230"/>
        <v>11308-0000</v>
      </c>
      <c r="D3657" t="s">
        <v>2578</v>
      </c>
      <c r="E3657" t="s">
        <v>13476</v>
      </c>
      <c r="F3657" t="s">
        <v>14039</v>
      </c>
      <c r="G3657" t="s">
        <v>14672</v>
      </c>
      <c r="H3657" t="s">
        <v>13869</v>
      </c>
      <c r="I3657" t="s">
        <v>14690</v>
      </c>
      <c r="J3657" s="62">
        <v>-226.92</v>
      </c>
      <c r="K3657" s="62">
        <v>65773.71</v>
      </c>
      <c r="L3657" t="str">
        <f>VLOOKUP(VALUE(LEFT(C3657,5)),Xref!A:B,2,0)</f>
        <v>LPI</v>
      </c>
      <c r="M3657" t="str">
        <f t="shared" si="231"/>
        <v>LPI-SIL</v>
      </c>
    </row>
    <row r="3658" spans="1:13" ht="14.25" customHeight="true">
      <c r="A3658" s="33" t="str">
        <f t="shared" si="228"/>
        <v>SIL - Intercompany</v>
      </c>
      <c r="B3658" s="33" t="str">
        <f t="shared" si="229"/>
        <v>SIL</v>
      </c>
      <c r="C3658" s="33" t="str">
        <f t="shared" si="230"/>
        <v>11309-0000</v>
      </c>
      <c r="D3658" t="s">
        <v>2579</v>
      </c>
      <c r="E3658" t="s">
        <v>13230</v>
      </c>
      <c r="F3658" t="s">
        <v>14039</v>
      </c>
      <c r="G3658" t="s">
        <v>14672</v>
      </c>
      <c r="H3658" t="s">
        <v>13869</v>
      </c>
      <c r="I3658" t="s">
        <v>14690</v>
      </c>
      <c r="J3658" s="62">
        <v>0</v>
      </c>
      <c r="K3658" s="62">
        <v>-1870.9</v>
      </c>
      <c r="L3658" t="str">
        <f>VLOOKUP(VALUE(LEFT(C3658,5)),Xref!A:B,2,0)</f>
        <v>GPI</v>
      </c>
      <c r="M3658" t="str">
        <f t="shared" si="231"/>
        <v>GPI-SIL</v>
      </c>
    </row>
    <row r="3659" spans="1:13" ht="14.25" customHeight="true">
      <c r="A3659" s="33" t="str">
        <f t="shared" si="228"/>
        <v>SIL - Intercompany</v>
      </c>
      <c r="B3659" s="33" t="str">
        <f t="shared" si="229"/>
        <v>SIL</v>
      </c>
      <c r="C3659" s="33" t="str">
        <f t="shared" si="230"/>
        <v>11310-0000</v>
      </c>
      <c r="D3659" t="s">
        <v>2580</v>
      </c>
      <c r="E3659" t="s">
        <v>13231</v>
      </c>
      <c r="F3659" t="s">
        <v>14039</v>
      </c>
      <c r="G3659" t="s">
        <v>14672</v>
      </c>
      <c r="H3659" t="s">
        <v>13869</v>
      </c>
      <c r="I3659" t="s">
        <v>14690</v>
      </c>
      <c r="J3659" s="62">
        <v>1649.18</v>
      </c>
      <c r="K3659" s="62">
        <v>-133003.44</v>
      </c>
      <c r="L3659" t="str">
        <f>VLOOKUP(VALUE(LEFT(C3659,5)),Xref!A:B,2,0)</f>
        <v>ALP</v>
      </c>
      <c r="M3659" t="str">
        <f t="shared" si="231"/>
        <v>ALP-SIL</v>
      </c>
    </row>
    <row r="3660" spans="1:13" ht="14.25" customHeight="true">
      <c r="A3660" s="33" t="str">
        <f t="shared" si="228"/>
        <v>SIL - Intercompany</v>
      </c>
      <c r="B3660" s="33" t="str">
        <f t="shared" si="229"/>
        <v>SIL</v>
      </c>
      <c r="C3660" s="33" t="str">
        <f t="shared" si="230"/>
        <v>11311-0000</v>
      </c>
      <c r="D3660" t="s">
        <v>2581</v>
      </c>
      <c r="E3660" t="s">
        <v>13232</v>
      </c>
      <c r="F3660" t="s">
        <v>14039</v>
      </c>
      <c r="G3660" t="s">
        <v>14672</v>
      </c>
      <c r="H3660" t="s">
        <v>13869</v>
      </c>
      <c r="I3660" t="s">
        <v>14690</v>
      </c>
      <c r="J3660" s="62">
        <v>-929.18</v>
      </c>
      <c r="K3660" s="62">
        <v>-68111.75</v>
      </c>
      <c r="L3660" t="str">
        <f>VLOOKUP(VALUE(LEFT(C3660,5)),Xref!A:B,2,0)</f>
        <v>BET</v>
      </c>
      <c r="M3660" t="str">
        <f t="shared" si="231"/>
        <v>BET-SIL</v>
      </c>
    </row>
    <row r="3661" spans="1:13" ht="14.25" customHeight="true">
      <c r="A3661" s="33" t="str">
        <f t="shared" si="228"/>
        <v>SIL - Intercompany</v>
      </c>
      <c r="B3661" s="33" t="str">
        <f t="shared" si="229"/>
        <v>SIL</v>
      </c>
      <c r="C3661" s="33" t="str">
        <f t="shared" si="230"/>
        <v>11312-0000</v>
      </c>
      <c r="D3661" t="s">
        <v>2582</v>
      </c>
      <c r="E3661" t="s">
        <v>14102</v>
      </c>
      <c r="F3661" t="s">
        <v>14039</v>
      </c>
      <c r="G3661" t="s">
        <v>14672</v>
      </c>
      <c r="H3661" t="s">
        <v>13869</v>
      </c>
      <c r="I3661" t="s">
        <v>14690</v>
      </c>
      <c r="J3661" s="62">
        <v>0</v>
      </c>
      <c r="K3661" s="62">
        <v>-80000</v>
      </c>
      <c r="L3661" t="str">
        <f>VLOOKUP(VALUE(LEFT(C3661,5)),Xref!A:B,2,0)</f>
        <v>DEL</v>
      </c>
      <c r="M3661" t="str">
        <f t="shared" si="231"/>
        <v>DEL-SIL</v>
      </c>
    </row>
    <row r="3662" spans="1:13" ht="14.25" customHeight="true">
      <c r="A3662" s="33" t="str">
        <f t="shared" si="228"/>
        <v>SIL - Intercompany</v>
      </c>
      <c r="B3662" s="33" t="str">
        <f t="shared" si="229"/>
        <v>SIL</v>
      </c>
      <c r="C3662" s="33" t="str">
        <f t="shared" si="230"/>
        <v>11313-0000</v>
      </c>
      <c r="D3662" t="s">
        <v>2583</v>
      </c>
      <c r="E3662" t="s">
        <v>13233</v>
      </c>
      <c r="F3662" t="s">
        <v>14039</v>
      </c>
      <c r="G3662" t="s">
        <v>14672</v>
      </c>
      <c r="H3662" t="s">
        <v>13869</v>
      </c>
      <c r="I3662" t="s">
        <v>14690</v>
      </c>
      <c r="J3662" s="62">
        <v>5546.1</v>
      </c>
      <c r="K3662" s="62">
        <v>70590.84</v>
      </c>
      <c r="L3662" t="str">
        <f>VLOOKUP(VALUE(LEFT(C3662,5)),Xref!A:B,2,0)</f>
        <v>DOL</v>
      </c>
      <c r="M3662" t="str">
        <f t="shared" si="231"/>
        <v>DOL-SIL</v>
      </c>
    </row>
    <row r="3663" spans="1:13" ht="14.25" customHeight="true">
      <c r="A3663" s="33" t="str">
        <f t="shared" si="228"/>
        <v>SIL - Intercompany</v>
      </c>
      <c r="B3663" s="33" t="str">
        <f t="shared" si="229"/>
        <v>SIL</v>
      </c>
      <c r="C3663" s="33" t="str">
        <f t="shared" si="230"/>
        <v>11314-0000</v>
      </c>
      <c r="D3663" t="s">
        <v>2584</v>
      </c>
      <c r="E3663" t="s">
        <v>13351</v>
      </c>
      <c r="F3663" t="s">
        <v>14039</v>
      </c>
      <c r="G3663" t="s">
        <v>14672</v>
      </c>
      <c r="H3663" t="s">
        <v>13869</v>
      </c>
      <c r="I3663" t="s">
        <v>14690</v>
      </c>
      <c r="J3663" s="62">
        <v>0</v>
      </c>
      <c r="K3663" s="62">
        <v>1723.25</v>
      </c>
      <c r="L3663" t="str">
        <f>VLOOKUP(VALUE(LEFT(C3663,5)),Xref!A:B,2,0)</f>
        <v>GRI</v>
      </c>
      <c r="M3663" t="str">
        <f t="shared" si="231"/>
        <v>GRI-SIL</v>
      </c>
    </row>
    <row r="3664" spans="1:13" ht="14.25" customHeight="true">
      <c r="A3664" s="33" t="str">
        <f t="shared" si="228"/>
        <v>SIL - Intercompany</v>
      </c>
      <c r="B3664" s="33" t="str">
        <f t="shared" si="229"/>
        <v>SIL</v>
      </c>
      <c r="C3664" s="33" t="str">
        <f t="shared" si="230"/>
        <v>11315-0000</v>
      </c>
      <c r="D3664" t="s">
        <v>2585</v>
      </c>
      <c r="E3664" t="s">
        <v>13234</v>
      </c>
      <c r="F3664" t="s">
        <v>14039</v>
      </c>
      <c r="G3664" t="s">
        <v>14672</v>
      </c>
      <c r="H3664" t="s">
        <v>13869</v>
      </c>
      <c r="I3664" t="s">
        <v>14690</v>
      </c>
      <c r="J3664" s="62">
        <v>3920.78</v>
      </c>
      <c r="K3664" s="62">
        <v>19987.26</v>
      </c>
      <c r="L3664" t="str">
        <f>VLOOKUP(VALUE(LEFT(C3664,5)),Xref!A:B,2,0)</f>
        <v>PUR</v>
      </c>
      <c r="M3664" t="str">
        <f t="shared" si="231"/>
        <v>PUR-SIL</v>
      </c>
    </row>
    <row r="3665" spans="1:13" ht="14.25" customHeight="true">
      <c r="A3665" s="33" t="str">
        <f t="shared" si="228"/>
        <v>SIL - Intercompany</v>
      </c>
      <c r="B3665" s="33" t="str">
        <f t="shared" si="229"/>
        <v>SIL</v>
      </c>
      <c r="C3665" s="33" t="str">
        <f t="shared" si="230"/>
        <v>11316-0000</v>
      </c>
      <c r="D3665" t="s">
        <v>2586</v>
      </c>
      <c r="E3665" t="s">
        <v>13235</v>
      </c>
      <c r="F3665" t="s">
        <v>14039</v>
      </c>
      <c r="G3665" t="s">
        <v>14672</v>
      </c>
      <c r="H3665" t="s">
        <v>13869</v>
      </c>
      <c r="I3665" t="s">
        <v>14690</v>
      </c>
      <c r="J3665" s="62">
        <v>1908.34</v>
      </c>
      <c r="K3665" s="62">
        <v>3342.29</v>
      </c>
      <c r="L3665" t="str">
        <f>VLOOKUP(VALUE(LEFT(C3665,5)),Xref!A:B,2,0)</f>
        <v>VAL</v>
      </c>
      <c r="M3665" t="str">
        <f t="shared" si="231"/>
        <v>SIL-VAL</v>
      </c>
    </row>
    <row r="3666" spans="1:13" ht="14.25" customHeight="true">
      <c r="A3666" s="33" t="str">
        <f t="shared" si="228"/>
        <v>SIL - Intercompany</v>
      </c>
      <c r="B3666" s="33" t="str">
        <f t="shared" si="229"/>
        <v>SIL</v>
      </c>
      <c r="C3666" s="33" t="str">
        <f t="shared" si="230"/>
        <v>11317-0000</v>
      </c>
      <c r="D3666" t="s">
        <v>2587</v>
      </c>
      <c r="E3666" t="s">
        <v>13352</v>
      </c>
      <c r="F3666" t="s">
        <v>14039</v>
      </c>
      <c r="G3666" t="s">
        <v>14672</v>
      </c>
      <c r="H3666" t="s">
        <v>13869</v>
      </c>
      <c r="I3666" t="s">
        <v>14690</v>
      </c>
      <c r="J3666" s="62">
        <v>-2426.66</v>
      </c>
      <c r="K3666" s="62">
        <v>-377681.64</v>
      </c>
      <c r="L3666" t="str">
        <f>VLOOKUP(VALUE(LEFT(C3666,5)),Xref!A:B,2,0)</f>
        <v>AKG</v>
      </c>
      <c r="M3666" t="str">
        <f t="shared" si="231"/>
        <v>AKG-SIL</v>
      </c>
    </row>
    <row r="3667" spans="1:13" ht="14.25" customHeight="true">
      <c r="A3667" s="33" t="str">
        <f t="shared" si="228"/>
        <v>SIL - Intercompany</v>
      </c>
      <c r="B3667" s="33" t="str">
        <f t="shared" si="229"/>
        <v>SIL</v>
      </c>
      <c r="C3667" s="33" t="str">
        <f t="shared" si="230"/>
        <v>11318-0000</v>
      </c>
      <c r="D3667" t="s">
        <v>2588</v>
      </c>
      <c r="E3667" t="s">
        <v>13477</v>
      </c>
      <c r="F3667" t="s">
        <v>14039</v>
      </c>
      <c r="G3667" t="s">
        <v>14672</v>
      </c>
      <c r="H3667" t="s">
        <v>13869</v>
      </c>
      <c r="I3667" t="s">
        <v>14690</v>
      </c>
      <c r="J3667" s="62">
        <v>0</v>
      </c>
      <c r="K3667" s="62">
        <v>-25631</v>
      </c>
      <c r="L3667" t="str">
        <f>VLOOKUP(VALUE(LEFT(C3667,5)),Xref!A:B,2,0)</f>
        <v>FIR</v>
      </c>
      <c r="M3667" t="str">
        <f t="shared" si="231"/>
        <v>FIR-SIL</v>
      </c>
    </row>
    <row r="3668" spans="1:13" ht="14.25" customHeight="true">
      <c r="A3668" s="33" t="str">
        <f t="shared" si="228"/>
        <v>SIL - Intercompany</v>
      </c>
      <c r="B3668" s="33" t="str">
        <f t="shared" si="229"/>
        <v>SIL</v>
      </c>
      <c r="C3668" s="33" t="str">
        <f t="shared" si="230"/>
        <v>11319-0000</v>
      </c>
      <c r="D3668" t="s">
        <v>2589</v>
      </c>
      <c r="E3668" t="s">
        <v>266</v>
      </c>
      <c r="F3668" t="s">
        <v>14039</v>
      </c>
      <c r="G3668" t="s">
        <v>14672</v>
      </c>
      <c r="H3668" t="s">
        <v>13869</v>
      </c>
      <c r="I3668" t="s">
        <v>14690</v>
      </c>
      <c r="J3668" s="62">
        <v>0</v>
      </c>
      <c r="K3668" s="62">
        <v>10111</v>
      </c>
      <c r="L3668" t="str">
        <f>VLOOKUP(VALUE(LEFT(C3668,5)),Xref!A:B,2,0)</f>
        <v>GST</v>
      </c>
      <c r="M3668" t="str">
        <f t="shared" si="231"/>
        <v>GST-SIL</v>
      </c>
    </row>
    <row r="3669" spans="1:13" ht="14.25" customHeight="true">
      <c r="A3669" s="33" t="str">
        <f t="shared" si="228"/>
        <v>SIL - Intercompany</v>
      </c>
      <c r="B3669" s="33" t="str">
        <f t="shared" si="229"/>
        <v>SIL</v>
      </c>
      <c r="C3669" s="33" t="str">
        <f t="shared" si="230"/>
        <v>11320-0000</v>
      </c>
      <c r="D3669" t="s">
        <v>2590</v>
      </c>
      <c r="E3669" t="s">
        <v>14111</v>
      </c>
      <c r="F3669" t="s">
        <v>14039</v>
      </c>
      <c r="G3669" t="s">
        <v>14672</v>
      </c>
      <c r="H3669" t="s">
        <v>13869</v>
      </c>
      <c r="I3669" t="s">
        <v>14690</v>
      </c>
      <c r="J3669" s="62">
        <v>0</v>
      </c>
      <c r="K3669" s="62">
        <v>-1395.5</v>
      </c>
      <c r="L3669" t="str">
        <f>VLOOKUP(VALUE(LEFT(C3669,5)),Xref!A:B,2,0)</f>
        <v>HDN</v>
      </c>
      <c r="M3669" t="str">
        <f t="shared" si="231"/>
        <v>HDN-SIL</v>
      </c>
    </row>
    <row r="3670" spans="1:13" ht="14.25" customHeight="true">
      <c r="A3670" s="33" t="str">
        <f t="shared" si="228"/>
        <v>SIL - Intercompany</v>
      </c>
      <c r="B3670" s="33" t="str">
        <f t="shared" si="229"/>
        <v>SIL</v>
      </c>
      <c r="C3670" s="33" t="str">
        <f t="shared" si="230"/>
        <v>11321-0000</v>
      </c>
      <c r="D3670" t="s">
        <v>2591</v>
      </c>
      <c r="E3670" t="s">
        <v>13236</v>
      </c>
      <c r="F3670" t="s">
        <v>14039</v>
      </c>
      <c r="G3670" t="s">
        <v>14672</v>
      </c>
      <c r="H3670" t="s">
        <v>13869</v>
      </c>
      <c r="I3670" t="s">
        <v>14690</v>
      </c>
      <c r="J3670" s="62">
        <v>3448.57</v>
      </c>
      <c r="K3670" s="62">
        <v>134769.28</v>
      </c>
      <c r="L3670" t="str">
        <f>VLOOKUP(VALUE(LEFT(C3670,5)),Xref!A:B,2,0)</f>
        <v>OVA</v>
      </c>
      <c r="M3670" t="str">
        <f t="shared" si="231"/>
        <v>OVA-SIL</v>
      </c>
    </row>
    <row r="3671" spans="1:13" ht="14.25" customHeight="true">
      <c r="A3671" s="33" t="str">
        <f t="shared" si="228"/>
        <v>SIL - Intercompany</v>
      </c>
      <c r="B3671" s="33" t="str">
        <f t="shared" si="229"/>
        <v>SIL</v>
      </c>
      <c r="C3671" s="33" t="str">
        <f t="shared" si="230"/>
        <v>11322-0000</v>
      </c>
      <c r="D3671" t="s">
        <v>2592</v>
      </c>
      <c r="E3671" t="s">
        <v>13237</v>
      </c>
      <c r="F3671" t="s">
        <v>14039</v>
      </c>
      <c r="G3671" t="s">
        <v>14672</v>
      </c>
      <c r="H3671" t="s">
        <v>13869</v>
      </c>
      <c r="I3671" t="s">
        <v>14690</v>
      </c>
      <c r="J3671" s="62">
        <v>2474.37</v>
      </c>
      <c r="K3671" s="62">
        <v>-7135.57</v>
      </c>
      <c r="L3671" t="str">
        <f>VLOOKUP(VALUE(LEFT(C3671,5)),Xref!A:B,2,0)</f>
        <v>WOO</v>
      </c>
      <c r="M3671" t="str">
        <f t="shared" si="231"/>
        <v>SIL-WOO</v>
      </c>
    </row>
    <row r="3672" spans="1:13" ht="14.25" customHeight="true">
      <c r="A3672" s="33" t="str">
        <f t="shared" si="228"/>
        <v>SIL - Intercompany</v>
      </c>
      <c r="B3672" s="33" t="str">
        <f t="shared" si="229"/>
        <v>SIL</v>
      </c>
      <c r="C3672" s="33" t="str">
        <f t="shared" si="230"/>
        <v>11323-0000</v>
      </c>
      <c r="D3672" t="s">
        <v>2593</v>
      </c>
      <c r="E3672" t="s">
        <v>13478</v>
      </c>
      <c r="F3672" t="s">
        <v>14039</v>
      </c>
      <c r="G3672" t="s">
        <v>14672</v>
      </c>
      <c r="H3672" t="s">
        <v>13869</v>
      </c>
      <c r="I3672" t="s">
        <v>14690</v>
      </c>
      <c r="J3672" s="62">
        <v>0</v>
      </c>
      <c r="K3672" s="62">
        <v>10652</v>
      </c>
      <c r="L3672" t="str">
        <f>VLOOKUP(VALUE(LEFT(C3672,5)),Xref!A:B,2,0)</f>
        <v>SPI</v>
      </c>
      <c r="M3672" t="str">
        <f t="shared" si="231"/>
        <v>SIL-SPI</v>
      </c>
    </row>
    <row r="3673" spans="1:13" ht="14.25" customHeight="true">
      <c r="A3673" s="33" t="str">
        <f t="shared" si="228"/>
        <v>SIL - Intercompany</v>
      </c>
      <c r="B3673" s="33" t="str">
        <f t="shared" si="229"/>
        <v>SIL</v>
      </c>
      <c r="C3673" s="33" t="str">
        <f t="shared" si="230"/>
        <v>11324-0000</v>
      </c>
      <c r="D3673" t="s">
        <v>2595</v>
      </c>
      <c r="E3673" t="s">
        <v>13238</v>
      </c>
      <c r="F3673" t="s">
        <v>14039</v>
      </c>
      <c r="G3673" t="s">
        <v>14672</v>
      </c>
      <c r="H3673" t="s">
        <v>13869</v>
      </c>
      <c r="I3673" t="s">
        <v>14690</v>
      </c>
      <c r="J3673" s="62">
        <v>7726.72</v>
      </c>
      <c r="K3673" s="62">
        <v>10601.04</v>
      </c>
      <c r="L3673" t="str">
        <f>VLOOKUP(VALUE(LEFT(C3673,5)),Xref!A:B,2,0)</f>
        <v>NET</v>
      </c>
      <c r="M3673" t="str">
        <f t="shared" si="231"/>
        <v>NET-SIL</v>
      </c>
    </row>
    <row r="3674" spans="1:13" ht="14.25" customHeight="true">
      <c r="A3674" s="33" t="str">
        <f t="shared" si="228"/>
        <v>SIL - Intercompany</v>
      </c>
      <c r="B3674" s="33" t="str">
        <f t="shared" si="229"/>
        <v>SIL</v>
      </c>
      <c r="C3674" s="33" t="str">
        <f t="shared" si="230"/>
        <v>11325-0000</v>
      </c>
      <c r="D3674" t="s">
        <v>2596</v>
      </c>
      <c r="E3674" t="s">
        <v>13239</v>
      </c>
      <c r="F3674" t="s">
        <v>14039</v>
      </c>
      <c r="G3674" t="s">
        <v>14672</v>
      </c>
      <c r="H3674" t="s">
        <v>13869</v>
      </c>
      <c r="I3674" t="s">
        <v>14690</v>
      </c>
      <c r="J3674" s="62">
        <v>1828.43</v>
      </c>
      <c r="K3674" s="62">
        <v>18818.74</v>
      </c>
      <c r="L3674" t="str">
        <f>VLOOKUP(VALUE(LEFT(C3674,5)),Xref!A:B,2,0)</f>
        <v>DPI</v>
      </c>
      <c r="M3674" t="str">
        <f t="shared" si="231"/>
        <v>DPI-SIL</v>
      </c>
    </row>
    <row r="3675" spans="1:13" ht="14.25" customHeight="true">
      <c r="A3675" s="33" t="str">
        <f t="shared" si="228"/>
        <v>SIL - Intercompany</v>
      </c>
      <c r="B3675" s="33" t="str">
        <f t="shared" si="229"/>
        <v>SIL</v>
      </c>
      <c r="C3675" s="33" t="str">
        <f t="shared" si="230"/>
        <v>11326-0000</v>
      </c>
      <c r="D3675" t="s">
        <v>2597</v>
      </c>
      <c r="E3675" t="s">
        <v>13240</v>
      </c>
      <c r="F3675" t="s">
        <v>14039</v>
      </c>
      <c r="G3675" t="s">
        <v>14672</v>
      </c>
      <c r="H3675" t="s">
        <v>13869</v>
      </c>
      <c r="I3675" t="s">
        <v>14690</v>
      </c>
      <c r="J3675" s="62">
        <v>2199.49</v>
      </c>
      <c r="K3675" s="62">
        <v>163565.98</v>
      </c>
      <c r="L3675" t="str">
        <f>VLOOKUP(VALUE(LEFT(C3675,5)),Xref!A:B,2,0)</f>
        <v>SEK</v>
      </c>
      <c r="M3675" t="str">
        <f t="shared" si="231"/>
        <v>SEK-SIL</v>
      </c>
    </row>
    <row r="3676" spans="1:13" ht="14.25" customHeight="true">
      <c r="A3676" s="33" t="str">
        <f t="shared" si="228"/>
        <v>SIL - Intercompany</v>
      </c>
      <c r="B3676" s="33" t="str">
        <f t="shared" si="229"/>
        <v>SIL</v>
      </c>
      <c r="C3676" s="33" t="str">
        <f t="shared" si="230"/>
        <v>11327-0000</v>
      </c>
      <c r="D3676" t="s">
        <v>2598</v>
      </c>
      <c r="E3676" t="s">
        <v>14119</v>
      </c>
      <c r="F3676" t="s">
        <v>14039</v>
      </c>
      <c r="G3676" t="s">
        <v>14672</v>
      </c>
      <c r="H3676" t="s">
        <v>13869</v>
      </c>
      <c r="I3676" t="s">
        <v>14690</v>
      </c>
      <c r="J3676" s="62">
        <v>2170.02</v>
      </c>
      <c r="K3676" s="62">
        <v>7900.95</v>
      </c>
      <c r="L3676" t="str">
        <f>VLOOKUP(VALUE(LEFT(C3676,5)),Xref!A:B,2,0)</f>
        <v>CPI</v>
      </c>
      <c r="M3676" t="str">
        <f t="shared" si="231"/>
        <v>CPI-SIL</v>
      </c>
    </row>
    <row r="3677" spans="1:13" ht="14.25" customHeight="true">
      <c r="A3677" s="33" t="str">
        <f t="shared" si="228"/>
        <v>SIL - Intercompany</v>
      </c>
      <c r="B3677" s="33" t="str">
        <f t="shared" si="229"/>
        <v>SIL</v>
      </c>
      <c r="C3677" s="33" t="str">
        <f t="shared" si="230"/>
        <v>11328-0000</v>
      </c>
      <c r="D3677" t="s">
        <v>2600</v>
      </c>
      <c r="E3677" t="s">
        <v>13241</v>
      </c>
      <c r="F3677" t="s">
        <v>14039</v>
      </c>
      <c r="G3677" t="s">
        <v>14672</v>
      </c>
      <c r="H3677" t="s">
        <v>13869</v>
      </c>
      <c r="I3677" t="s">
        <v>14690</v>
      </c>
      <c r="J3677" s="62">
        <v>2662.47</v>
      </c>
      <c r="K3677" s="62">
        <v>14215.6</v>
      </c>
      <c r="L3677" t="str">
        <f>VLOOKUP(VALUE(LEFT(C3677,5)),Xref!A:B,2,0)</f>
        <v>LOM</v>
      </c>
      <c r="M3677" t="str">
        <f t="shared" si="231"/>
        <v>LOM-SIL</v>
      </c>
    </row>
    <row r="3678" spans="1:13" ht="14.25" customHeight="true">
      <c r="A3678" s="33" t="str">
        <f t="shared" si="228"/>
        <v>SIL - Intercompany</v>
      </c>
      <c r="B3678" s="33" t="str">
        <f t="shared" si="229"/>
        <v>SIL</v>
      </c>
      <c r="C3678" s="33" t="str">
        <f t="shared" si="230"/>
        <v>11329-0000</v>
      </c>
      <c r="D3678" t="s">
        <v>2601</v>
      </c>
      <c r="E3678" t="s">
        <v>13353</v>
      </c>
      <c r="F3678" t="s">
        <v>14039</v>
      </c>
      <c r="G3678" t="s">
        <v>14672</v>
      </c>
      <c r="H3678" t="s">
        <v>13869</v>
      </c>
      <c r="I3678" t="s">
        <v>14690</v>
      </c>
      <c r="J3678" s="62">
        <v>0</v>
      </c>
      <c r="K3678" s="62">
        <v>-19000</v>
      </c>
      <c r="L3678" t="str">
        <f>VLOOKUP(VALUE(LEFT(C3678,5)),Xref!A:B,2,0)</f>
        <v>AKS</v>
      </c>
      <c r="M3678" t="str">
        <f t="shared" si="231"/>
        <v>AKS-SIL</v>
      </c>
    </row>
    <row r="3679" spans="1:13" ht="14.25" customHeight="true">
      <c r="A3679" s="33" t="str">
        <f t="shared" si="228"/>
        <v>SIL - Intercompany</v>
      </c>
      <c r="B3679" s="33" t="str">
        <f t="shared" si="229"/>
        <v>SIL</v>
      </c>
      <c r="C3679" s="33" t="str">
        <f t="shared" si="230"/>
        <v>11330-0000</v>
      </c>
      <c r="D3679" t="s">
        <v>2602</v>
      </c>
      <c r="E3679" t="s">
        <v>13242</v>
      </c>
      <c r="F3679" t="s">
        <v>14039</v>
      </c>
      <c r="G3679" t="s">
        <v>14672</v>
      </c>
      <c r="H3679" t="s">
        <v>13869</v>
      </c>
      <c r="I3679" t="s">
        <v>14690</v>
      </c>
      <c r="J3679" s="62">
        <v>1986.24</v>
      </c>
      <c r="K3679" s="62">
        <v>-8374.97</v>
      </c>
      <c r="L3679" t="str">
        <f>VLOOKUP(VALUE(LEFT(C3679,5)),Xref!A:B,2,0)</f>
        <v>MAR</v>
      </c>
      <c r="M3679" t="str">
        <f t="shared" si="231"/>
        <v>MAR-SIL</v>
      </c>
    </row>
    <row r="3680" spans="1:13" ht="14.25" customHeight="true">
      <c r="A3680" s="33" t="str">
        <f t="shared" si="228"/>
        <v>SIL - Intercompany</v>
      </c>
      <c r="B3680" s="33" t="str">
        <f t="shared" si="229"/>
        <v>SIL</v>
      </c>
      <c r="C3680" s="33" t="str">
        <f t="shared" si="230"/>
        <v>11331-0000</v>
      </c>
      <c r="D3680" t="s">
        <v>2603</v>
      </c>
      <c r="E3680" t="s">
        <v>13354</v>
      </c>
      <c r="F3680" t="s">
        <v>14039</v>
      </c>
      <c r="G3680" t="s">
        <v>14672</v>
      </c>
      <c r="H3680" t="s">
        <v>13869</v>
      </c>
      <c r="I3680" t="s">
        <v>14690</v>
      </c>
      <c r="J3680" s="62">
        <v>0</v>
      </c>
      <c r="K3680" s="62">
        <v>10075</v>
      </c>
      <c r="L3680" t="str">
        <f>VLOOKUP(VALUE(LEFT(C3680,5)),Xref!A:B,2,0)</f>
        <v>WIL</v>
      </c>
      <c r="M3680" t="str">
        <f t="shared" si="231"/>
        <v>SIL-WIL</v>
      </c>
    </row>
    <row r="3681" spans="1:13" ht="14.25" customHeight="true">
      <c r="A3681" s="33" t="str">
        <f t="shared" si="228"/>
        <v>SIL - Intercompany</v>
      </c>
      <c r="B3681" s="33" t="str">
        <f t="shared" si="229"/>
        <v>SIL</v>
      </c>
      <c r="C3681" s="33" t="str">
        <f t="shared" si="230"/>
        <v>11332-0000</v>
      </c>
      <c r="D3681" t="s">
        <v>2604</v>
      </c>
      <c r="E3681" t="s">
        <v>13243</v>
      </c>
      <c r="F3681" t="s">
        <v>14039</v>
      </c>
      <c r="G3681" t="s">
        <v>14672</v>
      </c>
      <c r="H3681" t="s">
        <v>13869</v>
      </c>
      <c r="I3681" t="s">
        <v>14690</v>
      </c>
      <c r="J3681" s="62">
        <v>823.96</v>
      </c>
      <c r="K3681" s="62">
        <v>39623.69</v>
      </c>
      <c r="L3681" t="str">
        <f>VLOOKUP(VALUE(LEFT(C3681,5)),Xref!A:B,2,0)</f>
        <v>STO</v>
      </c>
      <c r="M3681" t="str">
        <f t="shared" si="231"/>
        <v>SIL-STO</v>
      </c>
    </row>
    <row r="3682" spans="1:13" ht="14.25" customHeight="true">
      <c r="A3682" s="33" t="str">
        <f t="shared" si="228"/>
        <v>SIL - Intercompany</v>
      </c>
      <c r="B3682" s="33" t="str">
        <f t="shared" si="229"/>
        <v>SIL</v>
      </c>
      <c r="C3682" s="33" t="str">
        <f t="shared" si="230"/>
        <v>11333-0000</v>
      </c>
      <c r="D3682" t="s">
        <v>2605</v>
      </c>
      <c r="E3682" t="s">
        <v>13244</v>
      </c>
      <c r="F3682" t="s">
        <v>14039</v>
      </c>
      <c r="G3682" t="s">
        <v>14672</v>
      </c>
      <c r="H3682" t="s">
        <v>13869</v>
      </c>
      <c r="I3682" t="s">
        <v>14690</v>
      </c>
      <c r="J3682" s="62">
        <v>835.66</v>
      </c>
      <c r="K3682" s="62">
        <v>-13411.18</v>
      </c>
      <c r="L3682" t="str">
        <f>VLOOKUP(VALUE(LEFT(C3682,5)),Xref!A:B,2,0)</f>
        <v>ANG</v>
      </c>
      <c r="M3682" t="str">
        <f t="shared" si="231"/>
        <v>ANG-SIL</v>
      </c>
    </row>
    <row r="3683" spans="1:13" ht="14.25" customHeight="true">
      <c r="A3683" s="33" t="str">
        <f t="shared" si="228"/>
        <v>SIL - Intercompany</v>
      </c>
      <c r="B3683" s="33" t="str">
        <f t="shared" si="229"/>
        <v>SIL</v>
      </c>
      <c r="C3683" s="33" t="str">
        <f t="shared" si="230"/>
        <v>11334-0000</v>
      </c>
      <c r="D3683" t="s">
        <v>2606</v>
      </c>
      <c r="E3683" t="s">
        <v>13245</v>
      </c>
      <c r="F3683" t="s">
        <v>14039</v>
      </c>
      <c r="G3683" t="s">
        <v>14672</v>
      </c>
      <c r="H3683" t="s">
        <v>13869</v>
      </c>
      <c r="I3683" t="s">
        <v>14690</v>
      </c>
      <c r="J3683" s="62">
        <v>684.66</v>
      </c>
      <c r="K3683" s="62">
        <v>5369.83</v>
      </c>
      <c r="L3683" t="str">
        <f>VLOOKUP(VALUE(LEFT(C3683,5)),Xref!A:B,2,0)</f>
        <v>BRU</v>
      </c>
      <c r="M3683" t="str">
        <f t="shared" si="231"/>
        <v>BRU-SIL</v>
      </c>
    </row>
    <row r="3684" spans="1:13" ht="14.25" customHeight="true">
      <c r="A3684" s="33" t="str">
        <f t="shared" si="228"/>
        <v>SIL - Intercompany</v>
      </c>
      <c r="B3684" s="33" t="str">
        <f t="shared" si="229"/>
        <v>SIL</v>
      </c>
      <c r="C3684" s="33" t="str">
        <f t="shared" si="230"/>
        <v>11335-0000</v>
      </c>
      <c r="D3684" t="s">
        <v>2607</v>
      </c>
      <c r="E3684" t="s">
        <v>13246</v>
      </c>
      <c r="F3684" t="s">
        <v>14039</v>
      </c>
      <c r="G3684" t="s">
        <v>14672</v>
      </c>
      <c r="H3684" t="s">
        <v>13869</v>
      </c>
      <c r="I3684" t="s">
        <v>14690</v>
      </c>
      <c r="J3684" s="62">
        <v>858.39</v>
      </c>
      <c r="K3684" s="62">
        <v>23045.14</v>
      </c>
      <c r="L3684" t="str">
        <f>VLOOKUP(VALUE(LEFT(C3684,5)),Xref!A:B,2,0)</f>
        <v>VEN</v>
      </c>
      <c r="M3684" t="str">
        <f t="shared" si="231"/>
        <v>SIL-VEN</v>
      </c>
    </row>
    <row r="3685" spans="1:13" ht="14.25" customHeight="true">
      <c r="A3685" s="33" t="str">
        <f t="shared" si="228"/>
        <v>SIL - Intercompany</v>
      </c>
      <c r="B3685" s="33" t="str">
        <f t="shared" si="229"/>
        <v>SIL</v>
      </c>
      <c r="C3685" s="33" t="str">
        <f t="shared" si="230"/>
        <v>11336-0000</v>
      </c>
      <c r="D3685" t="s">
        <v>2608</v>
      </c>
      <c r="E3685" t="s">
        <v>13247</v>
      </c>
      <c r="F3685" t="s">
        <v>14039</v>
      </c>
      <c r="G3685" t="s">
        <v>14672</v>
      </c>
      <c r="H3685" t="s">
        <v>13869</v>
      </c>
      <c r="I3685" t="s">
        <v>14690</v>
      </c>
      <c r="J3685" s="62">
        <v>0</v>
      </c>
      <c r="K3685" s="62">
        <v>8509.72</v>
      </c>
      <c r="L3685" t="str">
        <f>VLOOKUP(VALUE(LEFT(C3685,5)),Xref!A:B,2,0)</f>
        <v>SAT</v>
      </c>
      <c r="M3685" t="str">
        <f t="shared" si="231"/>
        <v>SAT-SIL</v>
      </c>
    </row>
    <row r="3686" spans="1:13" ht="14.25" customHeight="true">
      <c r="A3686" s="33" t="str">
        <f t="shared" si="228"/>
        <v>SIL - Intercompany</v>
      </c>
      <c r="B3686" s="33" t="str">
        <f t="shared" si="229"/>
        <v>SIL</v>
      </c>
      <c r="C3686" s="33" t="str">
        <f t="shared" si="230"/>
        <v>11337-0000</v>
      </c>
      <c r="D3686" t="s">
        <v>2609</v>
      </c>
      <c r="E3686" t="s">
        <v>13248</v>
      </c>
      <c r="F3686" t="s">
        <v>14039</v>
      </c>
      <c r="G3686" t="s">
        <v>14672</v>
      </c>
      <c r="H3686" t="s">
        <v>13869</v>
      </c>
      <c r="I3686" t="s">
        <v>14690</v>
      </c>
      <c r="J3686" s="62">
        <v>4951.21</v>
      </c>
      <c r="K3686" s="62">
        <v>-109239.02</v>
      </c>
      <c r="L3686" t="str">
        <f>VLOOKUP(VALUE(LEFT(C3686,5)),Xref!A:B,2,0)</f>
        <v>NEP</v>
      </c>
      <c r="M3686" t="str">
        <f t="shared" si="231"/>
        <v>NEP-SIL</v>
      </c>
    </row>
    <row r="3687" spans="1:13" ht="14.25" customHeight="true">
      <c r="A3687" s="33" t="str">
        <f t="shared" si="228"/>
        <v>SIL - Intercompany</v>
      </c>
      <c r="B3687" s="33" t="str">
        <f t="shared" si="229"/>
        <v>SIL</v>
      </c>
      <c r="C3687" s="33" t="str">
        <f t="shared" si="230"/>
        <v>11338-0000</v>
      </c>
      <c r="D3687" t="s">
        <v>2610</v>
      </c>
      <c r="E3687" t="s">
        <v>14131</v>
      </c>
      <c r="F3687" t="s">
        <v>14039</v>
      </c>
      <c r="G3687" t="s">
        <v>14672</v>
      </c>
      <c r="H3687" t="s">
        <v>13869</v>
      </c>
      <c r="I3687" t="s">
        <v>14690</v>
      </c>
      <c r="J3687" s="62">
        <v>4381.33</v>
      </c>
      <c r="K3687" s="62">
        <v>13945.29</v>
      </c>
      <c r="L3687" t="str">
        <f>VLOOKUP(VALUE(LEFT(C3687,5)),Xref!A:B,2,0)</f>
        <v>JUP</v>
      </c>
      <c r="M3687" t="str">
        <f t="shared" si="231"/>
        <v>JUP-SIL</v>
      </c>
    </row>
    <row r="3688" spans="1:13" ht="14.25" customHeight="true">
      <c r="A3688" s="33" t="str">
        <f t="shared" si="228"/>
        <v>SIL - Intercompany</v>
      </c>
      <c r="B3688" s="33" t="str">
        <f t="shared" si="229"/>
        <v>SIL</v>
      </c>
      <c r="C3688" s="33" t="str">
        <f t="shared" si="230"/>
        <v>11339-0000</v>
      </c>
      <c r="D3688" t="s">
        <v>2612</v>
      </c>
      <c r="E3688" t="s">
        <v>14133</v>
      </c>
      <c r="F3688" t="s">
        <v>14039</v>
      </c>
      <c r="G3688" t="s">
        <v>14672</v>
      </c>
      <c r="H3688" t="s">
        <v>13869</v>
      </c>
      <c r="I3688" t="s">
        <v>14690</v>
      </c>
      <c r="J3688" s="62">
        <v>-362.76</v>
      </c>
      <c r="K3688" s="62">
        <v>16320.39</v>
      </c>
      <c r="L3688" t="str">
        <f>VLOOKUP(VALUE(LEFT(C3688,5)),Xref!A:B,2,0)</f>
        <v>WES</v>
      </c>
      <c r="M3688" t="str">
        <f t="shared" si="231"/>
        <v>SIL-WES</v>
      </c>
    </row>
    <row r="3689" spans="1:13" ht="14.25" customHeight="true">
      <c r="A3689" s="33" t="str">
        <f t="shared" si="228"/>
        <v>SIL - Intercompany</v>
      </c>
      <c r="B3689" s="33" t="str">
        <f t="shared" si="229"/>
        <v>SIL</v>
      </c>
      <c r="C3689" s="33" t="str">
        <f t="shared" si="230"/>
        <v>11340-0000</v>
      </c>
      <c r="D3689" t="s">
        <v>2614</v>
      </c>
      <c r="E3689" t="s">
        <v>14135</v>
      </c>
      <c r="F3689" t="s">
        <v>14039</v>
      </c>
      <c r="G3689" t="s">
        <v>14672</v>
      </c>
      <c r="H3689" t="s">
        <v>13869</v>
      </c>
      <c r="I3689" t="s">
        <v>14690</v>
      </c>
      <c r="J3689" s="62">
        <v>13483.68</v>
      </c>
      <c r="K3689" s="62">
        <v>-2866.25</v>
      </c>
      <c r="L3689" t="str">
        <f>VLOOKUP(VALUE(LEFT(C3689,5)),Xref!A:B,2,0)</f>
        <v>LCP</v>
      </c>
      <c r="M3689" t="str">
        <f t="shared" si="231"/>
        <v>LCP-SIL</v>
      </c>
    </row>
    <row r="3690" spans="1:13" ht="14.25" customHeight="true">
      <c r="A3690" s="33" t="str">
        <f t="shared" si="228"/>
        <v>SIL - Intercompany</v>
      </c>
      <c r="B3690" s="33" t="str">
        <f t="shared" si="229"/>
        <v>SIL</v>
      </c>
      <c r="C3690" s="33" t="str">
        <f t="shared" si="230"/>
        <v>11341-0000</v>
      </c>
      <c r="D3690" t="s">
        <v>26928</v>
      </c>
      <c r="E3690" t="s">
        <v>13639</v>
      </c>
      <c r="F3690" t="s">
        <v>14039</v>
      </c>
      <c r="G3690" t="s">
        <v>14672</v>
      </c>
      <c r="H3690" t="s">
        <v>13869</v>
      </c>
      <c r="I3690" t="s">
        <v>14690</v>
      </c>
      <c r="J3690" s="62">
        <v>0</v>
      </c>
      <c r="K3690" s="62">
        <v>0</v>
      </c>
      <c r="L3690" t="str">
        <f>VLOOKUP(VALUE(LEFT(C3690,5)),Xref!A:B,2,0)</f>
        <v>NOR</v>
      </c>
      <c r="M3690" t="str">
        <f t="shared" si="231"/>
        <v>NOR-SIL</v>
      </c>
    </row>
    <row r="3691" spans="1:13" ht="14.25" customHeight="true">
      <c r="A3691" s="33" t="str">
        <f t="shared" si="228"/>
        <v>SIL - Intercompany</v>
      </c>
      <c r="B3691" s="33" t="str">
        <f t="shared" si="229"/>
        <v>SIL</v>
      </c>
      <c r="C3691" s="33" t="str">
        <f t="shared" si="230"/>
        <v>11342-0000</v>
      </c>
      <c r="D3691" t="s">
        <v>2615</v>
      </c>
      <c r="E3691" t="s">
        <v>13355</v>
      </c>
      <c r="F3691" t="s">
        <v>14039</v>
      </c>
      <c r="G3691" t="s">
        <v>14672</v>
      </c>
      <c r="H3691" t="s">
        <v>13869</v>
      </c>
      <c r="I3691" t="s">
        <v>14690</v>
      </c>
      <c r="J3691" s="62">
        <v>0</v>
      </c>
      <c r="K3691" s="62">
        <v>-62191.16</v>
      </c>
      <c r="L3691" t="str">
        <f>VLOOKUP(VALUE(LEFT(C3691,5)),Xref!A:B,2,0)</f>
        <v>EAS</v>
      </c>
      <c r="M3691" t="str">
        <f t="shared" si="231"/>
        <v>EAS-SIL</v>
      </c>
    </row>
    <row r="3692" spans="1:13" ht="14.25" customHeight="true">
      <c r="A3692" s="33" t="str">
        <f t="shared" si="228"/>
        <v>SIL - Intercompany</v>
      </c>
      <c r="B3692" s="33" t="str">
        <f t="shared" si="229"/>
        <v>SIL</v>
      </c>
      <c r="C3692" s="33" t="str">
        <f t="shared" si="230"/>
        <v>11343-0000</v>
      </c>
      <c r="D3692" t="s">
        <v>2617</v>
      </c>
      <c r="E3692" t="s">
        <v>14139</v>
      </c>
      <c r="F3692" t="s">
        <v>14039</v>
      </c>
      <c r="G3692" t="s">
        <v>14672</v>
      </c>
      <c r="H3692" t="s">
        <v>13869</v>
      </c>
      <c r="I3692" t="s">
        <v>14690</v>
      </c>
      <c r="J3692" s="62">
        <v>-16582.64</v>
      </c>
      <c r="K3692" s="62">
        <v>-479036.31</v>
      </c>
      <c r="L3692" t="str">
        <f>VLOOKUP(VALUE(LEFT(C3692,5)),Xref!A:B,2,0)</f>
        <v>GRA</v>
      </c>
      <c r="M3692" t="str">
        <f t="shared" si="231"/>
        <v>GRA-SIL</v>
      </c>
    </row>
    <row r="3693" spans="1:13" ht="14.25" customHeight="true">
      <c r="A3693" s="33" t="str">
        <f t="shared" si="228"/>
        <v>SIL - Intercompany</v>
      </c>
      <c r="B3693" s="33" t="str">
        <f t="shared" si="229"/>
        <v>SIL</v>
      </c>
      <c r="C3693" s="33" t="str">
        <f t="shared" si="230"/>
        <v>11344-0000</v>
      </c>
      <c r="D3693" t="s">
        <v>26929</v>
      </c>
      <c r="E3693" t="s">
        <v>14141</v>
      </c>
      <c r="F3693" t="s">
        <v>14039</v>
      </c>
      <c r="G3693" t="s">
        <v>14672</v>
      </c>
      <c r="H3693" t="s">
        <v>13869</v>
      </c>
      <c r="I3693" t="s">
        <v>14690</v>
      </c>
      <c r="J3693" s="62">
        <v>0</v>
      </c>
      <c r="K3693" s="62">
        <v>0</v>
      </c>
      <c r="L3693" t="str">
        <f>VLOOKUP(VALUE(LEFT(C3693,5)),Xref!A:B,2,0)</f>
        <v>SOU</v>
      </c>
      <c r="M3693" t="str">
        <f t="shared" si="231"/>
        <v>SIL-SOU</v>
      </c>
    </row>
    <row r="3694" spans="1:13" ht="14.25" customHeight="true">
      <c r="A3694" s="33" t="str">
        <f t="shared" si="228"/>
        <v>SIL - Intercompany</v>
      </c>
      <c r="B3694" s="33" t="str">
        <f t="shared" si="229"/>
        <v>SIL</v>
      </c>
      <c r="C3694" s="33" t="str">
        <f t="shared" si="230"/>
        <v>11345-0000</v>
      </c>
      <c r="D3694" t="s">
        <v>2618</v>
      </c>
      <c r="E3694" t="s">
        <v>14143</v>
      </c>
      <c r="F3694" t="s">
        <v>14039</v>
      </c>
      <c r="G3694" t="s">
        <v>14672</v>
      </c>
      <c r="H3694" t="s">
        <v>13869</v>
      </c>
      <c r="I3694" t="s">
        <v>14690</v>
      </c>
      <c r="J3694" s="62">
        <v>7081.81</v>
      </c>
      <c r="K3694" s="62">
        <v>-11488.77</v>
      </c>
      <c r="L3694" t="str">
        <f>VLOOKUP(VALUE(LEFT(C3694,5)),Xref!A:B,2,0)</f>
        <v>API</v>
      </c>
      <c r="M3694" t="str">
        <f t="shared" si="231"/>
        <v>API-SIL</v>
      </c>
    </row>
    <row r="3695" spans="1:13" ht="14.25" customHeight="true">
      <c r="A3695" s="33" t="str">
        <f t="shared" si="228"/>
        <v>SIL - Intercompany</v>
      </c>
      <c r="B3695" s="33" t="str">
        <f t="shared" si="229"/>
        <v>SIL</v>
      </c>
      <c r="C3695" s="33" t="str">
        <f t="shared" si="230"/>
        <v>11346-0000</v>
      </c>
      <c r="D3695" t="s">
        <v>2620</v>
      </c>
      <c r="E3695" t="s">
        <v>14145</v>
      </c>
      <c r="F3695" t="s">
        <v>14039</v>
      </c>
      <c r="G3695" t="s">
        <v>14672</v>
      </c>
      <c r="H3695" t="s">
        <v>13869</v>
      </c>
      <c r="I3695" t="s">
        <v>14690</v>
      </c>
      <c r="J3695" s="62">
        <v>0</v>
      </c>
      <c r="K3695" s="62">
        <v>200.4</v>
      </c>
      <c r="L3695" t="str">
        <f>VLOOKUP(VALUE(LEFT(C3695,5)),Xref!A:B,2,0)</f>
        <v>DPH</v>
      </c>
      <c r="M3695" t="str">
        <f t="shared" si="231"/>
        <v>DPH-SIL</v>
      </c>
    </row>
    <row r="3696" spans="1:13" ht="14.25" customHeight="true">
      <c r="A3696" s="33" t="str">
        <f t="shared" si="228"/>
        <v>SIL - Intercompany</v>
      </c>
      <c r="B3696" s="33" t="str">
        <f t="shared" si="229"/>
        <v>SIL</v>
      </c>
      <c r="C3696" s="33" t="str">
        <f t="shared" si="230"/>
        <v>11347-0000</v>
      </c>
      <c r="D3696" t="s">
        <v>2621</v>
      </c>
      <c r="E3696" t="s">
        <v>14147</v>
      </c>
      <c r="F3696" t="s">
        <v>14039</v>
      </c>
      <c r="G3696" t="s">
        <v>14672</v>
      </c>
      <c r="H3696" t="s">
        <v>13869</v>
      </c>
      <c r="I3696" t="s">
        <v>14690</v>
      </c>
      <c r="J3696" s="62">
        <v>9909.7</v>
      </c>
      <c r="K3696" s="62">
        <v>-13948.42</v>
      </c>
      <c r="L3696" t="str">
        <f>VLOOKUP(VALUE(LEFT(C3696,5)),Xref!A:B,2,0)</f>
        <v>ZPI</v>
      </c>
      <c r="M3696" t="str">
        <f t="shared" si="231"/>
        <v>SIL-ZPI</v>
      </c>
    </row>
    <row r="3697" spans="1:13" ht="14.25" customHeight="true">
      <c r="A3697" s="33" t="str">
        <f t="shared" si="228"/>
        <v>SIL - Intercompany</v>
      </c>
      <c r="B3697" s="33" t="str">
        <f t="shared" si="229"/>
        <v>SIL</v>
      </c>
      <c r="C3697" s="33" t="str">
        <f t="shared" si="230"/>
        <v>11348-0000</v>
      </c>
      <c r="D3697" t="s">
        <v>12414</v>
      </c>
      <c r="E3697" t="s">
        <v>14149</v>
      </c>
      <c r="F3697" t="s">
        <v>14039</v>
      </c>
      <c r="G3697" t="s">
        <v>14672</v>
      </c>
      <c r="H3697" t="s">
        <v>13869</v>
      </c>
      <c r="I3697" t="s">
        <v>14690</v>
      </c>
      <c r="J3697" s="62">
        <v>97.19</v>
      </c>
      <c r="K3697" s="62">
        <v>154.11</v>
      </c>
      <c r="L3697" t="str">
        <f>VLOOKUP(VALUE(LEFT(C3697,5)),Xref!A:B,2,0)</f>
        <v>EAM</v>
      </c>
      <c r="M3697" t="str">
        <f t="shared" si="231"/>
        <v>EAM-SIL</v>
      </c>
    </row>
    <row r="3698" spans="1:13" ht="14.25" customHeight="true">
      <c r="A3698" s="33" t="str">
        <f t="shared" si="228"/>
        <v>SIL - Intercompany</v>
      </c>
      <c r="B3698" s="33" t="str">
        <f t="shared" si="229"/>
        <v>SIL</v>
      </c>
      <c r="C3698" s="33" t="str">
        <f t="shared" si="230"/>
        <v>11349-0000</v>
      </c>
      <c r="D3698" t="s">
        <v>12415</v>
      </c>
      <c r="E3698" t="s">
        <v>14151</v>
      </c>
      <c r="F3698" t="s">
        <v>14039</v>
      </c>
      <c r="G3698" t="s">
        <v>14672</v>
      </c>
      <c r="H3698" t="s">
        <v>13869</v>
      </c>
      <c r="I3698" t="s">
        <v>14690</v>
      </c>
      <c r="J3698" s="62">
        <v>32.4</v>
      </c>
      <c r="K3698" s="62">
        <v>614.42</v>
      </c>
      <c r="L3698" t="str">
        <f>VLOOKUP(VALUE(LEFT(C3698,5)),Xref!A:B,2,0)</f>
        <v>SEA</v>
      </c>
      <c r="M3698" t="str">
        <f t="shared" si="231"/>
        <v>SEA-SIL</v>
      </c>
    </row>
    <row r="3699" spans="1:13" ht="14.25" customHeight="true">
      <c r="A3699" s="33" t="str">
        <f t="shared" si="228"/>
        <v>SIL - Intercompany</v>
      </c>
      <c r="B3699" s="33" t="str">
        <f t="shared" si="229"/>
        <v>SIL</v>
      </c>
      <c r="C3699" s="33" t="str">
        <f t="shared" si="230"/>
        <v>11350-0000</v>
      </c>
      <c r="D3699" t="s">
        <v>12417</v>
      </c>
      <c r="E3699" t="s">
        <v>14153</v>
      </c>
      <c r="F3699" t="s">
        <v>14039</v>
      </c>
      <c r="G3699" t="s">
        <v>14672</v>
      </c>
      <c r="H3699" t="s">
        <v>13869</v>
      </c>
      <c r="I3699" t="s">
        <v>14690</v>
      </c>
      <c r="J3699" s="62">
        <v>3709.43</v>
      </c>
      <c r="K3699" s="62">
        <v>3664.25</v>
      </c>
      <c r="L3699" t="str">
        <f>VLOOKUP(VALUE(LEFT(C3699,5)),Xref!A:B,2,0)</f>
        <v>EAL</v>
      </c>
      <c r="M3699" t="str">
        <f t="shared" si="231"/>
        <v>EAL-SIL</v>
      </c>
    </row>
    <row r="3700" spans="1:13" ht="14.25" customHeight="true">
      <c r="A3700" s="33" t="str">
        <f t="shared" si="228"/>
        <v>SIL - Intercompany</v>
      </c>
      <c r="B3700" s="33" t="str">
        <f t="shared" si="229"/>
        <v>SIL</v>
      </c>
      <c r="C3700" s="33" t="str">
        <f t="shared" si="230"/>
        <v>11351-0000</v>
      </c>
      <c r="D3700" t="s">
        <v>26930</v>
      </c>
      <c r="E3700" t="s">
        <v>14155</v>
      </c>
      <c r="F3700" t="s">
        <v>14039</v>
      </c>
      <c r="G3700" t="s">
        <v>14672</v>
      </c>
      <c r="H3700" t="s">
        <v>13869</v>
      </c>
      <c r="I3700" t="s">
        <v>14690</v>
      </c>
      <c r="J3700" s="62">
        <v>0</v>
      </c>
      <c r="K3700" s="62">
        <v>0</v>
      </c>
      <c r="L3700" t="str">
        <f>VLOOKUP(VALUE(LEFT(C3700,5)),Xref!A:B,2,0)</f>
        <v>WEP</v>
      </c>
      <c r="M3700" t="str">
        <f t="shared" si="231"/>
        <v>SIL-WEP</v>
      </c>
    </row>
    <row r="3701" spans="1:13" ht="14.25" customHeight="true">
      <c r="A3701" s="33" t="str">
        <f t="shared" si="228"/>
        <v>SIL - Intercompany</v>
      </c>
      <c r="B3701" s="33" t="str">
        <f t="shared" si="229"/>
        <v>SIL</v>
      </c>
      <c r="C3701" s="33" t="str">
        <f t="shared" si="230"/>
        <v>11352-0000</v>
      </c>
      <c r="D3701" t="s">
        <v>12418</v>
      </c>
      <c r="E3701" t="s">
        <v>13536</v>
      </c>
      <c r="F3701" t="s">
        <v>14039</v>
      </c>
      <c r="G3701" t="s">
        <v>14672</v>
      </c>
      <c r="H3701" t="s">
        <v>13869</v>
      </c>
      <c r="I3701" t="s">
        <v>14690</v>
      </c>
      <c r="J3701" s="62">
        <v>199.84</v>
      </c>
      <c r="K3701" s="62">
        <v>730.33</v>
      </c>
      <c r="L3701" t="str">
        <f>VLOOKUP(VALUE(LEFT(C3701,5)),Xref!A:B,2,0)</f>
        <v>KLP</v>
      </c>
      <c r="M3701" t="str">
        <f t="shared" si="231"/>
        <v>KLP-SIL</v>
      </c>
    </row>
    <row r="3702" spans="1:13" ht="14.25" customHeight="true">
      <c r="A3702" s="33" t="str">
        <f t="shared" si="228"/>
        <v>SIL - Intercompany</v>
      </c>
      <c r="B3702" s="33" t="str">
        <f t="shared" si="229"/>
        <v>SIL</v>
      </c>
      <c r="C3702" s="33" t="str">
        <f t="shared" si="230"/>
        <v>11353-0000</v>
      </c>
      <c r="D3702" t="s">
        <v>12419</v>
      </c>
      <c r="E3702" t="s">
        <v>13537</v>
      </c>
      <c r="F3702" t="s">
        <v>14039</v>
      </c>
      <c r="G3702" t="s">
        <v>14672</v>
      </c>
      <c r="H3702" t="s">
        <v>13869</v>
      </c>
      <c r="I3702" t="s">
        <v>14690</v>
      </c>
      <c r="J3702" s="62">
        <v>32.4</v>
      </c>
      <c r="K3702" s="62">
        <v>-3060.12</v>
      </c>
      <c r="L3702" t="str">
        <f>VLOOKUP(VALUE(LEFT(C3702,5)),Xref!A:B,2,0)</f>
        <v>AKC</v>
      </c>
      <c r="M3702" t="str">
        <f t="shared" si="231"/>
        <v>AKC-SIL</v>
      </c>
    </row>
    <row r="3703" spans="1:13" ht="14.25" customHeight="true">
      <c r="A3703" s="33" t="str">
        <f t="shared" si="228"/>
        <v>SIL - Intercompany</v>
      </c>
      <c r="B3703" s="33" t="str">
        <f t="shared" si="229"/>
        <v>SIL</v>
      </c>
      <c r="C3703" s="33" t="str">
        <f t="shared" si="230"/>
        <v>11354-0000</v>
      </c>
      <c r="D3703" t="s">
        <v>12420</v>
      </c>
      <c r="E3703" t="s">
        <v>13538</v>
      </c>
      <c r="F3703" t="s">
        <v>14039</v>
      </c>
      <c r="G3703" t="s">
        <v>14672</v>
      </c>
      <c r="H3703" t="s">
        <v>13869</v>
      </c>
      <c r="I3703" t="s">
        <v>14690</v>
      </c>
      <c r="J3703" s="62">
        <v>110.15</v>
      </c>
      <c r="K3703" s="62">
        <v>3400.01</v>
      </c>
      <c r="L3703" t="str">
        <f>VLOOKUP(VALUE(LEFT(C3703,5)),Xref!A:B,2,0)</f>
        <v>AKA</v>
      </c>
      <c r="M3703" t="str">
        <f t="shared" si="231"/>
        <v>AKA-SIL</v>
      </c>
    </row>
    <row r="3704" spans="1:13" ht="14.25" customHeight="true">
      <c r="A3704" s="33" t="str">
        <f t="shared" si="228"/>
        <v>SIL - Intercompany</v>
      </c>
      <c r="B3704" s="33" t="str">
        <f t="shared" si="229"/>
        <v>SIL</v>
      </c>
      <c r="C3704" s="33" t="str">
        <f t="shared" si="230"/>
        <v>11355-0000</v>
      </c>
      <c r="D3704" t="s">
        <v>12421</v>
      </c>
      <c r="E3704" t="s">
        <v>13539</v>
      </c>
      <c r="F3704" t="s">
        <v>14039</v>
      </c>
      <c r="G3704" t="s">
        <v>14672</v>
      </c>
      <c r="H3704" t="s">
        <v>13869</v>
      </c>
      <c r="I3704" t="s">
        <v>14690</v>
      </c>
      <c r="J3704" s="62">
        <v>139.31</v>
      </c>
      <c r="K3704" s="62">
        <v>-2769.35</v>
      </c>
      <c r="L3704" t="str">
        <f>VLOOKUP(VALUE(LEFT(C3704,5)),Xref!A:B,2,0)</f>
        <v>SPA</v>
      </c>
      <c r="M3704" t="str">
        <f t="shared" si="231"/>
        <v>SIL-SPA</v>
      </c>
    </row>
    <row r="3705" spans="1:13" ht="14.25" customHeight="true">
      <c r="A3705" s="33" t="str">
        <f t="shared" si="228"/>
        <v>SIL - Intercompany</v>
      </c>
      <c r="B3705" s="33" t="str">
        <f t="shared" si="229"/>
        <v>SIL</v>
      </c>
      <c r="C3705" s="33" t="str">
        <f t="shared" si="230"/>
        <v>11356-0000</v>
      </c>
      <c r="D3705" t="s">
        <v>12422</v>
      </c>
      <c r="E3705" t="s">
        <v>13540</v>
      </c>
      <c r="F3705" t="s">
        <v>14039</v>
      </c>
      <c r="G3705" t="s">
        <v>14672</v>
      </c>
      <c r="H3705" t="s">
        <v>13869</v>
      </c>
      <c r="I3705" t="s">
        <v>14690</v>
      </c>
      <c r="J3705" s="62">
        <v>32.4</v>
      </c>
      <c r="K3705" s="62">
        <v>-653.99</v>
      </c>
      <c r="L3705" t="str">
        <f>VLOOKUP(VALUE(LEFT(C3705,5)),Xref!A:B,2,0)</f>
        <v>DPM</v>
      </c>
      <c r="M3705" t="str">
        <f t="shared" si="231"/>
        <v>DPM-SIL</v>
      </c>
    </row>
    <row r="3706" spans="1:13" ht="14.25" customHeight="true">
      <c r="A3706" s="33" t="str">
        <f t="shared" si="228"/>
        <v>SIL - Intercompany</v>
      </c>
      <c r="B3706" s="33" t="str">
        <f t="shared" si="229"/>
        <v>SIL</v>
      </c>
      <c r="C3706" s="33" t="str">
        <f t="shared" si="230"/>
        <v>11357-0000</v>
      </c>
      <c r="D3706" t="s">
        <v>12423</v>
      </c>
      <c r="E3706" t="s">
        <v>13541</v>
      </c>
      <c r="F3706" t="s">
        <v>14039</v>
      </c>
      <c r="G3706" t="s">
        <v>14672</v>
      </c>
      <c r="H3706" t="s">
        <v>13869</v>
      </c>
      <c r="I3706" t="s">
        <v>14690</v>
      </c>
      <c r="J3706" s="62">
        <v>100.43</v>
      </c>
      <c r="K3706" s="62">
        <v>4542.5</v>
      </c>
      <c r="L3706" t="str">
        <f>VLOOKUP(VALUE(LEFT(C3706,5)),Xref!A:B,2,0)</f>
        <v>HDM</v>
      </c>
      <c r="M3706" t="str">
        <f t="shared" si="231"/>
        <v>HDM-SIL</v>
      </c>
    </row>
    <row r="3707" spans="1:13" ht="14.25" customHeight="true">
      <c r="A3707" s="33" t="str">
        <f t="shared" si="228"/>
        <v>SIL - Intercompany</v>
      </c>
      <c r="B3707" s="33" t="str">
        <f t="shared" si="229"/>
        <v>SIL</v>
      </c>
      <c r="C3707" s="33" t="str">
        <f t="shared" si="230"/>
        <v>11358-0000</v>
      </c>
      <c r="D3707" t="s">
        <v>12425</v>
      </c>
      <c r="E3707" t="s">
        <v>13542</v>
      </c>
      <c r="F3707" t="s">
        <v>14039</v>
      </c>
      <c r="G3707" t="s">
        <v>14672</v>
      </c>
      <c r="H3707" t="s">
        <v>13869</v>
      </c>
      <c r="I3707" t="s">
        <v>14690</v>
      </c>
      <c r="J3707" s="62">
        <v>323.97</v>
      </c>
      <c r="K3707" s="62">
        <v>-2529.39</v>
      </c>
      <c r="L3707" t="str">
        <f>VLOOKUP(VALUE(LEFT(C3707,5)),Xref!A:B,2,0)</f>
        <v>GRA</v>
      </c>
      <c r="M3707" t="str">
        <f t="shared" si="231"/>
        <v>GRA-SIL</v>
      </c>
    </row>
    <row r="3708" spans="1:13" ht="14.25" customHeight="true">
      <c r="A3708" s="33" t="str">
        <f t="shared" si="228"/>
        <v>SIL - Intercompany</v>
      </c>
      <c r="B3708" s="33" t="str">
        <f t="shared" si="229"/>
        <v>SIL</v>
      </c>
      <c r="C3708" s="33" t="str">
        <f t="shared" si="230"/>
        <v>11359-0000</v>
      </c>
      <c r="D3708" t="s">
        <v>12426</v>
      </c>
      <c r="E3708" t="s">
        <v>13543</v>
      </c>
      <c r="F3708" t="s">
        <v>14039</v>
      </c>
      <c r="G3708" t="s">
        <v>14672</v>
      </c>
      <c r="H3708" t="s">
        <v>13869</v>
      </c>
      <c r="I3708" t="s">
        <v>14690</v>
      </c>
      <c r="J3708" s="62">
        <v>541.04</v>
      </c>
      <c r="K3708" s="62">
        <v>1905.11</v>
      </c>
      <c r="L3708" t="str">
        <f>VLOOKUP(VALUE(LEFT(C3708,5)),Xref!A:B,2,0)</f>
        <v>TPI</v>
      </c>
      <c r="M3708" t="str">
        <f t="shared" si="231"/>
        <v>SIL-TPI</v>
      </c>
    </row>
    <row r="3709" spans="1:13" ht="14.25" customHeight="true">
      <c r="A3709" s="33" t="str">
        <f t="shared" si="228"/>
        <v>SIL - Intercompany</v>
      </c>
      <c r="B3709" s="33" t="str">
        <f t="shared" si="229"/>
        <v>SIL</v>
      </c>
      <c r="C3709" s="33" t="str">
        <f t="shared" si="230"/>
        <v>11361-0000</v>
      </c>
      <c r="D3709" t="s">
        <v>12427</v>
      </c>
      <c r="E3709" t="s">
        <v>14165</v>
      </c>
      <c r="F3709" t="s">
        <v>14039</v>
      </c>
      <c r="G3709" t="s">
        <v>14672</v>
      </c>
      <c r="H3709" t="s">
        <v>13869</v>
      </c>
      <c r="I3709" t="s">
        <v>14690</v>
      </c>
      <c r="J3709" s="62">
        <v>22313.07</v>
      </c>
      <c r="K3709" s="62">
        <v>44881.66</v>
      </c>
      <c r="L3709" t="str">
        <f>VLOOKUP(VALUE(LEFT(C3709,5)),Xref!A:B,2,0)</f>
        <v>GSM</v>
      </c>
      <c r="M3709" t="str">
        <f t="shared" si="231"/>
        <v>GSM-SIL</v>
      </c>
    </row>
    <row r="3710" spans="1:13" ht="14.25" customHeight="true">
      <c r="A3710" s="33" t="str">
        <f t="shared" si="228"/>
        <v>SIL - Intercompany</v>
      </c>
      <c r="B3710" s="33" t="str">
        <f t="shared" si="229"/>
        <v>SIL</v>
      </c>
      <c r="C3710" s="33" t="str">
        <f t="shared" si="230"/>
        <v>11363-0000</v>
      </c>
      <c r="D3710" t="s">
        <v>12428</v>
      </c>
      <c r="E3710" t="s">
        <v>13544</v>
      </c>
      <c r="F3710" t="s">
        <v>14039</v>
      </c>
      <c r="G3710" t="s">
        <v>14672</v>
      </c>
      <c r="H3710" t="s">
        <v>13869</v>
      </c>
      <c r="I3710" t="s">
        <v>14690</v>
      </c>
      <c r="J3710" s="62">
        <v>571.22</v>
      </c>
      <c r="K3710" s="62">
        <v>1398.85</v>
      </c>
      <c r="L3710" t="str">
        <f>VLOOKUP(VALUE(LEFT(C3710,5)),Xref!A:B,2,0)</f>
        <v>SOF</v>
      </c>
      <c r="M3710" t="str">
        <f t="shared" si="231"/>
        <v>SIL-SOF</v>
      </c>
    </row>
    <row r="3711" spans="1:13" ht="14.25" customHeight="true">
      <c r="A3711" s="33" t="str">
        <f t="shared" si="228"/>
        <v>SIL - Intercompany</v>
      </c>
      <c r="B3711" s="33" t="str">
        <f t="shared" si="229"/>
        <v>SIL</v>
      </c>
      <c r="C3711" s="33" t="str">
        <f t="shared" si="230"/>
        <v>11364-0000</v>
      </c>
      <c r="D3711" t="s">
        <v>26931</v>
      </c>
      <c r="E3711" t="s">
        <v>14168</v>
      </c>
      <c r="F3711" t="s">
        <v>14039</v>
      </c>
      <c r="G3711" t="s">
        <v>14672</v>
      </c>
      <c r="H3711" t="s">
        <v>13869</v>
      </c>
      <c r="I3711" t="s">
        <v>14690</v>
      </c>
      <c r="J3711" s="62">
        <v>0</v>
      </c>
      <c r="K3711" s="62">
        <v>0</v>
      </c>
      <c r="L3711" t="e">
        <f>VLOOKUP(VALUE(LEFT(C3711,5)),Xref!A:B,2,0)</f>
        <v>#N/A</v>
      </c>
      <c r="M3711" t="e">
        <f t="shared" si="231"/>
        <v>#N/A</v>
      </c>
    </row>
    <row r="3712" spans="1:13" ht="14.25" customHeight="true">
      <c r="A3712" s="33" t="str">
        <f t="shared" si="228"/>
        <v>SIL - Intercompany</v>
      </c>
      <c r="B3712" s="33" t="str">
        <f t="shared" si="229"/>
        <v>SIL</v>
      </c>
      <c r="C3712" s="33" t="str">
        <f t="shared" si="230"/>
        <v>11365-0000</v>
      </c>
      <c r="D3712" t="s">
        <v>26932</v>
      </c>
      <c r="E3712" t="s">
        <v>14170</v>
      </c>
      <c r="F3712" t="s">
        <v>14039</v>
      </c>
      <c r="G3712" t="s">
        <v>14672</v>
      </c>
      <c r="H3712" t="s">
        <v>13869</v>
      </c>
      <c r="I3712" t="s">
        <v>14690</v>
      </c>
      <c r="J3712" s="62">
        <v>3.24</v>
      </c>
      <c r="K3712" s="62">
        <v>5.39</v>
      </c>
      <c r="L3712" t="e">
        <f>VLOOKUP(VALUE(LEFT(C3712,5)),Xref!A:B,2,0)</f>
        <v>#N/A</v>
      </c>
      <c r="M3712" t="e">
        <f t="shared" si="231"/>
        <v>#N/A</v>
      </c>
    </row>
    <row r="3713" spans="1:13" ht="14.25" customHeight="true">
      <c r="A3713" s="33" t="str">
        <f t="shared" si="228"/>
        <v>SIL - Intercompany</v>
      </c>
      <c r="B3713" s="33" t="str">
        <f t="shared" si="229"/>
        <v>SIL</v>
      </c>
      <c r="C3713" s="33" t="str">
        <f t="shared" si="230"/>
        <v>11366-0000</v>
      </c>
      <c r="D3713" t="s">
        <v>26933</v>
      </c>
      <c r="E3713" t="s">
        <v>14172</v>
      </c>
      <c r="G3713" t="s">
        <v>14672</v>
      </c>
      <c r="H3713" t="s">
        <v>13869</v>
      </c>
      <c r="I3713" t="s">
        <v>14690</v>
      </c>
      <c r="J3713" s="62">
        <v>0</v>
      </c>
      <c r="K3713" s="62">
        <v>0</v>
      </c>
      <c r="L3713" t="e">
        <f>VLOOKUP(VALUE(LEFT(C3713,5)),Xref!A:B,2,0)</f>
        <v>#N/A</v>
      </c>
      <c r="M3713" t="e">
        <f t="shared" si="231"/>
        <v>#N/A</v>
      </c>
    </row>
    <row r="3714" spans="1:13" ht="14.25" customHeight="true">
      <c r="A3714" s="33" t="str">
        <f t="shared" ref="A3714:A3777" si="232">B3714&amp;" - "&amp;TRIM(H3714)</f>
        <v>SIL - Intercompany</v>
      </c>
      <c r="B3714" s="33" t="str">
        <f t="shared" ref="B3714:B3777" si="233">LEFT(D3714,3)</f>
        <v>SIL</v>
      </c>
      <c r="C3714" s="33" t="str">
        <f t="shared" ref="C3714:C3777" si="234">RIGHT(D3714,10)</f>
        <v>11402-0000</v>
      </c>
      <c r="D3714" t="s">
        <v>26934</v>
      </c>
      <c r="E3714" t="s">
        <v>14174</v>
      </c>
      <c r="G3714" t="s">
        <v>14672</v>
      </c>
      <c r="H3714" t="s">
        <v>13869</v>
      </c>
      <c r="I3714" t="s">
        <v>14690</v>
      </c>
      <c r="J3714" s="62">
        <v>0</v>
      </c>
      <c r="K3714" s="62">
        <v>0</v>
      </c>
      <c r="L3714" t="str">
        <f>VLOOKUP(VALUE(LEFT(C3714,5)),Xref!A:B,2,0)</f>
        <v>DPI</v>
      </c>
      <c r="M3714" t="str">
        <f t="shared" ref="M3714:M3777" si="235">IF(B3714&lt;L3714,B3714&amp;"-"&amp;L3714,L3714&amp;"-"&amp;B3714)</f>
        <v>DPI-SIL</v>
      </c>
    </row>
    <row r="3715" spans="1:13" ht="14.25" customHeight="true">
      <c r="A3715" s="33" t="str">
        <f t="shared" si="232"/>
        <v>SIL - Intercompany</v>
      </c>
      <c r="B3715" s="33" t="str">
        <f t="shared" si="233"/>
        <v>SIL</v>
      </c>
      <c r="C3715" s="33" t="str">
        <f t="shared" si="234"/>
        <v>11403-0000</v>
      </c>
      <c r="D3715" t="s">
        <v>26935</v>
      </c>
      <c r="E3715" t="s">
        <v>14176</v>
      </c>
      <c r="G3715" t="s">
        <v>14672</v>
      </c>
      <c r="H3715" t="s">
        <v>13869</v>
      </c>
      <c r="I3715" t="s">
        <v>14690</v>
      </c>
      <c r="J3715" s="62">
        <v>0</v>
      </c>
      <c r="K3715" s="62">
        <v>0</v>
      </c>
      <c r="L3715" t="str">
        <f>VLOOKUP(VALUE(LEFT(C3715,5)),Xref!A:B,2,0)</f>
        <v>SEA</v>
      </c>
      <c r="M3715" t="str">
        <f t="shared" si="235"/>
        <v>SEA-SIL</v>
      </c>
    </row>
    <row r="3716" spans="1:13" ht="14.25" customHeight="true">
      <c r="A3716" s="33" t="str">
        <f t="shared" si="232"/>
        <v>SIL - Intercompany</v>
      </c>
      <c r="B3716" s="33" t="str">
        <f t="shared" si="233"/>
        <v>SIL</v>
      </c>
      <c r="C3716" s="33" t="str">
        <f t="shared" si="234"/>
        <v>12400-0000</v>
      </c>
      <c r="D3716" t="s">
        <v>26938</v>
      </c>
      <c r="E3716" t="s">
        <v>14185</v>
      </c>
      <c r="F3716" t="s">
        <v>14039</v>
      </c>
      <c r="G3716" t="s">
        <v>14672</v>
      </c>
      <c r="H3716" t="s">
        <v>13869</v>
      </c>
      <c r="I3716" t="s">
        <v>14690</v>
      </c>
      <c r="J3716" s="62">
        <v>0</v>
      </c>
      <c r="K3716" s="62">
        <v>0</v>
      </c>
      <c r="L3716" t="str">
        <f>VLOOKUP(VALUE(LEFT(C3716,5)),Xref!A:B,2,0)</f>
        <v>aka</v>
      </c>
      <c r="M3716" t="str">
        <f t="shared" si="235"/>
        <v>aka-SIL</v>
      </c>
    </row>
    <row r="3717" spans="1:13" ht="14.25" customHeight="true">
      <c r="A3717" s="33" t="str">
        <f t="shared" si="232"/>
        <v>SIL - Intercompany</v>
      </c>
      <c r="B3717" s="33" t="str">
        <f t="shared" si="233"/>
        <v>SIL</v>
      </c>
      <c r="C3717" s="33" t="str">
        <f t="shared" si="234"/>
        <v>12401-0000</v>
      </c>
      <c r="D3717" t="s">
        <v>26939</v>
      </c>
      <c r="E3717" t="s">
        <v>14187</v>
      </c>
      <c r="F3717" t="s">
        <v>14039</v>
      </c>
      <c r="G3717" t="s">
        <v>14672</v>
      </c>
      <c r="H3717" t="s">
        <v>13869</v>
      </c>
      <c r="I3717" t="s">
        <v>14690</v>
      </c>
      <c r="J3717" s="62">
        <v>0</v>
      </c>
      <c r="K3717" s="62">
        <v>0</v>
      </c>
      <c r="L3717" t="str">
        <f>VLOOKUP(VALUE(LEFT(C3717,5)),Xref!A:B,2,0)</f>
        <v>aka</v>
      </c>
      <c r="M3717" t="str">
        <f t="shared" si="235"/>
        <v>aka-SIL</v>
      </c>
    </row>
    <row r="3718" spans="1:13" ht="14.25" customHeight="true">
      <c r="A3718" s="33" t="str">
        <f t="shared" si="232"/>
        <v>SIL - Intercompany</v>
      </c>
      <c r="B3718" s="33" t="str">
        <f t="shared" si="233"/>
        <v>SIL</v>
      </c>
      <c r="C3718" s="33" t="str">
        <f t="shared" si="234"/>
        <v>12402-0000</v>
      </c>
      <c r="D3718" t="s">
        <v>26940</v>
      </c>
      <c r="E3718" t="s">
        <v>14189</v>
      </c>
      <c r="F3718" t="s">
        <v>14039</v>
      </c>
      <c r="G3718" t="s">
        <v>14672</v>
      </c>
      <c r="H3718" t="s">
        <v>13869</v>
      </c>
      <c r="I3718" t="s">
        <v>14690</v>
      </c>
      <c r="J3718" s="62">
        <v>0</v>
      </c>
      <c r="K3718" s="62">
        <v>0</v>
      </c>
      <c r="L3718" t="str">
        <f>VLOOKUP(VALUE(LEFT(C3718,5)),Xref!A:B,2,0)</f>
        <v>aka</v>
      </c>
      <c r="M3718" t="str">
        <f t="shared" si="235"/>
        <v>aka-SIL</v>
      </c>
    </row>
    <row r="3719" spans="1:13" ht="14.25" customHeight="true">
      <c r="A3719" s="33" t="str">
        <f t="shared" si="232"/>
        <v>SIL - Intercompany</v>
      </c>
      <c r="B3719" s="33" t="str">
        <f t="shared" si="233"/>
        <v>SIL</v>
      </c>
      <c r="C3719" s="33" t="str">
        <f t="shared" si="234"/>
        <v>12403-0000</v>
      </c>
      <c r="D3719" t="s">
        <v>26941</v>
      </c>
      <c r="E3719" t="s">
        <v>5226</v>
      </c>
      <c r="F3719" t="s">
        <v>14039</v>
      </c>
      <c r="G3719" t="s">
        <v>14672</v>
      </c>
      <c r="H3719" t="s">
        <v>13869</v>
      </c>
      <c r="I3719" t="s">
        <v>14690</v>
      </c>
      <c r="J3719" s="62">
        <v>0</v>
      </c>
      <c r="K3719" s="62">
        <v>0</v>
      </c>
      <c r="L3719" t="str">
        <f>VLOOKUP(VALUE(LEFT(C3719,5)),Xref!A:B,2,0)</f>
        <v>aka</v>
      </c>
      <c r="M3719" t="str">
        <f t="shared" si="235"/>
        <v>aka-SIL</v>
      </c>
    </row>
    <row r="3720" spans="1:13" ht="14.25" customHeight="true">
      <c r="A3720" s="33" t="str">
        <f t="shared" si="232"/>
        <v>SIL - Intercompany</v>
      </c>
      <c r="B3720" s="33" t="str">
        <f t="shared" si="233"/>
        <v>SIL</v>
      </c>
      <c r="C3720" s="33" t="str">
        <f t="shared" si="234"/>
        <v>12501-0000</v>
      </c>
      <c r="D3720" t="s">
        <v>26942</v>
      </c>
      <c r="E3720" t="s">
        <v>14192</v>
      </c>
      <c r="F3720" t="s">
        <v>14039</v>
      </c>
      <c r="G3720" t="s">
        <v>14672</v>
      </c>
      <c r="H3720" t="s">
        <v>13869</v>
      </c>
      <c r="I3720" t="s">
        <v>14690</v>
      </c>
      <c r="J3720" s="62">
        <v>0</v>
      </c>
      <c r="K3720" s="62">
        <v>0</v>
      </c>
      <c r="L3720" t="str">
        <f>VLOOKUP(VALUE(LEFT(C3720,5)),Xref!A:B,2,0)</f>
        <v>aka</v>
      </c>
      <c r="M3720" t="str">
        <f t="shared" si="235"/>
        <v>aka-SIL</v>
      </c>
    </row>
    <row r="3721" spans="1:13" ht="14.25" customHeight="true">
      <c r="A3721" s="33" t="str">
        <f t="shared" si="232"/>
        <v>SIL - InterCo Notes</v>
      </c>
      <c r="B3721" s="33" t="str">
        <f t="shared" si="233"/>
        <v>SIL</v>
      </c>
      <c r="C3721" s="33" t="str">
        <f t="shared" si="234"/>
        <v>25600-0000</v>
      </c>
      <c r="D3721" t="s">
        <v>26988</v>
      </c>
      <c r="E3721" t="s">
        <v>314</v>
      </c>
      <c r="F3721" t="s">
        <v>14039</v>
      </c>
      <c r="G3721" t="s">
        <v>14672</v>
      </c>
      <c r="H3721" t="s">
        <v>13889</v>
      </c>
      <c r="I3721" t="s">
        <v>14690</v>
      </c>
      <c r="J3721" s="62">
        <v>0</v>
      </c>
      <c r="K3721" s="62">
        <v>0</v>
      </c>
      <c r="L3721" t="str">
        <f>VLOOKUP(VALUE(LEFT(C3721,5)),Xref!A:B,2,0)</f>
        <v>D7</v>
      </c>
      <c r="M3721" t="str">
        <f t="shared" si="235"/>
        <v>D7-SIL</v>
      </c>
    </row>
    <row r="3722" spans="1:13" ht="14.25" customHeight="true">
      <c r="A3722" s="33" t="str">
        <f t="shared" si="232"/>
        <v>SIL - InterCo Notes</v>
      </c>
      <c r="B3722" s="33" t="str">
        <f t="shared" si="233"/>
        <v>SIL</v>
      </c>
      <c r="C3722" s="33" t="str">
        <f t="shared" si="234"/>
        <v>25602-0000</v>
      </c>
      <c r="D3722" t="s">
        <v>26990</v>
      </c>
      <c r="E3722" t="s">
        <v>13426</v>
      </c>
      <c r="F3722" t="s">
        <v>14039</v>
      </c>
      <c r="G3722" t="s">
        <v>14672</v>
      </c>
      <c r="H3722" t="s">
        <v>13889</v>
      </c>
      <c r="I3722" t="s">
        <v>14690</v>
      </c>
      <c r="J3722" s="62">
        <v>0</v>
      </c>
      <c r="K3722" s="62">
        <v>0</v>
      </c>
      <c r="L3722" t="str">
        <f>VLOOKUP(VALUE(LEFT(C3722,5)),Xref!A:B,2,0)</f>
        <v>DFLP</v>
      </c>
      <c r="M3722" t="str">
        <f t="shared" si="235"/>
        <v>DFLP-SIL</v>
      </c>
    </row>
    <row r="3723" spans="1:13" ht="14.25" customHeight="true">
      <c r="A3723" s="33" t="str">
        <f t="shared" si="232"/>
        <v>SIL - InterCo Notes</v>
      </c>
      <c r="B3723" s="33" t="str">
        <f t="shared" si="233"/>
        <v>SIL</v>
      </c>
      <c r="C3723" s="33" t="str">
        <f t="shared" si="234"/>
        <v>25603-0000</v>
      </c>
      <c r="D3723" t="s">
        <v>26991</v>
      </c>
      <c r="E3723" t="s">
        <v>14311</v>
      </c>
      <c r="F3723" t="s">
        <v>14039</v>
      </c>
      <c r="G3723" t="s">
        <v>14832</v>
      </c>
      <c r="H3723" t="s">
        <v>13889</v>
      </c>
      <c r="I3723" t="s">
        <v>14690</v>
      </c>
      <c r="J3723" s="62">
        <v>0</v>
      </c>
      <c r="K3723" s="62">
        <v>0</v>
      </c>
      <c r="L3723" t="str">
        <f>VLOOKUP(VALUE(LEFT(C3723,5)),Xref!A:B,2,0)</f>
        <v>aka</v>
      </c>
      <c r="M3723" t="str">
        <f t="shared" si="235"/>
        <v>aka-SIL</v>
      </c>
    </row>
    <row r="3724" spans="1:13" ht="14.25" customHeight="true">
      <c r="A3724" s="33" t="str">
        <f t="shared" si="232"/>
        <v>SIL - Intercompany</v>
      </c>
      <c r="B3724" s="33" t="str">
        <f t="shared" si="233"/>
        <v>SIL</v>
      </c>
      <c r="C3724" s="33" t="str">
        <f t="shared" si="234"/>
        <v>25604-0000</v>
      </c>
      <c r="D3724" t="s">
        <v>26992</v>
      </c>
      <c r="E3724" t="s">
        <v>13490</v>
      </c>
      <c r="F3724" t="s">
        <v>14039</v>
      </c>
      <c r="G3724" t="s">
        <v>14672</v>
      </c>
      <c r="H3724" t="s">
        <v>13869</v>
      </c>
      <c r="I3724" t="s">
        <v>14690</v>
      </c>
      <c r="J3724" s="62">
        <v>0</v>
      </c>
      <c r="K3724" s="62">
        <v>0</v>
      </c>
      <c r="L3724">
        <f>VLOOKUP(VALUE(LEFT(C3724,5)),Xref!A:B,2,0)</f>
        <v>0</v>
      </c>
      <c r="M3724" t="str">
        <f t="shared" si="235"/>
        <v>0-SIL</v>
      </c>
    </row>
    <row r="3725" spans="1:13" ht="14.25" customHeight="true">
      <c r="A3725" s="33" t="str">
        <f t="shared" si="232"/>
        <v>SOF - Intercompany</v>
      </c>
      <c r="B3725" s="33" t="str">
        <f t="shared" si="233"/>
        <v>SOF</v>
      </c>
      <c r="C3725" s="33" t="str">
        <f t="shared" si="234"/>
        <v>11200-0000</v>
      </c>
      <c r="D3725" t="s">
        <v>27166</v>
      </c>
      <c r="E3725" t="s">
        <v>14069</v>
      </c>
      <c r="F3725" t="s">
        <v>14039</v>
      </c>
      <c r="G3725" t="s">
        <v>14672</v>
      </c>
      <c r="H3725" t="s">
        <v>13869</v>
      </c>
      <c r="I3725" t="s">
        <v>14690</v>
      </c>
      <c r="J3725" s="62">
        <v>0</v>
      </c>
      <c r="K3725" s="62">
        <v>0</v>
      </c>
      <c r="L3725" t="str">
        <f>VLOOKUP(VALUE(LEFT(C3725,5)),Xref!A:B,2,0)</f>
        <v>SCL</v>
      </c>
      <c r="M3725" t="str">
        <f t="shared" si="235"/>
        <v>SCL-SOF</v>
      </c>
    </row>
    <row r="3726" spans="1:13" ht="14.25" customHeight="true">
      <c r="A3726" s="33" t="str">
        <f t="shared" si="232"/>
        <v>SOF - Intercompany</v>
      </c>
      <c r="B3726" s="33" t="str">
        <f t="shared" si="233"/>
        <v>SOF</v>
      </c>
      <c r="C3726" s="33" t="str">
        <f t="shared" si="234"/>
        <v>11201-0000</v>
      </c>
      <c r="D3726" t="s">
        <v>27167</v>
      </c>
      <c r="E3726" t="s">
        <v>14071</v>
      </c>
      <c r="F3726" t="s">
        <v>14039</v>
      </c>
      <c r="G3726" t="s">
        <v>14672</v>
      </c>
      <c r="H3726" t="s">
        <v>13869</v>
      </c>
      <c r="I3726" t="s">
        <v>14690</v>
      </c>
      <c r="J3726" s="62">
        <v>0</v>
      </c>
      <c r="K3726" s="62">
        <v>0</v>
      </c>
      <c r="L3726" t="str">
        <f>VLOOKUP(VALUE(LEFT(C3726,5)),Xref!A:B,2,0)</f>
        <v>SG2</v>
      </c>
      <c r="M3726" t="str">
        <f t="shared" si="235"/>
        <v>SG2-SOF</v>
      </c>
    </row>
    <row r="3727" spans="1:13" ht="14.25" customHeight="true">
      <c r="A3727" s="33" t="str">
        <f t="shared" si="232"/>
        <v>SOF - Intercompany</v>
      </c>
      <c r="B3727" s="33" t="str">
        <f t="shared" si="233"/>
        <v>SOF</v>
      </c>
      <c r="C3727" s="33" t="str">
        <f t="shared" si="234"/>
        <v>11202-0000</v>
      </c>
      <c r="D3727" t="s">
        <v>27168</v>
      </c>
      <c r="E3727" t="s">
        <v>14073</v>
      </c>
      <c r="F3727" t="s">
        <v>14039</v>
      </c>
      <c r="G3727" t="s">
        <v>14672</v>
      </c>
      <c r="H3727" t="s">
        <v>13869</v>
      </c>
      <c r="I3727" t="s">
        <v>14690</v>
      </c>
      <c r="J3727" s="62">
        <v>0</v>
      </c>
      <c r="K3727" s="62">
        <v>0</v>
      </c>
      <c r="L3727" t="str">
        <f>VLOOKUP(VALUE(LEFT(C3727,5)),Xref!A:B,2,0)</f>
        <v>FFC</v>
      </c>
      <c r="M3727" t="str">
        <f t="shared" si="235"/>
        <v>FFC-SOF</v>
      </c>
    </row>
    <row r="3728" spans="1:13" ht="14.25" customHeight="true">
      <c r="A3728" s="33" t="str">
        <f t="shared" si="232"/>
        <v>SOF - Intercompany</v>
      </c>
      <c r="B3728" s="33" t="str">
        <f t="shared" si="233"/>
        <v>SOF</v>
      </c>
      <c r="C3728" s="33" t="str">
        <f t="shared" si="234"/>
        <v>11203-0000</v>
      </c>
      <c r="D3728" t="s">
        <v>27169</v>
      </c>
      <c r="E3728" t="s">
        <v>14075</v>
      </c>
      <c r="F3728" t="s">
        <v>14039</v>
      </c>
      <c r="G3728" t="s">
        <v>14672</v>
      </c>
      <c r="H3728" t="s">
        <v>13869</v>
      </c>
      <c r="I3728" t="s">
        <v>14690</v>
      </c>
      <c r="J3728" s="62">
        <v>0</v>
      </c>
      <c r="K3728" s="62">
        <v>0</v>
      </c>
      <c r="L3728" t="str">
        <f>VLOOKUP(VALUE(LEFT(C3728,5)),Xref!A:B,2,0)</f>
        <v>HN2</v>
      </c>
      <c r="M3728" t="str">
        <f t="shared" si="235"/>
        <v>HN2-SOF</v>
      </c>
    </row>
    <row r="3729" spans="1:13" ht="14.25" customHeight="true">
      <c r="A3729" s="33" t="str">
        <f t="shared" si="232"/>
        <v>SOF - Intercompany</v>
      </c>
      <c r="B3729" s="33" t="str">
        <f t="shared" si="233"/>
        <v>SOF</v>
      </c>
      <c r="C3729" s="33" t="str">
        <f t="shared" si="234"/>
        <v>11204-0000</v>
      </c>
      <c r="D3729" t="s">
        <v>27170</v>
      </c>
      <c r="E3729" t="s">
        <v>14077</v>
      </c>
      <c r="F3729" t="s">
        <v>14039</v>
      </c>
      <c r="G3729" t="s">
        <v>14672</v>
      </c>
      <c r="H3729" t="s">
        <v>13869</v>
      </c>
      <c r="I3729" t="s">
        <v>14690</v>
      </c>
      <c r="J3729" s="62">
        <v>0</v>
      </c>
      <c r="K3729" s="62">
        <v>0</v>
      </c>
      <c r="L3729" t="str">
        <f>VLOOKUP(VALUE(LEFT(C3729,5)),Xref!A:B,2,0)</f>
        <v>DF2</v>
      </c>
      <c r="M3729" t="str">
        <f t="shared" si="235"/>
        <v>DF2-SOF</v>
      </c>
    </row>
    <row r="3730" spans="1:13" ht="14.25" customHeight="true">
      <c r="A3730" s="33" t="str">
        <f t="shared" si="232"/>
        <v>SOF - Intercompany</v>
      </c>
      <c r="B3730" s="33" t="str">
        <f t="shared" si="233"/>
        <v>SOF</v>
      </c>
      <c r="C3730" s="33" t="str">
        <f t="shared" si="234"/>
        <v>11208-0000</v>
      </c>
      <c r="D3730" t="s">
        <v>27171</v>
      </c>
      <c r="E3730" t="s">
        <v>14079</v>
      </c>
      <c r="F3730" t="s">
        <v>14039</v>
      </c>
      <c r="G3730" t="s">
        <v>14672</v>
      </c>
      <c r="H3730" t="s">
        <v>13869</v>
      </c>
      <c r="I3730" t="s">
        <v>14690</v>
      </c>
      <c r="J3730" s="62">
        <v>0</v>
      </c>
      <c r="K3730" s="62">
        <v>0</v>
      </c>
      <c r="L3730" t="str">
        <f>VLOOKUP(VALUE(LEFT(C3730,5)),Xref!A:B,2,0)</f>
        <v>SRE</v>
      </c>
      <c r="M3730" t="str">
        <f t="shared" si="235"/>
        <v>SOF-SRE</v>
      </c>
    </row>
    <row r="3731" spans="1:13" ht="14.25" customHeight="true">
      <c r="A3731" s="33" t="str">
        <f t="shared" si="232"/>
        <v>SOF - Intercompany</v>
      </c>
      <c r="B3731" s="33" t="str">
        <f t="shared" si="233"/>
        <v>SOF</v>
      </c>
      <c r="C3731" s="33" t="str">
        <f t="shared" si="234"/>
        <v>11210-0000</v>
      </c>
      <c r="D3731" t="s">
        <v>27172</v>
      </c>
      <c r="E3731" t="s">
        <v>14081</v>
      </c>
      <c r="F3731" t="s">
        <v>14039</v>
      </c>
      <c r="G3731" t="s">
        <v>14672</v>
      </c>
      <c r="H3731" t="s">
        <v>13869</v>
      </c>
      <c r="I3731" t="s">
        <v>14690</v>
      </c>
      <c r="J3731" s="62">
        <v>0</v>
      </c>
      <c r="K3731" s="62">
        <v>0</v>
      </c>
      <c r="L3731" t="str">
        <f>VLOOKUP(VALUE(LEFT(C3731,5)),Xref!A:B,2,0)</f>
        <v>REM</v>
      </c>
      <c r="M3731" t="str">
        <f t="shared" si="235"/>
        <v>REM-SOF</v>
      </c>
    </row>
    <row r="3732" spans="1:13" ht="14.25" customHeight="true">
      <c r="A3732" s="33" t="str">
        <f t="shared" si="232"/>
        <v>SOF - Intercompany</v>
      </c>
      <c r="B3732" s="33" t="str">
        <f t="shared" si="233"/>
        <v>SOF</v>
      </c>
      <c r="C3732" s="33" t="str">
        <f t="shared" si="234"/>
        <v>11212-0000</v>
      </c>
      <c r="D3732" t="s">
        <v>27173</v>
      </c>
      <c r="E3732" t="s">
        <v>14083</v>
      </c>
      <c r="F3732" t="s">
        <v>14039</v>
      </c>
      <c r="G3732" t="s">
        <v>14672</v>
      </c>
      <c r="H3732" t="s">
        <v>13869</v>
      </c>
      <c r="I3732" t="s">
        <v>14690</v>
      </c>
      <c r="J3732" s="62">
        <v>0</v>
      </c>
      <c r="K3732" s="62">
        <v>0</v>
      </c>
      <c r="L3732" t="str">
        <f>VLOOKUP(VALUE(LEFT(C3732,5)),Xref!A:B,2,0)</f>
        <v>FRM</v>
      </c>
      <c r="M3732" t="str">
        <f t="shared" si="235"/>
        <v>FRM-SOF</v>
      </c>
    </row>
    <row r="3733" spans="1:13" ht="14.25" customHeight="true">
      <c r="A3733" s="33" t="str">
        <f t="shared" si="232"/>
        <v>SOF - Intercompany</v>
      </c>
      <c r="B3733" s="33" t="str">
        <f t="shared" si="233"/>
        <v>SOF</v>
      </c>
      <c r="C3733" s="33" t="str">
        <f t="shared" si="234"/>
        <v>11214-0000</v>
      </c>
      <c r="D3733" t="s">
        <v>27174</v>
      </c>
      <c r="E3733" t="s">
        <v>14085</v>
      </c>
      <c r="F3733" t="s">
        <v>14039</v>
      </c>
      <c r="G3733" t="s">
        <v>14672</v>
      </c>
      <c r="H3733" t="s">
        <v>13869</v>
      </c>
      <c r="I3733" t="s">
        <v>14690</v>
      </c>
      <c r="J3733" s="62">
        <v>0</v>
      </c>
      <c r="K3733" s="62">
        <v>0</v>
      </c>
      <c r="L3733" t="str">
        <f>VLOOKUP(VALUE(LEFT(C3733,5)),Xref!A:B,2,0)</f>
        <v>D7R</v>
      </c>
      <c r="M3733" t="str">
        <f t="shared" si="235"/>
        <v>D7R-SOF</v>
      </c>
    </row>
    <row r="3734" spans="1:13" ht="14.25" customHeight="true">
      <c r="A3734" s="33" t="str">
        <f t="shared" si="232"/>
        <v>SOF - Intercompany</v>
      </c>
      <c r="B3734" s="33" t="str">
        <f t="shared" si="233"/>
        <v>SOF</v>
      </c>
      <c r="C3734" s="33" t="str">
        <f t="shared" si="234"/>
        <v>11215-0000</v>
      </c>
      <c r="D3734" t="s">
        <v>27175</v>
      </c>
      <c r="E3734" t="s">
        <v>14087</v>
      </c>
      <c r="F3734" t="s">
        <v>14039</v>
      </c>
      <c r="G3734" t="s">
        <v>14672</v>
      </c>
      <c r="H3734" t="s">
        <v>13869</v>
      </c>
      <c r="I3734" t="s">
        <v>14690</v>
      </c>
      <c r="J3734" s="62">
        <v>0</v>
      </c>
      <c r="K3734" s="62">
        <v>0</v>
      </c>
      <c r="L3734" t="str">
        <f>VLOOKUP(VALUE(LEFT(C3734,5)),Xref!A:B,2,0)</f>
        <v>CDP</v>
      </c>
      <c r="M3734" t="str">
        <f t="shared" si="235"/>
        <v>CDP-SOF</v>
      </c>
    </row>
    <row r="3735" spans="1:13" ht="14.25" customHeight="true">
      <c r="A3735" s="33" t="str">
        <f t="shared" si="232"/>
        <v>SOF - Intercompany</v>
      </c>
      <c r="B3735" s="33" t="str">
        <f t="shared" si="233"/>
        <v>SOF</v>
      </c>
      <c r="C3735" s="33" t="str">
        <f t="shared" si="234"/>
        <v>11216-0000</v>
      </c>
      <c r="D3735" t="s">
        <v>12484</v>
      </c>
      <c r="E3735" t="s">
        <v>13224</v>
      </c>
      <c r="F3735" t="s">
        <v>14039</v>
      </c>
      <c r="G3735" t="s">
        <v>14672</v>
      </c>
      <c r="H3735" t="s">
        <v>13869</v>
      </c>
      <c r="I3735" t="s">
        <v>14690</v>
      </c>
      <c r="J3735" s="62">
        <v>-563.72</v>
      </c>
      <c r="K3735" s="62">
        <v>-12483.09</v>
      </c>
      <c r="L3735" t="str">
        <f>VLOOKUP(VALUE(LEFT(C3735,5)),Xref!A:B,2,0)</f>
        <v>SIL</v>
      </c>
      <c r="M3735" t="str">
        <f t="shared" si="235"/>
        <v>SIL-SOF</v>
      </c>
    </row>
    <row r="3736" spans="1:13" ht="14.25" customHeight="true">
      <c r="A3736" s="33" t="str">
        <f t="shared" si="232"/>
        <v>SOF - Intercompany</v>
      </c>
      <c r="B3736" s="33" t="str">
        <f t="shared" si="233"/>
        <v>SOF</v>
      </c>
      <c r="C3736" s="33" t="str">
        <f t="shared" si="234"/>
        <v>11232-0000</v>
      </c>
      <c r="D3736" t="s">
        <v>12485</v>
      </c>
      <c r="E3736" t="s">
        <v>12486</v>
      </c>
      <c r="F3736" t="s">
        <v>14039</v>
      </c>
      <c r="G3736" t="s">
        <v>14672</v>
      </c>
      <c r="H3736" t="s">
        <v>13869</v>
      </c>
      <c r="I3736" t="s">
        <v>14690</v>
      </c>
      <c r="J3736" s="62">
        <v>0</v>
      </c>
      <c r="K3736" s="62">
        <v>-4615899.97</v>
      </c>
      <c r="L3736" t="str">
        <f>VLOOKUP(VALUE(LEFT(C3736,5)),Xref!A:B,2,0)</f>
        <v>SC2</v>
      </c>
      <c r="M3736" t="str">
        <f t="shared" si="235"/>
        <v>SC2-SOF</v>
      </c>
    </row>
    <row r="3737" spans="1:13" ht="14.25" customHeight="true">
      <c r="A3737" s="33" t="str">
        <f t="shared" si="232"/>
        <v>SOF - Intercompany</v>
      </c>
      <c r="B3737" s="33" t="str">
        <f t="shared" si="233"/>
        <v>SOF</v>
      </c>
      <c r="C3737" s="33" t="str">
        <f t="shared" si="234"/>
        <v>11301-0000</v>
      </c>
      <c r="D3737" t="s">
        <v>27176</v>
      </c>
      <c r="E3737" t="s">
        <v>13225</v>
      </c>
      <c r="F3737" t="s">
        <v>14039</v>
      </c>
      <c r="G3737" t="s">
        <v>14672</v>
      </c>
      <c r="H3737" t="s">
        <v>13869</v>
      </c>
      <c r="I3737" t="s">
        <v>14690</v>
      </c>
      <c r="J3737" s="62">
        <v>0</v>
      </c>
      <c r="K3737" s="62">
        <v>0</v>
      </c>
      <c r="L3737" t="str">
        <f>VLOOKUP(VALUE(LEFT(C3737,5)),Xref!A:B,2,0)</f>
        <v>CRE</v>
      </c>
      <c r="M3737" t="str">
        <f t="shared" si="235"/>
        <v>CRE-SOF</v>
      </c>
    </row>
    <row r="3738" spans="1:13" ht="14.25" customHeight="true">
      <c r="A3738" s="33" t="str">
        <f t="shared" si="232"/>
        <v>SOF - Intercompany</v>
      </c>
      <c r="B3738" s="33" t="str">
        <f t="shared" si="233"/>
        <v>SOF</v>
      </c>
      <c r="C3738" s="33" t="str">
        <f t="shared" si="234"/>
        <v>11302-0000</v>
      </c>
      <c r="D3738" t="s">
        <v>27177</v>
      </c>
      <c r="E3738" t="s">
        <v>13226</v>
      </c>
      <c r="F3738" t="s">
        <v>14039</v>
      </c>
      <c r="G3738" t="s">
        <v>14672</v>
      </c>
      <c r="H3738" t="s">
        <v>13869</v>
      </c>
      <c r="I3738" t="s">
        <v>14690</v>
      </c>
      <c r="J3738" s="62">
        <v>0</v>
      </c>
      <c r="K3738" s="62">
        <v>0</v>
      </c>
      <c r="L3738" t="str">
        <f>VLOOKUP(VALUE(LEFT(C3738,5)),Xref!A:B,2,0)</f>
        <v>CHA</v>
      </c>
      <c r="M3738" t="str">
        <f t="shared" si="235"/>
        <v>CHA-SOF</v>
      </c>
    </row>
    <row r="3739" spans="1:13" ht="14.25" customHeight="true">
      <c r="A3739" s="33" t="str">
        <f t="shared" si="232"/>
        <v>SOF - Intercompany</v>
      </c>
      <c r="B3739" s="33" t="str">
        <f t="shared" si="233"/>
        <v>SOF</v>
      </c>
      <c r="C3739" s="33" t="str">
        <f t="shared" si="234"/>
        <v>11303-0000</v>
      </c>
      <c r="D3739" t="s">
        <v>27178</v>
      </c>
      <c r="E3739" t="s">
        <v>13227</v>
      </c>
      <c r="F3739" t="s">
        <v>14039</v>
      </c>
      <c r="G3739" t="s">
        <v>14672</v>
      </c>
      <c r="H3739" t="s">
        <v>13869</v>
      </c>
      <c r="I3739" t="s">
        <v>14690</v>
      </c>
      <c r="J3739" s="62">
        <v>0</v>
      </c>
      <c r="K3739" s="62">
        <v>0</v>
      </c>
      <c r="L3739" t="str">
        <f>VLOOKUP(VALUE(LEFT(C3739,5)),Xref!A:B,2,0)</f>
        <v>DIA</v>
      </c>
      <c r="M3739" t="str">
        <f t="shared" si="235"/>
        <v>DIA-SOF</v>
      </c>
    </row>
    <row r="3740" spans="1:13" ht="14.25" customHeight="true">
      <c r="A3740" s="33" t="str">
        <f t="shared" si="232"/>
        <v>SOF - Intercompany</v>
      </c>
      <c r="B3740" s="33" t="str">
        <f t="shared" si="233"/>
        <v>SOF</v>
      </c>
      <c r="C3740" s="33" t="str">
        <f t="shared" si="234"/>
        <v>11304-0000</v>
      </c>
      <c r="D3740" t="s">
        <v>27179</v>
      </c>
      <c r="E3740" t="s">
        <v>13228</v>
      </c>
      <c r="F3740" t="s">
        <v>14039</v>
      </c>
      <c r="G3740" t="s">
        <v>14672</v>
      </c>
      <c r="H3740" t="s">
        <v>13869</v>
      </c>
      <c r="I3740" t="s">
        <v>14690</v>
      </c>
      <c r="J3740" s="62">
        <v>0</v>
      </c>
      <c r="K3740" s="62">
        <v>0</v>
      </c>
      <c r="L3740" t="str">
        <f>VLOOKUP(VALUE(LEFT(C3740,5)),Xref!A:B,2,0)</f>
        <v>EAG</v>
      </c>
      <c r="M3740" t="str">
        <f t="shared" si="235"/>
        <v>EAG-SOF</v>
      </c>
    </row>
    <row r="3741" spans="1:13" ht="14.25" customHeight="true">
      <c r="A3741" s="33" t="str">
        <f t="shared" si="232"/>
        <v>SOF - Intercompany</v>
      </c>
      <c r="B3741" s="33" t="str">
        <f t="shared" si="233"/>
        <v>SOF</v>
      </c>
      <c r="C3741" s="33" t="str">
        <f t="shared" si="234"/>
        <v>11305-0000</v>
      </c>
      <c r="D3741" t="s">
        <v>27180</v>
      </c>
      <c r="E3741" t="s">
        <v>13229</v>
      </c>
      <c r="F3741" t="s">
        <v>14039</v>
      </c>
      <c r="G3741" t="s">
        <v>14672</v>
      </c>
      <c r="H3741" t="s">
        <v>13869</v>
      </c>
      <c r="I3741" t="s">
        <v>14690</v>
      </c>
      <c r="J3741" s="62">
        <v>0</v>
      </c>
      <c r="K3741" s="62">
        <v>0</v>
      </c>
      <c r="L3741" t="str">
        <f>VLOOKUP(VALUE(LEFT(C3741,5)),Xref!A:B,2,0)</f>
        <v>NEW</v>
      </c>
      <c r="M3741" t="str">
        <f t="shared" si="235"/>
        <v>NEW-SOF</v>
      </c>
    </row>
    <row r="3742" spans="1:13" ht="14.25" customHeight="true">
      <c r="A3742" s="33" t="str">
        <f t="shared" si="232"/>
        <v>SOF - Intercompany</v>
      </c>
      <c r="B3742" s="33" t="str">
        <f t="shared" si="233"/>
        <v>SOF</v>
      </c>
      <c r="C3742" s="33" t="str">
        <f t="shared" si="234"/>
        <v>11307-0000</v>
      </c>
      <c r="D3742" t="s">
        <v>27181</v>
      </c>
      <c r="E3742" t="s">
        <v>14096</v>
      </c>
      <c r="F3742" t="s">
        <v>14039</v>
      </c>
      <c r="G3742" t="s">
        <v>14672</v>
      </c>
      <c r="H3742" t="s">
        <v>13869</v>
      </c>
      <c r="I3742" t="s">
        <v>14690</v>
      </c>
      <c r="J3742" s="62">
        <v>0</v>
      </c>
      <c r="K3742" s="62">
        <v>0</v>
      </c>
      <c r="L3742" t="str">
        <f>VLOOKUP(VALUE(LEFT(C3742,5)),Xref!A:B,2,0)</f>
        <v>NES</v>
      </c>
      <c r="M3742" t="str">
        <f t="shared" si="235"/>
        <v>NES-SOF</v>
      </c>
    </row>
    <row r="3743" spans="1:13" ht="14.25" customHeight="true">
      <c r="A3743" s="33" t="str">
        <f t="shared" si="232"/>
        <v>SOF - Intercompany</v>
      </c>
      <c r="B3743" s="33" t="str">
        <f t="shared" si="233"/>
        <v>SOF</v>
      </c>
      <c r="C3743" s="33" t="str">
        <f t="shared" si="234"/>
        <v>11308-0000</v>
      </c>
      <c r="D3743" t="s">
        <v>27182</v>
      </c>
      <c r="E3743" t="s">
        <v>13476</v>
      </c>
      <c r="F3743" t="s">
        <v>14039</v>
      </c>
      <c r="G3743" t="s">
        <v>14672</v>
      </c>
      <c r="H3743" t="s">
        <v>13869</v>
      </c>
      <c r="I3743" t="s">
        <v>14690</v>
      </c>
      <c r="J3743" s="62">
        <v>0</v>
      </c>
      <c r="K3743" s="62">
        <v>0</v>
      </c>
      <c r="L3743" t="str">
        <f>VLOOKUP(VALUE(LEFT(C3743,5)),Xref!A:B,2,0)</f>
        <v>LPI</v>
      </c>
      <c r="M3743" t="str">
        <f t="shared" si="235"/>
        <v>LPI-SOF</v>
      </c>
    </row>
    <row r="3744" spans="1:13" ht="14.25" customHeight="true">
      <c r="A3744" s="33" t="str">
        <f t="shared" si="232"/>
        <v>SOF - Intercompany</v>
      </c>
      <c r="B3744" s="33" t="str">
        <f t="shared" si="233"/>
        <v>SOF</v>
      </c>
      <c r="C3744" s="33" t="str">
        <f t="shared" si="234"/>
        <v>11309-0000</v>
      </c>
      <c r="D3744" t="s">
        <v>27183</v>
      </c>
      <c r="E3744" t="s">
        <v>13230</v>
      </c>
      <c r="F3744" t="s">
        <v>14039</v>
      </c>
      <c r="G3744" t="s">
        <v>14672</v>
      </c>
      <c r="H3744" t="s">
        <v>13869</v>
      </c>
      <c r="I3744" t="s">
        <v>14690</v>
      </c>
      <c r="J3744" s="62">
        <v>0</v>
      </c>
      <c r="K3744" s="62">
        <v>0</v>
      </c>
      <c r="L3744" t="str">
        <f>VLOOKUP(VALUE(LEFT(C3744,5)),Xref!A:B,2,0)</f>
        <v>GPI</v>
      </c>
      <c r="M3744" t="str">
        <f t="shared" si="235"/>
        <v>GPI-SOF</v>
      </c>
    </row>
    <row r="3745" spans="1:13" ht="14.25" customHeight="true">
      <c r="A3745" s="33" t="str">
        <f t="shared" si="232"/>
        <v>SOF - Intercompany</v>
      </c>
      <c r="B3745" s="33" t="str">
        <f t="shared" si="233"/>
        <v>SOF</v>
      </c>
      <c r="C3745" s="33" t="str">
        <f t="shared" si="234"/>
        <v>11310-0000</v>
      </c>
      <c r="D3745" t="s">
        <v>27184</v>
      </c>
      <c r="E3745" t="s">
        <v>13231</v>
      </c>
      <c r="F3745" t="s">
        <v>14039</v>
      </c>
      <c r="G3745" t="s">
        <v>14672</v>
      </c>
      <c r="H3745" t="s">
        <v>13869</v>
      </c>
      <c r="I3745" t="s">
        <v>14690</v>
      </c>
      <c r="J3745" s="62">
        <v>0</v>
      </c>
      <c r="K3745" s="62">
        <v>0</v>
      </c>
      <c r="L3745" t="str">
        <f>VLOOKUP(VALUE(LEFT(C3745,5)),Xref!A:B,2,0)</f>
        <v>ALP</v>
      </c>
      <c r="M3745" t="str">
        <f t="shared" si="235"/>
        <v>ALP-SOF</v>
      </c>
    </row>
    <row r="3746" spans="1:13" ht="14.25" customHeight="true">
      <c r="A3746" s="33" t="str">
        <f t="shared" si="232"/>
        <v>SOF - Intercompany</v>
      </c>
      <c r="B3746" s="33" t="str">
        <f t="shared" si="233"/>
        <v>SOF</v>
      </c>
      <c r="C3746" s="33" t="str">
        <f t="shared" si="234"/>
        <v>11311-0000</v>
      </c>
      <c r="D3746" t="s">
        <v>27185</v>
      </c>
      <c r="E3746" t="s">
        <v>13232</v>
      </c>
      <c r="F3746" t="s">
        <v>14039</v>
      </c>
      <c r="G3746" t="s">
        <v>14672</v>
      </c>
      <c r="H3746" t="s">
        <v>13869</v>
      </c>
      <c r="I3746" t="s">
        <v>14690</v>
      </c>
      <c r="J3746" s="62">
        <v>0</v>
      </c>
      <c r="K3746" s="62">
        <v>0</v>
      </c>
      <c r="L3746" t="str">
        <f>VLOOKUP(VALUE(LEFT(C3746,5)),Xref!A:B,2,0)</f>
        <v>BET</v>
      </c>
      <c r="M3746" t="str">
        <f t="shared" si="235"/>
        <v>BET-SOF</v>
      </c>
    </row>
    <row r="3747" spans="1:13" ht="14.25" customHeight="true">
      <c r="A3747" s="33" t="str">
        <f t="shared" si="232"/>
        <v>SOF - Intercompany</v>
      </c>
      <c r="B3747" s="33" t="str">
        <f t="shared" si="233"/>
        <v>SOF</v>
      </c>
      <c r="C3747" s="33" t="str">
        <f t="shared" si="234"/>
        <v>11312-0000</v>
      </c>
      <c r="D3747" t="s">
        <v>27186</v>
      </c>
      <c r="E3747" t="s">
        <v>14102</v>
      </c>
      <c r="F3747" t="s">
        <v>14039</v>
      </c>
      <c r="G3747" t="s">
        <v>14672</v>
      </c>
      <c r="H3747" t="s">
        <v>13869</v>
      </c>
      <c r="I3747" t="s">
        <v>14690</v>
      </c>
      <c r="J3747" s="62">
        <v>0</v>
      </c>
      <c r="K3747" s="62">
        <v>0</v>
      </c>
      <c r="L3747" t="str">
        <f>VLOOKUP(VALUE(LEFT(C3747,5)),Xref!A:B,2,0)</f>
        <v>DEL</v>
      </c>
      <c r="M3747" t="str">
        <f t="shared" si="235"/>
        <v>DEL-SOF</v>
      </c>
    </row>
    <row r="3748" spans="1:13" ht="14.25" customHeight="true">
      <c r="A3748" s="33" t="str">
        <f t="shared" si="232"/>
        <v>SOF - Intercompany</v>
      </c>
      <c r="B3748" s="33" t="str">
        <f t="shared" si="233"/>
        <v>SOF</v>
      </c>
      <c r="C3748" s="33" t="str">
        <f t="shared" si="234"/>
        <v>11313-0000</v>
      </c>
      <c r="D3748" t="s">
        <v>27187</v>
      </c>
      <c r="E3748" t="s">
        <v>13233</v>
      </c>
      <c r="F3748" t="s">
        <v>14039</v>
      </c>
      <c r="G3748" t="s">
        <v>14672</v>
      </c>
      <c r="H3748" t="s">
        <v>13869</v>
      </c>
      <c r="I3748" t="s">
        <v>14690</v>
      </c>
      <c r="J3748" s="62">
        <v>0</v>
      </c>
      <c r="K3748" s="62">
        <v>0</v>
      </c>
      <c r="L3748" t="str">
        <f>VLOOKUP(VALUE(LEFT(C3748,5)),Xref!A:B,2,0)</f>
        <v>DOL</v>
      </c>
      <c r="M3748" t="str">
        <f t="shared" si="235"/>
        <v>DOL-SOF</v>
      </c>
    </row>
    <row r="3749" spans="1:13" ht="14.25" customHeight="true">
      <c r="A3749" s="33" t="str">
        <f t="shared" si="232"/>
        <v>SOF - Intercompany</v>
      </c>
      <c r="B3749" s="33" t="str">
        <f t="shared" si="233"/>
        <v>SOF</v>
      </c>
      <c r="C3749" s="33" t="str">
        <f t="shared" si="234"/>
        <v>11314-0000</v>
      </c>
      <c r="D3749" t="s">
        <v>27188</v>
      </c>
      <c r="E3749" t="s">
        <v>13351</v>
      </c>
      <c r="F3749" t="s">
        <v>14039</v>
      </c>
      <c r="G3749" t="s">
        <v>14672</v>
      </c>
      <c r="H3749" t="s">
        <v>13869</v>
      </c>
      <c r="I3749" t="s">
        <v>14690</v>
      </c>
      <c r="J3749" s="62">
        <v>0</v>
      </c>
      <c r="K3749" s="62">
        <v>0</v>
      </c>
      <c r="L3749" t="str">
        <f>VLOOKUP(VALUE(LEFT(C3749,5)),Xref!A:B,2,0)</f>
        <v>GRI</v>
      </c>
      <c r="M3749" t="str">
        <f t="shared" si="235"/>
        <v>GRI-SOF</v>
      </c>
    </row>
    <row r="3750" spans="1:13" ht="14.25" customHeight="true">
      <c r="A3750" s="33" t="str">
        <f t="shared" si="232"/>
        <v>SOF - Intercompany</v>
      </c>
      <c r="B3750" s="33" t="str">
        <f t="shared" si="233"/>
        <v>SOF</v>
      </c>
      <c r="C3750" s="33" t="str">
        <f t="shared" si="234"/>
        <v>11315-0000</v>
      </c>
      <c r="D3750" t="s">
        <v>27189</v>
      </c>
      <c r="E3750" t="s">
        <v>13234</v>
      </c>
      <c r="F3750" t="s">
        <v>14039</v>
      </c>
      <c r="G3750" t="s">
        <v>14672</v>
      </c>
      <c r="H3750" t="s">
        <v>13869</v>
      </c>
      <c r="I3750" t="s">
        <v>14690</v>
      </c>
      <c r="J3750" s="62">
        <v>0</v>
      </c>
      <c r="K3750" s="62">
        <v>0</v>
      </c>
      <c r="L3750" t="str">
        <f>VLOOKUP(VALUE(LEFT(C3750,5)),Xref!A:B,2,0)</f>
        <v>PUR</v>
      </c>
      <c r="M3750" t="str">
        <f t="shared" si="235"/>
        <v>PUR-SOF</v>
      </c>
    </row>
    <row r="3751" spans="1:13" ht="14.25" customHeight="true">
      <c r="A3751" s="33" t="str">
        <f t="shared" si="232"/>
        <v>SOF - Intercompany</v>
      </c>
      <c r="B3751" s="33" t="str">
        <f t="shared" si="233"/>
        <v>SOF</v>
      </c>
      <c r="C3751" s="33" t="str">
        <f t="shared" si="234"/>
        <v>11316-0000</v>
      </c>
      <c r="D3751" t="s">
        <v>27190</v>
      </c>
      <c r="E3751" t="s">
        <v>13235</v>
      </c>
      <c r="F3751" t="s">
        <v>14039</v>
      </c>
      <c r="G3751" t="s">
        <v>14672</v>
      </c>
      <c r="H3751" t="s">
        <v>13869</v>
      </c>
      <c r="I3751" t="s">
        <v>14690</v>
      </c>
      <c r="J3751" s="62">
        <v>0</v>
      </c>
      <c r="K3751" s="62">
        <v>0</v>
      </c>
      <c r="L3751" t="str">
        <f>VLOOKUP(VALUE(LEFT(C3751,5)),Xref!A:B,2,0)</f>
        <v>VAL</v>
      </c>
      <c r="M3751" t="str">
        <f t="shared" si="235"/>
        <v>SOF-VAL</v>
      </c>
    </row>
    <row r="3752" spans="1:13" ht="14.25" customHeight="true">
      <c r="A3752" s="33" t="str">
        <f t="shared" si="232"/>
        <v>SOF - Intercompany</v>
      </c>
      <c r="B3752" s="33" t="str">
        <f t="shared" si="233"/>
        <v>SOF</v>
      </c>
      <c r="C3752" s="33" t="str">
        <f t="shared" si="234"/>
        <v>11317-0000</v>
      </c>
      <c r="D3752" t="s">
        <v>27191</v>
      </c>
      <c r="E3752" t="s">
        <v>13352</v>
      </c>
      <c r="F3752" t="s">
        <v>14039</v>
      </c>
      <c r="G3752" t="s">
        <v>14672</v>
      </c>
      <c r="H3752" t="s">
        <v>13869</v>
      </c>
      <c r="I3752" t="s">
        <v>14690</v>
      </c>
      <c r="J3752" s="62">
        <v>0</v>
      </c>
      <c r="K3752" s="62">
        <v>0</v>
      </c>
      <c r="L3752" t="str">
        <f>VLOOKUP(VALUE(LEFT(C3752,5)),Xref!A:B,2,0)</f>
        <v>AKG</v>
      </c>
      <c r="M3752" t="str">
        <f t="shared" si="235"/>
        <v>AKG-SOF</v>
      </c>
    </row>
    <row r="3753" spans="1:13" ht="14.25" customHeight="true">
      <c r="A3753" s="33" t="str">
        <f t="shared" si="232"/>
        <v>SOF - Intercompany</v>
      </c>
      <c r="B3753" s="33" t="str">
        <f t="shared" si="233"/>
        <v>SOF</v>
      </c>
      <c r="C3753" s="33" t="str">
        <f t="shared" si="234"/>
        <v>11318-0000</v>
      </c>
      <c r="D3753" t="s">
        <v>27192</v>
      </c>
      <c r="E3753" t="s">
        <v>13477</v>
      </c>
      <c r="F3753" t="s">
        <v>14039</v>
      </c>
      <c r="G3753" t="s">
        <v>14672</v>
      </c>
      <c r="H3753" t="s">
        <v>13869</v>
      </c>
      <c r="I3753" t="s">
        <v>14690</v>
      </c>
      <c r="J3753" s="62">
        <v>0</v>
      </c>
      <c r="K3753" s="62">
        <v>0</v>
      </c>
      <c r="L3753" t="str">
        <f>VLOOKUP(VALUE(LEFT(C3753,5)),Xref!A:B,2,0)</f>
        <v>FIR</v>
      </c>
      <c r="M3753" t="str">
        <f t="shared" si="235"/>
        <v>FIR-SOF</v>
      </c>
    </row>
    <row r="3754" spans="1:13" ht="14.25" customHeight="true">
      <c r="A3754" s="33" t="str">
        <f t="shared" si="232"/>
        <v>SOF - Intercompany</v>
      </c>
      <c r="B3754" s="33" t="str">
        <f t="shared" si="233"/>
        <v>SOF</v>
      </c>
      <c r="C3754" s="33" t="str">
        <f t="shared" si="234"/>
        <v>11319-0000</v>
      </c>
      <c r="D3754" t="s">
        <v>27193</v>
      </c>
      <c r="E3754" t="s">
        <v>266</v>
      </c>
      <c r="F3754" t="s">
        <v>14039</v>
      </c>
      <c r="G3754" t="s">
        <v>14672</v>
      </c>
      <c r="H3754" t="s">
        <v>13869</v>
      </c>
      <c r="I3754" t="s">
        <v>14690</v>
      </c>
      <c r="J3754" s="62">
        <v>0</v>
      </c>
      <c r="K3754" s="62">
        <v>0</v>
      </c>
      <c r="L3754" t="str">
        <f>VLOOKUP(VALUE(LEFT(C3754,5)),Xref!A:B,2,0)</f>
        <v>GST</v>
      </c>
      <c r="M3754" t="str">
        <f t="shared" si="235"/>
        <v>GST-SOF</v>
      </c>
    </row>
    <row r="3755" spans="1:13" ht="14.25" customHeight="true">
      <c r="A3755" s="33" t="str">
        <f t="shared" si="232"/>
        <v>SOF - Intercompany</v>
      </c>
      <c r="B3755" s="33" t="str">
        <f t="shared" si="233"/>
        <v>SOF</v>
      </c>
      <c r="C3755" s="33" t="str">
        <f t="shared" si="234"/>
        <v>11320-0000</v>
      </c>
      <c r="D3755" t="s">
        <v>27194</v>
      </c>
      <c r="E3755" t="s">
        <v>14111</v>
      </c>
      <c r="F3755" t="s">
        <v>14039</v>
      </c>
      <c r="G3755" t="s">
        <v>14672</v>
      </c>
      <c r="H3755" t="s">
        <v>13869</v>
      </c>
      <c r="I3755" t="s">
        <v>14690</v>
      </c>
      <c r="J3755" s="62">
        <v>0</v>
      </c>
      <c r="K3755" s="62">
        <v>0</v>
      </c>
      <c r="L3755" t="str">
        <f>VLOOKUP(VALUE(LEFT(C3755,5)),Xref!A:B,2,0)</f>
        <v>HDN</v>
      </c>
      <c r="M3755" t="str">
        <f t="shared" si="235"/>
        <v>HDN-SOF</v>
      </c>
    </row>
    <row r="3756" spans="1:13" ht="14.25" customHeight="true">
      <c r="A3756" s="33" t="str">
        <f t="shared" si="232"/>
        <v>SOF - Intercompany</v>
      </c>
      <c r="B3756" s="33" t="str">
        <f t="shared" si="233"/>
        <v>SOF</v>
      </c>
      <c r="C3756" s="33" t="str">
        <f t="shared" si="234"/>
        <v>11321-0000</v>
      </c>
      <c r="D3756" t="s">
        <v>27195</v>
      </c>
      <c r="E3756" t="s">
        <v>13236</v>
      </c>
      <c r="F3756" t="s">
        <v>14039</v>
      </c>
      <c r="G3756" t="s">
        <v>14672</v>
      </c>
      <c r="H3756" t="s">
        <v>13869</v>
      </c>
      <c r="I3756" t="s">
        <v>14690</v>
      </c>
      <c r="J3756" s="62">
        <v>0</v>
      </c>
      <c r="K3756" s="62">
        <v>0</v>
      </c>
      <c r="L3756" t="str">
        <f>VLOOKUP(VALUE(LEFT(C3756,5)),Xref!A:B,2,0)</f>
        <v>OVA</v>
      </c>
      <c r="M3756" t="str">
        <f t="shared" si="235"/>
        <v>OVA-SOF</v>
      </c>
    </row>
    <row r="3757" spans="1:13" ht="14.25" customHeight="true">
      <c r="A3757" s="33" t="str">
        <f t="shared" si="232"/>
        <v>SOF - Intercompany</v>
      </c>
      <c r="B3757" s="33" t="str">
        <f t="shared" si="233"/>
        <v>SOF</v>
      </c>
      <c r="C3757" s="33" t="str">
        <f t="shared" si="234"/>
        <v>11322-0000</v>
      </c>
      <c r="D3757" t="s">
        <v>27196</v>
      </c>
      <c r="E3757" t="s">
        <v>13237</v>
      </c>
      <c r="F3757" t="s">
        <v>14039</v>
      </c>
      <c r="G3757" t="s">
        <v>14672</v>
      </c>
      <c r="H3757" t="s">
        <v>13869</v>
      </c>
      <c r="I3757" t="s">
        <v>14690</v>
      </c>
      <c r="J3757" s="62">
        <v>0</v>
      </c>
      <c r="K3757" s="62">
        <v>0</v>
      </c>
      <c r="L3757" t="str">
        <f>VLOOKUP(VALUE(LEFT(C3757,5)),Xref!A:B,2,0)</f>
        <v>WOO</v>
      </c>
      <c r="M3757" t="str">
        <f t="shared" si="235"/>
        <v>SOF-WOO</v>
      </c>
    </row>
    <row r="3758" spans="1:13" ht="14.25" customHeight="true">
      <c r="A3758" s="33" t="str">
        <f t="shared" si="232"/>
        <v>SOF - Intercompany</v>
      </c>
      <c r="B3758" s="33" t="str">
        <f t="shared" si="233"/>
        <v>SOF</v>
      </c>
      <c r="C3758" s="33" t="str">
        <f t="shared" si="234"/>
        <v>11323-0000</v>
      </c>
      <c r="D3758" t="s">
        <v>12487</v>
      </c>
      <c r="E3758" t="s">
        <v>13478</v>
      </c>
      <c r="F3758" t="s">
        <v>14039</v>
      </c>
      <c r="G3758" t="s">
        <v>14672</v>
      </c>
      <c r="H3758" t="s">
        <v>13869</v>
      </c>
      <c r="I3758" t="s">
        <v>14690</v>
      </c>
      <c r="J3758" s="62">
        <v>0</v>
      </c>
      <c r="K3758" s="62">
        <v>-448336.6</v>
      </c>
      <c r="L3758" t="str">
        <f>VLOOKUP(VALUE(LEFT(C3758,5)),Xref!A:B,2,0)</f>
        <v>SPI</v>
      </c>
      <c r="M3758" t="str">
        <f t="shared" si="235"/>
        <v>SOF-SPI</v>
      </c>
    </row>
    <row r="3759" spans="1:13" ht="14.25" customHeight="true">
      <c r="A3759" s="33" t="str">
        <f t="shared" si="232"/>
        <v>SOF - Intercompany</v>
      </c>
      <c r="B3759" s="33" t="str">
        <f t="shared" si="233"/>
        <v>SOF</v>
      </c>
      <c r="C3759" s="33" t="str">
        <f t="shared" si="234"/>
        <v>11324-0000</v>
      </c>
      <c r="D3759" t="s">
        <v>27197</v>
      </c>
      <c r="E3759" t="s">
        <v>13238</v>
      </c>
      <c r="F3759" t="s">
        <v>14039</v>
      </c>
      <c r="G3759" t="s">
        <v>14672</v>
      </c>
      <c r="H3759" t="s">
        <v>13869</v>
      </c>
      <c r="I3759" t="s">
        <v>14690</v>
      </c>
      <c r="J3759" s="62">
        <v>0</v>
      </c>
      <c r="K3759" s="62">
        <v>0</v>
      </c>
      <c r="L3759" t="str">
        <f>VLOOKUP(VALUE(LEFT(C3759,5)),Xref!A:B,2,0)</f>
        <v>NET</v>
      </c>
      <c r="M3759" t="str">
        <f t="shared" si="235"/>
        <v>NET-SOF</v>
      </c>
    </row>
    <row r="3760" spans="1:13" ht="14.25" customHeight="true">
      <c r="A3760" s="33" t="str">
        <f t="shared" si="232"/>
        <v>SOF - Intercompany</v>
      </c>
      <c r="B3760" s="33" t="str">
        <f t="shared" si="233"/>
        <v>SOF</v>
      </c>
      <c r="C3760" s="33" t="str">
        <f t="shared" si="234"/>
        <v>11325-0000</v>
      </c>
      <c r="D3760" t="s">
        <v>27198</v>
      </c>
      <c r="E3760" t="s">
        <v>13239</v>
      </c>
      <c r="F3760" t="s">
        <v>14039</v>
      </c>
      <c r="G3760" t="s">
        <v>14672</v>
      </c>
      <c r="H3760" t="s">
        <v>13869</v>
      </c>
      <c r="I3760" t="s">
        <v>14690</v>
      </c>
      <c r="J3760" s="62">
        <v>0</v>
      </c>
      <c r="K3760" s="62">
        <v>0</v>
      </c>
      <c r="L3760" t="str">
        <f>VLOOKUP(VALUE(LEFT(C3760,5)),Xref!A:B,2,0)</f>
        <v>DPI</v>
      </c>
      <c r="M3760" t="str">
        <f t="shared" si="235"/>
        <v>DPI-SOF</v>
      </c>
    </row>
    <row r="3761" spans="1:13" ht="14.25" customHeight="true">
      <c r="A3761" s="33" t="str">
        <f t="shared" si="232"/>
        <v>SOF - Intercompany</v>
      </c>
      <c r="B3761" s="33" t="str">
        <f t="shared" si="233"/>
        <v>SOF</v>
      </c>
      <c r="C3761" s="33" t="str">
        <f t="shared" si="234"/>
        <v>11326-0000</v>
      </c>
      <c r="D3761" t="s">
        <v>27199</v>
      </c>
      <c r="E3761" t="s">
        <v>13240</v>
      </c>
      <c r="F3761" t="s">
        <v>14039</v>
      </c>
      <c r="G3761" t="s">
        <v>14672</v>
      </c>
      <c r="H3761" t="s">
        <v>13869</v>
      </c>
      <c r="I3761" t="s">
        <v>14690</v>
      </c>
      <c r="J3761" s="62">
        <v>0</v>
      </c>
      <c r="K3761" s="62">
        <v>0</v>
      </c>
      <c r="L3761" t="str">
        <f>VLOOKUP(VALUE(LEFT(C3761,5)),Xref!A:B,2,0)</f>
        <v>SEK</v>
      </c>
      <c r="M3761" t="str">
        <f t="shared" si="235"/>
        <v>SEK-SOF</v>
      </c>
    </row>
    <row r="3762" spans="1:13" ht="14.25" customHeight="true">
      <c r="A3762" s="33" t="str">
        <f t="shared" si="232"/>
        <v>SOF - Intercompany</v>
      </c>
      <c r="B3762" s="33" t="str">
        <f t="shared" si="233"/>
        <v>SOF</v>
      </c>
      <c r="C3762" s="33" t="str">
        <f t="shared" si="234"/>
        <v>11327-0000</v>
      </c>
      <c r="D3762" t="s">
        <v>27200</v>
      </c>
      <c r="E3762" t="s">
        <v>14119</v>
      </c>
      <c r="F3762" t="s">
        <v>14039</v>
      </c>
      <c r="G3762" t="s">
        <v>14672</v>
      </c>
      <c r="H3762" t="s">
        <v>13869</v>
      </c>
      <c r="I3762" t="s">
        <v>14690</v>
      </c>
      <c r="J3762" s="62">
        <v>0</v>
      </c>
      <c r="K3762" s="62">
        <v>0</v>
      </c>
      <c r="L3762" t="str">
        <f>VLOOKUP(VALUE(LEFT(C3762,5)),Xref!A:B,2,0)</f>
        <v>CPI</v>
      </c>
      <c r="M3762" t="str">
        <f t="shared" si="235"/>
        <v>CPI-SOF</v>
      </c>
    </row>
    <row r="3763" spans="1:13" ht="14.25" customHeight="true">
      <c r="A3763" s="33" t="str">
        <f t="shared" si="232"/>
        <v>SOF - Intercompany</v>
      </c>
      <c r="B3763" s="33" t="str">
        <f t="shared" si="233"/>
        <v>SOF</v>
      </c>
      <c r="C3763" s="33" t="str">
        <f t="shared" si="234"/>
        <v>11328-0000</v>
      </c>
      <c r="D3763" t="s">
        <v>27201</v>
      </c>
      <c r="E3763" t="s">
        <v>13241</v>
      </c>
      <c r="F3763" t="s">
        <v>14039</v>
      </c>
      <c r="G3763" t="s">
        <v>14672</v>
      </c>
      <c r="H3763" t="s">
        <v>13869</v>
      </c>
      <c r="I3763" t="s">
        <v>14690</v>
      </c>
      <c r="J3763" s="62">
        <v>0</v>
      </c>
      <c r="K3763" s="62">
        <v>0</v>
      </c>
      <c r="L3763" t="str">
        <f>VLOOKUP(VALUE(LEFT(C3763,5)),Xref!A:B,2,0)</f>
        <v>LOM</v>
      </c>
      <c r="M3763" t="str">
        <f t="shared" si="235"/>
        <v>LOM-SOF</v>
      </c>
    </row>
    <row r="3764" spans="1:13" ht="14.25" customHeight="true">
      <c r="A3764" s="33" t="str">
        <f t="shared" si="232"/>
        <v>SOF - Intercompany</v>
      </c>
      <c r="B3764" s="33" t="str">
        <f t="shared" si="233"/>
        <v>SOF</v>
      </c>
      <c r="C3764" s="33" t="str">
        <f t="shared" si="234"/>
        <v>11329-0000</v>
      </c>
      <c r="D3764" t="s">
        <v>27202</v>
      </c>
      <c r="E3764" t="s">
        <v>13353</v>
      </c>
      <c r="F3764" t="s">
        <v>14039</v>
      </c>
      <c r="G3764" t="s">
        <v>14672</v>
      </c>
      <c r="H3764" t="s">
        <v>13869</v>
      </c>
      <c r="I3764" t="s">
        <v>14690</v>
      </c>
      <c r="J3764" s="62">
        <v>0</v>
      </c>
      <c r="K3764" s="62">
        <v>0</v>
      </c>
      <c r="L3764" t="str">
        <f>VLOOKUP(VALUE(LEFT(C3764,5)),Xref!A:B,2,0)</f>
        <v>AKS</v>
      </c>
      <c r="M3764" t="str">
        <f t="shared" si="235"/>
        <v>AKS-SOF</v>
      </c>
    </row>
    <row r="3765" spans="1:13" ht="14.25" customHeight="true">
      <c r="A3765" s="33" t="str">
        <f t="shared" si="232"/>
        <v>SOF - Intercompany</v>
      </c>
      <c r="B3765" s="33" t="str">
        <f t="shared" si="233"/>
        <v>SOF</v>
      </c>
      <c r="C3765" s="33" t="str">
        <f t="shared" si="234"/>
        <v>11330-0000</v>
      </c>
      <c r="D3765" t="s">
        <v>27203</v>
      </c>
      <c r="E3765" t="s">
        <v>13242</v>
      </c>
      <c r="F3765" t="s">
        <v>14039</v>
      </c>
      <c r="G3765" t="s">
        <v>14672</v>
      </c>
      <c r="H3765" t="s">
        <v>13869</v>
      </c>
      <c r="I3765" t="s">
        <v>14690</v>
      </c>
      <c r="J3765" s="62">
        <v>0</v>
      </c>
      <c r="K3765" s="62">
        <v>0</v>
      </c>
      <c r="L3765" t="str">
        <f>VLOOKUP(VALUE(LEFT(C3765,5)),Xref!A:B,2,0)</f>
        <v>MAR</v>
      </c>
      <c r="M3765" t="str">
        <f t="shared" si="235"/>
        <v>MAR-SOF</v>
      </c>
    </row>
    <row r="3766" spans="1:13" ht="14.25" customHeight="true">
      <c r="A3766" s="33" t="str">
        <f t="shared" si="232"/>
        <v>SOF - Intercompany</v>
      </c>
      <c r="B3766" s="33" t="str">
        <f t="shared" si="233"/>
        <v>SOF</v>
      </c>
      <c r="C3766" s="33" t="str">
        <f t="shared" si="234"/>
        <v>11331-0000</v>
      </c>
      <c r="D3766" t="s">
        <v>27204</v>
      </c>
      <c r="E3766" t="s">
        <v>13354</v>
      </c>
      <c r="F3766" t="s">
        <v>14039</v>
      </c>
      <c r="G3766" t="s">
        <v>14672</v>
      </c>
      <c r="H3766" t="s">
        <v>13869</v>
      </c>
      <c r="I3766" t="s">
        <v>14690</v>
      </c>
      <c r="J3766" s="62">
        <v>0</v>
      </c>
      <c r="K3766" s="62">
        <v>0</v>
      </c>
      <c r="L3766" t="str">
        <f>VLOOKUP(VALUE(LEFT(C3766,5)),Xref!A:B,2,0)</f>
        <v>WIL</v>
      </c>
      <c r="M3766" t="str">
        <f t="shared" si="235"/>
        <v>SOF-WIL</v>
      </c>
    </row>
    <row r="3767" spans="1:13" ht="14.25" customHeight="true">
      <c r="A3767" s="33" t="str">
        <f t="shared" si="232"/>
        <v>SOF - Intercompany</v>
      </c>
      <c r="B3767" s="33" t="str">
        <f t="shared" si="233"/>
        <v>SOF</v>
      </c>
      <c r="C3767" s="33" t="str">
        <f t="shared" si="234"/>
        <v>11332-0000</v>
      </c>
      <c r="D3767" t="s">
        <v>27205</v>
      </c>
      <c r="E3767" t="s">
        <v>13243</v>
      </c>
      <c r="F3767" t="s">
        <v>14039</v>
      </c>
      <c r="G3767" t="s">
        <v>14672</v>
      </c>
      <c r="H3767" t="s">
        <v>13869</v>
      </c>
      <c r="I3767" t="s">
        <v>14690</v>
      </c>
      <c r="J3767" s="62">
        <v>0</v>
      </c>
      <c r="K3767" s="62">
        <v>0</v>
      </c>
      <c r="L3767" t="str">
        <f>VLOOKUP(VALUE(LEFT(C3767,5)),Xref!A:B,2,0)</f>
        <v>STO</v>
      </c>
      <c r="M3767" t="str">
        <f t="shared" si="235"/>
        <v>SOF-STO</v>
      </c>
    </row>
    <row r="3768" spans="1:13" ht="14.25" customHeight="true">
      <c r="A3768" s="33" t="str">
        <f t="shared" si="232"/>
        <v>SOF - Intercompany</v>
      </c>
      <c r="B3768" s="33" t="str">
        <f t="shared" si="233"/>
        <v>SOF</v>
      </c>
      <c r="C3768" s="33" t="str">
        <f t="shared" si="234"/>
        <v>11333-0000</v>
      </c>
      <c r="D3768" t="s">
        <v>27206</v>
      </c>
      <c r="E3768" t="s">
        <v>13244</v>
      </c>
      <c r="F3768" t="s">
        <v>14039</v>
      </c>
      <c r="G3768" t="s">
        <v>14672</v>
      </c>
      <c r="H3768" t="s">
        <v>13869</v>
      </c>
      <c r="I3768" t="s">
        <v>14690</v>
      </c>
      <c r="J3768" s="62">
        <v>0</v>
      </c>
      <c r="K3768" s="62">
        <v>0</v>
      </c>
      <c r="L3768" t="str">
        <f>VLOOKUP(VALUE(LEFT(C3768,5)),Xref!A:B,2,0)</f>
        <v>ANG</v>
      </c>
      <c r="M3768" t="str">
        <f t="shared" si="235"/>
        <v>ANG-SOF</v>
      </c>
    </row>
    <row r="3769" spans="1:13" ht="14.25" customHeight="true">
      <c r="A3769" s="33" t="str">
        <f t="shared" si="232"/>
        <v>SOF - Intercompany</v>
      </c>
      <c r="B3769" s="33" t="str">
        <f t="shared" si="233"/>
        <v>SOF</v>
      </c>
      <c r="C3769" s="33" t="str">
        <f t="shared" si="234"/>
        <v>11334-0000</v>
      </c>
      <c r="D3769" t="s">
        <v>27207</v>
      </c>
      <c r="E3769" t="s">
        <v>13245</v>
      </c>
      <c r="F3769" t="s">
        <v>14039</v>
      </c>
      <c r="G3769" t="s">
        <v>14672</v>
      </c>
      <c r="H3769" t="s">
        <v>13869</v>
      </c>
      <c r="I3769" t="s">
        <v>14690</v>
      </c>
      <c r="J3769" s="62">
        <v>0</v>
      </c>
      <c r="K3769" s="62">
        <v>0</v>
      </c>
      <c r="L3769" t="str">
        <f>VLOOKUP(VALUE(LEFT(C3769,5)),Xref!A:B,2,0)</f>
        <v>BRU</v>
      </c>
      <c r="M3769" t="str">
        <f t="shared" si="235"/>
        <v>BRU-SOF</v>
      </c>
    </row>
    <row r="3770" spans="1:13" ht="14.25" customHeight="true">
      <c r="A3770" s="33" t="str">
        <f t="shared" si="232"/>
        <v>SOF - Intercompany</v>
      </c>
      <c r="B3770" s="33" t="str">
        <f t="shared" si="233"/>
        <v>SOF</v>
      </c>
      <c r="C3770" s="33" t="str">
        <f t="shared" si="234"/>
        <v>11335-0000</v>
      </c>
      <c r="D3770" t="s">
        <v>27208</v>
      </c>
      <c r="E3770" t="s">
        <v>13246</v>
      </c>
      <c r="F3770" t="s">
        <v>14039</v>
      </c>
      <c r="G3770" t="s">
        <v>14672</v>
      </c>
      <c r="H3770" t="s">
        <v>13869</v>
      </c>
      <c r="I3770" t="s">
        <v>14690</v>
      </c>
      <c r="J3770" s="62">
        <v>0</v>
      </c>
      <c r="K3770" s="62">
        <v>0</v>
      </c>
      <c r="L3770" t="str">
        <f>VLOOKUP(VALUE(LEFT(C3770,5)),Xref!A:B,2,0)</f>
        <v>VEN</v>
      </c>
      <c r="M3770" t="str">
        <f t="shared" si="235"/>
        <v>SOF-VEN</v>
      </c>
    </row>
    <row r="3771" spans="1:13" ht="14.25" customHeight="true">
      <c r="A3771" s="33" t="str">
        <f t="shared" si="232"/>
        <v>SOF - Intercompany</v>
      </c>
      <c r="B3771" s="33" t="str">
        <f t="shared" si="233"/>
        <v>SOF</v>
      </c>
      <c r="C3771" s="33" t="str">
        <f t="shared" si="234"/>
        <v>11336-0000</v>
      </c>
      <c r="D3771" t="s">
        <v>27209</v>
      </c>
      <c r="E3771" t="s">
        <v>13247</v>
      </c>
      <c r="F3771" t="s">
        <v>14039</v>
      </c>
      <c r="G3771" t="s">
        <v>14672</v>
      </c>
      <c r="H3771" t="s">
        <v>13869</v>
      </c>
      <c r="I3771" t="s">
        <v>14690</v>
      </c>
      <c r="J3771" s="62">
        <v>0</v>
      </c>
      <c r="K3771" s="62">
        <v>0</v>
      </c>
      <c r="L3771" t="str">
        <f>VLOOKUP(VALUE(LEFT(C3771,5)),Xref!A:B,2,0)</f>
        <v>SAT</v>
      </c>
      <c r="M3771" t="str">
        <f t="shared" si="235"/>
        <v>SAT-SOF</v>
      </c>
    </row>
    <row r="3772" spans="1:13" ht="14.25" customHeight="true">
      <c r="A3772" s="33" t="str">
        <f t="shared" si="232"/>
        <v>SOF - Intercompany</v>
      </c>
      <c r="B3772" s="33" t="str">
        <f t="shared" si="233"/>
        <v>SOF</v>
      </c>
      <c r="C3772" s="33" t="str">
        <f t="shared" si="234"/>
        <v>11337-0000</v>
      </c>
      <c r="D3772" t="s">
        <v>27210</v>
      </c>
      <c r="E3772" t="s">
        <v>13248</v>
      </c>
      <c r="F3772" t="s">
        <v>14039</v>
      </c>
      <c r="G3772" t="s">
        <v>14672</v>
      </c>
      <c r="H3772" t="s">
        <v>13869</v>
      </c>
      <c r="I3772" t="s">
        <v>14690</v>
      </c>
      <c r="J3772" s="62">
        <v>0</v>
      </c>
      <c r="K3772" s="62">
        <v>0</v>
      </c>
      <c r="L3772" t="str">
        <f>VLOOKUP(VALUE(LEFT(C3772,5)),Xref!A:B,2,0)</f>
        <v>NEP</v>
      </c>
      <c r="M3772" t="str">
        <f t="shared" si="235"/>
        <v>NEP-SOF</v>
      </c>
    </row>
    <row r="3773" spans="1:13" ht="14.25" customHeight="true">
      <c r="A3773" s="33" t="str">
        <f t="shared" si="232"/>
        <v>SOF - Intercompany</v>
      </c>
      <c r="B3773" s="33" t="str">
        <f t="shared" si="233"/>
        <v>SOF</v>
      </c>
      <c r="C3773" s="33" t="str">
        <f t="shared" si="234"/>
        <v>11338-0000</v>
      </c>
      <c r="D3773" t="s">
        <v>27211</v>
      </c>
      <c r="E3773" t="s">
        <v>14131</v>
      </c>
      <c r="F3773" t="s">
        <v>14039</v>
      </c>
      <c r="G3773" t="s">
        <v>14672</v>
      </c>
      <c r="H3773" t="s">
        <v>13869</v>
      </c>
      <c r="I3773" t="s">
        <v>14690</v>
      </c>
      <c r="J3773" s="62">
        <v>0</v>
      </c>
      <c r="K3773" s="62">
        <v>0</v>
      </c>
      <c r="L3773" t="str">
        <f>VLOOKUP(VALUE(LEFT(C3773,5)),Xref!A:B,2,0)</f>
        <v>JUP</v>
      </c>
      <c r="M3773" t="str">
        <f t="shared" si="235"/>
        <v>JUP-SOF</v>
      </c>
    </row>
    <row r="3774" spans="1:13" ht="14.25" customHeight="true">
      <c r="A3774" s="33" t="str">
        <f t="shared" si="232"/>
        <v>SOF - Intercompany</v>
      </c>
      <c r="B3774" s="33" t="str">
        <f t="shared" si="233"/>
        <v>SOF</v>
      </c>
      <c r="C3774" s="33" t="str">
        <f t="shared" si="234"/>
        <v>11339-0000</v>
      </c>
      <c r="D3774" t="s">
        <v>27212</v>
      </c>
      <c r="E3774" t="s">
        <v>14133</v>
      </c>
      <c r="F3774" t="s">
        <v>14039</v>
      </c>
      <c r="G3774" t="s">
        <v>14672</v>
      </c>
      <c r="H3774" t="s">
        <v>13869</v>
      </c>
      <c r="I3774" t="s">
        <v>14690</v>
      </c>
      <c r="J3774" s="62">
        <v>0</v>
      </c>
      <c r="K3774" s="62">
        <v>0</v>
      </c>
      <c r="L3774" t="str">
        <f>VLOOKUP(VALUE(LEFT(C3774,5)),Xref!A:B,2,0)</f>
        <v>WES</v>
      </c>
      <c r="M3774" t="str">
        <f t="shared" si="235"/>
        <v>SOF-WES</v>
      </c>
    </row>
    <row r="3775" spans="1:13" ht="14.25" customHeight="true">
      <c r="A3775" s="33" t="str">
        <f t="shared" si="232"/>
        <v>SOF - Intercompany</v>
      </c>
      <c r="B3775" s="33" t="str">
        <f t="shared" si="233"/>
        <v>SOF</v>
      </c>
      <c r="C3775" s="33" t="str">
        <f t="shared" si="234"/>
        <v>11340-0000</v>
      </c>
      <c r="D3775" t="s">
        <v>27213</v>
      </c>
      <c r="E3775" t="s">
        <v>14135</v>
      </c>
      <c r="F3775" t="s">
        <v>14039</v>
      </c>
      <c r="G3775" t="s">
        <v>14672</v>
      </c>
      <c r="H3775" t="s">
        <v>13869</v>
      </c>
      <c r="I3775" t="s">
        <v>14690</v>
      </c>
      <c r="J3775" s="62">
        <v>0</v>
      </c>
      <c r="K3775" s="62">
        <v>0</v>
      </c>
      <c r="L3775" t="str">
        <f>VLOOKUP(VALUE(LEFT(C3775,5)),Xref!A:B,2,0)</f>
        <v>LCP</v>
      </c>
      <c r="M3775" t="str">
        <f t="shared" si="235"/>
        <v>LCP-SOF</v>
      </c>
    </row>
    <row r="3776" spans="1:13" ht="14.25" customHeight="true">
      <c r="A3776" s="33" t="str">
        <f t="shared" si="232"/>
        <v>SOF - Intercompany</v>
      </c>
      <c r="B3776" s="33" t="str">
        <f t="shared" si="233"/>
        <v>SOF</v>
      </c>
      <c r="C3776" s="33" t="str">
        <f t="shared" si="234"/>
        <v>11341-0000</v>
      </c>
      <c r="D3776" t="s">
        <v>27214</v>
      </c>
      <c r="E3776" t="s">
        <v>13639</v>
      </c>
      <c r="F3776" t="s">
        <v>14039</v>
      </c>
      <c r="G3776" t="s">
        <v>14672</v>
      </c>
      <c r="H3776" t="s">
        <v>13869</v>
      </c>
      <c r="I3776" t="s">
        <v>14690</v>
      </c>
      <c r="J3776" s="62">
        <v>0</v>
      </c>
      <c r="K3776" s="62">
        <v>0</v>
      </c>
      <c r="L3776" t="str">
        <f>VLOOKUP(VALUE(LEFT(C3776,5)),Xref!A:B,2,0)</f>
        <v>NOR</v>
      </c>
      <c r="M3776" t="str">
        <f t="shared" si="235"/>
        <v>NOR-SOF</v>
      </c>
    </row>
    <row r="3777" spans="1:13" ht="14.25" customHeight="true">
      <c r="A3777" s="33" t="str">
        <f t="shared" si="232"/>
        <v>SOF - Intercompany</v>
      </c>
      <c r="B3777" s="33" t="str">
        <f t="shared" si="233"/>
        <v>SOF</v>
      </c>
      <c r="C3777" s="33" t="str">
        <f t="shared" si="234"/>
        <v>11342-0000</v>
      </c>
      <c r="D3777" t="s">
        <v>27215</v>
      </c>
      <c r="E3777" t="s">
        <v>13355</v>
      </c>
      <c r="F3777" t="s">
        <v>14039</v>
      </c>
      <c r="G3777" t="s">
        <v>14672</v>
      </c>
      <c r="H3777" t="s">
        <v>13869</v>
      </c>
      <c r="I3777" t="s">
        <v>14690</v>
      </c>
      <c r="J3777" s="62">
        <v>0</v>
      </c>
      <c r="K3777" s="62">
        <v>0</v>
      </c>
      <c r="L3777" t="str">
        <f>VLOOKUP(VALUE(LEFT(C3777,5)),Xref!A:B,2,0)</f>
        <v>EAS</v>
      </c>
      <c r="M3777" t="str">
        <f t="shared" si="235"/>
        <v>EAS-SOF</v>
      </c>
    </row>
    <row r="3778" spans="1:13" ht="14.25" customHeight="true">
      <c r="A3778" s="33" t="str">
        <f t="shared" ref="A3778:A3841" si="236">B3778&amp;" - "&amp;TRIM(H3778)</f>
        <v>SOF - Intercompany</v>
      </c>
      <c r="B3778" s="33" t="str">
        <f t="shared" ref="B3778:B3841" si="237">LEFT(D3778,3)</f>
        <v>SOF</v>
      </c>
      <c r="C3778" s="33" t="str">
        <f t="shared" ref="C3778:C3841" si="238">RIGHT(D3778,10)</f>
        <v>11343-0000</v>
      </c>
      <c r="D3778" t="s">
        <v>12488</v>
      </c>
      <c r="E3778" t="s">
        <v>14139</v>
      </c>
      <c r="F3778" t="s">
        <v>14039</v>
      </c>
      <c r="G3778" t="s">
        <v>14672</v>
      </c>
      <c r="H3778" t="s">
        <v>13869</v>
      </c>
      <c r="I3778" t="s">
        <v>14690</v>
      </c>
      <c r="J3778" s="62">
        <v>-7567.52</v>
      </c>
      <c r="K3778" s="62">
        <v>-18987.05</v>
      </c>
      <c r="L3778" t="str">
        <f>VLOOKUP(VALUE(LEFT(C3778,5)),Xref!A:B,2,0)</f>
        <v>GRA</v>
      </c>
      <c r="M3778" t="str">
        <f t="shared" ref="M3778:M3841" si="239">IF(B3778&lt;L3778,B3778&amp;"-"&amp;L3778,L3778&amp;"-"&amp;B3778)</f>
        <v>GRA-SOF</v>
      </c>
    </row>
    <row r="3779" spans="1:13" ht="14.25" customHeight="true">
      <c r="A3779" s="33" t="str">
        <f t="shared" si="236"/>
        <v>SOF - Intercompany</v>
      </c>
      <c r="B3779" s="33" t="str">
        <f t="shared" si="237"/>
        <v>SOF</v>
      </c>
      <c r="C3779" s="33" t="str">
        <f t="shared" si="238"/>
        <v>11344-0000</v>
      </c>
      <c r="D3779" t="s">
        <v>27216</v>
      </c>
      <c r="E3779" t="s">
        <v>14141</v>
      </c>
      <c r="F3779" t="s">
        <v>14039</v>
      </c>
      <c r="G3779" t="s">
        <v>14672</v>
      </c>
      <c r="H3779" t="s">
        <v>13869</v>
      </c>
      <c r="I3779" t="s">
        <v>14690</v>
      </c>
      <c r="J3779" s="62">
        <v>0</v>
      </c>
      <c r="K3779" s="62">
        <v>0</v>
      </c>
      <c r="L3779" t="str">
        <f>VLOOKUP(VALUE(LEFT(C3779,5)),Xref!A:B,2,0)</f>
        <v>SOU</v>
      </c>
      <c r="M3779" t="str">
        <f t="shared" si="239"/>
        <v>SOF-SOU</v>
      </c>
    </row>
    <row r="3780" spans="1:13" ht="14.25" customHeight="true">
      <c r="A3780" s="33" t="str">
        <f t="shared" si="236"/>
        <v>SOF - Intercompany</v>
      </c>
      <c r="B3780" s="33" t="str">
        <f t="shared" si="237"/>
        <v>SOF</v>
      </c>
      <c r="C3780" s="33" t="str">
        <f t="shared" si="238"/>
        <v>11345-0000</v>
      </c>
      <c r="D3780" t="s">
        <v>27217</v>
      </c>
      <c r="E3780" t="s">
        <v>14143</v>
      </c>
      <c r="F3780" t="s">
        <v>14039</v>
      </c>
      <c r="G3780" t="s">
        <v>14672</v>
      </c>
      <c r="H3780" t="s">
        <v>13869</v>
      </c>
      <c r="I3780" t="s">
        <v>14690</v>
      </c>
      <c r="J3780" s="62">
        <v>0</v>
      </c>
      <c r="K3780" s="62">
        <v>0</v>
      </c>
      <c r="L3780" t="str">
        <f>VLOOKUP(VALUE(LEFT(C3780,5)),Xref!A:B,2,0)</f>
        <v>API</v>
      </c>
      <c r="M3780" t="str">
        <f t="shared" si="239"/>
        <v>API-SOF</v>
      </c>
    </row>
    <row r="3781" spans="1:13" ht="14.25" customHeight="true">
      <c r="A3781" s="33" t="str">
        <f t="shared" si="236"/>
        <v>SOF - Intercompany</v>
      </c>
      <c r="B3781" s="33" t="str">
        <f t="shared" si="237"/>
        <v>SOF</v>
      </c>
      <c r="C3781" s="33" t="str">
        <f t="shared" si="238"/>
        <v>11346-0000</v>
      </c>
      <c r="D3781" t="s">
        <v>27218</v>
      </c>
      <c r="E3781" t="s">
        <v>14145</v>
      </c>
      <c r="F3781" t="s">
        <v>14039</v>
      </c>
      <c r="G3781" t="s">
        <v>14672</v>
      </c>
      <c r="H3781" t="s">
        <v>13869</v>
      </c>
      <c r="I3781" t="s">
        <v>14690</v>
      </c>
      <c r="J3781" s="62">
        <v>0</v>
      </c>
      <c r="K3781" s="62">
        <v>0</v>
      </c>
      <c r="L3781" t="str">
        <f>VLOOKUP(VALUE(LEFT(C3781,5)),Xref!A:B,2,0)</f>
        <v>DPH</v>
      </c>
      <c r="M3781" t="str">
        <f t="shared" si="239"/>
        <v>DPH-SOF</v>
      </c>
    </row>
    <row r="3782" spans="1:13" ht="14.25" customHeight="true">
      <c r="A3782" s="33" t="str">
        <f t="shared" si="236"/>
        <v>SOF - Intercompany</v>
      </c>
      <c r="B3782" s="33" t="str">
        <f t="shared" si="237"/>
        <v>SOF</v>
      </c>
      <c r="C3782" s="33" t="str">
        <f t="shared" si="238"/>
        <v>11347-0000</v>
      </c>
      <c r="D3782" t="s">
        <v>27219</v>
      </c>
      <c r="E3782" t="s">
        <v>14147</v>
      </c>
      <c r="F3782" t="s">
        <v>14039</v>
      </c>
      <c r="G3782" t="s">
        <v>14672</v>
      </c>
      <c r="H3782" t="s">
        <v>13869</v>
      </c>
      <c r="I3782" t="s">
        <v>14690</v>
      </c>
      <c r="J3782" s="62">
        <v>0</v>
      </c>
      <c r="K3782" s="62">
        <v>0</v>
      </c>
      <c r="L3782" t="str">
        <f>VLOOKUP(VALUE(LEFT(C3782,5)),Xref!A:B,2,0)</f>
        <v>ZPI</v>
      </c>
      <c r="M3782" t="str">
        <f t="shared" si="239"/>
        <v>SOF-ZPI</v>
      </c>
    </row>
    <row r="3783" spans="1:13" ht="14.25" customHeight="true">
      <c r="A3783" s="33" t="str">
        <f t="shared" si="236"/>
        <v>SOF - Intercompany</v>
      </c>
      <c r="B3783" s="33" t="str">
        <f t="shared" si="237"/>
        <v>SOF</v>
      </c>
      <c r="C3783" s="33" t="str">
        <f t="shared" si="238"/>
        <v>11348-0000</v>
      </c>
      <c r="D3783" t="s">
        <v>27220</v>
      </c>
      <c r="E3783" t="s">
        <v>14149</v>
      </c>
      <c r="F3783" t="s">
        <v>14039</v>
      </c>
      <c r="G3783" t="s">
        <v>14672</v>
      </c>
      <c r="H3783" t="s">
        <v>13869</v>
      </c>
      <c r="I3783" t="s">
        <v>14690</v>
      </c>
      <c r="J3783" s="62">
        <v>0</v>
      </c>
      <c r="K3783" s="62">
        <v>0</v>
      </c>
      <c r="L3783" t="str">
        <f>VLOOKUP(VALUE(LEFT(C3783,5)),Xref!A:B,2,0)</f>
        <v>EAM</v>
      </c>
      <c r="M3783" t="str">
        <f t="shared" si="239"/>
        <v>EAM-SOF</v>
      </c>
    </row>
    <row r="3784" spans="1:13" ht="14.25" customHeight="true">
      <c r="A3784" s="33" t="str">
        <f t="shared" si="236"/>
        <v>SOF - Intercompany</v>
      </c>
      <c r="B3784" s="33" t="str">
        <f t="shared" si="237"/>
        <v>SOF</v>
      </c>
      <c r="C3784" s="33" t="str">
        <f t="shared" si="238"/>
        <v>11349-0000</v>
      </c>
      <c r="D3784" t="s">
        <v>27221</v>
      </c>
      <c r="E3784" t="s">
        <v>14151</v>
      </c>
      <c r="F3784" t="s">
        <v>14039</v>
      </c>
      <c r="G3784" t="s">
        <v>14672</v>
      </c>
      <c r="H3784" t="s">
        <v>13869</v>
      </c>
      <c r="I3784" t="s">
        <v>14690</v>
      </c>
      <c r="J3784" s="62">
        <v>0</v>
      </c>
      <c r="K3784" s="62">
        <v>0</v>
      </c>
      <c r="L3784" t="str">
        <f>VLOOKUP(VALUE(LEFT(C3784,5)),Xref!A:B,2,0)</f>
        <v>SEA</v>
      </c>
      <c r="M3784" t="str">
        <f t="shared" si="239"/>
        <v>SEA-SOF</v>
      </c>
    </row>
    <row r="3785" spans="1:13" ht="14.25" customHeight="true">
      <c r="A3785" s="33" t="str">
        <f t="shared" si="236"/>
        <v>SOF - Intercompany</v>
      </c>
      <c r="B3785" s="33" t="str">
        <f t="shared" si="237"/>
        <v>SOF</v>
      </c>
      <c r="C3785" s="33" t="str">
        <f t="shared" si="238"/>
        <v>11350-0000</v>
      </c>
      <c r="D3785" t="s">
        <v>27222</v>
      </c>
      <c r="E3785" t="s">
        <v>14153</v>
      </c>
      <c r="F3785" t="s">
        <v>14039</v>
      </c>
      <c r="G3785" t="s">
        <v>14672</v>
      </c>
      <c r="H3785" t="s">
        <v>13869</v>
      </c>
      <c r="I3785" t="s">
        <v>14690</v>
      </c>
      <c r="J3785" s="62">
        <v>0</v>
      </c>
      <c r="K3785" s="62">
        <v>-89.15</v>
      </c>
      <c r="L3785" t="str">
        <f>VLOOKUP(VALUE(LEFT(C3785,5)),Xref!A:B,2,0)</f>
        <v>EAL</v>
      </c>
      <c r="M3785" t="str">
        <f t="shared" si="239"/>
        <v>EAL-SOF</v>
      </c>
    </row>
    <row r="3786" spans="1:13" ht="14.25" customHeight="true">
      <c r="A3786" s="33" t="str">
        <f t="shared" si="236"/>
        <v>SOF - Intercompany</v>
      </c>
      <c r="B3786" s="33" t="str">
        <f t="shared" si="237"/>
        <v>SOF</v>
      </c>
      <c r="C3786" s="33" t="str">
        <f t="shared" si="238"/>
        <v>11351-0000</v>
      </c>
      <c r="D3786" t="s">
        <v>27223</v>
      </c>
      <c r="E3786" t="s">
        <v>14155</v>
      </c>
      <c r="F3786" t="s">
        <v>14039</v>
      </c>
      <c r="G3786" t="s">
        <v>14672</v>
      </c>
      <c r="H3786" t="s">
        <v>13869</v>
      </c>
      <c r="I3786" t="s">
        <v>14690</v>
      </c>
      <c r="J3786" s="62">
        <v>0</v>
      </c>
      <c r="K3786" s="62">
        <v>0</v>
      </c>
      <c r="L3786" t="str">
        <f>VLOOKUP(VALUE(LEFT(C3786,5)),Xref!A:B,2,0)</f>
        <v>WEP</v>
      </c>
      <c r="M3786" t="str">
        <f t="shared" si="239"/>
        <v>SOF-WEP</v>
      </c>
    </row>
    <row r="3787" spans="1:13" ht="14.25" customHeight="true">
      <c r="A3787" s="33" t="str">
        <f t="shared" si="236"/>
        <v>SOF - Intercompany</v>
      </c>
      <c r="B3787" s="33" t="str">
        <f t="shared" si="237"/>
        <v>SOF</v>
      </c>
      <c r="C3787" s="33" t="str">
        <f t="shared" si="238"/>
        <v>11352-0000</v>
      </c>
      <c r="D3787" t="s">
        <v>27224</v>
      </c>
      <c r="E3787" t="s">
        <v>13536</v>
      </c>
      <c r="F3787" t="s">
        <v>14039</v>
      </c>
      <c r="G3787" t="s">
        <v>14672</v>
      </c>
      <c r="H3787" t="s">
        <v>13869</v>
      </c>
      <c r="I3787" t="s">
        <v>14690</v>
      </c>
      <c r="J3787" s="62">
        <v>0</v>
      </c>
      <c r="K3787" s="62">
        <v>0</v>
      </c>
      <c r="L3787" t="str">
        <f>VLOOKUP(VALUE(LEFT(C3787,5)),Xref!A:B,2,0)</f>
        <v>KLP</v>
      </c>
      <c r="M3787" t="str">
        <f t="shared" si="239"/>
        <v>KLP-SOF</v>
      </c>
    </row>
    <row r="3788" spans="1:13" ht="14.25" customHeight="true">
      <c r="A3788" s="33" t="str">
        <f t="shared" si="236"/>
        <v>SOF - Intercompany</v>
      </c>
      <c r="B3788" s="33" t="str">
        <f t="shared" si="237"/>
        <v>SOF</v>
      </c>
      <c r="C3788" s="33" t="str">
        <f t="shared" si="238"/>
        <v>11353-0000</v>
      </c>
      <c r="D3788" t="s">
        <v>27225</v>
      </c>
      <c r="E3788" t="s">
        <v>13537</v>
      </c>
      <c r="F3788" t="s">
        <v>14039</v>
      </c>
      <c r="G3788" t="s">
        <v>14672</v>
      </c>
      <c r="H3788" t="s">
        <v>13869</v>
      </c>
      <c r="I3788" t="s">
        <v>14690</v>
      </c>
      <c r="J3788" s="62">
        <v>0</v>
      </c>
      <c r="K3788" s="62">
        <v>0</v>
      </c>
      <c r="L3788" t="str">
        <f>VLOOKUP(VALUE(LEFT(C3788,5)),Xref!A:B,2,0)</f>
        <v>AKC</v>
      </c>
      <c r="M3788" t="str">
        <f t="shared" si="239"/>
        <v>AKC-SOF</v>
      </c>
    </row>
    <row r="3789" spans="1:13" ht="14.25" customHeight="true">
      <c r="A3789" s="33" t="str">
        <f t="shared" si="236"/>
        <v>SOF - Intercompany</v>
      </c>
      <c r="B3789" s="33" t="str">
        <f t="shared" si="237"/>
        <v>SOF</v>
      </c>
      <c r="C3789" s="33" t="str">
        <f t="shared" si="238"/>
        <v>11354-0000</v>
      </c>
      <c r="D3789" t="s">
        <v>27226</v>
      </c>
      <c r="E3789" t="s">
        <v>13538</v>
      </c>
      <c r="F3789" t="s">
        <v>14039</v>
      </c>
      <c r="G3789" t="s">
        <v>14672</v>
      </c>
      <c r="H3789" t="s">
        <v>13869</v>
      </c>
      <c r="I3789" t="s">
        <v>14690</v>
      </c>
      <c r="J3789" s="62">
        <v>0</v>
      </c>
      <c r="K3789" s="62">
        <v>0</v>
      </c>
      <c r="L3789" t="str">
        <f>VLOOKUP(VALUE(LEFT(C3789,5)),Xref!A:B,2,0)</f>
        <v>AKA</v>
      </c>
      <c r="M3789" t="str">
        <f t="shared" si="239"/>
        <v>AKA-SOF</v>
      </c>
    </row>
    <row r="3790" spans="1:13" ht="14.25" customHeight="true">
      <c r="A3790" s="33" t="str">
        <f t="shared" si="236"/>
        <v>SOF - Intercompany</v>
      </c>
      <c r="B3790" s="33" t="str">
        <f t="shared" si="237"/>
        <v>SOF</v>
      </c>
      <c r="C3790" s="33" t="str">
        <f t="shared" si="238"/>
        <v>11355-0000</v>
      </c>
      <c r="D3790" t="s">
        <v>27227</v>
      </c>
      <c r="E3790" t="s">
        <v>13539</v>
      </c>
      <c r="F3790" t="s">
        <v>14039</v>
      </c>
      <c r="G3790" t="s">
        <v>14672</v>
      </c>
      <c r="H3790" t="s">
        <v>13869</v>
      </c>
      <c r="I3790" t="s">
        <v>14690</v>
      </c>
      <c r="J3790" s="62">
        <v>0</v>
      </c>
      <c r="K3790" s="62">
        <v>0</v>
      </c>
      <c r="L3790" t="str">
        <f>VLOOKUP(VALUE(LEFT(C3790,5)),Xref!A:B,2,0)</f>
        <v>SPA</v>
      </c>
      <c r="M3790" t="str">
        <f t="shared" si="239"/>
        <v>SOF-SPA</v>
      </c>
    </row>
    <row r="3791" spans="1:13" ht="14.25" customHeight="true">
      <c r="A3791" s="33" t="str">
        <f t="shared" si="236"/>
        <v>SOF - Intercompany</v>
      </c>
      <c r="B3791" s="33" t="str">
        <f t="shared" si="237"/>
        <v>SOF</v>
      </c>
      <c r="C3791" s="33" t="str">
        <f t="shared" si="238"/>
        <v>11356-0000</v>
      </c>
      <c r="D3791" t="s">
        <v>27228</v>
      </c>
      <c r="E3791" t="s">
        <v>13540</v>
      </c>
      <c r="F3791" t="s">
        <v>14039</v>
      </c>
      <c r="G3791" t="s">
        <v>14672</v>
      </c>
      <c r="H3791" t="s">
        <v>13869</v>
      </c>
      <c r="I3791" t="s">
        <v>14690</v>
      </c>
      <c r="J3791" s="62">
        <v>0</v>
      </c>
      <c r="K3791" s="62">
        <v>0</v>
      </c>
      <c r="L3791" t="str">
        <f>VLOOKUP(VALUE(LEFT(C3791,5)),Xref!A:B,2,0)</f>
        <v>DPM</v>
      </c>
      <c r="M3791" t="str">
        <f t="shared" si="239"/>
        <v>DPM-SOF</v>
      </c>
    </row>
    <row r="3792" spans="1:13" ht="14.25" customHeight="true">
      <c r="A3792" s="33" t="str">
        <f t="shared" si="236"/>
        <v>SOF - Intercompany</v>
      </c>
      <c r="B3792" s="33" t="str">
        <f t="shared" si="237"/>
        <v>SOF</v>
      </c>
      <c r="C3792" s="33" t="str">
        <f t="shared" si="238"/>
        <v>11357-0000</v>
      </c>
      <c r="D3792" t="s">
        <v>27229</v>
      </c>
      <c r="E3792" t="s">
        <v>13541</v>
      </c>
      <c r="F3792" t="s">
        <v>14039</v>
      </c>
      <c r="G3792" t="s">
        <v>14672</v>
      </c>
      <c r="H3792" t="s">
        <v>13869</v>
      </c>
      <c r="I3792" t="s">
        <v>14690</v>
      </c>
      <c r="J3792" s="62">
        <v>0</v>
      </c>
      <c r="K3792" s="62">
        <v>0</v>
      </c>
      <c r="L3792" t="str">
        <f>VLOOKUP(VALUE(LEFT(C3792,5)),Xref!A:B,2,0)</f>
        <v>HDM</v>
      </c>
      <c r="M3792" t="str">
        <f t="shared" si="239"/>
        <v>HDM-SOF</v>
      </c>
    </row>
    <row r="3793" spans="1:13" ht="14.25" customHeight="true">
      <c r="A3793" s="33" t="str">
        <f t="shared" si="236"/>
        <v>SOF - Intercompany</v>
      </c>
      <c r="B3793" s="33" t="str">
        <f t="shared" si="237"/>
        <v>SOF</v>
      </c>
      <c r="C3793" s="33" t="str">
        <f t="shared" si="238"/>
        <v>11358-0000</v>
      </c>
      <c r="D3793" t="s">
        <v>27230</v>
      </c>
      <c r="E3793" t="s">
        <v>13542</v>
      </c>
      <c r="F3793" t="s">
        <v>14039</v>
      </c>
      <c r="G3793" t="s">
        <v>14672</v>
      </c>
      <c r="H3793" t="s">
        <v>13869</v>
      </c>
      <c r="I3793" t="s">
        <v>14690</v>
      </c>
      <c r="J3793" s="62">
        <v>0</v>
      </c>
      <c r="K3793" s="62">
        <v>0</v>
      </c>
      <c r="L3793" t="str">
        <f>VLOOKUP(VALUE(LEFT(C3793,5)),Xref!A:B,2,0)</f>
        <v>GRA</v>
      </c>
      <c r="M3793" t="str">
        <f t="shared" si="239"/>
        <v>GRA-SOF</v>
      </c>
    </row>
    <row r="3794" spans="1:13" ht="14.25" customHeight="true">
      <c r="A3794" s="33" t="str">
        <f t="shared" si="236"/>
        <v>SOF - Intercompany</v>
      </c>
      <c r="B3794" s="33" t="str">
        <f t="shared" si="237"/>
        <v>SOF</v>
      </c>
      <c r="C3794" s="33" t="str">
        <f t="shared" si="238"/>
        <v>11359-0000</v>
      </c>
      <c r="D3794" t="s">
        <v>27231</v>
      </c>
      <c r="E3794" t="s">
        <v>13543</v>
      </c>
      <c r="F3794" t="s">
        <v>14039</v>
      </c>
      <c r="G3794" t="s">
        <v>14672</v>
      </c>
      <c r="H3794" t="s">
        <v>13869</v>
      </c>
      <c r="I3794" t="s">
        <v>14690</v>
      </c>
      <c r="J3794" s="62">
        <v>0</v>
      </c>
      <c r="K3794" s="62">
        <v>0</v>
      </c>
      <c r="L3794" t="str">
        <f>VLOOKUP(VALUE(LEFT(C3794,5)),Xref!A:B,2,0)</f>
        <v>TPI</v>
      </c>
      <c r="M3794" t="str">
        <f t="shared" si="239"/>
        <v>SOF-TPI</v>
      </c>
    </row>
    <row r="3795" spans="1:13" ht="14.25" customHeight="true">
      <c r="A3795" s="33" t="str">
        <f t="shared" si="236"/>
        <v>SOF - Intercompany</v>
      </c>
      <c r="B3795" s="33" t="str">
        <f t="shared" si="237"/>
        <v>SOF</v>
      </c>
      <c r="C3795" s="33" t="str">
        <f t="shared" si="238"/>
        <v>11361-0000</v>
      </c>
      <c r="D3795" t="s">
        <v>27232</v>
      </c>
      <c r="E3795" t="s">
        <v>14165</v>
      </c>
      <c r="F3795" t="s">
        <v>14039</v>
      </c>
      <c r="G3795" t="s">
        <v>14672</v>
      </c>
      <c r="H3795" t="s">
        <v>13869</v>
      </c>
      <c r="I3795" t="s">
        <v>14690</v>
      </c>
      <c r="J3795" s="62">
        <v>0</v>
      </c>
      <c r="K3795" s="62">
        <v>0</v>
      </c>
      <c r="L3795" t="str">
        <f>VLOOKUP(VALUE(LEFT(C3795,5)),Xref!A:B,2,0)</f>
        <v>GSM</v>
      </c>
      <c r="M3795" t="str">
        <f t="shared" si="239"/>
        <v>GSM-SOF</v>
      </c>
    </row>
    <row r="3796" spans="1:13" ht="14.25" customHeight="true">
      <c r="A3796" s="33" t="str">
        <f t="shared" si="236"/>
        <v>SOF - Intercompany</v>
      </c>
      <c r="B3796" s="33" t="str">
        <f t="shared" si="237"/>
        <v>SOF</v>
      </c>
      <c r="C3796" s="33" t="str">
        <f t="shared" si="238"/>
        <v>11363-0000</v>
      </c>
      <c r="D3796" t="s">
        <v>27233</v>
      </c>
      <c r="E3796" t="s">
        <v>13544</v>
      </c>
      <c r="F3796" t="s">
        <v>14039</v>
      </c>
      <c r="G3796" t="s">
        <v>14672</v>
      </c>
      <c r="H3796" t="s">
        <v>13869</v>
      </c>
      <c r="I3796" t="s">
        <v>14690</v>
      </c>
      <c r="J3796" s="62">
        <v>0</v>
      </c>
      <c r="K3796" s="62">
        <v>-47.26</v>
      </c>
      <c r="L3796" t="str">
        <f>VLOOKUP(VALUE(LEFT(C3796,5)),Xref!A:B,2,0)</f>
        <v>SOF</v>
      </c>
      <c r="M3796" t="str">
        <f t="shared" si="239"/>
        <v>SOF-SOF</v>
      </c>
    </row>
    <row r="3797" spans="1:13" ht="14.25" customHeight="true">
      <c r="A3797" s="33" t="str">
        <f t="shared" si="236"/>
        <v>SOF - Intercompany</v>
      </c>
      <c r="B3797" s="33" t="str">
        <f t="shared" si="237"/>
        <v>SOF</v>
      </c>
      <c r="C3797" s="33" t="str">
        <f t="shared" si="238"/>
        <v>11364-0000</v>
      </c>
      <c r="D3797" t="s">
        <v>27234</v>
      </c>
      <c r="E3797" t="s">
        <v>14168</v>
      </c>
      <c r="F3797" t="s">
        <v>14039</v>
      </c>
      <c r="G3797" t="s">
        <v>14672</v>
      </c>
      <c r="H3797" t="s">
        <v>13869</v>
      </c>
      <c r="I3797" t="s">
        <v>14690</v>
      </c>
      <c r="J3797" s="62">
        <v>0</v>
      </c>
      <c r="K3797" s="62">
        <v>0</v>
      </c>
      <c r="L3797" t="e">
        <f>VLOOKUP(VALUE(LEFT(C3797,5)),Xref!A:B,2,0)</f>
        <v>#N/A</v>
      </c>
      <c r="M3797" t="e">
        <f t="shared" si="239"/>
        <v>#N/A</v>
      </c>
    </row>
    <row r="3798" spans="1:13" ht="14.25" customHeight="true">
      <c r="A3798" s="33" t="str">
        <f t="shared" si="236"/>
        <v>SOF - Intercompany</v>
      </c>
      <c r="B3798" s="33" t="str">
        <f t="shared" si="237"/>
        <v>SOF</v>
      </c>
      <c r="C3798" s="33" t="str">
        <f t="shared" si="238"/>
        <v>11365-0000</v>
      </c>
      <c r="D3798" t="s">
        <v>27235</v>
      </c>
      <c r="E3798" t="s">
        <v>14170</v>
      </c>
      <c r="F3798" t="s">
        <v>14039</v>
      </c>
      <c r="G3798" t="s">
        <v>14672</v>
      </c>
      <c r="H3798" t="s">
        <v>13869</v>
      </c>
      <c r="I3798" t="s">
        <v>14690</v>
      </c>
      <c r="J3798" s="62">
        <v>0</v>
      </c>
      <c r="K3798" s="62">
        <v>0</v>
      </c>
      <c r="L3798" t="e">
        <f>VLOOKUP(VALUE(LEFT(C3798,5)),Xref!A:B,2,0)</f>
        <v>#N/A</v>
      </c>
      <c r="M3798" t="e">
        <f t="shared" si="239"/>
        <v>#N/A</v>
      </c>
    </row>
    <row r="3799" spans="1:13" ht="14.25" customHeight="true">
      <c r="A3799" s="33" t="str">
        <f t="shared" si="236"/>
        <v>SOF - Intercompany</v>
      </c>
      <c r="B3799" s="33" t="str">
        <f t="shared" si="237"/>
        <v>SOF</v>
      </c>
      <c r="C3799" s="33" t="str">
        <f t="shared" si="238"/>
        <v>11366-0000</v>
      </c>
      <c r="D3799" t="s">
        <v>27236</v>
      </c>
      <c r="E3799" t="s">
        <v>14172</v>
      </c>
      <c r="G3799" t="s">
        <v>14672</v>
      </c>
      <c r="H3799" t="s">
        <v>13869</v>
      </c>
      <c r="I3799" t="s">
        <v>14690</v>
      </c>
      <c r="J3799" s="62">
        <v>0</v>
      </c>
      <c r="K3799" s="62">
        <v>0</v>
      </c>
      <c r="L3799" t="e">
        <f>VLOOKUP(VALUE(LEFT(C3799,5)),Xref!A:B,2,0)</f>
        <v>#N/A</v>
      </c>
      <c r="M3799" t="e">
        <f t="shared" si="239"/>
        <v>#N/A</v>
      </c>
    </row>
    <row r="3800" spans="1:13" ht="14.25" customHeight="true">
      <c r="A3800" s="33" t="str">
        <f t="shared" si="236"/>
        <v>SOF - Intercompany</v>
      </c>
      <c r="B3800" s="33" t="str">
        <f t="shared" si="237"/>
        <v>SOF</v>
      </c>
      <c r="C3800" s="33" t="str">
        <f t="shared" si="238"/>
        <v>11402-0000</v>
      </c>
      <c r="D3800" t="s">
        <v>27237</v>
      </c>
      <c r="E3800" t="s">
        <v>14174</v>
      </c>
      <c r="G3800" t="s">
        <v>14672</v>
      </c>
      <c r="H3800" t="s">
        <v>13869</v>
      </c>
      <c r="I3800" t="s">
        <v>14690</v>
      </c>
      <c r="J3800" s="62">
        <v>0</v>
      </c>
      <c r="K3800" s="62">
        <v>0</v>
      </c>
      <c r="L3800" t="str">
        <f>VLOOKUP(VALUE(LEFT(C3800,5)),Xref!A:B,2,0)</f>
        <v>DPI</v>
      </c>
      <c r="M3800" t="str">
        <f t="shared" si="239"/>
        <v>DPI-SOF</v>
      </c>
    </row>
    <row r="3801" spans="1:13" ht="14.25" customHeight="true">
      <c r="A3801" s="33" t="str">
        <f t="shared" si="236"/>
        <v>SOF - Intercompany</v>
      </c>
      <c r="B3801" s="33" t="str">
        <f t="shared" si="237"/>
        <v>SOF</v>
      </c>
      <c r="C3801" s="33" t="str">
        <f t="shared" si="238"/>
        <v>11403-0000</v>
      </c>
      <c r="D3801" t="s">
        <v>27238</v>
      </c>
      <c r="E3801" t="s">
        <v>14176</v>
      </c>
      <c r="G3801" t="s">
        <v>14672</v>
      </c>
      <c r="H3801" t="s">
        <v>13869</v>
      </c>
      <c r="I3801" t="s">
        <v>14690</v>
      </c>
      <c r="J3801" s="62">
        <v>0</v>
      </c>
      <c r="K3801" s="62">
        <v>0</v>
      </c>
      <c r="L3801" t="str">
        <f>VLOOKUP(VALUE(LEFT(C3801,5)),Xref!A:B,2,0)</f>
        <v>SEA</v>
      </c>
      <c r="M3801" t="str">
        <f t="shared" si="239"/>
        <v>SEA-SOF</v>
      </c>
    </row>
    <row r="3802" spans="1:13" ht="14.25" customHeight="true">
      <c r="A3802" s="33" t="str">
        <f t="shared" si="236"/>
        <v>SOF - Intercompany</v>
      </c>
      <c r="B3802" s="33" t="str">
        <f t="shared" si="237"/>
        <v>SOF</v>
      </c>
      <c r="C3802" s="33" t="str">
        <f t="shared" si="238"/>
        <v>12400-0000</v>
      </c>
      <c r="D3802" t="s">
        <v>27241</v>
      </c>
      <c r="E3802" t="s">
        <v>14185</v>
      </c>
      <c r="F3802" t="s">
        <v>14039</v>
      </c>
      <c r="G3802" t="s">
        <v>14672</v>
      </c>
      <c r="H3802" t="s">
        <v>13869</v>
      </c>
      <c r="I3802" t="s">
        <v>14690</v>
      </c>
      <c r="J3802" s="62">
        <v>0</v>
      </c>
      <c r="K3802" s="62">
        <v>0</v>
      </c>
      <c r="L3802" t="str">
        <f>VLOOKUP(VALUE(LEFT(C3802,5)),Xref!A:B,2,0)</f>
        <v>aka</v>
      </c>
      <c r="M3802" t="str">
        <f t="shared" si="239"/>
        <v>aka-SOF</v>
      </c>
    </row>
    <row r="3803" spans="1:13" ht="14.25" customHeight="true">
      <c r="A3803" s="33" t="str">
        <f t="shared" si="236"/>
        <v>SOF - Intercompany</v>
      </c>
      <c r="B3803" s="33" t="str">
        <f t="shared" si="237"/>
        <v>SOF</v>
      </c>
      <c r="C3803" s="33" t="str">
        <f t="shared" si="238"/>
        <v>12401-0000</v>
      </c>
      <c r="D3803" t="s">
        <v>27242</v>
      </c>
      <c r="E3803" t="s">
        <v>14187</v>
      </c>
      <c r="F3803" t="s">
        <v>14039</v>
      </c>
      <c r="G3803" t="s">
        <v>14672</v>
      </c>
      <c r="H3803" t="s">
        <v>13869</v>
      </c>
      <c r="I3803" t="s">
        <v>14690</v>
      </c>
      <c r="J3803" s="62">
        <v>0</v>
      </c>
      <c r="K3803" s="62">
        <v>0</v>
      </c>
      <c r="L3803" t="str">
        <f>VLOOKUP(VALUE(LEFT(C3803,5)),Xref!A:B,2,0)</f>
        <v>aka</v>
      </c>
      <c r="M3803" t="str">
        <f t="shared" si="239"/>
        <v>aka-SOF</v>
      </c>
    </row>
    <row r="3804" spans="1:13" ht="14.25" customHeight="true">
      <c r="A3804" s="33" t="str">
        <f t="shared" si="236"/>
        <v>SOF - Intercompany</v>
      </c>
      <c r="B3804" s="33" t="str">
        <f t="shared" si="237"/>
        <v>SOF</v>
      </c>
      <c r="C3804" s="33" t="str">
        <f t="shared" si="238"/>
        <v>12402-0000</v>
      </c>
      <c r="D3804" t="s">
        <v>27243</v>
      </c>
      <c r="E3804" t="s">
        <v>14189</v>
      </c>
      <c r="F3804" t="s">
        <v>14039</v>
      </c>
      <c r="G3804" t="s">
        <v>14672</v>
      </c>
      <c r="H3804" t="s">
        <v>13869</v>
      </c>
      <c r="I3804" t="s">
        <v>14690</v>
      </c>
      <c r="J3804" s="62">
        <v>0</v>
      </c>
      <c r="K3804" s="62">
        <v>0</v>
      </c>
      <c r="L3804" t="str">
        <f>VLOOKUP(VALUE(LEFT(C3804,5)),Xref!A:B,2,0)</f>
        <v>aka</v>
      </c>
      <c r="M3804" t="str">
        <f t="shared" si="239"/>
        <v>aka-SOF</v>
      </c>
    </row>
    <row r="3805" spans="1:13" ht="14.25" customHeight="true">
      <c r="A3805" s="33" t="str">
        <f t="shared" si="236"/>
        <v>SOF - Intercompany</v>
      </c>
      <c r="B3805" s="33" t="str">
        <f t="shared" si="237"/>
        <v>SOF</v>
      </c>
      <c r="C3805" s="33" t="str">
        <f t="shared" si="238"/>
        <v>12403-0000</v>
      </c>
      <c r="D3805" t="s">
        <v>27244</v>
      </c>
      <c r="E3805" t="s">
        <v>5226</v>
      </c>
      <c r="F3805" t="s">
        <v>14039</v>
      </c>
      <c r="G3805" t="s">
        <v>14672</v>
      </c>
      <c r="H3805" t="s">
        <v>13869</v>
      </c>
      <c r="I3805" t="s">
        <v>14690</v>
      </c>
      <c r="J3805" s="62">
        <v>0</v>
      </c>
      <c r="K3805" s="62">
        <v>0</v>
      </c>
      <c r="L3805" t="str">
        <f>VLOOKUP(VALUE(LEFT(C3805,5)),Xref!A:B,2,0)</f>
        <v>aka</v>
      </c>
      <c r="M3805" t="str">
        <f t="shared" si="239"/>
        <v>aka-SOF</v>
      </c>
    </row>
    <row r="3806" spans="1:13" ht="14.25" customHeight="true">
      <c r="A3806" s="33" t="str">
        <f t="shared" si="236"/>
        <v>SOF - Intercompany</v>
      </c>
      <c r="B3806" s="33" t="str">
        <f t="shared" si="237"/>
        <v>SOF</v>
      </c>
      <c r="C3806" s="33" t="str">
        <f t="shared" si="238"/>
        <v>12501-0000</v>
      </c>
      <c r="D3806" t="s">
        <v>27245</v>
      </c>
      <c r="E3806" t="s">
        <v>14192</v>
      </c>
      <c r="F3806" t="s">
        <v>14039</v>
      </c>
      <c r="G3806" t="s">
        <v>14672</v>
      </c>
      <c r="H3806" t="s">
        <v>13869</v>
      </c>
      <c r="I3806" t="s">
        <v>14690</v>
      </c>
      <c r="J3806" s="62">
        <v>0</v>
      </c>
      <c r="K3806" s="62">
        <v>0</v>
      </c>
      <c r="L3806" t="str">
        <f>VLOOKUP(VALUE(LEFT(C3806,5)),Xref!A:B,2,0)</f>
        <v>aka</v>
      </c>
      <c r="M3806" t="str">
        <f t="shared" si="239"/>
        <v>aka-SOF</v>
      </c>
    </row>
    <row r="3807" spans="1:13" ht="14.25" customHeight="true">
      <c r="A3807" s="33" t="str">
        <f t="shared" si="236"/>
        <v>SOF - InterCo Notes</v>
      </c>
      <c r="B3807" s="33" t="str">
        <f t="shared" si="237"/>
        <v>SOF</v>
      </c>
      <c r="C3807" s="33" t="str">
        <f t="shared" si="238"/>
        <v>25600-0000</v>
      </c>
      <c r="D3807" t="s">
        <v>27295</v>
      </c>
      <c r="E3807" t="s">
        <v>314</v>
      </c>
      <c r="F3807" t="s">
        <v>14039</v>
      </c>
      <c r="G3807" t="s">
        <v>14672</v>
      </c>
      <c r="H3807" t="s">
        <v>13889</v>
      </c>
      <c r="I3807" t="s">
        <v>14690</v>
      </c>
      <c r="J3807" s="62">
        <v>0</v>
      </c>
      <c r="K3807" s="62">
        <v>0</v>
      </c>
      <c r="L3807" t="str">
        <f>VLOOKUP(VALUE(LEFT(C3807,5)),Xref!A:B,2,0)</f>
        <v>D7</v>
      </c>
      <c r="M3807" t="str">
        <f t="shared" si="239"/>
        <v>D7-SOF</v>
      </c>
    </row>
    <row r="3808" spans="1:13" ht="14.25" customHeight="true">
      <c r="A3808" s="33" t="str">
        <f t="shared" si="236"/>
        <v>SOF - InterCo Notes</v>
      </c>
      <c r="B3808" s="33" t="str">
        <f t="shared" si="237"/>
        <v>SOF</v>
      </c>
      <c r="C3808" s="33" t="str">
        <f t="shared" si="238"/>
        <v>25602-0000</v>
      </c>
      <c r="D3808" t="s">
        <v>27297</v>
      </c>
      <c r="E3808" t="s">
        <v>13426</v>
      </c>
      <c r="F3808" t="s">
        <v>14039</v>
      </c>
      <c r="G3808" t="s">
        <v>14672</v>
      </c>
      <c r="H3808" t="s">
        <v>13889</v>
      </c>
      <c r="I3808" t="s">
        <v>14690</v>
      </c>
      <c r="J3808" s="62">
        <v>0</v>
      </c>
      <c r="K3808" s="62">
        <v>-25000</v>
      </c>
      <c r="L3808" t="str">
        <f>VLOOKUP(VALUE(LEFT(C3808,5)),Xref!A:B,2,0)</f>
        <v>DFLP</v>
      </c>
      <c r="M3808" t="str">
        <f t="shared" si="239"/>
        <v>DFLP-SOF</v>
      </c>
    </row>
    <row r="3809" spans="1:13" ht="14.25" customHeight="true">
      <c r="A3809" s="33" t="str">
        <f t="shared" si="236"/>
        <v>SOF - InterCo Notes</v>
      </c>
      <c r="B3809" s="33" t="str">
        <f t="shared" si="237"/>
        <v>SOF</v>
      </c>
      <c r="C3809" s="33" t="str">
        <f t="shared" si="238"/>
        <v>25603-0000</v>
      </c>
      <c r="D3809" t="s">
        <v>27298</v>
      </c>
      <c r="E3809" t="s">
        <v>14311</v>
      </c>
      <c r="F3809" t="s">
        <v>14039</v>
      </c>
      <c r="G3809" t="s">
        <v>14832</v>
      </c>
      <c r="H3809" t="s">
        <v>13889</v>
      </c>
      <c r="I3809" t="s">
        <v>14690</v>
      </c>
      <c r="J3809" s="62">
        <v>0</v>
      </c>
      <c r="K3809" s="62">
        <v>0</v>
      </c>
      <c r="L3809" t="str">
        <f>VLOOKUP(VALUE(LEFT(C3809,5)),Xref!A:B,2,0)</f>
        <v>aka</v>
      </c>
      <c r="M3809" t="str">
        <f t="shared" si="239"/>
        <v>aka-SOF</v>
      </c>
    </row>
    <row r="3810" spans="1:13" ht="14.25" customHeight="true">
      <c r="A3810" s="33" t="str">
        <f t="shared" si="236"/>
        <v>SOF - Intercompany</v>
      </c>
      <c r="B3810" s="33" t="str">
        <f t="shared" si="237"/>
        <v>SOF</v>
      </c>
      <c r="C3810" s="33" t="str">
        <f t="shared" si="238"/>
        <v>25604-0000</v>
      </c>
      <c r="D3810" t="s">
        <v>27299</v>
      </c>
      <c r="E3810" t="s">
        <v>13490</v>
      </c>
      <c r="F3810" t="s">
        <v>14039</v>
      </c>
      <c r="G3810" t="s">
        <v>14672</v>
      </c>
      <c r="H3810" t="s">
        <v>13869</v>
      </c>
      <c r="I3810" t="s">
        <v>14690</v>
      </c>
      <c r="J3810" s="62">
        <v>0</v>
      </c>
      <c r="K3810" s="62">
        <v>0</v>
      </c>
      <c r="L3810">
        <f>VLOOKUP(VALUE(LEFT(C3810,5)),Xref!A:B,2,0)</f>
        <v>0</v>
      </c>
      <c r="M3810" t="str">
        <f t="shared" si="239"/>
        <v>0-SOF</v>
      </c>
    </row>
    <row r="3811" spans="1:13" ht="14.25" customHeight="true">
      <c r="A3811" s="33" t="str">
        <f t="shared" si="236"/>
        <v>SOU - Intercompany</v>
      </c>
      <c r="B3811" s="33" t="str">
        <f t="shared" si="237"/>
        <v>SOU</v>
      </c>
      <c r="C3811" s="33" t="str">
        <f t="shared" si="238"/>
        <v>11200-0000</v>
      </c>
      <c r="D3811" t="s">
        <v>27470</v>
      </c>
      <c r="E3811" t="s">
        <v>14069</v>
      </c>
      <c r="F3811" t="s">
        <v>14039</v>
      </c>
      <c r="G3811" t="s">
        <v>14672</v>
      </c>
      <c r="H3811" t="s">
        <v>13869</v>
      </c>
      <c r="I3811" t="s">
        <v>14690</v>
      </c>
      <c r="J3811" s="62">
        <v>0</v>
      </c>
      <c r="K3811" s="62">
        <v>0</v>
      </c>
      <c r="L3811" t="str">
        <f>VLOOKUP(VALUE(LEFT(C3811,5)),Xref!A:B,2,0)</f>
        <v>SCL</v>
      </c>
      <c r="M3811" t="str">
        <f t="shared" si="239"/>
        <v>SCL-SOU</v>
      </c>
    </row>
    <row r="3812" spans="1:13" ht="14.25" customHeight="true">
      <c r="A3812" s="33" t="str">
        <f t="shared" si="236"/>
        <v>SOU - Intercompany</v>
      </c>
      <c r="B3812" s="33" t="str">
        <f t="shared" si="237"/>
        <v>SOU</v>
      </c>
      <c r="C3812" s="33" t="str">
        <f t="shared" si="238"/>
        <v>11201-0000</v>
      </c>
      <c r="D3812" t="s">
        <v>27471</v>
      </c>
      <c r="E3812" t="s">
        <v>14071</v>
      </c>
      <c r="F3812" t="s">
        <v>14039</v>
      </c>
      <c r="G3812" t="s">
        <v>14672</v>
      </c>
      <c r="H3812" t="s">
        <v>13869</v>
      </c>
      <c r="I3812" t="s">
        <v>14690</v>
      </c>
      <c r="J3812" s="62">
        <v>0</v>
      </c>
      <c r="K3812" s="62">
        <v>0</v>
      </c>
      <c r="L3812" t="str">
        <f>VLOOKUP(VALUE(LEFT(C3812,5)),Xref!A:B,2,0)</f>
        <v>SG2</v>
      </c>
      <c r="M3812" t="str">
        <f t="shared" si="239"/>
        <v>SG2-SOU</v>
      </c>
    </row>
    <row r="3813" spans="1:13" ht="14.25" customHeight="true">
      <c r="A3813" s="33" t="str">
        <f t="shared" si="236"/>
        <v>SOU - Intercompany</v>
      </c>
      <c r="B3813" s="33" t="str">
        <f t="shared" si="237"/>
        <v>SOU</v>
      </c>
      <c r="C3813" s="33" t="str">
        <f t="shared" si="238"/>
        <v>11202-0000</v>
      </c>
      <c r="D3813" t="s">
        <v>27472</v>
      </c>
      <c r="E3813" t="s">
        <v>14073</v>
      </c>
      <c r="F3813" t="s">
        <v>14039</v>
      </c>
      <c r="G3813" t="s">
        <v>14672</v>
      </c>
      <c r="H3813" t="s">
        <v>13869</v>
      </c>
      <c r="I3813" t="s">
        <v>14690</v>
      </c>
      <c r="J3813" s="62">
        <v>0</v>
      </c>
      <c r="K3813" s="62">
        <v>0</v>
      </c>
      <c r="L3813" t="str">
        <f>VLOOKUP(VALUE(LEFT(C3813,5)),Xref!A:B,2,0)</f>
        <v>FFC</v>
      </c>
      <c r="M3813" t="str">
        <f t="shared" si="239"/>
        <v>FFC-SOU</v>
      </c>
    </row>
    <row r="3814" spans="1:13" ht="14.25" customHeight="true">
      <c r="A3814" s="33" t="str">
        <f t="shared" si="236"/>
        <v>SOU - Intercompany</v>
      </c>
      <c r="B3814" s="33" t="str">
        <f t="shared" si="237"/>
        <v>SOU</v>
      </c>
      <c r="C3814" s="33" t="str">
        <f t="shared" si="238"/>
        <v>11203-0000</v>
      </c>
      <c r="D3814" t="s">
        <v>27473</v>
      </c>
      <c r="E3814" t="s">
        <v>14075</v>
      </c>
      <c r="F3814" t="s">
        <v>14039</v>
      </c>
      <c r="G3814" t="s">
        <v>14672</v>
      </c>
      <c r="H3814" t="s">
        <v>13869</v>
      </c>
      <c r="I3814" t="s">
        <v>14690</v>
      </c>
      <c r="J3814" s="62">
        <v>0</v>
      </c>
      <c r="K3814" s="62">
        <v>0</v>
      </c>
      <c r="L3814" t="str">
        <f>VLOOKUP(VALUE(LEFT(C3814,5)),Xref!A:B,2,0)</f>
        <v>HN2</v>
      </c>
      <c r="M3814" t="str">
        <f t="shared" si="239"/>
        <v>HN2-SOU</v>
      </c>
    </row>
    <row r="3815" spans="1:13" ht="14.25" customHeight="true">
      <c r="A3815" s="33" t="str">
        <f t="shared" si="236"/>
        <v>SOU - Intercompany</v>
      </c>
      <c r="B3815" s="33" t="str">
        <f t="shared" si="237"/>
        <v>SOU</v>
      </c>
      <c r="C3815" s="33" t="str">
        <f t="shared" si="238"/>
        <v>11204-0000</v>
      </c>
      <c r="D3815" t="s">
        <v>27474</v>
      </c>
      <c r="E3815" t="s">
        <v>14077</v>
      </c>
      <c r="F3815" t="s">
        <v>14039</v>
      </c>
      <c r="G3815" t="s">
        <v>14672</v>
      </c>
      <c r="H3815" t="s">
        <v>13869</v>
      </c>
      <c r="I3815" t="s">
        <v>14690</v>
      </c>
      <c r="J3815" s="62">
        <v>0</v>
      </c>
      <c r="K3815" s="62">
        <v>0</v>
      </c>
      <c r="L3815" t="str">
        <f>VLOOKUP(VALUE(LEFT(C3815,5)),Xref!A:B,2,0)</f>
        <v>DF2</v>
      </c>
      <c r="M3815" t="str">
        <f t="shared" si="239"/>
        <v>DF2-SOU</v>
      </c>
    </row>
    <row r="3816" spans="1:13" ht="14.25" customHeight="true">
      <c r="A3816" s="33" t="str">
        <f t="shared" si="236"/>
        <v>SOU - Intercompany</v>
      </c>
      <c r="B3816" s="33" t="str">
        <f t="shared" si="237"/>
        <v>SOU</v>
      </c>
      <c r="C3816" s="33" t="str">
        <f t="shared" si="238"/>
        <v>11208-0000</v>
      </c>
      <c r="D3816" t="s">
        <v>27475</v>
      </c>
      <c r="E3816" t="s">
        <v>14079</v>
      </c>
      <c r="F3816" t="s">
        <v>14039</v>
      </c>
      <c r="G3816" t="s">
        <v>14672</v>
      </c>
      <c r="H3816" t="s">
        <v>13869</v>
      </c>
      <c r="I3816" t="s">
        <v>14690</v>
      </c>
      <c r="J3816" s="62">
        <v>0</v>
      </c>
      <c r="K3816" s="62">
        <v>0</v>
      </c>
      <c r="L3816" t="str">
        <f>VLOOKUP(VALUE(LEFT(C3816,5)),Xref!A:B,2,0)</f>
        <v>SRE</v>
      </c>
      <c r="M3816" t="str">
        <f t="shared" si="239"/>
        <v>SOU-SRE</v>
      </c>
    </row>
    <row r="3817" spans="1:13" ht="14.25" customHeight="true">
      <c r="A3817" s="33" t="str">
        <f t="shared" si="236"/>
        <v>SOU - Intercompany</v>
      </c>
      <c r="B3817" s="33" t="str">
        <f t="shared" si="237"/>
        <v>SOU</v>
      </c>
      <c r="C3817" s="33" t="str">
        <f t="shared" si="238"/>
        <v>11210-0000</v>
      </c>
      <c r="D3817" t="s">
        <v>27476</v>
      </c>
      <c r="E3817" t="s">
        <v>14081</v>
      </c>
      <c r="F3817" t="s">
        <v>14039</v>
      </c>
      <c r="G3817" t="s">
        <v>14672</v>
      </c>
      <c r="H3817" t="s">
        <v>13869</v>
      </c>
      <c r="I3817" t="s">
        <v>14690</v>
      </c>
      <c r="J3817" s="62">
        <v>0</v>
      </c>
      <c r="K3817" s="62">
        <v>0</v>
      </c>
      <c r="L3817" t="str">
        <f>VLOOKUP(VALUE(LEFT(C3817,5)),Xref!A:B,2,0)</f>
        <v>REM</v>
      </c>
      <c r="M3817" t="str">
        <f t="shared" si="239"/>
        <v>REM-SOU</v>
      </c>
    </row>
    <row r="3818" spans="1:13" ht="14.25" customHeight="true">
      <c r="A3818" s="33" t="str">
        <f t="shared" si="236"/>
        <v>SOU - Intercompany</v>
      </c>
      <c r="B3818" s="33" t="str">
        <f t="shared" si="237"/>
        <v>SOU</v>
      </c>
      <c r="C3818" s="33" t="str">
        <f t="shared" si="238"/>
        <v>11212-0000</v>
      </c>
      <c r="D3818" t="s">
        <v>27477</v>
      </c>
      <c r="E3818" t="s">
        <v>14083</v>
      </c>
      <c r="F3818" t="s">
        <v>14039</v>
      </c>
      <c r="G3818" t="s">
        <v>14672</v>
      </c>
      <c r="H3818" t="s">
        <v>13869</v>
      </c>
      <c r="I3818" t="s">
        <v>14690</v>
      </c>
      <c r="J3818" s="62">
        <v>0</v>
      </c>
      <c r="K3818" s="62">
        <v>0</v>
      </c>
      <c r="L3818" t="str">
        <f>VLOOKUP(VALUE(LEFT(C3818,5)),Xref!A:B,2,0)</f>
        <v>FRM</v>
      </c>
      <c r="M3818" t="str">
        <f t="shared" si="239"/>
        <v>FRM-SOU</v>
      </c>
    </row>
    <row r="3819" spans="1:13" ht="14.25" customHeight="true">
      <c r="A3819" s="33" t="str">
        <f t="shared" si="236"/>
        <v>SOU - Intercompany</v>
      </c>
      <c r="B3819" s="33" t="str">
        <f t="shared" si="237"/>
        <v>SOU</v>
      </c>
      <c r="C3819" s="33" t="str">
        <f t="shared" si="238"/>
        <v>11214-0000</v>
      </c>
      <c r="D3819" t="s">
        <v>27478</v>
      </c>
      <c r="E3819" t="s">
        <v>14085</v>
      </c>
      <c r="F3819" t="s">
        <v>14039</v>
      </c>
      <c r="G3819" t="s">
        <v>14672</v>
      </c>
      <c r="H3819" t="s">
        <v>13869</v>
      </c>
      <c r="I3819" t="s">
        <v>14690</v>
      </c>
      <c r="J3819" s="62">
        <v>0</v>
      </c>
      <c r="K3819" s="62">
        <v>0</v>
      </c>
      <c r="L3819" t="str">
        <f>VLOOKUP(VALUE(LEFT(C3819,5)),Xref!A:B,2,0)</f>
        <v>D7R</v>
      </c>
      <c r="M3819" t="str">
        <f t="shared" si="239"/>
        <v>D7R-SOU</v>
      </c>
    </row>
    <row r="3820" spans="1:13" ht="14.25" customHeight="true">
      <c r="A3820" s="33" t="str">
        <f t="shared" si="236"/>
        <v>SOU - Intercompany</v>
      </c>
      <c r="B3820" s="33" t="str">
        <f t="shared" si="237"/>
        <v>SOU</v>
      </c>
      <c r="C3820" s="33" t="str">
        <f t="shared" si="238"/>
        <v>11215-0000</v>
      </c>
      <c r="D3820" t="s">
        <v>27479</v>
      </c>
      <c r="E3820" t="s">
        <v>14087</v>
      </c>
      <c r="F3820" t="s">
        <v>14039</v>
      </c>
      <c r="G3820" t="s">
        <v>14672</v>
      </c>
      <c r="H3820" t="s">
        <v>13869</v>
      </c>
      <c r="I3820" t="s">
        <v>14690</v>
      </c>
      <c r="J3820" s="62">
        <v>0</v>
      </c>
      <c r="K3820" s="62">
        <v>0</v>
      </c>
      <c r="L3820" t="str">
        <f>VLOOKUP(VALUE(LEFT(C3820,5)),Xref!A:B,2,0)</f>
        <v>CDP</v>
      </c>
      <c r="M3820" t="str">
        <f t="shared" si="239"/>
        <v>CDP-SOU</v>
      </c>
    </row>
    <row r="3821" spans="1:13" ht="14.25" customHeight="true">
      <c r="A3821" s="33" t="str">
        <f t="shared" si="236"/>
        <v>SOU - Intercompany</v>
      </c>
      <c r="B3821" s="33" t="str">
        <f t="shared" si="237"/>
        <v>SOU</v>
      </c>
      <c r="C3821" s="33" t="str">
        <f t="shared" si="238"/>
        <v>11216-0000</v>
      </c>
      <c r="D3821" t="s">
        <v>27480</v>
      </c>
      <c r="E3821" t="s">
        <v>13224</v>
      </c>
      <c r="F3821" t="s">
        <v>14039</v>
      </c>
      <c r="G3821" t="s">
        <v>14672</v>
      </c>
      <c r="H3821" t="s">
        <v>13869</v>
      </c>
      <c r="I3821" t="s">
        <v>14690</v>
      </c>
      <c r="J3821" s="62">
        <v>0</v>
      </c>
      <c r="K3821" s="62">
        <v>0</v>
      </c>
      <c r="L3821" t="str">
        <f>VLOOKUP(VALUE(LEFT(C3821,5)),Xref!A:B,2,0)</f>
        <v>SIL</v>
      </c>
      <c r="M3821" t="str">
        <f t="shared" si="239"/>
        <v>SIL-SOU</v>
      </c>
    </row>
    <row r="3822" spans="1:13" ht="14.25" customHeight="true">
      <c r="A3822" s="33" t="str">
        <f t="shared" si="236"/>
        <v>SOU - Intercompany</v>
      </c>
      <c r="B3822" s="33" t="str">
        <f t="shared" si="237"/>
        <v>SOU</v>
      </c>
      <c r="C3822" s="33" t="str">
        <f t="shared" si="238"/>
        <v>11232-0000</v>
      </c>
      <c r="D3822" t="s">
        <v>27481</v>
      </c>
      <c r="E3822" t="s">
        <v>12486</v>
      </c>
      <c r="F3822" t="s">
        <v>14039</v>
      </c>
      <c r="G3822" t="s">
        <v>14672</v>
      </c>
      <c r="H3822" t="s">
        <v>13869</v>
      </c>
      <c r="I3822" t="s">
        <v>14690</v>
      </c>
      <c r="J3822" s="62">
        <v>0</v>
      </c>
      <c r="K3822" s="62">
        <v>0</v>
      </c>
      <c r="L3822" t="str">
        <f>VLOOKUP(VALUE(LEFT(C3822,5)),Xref!A:B,2,0)</f>
        <v>SC2</v>
      </c>
      <c r="M3822" t="str">
        <f t="shared" si="239"/>
        <v>SC2-SOU</v>
      </c>
    </row>
    <row r="3823" spans="1:13" ht="14.25" customHeight="true">
      <c r="A3823" s="33" t="str">
        <f t="shared" si="236"/>
        <v>SOU - Intercompany</v>
      </c>
      <c r="B3823" s="33" t="str">
        <f t="shared" si="237"/>
        <v>SOU</v>
      </c>
      <c r="C3823" s="33" t="str">
        <f t="shared" si="238"/>
        <v>11301-0000</v>
      </c>
      <c r="D3823" t="s">
        <v>27482</v>
      </c>
      <c r="E3823" t="s">
        <v>13225</v>
      </c>
      <c r="F3823" t="s">
        <v>14039</v>
      </c>
      <c r="G3823" t="s">
        <v>14672</v>
      </c>
      <c r="H3823" t="s">
        <v>13869</v>
      </c>
      <c r="I3823" t="s">
        <v>14690</v>
      </c>
      <c r="J3823" s="62">
        <v>0</v>
      </c>
      <c r="K3823" s="62">
        <v>0</v>
      </c>
      <c r="L3823" t="str">
        <f>VLOOKUP(VALUE(LEFT(C3823,5)),Xref!A:B,2,0)</f>
        <v>CRE</v>
      </c>
      <c r="M3823" t="str">
        <f t="shared" si="239"/>
        <v>CRE-SOU</v>
      </c>
    </row>
    <row r="3824" spans="1:13" ht="14.25" customHeight="true">
      <c r="A3824" s="33" t="str">
        <f t="shared" si="236"/>
        <v>SOU - Intercompany</v>
      </c>
      <c r="B3824" s="33" t="str">
        <f t="shared" si="237"/>
        <v>SOU</v>
      </c>
      <c r="C3824" s="33" t="str">
        <f t="shared" si="238"/>
        <v>11302-0000</v>
      </c>
      <c r="D3824" t="s">
        <v>27483</v>
      </c>
      <c r="E3824" t="s">
        <v>13226</v>
      </c>
      <c r="F3824" t="s">
        <v>14039</v>
      </c>
      <c r="G3824" t="s">
        <v>14672</v>
      </c>
      <c r="H3824" t="s">
        <v>13869</v>
      </c>
      <c r="I3824" t="s">
        <v>14690</v>
      </c>
      <c r="J3824" s="62">
        <v>0</v>
      </c>
      <c r="K3824" s="62">
        <v>0</v>
      </c>
      <c r="L3824" t="str">
        <f>VLOOKUP(VALUE(LEFT(C3824,5)),Xref!A:B,2,0)</f>
        <v>CHA</v>
      </c>
      <c r="M3824" t="str">
        <f t="shared" si="239"/>
        <v>CHA-SOU</v>
      </c>
    </row>
    <row r="3825" spans="1:13" ht="14.25" customHeight="true">
      <c r="A3825" s="33" t="str">
        <f t="shared" si="236"/>
        <v>SOU - Intercompany</v>
      </c>
      <c r="B3825" s="33" t="str">
        <f t="shared" si="237"/>
        <v>SOU</v>
      </c>
      <c r="C3825" s="33" t="str">
        <f t="shared" si="238"/>
        <v>11303-0000</v>
      </c>
      <c r="D3825" t="s">
        <v>27484</v>
      </c>
      <c r="E3825" t="s">
        <v>13227</v>
      </c>
      <c r="F3825" t="s">
        <v>14039</v>
      </c>
      <c r="G3825" t="s">
        <v>14672</v>
      </c>
      <c r="H3825" t="s">
        <v>13869</v>
      </c>
      <c r="I3825" t="s">
        <v>14690</v>
      </c>
      <c r="J3825" s="62">
        <v>0</v>
      </c>
      <c r="K3825" s="62">
        <v>0</v>
      </c>
      <c r="L3825" t="str">
        <f>VLOOKUP(VALUE(LEFT(C3825,5)),Xref!A:B,2,0)</f>
        <v>DIA</v>
      </c>
      <c r="M3825" t="str">
        <f t="shared" si="239"/>
        <v>DIA-SOU</v>
      </c>
    </row>
    <row r="3826" spans="1:13" ht="14.25" customHeight="true">
      <c r="A3826" s="33" t="str">
        <f t="shared" si="236"/>
        <v>SOU - Intercompany</v>
      </c>
      <c r="B3826" s="33" t="str">
        <f t="shared" si="237"/>
        <v>SOU</v>
      </c>
      <c r="C3826" s="33" t="str">
        <f t="shared" si="238"/>
        <v>11304-0000</v>
      </c>
      <c r="D3826" t="s">
        <v>27485</v>
      </c>
      <c r="E3826" t="s">
        <v>13228</v>
      </c>
      <c r="F3826" t="s">
        <v>14039</v>
      </c>
      <c r="G3826" t="s">
        <v>14672</v>
      </c>
      <c r="H3826" t="s">
        <v>13869</v>
      </c>
      <c r="I3826" t="s">
        <v>14690</v>
      </c>
      <c r="J3826" s="62">
        <v>0</v>
      </c>
      <c r="K3826" s="62">
        <v>0</v>
      </c>
      <c r="L3826" t="str">
        <f>VLOOKUP(VALUE(LEFT(C3826,5)),Xref!A:B,2,0)</f>
        <v>EAG</v>
      </c>
      <c r="M3826" t="str">
        <f t="shared" si="239"/>
        <v>EAG-SOU</v>
      </c>
    </row>
    <row r="3827" spans="1:13" ht="14.25" customHeight="true">
      <c r="A3827" s="33" t="str">
        <f t="shared" si="236"/>
        <v>SOU - Intercompany</v>
      </c>
      <c r="B3827" s="33" t="str">
        <f t="shared" si="237"/>
        <v>SOU</v>
      </c>
      <c r="C3827" s="33" t="str">
        <f t="shared" si="238"/>
        <v>11305-0000</v>
      </c>
      <c r="D3827" t="s">
        <v>27486</v>
      </c>
      <c r="E3827" t="s">
        <v>13229</v>
      </c>
      <c r="F3827" t="s">
        <v>14039</v>
      </c>
      <c r="G3827" t="s">
        <v>14672</v>
      </c>
      <c r="H3827" t="s">
        <v>13869</v>
      </c>
      <c r="I3827" t="s">
        <v>14690</v>
      </c>
      <c r="J3827" s="62">
        <v>0</v>
      </c>
      <c r="K3827" s="62">
        <v>0</v>
      </c>
      <c r="L3827" t="str">
        <f>VLOOKUP(VALUE(LEFT(C3827,5)),Xref!A:B,2,0)</f>
        <v>NEW</v>
      </c>
      <c r="M3827" t="str">
        <f t="shared" si="239"/>
        <v>NEW-SOU</v>
      </c>
    </row>
    <row r="3828" spans="1:13" ht="14.25" customHeight="true">
      <c r="A3828" s="33" t="str">
        <f t="shared" si="236"/>
        <v>SOU - Intercompany</v>
      </c>
      <c r="B3828" s="33" t="str">
        <f t="shared" si="237"/>
        <v>SOU</v>
      </c>
      <c r="C3828" s="33" t="str">
        <f t="shared" si="238"/>
        <v>11307-0000</v>
      </c>
      <c r="D3828" t="s">
        <v>27487</v>
      </c>
      <c r="E3828" t="s">
        <v>14096</v>
      </c>
      <c r="F3828" t="s">
        <v>14039</v>
      </c>
      <c r="G3828" t="s">
        <v>14672</v>
      </c>
      <c r="H3828" t="s">
        <v>13869</v>
      </c>
      <c r="I3828" t="s">
        <v>14690</v>
      </c>
      <c r="J3828" s="62">
        <v>0</v>
      </c>
      <c r="K3828" s="62">
        <v>0</v>
      </c>
      <c r="L3828" t="str">
        <f>VLOOKUP(VALUE(LEFT(C3828,5)),Xref!A:B,2,0)</f>
        <v>NES</v>
      </c>
      <c r="M3828" t="str">
        <f t="shared" si="239"/>
        <v>NES-SOU</v>
      </c>
    </row>
    <row r="3829" spans="1:13" ht="14.25" customHeight="true">
      <c r="A3829" s="33" t="str">
        <f t="shared" si="236"/>
        <v>SOU - Intercompany</v>
      </c>
      <c r="B3829" s="33" t="str">
        <f t="shared" si="237"/>
        <v>SOU</v>
      </c>
      <c r="C3829" s="33" t="str">
        <f t="shared" si="238"/>
        <v>11308-0000</v>
      </c>
      <c r="D3829" t="s">
        <v>27488</v>
      </c>
      <c r="E3829" t="s">
        <v>13476</v>
      </c>
      <c r="F3829" t="s">
        <v>14039</v>
      </c>
      <c r="G3829" t="s">
        <v>14672</v>
      </c>
      <c r="H3829" t="s">
        <v>13869</v>
      </c>
      <c r="I3829" t="s">
        <v>14690</v>
      </c>
      <c r="J3829" s="62">
        <v>0</v>
      </c>
      <c r="K3829" s="62">
        <v>0</v>
      </c>
      <c r="L3829" t="str">
        <f>VLOOKUP(VALUE(LEFT(C3829,5)),Xref!A:B,2,0)</f>
        <v>LPI</v>
      </c>
      <c r="M3829" t="str">
        <f t="shared" si="239"/>
        <v>LPI-SOU</v>
      </c>
    </row>
    <row r="3830" spans="1:13" ht="14.25" customHeight="true">
      <c r="A3830" s="33" t="str">
        <f t="shared" si="236"/>
        <v>SOU - Intercompany</v>
      </c>
      <c r="B3830" s="33" t="str">
        <f t="shared" si="237"/>
        <v>SOU</v>
      </c>
      <c r="C3830" s="33" t="str">
        <f t="shared" si="238"/>
        <v>11309-0000</v>
      </c>
      <c r="D3830" t="s">
        <v>27489</v>
      </c>
      <c r="E3830" t="s">
        <v>13230</v>
      </c>
      <c r="F3830" t="s">
        <v>14039</v>
      </c>
      <c r="G3830" t="s">
        <v>14672</v>
      </c>
      <c r="H3830" t="s">
        <v>13869</v>
      </c>
      <c r="I3830" t="s">
        <v>14690</v>
      </c>
      <c r="J3830" s="62">
        <v>0</v>
      </c>
      <c r="K3830" s="62">
        <v>0</v>
      </c>
      <c r="L3830" t="str">
        <f>VLOOKUP(VALUE(LEFT(C3830,5)),Xref!A:B,2,0)</f>
        <v>GPI</v>
      </c>
      <c r="M3830" t="str">
        <f t="shared" si="239"/>
        <v>GPI-SOU</v>
      </c>
    </row>
    <row r="3831" spans="1:13" ht="14.25" customHeight="true">
      <c r="A3831" s="33" t="str">
        <f t="shared" si="236"/>
        <v>SOU - Intercompany</v>
      </c>
      <c r="B3831" s="33" t="str">
        <f t="shared" si="237"/>
        <v>SOU</v>
      </c>
      <c r="C3831" s="33" t="str">
        <f t="shared" si="238"/>
        <v>11310-0000</v>
      </c>
      <c r="D3831" t="s">
        <v>27490</v>
      </c>
      <c r="E3831" t="s">
        <v>13231</v>
      </c>
      <c r="F3831" t="s">
        <v>14039</v>
      </c>
      <c r="G3831" t="s">
        <v>14672</v>
      </c>
      <c r="H3831" t="s">
        <v>13869</v>
      </c>
      <c r="I3831" t="s">
        <v>14690</v>
      </c>
      <c r="J3831" s="62">
        <v>0</v>
      </c>
      <c r="K3831" s="62">
        <v>0</v>
      </c>
      <c r="L3831" t="str">
        <f>VLOOKUP(VALUE(LEFT(C3831,5)),Xref!A:B,2,0)</f>
        <v>ALP</v>
      </c>
      <c r="M3831" t="str">
        <f t="shared" si="239"/>
        <v>ALP-SOU</v>
      </c>
    </row>
    <row r="3832" spans="1:13" ht="14.25" customHeight="true">
      <c r="A3832" s="33" t="str">
        <f t="shared" si="236"/>
        <v>SOU - Intercompany</v>
      </c>
      <c r="B3832" s="33" t="str">
        <f t="shared" si="237"/>
        <v>SOU</v>
      </c>
      <c r="C3832" s="33" t="str">
        <f t="shared" si="238"/>
        <v>11311-0000</v>
      </c>
      <c r="D3832" t="s">
        <v>27491</v>
      </c>
      <c r="E3832" t="s">
        <v>13232</v>
      </c>
      <c r="F3832" t="s">
        <v>14039</v>
      </c>
      <c r="G3832" t="s">
        <v>14672</v>
      </c>
      <c r="H3832" t="s">
        <v>13869</v>
      </c>
      <c r="I3832" t="s">
        <v>14690</v>
      </c>
      <c r="J3832" s="62">
        <v>0</v>
      </c>
      <c r="K3832" s="62">
        <v>0</v>
      </c>
      <c r="L3832" t="str">
        <f>VLOOKUP(VALUE(LEFT(C3832,5)),Xref!A:B,2,0)</f>
        <v>BET</v>
      </c>
      <c r="M3832" t="str">
        <f t="shared" si="239"/>
        <v>BET-SOU</v>
      </c>
    </row>
    <row r="3833" spans="1:13" ht="14.25" customHeight="true">
      <c r="A3833" s="33" t="str">
        <f t="shared" si="236"/>
        <v>SOU - Intercompany</v>
      </c>
      <c r="B3833" s="33" t="str">
        <f t="shared" si="237"/>
        <v>SOU</v>
      </c>
      <c r="C3833" s="33" t="str">
        <f t="shared" si="238"/>
        <v>11312-0000</v>
      </c>
      <c r="D3833" t="s">
        <v>27492</v>
      </c>
      <c r="E3833" t="s">
        <v>14102</v>
      </c>
      <c r="F3833" t="s">
        <v>14039</v>
      </c>
      <c r="G3833" t="s">
        <v>14672</v>
      </c>
      <c r="H3833" t="s">
        <v>13869</v>
      </c>
      <c r="I3833" t="s">
        <v>14690</v>
      </c>
      <c r="J3833" s="62">
        <v>0</v>
      </c>
      <c r="K3833" s="62">
        <v>0</v>
      </c>
      <c r="L3833" t="str">
        <f>VLOOKUP(VALUE(LEFT(C3833,5)),Xref!A:B,2,0)</f>
        <v>DEL</v>
      </c>
      <c r="M3833" t="str">
        <f t="shared" si="239"/>
        <v>DEL-SOU</v>
      </c>
    </row>
    <row r="3834" spans="1:13" ht="14.25" customHeight="true">
      <c r="A3834" s="33" t="str">
        <f t="shared" si="236"/>
        <v>SOU - Intercompany</v>
      </c>
      <c r="B3834" s="33" t="str">
        <f t="shared" si="237"/>
        <v>SOU</v>
      </c>
      <c r="C3834" s="33" t="str">
        <f t="shared" si="238"/>
        <v>11313-0000</v>
      </c>
      <c r="D3834" t="s">
        <v>27493</v>
      </c>
      <c r="E3834" t="s">
        <v>13233</v>
      </c>
      <c r="F3834" t="s">
        <v>14039</v>
      </c>
      <c r="G3834" t="s">
        <v>14672</v>
      </c>
      <c r="H3834" t="s">
        <v>13869</v>
      </c>
      <c r="I3834" t="s">
        <v>14690</v>
      </c>
      <c r="J3834" s="62">
        <v>0</v>
      </c>
      <c r="K3834" s="62">
        <v>0</v>
      </c>
      <c r="L3834" t="str">
        <f>VLOOKUP(VALUE(LEFT(C3834,5)),Xref!A:B,2,0)</f>
        <v>DOL</v>
      </c>
      <c r="M3834" t="str">
        <f t="shared" si="239"/>
        <v>DOL-SOU</v>
      </c>
    </row>
    <row r="3835" spans="1:13" ht="14.25" customHeight="true">
      <c r="A3835" s="33" t="str">
        <f t="shared" si="236"/>
        <v>SOU - Intercompany</v>
      </c>
      <c r="B3835" s="33" t="str">
        <f t="shared" si="237"/>
        <v>SOU</v>
      </c>
      <c r="C3835" s="33" t="str">
        <f t="shared" si="238"/>
        <v>11314-0000</v>
      </c>
      <c r="D3835" t="s">
        <v>27494</v>
      </c>
      <c r="E3835" t="s">
        <v>13351</v>
      </c>
      <c r="F3835" t="s">
        <v>14039</v>
      </c>
      <c r="G3835" t="s">
        <v>14672</v>
      </c>
      <c r="H3835" t="s">
        <v>13869</v>
      </c>
      <c r="I3835" t="s">
        <v>14690</v>
      </c>
      <c r="J3835" s="62">
        <v>0</v>
      </c>
      <c r="K3835" s="62">
        <v>0</v>
      </c>
      <c r="L3835" t="str">
        <f>VLOOKUP(VALUE(LEFT(C3835,5)),Xref!A:B,2,0)</f>
        <v>GRI</v>
      </c>
      <c r="M3835" t="str">
        <f t="shared" si="239"/>
        <v>GRI-SOU</v>
      </c>
    </row>
    <row r="3836" spans="1:13" ht="14.25" customHeight="true">
      <c r="A3836" s="33" t="str">
        <f t="shared" si="236"/>
        <v>SOU - Intercompany</v>
      </c>
      <c r="B3836" s="33" t="str">
        <f t="shared" si="237"/>
        <v>SOU</v>
      </c>
      <c r="C3836" s="33" t="str">
        <f t="shared" si="238"/>
        <v>11315-0000</v>
      </c>
      <c r="D3836" t="s">
        <v>27495</v>
      </c>
      <c r="E3836" t="s">
        <v>13234</v>
      </c>
      <c r="F3836" t="s">
        <v>14039</v>
      </c>
      <c r="G3836" t="s">
        <v>14672</v>
      </c>
      <c r="H3836" t="s">
        <v>13869</v>
      </c>
      <c r="I3836" t="s">
        <v>14690</v>
      </c>
      <c r="J3836" s="62">
        <v>0</v>
      </c>
      <c r="K3836" s="62">
        <v>0</v>
      </c>
      <c r="L3836" t="str">
        <f>VLOOKUP(VALUE(LEFT(C3836,5)),Xref!A:B,2,0)</f>
        <v>PUR</v>
      </c>
      <c r="M3836" t="str">
        <f t="shared" si="239"/>
        <v>PUR-SOU</v>
      </c>
    </row>
    <row r="3837" spans="1:13" ht="14.25" customHeight="true">
      <c r="A3837" s="33" t="str">
        <f t="shared" si="236"/>
        <v>SOU - Intercompany</v>
      </c>
      <c r="B3837" s="33" t="str">
        <f t="shared" si="237"/>
        <v>SOU</v>
      </c>
      <c r="C3837" s="33" t="str">
        <f t="shared" si="238"/>
        <v>11316-0000</v>
      </c>
      <c r="D3837" t="s">
        <v>27496</v>
      </c>
      <c r="E3837" t="s">
        <v>13235</v>
      </c>
      <c r="F3837" t="s">
        <v>14039</v>
      </c>
      <c r="G3837" t="s">
        <v>14672</v>
      </c>
      <c r="H3837" t="s">
        <v>13869</v>
      </c>
      <c r="I3837" t="s">
        <v>14690</v>
      </c>
      <c r="J3837" s="62">
        <v>0</v>
      </c>
      <c r="K3837" s="62">
        <v>0</v>
      </c>
      <c r="L3837" t="str">
        <f>VLOOKUP(VALUE(LEFT(C3837,5)),Xref!A:B,2,0)</f>
        <v>VAL</v>
      </c>
      <c r="M3837" t="str">
        <f t="shared" si="239"/>
        <v>SOU-VAL</v>
      </c>
    </row>
    <row r="3838" spans="1:13" ht="14.25" customHeight="true">
      <c r="A3838" s="33" t="str">
        <f t="shared" si="236"/>
        <v>SOU - Intercompany</v>
      </c>
      <c r="B3838" s="33" t="str">
        <f t="shared" si="237"/>
        <v>SOU</v>
      </c>
      <c r="C3838" s="33" t="str">
        <f t="shared" si="238"/>
        <v>11317-0000</v>
      </c>
      <c r="D3838" t="s">
        <v>27497</v>
      </c>
      <c r="E3838" t="s">
        <v>13352</v>
      </c>
      <c r="F3838" t="s">
        <v>14039</v>
      </c>
      <c r="G3838" t="s">
        <v>14672</v>
      </c>
      <c r="H3838" t="s">
        <v>13869</v>
      </c>
      <c r="I3838" t="s">
        <v>14690</v>
      </c>
      <c r="J3838" s="62">
        <v>0</v>
      </c>
      <c r="K3838" s="62">
        <v>0</v>
      </c>
      <c r="L3838" t="str">
        <f>VLOOKUP(VALUE(LEFT(C3838,5)),Xref!A:B,2,0)</f>
        <v>AKG</v>
      </c>
      <c r="M3838" t="str">
        <f t="shared" si="239"/>
        <v>AKG-SOU</v>
      </c>
    </row>
    <row r="3839" spans="1:13" ht="14.25" customHeight="true">
      <c r="A3839" s="33" t="str">
        <f t="shared" si="236"/>
        <v>SOU - Intercompany</v>
      </c>
      <c r="B3839" s="33" t="str">
        <f t="shared" si="237"/>
        <v>SOU</v>
      </c>
      <c r="C3839" s="33" t="str">
        <f t="shared" si="238"/>
        <v>11318-0000</v>
      </c>
      <c r="D3839" t="s">
        <v>27498</v>
      </c>
      <c r="E3839" t="s">
        <v>13477</v>
      </c>
      <c r="F3839" t="s">
        <v>14039</v>
      </c>
      <c r="G3839" t="s">
        <v>14672</v>
      </c>
      <c r="H3839" t="s">
        <v>13869</v>
      </c>
      <c r="I3839" t="s">
        <v>14690</v>
      </c>
      <c r="J3839" s="62">
        <v>0</v>
      </c>
      <c r="K3839" s="62">
        <v>0</v>
      </c>
      <c r="L3839" t="str">
        <f>VLOOKUP(VALUE(LEFT(C3839,5)),Xref!A:B,2,0)</f>
        <v>FIR</v>
      </c>
      <c r="M3839" t="str">
        <f t="shared" si="239"/>
        <v>FIR-SOU</v>
      </c>
    </row>
    <row r="3840" spans="1:13" ht="14.25" customHeight="true">
      <c r="A3840" s="33" t="str">
        <f t="shared" si="236"/>
        <v>SOU - Intercompany</v>
      </c>
      <c r="B3840" s="33" t="str">
        <f t="shared" si="237"/>
        <v>SOU</v>
      </c>
      <c r="C3840" s="33" t="str">
        <f t="shared" si="238"/>
        <v>11319-0000</v>
      </c>
      <c r="D3840" t="s">
        <v>27499</v>
      </c>
      <c r="E3840" t="s">
        <v>266</v>
      </c>
      <c r="F3840" t="s">
        <v>14039</v>
      </c>
      <c r="G3840" t="s">
        <v>14672</v>
      </c>
      <c r="H3840" t="s">
        <v>13869</v>
      </c>
      <c r="I3840" t="s">
        <v>14690</v>
      </c>
      <c r="J3840" s="62">
        <v>0</v>
      </c>
      <c r="K3840" s="62">
        <v>0</v>
      </c>
      <c r="L3840" t="str">
        <f>VLOOKUP(VALUE(LEFT(C3840,5)),Xref!A:B,2,0)</f>
        <v>GST</v>
      </c>
      <c r="M3840" t="str">
        <f t="shared" si="239"/>
        <v>GST-SOU</v>
      </c>
    </row>
    <row r="3841" spans="1:13" ht="14.25" customHeight="true">
      <c r="A3841" s="33" t="str">
        <f t="shared" si="236"/>
        <v>SOU - Intercompany</v>
      </c>
      <c r="B3841" s="33" t="str">
        <f t="shared" si="237"/>
        <v>SOU</v>
      </c>
      <c r="C3841" s="33" t="str">
        <f t="shared" si="238"/>
        <v>11320-0000</v>
      </c>
      <c r="D3841" t="s">
        <v>27500</v>
      </c>
      <c r="E3841" t="s">
        <v>14111</v>
      </c>
      <c r="F3841" t="s">
        <v>14039</v>
      </c>
      <c r="G3841" t="s">
        <v>14672</v>
      </c>
      <c r="H3841" t="s">
        <v>13869</v>
      </c>
      <c r="I3841" t="s">
        <v>14690</v>
      </c>
      <c r="J3841" s="62">
        <v>0</v>
      </c>
      <c r="K3841" s="62">
        <v>0</v>
      </c>
      <c r="L3841" t="str">
        <f>VLOOKUP(VALUE(LEFT(C3841,5)),Xref!A:B,2,0)</f>
        <v>HDN</v>
      </c>
      <c r="M3841" t="str">
        <f t="shared" si="239"/>
        <v>HDN-SOU</v>
      </c>
    </row>
    <row r="3842" spans="1:13" ht="14.25" customHeight="true">
      <c r="A3842" s="33" t="str">
        <f t="shared" ref="A3842:A3905" si="240">B3842&amp;" - "&amp;TRIM(H3842)</f>
        <v>SOU - Intercompany</v>
      </c>
      <c r="B3842" s="33" t="str">
        <f t="shared" ref="B3842:B3905" si="241">LEFT(D3842,3)</f>
        <v>SOU</v>
      </c>
      <c r="C3842" s="33" t="str">
        <f t="shared" ref="C3842:C3905" si="242">RIGHT(D3842,10)</f>
        <v>11321-0000</v>
      </c>
      <c r="D3842" t="s">
        <v>27501</v>
      </c>
      <c r="E3842" t="s">
        <v>13236</v>
      </c>
      <c r="F3842" t="s">
        <v>14039</v>
      </c>
      <c r="G3842" t="s">
        <v>14672</v>
      </c>
      <c r="H3842" t="s">
        <v>13869</v>
      </c>
      <c r="I3842" t="s">
        <v>14690</v>
      </c>
      <c r="J3842" s="62">
        <v>0</v>
      </c>
      <c r="K3842" s="62">
        <v>0</v>
      </c>
      <c r="L3842" t="str">
        <f>VLOOKUP(VALUE(LEFT(C3842,5)),Xref!A:B,2,0)</f>
        <v>OVA</v>
      </c>
      <c r="M3842" t="str">
        <f t="shared" ref="M3842:M3905" si="243">IF(B3842&lt;L3842,B3842&amp;"-"&amp;L3842,L3842&amp;"-"&amp;B3842)</f>
        <v>OVA-SOU</v>
      </c>
    </row>
    <row r="3843" spans="1:13" ht="14.25" customHeight="true">
      <c r="A3843" s="33" t="str">
        <f t="shared" si="240"/>
        <v>SOU - Intercompany</v>
      </c>
      <c r="B3843" s="33" t="str">
        <f t="shared" si="241"/>
        <v>SOU</v>
      </c>
      <c r="C3843" s="33" t="str">
        <f t="shared" si="242"/>
        <v>11322-0000</v>
      </c>
      <c r="D3843" t="s">
        <v>27502</v>
      </c>
      <c r="E3843" t="s">
        <v>13237</v>
      </c>
      <c r="F3843" t="s">
        <v>14039</v>
      </c>
      <c r="G3843" t="s">
        <v>14672</v>
      </c>
      <c r="H3843" t="s">
        <v>13869</v>
      </c>
      <c r="I3843" t="s">
        <v>14690</v>
      </c>
      <c r="J3843" s="62">
        <v>0</v>
      </c>
      <c r="K3843" s="62">
        <v>0</v>
      </c>
      <c r="L3843" t="str">
        <f>VLOOKUP(VALUE(LEFT(C3843,5)),Xref!A:B,2,0)</f>
        <v>WOO</v>
      </c>
      <c r="M3843" t="str">
        <f t="shared" si="243"/>
        <v>SOU-WOO</v>
      </c>
    </row>
    <row r="3844" spans="1:13" ht="14.25" customHeight="true">
      <c r="A3844" s="33" t="str">
        <f t="shared" si="240"/>
        <v>SOU - Intercompany</v>
      </c>
      <c r="B3844" s="33" t="str">
        <f t="shared" si="241"/>
        <v>SOU</v>
      </c>
      <c r="C3844" s="33" t="str">
        <f t="shared" si="242"/>
        <v>11323-0000</v>
      </c>
      <c r="D3844" t="s">
        <v>27503</v>
      </c>
      <c r="E3844" t="s">
        <v>13478</v>
      </c>
      <c r="F3844" t="s">
        <v>14039</v>
      </c>
      <c r="G3844" t="s">
        <v>14672</v>
      </c>
      <c r="H3844" t="s">
        <v>13869</v>
      </c>
      <c r="I3844" t="s">
        <v>14690</v>
      </c>
      <c r="J3844" s="62">
        <v>0</v>
      </c>
      <c r="K3844" s="62">
        <v>0</v>
      </c>
      <c r="L3844" t="str">
        <f>VLOOKUP(VALUE(LEFT(C3844,5)),Xref!A:B,2,0)</f>
        <v>SPI</v>
      </c>
      <c r="M3844" t="str">
        <f t="shared" si="243"/>
        <v>SOU-SPI</v>
      </c>
    </row>
    <row r="3845" spans="1:13" ht="14.25" customHeight="true">
      <c r="A3845" s="33" t="str">
        <f t="shared" si="240"/>
        <v>SOU - Intercompany</v>
      </c>
      <c r="B3845" s="33" t="str">
        <f t="shared" si="241"/>
        <v>SOU</v>
      </c>
      <c r="C3845" s="33" t="str">
        <f t="shared" si="242"/>
        <v>11324-0000</v>
      </c>
      <c r="D3845" t="s">
        <v>27504</v>
      </c>
      <c r="E3845" t="s">
        <v>13238</v>
      </c>
      <c r="F3845" t="s">
        <v>14039</v>
      </c>
      <c r="G3845" t="s">
        <v>14672</v>
      </c>
      <c r="H3845" t="s">
        <v>13869</v>
      </c>
      <c r="I3845" t="s">
        <v>14690</v>
      </c>
      <c r="J3845" s="62">
        <v>0</v>
      </c>
      <c r="K3845" s="62">
        <v>0</v>
      </c>
      <c r="L3845" t="str">
        <f>VLOOKUP(VALUE(LEFT(C3845,5)),Xref!A:B,2,0)</f>
        <v>NET</v>
      </c>
      <c r="M3845" t="str">
        <f t="shared" si="243"/>
        <v>NET-SOU</v>
      </c>
    </row>
    <row r="3846" spans="1:13" ht="14.25" customHeight="true">
      <c r="A3846" s="33" t="str">
        <f t="shared" si="240"/>
        <v>SOU - Intercompany</v>
      </c>
      <c r="B3846" s="33" t="str">
        <f t="shared" si="241"/>
        <v>SOU</v>
      </c>
      <c r="C3846" s="33" t="str">
        <f t="shared" si="242"/>
        <v>11325-0000</v>
      </c>
      <c r="D3846" t="s">
        <v>27505</v>
      </c>
      <c r="E3846" t="s">
        <v>13239</v>
      </c>
      <c r="F3846" t="s">
        <v>14039</v>
      </c>
      <c r="G3846" t="s">
        <v>14672</v>
      </c>
      <c r="H3846" t="s">
        <v>13869</v>
      </c>
      <c r="I3846" t="s">
        <v>14690</v>
      </c>
      <c r="J3846" s="62">
        <v>0</v>
      </c>
      <c r="K3846" s="62">
        <v>0</v>
      </c>
      <c r="L3846" t="str">
        <f>VLOOKUP(VALUE(LEFT(C3846,5)),Xref!A:B,2,0)</f>
        <v>DPI</v>
      </c>
      <c r="M3846" t="str">
        <f t="shared" si="243"/>
        <v>DPI-SOU</v>
      </c>
    </row>
    <row r="3847" spans="1:13" ht="14.25" customHeight="true">
      <c r="A3847" s="33" t="str">
        <f t="shared" si="240"/>
        <v>SOU - Intercompany</v>
      </c>
      <c r="B3847" s="33" t="str">
        <f t="shared" si="241"/>
        <v>SOU</v>
      </c>
      <c r="C3847" s="33" t="str">
        <f t="shared" si="242"/>
        <v>11326-0000</v>
      </c>
      <c r="D3847" t="s">
        <v>27506</v>
      </c>
      <c r="E3847" t="s">
        <v>13240</v>
      </c>
      <c r="F3847" t="s">
        <v>14039</v>
      </c>
      <c r="G3847" t="s">
        <v>14672</v>
      </c>
      <c r="H3847" t="s">
        <v>13869</v>
      </c>
      <c r="I3847" t="s">
        <v>14690</v>
      </c>
      <c r="J3847" s="62">
        <v>0</v>
      </c>
      <c r="K3847" s="62">
        <v>0</v>
      </c>
      <c r="L3847" t="str">
        <f>VLOOKUP(VALUE(LEFT(C3847,5)),Xref!A:B,2,0)</f>
        <v>SEK</v>
      </c>
      <c r="M3847" t="str">
        <f t="shared" si="243"/>
        <v>SEK-SOU</v>
      </c>
    </row>
    <row r="3848" spans="1:13" ht="14.25" customHeight="true">
      <c r="A3848" s="33" t="str">
        <f t="shared" si="240"/>
        <v>SOU - Intercompany</v>
      </c>
      <c r="B3848" s="33" t="str">
        <f t="shared" si="241"/>
        <v>SOU</v>
      </c>
      <c r="C3848" s="33" t="str">
        <f t="shared" si="242"/>
        <v>11327-0000</v>
      </c>
      <c r="D3848" t="s">
        <v>27507</v>
      </c>
      <c r="E3848" t="s">
        <v>14119</v>
      </c>
      <c r="F3848" t="s">
        <v>14039</v>
      </c>
      <c r="G3848" t="s">
        <v>14672</v>
      </c>
      <c r="H3848" t="s">
        <v>13869</v>
      </c>
      <c r="I3848" t="s">
        <v>14690</v>
      </c>
      <c r="J3848" s="62">
        <v>0</v>
      </c>
      <c r="K3848" s="62">
        <v>0</v>
      </c>
      <c r="L3848" t="str">
        <f>VLOOKUP(VALUE(LEFT(C3848,5)),Xref!A:B,2,0)</f>
        <v>CPI</v>
      </c>
      <c r="M3848" t="str">
        <f t="shared" si="243"/>
        <v>CPI-SOU</v>
      </c>
    </row>
    <row r="3849" spans="1:13" ht="14.25" customHeight="true">
      <c r="A3849" s="33" t="str">
        <f t="shared" si="240"/>
        <v>SOU - Intercompany</v>
      </c>
      <c r="B3849" s="33" t="str">
        <f t="shared" si="241"/>
        <v>SOU</v>
      </c>
      <c r="C3849" s="33" t="str">
        <f t="shared" si="242"/>
        <v>11328-0000</v>
      </c>
      <c r="D3849" t="s">
        <v>27508</v>
      </c>
      <c r="E3849" t="s">
        <v>13241</v>
      </c>
      <c r="F3849" t="s">
        <v>14039</v>
      </c>
      <c r="G3849" t="s">
        <v>14672</v>
      </c>
      <c r="H3849" t="s">
        <v>13869</v>
      </c>
      <c r="I3849" t="s">
        <v>14690</v>
      </c>
      <c r="J3849" s="62">
        <v>0</v>
      </c>
      <c r="K3849" s="62">
        <v>0</v>
      </c>
      <c r="L3849" t="str">
        <f>VLOOKUP(VALUE(LEFT(C3849,5)),Xref!A:B,2,0)</f>
        <v>LOM</v>
      </c>
      <c r="M3849" t="str">
        <f t="shared" si="243"/>
        <v>LOM-SOU</v>
      </c>
    </row>
    <row r="3850" spans="1:13" ht="14.25" customHeight="true">
      <c r="A3850" s="33" t="str">
        <f t="shared" si="240"/>
        <v>SOU - Intercompany</v>
      </c>
      <c r="B3850" s="33" t="str">
        <f t="shared" si="241"/>
        <v>SOU</v>
      </c>
      <c r="C3850" s="33" t="str">
        <f t="shared" si="242"/>
        <v>11329-0000</v>
      </c>
      <c r="D3850" t="s">
        <v>27509</v>
      </c>
      <c r="E3850" t="s">
        <v>13353</v>
      </c>
      <c r="F3850" t="s">
        <v>14039</v>
      </c>
      <c r="G3850" t="s">
        <v>14672</v>
      </c>
      <c r="H3850" t="s">
        <v>13869</v>
      </c>
      <c r="I3850" t="s">
        <v>14690</v>
      </c>
      <c r="J3850" s="62">
        <v>0</v>
      </c>
      <c r="K3850" s="62">
        <v>0</v>
      </c>
      <c r="L3850" t="str">
        <f>VLOOKUP(VALUE(LEFT(C3850,5)),Xref!A:B,2,0)</f>
        <v>AKS</v>
      </c>
      <c r="M3850" t="str">
        <f t="shared" si="243"/>
        <v>AKS-SOU</v>
      </c>
    </row>
    <row r="3851" spans="1:13" ht="14.25" customHeight="true">
      <c r="A3851" s="33" t="str">
        <f t="shared" si="240"/>
        <v>SOU - Intercompany</v>
      </c>
      <c r="B3851" s="33" t="str">
        <f t="shared" si="241"/>
        <v>SOU</v>
      </c>
      <c r="C3851" s="33" t="str">
        <f t="shared" si="242"/>
        <v>11330-0000</v>
      </c>
      <c r="D3851" t="s">
        <v>2669</v>
      </c>
      <c r="E3851" t="s">
        <v>13242</v>
      </c>
      <c r="F3851" t="s">
        <v>14039</v>
      </c>
      <c r="G3851" t="s">
        <v>14672</v>
      </c>
      <c r="H3851" t="s">
        <v>13869</v>
      </c>
      <c r="I3851" t="s">
        <v>14690</v>
      </c>
      <c r="J3851" s="62">
        <v>0</v>
      </c>
      <c r="K3851" s="62">
        <v>14000</v>
      </c>
      <c r="L3851" t="str">
        <f>VLOOKUP(VALUE(LEFT(C3851,5)),Xref!A:B,2,0)</f>
        <v>MAR</v>
      </c>
      <c r="M3851" t="str">
        <f t="shared" si="243"/>
        <v>MAR-SOU</v>
      </c>
    </row>
    <row r="3852" spans="1:13" ht="14.25" customHeight="true">
      <c r="A3852" s="33" t="str">
        <f t="shared" si="240"/>
        <v>SOU - Intercompany</v>
      </c>
      <c r="B3852" s="33" t="str">
        <f t="shared" si="241"/>
        <v>SOU</v>
      </c>
      <c r="C3852" s="33" t="str">
        <f t="shared" si="242"/>
        <v>11331-0000</v>
      </c>
      <c r="D3852" t="s">
        <v>27510</v>
      </c>
      <c r="E3852" t="s">
        <v>13354</v>
      </c>
      <c r="F3852" t="s">
        <v>14039</v>
      </c>
      <c r="G3852" t="s">
        <v>14672</v>
      </c>
      <c r="H3852" t="s">
        <v>13869</v>
      </c>
      <c r="I3852" t="s">
        <v>14690</v>
      </c>
      <c r="J3852" s="62">
        <v>0</v>
      </c>
      <c r="K3852" s="62">
        <v>0</v>
      </c>
      <c r="L3852" t="str">
        <f>VLOOKUP(VALUE(LEFT(C3852,5)),Xref!A:B,2,0)</f>
        <v>WIL</v>
      </c>
      <c r="M3852" t="str">
        <f t="shared" si="243"/>
        <v>SOU-WIL</v>
      </c>
    </row>
    <row r="3853" spans="1:13" ht="14.25" customHeight="true">
      <c r="A3853" s="33" t="str">
        <f t="shared" si="240"/>
        <v>SOU - Intercompany</v>
      </c>
      <c r="B3853" s="33" t="str">
        <f t="shared" si="241"/>
        <v>SOU</v>
      </c>
      <c r="C3853" s="33" t="str">
        <f t="shared" si="242"/>
        <v>11332-0000</v>
      </c>
      <c r="D3853" t="s">
        <v>27511</v>
      </c>
      <c r="E3853" t="s">
        <v>13243</v>
      </c>
      <c r="F3853" t="s">
        <v>14039</v>
      </c>
      <c r="G3853" t="s">
        <v>14672</v>
      </c>
      <c r="H3853" t="s">
        <v>13869</v>
      </c>
      <c r="I3853" t="s">
        <v>14690</v>
      </c>
      <c r="J3853" s="62">
        <v>0</v>
      </c>
      <c r="K3853" s="62">
        <v>0</v>
      </c>
      <c r="L3853" t="str">
        <f>VLOOKUP(VALUE(LEFT(C3853,5)),Xref!A:B,2,0)</f>
        <v>STO</v>
      </c>
      <c r="M3853" t="str">
        <f t="shared" si="243"/>
        <v>SOU-STO</v>
      </c>
    </row>
    <row r="3854" spans="1:13" ht="14.25" customHeight="true">
      <c r="A3854" s="33" t="str">
        <f t="shared" si="240"/>
        <v>SOU - Intercompany</v>
      </c>
      <c r="B3854" s="33" t="str">
        <f t="shared" si="241"/>
        <v>SOU</v>
      </c>
      <c r="C3854" s="33" t="str">
        <f t="shared" si="242"/>
        <v>11333-0000</v>
      </c>
      <c r="D3854" t="s">
        <v>27512</v>
      </c>
      <c r="E3854" t="s">
        <v>13244</v>
      </c>
      <c r="F3854" t="s">
        <v>14039</v>
      </c>
      <c r="G3854" t="s">
        <v>14672</v>
      </c>
      <c r="H3854" t="s">
        <v>13869</v>
      </c>
      <c r="I3854" t="s">
        <v>14690</v>
      </c>
      <c r="J3854" s="62">
        <v>0</v>
      </c>
      <c r="K3854" s="62">
        <v>0</v>
      </c>
      <c r="L3854" t="str">
        <f>VLOOKUP(VALUE(LEFT(C3854,5)),Xref!A:B,2,0)</f>
        <v>ANG</v>
      </c>
      <c r="M3854" t="str">
        <f t="shared" si="243"/>
        <v>ANG-SOU</v>
      </c>
    </row>
    <row r="3855" spans="1:13" ht="14.25" customHeight="true">
      <c r="A3855" s="33" t="str">
        <f t="shared" si="240"/>
        <v>SOU - Intercompany</v>
      </c>
      <c r="B3855" s="33" t="str">
        <f t="shared" si="241"/>
        <v>SOU</v>
      </c>
      <c r="C3855" s="33" t="str">
        <f t="shared" si="242"/>
        <v>11334-0000</v>
      </c>
      <c r="D3855" t="s">
        <v>27513</v>
      </c>
      <c r="E3855" t="s">
        <v>13245</v>
      </c>
      <c r="F3855" t="s">
        <v>14039</v>
      </c>
      <c r="G3855" t="s">
        <v>14672</v>
      </c>
      <c r="H3855" t="s">
        <v>13869</v>
      </c>
      <c r="I3855" t="s">
        <v>14690</v>
      </c>
      <c r="J3855" s="62">
        <v>0</v>
      </c>
      <c r="K3855" s="62">
        <v>0</v>
      </c>
      <c r="L3855" t="str">
        <f>VLOOKUP(VALUE(LEFT(C3855,5)),Xref!A:B,2,0)</f>
        <v>BRU</v>
      </c>
      <c r="M3855" t="str">
        <f t="shared" si="243"/>
        <v>BRU-SOU</v>
      </c>
    </row>
    <row r="3856" spans="1:13" ht="14.25" customHeight="true">
      <c r="A3856" s="33" t="str">
        <f t="shared" si="240"/>
        <v>SOU - Intercompany</v>
      </c>
      <c r="B3856" s="33" t="str">
        <f t="shared" si="241"/>
        <v>SOU</v>
      </c>
      <c r="C3856" s="33" t="str">
        <f t="shared" si="242"/>
        <v>11335-0000</v>
      </c>
      <c r="D3856" t="s">
        <v>27514</v>
      </c>
      <c r="E3856" t="s">
        <v>13246</v>
      </c>
      <c r="F3856" t="s">
        <v>14039</v>
      </c>
      <c r="G3856" t="s">
        <v>14672</v>
      </c>
      <c r="H3856" t="s">
        <v>13869</v>
      </c>
      <c r="I3856" t="s">
        <v>14690</v>
      </c>
      <c r="J3856" s="62">
        <v>0</v>
      </c>
      <c r="K3856" s="62">
        <v>0</v>
      </c>
      <c r="L3856" t="str">
        <f>VLOOKUP(VALUE(LEFT(C3856,5)),Xref!A:B,2,0)</f>
        <v>VEN</v>
      </c>
      <c r="M3856" t="str">
        <f t="shared" si="243"/>
        <v>SOU-VEN</v>
      </c>
    </row>
    <row r="3857" spans="1:13" ht="14.25" customHeight="true">
      <c r="A3857" s="33" t="str">
        <f t="shared" si="240"/>
        <v>SOU - Intercompany</v>
      </c>
      <c r="B3857" s="33" t="str">
        <f t="shared" si="241"/>
        <v>SOU</v>
      </c>
      <c r="C3857" s="33" t="str">
        <f t="shared" si="242"/>
        <v>11336-0000</v>
      </c>
      <c r="D3857" t="s">
        <v>27515</v>
      </c>
      <c r="E3857" t="s">
        <v>13247</v>
      </c>
      <c r="F3857" t="s">
        <v>14039</v>
      </c>
      <c r="G3857" t="s">
        <v>14672</v>
      </c>
      <c r="H3857" t="s">
        <v>13869</v>
      </c>
      <c r="I3857" t="s">
        <v>14690</v>
      </c>
      <c r="J3857" s="62">
        <v>0</v>
      </c>
      <c r="K3857" s="62">
        <v>0</v>
      </c>
      <c r="L3857" t="str">
        <f>VLOOKUP(VALUE(LEFT(C3857,5)),Xref!A:B,2,0)</f>
        <v>SAT</v>
      </c>
      <c r="M3857" t="str">
        <f t="shared" si="243"/>
        <v>SAT-SOU</v>
      </c>
    </row>
    <row r="3858" spans="1:13" ht="14.25" customHeight="true">
      <c r="A3858" s="33" t="str">
        <f t="shared" si="240"/>
        <v>SOU - Intercompany</v>
      </c>
      <c r="B3858" s="33" t="str">
        <f t="shared" si="241"/>
        <v>SOU</v>
      </c>
      <c r="C3858" s="33" t="str">
        <f t="shared" si="242"/>
        <v>11337-0000</v>
      </c>
      <c r="D3858" t="s">
        <v>27516</v>
      </c>
      <c r="E3858" t="s">
        <v>13248</v>
      </c>
      <c r="F3858" t="s">
        <v>14039</v>
      </c>
      <c r="G3858" t="s">
        <v>14672</v>
      </c>
      <c r="H3858" t="s">
        <v>13869</v>
      </c>
      <c r="I3858" t="s">
        <v>14690</v>
      </c>
      <c r="J3858" s="62">
        <v>0</v>
      </c>
      <c r="K3858" s="62">
        <v>0</v>
      </c>
      <c r="L3858" t="str">
        <f>VLOOKUP(VALUE(LEFT(C3858,5)),Xref!A:B,2,0)</f>
        <v>NEP</v>
      </c>
      <c r="M3858" t="str">
        <f t="shared" si="243"/>
        <v>NEP-SOU</v>
      </c>
    </row>
    <row r="3859" spans="1:13" ht="14.25" customHeight="true">
      <c r="A3859" s="33" t="str">
        <f t="shared" si="240"/>
        <v>SOU - Intercompany</v>
      </c>
      <c r="B3859" s="33" t="str">
        <f t="shared" si="241"/>
        <v>SOU</v>
      </c>
      <c r="C3859" s="33" t="str">
        <f t="shared" si="242"/>
        <v>11338-0000</v>
      </c>
      <c r="D3859" t="s">
        <v>27517</v>
      </c>
      <c r="E3859" t="s">
        <v>14131</v>
      </c>
      <c r="F3859" t="s">
        <v>14039</v>
      </c>
      <c r="G3859" t="s">
        <v>14672</v>
      </c>
      <c r="H3859" t="s">
        <v>13869</v>
      </c>
      <c r="I3859" t="s">
        <v>14690</v>
      </c>
      <c r="J3859" s="62">
        <v>0</v>
      </c>
      <c r="K3859" s="62">
        <v>0</v>
      </c>
      <c r="L3859" t="str">
        <f>VLOOKUP(VALUE(LEFT(C3859,5)),Xref!A:B,2,0)</f>
        <v>JUP</v>
      </c>
      <c r="M3859" t="str">
        <f t="shared" si="243"/>
        <v>JUP-SOU</v>
      </c>
    </row>
    <row r="3860" spans="1:13" ht="14.25" customHeight="true">
      <c r="A3860" s="33" t="str">
        <f t="shared" si="240"/>
        <v>SOU - Intercompany</v>
      </c>
      <c r="B3860" s="33" t="str">
        <f t="shared" si="241"/>
        <v>SOU</v>
      </c>
      <c r="C3860" s="33" t="str">
        <f t="shared" si="242"/>
        <v>11339-0000</v>
      </c>
      <c r="D3860" t="s">
        <v>27518</v>
      </c>
      <c r="E3860" t="s">
        <v>14133</v>
      </c>
      <c r="F3860" t="s">
        <v>14039</v>
      </c>
      <c r="G3860" t="s">
        <v>14672</v>
      </c>
      <c r="H3860" t="s">
        <v>13869</v>
      </c>
      <c r="I3860" t="s">
        <v>14690</v>
      </c>
      <c r="J3860" s="62">
        <v>0</v>
      </c>
      <c r="K3860" s="62">
        <v>0</v>
      </c>
      <c r="L3860" t="str">
        <f>VLOOKUP(VALUE(LEFT(C3860,5)),Xref!A:B,2,0)</f>
        <v>WES</v>
      </c>
      <c r="M3860" t="str">
        <f t="shared" si="243"/>
        <v>SOU-WES</v>
      </c>
    </row>
    <row r="3861" spans="1:13" ht="14.25" customHeight="true">
      <c r="A3861" s="33" t="str">
        <f t="shared" si="240"/>
        <v>SOU - Intercompany</v>
      </c>
      <c r="B3861" s="33" t="str">
        <f t="shared" si="241"/>
        <v>SOU</v>
      </c>
      <c r="C3861" s="33" t="str">
        <f t="shared" si="242"/>
        <v>11340-0000</v>
      </c>
      <c r="D3861" t="s">
        <v>27519</v>
      </c>
      <c r="E3861" t="s">
        <v>14135</v>
      </c>
      <c r="F3861" t="s">
        <v>14039</v>
      </c>
      <c r="G3861" t="s">
        <v>14672</v>
      </c>
      <c r="H3861" t="s">
        <v>13869</v>
      </c>
      <c r="I3861" t="s">
        <v>14690</v>
      </c>
      <c r="J3861" s="62">
        <v>0</v>
      </c>
      <c r="K3861" s="62">
        <v>0</v>
      </c>
      <c r="L3861" t="str">
        <f>VLOOKUP(VALUE(LEFT(C3861,5)),Xref!A:B,2,0)</f>
        <v>LCP</v>
      </c>
      <c r="M3861" t="str">
        <f t="shared" si="243"/>
        <v>LCP-SOU</v>
      </c>
    </row>
    <row r="3862" spans="1:13" ht="14.25" customHeight="true">
      <c r="A3862" s="33" t="str">
        <f t="shared" si="240"/>
        <v>SOU - Intercompany</v>
      </c>
      <c r="B3862" s="33" t="str">
        <f t="shared" si="241"/>
        <v>SOU</v>
      </c>
      <c r="C3862" s="33" t="str">
        <f t="shared" si="242"/>
        <v>11341-0000</v>
      </c>
      <c r="D3862" t="s">
        <v>27520</v>
      </c>
      <c r="E3862" t="s">
        <v>13639</v>
      </c>
      <c r="F3862" t="s">
        <v>14039</v>
      </c>
      <c r="G3862" t="s">
        <v>14672</v>
      </c>
      <c r="H3862" t="s">
        <v>13869</v>
      </c>
      <c r="I3862" t="s">
        <v>14690</v>
      </c>
      <c r="J3862" s="62">
        <v>0</v>
      </c>
      <c r="K3862" s="62">
        <v>0</v>
      </c>
      <c r="L3862" t="str">
        <f>VLOOKUP(VALUE(LEFT(C3862,5)),Xref!A:B,2,0)</f>
        <v>NOR</v>
      </c>
      <c r="M3862" t="str">
        <f t="shared" si="243"/>
        <v>NOR-SOU</v>
      </c>
    </row>
    <row r="3863" spans="1:13" ht="14.25" customHeight="true">
      <c r="A3863" s="33" t="str">
        <f t="shared" si="240"/>
        <v>SOU - Intercompany</v>
      </c>
      <c r="B3863" s="33" t="str">
        <f t="shared" si="241"/>
        <v>SOU</v>
      </c>
      <c r="C3863" s="33" t="str">
        <f t="shared" si="242"/>
        <v>11342-0000</v>
      </c>
      <c r="D3863" t="s">
        <v>27521</v>
      </c>
      <c r="E3863" t="s">
        <v>13355</v>
      </c>
      <c r="F3863" t="s">
        <v>14039</v>
      </c>
      <c r="G3863" t="s">
        <v>14672</v>
      </c>
      <c r="H3863" t="s">
        <v>13869</v>
      </c>
      <c r="I3863" t="s">
        <v>14690</v>
      </c>
      <c r="J3863" s="62">
        <v>0</v>
      </c>
      <c r="K3863" s="62">
        <v>0</v>
      </c>
      <c r="L3863" t="str">
        <f>VLOOKUP(VALUE(LEFT(C3863,5)),Xref!A:B,2,0)</f>
        <v>EAS</v>
      </c>
      <c r="M3863" t="str">
        <f t="shared" si="243"/>
        <v>EAS-SOU</v>
      </c>
    </row>
    <row r="3864" spans="1:13" ht="14.25" customHeight="true">
      <c r="A3864" s="33" t="str">
        <f t="shared" si="240"/>
        <v>SOU - Intercompany</v>
      </c>
      <c r="B3864" s="33" t="str">
        <f t="shared" si="241"/>
        <v>SOU</v>
      </c>
      <c r="C3864" s="33" t="str">
        <f t="shared" si="242"/>
        <v>11343-0000</v>
      </c>
      <c r="D3864" t="s">
        <v>27522</v>
      </c>
      <c r="E3864" t="s">
        <v>14139</v>
      </c>
      <c r="F3864" t="s">
        <v>14039</v>
      </c>
      <c r="G3864" t="s">
        <v>14672</v>
      </c>
      <c r="H3864" t="s">
        <v>13869</v>
      </c>
      <c r="I3864" t="s">
        <v>14690</v>
      </c>
      <c r="J3864" s="62">
        <v>0</v>
      </c>
      <c r="K3864" s="62">
        <v>0</v>
      </c>
      <c r="L3864" t="str">
        <f>VLOOKUP(VALUE(LEFT(C3864,5)),Xref!A:B,2,0)</f>
        <v>GRA</v>
      </c>
      <c r="M3864" t="str">
        <f t="shared" si="243"/>
        <v>GRA-SOU</v>
      </c>
    </row>
    <row r="3865" spans="1:13" ht="14.25" customHeight="true">
      <c r="A3865" s="33" t="str">
        <f t="shared" si="240"/>
        <v>SOU - Intercompany</v>
      </c>
      <c r="B3865" s="33" t="str">
        <f t="shared" si="241"/>
        <v>SOU</v>
      </c>
      <c r="C3865" s="33" t="str">
        <f t="shared" si="242"/>
        <v>11344-0000</v>
      </c>
      <c r="D3865" t="s">
        <v>27523</v>
      </c>
      <c r="E3865" t="s">
        <v>14141</v>
      </c>
      <c r="F3865" t="s">
        <v>14039</v>
      </c>
      <c r="G3865" t="s">
        <v>14672</v>
      </c>
      <c r="H3865" t="s">
        <v>13869</v>
      </c>
      <c r="I3865" t="s">
        <v>14690</v>
      </c>
      <c r="J3865" s="62">
        <v>0</v>
      </c>
      <c r="K3865" s="62">
        <v>0</v>
      </c>
      <c r="L3865" t="str">
        <f>VLOOKUP(VALUE(LEFT(C3865,5)),Xref!A:B,2,0)</f>
        <v>SOU</v>
      </c>
      <c r="M3865" t="str">
        <f t="shared" si="243"/>
        <v>SOU-SOU</v>
      </c>
    </row>
    <row r="3866" spans="1:13" ht="14.25" customHeight="true">
      <c r="A3866" s="33" t="str">
        <f t="shared" si="240"/>
        <v>SOU - Intercompany</v>
      </c>
      <c r="B3866" s="33" t="str">
        <f t="shared" si="241"/>
        <v>SOU</v>
      </c>
      <c r="C3866" s="33" t="str">
        <f t="shared" si="242"/>
        <v>11345-0000</v>
      </c>
      <c r="D3866" t="s">
        <v>27524</v>
      </c>
      <c r="E3866" t="s">
        <v>14143</v>
      </c>
      <c r="F3866" t="s">
        <v>14039</v>
      </c>
      <c r="G3866" t="s">
        <v>14672</v>
      </c>
      <c r="H3866" t="s">
        <v>13869</v>
      </c>
      <c r="I3866" t="s">
        <v>14690</v>
      </c>
      <c r="J3866" s="62">
        <v>0</v>
      </c>
      <c r="K3866" s="62">
        <v>0</v>
      </c>
      <c r="L3866" t="str">
        <f>VLOOKUP(VALUE(LEFT(C3866,5)),Xref!A:B,2,0)</f>
        <v>API</v>
      </c>
      <c r="M3866" t="str">
        <f t="shared" si="243"/>
        <v>API-SOU</v>
      </c>
    </row>
    <row r="3867" spans="1:13" ht="14.25" customHeight="true">
      <c r="A3867" s="33" t="str">
        <f t="shared" si="240"/>
        <v>SOU - Intercompany</v>
      </c>
      <c r="B3867" s="33" t="str">
        <f t="shared" si="241"/>
        <v>SOU</v>
      </c>
      <c r="C3867" s="33" t="str">
        <f t="shared" si="242"/>
        <v>11346-0000</v>
      </c>
      <c r="D3867" t="s">
        <v>27525</v>
      </c>
      <c r="E3867" t="s">
        <v>14145</v>
      </c>
      <c r="F3867" t="s">
        <v>14039</v>
      </c>
      <c r="G3867" t="s">
        <v>14672</v>
      </c>
      <c r="H3867" t="s">
        <v>13869</v>
      </c>
      <c r="I3867" t="s">
        <v>14690</v>
      </c>
      <c r="J3867" s="62">
        <v>0</v>
      </c>
      <c r="K3867" s="62">
        <v>0</v>
      </c>
      <c r="L3867" t="str">
        <f>VLOOKUP(VALUE(LEFT(C3867,5)),Xref!A:B,2,0)</f>
        <v>DPH</v>
      </c>
      <c r="M3867" t="str">
        <f t="shared" si="243"/>
        <v>DPH-SOU</v>
      </c>
    </row>
    <row r="3868" spans="1:13" ht="14.25" customHeight="true">
      <c r="A3868" s="33" t="str">
        <f t="shared" si="240"/>
        <v>SOU - Intercompany</v>
      </c>
      <c r="B3868" s="33" t="str">
        <f t="shared" si="241"/>
        <v>SOU</v>
      </c>
      <c r="C3868" s="33" t="str">
        <f t="shared" si="242"/>
        <v>11347-0000</v>
      </c>
      <c r="D3868" t="s">
        <v>27526</v>
      </c>
      <c r="E3868" t="s">
        <v>14147</v>
      </c>
      <c r="F3868" t="s">
        <v>14039</v>
      </c>
      <c r="G3868" t="s">
        <v>14672</v>
      </c>
      <c r="H3868" t="s">
        <v>13869</v>
      </c>
      <c r="I3868" t="s">
        <v>14690</v>
      </c>
      <c r="J3868" s="62">
        <v>0</v>
      </c>
      <c r="K3868" s="62">
        <v>0</v>
      </c>
      <c r="L3868" t="str">
        <f>VLOOKUP(VALUE(LEFT(C3868,5)),Xref!A:B,2,0)</f>
        <v>ZPI</v>
      </c>
      <c r="M3868" t="str">
        <f t="shared" si="243"/>
        <v>SOU-ZPI</v>
      </c>
    </row>
    <row r="3869" spans="1:13" ht="14.25" customHeight="true">
      <c r="A3869" s="33" t="str">
        <f t="shared" si="240"/>
        <v>SOU - Intercompany</v>
      </c>
      <c r="B3869" s="33" t="str">
        <f t="shared" si="241"/>
        <v>SOU</v>
      </c>
      <c r="C3869" s="33" t="str">
        <f t="shared" si="242"/>
        <v>11348-0000</v>
      </c>
      <c r="D3869" t="s">
        <v>27527</v>
      </c>
      <c r="E3869" t="s">
        <v>14149</v>
      </c>
      <c r="F3869" t="s">
        <v>14039</v>
      </c>
      <c r="G3869" t="s">
        <v>14672</v>
      </c>
      <c r="H3869" t="s">
        <v>13869</v>
      </c>
      <c r="I3869" t="s">
        <v>14690</v>
      </c>
      <c r="J3869" s="62">
        <v>0</v>
      </c>
      <c r="K3869" s="62">
        <v>0</v>
      </c>
      <c r="L3869" t="str">
        <f>VLOOKUP(VALUE(LEFT(C3869,5)),Xref!A:B,2,0)</f>
        <v>EAM</v>
      </c>
      <c r="M3869" t="str">
        <f t="shared" si="243"/>
        <v>EAM-SOU</v>
      </c>
    </row>
    <row r="3870" spans="1:13" ht="14.25" customHeight="true">
      <c r="A3870" s="33" t="str">
        <f t="shared" si="240"/>
        <v>SOU - Intercompany</v>
      </c>
      <c r="B3870" s="33" t="str">
        <f t="shared" si="241"/>
        <v>SOU</v>
      </c>
      <c r="C3870" s="33" t="str">
        <f t="shared" si="242"/>
        <v>11349-0000</v>
      </c>
      <c r="D3870" t="s">
        <v>27528</v>
      </c>
      <c r="E3870" t="s">
        <v>14151</v>
      </c>
      <c r="F3870" t="s">
        <v>14039</v>
      </c>
      <c r="G3870" t="s">
        <v>14672</v>
      </c>
      <c r="H3870" t="s">
        <v>13869</v>
      </c>
      <c r="I3870" t="s">
        <v>14690</v>
      </c>
      <c r="J3870" s="62">
        <v>0</v>
      </c>
      <c r="K3870" s="62">
        <v>0</v>
      </c>
      <c r="L3870" t="str">
        <f>VLOOKUP(VALUE(LEFT(C3870,5)),Xref!A:B,2,0)</f>
        <v>SEA</v>
      </c>
      <c r="M3870" t="str">
        <f t="shared" si="243"/>
        <v>SEA-SOU</v>
      </c>
    </row>
    <row r="3871" spans="1:13" ht="14.25" customHeight="true">
      <c r="A3871" s="33" t="str">
        <f t="shared" si="240"/>
        <v>SOU - Intercompany</v>
      </c>
      <c r="B3871" s="33" t="str">
        <f t="shared" si="241"/>
        <v>SOU</v>
      </c>
      <c r="C3871" s="33" t="str">
        <f t="shared" si="242"/>
        <v>11350-0000</v>
      </c>
      <c r="D3871" t="s">
        <v>27529</v>
      </c>
      <c r="E3871" t="s">
        <v>14153</v>
      </c>
      <c r="F3871" t="s">
        <v>14039</v>
      </c>
      <c r="G3871" t="s">
        <v>14672</v>
      </c>
      <c r="H3871" t="s">
        <v>13869</v>
      </c>
      <c r="I3871" t="s">
        <v>14690</v>
      </c>
      <c r="J3871" s="62">
        <v>0</v>
      </c>
      <c r="K3871" s="62">
        <v>0</v>
      </c>
      <c r="L3871" t="str">
        <f>VLOOKUP(VALUE(LEFT(C3871,5)),Xref!A:B,2,0)</f>
        <v>EAL</v>
      </c>
      <c r="M3871" t="str">
        <f t="shared" si="243"/>
        <v>EAL-SOU</v>
      </c>
    </row>
    <row r="3872" spans="1:13" ht="14.25" customHeight="true">
      <c r="A3872" s="33" t="str">
        <f t="shared" si="240"/>
        <v>SOU - Intercompany</v>
      </c>
      <c r="B3872" s="33" t="str">
        <f t="shared" si="241"/>
        <v>SOU</v>
      </c>
      <c r="C3872" s="33" t="str">
        <f t="shared" si="242"/>
        <v>11351-0000</v>
      </c>
      <c r="D3872" t="s">
        <v>27530</v>
      </c>
      <c r="E3872" t="s">
        <v>14155</v>
      </c>
      <c r="F3872" t="s">
        <v>14039</v>
      </c>
      <c r="G3872" t="s">
        <v>14672</v>
      </c>
      <c r="H3872" t="s">
        <v>13869</v>
      </c>
      <c r="I3872" t="s">
        <v>14690</v>
      </c>
      <c r="J3872" s="62">
        <v>0</v>
      </c>
      <c r="K3872" s="62">
        <v>0</v>
      </c>
      <c r="L3872" t="str">
        <f>VLOOKUP(VALUE(LEFT(C3872,5)),Xref!A:B,2,0)</f>
        <v>WEP</v>
      </c>
      <c r="M3872" t="str">
        <f t="shared" si="243"/>
        <v>SOU-WEP</v>
      </c>
    </row>
    <row r="3873" spans="1:13" ht="14.25" customHeight="true">
      <c r="A3873" s="33" t="str">
        <f t="shared" si="240"/>
        <v>SOU - Intercompany</v>
      </c>
      <c r="B3873" s="33" t="str">
        <f t="shared" si="241"/>
        <v>SOU</v>
      </c>
      <c r="C3873" s="33" t="str">
        <f t="shared" si="242"/>
        <v>11352-0000</v>
      </c>
      <c r="D3873" t="s">
        <v>27531</v>
      </c>
      <c r="E3873" t="s">
        <v>13536</v>
      </c>
      <c r="F3873" t="s">
        <v>14039</v>
      </c>
      <c r="G3873" t="s">
        <v>14672</v>
      </c>
      <c r="H3873" t="s">
        <v>13869</v>
      </c>
      <c r="I3873" t="s">
        <v>14690</v>
      </c>
      <c r="J3873" s="62">
        <v>0</v>
      </c>
      <c r="K3873" s="62">
        <v>0</v>
      </c>
      <c r="L3873" t="str">
        <f>VLOOKUP(VALUE(LEFT(C3873,5)),Xref!A:B,2,0)</f>
        <v>KLP</v>
      </c>
      <c r="M3873" t="str">
        <f t="shared" si="243"/>
        <v>KLP-SOU</v>
      </c>
    </row>
    <row r="3874" spans="1:13" ht="14.25" customHeight="true">
      <c r="A3874" s="33" t="str">
        <f t="shared" si="240"/>
        <v>SOU - Intercompany</v>
      </c>
      <c r="B3874" s="33" t="str">
        <f t="shared" si="241"/>
        <v>SOU</v>
      </c>
      <c r="C3874" s="33" t="str">
        <f t="shared" si="242"/>
        <v>11353-0000</v>
      </c>
      <c r="D3874" t="s">
        <v>27532</v>
      </c>
      <c r="E3874" t="s">
        <v>13537</v>
      </c>
      <c r="F3874" t="s">
        <v>14039</v>
      </c>
      <c r="G3874" t="s">
        <v>14672</v>
      </c>
      <c r="H3874" t="s">
        <v>13869</v>
      </c>
      <c r="I3874" t="s">
        <v>14690</v>
      </c>
      <c r="J3874" s="62">
        <v>0</v>
      </c>
      <c r="K3874" s="62">
        <v>0</v>
      </c>
      <c r="L3874" t="str">
        <f>VLOOKUP(VALUE(LEFT(C3874,5)),Xref!A:B,2,0)</f>
        <v>AKC</v>
      </c>
      <c r="M3874" t="str">
        <f t="shared" si="243"/>
        <v>AKC-SOU</v>
      </c>
    </row>
    <row r="3875" spans="1:13" ht="14.25" customHeight="true">
      <c r="A3875" s="33" t="str">
        <f t="shared" si="240"/>
        <v>SOU - Intercompany</v>
      </c>
      <c r="B3875" s="33" t="str">
        <f t="shared" si="241"/>
        <v>SOU</v>
      </c>
      <c r="C3875" s="33" t="str">
        <f t="shared" si="242"/>
        <v>11354-0000</v>
      </c>
      <c r="D3875" t="s">
        <v>27533</v>
      </c>
      <c r="E3875" t="s">
        <v>13538</v>
      </c>
      <c r="F3875" t="s">
        <v>14039</v>
      </c>
      <c r="G3875" t="s">
        <v>14672</v>
      </c>
      <c r="H3875" t="s">
        <v>13869</v>
      </c>
      <c r="I3875" t="s">
        <v>14690</v>
      </c>
      <c r="J3875" s="62">
        <v>0</v>
      </c>
      <c r="K3875" s="62">
        <v>0</v>
      </c>
      <c r="L3875" t="str">
        <f>VLOOKUP(VALUE(LEFT(C3875,5)),Xref!A:B,2,0)</f>
        <v>AKA</v>
      </c>
      <c r="M3875" t="str">
        <f t="shared" si="243"/>
        <v>AKA-SOU</v>
      </c>
    </row>
    <row r="3876" spans="1:13" ht="14.25" customHeight="true">
      <c r="A3876" s="33" t="str">
        <f t="shared" si="240"/>
        <v>SOU - Intercompany</v>
      </c>
      <c r="B3876" s="33" t="str">
        <f t="shared" si="241"/>
        <v>SOU</v>
      </c>
      <c r="C3876" s="33" t="str">
        <f t="shared" si="242"/>
        <v>11355-0000</v>
      </c>
      <c r="D3876" t="s">
        <v>27534</v>
      </c>
      <c r="E3876" t="s">
        <v>13539</v>
      </c>
      <c r="F3876" t="s">
        <v>14039</v>
      </c>
      <c r="G3876" t="s">
        <v>14672</v>
      </c>
      <c r="H3876" t="s">
        <v>13869</v>
      </c>
      <c r="I3876" t="s">
        <v>14690</v>
      </c>
      <c r="J3876" s="62">
        <v>0</v>
      </c>
      <c r="K3876" s="62">
        <v>0</v>
      </c>
      <c r="L3876" t="str">
        <f>VLOOKUP(VALUE(LEFT(C3876,5)),Xref!A:B,2,0)</f>
        <v>SPA</v>
      </c>
      <c r="M3876" t="str">
        <f t="shared" si="243"/>
        <v>SOU-SPA</v>
      </c>
    </row>
    <row r="3877" spans="1:13" ht="14.25" customHeight="true">
      <c r="A3877" s="33" t="str">
        <f t="shared" si="240"/>
        <v>SOU - Intercompany</v>
      </c>
      <c r="B3877" s="33" t="str">
        <f t="shared" si="241"/>
        <v>SOU</v>
      </c>
      <c r="C3877" s="33" t="str">
        <f t="shared" si="242"/>
        <v>11356-0000</v>
      </c>
      <c r="D3877" t="s">
        <v>27535</v>
      </c>
      <c r="E3877" t="s">
        <v>13540</v>
      </c>
      <c r="F3877" t="s">
        <v>14039</v>
      </c>
      <c r="G3877" t="s">
        <v>14672</v>
      </c>
      <c r="H3877" t="s">
        <v>13869</v>
      </c>
      <c r="I3877" t="s">
        <v>14690</v>
      </c>
      <c r="J3877" s="62">
        <v>0</v>
      </c>
      <c r="K3877" s="62">
        <v>0</v>
      </c>
      <c r="L3877" t="str">
        <f>VLOOKUP(VALUE(LEFT(C3877,5)),Xref!A:B,2,0)</f>
        <v>DPM</v>
      </c>
      <c r="M3877" t="str">
        <f t="shared" si="243"/>
        <v>DPM-SOU</v>
      </c>
    </row>
    <row r="3878" spans="1:13" ht="14.25" customHeight="true">
      <c r="A3878" s="33" t="str">
        <f t="shared" si="240"/>
        <v>SOU - Intercompany</v>
      </c>
      <c r="B3878" s="33" t="str">
        <f t="shared" si="241"/>
        <v>SOU</v>
      </c>
      <c r="C3878" s="33" t="str">
        <f t="shared" si="242"/>
        <v>11357-0000</v>
      </c>
      <c r="D3878" t="s">
        <v>27536</v>
      </c>
      <c r="E3878" t="s">
        <v>13541</v>
      </c>
      <c r="F3878" t="s">
        <v>14039</v>
      </c>
      <c r="G3878" t="s">
        <v>14672</v>
      </c>
      <c r="H3878" t="s">
        <v>13869</v>
      </c>
      <c r="I3878" t="s">
        <v>14690</v>
      </c>
      <c r="J3878" s="62">
        <v>0</v>
      </c>
      <c r="K3878" s="62">
        <v>0</v>
      </c>
      <c r="L3878" t="str">
        <f>VLOOKUP(VALUE(LEFT(C3878,5)),Xref!A:B,2,0)</f>
        <v>HDM</v>
      </c>
      <c r="M3878" t="str">
        <f t="shared" si="243"/>
        <v>HDM-SOU</v>
      </c>
    </row>
    <row r="3879" spans="1:13" ht="14.25" customHeight="true">
      <c r="A3879" s="33" t="str">
        <f t="shared" si="240"/>
        <v>SOU - Intercompany</v>
      </c>
      <c r="B3879" s="33" t="str">
        <f t="shared" si="241"/>
        <v>SOU</v>
      </c>
      <c r="C3879" s="33" t="str">
        <f t="shared" si="242"/>
        <v>11358-0000</v>
      </c>
      <c r="D3879" t="s">
        <v>27537</v>
      </c>
      <c r="E3879" t="s">
        <v>13542</v>
      </c>
      <c r="F3879" t="s">
        <v>14039</v>
      </c>
      <c r="G3879" t="s">
        <v>14672</v>
      </c>
      <c r="H3879" t="s">
        <v>13869</v>
      </c>
      <c r="I3879" t="s">
        <v>14690</v>
      </c>
      <c r="J3879" s="62">
        <v>0</v>
      </c>
      <c r="K3879" s="62">
        <v>0</v>
      </c>
      <c r="L3879" t="str">
        <f>VLOOKUP(VALUE(LEFT(C3879,5)),Xref!A:B,2,0)</f>
        <v>GRA</v>
      </c>
      <c r="M3879" t="str">
        <f t="shared" si="243"/>
        <v>GRA-SOU</v>
      </c>
    </row>
    <row r="3880" spans="1:13" ht="14.25" customHeight="true">
      <c r="A3880" s="33" t="str">
        <f t="shared" si="240"/>
        <v>SOU - Intercompany</v>
      </c>
      <c r="B3880" s="33" t="str">
        <f t="shared" si="241"/>
        <v>SOU</v>
      </c>
      <c r="C3880" s="33" t="str">
        <f t="shared" si="242"/>
        <v>11359-0000</v>
      </c>
      <c r="D3880" t="s">
        <v>27538</v>
      </c>
      <c r="E3880" t="s">
        <v>13543</v>
      </c>
      <c r="F3880" t="s">
        <v>14039</v>
      </c>
      <c r="G3880" t="s">
        <v>14672</v>
      </c>
      <c r="H3880" t="s">
        <v>13869</v>
      </c>
      <c r="I3880" t="s">
        <v>14690</v>
      </c>
      <c r="J3880" s="62">
        <v>0</v>
      </c>
      <c r="K3880" s="62">
        <v>0</v>
      </c>
      <c r="L3880" t="str">
        <f>VLOOKUP(VALUE(LEFT(C3880,5)),Xref!A:B,2,0)</f>
        <v>TPI</v>
      </c>
      <c r="M3880" t="str">
        <f t="shared" si="243"/>
        <v>SOU-TPI</v>
      </c>
    </row>
    <row r="3881" spans="1:13" ht="14.25" customHeight="true">
      <c r="A3881" s="33" t="str">
        <f t="shared" si="240"/>
        <v>SOU - Intercompany</v>
      </c>
      <c r="B3881" s="33" t="str">
        <f t="shared" si="241"/>
        <v>SOU</v>
      </c>
      <c r="C3881" s="33" t="str">
        <f t="shared" si="242"/>
        <v>11361-0000</v>
      </c>
      <c r="D3881" t="s">
        <v>27539</v>
      </c>
      <c r="E3881" t="s">
        <v>14165</v>
      </c>
      <c r="F3881" t="s">
        <v>14039</v>
      </c>
      <c r="G3881" t="s">
        <v>14672</v>
      </c>
      <c r="H3881" t="s">
        <v>13869</v>
      </c>
      <c r="I3881" t="s">
        <v>14690</v>
      </c>
      <c r="J3881" s="62">
        <v>0</v>
      </c>
      <c r="K3881" s="62">
        <v>0</v>
      </c>
      <c r="L3881" t="str">
        <f>VLOOKUP(VALUE(LEFT(C3881,5)),Xref!A:B,2,0)</f>
        <v>GSM</v>
      </c>
      <c r="M3881" t="str">
        <f t="shared" si="243"/>
        <v>GSM-SOU</v>
      </c>
    </row>
    <row r="3882" spans="1:13" ht="14.25" customHeight="true">
      <c r="A3882" s="33" t="str">
        <f t="shared" si="240"/>
        <v>SOU - Intercompany</v>
      </c>
      <c r="B3882" s="33" t="str">
        <f t="shared" si="241"/>
        <v>SOU</v>
      </c>
      <c r="C3882" s="33" t="str">
        <f t="shared" si="242"/>
        <v>11363-0000</v>
      </c>
      <c r="D3882" t="s">
        <v>27540</v>
      </c>
      <c r="E3882" t="s">
        <v>13544</v>
      </c>
      <c r="F3882" t="s">
        <v>14039</v>
      </c>
      <c r="G3882" t="s">
        <v>14672</v>
      </c>
      <c r="H3882" t="s">
        <v>13869</v>
      </c>
      <c r="I3882" t="s">
        <v>14690</v>
      </c>
      <c r="J3882" s="62">
        <v>0</v>
      </c>
      <c r="K3882" s="62">
        <v>0</v>
      </c>
      <c r="L3882" t="str">
        <f>VLOOKUP(VALUE(LEFT(C3882,5)),Xref!A:B,2,0)</f>
        <v>SOF</v>
      </c>
      <c r="M3882" t="str">
        <f t="shared" si="243"/>
        <v>SOF-SOU</v>
      </c>
    </row>
    <row r="3883" spans="1:13" ht="14.25" customHeight="true">
      <c r="A3883" s="33" t="str">
        <f t="shared" si="240"/>
        <v>SOU - Intercompany</v>
      </c>
      <c r="B3883" s="33" t="str">
        <f t="shared" si="241"/>
        <v>SOU</v>
      </c>
      <c r="C3883" s="33" t="str">
        <f t="shared" si="242"/>
        <v>11364-0000</v>
      </c>
      <c r="D3883" t="s">
        <v>27541</v>
      </c>
      <c r="E3883" t="s">
        <v>14168</v>
      </c>
      <c r="F3883" t="s">
        <v>14039</v>
      </c>
      <c r="G3883" t="s">
        <v>14672</v>
      </c>
      <c r="H3883" t="s">
        <v>13869</v>
      </c>
      <c r="I3883" t="s">
        <v>14690</v>
      </c>
      <c r="J3883" s="62">
        <v>0</v>
      </c>
      <c r="K3883" s="62">
        <v>0</v>
      </c>
      <c r="L3883" t="e">
        <f>VLOOKUP(VALUE(LEFT(C3883,5)),Xref!A:B,2,0)</f>
        <v>#N/A</v>
      </c>
      <c r="M3883" t="e">
        <f t="shared" si="243"/>
        <v>#N/A</v>
      </c>
    </row>
    <row r="3884" spans="1:13" ht="14.25" customHeight="true">
      <c r="A3884" s="33" t="str">
        <f t="shared" si="240"/>
        <v>SOU - Intercompany</v>
      </c>
      <c r="B3884" s="33" t="str">
        <f t="shared" si="241"/>
        <v>SOU</v>
      </c>
      <c r="C3884" s="33" t="str">
        <f t="shared" si="242"/>
        <v>11365-0000</v>
      </c>
      <c r="D3884" t="s">
        <v>27542</v>
      </c>
      <c r="E3884" t="s">
        <v>14170</v>
      </c>
      <c r="F3884" t="s">
        <v>14039</v>
      </c>
      <c r="G3884" t="s">
        <v>14672</v>
      </c>
      <c r="H3884" t="s">
        <v>13869</v>
      </c>
      <c r="I3884" t="s">
        <v>14690</v>
      </c>
      <c r="J3884" s="62">
        <v>0</v>
      </c>
      <c r="K3884" s="62">
        <v>0</v>
      </c>
      <c r="L3884" t="e">
        <f>VLOOKUP(VALUE(LEFT(C3884,5)),Xref!A:B,2,0)</f>
        <v>#N/A</v>
      </c>
      <c r="M3884" t="e">
        <f t="shared" si="243"/>
        <v>#N/A</v>
      </c>
    </row>
    <row r="3885" spans="1:13" ht="14.25" customHeight="true">
      <c r="A3885" s="33" t="str">
        <f t="shared" si="240"/>
        <v>SOU - Intercompany</v>
      </c>
      <c r="B3885" s="33" t="str">
        <f t="shared" si="241"/>
        <v>SOU</v>
      </c>
      <c r="C3885" s="33" t="str">
        <f t="shared" si="242"/>
        <v>11366-0000</v>
      </c>
      <c r="D3885" t="s">
        <v>27543</v>
      </c>
      <c r="E3885" t="s">
        <v>14172</v>
      </c>
      <c r="G3885" t="s">
        <v>14672</v>
      </c>
      <c r="H3885" t="s">
        <v>13869</v>
      </c>
      <c r="I3885" t="s">
        <v>14690</v>
      </c>
      <c r="J3885" s="62">
        <v>0</v>
      </c>
      <c r="K3885" s="62">
        <v>0</v>
      </c>
      <c r="L3885" t="e">
        <f>VLOOKUP(VALUE(LEFT(C3885,5)),Xref!A:B,2,0)</f>
        <v>#N/A</v>
      </c>
      <c r="M3885" t="e">
        <f t="shared" si="243"/>
        <v>#N/A</v>
      </c>
    </row>
    <row r="3886" spans="1:13" ht="14.25" customHeight="true">
      <c r="A3886" s="33" t="str">
        <f t="shared" si="240"/>
        <v>SOU - Intercompany</v>
      </c>
      <c r="B3886" s="33" t="str">
        <f t="shared" si="241"/>
        <v>SOU</v>
      </c>
      <c r="C3886" s="33" t="str">
        <f t="shared" si="242"/>
        <v>11402-0000</v>
      </c>
      <c r="D3886" t="s">
        <v>27544</v>
      </c>
      <c r="E3886" t="s">
        <v>14174</v>
      </c>
      <c r="G3886" t="s">
        <v>14672</v>
      </c>
      <c r="H3886" t="s">
        <v>13869</v>
      </c>
      <c r="I3886" t="s">
        <v>14690</v>
      </c>
      <c r="J3886" s="62">
        <v>0</v>
      </c>
      <c r="K3886" s="62">
        <v>0</v>
      </c>
      <c r="L3886" t="str">
        <f>VLOOKUP(VALUE(LEFT(C3886,5)),Xref!A:B,2,0)</f>
        <v>DPI</v>
      </c>
      <c r="M3886" t="str">
        <f t="shared" si="243"/>
        <v>DPI-SOU</v>
      </c>
    </row>
    <row r="3887" spans="1:13" ht="14.25" customHeight="true">
      <c r="A3887" s="33" t="str">
        <f t="shared" si="240"/>
        <v>SOU - Intercompany</v>
      </c>
      <c r="B3887" s="33" t="str">
        <f t="shared" si="241"/>
        <v>SOU</v>
      </c>
      <c r="C3887" s="33" t="str">
        <f t="shared" si="242"/>
        <v>11403-0000</v>
      </c>
      <c r="D3887" t="s">
        <v>27545</v>
      </c>
      <c r="E3887" t="s">
        <v>14176</v>
      </c>
      <c r="G3887" t="s">
        <v>14672</v>
      </c>
      <c r="H3887" t="s">
        <v>13869</v>
      </c>
      <c r="I3887" t="s">
        <v>14690</v>
      </c>
      <c r="J3887" s="62">
        <v>0</v>
      </c>
      <c r="K3887" s="62">
        <v>0</v>
      </c>
      <c r="L3887" t="str">
        <f>VLOOKUP(VALUE(LEFT(C3887,5)),Xref!A:B,2,0)</f>
        <v>SEA</v>
      </c>
      <c r="M3887" t="str">
        <f t="shared" si="243"/>
        <v>SEA-SOU</v>
      </c>
    </row>
    <row r="3888" spans="1:13" ht="14.25" customHeight="true">
      <c r="A3888" s="33" t="str">
        <f t="shared" si="240"/>
        <v>SOU - Intercompany</v>
      </c>
      <c r="B3888" s="33" t="str">
        <f t="shared" si="241"/>
        <v>SOU</v>
      </c>
      <c r="C3888" s="33" t="str">
        <f t="shared" si="242"/>
        <v>12400-0000</v>
      </c>
      <c r="D3888" t="s">
        <v>27548</v>
      </c>
      <c r="E3888" t="s">
        <v>14185</v>
      </c>
      <c r="F3888" t="s">
        <v>14039</v>
      </c>
      <c r="G3888" t="s">
        <v>14672</v>
      </c>
      <c r="H3888" t="s">
        <v>13869</v>
      </c>
      <c r="I3888" t="s">
        <v>14690</v>
      </c>
      <c r="J3888" s="62">
        <v>0</v>
      </c>
      <c r="K3888" s="62">
        <v>0</v>
      </c>
      <c r="L3888" t="str">
        <f>VLOOKUP(VALUE(LEFT(C3888,5)),Xref!A:B,2,0)</f>
        <v>aka</v>
      </c>
      <c r="M3888" t="str">
        <f t="shared" si="243"/>
        <v>aka-SOU</v>
      </c>
    </row>
    <row r="3889" spans="1:13" ht="14.25" customHeight="true">
      <c r="A3889" s="33" t="str">
        <f t="shared" si="240"/>
        <v>SOU - Intercompany</v>
      </c>
      <c r="B3889" s="33" t="str">
        <f t="shared" si="241"/>
        <v>SOU</v>
      </c>
      <c r="C3889" s="33" t="str">
        <f t="shared" si="242"/>
        <v>12401-0000</v>
      </c>
      <c r="D3889" t="s">
        <v>27549</v>
      </c>
      <c r="E3889" t="s">
        <v>14187</v>
      </c>
      <c r="F3889" t="s">
        <v>14039</v>
      </c>
      <c r="G3889" t="s">
        <v>14672</v>
      </c>
      <c r="H3889" t="s">
        <v>13869</v>
      </c>
      <c r="I3889" t="s">
        <v>14690</v>
      </c>
      <c r="J3889" s="62">
        <v>0</v>
      </c>
      <c r="K3889" s="62">
        <v>0</v>
      </c>
      <c r="L3889" t="str">
        <f>VLOOKUP(VALUE(LEFT(C3889,5)),Xref!A:B,2,0)</f>
        <v>aka</v>
      </c>
      <c r="M3889" t="str">
        <f t="shared" si="243"/>
        <v>aka-SOU</v>
      </c>
    </row>
    <row r="3890" spans="1:13" ht="14.25" customHeight="true">
      <c r="A3890" s="33" t="str">
        <f t="shared" si="240"/>
        <v>SOU - Intercompany</v>
      </c>
      <c r="B3890" s="33" t="str">
        <f t="shared" si="241"/>
        <v>SOU</v>
      </c>
      <c r="C3890" s="33" t="str">
        <f t="shared" si="242"/>
        <v>12402-0000</v>
      </c>
      <c r="D3890" t="s">
        <v>27550</v>
      </c>
      <c r="E3890" t="s">
        <v>14189</v>
      </c>
      <c r="F3890" t="s">
        <v>14039</v>
      </c>
      <c r="G3890" t="s">
        <v>14672</v>
      </c>
      <c r="H3890" t="s">
        <v>13869</v>
      </c>
      <c r="I3890" t="s">
        <v>14690</v>
      </c>
      <c r="J3890" s="62">
        <v>0</v>
      </c>
      <c r="K3890" s="62">
        <v>0</v>
      </c>
      <c r="L3890" t="str">
        <f>VLOOKUP(VALUE(LEFT(C3890,5)),Xref!A:B,2,0)</f>
        <v>aka</v>
      </c>
      <c r="M3890" t="str">
        <f t="shared" si="243"/>
        <v>aka-SOU</v>
      </c>
    </row>
    <row r="3891" spans="1:13" ht="14.25" customHeight="true">
      <c r="A3891" s="33" t="str">
        <f t="shared" si="240"/>
        <v>SOU - Intercompany</v>
      </c>
      <c r="B3891" s="33" t="str">
        <f t="shared" si="241"/>
        <v>SOU</v>
      </c>
      <c r="C3891" s="33" t="str">
        <f t="shared" si="242"/>
        <v>12403-0000</v>
      </c>
      <c r="D3891" t="s">
        <v>27551</v>
      </c>
      <c r="E3891" t="s">
        <v>5226</v>
      </c>
      <c r="F3891" t="s">
        <v>14039</v>
      </c>
      <c r="G3891" t="s">
        <v>14672</v>
      </c>
      <c r="H3891" t="s">
        <v>13869</v>
      </c>
      <c r="I3891" t="s">
        <v>14690</v>
      </c>
      <c r="J3891" s="62">
        <v>0</v>
      </c>
      <c r="K3891" s="62">
        <v>0</v>
      </c>
      <c r="L3891" t="str">
        <f>VLOOKUP(VALUE(LEFT(C3891,5)),Xref!A:B,2,0)</f>
        <v>aka</v>
      </c>
      <c r="M3891" t="str">
        <f t="shared" si="243"/>
        <v>aka-SOU</v>
      </c>
    </row>
    <row r="3892" spans="1:13" ht="14.25" customHeight="true">
      <c r="A3892" s="33" t="str">
        <f t="shared" si="240"/>
        <v>SOU - Intercompany</v>
      </c>
      <c r="B3892" s="33" t="str">
        <f t="shared" si="241"/>
        <v>SOU</v>
      </c>
      <c r="C3892" s="33" t="str">
        <f t="shared" si="242"/>
        <v>12501-0000</v>
      </c>
      <c r="D3892" t="s">
        <v>27552</v>
      </c>
      <c r="E3892" t="s">
        <v>14192</v>
      </c>
      <c r="F3892" t="s">
        <v>14039</v>
      </c>
      <c r="G3892" t="s">
        <v>14672</v>
      </c>
      <c r="H3892" t="s">
        <v>13869</v>
      </c>
      <c r="I3892" t="s">
        <v>14690</v>
      </c>
      <c r="J3892" s="62">
        <v>0</v>
      </c>
      <c r="K3892" s="62">
        <v>0</v>
      </c>
      <c r="L3892" t="str">
        <f>VLOOKUP(VALUE(LEFT(C3892,5)),Xref!A:B,2,0)</f>
        <v>aka</v>
      </c>
      <c r="M3892" t="str">
        <f t="shared" si="243"/>
        <v>aka-SOU</v>
      </c>
    </row>
    <row r="3893" spans="1:13" ht="14.25" customHeight="true">
      <c r="A3893" s="33" t="str">
        <f t="shared" si="240"/>
        <v>SOU - InterCo Notes</v>
      </c>
      <c r="B3893" s="33" t="str">
        <f t="shared" si="241"/>
        <v>SOU</v>
      </c>
      <c r="C3893" s="33" t="str">
        <f t="shared" si="242"/>
        <v>25600-0000</v>
      </c>
      <c r="D3893" t="s">
        <v>27605</v>
      </c>
      <c r="E3893" t="s">
        <v>314</v>
      </c>
      <c r="F3893" t="s">
        <v>14039</v>
      </c>
      <c r="G3893" t="s">
        <v>14672</v>
      </c>
      <c r="H3893" t="s">
        <v>13889</v>
      </c>
      <c r="I3893" t="s">
        <v>14690</v>
      </c>
      <c r="J3893" s="62">
        <v>0</v>
      </c>
      <c r="K3893" s="62">
        <v>0</v>
      </c>
      <c r="L3893" t="str">
        <f>VLOOKUP(VALUE(LEFT(C3893,5)),Xref!A:B,2,0)</f>
        <v>D7</v>
      </c>
      <c r="M3893" t="str">
        <f t="shared" si="243"/>
        <v>D7-SOU</v>
      </c>
    </row>
    <row r="3894" spans="1:13" ht="14.25" customHeight="true">
      <c r="A3894" s="33" t="str">
        <f t="shared" si="240"/>
        <v>SOU - InterCo Notes</v>
      </c>
      <c r="B3894" s="33" t="str">
        <f t="shared" si="241"/>
        <v>SOU</v>
      </c>
      <c r="C3894" s="33" t="str">
        <f t="shared" si="242"/>
        <v>25602-0000</v>
      </c>
      <c r="D3894" t="s">
        <v>27607</v>
      </c>
      <c r="E3894" t="s">
        <v>13426</v>
      </c>
      <c r="F3894" t="s">
        <v>14039</v>
      </c>
      <c r="G3894" t="s">
        <v>14672</v>
      </c>
      <c r="H3894" t="s">
        <v>13889</v>
      </c>
      <c r="I3894" t="s">
        <v>14690</v>
      </c>
      <c r="J3894" s="62">
        <v>0</v>
      </c>
      <c r="K3894" s="62">
        <v>0</v>
      </c>
      <c r="L3894" t="str">
        <f>VLOOKUP(VALUE(LEFT(C3894,5)),Xref!A:B,2,0)</f>
        <v>DFLP</v>
      </c>
      <c r="M3894" t="str">
        <f t="shared" si="243"/>
        <v>DFLP-SOU</v>
      </c>
    </row>
    <row r="3895" spans="1:13" ht="14.25" customHeight="true">
      <c r="A3895" s="33" t="str">
        <f t="shared" si="240"/>
        <v>SOU - InterCo Notes</v>
      </c>
      <c r="B3895" s="33" t="str">
        <f t="shared" si="241"/>
        <v>SOU</v>
      </c>
      <c r="C3895" s="33" t="str">
        <f t="shared" si="242"/>
        <v>25603-0000</v>
      </c>
      <c r="D3895" t="s">
        <v>27608</v>
      </c>
      <c r="E3895" t="s">
        <v>14311</v>
      </c>
      <c r="F3895" t="s">
        <v>14039</v>
      </c>
      <c r="G3895" t="s">
        <v>14832</v>
      </c>
      <c r="H3895" t="s">
        <v>13889</v>
      </c>
      <c r="I3895" t="s">
        <v>14690</v>
      </c>
      <c r="J3895" s="62">
        <v>0</v>
      </c>
      <c r="K3895" s="62">
        <v>0</v>
      </c>
      <c r="L3895" t="str">
        <f>VLOOKUP(VALUE(LEFT(C3895,5)),Xref!A:B,2,0)</f>
        <v>aka</v>
      </c>
      <c r="M3895" t="str">
        <f t="shared" si="243"/>
        <v>aka-SOU</v>
      </c>
    </row>
    <row r="3896" spans="1:13" ht="14.25" customHeight="true">
      <c r="A3896" s="33" t="str">
        <f t="shared" si="240"/>
        <v>SOU - Intercompany</v>
      </c>
      <c r="B3896" s="33" t="str">
        <f t="shared" si="241"/>
        <v>SOU</v>
      </c>
      <c r="C3896" s="33" t="str">
        <f t="shared" si="242"/>
        <v>25604-0000</v>
      </c>
      <c r="D3896" t="s">
        <v>27609</v>
      </c>
      <c r="E3896" t="s">
        <v>13490</v>
      </c>
      <c r="F3896" t="s">
        <v>14039</v>
      </c>
      <c r="G3896" t="s">
        <v>14672</v>
      </c>
      <c r="H3896" t="s">
        <v>13869</v>
      </c>
      <c r="I3896" t="s">
        <v>14690</v>
      </c>
      <c r="J3896" s="62">
        <v>0</v>
      </c>
      <c r="K3896" s="62">
        <v>0</v>
      </c>
      <c r="L3896">
        <f>VLOOKUP(VALUE(LEFT(C3896,5)),Xref!A:B,2,0)</f>
        <v>0</v>
      </c>
      <c r="M3896" t="str">
        <f t="shared" si="243"/>
        <v>0-SOU</v>
      </c>
    </row>
    <row r="3897" spans="1:13" ht="14.25" customHeight="true">
      <c r="A3897" s="33" t="str">
        <f t="shared" si="240"/>
        <v>SPA - Intercompany</v>
      </c>
      <c r="B3897" s="33" t="str">
        <f t="shared" si="241"/>
        <v>SPA</v>
      </c>
      <c r="C3897" s="33" t="str">
        <f t="shared" si="242"/>
        <v>11200-0000</v>
      </c>
      <c r="D3897" t="s">
        <v>27808</v>
      </c>
      <c r="E3897" t="s">
        <v>14069</v>
      </c>
      <c r="F3897" t="s">
        <v>14039</v>
      </c>
      <c r="G3897" t="s">
        <v>14672</v>
      </c>
      <c r="H3897" t="s">
        <v>13869</v>
      </c>
      <c r="I3897" t="s">
        <v>14690</v>
      </c>
      <c r="J3897" s="62">
        <v>0</v>
      </c>
      <c r="K3897" s="62">
        <v>0</v>
      </c>
      <c r="L3897" t="str">
        <f>VLOOKUP(VALUE(LEFT(C3897,5)),Xref!A:B,2,0)</f>
        <v>SCL</v>
      </c>
      <c r="M3897" t="str">
        <f t="shared" si="243"/>
        <v>SCL-SPA</v>
      </c>
    </row>
    <row r="3898" spans="1:13" ht="14.25" customHeight="true">
      <c r="A3898" s="33" t="str">
        <f t="shared" si="240"/>
        <v>SPA - Intercompany</v>
      </c>
      <c r="B3898" s="33" t="str">
        <f t="shared" si="241"/>
        <v>SPA</v>
      </c>
      <c r="C3898" s="33" t="str">
        <f t="shared" si="242"/>
        <v>11201-0000</v>
      </c>
      <c r="D3898" t="s">
        <v>27809</v>
      </c>
      <c r="E3898" t="s">
        <v>14071</v>
      </c>
      <c r="F3898" t="s">
        <v>14039</v>
      </c>
      <c r="G3898" t="s">
        <v>14672</v>
      </c>
      <c r="H3898" t="s">
        <v>13869</v>
      </c>
      <c r="I3898" t="s">
        <v>14690</v>
      </c>
      <c r="J3898" s="62">
        <v>0</v>
      </c>
      <c r="K3898" s="62">
        <v>0</v>
      </c>
      <c r="L3898" t="str">
        <f>VLOOKUP(VALUE(LEFT(C3898,5)),Xref!A:B,2,0)</f>
        <v>SG2</v>
      </c>
      <c r="M3898" t="str">
        <f t="shared" si="243"/>
        <v>SG2-SPA</v>
      </c>
    </row>
    <row r="3899" spans="1:13" ht="14.25" customHeight="true">
      <c r="A3899" s="33" t="str">
        <f t="shared" si="240"/>
        <v>SPA - Intercompany</v>
      </c>
      <c r="B3899" s="33" t="str">
        <f t="shared" si="241"/>
        <v>SPA</v>
      </c>
      <c r="C3899" s="33" t="str">
        <f t="shared" si="242"/>
        <v>11202-0000</v>
      </c>
      <c r="D3899" t="s">
        <v>27810</v>
      </c>
      <c r="E3899" t="s">
        <v>14073</v>
      </c>
      <c r="F3899" t="s">
        <v>14039</v>
      </c>
      <c r="G3899" t="s">
        <v>14672</v>
      </c>
      <c r="H3899" t="s">
        <v>13869</v>
      </c>
      <c r="I3899" t="s">
        <v>14690</v>
      </c>
      <c r="J3899" s="62">
        <v>0</v>
      </c>
      <c r="K3899" s="62">
        <v>0</v>
      </c>
      <c r="L3899" t="str">
        <f>VLOOKUP(VALUE(LEFT(C3899,5)),Xref!A:B,2,0)</f>
        <v>FFC</v>
      </c>
      <c r="M3899" t="str">
        <f t="shared" si="243"/>
        <v>FFC-SPA</v>
      </c>
    </row>
    <row r="3900" spans="1:13" ht="14.25" customHeight="true">
      <c r="A3900" s="33" t="str">
        <f t="shared" si="240"/>
        <v>SPA - Intercompany</v>
      </c>
      <c r="B3900" s="33" t="str">
        <f t="shared" si="241"/>
        <v>SPA</v>
      </c>
      <c r="C3900" s="33" t="str">
        <f t="shared" si="242"/>
        <v>11203-0000</v>
      </c>
      <c r="D3900" t="s">
        <v>27811</v>
      </c>
      <c r="E3900" t="s">
        <v>14075</v>
      </c>
      <c r="F3900" t="s">
        <v>14039</v>
      </c>
      <c r="G3900" t="s">
        <v>14672</v>
      </c>
      <c r="H3900" t="s">
        <v>13869</v>
      </c>
      <c r="I3900" t="s">
        <v>14690</v>
      </c>
      <c r="J3900" s="62">
        <v>0</v>
      </c>
      <c r="K3900" s="62">
        <v>0</v>
      </c>
      <c r="L3900" t="str">
        <f>VLOOKUP(VALUE(LEFT(C3900,5)),Xref!A:B,2,0)</f>
        <v>HN2</v>
      </c>
      <c r="M3900" t="str">
        <f t="shared" si="243"/>
        <v>HN2-SPA</v>
      </c>
    </row>
    <row r="3901" spans="1:13" ht="14.25" customHeight="true">
      <c r="A3901" s="33" t="str">
        <f t="shared" si="240"/>
        <v>SPA - Intercompany</v>
      </c>
      <c r="B3901" s="33" t="str">
        <f t="shared" si="241"/>
        <v>SPA</v>
      </c>
      <c r="C3901" s="33" t="str">
        <f t="shared" si="242"/>
        <v>11204-0000</v>
      </c>
      <c r="D3901" t="s">
        <v>27812</v>
      </c>
      <c r="E3901" t="s">
        <v>14077</v>
      </c>
      <c r="F3901" t="s">
        <v>14039</v>
      </c>
      <c r="G3901" t="s">
        <v>14672</v>
      </c>
      <c r="H3901" t="s">
        <v>13869</v>
      </c>
      <c r="I3901" t="s">
        <v>14690</v>
      </c>
      <c r="J3901" s="62">
        <v>0</v>
      </c>
      <c r="K3901" s="62">
        <v>0</v>
      </c>
      <c r="L3901" t="str">
        <f>VLOOKUP(VALUE(LEFT(C3901,5)),Xref!A:B,2,0)</f>
        <v>DF2</v>
      </c>
      <c r="M3901" t="str">
        <f t="shared" si="243"/>
        <v>DF2-SPA</v>
      </c>
    </row>
    <row r="3902" spans="1:13" ht="14.25" customHeight="true">
      <c r="A3902" s="33" t="str">
        <f t="shared" si="240"/>
        <v>SPA - Intercompany</v>
      </c>
      <c r="B3902" s="33" t="str">
        <f t="shared" si="241"/>
        <v>SPA</v>
      </c>
      <c r="C3902" s="33" t="str">
        <f t="shared" si="242"/>
        <v>11208-0000</v>
      </c>
      <c r="D3902" t="s">
        <v>27813</v>
      </c>
      <c r="E3902" t="s">
        <v>14079</v>
      </c>
      <c r="F3902" t="s">
        <v>14039</v>
      </c>
      <c r="G3902" t="s">
        <v>14672</v>
      </c>
      <c r="H3902" t="s">
        <v>13869</v>
      </c>
      <c r="I3902" t="s">
        <v>14690</v>
      </c>
      <c r="J3902" s="62">
        <v>0</v>
      </c>
      <c r="K3902" s="62">
        <v>0</v>
      </c>
      <c r="L3902" t="str">
        <f>VLOOKUP(VALUE(LEFT(C3902,5)),Xref!A:B,2,0)</f>
        <v>SRE</v>
      </c>
      <c r="M3902" t="str">
        <f t="shared" si="243"/>
        <v>SPA-SRE</v>
      </c>
    </row>
    <row r="3903" spans="1:13" ht="14.25" customHeight="true">
      <c r="A3903" s="33" t="str">
        <f t="shared" si="240"/>
        <v>SPA - Intercompany</v>
      </c>
      <c r="B3903" s="33" t="str">
        <f t="shared" si="241"/>
        <v>SPA</v>
      </c>
      <c r="C3903" s="33" t="str">
        <f t="shared" si="242"/>
        <v>11210-0000</v>
      </c>
      <c r="D3903" t="s">
        <v>27814</v>
      </c>
      <c r="E3903" t="s">
        <v>14081</v>
      </c>
      <c r="F3903" t="s">
        <v>14039</v>
      </c>
      <c r="G3903" t="s">
        <v>14672</v>
      </c>
      <c r="H3903" t="s">
        <v>13869</v>
      </c>
      <c r="I3903" t="s">
        <v>14690</v>
      </c>
      <c r="J3903" s="62">
        <v>0</v>
      </c>
      <c r="K3903" s="62">
        <v>0</v>
      </c>
      <c r="L3903" t="str">
        <f>VLOOKUP(VALUE(LEFT(C3903,5)),Xref!A:B,2,0)</f>
        <v>REM</v>
      </c>
      <c r="M3903" t="str">
        <f t="shared" si="243"/>
        <v>REM-SPA</v>
      </c>
    </row>
    <row r="3904" spans="1:13" ht="14.25" customHeight="true">
      <c r="A3904" s="33" t="str">
        <f t="shared" si="240"/>
        <v>SPA - Intercompany</v>
      </c>
      <c r="B3904" s="33" t="str">
        <f t="shared" si="241"/>
        <v>SPA</v>
      </c>
      <c r="C3904" s="33" t="str">
        <f t="shared" si="242"/>
        <v>11212-0000</v>
      </c>
      <c r="D3904" t="s">
        <v>27815</v>
      </c>
      <c r="E3904" t="s">
        <v>14083</v>
      </c>
      <c r="F3904" t="s">
        <v>14039</v>
      </c>
      <c r="G3904" t="s">
        <v>14672</v>
      </c>
      <c r="H3904" t="s">
        <v>13869</v>
      </c>
      <c r="I3904" t="s">
        <v>14690</v>
      </c>
      <c r="J3904" s="62">
        <v>0</v>
      </c>
      <c r="K3904" s="62">
        <v>0</v>
      </c>
      <c r="L3904" t="str">
        <f>VLOOKUP(VALUE(LEFT(C3904,5)),Xref!A:B,2,0)</f>
        <v>FRM</v>
      </c>
      <c r="M3904" t="str">
        <f t="shared" si="243"/>
        <v>FRM-SPA</v>
      </c>
    </row>
    <row r="3905" spans="1:13" ht="14.25" customHeight="true">
      <c r="A3905" s="33" t="str">
        <f t="shared" si="240"/>
        <v>SPA - Intercompany</v>
      </c>
      <c r="B3905" s="33" t="str">
        <f t="shared" si="241"/>
        <v>SPA</v>
      </c>
      <c r="C3905" s="33" t="str">
        <f t="shared" si="242"/>
        <v>11214-0000</v>
      </c>
      <c r="D3905" t="s">
        <v>27816</v>
      </c>
      <c r="E3905" t="s">
        <v>14085</v>
      </c>
      <c r="F3905" t="s">
        <v>14039</v>
      </c>
      <c r="G3905" t="s">
        <v>14672</v>
      </c>
      <c r="H3905" t="s">
        <v>13869</v>
      </c>
      <c r="I3905" t="s">
        <v>14690</v>
      </c>
      <c r="J3905" s="62">
        <v>0</v>
      </c>
      <c r="K3905" s="62">
        <v>0</v>
      </c>
      <c r="L3905" t="str">
        <f>VLOOKUP(VALUE(LEFT(C3905,5)),Xref!A:B,2,0)</f>
        <v>D7R</v>
      </c>
      <c r="M3905" t="str">
        <f t="shared" si="243"/>
        <v>D7R-SPA</v>
      </c>
    </row>
    <row r="3906" spans="1:13" ht="14.25" customHeight="true">
      <c r="A3906" s="33" t="str">
        <f t="shared" ref="A3906:A3969" si="244">B3906&amp;" - "&amp;TRIM(H3906)</f>
        <v>SPA - Intercompany</v>
      </c>
      <c r="B3906" s="33" t="str">
        <f t="shared" ref="B3906:B3969" si="245">LEFT(D3906,3)</f>
        <v>SPA</v>
      </c>
      <c r="C3906" s="33" t="str">
        <f t="shared" ref="C3906:C3969" si="246">RIGHT(D3906,10)</f>
        <v>11215-0000</v>
      </c>
      <c r="D3906" t="s">
        <v>27817</v>
      </c>
      <c r="E3906" t="s">
        <v>14087</v>
      </c>
      <c r="F3906" t="s">
        <v>14039</v>
      </c>
      <c r="G3906" t="s">
        <v>14672</v>
      </c>
      <c r="H3906" t="s">
        <v>13869</v>
      </c>
      <c r="I3906" t="s">
        <v>14690</v>
      </c>
      <c r="J3906" s="62">
        <v>0</v>
      </c>
      <c r="K3906" s="62">
        <v>0</v>
      </c>
      <c r="L3906" t="str">
        <f>VLOOKUP(VALUE(LEFT(C3906,5)),Xref!A:B,2,0)</f>
        <v>CDP</v>
      </c>
      <c r="M3906" t="str">
        <f t="shared" ref="M3906:M3969" si="247">IF(B3906&lt;L3906,B3906&amp;"-"&amp;L3906,L3906&amp;"-"&amp;B3906)</f>
        <v>CDP-SPA</v>
      </c>
    </row>
    <row r="3907" spans="1:13" ht="14.25" customHeight="true">
      <c r="A3907" s="33" t="str">
        <f t="shared" si="244"/>
        <v>SPA - Intercompany</v>
      </c>
      <c r="B3907" s="33" t="str">
        <f t="shared" si="245"/>
        <v>SPA</v>
      </c>
      <c r="C3907" s="33" t="str">
        <f t="shared" si="246"/>
        <v>11216-0000</v>
      </c>
      <c r="D3907" t="s">
        <v>12571</v>
      </c>
      <c r="E3907" t="s">
        <v>13224</v>
      </c>
      <c r="F3907" t="s">
        <v>14039</v>
      </c>
      <c r="G3907" t="s">
        <v>14672</v>
      </c>
      <c r="H3907" t="s">
        <v>13869</v>
      </c>
      <c r="I3907" t="s">
        <v>14690</v>
      </c>
      <c r="J3907" s="62">
        <v>-139.31</v>
      </c>
      <c r="K3907" s="62">
        <v>-4513.41</v>
      </c>
      <c r="L3907" t="str">
        <f>VLOOKUP(VALUE(LEFT(C3907,5)),Xref!A:B,2,0)</f>
        <v>SIL</v>
      </c>
      <c r="M3907" t="str">
        <f t="shared" si="247"/>
        <v>SIL-SPA</v>
      </c>
    </row>
    <row r="3908" spans="1:13" ht="14.25" customHeight="true">
      <c r="A3908" s="33" t="str">
        <f t="shared" si="244"/>
        <v>SPA - Intercompany</v>
      </c>
      <c r="B3908" s="33" t="str">
        <f t="shared" si="245"/>
        <v>SPA</v>
      </c>
      <c r="C3908" s="33" t="str">
        <f t="shared" si="246"/>
        <v>11232-0000</v>
      </c>
      <c r="D3908" t="s">
        <v>27818</v>
      </c>
      <c r="E3908" t="s">
        <v>12486</v>
      </c>
      <c r="F3908" t="s">
        <v>14039</v>
      </c>
      <c r="G3908" t="s">
        <v>14672</v>
      </c>
      <c r="H3908" t="s">
        <v>13869</v>
      </c>
      <c r="I3908" t="s">
        <v>14690</v>
      </c>
      <c r="J3908" s="62">
        <v>0</v>
      </c>
      <c r="K3908" s="62">
        <v>0</v>
      </c>
      <c r="L3908" t="str">
        <f>VLOOKUP(VALUE(LEFT(C3908,5)),Xref!A:B,2,0)</f>
        <v>SC2</v>
      </c>
      <c r="M3908" t="str">
        <f t="shared" si="247"/>
        <v>SC2-SPA</v>
      </c>
    </row>
    <row r="3909" spans="1:13" ht="14.25" customHeight="true">
      <c r="A3909" s="33" t="str">
        <f t="shared" si="244"/>
        <v>SPA - Intercompany</v>
      </c>
      <c r="B3909" s="33" t="str">
        <f t="shared" si="245"/>
        <v>SPA</v>
      </c>
      <c r="C3909" s="33" t="str">
        <f t="shared" si="246"/>
        <v>11301-0000</v>
      </c>
      <c r="D3909" t="s">
        <v>27819</v>
      </c>
      <c r="E3909" t="s">
        <v>13225</v>
      </c>
      <c r="F3909" t="s">
        <v>14039</v>
      </c>
      <c r="G3909" t="s">
        <v>14672</v>
      </c>
      <c r="H3909" t="s">
        <v>13869</v>
      </c>
      <c r="I3909" t="s">
        <v>14690</v>
      </c>
      <c r="J3909" s="62">
        <v>0</v>
      </c>
      <c r="K3909" s="62">
        <v>0</v>
      </c>
      <c r="L3909" t="str">
        <f>VLOOKUP(VALUE(LEFT(C3909,5)),Xref!A:B,2,0)</f>
        <v>CRE</v>
      </c>
      <c r="M3909" t="str">
        <f t="shared" si="247"/>
        <v>CRE-SPA</v>
      </c>
    </row>
    <row r="3910" spans="1:13" ht="14.25" customHeight="true">
      <c r="A3910" s="33" t="str">
        <f t="shared" si="244"/>
        <v>SPA - Intercompany</v>
      </c>
      <c r="B3910" s="33" t="str">
        <f t="shared" si="245"/>
        <v>SPA</v>
      </c>
      <c r="C3910" s="33" t="str">
        <f t="shared" si="246"/>
        <v>11302-0000</v>
      </c>
      <c r="D3910" t="s">
        <v>27820</v>
      </c>
      <c r="E3910" t="s">
        <v>13226</v>
      </c>
      <c r="F3910" t="s">
        <v>14039</v>
      </c>
      <c r="G3910" t="s">
        <v>14672</v>
      </c>
      <c r="H3910" t="s">
        <v>13869</v>
      </c>
      <c r="I3910" t="s">
        <v>14690</v>
      </c>
      <c r="J3910" s="62">
        <v>0</v>
      </c>
      <c r="K3910" s="62">
        <v>0</v>
      </c>
      <c r="L3910" t="str">
        <f>VLOOKUP(VALUE(LEFT(C3910,5)),Xref!A:B,2,0)</f>
        <v>CHA</v>
      </c>
      <c r="M3910" t="str">
        <f t="shared" si="247"/>
        <v>CHA-SPA</v>
      </c>
    </row>
    <row r="3911" spans="1:13" ht="14.25" customHeight="true">
      <c r="A3911" s="33" t="str">
        <f t="shared" si="244"/>
        <v>SPA - Intercompany</v>
      </c>
      <c r="B3911" s="33" t="str">
        <f t="shared" si="245"/>
        <v>SPA</v>
      </c>
      <c r="C3911" s="33" t="str">
        <f t="shared" si="246"/>
        <v>11303-0000</v>
      </c>
      <c r="D3911" t="s">
        <v>27821</v>
      </c>
      <c r="E3911" t="s">
        <v>13227</v>
      </c>
      <c r="F3911" t="s">
        <v>14039</v>
      </c>
      <c r="G3911" t="s">
        <v>14672</v>
      </c>
      <c r="H3911" t="s">
        <v>13869</v>
      </c>
      <c r="I3911" t="s">
        <v>14690</v>
      </c>
      <c r="J3911" s="62">
        <v>0</v>
      </c>
      <c r="K3911" s="62">
        <v>0</v>
      </c>
      <c r="L3911" t="str">
        <f>VLOOKUP(VALUE(LEFT(C3911,5)),Xref!A:B,2,0)</f>
        <v>DIA</v>
      </c>
      <c r="M3911" t="str">
        <f t="shared" si="247"/>
        <v>DIA-SPA</v>
      </c>
    </row>
    <row r="3912" spans="1:13" ht="14.25" customHeight="true">
      <c r="A3912" s="33" t="str">
        <f t="shared" si="244"/>
        <v>SPA - Intercompany</v>
      </c>
      <c r="B3912" s="33" t="str">
        <f t="shared" si="245"/>
        <v>SPA</v>
      </c>
      <c r="C3912" s="33" t="str">
        <f t="shared" si="246"/>
        <v>11304-0000</v>
      </c>
      <c r="D3912" t="s">
        <v>27822</v>
      </c>
      <c r="E3912" t="s">
        <v>13228</v>
      </c>
      <c r="F3912" t="s">
        <v>14039</v>
      </c>
      <c r="G3912" t="s">
        <v>14672</v>
      </c>
      <c r="H3912" t="s">
        <v>13869</v>
      </c>
      <c r="I3912" t="s">
        <v>14690</v>
      </c>
      <c r="J3912" s="62">
        <v>0</v>
      </c>
      <c r="K3912" s="62">
        <v>0</v>
      </c>
      <c r="L3912" t="str">
        <f>VLOOKUP(VALUE(LEFT(C3912,5)),Xref!A:B,2,0)</f>
        <v>EAG</v>
      </c>
      <c r="M3912" t="str">
        <f t="shared" si="247"/>
        <v>EAG-SPA</v>
      </c>
    </row>
    <row r="3913" spans="1:13" ht="14.25" customHeight="true">
      <c r="A3913" s="33" t="str">
        <f t="shared" si="244"/>
        <v>SPA - Intercompany</v>
      </c>
      <c r="B3913" s="33" t="str">
        <f t="shared" si="245"/>
        <v>SPA</v>
      </c>
      <c r="C3913" s="33" t="str">
        <f t="shared" si="246"/>
        <v>11305-0000</v>
      </c>
      <c r="D3913" t="s">
        <v>27823</v>
      </c>
      <c r="E3913" t="s">
        <v>13229</v>
      </c>
      <c r="F3913" t="s">
        <v>14039</v>
      </c>
      <c r="G3913" t="s">
        <v>14672</v>
      </c>
      <c r="H3913" t="s">
        <v>13869</v>
      </c>
      <c r="I3913" t="s">
        <v>14690</v>
      </c>
      <c r="J3913" s="62">
        <v>0</v>
      </c>
      <c r="K3913" s="62">
        <v>0</v>
      </c>
      <c r="L3913" t="str">
        <f>VLOOKUP(VALUE(LEFT(C3913,5)),Xref!A:B,2,0)</f>
        <v>NEW</v>
      </c>
      <c r="M3913" t="str">
        <f t="shared" si="247"/>
        <v>NEW-SPA</v>
      </c>
    </row>
    <row r="3914" spans="1:13" ht="14.25" customHeight="true">
      <c r="A3914" s="33" t="str">
        <f t="shared" si="244"/>
        <v>SPA - Intercompany</v>
      </c>
      <c r="B3914" s="33" t="str">
        <f t="shared" si="245"/>
        <v>SPA</v>
      </c>
      <c r="C3914" s="33" t="str">
        <f t="shared" si="246"/>
        <v>11307-0000</v>
      </c>
      <c r="D3914" t="s">
        <v>27824</v>
      </c>
      <c r="E3914" t="s">
        <v>14096</v>
      </c>
      <c r="F3914" t="s">
        <v>14039</v>
      </c>
      <c r="G3914" t="s">
        <v>14672</v>
      </c>
      <c r="H3914" t="s">
        <v>13869</v>
      </c>
      <c r="I3914" t="s">
        <v>14690</v>
      </c>
      <c r="J3914" s="62">
        <v>0</v>
      </c>
      <c r="K3914" s="62">
        <v>0</v>
      </c>
      <c r="L3914" t="str">
        <f>VLOOKUP(VALUE(LEFT(C3914,5)),Xref!A:B,2,0)</f>
        <v>NES</v>
      </c>
      <c r="M3914" t="str">
        <f t="shared" si="247"/>
        <v>NES-SPA</v>
      </c>
    </row>
    <row r="3915" spans="1:13" ht="14.25" customHeight="true">
      <c r="A3915" s="33" t="str">
        <f t="shared" si="244"/>
        <v>SPA - Intercompany</v>
      </c>
      <c r="B3915" s="33" t="str">
        <f t="shared" si="245"/>
        <v>SPA</v>
      </c>
      <c r="C3915" s="33" t="str">
        <f t="shared" si="246"/>
        <v>11308-0000</v>
      </c>
      <c r="D3915" t="s">
        <v>27825</v>
      </c>
      <c r="E3915" t="s">
        <v>13476</v>
      </c>
      <c r="F3915" t="s">
        <v>14039</v>
      </c>
      <c r="G3915" t="s">
        <v>14672</v>
      </c>
      <c r="H3915" t="s">
        <v>13869</v>
      </c>
      <c r="I3915" t="s">
        <v>14690</v>
      </c>
      <c r="J3915" s="62">
        <v>0</v>
      </c>
      <c r="K3915" s="62">
        <v>0</v>
      </c>
      <c r="L3915" t="str">
        <f>VLOOKUP(VALUE(LEFT(C3915,5)),Xref!A:B,2,0)</f>
        <v>LPI</v>
      </c>
      <c r="M3915" t="str">
        <f t="shared" si="247"/>
        <v>LPI-SPA</v>
      </c>
    </row>
    <row r="3916" spans="1:13" ht="14.25" customHeight="true">
      <c r="A3916" s="33" t="str">
        <f t="shared" si="244"/>
        <v>SPA - Intercompany</v>
      </c>
      <c r="B3916" s="33" t="str">
        <f t="shared" si="245"/>
        <v>SPA</v>
      </c>
      <c r="C3916" s="33" t="str">
        <f t="shared" si="246"/>
        <v>11309-0000</v>
      </c>
      <c r="D3916" t="s">
        <v>27826</v>
      </c>
      <c r="E3916" t="s">
        <v>13230</v>
      </c>
      <c r="F3916" t="s">
        <v>14039</v>
      </c>
      <c r="G3916" t="s">
        <v>14672</v>
      </c>
      <c r="H3916" t="s">
        <v>13869</v>
      </c>
      <c r="I3916" t="s">
        <v>14690</v>
      </c>
      <c r="J3916" s="62">
        <v>0</v>
      </c>
      <c r="K3916" s="62">
        <v>0</v>
      </c>
      <c r="L3916" t="str">
        <f>VLOOKUP(VALUE(LEFT(C3916,5)),Xref!A:B,2,0)</f>
        <v>GPI</v>
      </c>
      <c r="M3916" t="str">
        <f t="shared" si="247"/>
        <v>GPI-SPA</v>
      </c>
    </row>
    <row r="3917" spans="1:13" ht="14.25" customHeight="true">
      <c r="A3917" s="33" t="str">
        <f t="shared" si="244"/>
        <v>SPA - Intercompany</v>
      </c>
      <c r="B3917" s="33" t="str">
        <f t="shared" si="245"/>
        <v>SPA</v>
      </c>
      <c r="C3917" s="33" t="str">
        <f t="shared" si="246"/>
        <v>11310-0000</v>
      </c>
      <c r="D3917" t="s">
        <v>27827</v>
      </c>
      <c r="E3917" t="s">
        <v>13231</v>
      </c>
      <c r="F3917" t="s">
        <v>14039</v>
      </c>
      <c r="G3917" t="s">
        <v>14672</v>
      </c>
      <c r="H3917" t="s">
        <v>13869</v>
      </c>
      <c r="I3917" t="s">
        <v>14690</v>
      </c>
      <c r="J3917" s="62">
        <v>0</v>
      </c>
      <c r="K3917" s="62">
        <v>0</v>
      </c>
      <c r="L3917" t="str">
        <f>VLOOKUP(VALUE(LEFT(C3917,5)),Xref!A:B,2,0)</f>
        <v>ALP</v>
      </c>
      <c r="M3917" t="str">
        <f t="shared" si="247"/>
        <v>ALP-SPA</v>
      </c>
    </row>
    <row r="3918" spans="1:13" ht="14.25" customHeight="true">
      <c r="A3918" s="33" t="str">
        <f t="shared" si="244"/>
        <v>SPA - Intercompany</v>
      </c>
      <c r="B3918" s="33" t="str">
        <f t="shared" si="245"/>
        <v>SPA</v>
      </c>
      <c r="C3918" s="33" t="str">
        <f t="shared" si="246"/>
        <v>11311-0000</v>
      </c>
      <c r="D3918" t="s">
        <v>27828</v>
      </c>
      <c r="E3918" t="s">
        <v>13232</v>
      </c>
      <c r="F3918" t="s">
        <v>14039</v>
      </c>
      <c r="G3918" t="s">
        <v>14672</v>
      </c>
      <c r="H3918" t="s">
        <v>13869</v>
      </c>
      <c r="I3918" t="s">
        <v>14690</v>
      </c>
      <c r="J3918" s="62">
        <v>0</v>
      </c>
      <c r="K3918" s="62">
        <v>0</v>
      </c>
      <c r="L3918" t="str">
        <f>VLOOKUP(VALUE(LEFT(C3918,5)),Xref!A:B,2,0)</f>
        <v>BET</v>
      </c>
      <c r="M3918" t="str">
        <f t="shared" si="247"/>
        <v>BET-SPA</v>
      </c>
    </row>
    <row r="3919" spans="1:13" ht="14.25" customHeight="true">
      <c r="A3919" s="33" t="str">
        <f t="shared" si="244"/>
        <v>SPA - Intercompany</v>
      </c>
      <c r="B3919" s="33" t="str">
        <f t="shared" si="245"/>
        <v>SPA</v>
      </c>
      <c r="C3919" s="33" t="str">
        <f t="shared" si="246"/>
        <v>11312-0000</v>
      </c>
      <c r="D3919" t="s">
        <v>27829</v>
      </c>
      <c r="E3919" t="s">
        <v>14102</v>
      </c>
      <c r="F3919" t="s">
        <v>14039</v>
      </c>
      <c r="G3919" t="s">
        <v>14672</v>
      </c>
      <c r="H3919" t="s">
        <v>13869</v>
      </c>
      <c r="I3919" t="s">
        <v>14690</v>
      </c>
      <c r="J3919" s="62">
        <v>0</v>
      </c>
      <c r="K3919" s="62">
        <v>0</v>
      </c>
      <c r="L3919" t="str">
        <f>VLOOKUP(VALUE(LEFT(C3919,5)),Xref!A:B,2,0)</f>
        <v>DEL</v>
      </c>
      <c r="M3919" t="str">
        <f t="shared" si="247"/>
        <v>DEL-SPA</v>
      </c>
    </row>
    <row r="3920" spans="1:13" ht="14.25" customHeight="true">
      <c r="A3920" s="33" t="str">
        <f t="shared" si="244"/>
        <v>SPA - Intercompany</v>
      </c>
      <c r="B3920" s="33" t="str">
        <f t="shared" si="245"/>
        <v>SPA</v>
      </c>
      <c r="C3920" s="33" t="str">
        <f t="shared" si="246"/>
        <v>11313-0000</v>
      </c>
      <c r="D3920" t="s">
        <v>27830</v>
      </c>
      <c r="E3920" t="s">
        <v>13233</v>
      </c>
      <c r="F3920" t="s">
        <v>14039</v>
      </c>
      <c r="G3920" t="s">
        <v>14672</v>
      </c>
      <c r="H3920" t="s">
        <v>13869</v>
      </c>
      <c r="I3920" t="s">
        <v>14690</v>
      </c>
      <c r="J3920" s="62">
        <v>0</v>
      </c>
      <c r="K3920" s="62">
        <v>0</v>
      </c>
      <c r="L3920" t="str">
        <f>VLOOKUP(VALUE(LEFT(C3920,5)),Xref!A:B,2,0)</f>
        <v>DOL</v>
      </c>
      <c r="M3920" t="str">
        <f t="shared" si="247"/>
        <v>DOL-SPA</v>
      </c>
    </row>
    <row r="3921" spans="1:13" ht="14.25" customHeight="true">
      <c r="A3921" s="33" t="str">
        <f t="shared" si="244"/>
        <v>SPA - Intercompany</v>
      </c>
      <c r="B3921" s="33" t="str">
        <f t="shared" si="245"/>
        <v>SPA</v>
      </c>
      <c r="C3921" s="33" t="str">
        <f t="shared" si="246"/>
        <v>11314-0000</v>
      </c>
      <c r="D3921" t="s">
        <v>27831</v>
      </c>
      <c r="E3921" t="s">
        <v>13351</v>
      </c>
      <c r="F3921" t="s">
        <v>14039</v>
      </c>
      <c r="G3921" t="s">
        <v>14672</v>
      </c>
      <c r="H3921" t="s">
        <v>13869</v>
      </c>
      <c r="I3921" t="s">
        <v>14690</v>
      </c>
      <c r="J3921" s="62">
        <v>0</v>
      </c>
      <c r="K3921" s="62">
        <v>0</v>
      </c>
      <c r="L3921" t="str">
        <f>VLOOKUP(VALUE(LEFT(C3921,5)),Xref!A:B,2,0)</f>
        <v>GRI</v>
      </c>
      <c r="M3921" t="str">
        <f t="shared" si="247"/>
        <v>GRI-SPA</v>
      </c>
    </row>
    <row r="3922" spans="1:13" ht="14.25" customHeight="true">
      <c r="A3922" s="33" t="str">
        <f t="shared" si="244"/>
        <v>SPA - Intercompany</v>
      </c>
      <c r="B3922" s="33" t="str">
        <f t="shared" si="245"/>
        <v>SPA</v>
      </c>
      <c r="C3922" s="33" t="str">
        <f t="shared" si="246"/>
        <v>11315-0000</v>
      </c>
      <c r="D3922" t="s">
        <v>27832</v>
      </c>
      <c r="E3922" t="s">
        <v>13234</v>
      </c>
      <c r="F3922" t="s">
        <v>14039</v>
      </c>
      <c r="G3922" t="s">
        <v>14672</v>
      </c>
      <c r="H3922" t="s">
        <v>13869</v>
      </c>
      <c r="I3922" t="s">
        <v>14690</v>
      </c>
      <c r="J3922" s="62">
        <v>0</v>
      </c>
      <c r="K3922" s="62">
        <v>0</v>
      </c>
      <c r="L3922" t="str">
        <f>VLOOKUP(VALUE(LEFT(C3922,5)),Xref!A:B,2,0)</f>
        <v>PUR</v>
      </c>
      <c r="M3922" t="str">
        <f t="shared" si="247"/>
        <v>PUR-SPA</v>
      </c>
    </row>
    <row r="3923" spans="1:13" ht="14.25" customHeight="true">
      <c r="A3923" s="33" t="str">
        <f t="shared" si="244"/>
        <v>SPA - Intercompany</v>
      </c>
      <c r="B3923" s="33" t="str">
        <f t="shared" si="245"/>
        <v>SPA</v>
      </c>
      <c r="C3923" s="33" t="str">
        <f t="shared" si="246"/>
        <v>11316-0000</v>
      </c>
      <c r="D3923" t="s">
        <v>27833</v>
      </c>
      <c r="E3923" t="s">
        <v>13235</v>
      </c>
      <c r="F3923" t="s">
        <v>14039</v>
      </c>
      <c r="G3923" t="s">
        <v>14672</v>
      </c>
      <c r="H3923" t="s">
        <v>13869</v>
      </c>
      <c r="I3923" t="s">
        <v>14690</v>
      </c>
      <c r="J3923" s="62">
        <v>0</v>
      </c>
      <c r="K3923" s="62">
        <v>0</v>
      </c>
      <c r="L3923" t="str">
        <f>VLOOKUP(VALUE(LEFT(C3923,5)),Xref!A:B,2,0)</f>
        <v>VAL</v>
      </c>
      <c r="M3923" t="str">
        <f t="shared" si="247"/>
        <v>SPA-VAL</v>
      </c>
    </row>
    <row r="3924" spans="1:13" ht="14.25" customHeight="true">
      <c r="A3924" s="33" t="str">
        <f t="shared" si="244"/>
        <v>SPA - Intercompany</v>
      </c>
      <c r="B3924" s="33" t="str">
        <f t="shared" si="245"/>
        <v>SPA</v>
      </c>
      <c r="C3924" s="33" t="str">
        <f t="shared" si="246"/>
        <v>11317-0000</v>
      </c>
      <c r="D3924" t="s">
        <v>27834</v>
      </c>
      <c r="E3924" t="s">
        <v>13352</v>
      </c>
      <c r="F3924" t="s">
        <v>14039</v>
      </c>
      <c r="G3924" t="s">
        <v>14672</v>
      </c>
      <c r="H3924" t="s">
        <v>13869</v>
      </c>
      <c r="I3924" t="s">
        <v>14690</v>
      </c>
      <c r="J3924" s="62">
        <v>0</v>
      </c>
      <c r="K3924" s="62">
        <v>0</v>
      </c>
      <c r="L3924" t="str">
        <f>VLOOKUP(VALUE(LEFT(C3924,5)),Xref!A:B,2,0)</f>
        <v>AKG</v>
      </c>
      <c r="M3924" t="str">
        <f t="shared" si="247"/>
        <v>AKG-SPA</v>
      </c>
    </row>
    <row r="3925" spans="1:13" ht="14.25" customHeight="true">
      <c r="A3925" s="33" t="str">
        <f t="shared" si="244"/>
        <v>SPA - Intercompany</v>
      </c>
      <c r="B3925" s="33" t="str">
        <f t="shared" si="245"/>
        <v>SPA</v>
      </c>
      <c r="C3925" s="33" t="str">
        <f t="shared" si="246"/>
        <v>11318-0000</v>
      </c>
      <c r="D3925" t="s">
        <v>27835</v>
      </c>
      <c r="E3925" t="s">
        <v>13477</v>
      </c>
      <c r="F3925" t="s">
        <v>14039</v>
      </c>
      <c r="G3925" t="s">
        <v>14672</v>
      </c>
      <c r="H3925" t="s">
        <v>13869</v>
      </c>
      <c r="I3925" t="s">
        <v>14690</v>
      </c>
      <c r="J3925" s="62">
        <v>0</v>
      </c>
      <c r="K3925" s="62">
        <v>0</v>
      </c>
      <c r="L3925" t="str">
        <f>VLOOKUP(VALUE(LEFT(C3925,5)),Xref!A:B,2,0)</f>
        <v>FIR</v>
      </c>
      <c r="M3925" t="str">
        <f t="shared" si="247"/>
        <v>FIR-SPA</v>
      </c>
    </row>
    <row r="3926" spans="1:13" ht="14.25" customHeight="true">
      <c r="A3926" s="33" t="str">
        <f t="shared" si="244"/>
        <v>SPA - Intercompany</v>
      </c>
      <c r="B3926" s="33" t="str">
        <f t="shared" si="245"/>
        <v>SPA</v>
      </c>
      <c r="C3926" s="33" t="str">
        <f t="shared" si="246"/>
        <v>11319-0000</v>
      </c>
      <c r="D3926" t="s">
        <v>27836</v>
      </c>
      <c r="E3926" t="s">
        <v>266</v>
      </c>
      <c r="F3926" t="s">
        <v>14039</v>
      </c>
      <c r="G3926" t="s">
        <v>14672</v>
      </c>
      <c r="H3926" t="s">
        <v>13869</v>
      </c>
      <c r="I3926" t="s">
        <v>14690</v>
      </c>
      <c r="J3926" s="62">
        <v>0</v>
      </c>
      <c r="K3926" s="62">
        <v>0</v>
      </c>
      <c r="L3926" t="str">
        <f>VLOOKUP(VALUE(LEFT(C3926,5)),Xref!A:B,2,0)</f>
        <v>GST</v>
      </c>
      <c r="M3926" t="str">
        <f t="shared" si="247"/>
        <v>GST-SPA</v>
      </c>
    </row>
    <row r="3927" spans="1:13" ht="14.25" customHeight="true">
      <c r="A3927" s="33" t="str">
        <f t="shared" si="244"/>
        <v>SPA - Intercompany</v>
      </c>
      <c r="B3927" s="33" t="str">
        <f t="shared" si="245"/>
        <v>SPA</v>
      </c>
      <c r="C3927" s="33" t="str">
        <f t="shared" si="246"/>
        <v>11320-0000</v>
      </c>
      <c r="D3927" t="s">
        <v>27837</v>
      </c>
      <c r="E3927" t="s">
        <v>14111</v>
      </c>
      <c r="F3927" t="s">
        <v>14039</v>
      </c>
      <c r="G3927" t="s">
        <v>14672</v>
      </c>
      <c r="H3927" t="s">
        <v>13869</v>
      </c>
      <c r="I3927" t="s">
        <v>14690</v>
      </c>
      <c r="J3927" s="62">
        <v>0</v>
      </c>
      <c r="K3927" s="62">
        <v>0</v>
      </c>
      <c r="L3927" t="str">
        <f>VLOOKUP(VALUE(LEFT(C3927,5)),Xref!A:B,2,0)</f>
        <v>HDN</v>
      </c>
      <c r="M3927" t="str">
        <f t="shared" si="247"/>
        <v>HDN-SPA</v>
      </c>
    </row>
    <row r="3928" spans="1:13" ht="14.25" customHeight="true">
      <c r="A3928" s="33" t="str">
        <f t="shared" si="244"/>
        <v>SPA - Intercompany</v>
      </c>
      <c r="B3928" s="33" t="str">
        <f t="shared" si="245"/>
        <v>SPA</v>
      </c>
      <c r="C3928" s="33" t="str">
        <f t="shared" si="246"/>
        <v>11321-0000</v>
      </c>
      <c r="D3928" t="s">
        <v>27838</v>
      </c>
      <c r="E3928" t="s">
        <v>13236</v>
      </c>
      <c r="F3928" t="s">
        <v>14039</v>
      </c>
      <c r="G3928" t="s">
        <v>14672</v>
      </c>
      <c r="H3928" t="s">
        <v>13869</v>
      </c>
      <c r="I3928" t="s">
        <v>14690</v>
      </c>
      <c r="J3928" s="62">
        <v>0</v>
      </c>
      <c r="K3928" s="62">
        <v>0</v>
      </c>
      <c r="L3928" t="str">
        <f>VLOOKUP(VALUE(LEFT(C3928,5)),Xref!A:B,2,0)</f>
        <v>OVA</v>
      </c>
      <c r="M3928" t="str">
        <f t="shared" si="247"/>
        <v>OVA-SPA</v>
      </c>
    </row>
    <row r="3929" spans="1:13" ht="14.25" customHeight="true">
      <c r="A3929" s="33" t="str">
        <f t="shared" si="244"/>
        <v>SPA - Intercompany</v>
      </c>
      <c r="B3929" s="33" t="str">
        <f t="shared" si="245"/>
        <v>SPA</v>
      </c>
      <c r="C3929" s="33" t="str">
        <f t="shared" si="246"/>
        <v>11322-0000</v>
      </c>
      <c r="D3929" t="s">
        <v>27839</v>
      </c>
      <c r="E3929" t="s">
        <v>13237</v>
      </c>
      <c r="F3929" t="s">
        <v>14039</v>
      </c>
      <c r="G3929" t="s">
        <v>14672</v>
      </c>
      <c r="H3929" t="s">
        <v>13869</v>
      </c>
      <c r="I3929" t="s">
        <v>14690</v>
      </c>
      <c r="J3929" s="62">
        <v>0</v>
      </c>
      <c r="K3929" s="62">
        <v>0</v>
      </c>
      <c r="L3929" t="str">
        <f>VLOOKUP(VALUE(LEFT(C3929,5)),Xref!A:B,2,0)</f>
        <v>WOO</v>
      </c>
      <c r="M3929" t="str">
        <f t="shared" si="247"/>
        <v>SPA-WOO</v>
      </c>
    </row>
    <row r="3930" spans="1:13" ht="14.25" customHeight="true">
      <c r="A3930" s="33" t="str">
        <f t="shared" si="244"/>
        <v>SPA - Intercompany</v>
      </c>
      <c r="B3930" s="33" t="str">
        <f t="shared" si="245"/>
        <v>SPA</v>
      </c>
      <c r="C3930" s="33" t="str">
        <f t="shared" si="246"/>
        <v>11323-0000</v>
      </c>
      <c r="D3930" t="s">
        <v>12572</v>
      </c>
      <c r="E3930" t="s">
        <v>13478</v>
      </c>
      <c r="F3930" t="s">
        <v>14039</v>
      </c>
      <c r="G3930" t="s">
        <v>14672</v>
      </c>
      <c r="H3930" t="s">
        <v>13869</v>
      </c>
      <c r="I3930" t="s">
        <v>14690</v>
      </c>
      <c r="J3930" s="62">
        <v>0</v>
      </c>
      <c r="K3930" s="62">
        <v>-3750000</v>
      </c>
      <c r="L3930" t="str">
        <f>VLOOKUP(VALUE(LEFT(C3930,5)),Xref!A:B,2,0)</f>
        <v>SPI</v>
      </c>
      <c r="M3930" t="str">
        <f t="shared" si="247"/>
        <v>SPA-SPI</v>
      </c>
    </row>
    <row r="3931" spans="1:13" ht="14.25" customHeight="true">
      <c r="A3931" s="33" t="str">
        <f t="shared" si="244"/>
        <v>SPA - Intercompany</v>
      </c>
      <c r="B3931" s="33" t="str">
        <f t="shared" si="245"/>
        <v>SPA</v>
      </c>
      <c r="C3931" s="33" t="str">
        <f t="shared" si="246"/>
        <v>11324-0000</v>
      </c>
      <c r="D3931" t="s">
        <v>27840</v>
      </c>
      <c r="E3931" t="s">
        <v>13238</v>
      </c>
      <c r="F3931" t="s">
        <v>14039</v>
      </c>
      <c r="G3931" t="s">
        <v>14672</v>
      </c>
      <c r="H3931" t="s">
        <v>13869</v>
      </c>
      <c r="I3931" t="s">
        <v>14690</v>
      </c>
      <c r="J3931" s="62">
        <v>0</v>
      </c>
      <c r="K3931" s="62">
        <v>0</v>
      </c>
      <c r="L3931" t="str">
        <f>VLOOKUP(VALUE(LEFT(C3931,5)),Xref!A:B,2,0)</f>
        <v>NET</v>
      </c>
      <c r="M3931" t="str">
        <f t="shared" si="247"/>
        <v>NET-SPA</v>
      </c>
    </row>
    <row r="3932" spans="1:13" ht="14.25" customHeight="true">
      <c r="A3932" s="33" t="str">
        <f t="shared" si="244"/>
        <v>SPA - Intercompany</v>
      </c>
      <c r="B3932" s="33" t="str">
        <f t="shared" si="245"/>
        <v>SPA</v>
      </c>
      <c r="C3932" s="33" t="str">
        <f t="shared" si="246"/>
        <v>11325-0000</v>
      </c>
      <c r="D3932" t="s">
        <v>27841</v>
      </c>
      <c r="E3932" t="s">
        <v>13239</v>
      </c>
      <c r="F3932" t="s">
        <v>14039</v>
      </c>
      <c r="G3932" t="s">
        <v>14672</v>
      </c>
      <c r="H3932" t="s">
        <v>13869</v>
      </c>
      <c r="I3932" t="s">
        <v>14690</v>
      </c>
      <c r="J3932" s="62">
        <v>0</v>
      </c>
      <c r="K3932" s="62">
        <v>0</v>
      </c>
      <c r="L3932" t="str">
        <f>VLOOKUP(VALUE(LEFT(C3932,5)),Xref!A:B,2,0)</f>
        <v>DPI</v>
      </c>
      <c r="M3932" t="str">
        <f t="shared" si="247"/>
        <v>DPI-SPA</v>
      </c>
    </row>
    <row r="3933" spans="1:13" ht="14.25" customHeight="true">
      <c r="A3933" s="33" t="str">
        <f t="shared" si="244"/>
        <v>SPA - Intercompany</v>
      </c>
      <c r="B3933" s="33" t="str">
        <f t="shared" si="245"/>
        <v>SPA</v>
      </c>
      <c r="C3933" s="33" t="str">
        <f t="shared" si="246"/>
        <v>11326-0000</v>
      </c>
      <c r="D3933" t="s">
        <v>27842</v>
      </c>
      <c r="E3933" t="s">
        <v>13240</v>
      </c>
      <c r="F3933" t="s">
        <v>14039</v>
      </c>
      <c r="G3933" t="s">
        <v>14672</v>
      </c>
      <c r="H3933" t="s">
        <v>13869</v>
      </c>
      <c r="I3933" t="s">
        <v>14690</v>
      </c>
      <c r="J3933" s="62">
        <v>0</v>
      </c>
      <c r="K3933" s="62">
        <v>0</v>
      </c>
      <c r="L3933" t="str">
        <f>VLOOKUP(VALUE(LEFT(C3933,5)),Xref!A:B,2,0)</f>
        <v>SEK</v>
      </c>
      <c r="M3933" t="str">
        <f t="shared" si="247"/>
        <v>SEK-SPA</v>
      </c>
    </row>
    <row r="3934" spans="1:13" ht="14.25" customHeight="true">
      <c r="A3934" s="33" t="str">
        <f t="shared" si="244"/>
        <v>SPA - Intercompany</v>
      </c>
      <c r="B3934" s="33" t="str">
        <f t="shared" si="245"/>
        <v>SPA</v>
      </c>
      <c r="C3934" s="33" t="str">
        <f t="shared" si="246"/>
        <v>11327-0000</v>
      </c>
      <c r="D3934" t="s">
        <v>27843</v>
      </c>
      <c r="E3934" t="s">
        <v>14119</v>
      </c>
      <c r="F3934" t="s">
        <v>14039</v>
      </c>
      <c r="G3934" t="s">
        <v>14672</v>
      </c>
      <c r="H3934" t="s">
        <v>13869</v>
      </c>
      <c r="I3934" t="s">
        <v>14690</v>
      </c>
      <c r="J3934" s="62">
        <v>0</v>
      </c>
      <c r="K3934" s="62">
        <v>0</v>
      </c>
      <c r="L3934" t="str">
        <f>VLOOKUP(VALUE(LEFT(C3934,5)),Xref!A:B,2,0)</f>
        <v>CPI</v>
      </c>
      <c r="M3934" t="str">
        <f t="shared" si="247"/>
        <v>CPI-SPA</v>
      </c>
    </row>
    <row r="3935" spans="1:13" ht="14.25" customHeight="true">
      <c r="A3935" s="33" t="str">
        <f t="shared" si="244"/>
        <v>SPA - Intercompany</v>
      </c>
      <c r="B3935" s="33" t="str">
        <f t="shared" si="245"/>
        <v>SPA</v>
      </c>
      <c r="C3935" s="33" t="str">
        <f t="shared" si="246"/>
        <v>11328-0000</v>
      </c>
      <c r="D3935" t="s">
        <v>27844</v>
      </c>
      <c r="E3935" t="s">
        <v>13241</v>
      </c>
      <c r="F3935" t="s">
        <v>14039</v>
      </c>
      <c r="G3935" t="s">
        <v>14672</v>
      </c>
      <c r="H3935" t="s">
        <v>13869</v>
      </c>
      <c r="I3935" t="s">
        <v>14690</v>
      </c>
      <c r="J3935" s="62">
        <v>0</v>
      </c>
      <c r="K3935" s="62">
        <v>0</v>
      </c>
      <c r="L3935" t="str">
        <f>VLOOKUP(VALUE(LEFT(C3935,5)),Xref!A:B,2,0)</f>
        <v>LOM</v>
      </c>
      <c r="M3935" t="str">
        <f t="shared" si="247"/>
        <v>LOM-SPA</v>
      </c>
    </row>
    <row r="3936" spans="1:13" ht="14.25" customHeight="true">
      <c r="A3936" s="33" t="str">
        <f t="shared" si="244"/>
        <v>SPA - Intercompany</v>
      </c>
      <c r="B3936" s="33" t="str">
        <f t="shared" si="245"/>
        <v>SPA</v>
      </c>
      <c r="C3936" s="33" t="str">
        <f t="shared" si="246"/>
        <v>11329-0000</v>
      </c>
      <c r="D3936" t="s">
        <v>27845</v>
      </c>
      <c r="E3936" t="s">
        <v>13353</v>
      </c>
      <c r="F3936" t="s">
        <v>14039</v>
      </c>
      <c r="G3936" t="s">
        <v>14672</v>
      </c>
      <c r="H3936" t="s">
        <v>13869</v>
      </c>
      <c r="I3936" t="s">
        <v>14690</v>
      </c>
      <c r="J3936" s="62">
        <v>0</v>
      </c>
      <c r="K3936" s="62">
        <v>0</v>
      </c>
      <c r="L3936" t="str">
        <f>VLOOKUP(VALUE(LEFT(C3936,5)),Xref!A:B,2,0)</f>
        <v>AKS</v>
      </c>
      <c r="M3936" t="str">
        <f t="shared" si="247"/>
        <v>AKS-SPA</v>
      </c>
    </row>
    <row r="3937" spans="1:13" ht="14.25" customHeight="true">
      <c r="A3937" s="33" t="str">
        <f t="shared" si="244"/>
        <v>SPA - Intercompany</v>
      </c>
      <c r="B3937" s="33" t="str">
        <f t="shared" si="245"/>
        <v>SPA</v>
      </c>
      <c r="C3937" s="33" t="str">
        <f t="shared" si="246"/>
        <v>11330-0000</v>
      </c>
      <c r="D3937" t="s">
        <v>27846</v>
      </c>
      <c r="E3937" t="s">
        <v>13242</v>
      </c>
      <c r="F3937" t="s">
        <v>14039</v>
      </c>
      <c r="G3937" t="s">
        <v>14672</v>
      </c>
      <c r="H3937" t="s">
        <v>13869</v>
      </c>
      <c r="I3937" t="s">
        <v>14690</v>
      </c>
      <c r="J3937" s="62">
        <v>0</v>
      </c>
      <c r="K3937" s="62">
        <v>0</v>
      </c>
      <c r="L3937" t="str">
        <f>VLOOKUP(VALUE(LEFT(C3937,5)),Xref!A:B,2,0)</f>
        <v>MAR</v>
      </c>
      <c r="M3937" t="str">
        <f t="shared" si="247"/>
        <v>MAR-SPA</v>
      </c>
    </row>
    <row r="3938" spans="1:13" ht="14.25" customHeight="true">
      <c r="A3938" s="33" t="str">
        <f t="shared" si="244"/>
        <v>SPA - Intercompany</v>
      </c>
      <c r="B3938" s="33" t="str">
        <f t="shared" si="245"/>
        <v>SPA</v>
      </c>
      <c r="C3938" s="33" t="str">
        <f t="shared" si="246"/>
        <v>11331-0000</v>
      </c>
      <c r="D3938" t="s">
        <v>27847</v>
      </c>
      <c r="E3938" t="s">
        <v>13354</v>
      </c>
      <c r="F3938" t="s">
        <v>14039</v>
      </c>
      <c r="G3938" t="s">
        <v>14672</v>
      </c>
      <c r="H3938" t="s">
        <v>13869</v>
      </c>
      <c r="I3938" t="s">
        <v>14690</v>
      </c>
      <c r="J3938" s="62">
        <v>0</v>
      </c>
      <c r="K3938" s="62">
        <v>0</v>
      </c>
      <c r="L3938" t="str">
        <f>VLOOKUP(VALUE(LEFT(C3938,5)),Xref!A:B,2,0)</f>
        <v>WIL</v>
      </c>
      <c r="M3938" t="str">
        <f t="shared" si="247"/>
        <v>SPA-WIL</v>
      </c>
    </row>
    <row r="3939" spans="1:13" ht="14.25" customHeight="true">
      <c r="A3939" s="33" t="str">
        <f t="shared" si="244"/>
        <v>SPA - Intercompany</v>
      </c>
      <c r="B3939" s="33" t="str">
        <f t="shared" si="245"/>
        <v>SPA</v>
      </c>
      <c r="C3939" s="33" t="str">
        <f t="shared" si="246"/>
        <v>11332-0000</v>
      </c>
      <c r="D3939" t="s">
        <v>27848</v>
      </c>
      <c r="E3939" t="s">
        <v>13243</v>
      </c>
      <c r="F3939" t="s">
        <v>14039</v>
      </c>
      <c r="G3939" t="s">
        <v>14672</v>
      </c>
      <c r="H3939" t="s">
        <v>13869</v>
      </c>
      <c r="I3939" t="s">
        <v>14690</v>
      </c>
      <c r="J3939" s="62">
        <v>0</v>
      </c>
      <c r="K3939" s="62">
        <v>0</v>
      </c>
      <c r="L3939" t="str">
        <f>VLOOKUP(VALUE(LEFT(C3939,5)),Xref!A:B,2,0)</f>
        <v>STO</v>
      </c>
      <c r="M3939" t="str">
        <f t="shared" si="247"/>
        <v>SPA-STO</v>
      </c>
    </row>
    <row r="3940" spans="1:13" ht="14.25" customHeight="true">
      <c r="A3940" s="33" t="str">
        <f t="shared" si="244"/>
        <v>SPA - Intercompany</v>
      </c>
      <c r="B3940" s="33" t="str">
        <f t="shared" si="245"/>
        <v>SPA</v>
      </c>
      <c r="C3940" s="33" t="str">
        <f t="shared" si="246"/>
        <v>11333-0000</v>
      </c>
      <c r="D3940" t="s">
        <v>27849</v>
      </c>
      <c r="E3940" t="s">
        <v>13244</v>
      </c>
      <c r="F3940" t="s">
        <v>14039</v>
      </c>
      <c r="G3940" t="s">
        <v>14672</v>
      </c>
      <c r="H3940" t="s">
        <v>13869</v>
      </c>
      <c r="I3940" t="s">
        <v>14690</v>
      </c>
      <c r="J3940" s="62">
        <v>0</v>
      </c>
      <c r="K3940" s="62">
        <v>0</v>
      </c>
      <c r="L3940" t="str">
        <f>VLOOKUP(VALUE(LEFT(C3940,5)),Xref!A:B,2,0)</f>
        <v>ANG</v>
      </c>
      <c r="M3940" t="str">
        <f t="shared" si="247"/>
        <v>ANG-SPA</v>
      </c>
    </row>
    <row r="3941" spans="1:13" ht="14.25" customHeight="true">
      <c r="A3941" s="33" t="str">
        <f t="shared" si="244"/>
        <v>SPA - Intercompany</v>
      </c>
      <c r="B3941" s="33" t="str">
        <f t="shared" si="245"/>
        <v>SPA</v>
      </c>
      <c r="C3941" s="33" t="str">
        <f t="shared" si="246"/>
        <v>11334-0000</v>
      </c>
      <c r="D3941" t="s">
        <v>27850</v>
      </c>
      <c r="E3941" t="s">
        <v>13245</v>
      </c>
      <c r="F3941" t="s">
        <v>14039</v>
      </c>
      <c r="G3941" t="s">
        <v>14672</v>
      </c>
      <c r="H3941" t="s">
        <v>13869</v>
      </c>
      <c r="I3941" t="s">
        <v>14690</v>
      </c>
      <c r="J3941" s="62">
        <v>0</v>
      </c>
      <c r="K3941" s="62">
        <v>0</v>
      </c>
      <c r="L3941" t="str">
        <f>VLOOKUP(VALUE(LEFT(C3941,5)),Xref!A:B,2,0)</f>
        <v>BRU</v>
      </c>
      <c r="M3941" t="str">
        <f t="shared" si="247"/>
        <v>BRU-SPA</v>
      </c>
    </row>
    <row r="3942" spans="1:13" ht="14.25" customHeight="true">
      <c r="A3942" s="33" t="str">
        <f t="shared" si="244"/>
        <v>SPA - Intercompany</v>
      </c>
      <c r="B3942" s="33" t="str">
        <f t="shared" si="245"/>
        <v>SPA</v>
      </c>
      <c r="C3942" s="33" t="str">
        <f t="shared" si="246"/>
        <v>11335-0000</v>
      </c>
      <c r="D3942" t="s">
        <v>27851</v>
      </c>
      <c r="E3942" t="s">
        <v>13246</v>
      </c>
      <c r="F3942" t="s">
        <v>14039</v>
      </c>
      <c r="G3942" t="s">
        <v>14672</v>
      </c>
      <c r="H3942" t="s">
        <v>13869</v>
      </c>
      <c r="I3942" t="s">
        <v>14690</v>
      </c>
      <c r="J3942" s="62">
        <v>0</v>
      </c>
      <c r="K3942" s="62">
        <v>0</v>
      </c>
      <c r="L3942" t="str">
        <f>VLOOKUP(VALUE(LEFT(C3942,5)),Xref!A:B,2,0)</f>
        <v>VEN</v>
      </c>
      <c r="M3942" t="str">
        <f t="shared" si="247"/>
        <v>SPA-VEN</v>
      </c>
    </row>
    <row r="3943" spans="1:13" ht="14.25" customHeight="true">
      <c r="A3943" s="33" t="str">
        <f t="shared" si="244"/>
        <v>SPA - Intercompany</v>
      </c>
      <c r="B3943" s="33" t="str">
        <f t="shared" si="245"/>
        <v>SPA</v>
      </c>
      <c r="C3943" s="33" t="str">
        <f t="shared" si="246"/>
        <v>11336-0000</v>
      </c>
      <c r="D3943" t="s">
        <v>27852</v>
      </c>
      <c r="E3943" t="s">
        <v>13247</v>
      </c>
      <c r="F3943" t="s">
        <v>14039</v>
      </c>
      <c r="G3943" t="s">
        <v>14672</v>
      </c>
      <c r="H3943" t="s">
        <v>13869</v>
      </c>
      <c r="I3943" t="s">
        <v>14690</v>
      </c>
      <c r="J3943" s="62">
        <v>0</v>
      </c>
      <c r="K3943" s="62">
        <v>0</v>
      </c>
      <c r="L3943" t="str">
        <f>VLOOKUP(VALUE(LEFT(C3943,5)),Xref!A:B,2,0)</f>
        <v>SAT</v>
      </c>
      <c r="M3943" t="str">
        <f t="shared" si="247"/>
        <v>SAT-SPA</v>
      </c>
    </row>
    <row r="3944" spans="1:13" ht="14.25" customHeight="true">
      <c r="A3944" s="33" t="str">
        <f t="shared" si="244"/>
        <v>SPA - Intercompany</v>
      </c>
      <c r="B3944" s="33" t="str">
        <f t="shared" si="245"/>
        <v>SPA</v>
      </c>
      <c r="C3944" s="33" t="str">
        <f t="shared" si="246"/>
        <v>11337-0000</v>
      </c>
      <c r="D3944" t="s">
        <v>27853</v>
      </c>
      <c r="E3944" t="s">
        <v>13248</v>
      </c>
      <c r="F3944" t="s">
        <v>14039</v>
      </c>
      <c r="G3944" t="s">
        <v>14672</v>
      </c>
      <c r="H3944" t="s">
        <v>13869</v>
      </c>
      <c r="I3944" t="s">
        <v>14690</v>
      </c>
      <c r="J3944" s="62">
        <v>0</v>
      </c>
      <c r="K3944" s="62">
        <v>0</v>
      </c>
      <c r="L3944" t="str">
        <f>VLOOKUP(VALUE(LEFT(C3944,5)),Xref!A:B,2,0)</f>
        <v>NEP</v>
      </c>
      <c r="M3944" t="str">
        <f t="shared" si="247"/>
        <v>NEP-SPA</v>
      </c>
    </row>
    <row r="3945" spans="1:13" ht="14.25" customHeight="true">
      <c r="A3945" s="33" t="str">
        <f t="shared" si="244"/>
        <v>SPA - Intercompany</v>
      </c>
      <c r="B3945" s="33" t="str">
        <f t="shared" si="245"/>
        <v>SPA</v>
      </c>
      <c r="C3945" s="33" t="str">
        <f t="shared" si="246"/>
        <v>11338-0000</v>
      </c>
      <c r="D3945" t="s">
        <v>27854</v>
      </c>
      <c r="E3945" t="s">
        <v>14131</v>
      </c>
      <c r="F3945" t="s">
        <v>14039</v>
      </c>
      <c r="G3945" t="s">
        <v>14672</v>
      </c>
      <c r="H3945" t="s">
        <v>13869</v>
      </c>
      <c r="I3945" t="s">
        <v>14690</v>
      </c>
      <c r="J3945" s="62">
        <v>0</v>
      </c>
      <c r="K3945" s="62">
        <v>0</v>
      </c>
      <c r="L3945" t="str">
        <f>VLOOKUP(VALUE(LEFT(C3945,5)),Xref!A:B,2,0)</f>
        <v>JUP</v>
      </c>
      <c r="M3945" t="str">
        <f t="shared" si="247"/>
        <v>JUP-SPA</v>
      </c>
    </row>
    <row r="3946" spans="1:13" ht="14.25" customHeight="true">
      <c r="A3946" s="33" t="str">
        <f t="shared" si="244"/>
        <v>SPA - Intercompany</v>
      </c>
      <c r="B3946" s="33" t="str">
        <f t="shared" si="245"/>
        <v>SPA</v>
      </c>
      <c r="C3946" s="33" t="str">
        <f t="shared" si="246"/>
        <v>11339-0000</v>
      </c>
      <c r="D3946" t="s">
        <v>27855</v>
      </c>
      <c r="E3946" t="s">
        <v>14133</v>
      </c>
      <c r="F3946" t="s">
        <v>14039</v>
      </c>
      <c r="G3946" t="s">
        <v>14672</v>
      </c>
      <c r="H3946" t="s">
        <v>13869</v>
      </c>
      <c r="I3946" t="s">
        <v>14690</v>
      </c>
      <c r="J3946" s="62">
        <v>0</v>
      </c>
      <c r="K3946" s="62">
        <v>0</v>
      </c>
      <c r="L3946" t="str">
        <f>VLOOKUP(VALUE(LEFT(C3946,5)),Xref!A:B,2,0)</f>
        <v>WES</v>
      </c>
      <c r="M3946" t="str">
        <f t="shared" si="247"/>
        <v>SPA-WES</v>
      </c>
    </row>
    <row r="3947" spans="1:13" ht="14.25" customHeight="true">
      <c r="A3947" s="33" t="str">
        <f t="shared" si="244"/>
        <v>SPA - Intercompany</v>
      </c>
      <c r="B3947" s="33" t="str">
        <f t="shared" si="245"/>
        <v>SPA</v>
      </c>
      <c r="C3947" s="33" t="str">
        <f t="shared" si="246"/>
        <v>11340-0000</v>
      </c>
      <c r="D3947" t="s">
        <v>27856</v>
      </c>
      <c r="E3947" t="s">
        <v>14135</v>
      </c>
      <c r="F3947" t="s">
        <v>14039</v>
      </c>
      <c r="G3947" t="s">
        <v>14672</v>
      </c>
      <c r="H3947" t="s">
        <v>13869</v>
      </c>
      <c r="I3947" t="s">
        <v>14690</v>
      </c>
      <c r="J3947" s="62">
        <v>0</v>
      </c>
      <c r="K3947" s="62">
        <v>0</v>
      </c>
      <c r="L3947" t="str">
        <f>VLOOKUP(VALUE(LEFT(C3947,5)),Xref!A:B,2,0)</f>
        <v>LCP</v>
      </c>
      <c r="M3947" t="str">
        <f t="shared" si="247"/>
        <v>LCP-SPA</v>
      </c>
    </row>
    <row r="3948" spans="1:13" ht="14.25" customHeight="true">
      <c r="A3948" s="33" t="str">
        <f t="shared" si="244"/>
        <v>SPA - Intercompany</v>
      </c>
      <c r="B3948" s="33" t="str">
        <f t="shared" si="245"/>
        <v>SPA</v>
      </c>
      <c r="C3948" s="33" t="str">
        <f t="shared" si="246"/>
        <v>11341-0000</v>
      </c>
      <c r="D3948" t="s">
        <v>27857</v>
      </c>
      <c r="E3948" t="s">
        <v>13639</v>
      </c>
      <c r="F3948" t="s">
        <v>14039</v>
      </c>
      <c r="G3948" t="s">
        <v>14672</v>
      </c>
      <c r="H3948" t="s">
        <v>13869</v>
      </c>
      <c r="I3948" t="s">
        <v>14690</v>
      </c>
      <c r="J3948" s="62">
        <v>0</v>
      </c>
      <c r="K3948" s="62">
        <v>0</v>
      </c>
      <c r="L3948" t="str">
        <f>VLOOKUP(VALUE(LEFT(C3948,5)),Xref!A:B,2,0)</f>
        <v>NOR</v>
      </c>
      <c r="M3948" t="str">
        <f t="shared" si="247"/>
        <v>NOR-SPA</v>
      </c>
    </row>
    <row r="3949" spans="1:13" ht="14.25" customHeight="true">
      <c r="A3949" s="33" t="str">
        <f t="shared" si="244"/>
        <v>SPA - Intercompany</v>
      </c>
      <c r="B3949" s="33" t="str">
        <f t="shared" si="245"/>
        <v>SPA</v>
      </c>
      <c r="C3949" s="33" t="str">
        <f t="shared" si="246"/>
        <v>11342-0000</v>
      </c>
      <c r="D3949" t="s">
        <v>27858</v>
      </c>
      <c r="E3949" t="s">
        <v>13355</v>
      </c>
      <c r="F3949" t="s">
        <v>14039</v>
      </c>
      <c r="G3949" t="s">
        <v>14672</v>
      </c>
      <c r="H3949" t="s">
        <v>13869</v>
      </c>
      <c r="I3949" t="s">
        <v>14690</v>
      </c>
      <c r="J3949" s="62">
        <v>0</v>
      </c>
      <c r="K3949" s="62">
        <v>0</v>
      </c>
      <c r="L3949" t="str">
        <f>VLOOKUP(VALUE(LEFT(C3949,5)),Xref!A:B,2,0)</f>
        <v>EAS</v>
      </c>
      <c r="M3949" t="str">
        <f t="shared" si="247"/>
        <v>EAS-SPA</v>
      </c>
    </row>
    <row r="3950" spans="1:13" ht="14.25" customHeight="true">
      <c r="A3950" s="33" t="str">
        <f t="shared" si="244"/>
        <v>SPA - Intercompany</v>
      </c>
      <c r="B3950" s="33" t="str">
        <f t="shared" si="245"/>
        <v>SPA</v>
      </c>
      <c r="C3950" s="33" t="str">
        <f t="shared" si="246"/>
        <v>11343-0000</v>
      </c>
      <c r="D3950" t="s">
        <v>12573</v>
      </c>
      <c r="E3950" t="s">
        <v>14139</v>
      </c>
      <c r="F3950" t="s">
        <v>14039</v>
      </c>
      <c r="G3950" t="s">
        <v>14672</v>
      </c>
      <c r="H3950" t="s">
        <v>13869</v>
      </c>
      <c r="I3950" t="s">
        <v>14690</v>
      </c>
      <c r="J3950" s="62">
        <v>0</v>
      </c>
      <c r="K3950" s="62">
        <v>-5342.9</v>
      </c>
      <c r="L3950" t="str">
        <f>VLOOKUP(VALUE(LEFT(C3950,5)),Xref!A:B,2,0)</f>
        <v>GRA</v>
      </c>
      <c r="M3950" t="str">
        <f t="shared" si="247"/>
        <v>GRA-SPA</v>
      </c>
    </row>
    <row r="3951" spans="1:13" ht="14.25" customHeight="true">
      <c r="A3951" s="33" t="str">
        <f t="shared" si="244"/>
        <v>SPA - Intercompany</v>
      </c>
      <c r="B3951" s="33" t="str">
        <f t="shared" si="245"/>
        <v>SPA</v>
      </c>
      <c r="C3951" s="33" t="str">
        <f t="shared" si="246"/>
        <v>11344-0000</v>
      </c>
      <c r="D3951" t="s">
        <v>27859</v>
      </c>
      <c r="E3951" t="s">
        <v>14141</v>
      </c>
      <c r="F3951" t="s">
        <v>14039</v>
      </c>
      <c r="G3951" t="s">
        <v>14672</v>
      </c>
      <c r="H3951" t="s">
        <v>13869</v>
      </c>
      <c r="I3951" t="s">
        <v>14690</v>
      </c>
      <c r="J3951" s="62">
        <v>0</v>
      </c>
      <c r="K3951" s="62">
        <v>0</v>
      </c>
      <c r="L3951" t="str">
        <f>VLOOKUP(VALUE(LEFT(C3951,5)),Xref!A:B,2,0)</f>
        <v>SOU</v>
      </c>
      <c r="M3951" t="str">
        <f t="shared" si="247"/>
        <v>SOU-SPA</v>
      </c>
    </row>
    <row r="3952" spans="1:13" ht="14.25" customHeight="true">
      <c r="A3952" s="33" t="str">
        <f t="shared" si="244"/>
        <v>SPA - Intercompany</v>
      </c>
      <c r="B3952" s="33" t="str">
        <f t="shared" si="245"/>
        <v>SPA</v>
      </c>
      <c r="C3952" s="33" t="str">
        <f t="shared" si="246"/>
        <v>11345-0000</v>
      </c>
      <c r="D3952" t="s">
        <v>27860</v>
      </c>
      <c r="E3952" t="s">
        <v>14143</v>
      </c>
      <c r="F3952" t="s">
        <v>14039</v>
      </c>
      <c r="G3952" t="s">
        <v>14672</v>
      </c>
      <c r="H3952" t="s">
        <v>13869</v>
      </c>
      <c r="I3952" t="s">
        <v>14690</v>
      </c>
      <c r="J3952" s="62">
        <v>0</v>
      </c>
      <c r="K3952" s="62">
        <v>0</v>
      </c>
      <c r="L3952" t="str">
        <f>VLOOKUP(VALUE(LEFT(C3952,5)),Xref!A:B,2,0)</f>
        <v>API</v>
      </c>
      <c r="M3952" t="str">
        <f t="shared" si="247"/>
        <v>API-SPA</v>
      </c>
    </row>
    <row r="3953" spans="1:13" ht="14.25" customHeight="true">
      <c r="A3953" s="33" t="str">
        <f t="shared" si="244"/>
        <v>SPA - Intercompany</v>
      </c>
      <c r="B3953" s="33" t="str">
        <f t="shared" si="245"/>
        <v>SPA</v>
      </c>
      <c r="C3953" s="33" t="str">
        <f t="shared" si="246"/>
        <v>11346-0000</v>
      </c>
      <c r="D3953" t="s">
        <v>27861</v>
      </c>
      <c r="E3953" t="s">
        <v>14145</v>
      </c>
      <c r="F3953" t="s">
        <v>14039</v>
      </c>
      <c r="G3953" t="s">
        <v>14672</v>
      </c>
      <c r="H3953" t="s">
        <v>13869</v>
      </c>
      <c r="I3953" t="s">
        <v>14690</v>
      </c>
      <c r="J3953" s="62">
        <v>0</v>
      </c>
      <c r="K3953" s="62">
        <v>0</v>
      </c>
      <c r="L3953" t="str">
        <f>VLOOKUP(VALUE(LEFT(C3953,5)),Xref!A:B,2,0)</f>
        <v>DPH</v>
      </c>
      <c r="M3953" t="str">
        <f t="shared" si="247"/>
        <v>DPH-SPA</v>
      </c>
    </row>
    <row r="3954" spans="1:13" ht="14.25" customHeight="true">
      <c r="A3954" s="33" t="str">
        <f t="shared" si="244"/>
        <v>SPA - Intercompany</v>
      </c>
      <c r="B3954" s="33" t="str">
        <f t="shared" si="245"/>
        <v>SPA</v>
      </c>
      <c r="C3954" s="33" t="str">
        <f t="shared" si="246"/>
        <v>11347-0000</v>
      </c>
      <c r="D3954" t="s">
        <v>27862</v>
      </c>
      <c r="E3954" t="s">
        <v>14147</v>
      </c>
      <c r="F3954" t="s">
        <v>14039</v>
      </c>
      <c r="G3954" t="s">
        <v>14672</v>
      </c>
      <c r="H3954" t="s">
        <v>13869</v>
      </c>
      <c r="I3954" t="s">
        <v>14690</v>
      </c>
      <c r="J3954" s="62">
        <v>0</v>
      </c>
      <c r="K3954" s="62">
        <v>0</v>
      </c>
      <c r="L3954" t="str">
        <f>VLOOKUP(VALUE(LEFT(C3954,5)),Xref!A:B,2,0)</f>
        <v>ZPI</v>
      </c>
      <c r="M3954" t="str">
        <f t="shared" si="247"/>
        <v>SPA-ZPI</v>
      </c>
    </row>
    <row r="3955" spans="1:13" ht="14.25" customHeight="true">
      <c r="A3955" s="33" t="str">
        <f t="shared" si="244"/>
        <v>SPA - Intercompany</v>
      </c>
      <c r="B3955" s="33" t="str">
        <f t="shared" si="245"/>
        <v>SPA</v>
      </c>
      <c r="C3955" s="33" t="str">
        <f t="shared" si="246"/>
        <v>11348-0000</v>
      </c>
      <c r="D3955" t="s">
        <v>27863</v>
      </c>
      <c r="E3955" t="s">
        <v>14149</v>
      </c>
      <c r="F3955" t="s">
        <v>14039</v>
      </c>
      <c r="G3955" t="s">
        <v>14672</v>
      </c>
      <c r="H3955" t="s">
        <v>13869</v>
      </c>
      <c r="I3955" t="s">
        <v>14690</v>
      </c>
      <c r="J3955" s="62">
        <v>0</v>
      </c>
      <c r="K3955" s="62">
        <v>0</v>
      </c>
      <c r="L3955" t="str">
        <f>VLOOKUP(VALUE(LEFT(C3955,5)),Xref!A:B,2,0)</f>
        <v>EAM</v>
      </c>
      <c r="M3955" t="str">
        <f t="shared" si="247"/>
        <v>EAM-SPA</v>
      </c>
    </row>
    <row r="3956" spans="1:13" ht="14.25" customHeight="true">
      <c r="A3956" s="33" t="str">
        <f t="shared" si="244"/>
        <v>SPA - Intercompany</v>
      </c>
      <c r="B3956" s="33" t="str">
        <f t="shared" si="245"/>
        <v>SPA</v>
      </c>
      <c r="C3956" s="33" t="str">
        <f t="shared" si="246"/>
        <v>11349-0000</v>
      </c>
      <c r="D3956" t="s">
        <v>27864</v>
      </c>
      <c r="E3956" t="s">
        <v>14151</v>
      </c>
      <c r="F3956" t="s">
        <v>14039</v>
      </c>
      <c r="G3956" t="s">
        <v>14672</v>
      </c>
      <c r="H3956" t="s">
        <v>13869</v>
      </c>
      <c r="I3956" t="s">
        <v>14690</v>
      </c>
      <c r="J3956" s="62">
        <v>0</v>
      </c>
      <c r="K3956" s="62">
        <v>0</v>
      </c>
      <c r="L3956" t="str">
        <f>VLOOKUP(VALUE(LEFT(C3956,5)),Xref!A:B,2,0)</f>
        <v>SEA</v>
      </c>
      <c r="M3956" t="str">
        <f t="shared" si="247"/>
        <v>SEA-SPA</v>
      </c>
    </row>
    <row r="3957" spans="1:13" ht="14.25" customHeight="true">
      <c r="A3957" s="33" t="str">
        <f t="shared" si="244"/>
        <v>SPA - Intercompany</v>
      </c>
      <c r="B3957" s="33" t="str">
        <f t="shared" si="245"/>
        <v>SPA</v>
      </c>
      <c r="C3957" s="33" t="str">
        <f t="shared" si="246"/>
        <v>11350-0000</v>
      </c>
      <c r="D3957" t="s">
        <v>27865</v>
      </c>
      <c r="E3957" t="s">
        <v>14153</v>
      </c>
      <c r="F3957" t="s">
        <v>14039</v>
      </c>
      <c r="G3957" t="s">
        <v>14672</v>
      </c>
      <c r="H3957" t="s">
        <v>13869</v>
      </c>
      <c r="I3957" t="s">
        <v>14690</v>
      </c>
      <c r="J3957" s="62">
        <v>0</v>
      </c>
      <c r="K3957" s="62">
        <v>-22.03</v>
      </c>
      <c r="L3957" t="str">
        <f>VLOOKUP(VALUE(LEFT(C3957,5)),Xref!A:B,2,0)</f>
        <v>EAL</v>
      </c>
      <c r="M3957" t="str">
        <f t="shared" si="247"/>
        <v>EAL-SPA</v>
      </c>
    </row>
    <row r="3958" spans="1:13" ht="14.25" customHeight="true">
      <c r="A3958" s="33" t="str">
        <f t="shared" si="244"/>
        <v>SPA - Intercompany</v>
      </c>
      <c r="B3958" s="33" t="str">
        <f t="shared" si="245"/>
        <v>SPA</v>
      </c>
      <c r="C3958" s="33" t="str">
        <f t="shared" si="246"/>
        <v>11351-0000</v>
      </c>
      <c r="D3958" t="s">
        <v>27866</v>
      </c>
      <c r="E3958" t="s">
        <v>14155</v>
      </c>
      <c r="F3958" t="s">
        <v>14039</v>
      </c>
      <c r="G3958" t="s">
        <v>14672</v>
      </c>
      <c r="H3958" t="s">
        <v>13869</v>
      </c>
      <c r="I3958" t="s">
        <v>14690</v>
      </c>
      <c r="J3958" s="62">
        <v>0</v>
      </c>
      <c r="K3958" s="62">
        <v>0</v>
      </c>
      <c r="L3958" t="str">
        <f>VLOOKUP(VALUE(LEFT(C3958,5)),Xref!A:B,2,0)</f>
        <v>WEP</v>
      </c>
      <c r="M3958" t="str">
        <f t="shared" si="247"/>
        <v>SPA-WEP</v>
      </c>
    </row>
    <row r="3959" spans="1:13" ht="14.25" customHeight="true">
      <c r="A3959" s="33" t="str">
        <f t="shared" si="244"/>
        <v>SPA - Intercompany</v>
      </c>
      <c r="B3959" s="33" t="str">
        <f t="shared" si="245"/>
        <v>SPA</v>
      </c>
      <c r="C3959" s="33" t="str">
        <f t="shared" si="246"/>
        <v>11352-0000</v>
      </c>
      <c r="D3959" t="s">
        <v>27867</v>
      </c>
      <c r="E3959" t="s">
        <v>13536</v>
      </c>
      <c r="F3959" t="s">
        <v>14039</v>
      </c>
      <c r="G3959" t="s">
        <v>14672</v>
      </c>
      <c r="H3959" t="s">
        <v>13869</v>
      </c>
      <c r="I3959" t="s">
        <v>14690</v>
      </c>
      <c r="J3959" s="62">
        <v>0</v>
      </c>
      <c r="K3959" s="62">
        <v>0</v>
      </c>
      <c r="L3959" t="str">
        <f>VLOOKUP(VALUE(LEFT(C3959,5)),Xref!A:B,2,0)</f>
        <v>KLP</v>
      </c>
      <c r="M3959" t="str">
        <f t="shared" si="247"/>
        <v>KLP-SPA</v>
      </c>
    </row>
    <row r="3960" spans="1:13" ht="14.25" customHeight="true">
      <c r="A3960" s="33" t="str">
        <f t="shared" si="244"/>
        <v>SPA - Intercompany</v>
      </c>
      <c r="B3960" s="33" t="str">
        <f t="shared" si="245"/>
        <v>SPA</v>
      </c>
      <c r="C3960" s="33" t="str">
        <f t="shared" si="246"/>
        <v>11353-0000</v>
      </c>
      <c r="D3960" t="s">
        <v>27868</v>
      </c>
      <c r="E3960" t="s">
        <v>13537</v>
      </c>
      <c r="F3960" t="s">
        <v>14039</v>
      </c>
      <c r="G3960" t="s">
        <v>14672</v>
      </c>
      <c r="H3960" t="s">
        <v>13869</v>
      </c>
      <c r="I3960" t="s">
        <v>14690</v>
      </c>
      <c r="J3960" s="62">
        <v>0</v>
      </c>
      <c r="K3960" s="62">
        <v>0</v>
      </c>
      <c r="L3960" t="str">
        <f>VLOOKUP(VALUE(LEFT(C3960,5)),Xref!A:B,2,0)</f>
        <v>AKC</v>
      </c>
      <c r="M3960" t="str">
        <f t="shared" si="247"/>
        <v>AKC-SPA</v>
      </c>
    </row>
    <row r="3961" spans="1:13" ht="14.25" customHeight="true">
      <c r="A3961" s="33" t="str">
        <f t="shared" si="244"/>
        <v>SPA - Intercompany</v>
      </c>
      <c r="B3961" s="33" t="str">
        <f t="shared" si="245"/>
        <v>SPA</v>
      </c>
      <c r="C3961" s="33" t="str">
        <f t="shared" si="246"/>
        <v>11354-0000</v>
      </c>
      <c r="D3961" t="s">
        <v>27869</v>
      </c>
      <c r="E3961" t="s">
        <v>13538</v>
      </c>
      <c r="F3961" t="s">
        <v>14039</v>
      </c>
      <c r="G3961" t="s">
        <v>14672</v>
      </c>
      <c r="H3961" t="s">
        <v>13869</v>
      </c>
      <c r="I3961" t="s">
        <v>14690</v>
      </c>
      <c r="J3961" s="62">
        <v>0</v>
      </c>
      <c r="K3961" s="62">
        <v>0</v>
      </c>
      <c r="L3961" t="str">
        <f>VLOOKUP(VALUE(LEFT(C3961,5)),Xref!A:B,2,0)</f>
        <v>AKA</v>
      </c>
      <c r="M3961" t="str">
        <f t="shared" si="247"/>
        <v>AKA-SPA</v>
      </c>
    </row>
    <row r="3962" spans="1:13" ht="14.25" customHeight="true">
      <c r="A3962" s="33" t="str">
        <f t="shared" si="244"/>
        <v>SPA - Intercompany</v>
      </c>
      <c r="B3962" s="33" t="str">
        <f t="shared" si="245"/>
        <v>SPA</v>
      </c>
      <c r="C3962" s="33" t="str">
        <f t="shared" si="246"/>
        <v>11355-0000</v>
      </c>
      <c r="D3962" t="s">
        <v>27870</v>
      </c>
      <c r="E3962" t="s">
        <v>13539</v>
      </c>
      <c r="F3962" t="s">
        <v>14039</v>
      </c>
      <c r="G3962" t="s">
        <v>14672</v>
      </c>
      <c r="H3962" t="s">
        <v>13869</v>
      </c>
      <c r="I3962" t="s">
        <v>14690</v>
      </c>
      <c r="J3962" s="62">
        <v>0</v>
      </c>
      <c r="K3962" s="62">
        <v>0</v>
      </c>
      <c r="L3962" t="str">
        <f>VLOOKUP(VALUE(LEFT(C3962,5)),Xref!A:B,2,0)</f>
        <v>SPA</v>
      </c>
      <c r="M3962" t="str">
        <f t="shared" si="247"/>
        <v>SPA-SPA</v>
      </c>
    </row>
    <row r="3963" spans="1:13" ht="14.25" customHeight="true">
      <c r="A3963" s="33" t="str">
        <f t="shared" si="244"/>
        <v>SPA - Intercompany</v>
      </c>
      <c r="B3963" s="33" t="str">
        <f t="shared" si="245"/>
        <v>SPA</v>
      </c>
      <c r="C3963" s="33" t="str">
        <f t="shared" si="246"/>
        <v>11356-0000</v>
      </c>
      <c r="D3963" t="s">
        <v>27871</v>
      </c>
      <c r="E3963" t="s">
        <v>13540</v>
      </c>
      <c r="F3963" t="s">
        <v>14039</v>
      </c>
      <c r="G3963" t="s">
        <v>14672</v>
      </c>
      <c r="H3963" t="s">
        <v>13869</v>
      </c>
      <c r="I3963" t="s">
        <v>14690</v>
      </c>
      <c r="J3963" s="62">
        <v>0</v>
      </c>
      <c r="K3963" s="62">
        <v>0</v>
      </c>
      <c r="L3963" t="str">
        <f>VLOOKUP(VALUE(LEFT(C3963,5)),Xref!A:B,2,0)</f>
        <v>DPM</v>
      </c>
      <c r="M3963" t="str">
        <f t="shared" si="247"/>
        <v>DPM-SPA</v>
      </c>
    </row>
    <row r="3964" spans="1:13" ht="14.25" customHeight="true">
      <c r="A3964" s="33" t="str">
        <f t="shared" si="244"/>
        <v>SPA - Intercompany</v>
      </c>
      <c r="B3964" s="33" t="str">
        <f t="shared" si="245"/>
        <v>SPA</v>
      </c>
      <c r="C3964" s="33" t="str">
        <f t="shared" si="246"/>
        <v>11357-0000</v>
      </c>
      <c r="D3964" t="s">
        <v>27872</v>
      </c>
      <c r="E3964" t="s">
        <v>13541</v>
      </c>
      <c r="F3964" t="s">
        <v>14039</v>
      </c>
      <c r="G3964" t="s">
        <v>14672</v>
      </c>
      <c r="H3964" t="s">
        <v>13869</v>
      </c>
      <c r="I3964" t="s">
        <v>14690</v>
      </c>
      <c r="J3964" s="62">
        <v>0</v>
      </c>
      <c r="K3964" s="62">
        <v>0</v>
      </c>
      <c r="L3964" t="str">
        <f>VLOOKUP(VALUE(LEFT(C3964,5)),Xref!A:B,2,0)</f>
        <v>HDM</v>
      </c>
      <c r="M3964" t="str">
        <f t="shared" si="247"/>
        <v>HDM-SPA</v>
      </c>
    </row>
    <row r="3965" spans="1:13" ht="14.25" customHeight="true">
      <c r="A3965" s="33" t="str">
        <f t="shared" si="244"/>
        <v>SPA - Intercompany</v>
      </c>
      <c r="B3965" s="33" t="str">
        <f t="shared" si="245"/>
        <v>SPA</v>
      </c>
      <c r="C3965" s="33" t="str">
        <f t="shared" si="246"/>
        <v>11358-0000</v>
      </c>
      <c r="D3965" t="s">
        <v>27873</v>
      </c>
      <c r="E3965" t="s">
        <v>13542</v>
      </c>
      <c r="F3965" t="s">
        <v>14039</v>
      </c>
      <c r="G3965" t="s">
        <v>14672</v>
      </c>
      <c r="H3965" t="s">
        <v>13869</v>
      </c>
      <c r="I3965" t="s">
        <v>14690</v>
      </c>
      <c r="J3965" s="62">
        <v>0</v>
      </c>
      <c r="K3965" s="62">
        <v>0</v>
      </c>
      <c r="L3965" t="str">
        <f>VLOOKUP(VALUE(LEFT(C3965,5)),Xref!A:B,2,0)</f>
        <v>GRA</v>
      </c>
      <c r="M3965" t="str">
        <f t="shared" si="247"/>
        <v>GRA-SPA</v>
      </c>
    </row>
    <row r="3966" spans="1:13" ht="14.25" customHeight="true">
      <c r="A3966" s="33" t="str">
        <f t="shared" si="244"/>
        <v>SPA - Intercompany</v>
      </c>
      <c r="B3966" s="33" t="str">
        <f t="shared" si="245"/>
        <v>SPA</v>
      </c>
      <c r="C3966" s="33" t="str">
        <f t="shared" si="246"/>
        <v>11359-0000</v>
      </c>
      <c r="D3966" t="s">
        <v>27874</v>
      </c>
      <c r="E3966" t="s">
        <v>13543</v>
      </c>
      <c r="F3966" t="s">
        <v>14039</v>
      </c>
      <c r="G3966" t="s">
        <v>14672</v>
      </c>
      <c r="H3966" t="s">
        <v>13869</v>
      </c>
      <c r="I3966" t="s">
        <v>14690</v>
      </c>
      <c r="J3966" s="62">
        <v>0</v>
      </c>
      <c r="K3966" s="62">
        <v>0</v>
      </c>
      <c r="L3966" t="str">
        <f>VLOOKUP(VALUE(LEFT(C3966,5)),Xref!A:B,2,0)</f>
        <v>TPI</v>
      </c>
      <c r="M3966" t="str">
        <f t="shared" si="247"/>
        <v>SPA-TPI</v>
      </c>
    </row>
    <row r="3967" spans="1:13" ht="14.25" customHeight="true">
      <c r="A3967" s="33" t="str">
        <f t="shared" si="244"/>
        <v>SPA - Intercompany</v>
      </c>
      <c r="B3967" s="33" t="str">
        <f t="shared" si="245"/>
        <v>SPA</v>
      </c>
      <c r="C3967" s="33" t="str">
        <f t="shared" si="246"/>
        <v>11361-0000</v>
      </c>
      <c r="D3967" t="s">
        <v>27875</v>
      </c>
      <c r="E3967" t="s">
        <v>14165</v>
      </c>
      <c r="F3967" t="s">
        <v>14039</v>
      </c>
      <c r="G3967" t="s">
        <v>14672</v>
      </c>
      <c r="H3967" t="s">
        <v>13869</v>
      </c>
      <c r="I3967" t="s">
        <v>14690</v>
      </c>
      <c r="J3967" s="62">
        <v>0</v>
      </c>
      <c r="K3967" s="62">
        <v>0</v>
      </c>
      <c r="L3967" t="str">
        <f>VLOOKUP(VALUE(LEFT(C3967,5)),Xref!A:B,2,0)</f>
        <v>GSM</v>
      </c>
      <c r="M3967" t="str">
        <f t="shared" si="247"/>
        <v>GSM-SPA</v>
      </c>
    </row>
    <row r="3968" spans="1:13" ht="14.25" customHeight="true">
      <c r="A3968" s="33" t="str">
        <f t="shared" si="244"/>
        <v>SPA - Intercompany</v>
      </c>
      <c r="B3968" s="33" t="str">
        <f t="shared" si="245"/>
        <v>SPA</v>
      </c>
      <c r="C3968" s="33" t="str">
        <f t="shared" si="246"/>
        <v>11363-0000</v>
      </c>
      <c r="D3968" t="s">
        <v>27876</v>
      </c>
      <c r="E3968" t="s">
        <v>13544</v>
      </c>
      <c r="F3968" t="s">
        <v>14039</v>
      </c>
      <c r="G3968" t="s">
        <v>14672</v>
      </c>
      <c r="H3968" t="s">
        <v>13869</v>
      </c>
      <c r="I3968" t="s">
        <v>14690</v>
      </c>
      <c r="J3968" s="62">
        <v>0</v>
      </c>
      <c r="K3968" s="62">
        <v>47.26</v>
      </c>
      <c r="L3968" t="str">
        <f>VLOOKUP(VALUE(LEFT(C3968,5)),Xref!A:B,2,0)</f>
        <v>SOF</v>
      </c>
      <c r="M3968" t="str">
        <f t="shared" si="247"/>
        <v>SOF-SPA</v>
      </c>
    </row>
    <row r="3969" spans="1:13" ht="14.25" customHeight="true">
      <c r="A3969" s="33" t="str">
        <f t="shared" si="244"/>
        <v>SPA - Intercompany</v>
      </c>
      <c r="B3969" s="33" t="str">
        <f t="shared" si="245"/>
        <v>SPA</v>
      </c>
      <c r="C3969" s="33" t="str">
        <f t="shared" si="246"/>
        <v>11364-0000</v>
      </c>
      <c r="D3969" t="s">
        <v>27877</v>
      </c>
      <c r="E3969" t="s">
        <v>14168</v>
      </c>
      <c r="F3969" t="s">
        <v>14039</v>
      </c>
      <c r="G3969" t="s">
        <v>14672</v>
      </c>
      <c r="H3969" t="s">
        <v>13869</v>
      </c>
      <c r="I3969" t="s">
        <v>14690</v>
      </c>
      <c r="J3969" s="62">
        <v>0</v>
      </c>
      <c r="K3969" s="62">
        <v>0</v>
      </c>
      <c r="L3969" t="e">
        <f>VLOOKUP(VALUE(LEFT(C3969,5)),Xref!A:B,2,0)</f>
        <v>#N/A</v>
      </c>
      <c r="M3969" t="e">
        <f t="shared" si="247"/>
        <v>#N/A</v>
      </c>
    </row>
    <row r="3970" spans="1:13" ht="14.25" customHeight="true">
      <c r="A3970" s="33" t="str">
        <f t="shared" ref="A3970:A4033" si="248">B3970&amp;" - "&amp;TRIM(H3970)</f>
        <v>SPA - Intercompany</v>
      </c>
      <c r="B3970" s="33" t="str">
        <f t="shared" ref="B3970:B4033" si="249">LEFT(D3970,3)</f>
        <v>SPA</v>
      </c>
      <c r="C3970" s="33" t="str">
        <f t="shared" ref="C3970:C4033" si="250">RIGHT(D3970,10)</f>
        <v>11365-0000</v>
      </c>
      <c r="D3970" t="s">
        <v>27878</v>
      </c>
      <c r="E3970" t="s">
        <v>14170</v>
      </c>
      <c r="F3970" t="s">
        <v>14039</v>
      </c>
      <c r="G3970" t="s">
        <v>14672</v>
      </c>
      <c r="H3970" t="s">
        <v>13869</v>
      </c>
      <c r="I3970" t="s">
        <v>14690</v>
      </c>
      <c r="J3970" s="62">
        <v>0</v>
      </c>
      <c r="K3970" s="62">
        <v>0</v>
      </c>
      <c r="L3970" t="e">
        <f>VLOOKUP(VALUE(LEFT(C3970,5)),Xref!A:B,2,0)</f>
        <v>#N/A</v>
      </c>
      <c r="M3970" t="e">
        <f t="shared" ref="M3970:M4033" si="251">IF(B3970&lt;L3970,B3970&amp;"-"&amp;L3970,L3970&amp;"-"&amp;B3970)</f>
        <v>#N/A</v>
      </c>
    </row>
    <row r="3971" spans="1:13" ht="14.25" customHeight="true">
      <c r="A3971" s="33" t="str">
        <f t="shared" si="248"/>
        <v>SPA - Intercompany</v>
      </c>
      <c r="B3971" s="33" t="str">
        <f t="shared" si="249"/>
        <v>SPA</v>
      </c>
      <c r="C3971" s="33" t="str">
        <f t="shared" si="250"/>
        <v>11366-0000</v>
      </c>
      <c r="D3971" t="s">
        <v>27879</v>
      </c>
      <c r="E3971" t="s">
        <v>14172</v>
      </c>
      <c r="G3971" t="s">
        <v>14672</v>
      </c>
      <c r="H3971" t="s">
        <v>13869</v>
      </c>
      <c r="I3971" t="s">
        <v>14690</v>
      </c>
      <c r="J3971" s="62">
        <v>0</v>
      </c>
      <c r="K3971" s="62">
        <v>0</v>
      </c>
      <c r="L3971" t="e">
        <f>VLOOKUP(VALUE(LEFT(C3971,5)),Xref!A:B,2,0)</f>
        <v>#N/A</v>
      </c>
      <c r="M3971" t="e">
        <f t="shared" si="251"/>
        <v>#N/A</v>
      </c>
    </row>
    <row r="3972" spans="1:13" ht="14.25" customHeight="true">
      <c r="A3972" s="33" t="str">
        <f t="shared" si="248"/>
        <v>SPA - Intercompany</v>
      </c>
      <c r="B3972" s="33" t="str">
        <f t="shared" si="249"/>
        <v>SPA</v>
      </c>
      <c r="C3972" s="33" t="str">
        <f t="shared" si="250"/>
        <v>11402-0000</v>
      </c>
      <c r="D3972" t="s">
        <v>27880</v>
      </c>
      <c r="E3972" t="s">
        <v>14174</v>
      </c>
      <c r="G3972" t="s">
        <v>14672</v>
      </c>
      <c r="H3972" t="s">
        <v>13869</v>
      </c>
      <c r="I3972" t="s">
        <v>14690</v>
      </c>
      <c r="J3972" s="62">
        <v>0</v>
      </c>
      <c r="K3972" s="62">
        <v>0</v>
      </c>
      <c r="L3972" t="str">
        <f>VLOOKUP(VALUE(LEFT(C3972,5)),Xref!A:B,2,0)</f>
        <v>DPI</v>
      </c>
      <c r="M3972" t="str">
        <f t="shared" si="251"/>
        <v>DPI-SPA</v>
      </c>
    </row>
    <row r="3973" spans="1:13" ht="14.25" customHeight="true">
      <c r="A3973" s="33" t="str">
        <f t="shared" si="248"/>
        <v>SPA - Intercompany</v>
      </c>
      <c r="B3973" s="33" t="str">
        <f t="shared" si="249"/>
        <v>SPA</v>
      </c>
      <c r="C3973" s="33" t="str">
        <f t="shared" si="250"/>
        <v>11403-0000</v>
      </c>
      <c r="D3973" t="s">
        <v>27881</v>
      </c>
      <c r="E3973" t="s">
        <v>14176</v>
      </c>
      <c r="G3973" t="s">
        <v>14672</v>
      </c>
      <c r="H3973" t="s">
        <v>13869</v>
      </c>
      <c r="I3973" t="s">
        <v>14690</v>
      </c>
      <c r="J3973" s="62">
        <v>0</v>
      </c>
      <c r="K3973" s="62">
        <v>0</v>
      </c>
      <c r="L3973" t="str">
        <f>VLOOKUP(VALUE(LEFT(C3973,5)),Xref!A:B,2,0)</f>
        <v>SEA</v>
      </c>
      <c r="M3973" t="str">
        <f t="shared" si="251"/>
        <v>SEA-SPA</v>
      </c>
    </row>
    <row r="3974" spans="1:13" ht="14.25" customHeight="true">
      <c r="A3974" s="33" t="str">
        <f t="shared" si="248"/>
        <v>SPA - Intercompany</v>
      </c>
      <c r="B3974" s="33" t="str">
        <f t="shared" si="249"/>
        <v>SPA</v>
      </c>
      <c r="C3974" s="33" t="str">
        <f t="shared" si="250"/>
        <v>12400-0000</v>
      </c>
      <c r="D3974" t="s">
        <v>27884</v>
      </c>
      <c r="E3974" t="s">
        <v>14185</v>
      </c>
      <c r="F3974" t="s">
        <v>14039</v>
      </c>
      <c r="G3974" t="s">
        <v>14672</v>
      </c>
      <c r="H3974" t="s">
        <v>13869</v>
      </c>
      <c r="I3974" t="s">
        <v>14690</v>
      </c>
      <c r="J3974" s="62">
        <v>0</v>
      </c>
      <c r="K3974" s="62">
        <v>0</v>
      </c>
      <c r="L3974" t="str">
        <f>VLOOKUP(VALUE(LEFT(C3974,5)),Xref!A:B,2,0)</f>
        <v>aka</v>
      </c>
      <c r="M3974" t="str">
        <f t="shared" si="251"/>
        <v>aka-SPA</v>
      </c>
    </row>
    <row r="3975" spans="1:13" ht="14.25" customHeight="true">
      <c r="A3975" s="33" t="str">
        <f t="shared" si="248"/>
        <v>SPA - Intercompany</v>
      </c>
      <c r="B3975" s="33" t="str">
        <f t="shared" si="249"/>
        <v>SPA</v>
      </c>
      <c r="C3975" s="33" t="str">
        <f t="shared" si="250"/>
        <v>12401-0000</v>
      </c>
      <c r="D3975" t="s">
        <v>27885</v>
      </c>
      <c r="E3975" t="s">
        <v>14187</v>
      </c>
      <c r="F3975" t="s">
        <v>14039</v>
      </c>
      <c r="G3975" t="s">
        <v>14672</v>
      </c>
      <c r="H3975" t="s">
        <v>13869</v>
      </c>
      <c r="I3975" t="s">
        <v>14690</v>
      </c>
      <c r="J3975" s="62">
        <v>0</v>
      </c>
      <c r="K3975" s="62">
        <v>0</v>
      </c>
      <c r="L3975" t="str">
        <f>VLOOKUP(VALUE(LEFT(C3975,5)),Xref!A:B,2,0)</f>
        <v>aka</v>
      </c>
      <c r="M3975" t="str">
        <f t="shared" si="251"/>
        <v>aka-SPA</v>
      </c>
    </row>
    <row r="3976" spans="1:13" ht="14.25" customHeight="true">
      <c r="A3976" s="33" t="str">
        <f t="shared" si="248"/>
        <v>SPA - Intercompany</v>
      </c>
      <c r="B3976" s="33" t="str">
        <f t="shared" si="249"/>
        <v>SPA</v>
      </c>
      <c r="C3976" s="33" t="str">
        <f t="shared" si="250"/>
        <v>12402-0000</v>
      </c>
      <c r="D3976" t="s">
        <v>27886</v>
      </c>
      <c r="E3976" t="s">
        <v>14189</v>
      </c>
      <c r="F3976" t="s">
        <v>14039</v>
      </c>
      <c r="G3976" t="s">
        <v>14672</v>
      </c>
      <c r="H3976" t="s">
        <v>13869</v>
      </c>
      <c r="I3976" t="s">
        <v>14690</v>
      </c>
      <c r="J3976" s="62">
        <v>0</v>
      </c>
      <c r="K3976" s="62">
        <v>0</v>
      </c>
      <c r="L3976" t="str">
        <f>VLOOKUP(VALUE(LEFT(C3976,5)),Xref!A:B,2,0)</f>
        <v>aka</v>
      </c>
      <c r="M3976" t="str">
        <f t="shared" si="251"/>
        <v>aka-SPA</v>
      </c>
    </row>
    <row r="3977" spans="1:13" ht="14.25" customHeight="true">
      <c r="A3977" s="33" t="str">
        <f t="shared" si="248"/>
        <v>SPA - Intercompany</v>
      </c>
      <c r="B3977" s="33" t="str">
        <f t="shared" si="249"/>
        <v>SPA</v>
      </c>
      <c r="C3977" s="33" t="str">
        <f t="shared" si="250"/>
        <v>12403-0000</v>
      </c>
      <c r="D3977" t="s">
        <v>27887</v>
      </c>
      <c r="E3977" t="s">
        <v>5226</v>
      </c>
      <c r="F3977" t="s">
        <v>14039</v>
      </c>
      <c r="G3977" t="s">
        <v>14672</v>
      </c>
      <c r="H3977" t="s">
        <v>13869</v>
      </c>
      <c r="I3977" t="s">
        <v>14690</v>
      </c>
      <c r="J3977" s="62">
        <v>0</v>
      </c>
      <c r="K3977" s="62">
        <v>0</v>
      </c>
      <c r="L3977" t="str">
        <f>VLOOKUP(VALUE(LEFT(C3977,5)),Xref!A:B,2,0)</f>
        <v>aka</v>
      </c>
      <c r="M3977" t="str">
        <f t="shared" si="251"/>
        <v>aka-SPA</v>
      </c>
    </row>
    <row r="3978" spans="1:13" ht="14.25" customHeight="true">
      <c r="A3978" s="33" t="str">
        <f t="shared" si="248"/>
        <v>SPA - Intercompany</v>
      </c>
      <c r="B3978" s="33" t="str">
        <f t="shared" si="249"/>
        <v>SPA</v>
      </c>
      <c r="C3978" s="33" t="str">
        <f t="shared" si="250"/>
        <v>12501-0000</v>
      </c>
      <c r="D3978" t="s">
        <v>27888</v>
      </c>
      <c r="E3978" t="s">
        <v>14192</v>
      </c>
      <c r="F3978" t="s">
        <v>14039</v>
      </c>
      <c r="G3978" t="s">
        <v>14672</v>
      </c>
      <c r="H3978" t="s">
        <v>13869</v>
      </c>
      <c r="I3978" t="s">
        <v>14690</v>
      </c>
      <c r="J3978" s="62">
        <v>0</v>
      </c>
      <c r="K3978" s="62">
        <v>0</v>
      </c>
      <c r="L3978" t="str">
        <f>VLOOKUP(VALUE(LEFT(C3978,5)),Xref!A:B,2,0)</f>
        <v>aka</v>
      </c>
      <c r="M3978" t="str">
        <f t="shared" si="251"/>
        <v>aka-SPA</v>
      </c>
    </row>
    <row r="3979" spans="1:13" ht="14.25" customHeight="true">
      <c r="A3979" s="33" t="str">
        <f t="shared" si="248"/>
        <v>SPA - InterCo Notes</v>
      </c>
      <c r="B3979" s="33" t="str">
        <f t="shared" si="249"/>
        <v>SPA</v>
      </c>
      <c r="C3979" s="33" t="str">
        <f t="shared" si="250"/>
        <v>25600-0000</v>
      </c>
      <c r="D3979" t="s">
        <v>27938</v>
      </c>
      <c r="E3979" t="s">
        <v>314</v>
      </c>
      <c r="F3979" t="s">
        <v>14039</v>
      </c>
      <c r="G3979" t="s">
        <v>14672</v>
      </c>
      <c r="H3979" t="s">
        <v>13889</v>
      </c>
      <c r="I3979" t="s">
        <v>14690</v>
      </c>
      <c r="J3979" s="62">
        <v>0</v>
      </c>
      <c r="K3979" s="62">
        <v>0</v>
      </c>
      <c r="L3979" t="str">
        <f>VLOOKUP(VALUE(LEFT(C3979,5)),Xref!A:B,2,0)</f>
        <v>D7</v>
      </c>
      <c r="M3979" t="str">
        <f t="shared" si="251"/>
        <v>D7-SPA</v>
      </c>
    </row>
    <row r="3980" spans="1:13" ht="14.25" customHeight="true">
      <c r="A3980" s="33" t="str">
        <f t="shared" si="248"/>
        <v>SPA - InterCo Notes</v>
      </c>
      <c r="B3980" s="33" t="str">
        <f t="shared" si="249"/>
        <v>SPA</v>
      </c>
      <c r="C3980" s="33" t="str">
        <f t="shared" si="250"/>
        <v>25602-0000</v>
      </c>
      <c r="D3980" t="s">
        <v>27940</v>
      </c>
      <c r="E3980" t="s">
        <v>13426</v>
      </c>
      <c r="F3980" t="s">
        <v>14039</v>
      </c>
      <c r="G3980" t="s">
        <v>14672</v>
      </c>
      <c r="H3980" t="s">
        <v>13889</v>
      </c>
      <c r="I3980" t="s">
        <v>14690</v>
      </c>
      <c r="J3980" s="62">
        <v>-27000</v>
      </c>
      <c r="K3980" s="62">
        <v>-334500</v>
      </c>
      <c r="L3980" t="str">
        <f>VLOOKUP(VALUE(LEFT(C3980,5)),Xref!A:B,2,0)</f>
        <v>DFLP</v>
      </c>
      <c r="M3980" t="str">
        <f t="shared" si="251"/>
        <v>DFLP-SPA</v>
      </c>
    </row>
    <row r="3981" spans="1:13" ht="14.25" customHeight="true">
      <c r="A3981" s="33" t="str">
        <f t="shared" si="248"/>
        <v>SPA - InterCo Notes</v>
      </c>
      <c r="B3981" s="33" t="str">
        <f t="shared" si="249"/>
        <v>SPA</v>
      </c>
      <c r="C3981" s="33" t="str">
        <f t="shared" si="250"/>
        <v>25603-0000</v>
      </c>
      <c r="D3981" t="s">
        <v>27941</v>
      </c>
      <c r="E3981" t="s">
        <v>14311</v>
      </c>
      <c r="F3981" t="s">
        <v>14039</v>
      </c>
      <c r="G3981" t="s">
        <v>14832</v>
      </c>
      <c r="H3981" t="s">
        <v>13889</v>
      </c>
      <c r="I3981" t="s">
        <v>14690</v>
      </c>
      <c r="J3981" s="62">
        <v>0</v>
      </c>
      <c r="K3981" s="62">
        <v>0</v>
      </c>
      <c r="L3981" t="str">
        <f>VLOOKUP(VALUE(LEFT(C3981,5)),Xref!A:B,2,0)</f>
        <v>aka</v>
      </c>
      <c r="M3981" t="str">
        <f t="shared" si="251"/>
        <v>aka-SPA</v>
      </c>
    </row>
    <row r="3982" spans="1:13" ht="14.25" customHeight="true">
      <c r="A3982" s="33" t="str">
        <f t="shared" si="248"/>
        <v>SPA - Intercompany</v>
      </c>
      <c r="B3982" s="33" t="str">
        <f t="shared" si="249"/>
        <v>SPA</v>
      </c>
      <c r="C3982" s="33" t="str">
        <f t="shared" si="250"/>
        <v>25604-0000</v>
      </c>
      <c r="D3982" t="s">
        <v>27942</v>
      </c>
      <c r="E3982" t="s">
        <v>13490</v>
      </c>
      <c r="F3982" t="s">
        <v>14039</v>
      </c>
      <c r="G3982" t="s">
        <v>14672</v>
      </c>
      <c r="H3982" t="s">
        <v>13869</v>
      </c>
      <c r="I3982" t="s">
        <v>14690</v>
      </c>
      <c r="J3982" s="62">
        <v>0</v>
      </c>
      <c r="K3982" s="62">
        <v>0</v>
      </c>
      <c r="L3982">
        <f>VLOOKUP(VALUE(LEFT(C3982,5)),Xref!A:B,2,0)</f>
        <v>0</v>
      </c>
      <c r="M3982" t="str">
        <f t="shared" si="251"/>
        <v>0-SPA</v>
      </c>
    </row>
    <row r="3983" spans="1:13" ht="14.25" customHeight="true">
      <c r="A3983" s="33" t="str">
        <f t="shared" si="248"/>
        <v>STO - Intercompany</v>
      </c>
      <c r="B3983" s="33" t="str">
        <f t="shared" si="249"/>
        <v>STO</v>
      </c>
      <c r="C3983" s="33" t="str">
        <f t="shared" si="250"/>
        <v>11200-0000</v>
      </c>
      <c r="D3983" t="s">
        <v>28114</v>
      </c>
      <c r="E3983" t="s">
        <v>14069</v>
      </c>
      <c r="F3983" t="s">
        <v>14039</v>
      </c>
      <c r="G3983" t="s">
        <v>14672</v>
      </c>
      <c r="H3983" t="s">
        <v>13869</v>
      </c>
      <c r="I3983" t="s">
        <v>14690</v>
      </c>
      <c r="J3983" s="62">
        <v>0</v>
      </c>
      <c r="K3983" s="62">
        <v>0</v>
      </c>
      <c r="L3983" t="str">
        <f>VLOOKUP(VALUE(LEFT(C3983,5)),Xref!A:B,2,0)</f>
        <v>SCL</v>
      </c>
      <c r="M3983" t="str">
        <f t="shared" si="251"/>
        <v>SCL-STO</v>
      </c>
    </row>
    <row r="3984" spans="1:13" ht="14.25" customHeight="true">
      <c r="A3984" s="33" t="str">
        <f t="shared" si="248"/>
        <v>STO - Intercompany</v>
      </c>
      <c r="B3984" s="33" t="str">
        <f t="shared" si="249"/>
        <v>STO</v>
      </c>
      <c r="C3984" s="33" t="str">
        <f t="shared" si="250"/>
        <v>11201-0000</v>
      </c>
      <c r="D3984" t="s">
        <v>28115</v>
      </c>
      <c r="E3984" t="s">
        <v>14071</v>
      </c>
      <c r="F3984" t="s">
        <v>14039</v>
      </c>
      <c r="G3984" t="s">
        <v>14672</v>
      </c>
      <c r="H3984" t="s">
        <v>13869</v>
      </c>
      <c r="I3984" t="s">
        <v>14690</v>
      </c>
      <c r="J3984" s="62">
        <v>0</v>
      </c>
      <c r="K3984" s="62">
        <v>0</v>
      </c>
      <c r="L3984" t="str">
        <f>VLOOKUP(VALUE(LEFT(C3984,5)),Xref!A:B,2,0)</f>
        <v>SG2</v>
      </c>
      <c r="M3984" t="str">
        <f t="shared" si="251"/>
        <v>SG2-STO</v>
      </c>
    </row>
    <row r="3985" spans="1:13" ht="14.25" customHeight="true">
      <c r="A3985" s="33" t="str">
        <f t="shared" si="248"/>
        <v>STO - Intercompany</v>
      </c>
      <c r="B3985" s="33" t="str">
        <f t="shared" si="249"/>
        <v>STO</v>
      </c>
      <c r="C3985" s="33" t="str">
        <f t="shared" si="250"/>
        <v>11202-0000</v>
      </c>
      <c r="D3985" t="s">
        <v>28116</v>
      </c>
      <c r="E3985" t="s">
        <v>14073</v>
      </c>
      <c r="F3985" t="s">
        <v>14039</v>
      </c>
      <c r="G3985" t="s">
        <v>14672</v>
      </c>
      <c r="H3985" t="s">
        <v>13869</v>
      </c>
      <c r="I3985" t="s">
        <v>14690</v>
      </c>
      <c r="J3985" s="62">
        <v>0</v>
      </c>
      <c r="K3985" s="62">
        <v>0</v>
      </c>
      <c r="L3985" t="str">
        <f>VLOOKUP(VALUE(LEFT(C3985,5)),Xref!A:B,2,0)</f>
        <v>FFC</v>
      </c>
      <c r="M3985" t="str">
        <f t="shared" si="251"/>
        <v>FFC-STO</v>
      </c>
    </row>
    <row r="3986" spans="1:13" ht="14.25" customHeight="true">
      <c r="A3986" s="33" t="str">
        <f t="shared" si="248"/>
        <v>STO - Intercompany</v>
      </c>
      <c r="B3986" s="33" t="str">
        <f t="shared" si="249"/>
        <v>STO</v>
      </c>
      <c r="C3986" s="33" t="str">
        <f t="shared" si="250"/>
        <v>11203-0000</v>
      </c>
      <c r="D3986" t="s">
        <v>28117</v>
      </c>
      <c r="E3986" t="s">
        <v>14075</v>
      </c>
      <c r="F3986" t="s">
        <v>14039</v>
      </c>
      <c r="G3986" t="s">
        <v>14672</v>
      </c>
      <c r="H3986" t="s">
        <v>13869</v>
      </c>
      <c r="I3986" t="s">
        <v>14690</v>
      </c>
      <c r="J3986" s="62">
        <v>0</v>
      </c>
      <c r="K3986" s="62">
        <v>0</v>
      </c>
      <c r="L3986" t="str">
        <f>VLOOKUP(VALUE(LEFT(C3986,5)),Xref!A:B,2,0)</f>
        <v>HN2</v>
      </c>
      <c r="M3986" t="str">
        <f t="shared" si="251"/>
        <v>HN2-STO</v>
      </c>
    </row>
    <row r="3987" spans="1:13" ht="14.25" customHeight="true">
      <c r="A3987" s="33" t="str">
        <f t="shared" si="248"/>
        <v>STO - Intercompany</v>
      </c>
      <c r="B3987" s="33" t="str">
        <f t="shared" si="249"/>
        <v>STO</v>
      </c>
      <c r="C3987" s="33" t="str">
        <f t="shared" si="250"/>
        <v>11204-0000</v>
      </c>
      <c r="D3987" t="s">
        <v>28118</v>
      </c>
      <c r="E3987" t="s">
        <v>14077</v>
      </c>
      <c r="F3987" t="s">
        <v>14039</v>
      </c>
      <c r="G3987" t="s">
        <v>14672</v>
      </c>
      <c r="H3987" t="s">
        <v>13869</v>
      </c>
      <c r="I3987" t="s">
        <v>14690</v>
      </c>
      <c r="J3987" s="62">
        <v>0</v>
      </c>
      <c r="K3987" s="62">
        <v>0</v>
      </c>
      <c r="L3987" t="str">
        <f>VLOOKUP(VALUE(LEFT(C3987,5)),Xref!A:B,2,0)</f>
        <v>DF2</v>
      </c>
      <c r="M3987" t="str">
        <f t="shared" si="251"/>
        <v>DF2-STO</v>
      </c>
    </row>
    <row r="3988" spans="1:13" ht="14.25" customHeight="true">
      <c r="A3988" s="33" t="str">
        <f t="shared" si="248"/>
        <v>STO - Intercompany</v>
      </c>
      <c r="B3988" s="33" t="str">
        <f t="shared" si="249"/>
        <v>STO</v>
      </c>
      <c r="C3988" s="33" t="str">
        <f t="shared" si="250"/>
        <v>11208-0000</v>
      </c>
      <c r="D3988" t="s">
        <v>28119</v>
      </c>
      <c r="E3988" t="s">
        <v>14079</v>
      </c>
      <c r="F3988" t="s">
        <v>14039</v>
      </c>
      <c r="G3988" t="s">
        <v>14672</v>
      </c>
      <c r="H3988" t="s">
        <v>13869</v>
      </c>
      <c r="I3988" t="s">
        <v>14690</v>
      </c>
      <c r="J3988" s="62">
        <v>0</v>
      </c>
      <c r="K3988" s="62">
        <v>0</v>
      </c>
      <c r="L3988" t="str">
        <f>VLOOKUP(VALUE(LEFT(C3988,5)),Xref!A:B,2,0)</f>
        <v>SRE</v>
      </c>
      <c r="M3988" t="str">
        <f t="shared" si="251"/>
        <v>SRE-STO</v>
      </c>
    </row>
    <row r="3989" spans="1:13" ht="14.25" customHeight="true">
      <c r="A3989" s="33" t="str">
        <f t="shared" si="248"/>
        <v>STO - Intercompany</v>
      </c>
      <c r="B3989" s="33" t="str">
        <f t="shared" si="249"/>
        <v>STO</v>
      </c>
      <c r="C3989" s="33" t="str">
        <f t="shared" si="250"/>
        <v>11210-0000</v>
      </c>
      <c r="D3989" t="s">
        <v>28120</v>
      </c>
      <c r="E3989" t="s">
        <v>14081</v>
      </c>
      <c r="F3989" t="s">
        <v>14039</v>
      </c>
      <c r="G3989" t="s">
        <v>14672</v>
      </c>
      <c r="H3989" t="s">
        <v>13869</v>
      </c>
      <c r="I3989" t="s">
        <v>14690</v>
      </c>
      <c r="J3989" s="62">
        <v>0</v>
      </c>
      <c r="K3989" s="62">
        <v>0</v>
      </c>
      <c r="L3989" t="str">
        <f>VLOOKUP(VALUE(LEFT(C3989,5)),Xref!A:B,2,0)</f>
        <v>REM</v>
      </c>
      <c r="M3989" t="str">
        <f t="shared" si="251"/>
        <v>REM-STO</v>
      </c>
    </row>
    <row r="3990" spans="1:13" ht="14.25" customHeight="true">
      <c r="A3990" s="33" t="str">
        <f t="shared" si="248"/>
        <v>STO - Intercompany</v>
      </c>
      <c r="B3990" s="33" t="str">
        <f t="shared" si="249"/>
        <v>STO</v>
      </c>
      <c r="C3990" s="33" t="str">
        <f t="shared" si="250"/>
        <v>11212-0000</v>
      </c>
      <c r="D3990" t="s">
        <v>28121</v>
      </c>
      <c r="E3990" t="s">
        <v>14083</v>
      </c>
      <c r="F3990" t="s">
        <v>14039</v>
      </c>
      <c r="G3990" t="s">
        <v>14672</v>
      </c>
      <c r="H3990" t="s">
        <v>13869</v>
      </c>
      <c r="I3990" t="s">
        <v>14690</v>
      </c>
      <c r="J3990" s="62">
        <v>0</v>
      </c>
      <c r="K3990" s="62">
        <v>0</v>
      </c>
      <c r="L3990" t="str">
        <f>VLOOKUP(VALUE(LEFT(C3990,5)),Xref!A:B,2,0)</f>
        <v>FRM</v>
      </c>
      <c r="M3990" t="str">
        <f t="shared" si="251"/>
        <v>FRM-STO</v>
      </c>
    </row>
    <row r="3991" spans="1:13" ht="14.25" customHeight="true">
      <c r="A3991" s="33" t="str">
        <f t="shared" si="248"/>
        <v>STO - Intercompany</v>
      </c>
      <c r="B3991" s="33" t="str">
        <f t="shared" si="249"/>
        <v>STO</v>
      </c>
      <c r="C3991" s="33" t="str">
        <f t="shared" si="250"/>
        <v>11214-0000</v>
      </c>
      <c r="D3991" t="s">
        <v>28122</v>
      </c>
      <c r="E3991" t="s">
        <v>14085</v>
      </c>
      <c r="F3991" t="s">
        <v>14039</v>
      </c>
      <c r="G3991" t="s">
        <v>14672</v>
      </c>
      <c r="H3991" t="s">
        <v>13869</v>
      </c>
      <c r="I3991" t="s">
        <v>14690</v>
      </c>
      <c r="J3991" s="62">
        <v>0</v>
      </c>
      <c r="K3991" s="62">
        <v>0</v>
      </c>
      <c r="L3991" t="str">
        <f>VLOOKUP(VALUE(LEFT(C3991,5)),Xref!A:B,2,0)</f>
        <v>D7R</v>
      </c>
      <c r="M3991" t="str">
        <f t="shared" si="251"/>
        <v>D7R-STO</v>
      </c>
    </row>
    <row r="3992" spans="1:13" ht="14.25" customHeight="true">
      <c r="A3992" s="33" t="str">
        <f t="shared" si="248"/>
        <v>STO - Intercompany</v>
      </c>
      <c r="B3992" s="33" t="str">
        <f t="shared" si="249"/>
        <v>STO</v>
      </c>
      <c r="C3992" s="33" t="str">
        <f t="shared" si="250"/>
        <v>11215-0000</v>
      </c>
      <c r="D3992" t="s">
        <v>28123</v>
      </c>
      <c r="E3992" t="s">
        <v>14087</v>
      </c>
      <c r="F3992" t="s">
        <v>14039</v>
      </c>
      <c r="G3992" t="s">
        <v>14672</v>
      </c>
      <c r="H3992" t="s">
        <v>13869</v>
      </c>
      <c r="I3992" t="s">
        <v>14690</v>
      </c>
      <c r="J3992" s="62">
        <v>0</v>
      </c>
      <c r="K3992" s="62">
        <v>0</v>
      </c>
      <c r="L3992" t="str">
        <f>VLOOKUP(VALUE(LEFT(C3992,5)),Xref!A:B,2,0)</f>
        <v>CDP</v>
      </c>
      <c r="M3992" t="str">
        <f t="shared" si="251"/>
        <v>CDP-STO</v>
      </c>
    </row>
    <row r="3993" spans="1:13" ht="14.25" customHeight="true">
      <c r="A3993" s="33" t="str">
        <f t="shared" si="248"/>
        <v>STO - Intercompany</v>
      </c>
      <c r="B3993" s="33" t="str">
        <f t="shared" si="249"/>
        <v>STO</v>
      </c>
      <c r="C3993" s="33" t="str">
        <f t="shared" si="250"/>
        <v>11216-0000</v>
      </c>
      <c r="D3993" t="s">
        <v>2700</v>
      </c>
      <c r="E3993" t="s">
        <v>13224</v>
      </c>
      <c r="F3993" t="s">
        <v>14039</v>
      </c>
      <c r="G3993" t="s">
        <v>14672</v>
      </c>
      <c r="H3993" t="s">
        <v>13869</v>
      </c>
      <c r="I3993" t="s">
        <v>14690</v>
      </c>
      <c r="J3993" s="62">
        <v>-823.96</v>
      </c>
      <c r="K3993" s="62">
        <v>-40442.57</v>
      </c>
      <c r="L3993" t="str">
        <f>VLOOKUP(VALUE(LEFT(C3993,5)),Xref!A:B,2,0)</f>
        <v>SIL</v>
      </c>
      <c r="M3993" t="str">
        <f t="shared" si="251"/>
        <v>SIL-STO</v>
      </c>
    </row>
    <row r="3994" spans="1:13" ht="14.25" customHeight="true">
      <c r="A3994" s="33" t="str">
        <f t="shared" si="248"/>
        <v>STO - Intercompany</v>
      </c>
      <c r="B3994" s="33" t="str">
        <f t="shared" si="249"/>
        <v>STO</v>
      </c>
      <c r="C3994" s="33" t="str">
        <f t="shared" si="250"/>
        <v>11232-0000</v>
      </c>
      <c r="D3994" t="s">
        <v>28124</v>
      </c>
      <c r="E3994" t="s">
        <v>12486</v>
      </c>
      <c r="F3994" t="s">
        <v>14039</v>
      </c>
      <c r="G3994" t="s">
        <v>14672</v>
      </c>
      <c r="H3994" t="s">
        <v>13869</v>
      </c>
      <c r="I3994" t="s">
        <v>14690</v>
      </c>
      <c r="J3994" s="62">
        <v>0</v>
      </c>
      <c r="K3994" s="62">
        <v>0</v>
      </c>
      <c r="L3994" t="str">
        <f>VLOOKUP(VALUE(LEFT(C3994,5)),Xref!A:B,2,0)</f>
        <v>SC2</v>
      </c>
      <c r="M3994" t="str">
        <f t="shared" si="251"/>
        <v>SC2-STO</v>
      </c>
    </row>
    <row r="3995" spans="1:13" ht="14.25" customHeight="true">
      <c r="A3995" s="33" t="str">
        <f t="shared" si="248"/>
        <v>STO - Intercompany</v>
      </c>
      <c r="B3995" s="33" t="str">
        <f t="shared" si="249"/>
        <v>STO</v>
      </c>
      <c r="C3995" s="33" t="str">
        <f t="shared" si="250"/>
        <v>11301-0000</v>
      </c>
      <c r="D3995" t="s">
        <v>28125</v>
      </c>
      <c r="E3995" t="s">
        <v>13225</v>
      </c>
      <c r="F3995" t="s">
        <v>14039</v>
      </c>
      <c r="G3995" t="s">
        <v>14672</v>
      </c>
      <c r="H3995" t="s">
        <v>13869</v>
      </c>
      <c r="I3995" t="s">
        <v>14690</v>
      </c>
      <c r="J3995" s="62">
        <v>0</v>
      </c>
      <c r="K3995" s="62">
        <v>0</v>
      </c>
      <c r="L3995" t="str">
        <f>VLOOKUP(VALUE(LEFT(C3995,5)),Xref!A:B,2,0)</f>
        <v>CRE</v>
      </c>
      <c r="M3995" t="str">
        <f t="shared" si="251"/>
        <v>CRE-STO</v>
      </c>
    </row>
    <row r="3996" spans="1:13" ht="14.25" customHeight="true">
      <c r="A3996" s="33" t="str">
        <f t="shared" si="248"/>
        <v>STO - Intercompany</v>
      </c>
      <c r="B3996" s="33" t="str">
        <f t="shared" si="249"/>
        <v>STO</v>
      </c>
      <c r="C3996" s="33" t="str">
        <f t="shared" si="250"/>
        <v>11302-0000</v>
      </c>
      <c r="D3996" t="s">
        <v>28126</v>
      </c>
      <c r="E3996" t="s">
        <v>13226</v>
      </c>
      <c r="F3996" t="s">
        <v>14039</v>
      </c>
      <c r="G3996" t="s">
        <v>14672</v>
      </c>
      <c r="H3996" t="s">
        <v>13869</v>
      </c>
      <c r="I3996" t="s">
        <v>14690</v>
      </c>
      <c r="J3996" s="62">
        <v>0</v>
      </c>
      <c r="K3996" s="62">
        <v>0</v>
      </c>
      <c r="L3996" t="str">
        <f>VLOOKUP(VALUE(LEFT(C3996,5)),Xref!A:B,2,0)</f>
        <v>CHA</v>
      </c>
      <c r="M3996" t="str">
        <f t="shared" si="251"/>
        <v>CHA-STO</v>
      </c>
    </row>
    <row r="3997" spans="1:13" ht="14.25" customHeight="true">
      <c r="A3997" s="33" t="str">
        <f t="shared" si="248"/>
        <v>STO - Intercompany</v>
      </c>
      <c r="B3997" s="33" t="str">
        <f t="shared" si="249"/>
        <v>STO</v>
      </c>
      <c r="C3997" s="33" t="str">
        <f t="shared" si="250"/>
        <v>11303-0000</v>
      </c>
      <c r="D3997" t="s">
        <v>2701</v>
      </c>
      <c r="E3997" t="s">
        <v>13227</v>
      </c>
      <c r="F3997" t="s">
        <v>14039</v>
      </c>
      <c r="G3997" t="s">
        <v>14672</v>
      </c>
      <c r="H3997" t="s">
        <v>13869</v>
      </c>
      <c r="I3997" t="s">
        <v>14690</v>
      </c>
      <c r="J3997" s="62">
        <v>0</v>
      </c>
      <c r="K3997" s="62">
        <v>10000</v>
      </c>
      <c r="L3997" t="str">
        <f>VLOOKUP(VALUE(LEFT(C3997,5)),Xref!A:B,2,0)</f>
        <v>DIA</v>
      </c>
      <c r="M3997" t="str">
        <f t="shared" si="251"/>
        <v>DIA-STO</v>
      </c>
    </row>
    <row r="3998" spans="1:13" ht="14.25" customHeight="true">
      <c r="A3998" s="33" t="str">
        <f t="shared" si="248"/>
        <v>STO - Intercompany</v>
      </c>
      <c r="B3998" s="33" t="str">
        <f t="shared" si="249"/>
        <v>STO</v>
      </c>
      <c r="C3998" s="33" t="str">
        <f t="shared" si="250"/>
        <v>11304-0000</v>
      </c>
      <c r="D3998" t="s">
        <v>2702</v>
      </c>
      <c r="E3998" t="s">
        <v>13228</v>
      </c>
      <c r="F3998" t="s">
        <v>14039</v>
      </c>
      <c r="G3998" t="s">
        <v>14672</v>
      </c>
      <c r="H3998" t="s">
        <v>13869</v>
      </c>
      <c r="I3998" t="s">
        <v>14690</v>
      </c>
      <c r="J3998" s="62">
        <v>0</v>
      </c>
      <c r="K3998" s="62">
        <v>-35000</v>
      </c>
      <c r="L3998" t="str">
        <f>VLOOKUP(VALUE(LEFT(C3998,5)),Xref!A:B,2,0)</f>
        <v>EAG</v>
      </c>
      <c r="M3998" t="str">
        <f t="shared" si="251"/>
        <v>EAG-STO</v>
      </c>
    </row>
    <row r="3999" spans="1:13" ht="14.25" customHeight="true">
      <c r="A3999" s="33" t="str">
        <f t="shared" si="248"/>
        <v>STO - Intercompany</v>
      </c>
      <c r="B3999" s="33" t="str">
        <f t="shared" si="249"/>
        <v>STO</v>
      </c>
      <c r="C3999" s="33" t="str">
        <f t="shared" si="250"/>
        <v>11305-0000</v>
      </c>
      <c r="D3999" t="s">
        <v>28127</v>
      </c>
      <c r="E3999" t="s">
        <v>13229</v>
      </c>
      <c r="F3999" t="s">
        <v>14039</v>
      </c>
      <c r="G3999" t="s">
        <v>14672</v>
      </c>
      <c r="H3999" t="s">
        <v>13869</v>
      </c>
      <c r="I3999" t="s">
        <v>14690</v>
      </c>
      <c r="J3999" s="62">
        <v>0</v>
      </c>
      <c r="K3999" s="62">
        <v>0</v>
      </c>
      <c r="L3999" t="str">
        <f>VLOOKUP(VALUE(LEFT(C3999,5)),Xref!A:B,2,0)</f>
        <v>NEW</v>
      </c>
      <c r="M3999" t="str">
        <f t="shared" si="251"/>
        <v>NEW-STO</v>
      </c>
    </row>
    <row r="4000" spans="1:13" ht="14.25" customHeight="true">
      <c r="A4000" s="33" t="str">
        <f t="shared" si="248"/>
        <v>STO - Intercompany</v>
      </c>
      <c r="B4000" s="33" t="str">
        <f t="shared" si="249"/>
        <v>STO</v>
      </c>
      <c r="C4000" s="33" t="str">
        <f t="shared" si="250"/>
        <v>11307-0000</v>
      </c>
      <c r="D4000" t="s">
        <v>28128</v>
      </c>
      <c r="E4000" t="s">
        <v>14096</v>
      </c>
      <c r="F4000" t="s">
        <v>14039</v>
      </c>
      <c r="G4000" t="s">
        <v>14672</v>
      </c>
      <c r="H4000" t="s">
        <v>13869</v>
      </c>
      <c r="I4000" t="s">
        <v>14690</v>
      </c>
      <c r="J4000" s="62">
        <v>0</v>
      </c>
      <c r="K4000" s="62">
        <v>0</v>
      </c>
      <c r="L4000" t="str">
        <f>VLOOKUP(VALUE(LEFT(C4000,5)),Xref!A:B,2,0)</f>
        <v>NES</v>
      </c>
      <c r="M4000" t="str">
        <f t="shared" si="251"/>
        <v>NES-STO</v>
      </c>
    </row>
    <row r="4001" spans="1:13" ht="14.25" customHeight="true">
      <c r="A4001" s="33" t="str">
        <f t="shared" si="248"/>
        <v>STO - Intercompany</v>
      </c>
      <c r="B4001" s="33" t="str">
        <f t="shared" si="249"/>
        <v>STO</v>
      </c>
      <c r="C4001" s="33" t="str">
        <f t="shared" si="250"/>
        <v>11308-0000</v>
      </c>
      <c r="D4001" t="s">
        <v>28129</v>
      </c>
      <c r="E4001" t="s">
        <v>13476</v>
      </c>
      <c r="F4001" t="s">
        <v>14039</v>
      </c>
      <c r="G4001" t="s">
        <v>14672</v>
      </c>
      <c r="H4001" t="s">
        <v>13869</v>
      </c>
      <c r="I4001" t="s">
        <v>14690</v>
      </c>
      <c r="J4001" s="62">
        <v>0</v>
      </c>
      <c r="K4001" s="62">
        <v>0</v>
      </c>
      <c r="L4001" t="str">
        <f>VLOOKUP(VALUE(LEFT(C4001,5)),Xref!A:B,2,0)</f>
        <v>LPI</v>
      </c>
      <c r="M4001" t="str">
        <f t="shared" si="251"/>
        <v>LPI-STO</v>
      </c>
    </row>
    <row r="4002" spans="1:13" ht="14.25" customHeight="true">
      <c r="A4002" s="33" t="str">
        <f t="shared" si="248"/>
        <v>STO - Intercompany</v>
      </c>
      <c r="B4002" s="33" t="str">
        <f t="shared" si="249"/>
        <v>STO</v>
      </c>
      <c r="C4002" s="33" t="str">
        <f t="shared" si="250"/>
        <v>11309-0000</v>
      </c>
      <c r="D4002" t="s">
        <v>28130</v>
      </c>
      <c r="E4002" t="s">
        <v>13230</v>
      </c>
      <c r="F4002" t="s">
        <v>14039</v>
      </c>
      <c r="G4002" t="s">
        <v>14672</v>
      </c>
      <c r="H4002" t="s">
        <v>13869</v>
      </c>
      <c r="I4002" t="s">
        <v>14690</v>
      </c>
      <c r="J4002" s="62">
        <v>0</v>
      </c>
      <c r="K4002" s="62">
        <v>0</v>
      </c>
      <c r="L4002" t="str">
        <f>VLOOKUP(VALUE(LEFT(C4002,5)),Xref!A:B,2,0)</f>
        <v>GPI</v>
      </c>
      <c r="M4002" t="str">
        <f t="shared" si="251"/>
        <v>GPI-STO</v>
      </c>
    </row>
    <row r="4003" spans="1:13" ht="14.25" customHeight="true">
      <c r="A4003" s="33" t="str">
        <f t="shared" si="248"/>
        <v>STO - Intercompany</v>
      </c>
      <c r="B4003" s="33" t="str">
        <f t="shared" si="249"/>
        <v>STO</v>
      </c>
      <c r="C4003" s="33" t="str">
        <f t="shared" si="250"/>
        <v>11310-0000</v>
      </c>
      <c r="D4003" t="s">
        <v>2703</v>
      </c>
      <c r="E4003" t="s">
        <v>13231</v>
      </c>
      <c r="F4003" t="s">
        <v>14039</v>
      </c>
      <c r="G4003" t="s">
        <v>14672</v>
      </c>
      <c r="H4003" t="s">
        <v>13869</v>
      </c>
      <c r="I4003" t="s">
        <v>14690</v>
      </c>
      <c r="J4003" s="62">
        <v>0</v>
      </c>
      <c r="K4003" s="62">
        <v>-70000</v>
      </c>
      <c r="L4003" t="str">
        <f>VLOOKUP(VALUE(LEFT(C4003,5)),Xref!A:B,2,0)</f>
        <v>ALP</v>
      </c>
      <c r="M4003" t="str">
        <f t="shared" si="251"/>
        <v>ALP-STO</v>
      </c>
    </row>
    <row r="4004" spans="1:13" ht="14.25" customHeight="true">
      <c r="A4004" s="33" t="str">
        <f t="shared" si="248"/>
        <v>STO - Intercompany</v>
      </c>
      <c r="B4004" s="33" t="str">
        <f t="shared" si="249"/>
        <v>STO</v>
      </c>
      <c r="C4004" s="33" t="str">
        <f t="shared" si="250"/>
        <v>11311-0000</v>
      </c>
      <c r="D4004" t="s">
        <v>2704</v>
      </c>
      <c r="E4004" t="s">
        <v>13232</v>
      </c>
      <c r="F4004" t="s">
        <v>14039</v>
      </c>
      <c r="G4004" t="s">
        <v>14672</v>
      </c>
      <c r="H4004" t="s">
        <v>13869</v>
      </c>
      <c r="I4004" t="s">
        <v>14690</v>
      </c>
      <c r="J4004" s="62">
        <v>0</v>
      </c>
      <c r="K4004" s="62">
        <v>-80000</v>
      </c>
      <c r="L4004" t="str">
        <f>VLOOKUP(VALUE(LEFT(C4004,5)),Xref!A:B,2,0)</f>
        <v>BET</v>
      </c>
      <c r="M4004" t="str">
        <f t="shared" si="251"/>
        <v>BET-STO</v>
      </c>
    </row>
    <row r="4005" spans="1:13" ht="14.25" customHeight="true">
      <c r="A4005" s="33" t="str">
        <f t="shared" si="248"/>
        <v>STO - Intercompany</v>
      </c>
      <c r="B4005" s="33" t="str">
        <f t="shared" si="249"/>
        <v>STO</v>
      </c>
      <c r="C4005" s="33" t="str">
        <f t="shared" si="250"/>
        <v>11312-0000</v>
      </c>
      <c r="D4005" t="s">
        <v>28131</v>
      </c>
      <c r="E4005" t="s">
        <v>14102</v>
      </c>
      <c r="F4005" t="s">
        <v>14039</v>
      </c>
      <c r="G4005" t="s">
        <v>14672</v>
      </c>
      <c r="H4005" t="s">
        <v>13869</v>
      </c>
      <c r="I4005" t="s">
        <v>14690</v>
      </c>
      <c r="J4005" s="62">
        <v>0</v>
      </c>
      <c r="K4005" s="62">
        <v>0</v>
      </c>
      <c r="L4005" t="str">
        <f>VLOOKUP(VALUE(LEFT(C4005,5)),Xref!A:B,2,0)</f>
        <v>DEL</v>
      </c>
      <c r="M4005" t="str">
        <f t="shared" si="251"/>
        <v>DEL-STO</v>
      </c>
    </row>
    <row r="4006" spans="1:13" ht="14.25" customHeight="true">
      <c r="A4006" s="33" t="str">
        <f t="shared" si="248"/>
        <v>STO - Intercompany</v>
      </c>
      <c r="B4006" s="33" t="str">
        <f t="shared" si="249"/>
        <v>STO</v>
      </c>
      <c r="C4006" s="33" t="str">
        <f t="shared" si="250"/>
        <v>11313-0000</v>
      </c>
      <c r="D4006" t="s">
        <v>28132</v>
      </c>
      <c r="E4006" t="s">
        <v>13233</v>
      </c>
      <c r="F4006" t="s">
        <v>14039</v>
      </c>
      <c r="G4006" t="s">
        <v>14672</v>
      </c>
      <c r="H4006" t="s">
        <v>13869</v>
      </c>
      <c r="I4006" t="s">
        <v>14690</v>
      </c>
      <c r="J4006" s="62">
        <v>0</v>
      </c>
      <c r="K4006" s="62">
        <v>0</v>
      </c>
      <c r="L4006" t="str">
        <f>VLOOKUP(VALUE(LEFT(C4006,5)),Xref!A:B,2,0)</f>
        <v>DOL</v>
      </c>
      <c r="M4006" t="str">
        <f t="shared" si="251"/>
        <v>DOL-STO</v>
      </c>
    </row>
    <row r="4007" spans="1:13" ht="14.25" customHeight="true">
      <c r="A4007" s="33" t="str">
        <f t="shared" si="248"/>
        <v>STO - Intercompany</v>
      </c>
      <c r="B4007" s="33" t="str">
        <f t="shared" si="249"/>
        <v>STO</v>
      </c>
      <c r="C4007" s="33" t="str">
        <f t="shared" si="250"/>
        <v>11314-0000</v>
      </c>
      <c r="D4007" t="s">
        <v>28133</v>
      </c>
      <c r="E4007" t="s">
        <v>13351</v>
      </c>
      <c r="F4007" t="s">
        <v>14039</v>
      </c>
      <c r="G4007" t="s">
        <v>14672</v>
      </c>
      <c r="H4007" t="s">
        <v>13869</v>
      </c>
      <c r="I4007" t="s">
        <v>14690</v>
      </c>
      <c r="J4007" s="62">
        <v>0</v>
      </c>
      <c r="K4007" s="62">
        <v>0</v>
      </c>
      <c r="L4007" t="str">
        <f>VLOOKUP(VALUE(LEFT(C4007,5)),Xref!A:B,2,0)</f>
        <v>GRI</v>
      </c>
      <c r="M4007" t="str">
        <f t="shared" si="251"/>
        <v>GRI-STO</v>
      </c>
    </row>
    <row r="4008" spans="1:13" ht="14.25" customHeight="true">
      <c r="A4008" s="33" t="str">
        <f t="shared" si="248"/>
        <v>STO - Intercompany</v>
      </c>
      <c r="B4008" s="33" t="str">
        <f t="shared" si="249"/>
        <v>STO</v>
      </c>
      <c r="C4008" s="33" t="str">
        <f t="shared" si="250"/>
        <v>11315-0000</v>
      </c>
      <c r="D4008" t="s">
        <v>2706</v>
      </c>
      <c r="E4008" t="s">
        <v>13234</v>
      </c>
      <c r="F4008" t="s">
        <v>14039</v>
      </c>
      <c r="G4008" t="s">
        <v>14672</v>
      </c>
      <c r="H4008" t="s">
        <v>13869</v>
      </c>
      <c r="I4008" t="s">
        <v>14690</v>
      </c>
      <c r="J4008" s="62">
        <v>0</v>
      </c>
      <c r="K4008" s="62">
        <v>20000</v>
      </c>
      <c r="L4008" t="str">
        <f>VLOOKUP(VALUE(LEFT(C4008,5)),Xref!A:B,2,0)</f>
        <v>PUR</v>
      </c>
      <c r="M4008" t="str">
        <f t="shared" si="251"/>
        <v>PUR-STO</v>
      </c>
    </row>
    <row r="4009" spans="1:13" ht="14.25" customHeight="true">
      <c r="A4009" s="33" t="str">
        <f t="shared" si="248"/>
        <v>STO - Intercompany</v>
      </c>
      <c r="B4009" s="33" t="str">
        <f t="shared" si="249"/>
        <v>STO</v>
      </c>
      <c r="C4009" s="33" t="str">
        <f t="shared" si="250"/>
        <v>11316-0000</v>
      </c>
      <c r="D4009" t="s">
        <v>28134</v>
      </c>
      <c r="E4009" t="s">
        <v>13235</v>
      </c>
      <c r="F4009" t="s">
        <v>14039</v>
      </c>
      <c r="G4009" t="s">
        <v>14672</v>
      </c>
      <c r="H4009" t="s">
        <v>13869</v>
      </c>
      <c r="I4009" t="s">
        <v>14690</v>
      </c>
      <c r="J4009" s="62">
        <v>0</v>
      </c>
      <c r="K4009" s="62">
        <v>0</v>
      </c>
      <c r="L4009" t="str">
        <f>VLOOKUP(VALUE(LEFT(C4009,5)),Xref!A:B,2,0)</f>
        <v>VAL</v>
      </c>
      <c r="M4009" t="str">
        <f t="shared" si="251"/>
        <v>STO-VAL</v>
      </c>
    </row>
    <row r="4010" spans="1:13" ht="14.25" customHeight="true">
      <c r="A4010" s="33" t="str">
        <f t="shared" si="248"/>
        <v>STO - Intercompany</v>
      </c>
      <c r="B4010" s="33" t="str">
        <f t="shared" si="249"/>
        <v>STO</v>
      </c>
      <c r="C4010" s="33" t="str">
        <f t="shared" si="250"/>
        <v>11317-0000</v>
      </c>
      <c r="D4010" t="s">
        <v>2707</v>
      </c>
      <c r="E4010" t="s">
        <v>13352</v>
      </c>
      <c r="F4010" t="s">
        <v>14039</v>
      </c>
      <c r="G4010" t="s">
        <v>14672</v>
      </c>
      <c r="H4010" t="s">
        <v>13869</v>
      </c>
      <c r="I4010" t="s">
        <v>14690</v>
      </c>
      <c r="J4010" s="62">
        <v>0</v>
      </c>
      <c r="K4010" s="62">
        <v>-100000</v>
      </c>
      <c r="L4010" t="str">
        <f>VLOOKUP(VALUE(LEFT(C4010,5)),Xref!A:B,2,0)</f>
        <v>AKG</v>
      </c>
      <c r="M4010" t="str">
        <f t="shared" si="251"/>
        <v>AKG-STO</v>
      </c>
    </row>
    <row r="4011" spans="1:13" ht="14.25" customHeight="true">
      <c r="A4011" s="33" t="str">
        <f t="shared" si="248"/>
        <v>STO - Intercompany</v>
      </c>
      <c r="B4011" s="33" t="str">
        <f t="shared" si="249"/>
        <v>STO</v>
      </c>
      <c r="C4011" s="33" t="str">
        <f t="shared" si="250"/>
        <v>11318-0000</v>
      </c>
      <c r="D4011" t="s">
        <v>28135</v>
      </c>
      <c r="E4011" t="s">
        <v>13477</v>
      </c>
      <c r="F4011" t="s">
        <v>14039</v>
      </c>
      <c r="G4011" t="s">
        <v>14672</v>
      </c>
      <c r="H4011" t="s">
        <v>13869</v>
      </c>
      <c r="I4011" t="s">
        <v>14690</v>
      </c>
      <c r="J4011" s="62">
        <v>0</v>
      </c>
      <c r="K4011" s="62">
        <v>0</v>
      </c>
      <c r="L4011" t="str">
        <f>VLOOKUP(VALUE(LEFT(C4011,5)),Xref!A:B,2,0)</f>
        <v>FIR</v>
      </c>
      <c r="M4011" t="str">
        <f t="shared" si="251"/>
        <v>FIR-STO</v>
      </c>
    </row>
    <row r="4012" spans="1:13" ht="14.25" customHeight="true">
      <c r="A4012" s="33" t="str">
        <f t="shared" si="248"/>
        <v>STO - Intercompany</v>
      </c>
      <c r="B4012" s="33" t="str">
        <f t="shared" si="249"/>
        <v>STO</v>
      </c>
      <c r="C4012" s="33" t="str">
        <f t="shared" si="250"/>
        <v>11319-0000</v>
      </c>
      <c r="D4012" t="s">
        <v>28136</v>
      </c>
      <c r="E4012" t="s">
        <v>266</v>
      </c>
      <c r="F4012" t="s">
        <v>14039</v>
      </c>
      <c r="G4012" t="s">
        <v>14672</v>
      </c>
      <c r="H4012" t="s">
        <v>13869</v>
      </c>
      <c r="I4012" t="s">
        <v>14690</v>
      </c>
      <c r="J4012" s="62">
        <v>0</v>
      </c>
      <c r="K4012" s="62">
        <v>0</v>
      </c>
      <c r="L4012" t="str">
        <f>VLOOKUP(VALUE(LEFT(C4012,5)),Xref!A:B,2,0)</f>
        <v>GST</v>
      </c>
      <c r="M4012" t="str">
        <f t="shared" si="251"/>
        <v>GST-STO</v>
      </c>
    </row>
    <row r="4013" spans="1:13" ht="14.25" customHeight="true">
      <c r="A4013" s="33" t="str">
        <f t="shared" si="248"/>
        <v>STO - Intercompany</v>
      </c>
      <c r="B4013" s="33" t="str">
        <f t="shared" si="249"/>
        <v>STO</v>
      </c>
      <c r="C4013" s="33" t="str">
        <f t="shared" si="250"/>
        <v>11320-0000</v>
      </c>
      <c r="D4013" t="s">
        <v>2709</v>
      </c>
      <c r="E4013" t="s">
        <v>14111</v>
      </c>
      <c r="F4013" t="s">
        <v>14039</v>
      </c>
      <c r="G4013" t="s">
        <v>14672</v>
      </c>
      <c r="H4013" t="s">
        <v>13869</v>
      </c>
      <c r="I4013" t="s">
        <v>14690</v>
      </c>
      <c r="J4013" s="62">
        <v>0</v>
      </c>
      <c r="K4013" s="62">
        <v>-11000</v>
      </c>
      <c r="L4013" t="str">
        <f>VLOOKUP(VALUE(LEFT(C4013,5)),Xref!A:B,2,0)</f>
        <v>HDN</v>
      </c>
      <c r="M4013" t="str">
        <f t="shared" si="251"/>
        <v>HDN-STO</v>
      </c>
    </row>
    <row r="4014" spans="1:13" ht="14.25" customHeight="true">
      <c r="A4014" s="33" t="str">
        <f t="shared" si="248"/>
        <v>STO - Intercompany</v>
      </c>
      <c r="B4014" s="33" t="str">
        <f t="shared" si="249"/>
        <v>STO</v>
      </c>
      <c r="C4014" s="33" t="str">
        <f t="shared" si="250"/>
        <v>11321-0000</v>
      </c>
      <c r="D4014" t="s">
        <v>2710</v>
      </c>
      <c r="E4014" t="s">
        <v>13236</v>
      </c>
      <c r="F4014" t="s">
        <v>14039</v>
      </c>
      <c r="G4014" t="s">
        <v>14672</v>
      </c>
      <c r="H4014" t="s">
        <v>13869</v>
      </c>
      <c r="I4014" t="s">
        <v>14690</v>
      </c>
      <c r="J4014" s="62">
        <v>0</v>
      </c>
      <c r="K4014" s="62">
        <v>10000</v>
      </c>
      <c r="L4014" t="str">
        <f>VLOOKUP(VALUE(LEFT(C4014,5)),Xref!A:B,2,0)</f>
        <v>OVA</v>
      </c>
      <c r="M4014" t="str">
        <f t="shared" si="251"/>
        <v>OVA-STO</v>
      </c>
    </row>
    <row r="4015" spans="1:13" ht="14.25" customHeight="true">
      <c r="A4015" s="33" t="str">
        <f t="shared" si="248"/>
        <v>STO - Intercompany</v>
      </c>
      <c r="B4015" s="33" t="str">
        <f t="shared" si="249"/>
        <v>STO</v>
      </c>
      <c r="C4015" s="33" t="str">
        <f t="shared" si="250"/>
        <v>11322-0000</v>
      </c>
      <c r="D4015" t="s">
        <v>28137</v>
      </c>
      <c r="E4015" t="s">
        <v>13237</v>
      </c>
      <c r="F4015" t="s">
        <v>14039</v>
      </c>
      <c r="G4015" t="s">
        <v>14672</v>
      </c>
      <c r="H4015" t="s">
        <v>13869</v>
      </c>
      <c r="I4015" t="s">
        <v>14690</v>
      </c>
      <c r="J4015" s="62">
        <v>0</v>
      </c>
      <c r="K4015" s="62">
        <v>0</v>
      </c>
      <c r="L4015" t="str">
        <f>VLOOKUP(VALUE(LEFT(C4015,5)),Xref!A:B,2,0)</f>
        <v>WOO</v>
      </c>
      <c r="M4015" t="str">
        <f t="shared" si="251"/>
        <v>STO-WOO</v>
      </c>
    </row>
    <row r="4016" spans="1:13" ht="14.25" customHeight="true">
      <c r="A4016" s="33" t="str">
        <f t="shared" si="248"/>
        <v>STO - Intercompany</v>
      </c>
      <c r="B4016" s="33" t="str">
        <f t="shared" si="249"/>
        <v>STO</v>
      </c>
      <c r="C4016" s="33" t="str">
        <f t="shared" si="250"/>
        <v>11323-0000</v>
      </c>
      <c r="D4016" t="s">
        <v>28138</v>
      </c>
      <c r="E4016" t="s">
        <v>13478</v>
      </c>
      <c r="F4016" t="s">
        <v>14039</v>
      </c>
      <c r="G4016" t="s">
        <v>14672</v>
      </c>
      <c r="H4016" t="s">
        <v>13869</v>
      </c>
      <c r="I4016" t="s">
        <v>14690</v>
      </c>
      <c r="J4016" s="62">
        <v>0</v>
      </c>
      <c r="K4016" s="62">
        <v>0</v>
      </c>
      <c r="L4016" t="str">
        <f>VLOOKUP(VALUE(LEFT(C4016,5)),Xref!A:B,2,0)</f>
        <v>SPI</v>
      </c>
      <c r="M4016" t="str">
        <f t="shared" si="251"/>
        <v>SPI-STO</v>
      </c>
    </row>
    <row r="4017" spans="1:13" ht="14.25" customHeight="true">
      <c r="A4017" s="33" t="str">
        <f t="shared" si="248"/>
        <v>STO - Intercompany</v>
      </c>
      <c r="B4017" s="33" t="str">
        <f t="shared" si="249"/>
        <v>STO</v>
      </c>
      <c r="C4017" s="33" t="str">
        <f t="shared" si="250"/>
        <v>11324-0000</v>
      </c>
      <c r="D4017" t="s">
        <v>28139</v>
      </c>
      <c r="E4017" t="s">
        <v>13238</v>
      </c>
      <c r="F4017" t="s">
        <v>14039</v>
      </c>
      <c r="G4017" t="s">
        <v>14672</v>
      </c>
      <c r="H4017" t="s">
        <v>13869</v>
      </c>
      <c r="I4017" t="s">
        <v>14690</v>
      </c>
      <c r="J4017" s="62">
        <v>0</v>
      </c>
      <c r="K4017" s="62">
        <v>0</v>
      </c>
      <c r="L4017" t="str">
        <f>VLOOKUP(VALUE(LEFT(C4017,5)),Xref!A:B,2,0)</f>
        <v>NET</v>
      </c>
      <c r="M4017" t="str">
        <f t="shared" si="251"/>
        <v>NET-STO</v>
      </c>
    </row>
    <row r="4018" spans="1:13" ht="14.25" customHeight="true">
      <c r="A4018" s="33" t="str">
        <f t="shared" si="248"/>
        <v>STO - Intercompany</v>
      </c>
      <c r="B4018" s="33" t="str">
        <f t="shared" si="249"/>
        <v>STO</v>
      </c>
      <c r="C4018" s="33" t="str">
        <f t="shared" si="250"/>
        <v>11325-0000</v>
      </c>
      <c r="D4018" t="s">
        <v>28140</v>
      </c>
      <c r="E4018" t="s">
        <v>13239</v>
      </c>
      <c r="F4018" t="s">
        <v>14039</v>
      </c>
      <c r="G4018" t="s">
        <v>14672</v>
      </c>
      <c r="H4018" t="s">
        <v>13869</v>
      </c>
      <c r="I4018" t="s">
        <v>14690</v>
      </c>
      <c r="J4018" s="62">
        <v>0</v>
      </c>
      <c r="K4018" s="62">
        <v>0</v>
      </c>
      <c r="L4018" t="str">
        <f>VLOOKUP(VALUE(LEFT(C4018,5)),Xref!A:B,2,0)</f>
        <v>DPI</v>
      </c>
      <c r="M4018" t="str">
        <f t="shared" si="251"/>
        <v>DPI-STO</v>
      </c>
    </row>
    <row r="4019" spans="1:13" ht="14.25" customHeight="true">
      <c r="A4019" s="33" t="str">
        <f t="shared" si="248"/>
        <v>STO - Intercompany</v>
      </c>
      <c r="B4019" s="33" t="str">
        <f t="shared" si="249"/>
        <v>STO</v>
      </c>
      <c r="C4019" s="33" t="str">
        <f t="shared" si="250"/>
        <v>11326-0000</v>
      </c>
      <c r="D4019" t="s">
        <v>2711</v>
      </c>
      <c r="E4019" t="s">
        <v>13240</v>
      </c>
      <c r="F4019" t="s">
        <v>14039</v>
      </c>
      <c r="G4019" t="s">
        <v>14672</v>
      </c>
      <c r="H4019" t="s">
        <v>13869</v>
      </c>
      <c r="I4019" t="s">
        <v>14690</v>
      </c>
      <c r="J4019" s="62">
        <v>0</v>
      </c>
      <c r="K4019" s="62">
        <v>-80000</v>
      </c>
      <c r="L4019" t="str">
        <f>VLOOKUP(VALUE(LEFT(C4019,5)),Xref!A:B,2,0)</f>
        <v>SEK</v>
      </c>
      <c r="M4019" t="str">
        <f t="shared" si="251"/>
        <v>SEK-STO</v>
      </c>
    </row>
    <row r="4020" spans="1:13" ht="14.25" customHeight="true">
      <c r="A4020" s="33" t="str">
        <f t="shared" si="248"/>
        <v>STO - Intercompany</v>
      </c>
      <c r="B4020" s="33" t="str">
        <f t="shared" si="249"/>
        <v>STO</v>
      </c>
      <c r="C4020" s="33" t="str">
        <f t="shared" si="250"/>
        <v>11327-0000</v>
      </c>
      <c r="D4020" t="s">
        <v>28141</v>
      </c>
      <c r="E4020" t="s">
        <v>14119</v>
      </c>
      <c r="F4020" t="s">
        <v>14039</v>
      </c>
      <c r="G4020" t="s">
        <v>14672</v>
      </c>
      <c r="H4020" t="s">
        <v>13869</v>
      </c>
      <c r="I4020" t="s">
        <v>14690</v>
      </c>
      <c r="J4020" s="62">
        <v>0</v>
      </c>
      <c r="K4020" s="62">
        <v>0</v>
      </c>
      <c r="L4020" t="str">
        <f>VLOOKUP(VALUE(LEFT(C4020,5)),Xref!A:B,2,0)</f>
        <v>CPI</v>
      </c>
      <c r="M4020" t="str">
        <f t="shared" si="251"/>
        <v>CPI-STO</v>
      </c>
    </row>
    <row r="4021" spans="1:13" ht="14.25" customHeight="true">
      <c r="A4021" s="33" t="str">
        <f t="shared" si="248"/>
        <v>STO - Intercompany</v>
      </c>
      <c r="B4021" s="33" t="str">
        <f t="shared" si="249"/>
        <v>STO</v>
      </c>
      <c r="C4021" s="33" t="str">
        <f t="shared" si="250"/>
        <v>11328-0000</v>
      </c>
      <c r="D4021" t="s">
        <v>28142</v>
      </c>
      <c r="E4021" t="s">
        <v>13241</v>
      </c>
      <c r="F4021" t="s">
        <v>14039</v>
      </c>
      <c r="G4021" t="s">
        <v>14672</v>
      </c>
      <c r="H4021" t="s">
        <v>13869</v>
      </c>
      <c r="I4021" t="s">
        <v>14690</v>
      </c>
      <c r="J4021" s="62">
        <v>0</v>
      </c>
      <c r="K4021" s="62">
        <v>0</v>
      </c>
      <c r="L4021" t="str">
        <f>VLOOKUP(VALUE(LEFT(C4021,5)),Xref!A:B,2,0)</f>
        <v>LOM</v>
      </c>
      <c r="M4021" t="str">
        <f t="shared" si="251"/>
        <v>LOM-STO</v>
      </c>
    </row>
    <row r="4022" spans="1:13" ht="14.25" customHeight="true">
      <c r="A4022" s="33" t="str">
        <f t="shared" si="248"/>
        <v>STO - Intercompany</v>
      </c>
      <c r="B4022" s="33" t="str">
        <f t="shared" si="249"/>
        <v>STO</v>
      </c>
      <c r="C4022" s="33" t="str">
        <f t="shared" si="250"/>
        <v>11329-0000</v>
      </c>
      <c r="D4022" t="s">
        <v>2712</v>
      </c>
      <c r="E4022" t="s">
        <v>13353</v>
      </c>
      <c r="F4022" t="s">
        <v>14039</v>
      </c>
      <c r="G4022" t="s">
        <v>14672</v>
      </c>
      <c r="H4022" t="s">
        <v>13869</v>
      </c>
      <c r="I4022" t="s">
        <v>14690</v>
      </c>
      <c r="J4022" s="62">
        <v>0</v>
      </c>
      <c r="K4022" s="62">
        <v>-17000</v>
      </c>
      <c r="L4022" t="str">
        <f>VLOOKUP(VALUE(LEFT(C4022,5)),Xref!A:B,2,0)</f>
        <v>AKS</v>
      </c>
      <c r="M4022" t="str">
        <f t="shared" si="251"/>
        <v>AKS-STO</v>
      </c>
    </row>
    <row r="4023" spans="1:13" ht="14.25" customHeight="true">
      <c r="A4023" s="33" t="str">
        <f t="shared" si="248"/>
        <v>STO - Intercompany</v>
      </c>
      <c r="B4023" s="33" t="str">
        <f t="shared" si="249"/>
        <v>STO</v>
      </c>
      <c r="C4023" s="33" t="str">
        <f t="shared" si="250"/>
        <v>11330-0000</v>
      </c>
      <c r="D4023" t="s">
        <v>28143</v>
      </c>
      <c r="E4023" t="s">
        <v>13242</v>
      </c>
      <c r="F4023" t="s">
        <v>14039</v>
      </c>
      <c r="G4023" t="s">
        <v>14672</v>
      </c>
      <c r="H4023" t="s">
        <v>13869</v>
      </c>
      <c r="I4023" t="s">
        <v>14690</v>
      </c>
      <c r="J4023" s="62">
        <v>0</v>
      </c>
      <c r="K4023" s="62">
        <v>0</v>
      </c>
      <c r="L4023" t="str">
        <f>VLOOKUP(VALUE(LEFT(C4023,5)),Xref!A:B,2,0)</f>
        <v>MAR</v>
      </c>
      <c r="M4023" t="str">
        <f t="shared" si="251"/>
        <v>MAR-STO</v>
      </c>
    </row>
    <row r="4024" spans="1:13" ht="14.25" customHeight="true">
      <c r="A4024" s="33" t="str">
        <f t="shared" si="248"/>
        <v>STO - Intercompany</v>
      </c>
      <c r="B4024" s="33" t="str">
        <f t="shared" si="249"/>
        <v>STO</v>
      </c>
      <c r="C4024" s="33" t="str">
        <f t="shared" si="250"/>
        <v>11331-0000</v>
      </c>
      <c r="D4024" t="s">
        <v>28144</v>
      </c>
      <c r="E4024" t="s">
        <v>13354</v>
      </c>
      <c r="F4024" t="s">
        <v>14039</v>
      </c>
      <c r="G4024" t="s">
        <v>14672</v>
      </c>
      <c r="H4024" t="s">
        <v>13869</v>
      </c>
      <c r="I4024" t="s">
        <v>14690</v>
      </c>
      <c r="J4024" s="62">
        <v>0</v>
      </c>
      <c r="K4024" s="62">
        <v>0</v>
      </c>
      <c r="L4024" t="str">
        <f>VLOOKUP(VALUE(LEFT(C4024,5)),Xref!A:B,2,0)</f>
        <v>WIL</v>
      </c>
      <c r="M4024" t="str">
        <f t="shared" si="251"/>
        <v>STO-WIL</v>
      </c>
    </row>
    <row r="4025" spans="1:13" ht="14.25" customHeight="true">
      <c r="A4025" s="33" t="str">
        <f t="shared" si="248"/>
        <v>STO - Intercompany</v>
      </c>
      <c r="B4025" s="33" t="str">
        <f t="shared" si="249"/>
        <v>STO</v>
      </c>
      <c r="C4025" s="33" t="str">
        <f t="shared" si="250"/>
        <v>11332-0000</v>
      </c>
      <c r="D4025" t="s">
        <v>28145</v>
      </c>
      <c r="E4025" t="s">
        <v>13243</v>
      </c>
      <c r="F4025" t="s">
        <v>14039</v>
      </c>
      <c r="G4025" t="s">
        <v>14672</v>
      </c>
      <c r="H4025" t="s">
        <v>13869</v>
      </c>
      <c r="I4025" t="s">
        <v>14690</v>
      </c>
      <c r="J4025" s="62">
        <v>0</v>
      </c>
      <c r="K4025" s="62">
        <v>0</v>
      </c>
      <c r="L4025" t="str">
        <f>VLOOKUP(VALUE(LEFT(C4025,5)),Xref!A:B,2,0)</f>
        <v>STO</v>
      </c>
      <c r="M4025" t="str">
        <f t="shared" si="251"/>
        <v>STO-STO</v>
      </c>
    </row>
    <row r="4026" spans="1:13" ht="14.25" customHeight="true">
      <c r="A4026" s="33" t="str">
        <f t="shared" si="248"/>
        <v>STO - Intercompany</v>
      </c>
      <c r="B4026" s="33" t="str">
        <f t="shared" si="249"/>
        <v>STO</v>
      </c>
      <c r="C4026" s="33" t="str">
        <f t="shared" si="250"/>
        <v>11333-0000</v>
      </c>
      <c r="D4026" t="s">
        <v>28146</v>
      </c>
      <c r="E4026" t="s">
        <v>13244</v>
      </c>
      <c r="F4026" t="s">
        <v>14039</v>
      </c>
      <c r="G4026" t="s">
        <v>14672</v>
      </c>
      <c r="H4026" t="s">
        <v>13869</v>
      </c>
      <c r="I4026" t="s">
        <v>14690</v>
      </c>
      <c r="J4026" s="62">
        <v>0</v>
      </c>
      <c r="K4026" s="62">
        <v>0</v>
      </c>
      <c r="L4026" t="str">
        <f>VLOOKUP(VALUE(LEFT(C4026,5)),Xref!A:B,2,0)</f>
        <v>ANG</v>
      </c>
      <c r="M4026" t="str">
        <f t="shared" si="251"/>
        <v>ANG-STO</v>
      </c>
    </row>
    <row r="4027" spans="1:13" ht="14.25" customHeight="true">
      <c r="A4027" s="33" t="str">
        <f t="shared" si="248"/>
        <v>STO - Intercompany</v>
      </c>
      <c r="B4027" s="33" t="str">
        <f t="shared" si="249"/>
        <v>STO</v>
      </c>
      <c r="C4027" s="33" t="str">
        <f t="shared" si="250"/>
        <v>11334-0000</v>
      </c>
      <c r="D4027" t="s">
        <v>2713</v>
      </c>
      <c r="E4027" t="s">
        <v>13245</v>
      </c>
      <c r="F4027" t="s">
        <v>14039</v>
      </c>
      <c r="G4027" t="s">
        <v>14672</v>
      </c>
      <c r="H4027" t="s">
        <v>13869</v>
      </c>
      <c r="I4027" t="s">
        <v>14690</v>
      </c>
      <c r="J4027" s="62">
        <v>0</v>
      </c>
      <c r="K4027" s="62">
        <v>10000</v>
      </c>
      <c r="L4027" t="str">
        <f>VLOOKUP(VALUE(LEFT(C4027,5)),Xref!A:B,2,0)</f>
        <v>BRU</v>
      </c>
      <c r="M4027" t="str">
        <f t="shared" si="251"/>
        <v>BRU-STO</v>
      </c>
    </row>
    <row r="4028" spans="1:13" ht="14.25" customHeight="true">
      <c r="A4028" s="33" t="str">
        <f t="shared" si="248"/>
        <v>STO - Intercompany</v>
      </c>
      <c r="B4028" s="33" t="str">
        <f t="shared" si="249"/>
        <v>STO</v>
      </c>
      <c r="C4028" s="33" t="str">
        <f t="shared" si="250"/>
        <v>11335-0000</v>
      </c>
      <c r="D4028" t="s">
        <v>2714</v>
      </c>
      <c r="E4028" t="s">
        <v>13246</v>
      </c>
      <c r="F4028" t="s">
        <v>14039</v>
      </c>
      <c r="G4028" t="s">
        <v>14672</v>
      </c>
      <c r="H4028" t="s">
        <v>13869</v>
      </c>
      <c r="I4028" t="s">
        <v>14690</v>
      </c>
      <c r="J4028" s="62">
        <v>0</v>
      </c>
      <c r="K4028" s="62">
        <v>5000</v>
      </c>
      <c r="L4028" t="str">
        <f>VLOOKUP(VALUE(LEFT(C4028,5)),Xref!A:B,2,0)</f>
        <v>VEN</v>
      </c>
      <c r="M4028" t="str">
        <f t="shared" si="251"/>
        <v>STO-VEN</v>
      </c>
    </row>
    <row r="4029" spans="1:13" ht="14.25" customHeight="true">
      <c r="A4029" s="33" t="str">
        <f t="shared" si="248"/>
        <v>STO - Intercompany</v>
      </c>
      <c r="B4029" s="33" t="str">
        <f t="shared" si="249"/>
        <v>STO</v>
      </c>
      <c r="C4029" s="33" t="str">
        <f t="shared" si="250"/>
        <v>11336-0000</v>
      </c>
      <c r="D4029" t="s">
        <v>2715</v>
      </c>
      <c r="E4029" t="s">
        <v>13247</v>
      </c>
      <c r="F4029" t="s">
        <v>14039</v>
      </c>
      <c r="G4029" t="s">
        <v>14672</v>
      </c>
      <c r="H4029" t="s">
        <v>13869</v>
      </c>
      <c r="I4029" t="s">
        <v>14690</v>
      </c>
      <c r="J4029" s="62">
        <v>0</v>
      </c>
      <c r="K4029" s="62">
        <v>-3000</v>
      </c>
      <c r="L4029" t="str">
        <f>VLOOKUP(VALUE(LEFT(C4029,5)),Xref!A:B,2,0)</f>
        <v>SAT</v>
      </c>
      <c r="M4029" t="str">
        <f t="shared" si="251"/>
        <v>SAT-STO</v>
      </c>
    </row>
    <row r="4030" spans="1:13" ht="14.25" customHeight="true">
      <c r="A4030" s="33" t="str">
        <f t="shared" si="248"/>
        <v>STO - Intercompany</v>
      </c>
      <c r="B4030" s="33" t="str">
        <f t="shared" si="249"/>
        <v>STO</v>
      </c>
      <c r="C4030" s="33" t="str">
        <f t="shared" si="250"/>
        <v>11337-0000</v>
      </c>
      <c r="D4030" t="s">
        <v>2716</v>
      </c>
      <c r="E4030" t="s">
        <v>13248</v>
      </c>
      <c r="F4030" t="s">
        <v>14039</v>
      </c>
      <c r="G4030" t="s">
        <v>14672</v>
      </c>
      <c r="H4030" t="s">
        <v>13869</v>
      </c>
      <c r="I4030" t="s">
        <v>14690</v>
      </c>
      <c r="J4030" s="62">
        <v>0</v>
      </c>
      <c r="K4030" s="62">
        <v>-70000</v>
      </c>
      <c r="L4030" t="str">
        <f>VLOOKUP(VALUE(LEFT(C4030,5)),Xref!A:B,2,0)</f>
        <v>NEP</v>
      </c>
      <c r="M4030" t="str">
        <f t="shared" si="251"/>
        <v>NEP-STO</v>
      </c>
    </row>
    <row r="4031" spans="1:13" ht="14.25" customHeight="true">
      <c r="A4031" s="33" t="str">
        <f t="shared" si="248"/>
        <v>STO - Intercompany</v>
      </c>
      <c r="B4031" s="33" t="str">
        <f t="shared" si="249"/>
        <v>STO</v>
      </c>
      <c r="C4031" s="33" t="str">
        <f t="shared" si="250"/>
        <v>11338-0000</v>
      </c>
      <c r="D4031" t="s">
        <v>28147</v>
      </c>
      <c r="E4031" t="s">
        <v>14131</v>
      </c>
      <c r="F4031" t="s">
        <v>14039</v>
      </c>
      <c r="G4031" t="s">
        <v>14672</v>
      </c>
      <c r="H4031" t="s">
        <v>13869</v>
      </c>
      <c r="I4031" t="s">
        <v>14690</v>
      </c>
      <c r="J4031" s="62">
        <v>0</v>
      </c>
      <c r="K4031" s="62">
        <v>0</v>
      </c>
      <c r="L4031" t="str">
        <f>VLOOKUP(VALUE(LEFT(C4031,5)),Xref!A:B,2,0)</f>
        <v>JUP</v>
      </c>
      <c r="M4031" t="str">
        <f t="shared" si="251"/>
        <v>JUP-STO</v>
      </c>
    </row>
    <row r="4032" spans="1:13" ht="14.25" customHeight="true">
      <c r="A4032" s="33" t="str">
        <f t="shared" si="248"/>
        <v>STO - Intercompany</v>
      </c>
      <c r="B4032" s="33" t="str">
        <f t="shared" si="249"/>
        <v>STO</v>
      </c>
      <c r="C4032" s="33" t="str">
        <f t="shared" si="250"/>
        <v>11339-0000</v>
      </c>
      <c r="D4032" t="s">
        <v>28148</v>
      </c>
      <c r="E4032" t="s">
        <v>14133</v>
      </c>
      <c r="F4032" t="s">
        <v>14039</v>
      </c>
      <c r="G4032" t="s">
        <v>14672</v>
      </c>
      <c r="H4032" t="s">
        <v>13869</v>
      </c>
      <c r="I4032" t="s">
        <v>14690</v>
      </c>
      <c r="J4032" s="62">
        <v>0</v>
      </c>
      <c r="K4032" s="62">
        <v>0</v>
      </c>
      <c r="L4032" t="str">
        <f>VLOOKUP(VALUE(LEFT(C4032,5)),Xref!A:B,2,0)</f>
        <v>WES</v>
      </c>
      <c r="M4032" t="str">
        <f t="shared" si="251"/>
        <v>STO-WES</v>
      </c>
    </row>
    <row r="4033" spans="1:13" ht="14.25" customHeight="true">
      <c r="A4033" s="33" t="str">
        <f t="shared" si="248"/>
        <v>STO - Intercompany</v>
      </c>
      <c r="B4033" s="33" t="str">
        <f t="shared" si="249"/>
        <v>STO</v>
      </c>
      <c r="C4033" s="33" t="str">
        <f t="shared" si="250"/>
        <v>11340-0000</v>
      </c>
      <c r="D4033" t="s">
        <v>28149</v>
      </c>
      <c r="E4033" t="s">
        <v>14135</v>
      </c>
      <c r="F4033" t="s">
        <v>14039</v>
      </c>
      <c r="G4033" t="s">
        <v>14672</v>
      </c>
      <c r="H4033" t="s">
        <v>13869</v>
      </c>
      <c r="I4033" t="s">
        <v>14690</v>
      </c>
      <c r="J4033" s="62">
        <v>0</v>
      </c>
      <c r="K4033" s="62">
        <v>0</v>
      </c>
      <c r="L4033" t="str">
        <f>VLOOKUP(VALUE(LEFT(C4033,5)),Xref!A:B,2,0)</f>
        <v>LCP</v>
      </c>
      <c r="M4033" t="str">
        <f t="shared" si="251"/>
        <v>LCP-STO</v>
      </c>
    </row>
    <row r="4034" spans="1:13" ht="14.25" customHeight="true">
      <c r="A4034" s="33" t="str">
        <f t="shared" ref="A4034:A4097" si="252">B4034&amp;" - "&amp;TRIM(H4034)</f>
        <v>STO - Intercompany</v>
      </c>
      <c r="B4034" s="33" t="str">
        <f t="shared" ref="B4034:B4097" si="253">LEFT(D4034,3)</f>
        <v>STO</v>
      </c>
      <c r="C4034" s="33" t="str">
        <f t="shared" ref="C4034:C4097" si="254">RIGHT(D4034,10)</f>
        <v>11341-0000</v>
      </c>
      <c r="D4034" t="s">
        <v>28150</v>
      </c>
      <c r="E4034" t="s">
        <v>13639</v>
      </c>
      <c r="F4034" t="s">
        <v>14039</v>
      </c>
      <c r="G4034" t="s">
        <v>14672</v>
      </c>
      <c r="H4034" t="s">
        <v>13869</v>
      </c>
      <c r="I4034" t="s">
        <v>14690</v>
      </c>
      <c r="J4034" s="62">
        <v>0</v>
      </c>
      <c r="K4034" s="62">
        <v>0</v>
      </c>
      <c r="L4034" t="str">
        <f>VLOOKUP(VALUE(LEFT(C4034,5)),Xref!A:B,2,0)</f>
        <v>NOR</v>
      </c>
      <c r="M4034" t="str">
        <f t="shared" ref="M4034:M4097" si="255">IF(B4034&lt;L4034,B4034&amp;"-"&amp;L4034,L4034&amp;"-"&amp;B4034)</f>
        <v>NOR-STO</v>
      </c>
    </row>
    <row r="4035" spans="1:13" ht="14.25" customHeight="true">
      <c r="A4035" s="33" t="str">
        <f t="shared" si="252"/>
        <v>STO - Intercompany</v>
      </c>
      <c r="B4035" s="33" t="str">
        <f t="shared" si="253"/>
        <v>STO</v>
      </c>
      <c r="C4035" s="33" t="str">
        <f t="shared" si="254"/>
        <v>11342-0000</v>
      </c>
      <c r="D4035" t="s">
        <v>28151</v>
      </c>
      <c r="E4035" t="s">
        <v>13355</v>
      </c>
      <c r="F4035" t="s">
        <v>14039</v>
      </c>
      <c r="G4035" t="s">
        <v>14672</v>
      </c>
      <c r="H4035" t="s">
        <v>13869</v>
      </c>
      <c r="I4035" t="s">
        <v>14690</v>
      </c>
      <c r="J4035" s="62">
        <v>0</v>
      </c>
      <c r="K4035" s="62">
        <v>0</v>
      </c>
      <c r="L4035" t="str">
        <f>VLOOKUP(VALUE(LEFT(C4035,5)),Xref!A:B,2,0)</f>
        <v>EAS</v>
      </c>
      <c r="M4035" t="str">
        <f t="shared" si="255"/>
        <v>EAS-STO</v>
      </c>
    </row>
    <row r="4036" spans="1:13" ht="14.25" customHeight="true">
      <c r="A4036" s="33" t="str">
        <f t="shared" si="252"/>
        <v>STO - Intercompany</v>
      </c>
      <c r="B4036" s="33" t="str">
        <f t="shared" si="253"/>
        <v>STO</v>
      </c>
      <c r="C4036" s="33" t="str">
        <f t="shared" si="254"/>
        <v>11343-0000</v>
      </c>
      <c r="D4036" t="s">
        <v>28152</v>
      </c>
      <c r="E4036" t="s">
        <v>14139</v>
      </c>
      <c r="F4036" t="s">
        <v>14039</v>
      </c>
      <c r="G4036" t="s">
        <v>14672</v>
      </c>
      <c r="H4036" t="s">
        <v>13869</v>
      </c>
      <c r="I4036" t="s">
        <v>14690</v>
      </c>
      <c r="J4036" s="62">
        <v>0</v>
      </c>
      <c r="K4036" s="62">
        <v>0</v>
      </c>
      <c r="L4036" t="str">
        <f>VLOOKUP(VALUE(LEFT(C4036,5)),Xref!A:B,2,0)</f>
        <v>GRA</v>
      </c>
      <c r="M4036" t="str">
        <f t="shared" si="255"/>
        <v>GRA-STO</v>
      </c>
    </row>
    <row r="4037" spans="1:13" ht="14.25" customHeight="true">
      <c r="A4037" s="33" t="str">
        <f t="shared" si="252"/>
        <v>STO - Intercompany</v>
      </c>
      <c r="B4037" s="33" t="str">
        <f t="shared" si="253"/>
        <v>STO</v>
      </c>
      <c r="C4037" s="33" t="str">
        <f t="shared" si="254"/>
        <v>11344-0000</v>
      </c>
      <c r="D4037" t="s">
        <v>28153</v>
      </c>
      <c r="E4037" t="s">
        <v>14141</v>
      </c>
      <c r="F4037" t="s">
        <v>14039</v>
      </c>
      <c r="G4037" t="s">
        <v>14672</v>
      </c>
      <c r="H4037" t="s">
        <v>13869</v>
      </c>
      <c r="I4037" t="s">
        <v>14690</v>
      </c>
      <c r="J4037" s="62">
        <v>0</v>
      </c>
      <c r="K4037" s="62">
        <v>0</v>
      </c>
      <c r="L4037" t="str">
        <f>VLOOKUP(VALUE(LEFT(C4037,5)),Xref!A:B,2,0)</f>
        <v>SOU</v>
      </c>
      <c r="M4037" t="str">
        <f t="shared" si="255"/>
        <v>SOU-STO</v>
      </c>
    </row>
    <row r="4038" spans="1:13" ht="14.25" customHeight="true">
      <c r="A4038" s="33" t="str">
        <f t="shared" si="252"/>
        <v>STO - Intercompany</v>
      </c>
      <c r="B4038" s="33" t="str">
        <f t="shared" si="253"/>
        <v>STO</v>
      </c>
      <c r="C4038" s="33" t="str">
        <f t="shared" si="254"/>
        <v>11345-0000</v>
      </c>
      <c r="D4038" t="s">
        <v>28154</v>
      </c>
      <c r="E4038" t="s">
        <v>14143</v>
      </c>
      <c r="F4038" t="s">
        <v>14039</v>
      </c>
      <c r="G4038" t="s">
        <v>14672</v>
      </c>
      <c r="H4038" t="s">
        <v>13869</v>
      </c>
      <c r="I4038" t="s">
        <v>14690</v>
      </c>
      <c r="J4038" s="62">
        <v>0</v>
      </c>
      <c r="K4038" s="62">
        <v>0</v>
      </c>
      <c r="L4038" t="str">
        <f>VLOOKUP(VALUE(LEFT(C4038,5)),Xref!A:B,2,0)</f>
        <v>API</v>
      </c>
      <c r="M4038" t="str">
        <f t="shared" si="255"/>
        <v>API-STO</v>
      </c>
    </row>
    <row r="4039" spans="1:13" ht="14.25" customHeight="true">
      <c r="A4039" s="33" t="str">
        <f t="shared" si="252"/>
        <v>STO - Intercompany</v>
      </c>
      <c r="B4039" s="33" t="str">
        <f t="shared" si="253"/>
        <v>STO</v>
      </c>
      <c r="C4039" s="33" t="str">
        <f t="shared" si="254"/>
        <v>11346-0000</v>
      </c>
      <c r="D4039" t="s">
        <v>28155</v>
      </c>
      <c r="E4039" t="s">
        <v>14145</v>
      </c>
      <c r="F4039" t="s">
        <v>14039</v>
      </c>
      <c r="G4039" t="s">
        <v>14672</v>
      </c>
      <c r="H4039" t="s">
        <v>13869</v>
      </c>
      <c r="I4039" t="s">
        <v>14690</v>
      </c>
      <c r="J4039" s="62">
        <v>0</v>
      </c>
      <c r="K4039" s="62">
        <v>0</v>
      </c>
      <c r="L4039" t="str">
        <f>VLOOKUP(VALUE(LEFT(C4039,5)),Xref!A:B,2,0)</f>
        <v>DPH</v>
      </c>
      <c r="M4039" t="str">
        <f t="shared" si="255"/>
        <v>DPH-STO</v>
      </c>
    </row>
    <row r="4040" spans="1:13" ht="14.25" customHeight="true">
      <c r="A4040" s="33" t="str">
        <f t="shared" si="252"/>
        <v>STO - Intercompany</v>
      </c>
      <c r="B4040" s="33" t="str">
        <f t="shared" si="253"/>
        <v>STO</v>
      </c>
      <c r="C4040" s="33" t="str">
        <f t="shared" si="254"/>
        <v>11347-0000</v>
      </c>
      <c r="D4040" t="s">
        <v>28156</v>
      </c>
      <c r="E4040" t="s">
        <v>14147</v>
      </c>
      <c r="F4040" t="s">
        <v>14039</v>
      </c>
      <c r="G4040" t="s">
        <v>14672</v>
      </c>
      <c r="H4040" t="s">
        <v>13869</v>
      </c>
      <c r="I4040" t="s">
        <v>14690</v>
      </c>
      <c r="J4040" s="62">
        <v>0</v>
      </c>
      <c r="K4040" s="62">
        <v>0</v>
      </c>
      <c r="L4040" t="str">
        <f>VLOOKUP(VALUE(LEFT(C4040,5)),Xref!A:B,2,0)</f>
        <v>ZPI</v>
      </c>
      <c r="M4040" t="str">
        <f t="shared" si="255"/>
        <v>STO-ZPI</v>
      </c>
    </row>
    <row r="4041" spans="1:13" ht="14.25" customHeight="true">
      <c r="A4041" s="33" t="str">
        <f t="shared" si="252"/>
        <v>STO - Intercompany</v>
      </c>
      <c r="B4041" s="33" t="str">
        <f t="shared" si="253"/>
        <v>STO</v>
      </c>
      <c r="C4041" s="33" t="str">
        <f t="shared" si="254"/>
        <v>11348-0000</v>
      </c>
      <c r="D4041" t="s">
        <v>28157</v>
      </c>
      <c r="E4041" t="s">
        <v>14149</v>
      </c>
      <c r="F4041" t="s">
        <v>14039</v>
      </c>
      <c r="G4041" t="s">
        <v>14672</v>
      </c>
      <c r="H4041" t="s">
        <v>13869</v>
      </c>
      <c r="I4041" t="s">
        <v>14690</v>
      </c>
      <c r="J4041" s="62">
        <v>0</v>
      </c>
      <c r="K4041" s="62">
        <v>0</v>
      </c>
      <c r="L4041" t="str">
        <f>VLOOKUP(VALUE(LEFT(C4041,5)),Xref!A:B,2,0)</f>
        <v>EAM</v>
      </c>
      <c r="M4041" t="str">
        <f t="shared" si="255"/>
        <v>EAM-STO</v>
      </c>
    </row>
    <row r="4042" spans="1:13" ht="14.25" customHeight="true">
      <c r="A4042" s="33" t="str">
        <f t="shared" si="252"/>
        <v>STO - Intercompany</v>
      </c>
      <c r="B4042" s="33" t="str">
        <f t="shared" si="253"/>
        <v>STO</v>
      </c>
      <c r="C4042" s="33" t="str">
        <f t="shared" si="254"/>
        <v>11349-0000</v>
      </c>
      <c r="D4042" t="s">
        <v>28158</v>
      </c>
      <c r="E4042" t="s">
        <v>14151</v>
      </c>
      <c r="F4042" t="s">
        <v>14039</v>
      </c>
      <c r="G4042" t="s">
        <v>14672</v>
      </c>
      <c r="H4042" t="s">
        <v>13869</v>
      </c>
      <c r="I4042" t="s">
        <v>14690</v>
      </c>
      <c r="J4042" s="62">
        <v>0</v>
      </c>
      <c r="K4042" s="62">
        <v>0</v>
      </c>
      <c r="L4042" t="str">
        <f>VLOOKUP(VALUE(LEFT(C4042,5)),Xref!A:B,2,0)</f>
        <v>SEA</v>
      </c>
      <c r="M4042" t="str">
        <f t="shared" si="255"/>
        <v>SEA-STO</v>
      </c>
    </row>
    <row r="4043" spans="1:13" ht="14.25" customHeight="true">
      <c r="A4043" s="33" t="str">
        <f t="shared" si="252"/>
        <v>STO - Intercompany</v>
      </c>
      <c r="B4043" s="33" t="str">
        <f t="shared" si="253"/>
        <v>STO</v>
      </c>
      <c r="C4043" s="33" t="str">
        <f t="shared" si="254"/>
        <v>11350-0000</v>
      </c>
      <c r="D4043" t="s">
        <v>28159</v>
      </c>
      <c r="E4043" t="s">
        <v>14153</v>
      </c>
      <c r="F4043" t="s">
        <v>14039</v>
      </c>
      <c r="G4043" t="s">
        <v>14672</v>
      </c>
      <c r="H4043" t="s">
        <v>13869</v>
      </c>
      <c r="I4043" t="s">
        <v>14690</v>
      </c>
      <c r="J4043" s="62">
        <v>0</v>
      </c>
      <c r="K4043" s="62">
        <v>-10.76</v>
      </c>
      <c r="L4043" t="str">
        <f>VLOOKUP(VALUE(LEFT(C4043,5)),Xref!A:B,2,0)</f>
        <v>EAL</v>
      </c>
      <c r="M4043" t="str">
        <f t="shared" si="255"/>
        <v>EAL-STO</v>
      </c>
    </row>
    <row r="4044" spans="1:13" ht="14.25" customHeight="true">
      <c r="A4044" s="33" t="str">
        <f t="shared" si="252"/>
        <v>STO - Intercompany</v>
      </c>
      <c r="B4044" s="33" t="str">
        <f t="shared" si="253"/>
        <v>STO</v>
      </c>
      <c r="C4044" s="33" t="str">
        <f t="shared" si="254"/>
        <v>11351-0000</v>
      </c>
      <c r="D4044" t="s">
        <v>28160</v>
      </c>
      <c r="E4044" t="s">
        <v>14155</v>
      </c>
      <c r="F4044" t="s">
        <v>14039</v>
      </c>
      <c r="G4044" t="s">
        <v>14672</v>
      </c>
      <c r="H4044" t="s">
        <v>13869</v>
      </c>
      <c r="I4044" t="s">
        <v>14690</v>
      </c>
      <c r="J4044" s="62">
        <v>0</v>
      </c>
      <c r="K4044" s="62">
        <v>0</v>
      </c>
      <c r="L4044" t="str">
        <f>VLOOKUP(VALUE(LEFT(C4044,5)),Xref!A:B,2,0)</f>
        <v>WEP</v>
      </c>
      <c r="M4044" t="str">
        <f t="shared" si="255"/>
        <v>STO-WEP</v>
      </c>
    </row>
    <row r="4045" spans="1:13" ht="14.25" customHeight="true">
      <c r="A4045" s="33" t="str">
        <f t="shared" si="252"/>
        <v>STO - Intercompany</v>
      </c>
      <c r="B4045" s="33" t="str">
        <f t="shared" si="253"/>
        <v>STO</v>
      </c>
      <c r="C4045" s="33" t="str">
        <f t="shared" si="254"/>
        <v>11352-0000</v>
      </c>
      <c r="D4045" t="s">
        <v>28161</v>
      </c>
      <c r="E4045" t="s">
        <v>13536</v>
      </c>
      <c r="F4045" t="s">
        <v>14039</v>
      </c>
      <c r="G4045" t="s">
        <v>14672</v>
      </c>
      <c r="H4045" t="s">
        <v>13869</v>
      </c>
      <c r="I4045" t="s">
        <v>14690</v>
      </c>
      <c r="J4045" s="62">
        <v>0</v>
      </c>
      <c r="K4045" s="62">
        <v>0</v>
      </c>
      <c r="L4045" t="str">
        <f>VLOOKUP(VALUE(LEFT(C4045,5)),Xref!A:B,2,0)</f>
        <v>KLP</v>
      </c>
      <c r="M4045" t="str">
        <f t="shared" si="255"/>
        <v>KLP-STO</v>
      </c>
    </row>
    <row r="4046" spans="1:13" ht="14.25" customHeight="true">
      <c r="A4046" s="33" t="str">
        <f t="shared" si="252"/>
        <v>STO - Intercompany</v>
      </c>
      <c r="B4046" s="33" t="str">
        <f t="shared" si="253"/>
        <v>STO</v>
      </c>
      <c r="C4046" s="33" t="str">
        <f t="shared" si="254"/>
        <v>11353-0000</v>
      </c>
      <c r="D4046" t="s">
        <v>28162</v>
      </c>
      <c r="E4046" t="s">
        <v>13537</v>
      </c>
      <c r="F4046" t="s">
        <v>14039</v>
      </c>
      <c r="G4046" t="s">
        <v>14672</v>
      </c>
      <c r="H4046" t="s">
        <v>13869</v>
      </c>
      <c r="I4046" t="s">
        <v>14690</v>
      </c>
      <c r="J4046" s="62">
        <v>0</v>
      </c>
      <c r="K4046" s="62">
        <v>0</v>
      </c>
      <c r="L4046" t="str">
        <f>VLOOKUP(VALUE(LEFT(C4046,5)),Xref!A:B,2,0)</f>
        <v>AKC</v>
      </c>
      <c r="M4046" t="str">
        <f t="shared" si="255"/>
        <v>AKC-STO</v>
      </c>
    </row>
    <row r="4047" spans="1:13" ht="14.25" customHeight="true">
      <c r="A4047" s="33" t="str">
        <f t="shared" si="252"/>
        <v>STO - Intercompany</v>
      </c>
      <c r="B4047" s="33" t="str">
        <f t="shared" si="253"/>
        <v>STO</v>
      </c>
      <c r="C4047" s="33" t="str">
        <f t="shared" si="254"/>
        <v>11354-0000</v>
      </c>
      <c r="D4047" t="s">
        <v>28163</v>
      </c>
      <c r="E4047" t="s">
        <v>13538</v>
      </c>
      <c r="F4047" t="s">
        <v>14039</v>
      </c>
      <c r="G4047" t="s">
        <v>14672</v>
      </c>
      <c r="H4047" t="s">
        <v>13869</v>
      </c>
      <c r="I4047" t="s">
        <v>14690</v>
      </c>
      <c r="J4047" s="62">
        <v>0</v>
      </c>
      <c r="K4047" s="62">
        <v>0</v>
      </c>
      <c r="L4047" t="str">
        <f>VLOOKUP(VALUE(LEFT(C4047,5)),Xref!A:B,2,0)</f>
        <v>AKA</v>
      </c>
      <c r="M4047" t="str">
        <f t="shared" si="255"/>
        <v>AKA-STO</v>
      </c>
    </row>
    <row r="4048" spans="1:13" ht="14.25" customHeight="true">
      <c r="A4048" s="33" t="str">
        <f t="shared" si="252"/>
        <v>STO - Intercompany</v>
      </c>
      <c r="B4048" s="33" t="str">
        <f t="shared" si="253"/>
        <v>STO</v>
      </c>
      <c r="C4048" s="33" t="str">
        <f t="shared" si="254"/>
        <v>11355-0000</v>
      </c>
      <c r="D4048" t="s">
        <v>28164</v>
      </c>
      <c r="E4048" t="s">
        <v>13539</v>
      </c>
      <c r="F4048" t="s">
        <v>14039</v>
      </c>
      <c r="G4048" t="s">
        <v>14672</v>
      </c>
      <c r="H4048" t="s">
        <v>13869</v>
      </c>
      <c r="I4048" t="s">
        <v>14690</v>
      </c>
      <c r="J4048" s="62">
        <v>0</v>
      </c>
      <c r="K4048" s="62">
        <v>0</v>
      </c>
      <c r="L4048" t="str">
        <f>VLOOKUP(VALUE(LEFT(C4048,5)),Xref!A:B,2,0)</f>
        <v>SPA</v>
      </c>
      <c r="M4048" t="str">
        <f t="shared" si="255"/>
        <v>SPA-STO</v>
      </c>
    </row>
    <row r="4049" spans="1:13" ht="14.25" customHeight="true">
      <c r="A4049" s="33" t="str">
        <f t="shared" si="252"/>
        <v>STO - Intercompany</v>
      </c>
      <c r="B4049" s="33" t="str">
        <f t="shared" si="253"/>
        <v>STO</v>
      </c>
      <c r="C4049" s="33" t="str">
        <f t="shared" si="254"/>
        <v>11356-0000</v>
      </c>
      <c r="D4049" t="s">
        <v>28165</v>
      </c>
      <c r="E4049" t="s">
        <v>13540</v>
      </c>
      <c r="F4049" t="s">
        <v>14039</v>
      </c>
      <c r="G4049" t="s">
        <v>14672</v>
      </c>
      <c r="H4049" t="s">
        <v>13869</v>
      </c>
      <c r="I4049" t="s">
        <v>14690</v>
      </c>
      <c r="J4049" s="62">
        <v>0</v>
      </c>
      <c r="K4049" s="62">
        <v>0</v>
      </c>
      <c r="L4049" t="str">
        <f>VLOOKUP(VALUE(LEFT(C4049,5)),Xref!A:B,2,0)</f>
        <v>DPM</v>
      </c>
      <c r="M4049" t="str">
        <f t="shared" si="255"/>
        <v>DPM-STO</v>
      </c>
    </row>
    <row r="4050" spans="1:13" ht="14.25" customHeight="true">
      <c r="A4050" s="33" t="str">
        <f t="shared" si="252"/>
        <v>STO - Intercompany</v>
      </c>
      <c r="B4050" s="33" t="str">
        <f t="shared" si="253"/>
        <v>STO</v>
      </c>
      <c r="C4050" s="33" t="str">
        <f t="shared" si="254"/>
        <v>11357-0000</v>
      </c>
      <c r="D4050" t="s">
        <v>28166</v>
      </c>
      <c r="E4050" t="s">
        <v>13541</v>
      </c>
      <c r="F4050" t="s">
        <v>14039</v>
      </c>
      <c r="G4050" t="s">
        <v>14672</v>
      </c>
      <c r="H4050" t="s">
        <v>13869</v>
      </c>
      <c r="I4050" t="s">
        <v>14690</v>
      </c>
      <c r="J4050" s="62">
        <v>0</v>
      </c>
      <c r="K4050" s="62">
        <v>0</v>
      </c>
      <c r="L4050" t="str">
        <f>VLOOKUP(VALUE(LEFT(C4050,5)),Xref!A:B,2,0)</f>
        <v>HDM</v>
      </c>
      <c r="M4050" t="str">
        <f t="shared" si="255"/>
        <v>HDM-STO</v>
      </c>
    </row>
    <row r="4051" spans="1:13" ht="14.25" customHeight="true">
      <c r="A4051" s="33" t="str">
        <f t="shared" si="252"/>
        <v>STO - Intercompany</v>
      </c>
      <c r="B4051" s="33" t="str">
        <f t="shared" si="253"/>
        <v>STO</v>
      </c>
      <c r="C4051" s="33" t="str">
        <f t="shared" si="254"/>
        <v>11358-0000</v>
      </c>
      <c r="D4051" t="s">
        <v>28167</v>
      </c>
      <c r="E4051" t="s">
        <v>13542</v>
      </c>
      <c r="F4051" t="s">
        <v>14039</v>
      </c>
      <c r="G4051" t="s">
        <v>14672</v>
      </c>
      <c r="H4051" t="s">
        <v>13869</v>
      </c>
      <c r="I4051" t="s">
        <v>14690</v>
      </c>
      <c r="J4051" s="62">
        <v>0</v>
      </c>
      <c r="K4051" s="62">
        <v>0</v>
      </c>
      <c r="L4051" t="str">
        <f>VLOOKUP(VALUE(LEFT(C4051,5)),Xref!A:B,2,0)</f>
        <v>GRA</v>
      </c>
      <c r="M4051" t="str">
        <f t="shared" si="255"/>
        <v>GRA-STO</v>
      </c>
    </row>
    <row r="4052" spans="1:13" ht="14.25" customHeight="true">
      <c r="A4052" s="33" t="str">
        <f t="shared" si="252"/>
        <v>STO - Intercompany</v>
      </c>
      <c r="B4052" s="33" t="str">
        <f t="shared" si="253"/>
        <v>STO</v>
      </c>
      <c r="C4052" s="33" t="str">
        <f t="shared" si="254"/>
        <v>11359-0000</v>
      </c>
      <c r="D4052" t="s">
        <v>28168</v>
      </c>
      <c r="E4052" t="s">
        <v>13543</v>
      </c>
      <c r="F4052" t="s">
        <v>14039</v>
      </c>
      <c r="G4052" t="s">
        <v>14672</v>
      </c>
      <c r="H4052" t="s">
        <v>13869</v>
      </c>
      <c r="I4052" t="s">
        <v>14690</v>
      </c>
      <c r="J4052" s="62">
        <v>0</v>
      </c>
      <c r="K4052" s="62">
        <v>0</v>
      </c>
      <c r="L4052" t="str">
        <f>VLOOKUP(VALUE(LEFT(C4052,5)),Xref!A:B,2,0)</f>
        <v>TPI</v>
      </c>
      <c r="M4052" t="str">
        <f t="shared" si="255"/>
        <v>STO-TPI</v>
      </c>
    </row>
    <row r="4053" spans="1:13" ht="14.25" customHeight="true">
      <c r="A4053" s="33" t="str">
        <f t="shared" si="252"/>
        <v>STO - Intercompany</v>
      </c>
      <c r="B4053" s="33" t="str">
        <f t="shared" si="253"/>
        <v>STO</v>
      </c>
      <c r="C4053" s="33" t="str">
        <f t="shared" si="254"/>
        <v>11361-0000</v>
      </c>
      <c r="D4053" t="s">
        <v>28169</v>
      </c>
      <c r="E4053" t="s">
        <v>14165</v>
      </c>
      <c r="F4053" t="s">
        <v>14039</v>
      </c>
      <c r="G4053" t="s">
        <v>14672</v>
      </c>
      <c r="H4053" t="s">
        <v>13869</v>
      </c>
      <c r="I4053" t="s">
        <v>14690</v>
      </c>
      <c r="J4053" s="62">
        <v>0</v>
      </c>
      <c r="K4053" s="62">
        <v>0</v>
      </c>
      <c r="L4053" t="str">
        <f>VLOOKUP(VALUE(LEFT(C4053,5)),Xref!A:B,2,0)</f>
        <v>GSM</v>
      </c>
      <c r="M4053" t="str">
        <f t="shared" si="255"/>
        <v>GSM-STO</v>
      </c>
    </row>
    <row r="4054" spans="1:13" ht="14.25" customHeight="true">
      <c r="A4054" s="33" t="str">
        <f t="shared" si="252"/>
        <v>STO - Intercompany</v>
      </c>
      <c r="B4054" s="33" t="str">
        <f t="shared" si="253"/>
        <v>STO</v>
      </c>
      <c r="C4054" s="33" t="str">
        <f t="shared" si="254"/>
        <v>11363-0000</v>
      </c>
      <c r="D4054" t="s">
        <v>28170</v>
      </c>
      <c r="E4054" t="s">
        <v>13544</v>
      </c>
      <c r="F4054" t="s">
        <v>14039</v>
      </c>
      <c r="G4054" t="s">
        <v>14672</v>
      </c>
      <c r="H4054" t="s">
        <v>13869</v>
      </c>
      <c r="I4054" t="s">
        <v>14690</v>
      </c>
      <c r="J4054" s="62">
        <v>0</v>
      </c>
      <c r="K4054" s="62">
        <v>0</v>
      </c>
      <c r="L4054" t="str">
        <f>VLOOKUP(VALUE(LEFT(C4054,5)),Xref!A:B,2,0)</f>
        <v>SOF</v>
      </c>
      <c r="M4054" t="str">
        <f t="shared" si="255"/>
        <v>SOF-STO</v>
      </c>
    </row>
    <row r="4055" spans="1:13" ht="14.25" customHeight="true">
      <c r="A4055" s="33" t="str">
        <f t="shared" si="252"/>
        <v>STO - Intercompany</v>
      </c>
      <c r="B4055" s="33" t="str">
        <f t="shared" si="253"/>
        <v>STO</v>
      </c>
      <c r="C4055" s="33" t="str">
        <f t="shared" si="254"/>
        <v>11364-0000</v>
      </c>
      <c r="D4055" t="s">
        <v>28171</v>
      </c>
      <c r="E4055" t="s">
        <v>14168</v>
      </c>
      <c r="F4055" t="s">
        <v>14039</v>
      </c>
      <c r="G4055" t="s">
        <v>14672</v>
      </c>
      <c r="H4055" t="s">
        <v>13869</v>
      </c>
      <c r="I4055" t="s">
        <v>14690</v>
      </c>
      <c r="J4055" s="62">
        <v>0</v>
      </c>
      <c r="K4055" s="62">
        <v>0</v>
      </c>
      <c r="L4055" t="e">
        <f>VLOOKUP(VALUE(LEFT(C4055,5)),Xref!A:B,2,0)</f>
        <v>#N/A</v>
      </c>
      <c r="M4055" t="e">
        <f t="shared" si="255"/>
        <v>#N/A</v>
      </c>
    </row>
    <row r="4056" spans="1:13" ht="14.25" customHeight="true">
      <c r="A4056" s="33" t="str">
        <f t="shared" si="252"/>
        <v>STO - Intercompany</v>
      </c>
      <c r="B4056" s="33" t="str">
        <f t="shared" si="253"/>
        <v>STO</v>
      </c>
      <c r="C4056" s="33" t="str">
        <f t="shared" si="254"/>
        <v>11365-0000</v>
      </c>
      <c r="D4056" t="s">
        <v>28172</v>
      </c>
      <c r="E4056" t="s">
        <v>14170</v>
      </c>
      <c r="F4056" t="s">
        <v>14039</v>
      </c>
      <c r="G4056" t="s">
        <v>14672</v>
      </c>
      <c r="H4056" t="s">
        <v>13869</v>
      </c>
      <c r="I4056" t="s">
        <v>14690</v>
      </c>
      <c r="J4056" s="62">
        <v>0</v>
      </c>
      <c r="K4056" s="62">
        <v>0</v>
      </c>
      <c r="L4056" t="e">
        <f>VLOOKUP(VALUE(LEFT(C4056,5)),Xref!A:B,2,0)</f>
        <v>#N/A</v>
      </c>
      <c r="M4056" t="e">
        <f t="shared" si="255"/>
        <v>#N/A</v>
      </c>
    </row>
    <row r="4057" spans="1:13" ht="14.25" customHeight="true">
      <c r="A4057" s="33" t="str">
        <f t="shared" si="252"/>
        <v>STO - Intercompany</v>
      </c>
      <c r="B4057" s="33" t="str">
        <f t="shared" si="253"/>
        <v>STO</v>
      </c>
      <c r="C4057" s="33" t="str">
        <f t="shared" si="254"/>
        <v>11366-0000</v>
      </c>
      <c r="D4057" t="s">
        <v>28173</v>
      </c>
      <c r="E4057" t="s">
        <v>14172</v>
      </c>
      <c r="G4057" t="s">
        <v>14672</v>
      </c>
      <c r="H4057" t="s">
        <v>13869</v>
      </c>
      <c r="I4057" t="s">
        <v>14690</v>
      </c>
      <c r="J4057" s="62">
        <v>0</v>
      </c>
      <c r="K4057" s="62">
        <v>0</v>
      </c>
      <c r="L4057" t="e">
        <f>VLOOKUP(VALUE(LEFT(C4057,5)),Xref!A:B,2,0)</f>
        <v>#N/A</v>
      </c>
      <c r="M4057" t="e">
        <f t="shared" si="255"/>
        <v>#N/A</v>
      </c>
    </row>
    <row r="4058" spans="1:13" ht="14.25" customHeight="true">
      <c r="A4058" s="33" t="str">
        <f t="shared" si="252"/>
        <v>STO - Intercompany</v>
      </c>
      <c r="B4058" s="33" t="str">
        <f t="shared" si="253"/>
        <v>STO</v>
      </c>
      <c r="C4058" s="33" t="str">
        <f t="shared" si="254"/>
        <v>11402-0000</v>
      </c>
      <c r="D4058" t="s">
        <v>28174</v>
      </c>
      <c r="E4058" t="s">
        <v>14174</v>
      </c>
      <c r="G4058" t="s">
        <v>14672</v>
      </c>
      <c r="H4058" t="s">
        <v>13869</v>
      </c>
      <c r="I4058" t="s">
        <v>14690</v>
      </c>
      <c r="J4058" s="62">
        <v>0</v>
      </c>
      <c r="K4058" s="62">
        <v>0</v>
      </c>
      <c r="L4058" t="str">
        <f>VLOOKUP(VALUE(LEFT(C4058,5)),Xref!A:B,2,0)</f>
        <v>DPI</v>
      </c>
      <c r="M4058" t="str">
        <f t="shared" si="255"/>
        <v>DPI-STO</v>
      </c>
    </row>
    <row r="4059" spans="1:13" ht="14.25" customHeight="true">
      <c r="A4059" s="33" t="str">
        <f t="shared" si="252"/>
        <v>STO - Intercompany</v>
      </c>
      <c r="B4059" s="33" t="str">
        <f t="shared" si="253"/>
        <v>STO</v>
      </c>
      <c r="C4059" s="33" t="str">
        <f t="shared" si="254"/>
        <v>11403-0000</v>
      </c>
      <c r="D4059" t="s">
        <v>28175</v>
      </c>
      <c r="E4059" t="s">
        <v>14176</v>
      </c>
      <c r="G4059" t="s">
        <v>14672</v>
      </c>
      <c r="H4059" t="s">
        <v>13869</v>
      </c>
      <c r="I4059" t="s">
        <v>14690</v>
      </c>
      <c r="J4059" s="62">
        <v>0</v>
      </c>
      <c r="K4059" s="62">
        <v>0</v>
      </c>
      <c r="L4059" t="str">
        <f>VLOOKUP(VALUE(LEFT(C4059,5)),Xref!A:B,2,0)</f>
        <v>SEA</v>
      </c>
      <c r="M4059" t="str">
        <f t="shared" si="255"/>
        <v>SEA-STO</v>
      </c>
    </row>
    <row r="4060" spans="1:13" ht="14.25" customHeight="true">
      <c r="A4060" s="33" t="str">
        <f t="shared" si="252"/>
        <v>STO - Intercompany</v>
      </c>
      <c r="B4060" s="33" t="str">
        <f t="shared" si="253"/>
        <v>STO</v>
      </c>
      <c r="C4060" s="33" t="str">
        <f t="shared" si="254"/>
        <v>12400-0000</v>
      </c>
      <c r="D4060" t="s">
        <v>28178</v>
      </c>
      <c r="E4060" t="s">
        <v>14185</v>
      </c>
      <c r="F4060" t="s">
        <v>14039</v>
      </c>
      <c r="G4060" t="s">
        <v>14672</v>
      </c>
      <c r="H4060" t="s">
        <v>13869</v>
      </c>
      <c r="I4060" t="s">
        <v>14690</v>
      </c>
      <c r="J4060" s="62">
        <v>0</v>
      </c>
      <c r="K4060" s="62">
        <v>0</v>
      </c>
      <c r="L4060" t="str">
        <f>VLOOKUP(VALUE(LEFT(C4060,5)),Xref!A:B,2,0)</f>
        <v>aka</v>
      </c>
      <c r="M4060" t="str">
        <f t="shared" si="255"/>
        <v>aka-STO</v>
      </c>
    </row>
    <row r="4061" spans="1:13" ht="14.25" customHeight="true">
      <c r="A4061" s="33" t="str">
        <f t="shared" si="252"/>
        <v>STO - Intercompany</v>
      </c>
      <c r="B4061" s="33" t="str">
        <f t="shared" si="253"/>
        <v>STO</v>
      </c>
      <c r="C4061" s="33" t="str">
        <f t="shared" si="254"/>
        <v>12401-0000</v>
      </c>
      <c r="D4061" t="s">
        <v>28179</v>
      </c>
      <c r="E4061" t="s">
        <v>14187</v>
      </c>
      <c r="F4061" t="s">
        <v>14039</v>
      </c>
      <c r="G4061" t="s">
        <v>14672</v>
      </c>
      <c r="H4061" t="s">
        <v>13869</v>
      </c>
      <c r="I4061" t="s">
        <v>14690</v>
      </c>
      <c r="J4061" s="62">
        <v>0</v>
      </c>
      <c r="K4061" s="62">
        <v>0</v>
      </c>
      <c r="L4061" t="str">
        <f>VLOOKUP(VALUE(LEFT(C4061,5)),Xref!A:B,2,0)</f>
        <v>aka</v>
      </c>
      <c r="M4061" t="str">
        <f t="shared" si="255"/>
        <v>aka-STO</v>
      </c>
    </row>
    <row r="4062" spans="1:13" ht="14.25" customHeight="true">
      <c r="A4062" s="33" t="str">
        <f t="shared" si="252"/>
        <v>STO - Intercompany</v>
      </c>
      <c r="B4062" s="33" t="str">
        <f t="shared" si="253"/>
        <v>STO</v>
      </c>
      <c r="C4062" s="33" t="str">
        <f t="shared" si="254"/>
        <v>12402-0000</v>
      </c>
      <c r="D4062" t="s">
        <v>28180</v>
      </c>
      <c r="E4062" t="s">
        <v>14189</v>
      </c>
      <c r="F4062" t="s">
        <v>14039</v>
      </c>
      <c r="G4062" t="s">
        <v>14672</v>
      </c>
      <c r="H4062" t="s">
        <v>13869</v>
      </c>
      <c r="I4062" t="s">
        <v>14690</v>
      </c>
      <c r="J4062" s="62">
        <v>0</v>
      </c>
      <c r="K4062" s="62">
        <v>0</v>
      </c>
      <c r="L4062" t="str">
        <f>VLOOKUP(VALUE(LEFT(C4062,5)),Xref!A:B,2,0)</f>
        <v>aka</v>
      </c>
      <c r="M4062" t="str">
        <f t="shared" si="255"/>
        <v>aka-STO</v>
      </c>
    </row>
    <row r="4063" spans="1:13" ht="14.25" customHeight="true">
      <c r="A4063" s="33" t="str">
        <f t="shared" si="252"/>
        <v>STO - Intercompany</v>
      </c>
      <c r="B4063" s="33" t="str">
        <f t="shared" si="253"/>
        <v>STO</v>
      </c>
      <c r="C4063" s="33" t="str">
        <f t="shared" si="254"/>
        <v>12403-0000</v>
      </c>
      <c r="D4063" t="s">
        <v>28181</v>
      </c>
      <c r="E4063" t="s">
        <v>5226</v>
      </c>
      <c r="F4063" t="s">
        <v>14039</v>
      </c>
      <c r="G4063" t="s">
        <v>14672</v>
      </c>
      <c r="H4063" t="s">
        <v>13869</v>
      </c>
      <c r="I4063" t="s">
        <v>14690</v>
      </c>
      <c r="J4063" s="62">
        <v>0</v>
      </c>
      <c r="K4063" s="62">
        <v>0</v>
      </c>
      <c r="L4063" t="str">
        <f>VLOOKUP(VALUE(LEFT(C4063,5)),Xref!A:B,2,0)</f>
        <v>aka</v>
      </c>
      <c r="M4063" t="str">
        <f t="shared" si="255"/>
        <v>aka-STO</v>
      </c>
    </row>
    <row r="4064" spans="1:13" ht="14.25" customHeight="true">
      <c r="A4064" s="33" t="str">
        <f t="shared" si="252"/>
        <v>STO - Intercompany</v>
      </c>
      <c r="B4064" s="33" t="str">
        <f t="shared" si="253"/>
        <v>STO</v>
      </c>
      <c r="C4064" s="33" t="str">
        <f t="shared" si="254"/>
        <v>12501-0000</v>
      </c>
      <c r="D4064" t="s">
        <v>28182</v>
      </c>
      <c r="E4064" t="s">
        <v>14192</v>
      </c>
      <c r="F4064" t="s">
        <v>14039</v>
      </c>
      <c r="G4064" t="s">
        <v>14672</v>
      </c>
      <c r="H4064" t="s">
        <v>13869</v>
      </c>
      <c r="I4064" t="s">
        <v>14690</v>
      </c>
      <c r="J4064" s="62">
        <v>0</v>
      </c>
      <c r="K4064" s="62">
        <v>0</v>
      </c>
      <c r="L4064" t="str">
        <f>VLOOKUP(VALUE(LEFT(C4064,5)),Xref!A:B,2,0)</f>
        <v>aka</v>
      </c>
      <c r="M4064" t="str">
        <f t="shared" si="255"/>
        <v>aka-STO</v>
      </c>
    </row>
    <row r="4065" spans="1:13" ht="14.25" customHeight="true">
      <c r="A4065" s="33" t="str">
        <f t="shared" si="252"/>
        <v>STO - InterCo Notes</v>
      </c>
      <c r="B4065" s="33" t="str">
        <f t="shared" si="253"/>
        <v>STO</v>
      </c>
      <c r="C4065" s="33" t="str">
        <f t="shared" si="254"/>
        <v>25600-0000</v>
      </c>
      <c r="D4065" t="s">
        <v>28229</v>
      </c>
      <c r="E4065" t="s">
        <v>314</v>
      </c>
      <c r="F4065" t="s">
        <v>14039</v>
      </c>
      <c r="G4065" t="s">
        <v>14672</v>
      </c>
      <c r="H4065" t="s">
        <v>13889</v>
      </c>
      <c r="I4065" t="s">
        <v>14690</v>
      </c>
      <c r="J4065" s="62">
        <v>0</v>
      </c>
      <c r="K4065" s="62">
        <v>0</v>
      </c>
      <c r="L4065" t="str">
        <f>VLOOKUP(VALUE(LEFT(C4065,5)),Xref!A:B,2,0)</f>
        <v>D7</v>
      </c>
      <c r="M4065" t="str">
        <f t="shared" si="255"/>
        <v>D7-STO</v>
      </c>
    </row>
    <row r="4066" spans="1:13" ht="14.25" customHeight="true">
      <c r="A4066" s="33" t="str">
        <f t="shared" si="252"/>
        <v>STO - InterCo Notes</v>
      </c>
      <c r="B4066" s="33" t="str">
        <f t="shared" si="253"/>
        <v>STO</v>
      </c>
      <c r="C4066" s="33" t="str">
        <f t="shared" si="254"/>
        <v>25602-0000</v>
      </c>
      <c r="D4066" t="s">
        <v>28231</v>
      </c>
      <c r="E4066" t="s">
        <v>13426</v>
      </c>
      <c r="F4066" t="s">
        <v>14039</v>
      </c>
      <c r="G4066" t="s">
        <v>14672</v>
      </c>
      <c r="H4066" t="s">
        <v>13889</v>
      </c>
      <c r="I4066" t="s">
        <v>14690</v>
      </c>
      <c r="J4066" s="62">
        <v>0</v>
      </c>
      <c r="K4066" s="62">
        <v>-4430000</v>
      </c>
      <c r="L4066" t="str">
        <f>VLOOKUP(VALUE(LEFT(C4066,5)),Xref!A:B,2,0)</f>
        <v>DFLP</v>
      </c>
      <c r="M4066" t="str">
        <f t="shared" si="255"/>
        <v>DFLP-STO</v>
      </c>
    </row>
    <row r="4067" spans="1:13" ht="14.25" customHeight="true">
      <c r="A4067" s="33" t="str">
        <f t="shared" si="252"/>
        <v>STO - InterCo Notes</v>
      </c>
      <c r="B4067" s="33" t="str">
        <f t="shared" si="253"/>
        <v>STO</v>
      </c>
      <c r="C4067" s="33" t="str">
        <f t="shared" si="254"/>
        <v>25603-0000</v>
      </c>
      <c r="D4067" t="s">
        <v>28232</v>
      </c>
      <c r="E4067" t="s">
        <v>14311</v>
      </c>
      <c r="F4067" t="s">
        <v>14039</v>
      </c>
      <c r="G4067" t="s">
        <v>14832</v>
      </c>
      <c r="H4067" t="s">
        <v>13889</v>
      </c>
      <c r="I4067" t="s">
        <v>14690</v>
      </c>
      <c r="J4067" s="62">
        <v>0</v>
      </c>
      <c r="K4067" s="62">
        <v>0</v>
      </c>
      <c r="L4067" t="str">
        <f>VLOOKUP(VALUE(LEFT(C4067,5)),Xref!A:B,2,0)</f>
        <v>aka</v>
      </c>
      <c r="M4067" t="str">
        <f t="shared" si="255"/>
        <v>aka-STO</v>
      </c>
    </row>
    <row r="4068" spans="1:13" ht="14.25" customHeight="true">
      <c r="A4068" s="33" t="str">
        <f t="shared" si="252"/>
        <v>STO - Intercompany</v>
      </c>
      <c r="B4068" s="33" t="str">
        <f t="shared" si="253"/>
        <v>STO</v>
      </c>
      <c r="C4068" s="33" t="str">
        <f t="shared" si="254"/>
        <v>25604-0000</v>
      </c>
      <c r="D4068" t="s">
        <v>28233</v>
      </c>
      <c r="E4068" t="s">
        <v>13490</v>
      </c>
      <c r="F4068" t="s">
        <v>14039</v>
      </c>
      <c r="G4068" t="s">
        <v>14672</v>
      </c>
      <c r="H4068" t="s">
        <v>13869</v>
      </c>
      <c r="I4068" t="s">
        <v>14690</v>
      </c>
      <c r="J4068" s="62">
        <v>0</v>
      </c>
      <c r="K4068" s="62">
        <v>0</v>
      </c>
      <c r="L4068">
        <f>VLOOKUP(VALUE(LEFT(C4068,5)),Xref!A:B,2,0)</f>
        <v>0</v>
      </c>
      <c r="M4068" t="str">
        <f t="shared" si="255"/>
        <v>0-STO</v>
      </c>
    </row>
    <row r="4069" spans="1:13" ht="14.25" customHeight="true">
      <c r="A4069" s="33" t="str">
        <f t="shared" si="252"/>
        <v>TPI - Intercompany</v>
      </c>
      <c r="B4069" s="33" t="str">
        <f t="shared" si="253"/>
        <v>TPI</v>
      </c>
      <c r="C4069" s="33" t="str">
        <f t="shared" si="254"/>
        <v>11200-0000</v>
      </c>
      <c r="D4069" t="s">
        <v>28408</v>
      </c>
      <c r="E4069" t="s">
        <v>14069</v>
      </c>
      <c r="F4069" t="s">
        <v>14039</v>
      </c>
      <c r="G4069" t="s">
        <v>14672</v>
      </c>
      <c r="H4069" t="s">
        <v>13869</v>
      </c>
      <c r="I4069" t="s">
        <v>14690</v>
      </c>
      <c r="J4069" s="62">
        <v>0</v>
      </c>
      <c r="K4069" s="62">
        <v>0</v>
      </c>
      <c r="L4069" t="str">
        <f>VLOOKUP(VALUE(LEFT(C4069,5)),Xref!A:B,2,0)</f>
        <v>SCL</v>
      </c>
      <c r="M4069" t="str">
        <f t="shared" si="255"/>
        <v>SCL-TPI</v>
      </c>
    </row>
    <row r="4070" spans="1:13" ht="14.25" customHeight="true">
      <c r="A4070" s="33" t="str">
        <f t="shared" si="252"/>
        <v>TPI - Intercompany</v>
      </c>
      <c r="B4070" s="33" t="str">
        <f t="shared" si="253"/>
        <v>TPI</v>
      </c>
      <c r="C4070" s="33" t="str">
        <f t="shared" si="254"/>
        <v>11201-0000</v>
      </c>
      <c r="D4070" t="s">
        <v>28409</v>
      </c>
      <c r="E4070" t="s">
        <v>14071</v>
      </c>
      <c r="F4070" t="s">
        <v>14039</v>
      </c>
      <c r="G4070" t="s">
        <v>14672</v>
      </c>
      <c r="H4070" t="s">
        <v>13869</v>
      </c>
      <c r="I4070" t="s">
        <v>14690</v>
      </c>
      <c r="J4070" s="62">
        <v>0</v>
      </c>
      <c r="K4070" s="62">
        <v>0</v>
      </c>
      <c r="L4070" t="str">
        <f>VLOOKUP(VALUE(LEFT(C4070,5)),Xref!A:B,2,0)</f>
        <v>SG2</v>
      </c>
      <c r="M4070" t="str">
        <f t="shared" si="255"/>
        <v>SG2-TPI</v>
      </c>
    </row>
    <row r="4071" spans="1:13" ht="14.25" customHeight="true">
      <c r="A4071" s="33" t="str">
        <f t="shared" si="252"/>
        <v>TPI - Intercompany</v>
      </c>
      <c r="B4071" s="33" t="str">
        <f t="shared" si="253"/>
        <v>TPI</v>
      </c>
      <c r="C4071" s="33" t="str">
        <f t="shared" si="254"/>
        <v>11202-0000</v>
      </c>
      <c r="D4071" t="s">
        <v>28410</v>
      </c>
      <c r="E4071" t="s">
        <v>14073</v>
      </c>
      <c r="F4071" t="s">
        <v>14039</v>
      </c>
      <c r="G4071" t="s">
        <v>14672</v>
      </c>
      <c r="H4071" t="s">
        <v>13869</v>
      </c>
      <c r="I4071" t="s">
        <v>14690</v>
      </c>
      <c r="J4071" s="62">
        <v>0</v>
      </c>
      <c r="K4071" s="62">
        <v>0</v>
      </c>
      <c r="L4071" t="str">
        <f>VLOOKUP(VALUE(LEFT(C4071,5)),Xref!A:B,2,0)</f>
        <v>FFC</v>
      </c>
      <c r="M4071" t="str">
        <f t="shared" si="255"/>
        <v>FFC-TPI</v>
      </c>
    </row>
    <row r="4072" spans="1:13" ht="14.25" customHeight="true">
      <c r="A4072" s="33" t="str">
        <f t="shared" si="252"/>
        <v>TPI - Intercompany</v>
      </c>
      <c r="B4072" s="33" t="str">
        <f t="shared" si="253"/>
        <v>TPI</v>
      </c>
      <c r="C4072" s="33" t="str">
        <f t="shared" si="254"/>
        <v>11203-0000</v>
      </c>
      <c r="D4072" t="s">
        <v>28411</v>
      </c>
      <c r="E4072" t="s">
        <v>14075</v>
      </c>
      <c r="F4072" t="s">
        <v>14039</v>
      </c>
      <c r="G4072" t="s">
        <v>14672</v>
      </c>
      <c r="H4072" t="s">
        <v>13869</v>
      </c>
      <c r="I4072" t="s">
        <v>14690</v>
      </c>
      <c r="J4072" s="62">
        <v>0</v>
      </c>
      <c r="K4072" s="62">
        <v>0</v>
      </c>
      <c r="L4072" t="str">
        <f>VLOOKUP(VALUE(LEFT(C4072,5)),Xref!A:B,2,0)</f>
        <v>HN2</v>
      </c>
      <c r="M4072" t="str">
        <f t="shared" si="255"/>
        <v>HN2-TPI</v>
      </c>
    </row>
    <row r="4073" spans="1:13" ht="14.25" customHeight="true">
      <c r="A4073" s="33" t="str">
        <f t="shared" si="252"/>
        <v>TPI - Intercompany</v>
      </c>
      <c r="B4073" s="33" t="str">
        <f t="shared" si="253"/>
        <v>TPI</v>
      </c>
      <c r="C4073" s="33" t="str">
        <f t="shared" si="254"/>
        <v>11204-0000</v>
      </c>
      <c r="D4073" t="s">
        <v>28412</v>
      </c>
      <c r="E4073" t="s">
        <v>14077</v>
      </c>
      <c r="F4073" t="s">
        <v>14039</v>
      </c>
      <c r="G4073" t="s">
        <v>14672</v>
      </c>
      <c r="H4073" t="s">
        <v>13869</v>
      </c>
      <c r="I4073" t="s">
        <v>14690</v>
      </c>
      <c r="J4073" s="62">
        <v>0</v>
      </c>
      <c r="K4073" s="62">
        <v>0</v>
      </c>
      <c r="L4073" t="str">
        <f>VLOOKUP(VALUE(LEFT(C4073,5)),Xref!A:B,2,0)</f>
        <v>DF2</v>
      </c>
      <c r="M4073" t="str">
        <f t="shared" si="255"/>
        <v>DF2-TPI</v>
      </c>
    </row>
    <row r="4074" spans="1:13" ht="14.25" customHeight="true">
      <c r="A4074" s="33" t="str">
        <f t="shared" si="252"/>
        <v>TPI - Intercompany</v>
      </c>
      <c r="B4074" s="33" t="str">
        <f t="shared" si="253"/>
        <v>TPI</v>
      </c>
      <c r="C4074" s="33" t="str">
        <f t="shared" si="254"/>
        <v>11208-0000</v>
      </c>
      <c r="D4074" t="s">
        <v>28413</v>
      </c>
      <c r="E4074" t="s">
        <v>14079</v>
      </c>
      <c r="F4074" t="s">
        <v>14039</v>
      </c>
      <c r="G4074" t="s">
        <v>14672</v>
      </c>
      <c r="H4074" t="s">
        <v>13869</v>
      </c>
      <c r="I4074" t="s">
        <v>14690</v>
      </c>
      <c r="J4074" s="62">
        <v>0</v>
      </c>
      <c r="K4074" s="62">
        <v>0</v>
      </c>
      <c r="L4074" t="str">
        <f>VLOOKUP(VALUE(LEFT(C4074,5)),Xref!A:B,2,0)</f>
        <v>SRE</v>
      </c>
      <c r="M4074" t="str">
        <f t="shared" si="255"/>
        <v>SRE-TPI</v>
      </c>
    </row>
    <row r="4075" spans="1:13" ht="14.25" customHeight="true">
      <c r="A4075" s="33" t="str">
        <f t="shared" si="252"/>
        <v>TPI - Intercompany</v>
      </c>
      <c r="B4075" s="33" t="str">
        <f t="shared" si="253"/>
        <v>TPI</v>
      </c>
      <c r="C4075" s="33" t="str">
        <f t="shared" si="254"/>
        <v>11210-0000</v>
      </c>
      <c r="D4075" t="s">
        <v>28414</v>
      </c>
      <c r="E4075" t="s">
        <v>14081</v>
      </c>
      <c r="F4075" t="s">
        <v>14039</v>
      </c>
      <c r="G4075" t="s">
        <v>14672</v>
      </c>
      <c r="H4075" t="s">
        <v>13869</v>
      </c>
      <c r="I4075" t="s">
        <v>14690</v>
      </c>
      <c r="J4075" s="62">
        <v>0</v>
      </c>
      <c r="K4075" s="62">
        <v>0</v>
      </c>
      <c r="L4075" t="str">
        <f>VLOOKUP(VALUE(LEFT(C4075,5)),Xref!A:B,2,0)</f>
        <v>REM</v>
      </c>
      <c r="M4075" t="str">
        <f t="shared" si="255"/>
        <v>REM-TPI</v>
      </c>
    </row>
    <row r="4076" spans="1:13" ht="14.25" customHeight="true">
      <c r="A4076" s="33" t="str">
        <f t="shared" si="252"/>
        <v>TPI - Intercompany</v>
      </c>
      <c r="B4076" s="33" t="str">
        <f t="shared" si="253"/>
        <v>TPI</v>
      </c>
      <c r="C4076" s="33" t="str">
        <f t="shared" si="254"/>
        <v>11212-0000</v>
      </c>
      <c r="D4076" t="s">
        <v>28415</v>
      </c>
      <c r="E4076" t="s">
        <v>14083</v>
      </c>
      <c r="F4076" t="s">
        <v>14039</v>
      </c>
      <c r="G4076" t="s">
        <v>14672</v>
      </c>
      <c r="H4076" t="s">
        <v>13869</v>
      </c>
      <c r="I4076" t="s">
        <v>14690</v>
      </c>
      <c r="J4076" s="62">
        <v>0</v>
      </c>
      <c r="K4076" s="62">
        <v>0</v>
      </c>
      <c r="L4076" t="str">
        <f>VLOOKUP(VALUE(LEFT(C4076,5)),Xref!A:B,2,0)</f>
        <v>FRM</v>
      </c>
      <c r="M4076" t="str">
        <f t="shared" si="255"/>
        <v>FRM-TPI</v>
      </c>
    </row>
    <row r="4077" spans="1:13" ht="14.25" customHeight="true">
      <c r="A4077" s="33" t="str">
        <f t="shared" si="252"/>
        <v>TPI - Intercompany</v>
      </c>
      <c r="B4077" s="33" t="str">
        <f t="shared" si="253"/>
        <v>TPI</v>
      </c>
      <c r="C4077" s="33" t="str">
        <f t="shared" si="254"/>
        <v>11214-0000</v>
      </c>
      <c r="D4077" t="s">
        <v>28416</v>
      </c>
      <c r="E4077" t="s">
        <v>14085</v>
      </c>
      <c r="F4077" t="s">
        <v>14039</v>
      </c>
      <c r="G4077" t="s">
        <v>14672</v>
      </c>
      <c r="H4077" t="s">
        <v>13869</v>
      </c>
      <c r="I4077" t="s">
        <v>14690</v>
      </c>
      <c r="J4077" s="62">
        <v>0</v>
      </c>
      <c r="K4077" s="62">
        <v>0</v>
      </c>
      <c r="L4077" t="str">
        <f>VLOOKUP(VALUE(LEFT(C4077,5)),Xref!A:B,2,0)</f>
        <v>D7R</v>
      </c>
      <c r="M4077" t="str">
        <f t="shared" si="255"/>
        <v>D7R-TPI</v>
      </c>
    </row>
    <row r="4078" spans="1:13" ht="14.25" customHeight="true">
      <c r="A4078" s="33" t="str">
        <f t="shared" si="252"/>
        <v>TPI - Intercompany</v>
      </c>
      <c r="B4078" s="33" t="str">
        <f t="shared" si="253"/>
        <v>TPI</v>
      </c>
      <c r="C4078" s="33" t="str">
        <f t="shared" si="254"/>
        <v>11215-0000</v>
      </c>
      <c r="D4078" t="s">
        <v>28417</v>
      </c>
      <c r="E4078" t="s">
        <v>14087</v>
      </c>
      <c r="F4078" t="s">
        <v>14039</v>
      </c>
      <c r="G4078" t="s">
        <v>14672</v>
      </c>
      <c r="H4078" t="s">
        <v>13869</v>
      </c>
      <c r="I4078" t="s">
        <v>14690</v>
      </c>
      <c r="J4078" s="62">
        <v>0</v>
      </c>
      <c r="K4078" s="62">
        <v>0</v>
      </c>
      <c r="L4078" t="str">
        <f>VLOOKUP(VALUE(LEFT(C4078,5)),Xref!A:B,2,0)</f>
        <v>CDP</v>
      </c>
      <c r="M4078" t="str">
        <f t="shared" si="255"/>
        <v>CDP-TPI</v>
      </c>
    </row>
    <row r="4079" spans="1:13" ht="14.25" customHeight="true">
      <c r="A4079" s="33" t="str">
        <f t="shared" si="252"/>
        <v>TPI - Intercompany</v>
      </c>
      <c r="B4079" s="33" t="str">
        <f t="shared" si="253"/>
        <v>TPI</v>
      </c>
      <c r="C4079" s="33" t="str">
        <f t="shared" si="254"/>
        <v>11216-0000</v>
      </c>
      <c r="D4079" t="s">
        <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ans="1:13" ht="14.25" customHeight="true">
      <c r="A4080" s="33" t="str">
        <f t="shared" si="252"/>
        <v>TPI - Intercompany</v>
      </c>
      <c r="B4080" s="33" t="str">
        <f t="shared" si="253"/>
        <v>TPI</v>
      </c>
      <c r="C4080" s="33" t="str">
        <f t="shared" si="254"/>
        <v>11232-0000</v>
      </c>
      <c r="D4080" t="s">
        <v>28418</v>
      </c>
      <c r="E4080" t="s">
        <v>12486</v>
      </c>
      <c r="F4080" t="s">
        <v>14039</v>
      </c>
      <c r="G4080" t="s">
        <v>14672</v>
      </c>
      <c r="H4080" t="s">
        <v>13869</v>
      </c>
      <c r="I4080" t="s">
        <v>14690</v>
      </c>
      <c r="J4080" s="62">
        <v>0</v>
      </c>
      <c r="K4080" s="62">
        <v>0</v>
      </c>
      <c r="L4080" t="str">
        <f>VLOOKUP(VALUE(LEFT(C4080,5)),Xref!A:B,2,0)</f>
        <v>SC2</v>
      </c>
      <c r="M4080" t="str">
        <f t="shared" si="255"/>
        <v>SC2-TPI</v>
      </c>
    </row>
    <row r="4081" spans="1:13" ht="14.25" customHeight="true">
      <c r="A4081" s="33" t="str">
        <f t="shared" si="252"/>
        <v>TPI - Intercompany</v>
      </c>
      <c r="B4081" s="33" t="str">
        <f t="shared" si="253"/>
        <v>TPI</v>
      </c>
      <c r="C4081" s="33" t="str">
        <f t="shared" si="254"/>
        <v>11301-0000</v>
      </c>
      <c r="D4081" t="s">
        <v>28419</v>
      </c>
      <c r="E4081" t="s">
        <v>13225</v>
      </c>
      <c r="F4081" t="s">
        <v>14039</v>
      </c>
      <c r="G4081" t="s">
        <v>14672</v>
      </c>
      <c r="H4081" t="s">
        <v>13869</v>
      </c>
      <c r="I4081" t="s">
        <v>14690</v>
      </c>
      <c r="J4081" s="62">
        <v>0</v>
      </c>
      <c r="K4081" s="62">
        <v>0</v>
      </c>
      <c r="L4081" t="str">
        <f>VLOOKUP(VALUE(LEFT(C4081,5)),Xref!A:B,2,0)</f>
        <v>CRE</v>
      </c>
      <c r="M4081" t="str">
        <f t="shared" si="255"/>
        <v>CRE-TPI</v>
      </c>
    </row>
    <row r="4082" spans="1:13" ht="14.25" customHeight="true">
      <c r="A4082" s="33" t="str">
        <f t="shared" si="252"/>
        <v>TPI - Intercompany</v>
      </c>
      <c r="B4082" s="33" t="str">
        <f t="shared" si="253"/>
        <v>TPI</v>
      </c>
      <c r="C4082" s="33" t="str">
        <f t="shared" si="254"/>
        <v>11302-0000</v>
      </c>
      <c r="D4082" t="s">
        <v>28420</v>
      </c>
      <c r="E4082" t="s">
        <v>13226</v>
      </c>
      <c r="F4082" t="s">
        <v>14039</v>
      </c>
      <c r="G4082" t="s">
        <v>14672</v>
      </c>
      <c r="H4082" t="s">
        <v>13869</v>
      </c>
      <c r="I4082" t="s">
        <v>14690</v>
      </c>
      <c r="J4082" s="62">
        <v>0</v>
      </c>
      <c r="K4082" s="62">
        <v>0</v>
      </c>
      <c r="L4082" t="str">
        <f>VLOOKUP(VALUE(LEFT(C4082,5)),Xref!A:B,2,0)</f>
        <v>CHA</v>
      </c>
      <c r="M4082" t="str">
        <f t="shared" si="255"/>
        <v>CHA-TPI</v>
      </c>
    </row>
    <row r="4083" spans="1:13" ht="14.25" customHeight="true">
      <c r="A4083" s="33" t="str">
        <f t="shared" si="252"/>
        <v>TPI - Intercompany</v>
      </c>
      <c r="B4083" s="33" t="str">
        <f t="shared" si="253"/>
        <v>TPI</v>
      </c>
      <c r="C4083" s="33" t="str">
        <f t="shared" si="254"/>
        <v>11303-0000</v>
      </c>
      <c r="D4083" t="s">
        <v>28421</v>
      </c>
      <c r="E4083" t="s">
        <v>13227</v>
      </c>
      <c r="F4083" t="s">
        <v>14039</v>
      </c>
      <c r="G4083" t="s">
        <v>14672</v>
      </c>
      <c r="H4083" t="s">
        <v>13869</v>
      </c>
      <c r="I4083" t="s">
        <v>14690</v>
      </c>
      <c r="J4083" s="62">
        <v>0</v>
      </c>
      <c r="K4083" s="62">
        <v>0</v>
      </c>
      <c r="L4083" t="str">
        <f>VLOOKUP(VALUE(LEFT(C4083,5)),Xref!A:B,2,0)</f>
        <v>DIA</v>
      </c>
      <c r="M4083" t="str">
        <f t="shared" si="255"/>
        <v>DIA-TPI</v>
      </c>
    </row>
    <row r="4084" spans="1:13" ht="14.25" customHeight="true">
      <c r="A4084" s="33" t="str">
        <f t="shared" si="252"/>
        <v>TPI - Intercompany</v>
      </c>
      <c r="B4084" s="33" t="str">
        <f t="shared" si="253"/>
        <v>TPI</v>
      </c>
      <c r="C4084" s="33" t="str">
        <f t="shared" si="254"/>
        <v>11304-0000</v>
      </c>
      <c r="D4084" t="s">
        <v>28422</v>
      </c>
      <c r="E4084" t="s">
        <v>13228</v>
      </c>
      <c r="F4084" t="s">
        <v>14039</v>
      </c>
      <c r="G4084" t="s">
        <v>14672</v>
      </c>
      <c r="H4084" t="s">
        <v>13869</v>
      </c>
      <c r="I4084" t="s">
        <v>14690</v>
      </c>
      <c r="J4084" s="62">
        <v>0</v>
      </c>
      <c r="K4084" s="62">
        <v>0</v>
      </c>
      <c r="L4084" t="str">
        <f>VLOOKUP(VALUE(LEFT(C4084,5)),Xref!A:B,2,0)</f>
        <v>EAG</v>
      </c>
      <c r="M4084" t="str">
        <f t="shared" si="255"/>
        <v>EAG-TPI</v>
      </c>
    </row>
    <row r="4085" spans="1:13" ht="14.25" customHeight="true">
      <c r="A4085" s="33" t="str">
        <f t="shared" si="252"/>
        <v>TPI - Intercompany</v>
      </c>
      <c r="B4085" s="33" t="str">
        <f t="shared" si="253"/>
        <v>TPI</v>
      </c>
      <c r="C4085" s="33" t="str">
        <f t="shared" si="254"/>
        <v>11305-0000</v>
      </c>
      <c r="D4085" t="s">
        <v>28423</v>
      </c>
      <c r="E4085" t="s">
        <v>13229</v>
      </c>
      <c r="F4085" t="s">
        <v>14039</v>
      </c>
      <c r="G4085" t="s">
        <v>14672</v>
      </c>
      <c r="H4085" t="s">
        <v>13869</v>
      </c>
      <c r="I4085" t="s">
        <v>14690</v>
      </c>
      <c r="J4085" s="62">
        <v>0</v>
      </c>
      <c r="K4085" s="62">
        <v>0</v>
      </c>
      <c r="L4085" t="str">
        <f>VLOOKUP(VALUE(LEFT(C4085,5)),Xref!A:B,2,0)</f>
        <v>NEW</v>
      </c>
      <c r="M4085" t="str">
        <f t="shared" si="255"/>
        <v>NEW-TPI</v>
      </c>
    </row>
    <row r="4086" spans="1:13" ht="14.25" customHeight="true">
      <c r="A4086" s="33" t="str">
        <f t="shared" si="252"/>
        <v>TPI - Intercompany</v>
      </c>
      <c r="B4086" s="33" t="str">
        <f t="shared" si="253"/>
        <v>TPI</v>
      </c>
      <c r="C4086" s="33" t="str">
        <f t="shared" si="254"/>
        <v>11307-0000</v>
      </c>
      <c r="D4086" t="s">
        <v>28424</v>
      </c>
      <c r="E4086" t="s">
        <v>14096</v>
      </c>
      <c r="F4086" t="s">
        <v>14039</v>
      </c>
      <c r="G4086" t="s">
        <v>14672</v>
      </c>
      <c r="H4086" t="s">
        <v>13869</v>
      </c>
      <c r="I4086" t="s">
        <v>14690</v>
      </c>
      <c r="J4086" s="62">
        <v>0</v>
      </c>
      <c r="K4086" s="62">
        <v>0</v>
      </c>
      <c r="L4086" t="str">
        <f>VLOOKUP(VALUE(LEFT(C4086,5)),Xref!A:B,2,0)</f>
        <v>NES</v>
      </c>
      <c r="M4086" t="str">
        <f t="shared" si="255"/>
        <v>NES-TPI</v>
      </c>
    </row>
    <row r="4087" spans="1:13" ht="14.25" customHeight="true">
      <c r="A4087" s="33" t="str">
        <f t="shared" si="252"/>
        <v>TPI - Intercompany</v>
      </c>
      <c r="B4087" s="33" t="str">
        <f t="shared" si="253"/>
        <v>TPI</v>
      </c>
      <c r="C4087" s="33" t="str">
        <f t="shared" si="254"/>
        <v>11308-0000</v>
      </c>
      <c r="D4087" t="s">
        <v>28425</v>
      </c>
      <c r="E4087" t="s">
        <v>13476</v>
      </c>
      <c r="F4087" t="s">
        <v>14039</v>
      </c>
      <c r="G4087" t="s">
        <v>14672</v>
      </c>
      <c r="H4087" t="s">
        <v>13869</v>
      </c>
      <c r="I4087" t="s">
        <v>14690</v>
      </c>
      <c r="J4087" s="62">
        <v>0</v>
      </c>
      <c r="K4087" s="62">
        <v>0</v>
      </c>
      <c r="L4087" t="str">
        <f>VLOOKUP(VALUE(LEFT(C4087,5)),Xref!A:B,2,0)</f>
        <v>LPI</v>
      </c>
      <c r="M4087" t="str">
        <f t="shared" si="255"/>
        <v>LPI-TPI</v>
      </c>
    </row>
    <row r="4088" spans="1:13" ht="14.25" customHeight="true">
      <c r="A4088" s="33" t="str">
        <f t="shared" si="252"/>
        <v>TPI - Intercompany</v>
      </c>
      <c r="B4088" s="33" t="str">
        <f t="shared" si="253"/>
        <v>TPI</v>
      </c>
      <c r="C4088" s="33" t="str">
        <f t="shared" si="254"/>
        <v>11309-0000</v>
      </c>
      <c r="D4088" t="s">
        <v>28426</v>
      </c>
      <c r="E4088" t="s">
        <v>13230</v>
      </c>
      <c r="F4088" t="s">
        <v>14039</v>
      </c>
      <c r="G4088" t="s">
        <v>14672</v>
      </c>
      <c r="H4088" t="s">
        <v>13869</v>
      </c>
      <c r="I4088" t="s">
        <v>14690</v>
      </c>
      <c r="J4088" s="62">
        <v>0</v>
      </c>
      <c r="K4088" s="62">
        <v>0</v>
      </c>
      <c r="L4088" t="str">
        <f>VLOOKUP(VALUE(LEFT(C4088,5)),Xref!A:B,2,0)</f>
        <v>GPI</v>
      </c>
      <c r="M4088" t="str">
        <f t="shared" si="255"/>
        <v>GPI-TPI</v>
      </c>
    </row>
    <row r="4089" spans="1:13" ht="14.25" customHeight="true">
      <c r="A4089" s="33" t="str">
        <f t="shared" si="252"/>
        <v>TPI - Intercompany</v>
      </c>
      <c r="B4089" s="33" t="str">
        <f t="shared" si="253"/>
        <v>TPI</v>
      </c>
      <c r="C4089" s="33" t="str">
        <f t="shared" si="254"/>
        <v>11310-0000</v>
      </c>
      <c r="D4089" t="s">
        <v>28427</v>
      </c>
      <c r="E4089" t="s">
        <v>13231</v>
      </c>
      <c r="F4089" t="s">
        <v>14039</v>
      </c>
      <c r="G4089" t="s">
        <v>14672</v>
      </c>
      <c r="H4089" t="s">
        <v>13869</v>
      </c>
      <c r="I4089" t="s">
        <v>14690</v>
      </c>
      <c r="J4089" s="62">
        <v>0</v>
      </c>
      <c r="K4089" s="62">
        <v>0</v>
      </c>
      <c r="L4089" t="str">
        <f>VLOOKUP(VALUE(LEFT(C4089,5)),Xref!A:B,2,0)</f>
        <v>ALP</v>
      </c>
      <c r="M4089" t="str">
        <f t="shared" si="255"/>
        <v>ALP-TPI</v>
      </c>
    </row>
    <row r="4090" spans="1:13" ht="14.25" customHeight="true">
      <c r="A4090" s="33" t="str">
        <f t="shared" si="252"/>
        <v>TPI - Intercompany</v>
      </c>
      <c r="B4090" s="33" t="str">
        <f t="shared" si="253"/>
        <v>TPI</v>
      </c>
      <c r="C4090" s="33" t="str">
        <f t="shared" si="254"/>
        <v>11311-0000</v>
      </c>
      <c r="D4090" t="s">
        <v>28428</v>
      </c>
      <c r="E4090" t="s">
        <v>13232</v>
      </c>
      <c r="F4090" t="s">
        <v>14039</v>
      </c>
      <c r="G4090" t="s">
        <v>14672</v>
      </c>
      <c r="H4090" t="s">
        <v>13869</v>
      </c>
      <c r="I4090" t="s">
        <v>14690</v>
      </c>
      <c r="J4090" s="62">
        <v>0</v>
      </c>
      <c r="K4090" s="62">
        <v>0</v>
      </c>
      <c r="L4090" t="str">
        <f>VLOOKUP(VALUE(LEFT(C4090,5)),Xref!A:B,2,0)</f>
        <v>BET</v>
      </c>
      <c r="M4090" t="str">
        <f t="shared" si="255"/>
        <v>BET-TPI</v>
      </c>
    </row>
    <row r="4091" spans="1:13" ht="14.25" customHeight="true">
      <c r="A4091" s="33" t="str">
        <f t="shared" si="252"/>
        <v>TPI - Intercompany</v>
      </c>
      <c r="B4091" s="33" t="str">
        <f t="shared" si="253"/>
        <v>TPI</v>
      </c>
      <c r="C4091" s="33" t="str">
        <f t="shared" si="254"/>
        <v>11312-0000</v>
      </c>
      <c r="D4091" t="s">
        <v>28429</v>
      </c>
      <c r="E4091" t="s">
        <v>14102</v>
      </c>
      <c r="F4091" t="s">
        <v>14039</v>
      </c>
      <c r="G4091" t="s">
        <v>14672</v>
      </c>
      <c r="H4091" t="s">
        <v>13869</v>
      </c>
      <c r="I4091" t="s">
        <v>14690</v>
      </c>
      <c r="J4091" s="62">
        <v>0</v>
      </c>
      <c r="K4091" s="62">
        <v>0</v>
      </c>
      <c r="L4091" t="str">
        <f>VLOOKUP(VALUE(LEFT(C4091,5)),Xref!A:B,2,0)</f>
        <v>DEL</v>
      </c>
      <c r="M4091" t="str">
        <f t="shared" si="255"/>
        <v>DEL-TPI</v>
      </c>
    </row>
    <row r="4092" spans="1:13" ht="14.25" customHeight="true">
      <c r="A4092" s="33" t="str">
        <f t="shared" si="252"/>
        <v>TPI - Intercompany</v>
      </c>
      <c r="B4092" s="33" t="str">
        <f t="shared" si="253"/>
        <v>TPI</v>
      </c>
      <c r="C4092" s="33" t="str">
        <f t="shared" si="254"/>
        <v>11313-0000</v>
      </c>
      <c r="D4092" t="s">
        <v>28430</v>
      </c>
      <c r="E4092" t="s">
        <v>13233</v>
      </c>
      <c r="F4092" t="s">
        <v>14039</v>
      </c>
      <c r="G4092" t="s">
        <v>14672</v>
      </c>
      <c r="H4092" t="s">
        <v>13869</v>
      </c>
      <c r="I4092" t="s">
        <v>14690</v>
      </c>
      <c r="J4092" s="62">
        <v>0</v>
      </c>
      <c r="K4092" s="62">
        <v>0</v>
      </c>
      <c r="L4092" t="str">
        <f>VLOOKUP(VALUE(LEFT(C4092,5)),Xref!A:B,2,0)</f>
        <v>DOL</v>
      </c>
      <c r="M4092" t="str">
        <f t="shared" si="255"/>
        <v>DOL-TPI</v>
      </c>
    </row>
    <row r="4093" spans="1:13" ht="14.25" customHeight="true">
      <c r="A4093" s="33" t="str">
        <f t="shared" si="252"/>
        <v>TPI - Intercompany</v>
      </c>
      <c r="B4093" s="33" t="str">
        <f t="shared" si="253"/>
        <v>TPI</v>
      </c>
      <c r="C4093" s="33" t="str">
        <f t="shared" si="254"/>
        <v>11314-0000</v>
      </c>
      <c r="D4093" t="s">
        <v>28431</v>
      </c>
      <c r="E4093" t="s">
        <v>13351</v>
      </c>
      <c r="F4093" t="s">
        <v>14039</v>
      </c>
      <c r="G4093" t="s">
        <v>14672</v>
      </c>
      <c r="H4093" t="s">
        <v>13869</v>
      </c>
      <c r="I4093" t="s">
        <v>14690</v>
      </c>
      <c r="J4093" s="62">
        <v>0</v>
      </c>
      <c r="K4093" s="62">
        <v>0</v>
      </c>
      <c r="L4093" t="str">
        <f>VLOOKUP(VALUE(LEFT(C4093,5)),Xref!A:B,2,0)</f>
        <v>GRI</v>
      </c>
      <c r="M4093" t="str">
        <f t="shared" si="255"/>
        <v>GRI-TPI</v>
      </c>
    </row>
    <row r="4094" spans="1:13" ht="14.25" customHeight="true">
      <c r="A4094" s="33" t="str">
        <f t="shared" si="252"/>
        <v>TPI - Intercompany</v>
      </c>
      <c r="B4094" s="33" t="str">
        <f t="shared" si="253"/>
        <v>TPI</v>
      </c>
      <c r="C4094" s="33" t="str">
        <f t="shared" si="254"/>
        <v>11315-0000</v>
      </c>
      <c r="D4094" t="s">
        <v>28432</v>
      </c>
      <c r="E4094" t="s">
        <v>13234</v>
      </c>
      <c r="F4094" t="s">
        <v>14039</v>
      </c>
      <c r="G4094" t="s">
        <v>14672</v>
      </c>
      <c r="H4094" t="s">
        <v>13869</v>
      </c>
      <c r="I4094" t="s">
        <v>14690</v>
      </c>
      <c r="J4094" s="62">
        <v>0</v>
      </c>
      <c r="K4094" s="62">
        <v>0</v>
      </c>
      <c r="L4094" t="str">
        <f>VLOOKUP(VALUE(LEFT(C4094,5)),Xref!A:B,2,0)</f>
        <v>PUR</v>
      </c>
      <c r="M4094" t="str">
        <f t="shared" si="255"/>
        <v>PUR-TPI</v>
      </c>
    </row>
    <row r="4095" spans="1:13" ht="14.25" customHeight="true">
      <c r="A4095" s="33" t="str">
        <f t="shared" si="252"/>
        <v>TPI - Intercompany</v>
      </c>
      <c r="B4095" s="33" t="str">
        <f t="shared" si="253"/>
        <v>TPI</v>
      </c>
      <c r="C4095" s="33" t="str">
        <f t="shared" si="254"/>
        <v>11316-0000</v>
      </c>
      <c r="D4095" t="s">
        <v>28433</v>
      </c>
      <c r="E4095" t="s">
        <v>13235</v>
      </c>
      <c r="F4095" t="s">
        <v>14039</v>
      </c>
      <c r="G4095" t="s">
        <v>14672</v>
      </c>
      <c r="H4095" t="s">
        <v>13869</v>
      </c>
      <c r="I4095" t="s">
        <v>14690</v>
      </c>
      <c r="J4095" s="62">
        <v>0</v>
      </c>
      <c r="K4095" s="62">
        <v>0</v>
      </c>
      <c r="L4095" t="str">
        <f>VLOOKUP(VALUE(LEFT(C4095,5)),Xref!A:B,2,0)</f>
        <v>VAL</v>
      </c>
      <c r="M4095" t="str">
        <f t="shared" si="255"/>
        <v>TPI-VAL</v>
      </c>
    </row>
    <row r="4096" spans="1:13" ht="14.25" customHeight="true">
      <c r="A4096" s="33" t="str">
        <f t="shared" si="252"/>
        <v>TPI - Intercompany</v>
      </c>
      <c r="B4096" s="33" t="str">
        <f t="shared" si="253"/>
        <v>TPI</v>
      </c>
      <c r="C4096" s="33" t="str">
        <f t="shared" si="254"/>
        <v>11317-0000</v>
      </c>
      <c r="D4096" t="s">
        <v>28434</v>
      </c>
      <c r="E4096" t="s">
        <v>13352</v>
      </c>
      <c r="F4096" t="s">
        <v>14039</v>
      </c>
      <c r="G4096" t="s">
        <v>14672</v>
      </c>
      <c r="H4096" t="s">
        <v>13869</v>
      </c>
      <c r="I4096" t="s">
        <v>14690</v>
      </c>
      <c r="J4096" s="62">
        <v>0</v>
      </c>
      <c r="K4096" s="62">
        <v>0</v>
      </c>
      <c r="L4096" t="str">
        <f>VLOOKUP(VALUE(LEFT(C4096,5)),Xref!A:B,2,0)</f>
        <v>AKG</v>
      </c>
      <c r="M4096" t="str">
        <f t="shared" si="255"/>
        <v>AKG-TPI</v>
      </c>
    </row>
    <row r="4097" spans="1:13" ht="14.25" customHeight="true">
      <c r="A4097" s="33" t="str">
        <f t="shared" si="252"/>
        <v>TPI - Intercompany</v>
      </c>
      <c r="B4097" s="33" t="str">
        <f t="shared" si="253"/>
        <v>TPI</v>
      </c>
      <c r="C4097" s="33" t="str">
        <f t="shared" si="254"/>
        <v>11318-0000</v>
      </c>
      <c r="D4097" t="s">
        <v>12783</v>
      </c>
      <c r="E4097" t="s">
        <v>13477</v>
      </c>
      <c r="F4097" t="s">
        <v>14039</v>
      </c>
      <c r="G4097" t="s">
        <v>14672</v>
      </c>
      <c r="H4097" t="s">
        <v>13869</v>
      </c>
      <c r="I4097" t="s">
        <v>14690</v>
      </c>
      <c r="J4097" s="62">
        <v>0</v>
      </c>
      <c r="K4097" s="62">
        <v>-7504003.34</v>
      </c>
      <c r="L4097" t="str">
        <f>VLOOKUP(VALUE(LEFT(C4097,5)),Xref!A:B,2,0)</f>
        <v>FIR</v>
      </c>
      <c r="M4097" t="str">
        <f t="shared" si="255"/>
        <v>FIR-TPI</v>
      </c>
    </row>
    <row r="4098" spans="1:13" ht="14.25" customHeight="true">
      <c r="A4098" s="33" t="str">
        <f t="shared" ref="A4098:A4161" si="256">B4098&amp;" - "&amp;TRIM(H4098)</f>
        <v>TPI - Intercompany</v>
      </c>
      <c r="B4098" s="33" t="str">
        <f t="shared" ref="B4098:B4161" si="257">LEFT(D4098,3)</f>
        <v>TPI</v>
      </c>
      <c r="C4098" s="33" t="str">
        <f t="shared" ref="C4098:C4161" si="258">RIGHT(D4098,10)</f>
        <v>11319-0000</v>
      </c>
      <c r="D4098" t="s">
        <v>28435</v>
      </c>
      <c r="E4098" t="s">
        <v>266</v>
      </c>
      <c r="F4098" t="s">
        <v>14039</v>
      </c>
      <c r="G4098" t="s">
        <v>14672</v>
      </c>
      <c r="H4098" t="s">
        <v>13869</v>
      </c>
      <c r="I4098" t="s">
        <v>14690</v>
      </c>
      <c r="J4098" s="62">
        <v>0</v>
      </c>
      <c r="K4098" s="62">
        <v>0</v>
      </c>
      <c r="L4098" t="str">
        <f>VLOOKUP(VALUE(LEFT(C4098,5)),Xref!A:B,2,0)</f>
        <v>GST</v>
      </c>
      <c r="M4098" t="str">
        <f t="shared" ref="M4098:M4161" si="259">IF(B4098&lt;L4098,B4098&amp;"-"&amp;L4098,L4098&amp;"-"&amp;B4098)</f>
        <v>GST-TPI</v>
      </c>
    </row>
    <row r="4099" spans="1:13" ht="14.25" customHeight="true">
      <c r="A4099" s="33" t="str">
        <f t="shared" si="256"/>
        <v>TPI - Intercompany</v>
      </c>
      <c r="B4099" s="33" t="str">
        <f t="shared" si="257"/>
        <v>TPI</v>
      </c>
      <c r="C4099" s="33" t="str">
        <f t="shared" si="258"/>
        <v>11320-0000</v>
      </c>
      <c r="D4099" t="s">
        <v>28436</v>
      </c>
      <c r="E4099" t="s">
        <v>14111</v>
      </c>
      <c r="F4099" t="s">
        <v>14039</v>
      </c>
      <c r="G4099" t="s">
        <v>14672</v>
      </c>
      <c r="H4099" t="s">
        <v>13869</v>
      </c>
      <c r="I4099" t="s">
        <v>14690</v>
      </c>
      <c r="J4099" s="62">
        <v>0</v>
      </c>
      <c r="K4099" s="62">
        <v>0</v>
      </c>
      <c r="L4099" t="str">
        <f>VLOOKUP(VALUE(LEFT(C4099,5)),Xref!A:B,2,0)</f>
        <v>HDN</v>
      </c>
      <c r="M4099" t="str">
        <f t="shared" si="259"/>
        <v>HDN-TPI</v>
      </c>
    </row>
    <row r="4100" spans="1:13" ht="14.25" customHeight="true">
      <c r="A4100" s="33" t="str">
        <f t="shared" si="256"/>
        <v>TPI - Intercompany</v>
      </c>
      <c r="B4100" s="33" t="str">
        <f t="shared" si="257"/>
        <v>TPI</v>
      </c>
      <c r="C4100" s="33" t="str">
        <f t="shared" si="258"/>
        <v>11321-0000</v>
      </c>
      <c r="D4100" t="s">
        <v>28437</v>
      </c>
      <c r="E4100" t="s">
        <v>13236</v>
      </c>
      <c r="F4100" t="s">
        <v>14039</v>
      </c>
      <c r="G4100" t="s">
        <v>14672</v>
      </c>
      <c r="H4100" t="s">
        <v>13869</v>
      </c>
      <c r="I4100" t="s">
        <v>14690</v>
      </c>
      <c r="J4100" s="62">
        <v>0</v>
      </c>
      <c r="K4100" s="62">
        <v>0</v>
      </c>
      <c r="L4100" t="str">
        <f>VLOOKUP(VALUE(LEFT(C4100,5)),Xref!A:B,2,0)</f>
        <v>OVA</v>
      </c>
      <c r="M4100" t="str">
        <f t="shared" si="259"/>
        <v>OVA-TPI</v>
      </c>
    </row>
    <row r="4101" spans="1:13" ht="14.25" customHeight="true">
      <c r="A4101" s="33" t="str">
        <f t="shared" si="256"/>
        <v>TPI - Intercompany</v>
      </c>
      <c r="B4101" s="33" t="str">
        <f t="shared" si="257"/>
        <v>TPI</v>
      </c>
      <c r="C4101" s="33" t="str">
        <f t="shared" si="258"/>
        <v>11322-0000</v>
      </c>
      <c r="D4101" t="s">
        <v>28438</v>
      </c>
      <c r="E4101" t="s">
        <v>13237</v>
      </c>
      <c r="F4101" t="s">
        <v>14039</v>
      </c>
      <c r="G4101" t="s">
        <v>14672</v>
      </c>
      <c r="H4101" t="s">
        <v>13869</v>
      </c>
      <c r="I4101" t="s">
        <v>14690</v>
      </c>
      <c r="J4101" s="62">
        <v>0</v>
      </c>
      <c r="K4101" s="62">
        <v>0</v>
      </c>
      <c r="L4101" t="str">
        <f>VLOOKUP(VALUE(LEFT(C4101,5)),Xref!A:B,2,0)</f>
        <v>WOO</v>
      </c>
      <c r="M4101" t="str">
        <f t="shared" si="259"/>
        <v>TPI-WOO</v>
      </c>
    </row>
    <row r="4102" spans="1:13" ht="14.25" customHeight="true">
      <c r="A4102" s="33" t="str">
        <f t="shared" si="256"/>
        <v>TPI - Intercompany</v>
      </c>
      <c r="B4102" s="33" t="str">
        <f t="shared" si="257"/>
        <v>TPI</v>
      </c>
      <c r="C4102" s="33" t="str">
        <f t="shared" si="258"/>
        <v>11323-0000</v>
      </c>
      <c r="D4102" t="s">
        <v>28439</v>
      </c>
      <c r="E4102" t="s">
        <v>13478</v>
      </c>
      <c r="F4102" t="s">
        <v>14039</v>
      </c>
      <c r="G4102" t="s">
        <v>14672</v>
      </c>
      <c r="H4102" t="s">
        <v>13869</v>
      </c>
      <c r="I4102" t="s">
        <v>14690</v>
      </c>
      <c r="J4102" s="62">
        <v>0</v>
      </c>
      <c r="K4102" s="62">
        <v>0</v>
      </c>
      <c r="L4102" t="str">
        <f>VLOOKUP(VALUE(LEFT(C4102,5)),Xref!A:B,2,0)</f>
        <v>SPI</v>
      </c>
      <c r="M4102" t="str">
        <f t="shared" si="259"/>
        <v>SPI-TPI</v>
      </c>
    </row>
    <row r="4103" spans="1:13" ht="14.25" customHeight="true">
      <c r="A4103" s="33" t="str">
        <f t="shared" si="256"/>
        <v>TPI - Intercompany</v>
      </c>
      <c r="B4103" s="33" t="str">
        <f t="shared" si="257"/>
        <v>TPI</v>
      </c>
      <c r="C4103" s="33" t="str">
        <f t="shared" si="258"/>
        <v>11324-0000</v>
      </c>
      <c r="D4103" t="s">
        <v>28440</v>
      </c>
      <c r="E4103" t="s">
        <v>13238</v>
      </c>
      <c r="F4103" t="s">
        <v>14039</v>
      </c>
      <c r="G4103" t="s">
        <v>14672</v>
      </c>
      <c r="H4103" t="s">
        <v>13869</v>
      </c>
      <c r="I4103" t="s">
        <v>14690</v>
      </c>
      <c r="J4103" s="62">
        <v>0</v>
      </c>
      <c r="K4103" s="62">
        <v>0</v>
      </c>
      <c r="L4103" t="str">
        <f>VLOOKUP(VALUE(LEFT(C4103,5)),Xref!A:B,2,0)</f>
        <v>NET</v>
      </c>
      <c r="M4103" t="str">
        <f t="shared" si="259"/>
        <v>NET-TPI</v>
      </c>
    </row>
    <row r="4104" spans="1:13" ht="14.25" customHeight="true">
      <c r="A4104" s="33" t="str">
        <f t="shared" si="256"/>
        <v>TPI - Intercompany</v>
      </c>
      <c r="B4104" s="33" t="str">
        <f t="shared" si="257"/>
        <v>TPI</v>
      </c>
      <c r="C4104" s="33" t="str">
        <f t="shared" si="258"/>
        <v>11325-0000</v>
      </c>
      <c r="D4104" t="s">
        <v>28441</v>
      </c>
      <c r="E4104" t="s">
        <v>13239</v>
      </c>
      <c r="F4104" t="s">
        <v>14039</v>
      </c>
      <c r="G4104" t="s">
        <v>14672</v>
      </c>
      <c r="H4104" t="s">
        <v>13869</v>
      </c>
      <c r="I4104" t="s">
        <v>14690</v>
      </c>
      <c r="J4104" s="62">
        <v>0</v>
      </c>
      <c r="K4104" s="62">
        <v>0</v>
      </c>
      <c r="L4104" t="str">
        <f>VLOOKUP(VALUE(LEFT(C4104,5)),Xref!A:B,2,0)</f>
        <v>DPI</v>
      </c>
      <c r="M4104" t="str">
        <f t="shared" si="259"/>
        <v>DPI-TPI</v>
      </c>
    </row>
    <row r="4105" spans="1:13" ht="14.25" customHeight="true">
      <c r="A4105" s="33" t="str">
        <f t="shared" si="256"/>
        <v>TPI - Intercompany</v>
      </c>
      <c r="B4105" s="33" t="str">
        <f t="shared" si="257"/>
        <v>TPI</v>
      </c>
      <c r="C4105" s="33" t="str">
        <f t="shared" si="258"/>
        <v>11326-0000</v>
      </c>
      <c r="D4105" t="s">
        <v>28442</v>
      </c>
      <c r="E4105" t="s">
        <v>13240</v>
      </c>
      <c r="F4105" t="s">
        <v>14039</v>
      </c>
      <c r="G4105" t="s">
        <v>14672</v>
      </c>
      <c r="H4105" t="s">
        <v>13869</v>
      </c>
      <c r="I4105" t="s">
        <v>14690</v>
      </c>
      <c r="J4105" s="62">
        <v>0</v>
      </c>
      <c r="K4105" s="62">
        <v>0</v>
      </c>
      <c r="L4105" t="str">
        <f>VLOOKUP(VALUE(LEFT(C4105,5)),Xref!A:B,2,0)</f>
        <v>SEK</v>
      </c>
      <c r="M4105" t="str">
        <f t="shared" si="259"/>
        <v>SEK-TPI</v>
      </c>
    </row>
    <row r="4106" spans="1:13" ht="14.25" customHeight="true">
      <c r="A4106" s="33" t="str">
        <f t="shared" si="256"/>
        <v>TPI - Intercompany</v>
      </c>
      <c r="B4106" s="33" t="str">
        <f t="shared" si="257"/>
        <v>TPI</v>
      </c>
      <c r="C4106" s="33" t="str">
        <f t="shared" si="258"/>
        <v>11327-0000</v>
      </c>
      <c r="D4106" t="s">
        <v>28443</v>
      </c>
      <c r="E4106" t="s">
        <v>14119</v>
      </c>
      <c r="F4106" t="s">
        <v>14039</v>
      </c>
      <c r="G4106" t="s">
        <v>14672</v>
      </c>
      <c r="H4106" t="s">
        <v>13869</v>
      </c>
      <c r="I4106" t="s">
        <v>14690</v>
      </c>
      <c r="J4106" s="62">
        <v>0</v>
      </c>
      <c r="K4106" s="62">
        <v>0</v>
      </c>
      <c r="L4106" t="str">
        <f>VLOOKUP(VALUE(LEFT(C4106,5)),Xref!A:B,2,0)</f>
        <v>CPI</v>
      </c>
      <c r="M4106" t="str">
        <f t="shared" si="259"/>
        <v>CPI-TPI</v>
      </c>
    </row>
    <row r="4107" spans="1:13" ht="14.25" customHeight="true">
      <c r="A4107" s="33" t="str">
        <f t="shared" si="256"/>
        <v>TPI - Intercompany</v>
      </c>
      <c r="B4107" s="33" t="str">
        <f t="shared" si="257"/>
        <v>TPI</v>
      </c>
      <c r="C4107" s="33" t="str">
        <f t="shared" si="258"/>
        <v>11328-0000</v>
      </c>
      <c r="D4107" t="s">
        <v>28444</v>
      </c>
      <c r="E4107" t="s">
        <v>13241</v>
      </c>
      <c r="F4107" t="s">
        <v>14039</v>
      </c>
      <c r="G4107" t="s">
        <v>14672</v>
      </c>
      <c r="H4107" t="s">
        <v>13869</v>
      </c>
      <c r="I4107" t="s">
        <v>14690</v>
      </c>
      <c r="J4107" s="62">
        <v>0</v>
      </c>
      <c r="K4107" s="62">
        <v>0</v>
      </c>
      <c r="L4107" t="str">
        <f>VLOOKUP(VALUE(LEFT(C4107,5)),Xref!A:B,2,0)</f>
        <v>LOM</v>
      </c>
      <c r="M4107" t="str">
        <f t="shared" si="259"/>
        <v>LOM-TPI</v>
      </c>
    </row>
    <row r="4108" spans="1:13" ht="14.25" customHeight="true">
      <c r="A4108" s="33" t="str">
        <f t="shared" si="256"/>
        <v>TPI - Intercompany</v>
      </c>
      <c r="B4108" s="33" t="str">
        <f t="shared" si="257"/>
        <v>TPI</v>
      </c>
      <c r="C4108" s="33" t="str">
        <f t="shared" si="258"/>
        <v>11329-0000</v>
      </c>
      <c r="D4108" t="s">
        <v>28445</v>
      </c>
      <c r="E4108" t="s">
        <v>13353</v>
      </c>
      <c r="F4108" t="s">
        <v>14039</v>
      </c>
      <c r="G4108" t="s">
        <v>14672</v>
      </c>
      <c r="H4108" t="s">
        <v>13869</v>
      </c>
      <c r="I4108" t="s">
        <v>14690</v>
      </c>
      <c r="J4108" s="62">
        <v>0</v>
      </c>
      <c r="K4108" s="62">
        <v>0</v>
      </c>
      <c r="L4108" t="str">
        <f>VLOOKUP(VALUE(LEFT(C4108,5)),Xref!A:B,2,0)</f>
        <v>AKS</v>
      </c>
      <c r="M4108" t="str">
        <f t="shared" si="259"/>
        <v>AKS-TPI</v>
      </c>
    </row>
    <row r="4109" spans="1:13" ht="14.25" customHeight="true">
      <c r="A4109" s="33" t="str">
        <f t="shared" si="256"/>
        <v>TPI - Intercompany</v>
      </c>
      <c r="B4109" s="33" t="str">
        <f t="shared" si="257"/>
        <v>TPI</v>
      </c>
      <c r="C4109" s="33" t="str">
        <f t="shared" si="258"/>
        <v>11330-0000</v>
      </c>
      <c r="D4109" t="s">
        <v>28446</v>
      </c>
      <c r="E4109" t="s">
        <v>13242</v>
      </c>
      <c r="F4109" t="s">
        <v>14039</v>
      </c>
      <c r="G4109" t="s">
        <v>14672</v>
      </c>
      <c r="H4109" t="s">
        <v>13869</v>
      </c>
      <c r="I4109" t="s">
        <v>14690</v>
      </c>
      <c r="J4109" s="62">
        <v>0</v>
      </c>
      <c r="K4109" s="62">
        <v>0</v>
      </c>
      <c r="L4109" t="str">
        <f>VLOOKUP(VALUE(LEFT(C4109,5)),Xref!A:B,2,0)</f>
        <v>MAR</v>
      </c>
      <c r="M4109" t="str">
        <f t="shared" si="259"/>
        <v>MAR-TPI</v>
      </c>
    </row>
    <row r="4110" spans="1:13" ht="14.25" customHeight="true">
      <c r="A4110" s="33" t="str">
        <f t="shared" si="256"/>
        <v>TPI - Intercompany</v>
      </c>
      <c r="B4110" s="33" t="str">
        <f t="shared" si="257"/>
        <v>TPI</v>
      </c>
      <c r="C4110" s="33" t="str">
        <f t="shared" si="258"/>
        <v>11331-0000</v>
      </c>
      <c r="D4110" t="s">
        <v>28447</v>
      </c>
      <c r="E4110" t="s">
        <v>13354</v>
      </c>
      <c r="F4110" t="s">
        <v>14039</v>
      </c>
      <c r="G4110" t="s">
        <v>14672</v>
      </c>
      <c r="H4110" t="s">
        <v>13869</v>
      </c>
      <c r="I4110" t="s">
        <v>14690</v>
      </c>
      <c r="J4110" s="62">
        <v>0</v>
      </c>
      <c r="K4110" s="62">
        <v>0</v>
      </c>
      <c r="L4110" t="str">
        <f>VLOOKUP(VALUE(LEFT(C4110,5)),Xref!A:B,2,0)</f>
        <v>WIL</v>
      </c>
      <c r="M4110" t="str">
        <f t="shared" si="259"/>
        <v>TPI-WIL</v>
      </c>
    </row>
    <row r="4111" spans="1:13" ht="14.25" customHeight="true">
      <c r="A4111" s="33" t="str">
        <f t="shared" si="256"/>
        <v>TPI - Intercompany</v>
      </c>
      <c r="B4111" s="33" t="str">
        <f t="shared" si="257"/>
        <v>TPI</v>
      </c>
      <c r="C4111" s="33" t="str">
        <f t="shared" si="258"/>
        <v>11332-0000</v>
      </c>
      <c r="D4111" t="s">
        <v>28448</v>
      </c>
      <c r="E4111" t="s">
        <v>13243</v>
      </c>
      <c r="F4111" t="s">
        <v>14039</v>
      </c>
      <c r="G4111" t="s">
        <v>14672</v>
      </c>
      <c r="H4111" t="s">
        <v>13869</v>
      </c>
      <c r="I4111" t="s">
        <v>14690</v>
      </c>
      <c r="J4111" s="62">
        <v>0</v>
      </c>
      <c r="K4111" s="62">
        <v>0</v>
      </c>
      <c r="L4111" t="str">
        <f>VLOOKUP(VALUE(LEFT(C4111,5)),Xref!A:B,2,0)</f>
        <v>STO</v>
      </c>
      <c r="M4111" t="str">
        <f t="shared" si="259"/>
        <v>STO-TPI</v>
      </c>
    </row>
    <row r="4112" spans="1:13" ht="14.25" customHeight="true">
      <c r="A4112" s="33" t="str">
        <f t="shared" si="256"/>
        <v>TPI - Intercompany</v>
      </c>
      <c r="B4112" s="33" t="str">
        <f t="shared" si="257"/>
        <v>TPI</v>
      </c>
      <c r="C4112" s="33" t="str">
        <f t="shared" si="258"/>
        <v>11333-0000</v>
      </c>
      <c r="D4112" t="s">
        <v>28449</v>
      </c>
      <c r="E4112" t="s">
        <v>13244</v>
      </c>
      <c r="F4112" t="s">
        <v>14039</v>
      </c>
      <c r="G4112" t="s">
        <v>14672</v>
      </c>
      <c r="H4112" t="s">
        <v>13869</v>
      </c>
      <c r="I4112" t="s">
        <v>14690</v>
      </c>
      <c r="J4112" s="62">
        <v>0</v>
      </c>
      <c r="K4112" s="62">
        <v>0</v>
      </c>
      <c r="L4112" t="str">
        <f>VLOOKUP(VALUE(LEFT(C4112,5)),Xref!A:B,2,0)</f>
        <v>ANG</v>
      </c>
      <c r="M4112" t="str">
        <f t="shared" si="259"/>
        <v>ANG-TPI</v>
      </c>
    </row>
    <row r="4113" spans="1:13" ht="14.25" customHeight="true">
      <c r="A4113" s="33" t="str">
        <f t="shared" si="256"/>
        <v>TPI - Intercompany</v>
      </c>
      <c r="B4113" s="33" t="str">
        <f t="shared" si="257"/>
        <v>TPI</v>
      </c>
      <c r="C4113" s="33" t="str">
        <f t="shared" si="258"/>
        <v>11334-0000</v>
      </c>
      <c r="D4113" t="s">
        <v>28450</v>
      </c>
      <c r="E4113" t="s">
        <v>13245</v>
      </c>
      <c r="F4113" t="s">
        <v>14039</v>
      </c>
      <c r="G4113" t="s">
        <v>14672</v>
      </c>
      <c r="H4113" t="s">
        <v>13869</v>
      </c>
      <c r="I4113" t="s">
        <v>14690</v>
      </c>
      <c r="J4113" s="62">
        <v>0</v>
      </c>
      <c r="K4113" s="62">
        <v>0</v>
      </c>
      <c r="L4113" t="str">
        <f>VLOOKUP(VALUE(LEFT(C4113,5)),Xref!A:B,2,0)</f>
        <v>BRU</v>
      </c>
      <c r="M4113" t="str">
        <f t="shared" si="259"/>
        <v>BRU-TPI</v>
      </c>
    </row>
    <row r="4114" spans="1:13" ht="14.25" customHeight="true">
      <c r="A4114" s="33" t="str">
        <f t="shared" si="256"/>
        <v>TPI - Intercompany</v>
      </c>
      <c r="B4114" s="33" t="str">
        <f t="shared" si="257"/>
        <v>TPI</v>
      </c>
      <c r="C4114" s="33" t="str">
        <f t="shared" si="258"/>
        <v>11335-0000</v>
      </c>
      <c r="D4114" t="s">
        <v>28451</v>
      </c>
      <c r="E4114" t="s">
        <v>13246</v>
      </c>
      <c r="F4114" t="s">
        <v>14039</v>
      </c>
      <c r="G4114" t="s">
        <v>14672</v>
      </c>
      <c r="H4114" t="s">
        <v>13869</v>
      </c>
      <c r="I4114" t="s">
        <v>14690</v>
      </c>
      <c r="J4114" s="62">
        <v>0</v>
      </c>
      <c r="K4114" s="62">
        <v>0</v>
      </c>
      <c r="L4114" t="str">
        <f>VLOOKUP(VALUE(LEFT(C4114,5)),Xref!A:B,2,0)</f>
        <v>VEN</v>
      </c>
      <c r="M4114" t="str">
        <f t="shared" si="259"/>
        <v>TPI-VEN</v>
      </c>
    </row>
    <row r="4115" spans="1:13" ht="14.25" customHeight="true">
      <c r="A4115" s="33" t="str">
        <f t="shared" si="256"/>
        <v>TPI - Intercompany</v>
      </c>
      <c r="B4115" s="33" t="str">
        <f t="shared" si="257"/>
        <v>TPI</v>
      </c>
      <c r="C4115" s="33" t="str">
        <f t="shared" si="258"/>
        <v>11336-0000</v>
      </c>
      <c r="D4115" t="s">
        <v>28452</v>
      </c>
      <c r="E4115" t="s">
        <v>13247</v>
      </c>
      <c r="F4115" t="s">
        <v>14039</v>
      </c>
      <c r="G4115" t="s">
        <v>14672</v>
      </c>
      <c r="H4115" t="s">
        <v>13869</v>
      </c>
      <c r="I4115" t="s">
        <v>14690</v>
      </c>
      <c r="J4115" s="62">
        <v>0</v>
      </c>
      <c r="K4115" s="62">
        <v>0</v>
      </c>
      <c r="L4115" t="str">
        <f>VLOOKUP(VALUE(LEFT(C4115,5)),Xref!A:B,2,0)</f>
        <v>SAT</v>
      </c>
      <c r="M4115" t="str">
        <f t="shared" si="259"/>
        <v>SAT-TPI</v>
      </c>
    </row>
    <row r="4116" spans="1:13" ht="14.25" customHeight="true">
      <c r="A4116" s="33" t="str">
        <f t="shared" si="256"/>
        <v>TPI - Intercompany</v>
      </c>
      <c r="B4116" s="33" t="str">
        <f t="shared" si="257"/>
        <v>TPI</v>
      </c>
      <c r="C4116" s="33" t="str">
        <f t="shared" si="258"/>
        <v>11337-0000</v>
      </c>
      <c r="D4116" t="s">
        <v>28453</v>
      </c>
      <c r="E4116" t="s">
        <v>13248</v>
      </c>
      <c r="F4116" t="s">
        <v>14039</v>
      </c>
      <c r="G4116" t="s">
        <v>14672</v>
      </c>
      <c r="H4116" t="s">
        <v>13869</v>
      </c>
      <c r="I4116" t="s">
        <v>14690</v>
      </c>
      <c r="J4116" s="62">
        <v>0</v>
      </c>
      <c r="K4116" s="62">
        <v>0</v>
      </c>
      <c r="L4116" t="str">
        <f>VLOOKUP(VALUE(LEFT(C4116,5)),Xref!A:B,2,0)</f>
        <v>NEP</v>
      </c>
      <c r="M4116" t="str">
        <f t="shared" si="259"/>
        <v>NEP-TPI</v>
      </c>
    </row>
    <row r="4117" spans="1:13" ht="14.25" customHeight="true">
      <c r="A4117" s="33" t="str">
        <f t="shared" si="256"/>
        <v>TPI - Intercompany</v>
      </c>
      <c r="B4117" s="33" t="str">
        <f t="shared" si="257"/>
        <v>TPI</v>
      </c>
      <c r="C4117" s="33" t="str">
        <f t="shared" si="258"/>
        <v>11338-0000</v>
      </c>
      <c r="D4117" t="s">
        <v>28454</v>
      </c>
      <c r="E4117" t="s">
        <v>14131</v>
      </c>
      <c r="F4117" t="s">
        <v>14039</v>
      </c>
      <c r="G4117" t="s">
        <v>14672</v>
      </c>
      <c r="H4117" t="s">
        <v>13869</v>
      </c>
      <c r="I4117" t="s">
        <v>14690</v>
      </c>
      <c r="J4117" s="62">
        <v>0</v>
      </c>
      <c r="K4117" s="62">
        <v>0</v>
      </c>
      <c r="L4117" t="str">
        <f>VLOOKUP(VALUE(LEFT(C4117,5)),Xref!A:B,2,0)</f>
        <v>JUP</v>
      </c>
      <c r="M4117" t="str">
        <f t="shared" si="259"/>
        <v>JUP-TPI</v>
      </c>
    </row>
    <row r="4118" spans="1:13" ht="14.25" customHeight="true">
      <c r="A4118" s="33" t="str">
        <f t="shared" si="256"/>
        <v>TPI - Intercompany</v>
      </c>
      <c r="B4118" s="33" t="str">
        <f t="shared" si="257"/>
        <v>TPI</v>
      </c>
      <c r="C4118" s="33" t="str">
        <f t="shared" si="258"/>
        <v>11339-0000</v>
      </c>
      <c r="D4118" t="s">
        <v>28455</v>
      </c>
      <c r="E4118" t="s">
        <v>14133</v>
      </c>
      <c r="F4118" t="s">
        <v>14039</v>
      </c>
      <c r="G4118" t="s">
        <v>14672</v>
      </c>
      <c r="H4118" t="s">
        <v>13869</v>
      </c>
      <c r="I4118" t="s">
        <v>14690</v>
      </c>
      <c r="J4118" s="62">
        <v>0</v>
      </c>
      <c r="K4118" s="62">
        <v>0</v>
      </c>
      <c r="L4118" t="str">
        <f>VLOOKUP(VALUE(LEFT(C4118,5)),Xref!A:B,2,0)</f>
        <v>WES</v>
      </c>
      <c r="M4118" t="str">
        <f t="shared" si="259"/>
        <v>TPI-WES</v>
      </c>
    </row>
    <row r="4119" spans="1:13" ht="14.25" customHeight="true">
      <c r="A4119" s="33" t="str">
        <f t="shared" si="256"/>
        <v>TPI - Intercompany</v>
      </c>
      <c r="B4119" s="33" t="str">
        <f t="shared" si="257"/>
        <v>TPI</v>
      </c>
      <c r="C4119" s="33" t="str">
        <f t="shared" si="258"/>
        <v>11340-0000</v>
      </c>
      <c r="D4119" t="s">
        <v>28456</v>
      </c>
      <c r="E4119" t="s">
        <v>14135</v>
      </c>
      <c r="F4119" t="s">
        <v>14039</v>
      </c>
      <c r="G4119" t="s">
        <v>14672</v>
      </c>
      <c r="H4119" t="s">
        <v>13869</v>
      </c>
      <c r="I4119" t="s">
        <v>14690</v>
      </c>
      <c r="J4119" s="62">
        <v>0</v>
      </c>
      <c r="K4119" s="62">
        <v>0</v>
      </c>
      <c r="L4119" t="str">
        <f>VLOOKUP(VALUE(LEFT(C4119,5)),Xref!A:B,2,0)</f>
        <v>LCP</v>
      </c>
      <c r="M4119" t="str">
        <f t="shared" si="259"/>
        <v>LCP-TPI</v>
      </c>
    </row>
    <row r="4120" spans="1:13" ht="14.25" customHeight="true">
      <c r="A4120" s="33" t="str">
        <f t="shared" si="256"/>
        <v>TPI - Intercompany</v>
      </c>
      <c r="B4120" s="33" t="str">
        <f t="shared" si="257"/>
        <v>TPI</v>
      </c>
      <c r="C4120" s="33" t="str">
        <f t="shared" si="258"/>
        <v>11341-0000</v>
      </c>
      <c r="D4120" t="s">
        <v>28457</v>
      </c>
      <c r="E4120" t="s">
        <v>13639</v>
      </c>
      <c r="F4120" t="s">
        <v>14039</v>
      </c>
      <c r="G4120" t="s">
        <v>14672</v>
      </c>
      <c r="H4120" t="s">
        <v>13869</v>
      </c>
      <c r="I4120" t="s">
        <v>14690</v>
      </c>
      <c r="J4120" s="62">
        <v>0</v>
      </c>
      <c r="K4120" s="62">
        <v>0</v>
      </c>
      <c r="L4120" t="str">
        <f>VLOOKUP(VALUE(LEFT(C4120,5)),Xref!A:B,2,0)</f>
        <v>NOR</v>
      </c>
      <c r="M4120" t="str">
        <f t="shared" si="259"/>
        <v>NOR-TPI</v>
      </c>
    </row>
    <row r="4121" spans="1:13" ht="14.25" customHeight="true">
      <c r="A4121" s="33" t="str">
        <f t="shared" si="256"/>
        <v>TPI - Intercompany</v>
      </c>
      <c r="B4121" s="33" t="str">
        <f t="shared" si="257"/>
        <v>TPI</v>
      </c>
      <c r="C4121" s="33" t="str">
        <f t="shared" si="258"/>
        <v>11342-0000</v>
      </c>
      <c r="D4121" t="s">
        <v>28458</v>
      </c>
      <c r="E4121" t="s">
        <v>13355</v>
      </c>
      <c r="F4121" t="s">
        <v>14039</v>
      </c>
      <c r="G4121" t="s">
        <v>14672</v>
      </c>
      <c r="H4121" t="s">
        <v>13869</v>
      </c>
      <c r="I4121" t="s">
        <v>14690</v>
      </c>
      <c r="J4121" s="62">
        <v>0</v>
      </c>
      <c r="K4121" s="62">
        <v>0</v>
      </c>
      <c r="L4121" t="str">
        <f>VLOOKUP(VALUE(LEFT(C4121,5)),Xref!A:B,2,0)</f>
        <v>EAS</v>
      </c>
      <c r="M4121" t="str">
        <f t="shared" si="259"/>
        <v>EAS-TPI</v>
      </c>
    </row>
    <row r="4122" spans="1:13" ht="14.25" customHeight="true">
      <c r="A4122" s="33" t="str">
        <f t="shared" si="256"/>
        <v>TPI - Intercompany</v>
      </c>
      <c r="B4122" s="33" t="str">
        <f t="shared" si="257"/>
        <v>TPI</v>
      </c>
      <c r="C4122" s="33" t="str">
        <f t="shared" si="258"/>
        <v>11343-0000</v>
      </c>
      <c r="D4122" t="s">
        <v>12784</v>
      </c>
      <c r="E4122" t="s">
        <v>14139</v>
      </c>
      <c r="F4122" t="s">
        <v>14039</v>
      </c>
      <c r="G4122" t="s">
        <v>14672</v>
      </c>
      <c r="H4122" t="s">
        <v>13869</v>
      </c>
      <c r="I4122" t="s">
        <v>14690</v>
      </c>
      <c r="J4122" s="62">
        <v>-13624.9</v>
      </c>
      <c r="K4122" s="62">
        <v>-6552.2</v>
      </c>
      <c r="L4122" t="str">
        <f>VLOOKUP(VALUE(LEFT(C4122,5)),Xref!A:B,2,0)</f>
        <v>GRA</v>
      </c>
      <c r="M4122" t="str">
        <f t="shared" si="259"/>
        <v>GRA-TPI</v>
      </c>
    </row>
    <row r="4123" spans="1:13" ht="14.25" customHeight="true">
      <c r="A4123" s="33" t="str">
        <f t="shared" si="256"/>
        <v>TPI - Intercompany</v>
      </c>
      <c r="B4123" s="33" t="str">
        <f t="shared" si="257"/>
        <v>TPI</v>
      </c>
      <c r="C4123" s="33" t="str">
        <f t="shared" si="258"/>
        <v>11344-0000</v>
      </c>
      <c r="D4123" t="s">
        <v>28459</v>
      </c>
      <c r="E4123" t="s">
        <v>14141</v>
      </c>
      <c r="F4123" t="s">
        <v>14039</v>
      </c>
      <c r="G4123" t="s">
        <v>14672</v>
      </c>
      <c r="H4123" t="s">
        <v>13869</v>
      </c>
      <c r="I4123" t="s">
        <v>14690</v>
      </c>
      <c r="J4123" s="62">
        <v>0</v>
      </c>
      <c r="K4123" s="62">
        <v>0</v>
      </c>
      <c r="L4123" t="str">
        <f>VLOOKUP(VALUE(LEFT(C4123,5)),Xref!A:B,2,0)</f>
        <v>SOU</v>
      </c>
      <c r="M4123" t="str">
        <f t="shared" si="259"/>
        <v>SOU-TPI</v>
      </c>
    </row>
    <row r="4124" spans="1:13" ht="14.25" customHeight="true">
      <c r="A4124" s="33" t="str">
        <f t="shared" si="256"/>
        <v>TPI - Intercompany</v>
      </c>
      <c r="B4124" s="33" t="str">
        <f t="shared" si="257"/>
        <v>TPI</v>
      </c>
      <c r="C4124" s="33" t="str">
        <f t="shared" si="258"/>
        <v>11345-0000</v>
      </c>
      <c r="D4124" t="s">
        <v>28460</v>
      </c>
      <c r="E4124" t="s">
        <v>14143</v>
      </c>
      <c r="F4124" t="s">
        <v>14039</v>
      </c>
      <c r="G4124" t="s">
        <v>14672</v>
      </c>
      <c r="H4124" t="s">
        <v>13869</v>
      </c>
      <c r="I4124" t="s">
        <v>14690</v>
      </c>
      <c r="J4124" s="62">
        <v>0</v>
      </c>
      <c r="K4124" s="62">
        <v>0</v>
      </c>
      <c r="L4124" t="str">
        <f>VLOOKUP(VALUE(LEFT(C4124,5)),Xref!A:B,2,0)</f>
        <v>API</v>
      </c>
      <c r="M4124" t="str">
        <f t="shared" si="259"/>
        <v>API-TPI</v>
      </c>
    </row>
    <row r="4125" spans="1:13" ht="14.25" customHeight="true">
      <c r="A4125" s="33" t="str">
        <f t="shared" si="256"/>
        <v>TPI - Intercompany</v>
      </c>
      <c r="B4125" s="33" t="str">
        <f t="shared" si="257"/>
        <v>TPI</v>
      </c>
      <c r="C4125" s="33" t="str">
        <f t="shared" si="258"/>
        <v>11346-0000</v>
      </c>
      <c r="D4125" t="s">
        <v>28461</v>
      </c>
      <c r="E4125" t="s">
        <v>14145</v>
      </c>
      <c r="F4125" t="s">
        <v>14039</v>
      </c>
      <c r="G4125" t="s">
        <v>14672</v>
      </c>
      <c r="H4125" t="s">
        <v>13869</v>
      </c>
      <c r="I4125" t="s">
        <v>14690</v>
      </c>
      <c r="J4125" s="62">
        <v>0</v>
      </c>
      <c r="K4125" s="62">
        <v>0</v>
      </c>
      <c r="L4125" t="str">
        <f>VLOOKUP(VALUE(LEFT(C4125,5)),Xref!A:B,2,0)</f>
        <v>DPH</v>
      </c>
      <c r="M4125" t="str">
        <f t="shared" si="259"/>
        <v>DPH-TPI</v>
      </c>
    </row>
    <row r="4126" spans="1:13" ht="14.25" customHeight="true">
      <c r="A4126" s="33" t="str">
        <f t="shared" si="256"/>
        <v>TPI - Intercompany</v>
      </c>
      <c r="B4126" s="33" t="str">
        <f t="shared" si="257"/>
        <v>TPI</v>
      </c>
      <c r="C4126" s="33" t="str">
        <f t="shared" si="258"/>
        <v>11347-0000</v>
      </c>
      <c r="D4126" t="s">
        <v>28462</v>
      </c>
      <c r="E4126" t="s">
        <v>14147</v>
      </c>
      <c r="F4126" t="s">
        <v>14039</v>
      </c>
      <c r="G4126" t="s">
        <v>14672</v>
      </c>
      <c r="H4126" t="s">
        <v>13869</v>
      </c>
      <c r="I4126" t="s">
        <v>14690</v>
      </c>
      <c r="J4126" s="62">
        <v>0</v>
      </c>
      <c r="K4126" s="62">
        <v>0</v>
      </c>
      <c r="L4126" t="str">
        <f>VLOOKUP(VALUE(LEFT(C4126,5)),Xref!A:B,2,0)</f>
        <v>ZPI</v>
      </c>
      <c r="M4126" t="str">
        <f t="shared" si="259"/>
        <v>TPI-ZPI</v>
      </c>
    </row>
    <row r="4127" spans="1:13" ht="14.25" customHeight="true">
      <c r="A4127" s="33" t="str">
        <f t="shared" si="256"/>
        <v>TPI - Intercompany</v>
      </c>
      <c r="B4127" s="33" t="str">
        <f t="shared" si="257"/>
        <v>TPI</v>
      </c>
      <c r="C4127" s="33" t="str">
        <f t="shared" si="258"/>
        <v>11348-0000</v>
      </c>
      <c r="D4127" t="s">
        <v>28463</v>
      </c>
      <c r="E4127" t="s">
        <v>14149</v>
      </c>
      <c r="F4127" t="s">
        <v>14039</v>
      </c>
      <c r="G4127" t="s">
        <v>14672</v>
      </c>
      <c r="H4127" t="s">
        <v>13869</v>
      </c>
      <c r="I4127" t="s">
        <v>14690</v>
      </c>
      <c r="J4127" s="62">
        <v>0</v>
      </c>
      <c r="K4127" s="62">
        <v>0</v>
      </c>
      <c r="L4127" t="str">
        <f>VLOOKUP(VALUE(LEFT(C4127,5)),Xref!A:B,2,0)</f>
        <v>EAM</v>
      </c>
      <c r="M4127" t="str">
        <f t="shared" si="259"/>
        <v>EAM-TPI</v>
      </c>
    </row>
    <row r="4128" spans="1:13" ht="14.25" customHeight="true">
      <c r="A4128" s="33" t="str">
        <f t="shared" si="256"/>
        <v>TPI - Intercompany</v>
      </c>
      <c r="B4128" s="33" t="str">
        <f t="shared" si="257"/>
        <v>TPI</v>
      </c>
      <c r="C4128" s="33" t="str">
        <f t="shared" si="258"/>
        <v>11349-0000</v>
      </c>
      <c r="D4128" t="s">
        <v>28464</v>
      </c>
      <c r="E4128" t="s">
        <v>14151</v>
      </c>
      <c r="F4128" t="s">
        <v>14039</v>
      </c>
      <c r="G4128" t="s">
        <v>14672</v>
      </c>
      <c r="H4128" t="s">
        <v>13869</v>
      </c>
      <c r="I4128" t="s">
        <v>14690</v>
      </c>
      <c r="J4128" s="62">
        <v>0</v>
      </c>
      <c r="K4128" s="62">
        <v>0</v>
      </c>
      <c r="L4128" t="str">
        <f>VLOOKUP(VALUE(LEFT(C4128,5)),Xref!A:B,2,0)</f>
        <v>SEA</v>
      </c>
      <c r="M4128" t="str">
        <f t="shared" si="259"/>
        <v>SEA-TPI</v>
      </c>
    </row>
    <row r="4129" spans="1:13" ht="14.25" customHeight="true">
      <c r="A4129" s="33" t="str">
        <f t="shared" si="256"/>
        <v>TPI - Intercompany</v>
      </c>
      <c r="B4129" s="33" t="str">
        <f t="shared" si="257"/>
        <v>TPI</v>
      </c>
      <c r="C4129" s="33" t="str">
        <f t="shared" si="258"/>
        <v>11350-0000</v>
      </c>
      <c r="D4129" t="s">
        <v>28465</v>
      </c>
      <c r="E4129" t="s">
        <v>14153</v>
      </c>
      <c r="F4129" t="s">
        <v>14039</v>
      </c>
      <c r="G4129" t="s">
        <v>14672</v>
      </c>
      <c r="H4129" t="s">
        <v>13869</v>
      </c>
      <c r="I4129" t="s">
        <v>14690</v>
      </c>
      <c r="J4129" s="62">
        <v>0</v>
      </c>
      <c r="K4129" s="62">
        <v>-85.56</v>
      </c>
      <c r="L4129" t="str">
        <f>VLOOKUP(VALUE(LEFT(C4129,5)),Xref!A:B,2,0)</f>
        <v>EAL</v>
      </c>
      <c r="M4129" t="str">
        <f t="shared" si="259"/>
        <v>EAL-TPI</v>
      </c>
    </row>
    <row r="4130" spans="1:13" ht="14.25" customHeight="true">
      <c r="A4130" s="33" t="str">
        <f t="shared" si="256"/>
        <v>TPI - Intercompany</v>
      </c>
      <c r="B4130" s="33" t="str">
        <f t="shared" si="257"/>
        <v>TPI</v>
      </c>
      <c r="C4130" s="33" t="str">
        <f t="shared" si="258"/>
        <v>11351-0000</v>
      </c>
      <c r="D4130" t="s">
        <v>28466</v>
      </c>
      <c r="E4130" t="s">
        <v>14155</v>
      </c>
      <c r="F4130" t="s">
        <v>14039</v>
      </c>
      <c r="G4130" t="s">
        <v>14672</v>
      </c>
      <c r="H4130" t="s">
        <v>13869</v>
      </c>
      <c r="I4130" t="s">
        <v>14690</v>
      </c>
      <c r="J4130" s="62">
        <v>0</v>
      </c>
      <c r="K4130" s="62">
        <v>0</v>
      </c>
      <c r="L4130" t="str">
        <f>VLOOKUP(VALUE(LEFT(C4130,5)),Xref!A:B,2,0)</f>
        <v>WEP</v>
      </c>
      <c r="M4130" t="str">
        <f t="shared" si="259"/>
        <v>TPI-WEP</v>
      </c>
    </row>
    <row r="4131" spans="1:13" ht="14.25" customHeight="true">
      <c r="A4131" s="33" t="str">
        <f t="shared" si="256"/>
        <v>TPI - Intercompany</v>
      </c>
      <c r="B4131" s="33" t="str">
        <f t="shared" si="257"/>
        <v>TPI</v>
      </c>
      <c r="C4131" s="33" t="str">
        <f t="shared" si="258"/>
        <v>11352-0000</v>
      </c>
      <c r="D4131" t="s">
        <v>28467</v>
      </c>
      <c r="E4131" t="s">
        <v>13536</v>
      </c>
      <c r="F4131" t="s">
        <v>14039</v>
      </c>
      <c r="G4131" t="s">
        <v>14672</v>
      </c>
      <c r="H4131" t="s">
        <v>13869</v>
      </c>
      <c r="I4131" t="s">
        <v>14690</v>
      </c>
      <c r="J4131" s="62">
        <v>0</v>
      </c>
      <c r="K4131" s="62">
        <v>0</v>
      </c>
      <c r="L4131" t="str">
        <f>VLOOKUP(VALUE(LEFT(C4131,5)),Xref!A:B,2,0)</f>
        <v>KLP</v>
      </c>
      <c r="M4131" t="str">
        <f t="shared" si="259"/>
        <v>KLP-TPI</v>
      </c>
    </row>
    <row r="4132" spans="1:13" ht="14.25" customHeight="true">
      <c r="A4132" s="33" t="str">
        <f t="shared" si="256"/>
        <v>TPI - Intercompany</v>
      </c>
      <c r="B4132" s="33" t="str">
        <f t="shared" si="257"/>
        <v>TPI</v>
      </c>
      <c r="C4132" s="33" t="str">
        <f t="shared" si="258"/>
        <v>11353-0000</v>
      </c>
      <c r="D4132" t="s">
        <v>28468</v>
      </c>
      <c r="E4132" t="s">
        <v>13537</v>
      </c>
      <c r="F4132" t="s">
        <v>14039</v>
      </c>
      <c r="G4132" t="s">
        <v>14672</v>
      </c>
      <c r="H4132" t="s">
        <v>13869</v>
      </c>
      <c r="I4132" t="s">
        <v>14690</v>
      </c>
      <c r="J4132" s="62">
        <v>0</v>
      </c>
      <c r="K4132" s="62">
        <v>0</v>
      </c>
      <c r="L4132" t="str">
        <f>VLOOKUP(VALUE(LEFT(C4132,5)),Xref!A:B,2,0)</f>
        <v>AKC</v>
      </c>
      <c r="M4132" t="str">
        <f t="shared" si="259"/>
        <v>AKC-TPI</v>
      </c>
    </row>
    <row r="4133" spans="1:13" ht="14.25" customHeight="true">
      <c r="A4133" s="33" t="str">
        <f t="shared" si="256"/>
        <v>TPI - Intercompany</v>
      </c>
      <c r="B4133" s="33" t="str">
        <f t="shared" si="257"/>
        <v>TPI</v>
      </c>
      <c r="C4133" s="33" t="str">
        <f t="shared" si="258"/>
        <v>11354-0000</v>
      </c>
      <c r="D4133" t="s">
        <v>28469</v>
      </c>
      <c r="E4133" t="s">
        <v>13538</v>
      </c>
      <c r="F4133" t="s">
        <v>14039</v>
      </c>
      <c r="G4133" t="s">
        <v>14672</v>
      </c>
      <c r="H4133" t="s">
        <v>13869</v>
      </c>
      <c r="I4133" t="s">
        <v>14690</v>
      </c>
      <c r="J4133" s="62">
        <v>0</v>
      </c>
      <c r="K4133" s="62">
        <v>0</v>
      </c>
      <c r="L4133" t="str">
        <f>VLOOKUP(VALUE(LEFT(C4133,5)),Xref!A:B,2,0)</f>
        <v>AKA</v>
      </c>
      <c r="M4133" t="str">
        <f t="shared" si="259"/>
        <v>AKA-TPI</v>
      </c>
    </row>
    <row r="4134" spans="1:13" ht="14.25" customHeight="true">
      <c r="A4134" s="33" t="str">
        <f t="shared" si="256"/>
        <v>TPI - Intercompany</v>
      </c>
      <c r="B4134" s="33" t="str">
        <f t="shared" si="257"/>
        <v>TPI</v>
      </c>
      <c r="C4134" s="33" t="str">
        <f t="shared" si="258"/>
        <v>11355-0000</v>
      </c>
      <c r="D4134" t="s">
        <v>28470</v>
      </c>
      <c r="E4134" t="s">
        <v>13539</v>
      </c>
      <c r="F4134" t="s">
        <v>14039</v>
      </c>
      <c r="G4134" t="s">
        <v>14672</v>
      </c>
      <c r="H4134" t="s">
        <v>13869</v>
      </c>
      <c r="I4134" t="s">
        <v>14690</v>
      </c>
      <c r="J4134" s="62">
        <v>0</v>
      </c>
      <c r="K4134" s="62">
        <v>0</v>
      </c>
      <c r="L4134" t="str">
        <f>VLOOKUP(VALUE(LEFT(C4134,5)),Xref!A:B,2,0)</f>
        <v>SPA</v>
      </c>
      <c r="M4134" t="str">
        <f t="shared" si="259"/>
        <v>SPA-TPI</v>
      </c>
    </row>
    <row r="4135" spans="1:13" ht="14.25" customHeight="true">
      <c r="A4135" s="33" t="str">
        <f t="shared" si="256"/>
        <v>TPI - Intercompany</v>
      </c>
      <c r="B4135" s="33" t="str">
        <f t="shared" si="257"/>
        <v>TPI</v>
      </c>
      <c r="C4135" s="33" t="str">
        <f t="shared" si="258"/>
        <v>11356-0000</v>
      </c>
      <c r="D4135" t="s">
        <v>28471</v>
      </c>
      <c r="E4135" t="s">
        <v>13540</v>
      </c>
      <c r="F4135" t="s">
        <v>14039</v>
      </c>
      <c r="G4135" t="s">
        <v>14672</v>
      </c>
      <c r="H4135" t="s">
        <v>13869</v>
      </c>
      <c r="I4135" t="s">
        <v>14690</v>
      </c>
      <c r="J4135" s="62">
        <v>0</v>
      </c>
      <c r="K4135" s="62">
        <v>0</v>
      </c>
      <c r="L4135" t="str">
        <f>VLOOKUP(VALUE(LEFT(C4135,5)),Xref!A:B,2,0)</f>
        <v>DPM</v>
      </c>
      <c r="M4135" t="str">
        <f t="shared" si="259"/>
        <v>DPM-TPI</v>
      </c>
    </row>
    <row r="4136" spans="1:13" ht="14.25" customHeight="true">
      <c r="A4136" s="33" t="str">
        <f t="shared" si="256"/>
        <v>TPI - Intercompany</v>
      </c>
      <c r="B4136" s="33" t="str">
        <f t="shared" si="257"/>
        <v>TPI</v>
      </c>
      <c r="C4136" s="33" t="str">
        <f t="shared" si="258"/>
        <v>11357-0000</v>
      </c>
      <c r="D4136" t="s">
        <v>28472</v>
      </c>
      <c r="E4136" t="s">
        <v>13541</v>
      </c>
      <c r="F4136" t="s">
        <v>14039</v>
      </c>
      <c r="G4136" t="s">
        <v>14672</v>
      </c>
      <c r="H4136" t="s">
        <v>13869</v>
      </c>
      <c r="I4136" t="s">
        <v>14690</v>
      </c>
      <c r="J4136" s="62">
        <v>0</v>
      </c>
      <c r="K4136" s="62">
        <v>0</v>
      </c>
      <c r="L4136" t="str">
        <f>VLOOKUP(VALUE(LEFT(C4136,5)),Xref!A:B,2,0)</f>
        <v>HDM</v>
      </c>
      <c r="M4136" t="str">
        <f t="shared" si="259"/>
        <v>HDM-TPI</v>
      </c>
    </row>
    <row r="4137" spans="1:13" ht="14.25" customHeight="true">
      <c r="A4137" s="33" t="str">
        <f t="shared" si="256"/>
        <v>TPI - Intercompany</v>
      </c>
      <c r="B4137" s="33" t="str">
        <f t="shared" si="257"/>
        <v>TPI</v>
      </c>
      <c r="C4137" s="33" t="str">
        <f t="shared" si="258"/>
        <v>11358-0000</v>
      </c>
      <c r="D4137" t="s">
        <v>28473</v>
      </c>
      <c r="E4137" t="s">
        <v>13542</v>
      </c>
      <c r="F4137" t="s">
        <v>14039</v>
      </c>
      <c r="G4137" t="s">
        <v>14672</v>
      </c>
      <c r="H4137" t="s">
        <v>13869</v>
      </c>
      <c r="I4137" t="s">
        <v>14690</v>
      </c>
      <c r="J4137" s="62">
        <v>0</v>
      </c>
      <c r="K4137" s="62">
        <v>0</v>
      </c>
      <c r="L4137" t="str">
        <f>VLOOKUP(VALUE(LEFT(C4137,5)),Xref!A:B,2,0)</f>
        <v>GRA</v>
      </c>
      <c r="M4137" t="str">
        <f t="shared" si="259"/>
        <v>GRA-TPI</v>
      </c>
    </row>
    <row r="4138" spans="1:13" ht="14.25" customHeight="true">
      <c r="A4138" s="33" t="str">
        <f t="shared" si="256"/>
        <v>TPI - Intercompany</v>
      </c>
      <c r="B4138" s="33" t="str">
        <f t="shared" si="257"/>
        <v>TPI</v>
      </c>
      <c r="C4138" s="33" t="str">
        <f t="shared" si="258"/>
        <v>11359-0000</v>
      </c>
      <c r="D4138" t="s">
        <v>28474</v>
      </c>
      <c r="E4138" t="s">
        <v>13543</v>
      </c>
      <c r="F4138" t="s">
        <v>14039</v>
      </c>
      <c r="G4138" t="s">
        <v>14672</v>
      </c>
      <c r="H4138" t="s">
        <v>13869</v>
      </c>
      <c r="I4138" t="s">
        <v>14690</v>
      </c>
      <c r="J4138" s="62">
        <v>0</v>
      </c>
      <c r="K4138" s="62">
        <v>6963.97</v>
      </c>
      <c r="L4138" t="str">
        <f>VLOOKUP(VALUE(LEFT(C4138,5)),Xref!A:B,2,0)</f>
        <v>TPI</v>
      </c>
      <c r="M4138" t="str">
        <f t="shared" si="259"/>
        <v>TPI-TPI</v>
      </c>
    </row>
    <row r="4139" spans="1:13" ht="14.25" customHeight="true">
      <c r="A4139" s="33" t="str">
        <f t="shared" si="256"/>
        <v>TPI - Intercompany</v>
      </c>
      <c r="B4139" s="33" t="str">
        <f t="shared" si="257"/>
        <v>TPI</v>
      </c>
      <c r="C4139" s="33" t="str">
        <f t="shared" si="258"/>
        <v>11361-0000</v>
      </c>
      <c r="D4139" t="s">
        <v>28475</v>
      </c>
      <c r="E4139" t="s">
        <v>14165</v>
      </c>
      <c r="F4139" t="s">
        <v>14039</v>
      </c>
      <c r="G4139" t="s">
        <v>14672</v>
      </c>
      <c r="H4139" t="s">
        <v>13869</v>
      </c>
      <c r="I4139" t="s">
        <v>14690</v>
      </c>
      <c r="J4139" s="62">
        <v>0</v>
      </c>
      <c r="K4139" s="62">
        <v>0</v>
      </c>
      <c r="L4139" t="str">
        <f>VLOOKUP(VALUE(LEFT(C4139,5)),Xref!A:B,2,0)</f>
        <v>GSM</v>
      </c>
      <c r="M4139" t="str">
        <f t="shared" si="259"/>
        <v>GSM-TPI</v>
      </c>
    </row>
    <row r="4140" spans="1:13" ht="14.25" customHeight="true">
      <c r="A4140" s="33" t="str">
        <f t="shared" si="256"/>
        <v>TPI - Intercompany</v>
      </c>
      <c r="B4140" s="33" t="str">
        <f t="shared" si="257"/>
        <v>TPI</v>
      </c>
      <c r="C4140" s="33" t="str">
        <f t="shared" si="258"/>
        <v>11363-0000</v>
      </c>
      <c r="D4140" t="s">
        <v>28476</v>
      </c>
      <c r="E4140" t="s">
        <v>13544</v>
      </c>
      <c r="F4140" t="s">
        <v>14039</v>
      </c>
      <c r="G4140" t="s">
        <v>14672</v>
      </c>
      <c r="H4140" t="s">
        <v>13869</v>
      </c>
      <c r="I4140" t="s">
        <v>14690</v>
      </c>
      <c r="J4140" s="62">
        <v>0</v>
      </c>
      <c r="K4140" s="62">
        <v>1627</v>
      </c>
      <c r="L4140" t="str">
        <f>VLOOKUP(VALUE(LEFT(C4140,5)),Xref!A:B,2,0)</f>
        <v>SOF</v>
      </c>
      <c r="M4140" t="str">
        <f t="shared" si="259"/>
        <v>SOF-TPI</v>
      </c>
    </row>
    <row r="4141" spans="1:13" ht="14.25" customHeight="true">
      <c r="A4141" s="33" t="str">
        <f t="shared" si="256"/>
        <v>TPI - Intercompany</v>
      </c>
      <c r="B4141" s="33" t="str">
        <f t="shared" si="257"/>
        <v>TPI</v>
      </c>
      <c r="C4141" s="33" t="str">
        <f t="shared" si="258"/>
        <v>11364-0000</v>
      </c>
      <c r="D4141" t="s">
        <v>28477</v>
      </c>
      <c r="E4141" t="s">
        <v>14168</v>
      </c>
      <c r="F4141" t="s">
        <v>14039</v>
      </c>
      <c r="G4141" t="s">
        <v>14672</v>
      </c>
      <c r="H4141" t="s">
        <v>13869</v>
      </c>
      <c r="I4141" t="s">
        <v>14690</v>
      </c>
      <c r="J4141" s="62">
        <v>0</v>
      </c>
      <c r="K4141" s="62">
        <v>0</v>
      </c>
      <c r="L4141" t="e">
        <f>VLOOKUP(VALUE(LEFT(C4141,5)),Xref!A:B,2,0)</f>
        <v>#N/A</v>
      </c>
      <c r="M4141" t="e">
        <f t="shared" si="259"/>
        <v>#N/A</v>
      </c>
    </row>
    <row r="4142" spans="1:13" ht="14.25" customHeight="true">
      <c r="A4142" s="33" t="str">
        <f t="shared" si="256"/>
        <v>TPI - Intercompany</v>
      </c>
      <c r="B4142" s="33" t="str">
        <f t="shared" si="257"/>
        <v>TPI</v>
      </c>
      <c r="C4142" s="33" t="str">
        <f t="shared" si="258"/>
        <v>11365-0000</v>
      </c>
      <c r="D4142" t="s">
        <v>28478</v>
      </c>
      <c r="E4142" t="s">
        <v>14170</v>
      </c>
      <c r="F4142" t="s">
        <v>14039</v>
      </c>
      <c r="G4142" t="s">
        <v>14672</v>
      </c>
      <c r="H4142" t="s">
        <v>13869</v>
      </c>
      <c r="I4142" t="s">
        <v>14690</v>
      </c>
      <c r="J4142" s="62">
        <v>0</v>
      </c>
      <c r="K4142" s="62">
        <v>0</v>
      </c>
      <c r="L4142" t="e">
        <f>VLOOKUP(VALUE(LEFT(C4142,5)),Xref!A:B,2,0)</f>
        <v>#N/A</v>
      </c>
      <c r="M4142" t="e">
        <f t="shared" si="259"/>
        <v>#N/A</v>
      </c>
    </row>
    <row r="4143" spans="1:13" ht="14.25" customHeight="true">
      <c r="A4143" s="33" t="str">
        <f t="shared" si="256"/>
        <v>TPI - Intercompany</v>
      </c>
      <c r="B4143" s="33" t="str">
        <f t="shared" si="257"/>
        <v>TPI</v>
      </c>
      <c r="C4143" s="33" t="str">
        <f t="shared" si="258"/>
        <v>11366-0000</v>
      </c>
      <c r="D4143" t="s">
        <v>28479</v>
      </c>
      <c r="E4143" t="s">
        <v>14172</v>
      </c>
      <c r="G4143" t="s">
        <v>14672</v>
      </c>
      <c r="H4143" t="s">
        <v>13869</v>
      </c>
      <c r="I4143" t="s">
        <v>14690</v>
      </c>
      <c r="J4143" s="62">
        <v>0</v>
      </c>
      <c r="K4143" s="62">
        <v>0</v>
      </c>
      <c r="L4143" t="e">
        <f>VLOOKUP(VALUE(LEFT(C4143,5)),Xref!A:B,2,0)</f>
        <v>#N/A</v>
      </c>
      <c r="M4143" t="e">
        <f t="shared" si="259"/>
        <v>#N/A</v>
      </c>
    </row>
    <row r="4144" spans="1:13" ht="14.25" customHeight="true">
      <c r="A4144" s="33" t="str">
        <f t="shared" si="256"/>
        <v>TPI - Intercompany</v>
      </c>
      <c r="B4144" s="33" t="str">
        <f t="shared" si="257"/>
        <v>TPI</v>
      </c>
      <c r="C4144" s="33" t="str">
        <f t="shared" si="258"/>
        <v>11402-0000</v>
      </c>
      <c r="D4144" t="s">
        <v>28480</v>
      </c>
      <c r="E4144" t="s">
        <v>14174</v>
      </c>
      <c r="G4144" t="s">
        <v>14672</v>
      </c>
      <c r="H4144" t="s">
        <v>13869</v>
      </c>
      <c r="I4144" t="s">
        <v>14690</v>
      </c>
      <c r="J4144" s="62">
        <v>0</v>
      </c>
      <c r="K4144" s="62">
        <v>0</v>
      </c>
      <c r="L4144" t="str">
        <f>VLOOKUP(VALUE(LEFT(C4144,5)),Xref!A:B,2,0)</f>
        <v>DPI</v>
      </c>
      <c r="M4144" t="str">
        <f t="shared" si="259"/>
        <v>DPI-TPI</v>
      </c>
    </row>
    <row r="4145" spans="1:13" ht="14.25" customHeight="true">
      <c r="A4145" s="33" t="str">
        <f t="shared" si="256"/>
        <v>TPI - Intercompany</v>
      </c>
      <c r="B4145" s="33" t="str">
        <f t="shared" si="257"/>
        <v>TPI</v>
      </c>
      <c r="C4145" s="33" t="str">
        <f t="shared" si="258"/>
        <v>11403-0000</v>
      </c>
      <c r="D4145" t="s">
        <v>28481</v>
      </c>
      <c r="E4145" t="s">
        <v>14176</v>
      </c>
      <c r="G4145" t="s">
        <v>14672</v>
      </c>
      <c r="H4145" t="s">
        <v>13869</v>
      </c>
      <c r="I4145" t="s">
        <v>14690</v>
      </c>
      <c r="J4145" s="62">
        <v>0</v>
      </c>
      <c r="K4145" s="62">
        <v>0</v>
      </c>
      <c r="L4145" t="str">
        <f>VLOOKUP(VALUE(LEFT(C4145,5)),Xref!A:B,2,0)</f>
        <v>SEA</v>
      </c>
      <c r="M4145" t="str">
        <f t="shared" si="259"/>
        <v>SEA-TPI</v>
      </c>
    </row>
    <row r="4146" spans="1:13" ht="14.25" customHeight="true">
      <c r="A4146" s="33" t="str">
        <f t="shared" si="256"/>
        <v>TPI - Intercompany</v>
      </c>
      <c r="B4146" s="33" t="str">
        <f t="shared" si="257"/>
        <v>TPI</v>
      </c>
      <c r="C4146" s="33" t="str">
        <f t="shared" si="258"/>
        <v>12400-0000</v>
      </c>
      <c r="D4146" t="s">
        <v>28484</v>
      </c>
      <c r="E4146" t="s">
        <v>14185</v>
      </c>
      <c r="F4146" t="s">
        <v>14039</v>
      </c>
      <c r="G4146" t="s">
        <v>14672</v>
      </c>
      <c r="H4146" t="s">
        <v>13869</v>
      </c>
      <c r="I4146" t="s">
        <v>14690</v>
      </c>
      <c r="J4146" s="62">
        <v>0</v>
      </c>
      <c r="K4146" s="62">
        <v>0</v>
      </c>
      <c r="L4146" t="str">
        <f>VLOOKUP(VALUE(LEFT(C4146,5)),Xref!A:B,2,0)</f>
        <v>aka</v>
      </c>
      <c r="M4146" t="str">
        <f t="shared" si="259"/>
        <v>aka-TPI</v>
      </c>
    </row>
    <row r="4147" spans="1:13" ht="14.25" customHeight="true">
      <c r="A4147" s="33" t="str">
        <f t="shared" si="256"/>
        <v>TPI - Intercompany</v>
      </c>
      <c r="B4147" s="33" t="str">
        <f t="shared" si="257"/>
        <v>TPI</v>
      </c>
      <c r="C4147" s="33" t="str">
        <f t="shared" si="258"/>
        <v>12401-0000</v>
      </c>
      <c r="D4147" t="s">
        <v>28485</v>
      </c>
      <c r="E4147" t="s">
        <v>14187</v>
      </c>
      <c r="F4147" t="s">
        <v>14039</v>
      </c>
      <c r="G4147" t="s">
        <v>14672</v>
      </c>
      <c r="H4147" t="s">
        <v>13869</v>
      </c>
      <c r="I4147" t="s">
        <v>14690</v>
      </c>
      <c r="J4147" s="62">
        <v>0</v>
      </c>
      <c r="K4147" s="62">
        <v>0</v>
      </c>
      <c r="L4147" t="str">
        <f>VLOOKUP(VALUE(LEFT(C4147,5)),Xref!A:B,2,0)</f>
        <v>aka</v>
      </c>
      <c r="M4147" t="str">
        <f t="shared" si="259"/>
        <v>aka-TPI</v>
      </c>
    </row>
    <row r="4148" spans="1:13" ht="14.25" customHeight="true">
      <c r="A4148" s="33" t="str">
        <f t="shared" si="256"/>
        <v>TPI - Intercompany</v>
      </c>
      <c r="B4148" s="33" t="str">
        <f t="shared" si="257"/>
        <v>TPI</v>
      </c>
      <c r="C4148" s="33" t="str">
        <f t="shared" si="258"/>
        <v>12402-0000</v>
      </c>
      <c r="D4148" t="s">
        <v>28486</v>
      </c>
      <c r="E4148" t="s">
        <v>14189</v>
      </c>
      <c r="F4148" t="s">
        <v>14039</v>
      </c>
      <c r="G4148" t="s">
        <v>14672</v>
      </c>
      <c r="H4148" t="s">
        <v>13869</v>
      </c>
      <c r="I4148" t="s">
        <v>14690</v>
      </c>
      <c r="J4148" s="62">
        <v>0</v>
      </c>
      <c r="K4148" s="62">
        <v>0</v>
      </c>
      <c r="L4148" t="str">
        <f>VLOOKUP(VALUE(LEFT(C4148,5)),Xref!A:B,2,0)</f>
        <v>aka</v>
      </c>
      <c r="M4148" t="str">
        <f t="shared" si="259"/>
        <v>aka-TPI</v>
      </c>
    </row>
    <row r="4149" spans="1:13" ht="14.25" customHeight="true">
      <c r="A4149" s="33" t="str">
        <f t="shared" si="256"/>
        <v>TPI - Intercompany</v>
      </c>
      <c r="B4149" s="33" t="str">
        <f t="shared" si="257"/>
        <v>TPI</v>
      </c>
      <c r="C4149" s="33" t="str">
        <f t="shared" si="258"/>
        <v>12403-0000</v>
      </c>
      <c r="D4149" t="s">
        <v>28487</v>
      </c>
      <c r="E4149" t="s">
        <v>5226</v>
      </c>
      <c r="F4149" t="s">
        <v>14039</v>
      </c>
      <c r="G4149" t="s">
        <v>14672</v>
      </c>
      <c r="H4149" t="s">
        <v>13869</v>
      </c>
      <c r="I4149" t="s">
        <v>14690</v>
      </c>
      <c r="J4149" s="62">
        <v>0</v>
      </c>
      <c r="K4149" s="62">
        <v>0</v>
      </c>
      <c r="L4149" t="str">
        <f>VLOOKUP(VALUE(LEFT(C4149,5)),Xref!A:B,2,0)</f>
        <v>aka</v>
      </c>
      <c r="M4149" t="str">
        <f t="shared" si="259"/>
        <v>aka-TPI</v>
      </c>
    </row>
    <row r="4150" spans="1:13" ht="14.25" customHeight="true">
      <c r="A4150" s="33" t="str">
        <f t="shared" si="256"/>
        <v>TPI - Intercompany</v>
      </c>
      <c r="B4150" s="33" t="str">
        <f t="shared" si="257"/>
        <v>TPI</v>
      </c>
      <c r="C4150" s="33" t="str">
        <f t="shared" si="258"/>
        <v>12501-0000</v>
      </c>
      <c r="D4150" t="s">
        <v>28488</v>
      </c>
      <c r="E4150" t="s">
        <v>14192</v>
      </c>
      <c r="F4150" t="s">
        <v>14039</v>
      </c>
      <c r="G4150" t="s">
        <v>14672</v>
      </c>
      <c r="H4150" t="s">
        <v>13869</v>
      </c>
      <c r="I4150" t="s">
        <v>14690</v>
      </c>
      <c r="J4150" s="62">
        <v>0</v>
      </c>
      <c r="K4150" s="62">
        <v>0</v>
      </c>
      <c r="L4150" t="str">
        <f>VLOOKUP(VALUE(LEFT(C4150,5)),Xref!A:B,2,0)</f>
        <v>aka</v>
      </c>
      <c r="M4150" t="str">
        <f t="shared" si="259"/>
        <v>aka-TPI</v>
      </c>
    </row>
    <row r="4151" spans="1:13" ht="14.25" customHeight="true">
      <c r="A4151" s="33" t="str">
        <f t="shared" si="256"/>
        <v>TPI - InterCo Notes</v>
      </c>
      <c r="B4151" s="33" t="str">
        <f t="shared" si="257"/>
        <v>TPI</v>
      </c>
      <c r="C4151" s="33" t="str">
        <f t="shared" si="258"/>
        <v>25600-0000</v>
      </c>
      <c r="D4151" t="s">
        <v>28538</v>
      </c>
      <c r="E4151" t="s">
        <v>314</v>
      </c>
      <c r="F4151" t="s">
        <v>14039</v>
      </c>
      <c r="G4151" t="s">
        <v>14672</v>
      </c>
      <c r="H4151" t="s">
        <v>13889</v>
      </c>
      <c r="I4151" t="s">
        <v>14690</v>
      </c>
      <c r="J4151" s="62">
        <v>0</v>
      </c>
      <c r="K4151" s="62">
        <v>0</v>
      </c>
      <c r="L4151" t="str">
        <f>VLOOKUP(VALUE(LEFT(C4151,5)),Xref!A:B,2,0)</f>
        <v>D7</v>
      </c>
      <c r="M4151" t="str">
        <f t="shared" si="259"/>
        <v>D7-TPI</v>
      </c>
    </row>
    <row r="4152" spans="1:13" ht="14.25" customHeight="true">
      <c r="A4152" s="33" t="str">
        <f t="shared" si="256"/>
        <v>TPI - InterCo Notes</v>
      </c>
      <c r="B4152" s="33" t="str">
        <f t="shared" si="257"/>
        <v>TPI</v>
      </c>
      <c r="C4152" s="33" t="str">
        <f t="shared" si="258"/>
        <v>25602-0000</v>
      </c>
      <c r="D4152" t="s">
        <v>28540</v>
      </c>
      <c r="E4152" t="s">
        <v>13426</v>
      </c>
      <c r="F4152" t="s">
        <v>14039</v>
      </c>
      <c r="G4152" t="s">
        <v>14672</v>
      </c>
      <c r="H4152" t="s">
        <v>13889</v>
      </c>
      <c r="I4152" t="s">
        <v>14690</v>
      </c>
      <c r="J4152" s="62">
        <v>-65000</v>
      </c>
      <c r="K4152" s="62">
        <v>-1115000</v>
      </c>
      <c r="L4152" t="str">
        <f>VLOOKUP(VALUE(LEFT(C4152,5)),Xref!A:B,2,0)</f>
        <v>DFLP</v>
      </c>
      <c r="M4152" t="str">
        <f t="shared" si="259"/>
        <v>DFLP-TPI</v>
      </c>
    </row>
    <row r="4153" spans="1:13" ht="14.25" customHeight="true">
      <c r="A4153" s="33" t="str">
        <f t="shared" si="256"/>
        <v>TPI - InterCo Notes</v>
      </c>
      <c r="B4153" s="33" t="str">
        <f t="shared" si="257"/>
        <v>TPI</v>
      </c>
      <c r="C4153" s="33" t="str">
        <f t="shared" si="258"/>
        <v>25603-0000</v>
      </c>
      <c r="D4153" t="s">
        <v>28541</v>
      </c>
      <c r="E4153" t="s">
        <v>14311</v>
      </c>
      <c r="F4153" t="s">
        <v>14039</v>
      </c>
      <c r="G4153" t="s">
        <v>14832</v>
      </c>
      <c r="H4153" t="s">
        <v>13889</v>
      </c>
      <c r="I4153" t="s">
        <v>14690</v>
      </c>
      <c r="J4153" s="62">
        <v>0</v>
      </c>
      <c r="K4153" s="62">
        <v>0</v>
      </c>
      <c r="L4153" t="str">
        <f>VLOOKUP(VALUE(LEFT(C4153,5)),Xref!A:B,2,0)</f>
        <v>aka</v>
      </c>
      <c r="M4153" t="str">
        <f t="shared" si="259"/>
        <v>aka-TPI</v>
      </c>
    </row>
    <row r="4154" spans="1:13" ht="14.25" customHeight="true">
      <c r="A4154" s="33" t="str">
        <f t="shared" si="256"/>
        <v>TPI - Intercompany</v>
      </c>
      <c r="B4154" s="33" t="str">
        <f t="shared" si="257"/>
        <v>TPI</v>
      </c>
      <c r="C4154" s="33" t="str">
        <f t="shared" si="258"/>
        <v>25604-0000</v>
      </c>
      <c r="D4154" t="s">
        <v>28542</v>
      </c>
      <c r="E4154" t="s">
        <v>13490</v>
      </c>
      <c r="F4154" t="s">
        <v>14039</v>
      </c>
      <c r="G4154" t="s">
        <v>14672</v>
      </c>
      <c r="H4154" t="s">
        <v>13869</v>
      </c>
      <c r="I4154" t="s">
        <v>14690</v>
      </c>
      <c r="J4154" s="62">
        <v>0</v>
      </c>
      <c r="K4154" s="62">
        <v>0</v>
      </c>
      <c r="L4154">
        <f>VLOOKUP(VALUE(LEFT(C4154,5)),Xref!A:B,2,0)</f>
        <v>0</v>
      </c>
      <c r="M4154" t="str">
        <f t="shared" si="259"/>
        <v>0-TPI</v>
      </c>
    </row>
    <row r="4155" spans="1:13" ht="14.25" customHeight="true">
      <c r="A4155" s="33" t="str">
        <f t="shared" si="256"/>
        <v>VAL - Intercompany</v>
      </c>
      <c r="B4155" s="33" t="str">
        <f t="shared" si="257"/>
        <v>VAL</v>
      </c>
      <c r="C4155" s="33" t="str">
        <f t="shared" si="258"/>
        <v>11200-0000</v>
      </c>
      <c r="D4155" t="s">
        <v>28715</v>
      </c>
      <c r="E4155" t="s">
        <v>14069</v>
      </c>
      <c r="F4155" t="s">
        <v>14039</v>
      </c>
      <c r="G4155" t="s">
        <v>14672</v>
      </c>
      <c r="H4155" t="s">
        <v>13869</v>
      </c>
      <c r="I4155" t="s">
        <v>14690</v>
      </c>
      <c r="J4155" s="62">
        <v>0</v>
      </c>
      <c r="K4155" s="62">
        <v>0</v>
      </c>
      <c r="L4155" t="str">
        <f>VLOOKUP(VALUE(LEFT(C4155,5)),Xref!A:B,2,0)</f>
        <v>SCL</v>
      </c>
      <c r="M4155" t="str">
        <f t="shared" si="259"/>
        <v>SCL-VAL</v>
      </c>
    </row>
    <row r="4156" spans="1:13" ht="14.25" customHeight="true">
      <c r="A4156" s="33" t="str">
        <f t="shared" si="256"/>
        <v>VAL - Intercompany</v>
      </c>
      <c r="B4156" s="33" t="str">
        <f t="shared" si="257"/>
        <v>VAL</v>
      </c>
      <c r="C4156" s="33" t="str">
        <f t="shared" si="258"/>
        <v>11201-0000</v>
      </c>
      <c r="D4156" t="s">
        <v>28716</v>
      </c>
      <c r="E4156" t="s">
        <v>14071</v>
      </c>
      <c r="F4156" t="s">
        <v>14039</v>
      </c>
      <c r="G4156" t="s">
        <v>14672</v>
      </c>
      <c r="H4156" t="s">
        <v>13869</v>
      </c>
      <c r="I4156" t="s">
        <v>14690</v>
      </c>
      <c r="J4156" s="62">
        <v>0</v>
      </c>
      <c r="K4156" s="62">
        <v>0</v>
      </c>
      <c r="L4156" t="str">
        <f>VLOOKUP(VALUE(LEFT(C4156,5)),Xref!A:B,2,0)</f>
        <v>SG2</v>
      </c>
      <c r="M4156" t="str">
        <f t="shared" si="259"/>
        <v>SG2-VAL</v>
      </c>
    </row>
    <row r="4157" spans="1:13" ht="14.25" customHeight="true">
      <c r="A4157" s="33" t="str">
        <f t="shared" si="256"/>
        <v>VAL - Intercompany</v>
      </c>
      <c r="B4157" s="33" t="str">
        <f t="shared" si="257"/>
        <v>VAL</v>
      </c>
      <c r="C4157" s="33" t="str">
        <f t="shared" si="258"/>
        <v>11202-0000</v>
      </c>
      <c r="D4157" t="s">
        <v>28717</v>
      </c>
      <c r="E4157" t="s">
        <v>14073</v>
      </c>
      <c r="F4157" t="s">
        <v>14039</v>
      </c>
      <c r="G4157" t="s">
        <v>14672</v>
      </c>
      <c r="H4157" t="s">
        <v>13869</v>
      </c>
      <c r="I4157" t="s">
        <v>14690</v>
      </c>
      <c r="J4157" s="62">
        <v>0</v>
      </c>
      <c r="K4157" s="62">
        <v>0</v>
      </c>
      <c r="L4157" t="str">
        <f>VLOOKUP(VALUE(LEFT(C4157,5)),Xref!A:B,2,0)</f>
        <v>FFC</v>
      </c>
      <c r="M4157" t="str">
        <f t="shared" si="259"/>
        <v>FFC-VAL</v>
      </c>
    </row>
    <row r="4158" spans="1:13" ht="14.25" customHeight="true">
      <c r="A4158" s="33" t="str">
        <f t="shared" si="256"/>
        <v>VAL - Intercompany</v>
      </c>
      <c r="B4158" s="33" t="str">
        <f t="shared" si="257"/>
        <v>VAL</v>
      </c>
      <c r="C4158" s="33" t="str">
        <f t="shared" si="258"/>
        <v>11203-0000</v>
      </c>
      <c r="D4158" t="s">
        <v>28718</v>
      </c>
      <c r="E4158" t="s">
        <v>14075</v>
      </c>
      <c r="F4158" t="s">
        <v>14039</v>
      </c>
      <c r="G4158" t="s">
        <v>14672</v>
      </c>
      <c r="H4158" t="s">
        <v>13869</v>
      </c>
      <c r="I4158" t="s">
        <v>14690</v>
      </c>
      <c r="J4158" s="62">
        <v>0</v>
      </c>
      <c r="K4158" s="62">
        <v>0</v>
      </c>
      <c r="L4158" t="str">
        <f>VLOOKUP(VALUE(LEFT(C4158,5)),Xref!A:B,2,0)</f>
        <v>HN2</v>
      </c>
      <c r="M4158" t="str">
        <f t="shared" si="259"/>
        <v>HN2-VAL</v>
      </c>
    </row>
    <row r="4159" spans="1:13" ht="14.25" customHeight="true">
      <c r="A4159" s="33" t="str">
        <f t="shared" si="256"/>
        <v>VAL - Intercompany</v>
      </c>
      <c r="B4159" s="33" t="str">
        <f t="shared" si="257"/>
        <v>VAL</v>
      </c>
      <c r="C4159" s="33" t="str">
        <f t="shared" si="258"/>
        <v>11204-0000</v>
      </c>
      <c r="D4159" t="s">
        <v>28719</v>
      </c>
      <c r="E4159" t="s">
        <v>14077</v>
      </c>
      <c r="F4159" t="s">
        <v>14039</v>
      </c>
      <c r="G4159" t="s">
        <v>14672</v>
      </c>
      <c r="H4159" t="s">
        <v>13869</v>
      </c>
      <c r="I4159" t="s">
        <v>14690</v>
      </c>
      <c r="J4159" s="62">
        <v>0</v>
      </c>
      <c r="K4159" s="62">
        <v>0</v>
      </c>
      <c r="L4159" t="str">
        <f>VLOOKUP(VALUE(LEFT(C4159,5)),Xref!A:B,2,0)</f>
        <v>DF2</v>
      </c>
      <c r="M4159" t="str">
        <f t="shared" si="259"/>
        <v>DF2-VAL</v>
      </c>
    </row>
    <row r="4160" spans="1:13" ht="14.25" customHeight="true">
      <c r="A4160" s="33" t="str">
        <f t="shared" si="256"/>
        <v>VAL - Intercompany</v>
      </c>
      <c r="B4160" s="33" t="str">
        <f t="shared" si="257"/>
        <v>VAL</v>
      </c>
      <c r="C4160" s="33" t="str">
        <f t="shared" si="258"/>
        <v>11208-0000</v>
      </c>
      <c r="D4160" t="s">
        <v>28720</v>
      </c>
      <c r="E4160" t="s">
        <v>14079</v>
      </c>
      <c r="F4160" t="s">
        <v>14039</v>
      </c>
      <c r="G4160" t="s">
        <v>14672</v>
      </c>
      <c r="H4160" t="s">
        <v>13869</v>
      </c>
      <c r="I4160" t="s">
        <v>14690</v>
      </c>
      <c r="J4160" s="62">
        <v>0</v>
      </c>
      <c r="K4160" s="62">
        <v>0</v>
      </c>
      <c r="L4160" t="str">
        <f>VLOOKUP(VALUE(LEFT(C4160,5)),Xref!A:B,2,0)</f>
        <v>SRE</v>
      </c>
      <c r="M4160" t="str">
        <f t="shared" si="259"/>
        <v>SRE-VAL</v>
      </c>
    </row>
    <row r="4161" spans="1:13" ht="14.25" customHeight="true">
      <c r="A4161" s="33" t="str">
        <f t="shared" si="256"/>
        <v>VAL - Intercompany</v>
      </c>
      <c r="B4161" s="33" t="str">
        <f t="shared" si="257"/>
        <v>VAL</v>
      </c>
      <c r="C4161" s="33" t="str">
        <f t="shared" si="258"/>
        <v>11210-0000</v>
      </c>
      <c r="D4161" t="s">
        <v>28721</v>
      </c>
      <c r="E4161" t="s">
        <v>14081</v>
      </c>
      <c r="F4161" t="s">
        <v>14039</v>
      </c>
      <c r="G4161" t="s">
        <v>14672</v>
      </c>
      <c r="H4161" t="s">
        <v>13869</v>
      </c>
      <c r="I4161" t="s">
        <v>14690</v>
      </c>
      <c r="J4161" s="62">
        <v>0</v>
      </c>
      <c r="K4161" s="62">
        <v>0</v>
      </c>
      <c r="L4161" t="str">
        <f>VLOOKUP(VALUE(LEFT(C4161,5)),Xref!A:B,2,0)</f>
        <v>REM</v>
      </c>
      <c r="M4161" t="str">
        <f t="shared" si="259"/>
        <v>REM-VAL</v>
      </c>
    </row>
    <row r="4162" spans="1:13" ht="14.25" customHeight="true">
      <c r="A4162" s="33" t="str">
        <f t="shared" ref="A4162:A4225" si="260">B4162&amp;" - "&amp;TRIM(H4162)</f>
        <v>VAL - Intercompany</v>
      </c>
      <c r="B4162" s="33" t="str">
        <f t="shared" ref="B4162:B4225" si="261">LEFT(D4162,3)</f>
        <v>VAL</v>
      </c>
      <c r="C4162" s="33" t="str">
        <f t="shared" ref="C4162:C4225" si="262">RIGHT(D4162,10)</f>
        <v>11212-0000</v>
      </c>
      <c r="D4162" t="s">
        <v>28722</v>
      </c>
      <c r="E4162" t="s">
        <v>14083</v>
      </c>
      <c r="F4162" t="s">
        <v>14039</v>
      </c>
      <c r="G4162" t="s">
        <v>14672</v>
      </c>
      <c r="H4162" t="s">
        <v>13869</v>
      </c>
      <c r="I4162" t="s">
        <v>14690</v>
      </c>
      <c r="J4162" s="62">
        <v>0</v>
      </c>
      <c r="K4162" s="62">
        <v>0</v>
      </c>
      <c r="L4162" t="str">
        <f>VLOOKUP(VALUE(LEFT(C4162,5)),Xref!A:B,2,0)</f>
        <v>FRM</v>
      </c>
      <c r="M4162" t="str">
        <f t="shared" ref="M4162:M4225" si="263">IF(B4162&lt;L4162,B4162&amp;"-"&amp;L4162,L4162&amp;"-"&amp;B4162)</f>
        <v>FRM-VAL</v>
      </c>
    </row>
    <row r="4163" spans="1:13" ht="14.25" customHeight="true">
      <c r="A4163" s="33" t="str">
        <f t="shared" si="260"/>
        <v>VAL - Intercompany</v>
      </c>
      <c r="B4163" s="33" t="str">
        <f t="shared" si="261"/>
        <v>VAL</v>
      </c>
      <c r="C4163" s="33" t="str">
        <f t="shared" si="262"/>
        <v>11214-0000</v>
      </c>
      <c r="D4163" t="s">
        <v>28723</v>
      </c>
      <c r="E4163" t="s">
        <v>14085</v>
      </c>
      <c r="F4163" t="s">
        <v>14039</v>
      </c>
      <c r="G4163" t="s">
        <v>14672</v>
      </c>
      <c r="H4163" t="s">
        <v>13869</v>
      </c>
      <c r="I4163" t="s">
        <v>14690</v>
      </c>
      <c r="J4163" s="62">
        <v>0</v>
      </c>
      <c r="K4163" s="62">
        <v>0</v>
      </c>
      <c r="L4163" t="str">
        <f>VLOOKUP(VALUE(LEFT(C4163,5)),Xref!A:B,2,0)</f>
        <v>D7R</v>
      </c>
      <c r="M4163" t="str">
        <f t="shared" si="263"/>
        <v>D7R-VAL</v>
      </c>
    </row>
    <row r="4164" spans="1:13" ht="14.25" customHeight="true">
      <c r="A4164" s="33" t="str">
        <f t="shared" si="260"/>
        <v>VAL - Intercompany</v>
      </c>
      <c r="B4164" s="33" t="str">
        <f t="shared" si="261"/>
        <v>VAL</v>
      </c>
      <c r="C4164" s="33" t="str">
        <f t="shared" si="262"/>
        <v>11215-0000</v>
      </c>
      <c r="D4164" t="s">
        <v>28724</v>
      </c>
      <c r="E4164" t="s">
        <v>14087</v>
      </c>
      <c r="F4164" t="s">
        <v>14039</v>
      </c>
      <c r="G4164" t="s">
        <v>14672</v>
      </c>
      <c r="H4164" t="s">
        <v>13869</v>
      </c>
      <c r="I4164" t="s">
        <v>14690</v>
      </c>
      <c r="J4164" s="62">
        <v>0</v>
      </c>
      <c r="K4164" s="62">
        <v>0</v>
      </c>
      <c r="L4164" t="str">
        <f>VLOOKUP(VALUE(LEFT(C4164,5)),Xref!A:B,2,0)</f>
        <v>CDP</v>
      </c>
      <c r="M4164" t="str">
        <f t="shared" si="263"/>
        <v>CDP-VAL</v>
      </c>
    </row>
    <row r="4165" spans="1:13" ht="14.25" customHeight="true">
      <c r="A4165" s="33" t="str">
        <f t="shared" si="260"/>
        <v>VAL - Intercompany</v>
      </c>
      <c r="B4165" s="33" t="str">
        <f t="shared" si="261"/>
        <v>VAL</v>
      </c>
      <c r="C4165" s="33" t="str">
        <f t="shared" si="262"/>
        <v>11216-0000</v>
      </c>
      <c r="D4165" t="s">
        <v>2736</v>
      </c>
      <c r="E4165" t="s">
        <v>13224</v>
      </c>
      <c r="F4165" t="s">
        <v>14039</v>
      </c>
      <c r="G4165" t="s">
        <v>14672</v>
      </c>
      <c r="H4165" t="s">
        <v>13869</v>
      </c>
      <c r="I4165" t="s">
        <v>14690</v>
      </c>
      <c r="J4165" s="62">
        <v>-1908.34</v>
      </c>
      <c r="K4165" s="62">
        <v>-3342.29</v>
      </c>
      <c r="L4165" t="str">
        <f>VLOOKUP(VALUE(LEFT(C4165,5)),Xref!A:B,2,0)</f>
        <v>SIL</v>
      </c>
      <c r="M4165" t="str">
        <f t="shared" si="263"/>
        <v>SIL-VAL</v>
      </c>
    </row>
    <row r="4166" spans="1:13" ht="14.25" customHeight="true">
      <c r="A4166" s="33" t="str">
        <f t="shared" si="260"/>
        <v>VAL - Intercompany</v>
      </c>
      <c r="B4166" s="33" t="str">
        <f t="shared" si="261"/>
        <v>VAL</v>
      </c>
      <c r="C4166" s="33" t="str">
        <f t="shared" si="262"/>
        <v>11232-0000</v>
      </c>
      <c r="D4166" t="s">
        <v>28725</v>
      </c>
      <c r="E4166" t="s">
        <v>12486</v>
      </c>
      <c r="F4166" t="s">
        <v>14039</v>
      </c>
      <c r="G4166" t="s">
        <v>14672</v>
      </c>
      <c r="H4166" t="s">
        <v>13869</v>
      </c>
      <c r="I4166" t="s">
        <v>14690</v>
      </c>
      <c r="J4166" s="62">
        <v>0</v>
      </c>
      <c r="K4166" s="62">
        <v>0</v>
      </c>
      <c r="L4166" t="str">
        <f>VLOOKUP(VALUE(LEFT(C4166,5)),Xref!A:B,2,0)</f>
        <v>SC2</v>
      </c>
      <c r="M4166" t="str">
        <f t="shared" si="263"/>
        <v>SC2-VAL</v>
      </c>
    </row>
    <row r="4167" spans="1:13" ht="14.25" customHeight="true">
      <c r="A4167" s="33" t="str">
        <f t="shared" si="260"/>
        <v>VAL - Intercompany</v>
      </c>
      <c r="B4167" s="33" t="str">
        <f t="shared" si="261"/>
        <v>VAL</v>
      </c>
      <c r="C4167" s="33" t="str">
        <f t="shared" si="262"/>
        <v>11301-0000</v>
      </c>
      <c r="D4167" t="s">
        <v>2737</v>
      </c>
      <c r="E4167" t="s">
        <v>13225</v>
      </c>
      <c r="F4167" t="s">
        <v>14039</v>
      </c>
      <c r="G4167" t="s">
        <v>14672</v>
      </c>
      <c r="H4167" t="s">
        <v>13869</v>
      </c>
      <c r="I4167" t="s">
        <v>14690</v>
      </c>
      <c r="J4167" s="62">
        <v>0</v>
      </c>
      <c r="K4167" s="62">
        <v>-10000</v>
      </c>
      <c r="L4167" t="str">
        <f>VLOOKUP(VALUE(LEFT(C4167,5)),Xref!A:B,2,0)</f>
        <v>CRE</v>
      </c>
      <c r="M4167" t="str">
        <f t="shared" si="263"/>
        <v>CRE-VAL</v>
      </c>
    </row>
    <row r="4168" spans="1:13" ht="14.25" customHeight="true">
      <c r="A4168" s="33" t="str">
        <f t="shared" si="260"/>
        <v>VAL - Intercompany</v>
      </c>
      <c r="B4168" s="33" t="str">
        <f t="shared" si="261"/>
        <v>VAL</v>
      </c>
      <c r="C4168" s="33" t="str">
        <f t="shared" si="262"/>
        <v>11302-0000</v>
      </c>
      <c r="D4168" t="s">
        <v>28726</v>
      </c>
      <c r="E4168" t="s">
        <v>13226</v>
      </c>
      <c r="F4168" t="s">
        <v>14039</v>
      </c>
      <c r="G4168" t="s">
        <v>14672</v>
      </c>
      <c r="H4168" t="s">
        <v>13869</v>
      </c>
      <c r="I4168" t="s">
        <v>14690</v>
      </c>
      <c r="J4168" s="62">
        <v>0</v>
      </c>
      <c r="K4168" s="62">
        <v>0</v>
      </c>
      <c r="L4168" t="str">
        <f>VLOOKUP(VALUE(LEFT(C4168,5)),Xref!A:B,2,0)</f>
        <v>CHA</v>
      </c>
      <c r="M4168" t="str">
        <f t="shared" si="263"/>
        <v>CHA-VAL</v>
      </c>
    </row>
    <row r="4169" spans="1:13" ht="14.25" customHeight="true">
      <c r="A4169" s="33" t="str">
        <f t="shared" si="260"/>
        <v>VAL - Intercompany</v>
      </c>
      <c r="B4169" s="33" t="str">
        <f t="shared" si="261"/>
        <v>VAL</v>
      </c>
      <c r="C4169" s="33" t="str">
        <f t="shared" si="262"/>
        <v>11303-0000</v>
      </c>
      <c r="D4169" t="s">
        <v>28727</v>
      </c>
      <c r="E4169" t="s">
        <v>13227</v>
      </c>
      <c r="F4169" t="s">
        <v>14039</v>
      </c>
      <c r="G4169" t="s">
        <v>14672</v>
      </c>
      <c r="H4169" t="s">
        <v>13869</v>
      </c>
      <c r="I4169" t="s">
        <v>14690</v>
      </c>
      <c r="J4169" s="62">
        <v>0</v>
      </c>
      <c r="K4169" s="62">
        <v>0</v>
      </c>
      <c r="L4169" t="str">
        <f>VLOOKUP(VALUE(LEFT(C4169,5)),Xref!A:B,2,0)</f>
        <v>DIA</v>
      </c>
      <c r="M4169" t="str">
        <f t="shared" si="263"/>
        <v>DIA-VAL</v>
      </c>
    </row>
    <row r="4170" spans="1:13" ht="14.25" customHeight="true">
      <c r="A4170" s="33" t="str">
        <f t="shared" si="260"/>
        <v>VAL - Intercompany</v>
      </c>
      <c r="B4170" s="33" t="str">
        <f t="shared" si="261"/>
        <v>VAL</v>
      </c>
      <c r="C4170" s="33" t="str">
        <f t="shared" si="262"/>
        <v>11304-0000</v>
      </c>
      <c r="D4170" t="s">
        <v>28728</v>
      </c>
      <c r="E4170" t="s">
        <v>13228</v>
      </c>
      <c r="F4170" t="s">
        <v>14039</v>
      </c>
      <c r="G4170" t="s">
        <v>14672</v>
      </c>
      <c r="H4170" t="s">
        <v>13869</v>
      </c>
      <c r="I4170" t="s">
        <v>14690</v>
      </c>
      <c r="J4170" s="62">
        <v>0</v>
      </c>
      <c r="K4170" s="62">
        <v>0</v>
      </c>
      <c r="L4170" t="str">
        <f>VLOOKUP(VALUE(LEFT(C4170,5)),Xref!A:B,2,0)</f>
        <v>EAG</v>
      </c>
      <c r="M4170" t="str">
        <f t="shared" si="263"/>
        <v>EAG-VAL</v>
      </c>
    </row>
    <row r="4171" spans="1:13" ht="14.25" customHeight="true">
      <c r="A4171" s="33" t="str">
        <f t="shared" si="260"/>
        <v>VAL - Intercompany</v>
      </c>
      <c r="B4171" s="33" t="str">
        <f t="shared" si="261"/>
        <v>VAL</v>
      </c>
      <c r="C4171" s="33" t="str">
        <f t="shared" si="262"/>
        <v>11305-0000</v>
      </c>
      <c r="D4171" t="s">
        <v>28729</v>
      </c>
      <c r="E4171" t="s">
        <v>13229</v>
      </c>
      <c r="F4171" t="s">
        <v>14039</v>
      </c>
      <c r="G4171" t="s">
        <v>14672</v>
      </c>
      <c r="H4171" t="s">
        <v>13869</v>
      </c>
      <c r="I4171" t="s">
        <v>14690</v>
      </c>
      <c r="J4171" s="62">
        <v>0</v>
      </c>
      <c r="K4171" s="62">
        <v>0</v>
      </c>
      <c r="L4171" t="str">
        <f>VLOOKUP(VALUE(LEFT(C4171,5)),Xref!A:B,2,0)</f>
        <v>NEW</v>
      </c>
      <c r="M4171" t="str">
        <f t="shared" si="263"/>
        <v>NEW-VAL</v>
      </c>
    </row>
    <row r="4172" spans="1:13" ht="14.25" customHeight="true">
      <c r="A4172" s="33" t="str">
        <f t="shared" si="260"/>
        <v>VAL - Intercompany</v>
      </c>
      <c r="B4172" s="33" t="str">
        <f t="shared" si="261"/>
        <v>VAL</v>
      </c>
      <c r="C4172" s="33" t="str">
        <f t="shared" si="262"/>
        <v>11307-0000</v>
      </c>
      <c r="D4172" t="s">
        <v>28730</v>
      </c>
      <c r="E4172" t="s">
        <v>14096</v>
      </c>
      <c r="F4172" t="s">
        <v>14039</v>
      </c>
      <c r="G4172" t="s">
        <v>14672</v>
      </c>
      <c r="H4172" t="s">
        <v>13869</v>
      </c>
      <c r="I4172" t="s">
        <v>14690</v>
      </c>
      <c r="J4172" s="62">
        <v>0</v>
      </c>
      <c r="K4172" s="62">
        <v>0</v>
      </c>
      <c r="L4172" t="str">
        <f>VLOOKUP(VALUE(LEFT(C4172,5)),Xref!A:B,2,0)</f>
        <v>NES</v>
      </c>
      <c r="M4172" t="str">
        <f t="shared" si="263"/>
        <v>NES-VAL</v>
      </c>
    </row>
    <row r="4173" spans="1:13" ht="14.25" customHeight="true">
      <c r="A4173" s="33" t="str">
        <f t="shared" si="260"/>
        <v>VAL - Intercompany</v>
      </c>
      <c r="B4173" s="33" t="str">
        <f t="shared" si="261"/>
        <v>VAL</v>
      </c>
      <c r="C4173" s="33" t="str">
        <f t="shared" si="262"/>
        <v>11308-0000</v>
      </c>
      <c r="D4173" t="s">
        <v>28731</v>
      </c>
      <c r="E4173" t="s">
        <v>13476</v>
      </c>
      <c r="F4173" t="s">
        <v>14039</v>
      </c>
      <c r="G4173" t="s">
        <v>14672</v>
      </c>
      <c r="H4173" t="s">
        <v>13869</v>
      </c>
      <c r="I4173" t="s">
        <v>14690</v>
      </c>
      <c r="J4173" s="62">
        <v>0</v>
      </c>
      <c r="K4173" s="62">
        <v>0</v>
      </c>
      <c r="L4173" t="str">
        <f>VLOOKUP(VALUE(LEFT(C4173,5)),Xref!A:B,2,0)</f>
        <v>LPI</v>
      </c>
      <c r="M4173" t="str">
        <f t="shared" si="263"/>
        <v>LPI-VAL</v>
      </c>
    </row>
    <row r="4174" spans="1:13" ht="14.25" customHeight="true">
      <c r="A4174" s="33" t="str">
        <f t="shared" si="260"/>
        <v>VAL - Intercompany</v>
      </c>
      <c r="B4174" s="33" t="str">
        <f t="shared" si="261"/>
        <v>VAL</v>
      </c>
      <c r="C4174" s="33" t="str">
        <f t="shared" si="262"/>
        <v>11309-0000</v>
      </c>
      <c r="D4174" t="s">
        <v>28732</v>
      </c>
      <c r="E4174" t="s">
        <v>13230</v>
      </c>
      <c r="F4174" t="s">
        <v>14039</v>
      </c>
      <c r="G4174" t="s">
        <v>14672</v>
      </c>
      <c r="H4174" t="s">
        <v>13869</v>
      </c>
      <c r="I4174" t="s">
        <v>14690</v>
      </c>
      <c r="J4174" s="62">
        <v>0</v>
      </c>
      <c r="K4174" s="62">
        <v>0</v>
      </c>
      <c r="L4174" t="str">
        <f>VLOOKUP(VALUE(LEFT(C4174,5)),Xref!A:B,2,0)</f>
        <v>GPI</v>
      </c>
      <c r="M4174" t="str">
        <f t="shared" si="263"/>
        <v>GPI-VAL</v>
      </c>
    </row>
    <row r="4175" spans="1:13" ht="14.25" customHeight="true">
      <c r="A4175" s="33" t="str">
        <f t="shared" si="260"/>
        <v>VAL - Intercompany</v>
      </c>
      <c r="B4175" s="33" t="str">
        <f t="shared" si="261"/>
        <v>VAL</v>
      </c>
      <c r="C4175" s="33" t="str">
        <f t="shared" si="262"/>
        <v>11310-0000</v>
      </c>
      <c r="D4175" t="s">
        <v>2738</v>
      </c>
      <c r="E4175" t="s">
        <v>13231</v>
      </c>
      <c r="F4175" t="s">
        <v>14039</v>
      </c>
      <c r="G4175" t="s">
        <v>14672</v>
      </c>
      <c r="H4175" t="s">
        <v>13869</v>
      </c>
      <c r="I4175" t="s">
        <v>14690</v>
      </c>
      <c r="J4175" s="62">
        <v>0</v>
      </c>
      <c r="K4175" s="62">
        <v>15000</v>
      </c>
      <c r="L4175" t="str">
        <f>VLOOKUP(VALUE(LEFT(C4175,5)),Xref!A:B,2,0)</f>
        <v>ALP</v>
      </c>
      <c r="M4175" t="str">
        <f t="shared" si="263"/>
        <v>ALP-VAL</v>
      </c>
    </row>
    <row r="4176" spans="1:13" ht="14.25" customHeight="true">
      <c r="A4176" s="33" t="str">
        <f t="shared" si="260"/>
        <v>VAL - Intercompany</v>
      </c>
      <c r="B4176" s="33" t="str">
        <f t="shared" si="261"/>
        <v>VAL</v>
      </c>
      <c r="C4176" s="33" t="str">
        <f t="shared" si="262"/>
        <v>11311-0000</v>
      </c>
      <c r="D4176" t="s">
        <v>28733</v>
      </c>
      <c r="E4176" t="s">
        <v>13232</v>
      </c>
      <c r="F4176" t="s">
        <v>14039</v>
      </c>
      <c r="G4176" t="s">
        <v>14672</v>
      </c>
      <c r="H4176" t="s">
        <v>13869</v>
      </c>
      <c r="I4176" t="s">
        <v>14690</v>
      </c>
      <c r="J4176" s="62">
        <v>0</v>
      </c>
      <c r="K4176" s="62">
        <v>0</v>
      </c>
      <c r="L4176" t="str">
        <f>VLOOKUP(VALUE(LEFT(C4176,5)),Xref!A:B,2,0)</f>
        <v>BET</v>
      </c>
      <c r="M4176" t="str">
        <f t="shared" si="263"/>
        <v>BET-VAL</v>
      </c>
    </row>
    <row r="4177" spans="1:13" ht="14.25" customHeight="true">
      <c r="A4177" s="33" t="str">
        <f t="shared" si="260"/>
        <v>VAL - Intercompany</v>
      </c>
      <c r="B4177" s="33" t="str">
        <f t="shared" si="261"/>
        <v>VAL</v>
      </c>
      <c r="C4177" s="33" t="str">
        <f t="shared" si="262"/>
        <v>11312-0000</v>
      </c>
      <c r="D4177" t="s">
        <v>28734</v>
      </c>
      <c r="E4177" t="s">
        <v>14102</v>
      </c>
      <c r="F4177" t="s">
        <v>14039</v>
      </c>
      <c r="G4177" t="s">
        <v>14672</v>
      </c>
      <c r="H4177" t="s">
        <v>13869</v>
      </c>
      <c r="I4177" t="s">
        <v>14690</v>
      </c>
      <c r="J4177" s="62">
        <v>0</v>
      </c>
      <c r="K4177" s="62">
        <v>0</v>
      </c>
      <c r="L4177" t="str">
        <f>VLOOKUP(VALUE(LEFT(C4177,5)),Xref!A:B,2,0)</f>
        <v>DEL</v>
      </c>
      <c r="M4177" t="str">
        <f t="shared" si="263"/>
        <v>DEL-VAL</v>
      </c>
    </row>
    <row r="4178" spans="1:13" ht="14.25" customHeight="true">
      <c r="A4178" s="33" t="str">
        <f t="shared" si="260"/>
        <v>VAL - Intercompany</v>
      </c>
      <c r="B4178" s="33" t="str">
        <f t="shared" si="261"/>
        <v>VAL</v>
      </c>
      <c r="C4178" s="33" t="str">
        <f t="shared" si="262"/>
        <v>11313-0000</v>
      </c>
      <c r="D4178" t="s">
        <v>28735</v>
      </c>
      <c r="E4178" t="s">
        <v>13233</v>
      </c>
      <c r="F4178" t="s">
        <v>14039</v>
      </c>
      <c r="G4178" t="s">
        <v>14672</v>
      </c>
      <c r="H4178" t="s">
        <v>13869</v>
      </c>
      <c r="I4178" t="s">
        <v>14690</v>
      </c>
      <c r="J4178" s="62">
        <v>0</v>
      </c>
      <c r="K4178" s="62">
        <v>0</v>
      </c>
      <c r="L4178" t="str">
        <f>VLOOKUP(VALUE(LEFT(C4178,5)),Xref!A:B,2,0)</f>
        <v>DOL</v>
      </c>
      <c r="M4178" t="str">
        <f t="shared" si="263"/>
        <v>DOL-VAL</v>
      </c>
    </row>
    <row r="4179" spans="1:13" ht="14.25" customHeight="true">
      <c r="A4179" s="33" t="str">
        <f t="shared" si="260"/>
        <v>VAL - Intercompany</v>
      </c>
      <c r="B4179" s="33" t="str">
        <f t="shared" si="261"/>
        <v>VAL</v>
      </c>
      <c r="C4179" s="33" t="str">
        <f t="shared" si="262"/>
        <v>11314-0000</v>
      </c>
      <c r="D4179" t="s">
        <v>28736</v>
      </c>
      <c r="E4179" t="s">
        <v>13351</v>
      </c>
      <c r="F4179" t="s">
        <v>14039</v>
      </c>
      <c r="G4179" t="s">
        <v>14672</v>
      </c>
      <c r="H4179" t="s">
        <v>13869</v>
      </c>
      <c r="I4179" t="s">
        <v>14690</v>
      </c>
      <c r="J4179" s="62">
        <v>0</v>
      </c>
      <c r="K4179" s="62">
        <v>0</v>
      </c>
      <c r="L4179" t="str">
        <f>VLOOKUP(VALUE(LEFT(C4179,5)),Xref!A:B,2,0)</f>
        <v>GRI</v>
      </c>
      <c r="M4179" t="str">
        <f t="shared" si="263"/>
        <v>GRI-VAL</v>
      </c>
    </row>
    <row r="4180" spans="1:13" ht="14.25" customHeight="true">
      <c r="A4180" s="33" t="str">
        <f t="shared" si="260"/>
        <v>VAL - Intercompany</v>
      </c>
      <c r="B4180" s="33" t="str">
        <f t="shared" si="261"/>
        <v>VAL</v>
      </c>
      <c r="C4180" s="33" t="str">
        <f t="shared" si="262"/>
        <v>11315-0000</v>
      </c>
      <c r="D4180" t="s">
        <v>28737</v>
      </c>
      <c r="E4180" t="s">
        <v>13234</v>
      </c>
      <c r="F4180" t="s">
        <v>14039</v>
      </c>
      <c r="G4180" t="s">
        <v>14672</v>
      </c>
      <c r="H4180" t="s">
        <v>13869</v>
      </c>
      <c r="I4180" t="s">
        <v>14690</v>
      </c>
      <c r="J4180" s="62">
        <v>0</v>
      </c>
      <c r="K4180" s="62">
        <v>0</v>
      </c>
      <c r="L4180" t="str">
        <f>VLOOKUP(VALUE(LEFT(C4180,5)),Xref!A:B,2,0)</f>
        <v>PUR</v>
      </c>
      <c r="M4180" t="str">
        <f t="shared" si="263"/>
        <v>PUR-VAL</v>
      </c>
    </row>
    <row r="4181" spans="1:13" ht="14.25" customHeight="true">
      <c r="A4181" s="33" t="str">
        <f t="shared" si="260"/>
        <v>VAL - Intercompany</v>
      </c>
      <c r="B4181" s="33" t="str">
        <f t="shared" si="261"/>
        <v>VAL</v>
      </c>
      <c r="C4181" s="33" t="str">
        <f t="shared" si="262"/>
        <v>11316-0000</v>
      </c>
      <c r="D4181" t="s">
        <v>28738</v>
      </c>
      <c r="E4181" t="s">
        <v>13235</v>
      </c>
      <c r="F4181" t="s">
        <v>14039</v>
      </c>
      <c r="G4181" t="s">
        <v>14672</v>
      </c>
      <c r="H4181" t="s">
        <v>13869</v>
      </c>
      <c r="I4181" t="s">
        <v>14690</v>
      </c>
      <c r="J4181" s="62">
        <v>0</v>
      </c>
      <c r="K4181" s="62">
        <v>42835.22</v>
      </c>
      <c r="L4181" t="str">
        <f>VLOOKUP(VALUE(LEFT(C4181,5)),Xref!A:B,2,0)</f>
        <v>VAL</v>
      </c>
      <c r="M4181" t="str">
        <f t="shared" si="263"/>
        <v>VAL-VAL</v>
      </c>
    </row>
    <row r="4182" spans="1:13" ht="14.25" customHeight="true">
      <c r="A4182" s="33" t="str">
        <f t="shared" si="260"/>
        <v>VAL - Intercompany</v>
      </c>
      <c r="B4182" s="33" t="str">
        <f t="shared" si="261"/>
        <v>VAL</v>
      </c>
      <c r="C4182" s="33" t="str">
        <f t="shared" si="262"/>
        <v>11317-0000</v>
      </c>
      <c r="D4182" t="s">
        <v>2739</v>
      </c>
      <c r="E4182" t="s">
        <v>13352</v>
      </c>
      <c r="F4182" t="s">
        <v>14039</v>
      </c>
      <c r="G4182" t="s">
        <v>14672</v>
      </c>
      <c r="H4182" t="s">
        <v>13869</v>
      </c>
      <c r="I4182" t="s">
        <v>14690</v>
      </c>
      <c r="J4182" s="62">
        <v>0</v>
      </c>
      <c r="K4182" s="62">
        <v>-41000</v>
      </c>
      <c r="L4182" t="str">
        <f>VLOOKUP(VALUE(LEFT(C4182,5)),Xref!A:B,2,0)</f>
        <v>AKG</v>
      </c>
      <c r="M4182" t="str">
        <f t="shared" si="263"/>
        <v>AKG-VAL</v>
      </c>
    </row>
    <row r="4183" spans="1:13" ht="14.25" customHeight="true">
      <c r="A4183" s="33" t="str">
        <f t="shared" si="260"/>
        <v>VAL - Intercompany</v>
      </c>
      <c r="B4183" s="33" t="str">
        <f t="shared" si="261"/>
        <v>VAL</v>
      </c>
      <c r="C4183" s="33" t="str">
        <f t="shared" si="262"/>
        <v>11318-0000</v>
      </c>
      <c r="D4183" t="s">
        <v>28739</v>
      </c>
      <c r="E4183" t="s">
        <v>13477</v>
      </c>
      <c r="F4183" t="s">
        <v>14039</v>
      </c>
      <c r="G4183" t="s">
        <v>14672</v>
      </c>
      <c r="H4183" t="s">
        <v>13869</v>
      </c>
      <c r="I4183" t="s">
        <v>14690</v>
      </c>
      <c r="J4183" s="62">
        <v>0</v>
      </c>
      <c r="K4183" s="62">
        <v>0</v>
      </c>
      <c r="L4183" t="str">
        <f>VLOOKUP(VALUE(LEFT(C4183,5)),Xref!A:B,2,0)</f>
        <v>FIR</v>
      </c>
      <c r="M4183" t="str">
        <f t="shared" si="263"/>
        <v>FIR-VAL</v>
      </c>
    </row>
    <row r="4184" spans="1:13" ht="14.25" customHeight="true">
      <c r="A4184" s="33" t="str">
        <f t="shared" si="260"/>
        <v>VAL - Intercompany</v>
      </c>
      <c r="B4184" s="33" t="str">
        <f t="shared" si="261"/>
        <v>VAL</v>
      </c>
      <c r="C4184" s="33" t="str">
        <f t="shared" si="262"/>
        <v>11319-0000</v>
      </c>
      <c r="D4184" t="s">
        <v>28740</v>
      </c>
      <c r="E4184" t="s">
        <v>266</v>
      </c>
      <c r="F4184" t="s">
        <v>14039</v>
      </c>
      <c r="G4184" t="s">
        <v>14672</v>
      </c>
      <c r="H4184" t="s">
        <v>13869</v>
      </c>
      <c r="I4184" t="s">
        <v>14690</v>
      </c>
      <c r="J4184" s="62">
        <v>0</v>
      </c>
      <c r="K4184" s="62">
        <v>0</v>
      </c>
      <c r="L4184" t="str">
        <f>VLOOKUP(VALUE(LEFT(C4184,5)),Xref!A:B,2,0)</f>
        <v>GST</v>
      </c>
      <c r="M4184" t="str">
        <f t="shared" si="263"/>
        <v>GST-VAL</v>
      </c>
    </row>
    <row r="4185" spans="1:13" ht="14.25" customHeight="true">
      <c r="A4185" s="33" t="str">
        <f t="shared" si="260"/>
        <v>VAL - Intercompany</v>
      </c>
      <c r="B4185" s="33" t="str">
        <f t="shared" si="261"/>
        <v>VAL</v>
      </c>
      <c r="C4185" s="33" t="str">
        <f t="shared" si="262"/>
        <v>11320-0000</v>
      </c>
      <c r="D4185" t="s">
        <v>28741</v>
      </c>
      <c r="E4185" t="s">
        <v>14111</v>
      </c>
      <c r="F4185" t="s">
        <v>14039</v>
      </c>
      <c r="G4185" t="s">
        <v>14672</v>
      </c>
      <c r="H4185" t="s">
        <v>13869</v>
      </c>
      <c r="I4185" t="s">
        <v>14690</v>
      </c>
      <c r="J4185" s="62">
        <v>0</v>
      </c>
      <c r="K4185" s="62">
        <v>0</v>
      </c>
      <c r="L4185" t="str">
        <f>VLOOKUP(VALUE(LEFT(C4185,5)),Xref!A:B,2,0)</f>
        <v>HDN</v>
      </c>
      <c r="M4185" t="str">
        <f t="shared" si="263"/>
        <v>HDN-VAL</v>
      </c>
    </row>
    <row r="4186" spans="1:13" ht="14.25" customHeight="true">
      <c r="A4186" s="33" t="str">
        <f t="shared" si="260"/>
        <v>VAL - Intercompany</v>
      </c>
      <c r="B4186" s="33" t="str">
        <f t="shared" si="261"/>
        <v>VAL</v>
      </c>
      <c r="C4186" s="33" t="str">
        <f t="shared" si="262"/>
        <v>11321-0000</v>
      </c>
      <c r="D4186" t="s">
        <v>28742</v>
      </c>
      <c r="E4186" t="s">
        <v>13236</v>
      </c>
      <c r="F4186" t="s">
        <v>14039</v>
      </c>
      <c r="G4186" t="s">
        <v>14672</v>
      </c>
      <c r="H4186" t="s">
        <v>13869</v>
      </c>
      <c r="I4186" t="s">
        <v>14690</v>
      </c>
      <c r="J4186" s="62">
        <v>0</v>
      </c>
      <c r="K4186" s="62">
        <v>0</v>
      </c>
      <c r="L4186" t="str">
        <f>VLOOKUP(VALUE(LEFT(C4186,5)),Xref!A:B,2,0)</f>
        <v>OVA</v>
      </c>
      <c r="M4186" t="str">
        <f t="shared" si="263"/>
        <v>OVA-VAL</v>
      </c>
    </row>
    <row r="4187" spans="1:13" ht="14.25" customHeight="true">
      <c r="A4187" s="33" t="str">
        <f t="shared" si="260"/>
        <v>VAL - Intercompany</v>
      </c>
      <c r="B4187" s="33" t="str">
        <f t="shared" si="261"/>
        <v>VAL</v>
      </c>
      <c r="C4187" s="33" t="str">
        <f t="shared" si="262"/>
        <v>11322-0000</v>
      </c>
      <c r="D4187" t="s">
        <v>28743</v>
      </c>
      <c r="E4187" t="s">
        <v>13237</v>
      </c>
      <c r="F4187" t="s">
        <v>14039</v>
      </c>
      <c r="G4187" t="s">
        <v>14672</v>
      </c>
      <c r="H4187" t="s">
        <v>13869</v>
      </c>
      <c r="I4187" t="s">
        <v>14690</v>
      </c>
      <c r="J4187" s="62">
        <v>0</v>
      </c>
      <c r="K4187" s="62">
        <v>0</v>
      </c>
      <c r="L4187" t="str">
        <f>VLOOKUP(VALUE(LEFT(C4187,5)),Xref!A:B,2,0)</f>
        <v>WOO</v>
      </c>
      <c r="M4187" t="str">
        <f t="shared" si="263"/>
        <v>VAL-WOO</v>
      </c>
    </row>
    <row r="4188" spans="1:13" ht="14.25" customHeight="true">
      <c r="A4188" s="33" t="str">
        <f t="shared" si="260"/>
        <v>VAL - Intercompany</v>
      </c>
      <c r="B4188" s="33" t="str">
        <f t="shared" si="261"/>
        <v>VAL</v>
      </c>
      <c r="C4188" s="33" t="str">
        <f t="shared" si="262"/>
        <v>11323-0000</v>
      </c>
      <c r="D4188" t="s">
        <v>28744</v>
      </c>
      <c r="E4188" t="s">
        <v>13478</v>
      </c>
      <c r="F4188" t="s">
        <v>14039</v>
      </c>
      <c r="G4188" t="s">
        <v>14672</v>
      </c>
      <c r="H4188" t="s">
        <v>13869</v>
      </c>
      <c r="I4188" t="s">
        <v>14690</v>
      </c>
      <c r="J4188" s="62">
        <v>0</v>
      </c>
      <c r="K4188" s="62">
        <v>0</v>
      </c>
      <c r="L4188" t="str">
        <f>VLOOKUP(VALUE(LEFT(C4188,5)),Xref!A:B,2,0)</f>
        <v>SPI</v>
      </c>
      <c r="M4188" t="str">
        <f t="shared" si="263"/>
        <v>SPI-VAL</v>
      </c>
    </row>
    <row r="4189" spans="1:13" ht="14.25" customHeight="true">
      <c r="A4189" s="33" t="str">
        <f t="shared" si="260"/>
        <v>VAL - Intercompany</v>
      </c>
      <c r="B4189" s="33" t="str">
        <f t="shared" si="261"/>
        <v>VAL</v>
      </c>
      <c r="C4189" s="33" t="str">
        <f t="shared" si="262"/>
        <v>11324-0000</v>
      </c>
      <c r="D4189" t="s">
        <v>28745</v>
      </c>
      <c r="E4189" t="s">
        <v>13238</v>
      </c>
      <c r="F4189" t="s">
        <v>14039</v>
      </c>
      <c r="G4189" t="s">
        <v>14672</v>
      </c>
      <c r="H4189" t="s">
        <v>13869</v>
      </c>
      <c r="I4189" t="s">
        <v>14690</v>
      </c>
      <c r="J4189" s="62">
        <v>0</v>
      </c>
      <c r="K4189" s="62">
        <v>0</v>
      </c>
      <c r="L4189" t="str">
        <f>VLOOKUP(VALUE(LEFT(C4189,5)),Xref!A:B,2,0)</f>
        <v>NET</v>
      </c>
      <c r="M4189" t="str">
        <f t="shared" si="263"/>
        <v>NET-VAL</v>
      </c>
    </row>
    <row r="4190" spans="1:13" ht="14.25" customHeight="true">
      <c r="A4190" s="33" t="str">
        <f t="shared" si="260"/>
        <v>VAL - Intercompany</v>
      </c>
      <c r="B4190" s="33" t="str">
        <f t="shared" si="261"/>
        <v>VAL</v>
      </c>
      <c r="C4190" s="33" t="str">
        <f t="shared" si="262"/>
        <v>11325-0000</v>
      </c>
      <c r="D4190" t="s">
        <v>28746</v>
      </c>
      <c r="E4190" t="s">
        <v>13239</v>
      </c>
      <c r="F4190" t="s">
        <v>14039</v>
      </c>
      <c r="G4190" t="s">
        <v>14672</v>
      </c>
      <c r="H4190" t="s">
        <v>13869</v>
      </c>
      <c r="I4190" t="s">
        <v>14690</v>
      </c>
      <c r="J4190" s="62">
        <v>0</v>
      </c>
      <c r="K4190" s="62">
        <v>0</v>
      </c>
      <c r="L4190" t="str">
        <f>VLOOKUP(VALUE(LEFT(C4190,5)),Xref!A:B,2,0)</f>
        <v>DPI</v>
      </c>
      <c r="M4190" t="str">
        <f t="shared" si="263"/>
        <v>DPI-VAL</v>
      </c>
    </row>
    <row r="4191" spans="1:13" ht="14.25" customHeight="true">
      <c r="A4191" s="33" t="str">
        <f t="shared" si="260"/>
        <v>VAL - Intercompany</v>
      </c>
      <c r="B4191" s="33" t="str">
        <f t="shared" si="261"/>
        <v>VAL</v>
      </c>
      <c r="C4191" s="33" t="str">
        <f t="shared" si="262"/>
        <v>11326-0000</v>
      </c>
      <c r="D4191" t="s">
        <v>28747</v>
      </c>
      <c r="E4191" t="s">
        <v>13240</v>
      </c>
      <c r="F4191" t="s">
        <v>14039</v>
      </c>
      <c r="G4191" t="s">
        <v>14672</v>
      </c>
      <c r="H4191" t="s">
        <v>13869</v>
      </c>
      <c r="I4191" t="s">
        <v>14690</v>
      </c>
      <c r="J4191" s="62">
        <v>0</v>
      </c>
      <c r="K4191" s="62">
        <v>0</v>
      </c>
      <c r="L4191" t="str">
        <f>VLOOKUP(VALUE(LEFT(C4191,5)),Xref!A:B,2,0)</f>
        <v>SEK</v>
      </c>
      <c r="M4191" t="str">
        <f t="shared" si="263"/>
        <v>SEK-VAL</v>
      </c>
    </row>
    <row r="4192" spans="1:13" ht="14.25" customHeight="true">
      <c r="A4192" s="33" t="str">
        <f t="shared" si="260"/>
        <v>VAL - Intercompany</v>
      </c>
      <c r="B4192" s="33" t="str">
        <f t="shared" si="261"/>
        <v>VAL</v>
      </c>
      <c r="C4192" s="33" t="str">
        <f t="shared" si="262"/>
        <v>11327-0000</v>
      </c>
      <c r="D4192" t="s">
        <v>28748</v>
      </c>
      <c r="E4192" t="s">
        <v>14119</v>
      </c>
      <c r="F4192" t="s">
        <v>14039</v>
      </c>
      <c r="G4192" t="s">
        <v>14672</v>
      </c>
      <c r="H4192" t="s">
        <v>13869</v>
      </c>
      <c r="I4192" t="s">
        <v>14690</v>
      </c>
      <c r="J4192" s="62">
        <v>0</v>
      </c>
      <c r="K4192" s="62">
        <v>0</v>
      </c>
      <c r="L4192" t="str">
        <f>VLOOKUP(VALUE(LEFT(C4192,5)),Xref!A:B,2,0)</f>
        <v>CPI</v>
      </c>
      <c r="M4192" t="str">
        <f t="shared" si="263"/>
        <v>CPI-VAL</v>
      </c>
    </row>
    <row r="4193" spans="1:13" ht="14.25" customHeight="true">
      <c r="A4193" s="33" t="str">
        <f t="shared" si="260"/>
        <v>VAL - Intercompany</v>
      </c>
      <c r="B4193" s="33" t="str">
        <f t="shared" si="261"/>
        <v>VAL</v>
      </c>
      <c r="C4193" s="33" t="str">
        <f t="shared" si="262"/>
        <v>11328-0000</v>
      </c>
      <c r="D4193" t="s">
        <v>28749</v>
      </c>
      <c r="E4193" t="s">
        <v>13241</v>
      </c>
      <c r="F4193" t="s">
        <v>14039</v>
      </c>
      <c r="G4193" t="s">
        <v>14672</v>
      </c>
      <c r="H4193" t="s">
        <v>13869</v>
      </c>
      <c r="I4193" t="s">
        <v>14690</v>
      </c>
      <c r="J4193" s="62">
        <v>0</v>
      </c>
      <c r="K4193" s="62">
        <v>0</v>
      </c>
      <c r="L4193" t="str">
        <f>VLOOKUP(VALUE(LEFT(C4193,5)),Xref!A:B,2,0)</f>
        <v>LOM</v>
      </c>
      <c r="M4193" t="str">
        <f t="shared" si="263"/>
        <v>LOM-VAL</v>
      </c>
    </row>
    <row r="4194" spans="1:13" ht="14.25" customHeight="true">
      <c r="A4194" s="33" t="str">
        <f t="shared" si="260"/>
        <v>VAL - Intercompany</v>
      </c>
      <c r="B4194" s="33" t="str">
        <f t="shared" si="261"/>
        <v>VAL</v>
      </c>
      <c r="C4194" s="33" t="str">
        <f t="shared" si="262"/>
        <v>11329-0000</v>
      </c>
      <c r="D4194" t="s">
        <v>28750</v>
      </c>
      <c r="E4194" t="s">
        <v>13353</v>
      </c>
      <c r="F4194" t="s">
        <v>14039</v>
      </c>
      <c r="G4194" t="s">
        <v>14672</v>
      </c>
      <c r="H4194" t="s">
        <v>13869</v>
      </c>
      <c r="I4194" t="s">
        <v>14690</v>
      </c>
      <c r="J4194" s="62">
        <v>0</v>
      </c>
      <c r="K4194" s="62">
        <v>0</v>
      </c>
      <c r="L4194" t="str">
        <f>VLOOKUP(VALUE(LEFT(C4194,5)),Xref!A:B,2,0)</f>
        <v>AKS</v>
      </c>
      <c r="M4194" t="str">
        <f t="shared" si="263"/>
        <v>AKS-VAL</v>
      </c>
    </row>
    <row r="4195" spans="1:13" ht="14.25" customHeight="true">
      <c r="A4195" s="33" t="str">
        <f t="shared" si="260"/>
        <v>VAL - Intercompany</v>
      </c>
      <c r="B4195" s="33" t="str">
        <f t="shared" si="261"/>
        <v>VAL</v>
      </c>
      <c r="C4195" s="33" t="str">
        <f t="shared" si="262"/>
        <v>11330-0000</v>
      </c>
      <c r="D4195" t="s">
        <v>28751</v>
      </c>
      <c r="E4195" t="s">
        <v>13242</v>
      </c>
      <c r="F4195" t="s">
        <v>14039</v>
      </c>
      <c r="G4195" t="s">
        <v>14672</v>
      </c>
      <c r="H4195" t="s">
        <v>13869</v>
      </c>
      <c r="I4195" t="s">
        <v>14690</v>
      </c>
      <c r="J4195" s="62">
        <v>0</v>
      </c>
      <c r="K4195" s="62">
        <v>0</v>
      </c>
      <c r="L4195" t="str">
        <f>VLOOKUP(VALUE(LEFT(C4195,5)),Xref!A:B,2,0)</f>
        <v>MAR</v>
      </c>
      <c r="M4195" t="str">
        <f t="shared" si="263"/>
        <v>MAR-VAL</v>
      </c>
    </row>
    <row r="4196" spans="1:13" ht="14.25" customHeight="true">
      <c r="A4196" s="33" t="str">
        <f t="shared" si="260"/>
        <v>VAL - Intercompany</v>
      </c>
      <c r="B4196" s="33" t="str">
        <f t="shared" si="261"/>
        <v>VAL</v>
      </c>
      <c r="C4196" s="33" t="str">
        <f t="shared" si="262"/>
        <v>11331-0000</v>
      </c>
      <c r="D4196" t="s">
        <v>2740</v>
      </c>
      <c r="E4196" t="s">
        <v>13354</v>
      </c>
      <c r="F4196" t="s">
        <v>14039</v>
      </c>
      <c r="G4196" t="s">
        <v>14672</v>
      </c>
      <c r="H4196" t="s">
        <v>13869</v>
      </c>
      <c r="I4196" t="s">
        <v>14690</v>
      </c>
      <c r="J4196" s="62">
        <v>0</v>
      </c>
      <c r="K4196" s="62">
        <v>-5000</v>
      </c>
      <c r="L4196" t="str">
        <f>VLOOKUP(VALUE(LEFT(C4196,5)),Xref!A:B,2,0)</f>
        <v>WIL</v>
      </c>
      <c r="M4196" t="str">
        <f t="shared" si="263"/>
        <v>VAL-WIL</v>
      </c>
    </row>
    <row r="4197" spans="1:13" ht="14.25" customHeight="true">
      <c r="A4197" s="33" t="str">
        <f t="shared" si="260"/>
        <v>VAL - Intercompany</v>
      </c>
      <c r="B4197" s="33" t="str">
        <f t="shared" si="261"/>
        <v>VAL</v>
      </c>
      <c r="C4197" s="33" t="str">
        <f t="shared" si="262"/>
        <v>11332-0000</v>
      </c>
      <c r="D4197" t="s">
        <v>28752</v>
      </c>
      <c r="E4197" t="s">
        <v>13243</v>
      </c>
      <c r="F4197" t="s">
        <v>14039</v>
      </c>
      <c r="G4197" t="s">
        <v>14672</v>
      </c>
      <c r="H4197" t="s">
        <v>13869</v>
      </c>
      <c r="I4197" t="s">
        <v>14690</v>
      </c>
      <c r="J4197" s="62">
        <v>0</v>
      </c>
      <c r="K4197" s="62">
        <v>0</v>
      </c>
      <c r="L4197" t="str">
        <f>VLOOKUP(VALUE(LEFT(C4197,5)),Xref!A:B,2,0)</f>
        <v>STO</v>
      </c>
      <c r="M4197" t="str">
        <f t="shared" si="263"/>
        <v>STO-VAL</v>
      </c>
    </row>
    <row r="4198" spans="1:13" ht="14.25" customHeight="true">
      <c r="A4198" s="33" t="str">
        <f t="shared" si="260"/>
        <v>VAL - Intercompany</v>
      </c>
      <c r="B4198" s="33" t="str">
        <f t="shared" si="261"/>
        <v>VAL</v>
      </c>
      <c r="C4198" s="33" t="str">
        <f t="shared" si="262"/>
        <v>11333-0000</v>
      </c>
      <c r="D4198" t="s">
        <v>28753</v>
      </c>
      <c r="E4198" t="s">
        <v>13244</v>
      </c>
      <c r="F4198" t="s">
        <v>14039</v>
      </c>
      <c r="G4198" t="s">
        <v>14672</v>
      </c>
      <c r="H4198" t="s">
        <v>13869</v>
      </c>
      <c r="I4198" t="s">
        <v>14690</v>
      </c>
      <c r="J4198" s="62">
        <v>0</v>
      </c>
      <c r="K4198" s="62">
        <v>0</v>
      </c>
      <c r="L4198" t="str">
        <f>VLOOKUP(VALUE(LEFT(C4198,5)),Xref!A:B,2,0)</f>
        <v>ANG</v>
      </c>
      <c r="M4198" t="str">
        <f t="shared" si="263"/>
        <v>ANG-VAL</v>
      </c>
    </row>
    <row r="4199" spans="1:13" ht="14.25" customHeight="true">
      <c r="A4199" s="33" t="str">
        <f t="shared" si="260"/>
        <v>VAL - Intercompany</v>
      </c>
      <c r="B4199" s="33" t="str">
        <f t="shared" si="261"/>
        <v>VAL</v>
      </c>
      <c r="C4199" s="33" t="str">
        <f t="shared" si="262"/>
        <v>11334-0000</v>
      </c>
      <c r="D4199" t="s">
        <v>2741</v>
      </c>
      <c r="E4199" t="s">
        <v>13245</v>
      </c>
      <c r="F4199" t="s">
        <v>14039</v>
      </c>
      <c r="G4199" t="s">
        <v>14672</v>
      </c>
      <c r="H4199" t="s">
        <v>13869</v>
      </c>
      <c r="I4199" t="s">
        <v>14690</v>
      </c>
      <c r="J4199" s="62">
        <v>0</v>
      </c>
      <c r="K4199" s="62">
        <v>-16000</v>
      </c>
      <c r="L4199" t="str">
        <f>VLOOKUP(VALUE(LEFT(C4199,5)),Xref!A:B,2,0)</f>
        <v>BRU</v>
      </c>
      <c r="M4199" t="str">
        <f t="shared" si="263"/>
        <v>BRU-VAL</v>
      </c>
    </row>
    <row r="4200" spans="1:13" ht="14.25" customHeight="true">
      <c r="A4200" s="33" t="str">
        <f t="shared" si="260"/>
        <v>VAL - Intercompany</v>
      </c>
      <c r="B4200" s="33" t="str">
        <f t="shared" si="261"/>
        <v>VAL</v>
      </c>
      <c r="C4200" s="33" t="str">
        <f t="shared" si="262"/>
        <v>11335-0000</v>
      </c>
      <c r="D4200" t="s">
        <v>28754</v>
      </c>
      <c r="E4200" t="s">
        <v>13246</v>
      </c>
      <c r="F4200" t="s">
        <v>14039</v>
      </c>
      <c r="G4200" t="s">
        <v>14672</v>
      </c>
      <c r="H4200" t="s">
        <v>13869</v>
      </c>
      <c r="I4200" t="s">
        <v>14690</v>
      </c>
      <c r="J4200" s="62">
        <v>0</v>
      </c>
      <c r="K4200" s="62">
        <v>0</v>
      </c>
      <c r="L4200" t="str">
        <f>VLOOKUP(VALUE(LEFT(C4200,5)),Xref!A:B,2,0)</f>
        <v>VEN</v>
      </c>
      <c r="M4200" t="str">
        <f t="shared" si="263"/>
        <v>VAL-VEN</v>
      </c>
    </row>
    <row r="4201" spans="1:13" ht="14.25" customHeight="true">
      <c r="A4201" s="33" t="str">
        <f t="shared" si="260"/>
        <v>VAL - Intercompany</v>
      </c>
      <c r="B4201" s="33" t="str">
        <f t="shared" si="261"/>
        <v>VAL</v>
      </c>
      <c r="C4201" s="33" t="str">
        <f t="shared" si="262"/>
        <v>11336-0000</v>
      </c>
      <c r="D4201" t="s">
        <v>28755</v>
      </c>
      <c r="E4201" t="s">
        <v>13247</v>
      </c>
      <c r="F4201" t="s">
        <v>14039</v>
      </c>
      <c r="G4201" t="s">
        <v>14672</v>
      </c>
      <c r="H4201" t="s">
        <v>13869</v>
      </c>
      <c r="I4201" t="s">
        <v>14690</v>
      </c>
      <c r="J4201" s="62">
        <v>0</v>
      </c>
      <c r="K4201" s="62">
        <v>0</v>
      </c>
      <c r="L4201" t="str">
        <f>VLOOKUP(VALUE(LEFT(C4201,5)),Xref!A:B,2,0)</f>
        <v>SAT</v>
      </c>
      <c r="M4201" t="str">
        <f t="shared" si="263"/>
        <v>SAT-VAL</v>
      </c>
    </row>
    <row r="4202" spans="1:13" ht="14.25" customHeight="true">
      <c r="A4202" s="33" t="str">
        <f t="shared" si="260"/>
        <v>VAL - Intercompany</v>
      </c>
      <c r="B4202" s="33" t="str">
        <f t="shared" si="261"/>
        <v>VAL</v>
      </c>
      <c r="C4202" s="33" t="str">
        <f t="shared" si="262"/>
        <v>11337-0000</v>
      </c>
      <c r="D4202" t="s">
        <v>28756</v>
      </c>
      <c r="E4202" t="s">
        <v>13248</v>
      </c>
      <c r="F4202" t="s">
        <v>14039</v>
      </c>
      <c r="G4202" t="s">
        <v>14672</v>
      </c>
      <c r="H4202" t="s">
        <v>13869</v>
      </c>
      <c r="I4202" t="s">
        <v>14690</v>
      </c>
      <c r="J4202" s="62">
        <v>0</v>
      </c>
      <c r="K4202" s="62">
        <v>0</v>
      </c>
      <c r="L4202" t="str">
        <f>VLOOKUP(VALUE(LEFT(C4202,5)),Xref!A:B,2,0)</f>
        <v>NEP</v>
      </c>
      <c r="M4202" t="str">
        <f t="shared" si="263"/>
        <v>NEP-VAL</v>
      </c>
    </row>
    <row r="4203" spans="1:13" ht="14.25" customHeight="true">
      <c r="A4203" s="33" t="str">
        <f t="shared" si="260"/>
        <v>VAL - Intercompany</v>
      </c>
      <c r="B4203" s="33" t="str">
        <f t="shared" si="261"/>
        <v>VAL</v>
      </c>
      <c r="C4203" s="33" t="str">
        <f t="shared" si="262"/>
        <v>11338-0000</v>
      </c>
      <c r="D4203" t="s">
        <v>28757</v>
      </c>
      <c r="E4203" t="s">
        <v>14131</v>
      </c>
      <c r="F4203" t="s">
        <v>14039</v>
      </c>
      <c r="G4203" t="s">
        <v>14672</v>
      </c>
      <c r="H4203" t="s">
        <v>13869</v>
      </c>
      <c r="I4203" t="s">
        <v>14690</v>
      </c>
      <c r="J4203" s="62">
        <v>0</v>
      </c>
      <c r="K4203" s="62">
        <v>0</v>
      </c>
      <c r="L4203" t="str">
        <f>VLOOKUP(VALUE(LEFT(C4203,5)),Xref!A:B,2,0)</f>
        <v>JUP</v>
      </c>
      <c r="M4203" t="str">
        <f t="shared" si="263"/>
        <v>JUP-VAL</v>
      </c>
    </row>
    <row r="4204" spans="1:13" ht="14.25" customHeight="true">
      <c r="A4204" s="33" t="str">
        <f t="shared" si="260"/>
        <v>VAL - Intercompany</v>
      </c>
      <c r="B4204" s="33" t="str">
        <f t="shared" si="261"/>
        <v>VAL</v>
      </c>
      <c r="C4204" s="33" t="str">
        <f t="shared" si="262"/>
        <v>11339-0000</v>
      </c>
      <c r="D4204" t="s">
        <v>28758</v>
      </c>
      <c r="E4204" t="s">
        <v>14133</v>
      </c>
      <c r="F4204" t="s">
        <v>14039</v>
      </c>
      <c r="G4204" t="s">
        <v>14672</v>
      </c>
      <c r="H4204" t="s">
        <v>13869</v>
      </c>
      <c r="I4204" t="s">
        <v>14690</v>
      </c>
      <c r="J4204" s="62">
        <v>0</v>
      </c>
      <c r="K4204" s="62">
        <v>0</v>
      </c>
      <c r="L4204" t="str">
        <f>VLOOKUP(VALUE(LEFT(C4204,5)),Xref!A:B,2,0)</f>
        <v>WES</v>
      </c>
      <c r="M4204" t="str">
        <f t="shared" si="263"/>
        <v>VAL-WES</v>
      </c>
    </row>
    <row r="4205" spans="1:13" ht="14.25" customHeight="true">
      <c r="A4205" s="33" t="str">
        <f t="shared" si="260"/>
        <v>VAL - Intercompany</v>
      </c>
      <c r="B4205" s="33" t="str">
        <f t="shared" si="261"/>
        <v>VAL</v>
      </c>
      <c r="C4205" s="33" t="str">
        <f t="shared" si="262"/>
        <v>11340-0000</v>
      </c>
      <c r="D4205" t="s">
        <v>28759</v>
      </c>
      <c r="E4205" t="s">
        <v>14135</v>
      </c>
      <c r="F4205" t="s">
        <v>14039</v>
      </c>
      <c r="G4205" t="s">
        <v>14672</v>
      </c>
      <c r="H4205" t="s">
        <v>13869</v>
      </c>
      <c r="I4205" t="s">
        <v>14690</v>
      </c>
      <c r="J4205" s="62">
        <v>0</v>
      </c>
      <c r="K4205" s="62">
        <v>0</v>
      </c>
      <c r="L4205" t="str">
        <f>VLOOKUP(VALUE(LEFT(C4205,5)),Xref!A:B,2,0)</f>
        <v>LCP</v>
      </c>
      <c r="M4205" t="str">
        <f t="shared" si="263"/>
        <v>LCP-VAL</v>
      </c>
    </row>
    <row r="4206" spans="1:13" ht="14.25" customHeight="true">
      <c r="A4206" s="33" t="str">
        <f t="shared" si="260"/>
        <v>VAL - Intercompany</v>
      </c>
      <c r="B4206" s="33" t="str">
        <f t="shared" si="261"/>
        <v>VAL</v>
      </c>
      <c r="C4206" s="33" t="str">
        <f t="shared" si="262"/>
        <v>11341-0000</v>
      </c>
      <c r="D4206" t="s">
        <v>28760</v>
      </c>
      <c r="E4206" t="s">
        <v>13639</v>
      </c>
      <c r="F4206" t="s">
        <v>14039</v>
      </c>
      <c r="G4206" t="s">
        <v>14672</v>
      </c>
      <c r="H4206" t="s">
        <v>13869</v>
      </c>
      <c r="I4206" t="s">
        <v>14690</v>
      </c>
      <c r="J4206" s="62">
        <v>0</v>
      </c>
      <c r="K4206" s="62">
        <v>0</v>
      </c>
      <c r="L4206" t="str">
        <f>VLOOKUP(VALUE(LEFT(C4206,5)),Xref!A:B,2,0)</f>
        <v>NOR</v>
      </c>
      <c r="M4206" t="str">
        <f t="shared" si="263"/>
        <v>NOR-VAL</v>
      </c>
    </row>
    <row r="4207" spans="1:13" ht="14.25" customHeight="true">
      <c r="A4207" s="33" t="str">
        <f t="shared" si="260"/>
        <v>VAL - Intercompany</v>
      </c>
      <c r="B4207" s="33" t="str">
        <f t="shared" si="261"/>
        <v>VAL</v>
      </c>
      <c r="C4207" s="33" t="str">
        <f t="shared" si="262"/>
        <v>11342-0000</v>
      </c>
      <c r="D4207" t="s">
        <v>2742</v>
      </c>
      <c r="E4207" t="s">
        <v>13355</v>
      </c>
      <c r="F4207" t="s">
        <v>14039</v>
      </c>
      <c r="G4207" t="s">
        <v>14672</v>
      </c>
      <c r="H4207" t="s">
        <v>13869</v>
      </c>
      <c r="I4207" t="s">
        <v>14690</v>
      </c>
      <c r="J4207" s="62">
        <v>0</v>
      </c>
      <c r="K4207" s="62">
        <v>-30000</v>
      </c>
      <c r="L4207" t="str">
        <f>VLOOKUP(VALUE(LEFT(C4207,5)),Xref!A:B,2,0)</f>
        <v>EAS</v>
      </c>
      <c r="M4207" t="str">
        <f t="shared" si="263"/>
        <v>EAS-VAL</v>
      </c>
    </row>
    <row r="4208" spans="1:13" ht="14.25" customHeight="true">
      <c r="A4208" s="33" t="str">
        <f t="shared" si="260"/>
        <v>VAL - Intercompany</v>
      </c>
      <c r="B4208" s="33" t="str">
        <f t="shared" si="261"/>
        <v>VAL</v>
      </c>
      <c r="C4208" s="33" t="str">
        <f t="shared" si="262"/>
        <v>11343-0000</v>
      </c>
      <c r="D4208" t="s">
        <v>2743</v>
      </c>
      <c r="E4208" t="s">
        <v>14139</v>
      </c>
      <c r="F4208" t="s">
        <v>14039</v>
      </c>
      <c r="G4208" t="s">
        <v>14672</v>
      </c>
      <c r="H4208" t="s">
        <v>13869</v>
      </c>
      <c r="I4208" t="s">
        <v>14690</v>
      </c>
      <c r="J4208" s="62">
        <v>0</v>
      </c>
      <c r="K4208" s="62">
        <v>-10000</v>
      </c>
      <c r="L4208" t="str">
        <f>VLOOKUP(VALUE(LEFT(C4208,5)),Xref!A:B,2,0)</f>
        <v>GRA</v>
      </c>
      <c r="M4208" t="str">
        <f t="shared" si="263"/>
        <v>GRA-VAL</v>
      </c>
    </row>
    <row r="4209" spans="1:13" ht="14.25" customHeight="true">
      <c r="A4209" s="33" t="str">
        <f t="shared" si="260"/>
        <v>VAL - Intercompany</v>
      </c>
      <c r="B4209" s="33" t="str">
        <f t="shared" si="261"/>
        <v>VAL</v>
      </c>
      <c r="C4209" s="33" t="str">
        <f t="shared" si="262"/>
        <v>11344-0000</v>
      </c>
      <c r="D4209" t="s">
        <v>28761</v>
      </c>
      <c r="E4209" t="s">
        <v>14141</v>
      </c>
      <c r="F4209" t="s">
        <v>14039</v>
      </c>
      <c r="G4209" t="s">
        <v>14672</v>
      </c>
      <c r="H4209" t="s">
        <v>13869</v>
      </c>
      <c r="I4209" t="s">
        <v>14690</v>
      </c>
      <c r="J4209" s="62">
        <v>0</v>
      </c>
      <c r="K4209" s="62">
        <v>0</v>
      </c>
      <c r="L4209" t="str">
        <f>VLOOKUP(VALUE(LEFT(C4209,5)),Xref!A:B,2,0)</f>
        <v>SOU</v>
      </c>
      <c r="M4209" t="str">
        <f t="shared" si="263"/>
        <v>SOU-VAL</v>
      </c>
    </row>
    <row r="4210" spans="1:13" ht="14.25" customHeight="true">
      <c r="A4210" s="33" t="str">
        <f t="shared" si="260"/>
        <v>VAL - Intercompany</v>
      </c>
      <c r="B4210" s="33" t="str">
        <f t="shared" si="261"/>
        <v>VAL</v>
      </c>
      <c r="C4210" s="33" t="str">
        <f t="shared" si="262"/>
        <v>11345-0000</v>
      </c>
      <c r="D4210" t="s">
        <v>28762</v>
      </c>
      <c r="E4210" t="s">
        <v>14143</v>
      </c>
      <c r="F4210" t="s">
        <v>14039</v>
      </c>
      <c r="G4210" t="s">
        <v>14672</v>
      </c>
      <c r="H4210" t="s">
        <v>13869</v>
      </c>
      <c r="I4210" t="s">
        <v>14690</v>
      </c>
      <c r="J4210" s="62">
        <v>0</v>
      </c>
      <c r="K4210" s="62">
        <v>0</v>
      </c>
      <c r="L4210" t="str">
        <f>VLOOKUP(VALUE(LEFT(C4210,5)),Xref!A:B,2,0)</f>
        <v>API</v>
      </c>
      <c r="M4210" t="str">
        <f t="shared" si="263"/>
        <v>API-VAL</v>
      </c>
    </row>
    <row r="4211" spans="1:13" ht="14.25" customHeight="true">
      <c r="A4211" s="33" t="str">
        <f t="shared" si="260"/>
        <v>VAL - Intercompany</v>
      </c>
      <c r="B4211" s="33" t="str">
        <f t="shared" si="261"/>
        <v>VAL</v>
      </c>
      <c r="C4211" s="33" t="str">
        <f t="shared" si="262"/>
        <v>11346-0000</v>
      </c>
      <c r="D4211" t="s">
        <v>28763</v>
      </c>
      <c r="E4211" t="s">
        <v>14145</v>
      </c>
      <c r="F4211" t="s">
        <v>14039</v>
      </c>
      <c r="G4211" t="s">
        <v>14672</v>
      </c>
      <c r="H4211" t="s">
        <v>13869</v>
      </c>
      <c r="I4211" t="s">
        <v>14690</v>
      </c>
      <c r="J4211" s="62">
        <v>0</v>
      </c>
      <c r="K4211" s="62">
        <v>0</v>
      </c>
      <c r="L4211" t="str">
        <f>VLOOKUP(VALUE(LEFT(C4211,5)),Xref!A:B,2,0)</f>
        <v>DPH</v>
      </c>
      <c r="M4211" t="str">
        <f t="shared" si="263"/>
        <v>DPH-VAL</v>
      </c>
    </row>
    <row r="4212" spans="1:13" ht="14.25" customHeight="true">
      <c r="A4212" s="33" t="str">
        <f t="shared" si="260"/>
        <v>VAL - Intercompany</v>
      </c>
      <c r="B4212" s="33" t="str">
        <f t="shared" si="261"/>
        <v>VAL</v>
      </c>
      <c r="C4212" s="33" t="str">
        <f t="shared" si="262"/>
        <v>11347-0000</v>
      </c>
      <c r="D4212" t="s">
        <v>28764</v>
      </c>
      <c r="E4212" t="s">
        <v>14147</v>
      </c>
      <c r="F4212" t="s">
        <v>14039</v>
      </c>
      <c r="G4212" t="s">
        <v>14672</v>
      </c>
      <c r="H4212" t="s">
        <v>13869</v>
      </c>
      <c r="I4212" t="s">
        <v>14690</v>
      </c>
      <c r="J4212" s="62">
        <v>0</v>
      </c>
      <c r="K4212" s="62">
        <v>0</v>
      </c>
      <c r="L4212" t="str">
        <f>VLOOKUP(VALUE(LEFT(C4212,5)),Xref!A:B,2,0)</f>
        <v>ZPI</v>
      </c>
      <c r="M4212" t="str">
        <f t="shared" si="263"/>
        <v>VAL-ZPI</v>
      </c>
    </row>
    <row r="4213" spans="1:13" ht="14.25" customHeight="true">
      <c r="A4213" s="33" t="str">
        <f t="shared" si="260"/>
        <v>VAL - Intercompany</v>
      </c>
      <c r="B4213" s="33" t="str">
        <f t="shared" si="261"/>
        <v>VAL</v>
      </c>
      <c r="C4213" s="33" t="str">
        <f t="shared" si="262"/>
        <v>11348-0000</v>
      </c>
      <c r="D4213" t="s">
        <v>28765</v>
      </c>
      <c r="E4213" t="s">
        <v>14149</v>
      </c>
      <c r="F4213" t="s">
        <v>14039</v>
      </c>
      <c r="G4213" t="s">
        <v>14672</v>
      </c>
      <c r="H4213" t="s">
        <v>13869</v>
      </c>
      <c r="I4213" t="s">
        <v>14690</v>
      </c>
      <c r="J4213" s="62">
        <v>0</v>
      </c>
      <c r="K4213" s="62">
        <v>0</v>
      </c>
      <c r="L4213" t="str">
        <f>VLOOKUP(VALUE(LEFT(C4213,5)),Xref!A:B,2,0)</f>
        <v>EAM</v>
      </c>
      <c r="M4213" t="str">
        <f t="shared" si="263"/>
        <v>EAM-VAL</v>
      </c>
    </row>
    <row r="4214" spans="1:13" ht="14.25" customHeight="true">
      <c r="A4214" s="33" t="str">
        <f t="shared" si="260"/>
        <v>VAL - Intercompany</v>
      </c>
      <c r="B4214" s="33" t="str">
        <f t="shared" si="261"/>
        <v>VAL</v>
      </c>
      <c r="C4214" s="33" t="str">
        <f t="shared" si="262"/>
        <v>11349-0000</v>
      </c>
      <c r="D4214" t="s">
        <v>28766</v>
      </c>
      <c r="E4214" t="s">
        <v>14151</v>
      </c>
      <c r="F4214" t="s">
        <v>14039</v>
      </c>
      <c r="G4214" t="s">
        <v>14672</v>
      </c>
      <c r="H4214" t="s">
        <v>13869</v>
      </c>
      <c r="I4214" t="s">
        <v>14690</v>
      </c>
      <c r="J4214" s="62">
        <v>0</v>
      </c>
      <c r="K4214" s="62">
        <v>0</v>
      </c>
      <c r="L4214" t="str">
        <f>VLOOKUP(VALUE(LEFT(C4214,5)),Xref!A:B,2,0)</f>
        <v>SEA</v>
      </c>
      <c r="M4214" t="str">
        <f t="shared" si="263"/>
        <v>SEA-VAL</v>
      </c>
    </row>
    <row r="4215" spans="1:13" ht="14.25" customHeight="true">
      <c r="A4215" s="33" t="str">
        <f t="shared" si="260"/>
        <v>VAL - Intercompany</v>
      </c>
      <c r="B4215" s="33" t="str">
        <f t="shared" si="261"/>
        <v>VAL</v>
      </c>
      <c r="C4215" s="33" t="str">
        <f t="shared" si="262"/>
        <v>11350-0000</v>
      </c>
      <c r="D4215" t="s">
        <v>28767</v>
      </c>
      <c r="E4215" t="s">
        <v>14153</v>
      </c>
      <c r="F4215" t="s">
        <v>14039</v>
      </c>
      <c r="G4215" t="s">
        <v>14672</v>
      </c>
      <c r="H4215" t="s">
        <v>13869</v>
      </c>
      <c r="I4215" t="s">
        <v>14690</v>
      </c>
      <c r="J4215" s="62">
        <v>0</v>
      </c>
      <c r="K4215" s="62">
        <v>-4.1</v>
      </c>
      <c r="L4215" t="str">
        <f>VLOOKUP(VALUE(LEFT(C4215,5)),Xref!A:B,2,0)</f>
        <v>EAL</v>
      </c>
      <c r="M4215" t="str">
        <f t="shared" si="263"/>
        <v>EAL-VAL</v>
      </c>
    </row>
    <row r="4216" spans="1:13" ht="14.25" customHeight="true">
      <c r="A4216" s="33" t="str">
        <f t="shared" si="260"/>
        <v>VAL - Intercompany</v>
      </c>
      <c r="B4216" s="33" t="str">
        <f t="shared" si="261"/>
        <v>VAL</v>
      </c>
      <c r="C4216" s="33" t="str">
        <f t="shared" si="262"/>
        <v>11351-0000</v>
      </c>
      <c r="D4216" t="s">
        <v>28768</v>
      </c>
      <c r="E4216" t="s">
        <v>14155</v>
      </c>
      <c r="F4216" t="s">
        <v>14039</v>
      </c>
      <c r="G4216" t="s">
        <v>14672</v>
      </c>
      <c r="H4216" t="s">
        <v>13869</v>
      </c>
      <c r="I4216" t="s">
        <v>14690</v>
      </c>
      <c r="J4216" s="62">
        <v>0</v>
      </c>
      <c r="K4216" s="62">
        <v>0</v>
      </c>
      <c r="L4216" t="str">
        <f>VLOOKUP(VALUE(LEFT(C4216,5)),Xref!A:B,2,0)</f>
        <v>WEP</v>
      </c>
      <c r="M4216" t="str">
        <f t="shared" si="263"/>
        <v>VAL-WEP</v>
      </c>
    </row>
    <row r="4217" spans="1:13" ht="14.25" customHeight="true">
      <c r="A4217" s="33" t="str">
        <f t="shared" si="260"/>
        <v>VAL - Intercompany</v>
      </c>
      <c r="B4217" s="33" t="str">
        <f t="shared" si="261"/>
        <v>VAL</v>
      </c>
      <c r="C4217" s="33" t="str">
        <f t="shared" si="262"/>
        <v>11352-0000</v>
      </c>
      <c r="D4217" t="s">
        <v>28769</v>
      </c>
      <c r="E4217" t="s">
        <v>13536</v>
      </c>
      <c r="F4217" t="s">
        <v>14039</v>
      </c>
      <c r="G4217" t="s">
        <v>14672</v>
      </c>
      <c r="H4217" t="s">
        <v>13869</v>
      </c>
      <c r="I4217" t="s">
        <v>14690</v>
      </c>
      <c r="J4217" s="62">
        <v>0</v>
      </c>
      <c r="K4217" s="62">
        <v>0</v>
      </c>
      <c r="L4217" t="str">
        <f>VLOOKUP(VALUE(LEFT(C4217,5)),Xref!A:B,2,0)</f>
        <v>KLP</v>
      </c>
      <c r="M4217" t="str">
        <f t="shared" si="263"/>
        <v>KLP-VAL</v>
      </c>
    </row>
    <row r="4218" spans="1:13" ht="14.25" customHeight="true">
      <c r="A4218" s="33" t="str">
        <f t="shared" si="260"/>
        <v>VAL - Intercompany</v>
      </c>
      <c r="B4218" s="33" t="str">
        <f t="shared" si="261"/>
        <v>VAL</v>
      </c>
      <c r="C4218" s="33" t="str">
        <f t="shared" si="262"/>
        <v>11353-0000</v>
      </c>
      <c r="D4218" t="s">
        <v>28770</v>
      </c>
      <c r="E4218" t="s">
        <v>13537</v>
      </c>
      <c r="F4218" t="s">
        <v>14039</v>
      </c>
      <c r="G4218" t="s">
        <v>14672</v>
      </c>
      <c r="H4218" t="s">
        <v>13869</v>
      </c>
      <c r="I4218" t="s">
        <v>14690</v>
      </c>
      <c r="J4218" s="62">
        <v>0</v>
      </c>
      <c r="K4218" s="62">
        <v>0</v>
      </c>
      <c r="L4218" t="str">
        <f>VLOOKUP(VALUE(LEFT(C4218,5)),Xref!A:B,2,0)</f>
        <v>AKC</v>
      </c>
      <c r="M4218" t="str">
        <f t="shared" si="263"/>
        <v>AKC-VAL</v>
      </c>
    </row>
    <row r="4219" spans="1:13" ht="14.25" customHeight="true">
      <c r="A4219" s="33" t="str">
        <f t="shared" si="260"/>
        <v>VAL - Intercompany</v>
      </c>
      <c r="B4219" s="33" t="str">
        <f t="shared" si="261"/>
        <v>VAL</v>
      </c>
      <c r="C4219" s="33" t="str">
        <f t="shared" si="262"/>
        <v>11354-0000</v>
      </c>
      <c r="D4219" t="s">
        <v>28771</v>
      </c>
      <c r="E4219" t="s">
        <v>13538</v>
      </c>
      <c r="F4219" t="s">
        <v>14039</v>
      </c>
      <c r="G4219" t="s">
        <v>14672</v>
      </c>
      <c r="H4219" t="s">
        <v>13869</v>
      </c>
      <c r="I4219" t="s">
        <v>14690</v>
      </c>
      <c r="J4219" s="62">
        <v>0</v>
      </c>
      <c r="K4219" s="62">
        <v>0</v>
      </c>
      <c r="L4219" t="str">
        <f>VLOOKUP(VALUE(LEFT(C4219,5)),Xref!A:B,2,0)</f>
        <v>AKA</v>
      </c>
      <c r="M4219" t="str">
        <f t="shared" si="263"/>
        <v>AKA-VAL</v>
      </c>
    </row>
    <row r="4220" spans="1:13" ht="14.25" customHeight="true">
      <c r="A4220" s="33" t="str">
        <f t="shared" si="260"/>
        <v>VAL - Intercompany</v>
      </c>
      <c r="B4220" s="33" t="str">
        <f t="shared" si="261"/>
        <v>VAL</v>
      </c>
      <c r="C4220" s="33" t="str">
        <f t="shared" si="262"/>
        <v>11355-0000</v>
      </c>
      <c r="D4220" t="s">
        <v>28772</v>
      </c>
      <c r="E4220" t="s">
        <v>13539</v>
      </c>
      <c r="F4220" t="s">
        <v>14039</v>
      </c>
      <c r="G4220" t="s">
        <v>14672</v>
      </c>
      <c r="H4220" t="s">
        <v>13869</v>
      </c>
      <c r="I4220" t="s">
        <v>14690</v>
      </c>
      <c r="J4220" s="62">
        <v>0</v>
      </c>
      <c r="K4220" s="62">
        <v>0</v>
      </c>
      <c r="L4220" t="str">
        <f>VLOOKUP(VALUE(LEFT(C4220,5)),Xref!A:B,2,0)</f>
        <v>SPA</v>
      </c>
      <c r="M4220" t="str">
        <f t="shared" si="263"/>
        <v>SPA-VAL</v>
      </c>
    </row>
    <row r="4221" spans="1:13" ht="14.25" customHeight="true">
      <c r="A4221" s="33" t="str">
        <f t="shared" si="260"/>
        <v>VAL - Intercompany</v>
      </c>
      <c r="B4221" s="33" t="str">
        <f t="shared" si="261"/>
        <v>VAL</v>
      </c>
      <c r="C4221" s="33" t="str">
        <f t="shared" si="262"/>
        <v>11356-0000</v>
      </c>
      <c r="D4221" t="s">
        <v>28773</v>
      </c>
      <c r="E4221" t="s">
        <v>13540</v>
      </c>
      <c r="F4221" t="s">
        <v>14039</v>
      </c>
      <c r="G4221" t="s">
        <v>14672</v>
      </c>
      <c r="H4221" t="s">
        <v>13869</v>
      </c>
      <c r="I4221" t="s">
        <v>14690</v>
      </c>
      <c r="J4221" s="62">
        <v>0</v>
      </c>
      <c r="K4221" s="62">
        <v>0</v>
      </c>
      <c r="L4221" t="str">
        <f>VLOOKUP(VALUE(LEFT(C4221,5)),Xref!A:B,2,0)</f>
        <v>DPM</v>
      </c>
      <c r="M4221" t="str">
        <f t="shared" si="263"/>
        <v>DPM-VAL</v>
      </c>
    </row>
    <row r="4222" spans="1:13" ht="14.25" customHeight="true">
      <c r="A4222" s="33" t="str">
        <f t="shared" si="260"/>
        <v>VAL - Intercompany</v>
      </c>
      <c r="B4222" s="33" t="str">
        <f t="shared" si="261"/>
        <v>VAL</v>
      </c>
      <c r="C4222" s="33" t="str">
        <f t="shared" si="262"/>
        <v>11357-0000</v>
      </c>
      <c r="D4222" t="s">
        <v>28774</v>
      </c>
      <c r="E4222" t="s">
        <v>13541</v>
      </c>
      <c r="F4222" t="s">
        <v>14039</v>
      </c>
      <c r="G4222" t="s">
        <v>14672</v>
      </c>
      <c r="H4222" t="s">
        <v>13869</v>
      </c>
      <c r="I4222" t="s">
        <v>14690</v>
      </c>
      <c r="J4222" s="62">
        <v>0</v>
      </c>
      <c r="K4222" s="62">
        <v>0</v>
      </c>
      <c r="L4222" t="str">
        <f>VLOOKUP(VALUE(LEFT(C4222,5)),Xref!A:B,2,0)</f>
        <v>HDM</v>
      </c>
      <c r="M4222" t="str">
        <f t="shared" si="263"/>
        <v>HDM-VAL</v>
      </c>
    </row>
    <row r="4223" spans="1:13" ht="14.25" customHeight="true">
      <c r="A4223" s="33" t="str">
        <f t="shared" si="260"/>
        <v>VAL - Intercompany</v>
      </c>
      <c r="B4223" s="33" t="str">
        <f t="shared" si="261"/>
        <v>VAL</v>
      </c>
      <c r="C4223" s="33" t="str">
        <f t="shared" si="262"/>
        <v>11358-0000</v>
      </c>
      <c r="D4223" t="s">
        <v>28775</v>
      </c>
      <c r="E4223" t="s">
        <v>13542</v>
      </c>
      <c r="F4223" t="s">
        <v>14039</v>
      </c>
      <c r="G4223" t="s">
        <v>14672</v>
      </c>
      <c r="H4223" t="s">
        <v>13869</v>
      </c>
      <c r="I4223" t="s">
        <v>14690</v>
      </c>
      <c r="J4223" s="62">
        <v>0</v>
      </c>
      <c r="K4223" s="62">
        <v>0</v>
      </c>
      <c r="L4223" t="str">
        <f>VLOOKUP(VALUE(LEFT(C4223,5)),Xref!A:B,2,0)</f>
        <v>GRA</v>
      </c>
      <c r="M4223" t="str">
        <f t="shared" si="263"/>
        <v>GRA-VAL</v>
      </c>
    </row>
    <row r="4224" spans="1:13" ht="14.25" customHeight="true">
      <c r="A4224" s="33" t="str">
        <f t="shared" si="260"/>
        <v>VAL - Intercompany</v>
      </c>
      <c r="B4224" s="33" t="str">
        <f t="shared" si="261"/>
        <v>VAL</v>
      </c>
      <c r="C4224" s="33" t="str">
        <f t="shared" si="262"/>
        <v>11359-0000</v>
      </c>
      <c r="D4224" t="s">
        <v>28776</v>
      </c>
      <c r="E4224" t="s">
        <v>13543</v>
      </c>
      <c r="F4224" t="s">
        <v>14039</v>
      </c>
      <c r="G4224" t="s">
        <v>14672</v>
      </c>
      <c r="H4224" t="s">
        <v>13869</v>
      </c>
      <c r="I4224" t="s">
        <v>14690</v>
      </c>
      <c r="J4224" s="62">
        <v>0</v>
      </c>
      <c r="K4224" s="62">
        <v>0</v>
      </c>
      <c r="L4224" t="str">
        <f>VLOOKUP(VALUE(LEFT(C4224,5)),Xref!A:B,2,0)</f>
        <v>TPI</v>
      </c>
      <c r="M4224" t="str">
        <f t="shared" si="263"/>
        <v>TPI-VAL</v>
      </c>
    </row>
    <row r="4225" spans="1:13" ht="14.25" customHeight="true">
      <c r="A4225" s="33" t="str">
        <f t="shared" si="260"/>
        <v>VAL - Intercompany</v>
      </c>
      <c r="B4225" s="33" t="str">
        <f t="shared" si="261"/>
        <v>VAL</v>
      </c>
      <c r="C4225" s="33" t="str">
        <f t="shared" si="262"/>
        <v>11361-0000</v>
      </c>
      <c r="D4225" t="s">
        <v>28777</v>
      </c>
      <c r="E4225" t="s">
        <v>14165</v>
      </c>
      <c r="F4225" t="s">
        <v>14039</v>
      </c>
      <c r="G4225" t="s">
        <v>14672</v>
      </c>
      <c r="H4225" t="s">
        <v>13869</v>
      </c>
      <c r="I4225" t="s">
        <v>14690</v>
      </c>
      <c r="J4225" s="62">
        <v>0</v>
      </c>
      <c r="K4225" s="62">
        <v>0</v>
      </c>
      <c r="L4225" t="str">
        <f>VLOOKUP(VALUE(LEFT(C4225,5)),Xref!A:B,2,0)</f>
        <v>GSM</v>
      </c>
      <c r="M4225" t="str">
        <f t="shared" si="263"/>
        <v>GSM-VAL</v>
      </c>
    </row>
    <row r="4226" spans="1:13" ht="14.25" customHeight="true">
      <c r="A4226" s="33" t="str">
        <f t="shared" ref="A4226:A4289" si="264">B4226&amp;" - "&amp;TRIM(H4226)</f>
        <v>VAL - Intercompany</v>
      </c>
      <c r="B4226" s="33" t="str">
        <f t="shared" ref="B4226:B4289" si="265">LEFT(D4226,3)</f>
        <v>VAL</v>
      </c>
      <c r="C4226" s="33" t="str">
        <f t="shared" ref="C4226:C4289" si="266">RIGHT(D4226,10)</f>
        <v>11363-0000</v>
      </c>
      <c r="D4226" t="s">
        <v>28778</v>
      </c>
      <c r="E4226" t="s">
        <v>13544</v>
      </c>
      <c r="F4226" t="s">
        <v>14039</v>
      </c>
      <c r="G4226" t="s">
        <v>14672</v>
      </c>
      <c r="H4226" t="s">
        <v>13869</v>
      </c>
      <c r="I4226" t="s">
        <v>14690</v>
      </c>
      <c r="J4226" s="62">
        <v>0</v>
      </c>
      <c r="K4226" s="62">
        <v>0</v>
      </c>
      <c r="L4226" t="str">
        <f>VLOOKUP(VALUE(LEFT(C4226,5)),Xref!A:B,2,0)</f>
        <v>SOF</v>
      </c>
      <c r="M4226" t="str">
        <f t="shared" ref="M4226:M4289" si="267">IF(B4226&lt;L4226,B4226&amp;"-"&amp;L4226,L4226&amp;"-"&amp;B4226)</f>
        <v>SOF-VAL</v>
      </c>
    </row>
    <row r="4227" spans="1:13" ht="14.25" customHeight="true">
      <c r="A4227" s="33" t="str">
        <f t="shared" si="264"/>
        <v>VAL - Intercompany</v>
      </c>
      <c r="B4227" s="33" t="str">
        <f t="shared" si="265"/>
        <v>VAL</v>
      </c>
      <c r="C4227" s="33" t="str">
        <f t="shared" si="266"/>
        <v>11364-0000</v>
      </c>
      <c r="D4227" t="s">
        <v>28779</v>
      </c>
      <c r="E4227" t="s">
        <v>14168</v>
      </c>
      <c r="F4227" t="s">
        <v>14039</v>
      </c>
      <c r="G4227" t="s">
        <v>14672</v>
      </c>
      <c r="H4227" t="s">
        <v>13869</v>
      </c>
      <c r="I4227" t="s">
        <v>14690</v>
      </c>
      <c r="J4227" s="62">
        <v>0</v>
      </c>
      <c r="K4227" s="62">
        <v>0</v>
      </c>
      <c r="L4227" t="e">
        <f>VLOOKUP(VALUE(LEFT(C4227,5)),Xref!A:B,2,0)</f>
        <v>#N/A</v>
      </c>
      <c r="M4227" t="e">
        <f t="shared" si="267"/>
        <v>#N/A</v>
      </c>
    </row>
    <row r="4228" spans="1:13" ht="14.25" customHeight="true">
      <c r="A4228" s="33" t="str">
        <f t="shared" si="264"/>
        <v>VAL - Intercompany</v>
      </c>
      <c r="B4228" s="33" t="str">
        <f t="shared" si="265"/>
        <v>VAL</v>
      </c>
      <c r="C4228" s="33" t="str">
        <f t="shared" si="266"/>
        <v>11365-0000</v>
      </c>
      <c r="D4228" t="s">
        <v>28780</v>
      </c>
      <c r="E4228" t="s">
        <v>14170</v>
      </c>
      <c r="F4228" t="s">
        <v>14039</v>
      </c>
      <c r="G4228" t="s">
        <v>14672</v>
      </c>
      <c r="H4228" t="s">
        <v>13869</v>
      </c>
      <c r="I4228" t="s">
        <v>14690</v>
      </c>
      <c r="J4228" s="62">
        <v>0</v>
      </c>
      <c r="K4228" s="62">
        <v>0</v>
      </c>
      <c r="L4228" t="e">
        <f>VLOOKUP(VALUE(LEFT(C4228,5)),Xref!A:B,2,0)</f>
        <v>#N/A</v>
      </c>
      <c r="M4228" t="e">
        <f t="shared" si="267"/>
        <v>#N/A</v>
      </c>
    </row>
    <row r="4229" spans="1:13" ht="14.25" customHeight="true">
      <c r="A4229" s="33" t="str">
        <f t="shared" si="264"/>
        <v>VAL - Intercompany</v>
      </c>
      <c r="B4229" s="33" t="str">
        <f t="shared" si="265"/>
        <v>VAL</v>
      </c>
      <c r="C4229" s="33" t="str">
        <f t="shared" si="266"/>
        <v>11366-0000</v>
      </c>
      <c r="D4229" t="s">
        <v>28781</v>
      </c>
      <c r="E4229" t="s">
        <v>14172</v>
      </c>
      <c r="G4229" t="s">
        <v>14672</v>
      </c>
      <c r="H4229" t="s">
        <v>13869</v>
      </c>
      <c r="I4229" t="s">
        <v>14690</v>
      </c>
      <c r="J4229" s="62">
        <v>0</v>
      </c>
      <c r="K4229" s="62">
        <v>0</v>
      </c>
      <c r="L4229" t="e">
        <f>VLOOKUP(VALUE(LEFT(C4229,5)),Xref!A:B,2,0)</f>
        <v>#N/A</v>
      </c>
      <c r="M4229" t="e">
        <f t="shared" si="267"/>
        <v>#N/A</v>
      </c>
    </row>
    <row r="4230" spans="1:13" ht="14.25" customHeight="true">
      <c r="A4230" s="33" t="str">
        <f t="shared" si="264"/>
        <v>VAL - Intercompany</v>
      </c>
      <c r="B4230" s="33" t="str">
        <f t="shared" si="265"/>
        <v>VAL</v>
      </c>
      <c r="C4230" s="33" t="str">
        <f t="shared" si="266"/>
        <v>11402-0000</v>
      </c>
      <c r="D4230" t="s">
        <v>2744</v>
      </c>
      <c r="E4230" t="s">
        <v>14174</v>
      </c>
      <c r="G4230" t="s">
        <v>14672</v>
      </c>
      <c r="H4230" t="s">
        <v>13869</v>
      </c>
      <c r="I4230" t="s">
        <v>14690</v>
      </c>
      <c r="J4230" s="62">
        <v>0</v>
      </c>
      <c r="K4230" s="62">
        <v>0</v>
      </c>
      <c r="L4230" t="str">
        <f>VLOOKUP(VALUE(LEFT(C4230,5)),Xref!A:B,2,0)</f>
        <v>DPI</v>
      </c>
      <c r="M4230" t="str">
        <f t="shared" si="267"/>
        <v>DPI-VAL</v>
      </c>
    </row>
    <row r="4231" spans="1:13" ht="14.25" customHeight="true">
      <c r="A4231" s="33" t="str">
        <f t="shared" si="264"/>
        <v>VAL - Intercompany</v>
      </c>
      <c r="B4231" s="33" t="str">
        <f t="shared" si="265"/>
        <v>VAL</v>
      </c>
      <c r="C4231" s="33" t="str">
        <f t="shared" si="266"/>
        <v>11403-0000</v>
      </c>
      <c r="D4231" t="s">
        <v>28782</v>
      </c>
      <c r="E4231" t="s">
        <v>14176</v>
      </c>
      <c r="G4231" t="s">
        <v>14672</v>
      </c>
      <c r="H4231" t="s">
        <v>13869</v>
      </c>
      <c r="I4231" t="s">
        <v>14690</v>
      </c>
      <c r="J4231" s="62">
        <v>0</v>
      </c>
      <c r="K4231" s="62">
        <v>0</v>
      </c>
      <c r="L4231" t="str">
        <f>VLOOKUP(VALUE(LEFT(C4231,5)),Xref!A:B,2,0)</f>
        <v>SEA</v>
      </c>
      <c r="M4231" t="str">
        <f t="shared" si="267"/>
        <v>SEA-VAL</v>
      </c>
    </row>
    <row r="4232" spans="1:13" ht="14.25" customHeight="true">
      <c r="A4232" s="33" t="str">
        <f t="shared" si="264"/>
        <v>VAL - Intercompany</v>
      </c>
      <c r="B4232" s="33" t="str">
        <f t="shared" si="265"/>
        <v>VAL</v>
      </c>
      <c r="C4232" s="33" t="str">
        <f t="shared" si="266"/>
        <v>12400-0000</v>
      </c>
      <c r="D4232" t="s">
        <v>28785</v>
      </c>
      <c r="E4232" t="s">
        <v>14185</v>
      </c>
      <c r="F4232" t="s">
        <v>14039</v>
      </c>
      <c r="G4232" t="s">
        <v>14672</v>
      </c>
      <c r="H4232" t="s">
        <v>13869</v>
      </c>
      <c r="I4232" t="s">
        <v>14690</v>
      </c>
      <c r="J4232" s="62">
        <v>0</v>
      </c>
      <c r="K4232" s="62">
        <v>0</v>
      </c>
      <c r="L4232" t="str">
        <f>VLOOKUP(VALUE(LEFT(C4232,5)),Xref!A:B,2,0)</f>
        <v>aka</v>
      </c>
      <c r="M4232" t="str">
        <f t="shared" si="267"/>
        <v>aka-VAL</v>
      </c>
    </row>
    <row r="4233" spans="1:13" ht="14.25" customHeight="true">
      <c r="A4233" s="33" t="str">
        <f t="shared" si="264"/>
        <v>VAL - Intercompany</v>
      </c>
      <c r="B4233" s="33" t="str">
        <f t="shared" si="265"/>
        <v>VAL</v>
      </c>
      <c r="C4233" s="33" t="str">
        <f t="shared" si="266"/>
        <v>12401-0000</v>
      </c>
      <c r="D4233" t="s">
        <v>28786</v>
      </c>
      <c r="E4233" t="s">
        <v>14187</v>
      </c>
      <c r="F4233" t="s">
        <v>14039</v>
      </c>
      <c r="G4233" t="s">
        <v>14672</v>
      </c>
      <c r="H4233" t="s">
        <v>13869</v>
      </c>
      <c r="I4233" t="s">
        <v>14690</v>
      </c>
      <c r="J4233" s="62">
        <v>0</v>
      </c>
      <c r="K4233" s="62">
        <v>0</v>
      </c>
      <c r="L4233" t="str">
        <f>VLOOKUP(VALUE(LEFT(C4233,5)),Xref!A:B,2,0)</f>
        <v>aka</v>
      </c>
      <c r="M4233" t="str">
        <f t="shared" si="267"/>
        <v>aka-VAL</v>
      </c>
    </row>
    <row r="4234" spans="1:13" ht="14.25" customHeight="true">
      <c r="A4234" s="33" t="str">
        <f t="shared" si="264"/>
        <v>VAL - Intercompany</v>
      </c>
      <c r="B4234" s="33" t="str">
        <f t="shared" si="265"/>
        <v>VAL</v>
      </c>
      <c r="C4234" s="33" t="str">
        <f t="shared" si="266"/>
        <v>12402-0000</v>
      </c>
      <c r="D4234" t="s">
        <v>28787</v>
      </c>
      <c r="E4234" t="s">
        <v>14189</v>
      </c>
      <c r="F4234" t="s">
        <v>14039</v>
      </c>
      <c r="G4234" t="s">
        <v>14672</v>
      </c>
      <c r="H4234" t="s">
        <v>13869</v>
      </c>
      <c r="I4234" t="s">
        <v>14690</v>
      </c>
      <c r="J4234" s="62">
        <v>0</v>
      </c>
      <c r="K4234" s="62">
        <v>100000</v>
      </c>
      <c r="L4234" t="str">
        <f>VLOOKUP(VALUE(LEFT(C4234,5)),Xref!A:B,2,0)</f>
        <v>aka</v>
      </c>
      <c r="M4234" t="str">
        <f t="shared" si="267"/>
        <v>aka-VAL</v>
      </c>
    </row>
    <row r="4235" spans="1:13" ht="14.25" customHeight="true">
      <c r="A4235" s="33" t="str">
        <f t="shared" si="264"/>
        <v>VAL - Intercompany</v>
      </c>
      <c r="B4235" s="33" t="str">
        <f t="shared" si="265"/>
        <v>VAL</v>
      </c>
      <c r="C4235" s="33" t="str">
        <f t="shared" si="266"/>
        <v>12403-0000</v>
      </c>
      <c r="D4235" t="s">
        <v>28788</v>
      </c>
      <c r="E4235" t="s">
        <v>5226</v>
      </c>
      <c r="F4235" t="s">
        <v>14039</v>
      </c>
      <c r="G4235" t="s">
        <v>14672</v>
      </c>
      <c r="H4235" t="s">
        <v>13869</v>
      </c>
      <c r="I4235" t="s">
        <v>14690</v>
      </c>
      <c r="J4235" s="62">
        <v>0</v>
      </c>
      <c r="K4235" s="62">
        <v>0</v>
      </c>
      <c r="L4235" t="str">
        <f>VLOOKUP(VALUE(LEFT(C4235,5)),Xref!A:B,2,0)</f>
        <v>aka</v>
      </c>
      <c r="M4235" t="str">
        <f t="shared" si="267"/>
        <v>aka-VAL</v>
      </c>
    </row>
    <row r="4236" spans="1:13" ht="14.25" customHeight="true">
      <c r="A4236" s="33" t="str">
        <f t="shared" si="264"/>
        <v>VAL - Intercompany</v>
      </c>
      <c r="B4236" s="33" t="str">
        <f t="shared" si="265"/>
        <v>VAL</v>
      </c>
      <c r="C4236" s="33" t="str">
        <f t="shared" si="266"/>
        <v>12501-0000</v>
      </c>
      <c r="D4236" t="s">
        <v>28789</v>
      </c>
      <c r="E4236" t="s">
        <v>14192</v>
      </c>
      <c r="F4236" t="s">
        <v>14039</v>
      </c>
      <c r="G4236" t="s">
        <v>14672</v>
      </c>
      <c r="H4236" t="s">
        <v>13869</v>
      </c>
      <c r="I4236" t="s">
        <v>14690</v>
      </c>
      <c r="J4236" s="62">
        <v>0</v>
      </c>
      <c r="K4236" s="62">
        <v>0</v>
      </c>
      <c r="L4236" t="str">
        <f>VLOOKUP(VALUE(LEFT(C4236,5)),Xref!A:B,2,0)</f>
        <v>aka</v>
      </c>
      <c r="M4236" t="str">
        <f t="shared" si="267"/>
        <v>aka-VAL</v>
      </c>
    </row>
    <row r="4237" spans="1:13" ht="14.25" customHeight="true">
      <c r="A4237" s="33" t="str">
        <f t="shared" si="264"/>
        <v>VAL - InterCo Notes</v>
      </c>
      <c r="B4237" s="33" t="str">
        <f t="shared" si="265"/>
        <v>VAL</v>
      </c>
      <c r="C4237" s="33" t="str">
        <f t="shared" si="266"/>
        <v>25600-0000</v>
      </c>
      <c r="D4237" t="s">
        <v>28836</v>
      </c>
      <c r="E4237" t="s">
        <v>314</v>
      </c>
      <c r="F4237" t="s">
        <v>14039</v>
      </c>
      <c r="G4237" t="s">
        <v>14672</v>
      </c>
      <c r="H4237" t="s">
        <v>13889</v>
      </c>
      <c r="I4237" t="s">
        <v>14690</v>
      </c>
      <c r="J4237" s="62">
        <v>0</v>
      </c>
      <c r="K4237" s="62">
        <v>0</v>
      </c>
      <c r="L4237" t="str">
        <f>VLOOKUP(VALUE(LEFT(C4237,5)),Xref!A:B,2,0)</f>
        <v>D7</v>
      </c>
      <c r="M4237" t="str">
        <f t="shared" si="267"/>
        <v>D7-VAL</v>
      </c>
    </row>
    <row r="4238" spans="1:13" ht="14.25" customHeight="true">
      <c r="A4238" s="33" t="str">
        <f t="shared" si="264"/>
        <v>VAL - InterCo Notes</v>
      </c>
      <c r="B4238" s="33" t="str">
        <f t="shared" si="265"/>
        <v>VAL</v>
      </c>
      <c r="C4238" s="33" t="str">
        <f t="shared" si="266"/>
        <v>25602-0000</v>
      </c>
      <c r="D4238" t="s">
        <v>28838</v>
      </c>
      <c r="E4238" t="s">
        <v>13426</v>
      </c>
      <c r="F4238" t="s">
        <v>14039</v>
      </c>
      <c r="G4238" t="s">
        <v>14672</v>
      </c>
      <c r="H4238" t="s">
        <v>13889</v>
      </c>
      <c r="I4238" t="s">
        <v>14690</v>
      </c>
      <c r="J4238" s="62">
        <v>0</v>
      </c>
      <c r="K4238" s="62">
        <v>0</v>
      </c>
      <c r="L4238" t="str">
        <f>VLOOKUP(VALUE(LEFT(C4238,5)),Xref!A:B,2,0)</f>
        <v>DFLP</v>
      </c>
      <c r="M4238" t="str">
        <f t="shared" si="267"/>
        <v>DFLP-VAL</v>
      </c>
    </row>
    <row r="4239" spans="1:13" ht="14.25" customHeight="true">
      <c r="A4239" s="33" t="str">
        <f t="shared" si="264"/>
        <v>VAL - InterCo Notes</v>
      </c>
      <c r="B4239" s="33" t="str">
        <f t="shared" si="265"/>
        <v>VAL</v>
      </c>
      <c r="C4239" s="33" t="str">
        <f t="shared" si="266"/>
        <v>25603-0000</v>
      </c>
      <c r="D4239" t="s">
        <v>28839</v>
      </c>
      <c r="E4239" t="s">
        <v>14311</v>
      </c>
      <c r="F4239" t="s">
        <v>14039</v>
      </c>
      <c r="G4239" t="s">
        <v>14832</v>
      </c>
      <c r="H4239" t="s">
        <v>13889</v>
      </c>
      <c r="I4239" t="s">
        <v>14690</v>
      </c>
      <c r="J4239" s="62">
        <v>0</v>
      </c>
      <c r="K4239" s="62">
        <v>0</v>
      </c>
      <c r="L4239" t="str">
        <f>VLOOKUP(VALUE(LEFT(C4239,5)),Xref!A:B,2,0)</f>
        <v>aka</v>
      </c>
      <c r="M4239" t="str">
        <f t="shared" si="267"/>
        <v>aka-VAL</v>
      </c>
    </row>
    <row r="4240" spans="1:13" ht="14.25" customHeight="true">
      <c r="A4240" s="33" t="str">
        <f t="shared" si="264"/>
        <v>VAL - Intercompany</v>
      </c>
      <c r="B4240" s="33" t="str">
        <f t="shared" si="265"/>
        <v>VAL</v>
      </c>
      <c r="C4240" s="33" t="str">
        <f t="shared" si="266"/>
        <v>25604-0000</v>
      </c>
      <c r="D4240" t="s">
        <v>28840</v>
      </c>
      <c r="E4240" t="s">
        <v>13490</v>
      </c>
      <c r="F4240" t="s">
        <v>14039</v>
      </c>
      <c r="G4240" t="s">
        <v>14672</v>
      </c>
      <c r="H4240" t="s">
        <v>13869</v>
      </c>
      <c r="I4240" t="s">
        <v>14690</v>
      </c>
      <c r="J4240" s="62">
        <v>0</v>
      </c>
      <c r="K4240" s="62">
        <v>0</v>
      </c>
      <c r="L4240">
        <f>VLOOKUP(VALUE(LEFT(C4240,5)),Xref!A:B,2,0)</f>
        <v>0</v>
      </c>
      <c r="M4240" t="str">
        <f t="shared" si="267"/>
        <v>0-VAL</v>
      </c>
    </row>
    <row r="4241" spans="1:13" ht="14.25" customHeight="true">
      <c r="A4241" s="33" t="str">
        <f t="shared" si="264"/>
        <v>VEN - Intercompany</v>
      </c>
      <c r="B4241" s="33" t="str">
        <f t="shared" si="265"/>
        <v>VEN</v>
      </c>
      <c r="C4241" s="33" t="str">
        <f t="shared" si="266"/>
        <v>11200-0000</v>
      </c>
      <c r="D4241" t="s">
        <v>29022</v>
      </c>
      <c r="E4241" t="s">
        <v>14069</v>
      </c>
      <c r="F4241" t="s">
        <v>14039</v>
      </c>
      <c r="G4241" t="s">
        <v>14672</v>
      </c>
      <c r="H4241" t="s">
        <v>13869</v>
      </c>
      <c r="I4241" t="s">
        <v>14690</v>
      </c>
      <c r="J4241" s="62">
        <v>0</v>
      </c>
      <c r="K4241" s="62">
        <v>0</v>
      </c>
      <c r="L4241" t="str">
        <f>VLOOKUP(VALUE(LEFT(C4241,5)),Xref!A:B,2,0)</f>
        <v>SCL</v>
      </c>
      <c r="M4241" t="str">
        <f t="shared" si="267"/>
        <v>SCL-VEN</v>
      </c>
    </row>
    <row r="4242" spans="1:13" ht="14.25" customHeight="true">
      <c r="A4242" s="33" t="str">
        <f t="shared" si="264"/>
        <v>VEN - Intercompany</v>
      </c>
      <c r="B4242" s="33" t="str">
        <f t="shared" si="265"/>
        <v>VEN</v>
      </c>
      <c r="C4242" s="33" t="str">
        <f t="shared" si="266"/>
        <v>11201-0000</v>
      </c>
      <c r="D4242" t="s">
        <v>29023</v>
      </c>
      <c r="E4242" t="s">
        <v>14071</v>
      </c>
      <c r="F4242" t="s">
        <v>14039</v>
      </c>
      <c r="G4242" t="s">
        <v>14672</v>
      </c>
      <c r="H4242" t="s">
        <v>13869</v>
      </c>
      <c r="I4242" t="s">
        <v>14690</v>
      </c>
      <c r="J4242" s="62">
        <v>0</v>
      </c>
      <c r="K4242" s="62">
        <v>0</v>
      </c>
      <c r="L4242" t="str">
        <f>VLOOKUP(VALUE(LEFT(C4242,5)),Xref!A:B,2,0)</f>
        <v>SG2</v>
      </c>
      <c r="M4242" t="str">
        <f t="shared" si="267"/>
        <v>SG2-VEN</v>
      </c>
    </row>
    <row r="4243" spans="1:13" ht="14.25" customHeight="true">
      <c r="A4243" s="33" t="str">
        <f t="shared" si="264"/>
        <v>VEN - Intercompany</v>
      </c>
      <c r="B4243" s="33" t="str">
        <f t="shared" si="265"/>
        <v>VEN</v>
      </c>
      <c r="C4243" s="33" t="str">
        <f t="shared" si="266"/>
        <v>11202-0000</v>
      </c>
      <c r="D4243" t="s">
        <v>29024</v>
      </c>
      <c r="E4243" t="s">
        <v>14073</v>
      </c>
      <c r="F4243" t="s">
        <v>14039</v>
      </c>
      <c r="G4243" t="s">
        <v>14672</v>
      </c>
      <c r="H4243" t="s">
        <v>13869</v>
      </c>
      <c r="I4243" t="s">
        <v>14690</v>
      </c>
      <c r="J4243" s="62">
        <v>0</v>
      </c>
      <c r="K4243" s="62">
        <v>0</v>
      </c>
      <c r="L4243" t="str">
        <f>VLOOKUP(VALUE(LEFT(C4243,5)),Xref!A:B,2,0)</f>
        <v>FFC</v>
      </c>
      <c r="M4243" t="str">
        <f t="shared" si="267"/>
        <v>FFC-VEN</v>
      </c>
    </row>
    <row r="4244" spans="1:13" ht="14.25" customHeight="true">
      <c r="A4244" s="33" t="str">
        <f t="shared" si="264"/>
        <v>VEN - Intercompany</v>
      </c>
      <c r="B4244" s="33" t="str">
        <f t="shared" si="265"/>
        <v>VEN</v>
      </c>
      <c r="C4244" s="33" t="str">
        <f t="shared" si="266"/>
        <v>11203-0000</v>
      </c>
      <c r="D4244" t="s">
        <v>29025</v>
      </c>
      <c r="E4244" t="s">
        <v>14075</v>
      </c>
      <c r="F4244" t="s">
        <v>14039</v>
      </c>
      <c r="G4244" t="s">
        <v>14672</v>
      </c>
      <c r="H4244" t="s">
        <v>13869</v>
      </c>
      <c r="I4244" t="s">
        <v>14690</v>
      </c>
      <c r="J4244" s="62">
        <v>0</v>
      </c>
      <c r="K4244" s="62">
        <v>0</v>
      </c>
      <c r="L4244" t="str">
        <f>VLOOKUP(VALUE(LEFT(C4244,5)),Xref!A:B,2,0)</f>
        <v>HN2</v>
      </c>
      <c r="M4244" t="str">
        <f t="shared" si="267"/>
        <v>HN2-VEN</v>
      </c>
    </row>
    <row r="4245" spans="1:13" ht="14.25" customHeight="true">
      <c r="A4245" s="33" t="str">
        <f t="shared" si="264"/>
        <v>VEN - Intercompany</v>
      </c>
      <c r="B4245" s="33" t="str">
        <f t="shared" si="265"/>
        <v>VEN</v>
      </c>
      <c r="C4245" s="33" t="str">
        <f t="shared" si="266"/>
        <v>11204-0000</v>
      </c>
      <c r="D4245" t="s">
        <v>29026</v>
      </c>
      <c r="E4245" t="s">
        <v>14077</v>
      </c>
      <c r="F4245" t="s">
        <v>14039</v>
      </c>
      <c r="G4245" t="s">
        <v>14672</v>
      </c>
      <c r="H4245" t="s">
        <v>13869</v>
      </c>
      <c r="I4245" t="s">
        <v>14690</v>
      </c>
      <c r="J4245" s="62">
        <v>0</v>
      </c>
      <c r="K4245" s="62">
        <v>0</v>
      </c>
      <c r="L4245" t="str">
        <f>VLOOKUP(VALUE(LEFT(C4245,5)),Xref!A:B,2,0)</f>
        <v>DF2</v>
      </c>
      <c r="M4245" t="str">
        <f t="shared" si="267"/>
        <v>DF2-VEN</v>
      </c>
    </row>
    <row r="4246" spans="1:13" ht="14.25" customHeight="true">
      <c r="A4246" s="33" t="str">
        <f t="shared" si="264"/>
        <v>VEN - Intercompany</v>
      </c>
      <c r="B4246" s="33" t="str">
        <f t="shared" si="265"/>
        <v>VEN</v>
      </c>
      <c r="C4246" s="33" t="str">
        <f t="shared" si="266"/>
        <v>11208-0000</v>
      </c>
      <c r="D4246" t="s">
        <v>29027</v>
      </c>
      <c r="E4246" t="s">
        <v>14079</v>
      </c>
      <c r="F4246" t="s">
        <v>14039</v>
      </c>
      <c r="G4246" t="s">
        <v>14672</v>
      </c>
      <c r="H4246" t="s">
        <v>13869</v>
      </c>
      <c r="I4246" t="s">
        <v>14690</v>
      </c>
      <c r="J4246" s="62">
        <v>0</v>
      </c>
      <c r="K4246" s="62">
        <v>0</v>
      </c>
      <c r="L4246" t="str">
        <f>VLOOKUP(VALUE(LEFT(C4246,5)),Xref!A:B,2,0)</f>
        <v>SRE</v>
      </c>
      <c r="M4246" t="str">
        <f t="shared" si="267"/>
        <v>SRE-VEN</v>
      </c>
    </row>
    <row r="4247" spans="1:13" ht="14.25" customHeight="true">
      <c r="A4247" s="33" t="str">
        <f t="shared" si="264"/>
        <v>VEN - Intercompany</v>
      </c>
      <c r="B4247" s="33" t="str">
        <f t="shared" si="265"/>
        <v>VEN</v>
      </c>
      <c r="C4247" s="33" t="str">
        <f t="shared" si="266"/>
        <v>11210-0000</v>
      </c>
      <c r="D4247" t="s">
        <v>29028</v>
      </c>
      <c r="E4247" t="s">
        <v>14081</v>
      </c>
      <c r="F4247" t="s">
        <v>14039</v>
      </c>
      <c r="G4247" t="s">
        <v>14672</v>
      </c>
      <c r="H4247" t="s">
        <v>13869</v>
      </c>
      <c r="I4247" t="s">
        <v>14690</v>
      </c>
      <c r="J4247" s="62">
        <v>0</v>
      </c>
      <c r="K4247" s="62">
        <v>0</v>
      </c>
      <c r="L4247" t="str">
        <f>VLOOKUP(VALUE(LEFT(C4247,5)),Xref!A:B,2,0)</f>
        <v>REM</v>
      </c>
      <c r="M4247" t="str">
        <f t="shared" si="267"/>
        <v>REM-VEN</v>
      </c>
    </row>
    <row r="4248" spans="1:13" ht="14.25" customHeight="true">
      <c r="A4248" s="33" t="str">
        <f t="shared" si="264"/>
        <v>VEN - Intercompany</v>
      </c>
      <c r="B4248" s="33" t="str">
        <f t="shared" si="265"/>
        <v>VEN</v>
      </c>
      <c r="C4248" s="33" t="str">
        <f t="shared" si="266"/>
        <v>11212-0000</v>
      </c>
      <c r="D4248" t="s">
        <v>29029</v>
      </c>
      <c r="E4248" t="s">
        <v>14083</v>
      </c>
      <c r="F4248" t="s">
        <v>14039</v>
      </c>
      <c r="G4248" t="s">
        <v>14672</v>
      </c>
      <c r="H4248" t="s">
        <v>13869</v>
      </c>
      <c r="I4248" t="s">
        <v>14690</v>
      </c>
      <c r="J4248" s="62">
        <v>0</v>
      </c>
      <c r="K4248" s="62">
        <v>0</v>
      </c>
      <c r="L4248" t="str">
        <f>VLOOKUP(VALUE(LEFT(C4248,5)),Xref!A:B,2,0)</f>
        <v>FRM</v>
      </c>
      <c r="M4248" t="str">
        <f t="shared" si="267"/>
        <v>FRM-VEN</v>
      </c>
    </row>
    <row r="4249" spans="1:13" ht="14.25" customHeight="true">
      <c r="A4249" s="33" t="str">
        <f t="shared" si="264"/>
        <v>VEN - Intercompany</v>
      </c>
      <c r="B4249" s="33" t="str">
        <f t="shared" si="265"/>
        <v>VEN</v>
      </c>
      <c r="C4249" s="33" t="str">
        <f t="shared" si="266"/>
        <v>11214-0000</v>
      </c>
      <c r="D4249" t="s">
        <v>29030</v>
      </c>
      <c r="E4249" t="s">
        <v>14085</v>
      </c>
      <c r="F4249" t="s">
        <v>14039</v>
      </c>
      <c r="G4249" t="s">
        <v>14672</v>
      </c>
      <c r="H4249" t="s">
        <v>13869</v>
      </c>
      <c r="I4249" t="s">
        <v>14690</v>
      </c>
      <c r="J4249" s="62">
        <v>0</v>
      </c>
      <c r="K4249" s="62">
        <v>0</v>
      </c>
      <c r="L4249" t="str">
        <f>VLOOKUP(VALUE(LEFT(C4249,5)),Xref!A:B,2,0)</f>
        <v>D7R</v>
      </c>
      <c r="M4249" t="str">
        <f t="shared" si="267"/>
        <v>D7R-VEN</v>
      </c>
    </row>
    <row r="4250" spans="1:13" ht="14.25" customHeight="true">
      <c r="A4250" s="33" t="str">
        <f t="shared" si="264"/>
        <v>VEN - Intercompany</v>
      </c>
      <c r="B4250" s="33" t="str">
        <f t="shared" si="265"/>
        <v>VEN</v>
      </c>
      <c r="C4250" s="33" t="str">
        <f t="shared" si="266"/>
        <v>11215-0000</v>
      </c>
      <c r="D4250" t="s">
        <v>29031</v>
      </c>
      <c r="E4250" t="s">
        <v>14087</v>
      </c>
      <c r="F4250" t="s">
        <v>14039</v>
      </c>
      <c r="G4250" t="s">
        <v>14672</v>
      </c>
      <c r="H4250" t="s">
        <v>13869</v>
      </c>
      <c r="I4250" t="s">
        <v>14690</v>
      </c>
      <c r="J4250" s="62">
        <v>0</v>
      </c>
      <c r="K4250" s="62">
        <v>0</v>
      </c>
      <c r="L4250" t="str">
        <f>VLOOKUP(VALUE(LEFT(C4250,5)),Xref!A:B,2,0)</f>
        <v>CDP</v>
      </c>
      <c r="M4250" t="str">
        <f t="shared" si="267"/>
        <v>CDP-VEN</v>
      </c>
    </row>
    <row r="4251" spans="1:13" ht="14.25" customHeight="true">
      <c r="A4251" s="33" t="str">
        <f t="shared" si="264"/>
        <v>VEN - Intercompany</v>
      </c>
      <c r="B4251" s="33" t="str">
        <f t="shared" si="265"/>
        <v>VEN</v>
      </c>
      <c r="C4251" s="33" t="str">
        <f t="shared" si="266"/>
        <v>11216-0000</v>
      </c>
      <c r="D4251" t="s">
        <v>2760</v>
      </c>
      <c r="E4251" t="s">
        <v>13224</v>
      </c>
      <c r="F4251" t="s">
        <v>14039</v>
      </c>
      <c r="G4251" t="s">
        <v>14672</v>
      </c>
      <c r="H4251" t="s">
        <v>13869</v>
      </c>
      <c r="I4251" t="s">
        <v>14690</v>
      </c>
      <c r="J4251" s="62">
        <v>-858.39</v>
      </c>
      <c r="K4251" s="62">
        <v>-22267.14</v>
      </c>
      <c r="L4251" t="str">
        <f>VLOOKUP(VALUE(LEFT(C4251,5)),Xref!A:B,2,0)</f>
        <v>SIL</v>
      </c>
      <c r="M4251" t="str">
        <f t="shared" si="267"/>
        <v>SIL-VEN</v>
      </c>
    </row>
    <row r="4252" spans="1:13" ht="14.25" customHeight="true">
      <c r="A4252" s="33" t="str">
        <f t="shared" si="264"/>
        <v>VEN - Intercompany</v>
      </c>
      <c r="B4252" s="33" t="str">
        <f t="shared" si="265"/>
        <v>VEN</v>
      </c>
      <c r="C4252" s="33" t="str">
        <f t="shared" si="266"/>
        <v>11232-0000</v>
      </c>
      <c r="D4252" t="s">
        <v>29032</v>
      </c>
      <c r="E4252" t="s">
        <v>12486</v>
      </c>
      <c r="F4252" t="s">
        <v>14039</v>
      </c>
      <c r="G4252" t="s">
        <v>14672</v>
      </c>
      <c r="H4252" t="s">
        <v>13869</v>
      </c>
      <c r="I4252" t="s">
        <v>14690</v>
      </c>
      <c r="J4252" s="62">
        <v>0</v>
      </c>
      <c r="K4252" s="62">
        <v>0</v>
      </c>
      <c r="L4252" t="str">
        <f>VLOOKUP(VALUE(LEFT(C4252,5)),Xref!A:B,2,0)</f>
        <v>SC2</v>
      </c>
      <c r="M4252" t="str">
        <f t="shared" si="267"/>
        <v>SC2-VEN</v>
      </c>
    </row>
    <row r="4253" spans="1:13" ht="14.25" customHeight="true">
      <c r="A4253" s="33" t="str">
        <f t="shared" si="264"/>
        <v>VEN - Intercompany</v>
      </c>
      <c r="B4253" s="33" t="str">
        <f t="shared" si="265"/>
        <v>VEN</v>
      </c>
      <c r="C4253" s="33" t="str">
        <f t="shared" si="266"/>
        <v>11301-0000</v>
      </c>
      <c r="D4253" t="s">
        <v>29033</v>
      </c>
      <c r="E4253" t="s">
        <v>13225</v>
      </c>
      <c r="F4253" t="s">
        <v>14039</v>
      </c>
      <c r="G4253" t="s">
        <v>14672</v>
      </c>
      <c r="H4253" t="s">
        <v>13869</v>
      </c>
      <c r="I4253" t="s">
        <v>14690</v>
      </c>
      <c r="J4253" s="62">
        <v>0</v>
      </c>
      <c r="K4253" s="62">
        <v>0</v>
      </c>
      <c r="L4253" t="str">
        <f>VLOOKUP(VALUE(LEFT(C4253,5)),Xref!A:B,2,0)</f>
        <v>CRE</v>
      </c>
      <c r="M4253" t="str">
        <f t="shared" si="267"/>
        <v>CRE-VEN</v>
      </c>
    </row>
    <row r="4254" spans="1:13" ht="14.25" customHeight="true">
      <c r="A4254" s="33" t="str">
        <f t="shared" si="264"/>
        <v>VEN - Intercompany</v>
      </c>
      <c r="B4254" s="33" t="str">
        <f t="shared" si="265"/>
        <v>VEN</v>
      </c>
      <c r="C4254" s="33" t="str">
        <f t="shared" si="266"/>
        <v>11302-0000</v>
      </c>
      <c r="D4254" t="s">
        <v>29034</v>
      </c>
      <c r="E4254" t="s">
        <v>13226</v>
      </c>
      <c r="F4254" t="s">
        <v>14039</v>
      </c>
      <c r="G4254" t="s">
        <v>14672</v>
      </c>
      <c r="H4254" t="s">
        <v>13869</v>
      </c>
      <c r="I4254" t="s">
        <v>14690</v>
      </c>
      <c r="J4254" s="62">
        <v>0</v>
      </c>
      <c r="K4254" s="62">
        <v>0</v>
      </c>
      <c r="L4254" t="str">
        <f>VLOOKUP(VALUE(LEFT(C4254,5)),Xref!A:B,2,0)</f>
        <v>CHA</v>
      </c>
      <c r="M4254" t="str">
        <f t="shared" si="267"/>
        <v>CHA-VEN</v>
      </c>
    </row>
    <row r="4255" spans="1:13" ht="14.25" customHeight="true">
      <c r="A4255" s="33" t="str">
        <f t="shared" si="264"/>
        <v>VEN - Intercompany</v>
      </c>
      <c r="B4255" s="33" t="str">
        <f t="shared" si="265"/>
        <v>VEN</v>
      </c>
      <c r="C4255" s="33" t="str">
        <f t="shared" si="266"/>
        <v>11303-0000</v>
      </c>
      <c r="D4255" t="s">
        <v>29035</v>
      </c>
      <c r="E4255" t="s">
        <v>13227</v>
      </c>
      <c r="F4255" t="s">
        <v>14039</v>
      </c>
      <c r="G4255" t="s">
        <v>14672</v>
      </c>
      <c r="H4255" t="s">
        <v>13869</v>
      </c>
      <c r="I4255" t="s">
        <v>14690</v>
      </c>
      <c r="J4255" s="62">
        <v>0</v>
      </c>
      <c r="K4255" s="62">
        <v>0</v>
      </c>
      <c r="L4255" t="str">
        <f>VLOOKUP(VALUE(LEFT(C4255,5)),Xref!A:B,2,0)</f>
        <v>DIA</v>
      </c>
      <c r="M4255" t="str">
        <f t="shared" si="267"/>
        <v>DIA-VEN</v>
      </c>
    </row>
    <row r="4256" spans="1:13" ht="14.25" customHeight="true">
      <c r="A4256" s="33" t="str">
        <f t="shared" si="264"/>
        <v>VEN - Intercompany</v>
      </c>
      <c r="B4256" s="33" t="str">
        <f t="shared" si="265"/>
        <v>VEN</v>
      </c>
      <c r="C4256" s="33" t="str">
        <f t="shared" si="266"/>
        <v>11304-0000</v>
      </c>
      <c r="D4256" t="s">
        <v>2761</v>
      </c>
      <c r="E4256" t="s">
        <v>13228</v>
      </c>
      <c r="F4256" t="s">
        <v>14039</v>
      </c>
      <c r="G4256" t="s">
        <v>14672</v>
      </c>
      <c r="H4256" t="s">
        <v>13869</v>
      </c>
      <c r="I4256" t="s">
        <v>14690</v>
      </c>
      <c r="J4256" s="62">
        <v>0</v>
      </c>
      <c r="K4256" s="62">
        <v>-20000</v>
      </c>
      <c r="L4256" t="str">
        <f>VLOOKUP(VALUE(LEFT(C4256,5)),Xref!A:B,2,0)</f>
        <v>EAG</v>
      </c>
      <c r="M4256" t="str">
        <f t="shared" si="267"/>
        <v>EAG-VEN</v>
      </c>
    </row>
    <row r="4257" spans="1:13" ht="14.25" customHeight="true">
      <c r="A4257" s="33" t="str">
        <f t="shared" si="264"/>
        <v>VEN - Intercompany</v>
      </c>
      <c r="B4257" s="33" t="str">
        <f t="shared" si="265"/>
        <v>VEN</v>
      </c>
      <c r="C4257" s="33" t="str">
        <f t="shared" si="266"/>
        <v>11305-0000</v>
      </c>
      <c r="D4257" t="s">
        <v>29036</v>
      </c>
      <c r="E4257" t="s">
        <v>13229</v>
      </c>
      <c r="F4257" t="s">
        <v>14039</v>
      </c>
      <c r="G4257" t="s">
        <v>14672</v>
      </c>
      <c r="H4257" t="s">
        <v>13869</v>
      </c>
      <c r="I4257" t="s">
        <v>14690</v>
      </c>
      <c r="J4257" s="62">
        <v>0</v>
      </c>
      <c r="K4257" s="62">
        <v>0</v>
      </c>
      <c r="L4257" t="str">
        <f>VLOOKUP(VALUE(LEFT(C4257,5)),Xref!A:B,2,0)</f>
        <v>NEW</v>
      </c>
      <c r="M4257" t="str">
        <f t="shared" si="267"/>
        <v>NEW-VEN</v>
      </c>
    </row>
    <row r="4258" spans="1:13" ht="14.25" customHeight="true">
      <c r="A4258" s="33" t="str">
        <f t="shared" si="264"/>
        <v>VEN - Intercompany</v>
      </c>
      <c r="B4258" s="33" t="str">
        <f t="shared" si="265"/>
        <v>VEN</v>
      </c>
      <c r="C4258" s="33" t="str">
        <f t="shared" si="266"/>
        <v>11307-0000</v>
      </c>
      <c r="D4258" t="s">
        <v>29037</v>
      </c>
      <c r="E4258" t="s">
        <v>14096</v>
      </c>
      <c r="F4258" t="s">
        <v>14039</v>
      </c>
      <c r="G4258" t="s">
        <v>14672</v>
      </c>
      <c r="H4258" t="s">
        <v>13869</v>
      </c>
      <c r="I4258" t="s">
        <v>14690</v>
      </c>
      <c r="J4258" s="62">
        <v>0</v>
      </c>
      <c r="K4258" s="62">
        <v>0</v>
      </c>
      <c r="L4258" t="str">
        <f>VLOOKUP(VALUE(LEFT(C4258,5)),Xref!A:B,2,0)</f>
        <v>NES</v>
      </c>
      <c r="M4258" t="str">
        <f t="shared" si="267"/>
        <v>NES-VEN</v>
      </c>
    </row>
    <row r="4259" spans="1:13" ht="14.25" customHeight="true">
      <c r="A4259" s="33" t="str">
        <f t="shared" si="264"/>
        <v>VEN - Intercompany</v>
      </c>
      <c r="B4259" s="33" t="str">
        <f t="shared" si="265"/>
        <v>VEN</v>
      </c>
      <c r="C4259" s="33" t="str">
        <f t="shared" si="266"/>
        <v>11308-0000</v>
      </c>
      <c r="D4259" t="s">
        <v>29038</v>
      </c>
      <c r="E4259" t="s">
        <v>13476</v>
      </c>
      <c r="F4259" t="s">
        <v>14039</v>
      </c>
      <c r="G4259" t="s">
        <v>14672</v>
      </c>
      <c r="H4259" t="s">
        <v>13869</v>
      </c>
      <c r="I4259" t="s">
        <v>14690</v>
      </c>
      <c r="J4259" s="62">
        <v>0</v>
      </c>
      <c r="K4259" s="62">
        <v>0</v>
      </c>
      <c r="L4259" t="str">
        <f>VLOOKUP(VALUE(LEFT(C4259,5)),Xref!A:B,2,0)</f>
        <v>LPI</v>
      </c>
      <c r="M4259" t="str">
        <f t="shared" si="267"/>
        <v>LPI-VEN</v>
      </c>
    </row>
    <row r="4260" spans="1:13" ht="14.25" customHeight="true">
      <c r="A4260" s="33" t="str">
        <f t="shared" si="264"/>
        <v>VEN - Intercompany</v>
      </c>
      <c r="B4260" s="33" t="str">
        <f t="shared" si="265"/>
        <v>VEN</v>
      </c>
      <c r="C4260" s="33" t="str">
        <f t="shared" si="266"/>
        <v>11309-0000</v>
      </c>
      <c r="D4260" t="s">
        <v>29039</v>
      </c>
      <c r="E4260" t="s">
        <v>13230</v>
      </c>
      <c r="F4260" t="s">
        <v>14039</v>
      </c>
      <c r="G4260" t="s">
        <v>14672</v>
      </c>
      <c r="H4260" t="s">
        <v>13869</v>
      </c>
      <c r="I4260" t="s">
        <v>14690</v>
      </c>
      <c r="J4260" s="62">
        <v>0</v>
      </c>
      <c r="K4260" s="62">
        <v>0</v>
      </c>
      <c r="L4260" t="str">
        <f>VLOOKUP(VALUE(LEFT(C4260,5)),Xref!A:B,2,0)</f>
        <v>GPI</v>
      </c>
      <c r="M4260" t="str">
        <f t="shared" si="267"/>
        <v>GPI-VEN</v>
      </c>
    </row>
    <row r="4261" spans="1:13" ht="14.25" customHeight="true">
      <c r="A4261" s="33" t="str">
        <f t="shared" si="264"/>
        <v>VEN - Intercompany</v>
      </c>
      <c r="B4261" s="33" t="str">
        <f t="shared" si="265"/>
        <v>VEN</v>
      </c>
      <c r="C4261" s="33" t="str">
        <f t="shared" si="266"/>
        <v>11310-0000</v>
      </c>
      <c r="D4261" t="s">
        <v>29040</v>
      </c>
      <c r="E4261" t="s">
        <v>13231</v>
      </c>
      <c r="F4261" t="s">
        <v>14039</v>
      </c>
      <c r="G4261" t="s">
        <v>14672</v>
      </c>
      <c r="H4261" t="s">
        <v>13869</v>
      </c>
      <c r="I4261" t="s">
        <v>14690</v>
      </c>
      <c r="J4261" s="62">
        <v>0</v>
      </c>
      <c r="K4261" s="62">
        <v>0</v>
      </c>
      <c r="L4261" t="str">
        <f>VLOOKUP(VALUE(LEFT(C4261,5)),Xref!A:B,2,0)</f>
        <v>ALP</v>
      </c>
      <c r="M4261" t="str">
        <f t="shared" si="267"/>
        <v>ALP-VEN</v>
      </c>
    </row>
    <row r="4262" spans="1:13" ht="14.25" customHeight="true">
      <c r="A4262" s="33" t="str">
        <f t="shared" si="264"/>
        <v>VEN - Intercompany</v>
      </c>
      <c r="B4262" s="33" t="str">
        <f t="shared" si="265"/>
        <v>VEN</v>
      </c>
      <c r="C4262" s="33" t="str">
        <f t="shared" si="266"/>
        <v>11311-0000</v>
      </c>
      <c r="D4262" t="s">
        <v>2762</v>
      </c>
      <c r="E4262" t="s">
        <v>13232</v>
      </c>
      <c r="F4262" t="s">
        <v>14039</v>
      </c>
      <c r="G4262" t="s">
        <v>14672</v>
      </c>
      <c r="H4262" t="s">
        <v>13869</v>
      </c>
      <c r="I4262" t="s">
        <v>14690</v>
      </c>
      <c r="J4262" s="62">
        <v>0</v>
      </c>
      <c r="K4262" s="62">
        <v>-30000</v>
      </c>
      <c r="L4262" t="str">
        <f>VLOOKUP(VALUE(LEFT(C4262,5)),Xref!A:B,2,0)</f>
        <v>BET</v>
      </c>
      <c r="M4262" t="str">
        <f t="shared" si="267"/>
        <v>BET-VEN</v>
      </c>
    </row>
    <row r="4263" spans="1:13" ht="14.25" customHeight="true">
      <c r="A4263" s="33" t="str">
        <f t="shared" si="264"/>
        <v>VEN - Intercompany</v>
      </c>
      <c r="B4263" s="33" t="str">
        <f t="shared" si="265"/>
        <v>VEN</v>
      </c>
      <c r="C4263" s="33" t="str">
        <f t="shared" si="266"/>
        <v>11312-0000</v>
      </c>
      <c r="D4263" t="s">
        <v>2764</v>
      </c>
      <c r="E4263" t="s">
        <v>14102</v>
      </c>
      <c r="F4263" t="s">
        <v>14039</v>
      </c>
      <c r="G4263" t="s">
        <v>14672</v>
      </c>
      <c r="H4263" t="s">
        <v>13869</v>
      </c>
      <c r="I4263" t="s">
        <v>14690</v>
      </c>
      <c r="J4263" s="62">
        <v>0</v>
      </c>
      <c r="K4263" s="62">
        <v>-5000</v>
      </c>
      <c r="L4263" t="str">
        <f>VLOOKUP(VALUE(LEFT(C4263,5)),Xref!A:B,2,0)</f>
        <v>DEL</v>
      </c>
      <c r="M4263" t="str">
        <f t="shared" si="267"/>
        <v>DEL-VEN</v>
      </c>
    </row>
    <row r="4264" spans="1:13" ht="14.25" customHeight="true">
      <c r="A4264" s="33" t="str">
        <f t="shared" si="264"/>
        <v>VEN - Intercompany</v>
      </c>
      <c r="B4264" s="33" t="str">
        <f t="shared" si="265"/>
        <v>VEN</v>
      </c>
      <c r="C4264" s="33" t="str">
        <f t="shared" si="266"/>
        <v>11313-0000</v>
      </c>
      <c r="D4264" t="s">
        <v>29041</v>
      </c>
      <c r="E4264" t="s">
        <v>13233</v>
      </c>
      <c r="F4264" t="s">
        <v>14039</v>
      </c>
      <c r="G4264" t="s">
        <v>14672</v>
      </c>
      <c r="H4264" t="s">
        <v>13869</v>
      </c>
      <c r="I4264" t="s">
        <v>14690</v>
      </c>
      <c r="J4264" s="62">
        <v>0</v>
      </c>
      <c r="K4264" s="62">
        <v>0</v>
      </c>
      <c r="L4264" t="str">
        <f>VLOOKUP(VALUE(LEFT(C4264,5)),Xref!A:B,2,0)</f>
        <v>DOL</v>
      </c>
      <c r="M4264" t="str">
        <f t="shared" si="267"/>
        <v>DOL-VEN</v>
      </c>
    </row>
    <row r="4265" spans="1:13" ht="14.25" customHeight="true">
      <c r="A4265" s="33" t="str">
        <f t="shared" si="264"/>
        <v>VEN - Intercompany</v>
      </c>
      <c r="B4265" s="33" t="str">
        <f t="shared" si="265"/>
        <v>VEN</v>
      </c>
      <c r="C4265" s="33" t="str">
        <f t="shared" si="266"/>
        <v>11314-0000</v>
      </c>
      <c r="D4265" t="s">
        <v>29042</v>
      </c>
      <c r="E4265" t="s">
        <v>13351</v>
      </c>
      <c r="F4265" t="s">
        <v>14039</v>
      </c>
      <c r="G4265" t="s">
        <v>14672</v>
      </c>
      <c r="H4265" t="s">
        <v>13869</v>
      </c>
      <c r="I4265" t="s">
        <v>14690</v>
      </c>
      <c r="J4265" s="62">
        <v>0</v>
      </c>
      <c r="K4265" s="62">
        <v>0</v>
      </c>
      <c r="L4265" t="str">
        <f>VLOOKUP(VALUE(LEFT(C4265,5)),Xref!A:B,2,0)</f>
        <v>GRI</v>
      </c>
      <c r="M4265" t="str">
        <f t="shared" si="267"/>
        <v>GRI-VEN</v>
      </c>
    </row>
    <row r="4266" spans="1:13" ht="14.25" customHeight="true">
      <c r="A4266" s="33" t="str">
        <f t="shared" si="264"/>
        <v>VEN - Intercompany</v>
      </c>
      <c r="B4266" s="33" t="str">
        <f t="shared" si="265"/>
        <v>VEN</v>
      </c>
      <c r="C4266" s="33" t="str">
        <f t="shared" si="266"/>
        <v>11315-0000</v>
      </c>
      <c r="D4266" t="s">
        <v>29043</v>
      </c>
      <c r="E4266" t="s">
        <v>13234</v>
      </c>
      <c r="F4266" t="s">
        <v>14039</v>
      </c>
      <c r="G4266" t="s">
        <v>14672</v>
      </c>
      <c r="H4266" t="s">
        <v>13869</v>
      </c>
      <c r="I4266" t="s">
        <v>14690</v>
      </c>
      <c r="J4266" s="62">
        <v>0</v>
      </c>
      <c r="K4266" s="62">
        <v>0</v>
      </c>
      <c r="L4266" t="str">
        <f>VLOOKUP(VALUE(LEFT(C4266,5)),Xref!A:B,2,0)</f>
        <v>PUR</v>
      </c>
      <c r="M4266" t="str">
        <f t="shared" si="267"/>
        <v>PUR-VEN</v>
      </c>
    </row>
    <row r="4267" spans="1:13" ht="14.25" customHeight="true">
      <c r="A4267" s="33" t="str">
        <f t="shared" si="264"/>
        <v>VEN - Intercompany</v>
      </c>
      <c r="B4267" s="33" t="str">
        <f t="shared" si="265"/>
        <v>VEN</v>
      </c>
      <c r="C4267" s="33" t="str">
        <f t="shared" si="266"/>
        <v>11316-0000</v>
      </c>
      <c r="D4267" t="s">
        <v>29044</v>
      </c>
      <c r="E4267" t="s">
        <v>13235</v>
      </c>
      <c r="F4267" t="s">
        <v>14039</v>
      </c>
      <c r="G4267" t="s">
        <v>14672</v>
      </c>
      <c r="H4267" t="s">
        <v>13869</v>
      </c>
      <c r="I4267" t="s">
        <v>14690</v>
      </c>
      <c r="J4267" s="62">
        <v>0</v>
      </c>
      <c r="K4267" s="62">
        <v>0</v>
      </c>
      <c r="L4267" t="str">
        <f>VLOOKUP(VALUE(LEFT(C4267,5)),Xref!A:B,2,0)</f>
        <v>VAL</v>
      </c>
      <c r="M4267" t="str">
        <f t="shared" si="267"/>
        <v>VAL-VEN</v>
      </c>
    </row>
    <row r="4268" spans="1:13" ht="14.25" customHeight="true">
      <c r="A4268" s="33" t="str">
        <f t="shared" si="264"/>
        <v>VEN - Intercompany</v>
      </c>
      <c r="B4268" s="33" t="str">
        <f t="shared" si="265"/>
        <v>VEN</v>
      </c>
      <c r="C4268" s="33" t="str">
        <f t="shared" si="266"/>
        <v>11317-0000</v>
      </c>
      <c r="D4268" t="s">
        <v>2765</v>
      </c>
      <c r="E4268" t="s">
        <v>13352</v>
      </c>
      <c r="F4268" t="s">
        <v>14039</v>
      </c>
      <c r="G4268" t="s">
        <v>14672</v>
      </c>
      <c r="H4268" t="s">
        <v>13869</v>
      </c>
      <c r="I4268" t="s">
        <v>14690</v>
      </c>
      <c r="J4268" s="62">
        <v>0</v>
      </c>
      <c r="K4268" s="62">
        <v>-1000</v>
      </c>
      <c r="L4268" t="str">
        <f>VLOOKUP(VALUE(LEFT(C4268,5)),Xref!A:B,2,0)</f>
        <v>AKG</v>
      </c>
      <c r="M4268" t="str">
        <f t="shared" si="267"/>
        <v>AKG-VEN</v>
      </c>
    </row>
    <row r="4269" spans="1:13" ht="14.25" customHeight="true">
      <c r="A4269" s="33" t="str">
        <f t="shared" si="264"/>
        <v>VEN - Intercompany</v>
      </c>
      <c r="B4269" s="33" t="str">
        <f t="shared" si="265"/>
        <v>VEN</v>
      </c>
      <c r="C4269" s="33" t="str">
        <f t="shared" si="266"/>
        <v>11318-0000</v>
      </c>
      <c r="D4269" t="s">
        <v>29045</v>
      </c>
      <c r="E4269" t="s">
        <v>13477</v>
      </c>
      <c r="F4269" t="s">
        <v>14039</v>
      </c>
      <c r="G4269" t="s">
        <v>14672</v>
      </c>
      <c r="H4269" t="s">
        <v>13869</v>
      </c>
      <c r="I4269" t="s">
        <v>14690</v>
      </c>
      <c r="J4269" s="62">
        <v>0</v>
      </c>
      <c r="K4269" s="62">
        <v>0</v>
      </c>
      <c r="L4269" t="str">
        <f>VLOOKUP(VALUE(LEFT(C4269,5)),Xref!A:B,2,0)</f>
        <v>FIR</v>
      </c>
      <c r="M4269" t="str">
        <f t="shared" si="267"/>
        <v>FIR-VEN</v>
      </c>
    </row>
    <row r="4270" spans="1:13" ht="14.25" customHeight="true">
      <c r="A4270" s="33" t="str">
        <f t="shared" si="264"/>
        <v>VEN - Intercompany</v>
      </c>
      <c r="B4270" s="33" t="str">
        <f t="shared" si="265"/>
        <v>VEN</v>
      </c>
      <c r="C4270" s="33" t="str">
        <f t="shared" si="266"/>
        <v>11319-0000</v>
      </c>
      <c r="D4270" t="s">
        <v>29046</v>
      </c>
      <c r="E4270" t="s">
        <v>266</v>
      </c>
      <c r="F4270" t="s">
        <v>14039</v>
      </c>
      <c r="G4270" t="s">
        <v>14672</v>
      </c>
      <c r="H4270" t="s">
        <v>13869</v>
      </c>
      <c r="I4270" t="s">
        <v>14690</v>
      </c>
      <c r="J4270" s="62">
        <v>0</v>
      </c>
      <c r="K4270" s="62">
        <v>0</v>
      </c>
      <c r="L4270" t="str">
        <f>VLOOKUP(VALUE(LEFT(C4270,5)),Xref!A:B,2,0)</f>
        <v>GST</v>
      </c>
      <c r="M4270" t="str">
        <f t="shared" si="267"/>
        <v>GST-VEN</v>
      </c>
    </row>
    <row r="4271" spans="1:13" ht="14.25" customHeight="true">
      <c r="A4271" s="33" t="str">
        <f t="shared" si="264"/>
        <v>VEN - Intercompany</v>
      </c>
      <c r="B4271" s="33" t="str">
        <f t="shared" si="265"/>
        <v>VEN</v>
      </c>
      <c r="C4271" s="33" t="str">
        <f t="shared" si="266"/>
        <v>11320-0000</v>
      </c>
      <c r="D4271" t="s">
        <v>29047</v>
      </c>
      <c r="E4271" t="s">
        <v>14111</v>
      </c>
      <c r="F4271" t="s">
        <v>14039</v>
      </c>
      <c r="G4271" t="s">
        <v>14672</v>
      </c>
      <c r="H4271" t="s">
        <v>13869</v>
      </c>
      <c r="I4271" t="s">
        <v>14690</v>
      </c>
      <c r="J4271" s="62">
        <v>0</v>
      </c>
      <c r="K4271" s="62">
        <v>0</v>
      </c>
      <c r="L4271" t="str">
        <f>VLOOKUP(VALUE(LEFT(C4271,5)),Xref!A:B,2,0)</f>
        <v>HDN</v>
      </c>
      <c r="M4271" t="str">
        <f t="shared" si="267"/>
        <v>HDN-VEN</v>
      </c>
    </row>
    <row r="4272" spans="1:13" ht="14.25" customHeight="true">
      <c r="A4272" s="33" t="str">
        <f t="shared" si="264"/>
        <v>VEN - Intercompany</v>
      </c>
      <c r="B4272" s="33" t="str">
        <f t="shared" si="265"/>
        <v>VEN</v>
      </c>
      <c r="C4272" s="33" t="str">
        <f t="shared" si="266"/>
        <v>11321-0000</v>
      </c>
      <c r="D4272" t="s">
        <v>29048</v>
      </c>
      <c r="E4272" t="s">
        <v>13236</v>
      </c>
      <c r="F4272" t="s">
        <v>14039</v>
      </c>
      <c r="G4272" t="s">
        <v>14672</v>
      </c>
      <c r="H4272" t="s">
        <v>13869</v>
      </c>
      <c r="I4272" t="s">
        <v>14690</v>
      </c>
      <c r="J4272" s="62">
        <v>0</v>
      </c>
      <c r="K4272" s="62">
        <v>0</v>
      </c>
      <c r="L4272" t="str">
        <f>VLOOKUP(VALUE(LEFT(C4272,5)),Xref!A:B,2,0)</f>
        <v>OVA</v>
      </c>
      <c r="M4272" t="str">
        <f t="shared" si="267"/>
        <v>OVA-VEN</v>
      </c>
    </row>
    <row r="4273" spans="1:13" ht="14.25" customHeight="true">
      <c r="A4273" s="33" t="str">
        <f t="shared" si="264"/>
        <v>VEN - Intercompany</v>
      </c>
      <c r="B4273" s="33" t="str">
        <f t="shared" si="265"/>
        <v>VEN</v>
      </c>
      <c r="C4273" s="33" t="str">
        <f t="shared" si="266"/>
        <v>11322-0000</v>
      </c>
      <c r="D4273" t="s">
        <v>29049</v>
      </c>
      <c r="E4273" t="s">
        <v>13237</v>
      </c>
      <c r="F4273" t="s">
        <v>14039</v>
      </c>
      <c r="G4273" t="s">
        <v>14672</v>
      </c>
      <c r="H4273" t="s">
        <v>13869</v>
      </c>
      <c r="I4273" t="s">
        <v>14690</v>
      </c>
      <c r="J4273" s="62">
        <v>0</v>
      </c>
      <c r="K4273" s="62">
        <v>0</v>
      </c>
      <c r="L4273" t="str">
        <f>VLOOKUP(VALUE(LEFT(C4273,5)),Xref!A:B,2,0)</f>
        <v>WOO</v>
      </c>
      <c r="M4273" t="str">
        <f t="shared" si="267"/>
        <v>VEN-WOO</v>
      </c>
    </row>
    <row r="4274" spans="1:13" ht="14.25" customHeight="true">
      <c r="A4274" s="33" t="str">
        <f t="shared" si="264"/>
        <v>VEN - Intercompany</v>
      </c>
      <c r="B4274" s="33" t="str">
        <f t="shared" si="265"/>
        <v>VEN</v>
      </c>
      <c r="C4274" s="33" t="str">
        <f t="shared" si="266"/>
        <v>11323-0000</v>
      </c>
      <c r="D4274" t="s">
        <v>29050</v>
      </c>
      <c r="E4274" t="s">
        <v>13478</v>
      </c>
      <c r="F4274" t="s">
        <v>14039</v>
      </c>
      <c r="G4274" t="s">
        <v>14672</v>
      </c>
      <c r="H4274" t="s">
        <v>13869</v>
      </c>
      <c r="I4274" t="s">
        <v>14690</v>
      </c>
      <c r="J4274" s="62">
        <v>0</v>
      </c>
      <c r="K4274" s="62">
        <v>0</v>
      </c>
      <c r="L4274" t="str">
        <f>VLOOKUP(VALUE(LEFT(C4274,5)),Xref!A:B,2,0)</f>
        <v>SPI</v>
      </c>
      <c r="M4274" t="str">
        <f t="shared" si="267"/>
        <v>SPI-VEN</v>
      </c>
    </row>
    <row r="4275" spans="1:13" ht="14.25" customHeight="true">
      <c r="A4275" s="33" t="str">
        <f t="shared" si="264"/>
        <v>VEN - Intercompany</v>
      </c>
      <c r="B4275" s="33" t="str">
        <f t="shared" si="265"/>
        <v>VEN</v>
      </c>
      <c r="C4275" s="33" t="str">
        <f t="shared" si="266"/>
        <v>11324-0000</v>
      </c>
      <c r="D4275" t="s">
        <v>29051</v>
      </c>
      <c r="E4275" t="s">
        <v>13238</v>
      </c>
      <c r="F4275" t="s">
        <v>14039</v>
      </c>
      <c r="G4275" t="s">
        <v>14672</v>
      </c>
      <c r="H4275" t="s">
        <v>13869</v>
      </c>
      <c r="I4275" t="s">
        <v>14690</v>
      </c>
      <c r="J4275" s="62">
        <v>0</v>
      </c>
      <c r="K4275" s="62">
        <v>0</v>
      </c>
      <c r="L4275" t="str">
        <f>VLOOKUP(VALUE(LEFT(C4275,5)),Xref!A:B,2,0)</f>
        <v>NET</v>
      </c>
      <c r="M4275" t="str">
        <f t="shared" si="267"/>
        <v>NET-VEN</v>
      </c>
    </row>
    <row r="4276" spans="1:13" ht="14.25" customHeight="true">
      <c r="A4276" s="33" t="str">
        <f t="shared" si="264"/>
        <v>VEN - Intercompany</v>
      </c>
      <c r="B4276" s="33" t="str">
        <f t="shared" si="265"/>
        <v>VEN</v>
      </c>
      <c r="C4276" s="33" t="str">
        <f t="shared" si="266"/>
        <v>11325-0000</v>
      </c>
      <c r="D4276" t="s">
        <v>29052</v>
      </c>
      <c r="E4276" t="s">
        <v>13239</v>
      </c>
      <c r="F4276" t="s">
        <v>14039</v>
      </c>
      <c r="G4276" t="s">
        <v>14672</v>
      </c>
      <c r="H4276" t="s">
        <v>13869</v>
      </c>
      <c r="I4276" t="s">
        <v>14690</v>
      </c>
      <c r="J4276" s="62">
        <v>0</v>
      </c>
      <c r="K4276" s="62">
        <v>0</v>
      </c>
      <c r="L4276" t="str">
        <f>VLOOKUP(VALUE(LEFT(C4276,5)),Xref!A:B,2,0)</f>
        <v>DPI</v>
      </c>
      <c r="M4276" t="str">
        <f t="shared" si="267"/>
        <v>DPI-VEN</v>
      </c>
    </row>
    <row r="4277" spans="1:13" ht="14.25" customHeight="true">
      <c r="A4277" s="33" t="str">
        <f t="shared" si="264"/>
        <v>VEN - Intercompany</v>
      </c>
      <c r="B4277" s="33" t="str">
        <f t="shared" si="265"/>
        <v>VEN</v>
      </c>
      <c r="C4277" s="33" t="str">
        <f t="shared" si="266"/>
        <v>11326-0000</v>
      </c>
      <c r="D4277" t="s">
        <v>29053</v>
      </c>
      <c r="E4277" t="s">
        <v>13240</v>
      </c>
      <c r="F4277" t="s">
        <v>14039</v>
      </c>
      <c r="G4277" t="s">
        <v>14672</v>
      </c>
      <c r="H4277" t="s">
        <v>13869</v>
      </c>
      <c r="I4277" t="s">
        <v>14690</v>
      </c>
      <c r="J4277" s="62">
        <v>0</v>
      </c>
      <c r="K4277" s="62">
        <v>0</v>
      </c>
      <c r="L4277" t="str">
        <f>VLOOKUP(VALUE(LEFT(C4277,5)),Xref!A:B,2,0)</f>
        <v>SEK</v>
      </c>
      <c r="M4277" t="str">
        <f t="shared" si="267"/>
        <v>SEK-VEN</v>
      </c>
    </row>
    <row r="4278" spans="1:13" ht="14.25" customHeight="true">
      <c r="A4278" s="33" t="str">
        <f t="shared" si="264"/>
        <v>VEN - Intercompany</v>
      </c>
      <c r="B4278" s="33" t="str">
        <f t="shared" si="265"/>
        <v>VEN</v>
      </c>
      <c r="C4278" s="33" t="str">
        <f t="shared" si="266"/>
        <v>11327-0000</v>
      </c>
      <c r="D4278" t="s">
        <v>29054</v>
      </c>
      <c r="E4278" t="s">
        <v>14119</v>
      </c>
      <c r="F4278" t="s">
        <v>14039</v>
      </c>
      <c r="G4278" t="s">
        <v>14672</v>
      </c>
      <c r="H4278" t="s">
        <v>13869</v>
      </c>
      <c r="I4278" t="s">
        <v>14690</v>
      </c>
      <c r="J4278" s="62">
        <v>0</v>
      </c>
      <c r="K4278" s="62">
        <v>0</v>
      </c>
      <c r="L4278" t="str">
        <f>VLOOKUP(VALUE(LEFT(C4278,5)),Xref!A:B,2,0)</f>
        <v>CPI</v>
      </c>
      <c r="M4278" t="str">
        <f t="shared" si="267"/>
        <v>CPI-VEN</v>
      </c>
    </row>
    <row r="4279" spans="1:13" ht="14.25" customHeight="true">
      <c r="A4279" s="33" t="str">
        <f t="shared" si="264"/>
        <v>VEN - Intercompany</v>
      </c>
      <c r="B4279" s="33" t="str">
        <f t="shared" si="265"/>
        <v>VEN</v>
      </c>
      <c r="C4279" s="33" t="str">
        <f t="shared" si="266"/>
        <v>11328-0000</v>
      </c>
      <c r="D4279" t="s">
        <v>29055</v>
      </c>
      <c r="E4279" t="s">
        <v>13241</v>
      </c>
      <c r="F4279" t="s">
        <v>14039</v>
      </c>
      <c r="G4279" t="s">
        <v>14672</v>
      </c>
      <c r="H4279" t="s">
        <v>13869</v>
      </c>
      <c r="I4279" t="s">
        <v>14690</v>
      </c>
      <c r="J4279" s="62">
        <v>0</v>
      </c>
      <c r="K4279" s="62">
        <v>0</v>
      </c>
      <c r="L4279" t="str">
        <f>VLOOKUP(VALUE(LEFT(C4279,5)),Xref!A:B,2,0)</f>
        <v>LOM</v>
      </c>
      <c r="M4279" t="str">
        <f t="shared" si="267"/>
        <v>LOM-VEN</v>
      </c>
    </row>
    <row r="4280" spans="1:13" ht="14.25" customHeight="true">
      <c r="A4280" s="33" t="str">
        <f t="shared" si="264"/>
        <v>VEN - Intercompany</v>
      </c>
      <c r="B4280" s="33" t="str">
        <f t="shared" si="265"/>
        <v>VEN</v>
      </c>
      <c r="C4280" s="33" t="str">
        <f t="shared" si="266"/>
        <v>11329-0000</v>
      </c>
      <c r="D4280" t="s">
        <v>29056</v>
      </c>
      <c r="E4280" t="s">
        <v>13353</v>
      </c>
      <c r="F4280" t="s">
        <v>14039</v>
      </c>
      <c r="G4280" t="s">
        <v>14672</v>
      </c>
      <c r="H4280" t="s">
        <v>13869</v>
      </c>
      <c r="I4280" t="s">
        <v>14690</v>
      </c>
      <c r="J4280" s="62">
        <v>0</v>
      </c>
      <c r="K4280" s="62">
        <v>0</v>
      </c>
      <c r="L4280" t="str">
        <f>VLOOKUP(VALUE(LEFT(C4280,5)),Xref!A:B,2,0)</f>
        <v>AKS</v>
      </c>
      <c r="M4280" t="str">
        <f t="shared" si="267"/>
        <v>AKS-VEN</v>
      </c>
    </row>
    <row r="4281" spans="1:13" ht="14.25" customHeight="true">
      <c r="A4281" s="33" t="str">
        <f t="shared" si="264"/>
        <v>VEN - Intercompany</v>
      </c>
      <c r="B4281" s="33" t="str">
        <f t="shared" si="265"/>
        <v>VEN</v>
      </c>
      <c r="C4281" s="33" t="str">
        <f t="shared" si="266"/>
        <v>11330-0000</v>
      </c>
      <c r="D4281" t="s">
        <v>29057</v>
      </c>
      <c r="E4281" t="s">
        <v>13242</v>
      </c>
      <c r="F4281" t="s">
        <v>14039</v>
      </c>
      <c r="G4281" t="s">
        <v>14672</v>
      </c>
      <c r="H4281" t="s">
        <v>13869</v>
      </c>
      <c r="I4281" t="s">
        <v>14690</v>
      </c>
      <c r="J4281" s="62">
        <v>0</v>
      </c>
      <c r="K4281" s="62">
        <v>0</v>
      </c>
      <c r="L4281" t="str">
        <f>VLOOKUP(VALUE(LEFT(C4281,5)),Xref!A:B,2,0)</f>
        <v>MAR</v>
      </c>
      <c r="M4281" t="str">
        <f t="shared" si="267"/>
        <v>MAR-VEN</v>
      </c>
    </row>
    <row r="4282" spans="1:13" ht="14.25" customHeight="true">
      <c r="A4282" s="33" t="str">
        <f t="shared" si="264"/>
        <v>VEN - Intercompany</v>
      </c>
      <c r="B4282" s="33" t="str">
        <f t="shared" si="265"/>
        <v>VEN</v>
      </c>
      <c r="C4282" s="33" t="str">
        <f t="shared" si="266"/>
        <v>11331-0000</v>
      </c>
      <c r="D4282" t="s">
        <v>2766</v>
      </c>
      <c r="E4282" t="s">
        <v>13354</v>
      </c>
      <c r="F4282" t="s">
        <v>14039</v>
      </c>
      <c r="G4282" t="s">
        <v>14672</v>
      </c>
      <c r="H4282" t="s">
        <v>13869</v>
      </c>
      <c r="I4282" t="s">
        <v>14690</v>
      </c>
      <c r="J4282" s="62">
        <v>0</v>
      </c>
      <c r="K4282" s="62">
        <v>-8000</v>
      </c>
      <c r="L4282" t="str">
        <f>VLOOKUP(VALUE(LEFT(C4282,5)),Xref!A:B,2,0)</f>
        <v>WIL</v>
      </c>
      <c r="M4282" t="str">
        <f t="shared" si="267"/>
        <v>VEN-WIL</v>
      </c>
    </row>
    <row r="4283" spans="1:13" ht="14.25" customHeight="true">
      <c r="A4283" s="33" t="str">
        <f t="shared" si="264"/>
        <v>VEN - Intercompany</v>
      </c>
      <c r="B4283" s="33" t="str">
        <f t="shared" si="265"/>
        <v>VEN</v>
      </c>
      <c r="C4283" s="33" t="str">
        <f t="shared" si="266"/>
        <v>11332-0000</v>
      </c>
      <c r="D4283" t="s">
        <v>2767</v>
      </c>
      <c r="E4283" t="s">
        <v>13243</v>
      </c>
      <c r="F4283" t="s">
        <v>14039</v>
      </c>
      <c r="G4283" t="s">
        <v>14672</v>
      </c>
      <c r="H4283" t="s">
        <v>13869</v>
      </c>
      <c r="I4283" t="s">
        <v>14690</v>
      </c>
      <c r="J4283" s="62">
        <v>0</v>
      </c>
      <c r="K4283" s="62">
        <v>-5000</v>
      </c>
      <c r="L4283" t="str">
        <f>VLOOKUP(VALUE(LEFT(C4283,5)),Xref!A:B,2,0)</f>
        <v>STO</v>
      </c>
      <c r="M4283" t="str">
        <f t="shared" si="267"/>
        <v>STO-VEN</v>
      </c>
    </row>
    <row r="4284" spans="1:13" ht="14.25" customHeight="true">
      <c r="A4284" s="33" t="str">
        <f t="shared" si="264"/>
        <v>VEN - Intercompany</v>
      </c>
      <c r="B4284" s="33" t="str">
        <f t="shared" si="265"/>
        <v>VEN</v>
      </c>
      <c r="C4284" s="33" t="str">
        <f t="shared" si="266"/>
        <v>11333-0000</v>
      </c>
      <c r="D4284" t="s">
        <v>29058</v>
      </c>
      <c r="E4284" t="s">
        <v>13244</v>
      </c>
      <c r="F4284" t="s">
        <v>14039</v>
      </c>
      <c r="G4284" t="s">
        <v>14672</v>
      </c>
      <c r="H4284" t="s">
        <v>13869</v>
      </c>
      <c r="I4284" t="s">
        <v>14690</v>
      </c>
      <c r="J4284" s="62">
        <v>0</v>
      </c>
      <c r="K4284" s="62">
        <v>0</v>
      </c>
      <c r="L4284" t="str">
        <f>VLOOKUP(VALUE(LEFT(C4284,5)),Xref!A:B,2,0)</f>
        <v>ANG</v>
      </c>
      <c r="M4284" t="str">
        <f t="shared" si="267"/>
        <v>ANG-VEN</v>
      </c>
    </row>
    <row r="4285" spans="1:13" ht="14.25" customHeight="true">
      <c r="A4285" s="33" t="str">
        <f t="shared" si="264"/>
        <v>VEN - Intercompany</v>
      </c>
      <c r="B4285" s="33" t="str">
        <f t="shared" si="265"/>
        <v>VEN</v>
      </c>
      <c r="C4285" s="33" t="str">
        <f t="shared" si="266"/>
        <v>11334-0000</v>
      </c>
      <c r="D4285" t="s">
        <v>29059</v>
      </c>
      <c r="E4285" t="s">
        <v>13245</v>
      </c>
      <c r="F4285" t="s">
        <v>14039</v>
      </c>
      <c r="G4285" t="s">
        <v>14672</v>
      </c>
      <c r="H4285" t="s">
        <v>13869</v>
      </c>
      <c r="I4285" t="s">
        <v>14690</v>
      </c>
      <c r="J4285" s="62">
        <v>0</v>
      </c>
      <c r="K4285" s="62">
        <v>0</v>
      </c>
      <c r="L4285" t="str">
        <f>VLOOKUP(VALUE(LEFT(C4285,5)),Xref!A:B,2,0)</f>
        <v>BRU</v>
      </c>
      <c r="M4285" t="str">
        <f t="shared" si="267"/>
        <v>BRU-VEN</v>
      </c>
    </row>
    <row r="4286" spans="1:13" ht="14.25" customHeight="true">
      <c r="A4286" s="33" t="str">
        <f t="shared" si="264"/>
        <v>VEN - Intercompany</v>
      </c>
      <c r="B4286" s="33" t="str">
        <f t="shared" si="265"/>
        <v>VEN</v>
      </c>
      <c r="C4286" s="33" t="str">
        <f t="shared" si="266"/>
        <v>11335-0000</v>
      </c>
      <c r="D4286" t="s">
        <v>29060</v>
      </c>
      <c r="E4286" t="s">
        <v>13246</v>
      </c>
      <c r="F4286" t="s">
        <v>14039</v>
      </c>
      <c r="G4286" t="s">
        <v>14672</v>
      </c>
      <c r="H4286" t="s">
        <v>13869</v>
      </c>
      <c r="I4286" t="s">
        <v>14690</v>
      </c>
      <c r="J4286" s="62">
        <v>0</v>
      </c>
      <c r="K4286" s="62">
        <v>10000</v>
      </c>
      <c r="L4286" t="str">
        <f>VLOOKUP(VALUE(LEFT(C4286,5)),Xref!A:B,2,0)</f>
        <v>VEN</v>
      </c>
      <c r="M4286" t="str">
        <f t="shared" si="267"/>
        <v>VEN-VEN</v>
      </c>
    </row>
    <row r="4287" spans="1:13" ht="14.25" customHeight="true">
      <c r="A4287" s="33" t="str">
        <f t="shared" si="264"/>
        <v>VEN - Intercompany</v>
      </c>
      <c r="B4287" s="33" t="str">
        <f t="shared" si="265"/>
        <v>VEN</v>
      </c>
      <c r="C4287" s="33" t="str">
        <f t="shared" si="266"/>
        <v>11336-0000</v>
      </c>
      <c r="D4287" t="s">
        <v>29061</v>
      </c>
      <c r="E4287" t="s">
        <v>13247</v>
      </c>
      <c r="F4287" t="s">
        <v>14039</v>
      </c>
      <c r="G4287" t="s">
        <v>14672</v>
      </c>
      <c r="H4287" t="s">
        <v>13869</v>
      </c>
      <c r="I4287" t="s">
        <v>14690</v>
      </c>
      <c r="J4287" s="62">
        <v>0</v>
      </c>
      <c r="K4287" s="62">
        <v>0</v>
      </c>
      <c r="L4287" t="str">
        <f>VLOOKUP(VALUE(LEFT(C4287,5)),Xref!A:B,2,0)</f>
        <v>SAT</v>
      </c>
      <c r="M4287" t="str">
        <f t="shared" si="267"/>
        <v>SAT-VEN</v>
      </c>
    </row>
    <row r="4288" spans="1:13" ht="14.25" customHeight="true">
      <c r="A4288" s="33" t="str">
        <f t="shared" si="264"/>
        <v>VEN - Intercompany</v>
      </c>
      <c r="B4288" s="33" t="str">
        <f t="shared" si="265"/>
        <v>VEN</v>
      </c>
      <c r="C4288" s="33" t="str">
        <f t="shared" si="266"/>
        <v>11337-0000</v>
      </c>
      <c r="D4288" t="s">
        <v>29062</v>
      </c>
      <c r="E4288" t="s">
        <v>13248</v>
      </c>
      <c r="F4288" t="s">
        <v>14039</v>
      </c>
      <c r="G4288" t="s">
        <v>14672</v>
      </c>
      <c r="H4288" t="s">
        <v>13869</v>
      </c>
      <c r="I4288" t="s">
        <v>14690</v>
      </c>
      <c r="J4288" s="62">
        <v>0</v>
      </c>
      <c r="K4288" s="62">
        <v>0</v>
      </c>
      <c r="L4288" t="str">
        <f>VLOOKUP(VALUE(LEFT(C4288,5)),Xref!A:B,2,0)</f>
        <v>NEP</v>
      </c>
      <c r="M4288" t="str">
        <f t="shared" si="267"/>
        <v>NEP-VEN</v>
      </c>
    </row>
    <row r="4289" spans="1:13" ht="14.25" customHeight="true">
      <c r="A4289" s="33" t="str">
        <f t="shared" si="264"/>
        <v>VEN - Intercompany</v>
      </c>
      <c r="B4289" s="33" t="str">
        <f t="shared" si="265"/>
        <v>VEN</v>
      </c>
      <c r="C4289" s="33" t="str">
        <f t="shared" si="266"/>
        <v>11338-0000</v>
      </c>
      <c r="D4289" t="s">
        <v>29063</v>
      </c>
      <c r="E4289" t="s">
        <v>14131</v>
      </c>
      <c r="F4289" t="s">
        <v>14039</v>
      </c>
      <c r="G4289" t="s">
        <v>14672</v>
      </c>
      <c r="H4289" t="s">
        <v>13869</v>
      </c>
      <c r="I4289" t="s">
        <v>14690</v>
      </c>
      <c r="J4289" s="62">
        <v>0</v>
      </c>
      <c r="K4289" s="62">
        <v>0</v>
      </c>
      <c r="L4289" t="str">
        <f>VLOOKUP(VALUE(LEFT(C4289,5)),Xref!A:B,2,0)</f>
        <v>JUP</v>
      </c>
      <c r="M4289" t="str">
        <f t="shared" si="267"/>
        <v>JUP-VEN</v>
      </c>
    </row>
    <row r="4290" spans="1:13" ht="14.25" customHeight="true">
      <c r="A4290" s="33" t="str">
        <f t="shared" ref="A4290:A4353" si="268">B4290&amp;" - "&amp;TRIM(H4290)</f>
        <v>VEN - Intercompany</v>
      </c>
      <c r="B4290" s="33" t="str">
        <f t="shared" ref="B4290:B4353" si="269">LEFT(D4290,3)</f>
        <v>VEN</v>
      </c>
      <c r="C4290" s="33" t="str">
        <f t="shared" ref="C4290:C4353" si="270">RIGHT(D4290,10)</f>
        <v>11339-0000</v>
      </c>
      <c r="D4290" t="s">
        <v>29064</v>
      </c>
      <c r="E4290" t="s">
        <v>14133</v>
      </c>
      <c r="F4290" t="s">
        <v>14039</v>
      </c>
      <c r="G4290" t="s">
        <v>14672</v>
      </c>
      <c r="H4290" t="s">
        <v>13869</v>
      </c>
      <c r="I4290" t="s">
        <v>14690</v>
      </c>
      <c r="J4290" s="62">
        <v>0</v>
      </c>
      <c r="K4290" s="62">
        <v>0</v>
      </c>
      <c r="L4290" t="str">
        <f>VLOOKUP(VALUE(LEFT(C4290,5)),Xref!A:B,2,0)</f>
        <v>WES</v>
      </c>
      <c r="M4290" t="str">
        <f t="shared" ref="M4290:M4353" si="271">IF(B4290&lt;L4290,B4290&amp;"-"&amp;L4290,L4290&amp;"-"&amp;B4290)</f>
        <v>VEN-WES</v>
      </c>
    </row>
    <row r="4291" spans="1:13" ht="14.25" customHeight="true">
      <c r="A4291" s="33" t="str">
        <f t="shared" si="268"/>
        <v>VEN - Intercompany</v>
      </c>
      <c r="B4291" s="33" t="str">
        <f t="shared" si="269"/>
        <v>VEN</v>
      </c>
      <c r="C4291" s="33" t="str">
        <f t="shared" si="270"/>
        <v>11340-0000</v>
      </c>
      <c r="D4291" t="s">
        <v>29065</v>
      </c>
      <c r="E4291" t="s">
        <v>14135</v>
      </c>
      <c r="F4291" t="s">
        <v>14039</v>
      </c>
      <c r="G4291" t="s">
        <v>14672</v>
      </c>
      <c r="H4291" t="s">
        <v>13869</v>
      </c>
      <c r="I4291" t="s">
        <v>14690</v>
      </c>
      <c r="J4291" s="62">
        <v>0</v>
      </c>
      <c r="K4291" s="62">
        <v>0</v>
      </c>
      <c r="L4291" t="str">
        <f>VLOOKUP(VALUE(LEFT(C4291,5)),Xref!A:B,2,0)</f>
        <v>LCP</v>
      </c>
      <c r="M4291" t="str">
        <f t="shared" si="271"/>
        <v>LCP-VEN</v>
      </c>
    </row>
    <row r="4292" spans="1:13" ht="14.25" customHeight="true">
      <c r="A4292" s="33" t="str">
        <f t="shared" si="268"/>
        <v>VEN - Intercompany</v>
      </c>
      <c r="B4292" s="33" t="str">
        <f t="shared" si="269"/>
        <v>VEN</v>
      </c>
      <c r="C4292" s="33" t="str">
        <f t="shared" si="270"/>
        <v>11341-0000</v>
      </c>
      <c r="D4292" t="s">
        <v>29066</v>
      </c>
      <c r="E4292" t="s">
        <v>13639</v>
      </c>
      <c r="F4292" t="s">
        <v>14039</v>
      </c>
      <c r="G4292" t="s">
        <v>14672</v>
      </c>
      <c r="H4292" t="s">
        <v>13869</v>
      </c>
      <c r="I4292" t="s">
        <v>14690</v>
      </c>
      <c r="J4292" s="62">
        <v>0</v>
      </c>
      <c r="K4292" s="62">
        <v>0</v>
      </c>
      <c r="L4292" t="str">
        <f>VLOOKUP(VALUE(LEFT(C4292,5)),Xref!A:B,2,0)</f>
        <v>NOR</v>
      </c>
      <c r="M4292" t="str">
        <f t="shared" si="271"/>
        <v>NOR-VEN</v>
      </c>
    </row>
    <row r="4293" spans="1:13" ht="14.25" customHeight="true">
      <c r="A4293" s="33" t="str">
        <f t="shared" si="268"/>
        <v>VEN - Intercompany</v>
      </c>
      <c r="B4293" s="33" t="str">
        <f t="shared" si="269"/>
        <v>VEN</v>
      </c>
      <c r="C4293" s="33" t="str">
        <f t="shared" si="270"/>
        <v>11342-0000</v>
      </c>
      <c r="D4293" t="s">
        <v>29067</v>
      </c>
      <c r="E4293" t="s">
        <v>13355</v>
      </c>
      <c r="F4293" t="s">
        <v>14039</v>
      </c>
      <c r="G4293" t="s">
        <v>14672</v>
      </c>
      <c r="H4293" t="s">
        <v>13869</v>
      </c>
      <c r="I4293" t="s">
        <v>14690</v>
      </c>
      <c r="J4293" s="62">
        <v>0</v>
      </c>
      <c r="K4293" s="62">
        <v>0</v>
      </c>
      <c r="L4293" t="str">
        <f>VLOOKUP(VALUE(LEFT(C4293,5)),Xref!A:B,2,0)</f>
        <v>EAS</v>
      </c>
      <c r="M4293" t="str">
        <f t="shared" si="271"/>
        <v>EAS-VEN</v>
      </c>
    </row>
    <row r="4294" spans="1:13" ht="14.25" customHeight="true">
      <c r="A4294" s="33" t="str">
        <f t="shared" si="268"/>
        <v>VEN - Intercompany</v>
      </c>
      <c r="B4294" s="33" t="str">
        <f t="shared" si="269"/>
        <v>VEN</v>
      </c>
      <c r="C4294" s="33" t="str">
        <f t="shared" si="270"/>
        <v>11343-0000</v>
      </c>
      <c r="D4294" t="s">
        <v>29068</v>
      </c>
      <c r="E4294" t="s">
        <v>14139</v>
      </c>
      <c r="F4294" t="s">
        <v>14039</v>
      </c>
      <c r="G4294" t="s">
        <v>14672</v>
      </c>
      <c r="H4294" t="s">
        <v>13869</v>
      </c>
      <c r="I4294" t="s">
        <v>14690</v>
      </c>
      <c r="J4294" s="62">
        <v>0</v>
      </c>
      <c r="K4294" s="62">
        <v>0</v>
      </c>
      <c r="L4294" t="str">
        <f>VLOOKUP(VALUE(LEFT(C4294,5)),Xref!A:B,2,0)</f>
        <v>GRA</v>
      </c>
      <c r="M4294" t="str">
        <f t="shared" si="271"/>
        <v>GRA-VEN</v>
      </c>
    </row>
    <row r="4295" spans="1:13" ht="14.25" customHeight="true">
      <c r="A4295" s="33" t="str">
        <f t="shared" si="268"/>
        <v>VEN - Intercompany</v>
      </c>
      <c r="B4295" s="33" t="str">
        <f t="shared" si="269"/>
        <v>VEN</v>
      </c>
      <c r="C4295" s="33" t="str">
        <f t="shared" si="270"/>
        <v>11344-0000</v>
      </c>
      <c r="D4295" t="s">
        <v>29069</v>
      </c>
      <c r="E4295" t="s">
        <v>14141</v>
      </c>
      <c r="F4295" t="s">
        <v>14039</v>
      </c>
      <c r="G4295" t="s">
        <v>14672</v>
      </c>
      <c r="H4295" t="s">
        <v>13869</v>
      </c>
      <c r="I4295" t="s">
        <v>14690</v>
      </c>
      <c r="J4295" s="62">
        <v>0</v>
      </c>
      <c r="K4295" s="62">
        <v>0</v>
      </c>
      <c r="L4295" t="str">
        <f>VLOOKUP(VALUE(LEFT(C4295,5)),Xref!A:B,2,0)</f>
        <v>SOU</v>
      </c>
      <c r="M4295" t="str">
        <f t="shared" si="271"/>
        <v>SOU-VEN</v>
      </c>
    </row>
    <row r="4296" spans="1:13" ht="14.25" customHeight="true">
      <c r="A4296" s="33" t="str">
        <f t="shared" si="268"/>
        <v>VEN - Intercompany</v>
      </c>
      <c r="B4296" s="33" t="str">
        <f t="shared" si="269"/>
        <v>VEN</v>
      </c>
      <c r="C4296" s="33" t="str">
        <f t="shared" si="270"/>
        <v>11345-0000</v>
      </c>
      <c r="D4296" t="s">
        <v>29070</v>
      </c>
      <c r="E4296" t="s">
        <v>14143</v>
      </c>
      <c r="F4296" t="s">
        <v>14039</v>
      </c>
      <c r="G4296" t="s">
        <v>14672</v>
      </c>
      <c r="H4296" t="s">
        <v>13869</v>
      </c>
      <c r="I4296" t="s">
        <v>14690</v>
      </c>
      <c r="J4296" s="62">
        <v>0</v>
      </c>
      <c r="K4296" s="62">
        <v>0</v>
      </c>
      <c r="L4296" t="str">
        <f>VLOOKUP(VALUE(LEFT(C4296,5)),Xref!A:B,2,0)</f>
        <v>API</v>
      </c>
      <c r="M4296" t="str">
        <f t="shared" si="271"/>
        <v>API-VEN</v>
      </c>
    </row>
    <row r="4297" spans="1:13" ht="14.25" customHeight="true">
      <c r="A4297" s="33" t="str">
        <f t="shared" si="268"/>
        <v>VEN - Intercompany</v>
      </c>
      <c r="B4297" s="33" t="str">
        <f t="shared" si="269"/>
        <v>VEN</v>
      </c>
      <c r="C4297" s="33" t="str">
        <f t="shared" si="270"/>
        <v>11346-0000</v>
      </c>
      <c r="D4297" t="s">
        <v>29071</v>
      </c>
      <c r="E4297" t="s">
        <v>14145</v>
      </c>
      <c r="F4297" t="s">
        <v>14039</v>
      </c>
      <c r="G4297" t="s">
        <v>14672</v>
      </c>
      <c r="H4297" t="s">
        <v>13869</v>
      </c>
      <c r="I4297" t="s">
        <v>14690</v>
      </c>
      <c r="J4297" s="62">
        <v>0</v>
      </c>
      <c r="K4297" s="62">
        <v>0</v>
      </c>
      <c r="L4297" t="str">
        <f>VLOOKUP(VALUE(LEFT(C4297,5)),Xref!A:B,2,0)</f>
        <v>DPH</v>
      </c>
      <c r="M4297" t="str">
        <f t="shared" si="271"/>
        <v>DPH-VEN</v>
      </c>
    </row>
    <row r="4298" spans="1:13" ht="14.25" customHeight="true">
      <c r="A4298" s="33" t="str">
        <f t="shared" si="268"/>
        <v>VEN - Intercompany</v>
      </c>
      <c r="B4298" s="33" t="str">
        <f t="shared" si="269"/>
        <v>VEN</v>
      </c>
      <c r="C4298" s="33" t="str">
        <f t="shared" si="270"/>
        <v>11347-0000</v>
      </c>
      <c r="D4298" t="s">
        <v>29072</v>
      </c>
      <c r="E4298" t="s">
        <v>14147</v>
      </c>
      <c r="F4298" t="s">
        <v>14039</v>
      </c>
      <c r="G4298" t="s">
        <v>14672</v>
      </c>
      <c r="H4298" t="s">
        <v>13869</v>
      </c>
      <c r="I4298" t="s">
        <v>14690</v>
      </c>
      <c r="J4298" s="62">
        <v>0</v>
      </c>
      <c r="K4298" s="62">
        <v>0</v>
      </c>
      <c r="L4298" t="str">
        <f>VLOOKUP(VALUE(LEFT(C4298,5)),Xref!A:B,2,0)</f>
        <v>ZPI</v>
      </c>
      <c r="M4298" t="str">
        <f t="shared" si="271"/>
        <v>VEN-ZPI</v>
      </c>
    </row>
    <row r="4299" spans="1:13" ht="14.25" customHeight="true">
      <c r="A4299" s="33" t="str">
        <f t="shared" si="268"/>
        <v>VEN - Intercompany</v>
      </c>
      <c r="B4299" s="33" t="str">
        <f t="shared" si="269"/>
        <v>VEN</v>
      </c>
      <c r="C4299" s="33" t="str">
        <f t="shared" si="270"/>
        <v>11348-0000</v>
      </c>
      <c r="D4299" t="s">
        <v>29073</v>
      </c>
      <c r="E4299" t="s">
        <v>14149</v>
      </c>
      <c r="F4299" t="s">
        <v>14039</v>
      </c>
      <c r="G4299" t="s">
        <v>14672</v>
      </c>
      <c r="H4299" t="s">
        <v>13869</v>
      </c>
      <c r="I4299" t="s">
        <v>14690</v>
      </c>
      <c r="J4299" s="62">
        <v>0</v>
      </c>
      <c r="K4299" s="62">
        <v>0</v>
      </c>
      <c r="L4299" t="str">
        <f>VLOOKUP(VALUE(LEFT(C4299,5)),Xref!A:B,2,0)</f>
        <v>EAM</v>
      </c>
      <c r="M4299" t="str">
        <f t="shared" si="271"/>
        <v>EAM-VEN</v>
      </c>
    </row>
    <row r="4300" spans="1:13" ht="14.25" customHeight="true">
      <c r="A4300" s="33" t="str">
        <f t="shared" si="268"/>
        <v>VEN - Intercompany</v>
      </c>
      <c r="B4300" s="33" t="str">
        <f t="shared" si="269"/>
        <v>VEN</v>
      </c>
      <c r="C4300" s="33" t="str">
        <f t="shared" si="270"/>
        <v>11349-0000</v>
      </c>
      <c r="D4300" t="s">
        <v>29074</v>
      </c>
      <c r="E4300" t="s">
        <v>14151</v>
      </c>
      <c r="F4300" t="s">
        <v>14039</v>
      </c>
      <c r="G4300" t="s">
        <v>14672</v>
      </c>
      <c r="H4300" t="s">
        <v>13869</v>
      </c>
      <c r="I4300" t="s">
        <v>14690</v>
      </c>
      <c r="J4300" s="62">
        <v>0</v>
      </c>
      <c r="K4300" s="62">
        <v>0</v>
      </c>
      <c r="L4300" t="str">
        <f>VLOOKUP(VALUE(LEFT(C4300,5)),Xref!A:B,2,0)</f>
        <v>SEA</v>
      </c>
      <c r="M4300" t="str">
        <f t="shared" si="271"/>
        <v>SEA-VEN</v>
      </c>
    </row>
    <row r="4301" spans="1:13" ht="14.25" customHeight="true">
      <c r="A4301" s="33" t="str">
        <f t="shared" si="268"/>
        <v>VEN - Intercompany</v>
      </c>
      <c r="B4301" s="33" t="str">
        <f t="shared" si="269"/>
        <v>VEN</v>
      </c>
      <c r="C4301" s="33" t="str">
        <f t="shared" si="270"/>
        <v>11350-0000</v>
      </c>
      <c r="D4301" t="s">
        <v>29075</v>
      </c>
      <c r="E4301" t="s">
        <v>14153</v>
      </c>
      <c r="F4301" t="s">
        <v>14039</v>
      </c>
      <c r="G4301" t="s">
        <v>14672</v>
      </c>
      <c r="H4301" t="s">
        <v>13869</v>
      </c>
      <c r="I4301" t="s">
        <v>14690</v>
      </c>
      <c r="J4301" s="62">
        <v>0</v>
      </c>
      <c r="K4301" s="62">
        <v>-6.15</v>
      </c>
      <c r="L4301" t="str">
        <f>VLOOKUP(VALUE(LEFT(C4301,5)),Xref!A:B,2,0)</f>
        <v>EAL</v>
      </c>
      <c r="M4301" t="str">
        <f t="shared" si="271"/>
        <v>EAL-VEN</v>
      </c>
    </row>
    <row r="4302" spans="1:13" ht="14.25" customHeight="true">
      <c r="A4302" s="33" t="str">
        <f t="shared" si="268"/>
        <v>VEN - Intercompany</v>
      </c>
      <c r="B4302" s="33" t="str">
        <f t="shared" si="269"/>
        <v>VEN</v>
      </c>
      <c r="C4302" s="33" t="str">
        <f t="shared" si="270"/>
        <v>11351-0000</v>
      </c>
      <c r="D4302" t="s">
        <v>29076</v>
      </c>
      <c r="E4302" t="s">
        <v>14155</v>
      </c>
      <c r="F4302" t="s">
        <v>14039</v>
      </c>
      <c r="G4302" t="s">
        <v>14672</v>
      </c>
      <c r="H4302" t="s">
        <v>13869</v>
      </c>
      <c r="I4302" t="s">
        <v>14690</v>
      </c>
      <c r="J4302" s="62">
        <v>0</v>
      </c>
      <c r="K4302" s="62">
        <v>0</v>
      </c>
      <c r="L4302" t="str">
        <f>VLOOKUP(VALUE(LEFT(C4302,5)),Xref!A:B,2,0)</f>
        <v>WEP</v>
      </c>
      <c r="M4302" t="str">
        <f t="shared" si="271"/>
        <v>VEN-WEP</v>
      </c>
    </row>
    <row r="4303" spans="1:13" ht="14.25" customHeight="true">
      <c r="A4303" s="33" t="str">
        <f t="shared" si="268"/>
        <v>VEN - Intercompany</v>
      </c>
      <c r="B4303" s="33" t="str">
        <f t="shared" si="269"/>
        <v>VEN</v>
      </c>
      <c r="C4303" s="33" t="str">
        <f t="shared" si="270"/>
        <v>11352-0000</v>
      </c>
      <c r="D4303" t="s">
        <v>29077</v>
      </c>
      <c r="E4303" t="s">
        <v>13536</v>
      </c>
      <c r="F4303" t="s">
        <v>14039</v>
      </c>
      <c r="G4303" t="s">
        <v>14672</v>
      </c>
      <c r="H4303" t="s">
        <v>13869</v>
      </c>
      <c r="I4303" t="s">
        <v>14690</v>
      </c>
      <c r="J4303" s="62">
        <v>0</v>
      </c>
      <c r="K4303" s="62">
        <v>0</v>
      </c>
      <c r="L4303" t="str">
        <f>VLOOKUP(VALUE(LEFT(C4303,5)),Xref!A:B,2,0)</f>
        <v>KLP</v>
      </c>
      <c r="M4303" t="str">
        <f t="shared" si="271"/>
        <v>KLP-VEN</v>
      </c>
    </row>
    <row r="4304" spans="1:13" ht="14.25" customHeight="true">
      <c r="A4304" s="33" t="str">
        <f t="shared" si="268"/>
        <v>VEN - Intercompany</v>
      </c>
      <c r="B4304" s="33" t="str">
        <f t="shared" si="269"/>
        <v>VEN</v>
      </c>
      <c r="C4304" s="33" t="str">
        <f t="shared" si="270"/>
        <v>11353-0000</v>
      </c>
      <c r="D4304" t="s">
        <v>29078</v>
      </c>
      <c r="E4304" t="s">
        <v>13537</v>
      </c>
      <c r="F4304" t="s">
        <v>14039</v>
      </c>
      <c r="G4304" t="s">
        <v>14672</v>
      </c>
      <c r="H4304" t="s">
        <v>13869</v>
      </c>
      <c r="I4304" t="s">
        <v>14690</v>
      </c>
      <c r="J4304" s="62">
        <v>0</v>
      </c>
      <c r="K4304" s="62">
        <v>0</v>
      </c>
      <c r="L4304" t="str">
        <f>VLOOKUP(VALUE(LEFT(C4304,5)),Xref!A:B,2,0)</f>
        <v>AKC</v>
      </c>
      <c r="M4304" t="str">
        <f t="shared" si="271"/>
        <v>AKC-VEN</v>
      </c>
    </row>
    <row r="4305" spans="1:13" ht="14.25" customHeight="true">
      <c r="A4305" s="33" t="str">
        <f t="shared" si="268"/>
        <v>VEN - Intercompany</v>
      </c>
      <c r="B4305" s="33" t="str">
        <f t="shared" si="269"/>
        <v>VEN</v>
      </c>
      <c r="C4305" s="33" t="str">
        <f t="shared" si="270"/>
        <v>11354-0000</v>
      </c>
      <c r="D4305" t="s">
        <v>29079</v>
      </c>
      <c r="E4305" t="s">
        <v>13538</v>
      </c>
      <c r="F4305" t="s">
        <v>14039</v>
      </c>
      <c r="G4305" t="s">
        <v>14672</v>
      </c>
      <c r="H4305" t="s">
        <v>13869</v>
      </c>
      <c r="I4305" t="s">
        <v>14690</v>
      </c>
      <c r="J4305" s="62">
        <v>0</v>
      </c>
      <c r="K4305" s="62">
        <v>0</v>
      </c>
      <c r="L4305" t="str">
        <f>VLOOKUP(VALUE(LEFT(C4305,5)),Xref!A:B,2,0)</f>
        <v>AKA</v>
      </c>
      <c r="M4305" t="str">
        <f t="shared" si="271"/>
        <v>AKA-VEN</v>
      </c>
    </row>
    <row r="4306" spans="1:13" ht="14.25" customHeight="true">
      <c r="A4306" s="33" t="str">
        <f t="shared" si="268"/>
        <v>VEN - Intercompany</v>
      </c>
      <c r="B4306" s="33" t="str">
        <f t="shared" si="269"/>
        <v>VEN</v>
      </c>
      <c r="C4306" s="33" t="str">
        <f t="shared" si="270"/>
        <v>11355-0000</v>
      </c>
      <c r="D4306" t="s">
        <v>29080</v>
      </c>
      <c r="E4306" t="s">
        <v>13539</v>
      </c>
      <c r="F4306" t="s">
        <v>14039</v>
      </c>
      <c r="G4306" t="s">
        <v>14672</v>
      </c>
      <c r="H4306" t="s">
        <v>13869</v>
      </c>
      <c r="I4306" t="s">
        <v>14690</v>
      </c>
      <c r="J4306" s="62">
        <v>0</v>
      </c>
      <c r="K4306" s="62">
        <v>0</v>
      </c>
      <c r="L4306" t="str">
        <f>VLOOKUP(VALUE(LEFT(C4306,5)),Xref!A:B,2,0)</f>
        <v>SPA</v>
      </c>
      <c r="M4306" t="str">
        <f t="shared" si="271"/>
        <v>SPA-VEN</v>
      </c>
    </row>
    <row r="4307" spans="1:13" ht="14.25" customHeight="true">
      <c r="A4307" s="33" t="str">
        <f t="shared" si="268"/>
        <v>VEN - Intercompany</v>
      </c>
      <c r="B4307" s="33" t="str">
        <f t="shared" si="269"/>
        <v>VEN</v>
      </c>
      <c r="C4307" s="33" t="str">
        <f t="shared" si="270"/>
        <v>11356-0000</v>
      </c>
      <c r="D4307" t="s">
        <v>29081</v>
      </c>
      <c r="E4307" t="s">
        <v>13540</v>
      </c>
      <c r="F4307" t="s">
        <v>14039</v>
      </c>
      <c r="G4307" t="s">
        <v>14672</v>
      </c>
      <c r="H4307" t="s">
        <v>13869</v>
      </c>
      <c r="I4307" t="s">
        <v>14690</v>
      </c>
      <c r="J4307" s="62">
        <v>0</v>
      </c>
      <c r="K4307" s="62">
        <v>0</v>
      </c>
      <c r="L4307" t="str">
        <f>VLOOKUP(VALUE(LEFT(C4307,5)),Xref!A:B,2,0)</f>
        <v>DPM</v>
      </c>
      <c r="M4307" t="str">
        <f t="shared" si="271"/>
        <v>DPM-VEN</v>
      </c>
    </row>
    <row r="4308" spans="1:13" ht="14.25" customHeight="true">
      <c r="A4308" s="33" t="str">
        <f t="shared" si="268"/>
        <v>VEN - Intercompany</v>
      </c>
      <c r="B4308" s="33" t="str">
        <f t="shared" si="269"/>
        <v>VEN</v>
      </c>
      <c r="C4308" s="33" t="str">
        <f t="shared" si="270"/>
        <v>11357-0000</v>
      </c>
      <c r="D4308" t="s">
        <v>29082</v>
      </c>
      <c r="E4308" t="s">
        <v>13541</v>
      </c>
      <c r="F4308" t="s">
        <v>14039</v>
      </c>
      <c r="G4308" t="s">
        <v>14672</v>
      </c>
      <c r="H4308" t="s">
        <v>13869</v>
      </c>
      <c r="I4308" t="s">
        <v>14690</v>
      </c>
      <c r="J4308" s="62">
        <v>0</v>
      </c>
      <c r="K4308" s="62">
        <v>0</v>
      </c>
      <c r="L4308" t="str">
        <f>VLOOKUP(VALUE(LEFT(C4308,5)),Xref!A:B,2,0)</f>
        <v>HDM</v>
      </c>
      <c r="M4308" t="str">
        <f t="shared" si="271"/>
        <v>HDM-VEN</v>
      </c>
    </row>
    <row r="4309" spans="1:13" ht="14.25" customHeight="true">
      <c r="A4309" s="33" t="str">
        <f t="shared" si="268"/>
        <v>VEN - Intercompany</v>
      </c>
      <c r="B4309" s="33" t="str">
        <f t="shared" si="269"/>
        <v>VEN</v>
      </c>
      <c r="C4309" s="33" t="str">
        <f t="shared" si="270"/>
        <v>11358-0000</v>
      </c>
      <c r="D4309" t="s">
        <v>29083</v>
      </c>
      <c r="E4309" t="s">
        <v>13542</v>
      </c>
      <c r="F4309" t="s">
        <v>14039</v>
      </c>
      <c r="G4309" t="s">
        <v>14672</v>
      </c>
      <c r="H4309" t="s">
        <v>13869</v>
      </c>
      <c r="I4309" t="s">
        <v>14690</v>
      </c>
      <c r="J4309" s="62">
        <v>0</v>
      </c>
      <c r="K4309" s="62">
        <v>0</v>
      </c>
      <c r="L4309" t="str">
        <f>VLOOKUP(VALUE(LEFT(C4309,5)),Xref!A:B,2,0)</f>
        <v>GRA</v>
      </c>
      <c r="M4309" t="str">
        <f t="shared" si="271"/>
        <v>GRA-VEN</v>
      </c>
    </row>
    <row r="4310" spans="1:13" ht="14.25" customHeight="true">
      <c r="A4310" s="33" t="str">
        <f t="shared" si="268"/>
        <v>VEN - Intercompany</v>
      </c>
      <c r="B4310" s="33" t="str">
        <f t="shared" si="269"/>
        <v>VEN</v>
      </c>
      <c r="C4310" s="33" t="str">
        <f t="shared" si="270"/>
        <v>11359-0000</v>
      </c>
      <c r="D4310" t="s">
        <v>29084</v>
      </c>
      <c r="E4310" t="s">
        <v>13543</v>
      </c>
      <c r="F4310" t="s">
        <v>14039</v>
      </c>
      <c r="G4310" t="s">
        <v>14672</v>
      </c>
      <c r="H4310" t="s">
        <v>13869</v>
      </c>
      <c r="I4310" t="s">
        <v>14690</v>
      </c>
      <c r="J4310" s="62">
        <v>0</v>
      </c>
      <c r="K4310" s="62">
        <v>0</v>
      </c>
      <c r="L4310" t="str">
        <f>VLOOKUP(VALUE(LEFT(C4310,5)),Xref!A:B,2,0)</f>
        <v>TPI</v>
      </c>
      <c r="M4310" t="str">
        <f t="shared" si="271"/>
        <v>TPI-VEN</v>
      </c>
    </row>
    <row r="4311" spans="1:13" ht="14.25" customHeight="true">
      <c r="A4311" s="33" t="str">
        <f t="shared" si="268"/>
        <v>VEN - Intercompany</v>
      </c>
      <c r="B4311" s="33" t="str">
        <f t="shared" si="269"/>
        <v>VEN</v>
      </c>
      <c r="C4311" s="33" t="str">
        <f t="shared" si="270"/>
        <v>11361-0000</v>
      </c>
      <c r="D4311" t="s">
        <v>29085</v>
      </c>
      <c r="E4311" t="s">
        <v>14165</v>
      </c>
      <c r="F4311" t="s">
        <v>14039</v>
      </c>
      <c r="G4311" t="s">
        <v>14672</v>
      </c>
      <c r="H4311" t="s">
        <v>13869</v>
      </c>
      <c r="I4311" t="s">
        <v>14690</v>
      </c>
      <c r="J4311" s="62">
        <v>0</v>
      </c>
      <c r="K4311" s="62">
        <v>0</v>
      </c>
      <c r="L4311" t="str">
        <f>VLOOKUP(VALUE(LEFT(C4311,5)),Xref!A:B,2,0)</f>
        <v>GSM</v>
      </c>
      <c r="M4311" t="str">
        <f t="shared" si="271"/>
        <v>GSM-VEN</v>
      </c>
    </row>
    <row r="4312" spans="1:13" ht="14.25" customHeight="true">
      <c r="A4312" s="33" t="str">
        <f t="shared" si="268"/>
        <v>VEN - Intercompany</v>
      </c>
      <c r="B4312" s="33" t="str">
        <f t="shared" si="269"/>
        <v>VEN</v>
      </c>
      <c r="C4312" s="33" t="str">
        <f t="shared" si="270"/>
        <v>11363-0000</v>
      </c>
      <c r="D4312" t="s">
        <v>29086</v>
      </c>
      <c r="E4312" t="s">
        <v>13544</v>
      </c>
      <c r="F4312" t="s">
        <v>14039</v>
      </c>
      <c r="G4312" t="s">
        <v>14672</v>
      </c>
      <c r="H4312" t="s">
        <v>13869</v>
      </c>
      <c r="I4312" t="s">
        <v>14690</v>
      </c>
      <c r="J4312" s="62">
        <v>0</v>
      </c>
      <c r="K4312" s="62">
        <v>0</v>
      </c>
      <c r="L4312" t="str">
        <f>VLOOKUP(VALUE(LEFT(C4312,5)),Xref!A:B,2,0)</f>
        <v>SOF</v>
      </c>
      <c r="M4312" t="str">
        <f t="shared" si="271"/>
        <v>SOF-VEN</v>
      </c>
    </row>
    <row r="4313" spans="1:13" ht="14.25" customHeight="true">
      <c r="A4313" s="33" t="str">
        <f t="shared" si="268"/>
        <v>VEN - Intercompany</v>
      </c>
      <c r="B4313" s="33" t="str">
        <f t="shared" si="269"/>
        <v>VEN</v>
      </c>
      <c r="C4313" s="33" t="str">
        <f t="shared" si="270"/>
        <v>11364-0000</v>
      </c>
      <c r="D4313" t="s">
        <v>29087</v>
      </c>
      <c r="E4313" t="s">
        <v>14168</v>
      </c>
      <c r="F4313" t="s">
        <v>14039</v>
      </c>
      <c r="G4313" t="s">
        <v>14672</v>
      </c>
      <c r="H4313" t="s">
        <v>13869</v>
      </c>
      <c r="I4313" t="s">
        <v>14690</v>
      </c>
      <c r="J4313" s="62">
        <v>0</v>
      </c>
      <c r="K4313" s="62">
        <v>0</v>
      </c>
      <c r="L4313" t="e">
        <f>VLOOKUP(VALUE(LEFT(C4313,5)),Xref!A:B,2,0)</f>
        <v>#N/A</v>
      </c>
      <c r="M4313" t="e">
        <f t="shared" si="271"/>
        <v>#N/A</v>
      </c>
    </row>
    <row r="4314" spans="1:13" ht="14.25" customHeight="true">
      <c r="A4314" s="33" t="str">
        <f t="shared" si="268"/>
        <v>VEN - Intercompany</v>
      </c>
      <c r="B4314" s="33" t="str">
        <f t="shared" si="269"/>
        <v>VEN</v>
      </c>
      <c r="C4314" s="33" t="str">
        <f t="shared" si="270"/>
        <v>11365-0000</v>
      </c>
      <c r="D4314" t="s">
        <v>29088</v>
      </c>
      <c r="E4314" t="s">
        <v>14170</v>
      </c>
      <c r="F4314" t="s">
        <v>14039</v>
      </c>
      <c r="G4314" t="s">
        <v>14672</v>
      </c>
      <c r="H4314" t="s">
        <v>13869</v>
      </c>
      <c r="I4314" t="s">
        <v>14690</v>
      </c>
      <c r="J4314" s="62">
        <v>0</v>
      </c>
      <c r="K4314" s="62">
        <v>0</v>
      </c>
      <c r="L4314" t="e">
        <f>VLOOKUP(VALUE(LEFT(C4314,5)),Xref!A:B,2,0)</f>
        <v>#N/A</v>
      </c>
      <c r="M4314" t="e">
        <f t="shared" si="271"/>
        <v>#N/A</v>
      </c>
    </row>
    <row r="4315" spans="1:13" ht="14.25" customHeight="true">
      <c r="A4315" s="33" t="str">
        <f t="shared" si="268"/>
        <v>VEN - Intercompany</v>
      </c>
      <c r="B4315" s="33" t="str">
        <f t="shared" si="269"/>
        <v>VEN</v>
      </c>
      <c r="C4315" s="33" t="str">
        <f t="shared" si="270"/>
        <v>11366-0000</v>
      </c>
      <c r="D4315" t="s">
        <v>29089</v>
      </c>
      <c r="E4315" t="s">
        <v>14172</v>
      </c>
      <c r="G4315" t="s">
        <v>14672</v>
      </c>
      <c r="H4315" t="s">
        <v>13869</v>
      </c>
      <c r="I4315" t="s">
        <v>14690</v>
      </c>
      <c r="J4315" s="62">
        <v>0</v>
      </c>
      <c r="K4315" s="62">
        <v>0</v>
      </c>
      <c r="L4315" t="e">
        <f>VLOOKUP(VALUE(LEFT(C4315,5)),Xref!A:B,2,0)</f>
        <v>#N/A</v>
      </c>
      <c r="M4315" t="e">
        <f t="shared" si="271"/>
        <v>#N/A</v>
      </c>
    </row>
    <row r="4316" spans="1:13" ht="14.25" customHeight="true">
      <c r="A4316" s="33" t="str">
        <f t="shared" si="268"/>
        <v>VEN - Intercompany</v>
      </c>
      <c r="B4316" s="33" t="str">
        <f t="shared" si="269"/>
        <v>VEN</v>
      </c>
      <c r="C4316" s="33" t="str">
        <f t="shared" si="270"/>
        <v>11402-0000</v>
      </c>
      <c r="D4316" t="s">
        <v>29090</v>
      </c>
      <c r="E4316" t="s">
        <v>14174</v>
      </c>
      <c r="G4316" t="s">
        <v>14672</v>
      </c>
      <c r="H4316" t="s">
        <v>13869</v>
      </c>
      <c r="I4316" t="s">
        <v>14690</v>
      </c>
      <c r="J4316" s="62">
        <v>0</v>
      </c>
      <c r="K4316" s="62">
        <v>0</v>
      </c>
      <c r="L4316" t="str">
        <f>VLOOKUP(VALUE(LEFT(C4316,5)),Xref!A:B,2,0)</f>
        <v>DPI</v>
      </c>
      <c r="M4316" t="str">
        <f t="shared" si="271"/>
        <v>DPI-VEN</v>
      </c>
    </row>
    <row r="4317" spans="1:13" ht="14.25" customHeight="true">
      <c r="A4317" s="33" t="str">
        <f t="shared" si="268"/>
        <v>VEN - Intercompany</v>
      </c>
      <c r="B4317" s="33" t="str">
        <f t="shared" si="269"/>
        <v>VEN</v>
      </c>
      <c r="C4317" s="33" t="str">
        <f t="shared" si="270"/>
        <v>11403-0000</v>
      </c>
      <c r="D4317" t="s">
        <v>29091</v>
      </c>
      <c r="E4317" t="s">
        <v>14176</v>
      </c>
      <c r="G4317" t="s">
        <v>14672</v>
      </c>
      <c r="H4317" t="s">
        <v>13869</v>
      </c>
      <c r="I4317" t="s">
        <v>14690</v>
      </c>
      <c r="J4317" s="62">
        <v>0</v>
      </c>
      <c r="K4317" s="62">
        <v>0</v>
      </c>
      <c r="L4317" t="str">
        <f>VLOOKUP(VALUE(LEFT(C4317,5)),Xref!A:B,2,0)</f>
        <v>SEA</v>
      </c>
      <c r="M4317" t="str">
        <f t="shared" si="271"/>
        <v>SEA-VEN</v>
      </c>
    </row>
    <row r="4318" spans="1:13" ht="14.25" customHeight="true">
      <c r="A4318" s="33" t="str">
        <f t="shared" si="268"/>
        <v>VEN - Intercompany</v>
      </c>
      <c r="B4318" s="33" t="str">
        <f t="shared" si="269"/>
        <v>VEN</v>
      </c>
      <c r="C4318" s="33" t="str">
        <f t="shared" si="270"/>
        <v>12400-0000</v>
      </c>
      <c r="D4318" t="s">
        <v>29094</v>
      </c>
      <c r="E4318" t="s">
        <v>14185</v>
      </c>
      <c r="F4318" t="s">
        <v>14039</v>
      </c>
      <c r="G4318" t="s">
        <v>14672</v>
      </c>
      <c r="H4318" t="s">
        <v>13869</v>
      </c>
      <c r="I4318" t="s">
        <v>14690</v>
      </c>
      <c r="J4318" s="62">
        <v>0</v>
      </c>
      <c r="K4318" s="62">
        <v>0</v>
      </c>
      <c r="L4318" t="str">
        <f>VLOOKUP(VALUE(LEFT(C4318,5)),Xref!A:B,2,0)</f>
        <v>aka</v>
      </c>
      <c r="M4318" t="str">
        <f t="shared" si="271"/>
        <v>aka-VEN</v>
      </c>
    </row>
    <row r="4319" spans="1:13" ht="14.25" customHeight="true">
      <c r="A4319" s="33" t="str">
        <f t="shared" si="268"/>
        <v>VEN - Intercompany</v>
      </c>
      <c r="B4319" s="33" t="str">
        <f t="shared" si="269"/>
        <v>VEN</v>
      </c>
      <c r="C4319" s="33" t="str">
        <f t="shared" si="270"/>
        <v>12401-0000</v>
      </c>
      <c r="D4319" t="s">
        <v>29095</v>
      </c>
      <c r="E4319" t="s">
        <v>14187</v>
      </c>
      <c r="F4319" t="s">
        <v>14039</v>
      </c>
      <c r="G4319" t="s">
        <v>14672</v>
      </c>
      <c r="H4319" t="s">
        <v>13869</v>
      </c>
      <c r="I4319" t="s">
        <v>14690</v>
      </c>
      <c r="J4319" s="62">
        <v>0</v>
      </c>
      <c r="K4319" s="62">
        <v>0</v>
      </c>
      <c r="L4319" t="str">
        <f>VLOOKUP(VALUE(LEFT(C4319,5)),Xref!A:B,2,0)</f>
        <v>aka</v>
      </c>
      <c r="M4319" t="str">
        <f t="shared" si="271"/>
        <v>aka-VEN</v>
      </c>
    </row>
    <row r="4320" spans="1:13" ht="14.25" customHeight="true">
      <c r="A4320" s="33" t="str">
        <f t="shared" si="268"/>
        <v>VEN - Intercompany</v>
      </c>
      <c r="B4320" s="33" t="str">
        <f t="shared" si="269"/>
        <v>VEN</v>
      </c>
      <c r="C4320" s="33" t="str">
        <f t="shared" si="270"/>
        <v>12402-0000</v>
      </c>
      <c r="D4320" t="s">
        <v>29096</v>
      </c>
      <c r="E4320" t="s">
        <v>14189</v>
      </c>
      <c r="F4320" t="s">
        <v>14039</v>
      </c>
      <c r="G4320" t="s">
        <v>14672</v>
      </c>
      <c r="H4320" t="s">
        <v>13869</v>
      </c>
      <c r="I4320" t="s">
        <v>14690</v>
      </c>
      <c r="J4320" s="62">
        <v>0</v>
      </c>
      <c r="K4320" s="62">
        <v>0</v>
      </c>
      <c r="L4320" t="str">
        <f>VLOOKUP(VALUE(LEFT(C4320,5)),Xref!A:B,2,0)</f>
        <v>aka</v>
      </c>
      <c r="M4320" t="str">
        <f t="shared" si="271"/>
        <v>aka-VEN</v>
      </c>
    </row>
    <row r="4321" spans="1:13" ht="14.25" customHeight="true">
      <c r="A4321" s="33" t="str">
        <f t="shared" si="268"/>
        <v>VEN - Intercompany</v>
      </c>
      <c r="B4321" s="33" t="str">
        <f t="shared" si="269"/>
        <v>VEN</v>
      </c>
      <c r="C4321" s="33" t="str">
        <f t="shared" si="270"/>
        <v>12403-0000</v>
      </c>
      <c r="D4321" t="s">
        <v>29097</v>
      </c>
      <c r="E4321" t="s">
        <v>5226</v>
      </c>
      <c r="F4321" t="s">
        <v>14039</v>
      </c>
      <c r="G4321" t="s">
        <v>14672</v>
      </c>
      <c r="H4321" t="s">
        <v>13869</v>
      </c>
      <c r="I4321" t="s">
        <v>14690</v>
      </c>
      <c r="J4321" s="62">
        <v>0</v>
      </c>
      <c r="K4321" s="62">
        <v>0</v>
      </c>
      <c r="L4321" t="str">
        <f>VLOOKUP(VALUE(LEFT(C4321,5)),Xref!A:B,2,0)</f>
        <v>aka</v>
      </c>
      <c r="M4321" t="str">
        <f t="shared" si="271"/>
        <v>aka-VEN</v>
      </c>
    </row>
    <row r="4322" spans="1:13" ht="14.25" customHeight="true">
      <c r="A4322" s="33" t="str">
        <f t="shared" si="268"/>
        <v>VEN - Intercompany</v>
      </c>
      <c r="B4322" s="33" t="str">
        <f t="shared" si="269"/>
        <v>VEN</v>
      </c>
      <c r="C4322" s="33" t="str">
        <f t="shared" si="270"/>
        <v>12501-0000</v>
      </c>
      <c r="D4322" t="s">
        <v>29098</v>
      </c>
      <c r="E4322" t="s">
        <v>14192</v>
      </c>
      <c r="F4322" t="s">
        <v>14039</v>
      </c>
      <c r="G4322" t="s">
        <v>14672</v>
      </c>
      <c r="H4322" t="s">
        <v>13869</v>
      </c>
      <c r="I4322" t="s">
        <v>14690</v>
      </c>
      <c r="J4322" s="62">
        <v>0</v>
      </c>
      <c r="K4322" s="62">
        <v>0</v>
      </c>
      <c r="L4322" t="str">
        <f>VLOOKUP(VALUE(LEFT(C4322,5)),Xref!A:B,2,0)</f>
        <v>aka</v>
      </c>
      <c r="M4322" t="str">
        <f t="shared" si="271"/>
        <v>aka-VEN</v>
      </c>
    </row>
    <row r="4323" spans="1:13" ht="14.25" customHeight="true">
      <c r="A4323" s="33" t="str">
        <f t="shared" si="268"/>
        <v>VEN - InterCo Notes</v>
      </c>
      <c r="B4323" s="33" t="str">
        <f t="shared" si="269"/>
        <v>VEN</v>
      </c>
      <c r="C4323" s="33" t="str">
        <f t="shared" si="270"/>
        <v>25600-0000</v>
      </c>
      <c r="D4323" t="s">
        <v>29146</v>
      </c>
      <c r="E4323" t="s">
        <v>314</v>
      </c>
      <c r="F4323" t="s">
        <v>14039</v>
      </c>
      <c r="G4323" t="s">
        <v>14672</v>
      </c>
      <c r="H4323" t="s">
        <v>13889</v>
      </c>
      <c r="I4323" t="s">
        <v>14690</v>
      </c>
      <c r="J4323" s="62">
        <v>0</v>
      </c>
      <c r="K4323" s="62">
        <v>-120000</v>
      </c>
      <c r="L4323" t="str">
        <f>VLOOKUP(VALUE(LEFT(C4323,5)),Xref!A:B,2,0)</f>
        <v>D7</v>
      </c>
      <c r="M4323" t="str">
        <f t="shared" si="271"/>
        <v>D7-VEN</v>
      </c>
    </row>
    <row r="4324" spans="1:13" ht="14.25" customHeight="true">
      <c r="A4324" s="33" t="str">
        <f t="shared" si="268"/>
        <v>VEN - InterCo Notes</v>
      </c>
      <c r="B4324" s="33" t="str">
        <f t="shared" si="269"/>
        <v>VEN</v>
      </c>
      <c r="C4324" s="33" t="str">
        <f t="shared" si="270"/>
        <v>25602-0000</v>
      </c>
      <c r="D4324" t="s">
        <v>29148</v>
      </c>
      <c r="E4324" t="s">
        <v>13426</v>
      </c>
      <c r="F4324" t="s">
        <v>14039</v>
      </c>
      <c r="G4324" t="s">
        <v>14672</v>
      </c>
      <c r="H4324" t="s">
        <v>13889</v>
      </c>
      <c r="I4324" t="s">
        <v>14690</v>
      </c>
      <c r="J4324" s="62">
        <v>0</v>
      </c>
      <c r="K4324" s="62">
        <v>-1137000</v>
      </c>
      <c r="L4324" t="str">
        <f>VLOOKUP(VALUE(LEFT(C4324,5)),Xref!A:B,2,0)</f>
        <v>DFLP</v>
      </c>
      <c r="M4324" t="str">
        <f t="shared" si="271"/>
        <v>DFLP-VEN</v>
      </c>
    </row>
    <row r="4325" spans="1:13" ht="14.25" customHeight="true">
      <c r="A4325" s="33" t="str">
        <f t="shared" si="268"/>
        <v>VEN - InterCo Notes</v>
      </c>
      <c r="B4325" s="33" t="str">
        <f t="shared" si="269"/>
        <v>VEN</v>
      </c>
      <c r="C4325" s="33" t="str">
        <f t="shared" si="270"/>
        <v>25603-0000</v>
      </c>
      <c r="D4325" t="s">
        <v>29149</v>
      </c>
      <c r="E4325" t="s">
        <v>14311</v>
      </c>
      <c r="F4325" t="s">
        <v>14039</v>
      </c>
      <c r="G4325" t="s">
        <v>14832</v>
      </c>
      <c r="H4325" t="s">
        <v>13889</v>
      </c>
      <c r="I4325" t="s">
        <v>14690</v>
      </c>
      <c r="J4325" s="62">
        <v>0</v>
      </c>
      <c r="K4325" s="62">
        <v>0</v>
      </c>
      <c r="L4325" t="str">
        <f>VLOOKUP(VALUE(LEFT(C4325,5)),Xref!A:B,2,0)</f>
        <v>aka</v>
      </c>
      <c r="M4325" t="str">
        <f t="shared" si="271"/>
        <v>aka-VEN</v>
      </c>
    </row>
    <row r="4326" spans="1:13" ht="14.25" customHeight="true">
      <c r="A4326" s="33" t="str">
        <f t="shared" si="268"/>
        <v>VEN - Intercompany</v>
      </c>
      <c r="B4326" s="33" t="str">
        <f t="shared" si="269"/>
        <v>VEN</v>
      </c>
      <c r="C4326" s="33" t="str">
        <f t="shared" si="270"/>
        <v>25604-0000</v>
      </c>
      <c r="D4326" t="s">
        <v>29150</v>
      </c>
      <c r="E4326" t="s">
        <v>13490</v>
      </c>
      <c r="F4326" t="s">
        <v>14039</v>
      </c>
      <c r="G4326" t="s">
        <v>14672</v>
      </c>
      <c r="H4326" t="s">
        <v>13869</v>
      </c>
      <c r="I4326" t="s">
        <v>14690</v>
      </c>
      <c r="J4326" s="62">
        <v>0</v>
      </c>
      <c r="K4326" s="62">
        <v>0</v>
      </c>
      <c r="L4326">
        <f>VLOOKUP(VALUE(LEFT(C4326,5)),Xref!A:B,2,0)</f>
        <v>0</v>
      </c>
      <c r="M4326" t="str">
        <f t="shared" si="271"/>
        <v>0-VEN</v>
      </c>
    </row>
    <row r="4327" spans="1:13" ht="14.25" customHeight="true">
      <c r="A4327" s="33" t="str">
        <f t="shared" si="268"/>
        <v>WEP - Intercompany</v>
      </c>
      <c r="B4327" s="33" t="str">
        <f t="shared" si="269"/>
        <v>WEP</v>
      </c>
      <c r="C4327" s="33" t="str">
        <f t="shared" si="270"/>
        <v>11200-0000</v>
      </c>
      <c r="D4327" t="s">
        <v>29328</v>
      </c>
      <c r="E4327" t="s">
        <v>14069</v>
      </c>
      <c r="F4327" t="s">
        <v>14039</v>
      </c>
      <c r="G4327" t="s">
        <v>14672</v>
      </c>
      <c r="H4327" t="s">
        <v>13869</v>
      </c>
      <c r="I4327" t="s">
        <v>14690</v>
      </c>
      <c r="J4327" s="62">
        <v>0</v>
      </c>
      <c r="K4327" s="62">
        <v>0</v>
      </c>
      <c r="L4327" t="str">
        <f>VLOOKUP(VALUE(LEFT(C4327,5)),Xref!A:B,2,0)</f>
        <v>SCL</v>
      </c>
      <c r="M4327" t="str">
        <f t="shared" si="271"/>
        <v>SCL-WEP</v>
      </c>
    </row>
    <row r="4328" spans="1:13" ht="14.25" customHeight="true">
      <c r="A4328" s="33" t="str">
        <f t="shared" si="268"/>
        <v>WEP - Intercompany</v>
      </c>
      <c r="B4328" s="33" t="str">
        <f t="shared" si="269"/>
        <v>WEP</v>
      </c>
      <c r="C4328" s="33" t="str">
        <f t="shared" si="270"/>
        <v>11201-0000</v>
      </c>
      <c r="D4328" t="s">
        <v>29329</v>
      </c>
      <c r="E4328" t="s">
        <v>14071</v>
      </c>
      <c r="F4328" t="s">
        <v>14039</v>
      </c>
      <c r="G4328" t="s">
        <v>14672</v>
      </c>
      <c r="H4328" t="s">
        <v>13869</v>
      </c>
      <c r="I4328" t="s">
        <v>14690</v>
      </c>
      <c r="J4328" s="62">
        <v>0</v>
      </c>
      <c r="K4328" s="62">
        <v>0</v>
      </c>
      <c r="L4328" t="str">
        <f>VLOOKUP(VALUE(LEFT(C4328,5)),Xref!A:B,2,0)</f>
        <v>SG2</v>
      </c>
      <c r="M4328" t="str">
        <f t="shared" si="271"/>
        <v>SG2-WEP</v>
      </c>
    </row>
    <row r="4329" spans="1:13" ht="14.25" customHeight="true">
      <c r="A4329" s="33" t="str">
        <f t="shared" si="268"/>
        <v>WEP - Intercompany</v>
      </c>
      <c r="B4329" s="33" t="str">
        <f t="shared" si="269"/>
        <v>WEP</v>
      </c>
      <c r="C4329" s="33" t="str">
        <f t="shared" si="270"/>
        <v>11202-0000</v>
      </c>
      <c r="D4329" t="s">
        <v>29330</v>
      </c>
      <c r="E4329" t="s">
        <v>14073</v>
      </c>
      <c r="F4329" t="s">
        <v>14039</v>
      </c>
      <c r="G4329" t="s">
        <v>14672</v>
      </c>
      <c r="H4329" t="s">
        <v>13869</v>
      </c>
      <c r="I4329" t="s">
        <v>14690</v>
      </c>
      <c r="J4329" s="62">
        <v>0</v>
      </c>
      <c r="K4329" s="62">
        <v>0</v>
      </c>
      <c r="L4329" t="str">
        <f>VLOOKUP(VALUE(LEFT(C4329,5)),Xref!A:B,2,0)</f>
        <v>FFC</v>
      </c>
      <c r="M4329" t="str">
        <f t="shared" si="271"/>
        <v>FFC-WEP</v>
      </c>
    </row>
    <row r="4330" spans="1:13" ht="14.25" customHeight="true">
      <c r="A4330" s="33" t="str">
        <f t="shared" si="268"/>
        <v>WEP - Intercompany</v>
      </c>
      <c r="B4330" s="33" t="str">
        <f t="shared" si="269"/>
        <v>WEP</v>
      </c>
      <c r="C4330" s="33" t="str">
        <f t="shared" si="270"/>
        <v>11203-0000</v>
      </c>
      <c r="D4330" t="s">
        <v>29331</v>
      </c>
      <c r="E4330" t="s">
        <v>14075</v>
      </c>
      <c r="F4330" t="s">
        <v>14039</v>
      </c>
      <c r="G4330" t="s">
        <v>14672</v>
      </c>
      <c r="H4330" t="s">
        <v>13869</v>
      </c>
      <c r="I4330" t="s">
        <v>14690</v>
      </c>
      <c r="J4330" s="62">
        <v>0</v>
      </c>
      <c r="K4330" s="62">
        <v>0</v>
      </c>
      <c r="L4330" t="str">
        <f>VLOOKUP(VALUE(LEFT(C4330,5)),Xref!A:B,2,0)</f>
        <v>HN2</v>
      </c>
      <c r="M4330" t="str">
        <f t="shared" si="271"/>
        <v>HN2-WEP</v>
      </c>
    </row>
    <row r="4331" spans="1:13" ht="14.25" customHeight="true">
      <c r="A4331" s="33" t="str">
        <f t="shared" si="268"/>
        <v>WEP - Intercompany</v>
      </c>
      <c r="B4331" s="33" t="str">
        <f t="shared" si="269"/>
        <v>WEP</v>
      </c>
      <c r="C4331" s="33" t="str">
        <f t="shared" si="270"/>
        <v>11204-0000</v>
      </c>
      <c r="D4331" t="s">
        <v>29332</v>
      </c>
      <c r="E4331" t="s">
        <v>14077</v>
      </c>
      <c r="F4331" t="s">
        <v>14039</v>
      </c>
      <c r="G4331" t="s">
        <v>14672</v>
      </c>
      <c r="H4331" t="s">
        <v>13869</v>
      </c>
      <c r="I4331" t="s">
        <v>14690</v>
      </c>
      <c r="J4331" s="62">
        <v>0</v>
      </c>
      <c r="K4331" s="62">
        <v>0</v>
      </c>
      <c r="L4331" t="str">
        <f>VLOOKUP(VALUE(LEFT(C4331,5)),Xref!A:B,2,0)</f>
        <v>DF2</v>
      </c>
      <c r="M4331" t="str">
        <f t="shared" si="271"/>
        <v>DF2-WEP</v>
      </c>
    </row>
    <row r="4332" spans="1:13" ht="14.25" customHeight="true">
      <c r="A4332" s="33" t="str">
        <f t="shared" si="268"/>
        <v>WEP - Intercompany</v>
      </c>
      <c r="B4332" s="33" t="str">
        <f t="shared" si="269"/>
        <v>WEP</v>
      </c>
      <c r="C4332" s="33" t="str">
        <f t="shared" si="270"/>
        <v>11208-0000</v>
      </c>
      <c r="D4332" t="s">
        <v>29333</v>
      </c>
      <c r="E4332" t="s">
        <v>14079</v>
      </c>
      <c r="F4332" t="s">
        <v>14039</v>
      </c>
      <c r="G4332" t="s">
        <v>14672</v>
      </c>
      <c r="H4332" t="s">
        <v>13869</v>
      </c>
      <c r="I4332" t="s">
        <v>14690</v>
      </c>
      <c r="J4332" s="62">
        <v>0</v>
      </c>
      <c r="K4332" s="62">
        <v>0</v>
      </c>
      <c r="L4332" t="str">
        <f>VLOOKUP(VALUE(LEFT(C4332,5)),Xref!A:B,2,0)</f>
        <v>SRE</v>
      </c>
      <c r="M4332" t="str">
        <f t="shared" si="271"/>
        <v>SRE-WEP</v>
      </c>
    </row>
    <row r="4333" spans="1:13" ht="14.25" customHeight="true">
      <c r="A4333" s="33" t="str">
        <f t="shared" si="268"/>
        <v>WEP - Intercompany</v>
      </c>
      <c r="B4333" s="33" t="str">
        <f t="shared" si="269"/>
        <v>WEP</v>
      </c>
      <c r="C4333" s="33" t="str">
        <f t="shared" si="270"/>
        <v>11210-0000</v>
      </c>
      <c r="D4333" t="s">
        <v>29334</v>
      </c>
      <c r="E4333" t="s">
        <v>14081</v>
      </c>
      <c r="F4333" t="s">
        <v>14039</v>
      </c>
      <c r="G4333" t="s">
        <v>14672</v>
      </c>
      <c r="H4333" t="s">
        <v>13869</v>
      </c>
      <c r="I4333" t="s">
        <v>14690</v>
      </c>
      <c r="J4333" s="62">
        <v>0</v>
      </c>
      <c r="K4333" s="62">
        <v>0</v>
      </c>
      <c r="L4333" t="str">
        <f>VLOOKUP(VALUE(LEFT(C4333,5)),Xref!A:B,2,0)</f>
        <v>REM</v>
      </c>
      <c r="M4333" t="str">
        <f t="shared" si="271"/>
        <v>REM-WEP</v>
      </c>
    </row>
    <row r="4334" spans="1:13" ht="14.25" customHeight="true">
      <c r="A4334" s="33" t="str">
        <f t="shared" si="268"/>
        <v>WEP - Intercompany</v>
      </c>
      <c r="B4334" s="33" t="str">
        <f t="shared" si="269"/>
        <v>WEP</v>
      </c>
      <c r="C4334" s="33" t="str">
        <f t="shared" si="270"/>
        <v>11212-0000</v>
      </c>
      <c r="D4334" t="s">
        <v>29335</v>
      </c>
      <c r="E4334" t="s">
        <v>14083</v>
      </c>
      <c r="F4334" t="s">
        <v>14039</v>
      </c>
      <c r="G4334" t="s">
        <v>14672</v>
      </c>
      <c r="H4334" t="s">
        <v>13869</v>
      </c>
      <c r="I4334" t="s">
        <v>14690</v>
      </c>
      <c r="J4334" s="62">
        <v>0</v>
      </c>
      <c r="K4334" s="62">
        <v>0</v>
      </c>
      <c r="L4334" t="str">
        <f>VLOOKUP(VALUE(LEFT(C4334,5)),Xref!A:B,2,0)</f>
        <v>FRM</v>
      </c>
      <c r="M4334" t="str">
        <f t="shared" si="271"/>
        <v>FRM-WEP</v>
      </c>
    </row>
    <row r="4335" spans="1:13" ht="14.25" customHeight="true">
      <c r="A4335" s="33" t="str">
        <f t="shared" si="268"/>
        <v>WEP - Intercompany</v>
      </c>
      <c r="B4335" s="33" t="str">
        <f t="shared" si="269"/>
        <v>WEP</v>
      </c>
      <c r="C4335" s="33" t="str">
        <f t="shared" si="270"/>
        <v>11214-0000</v>
      </c>
      <c r="D4335" t="s">
        <v>29336</v>
      </c>
      <c r="E4335" t="s">
        <v>14085</v>
      </c>
      <c r="F4335" t="s">
        <v>14039</v>
      </c>
      <c r="G4335" t="s">
        <v>14672</v>
      </c>
      <c r="H4335" t="s">
        <v>13869</v>
      </c>
      <c r="I4335" t="s">
        <v>14690</v>
      </c>
      <c r="J4335" s="62">
        <v>0</v>
      </c>
      <c r="K4335" s="62">
        <v>0</v>
      </c>
      <c r="L4335" t="str">
        <f>VLOOKUP(VALUE(LEFT(C4335,5)),Xref!A:B,2,0)</f>
        <v>D7R</v>
      </c>
      <c r="M4335" t="str">
        <f t="shared" si="271"/>
        <v>D7R-WEP</v>
      </c>
    </row>
    <row r="4336" spans="1:13" ht="14.25" customHeight="true">
      <c r="A4336" s="33" t="str">
        <f t="shared" si="268"/>
        <v>WEP - Intercompany</v>
      </c>
      <c r="B4336" s="33" t="str">
        <f t="shared" si="269"/>
        <v>WEP</v>
      </c>
      <c r="C4336" s="33" t="str">
        <f t="shared" si="270"/>
        <v>11215-0000</v>
      </c>
      <c r="D4336" t="s">
        <v>29337</v>
      </c>
      <c r="E4336" t="s">
        <v>14087</v>
      </c>
      <c r="F4336" t="s">
        <v>14039</v>
      </c>
      <c r="G4336" t="s">
        <v>14672</v>
      </c>
      <c r="H4336" t="s">
        <v>13869</v>
      </c>
      <c r="I4336" t="s">
        <v>14690</v>
      </c>
      <c r="J4336" s="62">
        <v>0</v>
      </c>
      <c r="K4336" s="62">
        <v>0</v>
      </c>
      <c r="L4336" t="str">
        <f>VLOOKUP(VALUE(LEFT(C4336,5)),Xref!A:B,2,0)</f>
        <v>CDP</v>
      </c>
      <c r="M4336" t="str">
        <f t="shared" si="271"/>
        <v>CDP-WEP</v>
      </c>
    </row>
    <row r="4337" spans="1:13" ht="14.25" customHeight="true">
      <c r="A4337" s="33" t="str">
        <f t="shared" si="268"/>
        <v>WEP - Intercompany</v>
      </c>
      <c r="B4337" s="33" t="str">
        <f t="shared" si="269"/>
        <v>WEP</v>
      </c>
      <c r="C4337" s="33" t="str">
        <f t="shared" si="270"/>
        <v>11216-0000</v>
      </c>
      <c r="D4337" t="s">
        <v>29338</v>
      </c>
      <c r="E4337" t="s">
        <v>13224</v>
      </c>
      <c r="F4337" t="s">
        <v>14039</v>
      </c>
      <c r="G4337" t="s">
        <v>14672</v>
      </c>
      <c r="H4337" t="s">
        <v>13869</v>
      </c>
      <c r="I4337" t="s">
        <v>14690</v>
      </c>
      <c r="J4337" s="62">
        <v>0</v>
      </c>
      <c r="K4337" s="62">
        <v>0</v>
      </c>
      <c r="L4337" t="str">
        <f>VLOOKUP(VALUE(LEFT(C4337,5)),Xref!A:B,2,0)</f>
        <v>SIL</v>
      </c>
      <c r="M4337" t="str">
        <f t="shared" si="271"/>
        <v>SIL-WEP</v>
      </c>
    </row>
    <row r="4338" spans="1:13" ht="14.25" customHeight="true">
      <c r="A4338" s="33" t="str">
        <f t="shared" si="268"/>
        <v>WEP - Intercompany</v>
      </c>
      <c r="B4338" s="33" t="str">
        <f t="shared" si="269"/>
        <v>WEP</v>
      </c>
      <c r="C4338" s="33" t="str">
        <f t="shared" si="270"/>
        <v>11232-0000</v>
      </c>
      <c r="D4338" t="s">
        <v>29339</v>
      </c>
      <c r="E4338" t="s">
        <v>12486</v>
      </c>
      <c r="F4338" t="s">
        <v>14039</v>
      </c>
      <c r="G4338" t="s">
        <v>14672</v>
      </c>
      <c r="H4338" t="s">
        <v>13869</v>
      </c>
      <c r="I4338" t="s">
        <v>14690</v>
      </c>
      <c r="J4338" s="62">
        <v>0</v>
      </c>
      <c r="K4338" s="62">
        <v>0</v>
      </c>
      <c r="L4338" t="str">
        <f>VLOOKUP(VALUE(LEFT(C4338,5)),Xref!A:B,2,0)</f>
        <v>SC2</v>
      </c>
      <c r="M4338" t="str">
        <f t="shared" si="271"/>
        <v>SC2-WEP</v>
      </c>
    </row>
    <row r="4339" spans="1:13" ht="14.25" customHeight="true">
      <c r="A4339" s="33" t="str">
        <f t="shared" si="268"/>
        <v>WEP - Intercompany</v>
      </c>
      <c r="B4339" s="33" t="str">
        <f t="shared" si="269"/>
        <v>WEP</v>
      </c>
      <c r="C4339" s="33" t="str">
        <f t="shared" si="270"/>
        <v>11301-0000</v>
      </c>
      <c r="D4339" t="s">
        <v>29340</v>
      </c>
      <c r="E4339" t="s">
        <v>13225</v>
      </c>
      <c r="F4339" t="s">
        <v>14039</v>
      </c>
      <c r="G4339" t="s">
        <v>14672</v>
      </c>
      <c r="H4339" t="s">
        <v>13869</v>
      </c>
      <c r="I4339" t="s">
        <v>14690</v>
      </c>
      <c r="J4339" s="62">
        <v>0</v>
      </c>
      <c r="K4339" s="62">
        <v>0</v>
      </c>
      <c r="L4339" t="str">
        <f>VLOOKUP(VALUE(LEFT(C4339,5)),Xref!A:B,2,0)</f>
        <v>CRE</v>
      </c>
      <c r="M4339" t="str">
        <f t="shared" si="271"/>
        <v>CRE-WEP</v>
      </c>
    </row>
    <row r="4340" spans="1:13" ht="14.25" customHeight="true">
      <c r="A4340" s="33" t="str">
        <f t="shared" si="268"/>
        <v>WEP - Intercompany</v>
      </c>
      <c r="B4340" s="33" t="str">
        <f t="shared" si="269"/>
        <v>WEP</v>
      </c>
      <c r="C4340" s="33" t="str">
        <f t="shared" si="270"/>
        <v>11302-0000</v>
      </c>
      <c r="D4340" t="s">
        <v>29341</v>
      </c>
      <c r="E4340" t="s">
        <v>13226</v>
      </c>
      <c r="F4340" t="s">
        <v>14039</v>
      </c>
      <c r="G4340" t="s">
        <v>14672</v>
      </c>
      <c r="H4340" t="s">
        <v>13869</v>
      </c>
      <c r="I4340" t="s">
        <v>14690</v>
      </c>
      <c r="J4340" s="62">
        <v>0</v>
      </c>
      <c r="K4340" s="62">
        <v>0</v>
      </c>
      <c r="L4340" t="str">
        <f>VLOOKUP(VALUE(LEFT(C4340,5)),Xref!A:B,2,0)</f>
        <v>CHA</v>
      </c>
      <c r="M4340" t="str">
        <f t="shared" si="271"/>
        <v>CHA-WEP</v>
      </c>
    </row>
    <row r="4341" spans="1:13" ht="14.25" customHeight="true">
      <c r="A4341" s="33" t="str">
        <f t="shared" si="268"/>
        <v>WEP - Intercompany</v>
      </c>
      <c r="B4341" s="33" t="str">
        <f t="shared" si="269"/>
        <v>WEP</v>
      </c>
      <c r="C4341" s="33" t="str">
        <f t="shared" si="270"/>
        <v>11303-0000</v>
      </c>
      <c r="D4341" t="s">
        <v>29342</v>
      </c>
      <c r="E4341" t="s">
        <v>13227</v>
      </c>
      <c r="F4341" t="s">
        <v>14039</v>
      </c>
      <c r="G4341" t="s">
        <v>14672</v>
      </c>
      <c r="H4341" t="s">
        <v>13869</v>
      </c>
      <c r="I4341" t="s">
        <v>14690</v>
      </c>
      <c r="J4341" s="62">
        <v>0</v>
      </c>
      <c r="K4341" s="62">
        <v>0</v>
      </c>
      <c r="L4341" t="str">
        <f>VLOOKUP(VALUE(LEFT(C4341,5)),Xref!A:B,2,0)</f>
        <v>DIA</v>
      </c>
      <c r="M4341" t="str">
        <f t="shared" si="271"/>
        <v>DIA-WEP</v>
      </c>
    </row>
    <row r="4342" spans="1:13" ht="14.25" customHeight="true">
      <c r="A4342" s="33" t="str">
        <f t="shared" si="268"/>
        <v>WEP - Intercompany</v>
      </c>
      <c r="B4342" s="33" t="str">
        <f t="shared" si="269"/>
        <v>WEP</v>
      </c>
      <c r="C4342" s="33" t="str">
        <f t="shared" si="270"/>
        <v>11304-0000</v>
      </c>
      <c r="D4342" t="s">
        <v>29343</v>
      </c>
      <c r="E4342" t="s">
        <v>13228</v>
      </c>
      <c r="F4342" t="s">
        <v>14039</v>
      </c>
      <c r="G4342" t="s">
        <v>14672</v>
      </c>
      <c r="H4342" t="s">
        <v>13869</v>
      </c>
      <c r="I4342" t="s">
        <v>14690</v>
      </c>
      <c r="J4342" s="62">
        <v>0</v>
      </c>
      <c r="K4342" s="62">
        <v>0</v>
      </c>
      <c r="L4342" t="str">
        <f>VLOOKUP(VALUE(LEFT(C4342,5)),Xref!A:B,2,0)</f>
        <v>EAG</v>
      </c>
      <c r="M4342" t="str">
        <f t="shared" si="271"/>
        <v>EAG-WEP</v>
      </c>
    </row>
    <row r="4343" spans="1:13" ht="14.25" customHeight="true">
      <c r="A4343" s="33" t="str">
        <f t="shared" si="268"/>
        <v>WEP - Intercompany</v>
      </c>
      <c r="B4343" s="33" t="str">
        <f t="shared" si="269"/>
        <v>WEP</v>
      </c>
      <c r="C4343" s="33" t="str">
        <f t="shared" si="270"/>
        <v>11305-0000</v>
      </c>
      <c r="D4343" t="s">
        <v>29344</v>
      </c>
      <c r="E4343" t="s">
        <v>13229</v>
      </c>
      <c r="F4343" t="s">
        <v>14039</v>
      </c>
      <c r="G4343" t="s">
        <v>14672</v>
      </c>
      <c r="H4343" t="s">
        <v>13869</v>
      </c>
      <c r="I4343" t="s">
        <v>14690</v>
      </c>
      <c r="J4343" s="62">
        <v>0</v>
      </c>
      <c r="K4343" s="62">
        <v>0</v>
      </c>
      <c r="L4343" t="str">
        <f>VLOOKUP(VALUE(LEFT(C4343,5)),Xref!A:B,2,0)</f>
        <v>NEW</v>
      </c>
      <c r="M4343" t="str">
        <f t="shared" si="271"/>
        <v>NEW-WEP</v>
      </c>
    </row>
    <row r="4344" spans="1:13" ht="14.25" customHeight="true">
      <c r="A4344" s="33" t="str">
        <f t="shared" si="268"/>
        <v>WEP - Intercompany</v>
      </c>
      <c r="B4344" s="33" t="str">
        <f t="shared" si="269"/>
        <v>WEP</v>
      </c>
      <c r="C4344" s="33" t="str">
        <f t="shared" si="270"/>
        <v>11307-0000</v>
      </c>
      <c r="D4344" t="s">
        <v>29345</v>
      </c>
      <c r="E4344" t="s">
        <v>14096</v>
      </c>
      <c r="F4344" t="s">
        <v>14039</v>
      </c>
      <c r="G4344" t="s">
        <v>14672</v>
      </c>
      <c r="H4344" t="s">
        <v>13869</v>
      </c>
      <c r="I4344" t="s">
        <v>14690</v>
      </c>
      <c r="J4344" s="62">
        <v>0</v>
      </c>
      <c r="K4344" s="62">
        <v>0</v>
      </c>
      <c r="L4344" t="str">
        <f>VLOOKUP(VALUE(LEFT(C4344,5)),Xref!A:B,2,0)</f>
        <v>NES</v>
      </c>
      <c r="M4344" t="str">
        <f t="shared" si="271"/>
        <v>NES-WEP</v>
      </c>
    </row>
    <row r="4345" spans="1:13" ht="14.25" customHeight="true">
      <c r="A4345" s="33" t="str">
        <f t="shared" si="268"/>
        <v>WEP - Intercompany</v>
      </c>
      <c r="B4345" s="33" t="str">
        <f t="shared" si="269"/>
        <v>WEP</v>
      </c>
      <c r="C4345" s="33" t="str">
        <f t="shared" si="270"/>
        <v>11308-0000</v>
      </c>
      <c r="D4345" t="s">
        <v>29346</v>
      </c>
      <c r="E4345" t="s">
        <v>13476</v>
      </c>
      <c r="F4345" t="s">
        <v>14039</v>
      </c>
      <c r="G4345" t="s">
        <v>14672</v>
      </c>
      <c r="H4345" t="s">
        <v>13869</v>
      </c>
      <c r="I4345" t="s">
        <v>14690</v>
      </c>
      <c r="J4345" s="62">
        <v>0</v>
      </c>
      <c r="K4345" s="62">
        <v>0</v>
      </c>
      <c r="L4345" t="str">
        <f>VLOOKUP(VALUE(LEFT(C4345,5)),Xref!A:B,2,0)</f>
        <v>LPI</v>
      </c>
      <c r="M4345" t="str">
        <f t="shared" si="271"/>
        <v>LPI-WEP</v>
      </c>
    </row>
    <row r="4346" spans="1:13" ht="14.25" customHeight="true">
      <c r="A4346" s="33" t="str">
        <f t="shared" si="268"/>
        <v>WEP - Intercompany</v>
      </c>
      <c r="B4346" s="33" t="str">
        <f t="shared" si="269"/>
        <v>WEP</v>
      </c>
      <c r="C4346" s="33" t="str">
        <f t="shared" si="270"/>
        <v>11309-0000</v>
      </c>
      <c r="D4346" t="s">
        <v>29347</v>
      </c>
      <c r="E4346" t="s">
        <v>13230</v>
      </c>
      <c r="F4346" t="s">
        <v>14039</v>
      </c>
      <c r="G4346" t="s">
        <v>14672</v>
      </c>
      <c r="H4346" t="s">
        <v>13869</v>
      </c>
      <c r="I4346" t="s">
        <v>14690</v>
      </c>
      <c r="J4346" s="62">
        <v>0</v>
      </c>
      <c r="K4346" s="62">
        <v>0</v>
      </c>
      <c r="L4346" t="str">
        <f>VLOOKUP(VALUE(LEFT(C4346,5)),Xref!A:B,2,0)</f>
        <v>GPI</v>
      </c>
      <c r="M4346" t="str">
        <f t="shared" si="271"/>
        <v>GPI-WEP</v>
      </c>
    </row>
    <row r="4347" spans="1:13" ht="14.25" customHeight="true">
      <c r="A4347" s="33" t="str">
        <f t="shared" si="268"/>
        <v>WEP - Intercompany</v>
      </c>
      <c r="B4347" s="33" t="str">
        <f t="shared" si="269"/>
        <v>WEP</v>
      </c>
      <c r="C4347" s="33" t="str">
        <f t="shared" si="270"/>
        <v>11310-0000</v>
      </c>
      <c r="D4347" t="s">
        <v>29348</v>
      </c>
      <c r="E4347" t="s">
        <v>13231</v>
      </c>
      <c r="F4347" t="s">
        <v>14039</v>
      </c>
      <c r="G4347" t="s">
        <v>14672</v>
      </c>
      <c r="H4347" t="s">
        <v>13869</v>
      </c>
      <c r="I4347" t="s">
        <v>14690</v>
      </c>
      <c r="J4347" s="62">
        <v>0</v>
      </c>
      <c r="K4347" s="62">
        <v>0</v>
      </c>
      <c r="L4347" t="str">
        <f>VLOOKUP(VALUE(LEFT(C4347,5)),Xref!A:B,2,0)</f>
        <v>ALP</v>
      </c>
      <c r="M4347" t="str">
        <f t="shared" si="271"/>
        <v>ALP-WEP</v>
      </c>
    </row>
    <row r="4348" spans="1:13" ht="14.25" customHeight="true">
      <c r="A4348" s="33" t="str">
        <f t="shared" si="268"/>
        <v>WEP - Intercompany</v>
      </c>
      <c r="B4348" s="33" t="str">
        <f t="shared" si="269"/>
        <v>WEP</v>
      </c>
      <c r="C4348" s="33" t="str">
        <f t="shared" si="270"/>
        <v>11311-0000</v>
      </c>
      <c r="D4348" t="s">
        <v>29349</v>
      </c>
      <c r="E4348" t="s">
        <v>13232</v>
      </c>
      <c r="F4348" t="s">
        <v>14039</v>
      </c>
      <c r="G4348" t="s">
        <v>14672</v>
      </c>
      <c r="H4348" t="s">
        <v>13869</v>
      </c>
      <c r="I4348" t="s">
        <v>14690</v>
      </c>
      <c r="J4348" s="62">
        <v>0</v>
      </c>
      <c r="K4348" s="62">
        <v>0</v>
      </c>
      <c r="L4348" t="str">
        <f>VLOOKUP(VALUE(LEFT(C4348,5)),Xref!A:B,2,0)</f>
        <v>BET</v>
      </c>
      <c r="M4348" t="str">
        <f t="shared" si="271"/>
        <v>BET-WEP</v>
      </c>
    </row>
    <row r="4349" spans="1:13" ht="14.25" customHeight="true">
      <c r="A4349" s="33" t="str">
        <f t="shared" si="268"/>
        <v>WEP - Intercompany</v>
      </c>
      <c r="B4349" s="33" t="str">
        <f t="shared" si="269"/>
        <v>WEP</v>
      </c>
      <c r="C4349" s="33" t="str">
        <f t="shared" si="270"/>
        <v>11312-0000</v>
      </c>
      <c r="D4349" t="s">
        <v>29350</v>
      </c>
      <c r="E4349" t="s">
        <v>14102</v>
      </c>
      <c r="F4349" t="s">
        <v>14039</v>
      </c>
      <c r="G4349" t="s">
        <v>14672</v>
      </c>
      <c r="H4349" t="s">
        <v>13869</v>
      </c>
      <c r="I4349" t="s">
        <v>14690</v>
      </c>
      <c r="J4349" s="62">
        <v>0</v>
      </c>
      <c r="K4349" s="62">
        <v>0</v>
      </c>
      <c r="L4349" t="str">
        <f>VLOOKUP(VALUE(LEFT(C4349,5)),Xref!A:B,2,0)</f>
        <v>DEL</v>
      </c>
      <c r="M4349" t="str">
        <f t="shared" si="271"/>
        <v>DEL-WEP</v>
      </c>
    </row>
    <row r="4350" spans="1:13" ht="14.25" customHeight="true">
      <c r="A4350" s="33" t="str">
        <f t="shared" si="268"/>
        <v>WEP - Intercompany</v>
      </c>
      <c r="B4350" s="33" t="str">
        <f t="shared" si="269"/>
        <v>WEP</v>
      </c>
      <c r="C4350" s="33" t="str">
        <f t="shared" si="270"/>
        <v>11313-0000</v>
      </c>
      <c r="D4350" t="s">
        <v>29351</v>
      </c>
      <c r="E4350" t="s">
        <v>13233</v>
      </c>
      <c r="F4350" t="s">
        <v>14039</v>
      </c>
      <c r="G4350" t="s">
        <v>14672</v>
      </c>
      <c r="H4350" t="s">
        <v>13869</v>
      </c>
      <c r="I4350" t="s">
        <v>14690</v>
      </c>
      <c r="J4350" s="62">
        <v>0</v>
      </c>
      <c r="K4350" s="62">
        <v>0</v>
      </c>
      <c r="L4350" t="str">
        <f>VLOOKUP(VALUE(LEFT(C4350,5)),Xref!A:B,2,0)</f>
        <v>DOL</v>
      </c>
      <c r="M4350" t="str">
        <f t="shared" si="271"/>
        <v>DOL-WEP</v>
      </c>
    </row>
    <row r="4351" spans="1:13" ht="14.25" customHeight="true">
      <c r="A4351" s="33" t="str">
        <f t="shared" si="268"/>
        <v>WEP - Intercompany</v>
      </c>
      <c r="B4351" s="33" t="str">
        <f t="shared" si="269"/>
        <v>WEP</v>
      </c>
      <c r="C4351" s="33" t="str">
        <f t="shared" si="270"/>
        <v>11314-0000</v>
      </c>
      <c r="D4351" t="s">
        <v>29352</v>
      </c>
      <c r="E4351" t="s">
        <v>13351</v>
      </c>
      <c r="F4351" t="s">
        <v>14039</v>
      </c>
      <c r="G4351" t="s">
        <v>14672</v>
      </c>
      <c r="H4351" t="s">
        <v>13869</v>
      </c>
      <c r="I4351" t="s">
        <v>14690</v>
      </c>
      <c r="J4351" s="62">
        <v>0</v>
      </c>
      <c r="K4351" s="62">
        <v>0</v>
      </c>
      <c r="L4351" t="str">
        <f>VLOOKUP(VALUE(LEFT(C4351,5)),Xref!A:B,2,0)</f>
        <v>GRI</v>
      </c>
      <c r="M4351" t="str">
        <f t="shared" si="271"/>
        <v>GRI-WEP</v>
      </c>
    </row>
    <row r="4352" spans="1:13" ht="14.25" customHeight="true">
      <c r="A4352" s="33" t="str">
        <f t="shared" si="268"/>
        <v>WEP - Intercompany</v>
      </c>
      <c r="B4352" s="33" t="str">
        <f t="shared" si="269"/>
        <v>WEP</v>
      </c>
      <c r="C4352" s="33" t="str">
        <f t="shared" si="270"/>
        <v>11315-0000</v>
      </c>
      <c r="D4352" t="s">
        <v>29353</v>
      </c>
      <c r="E4352" t="s">
        <v>13234</v>
      </c>
      <c r="F4352" t="s">
        <v>14039</v>
      </c>
      <c r="G4352" t="s">
        <v>14672</v>
      </c>
      <c r="H4352" t="s">
        <v>13869</v>
      </c>
      <c r="I4352" t="s">
        <v>14690</v>
      </c>
      <c r="J4352" s="62">
        <v>0</v>
      </c>
      <c r="K4352" s="62">
        <v>0</v>
      </c>
      <c r="L4352" t="str">
        <f>VLOOKUP(VALUE(LEFT(C4352,5)),Xref!A:B,2,0)</f>
        <v>PUR</v>
      </c>
      <c r="M4352" t="str">
        <f t="shared" si="271"/>
        <v>PUR-WEP</v>
      </c>
    </row>
    <row r="4353" spans="1:13" ht="14.25" customHeight="true">
      <c r="A4353" s="33" t="str">
        <f t="shared" si="268"/>
        <v>WEP - Intercompany</v>
      </c>
      <c r="B4353" s="33" t="str">
        <f t="shared" si="269"/>
        <v>WEP</v>
      </c>
      <c r="C4353" s="33" t="str">
        <f t="shared" si="270"/>
        <v>11316-0000</v>
      </c>
      <c r="D4353" t="s">
        <v>29354</v>
      </c>
      <c r="E4353" t="s">
        <v>13235</v>
      </c>
      <c r="F4353" t="s">
        <v>14039</v>
      </c>
      <c r="G4353" t="s">
        <v>14672</v>
      </c>
      <c r="H4353" t="s">
        <v>13869</v>
      </c>
      <c r="I4353" t="s">
        <v>14690</v>
      </c>
      <c r="J4353" s="62">
        <v>0</v>
      </c>
      <c r="K4353" s="62">
        <v>0</v>
      </c>
      <c r="L4353" t="str">
        <f>VLOOKUP(VALUE(LEFT(C4353,5)),Xref!A:B,2,0)</f>
        <v>VAL</v>
      </c>
      <c r="M4353" t="str">
        <f t="shared" si="271"/>
        <v>VAL-WEP</v>
      </c>
    </row>
    <row r="4354" spans="1:13" ht="14.25" customHeight="true">
      <c r="A4354" s="33" t="str">
        <f t="shared" ref="A4354:A4417" si="272">B4354&amp;" - "&amp;TRIM(H4354)</f>
        <v>WEP - Intercompany</v>
      </c>
      <c r="B4354" s="33" t="str">
        <f t="shared" ref="B4354:B4417" si="273">LEFT(D4354,3)</f>
        <v>WEP</v>
      </c>
      <c r="C4354" s="33" t="str">
        <f t="shared" ref="C4354:C4417" si="274">RIGHT(D4354,10)</f>
        <v>11317-0000</v>
      </c>
      <c r="D4354" t="s">
        <v>29355</v>
      </c>
      <c r="E4354" t="s">
        <v>13352</v>
      </c>
      <c r="F4354" t="s">
        <v>14039</v>
      </c>
      <c r="G4354" t="s">
        <v>14672</v>
      </c>
      <c r="H4354" t="s">
        <v>13869</v>
      </c>
      <c r="I4354" t="s">
        <v>14690</v>
      </c>
      <c r="J4354" s="62">
        <v>0</v>
      </c>
      <c r="K4354" s="62">
        <v>0</v>
      </c>
      <c r="L4354" t="str">
        <f>VLOOKUP(VALUE(LEFT(C4354,5)),Xref!A:B,2,0)</f>
        <v>AKG</v>
      </c>
      <c r="M4354" t="str">
        <f t="shared" ref="M4354:M4392" si="275">IF(B4354&lt;L4354,B4354&amp;"-"&amp;L4354,L4354&amp;"-"&amp;B4354)</f>
        <v>AKG-WEP</v>
      </c>
    </row>
    <row r="4355" spans="1:13" ht="14.25" customHeight="true">
      <c r="A4355" s="33" t="str">
        <f t="shared" si="272"/>
        <v>WEP - Intercompany</v>
      </c>
      <c r="B4355" s="33" t="str">
        <f t="shared" si="273"/>
        <v>WEP</v>
      </c>
      <c r="C4355" s="33" t="str">
        <f t="shared" si="274"/>
        <v>11318-0000</v>
      </c>
      <c r="D4355" t="s">
        <v>29356</v>
      </c>
      <c r="E4355" t="s">
        <v>13477</v>
      </c>
      <c r="F4355" t="s">
        <v>14039</v>
      </c>
      <c r="G4355" t="s">
        <v>14672</v>
      </c>
      <c r="H4355" t="s">
        <v>13869</v>
      </c>
      <c r="I4355" t="s">
        <v>14690</v>
      </c>
      <c r="J4355" s="62">
        <v>0</v>
      </c>
      <c r="K4355" s="62">
        <v>0</v>
      </c>
      <c r="L4355" t="str">
        <f>VLOOKUP(VALUE(LEFT(C4355,5)),Xref!A:B,2,0)</f>
        <v>FIR</v>
      </c>
      <c r="M4355" t="str">
        <f t="shared" si="275"/>
        <v>FIR-WEP</v>
      </c>
    </row>
    <row r="4356" spans="1:13" ht="14.25" customHeight="true">
      <c r="A4356" s="33" t="str">
        <f t="shared" si="272"/>
        <v>WEP - Intercompany</v>
      </c>
      <c r="B4356" s="33" t="str">
        <f t="shared" si="273"/>
        <v>WEP</v>
      </c>
      <c r="C4356" s="33" t="str">
        <f t="shared" si="274"/>
        <v>11319-0000</v>
      </c>
      <c r="D4356" t="s">
        <v>29357</v>
      </c>
      <c r="E4356" t="s">
        <v>266</v>
      </c>
      <c r="F4356" t="s">
        <v>14039</v>
      </c>
      <c r="G4356" t="s">
        <v>14672</v>
      </c>
      <c r="H4356" t="s">
        <v>13869</v>
      </c>
      <c r="I4356" t="s">
        <v>14690</v>
      </c>
      <c r="J4356" s="62">
        <v>0</v>
      </c>
      <c r="K4356" s="62">
        <v>0</v>
      </c>
      <c r="L4356" t="str">
        <f>VLOOKUP(VALUE(LEFT(C4356,5)),Xref!A:B,2,0)</f>
        <v>GST</v>
      </c>
      <c r="M4356" t="str">
        <f t="shared" si="275"/>
        <v>GST-WEP</v>
      </c>
    </row>
    <row r="4357" spans="1:13" ht="14.25" customHeight="true">
      <c r="A4357" s="33" t="str">
        <f t="shared" si="272"/>
        <v>WEP - Intercompany</v>
      </c>
      <c r="B4357" s="33" t="str">
        <f t="shared" si="273"/>
        <v>WEP</v>
      </c>
      <c r="C4357" s="33" t="str">
        <f t="shared" si="274"/>
        <v>11320-0000</v>
      </c>
      <c r="D4357" t="s">
        <v>29358</v>
      </c>
      <c r="E4357" t="s">
        <v>14111</v>
      </c>
      <c r="F4357" t="s">
        <v>14039</v>
      </c>
      <c r="G4357" t="s">
        <v>14672</v>
      </c>
      <c r="H4357" t="s">
        <v>13869</v>
      </c>
      <c r="I4357" t="s">
        <v>14690</v>
      </c>
      <c r="J4357" s="62">
        <v>0</v>
      </c>
      <c r="K4357" s="62">
        <v>0</v>
      </c>
      <c r="L4357" t="str">
        <f>VLOOKUP(VALUE(LEFT(C4357,5)),Xref!A:B,2,0)</f>
        <v>HDN</v>
      </c>
      <c r="M4357" t="str">
        <f t="shared" si="275"/>
        <v>HDN-WEP</v>
      </c>
    </row>
    <row r="4358" spans="1:13" ht="14.25" customHeight="true">
      <c r="A4358" s="33" t="str">
        <f t="shared" si="272"/>
        <v>WEP - Intercompany</v>
      </c>
      <c r="B4358" s="33" t="str">
        <f t="shared" si="273"/>
        <v>WEP</v>
      </c>
      <c r="C4358" s="33" t="str">
        <f t="shared" si="274"/>
        <v>11321-0000</v>
      </c>
      <c r="D4358" t="s">
        <v>29359</v>
      </c>
      <c r="E4358" t="s">
        <v>13236</v>
      </c>
      <c r="F4358" t="s">
        <v>14039</v>
      </c>
      <c r="G4358" t="s">
        <v>14672</v>
      </c>
      <c r="H4358" t="s">
        <v>13869</v>
      </c>
      <c r="I4358" t="s">
        <v>14690</v>
      </c>
      <c r="J4358" s="62">
        <v>0</v>
      </c>
      <c r="K4358" s="62">
        <v>0</v>
      </c>
      <c r="L4358" t="str">
        <f>VLOOKUP(VALUE(LEFT(C4358,5)),Xref!A:B,2,0)</f>
        <v>OVA</v>
      </c>
      <c r="M4358" t="str">
        <f t="shared" si="275"/>
        <v>OVA-WEP</v>
      </c>
    </row>
    <row r="4359" spans="1:13" ht="14.25" customHeight="true">
      <c r="A4359" s="33" t="str">
        <f t="shared" si="272"/>
        <v>WEP - Intercompany</v>
      </c>
      <c r="B4359" s="33" t="str">
        <f t="shared" si="273"/>
        <v>WEP</v>
      </c>
      <c r="C4359" s="33" t="str">
        <f t="shared" si="274"/>
        <v>11322-0000</v>
      </c>
      <c r="D4359" t="s">
        <v>29360</v>
      </c>
      <c r="E4359" t="s">
        <v>13237</v>
      </c>
      <c r="F4359" t="s">
        <v>14039</v>
      </c>
      <c r="G4359" t="s">
        <v>14672</v>
      </c>
      <c r="H4359" t="s">
        <v>13869</v>
      </c>
      <c r="I4359" t="s">
        <v>14690</v>
      </c>
      <c r="J4359" s="62">
        <v>0</v>
      </c>
      <c r="K4359" s="62">
        <v>0</v>
      </c>
      <c r="L4359" t="str">
        <f>VLOOKUP(VALUE(LEFT(C4359,5)),Xref!A:B,2,0)</f>
        <v>WOO</v>
      </c>
      <c r="M4359" t="str">
        <f t="shared" si="275"/>
        <v>WEP-WOO</v>
      </c>
    </row>
    <row r="4360" spans="1:13" ht="14.25" customHeight="true">
      <c r="A4360" s="33" t="str">
        <f t="shared" si="272"/>
        <v>WEP - Intercompany</v>
      </c>
      <c r="B4360" s="33" t="str">
        <f t="shared" si="273"/>
        <v>WEP</v>
      </c>
      <c r="C4360" s="33" t="str">
        <f t="shared" si="274"/>
        <v>11323-0000</v>
      </c>
      <c r="D4360" t="s">
        <v>29361</v>
      </c>
      <c r="E4360" t="s">
        <v>13478</v>
      </c>
      <c r="F4360" t="s">
        <v>14039</v>
      </c>
      <c r="G4360" t="s">
        <v>14672</v>
      </c>
      <c r="H4360" t="s">
        <v>13869</v>
      </c>
      <c r="I4360" t="s">
        <v>14690</v>
      </c>
      <c r="J4360" s="62">
        <v>0</v>
      </c>
      <c r="K4360" s="62">
        <v>0</v>
      </c>
      <c r="L4360" t="str">
        <f>VLOOKUP(VALUE(LEFT(C4360,5)),Xref!A:B,2,0)</f>
        <v>SPI</v>
      </c>
      <c r="M4360" t="str">
        <f t="shared" si="275"/>
        <v>SPI-WEP</v>
      </c>
    </row>
    <row r="4361" spans="1:13" ht="14.25" customHeight="true">
      <c r="A4361" s="33" t="str">
        <f t="shared" si="272"/>
        <v>WEP - Intercompany</v>
      </c>
      <c r="B4361" s="33" t="str">
        <f t="shared" si="273"/>
        <v>WEP</v>
      </c>
      <c r="C4361" s="33" t="str">
        <f t="shared" si="274"/>
        <v>11324-0000</v>
      </c>
      <c r="D4361" t="s">
        <v>29362</v>
      </c>
      <c r="E4361" t="s">
        <v>13238</v>
      </c>
      <c r="F4361" t="s">
        <v>14039</v>
      </c>
      <c r="G4361" t="s">
        <v>14672</v>
      </c>
      <c r="H4361" t="s">
        <v>13869</v>
      </c>
      <c r="I4361" t="s">
        <v>14690</v>
      </c>
      <c r="J4361" s="62">
        <v>0</v>
      </c>
      <c r="K4361" s="62">
        <v>0</v>
      </c>
      <c r="L4361" t="str">
        <f>VLOOKUP(VALUE(LEFT(C4361,5)),Xref!A:B,2,0)</f>
        <v>NET</v>
      </c>
      <c r="M4361" t="str">
        <f t="shared" si="275"/>
        <v>NET-WEP</v>
      </c>
    </row>
    <row r="4362" spans="1:13" ht="14.25" customHeight="true">
      <c r="A4362" s="33" t="str">
        <f t="shared" si="272"/>
        <v>WEP - Intercompany</v>
      </c>
      <c r="B4362" s="33" t="str">
        <f t="shared" si="273"/>
        <v>WEP</v>
      </c>
      <c r="C4362" s="33" t="str">
        <f t="shared" si="274"/>
        <v>11325-0000</v>
      </c>
      <c r="D4362" t="s">
        <v>29363</v>
      </c>
      <c r="E4362" t="s">
        <v>13239</v>
      </c>
      <c r="F4362" t="s">
        <v>14039</v>
      </c>
      <c r="G4362" t="s">
        <v>14672</v>
      </c>
      <c r="H4362" t="s">
        <v>13869</v>
      </c>
      <c r="I4362" t="s">
        <v>14690</v>
      </c>
      <c r="J4362" s="62">
        <v>0</v>
      </c>
      <c r="K4362" s="62">
        <v>0</v>
      </c>
      <c r="L4362" t="str">
        <f>VLOOKUP(VALUE(LEFT(C4362,5)),Xref!A:B,2,0)</f>
        <v>DPI</v>
      </c>
      <c r="M4362" t="str">
        <f t="shared" si="275"/>
        <v>DPI-WEP</v>
      </c>
    </row>
    <row r="4363" spans="1:13" ht="14.25" customHeight="true">
      <c r="A4363" s="33" t="str">
        <f t="shared" si="272"/>
        <v>WEP - Intercompany</v>
      </c>
      <c r="B4363" s="33" t="str">
        <f t="shared" si="273"/>
        <v>WEP</v>
      </c>
      <c r="C4363" s="33" t="str">
        <f t="shared" si="274"/>
        <v>11326-0000</v>
      </c>
      <c r="D4363" t="s">
        <v>29364</v>
      </c>
      <c r="E4363" t="s">
        <v>13240</v>
      </c>
      <c r="F4363" t="s">
        <v>14039</v>
      </c>
      <c r="G4363" t="s">
        <v>14672</v>
      </c>
      <c r="H4363" t="s">
        <v>13869</v>
      </c>
      <c r="I4363" t="s">
        <v>14690</v>
      </c>
      <c r="J4363" s="62">
        <v>0</v>
      </c>
      <c r="K4363" s="62">
        <v>0</v>
      </c>
      <c r="L4363" t="str">
        <f>VLOOKUP(VALUE(LEFT(C4363,5)),Xref!A:B,2,0)</f>
        <v>SEK</v>
      </c>
      <c r="M4363" t="str">
        <f t="shared" si="275"/>
        <v>SEK-WEP</v>
      </c>
    </row>
    <row r="4364" spans="1:13" ht="14.25" customHeight="true">
      <c r="A4364" s="33" t="str">
        <f t="shared" si="272"/>
        <v>WEP - Intercompany</v>
      </c>
      <c r="B4364" s="33" t="str">
        <f t="shared" si="273"/>
        <v>WEP</v>
      </c>
      <c r="C4364" s="33" t="str">
        <f t="shared" si="274"/>
        <v>11327-0000</v>
      </c>
      <c r="D4364" t="s">
        <v>29365</v>
      </c>
      <c r="E4364" t="s">
        <v>14119</v>
      </c>
      <c r="F4364" t="s">
        <v>14039</v>
      </c>
      <c r="G4364" t="s">
        <v>14672</v>
      </c>
      <c r="H4364" t="s">
        <v>13869</v>
      </c>
      <c r="I4364" t="s">
        <v>14690</v>
      </c>
      <c r="J4364" s="62">
        <v>0</v>
      </c>
      <c r="K4364" s="62">
        <v>0</v>
      </c>
      <c r="L4364" t="str">
        <f>VLOOKUP(VALUE(LEFT(C4364,5)),Xref!A:B,2,0)</f>
        <v>CPI</v>
      </c>
      <c r="M4364" t="str">
        <f t="shared" si="275"/>
        <v>CPI-WEP</v>
      </c>
    </row>
    <row r="4365" spans="1:13" ht="14.25" customHeight="true">
      <c r="A4365" s="33" t="str">
        <f t="shared" si="272"/>
        <v>WEP - Intercompany</v>
      </c>
      <c r="B4365" s="33" t="str">
        <f t="shared" si="273"/>
        <v>WEP</v>
      </c>
      <c r="C4365" s="33" t="str">
        <f t="shared" si="274"/>
        <v>11328-0000</v>
      </c>
      <c r="D4365" t="s">
        <v>29366</v>
      </c>
      <c r="E4365" t="s">
        <v>13241</v>
      </c>
      <c r="F4365" t="s">
        <v>14039</v>
      </c>
      <c r="G4365" t="s">
        <v>14672</v>
      </c>
      <c r="H4365" t="s">
        <v>13869</v>
      </c>
      <c r="I4365" t="s">
        <v>14690</v>
      </c>
      <c r="J4365" s="62">
        <v>0</v>
      </c>
      <c r="K4365" s="62">
        <v>0</v>
      </c>
      <c r="L4365" t="str">
        <f>VLOOKUP(VALUE(LEFT(C4365,5)),Xref!A:B,2,0)</f>
        <v>LOM</v>
      </c>
      <c r="M4365" t="str">
        <f t="shared" si="275"/>
        <v>LOM-WEP</v>
      </c>
    </row>
    <row r="4366" spans="1:13" ht="14.25" customHeight="true">
      <c r="A4366" s="33" t="str">
        <f t="shared" si="272"/>
        <v>WEP - Intercompany</v>
      </c>
      <c r="B4366" s="33" t="str">
        <f t="shared" si="273"/>
        <v>WEP</v>
      </c>
      <c r="C4366" s="33" t="str">
        <f t="shared" si="274"/>
        <v>11329-0000</v>
      </c>
      <c r="D4366" t="s">
        <v>29367</v>
      </c>
      <c r="E4366" t="s">
        <v>13353</v>
      </c>
      <c r="F4366" t="s">
        <v>14039</v>
      </c>
      <c r="G4366" t="s">
        <v>14672</v>
      </c>
      <c r="H4366" t="s">
        <v>13869</v>
      </c>
      <c r="I4366" t="s">
        <v>14690</v>
      </c>
      <c r="J4366" s="62">
        <v>0</v>
      </c>
      <c r="K4366" s="62">
        <v>0</v>
      </c>
      <c r="L4366" t="str">
        <f>VLOOKUP(VALUE(LEFT(C4366,5)),Xref!A:B,2,0)</f>
        <v>AKS</v>
      </c>
      <c r="M4366" t="str">
        <f t="shared" si="275"/>
        <v>AKS-WEP</v>
      </c>
    </row>
    <row r="4367" spans="1:13" ht="14.25" customHeight="true">
      <c r="A4367" s="33" t="str">
        <f t="shared" si="272"/>
        <v>WEP - Intercompany</v>
      </c>
      <c r="B4367" s="33" t="str">
        <f t="shared" si="273"/>
        <v>WEP</v>
      </c>
      <c r="C4367" s="33" t="str">
        <f t="shared" si="274"/>
        <v>11330-0000</v>
      </c>
      <c r="D4367" t="s">
        <v>29368</v>
      </c>
      <c r="E4367" t="s">
        <v>13242</v>
      </c>
      <c r="F4367" t="s">
        <v>14039</v>
      </c>
      <c r="G4367" t="s">
        <v>14672</v>
      </c>
      <c r="H4367" t="s">
        <v>13869</v>
      </c>
      <c r="I4367" t="s">
        <v>14690</v>
      </c>
      <c r="J4367" s="62">
        <v>0</v>
      </c>
      <c r="K4367" s="62">
        <v>0</v>
      </c>
      <c r="L4367" t="str">
        <f>VLOOKUP(VALUE(LEFT(C4367,5)),Xref!A:B,2,0)</f>
        <v>MAR</v>
      </c>
      <c r="M4367" t="str">
        <f t="shared" si="275"/>
        <v>MAR-WEP</v>
      </c>
    </row>
    <row r="4368" spans="1:13" ht="14.25" customHeight="true">
      <c r="A4368" s="33" t="str">
        <f t="shared" si="272"/>
        <v>WEP - Intercompany</v>
      </c>
      <c r="B4368" s="33" t="str">
        <f t="shared" si="273"/>
        <v>WEP</v>
      </c>
      <c r="C4368" s="33" t="str">
        <f t="shared" si="274"/>
        <v>11331-0000</v>
      </c>
      <c r="D4368" t="s">
        <v>29369</v>
      </c>
      <c r="E4368" t="s">
        <v>13354</v>
      </c>
      <c r="F4368" t="s">
        <v>14039</v>
      </c>
      <c r="G4368" t="s">
        <v>14672</v>
      </c>
      <c r="H4368" t="s">
        <v>13869</v>
      </c>
      <c r="I4368" t="s">
        <v>14690</v>
      </c>
      <c r="J4368" s="62">
        <v>0</v>
      </c>
      <c r="K4368" s="62">
        <v>0</v>
      </c>
      <c r="L4368" t="str">
        <f>VLOOKUP(VALUE(LEFT(C4368,5)),Xref!A:B,2,0)</f>
        <v>WIL</v>
      </c>
      <c r="M4368" t="str">
        <f t="shared" si="275"/>
        <v>WEP-WIL</v>
      </c>
    </row>
    <row r="4369" spans="1:13" ht="14.25" customHeight="true">
      <c r="A4369" s="33" t="str">
        <f t="shared" si="272"/>
        <v>WEP - Intercompany</v>
      </c>
      <c r="B4369" s="33" t="str">
        <f t="shared" si="273"/>
        <v>WEP</v>
      </c>
      <c r="C4369" s="33" t="str">
        <f t="shared" si="274"/>
        <v>11332-0000</v>
      </c>
      <c r="D4369" t="s">
        <v>29370</v>
      </c>
      <c r="E4369" t="s">
        <v>13243</v>
      </c>
      <c r="F4369" t="s">
        <v>14039</v>
      </c>
      <c r="G4369" t="s">
        <v>14672</v>
      </c>
      <c r="H4369" t="s">
        <v>13869</v>
      </c>
      <c r="I4369" t="s">
        <v>14690</v>
      </c>
      <c r="J4369" s="62">
        <v>0</v>
      </c>
      <c r="K4369" s="62">
        <v>0</v>
      </c>
      <c r="L4369" t="str">
        <f>VLOOKUP(VALUE(LEFT(C4369,5)),Xref!A:B,2,0)</f>
        <v>STO</v>
      </c>
      <c r="M4369" t="str">
        <f t="shared" si="275"/>
        <v>STO-WEP</v>
      </c>
    </row>
    <row r="4370" spans="1:13" ht="14.25" customHeight="true">
      <c r="A4370" s="33" t="str">
        <f t="shared" si="272"/>
        <v>WEP - Intercompany</v>
      </c>
      <c r="B4370" s="33" t="str">
        <f t="shared" si="273"/>
        <v>WEP</v>
      </c>
      <c r="C4370" s="33" t="str">
        <f t="shared" si="274"/>
        <v>11333-0000</v>
      </c>
      <c r="D4370" t="s">
        <v>29371</v>
      </c>
      <c r="E4370" t="s">
        <v>13244</v>
      </c>
      <c r="F4370" t="s">
        <v>14039</v>
      </c>
      <c r="G4370" t="s">
        <v>14672</v>
      </c>
      <c r="H4370" t="s">
        <v>13869</v>
      </c>
      <c r="I4370" t="s">
        <v>14690</v>
      </c>
      <c r="J4370" s="62">
        <v>0</v>
      </c>
      <c r="K4370" s="62">
        <v>0</v>
      </c>
      <c r="L4370" t="str">
        <f>VLOOKUP(VALUE(LEFT(C4370,5)),Xref!A:B,2,0)</f>
        <v>ANG</v>
      </c>
      <c r="M4370" t="str">
        <f t="shared" si="275"/>
        <v>ANG-WEP</v>
      </c>
    </row>
    <row r="4371" spans="1:13" ht="14.25" customHeight="true">
      <c r="A4371" s="33" t="str">
        <f t="shared" si="272"/>
        <v>WEP - Intercompany</v>
      </c>
      <c r="B4371" s="33" t="str">
        <f t="shared" si="273"/>
        <v>WEP</v>
      </c>
      <c r="C4371" s="33" t="str">
        <f t="shared" si="274"/>
        <v>11334-0000</v>
      </c>
      <c r="D4371" t="s">
        <v>29372</v>
      </c>
      <c r="E4371" t="s">
        <v>13245</v>
      </c>
      <c r="F4371" t="s">
        <v>14039</v>
      </c>
      <c r="G4371" t="s">
        <v>14672</v>
      </c>
      <c r="H4371" t="s">
        <v>13869</v>
      </c>
      <c r="I4371" t="s">
        <v>14690</v>
      </c>
      <c r="J4371" s="62">
        <v>0</v>
      </c>
      <c r="K4371" s="62">
        <v>0</v>
      </c>
      <c r="L4371" t="str">
        <f>VLOOKUP(VALUE(LEFT(C4371,5)),Xref!A:B,2,0)</f>
        <v>BRU</v>
      </c>
      <c r="M4371" t="str">
        <f t="shared" si="275"/>
        <v>BRU-WEP</v>
      </c>
    </row>
    <row r="4372" spans="1:13" ht="14.25" customHeight="true">
      <c r="A4372" s="33" t="str">
        <f t="shared" si="272"/>
        <v>WEP - Intercompany</v>
      </c>
      <c r="B4372" s="33" t="str">
        <f t="shared" si="273"/>
        <v>WEP</v>
      </c>
      <c r="C4372" s="33" t="str">
        <f t="shared" si="274"/>
        <v>11335-0000</v>
      </c>
      <c r="D4372" t="s">
        <v>29373</v>
      </c>
      <c r="E4372" t="s">
        <v>13246</v>
      </c>
      <c r="F4372" t="s">
        <v>14039</v>
      </c>
      <c r="G4372" t="s">
        <v>14672</v>
      </c>
      <c r="H4372" t="s">
        <v>13869</v>
      </c>
      <c r="I4372" t="s">
        <v>14690</v>
      </c>
      <c r="J4372" s="62">
        <v>0</v>
      </c>
      <c r="K4372" s="62">
        <v>0</v>
      </c>
      <c r="L4372" t="str">
        <f>VLOOKUP(VALUE(LEFT(C4372,5)),Xref!A:B,2,0)</f>
        <v>VEN</v>
      </c>
      <c r="M4372" t="str">
        <f t="shared" si="275"/>
        <v>VEN-WEP</v>
      </c>
    </row>
    <row r="4373" spans="1:13" ht="14.25" customHeight="true">
      <c r="A4373" s="33" t="str">
        <f t="shared" si="272"/>
        <v>WEP - Intercompany</v>
      </c>
      <c r="B4373" s="33" t="str">
        <f t="shared" si="273"/>
        <v>WEP</v>
      </c>
      <c r="C4373" s="33" t="str">
        <f t="shared" si="274"/>
        <v>11336-0000</v>
      </c>
      <c r="D4373" t="s">
        <v>29374</v>
      </c>
      <c r="E4373" t="s">
        <v>13247</v>
      </c>
      <c r="F4373" t="s">
        <v>14039</v>
      </c>
      <c r="G4373" t="s">
        <v>14672</v>
      </c>
      <c r="H4373" t="s">
        <v>13869</v>
      </c>
      <c r="I4373" t="s">
        <v>14690</v>
      </c>
      <c r="J4373" s="62">
        <v>0</v>
      </c>
      <c r="K4373" s="62">
        <v>0</v>
      </c>
      <c r="L4373" t="str">
        <f>VLOOKUP(VALUE(LEFT(C4373,5)),Xref!A:B,2,0)</f>
        <v>SAT</v>
      </c>
      <c r="M4373" t="str">
        <f t="shared" si="275"/>
        <v>SAT-WEP</v>
      </c>
    </row>
    <row r="4374" spans="1:13" ht="14.25" customHeight="true">
      <c r="A4374" s="33" t="str">
        <f t="shared" si="272"/>
        <v>WEP - Intercompany</v>
      </c>
      <c r="B4374" s="33" t="str">
        <f t="shared" si="273"/>
        <v>WEP</v>
      </c>
      <c r="C4374" s="33" t="str">
        <f t="shared" si="274"/>
        <v>11337-0000</v>
      </c>
      <c r="D4374" t="s">
        <v>29375</v>
      </c>
      <c r="E4374" t="s">
        <v>13248</v>
      </c>
      <c r="F4374" t="s">
        <v>14039</v>
      </c>
      <c r="G4374" t="s">
        <v>14672</v>
      </c>
      <c r="H4374" t="s">
        <v>13869</v>
      </c>
      <c r="I4374" t="s">
        <v>14690</v>
      </c>
      <c r="J4374" s="62">
        <v>0</v>
      </c>
      <c r="K4374" s="62">
        <v>0</v>
      </c>
      <c r="L4374" t="str">
        <f>VLOOKUP(VALUE(LEFT(C4374,5)),Xref!A:B,2,0)</f>
        <v>NEP</v>
      </c>
      <c r="M4374" t="str">
        <f t="shared" si="275"/>
        <v>NEP-WEP</v>
      </c>
    </row>
    <row r="4375" spans="1:13" ht="14.25" customHeight="true">
      <c r="A4375" s="33" t="str">
        <f t="shared" si="272"/>
        <v>WEP - Intercompany</v>
      </c>
      <c r="B4375" s="33" t="str">
        <f t="shared" si="273"/>
        <v>WEP</v>
      </c>
      <c r="C4375" s="33" t="str">
        <f t="shared" si="274"/>
        <v>11338-0000</v>
      </c>
      <c r="D4375" t="s">
        <v>29376</v>
      </c>
      <c r="E4375" t="s">
        <v>14131</v>
      </c>
      <c r="F4375" t="s">
        <v>14039</v>
      </c>
      <c r="G4375" t="s">
        <v>14672</v>
      </c>
      <c r="H4375" t="s">
        <v>13869</v>
      </c>
      <c r="I4375" t="s">
        <v>14690</v>
      </c>
      <c r="J4375" s="62">
        <v>0</v>
      </c>
      <c r="K4375" s="62">
        <v>0</v>
      </c>
      <c r="L4375" t="str">
        <f>VLOOKUP(VALUE(LEFT(C4375,5)),Xref!A:B,2,0)</f>
        <v>JUP</v>
      </c>
      <c r="M4375" t="str">
        <f t="shared" si="275"/>
        <v>JUP-WEP</v>
      </c>
    </row>
    <row r="4376" spans="1:13" ht="14.25" customHeight="true">
      <c r="A4376" s="33" t="str">
        <f t="shared" si="272"/>
        <v>WEP - Intercompany</v>
      </c>
      <c r="B4376" s="33" t="str">
        <f t="shared" si="273"/>
        <v>WEP</v>
      </c>
      <c r="C4376" s="33" t="str">
        <f t="shared" si="274"/>
        <v>11339-0000</v>
      </c>
      <c r="D4376" t="s">
        <v>29377</v>
      </c>
      <c r="E4376" t="s">
        <v>14133</v>
      </c>
      <c r="F4376" t="s">
        <v>14039</v>
      </c>
      <c r="G4376" t="s">
        <v>14672</v>
      </c>
      <c r="H4376" t="s">
        <v>13869</v>
      </c>
      <c r="I4376" t="s">
        <v>14690</v>
      </c>
      <c r="J4376" s="62">
        <v>0</v>
      </c>
      <c r="K4376" s="62">
        <v>0</v>
      </c>
      <c r="L4376" t="str">
        <f>VLOOKUP(VALUE(LEFT(C4376,5)),Xref!A:B,2,0)</f>
        <v>WES</v>
      </c>
      <c r="M4376" t="str">
        <f t="shared" si="275"/>
        <v>WEP-WES</v>
      </c>
    </row>
    <row r="4377" spans="1:13" ht="14.25" customHeight="true">
      <c r="A4377" s="33" t="str">
        <f t="shared" si="272"/>
        <v>WEP - Intercompany</v>
      </c>
      <c r="B4377" s="33" t="str">
        <f t="shared" si="273"/>
        <v>WEP</v>
      </c>
      <c r="C4377" s="33" t="str">
        <f t="shared" si="274"/>
        <v>11340-0000</v>
      </c>
      <c r="D4377" t="s">
        <v>29378</v>
      </c>
      <c r="E4377" t="s">
        <v>14135</v>
      </c>
      <c r="F4377" t="s">
        <v>14039</v>
      </c>
      <c r="G4377" t="s">
        <v>14672</v>
      </c>
      <c r="H4377" t="s">
        <v>13869</v>
      </c>
      <c r="I4377" t="s">
        <v>14690</v>
      </c>
      <c r="J4377" s="62">
        <v>0</v>
      </c>
      <c r="K4377" s="62">
        <v>0</v>
      </c>
      <c r="L4377" t="str">
        <f>VLOOKUP(VALUE(LEFT(C4377,5)),Xref!A:B,2,0)</f>
        <v>LCP</v>
      </c>
      <c r="M4377" t="str">
        <f t="shared" si="275"/>
        <v>LCP-WEP</v>
      </c>
    </row>
    <row r="4378" spans="1:13" ht="14.25" customHeight="true">
      <c r="A4378" s="33" t="str">
        <f t="shared" si="272"/>
        <v>WEP - Intercompany</v>
      </c>
      <c r="B4378" s="33" t="str">
        <f t="shared" si="273"/>
        <v>WEP</v>
      </c>
      <c r="C4378" s="33" t="str">
        <f t="shared" si="274"/>
        <v>11341-0000</v>
      </c>
      <c r="D4378" t="s">
        <v>29379</v>
      </c>
      <c r="E4378" t="s">
        <v>13639</v>
      </c>
      <c r="F4378" t="s">
        <v>14039</v>
      </c>
      <c r="G4378" t="s">
        <v>14672</v>
      </c>
      <c r="H4378" t="s">
        <v>13869</v>
      </c>
      <c r="I4378" t="s">
        <v>14690</v>
      </c>
      <c r="J4378" s="62">
        <v>0</v>
      </c>
      <c r="K4378" s="62">
        <v>0</v>
      </c>
      <c r="L4378" t="str">
        <f>VLOOKUP(VALUE(LEFT(C4378,5)),Xref!A:B,2,0)</f>
        <v>NOR</v>
      </c>
      <c r="M4378" t="str">
        <f t="shared" si="275"/>
        <v>NOR-WEP</v>
      </c>
    </row>
    <row r="4379" spans="1:13" ht="14.25" customHeight="true">
      <c r="A4379" s="33" t="str">
        <f t="shared" si="272"/>
        <v>WEP - Intercompany</v>
      </c>
      <c r="B4379" s="33" t="str">
        <f t="shared" si="273"/>
        <v>WEP</v>
      </c>
      <c r="C4379" s="33" t="str">
        <f t="shared" si="274"/>
        <v>11342-0000</v>
      </c>
      <c r="D4379" t="s">
        <v>29380</v>
      </c>
      <c r="E4379" t="s">
        <v>13355</v>
      </c>
      <c r="F4379" t="s">
        <v>14039</v>
      </c>
      <c r="G4379" t="s">
        <v>14672</v>
      </c>
      <c r="H4379" t="s">
        <v>13869</v>
      </c>
      <c r="I4379" t="s">
        <v>14690</v>
      </c>
      <c r="J4379" s="62">
        <v>0</v>
      </c>
      <c r="K4379" s="62">
        <v>0</v>
      </c>
      <c r="L4379" t="str">
        <f>VLOOKUP(VALUE(LEFT(C4379,5)),Xref!A:B,2,0)</f>
        <v>EAS</v>
      </c>
      <c r="M4379" t="str">
        <f t="shared" si="275"/>
        <v>EAS-WEP</v>
      </c>
    </row>
    <row r="4380" spans="1:13" ht="14.25" customHeight="true">
      <c r="A4380" s="33" t="str">
        <f t="shared" si="272"/>
        <v>WEP - Intercompany</v>
      </c>
      <c r="B4380" s="33" t="str">
        <f t="shared" si="273"/>
        <v>WEP</v>
      </c>
      <c r="C4380" s="33" t="str">
        <f t="shared" si="274"/>
        <v>11343-0000</v>
      </c>
      <c r="D4380" t="s">
        <v>29381</v>
      </c>
      <c r="E4380" t="s">
        <v>14139</v>
      </c>
      <c r="F4380" t="s">
        <v>14039</v>
      </c>
      <c r="G4380" t="s">
        <v>14672</v>
      </c>
      <c r="H4380" t="s">
        <v>13869</v>
      </c>
      <c r="I4380" t="s">
        <v>14690</v>
      </c>
      <c r="J4380" s="62">
        <v>0</v>
      </c>
      <c r="K4380" s="62">
        <v>0</v>
      </c>
      <c r="L4380" t="str">
        <f>VLOOKUP(VALUE(LEFT(C4380,5)),Xref!A:B,2,0)</f>
        <v>GRA</v>
      </c>
      <c r="M4380" t="str">
        <f t="shared" si="275"/>
        <v>GRA-WEP</v>
      </c>
    </row>
    <row r="4381" spans="1:13" ht="14.25" customHeight="true">
      <c r="A4381" s="33" t="str">
        <f t="shared" si="272"/>
        <v>WEP - Intercompany</v>
      </c>
      <c r="B4381" s="33" t="str">
        <f t="shared" si="273"/>
        <v>WEP</v>
      </c>
      <c r="C4381" s="33" t="str">
        <f t="shared" si="274"/>
        <v>11344-0000</v>
      </c>
      <c r="D4381" t="s">
        <v>29382</v>
      </c>
      <c r="E4381" t="s">
        <v>14141</v>
      </c>
      <c r="F4381" t="s">
        <v>14039</v>
      </c>
      <c r="G4381" t="s">
        <v>14672</v>
      </c>
      <c r="H4381" t="s">
        <v>13869</v>
      </c>
      <c r="I4381" t="s">
        <v>14690</v>
      </c>
      <c r="J4381" s="62">
        <v>0</v>
      </c>
      <c r="K4381" s="62">
        <v>0</v>
      </c>
      <c r="L4381" t="str">
        <f>VLOOKUP(VALUE(LEFT(C4381,5)),Xref!A:B,2,0)</f>
        <v>SOU</v>
      </c>
      <c r="M4381" t="str">
        <f t="shared" si="275"/>
        <v>SOU-WEP</v>
      </c>
    </row>
    <row r="4382" spans="1:13" ht="14.25" customHeight="true">
      <c r="A4382" s="33" t="str">
        <f t="shared" si="272"/>
        <v>WEP - Intercompany</v>
      </c>
      <c r="B4382" s="33" t="str">
        <f t="shared" si="273"/>
        <v>WEP</v>
      </c>
      <c r="C4382" s="33" t="str">
        <f t="shared" si="274"/>
        <v>11345-0000</v>
      </c>
      <c r="D4382" t="s">
        <v>29383</v>
      </c>
      <c r="E4382" t="s">
        <v>14143</v>
      </c>
      <c r="F4382" t="s">
        <v>14039</v>
      </c>
      <c r="G4382" t="s">
        <v>14672</v>
      </c>
      <c r="H4382" t="s">
        <v>13869</v>
      </c>
      <c r="I4382" t="s">
        <v>14690</v>
      </c>
      <c r="J4382" s="62">
        <v>0</v>
      </c>
      <c r="K4382" s="62">
        <v>0</v>
      </c>
      <c r="L4382" t="str">
        <f>VLOOKUP(VALUE(LEFT(C4382,5)),Xref!A:B,2,0)</f>
        <v>API</v>
      </c>
      <c r="M4382" t="str">
        <f t="shared" si="275"/>
        <v>API-WEP</v>
      </c>
    </row>
    <row r="4383" spans="1:13" ht="14.25" customHeight="true">
      <c r="A4383" s="33" t="str">
        <f t="shared" si="272"/>
        <v>WEP - Intercompany</v>
      </c>
      <c r="B4383" s="33" t="str">
        <f t="shared" si="273"/>
        <v>WEP</v>
      </c>
      <c r="C4383" s="33" t="str">
        <f t="shared" si="274"/>
        <v>11346-0000</v>
      </c>
      <c r="D4383" t="s">
        <v>12967</v>
      </c>
      <c r="E4383" t="s">
        <v>14145</v>
      </c>
      <c r="F4383" t="s">
        <v>14039</v>
      </c>
      <c r="G4383" t="s">
        <v>14672</v>
      </c>
      <c r="H4383" t="s">
        <v>13869</v>
      </c>
      <c r="I4383" t="s">
        <v>14690</v>
      </c>
      <c r="J4383" s="62">
        <v>0</v>
      </c>
      <c r="K4383" s="62">
        <v>-2257199.83</v>
      </c>
      <c r="L4383" t="str">
        <f>VLOOKUP(VALUE(LEFT(C4383,5)),Xref!A:B,2,0)</f>
        <v>DPH</v>
      </c>
      <c r="M4383" t="str">
        <f t="shared" si="275"/>
        <v>DPH-WEP</v>
      </c>
    </row>
    <row r="4384" spans="1:13" ht="14.25" customHeight="true">
      <c r="A4384" s="33" t="str">
        <f t="shared" si="272"/>
        <v>WEP - Intercompany</v>
      </c>
      <c r="B4384" s="33" t="str">
        <f t="shared" si="273"/>
        <v>WEP</v>
      </c>
      <c r="C4384" s="33" t="str">
        <f t="shared" si="274"/>
        <v>11347-0000</v>
      </c>
      <c r="D4384" t="s">
        <v>29384</v>
      </c>
      <c r="E4384" t="s">
        <v>14147</v>
      </c>
      <c r="F4384" t="s">
        <v>14039</v>
      </c>
      <c r="G4384" t="s">
        <v>14672</v>
      </c>
      <c r="H4384" t="s">
        <v>13869</v>
      </c>
      <c r="I4384" t="s">
        <v>14690</v>
      </c>
      <c r="J4384" s="62">
        <v>0</v>
      </c>
      <c r="K4384" s="62">
        <v>0</v>
      </c>
      <c r="L4384" t="str">
        <f>VLOOKUP(VALUE(LEFT(C4384,5)),Xref!A:B,2,0)</f>
        <v>ZPI</v>
      </c>
      <c r="M4384" t="str">
        <f t="shared" si="275"/>
        <v>WEP-ZPI</v>
      </c>
    </row>
    <row r="4385" spans="1:13" ht="14.25" customHeight="true">
      <c r="A4385" s="33" t="str">
        <f t="shared" si="272"/>
        <v>WEP - Intercompany</v>
      </c>
      <c r="B4385" s="33" t="str">
        <f t="shared" si="273"/>
        <v>WEP</v>
      </c>
      <c r="C4385" s="33" t="str">
        <f t="shared" si="274"/>
        <v>11348-0000</v>
      </c>
      <c r="D4385" t="s">
        <v>29385</v>
      </c>
      <c r="E4385" t="s">
        <v>14149</v>
      </c>
      <c r="F4385" t="s">
        <v>14039</v>
      </c>
      <c r="G4385" t="s">
        <v>14672</v>
      </c>
      <c r="H4385" t="s">
        <v>13869</v>
      </c>
      <c r="I4385" t="s">
        <v>14690</v>
      </c>
      <c r="J4385" s="62">
        <v>0</v>
      </c>
      <c r="K4385" s="62">
        <v>0</v>
      </c>
      <c r="L4385" t="str">
        <f>VLOOKUP(VALUE(LEFT(C4385,5)),Xref!A:B,2,0)</f>
        <v>EAM</v>
      </c>
      <c r="M4385" t="str">
        <f t="shared" si="275"/>
        <v>EAM-WEP</v>
      </c>
    </row>
    <row r="4386" spans="1:13" ht="14.25" customHeight="true">
      <c r="A4386" s="33" t="str">
        <f t="shared" si="272"/>
        <v>WEP - Intercompany</v>
      </c>
      <c r="B4386" s="33" t="str">
        <f t="shared" si="273"/>
        <v>WEP</v>
      </c>
      <c r="C4386" s="33" t="str">
        <f t="shared" si="274"/>
        <v>11349-0000</v>
      </c>
      <c r="D4386" t="s">
        <v>29386</v>
      </c>
      <c r="E4386" t="s">
        <v>14151</v>
      </c>
      <c r="F4386" t="s">
        <v>14039</v>
      </c>
      <c r="G4386" t="s">
        <v>14672</v>
      </c>
      <c r="H4386" t="s">
        <v>13869</v>
      </c>
      <c r="I4386" t="s">
        <v>14690</v>
      </c>
      <c r="J4386" s="62">
        <v>0</v>
      </c>
      <c r="K4386" s="62">
        <v>0</v>
      </c>
      <c r="L4386" t="str">
        <f>VLOOKUP(VALUE(LEFT(C4386,5)),Xref!A:B,2,0)</f>
        <v>SEA</v>
      </c>
      <c r="M4386" t="str">
        <f t="shared" si="275"/>
        <v>SEA-WEP</v>
      </c>
    </row>
    <row r="4387" spans="1:13" ht="14.25" customHeight="true">
      <c r="A4387" s="33" t="str">
        <f t="shared" si="272"/>
        <v>WEP - Intercompany</v>
      </c>
      <c r="B4387" s="33" t="str">
        <f t="shared" si="273"/>
        <v>WEP</v>
      </c>
      <c r="C4387" s="33" t="str">
        <f t="shared" si="274"/>
        <v>11350-0000</v>
      </c>
      <c r="D4387" t="s">
        <v>29387</v>
      </c>
      <c r="E4387" t="s">
        <v>14153</v>
      </c>
      <c r="F4387" t="s">
        <v>14039</v>
      </c>
      <c r="G4387" t="s">
        <v>14672</v>
      </c>
      <c r="H4387" t="s">
        <v>13869</v>
      </c>
      <c r="I4387" t="s">
        <v>14690</v>
      </c>
      <c r="J4387" s="62">
        <v>0</v>
      </c>
      <c r="K4387" s="62">
        <v>0</v>
      </c>
      <c r="L4387" t="str">
        <f>VLOOKUP(VALUE(LEFT(C4387,5)),Xref!A:B,2,0)</f>
        <v>EAL</v>
      </c>
      <c r="M4387" t="str">
        <f t="shared" si="275"/>
        <v>EAL-WEP</v>
      </c>
    </row>
    <row r="4388" spans="1:13" ht="14.25" customHeight="true">
      <c r="A4388" s="33" t="str">
        <f t="shared" si="272"/>
        <v>WEP - Intercompany</v>
      </c>
      <c r="B4388" s="33" t="str">
        <f t="shared" si="273"/>
        <v>WEP</v>
      </c>
      <c r="C4388" s="33" t="str">
        <f t="shared" si="274"/>
        <v>11351-0000</v>
      </c>
      <c r="D4388" t="s">
        <v>29388</v>
      </c>
      <c r="E4388" t="s">
        <v>14155</v>
      </c>
      <c r="F4388" t="s">
        <v>14039</v>
      </c>
      <c r="G4388" t="s">
        <v>14672</v>
      </c>
      <c r="H4388" t="s">
        <v>13869</v>
      </c>
      <c r="I4388" t="s">
        <v>14690</v>
      </c>
      <c r="J4388" s="62">
        <v>0</v>
      </c>
      <c r="K4388" s="62">
        <v>0</v>
      </c>
      <c r="L4388" t="str">
        <f>VLOOKUP(VALUE(LEFT(C4388,5)),Xref!A:B,2,0)</f>
        <v>WEP</v>
      </c>
      <c r="M4388" t="str">
        <f t="shared" si="275"/>
        <v>WEP-WEP</v>
      </c>
    </row>
    <row r="4389" spans="1:13" ht="14.25" customHeight="true">
      <c r="A4389" s="33" t="str">
        <f t="shared" si="272"/>
        <v>WEP - Intercompany</v>
      </c>
      <c r="B4389" s="33" t="str">
        <f t="shared" si="273"/>
        <v>WEP</v>
      </c>
      <c r="C4389" s="33" t="str">
        <f t="shared" si="274"/>
        <v>11352-0000</v>
      </c>
      <c r="D4389" t="s">
        <v>29389</v>
      </c>
      <c r="E4389" t="s">
        <v>13536</v>
      </c>
      <c r="F4389" t="s">
        <v>14039</v>
      </c>
      <c r="G4389" t="s">
        <v>14672</v>
      </c>
      <c r="H4389" t="s">
        <v>13869</v>
      </c>
      <c r="I4389" t="s">
        <v>14690</v>
      </c>
      <c r="J4389" s="62">
        <v>0</v>
      </c>
      <c r="K4389" s="62">
        <v>0</v>
      </c>
      <c r="L4389" t="str">
        <f>VLOOKUP(VALUE(LEFT(C4389,5)),Xref!A:B,2,0)</f>
        <v>KLP</v>
      </c>
      <c r="M4389" t="str">
        <f t="shared" si="275"/>
        <v>KLP-WEP</v>
      </c>
    </row>
    <row r="4390" spans="1:13" ht="14.25" customHeight="true">
      <c r="A4390" s="33" t="str">
        <f t="shared" si="272"/>
        <v>WEP - Intercompany</v>
      </c>
      <c r="B4390" s="33" t="str">
        <f t="shared" si="273"/>
        <v>WEP</v>
      </c>
      <c r="C4390" s="33" t="str">
        <f t="shared" si="274"/>
        <v>11353-0000</v>
      </c>
      <c r="D4390" t="s">
        <v>29390</v>
      </c>
      <c r="E4390" t="s">
        <v>13537</v>
      </c>
      <c r="F4390" t="s">
        <v>14039</v>
      </c>
      <c r="G4390" t="s">
        <v>14672</v>
      </c>
      <c r="H4390" t="s">
        <v>13869</v>
      </c>
      <c r="I4390" t="s">
        <v>14690</v>
      </c>
      <c r="J4390" s="62">
        <v>0</v>
      </c>
      <c r="K4390" s="62">
        <v>0</v>
      </c>
      <c r="L4390" t="str">
        <f>VLOOKUP(VALUE(LEFT(C4390,5)),Xref!A:B,2,0)</f>
        <v>AKC</v>
      </c>
      <c r="M4390" t="str">
        <f t="shared" si="275"/>
        <v>AKC-WEP</v>
      </c>
    </row>
    <row r="4391" spans="1:13" ht="14.25" customHeight="true">
      <c r="A4391" s="33" t="str">
        <f t="shared" si="272"/>
        <v>WEP - Intercompany</v>
      </c>
      <c r="B4391" s="33" t="str">
        <f t="shared" si="273"/>
        <v>WEP</v>
      </c>
      <c r="C4391" s="33" t="str">
        <f t="shared" si="274"/>
        <v>11354-0000</v>
      </c>
      <c r="D4391" t="s">
        <v>29391</v>
      </c>
      <c r="E4391" t="s">
        <v>13538</v>
      </c>
      <c r="F4391" t="s">
        <v>14039</v>
      </c>
      <c r="G4391" t="s">
        <v>14672</v>
      </c>
      <c r="H4391" t="s">
        <v>13869</v>
      </c>
      <c r="I4391" t="s">
        <v>14690</v>
      </c>
      <c r="J4391" s="62">
        <v>0</v>
      </c>
      <c r="K4391" s="62">
        <v>0</v>
      </c>
      <c r="L4391" t="str">
        <f>VLOOKUP(VALUE(LEFT(C4391,5)),Xref!A:B,2,0)</f>
        <v>AKA</v>
      </c>
      <c r="M4391" t="str">
        <f t="shared" si="275"/>
        <v>AKA-WEP</v>
      </c>
    </row>
    <row r="4392" spans="1:13" ht="14.25" customHeight="true">
      <c r="A4392" s="33" t="str">
        <f t="shared" si="272"/>
        <v>WEP - Intercompany</v>
      </c>
      <c r="B4392" s="33" t="str">
        <f t="shared" si="273"/>
        <v>WEP</v>
      </c>
      <c r="C4392" s="33" t="str">
        <f t="shared" si="274"/>
        <v>11355-0000</v>
      </c>
      <c r="D4392" t="s">
        <v>29392</v>
      </c>
      <c r="E4392" t="s">
        <v>13539</v>
      </c>
      <c r="F4392" t="s">
        <v>14039</v>
      </c>
      <c r="G4392" t="s">
        <v>14672</v>
      </c>
      <c r="H4392" t="s">
        <v>13869</v>
      </c>
      <c r="I4392" t="s">
        <v>14690</v>
      </c>
      <c r="J4392" s="62">
        <v>0</v>
      </c>
      <c r="K4392" s="62">
        <v>0</v>
      </c>
      <c r="L4392" t="str">
        <f>VLOOKUP(VALUE(LEFT(C4392,5)),Xref!A:B,2,0)</f>
        <v>SPA</v>
      </c>
      <c r="M4392" t="str">
        <f t="shared" si="275"/>
        <v>SPA-WEP</v>
      </c>
    </row>
    <row r="4393" spans="1:11" ht="14.25" customHeight="true">
      <c r="A4393" s="33" t="str">
        <f t="shared" si="272"/>
        <v>WEP - Intercompany</v>
      </c>
      <c r="B4393" s="33" t="str">
        <f t="shared" si="273"/>
        <v>WEP</v>
      </c>
      <c r="C4393" s="33" t="str">
        <f t="shared" si="274"/>
        <v>11356-0000</v>
      </c>
      <c r="D4393" t="s">
        <v>29393</v>
      </c>
      <c r="E4393" t="s">
        <v>13540</v>
      </c>
      <c r="F4393" t="s">
        <v>14039</v>
      </c>
      <c r="G4393" t="s">
        <v>14672</v>
      </c>
      <c r="H4393" t="s">
        <v>13869</v>
      </c>
      <c r="I4393" t="s">
        <v>14690</v>
      </c>
      <c r="J4393" s="62">
        <v>0</v>
      </c>
      <c r="K4393" s="62">
        <v>0</v>
      </c>
    </row>
    <row r="4394" spans="1:11" ht="14.25" customHeight="true">
      <c r="A4394" s="33" t="str">
        <f t="shared" si="272"/>
        <v>WEP - Intercompany</v>
      </c>
      <c r="B4394" s="33" t="str">
        <f t="shared" si="273"/>
        <v>WEP</v>
      </c>
      <c r="C4394" s="33" t="str">
        <f t="shared" si="274"/>
        <v>11357-0000</v>
      </c>
      <c r="D4394" t="s">
        <v>29394</v>
      </c>
      <c r="E4394" t="s">
        <v>13541</v>
      </c>
      <c r="F4394" t="s">
        <v>14039</v>
      </c>
      <c r="G4394" t="s">
        <v>14672</v>
      </c>
      <c r="H4394" t="s">
        <v>13869</v>
      </c>
      <c r="I4394" t="s">
        <v>14690</v>
      </c>
      <c r="J4394" s="62">
        <v>0</v>
      </c>
      <c r="K4394" s="62">
        <v>0</v>
      </c>
    </row>
    <row r="4395" spans="1:13">
      <c r="A4395" t="str">
        <f t="shared" si="272"/>
        <v>WEP - Intercompany</v>
      </c>
      <c r="B4395" t="str">
        <f t="shared" si="273"/>
        <v>WEP</v>
      </c>
      <c r="C4395" t="str">
        <f t="shared" si="274"/>
        <v>11358-0000</v>
      </c>
      <c r="D4395" t="s">
        <v>29395</v>
      </c>
      <c r="E4395" t="s">
        <v>13542</v>
      </c>
      <c r="F4395" t="s">
        <v>14039</v>
      </c>
      <c r="G4395" t="s">
        <v>14672</v>
      </c>
      <c r="H4395" t="s">
        <v>13869</v>
      </c>
      <c r="I4395" t="s">
        <v>14690</v>
      </c>
      <c r="J4395" s="62">
        <v>0</v>
      </c>
      <c r="K4395" s="62">
        <v>0</v>
      </c>
      <c r="L4395" t="str">
        <f>VLOOKUP(VALUE(LEFT(C4395,5)),Xref!A:B,2,0)</f>
        <v>GRA</v>
      </c>
      <c r="M4395" t="str">
        <f t="shared" ref="M4395:M4458" si="276">IF(B4395&lt;L4395,B4395&amp;"-"&amp;L4395,L4395&amp;"-"&amp;B4395)</f>
        <v>GRA-WEP</v>
      </c>
    </row>
    <row r="4396" spans="1:13">
      <c r="A4396" t="str">
        <f t="shared" si="272"/>
        <v>WEP - Intercompany</v>
      </c>
      <c r="B4396" t="str">
        <f t="shared" si="273"/>
        <v>WEP</v>
      </c>
      <c r="C4396" t="str">
        <f t="shared" si="274"/>
        <v>11359-0000</v>
      </c>
      <c r="D4396" t="s">
        <v>29396</v>
      </c>
      <c r="E4396" t="s">
        <v>13543</v>
      </c>
      <c r="F4396" t="s">
        <v>14039</v>
      </c>
      <c r="G4396" t="s">
        <v>14672</v>
      </c>
      <c r="H4396" t="s">
        <v>13869</v>
      </c>
      <c r="I4396" t="s">
        <v>14690</v>
      </c>
      <c r="J4396" s="62">
        <v>0</v>
      </c>
      <c r="K4396" s="62">
        <v>0</v>
      </c>
      <c r="L4396" t="str">
        <f>VLOOKUP(VALUE(LEFT(C4396,5)),Xref!A:B,2,0)</f>
        <v>TPI</v>
      </c>
      <c r="M4396" t="str">
        <f t="shared" si="276"/>
        <v>TPI-WEP</v>
      </c>
    </row>
    <row r="4397" spans="1:13">
      <c r="A4397" t="str">
        <f t="shared" si="272"/>
        <v>WEP - Intercompany</v>
      </c>
      <c r="B4397" t="str">
        <f t="shared" si="273"/>
        <v>WEP</v>
      </c>
      <c r="C4397" t="str">
        <f t="shared" si="274"/>
        <v>11361-0000</v>
      </c>
      <c r="D4397" t="s">
        <v>29397</v>
      </c>
      <c r="E4397" t="s">
        <v>14165</v>
      </c>
      <c r="F4397" t="s">
        <v>14039</v>
      </c>
      <c r="G4397" t="s">
        <v>14672</v>
      </c>
      <c r="H4397" t="s">
        <v>13869</v>
      </c>
      <c r="I4397" t="s">
        <v>14690</v>
      </c>
      <c r="J4397" s="62">
        <v>0</v>
      </c>
      <c r="K4397" s="62">
        <v>0</v>
      </c>
      <c r="L4397" t="str">
        <f>VLOOKUP(VALUE(LEFT(C4397,5)),Xref!A:B,2,0)</f>
        <v>GSM</v>
      </c>
      <c r="M4397" t="str">
        <f t="shared" si="276"/>
        <v>GSM-WEP</v>
      </c>
    </row>
    <row r="4398" spans="1:13">
      <c r="A4398" t="str">
        <f t="shared" si="272"/>
        <v>WEP - Intercompany</v>
      </c>
      <c r="B4398" t="str">
        <f t="shared" si="273"/>
        <v>WEP</v>
      </c>
      <c r="C4398" t="str">
        <f t="shared" si="274"/>
        <v>11363-0000</v>
      </c>
      <c r="D4398" t="s">
        <v>29398</v>
      </c>
      <c r="E4398" t="s">
        <v>13544</v>
      </c>
      <c r="F4398" t="s">
        <v>14039</v>
      </c>
      <c r="G4398" t="s">
        <v>14672</v>
      </c>
      <c r="H4398" t="s">
        <v>13869</v>
      </c>
      <c r="I4398" t="s">
        <v>14690</v>
      </c>
      <c r="J4398" s="62">
        <v>0</v>
      </c>
      <c r="K4398" s="62">
        <v>0</v>
      </c>
      <c r="L4398" t="str">
        <f>VLOOKUP(VALUE(LEFT(C4398,5)),Xref!A:B,2,0)</f>
        <v>SOF</v>
      </c>
      <c r="M4398" t="str">
        <f t="shared" si="276"/>
        <v>SOF-WEP</v>
      </c>
    </row>
    <row r="4399" spans="1:13">
      <c r="A4399" t="str">
        <f t="shared" si="272"/>
        <v>WEP - Intercompany</v>
      </c>
      <c r="B4399" t="str">
        <f t="shared" si="273"/>
        <v>WEP</v>
      </c>
      <c r="C4399" t="str">
        <f t="shared" si="274"/>
        <v>11364-0000</v>
      </c>
      <c r="D4399" t="s">
        <v>29399</v>
      </c>
      <c r="E4399" t="s">
        <v>14168</v>
      </c>
      <c r="F4399" t="s">
        <v>14039</v>
      </c>
      <c r="G4399" t="s">
        <v>14672</v>
      </c>
      <c r="H4399" t="s">
        <v>13869</v>
      </c>
      <c r="I4399" t="s">
        <v>14690</v>
      </c>
      <c r="J4399" s="62">
        <v>0</v>
      </c>
      <c r="K4399" s="62">
        <v>0</v>
      </c>
      <c r="L4399" t="e">
        <f>VLOOKUP(VALUE(LEFT(C4399,5)),Xref!A:B,2,0)</f>
        <v>#N/A</v>
      </c>
      <c r="M4399" t="e">
        <f t="shared" si="276"/>
        <v>#N/A</v>
      </c>
    </row>
    <row r="4400" spans="1:13">
      <c r="A4400" t="str">
        <f t="shared" si="272"/>
        <v>WEP - Intercompany</v>
      </c>
      <c r="B4400" t="str">
        <f t="shared" si="273"/>
        <v>WEP</v>
      </c>
      <c r="C4400" t="str">
        <f t="shared" si="274"/>
        <v>11365-0000</v>
      </c>
      <c r="D4400" t="s">
        <v>29400</v>
      </c>
      <c r="E4400" t="s">
        <v>14170</v>
      </c>
      <c r="F4400" t="s">
        <v>14039</v>
      </c>
      <c r="G4400" t="s">
        <v>14672</v>
      </c>
      <c r="H4400" t="s">
        <v>13869</v>
      </c>
      <c r="I4400" t="s">
        <v>14690</v>
      </c>
      <c r="J4400" s="62">
        <v>0</v>
      </c>
      <c r="K4400" s="62">
        <v>0</v>
      </c>
      <c r="L4400" t="e">
        <f>VLOOKUP(VALUE(LEFT(C4400,5)),Xref!A:B,2,0)</f>
        <v>#N/A</v>
      </c>
      <c r="M4400" t="e">
        <f t="shared" si="276"/>
        <v>#N/A</v>
      </c>
    </row>
    <row r="4401" spans="1:13">
      <c r="A4401" t="str">
        <f t="shared" si="272"/>
        <v>WEP - Intercompany</v>
      </c>
      <c r="B4401" t="str">
        <f t="shared" si="273"/>
        <v>WEP</v>
      </c>
      <c r="C4401" t="str">
        <f t="shared" si="274"/>
        <v>11366-0000</v>
      </c>
      <c r="D4401" t="s">
        <v>29401</v>
      </c>
      <c r="E4401" t="s">
        <v>14172</v>
      </c>
      <c r="G4401" t="s">
        <v>14672</v>
      </c>
      <c r="H4401" t="s">
        <v>13869</v>
      </c>
      <c r="I4401" t="s">
        <v>14690</v>
      </c>
      <c r="J4401" s="62">
        <v>0</v>
      </c>
      <c r="K4401" s="62">
        <v>0</v>
      </c>
      <c r="L4401" t="e">
        <f>VLOOKUP(VALUE(LEFT(C4401,5)),Xref!A:B,2,0)</f>
        <v>#N/A</v>
      </c>
      <c r="M4401" t="e">
        <f t="shared" si="276"/>
        <v>#N/A</v>
      </c>
    </row>
    <row r="4402" spans="1:13">
      <c r="A4402" t="str">
        <f t="shared" si="272"/>
        <v>WEP - Intercompany</v>
      </c>
      <c r="B4402" t="str">
        <f t="shared" si="273"/>
        <v>WEP</v>
      </c>
      <c r="C4402" t="str">
        <f t="shared" si="274"/>
        <v>11402-0000</v>
      </c>
      <c r="D4402" t="s">
        <v>29402</v>
      </c>
      <c r="E4402" t="s">
        <v>14174</v>
      </c>
      <c r="G4402" t="s">
        <v>14672</v>
      </c>
      <c r="H4402" t="s">
        <v>13869</v>
      </c>
      <c r="I4402" t="s">
        <v>14690</v>
      </c>
      <c r="J4402" s="62">
        <v>0</v>
      </c>
      <c r="K4402" s="62">
        <v>0</v>
      </c>
      <c r="L4402" t="str">
        <f>VLOOKUP(VALUE(LEFT(C4402,5)),Xref!A:B,2,0)</f>
        <v>DPI</v>
      </c>
      <c r="M4402" t="str">
        <f t="shared" si="276"/>
        <v>DPI-WEP</v>
      </c>
    </row>
    <row r="4403" spans="1:13">
      <c r="A4403" t="str">
        <f t="shared" si="272"/>
        <v>WEP - Intercompany</v>
      </c>
      <c r="B4403" t="str">
        <f t="shared" si="273"/>
        <v>WEP</v>
      </c>
      <c r="C4403" t="str">
        <f t="shared" si="274"/>
        <v>11403-0000</v>
      </c>
      <c r="D4403" t="s">
        <v>29403</v>
      </c>
      <c r="E4403" t="s">
        <v>14176</v>
      </c>
      <c r="G4403" t="s">
        <v>14672</v>
      </c>
      <c r="H4403" t="s">
        <v>13869</v>
      </c>
      <c r="I4403" t="s">
        <v>14690</v>
      </c>
      <c r="J4403" s="62">
        <v>0</v>
      </c>
      <c r="K4403" s="62">
        <v>0</v>
      </c>
      <c r="L4403" t="str">
        <f>VLOOKUP(VALUE(LEFT(C4403,5)),Xref!A:B,2,0)</f>
        <v>SEA</v>
      </c>
      <c r="M4403" t="str">
        <f t="shared" si="276"/>
        <v>SEA-WEP</v>
      </c>
    </row>
    <row r="4404" spans="1:13">
      <c r="A4404" t="str">
        <f t="shared" si="272"/>
        <v>WEP - Intercompany</v>
      </c>
      <c r="B4404" t="str">
        <f t="shared" si="273"/>
        <v>WEP</v>
      </c>
      <c r="C4404" t="str">
        <f t="shared" si="274"/>
        <v>12400-0000</v>
      </c>
      <c r="D4404" t="s">
        <v>29406</v>
      </c>
      <c r="E4404" t="s">
        <v>14185</v>
      </c>
      <c r="F4404" t="s">
        <v>14039</v>
      </c>
      <c r="G4404" t="s">
        <v>14672</v>
      </c>
      <c r="H4404" t="s">
        <v>13869</v>
      </c>
      <c r="I4404" t="s">
        <v>14690</v>
      </c>
      <c r="J4404" s="62">
        <v>0</v>
      </c>
      <c r="K4404" s="62">
        <v>0</v>
      </c>
      <c r="L4404" t="str">
        <f>VLOOKUP(VALUE(LEFT(C4404,5)),Xref!A:B,2,0)</f>
        <v>aka</v>
      </c>
      <c r="M4404" t="str">
        <f t="shared" si="276"/>
        <v>aka-WEP</v>
      </c>
    </row>
    <row r="4405" spans="1:13">
      <c r="A4405" t="str">
        <f t="shared" si="272"/>
        <v>WEP - Intercompany</v>
      </c>
      <c r="B4405" t="str">
        <f t="shared" si="273"/>
        <v>WEP</v>
      </c>
      <c r="C4405" t="str">
        <f t="shared" si="274"/>
        <v>12401-0000</v>
      </c>
      <c r="D4405" t="s">
        <v>29407</v>
      </c>
      <c r="E4405" t="s">
        <v>14187</v>
      </c>
      <c r="F4405" t="s">
        <v>14039</v>
      </c>
      <c r="G4405" t="s">
        <v>14672</v>
      </c>
      <c r="H4405" t="s">
        <v>13869</v>
      </c>
      <c r="I4405" t="s">
        <v>14690</v>
      </c>
      <c r="J4405" s="62">
        <v>0</v>
      </c>
      <c r="K4405" s="62">
        <v>0</v>
      </c>
      <c r="L4405" t="str">
        <f>VLOOKUP(VALUE(LEFT(C4405,5)),Xref!A:B,2,0)</f>
        <v>aka</v>
      </c>
      <c r="M4405" t="str">
        <f t="shared" si="276"/>
        <v>aka-WEP</v>
      </c>
    </row>
    <row r="4406" spans="1:13">
      <c r="A4406" t="str">
        <f t="shared" si="272"/>
        <v>WEP - Intercompany</v>
      </c>
      <c r="B4406" t="str">
        <f t="shared" si="273"/>
        <v>WEP</v>
      </c>
      <c r="C4406" t="str">
        <f t="shared" si="274"/>
        <v>12402-0000</v>
      </c>
      <c r="D4406" t="s">
        <v>29408</v>
      </c>
      <c r="E4406" t="s">
        <v>14189</v>
      </c>
      <c r="F4406" t="s">
        <v>14039</v>
      </c>
      <c r="G4406" t="s">
        <v>14672</v>
      </c>
      <c r="H4406" t="s">
        <v>13869</v>
      </c>
      <c r="I4406" t="s">
        <v>14690</v>
      </c>
      <c r="J4406" s="62">
        <v>0</v>
      </c>
      <c r="K4406" s="62">
        <v>0</v>
      </c>
      <c r="L4406" t="str">
        <f>VLOOKUP(VALUE(LEFT(C4406,5)),Xref!A:B,2,0)</f>
        <v>aka</v>
      </c>
      <c r="M4406" t="str">
        <f t="shared" si="276"/>
        <v>aka-WEP</v>
      </c>
    </row>
    <row r="4407" spans="1:13">
      <c r="A4407" t="str">
        <f t="shared" si="272"/>
        <v>WEP - Intercompany</v>
      </c>
      <c r="B4407" t="str">
        <f t="shared" si="273"/>
        <v>WEP</v>
      </c>
      <c r="C4407" t="str">
        <f t="shared" si="274"/>
        <v>12403-0000</v>
      </c>
      <c r="D4407" t="s">
        <v>29409</v>
      </c>
      <c r="E4407" t="s">
        <v>5226</v>
      </c>
      <c r="F4407" t="s">
        <v>14039</v>
      </c>
      <c r="G4407" t="s">
        <v>14672</v>
      </c>
      <c r="H4407" t="s">
        <v>13869</v>
      </c>
      <c r="I4407" t="s">
        <v>14690</v>
      </c>
      <c r="J4407" s="62">
        <v>0</v>
      </c>
      <c r="K4407" s="62">
        <v>0</v>
      </c>
      <c r="L4407" t="str">
        <f>VLOOKUP(VALUE(LEFT(C4407,5)),Xref!A:B,2,0)</f>
        <v>aka</v>
      </c>
      <c r="M4407" t="str">
        <f t="shared" si="276"/>
        <v>aka-WEP</v>
      </c>
    </row>
    <row r="4408" spans="1:13">
      <c r="A4408" t="str">
        <f t="shared" si="272"/>
        <v>WEP - Intercompany</v>
      </c>
      <c r="B4408" t="str">
        <f t="shared" si="273"/>
        <v>WEP</v>
      </c>
      <c r="C4408" t="str">
        <f t="shared" si="274"/>
        <v>12501-0000</v>
      </c>
      <c r="D4408" t="s">
        <v>29410</v>
      </c>
      <c r="E4408" t="s">
        <v>14192</v>
      </c>
      <c r="F4408" t="s">
        <v>14039</v>
      </c>
      <c r="G4408" t="s">
        <v>14672</v>
      </c>
      <c r="H4408" t="s">
        <v>13869</v>
      </c>
      <c r="I4408" t="s">
        <v>14690</v>
      </c>
      <c r="J4408" s="62">
        <v>0</v>
      </c>
      <c r="K4408" s="62">
        <v>0</v>
      </c>
      <c r="L4408" t="str">
        <f>VLOOKUP(VALUE(LEFT(C4408,5)),Xref!A:B,2,0)</f>
        <v>aka</v>
      </c>
      <c r="M4408" t="str">
        <f t="shared" si="276"/>
        <v>aka-WEP</v>
      </c>
    </row>
    <row r="4409" spans="1:13">
      <c r="A4409" t="str">
        <f t="shared" si="272"/>
        <v>WEP - InterCo Notes</v>
      </c>
      <c r="B4409" t="str">
        <f t="shared" si="273"/>
        <v>WEP</v>
      </c>
      <c r="C4409" t="str">
        <f t="shared" si="274"/>
        <v>25600-0000</v>
      </c>
      <c r="D4409" t="s">
        <v>29461</v>
      </c>
      <c r="E4409" t="s">
        <v>314</v>
      </c>
      <c r="F4409" t="s">
        <v>14039</v>
      </c>
      <c r="G4409" t="s">
        <v>14672</v>
      </c>
      <c r="H4409" t="s">
        <v>13889</v>
      </c>
      <c r="I4409" t="s">
        <v>14690</v>
      </c>
      <c r="J4409" s="62">
        <v>0</v>
      </c>
      <c r="K4409" s="62">
        <v>0</v>
      </c>
      <c r="L4409" t="str">
        <f>VLOOKUP(VALUE(LEFT(C4409,5)),Xref!A:B,2,0)</f>
        <v>D7</v>
      </c>
      <c r="M4409" t="str">
        <f t="shared" si="276"/>
        <v>D7-WEP</v>
      </c>
    </row>
    <row r="4410" spans="1:13">
      <c r="A4410" t="str">
        <f t="shared" si="272"/>
        <v>WEP - InterCo Notes</v>
      </c>
      <c r="B4410" t="str">
        <f t="shared" si="273"/>
        <v>WEP</v>
      </c>
      <c r="C4410" t="str">
        <f t="shared" si="274"/>
        <v>25602-0000</v>
      </c>
      <c r="D4410" t="s">
        <v>29463</v>
      </c>
      <c r="E4410" t="s">
        <v>13426</v>
      </c>
      <c r="F4410" t="s">
        <v>14039</v>
      </c>
      <c r="G4410" t="s">
        <v>14672</v>
      </c>
      <c r="H4410" t="s">
        <v>13889</v>
      </c>
      <c r="I4410" t="s">
        <v>14690</v>
      </c>
      <c r="J4410" s="62">
        <v>0</v>
      </c>
      <c r="K4410" s="62">
        <v>0</v>
      </c>
      <c r="L4410" t="str">
        <f>VLOOKUP(VALUE(LEFT(C4410,5)),Xref!A:B,2,0)</f>
        <v>DFLP</v>
      </c>
      <c r="M4410" t="str">
        <f t="shared" si="276"/>
        <v>DFLP-WEP</v>
      </c>
    </row>
    <row r="4411" spans="1:13">
      <c r="A4411" t="str">
        <f t="shared" si="272"/>
        <v>WEP - InterCo Notes</v>
      </c>
      <c r="B4411" t="str">
        <f t="shared" si="273"/>
        <v>WEP</v>
      </c>
      <c r="C4411" t="str">
        <f t="shared" si="274"/>
        <v>25603-0000</v>
      </c>
      <c r="D4411" t="s">
        <v>29464</v>
      </c>
      <c r="E4411" t="s">
        <v>14311</v>
      </c>
      <c r="F4411" t="s">
        <v>14039</v>
      </c>
      <c r="G4411" t="s">
        <v>14832</v>
      </c>
      <c r="H4411" t="s">
        <v>13889</v>
      </c>
      <c r="I4411" t="s">
        <v>14690</v>
      </c>
      <c r="J4411" s="62">
        <v>0</v>
      </c>
      <c r="K4411" s="62">
        <v>0</v>
      </c>
      <c r="L4411" t="str">
        <f>VLOOKUP(VALUE(LEFT(C4411,5)),Xref!A:B,2,0)</f>
        <v>aka</v>
      </c>
      <c r="M4411" t="str">
        <f t="shared" si="276"/>
        <v>aka-WEP</v>
      </c>
    </row>
    <row r="4412" spans="1:13">
      <c r="A4412" t="str">
        <f t="shared" si="272"/>
        <v>WEP - Intercompany</v>
      </c>
      <c r="B4412" t="str">
        <f t="shared" si="273"/>
        <v>WEP</v>
      </c>
      <c r="C4412" t="str">
        <f t="shared" si="274"/>
        <v>25604-0000</v>
      </c>
      <c r="D4412" t="s">
        <v>29465</v>
      </c>
      <c r="E4412" t="s">
        <v>13490</v>
      </c>
      <c r="F4412" t="s">
        <v>14039</v>
      </c>
      <c r="G4412" t="s">
        <v>14672</v>
      </c>
      <c r="H4412" t="s">
        <v>13869</v>
      </c>
      <c r="I4412" t="s">
        <v>14690</v>
      </c>
      <c r="J4412" s="62">
        <v>0</v>
      </c>
      <c r="K4412" s="62">
        <v>0</v>
      </c>
      <c r="L4412">
        <f>VLOOKUP(VALUE(LEFT(C4412,5)),Xref!A:B,2,0)</f>
        <v>0</v>
      </c>
      <c r="M4412" t="str">
        <f t="shared" si="276"/>
        <v>0-WEP</v>
      </c>
    </row>
    <row r="4413" spans="1:13">
      <c r="A4413" t="str">
        <f t="shared" si="272"/>
        <v>WES - Intercompany</v>
      </c>
      <c r="B4413" t="str">
        <f t="shared" si="273"/>
        <v>WES</v>
      </c>
      <c r="C4413" t="str">
        <f t="shared" si="274"/>
        <v>11200-0000</v>
      </c>
      <c r="D4413" t="s">
        <v>29631</v>
      </c>
      <c r="E4413" t="s">
        <v>14069</v>
      </c>
      <c r="F4413" t="s">
        <v>14039</v>
      </c>
      <c r="G4413" t="s">
        <v>14672</v>
      </c>
      <c r="H4413" t="s">
        <v>13869</v>
      </c>
      <c r="I4413" t="s">
        <v>14690</v>
      </c>
      <c r="J4413" s="62">
        <v>0</v>
      </c>
      <c r="K4413" s="62">
        <v>0</v>
      </c>
      <c r="L4413" t="str">
        <f>VLOOKUP(VALUE(LEFT(C4413,5)),Xref!A:B,2,0)</f>
        <v>SCL</v>
      </c>
      <c r="M4413" t="str">
        <f t="shared" si="276"/>
        <v>SCL-WES</v>
      </c>
    </row>
    <row r="4414" spans="1:13">
      <c r="A4414" t="str">
        <f t="shared" si="272"/>
        <v>WES - Intercompany</v>
      </c>
      <c r="B4414" t="str">
        <f t="shared" si="273"/>
        <v>WES</v>
      </c>
      <c r="C4414" t="str">
        <f t="shared" si="274"/>
        <v>11201-0000</v>
      </c>
      <c r="D4414" t="s">
        <v>29632</v>
      </c>
      <c r="E4414" t="s">
        <v>14071</v>
      </c>
      <c r="F4414" t="s">
        <v>14039</v>
      </c>
      <c r="G4414" t="s">
        <v>14672</v>
      </c>
      <c r="H4414" t="s">
        <v>13869</v>
      </c>
      <c r="I4414" t="s">
        <v>14690</v>
      </c>
      <c r="J4414" s="62">
        <v>0</v>
      </c>
      <c r="K4414" s="62">
        <v>0</v>
      </c>
      <c r="L4414" t="str">
        <f>VLOOKUP(VALUE(LEFT(C4414,5)),Xref!A:B,2,0)</f>
        <v>SG2</v>
      </c>
      <c r="M4414" t="str">
        <f t="shared" si="276"/>
        <v>SG2-WES</v>
      </c>
    </row>
    <row r="4415" spans="1:13">
      <c r="A4415" t="str">
        <f t="shared" si="272"/>
        <v>WES - Intercompany</v>
      </c>
      <c r="B4415" t="str">
        <f t="shared" si="273"/>
        <v>WES</v>
      </c>
      <c r="C4415" t="str">
        <f t="shared" si="274"/>
        <v>11202-0000</v>
      </c>
      <c r="D4415" t="s">
        <v>29633</v>
      </c>
      <c r="E4415" t="s">
        <v>14073</v>
      </c>
      <c r="F4415" t="s">
        <v>14039</v>
      </c>
      <c r="G4415" t="s">
        <v>14672</v>
      </c>
      <c r="H4415" t="s">
        <v>13869</v>
      </c>
      <c r="I4415" t="s">
        <v>14690</v>
      </c>
      <c r="J4415" s="62">
        <v>0</v>
      </c>
      <c r="K4415" s="62">
        <v>0</v>
      </c>
      <c r="L4415" t="str">
        <f>VLOOKUP(VALUE(LEFT(C4415,5)),Xref!A:B,2,0)</f>
        <v>FFC</v>
      </c>
      <c r="M4415" t="str">
        <f t="shared" si="276"/>
        <v>FFC-WES</v>
      </c>
    </row>
    <row r="4416" spans="1:13">
      <c r="A4416" t="str">
        <f t="shared" si="272"/>
        <v>WES - Intercompany</v>
      </c>
      <c r="B4416" t="str">
        <f t="shared" si="273"/>
        <v>WES</v>
      </c>
      <c r="C4416" t="str">
        <f t="shared" si="274"/>
        <v>11203-0000</v>
      </c>
      <c r="D4416" t="s">
        <v>29634</v>
      </c>
      <c r="E4416" t="s">
        <v>14075</v>
      </c>
      <c r="F4416" t="s">
        <v>14039</v>
      </c>
      <c r="G4416" t="s">
        <v>14672</v>
      </c>
      <c r="H4416" t="s">
        <v>13869</v>
      </c>
      <c r="I4416" t="s">
        <v>14690</v>
      </c>
      <c r="J4416" s="62">
        <v>0</v>
      </c>
      <c r="K4416" s="62">
        <v>0</v>
      </c>
      <c r="L4416" t="str">
        <f>VLOOKUP(VALUE(LEFT(C4416,5)),Xref!A:B,2,0)</f>
        <v>HN2</v>
      </c>
      <c r="M4416" t="str">
        <f t="shared" si="276"/>
        <v>HN2-WES</v>
      </c>
    </row>
    <row r="4417" spans="1:13">
      <c r="A4417" t="str">
        <f t="shared" si="272"/>
        <v>WES - Intercompany</v>
      </c>
      <c r="B4417" t="str">
        <f t="shared" si="273"/>
        <v>WES</v>
      </c>
      <c r="C4417" t="str">
        <f t="shared" si="274"/>
        <v>11204-0000</v>
      </c>
      <c r="D4417" t="s">
        <v>29635</v>
      </c>
      <c r="E4417" t="s">
        <v>14077</v>
      </c>
      <c r="F4417" t="s">
        <v>14039</v>
      </c>
      <c r="G4417" t="s">
        <v>14672</v>
      </c>
      <c r="H4417" t="s">
        <v>13869</v>
      </c>
      <c r="I4417" t="s">
        <v>14690</v>
      </c>
      <c r="J4417" s="62">
        <v>0</v>
      </c>
      <c r="K4417" s="62">
        <v>0</v>
      </c>
      <c r="L4417" t="str">
        <f>VLOOKUP(VALUE(LEFT(C4417,5)),Xref!A:B,2,0)</f>
        <v>DF2</v>
      </c>
      <c r="M4417" t="str">
        <f t="shared" si="276"/>
        <v>DF2-WES</v>
      </c>
    </row>
    <row r="4418" spans="1:13">
      <c r="A4418" t="str">
        <f t="shared" ref="A4418:A4481" si="277">B4418&amp;" - "&amp;TRIM(H4418)</f>
        <v>WES - Intercompany</v>
      </c>
      <c r="B4418" t="str">
        <f t="shared" ref="B4418:B4481" si="278">LEFT(D4418,3)</f>
        <v>WES</v>
      </c>
      <c r="C4418" t="str">
        <f t="shared" ref="C4418:C4481" si="279">RIGHT(D4418,10)</f>
        <v>11208-0000</v>
      </c>
      <c r="D4418" t="s">
        <v>29636</v>
      </c>
      <c r="E4418" t="s">
        <v>14079</v>
      </c>
      <c r="F4418" t="s">
        <v>14039</v>
      </c>
      <c r="G4418" t="s">
        <v>14672</v>
      </c>
      <c r="H4418" t="s">
        <v>13869</v>
      </c>
      <c r="I4418" t="s">
        <v>14690</v>
      </c>
      <c r="J4418" s="62">
        <v>0</v>
      </c>
      <c r="K4418" s="62">
        <v>0</v>
      </c>
      <c r="L4418" t="str">
        <f>VLOOKUP(VALUE(LEFT(C4418,5)),Xref!A:B,2,0)</f>
        <v>SRE</v>
      </c>
      <c r="M4418" t="str">
        <f t="shared" si="276"/>
        <v>SRE-WES</v>
      </c>
    </row>
    <row r="4419" spans="1:13">
      <c r="A4419" t="str">
        <f t="shared" si="277"/>
        <v>WES - Intercompany</v>
      </c>
      <c r="B4419" t="str">
        <f t="shared" si="278"/>
        <v>WES</v>
      </c>
      <c r="C4419" t="str">
        <f t="shared" si="279"/>
        <v>11210-0000</v>
      </c>
      <c r="D4419" t="s">
        <v>29637</v>
      </c>
      <c r="E4419" t="s">
        <v>14081</v>
      </c>
      <c r="F4419" t="s">
        <v>14039</v>
      </c>
      <c r="G4419" t="s">
        <v>14672</v>
      </c>
      <c r="H4419" t="s">
        <v>13869</v>
      </c>
      <c r="I4419" t="s">
        <v>14690</v>
      </c>
      <c r="J4419" s="62">
        <v>0</v>
      </c>
      <c r="K4419" s="62">
        <v>0</v>
      </c>
      <c r="L4419" t="str">
        <f>VLOOKUP(VALUE(LEFT(C4419,5)),Xref!A:B,2,0)</f>
        <v>REM</v>
      </c>
      <c r="M4419" t="str">
        <f t="shared" si="276"/>
        <v>REM-WES</v>
      </c>
    </row>
    <row r="4420" spans="1:13">
      <c r="A4420" t="str">
        <f t="shared" si="277"/>
        <v>WES - Intercompany</v>
      </c>
      <c r="B4420" t="str">
        <f t="shared" si="278"/>
        <v>WES</v>
      </c>
      <c r="C4420" t="str">
        <f t="shared" si="279"/>
        <v>11212-0000</v>
      </c>
      <c r="D4420" t="s">
        <v>29638</v>
      </c>
      <c r="E4420" t="s">
        <v>14083</v>
      </c>
      <c r="F4420" t="s">
        <v>14039</v>
      </c>
      <c r="G4420" t="s">
        <v>14672</v>
      </c>
      <c r="H4420" t="s">
        <v>13869</v>
      </c>
      <c r="I4420" t="s">
        <v>14690</v>
      </c>
      <c r="J4420" s="62">
        <v>0</v>
      </c>
      <c r="K4420" s="62">
        <v>0</v>
      </c>
      <c r="L4420" t="str">
        <f>VLOOKUP(VALUE(LEFT(C4420,5)),Xref!A:B,2,0)</f>
        <v>FRM</v>
      </c>
      <c r="M4420" t="str">
        <f t="shared" si="276"/>
        <v>FRM-WES</v>
      </c>
    </row>
    <row r="4421" spans="1:13">
      <c r="A4421" t="str">
        <f t="shared" si="277"/>
        <v>WES - Intercompany</v>
      </c>
      <c r="B4421" t="str">
        <f t="shared" si="278"/>
        <v>WES</v>
      </c>
      <c r="C4421" t="str">
        <f t="shared" si="279"/>
        <v>11214-0000</v>
      </c>
      <c r="D4421" t="s">
        <v>29639</v>
      </c>
      <c r="E4421" t="s">
        <v>14085</v>
      </c>
      <c r="F4421" t="s">
        <v>14039</v>
      </c>
      <c r="G4421" t="s">
        <v>14672</v>
      </c>
      <c r="H4421" t="s">
        <v>13869</v>
      </c>
      <c r="I4421" t="s">
        <v>14690</v>
      </c>
      <c r="J4421" s="62">
        <v>0</v>
      </c>
      <c r="K4421" s="62">
        <v>0</v>
      </c>
      <c r="L4421" t="str">
        <f>VLOOKUP(VALUE(LEFT(C4421,5)),Xref!A:B,2,0)</f>
        <v>D7R</v>
      </c>
      <c r="M4421" t="str">
        <f t="shared" si="276"/>
        <v>D7R-WES</v>
      </c>
    </row>
    <row r="4422" spans="1:13">
      <c r="A4422" t="str">
        <f t="shared" si="277"/>
        <v>WES - Intercompany</v>
      </c>
      <c r="B4422" t="str">
        <f t="shared" si="278"/>
        <v>WES</v>
      </c>
      <c r="C4422" t="str">
        <f t="shared" si="279"/>
        <v>11215-0000</v>
      </c>
      <c r="D4422" t="s">
        <v>29640</v>
      </c>
      <c r="E4422" t="s">
        <v>14087</v>
      </c>
      <c r="F4422" t="s">
        <v>14039</v>
      </c>
      <c r="G4422" t="s">
        <v>14672</v>
      </c>
      <c r="H4422" t="s">
        <v>13869</v>
      </c>
      <c r="I4422" t="s">
        <v>14690</v>
      </c>
      <c r="J4422" s="62">
        <v>0</v>
      </c>
      <c r="K4422" s="62">
        <v>0</v>
      </c>
      <c r="L4422" t="str">
        <f>VLOOKUP(VALUE(LEFT(C4422,5)),Xref!A:B,2,0)</f>
        <v>CDP</v>
      </c>
      <c r="M4422" t="str">
        <f t="shared" si="276"/>
        <v>CDP-WES</v>
      </c>
    </row>
    <row r="4423" spans="1:13">
      <c r="A4423" t="str">
        <f t="shared" si="277"/>
        <v>WES - Intercompany</v>
      </c>
      <c r="B4423" t="str">
        <f t="shared" si="278"/>
        <v>WES</v>
      </c>
      <c r="C4423" t="str">
        <f t="shared" si="279"/>
        <v>11216-0000</v>
      </c>
      <c r="D4423" t="s">
        <v>2786</v>
      </c>
      <c r="E4423" t="s">
        <v>13224</v>
      </c>
      <c r="F4423" t="s">
        <v>14039</v>
      </c>
      <c r="G4423" t="s">
        <v>14672</v>
      </c>
      <c r="H4423" t="s">
        <v>13869</v>
      </c>
      <c r="I4423" t="s">
        <v>14690</v>
      </c>
      <c r="J4423" s="62">
        <v>362.76</v>
      </c>
      <c r="K4423" s="62">
        <v>-16320.39</v>
      </c>
      <c r="L4423" t="str">
        <f>VLOOKUP(VALUE(LEFT(C4423,5)),Xref!A:B,2,0)</f>
        <v>SIL</v>
      </c>
      <c r="M4423" t="str">
        <f t="shared" si="276"/>
        <v>SIL-WES</v>
      </c>
    </row>
    <row r="4424" spans="1:13">
      <c r="A4424" t="str">
        <f t="shared" si="277"/>
        <v>WES - Intercompany</v>
      </c>
      <c r="B4424" t="str">
        <f t="shared" si="278"/>
        <v>WES</v>
      </c>
      <c r="C4424" t="str">
        <f t="shared" si="279"/>
        <v>11232-0000</v>
      </c>
      <c r="D4424" t="s">
        <v>29641</v>
      </c>
      <c r="E4424" t="s">
        <v>12486</v>
      </c>
      <c r="F4424" t="s">
        <v>14039</v>
      </c>
      <c r="G4424" t="s">
        <v>14672</v>
      </c>
      <c r="H4424" t="s">
        <v>13869</v>
      </c>
      <c r="I4424" t="s">
        <v>14690</v>
      </c>
      <c r="J4424" s="62">
        <v>0</v>
      </c>
      <c r="K4424" s="62">
        <v>0</v>
      </c>
      <c r="L4424" t="str">
        <f>VLOOKUP(VALUE(LEFT(C4424,5)),Xref!A:B,2,0)</f>
        <v>SC2</v>
      </c>
      <c r="M4424" t="str">
        <f t="shared" si="276"/>
        <v>SC2-WES</v>
      </c>
    </row>
    <row r="4425" spans="1:13">
      <c r="A4425" t="str">
        <f t="shared" si="277"/>
        <v>WES - Intercompany</v>
      </c>
      <c r="B4425" t="str">
        <f t="shared" si="278"/>
        <v>WES</v>
      </c>
      <c r="C4425" t="str">
        <f t="shared" si="279"/>
        <v>11301-0000</v>
      </c>
      <c r="D4425" t="s">
        <v>29642</v>
      </c>
      <c r="E4425" t="s">
        <v>13225</v>
      </c>
      <c r="F4425" t="s">
        <v>14039</v>
      </c>
      <c r="G4425" t="s">
        <v>14672</v>
      </c>
      <c r="H4425" t="s">
        <v>13869</v>
      </c>
      <c r="I4425" t="s">
        <v>14690</v>
      </c>
      <c r="J4425" s="62">
        <v>0</v>
      </c>
      <c r="K4425" s="62">
        <v>0</v>
      </c>
      <c r="L4425" t="str">
        <f>VLOOKUP(VALUE(LEFT(C4425,5)),Xref!A:B,2,0)</f>
        <v>CRE</v>
      </c>
      <c r="M4425" t="str">
        <f t="shared" si="276"/>
        <v>CRE-WES</v>
      </c>
    </row>
    <row r="4426" spans="1:13">
      <c r="A4426" t="str">
        <f t="shared" si="277"/>
        <v>WES - Intercompany</v>
      </c>
      <c r="B4426" t="str">
        <f t="shared" si="278"/>
        <v>WES</v>
      </c>
      <c r="C4426" t="str">
        <f t="shared" si="279"/>
        <v>11302-0000</v>
      </c>
      <c r="D4426" t="s">
        <v>29643</v>
      </c>
      <c r="E4426" t="s">
        <v>13226</v>
      </c>
      <c r="F4426" t="s">
        <v>14039</v>
      </c>
      <c r="G4426" t="s">
        <v>14672</v>
      </c>
      <c r="H4426" t="s">
        <v>13869</v>
      </c>
      <c r="I4426" t="s">
        <v>14690</v>
      </c>
      <c r="J4426" s="62">
        <v>0</v>
      </c>
      <c r="K4426" s="62">
        <v>0</v>
      </c>
      <c r="L4426" t="str">
        <f>VLOOKUP(VALUE(LEFT(C4426,5)),Xref!A:B,2,0)</f>
        <v>CHA</v>
      </c>
      <c r="M4426" t="str">
        <f t="shared" si="276"/>
        <v>CHA-WES</v>
      </c>
    </row>
    <row r="4427" spans="1:13">
      <c r="A4427" t="str">
        <f t="shared" si="277"/>
        <v>WES - Intercompany</v>
      </c>
      <c r="B4427" t="str">
        <f t="shared" si="278"/>
        <v>WES</v>
      </c>
      <c r="C4427" t="str">
        <f t="shared" si="279"/>
        <v>11303-0000</v>
      </c>
      <c r="D4427" t="s">
        <v>29644</v>
      </c>
      <c r="E4427" t="s">
        <v>13227</v>
      </c>
      <c r="F4427" t="s">
        <v>14039</v>
      </c>
      <c r="G4427" t="s">
        <v>14672</v>
      </c>
      <c r="H4427" t="s">
        <v>13869</v>
      </c>
      <c r="I4427" t="s">
        <v>14690</v>
      </c>
      <c r="J4427" s="62">
        <v>0</v>
      </c>
      <c r="K4427" s="62">
        <v>0</v>
      </c>
      <c r="L4427" t="str">
        <f>VLOOKUP(VALUE(LEFT(C4427,5)),Xref!A:B,2,0)</f>
        <v>DIA</v>
      </c>
      <c r="M4427" t="str">
        <f t="shared" si="276"/>
        <v>DIA-WES</v>
      </c>
    </row>
    <row r="4428" spans="1:13">
      <c r="A4428" t="str">
        <f t="shared" si="277"/>
        <v>WES - Intercompany</v>
      </c>
      <c r="B4428" t="str">
        <f t="shared" si="278"/>
        <v>WES</v>
      </c>
      <c r="C4428" t="str">
        <f t="shared" si="279"/>
        <v>11304-0000</v>
      </c>
      <c r="D4428" t="s">
        <v>29645</v>
      </c>
      <c r="E4428" t="s">
        <v>13228</v>
      </c>
      <c r="F4428" t="s">
        <v>14039</v>
      </c>
      <c r="G4428" t="s">
        <v>14672</v>
      </c>
      <c r="H4428" t="s">
        <v>13869</v>
      </c>
      <c r="I4428" t="s">
        <v>14690</v>
      </c>
      <c r="J4428" s="62">
        <v>0</v>
      </c>
      <c r="K4428" s="62">
        <v>0</v>
      </c>
      <c r="L4428" t="str">
        <f>VLOOKUP(VALUE(LEFT(C4428,5)),Xref!A:B,2,0)</f>
        <v>EAG</v>
      </c>
      <c r="M4428" t="str">
        <f t="shared" si="276"/>
        <v>EAG-WES</v>
      </c>
    </row>
    <row r="4429" spans="1:13">
      <c r="A4429" t="str">
        <f t="shared" si="277"/>
        <v>WES - Intercompany</v>
      </c>
      <c r="B4429" t="str">
        <f t="shared" si="278"/>
        <v>WES</v>
      </c>
      <c r="C4429" t="str">
        <f t="shared" si="279"/>
        <v>11305-0000</v>
      </c>
      <c r="D4429" t="s">
        <v>29646</v>
      </c>
      <c r="E4429" t="s">
        <v>13229</v>
      </c>
      <c r="F4429" t="s">
        <v>14039</v>
      </c>
      <c r="G4429" t="s">
        <v>14672</v>
      </c>
      <c r="H4429" t="s">
        <v>13869</v>
      </c>
      <c r="I4429" t="s">
        <v>14690</v>
      </c>
      <c r="J4429" s="62">
        <v>0</v>
      </c>
      <c r="K4429" s="62">
        <v>0</v>
      </c>
      <c r="L4429" t="str">
        <f>VLOOKUP(VALUE(LEFT(C4429,5)),Xref!A:B,2,0)</f>
        <v>NEW</v>
      </c>
      <c r="M4429" t="str">
        <f t="shared" si="276"/>
        <v>NEW-WES</v>
      </c>
    </row>
    <row r="4430" spans="1:13">
      <c r="A4430" t="str">
        <f t="shared" si="277"/>
        <v>WES - Intercompany</v>
      </c>
      <c r="B4430" t="str">
        <f t="shared" si="278"/>
        <v>WES</v>
      </c>
      <c r="C4430" t="str">
        <f t="shared" si="279"/>
        <v>11307-0000</v>
      </c>
      <c r="D4430" t="s">
        <v>29647</v>
      </c>
      <c r="E4430" t="s">
        <v>14096</v>
      </c>
      <c r="F4430" t="s">
        <v>14039</v>
      </c>
      <c r="G4430" t="s">
        <v>14672</v>
      </c>
      <c r="H4430" t="s">
        <v>13869</v>
      </c>
      <c r="I4430" t="s">
        <v>14690</v>
      </c>
      <c r="J4430" s="62">
        <v>0</v>
      </c>
      <c r="K4430" s="62">
        <v>0</v>
      </c>
      <c r="L4430" t="str">
        <f>VLOOKUP(VALUE(LEFT(C4430,5)),Xref!A:B,2,0)</f>
        <v>NES</v>
      </c>
      <c r="M4430" t="str">
        <f t="shared" si="276"/>
        <v>NES-WES</v>
      </c>
    </row>
    <row r="4431" spans="1:13">
      <c r="A4431" t="str">
        <f t="shared" si="277"/>
        <v>WES - Intercompany</v>
      </c>
      <c r="B4431" t="str">
        <f t="shared" si="278"/>
        <v>WES</v>
      </c>
      <c r="C4431" t="str">
        <f t="shared" si="279"/>
        <v>11308-0000</v>
      </c>
      <c r="D4431" t="s">
        <v>29648</v>
      </c>
      <c r="E4431" t="s">
        <v>13476</v>
      </c>
      <c r="F4431" t="s">
        <v>14039</v>
      </c>
      <c r="G4431" t="s">
        <v>14672</v>
      </c>
      <c r="H4431" t="s">
        <v>13869</v>
      </c>
      <c r="I4431" t="s">
        <v>14690</v>
      </c>
      <c r="J4431" s="62">
        <v>0</v>
      </c>
      <c r="K4431" s="62">
        <v>0</v>
      </c>
      <c r="L4431" t="str">
        <f>VLOOKUP(VALUE(LEFT(C4431,5)),Xref!A:B,2,0)</f>
        <v>LPI</v>
      </c>
      <c r="M4431" t="str">
        <f t="shared" si="276"/>
        <v>LPI-WES</v>
      </c>
    </row>
    <row r="4432" spans="1:13">
      <c r="A4432" t="str">
        <f t="shared" si="277"/>
        <v>WES - Intercompany</v>
      </c>
      <c r="B4432" t="str">
        <f t="shared" si="278"/>
        <v>WES</v>
      </c>
      <c r="C4432" t="str">
        <f t="shared" si="279"/>
        <v>11309-0000</v>
      </c>
      <c r="D4432" t="s">
        <v>29649</v>
      </c>
      <c r="E4432" t="s">
        <v>13230</v>
      </c>
      <c r="F4432" t="s">
        <v>14039</v>
      </c>
      <c r="G4432" t="s">
        <v>14672</v>
      </c>
      <c r="H4432" t="s">
        <v>13869</v>
      </c>
      <c r="I4432" t="s">
        <v>14690</v>
      </c>
      <c r="J4432" s="62">
        <v>0</v>
      </c>
      <c r="K4432" s="62">
        <v>0</v>
      </c>
      <c r="L4432" t="str">
        <f>VLOOKUP(VALUE(LEFT(C4432,5)),Xref!A:B,2,0)</f>
        <v>GPI</v>
      </c>
      <c r="M4432" t="str">
        <f t="shared" si="276"/>
        <v>GPI-WES</v>
      </c>
    </row>
    <row r="4433" spans="1:13">
      <c r="A4433" t="str">
        <f t="shared" si="277"/>
        <v>WES - Intercompany</v>
      </c>
      <c r="B4433" t="str">
        <f t="shared" si="278"/>
        <v>WES</v>
      </c>
      <c r="C4433" t="str">
        <f t="shared" si="279"/>
        <v>11310-0000</v>
      </c>
      <c r="D4433" t="s">
        <v>29650</v>
      </c>
      <c r="E4433" t="s">
        <v>13231</v>
      </c>
      <c r="F4433" t="s">
        <v>14039</v>
      </c>
      <c r="G4433" t="s">
        <v>14672</v>
      </c>
      <c r="H4433" t="s">
        <v>13869</v>
      </c>
      <c r="I4433" t="s">
        <v>14690</v>
      </c>
      <c r="J4433" s="62">
        <v>0</v>
      </c>
      <c r="K4433" s="62">
        <v>0</v>
      </c>
      <c r="L4433" t="str">
        <f>VLOOKUP(VALUE(LEFT(C4433,5)),Xref!A:B,2,0)</f>
        <v>ALP</v>
      </c>
      <c r="M4433" t="str">
        <f t="shared" si="276"/>
        <v>ALP-WES</v>
      </c>
    </row>
    <row r="4434" spans="1:13">
      <c r="A4434" t="str">
        <f t="shared" si="277"/>
        <v>WES - Intercompany</v>
      </c>
      <c r="B4434" t="str">
        <f t="shared" si="278"/>
        <v>WES</v>
      </c>
      <c r="C4434" t="str">
        <f t="shared" si="279"/>
        <v>11311-0000</v>
      </c>
      <c r="D4434" t="s">
        <v>29651</v>
      </c>
      <c r="E4434" t="s">
        <v>13232</v>
      </c>
      <c r="F4434" t="s">
        <v>14039</v>
      </c>
      <c r="G4434" t="s">
        <v>14672</v>
      </c>
      <c r="H4434" t="s">
        <v>13869</v>
      </c>
      <c r="I4434" t="s">
        <v>14690</v>
      </c>
      <c r="J4434" s="62">
        <v>0</v>
      </c>
      <c r="K4434" s="62">
        <v>0</v>
      </c>
      <c r="L4434" t="str">
        <f>VLOOKUP(VALUE(LEFT(C4434,5)),Xref!A:B,2,0)</f>
        <v>BET</v>
      </c>
      <c r="M4434" t="str">
        <f t="shared" si="276"/>
        <v>BET-WES</v>
      </c>
    </row>
    <row r="4435" spans="1:13">
      <c r="A4435" t="str">
        <f t="shared" si="277"/>
        <v>WES - Intercompany</v>
      </c>
      <c r="B4435" t="str">
        <f t="shared" si="278"/>
        <v>WES</v>
      </c>
      <c r="C4435" t="str">
        <f t="shared" si="279"/>
        <v>11312-0000</v>
      </c>
      <c r="D4435" t="s">
        <v>29652</v>
      </c>
      <c r="E4435" t="s">
        <v>14102</v>
      </c>
      <c r="F4435" t="s">
        <v>14039</v>
      </c>
      <c r="G4435" t="s">
        <v>14672</v>
      </c>
      <c r="H4435" t="s">
        <v>13869</v>
      </c>
      <c r="I4435" t="s">
        <v>14690</v>
      </c>
      <c r="J4435" s="62">
        <v>0</v>
      </c>
      <c r="K4435" s="62">
        <v>0</v>
      </c>
      <c r="L4435" t="str">
        <f>VLOOKUP(VALUE(LEFT(C4435,5)),Xref!A:B,2,0)</f>
        <v>DEL</v>
      </c>
      <c r="M4435" t="str">
        <f t="shared" si="276"/>
        <v>DEL-WES</v>
      </c>
    </row>
    <row r="4436" spans="1:13">
      <c r="A4436" t="str">
        <f t="shared" si="277"/>
        <v>WES - Intercompany</v>
      </c>
      <c r="B4436" t="str">
        <f t="shared" si="278"/>
        <v>WES</v>
      </c>
      <c r="C4436" t="str">
        <f t="shared" si="279"/>
        <v>11313-0000</v>
      </c>
      <c r="D4436" t="s">
        <v>29653</v>
      </c>
      <c r="E4436" t="s">
        <v>13233</v>
      </c>
      <c r="F4436" t="s">
        <v>14039</v>
      </c>
      <c r="G4436" t="s">
        <v>14672</v>
      </c>
      <c r="H4436" t="s">
        <v>13869</v>
      </c>
      <c r="I4436" t="s">
        <v>14690</v>
      </c>
      <c r="J4436" s="62">
        <v>0</v>
      </c>
      <c r="K4436" s="62">
        <v>0</v>
      </c>
      <c r="L4436" t="str">
        <f>VLOOKUP(VALUE(LEFT(C4436,5)),Xref!A:B,2,0)</f>
        <v>DOL</v>
      </c>
      <c r="M4436" t="str">
        <f t="shared" si="276"/>
        <v>DOL-WES</v>
      </c>
    </row>
    <row r="4437" spans="1:13">
      <c r="A4437" t="str">
        <f t="shared" si="277"/>
        <v>WES - Intercompany</v>
      </c>
      <c r="B4437" t="str">
        <f t="shared" si="278"/>
        <v>WES</v>
      </c>
      <c r="C4437" t="str">
        <f t="shared" si="279"/>
        <v>11314-0000</v>
      </c>
      <c r="D4437" t="s">
        <v>29654</v>
      </c>
      <c r="E4437" t="s">
        <v>13351</v>
      </c>
      <c r="F4437" t="s">
        <v>14039</v>
      </c>
      <c r="G4437" t="s">
        <v>14672</v>
      </c>
      <c r="H4437" t="s">
        <v>13869</v>
      </c>
      <c r="I4437" t="s">
        <v>14690</v>
      </c>
      <c r="J4437" s="62">
        <v>0</v>
      </c>
      <c r="K4437" s="62">
        <v>0</v>
      </c>
      <c r="L4437" t="str">
        <f>VLOOKUP(VALUE(LEFT(C4437,5)),Xref!A:B,2,0)</f>
        <v>GRI</v>
      </c>
      <c r="M4437" t="str">
        <f t="shared" si="276"/>
        <v>GRI-WES</v>
      </c>
    </row>
    <row r="4438" spans="1:13">
      <c r="A4438" t="str">
        <f t="shared" si="277"/>
        <v>WES - Intercompany</v>
      </c>
      <c r="B4438" t="str">
        <f t="shared" si="278"/>
        <v>WES</v>
      </c>
      <c r="C4438" t="str">
        <f t="shared" si="279"/>
        <v>11315-0000</v>
      </c>
      <c r="D4438" t="s">
        <v>29655</v>
      </c>
      <c r="E4438" t="s">
        <v>13234</v>
      </c>
      <c r="F4438" t="s">
        <v>14039</v>
      </c>
      <c r="G4438" t="s">
        <v>14672</v>
      </c>
      <c r="H4438" t="s">
        <v>13869</v>
      </c>
      <c r="I4438" t="s">
        <v>14690</v>
      </c>
      <c r="J4438" s="62">
        <v>0</v>
      </c>
      <c r="K4438" s="62">
        <v>0</v>
      </c>
      <c r="L4438" t="str">
        <f>VLOOKUP(VALUE(LEFT(C4438,5)),Xref!A:B,2,0)</f>
        <v>PUR</v>
      </c>
      <c r="M4438" t="str">
        <f t="shared" si="276"/>
        <v>PUR-WES</v>
      </c>
    </row>
    <row r="4439" spans="1:13">
      <c r="A4439" t="str">
        <f t="shared" si="277"/>
        <v>WES - Intercompany</v>
      </c>
      <c r="B4439" t="str">
        <f t="shared" si="278"/>
        <v>WES</v>
      </c>
      <c r="C4439" t="str">
        <f t="shared" si="279"/>
        <v>11316-0000</v>
      </c>
      <c r="D4439" t="s">
        <v>29656</v>
      </c>
      <c r="E4439" t="s">
        <v>13235</v>
      </c>
      <c r="F4439" t="s">
        <v>14039</v>
      </c>
      <c r="G4439" t="s">
        <v>14672</v>
      </c>
      <c r="H4439" t="s">
        <v>13869</v>
      </c>
      <c r="I4439" t="s">
        <v>14690</v>
      </c>
      <c r="J4439" s="62">
        <v>0</v>
      </c>
      <c r="K4439" s="62">
        <v>0</v>
      </c>
      <c r="L4439" t="str">
        <f>VLOOKUP(VALUE(LEFT(C4439,5)),Xref!A:B,2,0)</f>
        <v>VAL</v>
      </c>
      <c r="M4439" t="str">
        <f t="shared" si="276"/>
        <v>VAL-WES</v>
      </c>
    </row>
    <row r="4440" spans="1:13">
      <c r="A4440" t="str">
        <f t="shared" si="277"/>
        <v>WES - Intercompany</v>
      </c>
      <c r="B4440" t="str">
        <f t="shared" si="278"/>
        <v>WES</v>
      </c>
      <c r="C4440" t="str">
        <f t="shared" si="279"/>
        <v>11317-0000</v>
      </c>
      <c r="D4440" t="s">
        <v>29657</v>
      </c>
      <c r="E4440" t="s">
        <v>13352</v>
      </c>
      <c r="F4440" t="s">
        <v>14039</v>
      </c>
      <c r="G4440" t="s">
        <v>14672</v>
      </c>
      <c r="H4440" t="s">
        <v>13869</v>
      </c>
      <c r="I4440" t="s">
        <v>14690</v>
      </c>
      <c r="J4440" s="62">
        <v>0</v>
      </c>
      <c r="K4440" s="62">
        <v>0</v>
      </c>
      <c r="L4440" t="str">
        <f>VLOOKUP(VALUE(LEFT(C4440,5)),Xref!A:B,2,0)</f>
        <v>AKG</v>
      </c>
      <c r="M4440" t="str">
        <f t="shared" si="276"/>
        <v>AKG-WES</v>
      </c>
    </row>
    <row r="4441" spans="1:13">
      <c r="A4441" t="str">
        <f t="shared" si="277"/>
        <v>WES - Intercompany</v>
      </c>
      <c r="B4441" t="str">
        <f t="shared" si="278"/>
        <v>WES</v>
      </c>
      <c r="C4441" t="str">
        <f t="shared" si="279"/>
        <v>11318-0000</v>
      </c>
      <c r="D4441" t="s">
        <v>29658</v>
      </c>
      <c r="E4441" t="s">
        <v>13477</v>
      </c>
      <c r="F4441" t="s">
        <v>14039</v>
      </c>
      <c r="G4441" t="s">
        <v>14672</v>
      </c>
      <c r="H4441" t="s">
        <v>13869</v>
      </c>
      <c r="I4441" t="s">
        <v>14690</v>
      </c>
      <c r="J4441" s="62">
        <v>0</v>
      </c>
      <c r="K4441" s="62">
        <v>0</v>
      </c>
      <c r="L4441" t="str">
        <f>VLOOKUP(VALUE(LEFT(C4441,5)),Xref!A:B,2,0)</f>
        <v>FIR</v>
      </c>
      <c r="M4441" t="str">
        <f t="shared" si="276"/>
        <v>FIR-WES</v>
      </c>
    </row>
    <row r="4442" spans="1:13">
      <c r="A4442" t="str">
        <f t="shared" si="277"/>
        <v>WES - Intercompany</v>
      </c>
      <c r="B4442" t="str">
        <f t="shared" si="278"/>
        <v>WES</v>
      </c>
      <c r="C4442" t="str">
        <f t="shared" si="279"/>
        <v>11319-0000</v>
      </c>
      <c r="D4442" t="s">
        <v>29659</v>
      </c>
      <c r="E4442" t="s">
        <v>266</v>
      </c>
      <c r="F4442" t="s">
        <v>14039</v>
      </c>
      <c r="G4442" t="s">
        <v>14672</v>
      </c>
      <c r="H4442" t="s">
        <v>13869</v>
      </c>
      <c r="I4442" t="s">
        <v>14690</v>
      </c>
      <c r="J4442" s="62">
        <v>0</v>
      </c>
      <c r="K4442" s="62">
        <v>0</v>
      </c>
      <c r="L4442" t="str">
        <f>VLOOKUP(VALUE(LEFT(C4442,5)),Xref!A:B,2,0)</f>
        <v>GST</v>
      </c>
      <c r="M4442" t="str">
        <f t="shared" si="276"/>
        <v>GST-WES</v>
      </c>
    </row>
    <row r="4443" spans="1:13">
      <c r="A4443" t="str">
        <f t="shared" si="277"/>
        <v>WES - Intercompany</v>
      </c>
      <c r="B4443" t="str">
        <f t="shared" si="278"/>
        <v>WES</v>
      </c>
      <c r="C4443" t="str">
        <f t="shared" si="279"/>
        <v>11320-0000</v>
      </c>
      <c r="D4443" t="s">
        <v>29660</v>
      </c>
      <c r="E4443" t="s">
        <v>14111</v>
      </c>
      <c r="F4443" t="s">
        <v>14039</v>
      </c>
      <c r="G4443" t="s">
        <v>14672</v>
      </c>
      <c r="H4443" t="s">
        <v>13869</v>
      </c>
      <c r="I4443" t="s">
        <v>14690</v>
      </c>
      <c r="J4443" s="62">
        <v>0</v>
      </c>
      <c r="K4443" s="62">
        <v>0</v>
      </c>
      <c r="L4443" t="str">
        <f>VLOOKUP(VALUE(LEFT(C4443,5)),Xref!A:B,2,0)</f>
        <v>HDN</v>
      </c>
      <c r="M4443" t="str">
        <f t="shared" si="276"/>
        <v>HDN-WES</v>
      </c>
    </row>
    <row r="4444" spans="1:13">
      <c r="A4444" t="str">
        <f t="shared" si="277"/>
        <v>WES - Intercompany</v>
      </c>
      <c r="B4444" t="str">
        <f t="shared" si="278"/>
        <v>WES</v>
      </c>
      <c r="C4444" t="str">
        <f t="shared" si="279"/>
        <v>11321-0000</v>
      </c>
      <c r="D4444" t="s">
        <v>29661</v>
      </c>
      <c r="E4444" t="s">
        <v>13236</v>
      </c>
      <c r="F4444" t="s">
        <v>14039</v>
      </c>
      <c r="G4444" t="s">
        <v>14672</v>
      </c>
      <c r="H4444" t="s">
        <v>13869</v>
      </c>
      <c r="I4444" t="s">
        <v>14690</v>
      </c>
      <c r="J4444" s="62">
        <v>0</v>
      </c>
      <c r="K4444" s="62">
        <v>0</v>
      </c>
      <c r="L4444" t="str">
        <f>VLOOKUP(VALUE(LEFT(C4444,5)),Xref!A:B,2,0)</f>
        <v>OVA</v>
      </c>
      <c r="M4444" t="str">
        <f t="shared" si="276"/>
        <v>OVA-WES</v>
      </c>
    </row>
    <row r="4445" spans="1:13">
      <c r="A4445" t="str">
        <f t="shared" si="277"/>
        <v>WES - Intercompany</v>
      </c>
      <c r="B4445" t="str">
        <f t="shared" si="278"/>
        <v>WES</v>
      </c>
      <c r="C4445" t="str">
        <f t="shared" si="279"/>
        <v>11322-0000</v>
      </c>
      <c r="D4445" t="s">
        <v>29662</v>
      </c>
      <c r="E4445" t="s">
        <v>13237</v>
      </c>
      <c r="F4445" t="s">
        <v>14039</v>
      </c>
      <c r="G4445" t="s">
        <v>14672</v>
      </c>
      <c r="H4445" t="s">
        <v>13869</v>
      </c>
      <c r="I4445" t="s">
        <v>14690</v>
      </c>
      <c r="J4445" s="62">
        <v>0</v>
      </c>
      <c r="K4445" s="62">
        <v>0</v>
      </c>
      <c r="L4445" t="str">
        <f>VLOOKUP(VALUE(LEFT(C4445,5)),Xref!A:B,2,0)</f>
        <v>WOO</v>
      </c>
      <c r="M4445" t="str">
        <f t="shared" si="276"/>
        <v>WES-WOO</v>
      </c>
    </row>
    <row r="4446" spans="1:13">
      <c r="A4446" t="str">
        <f t="shared" si="277"/>
        <v>WES - Intercompany</v>
      </c>
      <c r="B4446" t="str">
        <f t="shared" si="278"/>
        <v>WES</v>
      </c>
      <c r="C4446" t="str">
        <f t="shared" si="279"/>
        <v>11323-0000</v>
      </c>
      <c r="D4446" t="s">
        <v>29663</v>
      </c>
      <c r="E4446" t="s">
        <v>13478</v>
      </c>
      <c r="F4446" t="s">
        <v>14039</v>
      </c>
      <c r="G4446" t="s">
        <v>14672</v>
      </c>
      <c r="H4446" t="s">
        <v>13869</v>
      </c>
      <c r="I4446" t="s">
        <v>14690</v>
      </c>
      <c r="J4446" s="62">
        <v>0</v>
      </c>
      <c r="K4446" s="62">
        <v>0</v>
      </c>
      <c r="L4446" t="str">
        <f>VLOOKUP(VALUE(LEFT(C4446,5)),Xref!A:B,2,0)</f>
        <v>SPI</v>
      </c>
      <c r="M4446" t="str">
        <f t="shared" si="276"/>
        <v>SPI-WES</v>
      </c>
    </row>
    <row r="4447" spans="1:13">
      <c r="A4447" t="str">
        <f t="shared" si="277"/>
        <v>WES - Intercompany</v>
      </c>
      <c r="B4447" t="str">
        <f t="shared" si="278"/>
        <v>WES</v>
      </c>
      <c r="C4447" t="str">
        <f t="shared" si="279"/>
        <v>11324-0000</v>
      </c>
      <c r="D4447" t="s">
        <v>29664</v>
      </c>
      <c r="E4447" t="s">
        <v>13238</v>
      </c>
      <c r="F4447" t="s">
        <v>14039</v>
      </c>
      <c r="G4447" t="s">
        <v>14672</v>
      </c>
      <c r="H4447" t="s">
        <v>13869</v>
      </c>
      <c r="I4447" t="s">
        <v>14690</v>
      </c>
      <c r="J4447" s="62">
        <v>0</v>
      </c>
      <c r="K4447" s="62">
        <v>0</v>
      </c>
      <c r="L4447" t="str">
        <f>VLOOKUP(VALUE(LEFT(C4447,5)),Xref!A:B,2,0)</f>
        <v>NET</v>
      </c>
      <c r="M4447" t="str">
        <f t="shared" si="276"/>
        <v>NET-WES</v>
      </c>
    </row>
    <row r="4448" spans="1:13">
      <c r="A4448" t="str">
        <f t="shared" si="277"/>
        <v>WES - Intercompany</v>
      </c>
      <c r="B4448" t="str">
        <f t="shared" si="278"/>
        <v>WES</v>
      </c>
      <c r="C4448" t="str">
        <f t="shared" si="279"/>
        <v>11325-0000</v>
      </c>
      <c r="D4448" t="s">
        <v>29665</v>
      </c>
      <c r="E4448" t="s">
        <v>13239</v>
      </c>
      <c r="F4448" t="s">
        <v>14039</v>
      </c>
      <c r="G4448" t="s">
        <v>14672</v>
      </c>
      <c r="H4448" t="s">
        <v>13869</v>
      </c>
      <c r="I4448" t="s">
        <v>14690</v>
      </c>
      <c r="J4448" s="62">
        <v>0</v>
      </c>
      <c r="K4448" s="62">
        <v>0</v>
      </c>
      <c r="L4448" t="str">
        <f>VLOOKUP(VALUE(LEFT(C4448,5)),Xref!A:B,2,0)</f>
        <v>DPI</v>
      </c>
      <c r="M4448" t="str">
        <f t="shared" si="276"/>
        <v>DPI-WES</v>
      </c>
    </row>
    <row r="4449" spans="1:13">
      <c r="A4449" t="str">
        <f t="shared" si="277"/>
        <v>WES - Intercompany</v>
      </c>
      <c r="B4449" t="str">
        <f t="shared" si="278"/>
        <v>WES</v>
      </c>
      <c r="C4449" t="str">
        <f t="shared" si="279"/>
        <v>11326-0000</v>
      </c>
      <c r="D4449" t="s">
        <v>29666</v>
      </c>
      <c r="E4449" t="s">
        <v>13240</v>
      </c>
      <c r="F4449" t="s">
        <v>14039</v>
      </c>
      <c r="G4449" t="s">
        <v>14672</v>
      </c>
      <c r="H4449" t="s">
        <v>13869</v>
      </c>
      <c r="I4449" t="s">
        <v>14690</v>
      </c>
      <c r="J4449" s="62">
        <v>0</v>
      </c>
      <c r="K4449" s="62">
        <v>0</v>
      </c>
      <c r="L4449" t="str">
        <f>VLOOKUP(VALUE(LEFT(C4449,5)),Xref!A:B,2,0)</f>
        <v>SEK</v>
      </c>
      <c r="M4449" t="str">
        <f t="shared" si="276"/>
        <v>SEK-WES</v>
      </c>
    </row>
    <row r="4450" spans="1:13">
      <c r="A4450" t="str">
        <f t="shared" si="277"/>
        <v>WES - Intercompany</v>
      </c>
      <c r="B4450" t="str">
        <f t="shared" si="278"/>
        <v>WES</v>
      </c>
      <c r="C4450" t="str">
        <f t="shared" si="279"/>
        <v>11327-0000</v>
      </c>
      <c r="D4450" t="s">
        <v>29667</v>
      </c>
      <c r="E4450" t="s">
        <v>14119</v>
      </c>
      <c r="F4450" t="s">
        <v>14039</v>
      </c>
      <c r="G4450" t="s">
        <v>14672</v>
      </c>
      <c r="H4450" t="s">
        <v>13869</v>
      </c>
      <c r="I4450" t="s">
        <v>14690</v>
      </c>
      <c r="J4450" s="62">
        <v>0</v>
      </c>
      <c r="K4450" s="62">
        <v>0</v>
      </c>
      <c r="L4450" t="str">
        <f>VLOOKUP(VALUE(LEFT(C4450,5)),Xref!A:B,2,0)</f>
        <v>CPI</v>
      </c>
      <c r="M4450" t="str">
        <f t="shared" si="276"/>
        <v>CPI-WES</v>
      </c>
    </row>
    <row r="4451" spans="1:13">
      <c r="A4451" t="str">
        <f t="shared" si="277"/>
        <v>WES - Intercompany</v>
      </c>
      <c r="B4451" t="str">
        <f t="shared" si="278"/>
        <v>WES</v>
      </c>
      <c r="C4451" t="str">
        <f t="shared" si="279"/>
        <v>11328-0000</v>
      </c>
      <c r="D4451" t="s">
        <v>29668</v>
      </c>
      <c r="E4451" t="s">
        <v>13241</v>
      </c>
      <c r="F4451" t="s">
        <v>14039</v>
      </c>
      <c r="G4451" t="s">
        <v>14672</v>
      </c>
      <c r="H4451" t="s">
        <v>13869</v>
      </c>
      <c r="I4451" t="s">
        <v>14690</v>
      </c>
      <c r="J4451" s="62">
        <v>0</v>
      </c>
      <c r="K4451" s="62">
        <v>0</v>
      </c>
      <c r="L4451" t="str">
        <f>VLOOKUP(VALUE(LEFT(C4451,5)),Xref!A:B,2,0)</f>
        <v>LOM</v>
      </c>
      <c r="M4451" t="str">
        <f t="shared" si="276"/>
        <v>LOM-WES</v>
      </c>
    </row>
    <row r="4452" spans="1:13">
      <c r="A4452" t="str">
        <f t="shared" si="277"/>
        <v>WES - Intercompany</v>
      </c>
      <c r="B4452" t="str">
        <f t="shared" si="278"/>
        <v>WES</v>
      </c>
      <c r="C4452" t="str">
        <f t="shared" si="279"/>
        <v>11329-0000</v>
      </c>
      <c r="D4452" t="s">
        <v>29669</v>
      </c>
      <c r="E4452" t="s">
        <v>13353</v>
      </c>
      <c r="F4452" t="s">
        <v>14039</v>
      </c>
      <c r="G4452" t="s">
        <v>14672</v>
      </c>
      <c r="H4452" t="s">
        <v>13869</v>
      </c>
      <c r="I4452" t="s">
        <v>14690</v>
      </c>
      <c r="J4452" s="62">
        <v>0</v>
      </c>
      <c r="K4452" s="62">
        <v>0</v>
      </c>
      <c r="L4452" t="str">
        <f>VLOOKUP(VALUE(LEFT(C4452,5)),Xref!A:B,2,0)</f>
        <v>AKS</v>
      </c>
      <c r="M4452" t="str">
        <f t="shared" si="276"/>
        <v>AKS-WES</v>
      </c>
    </row>
    <row r="4453" spans="1:13">
      <c r="A4453" t="str">
        <f t="shared" si="277"/>
        <v>WES - Intercompany</v>
      </c>
      <c r="B4453" t="str">
        <f t="shared" si="278"/>
        <v>WES</v>
      </c>
      <c r="C4453" t="str">
        <f t="shared" si="279"/>
        <v>11330-0000</v>
      </c>
      <c r="D4453" t="s">
        <v>29670</v>
      </c>
      <c r="E4453" t="s">
        <v>13242</v>
      </c>
      <c r="F4453" t="s">
        <v>14039</v>
      </c>
      <c r="G4453" t="s">
        <v>14672</v>
      </c>
      <c r="H4453" t="s">
        <v>13869</v>
      </c>
      <c r="I4453" t="s">
        <v>14690</v>
      </c>
      <c r="J4453" s="62">
        <v>0</v>
      </c>
      <c r="K4453" s="62">
        <v>0</v>
      </c>
      <c r="L4453" t="str">
        <f>VLOOKUP(VALUE(LEFT(C4453,5)),Xref!A:B,2,0)</f>
        <v>MAR</v>
      </c>
      <c r="M4453" t="str">
        <f t="shared" si="276"/>
        <v>MAR-WES</v>
      </c>
    </row>
    <row r="4454" spans="1:13">
      <c r="A4454" t="str">
        <f t="shared" si="277"/>
        <v>WES - Intercompany</v>
      </c>
      <c r="B4454" t="str">
        <f t="shared" si="278"/>
        <v>WES</v>
      </c>
      <c r="C4454" t="str">
        <f t="shared" si="279"/>
        <v>11331-0000</v>
      </c>
      <c r="D4454" t="s">
        <v>29671</v>
      </c>
      <c r="E4454" t="s">
        <v>13354</v>
      </c>
      <c r="F4454" t="s">
        <v>14039</v>
      </c>
      <c r="G4454" t="s">
        <v>14672</v>
      </c>
      <c r="H4454" t="s">
        <v>13869</v>
      </c>
      <c r="I4454" t="s">
        <v>14690</v>
      </c>
      <c r="J4454" s="62">
        <v>0</v>
      </c>
      <c r="K4454" s="62">
        <v>0</v>
      </c>
      <c r="L4454" t="str">
        <f>VLOOKUP(VALUE(LEFT(C4454,5)),Xref!A:B,2,0)</f>
        <v>WIL</v>
      </c>
      <c r="M4454" t="str">
        <f t="shared" si="276"/>
        <v>WES-WIL</v>
      </c>
    </row>
    <row r="4455" spans="1:13">
      <c r="A4455" t="str">
        <f t="shared" si="277"/>
        <v>WES - Intercompany</v>
      </c>
      <c r="B4455" t="str">
        <f t="shared" si="278"/>
        <v>WES</v>
      </c>
      <c r="C4455" t="str">
        <f t="shared" si="279"/>
        <v>11332-0000</v>
      </c>
      <c r="D4455" t="s">
        <v>29672</v>
      </c>
      <c r="E4455" t="s">
        <v>13243</v>
      </c>
      <c r="F4455" t="s">
        <v>14039</v>
      </c>
      <c r="G4455" t="s">
        <v>14672</v>
      </c>
      <c r="H4455" t="s">
        <v>13869</v>
      </c>
      <c r="I4455" t="s">
        <v>14690</v>
      </c>
      <c r="J4455" s="62">
        <v>0</v>
      </c>
      <c r="K4455" s="62">
        <v>0</v>
      </c>
      <c r="L4455" t="str">
        <f>VLOOKUP(VALUE(LEFT(C4455,5)),Xref!A:B,2,0)</f>
        <v>STO</v>
      </c>
      <c r="M4455" t="str">
        <f t="shared" si="276"/>
        <v>STO-WES</v>
      </c>
    </row>
    <row r="4456" spans="1:13">
      <c r="A4456" t="str">
        <f t="shared" si="277"/>
        <v>WES - Intercompany</v>
      </c>
      <c r="B4456" t="str">
        <f t="shared" si="278"/>
        <v>WES</v>
      </c>
      <c r="C4456" t="str">
        <f t="shared" si="279"/>
        <v>11333-0000</v>
      </c>
      <c r="D4456" t="s">
        <v>29673</v>
      </c>
      <c r="E4456" t="s">
        <v>13244</v>
      </c>
      <c r="F4456" t="s">
        <v>14039</v>
      </c>
      <c r="G4456" t="s">
        <v>14672</v>
      </c>
      <c r="H4456" t="s">
        <v>13869</v>
      </c>
      <c r="I4456" t="s">
        <v>14690</v>
      </c>
      <c r="J4456" s="62">
        <v>0</v>
      </c>
      <c r="K4456" s="62">
        <v>0</v>
      </c>
      <c r="L4456" t="str">
        <f>VLOOKUP(VALUE(LEFT(C4456,5)),Xref!A:B,2,0)</f>
        <v>ANG</v>
      </c>
      <c r="M4456" t="str">
        <f t="shared" si="276"/>
        <v>ANG-WES</v>
      </c>
    </row>
    <row r="4457" spans="1:13">
      <c r="A4457" t="str">
        <f t="shared" si="277"/>
        <v>WES - Intercompany</v>
      </c>
      <c r="B4457" t="str">
        <f t="shared" si="278"/>
        <v>WES</v>
      </c>
      <c r="C4457" t="str">
        <f t="shared" si="279"/>
        <v>11334-0000</v>
      </c>
      <c r="D4457" t="s">
        <v>29674</v>
      </c>
      <c r="E4457" t="s">
        <v>13245</v>
      </c>
      <c r="F4457" t="s">
        <v>14039</v>
      </c>
      <c r="G4457" t="s">
        <v>14672</v>
      </c>
      <c r="H4457" t="s">
        <v>13869</v>
      </c>
      <c r="I4457" t="s">
        <v>14690</v>
      </c>
      <c r="J4457" s="62">
        <v>0</v>
      </c>
      <c r="K4457" s="62">
        <v>0</v>
      </c>
      <c r="L4457" t="str">
        <f>VLOOKUP(VALUE(LEFT(C4457,5)),Xref!A:B,2,0)</f>
        <v>BRU</v>
      </c>
      <c r="M4457" t="str">
        <f t="shared" si="276"/>
        <v>BRU-WES</v>
      </c>
    </row>
    <row r="4458" spans="1:13">
      <c r="A4458" t="str">
        <f t="shared" si="277"/>
        <v>WES - Intercompany</v>
      </c>
      <c r="B4458" t="str">
        <f t="shared" si="278"/>
        <v>WES</v>
      </c>
      <c r="C4458" t="str">
        <f t="shared" si="279"/>
        <v>11335-0000</v>
      </c>
      <c r="D4458" t="s">
        <v>29675</v>
      </c>
      <c r="E4458" t="s">
        <v>13246</v>
      </c>
      <c r="F4458" t="s">
        <v>14039</v>
      </c>
      <c r="G4458" t="s">
        <v>14672</v>
      </c>
      <c r="H4458" t="s">
        <v>13869</v>
      </c>
      <c r="I4458" t="s">
        <v>14690</v>
      </c>
      <c r="J4458" s="62">
        <v>0</v>
      </c>
      <c r="K4458" s="62">
        <v>0</v>
      </c>
      <c r="L4458" t="str">
        <f>VLOOKUP(VALUE(LEFT(C4458,5)),Xref!A:B,2,0)</f>
        <v>VEN</v>
      </c>
      <c r="M4458" t="str">
        <f t="shared" si="276"/>
        <v>VEN-WES</v>
      </c>
    </row>
    <row r="4459" spans="1:13">
      <c r="A4459" t="str">
        <f t="shared" si="277"/>
        <v>WES - Intercompany</v>
      </c>
      <c r="B4459" t="str">
        <f t="shared" si="278"/>
        <v>WES</v>
      </c>
      <c r="C4459" t="str">
        <f t="shared" si="279"/>
        <v>11336-0000</v>
      </c>
      <c r="D4459" t="s">
        <v>29676</v>
      </c>
      <c r="E4459" t="s">
        <v>13247</v>
      </c>
      <c r="F4459" t="s">
        <v>14039</v>
      </c>
      <c r="G4459" t="s">
        <v>14672</v>
      </c>
      <c r="H4459" t="s">
        <v>13869</v>
      </c>
      <c r="I4459" t="s">
        <v>14690</v>
      </c>
      <c r="J4459" s="62">
        <v>0</v>
      </c>
      <c r="K4459" s="62">
        <v>0</v>
      </c>
      <c r="L4459" t="str">
        <f>VLOOKUP(VALUE(LEFT(C4459,5)),Xref!A:B,2,0)</f>
        <v>SAT</v>
      </c>
      <c r="M4459" t="str">
        <f t="shared" ref="M4459:M4522" si="280">IF(B4459&lt;L4459,B4459&amp;"-"&amp;L4459,L4459&amp;"-"&amp;B4459)</f>
        <v>SAT-WES</v>
      </c>
    </row>
    <row r="4460" spans="1:13">
      <c r="A4460" t="str">
        <f t="shared" si="277"/>
        <v>WES - Intercompany</v>
      </c>
      <c r="B4460" t="str">
        <f t="shared" si="278"/>
        <v>WES</v>
      </c>
      <c r="C4460" t="str">
        <f t="shared" si="279"/>
        <v>11337-0000</v>
      </c>
      <c r="D4460" t="s">
        <v>29677</v>
      </c>
      <c r="E4460" t="s">
        <v>13248</v>
      </c>
      <c r="F4460" t="s">
        <v>14039</v>
      </c>
      <c r="G4460" t="s">
        <v>14672</v>
      </c>
      <c r="H4460" t="s">
        <v>13869</v>
      </c>
      <c r="I4460" t="s">
        <v>14690</v>
      </c>
      <c r="J4460" s="62">
        <v>0</v>
      </c>
      <c r="K4460" s="62">
        <v>0</v>
      </c>
      <c r="L4460" t="str">
        <f>VLOOKUP(VALUE(LEFT(C4460,5)),Xref!A:B,2,0)</f>
        <v>NEP</v>
      </c>
      <c r="M4460" t="str">
        <f t="shared" si="280"/>
        <v>NEP-WES</v>
      </c>
    </row>
    <row r="4461" spans="1:13">
      <c r="A4461" t="str">
        <f t="shared" si="277"/>
        <v>WES - Intercompany</v>
      </c>
      <c r="B4461" t="str">
        <f t="shared" si="278"/>
        <v>WES</v>
      </c>
      <c r="C4461" t="str">
        <f t="shared" si="279"/>
        <v>11338-0000</v>
      </c>
      <c r="D4461" t="s">
        <v>29678</v>
      </c>
      <c r="E4461" t="s">
        <v>14131</v>
      </c>
      <c r="F4461" t="s">
        <v>14039</v>
      </c>
      <c r="G4461" t="s">
        <v>14672</v>
      </c>
      <c r="H4461" t="s">
        <v>13869</v>
      </c>
      <c r="I4461" t="s">
        <v>14690</v>
      </c>
      <c r="J4461" s="62">
        <v>0</v>
      </c>
      <c r="K4461" s="62">
        <v>0</v>
      </c>
      <c r="L4461" t="str">
        <f>VLOOKUP(VALUE(LEFT(C4461,5)),Xref!A:B,2,0)</f>
        <v>JUP</v>
      </c>
      <c r="M4461" t="str">
        <f t="shared" si="280"/>
        <v>JUP-WES</v>
      </c>
    </row>
    <row r="4462" spans="1:13">
      <c r="A4462" t="str">
        <f t="shared" si="277"/>
        <v>WES - Intercompany</v>
      </c>
      <c r="B4462" t="str">
        <f t="shared" si="278"/>
        <v>WES</v>
      </c>
      <c r="C4462" t="str">
        <f t="shared" si="279"/>
        <v>11339-0000</v>
      </c>
      <c r="D4462" t="s">
        <v>29679</v>
      </c>
      <c r="E4462" t="s">
        <v>14133</v>
      </c>
      <c r="F4462" t="s">
        <v>14039</v>
      </c>
      <c r="G4462" t="s">
        <v>14672</v>
      </c>
      <c r="H4462" t="s">
        <v>13869</v>
      </c>
      <c r="I4462" t="s">
        <v>14690</v>
      </c>
      <c r="J4462" s="62">
        <v>0</v>
      </c>
      <c r="K4462" s="62">
        <v>0</v>
      </c>
      <c r="L4462" t="str">
        <f>VLOOKUP(VALUE(LEFT(C4462,5)),Xref!A:B,2,0)</f>
        <v>WES</v>
      </c>
      <c r="M4462" t="str">
        <f t="shared" si="280"/>
        <v>WES-WES</v>
      </c>
    </row>
    <row r="4463" spans="1:13">
      <c r="A4463" t="str">
        <f t="shared" si="277"/>
        <v>WES - Intercompany</v>
      </c>
      <c r="B4463" t="str">
        <f t="shared" si="278"/>
        <v>WES</v>
      </c>
      <c r="C4463" t="str">
        <f t="shared" si="279"/>
        <v>11340-0000</v>
      </c>
      <c r="D4463" t="s">
        <v>29680</v>
      </c>
      <c r="E4463" t="s">
        <v>14135</v>
      </c>
      <c r="F4463" t="s">
        <v>14039</v>
      </c>
      <c r="G4463" t="s">
        <v>14672</v>
      </c>
      <c r="H4463" t="s">
        <v>13869</v>
      </c>
      <c r="I4463" t="s">
        <v>14690</v>
      </c>
      <c r="J4463" s="62">
        <v>0</v>
      </c>
      <c r="K4463" s="62">
        <v>0</v>
      </c>
      <c r="L4463" t="str">
        <f>VLOOKUP(VALUE(LEFT(C4463,5)),Xref!A:B,2,0)</f>
        <v>LCP</v>
      </c>
      <c r="M4463" t="str">
        <f t="shared" si="280"/>
        <v>LCP-WES</v>
      </c>
    </row>
    <row r="4464" spans="1:13">
      <c r="A4464" t="str">
        <f t="shared" si="277"/>
        <v>WES - Intercompany</v>
      </c>
      <c r="B4464" t="str">
        <f t="shared" si="278"/>
        <v>WES</v>
      </c>
      <c r="C4464" t="str">
        <f t="shared" si="279"/>
        <v>11341-0000</v>
      </c>
      <c r="D4464" t="s">
        <v>29681</v>
      </c>
      <c r="E4464" t="s">
        <v>13639</v>
      </c>
      <c r="F4464" t="s">
        <v>14039</v>
      </c>
      <c r="G4464" t="s">
        <v>14672</v>
      </c>
      <c r="H4464" t="s">
        <v>13869</v>
      </c>
      <c r="I4464" t="s">
        <v>14690</v>
      </c>
      <c r="J4464" s="62">
        <v>0</v>
      </c>
      <c r="K4464" s="62">
        <v>0</v>
      </c>
      <c r="L4464" t="str">
        <f>VLOOKUP(VALUE(LEFT(C4464,5)),Xref!A:B,2,0)</f>
        <v>NOR</v>
      </c>
      <c r="M4464" t="str">
        <f t="shared" si="280"/>
        <v>NOR-WES</v>
      </c>
    </row>
    <row r="4465" spans="1:13">
      <c r="A4465" t="str">
        <f t="shared" si="277"/>
        <v>WES - Intercompany</v>
      </c>
      <c r="B4465" t="str">
        <f t="shared" si="278"/>
        <v>WES</v>
      </c>
      <c r="C4465" t="str">
        <f t="shared" si="279"/>
        <v>11342-0000</v>
      </c>
      <c r="D4465" t="s">
        <v>29682</v>
      </c>
      <c r="E4465" t="s">
        <v>13355</v>
      </c>
      <c r="F4465" t="s">
        <v>14039</v>
      </c>
      <c r="G4465" t="s">
        <v>14672</v>
      </c>
      <c r="H4465" t="s">
        <v>13869</v>
      </c>
      <c r="I4465" t="s">
        <v>14690</v>
      </c>
      <c r="J4465" s="62">
        <v>0</v>
      </c>
      <c r="K4465" s="62">
        <v>0</v>
      </c>
      <c r="L4465" t="str">
        <f>VLOOKUP(VALUE(LEFT(C4465,5)),Xref!A:B,2,0)</f>
        <v>EAS</v>
      </c>
      <c r="M4465" t="str">
        <f t="shared" si="280"/>
        <v>EAS-WES</v>
      </c>
    </row>
    <row r="4466" spans="1:13">
      <c r="A4466" t="str">
        <f t="shared" si="277"/>
        <v>WES - Intercompany</v>
      </c>
      <c r="B4466" t="str">
        <f t="shared" si="278"/>
        <v>WES</v>
      </c>
      <c r="C4466" t="str">
        <f t="shared" si="279"/>
        <v>11343-0000</v>
      </c>
      <c r="D4466" t="s">
        <v>29683</v>
      </c>
      <c r="E4466" t="s">
        <v>14139</v>
      </c>
      <c r="F4466" t="s">
        <v>14039</v>
      </c>
      <c r="G4466" t="s">
        <v>14672</v>
      </c>
      <c r="H4466" t="s">
        <v>13869</v>
      </c>
      <c r="I4466" t="s">
        <v>14690</v>
      </c>
      <c r="J4466" s="62">
        <v>0</v>
      </c>
      <c r="K4466" s="62">
        <v>0</v>
      </c>
      <c r="L4466" t="str">
        <f>VLOOKUP(VALUE(LEFT(C4466,5)),Xref!A:B,2,0)</f>
        <v>GRA</v>
      </c>
      <c r="M4466" t="str">
        <f t="shared" si="280"/>
        <v>GRA-WES</v>
      </c>
    </row>
    <row r="4467" spans="1:13">
      <c r="A4467" t="str">
        <f t="shared" si="277"/>
        <v>WES - Intercompany</v>
      </c>
      <c r="B4467" t="str">
        <f t="shared" si="278"/>
        <v>WES</v>
      </c>
      <c r="C4467" t="str">
        <f t="shared" si="279"/>
        <v>11344-0000</v>
      </c>
      <c r="D4467" t="s">
        <v>29684</v>
      </c>
      <c r="E4467" t="s">
        <v>14141</v>
      </c>
      <c r="F4467" t="s">
        <v>14039</v>
      </c>
      <c r="G4467" t="s">
        <v>14672</v>
      </c>
      <c r="H4467" t="s">
        <v>13869</v>
      </c>
      <c r="I4467" t="s">
        <v>14690</v>
      </c>
      <c r="J4467" s="62">
        <v>0</v>
      </c>
      <c r="K4467" s="62">
        <v>0</v>
      </c>
      <c r="L4467" t="str">
        <f>VLOOKUP(VALUE(LEFT(C4467,5)),Xref!A:B,2,0)</f>
        <v>SOU</v>
      </c>
      <c r="M4467" t="str">
        <f t="shared" si="280"/>
        <v>SOU-WES</v>
      </c>
    </row>
    <row r="4468" spans="1:13">
      <c r="A4468" t="str">
        <f t="shared" si="277"/>
        <v>WES - Intercompany</v>
      </c>
      <c r="B4468" t="str">
        <f t="shared" si="278"/>
        <v>WES</v>
      </c>
      <c r="C4468" t="str">
        <f t="shared" si="279"/>
        <v>11345-0000</v>
      </c>
      <c r="D4468" t="s">
        <v>29685</v>
      </c>
      <c r="E4468" t="s">
        <v>14143</v>
      </c>
      <c r="F4468" t="s">
        <v>14039</v>
      </c>
      <c r="G4468" t="s">
        <v>14672</v>
      </c>
      <c r="H4468" t="s">
        <v>13869</v>
      </c>
      <c r="I4468" t="s">
        <v>14690</v>
      </c>
      <c r="J4468" s="62">
        <v>0</v>
      </c>
      <c r="K4468" s="62">
        <v>0</v>
      </c>
      <c r="L4468" t="str">
        <f>VLOOKUP(VALUE(LEFT(C4468,5)),Xref!A:B,2,0)</f>
        <v>API</v>
      </c>
      <c r="M4468" t="str">
        <f t="shared" si="280"/>
        <v>API-WES</v>
      </c>
    </row>
    <row r="4469" spans="1:13">
      <c r="A4469" t="str">
        <f t="shared" si="277"/>
        <v>WES - Intercompany</v>
      </c>
      <c r="B4469" t="str">
        <f t="shared" si="278"/>
        <v>WES</v>
      </c>
      <c r="C4469" t="str">
        <f t="shared" si="279"/>
        <v>11346-0000</v>
      </c>
      <c r="D4469" t="s">
        <v>29686</v>
      </c>
      <c r="E4469" t="s">
        <v>14145</v>
      </c>
      <c r="F4469" t="s">
        <v>14039</v>
      </c>
      <c r="G4469" t="s">
        <v>14672</v>
      </c>
      <c r="H4469" t="s">
        <v>13869</v>
      </c>
      <c r="I4469" t="s">
        <v>14690</v>
      </c>
      <c r="J4469" s="62">
        <v>0</v>
      </c>
      <c r="K4469" s="62">
        <v>0</v>
      </c>
      <c r="L4469" t="str">
        <f>VLOOKUP(VALUE(LEFT(C4469,5)),Xref!A:B,2,0)</f>
        <v>DPH</v>
      </c>
      <c r="M4469" t="str">
        <f t="shared" si="280"/>
        <v>DPH-WES</v>
      </c>
    </row>
    <row r="4470" spans="1:13">
      <c r="A4470" t="str">
        <f t="shared" si="277"/>
        <v>WES - Intercompany</v>
      </c>
      <c r="B4470" t="str">
        <f t="shared" si="278"/>
        <v>WES</v>
      </c>
      <c r="C4470" t="str">
        <f t="shared" si="279"/>
        <v>11347-0000</v>
      </c>
      <c r="D4470" t="s">
        <v>29687</v>
      </c>
      <c r="E4470" t="s">
        <v>14147</v>
      </c>
      <c r="F4470" t="s">
        <v>14039</v>
      </c>
      <c r="G4470" t="s">
        <v>14672</v>
      </c>
      <c r="H4470" t="s">
        <v>13869</v>
      </c>
      <c r="I4470" t="s">
        <v>14690</v>
      </c>
      <c r="J4470" s="62">
        <v>0</v>
      </c>
      <c r="K4470" s="62">
        <v>0</v>
      </c>
      <c r="L4470" t="str">
        <f>VLOOKUP(VALUE(LEFT(C4470,5)),Xref!A:B,2,0)</f>
        <v>ZPI</v>
      </c>
      <c r="M4470" t="str">
        <f t="shared" si="280"/>
        <v>WES-ZPI</v>
      </c>
    </row>
    <row r="4471" spans="1:13">
      <c r="A4471" t="str">
        <f t="shared" si="277"/>
        <v>WES - Intercompany</v>
      </c>
      <c r="B4471" t="str">
        <f t="shared" si="278"/>
        <v>WES</v>
      </c>
      <c r="C4471" t="str">
        <f t="shared" si="279"/>
        <v>11348-0000</v>
      </c>
      <c r="D4471" t="s">
        <v>29688</v>
      </c>
      <c r="E4471" t="s">
        <v>14149</v>
      </c>
      <c r="F4471" t="s">
        <v>14039</v>
      </c>
      <c r="G4471" t="s">
        <v>14672</v>
      </c>
      <c r="H4471" t="s">
        <v>13869</v>
      </c>
      <c r="I4471" t="s">
        <v>14690</v>
      </c>
      <c r="J4471" s="62">
        <v>0</v>
      </c>
      <c r="K4471" s="62">
        <v>0</v>
      </c>
      <c r="L4471" t="str">
        <f>VLOOKUP(VALUE(LEFT(C4471,5)),Xref!A:B,2,0)</f>
        <v>EAM</v>
      </c>
      <c r="M4471" t="str">
        <f t="shared" si="280"/>
        <v>EAM-WES</v>
      </c>
    </row>
    <row r="4472" spans="1:13">
      <c r="A4472" t="str">
        <f t="shared" si="277"/>
        <v>WES - Intercompany</v>
      </c>
      <c r="B4472" t="str">
        <f t="shared" si="278"/>
        <v>WES</v>
      </c>
      <c r="C4472" t="str">
        <f t="shared" si="279"/>
        <v>11349-0000</v>
      </c>
      <c r="D4472" t="s">
        <v>29689</v>
      </c>
      <c r="E4472" t="s">
        <v>14151</v>
      </c>
      <c r="F4472" t="s">
        <v>14039</v>
      </c>
      <c r="G4472" t="s">
        <v>14672</v>
      </c>
      <c r="H4472" t="s">
        <v>13869</v>
      </c>
      <c r="I4472" t="s">
        <v>14690</v>
      </c>
      <c r="J4472" s="62">
        <v>0</v>
      </c>
      <c r="K4472" s="62">
        <v>0</v>
      </c>
      <c r="L4472" t="str">
        <f>VLOOKUP(VALUE(LEFT(C4472,5)),Xref!A:B,2,0)</f>
        <v>SEA</v>
      </c>
      <c r="M4472" t="str">
        <f t="shared" si="280"/>
        <v>SEA-WES</v>
      </c>
    </row>
    <row r="4473" spans="1:13">
      <c r="A4473" t="str">
        <f t="shared" si="277"/>
        <v>WES - Intercompany</v>
      </c>
      <c r="B4473" t="str">
        <f t="shared" si="278"/>
        <v>WES</v>
      </c>
      <c r="C4473" t="str">
        <f t="shared" si="279"/>
        <v>11350-0000</v>
      </c>
      <c r="D4473" t="s">
        <v>29690</v>
      </c>
      <c r="E4473" t="s">
        <v>14153</v>
      </c>
      <c r="F4473" t="s">
        <v>14039</v>
      </c>
      <c r="G4473" t="s">
        <v>14672</v>
      </c>
      <c r="H4473" t="s">
        <v>13869</v>
      </c>
      <c r="I4473" t="s">
        <v>14690</v>
      </c>
      <c r="J4473" s="62">
        <v>0</v>
      </c>
      <c r="K4473" s="62">
        <v>-0.51</v>
      </c>
      <c r="L4473" t="str">
        <f>VLOOKUP(VALUE(LEFT(C4473,5)),Xref!A:B,2,0)</f>
        <v>EAL</v>
      </c>
      <c r="M4473" t="str">
        <f t="shared" si="280"/>
        <v>EAL-WES</v>
      </c>
    </row>
    <row r="4474" spans="1:13">
      <c r="A4474" t="str">
        <f t="shared" si="277"/>
        <v>WES - Intercompany</v>
      </c>
      <c r="B4474" t="str">
        <f t="shared" si="278"/>
        <v>WES</v>
      </c>
      <c r="C4474" t="str">
        <f t="shared" si="279"/>
        <v>11351-0000</v>
      </c>
      <c r="D4474" t="s">
        <v>29691</v>
      </c>
      <c r="E4474" t="s">
        <v>14155</v>
      </c>
      <c r="F4474" t="s">
        <v>14039</v>
      </c>
      <c r="G4474" t="s">
        <v>14672</v>
      </c>
      <c r="H4474" t="s">
        <v>13869</v>
      </c>
      <c r="I4474" t="s">
        <v>14690</v>
      </c>
      <c r="J4474" s="62">
        <v>0</v>
      </c>
      <c r="K4474" s="62">
        <v>0</v>
      </c>
      <c r="L4474" t="str">
        <f>VLOOKUP(VALUE(LEFT(C4474,5)),Xref!A:B,2,0)</f>
        <v>WEP</v>
      </c>
      <c r="M4474" t="str">
        <f t="shared" si="280"/>
        <v>WEP-WES</v>
      </c>
    </row>
    <row r="4475" spans="1:13">
      <c r="A4475" t="str">
        <f t="shared" si="277"/>
        <v>WES - Intercompany</v>
      </c>
      <c r="B4475" t="str">
        <f t="shared" si="278"/>
        <v>WES</v>
      </c>
      <c r="C4475" t="str">
        <f t="shared" si="279"/>
        <v>11352-0000</v>
      </c>
      <c r="D4475" t="s">
        <v>29692</v>
      </c>
      <c r="E4475" t="s">
        <v>13536</v>
      </c>
      <c r="F4475" t="s">
        <v>14039</v>
      </c>
      <c r="G4475" t="s">
        <v>14672</v>
      </c>
      <c r="H4475" t="s">
        <v>13869</v>
      </c>
      <c r="I4475" t="s">
        <v>14690</v>
      </c>
      <c r="J4475" s="62">
        <v>0</v>
      </c>
      <c r="K4475" s="62">
        <v>0</v>
      </c>
      <c r="L4475" t="str">
        <f>VLOOKUP(VALUE(LEFT(C4475,5)),Xref!A:B,2,0)</f>
        <v>KLP</v>
      </c>
      <c r="M4475" t="str">
        <f t="shared" si="280"/>
        <v>KLP-WES</v>
      </c>
    </row>
    <row r="4476" spans="1:13">
      <c r="A4476" t="str">
        <f t="shared" si="277"/>
        <v>WES - Intercompany</v>
      </c>
      <c r="B4476" t="str">
        <f t="shared" si="278"/>
        <v>WES</v>
      </c>
      <c r="C4476" t="str">
        <f t="shared" si="279"/>
        <v>11353-0000</v>
      </c>
      <c r="D4476" t="s">
        <v>29693</v>
      </c>
      <c r="E4476" t="s">
        <v>13537</v>
      </c>
      <c r="F4476" t="s">
        <v>14039</v>
      </c>
      <c r="G4476" t="s">
        <v>14672</v>
      </c>
      <c r="H4476" t="s">
        <v>13869</v>
      </c>
      <c r="I4476" t="s">
        <v>14690</v>
      </c>
      <c r="J4476" s="62">
        <v>0</v>
      </c>
      <c r="K4476" s="62">
        <v>0</v>
      </c>
      <c r="L4476" t="str">
        <f>VLOOKUP(VALUE(LEFT(C4476,5)),Xref!A:B,2,0)</f>
        <v>AKC</v>
      </c>
      <c r="M4476" t="str">
        <f t="shared" si="280"/>
        <v>AKC-WES</v>
      </c>
    </row>
    <row r="4477" spans="1:13">
      <c r="A4477" t="str">
        <f t="shared" si="277"/>
        <v>WES - Intercompany</v>
      </c>
      <c r="B4477" t="str">
        <f t="shared" si="278"/>
        <v>WES</v>
      </c>
      <c r="C4477" t="str">
        <f t="shared" si="279"/>
        <v>11354-0000</v>
      </c>
      <c r="D4477" t="s">
        <v>29694</v>
      </c>
      <c r="E4477" t="s">
        <v>13538</v>
      </c>
      <c r="F4477" t="s">
        <v>14039</v>
      </c>
      <c r="G4477" t="s">
        <v>14672</v>
      </c>
      <c r="H4477" t="s">
        <v>13869</v>
      </c>
      <c r="I4477" t="s">
        <v>14690</v>
      </c>
      <c r="J4477" s="62">
        <v>0</v>
      </c>
      <c r="K4477" s="62">
        <v>0</v>
      </c>
      <c r="L4477" t="str">
        <f>VLOOKUP(VALUE(LEFT(C4477,5)),Xref!A:B,2,0)</f>
        <v>AKA</v>
      </c>
      <c r="M4477" t="str">
        <f t="shared" si="280"/>
        <v>AKA-WES</v>
      </c>
    </row>
    <row r="4478" spans="1:13">
      <c r="A4478" t="str">
        <f t="shared" si="277"/>
        <v>WES - Intercompany</v>
      </c>
      <c r="B4478" t="str">
        <f t="shared" si="278"/>
        <v>WES</v>
      </c>
      <c r="C4478" t="str">
        <f t="shared" si="279"/>
        <v>11355-0000</v>
      </c>
      <c r="D4478" t="s">
        <v>29695</v>
      </c>
      <c r="E4478" t="s">
        <v>13539</v>
      </c>
      <c r="F4478" t="s">
        <v>14039</v>
      </c>
      <c r="G4478" t="s">
        <v>14672</v>
      </c>
      <c r="H4478" t="s">
        <v>13869</v>
      </c>
      <c r="I4478" t="s">
        <v>14690</v>
      </c>
      <c r="J4478" s="62">
        <v>0</v>
      </c>
      <c r="K4478" s="62">
        <v>0</v>
      </c>
      <c r="L4478" t="str">
        <f>VLOOKUP(VALUE(LEFT(C4478,5)),Xref!A:B,2,0)</f>
        <v>SPA</v>
      </c>
      <c r="M4478" t="str">
        <f t="shared" si="280"/>
        <v>SPA-WES</v>
      </c>
    </row>
    <row r="4479" spans="1:13">
      <c r="A4479" t="str">
        <f t="shared" si="277"/>
        <v>WES - Intercompany</v>
      </c>
      <c r="B4479" t="str">
        <f t="shared" si="278"/>
        <v>WES</v>
      </c>
      <c r="C4479" t="str">
        <f t="shared" si="279"/>
        <v>11356-0000</v>
      </c>
      <c r="D4479" t="s">
        <v>29696</v>
      </c>
      <c r="E4479" t="s">
        <v>13540</v>
      </c>
      <c r="F4479" t="s">
        <v>14039</v>
      </c>
      <c r="G4479" t="s">
        <v>14672</v>
      </c>
      <c r="H4479" t="s">
        <v>13869</v>
      </c>
      <c r="I4479" t="s">
        <v>14690</v>
      </c>
      <c r="J4479" s="62">
        <v>0</v>
      </c>
      <c r="K4479" s="62">
        <v>0</v>
      </c>
      <c r="L4479" t="str">
        <f>VLOOKUP(VALUE(LEFT(C4479,5)),Xref!A:B,2,0)</f>
        <v>DPM</v>
      </c>
      <c r="M4479" t="str">
        <f t="shared" si="280"/>
        <v>DPM-WES</v>
      </c>
    </row>
    <row r="4480" spans="1:13">
      <c r="A4480" t="str">
        <f t="shared" si="277"/>
        <v>WES - Intercompany</v>
      </c>
      <c r="B4480" t="str">
        <f t="shared" si="278"/>
        <v>WES</v>
      </c>
      <c r="C4480" t="str">
        <f t="shared" si="279"/>
        <v>11357-0000</v>
      </c>
      <c r="D4480" t="s">
        <v>29697</v>
      </c>
      <c r="E4480" t="s">
        <v>13541</v>
      </c>
      <c r="F4480" t="s">
        <v>14039</v>
      </c>
      <c r="G4480" t="s">
        <v>14672</v>
      </c>
      <c r="H4480" t="s">
        <v>13869</v>
      </c>
      <c r="I4480" t="s">
        <v>14690</v>
      </c>
      <c r="J4480" s="62">
        <v>0</v>
      </c>
      <c r="K4480" s="62">
        <v>0</v>
      </c>
      <c r="L4480" t="str">
        <f>VLOOKUP(VALUE(LEFT(C4480,5)),Xref!A:B,2,0)</f>
        <v>HDM</v>
      </c>
      <c r="M4480" t="str">
        <f t="shared" si="280"/>
        <v>HDM-WES</v>
      </c>
    </row>
    <row r="4481" spans="1:13">
      <c r="A4481" t="str">
        <f t="shared" si="277"/>
        <v>WES - Intercompany</v>
      </c>
      <c r="B4481" t="str">
        <f t="shared" si="278"/>
        <v>WES</v>
      </c>
      <c r="C4481" t="str">
        <f t="shared" si="279"/>
        <v>11358-0000</v>
      </c>
      <c r="D4481" t="s">
        <v>29698</v>
      </c>
      <c r="E4481" t="s">
        <v>13542</v>
      </c>
      <c r="F4481" t="s">
        <v>14039</v>
      </c>
      <c r="G4481" t="s">
        <v>14672</v>
      </c>
      <c r="H4481" t="s">
        <v>13869</v>
      </c>
      <c r="I4481" t="s">
        <v>14690</v>
      </c>
      <c r="J4481" s="62">
        <v>0</v>
      </c>
      <c r="K4481" s="62">
        <v>0</v>
      </c>
      <c r="L4481" t="str">
        <f>VLOOKUP(VALUE(LEFT(C4481,5)),Xref!A:B,2,0)</f>
        <v>GRA</v>
      </c>
      <c r="M4481" t="str">
        <f t="shared" si="280"/>
        <v>GRA-WES</v>
      </c>
    </row>
    <row r="4482" spans="1:13">
      <c r="A4482" t="str">
        <f t="shared" ref="A4482:A4545" si="281">B4482&amp;" - "&amp;TRIM(H4482)</f>
        <v>WES - Intercompany</v>
      </c>
      <c r="B4482" t="str">
        <f t="shared" ref="B4482:B4545" si="282">LEFT(D4482,3)</f>
        <v>WES</v>
      </c>
      <c r="C4482" t="str">
        <f t="shared" ref="C4482:C4545" si="283">RIGHT(D4482,10)</f>
        <v>11359-0000</v>
      </c>
      <c r="D4482" t="s">
        <v>29699</v>
      </c>
      <c r="E4482" t="s">
        <v>13543</v>
      </c>
      <c r="F4482" t="s">
        <v>14039</v>
      </c>
      <c r="G4482" t="s">
        <v>14672</v>
      </c>
      <c r="H4482" t="s">
        <v>13869</v>
      </c>
      <c r="I4482" t="s">
        <v>14690</v>
      </c>
      <c r="J4482" s="62">
        <v>0</v>
      </c>
      <c r="K4482" s="62">
        <v>0</v>
      </c>
      <c r="L4482" t="str">
        <f>VLOOKUP(VALUE(LEFT(C4482,5)),Xref!A:B,2,0)</f>
        <v>TPI</v>
      </c>
      <c r="M4482" t="str">
        <f t="shared" si="280"/>
        <v>TPI-WES</v>
      </c>
    </row>
    <row r="4483" spans="1:13">
      <c r="A4483" t="str">
        <f t="shared" si="281"/>
        <v>WES - Intercompany</v>
      </c>
      <c r="B4483" t="str">
        <f t="shared" si="282"/>
        <v>WES</v>
      </c>
      <c r="C4483" t="str">
        <f t="shared" si="283"/>
        <v>11361-0000</v>
      </c>
      <c r="D4483" t="s">
        <v>29700</v>
      </c>
      <c r="E4483" t="s">
        <v>14165</v>
      </c>
      <c r="F4483" t="s">
        <v>14039</v>
      </c>
      <c r="G4483" t="s">
        <v>14672</v>
      </c>
      <c r="H4483" t="s">
        <v>13869</v>
      </c>
      <c r="I4483" t="s">
        <v>14690</v>
      </c>
      <c r="J4483" s="62">
        <v>0</v>
      </c>
      <c r="K4483" s="62">
        <v>0</v>
      </c>
      <c r="L4483" t="str">
        <f>VLOOKUP(VALUE(LEFT(C4483,5)),Xref!A:B,2,0)</f>
        <v>GSM</v>
      </c>
      <c r="M4483" t="str">
        <f t="shared" si="280"/>
        <v>GSM-WES</v>
      </c>
    </row>
    <row r="4484" spans="1:13">
      <c r="A4484" t="str">
        <f t="shared" si="281"/>
        <v>WES - Intercompany</v>
      </c>
      <c r="B4484" t="str">
        <f t="shared" si="282"/>
        <v>WES</v>
      </c>
      <c r="C4484" t="str">
        <f t="shared" si="283"/>
        <v>11363-0000</v>
      </c>
      <c r="D4484" t="s">
        <v>29701</v>
      </c>
      <c r="E4484" t="s">
        <v>13544</v>
      </c>
      <c r="F4484" t="s">
        <v>14039</v>
      </c>
      <c r="G4484" t="s">
        <v>14672</v>
      </c>
      <c r="H4484" t="s">
        <v>13869</v>
      </c>
      <c r="I4484" t="s">
        <v>14690</v>
      </c>
      <c r="J4484" s="62">
        <v>0</v>
      </c>
      <c r="K4484" s="62">
        <v>0</v>
      </c>
      <c r="L4484" t="str">
        <f>VLOOKUP(VALUE(LEFT(C4484,5)),Xref!A:B,2,0)</f>
        <v>SOF</v>
      </c>
      <c r="M4484" t="str">
        <f t="shared" si="280"/>
        <v>SOF-WES</v>
      </c>
    </row>
    <row r="4485" spans="1:13">
      <c r="A4485" t="str">
        <f t="shared" si="281"/>
        <v>WES - Intercompany</v>
      </c>
      <c r="B4485" t="str">
        <f t="shared" si="282"/>
        <v>WES</v>
      </c>
      <c r="C4485" t="str">
        <f t="shared" si="283"/>
        <v>11364-0000</v>
      </c>
      <c r="D4485" t="s">
        <v>29702</v>
      </c>
      <c r="E4485" t="s">
        <v>14168</v>
      </c>
      <c r="F4485" t="s">
        <v>14039</v>
      </c>
      <c r="G4485" t="s">
        <v>14672</v>
      </c>
      <c r="H4485" t="s">
        <v>13869</v>
      </c>
      <c r="I4485" t="s">
        <v>14690</v>
      </c>
      <c r="J4485" s="62">
        <v>0</v>
      </c>
      <c r="K4485" s="62">
        <v>0</v>
      </c>
      <c r="L4485" t="e">
        <f>VLOOKUP(VALUE(LEFT(C4485,5)),Xref!A:B,2,0)</f>
        <v>#N/A</v>
      </c>
      <c r="M4485" t="e">
        <f t="shared" si="280"/>
        <v>#N/A</v>
      </c>
    </row>
    <row r="4486" spans="1:13">
      <c r="A4486" t="str">
        <f t="shared" si="281"/>
        <v>WES - Intercompany</v>
      </c>
      <c r="B4486" t="str">
        <f t="shared" si="282"/>
        <v>WES</v>
      </c>
      <c r="C4486" t="str">
        <f t="shared" si="283"/>
        <v>11365-0000</v>
      </c>
      <c r="D4486" t="s">
        <v>29703</v>
      </c>
      <c r="E4486" t="s">
        <v>14170</v>
      </c>
      <c r="F4486" t="s">
        <v>14039</v>
      </c>
      <c r="G4486" t="s">
        <v>14672</v>
      </c>
      <c r="H4486" t="s">
        <v>13869</v>
      </c>
      <c r="I4486" t="s">
        <v>14690</v>
      </c>
      <c r="J4486" s="62">
        <v>0</v>
      </c>
      <c r="K4486" s="62">
        <v>0</v>
      </c>
      <c r="L4486" t="e">
        <f>VLOOKUP(VALUE(LEFT(C4486,5)),Xref!A:B,2,0)</f>
        <v>#N/A</v>
      </c>
      <c r="M4486" t="e">
        <f t="shared" si="280"/>
        <v>#N/A</v>
      </c>
    </row>
    <row r="4487" spans="1:13">
      <c r="A4487" t="str">
        <f t="shared" si="281"/>
        <v>WES - Intercompany</v>
      </c>
      <c r="B4487" t="str">
        <f t="shared" si="282"/>
        <v>WES</v>
      </c>
      <c r="C4487" t="str">
        <f t="shared" si="283"/>
        <v>11366-0000</v>
      </c>
      <c r="D4487" t="s">
        <v>29704</v>
      </c>
      <c r="E4487" t="s">
        <v>14172</v>
      </c>
      <c r="G4487" t="s">
        <v>14672</v>
      </c>
      <c r="H4487" t="s">
        <v>13869</v>
      </c>
      <c r="I4487" t="s">
        <v>14690</v>
      </c>
      <c r="J4487" s="62">
        <v>0</v>
      </c>
      <c r="K4487" s="62">
        <v>0</v>
      </c>
      <c r="L4487" t="e">
        <f>VLOOKUP(VALUE(LEFT(C4487,5)),Xref!A:B,2,0)</f>
        <v>#N/A</v>
      </c>
      <c r="M4487" t="e">
        <f t="shared" si="280"/>
        <v>#N/A</v>
      </c>
    </row>
    <row r="4488" spans="1:13">
      <c r="A4488" t="str">
        <f t="shared" si="281"/>
        <v>WES - Intercompany</v>
      </c>
      <c r="B4488" t="str">
        <f t="shared" si="282"/>
        <v>WES</v>
      </c>
      <c r="C4488" t="str">
        <f t="shared" si="283"/>
        <v>11402-0000</v>
      </c>
      <c r="D4488" t="s">
        <v>29705</v>
      </c>
      <c r="E4488" t="s">
        <v>14174</v>
      </c>
      <c r="G4488" t="s">
        <v>14672</v>
      </c>
      <c r="H4488" t="s">
        <v>13869</v>
      </c>
      <c r="I4488" t="s">
        <v>14690</v>
      </c>
      <c r="J4488" s="62">
        <v>0</v>
      </c>
      <c r="K4488" s="62">
        <v>0</v>
      </c>
      <c r="L4488" t="str">
        <f>VLOOKUP(VALUE(LEFT(C4488,5)),Xref!A:B,2,0)</f>
        <v>DPI</v>
      </c>
      <c r="M4488" t="str">
        <f t="shared" si="280"/>
        <v>DPI-WES</v>
      </c>
    </row>
    <row r="4489" spans="1:13">
      <c r="A4489" t="str">
        <f t="shared" si="281"/>
        <v>WES - Intercompany</v>
      </c>
      <c r="B4489" t="str">
        <f t="shared" si="282"/>
        <v>WES</v>
      </c>
      <c r="C4489" t="str">
        <f t="shared" si="283"/>
        <v>11403-0000</v>
      </c>
      <c r="D4489" t="s">
        <v>29706</v>
      </c>
      <c r="E4489" t="s">
        <v>14176</v>
      </c>
      <c r="G4489" t="s">
        <v>14672</v>
      </c>
      <c r="H4489" t="s">
        <v>13869</v>
      </c>
      <c r="I4489" t="s">
        <v>14690</v>
      </c>
      <c r="J4489" s="62">
        <v>0</v>
      </c>
      <c r="K4489" s="62">
        <v>0</v>
      </c>
      <c r="L4489" t="str">
        <f>VLOOKUP(VALUE(LEFT(C4489,5)),Xref!A:B,2,0)</f>
        <v>SEA</v>
      </c>
      <c r="M4489" t="str">
        <f t="shared" si="280"/>
        <v>SEA-WES</v>
      </c>
    </row>
    <row r="4490" spans="1:13">
      <c r="A4490" t="str">
        <f t="shared" si="281"/>
        <v>WES - Intercompany</v>
      </c>
      <c r="B4490" t="str">
        <f t="shared" si="282"/>
        <v>WES</v>
      </c>
      <c r="C4490" t="str">
        <f t="shared" si="283"/>
        <v>12400-0000</v>
      </c>
      <c r="D4490" t="s">
        <v>29709</v>
      </c>
      <c r="E4490" t="s">
        <v>14185</v>
      </c>
      <c r="F4490" t="s">
        <v>14039</v>
      </c>
      <c r="G4490" t="s">
        <v>14672</v>
      </c>
      <c r="H4490" t="s">
        <v>13869</v>
      </c>
      <c r="I4490" t="s">
        <v>14690</v>
      </c>
      <c r="J4490" s="62">
        <v>0</v>
      </c>
      <c r="K4490" s="62">
        <v>0</v>
      </c>
      <c r="L4490" t="str">
        <f>VLOOKUP(VALUE(LEFT(C4490,5)),Xref!A:B,2,0)</f>
        <v>aka</v>
      </c>
      <c r="M4490" t="str">
        <f t="shared" si="280"/>
        <v>aka-WES</v>
      </c>
    </row>
    <row r="4491" spans="1:13">
      <c r="A4491" t="str">
        <f t="shared" si="281"/>
        <v>WES - Intercompany</v>
      </c>
      <c r="B4491" t="str">
        <f t="shared" si="282"/>
        <v>WES</v>
      </c>
      <c r="C4491" t="str">
        <f t="shared" si="283"/>
        <v>12401-0000</v>
      </c>
      <c r="D4491" t="s">
        <v>29710</v>
      </c>
      <c r="E4491" t="s">
        <v>14187</v>
      </c>
      <c r="F4491" t="s">
        <v>14039</v>
      </c>
      <c r="G4491" t="s">
        <v>14672</v>
      </c>
      <c r="H4491" t="s">
        <v>13869</v>
      </c>
      <c r="I4491" t="s">
        <v>14690</v>
      </c>
      <c r="J4491" s="62">
        <v>0</v>
      </c>
      <c r="K4491" s="62">
        <v>0</v>
      </c>
      <c r="L4491" t="str">
        <f>VLOOKUP(VALUE(LEFT(C4491,5)),Xref!A:B,2,0)</f>
        <v>aka</v>
      </c>
      <c r="M4491" t="str">
        <f t="shared" si="280"/>
        <v>aka-WES</v>
      </c>
    </row>
    <row r="4492" spans="1:13">
      <c r="A4492" t="str">
        <f t="shared" si="281"/>
        <v>WES - Intercompany</v>
      </c>
      <c r="B4492" t="str">
        <f t="shared" si="282"/>
        <v>WES</v>
      </c>
      <c r="C4492" t="str">
        <f t="shared" si="283"/>
        <v>12402-0000</v>
      </c>
      <c r="D4492" t="s">
        <v>29711</v>
      </c>
      <c r="E4492" t="s">
        <v>14189</v>
      </c>
      <c r="F4492" t="s">
        <v>14039</v>
      </c>
      <c r="G4492" t="s">
        <v>14672</v>
      </c>
      <c r="H4492" t="s">
        <v>13869</v>
      </c>
      <c r="I4492" t="s">
        <v>14690</v>
      </c>
      <c r="J4492" s="62">
        <v>0</v>
      </c>
      <c r="K4492" s="62">
        <v>0</v>
      </c>
      <c r="L4492" t="str">
        <f>VLOOKUP(VALUE(LEFT(C4492,5)),Xref!A:B,2,0)</f>
        <v>aka</v>
      </c>
      <c r="M4492" t="str">
        <f t="shared" si="280"/>
        <v>aka-WES</v>
      </c>
    </row>
    <row r="4493" spans="1:13">
      <c r="A4493" t="str">
        <f t="shared" si="281"/>
        <v>WES - Intercompany</v>
      </c>
      <c r="B4493" t="str">
        <f t="shared" si="282"/>
        <v>WES</v>
      </c>
      <c r="C4493" t="str">
        <f t="shared" si="283"/>
        <v>12403-0000</v>
      </c>
      <c r="D4493" t="s">
        <v>29712</v>
      </c>
      <c r="E4493" t="s">
        <v>5226</v>
      </c>
      <c r="F4493" t="s">
        <v>14039</v>
      </c>
      <c r="G4493" t="s">
        <v>14672</v>
      </c>
      <c r="H4493" t="s">
        <v>13869</v>
      </c>
      <c r="I4493" t="s">
        <v>14690</v>
      </c>
      <c r="J4493" s="62">
        <v>0</v>
      </c>
      <c r="K4493" s="62">
        <v>0</v>
      </c>
      <c r="L4493" t="str">
        <f>VLOOKUP(VALUE(LEFT(C4493,5)),Xref!A:B,2,0)</f>
        <v>aka</v>
      </c>
      <c r="M4493" t="str">
        <f t="shared" si="280"/>
        <v>aka-WES</v>
      </c>
    </row>
    <row r="4494" spans="1:13">
      <c r="A4494" t="str">
        <f t="shared" si="281"/>
        <v>WES - Intercompany</v>
      </c>
      <c r="B4494" t="str">
        <f t="shared" si="282"/>
        <v>WES</v>
      </c>
      <c r="C4494" t="str">
        <f t="shared" si="283"/>
        <v>12501-0000</v>
      </c>
      <c r="D4494" t="s">
        <v>29713</v>
      </c>
      <c r="E4494" t="s">
        <v>14192</v>
      </c>
      <c r="F4494" t="s">
        <v>14039</v>
      </c>
      <c r="G4494" t="s">
        <v>14672</v>
      </c>
      <c r="H4494" t="s">
        <v>13869</v>
      </c>
      <c r="I4494" t="s">
        <v>14690</v>
      </c>
      <c r="J4494" s="62">
        <v>0</v>
      </c>
      <c r="K4494" s="62">
        <v>0</v>
      </c>
      <c r="L4494" t="str">
        <f>VLOOKUP(VALUE(LEFT(C4494,5)),Xref!A:B,2,0)</f>
        <v>aka</v>
      </c>
      <c r="M4494" t="str">
        <f t="shared" si="280"/>
        <v>aka-WES</v>
      </c>
    </row>
    <row r="4495" spans="1:13">
      <c r="A4495" t="str">
        <f t="shared" si="281"/>
        <v>WES - InterCo Notes</v>
      </c>
      <c r="B4495" t="str">
        <f t="shared" si="282"/>
        <v>WES</v>
      </c>
      <c r="C4495" t="str">
        <f t="shared" si="283"/>
        <v>25600-0000</v>
      </c>
      <c r="D4495" t="s">
        <v>29764</v>
      </c>
      <c r="E4495" t="s">
        <v>314</v>
      </c>
      <c r="F4495" t="s">
        <v>14039</v>
      </c>
      <c r="G4495" t="s">
        <v>14672</v>
      </c>
      <c r="H4495" t="s">
        <v>13889</v>
      </c>
      <c r="I4495" t="s">
        <v>14690</v>
      </c>
      <c r="J4495" s="62">
        <v>0</v>
      </c>
      <c r="K4495" s="62">
        <v>0</v>
      </c>
      <c r="L4495" t="str">
        <f>VLOOKUP(VALUE(LEFT(C4495,5)),Xref!A:B,2,0)</f>
        <v>D7</v>
      </c>
      <c r="M4495" t="str">
        <f t="shared" si="280"/>
        <v>D7-WES</v>
      </c>
    </row>
    <row r="4496" spans="1:13">
      <c r="A4496" t="str">
        <f t="shared" si="281"/>
        <v>WES - InterCo Notes</v>
      </c>
      <c r="B4496" t="str">
        <f t="shared" si="282"/>
        <v>WES</v>
      </c>
      <c r="C4496" t="str">
        <f t="shared" si="283"/>
        <v>25602-0000</v>
      </c>
      <c r="D4496" t="s">
        <v>29766</v>
      </c>
      <c r="E4496" t="s">
        <v>13426</v>
      </c>
      <c r="F4496" t="s">
        <v>14039</v>
      </c>
      <c r="G4496" t="s">
        <v>14672</v>
      </c>
      <c r="H4496" t="s">
        <v>13889</v>
      </c>
      <c r="I4496" t="s">
        <v>14690</v>
      </c>
      <c r="J4496" s="62">
        <v>0</v>
      </c>
      <c r="K4496" s="62">
        <v>0</v>
      </c>
      <c r="L4496" t="str">
        <f>VLOOKUP(VALUE(LEFT(C4496,5)),Xref!A:B,2,0)</f>
        <v>DFLP</v>
      </c>
      <c r="M4496" t="str">
        <f t="shared" si="280"/>
        <v>DFLP-WES</v>
      </c>
    </row>
    <row r="4497" spans="1:13">
      <c r="A4497" t="str">
        <f t="shared" si="281"/>
        <v>WES - InterCo Notes</v>
      </c>
      <c r="B4497" t="str">
        <f t="shared" si="282"/>
        <v>WES</v>
      </c>
      <c r="C4497" t="str">
        <f t="shared" si="283"/>
        <v>25603-0000</v>
      </c>
      <c r="D4497" t="s">
        <v>29767</v>
      </c>
      <c r="E4497" t="s">
        <v>14311</v>
      </c>
      <c r="F4497" t="s">
        <v>14039</v>
      </c>
      <c r="G4497" t="s">
        <v>14832</v>
      </c>
      <c r="H4497" t="s">
        <v>13889</v>
      </c>
      <c r="I4497" t="s">
        <v>14690</v>
      </c>
      <c r="J4497" s="62">
        <v>0</v>
      </c>
      <c r="K4497" s="62">
        <v>0</v>
      </c>
      <c r="L4497" t="str">
        <f>VLOOKUP(VALUE(LEFT(C4497,5)),Xref!A:B,2,0)</f>
        <v>aka</v>
      </c>
      <c r="M4497" t="str">
        <f t="shared" si="280"/>
        <v>aka-WES</v>
      </c>
    </row>
    <row r="4498" spans="1:13">
      <c r="A4498" t="str">
        <f t="shared" si="281"/>
        <v>WES - Intercompany</v>
      </c>
      <c r="B4498" t="str">
        <f t="shared" si="282"/>
        <v>WES</v>
      </c>
      <c r="C4498" t="str">
        <f t="shared" si="283"/>
        <v>25604-0000</v>
      </c>
      <c r="D4498" t="s">
        <v>29768</v>
      </c>
      <c r="E4498" t="s">
        <v>13490</v>
      </c>
      <c r="F4498" t="s">
        <v>14039</v>
      </c>
      <c r="G4498" t="s">
        <v>14672</v>
      </c>
      <c r="H4498" t="s">
        <v>13869</v>
      </c>
      <c r="I4498" t="s">
        <v>14690</v>
      </c>
      <c r="J4498" s="62">
        <v>0</v>
      </c>
      <c r="K4498" s="62">
        <v>0</v>
      </c>
      <c r="L4498">
        <f>VLOOKUP(VALUE(LEFT(C4498,5)),Xref!A:B,2,0)</f>
        <v>0</v>
      </c>
      <c r="M4498" t="str">
        <f t="shared" si="280"/>
        <v>0-WES</v>
      </c>
    </row>
    <row r="4499" spans="1:13">
      <c r="A4499" t="str">
        <f t="shared" si="281"/>
        <v>WIC - Intercompany</v>
      </c>
      <c r="B4499" t="str">
        <f t="shared" si="282"/>
        <v>WIC</v>
      </c>
      <c r="C4499" t="str">
        <f t="shared" si="283"/>
        <v>11200-0000</v>
      </c>
      <c r="D4499" t="s">
        <v>29966</v>
      </c>
      <c r="E4499" t="s">
        <v>14069</v>
      </c>
      <c r="F4499" t="s">
        <v>14039</v>
      </c>
      <c r="G4499" t="s">
        <v>14672</v>
      </c>
      <c r="H4499" t="s">
        <v>13869</v>
      </c>
      <c r="I4499" t="s">
        <v>14690</v>
      </c>
      <c r="J4499" s="62">
        <v>0</v>
      </c>
      <c r="K4499" s="62">
        <v>0</v>
      </c>
      <c r="L4499" t="str">
        <f>VLOOKUP(VALUE(LEFT(C4499,5)),Xref!A:B,2,0)</f>
        <v>SCL</v>
      </c>
      <c r="M4499" t="str">
        <f t="shared" si="280"/>
        <v>SCL-WIC</v>
      </c>
    </row>
    <row r="4500" spans="1:13">
      <c r="A4500" t="str">
        <f t="shared" si="281"/>
        <v>WIC - Intercompany</v>
      </c>
      <c r="B4500" t="str">
        <f t="shared" si="282"/>
        <v>WIC</v>
      </c>
      <c r="C4500" t="str">
        <f t="shared" si="283"/>
        <v>11201-0000</v>
      </c>
      <c r="D4500" t="s">
        <v>29967</v>
      </c>
      <c r="E4500" t="s">
        <v>14071</v>
      </c>
      <c r="F4500" t="s">
        <v>14039</v>
      </c>
      <c r="G4500" t="s">
        <v>14672</v>
      </c>
      <c r="H4500" t="s">
        <v>13869</v>
      </c>
      <c r="I4500" t="s">
        <v>14690</v>
      </c>
      <c r="J4500" s="62">
        <v>0</v>
      </c>
      <c r="K4500" s="62">
        <v>0</v>
      </c>
      <c r="L4500" t="str">
        <f>VLOOKUP(VALUE(LEFT(C4500,5)),Xref!A:B,2,0)</f>
        <v>SG2</v>
      </c>
      <c r="M4500" t="str">
        <f t="shared" si="280"/>
        <v>SG2-WIC</v>
      </c>
    </row>
    <row r="4501" spans="1:13">
      <c r="A4501" t="str">
        <f t="shared" si="281"/>
        <v>WIC - Intercompany</v>
      </c>
      <c r="B4501" t="str">
        <f t="shared" si="282"/>
        <v>WIC</v>
      </c>
      <c r="C4501" t="str">
        <f t="shared" si="283"/>
        <v>11202-0000</v>
      </c>
      <c r="D4501" t="s">
        <v>29968</v>
      </c>
      <c r="E4501" t="s">
        <v>14073</v>
      </c>
      <c r="F4501" t="s">
        <v>14039</v>
      </c>
      <c r="G4501" t="s">
        <v>14672</v>
      </c>
      <c r="H4501" t="s">
        <v>13869</v>
      </c>
      <c r="I4501" t="s">
        <v>14690</v>
      </c>
      <c r="J4501" s="62">
        <v>0</v>
      </c>
      <c r="K4501" s="62">
        <v>0</v>
      </c>
      <c r="L4501" t="str">
        <f>VLOOKUP(VALUE(LEFT(C4501,5)),Xref!A:B,2,0)</f>
        <v>FFC</v>
      </c>
      <c r="M4501" t="str">
        <f t="shared" si="280"/>
        <v>FFC-WIC</v>
      </c>
    </row>
    <row r="4502" spans="1:13">
      <c r="A4502" t="str">
        <f t="shared" si="281"/>
        <v>WIC - Intercompany</v>
      </c>
      <c r="B4502" t="str">
        <f t="shared" si="282"/>
        <v>WIC</v>
      </c>
      <c r="C4502" t="str">
        <f t="shared" si="283"/>
        <v>11203-0000</v>
      </c>
      <c r="D4502" t="s">
        <v>29969</v>
      </c>
      <c r="E4502" t="s">
        <v>14075</v>
      </c>
      <c r="F4502" t="s">
        <v>14039</v>
      </c>
      <c r="G4502" t="s">
        <v>14672</v>
      </c>
      <c r="H4502" t="s">
        <v>13869</v>
      </c>
      <c r="I4502" t="s">
        <v>14690</v>
      </c>
      <c r="J4502" s="62">
        <v>0</v>
      </c>
      <c r="K4502" s="62">
        <v>0</v>
      </c>
      <c r="L4502" t="str">
        <f>VLOOKUP(VALUE(LEFT(C4502,5)),Xref!A:B,2,0)</f>
        <v>HN2</v>
      </c>
      <c r="M4502" t="str">
        <f t="shared" si="280"/>
        <v>HN2-WIC</v>
      </c>
    </row>
    <row r="4503" spans="1:13">
      <c r="A4503" t="str">
        <f t="shared" si="281"/>
        <v>WIC - Intercompany</v>
      </c>
      <c r="B4503" t="str">
        <f t="shared" si="282"/>
        <v>WIC</v>
      </c>
      <c r="C4503" t="str">
        <f t="shared" si="283"/>
        <v>11204-0000</v>
      </c>
      <c r="D4503" t="s">
        <v>29970</v>
      </c>
      <c r="E4503" t="s">
        <v>14077</v>
      </c>
      <c r="F4503" t="s">
        <v>14039</v>
      </c>
      <c r="G4503" t="s">
        <v>14672</v>
      </c>
      <c r="H4503" t="s">
        <v>13869</v>
      </c>
      <c r="I4503" t="s">
        <v>14690</v>
      </c>
      <c r="J4503" s="62">
        <v>0</v>
      </c>
      <c r="K4503" s="62">
        <v>0</v>
      </c>
      <c r="L4503" t="str">
        <f>VLOOKUP(VALUE(LEFT(C4503,5)),Xref!A:B,2,0)</f>
        <v>DF2</v>
      </c>
      <c r="M4503" t="str">
        <f t="shared" si="280"/>
        <v>DF2-WIC</v>
      </c>
    </row>
    <row r="4504" spans="1:13">
      <c r="A4504" t="str">
        <f t="shared" si="281"/>
        <v>WIC - Intercompany</v>
      </c>
      <c r="B4504" t="str">
        <f t="shared" si="282"/>
        <v>WIC</v>
      </c>
      <c r="C4504" t="str">
        <f t="shared" si="283"/>
        <v>11208-0000</v>
      </c>
      <c r="D4504" t="s">
        <v>29971</v>
      </c>
      <c r="E4504" t="s">
        <v>14079</v>
      </c>
      <c r="F4504" t="s">
        <v>14039</v>
      </c>
      <c r="G4504" t="s">
        <v>14672</v>
      </c>
      <c r="H4504" t="s">
        <v>13869</v>
      </c>
      <c r="I4504" t="s">
        <v>14690</v>
      </c>
      <c r="J4504" s="62">
        <v>0</v>
      </c>
      <c r="K4504" s="62">
        <v>0</v>
      </c>
      <c r="L4504" t="str">
        <f>VLOOKUP(VALUE(LEFT(C4504,5)),Xref!A:B,2,0)</f>
        <v>SRE</v>
      </c>
      <c r="M4504" t="str">
        <f t="shared" si="280"/>
        <v>SRE-WIC</v>
      </c>
    </row>
    <row r="4505" spans="1:13">
      <c r="A4505" t="str">
        <f t="shared" si="281"/>
        <v>WIC - Intercompany</v>
      </c>
      <c r="B4505" t="str">
        <f t="shared" si="282"/>
        <v>WIC</v>
      </c>
      <c r="C4505" t="str">
        <f t="shared" si="283"/>
        <v>11210-0000</v>
      </c>
      <c r="D4505" t="s">
        <v>29972</v>
      </c>
      <c r="E4505" t="s">
        <v>14081</v>
      </c>
      <c r="F4505" t="s">
        <v>14039</v>
      </c>
      <c r="G4505" t="s">
        <v>14672</v>
      </c>
      <c r="H4505" t="s">
        <v>13869</v>
      </c>
      <c r="I4505" t="s">
        <v>14690</v>
      </c>
      <c r="J4505" s="62">
        <v>0</v>
      </c>
      <c r="K4505" s="62">
        <v>0</v>
      </c>
      <c r="L4505" t="str">
        <f>VLOOKUP(VALUE(LEFT(C4505,5)),Xref!A:B,2,0)</f>
        <v>REM</v>
      </c>
      <c r="M4505" t="str">
        <f t="shared" si="280"/>
        <v>REM-WIC</v>
      </c>
    </row>
    <row r="4506" spans="1:13">
      <c r="A4506" t="str">
        <f t="shared" si="281"/>
        <v>WIC - Intercompany</v>
      </c>
      <c r="B4506" t="str">
        <f t="shared" si="282"/>
        <v>WIC</v>
      </c>
      <c r="C4506" t="str">
        <f t="shared" si="283"/>
        <v>11212-0000</v>
      </c>
      <c r="D4506" t="s">
        <v>29973</v>
      </c>
      <c r="E4506" t="s">
        <v>14083</v>
      </c>
      <c r="F4506" t="s">
        <v>14039</v>
      </c>
      <c r="G4506" t="s">
        <v>14672</v>
      </c>
      <c r="H4506" t="s">
        <v>13869</v>
      </c>
      <c r="I4506" t="s">
        <v>14690</v>
      </c>
      <c r="J4506" s="62">
        <v>0</v>
      </c>
      <c r="K4506" s="62">
        <v>0</v>
      </c>
      <c r="L4506" t="str">
        <f>VLOOKUP(VALUE(LEFT(C4506,5)),Xref!A:B,2,0)</f>
        <v>FRM</v>
      </c>
      <c r="M4506" t="str">
        <f t="shared" si="280"/>
        <v>FRM-WIC</v>
      </c>
    </row>
    <row r="4507" spans="1:13">
      <c r="A4507" t="str">
        <f t="shared" si="281"/>
        <v>WIC - Intercompany</v>
      </c>
      <c r="B4507" t="str">
        <f t="shared" si="282"/>
        <v>WIC</v>
      </c>
      <c r="C4507" t="str">
        <f t="shared" si="283"/>
        <v>11214-0000</v>
      </c>
      <c r="D4507" t="s">
        <v>29974</v>
      </c>
      <c r="E4507" t="s">
        <v>14085</v>
      </c>
      <c r="F4507" t="s">
        <v>14039</v>
      </c>
      <c r="G4507" t="s">
        <v>14672</v>
      </c>
      <c r="H4507" t="s">
        <v>13869</v>
      </c>
      <c r="I4507" t="s">
        <v>14690</v>
      </c>
      <c r="J4507" s="62">
        <v>0</v>
      </c>
      <c r="K4507" s="62">
        <v>0</v>
      </c>
      <c r="L4507" t="str">
        <f>VLOOKUP(VALUE(LEFT(C4507,5)),Xref!A:B,2,0)</f>
        <v>D7R</v>
      </c>
      <c r="M4507" t="str">
        <f t="shared" si="280"/>
        <v>D7R-WIC</v>
      </c>
    </row>
    <row r="4508" spans="1:13">
      <c r="A4508" t="str">
        <f t="shared" si="281"/>
        <v>WIC - Intercompany</v>
      </c>
      <c r="B4508" t="str">
        <f t="shared" si="282"/>
        <v>WIC</v>
      </c>
      <c r="C4508" t="str">
        <f t="shared" si="283"/>
        <v>11215-0000</v>
      </c>
      <c r="D4508" t="s">
        <v>29975</v>
      </c>
      <c r="E4508" t="s">
        <v>14087</v>
      </c>
      <c r="F4508" t="s">
        <v>14039</v>
      </c>
      <c r="G4508" t="s">
        <v>14672</v>
      </c>
      <c r="H4508" t="s">
        <v>13869</v>
      </c>
      <c r="I4508" t="s">
        <v>14690</v>
      </c>
      <c r="J4508" s="62">
        <v>0</v>
      </c>
      <c r="K4508" s="62">
        <v>0</v>
      </c>
      <c r="L4508" t="str">
        <f>VLOOKUP(VALUE(LEFT(C4508,5)),Xref!A:B,2,0)</f>
        <v>CDP</v>
      </c>
      <c r="M4508" t="str">
        <f t="shared" si="280"/>
        <v>CDP-WIC</v>
      </c>
    </row>
    <row r="4509" spans="1:13">
      <c r="A4509" t="str">
        <f t="shared" si="281"/>
        <v>WIC - Intercompany</v>
      </c>
      <c r="B4509" t="str">
        <f t="shared" si="282"/>
        <v>WIC</v>
      </c>
      <c r="C4509" t="str">
        <f t="shared" si="283"/>
        <v>11216-0000</v>
      </c>
      <c r="D4509" t="s">
        <v>29976</v>
      </c>
      <c r="E4509" t="s">
        <v>13224</v>
      </c>
      <c r="F4509" t="s">
        <v>14039</v>
      </c>
      <c r="G4509" t="s">
        <v>14672</v>
      </c>
      <c r="H4509" t="s">
        <v>13869</v>
      </c>
      <c r="I4509" t="s">
        <v>14690</v>
      </c>
      <c r="J4509" s="62">
        <v>0</v>
      </c>
      <c r="K4509" s="62">
        <v>0</v>
      </c>
      <c r="L4509" t="str">
        <f>VLOOKUP(VALUE(LEFT(C4509,5)),Xref!A:B,2,0)</f>
        <v>SIL</v>
      </c>
      <c r="M4509" t="str">
        <f t="shared" si="280"/>
        <v>SIL-WIC</v>
      </c>
    </row>
    <row r="4510" spans="1:13">
      <c r="A4510" t="str">
        <f t="shared" si="281"/>
        <v>WIC - Intercompany</v>
      </c>
      <c r="B4510" t="str">
        <f t="shared" si="282"/>
        <v>WIC</v>
      </c>
      <c r="C4510" t="str">
        <f t="shared" si="283"/>
        <v>11232-0000</v>
      </c>
      <c r="D4510" t="s">
        <v>29977</v>
      </c>
      <c r="E4510" t="s">
        <v>12486</v>
      </c>
      <c r="F4510" t="s">
        <v>14039</v>
      </c>
      <c r="G4510" t="s">
        <v>14672</v>
      </c>
      <c r="H4510" t="s">
        <v>13869</v>
      </c>
      <c r="I4510" t="s">
        <v>14690</v>
      </c>
      <c r="J4510" s="62">
        <v>0</v>
      </c>
      <c r="K4510" s="62">
        <v>0</v>
      </c>
      <c r="L4510" t="str">
        <f>VLOOKUP(VALUE(LEFT(C4510,5)),Xref!A:B,2,0)</f>
        <v>SC2</v>
      </c>
      <c r="M4510" t="str">
        <f t="shared" si="280"/>
        <v>SC2-WIC</v>
      </c>
    </row>
    <row r="4511" spans="1:13">
      <c r="A4511" t="str">
        <f t="shared" si="281"/>
        <v>WIC - Intercompany</v>
      </c>
      <c r="B4511" t="str">
        <f t="shared" si="282"/>
        <v>WIC</v>
      </c>
      <c r="C4511" t="str">
        <f t="shared" si="283"/>
        <v>11301-0000</v>
      </c>
      <c r="D4511" t="s">
        <v>29978</v>
      </c>
      <c r="E4511" t="s">
        <v>13225</v>
      </c>
      <c r="F4511" t="s">
        <v>14039</v>
      </c>
      <c r="G4511" t="s">
        <v>14672</v>
      </c>
      <c r="H4511" t="s">
        <v>13869</v>
      </c>
      <c r="I4511" t="s">
        <v>14690</v>
      </c>
      <c r="J4511" s="62">
        <v>0</v>
      </c>
      <c r="K4511" s="62">
        <v>0</v>
      </c>
      <c r="L4511" t="str">
        <f>VLOOKUP(VALUE(LEFT(C4511,5)),Xref!A:B,2,0)</f>
        <v>CRE</v>
      </c>
      <c r="M4511" t="str">
        <f t="shared" si="280"/>
        <v>CRE-WIC</v>
      </c>
    </row>
    <row r="4512" spans="1:13">
      <c r="A4512" t="str">
        <f t="shared" si="281"/>
        <v>WIC - Intercompany</v>
      </c>
      <c r="B4512" t="str">
        <f t="shared" si="282"/>
        <v>WIC</v>
      </c>
      <c r="C4512" t="str">
        <f t="shared" si="283"/>
        <v>11302-0000</v>
      </c>
      <c r="D4512" t="s">
        <v>29979</v>
      </c>
      <c r="E4512" t="s">
        <v>13226</v>
      </c>
      <c r="F4512" t="s">
        <v>14039</v>
      </c>
      <c r="G4512" t="s">
        <v>14672</v>
      </c>
      <c r="H4512" t="s">
        <v>13869</v>
      </c>
      <c r="I4512" t="s">
        <v>14690</v>
      </c>
      <c r="J4512" s="62">
        <v>0</v>
      </c>
      <c r="K4512" s="62">
        <v>0</v>
      </c>
      <c r="L4512" t="str">
        <f>VLOOKUP(VALUE(LEFT(C4512,5)),Xref!A:B,2,0)</f>
        <v>CHA</v>
      </c>
      <c r="M4512" t="str">
        <f t="shared" si="280"/>
        <v>CHA-WIC</v>
      </c>
    </row>
    <row r="4513" spans="1:13">
      <c r="A4513" t="str">
        <f t="shared" si="281"/>
        <v>WIC - Intercompany</v>
      </c>
      <c r="B4513" t="str">
        <f t="shared" si="282"/>
        <v>WIC</v>
      </c>
      <c r="C4513" t="str">
        <f t="shared" si="283"/>
        <v>11303-0000</v>
      </c>
      <c r="D4513" t="s">
        <v>29980</v>
      </c>
      <c r="E4513" t="s">
        <v>13227</v>
      </c>
      <c r="F4513" t="s">
        <v>14039</v>
      </c>
      <c r="G4513" t="s">
        <v>14672</v>
      </c>
      <c r="H4513" t="s">
        <v>13869</v>
      </c>
      <c r="I4513" t="s">
        <v>14690</v>
      </c>
      <c r="J4513" s="62">
        <v>0</v>
      </c>
      <c r="K4513" s="62">
        <v>0</v>
      </c>
      <c r="L4513" t="str">
        <f>VLOOKUP(VALUE(LEFT(C4513,5)),Xref!A:B,2,0)</f>
        <v>DIA</v>
      </c>
      <c r="M4513" t="str">
        <f t="shared" si="280"/>
        <v>DIA-WIC</v>
      </c>
    </row>
    <row r="4514" spans="1:13">
      <c r="A4514" t="str">
        <f t="shared" si="281"/>
        <v>WIC - Intercompany</v>
      </c>
      <c r="B4514" t="str">
        <f t="shared" si="282"/>
        <v>WIC</v>
      </c>
      <c r="C4514" t="str">
        <f t="shared" si="283"/>
        <v>11304-0000</v>
      </c>
      <c r="D4514" t="s">
        <v>29981</v>
      </c>
      <c r="E4514" t="s">
        <v>13228</v>
      </c>
      <c r="F4514" t="s">
        <v>14039</v>
      </c>
      <c r="G4514" t="s">
        <v>14672</v>
      </c>
      <c r="H4514" t="s">
        <v>13869</v>
      </c>
      <c r="I4514" t="s">
        <v>14690</v>
      </c>
      <c r="J4514" s="62">
        <v>0</v>
      </c>
      <c r="K4514" s="62">
        <v>0</v>
      </c>
      <c r="L4514" t="str">
        <f>VLOOKUP(VALUE(LEFT(C4514,5)),Xref!A:B,2,0)</f>
        <v>EAG</v>
      </c>
      <c r="M4514" t="str">
        <f t="shared" si="280"/>
        <v>EAG-WIC</v>
      </c>
    </row>
    <row r="4515" spans="1:13">
      <c r="A4515" t="str">
        <f t="shared" si="281"/>
        <v>WIC - Intercompany</v>
      </c>
      <c r="B4515" t="str">
        <f t="shared" si="282"/>
        <v>WIC</v>
      </c>
      <c r="C4515" t="str">
        <f t="shared" si="283"/>
        <v>11305-0000</v>
      </c>
      <c r="D4515" t="s">
        <v>29982</v>
      </c>
      <c r="E4515" t="s">
        <v>13229</v>
      </c>
      <c r="F4515" t="s">
        <v>14039</v>
      </c>
      <c r="G4515" t="s">
        <v>14672</v>
      </c>
      <c r="H4515" t="s">
        <v>13869</v>
      </c>
      <c r="I4515" t="s">
        <v>14690</v>
      </c>
      <c r="J4515" s="62">
        <v>0</v>
      </c>
      <c r="K4515" s="62">
        <v>0</v>
      </c>
      <c r="L4515" t="str">
        <f>VLOOKUP(VALUE(LEFT(C4515,5)),Xref!A:B,2,0)</f>
        <v>NEW</v>
      </c>
      <c r="M4515" t="str">
        <f t="shared" si="280"/>
        <v>NEW-WIC</v>
      </c>
    </row>
    <row r="4516" spans="1:13">
      <c r="A4516" t="str">
        <f t="shared" si="281"/>
        <v>WIC - Intercompany</v>
      </c>
      <c r="B4516" t="str">
        <f t="shared" si="282"/>
        <v>WIC</v>
      </c>
      <c r="C4516" t="str">
        <f t="shared" si="283"/>
        <v>11307-0000</v>
      </c>
      <c r="D4516" t="s">
        <v>29983</v>
      </c>
      <c r="E4516" t="s">
        <v>14096</v>
      </c>
      <c r="F4516" t="s">
        <v>14039</v>
      </c>
      <c r="G4516" t="s">
        <v>14672</v>
      </c>
      <c r="H4516" t="s">
        <v>13869</v>
      </c>
      <c r="I4516" t="s">
        <v>14690</v>
      </c>
      <c r="J4516" s="62">
        <v>0</v>
      </c>
      <c r="K4516" s="62">
        <v>0</v>
      </c>
      <c r="L4516" t="str">
        <f>VLOOKUP(VALUE(LEFT(C4516,5)),Xref!A:B,2,0)</f>
        <v>NES</v>
      </c>
      <c r="M4516" t="str">
        <f t="shared" si="280"/>
        <v>NES-WIC</v>
      </c>
    </row>
    <row r="4517" spans="1:13">
      <c r="A4517" t="str">
        <f t="shared" si="281"/>
        <v>WIC - Intercompany</v>
      </c>
      <c r="B4517" t="str">
        <f t="shared" si="282"/>
        <v>WIC</v>
      </c>
      <c r="C4517" t="str">
        <f t="shared" si="283"/>
        <v>11308-0000</v>
      </c>
      <c r="D4517" t="s">
        <v>29984</v>
      </c>
      <c r="E4517" t="s">
        <v>13476</v>
      </c>
      <c r="F4517" t="s">
        <v>14039</v>
      </c>
      <c r="G4517" t="s">
        <v>14672</v>
      </c>
      <c r="H4517" t="s">
        <v>13869</v>
      </c>
      <c r="I4517" t="s">
        <v>14690</v>
      </c>
      <c r="J4517" s="62">
        <v>0</v>
      </c>
      <c r="K4517" s="62">
        <v>0</v>
      </c>
      <c r="L4517" t="str">
        <f>VLOOKUP(VALUE(LEFT(C4517,5)),Xref!A:B,2,0)</f>
        <v>LPI</v>
      </c>
      <c r="M4517" t="str">
        <f t="shared" si="280"/>
        <v>LPI-WIC</v>
      </c>
    </row>
    <row r="4518" spans="1:13">
      <c r="A4518" t="str">
        <f t="shared" si="281"/>
        <v>WIC - Intercompany</v>
      </c>
      <c r="B4518" t="str">
        <f t="shared" si="282"/>
        <v>WIC</v>
      </c>
      <c r="C4518" t="str">
        <f t="shared" si="283"/>
        <v>11309-0000</v>
      </c>
      <c r="D4518" t="s">
        <v>29985</v>
      </c>
      <c r="E4518" t="s">
        <v>13230</v>
      </c>
      <c r="F4518" t="s">
        <v>14039</v>
      </c>
      <c r="G4518" t="s">
        <v>14672</v>
      </c>
      <c r="H4518" t="s">
        <v>13869</v>
      </c>
      <c r="I4518" t="s">
        <v>14690</v>
      </c>
      <c r="J4518" s="62">
        <v>0</v>
      </c>
      <c r="K4518" s="62">
        <v>0</v>
      </c>
      <c r="L4518" t="str">
        <f>VLOOKUP(VALUE(LEFT(C4518,5)),Xref!A:B,2,0)</f>
        <v>GPI</v>
      </c>
      <c r="M4518" t="str">
        <f t="shared" si="280"/>
        <v>GPI-WIC</v>
      </c>
    </row>
    <row r="4519" spans="1:13">
      <c r="A4519" t="str">
        <f t="shared" si="281"/>
        <v>WIC - Intercompany</v>
      </c>
      <c r="B4519" t="str">
        <f t="shared" si="282"/>
        <v>WIC</v>
      </c>
      <c r="C4519" t="str">
        <f t="shared" si="283"/>
        <v>11310-0000</v>
      </c>
      <c r="D4519" t="s">
        <v>29986</v>
      </c>
      <c r="E4519" t="s">
        <v>13231</v>
      </c>
      <c r="F4519" t="s">
        <v>14039</v>
      </c>
      <c r="G4519" t="s">
        <v>14672</v>
      </c>
      <c r="H4519" t="s">
        <v>13869</v>
      </c>
      <c r="I4519" t="s">
        <v>14690</v>
      </c>
      <c r="J4519" s="62">
        <v>0</v>
      </c>
      <c r="K4519" s="62">
        <v>0</v>
      </c>
      <c r="L4519" t="str">
        <f>VLOOKUP(VALUE(LEFT(C4519,5)),Xref!A:B,2,0)</f>
        <v>ALP</v>
      </c>
      <c r="M4519" t="str">
        <f t="shared" si="280"/>
        <v>ALP-WIC</v>
      </c>
    </row>
    <row r="4520" spans="1:13">
      <c r="A4520" t="str">
        <f t="shared" si="281"/>
        <v>WIC - Intercompany</v>
      </c>
      <c r="B4520" t="str">
        <f t="shared" si="282"/>
        <v>WIC</v>
      </c>
      <c r="C4520" t="str">
        <f t="shared" si="283"/>
        <v>11311-0000</v>
      </c>
      <c r="D4520" t="s">
        <v>29987</v>
      </c>
      <c r="E4520" t="s">
        <v>13232</v>
      </c>
      <c r="F4520" t="s">
        <v>14039</v>
      </c>
      <c r="G4520" t="s">
        <v>14672</v>
      </c>
      <c r="H4520" t="s">
        <v>13869</v>
      </c>
      <c r="I4520" t="s">
        <v>14690</v>
      </c>
      <c r="J4520" s="62">
        <v>0</v>
      </c>
      <c r="K4520" s="62">
        <v>0</v>
      </c>
      <c r="L4520" t="str">
        <f>VLOOKUP(VALUE(LEFT(C4520,5)),Xref!A:B,2,0)</f>
        <v>BET</v>
      </c>
      <c r="M4520" t="str">
        <f t="shared" si="280"/>
        <v>BET-WIC</v>
      </c>
    </row>
    <row r="4521" spans="1:13">
      <c r="A4521" t="str">
        <f t="shared" si="281"/>
        <v>WIC - Intercompany</v>
      </c>
      <c r="B4521" t="str">
        <f t="shared" si="282"/>
        <v>WIC</v>
      </c>
      <c r="C4521" t="str">
        <f t="shared" si="283"/>
        <v>11312-0000</v>
      </c>
      <c r="D4521" t="s">
        <v>29988</v>
      </c>
      <c r="E4521" t="s">
        <v>14102</v>
      </c>
      <c r="F4521" t="s">
        <v>14039</v>
      </c>
      <c r="G4521" t="s">
        <v>14672</v>
      </c>
      <c r="H4521" t="s">
        <v>13869</v>
      </c>
      <c r="I4521" t="s">
        <v>14690</v>
      </c>
      <c r="J4521" s="62">
        <v>0</v>
      </c>
      <c r="K4521" s="62">
        <v>0</v>
      </c>
      <c r="L4521" t="str">
        <f>VLOOKUP(VALUE(LEFT(C4521,5)),Xref!A:B,2,0)</f>
        <v>DEL</v>
      </c>
      <c r="M4521" t="str">
        <f t="shared" si="280"/>
        <v>DEL-WIC</v>
      </c>
    </row>
    <row r="4522" spans="1:13">
      <c r="A4522" t="str">
        <f t="shared" si="281"/>
        <v>WIC - Intercompany</v>
      </c>
      <c r="B4522" t="str">
        <f t="shared" si="282"/>
        <v>WIC</v>
      </c>
      <c r="C4522" t="str">
        <f t="shared" si="283"/>
        <v>11313-0000</v>
      </c>
      <c r="D4522" t="s">
        <v>29989</v>
      </c>
      <c r="E4522" t="s">
        <v>13233</v>
      </c>
      <c r="F4522" t="s">
        <v>14039</v>
      </c>
      <c r="G4522" t="s">
        <v>14672</v>
      </c>
      <c r="H4522" t="s">
        <v>13869</v>
      </c>
      <c r="I4522" t="s">
        <v>14690</v>
      </c>
      <c r="J4522" s="62">
        <v>0</v>
      </c>
      <c r="K4522" s="62">
        <v>0</v>
      </c>
      <c r="L4522" t="str">
        <f>VLOOKUP(VALUE(LEFT(C4522,5)),Xref!A:B,2,0)</f>
        <v>DOL</v>
      </c>
      <c r="M4522" t="str">
        <f t="shared" si="280"/>
        <v>DOL-WIC</v>
      </c>
    </row>
    <row r="4523" spans="1:13">
      <c r="A4523" t="str">
        <f t="shared" si="281"/>
        <v>WIC - Intercompany</v>
      </c>
      <c r="B4523" t="str">
        <f t="shared" si="282"/>
        <v>WIC</v>
      </c>
      <c r="C4523" t="str">
        <f t="shared" si="283"/>
        <v>11314-0000</v>
      </c>
      <c r="D4523" t="s">
        <v>29990</v>
      </c>
      <c r="E4523" t="s">
        <v>13351</v>
      </c>
      <c r="F4523" t="s">
        <v>14039</v>
      </c>
      <c r="G4523" t="s">
        <v>14672</v>
      </c>
      <c r="H4523" t="s">
        <v>13869</v>
      </c>
      <c r="I4523" t="s">
        <v>14690</v>
      </c>
      <c r="J4523" s="62">
        <v>0</v>
      </c>
      <c r="K4523" s="62">
        <v>0</v>
      </c>
      <c r="L4523" t="str">
        <f>VLOOKUP(VALUE(LEFT(C4523,5)),Xref!A:B,2,0)</f>
        <v>GRI</v>
      </c>
      <c r="M4523" t="str">
        <f t="shared" ref="M4523:M4586" si="284">IF(B4523&lt;L4523,B4523&amp;"-"&amp;L4523,L4523&amp;"-"&amp;B4523)</f>
        <v>GRI-WIC</v>
      </c>
    </row>
    <row r="4524" spans="1:13">
      <c r="A4524" t="str">
        <f t="shared" si="281"/>
        <v>WIC - Intercompany</v>
      </c>
      <c r="B4524" t="str">
        <f t="shared" si="282"/>
        <v>WIC</v>
      </c>
      <c r="C4524" t="str">
        <f t="shared" si="283"/>
        <v>11315-0000</v>
      </c>
      <c r="D4524" t="s">
        <v>29991</v>
      </c>
      <c r="E4524" t="s">
        <v>13234</v>
      </c>
      <c r="F4524" t="s">
        <v>14039</v>
      </c>
      <c r="G4524" t="s">
        <v>14672</v>
      </c>
      <c r="H4524" t="s">
        <v>13869</v>
      </c>
      <c r="I4524" t="s">
        <v>14690</v>
      </c>
      <c r="J4524" s="62">
        <v>0</v>
      </c>
      <c r="K4524" s="62">
        <v>0</v>
      </c>
      <c r="L4524" t="str">
        <f>VLOOKUP(VALUE(LEFT(C4524,5)),Xref!A:B,2,0)</f>
        <v>PUR</v>
      </c>
      <c r="M4524" t="str">
        <f t="shared" si="284"/>
        <v>PUR-WIC</v>
      </c>
    </row>
    <row r="4525" spans="1:13">
      <c r="A4525" t="str">
        <f t="shared" si="281"/>
        <v>WIC - Intercompany</v>
      </c>
      <c r="B4525" t="str">
        <f t="shared" si="282"/>
        <v>WIC</v>
      </c>
      <c r="C4525" t="str">
        <f t="shared" si="283"/>
        <v>11316-0000</v>
      </c>
      <c r="D4525" t="s">
        <v>29992</v>
      </c>
      <c r="E4525" t="s">
        <v>13235</v>
      </c>
      <c r="F4525" t="s">
        <v>14039</v>
      </c>
      <c r="G4525" t="s">
        <v>14672</v>
      </c>
      <c r="H4525" t="s">
        <v>13869</v>
      </c>
      <c r="I4525" t="s">
        <v>14690</v>
      </c>
      <c r="J4525" s="62">
        <v>0</v>
      </c>
      <c r="K4525" s="62">
        <v>0</v>
      </c>
      <c r="L4525" t="str">
        <f>VLOOKUP(VALUE(LEFT(C4525,5)),Xref!A:B,2,0)</f>
        <v>VAL</v>
      </c>
      <c r="M4525" t="str">
        <f t="shared" si="284"/>
        <v>VAL-WIC</v>
      </c>
    </row>
    <row r="4526" spans="1:13">
      <c r="A4526" t="str">
        <f t="shared" si="281"/>
        <v>WIC - Intercompany</v>
      </c>
      <c r="B4526" t="str">
        <f t="shared" si="282"/>
        <v>WIC</v>
      </c>
      <c r="C4526" t="str">
        <f t="shared" si="283"/>
        <v>11317-0000</v>
      </c>
      <c r="D4526" t="s">
        <v>29993</v>
      </c>
      <c r="E4526" t="s">
        <v>13352</v>
      </c>
      <c r="F4526" t="s">
        <v>14039</v>
      </c>
      <c r="G4526" t="s">
        <v>14672</v>
      </c>
      <c r="H4526" t="s">
        <v>13869</v>
      </c>
      <c r="I4526" t="s">
        <v>14690</v>
      </c>
      <c r="J4526" s="62">
        <v>0</v>
      </c>
      <c r="K4526" s="62">
        <v>0</v>
      </c>
      <c r="L4526" t="str">
        <f>VLOOKUP(VALUE(LEFT(C4526,5)),Xref!A:B,2,0)</f>
        <v>AKG</v>
      </c>
      <c r="M4526" t="str">
        <f t="shared" si="284"/>
        <v>AKG-WIC</v>
      </c>
    </row>
    <row r="4527" spans="1:13">
      <c r="A4527" t="str">
        <f t="shared" si="281"/>
        <v>WIC - Intercompany</v>
      </c>
      <c r="B4527" t="str">
        <f t="shared" si="282"/>
        <v>WIC</v>
      </c>
      <c r="C4527" t="str">
        <f t="shared" si="283"/>
        <v>11318-0000</v>
      </c>
      <c r="D4527" t="s">
        <v>29994</v>
      </c>
      <c r="E4527" t="s">
        <v>13477</v>
      </c>
      <c r="F4527" t="s">
        <v>14039</v>
      </c>
      <c r="G4527" t="s">
        <v>14672</v>
      </c>
      <c r="H4527" t="s">
        <v>13869</v>
      </c>
      <c r="I4527" t="s">
        <v>14690</v>
      </c>
      <c r="J4527" s="62">
        <v>0</v>
      </c>
      <c r="K4527" s="62">
        <v>0</v>
      </c>
      <c r="L4527" t="str">
        <f>VLOOKUP(VALUE(LEFT(C4527,5)),Xref!A:B,2,0)</f>
        <v>FIR</v>
      </c>
      <c r="M4527" t="str">
        <f t="shared" si="284"/>
        <v>FIR-WIC</v>
      </c>
    </row>
    <row r="4528" spans="1:13">
      <c r="A4528" t="str">
        <f t="shared" si="281"/>
        <v>WIC - Intercompany</v>
      </c>
      <c r="B4528" t="str">
        <f t="shared" si="282"/>
        <v>WIC</v>
      </c>
      <c r="C4528" t="str">
        <f t="shared" si="283"/>
        <v>11319-0000</v>
      </c>
      <c r="D4528" t="s">
        <v>29995</v>
      </c>
      <c r="E4528" t="s">
        <v>266</v>
      </c>
      <c r="F4528" t="s">
        <v>14039</v>
      </c>
      <c r="G4528" t="s">
        <v>14672</v>
      </c>
      <c r="H4528" t="s">
        <v>13869</v>
      </c>
      <c r="I4528" t="s">
        <v>14690</v>
      </c>
      <c r="J4528" s="62">
        <v>0</v>
      </c>
      <c r="K4528" s="62">
        <v>0</v>
      </c>
      <c r="L4528" t="str">
        <f>VLOOKUP(VALUE(LEFT(C4528,5)),Xref!A:B,2,0)</f>
        <v>GST</v>
      </c>
      <c r="M4528" t="str">
        <f t="shared" si="284"/>
        <v>GST-WIC</v>
      </c>
    </row>
    <row r="4529" spans="1:13">
      <c r="A4529" t="str">
        <f t="shared" si="281"/>
        <v>WIC - Intercompany</v>
      </c>
      <c r="B4529" t="str">
        <f t="shared" si="282"/>
        <v>WIC</v>
      </c>
      <c r="C4529" t="str">
        <f t="shared" si="283"/>
        <v>11320-0000</v>
      </c>
      <c r="D4529" t="s">
        <v>29996</v>
      </c>
      <c r="E4529" t="s">
        <v>14111</v>
      </c>
      <c r="F4529" t="s">
        <v>14039</v>
      </c>
      <c r="G4529" t="s">
        <v>14672</v>
      </c>
      <c r="H4529" t="s">
        <v>13869</v>
      </c>
      <c r="I4529" t="s">
        <v>14690</v>
      </c>
      <c r="J4529" s="62">
        <v>0</v>
      </c>
      <c r="K4529" s="62">
        <v>0</v>
      </c>
      <c r="L4529" t="str">
        <f>VLOOKUP(VALUE(LEFT(C4529,5)),Xref!A:B,2,0)</f>
        <v>HDN</v>
      </c>
      <c r="M4529" t="str">
        <f t="shared" si="284"/>
        <v>HDN-WIC</v>
      </c>
    </row>
    <row r="4530" spans="1:13">
      <c r="A4530" t="str">
        <f t="shared" si="281"/>
        <v>WIC - Intercompany</v>
      </c>
      <c r="B4530" t="str">
        <f t="shared" si="282"/>
        <v>WIC</v>
      </c>
      <c r="C4530" t="str">
        <f t="shared" si="283"/>
        <v>11321-0000</v>
      </c>
      <c r="D4530" t="s">
        <v>29997</v>
      </c>
      <c r="E4530" t="s">
        <v>13236</v>
      </c>
      <c r="F4530" t="s">
        <v>14039</v>
      </c>
      <c r="G4530" t="s">
        <v>14672</v>
      </c>
      <c r="H4530" t="s">
        <v>13869</v>
      </c>
      <c r="I4530" t="s">
        <v>14690</v>
      </c>
      <c r="J4530" s="62">
        <v>0</v>
      </c>
      <c r="K4530" s="62">
        <v>0</v>
      </c>
      <c r="L4530" t="str">
        <f>VLOOKUP(VALUE(LEFT(C4530,5)),Xref!A:B,2,0)</f>
        <v>OVA</v>
      </c>
      <c r="M4530" t="str">
        <f t="shared" si="284"/>
        <v>OVA-WIC</v>
      </c>
    </row>
    <row r="4531" spans="1:13">
      <c r="A4531" t="str">
        <f t="shared" si="281"/>
        <v>WIC - Intercompany</v>
      </c>
      <c r="B4531" t="str">
        <f t="shared" si="282"/>
        <v>WIC</v>
      </c>
      <c r="C4531" t="str">
        <f t="shared" si="283"/>
        <v>11322-0000</v>
      </c>
      <c r="D4531" t="s">
        <v>29998</v>
      </c>
      <c r="E4531" t="s">
        <v>13237</v>
      </c>
      <c r="F4531" t="s">
        <v>14039</v>
      </c>
      <c r="G4531" t="s">
        <v>14672</v>
      </c>
      <c r="H4531" t="s">
        <v>13869</v>
      </c>
      <c r="I4531" t="s">
        <v>14690</v>
      </c>
      <c r="J4531" s="62">
        <v>0</v>
      </c>
      <c r="K4531" s="62">
        <v>0</v>
      </c>
      <c r="L4531" t="str">
        <f>VLOOKUP(VALUE(LEFT(C4531,5)),Xref!A:B,2,0)</f>
        <v>WOO</v>
      </c>
      <c r="M4531" t="str">
        <f t="shared" si="284"/>
        <v>WIC-WOO</v>
      </c>
    </row>
    <row r="4532" spans="1:13">
      <c r="A4532" t="str">
        <f t="shared" si="281"/>
        <v>WIC - Intercompany</v>
      </c>
      <c r="B4532" t="str">
        <f t="shared" si="282"/>
        <v>WIC</v>
      </c>
      <c r="C4532" t="str">
        <f t="shared" si="283"/>
        <v>11323-0000</v>
      </c>
      <c r="D4532" t="s">
        <v>29999</v>
      </c>
      <c r="E4532" t="s">
        <v>13478</v>
      </c>
      <c r="F4532" t="s">
        <v>14039</v>
      </c>
      <c r="G4532" t="s">
        <v>14672</v>
      </c>
      <c r="H4532" t="s">
        <v>13869</v>
      </c>
      <c r="I4532" t="s">
        <v>14690</v>
      </c>
      <c r="J4532" s="62">
        <v>0</v>
      </c>
      <c r="K4532" s="62">
        <v>0</v>
      </c>
      <c r="L4532" t="str">
        <f>VLOOKUP(VALUE(LEFT(C4532,5)),Xref!A:B,2,0)</f>
        <v>SPI</v>
      </c>
      <c r="M4532" t="str">
        <f t="shared" si="284"/>
        <v>SPI-WIC</v>
      </c>
    </row>
    <row r="4533" spans="1:13">
      <c r="A4533" t="str">
        <f t="shared" si="281"/>
        <v>WIC - Intercompany</v>
      </c>
      <c r="B4533" t="str">
        <f t="shared" si="282"/>
        <v>WIC</v>
      </c>
      <c r="C4533" t="str">
        <f t="shared" si="283"/>
        <v>11324-0000</v>
      </c>
      <c r="D4533" t="s">
        <v>30000</v>
      </c>
      <c r="E4533" t="s">
        <v>13238</v>
      </c>
      <c r="F4533" t="s">
        <v>14039</v>
      </c>
      <c r="G4533" t="s">
        <v>14672</v>
      </c>
      <c r="H4533" t="s">
        <v>13869</v>
      </c>
      <c r="I4533" t="s">
        <v>14690</v>
      </c>
      <c r="J4533" s="62">
        <v>0</v>
      </c>
      <c r="K4533" s="62">
        <v>0</v>
      </c>
      <c r="L4533" t="str">
        <f>VLOOKUP(VALUE(LEFT(C4533,5)),Xref!A:B,2,0)</f>
        <v>NET</v>
      </c>
      <c r="M4533" t="str">
        <f t="shared" si="284"/>
        <v>NET-WIC</v>
      </c>
    </row>
    <row r="4534" spans="1:13">
      <c r="A4534" t="str">
        <f t="shared" si="281"/>
        <v>WIC - Intercompany</v>
      </c>
      <c r="B4534" t="str">
        <f t="shared" si="282"/>
        <v>WIC</v>
      </c>
      <c r="C4534" t="str">
        <f t="shared" si="283"/>
        <v>11325-0000</v>
      </c>
      <c r="D4534" t="s">
        <v>30001</v>
      </c>
      <c r="E4534" t="s">
        <v>13239</v>
      </c>
      <c r="F4534" t="s">
        <v>14039</v>
      </c>
      <c r="G4534" t="s">
        <v>14672</v>
      </c>
      <c r="H4534" t="s">
        <v>13869</v>
      </c>
      <c r="I4534" t="s">
        <v>14690</v>
      </c>
      <c r="J4534" s="62">
        <v>0</v>
      </c>
      <c r="K4534" s="62">
        <v>0</v>
      </c>
      <c r="L4534" t="str">
        <f>VLOOKUP(VALUE(LEFT(C4534,5)),Xref!A:B,2,0)</f>
        <v>DPI</v>
      </c>
      <c r="M4534" t="str">
        <f t="shared" si="284"/>
        <v>DPI-WIC</v>
      </c>
    </row>
    <row r="4535" spans="1:13">
      <c r="A4535" t="str">
        <f t="shared" si="281"/>
        <v>WIC - Intercompany</v>
      </c>
      <c r="B4535" t="str">
        <f t="shared" si="282"/>
        <v>WIC</v>
      </c>
      <c r="C4535" t="str">
        <f t="shared" si="283"/>
        <v>11326-0000</v>
      </c>
      <c r="D4535" t="s">
        <v>30002</v>
      </c>
      <c r="E4535" t="s">
        <v>13240</v>
      </c>
      <c r="F4535" t="s">
        <v>14039</v>
      </c>
      <c r="G4535" t="s">
        <v>14672</v>
      </c>
      <c r="H4535" t="s">
        <v>13869</v>
      </c>
      <c r="I4535" t="s">
        <v>14690</v>
      </c>
      <c r="J4535" s="62">
        <v>0</v>
      </c>
      <c r="K4535" s="62">
        <v>0</v>
      </c>
      <c r="L4535" t="str">
        <f>VLOOKUP(VALUE(LEFT(C4535,5)),Xref!A:B,2,0)</f>
        <v>SEK</v>
      </c>
      <c r="M4535" t="str">
        <f t="shared" si="284"/>
        <v>SEK-WIC</v>
      </c>
    </row>
    <row r="4536" spans="1:13">
      <c r="A4536" t="str">
        <f t="shared" si="281"/>
        <v>WIC - Intercompany</v>
      </c>
      <c r="B4536" t="str">
        <f t="shared" si="282"/>
        <v>WIC</v>
      </c>
      <c r="C4536" t="str">
        <f t="shared" si="283"/>
        <v>11327-0000</v>
      </c>
      <c r="D4536" t="s">
        <v>30003</v>
      </c>
      <c r="E4536" t="s">
        <v>14119</v>
      </c>
      <c r="F4536" t="s">
        <v>14039</v>
      </c>
      <c r="G4536" t="s">
        <v>14672</v>
      </c>
      <c r="H4536" t="s">
        <v>13869</v>
      </c>
      <c r="I4536" t="s">
        <v>14690</v>
      </c>
      <c r="J4536" s="62">
        <v>0</v>
      </c>
      <c r="K4536" s="62">
        <v>0</v>
      </c>
      <c r="L4536" t="str">
        <f>VLOOKUP(VALUE(LEFT(C4536,5)),Xref!A:B,2,0)</f>
        <v>CPI</v>
      </c>
      <c r="M4536" t="str">
        <f t="shared" si="284"/>
        <v>CPI-WIC</v>
      </c>
    </row>
    <row r="4537" spans="1:13">
      <c r="A4537" t="str">
        <f t="shared" si="281"/>
        <v>WIC - Intercompany</v>
      </c>
      <c r="B4537" t="str">
        <f t="shared" si="282"/>
        <v>WIC</v>
      </c>
      <c r="C4537" t="str">
        <f t="shared" si="283"/>
        <v>11328-0000</v>
      </c>
      <c r="D4537" t="s">
        <v>30004</v>
      </c>
      <c r="E4537" t="s">
        <v>13241</v>
      </c>
      <c r="F4537" t="s">
        <v>14039</v>
      </c>
      <c r="G4537" t="s">
        <v>14672</v>
      </c>
      <c r="H4537" t="s">
        <v>13869</v>
      </c>
      <c r="I4537" t="s">
        <v>14690</v>
      </c>
      <c r="J4537" s="62">
        <v>0</v>
      </c>
      <c r="K4537" s="62">
        <v>0</v>
      </c>
      <c r="L4537" t="str">
        <f>VLOOKUP(VALUE(LEFT(C4537,5)),Xref!A:B,2,0)</f>
        <v>LOM</v>
      </c>
      <c r="M4537" t="str">
        <f t="shared" si="284"/>
        <v>LOM-WIC</v>
      </c>
    </row>
    <row r="4538" spans="1:13">
      <c r="A4538" t="str">
        <f t="shared" si="281"/>
        <v>WIC - Intercompany</v>
      </c>
      <c r="B4538" t="str">
        <f t="shared" si="282"/>
        <v>WIC</v>
      </c>
      <c r="C4538" t="str">
        <f t="shared" si="283"/>
        <v>11329-0000</v>
      </c>
      <c r="D4538" t="s">
        <v>30005</v>
      </c>
      <c r="E4538" t="s">
        <v>13353</v>
      </c>
      <c r="F4538" t="s">
        <v>14039</v>
      </c>
      <c r="G4538" t="s">
        <v>14672</v>
      </c>
      <c r="H4538" t="s">
        <v>13869</v>
      </c>
      <c r="I4538" t="s">
        <v>14690</v>
      </c>
      <c r="J4538" s="62">
        <v>0</v>
      </c>
      <c r="K4538" s="62">
        <v>0</v>
      </c>
      <c r="L4538" t="str">
        <f>VLOOKUP(VALUE(LEFT(C4538,5)),Xref!A:B,2,0)</f>
        <v>AKS</v>
      </c>
      <c r="M4538" t="str">
        <f t="shared" si="284"/>
        <v>AKS-WIC</v>
      </c>
    </row>
    <row r="4539" spans="1:13">
      <c r="A4539" t="str">
        <f t="shared" si="281"/>
        <v>WIC - Intercompany</v>
      </c>
      <c r="B4539" t="str">
        <f t="shared" si="282"/>
        <v>WIC</v>
      </c>
      <c r="C4539" t="str">
        <f t="shared" si="283"/>
        <v>11330-0000</v>
      </c>
      <c r="D4539" t="s">
        <v>30006</v>
      </c>
      <c r="E4539" t="s">
        <v>13242</v>
      </c>
      <c r="F4539" t="s">
        <v>14039</v>
      </c>
      <c r="G4539" t="s">
        <v>14672</v>
      </c>
      <c r="H4539" t="s">
        <v>13869</v>
      </c>
      <c r="I4539" t="s">
        <v>14690</v>
      </c>
      <c r="J4539" s="62">
        <v>0</v>
      </c>
      <c r="K4539" s="62">
        <v>0</v>
      </c>
      <c r="L4539" t="str">
        <f>VLOOKUP(VALUE(LEFT(C4539,5)),Xref!A:B,2,0)</f>
        <v>MAR</v>
      </c>
      <c r="M4539" t="str">
        <f t="shared" si="284"/>
        <v>MAR-WIC</v>
      </c>
    </row>
    <row r="4540" spans="1:13">
      <c r="A4540" t="str">
        <f t="shared" si="281"/>
        <v>WIC - Intercompany</v>
      </c>
      <c r="B4540" t="str">
        <f t="shared" si="282"/>
        <v>WIC</v>
      </c>
      <c r="C4540" t="str">
        <f t="shared" si="283"/>
        <v>11331-0000</v>
      </c>
      <c r="D4540" t="s">
        <v>30007</v>
      </c>
      <c r="E4540" t="s">
        <v>13354</v>
      </c>
      <c r="F4540" t="s">
        <v>14039</v>
      </c>
      <c r="G4540" t="s">
        <v>14672</v>
      </c>
      <c r="H4540" t="s">
        <v>13869</v>
      </c>
      <c r="I4540" t="s">
        <v>14690</v>
      </c>
      <c r="J4540" s="62">
        <v>0</v>
      </c>
      <c r="K4540" s="62">
        <v>0</v>
      </c>
      <c r="L4540" t="str">
        <f>VLOOKUP(VALUE(LEFT(C4540,5)),Xref!A:B,2,0)</f>
        <v>WIL</v>
      </c>
      <c r="M4540" t="str">
        <f t="shared" si="284"/>
        <v>WIC-WIL</v>
      </c>
    </row>
    <row r="4541" spans="1:13">
      <c r="A4541" t="str">
        <f t="shared" si="281"/>
        <v>WIC - Intercompany</v>
      </c>
      <c r="B4541" t="str">
        <f t="shared" si="282"/>
        <v>WIC</v>
      </c>
      <c r="C4541" t="str">
        <f t="shared" si="283"/>
        <v>11332-0000</v>
      </c>
      <c r="D4541" t="s">
        <v>30008</v>
      </c>
      <c r="E4541" t="s">
        <v>13243</v>
      </c>
      <c r="F4541" t="s">
        <v>14039</v>
      </c>
      <c r="G4541" t="s">
        <v>14672</v>
      </c>
      <c r="H4541" t="s">
        <v>13869</v>
      </c>
      <c r="I4541" t="s">
        <v>14690</v>
      </c>
      <c r="J4541" s="62">
        <v>0</v>
      </c>
      <c r="K4541" s="62">
        <v>0</v>
      </c>
      <c r="L4541" t="str">
        <f>VLOOKUP(VALUE(LEFT(C4541,5)),Xref!A:B,2,0)</f>
        <v>STO</v>
      </c>
      <c r="M4541" t="str">
        <f t="shared" si="284"/>
        <v>STO-WIC</v>
      </c>
    </row>
    <row r="4542" spans="1:13">
      <c r="A4542" t="str">
        <f t="shared" si="281"/>
        <v>WIC - Intercompany</v>
      </c>
      <c r="B4542" t="str">
        <f t="shared" si="282"/>
        <v>WIC</v>
      </c>
      <c r="C4542" t="str">
        <f t="shared" si="283"/>
        <v>11333-0000</v>
      </c>
      <c r="D4542" t="s">
        <v>30009</v>
      </c>
      <c r="E4542" t="s">
        <v>13244</v>
      </c>
      <c r="F4542" t="s">
        <v>14039</v>
      </c>
      <c r="G4542" t="s">
        <v>14672</v>
      </c>
      <c r="H4542" t="s">
        <v>13869</v>
      </c>
      <c r="I4542" t="s">
        <v>14690</v>
      </c>
      <c r="J4542" s="62">
        <v>0</v>
      </c>
      <c r="K4542" s="62">
        <v>0</v>
      </c>
      <c r="L4542" t="str">
        <f>VLOOKUP(VALUE(LEFT(C4542,5)),Xref!A:B,2,0)</f>
        <v>ANG</v>
      </c>
      <c r="M4542" t="str">
        <f t="shared" si="284"/>
        <v>ANG-WIC</v>
      </c>
    </row>
    <row r="4543" spans="1:13">
      <c r="A4543" t="str">
        <f t="shared" si="281"/>
        <v>WIC - Intercompany</v>
      </c>
      <c r="B4543" t="str">
        <f t="shared" si="282"/>
        <v>WIC</v>
      </c>
      <c r="C4543" t="str">
        <f t="shared" si="283"/>
        <v>11334-0000</v>
      </c>
      <c r="D4543" t="s">
        <v>30010</v>
      </c>
      <c r="E4543" t="s">
        <v>13245</v>
      </c>
      <c r="F4543" t="s">
        <v>14039</v>
      </c>
      <c r="G4543" t="s">
        <v>14672</v>
      </c>
      <c r="H4543" t="s">
        <v>13869</v>
      </c>
      <c r="I4543" t="s">
        <v>14690</v>
      </c>
      <c r="J4543" s="62">
        <v>0</v>
      </c>
      <c r="K4543" s="62">
        <v>0</v>
      </c>
      <c r="L4543" t="str">
        <f>VLOOKUP(VALUE(LEFT(C4543,5)),Xref!A:B,2,0)</f>
        <v>BRU</v>
      </c>
      <c r="M4543" t="str">
        <f t="shared" si="284"/>
        <v>BRU-WIC</v>
      </c>
    </row>
    <row r="4544" spans="1:13">
      <c r="A4544" t="str">
        <f t="shared" si="281"/>
        <v>WIC - Intercompany</v>
      </c>
      <c r="B4544" t="str">
        <f t="shared" si="282"/>
        <v>WIC</v>
      </c>
      <c r="C4544" t="str">
        <f t="shared" si="283"/>
        <v>11335-0000</v>
      </c>
      <c r="D4544" t="s">
        <v>30011</v>
      </c>
      <c r="E4544" t="s">
        <v>13246</v>
      </c>
      <c r="F4544" t="s">
        <v>14039</v>
      </c>
      <c r="G4544" t="s">
        <v>14672</v>
      </c>
      <c r="H4544" t="s">
        <v>13869</v>
      </c>
      <c r="I4544" t="s">
        <v>14690</v>
      </c>
      <c r="J4544" s="62">
        <v>0</v>
      </c>
      <c r="K4544" s="62">
        <v>0</v>
      </c>
      <c r="L4544" t="str">
        <f>VLOOKUP(VALUE(LEFT(C4544,5)),Xref!A:B,2,0)</f>
        <v>VEN</v>
      </c>
      <c r="M4544" t="str">
        <f t="shared" si="284"/>
        <v>VEN-WIC</v>
      </c>
    </row>
    <row r="4545" spans="1:13">
      <c r="A4545" t="str">
        <f t="shared" si="281"/>
        <v>WIC - Intercompany</v>
      </c>
      <c r="B4545" t="str">
        <f t="shared" si="282"/>
        <v>WIC</v>
      </c>
      <c r="C4545" t="str">
        <f t="shared" si="283"/>
        <v>11336-0000</v>
      </c>
      <c r="D4545" t="s">
        <v>30012</v>
      </c>
      <c r="E4545" t="s">
        <v>13247</v>
      </c>
      <c r="F4545" t="s">
        <v>14039</v>
      </c>
      <c r="G4545" t="s">
        <v>14672</v>
      </c>
      <c r="H4545" t="s">
        <v>13869</v>
      </c>
      <c r="I4545" t="s">
        <v>14690</v>
      </c>
      <c r="J4545" s="62">
        <v>0</v>
      </c>
      <c r="K4545" s="62">
        <v>0</v>
      </c>
      <c r="L4545" t="str">
        <f>VLOOKUP(VALUE(LEFT(C4545,5)),Xref!A:B,2,0)</f>
        <v>SAT</v>
      </c>
      <c r="M4545" t="str">
        <f t="shared" si="284"/>
        <v>SAT-WIC</v>
      </c>
    </row>
    <row r="4546" spans="1:13">
      <c r="A4546" t="str">
        <f t="shared" ref="A4546:A4609" si="285">B4546&amp;" - "&amp;TRIM(H4546)</f>
        <v>WIC - Intercompany</v>
      </c>
      <c r="B4546" t="str">
        <f t="shared" ref="B4546:B4609" si="286">LEFT(D4546,3)</f>
        <v>WIC</v>
      </c>
      <c r="C4546" t="str">
        <f t="shared" ref="C4546:C4609" si="287">RIGHT(D4546,10)</f>
        <v>11337-0000</v>
      </c>
      <c r="D4546" t="s">
        <v>30013</v>
      </c>
      <c r="E4546" t="s">
        <v>13248</v>
      </c>
      <c r="F4546" t="s">
        <v>14039</v>
      </c>
      <c r="G4546" t="s">
        <v>14672</v>
      </c>
      <c r="H4546" t="s">
        <v>13869</v>
      </c>
      <c r="I4546" t="s">
        <v>14690</v>
      </c>
      <c r="J4546" s="62">
        <v>0</v>
      </c>
      <c r="K4546" s="62">
        <v>0</v>
      </c>
      <c r="L4546" t="str">
        <f>VLOOKUP(VALUE(LEFT(C4546,5)),Xref!A:B,2,0)</f>
        <v>NEP</v>
      </c>
      <c r="M4546" t="str">
        <f t="shared" si="284"/>
        <v>NEP-WIC</v>
      </c>
    </row>
    <row r="4547" spans="1:13">
      <c r="A4547" t="str">
        <f t="shared" si="285"/>
        <v>WIC - Intercompany</v>
      </c>
      <c r="B4547" t="str">
        <f t="shared" si="286"/>
        <v>WIC</v>
      </c>
      <c r="C4547" t="str">
        <f t="shared" si="287"/>
        <v>11338-0000</v>
      </c>
      <c r="D4547" t="s">
        <v>30014</v>
      </c>
      <c r="E4547" t="s">
        <v>14131</v>
      </c>
      <c r="F4547" t="s">
        <v>14039</v>
      </c>
      <c r="G4547" t="s">
        <v>14672</v>
      </c>
      <c r="H4547" t="s">
        <v>13869</v>
      </c>
      <c r="I4547" t="s">
        <v>14690</v>
      </c>
      <c r="J4547" s="62">
        <v>0</v>
      </c>
      <c r="K4547" s="62">
        <v>0</v>
      </c>
      <c r="L4547" t="str">
        <f>VLOOKUP(VALUE(LEFT(C4547,5)),Xref!A:B,2,0)</f>
        <v>JUP</v>
      </c>
      <c r="M4547" t="str">
        <f t="shared" si="284"/>
        <v>JUP-WIC</v>
      </c>
    </row>
    <row r="4548" spans="1:13">
      <c r="A4548" t="str">
        <f t="shared" si="285"/>
        <v>WIC - Intercompany</v>
      </c>
      <c r="B4548" t="str">
        <f t="shared" si="286"/>
        <v>WIC</v>
      </c>
      <c r="C4548" t="str">
        <f t="shared" si="287"/>
        <v>11339-0000</v>
      </c>
      <c r="D4548" t="s">
        <v>30015</v>
      </c>
      <c r="E4548" t="s">
        <v>14133</v>
      </c>
      <c r="F4548" t="s">
        <v>14039</v>
      </c>
      <c r="G4548" t="s">
        <v>14672</v>
      </c>
      <c r="H4548" t="s">
        <v>13869</v>
      </c>
      <c r="I4548" t="s">
        <v>14690</v>
      </c>
      <c r="J4548" s="62">
        <v>0</v>
      </c>
      <c r="K4548" s="62">
        <v>0</v>
      </c>
      <c r="L4548" t="str">
        <f>VLOOKUP(VALUE(LEFT(C4548,5)),Xref!A:B,2,0)</f>
        <v>WES</v>
      </c>
      <c r="M4548" t="str">
        <f t="shared" si="284"/>
        <v>WES-WIC</v>
      </c>
    </row>
    <row r="4549" spans="1:13">
      <c r="A4549" t="str">
        <f t="shared" si="285"/>
        <v>WIC - Intercompany</v>
      </c>
      <c r="B4549" t="str">
        <f t="shared" si="286"/>
        <v>WIC</v>
      </c>
      <c r="C4549" t="str">
        <f t="shared" si="287"/>
        <v>11340-0000</v>
      </c>
      <c r="D4549" t="s">
        <v>30016</v>
      </c>
      <c r="E4549" t="s">
        <v>14135</v>
      </c>
      <c r="F4549" t="s">
        <v>14039</v>
      </c>
      <c r="G4549" t="s">
        <v>14672</v>
      </c>
      <c r="H4549" t="s">
        <v>13869</v>
      </c>
      <c r="I4549" t="s">
        <v>14690</v>
      </c>
      <c r="J4549" s="62">
        <v>0</v>
      </c>
      <c r="K4549" s="62">
        <v>0</v>
      </c>
      <c r="L4549" t="str">
        <f>VLOOKUP(VALUE(LEFT(C4549,5)),Xref!A:B,2,0)</f>
        <v>LCP</v>
      </c>
      <c r="M4549" t="str">
        <f t="shared" si="284"/>
        <v>LCP-WIC</v>
      </c>
    </row>
    <row r="4550" spans="1:13">
      <c r="A4550" t="str">
        <f t="shared" si="285"/>
        <v>WIC - Intercompany</v>
      </c>
      <c r="B4550" t="str">
        <f t="shared" si="286"/>
        <v>WIC</v>
      </c>
      <c r="C4550" t="str">
        <f t="shared" si="287"/>
        <v>11341-0000</v>
      </c>
      <c r="D4550" t="s">
        <v>30017</v>
      </c>
      <c r="E4550" t="s">
        <v>13639</v>
      </c>
      <c r="F4550" t="s">
        <v>14039</v>
      </c>
      <c r="G4550" t="s">
        <v>14672</v>
      </c>
      <c r="H4550" t="s">
        <v>13869</v>
      </c>
      <c r="I4550" t="s">
        <v>14690</v>
      </c>
      <c r="J4550" s="62">
        <v>0</v>
      </c>
      <c r="K4550" s="62">
        <v>0</v>
      </c>
      <c r="L4550" t="str">
        <f>VLOOKUP(VALUE(LEFT(C4550,5)),Xref!A:B,2,0)</f>
        <v>NOR</v>
      </c>
      <c r="M4550" t="str">
        <f t="shared" si="284"/>
        <v>NOR-WIC</v>
      </c>
    </row>
    <row r="4551" spans="1:13">
      <c r="A4551" t="str">
        <f t="shared" si="285"/>
        <v>WIC - Intercompany</v>
      </c>
      <c r="B4551" t="str">
        <f t="shared" si="286"/>
        <v>WIC</v>
      </c>
      <c r="C4551" t="str">
        <f t="shared" si="287"/>
        <v>11342-0000</v>
      </c>
      <c r="D4551" t="s">
        <v>30018</v>
      </c>
      <c r="E4551" t="s">
        <v>13355</v>
      </c>
      <c r="F4551" t="s">
        <v>14039</v>
      </c>
      <c r="G4551" t="s">
        <v>14672</v>
      </c>
      <c r="H4551" t="s">
        <v>13869</v>
      </c>
      <c r="I4551" t="s">
        <v>14690</v>
      </c>
      <c r="J4551" s="62">
        <v>0</v>
      </c>
      <c r="K4551" s="62">
        <v>0</v>
      </c>
      <c r="L4551" t="str">
        <f>VLOOKUP(VALUE(LEFT(C4551,5)),Xref!A:B,2,0)</f>
        <v>EAS</v>
      </c>
      <c r="M4551" t="str">
        <f t="shared" si="284"/>
        <v>EAS-WIC</v>
      </c>
    </row>
    <row r="4552" spans="1:13">
      <c r="A4552" t="str">
        <f t="shared" si="285"/>
        <v>WIC - Intercompany</v>
      </c>
      <c r="B4552" t="str">
        <f t="shared" si="286"/>
        <v>WIC</v>
      </c>
      <c r="C4552" t="str">
        <f t="shared" si="287"/>
        <v>11343-0000</v>
      </c>
      <c r="D4552" t="s">
        <v>30019</v>
      </c>
      <c r="E4552" t="s">
        <v>14139</v>
      </c>
      <c r="F4552" t="s">
        <v>14039</v>
      </c>
      <c r="G4552" t="s">
        <v>14672</v>
      </c>
      <c r="H4552" t="s">
        <v>13869</v>
      </c>
      <c r="I4552" t="s">
        <v>14690</v>
      </c>
      <c r="J4552" s="62">
        <v>0</v>
      </c>
      <c r="K4552" s="62">
        <v>0</v>
      </c>
      <c r="L4552" t="str">
        <f>VLOOKUP(VALUE(LEFT(C4552,5)),Xref!A:B,2,0)</f>
        <v>GRA</v>
      </c>
      <c r="M4552" t="str">
        <f t="shared" si="284"/>
        <v>GRA-WIC</v>
      </c>
    </row>
    <row r="4553" spans="1:13">
      <c r="A4553" t="str">
        <f t="shared" si="285"/>
        <v>WIC - Intercompany</v>
      </c>
      <c r="B4553" t="str">
        <f t="shared" si="286"/>
        <v>WIC</v>
      </c>
      <c r="C4553" t="str">
        <f t="shared" si="287"/>
        <v>11344-0000</v>
      </c>
      <c r="D4553" t="s">
        <v>30020</v>
      </c>
      <c r="E4553" t="s">
        <v>14141</v>
      </c>
      <c r="F4553" t="s">
        <v>14039</v>
      </c>
      <c r="G4553" t="s">
        <v>14672</v>
      </c>
      <c r="H4553" t="s">
        <v>13869</v>
      </c>
      <c r="I4553" t="s">
        <v>14690</v>
      </c>
      <c r="J4553" s="62">
        <v>0</v>
      </c>
      <c r="K4553" s="62">
        <v>0</v>
      </c>
      <c r="L4553" t="str">
        <f>VLOOKUP(VALUE(LEFT(C4553,5)),Xref!A:B,2,0)</f>
        <v>SOU</v>
      </c>
      <c r="M4553" t="str">
        <f t="shared" si="284"/>
        <v>SOU-WIC</v>
      </c>
    </row>
    <row r="4554" spans="1:13">
      <c r="A4554" t="str">
        <f t="shared" si="285"/>
        <v>WIC - Intercompany</v>
      </c>
      <c r="B4554" t="str">
        <f t="shared" si="286"/>
        <v>WIC</v>
      </c>
      <c r="C4554" t="str">
        <f t="shared" si="287"/>
        <v>11345-0000</v>
      </c>
      <c r="D4554" t="s">
        <v>30021</v>
      </c>
      <c r="E4554" t="s">
        <v>14143</v>
      </c>
      <c r="F4554" t="s">
        <v>14039</v>
      </c>
      <c r="G4554" t="s">
        <v>14672</v>
      </c>
      <c r="H4554" t="s">
        <v>13869</v>
      </c>
      <c r="I4554" t="s">
        <v>14690</v>
      </c>
      <c r="J4554" s="62">
        <v>0</v>
      </c>
      <c r="K4554" s="62">
        <v>0</v>
      </c>
      <c r="L4554" t="str">
        <f>VLOOKUP(VALUE(LEFT(C4554,5)),Xref!A:B,2,0)</f>
        <v>API</v>
      </c>
      <c r="M4554" t="str">
        <f t="shared" si="284"/>
        <v>API-WIC</v>
      </c>
    </row>
    <row r="4555" spans="1:13">
      <c r="A4555" t="str">
        <f t="shared" si="285"/>
        <v>WIC - Intercompany</v>
      </c>
      <c r="B4555" t="str">
        <f t="shared" si="286"/>
        <v>WIC</v>
      </c>
      <c r="C4555" t="str">
        <f t="shared" si="287"/>
        <v>11346-0000</v>
      </c>
      <c r="D4555" t="s">
        <v>30022</v>
      </c>
      <c r="E4555" t="s">
        <v>14145</v>
      </c>
      <c r="F4555" t="s">
        <v>14039</v>
      </c>
      <c r="G4555" t="s">
        <v>14672</v>
      </c>
      <c r="H4555" t="s">
        <v>13869</v>
      </c>
      <c r="I4555" t="s">
        <v>14690</v>
      </c>
      <c r="J4555" s="62">
        <v>0</v>
      </c>
      <c r="K4555" s="62">
        <v>0</v>
      </c>
      <c r="L4555" t="str">
        <f>VLOOKUP(VALUE(LEFT(C4555,5)),Xref!A:B,2,0)</f>
        <v>DPH</v>
      </c>
      <c r="M4555" t="str">
        <f t="shared" si="284"/>
        <v>DPH-WIC</v>
      </c>
    </row>
    <row r="4556" spans="1:13">
      <c r="A4556" t="str">
        <f t="shared" si="285"/>
        <v>WIC - Intercompany</v>
      </c>
      <c r="B4556" t="str">
        <f t="shared" si="286"/>
        <v>WIC</v>
      </c>
      <c r="C4556" t="str">
        <f t="shared" si="287"/>
        <v>11347-0000</v>
      </c>
      <c r="D4556" t="s">
        <v>30023</v>
      </c>
      <c r="E4556" t="s">
        <v>14147</v>
      </c>
      <c r="F4556" t="s">
        <v>14039</v>
      </c>
      <c r="G4556" t="s">
        <v>14672</v>
      </c>
      <c r="H4556" t="s">
        <v>13869</v>
      </c>
      <c r="I4556" t="s">
        <v>14690</v>
      </c>
      <c r="J4556" s="62">
        <v>0</v>
      </c>
      <c r="K4556" s="62">
        <v>0</v>
      </c>
      <c r="L4556" t="str">
        <f>VLOOKUP(VALUE(LEFT(C4556,5)),Xref!A:B,2,0)</f>
        <v>ZPI</v>
      </c>
      <c r="M4556" t="str">
        <f t="shared" si="284"/>
        <v>WIC-ZPI</v>
      </c>
    </row>
    <row r="4557" spans="1:13">
      <c r="A4557" t="str">
        <f t="shared" si="285"/>
        <v>WIC - Intercompany</v>
      </c>
      <c r="B4557" t="str">
        <f t="shared" si="286"/>
        <v>WIC</v>
      </c>
      <c r="C4557" t="str">
        <f t="shared" si="287"/>
        <v>11348-0000</v>
      </c>
      <c r="D4557" t="s">
        <v>30024</v>
      </c>
      <c r="E4557" t="s">
        <v>14149</v>
      </c>
      <c r="F4557" t="s">
        <v>14039</v>
      </c>
      <c r="G4557" t="s">
        <v>14672</v>
      </c>
      <c r="H4557" t="s">
        <v>13869</v>
      </c>
      <c r="I4557" t="s">
        <v>14690</v>
      </c>
      <c r="J4557" s="62">
        <v>0</v>
      </c>
      <c r="K4557" s="62">
        <v>0</v>
      </c>
      <c r="L4557" t="str">
        <f>VLOOKUP(VALUE(LEFT(C4557,5)),Xref!A:B,2,0)</f>
        <v>EAM</v>
      </c>
      <c r="M4557" t="str">
        <f t="shared" si="284"/>
        <v>EAM-WIC</v>
      </c>
    </row>
    <row r="4558" spans="1:13">
      <c r="A4558" t="str">
        <f t="shared" si="285"/>
        <v>WIC - Intercompany</v>
      </c>
      <c r="B4558" t="str">
        <f t="shared" si="286"/>
        <v>WIC</v>
      </c>
      <c r="C4558" t="str">
        <f t="shared" si="287"/>
        <v>11349-0000</v>
      </c>
      <c r="D4558" t="s">
        <v>30025</v>
      </c>
      <c r="E4558" t="s">
        <v>14151</v>
      </c>
      <c r="F4558" t="s">
        <v>14039</v>
      </c>
      <c r="G4558" t="s">
        <v>14672</v>
      </c>
      <c r="H4558" t="s">
        <v>13869</v>
      </c>
      <c r="I4558" t="s">
        <v>14690</v>
      </c>
      <c r="J4558" s="62">
        <v>0</v>
      </c>
      <c r="K4558" s="62">
        <v>0</v>
      </c>
      <c r="L4558" t="str">
        <f>VLOOKUP(VALUE(LEFT(C4558,5)),Xref!A:B,2,0)</f>
        <v>SEA</v>
      </c>
      <c r="M4558" t="str">
        <f t="shared" si="284"/>
        <v>SEA-WIC</v>
      </c>
    </row>
    <row r="4559" spans="1:13">
      <c r="A4559" t="str">
        <f t="shared" si="285"/>
        <v>WIC - Intercompany</v>
      </c>
      <c r="B4559" t="str">
        <f t="shared" si="286"/>
        <v>WIC</v>
      </c>
      <c r="C4559" t="str">
        <f t="shared" si="287"/>
        <v>11350-0000</v>
      </c>
      <c r="D4559" t="s">
        <v>30026</v>
      </c>
      <c r="E4559" t="s">
        <v>14153</v>
      </c>
      <c r="F4559" t="s">
        <v>14039</v>
      </c>
      <c r="G4559" t="s">
        <v>14672</v>
      </c>
      <c r="H4559" t="s">
        <v>13869</v>
      </c>
      <c r="I4559" t="s">
        <v>14690</v>
      </c>
      <c r="J4559" s="62">
        <v>0</v>
      </c>
      <c r="K4559" s="62">
        <v>0</v>
      </c>
      <c r="L4559" t="str">
        <f>VLOOKUP(VALUE(LEFT(C4559,5)),Xref!A:B,2,0)</f>
        <v>EAL</v>
      </c>
      <c r="M4559" t="str">
        <f t="shared" si="284"/>
        <v>EAL-WIC</v>
      </c>
    </row>
    <row r="4560" spans="1:13">
      <c r="A4560" t="str">
        <f t="shared" si="285"/>
        <v>WIC - Intercompany</v>
      </c>
      <c r="B4560" t="str">
        <f t="shared" si="286"/>
        <v>WIC</v>
      </c>
      <c r="C4560" t="str">
        <f t="shared" si="287"/>
        <v>11351-0000</v>
      </c>
      <c r="D4560" t="s">
        <v>30027</v>
      </c>
      <c r="E4560" t="s">
        <v>14155</v>
      </c>
      <c r="F4560" t="s">
        <v>14039</v>
      </c>
      <c r="G4560" t="s">
        <v>14672</v>
      </c>
      <c r="H4560" t="s">
        <v>13869</v>
      </c>
      <c r="I4560" t="s">
        <v>14690</v>
      </c>
      <c r="J4560" s="62">
        <v>0</v>
      </c>
      <c r="K4560" s="62">
        <v>0</v>
      </c>
      <c r="L4560" t="str">
        <f>VLOOKUP(VALUE(LEFT(C4560,5)),Xref!A:B,2,0)</f>
        <v>WEP</v>
      </c>
      <c r="M4560" t="str">
        <f t="shared" si="284"/>
        <v>WEP-WIC</v>
      </c>
    </row>
    <row r="4561" spans="1:13">
      <c r="A4561" t="str">
        <f t="shared" si="285"/>
        <v>WIC - Intercompany</v>
      </c>
      <c r="B4561" t="str">
        <f t="shared" si="286"/>
        <v>WIC</v>
      </c>
      <c r="C4561" t="str">
        <f t="shared" si="287"/>
        <v>11352-0000</v>
      </c>
      <c r="D4561" t="s">
        <v>30028</v>
      </c>
      <c r="E4561" t="s">
        <v>13536</v>
      </c>
      <c r="F4561" t="s">
        <v>14039</v>
      </c>
      <c r="G4561" t="s">
        <v>14672</v>
      </c>
      <c r="H4561" t="s">
        <v>13869</v>
      </c>
      <c r="I4561" t="s">
        <v>14690</v>
      </c>
      <c r="J4561" s="62">
        <v>0</v>
      </c>
      <c r="K4561" s="62">
        <v>0</v>
      </c>
      <c r="L4561" t="str">
        <f>VLOOKUP(VALUE(LEFT(C4561,5)),Xref!A:B,2,0)</f>
        <v>KLP</v>
      </c>
      <c r="M4561" t="str">
        <f t="shared" si="284"/>
        <v>KLP-WIC</v>
      </c>
    </row>
    <row r="4562" spans="1:13">
      <c r="A4562" t="str">
        <f t="shared" si="285"/>
        <v>WIC - Intercompany</v>
      </c>
      <c r="B4562" t="str">
        <f t="shared" si="286"/>
        <v>WIC</v>
      </c>
      <c r="C4562" t="str">
        <f t="shared" si="287"/>
        <v>11353-0000</v>
      </c>
      <c r="D4562" t="s">
        <v>30029</v>
      </c>
      <c r="E4562" t="s">
        <v>13537</v>
      </c>
      <c r="F4562" t="s">
        <v>14039</v>
      </c>
      <c r="G4562" t="s">
        <v>14672</v>
      </c>
      <c r="H4562" t="s">
        <v>13869</v>
      </c>
      <c r="I4562" t="s">
        <v>14690</v>
      </c>
      <c r="J4562" s="62">
        <v>0</v>
      </c>
      <c r="K4562" s="62">
        <v>0</v>
      </c>
      <c r="L4562" t="str">
        <f>VLOOKUP(VALUE(LEFT(C4562,5)),Xref!A:B,2,0)</f>
        <v>AKC</v>
      </c>
      <c r="M4562" t="str">
        <f t="shared" si="284"/>
        <v>AKC-WIC</v>
      </c>
    </row>
    <row r="4563" spans="1:13">
      <c r="A4563" t="str">
        <f t="shared" si="285"/>
        <v>WIC - Intercompany</v>
      </c>
      <c r="B4563" t="str">
        <f t="shared" si="286"/>
        <v>WIC</v>
      </c>
      <c r="C4563" t="str">
        <f t="shared" si="287"/>
        <v>11354-0000</v>
      </c>
      <c r="D4563" t="s">
        <v>30030</v>
      </c>
      <c r="E4563" t="s">
        <v>13538</v>
      </c>
      <c r="F4563" t="s">
        <v>14039</v>
      </c>
      <c r="G4563" t="s">
        <v>14672</v>
      </c>
      <c r="H4563" t="s">
        <v>13869</v>
      </c>
      <c r="I4563" t="s">
        <v>14690</v>
      </c>
      <c r="J4563" s="62">
        <v>0</v>
      </c>
      <c r="K4563" s="62">
        <v>0</v>
      </c>
      <c r="L4563" t="str">
        <f>VLOOKUP(VALUE(LEFT(C4563,5)),Xref!A:B,2,0)</f>
        <v>AKA</v>
      </c>
      <c r="M4563" t="str">
        <f t="shared" si="284"/>
        <v>AKA-WIC</v>
      </c>
    </row>
    <row r="4564" spans="1:13">
      <c r="A4564" t="str">
        <f t="shared" si="285"/>
        <v>WIC - Intercompany</v>
      </c>
      <c r="B4564" t="str">
        <f t="shared" si="286"/>
        <v>WIC</v>
      </c>
      <c r="C4564" t="str">
        <f t="shared" si="287"/>
        <v>11355-0000</v>
      </c>
      <c r="D4564" t="s">
        <v>30031</v>
      </c>
      <c r="E4564" t="s">
        <v>13539</v>
      </c>
      <c r="F4564" t="s">
        <v>14039</v>
      </c>
      <c r="G4564" t="s">
        <v>14672</v>
      </c>
      <c r="H4564" t="s">
        <v>13869</v>
      </c>
      <c r="I4564" t="s">
        <v>14690</v>
      </c>
      <c r="J4564" s="62">
        <v>0</v>
      </c>
      <c r="K4564" s="62">
        <v>0</v>
      </c>
      <c r="L4564" t="str">
        <f>VLOOKUP(VALUE(LEFT(C4564,5)),Xref!A:B,2,0)</f>
        <v>SPA</v>
      </c>
      <c r="M4564" t="str">
        <f t="shared" si="284"/>
        <v>SPA-WIC</v>
      </c>
    </row>
    <row r="4565" spans="1:13">
      <c r="A4565" t="str">
        <f t="shared" si="285"/>
        <v>WIC - Intercompany</v>
      </c>
      <c r="B4565" t="str">
        <f t="shared" si="286"/>
        <v>WIC</v>
      </c>
      <c r="C4565" t="str">
        <f t="shared" si="287"/>
        <v>11356-0000</v>
      </c>
      <c r="D4565" t="s">
        <v>30032</v>
      </c>
      <c r="E4565" t="s">
        <v>13540</v>
      </c>
      <c r="F4565" t="s">
        <v>14039</v>
      </c>
      <c r="G4565" t="s">
        <v>14672</v>
      </c>
      <c r="H4565" t="s">
        <v>13869</v>
      </c>
      <c r="I4565" t="s">
        <v>14690</v>
      </c>
      <c r="J4565" s="62">
        <v>0</v>
      </c>
      <c r="K4565" s="62">
        <v>0</v>
      </c>
      <c r="L4565" t="str">
        <f>VLOOKUP(VALUE(LEFT(C4565,5)),Xref!A:B,2,0)</f>
        <v>DPM</v>
      </c>
      <c r="M4565" t="str">
        <f t="shared" si="284"/>
        <v>DPM-WIC</v>
      </c>
    </row>
    <row r="4566" spans="1:13">
      <c r="A4566" t="str">
        <f t="shared" si="285"/>
        <v>WIC - Intercompany</v>
      </c>
      <c r="B4566" t="str">
        <f t="shared" si="286"/>
        <v>WIC</v>
      </c>
      <c r="C4566" t="str">
        <f t="shared" si="287"/>
        <v>11357-0000</v>
      </c>
      <c r="D4566" t="s">
        <v>30033</v>
      </c>
      <c r="E4566" t="s">
        <v>13541</v>
      </c>
      <c r="F4566" t="s">
        <v>14039</v>
      </c>
      <c r="G4566" t="s">
        <v>14672</v>
      </c>
      <c r="H4566" t="s">
        <v>13869</v>
      </c>
      <c r="I4566" t="s">
        <v>14690</v>
      </c>
      <c r="J4566" s="62">
        <v>0</v>
      </c>
      <c r="K4566" s="62">
        <v>0</v>
      </c>
      <c r="L4566" t="str">
        <f>VLOOKUP(VALUE(LEFT(C4566,5)),Xref!A:B,2,0)</f>
        <v>HDM</v>
      </c>
      <c r="M4566" t="str">
        <f t="shared" si="284"/>
        <v>HDM-WIC</v>
      </c>
    </row>
    <row r="4567" spans="1:13">
      <c r="A4567" t="str">
        <f t="shared" si="285"/>
        <v>WIC - Intercompany</v>
      </c>
      <c r="B4567" t="str">
        <f t="shared" si="286"/>
        <v>WIC</v>
      </c>
      <c r="C4567" t="str">
        <f t="shared" si="287"/>
        <v>11358-0000</v>
      </c>
      <c r="D4567" t="s">
        <v>30034</v>
      </c>
      <c r="E4567" t="s">
        <v>13542</v>
      </c>
      <c r="F4567" t="s">
        <v>14039</v>
      </c>
      <c r="G4567" t="s">
        <v>14672</v>
      </c>
      <c r="H4567" t="s">
        <v>13869</v>
      </c>
      <c r="I4567" t="s">
        <v>14690</v>
      </c>
      <c r="J4567" s="62">
        <v>0</v>
      </c>
      <c r="K4567" s="62">
        <v>0</v>
      </c>
      <c r="L4567" t="str">
        <f>VLOOKUP(VALUE(LEFT(C4567,5)),Xref!A:B,2,0)</f>
        <v>GRA</v>
      </c>
      <c r="M4567" t="str">
        <f t="shared" si="284"/>
        <v>GRA-WIC</v>
      </c>
    </row>
    <row r="4568" spans="1:13">
      <c r="A4568" t="str">
        <f t="shared" si="285"/>
        <v>WIC - Intercompany</v>
      </c>
      <c r="B4568" t="str">
        <f t="shared" si="286"/>
        <v>WIC</v>
      </c>
      <c r="C4568" t="str">
        <f t="shared" si="287"/>
        <v>11359-0000</v>
      </c>
      <c r="D4568" t="s">
        <v>30035</v>
      </c>
      <c r="E4568" t="s">
        <v>13543</v>
      </c>
      <c r="F4568" t="s">
        <v>14039</v>
      </c>
      <c r="G4568" t="s">
        <v>14672</v>
      </c>
      <c r="H4568" t="s">
        <v>13869</v>
      </c>
      <c r="I4568" t="s">
        <v>14690</v>
      </c>
      <c r="J4568" s="62">
        <v>0</v>
      </c>
      <c r="K4568" s="62">
        <v>0</v>
      </c>
      <c r="L4568" t="str">
        <f>VLOOKUP(VALUE(LEFT(C4568,5)),Xref!A:B,2,0)</f>
        <v>TPI</v>
      </c>
      <c r="M4568" t="str">
        <f t="shared" si="284"/>
        <v>TPI-WIC</v>
      </c>
    </row>
    <row r="4569" spans="1:13">
      <c r="A4569" t="str">
        <f t="shared" si="285"/>
        <v>WIC - Intercompany</v>
      </c>
      <c r="B4569" t="str">
        <f t="shared" si="286"/>
        <v>WIC</v>
      </c>
      <c r="C4569" t="str">
        <f t="shared" si="287"/>
        <v>11361-0000</v>
      </c>
      <c r="D4569" t="s">
        <v>30036</v>
      </c>
      <c r="E4569" t="s">
        <v>14165</v>
      </c>
      <c r="F4569" t="s">
        <v>14039</v>
      </c>
      <c r="G4569" t="s">
        <v>14672</v>
      </c>
      <c r="H4569" t="s">
        <v>13869</v>
      </c>
      <c r="I4569" t="s">
        <v>14690</v>
      </c>
      <c r="J4569" s="62">
        <v>0</v>
      </c>
      <c r="K4569" s="62">
        <v>0</v>
      </c>
      <c r="L4569" t="str">
        <f>VLOOKUP(VALUE(LEFT(C4569,5)),Xref!A:B,2,0)</f>
        <v>GSM</v>
      </c>
      <c r="M4569" t="str">
        <f t="shared" si="284"/>
        <v>GSM-WIC</v>
      </c>
    </row>
    <row r="4570" spans="1:13">
      <c r="A4570" t="str">
        <f t="shared" si="285"/>
        <v>WIC - Intercompany</v>
      </c>
      <c r="B4570" t="str">
        <f t="shared" si="286"/>
        <v>WIC</v>
      </c>
      <c r="C4570" t="str">
        <f t="shared" si="287"/>
        <v>11363-0000</v>
      </c>
      <c r="D4570" t="s">
        <v>30037</v>
      </c>
      <c r="E4570" t="s">
        <v>13544</v>
      </c>
      <c r="F4570" t="s">
        <v>14039</v>
      </c>
      <c r="G4570" t="s">
        <v>14672</v>
      </c>
      <c r="H4570" t="s">
        <v>13869</v>
      </c>
      <c r="I4570" t="s">
        <v>14690</v>
      </c>
      <c r="J4570" s="62">
        <v>0</v>
      </c>
      <c r="K4570" s="62">
        <v>0</v>
      </c>
      <c r="L4570" t="str">
        <f>VLOOKUP(VALUE(LEFT(C4570,5)),Xref!A:B,2,0)</f>
        <v>SOF</v>
      </c>
      <c r="M4570" t="str">
        <f t="shared" si="284"/>
        <v>SOF-WIC</v>
      </c>
    </row>
    <row r="4571" spans="1:13">
      <c r="A4571" t="str">
        <f t="shared" si="285"/>
        <v>WIC - Intercompany</v>
      </c>
      <c r="B4571" t="str">
        <f t="shared" si="286"/>
        <v>WIC</v>
      </c>
      <c r="C4571" t="str">
        <f t="shared" si="287"/>
        <v>11364-0000</v>
      </c>
      <c r="D4571" t="s">
        <v>30038</v>
      </c>
      <c r="E4571" t="s">
        <v>14168</v>
      </c>
      <c r="F4571" t="s">
        <v>14039</v>
      </c>
      <c r="G4571" t="s">
        <v>14672</v>
      </c>
      <c r="H4571" t="s">
        <v>13869</v>
      </c>
      <c r="I4571" t="s">
        <v>14690</v>
      </c>
      <c r="J4571" s="62">
        <v>0</v>
      </c>
      <c r="K4571" s="62">
        <v>0</v>
      </c>
      <c r="L4571" t="e">
        <f>VLOOKUP(VALUE(LEFT(C4571,5)),Xref!A:B,2,0)</f>
        <v>#N/A</v>
      </c>
      <c r="M4571" t="e">
        <f t="shared" si="284"/>
        <v>#N/A</v>
      </c>
    </row>
    <row r="4572" spans="1:13">
      <c r="A4572" t="str">
        <f t="shared" si="285"/>
        <v>WIC - Intercompany</v>
      </c>
      <c r="B4572" t="str">
        <f t="shared" si="286"/>
        <v>WIC</v>
      </c>
      <c r="C4572" t="str">
        <f t="shared" si="287"/>
        <v>11365-0000</v>
      </c>
      <c r="D4572" t="s">
        <v>30039</v>
      </c>
      <c r="E4572" t="s">
        <v>14170</v>
      </c>
      <c r="F4572" t="s">
        <v>14039</v>
      </c>
      <c r="G4572" t="s">
        <v>14672</v>
      </c>
      <c r="H4572" t="s">
        <v>13869</v>
      </c>
      <c r="I4572" t="s">
        <v>14690</v>
      </c>
      <c r="J4572" s="62">
        <v>0</v>
      </c>
      <c r="K4572" s="62">
        <v>0</v>
      </c>
      <c r="L4572" t="e">
        <f>VLOOKUP(VALUE(LEFT(C4572,5)),Xref!A:B,2,0)</f>
        <v>#N/A</v>
      </c>
      <c r="M4572" t="e">
        <f t="shared" si="284"/>
        <v>#N/A</v>
      </c>
    </row>
    <row r="4573" spans="1:13">
      <c r="A4573" t="str">
        <f t="shared" si="285"/>
        <v>WIC - Intercompany</v>
      </c>
      <c r="B4573" t="str">
        <f t="shared" si="286"/>
        <v>WIC</v>
      </c>
      <c r="C4573" t="str">
        <f t="shared" si="287"/>
        <v>11366-0000</v>
      </c>
      <c r="D4573" t="s">
        <v>30040</v>
      </c>
      <c r="E4573" t="s">
        <v>14172</v>
      </c>
      <c r="G4573" t="s">
        <v>14672</v>
      </c>
      <c r="H4573" t="s">
        <v>13869</v>
      </c>
      <c r="I4573" t="s">
        <v>14690</v>
      </c>
      <c r="J4573" s="62">
        <v>0</v>
      </c>
      <c r="K4573" s="62">
        <v>0</v>
      </c>
      <c r="L4573" t="e">
        <f>VLOOKUP(VALUE(LEFT(C4573,5)),Xref!A:B,2,0)</f>
        <v>#N/A</v>
      </c>
      <c r="M4573" t="e">
        <f t="shared" si="284"/>
        <v>#N/A</v>
      </c>
    </row>
    <row r="4574" spans="1:13">
      <c r="A4574" t="str">
        <f t="shared" si="285"/>
        <v>WIC - Intercompany</v>
      </c>
      <c r="B4574" t="str">
        <f t="shared" si="286"/>
        <v>WIC</v>
      </c>
      <c r="C4574" t="str">
        <f t="shared" si="287"/>
        <v>11402-0000</v>
      </c>
      <c r="D4574" t="s">
        <v>30041</v>
      </c>
      <c r="E4574" t="s">
        <v>14174</v>
      </c>
      <c r="G4574" t="s">
        <v>14672</v>
      </c>
      <c r="H4574" t="s">
        <v>13869</v>
      </c>
      <c r="I4574" t="s">
        <v>14690</v>
      </c>
      <c r="J4574" s="62">
        <v>0</v>
      </c>
      <c r="K4574" s="62">
        <v>0</v>
      </c>
      <c r="L4574" t="str">
        <f>VLOOKUP(VALUE(LEFT(C4574,5)),Xref!A:B,2,0)</f>
        <v>DPI</v>
      </c>
      <c r="M4574" t="str">
        <f t="shared" si="284"/>
        <v>DPI-WIC</v>
      </c>
    </row>
    <row r="4575" spans="1:13">
      <c r="A4575" t="str">
        <f t="shared" si="285"/>
        <v>WIC - Intercompany</v>
      </c>
      <c r="B4575" t="str">
        <f t="shared" si="286"/>
        <v>WIC</v>
      </c>
      <c r="C4575" t="str">
        <f t="shared" si="287"/>
        <v>11403-0000</v>
      </c>
      <c r="D4575" t="s">
        <v>30042</v>
      </c>
      <c r="E4575" t="s">
        <v>14176</v>
      </c>
      <c r="G4575" t="s">
        <v>14672</v>
      </c>
      <c r="H4575" t="s">
        <v>13869</v>
      </c>
      <c r="I4575" t="s">
        <v>14690</v>
      </c>
      <c r="J4575" s="62">
        <v>0</v>
      </c>
      <c r="K4575" s="62">
        <v>0</v>
      </c>
      <c r="L4575" t="str">
        <f>VLOOKUP(VALUE(LEFT(C4575,5)),Xref!A:B,2,0)</f>
        <v>SEA</v>
      </c>
      <c r="M4575" t="str">
        <f t="shared" si="284"/>
        <v>SEA-WIC</v>
      </c>
    </row>
    <row r="4576" spans="1:13">
      <c r="A4576" t="str">
        <f t="shared" si="285"/>
        <v>WIC - Intercompany</v>
      </c>
      <c r="B4576" t="str">
        <f t="shared" si="286"/>
        <v>WIC</v>
      </c>
      <c r="C4576" t="str">
        <f t="shared" si="287"/>
        <v>12400-0000</v>
      </c>
      <c r="D4576" t="s">
        <v>30045</v>
      </c>
      <c r="E4576" t="s">
        <v>14185</v>
      </c>
      <c r="F4576" t="s">
        <v>14039</v>
      </c>
      <c r="G4576" t="s">
        <v>14672</v>
      </c>
      <c r="H4576" t="s">
        <v>13869</v>
      </c>
      <c r="I4576" t="s">
        <v>14690</v>
      </c>
      <c r="J4576" s="62">
        <v>0</v>
      </c>
      <c r="K4576" s="62">
        <v>0</v>
      </c>
      <c r="L4576" t="str">
        <f>VLOOKUP(VALUE(LEFT(C4576,5)),Xref!A:B,2,0)</f>
        <v>aka</v>
      </c>
      <c r="M4576" t="str">
        <f t="shared" si="284"/>
        <v>aka-WIC</v>
      </c>
    </row>
    <row r="4577" spans="1:13">
      <c r="A4577" t="str">
        <f t="shared" si="285"/>
        <v>WIC - Intercompany</v>
      </c>
      <c r="B4577" t="str">
        <f t="shared" si="286"/>
        <v>WIC</v>
      </c>
      <c r="C4577" t="str">
        <f t="shared" si="287"/>
        <v>12401-0000</v>
      </c>
      <c r="D4577" t="s">
        <v>30046</v>
      </c>
      <c r="E4577" t="s">
        <v>14187</v>
      </c>
      <c r="F4577" t="s">
        <v>14039</v>
      </c>
      <c r="G4577" t="s">
        <v>14672</v>
      </c>
      <c r="H4577" t="s">
        <v>13869</v>
      </c>
      <c r="I4577" t="s">
        <v>14690</v>
      </c>
      <c r="J4577" s="62">
        <v>0</v>
      </c>
      <c r="K4577" s="62">
        <v>0</v>
      </c>
      <c r="L4577" t="str">
        <f>VLOOKUP(VALUE(LEFT(C4577,5)),Xref!A:B,2,0)</f>
        <v>aka</v>
      </c>
      <c r="M4577" t="str">
        <f t="shared" si="284"/>
        <v>aka-WIC</v>
      </c>
    </row>
    <row r="4578" spans="1:13">
      <c r="A4578" t="str">
        <f t="shared" si="285"/>
        <v>WIC - Intercompany</v>
      </c>
      <c r="B4578" t="str">
        <f t="shared" si="286"/>
        <v>WIC</v>
      </c>
      <c r="C4578" t="str">
        <f t="shared" si="287"/>
        <v>12402-0000</v>
      </c>
      <c r="D4578" t="s">
        <v>30047</v>
      </c>
      <c r="E4578" t="s">
        <v>14189</v>
      </c>
      <c r="F4578" t="s">
        <v>14039</v>
      </c>
      <c r="G4578" t="s">
        <v>14672</v>
      </c>
      <c r="H4578" t="s">
        <v>13869</v>
      </c>
      <c r="I4578" t="s">
        <v>14690</v>
      </c>
      <c r="J4578" s="62">
        <v>0</v>
      </c>
      <c r="K4578" s="62">
        <v>0</v>
      </c>
      <c r="L4578" t="str">
        <f>VLOOKUP(VALUE(LEFT(C4578,5)),Xref!A:B,2,0)</f>
        <v>aka</v>
      </c>
      <c r="M4578" t="str">
        <f t="shared" si="284"/>
        <v>aka-WIC</v>
      </c>
    </row>
    <row r="4579" spans="1:13">
      <c r="A4579" t="str">
        <f t="shared" si="285"/>
        <v>WIC - Intercompany</v>
      </c>
      <c r="B4579" t="str">
        <f t="shared" si="286"/>
        <v>WIC</v>
      </c>
      <c r="C4579" t="str">
        <f t="shared" si="287"/>
        <v>12403-0000</v>
      </c>
      <c r="D4579" t="s">
        <v>30048</v>
      </c>
      <c r="E4579" t="s">
        <v>5226</v>
      </c>
      <c r="F4579" t="s">
        <v>14039</v>
      </c>
      <c r="G4579" t="s">
        <v>14672</v>
      </c>
      <c r="H4579" t="s">
        <v>13869</v>
      </c>
      <c r="I4579" t="s">
        <v>14690</v>
      </c>
      <c r="J4579" s="62">
        <v>0</v>
      </c>
      <c r="K4579" s="62">
        <v>0</v>
      </c>
      <c r="L4579" t="str">
        <f>VLOOKUP(VALUE(LEFT(C4579,5)),Xref!A:B,2,0)</f>
        <v>aka</v>
      </c>
      <c r="M4579" t="str">
        <f t="shared" si="284"/>
        <v>aka-WIC</v>
      </c>
    </row>
    <row r="4580" spans="1:13">
      <c r="A4580" t="str">
        <f t="shared" si="285"/>
        <v>WIC - Intercompany</v>
      </c>
      <c r="B4580" t="str">
        <f t="shared" si="286"/>
        <v>WIC</v>
      </c>
      <c r="C4580" t="str">
        <f t="shared" si="287"/>
        <v>12501-0000</v>
      </c>
      <c r="D4580" t="s">
        <v>30049</v>
      </c>
      <c r="E4580" t="s">
        <v>14192</v>
      </c>
      <c r="F4580" t="s">
        <v>14039</v>
      </c>
      <c r="G4580" t="s">
        <v>14672</v>
      </c>
      <c r="H4580" t="s">
        <v>13869</v>
      </c>
      <c r="I4580" t="s">
        <v>14690</v>
      </c>
      <c r="J4580" s="62">
        <v>0</v>
      </c>
      <c r="K4580" s="62">
        <v>0</v>
      </c>
      <c r="L4580" t="str">
        <f>VLOOKUP(VALUE(LEFT(C4580,5)),Xref!A:B,2,0)</f>
        <v>aka</v>
      </c>
      <c r="M4580" t="str">
        <f t="shared" si="284"/>
        <v>aka-WIC</v>
      </c>
    </row>
    <row r="4581" spans="1:13">
      <c r="A4581" t="str">
        <f t="shared" si="285"/>
        <v>WIC - InterCo Notes</v>
      </c>
      <c r="B4581" t="str">
        <f t="shared" si="286"/>
        <v>WIC</v>
      </c>
      <c r="C4581" t="str">
        <f t="shared" si="287"/>
        <v>25600-0000</v>
      </c>
      <c r="D4581" t="s">
        <v>30102</v>
      </c>
      <c r="E4581" t="s">
        <v>314</v>
      </c>
      <c r="F4581" t="s">
        <v>14039</v>
      </c>
      <c r="G4581" t="s">
        <v>14672</v>
      </c>
      <c r="H4581" t="s">
        <v>13889</v>
      </c>
      <c r="I4581" t="s">
        <v>14690</v>
      </c>
      <c r="J4581" s="62">
        <v>0</v>
      </c>
      <c r="K4581" s="62">
        <v>0</v>
      </c>
      <c r="L4581" t="str">
        <f>VLOOKUP(VALUE(LEFT(C4581,5)),Xref!A:B,2,0)</f>
        <v>D7</v>
      </c>
      <c r="M4581" t="str">
        <f t="shared" si="284"/>
        <v>D7-WIC</v>
      </c>
    </row>
    <row r="4582" spans="1:13">
      <c r="A4582" t="str">
        <f t="shared" si="285"/>
        <v>WIC - InterCo Notes</v>
      </c>
      <c r="B4582" t="str">
        <f t="shared" si="286"/>
        <v>WIC</v>
      </c>
      <c r="C4582" t="str">
        <f t="shared" si="287"/>
        <v>25602-0000</v>
      </c>
      <c r="D4582" t="s">
        <v>30104</v>
      </c>
      <c r="E4582" t="s">
        <v>13426</v>
      </c>
      <c r="F4582" t="s">
        <v>14039</v>
      </c>
      <c r="G4582" t="s">
        <v>14672</v>
      </c>
      <c r="H4582" t="s">
        <v>13889</v>
      </c>
      <c r="I4582" t="s">
        <v>14690</v>
      </c>
      <c r="J4582" s="62">
        <v>0</v>
      </c>
      <c r="K4582" s="62">
        <v>0</v>
      </c>
      <c r="L4582" t="str">
        <f>VLOOKUP(VALUE(LEFT(C4582,5)),Xref!A:B,2,0)</f>
        <v>DFLP</v>
      </c>
      <c r="M4582" t="str">
        <f t="shared" si="284"/>
        <v>DFLP-WIC</v>
      </c>
    </row>
    <row r="4583" spans="1:13">
      <c r="A4583" t="str">
        <f t="shared" si="285"/>
        <v>WIC - InterCo Notes</v>
      </c>
      <c r="B4583" t="str">
        <f t="shared" si="286"/>
        <v>WIC</v>
      </c>
      <c r="C4583" t="str">
        <f t="shared" si="287"/>
        <v>25603-0000</v>
      </c>
      <c r="D4583" t="s">
        <v>30105</v>
      </c>
      <c r="E4583" t="s">
        <v>14311</v>
      </c>
      <c r="F4583" t="s">
        <v>14039</v>
      </c>
      <c r="G4583" t="s">
        <v>14832</v>
      </c>
      <c r="H4583" t="s">
        <v>13889</v>
      </c>
      <c r="I4583" t="s">
        <v>14690</v>
      </c>
      <c r="J4583" s="62">
        <v>0</v>
      </c>
      <c r="K4583" s="62">
        <v>0</v>
      </c>
      <c r="L4583" t="str">
        <f>VLOOKUP(VALUE(LEFT(C4583,5)),Xref!A:B,2,0)</f>
        <v>aka</v>
      </c>
      <c r="M4583" t="str">
        <f t="shared" si="284"/>
        <v>aka-WIC</v>
      </c>
    </row>
    <row r="4584" spans="1:13">
      <c r="A4584" t="str">
        <f t="shared" si="285"/>
        <v>WIC - Intercompany</v>
      </c>
      <c r="B4584" t="str">
        <f t="shared" si="286"/>
        <v>WIC</v>
      </c>
      <c r="C4584" t="str">
        <f t="shared" si="287"/>
        <v>25604-0000</v>
      </c>
      <c r="D4584" t="s">
        <v>30106</v>
      </c>
      <c r="E4584" t="s">
        <v>13490</v>
      </c>
      <c r="F4584" t="s">
        <v>14039</v>
      </c>
      <c r="G4584" t="s">
        <v>14672</v>
      </c>
      <c r="H4584" t="s">
        <v>13869</v>
      </c>
      <c r="I4584" t="s">
        <v>14690</v>
      </c>
      <c r="J4584" s="62">
        <v>0</v>
      </c>
      <c r="K4584" s="62">
        <v>0</v>
      </c>
      <c r="L4584">
        <f>VLOOKUP(VALUE(LEFT(C4584,5)),Xref!A:B,2,0)</f>
        <v>0</v>
      </c>
      <c r="M4584" t="str">
        <f t="shared" si="284"/>
        <v>0-WIC</v>
      </c>
    </row>
    <row r="4585" spans="1:13">
      <c r="A4585" t="str">
        <f t="shared" si="285"/>
        <v>WOO - Intercompany</v>
      </c>
      <c r="B4585" t="str">
        <f t="shared" si="286"/>
        <v>WOO</v>
      </c>
      <c r="C4585" t="str">
        <f t="shared" si="287"/>
        <v>11200-0000</v>
      </c>
      <c r="D4585" t="s">
        <v>30308</v>
      </c>
      <c r="E4585" t="s">
        <v>14069</v>
      </c>
      <c r="F4585" t="s">
        <v>14039</v>
      </c>
      <c r="G4585" t="s">
        <v>14672</v>
      </c>
      <c r="H4585" t="s">
        <v>13869</v>
      </c>
      <c r="I4585" t="s">
        <v>14690</v>
      </c>
      <c r="J4585" s="62">
        <v>0</v>
      </c>
      <c r="K4585" s="62">
        <v>0</v>
      </c>
      <c r="L4585" t="str">
        <f>VLOOKUP(VALUE(LEFT(C4585,5)),Xref!A:B,2,0)</f>
        <v>SCL</v>
      </c>
      <c r="M4585" t="str">
        <f t="shared" si="284"/>
        <v>SCL-WOO</v>
      </c>
    </row>
    <row r="4586" spans="1:13">
      <c r="A4586" t="str">
        <f t="shared" si="285"/>
        <v>WOO - Intercompany</v>
      </c>
      <c r="B4586" t="str">
        <f t="shared" si="286"/>
        <v>WOO</v>
      </c>
      <c r="C4586" t="str">
        <f t="shared" si="287"/>
        <v>11201-0000</v>
      </c>
      <c r="D4586" t="s">
        <v>30309</v>
      </c>
      <c r="E4586" t="s">
        <v>14071</v>
      </c>
      <c r="F4586" t="s">
        <v>14039</v>
      </c>
      <c r="G4586" t="s">
        <v>14672</v>
      </c>
      <c r="H4586" t="s">
        <v>13869</v>
      </c>
      <c r="I4586" t="s">
        <v>14690</v>
      </c>
      <c r="J4586" s="62">
        <v>0</v>
      </c>
      <c r="K4586" s="62">
        <v>0</v>
      </c>
      <c r="L4586" t="str">
        <f>VLOOKUP(VALUE(LEFT(C4586,5)),Xref!A:B,2,0)</f>
        <v>SG2</v>
      </c>
      <c r="M4586" t="str">
        <f t="shared" si="284"/>
        <v>SG2-WOO</v>
      </c>
    </row>
    <row r="4587" spans="1:13">
      <c r="A4587" t="str">
        <f t="shared" si="285"/>
        <v>WOO - Intercompany</v>
      </c>
      <c r="B4587" t="str">
        <f t="shared" si="286"/>
        <v>WOO</v>
      </c>
      <c r="C4587" t="str">
        <f t="shared" si="287"/>
        <v>11202-0000</v>
      </c>
      <c r="D4587" t="s">
        <v>30310</v>
      </c>
      <c r="E4587" t="s">
        <v>14073</v>
      </c>
      <c r="F4587" t="s">
        <v>14039</v>
      </c>
      <c r="G4587" t="s">
        <v>14672</v>
      </c>
      <c r="H4587" t="s">
        <v>13869</v>
      </c>
      <c r="I4587" t="s">
        <v>14690</v>
      </c>
      <c r="J4587" s="62">
        <v>0</v>
      </c>
      <c r="K4587" s="62">
        <v>0</v>
      </c>
      <c r="L4587" t="str">
        <f>VLOOKUP(VALUE(LEFT(C4587,5)),Xref!A:B,2,0)</f>
        <v>FFC</v>
      </c>
      <c r="M4587" t="str">
        <f t="shared" ref="M4587:M4650" si="288">IF(B4587&lt;L4587,B4587&amp;"-"&amp;L4587,L4587&amp;"-"&amp;B4587)</f>
        <v>FFC-WOO</v>
      </c>
    </row>
    <row r="4588" spans="1:13">
      <c r="A4588" t="str">
        <f t="shared" si="285"/>
        <v>WOO - Intercompany</v>
      </c>
      <c r="B4588" t="str">
        <f t="shared" si="286"/>
        <v>WOO</v>
      </c>
      <c r="C4588" t="str">
        <f t="shared" si="287"/>
        <v>11203-0000</v>
      </c>
      <c r="D4588" t="s">
        <v>30311</v>
      </c>
      <c r="E4588" t="s">
        <v>14075</v>
      </c>
      <c r="F4588" t="s">
        <v>14039</v>
      </c>
      <c r="G4588" t="s">
        <v>14672</v>
      </c>
      <c r="H4588" t="s">
        <v>13869</v>
      </c>
      <c r="I4588" t="s">
        <v>14690</v>
      </c>
      <c r="J4588" s="62">
        <v>0</v>
      </c>
      <c r="K4588" s="62">
        <v>0</v>
      </c>
      <c r="L4588" t="str">
        <f>VLOOKUP(VALUE(LEFT(C4588,5)),Xref!A:B,2,0)</f>
        <v>HN2</v>
      </c>
      <c r="M4588" t="str">
        <f t="shared" si="288"/>
        <v>HN2-WOO</v>
      </c>
    </row>
    <row r="4589" spans="1:13">
      <c r="A4589" t="str">
        <f t="shared" si="285"/>
        <v>WOO - Intercompany</v>
      </c>
      <c r="B4589" t="str">
        <f t="shared" si="286"/>
        <v>WOO</v>
      </c>
      <c r="C4589" t="str">
        <f t="shared" si="287"/>
        <v>11204-0000</v>
      </c>
      <c r="D4589" t="s">
        <v>30312</v>
      </c>
      <c r="E4589" t="s">
        <v>14077</v>
      </c>
      <c r="F4589" t="s">
        <v>14039</v>
      </c>
      <c r="G4589" t="s">
        <v>14672</v>
      </c>
      <c r="H4589" t="s">
        <v>13869</v>
      </c>
      <c r="I4589" t="s">
        <v>14690</v>
      </c>
      <c r="J4589" s="62">
        <v>0</v>
      </c>
      <c r="K4589" s="62">
        <v>0</v>
      </c>
      <c r="L4589" t="str">
        <f>VLOOKUP(VALUE(LEFT(C4589,5)),Xref!A:B,2,0)</f>
        <v>DF2</v>
      </c>
      <c r="M4589" t="str">
        <f t="shared" si="288"/>
        <v>DF2-WOO</v>
      </c>
    </row>
    <row r="4590" spans="1:13">
      <c r="A4590" t="str">
        <f t="shared" si="285"/>
        <v>WOO - Intercompany</v>
      </c>
      <c r="B4590" t="str">
        <f t="shared" si="286"/>
        <v>WOO</v>
      </c>
      <c r="C4590" t="str">
        <f t="shared" si="287"/>
        <v>11208-0000</v>
      </c>
      <c r="D4590" t="s">
        <v>30313</v>
      </c>
      <c r="E4590" t="s">
        <v>14079</v>
      </c>
      <c r="F4590" t="s">
        <v>14039</v>
      </c>
      <c r="G4590" t="s">
        <v>14672</v>
      </c>
      <c r="H4590" t="s">
        <v>13869</v>
      </c>
      <c r="I4590" t="s">
        <v>14690</v>
      </c>
      <c r="J4590" s="62">
        <v>0</v>
      </c>
      <c r="K4590" s="62">
        <v>0</v>
      </c>
      <c r="L4590" t="str">
        <f>VLOOKUP(VALUE(LEFT(C4590,5)),Xref!A:B,2,0)</f>
        <v>SRE</v>
      </c>
      <c r="M4590" t="str">
        <f t="shared" si="288"/>
        <v>SRE-WOO</v>
      </c>
    </row>
    <row r="4591" spans="1:13">
      <c r="A4591" t="str">
        <f t="shared" si="285"/>
        <v>WOO - Intercompany</v>
      </c>
      <c r="B4591" t="str">
        <f t="shared" si="286"/>
        <v>WOO</v>
      </c>
      <c r="C4591" t="str">
        <f t="shared" si="287"/>
        <v>11210-0000</v>
      </c>
      <c r="D4591" t="s">
        <v>30314</v>
      </c>
      <c r="E4591" t="s">
        <v>14081</v>
      </c>
      <c r="F4591" t="s">
        <v>14039</v>
      </c>
      <c r="G4591" t="s">
        <v>14672</v>
      </c>
      <c r="H4591" t="s">
        <v>13869</v>
      </c>
      <c r="I4591" t="s">
        <v>14690</v>
      </c>
      <c r="J4591" s="62">
        <v>0</v>
      </c>
      <c r="K4591" s="62">
        <v>0</v>
      </c>
      <c r="L4591" t="str">
        <f>VLOOKUP(VALUE(LEFT(C4591,5)),Xref!A:B,2,0)</f>
        <v>REM</v>
      </c>
      <c r="M4591" t="str">
        <f t="shared" si="288"/>
        <v>REM-WOO</v>
      </c>
    </row>
    <row r="4592" spans="1:13">
      <c r="A4592" t="str">
        <f t="shared" si="285"/>
        <v>WOO - Intercompany</v>
      </c>
      <c r="B4592" t="str">
        <f t="shared" si="286"/>
        <v>WOO</v>
      </c>
      <c r="C4592" t="str">
        <f t="shared" si="287"/>
        <v>11212-0000</v>
      </c>
      <c r="D4592" t="s">
        <v>30315</v>
      </c>
      <c r="E4592" t="s">
        <v>14083</v>
      </c>
      <c r="F4592" t="s">
        <v>14039</v>
      </c>
      <c r="G4592" t="s">
        <v>14672</v>
      </c>
      <c r="H4592" t="s">
        <v>13869</v>
      </c>
      <c r="I4592" t="s">
        <v>14690</v>
      </c>
      <c r="J4592" s="62">
        <v>0</v>
      </c>
      <c r="K4592" s="62">
        <v>0</v>
      </c>
      <c r="L4592" t="str">
        <f>VLOOKUP(VALUE(LEFT(C4592,5)),Xref!A:B,2,0)</f>
        <v>FRM</v>
      </c>
      <c r="M4592" t="str">
        <f t="shared" si="288"/>
        <v>FRM-WOO</v>
      </c>
    </row>
    <row r="4593" spans="1:13">
      <c r="A4593" t="str">
        <f t="shared" si="285"/>
        <v>WOO - Intercompany</v>
      </c>
      <c r="B4593" t="str">
        <f t="shared" si="286"/>
        <v>WOO</v>
      </c>
      <c r="C4593" t="str">
        <f t="shared" si="287"/>
        <v>11214-0000</v>
      </c>
      <c r="D4593" t="s">
        <v>30316</v>
      </c>
      <c r="E4593" t="s">
        <v>14085</v>
      </c>
      <c r="F4593" t="s">
        <v>14039</v>
      </c>
      <c r="G4593" t="s">
        <v>14672</v>
      </c>
      <c r="H4593" t="s">
        <v>13869</v>
      </c>
      <c r="I4593" t="s">
        <v>14690</v>
      </c>
      <c r="J4593" s="62">
        <v>0</v>
      </c>
      <c r="K4593" s="62">
        <v>0</v>
      </c>
      <c r="L4593" t="str">
        <f>VLOOKUP(VALUE(LEFT(C4593,5)),Xref!A:B,2,0)</f>
        <v>D7R</v>
      </c>
      <c r="M4593" t="str">
        <f t="shared" si="288"/>
        <v>D7R-WOO</v>
      </c>
    </row>
    <row r="4594" spans="1:13">
      <c r="A4594" t="str">
        <f t="shared" si="285"/>
        <v>WOO - Intercompany</v>
      </c>
      <c r="B4594" t="str">
        <f t="shared" si="286"/>
        <v>WOO</v>
      </c>
      <c r="C4594" t="str">
        <f t="shared" si="287"/>
        <v>11215-0000</v>
      </c>
      <c r="D4594" t="s">
        <v>30317</v>
      </c>
      <c r="E4594" t="s">
        <v>14087</v>
      </c>
      <c r="F4594" t="s">
        <v>14039</v>
      </c>
      <c r="G4594" t="s">
        <v>14672</v>
      </c>
      <c r="H4594" t="s">
        <v>13869</v>
      </c>
      <c r="I4594" t="s">
        <v>14690</v>
      </c>
      <c r="J4594" s="62">
        <v>0</v>
      </c>
      <c r="K4594" s="62">
        <v>0</v>
      </c>
      <c r="L4594" t="str">
        <f>VLOOKUP(VALUE(LEFT(C4594,5)),Xref!A:B,2,0)</f>
        <v>CDP</v>
      </c>
      <c r="M4594" t="str">
        <f t="shared" si="288"/>
        <v>CDP-WOO</v>
      </c>
    </row>
    <row r="4595" spans="1:13">
      <c r="A4595" t="str">
        <f t="shared" si="285"/>
        <v>WOO - Intercompany</v>
      </c>
      <c r="B4595" t="str">
        <f t="shared" si="286"/>
        <v>WOO</v>
      </c>
      <c r="C4595" t="str">
        <f t="shared" si="287"/>
        <v>11216-0000</v>
      </c>
      <c r="D4595" t="s">
        <v>2822</v>
      </c>
      <c r="E4595" t="s">
        <v>13224</v>
      </c>
      <c r="F4595" t="s">
        <v>14039</v>
      </c>
      <c r="G4595" t="s">
        <v>14672</v>
      </c>
      <c r="H4595" t="s">
        <v>13869</v>
      </c>
      <c r="I4595" t="s">
        <v>14690</v>
      </c>
      <c r="J4595" s="62">
        <v>-2474.37</v>
      </c>
      <c r="K4595" s="62">
        <v>6618.09</v>
      </c>
      <c r="L4595" t="str">
        <f>VLOOKUP(VALUE(LEFT(C4595,5)),Xref!A:B,2,0)</f>
        <v>SIL</v>
      </c>
      <c r="M4595" t="str">
        <f t="shared" si="288"/>
        <v>SIL-WOO</v>
      </c>
    </row>
    <row r="4596" spans="1:13">
      <c r="A4596" t="str">
        <f t="shared" si="285"/>
        <v>WOO - Intercompany</v>
      </c>
      <c r="B4596" t="str">
        <f t="shared" si="286"/>
        <v>WOO</v>
      </c>
      <c r="C4596" t="str">
        <f t="shared" si="287"/>
        <v>11232-0000</v>
      </c>
      <c r="D4596" t="s">
        <v>30318</v>
      </c>
      <c r="E4596" t="s">
        <v>12486</v>
      </c>
      <c r="F4596" t="s">
        <v>14039</v>
      </c>
      <c r="G4596" t="s">
        <v>14672</v>
      </c>
      <c r="H4596" t="s">
        <v>13869</v>
      </c>
      <c r="I4596" t="s">
        <v>14690</v>
      </c>
      <c r="J4596" s="62">
        <v>0</v>
      </c>
      <c r="K4596" s="62">
        <v>0</v>
      </c>
      <c r="L4596" t="str">
        <f>VLOOKUP(VALUE(LEFT(C4596,5)),Xref!A:B,2,0)</f>
        <v>SC2</v>
      </c>
      <c r="M4596" t="str">
        <f t="shared" si="288"/>
        <v>SC2-WOO</v>
      </c>
    </row>
    <row r="4597" spans="1:13">
      <c r="A4597" t="str">
        <f t="shared" si="285"/>
        <v>WOO - Intercompany</v>
      </c>
      <c r="B4597" t="str">
        <f t="shared" si="286"/>
        <v>WOO</v>
      </c>
      <c r="C4597" t="str">
        <f t="shared" si="287"/>
        <v>11301-0000</v>
      </c>
      <c r="D4597" t="s">
        <v>30319</v>
      </c>
      <c r="E4597" t="s">
        <v>13225</v>
      </c>
      <c r="F4597" t="s">
        <v>14039</v>
      </c>
      <c r="G4597" t="s">
        <v>14672</v>
      </c>
      <c r="H4597" t="s">
        <v>13869</v>
      </c>
      <c r="I4597" t="s">
        <v>14690</v>
      </c>
      <c r="J4597" s="62">
        <v>0</v>
      </c>
      <c r="K4597" s="62">
        <v>0</v>
      </c>
      <c r="L4597" t="str">
        <f>VLOOKUP(VALUE(LEFT(C4597,5)),Xref!A:B,2,0)</f>
        <v>CRE</v>
      </c>
      <c r="M4597" t="str">
        <f t="shared" si="288"/>
        <v>CRE-WOO</v>
      </c>
    </row>
    <row r="4598" spans="1:13">
      <c r="A4598" t="str">
        <f t="shared" si="285"/>
        <v>WOO - Intercompany</v>
      </c>
      <c r="B4598" t="str">
        <f t="shared" si="286"/>
        <v>WOO</v>
      </c>
      <c r="C4598" t="str">
        <f t="shared" si="287"/>
        <v>11302-0000</v>
      </c>
      <c r="D4598" t="s">
        <v>30320</v>
      </c>
      <c r="E4598" t="s">
        <v>13226</v>
      </c>
      <c r="F4598" t="s">
        <v>14039</v>
      </c>
      <c r="G4598" t="s">
        <v>14672</v>
      </c>
      <c r="H4598" t="s">
        <v>13869</v>
      </c>
      <c r="I4598" t="s">
        <v>14690</v>
      </c>
      <c r="J4598" s="62">
        <v>0</v>
      </c>
      <c r="K4598" s="62">
        <v>0</v>
      </c>
      <c r="L4598" t="str">
        <f>VLOOKUP(VALUE(LEFT(C4598,5)),Xref!A:B,2,0)</f>
        <v>CHA</v>
      </c>
      <c r="M4598" t="str">
        <f t="shared" si="288"/>
        <v>CHA-WOO</v>
      </c>
    </row>
    <row r="4599" spans="1:13">
      <c r="A4599" t="str">
        <f t="shared" si="285"/>
        <v>WOO - Intercompany</v>
      </c>
      <c r="B4599" t="str">
        <f t="shared" si="286"/>
        <v>WOO</v>
      </c>
      <c r="C4599" t="str">
        <f t="shared" si="287"/>
        <v>11303-0000</v>
      </c>
      <c r="D4599" t="s">
        <v>30321</v>
      </c>
      <c r="E4599" t="s">
        <v>13227</v>
      </c>
      <c r="F4599" t="s">
        <v>14039</v>
      </c>
      <c r="G4599" t="s">
        <v>14672</v>
      </c>
      <c r="H4599" t="s">
        <v>13869</v>
      </c>
      <c r="I4599" t="s">
        <v>14690</v>
      </c>
      <c r="J4599" s="62">
        <v>0</v>
      </c>
      <c r="K4599" s="62">
        <v>0</v>
      </c>
      <c r="L4599" t="str">
        <f>VLOOKUP(VALUE(LEFT(C4599,5)),Xref!A:B,2,0)</f>
        <v>DIA</v>
      </c>
      <c r="M4599" t="str">
        <f t="shared" si="288"/>
        <v>DIA-WOO</v>
      </c>
    </row>
    <row r="4600" spans="1:13">
      <c r="A4600" t="str">
        <f t="shared" si="285"/>
        <v>WOO - Intercompany</v>
      </c>
      <c r="B4600" t="str">
        <f t="shared" si="286"/>
        <v>WOO</v>
      </c>
      <c r="C4600" t="str">
        <f t="shared" si="287"/>
        <v>11304-0000</v>
      </c>
      <c r="D4600" t="s">
        <v>30322</v>
      </c>
      <c r="E4600" t="s">
        <v>13228</v>
      </c>
      <c r="F4600" t="s">
        <v>14039</v>
      </c>
      <c r="G4600" t="s">
        <v>14672</v>
      </c>
      <c r="H4600" t="s">
        <v>13869</v>
      </c>
      <c r="I4600" t="s">
        <v>14690</v>
      </c>
      <c r="J4600" s="62">
        <v>0</v>
      </c>
      <c r="K4600" s="62">
        <v>0</v>
      </c>
      <c r="L4600" t="str">
        <f>VLOOKUP(VALUE(LEFT(C4600,5)),Xref!A:B,2,0)</f>
        <v>EAG</v>
      </c>
      <c r="M4600" t="str">
        <f t="shared" si="288"/>
        <v>EAG-WOO</v>
      </c>
    </row>
    <row r="4601" spans="1:13">
      <c r="A4601" t="str">
        <f t="shared" si="285"/>
        <v>WOO - Intercompany</v>
      </c>
      <c r="B4601" t="str">
        <f t="shared" si="286"/>
        <v>WOO</v>
      </c>
      <c r="C4601" t="str">
        <f t="shared" si="287"/>
        <v>11305-0000</v>
      </c>
      <c r="D4601" t="s">
        <v>30323</v>
      </c>
      <c r="E4601" t="s">
        <v>13229</v>
      </c>
      <c r="F4601" t="s">
        <v>14039</v>
      </c>
      <c r="G4601" t="s">
        <v>14672</v>
      </c>
      <c r="H4601" t="s">
        <v>13869</v>
      </c>
      <c r="I4601" t="s">
        <v>14690</v>
      </c>
      <c r="J4601" s="62">
        <v>0</v>
      </c>
      <c r="K4601" s="62">
        <v>0</v>
      </c>
      <c r="L4601" t="str">
        <f>VLOOKUP(VALUE(LEFT(C4601,5)),Xref!A:B,2,0)</f>
        <v>NEW</v>
      </c>
      <c r="M4601" t="str">
        <f t="shared" si="288"/>
        <v>NEW-WOO</v>
      </c>
    </row>
    <row r="4602" spans="1:13">
      <c r="A4602" t="str">
        <f t="shared" si="285"/>
        <v>WOO - Intercompany</v>
      </c>
      <c r="B4602" t="str">
        <f t="shared" si="286"/>
        <v>WOO</v>
      </c>
      <c r="C4602" t="str">
        <f t="shared" si="287"/>
        <v>11307-0000</v>
      </c>
      <c r="D4602" t="s">
        <v>30324</v>
      </c>
      <c r="E4602" t="s">
        <v>14096</v>
      </c>
      <c r="F4602" t="s">
        <v>14039</v>
      </c>
      <c r="G4602" t="s">
        <v>14672</v>
      </c>
      <c r="H4602" t="s">
        <v>13869</v>
      </c>
      <c r="I4602" t="s">
        <v>14690</v>
      </c>
      <c r="J4602" s="62">
        <v>0</v>
      </c>
      <c r="K4602" s="62">
        <v>0</v>
      </c>
      <c r="L4602" t="str">
        <f>VLOOKUP(VALUE(LEFT(C4602,5)),Xref!A:B,2,0)</f>
        <v>NES</v>
      </c>
      <c r="M4602" t="str">
        <f t="shared" si="288"/>
        <v>NES-WOO</v>
      </c>
    </row>
    <row r="4603" spans="1:13">
      <c r="A4603" t="str">
        <f t="shared" si="285"/>
        <v>WOO - Intercompany</v>
      </c>
      <c r="B4603" t="str">
        <f t="shared" si="286"/>
        <v>WOO</v>
      </c>
      <c r="C4603" t="str">
        <f t="shared" si="287"/>
        <v>11308-0000</v>
      </c>
      <c r="D4603" t="s">
        <v>30325</v>
      </c>
      <c r="E4603" t="s">
        <v>13476</v>
      </c>
      <c r="F4603" t="s">
        <v>14039</v>
      </c>
      <c r="G4603" t="s">
        <v>14672</v>
      </c>
      <c r="H4603" t="s">
        <v>13869</v>
      </c>
      <c r="I4603" t="s">
        <v>14690</v>
      </c>
      <c r="J4603" s="62">
        <v>0</v>
      </c>
      <c r="K4603" s="62">
        <v>0</v>
      </c>
      <c r="L4603" t="str">
        <f>VLOOKUP(VALUE(LEFT(C4603,5)),Xref!A:B,2,0)</f>
        <v>LPI</v>
      </c>
      <c r="M4603" t="str">
        <f t="shared" si="288"/>
        <v>LPI-WOO</v>
      </c>
    </row>
    <row r="4604" spans="1:13">
      <c r="A4604" t="str">
        <f t="shared" si="285"/>
        <v>WOO - Intercompany</v>
      </c>
      <c r="B4604" t="str">
        <f t="shared" si="286"/>
        <v>WOO</v>
      </c>
      <c r="C4604" t="str">
        <f t="shared" si="287"/>
        <v>11309-0000</v>
      </c>
      <c r="D4604" t="s">
        <v>30326</v>
      </c>
      <c r="E4604" t="s">
        <v>13230</v>
      </c>
      <c r="F4604" t="s">
        <v>14039</v>
      </c>
      <c r="G4604" t="s">
        <v>14672</v>
      </c>
      <c r="H4604" t="s">
        <v>13869</v>
      </c>
      <c r="I4604" t="s">
        <v>14690</v>
      </c>
      <c r="J4604" s="62">
        <v>0</v>
      </c>
      <c r="K4604" s="62">
        <v>0</v>
      </c>
      <c r="L4604" t="str">
        <f>VLOOKUP(VALUE(LEFT(C4604,5)),Xref!A:B,2,0)</f>
        <v>GPI</v>
      </c>
      <c r="M4604" t="str">
        <f t="shared" si="288"/>
        <v>GPI-WOO</v>
      </c>
    </row>
    <row r="4605" spans="1:13">
      <c r="A4605" t="str">
        <f t="shared" si="285"/>
        <v>WOO - Intercompany</v>
      </c>
      <c r="B4605" t="str">
        <f t="shared" si="286"/>
        <v>WOO</v>
      </c>
      <c r="C4605" t="str">
        <f t="shared" si="287"/>
        <v>11310-0000</v>
      </c>
      <c r="D4605" t="s">
        <v>30327</v>
      </c>
      <c r="E4605" t="s">
        <v>13231</v>
      </c>
      <c r="F4605" t="s">
        <v>14039</v>
      </c>
      <c r="G4605" t="s">
        <v>14672</v>
      </c>
      <c r="H4605" t="s">
        <v>13869</v>
      </c>
      <c r="I4605" t="s">
        <v>14690</v>
      </c>
      <c r="J4605" s="62">
        <v>0</v>
      </c>
      <c r="K4605" s="62">
        <v>0</v>
      </c>
      <c r="L4605" t="str">
        <f>VLOOKUP(VALUE(LEFT(C4605,5)),Xref!A:B,2,0)</f>
        <v>ALP</v>
      </c>
      <c r="M4605" t="str">
        <f t="shared" si="288"/>
        <v>ALP-WOO</v>
      </c>
    </row>
    <row r="4606" spans="1:13">
      <c r="A4606" t="str">
        <f t="shared" si="285"/>
        <v>WOO - Intercompany</v>
      </c>
      <c r="B4606" t="str">
        <f t="shared" si="286"/>
        <v>WOO</v>
      </c>
      <c r="C4606" t="str">
        <f t="shared" si="287"/>
        <v>11311-0000</v>
      </c>
      <c r="D4606" t="s">
        <v>2823</v>
      </c>
      <c r="E4606" t="s">
        <v>13232</v>
      </c>
      <c r="F4606" t="s">
        <v>14039</v>
      </c>
      <c r="G4606" t="s">
        <v>14672</v>
      </c>
      <c r="H4606" t="s">
        <v>13869</v>
      </c>
      <c r="I4606" t="s">
        <v>14690</v>
      </c>
      <c r="J4606" s="62">
        <v>0</v>
      </c>
      <c r="K4606" s="62">
        <v>-5000</v>
      </c>
      <c r="L4606" t="str">
        <f>VLOOKUP(VALUE(LEFT(C4606,5)),Xref!A:B,2,0)</f>
        <v>BET</v>
      </c>
      <c r="M4606" t="str">
        <f t="shared" si="288"/>
        <v>BET-WOO</v>
      </c>
    </row>
    <row r="4607" spans="1:13">
      <c r="A4607" t="str">
        <f t="shared" si="285"/>
        <v>WOO - Intercompany</v>
      </c>
      <c r="B4607" t="str">
        <f t="shared" si="286"/>
        <v>WOO</v>
      </c>
      <c r="C4607" t="str">
        <f t="shared" si="287"/>
        <v>11312-0000</v>
      </c>
      <c r="D4607" t="s">
        <v>30328</v>
      </c>
      <c r="E4607" t="s">
        <v>14102</v>
      </c>
      <c r="F4607" t="s">
        <v>14039</v>
      </c>
      <c r="G4607" t="s">
        <v>14672</v>
      </c>
      <c r="H4607" t="s">
        <v>13869</v>
      </c>
      <c r="I4607" t="s">
        <v>14690</v>
      </c>
      <c r="J4607" s="62">
        <v>0</v>
      </c>
      <c r="K4607" s="62">
        <v>0</v>
      </c>
      <c r="L4607" t="str">
        <f>VLOOKUP(VALUE(LEFT(C4607,5)),Xref!A:B,2,0)</f>
        <v>DEL</v>
      </c>
      <c r="M4607" t="str">
        <f t="shared" si="288"/>
        <v>DEL-WOO</v>
      </c>
    </row>
    <row r="4608" spans="1:13">
      <c r="A4608" t="str">
        <f t="shared" si="285"/>
        <v>WOO - Intercompany</v>
      </c>
      <c r="B4608" t="str">
        <f t="shared" si="286"/>
        <v>WOO</v>
      </c>
      <c r="C4608" t="str">
        <f t="shared" si="287"/>
        <v>11313-0000</v>
      </c>
      <c r="D4608" t="s">
        <v>30329</v>
      </c>
      <c r="E4608" t="s">
        <v>13233</v>
      </c>
      <c r="F4608" t="s">
        <v>14039</v>
      </c>
      <c r="G4608" t="s">
        <v>14672</v>
      </c>
      <c r="H4608" t="s">
        <v>13869</v>
      </c>
      <c r="I4608" t="s">
        <v>14690</v>
      </c>
      <c r="J4608" s="62">
        <v>0</v>
      </c>
      <c r="K4608" s="62">
        <v>0</v>
      </c>
      <c r="L4608" t="str">
        <f>VLOOKUP(VALUE(LEFT(C4608,5)),Xref!A:B,2,0)</f>
        <v>DOL</v>
      </c>
      <c r="M4608" t="str">
        <f t="shared" si="288"/>
        <v>DOL-WOO</v>
      </c>
    </row>
    <row r="4609" spans="1:13">
      <c r="A4609" t="str">
        <f t="shared" si="285"/>
        <v>WOO - Intercompany</v>
      </c>
      <c r="B4609" t="str">
        <f t="shared" si="286"/>
        <v>WOO</v>
      </c>
      <c r="C4609" t="str">
        <f t="shared" si="287"/>
        <v>11314-0000</v>
      </c>
      <c r="D4609" t="s">
        <v>30330</v>
      </c>
      <c r="E4609" t="s">
        <v>13351</v>
      </c>
      <c r="F4609" t="s">
        <v>14039</v>
      </c>
      <c r="G4609" t="s">
        <v>14672</v>
      </c>
      <c r="H4609" t="s">
        <v>13869</v>
      </c>
      <c r="I4609" t="s">
        <v>14690</v>
      </c>
      <c r="J4609" s="62">
        <v>0</v>
      </c>
      <c r="K4609" s="62">
        <v>0</v>
      </c>
      <c r="L4609" t="str">
        <f>VLOOKUP(VALUE(LEFT(C4609,5)),Xref!A:B,2,0)</f>
        <v>GRI</v>
      </c>
      <c r="M4609" t="str">
        <f t="shared" si="288"/>
        <v>GRI-WOO</v>
      </c>
    </row>
    <row r="4610" spans="1:13">
      <c r="A4610" t="str">
        <f t="shared" ref="A4610:A4673" si="289">B4610&amp;" - "&amp;TRIM(H4610)</f>
        <v>WOO - Intercompany</v>
      </c>
      <c r="B4610" t="str">
        <f t="shared" ref="B4610:B4673" si="290">LEFT(D4610,3)</f>
        <v>WOO</v>
      </c>
      <c r="C4610" t="str">
        <f t="shared" ref="C4610:C4673" si="291">RIGHT(D4610,10)</f>
        <v>11315-0000</v>
      </c>
      <c r="D4610" t="s">
        <v>30331</v>
      </c>
      <c r="E4610" t="s">
        <v>13234</v>
      </c>
      <c r="F4610" t="s">
        <v>14039</v>
      </c>
      <c r="G4610" t="s">
        <v>14672</v>
      </c>
      <c r="H4610" t="s">
        <v>13869</v>
      </c>
      <c r="I4610" t="s">
        <v>14690</v>
      </c>
      <c r="J4610" s="62">
        <v>0</v>
      </c>
      <c r="K4610" s="62">
        <v>0</v>
      </c>
      <c r="L4610" t="str">
        <f>VLOOKUP(VALUE(LEFT(C4610,5)),Xref!A:B,2,0)</f>
        <v>PUR</v>
      </c>
      <c r="M4610" t="str">
        <f t="shared" si="288"/>
        <v>PUR-WOO</v>
      </c>
    </row>
    <row r="4611" spans="1:13">
      <c r="A4611" t="str">
        <f t="shared" si="289"/>
        <v>WOO - Intercompany</v>
      </c>
      <c r="B4611" t="str">
        <f t="shared" si="290"/>
        <v>WOO</v>
      </c>
      <c r="C4611" t="str">
        <f t="shared" si="291"/>
        <v>11316-0000</v>
      </c>
      <c r="D4611" t="s">
        <v>30332</v>
      </c>
      <c r="E4611" t="s">
        <v>13235</v>
      </c>
      <c r="F4611" t="s">
        <v>14039</v>
      </c>
      <c r="G4611" t="s">
        <v>14672</v>
      </c>
      <c r="H4611" t="s">
        <v>13869</v>
      </c>
      <c r="I4611" t="s">
        <v>14690</v>
      </c>
      <c r="J4611" s="62">
        <v>0</v>
      </c>
      <c r="K4611" s="62">
        <v>0</v>
      </c>
      <c r="L4611" t="str">
        <f>VLOOKUP(VALUE(LEFT(C4611,5)),Xref!A:B,2,0)</f>
        <v>VAL</v>
      </c>
      <c r="M4611" t="str">
        <f t="shared" si="288"/>
        <v>VAL-WOO</v>
      </c>
    </row>
    <row r="4612" spans="1:13">
      <c r="A4612" t="str">
        <f t="shared" si="289"/>
        <v>WOO - Intercompany</v>
      </c>
      <c r="B4612" t="str">
        <f t="shared" si="290"/>
        <v>WOO</v>
      </c>
      <c r="C4612" t="str">
        <f t="shared" si="291"/>
        <v>11317-0000</v>
      </c>
      <c r="D4612" t="s">
        <v>2824</v>
      </c>
      <c r="E4612" t="s">
        <v>13352</v>
      </c>
      <c r="F4612" t="s">
        <v>14039</v>
      </c>
      <c r="G4612" t="s">
        <v>14672</v>
      </c>
      <c r="H4612" t="s">
        <v>13869</v>
      </c>
      <c r="I4612" t="s">
        <v>14690</v>
      </c>
      <c r="J4612" s="62">
        <v>0</v>
      </c>
      <c r="K4612" s="62">
        <v>-3000</v>
      </c>
      <c r="L4612" t="str">
        <f>VLOOKUP(VALUE(LEFT(C4612,5)),Xref!A:B,2,0)</f>
        <v>AKG</v>
      </c>
      <c r="M4612" t="str">
        <f t="shared" si="288"/>
        <v>AKG-WOO</v>
      </c>
    </row>
    <row r="4613" spans="1:13">
      <c r="A4613" t="str">
        <f t="shared" si="289"/>
        <v>WOO - Intercompany</v>
      </c>
      <c r="B4613" t="str">
        <f t="shared" si="290"/>
        <v>WOO</v>
      </c>
      <c r="C4613" t="str">
        <f t="shared" si="291"/>
        <v>11318-0000</v>
      </c>
      <c r="D4613" t="s">
        <v>30333</v>
      </c>
      <c r="E4613" t="s">
        <v>13477</v>
      </c>
      <c r="F4613" t="s">
        <v>14039</v>
      </c>
      <c r="G4613" t="s">
        <v>14672</v>
      </c>
      <c r="H4613" t="s">
        <v>13869</v>
      </c>
      <c r="I4613" t="s">
        <v>14690</v>
      </c>
      <c r="J4613" s="62">
        <v>0</v>
      </c>
      <c r="K4613" s="62">
        <v>0</v>
      </c>
      <c r="L4613" t="str">
        <f>VLOOKUP(VALUE(LEFT(C4613,5)),Xref!A:B,2,0)</f>
        <v>FIR</v>
      </c>
      <c r="M4613" t="str">
        <f t="shared" si="288"/>
        <v>FIR-WOO</v>
      </c>
    </row>
    <row r="4614" spans="1:13">
      <c r="A4614" t="str">
        <f t="shared" si="289"/>
        <v>WOO - Intercompany</v>
      </c>
      <c r="B4614" t="str">
        <f t="shared" si="290"/>
        <v>WOO</v>
      </c>
      <c r="C4614" t="str">
        <f t="shared" si="291"/>
        <v>11319-0000</v>
      </c>
      <c r="D4614" t="s">
        <v>30334</v>
      </c>
      <c r="E4614" t="s">
        <v>266</v>
      </c>
      <c r="F4614" t="s">
        <v>14039</v>
      </c>
      <c r="G4614" t="s">
        <v>14672</v>
      </c>
      <c r="H4614" t="s">
        <v>13869</v>
      </c>
      <c r="I4614" t="s">
        <v>14690</v>
      </c>
      <c r="J4614" s="62">
        <v>0</v>
      </c>
      <c r="K4614" s="62">
        <v>0</v>
      </c>
      <c r="L4614" t="str">
        <f>VLOOKUP(VALUE(LEFT(C4614,5)),Xref!A:B,2,0)</f>
        <v>GST</v>
      </c>
      <c r="M4614" t="str">
        <f t="shared" si="288"/>
        <v>GST-WOO</v>
      </c>
    </row>
    <row r="4615" spans="1:13">
      <c r="A4615" t="str">
        <f t="shared" si="289"/>
        <v>WOO - Intercompany</v>
      </c>
      <c r="B4615" t="str">
        <f t="shared" si="290"/>
        <v>WOO</v>
      </c>
      <c r="C4615" t="str">
        <f t="shared" si="291"/>
        <v>11320-0000</v>
      </c>
      <c r="D4615" t="s">
        <v>2825</v>
      </c>
      <c r="E4615" t="s">
        <v>14111</v>
      </c>
      <c r="F4615" t="s">
        <v>14039</v>
      </c>
      <c r="G4615" t="s">
        <v>14672</v>
      </c>
      <c r="H4615" t="s">
        <v>13869</v>
      </c>
      <c r="I4615" t="s">
        <v>14690</v>
      </c>
      <c r="J4615" s="62">
        <v>0</v>
      </c>
      <c r="K4615" s="62">
        <v>10000</v>
      </c>
      <c r="L4615" t="str">
        <f>VLOOKUP(VALUE(LEFT(C4615,5)),Xref!A:B,2,0)</f>
        <v>HDN</v>
      </c>
      <c r="M4615" t="str">
        <f t="shared" si="288"/>
        <v>HDN-WOO</v>
      </c>
    </row>
    <row r="4616" spans="1:13">
      <c r="A4616" t="str">
        <f t="shared" si="289"/>
        <v>WOO - Intercompany</v>
      </c>
      <c r="B4616" t="str">
        <f t="shared" si="290"/>
        <v>WOO</v>
      </c>
      <c r="C4616" t="str">
        <f t="shared" si="291"/>
        <v>11321-0000</v>
      </c>
      <c r="D4616" t="s">
        <v>30335</v>
      </c>
      <c r="E4616" t="s">
        <v>13236</v>
      </c>
      <c r="F4616" t="s">
        <v>14039</v>
      </c>
      <c r="G4616" t="s">
        <v>14672</v>
      </c>
      <c r="H4616" t="s">
        <v>13869</v>
      </c>
      <c r="I4616" t="s">
        <v>14690</v>
      </c>
      <c r="J4616" s="62">
        <v>0</v>
      </c>
      <c r="K4616" s="62">
        <v>0</v>
      </c>
      <c r="L4616" t="str">
        <f>VLOOKUP(VALUE(LEFT(C4616,5)),Xref!A:B,2,0)</f>
        <v>OVA</v>
      </c>
      <c r="M4616" t="str">
        <f t="shared" si="288"/>
        <v>OVA-WOO</v>
      </c>
    </row>
    <row r="4617" spans="1:13">
      <c r="A4617" t="str">
        <f t="shared" si="289"/>
        <v>WOO - Intercompany</v>
      </c>
      <c r="B4617" t="str">
        <f t="shared" si="290"/>
        <v>WOO</v>
      </c>
      <c r="C4617" t="str">
        <f t="shared" si="291"/>
        <v>11322-0000</v>
      </c>
      <c r="D4617" t="s">
        <v>30336</v>
      </c>
      <c r="E4617" t="s">
        <v>13237</v>
      </c>
      <c r="F4617" t="s">
        <v>14039</v>
      </c>
      <c r="G4617" t="s">
        <v>14672</v>
      </c>
      <c r="H4617" t="s">
        <v>13869</v>
      </c>
      <c r="I4617" t="s">
        <v>14690</v>
      </c>
      <c r="J4617" s="62">
        <v>0</v>
      </c>
      <c r="K4617" s="62">
        <v>6500</v>
      </c>
      <c r="L4617" t="str">
        <f>VLOOKUP(VALUE(LEFT(C4617,5)),Xref!A:B,2,0)</f>
        <v>WOO</v>
      </c>
      <c r="M4617" t="str">
        <f t="shared" si="288"/>
        <v>WOO-WOO</v>
      </c>
    </row>
    <row r="4618" spans="1:13">
      <c r="A4618" t="str">
        <f t="shared" si="289"/>
        <v>WOO - Intercompany</v>
      </c>
      <c r="B4618" t="str">
        <f t="shared" si="290"/>
        <v>WOO</v>
      </c>
      <c r="C4618" t="str">
        <f t="shared" si="291"/>
        <v>11323-0000</v>
      </c>
      <c r="D4618" t="s">
        <v>30337</v>
      </c>
      <c r="E4618" t="s">
        <v>13478</v>
      </c>
      <c r="F4618" t="s">
        <v>14039</v>
      </c>
      <c r="G4618" t="s">
        <v>14672</v>
      </c>
      <c r="H4618" t="s">
        <v>13869</v>
      </c>
      <c r="I4618" t="s">
        <v>14690</v>
      </c>
      <c r="J4618" s="62">
        <v>0</v>
      </c>
      <c r="K4618" s="62">
        <v>0</v>
      </c>
      <c r="L4618" t="str">
        <f>VLOOKUP(VALUE(LEFT(C4618,5)),Xref!A:B,2,0)</f>
        <v>SPI</v>
      </c>
      <c r="M4618" t="str">
        <f t="shared" si="288"/>
        <v>SPI-WOO</v>
      </c>
    </row>
    <row r="4619" spans="1:13">
      <c r="A4619" t="str">
        <f t="shared" si="289"/>
        <v>WOO - Intercompany</v>
      </c>
      <c r="B4619" t="str">
        <f t="shared" si="290"/>
        <v>WOO</v>
      </c>
      <c r="C4619" t="str">
        <f t="shared" si="291"/>
        <v>11324-0000</v>
      </c>
      <c r="D4619" t="s">
        <v>30338</v>
      </c>
      <c r="E4619" t="s">
        <v>13238</v>
      </c>
      <c r="F4619" t="s">
        <v>14039</v>
      </c>
      <c r="G4619" t="s">
        <v>14672</v>
      </c>
      <c r="H4619" t="s">
        <v>13869</v>
      </c>
      <c r="I4619" t="s">
        <v>14690</v>
      </c>
      <c r="J4619" s="62">
        <v>0</v>
      </c>
      <c r="K4619" s="62">
        <v>0</v>
      </c>
      <c r="L4619" t="str">
        <f>VLOOKUP(VALUE(LEFT(C4619,5)),Xref!A:B,2,0)</f>
        <v>NET</v>
      </c>
      <c r="M4619" t="str">
        <f t="shared" si="288"/>
        <v>NET-WOO</v>
      </c>
    </row>
    <row r="4620" spans="1:13">
      <c r="A4620" t="str">
        <f t="shared" si="289"/>
        <v>WOO - Intercompany</v>
      </c>
      <c r="B4620" t="str">
        <f t="shared" si="290"/>
        <v>WOO</v>
      </c>
      <c r="C4620" t="str">
        <f t="shared" si="291"/>
        <v>11325-0000</v>
      </c>
      <c r="D4620" t="s">
        <v>30339</v>
      </c>
      <c r="E4620" t="s">
        <v>13239</v>
      </c>
      <c r="F4620" t="s">
        <v>14039</v>
      </c>
      <c r="G4620" t="s">
        <v>14672</v>
      </c>
      <c r="H4620" t="s">
        <v>13869</v>
      </c>
      <c r="I4620" t="s">
        <v>14690</v>
      </c>
      <c r="J4620" s="62">
        <v>0</v>
      </c>
      <c r="K4620" s="62">
        <v>0</v>
      </c>
      <c r="L4620" t="str">
        <f>VLOOKUP(VALUE(LEFT(C4620,5)),Xref!A:B,2,0)</f>
        <v>DPI</v>
      </c>
      <c r="M4620" t="str">
        <f t="shared" si="288"/>
        <v>DPI-WOO</v>
      </c>
    </row>
    <row r="4621" spans="1:13">
      <c r="A4621" t="str">
        <f t="shared" si="289"/>
        <v>WOO - Intercompany</v>
      </c>
      <c r="B4621" t="str">
        <f t="shared" si="290"/>
        <v>WOO</v>
      </c>
      <c r="C4621" t="str">
        <f t="shared" si="291"/>
        <v>11326-0000</v>
      </c>
      <c r="D4621" t="s">
        <v>30340</v>
      </c>
      <c r="E4621" t="s">
        <v>13240</v>
      </c>
      <c r="F4621" t="s">
        <v>14039</v>
      </c>
      <c r="G4621" t="s">
        <v>14672</v>
      </c>
      <c r="H4621" t="s">
        <v>13869</v>
      </c>
      <c r="I4621" t="s">
        <v>14690</v>
      </c>
      <c r="J4621" s="62">
        <v>0</v>
      </c>
      <c r="K4621" s="62">
        <v>0</v>
      </c>
      <c r="L4621" t="str">
        <f>VLOOKUP(VALUE(LEFT(C4621,5)),Xref!A:B,2,0)</f>
        <v>SEK</v>
      </c>
      <c r="M4621" t="str">
        <f t="shared" si="288"/>
        <v>SEK-WOO</v>
      </c>
    </row>
    <row r="4622" spans="1:13">
      <c r="A4622" t="str">
        <f t="shared" si="289"/>
        <v>WOO - Intercompany</v>
      </c>
      <c r="B4622" t="str">
        <f t="shared" si="290"/>
        <v>WOO</v>
      </c>
      <c r="C4622" t="str">
        <f t="shared" si="291"/>
        <v>11327-0000</v>
      </c>
      <c r="D4622" t="s">
        <v>30341</v>
      </c>
      <c r="E4622" t="s">
        <v>14119</v>
      </c>
      <c r="F4622" t="s">
        <v>14039</v>
      </c>
      <c r="G4622" t="s">
        <v>14672</v>
      </c>
      <c r="H4622" t="s">
        <v>13869</v>
      </c>
      <c r="I4622" t="s">
        <v>14690</v>
      </c>
      <c r="J4622" s="62">
        <v>0</v>
      </c>
      <c r="K4622" s="62">
        <v>0</v>
      </c>
      <c r="L4622" t="str">
        <f>VLOOKUP(VALUE(LEFT(C4622,5)),Xref!A:B,2,0)</f>
        <v>CPI</v>
      </c>
      <c r="M4622" t="str">
        <f t="shared" si="288"/>
        <v>CPI-WOO</v>
      </c>
    </row>
    <row r="4623" spans="1:13">
      <c r="A4623" t="str">
        <f t="shared" si="289"/>
        <v>WOO - Intercompany</v>
      </c>
      <c r="B4623" t="str">
        <f t="shared" si="290"/>
        <v>WOO</v>
      </c>
      <c r="C4623" t="str">
        <f t="shared" si="291"/>
        <v>11328-0000</v>
      </c>
      <c r="D4623" t="s">
        <v>30342</v>
      </c>
      <c r="E4623" t="s">
        <v>13241</v>
      </c>
      <c r="F4623" t="s">
        <v>14039</v>
      </c>
      <c r="G4623" t="s">
        <v>14672</v>
      </c>
      <c r="H4623" t="s">
        <v>13869</v>
      </c>
      <c r="I4623" t="s">
        <v>14690</v>
      </c>
      <c r="J4623" s="62">
        <v>0</v>
      </c>
      <c r="K4623" s="62">
        <v>0</v>
      </c>
      <c r="L4623" t="str">
        <f>VLOOKUP(VALUE(LEFT(C4623,5)),Xref!A:B,2,0)</f>
        <v>LOM</v>
      </c>
      <c r="M4623" t="str">
        <f t="shared" si="288"/>
        <v>LOM-WOO</v>
      </c>
    </row>
    <row r="4624" spans="1:13">
      <c r="A4624" t="str">
        <f t="shared" si="289"/>
        <v>WOO - Intercompany</v>
      </c>
      <c r="B4624" t="str">
        <f t="shared" si="290"/>
        <v>WOO</v>
      </c>
      <c r="C4624" t="str">
        <f t="shared" si="291"/>
        <v>11329-0000</v>
      </c>
      <c r="D4624" t="s">
        <v>2826</v>
      </c>
      <c r="E4624" t="s">
        <v>13353</v>
      </c>
      <c r="F4624" t="s">
        <v>14039</v>
      </c>
      <c r="G4624" t="s">
        <v>14672</v>
      </c>
      <c r="H4624" t="s">
        <v>13869</v>
      </c>
      <c r="I4624" t="s">
        <v>14690</v>
      </c>
      <c r="J4624" s="62">
        <v>0</v>
      </c>
      <c r="K4624" s="62">
        <v>-5000</v>
      </c>
      <c r="L4624" t="str">
        <f>VLOOKUP(VALUE(LEFT(C4624,5)),Xref!A:B,2,0)</f>
        <v>AKS</v>
      </c>
      <c r="M4624" t="str">
        <f t="shared" si="288"/>
        <v>AKS-WOO</v>
      </c>
    </row>
    <row r="4625" spans="1:13">
      <c r="A4625" t="str">
        <f t="shared" si="289"/>
        <v>WOO - Intercompany</v>
      </c>
      <c r="B4625" t="str">
        <f t="shared" si="290"/>
        <v>WOO</v>
      </c>
      <c r="C4625" t="str">
        <f t="shared" si="291"/>
        <v>11330-0000</v>
      </c>
      <c r="D4625" t="s">
        <v>30343</v>
      </c>
      <c r="E4625" t="s">
        <v>13242</v>
      </c>
      <c r="F4625" t="s">
        <v>14039</v>
      </c>
      <c r="G4625" t="s">
        <v>14672</v>
      </c>
      <c r="H4625" t="s">
        <v>13869</v>
      </c>
      <c r="I4625" t="s">
        <v>14690</v>
      </c>
      <c r="J4625" s="62">
        <v>0</v>
      </c>
      <c r="K4625" s="62">
        <v>0</v>
      </c>
      <c r="L4625" t="str">
        <f>VLOOKUP(VALUE(LEFT(C4625,5)),Xref!A:B,2,0)</f>
        <v>MAR</v>
      </c>
      <c r="M4625" t="str">
        <f t="shared" si="288"/>
        <v>MAR-WOO</v>
      </c>
    </row>
    <row r="4626" spans="1:13">
      <c r="A4626" t="str">
        <f t="shared" si="289"/>
        <v>WOO - Intercompany</v>
      </c>
      <c r="B4626" t="str">
        <f t="shared" si="290"/>
        <v>WOO</v>
      </c>
      <c r="C4626" t="str">
        <f t="shared" si="291"/>
        <v>11331-0000</v>
      </c>
      <c r="D4626" t="s">
        <v>30344</v>
      </c>
      <c r="E4626" t="s">
        <v>13354</v>
      </c>
      <c r="F4626" t="s">
        <v>14039</v>
      </c>
      <c r="G4626" t="s">
        <v>14672</v>
      </c>
      <c r="H4626" t="s">
        <v>13869</v>
      </c>
      <c r="I4626" t="s">
        <v>14690</v>
      </c>
      <c r="J4626" s="62">
        <v>0</v>
      </c>
      <c r="K4626" s="62">
        <v>0</v>
      </c>
      <c r="L4626" t="str">
        <f>VLOOKUP(VALUE(LEFT(C4626,5)),Xref!A:B,2,0)</f>
        <v>WIL</v>
      </c>
      <c r="M4626" t="str">
        <f t="shared" si="288"/>
        <v>WIL-WOO</v>
      </c>
    </row>
    <row r="4627" spans="1:13">
      <c r="A4627" t="str">
        <f t="shared" si="289"/>
        <v>WOO - Intercompany</v>
      </c>
      <c r="B4627" t="str">
        <f t="shared" si="290"/>
        <v>WOO</v>
      </c>
      <c r="C4627" t="str">
        <f t="shared" si="291"/>
        <v>11332-0000</v>
      </c>
      <c r="D4627" t="s">
        <v>30345</v>
      </c>
      <c r="E4627" t="s">
        <v>13243</v>
      </c>
      <c r="F4627" t="s">
        <v>14039</v>
      </c>
      <c r="G4627" t="s">
        <v>14672</v>
      </c>
      <c r="H4627" t="s">
        <v>13869</v>
      </c>
      <c r="I4627" t="s">
        <v>14690</v>
      </c>
      <c r="J4627" s="62">
        <v>0</v>
      </c>
      <c r="K4627" s="62">
        <v>0</v>
      </c>
      <c r="L4627" t="str">
        <f>VLOOKUP(VALUE(LEFT(C4627,5)),Xref!A:B,2,0)</f>
        <v>STO</v>
      </c>
      <c r="M4627" t="str">
        <f t="shared" si="288"/>
        <v>STO-WOO</v>
      </c>
    </row>
    <row r="4628" spans="1:13">
      <c r="A4628" t="str">
        <f t="shared" si="289"/>
        <v>WOO - Intercompany</v>
      </c>
      <c r="B4628" t="str">
        <f t="shared" si="290"/>
        <v>WOO</v>
      </c>
      <c r="C4628" t="str">
        <f t="shared" si="291"/>
        <v>11333-0000</v>
      </c>
      <c r="D4628" t="s">
        <v>30346</v>
      </c>
      <c r="E4628" t="s">
        <v>13244</v>
      </c>
      <c r="F4628" t="s">
        <v>14039</v>
      </c>
      <c r="G4628" t="s">
        <v>14672</v>
      </c>
      <c r="H4628" t="s">
        <v>13869</v>
      </c>
      <c r="I4628" t="s">
        <v>14690</v>
      </c>
      <c r="J4628" s="62">
        <v>0</v>
      </c>
      <c r="K4628" s="62">
        <v>0</v>
      </c>
      <c r="L4628" t="str">
        <f>VLOOKUP(VALUE(LEFT(C4628,5)),Xref!A:B,2,0)</f>
        <v>ANG</v>
      </c>
      <c r="M4628" t="str">
        <f t="shared" si="288"/>
        <v>ANG-WOO</v>
      </c>
    </row>
    <row r="4629" spans="1:13">
      <c r="A4629" t="str">
        <f t="shared" si="289"/>
        <v>WOO - Intercompany</v>
      </c>
      <c r="B4629" t="str">
        <f t="shared" si="290"/>
        <v>WOO</v>
      </c>
      <c r="C4629" t="str">
        <f t="shared" si="291"/>
        <v>11334-0000</v>
      </c>
      <c r="D4629" t="s">
        <v>30347</v>
      </c>
      <c r="E4629" t="s">
        <v>13245</v>
      </c>
      <c r="F4629" t="s">
        <v>14039</v>
      </c>
      <c r="G4629" t="s">
        <v>14672</v>
      </c>
      <c r="H4629" t="s">
        <v>13869</v>
      </c>
      <c r="I4629" t="s">
        <v>14690</v>
      </c>
      <c r="J4629" s="62">
        <v>0</v>
      </c>
      <c r="K4629" s="62">
        <v>0</v>
      </c>
      <c r="L4629" t="str">
        <f>VLOOKUP(VALUE(LEFT(C4629,5)),Xref!A:B,2,0)</f>
        <v>BRU</v>
      </c>
      <c r="M4629" t="str">
        <f t="shared" si="288"/>
        <v>BRU-WOO</v>
      </c>
    </row>
    <row r="4630" spans="1:13">
      <c r="A4630" t="str">
        <f t="shared" si="289"/>
        <v>WOO - Intercompany</v>
      </c>
      <c r="B4630" t="str">
        <f t="shared" si="290"/>
        <v>WOO</v>
      </c>
      <c r="C4630" t="str">
        <f t="shared" si="291"/>
        <v>11335-0000</v>
      </c>
      <c r="D4630" t="s">
        <v>30348</v>
      </c>
      <c r="E4630" t="s">
        <v>13246</v>
      </c>
      <c r="F4630" t="s">
        <v>14039</v>
      </c>
      <c r="G4630" t="s">
        <v>14672</v>
      </c>
      <c r="H4630" t="s">
        <v>13869</v>
      </c>
      <c r="I4630" t="s">
        <v>14690</v>
      </c>
      <c r="J4630" s="62">
        <v>0</v>
      </c>
      <c r="K4630" s="62">
        <v>0</v>
      </c>
      <c r="L4630" t="str">
        <f>VLOOKUP(VALUE(LEFT(C4630,5)),Xref!A:B,2,0)</f>
        <v>VEN</v>
      </c>
      <c r="M4630" t="str">
        <f t="shared" si="288"/>
        <v>VEN-WOO</v>
      </c>
    </row>
    <row r="4631" spans="1:13">
      <c r="A4631" t="str">
        <f t="shared" si="289"/>
        <v>WOO - Intercompany</v>
      </c>
      <c r="B4631" t="str">
        <f t="shared" si="290"/>
        <v>WOO</v>
      </c>
      <c r="C4631" t="str">
        <f t="shared" si="291"/>
        <v>11336-0000</v>
      </c>
      <c r="D4631" t="s">
        <v>30349</v>
      </c>
      <c r="E4631" t="s">
        <v>13247</v>
      </c>
      <c r="F4631" t="s">
        <v>14039</v>
      </c>
      <c r="G4631" t="s">
        <v>14672</v>
      </c>
      <c r="H4631" t="s">
        <v>13869</v>
      </c>
      <c r="I4631" t="s">
        <v>14690</v>
      </c>
      <c r="J4631" s="62">
        <v>0</v>
      </c>
      <c r="K4631" s="62">
        <v>0</v>
      </c>
      <c r="L4631" t="str">
        <f>VLOOKUP(VALUE(LEFT(C4631,5)),Xref!A:B,2,0)</f>
        <v>SAT</v>
      </c>
      <c r="M4631" t="str">
        <f t="shared" si="288"/>
        <v>SAT-WOO</v>
      </c>
    </row>
    <row r="4632" spans="1:13">
      <c r="A4632" t="str">
        <f t="shared" si="289"/>
        <v>WOO - Intercompany</v>
      </c>
      <c r="B4632" t="str">
        <f t="shared" si="290"/>
        <v>WOO</v>
      </c>
      <c r="C4632" t="str">
        <f t="shared" si="291"/>
        <v>11337-0000</v>
      </c>
      <c r="D4632" t="s">
        <v>30350</v>
      </c>
      <c r="E4632" t="s">
        <v>13248</v>
      </c>
      <c r="F4632" t="s">
        <v>14039</v>
      </c>
      <c r="G4632" t="s">
        <v>14672</v>
      </c>
      <c r="H4632" t="s">
        <v>13869</v>
      </c>
      <c r="I4632" t="s">
        <v>14690</v>
      </c>
      <c r="J4632" s="62">
        <v>0</v>
      </c>
      <c r="K4632" s="62">
        <v>0</v>
      </c>
      <c r="L4632" t="str">
        <f>VLOOKUP(VALUE(LEFT(C4632,5)),Xref!A:B,2,0)</f>
        <v>NEP</v>
      </c>
      <c r="M4632" t="str">
        <f t="shared" si="288"/>
        <v>NEP-WOO</v>
      </c>
    </row>
    <row r="4633" spans="1:13">
      <c r="A4633" t="str">
        <f t="shared" si="289"/>
        <v>WOO - Intercompany</v>
      </c>
      <c r="B4633" t="str">
        <f t="shared" si="290"/>
        <v>WOO</v>
      </c>
      <c r="C4633" t="str">
        <f t="shared" si="291"/>
        <v>11338-0000</v>
      </c>
      <c r="D4633" t="s">
        <v>30351</v>
      </c>
      <c r="E4633" t="s">
        <v>14131</v>
      </c>
      <c r="F4633" t="s">
        <v>14039</v>
      </c>
      <c r="G4633" t="s">
        <v>14672</v>
      </c>
      <c r="H4633" t="s">
        <v>13869</v>
      </c>
      <c r="I4633" t="s">
        <v>14690</v>
      </c>
      <c r="J4633" s="62">
        <v>0</v>
      </c>
      <c r="K4633" s="62">
        <v>0</v>
      </c>
      <c r="L4633" t="str">
        <f>VLOOKUP(VALUE(LEFT(C4633,5)),Xref!A:B,2,0)</f>
        <v>JUP</v>
      </c>
      <c r="M4633" t="str">
        <f t="shared" si="288"/>
        <v>JUP-WOO</v>
      </c>
    </row>
    <row r="4634" spans="1:13">
      <c r="A4634" t="str">
        <f t="shared" si="289"/>
        <v>WOO - Intercompany</v>
      </c>
      <c r="B4634" t="str">
        <f t="shared" si="290"/>
        <v>WOO</v>
      </c>
      <c r="C4634" t="str">
        <f t="shared" si="291"/>
        <v>11339-0000</v>
      </c>
      <c r="D4634" t="s">
        <v>30352</v>
      </c>
      <c r="E4634" t="s">
        <v>14133</v>
      </c>
      <c r="F4634" t="s">
        <v>14039</v>
      </c>
      <c r="G4634" t="s">
        <v>14672</v>
      </c>
      <c r="H4634" t="s">
        <v>13869</v>
      </c>
      <c r="I4634" t="s">
        <v>14690</v>
      </c>
      <c r="J4634" s="62">
        <v>0</v>
      </c>
      <c r="K4634" s="62">
        <v>0</v>
      </c>
      <c r="L4634" t="str">
        <f>VLOOKUP(VALUE(LEFT(C4634,5)),Xref!A:B,2,0)</f>
        <v>WES</v>
      </c>
      <c r="M4634" t="str">
        <f t="shared" si="288"/>
        <v>WES-WOO</v>
      </c>
    </row>
    <row r="4635" spans="1:13">
      <c r="A4635" t="str">
        <f t="shared" si="289"/>
        <v>WOO - Intercompany</v>
      </c>
      <c r="B4635" t="str">
        <f t="shared" si="290"/>
        <v>WOO</v>
      </c>
      <c r="C4635" t="str">
        <f t="shared" si="291"/>
        <v>11340-0000</v>
      </c>
      <c r="D4635" t="s">
        <v>30353</v>
      </c>
      <c r="E4635" t="s">
        <v>14135</v>
      </c>
      <c r="F4635" t="s">
        <v>14039</v>
      </c>
      <c r="G4635" t="s">
        <v>14672</v>
      </c>
      <c r="H4635" t="s">
        <v>13869</v>
      </c>
      <c r="I4635" t="s">
        <v>14690</v>
      </c>
      <c r="J4635" s="62">
        <v>0</v>
      </c>
      <c r="K4635" s="62">
        <v>0</v>
      </c>
      <c r="L4635" t="str">
        <f>VLOOKUP(VALUE(LEFT(C4635,5)),Xref!A:B,2,0)</f>
        <v>LCP</v>
      </c>
      <c r="M4635" t="str">
        <f t="shared" si="288"/>
        <v>LCP-WOO</v>
      </c>
    </row>
    <row r="4636" spans="1:13">
      <c r="A4636" t="str">
        <f t="shared" si="289"/>
        <v>WOO - Intercompany</v>
      </c>
      <c r="B4636" t="str">
        <f t="shared" si="290"/>
        <v>WOO</v>
      </c>
      <c r="C4636" t="str">
        <f t="shared" si="291"/>
        <v>11341-0000</v>
      </c>
      <c r="D4636" t="s">
        <v>30354</v>
      </c>
      <c r="E4636" t="s">
        <v>13639</v>
      </c>
      <c r="F4636" t="s">
        <v>14039</v>
      </c>
      <c r="G4636" t="s">
        <v>14672</v>
      </c>
      <c r="H4636" t="s">
        <v>13869</v>
      </c>
      <c r="I4636" t="s">
        <v>14690</v>
      </c>
      <c r="J4636" s="62">
        <v>0</v>
      </c>
      <c r="K4636" s="62">
        <v>0</v>
      </c>
      <c r="L4636" t="str">
        <f>VLOOKUP(VALUE(LEFT(C4636,5)),Xref!A:B,2,0)</f>
        <v>NOR</v>
      </c>
      <c r="M4636" t="str">
        <f t="shared" si="288"/>
        <v>NOR-WOO</v>
      </c>
    </row>
    <row r="4637" spans="1:13">
      <c r="A4637" t="str">
        <f t="shared" si="289"/>
        <v>WOO - Intercompany</v>
      </c>
      <c r="B4637" t="str">
        <f t="shared" si="290"/>
        <v>WOO</v>
      </c>
      <c r="C4637" t="str">
        <f t="shared" si="291"/>
        <v>11342-0000</v>
      </c>
      <c r="D4637" t="s">
        <v>30355</v>
      </c>
      <c r="E4637" t="s">
        <v>13355</v>
      </c>
      <c r="F4637" t="s">
        <v>14039</v>
      </c>
      <c r="G4637" t="s">
        <v>14672</v>
      </c>
      <c r="H4637" t="s">
        <v>13869</v>
      </c>
      <c r="I4637" t="s">
        <v>14690</v>
      </c>
      <c r="J4637" s="62">
        <v>0</v>
      </c>
      <c r="K4637" s="62">
        <v>0</v>
      </c>
      <c r="L4637" t="str">
        <f>VLOOKUP(VALUE(LEFT(C4637,5)),Xref!A:B,2,0)</f>
        <v>EAS</v>
      </c>
      <c r="M4637" t="str">
        <f t="shared" si="288"/>
        <v>EAS-WOO</v>
      </c>
    </row>
    <row r="4638" spans="1:13">
      <c r="A4638" t="str">
        <f t="shared" si="289"/>
        <v>WOO - Intercompany</v>
      </c>
      <c r="B4638" t="str">
        <f t="shared" si="290"/>
        <v>WOO</v>
      </c>
      <c r="C4638" t="str">
        <f t="shared" si="291"/>
        <v>11343-0000</v>
      </c>
      <c r="D4638" t="s">
        <v>2827</v>
      </c>
      <c r="E4638" t="s">
        <v>14139</v>
      </c>
      <c r="F4638" t="s">
        <v>14039</v>
      </c>
      <c r="G4638" t="s">
        <v>14672</v>
      </c>
      <c r="H4638" t="s">
        <v>13869</v>
      </c>
      <c r="I4638" t="s">
        <v>14690</v>
      </c>
      <c r="J4638" s="62">
        <v>0</v>
      </c>
      <c r="K4638" s="62">
        <v>-15000</v>
      </c>
      <c r="L4638" t="str">
        <f>VLOOKUP(VALUE(LEFT(C4638,5)),Xref!A:B,2,0)</f>
        <v>GRA</v>
      </c>
      <c r="M4638" t="str">
        <f t="shared" si="288"/>
        <v>GRA-WOO</v>
      </c>
    </row>
    <row r="4639" spans="1:13">
      <c r="A4639" t="str">
        <f t="shared" si="289"/>
        <v>WOO - Intercompany</v>
      </c>
      <c r="B4639" t="str">
        <f t="shared" si="290"/>
        <v>WOO</v>
      </c>
      <c r="C4639" t="str">
        <f t="shared" si="291"/>
        <v>11344-0000</v>
      </c>
      <c r="D4639" t="s">
        <v>30356</v>
      </c>
      <c r="E4639" t="s">
        <v>14141</v>
      </c>
      <c r="F4639" t="s">
        <v>14039</v>
      </c>
      <c r="G4639" t="s">
        <v>14672</v>
      </c>
      <c r="H4639" t="s">
        <v>13869</v>
      </c>
      <c r="I4639" t="s">
        <v>14690</v>
      </c>
      <c r="J4639" s="62">
        <v>0</v>
      </c>
      <c r="K4639" s="62">
        <v>0</v>
      </c>
      <c r="L4639" t="str">
        <f>VLOOKUP(VALUE(LEFT(C4639,5)),Xref!A:B,2,0)</f>
        <v>SOU</v>
      </c>
      <c r="M4639" t="str">
        <f t="shared" si="288"/>
        <v>SOU-WOO</v>
      </c>
    </row>
    <row r="4640" spans="1:13">
      <c r="A4640" t="str">
        <f t="shared" si="289"/>
        <v>WOO - Intercompany</v>
      </c>
      <c r="B4640" t="str">
        <f t="shared" si="290"/>
        <v>WOO</v>
      </c>
      <c r="C4640" t="str">
        <f t="shared" si="291"/>
        <v>11345-0000</v>
      </c>
      <c r="D4640" t="s">
        <v>30357</v>
      </c>
      <c r="E4640" t="s">
        <v>14143</v>
      </c>
      <c r="F4640" t="s">
        <v>14039</v>
      </c>
      <c r="G4640" t="s">
        <v>14672</v>
      </c>
      <c r="H4640" t="s">
        <v>13869</v>
      </c>
      <c r="I4640" t="s">
        <v>14690</v>
      </c>
      <c r="J4640" s="62">
        <v>0</v>
      </c>
      <c r="K4640" s="62">
        <v>0</v>
      </c>
      <c r="L4640" t="str">
        <f>VLOOKUP(VALUE(LEFT(C4640,5)),Xref!A:B,2,0)</f>
        <v>API</v>
      </c>
      <c r="M4640" t="str">
        <f t="shared" si="288"/>
        <v>API-WOO</v>
      </c>
    </row>
    <row r="4641" spans="1:13">
      <c r="A4641" t="str">
        <f t="shared" si="289"/>
        <v>WOO - Intercompany</v>
      </c>
      <c r="B4641" t="str">
        <f t="shared" si="290"/>
        <v>WOO</v>
      </c>
      <c r="C4641" t="str">
        <f t="shared" si="291"/>
        <v>11346-0000</v>
      </c>
      <c r="D4641" t="s">
        <v>30358</v>
      </c>
      <c r="E4641" t="s">
        <v>14145</v>
      </c>
      <c r="F4641" t="s">
        <v>14039</v>
      </c>
      <c r="G4641" t="s">
        <v>14672</v>
      </c>
      <c r="H4641" t="s">
        <v>13869</v>
      </c>
      <c r="I4641" t="s">
        <v>14690</v>
      </c>
      <c r="J4641" s="62">
        <v>0</v>
      </c>
      <c r="K4641" s="62">
        <v>0</v>
      </c>
      <c r="L4641" t="str">
        <f>VLOOKUP(VALUE(LEFT(C4641,5)),Xref!A:B,2,0)</f>
        <v>DPH</v>
      </c>
      <c r="M4641" t="str">
        <f t="shared" si="288"/>
        <v>DPH-WOO</v>
      </c>
    </row>
    <row r="4642" spans="1:13">
      <c r="A4642" t="str">
        <f t="shared" si="289"/>
        <v>WOO - Intercompany</v>
      </c>
      <c r="B4642" t="str">
        <f t="shared" si="290"/>
        <v>WOO</v>
      </c>
      <c r="C4642" t="str">
        <f t="shared" si="291"/>
        <v>11347-0000</v>
      </c>
      <c r="D4642" t="s">
        <v>30359</v>
      </c>
      <c r="E4642" t="s">
        <v>14147</v>
      </c>
      <c r="F4642" t="s">
        <v>14039</v>
      </c>
      <c r="G4642" t="s">
        <v>14672</v>
      </c>
      <c r="H4642" t="s">
        <v>13869</v>
      </c>
      <c r="I4642" t="s">
        <v>14690</v>
      </c>
      <c r="J4642" s="62">
        <v>0</v>
      </c>
      <c r="K4642" s="62">
        <v>0</v>
      </c>
      <c r="L4642" t="str">
        <f>VLOOKUP(VALUE(LEFT(C4642,5)),Xref!A:B,2,0)</f>
        <v>ZPI</v>
      </c>
      <c r="M4642" t="str">
        <f t="shared" si="288"/>
        <v>WOO-ZPI</v>
      </c>
    </row>
    <row r="4643" spans="1:13">
      <c r="A4643" t="str">
        <f t="shared" si="289"/>
        <v>WOO - Intercompany</v>
      </c>
      <c r="B4643" t="str">
        <f t="shared" si="290"/>
        <v>WOO</v>
      </c>
      <c r="C4643" t="str">
        <f t="shared" si="291"/>
        <v>11348-0000</v>
      </c>
      <c r="D4643" t="s">
        <v>30360</v>
      </c>
      <c r="E4643" t="s">
        <v>14149</v>
      </c>
      <c r="F4643" t="s">
        <v>14039</v>
      </c>
      <c r="G4643" t="s">
        <v>14672</v>
      </c>
      <c r="H4643" t="s">
        <v>13869</v>
      </c>
      <c r="I4643" t="s">
        <v>14690</v>
      </c>
      <c r="J4643" s="62">
        <v>0</v>
      </c>
      <c r="K4643" s="62">
        <v>0</v>
      </c>
      <c r="L4643" t="str">
        <f>VLOOKUP(VALUE(LEFT(C4643,5)),Xref!A:B,2,0)</f>
        <v>EAM</v>
      </c>
      <c r="M4643" t="str">
        <f t="shared" si="288"/>
        <v>EAM-WOO</v>
      </c>
    </row>
    <row r="4644" spans="1:13">
      <c r="A4644" t="str">
        <f t="shared" si="289"/>
        <v>WOO - Intercompany</v>
      </c>
      <c r="B4644" t="str">
        <f t="shared" si="290"/>
        <v>WOO</v>
      </c>
      <c r="C4644" t="str">
        <f t="shared" si="291"/>
        <v>11349-0000</v>
      </c>
      <c r="D4644" t="s">
        <v>30361</v>
      </c>
      <c r="E4644" t="s">
        <v>14151</v>
      </c>
      <c r="F4644" t="s">
        <v>14039</v>
      </c>
      <c r="G4644" t="s">
        <v>14672</v>
      </c>
      <c r="H4644" t="s">
        <v>13869</v>
      </c>
      <c r="I4644" t="s">
        <v>14690</v>
      </c>
      <c r="J4644" s="62">
        <v>0</v>
      </c>
      <c r="K4644" s="62">
        <v>0</v>
      </c>
      <c r="L4644" t="str">
        <f>VLOOKUP(VALUE(LEFT(C4644,5)),Xref!A:B,2,0)</f>
        <v>SEA</v>
      </c>
      <c r="M4644" t="str">
        <f t="shared" si="288"/>
        <v>SEA-WOO</v>
      </c>
    </row>
    <row r="4645" spans="1:13">
      <c r="A4645" t="str">
        <f t="shared" si="289"/>
        <v>WOO - Intercompany</v>
      </c>
      <c r="B4645" t="str">
        <f t="shared" si="290"/>
        <v>WOO</v>
      </c>
      <c r="C4645" t="str">
        <f t="shared" si="291"/>
        <v>11350-0000</v>
      </c>
      <c r="D4645" t="s">
        <v>30362</v>
      </c>
      <c r="E4645" t="s">
        <v>14153</v>
      </c>
      <c r="F4645" t="s">
        <v>14039</v>
      </c>
      <c r="G4645" t="s">
        <v>14672</v>
      </c>
      <c r="H4645" t="s">
        <v>13869</v>
      </c>
      <c r="I4645" t="s">
        <v>14690</v>
      </c>
      <c r="J4645" s="62">
        <v>0</v>
      </c>
      <c r="K4645" s="62">
        <v>-12.81</v>
      </c>
      <c r="L4645" t="str">
        <f>VLOOKUP(VALUE(LEFT(C4645,5)),Xref!A:B,2,0)</f>
        <v>EAL</v>
      </c>
      <c r="M4645" t="str">
        <f t="shared" si="288"/>
        <v>EAL-WOO</v>
      </c>
    </row>
    <row r="4646" spans="1:13">
      <c r="A4646" t="str">
        <f t="shared" si="289"/>
        <v>WOO - Intercompany</v>
      </c>
      <c r="B4646" t="str">
        <f t="shared" si="290"/>
        <v>WOO</v>
      </c>
      <c r="C4646" t="str">
        <f t="shared" si="291"/>
        <v>11351-0000</v>
      </c>
      <c r="D4646" t="s">
        <v>30363</v>
      </c>
      <c r="E4646" t="s">
        <v>14155</v>
      </c>
      <c r="F4646" t="s">
        <v>14039</v>
      </c>
      <c r="G4646" t="s">
        <v>14672</v>
      </c>
      <c r="H4646" t="s">
        <v>13869</v>
      </c>
      <c r="I4646" t="s">
        <v>14690</v>
      </c>
      <c r="J4646" s="62">
        <v>0</v>
      </c>
      <c r="K4646" s="62">
        <v>0</v>
      </c>
      <c r="L4646" t="str">
        <f>VLOOKUP(VALUE(LEFT(C4646,5)),Xref!A:B,2,0)</f>
        <v>WEP</v>
      </c>
      <c r="M4646" t="str">
        <f t="shared" si="288"/>
        <v>WEP-WOO</v>
      </c>
    </row>
    <row r="4647" spans="1:13">
      <c r="A4647" t="str">
        <f t="shared" si="289"/>
        <v>WOO - Intercompany</v>
      </c>
      <c r="B4647" t="str">
        <f t="shared" si="290"/>
        <v>WOO</v>
      </c>
      <c r="C4647" t="str">
        <f t="shared" si="291"/>
        <v>11352-0000</v>
      </c>
      <c r="D4647" t="s">
        <v>30364</v>
      </c>
      <c r="E4647" t="s">
        <v>13536</v>
      </c>
      <c r="F4647" t="s">
        <v>14039</v>
      </c>
      <c r="G4647" t="s">
        <v>14672</v>
      </c>
      <c r="H4647" t="s">
        <v>13869</v>
      </c>
      <c r="I4647" t="s">
        <v>14690</v>
      </c>
      <c r="J4647" s="62">
        <v>0</v>
      </c>
      <c r="K4647" s="62">
        <v>0</v>
      </c>
      <c r="L4647" t="str">
        <f>VLOOKUP(VALUE(LEFT(C4647,5)),Xref!A:B,2,0)</f>
        <v>KLP</v>
      </c>
      <c r="M4647" t="str">
        <f t="shared" si="288"/>
        <v>KLP-WOO</v>
      </c>
    </row>
    <row r="4648" spans="1:13">
      <c r="A4648" t="str">
        <f t="shared" si="289"/>
        <v>WOO - Intercompany</v>
      </c>
      <c r="B4648" t="str">
        <f t="shared" si="290"/>
        <v>WOO</v>
      </c>
      <c r="C4648" t="str">
        <f t="shared" si="291"/>
        <v>11353-0000</v>
      </c>
      <c r="D4648" t="s">
        <v>30365</v>
      </c>
      <c r="E4648" t="s">
        <v>13537</v>
      </c>
      <c r="F4648" t="s">
        <v>14039</v>
      </c>
      <c r="G4648" t="s">
        <v>14672</v>
      </c>
      <c r="H4648" t="s">
        <v>13869</v>
      </c>
      <c r="I4648" t="s">
        <v>14690</v>
      </c>
      <c r="J4648" s="62">
        <v>0</v>
      </c>
      <c r="K4648" s="62">
        <v>0</v>
      </c>
      <c r="L4648" t="str">
        <f>VLOOKUP(VALUE(LEFT(C4648,5)),Xref!A:B,2,0)</f>
        <v>AKC</v>
      </c>
      <c r="M4648" t="str">
        <f t="shared" si="288"/>
        <v>AKC-WOO</v>
      </c>
    </row>
    <row r="4649" spans="1:13">
      <c r="A4649" t="str">
        <f t="shared" si="289"/>
        <v>WOO - Intercompany</v>
      </c>
      <c r="B4649" t="str">
        <f t="shared" si="290"/>
        <v>WOO</v>
      </c>
      <c r="C4649" t="str">
        <f t="shared" si="291"/>
        <v>11354-0000</v>
      </c>
      <c r="D4649" t="s">
        <v>30366</v>
      </c>
      <c r="E4649" t="s">
        <v>13538</v>
      </c>
      <c r="F4649" t="s">
        <v>14039</v>
      </c>
      <c r="G4649" t="s">
        <v>14672</v>
      </c>
      <c r="H4649" t="s">
        <v>13869</v>
      </c>
      <c r="I4649" t="s">
        <v>14690</v>
      </c>
      <c r="J4649" s="62">
        <v>0</v>
      </c>
      <c r="K4649" s="62">
        <v>0</v>
      </c>
      <c r="L4649" t="str">
        <f>VLOOKUP(VALUE(LEFT(C4649,5)),Xref!A:B,2,0)</f>
        <v>AKA</v>
      </c>
      <c r="M4649" t="str">
        <f t="shared" si="288"/>
        <v>AKA-WOO</v>
      </c>
    </row>
    <row r="4650" spans="1:13">
      <c r="A4650" t="str">
        <f t="shared" si="289"/>
        <v>WOO - Intercompany</v>
      </c>
      <c r="B4650" t="str">
        <f t="shared" si="290"/>
        <v>WOO</v>
      </c>
      <c r="C4650" t="str">
        <f t="shared" si="291"/>
        <v>11355-0000</v>
      </c>
      <c r="D4650" t="s">
        <v>30367</v>
      </c>
      <c r="E4650" t="s">
        <v>13539</v>
      </c>
      <c r="F4650" t="s">
        <v>14039</v>
      </c>
      <c r="G4650" t="s">
        <v>14672</v>
      </c>
      <c r="H4650" t="s">
        <v>13869</v>
      </c>
      <c r="I4650" t="s">
        <v>14690</v>
      </c>
      <c r="J4650" s="62">
        <v>0</v>
      </c>
      <c r="K4650" s="62">
        <v>0</v>
      </c>
      <c r="L4650" t="str">
        <f>VLOOKUP(VALUE(LEFT(C4650,5)),Xref!A:B,2,0)</f>
        <v>SPA</v>
      </c>
      <c r="M4650" t="str">
        <f t="shared" si="288"/>
        <v>SPA-WOO</v>
      </c>
    </row>
    <row r="4651" spans="1:13">
      <c r="A4651" t="str">
        <f t="shared" si="289"/>
        <v>WOO - Intercompany</v>
      </c>
      <c r="B4651" t="str">
        <f t="shared" si="290"/>
        <v>WOO</v>
      </c>
      <c r="C4651" t="str">
        <f t="shared" si="291"/>
        <v>11356-0000</v>
      </c>
      <c r="D4651" t="s">
        <v>30368</v>
      </c>
      <c r="E4651" t="s">
        <v>13540</v>
      </c>
      <c r="F4651" t="s">
        <v>14039</v>
      </c>
      <c r="G4651" t="s">
        <v>14672</v>
      </c>
      <c r="H4651" t="s">
        <v>13869</v>
      </c>
      <c r="I4651" t="s">
        <v>14690</v>
      </c>
      <c r="J4651" s="62">
        <v>0</v>
      </c>
      <c r="K4651" s="62">
        <v>0</v>
      </c>
      <c r="L4651" t="str">
        <f>VLOOKUP(VALUE(LEFT(C4651,5)),Xref!A:B,2,0)</f>
        <v>DPM</v>
      </c>
      <c r="M4651" t="str">
        <f t="shared" ref="M4651:M4714" si="292">IF(B4651&lt;L4651,B4651&amp;"-"&amp;L4651,L4651&amp;"-"&amp;B4651)</f>
        <v>DPM-WOO</v>
      </c>
    </row>
    <row r="4652" spans="1:13">
      <c r="A4652" t="str">
        <f t="shared" si="289"/>
        <v>WOO - Intercompany</v>
      </c>
      <c r="B4652" t="str">
        <f t="shared" si="290"/>
        <v>WOO</v>
      </c>
      <c r="C4652" t="str">
        <f t="shared" si="291"/>
        <v>11357-0000</v>
      </c>
      <c r="D4652" t="s">
        <v>30369</v>
      </c>
      <c r="E4652" t="s">
        <v>13541</v>
      </c>
      <c r="F4652" t="s">
        <v>14039</v>
      </c>
      <c r="G4652" t="s">
        <v>14672</v>
      </c>
      <c r="H4652" t="s">
        <v>13869</v>
      </c>
      <c r="I4652" t="s">
        <v>14690</v>
      </c>
      <c r="J4652" s="62">
        <v>0</v>
      </c>
      <c r="K4652" s="62">
        <v>0</v>
      </c>
      <c r="L4652" t="str">
        <f>VLOOKUP(VALUE(LEFT(C4652,5)),Xref!A:B,2,0)</f>
        <v>HDM</v>
      </c>
      <c r="M4652" t="str">
        <f t="shared" si="292"/>
        <v>HDM-WOO</v>
      </c>
    </row>
    <row r="4653" spans="1:13">
      <c r="A4653" t="str">
        <f t="shared" si="289"/>
        <v>WOO - Intercompany</v>
      </c>
      <c r="B4653" t="str">
        <f t="shared" si="290"/>
        <v>WOO</v>
      </c>
      <c r="C4653" t="str">
        <f t="shared" si="291"/>
        <v>11358-0000</v>
      </c>
      <c r="D4653" t="s">
        <v>30370</v>
      </c>
      <c r="E4653" t="s">
        <v>13542</v>
      </c>
      <c r="F4653" t="s">
        <v>14039</v>
      </c>
      <c r="G4653" t="s">
        <v>14672</v>
      </c>
      <c r="H4653" t="s">
        <v>13869</v>
      </c>
      <c r="I4653" t="s">
        <v>14690</v>
      </c>
      <c r="J4653" s="62">
        <v>0</v>
      </c>
      <c r="K4653" s="62">
        <v>0</v>
      </c>
      <c r="L4653" t="str">
        <f>VLOOKUP(VALUE(LEFT(C4653,5)),Xref!A:B,2,0)</f>
        <v>GRA</v>
      </c>
      <c r="M4653" t="str">
        <f t="shared" si="292"/>
        <v>GRA-WOO</v>
      </c>
    </row>
    <row r="4654" spans="1:13">
      <c r="A4654" t="str">
        <f t="shared" si="289"/>
        <v>WOO - Intercompany</v>
      </c>
      <c r="B4654" t="str">
        <f t="shared" si="290"/>
        <v>WOO</v>
      </c>
      <c r="C4654" t="str">
        <f t="shared" si="291"/>
        <v>11359-0000</v>
      </c>
      <c r="D4654" t="s">
        <v>30371</v>
      </c>
      <c r="E4654" t="s">
        <v>13543</v>
      </c>
      <c r="F4654" t="s">
        <v>14039</v>
      </c>
      <c r="G4654" t="s">
        <v>14672</v>
      </c>
      <c r="H4654" t="s">
        <v>13869</v>
      </c>
      <c r="I4654" t="s">
        <v>14690</v>
      </c>
      <c r="J4654" s="62">
        <v>0</v>
      </c>
      <c r="K4654" s="62">
        <v>0</v>
      </c>
      <c r="L4654" t="str">
        <f>VLOOKUP(VALUE(LEFT(C4654,5)),Xref!A:B,2,0)</f>
        <v>TPI</v>
      </c>
      <c r="M4654" t="str">
        <f t="shared" si="292"/>
        <v>TPI-WOO</v>
      </c>
    </row>
    <row r="4655" spans="1:13">
      <c r="A4655" t="str">
        <f t="shared" si="289"/>
        <v>WOO - Intercompany</v>
      </c>
      <c r="B4655" t="str">
        <f t="shared" si="290"/>
        <v>WOO</v>
      </c>
      <c r="C4655" t="str">
        <f t="shared" si="291"/>
        <v>11361-0000</v>
      </c>
      <c r="D4655" t="s">
        <v>30372</v>
      </c>
      <c r="E4655" t="s">
        <v>14165</v>
      </c>
      <c r="F4655" t="s">
        <v>14039</v>
      </c>
      <c r="G4655" t="s">
        <v>14672</v>
      </c>
      <c r="H4655" t="s">
        <v>13869</v>
      </c>
      <c r="I4655" t="s">
        <v>14690</v>
      </c>
      <c r="J4655" s="62">
        <v>0</v>
      </c>
      <c r="K4655" s="62">
        <v>0</v>
      </c>
      <c r="L4655" t="str">
        <f>VLOOKUP(VALUE(LEFT(C4655,5)),Xref!A:B,2,0)</f>
        <v>GSM</v>
      </c>
      <c r="M4655" t="str">
        <f t="shared" si="292"/>
        <v>GSM-WOO</v>
      </c>
    </row>
    <row r="4656" spans="1:13">
      <c r="A4656" t="str">
        <f t="shared" si="289"/>
        <v>WOO - Intercompany</v>
      </c>
      <c r="B4656" t="str">
        <f t="shared" si="290"/>
        <v>WOO</v>
      </c>
      <c r="C4656" t="str">
        <f t="shared" si="291"/>
        <v>11363-0000</v>
      </c>
      <c r="D4656" t="s">
        <v>30373</v>
      </c>
      <c r="E4656" t="s">
        <v>13544</v>
      </c>
      <c r="F4656" t="s">
        <v>14039</v>
      </c>
      <c r="G4656" t="s">
        <v>14672</v>
      </c>
      <c r="H4656" t="s">
        <v>13869</v>
      </c>
      <c r="I4656" t="s">
        <v>14690</v>
      </c>
      <c r="J4656" s="62">
        <v>0</v>
      </c>
      <c r="K4656" s="62">
        <v>0</v>
      </c>
      <c r="L4656" t="str">
        <f>VLOOKUP(VALUE(LEFT(C4656,5)),Xref!A:B,2,0)</f>
        <v>SOF</v>
      </c>
      <c r="M4656" t="str">
        <f t="shared" si="292"/>
        <v>SOF-WOO</v>
      </c>
    </row>
    <row r="4657" spans="1:13">
      <c r="A4657" t="str">
        <f t="shared" si="289"/>
        <v>WOO - Intercompany</v>
      </c>
      <c r="B4657" t="str">
        <f t="shared" si="290"/>
        <v>WOO</v>
      </c>
      <c r="C4657" t="str">
        <f t="shared" si="291"/>
        <v>11364-0000</v>
      </c>
      <c r="D4657" t="s">
        <v>30374</v>
      </c>
      <c r="E4657" t="s">
        <v>14168</v>
      </c>
      <c r="F4657" t="s">
        <v>14039</v>
      </c>
      <c r="G4657" t="s">
        <v>14672</v>
      </c>
      <c r="H4657" t="s">
        <v>13869</v>
      </c>
      <c r="I4657" t="s">
        <v>14690</v>
      </c>
      <c r="J4657" s="62">
        <v>0</v>
      </c>
      <c r="K4657" s="62">
        <v>0</v>
      </c>
      <c r="L4657" t="e">
        <f>VLOOKUP(VALUE(LEFT(C4657,5)),Xref!A:B,2,0)</f>
        <v>#N/A</v>
      </c>
      <c r="M4657" t="e">
        <f t="shared" si="292"/>
        <v>#N/A</v>
      </c>
    </row>
    <row r="4658" spans="1:13">
      <c r="A4658" t="str">
        <f t="shared" si="289"/>
        <v>WOO - Intercompany</v>
      </c>
      <c r="B4658" t="str">
        <f t="shared" si="290"/>
        <v>WOO</v>
      </c>
      <c r="C4658" t="str">
        <f t="shared" si="291"/>
        <v>11365-0000</v>
      </c>
      <c r="D4658" t="s">
        <v>30375</v>
      </c>
      <c r="E4658" t="s">
        <v>14170</v>
      </c>
      <c r="F4658" t="s">
        <v>14039</v>
      </c>
      <c r="G4658" t="s">
        <v>14672</v>
      </c>
      <c r="H4658" t="s">
        <v>13869</v>
      </c>
      <c r="I4658" t="s">
        <v>14690</v>
      </c>
      <c r="J4658" s="62">
        <v>0</v>
      </c>
      <c r="K4658" s="62">
        <v>0</v>
      </c>
      <c r="L4658" t="e">
        <f>VLOOKUP(VALUE(LEFT(C4658,5)),Xref!A:B,2,0)</f>
        <v>#N/A</v>
      </c>
      <c r="M4658" t="e">
        <f t="shared" si="292"/>
        <v>#N/A</v>
      </c>
    </row>
    <row r="4659" spans="1:13">
      <c r="A4659" t="str">
        <f t="shared" si="289"/>
        <v>WOO - Intercompany</v>
      </c>
      <c r="B4659" t="str">
        <f t="shared" si="290"/>
        <v>WOO</v>
      </c>
      <c r="C4659" t="str">
        <f t="shared" si="291"/>
        <v>11366-0000</v>
      </c>
      <c r="D4659" t="s">
        <v>30376</v>
      </c>
      <c r="E4659" t="s">
        <v>14172</v>
      </c>
      <c r="G4659" t="s">
        <v>14672</v>
      </c>
      <c r="H4659" t="s">
        <v>13869</v>
      </c>
      <c r="I4659" t="s">
        <v>14690</v>
      </c>
      <c r="J4659" s="62">
        <v>0</v>
      </c>
      <c r="K4659" s="62">
        <v>0</v>
      </c>
      <c r="L4659" t="e">
        <f>VLOOKUP(VALUE(LEFT(C4659,5)),Xref!A:B,2,0)</f>
        <v>#N/A</v>
      </c>
      <c r="M4659" t="e">
        <f t="shared" si="292"/>
        <v>#N/A</v>
      </c>
    </row>
    <row r="4660" spans="1:13">
      <c r="A4660" t="str">
        <f t="shared" si="289"/>
        <v>WOO - Intercompany</v>
      </c>
      <c r="B4660" t="str">
        <f t="shared" si="290"/>
        <v>WOO</v>
      </c>
      <c r="C4660" t="str">
        <f t="shared" si="291"/>
        <v>11402-0000</v>
      </c>
      <c r="D4660" t="s">
        <v>30377</v>
      </c>
      <c r="E4660" t="s">
        <v>14174</v>
      </c>
      <c r="G4660" t="s">
        <v>14672</v>
      </c>
      <c r="H4660" t="s">
        <v>13869</v>
      </c>
      <c r="I4660" t="s">
        <v>14690</v>
      </c>
      <c r="J4660" s="62">
        <v>0</v>
      </c>
      <c r="K4660" s="62">
        <v>0</v>
      </c>
      <c r="L4660" t="str">
        <f>VLOOKUP(VALUE(LEFT(C4660,5)),Xref!A:B,2,0)</f>
        <v>DPI</v>
      </c>
      <c r="M4660" t="str">
        <f t="shared" si="292"/>
        <v>DPI-WOO</v>
      </c>
    </row>
    <row r="4661" spans="1:13">
      <c r="A4661" t="str">
        <f t="shared" si="289"/>
        <v>WOO - Intercompany</v>
      </c>
      <c r="B4661" t="str">
        <f t="shared" si="290"/>
        <v>WOO</v>
      </c>
      <c r="C4661" t="str">
        <f t="shared" si="291"/>
        <v>11403-0000</v>
      </c>
      <c r="D4661" t="s">
        <v>30378</v>
      </c>
      <c r="E4661" t="s">
        <v>14176</v>
      </c>
      <c r="G4661" t="s">
        <v>14672</v>
      </c>
      <c r="H4661" t="s">
        <v>13869</v>
      </c>
      <c r="I4661" t="s">
        <v>14690</v>
      </c>
      <c r="J4661" s="62">
        <v>0</v>
      </c>
      <c r="K4661" s="62">
        <v>0</v>
      </c>
      <c r="L4661" t="str">
        <f>VLOOKUP(VALUE(LEFT(C4661,5)),Xref!A:B,2,0)</f>
        <v>SEA</v>
      </c>
      <c r="M4661" t="str">
        <f t="shared" si="292"/>
        <v>SEA-WOO</v>
      </c>
    </row>
    <row r="4662" spans="1:13">
      <c r="A4662" t="str">
        <f t="shared" si="289"/>
        <v>WOO - Intercompany</v>
      </c>
      <c r="B4662" t="str">
        <f t="shared" si="290"/>
        <v>WOO</v>
      </c>
      <c r="C4662" t="str">
        <f t="shared" si="291"/>
        <v>12400-0000</v>
      </c>
      <c r="D4662" t="s">
        <v>30381</v>
      </c>
      <c r="E4662" t="s">
        <v>14185</v>
      </c>
      <c r="F4662" t="s">
        <v>14039</v>
      </c>
      <c r="G4662" t="s">
        <v>14672</v>
      </c>
      <c r="H4662" t="s">
        <v>13869</v>
      </c>
      <c r="I4662" t="s">
        <v>14690</v>
      </c>
      <c r="J4662" s="62">
        <v>0</v>
      </c>
      <c r="K4662" s="62">
        <v>0</v>
      </c>
      <c r="L4662" t="str">
        <f>VLOOKUP(VALUE(LEFT(C4662,5)),Xref!A:B,2,0)</f>
        <v>aka</v>
      </c>
      <c r="M4662" t="str">
        <f t="shared" si="292"/>
        <v>aka-WOO</v>
      </c>
    </row>
    <row r="4663" spans="1:13">
      <c r="A4663" t="str">
        <f t="shared" si="289"/>
        <v>WOO - Intercompany</v>
      </c>
      <c r="B4663" t="str">
        <f t="shared" si="290"/>
        <v>WOO</v>
      </c>
      <c r="C4663" t="str">
        <f t="shared" si="291"/>
        <v>12401-0000</v>
      </c>
      <c r="D4663" t="s">
        <v>30382</v>
      </c>
      <c r="E4663" t="s">
        <v>14187</v>
      </c>
      <c r="F4663" t="s">
        <v>14039</v>
      </c>
      <c r="G4663" t="s">
        <v>14672</v>
      </c>
      <c r="H4663" t="s">
        <v>13869</v>
      </c>
      <c r="I4663" t="s">
        <v>14690</v>
      </c>
      <c r="J4663" s="62">
        <v>0</v>
      </c>
      <c r="K4663" s="62">
        <v>0</v>
      </c>
      <c r="L4663" t="str">
        <f>VLOOKUP(VALUE(LEFT(C4663,5)),Xref!A:B,2,0)</f>
        <v>aka</v>
      </c>
      <c r="M4663" t="str">
        <f t="shared" si="292"/>
        <v>aka-WOO</v>
      </c>
    </row>
    <row r="4664" spans="1:13">
      <c r="A4664" t="str">
        <f t="shared" si="289"/>
        <v>WOO - Intercompany</v>
      </c>
      <c r="B4664" t="str">
        <f t="shared" si="290"/>
        <v>WOO</v>
      </c>
      <c r="C4664" t="str">
        <f t="shared" si="291"/>
        <v>12402-0000</v>
      </c>
      <c r="D4664" t="s">
        <v>30383</v>
      </c>
      <c r="E4664" t="s">
        <v>14189</v>
      </c>
      <c r="F4664" t="s">
        <v>14039</v>
      </c>
      <c r="G4664" t="s">
        <v>14672</v>
      </c>
      <c r="H4664" t="s">
        <v>13869</v>
      </c>
      <c r="I4664" t="s">
        <v>14690</v>
      </c>
      <c r="J4664" s="62">
        <v>0</v>
      </c>
      <c r="K4664" s="62">
        <v>0</v>
      </c>
      <c r="L4664" t="str">
        <f>VLOOKUP(VALUE(LEFT(C4664,5)),Xref!A:B,2,0)</f>
        <v>aka</v>
      </c>
      <c r="M4664" t="str">
        <f t="shared" si="292"/>
        <v>aka-WOO</v>
      </c>
    </row>
    <row r="4665" spans="1:13">
      <c r="A4665" t="str">
        <f t="shared" si="289"/>
        <v>WOO - Intercompany</v>
      </c>
      <c r="B4665" t="str">
        <f t="shared" si="290"/>
        <v>WOO</v>
      </c>
      <c r="C4665" t="str">
        <f t="shared" si="291"/>
        <v>12403-0000</v>
      </c>
      <c r="D4665" t="s">
        <v>30384</v>
      </c>
      <c r="E4665" t="s">
        <v>5226</v>
      </c>
      <c r="F4665" t="s">
        <v>14039</v>
      </c>
      <c r="G4665" t="s">
        <v>14672</v>
      </c>
      <c r="H4665" t="s">
        <v>13869</v>
      </c>
      <c r="I4665" t="s">
        <v>14690</v>
      </c>
      <c r="J4665" s="62">
        <v>0</v>
      </c>
      <c r="K4665" s="62">
        <v>0</v>
      </c>
      <c r="L4665" t="str">
        <f>VLOOKUP(VALUE(LEFT(C4665,5)),Xref!A:B,2,0)</f>
        <v>aka</v>
      </c>
      <c r="M4665" t="str">
        <f t="shared" si="292"/>
        <v>aka-WOO</v>
      </c>
    </row>
    <row r="4666" spans="1:13">
      <c r="A4666" t="str">
        <f t="shared" si="289"/>
        <v>WOO - Intercompany</v>
      </c>
      <c r="B4666" t="str">
        <f t="shared" si="290"/>
        <v>WOO</v>
      </c>
      <c r="C4666" t="str">
        <f t="shared" si="291"/>
        <v>12501-0000</v>
      </c>
      <c r="D4666" t="s">
        <v>30385</v>
      </c>
      <c r="E4666" t="s">
        <v>14192</v>
      </c>
      <c r="F4666" t="s">
        <v>14039</v>
      </c>
      <c r="G4666" t="s">
        <v>14672</v>
      </c>
      <c r="H4666" t="s">
        <v>13869</v>
      </c>
      <c r="I4666" t="s">
        <v>14690</v>
      </c>
      <c r="J4666" s="62">
        <v>0</v>
      </c>
      <c r="K4666" s="62">
        <v>0</v>
      </c>
      <c r="L4666" t="str">
        <f>VLOOKUP(VALUE(LEFT(C4666,5)),Xref!A:B,2,0)</f>
        <v>aka</v>
      </c>
      <c r="M4666" t="str">
        <f t="shared" si="292"/>
        <v>aka-WOO</v>
      </c>
    </row>
    <row r="4667" spans="1:13">
      <c r="A4667" t="str">
        <f t="shared" si="289"/>
        <v>WOO - InterCo Notes</v>
      </c>
      <c r="B4667" t="str">
        <f t="shared" si="290"/>
        <v>WOO</v>
      </c>
      <c r="C4667" t="str">
        <f t="shared" si="291"/>
        <v>25600-0000</v>
      </c>
      <c r="D4667" t="s">
        <v>30431</v>
      </c>
      <c r="E4667" t="s">
        <v>314</v>
      </c>
      <c r="F4667" t="s">
        <v>14039</v>
      </c>
      <c r="G4667" t="s">
        <v>14672</v>
      </c>
      <c r="H4667" t="s">
        <v>13889</v>
      </c>
      <c r="I4667" t="s">
        <v>14690</v>
      </c>
      <c r="J4667" s="62">
        <v>0</v>
      </c>
      <c r="K4667" s="62">
        <v>-1876000</v>
      </c>
      <c r="L4667" t="str">
        <f>VLOOKUP(VALUE(LEFT(C4667,5)),Xref!A:B,2,0)</f>
        <v>D7</v>
      </c>
      <c r="M4667" t="str">
        <f t="shared" si="292"/>
        <v>D7-WOO</v>
      </c>
    </row>
    <row r="4668" spans="1:13">
      <c r="A4668" t="str">
        <f t="shared" si="289"/>
        <v>WOO - InterCo Notes</v>
      </c>
      <c r="B4668" t="str">
        <f t="shared" si="290"/>
        <v>WOO</v>
      </c>
      <c r="C4668" t="str">
        <f t="shared" si="291"/>
        <v>25602-0000</v>
      </c>
      <c r="D4668" t="s">
        <v>30433</v>
      </c>
      <c r="E4668" t="s">
        <v>13426</v>
      </c>
      <c r="F4668" t="s">
        <v>14039</v>
      </c>
      <c r="G4668" t="s">
        <v>14672</v>
      </c>
      <c r="H4668" t="s">
        <v>13889</v>
      </c>
      <c r="I4668" t="s">
        <v>14690</v>
      </c>
      <c r="J4668" s="62">
        <v>0</v>
      </c>
      <c r="K4668" s="62">
        <v>0</v>
      </c>
      <c r="L4668" t="str">
        <f>VLOOKUP(VALUE(LEFT(C4668,5)),Xref!A:B,2,0)</f>
        <v>DFLP</v>
      </c>
      <c r="M4668" t="str">
        <f t="shared" si="292"/>
        <v>DFLP-WOO</v>
      </c>
    </row>
    <row r="4669" spans="1:13">
      <c r="A4669" t="str">
        <f t="shared" si="289"/>
        <v>WOO - InterCo Notes</v>
      </c>
      <c r="B4669" t="str">
        <f t="shared" si="290"/>
        <v>WOO</v>
      </c>
      <c r="C4669" t="str">
        <f t="shared" si="291"/>
        <v>25603-0000</v>
      </c>
      <c r="D4669" t="s">
        <v>30434</v>
      </c>
      <c r="E4669" t="s">
        <v>14311</v>
      </c>
      <c r="F4669" t="s">
        <v>14039</v>
      </c>
      <c r="G4669" t="s">
        <v>14832</v>
      </c>
      <c r="H4669" t="s">
        <v>13889</v>
      </c>
      <c r="I4669" t="s">
        <v>14690</v>
      </c>
      <c r="J4669" s="62">
        <v>0</v>
      </c>
      <c r="K4669" s="62">
        <v>0</v>
      </c>
      <c r="L4669" t="str">
        <f>VLOOKUP(VALUE(LEFT(C4669,5)),Xref!A:B,2,0)</f>
        <v>aka</v>
      </c>
      <c r="M4669" t="str">
        <f t="shared" si="292"/>
        <v>aka-WOO</v>
      </c>
    </row>
    <row r="4670" spans="1:13">
      <c r="A4670" t="str">
        <f t="shared" si="289"/>
        <v>WOO - Intercompany</v>
      </c>
      <c r="B4670" t="str">
        <f t="shared" si="290"/>
        <v>WOO</v>
      </c>
      <c r="C4670" t="str">
        <f t="shared" si="291"/>
        <v>25604-0000</v>
      </c>
      <c r="D4670" t="s">
        <v>30435</v>
      </c>
      <c r="E4670" t="s">
        <v>13490</v>
      </c>
      <c r="F4670" t="s">
        <v>14039</v>
      </c>
      <c r="G4670" t="s">
        <v>14672</v>
      </c>
      <c r="H4670" t="s">
        <v>13869</v>
      </c>
      <c r="I4670" t="s">
        <v>14690</v>
      </c>
      <c r="J4670" s="62">
        <v>0</v>
      </c>
      <c r="K4670" s="62">
        <v>0</v>
      </c>
      <c r="L4670">
        <f>VLOOKUP(VALUE(LEFT(C4670,5)),Xref!A:B,2,0)</f>
        <v>0</v>
      </c>
      <c r="M4670" t="str">
        <f t="shared" si="292"/>
        <v>0-WOO</v>
      </c>
    </row>
    <row r="4671" spans="1:13">
      <c r="A4671" t="str">
        <f t="shared" si="289"/>
        <v>ZPI - Intercompany</v>
      </c>
      <c r="B4671" t="str">
        <f t="shared" si="290"/>
        <v>ZPI</v>
      </c>
      <c r="C4671" t="str">
        <f t="shared" si="291"/>
        <v>11200-0000</v>
      </c>
      <c r="D4671" t="s">
        <v>30608</v>
      </c>
      <c r="E4671" t="s">
        <v>14069</v>
      </c>
      <c r="F4671" t="s">
        <v>14039</v>
      </c>
      <c r="G4671" t="s">
        <v>14672</v>
      </c>
      <c r="H4671" t="s">
        <v>13869</v>
      </c>
      <c r="I4671" t="s">
        <v>14690</v>
      </c>
      <c r="J4671" s="62">
        <v>0</v>
      </c>
      <c r="K4671" s="62">
        <v>0</v>
      </c>
      <c r="L4671" t="str">
        <f>VLOOKUP(VALUE(LEFT(C4671,5)),Xref!A:B,2,0)</f>
        <v>SCL</v>
      </c>
      <c r="M4671" t="str">
        <f t="shared" si="292"/>
        <v>SCL-ZPI</v>
      </c>
    </row>
    <row r="4672" spans="1:13">
      <c r="A4672" t="str">
        <f t="shared" si="289"/>
        <v>ZPI - Intercompany</v>
      </c>
      <c r="B4672" t="str">
        <f t="shared" si="290"/>
        <v>ZPI</v>
      </c>
      <c r="C4672" t="str">
        <f t="shared" si="291"/>
        <v>11201-0000</v>
      </c>
      <c r="D4672" t="s">
        <v>30609</v>
      </c>
      <c r="E4672" t="s">
        <v>14071</v>
      </c>
      <c r="F4672" t="s">
        <v>14039</v>
      </c>
      <c r="G4672" t="s">
        <v>14672</v>
      </c>
      <c r="H4672" t="s">
        <v>13869</v>
      </c>
      <c r="I4672" t="s">
        <v>14690</v>
      </c>
      <c r="J4672" s="62">
        <v>0</v>
      </c>
      <c r="K4672" s="62">
        <v>0</v>
      </c>
      <c r="L4672" t="str">
        <f>VLOOKUP(VALUE(LEFT(C4672,5)),Xref!A:B,2,0)</f>
        <v>SG2</v>
      </c>
      <c r="M4672" t="str">
        <f t="shared" si="292"/>
        <v>SG2-ZPI</v>
      </c>
    </row>
    <row r="4673" spans="1:13">
      <c r="A4673" t="str">
        <f t="shared" si="289"/>
        <v>ZPI - Intercompany</v>
      </c>
      <c r="B4673" t="str">
        <f t="shared" si="290"/>
        <v>ZPI</v>
      </c>
      <c r="C4673" t="str">
        <f t="shared" si="291"/>
        <v>11202-0000</v>
      </c>
      <c r="D4673" t="s">
        <v>30610</v>
      </c>
      <c r="E4673" t="s">
        <v>14073</v>
      </c>
      <c r="F4673" t="s">
        <v>14039</v>
      </c>
      <c r="G4673" t="s">
        <v>14672</v>
      </c>
      <c r="H4673" t="s">
        <v>13869</v>
      </c>
      <c r="I4673" t="s">
        <v>14690</v>
      </c>
      <c r="J4673" s="62">
        <v>0</v>
      </c>
      <c r="K4673" s="62">
        <v>0</v>
      </c>
      <c r="L4673" t="str">
        <f>VLOOKUP(VALUE(LEFT(C4673,5)),Xref!A:B,2,0)</f>
        <v>FFC</v>
      </c>
      <c r="M4673" t="str">
        <f t="shared" si="292"/>
        <v>FFC-ZPI</v>
      </c>
    </row>
    <row r="4674" spans="1:13">
      <c r="A4674" t="str">
        <f t="shared" ref="A4674:A4737" si="293">B4674&amp;" - "&amp;TRIM(H4674)</f>
        <v>ZPI - Intercompany</v>
      </c>
      <c r="B4674" t="str">
        <f t="shared" ref="B4674:B4737" si="294">LEFT(D4674,3)</f>
        <v>ZPI</v>
      </c>
      <c r="C4674" t="str">
        <f t="shared" ref="C4674:C4737" si="295">RIGHT(D4674,10)</f>
        <v>11203-0000</v>
      </c>
      <c r="D4674" t="s">
        <v>30611</v>
      </c>
      <c r="E4674" t="s">
        <v>14075</v>
      </c>
      <c r="F4674" t="s">
        <v>14039</v>
      </c>
      <c r="G4674" t="s">
        <v>14672</v>
      </c>
      <c r="H4674" t="s">
        <v>13869</v>
      </c>
      <c r="I4674" t="s">
        <v>14690</v>
      </c>
      <c r="J4674" s="62">
        <v>0</v>
      </c>
      <c r="K4674" s="62">
        <v>0</v>
      </c>
      <c r="L4674" t="str">
        <f>VLOOKUP(VALUE(LEFT(C4674,5)),Xref!A:B,2,0)</f>
        <v>HN2</v>
      </c>
      <c r="M4674" t="str">
        <f t="shared" si="292"/>
        <v>HN2-ZPI</v>
      </c>
    </row>
    <row r="4675" spans="1:13">
      <c r="A4675" t="str">
        <f t="shared" si="293"/>
        <v>ZPI - Intercompany</v>
      </c>
      <c r="B4675" t="str">
        <f t="shared" si="294"/>
        <v>ZPI</v>
      </c>
      <c r="C4675" t="str">
        <f t="shared" si="295"/>
        <v>11204-0000</v>
      </c>
      <c r="D4675" t="s">
        <v>30612</v>
      </c>
      <c r="E4675" t="s">
        <v>14077</v>
      </c>
      <c r="F4675" t="s">
        <v>14039</v>
      </c>
      <c r="G4675" t="s">
        <v>14672</v>
      </c>
      <c r="H4675" t="s">
        <v>13869</v>
      </c>
      <c r="I4675" t="s">
        <v>14690</v>
      </c>
      <c r="J4675" s="62">
        <v>0</v>
      </c>
      <c r="K4675" s="62">
        <v>0</v>
      </c>
      <c r="L4675" t="str">
        <f>VLOOKUP(VALUE(LEFT(C4675,5)),Xref!A:B,2,0)</f>
        <v>DF2</v>
      </c>
      <c r="M4675" t="str">
        <f t="shared" si="292"/>
        <v>DF2-ZPI</v>
      </c>
    </row>
    <row r="4676" spans="1:13">
      <c r="A4676" t="str">
        <f t="shared" si="293"/>
        <v>ZPI - Intercompany</v>
      </c>
      <c r="B4676" t="str">
        <f t="shared" si="294"/>
        <v>ZPI</v>
      </c>
      <c r="C4676" t="str">
        <f t="shared" si="295"/>
        <v>11208-0000</v>
      </c>
      <c r="D4676" t="s">
        <v>30613</v>
      </c>
      <c r="E4676" t="s">
        <v>14079</v>
      </c>
      <c r="F4676" t="s">
        <v>14039</v>
      </c>
      <c r="G4676" t="s">
        <v>14672</v>
      </c>
      <c r="H4676" t="s">
        <v>13869</v>
      </c>
      <c r="I4676" t="s">
        <v>14690</v>
      </c>
      <c r="J4676" s="62">
        <v>0</v>
      </c>
      <c r="K4676" s="62">
        <v>0</v>
      </c>
      <c r="L4676" t="str">
        <f>VLOOKUP(VALUE(LEFT(C4676,5)),Xref!A:B,2,0)</f>
        <v>SRE</v>
      </c>
      <c r="M4676" t="str">
        <f t="shared" si="292"/>
        <v>SRE-ZPI</v>
      </c>
    </row>
    <row r="4677" spans="1:13">
      <c r="A4677" t="str">
        <f t="shared" si="293"/>
        <v>ZPI - Intercompany</v>
      </c>
      <c r="B4677" t="str">
        <f t="shared" si="294"/>
        <v>ZPI</v>
      </c>
      <c r="C4677" t="str">
        <f t="shared" si="295"/>
        <v>11210-0000</v>
      </c>
      <c r="D4677" t="s">
        <v>30614</v>
      </c>
      <c r="E4677" t="s">
        <v>14081</v>
      </c>
      <c r="F4677" t="s">
        <v>14039</v>
      </c>
      <c r="G4677" t="s">
        <v>14672</v>
      </c>
      <c r="H4677" t="s">
        <v>13869</v>
      </c>
      <c r="I4677" t="s">
        <v>14690</v>
      </c>
      <c r="J4677" s="62">
        <v>0</v>
      </c>
      <c r="K4677" s="62">
        <v>0</v>
      </c>
      <c r="L4677" t="str">
        <f>VLOOKUP(VALUE(LEFT(C4677,5)),Xref!A:B,2,0)</f>
        <v>REM</v>
      </c>
      <c r="M4677" t="str">
        <f t="shared" si="292"/>
        <v>REM-ZPI</v>
      </c>
    </row>
    <row r="4678" spans="1:13">
      <c r="A4678" t="str">
        <f t="shared" si="293"/>
        <v>ZPI - Intercompany</v>
      </c>
      <c r="B4678" t="str">
        <f t="shared" si="294"/>
        <v>ZPI</v>
      </c>
      <c r="C4678" t="str">
        <f t="shared" si="295"/>
        <v>11212-0000</v>
      </c>
      <c r="D4678" t="s">
        <v>30615</v>
      </c>
      <c r="E4678" t="s">
        <v>14083</v>
      </c>
      <c r="F4678" t="s">
        <v>14039</v>
      </c>
      <c r="G4678" t="s">
        <v>14672</v>
      </c>
      <c r="H4678" t="s">
        <v>13869</v>
      </c>
      <c r="I4678" t="s">
        <v>14690</v>
      </c>
      <c r="J4678" s="62">
        <v>0</v>
      </c>
      <c r="K4678" s="62">
        <v>0</v>
      </c>
      <c r="L4678" t="str">
        <f>VLOOKUP(VALUE(LEFT(C4678,5)),Xref!A:B,2,0)</f>
        <v>FRM</v>
      </c>
      <c r="M4678" t="str">
        <f t="shared" si="292"/>
        <v>FRM-ZPI</v>
      </c>
    </row>
    <row r="4679" spans="1:13">
      <c r="A4679" t="str">
        <f t="shared" si="293"/>
        <v>ZPI - Intercompany</v>
      </c>
      <c r="B4679" t="str">
        <f t="shared" si="294"/>
        <v>ZPI</v>
      </c>
      <c r="C4679" t="str">
        <f t="shared" si="295"/>
        <v>11214-0000</v>
      </c>
      <c r="D4679" t="s">
        <v>30616</v>
      </c>
      <c r="E4679" t="s">
        <v>14085</v>
      </c>
      <c r="F4679" t="s">
        <v>14039</v>
      </c>
      <c r="G4679" t="s">
        <v>14672</v>
      </c>
      <c r="H4679" t="s">
        <v>13869</v>
      </c>
      <c r="I4679" t="s">
        <v>14690</v>
      </c>
      <c r="J4679" s="62">
        <v>0</v>
      </c>
      <c r="K4679" s="62">
        <v>0</v>
      </c>
      <c r="L4679" t="str">
        <f>VLOOKUP(VALUE(LEFT(C4679,5)),Xref!A:B,2,0)</f>
        <v>D7R</v>
      </c>
      <c r="M4679" t="str">
        <f t="shared" si="292"/>
        <v>D7R-ZPI</v>
      </c>
    </row>
    <row r="4680" spans="1:13">
      <c r="A4680" t="str">
        <f t="shared" si="293"/>
        <v>ZPI - Intercompany</v>
      </c>
      <c r="B4680" t="str">
        <f t="shared" si="294"/>
        <v>ZPI</v>
      </c>
      <c r="C4680" t="str">
        <f t="shared" si="295"/>
        <v>11215-0000</v>
      </c>
      <c r="D4680" t="s">
        <v>30617</v>
      </c>
      <c r="E4680" t="s">
        <v>14087</v>
      </c>
      <c r="F4680" t="s">
        <v>14039</v>
      </c>
      <c r="G4680" t="s">
        <v>14672</v>
      </c>
      <c r="H4680" t="s">
        <v>13869</v>
      </c>
      <c r="I4680" t="s">
        <v>14690</v>
      </c>
      <c r="J4680" s="62">
        <v>0</v>
      </c>
      <c r="K4680" s="62">
        <v>0</v>
      </c>
      <c r="L4680" t="str">
        <f>VLOOKUP(VALUE(LEFT(C4680,5)),Xref!A:B,2,0)</f>
        <v>CDP</v>
      </c>
      <c r="M4680" t="str">
        <f t="shared" si="292"/>
        <v>CDP-ZPI</v>
      </c>
    </row>
    <row r="4681" spans="1:13">
      <c r="A4681" t="str">
        <f t="shared" si="293"/>
        <v>ZPI - Intercompany</v>
      </c>
      <c r="B4681" t="str">
        <f t="shared" si="294"/>
        <v>ZPI</v>
      </c>
      <c r="C4681" t="str">
        <f t="shared" si="295"/>
        <v>11216-0000</v>
      </c>
      <c r="D4681" t="s">
        <v>2850</v>
      </c>
      <c r="E4681" t="s">
        <v>13224</v>
      </c>
      <c r="F4681" t="s">
        <v>14039</v>
      </c>
      <c r="G4681" t="s">
        <v>14672</v>
      </c>
      <c r="H4681" t="s">
        <v>13869</v>
      </c>
      <c r="I4681" t="s">
        <v>14690</v>
      </c>
      <c r="J4681" s="62">
        <v>-9909.7</v>
      </c>
      <c r="K4681" s="62">
        <v>-55291.62</v>
      </c>
      <c r="L4681" t="str">
        <f>VLOOKUP(VALUE(LEFT(C4681,5)),Xref!A:B,2,0)</f>
        <v>SIL</v>
      </c>
      <c r="M4681" t="str">
        <f t="shared" si="292"/>
        <v>SIL-ZPI</v>
      </c>
    </row>
    <row r="4682" spans="1:13">
      <c r="A4682" t="str">
        <f t="shared" si="293"/>
        <v>ZPI - Intercompany</v>
      </c>
      <c r="B4682" t="str">
        <f t="shared" si="294"/>
        <v>ZPI</v>
      </c>
      <c r="C4682" t="str">
        <f t="shared" si="295"/>
        <v>11232-0000</v>
      </c>
      <c r="D4682" t="s">
        <v>30618</v>
      </c>
      <c r="E4682" t="s">
        <v>12486</v>
      </c>
      <c r="F4682" t="s">
        <v>14039</v>
      </c>
      <c r="G4682" t="s">
        <v>14672</v>
      </c>
      <c r="H4682" t="s">
        <v>13869</v>
      </c>
      <c r="I4682" t="s">
        <v>14690</v>
      </c>
      <c r="J4682" s="62">
        <v>0</v>
      </c>
      <c r="K4682" s="62">
        <v>0</v>
      </c>
      <c r="L4682" t="str">
        <f>VLOOKUP(VALUE(LEFT(C4682,5)),Xref!A:B,2,0)</f>
        <v>SC2</v>
      </c>
      <c r="M4682" t="str">
        <f t="shared" si="292"/>
        <v>SC2-ZPI</v>
      </c>
    </row>
    <row r="4683" spans="1:13">
      <c r="A4683" t="str">
        <f t="shared" si="293"/>
        <v>ZPI - Intercompany</v>
      </c>
      <c r="B4683" t="str">
        <f t="shared" si="294"/>
        <v>ZPI</v>
      </c>
      <c r="C4683" t="str">
        <f t="shared" si="295"/>
        <v>11301-0000</v>
      </c>
      <c r="D4683" t="s">
        <v>30619</v>
      </c>
      <c r="E4683" t="s">
        <v>13225</v>
      </c>
      <c r="F4683" t="s">
        <v>14039</v>
      </c>
      <c r="G4683" t="s">
        <v>14672</v>
      </c>
      <c r="H4683" t="s">
        <v>13869</v>
      </c>
      <c r="I4683" t="s">
        <v>14690</v>
      </c>
      <c r="J4683" s="62">
        <v>0</v>
      </c>
      <c r="K4683" s="62">
        <v>0</v>
      </c>
      <c r="L4683" t="str">
        <f>VLOOKUP(VALUE(LEFT(C4683,5)),Xref!A:B,2,0)</f>
        <v>CRE</v>
      </c>
      <c r="M4683" t="str">
        <f t="shared" si="292"/>
        <v>CRE-ZPI</v>
      </c>
    </row>
    <row r="4684" spans="1:13">
      <c r="A4684" t="str">
        <f t="shared" si="293"/>
        <v>ZPI - Intercompany</v>
      </c>
      <c r="B4684" t="str">
        <f t="shared" si="294"/>
        <v>ZPI</v>
      </c>
      <c r="C4684" t="str">
        <f t="shared" si="295"/>
        <v>11302-0000</v>
      </c>
      <c r="D4684" t="s">
        <v>30620</v>
      </c>
      <c r="E4684" t="s">
        <v>13226</v>
      </c>
      <c r="F4684" t="s">
        <v>14039</v>
      </c>
      <c r="G4684" t="s">
        <v>14672</v>
      </c>
      <c r="H4684" t="s">
        <v>13869</v>
      </c>
      <c r="I4684" t="s">
        <v>14690</v>
      </c>
      <c r="J4684" s="62">
        <v>0</v>
      </c>
      <c r="K4684" s="62">
        <v>0</v>
      </c>
      <c r="L4684" t="str">
        <f>VLOOKUP(VALUE(LEFT(C4684,5)),Xref!A:B,2,0)</f>
        <v>CHA</v>
      </c>
      <c r="M4684" t="str">
        <f t="shared" si="292"/>
        <v>CHA-ZPI</v>
      </c>
    </row>
    <row r="4685" spans="1:13">
      <c r="A4685" t="str">
        <f t="shared" si="293"/>
        <v>ZPI - Intercompany</v>
      </c>
      <c r="B4685" t="str">
        <f t="shared" si="294"/>
        <v>ZPI</v>
      </c>
      <c r="C4685" t="str">
        <f t="shared" si="295"/>
        <v>11303-0000</v>
      </c>
      <c r="D4685" t="s">
        <v>30621</v>
      </c>
      <c r="E4685" t="s">
        <v>13227</v>
      </c>
      <c r="F4685" t="s">
        <v>14039</v>
      </c>
      <c r="G4685" t="s">
        <v>14672</v>
      </c>
      <c r="H4685" t="s">
        <v>13869</v>
      </c>
      <c r="I4685" t="s">
        <v>14690</v>
      </c>
      <c r="J4685" s="62">
        <v>0</v>
      </c>
      <c r="K4685" s="62">
        <v>0</v>
      </c>
      <c r="L4685" t="str">
        <f>VLOOKUP(VALUE(LEFT(C4685,5)),Xref!A:B,2,0)</f>
        <v>DIA</v>
      </c>
      <c r="M4685" t="str">
        <f t="shared" si="292"/>
        <v>DIA-ZPI</v>
      </c>
    </row>
    <row r="4686" spans="1:13">
      <c r="A4686" t="str">
        <f t="shared" si="293"/>
        <v>ZPI - Intercompany</v>
      </c>
      <c r="B4686" t="str">
        <f t="shared" si="294"/>
        <v>ZPI</v>
      </c>
      <c r="C4686" t="str">
        <f t="shared" si="295"/>
        <v>11304-0000</v>
      </c>
      <c r="D4686" t="s">
        <v>30622</v>
      </c>
      <c r="E4686" t="s">
        <v>13228</v>
      </c>
      <c r="F4686" t="s">
        <v>14039</v>
      </c>
      <c r="G4686" t="s">
        <v>14672</v>
      </c>
      <c r="H4686" t="s">
        <v>13869</v>
      </c>
      <c r="I4686" t="s">
        <v>14690</v>
      </c>
      <c r="J4686" s="62">
        <v>0</v>
      </c>
      <c r="K4686" s="62">
        <v>0</v>
      </c>
      <c r="L4686" t="str">
        <f>VLOOKUP(VALUE(LEFT(C4686,5)),Xref!A:B,2,0)</f>
        <v>EAG</v>
      </c>
      <c r="M4686" t="str">
        <f t="shared" si="292"/>
        <v>EAG-ZPI</v>
      </c>
    </row>
    <row r="4687" spans="1:13">
      <c r="A4687" t="str">
        <f t="shared" si="293"/>
        <v>ZPI - Intercompany</v>
      </c>
      <c r="B4687" t="str">
        <f t="shared" si="294"/>
        <v>ZPI</v>
      </c>
      <c r="C4687" t="str">
        <f t="shared" si="295"/>
        <v>11305-0000</v>
      </c>
      <c r="D4687" t="s">
        <v>30623</v>
      </c>
      <c r="E4687" t="s">
        <v>13229</v>
      </c>
      <c r="F4687" t="s">
        <v>14039</v>
      </c>
      <c r="G4687" t="s">
        <v>14672</v>
      </c>
      <c r="H4687" t="s">
        <v>13869</v>
      </c>
      <c r="I4687" t="s">
        <v>14690</v>
      </c>
      <c r="J4687" s="62">
        <v>0</v>
      </c>
      <c r="K4687" s="62">
        <v>0</v>
      </c>
      <c r="L4687" t="str">
        <f>VLOOKUP(VALUE(LEFT(C4687,5)),Xref!A:B,2,0)</f>
        <v>NEW</v>
      </c>
      <c r="M4687" t="str">
        <f t="shared" si="292"/>
        <v>NEW-ZPI</v>
      </c>
    </row>
    <row r="4688" spans="1:13">
      <c r="A4688" t="str">
        <f t="shared" si="293"/>
        <v>ZPI - Intercompany</v>
      </c>
      <c r="B4688" t="str">
        <f t="shared" si="294"/>
        <v>ZPI</v>
      </c>
      <c r="C4688" t="str">
        <f t="shared" si="295"/>
        <v>11307-0000</v>
      </c>
      <c r="D4688" t="s">
        <v>30624</v>
      </c>
      <c r="E4688" t="s">
        <v>14096</v>
      </c>
      <c r="F4688" t="s">
        <v>14039</v>
      </c>
      <c r="G4688" t="s">
        <v>14672</v>
      </c>
      <c r="H4688" t="s">
        <v>13869</v>
      </c>
      <c r="I4688" t="s">
        <v>14690</v>
      </c>
      <c r="J4688" s="62">
        <v>0</v>
      </c>
      <c r="K4688" s="62">
        <v>0</v>
      </c>
      <c r="L4688" t="str">
        <f>VLOOKUP(VALUE(LEFT(C4688,5)),Xref!A:B,2,0)</f>
        <v>NES</v>
      </c>
      <c r="M4688" t="str">
        <f t="shared" si="292"/>
        <v>NES-ZPI</v>
      </c>
    </row>
    <row r="4689" spans="1:13">
      <c r="A4689" t="str">
        <f t="shared" si="293"/>
        <v>ZPI - Intercompany</v>
      </c>
      <c r="B4689" t="str">
        <f t="shared" si="294"/>
        <v>ZPI</v>
      </c>
      <c r="C4689" t="str">
        <f t="shared" si="295"/>
        <v>11308-0000</v>
      </c>
      <c r="D4689" t="s">
        <v>30625</v>
      </c>
      <c r="E4689" t="s">
        <v>13476</v>
      </c>
      <c r="F4689" t="s">
        <v>14039</v>
      </c>
      <c r="G4689" t="s">
        <v>14672</v>
      </c>
      <c r="H4689" t="s">
        <v>13869</v>
      </c>
      <c r="I4689" t="s">
        <v>14690</v>
      </c>
      <c r="J4689" s="62">
        <v>0</v>
      </c>
      <c r="K4689" s="62">
        <v>0</v>
      </c>
      <c r="L4689" t="str">
        <f>VLOOKUP(VALUE(LEFT(C4689,5)),Xref!A:B,2,0)</f>
        <v>LPI</v>
      </c>
      <c r="M4689" t="str">
        <f t="shared" si="292"/>
        <v>LPI-ZPI</v>
      </c>
    </row>
    <row r="4690" spans="1:13">
      <c r="A4690" t="str">
        <f t="shared" si="293"/>
        <v>ZPI - Intercompany</v>
      </c>
      <c r="B4690" t="str">
        <f t="shared" si="294"/>
        <v>ZPI</v>
      </c>
      <c r="C4690" t="str">
        <f t="shared" si="295"/>
        <v>11309-0000</v>
      </c>
      <c r="D4690" t="s">
        <v>30626</v>
      </c>
      <c r="E4690" t="s">
        <v>13230</v>
      </c>
      <c r="F4690" t="s">
        <v>14039</v>
      </c>
      <c r="G4690" t="s">
        <v>14672</v>
      </c>
      <c r="H4690" t="s">
        <v>13869</v>
      </c>
      <c r="I4690" t="s">
        <v>14690</v>
      </c>
      <c r="J4690" s="62">
        <v>0</v>
      </c>
      <c r="K4690" s="62">
        <v>0</v>
      </c>
      <c r="L4690" t="str">
        <f>VLOOKUP(VALUE(LEFT(C4690,5)),Xref!A:B,2,0)</f>
        <v>GPI</v>
      </c>
      <c r="M4690" t="str">
        <f t="shared" si="292"/>
        <v>GPI-ZPI</v>
      </c>
    </row>
    <row r="4691" spans="1:13">
      <c r="A4691" t="str">
        <f t="shared" si="293"/>
        <v>ZPI - Intercompany</v>
      </c>
      <c r="B4691" t="str">
        <f t="shared" si="294"/>
        <v>ZPI</v>
      </c>
      <c r="C4691" t="str">
        <f t="shared" si="295"/>
        <v>11310-0000</v>
      </c>
      <c r="D4691" t="s">
        <v>30627</v>
      </c>
      <c r="E4691" t="s">
        <v>13231</v>
      </c>
      <c r="F4691" t="s">
        <v>14039</v>
      </c>
      <c r="G4691" t="s">
        <v>14672</v>
      </c>
      <c r="H4691" t="s">
        <v>13869</v>
      </c>
      <c r="I4691" t="s">
        <v>14690</v>
      </c>
      <c r="J4691" s="62">
        <v>0</v>
      </c>
      <c r="K4691" s="62">
        <v>0</v>
      </c>
      <c r="L4691" t="str">
        <f>VLOOKUP(VALUE(LEFT(C4691,5)),Xref!A:B,2,0)</f>
        <v>ALP</v>
      </c>
      <c r="M4691" t="str">
        <f t="shared" si="292"/>
        <v>ALP-ZPI</v>
      </c>
    </row>
    <row r="4692" spans="1:13">
      <c r="A4692" t="str">
        <f t="shared" si="293"/>
        <v>ZPI - Intercompany</v>
      </c>
      <c r="B4692" t="str">
        <f t="shared" si="294"/>
        <v>ZPI</v>
      </c>
      <c r="C4692" t="str">
        <f t="shared" si="295"/>
        <v>11311-0000</v>
      </c>
      <c r="D4692" t="s">
        <v>30628</v>
      </c>
      <c r="E4692" t="s">
        <v>13232</v>
      </c>
      <c r="F4692" t="s">
        <v>14039</v>
      </c>
      <c r="G4692" t="s">
        <v>14672</v>
      </c>
      <c r="H4692" t="s">
        <v>13869</v>
      </c>
      <c r="I4692" t="s">
        <v>14690</v>
      </c>
      <c r="J4692" s="62">
        <v>0</v>
      </c>
      <c r="K4692" s="62">
        <v>0</v>
      </c>
      <c r="L4692" t="str">
        <f>VLOOKUP(VALUE(LEFT(C4692,5)),Xref!A:B,2,0)</f>
        <v>BET</v>
      </c>
      <c r="M4692" t="str">
        <f t="shared" si="292"/>
        <v>BET-ZPI</v>
      </c>
    </row>
    <row r="4693" spans="1:13">
      <c r="A4693" t="str">
        <f t="shared" si="293"/>
        <v>ZPI - Intercompany</v>
      </c>
      <c r="B4693" t="str">
        <f t="shared" si="294"/>
        <v>ZPI</v>
      </c>
      <c r="C4693" t="str">
        <f t="shared" si="295"/>
        <v>11312-0000</v>
      </c>
      <c r="D4693" t="s">
        <v>30629</v>
      </c>
      <c r="E4693" t="s">
        <v>14102</v>
      </c>
      <c r="F4693" t="s">
        <v>14039</v>
      </c>
      <c r="G4693" t="s">
        <v>14672</v>
      </c>
      <c r="H4693" t="s">
        <v>13869</v>
      </c>
      <c r="I4693" t="s">
        <v>14690</v>
      </c>
      <c r="J4693" s="62">
        <v>0</v>
      </c>
      <c r="K4693" s="62">
        <v>0</v>
      </c>
      <c r="L4693" t="str">
        <f>VLOOKUP(VALUE(LEFT(C4693,5)),Xref!A:B,2,0)</f>
        <v>DEL</v>
      </c>
      <c r="M4693" t="str">
        <f t="shared" si="292"/>
        <v>DEL-ZPI</v>
      </c>
    </row>
    <row r="4694" spans="1:13">
      <c r="A4694" t="str">
        <f t="shared" si="293"/>
        <v>ZPI - Intercompany</v>
      </c>
      <c r="B4694" t="str">
        <f t="shared" si="294"/>
        <v>ZPI</v>
      </c>
      <c r="C4694" t="str">
        <f t="shared" si="295"/>
        <v>11313-0000</v>
      </c>
      <c r="D4694" t="s">
        <v>30630</v>
      </c>
      <c r="E4694" t="s">
        <v>13233</v>
      </c>
      <c r="F4694" t="s">
        <v>14039</v>
      </c>
      <c r="G4694" t="s">
        <v>14672</v>
      </c>
      <c r="H4694" t="s">
        <v>13869</v>
      </c>
      <c r="I4694" t="s">
        <v>14690</v>
      </c>
      <c r="J4694" s="62">
        <v>0</v>
      </c>
      <c r="K4694" s="62">
        <v>0</v>
      </c>
      <c r="L4694" t="str">
        <f>VLOOKUP(VALUE(LEFT(C4694,5)),Xref!A:B,2,0)</f>
        <v>DOL</v>
      </c>
      <c r="M4694" t="str">
        <f t="shared" si="292"/>
        <v>DOL-ZPI</v>
      </c>
    </row>
    <row r="4695" spans="1:13">
      <c r="A4695" t="str">
        <f t="shared" si="293"/>
        <v>ZPI - Intercompany</v>
      </c>
      <c r="B4695" t="str">
        <f t="shared" si="294"/>
        <v>ZPI</v>
      </c>
      <c r="C4695" t="str">
        <f t="shared" si="295"/>
        <v>11314-0000</v>
      </c>
      <c r="D4695" t="s">
        <v>30631</v>
      </c>
      <c r="E4695" t="s">
        <v>13351</v>
      </c>
      <c r="F4695" t="s">
        <v>14039</v>
      </c>
      <c r="G4695" t="s">
        <v>14672</v>
      </c>
      <c r="H4695" t="s">
        <v>13869</v>
      </c>
      <c r="I4695" t="s">
        <v>14690</v>
      </c>
      <c r="J4695" s="62">
        <v>0</v>
      </c>
      <c r="K4695" s="62">
        <v>0</v>
      </c>
      <c r="L4695" t="str">
        <f>VLOOKUP(VALUE(LEFT(C4695,5)),Xref!A:B,2,0)</f>
        <v>GRI</v>
      </c>
      <c r="M4695" t="str">
        <f t="shared" si="292"/>
        <v>GRI-ZPI</v>
      </c>
    </row>
    <row r="4696" spans="1:13">
      <c r="A4696" t="str">
        <f t="shared" si="293"/>
        <v>ZPI - Intercompany</v>
      </c>
      <c r="B4696" t="str">
        <f t="shared" si="294"/>
        <v>ZPI</v>
      </c>
      <c r="C4696" t="str">
        <f t="shared" si="295"/>
        <v>11315-0000</v>
      </c>
      <c r="D4696" t="s">
        <v>30632</v>
      </c>
      <c r="E4696" t="s">
        <v>13234</v>
      </c>
      <c r="F4696" t="s">
        <v>14039</v>
      </c>
      <c r="G4696" t="s">
        <v>14672</v>
      </c>
      <c r="H4696" t="s">
        <v>13869</v>
      </c>
      <c r="I4696" t="s">
        <v>14690</v>
      </c>
      <c r="J4696" s="62">
        <v>0</v>
      </c>
      <c r="K4696" s="62">
        <v>0</v>
      </c>
      <c r="L4696" t="str">
        <f>VLOOKUP(VALUE(LEFT(C4696,5)),Xref!A:B,2,0)</f>
        <v>PUR</v>
      </c>
      <c r="M4696" t="str">
        <f t="shared" si="292"/>
        <v>PUR-ZPI</v>
      </c>
    </row>
    <row r="4697" spans="1:13">
      <c r="A4697" t="str">
        <f t="shared" si="293"/>
        <v>ZPI - Intercompany</v>
      </c>
      <c r="B4697" t="str">
        <f t="shared" si="294"/>
        <v>ZPI</v>
      </c>
      <c r="C4697" t="str">
        <f t="shared" si="295"/>
        <v>11316-0000</v>
      </c>
      <c r="D4697" t="s">
        <v>30633</v>
      </c>
      <c r="E4697" t="s">
        <v>13235</v>
      </c>
      <c r="F4697" t="s">
        <v>14039</v>
      </c>
      <c r="G4697" t="s">
        <v>14672</v>
      </c>
      <c r="H4697" t="s">
        <v>13869</v>
      </c>
      <c r="I4697" t="s">
        <v>14690</v>
      </c>
      <c r="J4697" s="62">
        <v>0</v>
      </c>
      <c r="K4697" s="62">
        <v>0</v>
      </c>
      <c r="L4697" t="str">
        <f>VLOOKUP(VALUE(LEFT(C4697,5)),Xref!A:B,2,0)</f>
        <v>VAL</v>
      </c>
      <c r="M4697" t="str">
        <f t="shared" si="292"/>
        <v>VAL-ZPI</v>
      </c>
    </row>
    <row r="4698" spans="1:13">
      <c r="A4698" t="str">
        <f t="shared" si="293"/>
        <v>ZPI - Intercompany</v>
      </c>
      <c r="B4698" t="str">
        <f t="shared" si="294"/>
        <v>ZPI</v>
      </c>
      <c r="C4698" t="str">
        <f t="shared" si="295"/>
        <v>11317-0000</v>
      </c>
      <c r="D4698" t="s">
        <v>30634</v>
      </c>
      <c r="E4698" t="s">
        <v>13352</v>
      </c>
      <c r="F4698" t="s">
        <v>14039</v>
      </c>
      <c r="G4698" t="s">
        <v>14672</v>
      </c>
      <c r="H4698" t="s">
        <v>13869</v>
      </c>
      <c r="I4698" t="s">
        <v>14690</v>
      </c>
      <c r="J4698" s="62">
        <v>0</v>
      </c>
      <c r="K4698" s="62">
        <v>0</v>
      </c>
      <c r="L4698" t="str">
        <f>VLOOKUP(VALUE(LEFT(C4698,5)),Xref!A:B,2,0)</f>
        <v>AKG</v>
      </c>
      <c r="M4698" t="str">
        <f t="shared" si="292"/>
        <v>AKG-ZPI</v>
      </c>
    </row>
    <row r="4699" spans="1:13">
      <c r="A4699" t="str">
        <f t="shared" si="293"/>
        <v>ZPI - Intercompany</v>
      </c>
      <c r="B4699" t="str">
        <f t="shared" si="294"/>
        <v>ZPI</v>
      </c>
      <c r="C4699" t="str">
        <f t="shared" si="295"/>
        <v>11318-0000</v>
      </c>
      <c r="D4699" t="s">
        <v>30635</v>
      </c>
      <c r="E4699" t="s">
        <v>13477</v>
      </c>
      <c r="F4699" t="s">
        <v>14039</v>
      </c>
      <c r="G4699" t="s">
        <v>14672</v>
      </c>
      <c r="H4699" t="s">
        <v>13869</v>
      </c>
      <c r="I4699" t="s">
        <v>14690</v>
      </c>
      <c r="J4699" s="62">
        <v>0</v>
      </c>
      <c r="K4699" s="62">
        <v>0</v>
      </c>
      <c r="L4699" t="str">
        <f>VLOOKUP(VALUE(LEFT(C4699,5)),Xref!A:B,2,0)</f>
        <v>FIR</v>
      </c>
      <c r="M4699" t="str">
        <f t="shared" si="292"/>
        <v>FIR-ZPI</v>
      </c>
    </row>
    <row r="4700" spans="1:13">
      <c r="A4700" t="str">
        <f t="shared" si="293"/>
        <v>ZPI - Intercompany</v>
      </c>
      <c r="B4700" t="str">
        <f t="shared" si="294"/>
        <v>ZPI</v>
      </c>
      <c r="C4700" t="str">
        <f t="shared" si="295"/>
        <v>11319-0000</v>
      </c>
      <c r="D4700" t="s">
        <v>30636</v>
      </c>
      <c r="E4700" t="s">
        <v>266</v>
      </c>
      <c r="F4700" t="s">
        <v>14039</v>
      </c>
      <c r="G4700" t="s">
        <v>14672</v>
      </c>
      <c r="H4700" t="s">
        <v>13869</v>
      </c>
      <c r="I4700" t="s">
        <v>14690</v>
      </c>
      <c r="J4700" s="62">
        <v>0</v>
      </c>
      <c r="K4700" s="62">
        <v>0</v>
      </c>
      <c r="L4700" t="str">
        <f>VLOOKUP(VALUE(LEFT(C4700,5)),Xref!A:B,2,0)</f>
        <v>GST</v>
      </c>
      <c r="M4700" t="str">
        <f t="shared" si="292"/>
        <v>GST-ZPI</v>
      </c>
    </row>
    <row r="4701" spans="1:13">
      <c r="A4701" t="str">
        <f t="shared" si="293"/>
        <v>ZPI - Intercompany</v>
      </c>
      <c r="B4701" t="str">
        <f t="shared" si="294"/>
        <v>ZPI</v>
      </c>
      <c r="C4701" t="str">
        <f t="shared" si="295"/>
        <v>11320-0000</v>
      </c>
      <c r="D4701" t="s">
        <v>30637</v>
      </c>
      <c r="E4701" t="s">
        <v>14111</v>
      </c>
      <c r="F4701" t="s">
        <v>14039</v>
      </c>
      <c r="G4701" t="s">
        <v>14672</v>
      </c>
      <c r="H4701" t="s">
        <v>13869</v>
      </c>
      <c r="I4701" t="s">
        <v>14690</v>
      </c>
      <c r="J4701" s="62">
        <v>0</v>
      </c>
      <c r="K4701" s="62">
        <v>0</v>
      </c>
      <c r="L4701" t="str">
        <f>VLOOKUP(VALUE(LEFT(C4701,5)),Xref!A:B,2,0)</f>
        <v>HDN</v>
      </c>
      <c r="M4701" t="str">
        <f t="shared" si="292"/>
        <v>HDN-ZPI</v>
      </c>
    </row>
    <row r="4702" spans="1:13">
      <c r="A4702" t="str">
        <f t="shared" si="293"/>
        <v>ZPI - Intercompany</v>
      </c>
      <c r="B4702" t="str">
        <f t="shared" si="294"/>
        <v>ZPI</v>
      </c>
      <c r="C4702" t="str">
        <f t="shared" si="295"/>
        <v>11321-0000</v>
      </c>
      <c r="D4702" t="s">
        <v>30638</v>
      </c>
      <c r="E4702" t="s">
        <v>13236</v>
      </c>
      <c r="F4702" t="s">
        <v>14039</v>
      </c>
      <c r="G4702" t="s">
        <v>14672</v>
      </c>
      <c r="H4702" t="s">
        <v>13869</v>
      </c>
      <c r="I4702" t="s">
        <v>14690</v>
      </c>
      <c r="J4702" s="62">
        <v>0</v>
      </c>
      <c r="K4702" s="62">
        <v>0</v>
      </c>
      <c r="L4702" t="str">
        <f>VLOOKUP(VALUE(LEFT(C4702,5)),Xref!A:B,2,0)</f>
        <v>OVA</v>
      </c>
      <c r="M4702" t="str">
        <f t="shared" si="292"/>
        <v>OVA-ZPI</v>
      </c>
    </row>
    <row r="4703" spans="1:13">
      <c r="A4703" t="str">
        <f t="shared" si="293"/>
        <v>ZPI - Intercompany</v>
      </c>
      <c r="B4703" t="str">
        <f t="shared" si="294"/>
        <v>ZPI</v>
      </c>
      <c r="C4703" t="str">
        <f t="shared" si="295"/>
        <v>11322-0000</v>
      </c>
      <c r="D4703" t="s">
        <v>30639</v>
      </c>
      <c r="E4703" t="s">
        <v>13237</v>
      </c>
      <c r="F4703" t="s">
        <v>14039</v>
      </c>
      <c r="G4703" t="s">
        <v>14672</v>
      </c>
      <c r="H4703" t="s">
        <v>13869</v>
      </c>
      <c r="I4703" t="s">
        <v>14690</v>
      </c>
      <c r="J4703" s="62">
        <v>0</v>
      </c>
      <c r="K4703" s="62">
        <v>0</v>
      </c>
      <c r="L4703" t="str">
        <f>VLOOKUP(VALUE(LEFT(C4703,5)),Xref!A:B,2,0)</f>
        <v>WOO</v>
      </c>
      <c r="M4703" t="str">
        <f t="shared" si="292"/>
        <v>WOO-ZPI</v>
      </c>
    </row>
    <row r="4704" spans="1:13">
      <c r="A4704" t="str">
        <f t="shared" si="293"/>
        <v>ZPI - Intercompany</v>
      </c>
      <c r="B4704" t="str">
        <f t="shared" si="294"/>
        <v>ZPI</v>
      </c>
      <c r="C4704" t="str">
        <f t="shared" si="295"/>
        <v>11323-0000</v>
      </c>
      <c r="D4704" t="s">
        <v>30640</v>
      </c>
      <c r="E4704" t="s">
        <v>13478</v>
      </c>
      <c r="F4704" t="s">
        <v>14039</v>
      </c>
      <c r="G4704" t="s">
        <v>14672</v>
      </c>
      <c r="H4704" t="s">
        <v>13869</v>
      </c>
      <c r="I4704" t="s">
        <v>14690</v>
      </c>
      <c r="J4704" s="62">
        <v>0</v>
      </c>
      <c r="K4704" s="62">
        <v>0</v>
      </c>
      <c r="L4704" t="str">
        <f>VLOOKUP(VALUE(LEFT(C4704,5)),Xref!A:B,2,0)</f>
        <v>SPI</v>
      </c>
      <c r="M4704" t="str">
        <f t="shared" si="292"/>
        <v>SPI-ZPI</v>
      </c>
    </row>
    <row r="4705" spans="1:13">
      <c r="A4705" t="str">
        <f t="shared" si="293"/>
        <v>ZPI - Intercompany</v>
      </c>
      <c r="B4705" t="str">
        <f t="shared" si="294"/>
        <v>ZPI</v>
      </c>
      <c r="C4705" t="str">
        <f t="shared" si="295"/>
        <v>11324-0000</v>
      </c>
      <c r="D4705" t="s">
        <v>30641</v>
      </c>
      <c r="E4705" t="s">
        <v>13238</v>
      </c>
      <c r="F4705" t="s">
        <v>14039</v>
      </c>
      <c r="G4705" t="s">
        <v>14672</v>
      </c>
      <c r="H4705" t="s">
        <v>13869</v>
      </c>
      <c r="I4705" t="s">
        <v>14690</v>
      </c>
      <c r="J4705" s="62">
        <v>0</v>
      </c>
      <c r="K4705" s="62">
        <v>0</v>
      </c>
      <c r="L4705" t="str">
        <f>VLOOKUP(VALUE(LEFT(C4705,5)),Xref!A:B,2,0)</f>
        <v>NET</v>
      </c>
      <c r="M4705" t="str">
        <f t="shared" si="292"/>
        <v>NET-ZPI</v>
      </c>
    </row>
    <row r="4706" spans="1:13">
      <c r="A4706" t="str">
        <f t="shared" si="293"/>
        <v>ZPI - Intercompany</v>
      </c>
      <c r="B4706" t="str">
        <f t="shared" si="294"/>
        <v>ZPI</v>
      </c>
      <c r="C4706" t="str">
        <f t="shared" si="295"/>
        <v>11325-0000</v>
      </c>
      <c r="D4706" t="s">
        <v>30642</v>
      </c>
      <c r="E4706" t="s">
        <v>13239</v>
      </c>
      <c r="F4706" t="s">
        <v>14039</v>
      </c>
      <c r="G4706" t="s">
        <v>14672</v>
      </c>
      <c r="H4706" t="s">
        <v>13869</v>
      </c>
      <c r="I4706" t="s">
        <v>14690</v>
      </c>
      <c r="J4706" s="62">
        <v>0</v>
      </c>
      <c r="K4706" s="62">
        <v>0</v>
      </c>
      <c r="L4706" t="str">
        <f>VLOOKUP(VALUE(LEFT(C4706,5)),Xref!A:B,2,0)</f>
        <v>DPI</v>
      </c>
      <c r="M4706" t="str">
        <f t="shared" si="292"/>
        <v>DPI-ZPI</v>
      </c>
    </row>
    <row r="4707" spans="1:13">
      <c r="A4707" t="str">
        <f t="shared" si="293"/>
        <v>ZPI - Intercompany</v>
      </c>
      <c r="B4707" t="str">
        <f t="shared" si="294"/>
        <v>ZPI</v>
      </c>
      <c r="C4707" t="str">
        <f t="shared" si="295"/>
        <v>11326-0000</v>
      </c>
      <c r="D4707" t="s">
        <v>30643</v>
      </c>
      <c r="E4707" t="s">
        <v>13240</v>
      </c>
      <c r="F4707" t="s">
        <v>14039</v>
      </c>
      <c r="G4707" t="s">
        <v>14672</v>
      </c>
      <c r="H4707" t="s">
        <v>13869</v>
      </c>
      <c r="I4707" t="s">
        <v>14690</v>
      </c>
      <c r="J4707" s="62">
        <v>0</v>
      </c>
      <c r="K4707" s="62">
        <v>0</v>
      </c>
      <c r="L4707" t="str">
        <f>VLOOKUP(VALUE(LEFT(C4707,5)),Xref!A:B,2,0)</f>
        <v>SEK</v>
      </c>
      <c r="M4707" t="str">
        <f t="shared" si="292"/>
        <v>SEK-ZPI</v>
      </c>
    </row>
    <row r="4708" spans="1:13">
      <c r="A4708" t="str">
        <f t="shared" si="293"/>
        <v>ZPI - Intercompany</v>
      </c>
      <c r="B4708" t="str">
        <f t="shared" si="294"/>
        <v>ZPI</v>
      </c>
      <c r="C4708" t="str">
        <f t="shared" si="295"/>
        <v>11327-0000</v>
      </c>
      <c r="D4708" t="s">
        <v>30644</v>
      </c>
      <c r="E4708" t="s">
        <v>14119</v>
      </c>
      <c r="F4708" t="s">
        <v>14039</v>
      </c>
      <c r="G4708" t="s">
        <v>14672</v>
      </c>
      <c r="H4708" t="s">
        <v>13869</v>
      </c>
      <c r="I4708" t="s">
        <v>14690</v>
      </c>
      <c r="J4708" s="62">
        <v>0</v>
      </c>
      <c r="K4708" s="62">
        <v>0</v>
      </c>
      <c r="L4708" t="str">
        <f>VLOOKUP(VALUE(LEFT(C4708,5)),Xref!A:B,2,0)</f>
        <v>CPI</v>
      </c>
      <c r="M4708" t="str">
        <f t="shared" si="292"/>
        <v>CPI-ZPI</v>
      </c>
    </row>
    <row r="4709" spans="1:13">
      <c r="A4709" t="str">
        <f t="shared" si="293"/>
        <v>ZPI - Intercompany</v>
      </c>
      <c r="B4709" t="str">
        <f t="shared" si="294"/>
        <v>ZPI</v>
      </c>
      <c r="C4709" t="str">
        <f t="shared" si="295"/>
        <v>11328-0000</v>
      </c>
      <c r="D4709" t="s">
        <v>30645</v>
      </c>
      <c r="E4709" t="s">
        <v>13241</v>
      </c>
      <c r="F4709" t="s">
        <v>14039</v>
      </c>
      <c r="G4709" t="s">
        <v>14672</v>
      </c>
      <c r="H4709" t="s">
        <v>13869</v>
      </c>
      <c r="I4709" t="s">
        <v>14690</v>
      </c>
      <c r="J4709" s="62">
        <v>0</v>
      </c>
      <c r="K4709" s="62">
        <v>0</v>
      </c>
      <c r="L4709" t="str">
        <f>VLOOKUP(VALUE(LEFT(C4709,5)),Xref!A:B,2,0)</f>
        <v>LOM</v>
      </c>
      <c r="M4709" t="str">
        <f t="shared" si="292"/>
        <v>LOM-ZPI</v>
      </c>
    </row>
    <row r="4710" spans="1:13">
      <c r="A4710" t="str">
        <f t="shared" si="293"/>
        <v>ZPI - Intercompany</v>
      </c>
      <c r="B4710" t="str">
        <f t="shared" si="294"/>
        <v>ZPI</v>
      </c>
      <c r="C4710" t="str">
        <f t="shared" si="295"/>
        <v>11329-0000</v>
      </c>
      <c r="D4710" t="s">
        <v>30646</v>
      </c>
      <c r="E4710" t="s">
        <v>13353</v>
      </c>
      <c r="F4710" t="s">
        <v>14039</v>
      </c>
      <c r="G4710" t="s">
        <v>14672</v>
      </c>
      <c r="H4710" t="s">
        <v>13869</v>
      </c>
      <c r="I4710" t="s">
        <v>14690</v>
      </c>
      <c r="J4710" s="62">
        <v>0</v>
      </c>
      <c r="K4710" s="62">
        <v>0</v>
      </c>
      <c r="L4710" t="str">
        <f>VLOOKUP(VALUE(LEFT(C4710,5)),Xref!A:B,2,0)</f>
        <v>AKS</v>
      </c>
      <c r="M4710" t="str">
        <f t="shared" si="292"/>
        <v>AKS-ZPI</v>
      </c>
    </row>
    <row r="4711" spans="1:13">
      <c r="A4711" t="str">
        <f t="shared" si="293"/>
        <v>ZPI - Intercompany</v>
      </c>
      <c r="B4711" t="str">
        <f t="shared" si="294"/>
        <v>ZPI</v>
      </c>
      <c r="C4711" t="str">
        <f t="shared" si="295"/>
        <v>11330-0000</v>
      </c>
      <c r="D4711" t="s">
        <v>30647</v>
      </c>
      <c r="E4711" t="s">
        <v>13242</v>
      </c>
      <c r="F4711" t="s">
        <v>14039</v>
      </c>
      <c r="G4711" t="s">
        <v>14672</v>
      </c>
      <c r="H4711" t="s">
        <v>13869</v>
      </c>
      <c r="I4711" t="s">
        <v>14690</v>
      </c>
      <c r="J4711" s="62">
        <v>0</v>
      </c>
      <c r="K4711" s="62">
        <v>0</v>
      </c>
      <c r="L4711" t="str">
        <f>VLOOKUP(VALUE(LEFT(C4711,5)),Xref!A:B,2,0)</f>
        <v>MAR</v>
      </c>
      <c r="M4711" t="str">
        <f t="shared" si="292"/>
        <v>MAR-ZPI</v>
      </c>
    </row>
    <row r="4712" spans="1:13">
      <c r="A4712" t="str">
        <f t="shared" si="293"/>
        <v>ZPI - Intercompany</v>
      </c>
      <c r="B4712" t="str">
        <f t="shared" si="294"/>
        <v>ZPI</v>
      </c>
      <c r="C4712" t="str">
        <f t="shared" si="295"/>
        <v>11331-0000</v>
      </c>
      <c r="D4712" t="s">
        <v>30648</v>
      </c>
      <c r="E4712" t="s">
        <v>13354</v>
      </c>
      <c r="F4712" t="s">
        <v>14039</v>
      </c>
      <c r="G4712" t="s">
        <v>14672</v>
      </c>
      <c r="H4712" t="s">
        <v>13869</v>
      </c>
      <c r="I4712" t="s">
        <v>14690</v>
      </c>
      <c r="J4712" s="62">
        <v>0</v>
      </c>
      <c r="K4712" s="62">
        <v>0</v>
      </c>
      <c r="L4712" t="str">
        <f>VLOOKUP(VALUE(LEFT(C4712,5)),Xref!A:B,2,0)</f>
        <v>WIL</v>
      </c>
      <c r="M4712" t="str">
        <f t="shared" si="292"/>
        <v>WIL-ZPI</v>
      </c>
    </row>
    <row r="4713" spans="1:13">
      <c r="A4713" t="str">
        <f t="shared" si="293"/>
        <v>ZPI - Intercompany</v>
      </c>
      <c r="B4713" t="str">
        <f t="shared" si="294"/>
        <v>ZPI</v>
      </c>
      <c r="C4713" t="str">
        <f t="shared" si="295"/>
        <v>11332-0000</v>
      </c>
      <c r="D4713" t="s">
        <v>30649</v>
      </c>
      <c r="E4713" t="s">
        <v>13243</v>
      </c>
      <c r="F4713" t="s">
        <v>14039</v>
      </c>
      <c r="G4713" t="s">
        <v>14672</v>
      </c>
      <c r="H4713" t="s">
        <v>13869</v>
      </c>
      <c r="I4713" t="s">
        <v>14690</v>
      </c>
      <c r="J4713" s="62">
        <v>0</v>
      </c>
      <c r="K4713" s="62">
        <v>0</v>
      </c>
      <c r="L4713" t="str">
        <f>VLOOKUP(VALUE(LEFT(C4713,5)),Xref!A:B,2,0)</f>
        <v>STO</v>
      </c>
      <c r="M4713" t="str">
        <f t="shared" si="292"/>
        <v>STO-ZPI</v>
      </c>
    </row>
    <row r="4714" spans="1:13">
      <c r="A4714" t="str">
        <f t="shared" si="293"/>
        <v>ZPI - Intercompany</v>
      </c>
      <c r="B4714" t="str">
        <f t="shared" si="294"/>
        <v>ZPI</v>
      </c>
      <c r="C4714" t="str">
        <f t="shared" si="295"/>
        <v>11333-0000</v>
      </c>
      <c r="D4714" t="s">
        <v>30650</v>
      </c>
      <c r="E4714" t="s">
        <v>13244</v>
      </c>
      <c r="F4714" t="s">
        <v>14039</v>
      </c>
      <c r="G4714" t="s">
        <v>14672</v>
      </c>
      <c r="H4714" t="s">
        <v>13869</v>
      </c>
      <c r="I4714" t="s">
        <v>14690</v>
      </c>
      <c r="J4714" s="62">
        <v>0</v>
      </c>
      <c r="K4714" s="62">
        <v>0</v>
      </c>
      <c r="L4714" t="str">
        <f>VLOOKUP(VALUE(LEFT(C4714,5)),Xref!A:B,2,0)</f>
        <v>ANG</v>
      </c>
      <c r="M4714" t="str">
        <f t="shared" si="292"/>
        <v>ANG-ZPI</v>
      </c>
    </row>
    <row r="4715" spans="1:13">
      <c r="A4715" t="str">
        <f t="shared" si="293"/>
        <v>ZPI - Intercompany</v>
      </c>
      <c r="B4715" t="str">
        <f t="shared" si="294"/>
        <v>ZPI</v>
      </c>
      <c r="C4715" t="str">
        <f t="shared" si="295"/>
        <v>11334-0000</v>
      </c>
      <c r="D4715" t="s">
        <v>30651</v>
      </c>
      <c r="E4715" t="s">
        <v>13245</v>
      </c>
      <c r="F4715" t="s">
        <v>14039</v>
      </c>
      <c r="G4715" t="s">
        <v>14672</v>
      </c>
      <c r="H4715" t="s">
        <v>13869</v>
      </c>
      <c r="I4715" t="s">
        <v>14690</v>
      </c>
      <c r="J4715" s="62">
        <v>0</v>
      </c>
      <c r="K4715" s="62">
        <v>0</v>
      </c>
      <c r="L4715" t="str">
        <f>VLOOKUP(VALUE(LEFT(C4715,5)),Xref!A:B,2,0)</f>
        <v>BRU</v>
      </c>
      <c r="M4715" t="str">
        <f t="shared" ref="M4715:M4757" si="296">IF(B4715&lt;L4715,B4715&amp;"-"&amp;L4715,L4715&amp;"-"&amp;B4715)</f>
        <v>BRU-ZPI</v>
      </c>
    </row>
    <row r="4716" spans="1:13">
      <c r="A4716" t="str">
        <f t="shared" si="293"/>
        <v>ZPI - Intercompany</v>
      </c>
      <c r="B4716" t="str">
        <f t="shared" si="294"/>
        <v>ZPI</v>
      </c>
      <c r="C4716" t="str">
        <f t="shared" si="295"/>
        <v>11335-0000</v>
      </c>
      <c r="D4716" t="s">
        <v>30652</v>
      </c>
      <c r="E4716" t="s">
        <v>13246</v>
      </c>
      <c r="F4716" t="s">
        <v>14039</v>
      </c>
      <c r="G4716" t="s">
        <v>14672</v>
      </c>
      <c r="H4716" t="s">
        <v>13869</v>
      </c>
      <c r="I4716" t="s">
        <v>14690</v>
      </c>
      <c r="J4716" s="62">
        <v>0</v>
      </c>
      <c r="K4716" s="62">
        <v>0</v>
      </c>
      <c r="L4716" t="str">
        <f>VLOOKUP(VALUE(LEFT(C4716,5)),Xref!A:B,2,0)</f>
        <v>VEN</v>
      </c>
      <c r="M4716" t="str">
        <f t="shared" si="296"/>
        <v>VEN-ZPI</v>
      </c>
    </row>
    <row r="4717" spans="1:13">
      <c r="A4717" t="str">
        <f t="shared" si="293"/>
        <v>ZPI - Intercompany</v>
      </c>
      <c r="B4717" t="str">
        <f t="shared" si="294"/>
        <v>ZPI</v>
      </c>
      <c r="C4717" t="str">
        <f t="shared" si="295"/>
        <v>11336-0000</v>
      </c>
      <c r="D4717" t="s">
        <v>30653</v>
      </c>
      <c r="E4717" t="s">
        <v>13247</v>
      </c>
      <c r="F4717" t="s">
        <v>14039</v>
      </c>
      <c r="G4717" t="s">
        <v>14672</v>
      </c>
      <c r="H4717" t="s">
        <v>13869</v>
      </c>
      <c r="I4717" t="s">
        <v>14690</v>
      </c>
      <c r="J4717" s="62">
        <v>0</v>
      </c>
      <c r="K4717" s="62">
        <v>0</v>
      </c>
      <c r="L4717" t="str">
        <f>VLOOKUP(VALUE(LEFT(C4717,5)),Xref!A:B,2,0)</f>
        <v>SAT</v>
      </c>
      <c r="M4717" t="str">
        <f t="shared" si="296"/>
        <v>SAT-ZPI</v>
      </c>
    </row>
    <row r="4718" spans="1:13">
      <c r="A4718" t="str">
        <f t="shared" si="293"/>
        <v>ZPI - Intercompany</v>
      </c>
      <c r="B4718" t="str">
        <f t="shared" si="294"/>
        <v>ZPI</v>
      </c>
      <c r="C4718" t="str">
        <f t="shared" si="295"/>
        <v>11337-0000</v>
      </c>
      <c r="D4718" t="s">
        <v>30654</v>
      </c>
      <c r="E4718" t="s">
        <v>13248</v>
      </c>
      <c r="F4718" t="s">
        <v>14039</v>
      </c>
      <c r="G4718" t="s">
        <v>14672</v>
      </c>
      <c r="H4718" t="s">
        <v>13869</v>
      </c>
      <c r="I4718" t="s">
        <v>14690</v>
      </c>
      <c r="J4718" s="62">
        <v>0</v>
      </c>
      <c r="K4718" s="62">
        <v>0</v>
      </c>
      <c r="L4718" t="str">
        <f>VLOOKUP(VALUE(LEFT(C4718,5)),Xref!A:B,2,0)</f>
        <v>NEP</v>
      </c>
      <c r="M4718" t="str">
        <f t="shared" si="296"/>
        <v>NEP-ZPI</v>
      </c>
    </row>
    <row r="4719" spans="1:13">
      <c r="A4719" t="str">
        <f t="shared" si="293"/>
        <v>ZPI - Intercompany</v>
      </c>
      <c r="B4719" t="str">
        <f t="shared" si="294"/>
        <v>ZPI</v>
      </c>
      <c r="C4719" t="str">
        <f t="shared" si="295"/>
        <v>11338-0000</v>
      </c>
      <c r="D4719" t="s">
        <v>30655</v>
      </c>
      <c r="E4719" t="s">
        <v>14131</v>
      </c>
      <c r="F4719" t="s">
        <v>14039</v>
      </c>
      <c r="G4719" t="s">
        <v>14672</v>
      </c>
      <c r="H4719" t="s">
        <v>13869</v>
      </c>
      <c r="I4719" t="s">
        <v>14690</v>
      </c>
      <c r="J4719" s="62">
        <v>0</v>
      </c>
      <c r="K4719" s="62">
        <v>0</v>
      </c>
      <c r="L4719" t="str">
        <f>VLOOKUP(VALUE(LEFT(C4719,5)),Xref!A:B,2,0)</f>
        <v>JUP</v>
      </c>
      <c r="M4719" t="str">
        <f t="shared" si="296"/>
        <v>JUP-ZPI</v>
      </c>
    </row>
    <row r="4720" spans="1:13">
      <c r="A4720" t="str">
        <f t="shared" si="293"/>
        <v>ZPI - Intercompany</v>
      </c>
      <c r="B4720" t="str">
        <f t="shared" si="294"/>
        <v>ZPI</v>
      </c>
      <c r="C4720" t="str">
        <f t="shared" si="295"/>
        <v>11339-0000</v>
      </c>
      <c r="D4720" t="s">
        <v>30656</v>
      </c>
      <c r="E4720" t="s">
        <v>14133</v>
      </c>
      <c r="F4720" t="s">
        <v>14039</v>
      </c>
      <c r="G4720" t="s">
        <v>14672</v>
      </c>
      <c r="H4720" t="s">
        <v>13869</v>
      </c>
      <c r="I4720" t="s">
        <v>14690</v>
      </c>
      <c r="J4720" s="62">
        <v>0</v>
      </c>
      <c r="K4720" s="62">
        <v>0</v>
      </c>
      <c r="L4720" t="str">
        <f>VLOOKUP(VALUE(LEFT(C4720,5)),Xref!A:B,2,0)</f>
        <v>WES</v>
      </c>
      <c r="M4720" t="str">
        <f t="shared" si="296"/>
        <v>WES-ZPI</v>
      </c>
    </row>
    <row r="4721" spans="1:13">
      <c r="A4721" t="str">
        <f t="shared" si="293"/>
        <v>ZPI - Intercompany</v>
      </c>
      <c r="B4721" t="str">
        <f t="shared" si="294"/>
        <v>ZPI</v>
      </c>
      <c r="C4721" t="str">
        <f t="shared" si="295"/>
        <v>11340-0000</v>
      </c>
      <c r="D4721" t="s">
        <v>30657</v>
      </c>
      <c r="E4721" t="s">
        <v>14135</v>
      </c>
      <c r="F4721" t="s">
        <v>14039</v>
      </c>
      <c r="G4721" t="s">
        <v>14672</v>
      </c>
      <c r="H4721" t="s">
        <v>13869</v>
      </c>
      <c r="I4721" t="s">
        <v>14690</v>
      </c>
      <c r="J4721" s="62">
        <v>0</v>
      </c>
      <c r="K4721" s="62">
        <v>0</v>
      </c>
      <c r="L4721" t="str">
        <f>VLOOKUP(VALUE(LEFT(C4721,5)),Xref!A:B,2,0)</f>
        <v>LCP</v>
      </c>
      <c r="M4721" t="str">
        <f t="shared" si="296"/>
        <v>LCP-ZPI</v>
      </c>
    </row>
    <row r="4722" spans="1:13">
      <c r="A4722" t="str">
        <f t="shared" si="293"/>
        <v>ZPI - Intercompany</v>
      </c>
      <c r="B4722" t="str">
        <f t="shared" si="294"/>
        <v>ZPI</v>
      </c>
      <c r="C4722" t="str">
        <f t="shared" si="295"/>
        <v>11341-0000</v>
      </c>
      <c r="D4722" t="s">
        <v>30658</v>
      </c>
      <c r="E4722" t="s">
        <v>13639</v>
      </c>
      <c r="F4722" t="s">
        <v>14039</v>
      </c>
      <c r="G4722" t="s">
        <v>14672</v>
      </c>
      <c r="H4722" t="s">
        <v>13869</v>
      </c>
      <c r="I4722" t="s">
        <v>14690</v>
      </c>
      <c r="J4722" s="62">
        <v>0</v>
      </c>
      <c r="K4722" s="62">
        <v>0</v>
      </c>
      <c r="L4722" t="str">
        <f>VLOOKUP(VALUE(LEFT(C4722,5)),Xref!A:B,2,0)</f>
        <v>NOR</v>
      </c>
      <c r="M4722" t="str">
        <f t="shared" si="296"/>
        <v>NOR-ZPI</v>
      </c>
    </row>
    <row r="4723" spans="1:13">
      <c r="A4723" t="str">
        <f t="shared" si="293"/>
        <v>ZPI - Intercompany</v>
      </c>
      <c r="B4723" t="str">
        <f t="shared" si="294"/>
        <v>ZPI</v>
      </c>
      <c r="C4723" t="str">
        <f t="shared" si="295"/>
        <v>11342-0000</v>
      </c>
      <c r="D4723" t="s">
        <v>30659</v>
      </c>
      <c r="E4723" t="s">
        <v>13355</v>
      </c>
      <c r="F4723" t="s">
        <v>14039</v>
      </c>
      <c r="G4723" t="s">
        <v>14672</v>
      </c>
      <c r="H4723" t="s">
        <v>13869</v>
      </c>
      <c r="I4723" t="s">
        <v>14690</v>
      </c>
      <c r="J4723" s="62">
        <v>0</v>
      </c>
      <c r="K4723" s="62">
        <v>0</v>
      </c>
      <c r="L4723" t="str">
        <f>VLOOKUP(VALUE(LEFT(C4723,5)),Xref!A:B,2,0)</f>
        <v>EAS</v>
      </c>
      <c r="M4723" t="str">
        <f t="shared" si="296"/>
        <v>EAS-ZPI</v>
      </c>
    </row>
    <row r="4724" spans="1:13">
      <c r="A4724" t="str">
        <f t="shared" si="293"/>
        <v>ZPI - Intercompany</v>
      </c>
      <c r="B4724" t="str">
        <f t="shared" si="294"/>
        <v>ZPI</v>
      </c>
      <c r="C4724" t="str">
        <f t="shared" si="295"/>
        <v>11343-0000</v>
      </c>
      <c r="D4724" t="s">
        <v>30660</v>
      </c>
      <c r="E4724" t="s">
        <v>14139</v>
      </c>
      <c r="F4724" t="s">
        <v>14039</v>
      </c>
      <c r="G4724" t="s">
        <v>14672</v>
      </c>
      <c r="H4724" t="s">
        <v>13869</v>
      </c>
      <c r="I4724" t="s">
        <v>14690</v>
      </c>
      <c r="J4724" s="62">
        <v>0</v>
      </c>
      <c r="K4724" s="62">
        <v>0</v>
      </c>
      <c r="L4724" t="str">
        <f>VLOOKUP(VALUE(LEFT(C4724,5)),Xref!A:B,2,0)</f>
        <v>GRA</v>
      </c>
      <c r="M4724" t="str">
        <f t="shared" si="296"/>
        <v>GRA-ZPI</v>
      </c>
    </row>
    <row r="4725" spans="1:13">
      <c r="A4725" t="str">
        <f t="shared" si="293"/>
        <v>ZPI - Intercompany</v>
      </c>
      <c r="B4725" t="str">
        <f t="shared" si="294"/>
        <v>ZPI</v>
      </c>
      <c r="C4725" t="str">
        <f t="shared" si="295"/>
        <v>11344-0000</v>
      </c>
      <c r="D4725" t="s">
        <v>30661</v>
      </c>
      <c r="E4725" t="s">
        <v>14141</v>
      </c>
      <c r="F4725" t="s">
        <v>14039</v>
      </c>
      <c r="G4725" t="s">
        <v>14672</v>
      </c>
      <c r="H4725" t="s">
        <v>13869</v>
      </c>
      <c r="I4725" t="s">
        <v>14690</v>
      </c>
      <c r="J4725" s="62">
        <v>0</v>
      </c>
      <c r="K4725" s="62">
        <v>0</v>
      </c>
      <c r="L4725" t="str">
        <f>VLOOKUP(VALUE(LEFT(C4725,5)),Xref!A:B,2,0)</f>
        <v>SOU</v>
      </c>
      <c r="M4725" t="str">
        <f t="shared" si="296"/>
        <v>SOU-ZPI</v>
      </c>
    </row>
    <row r="4726" spans="1:13">
      <c r="A4726" t="str">
        <f t="shared" si="293"/>
        <v>ZPI - Intercompany</v>
      </c>
      <c r="B4726" t="str">
        <f t="shared" si="294"/>
        <v>ZPI</v>
      </c>
      <c r="C4726" t="str">
        <f t="shared" si="295"/>
        <v>11345-0000</v>
      </c>
      <c r="D4726" t="s">
        <v>30662</v>
      </c>
      <c r="E4726" t="s">
        <v>14143</v>
      </c>
      <c r="F4726" t="s">
        <v>14039</v>
      </c>
      <c r="G4726" t="s">
        <v>14672</v>
      </c>
      <c r="H4726" t="s">
        <v>13869</v>
      </c>
      <c r="I4726" t="s">
        <v>14690</v>
      </c>
      <c r="J4726" s="62">
        <v>0</v>
      </c>
      <c r="K4726" s="62">
        <v>0</v>
      </c>
      <c r="L4726" t="str">
        <f>VLOOKUP(VALUE(LEFT(C4726,5)),Xref!A:B,2,0)</f>
        <v>API</v>
      </c>
      <c r="M4726" t="str">
        <f t="shared" si="296"/>
        <v>API-ZPI</v>
      </c>
    </row>
    <row r="4727" spans="1:13">
      <c r="A4727" t="str">
        <f t="shared" si="293"/>
        <v>ZPI - Intercompany</v>
      </c>
      <c r="B4727" t="str">
        <f t="shared" si="294"/>
        <v>ZPI</v>
      </c>
      <c r="C4727" t="str">
        <f t="shared" si="295"/>
        <v>11346-0000</v>
      </c>
      <c r="D4727" t="s">
        <v>30663</v>
      </c>
      <c r="E4727" t="s">
        <v>14145</v>
      </c>
      <c r="F4727" t="s">
        <v>14039</v>
      </c>
      <c r="G4727" t="s">
        <v>14672</v>
      </c>
      <c r="H4727" t="s">
        <v>13869</v>
      </c>
      <c r="I4727" t="s">
        <v>14690</v>
      </c>
      <c r="J4727" s="62">
        <v>0</v>
      </c>
      <c r="K4727" s="62">
        <v>0</v>
      </c>
      <c r="L4727" t="str">
        <f>VLOOKUP(VALUE(LEFT(C4727,5)),Xref!A:B,2,0)</f>
        <v>DPH</v>
      </c>
      <c r="M4727" t="str">
        <f t="shared" si="296"/>
        <v>DPH-ZPI</v>
      </c>
    </row>
    <row r="4728" spans="1:13">
      <c r="A4728" t="str">
        <f t="shared" si="293"/>
        <v>ZPI - Intercompany</v>
      </c>
      <c r="B4728" t="str">
        <f t="shared" si="294"/>
        <v>ZPI</v>
      </c>
      <c r="C4728" t="str">
        <f t="shared" si="295"/>
        <v>11347-0000</v>
      </c>
      <c r="D4728" t="s">
        <v>30664</v>
      </c>
      <c r="E4728" t="s">
        <v>14147</v>
      </c>
      <c r="F4728" t="s">
        <v>14039</v>
      </c>
      <c r="G4728" t="s">
        <v>14672</v>
      </c>
      <c r="H4728" t="s">
        <v>13869</v>
      </c>
      <c r="I4728" t="s">
        <v>14690</v>
      </c>
      <c r="J4728" s="62">
        <v>0</v>
      </c>
      <c r="K4728" s="62">
        <v>20000</v>
      </c>
      <c r="L4728" t="str">
        <f>VLOOKUP(VALUE(LEFT(C4728,5)),Xref!A:B,2,0)</f>
        <v>ZPI</v>
      </c>
      <c r="M4728" t="str">
        <f t="shared" si="296"/>
        <v>ZPI-ZPI</v>
      </c>
    </row>
    <row r="4729" spans="1:13">
      <c r="A4729" t="str">
        <f t="shared" si="293"/>
        <v>ZPI - Intercompany</v>
      </c>
      <c r="B4729" t="str">
        <f t="shared" si="294"/>
        <v>ZPI</v>
      </c>
      <c r="C4729" t="str">
        <f t="shared" si="295"/>
        <v>11348-0000</v>
      </c>
      <c r="D4729" t="s">
        <v>30665</v>
      </c>
      <c r="E4729" t="s">
        <v>14149</v>
      </c>
      <c r="F4729" t="s">
        <v>14039</v>
      </c>
      <c r="G4729" t="s">
        <v>14672</v>
      </c>
      <c r="H4729" t="s">
        <v>13869</v>
      </c>
      <c r="I4729" t="s">
        <v>14690</v>
      </c>
      <c r="J4729" s="62">
        <v>0</v>
      </c>
      <c r="K4729" s="62">
        <v>0</v>
      </c>
      <c r="L4729" t="str">
        <f>VLOOKUP(VALUE(LEFT(C4729,5)),Xref!A:B,2,0)</f>
        <v>EAM</v>
      </c>
      <c r="M4729" t="str">
        <f t="shared" si="296"/>
        <v>EAM-ZPI</v>
      </c>
    </row>
    <row r="4730" spans="1:13">
      <c r="A4730" t="str">
        <f t="shared" si="293"/>
        <v>ZPI - Intercompany</v>
      </c>
      <c r="B4730" t="str">
        <f t="shared" si="294"/>
        <v>ZPI</v>
      </c>
      <c r="C4730" t="str">
        <f t="shared" si="295"/>
        <v>11349-0000</v>
      </c>
      <c r="D4730" t="s">
        <v>30666</v>
      </c>
      <c r="E4730" t="s">
        <v>14151</v>
      </c>
      <c r="F4730" t="s">
        <v>14039</v>
      </c>
      <c r="G4730" t="s">
        <v>14672</v>
      </c>
      <c r="H4730" t="s">
        <v>13869</v>
      </c>
      <c r="I4730" t="s">
        <v>14690</v>
      </c>
      <c r="J4730" s="62">
        <v>0</v>
      </c>
      <c r="K4730" s="62">
        <v>66889.45</v>
      </c>
      <c r="L4730" t="str">
        <f>VLOOKUP(VALUE(LEFT(C4730,5)),Xref!A:B,2,0)</f>
        <v>SEA</v>
      </c>
      <c r="M4730" t="str">
        <f t="shared" si="296"/>
        <v>SEA-ZPI</v>
      </c>
    </row>
    <row r="4731" spans="1:13">
      <c r="A4731" t="str">
        <f t="shared" si="293"/>
        <v>ZPI - Intercompany</v>
      </c>
      <c r="B4731" t="str">
        <f t="shared" si="294"/>
        <v>ZPI</v>
      </c>
      <c r="C4731" t="str">
        <f t="shared" si="295"/>
        <v>11350-0000</v>
      </c>
      <c r="D4731" t="s">
        <v>30667</v>
      </c>
      <c r="E4731" t="s">
        <v>14153</v>
      </c>
      <c r="F4731" t="s">
        <v>14039</v>
      </c>
      <c r="G4731" t="s">
        <v>14672</v>
      </c>
      <c r="H4731" t="s">
        <v>13869</v>
      </c>
      <c r="I4731" t="s">
        <v>14690</v>
      </c>
      <c r="J4731" s="62">
        <v>0</v>
      </c>
      <c r="K4731" s="62">
        <v>-57.38</v>
      </c>
      <c r="L4731" t="str">
        <f>VLOOKUP(VALUE(LEFT(C4731,5)),Xref!A:B,2,0)</f>
        <v>EAL</v>
      </c>
      <c r="M4731" t="str">
        <f t="shared" si="296"/>
        <v>EAL-ZPI</v>
      </c>
    </row>
    <row r="4732" spans="1:13">
      <c r="A4732" t="str">
        <f t="shared" si="293"/>
        <v>ZPI - Intercompany</v>
      </c>
      <c r="B4732" t="str">
        <f t="shared" si="294"/>
        <v>ZPI</v>
      </c>
      <c r="C4732" t="str">
        <f t="shared" si="295"/>
        <v>11351-0000</v>
      </c>
      <c r="D4732" t="s">
        <v>30668</v>
      </c>
      <c r="E4732" t="s">
        <v>14155</v>
      </c>
      <c r="F4732" t="s">
        <v>14039</v>
      </c>
      <c r="G4732" t="s">
        <v>14672</v>
      </c>
      <c r="H4732" t="s">
        <v>13869</v>
      </c>
      <c r="I4732" t="s">
        <v>14690</v>
      </c>
      <c r="J4732" s="62">
        <v>0</v>
      </c>
      <c r="K4732" s="62">
        <v>0</v>
      </c>
      <c r="L4732" t="str">
        <f>VLOOKUP(VALUE(LEFT(C4732,5)),Xref!A:B,2,0)</f>
        <v>WEP</v>
      </c>
      <c r="M4732" t="str">
        <f t="shared" si="296"/>
        <v>WEP-ZPI</v>
      </c>
    </row>
    <row r="4733" spans="1:13">
      <c r="A4733" t="str">
        <f t="shared" si="293"/>
        <v>ZPI - Intercompany</v>
      </c>
      <c r="B4733" t="str">
        <f t="shared" si="294"/>
        <v>ZPI</v>
      </c>
      <c r="C4733" t="str">
        <f t="shared" si="295"/>
        <v>11352-0000</v>
      </c>
      <c r="D4733" t="s">
        <v>30669</v>
      </c>
      <c r="E4733" t="s">
        <v>13536</v>
      </c>
      <c r="F4733" t="s">
        <v>14039</v>
      </c>
      <c r="G4733" t="s">
        <v>14672</v>
      </c>
      <c r="H4733" t="s">
        <v>13869</v>
      </c>
      <c r="I4733" t="s">
        <v>14690</v>
      </c>
      <c r="J4733" s="62">
        <v>0</v>
      </c>
      <c r="K4733" s="62">
        <v>0</v>
      </c>
      <c r="L4733" t="str">
        <f>VLOOKUP(VALUE(LEFT(C4733,5)),Xref!A:B,2,0)</f>
        <v>KLP</v>
      </c>
      <c r="M4733" t="str">
        <f t="shared" si="296"/>
        <v>KLP-ZPI</v>
      </c>
    </row>
    <row r="4734" spans="1:13">
      <c r="A4734" t="str">
        <f t="shared" si="293"/>
        <v>ZPI - Intercompany</v>
      </c>
      <c r="B4734" t="str">
        <f t="shared" si="294"/>
        <v>ZPI</v>
      </c>
      <c r="C4734" t="str">
        <f t="shared" si="295"/>
        <v>11353-0000</v>
      </c>
      <c r="D4734" t="s">
        <v>30670</v>
      </c>
      <c r="E4734" t="s">
        <v>13537</v>
      </c>
      <c r="F4734" t="s">
        <v>14039</v>
      </c>
      <c r="G4734" t="s">
        <v>14672</v>
      </c>
      <c r="H4734" t="s">
        <v>13869</v>
      </c>
      <c r="I4734" t="s">
        <v>14690</v>
      </c>
      <c r="J4734" s="62">
        <v>0</v>
      </c>
      <c r="K4734" s="62">
        <v>0</v>
      </c>
      <c r="L4734" t="str">
        <f>VLOOKUP(VALUE(LEFT(C4734,5)),Xref!A:B,2,0)</f>
        <v>AKC</v>
      </c>
      <c r="M4734" t="str">
        <f t="shared" si="296"/>
        <v>AKC-ZPI</v>
      </c>
    </row>
    <row r="4735" spans="1:13">
      <c r="A4735" t="str">
        <f t="shared" si="293"/>
        <v>ZPI - Intercompany</v>
      </c>
      <c r="B4735" t="str">
        <f t="shared" si="294"/>
        <v>ZPI</v>
      </c>
      <c r="C4735" t="str">
        <f t="shared" si="295"/>
        <v>11354-0000</v>
      </c>
      <c r="D4735" t="s">
        <v>30671</v>
      </c>
      <c r="E4735" t="s">
        <v>13538</v>
      </c>
      <c r="F4735" t="s">
        <v>14039</v>
      </c>
      <c r="G4735" t="s">
        <v>14672</v>
      </c>
      <c r="H4735" t="s">
        <v>13869</v>
      </c>
      <c r="I4735" t="s">
        <v>14690</v>
      </c>
      <c r="J4735" s="62">
        <v>0</v>
      </c>
      <c r="K4735" s="62">
        <v>0</v>
      </c>
      <c r="L4735" t="str">
        <f>VLOOKUP(VALUE(LEFT(C4735,5)),Xref!A:B,2,0)</f>
        <v>AKA</v>
      </c>
      <c r="M4735" t="str">
        <f t="shared" si="296"/>
        <v>AKA-ZPI</v>
      </c>
    </row>
    <row r="4736" spans="1:13">
      <c r="A4736" t="str">
        <f t="shared" si="293"/>
        <v>ZPI - Intercompany</v>
      </c>
      <c r="B4736" t="str">
        <f t="shared" si="294"/>
        <v>ZPI</v>
      </c>
      <c r="C4736" t="str">
        <f t="shared" si="295"/>
        <v>11355-0000</v>
      </c>
      <c r="D4736" t="s">
        <v>30672</v>
      </c>
      <c r="E4736" t="s">
        <v>13539</v>
      </c>
      <c r="F4736" t="s">
        <v>14039</v>
      </c>
      <c r="G4736" t="s">
        <v>14672</v>
      </c>
      <c r="H4736" t="s">
        <v>13869</v>
      </c>
      <c r="I4736" t="s">
        <v>14690</v>
      </c>
      <c r="J4736" s="62">
        <v>0</v>
      </c>
      <c r="K4736" s="62">
        <v>0</v>
      </c>
      <c r="L4736" t="str">
        <f>VLOOKUP(VALUE(LEFT(C4736,5)),Xref!A:B,2,0)</f>
        <v>SPA</v>
      </c>
      <c r="M4736" t="str">
        <f t="shared" si="296"/>
        <v>SPA-ZPI</v>
      </c>
    </row>
    <row r="4737" spans="1:13">
      <c r="A4737" t="str">
        <f t="shared" si="293"/>
        <v>ZPI - Intercompany</v>
      </c>
      <c r="B4737" t="str">
        <f t="shared" si="294"/>
        <v>ZPI</v>
      </c>
      <c r="C4737" t="str">
        <f t="shared" si="295"/>
        <v>11356-0000</v>
      </c>
      <c r="D4737" t="s">
        <v>30673</v>
      </c>
      <c r="E4737" t="s">
        <v>13540</v>
      </c>
      <c r="F4737" t="s">
        <v>14039</v>
      </c>
      <c r="G4737" t="s">
        <v>14672</v>
      </c>
      <c r="H4737" t="s">
        <v>13869</v>
      </c>
      <c r="I4737" t="s">
        <v>14690</v>
      </c>
      <c r="J4737" s="62">
        <v>0</v>
      </c>
      <c r="K4737" s="62">
        <v>0</v>
      </c>
      <c r="L4737" t="str">
        <f>VLOOKUP(VALUE(LEFT(C4737,5)),Xref!A:B,2,0)</f>
        <v>DPM</v>
      </c>
      <c r="M4737" t="str">
        <f t="shared" si="296"/>
        <v>DPM-ZPI</v>
      </c>
    </row>
    <row r="4738" spans="1:13">
      <c r="A4738" t="str">
        <f t="shared" ref="A4738:A4757" si="297">B4738&amp;" - "&amp;TRIM(H4738)</f>
        <v>ZPI - Intercompany</v>
      </c>
      <c r="B4738" t="str">
        <f t="shared" ref="B4738:B4757" si="298">LEFT(D4738,3)</f>
        <v>ZPI</v>
      </c>
      <c r="C4738" t="str">
        <f t="shared" ref="C4738:C4757" si="299">RIGHT(D4738,10)</f>
        <v>11357-0000</v>
      </c>
      <c r="D4738" t="s">
        <v>30674</v>
      </c>
      <c r="E4738" t="s">
        <v>13541</v>
      </c>
      <c r="F4738" t="s">
        <v>14039</v>
      </c>
      <c r="G4738" t="s">
        <v>14672</v>
      </c>
      <c r="H4738" t="s">
        <v>13869</v>
      </c>
      <c r="I4738" t="s">
        <v>14690</v>
      </c>
      <c r="J4738" s="62">
        <v>0</v>
      </c>
      <c r="K4738" s="62">
        <v>0</v>
      </c>
      <c r="L4738" t="str">
        <f>VLOOKUP(VALUE(LEFT(C4738,5)),Xref!A:B,2,0)</f>
        <v>HDM</v>
      </c>
      <c r="M4738" t="str">
        <f t="shared" si="296"/>
        <v>HDM-ZPI</v>
      </c>
    </row>
    <row r="4739" spans="1:13">
      <c r="A4739" t="str">
        <f t="shared" si="297"/>
        <v>ZPI - Intercompany</v>
      </c>
      <c r="B4739" t="str">
        <f t="shared" si="298"/>
        <v>ZPI</v>
      </c>
      <c r="C4739" t="str">
        <f t="shared" si="299"/>
        <v>11358-0000</v>
      </c>
      <c r="D4739" t="s">
        <v>30675</v>
      </c>
      <c r="E4739" t="s">
        <v>13542</v>
      </c>
      <c r="F4739" t="s">
        <v>14039</v>
      </c>
      <c r="G4739" t="s">
        <v>14672</v>
      </c>
      <c r="H4739" t="s">
        <v>13869</v>
      </c>
      <c r="I4739" t="s">
        <v>14690</v>
      </c>
      <c r="J4739" s="62">
        <v>0</v>
      </c>
      <c r="K4739" s="62">
        <v>0</v>
      </c>
      <c r="L4739" t="str">
        <f>VLOOKUP(VALUE(LEFT(C4739,5)),Xref!A:B,2,0)</f>
        <v>GRA</v>
      </c>
      <c r="M4739" t="str">
        <f t="shared" si="296"/>
        <v>GRA-ZPI</v>
      </c>
    </row>
    <row r="4740" spans="1:13">
      <c r="A4740" t="str">
        <f t="shared" si="297"/>
        <v>ZPI - Intercompany</v>
      </c>
      <c r="B4740" t="str">
        <f t="shared" si="298"/>
        <v>ZPI</v>
      </c>
      <c r="C4740" t="str">
        <f t="shared" si="299"/>
        <v>11359-0000</v>
      </c>
      <c r="D4740" t="s">
        <v>30676</v>
      </c>
      <c r="E4740" t="s">
        <v>13543</v>
      </c>
      <c r="F4740" t="s">
        <v>14039</v>
      </c>
      <c r="G4740" t="s">
        <v>14672</v>
      </c>
      <c r="H4740" t="s">
        <v>13869</v>
      </c>
      <c r="I4740" t="s">
        <v>14690</v>
      </c>
      <c r="J4740" s="62">
        <v>0</v>
      </c>
      <c r="K4740" s="62">
        <v>0</v>
      </c>
      <c r="L4740" t="str">
        <f>VLOOKUP(VALUE(LEFT(C4740,5)),Xref!A:B,2,0)</f>
        <v>TPI</v>
      </c>
      <c r="M4740" t="str">
        <f t="shared" si="296"/>
        <v>TPI-ZPI</v>
      </c>
    </row>
    <row r="4741" spans="1:13">
      <c r="A4741" t="str">
        <f t="shared" si="297"/>
        <v>ZPI - Intercompany</v>
      </c>
      <c r="B4741" t="str">
        <f t="shared" si="298"/>
        <v>ZPI</v>
      </c>
      <c r="C4741" t="str">
        <f t="shared" si="299"/>
        <v>11361-0000</v>
      </c>
      <c r="D4741" t="s">
        <v>30677</v>
      </c>
      <c r="E4741" t="s">
        <v>14165</v>
      </c>
      <c r="F4741" t="s">
        <v>14039</v>
      </c>
      <c r="G4741" t="s">
        <v>14672</v>
      </c>
      <c r="H4741" t="s">
        <v>13869</v>
      </c>
      <c r="I4741" t="s">
        <v>14690</v>
      </c>
      <c r="J4741" s="62">
        <v>0</v>
      </c>
      <c r="K4741" s="62">
        <v>0</v>
      </c>
      <c r="L4741" t="str">
        <f>VLOOKUP(VALUE(LEFT(C4741,5)),Xref!A:B,2,0)</f>
        <v>GSM</v>
      </c>
      <c r="M4741" t="str">
        <f t="shared" si="296"/>
        <v>GSM-ZPI</v>
      </c>
    </row>
    <row r="4742" spans="1:13">
      <c r="A4742" t="str">
        <f t="shared" si="297"/>
        <v>ZPI - Intercompany</v>
      </c>
      <c r="B4742" t="str">
        <f t="shared" si="298"/>
        <v>ZPI</v>
      </c>
      <c r="C4742" t="str">
        <f t="shared" si="299"/>
        <v>11363-0000</v>
      </c>
      <c r="D4742" t="s">
        <v>30678</v>
      </c>
      <c r="E4742" t="s">
        <v>13544</v>
      </c>
      <c r="F4742" t="s">
        <v>14039</v>
      </c>
      <c r="G4742" t="s">
        <v>14672</v>
      </c>
      <c r="H4742" t="s">
        <v>13869</v>
      </c>
      <c r="I4742" t="s">
        <v>14690</v>
      </c>
      <c r="J4742" s="62">
        <v>0</v>
      </c>
      <c r="K4742" s="62">
        <v>0</v>
      </c>
      <c r="L4742" t="str">
        <f>VLOOKUP(VALUE(LEFT(C4742,5)),Xref!A:B,2,0)</f>
        <v>SOF</v>
      </c>
      <c r="M4742" t="str">
        <f t="shared" si="296"/>
        <v>SOF-ZPI</v>
      </c>
    </row>
    <row r="4743" spans="1:13">
      <c r="A4743" t="str">
        <f t="shared" si="297"/>
        <v>ZPI - Intercompany</v>
      </c>
      <c r="B4743" t="str">
        <f t="shared" si="298"/>
        <v>ZPI</v>
      </c>
      <c r="C4743" t="str">
        <f t="shared" si="299"/>
        <v>11364-0000</v>
      </c>
      <c r="D4743" t="s">
        <v>30679</v>
      </c>
      <c r="E4743" t="s">
        <v>14168</v>
      </c>
      <c r="F4743" t="s">
        <v>14039</v>
      </c>
      <c r="G4743" t="s">
        <v>14672</v>
      </c>
      <c r="H4743" t="s">
        <v>13869</v>
      </c>
      <c r="I4743" t="s">
        <v>14690</v>
      </c>
      <c r="J4743" s="62">
        <v>0</v>
      </c>
      <c r="K4743" s="62">
        <v>0</v>
      </c>
      <c r="L4743" t="e">
        <f>VLOOKUP(VALUE(LEFT(C4743,5)),Xref!A:B,2,0)</f>
        <v>#N/A</v>
      </c>
      <c r="M4743" t="e">
        <f t="shared" si="296"/>
        <v>#N/A</v>
      </c>
    </row>
    <row r="4744" spans="1:13">
      <c r="A4744" t="str">
        <f t="shared" si="297"/>
        <v>ZPI - Intercompany</v>
      </c>
      <c r="B4744" t="str">
        <f t="shared" si="298"/>
        <v>ZPI</v>
      </c>
      <c r="C4744" t="str">
        <f t="shared" si="299"/>
        <v>11365-0000</v>
      </c>
      <c r="D4744" t="s">
        <v>30680</v>
      </c>
      <c r="E4744" t="s">
        <v>14170</v>
      </c>
      <c r="F4744" t="s">
        <v>14039</v>
      </c>
      <c r="G4744" t="s">
        <v>14672</v>
      </c>
      <c r="H4744" t="s">
        <v>13869</v>
      </c>
      <c r="I4744" t="s">
        <v>14690</v>
      </c>
      <c r="J4744" s="62">
        <v>0</v>
      </c>
      <c r="K4744" s="62">
        <v>0</v>
      </c>
      <c r="L4744" t="e">
        <f>VLOOKUP(VALUE(LEFT(C4744,5)),Xref!A:B,2,0)</f>
        <v>#N/A</v>
      </c>
      <c r="M4744" t="e">
        <f t="shared" si="296"/>
        <v>#N/A</v>
      </c>
    </row>
    <row r="4745" spans="1:13">
      <c r="A4745" t="str">
        <f t="shared" si="297"/>
        <v>ZPI - Intercompany</v>
      </c>
      <c r="B4745" t="str">
        <f t="shared" si="298"/>
        <v>ZPI</v>
      </c>
      <c r="C4745" t="str">
        <f t="shared" si="299"/>
        <v>11366-0000</v>
      </c>
      <c r="D4745" t="s">
        <v>30681</v>
      </c>
      <c r="E4745" t="s">
        <v>14172</v>
      </c>
      <c r="G4745" t="s">
        <v>14672</v>
      </c>
      <c r="H4745" t="s">
        <v>13869</v>
      </c>
      <c r="I4745" t="s">
        <v>14690</v>
      </c>
      <c r="J4745" s="62">
        <v>0</v>
      </c>
      <c r="K4745" s="62">
        <v>0</v>
      </c>
      <c r="L4745" t="e">
        <f>VLOOKUP(VALUE(LEFT(C4745,5)),Xref!A:B,2,0)</f>
        <v>#N/A</v>
      </c>
      <c r="M4745" t="e">
        <f t="shared" si="296"/>
        <v>#N/A</v>
      </c>
    </row>
    <row r="4746" spans="1:13">
      <c r="A4746" t="str">
        <f t="shared" si="297"/>
        <v>ZPI - Intercompany</v>
      </c>
      <c r="B4746" t="str">
        <f t="shared" si="298"/>
        <v>ZPI</v>
      </c>
      <c r="C4746" t="str">
        <f t="shared" si="299"/>
        <v>11402-0000</v>
      </c>
      <c r="D4746" t="s">
        <v>30682</v>
      </c>
      <c r="E4746" t="s">
        <v>14174</v>
      </c>
      <c r="G4746" t="s">
        <v>14672</v>
      </c>
      <c r="H4746" t="s">
        <v>13869</v>
      </c>
      <c r="I4746" t="s">
        <v>14690</v>
      </c>
      <c r="J4746" s="62">
        <v>0</v>
      </c>
      <c r="K4746" s="62">
        <v>0</v>
      </c>
      <c r="L4746" t="str">
        <f>VLOOKUP(VALUE(LEFT(C4746,5)),Xref!A:B,2,0)</f>
        <v>DPI</v>
      </c>
      <c r="M4746" t="str">
        <f t="shared" si="296"/>
        <v>DPI-ZPI</v>
      </c>
    </row>
    <row r="4747" spans="1:13">
      <c r="A4747" t="str">
        <f t="shared" si="297"/>
        <v>ZPI - Intercompany</v>
      </c>
      <c r="B4747" t="str">
        <f t="shared" si="298"/>
        <v>ZPI</v>
      </c>
      <c r="C4747" t="str">
        <f t="shared" si="299"/>
        <v>11403-0000</v>
      </c>
      <c r="D4747" t="s">
        <v>30683</v>
      </c>
      <c r="E4747" t="s">
        <v>14176</v>
      </c>
      <c r="G4747" t="s">
        <v>14672</v>
      </c>
      <c r="H4747" t="s">
        <v>13869</v>
      </c>
      <c r="I4747" t="s">
        <v>14690</v>
      </c>
      <c r="J4747" s="62">
        <v>0</v>
      </c>
      <c r="K4747" s="62">
        <v>0</v>
      </c>
      <c r="L4747" t="str">
        <f>VLOOKUP(VALUE(LEFT(C4747,5)),Xref!A:B,2,0)</f>
        <v>SEA</v>
      </c>
      <c r="M4747" t="str">
        <f t="shared" si="296"/>
        <v>SEA-ZPI</v>
      </c>
    </row>
    <row r="4748" spans="1:13">
      <c r="A4748" t="str">
        <f t="shared" si="297"/>
        <v>ZPI - Intercompany</v>
      </c>
      <c r="B4748" t="str">
        <f t="shared" si="298"/>
        <v>ZPI</v>
      </c>
      <c r="C4748" t="str">
        <f t="shared" si="299"/>
        <v>12400-0000</v>
      </c>
      <c r="D4748" t="s">
        <v>30685</v>
      </c>
      <c r="E4748" t="s">
        <v>14185</v>
      </c>
      <c r="F4748" t="s">
        <v>14039</v>
      </c>
      <c r="G4748" t="s">
        <v>14672</v>
      </c>
      <c r="H4748" t="s">
        <v>13869</v>
      </c>
      <c r="I4748" t="s">
        <v>14690</v>
      </c>
      <c r="J4748" s="62">
        <v>0</v>
      </c>
      <c r="K4748" s="62">
        <v>0</v>
      </c>
      <c r="L4748" t="str">
        <f>VLOOKUP(VALUE(LEFT(C4748,5)),Xref!A:B,2,0)</f>
        <v>aka</v>
      </c>
      <c r="M4748" t="str">
        <f t="shared" si="296"/>
        <v>aka-ZPI</v>
      </c>
    </row>
    <row r="4749" spans="1:13">
      <c r="A4749" t="str">
        <f t="shared" si="297"/>
        <v>ZPI - Intercompany</v>
      </c>
      <c r="B4749" t="str">
        <f t="shared" si="298"/>
        <v>ZPI</v>
      </c>
      <c r="C4749" t="str">
        <f t="shared" si="299"/>
        <v>12401-0000</v>
      </c>
      <c r="D4749" t="s">
        <v>30686</v>
      </c>
      <c r="E4749" t="s">
        <v>14187</v>
      </c>
      <c r="F4749" t="s">
        <v>14039</v>
      </c>
      <c r="G4749" t="s">
        <v>14672</v>
      </c>
      <c r="H4749" t="s">
        <v>13869</v>
      </c>
      <c r="I4749" t="s">
        <v>14690</v>
      </c>
      <c r="J4749" s="62">
        <v>0</v>
      </c>
      <c r="K4749" s="62">
        <v>0</v>
      </c>
      <c r="L4749" t="str">
        <f>VLOOKUP(VALUE(LEFT(C4749,5)),Xref!A:B,2,0)</f>
        <v>aka</v>
      </c>
      <c r="M4749" t="str">
        <f t="shared" si="296"/>
        <v>aka-ZPI</v>
      </c>
    </row>
    <row r="4750" spans="1:13">
      <c r="A4750" t="str">
        <f t="shared" si="297"/>
        <v>ZPI - Intercompany</v>
      </c>
      <c r="B4750" t="str">
        <f t="shared" si="298"/>
        <v>ZPI</v>
      </c>
      <c r="C4750" t="str">
        <f t="shared" si="299"/>
        <v>12402-0000</v>
      </c>
      <c r="D4750" t="s">
        <v>30687</v>
      </c>
      <c r="E4750" t="s">
        <v>14189</v>
      </c>
      <c r="F4750" t="s">
        <v>14039</v>
      </c>
      <c r="G4750" t="s">
        <v>14672</v>
      </c>
      <c r="H4750" t="s">
        <v>13869</v>
      </c>
      <c r="I4750" t="s">
        <v>14690</v>
      </c>
      <c r="J4750" s="62">
        <v>0</v>
      </c>
      <c r="K4750" s="62">
        <v>0</v>
      </c>
      <c r="L4750" t="str">
        <f>VLOOKUP(VALUE(LEFT(C4750,5)),Xref!A:B,2,0)</f>
        <v>aka</v>
      </c>
      <c r="M4750" t="str">
        <f t="shared" si="296"/>
        <v>aka-ZPI</v>
      </c>
    </row>
    <row r="4751" spans="1:13">
      <c r="A4751" t="str">
        <f t="shared" si="297"/>
        <v>ZPI - Intercompany</v>
      </c>
      <c r="B4751" t="str">
        <f t="shared" si="298"/>
        <v>ZPI</v>
      </c>
      <c r="C4751" t="str">
        <f t="shared" si="299"/>
        <v>12403-0000</v>
      </c>
      <c r="D4751" t="s">
        <v>30688</v>
      </c>
      <c r="E4751" t="s">
        <v>5226</v>
      </c>
      <c r="F4751" t="s">
        <v>14039</v>
      </c>
      <c r="G4751" t="s">
        <v>14672</v>
      </c>
      <c r="H4751" t="s">
        <v>13869</v>
      </c>
      <c r="I4751" t="s">
        <v>14690</v>
      </c>
      <c r="J4751" s="62">
        <v>0</v>
      </c>
      <c r="K4751" s="62">
        <v>0</v>
      </c>
      <c r="L4751" t="str">
        <f>VLOOKUP(VALUE(LEFT(C4751,5)),Xref!A:B,2,0)</f>
        <v>aka</v>
      </c>
      <c r="M4751" t="str">
        <f t="shared" si="296"/>
        <v>aka-ZPI</v>
      </c>
    </row>
    <row r="4752" spans="1:13">
      <c r="A4752" t="str">
        <f t="shared" si="297"/>
        <v>ZPI - Intercompany</v>
      </c>
      <c r="B4752" t="str">
        <f t="shared" si="298"/>
        <v>ZPI</v>
      </c>
      <c r="C4752" t="str">
        <f t="shared" si="299"/>
        <v>12501-0000</v>
      </c>
      <c r="D4752" t="s">
        <v>30689</v>
      </c>
      <c r="E4752" t="s">
        <v>14192</v>
      </c>
      <c r="F4752" t="s">
        <v>14039</v>
      </c>
      <c r="G4752" t="s">
        <v>14672</v>
      </c>
      <c r="H4752" t="s">
        <v>13869</v>
      </c>
      <c r="I4752" t="s">
        <v>14690</v>
      </c>
      <c r="J4752" s="62">
        <v>0</v>
      </c>
      <c r="K4752" s="62">
        <v>0</v>
      </c>
      <c r="L4752" t="str">
        <f>VLOOKUP(VALUE(LEFT(C4752,5)),Xref!A:B,2,0)</f>
        <v>aka</v>
      </c>
      <c r="M4752" t="str">
        <f t="shared" si="296"/>
        <v>aka-ZPI</v>
      </c>
    </row>
    <row r="4753" spans="1:13">
      <c r="A4753" t="str">
        <f t="shared" si="297"/>
        <v>ZPI - InterCo Notes</v>
      </c>
      <c r="B4753" t="str">
        <f t="shared" si="298"/>
        <v>ZPI</v>
      </c>
      <c r="C4753" t="str">
        <f t="shared" si="299"/>
        <v>25600-0000</v>
      </c>
      <c r="D4753" t="s">
        <v>30730</v>
      </c>
      <c r="E4753" t="s">
        <v>314</v>
      </c>
      <c r="F4753" t="s">
        <v>14039</v>
      </c>
      <c r="G4753" t="s">
        <v>14672</v>
      </c>
      <c r="H4753" t="s">
        <v>13889</v>
      </c>
      <c r="I4753" t="s">
        <v>14690</v>
      </c>
      <c r="J4753" s="62">
        <v>0</v>
      </c>
      <c r="K4753" s="62">
        <v>0</v>
      </c>
      <c r="L4753" t="str">
        <f>VLOOKUP(VALUE(LEFT(C4753,5)),Xref!A:B,2,0)</f>
        <v>D7</v>
      </c>
      <c r="M4753" t="str">
        <f t="shared" si="296"/>
        <v>D7-ZPI</v>
      </c>
    </row>
    <row r="4754" spans="1:13">
      <c r="A4754" t="str">
        <f t="shared" si="297"/>
        <v>ZPI - InterCo Notes</v>
      </c>
      <c r="B4754" t="str">
        <f t="shared" si="298"/>
        <v>ZPI</v>
      </c>
      <c r="C4754" t="str">
        <f t="shared" si="299"/>
        <v>25602-0000</v>
      </c>
      <c r="D4754" t="s">
        <v>30732</v>
      </c>
      <c r="E4754" t="s">
        <v>13426</v>
      </c>
      <c r="F4754" t="s">
        <v>14039</v>
      </c>
      <c r="G4754" t="s">
        <v>14672</v>
      </c>
      <c r="H4754" t="s">
        <v>13889</v>
      </c>
      <c r="I4754" t="s">
        <v>14690</v>
      </c>
      <c r="J4754" s="62">
        <v>-5000</v>
      </c>
      <c r="K4754" s="62">
        <v>-665000</v>
      </c>
      <c r="L4754" t="str">
        <f>VLOOKUP(VALUE(LEFT(C4754,5)),Xref!A:B,2,0)</f>
        <v>DFLP</v>
      </c>
      <c r="M4754" t="str">
        <f t="shared" si="296"/>
        <v>DFLP-ZPI</v>
      </c>
    </row>
    <row r="4755" spans="1:13">
      <c r="A4755" t="str">
        <f t="shared" si="297"/>
        <v>ZPI - InterCo Notes</v>
      </c>
      <c r="B4755" t="str">
        <f t="shared" si="298"/>
        <v>ZPI</v>
      </c>
      <c r="C4755" t="str">
        <f t="shared" si="299"/>
        <v>25603-0000</v>
      </c>
      <c r="D4755" t="s">
        <v>30733</v>
      </c>
      <c r="E4755" t="s">
        <v>14311</v>
      </c>
      <c r="F4755" t="s">
        <v>14039</v>
      </c>
      <c r="G4755" t="s">
        <v>14832</v>
      </c>
      <c r="H4755" t="s">
        <v>13889</v>
      </c>
      <c r="I4755" t="s">
        <v>14690</v>
      </c>
      <c r="J4755" s="62">
        <v>0</v>
      </c>
      <c r="K4755" s="62">
        <v>0</v>
      </c>
      <c r="L4755" t="str">
        <f>VLOOKUP(VALUE(LEFT(C4755,5)),Xref!A:B,2,0)</f>
        <v>aka</v>
      </c>
      <c r="M4755" t="str">
        <f t="shared" si="296"/>
        <v>aka-ZPI</v>
      </c>
    </row>
    <row r="4756" spans="1:13">
      <c r="A4756" t="str">
        <f t="shared" si="297"/>
        <v>ZPI - Intercompany</v>
      </c>
      <c r="B4756" t="str">
        <f t="shared" si="298"/>
        <v>ZPI</v>
      </c>
      <c r="C4756" t="str">
        <f t="shared" si="299"/>
        <v>25604-0000</v>
      </c>
      <c r="D4756" t="s">
        <v>30734</v>
      </c>
      <c r="E4756" t="s">
        <v>13490</v>
      </c>
      <c r="F4756" t="s">
        <v>14039</v>
      </c>
      <c r="G4756" t="s">
        <v>14672</v>
      </c>
      <c r="H4756" t="s">
        <v>13869</v>
      </c>
      <c r="I4756" t="s">
        <v>14690</v>
      </c>
      <c r="J4756" s="62">
        <v>-60000</v>
      </c>
      <c r="K4756" s="62">
        <v>-60000</v>
      </c>
      <c r="L4756">
        <f>VLOOKUP(VALUE(LEFT(C4756,5)),Xref!A:B,2,0)</f>
        <v>0</v>
      </c>
      <c r="M4756" t="str">
        <f t="shared" si="296"/>
        <v>0-ZPI</v>
      </c>
    </row>
    <row r="4757" spans="1:13">
      <c r="A4757" t="str">
        <f t="shared" si="297"/>
        <v> - </v>
      </c>
      <c r="B4757" t="str">
        <f t="shared" si="298"/>
      </c>
      <c r="C4757" t="str">
        <f t="shared" si="299"/>
      </c>
      <c r="L4757" t="e">
        <f>VLOOKUP(VALUE(LEFT(C4757,5)),Xref!A:B,2,0)</f>
        <v>#VALUE!</v>
      </c>
      <c r="M4757" t="e">
        <f t="shared" si="296"/>
        <v>#VALUE!</v>
      </c>
    </row>
  </sheetData>
  <autoFilter ref="A1:N4772"/>
  <pageMargins left="0.7" right="0.7" top="0.75" bottom="0.75" header="0.511811023622047" footer="0.511811023622047"/>
  <pageSetup horizontalDpi="300" orientation="portrait" paperSize="1" useFirstPageNumber="true"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2:C2567"/>
  <sheetViews>
    <sheetView workbookViewId="0">
      <pane activePane="bottomLeft" state="frozen" topLeftCell="A2480" ySplit="3"/>
      <selection/>
      <selection activeCell="B2485" pane="bottomLeft" sqref="B2485"/>
    </sheetView>
  </sheetViews>
  <sheetFormatPr defaultColWidth="9.12" defaultRowHeight="15" outlineLevelCol="2"/>
  <cols>
    <col customWidth="true" max="1" min="1" style="33" width="13.1066666666667"/>
    <col customWidth="true" max="2" min="2" style="36" width="12"/>
    <col customWidth="true" max="3" min="3" style="36" width="14.7733333333333"/>
    <col customWidth="true" max="6" min="4" style="33" width="9.10666666666667"/>
    <col customWidth="true" max="7" min="7" style="33" width="10.8666666666667"/>
    <col customWidth="true" max="8" min="8" style="33" width="11.5533333333333"/>
    <col customWidth="true" max="1024" min="9" style="33" width="9.10666666666667"/>
  </cols>
  <sheetData>
    <row r="1">
      <c r="O1" s="33" t="s">
        <v>34318</v>
      </c>
      <c r="P1" s="33" t="s">
        <v>34319</v>
      </c>
      <c r="Q1" s="33" t="s">
        <v>34320</v>
      </c>
      <c r="R1" s="33" t="s">
        <v>34321</v>
      </c>
      <c r="S1" s="33" t="s">
        <v>34322</v>
      </c>
      <c r="T1" s="33" t="s">
        <v>34323</v>
      </c>
      <c r="U1" s="33" t="s">
        <v>34324</v>
      </c>
      <c r="V1" s="33" t="s">
        <v>34325</v>
      </c>
      <c r="W1" s="33" t="s">
        <v>34326</v>
      </c>
      <c r="X1" s="33" t="s">
        <v>34327</v>
      </c>
      <c r="Y1" s="33" t="s">
        <v>34328</v>
      </c>
      <c r="Z1" s="33" t="s">
        <v>34329</v>
      </c>
      <c r="AA1" s="33" t="s">
        <v>34330</v>
      </c>
      <c r="AB1" s="33" t="s">
        <v>34331</v>
      </c>
      <c r="AC1" s="33" t="s">
        <v>34332</v>
      </c>
      <c r="AD1" s="33" t="s">
        <v>34333</v>
      </c>
      <c r="AE1" s="33" t="s">
        <v>34334</v>
      </c>
      <c r="AF1" s="33" t="s">
        <v>34335</v>
      </c>
      <c r="AG1" s="33" t="s">
        <v>34336</v>
      </c>
      <c r="AH1" s="33" t="s">
        <v>34337</v>
      </c>
      <c r="AI1" s="33" t="s">
        <v>34338</v>
      </c>
      <c r="AJ1" s="33" t="s">
        <v>34339</v>
      </c>
      <c r="AK1" s="33" t="s">
        <v>34340</v>
      </c>
      <c r="AL1" s="33" t="s">
        <v>34341</v>
      </c>
      <c r="AM1" s="33" t="s">
        <v>34342</v>
      </c>
      <c r="AN1" s="33" t="s">
        <v>34343</v>
      </c>
      <c r="AO1" s="33" t="s">
        <v>34344</v>
      </c>
      <c r="AP1" s="33" t="s">
        <v>34345</v>
      </c>
      <c r="AQ1" s="33" t="s">
        <v>34346</v>
      </c>
      <c r="AR1" s="33" t="s">
        <v>34347</v>
      </c>
      <c r="AS1" s="33" t="s">
        <v>34348</v>
      </c>
      <c r="AT1" s="33" t="s">
        <v>34349</v>
      </c>
      <c r="AU1" s="33" t="s">
        <v>34350</v>
      </c>
      <c r="AV1" s="33" t="s">
        <v>34351</v>
      </c>
      <c r="AW1" s="33" t="s">
        <v>34352</v>
      </c>
      <c r="AX1" s="33" t="s">
        <v>34353</v>
      </c>
      <c r="AY1" s="33" t="s">
        <v>34354</v>
      </c>
      <c r="AZ1" s="33" t="s">
        <v>34355</v>
      </c>
      <c r="BA1" s="33" t="s">
        <v>34356</v>
      </c>
      <c r="BB1" s="33" t="s">
        <v>34357</v>
      </c>
      <c r="BC1" s="33" t="s">
        <v>34358</v>
      </c>
      <c r="BD1" s="33" t="s">
        <v>34359</v>
      </c>
      <c r="BE1" s="33" t="s">
        <v>34360</v>
      </c>
      <c r="BF1" s="33" t="s">
        <v>34361</v>
      </c>
      <c r="BG1" s="33" t="s">
        <v>34362</v>
      </c>
      <c r="BH1" s="33" t="s">
        <v>34363</v>
      </c>
      <c r="BI1" s="33" t="s">
        <v>34364</v>
      </c>
      <c r="BJ1" s="33" t="s">
        <v>34365</v>
      </c>
      <c r="BK1" s="33" t="s">
        <v>34366</v>
      </c>
      <c r="BL1" s="33" t="s">
        <v>34367</v>
      </c>
      <c r="BM1" s="33" t="s">
        <v>34368</v>
      </c>
      <c r="BN1" s="33" t="s">
        <v>34369</v>
      </c>
      <c r="BO1" s="33" t="s">
        <v>34370</v>
      </c>
      <c r="BP1" s="33" t="s">
        <v>34371</v>
      </c>
      <c r="BQ1" s="33" t="s">
        <v>34372</v>
      </c>
      <c r="BR1" s="33" t="s">
        <v>34373</v>
      </c>
      <c r="BS1" s="33" t="s">
        <v>34374</v>
      </c>
      <c r="BT1" s="33" t="s">
        <v>34375</v>
      </c>
      <c r="BU1" s="33" t="s">
        <v>34376</v>
      </c>
      <c r="BV1" s="33" t="s">
        <v>34377</v>
      </c>
      <c r="BW1" s="33" t="s">
        <v>34378</v>
      </c>
      <c r="BX1" s="33" t="s">
        <v>34379</v>
      </c>
      <c r="BY1" s="33" t="s">
        <v>34380</v>
      </c>
      <c r="BZ1" s="33" t="s">
        <v>34381</v>
      </c>
      <c r="CA1" s="33" t="s">
        <v>34382</v>
      </c>
      <c r="CB1" s="33" t="s">
        <v>34383</v>
      </c>
      <c r="CC1" s="33" t="s">
        <v>34384</v>
      </c>
      <c r="CD1" s="33" t="s">
        <v>34385</v>
      </c>
      <c r="CE1" s="33" t="s">
        <v>34386</v>
      </c>
      <c r="CF1" s="33" t="s">
        <v>34387</v>
      </c>
      <c r="CG1" s="33" t="s">
        <v>34388</v>
      </c>
      <c r="CH1" s="33" t="s">
        <v>34389</v>
      </c>
      <c r="CI1" s="33" t="s">
        <v>34390</v>
      </c>
      <c r="CJ1" s="33" t="s">
        <v>34391</v>
      </c>
      <c r="CK1" s="33" t="s">
        <v>34392</v>
      </c>
      <c r="CL1" s="33" t="s">
        <v>34393</v>
      </c>
      <c r="CM1" s="33" t="s">
        <v>34394</v>
      </c>
      <c r="CN1" s="33" t="s">
        <v>34395</v>
      </c>
      <c r="CO1" s="33" t="s">
        <v>34396</v>
      </c>
      <c r="CP1" s="33" t="s">
        <v>34397</v>
      </c>
      <c r="CQ1" s="33" t="s">
        <v>34398</v>
      </c>
      <c r="CR1" s="33" t="s">
        <v>34399</v>
      </c>
      <c r="CS1" s="33" t="s">
        <v>34400</v>
      </c>
      <c r="CT1" s="33" t="s">
        <v>34401</v>
      </c>
      <c r="CU1" s="33" t="s">
        <v>34402</v>
      </c>
      <c r="CV1" s="33" t="s">
        <v>34403</v>
      </c>
      <c r="CW1" s="33" t="s">
        <v>34404</v>
      </c>
      <c r="CX1" s="33" t="s">
        <v>34405</v>
      </c>
      <c r="CY1" s="33" t="s">
        <v>34406</v>
      </c>
      <c r="CZ1" s="33" t="s">
        <v>34407</v>
      </c>
      <c r="DA1" s="33" t="s">
        <v>34408</v>
      </c>
      <c r="DB1" s="33" t="s">
        <v>34409</v>
      </c>
      <c r="DC1" s="33" t="s">
        <v>34410</v>
      </c>
      <c r="DD1" s="33" t="s">
        <v>34411</v>
      </c>
      <c r="DE1" s="33" t="s">
        <v>34412</v>
      </c>
      <c r="DF1" s="33" t="s">
        <v>34413</v>
      </c>
      <c r="DG1" s="33" t="s">
        <v>34414</v>
      </c>
      <c r="DH1" s="33" t="s">
        <v>34415</v>
      </c>
      <c r="DI1" s="33" t="s">
        <v>34416</v>
      </c>
      <c r="DJ1" s="33" t="s">
        <v>34417</v>
      </c>
      <c r="DK1" s="33" t="s">
        <v>34418</v>
      </c>
      <c r="DL1" s="33" t="s">
        <v>34419</v>
      </c>
      <c r="DM1" s="33" t="s">
        <v>34420</v>
      </c>
      <c r="DN1" s="33" t="s">
        <v>34421</v>
      </c>
      <c r="DO1" s="33" t="s">
        <v>34422</v>
      </c>
      <c r="DP1" s="33" t="s">
        <v>34423</v>
      </c>
      <c r="DQ1" s="33" t="s">
        <v>34424</v>
      </c>
      <c r="DR1" s="33" t="s">
        <v>34425</v>
      </c>
      <c r="DS1" s="33" t="s">
        <v>34426</v>
      </c>
      <c r="DT1" s="33" t="s">
        <v>34427</v>
      </c>
      <c r="DU1" s="33" t="s">
        <v>34428</v>
      </c>
      <c r="DV1" s="33" t="s">
        <v>34429</v>
      </c>
      <c r="DW1" s="33" t="s">
        <v>34430</v>
      </c>
      <c r="DX1" s="33" t="s">
        <v>34431</v>
      </c>
      <c r="DY1" s="33" t="s">
        <v>34432</v>
      </c>
      <c r="DZ1" s="33" t="s">
        <v>34433</v>
      </c>
      <c r="EA1" s="33" t="s">
        <v>34434</v>
      </c>
      <c r="EB1" s="33" t="s">
        <v>34435</v>
      </c>
      <c r="EC1" s="33" t="s">
        <v>34436</v>
      </c>
      <c r="ED1" s="33" t="s">
        <v>34437</v>
      </c>
      <c r="EE1" s="33" t="s">
        <v>34438</v>
      </c>
      <c r="EF1" s="33" t="s">
        <v>34439</v>
      </c>
      <c r="EG1" s="33" t="s">
        <v>34440</v>
      </c>
      <c r="EH1" s="33" t="s">
        <v>34441</v>
      </c>
      <c r="EI1" s="33" t="s">
        <v>34442</v>
      </c>
      <c r="EJ1" s="33" t="s">
        <v>34443</v>
      </c>
      <c r="EK1" s="33" t="s">
        <v>34444</v>
      </c>
      <c r="EL1" s="33" t="s">
        <v>34445</v>
      </c>
      <c r="EM1" s="33" t="s">
        <v>34446</v>
      </c>
      <c r="EN1" s="33" t="s">
        <v>34447</v>
      </c>
      <c r="EO1" s="33" t="s">
        <v>34448</v>
      </c>
      <c r="EP1" s="33" t="s">
        <v>34449</v>
      </c>
      <c r="EQ1" s="33" t="s">
        <v>34450</v>
      </c>
      <c r="ER1" s="33" t="s">
        <v>34451</v>
      </c>
      <c r="ES1" s="33" t="s">
        <v>34452</v>
      </c>
      <c r="ET1" s="33" t="s">
        <v>34453</v>
      </c>
      <c r="EU1" s="33" t="s">
        <v>34454</v>
      </c>
      <c r="EV1" s="33" t="s">
        <v>34455</v>
      </c>
      <c r="EW1" s="33" t="s">
        <v>34456</v>
      </c>
      <c r="EX1" s="33" t="s">
        <v>34457</v>
      </c>
      <c r="EY1" s="33" t="s">
        <v>34458</v>
      </c>
      <c r="EZ1" s="33" t="s">
        <v>34459</v>
      </c>
      <c r="FA1" s="33" t="s">
        <v>34460</v>
      </c>
      <c r="FB1" s="33" t="s">
        <v>34461</v>
      </c>
      <c r="FC1" s="33" t="s">
        <v>34462</v>
      </c>
      <c r="FD1" s="33" t="s">
        <v>34463</v>
      </c>
      <c r="FE1" s="33" t="s">
        <v>34464</v>
      </c>
      <c r="FF1" s="33" t="s">
        <v>34465</v>
      </c>
      <c r="FG1" s="33" t="s">
        <v>34466</v>
      </c>
      <c r="FH1" s="33" t="s">
        <v>34467</v>
      </c>
      <c r="FI1" s="33" t="s">
        <v>34468</v>
      </c>
      <c r="FJ1" s="33" t="s">
        <v>34469</v>
      </c>
      <c r="FK1" s="33" t="s">
        <v>34470</v>
      </c>
      <c r="FL1" s="33" t="s">
        <v>34471</v>
      </c>
      <c r="FM1" s="33" t="s">
        <v>34472</v>
      </c>
      <c r="FN1" s="33" t="s">
        <v>34473</v>
      </c>
      <c r="FO1" s="33" t="s">
        <v>34474</v>
      </c>
      <c r="FP1" s="33" t="s">
        <v>34475</v>
      </c>
      <c r="FQ1" s="33" t="s">
        <v>34476</v>
      </c>
      <c r="FR1" s="33" t="s">
        <v>34477</v>
      </c>
      <c r="FS1" s="33" t="s">
        <v>34478</v>
      </c>
      <c r="FT1" s="33" t="s">
        <v>34479</v>
      </c>
      <c r="FU1" s="33" t="s">
        <v>34480</v>
      </c>
      <c r="FV1" s="33" t="s">
        <v>34481</v>
      </c>
      <c r="FW1" s="33" t="s">
        <v>34482</v>
      </c>
      <c r="FX1" s="33" t="s">
        <v>34483</v>
      </c>
      <c r="FY1" s="33" t="s">
        <v>34484</v>
      </c>
      <c r="FZ1" s="33" t="s">
        <v>34485</v>
      </c>
      <c r="GA1" s="33" t="s">
        <v>34486</v>
      </c>
      <c r="GB1" s="33" t="s">
        <v>34487</v>
      </c>
      <c r="GC1" s="33" t="s">
        <v>34488</v>
      </c>
      <c r="GD1" s="33" t="s">
        <v>34489</v>
      </c>
      <c r="GE1" s="33" t="s">
        <v>34490</v>
      </c>
      <c r="GF1" s="33" t="s">
        <v>34491</v>
      </c>
      <c r="GG1" s="33" t="s">
        <v>34492</v>
      </c>
      <c r="GH1" s="33" t="s">
        <v>34493</v>
      </c>
      <c r="GI1" s="33" t="s">
        <v>34494</v>
      </c>
      <c r="GJ1" s="33" t="s">
        <v>34495</v>
      </c>
      <c r="GK1" s="33" t="s">
        <v>34496</v>
      </c>
      <c r="GL1" s="33" t="s">
        <v>34497</v>
      </c>
      <c r="GM1" s="33" t="s">
        <v>34498</v>
      </c>
      <c r="GN1" s="33" t="s">
        <v>34499</v>
      </c>
      <c r="GO1" s="33" t="s">
        <v>34500</v>
      </c>
      <c r="GP1" s="33" t="s">
        <v>34501</v>
      </c>
      <c r="GQ1" s="33" t="s">
        <v>34502</v>
      </c>
      <c r="GR1" s="33" t="s">
        <v>34503</v>
      </c>
      <c r="GS1" s="33" t="s">
        <v>34504</v>
      </c>
      <c r="GT1" s="33" t="s">
        <v>34505</v>
      </c>
      <c r="GU1" s="33" t="s">
        <v>34506</v>
      </c>
      <c r="GV1" s="33" t="s">
        <v>34507</v>
      </c>
      <c r="GW1" s="33" t="s">
        <v>34508</v>
      </c>
      <c r="GX1" s="33" t="s">
        <v>34509</v>
      </c>
      <c r="GY1" s="33" t="s">
        <v>34510</v>
      </c>
      <c r="GZ1" s="33" t="s">
        <v>34511</v>
      </c>
      <c r="HA1" s="33" t="s">
        <v>34512</v>
      </c>
      <c r="HB1" s="33" t="s">
        <v>34513</v>
      </c>
      <c r="HC1" s="33" t="s">
        <v>34514</v>
      </c>
      <c r="HD1" s="33" t="s">
        <v>34515</v>
      </c>
      <c r="HE1" s="33" t="s">
        <v>34516</v>
      </c>
      <c r="HF1" s="33" t="s">
        <v>34517</v>
      </c>
      <c r="HG1" s="33" t="s">
        <v>34518</v>
      </c>
      <c r="HH1" s="33" t="s">
        <v>34519</v>
      </c>
      <c r="HI1" s="33" t="s">
        <v>34520</v>
      </c>
      <c r="HJ1" s="33" t="s">
        <v>34521</v>
      </c>
      <c r="HK1" s="33" t="s">
        <v>34522</v>
      </c>
      <c r="HL1" s="33" t="s">
        <v>34523</v>
      </c>
      <c r="HM1" s="33" t="s">
        <v>34524</v>
      </c>
      <c r="HN1" s="33" t="s">
        <v>34525</v>
      </c>
      <c r="HO1" s="33" t="s">
        <v>34526</v>
      </c>
      <c r="HP1" s="33" t="s">
        <v>34527</v>
      </c>
      <c r="HQ1" s="33" t="s">
        <v>34528</v>
      </c>
      <c r="HR1" s="33" t="s">
        <v>34529</v>
      </c>
      <c r="HS1" s="33" t="s">
        <v>34530</v>
      </c>
      <c r="HT1" s="33" t="s">
        <v>34531</v>
      </c>
      <c r="HU1" s="33" t="s">
        <v>34532</v>
      </c>
      <c r="HV1" s="33" t="s">
        <v>34533</v>
      </c>
      <c r="HW1" s="33" t="s">
        <v>34534</v>
      </c>
      <c r="HX1" s="33" t="s">
        <v>34535</v>
      </c>
      <c r="HY1" s="33" t="s">
        <v>34536</v>
      </c>
      <c r="HZ1" s="33" t="s">
        <v>34537</v>
      </c>
      <c r="IA1" s="33" t="s">
        <v>34538</v>
      </c>
      <c r="IB1" s="33" t="s">
        <v>34539</v>
      </c>
      <c r="IC1" s="33" t="s">
        <v>34540</v>
      </c>
      <c r="ID1" s="33" t="s">
        <v>34541</v>
      </c>
      <c r="IE1" s="33" t="s">
        <v>34542</v>
      </c>
      <c r="IF1" s="33" t="s">
        <v>34543</v>
      </c>
      <c r="IG1" s="33" t="s">
        <v>34544</v>
      </c>
      <c r="IH1" s="33" t="s">
        <v>34545</v>
      </c>
      <c r="II1" s="33" t="s">
        <v>34546</v>
      </c>
      <c r="IJ1" s="33" t="s">
        <v>34547</v>
      </c>
      <c r="IK1" s="33" t="s">
        <v>34548</v>
      </c>
      <c r="IL1" s="33" t="s">
        <v>34549</v>
      </c>
      <c r="IM1" s="33" t="s">
        <v>34550</v>
      </c>
      <c r="IN1" s="33" t="s">
        <v>34551</v>
      </c>
      <c r="IO1" s="33" t="s">
        <v>34552</v>
      </c>
      <c r="IP1" s="33" t="s">
        <v>34553</v>
      </c>
      <c r="IQ1" s="33" t="s">
        <v>34554</v>
      </c>
      <c r="IR1" s="33" t="s">
        <v>34555</v>
      </c>
      <c r="IS1" s="33" t="s">
        <v>34556</v>
      </c>
      <c r="IT1" s="33" t="s">
        <v>34557</v>
      </c>
      <c r="IU1" s="33" t="s">
        <v>34558</v>
      </c>
      <c r="IV1" s="33" t="s">
        <v>34559</v>
      </c>
      <c r="IW1" s="33" t="s">
        <v>34560</v>
      </c>
      <c r="IX1" s="33" t="s">
        <v>34561</v>
      </c>
      <c r="IY1" s="33" t="s">
        <v>34562</v>
      </c>
      <c r="IZ1" s="33" t="s">
        <v>34563</v>
      </c>
      <c r="JA1" s="33" t="s">
        <v>34564</v>
      </c>
      <c r="JB1" s="33" t="s">
        <v>34565</v>
      </c>
      <c r="JC1" s="33" t="s">
        <v>34566</v>
      </c>
      <c r="JD1" s="33" t="s">
        <v>34567</v>
      </c>
      <c r="JE1" s="33" t="s">
        <v>34568</v>
      </c>
      <c r="JF1" s="33" t="s">
        <v>34569</v>
      </c>
      <c r="JG1" s="33" t="s">
        <v>34570</v>
      </c>
      <c r="JH1" s="33" t="s">
        <v>34571</v>
      </c>
      <c r="JI1" s="33" t="s">
        <v>34572</v>
      </c>
      <c r="JJ1" s="33" t="s">
        <v>34573</v>
      </c>
      <c r="JK1" s="33" t="s">
        <v>34574</v>
      </c>
      <c r="JL1" s="33" t="s">
        <v>34575</v>
      </c>
      <c r="JM1" s="33" t="s">
        <v>34576</v>
      </c>
      <c r="JN1" s="33" t="s">
        <v>34577</v>
      </c>
      <c r="JO1" s="33" t="s">
        <v>34578</v>
      </c>
      <c r="JP1" s="33" t="s">
        <v>34579</v>
      </c>
      <c r="JQ1" s="33" t="s">
        <v>34580</v>
      </c>
      <c r="JR1" s="33" t="s">
        <v>34581</v>
      </c>
      <c r="JS1" s="33" t="s">
        <v>34582</v>
      </c>
      <c r="JT1" s="33" t="s">
        <v>34583</v>
      </c>
      <c r="JU1" s="33" t="s">
        <v>34584</v>
      </c>
      <c r="JV1" s="33" t="s">
        <v>34585</v>
      </c>
      <c r="JW1" s="33" t="s">
        <v>34586</v>
      </c>
      <c r="JX1" s="33" t="s">
        <v>34587</v>
      </c>
      <c r="JY1" s="33" t="s">
        <v>34588</v>
      </c>
      <c r="JZ1" s="33" t="s">
        <v>34589</v>
      </c>
      <c r="KA1" s="33" t="s">
        <v>34590</v>
      </c>
      <c r="KB1" s="33" t="s">
        <v>34591</v>
      </c>
      <c r="KC1" s="33" t="s">
        <v>34592</v>
      </c>
      <c r="KD1" s="33" t="s">
        <v>34593</v>
      </c>
      <c r="KE1" s="33" t="s">
        <v>34594</v>
      </c>
      <c r="KF1" s="33" t="s">
        <v>34595</v>
      </c>
      <c r="KG1" s="33" t="s">
        <v>34596</v>
      </c>
      <c r="KH1" s="33" t="s">
        <v>34597</v>
      </c>
      <c r="KI1" s="33" t="s">
        <v>34598</v>
      </c>
      <c r="KJ1" s="33" t="s">
        <v>34599</v>
      </c>
      <c r="KK1" s="33" t="s">
        <v>34600</v>
      </c>
      <c r="KL1" s="33" t="s">
        <v>34601</v>
      </c>
      <c r="KM1" s="33" t="s">
        <v>34602</v>
      </c>
      <c r="KN1" s="33" t="s">
        <v>34603</v>
      </c>
      <c r="KO1" s="33" t="s">
        <v>34604</v>
      </c>
      <c r="KP1" s="33" t="s">
        <v>34605</v>
      </c>
      <c r="KQ1" s="33" t="s">
        <v>34606</v>
      </c>
      <c r="KR1" s="33" t="s">
        <v>34607</v>
      </c>
      <c r="KS1" s="33" t="s">
        <v>34608</v>
      </c>
      <c r="KT1" s="33" t="s">
        <v>34609</v>
      </c>
      <c r="KU1" s="33" t="s">
        <v>34610</v>
      </c>
      <c r="KV1" s="33" t="s">
        <v>34611</v>
      </c>
      <c r="KW1" s="33" t="s">
        <v>34612</v>
      </c>
      <c r="KX1" s="33" t="s">
        <v>34613</v>
      </c>
      <c r="KY1" s="33" t="s">
        <v>34614</v>
      </c>
      <c r="KZ1" s="33" t="s">
        <v>34615</v>
      </c>
      <c r="LA1" s="33" t="s">
        <v>34616</v>
      </c>
      <c r="LB1" s="33" t="s">
        <v>34617</v>
      </c>
      <c r="LC1" s="33" t="s">
        <v>34618</v>
      </c>
      <c r="LD1" s="33" t="s">
        <v>34619</v>
      </c>
      <c r="LE1" s="33" t="s">
        <v>34620</v>
      </c>
      <c r="LF1" s="33" t="s">
        <v>34621</v>
      </c>
      <c r="LG1" s="33" t="s">
        <v>34622</v>
      </c>
      <c r="LH1" s="33" t="s">
        <v>34623</v>
      </c>
      <c r="LI1" s="33" t="s">
        <v>34624</v>
      </c>
      <c r="LJ1" s="33" t="s">
        <v>34625</v>
      </c>
      <c r="LK1" s="33" t="s">
        <v>34626</v>
      </c>
      <c r="LL1" s="33" t="s">
        <v>34627</v>
      </c>
      <c r="LM1" s="33" t="s">
        <v>34628</v>
      </c>
      <c r="LN1" s="33" t="s">
        <v>34629</v>
      </c>
      <c r="LO1" s="33" t="s">
        <v>34630</v>
      </c>
      <c r="LP1" s="33" t="s">
        <v>34631</v>
      </c>
      <c r="LQ1" s="33" t="s">
        <v>34632</v>
      </c>
      <c r="LR1" s="33" t="s">
        <v>34633</v>
      </c>
      <c r="LS1" s="33" t="s">
        <v>34634</v>
      </c>
      <c r="LT1" s="33" t="s">
        <v>34635</v>
      </c>
      <c r="LU1" s="33" t="s">
        <v>34636</v>
      </c>
      <c r="LV1" s="33" t="s">
        <v>34637</v>
      </c>
      <c r="LW1" s="33" t="s">
        <v>34638</v>
      </c>
      <c r="LX1" s="33" t="s">
        <v>34639</v>
      </c>
      <c r="LY1" s="33" t="s">
        <v>34640</v>
      </c>
      <c r="LZ1" s="33" t="s">
        <v>34641</v>
      </c>
      <c r="MA1" s="33" t="s">
        <v>34642</v>
      </c>
      <c r="MB1" s="33" t="s">
        <v>34643</v>
      </c>
      <c r="MC1" s="33" t="s">
        <v>34644</v>
      </c>
      <c r="MD1" s="33" t="s">
        <v>34645</v>
      </c>
      <c r="ME1" s="33" t="s">
        <v>34646</v>
      </c>
      <c r="MF1" s="33" t="s">
        <v>34647</v>
      </c>
      <c r="MG1" s="33" t="s">
        <v>34648</v>
      </c>
      <c r="MH1" s="33" t="s">
        <v>34649</v>
      </c>
      <c r="MI1" s="33" t="s">
        <v>34650</v>
      </c>
      <c r="MJ1" s="33" t="s">
        <v>34651</v>
      </c>
      <c r="MK1" s="33" t="s">
        <v>34652</v>
      </c>
      <c r="ML1" s="33" t="s">
        <v>34653</v>
      </c>
      <c r="MM1" s="33" t="s">
        <v>34654</v>
      </c>
      <c r="MN1" s="33" t="s">
        <v>34655</v>
      </c>
      <c r="MO1" s="33" t="s">
        <v>34656</v>
      </c>
      <c r="MP1" s="33" t="s">
        <v>34657</v>
      </c>
      <c r="MQ1" s="33" t="s">
        <v>34658</v>
      </c>
      <c r="MR1" s="33" t="s">
        <v>34659</v>
      </c>
      <c r="MS1" s="33" t="s">
        <v>34660</v>
      </c>
      <c r="MT1" s="33" t="s">
        <v>34661</v>
      </c>
      <c r="MU1" s="33" t="s">
        <v>34662</v>
      </c>
      <c r="MV1" s="33" t="s">
        <v>34663</v>
      </c>
      <c r="MW1" s="33" t="s">
        <v>34664</v>
      </c>
      <c r="MX1" s="33" t="s">
        <v>34665</v>
      </c>
      <c r="MY1" s="33" t="s">
        <v>34666</v>
      </c>
      <c r="MZ1" s="33" t="s">
        <v>34667</v>
      </c>
      <c r="NA1" s="33" t="s">
        <v>34668</v>
      </c>
      <c r="NB1" s="33" t="s">
        <v>34669</v>
      </c>
      <c r="NC1" s="33" t="s">
        <v>34670</v>
      </c>
      <c r="ND1" s="33" t="s">
        <v>34671</v>
      </c>
      <c r="NE1" s="33" t="s">
        <v>34672</v>
      </c>
      <c r="NF1" s="33" t="s">
        <v>34673</v>
      </c>
      <c r="NG1" s="33" t="s">
        <v>34674</v>
      </c>
      <c r="NH1" s="33" t="s">
        <v>34675</v>
      </c>
      <c r="NI1" s="33" t="s">
        <v>34676</v>
      </c>
      <c r="NJ1" s="33" t="s">
        <v>34677</v>
      </c>
      <c r="NK1" s="33" t="s">
        <v>34678</v>
      </c>
      <c r="NL1" s="33" t="s">
        <v>34679</v>
      </c>
      <c r="NM1" s="33" t="s">
        <v>34680</v>
      </c>
      <c r="NN1" s="33" t="s">
        <v>34681</v>
      </c>
      <c r="NO1" s="33" t="s">
        <v>34682</v>
      </c>
      <c r="NP1" s="33" t="s">
        <v>34683</v>
      </c>
      <c r="NQ1" s="33" t="s">
        <v>34684</v>
      </c>
      <c r="NR1" s="33" t="s">
        <v>34685</v>
      </c>
      <c r="NS1" s="33" t="s">
        <v>34686</v>
      </c>
      <c r="NT1" s="33" t="s">
        <v>34687</v>
      </c>
      <c r="NU1" s="33" t="s">
        <v>34688</v>
      </c>
      <c r="NV1" s="33" t="s">
        <v>34689</v>
      </c>
      <c r="NW1" s="33" t="s">
        <v>34690</v>
      </c>
      <c r="NX1" s="33" t="s">
        <v>34691</v>
      </c>
      <c r="NY1" s="33" t="s">
        <v>34692</v>
      </c>
      <c r="NZ1" s="33" t="s">
        <v>34693</v>
      </c>
      <c r="OA1" s="33" t="s">
        <v>34694</v>
      </c>
      <c r="OB1" s="33" t="s">
        <v>34695</v>
      </c>
      <c r="OC1" s="33" t="s">
        <v>34696</v>
      </c>
      <c r="OD1" s="33" t="s">
        <v>34697</v>
      </c>
      <c r="OE1" s="33" t="s">
        <v>34698</v>
      </c>
      <c r="OF1" s="33" t="s">
        <v>34699</v>
      </c>
      <c r="OG1" s="33" t="s">
        <v>34700</v>
      </c>
      <c r="OH1" s="33" t="s">
        <v>34701</v>
      </c>
      <c r="OI1" s="33" t="s">
        <v>34702</v>
      </c>
      <c r="OJ1" s="33" t="s">
        <v>34703</v>
      </c>
      <c r="OK1" s="33" t="s">
        <v>34704</v>
      </c>
      <c r="OL1" s="33" t="s">
        <v>34705</v>
      </c>
      <c r="OM1" s="33" t="s">
        <v>34706</v>
      </c>
      <c r="ON1" s="33" t="s">
        <v>34707</v>
      </c>
      <c r="OO1" s="33" t="s">
        <v>34708</v>
      </c>
      <c r="OP1" s="33" t="s">
        <v>34709</v>
      </c>
      <c r="OQ1" s="33" t="s">
        <v>34710</v>
      </c>
      <c r="OR1" s="33" t="s">
        <v>34711</v>
      </c>
      <c r="OS1" s="33" t="s">
        <v>34712</v>
      </c>
      <c r="OT1" s="33" t="s">
        <v>34713</v>
      </c>
      <c r="OU1" s="33" t="s">
        <v>34714</v>
      </c>
      <c r="OV1" s="33" t="s">
        <v>34715</v>
      </c>
      <c r="OW1" s="33" t="s">
        <v>34716</v>
      </c>
      <c r="OX1" s="33" t="s">
        <v>34717</v>
      </c>
      <c r="OY1" s="33" t="s">
        <v>34718</v>
      </c>
      <c r="OZ1" s="33" t="s">
        <v>34719</v>
      </c>
      <c r="PA1" s="33" t="s">
        <v>34720</v>
      </c>
      <c r="PB1" s="33" t="s">
        <v>34721</v>
      </c>
      <c r="PC1" s="33" t="s">
        <v>34722</v>
      </c>
      <c r="PD1" s="33" t="s">
        <v>34723</v>
      </c>
      <c r="PE1" s="33" t="s">
        <v>34724</v>
      </c>
      <c r="PF1" s="33" t="s">
        <v>34725</v>
      </c>
      <c r="PG1" s="33" t="s">
        <v>34726</v>
      </c>
      <c r="PH1" s="33" t="s">
        <v>34727</v>
      </c>
      <c r="PI1" s="33" t="s">
        <v>34728</v>
      </c>
      <c r="PJ1" s="33" t="s">
        <v>34729</v>
      </c>
      <c r="PK1" s="33" t="s">
        <v>34730</v>
      </c>
      <c r="PL1" s="33" t="s">
        <v>34731</v>
      </c>
      <c r="PM1" s="33" t="s">
        <v>34732</v>
      </c>
      <c r="PN1" s="33" t="s">
        <v>34733</v>
      </c>
      <c r="PO1" s="33" t="s">
        <v>34734</v>
      </c>
      <c r="PP1" s="33" t="s">
        <v>34735</v>
      </c>
      <c r="PQ1" s="33" t="s">
        <v>34736</v>
      </c>
      <c r="PR1" s="33" t="s">
        <v>34737</v>
      </c>
      <c r="PS1" s="33" t="s">
        <v>34738</v>
      </c>
      <c r="PT1" s="33" t="s">
        <v>34739</v>
      </c>
      <c r="PU1" s="33" t="s">
        <v>34740</v>
      </c>
      <c r="PV1" s="33" t="s">
        <v>34741</v>
      </c>
      <c r="PW1" s="33" t="s">
        <v>34742</v>
      </c>
      <c r="PX1" s="33" t="s">
        <v>34743</v>
      </c>
      <c r="PY1" s="33" t="s">
        <v>34744</v>
      </c>
      <c r="PZ1" s="33" t="s">
        <v>34745</v>
      </c>
      <c r="QA1" s="33" t="s">
        <v>34746</v>
      </c>
      <c r="QB1" s="33" t="s">
        <v>34747</v>
      </c>
      <c r="QC1" s="33" t="s">
        <v>34748</v>
      </c>
      <c r="QD1" s="33" t="s">
        <v>34749</v>
      </c>
      <c r="QE1" s="33" t="s">
        <v>34750</v>
      </c>
      <c r="QF1" s="33" t="s">
        <v>34751</v>
      </c>
      <c r="QG1" s="33" t="s">
        <v>34752</v>
      </c>
      <c r="QH1" s="33" t="s">
        <v>34753</v>
      </c>
      <c r="QI1" s="33" t="s">
        <v>34754</v>
      </c>
      <c r="QJ1" s="33" t="s">
        <v>34755</v>
      </c>
      <c r="QK1" s="33" t="s">
        <v>34756</v>
      </c>
      <c r="QL1" s="33" t="s">
        <v>34757</v>
      </c>
      <c r="QM1" s="33" t="s">
        <v>34758</v>
      </c>
      <c r="QN1" s="33" t="s">
        <v>34759</v>
      </c>
      <c r="QO1" s="33" t="s">
        <v>34760</v>
      </c>
      <c r="QP1" s="33" t="s">
        <v>34761</v>
      </c>
      <c r="QQ1" s="33" t="s">
        <v>34762</v>
      </c>
      <c r="QR1" s="33" t="s">
        <v>34763</v>
      </c>
      <c r="QS1" s="33" t="s">
        <v>34764</v>
      </c>
      <c r="QT1" s="33" t="s">
        <v>34765</v>
      </c>
      <c r="QU1" s="33" t="s">
        <v>34766</v>
      </c>
      <c r="QV1" s="33" t="s">
        <v>34767</v>
      </c>
      <c r="QW1" s="33" t="s">
        <v>34768</v>
      </c>
      <c r="QX1" s="33" t="s">
        <v>34769</v>
      </c>
      <c r="QY1" s="33" t="s">
        <v>34770</v>
      </c>
      <c r="QZ1" s="33" t="s">
        <v>34771</v>
      </c>
      <c r="RA1" s="33" t="s">
        <v>34772</v>
      </c>
      <c r="RB1" s="33" t="s">
        <v>34773</v>
      </c>
      <c r="RC1" s="33" t="s">
        <v>34774</v>
      </c>
      <c r="RD1" s="33" t="s">
        <v>34775</v>
      </c>
      <c r="RE1" s="33" t="s">
        <v>34776</v>
      </c>
      <c r="RF1" s="33" t="s">
        <v>34777</v>
      </c>
      <c r="RG1" s="33" t="s">
        <v>34778</v>
      </c>
      <c r="RH1" s="33" t="s">
        <v>34779</v>
      </c>
      <c r="RI1" s="33" t="s">
        <v>34780</v>
      </c>
      <c r="RJ1" s="33" t="s">
        <v>34781</v>
      </c>
      <c r="RK1" s="33" t="s">
        <v>34782</v>
      </c>
      <c r="RL1" s="33" t="s">
        <v>34783</v>
      </c>
      <c r="RM1" s="33" t="s">
        <v>34784</v>
      </c>
      <c r="RN1" s="33" t="s">
        <v>34785</v>
      </c>
      <c r="RO1" s="33" t="s">
        <v>34786</v>
      </c>
      <c r="RP1" s="33" t="s">
        <v>34787</v>
      </c>
      <c r="RQ1" s="33" t="s">
        <v>34788</v>
      </c>
      <c r="RR1" s="33" t="s">
        <v>34789</v>
      </c>
      <c r="RS1" s="33" t="s">
        <v>34790</v>
      </c>
      <c r="RT1" s="33" t="s">
        <v>34791</v>
      </c>
      <c r="RU1" s="33" t="s">
        <v>34792</v>
      </c>
      <c r="RV1" s="33" t="s">
        <v>34793</v>
      </c>
      <c r="RW1" s="33" t="s">
        <v>34794</v>
      </c>
      <c r="RX1" s="33" t="s">
        <v>34795</v>
      </c>
      <c r="RY1" s="33" t="s">
        <v>34796</v>
      </c>
      <c r="RZ1" s="33" t="s">
        <v>34797</v>
      </c>
      <c r="SA1" s="33" t="s">
        <v>34798</v>
      </c>
      <c r="SB1" s="33" t="s">
        <v>34799</v>
      </c>
      <c r="SC1" s="33" t="s">
        <v>34800</v>
      </c>
      <c r="SD1" s="33" t="s">
        <v>34801</v>
      </c>
      <c r="SE1" s="33" t="s">
        <v>34802</v>
      </c>
      <c r="SF1" s="33" t="s">
        <v>34803</v>
      </c>
      <c r="SG1" s="33" t="s">
        <v>34804</v>
      </c>
      <c r="SH1" s="33" t="s">
        <v>34805</v>
      </c>
      <c r="SI1" s="33" t="s">
        <v>34806</v>
      </c>
      <c r="SJ1" s="33" t="s">
        <v>34807</v>
      </c>
      <c r="SK1" s="33" t="s">
        <v>34808</v>
      </c>
      <c r="SL1" s="33" t="s">
        <v>34809</v>
      </c>
      <c r="SM1" s="33" t="s">
        <v>34810</v>
      </c>
      <c r="SN1" s="33" t="s">
        <v>34811</v>
      </c>
      <c r="SO1" s="33" t="s">
        <v>34812</v>
      </c>
      <c r="SP1" s="33" t="s">
        <v>34813</v>
      </c>
      <c r="SQ1" s="33" t="s">
        <v>34814</v>
      </c>
      <c r="SR1" s="33" t="s">
        <v>34815</v>
      </c>
      <c r="SS1" s="33" t="s">
        <v>34816</v>
      </c>
      <c r="ST1" s="33" t="s">
        <v>34817</v>
      </c>
      <c r="SU1" s="33" t="s">
        <v>34818</v>
      </c>
      <c r="SV1" s="33" t="s">
        <v>34819</v>
      </c>
      <c r="SW1" s="33" t="s">
        <v>34820</v>
      </c>
      <c r="SX1" s="33" t="s">
        <v>34821</v>
      </c>
      <c r="SY1" s="33" t="s">
        <v>34822</v>
      </c>
      <c r="SZ1" s="33" t="s">
        <v>34823</v>
      </c>
      <c r="TA1" s="33" t="s">
        <v>34824</v>
      </c>
      <c r="TB1" s="33" t="s">
        <v>34825</v>
      </c>
      <c r="TC1" s="33" t="s">
        <v>34826</v>
      </c>
      <c r="TD1" s="33" t="s">
        <v>34827</v>
      </c>
      <c r="TE1" s="33" t="s">
        <v>34828</v>
      </c>
      <c r="TF1" s="33" t="s">
        <v>34829</v>
      </c>
      <c r="TG1" s="33" t="s">
        <v>34830</v>
      </c>
      <c r="TH1" s="33" t="s">
        <v>34831</v>
      </c>
      <c r="TI1" s="33" t="s">
        <v>34832</v>
      </c>
      <c r="TJ1" s="33" t="s">
        <v>34833</v>
      </c>
      <c r="TK1" s="33" t="s">
        <v>34834</v>
      </c>
      <c r="TL1" s="33" t="s">
        <v>34835</v>
      </c>
      <c r="TM1" s="33" t="s">
        <v>34836</v>
      </c>
      <c r="TN1" s="33" t="s">
        <v>34837</v>
      </c>
      <c r="TO1" s="33" t="s">
        <v>34838</v>
      </c>
      <c r="TP1" s="33" t="s">
        <v>34839</v>
      </c>
      <c r="TQ1" s="33" t="s">
        <v>34840</v>
      </c>
      <c r="TR1" s="33" t="s">
        <v>34841</v>
      </c>
      <c r="TS1" s="33" t="s">
        <v>34842</v>
      </c>
      <c r="TT1" s="33" t="s">
        <v>34843</v>
      </c>
      <c r="TU1" s="33" t="s">
        <v>34844</v>
      </c>
      <c r="TV1" s="33" t="s">
        <v>34845</v>
      </c>
      <c r="TW1" s="33" t="s">
        <v>34846</v>
      </c>
      <c r="TX1" s="33" t="s">
        <v>34847</v>
      </c>
      <c r="TY1" s="33" t="s">
        <v>34848</v>
      </c>
      <c r="TZ1" s="33" t="s">
        <v>34849</v>
      </c>
      <c r="UA1" s="33" t="s">
        <v>34850</v>
      </c>
      <c r="UB1" s="33" t="s">
        <v>34851</v>
      </c>
      <c r="UC1" s="33" t="s">
        <v>34852</v>
      </c>
      <c r="UD1" s="33" t="s">
        <v>34853</v>
      </c>
      <c r="UE1" s="33" t="s">
        <v>34854</v>
      </c>
      <c r="UF1" s="33" t="s">
        <v>34855</v>
      </c>
      <c r="UG1" s="33" t="s">
        <v>34856</v>
      </c>
      <c r="UH1" s="33" t="s">
        <v>34857</v>
      </c>
      <c r="UI1" s="33" t="s">
        <v>34858</v>
      </c>
      <c r="UJ1" s="33" t="s">
        <v>34859</v>
      </c>
      <c r="UK1" s="33" t="s">
        <v>34860</v>
      </c>
      <c r="UL1" s="33" t="s">
        <v>34861</v>
      </c>
      <c r="UM1" s="33" t="s">
        <v>34862</v>
      </c>
      <c r="UN1" s="33" t="s">
        <v>34863</v>
      </c>
      <c r="UO1" s="33" t="s">
        <v>34864</v>
      </c>
      <c r="UP1" s="33" t="s">
        <v>34865</v>
      </c>
      <c r="UQ1" s="33" t="s">
        <v>34866</v>
      </c>
      <c r="UR1" s="33" t="s">
        <v>34867</v>
      </c>
      <c r="US1" s="33" t="s">
        <v>34868</v>
      </c>
      <c r="UT1" s="33" t="s">
        <v>34869</v>
      </c>
      <c r="UU1" s="33" t="s">
        <v>34870</v>
      </c>
      <c r="UV1" s="33" t="s">
        <v>34871</v>
      </c>
      <c r="UW1" s="33" t="s">
        <v>34872</v>
      </c>
      <c r="UX1" s="33" t="s">
        <v>34873</v>
      </c>
      <c r="UY1" s="33" t="s">
        <v>34874</v>
      </c>
      <c r="UZ1" s="33" t="s">
        <v>34875</v>
      </c>
      <c r="VA1" s="33" t="s">
        <v>34876</v>
      </c>
      <c r="VB1" s="33" t="s">
        <v>34877</v>
      </c>
      <c r="VC1" s="33" t="s">
        <v>34878</v>
      </c>
      <c r="VD1" s="33" t="s">
        <v>34879</v>
      </c>
      <c r="VE1" s="33" t="s">
        <v>34880</v>
      </c>
      <c r="VF1" s="33" t="s">
        <v>34881</v>
      </c>
      <c r="VG1" s="33" t="s">
        <v>34882</v>
      </c>
      <c r="VH1" s="33" t="s">
        <v>34883</v>
      </c>
      <c r="VI1" s="33" t="s">
        <v>34884</v>
      </c>
      <c r="VJ1" s="33" t="s">
        <v>34885</v>
      </c>
      <c r="VK1" s="33" t="s">
        <v>34886</v>
      </c>
      <c r="VL1" s="33" t="s">
        <v>34887</v>
      </c>
      <c r="VM1" s="33" t="s">
        <v>34888</v>
      </c>
      <c r="VN1" s="33" t="s">
        <v>34889</v>
      </c>
      <c r="VO1" s="33" t="s">
        <v>34890</v>
      </c>
      <c r="VP1" s="33" t="s">
        <v>34891</v>
      </c>
      <c r="VQ1" s="33" t="s">
        <v>34892</v>
      </c>
      <c r="VR1" s="33" t="s">
        <v>34893</v>
      </c>
      <c r="VS1" s="33" t="s">
        <v>34894</v>
      </c>
      <c r="VT1" s="33" t="s">
        <v>34895</v>
      </c>
      <c r="VU1" s="33" t="s">
        <v>34896</v>
      </c>
      <c r="VV1" s="33" t="s">
        <v>34897</v>
      </c>
      <c r="VW1" s="33" t="s">
        <v>34898</v>
      </c>
      <c r="VX1" s="33" t="s">
        <v>34899</v>
      </c>
      <c r="VY1" s="33" t="s">
        <v>34900</v>
      </c>
      <c r="VZ1" s="33" t="s">
        <v>34901</v>
      </c>
      <c r="WA1" s="33" t="s">
        <v>34902</v>
      </c>
      <c r="WB1" s="33" t="s">
        <v>34903</v>
      </c>
      <c r="WC1" s="33" t="s">
        <v>34904</v>
      </c>
      <c r="WD1" s="33" t="s">
        <v>34905</v>
      </c>
      <c r="WE1" s="33" t="s">
        <v>34906</v>
      </c>
      <c r="WF1" s="33" t="s">
        <v>34907</v>
      </c>
      <c r="WG1" s="33" t="s">
        <v>34908</v>
      </c>
      <c r="WH1" s="33" t="s">
        <v>34909</v>
      </c>
      <c r="WI1" s="33" t="s">
        <v>34910</v>
      </c>
      <c r="WJ1" s="33" t="s">
        <v>34911</v>
      </c>
      <c r="WK1" s="33" t="s">
        <v>34912</v>
      </c>
      <c r="WL1" s="33" t="s">
        <v>34913</v>
      </c>
      <c r="WM1" s="33" t="s">
        <v>34914</v>
      </c>
      <c r="WN1" s="33" t="s">
        <v>34915</v>
      </c>
      <c r="WO1" s="33" t="s">
        <v>34916</v>
      </c>
      <c r="WP1" s="33" t="s">
        <v>34917</v>
      </c>
      <c r="WQ1" s="33" t="s">
        <v>34918</v>
      </c>
      <c r="WR1" s="33" t="s">
        <v>34919</v>
      </c>
      <c r="WS1" s="33" t="s">
        <v>34920</v>
      </c>
      <c r="WT1" s="33" t="s">
        <v>34921</v>
      </c>
      <c r="WU1" s="33" t="s">
        <v>34922</v>
      </c>
      <c r="WV1" s="33" t="s">
        <v>34923</v>
      </c>
      <c r="WW1" s="33" t="s">
        <v>34924</v>
      </c>
      <c r="WX1" s="33" t="s">
        <v>34925</v>
      </c>
      <c r="WY1" s="33" t="s">
        <v>34926</v>
      </c>
      <c r="WZ1" s="33" t="s">
        <v>34927</v>
      </c>
      <c r="XA1" s="33" t="s">
        <v>34928</v>
      </c>
      <c r="XB1" s="33" t="s">
        <v>34929</v>
      </c>
      <c r="XC1" s="33" t="s">
        <v>34930</v>
      </c>
      <c r="XD1" s="33" t="s">
        <v>34931</v>
      </c>
      <c r="XE1" s="33" t="s">
        <v>34932</v>
      </c>
      <c r="XF1" s="33" t="s">
        <v>34933</v>
      </c>
      <c r="XG1" s="33" t="s">
        <v>34934</v>
      </c>
      <c r="XH1" s="33" t="s">
        <v>34935</v>
      </c>
      <c r="XI1" s="33" t="s">
        <v>34936</v>
      </c>
      <c r="XJ1" s="33" t="s">
        <v>34937</v>
      </c>
      <c r="XK1" s="33" t="s">
        <v>34938</v>
      </c>
      <c r="XL1" s="33" t="s">
        <v>34939</v>
      </c>
      <c r="XM1" s="33" t="s">
        <v>34940</v>
      </c>
      <c r="XN1" s="33" t="s">
        <v>34941</v>
      </c>
      <c r="XO1" s="33" t="s">
        <v>34942</v>
      </c>
      <c r="XP1" s="33" t="s">
        <v>34943</v>
      </c>
      <c r="XQ1" s="33" t="s">
        <v>34944</v>
      </c>
      <c r="XR1" s="33" t="s">
        <v>34945</v>
      </c>
      <c r="XS1" s="33" t="s">
        <v>34946</v>
      </c>
      <c r="XT1" s="33" t="s">
        <v>34947</v>
      </c>
      <c r="XU1" s="33" t="s">
        <v>34948</v>
      </c>
      <c r="XV1" s="33" t="s">
        <v>34949</v>
      </c>
      <c r="XW1" s="33" t="s">
        <v>34950</v>
      </c>
      <c r="XX1" s="33" t="s">
        <v>34951</v>
      </c>
      <c r="XY1" s="33" t="s">
        <v>34952</v>
      </c>
      <c r="XZ1" s="33" t="s">
        <v>34953</v>
      </c>
      <c r="YA1" s="33" t="s">
        <v>34954</v>
      </c>
      <c r="YB1" s="33" t="s">
        <v>34955</v>
      </c>
      <c r="YC1" s="33" t="s">
        <v>34956</v>
      </c>
      <c r="YD1" s="33" t="s">
        <v>34957</v>
      </c>
      <c r="YE1" s="33" t="s">
        <v>34958</v>
      </c>
      <c r="YF1" s="33" t="s">
        <v>34959</v>
      </c>
      <c r="YG1" s="33" t="s">
        <v>34960</v>
      </c>
      <c r="YH1" s="33" t="s">
        <v>34961</v>
      </c>
      <c r="YI1" s="33" t="s">
        <v>34962</v>
      </c>
      <c r="YJ1" s="33" t="s">
        <v>34963</v>
      </c>
      <c r="YK1" s="33" t="s">
        <v>34964</v>
      </c>
      <c r="YL1" s="33" t="s">
        <v>34965</v>
      </c>
      <c r="YM1" s="33" t="s">
        <v>34966</v>
      </c>
      <c r="YN1" s="33" t="s">
        <v>34967</v>
      </c>
      <c r="YO1" s="33" t="s">
        <v>34968</v>
      </c>
      <c r="YP1" s="33" t="s">
        <v>34969</v>
      </c>
      <c r="YQ1" s="33" t="s">
        <v>34970</v>
      </c>
      <c r="YR1" s="33" t="s">
        <v>34971</v>
      </c>
      <c r="YS1" s="33" t="s">
        <v>34972</v>
      </c>
      <c r="YT1" s="33" t="s">
        <v>34973</v>
      </c>
      <c r="YU1" s="33" t="s">
        <v>34974</v>
      </c>
      <c r="YV1" s="33" t="s">
        <v>34975</v>
      </c>
      <c r="YW1" s="33" t="s">
        <v>34976</v>
      </c>
      <c r="YX1" s="33" t="s">
        <v>34977</v>
      </c>
      <c r="YY1" s="33" t="s">
        <v>34978</v>
      </c>
      <c r="YZ1" s="33" t="s">
        <v>34979</v>
      </c>
      <c r="ZA1" s="33" t="s">
        <v>34980</v>
      </c>
      <c r="ZB1" s="33" t="s">
        <v>34981</v>
      </c>
      <c r="ZC1" s="33" t="s">
        <v>34982</v>
      </c>
      <c r="ZD1" s="33" t="s">
        <v>34983</v>
      </c>
      <c r="ZE1" s="33" t="s">
        <v>34984</v>
      </c>
      <c r="ZF1" s="33" t="s">
        <v>34985</v>
      </c>
      <c r="ZG1" s="33" t="s">
        <v>34986</v>
      </c>
      <c r="ZH1" s="33" t="s">
        <v>34987</v>
      </c>
      <c r="ZI1" s="33" t="s">
        <v>34988</v>
      </c>
      <c r="ZJ1" s="33" t="s">
        <v>34989</v>
      </c>
      <c r="ZK1" s="33" t="s">
        <v>34990</v>
      </c>
      <c r="ZL1" s="33" t="s">
        <v>34991</v>
      </c>
      <c r="ZM1" s="33" t="s">
        <v>34992</v>
      </c>
      <c r="ZN1" s="33" t="s">
        <v>34993</v>
      </c>
      <c r="ZO1" s="33" t="s">
        <v>34994</v>
      </c>
      <c r="ZP1" s="33" t="s">
        <v>34995</v>
      </c>
      <c r="ZQ1" s="33" t="s">
        <v>34996</v>
      </c>
      <c r="ZR1" s="33" t="s">
        <v>34997</v>
      </c>
      <c r="ZS1" s="33" t="s">
        <v>34998</v>
      </c>
      <c r="ZT1" s="33" t="s">
        <v>34999</v>
      </c>
      <c r="ZU1" s="33" t="s">
        <v>35000</v>
      </c>
      <c r="ZV1" s="33" t="s">
        <v>35001</v>
      </c>
      <c r="ZW1" s="33" t="s">
        <v>35002</v>
      </c>
      <c r="ZX1" s="33" t="s">
        <v>35003</v>
      </c>
      <c r="ZY1" s="33" t="s">
        <v>35004</v>
      </c>
      <c r="ZZ1" s="33" t="s">
        <v>35005</v>
      </c>
      <c r="AAA1" s="33" t="s">
        <v>35006</v>
      </c>
      <c r="AAB1" s="33" t="s">
        <v>35007</v>
      </c>
      <c r="AAC1" s="33" t="s">
        <v>35008</v>
      </c>
      <c r="AAD1" s="33" t="s">
        <v>35009</v>
      </c>
      <c r="AAE1" s="33" t="s">
        <v>35010</v>
      </c>
      <c r="AAF1" s="33" t="s">
        <v>35011</v>
      </c>
      <c r="AAG1" s="33" t="s">
        <v>35012</v>
      </c>
      <c r="AAH1" s="33" t="s">
        <v>35013</v>
      </c>
      <c r="AAI1" s="33" t="s">
        <v>35014</v>
      </c>
      <c r="AAJ1" s="33" t="s">
        <v>35015</v>
      </c>
      <c r="AAK1" s="33" t="s">
        <v>35016</v>
      </c>
      <c r="AAL1" s="33" t="s">
        <v>35017</v>
      </c>
      <c r="AAM1" s="33" t="s">
        <v>35018</v>
      </c>
      <c r="AAN1" s="33" t="s">
        <v>35019</v>
      </c>
      <c r="AAO1" s="33" t="s">
        <v>35020</v>
      </c>
      <c r="AAP1" s="33" t="s">
        <v>35021</v>
      </c>
      <c r="AAQ1" s="33" t="s">
        <v>35022</v>
      </c>
      <c r="AAR1" s="33" t="s">
        <v>35023</v>
      </c>
      <c r="AAS1" s="33" t="s">
        <v>35024</v>
      </c>
      <c r="AAT1" s="33" t="s">
        <v>35025</v>
      </c>
      <c r="AAU1" s="33" t="s">
        <v>35026</v>
      </c>
      <c r="AAV1" s="33" t="s">
        <v>35027</v>
      </c>
      <c r="AAW1" s="33" t="s">
        <v>35028</v>
      </c>
      <c r="AAX1" s="33" t="s">
        <v>35029</v>
      </c>
      <c r="AAY1" s="33" t="s">
        <v>35030</v>
      </c>
      <c r="AAZ1" s="33" t="s">
        <v>35031</v>
      </c>
      <c r="ABA1" s="33" t="s">
        <v>35032</v>
      </c>
      <c r="ABB1" s="33" t="s">
        <v>35033</v>
      </c>
      <c r="ABC1" s="33" t="s">
        <v>35034</v>
      </c>
      <c r="ABD1" s="33" t="s">
        <v>35035</v>
      </c>
      <c r="ABE1" s="33" t="s">
        <v>35036</v>
      </c>
      <c r="ABF1" s="33" t="s">
        <v>35037</v>
      </c>
      <c r="ABG1" s="33" t="s">
        <v>35038</v>
      </c>
      <c r="ABH1" s="33" t="s">
        <v>35039</v>
      </c>
      <c r="ABI1" s="33" t="s">
        <v>35040</v>
      </c>
      <c r="ABJ1" s="33" t="s">
        <v>35041</v>
      </c>
      <c r="ABK1" s="33" t="s">
        <v>35042</v>
      </c>
      <c r="ABL1" s="33" t="s">
        <v>35043</v>
      </c>
      <c r="ABM1" s="33" t="s">
        <v>35044</v>
      </c>
      <c r="ABN1" s="33" t="s">
        <v>35045</v>
      </c>
      <c r="ABO1" s="33" t="s">
        <v>35046</v>
      </c>
      <c r="ABP1" s="33" t="s">
        <v>35047</v>
      </c>
      <c r="ABQ1" s="33" t="s">
        <v>35048</v>
      </c>
      <c r="ABR1" s="33" t="s">
        <v>35049</v>
      </c>
      <c r="ABS1" s="33" t="s">
        <v>35050</v>
      </c>
      <c r="ABT1" s="33" t="s">
        <v>35051</v>
      </c>
      <c r="ABU1" s="33" t="s">
        <v>35052</v>
      </c>
      <c r="ABV1" s="33" t="s">
        <v>35053</v>
      </c>
      <c r="ABW1" s="33" t="s">
        <v>35054</v>
      </c>
      <c r="ABX1" s="33" t="s">
        <v>35055</v>
      </c>
      <c r="ABY1" s="33" t="s">
        <v>35056</v>
      </c>
      <c r="ABZ1" s="33" t="s">
        <v>35057</v>
      </c>
      <c r="ACA1" s="33" t="s">
        <v>35058</v>
      </c>
      <c r="ACB1" s="33" t="s">
        <v>35059</v>
      </c>
      <c r="ACC1" s="33" t="s">
        <v>35060</v>
      </c>
      <c r="ACD1" s="33" t="s">
        <v>35061</v>
      </c>
      <c r="ACE1" s="33" t="s">
        <v>35062</v>
      </c>
      <c r="ACF1" s="33" t="s">
        <v>35063</v>
      </c>
      <c r="ACG1" s="33" t="s">
        <v>35064</v>
      </c>
      <c r="ACH1" s="33" t="s">
        <v>35065</v>
      </c>
      <c r="ACI1" s="33" t="s">
        <v>35066</v>
      </c>
      <c r="ACJ1" s="33" t="s">
        <v>35067</v>
      </c>
      <c r="ACK1" s="33" t="s">
        <v>35068</v>
      </c>
      <c r="ACL1" s="33" t="s">
        <v>35069</v>
      </c>
      <c r="ACM1" s="33" t="s">
        <v>35070</v>
      </c>
      <c r="ACN1" s="33" t="s">
        <v>35071</v>
      </c>
      <c r="ACO1" s="33" t="s">
        <v>35072</v>
      </c>
      <c r="ACP1" s="33" t="s">
        <v>35073</v>
      </c>
      <c r="ACQ1" s="33" t="s">
        <v>35074</v>
      </c>
      <c r="ACR1" s="33" t="s">
        <v>35075</v>
      </c>
      <c r="ACS1" s="33" t="s">
        <v>35076</v>
      </c>
      <c r="ACT1" s="33" t="s">
        <v>35077</v>
      </c>
      <c r="ACU1" s="33" t="s">
        <v>35078</v>
      </c>
      <c r="ACV1" s="33" t="s">
        <v>35079</v>
      </c>
      <c r="ACW1" s="33" t="s">
        <v>35080</v>
      </c>
      <c r="ACX1" s="33" t="s">
        <v>35081</v>
      </c>
      <c r="ACY1" s="33" t="s">
        <v>35082</v>
      </c>
      <c r="ACZ1" s="33" t="s">
        <v>35083</v>
      </c>
      <c r="ADA1" s="33" t="s">
        <v>35084</v>
      </c>
      <c r="ADB1" s="33" t="s">
        <v>35085</v>
      </c>
      <c r="ADC1" s="33" t="s">
        <v>35086</v>
      </c>
      <c r="ADD1" s="33" t="s">
        <v>35087</v>
      </c>
      <c r="ADE1" s="33" t="s">
        <v>35088</v>
      </c>
      <c r="ADF1" s="33" t="s">
        <v>35089</v>
      </c>
      <c r="ADG1" s="33" t="s">
        <v>35090</v>
      </c>
      <c r="ADH1" s="33" t="s">
        <v>35091</v>
      </c>
      <c r="ADI1" s="33" t="s">
        <v>35092</v>
      </c>
      <c r="ADJ1" s="33" t="s">
        <v>35093</v>
      </c>
      <c r="ADK1" s="33" t="s">
        <v>35094</v>
      </c>
      <c r="ADL1" s="33" t="s">
        <v>35095</v>
      </c>
      <c r="ADM1" s="33" t="s">
        <v>35096</v>
      </c>
      <c r="ADN1" s="33" t="s">
        <v>35097</v>
      </c>
      <c r="ADO1" s="33" t="s">
        <v>35098</v>
      </c>
      <c r="ADP1" s="33" t="s">
        <v>35099</v>
      </c>
      <c r="ADQ1" s="33" t="s">
        <v>35100</v>
      </c>
      <c r="ADR1" s="33" t="s">
        <v>35101</v>
      </c>
      <c r="ADS1" s="33" t="s">
        <v>35102</v>
      </c>
      <c r="ADT1" s="33" t="s">
        <v>35103</v>
      </c>
      <c r="ADU1" s="33" t="s">
        <v>35104</v>
      </c>
      <c r="ADV1" s="33" t="s">
        <v>35105</v>
      </c>
      <c r="ADW1" s="33" t="s">
        <v>35106</v>
      </c>
      <c r="ADX1" s="33" t="s">
        <v>35107</v>
      </c>
      <c r="ADY1" s="33" t="s">
        <v>35108</v>
      </c>
      <c r="ADZ1" s="33" t="s">
        <v>35109</v>
      </c>
      <c r="AEA1" s="33" t="s">
        <v>35110</v>
      </c>
      <c r="AEB1" s="33" t="s">
        <v>35111</v>
      </c>
      <c r="AEC1" s="33" t="s">
        <v>35112</v>
      </c>
      <c r="AED1" s="33" t="s">
        <v>35113</v>
      </c>
      <c r="AEE1" s="33" t="s">
        <v>35114</v>
      </c>
      <c r="AEF1" s="33" t="s">
        <v>35115</v>
      </c>
      <c r="AEG1" s="33" t="s">
        <v>35116</v>
      </c>
      <c r="AEH1" s="33" t="s">
        <v>35117</v>
      </c>
      <c r="AEI1" s="33" t="s">
        <v>35118</v>
      </c>
      <c r="AEJ1" s="33" t="s">
        <v>35119</v>
      </c>
      <c r="AEK1" s="33" t="s">
        <v>35120</v>
      </c>
      <c r="AEL1" s="33" t="s">
        <v>35121</v>
      </c>
      <c r="AEM1" s="33" t="s">
        <v>35122</v>
      </c>
      <c r="AEN1" s="33" t="s">
        <v>35123</v>
      </c>
      <c r="AEO1" s="33" t="s">
        <v>35124</v>
      </c>
      <c r="AEP1" s="33" t="s">
        <v>35125</v>
      </c>
      <c r="AEQ1" s="33" t="s">
        <v>35126</v>
      </c>
      <c r="AER1" s="33" t="s">
        <v>35127</v>
      </c>
      <c r="AES1" s="33" t="s">
        <v>35128</v>
      </c>
      <c r="AET1" s="33" t="s">
        <v>35129</v>
      </c>
      <c r="AEU1" s="33" t="s">
        <v>35130</v>
      </c>
      <c r="AEV1" s="33" t="s">
        <v>35131</v>
      </c>
      <c r="AEW1" s="33" t="s">
        <v>35132</v>
      </c>
      <c r="AEX1" s="33" t="s">
        <v>35133</v>
      </c>
      <c r="AEY1" s="33" t="s">
        <v>35134</v>
      </c>
      <c r="AEZ1" s="33" t="s">
        <v>35135</v>
      </c>
      <c r="AFA1" s="33" t="s">
        <v>35136</v>
      </c>
      <c r="AFB1" s="33" t="s">
        <v>35137</v>
      </c>
      <c r="AFC1" s="33" t="s">
        <v>35138</v>
      </c>
      <c r="AFD1" s="33" t="s">
        <v>35139</v>
      </c>
      <c r="AFE1" s="33" t="s">
        <v>35140</v>
      </c>
      <c r="AFF1" s="33" t="s">
        <v>35141</v>
      </c>
      <c r="AFG1" s="33" t="s">
        <v>35142</v>
      </c>
      <c r="AFH1" s="33" t="s">
        <v>35143</v>
      </c>
      <c r="AFI1" s="33" t="s">
        <v>35144</v>
      </c>
      <c r="AFJ1" s="33" t="s">
        <v>35145</v>
      </c>
      <c r="AFK1" s="33" t="s">
        <v>35146</v>
      </c>
      <c r="AFL1" s="33" t="s">
        <v>35147</v>
      </c>
      <c r="AFM1" s="33" t="s">
        <v>35148</v>
      </c>
      <c r="AFN1" s="33" t="s">
        <v>35149</v>
      </c>
      <c r="AFO1" s="33" t="s">
        <v>35150</v>
      </c>
      <c r="AFP1" s="33" t="s">
        <v>35151</v>
      </c>
      <c r="AFQ1" s="33" t="s">
        <v>35152</v>
      </c>
      <c r="AFR1" s="33" t="s">
        <v>35153</v>
      </c>
      <c r="AFS1" s="33" t="s">
        <v>35154</v>
      </c>
      <c r="AFT1" s="33" t="s">
        <v>35155</v>
      </c>
      <c r="AFU1" s="33" t="s">
        <v>35156</v>
      </c>
      <c r="AFV1" s="33" t="s">
        <v>35157</v>
      </c>
      <c r="AFW1" s="33" t="s">
        <v>35158</v>
      </c>
      <c r="AFX1" s="33" t="s">
        <v>35159</v>
      </c>
      <c r="AFY1" s="33" t="s">
        <v>35160</v>
      </c>
      <c r="AFZ1" s="33" t="s">
        <v>35161</v>
      </c>
      <c r="AGA1" s="33" t="s">
        <v>35162</v>
      </c>
      <c r="AGB1" s="33" t="s">
        <v>35163</v>
      </c>
      <c r="AGC1" s="33" t="s">
        <v>35164</v>
      </c>
      <c r="AGD1" s="33" t="s">
        <v>35165</v>
      </c>
      <c r="AGE1" s="33" t="s">
        <v>35166</v>
      </c>
      <c r="AGF1" s="33" t="s">
        <v>35167</v>
      </c>
      <c r="AGG1" s="33" t="s">
        <v>35168</v>
      </c>
      <c r="AGH1" s="33" t="s">
        <v>35169</v>
      </c>
      <c r="AGI1" s="33" t="s">
        <v>35170</v>
      </c>
      <c r="AGJ1" s="33" t="s">
        <v>35171</v>
      </c>
      <c r="AGK1" s="33" t="s">
        <v>35172</v>
      </c>
      <c r="AGL1" s="33" t="s">
        <v>35173</v>
      </c>
      <c r="AGM1" s="33" t="s">
        <v>35174</v>
      </c>
      <c r="AGN1" s="33" t="s">
        <v>35175</v>
      </c>
      <c r="AGO1" s="33" t="s">
        <v>35176</v>
      </c>
      <c r="AGP1" s="33" t="s">
        <v>35177</v>
      </c>
      <c r="AGQ1" s="33" t="s">
        <v>35178</v>
      </c>
      <c r="AGR1" s="33" t="s">
        <v>35179</v>
      </c>
      <c r="AGS1" s="33" t="s">
        <v>35180</v>
      </c>
      <c r="AGT1" s="33" t="s">
        <v>35181</v>
      </c>
      <c r="AGU1" s="33" t="s">
        <v>35182</v>
      </c>
      <c r="AGV1" s="33" t="s">
        <v>35183</v>
      </c>
      <c r="AGW1" s="33" t="s">
        <v>35184</v>
      </c>
      <c r="AGX1" s="33" t="s">
        <v>35185</v>
      </c>
      <c r="AGY1" s="33" t="s">
        <v>35186</v>
      </c>
      <c r="AGZ1" s="33" t="s">
        <v>35187</v>
      </c>
      <c r="AHA1" s="33" t="s">
        <v>35188</v>
      </c>
      <c r="AHB1" s="33" t="s">
        <v>35189</v>
      </c>
      <c r="AHC1" s="33" t="s">
        <v>35190</v>
      </c>
      <c r="AHD1" s="33" t="s">
        <v>35191</v>
      </c>
      <c r="AHE1" s="33" t="s">
        <v>35192</v>
      </c>
      <c r="AHF1" s="33" t="s">
        <v>35193</v>
      </c>
      <c r="AHG1" s="33" t="s">
        <v>35194</v>
      </c>
      <c r="AHH1" s="33" t="s">
        <v>35195</v>
      </c>
      <c r="AHI1" s="33" t="s">
        <v>35196</v>
      </c>
      <c r="AHJ1" s="33" t="s">
        <v>35197</v>
      </c>
      <c r="AHK1" s="33" t="s">
        <v>35198</v>
      </c>
      <c r="AHL1" s="33" t="s">
        <v>35199</v>
      </c>
      <c r="AHM1" s="33" t="s">
        <v>35200</v>
      </c>
      <c r="AHN1" s="33" t="s">
        <v>35201</v>
      </c>
      <c r="AHO1" s="33" t="s">
        <v>35202</v>
      </c>
      <c r="AHP1" s="33" t="s">
        <v>35203</v>
      </c>
      <c r="AHQ1" s="33" t="s">
        <v>35204</v>
      </c>
      <c r="AHR1" s="33" t="s">
        <v>35205</v>
      </c>
      <c r="AHS1" s="33" t="s">
        <v>35206</v>
      </c>
      <c r="AHT1" s="33" t="s">
        <v>35207</v>
      </c>
      <c r="AHU1" s="33" t="s">
        <v>35208</v>
      </c>
      <c r="AHV1" s="33" t="s">
        <v>35209</v>
      </c>
      <c r="AHW1" s="33" t="s">
        <v>35210</v>
      </c>
      <c r="AHX1" s="33" t="s">
        <v>35211</v>
      </c>
      <c r="AHY1" s="33" t="s">
        <v>35212</v>
      </c>
      <c r="AHZ1" s="33" t="s">
        <v>35213</v>
      </c>
      <c r="AIA1" s="33" t="s">
        <v>35214</v>
      </c>
      <c r="AIB1" s="33" t="s">
        <v>35215</v>
      </c>
      <c r="AIC1" s="33" t="s">
        <v>35216</v>
      </c>
      <c r="AID1" s="33" t="s">
        <v>35217</v>
      </c>
      <c r="AIE1" s="33" t="s">
        <v>35218</v>
      </c>
      <c r="AIF1" s="33" t="s">
        <v>35219</v>
      </c>
      <c r="AIG1" s="33" t="s">
        <v>35220</v>
      </c>
      <c r="AIH1" s="33" t="s">
        <v>35221</v>
      </c>
      <c r="AII1" s="33" t="s">
        <v>35222</v>
      </c>
      <c r="AIJ1" s="33" t="s">
        <v>35223</v>
      </c>
      <c r="AIK1" s="33" t="s">
        <v>35224</v>
      </c>
      <c r="AIL1" s="33" t="s">
        <v>35225</v>
      </c>
      <c r="AIM1" s="33" t="s">
        <v>35226</v>
      </c>
      <c r="AIN1" s="33" t="s">
        <v>35227</v>
      </c>
      <c r="AIO1" s="33" t="s">
        <v>35228</v>
      </c>
      <c r="AIP1" s="33" t="s">
        <v>35229</v>
      </c>
      <c r="AIQ1" s="33" t="s">
        <v>35230</v>
      </c>
      <c r="AIR1" s="33" t="s">
        <v>35231</v>
      </c>
      <c r="AIS1" s="33" t="s">
        <v>35232</v>
      </c>
      <c r="AIT1" s="33" t="s">
        <v>35233</v>
      </c>
      <c r="AIU1" s="33" t="s">
        <v>35234</v>
      </c>
      <c r="AIV1" s="33" t="s">
        <v>35235</v>
      </c>
      <c r="AIW1" s="33" t="s">
        <v>35236</v>
      </c>
      <c r="AIX1" s="33" t="s">
        <v>35237</v>
      </c>
      <c r="AIY1" s="33" t="s">
        <v>35238</v>
      </c>
      <c r="AIZ1" s="33" t="s">
        <v>35239</v>
      </c>
      <c r="AJA1" s="33" t="s">
        <v>35240</v>
      </c>
      <c r="AJB1" s="33" t="s">
        <v>35241</v>
      </c>
      <c r="AJC1" s="33" t="s">
        <v>35242</v>
      </c>
      <c r="AJD1" s="33" t="s">
        <v>35243</v>
      </c>
      <c r="AJE1" s="33" t="s">
        <v>35244</v>
      </c>
      <c r="AJF1" s="33" t="s">
        <v>35245</v>
      </c>
      <c r="AJG1" s="33" t="s">
        <v>35246</v>
      </c>
      <c r="AJH1" s="33" t="s">
        <v>35247</v>
      </c>
      <c r="AJI1" s="33" t="s">
        <v>35248</v>
      </c>
      <c r="AJJ1" s="33" t="s">
        <v>35249</v>
      </c>
      <c r="AJK1" s="33" t="s">
        <v>35250</v>
      </c>
      <c r="AJL1" s="33" t="s">
        <v>35251</v>
      </c>
      <c r="AJM1" s="33" t="s">
        <v>35252</v>
      </c>
      <c r="AJN1" s="33" t="s">
        <v>35253</v>
      </c>
      <c r="AJO1" s="33" t="s">
        <v>35254</v>
      </c>
      <c r="AJP1" s="33" t="s">
        <v>35255</v>
      </c>
      <c r="AJQ1" s="33" t="s">
        <v>35256</v>
      </c>
      <c r="AJR1" s="33" t="s">
        <v>35257</v>
      </c>
      <c r="AJS1" s="33" t="s">
        <v>35258</v>
      </c>
      <c r="AJT1" s="33" t="s">
        <v>35259</v>
      </c>
      <c r="AJU1" s="33" t="s">
        <v>35260</v>
      </c>
      <c r="AJV1" s="33" t="s">
        <v>35261</v>
      </c>
      <c r="AJW1" s="33" t="s">
        <v>35262</v>
      </c>
      <c r="AJX1" s="33" t="s">
        <v>35263</v>
      </c>
      <c r="AJY1" s="33" t="s">
        <v>35264</v>
      </c>
      <c r="AJZ1" s="33" t="s">
        <v>35265</v>
      </c>
      <c r="AKA1" s="33" t="s">
        <v>35266</v>
      </c>
      <c r="AKB1" s="33" t="s">
        <v>35267</v>
      </c>
      <c r="AKC1" s="33" t="s">
        <v>35268</v>
      </c>
      <c r="AKD1" s="33" t="s">
        <v>35269</v>
      </c>
      <c r="AKE1" s="33" t="s">
        <v>35270</v>
      </c>
      <c r="AKF1" s="33" t="s">
        <v>35271</v>
      </c>
      <c r="AKG1" s="33" t="s">
        <v>35272</v>
      </c>
      <c r="AKH1" s="33" t="s">
        <v>35273</v>
      </c>
      <c r="AKI1" s="33" t="s">
        <v>35274</v>
      </c>
      <c r="AKJ1" s="33" t="s">
        <v>35275</v>
      </c>
      <c r="AKK1" s="33" t="s">
        <v>35276</v>
      </c>
      <c r="AKL1" s="33" t="s">
        <v>35277</v>
      </c>
      <c r="AKM1" s="33" t="s">
        <v>35278</v>
      </c>
      <c r="AKN1" s="33" t="s">
        <v>35279</v>
      </c>
      <c r="AKO1" s="33" t="s">
        <v>35280</v>
      </c>
      <c r="AKP1" s="33" t="s">
        <v>35281</v>
      </c>
      <c r="AKQ1" s="33" t="s">
        <v>35282</v>
      </c>
      <c r="AKR1" s="33" t="s">
        <v>35283</v>
      </c>
      <c r="AKS1" s="33" t="s">
        <v>35284</v>
      </c>
      <c r="AKT1" s="33" t="s">
        <v>35285</v>
      </c>
      <c r="AKU1" s="33" t="s">
        <v>35286</v>
      </c>
      <c r="AKV1" s="33" t="s">
        <v>35287</v>
      </c>
      <c r="AKW1" s="33" t="s">
        <v>35288</v>
      </c>
      <c r="AKX1" s="33" t="s">
        <v>35289</v>
      </c>
      <c r="AKY1" s="33" t="s">
        <v>35290</v>
      </c>
      <c r="AKZ1" s="33" t="s">
        <v>35291</v>
      </c>
      <c r="ALA1" s="33" t="s">
        <v>35292</v>
      </c>
      <c r="ALB1" s="33" t="s">
        <v>35293</v>
      </c>
      <c r="ALC1" s="33" t="s">
        <v>35294</v>
      </c>
      <c r="ALD1" s="33" t="s">
        <v>35295</v>
      </c>
      <c r="ALE1" s="33" t="s">
        <v>35296</v>
      </c>
      <c r="ALF1" s="33" t="s">
        <v>35297</v>
      </c>
      <c r="ALG1" s="33" t="s">
        <v>35298</v>
      </c>
      <c r="ALH1" s="33" t="s">
        <v>35299</v>
      </c>
      <c r="ALI1" s="33" t="s">
        <v>35300</v>
      </c>
      <c r="ALJ1" s="33" t="s">
        <v>35301</v>
      </c>
      <c r="ALK1" s="33" t="s">
        <v>35302</v>
      </c>
      <c r="ALL1" s="33" t="s">
        <v>35303</v>
      </c>
      <c r="ALM1" s="33" t="s">
        <v>35304</v>
      </c>
      <c r="ALN1" s="33" t="s">
        <v>35305</v>
      </c>
      <c r="ALO1" s="33" t="s">
        <v>35306</v>
      </c>
      <c r="ALP1" s="33" t="s">
        <v>35307</v>
      </c>
      <c r="ALQ1" s="33" t="s">
        <v>35308</v>
      </c>
      <c r="ALR1" s="33" t="s">
        <v>35309</v>
      </c>
      <c r="ALS1" s="33" t="s">
        <v>35310</v>
      </c>
      <c r="ALT1" s="33" t="s">
        <v>35311</v>
      </c>
      <c r="ALU1" s="33" t="s">
        <v>35312</v>
      </c>
      <c r="ALV1" s="33" t="s">
        <v>35313</v>
      </c>
      <c r="ALW1" s="33" t="s">
        <v>35314</v>
      </c>
      <c r="ALX1" s="33" t="s">
        <v>35315</v>
      </c>
      <c r="ALY1" s="33" t="s">
        <v>35316</v>
      </c>
      <c r="ALZ1" s="33" t="s">
        <v>35317</v>
      </c>
      <c r="AMA1" s="33" t="s">
        <v>35318</v>
      </c>
      <c r="AMB1" s="33" t="s">
        <v>35319</v>
      </c>
      <c r="AMC1" s="33" t="s">
        <v>35320</v>
      </c>
      <c r="AMD1" s="33" t="s">
        <v>35321</v>
      </c>
      <c r="AME1" s="33" t="s">
        <v>35322</v>
      </c>
      <c r="AMF1" s="33" t="s">
        <v>35323</v>
      </c>
      <c r="AMG1" s="33" t="s">
        <v>35324</v>
      </c>
      <c r="AMH1" s="33" t="s">
        <v>35325</v>
      </c>
      <c r="AMI1" s="33" t="s">
        <v>35326</v>
      </c>
      <c r="AMJ1" s="33" t="s">
        <v>35327</v>
      </c>
      <c r="AMK1" t="s">
        <v>35328</v>
      </c>
      <c r="AML1" t="s">
        <v>35329</v>
      </c>
      <c r="AMM1" t="s">
        <v>35330</v>
      </c>
      <c r="AMN1" t="s">
        <v>35331</v>
      </c>
      <c r="AMO1" t="s">
        <v>35332</v>
      </c>
      <c r="AMP1" t="s">
        <v>35333</v>
      </c>
      <c r="AMQ1" t="s">
        <v>35334</v>
      </c>
      <c r="AMR1" t="s">
        <v>35335</v>
      </c>
      <c r="AMS1" t="s">
        <v>35336</v>
      </c>
      <c r="AMT1" t="s">
        <v>35337</v>
      </c>
      <c r="AMU1" t="s">
        <v>35338</v>
      </c>
      <c r="AMV1" t="s">
        <v>35339</v>
      </c>
      <c r="AMW1" t="s">
        <v>35340</v>
      </c>
      <c r="AMX1" t="s">
        <v>35341</v>
      </c>
      <c r="AMY1" t="s">
        <v>35342</v>
      </c>
      <c r="AMZ1" t="s">
        <v>35343</v>
      </c>
      <c r="ANA1" t="s">
        <v>35344</v>
      </c>
      <c r="ANB1" t="s">
        <v>35345</v>
      </c>
      <c r="ANC1" t="s">
        <v>35346</v>
      </c>
      <c r="AND1" t="s">
        <v>35347</v>
      </c>
      <c r="ANE1" t="s">
        <v>35348</v>
      </c>
      <c r="ANF1" t="s">
        <v>35349</v>
      </c>
      <c r="ANG1" t="s">
        <v>35350</v>
      </c>
      <c r="ANH1" t="s">
        <v>35351</v>
      </c>
      <c r="ANI1" t="s">
        <v>35352</v>
      </c>
      <c r="ANJ1" t="s">
        <v>35353</v>
      </c>
      <c r="ANK1" t="s">
        <v>35354</v>
      </c>
      <c r="ANL1" t="s">
        <v>35355</v>
      </c>
      <c r="ANM1" t="s">
        <v>35356</v>
      </c>
      <c r="ANN1" t="s">
        <v>35357</v>
      </c>
      <c r="ANO1" t="s">
        <v>35358</v>
      </c>
      <c r="ANP1" t="s">
        <v>35359</v>
      </c>
      <c r="ANQ1" t="s">
        <v>35360</v>
      </c>
      <c r="ANR1" t="s">
        <v>35361</v>
      </c>
      <c r="ANS1" t="s">
        <v>35362</v>
      </c>
      <c r="ANT1" t="s">
        <v>35363</v>
      </c>
      <c r="ANU1" t="s">
        <v>35364</v>
      </c>
      <c r="ANV1" t="s">
        <v>35365</v>
      </c>
      <c r="ANW1" t="s">
        <v>35366</v>
      </c>
      <c r="ANX1" t="s">
        <v>35367</v>
      </c>
      <c r="ANY1" t="s">
        <v>35368</v>
      </c>
      <c r="ANZ1" t="s">
        <v>35369</v>
      </c>
      <c r="AOA1" t="s">
        <v>35370</v>
      </c>
      <c r="AOB1" t="s">
        <v>35371</v>
      </c>
      <c r="AOC1" t="s">
        <v>35372</v>
      </c>
      <c r="AOD1" t="s">
        <v>35373</v>
      </c>
      <c r="AOE1" t="s">
        <v>35374</v>
      </c>
      <c r="AOF1" t="s">
        <v>35375</v>
      </c>
      <c r="AOG1" t="s">
        <v>35376</v>
      </c>
      <c r="AOH1" t="s">
        <v>35377</v>
      </c>
      <c r="AOI1" t="s">
        <v>35378</v>
      </c>
      <c r="AOJ1" t="s">
        <v>35379</v>
      </c>
      <c r="AOK1" t="s">
        <v>35380</v>
      </c>
      <c r="AOL1" t="s">
        <v>35381</v>
      </c>
      <c r="AOM1" t="s">
        <v>35382</v>
      </c>
      <c r="AON1" t="s">
        <v>35383</v>
      </c>
      <c r="AOO1" t="s">
        <v>35384</v>
      </c>
      <c r="AOP1" t="s">
        <v>35385</v>
      </c>
      <c r="AOQ1" t="s">
        <v>35386</v>
      </c>
      <c r="AOR1" t="s">
        <v>35387</v>
      </c>
      <c r="AOS1" t="s">
        <v>35388</v>
      </c>
      <c r="AOT1" t="s">
        <v>35389</v>
      </c>
      <c r="AOU1" t="s">
        <v>35390</v>
      </c>
      <c r="AOV1" t="s">
        <v>35391</v>
      </c>
      <c r="AOW1" t="s">
        <v>35392</v>
      </c>
      <c r="AOX1" t="s">
        <v>35393</v>
      </c>
      <c r="AOY1" t="s">
        <v>35394</v>
      </c>
      <c r="AOZ1" t="s">
        <v>35395</v>
      </c>
      <c r="APA1" t="s">
        <v>35396</v>
      </c>
      <c r="APB1" t="s">
        <v>35397</v>
      </c>
      <c r="APC1" t="s">
        <v>35398</v>
      </c>
      <c r="APD1" t="s">
        <v>35399</v>
      </c>
      <c r="APE1" t="s">
        <v>35400</v>
      </c>
      <c r="APF1" t="s">
        <v>35401</v>
      </c>
      <c r="APG1" t="s">
        <v>35402</v>
      </c>
      <c r="APH1" t="s">
        <v>35403</v>
      </c>
      <c r="API1" t="s">
        <v>35404</v>
      </c>
      <c r="APJ1" t="s">
        <v>35405</v>
      </c>
      <c r="APK1" t="s">
        <v>35406</v>
      </c>
      <c r="APL1" t="s">
        <v>35407</v>
      </c>
      <c r="APM1" t="s">
        <v>35408</v>
      </c>
      <c r="APN1" t="s">
        <v>35409</v>
      </c>
      <c r="APO1" t="s">
        <v>35410</v>
      </c>
      <c r="APP1" t="s">
        <v>35411</v>
      </c>
      <c r="APQ1" t="s">
        <v>35412</v>
      </c>
      <c r="APR1" t="s">
        <v>35413</v>
      </c>
      <c r="APS1" t="s">
        <v>35414</v>
      </c>
      <c r="APT1" t="s">
        <v>35415</v>
      </c>
      <c r="APU1" t="s">
        <v>35416</v>
      </c>
      <c r="APV1" t="s">
        <v>35417</v>
      </c>
      <c r="APW1" t="s">
        <v>35418</v>
      </c>
      <c r="APX1" t="s">
        <v>35419</v>
      </c>
      <c r="APY1" t="s">
        <v>35420</v>
      </c>
      <c r="APZ1" t="s">
        <v>35421</v>
      </c>
      <c r="AQA1" t="s">
        <v>35422</v>
      </c>
      <c r="AQB1" t="s">
        <v>35423</v>
      </c>
      <c r="AQC1" t="s">
        <v>35424</v>
      </c>
      <c r="AQD1" t="s">
        <v>35425</v>
      </c>
      <c r="AQE1" t="s">
        <v>35426</v>
      </c>
      <c r="AQF1" t="s">
        <v>35427</v>
      </c>
      <c r="AQG1" t="s">
        <v>35428</v>
      </c>
      <c r="AQH1" t="s">
        <v>35429</v>
      </c>
      <c r="AQI1" t="s">
        <v>35430</v>
      </c>
      <c r="AQJ1" t="s">
        <v>35431</v>
      </c>
      <c r="AQK1" t="s">
        <v>35432</v>
      </c>
      <c r="AQL1" t="s">
        <v>35433</v>
      </c>
      <c r="AQM1" t="s">
        <v>35434</v>
      </c>
      <c r="AQN1" t="s">
        <v>35435</v>
      </c>
      <c r="AQO1" t="s">
        <v>35436</v>
      </c>
      <c r="AQP1" t="s">
        <v>35437</v>
      </c>
      <c r="AQQ1" t="s">
        <v>35438</v>
      </c>
      <c r="AQR1" t="s">
        <v>35439</v>
      </c>
      <c r="AQS1" t="s">
        <v>35440</v>
      </c>
      <c r="AQT1" t="s">
        <v>35441</v>
      </c>
      <c r="AQU1" t="s">
        <v>35442</v>
      </c>
      <c r="AQV1" t="s">
        <v>35443</v>
      </c>
      <c r="AQW1" t="s">
        <v>35444</v>
      </c>
      <c r="AQX1" t="s">
        <v>35445</v>
      </c>
      <c r="AQY1" t="s">
        <v>35446</v>
      </c>
      <c r="AQZ1" t="s">
        <v>35447</v>
      </c>
      <c r="ARA1" t="s">
        <v>35448</v>
      </c>
      <c r="ARB1" t="s">
        <v>35449</v>
      </c>
      <c r="ARC1" t="s">
        <v>35450</v>
      </c>
      <c r="ARD1" t="s">
        <v>35451</v>
      </c>
      <c r="ARE1" t="s">
        <v>35452</v>
      </c>
      <c r="ARF1" t="s">
        <v>35453</v>
      </c>
      <c r="ARG1" t="s">
        <v>35454</v>
      </c>
      <c r="ARH1" t="s">
        <v>35455</v>
      </c>
      <c r="ARI1" t="s">
        <v>35456</v>
      </c>
      <c r="ARJ1" t="s">
        <v>35457</v>
      </c>
      <c r="ARK1" t="s">
        <v>35458</v>
      </c>
      <c r="ARL1" t="s">
        <v>35459</v>
      </c>
      <c r="ARM1" t="s">
        <v>35460</v>
      </c>
      <c r="ARN1" t="s">
        <v>35461</v>
      </c>
      <c r="ARO1" t="s">
        <v>35462</v>
      </c>
      <c r="ARP1" t="s">
        <v>35463</v>
      </c>
      <c r="ARQ1" t="s">
        <v>35464</v>
      </c>
      <c r="ARR1" t="s">
        <v>35465</v>
      </c>
      <c r="ARS1" t="s">
        <v>35466</v>
      </c>
      <c r="ART1" t="s">
        <v>35467</v>
      </c>
      <c r="ARU1" t="s">
        <v>35468</v>
      </c>
      <c r="ARV1" t="s">
        <v>35469</v>
      </c>
      <c r="ARW1" t="s">
        <v>35470</v>
      </c>
      <c r="ARX1" t="s">
        <v>35471</v>
      </c>
      <c r="ARY1" t="s">
        <v>35472</v>
      </c>
      <c r="ARZ1" t="s">
        <v>35473</v>
      </c>
      <c r="ASA1" t="s">
        <v>35474</v>
      </c>
      <c r="ASB1" t="s">
        <v>35475</v>
      </c>
      <c r="ASC1" t="s">
        <v>35476</v>
      </c>
      <c r="ASD1" t="s">
        <v>35477</v>
      </c>
      <c r="ASE1" t="s">
        <v>35478</v>
      </c>
      <c r="ASF1" t="s">
        <v>35479</v>
      </c>
      <c r="ASG1" t="s">
        <v>35480</v>
      </c>
      <c r="ASH1" t="s">
        <v>35481</v>
      </c>
      <c r="ASI1" t="s">
        <v>35482</v>
      </c>
      <c r="ASJ1" t="s">
        <v>35483</v>
      </c>
      <c r="ASK1" t="s">
        <v>35484</v>
      </c>
      <c r="ASL1" t="s">
        <v>35485</v>
      </c>
      <c r="ASM1" t="s">
        <v>35486</v>
      </c>
      <c r="ASN1" t="s">
        <v>35487</v>
      </c>
      <c r="ASO1" t="s">
        <v>35488</v>
      </c>
      <c r="ASP1" t="s">
        <v>35489</v>
      </c>
      <c r="ASQ1" t="s">
        <v>35490</v>
      </c>
      <c r="ASR1" t="s">
        <v>35491</v>
      </c>
      <c r="ASS1" t="s">
        <v>35492</v>
      </c>
      <c r="AST1" t="s">
        <v>35493</v>
      </c>
      <c r="ASU1" t="s">
        <v>35494</v>
      </c>
      <c r="ASV1" t="s">
        <v>35495</v>
      </c>
      <c r="ASW1" t="s">
        <v>35496</v>
      </c>
      <c r="ASX1" t="s">
        <v>35497</v>
      </c>
      <c r="ASY1" t="s">
        <v>35498</v>
      </c>
      <c r="ASZ1" t="s">
        <v>35499</v>
      </c>
      <c r="ATA1" t="s">
        <v>35500</v>
      </c>
      <c r="ATB1" t="s">
        <v>35501</v>
      </c>
      <c r="ATC1" t="s">
        <v>35502</v>
      </c>
      <c r="ATD1" t="s">
        <v>35503</v>
      </c>
      <c r="ATE1" t="s">
        <v>35504</v>
      </c>
      <c r="ATF1" t="s">
        <v>35505</v>
      </c>
      <c r="ATG1" t="s">
        <v>35506</v>
      </c>
      <c r="ATH1" t="s">
        <v>35507</v>
      </c>
      <c r="ATI1" t="s">
        <v>35508</v>
      </c>
      <c r="ATJ1" t="s">
        <v>35509</v>
      </c>
      <c r="ATK1" t="s">
        <v>35510</v>
      </c>
      <c r="ATL1" t="s">
        <v>35511</v>
      </c>
      <c r="ATM1" t="s">
        <v>35512</v>
      </c>
      <c r="ATN1" t="s">
        <v>35513</v>
      </c>
      <c r="ATO1" t="s">
        <v>35514</v>
      </c>
      <c r="ATP1" t="s">
        <v>35515</v>
      </c>
      <c r="ATQ1" t="s">
        <v>35516</v>
      </c>
      <c r="ATR1" t="s">
        <v>35517</v>
      </c>
      <c r="ATS1" t="s">
        <v>35518</v>
      </c>
      <c r="ATT1" t="s">
        <v>35519</v>
      </c>
      <c r="ATU1" t="s">
        <v>35520</v>
      </c>
      <c r="ATV1" t="s">
        <v>35521</v>
      </c>
      <c r="ATW1" t="s">
        <v>35522</v>
      </c>
      <c r="ATX1" t="s">
        <v>35523</v>
      </c>
      <c r="ATY1" t="s">
        <v>35524</v>
      </c>
      <c r="ATZ1" t="s">
        <v>35525</v>
      </c>
      <c r="AUA1" t="s">
        <v>35526</v>
      </c>
      <c r="AUB1" t="s">
        <v>35527</v>
      </c>
      <c r="AUC1" t="s">
        <v>35528</v>
      </c>
      <c r="AUD1" t="s">
        <v>35529</v>
      </c>
      <c r="AUE1" t="s">
        <v>35530</v>
      </c>
      <c r="AUF1" t="s">
        <v>35531</v>
      </c>
      <c r="AUG1" t="s">
        <v>35532</v>
      </c>
      <c r="AUH1" t="s">
        <v>35533</v>
      </c>
      <c r="AUI1" t="s">
        <v>35534</v>
      </c>
      <c r="AUJ1" t="s">
        <v>35535</v>
      </c>
      <c r="AUK1" t="s">
        <v>35536</v>
      </c>
      <c r="AUL1" t="s">
        <v>35537</v>
      </c>
      <c r="AUM1" t="s">
        <v>35538</v>
      </c>
      <c r="AUN1" t="s">
        <v>35539</v>
      </c>
      <c r="AUO1" t="s">
        <v>35540</v>
      </c>
      <c r="AUP1" t="s">
        <v>35541</v>
      </c>
      <c r="AUQ1" t="s">
        <v>35542</v>
      </c>
      <c r="AUR1" t="s">
        <v>35543</v>
      </c>
      <c r="AUS1" t="s">
        <v>35544</v>
      </c>
      <c r="AUT1" t="s">
        <v>35545</v>
      </c>
      <c r="AUU1" t="s">
        <v>35546</v>
      </c>
      <c r="AUV1" t="s">
        <v>35547</v>
      </c>
      <c r="AUW1" t="s">
        <v>35548</v>
      </c>
      <c r="AUX1" t="s">
        <v>35549</v>
      </c>
      <c r="AUY1" t="s">
        <v>35550</v>
      </c>
      <c r="AUZ1" t="s">
        <v>35551</v>
      </c>
      <c r="AVA1" t="s">
        <v>35552</v>
      </c>
      <c r="AVB1" t="s">
        <v>35553</v>
      </c>
      <c r="AVC1" t="s">
        <v>35554</v>
      </c>
      <c r="AVD1" t="s">
        <v>35555</v>
      </c>
      <c r="AVE1" t="s">
        <v>35556</v>
      </c>
      <c r="AVF1" t="s">
        <v>35557</v>
      </c>
      <c r="AVG1" t="s">
        <v>35558</v>
      </c>
      <c r="AVH1" t="s">
        <v>35559</v>
      </c>
      <c r="AVI1" t="s">
        <v>35560</v>
      </c>
      <c r="AVJ1" t="s">
        <v>35561</v>
      </c>
      <c r="AVK1" t="s">
        <v>35562</v>
      </c>
      <c r="AVL1" t="s">
        <v>35563</v>
      </c>
      <c r="AVM1" t="s">
        <v>35564</v>
      </c>
      <c r="AVN1" t="s">
        <v>35565</v>
      </c>
      <c r="AVO1" t="s">
        <v>35566</v>
      </c>
      <c r="AVP1" t="s">
        <v>35567</v>
      </c>
      <c r="AVQ1" t="s">
        <v>35568</v>
      </c>
      <c r="AVR1" t="s">
        <v>35569</v>
      </c>
      <c r="AVS1" t="s">
        <v>35570</v>
      </c>
      <c r="AVT1" t="s">
        <v>35571</v>
      </c>
      <c r="AVU1" t="s">
        <v>35572</v>
      </c>
      <c r="AVV1" t="s">
        <v>35573</v>
      </c>
      <c r="AVW1" t="s">
        <v>35574</v>
      </c>
      <c r="AVX1" t="s">
        <v>35575</v>
      </c>
      <c r="AVY1" t="s">
        <v>35576</v>
      </c>
      <c r="AVZ1" t="s">
        <v>35577</v>
      </c>
      <c r="AWA1" t="s">
        <v>35578</v>
      </c>
      <c r="AWB1" t="s">
        <v>35579</v>
      </c>
      <c r="AWC1" t="s">
        <v>35580</v>
      </c>
      <c r="AWD1" t="s">
        <v>35581</v>
      </c>
      <c r="AWE1" t="s">
        <v>35582</v>
      </c>
      <c r="AWF1" t="s">
        <v>35583</v>
      </c>
      <c r="AWG1" t="s">
        <v>35584</v>
      </c>
      <c r="AWH1" t="s">
        <v>35585</v>
      </c>
      <c r="AWI1" t="s">
        <v>35586</v>
      </c>
      <c r="AWJ1" t="s">
        <v>35587</v>
      </c>
      <c r="AWK1" t="s">
        <v>35588</v>
      </c>
      <c r="AWL1" t="s">
        <v>35589</v>
      </c>
      <c r="AWM1" t="s">
        <v>35590</v>
      </c>
      <c r="AWN1" t="s">
        <v>35591</v>
      </c>
      <c r="AWO1" t="s">
        <v>35592</v>
      </c>
      <c r="AWP1" t="s">
        <v>35593</v>
      </c>
      <c r="AWQ1" t="s">
        <v>35594</v>
      </c>
      <c r="AWR1" t="s">
        <v>35595</v>
      </c>
      <c r="AWS1" t="s">
        <v>35596</v>
      </c>
      <c r="AWT1" t="s">
        <v>35597</v>
      </c>
      <c r="AWU1" t="s">
        <v>35598</v>
      </c>
      <c r="AWV1" t="s">
        <v>35599</v>
      </c>
      <c r="AWW1" t="s">
        <v>35600</v>
      </c>
      <c r="AWX1" t="s">
        <v>35601</v>
      </c>
      <c r="AWY1" t="s">
        <v>35602</v>
      </c>
      <c r="AWZ1" t="s">
        <v>35603</v>
      </c>
      <c r="AXA1" t="s">
        <v>35604</v>
      </c>
      <c r="AXB1" t="s">
        <v>35605</v>
      </c>
      <c r="AXC1" t="s">
        <v>35606</v>
      </c>
      <c r="AXD1" t="s">
        <v>35607</v>
      </c>
      <c r="AXE1" t="s">
        <v>35608</v>
      </c>
      <c r="AXF1" t="s">
        <v>35609</v>
      </c>
      <c r="AXG1" t="s">
        <v>35610</v>
      </c>
      <c r="AXH1" t="s">
        <v>35611</v>
      </c>
      <c r="AXI1" t="s">
        <v>35612</v>
      </c>
      <c r="AXJ1" t="s">
        <v>35613</v>
      </c>
      <c r="AXK1" t="s">
        <v>35614</v>
      </c>
      <c r="AXL1" t="s">
        <v>35615</v>
      </c>
      <c r="AXM1" t="s">
        <v>35616</v>
      </c>
      <c r="AXN1" t="s">
        <v>35617</v>
      </c>
      <c r="AXO1" t="s">
        <v>35618</v>
      </c>
      <c r="AXP1" t="s">
        <v>35619</v>
      </c>
      <c r="AXQ1" t="s">
        <v>35620</v>
      </c>
      <c r="AXR1" t="s">
        <v>35621</v>
      </c>
      <c r="AXS1" t="s">
        <v>35622</v>
      </c>
      <c r="AXT1" t="s">
        <v>35623</v>
      </c>
      <c r="AXU1" t="s">
        <v>35624</v>
      </c>
      <c r="AXV1" t="s">
        <v>35625</v>
      </c>
      <c r="AXW1" t="s">
        <v>35626</v>
      </c>
      <c r="AXX1" t="s">
        <v>35627</v>
      </c>
      <c r="AXY1" t="s">
        <v>35628</v>
      </c>
      <c r="AXZ1" t="s">
        <v>35629</v>
      </c>
      <c r="AYA1" t="s">
        <v>35630</v>
      </c>
      <c r="AYB1" t="s">
        <v>35631</v>
      </c>
      <c r="AYC1" t="s">
        <v>35632</v>
      </c>
      <c r="AYD1" t="s">
        <v>35633</v>
      </c>
      <c r="AYE1" t="s">
        <v>35634</v>
      </c>
      <c r="AYF1" t="s">
        <v>35635</v>
      </c>
      <c r="AYG1" t="s">
        <v>35636</v>
      </c>
      <c r="AYH1" t="s">
        <v>35637</v>
      </c>
      <c r="AYI1" t="s">
        <v>35638</v>
      </c>
      <c r="AYJ1" t="s">
        <v>35639</v>
      </c>
      <c r="AYK1" t="s">
        <v>35640</v>
      </c>
      <c r="AYL1" t="s">
        <v>35641</v>
      </c>
      <c r="AYM1" t="s">
        <v>35642</v>
      </c>
      <c r="AYN1" t="s">
        <v>35643</v>
      </c>
      <c r="AYO1" t="s">
        <v>35644</v>
      </c>
      <c r="AYP1" t="s">
        <v>35645</v>
      </c>
      <c r="AYQ1" t="s">
        <v>35646</v>
      </c>
      <c r="AYR1" t="s">
        <v>35647</v>
      </c>
      <c r="AYS1" t="s">
        <v>35648</v>
      </c>
      <c r="AYT1" t="s">
        <v>35649</v>
      </c>
      <c r="AYU1" t="s">
        <v>35650</v>
      </c>
      <c r="AYV1" t="s">
        <v>35651</v>
      </c>
      <c r="AYW1" t="s">
        <v>35652</v>
      </c>
      <c r="AYX1" t="s">
        <v>35653</v>
      </c>
      <c r="AYY1" t="s">
        <v>35654</v>
      </c>
      <c r="AYZ1" t="s">
        <v>35655</v>
      </c>
      <c r="AZA1" t="s">
        <v>35656</v>
      </c>
      <c r="AZB1" t="s">
        <v>35657</v>
      </c>
      <c r="AZC1" t="s">
        <v>35658</v>
      </c>
      <c r="AZD1" t="s">
        <v>35659</v>
      </c>
      <c r="AZE1" t="s">
        <v>35660</v>
      </c>
      <c r="AZF1" t="s">
        <v>35661</v>
      </c>
      <c r="AZG1" t="s">
        <v>35662</v>
      </c>
      <c r="AZH1" t="s">
        <v>35663</v>
      </c>
      <c r="AZI1" t="s">
        <v>35664</v>
      </c>
      <c r="AZJ1" t="s">
        <v>35665</v>
      </c>
      <c r="AZK1" t="s">
        <v>35666</v>
      </c>
      <c r="AZL1" t="s">
        <v>35667</v>
      </c>
      <c r="AZM1" t="s">
        <v>35668</v>
      </c>
      <c r="AZN1" t="s">
        <v>35669</v>
      </c>
      <c r="AZO1" t="s">
        <v>35670</v>
      </c>
      <c r="AZP1" t="s">
        <v>35671</v>
      </c>
      <c r="AZQ1" t="s">
        <v>35672</v>
      </c>
      <c r="AZR1" t="s">
        <v>35673</v>
      </c>
      <c r="AZS1" t="s">
        <v>35674</v>
      </c>
      <c r="AZT1" t="s">
        <v>35675</v>
      </c>
      <c r="AZU1" t="s">
        <v>35676</v>
      </c>
      <c r="AZV1" t="s">
        <v>35677</v>
      </c>
      <c r="AZW1" t="s">
        <v>35678</v>
      </c>
      <c r="AZX1" t="s">
        <v>35679</v>
      </c>
      <c r="AZY1" t="s">
        <v>35680</v>
      </c>
      <c r="AZZ1" t="s">
        <v>35681</v>
      </c>
      <c r="BAA1" t="s">
        <v>35682</v>
      </c>
      <c r="BAB1" t="s">
        <v>35683</v>
      </c>
      <c r="BAC1" t="s">
        <v>35684</v>
      </c>
      <c r="BAD1" t="s">
        <v>35685</v>
      </c>
      <c r="BAE1" t="s">
        <v>35686</v>
      </c>
      <c r="BAF1" t="s">
        <v>35687</v>
      </c>
      <c r="BAG1" t="s">
        <v>35688</v>
      </c>
      <c r="BAH1" t="s">
        <v>35689</v>
      </c>
      <c r="BAI1" t="s">
        <v>35690</v>
      </c>
      <c r="BAJ1" t="s">
        <v>35691</v>
      </c>
      <c r="BAK1" t="s">
        <v>35692</v>
      </c>
      <c r="BAL1" t="s">
        <v>35693</v>
      </c>
      <c r="BAM1" t="s">
        <v>35694</v>
      </c>
      <c r="BAN1" t="s">
        <v>35695</v>
      </c>
      <c r="BAO1" t="s">
        <v>35696</v>
      </c>
      <c r="BAP1" t="s">
        <v>35697</v>
      </c>
      <c r="BAQ1" t="s">
        <v>35698</v>
      </c>
      <c r="BAR1" t="s">
        <v>35699</v>
      </c>
      <c r="BAS1" t="s">
        <v>35700</v>
      </c>
      <c r="BAT1" t="s">
        <v>35701</v>
      </c>
      <c r="BAU1" t="s">
        <v>35702</v>
      </c>
      <c r="BAV1" t="s">
        <v>35703</v>
      </c>
      <c r="BAW1" t="s">
        <v>35704</v>
      </c>
      <c r="BAX1" t="s">
        <v>35705</v>
      </c>
      <c r="BAY1" t="s">
        <v>35706</v>
      </c>
      <c r="BAZ1" t="s">
        <v>35707</v>
      </c>
      <c r="BBA1" t="s">
        <v>35708</v>
      </c>
      <c r="BBB1" t="s">
        <v>35709</v>
      </c>
      <c r="BBC1" t="s">
        <v>35710</v>
      </c>
      <c r="BBD1" t="s">
        <v>35711</v>
      </c>
      <c r="BBE1" t="s">
        <v>35712</v>
      </c>
      <c r="BBF1" t="s">
        <v>35713</v>
      </c>
      <c r="BBG1" t="s">
        <v>35714</v>
      </c>
      <c r="BBH1" t="s">
        <v>35715</v>
      </c>
      <c r="BBI1" t="s">
        <v>35716</v>
      </c>
      <c r="BBJ1" t="s">
        <v>35717</v>
      </c>
      <c r="BBK1" t="s">
        <v>35718</v>
      </c>
      <c r="BBL1" t="s">
        <v>35719</v>
      </c>
      <c r="BBM1" t="s">
        <v>35720</v>
      </c>
      <c r="BBN1" t="s">
        <v>35721</v>
      </c>
      <c r="BBO1" t="s">
        <v>35722</v>
      </c>
      <c r="BBP1" t="s">
        <v>35723</v>
      </c>
      <c r="BBQ1" t="s">
        <v>35724</v>
      </c>
      <c r="BBR1" t="s">
        <v>35725</v>
      </c>
      <c r="BBS1" t="s">
        <v>35726</v>
      </c>
      <c r="BBT1" t="s">
        <v>35727</v>
      </c>
      <c r="BBU1" t="s">
        <v>35728</v>
      </c>
      <c r="BBV1" t="s">
        <v>35729</v>
      </c>
      <c r="BBW1" t="s">
        <v>35730</v>
      </c>
      <c r="BBX1" t="s">
        <v>35731</v>
      </c>
      <c r="BBY1" t="s">
        <v>35732</v>
      </c>
      <c r="BBZ1" t="s">
        <v>35733</v>
      </c>
      <c r="BCA1" t="s">
        <v>35734</v>
      </c>
      <c r="BCB1" t="s">
        <v>35735</v>
      </c>
      <c r="BCC1" t="s">
        <v>35736</v>
      </c>
      <c r="BCD1" t="s">
        <v>35737</v>
      </c>
      <c r="BCE1" t="s">
        <v>35738</v>
      </c>
      <c r="BCF1" t="s">
        <v>35739</v>
      </c>
      <c r="BCG1" t="s">
        <v>35740</v>
      </c>
      <c r="BCH1" t="s">
        <v>35741</v>
      </c>
      <c r="BCI1" t="s">
        <v>35742</v>
      </c>
      <c r="BCJ1" t="s">
        <v>35743</v>
      </c>
      <c r="BCK1" t="s">
        <v>35744</v>
      </c>
      <c r="BCL1" t="s">
        <v>35745</v>
      </c>
      <c r="BCM1" t="s">
        <v>35746</v>
      </c>
      <c r="BCN1" t="s">
        <v>35747</v>
      </c>
      <c r="BCO1" t="s">
        <v>35748</v>
      </c>
      <c r="BCP1" t="s">
        <v>35749</v>
      </c>
      <c r="BCQ1" t="s">
        <v>35750</v>
      </c>
      <c r="BCR1" t="s">
        <v>35751</v>
      </c>
      <c r="BCS1" t="s">
        <v>35752</v>
      </c>
      <c r="BCT1" t="s">
        <v>35753</v>
      </c>
      <c r="BCU1" t="s">
        <v>35754</v>
      </c>
      <c r="BCV1" t="s">
        <v>35755</v>
      </c>
      <c r="BCW1" t="s">
        <v>35756</v>
      </c>
      <c r="BCX1" t="s">
        <v>35757</v>
      </c>
      <c r="BCY1" t="s">
        <v>35758</v>
      </c>
      <c r="BCZ1" t="s">
        <v>35759</v>
      </c>
      <c r="BDA1" t="s">
        <v>35760</v>
      </c>
      <c r="BDB1" t="s">
        <v>35761</v>
      </c>
      <c r="BDC1" t="s">
        <v>35762</v>
      </c>
      <c r="BDD1" t="s">
        <v>35763</v>
      </c>
      <c r="BDE1" t="s">
        <v>35764</v>
      </c>
      <c r="BDF1" t="s">
        <v>35765</v>
      </c>
      <c r="BDG1" t="s">
        <v>35766</v>
      </c>
      <c r="BDH1" t="s">
        <v>35767</v>
      </c>
      <c r="BDI1" t="s">
        <v>35768</v>
      </c>
      <c r="BDJ1" t="s">
        <v>35769</v>
      </c>
      <c r="BDK1" t="s">
        <v>35770</v>
      </c>
      <c r="BDL1" t="s">
        <v>35771</v>
      </c>
      <c r="BDM1" t="s">
        <v>35772</v>
      </c>
      <c r="BDN1" t="s">
        <v>35773</v>
      </c>
      <c r="BDO1" t="s">
        <v>35774</v>
      </c>
      <c r="BDP1" t="s">
        <v>35775</v>
      </c>
      <c r="BDQ1" t="s">
        <v>35776</v>
      </c>
      <c r="BDR1" t="s">
        <v>35777</v>
      </c>
      <c r="BDS1" t="s">
        <v>35778</v>
      </c>
      <c r="BDT1" t="s">
        <v>35779</v>
      </c>
      <c r="BDU1" t="s">
        <v>35780</v>
      </c>
      <c r="BDV1" t="s">
        <v>35781</v>
      </c>
      <c r="BDW1" t="s">
        <v>35782</v>
      </c>
      <c r="BDX1" t="s">
        <v>35783</v>
      </c>
      <c r="BDY1" t="s">
        <v>35784</v>
      </c>
      <c r="BDZ1" t="s">
        <v>35785</v>
      </c>
      <c r="BEA1" t="s">
        <v>35786</v>
      </c>
      <c r="BEB1" t="s">
        <v>35787</v>
      </c>
      <c r="BEC1" t="s">
        <v>35788</v>
      </c>
      <c r="BED1" t="s">
        <v>35789</v>
      </c>
      <c r="BEE1" t="s">
        <v>35790</v>
      </c>
      <c r="BEF1" t="s">
        <v>35791</v>
      </c>
      <c r="BEG1" t="s">
        <v>35792</v>
      </c>
      <c r="BEH1" t="s">
        <v>35793</v>
      </c>
      <c r="BEI1" t="s">
        <v>35794</v>
      </c>
      <c r="BEJ1" t="s">
        <v>35795</v>
      </c>
      <c r="BEK1" t="s">
        <v>35796</v>
      </c>
      <c r="BEL1" t="s">
        <v>35797</v>
      </c>
      <c r="BEM1" t="s">
        <v>35798</v>
      </c>
      <c r="BEN1" t="s">
        <v>35799</v>
      </c>
      <c r="BEO1" t="s">
        <v>35800</v>
      </c>
      <c r="BEP1" t="s">
        <v>35801</v>
      </c>
      <c r="BEQ1" t="s">
        <v>35802</v>
      </c>
      <c r="BER1" t="s">
        <v>35803</v>
      </c>
      <c r="BES1" t="s">
        <v>35804</v>
      </c>
      <c r="BET1" t="s">
        <v>35805</v>
      </c>
      <c r="BEU1" t="s">
        <v>35806</v>
      </c>
      <c r="BEV1" t="s">
        <v>35807</v>
      </c>
      <c r="BEW1" t="s">
        <v>35808</v>
      </c>
      <c r="BEX1" t="s">
        <v>35809</v>
      </c>
      <c r="BEY1" t="s">
        <v>35810</v>
      </c>
      <c r="BEZ1" t="s">
        <v>35811</v>
      </c>
      <c r="BFA1" t="s">
        <v>35812</v>
      </c>
      <c r="BFB1" t="s">
        <v>35813</v>
      </c>
      <c r="BFC1" t="s">
        <v>35814</v>
      </c>
      <c r="BFD1" t="s">
        <v>35815</v>
      </c>
      <c r="BFE1" t="s">
        <v>35816</v>
      </c>
      <c r="BFF1" t="s">
        <v>35817</v>
      </c>
      <c r="BFG1" t="s">
        <v>35818</v>
      </c>
      <c r="BFH1" t="s">
        <v>35819</v>
      </c>
      <c r="BFI1" t="s">
        <v>35820</v>
      </c>
      <c r="BFJ1" t="s">
        <v>35821</v>
      </c>
      <c r="BFK1" t="s">
        <v>35822</v>
      </c>
      <c r="BFL1" t="s">
        <v>35823</v>
      </c>
      <c r="BFM1" t="s">
        <v>35824</v>
      </c>
      <c r="BFN1" t="s">
        <v>35825</v>
      </c>
      <c r="BFO1" t="s">
        <v>35826</v>
      </c>
      <c r="BFP1" t="s">
        <v>35827</v>
      </c>
      <c r="BFQ1" t="s">
        <v>35828</v>
      </c>
      <c r="BFR1" t="s">
        <v>35829</v>
      </c>
      <c r="BFS1" t="s">
        <v>35830</v>
      </c>
      <c r="BFT1" t="s">
        <v>35831</v>
      </c>
      <c r="BFU1" t="s">
        <v>35832</v>
      </c>
      <c r="BFV1" t="s">
        <v>35833</v>
      </c>
      <c r="BFW1" t="s">
        <v>35834</v>
      </c>
      <c r="BFX1" t="s">
        <v>35835</v>
      </c>
      <c r="BFY1" t="s">
        <v>35836</v>
      </c>
      <c r="BFZ1" t="s">
        <v>35837</v>
      </c>
      <c r="BGA1" t="s">
        <v>35838</v>
      </c>
      <c r="BGB1" t="s">
        <v>35839</v>
      </c>
      <c r="BGC1" t="s">
        <v>35840</v>
      </c>
      <c r="BGD1" t="s">
        <v>35841</v>
      </c>
      <c r="BGE1" t="s">
        <v>35842</v>
      </c>
      <c r="BGF1" t="s">
        <v>35843</v>
      </c>
      <c r="BGG1" t="s">
        <v>35844</v>
      </c>
      <c r="BGH1" t="s">
        <v>35845</v>
      </c>
      <c r="BGI1" t="s">
        <v>35846</v>
      </c>
      <c r="BGJ1" t="s">
        <v>35847</v>
      </c>
      <c r="BGK1" t="s">
        <v>35848</v>
      </c>
      <c r="BGL1" t="s">
        <v>35849</v>
      </c>
      <c r="BGM1" t="s">
        <v>35850</v>
      </c>
      <c r="BGN1" t="s">
        <v>35851</v>
      </c>
      <c r="BGO1" t="s">
        <v>35852</v>
      </c>
      <c r="BGP1" t="s">
        <v>35853</v>
      </c>
      <c r="BGQ1" t="s">
        <v>35854</v>
      </c>
      <c r="BGR1" t="s">
        <v>35855</v>
      </c>
      <c r="BGS1" t="s">
        <v>35856</v>
      </c>
      <c r="BGT1" t="s">
        <v>35857</v>
      </c>
      <c r="BGU1" t="s">
        <v>35858</v>
      </c>
      <c r="BGV1" t="s">
        <v>35859</v>
      </c>
      <c r="BGW1" t="s">
        <v>35860</v>
      </c>
      <c r="BGX1" t="s">
        <v>35861</v>
      </c>
      <c r="BGY1" t="s">
        <v>35862</v>
      </c>
      <c r="BGZ1" t="s">
        <v>35863</v>
      </c>
      <c r="BHA1" t="s">
        <v>35864</v>
      </c>
      <c r="BHB1" t="s">
        <v>35865</v>
      </c>
      <c r="BHC1" t="s">
        <v>35866</v>
      </c>
      <c r="BHD1" t="s">
        <v>35867</v>
      </c>
      <c r="BHE1" t="s">
        <v>35868</v>
      </c>
      <c r="BHF1" t="s">
        <v>35869</v>
      </c>
      <c r="BHG1" t="s">
        <v>35870</v>
      </c>
      <c r="BHH1" t="s">
        <v>35871</v>
      </c>
      <c r="BHI1" t="s">
        <v>35872</v>
      </c>
      <c r="BHJ1" t="s">
        <v>35873</v>
      </c>
      <c r="BHK1" t="s">
        <v>35874</v>
      </c>
      <c r="BHL1" t="s">
        <v>35875</v>
      </c>
      <c r="BHM1" t="s">
        <v>35876</v>
      </c>
      <c r="BHN1" t="s">
        <v>35877</v>
      </c>
      <c r="BHO1" t="s">
        <v>35878</v>
      </c>
      <c r="BHP1" t="s">
        <v>35879</v>
      </c>
      <c r="BHQ1" t="s">
        <v>35880</v>
      </c>
      <c r="BHR1" t="s">
        <v>35881</v>
      </c>
      <c r="BHS1" t="s">
        <v>35882</v>
      </c>
      <c r="BHT1" t="s">
        <v>35883</v>
      </c>
      <c r="BHU1" t="s">
        <v>35884</v>
      </c>
      <c r="BHV1" t="s">
        <v>35885</v>
      </c>
      <c r="BHW1" t="s">
        <v>35886</v>
      </c>
      <c r="BHX1" t="s">
        <v>35887</v>
      </c>
      <c r="BHY1" t="s">
        <v>35888</v>
      </c>
      <c r="BHZ1" t="s">
        <v>35889</v>
      </c>
      <c r="BIA1" t="s">
        <v>35890</v>
      </c>
      <c r="BIB1" t="s">
        <v>35891</v>
      </c>
      <c r="BIC1" t="s">
        <v>35892</v>
      </c>
      <c r="BID1" t="s">
        <v>35893</v>
      </c>
      <c r="BIE1" t="s">
        <v>35894</v>
      </c>
      <c r="BIF1" t="s">
        <v>35895</v>
      </c>
      <c r="BIG1" t="s">
        <v>35896</v>
      </c>
      <c r="BIH1" t="s">
        <v>35897</v>
      </c>
      <c r="BII1" t="s">
        <v>35898</v>
      </c>
      <c r="BIJ1" t="s">
        <v>35899</v>
      </c>
      <c r="BIK1" t="s">
        <v>35900</v>
      </c>
      <c r="BIL1" t="s">
        <v>35901</v>
      </c>
      <c r="BIM1" t="s">
        <v>35902</v>
      </c>
      <c r="BIN1" t="s">
        <v>35903</v>
      </c>
      <c r="BIO1" t="s">
        <v>35904</v>
      </c>
      <c r="BIP1" t="s">
        <v>35905</v>
      </c>
      <c r="BIQ1" t="s">
        <v>35906</v>
      </c>
      <c r="BIR1" t="s">
        <v>35907</v>
      </c>
      <c r="BIS1" t="s">
        <v>35908</v>
      </c>
      <c r="BIT1" t="s">
        <v>35909</v>
      </c>
      <c r="BIU1" t="s">
        <v>35910</v>
      </c>
      <c r="BIV1" t="s">
        <v>35911</v>
      </c>
      <c r="BIW1" t="s">
        <v>35912</v>
      </c>
      <c r="BIX1" t="s">
        <v>35913</v>
      </c>
      <c r="BIY1" t="s">
        <v>35914</v>
      </c>
      <c r="BIZ1" t="s">
        <v>35915</v>
      </c>
      <c r="BJA1" t="s">
        <v>35916</v>
      </c>
      <c r="BJB1" t="s">
        <v>35917</v>
      </c>
      <c r="BJC1" t="s">
        <v>35918</v>
      </c>
      <c r="BJD1" t="s">
        <v>35919</v>
      </c>
      <c r="BJE1" t="s">
        <v>35920</v>
      </c>
      <c r="BJF1" t="s">
        <v>35921</v>
      </c>
      <c r="BJG1" t="s">
        <v>35922</v>
      </c>
      <c r="BJH1" t="s">
        <v>35923</v>
      </c>
      <c r="BJI1" t="s">
        <v>35924</v>
      </c>
      <c r="BJJ1" t="s">
        <v>35925</v>
      </c>
      <c r="BJK1" t="s">
        <v>35926</v>
      </c>
      <c r="BJL1" t="s">
        <v>35927</v>
      </c>
      <c r="BJM1" t="s">
        <v>35928</v>
      </c>
      <c r="BJN1" t="s">
        <v>35929</v>
      </c>
      <c r="BJO1" t="s">
        <v>35930</v>
      </c>
      <c r="BJP1" t="s">
        <v>35931</v>
      </c>
      <c r="BJQ1" t="s">
        <v>35932</v>
      </c>
      <c r="BJR1" t="s">
        <v>35933</v>
      </c>
      <c r="BJS1" t="s">
        <v>35934</v>
      </c>
      <c r="BJT1" t="s">
        <v>35935</v>
      </c>
      <c r="BJU1" t="s">
        <v>35936</v>
      </c>
      <c r="BJV1" t="s">
        <v>35937</v>
      </c>
      <c r="BJW1" t="s">
        <v>35938</v>
      </c>
      <c r="BJX1" t="s">
        <v>35939</v>
      </c>
      <c r="BJY1" t="s">
        <v>35940</v>
      </c>
      <c r="BJZ1" t="s">
        <v>35941</v>
      </c>
      <c r="BKA1" t="s">
        <v>35942</v>
      </c>
      <c r="BKB1" t="s">
        <v>35943</v>
      </c>
      <c r="BKC1" t="s">
        <v>35944</v>
      </c>
      <c r="BKD1" t="s">
        <v>35945</v>
      </c>
      <c r="BKE1" t="s">
        <v>35946</v>
      </c>
      <c r="BKF1" t="s">
        <v>35947</v>
      </c>
      <c r="BKG1" t="s">
        <v>35948</v>
      </c>
      <c r="BKH1" t="s">
        <v>35949</v>
      </c>
      <c r="BKI1" t="s">
        <v>35950</v>
      </c>
      <c r="BKJ1" t="s">
        <v>35951</v>
      </c>
      <c r="BKK1" t="s">
        <v>35952</v>
      </c>
      <c r="BKL1" t="s">
        <v>35953</v>
      </c>
      <c r="BKM1" t="s">
        <v>35954</v>
      </c>
      <c r="BKN1" t="s">
        <v>35955</v>
      </c>
      <c r="BKO1" t="s">
        <v>35956</v>
      </c>
      <c r="BKP1" t="s">
        <v>35957</v>
      </c>
      <c r="BKQ1" t="s">
        <v>35958</v>
      </c>
      <c r="BKR1" t="s">
        <v>35959</v>
      </c>
      <c r="BKS1" t="s">
        <v>35960</v>
      </c>
      <c r="BKT1" t="s">
        <v>35961</v>
      </c>
      <c r="BKU1" t="s">
        <v>35962</v>
      </c>
      <c r="BKV1" t="s">
        <v>35963</v>
      </c>
      <c r="BKW1" t="s">
        <v>35964</v>
      </c>
      <c r="BKX1" t="s">
        <v>35965</v>
      </c>
      <c r="BKY1" t="s">
        <v>35966</v>
      </c>
      <c r="BKZ1" t="s">
        <v>35967</v>
      </c>
      <c r="BLA1" t="s">
        <v>35968</v>
      </c>
      <c r="BLB1" t="s">
        <v>35969</v>
      </c>
      <c r="BLC1" t="s">
        <v>35970</v>
      </c>
      <c r="BLD1" t="s">
        <v>35971</v>
      </c>
      <c r="BLE1" t="s">
        <v>35972</v>
      </c>
      <c r="BLF1" t="s">
        <v>35973</v>
      </c>
      <c r="BLG1" t="s">
        <v>35974</v>
      </c>
      <c r="BLH1" t="s">
        <v>35975</v>
      </c>
      <c r="BLI1" t="s">
        <v>35976</v>
      </c>
      <c r="BLJ1" t="s">
        <v>35977</v>
      </c>
      <c r="BLK1" t="s">
        <v>35978</v>
      </c>
      <c r="BLL1" t="s">
        <v>35979</v>
      </c>
      <c r="BLM1" t="s">
        <v>35980</v>
      </c>
      <c r="BLN1" t="s">
        <v>35981</v>
      </c>
      <c r="BLO1" t="s">
        <v>35982</v>
      </c>
      <c r="BLP1" t="s">
        <v>35983</v>
      </c>
      <c r="BLQ1" t="s">
        <v>35984</v>
      </c>
      <c r="BLR1" t="s">
        <v>35985</v>
      </c>
      <c r="BLS1" t="s">
        <v>35986</v>
      </c>
      <c r="BLT1" t="s">
        <v>35987</v>
      </c>
      <c r="BLU1" t="s">
        <v>35988</v>
      </c>
      <c r="BLV1" t="s">
        <v>35989</v>
      </c>
      <c r="BLW1" t="s">
        <v>35990</v>
      </c>
      <c r="BLX1" t="s">
        <v>35991</v>
      </c>
      <c r="BLY1" t="s">
        <v>35992</v>
      </c>
      <c r="BLZ1" t="s">
        <v>35993</v>
      </c>
      <c r="BMA1" t="s">
        <v>35994</v>
      </c>
      <c r="BMB1" t="s">
        <v>35995</v>
      </c>
      <c r="BMC1" t="s">
        <v>35996</v>
      </c>
      <c r="BMD1" t="s">
        <v>35997</v>
      </c>
      <c r="BME1" t="s">
        <v>35998</v>
      </c>
      <c r="BMF1" t="s">
        <v>35999</v>
      </c>
      <c r="BMG1" t="s">
        <v>36000</v>
      </c>
      <c r="BMH1" t="s">
        <v>36001</v>
      </c>
      <c r="BMI1" t="s">
        <v>36002</v>
      </c>
      <c r="BMJ1" t="s">
        <v>36003</v>
      </c>
      <c r="BMK1" t="s">
        <v>36004</v>
      </c>
      <c r="BML1" t="s">
        <v>36005</v>
      </c>
      <c r="BMM1" t="s">
        <v>36006</v>
      </c>
      <c r="BMN1" t="s">
        <v>36007</v>
      </c>
      <c r="BMO1" t="s">
        <v>36008</v>
      </c>
      <c r="BMP1" t="s">
        <v>36009</v>
      </c>
      <c r="BMQ1" t="s">
        <v>36010</v>
      </c>
      <c r="BMR1" t="s">
        <v>36011</v>
      </c>
      <c r="BMS1" t="s">
        <v>36012</v>
      </c>
      <c r="BMT1" t="s">
        <v>36013</v>
      </c>
      <c r="BMU1" t="s">
        <v>36014</v>
      </c>
      <c r="BMV1" t="s">
        <v>36015</v>
      </c>
      <c r="BMW1" t="s">
        <v>36016</v>
      </c>
      <c r="BMX1" t="s">
        <v>36017</v>
      </c>
      <c r="BMY1" t="s">
        <v>36018</v>
      </c>
      <c r="BMZ1" t="s">
        <v>36019</v>
      </c>
      <c r="BNA1" t="s">
        <v>36020</v>
      </c>
      <c r="BNB1" t="s">
        <v>36021</v>
      </c>
      <c r="BNC1" t="s">
        <v>36022</v>
      </c>
      <c r="BND1" t="s">
        <v>36023</v>
      </c>
      <c r="BNE1" t="s">
        <v>36024</v>
      </c>
      <c r="BNF1" t="s">
        <v>36025</v>
      </c>
      <c r="BNG1" t="s">
        <v>36026</v>
      </c>
      <c r="BNH1" t="s">
        <v>36027</v>
      </c>
      <c r="BNI1" t="s">
        <v>36028</v>
      </c>
      <c r="BNJ1" t="s">
        <v>36029</v>
      </c>
      <c r="BNK1" t="s">
        <v>36030</v>
      </c>
      <c r="BNL1" t="s">
        <v>36031</v>
      </c>
      <c r="BNM1" t="s">
        <v>36032</v>
      </c>
      <c r="BNN1" t="s">
        <v>36033</v>
      </c>
      <c r="BNO1" t="s">
        <v>36034</v>
      </c>
      <c r="BNP1" t="s">
        <v>36035</v>
      </c>
      <c r="BNQ1" t="s">
        <v>36036</v>
      </c>
      <c r="BNR1" t="s">
        <v>36037</v>
      </c>
      <c r="BNS1" t="s">
        <v>36038</v>
      </c>
      <c r="BNT1" t="s">
        <v>36039</v>
      </c>
      <c r="BNU1" t="s">
        <v>36040</v>
      </c>
      <c r="BNV1" t="s">
        <v>36041</v>
      </c>
      <c r="BNW1" t="s">
        <v>36042</v>
      </c>
      <c r="BNX1" t="s">
        <v>36043</v>
      </c>
      <c r="BNY1" t="s">
        <v>36044</v>
      </c>
      <c r="BNZ1" t="s">
        <v>36045</v>
      </c>
      <c r="BOA1" t="s">
        <v>36046</v>
      </c>
      <c r="BOB1" t="s">
        <v>36047</v>
      </c>
      <c r="BOC1" t="s">
        <v>36048</v>
      </c>
      <c r="BOD1" t="s">
        <v>36049</v>
      </c>
      <c r="BOE1" t="s">
        <v>36050</v>
      </c>
      <c r="BOF1" t="s">
        <v>36051</v>
      </c>
      <c r="BOG1" t="s">
        <v>36052</v>
      </c>
      <c r="BOH1" t="s">
        <v>36053</v>
      </c>
      <c r="BOI1" t="s">
        <v>36054</v>
      </c>
      <c r="BOJ1" t="s">
        <v>36055</v>
      </c>
      <c r="BOK1" t="s">
        <v>36056</v>
      </c>
      <c r="BOL1" t="s">
        <v>36057</v>
      </c>
      <c r="BOM1" t="s">
        <v>36058</v>
      </c>
      <c r="BON1" t="s">
        <v>36059</v>
      </c>
      <c r="BOO1" t="s">
        <v>36060</v>
      </c>
      <c r="BOP1" t="s">
        <v>36061</v>
      </c>
      <c r="BOQ1" t="s">
        <v>36062</v>
      </c>
      <c r="BOR1" t="s">
        <v>36063</v>
      </c>
      <c r="BOS1" t="s">
        <v>36064</v>
      </c>
      <c r="BOT1" t="s">
        <v>36065</v>
      </c>
      <c r="BOU1" t="s">
        <v>36066</v>
      </c>
      <c r="BOV1" t="s">
        <v>36067</v>
      </c>
      <c r="BOW1" t="s">
        <v>36068</v>
      </c>
      <c r="BOX1" t="s">
        <v>36069</v>
      </c>
      <c r="BOY1" t="s">
        <v>36070</v>
      </c>
      <c r="BOZ1" t="s">
        <v>36071</v>
      </c>
      <c r="BPA1" t="s">
        <v>36072</v>
      </c>
      <c r="BPB1" t="s">
        <v>36073</v>
      </c>
      <c r="BPC1" t="s">
        <v>36074</v>
      </c>
      <c r="BPD1" t="s">
        <v>36075</v>
      </c>
      <c r="BPE1" t="s">
        <v>36076</v>
      </c>
      <c r="BPF1" t="s">
        <v>36077</v>
      </c>
      <c r="BPG1" t="s">
        <v>36078</v>
      </c>
      <c r="BPH1" t="s">
        <v>36079</v>
      </c>
      <c r="BPI1" t="s">
        <v>36080</v>
      </c>
      <c r="BPJ1" t="s">
        <v>36081</v>
      </c>
      <c r="BPK1" t="s">
        <v>36082</v>
      </c>
      <c r="BPL1" t="s">
        <v>36083</v>
      </c>
      <c r="BPM1" t="s">
        <v>36084</v>
      </c>
      <c r="BPN1" t="s">
        <v>36085</v>
      </c>
      <c r="BPO1" t="s">
        <v>36086</v>
      </c>
      <c r="BPP1" t="s">
        <v>36087</v>
      </c>
      <c r="BPQ1" t="s">
        <v>36088</v>
      </c>
      <c r="BPR1" t="s">
        <v>36089</v>
      </c>
      <c r="BPS1" t="s">
        <v>36090</v>
      </c>
      <c r="BPT1" t="s">
        <v>36091</v>
      </c>
      <c r="BPU1" t="s">
        <v>36092</v>
      </c>
      <c r="BPV1" t="s">
        <v>36093</v>
      </c>
      <c r="BPW1" t="s">
        <v>36094</v>
      </c>
      <c r="BPX1" t="s">
        <v>36095</v>
      </c>
      <c r="BPY1" t="s">
        <v>36096</v>
      </c>
      <c r="BPZ1" t="s">
        <v>36097</v>
      </c>
      <c r="BQA1" t="s">
        <v>36098</v>
      </c>
      <c r="BQB1" t="s">
        <v>36099</v>
      </c>
      <c r="BQC1" t="s">
        <v>36100</v>
      </c>
      <c r="BQD1" t="s">
        <v>36101</v>
      </c>
      <c r="BQE1" t="s">
        <v>36102</v>
      </c>
      <c r="BQF1" t="s">
        <v>36103</v>
      </c>
      <c r="BQG1" t="s">
        <v>36104</v>
      </c>
      <c r="BQH1" t="s">
        <v>36105</v>
      </c>
      <c r="BQI1" t="s">
        <v>36106</v>
      </c>
      <c r="BQJ1" t="s">
        <v>36107</v>
      </c>
      <c r="BQK1" t="s">
        <v>36108</v>
      </c>
      <c r="BQL1" t="s">
        <v>36109</v>
      </c>
      <c r="BQM1" t="s">
        <v>36110</v>
      </c>
      <c r="BQN1" t="s">
        <v>36111</v>
      </c>
      <c r="BQO1" t="s">
        <v>36112</v>
      </c>
      <c r="BQP1" t="s">
        <v>36113</v>
      </c>
      <c r="BQQ1" t="s">
        <v>36114</v>
      </c>
      <c r="BQR1" t="s">
        <v>36115</v>
      </c>
      <c r="BQS1" t="s">
        <v>36116</v>
      </c>
      <c r="BQT1" t="s">
        <v>36117</v>
      </c>
      <c r="BQU1" t="s">
        <v>36118</v>
      </c>
      <c r="BQV1" t="s">
        <v>36119</v>
      </c>
      <c r="BQW1" t="s">
        <v>36120</v>
      </c>
      <c r="BQX1" t="s">
        <v>36121</v>
      </c>
      <c r="BQY1" t="s">
        <v>36122</v>
      </c>
      <c r="BQZ1" t="s">
        <v>36123</v>
      </c>
      <c r="BRA1" t="s">
        <v>36124</v>
      </c>
      <c r="BRB1" t="s">
        <v>36125</v>
      </c>
      <c r="BRC1" t="s">
        <v>36126</v>
      </c>
      <c r="BRD1" t="s">
        <v>36127</v>
      </c>
      <c r="BRE1" t="s">
        <v>36128</v>
      </c>
      <c r="BRF1" t="s">
        <v>36129</v>
      </c>
      <c r="BRG1" t="s">
        <v>36130</v>
      </c>
      <c r="BRH1" t="s">
        <v>36131</v>
      </c>
      <c r="BRI1" t="s">
        <v>36132</v>
      </c>
      <c r="BRJ1" t="s">
        <v>36133</v>
      </c>
      <c r="BRK1" t="s">
        <v>36134</v>
      </c>
      <c r="BRL1" t="s">
        <v>36135</v>
      </c>
      <c r="BRM1" t="s">
        <v>36136</v>
      </c>
      <c r="BRN1" t="s">
        <v>36137</v>
      </c>
      <c r="BRO1" t="s">
        <v>36138</v>
      </c>
      <c r="BRP1" t="s">
        <v>36139</v>
      </c>
      <c r="BRQ1" t="s">
        <v>36140</v>
      </c>
      <c r="BRR1" t="s">
        <v>36141</v>
      </c>
      <c r="BRS1" t="s">
        <v>36142</v>
      </c>
      <c r="BRT1" t="s">
        <v>36143</v>
      </c>
      <c r="BRU1" t="s">
        <v>36144</v>
      </c>
      <c r="BRV1" t="s">
        <v>36145</v>
      </c>
      <c r="BRW1" t="s">
        <v>36146</v>
      </c>
      <c r="BRX1" t="s">
        <v>36147</v>
      </c>
      <c r="BRY1" t="s">
        <v>36148</v>
      </c>
      <c r="BRZ1" t="s">
        <v>36149</v>
      </c>
      <c r="BSA1" t="s">
        <v>36150</v>
      </c>
      <c r="BSB1" t="s">
        <v>36151</v>
      </c>
      <c r="BSC1" t="s">
        <v>36152</v>
      </c>
      <c r="BSD1" t="s">
        <v>36153</v>
      </c>
      <c r="BSE1" t="s">
        <v>36154</v>
      </c>
      <c r="BSF1" t="s">
        <v>36155</v>
      </c>
      <c r="BSG1" t="s">
        <v>36156</v>
      </c>
      <c r="BSH1" t="s">
        <v>36157</v>
      </c>
      <c r="BSI1" t="s">
        <v>36158</v>
      </c>
      <c r="BSJ1" t="s">
        <v>36159</v>
      </c>
      <c r="BSK1" t="s">
        <v>36160</v>
      </c>
      <c r="BSL1" t="s">
        <v>36161</v>
      </c>
      <c r="BSM1" t="s">
        <v>36162</v>
      </c>
      <c r="BSN1" t="s">
        <v>36163</v>
      </c>
      <c r="BSO1" t="s">
        <v>36164</v>
      </c>
      <c r="BSP1" t="s">
        <v>36165</v>
      </c>
      <c r="BSQ1" t="s">
        <v>36166</v>
      </c>
      <c r="BSR1" t="s">
        <v>36167</v>
      </c>
      <c r="BSS1" t="s">
        <v>36168</v>
      </c>
      <c r="BST1" t="s">
        <v>36169</v>
      </c>
      <c r="BSU1" t="s">
        <v>36170</v>
      </c>
      <c r="BSV1" t="s">
        <v>36171</v>
      </c>
      <c r="BSW1" t="s">
        <v>36172</v>
      </c>
      <c r="BSX1" t="s">
        <v>36173</v>
      </c>
      <c r="BSY1" t="s">
        <v>36174</v>
      </c>
      <c r="BSZ1" t="s">
        <v>36175</v>
      </c>
      <c r="BTA1" t="s">
        <v>36176</v>
      </c>
      <c r="BTB1" t="s">
        <v>36177</v>
      </c>
      <c r="BTC1" t="s">
        <v>36178</v>
      </c>
      <c r="BTD1" t="s">
        <v>36179</v>
      </c>
      <c r="BTE1" t="s">
        <v>36180</v>
      </c>
      <c r="BTF1" t="s">
        <v>36181</v>
      </c>
      <c r="BTG1" t="s">
        <v>36182</v>
      </c>
      <c r="BTH1" t="s">
        <v>36183</v>
      </c>
      <c r="BTI1" t="s">
        <v>36184</v>
      </c>
      <c r="BTJ1" t="s">
        <v>36185</v>
      </c>
      <c r="BTK1" t="s">
        <v>36186</v>
      </c>
      <c r="BTL1" t="s">
        <v>36187</v>
      </c>
      <c r="BTM1" t="s">
        <v>36188</v>
      </c>
      <c r="BTN1" t="s">
        <v>36189</v>
      </c>
      <c r="BTO1" t="s">
        <v>36190</v>
      </c>
      <c r="BTP1" t="s">
        <v>36191</v>
      </c>
      <c r="BTQ1" t="s">
        <v>36192</v>
      </c>
      <c r="BTR1" t="s">
        <v>36193</v>
      </c>
      <c r="BTS1" t="s">
        <v>36194</v>
      </c>
      <c r="BTT1" t="s">
        <v>36195</v>
      </c>
      <c r="BTU1" t="s">
        <v>36196</v>
      </c>
      <c r="BTV1" t="s">
        <v>36197</v>
      </c>
      <c r="BTW1" t="s">
        <v>36198</v>
      </c>
      <c r="BTX1" t="s">
        <v>36199</v>
      </c>
      <c r="BTY1" t="s">
        <v>36200</v>
      </c>
      <c r="BTZ1" t="s">
        <v>36201</v>
      </c>
      <c r="BUA1" t="s">
        <v>36202</v>
      </c>
      <c r="BUB1" t="s">
        <v>36203</v>
      </c>
      <c r="BUC1" t="s">
        <v>36204</v>
      </c>
      <c r="BUD1" t="s">
        <v>36205</v>
      </c>
      <c r="BUE1" t="s">
        <v>36206</v>
      </c>
      <c r="BUF1" t="s">
        <v>36207</v>
      </c>
      <c r="BUG1" t="s">
        <v>36208</v>
      </c>
      <c r="BUH1" t="s">
        <v>36209</v>
      </c>
      <c r="BUI1" t="s">
        <v>36210</v>
      </c>
      <c r="BUJ1" t="s">
        <v>36211</v>
      </c>
      <c r="BUK1" t="s">
        <v>36212</v>
      </c>
      <c r="BUL1" t="s">
        <v>36213</v>
      </c>
      <c r="BUM1" t="s">
        <v>36214</v>
      </c>
      <c r="BUN1" t="s">
        <v>36215</v>
      </c>
      <c r="BUO1" t="s">
        <v>36216</v>
      </c>
      <c r="BUP1" t="s">
        <v>36217</v>
      </c>
      <c r="BUQ1" t="s">
        <v>36218</v>
      </c>
      <c r="BUR1" t="s">
        <v>36219</v>
      </c>
      <c r="BUS1" t="s">
        <v>36220</v>
      </c>
      <c r="BUT1" t="s">
        <v>36221</v>
      </c>
      <c r="BUU1" t="s">
        <v>36222</v>
      </c>
      <c r="BUV1" t="s">
        <v>36223</v>
      </c>
      <c r="BUW1" t="s">
        <v>36224</v>
      </c>
      <c r="BUX1" t="s">
        <v>36225</v>
      </c>
      <c r="BUY1" t="s">
        <v>36226</v>
      </c>
      <c r="BUZ1" t="s">
        <v>36227</v>
      </c>
      <c r="BVA1" t="s">
        <v>36228</v>
      </c>
      <c r="BVB1" t="s">
        <v>36229</v>
      </c>
      <c r="BVC1" t="s">
        <v>36230</v>
      </c>
      <c r="BVD1" t="s">
        <v>36231</v>
      </c>
      <c r="BVE1" t="s">
        <v>36232</v>
      </c>
      <c r="BVF1" t="s">
        <v>36233</v>
      </c>
      <c r="BVG1" t="s">
        <v>36234</v>
      </c>
      <c r="BVH1" t="s">
        <v>36235</v>
      </c>
      <c r="BVI1" t="s">
        <v>36236</v>
      </c>
      <c r="BVJ1" t="s">
        <v>36237</v>
      </c>
      <c r="BVK1" t="s">
        <v>36238</v>
      </c>
      <c r="BVL1" t="s">
        <v>36239</v>
      </c>
      <c r="BVM1" t="s">
        <v>36240</v>
      </c>
      <c r="BVN1" t="s">
        <v>36241</v>
      </c>
      <c r="BVO1" t="s">
        <v>36242</v>
      </c>
      <c r="BVP1" t="s">
        <v>36243</v>
      </c>
      <c r="BVQ1" t="s">
        <v>36244</v>
      </c>
      <c r="BVR1" t="s">
        <v>36245</v>
      </c>
      <c r="BVS1" t="s">
        <v>36246</v>
      </c>
      <c r="BVT1" t="s">
        <v>36247</v>
      </c>
      <c r="BVU1" t="s">
        <v>36248</v>
      </c>
      <c r="BVV1" t="s">
        <v>36249</v>
      </c>
      <c r="BVW1" t="s">
        <v>36250</v>
      </c>
      <c r="BVX1" t="s">
        <v>36251</v>
      </c>
      <c r="BVY1" t="s">
        <v>36252</v>
      </c>
      <c r="BVZ1" t="s">
        <v>36253</v>
      </c>
      <c r="BWA1" t="s">
        <v>36254</v>
      </c>
      <c r="BWB1" t="s">
        <v>36255</v>
      </c>
      <c r="BWC1" t="s">
        <v>36256</v>
      </c>
      <c r="BWD1" t="s">
        <v>36257</v>
      </c>
      <c r="BWE1" t="s">
        <v>36258</v>
      </c>
      <c r="BWF1" t="s">
        <v>36259</v>
      </c>
      <c r="BWG1" t="s">
        <v>36260</v>
      </c>
      <c r="BWH1" t="s">
        <v>36261</v>
      </c>
      <c r="BWI1" t="s">
        <v>36262</v>
      </c>
      <c r="BWJ1" t="s">
        <v>36263</v>
      </c>
      <c r="BWK1" t="s">
        <v>36264</v>
      </c>
      <c r="BWL1" t="s">
        <v>36265</v>
      </c>
      <c r="BWM1" t="s">
        <v>36266</v>
      </c>
      <c r="BWN1" t="s">
        <v>36267</v>
      </c>
      <c r="BWO1" t="s">
        <v>36268</v>
      </c>
      <c r="BWP1" t="s">
        <v>36269</v>
      </c>
      <c r="BWQ1" t="s">
        <v>36270</v>
      </c>
      <c r="BWR1" t="s">
        <v>36271</v>
      </c>
      <c r="BWS1" t="s">
        <v>36272</v>
      </c>
      <c r="BWT1" t="s">
        <v>36273</v>
      </c>
      <c r="BWU1" t="s">
        <v>36274</v>
      </c>
      <c r="BWV1" t="s">
        <v>36275</v>
      </c>
      <c r="BWW1" t="s">
        <v>36276</v>
      </c>
      <c r="BWX1" t="s">
        <v>36277</v>
      </c>
      <c r="BWY1" t="s">
        <v>36278</v>
      </c>
      <c r="BWZ1" t="s">
        <v>36279</v>
      </c>
      <c r="BXA1" t="s">
        <v>36280</v>
      </c>
      <c r="BXB1" t="s">
        <v>36281</v>
      </c>
      <c r="BXC1" t="s">
        <v>36282</v>
      </c>
      <c r="BXD1" t="s">
        <v>36283</v>
      </c>
      <c r="BXE1" t="s">
        <v>36284</v>
      </c>
      <c r="BXF1" t="s">
        <v>36285</v>
      </c>
      <c r="BXG1" t="s">
        <v>36286</v>
      </c>
      <c r="BXH1" t="s">
        <v>36287</v>
      </c>
      <c r="BXI1" t="s">
        <v>36288</v>
      </c>
      <c r="BXJ1" t="s">
        <v>36289</v>
      </c>
      <c r="BXK1" t="s">
        <v>36290</v>
      </c>
      <c r="BXL1" t="s">
        <v>36291</v>
      </c>
      <c r="BXM1" t="s">
        <v>36292</v>
      </c>
      <c r="BXN1" t="s">
        <v>36293</v>
      </c>
      <c r="BXO1" t="s">
        <v>36294</v>
      </c>
      <c r="BXP1" t="s">
        <v>36295</v>
      </c>
      <c r="BXQ1" t="s">
        <v>36296</v>
      </c>
      <c r="BXR1" t="s">
        <v>36297</v>
      </c>
      <c r="BXS1" t="s">
        <v>36298</v>
      </c>
      <c r="BXT1" t="s">
        <v>36299</v>
      </c>
      <c r="BXU1" t="s">
        <v>36300</v>
      </c>
      <c r="BXV1" t="s">
        <v>36301</v>
      </c>
      <c r="BXW1" t="s">
        <v>36302</v>
      </c>
      <c r="BXX1" t="s">
        <v>36303</v>
      </c>
      <c r="BXY1" t="s">
        <v>36304</v>
      </c>
      <c r="BXZ1" t="s">
        <v>36305</v>
      </c>
      <c r="BYA1" t="s">
        <v>36306</v>
      </c>
      <c r="BYB1" t="s">
        <v>36307</v>
      </c>
      <c r="BYC1" t="s">
        <v>36308</v>
      </c>
      <c r="BYD1" t="s">
        <v>36309</v>
      </c>
      <c r="BYE1" t="s">
        <v>36310</v>
      </c>
      <c r="BYF1" t="s">
        <v>36311</v>
      </c>
      <c r="BYG1" t="s">
        <v>36312</v>
      </c>
      <c r="BYH1" t="s">
        <v>36313</v>
      </c>
      <c r="BYI1" t="s">
        <v>36314</v>
      </c>
      <c r="BYJ1" t="s">
        <v>36315</v>
      </c>
      <c r="BYK1" t="s">
        <v>36316</v>
      </c>
      <c r="BYL1" t="s">
        <v>36317</v>
      </c>
      <c r="BYM1" t="s">
        <v>36318</v>
      </c>
      <c r="BYN1" t="s">
        <v>36319</v>
      </c>
      <c r="BYO1" t="s">
        <v>36320</v>
      </c>
      <c r="BYP1" t="s">
        <v>36321</v>
      </c>
      <c r="BYQ1" t="s">
        <v>36322</v>
      </c>
      <c r="BYR1" t="s">
        <v>36323</v>
      </c>
      <c r="BYS1" t="s">
        <v>36324</v>
      </c>
      <c r="BYT1" t="s">
        <v>36325</v>
      </c>
      <c r="BYU1" t="s">
        <v>36326</v>
      </c>
      <c r="BYV1" t="s">
        <v>36327</v>
      </c>
      <c r="BYW1" t="s">
        <v>36328</v>
      </c>
      <c r="BYX1" t="s">
        <v>36329</v>
      </c>
      <c r="BYY1" t="s">
        <v>36330</v>
      </c>
      <c r="BYZ1" t="s">
        <v>36331</v>
      </c>
      <c r="BZA1" t="s">
        <v>36332</v>
      </c>
      <c r="BZB1" t="s">
        <v>36333</v>
      </c>
      <c r="BZC1" t="s">
        <v>36334</v>
      </c>
      <c r="BZD1" t="s">
        <v>36335</v>
      </c>
      <c r="BZE1" t="s">
        <v>36336</v>
      </c>
      <c r="BZF1" t="s">
        <v>36337</v>
      </c>
      <c r="BZG1" t="s">
        <v>36338</v>
      </c>
      <c r="BZH1" t="s">
        <v>36339</v>
      </c>
      <c r="BZI1" t="s">
        <v>36340</v>
      </c>
      <c r="BZJ1" t="s">
        <v>36341</v>
      </c>
      <c r="BZK1" t="s">
        <v>36342</v>
      </c>
      <c r="BZL1" t="s">
        <v>36343</v>
      </c>
      <c r="BZM1" t="s">
        <v>36344</v>
      </c>
      <c r="BZN1" t="s">
        <v>36345</v>
      </c>
      <c r="BZO1" t="s">
        <v>36346</v>
      </c>
      <c r="BZP1" t="s">
        <v>36347</v>
      </c>
      <c r="BZQ1" t="s">
        <v>36348</v>
      </c>
      <c r="BZR1" t="s">
        <v>36349</v>
      </c>
      <c r="BZS1" t="s">
        <v>36350</v>
      </c>
      <c r="BZT1" t="s">
        <v>36351</v>
      </c>
      <c r="BZU1" t="s">
        <v>36352</v>
      </c>
      <c r="BZV1" t="s">
        <v>36353</v>
      </c>
      <c r="BZW1" t="s">
        <v>36354</v>
      </c>
      <c r="BZX1" t="s">
        <v>36355</v>
      </c>
      <c r="BZY1" t="s">
        <v>36356</v>
      </c>
      <c r="BZZ1" t="s">
        <v>36357</v>
      </c>
      <c r="CAA1" t="s">
        <v>36358</v>
      </c>
      <c r="CAB1" t="s">
        <v>36359</v>
      </c>
      <c r="CAC1" t="s">
        <v>36360</v>
      </c>
      <c r="CAD1" t="s">
        <v>36361</v>
      </c>
      <c r="CAE1" t="s">
        <v>36362</v>
      </c>
      <c r="CAF1" t="s">
        <v>36363</v>
      </c>
      <c r="CAG1" t="s">
        <v>36364</v>
      </c>
      <c r="CAH1" t="s">
        <v>36365</v>
      </c>
      <c r="CAI1" t="s">
        <v>36366</v>
      </c>
      <c r="CAJ1" t="s">
        <v>36367</v>
      </c>
      <c r="CAK1" t="s">
        <v>36368</v>
      </c>
      <c r="CAL1" t="s">
        <v>36369</v>
      </c>
      <c r="CAM1" t="s">
        <v>36370</v>
      </c>
      <c r="CAN1" t="s">
        <v>36371</v>
      </c>
      <c r="CAO1" t="s">
        <v>36372</v>
      </c>
      <c r="CAP1" t="s">
        <v>36373</v>
      </c>
      <c r="CAQ1" t="s">
        <v>36374</v>
      </c>
      <c r="CAR1" t="s">
        <v>36375</v>
      </c>
      <c r="CAS1" t="s">
        <v>36376</v>
      </c>
      <c r="CAT1" t="s">
        <v>36377</v>
      </c>
      <c r="CAU1" t="s">
        <v>36378</v>
      </c>
      <c r="CAV1" t="s">
        <v>36379</v>
      </c>
      <c r="CAW1" t="s">
        <v>36380</v>
      </c>
      <c r="CAX1" t="s">
        <v>36381</v>
      </c>
      <c r="CAY1" t="s">
        <v>36382</v>
      </c>
      <c r="CAZ1" t="s">
        <v>36383</v>
      </c>
      <c r="CBA1" t="s">
        <v>36384</v>
      </c>
      <c r="CBB1" t="s">
        <v>36385</v>
      </c>
      <c r="CBC1" t="s">
        <v>36386</v>
      </c>
      <c r="CBD1" t="s">
        <v>36387</v>
      </c>
      <c r="CBE1" t="s">
        <v>36388</v>
      </c>
      <c r="CBF1" t="s">
        <v>36389</v>
      </c>
      <c r="CBG1" t="s">
        <v>36390</v>
      </c>
      <c r="CBH1" t="s">
        <v>36391</v>
      </c>
      <c r="CBI1" t="s">
        <v>36392</v>
      </c>
      <c r="CBJ1" t="s">
        <v>36393</v>
      </c>
      <c r="CBK1" t="s">
        <v>36394</v>
      </c>
      <c r="CBL1" t="s">
        <v>36395</v>
      </c>
      <c r="CBM1" t="s">
        <v>36396</v>
      </c>
      <c r="CBN1" t="s">
        <v>36397</v>
      </c>
      <c r="CBO1" t="s">
        <v>36398</v>
      </c>
      <c r="CBP1" t="s">
        <v>36399</v>
      </c>
      <c r="CBQ1" t="s">
        <v>36400</v>
      </c>
      <c r="CBR1" t="s">
        <v>36401</v>
      </c>
      <c r="CBS1" t="s">
        <v>36402</v>
      </c>
      <c r="CBT1" t="s">
        <v>36403</v>
      </c>
      <c r="CBU1" t="s">
        <v>36404</v>
      </c>
      <c r="CBV1" t="s">
        <v>36405</v>
      </c>
      <c r="CBW1" t="s">
        <v>36406</v>
      </c>
      <c r="CBX1" t="s">
        <v>36407</v>
      </c>
      <c r="CBY1" t="s">
        <v>36408</v>
      </c>
      <c r="CBZ1" t="s">
        <v>36409</v>
      </c>
      <c r="CCA1" t="s">
        <v>36410</v>
      </c>
      <c r="CCB1" t="s">
        <v>36411</v>
      </c>
      <c r="CCC1" t="s">
        <v>36412</v>
      </c>
      <c r="CCD1" t="s">
        <v>36413</v>
      </c>
      <c r="CCE1" t="s">
        <v>36414</v>
      </c>
      <c r="CCF1" t="s">
        <v>36415</v>
      </c>
      <c r="CCG1" t="s">
        <v>36416</v>
      </c>
      <c r="CCH1" t="s">
        <v>36417</v>
      </c>
      <c r="CCI1" t="s">
        <v>36418</v>
      </c>
      <c r="CCJ1" t="s">
        <v>36419</v>
      </c>
      <c r="CCK1" t="s">
        <v>36420</v>
      </c>
      <c r="CCL1" t="s">
        <v>36421</v>
      </c>
      <c r="CCM1" t="s">
        <v>36422</v>
      </c>
      <c r="CCN1" t="s">
        <v>36423</v>
      </c>
      <c r="CCO1" t="s">
        <v>36424</v>
      </c>
      <c r="CCP1" t="s">
        <v>36425</v>
      </c>
      <c r="CCQ1" t="s">
        <v>36426</v>
      </c>
      <c r="CCR1" t="s">
        <v>36427</v>
      </c>
      <c r="CCS1" t="s">
        <v>36428</v>
      </c>
      <c r="CCT1" t="s">
        <v>36429</v>
      </c>
      <c r="CCU1" t="s">
        <v>36430</v>
      </c>
      <c r="CCV1" t="s">
        <v>36431</v>
      </c>
      <c r="CCW1" t="s">
        <v>36432</v>
      </c>
      <c r="CCX1" t="s">
        <v>36433</v>
      </c>
      <c r="CCY1" t="s">
        <v>36434</v>
      </c>
      <c r="CCZ1" t="s">
        <v>36435</v>
      </c>
      <c r="CDA1" t="s">
        <v>36436</v>
      </c>
      <c r="CDB1" t="s">
        <v>36437</v>
      </c>
      <c r="CDC1" t="s">
        <v>36438</v>
      </c>
      <c r="CDD1" t="s">
        <v>36439</v>
      </c>
      <c r="CDE1" t="s">
        <v>36440</v>
      </c>
      <c r="CDF1" t="s">
        <v>36441</v>
      </c>
      <c r="CDG1" t="s">
        <v>36442</v>
      </c>
      <c r="CDH1" t="s">
        <v>36443</v>
      </c>
      <c r="CDI1" t="s">
        <v>36444</v>
      </c>
      <c r="CDJ1" t="s">
        <v>36445</v>
      </c>
      <c r="CDK1" t="s">
        <v>36446</v>
      </c>
      <c r="CDL1" t="s">
        <v>36447</v>
      </c>
      <c r="CDM1" t="s">
        <v>36448</v>
      </c>
      <c r="CDN1" t="s">
        <v>36449</v>
      </c>
      <c r="CDO1" t="s">
        <v>36450</v>
      </c>
      <c r="CDP1" t="s">
        <v>36451</v>
      </c>
      <c r="CDQ1" t="s">
        <v>36452</v>
      </c>
      <c r="CDR1" t="s">
        <v>36453</v>
      </c>
      <c r="CDS1" t="s">
        <v>36454</v>
      </c>
      <c r="CDT1" t="s">
        <v>36455</v>
      </c>
      <c r="CDU1" t="s">
        <v>36456</v>
      </c>
      <c r="CDV1" t="s">
        <v>36457</v>
      </c>
      <c r="CDW1" t="s">
        <v>36458</v>
      </c>
      <c r="CDX1" t="s">
        <v>36459</v>
      </c>
      <c r="CDY1" t="s">
        <v>36460</v>
      </c>
      <c r="CDZ1" t="s">
        <v>36461</v>
      </c>
      <c r="CEA1" t="s">
        <v>36462</v>
      </c>
      <c r="CEB1" t="s">
        <v>36463</v>
      </c>
      <c r="CEC1" t="s">
        <v>36464</v>
      </c>
      <c r="CED1" t="s">
        <v>36465</v>
      </c>
      <c r="CEE1" t="s">
        <v>36466</v>
      </c>
      <c r="CEF1" t="s">
        <v>36467</v>
      </c>
      <c r="CEG1" t="s">
        <v>36468</v>
      </c>
      <c r="CEH1" t="s">
        <v>36469</v>
      </c>
      <c r="CEI1" t="s">
        <v>36470</v>
      </c>
      <c r="CEJ1" t="s">
        <v>36471</v>
      </c>
      <c r="CEK1" t="s">
        <v>36472</v>
      </c>
      <c r="CEL1" t="s">
        <v>36473</v>
      </c>
      <c r="CEM1" t="s">
        <v>36474</v>
      </c>
      <c r="CEN1" t="s">
        <v>36475</v>
      </c>
      <c r="CEO1" t="s">
        <v>36476</v>
      </c>
      <c r="CEP1" t="s">
        <v>36477</v>
      </c>
      <c r="CEQ1" t="s">
        <v>36478</v>
      </c>
      <c r="CER1" t="s">
        <v>36479</v>
      </c>
      <c r="CES1" t="s">
        <v>36480</v>
      </c>
      <c r="CET1" t="s">
        <v>36481</v>
      </c>
      <c r="CEU1" t="s">
        <v>36482</v>
      </c>
      <c r="CEV1" t="s">
        <v>36483</v>
      </c>
      <c r="CEW1" t="s">
        <v>36484</v>
      </c>
      <c r="CEX1" t="s">
        <v>36485</v>
      </c>
      <c r="CEY1" t="s">
        <v>36486</v>
      </c>
      <c r="CEZ1" t="s">
        <v>36487</v>
      </c>
      <c r="CFA1" t="s">
        <v>36488</v>
      </c>
      <c r="CFB1" t="s">
        <v>36489</v>
      </c>
      <c r="CFC1" t="s">
        <v>36490</v>
      </c>
      <c r="CFD1" t="s">
        <v>36491</v>
      </c>
      <c r="CFE1" t="s">
        <v>36492</v>
      </c>
      <c r="CFF1" t="s">
        <v>36493</v>
      </c>
      <c r="CFG1" t="s">
        <v>36494</v>
      </c>
      <c r="CFH1" t="s">
        <v>36495</v>
      </c>
      <c r="CFI1" t="s">
        <v>36496</v>
      </c>
      <c r="CFJ1" t="s">
        <v>36497</v>
      </c>
      <c r="CFK1" t="s">
        <v>36498</v>
      </c>
      <c r="CFL1" t="s">
        <v>36499</v>
      </c>
      <c r="CFM1" t="s">
        <v>36500</v>
      </c>
      <c r="CFN1" t="s">
        <v>36501</v>
      </c>
      <c r="CFO1" t="s">
        <v>36502</v>
      </c>
      <c r="CFP1" t="s">
        <v>36503</v>
      </c>
      <c r="CFQ1" t="s">
        <v>36504</v>
      </c>
      <c r="CFR1" t="s">
        <v>36505</v>
      </c>
      <c r="CFS1" t="s">
        <v>36506</v>
      </c>
      <c r="CFT1" t="s">
        <v>36507</v>
      </c>
      <c r="CFU1" t="s">
        <v>36508</v>
      </c>
      <c r="CFV1" t="s">
        <v>36509</v>
      </c>
      <c r="CFW1" t="s">
        <v>36510</v>
      </c>
      <c r="CFX1" t="s">
        <v>36511</v>
      </c>
      <c r="CFY1" t="s">
        <v>36512</v>
      </c>
      <c r="CFZ1" t="s">
        <v>36513</v>
      </c>
      <c r="CGA1" t="s">
        <v>36514</v>
      </c>
      <c r="CGB1" t="s">
        <v>36515</v>
      </c>
      <c r="CGC1" t="s">
        <v>36516</v>
      </c>
      <c r="CGD1" t="s">
        <v>36517</v>
      </c>
      <c r="CGE1" t="s">
        <v>36518</v>
      </c>
      <c r="CGF1" t="s">
        <v>36519</v>
      </c>
      <c r="CGG1" t="s">
        <v>36520</v>
      </c>
      <c r="CGH1" t="s">
        <v>36521</v>
      </c>
      <c r="CGI1" t="s">
        <v>36522</v>
      </c>
      <c r="CGJ1" t="s">
        <v>36523</v>
      </c>
      <c r="CGK1" t="s">
        <v>36524</v>
      </c>
      <c r="CGL1" t="s">
        <v>36525</v>
      </c>
      <c r="CGM1" t="s">
        <v>36526</v>
      </c>
      <c r="CGN1" t="s">
        <v>36527</v>
      </c>
      <c r="CGO1" t="s">
        <v>36528</v>
      </c>
      <c r="CGP1" t="s">
        <v>36529</v>
      </c>
      <c r="CGQ1" t="s">
        <v>36530</v>
      </c>
      <c r="CGR1" t="s">
        <v>36531</v>
      </c>
      <c r="CGS1" t="s">
        <v>36532</v>
      </c>
      <c r="CGT1" t="s">
        <v>36533</v>
      </c>
      <c r="CGU1" t="s">
        <v>36534</v>
      </c>
      <c r="CGV1" t="s">
        <v>36535</v>
      </c>
      <c r="CGW1" t="s">
        <v>36536</v>
      </c>
      <c r="CGX1" t="s">
        <v>36537</v>
      </c>
      <c r="CGY1" t="s">
        <v>36538</v>
      </c>
      <c r="CGZ1" t="s">
        <v>36539</v>
      </c>
      <c r="CHA1" t="s">
        <v>36540</v>
      </c>
      <c r="CHB1" t="s">
        <v>36541</v>
      </c>
      <c r="CHC1" t="s">
        <v>36542</v>
      </c>
      <c r="CHD1" t="s">
        <v>36543</v>
      </c>
      <c r="CHE1" t="s">
        <v>36544</v>
      </c>
      <c r="CHF1" t="s">
        <v>36545</v>
      </c>
      <c r="CHG1" t="s">
        <v>36546</v>
      </c>
      <c r="CHH1" t="s">
        <v>36547</v>
      </c>
      <c r="CHI1" t="s">
        <v>36548</v>
      </c>
      <c r="CHJ1" t="s">
        <v>36549</v>
      </c>
      <c r="CHK1" t="s">
        <v>36550</v>
      </c>
      <c r="CHL1" t="s">
        <v>36551</v>
      </c>
      <c r="CHM1" t="s">
        <v>36552</v>
      </c>
      <c r="CHN1" t="s">
        <v>36553</v>
      </c>
      <c r="CHO1" t="s">
        <v>36554</v>
      </c>
      <c r="CHP1" t="s">
        <v>36555</v>
      </c>
      <c r="CHQ1" t="s">
        <v>36556</v>
      </c>
      <c r="CHR1" t="s">
        <v>36557</v>
      </c>
      <c r="CHS1" t="s">
        <v>36558</v>
      </c>
      <c r="CHT1" t="s">
        <v>36559</v>
      </c>
      <c r="CHU1" t="s">
        <v>36560</v>
      </c>
      <c r="CHV1" t="s">
        <v>36561</v>
      </c>
      <c r="CHW1" t="s">
        <v>36562</v>
      </c>
      <c r="CHX1" t="s">
        <v>36563</v>
      </c>
      <c r="CHY1" t="s">
        <v>36564</v>
      </c>
      <c r="CHZ1" t="s">
        <v>36565</v>
      </c>
      <c r="CIA1" t="s">
        <v>36566</v>
      </c>
      <c r="CIB1" t="s">
        <v>36567</v>
      </c>
      <c r="CIC1" t="s">
        <v>36568</v>
      </c>
      <c r="CID1" t="s">
        <v>36569</v>
      </c>
      <c r="CIE1" t="s">
        <v>36570</v>
      </c>
      <c r="CIF1" t="s">
        <v>36571</v>
      </c>
      <c r="CIG1" t="s">
        <v>36572</v>
      </c>
      <c r="CIH1" t="s">
        <v>36573</v>
      </c>
      <c r="CII1" t="s">
        <v>36574</v>
      </c>
      <c r="CIJ1" t="s">
        <v>36575</v>
      </c>
      <c r="CIK1" t="s">
        <v>36576</v>
      </c>
      <c r="CIL1" t="s">
        <v>36577</v>
      </c>
      <c r="CIM1" t="s">
        <v>36578</v>
      </c>
      <c r="CIN1" t="s">
        <v>36579</v>
      </c>
      <c r="CIO1" t="s">
        <v>36580</v>
      </c>
      <c r="CIP1" t="s">
        <v>36581</v>
      </c>
      <c r="CIQ1" t="s">
        <v>36582</v>
      </c>
      <c r="CIR1" t="s">
        <v>36583</v>
      </c>
      <c r="CIS1" t="s">
        <v>36584</v>
      </c>
      <c r="CIT1" t="s">
        <v>36585</v>
      </c>
      <c r="CIU1" t="s">
        <v>36586</v>
      </c>
      <c r="CIV1" t="s">
        <v>36587</v>
      </c>
      <c r="CIW1" t="s">
        <v>36588</v>
      </c>
      <c r="CIX1" t="s">
        <v>36589</v>
      </c>
      <c r="CIY1" t="s">
        <v>36590</v>
      </c>
      <c r="CIZ1" t="s">
        <v>36591</v>
      </c>
      <c r="CJA1" t="s">
        <v>36592</v>
      </c>
      <c r="CJB1" t="s">
        <v>36593</v>
      </c>
      <c r="CJC1" t="s">
        <v>36594</v>
      </c>
      <c r="CJD1" t="s">
        <v>36595</v>
      </c>
      <c r="CJE1" t="s">
        <v>36596</v>
      </c>
      <c r="CJF1" t="s">
        <v>36597</v>
      </c>
      <c r="CJG1" t="s">
        <v>36598</v>
      </c>
      <c r="CJH1" t="s">
        <v>36599</v>
      </c>
      <c r="CJI1" t="s">
        <v>36600</v>
      </c>
      <c r="CJJ1" t="s">
        <v>36601</v>
      </c>
      <c r="CJK1" t="s">
        <v>36602</v>
      </c>
      <c r="CJL1" t="s">
        <v>36603</v>
      </c>
      <c r="CJM1" t="s">
        <v>36604</v>
      </c>
      <c r="CJN1" t="s">
        <v>36605</v>
      </c>
      <c r="CJO1" t="s">
        <v>36606</v>
      </c>
      <c r="CJP1" t="s">
        <v>36607</v>
      </c>
      <c r="CJQ1" t="s">
        <v>36608</v>
      </c>
      <c r="CJR1" t="s">
        <v>36609</v>
      </c>
      <c r="CJS1" t="s">
        <v>36610</v>
      </c>
      <c r="CJT1" t="s">
        <v>36611</v>
      </c>
      <c r="CJU1" t="s">
        <v>36612</v>
      </c>
      <c r="CJV1" t="s">
        <v>36613</v>
      </c>
      <c r="CJW1" t="s">
        <v>36614</v>
      </c>
      <c r="CJX1" t="s">
        <v>36615</v>
      </c>
      <c r="CJY1" t="s">
        <v>36616</v>
      </c>
      <c r="CJZ1" t="s">
        <v>36617</v>
      </c>
      <c r="CKA1" t="s">
        <v>36618</v>
      </c>
      <c r="CKB1" t="s">
        <v>36619</v>
      </c>
      <c r="CKC1" t="s">
        <v>36620</v>
      </c>
      <c r="CKD1" t="s">
        <v>36621</v>
      </c>
      <c r="CKE1" t="s">
        <v>36622</v>
      </c>
      <c r="CKF1" t="s">
        <v>36623</v>
      </c>
      <c r="CKG1" t="s">
        <v>36624</v>
      </c>
      <c r="CKH1" t="s">
        <v>36625</v>
      </c>
      <c r="CKI1" t="s">
        <v>36626</v>
      </c>
      <c r="CKJ1" t="s">
        <v>36627</v>
      </c>
      <c r="CKK1" t="s">
        <v>36628</v>
      </c>
      <c r="CKL1" t="s">
        <v>36629</v>
      </c>
      <c r="CKM1" t="s">
        <v>36630</v>
      </c>
      <c r="CKN1" t="s">
        <v>36631</v>
      </c>
      <c r="CKO1" t="s">
        <v>36632</v>
      </c>
      <c r="CKP1" t="s">
        <v>36633</v>
      </c>
      <c r="CKQ1" t="s">
        <v>36634</v>
      </c>
      <c r="CKR1" t="s">
        <v>36635</v>
      </c>
      <c r="CKS1" t="s">
        <v>36636</v>
      </c>
      <c r="CKT1" t="s">
        <v>36637</v>
      </c>
      <c r="CKU1" t="s">
        <v>36638</v>
      </c>
      <c r="CKV1" t="s">
        <v>36639</v>
      </c>
      <c r="CKW1" t="s">
        <v>36640</v>
      </c>
      <c r="CKX1" t="s">
        <v>36641</v>
      </c>
      <c r="CKY1" t="s">
        <v>36642</v>
      </c>
      <c r="CKZ1" t="s">
        <v>36643</v>
      </c>
      <c r="CLA1" t="s">
        <v>36644</v>
      </c>
      <c r="CLB1" t="s">
        <v>36645</v>
      </c>
      <c r="CLC1" t="s">
        <v>36646</v>
      </c>
      <c r="CLD1" t="s">
        <v>36647</v>
      </c>
      <c r="CLE1" t="s">
        <v>36648</v>
      </c>
      <c r="CLF1" t="s">
        <v>36649</v>
      </c>
      <c r="CLG1" t="s">
        <v>36650</v>
      </c>
      <c r="CLH1" t="s">
        <v>36651</v>
      </c>
      <c r="CLI1" t="s">
        <v>36652</v>
      </c>
      <c r="CLJ1" t="s">
        <v>36653</v>
      </c>
      <c r="CLK1" t="s">
        <v>36654</v>
      </c>
      <c r="CLL1" t="s">
        <v>36655</v>
      </c>
      <c r="CLM1" t="s">
        <v>36656</v>
      </c>
      <c r="CLN1" t="s">
        <v>36657</v>
      </c>
      <c r="CLO1" t="s">
        <v>36658</v>
      </c>
      <c r="CLP1" t="s">
        <v>36659</v>
      </c>
      <c r="CLQ1" t="s">
        <v>36660</v>
      </c>
      <c r="CLR1" t="s">
        <v>36661</v>
      </c>
      <c r="CLS1" t="s">
        <v>36662</v>
      </c>
      <c r="CLT1" t="s">
        <v>36663</v>
      </c>
      <c r="CLU1" t="s">
        <v>36664</v>
      </c>
      <c r="CLV1" t="s">
        <v>36665</v>
      </c>
      <c r="CLW1" t="s">
        <v>36666</v>
      </c>
      <c r="CLX1" t="s">
        <v>36667</v>
      </c>
      <c r="CLY1" t="s">
        <v>36668</v>
      </c>
      <c r="CLZ1" t="s">
        <v>36669</v>
      </c>
      <c r="CMA1" t="s">
        <v>36670</v>
      </c>
      <c r="CMB1" t="s">
        <v>36671</v>
      </c>
      <c r="CMC1" t="s">
        <v>36672</v>
      </c>
      <c r="CMD1" t="s">
        <v>36673</v>
      </c>
      <c r="CME1" t="s">
        <v>36674</v>
      </c>
      <c r="CMF1" t="s">
        <v>36675</v>
      </c>
      <c r="CMG1" t="s">
        <v>36676</v>
      </c>
      <c r="CMH1" t="s">
        <v>36677</v>
      </c>
      <c r="CMI1" t="s">
        <v>36678</v>
      </c>
      <c r="CMJ1" t="s">
        <v>36679</v>
      </c>
      <c r="CMK1" t="s">
        <v>36680</v>
      </c>
      <c r="CML1" t="s">
        <v>36681</v>
      </c>
      <c r="CMM1" t="s">
        <v>36682</v>
      </c>
      <c r="CMN1" t="s">
        <v>36683</v>
      </c>
      <c r="CMO1" t="s">
        <v>36684</v>
      </c>
      <c r="CMP1" t="s">
        <v>36685</v>
      </c>
      <c r="CMQ1" t="s">
        <v>36686</v>
      </c>
      <c r="CMR1" t="s">
        <v>36687</v>
      </c>
      <c r="CMS1" t="s">
        <v>36688</v>
      </c>
      <c r="CMT1" t="s">
        <v>36689</v>
      </c>
      <c r="CMU1" t="s">
        <v>36690</v>
      </c>
      <c r="CMV1" t="s">
        <v>36691</v>
      </c>
      <c r="CMW1" t="s">
        <v>36692</v>
      </c>
      <c r="CMX1" t="s">
        <v>36693</v>
      </c>
      <c r="CMY1" t="s">
        <v>36694</v>
      </c>
      <c r="CMZ1" t="s">
        <v>36695</v>
      </c>
      <c r="CNA1" t="s">
        <v>36696</v>
      </c>
      <c r="CNB1" t="s">
        <v>36697</v>
      </c>
      <c r="CNC1" t="s">
        <v>36698</v>
      </c>
      <c r="CND1" t="s">
        <v>36699</v>
      </c>
      <c r="CNE1" t="s">
        <v>36700</v>
      </c>
      <c r="CNF1" t="s">
        <v>36701</v>
      </c>
      <c r="CNG1" t="s">
        <v>36702</v>
      </c>
      <c r="CNH1" t="s">
        <v>36703</v>
      </c>
      <c r="CNI1" t="s">
        <v>36704</v>
      </c>
      <c r="CNJ1" t="s">
        <v>36705</v>
      </c>
      <c r="CNK1" t="s">
        <v>36706</v>
      </c>
      <c r="CNL1" t="s">
        <v>36707</v>
      </c>
      <c r="CNM1" t="s">
        <v>36708</v>
      </c>
      <c r="CNN1" t="s">
        <v>36709</v>
      </c>
      <c r="CNO1" t="s">
        <v>36710</v>
      </c>
      <c r="CNP1" t="s">
        <v>36711</v>
      </c>
      <c r="CNQ1" t="s">
        <v>36712</v>
      </c>
      <c r="CNR1" t="s">
        <v>36713</v>
      </c>
      <c r="CNS1" t="s">
        <v>36714</v>
      </c>
      <c r="CNT1" t="s">
        <v>36715</v>
      </c>
      <c r="CNU1" t="s">
        <v>36716</v>
      </c>
      <c r="CNV1" t="s">
        <v>36717</v>
      </c>
      <c r="CNW1" t="s">
        <v>36718</v>
      </c>
      <c r="CNX1" t="s">
        <v>36719</v>
      </c>
      <c r="CNY1" t="s">
        <v>36720</v>
      </c>
      <c r="CNZ1" t="s">
        <v>36721</v>
      </c>
      <c r="COA1" t="s">
        <v>36722</v>
      </c>
      <c r="COB1" t="s">
        <v>36723</v>
      </c>
      <c r="COC1" t="s">
        <v>36724</v>
      </c>
      <c r="COD1" t="s">
        <v>36725</v>
      </c>
      <c r="COE1" t="s">
        <v>36726</v>
      </c>
      <c r="COF1" t="s">
        <v>36727</v>
      </c>
      <c r="COG1" t="s">
        <v>36728</v>
      </c>
      <c r="COH1" t="s">
        <v>36729</v>
      </c>
      <c r="COI1" t="s">
        <v>36730</v>
      </c>
      <c r="COJ1" t="s">
        <v>36731</v>
      </c>
      <c r="COK1" t="s">
        <v>36732</v>
      </c>
      <c r="COL1" t="s">
        <v>36733</v>
      </c>
      <c r="COM1" t="s">
        <v>36734</v>
      </c>
      <c r="CON1" t="s">
        <v>36735</v>
      </c>
      <c r="COO1" t="s">
        <v>36736</v>
      </c>
      <c r="COP1" t="s">
        <v>36737</v>
      </c>
      <c r="COQ1" t="s">
        <v>36738</v>
      </c>
      <c r="COR1" t="s">
        <v>36739</v>
      </c>
      <c r="COS1" t="s">
        <v>36740</v>
      </c>
      <c r="COT1" t="s">
        <v>36741</v>
      </c>
      <c r="COU1" t="s">
        <v>36742</v>
      </c>
      <c r="COV1" t="s">
        <v>36743</v>
      </c>
      <c r="COW1" t="s">
        <v>36744</v>
      </c>
      <c r="COX1" t="s">
        <v>36745</v>
      </c>
      <c r="COY1" t="s">
        <v>36746</v>
      </c>
      <c r="COZ1" t="s">
        <v>36747</v>
      </c>
      <c r="CPA1" t="s">
        <v>36748</v>
      </c>
      <c r="CPB1" t="s">
        <v>36749</v>
      </c>
      <c r="CPC1" t="s">
        <v>36750</v>
      </c>
      <c r="CPD1" t="s">
        <v>36751</v>
      </c>
      <c r="CPE1" t="s">
        <v>36752</v>
      </c>
      <c r="CPF1" t="s">
        <v>36753</v>
      </c>
      <c r="CPG1" t="s">
        <v>36754</v>
      </c>
      <c r="CPH1" t="s">
        <v>36755</v>
      </c>
      <c r="CPI1" t="s">
        <v>36756</v>
      </c>
      <c r="CPJ1" t="s">
        <v>36757</v>
      </c>
      <c r="CPK1" t="s">
        <v>36758</v>
      </c>
      <c r="CPL1" t="s">
        <v>36759</v>
      </c>
      <c r="CPM1" t="s">
        <v>36760</v>
      </c>
      <c r="CPN1" t="s">
        <v>36761</v>
      </c>
      <c r="CPO1" t="s">
        <v>36762</v>
      </c>
      <c r="CPP1" t="s">
        <v>36763</v>
      </c>
      <c r="CPQ1" t="s">
        <v>36764</v>
      </c>
      <c r="CPR1" t="s">
        <v>36765</v>
      </c>
      <c r="CPS1" t="s">
        <v>36766</v>
      </c>
      <c r="CPT1" t="s">
        <v>36767</v>
      </c>
      <c r="CPU1" t="s">
        <v>36768</v>
      </c>
      <c r="CPV1" t="s">
        <v>36769</v>
      </c>
      <c r="CPW1" t="s">
        <v>36770</v>
      </c>
      <c r="CPX1" t="s">
        <v>36771</v>
      </c>
      <c r="CPY1" t="s">
        <v>36772</v>
      </c>
      <c r="CPZ1" t="s">
        <v>36773</v>
      </c>
      <c r="CQA1" t="s">
        <v>36774</v>
      </c>
      <c r="CQB1" t="s">
        <v>36775</v>
      </c>
      <c r="CQC1" t="s">
        <v>36776</v>
      </c>
      <c r="CQD1" t="s">
        <v>36777</v>
      </c>
      <c r="CQE1" t="s">
        <v>36778</v>
      </c>
      <c r="CQF1" t="s">
        <v>36779</v>
      </c>
      <c r="CQG1" t="s">
        <v>36780</v>
      </c>
      <c r="CQH1" t="s">
        <v>36781</v>
      </c>
      <c r="CQI1" t="s">
        <v>36782</v>
      </c>
      <c r="CQJ1" t="s">
        <v>36783</v>
      </c>
      <c r="CQK1" t="s">
        <v>36784</v>
      </c>
      <c r="CQL1" t="s">
        <v>36785</v>
      </c>
      <c r="CQM1" t="s">
        <v>36786</v>
      </c>
      <c r="CQN1" t="s">
        <v>36787</v>
      </c>
      <c r="CQO1" t="s">
        <v>36788</v>
      </c>
      <c r="CQP1" t="s">
        <v>36789</v>
      </c>
      <c r="CQQ1" t="s">
        <v>36790</v>
      </c>
      <c r="CQR1" t="s">
        <v>36791</v>
      </c>
      <c r="CQS1" t="s">
        <v>36792</v>
      </c>
      <c r="CQT1" t="s">
        <v>36793</v>
      </c>
      <c r="CQU1" t="s">
        <v>36794</v>
      </c>
      <c r="CQV1" t="s">
        <v>36795</v>
      </c>
      <c r="CQW1" t="s">
        <v>36796</v>
      </c>
      <c r="CQX1" t="s">
        <v>36797</v>
      </c>
      <c r="CQY1" t="s">
        <v>36798</v>
      </c>
      <c r="CQZ1" t="s">
        <v>36799</v>
      </c>
      <c r="CRA1" t="s">
        <v>36800</v>
      </c>
      <c r="CRB1" t="s">
        <v>36801</v>
      </c>
      <c r="CRC1" t="s">
        <v>36802</v>
      </c>
      <c r="CRD1" t="s">
        <v>36803</v>
      </c>
      <c r="CRE1" t="s">
        <v>36804</v>
      </c>
      <c r="CRF1" t="s">
        <v>36805</v>
      </c>
      <c r="CRG1" t="s">
        <v>36806</v>
      </c>
      <c r="CRH1" t="s">
        <v>36807</v>
      </c>
      <c r="CRI1" t="s">
        <v>36808</v>
      </c>
      <c r="CRJ1" t="s">
        <v>36809</v>
      </c>
      <c r="CRK1" t="s">
        <v>36810</v>
      </c>
      <c r="CRL1" t="s">
        <v>36811</v>
      </c>
      <c r="CRM1" t="s">
        <v>36812</v>
      </c>
      <c r="CRN1" t="s">
        <v>36813</v>
      </c>
      <c r="CRO1" t="s">
        <v>36814</v>
      </c>
      <c r="CRP1" t="s">
        <v>36815</v>
      </c>
      <c r="CRQ1" t="s">
        <v>36816</v>
      </c>
      <c r="CRR1" t="s">
        <v>36817</v>
      </c>
      <c r="CRS1" t="s">
        <v>36818</v>
      </c>
      <c r="CRT1" t="s">
        <v>36819</v>
      </c>
      <c r="CRU1" t="s">
        <v>36820</v>
      </c>
      <c r="CRV1" t="s">
        <v>36821</v>
      </c>
      <c r="CRW1" t="s">
        <v>36822</v>
      </c>
      <c r="CRX1" t="s">
        <v>36823</v>
      </c>
      <c r="CRY1" t="s">
        <v>36824</v>
      </c>
      <c r="CRZ1" t="s">
        <v>36825</v>
      </c>
      <c r="CSA1" t="s">
        <v>36826</v>
      </c>
      <c r="CSB1" t="s">
        <v>36827</v>
      </c>
      <c r="CSC1" t="s">
        <v>36828</v>
      </c>
      <c r="CSD1" t="s">
        <v>36829</v>
      </c>
      <c r="CSE1" t="s">
        <v>36830</v>
      </c>
      <c r="CSF1" t="s">
        <v>36831</v>
      </c>
      <c r="CSG1" t="s">
        <v>36832</v>
      </c>
      <c r="CSH1" t="s">
        <v>36833</v>
      </c>
      <c r="CSI1" t="s">
        <v>36834</v>
      </c>
      <c r="CSJ1" t="s">
        <v>36835</v>
      </c>
      <c r="CSK1" t="s">
        <v>36836</v>
      </c>
      <c r="CSL1" t="s">
        <v>36837</v>
      </c>
      <c r="CSM1" t="s">
        <v>36838</v>
      </c>
      <c r="CSN1" t="s">
        <v>36839</v>
      </c>
      <c r="CSO1" t="s">
        <v>36840</v>
      </c>
      <c r="CSP1" t="s">
        <v>36841</v>
      </c>
      <c r="CSQ1" t="s">
        <v>36842</v>
      </c>
      <c r="CSR1" t="s">
        <v>36843</v>
      </c>
      <c r="CSS1" t="s">
        <v>36844</v>
      </c>
      <c r="CST1" t="s">
        <v>36845</v>
      </c>
      <c r="CSU1" t="s">
        <v>36846</v>
      </c>
      <c r="CSV1" t="s">
        <v>36847</v>
      </c>
      <c r="CSW1" t="s">
        <v>36848</v>
      </c>
      <c r="CSX1" t="s">
        <v>36849</v>
      </c>
      <c r="CSY1" t="s">
        <v>36850</v>
      </c>
      <c r="CSZ1" t="s">
        <v>36851</v>
      </c>
      <c r="CTA1" t="s">
        <v>36852</v>
      </c>
      <c r="CTB1" t="s">
        <v>36853</v>
      </c>
      <c r="CTC1" t="s">
        <v>36854</v>
      </c>
      <c r="CTD1" t="s">
        <v>36855</v>
      </c>
      <c r="CTE1" t="s">
        <v>36856</v>
      </c>
      <c r="CTF1" t="s">
        <v>36857</v>
      </c>
      <c r="CTG1" t="s">
        <v>36858</v>
      </c>
      <c r="CTH1" t="s">
        <v>36859</v>
      </c>
      <c r="CTI1" t="s">
        <v>36860</v>
      </c>
      <c r="CTJ1" t="s">
        <v>36861</v>
      </c>
      <c r="CTK1" t="s">
        <v>36862</v>
      </c>
      <c r="CTL1" t="s">
        <v>36863</v>
      </c>
      <c r="CTM1" t="s">
        <v>36864</v>
      </c>
      <c r="CTN1" t="s">
        <v>36865</v>
      </c>
      <c r="CTO1" t="s">
        <v>36866</v>
      </c>
      <c r="CTP1" t="s">
        <v>36867</v>
      </c>
      <c r="CTQ1" t="s">
        <v>36868</v>
      </c>
      <c r="CTR1" t="s">
        <v>36869</v>
      </c>
      <c r="CTS1" t="s">
        <v>36870</v>
      </c>
      <c r="CTT1" t="s">
        <v>36871</v>
      </c>
      <c r="CTU1" t="s">
        <v>36872</v>
      </c>
      <c r="CTV1" t="s">
        <v>36873</v>
      </c>
      <c r="CTW1" t="s">
        <v>36874</v>
      </c>
      <c r="CTX1" t="s">
        <v>36875</v>
      </c>
      <c r="CTY1" t="s">
        <v>36876</v>
      </c>
      <c r="CTZ1" t="s">
        <v>36877</v>
      </c>
      <c r="CUA1" t="s">
        <v>36878</v>
      </c>
      <c r="CUB1" t="s">
        <v>36879</v>
      </c>
      <c r="CUC1" t="s">
        <v>36880</v>
      </c>
      <c r="CUD1" t="s">
        <v>36881</v>
      </c>
      <c r="CUE1" t="s">
        <v>36882</v>
      </c>
      <c r="CUF1" t="s">
        <v>36883</v>
      </c>
      <c r="CUG1" t="s">
        <v>36884</v>
      </c>
    </row>
    <row r="2" spans="2:3">
      <c r="B2" s="36">
        <v>1</v>
      </c>
      <c r="C2" s="36">
        <v>2</v>
      </c>
    </row>
    <row r="3" spans="1:3" ht="14.25" customHeight="true">
      <c r="A3" s="33" t="s">
        <v>31475</v>
      </c>
      <c r="B3" s="36" t="s">
        <v>31476</v>
      </c>
      <c r="C3" s="36" t="s">
        <v>31477</v>
      </c>
    </row>
    <row r="4" spans="1:3" ht="14.25" customHeight="true">
      <c r="A4" s="60" t="s">
        <v>31478</v>
      </c>
      <c r="B4" s="61">
        <v>0</v>
      </c>
      <c r="C4" s="61">
        <v>11766.9900000002</v>
      </c>
    </row>
    <row r="5" spans="1:3" ht="14.25" customHeight="true">
      <c r="A5" s="60" t="s">
        <v>31479</v>
      </c>
      <c r="B5" s="61">
        <v>0</v>
      </c>
      <c r="C5" s="61">
        <v>-281.560000000001</v>
      </c>
    </row>
    <row r="6" spans="1:3" ht="14.25" customHeight="true">
      <c r="A6" s="60" t="s">
        <v>31480</v>
      </c>
      <c r="B6" s="61">
        <v>40000</v>
      </c>
      <c r="C6" s="61">
        <v>40003.88</v>
      </c>
    </row>
    <row r="7" spans="1:3" ht="14.25" customHeight="true">
      <c r="A7" s="60" t="s">
        <v>31481</v>
      </c>
      <c r="B7" s="61">
        <v>0</v>
      </c>
      <c r="C7" s="61">
        <v>0</v>
      </c>
    </row>
    <row r="8" spans="1:3" ht="14.25" customHeight="true">
      <c r="A8" s="60" t="s">
        <v>31482</v>
      </c>
      <c r="B8" s="61">
        <v>-808.95</v>
      </c>
      <c r="C8" s="61">
        <v>0</v>
      </c>
    </row>
    <row r="9" spans="1:3" ht="14.25" customHeight="true">
      <c r="A9" s="60" t="s">
        <v>31483</v>
      </c>
      <c r="B9" s="61">
        <v>6308.95</v>
      </c>
      <c r="C9" s="61">
        <v>3581.2</v>
      </c>
    </row>
    <row r="10" spans="1:3" ht="14.25" customHeight="true">
      <c r="A10" s="60" t="s">
        <v>31484</v>
      </c>
      <c r="B10" s="61">
        <v>0</v>
      </c>
      <c r="C10" s="61">
        <v>-0.069999999999709</v>
      </c>
    </row>
    <row r="11" spans="1:3" ht="14.25" customHeight="true">
      <c r="A11" s="60" t="s">
        <v>31485</v>
      </c>
      <c r="B11" s="61">
        <v>0.300000000017462</v>
      </c>
      <c r="C11" s="61">
        <v>0.209999999962747</v>
      </c>
    </row>
    <row r="12" spans="1:3" ht="14.25" customHeight="true">
      <c r="A12" s="60" t="s">
        <v>31486</v>
      </c>
      <c r="B12" s="61">
        <v>0</v>
      </c>
      <c r="C12" s="61">
        <v>27.71</v>
      </c>
    </row>
    <row r="13" spans="1:3" ht="14.25" customHeight="true">
      <c r="A13" s="60" t="s">
        <v>31487</v>
      </c>
      <c r="B13" s="61">
        <v>0</v>
      </c>
      <c r="C13" s="61">
        <v>0</v>
      </c>
    </row>
    <row r="14" spans="1:3" ht="14.25" customHeight="true">
      <c r="A14" s="60" t="s">
        <v>31488</v>
      </c>
      <c r="B14" s="61">
        <v>0</v>
      </c>
      <c r="C14" s="61">
        <v>209.15</v>
      </c>
    </row>
    <row r="15" spans="1:3" ht="14.25" customHeight="true">
      <c r="A15" s="60" t="s">
        <v>31489</v>
      </c>
      <c r="B15" s="61">
        <v>0</v>
      </c>
      <c r="C15" s="61">
        <v>1483.88</v>
      </c>
    </row>
    <row r="16" spans="1:3" ht="14.25" customHeight="true">
      <c r="A16" s="60" t="s">
        <v>31490</v>
      </c>
      <c r="B16" s="61">
        <v>0</v>
      </c>
      <c r="C16" s="61">
        <v>14018.33</v>
      </c>
    </row>
    <row r="17" spans="1:3" ht="14.25" customHeight="true">
      <c r="A17" s="60" t="s">
        <v>31491</v>
      </c>
      <c r="B17" s="61">
        <v>0</v>
      </c>
      <c r="C17" s="61">
        <v>-4994.05</v>
      </c>
    </row>
    <row r="18" spans="1:3" ht="14.25" customHeight="true">
      <c r="A18" s="60" t="s">
        <v>31492</v>
      </c>
      <c r="B18" s="61">
        <v>0</v>
      </c>
      <c r="C18" s="61">
        <v>-3998.4</v>
      </c>
    </row>
    <row r="19" spans="1:3" ht="14.25" customHeight="true">
      <c r="A19" s="60" t="s">
        <v>31493</v>
      </c>
      <c r="B19" s="61">
        <v>0</v>
      </c>
      <c r="C19" s="61">
        <v>0</v>
      </c>
    </row>
    <row r="20" spans="1:3" ht="14.25" customHeight="true">
      <c r="A20" s="60" t="s">
        <v>31494</v>
      </c>
      <c r="B20" s="61">
        <v>0</v>
      </c>
      <c r="C20" s="61">
        <v>0</v>
      </c>
    </row>
    <row r="21" spans="1:3" ht="14.25" customHeight="true">
      <c r="A21" s="60" t="s">
        <v>31495</v>
      </c>
      <c r="B21" s="61">
        <v>0</v>
      </c>
      <c r="C21" s="61">
        <v>0</v>
      </c>
    </row>
    <row r="22" spans="1:3" ht="14.25" customHeight="true">
      <c r="A22" s="60" t="s">
        <v>31496</v>
      </c>
      <c r="B22" s="61">
        <v>0</v>
      </c>
      <c r="C22" s="61">
        <v>0</v>
      </c>
    </row>
    <row r="23" spans="1:3" ht="14.25" customHeight="true">
      <c r="A23" s="60" t="s">
        <v>31497</v>
      </c>
      <c r="B23" s="61">
        <v>0</v>
      </c>
      <c r="C23" s="61">
        <v>0</v>
      </c>
    </row>
    <row r="24" spans="1:3" ht="14.25" customHeight="true">
      <c r="A24" s="60" t="s">
        <v>31498</v>
      </c>
      <c r="B24" s="61">
        <v>0</v>
      </c>
      <c r="C24" s="61">
        <v>0</v>
      </c>
    </row>
    <row r="25" spans="1:3" ht="14.25" customHeight="true">
      <c r="A25" s="60" t="s">
        <v>31499</v>
      </c>
      <c r="B25" s="61">
        <v>0</v>
      </c>
      <c r="C25" s="61">
        <v>2005000</v>
      </c>
    </row>
    <row r="26" spans="1:3" ht="14.25" customHeight="true">
      <c r="A26" s="60" t="s">
        <v>31500</v>
      </c>
      <c r="B26" s="61">
        <v>0</v>
      </c>
      <c r="C26" s="61">
        <v>0</v>
      </c>
    </row>
    <row r="27" spans="1:3" ht="14.25" customHeight="true">
      <c r="A27" s="60" t="s">
        <v>31501</v>
      </c>
      <c r="B27" s="61">
        <v>0</v>
      </c>
      <c r="C27" s="61">
        <v>0</v>
      </c>
    </row>
    <row r="28" spans="1:3" ht="14.25" customHeight="true">
      <c r="A28" s="60" t="s">
        <v>31502</v>
      </c>
      <c r="B28" s="61">
        <v>0</v>
      </c>
      <c r="C28" s="61">
        <v>0</v>
      </c>
    </row>
    <row r="29" spans="1:3" ht="14.25" customHeight="true">
      <c r="A29" s="60" t="s">
        <v>31503</v>
      </c>
      <c r="B29" s="61">
        <v>0</v>
      </c>
      <c r="C29" s="61">
        <v>0</v>
      </c>
    </row>
    <row r="30" spans="1:3" ht="14.25" customHeight="true">
      <c r="A30" s="60" t="s">
        <v>31504</v>
      </c>
      <c r="B30" s="61">
        <v>0</v>
      </c>
      <c r="C30" s="61">
        <v>0</v>
      </c>
    </row>
    <row r="31" spans="1:3" ht="14.25" customHeight="true">
      <c r="A31" s="60" t="s">
        <v>31505</v>
      </c>
      <c r="B31" s="61">
        <v>0</v>
      </c>
      <c r="C31" s="61">
        <v>0</v>
      </c>
    </row>
    <row r="32" spans="1:3" ht="14.25" customHeight="true">
      <c r="A32" s="60" t="s">
        <v>31506</v>
      </c>
      <c r="B32" s="61">
        <v>0</v>
      </c>
      <c r="C32" s="61">
        <v>0</v>
      </c>
    </row>
    <row r="33" spans="1:3" ht="14.25" customHeight="true">
      <c r="A33" s="60" t="s">
        <v>31507</v>
      </c>
      <c r="B33" s="61">
        <v>0</v>
      </c>
      <c r="C33" s="61">
        <v>0</v>
      </c>
    </row>
    <row r="34" spans="1:3" ht="14.25" customHeight="true">
      <c r="A34" s="60" t="s">
        <v>31508</v>
      </c>
      <c r="B34" s="61">
        <v>0</v>
      </c>
      <c r="C34" s="61">
        <v>0</v>
      </c>
    </row>
    <row r="35" spans="1:3" ht="14.25" customHeight="true">
      <c r="A35" s="60" t="s">
        <v>31509</v>
      </c>
      <c r="B35" s="61">
        <v>0</v>
      </c>
      <c r="C35" s="61">
        <v>0</v>
      </c>
    </row>
    <row r="36" spans="1:3" ht="14.25" customHeight="true">
      <c r="A36" s="60" t="s">
        <v>31510</v>
      </c>
      <c r="B36" s="61">
        <v>0</v>
      </c>
      <c r="C36" s="61">
        <v>0</v>
      </c>
    </row>
    <row r="37" spans="1:3" ht="14.25" customHeight="true">
      <c r="A37" s="60" t="s">
        <v>31511</v>
      </c>
      <c r="B37" s="61">
        <v>0</v>
      </c>
      <c r="C37" s="61">
        <v>0</v>
      </c>
    </row>
    <row r="38" spans="1:3" ht="14.25" customHeight="true">
      <c r="A38" s="60" t="s">
        <v>31512</v>
      </c>
      <c r="B38" s="61">
        <v>0</v>
      </c>
      <c r="C38" s="61">
        <v>0</v>
      </c>
    </row>
    <row r="39" spans="1:3" ht="14.25" customHeight="true">
      <c r="A39" s="60" t="s">
        <v>31513</v>
      </c>
      <c r="B39" s="61">
        <v>0</v>
      </c>
      <c r="C39" s="61">
        <v>0</v>
      </c>
    </row>
    <row r="40" spans="1:3" ht="14.25" customHeight="true">
      <c r="A40" s="60" t="s">
        <v>31514</v>
      </c>
      <c r="B40" s="61">
        <v>0</v>
      </c>
      <c r="C40" s="61">
        <v>0</v>
      </c>
    </row>
    <row r="41" spans="1:3" ht="14.25" customHeight="true">
      <c r="A41" s="60" t="s">
        <v>31515</v>
      </c>
      <c r="B41" s="61">
        <v>0</v>
      </c>
      <c r="C41" s="61">
        <v>-12360.06</v>
      </c>
    </row>
    <row r="42" spans="1:3" ht="14.25" customHeight="true">
      <c r="A42" s="60" t="s">
        <v>31516</v>
      </c>
      <c r="B42" s="61">
        <v>0</v>
      </c>
      <c r="C42" s="61">
        <v>0</v>
      </c>
    </row>
    <row r="43" spans="1:3" ht="14.25" customHeight="true">
      <c r="A43" s="60" t="s">
        <v>31517</v>
      </c>
      <c r="B43" s="61">
        <v>0</v>
      </c>
      <c r="C43" s="61">
        <v>0</v>
      </c>
    </row>
    <row r="44" spans="1:3" ht="14.25" customHeight="true">
      <c r="A44" s="60" t="s">
        <v>31518</v>
      </c>
      <c r="B44" s="61">
        <v>0</v>
      </c>
      <c r="C44" s="61">
        <v>0</v>
      </c>
    </row>
    <row r="45" spans="1:3" ht="14.25" customHeight="true">
      <c r="A45" s="60" t="s">
        <v>31519</v>
      </c>
      <c r="B45" s="61">
        <v>0</v>
      </c>
      <c r="C45" s="61">
        <v>0</v>
      </c>
    </row>
    <row r="46" spans="1:3" ht="14.25" customHeight="true">
      <c r="A46" s="60" t="s">
        <v>31520</v>
      </c>
      <c r="B46" s="61">
        <v>0</v>
      </c>
      <c r="C46" s="61">
        <v>0</v>
      </c>
    </row>
    <row r="47" spans="1:3" ht="14.25" customHeight="true">
      <c r="A47" s="60" t="s">
        <v>31521</v>
      </c>
      <c r="B47" s="61">
        <v>0</v>
      </c>
      <c r="C47" s="61">
        <v>0</v>
      </c>
    </row>
    <row r="48" spans="1:3" ht="14.25" customHeight="true">
      <c r="A48" s="60" t="s">
        <v>31522</v>
      </c>
      <c r="B48" s="61">
        <v>0</v>
      </c>
      <c r="C48" s="61">
        <v>0</v>
      </c>
    </row>
    <row r="49" spans="1:3" ht="14.25" customHeight="true">
      <c r="A49" s="60" t="s">
        <v>31523</v>
      </c>
      <c r="B49" s="61">
        <v>0</v>
      </c>
      <c r="C49" s="61">
        <v>0</v>
      </c>
    </row>
    <row r="50" spans="1:3" ht="14.25" customHeight="true">
      <c r="A50" s="60" t="s">
        <v>31524</v>
      </c>
      <c r="B50" s="61">
        <v>0</v>
      </c>
      <c r="C50" s="61">
        <v>0</v>
      </c>
    </row>
    <row r="51" spans="1:3" ht="14.25" customHeight="true">
      <c r="A51" s="60" t="s">
        <v>31525</v>
      </c>
      <c r="B51" s="61">
        <v>0</v>
      </c>
      <c r="C51" s="61">
        <v>0</v>
      </c>
    </row>
    <row r="52" spans="1:3" ht="14.25" customHeight="true">
      <c r="A52" s="60" t="s">
        <v>31526</v>
      </c>
      <c r="B52" s="61">
        <v>0</v>
      </c>
      <c r="C52" s="61">
        <v>0</v>
      </c>
    </row>
    <row r="53" spans="1:3" ht="14.25" customHeight="true">
      <c r="A53" s="60" t="s">
        <v>31527</v>
      </c>
      <c r="B53" s="61">
        <v>0</v>
      </c>
      <c r="C53" s="61">
        <v>0</v>
      </c>
    </row>
    <row r="54" spans="1:3" ht="14.25" customHeight="true">
      <c r="A54" s="60" t="s">
        <v>31528</v>
      </c>
      <c r="B54" s="61">
        <v>0</v>
      </c>
      <c r="C54" s="61">
        <v>0</v>
      </c>
    </row>
    <row r="55" spans="1:3" ht="14.25" customHeight="true">
      <c r="A55" s="60" t="s">
        <v>31529</v>
      </c>
      <c r="B55" s="61">
        <v>0</v>
      </c>
      <c r="C55" s="61">
        <v>0</v>
      </c>
    </row>
    <row r="56" spans="1:3" ht="14.25" customHeight="true">
      <c r="A56" s="60" t="s">
        <v>31530</v>
      </c>
      <c r="B56" s="61">
        <v>0</v>
      </c>
      <c r="C56" s="61">
        <v>2414000</v>
      </c>
    </row>
    <row r="57" spans="1:3" ht="14.25" customHeight="true">
      <c r="A57" s="60" t="s">
        <v>31531</v>
      </c>
      <c r="B57" s="61">
        <v>0</v>
      </c>
      <c r="C57" s="61">
        <v>0</v>
      </c>
    </row>
    <row r="58" spans="1:3" ht="14.25" customHeight="true">
      <c r="A58" s="60" t="s">
        <v>31532</v>
      </c>
      <c r="B58" s="61">
        <v>0</v>
      </c>
      <c r="C58" s="61">
        <v>0</v>
      </c>
    </row>
    <row r="59" spans="1:3" ht="14.25" customHeight="true">
      <c r="A59" s="60" t="s">
        <v>31533</v>
      </c>
      <c r="B59" s="61">
        <v>0</v>
      </c>
      <c r="C59" s="61">
        <v>-249900</v>
      </c>
    </row>
    <row r="60" spans="1:3" ht="14.25" customHeight="true">
      <c r="A60" s="60" t="s">
        <v>31534</v>
      </c>
      <c r="B60" s="61">
        <v>0</v>
      </c>
      <c r="C60" s="61">
        <v>249900</v>
      </c>
    </row>
    <row r="61" spans="1:3" ht="14.25" customHeight="true">
      <c r="A61" s="60" t="s">
        <v>31535</v>
      </c>
      <c r="B61" s="61">
        <v>0</v>
      </c>
      <c r="C61" s="61">
        <v>0</v>
      </c>
    </row>
    <row r="62" spans="1:3" ht="14.25" customHeight="true">
      <c r="A62" s="60" t="s">
        <v>31536</v>
      </c>
      <c r="B62" s="61">
        <v>0</v>
      </c>
      <c r="C62" s="61">
        <v>0</v>
      </c>
    </row>
    <row r="63" spans="1:3" ht="14.25" customHeight="true">
      <c r="A63" s="60" t="s">
        <v>31537</v>
      </c>
      <c r="B63" s="61">
        <v>0</v>
      </c>
      <c r="C63" s="61">
        <v>0</v>
      </c>
    </row>
    <row r="64" spans="1:3" ht="14.25" customHeight="true">
      <c r="A64" s="60" t="s">
        <v>31538</v>
      </c>
      <c r="B64" s="61">
        <v>0</v>
      </c>
      <c r="C64" s="61">
        <v>0</v>
      </c>
    </row>
    <row r="65" spans="1:3" ht="14.25" customHeight="true">
      <c r="A65" s="60" t="s">
        <v>31539</v>
      </c>
      <c r="B65" s="61">
        <v>0</v>
      </c>
      <c r="C65" s="61">
        <v>0</v>
      </c>
    </row>
    <row r="66" spans="1:3" ht="14.25" customHeight="true">
      <c r="A66" s="60" t="s">
        <v>31540</v>
      </c>
      <c r="B66" s="61">
        <v>0</v>
      </c>
      <c r="C66" s="61">
        <v>0</v>
      </c>
    </row>
    <row r="67" spans="1:3" ht="14.25" customHeight="true">
      <c r="A67" s="60" t="s">
        <v>31541</v>
      </c>
      <c r="B67" s="61">
        <v>0</v>
      </c>
      <c r="C67" s="61">
        <v>0</v>
      </c>
    </row>
    <row r="68" spans="1:3" ht="14.25" customHeight="true">
      <c r="A68" s="60" t="s">
        <v>31542</v>
      </c>
      <c r="B68" s="61">
        <v>0</v>
      </c>
      <c r="C68" s="61">
        <v>-61136.82</v>
      </c>
    </row>
    <row r="69" spans="1:3" ht="14.25" customHeight="true">
      <c r="A69" s="60" t="s">
        <v>31543</v>
      </c>
      <c r="B69" s="61">
        <v>0</v>
      </c>
      <c r="C69" s="61">
        <v>0</v>
      </c>
    </row>
    <row r="70" spans="1:3" ht="14.25" customHeight="true">
      <c r="A70" s="60" t="s">
        <v>31544</v>
      </c>
      <c r="B70" s="61">
        <v>0</v>
      </c>
      <c r="C70" s="61">
        <v>0</v>
      </c>
    </row>
    <row r="71" spans="1:3" ht="14.25" customHeight="true">
      <c r="A71" s="60" t="s">
        <v>31545</v>
      </c>
      <c r="B71" s="61">
        <v>0</v>
      </c>
      <c r="C71" s="61">
        <v>0</v>
      </c>
    </row>
    <row r="72" spans="1:3" ht="14.25" customHeight="true">
      <c r="A72" s="60" t="s">
        <v>31546</v>
      </c>
      <c r="B72" s="61">
        <v>0</v>
      </c>
      <c r="C72" s="61">
        <v>0</v>
      </c>
    </row>
    <row r="73" spans="1:3" ht="14.25" customHeight="true">
      <c r="A73" s="60" t="s">
        <v>31547</v>
      </c>
      <c r="B73" s="61">
        <v>0</v>
      </c>
      <c r="C73" s="61">
        <v>0</v>
      </c>
    </row>
    <row r="74" spans="1:3" ht="14.25" customHeight="true">
      <c r="A74" s="60" t="s">
        <v>31548</v>
      </c>
      <c r="B74" s="61">
        <v>0</v>
      </c>
      <c r="C74" s="61">
        <v>1836427.81</v>
      </c>
    </row>
    <row r="75" spans="1:3" ht="14.25" customHeight="true">
      <c r="A75" s="60" t="s">
        <v>31549</v>
      </c>
      <c r="B75" s="61">
        <v>0</v>
      </c>
      <c r="C75" s="61">
        <v>0</v>
      </c>
    </row>
    <row r="76" spans="1:3" ht="14.25" customHeight="true">
      <c r="A76" s="60" t="s">
        <v>31550</v>
      </c>
      <c r="B76" s="61">
        <v>0</v>
      </c>
      <c r="C76" s="61">
        <v>0</v>
      </c>
    </row>
    <row r="77" spans="1:3" ht="14.25" customHeight="true">
      <c r="A77" s="60" t="s">
        <v>31551</v>
      </c>
      <c r="B77" s="61">
        <v>0</v>
      </c>
      <c r="C77" s="61">
        <v>-803</v>
      </c>
    </row>
    <row r="78" spans="1:3" ht="14.25" customHeight="true">
      <c r="A78" s="60" t="s">
        <v>31552</v>
      </c>
      <c r="B78" s="61">
        <v>0</v>
      </c>
      <c r="C78" s="61">
        <v>13674704.79</v>
      </c>
    </row>
    <row r="79" spans="1:3" ht="14.25" customHeight="true">
      <c r="A79" s="60" t="s">
        <v>31553</v>
      </c>
      <c r="B79" s="61">
        <v>0</v>
      </c>
      <c r="C79" s="61">
        <v>-45789.34</v>
      </c>
    </row>
    <row r="80" spans="1:3" ht="14.25" customHeight="true">
      <c r="A80" s="60" t="s">
        <v>31554</v>
      </c>
      <c r="B80" s="61">
        <v>0</v>
      </c>
      <c r="C80" s="61">
        <v>0</v>
      </c>
    </row>
    <row r="81" spans="1:3" ht="14.25" customHeight="true">
      <c r="A81" s="60" t="s">
        <v>31555</v>
      </c>
      <c r="B81" s="61">
        <v>0</v>
      </c>
      <c r="C81" s="61">
        <v>1570000</v>
      </c>
    </row>
    <row r="82" spans="1:3" ht="14.25" customHeight="true">
      <c r="A82" s="60" t="s">
        <v>31556</v>
      </c>
      <c r="B82" s="61">
        <v>0</v>
      </c>
      <c r="C82" s="61">
        <v>0</v>
      </c>
    </row>
    <row r="83" spans="1:3" ht="14.25" customHeight="true">
      <c r="A83" s="60" t="s">
        <v>31557</v>
      </c>
      <c r="B83" s="61">
        <v>0</v>
      </c>
      <c r="C83" s="61">
        <v>0</v>
      </c>
    </row>
    <row r="84" spans="1:3" ht="14.25" customHeight="true">
      <c r="A84" s="60" t="s">
        <v>31558</v>
      </c>
      <c r="B84" s="61">
        <v>0</v>
      </c>
      <c r="C84" s="61">
        <v>0</v>
      </c>
    </row>
    <row r="85" spans="1:3" ht="14.25" customHeight="true">
      <c r="A85" s="60" t="s">
        <v>31559</v>
      </c>
      <c r="B85" s="61">
        <v>0</v>
      </c>
      <c r="C85" s="61">
        <v>0</v>
      </c>
    </row>
    <row r="86" spans="1:3" ht="14.25" customHeight="true">
      <c r="A86" s="60" t="s">
        <v>31560</v>
      </c>
      <c r="B86" s="61">
        <v>0</v>
      </c>
      <c r="C86" s="61">
        <v>0</v>
      </c>
    </row>
    <row r="87" spans="1:3" ht="14.25" customHeight="true">
      <c r="A87" s="60" t="s">
        <v>31561</v>
      </c>
      <c r="B87" s="61">
        <v>0</v>
      </c>
      <c r="C87" s="61">
        <v>0</v>
      </c>
    </row>
    <row r="88" spans="1:3" ht="14.25" customHeight="true">
      <c r="A88" s="60" t="s">
        <v>31562</v>
      </c>
      <c r="B88" s="61">
        <v>0</v>
      </c>
      <c r="C88" s="61">
        <v>0</v>
      </c>
    </row>
    <row r="89" spans="1:3" ht="14.25" customHeight="true">
      <c r="A89" s="60" t="s">
        <v>31563</v>
      </c>
      <c r="B89" s="61">
        <v>0</v>
      </c>
      <c r="C89" s="61">
        <v>0</v>
      </c>
    </row>
    <row r="90" spans="1:3" ht="14.25" customHeight="true">
      <c r="A90" s="60" t="s">
        <v>31564</v>
      </c>
      <c r="B90" s="61">
        <v>0</v>
      </c>
      <c r="C90" s="61">
        <v>0</v>
      </c>
    </row>
    <row r="91" spans="1:3" ht="14.25" customHeight="true">
      <c r="A91" s="60" t="s">
        <v>31565</v>
      </c>
      <c r="B91" s="61">
        <v>0</v>
      </c>
      <c r="C91" s="61">
        <v>0</v>
      </c>
    </row>
    <row r="92" spans="1:3" ht="14.25" customHeight="true">
      <c r="A92" s="60" t="s">
        <v>31566</v>
      </c>
      <c r="B92" s="61">
        <v>0</v>
      </c>
      <c r="C92" s="61">
        <v>0</v>
      </c>
    </row>
    <row r="93" spans="1:3" ht="14.25" customHeight="true">
      <c r="A93" s="60" t="s">
        <v>31567</v>
      </c>
      <c r="B93" s="61">
        <v>0</v>
      </c>
      <c r="C93" s="61">
        <v>-11694.16</v>
      </c>
    </row>
    <row r="94" spans="1:3" ht="14.25" customHeight="true">
      <c r="A94" s="60" t="s">
        <v>31568</v>
      </c>
      <c r="B94" s="61">
        <v>0</v>
      </c>
      <c r="C94" s="61">
        <v>0</v>
      </c>
    </row>
    <row r="95" spans="1:3" ht="14.25" customHeight="true">
      <c r="A95" s="60" t="s">
        <v>31569</v>
      </c>
      <c r="B95" s="61">
        <v>0</v>
      </c>
      <c r="C95" s="61">
        <v>0</v>
      </c>
    </row>
    <row r="96" spans="1:3" ht="14.25" customHeight="true">
      <c r="A96" s="60" t="s">
        <v>31570</v>
      </c>
      <c r="B96" s="61">
        <v>0</v>
      </c>
      <c r="C96" s="61">
        <v>0</v>
      </c>
    </row>
    <row r="97" spans="1:3" ht="14.25" customHeight="true">
      <c r="A97" s="60" t="s">
        <v>31571</v>
      </c>
      <c r="B97" s="61">
        <v>0</v>
      </c>
      <c r="C97" s="61">
        <v>0</v>
      </c>
    </row>
    <row r="98" spans="1:3" ht="14.25" customHeight="true">
      <c r="A98" s="60" t="s">
        <v>31572</v>
      </c>
      <c r="B98" s="61">
        <v>0</v>
      </c>
      <c r="C98" s="61">
        <v>1507500</v>
      </c>
    </row>
    <row r="99" spans="1:3" ht="14.25" customHeight="true">
      <c r="A99" s="60" t="s">
        <v>31573</v>
      </c>
      <c r="B99" s="61">
        <v>0</v>
      </c>
      <c r="C99" s="61">
        <v>0</v>
      </c>
    </row>
    <row r="100" spans="1:3" ht="14.25" customHeight="true">
      <c r="A100" s="60" t="s">
        <v>31574</v>
      </c>
      <c r="B100" s="61">
        <v>0</v>
      </c>
      <c r="C100" s="61">
        <v>0</v>
      </c>
    </row>
    <row r="101" spans="1:3" ht="14.25" customHeight="true">
      <c r="A101" s="60" t="s">
        <v>31575</v>
      </c>
      <c r="B101" s="61">
        <v>0</v>
      </c>
      <c r="C101" s="61">
        <v>0</v>
      </c>
    </row>
    <row r="102" spans="1:3" ht="14.25" customHeight="true">
      <c r="A102" s="60" t="s">
        <v>31576</v>
      </c>
      <c r="B102" s="61">
        <v>0</v>
      </c>
      <c r="C102" s="61">
        <v>-152.25</v>
      </c>
    </row>
    <row r="103" spans="1:3" ht="14.25" customHeight="true">
      <c r="A103" s="60" t="s">
        <v>31577</v>
      </c>
      <c r="B103" s="61">
        <v>0</v>
      </c>
      <c r="C103" s="61">
        <v>0</v>
      </c>
    </row>
    <row r="104" spans="1:3" ht="14.25" customHeight="true">
      <c r="A104" s="60" t="s">
        <v>31578</v>
      </c>
      <c r="B104" s="61">
        <v>0</v>
      </c>
      <c r="C104" s="61">
        <v>0</v>
      </c>
    </row>
    <row r="105" spans="1:3" ht="14.25" customHeight="true">
      <c r="A105" s="60" t="s">
        <v>31579</v>
      </c>
      <c r="B105" s="61">
        <v>0</v>
      </c>
      <c r="C105" s="61">
        <v>0</v>
      </c>
    </row>
    <row r="106" spans="1:3" ht="14.25" customHeight="true">
      <c r="A106" s="60" t="s">
        <v>31580</v>
      </c>
      <c r="B106" s="61">
        <v>-18998.51</v>
      </c>
      <c r="C106" s="61">
        <v>543.990000000002</v>
      </c>
    </row>
    <row r="107" spans="1:3" ht="14.25" customHeight="true">
      <c r="A107" s="60" t="s">
        <v>31581</v>
      </c>
      <c r="B107" s="61">
        <v>0</v>
      </c>
      <c r="C107" s="61">
        <v>-90.07</v>
      </c>
    </row>
    <row r="108" spans="1:3" ht="14.25" customHeight="true">
      <c r="A108" s="60" t="s">
        <v>31582</v>
      </c>
      <c r="B108" s="61">
        <v>0</v>
      </c>
      <c r="C108" s="61">
        <v>0</v>
      </c>
    </row>
    <row r="109" spans="1:3" ht="14.25" customHeight="true">
      <c r="A109" s="60" t="s">
        <v>31583</v>
      </c>
      <c r="B109" s="61">
        <v>0</v>
      </c>
      <c r="C109" s="61">
        <v>0</v>
      </c>
    </row>
    <row r="110" spans="1:3" ht="14.25" customHeight="true">
      <c r="A110" s="60" t="s">
        <v>31584</v>
      </c>
      <c r="B110" s="61">
        <v>0</v>
      </c>
      <c r="C110" s="61">
        <v>0</v>
      </c>
    </row>
    <row r="111" spans="1:3" ht="14.25" customHeight="true">
      <c r="A111" s="60" t="s">
        <v>31585</v>
      </c>
      <c r="B111" s="61">
        <v>0</v>
      </c>
      <c r="C111" s="61">
        <v>-900.380000000005</v>
      </c>
    </row>
    <row r="112" spans="1:3" ht="14.25" customHeight="true">
      <c r="A112" s="60" t="s">
        <v>31586</v>
      </c>
      <c r="B112" s="61">
        <v>0</v>
      </c>
      <c r="C112" s="61">
        <v>0</v>
      </c>
    </row>
    <row r="113" spans="1:3" ht="14.25" customHeight="true">
      <c r="A113" s="60" t="s">
        <v>31587</v>
      </c>
      <c r="B113" s="61">
        <v>0</v>
      </c>
      <c r="C113" s="61">
        <v>-778.940000000001</v>
      </c>
    </row>
    <row r="114" spans="1:3" ht="14.25" customHeight="true">
      <c r="A114" s="60" t="s">
        <v>31588</v>
      </c>
      <c r="B114" s="61">
        <v>0</v>
      </c>
      <c r="C114" s="61">
        <v>0</v>
      </c>
    </row>
    <row r="115" spans="1:3" ht="14.25" customHeight="true">
      <c r="A115" s="60" t="s">
        <v>31589</v>
      </c>
      <c r="B115" s="61">
        <v>0</v>
      </c>
      <c r="C115" s="61">
        <v>0</v>
      </c>
    </row>
    <row r="116" spans="1:3" ht="14.25" customHeight="true">
      <c r="A116" s="60" t="s">
        <v>31590</v>
      </c>
      <c r="B116" s="61">
        <v>0</v>
      </c>
      <c r="C116" s="61">
        <v>0</v>
      </c>
    </row>
    <row r="117" spans="1:3" ht="14.25" customHeight="true">
      <c r="A117" s="60" t="s">
        <v>31591</v>
      </c>
      <c r="B117" s="61">
        <v>0</v>
      </c>
      <c r="C117" s="61">
        <v>0</v>
      </c>
    </row>
    <row r="118" spans="1:3" ht="14.25" customHeight="true">
      <c r="A118" s="60" t="s">
        <v>31592</v>
      </c>
      <c r="B118" s="61">
        <v>0</v>
      </c>
      <c r="C118" s="61">
        <v>98614.1</v>
      </c>
    </row>
    <row r="119" spans="1:3" ht="14.25" customHeight="true">
      <c r="A119" s="60" t="s">
        <v>31593</v>
      </c>
      <c r="B119" s="61">
        <v>0</v>
      </c>
      <c r="C119" s="61">
        <v>0</v>
      </c>
    </row>
    <row r="120" spans="1:3" ht="14.25" customHeight="true">
      <c r="A120" s="60" t="s">
        <v>31594</v>
      </c>
      <c r="B120" s="61">
        <v>0</v>
      </c>
      <c r="C120" s="61">
        <v>0</v>
      </c>
    </row>
    <row r="121" spans="1:3" ht="14.25" customHeight="true">
      <c r="A121" s="60" t="s">
        <v>31595</v>
      </c>
      <c r="B121" s="61">
        <v>0</v>
      </c>
      <c r="C121" s="61">
        <v>1684000</v>
      </c>
    </row>
    <row r="122" spans="1:3" ht="14.25" customHeight="true">
      <c r="A122" s="60" t="s">
        <v>31596</v>
      </c>
      <c r="B122" s="61">
        <v>0</v>
      </c>
      <c r="C122" s="61">
        <v>266000</v>
      </c>
    </row>
    <row r="123" spans="1:3" ht="14.25" customHeight="true">
      <c r="A123" s="60" t="s">
        <v>31597</v>
      </c>
      <c r="B123" s="61">
        <v>0</v>
      </c>
      <c r="C123" s="61">
        <v>1550000</v>
      </c>
    </row>
    <row r="124" spans="1:3" ht="14.25" customHeight="true">
      <c r="A124" s="60" t="s">
        <v>31598</v>
      </c>
      <c r="B124" s="61">
        <v>0</v>
      </c>
      <c r="C124" s="61">
        <v>0</v>
      </c>
    </row>
    <row r="125" spans="1:3" ht="14.25" customHeight="true">
      <c r="A125" s="60" t="s">
        <v>31599</v>
      </c>
      <c r="B125" s="61">
        <v>0</v>
      </c>
      <c r="C125" s="61">
        <v>0</v>
      </c>
    </row>
    <row r="126" spans="1:3" ht="14.25" customHeight="true">
      <c r="A126" s="60" t="s">
        <v>31600</v>
      </c>
      <c r="B126" s="61">
        <v>0</v>
      </c>
      <c r="C126" s="61">
        <v>0</v>
      </c>
    </row>
    <row r="127" spans="1:3" ht="14.25" customHeight="true">
      <c r="A127" s="60" t="s">
        <v>31601</v>
      </c>
      <c r="B127" s="61">
        <v>0</v>
      </c>
      <c r="C127" s="61">
        <v>0</v>
      </c>
    </row>
    <row r="128" spans="1:3" ht="14.25" customHeight="true">
      <c r="A128" s="60" t="s">
        <v>31602</v>
      </c>
      <c r="B128" s="61">
        <v>0</v>
      </c>
      <c r="C128" s="61">
        <v>0</v>
      </c>
    </row>
    <row r="129" spans="1:3" ht="14.25" customHeight="true">
      <c r="A129" s="60" t="s">
        <v>31603</v>
      </c>
      <c r="B129" s="61">
        <v>0</v>
      </c>
      <c r="C129" s="61">
        <v>0</v>
      </c>
    </row>
    <row r="130" spans="1:3" ht="14.25" customHeight="true">
      <c r="A130" s="60" t="s">
        <v>31604</v>
      </c>
      <c r="B130" s="61">
        <v>0</v>
      </c>
      <c r="C130" s="61">
        <v>1828872.33</v>
      </c>
    </row>
    <row r="131" spans="1:3" ht="14.25" customHeight="true">
      <c r="A131" s="60" t="s">
        <v>31605</v>
      </c>
      <c r="B131" s="61">
        <v>0</v>
      </c>
      <c r="C131" s="61">
        <v>0</v>
      </c>
    </row>
    <row r="132" spans="1:3" ht="14.25" customHeight="true">
      <c r="A132" s="60" t="s">
        <v>31606</v>
      </c>
      <c r="B132" s="61">
        <v>0</v>
      </c>
      <c r="C132" s="61">
        <v>568625</v>
      </c>
    </row>
    <row r="133" spans="1:3" ht="14.25" customHeight="true">
      <c r="A133" s="60" t="s">
        <v>31607</v>
      </c>
      <c r="B133" s="61">
        <v>0</v>
      </c>
      <c r="C133" s="61">
        <v>2442000</v>
      </c>
    </row>
    <row r="134" spans="1:3" ht="14.25" customHeight="true">
      <c r="A134" s="60" t="s">
        <v>31608</v>
      </c>
      <c r="B134" s="61">
        <v>0</v>
      </c>
      <c r="C134" s="61">
        <v>0</v>
      </c>
    </row>
    <row r="135" spans="1:3" ht="14.25" customHeight="true">
      <c r="A135" s="60" t="s">
        <v>31609</v>
      </c>
      <c r="B135" s="61">
        <v>0</v>
      </c>
      <c r="C135" s="61">
        <v>0</v>
      </c>
    </row>
    <row r="136" spans="1:3" ht="14.25" customHeight="true">
      <c r="A136" s="60" t="s">
        <v>31610</v>
      </c>
      <c r="B136" s="61">
        <v>0</v>
      </c>
      <c r="C136" s="61">
        <v>0</v>
      </c>
    </row>
    <row r="137" spans="1:3" ht="14.25" customHeight="true">
      <c r="A137" s="60" t="s">
        <v>31611</v>
      </c>
      <c r="B137" s="61">
        <v>0</v>
      </c>
      <c r="C137" s="61">
        <v>120000</v>
      </c>
    </row>
    <row r="138" spans="1:3" ht="14.25" customHeight="true">
      <c r="A138" s="60" t="s">
        <v>31612</v>
      </c>
      <c r="B138" s="61">
        <v>0</v>
      </c>
      <c r="C138" s="61">
        <v>1876000</v>
      </c>
    </row>
    <row r="139" spans="1:3" ht="14.25" customHeight="true">
      <c r="A139" s="60" t="s">
        <v>31613</v>
      </c>
      <c r="B139" s="61">
        <v>0</v>
      </c>
      <c r="C139" s="61">
        <v>0</v>
      </c>
    </row>
    <row r="140" spans="1:3" ht="14.25" customHeight="true">
      <c r="A140" s="60" t="s">
        <v>31614</v>
      </c>
      <c r="B140" s="61">
        <v>0</v>
      </c>
      <c r="C140" s="61">
        <v>40000</v>
      </c>
    </row>
    <row r="141" spans="1:3" ht="14.25" customHeight="true">
      <c r="A141" s="60" t="s">
        <v>31615</v>
      </c>
      <c r="B141" s="61">
        <v>0</v>
      </c>
      <c r="C141" s="61">
        <v>0</v>
      </c>
    </row>
    <row r="142" spans="1:3" ht="14.25" customHeight="true">
      <c r="A142" s="60" t="s">
        <v>31616</v>
      </c>
      <c r="B142" s="61">
        <v>0</v>
      </c>
      <c r="C142" s="61">
        <v>0</v>
      </c>
    </row>
    <row r="143" spans="1:3" ht="14.25" customHeight="true">
      <c r="A143" s="60" t="s">
        <v>31617</v>
      </c>
      <c r="B143" s="61">
        <v>0</v>
      </c>
      <c r="C143" s="61">
        <v>0</v>
      </c>
    </row>
    <row r="144" spans="1:3" ht="14.25" customHeight="true">
      <c r="A144" s="60" t="s">
        <v>31618</v>
      </c>
      <c r="B144" s="61">
        <v>0</v>
      </c>
      <c r="C144" s="61">
        <v>0.179999999993015</v>
      </c>
    </row>
    <row r="145" spans="1:3" ht="14.25" customHeight="true">
      <c r="A145" s="60" t="s">
        <v>31619</v>
      </c>
      <c r="B145" s="61">
        <v>0</v>
      </c>
      <c r="C145" s="61">
        <v>0</v>
      </c>
    </row>
    <row r="146" spans="1:3" ht="14.25" customHeight="true">
      <c r="A146" s="60" t="s">
        <v>31620</v>
      </c>
      <c r="B146" s="61">
        <v>4080.14000000001</v>
      </c>
      <c r="C146" s="61">
        <v>3381.76999999955</v>
      </c>
    </row>
    <row r="147" spans="1:3" ht="14.25" customHeight="true">
      <c r="A147" s="60" t="s">
        <v>31621</v>
      </c>
      <c r="B147" s="61">
        <v>0</v>
      </c>
      <c r="C147" s="61">
        <v>-27.7100000008941</v>
      </c>
    </row>
    <row r="148" spans="1:3" ht="14.25" customHeight="true">
      <c r="A148" s="60" t="s">
        <v>31622</v>
      </c>
      <c r="B148" s="61">
        <v>0</v>
      </c>
      <c r="C148" s="61">
        <v>0</v>
      </c>
    </row>
    <row r="149" spans="1:3" ht="14.25" customHeight="true">
      <c r="A149" s="60" t="s">
        <v>31623</v>
      </c>
      <c r="B149" s="61">
        <v>190000</v>
      </c>
      <c r="C149" s="61">
        <v>398000</v>
      </c>
    </row>
    <row r="150" spans="1:3" ht="14.25" customHeight="true">
      <c r="A150" s="60" t="s">
        <v>31624</v>
      </c>
      <c r="B150" s="61">
        <v>70638.27</v>
      </c>
      <c r="C150" s="61">
        <v>175122.11</v>
      </c>
    </row>
    <row r="151" spans="1:3" ht="14.25" customHeight="true">
      <c r="A151" s="60" t="s">
        <v>31625</v>
      </c>
      <c r="B151" s="61">
        <v>0</v>
      </c>
      <c r="C151" s="61">
        <v>0</v>
      </c>
    </row>
    <row r="152" spans="1:3" ht="14.25" customHeight="true">
      <c r="A152" s="60" t="s">
        <v>31626</v>
      </c>
      <c r="B152" s="61">
        <v>0</v>
      </c>
      <c r="C152" s="61">
        <v>1678572.19</v>
      </c>
    </row>
    <row r="153" spans="1:3" ht="14.25" customHeight="true">
      <c r="A153" s="60" t="s">
        <v>31627</v>
      </c>
      <c r="B153" s="61">
        <v>120000</v>
      </c>
      <c r="C153" s="61">
        <v>240000</v>
      </c>
    </row>
    <row r="154" spans="1:3" ht="14.25" customHeight="true">
      <c r="A154" s="60" t="s">
        <v>31628</v>
      </c>
      <c r="B154" s="61">
        <v>0</v>
      </c>
      <c r="C154" s="61">
        <v>1238500</v>
      </c>
    </row>
    <row r="155" spans="1:3" ht="14.25" customHeight="true">
      <c r="A155" s="60" t="s">
        <v>31629</v>
      </c>
      <c r="B155" s="61">
        <v>0</v>
      </c>
      <c r="C155" s="61">
        <v>3160000</v>
      </c>
    </row>
    <row r="156" spans="1:3" ht="14.25" customHeight="true">
      <c r="A156" s="60" t="s">
        <v>31630</v>
      </c>
      <c r="B156" s="61">
        <v>0</v>
      </c>
      <c r="C156" s="61">
        <v>5500000</v>
      </c>
    </row>
    <row r="157" spans="1:3" ht="14.25" customHeight="true">
      <c r="A157" s="60" t="s">
        <v>31631</v>
      </c>
      <c r="B157" s="61">
        <v>0</v>
      </c>
      <c r="C157" s="61">
        <v>1763000</v>
      </c>
    </row>
    <row r="158" spans="1:3" ht="14.25" customHeight="true">
      <c r="A158" s="60" t="s">
        <v>31632</v>
      </c>
      <c r="B158" s="61">
        <v>0</v>
      </c>
      <c r="C158" s="61">
        <v>-796500</v>
      </c>
    </row>
    <row r="159" spans="1:3" ht="14.25" customHeight="true">
      <c r="A159" s="60" t="s">
        <v>31633</v>
      </c>
      <c r="B159" s="61">
        <v>0</v>
      </c>
      <c r="C159" s="61">
        <v>0</v>
      </c>
    </row>
    <row r="160" spans="1:3" ht="14.25" customHeight="true">
      <c r="A160" s="60" t="s">
        <v>31634</v>
      </c>
      <c r="B160" s="61">
        <v>0</v>
      </c>
      <c r="C160" s="61">
        <v>2246716.97</v>
      </c>
    </row>
    <row r="161" spans="1:3" ht="14.25" customHeight="true">
      <c r="A161" s="60" t="s">
        <v>31635</v>
      </c>
      <c r="B161" s="61">
        <v>95000</v>
      </c>
      <c r="C161" s="61">
        <v>135000</v>
      </c>
    </row>
    <row r="162" spans="1:3" ht="14.25" customHeight="true">
      <c r="A162" s="60" t="s">
        <v>31636</v>
      </c>
      <c r="B162" s="61">
        <v>0</v>
      </c>
      <c r="C162" s="61">
        <v>0</v>
      </c>
    </row>
    <row r="163" spans="1:3" ht="14.25" customHeight="true">
      <c r="A163" s="60" t="s">
        <v>31637</v>
      </c>
      <c r="B163" s="61">
        <v>0</v>
      </c>
      <c r="C163" s="61">
        <v>4430000</v>
      </c>
    </row>
    <row r="164" spans="1:3" ht="14.25" customHeight="true">
      <c r="A164" s="60" t="s">
        <v>31638</v>
      </c>
      <c r="B164" s="61">
        <v>0</v>
      </c>
      <c r="C164" s="61">
        <v>1137000</v>
      </c>
    </row>
    <row r="165" spans="1:3" ht="14.25" customHeight="true">
      <c r="A165" s="60" t="s">
        <v>31639</v>
      </c>
      <c r="B165" s="61">
        <v>0</v>
      </c>
      <c r="C165" s="61">
        <v>0</v>
      </c>
    </row>
    <row r="166" spans="1:3" ht="14.25" customHeight="true">
      <c r="A166" s="60" t="s">
        <v>31640</v>
      </c>
      <c r="B166" s="61">
        <v>0</v>
      </c>
      <c r="C166" s="61">
        <v>0</v>
      </c>
    </row>
    <row r="167" spans="1:3" ht="14.25" customHeight="true">
      <c r="A167" s="60" t="s">
        <v>31641</v>
      </c>
      <c r="B167" s="61">
        <v>0</v>
      </c>
      <c r="C167" s="61">
        <v>0</v>
      </c>
    </row>
    <row r="168" spans="1:3" ht="14.25" customHeight="true">
      <c r="A168" s="60" t="s">
        <v>31642</v>
      </c>
      <c r="B168" s="61">
        <v>0</v>
      </c>
      <c r="C168" s="61">
        <v>0</v>
      </c>
    </row>
    <row r="169" spans="1:3" ht="14.25" customHeight="true">
      <c r="A169" s="60" t="s">
        <v>31643</v>
      </c>
      <c r="B169" s="61">
        <v>0</v>
      </c>
      <c r="C169" s="61">
        <v>-1346.17999999999</v>
      </c>
    </row>
    <row r="170" spans="1:3" ht="14.25" customHeight="true">
      <c r="A170" s="60" t="s">
        <v>31644</v>
      </c>
      <c r="B170" s="61">
        <v>0</v>
      </c>
      <c r="C170" s="61">
        <v>0</v>
      </c>
    </row>
    <row r="171" spans="1:3" ht="14.25" customHeight="true">
      <c r="A171" s="60" t="s">
        <v>31645</v>
      </c>
      <c r="B171" s="61">
        <v>0</v>
      </c>
      <c r="C171" s="61">
        <v>0</v>
      </c>
    </row>
    <row r="172" spans="1:3" ht="14.25" customHeight="true">
      <c r="A172" s="60" t="s">
        <v>31646</v>
      </c>
      <c r="B172" s="61">
        <v>0</v>
      </c>
      <c r="C172" s="61">
        <v>0</v>
      </c>
    </row>
    <row r="173" spans="1:3" ht="14.25" customHeight="true">
      <c r="A173" s="60" t="s">
        <v>31647</v>
      </c>
      <c r="B173" s="61">
        <v>0</v>
      </c>
      <c r="C173" s="61">
        <v>0</v>
      </c>
    </row>
    <row r="174" spans="1:3" ht="14.25" customHeight="true">
      <c r="A174" s="60" t="s">
        <v>31648</v>
      </c>
      <c r="B174" s="61">
        <v>0</v>
      </c>
      <c r="C174" s="61">
        <v>0</v>
      </c>
    </row>
    <row r="175" spans="1:3" ht="14.25" customHeight="true">
      <c r="A175" s="60" t="s">
        <v>31649</v>
      </c>
      <c r="B175" s="61">
        <v>0</v>
      </c>
      <c r="C175" s="61">
        <v>0</v>
      </c>
    </row>
    <row r="176" spans="1:3" ht="14.25" customHeight="true">
      <c r="A176" s="60" t="s">
        <v>31650</v>
      </c>
      <c r="B176" s="61">
        <v>0</v>
      </c>
      <c r="C176" s="61">
        <v>-1595.25</v>
      </c>
    </row>
    <row r="177" spans="1:3" ht="14.25" customHeight="true">
      <c r="A177" s="60" t="s">
        <v>31651</v>
      </c>
      <c r="B177" s="61">
        <v>0</v>
      </c>
      <c r="C177" s="61">
        <v>-2494789.76</v>
      </c>
    </row>
    <row r="178" spans="1:3" ht="14.25" customHeight="true">
      <c r="A178" s="60" t="s">
        <v>31652</v>
      </c>
      <c r="B178" s="61">
        <v>0</v>
      </c>
      <c r="C178" s="61">
        <v>0</v>
      </c>
    </row>
    <row r="179" spans="1:3" ht="14.25" customHeight="true">
      <c r="A179" s="60" t="s">
        <v>31653</v>
      </c>
      <c r="B179" s="61">
        <v>0</v>
      </c>
      <c r="C179" s="61">
        <v>2494789.76</v>
      </c>
    </row>
    <row r="180" spans="1:3" ht="14.25" customHeight="true">
      <c r="A180" s="60" t="s">
        <v>31654</v>
      </c>
      <c r="B180" s="61">
        <v>0</v>
      </c>
      <c r="C180" s="61">
        <v>0</v>
      </c>
    </row>
    <row r="181" spans="1:3" ht="14.25" customHeight="true">
      <c r="A181" s="60" t="s">
        <v>31655</v>
      </c>
      <c r="B181" s="61">
        <v>0</v>
      </c>
      <c r="C181" s="61">
        <v>0</v>
      </c>
    </row>
    <row r="182" spans="1:3" ht="14.25" customHeight="true">
      <c r="A182" s="60" t="s">
        <v>31656</v>
      </c>
      <c r="B182" s="61">
        <v>0</v>
      </c>
      <c r="C182" s="61">
        <v>0</v>
      </c>
    </row>
    <row r="183" spans="1:3" ht="14.25" customHeight="true">
      <c r="A183" s="60" t="s">
        <v>31657</v>
      </c>
      <c r="B183" s="61">
        <v>0</v>
      </c>
      <c r="C183" s="61">
        <v>0</v>
      </c>
    </row>
    <row r="184" spans="1:3" ht="14.25" customHeight="true">
      <c r="A184" s="60" t="s">
        <v>31658</v>
      </c>
      <c r="B184" s="61">
        <v>0</v>
      </c>
      <c r="C184" s="61">
        <v>0</v>
      </c>
    </row>
    <row r="185" spans="1:3" ht="14.25" customHeight="true">
      <c r="A185" s="60" t="s">
        <v>31659</v>
      </c>
      <c r="B185" s="61">
        <v>0</v>
      </c>
      <c r="C185" s="61">
        <v>40000</v>
      </c>
    </row>
    <row r="186" spans="1:3" ht="14.25" customHeight="true">
      <c r="A186" s="60" t="s">
        <v>31660</v>
      </c>
      <c r="B186" s="61">
        <v>0</v>
      </c>
      <c r="C186" s="61">
        <v>0</v>
      </c>
    </row>
    <row r="187" spans="1:3" ht="14.25" customHeight="true">
      <c r="A187" s="60" t="s">
        <v>31661</v>
      </c>
      <c r="B187" s="61">
        <v>0</v>
      </c>
      <c r="C187" s="61">
        <v>0</v>
      </c>
    </row>
    <row r="188" spans="1:3" ht="14.25" customHeight="true">
      <c r="A188" s="60" t="s">
        <v>31662</v>
      </c>
      <c r="B188" s="61">
        <v>0</v>
      </c>
      <c r="C188" s="61">
        <v>0</v>
      </c>
    </row>
    <row r="189" spans="1:3" ht="14.25" customHeight="true">
      <c r="A189" s="60" t="s">
        <v>31663</v>
      </c>
      <c r="B189" s="61">
        <v>0</v>
      </c>
      <c r="C189" s="61">
        <v>0</v>
      </c>
    </row>
    <row r="190" spans="1:3" ht="14.25" customHeight="true">
      <c r="A190" s="60" t="s">
        <v>31664</v>
      </c>
      <c r="B190" s="61">
        <v>0</v>
      </c>
      <c r="C190" s="61">
        <v>0</v>
      </c>
    </row>
    <row r="191" spans="1:3" ht="14.25" customHeight="true">
      <c r="A191" s="60" t="s">
        <v>31665</v>
      </c>
      <c r="B191" s="61">
        <v>0</v>
      </c>
      <c r="C191" s="61">
        <v>-258</v>
      </c>
    </row>
    <row r="192" spans="1:3" ht="14.25" customHeight="true">
      <c r="A192" s="60" t="s">
        <v>31666</v>
      </c>
      <c r="B192" s="61">
        <v>0</v>
      </c>
      <c r="C192" s="61">
        <v>0</v>
      </c>
    </row>
    <row r="193" spans="1:3" ht="14.25" customHeight="true">
      <c r="A193" s="60" t="s">
        <v>31667</v>
      </c>
      <c r="B193" s="61">
        <v>3964.89</v>
      </c>
      <c r="C193" s="61">
        <v>1110.6</v>
      </c>
    </row>
    <row r="194" spans="1:3" ht="14.25" customHeight="true">
      <c r="A194" s="60" t="s">
        <v>31668</v>
      </c>
      <c r="B194" s="61">
        <v>0</v>
      </c>
      <c r="C194" s="61">
        <v>710000</v>
      </c>
    </row>
    <row r="195" spans="1:3" ht="14.25" customHeight="true">
      <c r="A195" s="60" t="s">
        <v>31669</v>
      </c>
      <c r="B195" s="61">
        <v>95.53</v>
      </c>
      <c r="C195" s="61">
        <v>-8208.65</v>
      </c>
    </row>
    <row r="196" spans="1:3" ht="14.25" customHeight="true">
      <c r="A196" s="60" t="s">
        <v>31670</v>
      </c>
      <c r="B196" s="61">
        <v>0</v>
      </c>
      <c r="C196" s="61">
        <v>-0.01</v>
      </c>
    </row>
    <row r="197" spans="1:3" ht="14.25" customHeight="true">
      <c r="A197" s="60" t="s">
        <v>31671</v>
      </c>
      <c r="B197" s="61">
        <v>0</v>
      </c>
      <c r="C197" s="61">
        <v>0</v>
      </c>
    </row>
    <row r="198" spans="1:3" ht="14.25" customHeight="true">
      <c r="A198" s="60" t="s">
        <v>31672</v>
      </c>
      <c r="B198" s="61">
        <v>0</v>
      </c>
      <c r="C198" s="61">
        <v>0</v>
      </c>
    </row>
    <row r="199" spans="1:3" ht="14.25" customHeight="true">
      <c r="A199" s="60" t="s">
        <v>31673</v>
      </c>
      <c r="B199" s="61">
        <v>0</v>
      </c>
      <c r="C199" s="61">
        <v>5121.17</v>
      </c>
    </row>
    <row r="200" spans="1:3" ht="14.25" customHeight="true">
      <c r="A200" s="60" t="s">
        <v>31674</v>
      </c>
      <c r="B200" s="61">
        <v>0</v>
      </c>
      <c r="C200" s="61">
        <v>0</v>
      </c>
    </row>
    <row r="201" spans="1:3" ht="14.25" customHeight="true">
      <c r="A201" s="60" t="s">
        <v>31675</v>
      </c>
      <c r="B201" s="61">
        <v>0</v>
      </c>
      <c r="C201" s="61">
        <v>0</v>
      </c>
    </row>
    <row r="202" spans="1:3" ht="14.25" customHeight="true">
      <c r="A202" s="60" t="s">
        <v>31676</v>
      </c>
      <c r="B202" s="61">
        <v>0</v>
      </c>
      <c r="C202" s="61">
        <v>0</v>
      </c>
    </row>
    <row r="203" spans="1:3" ht="14.25" customHeight="true">
      <c r="A203" s="60" t="s">
        <v>31677</v>
      </c>
      <c r="B203" s="61">
        <v>0</v>
      </c>
      <c r="C203" s="61">
        <v>-2933.96</v>
      </c>
    </row>
    <row r="204" spans="1:3" ht="14.25" customHeight="true">
      <c r="A204" s="60" t="s">
        <v>31678</v>
      </c>
      <c r="B204" s="61">
        <v>0</v>
      </c>
      <c r="C204" s="61">
        <v>0</v>
      </c>
    </row>
    <row r="205" spans="1:3" ht="14.25" customHeight="true">
      <c r="A205" s="60" t="s">
        <v>31679</v>
      </c>
      <c r="B205" s="61">
        <v>0</v>
      </c>
      <c r="C205" s="61">
        <v>-3118.63</v>
      </c>
    </row>
    <row r="206" spans="1:3" ht="14.25" customHeight="true">
      <c r="A206" s="60" t="s">
        <v>31680</v>
      </c>
      <c r="B206" s="61">
        <v>0</v>
      </c>
      <c r="C206" s="61">
        <v>0</v>
      </c>
    </row>
    <row r="207" spans="1:3" ht="14.25" customHeight="true">
      <c r="A207" s="60" t="s">
        <v>31681</v>
      </c>
      <c r="B207" s="61">
        <v>0</v>
      </c>
      <c r="C207" s="61">
        <v>0</v>
      </c>
    </row>
    <row r="208" spans="1:3" ht="14.25" customHeight="true">
      <c r="A208" s="60" t="s">
        <v>31682</v>
      </c>
      <c r="B208" s="61">
        <v>0</v>
      </c>
      <c r="C208" s="61">
        <v>0</v>
      </c>
    </row>
    <row r="209" spans="1:3" ht="14.25" customHeight="true">
      <c r="A209" s="60" t="s">
        <v>31683</v>
      </c>
      <c r="B209" s="61">
        <v>0</v>
      </c>
      <c r="C209" s="61">
        <v>0</v>
      </c>
    </row>
    <row r="210" spans="1:3" ht="14.25" customHeight="true">
      <c r="A210" s="60" t="s">
        <v>31684</v>
      </c>
      <c r="B210" s="61">
        <v>0</v>
      </c>
      <c r="C210" s="61">
        <v>0</v>
      </c>
    </row>
    <row r="211" spans="1:3" ht="14.25" customHeight="true">
      <c r="A211" s="60" t="s">
        <v>31685</v>
      </c>
      <c r="B211" s="61">
        <v>0</v>
      </c>
      <c r="C211" s="61">
        <v>0</v>
      </c>
    </row>
    <row r="212" spans="1:3" ht="14.25" customHeight="true">
      <c r="A212" s="60" t="s">
        <v>31686</v>
      </c>
      <c r="B212" s="61">
        <v>0</v>
      </c>
      <c r="C212" s="61">
        <v>0</v>
      </c>
    </row>
    <row r="213" spans="1:3" ht="14.25" customHeight="true">
      <c r="A213" s="60" t="s">
        <v>31687</v>
      </c>
      <c r="B213" s="61">
        <v>-377.8</v>
      </c>
      <c r="C213" s="61">
        <v>0</v>
      </c>
    </row>
    <row r="214" spans="1:3" ht="14.25" customHeight="true">
      <c r="A214" s="60" t="s">
        <v>31688</v>
      </c>
      <c r="B214" s="61">
        <v>0</v>
      </c>
      <c r="C214" s="61">
        <v>0</v>
      </c>
    </row>
    <row r="215" spans="1:3" ht="14.25" customHeight="true">
      <c r="A215" s="60" t="s">
        <v>31689</v>
      </c>
      <c r="B215" s="61">
        <v>0</v>
      </c>
      <c r="C215" s="61">
        <v>0</v>
      </c>
    </row>
    <row r="216" spans="1:3" ht="14.25" customHeight="true">
      <c r="A216" s="60" t="s">
        <v>31690</v>
      </c>
      <c r="B216" s="61">
        <v>0</v>
      </c>
      <c r="C216" s="61">
        <v>0</v>
      </c>
    </row>
    <row r="217" spans="1:3" ht="14.25" customHeight="true">
      <c r="A217" s="60" t="s">
        <v>31691</v>
      </c>
      <c r="B217" s="61">
        <v>0</v>
      </c>
      <c r="C217" s="61">
        <v>0</v>
      </c>
    </row>
    <row r="218" spans="1:3" ht="14.25" customHeight="true">
      <c r="A218" s="60" t="s">
        <v>31692</v>
      </c>
      <c r="B218" s="61">
        <v>0</v>
      </c>
      <c r="C218" s="61">
        <v>0</v>
      </c>
    </row>
    <row r="219" spans="1:3" ht="14.25" customHeight="true">
      <c r="A219" s="60" t="s">
        <v>31693</v>
      </c>
      <c r="B219" s="61">
        <v>0</v>
      </c>
      <c r="C219" s="61">
        <v>0</v>
      </c>
    </row>
    <row r="220" spans="1:3" ht="14.25" customHeight="true">
      <c r="A220" s="60" t="s">
        <v>31694</v>
      </c>
      <c r="B220" s="61">
        <v>0</v>
      </c>
      <c r="C220" s="61">
        <v>-1024.97000000009</v>
      </c>
    </row>
    <row r="221" spans="1:3" ht="14.25" customHeight="true">
      <c r="A221" s="60" t="s">
        <v>31695</v>
      </c>
      <c r="B221" s="61">
        <v>0</v>
      </c>
      <c r="C221" s="61">
        <v>0</v>
      </c>
    </row>
    <row r="222" spans="1:3" ht="14.25" customHeight="true">
      <c r="A222" s="60" t="s">
        <v>31696</v>
      </c>
      <c r="B222" s="61">
        <v>0</v>
      </c>
      <c r="C222" s="61">
        <v>0</v>
      </c>
    </row>
    <row r="223" spans="1:3" ht="14.25" customHeight="true">
      <c r="A223" s="60" t="s">
        <v>31697</v>
      </c>
      <c r="B223" s="61">
        <v>0</v>
      </c>
      <c r="C223" s="61">
        <v>0</v>
      </c>
    </row>
    <row r="224" spans="1:3" ht="14.25" customHeight="true">
      <c r="A224" s="60" t="s">
        <v>31698</v>
      </c>
      <c r="B224" s="61">
        <v>0</v>
      </c>
      <c r="C224" s="61">
        <v>0</v>
      </c>
    </row>
    <row r="225" spans="1:3" ht="14.25" customHeight="true">
      <c r="A225" s="60" t="s">
        <v>31699</v>
      </c>
      <c r="B225" s="61">
        <v>-3964.89</v>
      </c>
      <c r="C225" s="61">
        <v>42248.73</v>
      </c>
    </row>
    <row r="226" spans="1:3" ht="14.25" customHeight="true">
      <c r="A226" s="60" t="s">
        <v>31700</v>
      </c>
      <c r="B226" s="61">
        <v>0</v>
      </c>
      <c r="C226" s="61">
        <v>0</v>
      </c>
    </row>
    <row r="227" spans="1:3" ht="14.25" customHeight="true">
      <c r="A227" s="60" t="s">
        <v>31701</v>
      </c>
      <c r="B227" s="61">
        <v>-1722.4</v>
      </c>
      <c r="C227" s="61">
        <v>-1020.8</v>
      </c>
    </row>
    <row r="228" spans="1:3" ht="14.25" customHeight="true">
      <c r="A228" s="60" t="s">
        <v>31702</v>
      </c>
      <c r="B228" s="61">
        <v>1722.4</v>
      </c>
      <c r="C228" s="61">
        <v>-3459.8</v>
      </c>
    </row>
    <row r="229" spans="1:3" ht="14.25" customHeight="true">
      <c r="A229" s="60" t="s">
        <v>31703</v>
      </c>
      <c r="B229" s="61">
        <v>0</v>
      </c>
      <c r="C229" s="61">
        <v>-2252.77</v>
      </c>
    </row>
    <row r="230" spans="1:3" ht="14.25" customHeight="true">
      <c r="A230" s="60" t="s">
        <v>31704</v>
      </c>
      <c r="B230" s="61">
        <v>0</v>
      </c>
      <c r="C230" s="61">
        <v>0</v>
      </c>
    </row>
    <row r="231" spans="1:3" ht="14.25" customHeight="true">
      <c r="A231" s="60" t="s">
        <v>31705</v>
      </c>
      <c r="B231" s="61">
        <v>0</v>
      </c>
      <c r="C231" s="61">
        <v>0</v>
      </c>
    </row>
    <row r="232" spans="1:3" ht="14.25" customHeight="true">
      <c r="A232" s="60" t="s">
        <v>31706</v>
      </c>
      <c r="B232" s="61">
        <v>117.98</v>
      </c>
      <c r="C232" s="61">
        <v>121982.74</v>
      </c>
    </row>
    <row r="233" spans="1:3" ht="14.25" customHeight="true">
      <c r="A233" s="60" t="s">
        <v>31707</v>
      </c>
      <c r="B233" s="61">
        <v>0</v>
      </c>
      <c r="C233" s="61">
        <v>-15561.5</v>
      </c>
    </row>
    <row r="234" spans="1:3" ht="14.25" customHeight="true">
      <c r="A234" s="60" t="s">
        <v>31708</v>
      </c>
      <c r="B234" s="61">
        <v>0</v>
      </c>
      <c r="C234" s="61">
        <v>-6591.99</v>
      </c>
    </row>
    <row r="235" spans="1:3" ht="14.25" customHeight="true">
      <c r="A235" s="60" t="s">
        <v>31709</v>
      </c>
      <c r="B235" s="61">
        <v>0</v>
      </c>
      <c r="C235" s="61">
        <v>-6526.08</v>
      </c>
    </row>
    <row r="236" spans="1:3" ht="14.25" customHeight="true">
      <c r="A236" s="60" t="s">
        <v>31710</v>
      </c>
      <c r="B236" s="61">
        <v>0</v>
      </c>
      <c r="C236" s="61">
        <v>0</v>
      </c>
    </row>
    <row r="237" spans="1:3" ht="14.25" customHeight="true">
      <c r="A237" s="60" t="s">
        <v>31711</v>
      </c>
      <c r="B237" s="61">
        <v>0</v>
      </c>
      <c r="C237" s="61">
        <v>0</v>
      </c>
    </row>
    <row r="238" spans="1:3" ht="14.25" customHeight="true">
      <c r="A238" s="60" t="s">
        <v>31712</v>
      </c>
      <c r="B238" s="61">
        <v>0</v>
      </c>
      <c r="C238" s="61">
        <v>0</v>
      </c>
    </row>
    <row r="239" spans="1:3" ht="14.25" customHeight="true">
      <c r="A239" s="60" t="s">
        <v>31713</v>
      </c>
      <c r="B239" s="61">
        <v>0</v>
      </c>
      <c r="C239" s="61">
        <v>0</v>
      </c>
    </row>
    <row r="240" spans="1:3" ht="14.25" customHeight="true">
      <c r="A240" s="60" t="s">
        <v>31714</v>
      </c>
      <c r="B240" s="61">
        <v>18975.69</v>
      </c>
      <c r="C240" s="61">
        <v>-37067.9</v>
      </c>
    </row>
    <row r="241" spans="1:3" ht="14.25" customHeight="true">
      <c r="A241" s="60" t="s">
        <v>31715</v>
      </c>
      <c r="B241" s="61">
        <v>0</v>
      </c>
      <c r="C241" s="61">
        <v>0</v>
      </c>
    </row>
    <row r="242" spans="1:3" ht="14.25" customHeight="true">
      <c r="A242" s="60" t="s">
        <v>31716</v>
      </c>
      <c r="B242" s="61">
        <v>0</v>
      </c>
      <c r="C242" s="61">
        <v>1788642.92</v>
      </c>
    </row>
    <row r="243" spans="1:3" ht="14.25" customHeight="true">
      <c r="A243" s="60" t="s">
        <v>31717</v>
      </c>
      <c r="B243" s="61">
        <v>527.77</v>
      </c>
      <c r="C243" s="61">
        <v>5624.65</v>
      </c>
    </row>
    <row r="244" spans="1:3" ht="14.25" customHeight="true">
      <c r="A244" s="60" t="s">
        <v>31718</v>
      </c>
      <c r="B244" s="61">
        <v>0</v>
      </c>
      <c r="C244" s="61">
        <v>-2238642.92</v>
      </c>
    </row>
    <row r="245" spans="1:3" ht="14.25" customHeight="true">
      <c r="A245" s="60" t="s">
        <v>31719</v>
      </c>
      <c r="B245" s="61">
        <v>0</v>
      </c>
      <c r="C245" s="61">
        <v>0</v>
      </c>
    </row>
    <row r="246" spans="1:3" ht="14.25" customHeight="true">
      <c r="A246" s="60" t="s">
        <v>31720</v>
      </c>
      <c r="B246" s="61">
        <v>0</v>
      </c>
      <c r="C246" s="61">
        <v>0</v>
      </c>
    </row>
    <row r="247" spans="1:3" ht="14.25" customHeight="true">
      <c r="A247" s="60" t="s">
        <v>31721</v>
      </c>
      <c r="B247" s="61">
        <v>0</v>
      </c>
      <c r="C247" s="61">
        <v>0</v>
      </c>
    </row>
    <row r="248" spans="1:3" ht="14.25" customHeight="true">
      <c r="A248" s="60" t="s">
        <v>31722</v>
      </c>
      <c r="B248" s="61">
        <v>0</v>
      </c>
      <c r="C248" s="61">
        <v>0</v>
      </c>
    </row>
    <row r="249" spans="1:3" ht="14.25" customHeight="true">
      <c r="A249" s="60" t="s">
        <v>31723</v>
      </c>
      <c r="B249" s="61">
        <v>0</v>
      </c>
      <c r="C249" s="61">
        <v>0</v>
      </c>
    </row>
    <row r="250" spans="1:3" ht="14.25" customHeight="true">
      <c r="A250" s="60" t="s">
        <v>31724</v>
      </c>
      <c r="B250" s="61">
        <v>0</v>
      </c>
      <c r="C250" s="61">
        <v>0</v>
      </c>
    </row>
    <row r="251" spans="1:3" ht="14.25" customHeight="true">
      <c r="A251" s="60" t="s">
        <v>31725</v>
      </c>
      <c r="B251" s="61">
        <v>-741.28</v>
      </c>
      <c r="C251" s="61">
        <v>-4779.6</v>
      </c>
    </row>
    <row r="252" spans="1:3" ht="14.25" customHeight="true">
      <c r="A252" s="60" t="s">
        <v>31726</v>
      </c>
      <c r="B252" s="61">
        <v>0</v>
      </c>
      <c r="C252" s="61">
        <v>-3914.16000000015</v>
      </c>
    </row>
    <row r="253" spans="1:3" ht="14.25" customHeight="true">
      <c r="A253" s="60" t="s">
        <v>31727</v>
      </c>
      <c r="B253" s="61">
        <v>0</v>
      </c>
      <c r="C253" s="61">
        <v>0.870000001043081</v>
      </c>
    </row>
    <row r="254" spans="1:3" ht="14.25" customHeight="true">
      <c r="A254" s="60" t="s">
        <v>31728</v>
      </c>
      <c r="B254" s="61">
        <v>0</v>
      </c>
      <c r="C254" s="61">
        <v>-1054.06</v>
      </c>
    </row>
    <row r="255" spans="1:3" ht="14.25" customHeight="true">
      <c r="A255" s="60" t="s">
        <v>31729</v>
      </c>
      <c r="B255" s="61">
        <v>0</v>
      </c>
      <c r="C255" s="61">
        <v>-4270.13</v>
      </c>
    </row>
    <row r="256" spans="1:3" ht="14.25" customHeight="true">
      <c r="A256" s="60" t="s">
        <v>31730</v>
      </c>
      <c r="B256" s="61">
        <v>-9534.42</v>
      </c>
      <c r="C256" s="61">
        <v>-71.2700000000004</v>
      </c>
    </row>
    <row r="257" spans="1:3" ht="14.25" customHeight="true">
      <c r="A257" s="60" t="s">
        <v>31731</v>
      </c>
      <c r="B257" s="61">
        <v>0</v>
      </c>
      <c r="C257" s="61">
        <v>0</v>
      </c>
    </row>
    <row r="258" spans="1:3" ht="14.25" customHeight="true">
      <c r="A258" s="60" t="s">
        <v>31732</v>
      </c>
      <c r="B258" s="61">
        <v>0</v>
      </c>
      <c r="C258" s="61">
        <v>-79739.43</v>
      </c>
    </row>
    <row r="259" spans="1:3" ht="14.25" customHeight="true">
      <c r="A259" s="60" t="s">
        <v>31733</v>
      </c>
      <c r="B259" s="61">
        <v>0</v>
      </c>
      <c r="C259" s="61">
        <v>0</v>
      </c>
    </row>
    <row r="260" spans="1:3" ht="14.25" customHeight="true">
      <c r="A260" s="60" t="s">
        <v>31734</v>
      </c>
      <c r="B260" s="61">
        <v>0</v>
      </c>
      <c r="C260" s="61">
        <v>-1065.35</v>
      </c>
    </row>
    <row r="261" spans="1:3" ht="14.25" customHeight="true">
      <c r="A261" s="60" t="s">
        <v>31735</v>
      </c>
      <c r="B261" s="61">
        <v>0</v>
      </c>
      <c r="C261" s="61">
        <v>0</v>
      </c>
    </row>
    <row r="262" spans="1:3" ht="14.25" customHeight="true">
      <c r="A262" s="60" t="s">
        <v>31736</v>
      </c>
      <c r="B262" s="61">
        <v>0</v>
      </c>
      <c r="C262" s="61">
        <v>0.120000000009895</v>
      </c>
    </row>
    <row r="263" spans="1:3" ht="14.25" customHeight="true">
      <c r="A263" s="60" t="s">
        <v>31737</v>
      </c>
      <c r="B263" s="61">
        <v>751.53</v>
      </c>
      <c r="C263" s="61">
        <v>-664.06</v>
      </c>
    </row>
    <row r="264" spans="1:3" ht="14.25" customHeight="true">
      <c r="A264" s="60" t="s">
        <v>31738</v>
      </c>
      <c r="B264" s="61">
        <v>0</v>
      </c>
      <c r="C264" s="61">
        <v>0</v>
      </c>
    </row>
    <row r="265" spans="1:3" ht="14.25" customHeight="true">
      <c r="A265" s="60" t="s">
        <v>31739</v>
      </c>
      <c r="B265" s="61">
        <v>0</v>
      </c>
      <c r="C265" s="61">
        <v>0</v>
      </c>
    </row>
    <row r="266" spans="1:3" ht="14.25" customHeight="true">
      <c r="A266" s="60" t="s">
        <v>31740</v>
      </c>
      <c r="B266" s="61">
        <v>1038.22</v>
      </c>
      <c r="C266" s="61">
        <v>-30160.56</v>
      </c>
    </row>
    <row r="267" spans="1:3" ht="14.25" customHeight="true">
      <c r="A267" s="60" t="s">
        <v>31741</v>
      </c>
      <c r="B267" s="61">
        <v>0</v>
      </c>
      <c r="C267" s="61">
        <v>0</v>
      </c>
    </row>
    <row r="268" spans="1:3" ht="14.25" customHeight="true">
      <c r="A268" s="60" t="s">
        <v>31742</v>
      </c>
      <c r="B268" s="61">
        <v>0</v>
      </c>
      <c r="C268" s="61">
        <v>0</v>
      </c>
    </row>
    <row r="269" spans="1:3" ht="14.25" customHeight="true">
      <c r="A269" s="60" t="s">
        <v>31743</v>
      </c>
      <c r="B269" s="61">
        <v>0</v>
      </c>
      <c r="C269" s="61">
        <v>0</v>
      </c>
    </row>
    <row r="270" spans="1:3" ht="14.25" customHeight="true">
      <c r="A270" s="60" t="s">
        <v>31744</v>
      </c>
      <c r="B270" s="61">
        <v>0</v>
      </c>
      <c r="C270" s="61">
        <v>0</v>
      </c>
    </row>
    <row r="271" spans="1:3" ht="14.25" customHeight="true">
      <c r="A271" s="60" t="s">
        <v>31745</v>
      </c>
      <c r="B271" s="61">
        <v>0</v>
      </c>
      <c r="C271" s="61">
        <v>0</v>
      </c>
    </row>
    <row r="272" spans="1:3" ht="14.25" customHeight="true">
      <c r="A272" s="60" t="s">
        <v>31746</v>
      </c>
      <c r="B272" s="61">
        <v>0</v>
      </c>
      <c r="C272" s="61">
        <v>-2651.79</v>
      </c>
    </row>
    <row r="273" spans="1:3" ht="14.25" customHeight="true">
      <c r="A273" s="60" t="s">
        <v>31747</v>
      </c>
      <c r="B273" s="61">
        <v>0</v>
      </c>
      <c r="C273" s="61">
        <v>0</v>
      </c>
    </row>
    <row r="274" spans="1:3" ht="14.25" customHeight="true">
      <c r="A274" s="60" t="s">
        <v>31748</v>
      </c>
      <c r="B274" s="61">
        <v>1549.07</v>
      </c>
      <c r="C274" s="61">
        <v>-70196.8</v>
      </c>
    </row>
    <row r="275" spans="1:3" ht="14.25" customHeight="true">
      <c r="A275" s="60" t="s">
        <v>31749</v>
      </c>
      <c r="B275" s="61">
        <v>95</v>
      </c>
      <c r="C275" s="61">
        <v>-331.210000000021</v>
      </c>
    </row>
    <row r="276" spans="1:3" ht="14.25" customHeight="true">
      <c r="A276" s="60" t="s">
        <v>31750</v>
      </c>
      <c r="B276" s="61">
        <v>0</v>
      </c>
      <c r="C276" s="61">
        <v>0</v>
      </c>
    </row>
    <row r="277" spans="1:3" ht="14.25" customHeight="true">
      <c r="A277" s="60" t="s">
        <v>31751</v>
      </c>
      <c r="B277" s="61">
        <v>1451.49</v>
      </c>
      <c r="C277" s="61">
        <v>-1037.75</v>
      </c>
    </row>
    <row r="278" spans="1:3" ht="14.25" customHeight="true">
      <c r="A278" s="60" t="s">
        <v>31752</v>
      </c>
      <c r="B278" s="61">
        <v>0</v>
      </c>
      <c r="C278" s="61">
        <v>0</v>
      </c>
    </row>
    <row r="279" spans="1:3" ht="14.25" customHeight="true">
      <c r="A279" s="60" t="s">
        <v>31753</v>
      </c>
      <c r="B279" s="61">
        <v>0</v>
      </c>
      <c r="C279" s="61">
        <v>0</v>
      </c>
    </row>
    <row r="280" spans="1:3" ht="14.25" customHeight="true">
      <c r="A280" s="60" t="s">
        <v>31754</v>
      </c>
      <c r="B280" s="61">
        <v>0</v>
      </c>
      <c r="C280" s="61">
        <v>0</v>
      </c>
    </row>
    <row r="281" spans="1:3" ht="14.25" customHeight="true">
      <c r="A281" s="60" t="s">
        <v>31755</v>
      </c>
      <c r="B281" s="61">
        <v>-33475.78</v>
      </c>
      <c r="C281" s="61">
        <v>-250.259999999995</v>
      </c>
    </row>
    <row r="282" spans="1:3" ht="14.25" customHeight="true">
      <c r="A282" s="60" t="s">
        <v>31756</v>
      </c>
      <c r="B282" s="61">
        <v>-17721.78</v>
      </c>
      <c r="C282" s="61">
        <v>-132.48</v>
      </c>
    </row>
    <row r="283" spans="1:3" ht="14.25" customHeight="true">
      <c r="A283" s="60" t="s">
        <v>31757</v>
      </c>
      <c r="B283" s="61">
        <v>-12040.98</v>
      </c>
      <c r="C283" s="61">
        <v>-90.010000000002</v>
      </c>
    </row>
    <row r="284" spans="1:3" ht="14.25" customHeight="true">
      <c r="A284" s="60" t="s">
        <v>31758</v>
      </c>
      <c r="B284" s="61">
        <v>0</v>
      </c>
      <c r="C284" s="61">
        <v>0</v>
      </c>
    </row>
    <row r="285" spans="1:3" ht="14.25" customHeight="true">
      <c r="A285" s="60" t="s">
        <v>31759</v>
      </c>
      <c r="B285" s="61">
        <v>0</v>
      </c>
      <c r="C285" s="61">
        <v>0</v>
      </c>
    </row>
    <row r="286" spans="1:3" ht="14.25" customHeight="true">
      <c r="A286" s="60" t="s">
        <v>31760</v>
      </c>
      <c r="B286" s="61">
        <v>0</v>
      </c>
      <c r="C286" s="61">
        <v>-10211.0700000003</v>
      </c>
    </row>
    <row r="287" spans="1:3" ht="14.25" customHeight="true">
      <c r="A287" s="60" t="s">
        <v>31761</v>
      </c>
      <c r="B287" s="61">
        <v>0</v>
      </c>
      <c r="C287" s="61">
        <v>11114.5</v>
      </c>
    </row>
    <row r="288" spans="1:3" ht="14.25" customHeight="true">
      <c r="A288" s="60" t="s">
        <v>31762</v>
      </c>
      <c r="B288" s="61">
        <v>0</v>
      </c>
      <c r="C288" s="61">
        <v>-273.33</v>
      </c>
    </row>
    <row r="289" spans="1:3" ht="14.25" customHeight="true">
      <c r="A289" s="60" t="s">
        <v>31763</v>
      </c>
      <c r="B289" s="61">
        <v>0</v>
      </c>
      <c r="C289" s="61">
        <v>0</v>
      </c>
    </row>
    <row r="290" spans="1:3" ht="14.25" customHeight="true">
      <c r="A290" s="60" t="s">
        <v>31764</v>
      </c>
      <c r="B290" s="61">
        <v>0</v>
      </c>
      <c r="C290" s="61">
        <v>0</v>
      </c>
    </row>
    <row r="291" spans="1:3" ht="14.25" customHeight="true">
      <c r="A291" s="60" t="s">
        <v>31765</v>
      </c>
      <c r="B291" s="61">
        <v>0</v>
      </c>
      <c r="C291" s="61">
        <v>-6194.31</v>
      </c>
    </row>
    <row r="292" spans="1:3" ht="14.25" customHeight="true">
      <c r="A292" s="60" t="s">
        <v>31766</v>
      </c>
      <c r="B292" s="61">
        <v>0</v>
      </c>
      <c r="C292" s="61">
        <v>-7282.76</v>
      </c>
    </row>
    <row r="293" spans="1:3" ht="14.25" customHeight="true">
      <c r="A293" s="60" t="s">
        <v>31767</v>
      </c>
      <c r="B293" s="61">
        <v>0</v>
      </c>
      <c r="C293" s="61">
        <v>0</v>
      </c>
    </row>
    <row r="294" spans="1:3" ht="14.25" customHeight="true">
      <c r="A294" s="60" t="s">
        <v>31768</v>
      </c>
      <c r="B294" s="61">
        <v>0</v>
      </c>
      <c r="C294" s="61">
        <v>-818.849999999999</v>
      </c>
    </row>
    <row r="295" spans="1:3" ht="14.25" customHeight="true">
      <c r="A295" s="60" t="s">
        <v>31769</v>
      </c>
      <c r="B295" s="61">
        <v>0</v>
      </c>
      <c r="C295" s="61">
        <v>-6963.97</v>
      </c>
    </row>
    <row r="296" spans="1:3" ht="14.25" customHeight="true">
      <c r="A296" s="60" t="s">
        <v>31770</v>
      </c>
      <c r="B296" s="61">
        <v>0</v>
      </c>
      <c r="C296" s="61">
        <v>0</v>
      </c>
    </row>
    <row r="297" spans="1:3" ht="14.25" customHeight="true">
      <c r="A297" s="60" t="s">
        <v>31771</v>
      </c>
      <c r="B297" s="61">
        <v>0</v>
      </c>
      <c r="C297" s="61">
        <v>778</v>
      </c>
    </row>
    <row r="298" spans="1:3" ht="14.25" customHeight="true">
      <c r="A298" s="60" t="s">
        <v>31772</v>
      </c>
      <c r="B298" s="61">
        <v>0</v>
      </c>
      <c r="C298" s="61">
        <v>0</v>
      </c>
    </row>
    <row r="299" spans="1:3" ht="14.25" customHeight="true">
      <c r="A299" s="60" t="s">
        <v>31773</v>
      </c>
      <c r="B299" s="61">
        <v>0</v>
      </c>
      <c r="C299" s="61">
        <v>0</v>
      </c>
    </row>
    <row r="300" spans="1:3" ht="14.25" customHeight="true">
      <c r="A300" s="60" t="s">
        <v>31774</v>
      </c>
      <c r="B300" s="61">
        <v>0</v>
      </c>
      <c r="C300" s="61">
        <v>-517.5</v>
      </c>
    </row>
    <row r="301" spans="1:3" ht="14.25" customHeight="true">
      <c r="A301" s="60" t="s">
        <v>31775</v>
      </c>
      <c r="B301" s="61">
        <v>253.92</v>
      </c>
      <c r="C301" s="61">
        <v>-47294.79</v>
      </c>
    </row>
    <row r="302" spans="1:3" ht="14.25" customHeight="true">
      <c r="A302" s="60" t="s">
        <v>31776</v>
      </c>
      <c r="B302" s="61">
        <v>0</v>
      </c>
      <c r="C302" s="61">
        <v>-0.599999999976717</v>
      </c>
    </row>
    <row r="303" spans="1:3" ht="14.25" customHeight="true">
      <c r="A303" s="60" t="s">
        <v>31777</v>
      </c>
      <c r="B303" s="61">
        <v>0</v>
      </c>
      <c r="C303" s="61">
        <v>0</v>
      </c>
    </row>
    <row r="304" spans="1:3" ht="14.25" customHeight="true">
      <c r="A304" s="60" t="s">
        <v>31778</v>
      </c>
      <c r="B304" s="61">
        <v>0</v>
      </c>
      <c r="C304" s="61">
        <v>0</v>
      </c>
    </row>
    <row r="305" spans="1:3" ht="14.25" customHeight="true">
      <c r="A305" s="60" t="s">
        <v>31779</v>
      </c>
      <c r="B305" s="61">
        <v>0</v>
      </c>
      <c r="C305" s="61">
        <v>0</v>
      </c>
    </row>
    <row r="306" spans="1:3" ht="14.25" customHeight="true">
      <c r="A306" s="60" t="s">
        <v>31780</v>
      </c>
      <c r="B306" s="61">
        <v>0</v>
      </c>
      <c r="C306" s="61">
        <v>0</v>
      </c>
    </row>
    <row r="307" spans="1:3" ht="14.25" customHeight="true">
      <c r="A307" s="60" t="e">
        <f>#N/A</f>
        <v>#N/A</v>
      </c>
      <c r="B307" s="61">
        <v>180000</v>
      </c>
      <c r="C307" s="61">
        <v>180000</v>
      </c>
    </row>
    <row r="308" spans="1:3" ht="14.25" customHeight="true">
      <c r="A308" s="60" t="s">
        <v>31781</v>
      </c>
      <c r="B308" s="61">
        <v>55000</v>
      </c>
      <c r="C308" s="61">
        <v>100000</v>
      </c>
    </row>
    <row r="309" spans="1:3" ht="14.25" customHeight="true">
      <c r="A309" s="60" t="s">
        <v>31782</v>
      </c>
      <c r="B309" s="61">
        <v>60000</v>
      </c>
      <c r="C309" s="61">
        <v>110000</v>
      </c>
    </row>
    <row r="310" spans="1:3" ht="14.25" customHeight="true">
      <c r="A310" s="60" t="s">
        <v>31783</v>
      </c>
      <c r="B310" s="61">
        <v>0</v>
      </c>
      <c r="C310" s="61">
        <v>20000</v>
      </c>
    </row>
    <row r="311" spans="1:3" ht="14.25" customHeight="true">
      <c r="A311" s="60" t="s">
        <v>31784</v>
      </c>
      <c r="B311" s="61">
        <v>0</v>
      </c>
      <c r="C311" s="61">
        <v>-2005000</v>
      </c>
    </row>
    <row r="312" spans="1:3" ht="14.25" customHeight="true">
      <c r="A312" s="60" t="s">
        <v>31785</v>
      </c>
      <c r="B312" s="61">
        <v>0</v>
      </c>
      <c r="C312" s="61">
        <v>-2414000</v>
      </c>
    </row>
    <row r="313" spans="1:3" ht="14.25" customHeight="true">
      <c r="A313" s="60" t="s">
        <v>31786</v>
      </c>
      <c r="B313" s="61">
        <v>0</v>
      </c>
      <c r="C313" s="61">
        <v>-13674704.79</v>
      </c>
    </row>
    <row r="314" spans="1:3" ht="14.25" customHeight="true">
      <c r="A314" s="60" t="s">
        <v>31787</v>
      </c>
      <c r="B314" s="61">
        <v>0</v>
      </c>
      <c r="C314" s="61">
        <v>-1570000</v>
      </c>
    </row>
    <row r="315" spans="1:3" ht="14.25" customHeight="true">
      <c r="A315" s="60" t="s">
        <v>31788</v>
      </c>
      <c r="B315" s="61">
        <v>0</v>
      </c>
      <c r="C315" s="61">
        <v>-66000</v>
      </c>
    </row>
    <row r="316" spans="1:3" ht="14.25" customHeight="true">
      <c r="A316" s="60" t="s">
        <v>31789</v>
      </c>
      <c r="B316" s="61">
        <v>0</v>
      </c>
      <c r="C316" s="61">
        <v>-266000</v>
      </c>
    </row>
    <row r="317" spans="1:3" ht="14.25" customHeight="true">
      <c r="A317" s="60" t="s">
        <v>31790</v>
      </c>
      <c r="B317" s="61"/>
      <c r="C317" s="61"/>
    </row>
    <row r="318" spans="1:3" ht="14.25" customHeight="true">
      <c r="A318" s="60" t="s">
        <v>31791</v>
      </c>
      <c r="B318" s="61">
        <v>0</v>
      </c>
      <c r="C318" s="61">
        <v>0</v>
      </c>
    </row>
    <row r="319" spans="1:3" ht="14.25" customHeight="true">
      <c r="A319" s="60" t="s">
        <v>31792</v>
      </c>
      <c r="B319" s="61">
        <v>0</v>
      </c>
      <c r="C319" s="61">
        <v>0</v>
      </c>
    </row>
    <row r="320" spans="1:3" ht="14.25" customHeight="true">
      <c r="A320" s="60" t="s">
        <v>31793</v>
      </c>
      <c r="B320" s="61">
        <v>0</v>
      </c>
      <c r="C320" s="61">
        <v>0</v>
      </c>
    </row>
    <row r="321" spans="1:3" ht="14.25" customHeight="true">
      <c r="A321" s="60" t="s">
        <v>31794</v>
      </c>
      <c r="B321" s="61">
        <v>0</v>
      </c>
      <c r="C321" s="61">
        <v>0</v>
      </c>
    </row>
    <row r="322" spans="1:3" ht="14.25" customHeight="true">
      <c r="A322" s="60" t="s">
        <v>31795</v>
      </c>
      <c r="B322" s="61">
        <v>0</v>
      </c>
      <c r="C322" s="61">
        <v>0</v>
      </c>
    </row>
    <row r="323" spans="1:3" ht="14.25" customHeight="true">
      <c r="A323" s="60" t="s">
        <v>31796</v>
      </c>
      <c r="B323" s="61">
        <v>0</v>
      </c>
      <c r="C323" s="61">
        <v>0</v>
      </c>
    </row>
    <row r="324" spans="1:3" ht="14.25" customHeight="true">
      <c r="A324" s="60" t="s">
        <v>31797</v>
      </c>
      <c r="B324" s="61">
        <v>0</v>
      </c>
      <c r="C324" s="61">
        <v>0</v>
      </c>
    </row>
    <row r="325" spans="1:3" ht="14.25" customHeight="true">
      <c r="A325" s="60" t="s">
        <v>31798</v>
      </c>
      <c r="B325" s="61">
        <v>0</v>
      </c>
      <c r="C325" s="61">
        <v>0</v>
      </c>
    </row>
    <row r="326" spans="1:3" ht="14.25" customHeight="true">
      <c r="A326" s="60" t="s">
        <v>31799</v>
      </c>
      <c r="B326" s="61">
        <v>0</v>
      </c>
      <c r="C326" s="61">
        <v>0</v>
      </c>
    </row>
    <row r="327" spans="1:3" ht="14.25" customHeight="true">
      <c r="A327" s="60" t="s">
        <v>31800</v>
      </c>
      <c r="B327" s="61">
        <v>0</v>
      </c>
      <c r="C327" s="61">
        <v>0</v>
      </c>
    </row>
    <row r="328" spans="1:3" ht="14.25" customHeight="true">
      <c r="A328" s="60" t="s">
        <v>31801</v>
      </c>
      <c r="B328" s="61">
        <v>0</v>
      </c>
      <c r="C328" s="61">
        <v>0</v>
      </c>
    </row>
    <row r="329" spans="1:3" ht="14.25" customHeight="true">
      <c r="A329" s="60" t="s">
        <v>31802</v>
      </c>
      <c r="B329" s="61">
        <v>0</v>
      </c>
      <c r="C329" s="61">
        <v>106000</v>
      </c>
    </row>
    <row r="330" spans="1:3" ht="14.25" customHeight="true">
      <c r="A330" s="60" t="s">
        <v>31803</v>
      </c>
      <c r="B330" s="61">
        <v>0</v>
      </c>
      <c r="C330" s="61">
        <v>0</v>
      </c>
    </row>
    <row r="331" spans="1:3" ht="14.25" customHeight="true">
      <c r="A331" s="60" t="s">
        <v>31804</v>
      </c>
      <c r="B331" s="61">
        <v>0</v>
      </c>
      <c r="C331" s="61">
        <v>60000</v>
      </c>
    </row>
    <row r="332" spans="1:3" ht="14.25" customHeight="true">
      <c r="A332" s="60" t="s">
        <v>31805</v>
      </c>
      <c r="B332" s="61">
        <v>0</v>
      </c>
      <c r="C332" s="61">
        <v>20000</v>
      </c>
    </row>
    <row r="333" spans="1:3" ht="14.25" customHeight="true">
      <c r="A333" s="60" t="s">
        <v>31806</v>
      </c>
      <c r="B333" s="61">
        <v>0</v>
      </c>
      <c r="C333" s="61">
        <v>100000</v>
      </c>
    </row>
    <row r="334" spans="1:3" ht="14.25" customHeight="true">
      <c r="A334" s="60" t="s">
        <v>31807</v>
      </c>
      <c r="B334" s="61">
        <v>0</v>
      </c>
      <c r="C334" s="61">
        <v>0</v>
      </c>
    </row>
    <row r="335" spans="1:3" ht="14.25" customHeight="true">
      <c r="A335" s="60" t="s">
        <v>31808</v>
      </c>
      <c r="B335" s="61">
        <v>0</v>
      </c>
      <c r="C335" s="61">
        <v>25000</v>
      </c>
    </row>
    <row r="336" spans="1:3" ht="14.25" customHeight="true">
      <c r="A336" s="60" t="s">
        <v>31809</v>
      </c>
      <c r="B336" s="61">
        <v>0</v>
      </c>
      <c r="C336" s="61">
        <v>0</v>
      </c>
    </row>
    <row r="337" spans="1:3" ht="14.25" customHeight="true">
      <c r="A337" s="60" t="s">
        <v>31810</v>
      </c>
      <c r="B337" s="61">
        <v>0</v>
      </c>
      <c r="C337" s="61">
        <v>0</v>
      </c>
    </row>
    <row r="338" spans="1:3" ht="14.25" customHeight="true">
      <c r="A338" s="60" t="s">
        <v>31811</v>
      </c>
      <c r="B338" s="61">
        <v>0</v>
      </c>
      <c r="C338" s="61">
        <v>0</v>
      </c>
    </row>
    <row r="339" spans="1:3" ht="14.25" customHeight="true">
      <c r="A339" s="60" t="s">
        <v>31812</v>
      </c>
      <c r="B339" s="61">
        <v>0</v>
      </c>
      <c r="C339" s="61">
        <v>0</v>
      </c>
    </row>
    <row r="340" spans="1:3" ht="14.25" customHeight="true">
      <c r="A340" s="60" t="s">
        <v>31813</v>
      </c>
      <c r="B340" s="61">
        <v>0</v>
      </c>
      <c r="C340" s="61">
        <v>0</v>
      </c>
    </row>
    <row r="341" spans="1:3" ht="14.25" customHeight="true">
      <c r="A341" s="60" t="s">
        <v>31814</v>
      </c>
      <c r="B341" s="61">
        <v>0</v>
      </c>
      <c r="C341" s="61">
        <v>0</v>
      </c>
    </row>
    <row r="342" spans="1:3" ht="14.25" customHeight="true">
      <c r="A342" s="60" t="s">
        <v>31815</v>
      </c>
      <c r="B342" s="61">
        <v>0</v>
      </c>
      <c r="C342" s="61">
        <v>30000</v>
      </c>
    </row>
    <row r="343" spans="1:3" ht="14.25" customHeight="true">
      <c r="A343" s="60" t="s">
        <v>31816</v>
      </c>
      <c r="B343" s="61">
        <v>0</v>
      </c>
      <c r="C343" s="61">
        <v>100000</v>
      </c>
    </row>
    <row r="344" spans="1:3" ht="14.25" customHeight="true">
      <c r="A344" s="60" t="s">
        <v>31817</v>
      </c>
      <c r="B344" s="61">
        <v>0</v>
      </c>
      <c r="C344" s="61">
        <v>0</v>
      </c>
    </row>
    <row r="345" spans="1:3" ht="14.25" customHeight="true">
      <c r="A345" s="60" t="s">
        <v>31818</v>
      </c>
      <c r="B345" s="61">
        <v>0</v>
      </c>
      <c r="C345" s="61">
        <v>0</v>
      </c>
    </row>
    <row r="346" spans="1:3" ht="14.25" customHeight="true">
      <c r="A346" s="60" t="s">
        <v>31819</v>
      </c>
      <c r="B346" s="61">
        <v>0</v>
      </c>
      <c r="C346" s="61">
        <v>0</v>
      </c>
    </row>
    <row r="347" spans="1:3" ht="14.25" customHeight="true">
      <c r="A347" s="60" t="s">
        <v>31820</v>
      </c>
      <c r="B347" s="61">
        <v>0</v>
      </c>
      <c r="C347" s="61">
        <v>0</v>
      </c>
    </row>
    <row r="348" spans="1:3" ht="14.25" customHeight="true">
      <c r="A348" s="60" t="s">
        <v>31821</v>
      </c>
      <c r="B348" s="61">
        <v>0</v>
      </c>
      <c r="C348" s="61">
        <v>0</v>
      </c>
    </row>
    <row r="349" spans="1:3" ht="14.25" customHeight="true">
      <c r="A349" s="60" t="s">
        <v>31822</v>
      </c>
      <c r="B349" s="61">
        <v>0</v>
      </c>
      <c r="C349" s="61">
        <v>0</v>
      </c>
    </row>
    <row r="350" spans="1:3" ht="14.25" customHeight="true">
      <c r="A350" s="60" t="s">
        <v>31823</v>
      </c>
      <c r="B350" s="61">
        <v>0</v>
      </c>
      <c r="C350" s="61">
        <v>0</v>
      </c>
    </row>
    <row r="351" spans="1:3" ht="14.25" customHeight="true">
      <c r="A351" s="60" t="s">
        <v>31824</v>
      </c>
      <c r="B351" s="61">
        <v>0</v>
      </c>
      <c r="C351" s="61">
        <v>0</v>
      </c>
    </row>
    <row r="352" spans="1:3" ht="14.25" customHeight="true">
      <c r="A352" s="60" t="s">
        <v>31825</v>
      </c>
      <c r="B352" s="61">
        <v>0</v>
      </c>
      <c r="C352" s="61">
        <v>-455000</v>
      </c>
    </row>
    <row r="353" spans="1:3" ht="14.25" customHeight="true">
      <c r="A353" s="60" t="s">
        <v>31826</v>
      </c>
      <c r="B353" s="61">
        <v>0</v>
      </c>
      <c r="C353" s="61">
        <v>0</v>
      </c>
    </row>
    <row r="354" spans="1:3" ht="14.25" customHeight="true">
      <c r="A354" s="60" t="s">
        <v>31827</v>
      </c>
      <c r="B354" s="61">
        <v>0</v>
      </c>
      <c r="C354" s="61">
        <v>0</v>
      </c>
    </row>
    <row r="355" spans="1:3" ht="14.25" customHeight="true">
      <c r="A355" s="60" t="s">
        <v>31828</v>
      </c>
      <c r="B355" s="61">
        <v>0</v>
      </c>
      <c r="C355" s="61">
        <v>0</v>
      </c>
    </row>
    <row r="356" spans="1:3" ht="14.25" customHeight="true">
      <c r="A356" s="60" t="s">
        <v>31829</v>
      </c>
      <c r="B356" s="61">
        <v>0</v>
      </c>
      <c r="C356" s="61">
        <v>0</v>
      </c>
    </row>
    <row r="357" spans="1:3" ht="14.25" customHeight="true">
      <c r="A357" s="60" t="s">
        <v>31830</v>
      </c>
      <c r="B357" s="61">
        <v>0</v>
      </c>
      <c r="C357" s="61">
        <v>0</v>
      </c>
    </row>
    <row r="358" spans="1:3" ht="14.25" customHeight="true">
      <c r="A358" s="60" t="s">
        <v>31831</v>
      </c>
      <c r="B358" s="61">
        <v>0</v>
      </c>
      <c r="C358" s="61">
        <v>0</v>
      </c>
    </row>
    <row r="359" spans="1:3" ht="14.25" customHeight="true">
      <c r="A359" s="60" t="s">
        <v>31832</v>
      </c>
      <c r="B359" s="61">
        <v>0</v>
      </c>
      <c r="C359" s="61">
        <v>0</v>
      </c>
    </row>
    <row r="360" spans="1:3" ht="14.25" customHeight="true">
      <c r="A360" s="60" t="s">
        <v>31833</v>
      </c>
      <c r="B360" s="61">
        <v>0</v>
      </c>
      <c r="C360" s="61">
        <v>0</v>
      </c>
    </row>
    <row r="361" spans="1:3" ht="14.25" customHeight="true">
      <c r="A361" s="60" t="s">
        <v>31834</v>
      </c>
      <c r="B361" s="61">
        <v>0</v>
      </c>
      <c r="C361" s="61">
        <v>0</v>
      </c>
    </row>
    <row r="362" spans="1:3" ht="14.25" customHeight="true">
      <c r="A362" s="60" t="s">
        <v>31835</v>
      </c>
      <c r="B362" s="61">
        <v>0</v>
      </c>
      <c r="C362" s="61">
        <v>0</v>
      </c>
    </row>
    <row r="363" spans="1:3" ht="14.25" customHeight="true">
      <c r="A363" s="60" t="s">
        <v>31836</v>
      </c>
      <c r="B363" s="61">
        <v>0</v>
      </c>
      <c r="C363" s="61">
        <v>0</v>
      </c>
    </row>
    <row r="364" spans="1:3" ht="14.25" customHeight="true">
      <c r="A364" s="60" t="s">
        <v>31837</v>
      </c>
      <c r="B364" s="61">
        <v>0</v>
      </c>
      <c r="C364" s="61">
        <v>0</v>
      </c>
    </row>
    <row r="365" spans="1:3" ht="14.25" customHeight="true">
      <c r="A365" s="60" t="s">
        <v>31838</v>
      </c>
      <c r="B365" s="61">
        <v>0</v>
      </c>
      <c r="C365" s="61">
        <v>0</v>
      </c>
    </row>
    <row r="366" spans="1:3" ht="14.25" customHeight="true">
      <c r="A366" s="60" t="s">
        <v>31839</v>
      </c>
      <c r="B366" s="61">
        <v>0</v>
      </c>
      <c r="C366" s="61">
        <v>0</v>
      </c>
    </row>
    <row r="367" spans="1:3" ht="14.25" customHeight="true">
      <c r="A367" s="60" t="s">
        <v>31840</v>
      </c>
      <c r="B367" s="61">
        <v>0</v>
      </c>
      <c r="C367" s="61">
        <v>0</v>
      </c>
    </row>
    <row r="368" spans="1:3" ht="14.25" customHeight="true">
      <c r="A368" s="60" t="s">
        <v>31841</v>
      </c>
      <c r="B368" s="61">
        <v>0</v>
      </c>
      <c r="C368" s="61">
        <v>0</v>
      </c>
    </row>
    <row r="369" spans="1:3" ht="14.25" customHeight="true">
      <c r="A369" s="60" t="s">
        <v>31842</v>
      </c>
      <c r="B369" s="61">
        <v>0</v>
      </c>
      <c r="C369" s="61">
        <v>0</v>
      </c>
    </row>
    <row r="370" spans="1:3" ht="14.25" customHeight="true">
      <c r="A370" s="60" t="s">
        <v>31843</v>
      </c>
      <c r="B370" s="61">
        <v>0</v>
      </c>
      <c r="C370" s="61">
        <v>0</v>
      </c>
    </row>
    <row r="371" spans="1:3" ht="14.25" customHeight="true">
      <c r="A371" s="60" t="s">
        <v>31844</v>
      </c>
      <c r="B371" s="61">
        <v>0</v>
      </c>
      <c r="C371" s="61">
        <v>0</v>
      </c>
    </row>
    <row r="372" spans="1:3" ht="14.25" customHeight="true">
      <c r="A372" s="60" t="s">
        <v>31845</v>
      </c>
      <c r="B372" s="61">
        <v>0</v>
      </c>
      <c r="C372" s="61">
        <v>0</v>
      </c>
    </row>
    <row r="373" spans="1:3" ht="14.25" customHeight="true">
      <c r="A373" s="60" t="s">
        <v>31846</v>
      </c>
      <c r="B373" s="61">
        <v>0</v>
      </c>
      <c r="C373" s="61">
        <v>0</v>
      </c>
    </row>
    <row r="374" spans="1:3" ht="14.25" customHeight="true">
      <c r="A374" s="60" t="s">
        <v>31847</v>
      </c>
      <c r="B374" s="61">
        <v>0</v>
      </c>
      <c r="C374" s="61">
        <v>0</v>
      </c>
    </row>
    <row r="375" spans="1:3" ht="14.25" customHeight="true">
      <c r="A375" s="60" t="s">
        <v>31848</v>
      </c>
      <c r="B375" s="61">
        <v>0</v>
      </c>
      <c r="C375" s="61">
        <v>0</v>
      </c>
    </row>
    <row r="376" spans="1:3" ht="14.25" customHeight="true">
      <c r="A376" s="60" t="s">
        <v>31849</v>
      </c>
      <c r="B376" s="61">
        <v>0</v>
      </c>
      <c r="C376" s="61">
        <v>0</v>
      </c>
    </row>
    <row r="377" spans="1:3" ht="14.25" customHeight="true">
      <c r="A377" s="60" t="s">
        <v>31850</v>
      </c>
      <c r="B377" s="61">
        <v>0</v>
      </c>
      <c r="C377" s="61">
        <v>0</v>
      </c>
    </row>
    <row r="378" spans="1:3" ht="14.25" customHeight="true">
      <c r="A378" s="60" t="s">
        <v>31851</v>
      </c>
      <c r="B378" s="61">
        <v>0</v>
      </c>
      <c r="C378" s="61">
        <v>0</v>
      </c>
    </row>
    <row r="379" spans="1:3" ht="14.25" customHeight="true">
      <c r="A379" s="60" t="s">
        <v>31852</v>
      </c>
      <c r="B379" s="61">
        <v>0</v>
      </c>
      <c r="C379" s="61">
        <v>0</v>
      </c>
    </row>
    <row r="380" spans="1:3" ht="14.25" customHeight="true">
      <c r="A380" s="60" t="s">
        <v>31853</v>
      </c>
      <c r="B380" s="61">
        <v>0</v>
      </c>
      <c r="C380" s="61">
        <v>0</v>
      </c>
    </row>
    <row r="381" spans="1:3" ht="14.25" customHeight="true">
      <c r="A381" s="60" t="s">
        <v>31854</v>
      </c>
      <c r="B381" s="61">
        <v>0</v>
      </c>
      <c r="C381" s="61">
        <v>0</v>
      </c>
    </row>
    <row r="382" spans="1:3" ht="14.25" customHeight="true">
      <c r="A382" s="60" t="s">
        <v>31855</v>
      </c>
      <c r="B382" s="61">
        <v>0</v>
      </c>
      <c r="C382" s="61">
        <v>0</v>
      </c>
    </row>
    <row r="383" spans="1:3" ht="14.25" customHeight="true">
      <c r="A383" s="60" t="s">
        <v>31856</v>
      </c>
      <c r="B383" s="61">
        <v>0</v>
      </c>
      <c r="C383" s="61">
        <v>0</v>
      </c>
    </row>
    <row r="384" spans="1:3" ht="14.25" customHeight="true">
      <c r="A384" s="60" t="s">
        <v>31857</v>
      </c>
      <c r="B384" s="61">
        <v>0</v>
      </c>
      <c r="C384" s="61">
        <v>0</v>
      </c>
    </row>
    <row r="385" spans="1:3" ht="14.25" customHeight="true">
      <c r="A385" s="60" t="s">
        <v>31858</v>
      </c>
      <c r="B385" s="61">
        <v>0</v>
      </c>
      <c r="C385" s="61">
        <v>0</v>
      </c>
    </row>
    <row r="386" spans="1:3" ht="14.25" customHeight="true">
      <c r="A386" s="60" t="s">
        <v>31859</v>
      </c>
      <c r="B386" s="61">
        <v>0</v>
      </c>
      <c r="C386" s="61">
        <v>0</v>
      </c>
    </row>
    <row r="387" spans="1:3" ht="14.25" customHeight="true">
      <c r="A387" s="60" t="s">
        <v>31860</v>
      </c>
      <c r="B387" s="61">
        <v>-45000</v>
      </c>
      <c r="C387" s="61">
        <v>-100000</v>
      </c>
    </row>
    <row r="388" spans="1:3" ht="14.25" customHeight="true">
      <c r="A388" s="60" t="s">
        <v>31861</v>
      </c>
      <c r="B388" s="61">
        <v>0</v>
      </c>
      <c r="C388" s="61">
        <v>0</v>
      </c>
    </row>
    <row r="389" spans="1:3" ht="14.25" customHeight="true">
      <c r="A389" s="60" t="s">
        <v>31862</v>
      </c>
      <c r="B389" s="61">
        <v>0</v>
      </c>
      <c r="C389" s="61">
        <v>0</v>
      </c>
    </row>
    <row r="390" spans="1:3" ht="14.25" customHeight="true">
      <c r="A390" s="60" t="s">
        <v>31863</v>
      </c>
      <c r="B390" s="61">
        <v>0</v>
      </c>
      <c r="C390" s="61">
        <v>0</v>
      </c>
    </row>
    <row r="391" spans="1:3" ht="14.25" customHeight="true">
      <c r="A391" s="60" t="s">
        <v>31864</v>
      </c>
      <c r="B391" s="61">
        <v>0</v>
      </c>
      <c r="C391" s="61">
        <v>0</v>
      </c>
    </row>
    <row r="392" spans="1:3" ht="14.25" customHeight="true">
      <c r="A392" s="60" t="s">
        <v>31865</v>
      </c>
      <c r="B392" s="61">
        <v>0</v>
      </c>
      <c r="C392" s="61">
        <v>0</v>
      </c>
    </row>
    <row r="393" spans="1:3" ht="14.25" customHeight="true">
      <c r="A393" s="60" t="s">
        <v>31866</v>
      </c>
      <c r="B393" s="61">
        <v>0</v>
      </c>
      <c r="C393" s="61">
        <v>0</v>
      </c>
    </row>
    <row r="394" spans="1:3" ht="14.25" customHeight="true">
      <c r="A394" s="60" t="s">
        <v>31867</v>
      </c>
      <c r="B394" s="61">
        <v>0</v>
      </c>
      <c r="C394" s="61">
        <v>0</v>
      </c>
    </row>
    <row r="395" spans="1:3" ht="14.25" customHeight="true">
      <c r="A395" s="60" t="s">
        <v>31868</v>
      </c>
      <c r="B395" s="61">
        <v>0</v>
      </c>
      <c r="C395" s="61">
        <v>0</v>
      </c>
    </row>
    <row r="396" spans="1:3" ht="14.25" customHeight="true">
      <c r="A396" s="60" t="s">
        <v>31869</v>
      </c>
      <c r="B396" s="61">
        <v>0</v>
      </c>
      <c r="C396" s="61">
        <v>0</v>
      </c>
    </row>
    <row r="397" spans="1:3" ht="14.25" customHeight="true">
      <c r="A397" s="60" t="s">
        <v>31870</v>
      </c>
      <c r="B397" s="61">
        <v>0</v>
      </c>
      <c r="C397" s="61">
        <v>0</v>
      </c>
    </row>
    <row r="398" spans="1:3" ht="14.25" customHeight="true">
      <c r="A398" s="60" t="s">
        <v>31871</v>
      </c>
      <c r="B398" s="61">
        <v>0</v>
      </c>
      <c r="C398" s="61">
        <v>0</v>
      </c>
    </row>
    <row r="399" spans="1:3" ht="14.25" customHeight="true">
      <c r="A399" s="60" t="s">
        <v>31872</v>
      </c>
      <c r="B399" s="61">
        <v>0</v>
      </c>
      <c r="C399" s="61">
        <v>0</v>
      </c>
    </row>
    <row r="400" spans="1:3" ht="14.25" customHeight="true">
      <c r="A400" s="60" t="s">
        <v>31873</v>
      </c>
      <c r="B400" s="61">
        <v>0</v>
      </c>
      <c r="C400" s="61">
        <v>0</v>
      </c>
    </row>
    <row r="401" spans="1:3" ht="14.25" customHeight="true">
      <c r="A401" s="60" t="s">
        <v>31874</v>
      </c>
      <c r="B401" s="61">
        <v>0</v>
      </c>
      <c r="C401" s="61">
        <v>0</v>
      </c>
    </row>
    <row r="402" spans="1:3" ht="14.25" customHeight="true">
      <c r="A402" s="60" t="s">
        <v>31875</v>
      </c>
      <c r="B402" s="61">
        <v>0</v>
      </c>
      <c r="C402" s="61">
        <v>0</v>
      </c>
    </row>
    <row r="403" spans="1:3" ht="14.25" customHeight="true">
      <c r="A403" s="60" t="s">
        <v>31876</v>
      </c>
      <c r="B403" s="61">
        <v>0</v>
      </c>
      <c r="C403" s="61">
        <v>0</v>
      </c>
    </row>
    <row r="404" spans="1:3" ht="14.25" customHeight="true">
      <c r="A404" s="60" t="s">
        <v>31877</v>
      </c>
      <c r="B404" s="61">
        <v>0</v>
      </c>
      <c r="C404" s="61">
        <v>0</v>
      </c>
    </row>
    <row r="405" spans="1:3" ht="14.25" customHeight="true">
      <c r="A405" s="60" t="s">
        <v>31878</v>
      </c>
      <c r="B405" s="61">
        <v>0</v>
      </c>
      <c r="C405" s="61">
        <v>0</v>
      </c>
    </row>
    <row r="406" spans="1:3" ht="14.25" customHeight="true">
      <c r="A406" s="60" t="s">
        <v>31879</v>
      </c>
      <c r="B406" s="61">
        <v>0</v>
      </c>
      <c r="C406" s="61">
        <v>0</v>
      </c>
    </row>
    <row r="407" spans="1:3" ht="14.25" customHeight="true">
      <c r="A407" s="60" t="s">
        <v>31880</v>
      </c>
      <c r="B407" s="61">
        <v>0</v>
      </c>
      <c r="C407" s="61">
        <v>0</v>
      </c>
    </row>
    <row r="408" spans="1:3" ht="14.25" customHeight="true">
      <c r="A408" s="60" t="s">
        <v>31881</v>
      </c>
      <c r="B408" s="61">
        <v>0</v>
      </c>
      <c r="C408" s="61">
        <v>0</v>
      </c>
    </row>
    <row r="409" spans="1:3" ht="14.25" customHeight="true">
      <c r="A409" s="60" t="s">
        <v>31882</v>
      </c>
      <c r="B409" s="61">
        <v>0</v>
      </c>
      <c r="C409" s="61">
        <v>0</v>
      </c>
    </row>
    <row r="410" spans="1:3" ht="14.25" customHeight="true">
      <c r="A410" s="60" t="s">
        <v>31883</v>
      </c>
      <c r="B410" s="61">
        <v>0</v>
      </c>
      <c r="C410" s="61">
        <v>0</v>
      </c>
    </row>
    <row r="411" spans="1:3" ht="14.25" customHeight="true">
      <c r="A411" s="60" t="s">
        <v>31884</v>
      </c>
      <c r="B411" s="61">
        <v>0</v>
      </c>
      <c r="C411" s="61">
        <v>0</v>
      </c>
    </row>
    <row r="412" spans="1:3" ht="14.25" customHeight="true">
      <c r="A412" s="60" t="s">
        <v>31885</v>
      </c>
      <c r="B412" s="61">
        <v>0</v>
      </c>
      <c r="C412" s="61">
        <v>0</v>
      </c>
    </row>
    <row r="413" spans="1:3" ht="14.25" customHeight="true">
      <c r="A413" s="60" t="s">
        <v>31886</v>
      </c>
      <c r="B413" s="61">
        <v>0</v>
      </c>
      <c r="C413" s="61">
        <v>0</v>
      </c>
    </row>
    <row r="414" spans="1:3" ht="14.25" customHeight="true">
      <c r="A414" s="60" t="s">
        <v>31887</v>
      </c>
      <c r="B414" s="61">
        <v>0</v>
      </c>
      <c r="C414" s="61">
        <v>0</v>
      </c>
    </row>
    <row r="415" spans="1:3" ht="14.25" customHeight="true">
      <c r="A415" s="60" t="s">
        <v>31888</v>
      </c>
      <c r="B415" s="61">
        <v>0</v>
      </c>
      <c r="C415" s="61">
        <v>0</v>
      </c>
    </row>
    <row r="416" spans="1:3" ht="14.25" customHeight="true">
      <c r="A416" s="60" t="s">
        <v>31889</v>
      </c>
      <c r="B416" s="61">
        <v>0</v>
      </c>
      <c r="C416" s="61">
        <v>0</v>
      </c>
    </row>
    <row r="417" spans="1:3" ht="14.25" customHeight="true">
      <c r="A417" s="60" t="s">
        <v>31890</v>
      </c>
      <c r="B417" s="61">
        <v>0</v>
      </c>
      <c r="C417" s="61">
        <v>0</v>
      </c>
    </row>
    <row r="418" spans="1:3" ht="14.25" customHeight="true">
      <c r="A418" s="60" t="s">
        <v>31891</v>
      </c>
      <c r="B418" s="61">
        <v>0</v>
      </c>
      <c r="C418" s="61">
        <v>0</v>
      </c>
    </row>
    <row r="419" spans="1:3" ht="14.25" customHeight="true">
      <c r="A419" s="60" t="s">
        <v>31892</v>
      </c>
      <c r="B419" s="61">
        <v>0</v>
      </c>
      <c r="C419" s="61">
        <v>0</v>
      </c>
    </row>
    <row r="420" spans="1:3" ht="14.25" customHeight="true">
      <c r="A420" s="60" t="s">
        <v>31893</v>
      </c>
      <c r="B420" s="61">
        <v>0</v>
      </c>
      <c r="C420" s="61">
        <v>0</v>
      </c>
    </row>
    <row r="421" spans="1:3" ht="14.25" customHeight="true">
      <c r="A421" s="60" t="s">
        <v>31894</v>
      </c>
      <c r="B421" s="61">
        <v>0</v>
      </c>
      <c r="C421" s="61">
        <v>0</v>
      </c>
    </row>
    <row r="422" spans="1:3" ht="14.25" customHeight="true">
      <c r="A422" s="60" t="s">
        <v>31895</v>
      </c>
      <c r="B422" s="61">
        <v>0</v>
      </c>
      <c r="C422" s="61">
        <v>0</v>
      </c>
    </row>
    <row r="423" spans="1:3" ht="14.25" customHeight="true">
      <c r="A423" s="60" t="s">
        <v>31896</v>
      </c>
      <c r="B423" s="61">
        <v>0</v>
      </c>
      <c r="C423" s="61">
        <v>0</v>
      </c>
    </row>
    <row r="424" spans="1:3" ht="14.25" customHeight="true">
      <c r="A424" s="60" t="s">
        <v>31897</v>
      </c>
      <c r="B424" s="61">
        <v>0</v>
      </c>
      <c r="C424" s="61">
        <v>0</v>
      </c>
    </row>
    <row r="425" spans="1:3" ht="14.25" customHeight="true">
      <c r="A425" s="60" t="s">
        <v>31898</v>
      </c>
      <c r="B425" s="61">
        <v>0</v>
      </c>
      <c r="C425" s="61">
        <v>0</v>
      </c>
    </row>
    <row r="426" spans="1:3" ht="14.25" customHeight="true">
      <c r="A426" s="60" t="s">
        <v>31899</v>
      </c>
      <c r="B426" s="61">
        <v>0</v>
      </c>
      <c r="C426" s="61">
        <v>0</v>
      </c>
    </row>
    <row r="427" spans="1:3" ht="14.25" customHeight="true">
      <c r="A427" s="60" t="s">
        <v>31900</v>
      </c>
      <c r="B427" s="61">
        <v>0</v>
      </c>
      <c r="C427" s="61">
        <v>0</v>
      </c>
    </row>
    <row r="428" spans="1:3" ht="14.25" customHeight="true">
      <c r="A428" s="60" t="s">
        <v>31901</v>
      </c>
      <c r="B428" s="61">
        <v>0</v>
      </c>
      <c r="C428" s="61">
        <v>0</v>
      </c>
    </row>
    <row r="429" spans="1:3" ht="14.25" customHeight="true">
      <c r="A429" s="60" t="s">
        <v>31902</v>
      </c>
      <c r="B429" s="61">
        <v>0</v>
      </c>
      <c r="C429" s="61">
        <v>0</v>
      </c>
    </row>
    <row r="430" spans="1:3" ht="14.25" customHeight="true">
      <c r="A430" s="60" t="s">
        <v>31903</v>
      </c>
      <c r="B430" s="61">
        <v>0</v>
      </c>
      <c r="C430" s="61">
        <v>0</v>
      </c>
    </row>
    <row r="431" spans="1:3" ht="14.25" customHeight="true">
      <c r="A431" s="60" t="s">
        <v>31904</v>
      </c>
      <c r="B431" s="61">
        <v>0</v>
      </c>
      <c r="C431" s="61">
        <v>0</v>
      </c>
    </row>
    <row r="432" spans="1:3" ht="14.25" customHeight="true">
      <c r="A432" s="60" t="s">
        <v>31905</v>
      </c>
      <c r="B432" s="61">
        <v>0</v>
      </c>
      <c r="C432" s="61">
        <v>0</v>
      </c>
    </row>
    <row r="433" spans="1:3" ht="14.25" customHeight="true">
      <c r="A433" s="60" t="s">
        <v>31906</v>
      </c>
      <c r="B433" s="61">
        <v>0</v>
      </c>
      <c r="C433" s="61">
        <v>0</v>
      </c>
    </row>
    <row r="434" spans="1:3" ht="14.25" customHeight="true">
      <c r="A434" s="60" t="s">
        <v>31907</v>
      </c>
      <c r="B434" s="61">
        <v>0</v>
      </c>
      <c r="C434" s="61">
        <v>0</v>
      </c>
    </row>
    <row r="435" spans="1:3" ht="14.25" customHeight="true">
      <c r="A435" s="60" t="s">
        <v>31908</v>
      </c>
      <c r="B435" s="61">
        <v>0</v>
      </c>
      <c r="C435" s="61">
        <v>0</v>
      </c>
    </row>
    <row r="436" spans="1:3" ht="14.25" customHeight="true">
      <c r="A436" s="60" t="s">
        <v>31909</v>
      </c>
      <c r="B436" s="61">
        <v>0</v>
      </c>
      <c r="C436" s="61">
        <v>0</v>
      </c>
    </row>
    <row r="437" spans="1:3" ht="14.25" customHeight="true">
      <c r="A437" s="60" t="s">
        <v>31910</v>
      </c>
      <c r="B437" s="61">
        <v>0</v>
      </c>
      <c r="C437" s="61">
        <v>0</v>
      </c>
    </row>
    <row r="438" spans="1:3" ht="14.25" customHeight="true">
      <c r="A438" s="60" t="s">
        <v>31911</v>
      </c>
      <c r="B438" s="61">
        <v>0</v>
      </c>
      <c r="C438" s="61">
        <v>0</v>
      </c>
    </row>
    <row r="439" spans="1:3" ht="14.25" customHeight="true">
      <c r="A439" s="60" t="s">
        <v>31912</v>
      </c>
      <c r="B439" s="61">
        <v>0</v>
      </c>
      <c r="C439" s="61">
        <v>0</v>
      </c>
    </row>
    <row r="440" spans="1:3" ht="14.25" customHeight="true">
      <c r="A440" s="60" t="s">
        <v>31913</v>
      </c>
      <c r="B440" s="61">
        <v>0</v>
      </c>
      <c r="C440" s="61">
        <v>0</v>
      </c>
    </row>
    <row r="441" spans="1:3" ht="14.25" customHeight="true">
      <c r="A441" s="60" t="s">
        <v>31914</v>
      </c>
      <c r="B441" s="61">
        <v>0</v>
      </c>
      <c r="C441" s="61">
        <v>0</v>
      </c>
    </row>
    <row r="442" spans="1:3" ht="14.25" customHeight="true">
      <c r="A442" s="60" t="s">
        <v>31915</v>
      </c>
      <c r="B442" s="61">
        <v>0</v>
      </c>
      <c r="C442" s="61">
        <v>0</v>
      </c>
    </row>
    <row r="443" spans="1:3" ht="14.25" customHeight="true">
      <c r="A443" s="60" t="s">
        <v>31916</v>
      </c>
      <c r="B443" s="61">
        <v>0</v>
      </c>
      <c r="C443" s="61">
        <v>0</v>
      </c>
    </row>
    <row r="444" spans="1:3" ht="14.25" customHeight="true">
      <c r="A444" s="60" t="s">
        <v>31917</v>
      </c>
      <c r="B444" s="61">
        <v>0</v>
      </c>
      <c r="C444" s="61">
        <v>0</v>
      </c>
    </row>
    <row r="445" spans="1:3" ht="14.25" customHeight="true">
      <c r="A445" s="60" t="s">
        <v>31918</v>
      </c>
      <c r="B445" s="61">
        <v>0</v>
      </c>
      <c r="C445" s="61">
        <v>0</v>
      </c>
    </row>
    <row r="446" spans="1:3" ht="14.25" customHeight="true">
      <c r="A446" s="60" t="s">
        <v>31919</v>
      </c>
      <c r="B446" s="61">
        <v>0</v>
      </c>
      <c r="C446" s="61">
        <v>0</v>
      </c>
    </row>
    <row r="447" spans="1:3" ht="14.25" customHeight="true">
      <c r="A447" s="60" t="s">
        <v>31920</v>
      </c>
      <c r="B447" s="61">
        <v>0</v>
      </c>
      <c r="C447" s="61">
        <v>0</v>
      </c>
    </row>
    <row r="448" spans="1:3" ht="14.25" customHeight="true">
      <c r="A448" s="60" t="s">
        <v>31921</v>
      </c>
      <c r="B448" s="61">
        <v>0</v>
      </c>
      <c r="C448" s="61">
        <v>0</v>
      </c>
    </row>
    <row r="449" spans="1:3" ht="14.25" customHeight="true">
      <c r="A449" s="60" t="s">
        <v>31922</v>
      </c>
      <c r="B449" s="61">
        <v>0</v>
      </c>
      <c r="C449" s="61">
        <v>0</v>
      </c>
    </row>
    <row r="450" spans="1:3" ht="14.25" customHeight="true">
      <c r="A450" s="60" t="s">
        <v>31923</v>
      </c>
      <c r="B450" s="61">
        <v>0</v>
      </c>
      <c r="C450" s="61">
        <v>0</v>
      </c>
    </row>
    <row r="451" spans="1:3" ht="14.25" customHeight="true">
      <c r="A451" s="60" t="s">
        <v>31924</v>
      </c>
      <c r="B451" s="61">
        <v>0</v>
      </c>
      <c r="C451" s="61">
        <v>0</v>
      </c>
    </row>
    <row r="452" spans="1:3" ht="14.25" customHeight="true">
      <c r="A452" s="60" t="s">
        <v>31925</v>
      </c>
      <c r="B452" s="61">
        <v>0</v>
      </c>
      <c r="C452" s="61">
        <v>0</v>
      </c>
    </row>
    <row r="453" spans="1:3" ht="14.25" customHeight="true">
      <c r="A453" s="60" t="s">
        <v>31926</v>
      </c>
      <c r="B453" s="61">
        <v>0</v>
      </c>
      <c r="C453" s="61">
        <v>0</v>
      </c>
    </row>
    <row r="454" spans="1:3" ht="14.25" customHeight="true">
      <c r="A454" s="60" t="s">
        <v>31927</v>
      </c>
      <c r="B454" s="61">
        <v>0</v>
      </c>
      <c r="C454" s="61">
        <v>0</v>
      </c>
    </row>
    <row r="455" spans="1:3" ht="14.25" customHeight="true">
      <c r="A455" s="60" t="s">
        <v>31928</v>
      </c>
      <c r="B455" s="61">
        <v>0</v>
      </c>
      <c r="C455" s="61">
        <v>0</v>
      </c>
    </row>
    <row r="456" spans="1:3" ht="14.25" customHeight="true">
      <c r="A456" s="60" t="s">
        <v>31929</v>
      </c>
      <c r="B456" s="61">
        <v>0</v>
      </c>
      <c r="C456" s="61">
        <v>0</v>
      </c>
    </row>
    <row r="457" spans="1:3" ht="14.25" customHeight="true">
      <c r="A457" s="60" t="s">
        <v>31930</v>
      </c>
      <c r="B457" s="61">
        <v>-5000</v>
      </c>
      <c r="C457" s="61">
        <v>-10000</v>
      </c>
    </row>
    <row r="458" spans="1:3" ht="14.25" customHeight="true">
      <c r="A458" s="60" t="s">
        <v>31931</v>
      </c>
      <c r="B458" s="61">
        <v>0</v>
      </c>
      <c r="C458" s="61">
        <v>0</v>
      </c>
    </row>
    <row r="459" spans="1:3" ht="14.25" customHeight="true">
      <c r="A459" s="60" t="s">
        <v>31932</v>
      </c>
      <c r="B459" s="61">
        <v>0</v>
      </c>
      <c r="C459" s="61">
        <v>0</v>
      </c>
    </row>
    <row r="460" spans="1:3" ht="14.25" customHeight="true">
      <c r="A460" s="60" t="s">
        <v>31933</v>
      </c>
      <c r="B460" s="61">
        <v>0</v>
      </c>
      <c r="C460" s="61">
        <v>0</v>
      </c>
    </row>
    <row r="461" spans="1:3" ht="14.25" customHeight="true">
      <c r="A461" s="60" t="s">
        <v>31934</v>
      </c>
      <c r="B461" s="61">
        <v>0</v>
      </c>
      <c r="C461" s="61">
        <v>0</v>
      </c>
    </row>
    <row r="462" spans="1:3" ht="14.25" customHeight="true">
      <c r="A462" s="60" t="s">
        <v>31935</v>
      </c>
      <c r="B462" s="61">
        <v>0</v>
      </c>
      <c r="C462" s="61">
        <v>0</v>
      </c>
    </row>
    <row r="463" spans="1:3" ht="14.25" customHeight="true">
      <c r="A463" s="60" t="s">
        <v>31936</v>
      </c>
      <c r="B463" s="61">
        <v>0</v>
      </c>
      <c r="C463" s="61">
        <v>0</v>
      </c>
    </row>
    <row r="464" spans="1:3" ht="14.25" customHeight="true">
      <c r="A464" s="60" t="s">
        <v>31937</v>
      </c>
      <c r="B464" s="61">
        <v>0</v>
      </c>
      <c r="C464" s="61">
        <v>0</v>
      </c>
    </row>
    <row r="465" spans="1:3" ht="14.25" customHeight="true">
      <c r="A465" s="60" t="s">
        <v>31938</v>
      </c>
      <c r="B465" s="61">
        <v>0</v>
      </c>
      <c r="C465" s="61">
        <v>0</v>
      </c>
    </row>
    <row r="466" spans="1:3" ht="14.25" customHeight="true">
      <c r="A466" s="60" t="s">
        <v>31939</v>
      </c>
      <c r="B466" s="61">
        <v>0</v>
      </c>
      <c r="C466" s="61">
        <v>0</v>
      </c>
    </row>
    <row r="467" spans="1:3" ht="14.25" customHeight="true">
      <c r="A467" s="60" t="s">
        <v>31940</v>
      </c>
      <c r="B467" s="61">
        <v>0</v>
      </c>
      <c r="C467" s="61">
        <v>0</v>
      </c>
    </row>
    <row r="468" spans="1:3" ht="14.25" customHeight="true">
      <c r="A468" s="60" t="s">
        <v>31941</v>
      </c>
      <c r="B468" s="61">
        <v>0</v>
      </c>
      <c r="C468" s="61">
        <v>0</v>
      </c>
    </row>
    <row r="469" spans="1:3" ht="14.25" customHeight="true">
      <c r="A469" s="60" t="s">
        <v>31942</v>
      </c>
      <c r="B469" s="61">
        <v>0</v>
      </c>
      <c r="C469" s="61">
        <v>0</v>
      </c>
    </row>
    <row r="470" spans="1:3" ht="14.25" customHeight="true">
      <c r="A470" s="60" t="s">
        <v>31943</v>
      </c>
      <c r="B470" s="61">
        <v>0</v>
      </c>
      <c r="C470" s="61">
        <v>0</v>
      </c>
    </row>
    <row r="471" spans="1:3" ht="14.25" customHeight="true">
      <c r="A471" s="60" t="s">
        <v>31944</v>
      </c>
      <c r="B471" s="61">
        <v>0</v>
      </c>
      <c r="C471" s="61">
        <v>0</v>
      </c>
    </row>
    <row r="472" spans="1:3" ht="14.25" customHeight="true">
      <c r="A472" s="60" t="s">
        <v>31945</v>
      </c>
      <c r="B472" s="61">
        <v>0</v>
      </c>
      <c r="C472" s="61">
        <v>0</v>
      </c>
    </row>
    <row r="473" spans="1:3" ht="14.25" customHeight="true">
      <c r="A473" s="60" t="s">
        <v>31946</v>
      </c>
      <c r="B473" s="61">
        <v>16000</v>
      </c>
      <c r="C473" s="61">
        <v>16000</v>
      </c>
    </row>
    <row r="474" spans="1:3" ht="14.25" customHeight="true">
      <c r="A474" s="60" t="s">
        <v>31947</v>
      </c>
      <c r="B474" s="61">
        <v>0</v>
      </c>
      <c r="C474" s="61">
        <v>0</v>
      </c>
    </row>
    <row r="475" spans="1:3" ht="14.25" customHeight="true">
      <c r="A475" s="60" t="s">
        <v>31948</v>
      </c>
      <c r="B475" s="61">
        <v>0</v>
      </c>
      <c r="C475" s="61">
        <v>0</v>
      </c>
    </row>
    <row r="476" spans="1:3" ht="14.25" customHeight="true">
      <c r="A476" s="60" t="s">
        <v>31949</v>
      </c>
      <c r="B476" s="61">
        <v>0</v>
      </c>
      <c r="C476" s="61">
        <v>0</v>
      </c>
    </row>
    <row r="477" spans="1:3" ht="14.25" customHeight="true">
      <c r="A477" s="60" t="s">
        <v>31950</v>
      </c>
      <c r="B477" s="61">
        <v>0</v>
      </c>
      <c r="C477" s="61">
        <v>0</v>
      </c>
    </row>
    <row r="478" spans="1:3" ht="14.25" customHeight="true">
      <c r="A478" s="60" t="s">
        <v>31951</v>
      </c>
      <c r="B478" s="61">
        <v>0</v>
      </c>
      <c r="C478" s="61">
        <v>0</v>
      </c>
    </row>
    <row r="479" spans="1:3" ht="14.25" customHeight="true">
      <c r="A479" s="60" t="s">
        <v>31952</v>
      </c>
      <c r="B479" s="61">
        <v>0</v>
      </c>
      <c r="C479" s="61">
        <v>0</v>
      </c>
    </row>
    <row r="480" spans="1:3" ht="14.25" customHeight="true">
      <c r="A480" s="60" t="s">
        <v>31953</v>
      </c>
      <c r="B480" s="61">
        <v>0</v>
      </c>
      <c r="C480" s="61">
        <v>0</v>
      </c>
    </row>
    <row r="481" spans="1:3" ht="14.25" customHeight="true">
      <c r="A481" s="60" t="s">
        <v>31954</v>
      </c>
      <c r="B481" s="61">
        <v>0</v>
      </c>
      <c r="C481" s="61">
        <v>0</v>
      </c>
    </row>
    <row r="482" spans="1:3" ht="14.25" customHeight="true">
      <c r="A482" s="60" t="s">
        <v>31955</v>
      </c>
      <c r="B482" s="61">
        <v>0</v>
      </c>
      <c r="C482" s="61">
        <v>0</v>
      </c>
    </row>
    <row r="483" spans="1:3" ht="14.25" customHeight="true">
      <c r="A483" s="60" t="s">
        <v>31956</v>
      </c>
      <c r="B483" s="61">
        <v>0</v>
      </c>
      <c r="C483" s="61">
        <v>0</v>
      </c>
    </row>
    <row r="484" spans="1:3" ht="14.25" customHeight="true">
      <c r="A484" s="60" t="s">
        <v>31957</v>
      </c>
      <c r="B484" s="61">
        <v>0</v>
      </c>
      <c r="C484" s="61">
        <v>0</v>
      </c>
    </row>
    <row r="485" spans="1:3" ht="14.25" customHeight="true">
      <c r="A485" s="60" t="s">
        <v>31958</v>
      </c>
      <c r="B485" s="61">
        <v>0</v>
      </c>
      <c r="C485" s="61">
        <v>0</v>
      </c>
    </row>
    <row r="486" spans="1:3" ht="14.25" customHeight="true">
      <c r="A486" s="60" t="s">
        <v>31959</v>
      </c>
      <c r="B486" s="61">
        <v>0</v>
      </c>
      <c r="C486" s="61">
        <v>0</v>
      </c>
    </row>
    <row r="487" spans="1:3" ht="14.25" customHeight="true">
      <c r="A487" s="60" t="s">
        <v>31960</v>
      </c>
      <c r="B487" s="61">
        <v>0</v>
      </c>
      <c r="C487" s="61">
        <v>0</v>
      </c>
    </row>
    <row r="488" spans="1:3" ht="14.25" customHeight="true">
      <c r="A488" s="60" t="s">
        <v>31961</v>
      </c>
      <c r="B488" s="61">
        <v>0</v>
      </c>
      <c r="C488" s="61">
        <v>0</v>
      </c>
    </row>
    <row r="489" spans="1:3" ht="14.25" customHeight="true">
      <c r="A489" s="60" t="s">
        <v>31962</v>
      </c>
      <c r="B489" s="61">
        <v>0</v>
      </c>
      <c r="C489" s="61">
        <v>0</v>
      </c>
    </row>
    <row r="490" spans="1:3" ht="14.25" customHeight="true">
      <c r="A490" s="60" t="s">
        <v>31963</v>
      </c>
      <c r="B490" s="61">
        <v>0</v>
      </c>
      <c r="C490" s="61">
        <v>0</v>
      </c>
    </row>
    <row r="491" spans="1:3" ht="14.25" customHeight="true">
      <c r="A491" s="60" t="s">
        <v>31964</v>
      </c>
      <c r="B491" s="61">
        <v>0</v>
      </c>
      <c r="C491" s="61">
        <v>0</v>
      </c>
    </row>
    <row r="492" spans="1:3" ht="14.25" customHeight="true">
      <c r="A492" s="60" t="s">
        <v>31965</v>
      </c>
      <c r="B492" s="61">
        <v>0</v>
      </c>
      <c r="C492" s="61">
        <v>0</v>
      </c>
    </row>
    <row r="493" spans="1:3" ht="14.25" customHeight="true">
      <c r="A493" s="60" t="s">
        <v>31966</v>
      </c>
      <c r="B493" s="61">
        <v>0</v>
      </c>
      <c r="C493" s="61">
        <v>0</v>
      </c>
    </row>
    <row r="494" spans="1:3" ht="14.25" customHeight="true">
      <c r="A494" s="60" t="s">
        <v>31967</v>
      </c>
      <c r="B494" s="61">
        <v>0</v>
      </c>
      <c r="C494" s="61">
        <v>0</v>
      </c>
    </row>
    <row r="495" spans="1:3" ht="14.25" customHeight="true">
      <c r="A495" s="60" t="s">
        <v>31968</v>
      </c>
      <c r="B495" s="61">
        <v>0</v>
      </c>
      <c r="C495" s="61">
        <v>0</v>
      </c>
    </row>
    <row r="496" spans="1:3" ht="14.25" customHeight="true">
      <c r="A496" s="60" t="s">
        <v>31969</v>
      </c>
      <c r="B496" s="61">
        <v>0</v>
      </c>
      <c r="C496" s="61">
        <v>0</v>
      </c>
    </row>
    <row r="497" spans="1:3" ht="14.25" customHeight="true">
      <c r="A497" s="60" t="s">
        <v>31970</v>
      </c>
      <c r="B497" s="61">
        <v>0</v>
      </c>
      <c r="C497" s="61">
        <v>0</v>
      </c>
    </row>
    <row r="498" spans="1:3" ht="14.25" customHeight="true">
      <c r="A498" s="60" t="s">
        <v>31971</v>
      </c>
      <c r="B498" s="61">
        <v>0</v>
      </c>
      <c r="C498" s="61">
        <v>0</v>
      </c>
    </row>
    <row r="499" spans="1:3" ht="14.25" customHeight="true">
      <c r="A499" s="60" t="s">
        <v>31972</v>
      </c>
      <c r="B499" s="61">
        <v>0</v>
      </c>
      <c r="C499" s="61">
        <v>0</v>
      </c>
    </row>
    <row r="500" spans="1:3" ht="14.25" customHeight="true">
      <c r="A500" s="60" t="s">
        <v>31973</v>
      </c>
      <c r="B500" s="61">
        <v>0</v>
      </c>
      <c r="C500" s="61">
        <v>0</v>
      </c>
    </row>
    <row r="501" spans="1:3" ht="14.25" customHeight="true">
      <c r="A501" s="60" t="s">
        <v>31974</v>
      </c>
      <c r="B501" s="61">
        <v>0</v>
      </c>
      <c r="C501" s="61">
        <v>0</v>
      </c>
    </row>
    <row r="502" spans="1:3" ht="14.25" customHeight="true">
      <c r="A502" s="60" t="s">
        <v>31975</v>
      </c>
      <c r="B502" s="61">
        <v>0</v>
      </c>
      <c r="C502" s="61">
        <v>0</v>
      </c>
    </row>
    <row r="503" spans="1:3" ht="14.25" customHeight="true">
      <c r="A503" s="60" t="s">
        <v>31976</v>
      </c>
      <c r="B503" s="61">
        <v>0</v>
      </c>
      <c r="C503" s="61">
        <v>0</v>
      </c>
    </row>
    <row r="504" spans="1:3" ht="14.25" customHeight="true">
      <c r="A504" s="60" t="s">
        <v>31977</v>
      </c>
      <c r="B504" s="61">
        <v>0</v>
      </c>
      <c r="C504" s="61">
        <v>0</v>
      </c>
    </row>
    <row r="505" spans="1:3" ht="14.25" customHeight="true">
      <c r="A505" s="60" t="s">
        <v>31978</v>
      </c>
      <c r="B505" s="61">
        <v>0</v>
      </c>
      <c r="C505" s="61">
        <v>0</v>
      </c>
    </row>
    <row r="506" spans="1:3" ht="14.25" customHeight="true">
      <c r="A506" s="60" t="s">
        <v>31979</v>
      </c>
      <c r="B506" s="61">
        <v>0</v>
      </c>
      <c r="C506" s="61">
        <v>0</v>
      </c>
    </row>
    <row r="507" spans="1:3" ht="14.25" customHeight="true">
      <c r="A507" s="60" t="s">
        <v>31980</v>
      </c>
      <c r="B507" s="61">
        <v>0</v>
      </c>
      <c r="C507" s="61">
        <v>0</v>
      </c>
    </row>
    <row r="508" spans="1:3" ht="14.25" customHeight="true">
      <c r="A508" s="60" t="s">
        <v>31981</v>
      </c>
      <c r="B508" s="61">
        <v>0</v>
      </c>
      <c r="C508" s="61">
        <v>0</v>
      </c>
    </row>
    <row r="509" spans="1:3" ht="14.25" customHeight="true">
      <c r="A509" s="60" t="s">
        <v>31982</v>
      </c>
      <c r="B509" s="61">
        <v>0</v>
      </c>
      <c r="C509" s="61">
        <v>0</v>
      </c>
    </row>
    <row r="510" spans="1:3" ht="14.25" customHeight="true">
      <c r="A510" s="60" t="s">
        <v>31983</v>
      </c>
      <c r="B510" s="61">
        <v>0</v>
      </c>
      <c r="C510" s="61">
        <v>0</v>
      </c>
    </row>
    <row r="511" spans="1:3" ht="14.25" customHeight="true">
      <c r="A511" s="60" t="s">
        <v>31984</v>
      </c>
      <c r="B511" s="61">
        <v>0</v>
      </c>
      <c r="C511" s="61">
        <v>0</v>
      </c>
    </row>
    <row r="512" spans="1:3" ht="14.25" customHeight="true">
      <c r="A512" s="60" t="s">
        <v>31985</v>
      </c>
      <c r="B512" s="61">
        <v>0</v>
      </c>
      <c r="C512" s="61">
        <v>0</v>
      </c>
    </row>
    <row r="513" spans="1:3" ht="14.25" customHeight="true">
      <c r="A513" s="60" t="s">
        <v>31986</v>
      </c>
      <c r="B513" s="61">
        <v>0</v>
      </c>
      <c r="C513" s="61">
        <v>0</v>
      </c>
    </row>
    <row r="514" spans="1:3" ht="14.25" customHeight="true">
      <c r="A514" s="60" t="s">
        <v>31987</v>
      </c>
      <c r="B514" s="61">
        <v>0</v>
      </c>
      <c r="C514" s="61">
        <v>0</v>
      </c>
    </row>
    <row r="515" spans="1:3" ht="14.25" customHeight="true">
      <c r="A515" s="60" t="s">
        <v>31988</v>
      </c>
      <c r="B515" s="61">
        <v>0</v>
      </c>
      <c r="C515" s="61">
        <v>0</v>
      </c>
    </row>
    <row r="516" spans="1:3" ht="14.25" customHeight="true">
      <c r="A516" s="60" t="s">
        <v>31989</v>
      </c>
      <c r="B516" s="61">
        <v>0</v>
      </c>
      <c r="C516" s="61">
        <v>0</v>
      </c>
    </row>
    <row r="517" spans="1:3" ht="14.25" customHeight="true">
      <c r="A517" s="60" t="s">
        <v>31990</v>
      </c>
      <c r="B517" s="61">
        <v>0</v>
      </c>
      <c r="C517" s="61">
        <v>0</v>
      </c>
    </row>
    <row r="518" spans="1:3" ht="14.25" customHeight="true">
      <c r="A518" s="60" t="s">
        <v>31991</v>
      </c>
      <c r="B518" s="61">
        <v>0</v>
      </c>
      <c r="C518" s="61">
        <v>0</v>
      </c>
    </row>
    <row r="519" spans="1:3" ht="14.25" customHeight="true">
      <c r="A519" s="60" t="s">
        <v>31992</v>
      </c>
      <c r="B519" s="61">
        <v>0</v>
      </c>
      <c r="C519" s="61">
        <v>0</v>
      </c>
    </row>
    <row r="520" spans="1:3" ht="14.25" customHeight="true">
      <c r="A520" s="60" t="s">
        <v>31993</v>
      </c>
      <c r="B520" s="61">
        <v>0</v>
      </c>
      <c r="C520" s="61">
        <v>20000</v>
      </c>
    </row>
    <row r="521" spans="1:3" ht="14.25" customHeight="true">
      <c r="A521" s="60" t="s">
        <v>31994</v>
      </c>
      <c r="B521" s="61">
        <v>0</v>
      </c>
      <c r="C521" s="61">
        <v>0</v>
      </c>
    </row>
    <row r="522" spans="1:3" ht="14.25" customHeight="true">
      <c r="A522" s="60" t="s">
        <v>31995</v>
      </c>
      <c r="B522" s="61">
        <v>0</v>
      </c>
      <c r="C522" s="61">
        <v>0</v>
      </c>
    </row>
    <row r="523" spans="1:3" ht="14.25" customHeight="true">
      <c r="A523" s="60" t="s">
        <v>31996</v>
      </c>
      <c r="B523" s="61">
        <v>0</v>
      </c>
      <c r="C523" s="61">
        <v>0</v>
      </c>
    </row>
    <row r="524" spans="1:3" ht="14.25" customHeight="true">
      <c r="A524" s="60" t="s">
        <v>31997</v>
      </c>
      <c r="B524" s="61">
        <v>0</v>
      </c>
      <c r="C524" s="61">
        <v>0</v>
      </c>
    </row>
    <row r="525" spans="1:3" ht="14.25" customHeight="true">
      <c r="A525" s="60" t="s">
        <v>31998</v>
      </c>
      <c r="B525" s="61">
        <v>0</v>
      </c>
      <c r="C525" s="61">
        <v>0</v>
      </c>
    </row>
    <row r="526" spans="1:3" ht="14.25" customHeight="true">
      <c r="A526" s="60" t="s">
        <v>31999</v>
      </c>
      <c r="B526" s="61">
        <v>0</v>
      </c>
      <c r="C526" s="61">
        <v>0</v>
      </c>
    </row>
    <row r="527" spans="1:3" ht="14.25" customHeight="true">
      <c r="A527" s="60" t="s">
        <v>32000</v>
      </c>
      <c r="B527" s="61">
        <v>0</v>
      </c>
      <c r="C527" s="61">
        <v>0</v>
      </c>
    </row>
    <row r="528" spans="1:3" ht="14.25" customHeight="true">
      <c r="A528" s="60" t="s">
        <v>32001</v>
      </c>
      <c r="B528" s="61">
        <v>0</v>
      </c>
      <c r="C528" s="61">
        <v>0</v>
      </c>
    </row>
    <row r="529" spans="1:3" ht="14.25" customHeight="true">
      <c r="A529" s="60" t="s">
        <v>32002</v>
      </c>
      <c r="B529" s="61">
        <v>0</v>
      </c>
      <c r="C529" s="61">
        <v>0</v>
      </c>
    </row>
    <row r="530" spans="1:3" ht="14.25" customHeight="true">
      <c r="A530" s="60" t="s">
        <v>32003</v>
      </c>
      <c r="B530" s="61">
        <v>0</v>
      </c>
      <c r="C530" s="61">
        <v>0</v>
      </c>
    </row>
    <row r="531" spans="1:3" ht="14.25" customHeight="true">
      <c r="A531" s="60" t="s">
        <v>32004</v>
      </c>
      <c r="B531" s="61">
        <v>0</v>
      </c>
      <c r="C531" s="61">
        <v>0</v>
      </c>
    </row>
    <row r="532" spans="1:3" ht="14.25" customHeight="true">
      <c r="A532" s="60" t="s">
        <v>32005</v>
      </c>
      <c r="B532" s="61">
        <v>0</v>
      </c>
      <c r="C532" s="61">
        <v>0</v>
      </c>
    </row>
    <row r="533" spans="1:3" ht="14.25" customHeight="true">
      <c r="A533" s="60" t="s">
        <v>32006</v>
      </c>
      <c r="B533" s="61">
        <v>0</v>
      </c>
      <c r="C533" s="61">
        <v>0</v>
      </c>
    </row>
    <row r="534" spans="1:3" ht="14.25" customHeight="true">
      <c r="A534" s="60" t="s">
        <v>32007</v>
      </c>
      <c r="B534" s="61">
        <v>0</v>
      </c>
      <c r="C534" s="61">
        <v>0</v>
      </c>
    </row>
    <row r="535" spans="1:3" ht="14.25" customHeight="true">
      <c r="A535" s="60" t="s">
        <v>32008</v>
      </c>
      <c r="B535" s="61">
        <v>0</v>
      </c>
      <c r="C535" s="61">
        <v>0</v>
      </c>
    </row>
    <row r="536" spans="1:3" ht="14.25" customHeight="true">
      <c r="A536" s="60" t="s">
        <v>32009</v>
      </c>
      <c r="B536" s="61">
        <v>0</v>
      </c>
      <c r="C536" s="61">
        <v>0</v>
      </c>
    </row>
    <row r="537" spans="1:3" ht="14.25" customHeight="true">
      <c r="A537" s="60" t="s">
        <v>32010</v>
      </c>
      <c r="B537" s="61">
        <v>0</v>
      </c>
      <c r="C537" s="61">
        <v>0</v>
      </c>
    </row>
    <row r="538" spans="1:3" ht="14.25" customHeight="true">
      <c r="A538" s="60" t="s">
        <v>32011</v>
      </c>
      <c r="B538" s="61">
        <v>0</v>
      </c>
      <c r="C538" s="61">
        <v>0</v>
      </c>
    </row>
    <row r="539" spans="1:3" ht="14.25" customHeight="true">
      <c r="A539" s="60" t="s">
        <v>32012</v>
      </c>
      <c r="B539" s="61">
        <v>0</v>
      </c>
      <c r="C539" s="61">
        <v>0</v>
      </c>
    </row>
    <row r="540" spans="1:3" ht="14.25" customHeight="true">
      <c r="A540" s="60" t="s">
        <v>32013</v>
      </c>
      <c r="B540" s="61">
        <v>0</v>
      </c>
      <c r="C540" s="61">
        <v>0</v>
      </c>
    </row>
    <row r="541" spans="1:3" ht="14.25" customHeight="true">
      <c r="A541" s="60" t="s">
        <v>32014</v>
      </c>
      <c r="B541" s="61">
        <v>0</v>
      </c>
      <c r="C541" s="61">
        <v>0</v>
      </c>
    </row>
    <row r="542" spans="1:3" ht="14.25" customHeight="true">
      <c r="A542" s="60" t="s">
        <v>32015</v>
      </c>
      <c r="B542" s="61">
        <v>0</v>
      </c>
      <c r="C542" s="61">
        <v>0</v>
      </c>
    </row>
    <row r="543" spans="1:3" ht="14.25" customHeight="true">
      <c r="A543" s="60" t="s">
        <v>32016</v>
      </c>
      <c r="B543" s="61">
        <v>0</v>
      </c>
      <c r="C543" s="61">
        <v>0</v>
      </c>
    </row>
    <row r="544" spans="1:3" ht="14.25" customHeight="true">
      <c r="A544" s="60" t="s">
        <v>32017</v>
      </c>
      <c r="B544" s="61">
        <v>0</v>
      </c>
      <c r="C544" s="61">
        <v>0</v>
      </c>
    </row>
    <row r="545" spans="1:3" ht="14.25" customHeight="true">
      <c r="A545" s="60" t="s">
        <v>32018</v>
      </c>
      <c r="B545" s="61">
        <v>0</v>
      </c>
      <c r="C545" s="61">
        <v>0</v>
      </c>
    </row>
    <row r="546" spans="1:3" ht="14.25" customHeight="true">
      <c r="A546" s="60" t="s">
        <v>32019</v>
      </c>
      <c r="B546" s="61">
        <v>0</v>
      </c>
      <c r="C546" s="61">
        <v>0</v>
      </c>
    </row>
    <row r="547" spans="1:3" ht="14.25" customHeight="true">
      <c r="A547" s="60" t="s">
        <v>32020</v>
      </c>
      <c r="B547" s="61">
        <v>0</v>
      </c>
      <c r="C547" s="61">
        <v>0</v>
      </c>
    </row>
    <row r="548" spans="1:3" ht="14.25" customHeight="true">
      <c r="A548" s="60" t="s">
        <v>32021</v>
      </c>
      <c r="B548" s="61">
        <v>0</v>
      </c>
      <c r="C548" s="61">
        <v>0</v>
      </c>
    </row>
    <row r="549" spans="1:3" ht="14.25" customHeight="true">
      <c r="A549" s="60" t="s">
        <v>32022</v>
      </c>
      <c r="B549" s="61">
        <v>0</v>
      </c>
      <c r="C549" s="61">
        <v>0</v>
      </c>
    </row>
    <row r="550" spans="1:3" ht="14.25" customHeight="true">
      <c r="A550" s="60" t="s">
        <v>32023</v>
      </c>
      <c r="B550" s="61">
        <v>0</v>
      </c>
      <c r="C550" s="61">
        <v>0</v>
      </c>
    </row>
    <row r="551" spans="1:3" ht="14.25" customHeight="true">
      <c r="A551" s="60" t="s">
        <v>32024</v>
      </c>
      <c r="B551" s="61">
        <v>0</v>
      </c>
      <c r="C551" s="61">
        <v>0</v>
      </c>
    </row>
    <row r="552" spans="1:3" ht="14.25" customHeight="true">
      <c r="A552" s="60" t="s">
        <v>32025</v>
      </c>
      <c r="B552" s="61">
        <v>0</v>
      </c>
      <c r="C552" s="61">
        <v>0</v>
      </c>
    </row>
    <row r="553" spans="1:3" ht="14.25" customHeight="true">
      <c r="A553" s="60" t="s">
        <v>32026</v>
      </c>
      <c r="B553" s="61">
        <v>0</v>
      </c>
      <c r="C553" s="61">
        <v>0</v>
      </c>
    </row>
    <row r="554" spans="1:3" ht="14.25" customHeight="true">
      <c r="A554" s="60" t="s">
        <v>32027</v>
      </c>
      <c r="B554" s="61">
        <v>0</v>
      </c>
      <c r="C554" s="61">
        <v>0</v>
      </c>
    </row>
    <row r="555" spans="1:3" ht="14.25" customHeight="true">
      <c r="A555" s="60" t="s">
        <v>32028</v>
      </c>
      <c r="B555" s="61">
        <v>0</v>
      </c>
      <c r="C555" s="61">
        <v>0</v>
      </c>
    </row>
    <row r="556" spans="1:3" ht="14.25" customHeight="true">
      <c r="A556" s="60" t="s">
        <v>32029</v>
      </c>
      <c r="B556" s="61">
        <v>0</v>
      </c>
      <c r="C556" s="61">
        <v>0</v>
      </c>
    </row>
    <row r="557" spans="1:3" ht="14.25" customHeight="true">
      <c r="A557" s="60" t="s">
        <v>32030</v>
      </c>
      <c r="B557" s="61">
        <v>0</v>
      </c>
      <c r="C557" s="61">
        <v>0</v>
      </c>
    </row>
    <row r="558" spans="1:3" ht="14.25" customHeight="true">
      <c r="A558" s="60" t="s">
        <v>32031</v>
      </c>
      <c r="B558" s="61">
        <v>0</v>
      </c>
      <c r="C558" s="61">
        <v>0</v>
      </c>
    </row>
    <row r="559" spans="1:3" ht="14.25" customHeight="true">
      <c r="A559" s="60" t="s">
        <v>32032</v>
      </c>
      <c r="B559" s="61">
        <v>0</v>
      </c>
      <c r="C559" s="61">
        <v>0</v>
      </c>
    </row>
    <row r="560" spans="1:3" ht="14.25" customHeight="true">
      <c r="A560" s="60" t="s">
        <v>32033</v>
      </c>
      <c r="B560" s="61">
        <v>0</v>
      </c>
      <c r="C560" s="61">
        <v>0</v>
      </c>
    </row>
    <row r="561" spans="1:3" ht="14.25" customHeight="true">
      <c r="A561" s="60" t="s">
        <v>32034</v>
      </c>
      <c r="B561" s="61">
        <v>0</v>
      </c>
      <c r="C561" s="61">
        <v>0</v>
      </c>
    </row>
    <row r="562" spans="1:3" ht="14.25" customHeight="true">
      <c r="A562" s="60" t="s">
        <v>32035</v>
      </c>
      <c r="B562" s="61">
        <v>0</v>
      </c>
      <c r="C562" s="61">
        <v>0</v>
      </c>
    </row>
    <row r="563" spans="1:3" ht="14.25" customHeight="true">
      <c r="A563" s="60" t="s">
        <v>32036</v>
      </c>
      <c r="B563" s="61">
        <v>0</v>
      </c>
      <c r="C563" s="61">
        <v>0</v>
      </c>
    </row>
    <row r="564" spans="1:3" ht="14.25" customHeight="true">
      <c r="A564" s="60" t="s">
        <v>32037</v>
      </c>
      <c r="B564" s="61">
        <v>0</v>
      </c>
      <c r="C564" s="61">
        <v>0</v>
      </c>
    </row>
    <row r="565" spans="1:3" ht="14.25" customHeight="true">
      <c r="A565" s="60" t="s">
        <v>32038</v>
      </c>
      <c r="B565" s="61">
        <v>0</v>
      </c>
      <c r="C565" s="61">
        <v>0</v>
      </c>
    </row>
    <row r="566" spans="1:3" ht="14.25" customHeight="true">
      <c r="A566" s="60" t="s">
        <v>32039</v>
      </c>
      <c r="B566" s="61">
        <v>0</v>
      </c>
      <c r="C566" s="61">
        <v>0</v>
      </c>
    </row>
    <row r="567" spans="1:3" ht="14.25" customHeight="true">
      <c r="A567" s="60" t="s">
        <v>32040</v>
      </c>
      <c r="B567" s="61">
        <v>0</v>
      </c>
      <c r="C567" s="61">
        <v>0</v>
      </c>
    </row>
    <row r="568" spans="1:3" ht="14.25" customHeight="true">
      <c r="A568" s="60" t="s">
        <v>32041</v>
      </c>
      <c r="B568" s="61">
        <v>0</v>
      </c>
      <c r="C568" s="61">
        <v>0</v>
      </c>
    </row>
    <row r="569" spans="1:3" ht="14.25" customHeight="true">
      <c r="A569" s="60" t="s">
        <v>32042</v>
      </c>
      <c r="B569" s="61">
        <v>0</v>
      </c>
      <c r="C569" s="61">
        <v>0</v>
      </c>
    </row>
    <row r="570" spans="1:3" ht="14.25" customHeight="true">
      <c r="A570" s="60" t="s">
        <v>32043</v>
      </c>
      <c r="B570" s="61">
        <v>0</v>
      </c>
      <c r="C570" s="61">
        <v>0</v>
      </c>
    </row>
    <row r="571" spans="1:3" ht="14.25" customHeight="true">
      <c r="A571" s="60" t="s">
        <v>32044</v>
      </c>
      <c r="B571" s="61">
        <v>0</v>
      </c>
      <c r="C571" s="61">
        <v>0</v>
      </c>
    </row>
    <row r="572" spans="1:3" ht="14.25" customHeight="true">
      <c r="A572" s="60" t="s">
        <v>32045</v>
      </c>
      <c r="B572" s="61">
        <v>0</v>
      </c>
      <c r="C572" s="61">
        <v>0</v>
      </c>
    </row>
    <row r="573" spans="1:3" ht="14.25" customHeight="true">
      <c r="A573" s="60" t="s">
        <v>32046</v>
      </c>
      <c r="B573" s="61">
        <v>0</v>
      </c>
      <c r="C573" s="61">
        <v>0</v>
      </c>
    </row>
    <row r="574" spans="1:3" ht="14.25" customHeight="true">
      <c r="A574" s="60" t="s">
        <v>32047</v>
      </c>
      <c r="B574" s="61">
        <v>0</v>
      </c>
      <c r="C574" s="61">
        <v>0</v>
      </c>
    </row>
    <row r="575" spans="1:3" ht="14.25" customHeight="true">
      <c r="A575" s="60" t="s">
        <v>32048</v>
      </c>
      <c r="B575" s="61">
        <v>0</v>
      </c>
      <c r="C575" s="61">
        <v>0</v>
      </c>
    </row>
    <row r="576" spans="1:3" ht="14.25" customHeight="true">
      <c r="A576" s="60" t="s">
        <v>32049</v>
      </c>
      <c r="B576" s="61">
        <v>0</v>
      </c>
      <c r="C576" s="61">
        <v>0</v>
      </c>
    </row>
    <row r="577" spans="1:3" ht="14.25" customHeight="true">
      <c r="A577" s="60" t="s">
        <v>32050</v>
      </c>
      <c r="B577" s="61">
        <v>0</v>
      </c>
      <c r="C577" s="61">
        <v>0</v>
      </c>
    </row>
    <row r="578" spans="1:3" ht="14.25" customHeight="true">
      <c r="A578" s="60" t="s">
        <v>32051</v>
      </c>
      <c r="B578" s="61">
        <v>0</v>
      </c>
      <c r="C578" s="61">
        <v>0</v>
      </c>
    </row>
    <row r="579" spans="1:3" ht="14.25" customHeight="true">
      <c r="A579" s="60" t="s">
        <v>32052</v>
      </c>
      <c r="B579" s="61">
        <v>0</v>
      </c>
      <c r="C579" s="61">
        <v>0</v>
      </c>
    </row>
    <row r="580" spans="1:3" ht="14.25" customHeight="true">
      <c r="A580" s="60" t="s">
        <v>32053</v>
      </c>
      <c r="B580" s="61">
        <v>0</v>
      </c>
      <c r="C580" s="61">
        <v>0</v>
      </c>
    </row>
    <row r="581" spans="1:3" ht="14.25" customHeight="true">
      <c r="A581" s="60" t="s">
        <v>32054</v>
      </c>
      <c r="B581" s="61">
        <v>0</v>
      </c>
      <c r="C581" s="61">
        <v>0</v>
      </c>
    </row>
    <row r="582" spans="1:3" ht="14.25" customHeight="true">
      <c r="A582" s="60" t="s">
        <v>32055</v>
      </c>
      <c r="B582" s="61">
        <v>0</v>
      </c>
      <c r="C582" s="61">
        <v>0</v>
      </c>
    </row>
    <row r="583" spans="1:3" ht="14.25" customHeight="true">
      <c r="A583" s="60" t="s">
        <v>32056</v>
      </c>
      <c r="B583" s="61">
        <v>0</v>
      </c>
      <c r="C583" s="61">
        <v>0</v>
      </c>
    </row>
    <row r="584" spans="1:3" ht="14.25" customHeight="true">
      <c r="A584" s="60" t="s">
        <v>32057</v>
      </c>
      <c r="B584" s="61">
        <v>0</v>
      </c>
      <c r="C584" s="61">
        <v>0</v>
      </c>
    </row>
    <row r="585" spans="1:3" ht="14.25" customHeight="true">
      <c r="A585" s="60" t="s">
        <v>32058</v>
      </c>
      <c r="B585" s="61">
        <v>0</v>
      </c>
      <c r="C585" s="61">
        <v>0</v>
      </c>
    </row>
    <row r="586" spans="1:3" ht="14.25" customHeight="true">
      <c r="A586" s="60" t="s">
        <v>32059</v>
      </c>
      <c r="B586" s="61">
        <v>0</v>
      </c>
      <c r="C586" s="61">
        <v>0</v>
      </c>
    </row>
    <row r="587" spans="1:3" ht="14.25" customHeight="true">
      <c r="A587" s="60" t="s">
        <v>32060</v>
      </c>
      <c r="B587" s="61">
        <v>0</v>
      </c>
      <c r="C587" s="61">
        <v>0</v>
      </c>
    </row>
    <row r="588" spans="1:3" ht="14.25" customHeight="true">
      <c r="A588" s="60" t="s">
        <v>32061</v>
      </c>
      <c r="B588" s="61">
        <v>0</v>
      </c>
      <c r="C588" s="61">
        <v>0</v>
      </c>
    </row>
    <row r="589" spans="1:3" ht="14.25" customHeight="true">
      <c r="A589" s="60" t="s">
        <v>32062</v>
      </c>
      <c r="B589" s="61">
        <v>0</v>
      </c>
      <c r="C589" s="61">
        <v>0</v>
      </c>
    </row>
    <row r="590" spans="1:3" ht="14.25" customHeight="true">
      <c r="A590" s="60" t="s">
        <v>32063</v>
      </c>
      <c r="B590" s="61">
        <v>-20000</v>
      </c>
      <c r="C590" s="61">
        <v>-20000</v>
      </c>
    </row>
    <row r="591" spans="1:3" ht="14.25" customHeight="true">
      <c r="A591" s="60" t="s">
        <v>32064</v>
      </c>
      <c r="B591" s="61">
        <v>0</v>
      </c>
      <c r="C591" s="61">
        <v>0</v>
      </c>
    </row>
    <row r="592" spans="1:3" ht="14.25" customHeight="true">
      <c r="A592" s="60" t="s">
        <v>32065</v>
      </c>
      <c r="B592" s="61">
        <v>0</v>
      </c>
      <c r="C592" s="61">
        <v>0</v>
      </c>
    </row>
    <row r="593" spans="1:3" ht="14.25" customHeight="true">
      <c r="A593" s="60" t="s">
        <v>32066</v>
      </c>
      <c r="B593" s="61">
        <v>0</v>
      </c>
      <c r="C593" s="61">
        <v>0</v>
      </c>
    </row>
    <row r="594" spans="1:3" ht="14.25" customHeight="true">
      <c r="A594" s="60" t="s">
        <v>32067</v>
      </c>
      <c r="B594" s="61">
        <v>0</v>
      </c>
      <c r="C594" s="61">
        <v>0</v>
      </c>
    </row>
    <row r="595" spans="1:3" ht="14.25" customHeight="true">
      <c r="A595" s="60" t="s">
        <v>32068</v>
      </c>
      <c r="B595" s="61">
        <v>0</v>
      </c>
      <c r="C595" s="61">
        <v>0</v>
      </c>
    </row>
    <row r="596" spans="1:3" ht="14.25" customHeight="true">
      <c r="A596" s="60" t="s">
        <v>32069</v>
      </c>
      <c r="B596" s="61">
        <v>0</v>
      </c>
      <c r="C596" s="61">
        <v>0</v>
      </c>
    </row>
    <row r="597" spans="1:3" ht="14.25" customHeight="true">
      <c r="A597" s="60" t="s">
        <v>32070</v>
      </c>
      <c r="B597" s="61">
        <v>0</v>
      </c>
      <c r="C597" s="61">
        <v>0</v>
      </c>
    </row>
    <row r="598" spans="1:3" ht="14.25" customHeight="true">
      <c r="A598" s="60" t="s">
        <v>32071</v>
      </c>
      <c r="B598" s="61">
        <v>0</v>
      </c>
      <c r="C598" s="61">
        <v>0</v>
      </c>
    </row>
    <row r="599" spans="1:3" ht="14.25" customHeight="true">
      <c r="A599" s="60" t="s">
        <v>32072</v>
      </c>
      <c r="B599" s="61">
        <v>0</v>
      </c>
      <c r="C599" s="61">
        <v>0</v>
      </c>
    </row>
    <row r="600" spans="1:3" ht="14.25" customHeight="true">
      <c r="A600" s="60" t="s">
        <v>32073</v>
      </c>
      <c r="B600" s="61">
        <v>0</v>
      </c>
      <c r="C600" s="61">
        <v>0</v>
      </c>
    </row>
    <row r="601" spans="1:3" ht="14.25" customHeight="true">
      <c r="A601" s="60" t="s">
        <v>32074</v>
      </c>
      <c r="B601" s="61">
        <v>0</v>
      </c>
      <c r="C601" s="61">
        <v>0</v>
      </c>
    </row>
    <row r="602" spans="1:3" ht="14.25" customHeight="true">
      <c r="A602" s="60" t="s">
        <v>32075</v>
      </c>
      <c r="B602" s="61">
        <v>0</v>
      </c>
      <c r="C602" s="61">
        <v>0</v>
      </c>
    </row>
    <row r="603" spans="1:3" ht="14.25" customHeight="true">
      <c r="A603" s="60" t="s">
        <v>32076</v>
      </c>
      <c r="B603" s="61">
        <v>0</v>
      </c>
      <c r="C603" s="61">
        <v>0</v>
      </c>
    </row>
    <row r="604" spans="1:3" ht="14.25" customHeight="true">
      <c r="A604" s="60" t="s">
        <v>32077</v>
      </c>
      <c r="B604" s="61">
        <v>0</v>
      </c>
      <c r="C604" s="61">
        <v>0</v>
      </c>
    </row>
    <row r="605" spans="1:3" ht="14.25" customHeight="true">
      <c r="A605" s="60" t="s">
        <v>32078</v>
      </c>
      <c r="B605" s="61">
        <v>0</v>
      </c>
      <c r="C605" s="61">
        <v>0</v>
      </c>
    </row>
    <row r="606" spans="1:3" ht="14.25" customHeight="true">
      <c r="A606" s="60" t="s">
        <v>32079</v>
      </c>
      <c r="B606" s="61">
        <v>0</v>
      </c>
      <c r="C606" s="61">
        <v>0</v>
      </c>
    </row>
    <row r="607" spans="1:3" ht="14.25" customHeight="true">
      <c r="A607" s="60" t="s">
        <v>32080</v>
      </c>
      <c r="B607" s="61">
        <v>0</v>
      </c>
      <c r="C607" s="61">
        <v>0</v>
      </c>
    </row>
    <row r="608" spans="1:3" ht="14.25" customHeight="true">
      <c r="A608" s="60" t="s">
        <v>32081</v>
      </c>
      <c r="B608" s="61">
        <v>0</v>
      </c>
      <c r="C608" s="61">
        <v>0</v>
      </c>
    </row>
    <row r="609" spans="1:3" ht="14.25" customHeight="true">
      <c r="A609" s="60" t="s">
        <v>32082</v>
      </c>
      <c r="B609" s="61">
        <v>0</v>
      </c>
      <c r="C609" s="61">
        <v>0</v>
      </c>
    </row>
    <row r="610" spans="1:3" ht="14.25" customHeight="true">
      <c r="A610" s="60" t="s">
        <v>32083</v>
      </c>
      <c r="B610" s="61">
        <v>0</v>
      </c>
      <c r="C610" s="61">
        <v>0</v>
      </c>
    </row>
    <row r="611" spans="1:3" ht="14.25" customHeight="true">
      <c r="A611" s="60" t="s">
        <v>32084</v>
      </c>
      <c r="B611" s="61">
        <v>0</v>
      </c>
      <c r="C611" s="61">
        <v>0</v>
      </c>
    </row>
    <row r="612" spans="1:3" ht="14.25" customHeight="true">
      <c r="A612" s="60" t="s">
        <v>32085</v>
      </c>
      <c r="B612" s="61">
        <v>0</v>
      </c>
      <c r="C612" s="61">
        <v>0</v>
      </c>
    </row>
    <row r="613" spans="1:3" ht="14.25" customHeight="true">
      <c r="A613" s="60" t="s">
        <v>32086</v>
      </c>
      <c r="B613" s="61">
        <v>0</v>
      </c>
      <c r="C613" s="61">
        <v>0</v>
      </c>
    </row>
    <row r="614" spans="1:3" ht="14.25" customHeight="true">
      <c r="A614" s="60" t="s">
        <v>32087</v>
      </c>
      <c r="B614" s="61">
        <v>0</v>
      </c>
      <c r="C614" s="61">
        <v>0</v>
      </c>
    </row>
    <row r="615" spans="1:3" ht="14.25" customHeight="true">
      <c r="A615" s="60" t="s">
        <v>32088</v>
      </c>
      <c r="B615" s="61">
        <v>0</v>
      </c>
      <c r="C615" s="61">
        <v>0</v>
      </c>
    </row>
    <row r="616" spans="1:3" ht="14.25" customHeight="true">
      <c r="A616" s="60" t="s">
        <v>32089</v>
      </c>
      <c r="B616" s="61">
        <v>0</v>
      </c>
      <c r="C616" s="61">
        <v>0</v>
      </c>
    </row>
    <row r="617" spans="1:3" ht="14.25" customHeight="true">
      <c r="A617" s="60" t="s">
        <v>32090</v>
      </c>
      <c r="B617" s="61">
        <v>0</v>
      </c>
      <c r="C617" s="61">
        <v>-1836427.81</v>
      </c>
    </row>
    <row r="618" spans="1:3" ht="14.25" customHeight="true">
      <c r="A618" s="60" t="s">
        <v>32091</v>
      </c>
      <c r="B618" s="61">
        <v>0</v>
      </c>
      <c r="C618" s="61">
        <v>0</v>
      </c>
    </row>
    <row r="619" spans="1:3" ht="14.25" customHeight="true">
      <c r="A619" s="60" t="s">
        <v>32092</v>
      </c>
      <c r="B619" s="61">
        <v>0</v>
      </c>
      <c r="C619" s="61">
        <v>0</v>
      </c>
    </row>
    <row r="620" spans="1:3" ht="14.25" customHeight="true">
      <c r="A620" s="60" t="s">
        <v>32093</v>
      </c>
      <c r="B620" s="61">
        <v>0</v>
      </c>
      <c r="C620" s="61">
        <v>0</v>
      </c>
    </row>
    <row r="621" spans="1:3" ht="14.25" customHeight="true">
      <c r="A621" s="60" t="s">
        <v>32094</v>
      </c>
      <c r="B621" s="61">
        <v>0</v>
      </c>
      <c r="C621" s="61">
        <v>0</v>
      </c>
    </row>
    <row r="622" spans="1:3" ht="14.25" customHeight="true">
      <c r="A622" s="60" t="s">
        <v>32095</v>
      </c>
      <c r="B622" s="61">
        <v>0</v>
      </c>
      <c r="C622" s="61">
        <v>0</v>
      </c>
    </row>
    <row r="623" spans="1:3" ht="14.25" customHeight="true">
      <c r="A623" s="60" t="s">
        <v>32096</v>
      </c>
      <c r="B623" s="61">
        <v>0</v>
      </c>
      <c r="C623" s="61">
        <v>0</v>
      </c>
    </row>
    <row r="624" spans="1:3" ht="14.25" customHeight="true">
      <c r="A624" s="60" t="s">
        <v>32097</v>
      </c>
      <c r="B624" s="61">
        <v>0</v>
      </c>
      <c r="C624" s="61">
        <v>0</v>
      </c>
    </row>
    <row r="625" spans="1:3" ht="14.25" customHeight="true">
      <c r="A625" s="60" t="s">
        <v>32098</v>
      </c>
      <c r="B625" s="61">
        <v>0</v>
      </c>
      <c r="C625" s="61">
        <v>0</v>
      </c>
    </row>
    <row r="626" spans="1:3" ht="14.25" customHeight="true">
      <c r="A626" s="60" t="s">
        <v>32099</v>
      </c>
      <c r="B626" s="61">
        <v>0</v>
      </c>
      <c r="C626" s="61">
        <v>0</v>
      </c>
    </row>
    <row r="627" spans="1:3" ht="14.25" customHeight="true">
      <c r="A627" s="60" t="s">
        <v>32100</v>
      </c>
      <c r="B627" s="61">
        <v>0</v>
      </c>
      <c r="C627" s="61">
        <v>0</v>
      </c>
    </row>
    <row r="628" spans="1:3" ht="14.25" customHeight="true">
      <c r="A628" s="60" t="s">
        <v>32101</v>
      </c>
      <c r="B628" s="61">
        <v>0</v>
      </c>
      <c r="C628" s="61">
        <v>0</v>
      </c>
    </row>
    <row r="629" spans="1:3" ht="14.25" customHeight="true">
      <c r="A629" s="60" t="s">
        <v>32102</v>
      </c>
      <c r="B629" s="61">
        <v>0</v>
      </c>
      <c r="C629" s="61">
        <v>0</v>
      </c>
    </row>
    <row r="630" spans="1:3" ht="14.25" customHeight="true">
      <c r="A630" s="60" t="s">
        <v>32103</v>
      </c>
      <c r="B630" s="61">
        <v>0</v>
      </c>
      <c r="C630" s="61">
        <v>0</v>
      </c>
    </row>
    <row r="631" spans="1:3" ht="14.25" customHeight="true">
      <c r="A631" s="60" t="s">
        <v>32104</v>
      </c>
      <c r="B631" s="61">
        <v>0</v>
      </c>
      <c r="C631" s="61">
        <v>0</v>
      </c>
    </row>
    <row r="632" spans="1:3" ht="14.25" customHeight="true">
      <c r="A632" s="60" t="s">
        <v>32105</v>
      </c>
      <c r="B632" s="61">
        <v>0</v>
      </c>
      <c r="C632" s="61">
        <v>0</v>
      </c>
    </row>
    <row r="633" spans="1:3" ht="14.25" customHeight="true">
      <c r="A633" s="60" t="s">
        <v>32106</v>
      </c>
      <c r="B633" s="61">
        <v>0</v>
      </c>
      <c r="C633" s="61">
        <v>0</v>
      </c>
    </row>
    <row r="634" spans="1:3" ht="14.25" customHeight="true">
      <c r="A634" s="60" t="s">
        <v>32107</v>
      </c>
      <c r="B634" s="61">
        <v>0</v>
      </c>
      <c r="C634" s="61">
        <v>0</v>
      </c>
    </row>
    <row r="635" spans="1:3" ht="14.25" customHeight="true">
      <c r="A635" s="60" t="s">
        <v>32108</v>
      </c>
      <c r="B635" s="61">
        <v>0</v>
      </c>
      <c r="C635" s="61">
        <v>0</v>
      </c>
    </row>
    <row r="636" spans="1:3" ht="14.25" customHeight="true">
      <c r="A636" s="60" t="s">
        <v>32109</v>
      </c>
      <c r="B636" s="61">
        <v>0</v>
      </c>
      <c r="C636" s="61">
        <v>0</v>
      </c>
    </row>
    <row r="637" spans="1:3" ht="14.25" customHeight="true">
      <c r="A637" s="60" t="s">
        <v>32110</v>
      </c>
      <c r="B637" s="61">
        <v>0</v>
      </c>
      <c r="C637" s="61">
        <v>0</v>
      </c>
    </row>
    <row r="638" spans="1:3" ht="14.25" customHeight="true">
      <c r="A638" s="60" t="s">
        <v>32111</v>
      </c>
      <c r="B638" s="61">
        <v>0</v>
      </c>
      <c r="C638" s="61">
        <v>0</v>
      </c>
    </row>
    <row r="639" spans="1:3" ht="14.25" customHeight="true">
      <c r="A639" s="60" t="s">
        <v>32112</v>
      </c>
      <c r="B639" s="61">
        <v>0</v>
      </c>
      <c r="C639" s="61">
        <v>0</v>
      </c>
    </row>
    <row r="640" spans="1:3" ht="14.25" customHeight="true">
      <c r="A640" s="60" t="s">
        <v>32113</v>
      </c>
      <c r="B640" s="61">
        <v>0</v>
      </c>
      <c r="C640" s="61">
        <v>0</v>
      </c>
    </row>
    <row r="641" spans="1:3" ht="14.25" customHeight="true">
      <c r="A641" s="60" t="s">
        <v>32114</v>
      </c>
      <c r="B641" s="61">
        <v>0</v>
      </c>
      <c r="C641" s="61">
        <v>0</v>
      </c>
    </row>
    <row r="642" spans="1:3" ht="14.25" customHeight="true">
      <c r="A642" s="60" t="s">
        <v>32115</v>
      </c>
      <c r="B642" s="61">
        <v>0</v>
      </c>
      <c r="C642" s="61">
        <v>0</v>
      </c>
    </row>
    <row r="643" spans="1:3" ht="14.25" customHeight="true">
      <c r="A643" s="60" t="s">
        <v>32116</v>
      </c>
      <c r="B643" s="61">
        <v>0</v>
      </c>
      <c r="C643" s="61">
        <v>0</v>
      </c>
    </row>
    <row r="644" spans="1:3" ht="14.25" customHeight="true">
      <c r="A644" s="60" t="s">
        <v>32117</v>
      </c>
      <c r="B644" s="61">
        <v>0</v>
      </c>
      <c r="C644" s="61">
        <v>0</v>
      </c>
    </row>
    <row r="645" spans="1:3" ht="14.25" customHeight="true">
      <c r="A645" s="60" t="s">
        <v>32118</v>
      </c>
      <c r="B645" s="61">
        <v>0</v>
      </c>
      <c r="C645" s="61">
        <v>0</v>
      </c>
    </row>
    <row r="646" spans="1:3" ht="14.25" customHeight="true">
      <c r="A646" s="60" t="s">
        <v>32119</v>
      </c>
      <c r="B646" s="61">
        <v>0</v>
      </c>
      <c r="C646" s="61">
        <v>0</v>
      </c>
    </row>
    <row r="647" spans="1:3" ht="14.25" customHeight="true">
      <c r="A647" s="60" t="s">
        <v>32120</v>
      </c>
      <c r="B647" s="61">
        <v>0</v>
      </c>
      <c r="C647" s="61">
        <v>0</v>
      </c>
    </row>
    <row r="648" spans="1:3" ht="14.25" customHeight="true">
      <c r="A648" s="60" t="s">
        <v>32121</v>
      </c>
      <c r="B648" s="61">
        <v>0</v>
      </c>
      <c r="C648" s="61">
        <v>0</v>
      </c>
    </row>
    <row r="649" spans="1:3" ht="14.25" customHeight="true">
      <c r="A649" s="60" t="s">
        <v>32122</v>
      </c>
      <c r="B649" s="61">
        <v>0</v>
      </c>
      <c r="C649" s="61">
        <v>0</v>
      </c>
    </row>
    <row r="650" spans="1:3" ht="14.25" customHeight="true">
      <c r="A650" s="60" t="s">
        <v>32123</v>
      </c>
      <c r="B650" s="61">
        <v>0</v>
      </c>
      <c r="C650" s="61">
        <v>0</v>
      </c>
    </row>
    <row r="651" spans="1:3" ht="14.25" customHeight="true">
      <c r="A651" s="60" t="s">
        <v>32124</v>
      </c>
      <c r="B651" s="61">
        <v>0</v>
      </c>
      <c r="C651" s="61">
        <v>0</v>
      </c>
    </row>
    <row r="652" spans="1:3" ht="14.25" customHeight="true">
      <c r="A652" s="60" t="s">
        <v>32125</v>
      </c>
      <c r="B652" s="61">
        <v>0</v>
      </c>
      <c r="C652" s="61">
        <v>0</v>
      </c>
    </row>
    <row r="653" spans="1:3" ht="14.25" customHeight="true">
      <c r="A653" s="60" t="s">
        <v>32126</v>
      </c>
      <c r="B653" s="61">
        <v>0</v>
      </c>
      <c r="C653" s="61">
        <v>0</v>
      </c>
    </row>
    <row r="654" spans="1:3" ht="14.25" customHeight="true">
      <c r="A654" s="60" t="s">
        <v>32127</v>
      </c>
      <c r="B654" s="61">
        <v>0</v>
      </c>
      <c r="C654" s="61">
        <v>0</v>
      </c>
    </row>
    <row r="655" spans="1:3" ht="14.25" customHeight="true">
      <c r="A655" s="60" t="s">
        <v>32128</v>
      </c>
      <c r="B655" s="61">
        <v>0</v>
      </c>
      <c r="C655" s="61">
        <v>0</v>
      </c>
    </row>
    <row r="656" spans="1:3" ht="14.25" customHeight="true">
      <c r="A656" s="60" t="s">
        <v>32129</v>
      </c>
      <c r="B656" s="61">
        <v>0</v>
      </c>
      <c r="C656" s="61">
        <v>0</v>
      </c>
    </row>
    <row r="657" spans="1:3" ht="14.25" customHeight="true">
      <c r="A657" s="60" t="s">
        <v>32130</v>
      </c>
      <c r="B657" s="61">
        <v>0</v>
      </c>
      <c r="C657" s="61">
        <v>0</v>
      </c>
    </row>
    <row r="658" spans="1:3" ht="14.25" customHeight="true">
      <c r="A658" s="60" t="s">
        <v>32131</v>
      </c>
      <c r="B658" s="61">
        <v>0</v>
      </c>
      <c r="C658" s="61">
        <v>0</v>
      </c>
    </row>
    <row r="659" spans="1:3" ht="14.25" customHeight="true">
      <c r="A659" s="60" t="s">
        <v>32132</v>
      </c>
      <c r="B659" s="61">
        <v>0</v>
      </c>
      <c r="C659" s="61">
        <v>0</v>
      </c>
    </row>
    <row r="660" spans="1:3" ht="14.25" customHeight="true">
      <c r="A660" s="60" t="s">
        <v>32133</v>
      </c>
      <c r="B660" s="61">
        <v>0</v>
      </c>
      <c r="C660" s="61">
        <v>0</v>
      </c>
    </row>
    <row r="661" spans="1:3" ht="14.25" customHeight="true">
      <c r="A661" s="60" t="s">
        <v>32134</v>
      </c>
      <c r="B661" s="61">
        <v>0</v>
      </c>
      <c r="C661" s="61">
        <v>0</v>
      </c>
    </row>
    <row r="662" spans="1:3" ht="14.25" customHeight="true">
      <c r="A662" s="60" t="s">
        <v>32135</v>
      </c>
      <c r="B662" s="61">
        <v>0</v>
      </c>
      <c r="C662" s="61">
        <v>0</v>
      </c>
    </row>
    <row r="663" spans="1:3" ht="14.25" customHeight="true">
      <c r="A663" s="60" t="s">
        <v>32136</v>
      </c>
      <c r="B663" s="61">
        <v>0</v>
      </c>
      <c r="C663" s="61">
        <v>0</v>
      </c>
    </row>
    <row r="664" spans="1:3" ht="14.25" customHeight="true">
      <c r="A664" s="60" t="s">
        <v>32137</v>
      </c>
      <c r="B664" s="61">
        <v>0</v>
      </c>
      <c r="C664" s="61">
        <v>0</v>
      </c>
    </row>
    <row r="665" spans="1:3" ht="14.25" customHeight="true">
      <c r="A665" s="60" t="s">
        <v>32138</v>
      </c>
      <c r="B665" s="61">
        <v>0</v>
      </c>
      <c r="C665" s="61">
        <v>0</v>
      </c>
    </row>
    <row r="666" spans="1:3" ht="14.25" customHeight="true">
      <c r="A666" s="60" t="s">
        <v>32139</v>
      </c>
      <c r="B666" s="61">
        <v>0</v>
      </c>
      <c r="C666" s="61">
        <v>0</v>
      </c>
    </row>
    <row r="667" spans="1:3" ht="14.25" customHeight="true">
      <c r="A667" s="60" t="s">
        <v>32140</v>
      </c>
      <c r="B667" s="61">
        <v>0</v>
      </c>
      <c r="C667" s="61">
        <v>0</v>
      </c>
    </row>
    <row r="668" spans="1:3" ht="14.25" customHeight="true">
      <c r="A668" s="60" t="s">
        <v>32141</v>
      </c>
      <c r="B668" s="61">
        <v>0</v>
      </c>
      <c r="C668" s="61">
        <v>0</v>
      </c>
    </row>
    <row r="669" spans="1:3" ht="14.25" customHeight="true">
      <c r="A669" s="60" t="s">
        <v>32142</v>
      </c>
      <c r="B669" s="61">
        <v>0</v>
      </c>
      <c r="C669" s="61">
        <v>0</v>
      </c>
    </row>
    <row r="670" spans="1:3" ht="14.25" customHeight="true">
      <c r="A670" s="60" t="s">
        <v>32143</v>
      </c>
      <c r="B670" s="61">
        <v>0</v>
      </c>
      <c r="C670" s="61">
        <v>0</v>
      </c>
    </row>
    <row r="671" spans="1:3" ht="14.25" customHeight="true">
      <c r="A671" s="60" t="s">
        <v>32144</v>
      </c>
      <c r="B671" s="61">
        <v>0</v>
      </c>
      <c r="C671" s="61">
        <v>0</v>
      </c>
    </row>
    <row r="672" spans="1:3" ht="14.25" customHeight="true">
      <c r="A672" s="60" t="s">
        <v>32145</v>
      </c>
      <c r="B672" s="61">
        <v>0</v>
      </c>
      <c r="C672" s="61">
        <v>0</v>
      </c>
    </row>
    <row r="673" spans="1:3" ht="14.25" customHeight="true">
      <c r="A673" s="60" t="s">
        <v>32146</v>
      </c>
      <c r="B673" s="61">
        <v>0</v>
      </c>
      <c r="C673" s="61">
        <v>0</v>
      </c>
    </row>
    <row r="674" spans="1:3" ht="14.25" customHeight="true">
      <c r="A674" s="60" t="s">
        <v>32147</v>
      </c>
      <c r="B674" s="61">
        <v>0</v>
      </c>
      <c r="C674" s="61">
        <v>0</v>
      </c>
    </row>
    <row r="675" spans="1:3" ht="14.25" customHeight="true">
      <c r="A675" s="60" t="s">
        <v>32148</v>
      </c>
      <c r="B675" s="61">
        <v>0</v>
      </c>
      <c r="C675" s="61">
        <v>0</v>
      </c>
    </row>
    <row r="676" spans="1:3" ht="14.25" customHeight="true">
      <c r="A676" s="60" t="s">
        <v>32149</v>
      </c>
      <c r="B676" s="61">
        <v>0</v>
      </c>
      <c r="C676" s="61">
        <v>0</v>
      </c>
    </row>
    <row r="677" spans="1:3" ht="14.25" customHeight="true">
      <c r="A677" s="60" t="s">
        <v>32150</v>
      </c>
      <c r="B677" s="61">
        <v>0</v>
      </c>
      <c r="C677" s="61">
        <v>0</v>
      </c>
    </row>
    <row r="678" spans="1:3" ht="14.25" customHeight="true">
      <c r="A678" s="60" t="s">
        <v>32151</v>
      </c>
      <c r="B678" s="61">
        <v>0</v>
      </c>
      <c r="C678" s="61">
        <v>0</v>
      </c>
    </row>
    <row r="679" spans="1:3" ht="14.25" customHeight="true">
      <c r="A679" s="60" t="s">
        <v>32152</v>
      </c>
      <c r="B679" s="61">
        <v>0</v>
      </c>
      <c r="C679" s="61">
        <v>0</v>
      </c>
    </row>
    <row r="680" spans="1:3" ht="14.25" customHeight="true">
      <c r="A680" s="60" t="s">
        <v>32153</v>
      </c>
      <c r="B680" s="61">
        <v>0</v>
      </c>
      <c r="C680" s="61">
        <v>0</v>
      </c>
    </row>
    <row r="681" spans="1:3" ht="14.25" customHeight="true">
      <c r="A681" s="60" t="s">
        <v>32154</v>
      </c>
      <c r="B681" s="61">
        <v>0</v>
      </c>
      <c r="C681" s="61">
        <v>0</v>
      </c>
    </row>
    <row r="682" spans="1:3" ht="14.25" customHeight="true">
      <c r="A682" s="60" t="s">
        <v>32155</v>
      </c>
      <c r="B682" s="61">
        <v>0</v>
      </c>
      <c r="C682" s="61">
        <v>0</v>
      </c>
    </row>
    <row r="683" spans="1:3" ht="14.25" customHeight="true">
      <c r="A683" s="60" t="s">
        <v>32156</v>
      </c>
      <c r="B683" s="61">
        <v>0</v>
      </c>
      <c r="C683" s="61">
        <v>0</v>
      </c>
    </row>
    <row r="684" spans="1:3" ht="14.25" customHeight="true">
      <c r="A684" s="60" t="s">
        <v>32157</v>
      </c>
      <c r="B684" s="61">
        <v>0</v>
      </c>
      <c r="C684" s="61">
        <v>0</v>
      </c>
    </row>
    <row r="685" spans="1:3" ht="14.25" customHeight="true">
      <c r="A685" s="60" t="s">
        <v>32158</v>
      </c>
      <c r="B685" s="61">
        <v>0</v>
      </c>
      <c r="C685" s="61">
        <v>0</v>
      </c>
    </row>
    <row r="686" spans="1:3" ht="14.25" customHeight="true">
      <c r="A686" s="60" t="s">
        <v>32159</v>
      </c>
      <c r="B686" s="61">
        <v>0</v>
      </c>
      <c r="C686" s="61">
        <v>0</v>
      </c>
    </row>
    <row r="687" spans="1:3" ht="14.25" customHeight="true">
      <c r="A687" s="60" t="s">
        <v>32160</v>
      </c>
      <c r="B687" s="61">
        <v>0</v>
      </c>
      <c r="C687" s="61">
        <v>0</v>
      </c>
    </row>
    <row r="688" spans="1:3" ht="14.25" customHeight="true">
      <c r="A688" s="60" t="s">
        <v>32161</v>
      </c>
      <c r="B688" s="61">
        <v>0</v>
      </c>
      <c r="C688" s="61">
        <v>0</v>
      </c>
    </row>
    <row r="689" spans="1:3" ht="14.25" customHeight="true">
      <c r="A689" s="60" t="s">
        <v>32162</v>
      </c>
      <c r="B689" s="61">
        <v>0</v>
      </c>
      <c r="C689" s="61">
        <v>0</v>
      </c>
    </row>
    <row r="690" spans="1:3" ht="14.25" customHeight="true">
      <c r="A690" s="60" t="s">
        <v>32163</v>
      </c>
      <c r="B690" s="61">
        <v>0</v>
      </c>
      <c r="C690" s="61">
        <v>0</v>
      </c>
    </row>
    <row r="691" spans="1:3" ht="14.25" customHeight="true">
      <c r="A691" s="60" t="s">
        <v>32164</v>
      </c>
      <c r="B691" s="61">
        <v>0</v>
      </c>
      <c r="C691" s="61">
        <v>4208.02</v>
      </c>
    </row>
    <row r="692" spans="1:3" ht="14.25" customHeight="true">
      <c r="A692" s="60" t="s">
        <v>32165</v>
      </c>
      <c r="B692" s="61">
        <v>0</v>
      </c>
      <c r="C692" s="61">
        <v>0</v>
      </c>
    </row>
    <row r="693" spans="1:3" ht="14.25" customHeight="true">
      <c r="A693" s="60" t="s">
        <v>32166</v>
      </c>
      <c r="B693" s="61">
        <v>0</v>
      </c>
      <c r="C693" s="61">
        <v>0</v>
      </c>
    </row>
    <row r="694" spans="1:3" ht="14.25" customHeight="true">
      <c r="A694" s="60" t="s">
        <v>32167</v>
      </c>
      <c r="B694" s="61">
        <v>0</v>
      </c>
      <c r="C694" s="61">
        <v>0</v>
      </c>
    </row>
    <row r="695" spans="1:3" ht="14.25" customHeight="true">
      <c r="A695" s="60" t="s">
        <v>32168</v>
      </c>
      <c r="B695" s="61">
        <v>0</v>
      </c>
      <c r="C695" s="61">
        <v>0</v>
      </c>
    </row>
    <row r="696" spans="1:3" ht="14.25" customHeight="true">
      <c r="A696" s="60" t="s">
        <v>32169</v>
      </c>
      <c r="B696" s="61">
        <v>0</v>
      </c>
      <c r="C696" s="61">
        <v>0</v>
      </c>
    </row>
    <row r="697" spans="1:3" ht="14.25" customHeight="true">
      <c r="A697" s="60" t="s">
        <v>32170</v>
      </c>
      <c r="B697" s="61">
        <v>0</v>
      </c>
      <c r="C697" s="61">
        <v>0</v>
      </c>
    </row>
    <row r="698" spans="1:3" ht="14.25" customHeight="true">
      <c r="A698" s="60" t="s">
        <v>32171</v>
      </c>
      <c r="B698" s="61">
        <v>0</v>
      </c>
      <c r="C698" s="61">
        <v>0</v>
      </c>
    </row>
    <row r="699" spans="1:3" ht="14.25" customHeight="true">
      <c r="A699" s="60" t="s">
        <v>32172</v>
      </c>
      <c r="B699" s="61">
        <v>0</v>
      </c>
      <c r="C699" s="61">
        <v>0</v>
      </c>
    </row>
    <row r="700" spans="1:3" ht="14.25" customHeight="true">
      <c r="A700" s="60" t="s">
        <v>32173</v>
      </c>
      <c r="B700" s="61">
        <v>0</v>
      </c>
      <c r="C700" s="61">
        <v>0</v>
      </c>
    </row>
    <row r="701" spans="1:3" ht="14.25" customHeight="true">
      <c r="A701" s="60" t="s">
        <v>32174</v>
      </c>
      <c r="B701" s="61">
        <v>0</v>
      </c>
      <c r="C701" s="61">
        <v>0</v>
      </c>
    </row>
    <row r="702" spans="1:3" ht="14.25" customHeight="true">
      <c r="A702" s="60" t="s">
        <v>32175</v>
      </c>
      <c r="B702" s="61">
        <v>0</v>
      </c>
      <c r="C702" s="61">
        <v>0</v>
      </c>
    </row>
    <row r="703" spans="1:3" ht="14.25" customHeight="true">
      <c r="A703" s="60" t="s">
        <v>32176</v>
      </c>
      <c r="B703" s="61">
        <v>0</v>
      </c>
      <c r="C703" s="61">
        <v>0</v>
      </c>
    </row>
    <row r="704" spans="1:3" ht="14.25" customHeight="true">
      <c r="A704" s="60" t="s">
        <v>32177</v>
      </c>
      <c r="B704" s="61">
        <v>0</v>
      </c>
      <c r="C704" s="61">
        <v>0</v>
      </c>
    </row>
    <row r="705" spans="1:3" ht="14.25" customHeight="true">
      <c r="A705" s="60" t="s">
        <v>32178</v>
      </c>
      <c r="B705" s="61">
        <v>0</v>
      </c>
      <c r="C705" s="61">
        <v>0</v>
      </c>
    </row>
    <row r="706" spans="1:3" ht="14.25" customHeight="true">
      <c r="A706" s="60" t="s">
        <v>32179</v>
      </c>
      <c r="B706" s="61">
        <v>0</v>
      </c>
      <c r="C706" s="61">
        <v>0</v>
      </c>
    </row>
    <row r="707" spans="1:3" ht="14.25" customHeight="true">
      <c r="A707" s="60" t="s">
        <v>32180</v>
      </c>
      <c r="B707" s="61">
        <v>0</v>
      </c>
      <c r="C707" s="61">
        <v>0</v>
      </c>
    </row>
    <row r="708" spans="1:3" ht="14.25" customHeight="true">
      <c r="A708" s="60" t="s">
        <v>32181</v>
      </c>
      <c r="B708" s="61">
        <v>0</v>
      </c>
      <c r="C708" s="61">
        <v>0</v>
      </c>
    </row>
    <row r="709" spans="1:3" ht="14.25" customHeight="true">
      <c r="A709" s="60" t="s">
        <v>32182</v>
      </c>
      <c r="B709" s="61">
        <v>0</v>
      </c>
      <c r="C709" s="61">
        <v>0</v>
      </c>
    </row>
    <row r="710" spans="1:3" ht="14.25" customHeight="true">
      <c r="A710" s="60" t="s">
        <v>32183</v>
      </c>
      <c r="B710" s="61">
        <v>0</v>
      </c>
      <c r="C710" s="61">
        <v>0</v>
      </c>
    </row>
    <row r="711" spans="1:3" ht="14.25" customHeight="true">
      <c r="A711" s="60" t="s">
        <v>32184</v>
      </c>
      <c r="B711" s="61">
        <v>0</v>
      </c>
      <c r="C711" s="61">
        <v>0</v>
      </c>
    </row>
    <row r="712" spans="1:3" ht="14.25" customHeight="true">
      <c r="A712" s="60" t="s">
        <v>32185</v>
      </c>
      <c r="B712" s="61">
        <v>0</v>
      </c>
      <c r="C712" s="61">
        <v>0</v>
      </c>
    </row>
    <row r="713" spans="1:3" ht="14.25" customHeight="true">
      <c r="A713" s="60" t="s">
        <v>32186</v>
      </c>
      <c r="B713" s="61">
        <v>0</v>
      </c>
      <c r="C713" s="61">
        <v>0</v>
      </c>
    </row>
    <row r="714" spans="1:3" ht="14.25" customHeight="true">
      <c r="A714" s="60" t="s">
        <v>32187</v>
      </c>
      <c r="B714" s="61">
        <v>0</v>
      </c>
      <c r="C714" s="61">
        <v>0</v>
      </c>
    </row>
    <row r="715" spans="1:3" ht="14.25" customHeight="true">
      <c r="A715" s="60" t="s">
        <v>32188</v>
      </c>
      <c r="B715" s="61">
        <v>0</v>
      </c>
      <c r="C715" s="61">
        <v>0</v>
      </c>
    </row>
    <row r="716" spans="1:3" ht="14.25" customHeight="true">
      <c r="A716" s="60" t="s">
        <v>32189</v>
      </c>
      <c r="B716" s="61">
        <v>0</v>
      </c>
      <c r="C716" s="61">
        <v>0</v>
      </c>
    </row>
    <row r="717" spans="1:3" ht="14.25" customHeight="true">
      <c r="A717" s="60" t="s">
        <v>32190</v>
      </c>
      <c r="B717" s="61">
        <v>0</v>
      </c>
      <c r="C717" s="61">
        <v>0</v>
      </c>
    </row>
    <row r="718" spans="1:3" ht="14.25" customHeight="true">
      <c r="A718" s="60" t="s">
        <v>32191</v>
      </c>
      <c r="B718" s="61">
        <v>0</v>
      </c>
      <c r="C718" s="61">
        <v>0</v>
      </c>
    </row>
    <row r="719" spans="1:3" ht="14.25" customHeight="true">
      <c r="A719" s="60" t="s">
        <v>32192</v>
      </c>
      <c r="B719" s="61">
        <v>0</v>
      </c>
      <c r="C719" s="61">
        <v>0</v>
      </c>
    </row>
    <row r="720" spans="1:3" ht="14.25" customHeight="true">
      <c r="A720" s="60" t="s">
        <v>32193</v>
      </c>
      <c r="B720" s="61">
        <v>0</v>
      </c>
      <c r="C720" s="61">
        <v>0</v>
      </c>
    </row>
    <row r="721" spans="1:3" ht="14.25" customHeight="true">
      <c r="A721" s="60" t="s">
        <v>32194</v>
      </c>
      <c r="B721" s="61">
        <v>0</v>
      </c>
      <c r="C721" s="61">
        <v>0</v>
      </c>
    </row>
    <row r="722" spans="1:3" ht="14.25" customHeight="true">
      <c r="A722" s="60" t="s">
        <v>32195</v>
      </c>
      <c r="B722" s="61">
        <v>0</v>
      </c>
      <c r="C722" s="61">
        <v>0</v>
      </c>
    </row>
    <row r="723" spans="1:3" ht="14.25" customHeight="true">
      <c r="A723" s="60" t="s">
        <v>32196</v>
      </c>
      <c r="B723" s="61">
        <v>0</v>
      </c>
      <c r="C723" s="61">
        <v>0</v>
      </c>
    </row>
    <row r="724" spans="1:3" ht="14.25" customHeight="true">
      <c r="A724" s="60" t="s">
        <v>32197</v>
      </c>
      <c r="B724" s="61">
        <v>0</v>
      </c>
      <c r="C724" s="61">
        <v>0</v>
      </c>
    </row>
    <row r="725" spans="1:3" ht="14.25" customHeight="true">
      <c r="A725" s="60" t="s">
        <v>32198</v>
      </c>
      <c r="B725" s="61">
        <v>0</v>
      </c>
      <c r="C725" s="61">
        <v>0</v>
      </c>
    </row>
    <row r="726" spans="1:3" ht="14.25" customHeight="true">
      <c r="A726" s="60" t="s">
        <v>32199</v>
      </c>
      <c r="B726" s="61">
        <v>0</v>
      </c>
      <c r="C726" s="61">
        <v>0</v>
      </c>
    </row>
    <row r="727" spans="1:3" ht="14.25" customHeight="true">
      <c r="A727" s="60" t="s">
        <v>32200</v>
      </c>
      <c r="B727" s="61">
        <v>0</v>
      </c>
      <c r="C727" s="61">
        <v>0</v>
      </c>
    </row>
    <row r="728" spans="1:3" ht="14.25" customHeight="true">
      <c r="A728" s="60" t="s">
        <v>32201</v>
      </c>
      <c r="B728" s="61">
        <v>0</v>
      </c>
      <c r="C728" s="61">
        <v>0</v>
      </c>
    </row>
    <row r="729" spans="1:3" ht="14.25" customHeight="true">
      <c r="A729" s="60" t="s">
        <v>32202</v>
      </c>
      <c r="B729" s="61">
        <v>0</v>
      </c>
      <c r="C729" s="61">
        <v>0</v>
      </c>
    </row>
    <row r="730" spans="1:3" ht="14.25" customHeight="true">
      <c r="A730" s="60" t="s">
        <v>32203</v>
      </c>
      <c r="B730" s="61">
        <v>0</v>
      </c>
      <c r="C730" s="61">
        <v>0</v>
      </c>
    </row>
    <row r="731" spans="1:3" ht="14.25" customHeight="true">
      <c r="A731" s="60" t="s">
        <v>32204</v>
      </c>
      <c r="B731" s="61">
        <v>0</v>
      </c>
      <c r="C731" s="61">
        <v>0</v>
      </c>
    </row>
    <row r="732" spans="1:3" ht="14.25" customHeight="true">
      <c r="A732" s="60" t="s">
        <v>32205</v>
      </c>
      <c r="B732" s="61">
        <v>0</v>
      </c>
      <c r="C732" s="61">
        <v>0</v>
      </c>
    </row>
    <row r="733" spans="1:3" ht="14.25" customHeight="true">
      <c r="A733" s="60" t="s">
        <v>32206</v>
      </c>
      <c r="B733" s="61">
        <v>0</v>
      </c>
      <c r="C733" s="61">
        <v>0</v>
      </c>
    </row>
    <row r="734" spans="1:3" ht="14.25" customHeight="true">
      <c r="A734" s="60" t="s">
        <v>32207</v>
      </c>
      <c r="B734" s="61">
        <v>0</v>
      </c>
      <c r="C734" s="61">
        <v>0</v>
      </c>
    </row>
    <row r="735" spans="1:3" ht="14.25" customHeight="true">
      <c r="A735" s="60" t="s">
        <v>32208</v>
      </c>
      <c r="B735" s="61">
        <v>0</v>
      </c>
      <c r="C735" s="61">
        <v>0</v>
      </c>
    </row>
    <row r="736" spans="1:3" ht="14.25" customHeight="true">
      <c r="A736" s="60" t="s">
        <v>32209</v>
      </c>
      <c r="B736" s="61">
        <v>0</v>
      </c>
      <c r="C736" s="61">
        <v>0</v>
      </c>
    </row>
    <row r="737" spans="1:3" ht="14.25" customHeight="true">
      <c r="A737" s="60" t="s">
        <v>32210</v>
      </c>
      <c r="B737" s="61">
        <v>0</v>
      </c>
      <c r="C737" s="61">
        <v>0</v>
      </c>
    </row>
    <row r="738" spans="1:3" ht="14.25" customHeight="true">
      <c r="A738" s="60" t="s">
        <v>32211</v>
      </c>
      <c r="B738" s="61">
        <v>0</v>
      </c>
      <c r="C738" s="61">
        <v>0</v>
      </c>
    </row>
    <row r="739" spans="1:3" ht="14.25" customHeight="true">
      <c r="A739" s="60" t="s">
        <v>32212</v>
      </c>
      <c r="B739" s="61">
        <v>0</v>
      </c>
      <c r="C739" s="61">
        <v>0</v>
      </c>
    </row>
    <row r="740" spans="1:3" ht="14.25" customHeight="true">
      <c r="A740" s="60" t="s">
        <v>32213</v>
      </c>
      <c r="B740" s="61">
        <v>0</v>
      </c>
      <c r="C740" s="61">
        <v>0</v>
      </c>
    </row>
    <row r="741" spans="1:3" ht="14.25" customHeight="true">
      <c r="A741" s="60" t="s">
        <v>32214</v>
      </c>
      <c r="B741" s="61">
        <v>0</v>
      </c>
      <c r="C741" s="61">
        <v>0</v>
      </c>
    </row>
    <row r="742" spans="1:3" ht="14.25" customHeight="true">
      <c r="A742" s="60" t="s">
        <v>32215</v>
      </c>
      <c r="B742" s="61">
        <v>0</v>
      </c>
      <c r="C742" s="61">
        <v>0</v>
      </c>
    </row>
    <row r="743" spans="1:3" ht="14.25" customHeight="true">
      <c r="A743" s="60" t="s">
        <v>32216</v>
      </c>
      <c r="B743" s="61">
        <v>0</v>
      </c>
      <c r="C743" s="61">
        <v>0</v>
      </c>
    </row>
    <row r="744" spans="1:3" ht="14.25" customHeight="true">
      <c r="A744" s="60" t="s">
        <v>32217</v>
      </c>
      <c r="B744" s="61">
        <v>0</v>
      </c>
      <c r="C744" s="61">
        <v>0</v>
      </c>
    </row>
    <row r="745" spans="1:3" ht="14.25" customHeight="true">
      <c r="A745" s="60" t="s">
        <v>32218</v>
      </c>
      <c r="B745" s="61">
        <v>0</v>
      </c>
      <c r="C745" s="61">
        <v>0</v>
      </c>
    </row>
    <row r="746" spans="1:3" ht="14.25" customHeight="true">
      <c r="A746" s="60" t="s">
        <v>32219</v>
      </c>
      <c r="B746" s="61">
        <v>0</v>
      </c>
      <c r="C746" s="61">
        <v>0</v>
      </c>
    </row>
    <row r="747" spans="1:3" ht="14.25" customHeight="true">
      <c r="A747" s="60" t="s">
        <v>32220</v>
      </c>
      <c r="B747" s="61">
        <v>0</v>
      </c>
      <c r="C747" s="61">
        <v>0</v>
      </c>
    </row>
    <row r="748" spans="1:3" ht="14.25" customHeight="true">
      <c r="A748" s="60" t="s">
        <v>32221</v>
      </c>
      <c r="B748" s="61">
        <v>0</v>
      </c>
      <c r="C748" s="61">
        <v>0</v>
      </c>
    </row>
    <row r="749" spans="1:3" ht="14.25" customHeight="true">
      <c r="A749" s="60" t="s">
        <v>32222</v>
      </c>
      <c r="B749" s="61">
        <v>0</v>
      </c>
      <c r="C749" s="61">
        <v>0</v>
      </c>
    </row>
    <row r="750" spans="1:3" ht="14.25" customHeight="true">
      <c r="A750" s="60" t="s">
        <v>32223</v>
      </c>
      <c r="B750" s="61">
        <v>0</v>
      </c>
      <c r="C750" s="61">
        <v>0</v>
      </c>
    </row>
    <row r="751" spans="1:3" ht="14.25" customHeight="true">
      <c r="A751" s="60" t="s">
        <v>32224</v>
      </c>
      <c r="B751" s="61">
        <v>0</v>
      </c>
      <c r="C751" s="61">
        <v>0</v>
      </c>
    </row>
    <row r="752" spans="1:3" ht="14.25" customHeight="true">
      <c r="A752" s="60" t="s">
        <v>32225</v>
      </c>
      <c r="B752" s="61">
        <v>0</v>
      </c>
      <c r="C752" s="61">
        <v>0</v>
      </c>
    </row>
    <row r="753" spans="1:3" ht="14.25" customHeight="true">
      <c r="A753" s="60" t="s">
        <v>32226</v>
      </c>
      <c r="B753" s="61">
        <v>0</v>
      </c>
      <c r="C753" s="61">
        <v>0</v>
      </c>
    </row>
    <row r="754" spans="1:3" ht="14.25" customHeight="true">
      <c r="A754" s="60" t="s">
        <v>32227</v>
      </c>
      <c r="B754" s="61">
        <v>0</v>
      </c>
      <c r="C754" s="61">
        <v>0</v>
      </c>
    </row>
    <row r="755" spans="1:3" ht="14.25" customHeight="true">
      <c r="A755" s="60" t="s">
        <v>32228</v>
      </c>
      <c r="B755" s="61">
        <v>0</v>
      </c>
      <c r="C755" s="61">
        <v>0</v>
      </c>
    </row>
    <row r="756" spans="1:3" ht="14.25" customHeight="true">
      <c r="A756" s="60" t="s">
        <v>32229</v>
      </c>
      <c r="B756" s="61">
        <v>0</v>
      </c>
      <c r="C756" s="61">
        <v>0</v>
      </c>
    </row>
    <row r="757" spans="1:3" ht="14.25" customHeight="true">
      <c r="A757" s="60" t="s">
        <v>32230</v>
      </c>
      <c r="B757" s="61">
        <v>0</v>
      </c>
      <c r="C757" s="61">
        <v>0</v>
      </c>
    </row>
    <row r="758" spans="1:3" ht="14.25" customHeight="true">
      <c r="A758" s="60" t="s">
        <v>32231</v>
      </c>
      <c r="B758" s="61">
        <v>0</v>
      </c>
      <c r="C758" s="61">
        <v>0</v>
      </c>
    </row>
    <row r="759" spans="1:3" ht="14.25" customHeight="true">
      <c r="A759" s="60" t="s">
        <v>32232</v>
      </c>
      <c r="B759" s="61">
        <v>0</v>
      </c>
      <c r="C759" s="61">
        <v>0</v>
      </c>
    </row>
    <row r="760" spans="1:3" ht="14.25" customHeight="true">
      <c r="A760" s="60" t="s">
        <v>32233</v>
      </c>
      <c r="B760" s="61">
        <v>0</v>
      </c>
      <c r="C760" s="61">
        <v>0</v>
      </c>
    </row>
    <row r="761" spans="1:3" ht="14.25" customHeight="true">
      <c r="A761" s="60" t="s">
        <v>32234</v>
      </c>
      <c r="B761" s="61">
        <v>0</v>
      </c>
      <c r="C761" s="61">
        <v>0</v>
      </c>
    </row>
    <row r="762" spans="1:3" ht="14.25" customHeight="true">
      <c r="A762" s="60" t="s">
        <v>32235</v>
      </c>
      <c r="B762" s="61">
        <v>0</v>
      </c>
      <c r="C762" s="61">
        <v>0</v>
      </c>
    </row>
    <row r="763" spans="1:3" ht="14.25" customHeight="true">
      <c r="A763" s="60" t="s">
        <v>32236</v>
      </c>
      <c r="B763" s="61">
        <v>0</v>
      </c>
      <c r="C763" s="61">
        <v>0</v>
      </c>
    </row>
    <row r="764" spans="1:3" ht="14.25" customHeight="true">
      <c r="A764" s="60" t="s">
        <v>32237</v>
      </c>
      <c r="B764" s="61">
        <v>0</v>
      </c>
      <c r="C764" s="61">
        <v>0</v>
      </c>
    </row>
    <row r="765" spans="1:3" ht="14.25" customHeight="true">
      <c r="A765" s="60" t="s">
        <v>32238</v>
      </c>
      <c r="B765" s="61">
        <v>0</v>
      </c>
      <c r="C765" s="61">
        <v>0</v>
      </c>
    </row>
    <row r="766" spans="1:3" ht="14.25" customHeight="true">
      <c r="A766" s="60" t="s">
        <v>32239</v>
      </c>
      <c r="B766" s="61">
        <v>0</v>
      </c>
      <c r="C766" s="61">
        <v>0</v>
      </c>
    </row>
    <row r="767" spans="1:3" ht="14.25" customHeight="true">
      <c r="A767" s="60" t="s">
        <v>32240</v>
      </c>
      <c r="B767" s="61">
        <v>0</v>
      </c>
      <c r="C767" s="61">
        <v>0</v>
      </c>
    </row>
    <row r="768" spans="1:3" ht="14.25" customHeight="true">
      <c r="A768" s="60" t="s">
        <v>32241</v>
      </c>
      <c r="B768" s="61">
        <v>0</v>
      </c>
      <c r="C768" s="61">
        <v>0</v>
      </c>
    </row>
    <row r="769" spans="1:3" ht="14.25" customHeight="true">
      <c r="A769" s="60" t="s">
        <v>32242</v>
      </c>
      <c r="B769" s="61">
        <v>0</v>
      </c>
      <c r="C769" s="61">
        <v>0</v>
      </c>
    </row>
    <row r="770" spans="1:3" ht="14.25" customHeight="true">
      <c r="A770" s="60" t="s">
        <v>32243</v>
      </c>
      <c r="B770" s="61">
        <v>0</v>
      </c>
      <c r="C770" s="61">
        <v>0</v>
      </c>
    </row>
    <row r="771" spans="1:3" ht="14.25" customHeight="true">
      <c r="A771" s="60" t="s">
        <v>32244</v>
      </c>
      <c r="B771" s="61">
        <v>0</v>
      </c>
      <c r="C771" s="61">
        <v>0</v>
      </c>
    </row>
    <row r="772" spans="1:3" ht="14.25" customHeight="true">
      <c r="A772" s="60" t="s">
        <v>32245</v>
      </c>
      <c r="B772" s="61">
        <v>0</v>
      </c>
      <c r="C772" s="61">
        <v>0</v>
      </c>
    </row>
    <row r="773" spans="1:3" ht="14.25" customHeight="true">
      <c r="A773" s="60" t="s">
        <v>32246</v>
      </c>
      <c r="B773" s="61">
        <v>0</v>
      </c>
      <c r="C773" s="61">
        <v>0</v>
      </c>
    </row>
    <row r="774" spans="1:3" ht="14.25" customHeight="true">
      <c r="A774" s="60" t="s">
        <v>32247</v>
      </c>
      <c r="B774" s="61">
        <v>0</v>
      </c>
      <c r="C774" s="61">
        <v>0</v>
      </c>
    </row>
    <row r="775" spans="1:3" ht="14.25" customHeight="true">
      <c r="A775" s="60" t="s">
        <v>32248</v>
      </c>
      <c r="B775" s="61">
        <v>0</v>
      </c>
      <c r="C775" s="61">
        <v>0</v>
      </c>
    </row>
    <row r="776" spans="1:3" ht="14.25" customHeight="true">
      <c r="A776" s="60" t="s">
        <v>32249</v>
      </c>
      <c r="B776" s="61">
        <v>0</v>
      </c>
      <c r="C776" s="61">
        <v>0</v>
      </c>
    </row>
    <row r="777" spans="1:3" ht="14.25" customHeight="true">
      <c r="A777" s="60" t="s">
        <v>32250</v>
      </c>
      <c r="B777" s="61">
        <v>0</v>
      </c>
      <c r="C777" s="61">
        <v>0</v>
      </c>
    </row>
    <row r="778" spans="1:3" ht="14.25" customHeight="true">
      <c r="A778" s="60" t="s">
        <v>32251</v>
      </c>
      <c r="B778" s="61">
        <v>0</v>
      </c>
      <c r="C778" s="61">
        <v>0</v>
      </c>
    </row>
    <row r="779" spans="1:3" ht="14.25" customHeight="true">
      <c r="A779" s="60" t="s">
        <v>32252</v>
      </c>
      <c r="B779" s="61">
        <v>0</v>
      </c>
      <c r="C779" s="61">
        <v>0</v>
      </c>
    </row>
    <row r="780" spans="1:3" ht="14.25" customHeight="true">
      <c r="A780" s="60" t="s">
        <v>32253</v>
      </c>
      <c r="B780" s="61">
        <v>0</v>
      </c>
      <c r="C780" s="61">
        <v>0</v>
      </c>
    </row>
    <row r="781" spans="1:3" ht="14.25" customHeight="true">
      <c r="A781" s="60" t="s">
        <v>32254</v>
      </c>
      <c r="B781" s="61">
        <v>0</v>
      </c>
      <c r="C781" s="61">
        <v>0</v>
      </c>
    </row>
    <row r="782" spans="1:3" ht="14.25" customHeight="true">
      <c r="A782" s="60" t="s">
        <v>32255</v>
      </c>
      <c r="B782" s="61">
        <v>0</v>
      </c>
      <c r="C782" s="61">
        <v>0</v>
      </c>
    </row>
    <row r="783" spans="1:3" ht="14.25" customHeight="true">
      <c r="A783" s="60" t="s">
        <v>32256</v>
      </c>
      <c r="B783" s="61">
        <v>0</v>
      </c>
      <c r="C783" s="61">
        <v>0</v>
      </c>
    </row>
    <row r="784" spans="1:3" ht="14.25" customHeight="true">
      <c r="A784" s="60" t="s">
        <v>32257</v>
      </c>
      <c r="B784" s="61">
        <v>0</v>
      </c>
      <c r="C784" s="61">
        <v>0</v>
      </c>
    </row>
    <row r="785" spans="1:3" ht="14.25" customHeight="true">
      <c r="A785" s="60" t="s">
        <v>32258</v>
      </c>
      <c r="B785" s="61">
        <v>0</v>
      </c>
      <c r="C785" s="61">
        <v>0</v>
      </c>
    </row>
    <row r="786" spans="1:3" ht="14.25" customHeight="true">
      <c r="A786" s="60" t="s">
        <v>32259</v>
      </c>
      <c r="B786" s="61">
        <v>0</v>
      </c>
      <c r="C786" s="61">
        <v>0</v>
      </c>
    </row>
    <row r="787" spans="1:3" ht="14.25" customHeight="true">
      <c r="A787" s="60" t="s">
        <v>32260</v>
      </c>
      <c r="B787" s="61">
        <v>0</v>
      </c>
      <c r="C787" s="61">
        <v>0</v>
      </c>
    </row>
    <row r="788" spans="1:3" ht="14.25" customHeight="true">
      <c r="A788" s="60" t="s">
        <v>32261</v>
      </c>
      <c r="B788" s="61">
        <v>0</v>
      </c>
      <c r="C788" s="61">
        <v>0</v>
      </c>
    </row>
    <row r="789" spans="1:3" ht="14.25" customHeight="true">
      <c r="A789" s="60" t="s">
        <v>32262</v>
      </c>
      <c r="B789" s="61">
        <v>0</v>
      </c>
      <c r="C789" s="61">
        <v>0</v>
      </c>
    </row>
    <row r="790" spans="1:3" ht="14.25" customHeight="true">
      <c r="A790" s="60" t="s">
        <v>32263</v>
      </c>
      <c r="B790" s="61">
        <v>0</v>
      </c>
      <c r="C790" s="61">
        <v>-1507500</v>
      </c>
    </row>
    <row r="791" spans="1:3" ht="14.25" customHeight="true">
      <c r="A791" s="60" t="s">
        <v>32264</v>
      </c>
      <c r="B791" s="61">
        <v>0</v>
      </c>
      <c r="C791" s="61">
        <v>0</v>
      </c>
    </row>
    <row r="792" spans="1:3" ht="14.25" customHeight="true">
      <c r="A792" s="60" t="s">
        <v>32265</v>
      </c>
      <c r="B792" s="61">
        <v>0</v>
      </c>
      <c r="C792" s="61">
        <v>0</v>
      </c>
    </row>
    <row r="793" spans="1:3" ht="14.25" customHeight="true">
      <c r="A793" s="60" t="s">
        <v>32266</v>
      </c>
      <c r="B793" s="61">
        <v>0</v>
      </c>
      <c r="C793" s="61">
        <v>0</v>
      </c>
    </row>
    <row r="794" spans="1:3" ht="14.25" customHeight="true">
      <c r="A794" s="60" t="s">
        <v>32267</v>
      </c>
      <c r="B794" s="61">
        <v>0</v>
      </c>
      <c r="C794" s="61">
        <v>0</v>
      </c>
    </row>
    <row r="795" spans="1:3" ht="14.25" customHeight="true">
      <c r="A795" s="60" t="s">
        <v>32268</v>
      </c>
      <c r="B795" s="61">
        <v>0</v>
      </c>
      <c r="C795" s="61">
        <v>0</v>
      </c>
    </row>
    <row r="796" spans="1:3" ht="14.25" customHeight="true">
      <c r="A796" s="60" t="s">
        <v>32269</v>
      </c>
      <c r="B796" s="61">
        <v>0</v>
      </c>
      <c r="C796" s="61">
        <v>0</v>
      </c>
    </row>
    <row r="797" spans="1:3" ht="14.25" customHeight="true">
      <c r="A797" s="60" t="s">
        <v>32270</v>
      </c>
      <c r="B797" s="61">
        <v>0</v>
      </c>
      <c r="C797" s="61">
        <v>0</v>
      </c>
    </row>
    <row r="798" spans="1:3" ht="14.25" customHeight="true">
      <c r="A798" s="60" t="s">
        <v>32271</v>
      </c>
      <c r="B798" s="61">
        <v>0</v>
      </c>
      <c r="C798" s="61">
        <v>0</v>
      </c>
    </row>
    <row r="799" spans="1:3" ht="14.25" customHeight="true">
      <c r="A799" s="60" t="s">
        <v>32272</v>
      </c>
      <c r="B799" s="61">
        <v>0</v>
      </c>
      <c r="C799" s="61">
        <v>0</v>
      </c>
    </row>
    <row r="800" spans="1:3" ht="14.25" customHeight="true">
      <c r="A800" s="60" t="s">
        <v>32273</v>
      </c>
      <c r="B800" s="61">
        <v>0</v>
      </c>
      <c r="C800" s="61">
        <v>0</v>
      </c>
    </row>
    <row r="801" spans="1:3" ht="14.25" customHeight="true">
      <c r="A801" s="60" t="s">
        <v>32274</v>
      </c>
      <c r="B801" s="61">
        <v>0</v>
      </c>
      <c r="C801" s="61">
        <v>0</v>
      </c>
    </row>
    <row r="802" spans="1:3" ht="14.25" customHeight="true">
      <c r="A802" s="60" t="s">
        <v>32275</v>
      </c>
      <c r="B802" s="61">
        <v>0</v>
      </c>
      <c r="C802" s="61">
        <v>0</v>
      </c>
    </row>
    <row r="803" spans="1:3" ht="14.25" customHeight="true">
      <c r="A803" s="60" t="s">
        <v>32276</v>
      </c>
      <c r="B803" s="61">
        <v>0</v>
      </c>
      <c r="C803" s="61">
        <v>0</v>
      </c>
    </row>
    <row r="804" spans="1:3" ht="14.25" customHeight="true">
      <c r="A804" s="60" t="s">
        <v>32277</v>
      </c>
      <c r="B804" s="61">
        <v>0</v>
      </c>
      <c r="C804" s="61">
        <v>0</v>
      </c>
    </row>
    <row r="805" spans="1:3" ht="14.25" customHeight="true">
      <c r="A805" s="60" t="s">
        <v>32278</v>
      </c>
      <c r="B805" s="61">
        <v>0</v>
      </c>
      <c r="C805" s="61">
        <v>0</v>
      </c>
    </row>
    <row r="806" spans="1:3" ht="14.25" customHeight="true">
      <c r="A806" s="60" t="s">
        <v>32279</v>
      </c>
      <c r="B806" s="61">
        <v>0</v>
      </c>
      <c r="C806" s="61">
        <v>0</v>
      </c>
    </row>
    <row r="807" spans="1:3" ht="14.25" customHeight="true">
      <c r="A807" s="60" t="s">
        <v>32280</v>
      </c>
      <c r="B807" s="61">
        <v>0</v>
      </c>
      <c r="C807" s="61">
        <v>0</v>
      </c>
    </row>
    <row r="808" spans="1:3" ht="14.25" customHeight="true">
      <c r="A808" s="60" t="s">
        <v>32281</v>
      </c>
      <c r="B808" s="61">
        <v>0</v>
      </c>
      <c r="C808" s="61">
        <v>0</v>
      </c>
    </row>
    <row r="809" spans="1:3" ht="14.25" customHeight="true">
      <c r="A809" s="60" t="s">
        <v>32282</v>
      </c>
      <c r="B809" s="61">
        <v>0</v>
      </c>
      <c r="C809" s="61">
        <v>0</v>
      </c>
    </row>
    <row r="810" spans="1:3" ht="14.25" customHeight="true">
      <c r="A810" s="60" t="s">
        <v>32283</v>
      </c>
      <c r="B810" s="61">
        <v>0</v>
      </c>
      <c r="C810" s="61">
        <v>0</v>
      </c>
    </row>
    <row r="811" spans="1:3" ht="14.25" customHeight="true">
      <c r="A811" s="60" t="s">
        <v>32284</v>
      </c>
      <c r="B811" s="61">
        <v>0</v>
      </c>
      <c r="C811" s="61">
        <v>0</v>
      </c>
    </row>
    <row r="812" spans="1:3" ht="14.25" customHeight="true">
      <c r="A812" s="60" t="s">
        <v>32285</v>
      </c>
      <c r="B812" s="61">
        <v>0</v>
      </c>
      <c r="C812" s="61">
        <v>0</v>
      </c>
    </row>
    <row r="813" spans="1:3" ht="14.25" customHeight="true">
      <c r="A813" s="60" t="s">
        <v>32286</v>
      </c>
      <c r="B813" s="61">
        <v>0</v>
      </c>
      <c r="C813" s="61">
        <v>0</v>
      </c>
    </row>
    <row r="814" spans="1:3" ht="14.25" customHeight="true">
      <c r="A814" s="60" t="s">
        <v>32287</v>
      </c>
      <c r="B814" s="61">
        <v>0</v>
      </c>
      <c r="C814" s="61">
        <v>0</v>
      </c>
    </row>
    <row r="815" spans="1:3" ht="14.25" customHeight="true">
      <c r="A815" s="60" t="s">
        <v>32288</v>
      </c>
      <c r="B815" s="61">
        <v>0</v>
      </c>
      <c r="C815" s="61">
        <v>0</v>
      </c>
    </row>
    <row r="816" spans="1:3" ht="14.25" customHeight="true">
      <c r="A816" s="60" t="s">
        <v>32289</v>
      </c>
      <c r="B816" s="61">
        <v>0</v>
      </c>
      <c r="C816" s="61">
        <v>0</v>
      </c>
    </row>
    <row r="817" spans="1:3" ht="14.25" customHeight="true">
      <c r="A817" s="60" t="s">
        <v>32290</v>
      </c>
      <c r="B817" s="61">
        <v>0</v>
      </c>
      <c r="C817" s="61">
        <v>0</v>
      </c>
    </row>
    <row r="818" spans="1:3" ht="14.25" customHeight="true">
      <c r="A818" s="60" t="s">
        <v>32291</v>
      </c>
      <c r="B818" s="61">
        <v>0</v>
      </c>
      <c r="C818" s="61">
        <v>0</v>
      </c>
    </row>
    <row r="819" spans="1:3" ht="14.25" customHeight="true">
      <c r="A819" s="60" t="s">
        <v>32292</v>
      </c>
      <c r="B819" s="61">
        <v>0</v>
      </c>
      <c r="C819" s="61">
        <v>0</v>
      </c>
    </row>
    <row r="820" spans="1:3" ht="14.25" customHeight="true">
      <c r="A820" s="60" t="s">
        <v>32293</v>
      </c>
      <c r="B820" s="61">
        <v>0</v>
      </c>
      <c r="C820" s="61">
        <v>0</v>
      </c>
    </row>
    <row r="821" spans="1:3" ht="14.25" customHeight="true">
      <c r="A821" s="60" t="s">
        <v>32294</v>
      </c>
      <c r="B821" s="61">
        <v>0</v>
      </c>
      <c r="C821" s="61">
        <v>0</v>
      </c>
    </row>
    <row r="822" spans="1:3" ht="14.25" customHeight="true">
      <c r="A822" s="60" t="s">
        <v>32295</v>
      </c>
      <c r="B822" s="61">
        <v>0</v>
      </c>
      <c r="C822" s="61">
        <v>0</v>
      </c>
    </row>
    <row r="823" spans="1:3" ht="14.25" customHeight="true">
      <c r="A823" s="60" t="s">
        <v>32296</v>
      </c>
      <c r="B823" s="61">
        <v>0</v>
      </c>
      <c r="C823" s="61">
        <v>0</v>
      </c>
    </row>
    <row r="824" spans="1:3" ht="14.25" customHeight="true">
      <c r="A824" s="60" t="s">
        <v>32297</v>
      </c>
      <c r="B824" s="61">
        <v>0</v>
      </c>
      <c r="C824" s="61">
        <v>0</v>
      </c>
    </row>
    <row r="825" spans="1:3" ht="14.25" customHeight="true">
      <c r="A825" s="60" t="s">
        <v>32298</v>
      </c>
      <c r="B825" s="61">
        <v>0</v>
      </c>
      <c r="C825" s="61">
        <v>0</v>
      </c>
    </row>
    <row r="826" spans="1:3" ht="14.25" customHeight="true">
      <c r="A826" s="60" t="s">
        <v>32299</v>
      </c>
      <c r="B826" s="61">
        <v>0</v>
      </c>
      <c r="C826" s="61">
        <v>0</v>
      </c>
    </row>
    <row r="827" spans="1:3" ht="14.25" customHeight="true">
      <c r="A827" s="60" t="s">
        <v>32300</v>
      </c>
      <c r="B827" s="61">
        <v>0</v>
      </c>
      <c r="C827" s="61">
        <v>0</v>
      </c>
    </row>
    <row r="828" spans="1:3" ht="14.25" customHeight="true">
      <c r="A828" s="60" t="s">
        <v>32301</v>
      </c>
      <c r="B828" s="61">
        <v>0</v>
      </c>
      <c r="C828" s="61">
        <v>0</v>
      </c>
    </row>
    <row r="829" spans="1:3" ht="14.25" customHeight="true">
      <c r="A829" s="60" t="s">
        <v>32302</v>
      </c>
      <c r="B829" s="61">
        <v>0</v>
      </c>
      <c r="C829" s="61">
        <v>0</v>
      </c>
    </row>
    <row r="830" spans="1:3" ht="14.25" customHeight="true">
      <c r="A830" s="60" t="s">
        <v>32303</v>
      </c>
      <c r="B830" s="61">
        <v>0</v>
      </c>
      <c r="C830" s="61">
        <v>0</v>
      </c>
    </row>
    <row r="831" spans="1:3" ht="14.25" customHeight="true">
      <c r="A831" s="60" t="s">
        <v>32304</v>
      </c>
      <c r="B831" s="61">
        <v>0</v>
      </c>
      <c r="C831" s="61">
        <v>0</v>
      </c>
    </row>
    <row r="832" spans="1:3" ht="14.25" customHeight="true">
      <c r="A832" s="60" t="s">
        <v>32305</v>
      </c>
      <c r="B832" s="61">
        <v>0</v>
      </c>
      <c r="C832" s="61">
        <v>0</v>
      </c>
    </row>
    <row r="833" spans="1:3" ht="14.25" customHeight="true">
      <c r="A833" s="60" t="s">
        <v>32306</v>
      </c>
      <c r="B833" s="61">
        <v>0</v>
      </c>
      <c r="C833" s="61">
        <v>0</v>
      </c>
    </row>
    <row r="834" spans="1:3" ht="14.25" customHeight="true">
      <c r="A834" s="60" t="s">
        <v>32307</v>
      </c>
      <c r="B834" s="61">
        <v>0</v>
      </c>
      <c r="C834" s="61">
        <v>0</v>
      </c>
    </row>
    <row r="835" spans="1:3" ht="14.25" customHeight="true">
      <c r="A835" s="60" t="s">
        <v>32308</v>
      </c>
      <c r="B835" s="61">
        <v>0</v>
      </c>
      <c r="C835" s="61">
        <v>0</v>
      </c>
    </row>
    <row r="836" spans="1:3" ht="14.25" customHeight="true">
      <c r="A836" s="60" t="s">
        <v>32309</v>
      </c>
      <c r="B836" s="61">
        <v>0</v>
      </c>
      <c r="C836" s="61">
        <v>0</v>
      </c>
    </row>
    <row r="837" spans="1:3" ht="14.25" customHeight="true">
      <c r="A837" s="60" t="s">
        <v>32310</v>
      </c>
      <c r="B837" s="61">
        <v>0</v>
      </c>
      <c r="C837" s="61">
        <v>0</v>
      </c>
    </row>
    <row r="838" spans="1:3" ht="14.25" customHeight="true">
      <c r="A838" s="60" t="s">
        <v>32311</v>
      </c>
      <c r="B838" s="61">
        <v>0</v>
      </c>
      <c r="C838" s="61">
        <v>0</v>
      </c>
    </row>
    <row r="839" spans="1:3" ht="14.25" customHeight="true">
      <c r="A839" s="60" t="s">
        <v>32312</v>
      </c>
      <c r="B839" s="61">
        <v>0</v>
      </c>
      <c r="C839" s="61">
        <v>0</v>
      </c>
    </row>
    <row r="840" spans="1:3" ht="14.25" customHeight="true">
      <c r="A840" s="60" t="s">
        <v>32313</v>
      </c>
      <c r="B840" s="61">
        <v>0</v>
      </c>
      <c r="C840" s="61">
        <v>0</v>
      </c>
    </row>
    <row r="841" spans="1:3" ht="14.25" customHeight="true">
      <c r="A841" s="60" t="s">
        <v>32314</v>
      </c>
      <c r="B841" s="61">
        <v>0</v>
      </c>
      <c r="C841" s="61">
        <v>0</v>
      </c>
    </row>
    <row r="842" spans="1:3" ht="14.25" customHeight="true">
      <c r="A842" s="60" t="s">
        <v>32315</v>
      </c>
      <c r="B842" s="61">
        <v>0</v>
      </c>
      <c r="C842" s="61">
        <v>0</v>
      </c>
    </row>
    <row r="843" spans="1:3" ht="14.25" customHeight="true">
      <c r="A843" s="60" t="s">
        <v>32316</v>
      </c>
      <c r="B843" s="61">
        <v>0</v>
      </c>
      <c r="C843" s="61">
        <v>0</v>
      </c>
    </row>
    <row r="844" spans="1:3" ht="14.25" customHeight="true">
      <c r="A844" s="60" t="s">
        <v>32317</v>
      </c>
      <c r="B844" s="61">
        <v>0</v>
      </c>
      <c r="C844" s="61">
        <v>0</v>
      </c>
    </row>
    <row r="845" spans="1:3" ht="14.25" customHeight="true">
      <c r="A845" s="60" t="s">
        <v>32318</v>
      </c>
      <c r="B845" s="61">
        <v>0</v>
      </c>
      <c r="C845" s="61">
        <v>0</v>
      </c>
    </row>
    <row r="846" spans="1:3" ht="14.25" customHeight="true">
      <c r="A846" s="60" t="s">
        <v>32319</v>
      </c>
      <c r="B846" s="61">
        <v>0</v>
      </c>
      <c r="C846" s="61">
        <v>0</v>
      </c>
    </row>
    <row r="847" spans="1:3" ht="14.25" customHeight="true">
      <c r="A847" s="60" t="s">
        <v>32320</v>
      </c>
      <c r="B847" s="61">
        <v>0</v>
      </c>
      <c r="C847" s="61">
        <v>0</v>
      </c>
    </row>
    <row r="848" spans="1:3" ht="14.25" customHeight="true">
      <c r="A848" s="60" t="s">
        <v>32321</v>
      </c>
      <c r="B848" s="61">
        <v>0</v>
      </c>
      <c r="C848" s="61">
        <v>0</v>
      </c>
    </row>
    <row r="849" spans="1:3" ht="14.25" customHeight="true">
      <c r="A849" s="60" t="s">
        <v>32322</v>
      </c>
      <c r="B849" s="61">
        <v>0</v>
      </c>
      <c r="C849" s="61">
        <v>0</v>
      </c>
    </row>
    <row r="850" spans="1:3" ht="14.25" customHeight="true">
      <c r="A850" s="60" t="s">
        <v>32323</v>
      </c>
      <c r="B850" s="61">
        <v>0</v>
      </c>
      <c r="C850" s="61">
        <v>0</v>
      </c>
    </row>
    <row r="851" spans="1:3" ht="14.25" customHeight="true">
      <c r="A851" s="60" t="s">
        <v>32324</v>
      </c>
      <c r="B851" s="61">
        <v>0</v>
      </c>
      <c r="C851" s="61">
        <v>0</v>
      </c>
    </row>
    <row r="852" spans="1:3" ht="14.25" customHeight="true">
      <c r="A852" s="60" t="s">
        <v>32325</v>
      </c>
      <c r="B852" s="61">
        <v>0</v>
      </c>
      <c r="C852" s="61">
        <v>0</v>
      </c>
    </row>
    <row r="853" spans="1:3" ht="14.25" customHeight="true">
      <c r="A853" s="60" t="s">
        <v>32326</v>
      </c>
      <c r="B853" s="61">
        <v>0</v>
      </c>
      <c r="C853" s="61">
        <v>0</v>
      </c>
    </row>
    <row r="854" spans="1:3" ht="14.25" customHeight="true">
      <c r="A854" s="60" t="s">
        <v>32327</v>
      </c>
      <c r="B854" s="61">
        <v>0</v>
      </c>
      <c r="C854" s="61">
        <v>0</v>
      </c>
    </row>
    <row r="855" spans="1:3" ht="14.25" customHeight="true">
      <c r="A855" s="60" t="s">
        <v>32328</v>
      </c>
      <c r="B855" s="61">
        <v>0</v>
      </c>
      <c r="C855" s="61">
        <v>0</v>
      </c>
    </row>
    <row r="856" spans="1:3" ht="14.25" customHeight="true">
      <c r="A856" s="60" t="s">
        <v>32329</v>
      </c>
      <c r="B856" s="61">
        <v>0</v>
      </c>
      <c r="C856" s="61">
        <v>0</v>
      </c>
    </row>
    <row r="857" spans="1:3" ht="14.25" customHeight="true">
      <c r="A857" s="60" t="s">
        <v>32330</v>
      </c>
      <c r="B857" s="61">
        <v>0</v>
      </c>
      <c r="C857" s="61">
        <v>0</v>
      </c>
    </row>
    <row r="858" spans="1:3" ht="14.25" customHeight="true">
      <c r="A858" s="60" t="s">
        <v>32331</v>
      </c>
      <c r="B858" s="61">
        <v>0</v>
      </c>
      <c r="C858" s="61">
        <v>0</v>
      </c>
    </row>
    <row r="859" spans="1:3" ht="14.25" customHeight="true">
      <c r="A859" s="60" t="s">
        <v>32332</v>
      </c>
      <c r="B859" s="61">
        <v>0</v>
      </c>
      <c r="C859" s="61">
        <v>0</v>
      </c>
    </row>
    <row r="860" spans="1:3" ht="14.25" customHeight="true">
      <c r="A860" s="60" t="s">
        <v>32333</v>
      </c>
      <c r="B860" s="61">
        <v>0</v>
      </c>
      <c r="C860" s="61">
        <v>0</v>
      </c>
    </row>
    <row r="861" spans="1:3" ht="14.25" customHeight="true">
      <c r="A861" s="60" t="s">
        <v>32334</v>
      </c>
      <c r="B861" s="61">
        <v>0</v>
      </c>
      <c r="C861" s="61">
        <v>0</v>
      </c>
    </row>
    <row r="862" spans="1:3" ht="14.25" customHeight="true">
      <c r="A862" s="60" t="s">
        <v>32335</v>
      </c>
      <c r="B862" s="61">
        <v>0</v>
      </c>
      <c r="C862" s="61">
        <v>0</v>
      </c>
    </row>
    <row r="863" spans="1:3" ht="14.25" customHeight="true">
      <c r="A863" s="60" t="s">
        <v>32336</v>
      </c>
      <c r="B863" s="61">
        <v>0</v>
      </c>
      <c r="C863" s="61">
        <v>0</v>
      </c>
    </row>
    <row r="864" spans="1:3" ht="14.25" customHeight="true">
      <c r="A864" s="60" t="s">
        <v>32337</v>
      </c>
      <c r="B864" s="61">
        <v>0</v>
      </c>
      <c r="C864" s="61">
        <v>0</v>
      </c>
    </row>
    <row r="865" spans="1:3" ht="14.25" customHeight="true">
      <c r="A865" s="60" t="s">
        <v>32338</v>
      </c>
      <c r="B865" s="61">
        <v>0</v>
      </c>
      <c r="C865" s="61">
        <v>0</v>
      </c>
    </row>
    <row r="866" spans="1:3" ht="14.25" customHeight="true">
      <c r="A866" s="60" t="s">
        <v>32339</v>
      </c>
      <c r="B866" s="61">
        <v>0</v>
      </c>
      <c r="C866" s="61">
        <v>0</v>
      </c>
    </row>
    <row r="867" spans="1:3" ht="14.25" customHeight="true">
      <c r="A867" s="60" t="s">
        <v>32340</v>
      </c>
      <c r="B867" s="61">
        <v>0</v>
      </c>
      <c r="C867" s="61">
        <v>0</v>
      </c>
    </row>
    <row r="868" spans="1:3" ht="14.25" customHeight="true">
      <c r="A868" s="60" t="s">
        <v>32341</v>
      </c>
      <c r="B868" s="61">
        <v>0</v>
      </c>
      <c r="C868" s="61">
        <v>0</v>
      </c>
    </row>
    <row r="869" spans="1:3" ht="14.25" customHeight="true">
      <c r="A869" s="60" t="s">
        <v>32342</v>
      </c>
      <c r="B869" s="61">
        <v>0</v>
      </c>
      <c r="C869" s="61">
        <v>0</v>
      </c>
    </row>
    <row r="870" spans="1:3" ht="14.25" customHeight="true">
      <c r="A870" s="60" t="s">
        <v>32343</v>
      </c>
      <c r="B870" s="61">
        <v>0</v>
      </c>
      <c r="C870" s="61">
        <v>0</v>
      </c>
    </row>
    <row r="871" spans="1:3" ht="14.25" customHeight="true">
      <c r="A871" s="60" t="s">
        <v>32344</v>
      </c>
      <c r="B871" s="61">
        <v>0</v>
      </c>
      <c r="C871" s="61">
        <v>0</v>
      </c>
    </row>
    <row r="872" spans="1:3" ht="14.25" customHeight="true">
      <c r="A872" s="60" t="s">
        <v>32345</v>
      </c>
      <c r="B872" s="61">
        <v>0</v>
      </c>
      <c r="C872" s="61">
        <v>0</v>
      </c>
    </row>
    <row r="873" spans="1:3" ht="14.25" customHeight="true">
      <c r="A873" s="60" t="s">
        <v>32346</v>
      </c>
      <c r="B873" s="61">
        <v>0</v>
      </c>
      <c r="C873" s="61">
        <v>0</v>
      </c>
    </row>
    <row r="874" spans="1:3" ht="14.25" customHeight="true">
      <c r="A874" s="60" t="s">
        <v>32347</v>
      </c>
      <c r="B874" s="61">
        <v>0</v>
      </c>
      <c r="C874" s="61">
        <v>0</v>
      </c>
    </row>
    <row r="875" spans="1:3" ht="14.25" customHeight="true">
      <c r="A875" s="60" t="s">
        <v>32348</v>
      </c>
      <c r="B875" s="61">
        <v>0</v>
      </c>
      <c r="C875" s="61">
        <v>0</v>
      </c>
    </row>
    <row r="876" spans="1:3" ht="14.25" customHeight="true">
      <c r="A876" s="60" t="s">
        <v>32349</v>
      </c>
      <c r="B876" s="61">
        <v>0</v>
      </c>
      <c r="C876" s="61">
        <v>0</v>
      </c>
    </row>
    <row r="877" spans="1:3" ht="14.25" customHeight="true">
      <c r="A877" s="60" t="s">
        <v>32350</v>
      </c>
      <c r="B877" s="61">
        <v>0</v>
      </c>
      <c r="C877" s="61">
        <v>0</v>
      </c>
    </row>
    <row r="878" spans="1:3" ht="14.25" customHeight="true">
      <c r="A878" s="60" t="s">
        <v>32351</v>
      </c>
      <c r="B878" s="61">
        <v>0</v>
      </c>
      <c r="C878" s="61">
        <v>0</v>
      </c>
    </row>
    <row r="879" spans="1:3" ht="14.25" customHeight="true">
      <c r="A879" s="60" t="s">
        <v>32352</v>
      </c>
      <c r="B879" s="61">
        <v>0</v>
      </c>
      <c r="C879" s="61">
        <v>0</v>
      </c>
    </row>
    <row r="880" spans="1:3" ht="14.25" customHeight="true">
      <c r="A880" s="60" t="s">
        <v>32353</v>
      </c>
      <c r="B880" s="61">
        <v>0</v>
      </c>
      <c r="C880" s="61">
        <v>0</v>
      </c>
    </row>
    <row r="881" spans="1:3" ht="14.25" customHeight="true">
      <c r="A881" s="60" t="s">
        <v>32354</v>
      </c>
      <c r="B881" s="61">
        <v>0</v>
      </c>
      <c r="C881" s="61">
        <v>0</v>
      </c>
    </row>
    <row r="882" spans="1:3" ht="14.25" customHeight="true">
      <c r="A882" s="60" t="s">
        <v>32355</v>
      </c>
      <c r="B882" s="61">
        <v>0</v>
      </c>
      <c r="C882" s="61">
        <v>0</v>
      </c>
    </row>
    <row r="883" spans="1:3" ht="14.25" customHeight="true">
      <c r="A883" s="60" t="s">
        <v>32356</v>
      </c>
      <c r="B883" s="61">
        <v>0</v>
      </c>
      <c r="C883" s="61">
        <v>0</v>
      </c>
    </row>
    <row r="884" spans="1:3" ht="14.25" customHeight="true">
      <c r="A884" s="60" t="s">
        <v>32357</v>
      </c>
      <c r="B884" s="61">
        <v>0</v>
      </c>
      <c r="C884" s="61">
        <v>0</v>
      </c>
    </row>
    <row r="885" spans="1:3" ht="14.25" customHeight="true">
      <c r="A885" s="60" t="s">
        <v>32358</v>
      </c>
      <c r="B885" s="61">
        <v>0</v>
      </c>
      <c r="C885" s="61">
        <v>0</v>
      </c>
    </row>
    <row r="886" spans="1:3" ht="14.25" customHeight="true">
      <c r="A886" s="60" t="s">
        <v>32359</v>
      </c>
      <c r="B886" s="61">
        <v>0</v>
      </c>
      <c r="C886" s="61">
        <v>0</v>
      </c>
    </row>
    <row r="887" spans="1:3" ht="14.25" customHeight="true">
      <c r="A887" s="60" t="s">
        <v>32360</v>
      </c>
      <c r="B887" s="61">
        <v>0</v>
      </c>
      <c r="C887" s="61">
        <v>0</v>
      </c>
    </row>
    <row r="888" spans="1:3" ht="14.25" customHeight="true">
      <c r="A888" s="60" t="s">
        <v>32361</v>
      </c>
      <c r="B888" s="61">
        <v>0</v>
      </c>
      <c r="C888" s="61">
        <v>0</v>
      </c>
    </row>
    <row r="889" spans="1:3" ht="14.25" customHeight="true">
      <c r="A889" s="60" t="s">
        <v>32362</v>
      </c>
      <c r="B889" s="61">
        <v>0</v>
      </c>
      <c r="C889" s="61">
        <v>0</v>
      </c>
    </row>
    <row r="890" spans="1:3" ht="14.25" customHeight="true">
      <c r="A890" s="60" t="s">
        <v>32363</v>
      </c>
      <c r="B890" s="61">
        <v>0</v>
      </c>
      <c r="C890" s="61">
        <v>0</v>
      </c>
    </row>
    <row r="891" spans="1:3" ht="14.25" customHeight="true">
      <c r="A891" s="60" t="s">
        <v>32364</v>
      </c>
      <c r="B891" s="61">
        <v>0</v>
      </c>
      <c r="C891" s="61">
        <v>0</v>
      </c>
    </row>
    <row r="892" spans="1:3" ht="14.25" customHeight="true">
      <c r="A892" s="60" t="s">
        <v>32365</v>
      </c>
      <c r="B892" s="61">
        <v>0</v>
      </c>
      <c r="C892" s="61">
        <v>0</v>
      </c>
    </row>
    <row r="893" spans="1:3" ht="14.25" customHeight="true">
      <c r="A893" s="60" t="s">
        <v>32366</v>
      </c>
      <c r="B893" s="61">
        <v>0</v>
      </c>
      <c r="C893" s="61">
        <v>0</v>
      </c>
    </row>
    <row r="894" spans="1:3" ht="14.25" customHeight="true">
      <c r="A894" s="60" t="s">
        <v>32367</v>
      </c>
      <c r="B894" s="61">
        <v>0</v>
      </c>
      <c r="C894" s="61">
        <v>0</v>
      </c>
    </row>
    <row r="895" spans="1:3" ht="14.25" customHeight="true">
      <c r="A895" s="60" t="s">
        <v>32368</v>
      </c>
      <c r="B895" s="61">
        <v>0</v>
      </c>
      <c r="C895" s="61">
        <v>0</v>
      </c>
    </row>
    <row r="896" spans="1:3" ht="14.25" customHeight="true">
      <c r="A896" s="60" t="s">
        <v>32369</v>
      </c>
      <c r="B896" s="61">
        <v>0</v>
      </c>
      <c r="C896" s="61">
        <v>0</v>
      </c>
    </row>
    <row r="897" spans="1:3" ht="14.25" customHeight="true">
      <c r="A897" s="60" t="s">
        <v>32370</v>
      </c>
      <c r="B897" s="61">
        <v>0</v>
      </c>
      <c r="C897" s="61">
        <v>0</v>
      </c>
    </row>
    <row r="898" spans="1:3" ht="14.25" customHeight="true">
      <c r="A898" s="60" t="s">
        <v>32371</v>
      </c>
      <c r="B898" s="61">
        <v>0</v>
      </c>
      <c r="C898" s="61">
        <v>0</v>
      </c>
    </row>
    <row r="899" spans="1:3" ht="14.25" customHeight="true">
      <c r="A899" s="60" t="s">
        <v>32372</v>
      </c>
      <c r="B899" s="61">
        <v>0</v>
      </c>
      <c r="C899" s="61">
        <v>0</v>
      </c>
    </row>
    <row r="900" spans="1:3" ht="14.25" customHeight="true">
      <c r="A900" s="60" t="s">
        <v>32373</v>
      </c>
      <c r="B900" s="61">
        <v>0</v>
      </c>
      <c r="C900" s="61">
        <v>0</v>
      </c>
    </row>
    <row r="901" spans="1:3" ht="14.25" customHeight="true">
      <c r="A901" s="60" t="s">
        <v>32374</v>
      </c>
      <c r="B901" s="61">
        <v>0</v>
      </c>
      <c r="C901" s="61">
        <v>0</v>
      </c>
    </row>
    <row r="902" spans="1:3" ht="14.25" customHeight="true">
      <c r="A902" s="60" t="s">
        <v>32375</v>
      </c>
      <c r="B902" s="61">
        <v>0</v>
      </c>
      <c r="C902" s="61">
        <v>0</v>
      </c>
    </row>
    <row r="903" spans="1:3" ht="14.25" customHeight="true">
      <c r="A903" s="60" t="s">
        <v>32376</v>
      </c>
      <c r="B903" s="61">
        <v>0</v>
      </c>
      <c r="C903" s="61">
        <v>0</v>
      </c>
    </row>
    <row r="904" spans="1:3" ht="14.25" customHeight="true">
      <c r="A904" s="60" t="s">
        <v>32377</v>
      </c>
      <c r="B904" s="61">
        <v>0</v>
      </c>
      <c r="C904" s="61">
        <v>0</v>
      </c>
    </row>
    <row r="905" spans="1:3" ht="14.25" customHeight="true">
      <c r="A905" s="60" t="s">
        <v>32378</v>
      </c>
      <c r="B905" s="61">
        <v>0</v>
      </c>
      <c r="C905" s="61">
        <v>0</v>
      </c>
    </row>
    <row r="906" spans="1:3" ht="14.25" customHeight="true">
      <c r="A906" s="60" t="s">
        <v>32379</v>
      </c>
      <c r="B906" s="61">
        <v>0</v>
      </c>
      <c r="C906" s="61">
        <v>0</v>
      </c>
    </row>
    <row r="907" spans="1:3" ht="14.25" customHeight="true">
      <c r="A907" s="60" t="s">
        <v>32380</v>
      </c>
      <c r="B907" s="61">
        <v>0</v>
      </c>
      <c r="C907" s="61">
        <v>0</v>
      </c>
    </row>
    <row r="908" spans="1:3" ht="14.25" customHeight="true">
      <c r="A908" s="60" t="s">
        <v>32381</v>
      </c>
      <c r="B908" s="61">
        <v>0</v>
      </c>
      <c r="C908" s="61">
        <v>0</v>
      </c>
    </row>
    <row r="909" spans="1:3" ht="14.25" customHeight="true">
      <c r="A909" s="60" t="s">
        <v>32382</v>
      </c>
      <c r="B909" s="61">
        <v>0</v>
      </c>
      <c r="C909" s="61">
        <v>0</v>
      </c>
    </row>
    <row r="910" spans="1:3" ht="14.25" customHeight="true">
      <c r="A910" s="60" t="s">
        <v>32383</v>
      </c>
      <c r="B910" s="61">
        <v>0</v>
      </c>
      <c r="C910" s="61">
        <v>0</v>
      </c>
    </row>
    <row r="911" spans="1:3" ht="14.25" customHeight="true">
      <c r="A911" s="60" t="s">
        <v>32384</v>
      </c>
      <c r="B911" s="61">
        <v>0</v>
      </c>
      <c r="C911" s="61">
        <v>0</v>
      </c>
    </row>
    <row r="912" spans="1:3" ht="14.25" customHeight="true">
      <c r="A912" s="60" t="s">
        <v>32385</v>
      </c>
      <c r="B912" s="61">
        <v>0</v>
      </c>
      <c r="C912" s="61">
        <v>0</v>
      </c>
    </row>
    <row r="913" spans="1:3" ht="14.25" customHeight="true">
      <c r="A913" s="60" t="s">
        <v>32386</v>
      </c>
      <c r="B913" s="61">
        <v>0</v>
      </c>
      <c r="C913" s="61">
        <v>0</v>
      </c>
    </row>
    <row r="914" spans="1:3" ht="14.25" customHeight="true">
      <c r="A914" s="60" t="s">
        <v>32387</v>
      </c>
      <c r="B914" s="61">
        <v>0</v>
      </c>
      <c r="C914" s="61">
        <v>0</v>
      </c>
    </row>
    <row r="915" spans="1:3" ht="14.25" customHeight="true">
      <c r="A915" s="60" t="s">
        <v>32388</v>
      </c>
      <c r="B915" s="61">
        <v>0</v>
      </c>
      <c r="C915" s="61">
        <v>0</v>
      </c>
    </row>
    <row r="916" spans="1:3" ht="14.25" customHeight="true">
      <c r="A916" s="60" t="s">
        <v>32389</v>
      </c>
      <c r="B916" s="61">
        <v>0</v>
      </c>
      <c r="C916" s="61">
        <v>0</v>
      </c>
    </row>
    <row r="917" spans="1:3" ht="14.25" customHeight="true">
      <c r="A917" s="60" t="s">
        <v>32390</v>
      </c>
      <c r="B917" s="61">
        <v>0</v>
      </c>
      <c r="C917" s="61">
        <v>0</v>
      </c>
    </row>
    <row r="918" spans="1:3" ht="14.25" customHeight="true">
      <c r="A918" s="60" t="s">
        <v>32391</v>
      </c>
      <c r="B918" s="61">
        <v>0</v>
      </c>
      <c r="C918" s="61">
        <v>0</v>
      </c>
    </row>
    <row r="919" spans="1:3" ht="14.25" customHeight="true">
      <c r="A919" s="60" t="s">
        <v>32392</v>
      </c>
      <c r="B919" s="61">
        <v>0</v>
      </c>
      <c r="C919" s="61">
        <v>0</v>
      </c>
    </row>
    <row r="920" spans="1:3" ht="14.25" customHeight="true">
      <c r="A920" s="60" t="s">
        <v>32393</v>
      </c>
      <c r="B920" s="61">
        <v>0</v>
      </c>
      <c r="C920" s="61">
        <v>0</v>
      </c>
    </row>
    <row r="921" spans="1:3" ht="14.25" customHeight="true">
      <c r="A921" s="60" t="s">
        <v>32394</v>
      </c>
      <c r="B921" s="61">
        <v>0</v>
      </c>
      <c r="C921" s="61">
        <v>0</v>
      </c>
    </row>
    <row r="922" spans="1:3" ht="14.25" customHeight="true">
      <c r="A922" s="60" t="s">
        <v>32395</v>
      </c>
      <c r="B922" s="61">
        <v>0</v>
      </c>
      <c r="C922" s="61">
        <v>0</v>
      </c>
    </row>
    <row r="923" spans="1:3" ht="14.25" customHeight="true">
      <c r="A923" s="60" t="s">
        <v>32396</v>
      </c>
      <c r="B923" s="61">
        <v>0</v>
      </c>
      <c r="C923" s="61">
        <v>0</v>
      </c>
    </row>
    <row r="924" spans="1:3" ht="14.25" customHeight="true">
      <c r="A924" s="60" t="s">
        <v>32397</v>
      </c>
      <c r="B924" s="61">
        <v>0</v>
      </c>
      <c r="C924" s="61">
        <v>0</v>
      </c>
    </row>
    <row r="925" spans="1:3" ht="14.25" customHeight="true">
      <c r="A925" s="60" t="s">
        <v>32398</v>
      </c>
      <c r="B925" s="61">
        <v>0</v>
      </c>
      <c r="C925" s="61">
        <v>0</v>
      </c>
    </row>
    <row r="926" spans="1:3" ht="14.25" customHeight="true">
      <c r="A926" s="60" t="s">
        <v>32399</v>
      </c>
      <c r="B926" s="61">
        <v>0</v>
      </c>
      <c r="C926" s="61">
        <v>0</v>
      </c>
    </row>
    <row r="927" spans="1:3" ht="14.25" customHeight="true">
      <c r="A927" s="60" t="s">
        <v>32400</v>
      </c>
      <c r="B927" s="61">
        <v>0</v>
      </c>
      <c r="C927" s="61">
        <v>0</v>
      </c>
    </row>
    <row r="928" spans="1:3" ht="14.25" customHeight="true">
      <c r="A928" s="60" t="s">
        <v>32401</v>
      </c>
      <c r="B928" s="61">
        <v>0</v>
      </c>
      <c r="C928" s="61">
        <v>0</v>
      </c>
    </row>
    <row r="929" spans="1:3" ht="14.25" customHeight="true">
      <c r="A929" s="60" t="s">
        <v>32402</v>
      </c>
      <c r="B929" s="61">
        <v>0</v>
      </c>
      <c r="C929" s="61">
        <v>0</v>
      </c>
    </row>
    <row r="930" spans="1:3" ht="14.25" customHeight="true">
      <c r="A930" s="60" t="s">
        <v>32403</v>
      </c>
      <c r="B930" s="61">
        <v>0</v>
      </c>
      <c r="C930" s="61">
        <v>0</v>
      </c>
    </row>
    <row r="931" spans="1:3" ht="14.25" customHeight="true">
      <c r="A931" s="60" t="s">
        <v>32404</v>
      </c>
      <c r="B931" s="61">
        <v>0</v>
      </c>
      <c r="C931" s="61">
        <v>0</v>
      </c>
    </row>
    <row r="932" spans="1:3" ht="14.25" customHeight="true">
      <c r="A932" s="60" t="s">
        <v>32405</v>
      </c>
      <c r="B932" s="61">
        <v>0</v>
      </c>
      <c r="C932" s="61">
        <v>0</v>
      </c>
    </row>
    <row r="933" spans="1:3" ht="14.25" customHeight="true">
      <c r="A933" s="60" t="s">
        <v>32406</v>
      </c>
      <c r="B933" s="61">
        <v>0</v>
      </c>
      <c r="C933" s="61">
        <v>0</v>
      </c>
    </row>
    <row r="934" spans="1:3" ht="14.25" customHeight="true">
      <c r="A934" s="60" t="s">
        <v>32407</v>
      </c>
      <c r="B934" s="61">
        <v>0</v>
      </c>
      <c r="C934" s="61">
        <v>0</v>
      </c>
    </row>
    <row r="935" spans="1:3" ht="14.25" customHeight="true">
      <c r="A935" s="60" t="s">
        <v>32408</v>
      </c>
      <c r="B935" s="61">
        <v>0</v>
      </c>
      <c r="C935" s="61">
        <v>0</v>
      </c>
    </row>
    <row r="936" spans="1:3" ht="14.25" customHeight="true">
      <c r="A936" s="60" t="s">
        <v>32409</v>
      </c>
      <c r="B936" s="61">
        <v>0</v>
      </c>
      <c r="C936" s="61">
        <v>0</v>
      </c>
    </row>
    <row r="937" spans="1:3" ht="14.25" customHeight="true">
      <c r="A937" s="60" t="s">
        <v>32410</v>
      </c>
      <c r="B937" s="61">
        <v>0</v>
      </c>
      <c r="C937" s="61">
        <v>0</v>
      </c>
    </row>
    <row r="938" spans="1:3" ht="14.25" customHeight="true">
      <c r="A938" s="60" t="s">
        <v>32411</v>
      </c>
      <c r="B938" s="61">
        <v>0</v>
      </c>
      <c r="C938" s="61">
        <v>0</v>
      </c>
    </row>
    <row r="939" spans="1:3" ht="14.25" customHeight="true">
      <c r="A939" s="60" t="s">
        <v>32412</v>
      </c>
      <c r="B939" s="61">
        <v>0</v>
      </c>
      <c r="C939" s="61">
        <v>0</v>
      </c>
    </row>
    <row r="940" spans="1:3" ht="14.25" customHeight="true">
      <c r="A940" s="60" t="s">
        <v>32413</v>
      </c>
      <c r="B940" s="61">
        <v>0</v>
      </c>
      <c r="C940" s="61">
        <v>0</v>
      </c>
    </row>
    <row r="941" spans="1:3" ht="14.25" customHeight="true">
      <c r="A941" s="60" t="s">
        <v>32414</v>
      </c>
      <c r="B941" s="61">
        <v>0</v>
      </c>
      <c r="C941" s="61">
        <v>0</v>
      </c>
    </row>
    <row r="942" spans="1:3" ht="14.25" customHeight="true">
      <c r="A942" s="60" t="s">
        <v>32415</v>
      </c>
      <c r="B942" s="61">
        <v>0</v>
      </c>
      <c r="C942" s="61">
        <v>0</v>
      </c>
    </row>
    <row r="943" spans="1:3" ht="14.25" customHeight="true">
      <c r="A943" s="60" t="s">
        <v>32416</v>
      </c>
      <c r="B943" s="61">
        <v>0</v>
      </c>
      <c r="C943" s="61">
        <v>0</v>
      </c>
    </row>
    <row r="944" spans="1:3" ht="14.25" customHeight="true">
      <c r="A944" s="60" t="s">
        <v>32417</v>
      </c>
      <c r="B944" s="61">
        <v>0</v>
      </c>
      <c r="C944" s="61">
        <v>0</v>
      </c>
    </row>
    <row r="945" spans="1:3" ht="14.25" customHeight="true">
      <c r="A945" s="60" t="s">
        <v>32418</v>
      </c>
      <c r="B945" s="61">
        <v>0</v>
      </c>
      <c r="C945" s="61">
        <v>0</v>
      </c>
    </row>
    <row r="946" spans="1:3" ht="14.25" customHeight="true">
      <c r="A946" s="60" t="s">
        <v>32419</v>
      </c>
      <c r="B946" s="61">
        <v>0</v>
      </c>
      <c r="C946" s="61">
        <v>0</v>
      </c>
    </row>
    <row r="947" spans="1:3" ht="14.25" customHeight="true">
      <c r="A947" s="60" t="s">
        <v>32420</v>
      </c>
      <c r="B947" s="61">
        <v>0</v>
      </c>
      <c r="C947" s="61">
        <v>0</v>
      </c>
    </row>
    <row r="948" spans="1:3" ht="14.25" customHeight="true">
      <c r="A948" s="60" t="s">
        <v>32421</v>
      </c>
      <c r="B948" s="61">
        <v>0</v>
      </c>
      <c r="C948" s="61">
        <v>0</v>
      </c>
    </row>
    <row r="949" spans="1:3" ht="14.25" customHeight="true">
      <c r="A949" s="60" t="s">
        <v>32422</v>
      </c>
      <c r="B949" s="61">
        <v>0</v>
      </c>
      <c r="C949" s="61">
        <v>0</v>
      </c>
    </row>
    <row r="950" spans="1:3" ht="14.25" customHeight="true">
      <c r="A950" s="60" t="s">
        <v>32423</v>
      </c>
      <c r="B950" s="61">
        <v>0</v>
      </c>
      <c r="C950" s="61">
        <v>0</v>
      </c>
    </row>
    <row r="951" spans="1:3" ht="14.25" customHeight="true">
      <c r="A951" s="60" t="s">
        <v>32424</v>
      </c>
      <c r="B951" s="61">
        <v>0</v>
      </c>
      <c r="C951" s="61">
        <v>0</v>
      </c>
    </row>
    <row r="952" spans="1:3" ht="14.25" customHeight="true">
      <c r="A952" s="60" t="s">
        <v>32425</v>
      </c>
      <c r="B952" s="61">
        <v>0</v>
      </c>
      <c r="C952" s="61">
        <v>0</v>
      </c>
    </row>
    <row r="953" spans="1:3" ht="14.25" customHeight="true">
      <c r="A953" s="60" t="s">
        <v>32426</v>
      </c>
      <c r="B953" s="61">
        <v>0</v>
      </c>
      <c r="C953" s="61">
        <v>0</v>
      </c>
    </row>
    <row r="954" spans="1:3" ht="14.25" customHeight="true">
      <c r="A954" s="60" t="s">
        <v>32427</v>
      </c>
      <c r="B954" s="61">
        <v>0</v>
      </c>
      <c r="C954" s="61">
        <v>0</v>
      </c>
    </row>
    <row r="955" spans="1:3" ht="14.25" customHeight="true">
      <c r="A955" s="60" t="s">
        <v>32428</v>
      </c>
      <c r="B955" s="61">
        <v>0</v>
      </c>
      <c r="C955" s="61">
        <v>0</v>
      </c>
    </row>
    <row r="956" spans="1:3" ht="14.25" customHeight="true">
      <c r="A956" s="60" t="s">
        <v>32429</v>
      </c>
      <c r="B956" s="61">
        <v>0</v>
      </c>
      <c r="C956" s="61">
        <v>0</v>
      </c>
    </row>
    <row r="957" spans="1:3" ht="14.25" customHeight="true">
      <c r="A957" s="60" t="s">
        <v>32430</v>
      </c>
      <c r="B957" s="61">
        <v>0</v>
      </c>
      <c r="C957" s="61">
        <v>0</v>
      </c>
    </row>
    <row r="958" spans="1:3" ht="14.25" customHeight="true">
      <c r="A958" s="60" t="s">
        <v>32431</v>
      </c>
      <c r="B958" s="61">
        <v>0</v>
      </c>
      <c r="C958" s="61">
        <v>0</v>
      </c>
    </row>
    <row r="959" spans="1:3" ht="14.25" customHeight="true">
      <c r="A959" s="60" t="s">
        <v>32432</v>
      </c>
      <c r="B959" s="61">
        <v>0</v>
      </c>
      <c r="C959" s="61">
        <v>0</v>
      </c>
    </row>
    <row r="960" spans="1:3" ht="14.25" customHeight="true">
      <c r="A960" s="60" t="s">
        <v>32433</v>
      </c>
      <c r="B960" s="61">
        <v>0</v>
      </c>
      <c r="C960" s="61">
        <v>0</v>
      </c>
    </row>
    <row r="961" spans="1:3" ht="14.25" customHeight="true">
      <c r="A961" s="60" t="s">
        <v>32434</v>
      </c>
      <c r="B961" s="61">
        <v>0</v>
      </c>
      <c r="C961" s="61">
        <v>0</v>
      </c>
    </row>
    <row r="962" spans="1:3" ht="14.25" customHeight="true">
      <c r="A962" s="60" t="s">
        <v>32435</v>
      </c>
      <c r="B962" s="61">
        <v>0</v>
      </c>
      <c r="C962" s="61">
        <v>0</v>
      </c>
    </row>
    <row r="963" spans="1:3" ht="14.25" customHeight="true">
      <c r="A963" s="60" t="s">
        <v>32436</v>
      </c>
      <c r="B963" s="61">
        <v>0</v>
      </c>
      <c r="C963" s="61">
        <v>0</v>
      </c>
    </row>
    <row r="964" spans="1:3" ht="14.25" customHeight="true">
      <c r="A964" s="60" t="s">
        <v>32437</v>
      </c>
      <c r="B964" s="61">
        <v>0</v>
      </c>
      <c r="C964" s="61">
        <v>0</v>
      </c>
    </row>
    <row r="965" spans="1:3" ht="14.25" customHeight="true">
      <c r="A965" s="60" t="s">
        <v>32438</v>
      </c>
      <c r="B965" s="61">
        <v>0</v>
      </c>
      <c r="C965" s="61">
        <v>0</v>
      </c>
    </row>
    <row r="966" spans="1:3" ht="14.25" customHeight="true">
      <c r="A966" s="60" t="s">
        <v>32439</v>
      </c>
      <c r="B966" s="61">
        <v>0</v>
      </c>
      <c r="C966" s="61">
        <v>0</v>
      </c>
    </row>
    <row r="967" spans="1:3" ht="14.25" customHeight="true">
      <c r="A967" s="60" t="s">
        <v>32440</v>
      </c>
      <c r="B967" s="61">
        <v>0</v>
      </c>
      <c r="C967" s="61">
        <v>0</v>
      </c>
    </row>
    <row r="968" spans="1:3" ht="14.25" customHeight="true">
      <c r="A968" s="60" t="s">
        <v>32441</v>
      </c>
      <c r="B968" s="61">
        <v>0</v>
      </c>
      <c r="C968" s="61">
        <v>0</v>
      </c>
    </row>
    <row r="969" spans="1:3" ht="14.25" customHeight="true">
      <c r="A969" s="60" t="s">
        <v>32442</v>
      </c>
      <c r="B969" s="61">
        <v>0</v>
      </c>
      <c r="C969" s="61">
        <v>0</v>
      </c>
    </row>
    <row r="970" spans="1:3" ht="14.25" customHeight="true">
      <c r="A970" s="60" t="s">
        <v>32443</v>
      </c>
      <c r="B970" s="61">
        <v>0</v>
      </c>
      <c r="C970" s="61">
        <v>0</v>
      </c>
    </row>
    <row r="971" spans="1:3" ht="14.25" customHeight="true">
      <c r="A971" s="60" t="s">
        <v>32444</v>
      </c>
      <c r="B971" s="61">
        <v>0</v>
      </c>
      <c r="C971" s="61">
        <v>0</v>
      </c>
    </row>
    <row r="972" spans="1:3" ht="14.25" customHeight="true">
      <c r="A972" s="60" t="s">
        <v>32445</v>
      </c>
      <c r="B972" s="61">
        <v>0</v>
      </c>
      <c r="C972" s="61">
        <v>0</v>
      </c>
    </row>
    <row r="973" spans="1:3" ht="14.25" customHeight="true">
      <c r="A973" s="60" t="s">
        <v>32446</v>
      </c>
      <c r="B973" s="61">
        <v>0</v>
      </c>
      <c r="C973" s="61">
        <v>0</v>
      </c>
    </row>
    <row r="974" spans="1:3" ht="14.25" customHeight="true">
      <c r="A974" s="60" t="s">
        <v>32447</v>
      </c>
      <c r="B974" s="61">
        <v>0</v>
      </c>
      <c r="C974" s="61">
        <v>0</v>
      </c>
    </row>
    <row r="975" spans="1:3" ht="14.25" customHeight="true">
      <c r="A975" s="60" t="s">
        <v>32448</v>
      </c>
      <c r="B975" s="61">
        <v>0</v>
      </c>
      <c r="C975" s="61">
        <v>0</v>
      </c>
    </row>
    <row r="976" spans="1:3" ht="14.25" customHeight="true">
      <c r="A976" s="60" t="s">
        <v>32449</v>
      </c>
      <c r="B976" s="61">
        <v>0</v>
      </c>
      <c r="C976" s="61">
        <v>0</v>
      </c>
    </row>
    <row r="977" spans="1:3" ht="14.25" customHeight="true">
      <c r="A977" s="60" t="s">
        <v>32450</v>
      </c>
      <c r="B977" s="61">
        <v>0</v>
      </c>
      <c r="C977" s="61">
        <v>0</v>
      </c>
    </row>
    <row r="978" spans="1:3" ht="14.25" customHeight="true">
      <c r="A978" s="60" t="s">
        <v>32451</v>
      </c>
      <c r="B978" s="61">
        <v>0</v>
      </c>
      <c r="C978" s="61">
        <v>0</v>
      </c>
    </row>
    <row r="979" spans="1:3" ht="14.25" customHeight="true">
      <c r="A979" s="60" t="s">
        <v>32452</v>
      </c>
      <c r="B979" s="61">
        <v>0</v>
      </c>
      <c r="C979" s="61">
        <v>0</v>
      </c>
    </row>
    <row r="980" spans="1:3" ht="14.25" customHeight="true">
      <c r="A980" s="60" t="s">
        <v>32453</v>
      </c>
      <c r="B980" s="61">
        <v>0</v>
      </c>
      <c r="C980" s="61">
        <v>0</v>
      </c>
    </row>
    <row r="981" spans="1:3" ht="14.25" customHeight="true">
      <c r="A981" s="60" t="s">
        <v>32454</v>
      </c>
      <c r="B981" s="61">
        <v>0</v>
      </c>
      <c r="C981" s="61">
        <v>0</v>
      </c>
    </row>
    <row r="982" spans="1:3" ht="14.25" customHeight="true">
      <c r="A982" s="60" t="s">
        <v>32455</v>
      </c>
      <c r="B982" s="61">
        <v>0</v>
      </c>
      <c r="C982" s="61">
        <v>0</v>
      </c>
    </row>
    <row r="983" spans="1:3" ht="14.25" customHeight="true">
      <c r="A983" s="60" t="s">
        <v>32456</v>
      </c>
      <c r="B983" s="61">
        <v>0</v>
      </c>
      <c r="C983" s="61">
        <v>0</v>
      </c>
    </row>
    <row r="984" spans="1:3" ht="14.25" customHeight="true">
      <c r="A984" s="60" t="s">
        <v>32457</v>
      </c>
      <c r="B984" s="61">
        <v>0</v>
      </c>
      <c r="C984" s="61">
        <v>0</v>
      </c>
    </row>
    <row r="985" spans="1:3" ht="14.25" customHeight="true">
      <c r="A985" s="60" t="s">
        <v>32458</v>
      </c>
      <c r="B985" s="61">
        <v>0</v>
      </c>
      <c r="C985" s="61">
        <v>0</v>
      </c>
    </row>
    <row r="986" spans="1:3" ht="14.25" customHeight="true">
      <c r="A986" s="60" t="s">
        <v>32459</v>
      </c>
      <c r="B986" s="61">
        <v>0</v>
      </c>
      <c r="C986" s="61">
        <v>0</v>
      </c>
    </row>
    <row r="987" spans="1:3" ht="14.25" customHeight="true">
      <c r="A987" s="60" t="s">
        <v>32460</v>
      </c>
      <c r="B987" s="61">
        <v>0</v>
      </c>
      <c r="C987" s="61">
        <v>0</v>
      </c>
    </row>
    <row r="988" spans="1:3" ht="14.25" customHeight="true">
      <c r="A988" s="60" t="s">
        <v>32461</v>
      </c>
      <c r="B988" s="61">
        <v>0</v>
      </c>
      <c r="C988" s="61">
        <v>0</v>
      </c>
    </row>
    <row r="989" spans="1:3" ht="14.25" customHeight="true">
      <c r="A989" s="60" t="s">
        <v>32462</v>
      </c>
      <c r="B989" s="61">
        <v>0</v>
      </c>
      <c r="C989" s="61">
        <v>0</v>
      </c>
    </row>
    <row r="990" spans="1:3" ht="14.25" customHeight="true">
      <c r="A990" s="60" t="s">
        <v>32463</v>
      </c>
      <c r="B990" s="61">
        <v>0</v>
      </c>
      <c r="C990" s="61">
        <v>0</v>
      </c>
    </row>
    <row r="991" spans="1:3" ht="14.25" customHeight="true">
      <c r="A991" s="60" t="s">
        <v>32464</v>
      </c>
      <c r="B991" s="61">
        <v>0</v>
      </c>
      <c r="C991" s="61">
        <v>0</v>
      </c>
    </row>
    <row r="992" spans="1:3" ht="14.25" customHeight="true">
      <c r="A992" s="60" t="s">
        <v>32465</v>
      </c>
      <c r="B992" s="61">
        <v>0</v>
      </c>
      <c r="C992" s="61">
        <v>0</v>
      </c>
    </row>
    <row r="993" spans="1:3" ht="14.25" customHeight="true">
      <c r="A993" s="60" t="s">
        <v>32466</v>
      </c>
      <c r="B993" s="61">
        <v>0</v>
      </c>
      <c r="C993" s="61">
        <v>0</v>
      </c>
    </row>
    <row r="994" spans="1:3" ht="14.25" customHeight="true">
      <c r="A994" s="60" t="s">
        <v>32467</v>
      </c>
      <c r="B994" s="61">
        <v>0</v>
      </c>
      <c r="C994" s="61">
        <v>0</v>
      </c>
    </row>
    <row r="995" spans="1:3" ht="14.25" customHeight="true">
      <c r="A995" s="60" t="s">
        <v>32468</v>
      </c>
      <c r="B995" s="61">
        <v>0</v>
      </c>
      <c r="C995" s="61">
        <v>0</v>
      </c>
    </row>
    <row r="996" spans="1:3" ht="14.25" customHeight="true">
      <c r="A996" s="60" t="s">
        <v>32469</v>
      </c>
      <c r="B996" s="61">
        <v>0</v>
      </c>
      <c r="C996" s="61">
        <v>0</v>
      </c>
    </row>
    <row r="997" spans="1:3" ht="14.25" customHeight="true">
      <c r="A997" s="60" t="s">
        <v>32470</v>
      </c>
      <c r="B997" s="61">
        <v>0</v>
      </c>
      <c r="C997" s="61">
        <v>0</v>
      </c>
    </row>
    <row r="998" spans="1:3" ht="14.25" customHeight="true">
      <c r="A998" s="60" t="s">
        <v>32471</v>
      </c>
      <c r="B998" s="61">
        <v>0</v>
      </c>
      <c r="C998" s="61">
        <v>0</v>
      </c>
    </row>
    <row r="999" spans="1:3" ht="14.25" customHeight="true">
      <c r="A999" s="60" t="s">
        <v>32472</v>
      </c>
      <c r="B999" s="61">
        <v>0</v>
      </c>
      <c r="C999" s="61">
        <v>0</v>
      </c>
    </row>
    <row r="1000" spans="1:3" ht="14.25" customHeight="true">
      <c r="A1000" s="60" t="s">
        <v>32473</v>
      </c>
      <c r="B1000" s="61">
        <v>0</v>
      </c>
      <c r="C1000" s="61">
        <v>0</v>
      </c>
    </row>
    <row r="1001" spans="1:3" ht="14.25" customHeight="true">
      <c r="A1001" s="60" t="s">
        <v>32474</v>
      </c>
      <c r="B1001" s="61">
        <v>0</v>
      </c>
      <c r="C1001" s="61">
        <v>0</v>
      </c>
    </row>
    <row r="1002" spans="1:3" ht="14.25" customHeight="true">
      <c r="A1002" s="60" t="s">
        <v>32475</v>
      </c>
      <c r="B1002" s="61">
        <v>0</v>
      </c>
      <c r="C1002" s="61">
        <v>0</v>
      </c>
    </row>
    <row r="1003" spans="1:3" ht="14.25" customHeight="true">
      <c r="A1003" s="60" t="s">
        <v>32476</v>
      </c>
      <c r="B1003" s="61">
        <v>0</v>
      </c>
      <c r="C1003" s="61">
        <v>0</v>
      </c>
    </row>
    <row r="1004" spans="1:3" ht="14.25" customHeight="true">
      <c r="A1004" s="60" t="s">
        <v>32477</v>
      </c>
      <c r="B1004" s="61">
        <v>0</v>
      </c>
      <c r="C1004" s="61">
        <v>0</v>
      </c>
    </row>
    <row r="1005" spans="1:3" ht="14.25" customHeight="true">
      <c r="A1005" s="60" t="s">
        <v>32478</v>
      </c>
      <c r="B1005" s="61">
        <v>0</v>
      </c>
      <c r="C1005" s="61">
        <v>0</v>
      </c>
    </row>
    <row r="1006" spans="1:3" ht="14.25" customHeight="true">
      <c r="A1006" s="60" t="s">
        <v>32479</v>
      </c>
      <c r="B1006" s="61">
        <v>0</v>
      </c>
      <c r="C1006" s="61">
        <v>0</v>
      </c>
    </row>
    <row r="1007" spans="1:3" ht="14.25" customHeight="true">
      <c r="A1007" s="60" t="s">
        <v>32480</v>
      </c>
      <c r="B1007" s="61">
        <v>0</v>
      </c>
      <c r="C1007" s="61">
        <v>0</v>
      </c>
    </row>
    <row r="1008" spans="1:3" ht="14.25" customHeight="true">
      <c r="A1008" s="60" t="s">
        <v>32481</v>
      </c>
      <c r="B1008" s="61">
        <v>0</v>
      </c>
      <c r="C1008" s="61">
        <v>0</v>
      </c>
    </row>
    <row r="1009" spans="1:3" ht="14.25" customHeight="true">
      <c r="A1009" s="60" t="s">
        <v>32482</v>
      </c>
      <c r="B1009" s="61">
        <v>0</v>
      </c>
      <c r="C1009" s="61">
        <v>0</v>
      </c>
    </row>
    <row r="1010" spans="1:3" ht="14.25" customHeight="true">
      <c r="A1010" s="60" t="s">
        <v>32483</v>
      </c>
      <c r="B1010" s="61">
        <v>0</v>
      </c>
      <c r="C1010" s="61">
        <v>0</v>
      </c>
    </row>
    <row r="1011" spans="1:3" ht="14.25" customHeight="true">
      <c r="A1011" s="60" t="s">
        <v>32484</v>
      </c>
      <c r="B1011" s="61">
        <v>0</v>
      </c>
      <c r="C1011" s="61">
        <v>0</v>
      </c>
    </row>
    <row r="1012" spans="1:3" ht="14.25" customHeight="true">
      <c r="A1012" s="60" t="s">
        <v>32485</v>
      </c>
      <c r="B1012" s="61">
        <v>0</v>
      </c>
      <c r="C1012" s="61">
        <v>0</v>
      </c>
    </row>
    <row r="1013" spans="1:3" ht="14.25" customHeight="true">
      <c r="A1013" s="60" t="s">
        <v>32486</v>
      </c>
      <c r="B1013" s="61">
        <v>0</v>
      </c>
      <c r="C1013" s="61">
        <v>0</v>
      </c>
    </row>
    <row r="1014" spans="1:3" ht="14.25" customHeight="true">
      <c r="A1014" s="60" t="s">
        <v>32487</v>
      </c>
      <c r="B1014" s="61">
        <v>0</v>
      </c>
      <c r="C1014" s="61">
        <v>0</v>
      </c>
    </row>
    <row r="1015" spans="1:3" ht="14.25" customHeight="true">
      <c r="A1015" s="60" t="s">
        <v>32488</v>
      </c>
      <c r="B1015" s="61">
        <v>0</v>
      </c>
      <c r="C1015" s="61">
        <v>0</v>
      </c>
    </row>
    <row r="1016" spans="1:3" ht="14.25" customHeight="true">
      <c r="A1016" s="60" t="s">
        <v>32489</v>
      </c>
      <c r="B1016" s="61">
        <v>0</v>
      </c>
      <c r="C1016" s="61">
        <v>0</v>
      </c>
    </row>
    <row r="1017" spans="1:3" ht="14.25" customHeight="true">
      <c r="A1017" s="60" t="s">
        <v>32490</v>
      </c>
      <c r="B1017" s="61">
        <v>0</v>
      </c>
      <c r="C1017" s="61">
        <v>0</v>
      </c>
    </row>
    <row r="1018" spans="1:3" ht="14.25" customHeight="true">
      <c r="A1018" s="60" t="s">
        <v>32491</v>
      </c>
      <c r="B1018" s="61">
        <v>0</v>
      </c>
      <c r="C1018" s="61">
        <v>0</v>
      </c>
    </row>
    <row r="1019" spans="1:3" ht="14.25" customHeight="true">
      <c r="A1019" s="60" t="s">
        <v>32492</v>
      </c>
      <c r="B1019" s="61">
        <v>0</v>
      </c>
      <c r="C1019" s="61">
        <v>0</v>
      </c>
    </row>
    <row r="1020" spans="1:3" ht="14.25" customHeight="true">
      <c r="A1020" s="60" t="s">
        <v>32493</v>
      </c>
      <c r="B1020" s="61">
        <v>0</v>
      </c>
      <c r="C1020" s="61">
        <v>0</v>
      </c>
    </row>
    <row r="1021" spans="1:3" ht="14.25" customHeight="true">
      <c r="A1021" s="60" t="s">
        <v>32494</v>
      </c>
      <c r="B1021" s="61">
        <v>0</v>
      </c>
      <c r="C1021" s="61">
        <v>0</v>
      </c>
    </row>
    <row r="1022" spans="1:3" ht="14.25" customHeight="true">
      <c r="A1022" s="60" t="s">
        <v>32495</v>
      </c>
      <c r="B1022" s="61">
        <v>0</v>
      </c>
      <c r="C1022" s="61">
        <v>0</v>
      </c>
    </row>
    <row r="1023" spans="1:3" ht="14.25" customHeight="true">
      <c r="A1023" s="60" t="s">
        <v>32496</v>
      </c>
      <c r="B1023" s="61">
        <v>0</v>
      </c>
      <c r="C1023" s="61">
        <v>0</v>
      </c>
    </row>
    <row r="1024" spans="1:3" ht="14.25" customHeight="true">
      <c r="A1024" s="60" t="s">
        <v>32497</v>
      </c>
      <c r="B1024" s="61">
        <v>0</v>
      </c>
      <c r="C1024" s="61">
        <v>0</v>
      </c>
    </row>
    <row r="1025" spans="1:3" ht="14.25" customHeight="true">
      <c r="A1025" s="60" t="s">
        <v>32498</v>
      </c>
      <c r="B1025" s="61">
        <v>0</v>
      </c>
      <c r="C1025" s="61">
        <v>0</v>
      </c>
    </row>
    <row r="1026" spans="1:3" ht="14.25" customHeight="true">
      <c r="A1026" s="60" t="s">
        <v>32499</v>
      </c>
      <c r="B1026" s="61">
        <v>0</v>
      </c>
      <c r="C1026" s="61">
        <v>0</v>
      </c>
    </row>
    <row r="1027" spans="1:3" ht="14.25" customHeight="true">
      <c r="A1027" s="60" t="s">
        <v>32500</v>
      </c>
      <c r="B1027" s="61">
        <v>0</v>
      </c>
      <c r="C1027" s="61">
        <v>0</v>
      </c>
    </row>
    <row r="1028" spans="1:3" ht="14.25" customHeight="true">
      <c r="A1028" s="60" t="s">
        <v>32501</v>
      </c>
      <c r="B1028" s="61">
        <v>0</v>
      </c>
      <c r="C1028" s="61">
        <v>0</v>
      </c>
    </row>
    <row r="1029" spans="1:3" ht="14.25" customHeight="true">
      <c r="A1029" s="60" t="s">
        <v>32502</v>
      </c>
      <c r="B1029" s="61">
        <v>0</v>
      </c>
      <c r="C1029" s="61">
        <v>0</v>
      </c>
    </row>
    <row r="1030" spans="1:3" ht="14.25" customHeight="true">
      <c r="A1030" s="60" t="s">
        <v>32503</v>
      </c>
      <c r="B1030" s="61">
        <v>0</v>
      </c>
      <c r="C1030" s="61">
        <v>0</v>
      </c>
    </row>
    <row r="1031" spans="1:3" ht="14.25" customHeight="true">
      <c r="A1031" s="60" t="s">
        <v>32504</v>
      </c>
      <c r="B1031" s="61">
        <v>0</v>
      </c>
      <c r="C1031" s="61">
        <v>0</v>
      </c>
    </row>
    <row r="1032" spans="1:3" ht="14.25" customHeight="true">
      <c r="A1032" s="60" t="s">
        <v>32505</v>
      </c>
      <c r="B1032" s="61">
        <v>0</v>
      </c>
      <c r="C1032" s="61">
        <v>0</v>
      </c>
    </row>
    <row r="1033" spans="1:3" ht="14.25" customHeight="true">
      <c r="A1033" s="60" t="s">
        <v>32506</v>
      </c>
      <c r="B1033" s="61">
        <v>0</v>
      </c>
      <c r="C1033" s="61">
        <v>0</v>
      </c>
    </row>
    <row r="1034" spans="1:3" ht="14.25" customHeight="true">
      <c r="A1034" s="60" t="s">
        <v>32507</v>
      </c>
      <c r="B1034" s="61">
        <v>0</v>
      </c>
      <c r="C1034" s="61">
        <v>0</v>
      </c>
    </row>
    <row r="1035" spans="1:3" ht="14.25" customHeight="true">
      <c r="A1035" s="60" t="s">
        <v>32508</v>
      </c>
      <c r="B1035" s="61">
        <v>0</v>
      </c>
      <c r="C1035" s="61">
        <v>0</v>
      </c>
    </row>
    <row r="1036" spans="1:3" ht="14.25" customHeight="true">
      <c r="A1036" s="60" t="s">
        <v>32509</v>
      </c>
      <c r="B1036" s="61">
        <v>0</v>
      </c>
      <c r="C1036" s="61">
        <v>0</v>
      </c>
    </row>
    <row r="1037" spans="1:3" ht="14.25" customHeight="true">
      <c r="A1037" s="60" t="s">
        <v>32510</v>
      </c>
      <c r="B1037" s="61">
        <v>0</v>
      </c>
      <c r="C1037" s="61">
        <v>0</v>
      </c>
    </row>
    <row r="1038" spans="1:3" ht="14.25" customHeight="true">
      <c r="A1038" s="60" t="s">
        <v>32511</v>
      </c>
      <c r="B1038" s="61">
        <v>0</v>
      </c>
      <c r="C1038" s="61">
        <v>0</v>
      </c>
    </row>
    <row r="1039" spans="1:3" ht="14.25" customHeight="true">
      <c r="A1039" s="60" t="s">
        <v>32512</v>
      </c>
      <c r="B1039" s="61">
        <v>0</v>
      </c>
      <c r="C1039" s="61">
        <v>0</v>
      </c>
    </row>
    <row r="1040" spans="1:3" ht="14.25" customHeight="true">
      <c r="A1040" s="60" t="s">
        <v>32513</v>
      </c>
      <c r="B1040" s="61">
        <v>0</v>
      </c>
      <c r="C1040" s="61">
        <v>0</v>
      </c>
    </row>
    <row r="1041" spans="1:3" ht="14.25" customHeight="true">
      <c r="A1041" s="60" t="s">
        <v>32514</v>
      </c>
      <c r="B1041" s="61">
        <v>0</v>
      </c>
      <c r="C1041" s="61">
        <v>0</v>
      </c>
    </row>
    <row r="1042" spans="1:3" ht="14.25" customHeight="true">
      <c r="A1042" s="60" t="s">
        <v>32515</v>
      </c>
      <c r="B1042" s="61">
        <v>0</v>
      </c>
      <c r="C1042" s="61">
        <v>0</v>
      </c>
    </row>
    <row r="1043" spans="1:3" ht="14.25" customHeight="true">
      <c r="A1043" s="60" t="s">
        <v>32516</v>
      </c>
      <c r="B1043" s="61">
        <v>0</v>
      </c>
      <c r="C1043" s="61">
        <v>0</v>
      </c>
    </row>
    <row r="1044" spans="1:3" ht="14.25" customHeight="true">
      <c r="A1044" s="60" t="s">
        <v>32517</v>
      </c>
      <c r="B1044" s="61">
        <v>0</v>
      </c>
      <c r="C1044" s="61">
        <v>0</v>
      </c>
    </row>
    <row r="1045" spans="1:3" ht="14.25" customHeight="true">
      <c r="A1045" s="60" t="s">
        <v>32518</v>
      </c>
      <c r="B1045" s="61">
        <v>0</v>
      </c>
      <c r="C1045" s="61">
        <v>0</v>
      </c>
    </row>
    <row r="1046" spans="1:3" ht="14.25" customHeight="true">
      <c r="A1046" s="60" t="s">
        <v>32519</v>
      </c>
      <c r="B1046" s="61">
        <v>0</v>
      </c>
      <c r="C1046" s="61">
        <v>0</v>
      </c>
    </row>
    <row r="1047" spans="1:3" ht="14.25" customHeight="true">
      <c r="A1047" s="60" t="s">
        <v>32520</v>
      </c>
      <c r="B1047" s="61">
        <v>0</v>
      </c>
      <c r="C1047" s="61">
        <v>0</v>
      </c>
    </row>
    <row r="1048" spans="1:3" ht="14.25" customHeight="true">
      <c r="A1048" s="60" t="s">
        <v>32521</v>
      </c>
      <c r="B1048" s="61">
        <v>0</v>
      </c>
      <c r="C1048" s="61">
        <v>0</v>
      </c>
    </row>
    <row r="1049" spans="1:3" ht="14.25" customHeight="true">
      <c r="A1049" s="60" t="s">
        <v>32522</v>
      </c>
      <c r="B1049" s="61">
        <v>0</v>
      </c>
      <c r="C1049" s="61">
        <v>0</v>
      </c>
    </row>
    <row r="1050" spans="1:3" ht="14.25" customHeight="true">
      <c r="A1050" s="60" t="s">
        <v>32523</v>
      </c>
      <c r="B1050" s="61">
        <v>0</v>
      </c>
      <c r="C1050" s="61">
        <v>0</v>
      </c>
    </row>
    <row r="1051" spans="1:3" ht="14.25" customHeight="true">
      <c r="A1051" s="60" t="s">
        <v>32524</v>
      </c>
      <c r="B1051" s="61">
        <v>0</v>
      </c>
      <c r="C1051" s="61">
        <v>0</v>
      </c>
    </row>
    <row r="1052" spans="1:3" ht="14.25" customHeight="true">
      <c r="A1052" s="60" t="s">
        <v>32525</v>
      </c>
      <c r="B1052" s="61">
        <v>0</v>
      </c>
      <c r="C1052" s="61">
        <v>0</v>
      </c>
    </row>
    <row r="1053" spans="1:3" ht="14.25" customHeight="true">
      <c r="A1053" s="60" t="s">
        <v>32526</v>
      </c>
      <c r="B1053" s="61">
        <v>0</v>
      </c>
      <c r="C1053" s="61">
        <v>0</v>
      </c>
    </row>
    <row r="1054" spans="1:3" ht="14.25" customHeight="true">
      <c r="A1054" s="60" t="s">
        <v>32527</v>
      </c>
      <c r="B1054" s="61">
        <v>0</v>
      </c>
      <c r="C1054" s="61">
        <v>0</v>
      </c>
    </row>
    <row r="1055" spans="1:3" ht="14.25" customHeight="true">
      <c r="A1055" s="60" t="s">
        <v>32528</v>
      </c>
      <c r="B1055" s="61">
        <v>0</v>
      </c>
      <c r="C1055" s="61">
        <v>0</v>
      </c>
    </row>
    <row r="1056" spans="1:3" ht="14.25" customHeight="true">
      <c r="A1056" s="60" t="s">
        <v>32529</v>
      </c>
      <c r="B1056" s="61">
        <v>0</v>
      </c>
      <c r="C1056" s="61">
        <v>0</v>
      </c>
    </row>
    <row r="1057" spans="1:3" ht="14.25" customHeight="true">
      <c r="A1057" s="60" t="s">
        <v>32530</v>
      </c>
      <c r="B1057" s="61">
        <v>0</v>
      </c>
      <c r="C1057" s="61">
        <v>0</v>
      </c>
    </row>
    <row r="1058" spans="1:3" ht="14.25" customHeight="true">
      <c r="A1058" s="60" t="s">
        <v>32531</v>
      </c>
      <c r="B1058" s="61">
        <v>0</v>
      </c>
      <c r="C1058" s="61">
        <v>0</v>
      </c>
    </row>
    <row r="1059" spans="1:3" ht="14.25" customHeight="true">
      <c r="A1059" s="60" t="s">
        <v>32532</v>
      </c>
      <c r="B1059" s="61">
        <v>0</v>
      </c>
      <c r="C1059" s="61">
        <v>0</v>
      </c>
    </row>
    <row r="1060" spans="1:3" ht="14.25" customHeight="true">
      <c r="A1060" s="60" t="s">
        <v>32533</v>
      </c>
      <c r="B1060" s="61">
        <v>0</v>
      </c>
      <c r="C1060" s="61">
        <v>0</v>
      </c>
    </row>
    <row r="1061" spans="1:3" ht="14.25" customHeight="true">
      <c r="A1061" s="60" t="s">
        <v>32534</v>
      </c>
      <c r="B1061" s="61">
        <v>0</v>
      </c>
      <c r="C1061" s="61">
        <v>0</v>
      </c>
    </row>
    <row r="1062" spans="1:3" ht="14.25" customHeight="true">
      <c r="A1062" s="60" t="s">
        <v>32535</v>
      </c>
      <c r="B1062" s="61">
        <v>0</v>
      </c>
      <c r="C1062" s="61">
        <v>0</v>
      </c>
    </row>
    <row r="1063" spans="1:3" ht="14.25" customHeight="true">
      <c r="A1063" s="60" t="s">
        <v>32536</v>
      </c>
      <c r="B1063" s="61">
        <v>0</v>
      </c>
      <c r="C1063" s="61">
        <v>0</v>
      </c>
    </row>
    <row r="1064" spans="1:3" ht="14.25" customHeight="true">
      <c r="A1064" s="60" t="s">
        <v>32537</v>
      </c>
      <c r="B1064" s="61">
        <v>0</v>
      </c>
      <c r="C1064" s="61">
        <v>0</v>
      </c>
    </row>
    <row r="1065" spans="1:3" ht="14.25" customHeight="true">
      <c r="A1065" s="60" t="s">
        <v>32538</v>
      </c>
      <c r="B1065" s="61">
        <v>0</v>
      </c>
      <c r="C1065" s="61">
        <v>0</v>
      </c>
    </row>
    <row r="1066" spans="1:3" ht="14.25" customHeight="true">
      <c r="A1066" s="60" t="s">
        <v>32539</v>
      </c>
      <c r="B1066" s="61">
        <v>0</v>
      </c>
      <c r="C1066" s="61">
        <v>0</v>
      </c>
    </row>
    <row r="1067" spans="1:3" ht="14.25" customHeight="true">
      <c r="A1067" s="60" t="s">
        <v>32540</v>
      </c>
      <c r="B1067" s="61">
        <v>0</v>
      </c>
      <c r="C1067" s="61">
        <v>0</v>
      </c>
    </row>
    <row r="1068" spans="1:3" ht="14.25" customHeight="true">
      <c r="A1068" s="60" t="s">
        <v>32541</v>
      </c>
      <c r="B1068" s="61">
        <v>0</v>
      </c>
      <c r="C1068" s="61">
        <v>0</v>
      </c>
    </row>
    <row r="1069" spans="1:3" ht="14.25" customHeight="true">
      <c r="A1069" s="60" t="s">
        <v>32542</v>
      </c>
      <c r="B1069" s="61">
        <v>0</v>
      </c>
      <c r="C1069" s="61">
        <v>0</v>
      </c>
    </row>
    <row r="1070" spans="1:3" ht="14.25" customHeight="true">
      <c r="A1070" s="60" t="s">
        <v>32543</v>
      </c>
      <c r="B1070" s="61">
        <v>0</v>
      </c>
      <c r="C1070" s="61">
        <v>0</v>
      </c>
    </row>
    <row r="1071" spans="1:3" ht="14.25" customHeight="true">
      <c r="A1071" s="60" t="s">
        <v>32544</v>
      </c>
      <c r="B1071" s="61">
        <v>0</v>
      </c>
      <c r="C1071" s="61">
        <v>0</v>
      </c>
    </row>
    <row r="1072" spans="1:3" ht="14.25" customHeight="true">
      <c r="A1072" s="60" t="s">
        <v>32545</v>
      </c>
      <c r="B1072" s="61">
        <v>0</v>
      </c>
      <c r="C1072" s="61">
        <v>0</v>
      </c>
    </row>
    <row r="1073" spans="1:3" ht="14.25" customHeight="true">
      <c r="A1073" s="60" t="s">
        <v>32546</v>
      </c>
      <c r="B1073" s="61">
        <v>0</v>
      </c>
      <c r="C1073" s="61">
        <v>0</v>
      </c>
    </row>
    <row r="1074" spans="1:3" ht="14.25" customHeight="true">
      <c r="A1074" s="60" t="s">
        <v>32547</v>
      </c>
      <c r="B1074" s="61">
        <v>0</v>
      </c>
      <c r="C1074" s="61">
        <v>0</v>
      </c>
    </row>
    <row r="1075" spans="1:3" ht="14.25" customHeight="true">
      <c r="A1075" s="60" t="s">
        <v>32548</v>
      </c>
      <c r="B1075" s="61">
        <v>0</v>
      </c>
      <c r="C1075" s="61">
        <v>0</v>
      </c>
    </row>
    <row r="1076" spans="1:3" ht="14.25" customHeight="true">
      <c r="A1076" s="60" t="s">
        <v>32549</v>
      </c>
      <c r="B1076" s="61">
        <v>0</v>
      </c>
      <c r="C1076" s="61">
        <v>0</v>
      </c>
    </row>
    <row r="1077" spans="1:3" ht="14.25" customHeight="true">
      <c r="A1077" s="60" t="s">
        <v>32550</v>
      </c>
      <c r="B1077" s="61">
        <v>0</v>
      </c>
      <c r="C1077" s="61">
        <v>0</v>
      </c>
    </row>
    <row r="1078" spans="1:3" ht="14.25" customHeight="true">
      <c r="A1078" s="60" t="s">
        <v>32551</v>
      </c>
      <c r="B1078" s="61">
        <v>0</v>
      </c>
      <c r="C1078" s="61">
        <v>0</v>
      </c>
    </row>
    <row r="1079" spans="1:3" ht="14.25" customHeight="true">
      <c r="A1079" s="60" t="s">
        <v>32552</v>
      </c>
      <c r="B1079" s="61">
        <v>0</v>
      </c>
      <c r="C1079" s="61">
        <v>0</v>
      </c>
    </row>
    <row r="1080" spans="1:3" ht="14.25" customHeight="true">
      <c r="A1080" s="60" t="s">
        <v>32553</v>
      </c>
      <c r="B1080" s="61">
        <v>0</v>
      </c>
      <c r="C1080" s="61">
        <v>0</v>
      </c>
    </row>
    <row r="1081" spans="1:3" ht="14.25" customHeight="true">
      <c r="A1081" s="60" t="s">
        <v>32554</v>
      </c>
      <c r="B1081" s="61">
        <v>0</v>
      </c>
      <c r="C1081" s="61">
        <v>0</v>
      </c>
    </row>
    <row r="1082" spans="1:3" ht="14.25" customHeight="true">
      <c r="A1082" s="60" t="s">
        <v>32555</v>
      </c>
      <c r="B1082" s="61">
        <v>0</v>
      </c>
      <c r="C1082" s="61">
        <v>0</v>
      </c>
    </row>
    <row r="1083" spans="1:3" ht="14.25" customHeight="true">
      <c r="A1083" s="60" t="s">
        <v>32556</v>
      </c>
      <c r="B1083" s="61">
        <v>0</v>
      </c>
      <c r="C1083" s="61">
        <v>0</v>
      </c>
    </row>
    <row r="1084" spans="1:3" ht="14.25" customHeight="true">
      <c r="A1084" s="60" t="s">
        <v>32557</v>
      </c>
      <c r="B1084" s="61">
        <v>0</v>
      </c>
      <c r="C1084" s="61">
        <v>-1684000</v>
      </c>
    </row>
    <row r="1085" spans="1:3" ht="14.25" customHeight="true">
      <c r="A1085" s="60" t="s">
        <v>32558</v>
      </c>
      <c r="B1085" s="61">
        <v>0</v>
      </c>
      <c r="C1085" s="61">
        <v>0</v>
      </c>
    </row>
    <row r="1086" spans="1:3" ht="14.25" customHeight="true">
      <c r="A1086" s="60" t="s">
        <v>32559</v>
      </c>
      <c r="B1086" s="61">
        <v>0</v>
      </c>
      <c r="C1086" s="61">
        <v>0</v>
      </c>
    </row>
    <row r="1087" spans="1:3" ht="14.25" customHeight="true">
      <c r="A1087" s="60" t="s">
        <v>32560</v>
      </c>
      <c r="B1087" s="61">
        <v>0</v>
      </c>
      <c r="C1087" s="61">
        <v>0</v>
      </c>
    </row>
    <row r="1088" spans="1:3" ht="14.25" customHeight="true">
      <c r="A1088" s="60" t="s">
        <v>32561</v>
      </c>
      <c r="B1088" s="61">
        <v>0</v>
      </c>
      <c r="C1088" s="61">
        <v>0</v>
      </c>
    </row>
    <row r="1089" spans="1:3" ht="14.25" customHeight="true">
      <c r="A1089" s="60" t="s">
        <v>32562</v>
      </c>
      <c r="B1089" s="61">
        <v>0</v>
      </c>
      <c r="C1089" s="61">
        <v>0</v>
      </c>
    </row>
    <row r="1090" spans="1:3" ht="14.25" customHeight="true">
      <c r="A1090" s="60" t="s">
        <v>32563</v>
      </c>
      <c r="B1090" s="61">
        <v>0</v>
      </c>
      <c r="C1090" s="61">
        <v>0</v>
      </c>
    </row>
    <row r="1091" spans="1:3" ht="14.25" customHeight="true">
      <c r="A1091" s="60" t="s">
        <v>32564</v>
      </c>
      <c r="B1091" s="61">
        <v>0</v>
      </c>
      <c r="C1091" s="61">
        <v>0</v>
      </c>
    </row>
    <row r="1092" spans="1:3" ht="14.25" customHeight="true">
      <c r="A1092" s="60" t="s">
        <v>32565</v>
      </c>
      <c r="B1092" s="61">
        <v>0</v>
      </c>
      <c r="C1092" s="61">
        <v>0</v>
      </c>
    </row>
    <row r="1093" spans="1:3" ht="14.25" customHeight="true">
      <c r="A1093" s="60" t="s">
        <v>32566</v>
      </c>
      <c r="B1093" s="61">
        <v>0</v>
      </c>
      <c r="C1093" s="61">
        <v>0</v>
      </c>
    </row>
    <row r="1094" spans="1:3" ht="14.25" customHeight="true">
      <c r="A1094" s="60" t="s">
        <v>32567</v>
      </c>
      <c r="B1094" s="61">
        <v>0</v>
      </c>
      <c r="C1094" s="61">
        <v>0</v>
      </c>
    </row>
    <row r="1095" spans="1:3" ht="14.25" customHeight="true">
      <c r="A1095" s="60" t="s">
        <v>32568</v>
      </c>
      <c r="B1095" s="61">
        <v>0</v>
      </c>
      <c r="C1095" s="61">
        <v>0</v>
      </c>
    </row>
    <row r="1096" spans="1:3" ht="14.25" customHeight="true">
      <c r="A1096" s="60" t="s">
        <v>32569</v>
      </c>
      <c r="B1096" s="61">
        <v>0</v>
      </c>
      <c r="C1096" s="61">
        <v>0</v>
      </c>
    </row>
    <row r="1097" spans="1:3" ht="14.25" customHeight="true">
      <c r="A1097" s="60" t="s">
        <v>32570</v>
      </c>
      <c r="B1097" s="61">
        <v>0</v>
      </c>
      <c r="C1097" s="61">
        <v>0</v>
      </c>
    </row>
    <row r="1098" spans="1:3" ht="14.25" customHeight="true">
      <c r="A1098" s="60" t="s">
        <v>32571</v>
      </c>
      <c r="B1098" s="61">
        <v>0</v>
      </c>
      <c r="C1098" s="61">
        <v>0</v>
      </c>
    </row>
    <row r="1099" spans="1:3" ht="14.25" customHeight="true">
      <c r="A1099" s="60" t="s">
        <v>32572</v>
      </c>
      <c r="B1099" s="61">
        <v>0</v>
      </c>
      <c r="C1099" s="61">
        <v>0</v>
      </c>
    </row>
    <row r="1100" spans="1:3" ht="14.25" customHeight="true">
      <c r="A1100" s="60" t="s">
        <v>32573</v>
      </c>
      <c r="B1100" s="61">
        <v>0</v>
      </c>
      <c r="C1100" s="61">
        <v>0</v>
      </c>
    </row>
    <row r="1101" spans="1:3" ht="14.25" customHeight="true">
      <c r="A1101" s="60" t="s">
        <v>32574</v>
      </c>
      <c r="B1101" s="61">
        <v>0</v>
      </c>
      <c r="C1101" s="61">
        <v>0</v>
      </c>
    </row>
    <row r="1102" spans="1:3" ht="14.25" customHeight="true">
      <c r="A1102" s="60" t="s">
        <v>32575</v>
      </c>
      <c r="B1102" s="61">
        <v>0</v>
      </c>
      <c r="C1102" s="61">
        <v>0</v>
      </c>
    </row>
    <row r="1103" spans="1:3" ht="14.25" customHeight="true">
      <c r="A1103" s="60" t="s">
        <v>32576</v>
      </c>
      <c r="B1103" s="61">
        <v>0</v>
      </c>
      <c r="C1103" s="61">
        <v>0</v>
      </c>
    </row>
    <row r="1104" spans="1:3" ht="14.25" customHeight="true">
      <c r="A1104" s="60" t="s">
        <v>32577</v>
      </c>
      <c r="B1104" s="61">
        <v>0</v>
      </c>
      <c r="C1104" s="61">
        <v>0</v>
      </c>
    </row>
    <row r="1105" spans="1:3" ht="14.25" customHeight="true">
      <c r="A1105" s="60" t="s">
        <v>32578</v>
      </c>
      <c r="B1105" s="61">
        <v>0</v>
      </c>
      <c r="C1105" s="61">
        <v>0</v>
      </c>
    </row>
    <row r="1106" spans="1:3" ht="14.25" customHeight="true">
      <c r="A1106" s="60" t="s">
        <v>32579</v>
      </c>
      <c r="B1106" s="61">
        <v>0</v>
      </c>
      <c r="C1106" s="61">
        <v>0</v>
      </c>
    </row>
    <row r="1107" spans="1:3" ht="14.25" customHeight="true">
      <c r="A1107" s="60" t="s">
        <v>32580</v>
      </c>
      <c r="B1107" s="61">
        <v>0</v>
      </c>
      <c r="C1107" s="61">
        <v>0</v>
      </c>
    </row>
    <row r="1108" spans="1:3" ht="14.25" customHeight="true">
      <c r="A1108" s="60" t="s">
        <v>32581</v>
      </c>
      <c r="B1108" s="61">
        <v>0</v>
      </c>
      <c r="C1108" s="61">
        <v>0</v>
      </c>
    </row>
    <row r="1109" spans="1:3" ht="14.25" customHeight="true">
      <c r="A1109" s="60" t="s">
        <v>32582</v>
      </c>
      <c r="B1109" s="61">
        <v>0</v>
      </c>
      <c r="C1109" s="61">
        <v>0</v>
      </c>
    </row>
    <row r="1110" spans="1:3" ht="14.25" customHeight="true">
      <c r="A1110" s="60" t="s">
        <v>32583</v>
      </c>
      <c r="B1110" s="61">
        <v>0</v>
      </c>
      <c r="C1110" s="61">
        <v>0</v>
      </c>
    </row>
    <row r="1111" spans="1:3" ht="14.25" customHeight="true">
      <c r="A1111" s="60" t="s">
        <v>32584</v>
      </c>
      <c r="B1111" s="61">
        <v>0</v>
      </c>
      <c r="C1111" s="61">
        <v>0</v>
      </c>
    </row>
    <row r="1112" spans="1:3" ht="14.25" customHeight="true">
      <c r="A1112" s="60" t="s">
        <v>32585</v>
      </c>
      <c r="B1112" s="61">
        <v>0</v>
      </c>
      <c r="C1112" s="61">
        <v>0</v>
      </c>
    </row>
    <row r="1113" spans="1:3" ht="14.25" customHeight="true">
      <c r="A1113" s="60" t="s">
        <v>32586</v>
      </c>
      <c r="B1113" s="61">
        <v>0</v>
      </c>
      <c r="C1113" s="61">
        <v>0</v>
      </c>
    </row>
    <row r="1114" spans="1:3" ht="14.25" customHeight="true">
      <c r="A1114" s="60" t="s">
        <v>32587</v>
      </c>
      <c r="B1114" s="61">
        <v>0</v>
      </c>
      <c r="C1114" s="61">
        <v>0</v>
      </c>
    </row>
    <row r="1115" spans="1:3" ht="14.25" customHeight="true">
      <c r="A1115" s="60" t="s">
        <v>32588</v>
      </c>
      <c r="B1115" s="61">
        <v>0</v>
      </c>
      <c r="C1115" s="61">
        <v>0</v>
      </c>
    </row>
    <row r="1116" spans="1:3" ht="14.25" customHeight="true">
      <c r="A1116" s="60" t="s">
        <v>32589</v>
      </c>
      <c r="B1116" s="61">
        <v>0</v>
      </c>
      <c r="C1116" s="61">
        <v>0</v>
      </c>
    </row>
    <row r="1117" spans="1:3" ht="14.25" customHeight="true">
      <c r="A1117" s="60" t="s">
        <v>32590</v>
      </c>
      <c r="B1117" s="61">
        <v>0</v>
      </c>
      <c r="C1117" s="61">
        <v>0</v>
      </c>
    </row>
    <row r="1118" spans="1:3" ht="14.25" customHeight="true">
      <c r="A1118" s="60" t="s">
        <v>32591</v>
      </c>
      <c r="B1118" s="61">
        <v>0</v>
      </c>
      <c r="C1118" s="61">
        <v>0</v>
      </c>
    </row>
    <row r="1119" spans="1:3" ht="14.25" customHeight="true">
      <c r="A1119" s="60" t="s">
        <v>32592</v>
      </c>
      <c r="B1119" s="61">
        <v>0</v>
      </c>
      <c r="C1119" s="61">
        <v>0</v>
      </c>
    </row>
    <row r="1120" spans="1:3" ht="14.25" customHeight="true">
      <c r="A1120" s="60" t="s">
        <v>32593</v>
      </c>
      <c r="B1120" s="61">
        <v>0</v>
      </c>
      <c r="C1120" s="61">
        <v>0</v>
      </c>
    </row>
    <row r="1121" spans="1:3" ht="14.25" customHeight="true">
      <c r="A1121" s="60" t="s">
        <v>32594</v>
      </c>
      <c r="B1121" s="61">
        <v>0</v>
      </c>
      <c r="C1121" s="61">
        <v>0</v>
      </c>
    </row>
    <row r="1122" spans="1:3" ht="14.25" customHeight="true">
      <c r="A1122" s="60" t="s">
        <v>32595</v>
      </c>
      <c r="B1122" s="61">
        <v>0</v>
      </c>
      <c r="C1122" s="61">
        <v>0</v>
      </c>
    </row>
    <row r="1123" spans="1:3" ht="14.25" customHeight="true">
      <c r="A1123" s="60" t="s">
        <v>32596</v>
      </c>
      <c r="B1123" s="61">
        <v>0</v>
      </c>
      <c r="C1123" s="61">
        <v>0</v>
      </c>
    </row>
    <row r="1124" spans="1:3" ht="14.25" customHeight="true">
      <c r="A1124" s="60" t="s">
        <v>32597</v>
      </c>
      <c r="B1124" s="61">
        <v>0</v>
      </c>
      <c r="C1124" s="61">
        <v>0</v>
      </c>
    </row>
    <row r="1125" spans="1:3" ht="14.25" customHeight="true">
      <c r="A1125" s="60" t="s">
        <v>32598</v>
      </c>
      <c r="B1125" s="61">
        <v>0</v>
      </c>
      <c r="C1125" s="61">
        <v>0</v>
      </c>
    </row>
    <row r="1126" spans="1:3" ht="14.25" customHeight="true">
      <c r="A1126" s="60" t="s">
        <v>32599</v>
      </c>
      <c r="B1126" s="61">
        <v>0</v>
      </c>
      <c r="C1126" s="61">
        <v>0</v>
      </c>
    </row>
    <row r="1127" spans="1:3" ht="14.25" customHeight="true">
      <c r="A1127" s="60" t="s">
        <v>32600</v>
      </c>
      <c r="B1127" s="61">
        <v>0</v>
      </c>
      <c r="C1127" s="61">
        <v>0</v>
      </c>
    </row>
    <row r="1128" spans="1:3" ht="14.25" customHeight="true">
      <c r="A1128" s="60" t="s">
        <v>32601</v>
      </c>
      <c r="B1128" s="61">
        <v>0</v>
      </c>
      <c r="C1128" s="61">
        <v>0</v>
      </c>
    </row>
    <row r="1129" spans="1:3" ht="14.25" customHeight="true">
      <c r="A1129" s="60" t="s">
        <v>32602</v>
      </c>
      <c r="B1129" s="61">
        <v>0</v>
      </c>
      <c r="C1129" s="61">
        <v>0</v>
      </c>
    </row>
    <row r="1130" spans="1:3" ht="14.25" customHeight="true">
      <c r="A1130" s="60" t="s">
        <v>32603</v>
      </c>
      <c r="B1130" s="61">
        <v>0</v>
      </c>
      <c r="C1130" s="61">
        <v>0</v>
      </c>
    </row>
    <row r="1131" spans="1:3" ht="14.25" customHeight="true">
      <c r="A1131" s="60" t="s">
        <v>32604</v>
      </c>
      <c r="B1131" s="61">
        <v>0</v>
      </c>
      <c r="C1131" s="61">
        <v>0</v>
      </c>
    </row>
    <row r="1132" spans="1:3" ht="14.25" customHeight="true">
      <c r="A1132" s="60" t="s">
        <v>32605</v>
      </c>
      <c r="B1132" s="61">
        <v>0</v>
      </c>
      <c r="C1132" s="61">
        <v>0</v>
      </c>
    </row>
    <row r="1133" spans="1:3" ht="14.25" customHeight="true">
      <c r="A1133" s="60" t="s">
        <v>32606</v>
      </c>
      <c r="B1133" s="61">
        <v>0</v>
      </c>
      <c r="C1133" s="61">
        <v>-1550000</v>
      </c>
    </row>
    <row r="1134" spans="1:3" ht="14.25" customHeight="true">
      <c r="A1134" s="60" t="s">
        <v>32607</v>
      </c>
      <c r="B1134" s="61">
        <v>0</v>
      </c>
      <c r="C1134" s="61">
        <v>0</v>
      </c>
    </row>
    <row r="1135" spans="1:3" ht="14.25" customHeight="true">
      <c r="A1135" s="60" t="s">
        <v>32608</v>
      </c>
      <c r="B1135" s="61">
        <v>0</v>
      </c>
      <c r="C1135" s="61">
        <v>0</v>
      </c>
    </row>
    <row r="1136" spans="1:3" ht="14.25" customHeight="true">
      <c r="A1136" s="60" t="s">
        <v>32609</v>
      </c>
      <c r="B1136" s="61">
        <v>0</v>
      </c>
      <c r="C1136" s="61">
        <v>0</v>
      </c>
    </row>
    <row r="1137" spans="1:3" ht="14.25" customHeight="true">
      <c r="A1137" s="60" t="s">
        <v>32610</v>
      </c>
      <c r="B1137" s="61">
        <v>0</v>
      </c>
      <c r="C1137" s="61">
        <v>0</v>
      </c>
    </row>
    <row r="1138" spans="1:3" ht="14.25" customHeight="true">
      <c r="A1138" s="60" t="s">
        <v>32611</v>
      </c>
      <c r="B1138" s="61">
        <v>0</v>
      </c>
      <c r="C1138" s="61">
        <v>0</v>
      </c>
    </row>
    <row r="1139" spans="1:3" ht="14.25" customHeight="true">
      <c r="A1139" s="60" t="s">
        <v>32612</v>
      </c>
      <c r="B1139" s="61">
        <v>0</v>
      </c>
      <c r="C1139" s="61">
        <v>0</v>
      </c>
    </row>
    <row r="1140" spans="1:3" ht="14.25" customHeight="true">
      <c r="A1140" s="60" t="s">
        <v>32613</v>
      </c>
      <c r="B1140" s="61">
        <v>0</v>
      </c>
      <c r="C1140" s="61">
        <v>0</v>
      </c>
    </row>
    <row r="1141" spans="1:3" ht="14.25" customHeight="true">
      <c r="A1141" s="60" t="s">
        <v>32614</v>
      </c>
      <c r="B1141" s="61">
        <v>0</v>
      </c>
      <c r="C1141" s="61">
        <v>0</v>
      </c>
    </row>
    <row r="1142" spans="1:3" ht="14.25" customHeight="true">
      <c r="A1142" s="60" t="s">
        <v>32615</v>
      </c>
      <c r="B1142" s="61">
        <v>0</v>
      </c>
      <c r="C1142" s="61">
        <v>0</v>
      </c>
    </row>
    <row r="1143" spans="1:3" ht="14.25" customHeight="true">
      <c r="A1143" s="60" t="s">
        <v>32616</v>
      </c>
      <c r="B1143" s="61">
        <v>0</v>
      </c>
      <c r="C1143" s="61">
        <v>0</v>
      </c>
    </row>
    <row r="1144" spans="1:3" ht="14.25" customHeight="true">
      <c r="A1144" s="60" t="s">
        <v>32617</v>
      </c>
      <c r="B1144" s="61">
        <v>0</v>
      </c>
      <c r="C1144" s="61">
        <v>0</v>
      </c>
    </row>
    <row r="1145" spans="1:3" ht="14.25" customHeight="true">
      <c r="A1145" s="60" t="s">
        <v>32618</v>
      </c>
      <c r="B1145" s="61">
        <v>0</v>
      </c>
      <c r="C1145" s="61">
        <v>0</v>
      </c>
    </row>
    <row r="1146" spans="1:3" ht="14.25" customHeight="true">
      <c r="A1146" s="60" t="s">
        <v>32619</v>
      </c>
      <c r="B1146" s="61">
        <v>0</v>
      </c>
      <c r="C1146" s="61">
        <v>0</v>
      </c>
    </row>
    <row r="1147" spans="1:3" ht="14.25" customHeight="true">
      <c r="A1147" s="60" t="s">
        <v>32620</v>
      </c>
      <c r="B1147" s="61">
        <v>0</v>
      </c>
      <c r="C1147" s="61">
        <v>0</v>
      </c>
    </row>
    <row r="1148" spans="1:3" ht="14.25" customHeight="true">
      <c r="A1148" s="60" t="s">
        <v>32621</v>
      </c>
      <c r="B1148" s="61">
        <v>0</v>
      </c>
      <c r="C1148" s="61">
        <v>0</v>
      </c>
    </row>
    <row r="1149" spans="1:3" ht="14.25" customHeight="true">
      <c r="A1149" s="60" t="s">
        <v>32622</v>
      </c>
      <c r="B1149" s="61">
        <v>0</v>
      </c>
      <c r="C1149" s="61">
        <v>0</v>
      </c>
    </row>
    <row r="1150" spans="1:3" ht="14.25" customHeight="true">
      <c r="A1150" s="60" t="s">
        <v>32623</v>
      </c>
      <c r="B1150" s="61">
        <v>0</v>
      </c>
      <c r="C1150" s="61">
        <v>0</v>
      </c>
    </row>
    <row r="1151" spans="1:3" ht="14.25" customHeight="true">
      <c r="A1151" s="60" t="s">
        <v>32624</v>
      </c>
      <c r="B1151" s="61">
        <v>0</v>
      </c>
      <c r="C1151" s="61">
        <v>0</v>
      </c>
    </row>
    <row r="1152" spans="1:3" ht="14.25" customHeight="true">
      <c r="A1152" s="60" t="s">
        <v>32625</v>
      </c>
      <c r="B1152" s="61">
        <v>0</v>
      </c>
      <c r="C1152" s="61">
        <v>0</v>
      </c>
    </row>
    <row r="1153" spans="1:3" ht="14.25" customHeight="true">
      <c r="A1153" s="60" t="s">
        <v>32626</v>
      </c>
      <c r="B1153" s="61">
        <v>0</v>
      </c>
      <c r="C1153" s="61">
        <v>0</v>
      </c>
    </row>
    <row r="1154" spans="1:3" ht="14.25" customHeight="true">
      <c r="A1154" s="60" t="s">
        <v>32627</v>
      </c>
      <c r="B1154" s="61">
        <v>0</v>
      </c>
      <c r="C1154" s="61">
        <v>0</v>
      </c>
    </row>
    <row r="1155" spans="1:3" ht="14.25" customHeight="true">
      <c r="A1155" s="60" t="s">
        <v>32628</v>
      </c>
      <c r="B1155" s="61">
        <v>0</v>
      </c>
      <c r="C1155" s="61">
        <v>0</v>
      </c>
    </row>
    <row r="1156" spans="1:3" ht="14.25" customHeight="true">
      <c r="A1156" s="60" t="s">
        <v>32629</v>
      </c>
      <c r="B1156" s="61">
        <v>0</v>
      </c>
      <c r="C1156" s="61">
        <v>0</v>
      </c>
    </row>
    <row r="1157" spans="1:3" ht="14.25" customHeight="true">
      <c r="A1157" s="60" t="s">
        <v>32630</v>
      </c>
      <c r="B1157" s="61">
        <v>0</v>
      </c>
      <c r="C1157" s="61">
        <v>0</v>
      </c>
    </row>
    <row r="1158" spans="1:3" ht="14.25" customHeight="true">
      <c r="A1158" s="60" t="s">
        <v>32631</v>
      </c>
      <c r="B1158" s="61">
        <v>0</v>
      </c>
      <c r="C1158" s="61">
        <v>0</v>
      </c>
    </row>
    <row r="1159" spans="1:3" ht="14.25" customHeight="true">
      <c r="A1159" s="60" t="s">
        <v>32632</v>
      </c>
      <c r="B1159" s="61">
        <v>0</v>
      </c>
      <c r="C1159" s="61">
        <v>0</v>
      </c>
    </row>
    <row r="1160" spans="1:3" ht="14.25" customHeight="true">
      <c r="A1160" s="60" t="s">
        <v>32633</v>
      </c>
      <c r="B1160" s="61">
        <v>0</v>
      </c>
      <c r="C1160" s="61">
        <v>0</v>
      </c>
    </row>
    <row r="1161" spans="1:3" ht="14.25" customHeight="true">
      <c r="A1161" s="60" t="s">
        <v>32634</v>
      </c>
      <c r="B1161" s="61">
        <v>0</v>
      </c>
      <c r="C1161" s="61">
        <v>0</v>
      </c>
    </row>
    <row r="1162" spans="1:3" ht="14.25" customHeight="true">
      <c r="A1162" s="60" t="s">
        <v>32635</v>
      </c>
      <c r="B1162" s="61">
        <v>0</v>
      </c>
      <c r="C1162" s="61">
        <v>0</v>
      </c>
    </row>
    <row r="1163" spans="1:3" ht="14.25" customHeight="true">
      <c r="A1163" s="60" t="s">
        <v>32636</v>
      </c>
      <c r="B1163" s="61">
        <v>0</v>
      </c>
      <c r="C1163" s="61">
        <v>0</v>
      </c>
    </row>
    <row r="1164" spans="1:3" ht="14.25" customHeight="true">
      <c r="A1164" s="60" t="s">
        <v>32637</v>
      </c>
      <c r="B1164" s="61">
        <v>0</v>
      </c>
      <c r="C1164" s="61">
        <v>0</v>
      </c>
    </row>
    <row r="1165" spans="1:3" ht="14.25" customHeight="true">
      <c r="A1165" s="60" t="s">
        <v>32638</v>
      </c>
      <c r="B1165" s="61">
        <v>0</v>
      </c>
      <c r="C1165" s="61">
        <v>0</v>
      </c>
    </row>
    <row r="1166" spans="1:3" ht="14.25" customHeight="true">
      <c r="A1166" s="60" t="s">
        <v>32639</v>
      </c>
      <c r="B1166" s="61">
        <v>0</v>
      </c>
      <c r="C1166" s="61">
        <v>0</v>
      </c>
    </row>
    <row r="1167" spans="1:3" ht="14.25" customHeight="true">
      <c r="A1167" s="60" t="s">
        <v>32640</v>
      </c>
      <c r="B1167" s="61">
        <v>0</v>
      </c>
      <c r="C1167" s="61">
        <v>0</v>
      </c>
    </row>
    <row r="1168" spans="1:3" ht="14.25" customHeight="true">
      <c r="A1168" s="60" t="s">
        <v>32641</v>
      </c>
      <c r="B1168" s="61">
        <v>0</v>
      </c>
      <c r="C1168" s="61">
        <v>0</v>
      </c>
    </row>
    <row r="1169" spans="1:3" ht="14.25" customHeight="true">
      <c r="A1169" s="60" t="s">
        <v>32642</v>
      </c>
      <c r="B1169" s="61">
        <v>0</v>
      </c>
      <c r="C1169" s="61">
        <v>0</v>
      </c>
    </row>
    <row r="1170" spans="1:3" ht="14.25" customHeight="true">
      <c r="A1170" s="60" t="s">
        <v>32643</v>
      </c>
      <c r="B1170" s="61">
        <v>0</v>
      </c>
      <c r="C1170" s="61">
        <v>0</v>
      </c>
    </row>
    <row r="1171" spans="1:3" ht="14.25" customHeight="true">
      <c r="A1171" s="60" t="s">
        <v>32644</v>
      </c>
      <c r="B1171" s="61">
        <v>0</v>
      </c>
      <c r="C1171" s="61">
        <v>0</v>
      </c>
    </row>
    <row r="1172" spans="1:3" ht="14.25" customHeight="true">
      <c r="A1172" s="60" t="s">
        <v>32645</v>
      </c>
      <c r="B1172" s="61">
        <v>0</v>
      </c>
      <c r="C1172" s="61">
        <v>0</v>
      </c>
    </row>
    <row r="1173" spans="1:3" ht="14.25" customHeight="true">
      <c r="A1173" s="60" t="s">
        <v>32646</v>
      </c>
      <c r="B1173" s="61">
        <v>0</v>
      </c>
      <c r="C1173" s="61">
        <v>0</v>
      </c>
    </row>
    <row r="1174" spans="1:3" ht="14.25" customHeight="true">
      <c r="A1174" s="60" t="s">
        <v>32647</v>
      </c>
      <c r="B1174" s="61">
        <v>0</v>
      </c>
      <c r="C1174" s="61">
        <v>0</v>
      </c>
    </row>
    <row r="1175" spans="1:3" ht="14.25" customHeight="true">
      <c r="A1175" s="60" t="s">
        <v>32648</v>
      </c>
      <c r="B1175" s="61">
        <v>0</v>
      </c>
      <c r="C1175" s="61">
        <v>0</v>
      </c>
    </row>
    <row r="1176" spans="1:3" ht="14.25" customHeight="true">
      <c r="A1176" s="60" t="s">
        <v>32649</v>
      </c>
      <c r="B1176" s="61">
        <v>0</v>
      </c>
      <c r="C1176" s="61">
        <v>0</v>
      </c>
    </row>
    <row r="1177" spans="1:3" ht="14.25" customHeight="true">
      <c r="A1177" s="60" t="s">
        <v>32650</v>
      </c>
      <c r="B1177" s="61">
        <v>0</v>
      </c>
      <c r="C1177" s="61">
        <v>0</v>
      </c>
    </row>
    <row r="1178" spans="1:3" ht="14.25" customHeight="true">
      <c r="A1178" s="60" t="s">
        <v>32651</v>
      </c>
      <c r="B1178" s="61">
        <v>0</v>
      </c>
      <c r="C1178" s="61">
        <v>0</v>
      </c>
    </row>
    <row r="1179" spans="1:3" ht="14.25" customHeight="true">
      <c r="A1179" s="60" t="s">
        <v>32652</v>
      </c>
      <c r="B1179" s="61">
        <v>0</v>
      </c>
      <c r="C1179" s="61">
        <v>0</v>
      </c>
    </row>
    <row r="1180" spans="1:3" ht="14.25" customHeight="true">
      <c r="A1180" s="60" t="s">
        <v>32653</v>
      </c>
      <c r="B1180" s="61">
        <v>0</v>
      </c>
      <c r="C1180" s="61">
        <v>0</v>
      </c>
    </row>
    <row r="1181" spans="1:3" ht="14.25" customHeight="true">
      <c r="A1181" s="60" t="s">
        <v>32654</v>
      </c>
      <c r="B1181" s="61">
        <v>0</v>
      </c>
      <c r="C1181" s="61">
        <v>0</v>
      </c>
    </row>
    <row r="1182" spans="1:3" ht="14.25" customHeight="true">
      <c r="A1182" s="60" t="s">
        <v>32655</v>
      </c>
      <c r="B1182" s="61">
        <v>0</v>
      </c>
      <c r="C1182" s="61">
        <v>0</v>
      </c>
    </row>
    <row r="1183" spans="1:3" ht="14.25" customHeight="true">
      <c r="A1183" s="60" t="s">
        <v>32656</v>
      </c>
      <c r="B1183" s="61">
        <v>0</v>
      </c>
      <c r="C1183" s="61">
        <v>0</v>
      </c>
    </row>
    <row r="1184" spans="1:3" ht="14.25" customHeight="true">
      <c r="A1184" s="60" t="s">
        <v>32657</v>
      </c>
      <c r="B1184" s="61">
        <v>0</v>
      </c>
      <c r="C1184" s="61">
        <v>0</v>
      </c>
    </row>
    <row r="1185" spans="1:3" ht="14.25" customHeight="true">
      <c r="A1185" s="60" t="s">
        <v>32658</v>
      </c>
      <c r="B1185" s="61">
        <v>0</v>
      </c>
      <c r="C1185" s="61">
        <v>0</v>
      </c>
    </row>
    <row r="1186" spans="1:3" ht="14.25" customHeight="true">
      <c r="A1186" s="60" t="s">
        <v>32659</v>
      </c>
      <c r="B1186" s="61">
        <v>0</v>
      </c>
      <c r="C1186" s="61">
        <v>0</v>
      </c>
    </row>
    <row r="1187" spans="1:3" ht="14.25" customHeight="true">
      <c r="A1187" s="60" t="s">
        <v>32660</v>
      </c>
      <c r="B1187" s="61">
        <v>0</v>
      </c>
      <c r="C1187" s="61">
        <v>0</v>
      </c>
    </row>
    <row r="1188" spans="1:3" ht="14.25" customHeight="true">
      <c r="A1188" s="60" t="s">
        <v>32661</v>
      </c>
      <c r="B1188" s="61">
        <v>0</v>
      </c>
      <c r="C1188" s="61">
        <v>0</v>
      </c>
    </row>
    <row r="1189" spans="1:3" ht="14.25" customHeight="true">
      <c r="A1189" s="60" t="s">
        <v>32662</v>
      </c>
      <c r="B1189" s="61">
        <v>0</v>
      </c>
      <c r="C1189" s="61">
        <v>0</v>
      </c>
    </row>
    <row r="1190" spans="1:3" ht="14.25" customHeight="true">
      <c r="A1190" s="60" t="s">
        <v>32663</v>
      </c>
      <c r="B1190" s="61">
        <v>-110000</v>
      </c>
      <c r="C1190" s="61">
        <v>-398000</v>
      </c>
    </row>
    <row r="1191" spans="1:3" ht="14.25" customHeight="true">
      <c r="A1191" s="60" t="s">
        <v>32664</v>
      </c>
      <c r="B1191" s="61">
        <v>0</v>
      </c>
      <c r="C1191" s="61">
        <v>0</v>
      </c>
    </row>
    <row r="1192" spans="1:3" ht="14.25" customHeight="true">
      <c r="A1192" s="60" t="s">
        <v>32665</v>
      </c>
      <c r="B1192" s="61">
        <v>0</v>
      </c>
      <c r="C1192" s="61">
        <v>0</v>
      </c>
    </row>
    <row r="1193" spans="1:3" ht="14.25" customHeight="true">
      <c r="A1193" s="60" t="s">
        <v>32666</v>
      </c>
      <c r="B1193" s="61">
        <v>0</v>
      </c>
      <c r="C1193" s="61">
        <v>0</v>
      </c>
    </row>
    <row r="1194" spans="1:3" ht="14.25" customHeight="true">
      <c r="A1194" s="60" t="s">
        <v>32667</v>
      </c>
      <c r="B1194" s="61">
        <v>0</v>
      </c>
      <c r="C1194" s="61">
        <v>0</v>
      </c>
    </row>
    <row r="1195" spans="1:3" ht="14.25" customHeight="true">
      <c r="A1195" s="60" t="s">
        <v>32668</v>
      </c>
      <c r="B1195" s="61">
        <v>0</v>
      </c>
      <c r="C1195" s="61">
        <v>0</v>
      </c>
    </row>
    <row r="1196" spans="1:3" ht="14.25" customHeight="true">
      <c r="A1196" s="60" t="s">
        <v>32669</v>
      </c>
      <c r="B1196" s="61">
        <v>0</v>
      </c>
      <c r="C1196" s="61">
        <v>0</v>
      </c>
    </row>
    <row r="1197" spans="1:3" ht="14.25" customHeight="true">
      <c r="A1197" s="60" t="s">
        <v>32670</v>
      </c>
      <c r="B1197" s="61">
        <v>0</v>
      </c>
      <c r="C1197" s="61">
        <v>0</v>
      </c>
    </row>
    <row r="1198" spans="1:3" ht="14.25" customHeight="true">
      <c r="A1198" s="60" t="s">
        <v>32671</v>
      </c>
      <c r="B1198" s="61">
        <v>0</v>
      </c>
      <c r="C1198" s="61">
        <v>0</v>
      </c>
    </row>
    <row r="1199" spans="1:3" ht="14.25" customHeight="true">
      <c r="A1199" s="60" t="s">
        <v>32672</v>
      </c>
      <c r="B1199" s="61">
        <v>0</v>
      </c>
      <c r="C1199" s="61">
        <v>0</v>
      </c>
    </row>
    <row r="1200" spans="1:3" ht="14.25" customHeight="true">
      <c r="A1200" s="60" t="s">
        <v>32673</v>
      </c>
      <c r="B1200" s="61">
        <v>0</v>
      </c>
      <c r="C1200" s="61">
        <v>0</v>
      </c>
    </row>
    <row r="1201" spans="1:3" ht="14.25" customHeight="true">
      <c r="A1201" s="60" t="s">
        <v>32674</v>
      </c>
      <c r="B1201" s="61">
        <v>0</v>
      </c>
      <c r="C1201" s="61">
        <v>0</v>
      </c>
    </row>
    <row r="1202" spans="1:3" ht="14.25" customHeight="true">
      <c r="A1202" s="60" t="s">
        <v>32675</v>
      </c>
      <c r="B1202" s="61">
        <v>0</v>
      </c>
      <c r="C1202" s="61">
        <v>0</v>
      </c>
    </row>
    <row r="1203" spans="1:3" ht="14.25" customHeight="true">
      <c r="A1203" s="60" t="s">
        <v>32676</v>
      </c>
      <c r="B1203" s="61">
        <v>0</v>
      </c>
      <c r="C1203" s="61">
        <v>0</v>
      </c>
    </row>
    <row r="1204" spans="1:3" ht="14.25" customHeight="true">
      <c r="A1204" s="60" t="s">
        <v>32677</v>
      </c>
      <c r="B1204" s="61">
        <v>0</v>
      </c>
      <c r="C1204" s="61">
        <v>0</v>
      </c>
    </row>
    <row r="1205" spans="1:3" ht="14.25" customHeight="true">
      <c r="A1205" s="60" t="s">
        <v>32678</v>
      </c>
      <c r="B1205" s="61">
        <v>0</v>
      </c>
      <c r="C1205" s="61">
        <v>0</v>
      </c>
    </row>
    <row r="1206" spans="1:3" ht="14.25" customHeight="true">
      <c r="A1206" s="60" t="s">
        <v>32679</v>
      </c>
      <c r="B1206" s="61">
        <v>0</v>
      </c>
      <c r="C1206" s="61">
        <v>0</v>
      </c>
    </row>
    <row r="1207" spans="1:3" ht="14.25" customHeight="true">
      <c r="A1207" s="60" t="s">
        <v>32680</v>
      </c>
      <c r="B1207" s="61">
        <v>0</v>
      </c>
      <c r="C1207" s="61">
        <v>0</v>
      </c>
    </row>
    <row r="1208" spans="1:3" ht="14.25" customHeight="true">
      <c r="A1208" s="60" t="s">
        <v>32681</v>
      </c>
      <c r="B1208" s="61">
        <v>0</v>
      </c>
      <c r="C1208" s="61">
        <v>0</v>
      </c>
    </row>
    <row r="1209" spans="1:3" ht="14.25" customHeight="true">
      <c r="A1209" s="60" t="s">
        <v>32682</v>
      </c>
      <c r="B1209" s="61">
        <v>0</v>
      </c>
      <c r="C1209" s="61">
        <v>0</v>
      </c>
    </row>
    <row r="1210" spans="1:3" ht="14.25" customHeight="true">
      <c r="A1210" s="60" t="s">
        <v>32683</v>
      </c>
      <c r="B1210" s="61">
        <v>0</v>
      </c>
      <c r="C1210" s="61">
        <v>0</v>
      </c>
    </row>
    <row r="1211" spans="1:3" ht="14.25" customHeight="true">
      <c r="A1211" s="60" t="s">
        <v>32684</v>
      </c>
      <c r="B1211" s="61">
        <v>0</v>
      </c>
      <c r="C1211" s="61">
        <v>0</v>
      </c>
    </row>
    <row r="1212" spans="1:3" ht="14.25" customHeight="true">
      <c r="A1212" s="60" t="s">
        <v>32685</v>
      </c>
      <c r="B1212" s="61">
        <v>0</v>
      </c>
      <c r="C1212" s="61">
        <v>0</v>
      </c>
    </row>
    <row r="1213" spans="1:3" ht="14.25" customHeight="true">
      <c r="A1213" s="60" t="s">
        <v>32686</v>
      </c>
      <c r="B1213" s="61">
        <v>0</v>
      </c>
      <c r="C1213" s="61">
        <v>0</v>
      </c>
    </row>
    <row r="1214" spans="1:3" ht="14.25" customHeight="true">
      <c r="A1214" s="60" t="s">
        <v>32687</v>
      </c>
      <c r="B1214" s="61">
        <v>0</v>
      </c>
      <c r="C1214" s="61">
        <v>0</v>
      </c>
    </row>
    <row r="1215" spans="1:3" ht="14.25" customHeight="true">
      <c r="A1215" s="60" t="s">
        <v>32688</v>
      </c>
      <c r="B1215" s="61">
        <v>0</v>
      </c>
      <c r="C1215" s="61">
        <v>0</v>
      </c>
    </row>
    <row r="1216" spans="1:3" ht="14.25" customHeight="true">
      <c r="A1216" s="60" t="s">
        <v>32689</v>
      </c>
      <c r="B1216" s="61">
        <v>0</v>
      </c>
      <c r="C1216" s="61">
        <v>0</v>
      </c>
    </row>
    <row r="1217" spans="1:3" ht="14.25" customHeight="true">
      <c r="A1217" s="60" t="s">
        <v>32690</v>
      </c>
      <c r="B1217" s="61">
        <v>0</v>
      </c>
      <c r="C1217" s="61">
        <v>0</v>
      </c>
    </row>
    <row r="1218" spans="1:3" ht="14.25" customHeight="true">
      <c r="A1218" s="60" t="s">
        <v>32691</v>
      </c>
      <c r="B1218" s="61">
        <v>0</v>
      </c>
      <c r="C1218" s="61">
        <v>0</v>
      </c>
    </row>
    <row r="1219" spans="1:3" ht="14.25" customHeight="true">
      <c r="A1219" s="60" t="s">
        <v>32692</v>
      </c>
      <c r="B1219" s="61">
        <v>0</v>
      </c>
      <c r="C1219" s="61">
        <v>0</v>
      </c>
    </row>
    <row r="1220" spans="1:3" ht="14.25" customHeight="true">
      <c r="A1220" s="60" t="s">
        <v>32693</v>
      </c>
      <c r="B1220" s="61">
        <v>0</v>
      </c>
      <c r="C1220" s="61">
        <v>0</v>
      </c>
    </row>
    <row r="1221" spans="1:3" ht="14.25" customHeight="true">
      <c r="A1221" s="60" t="s">
        <v>32694</v>
      </c>
      <c r="B1221" s="61">
        <v>0</v>
      </c>
      <c r="C1221" s="61">
        <v>0</v>
      </c>
    </row>
    <row r="1222" spans="1:3" ht="14.25" customHeight="true">
      <c r="A1222" s="60" t="s">
        <v>32695</v>
      </c>
      <c r="B1222" s="61">
        <v>0</v>
      </c>
      <c r="C1222" s="61">
        <v>0</v>
      </c>
    </row>
    <row r="1223" spans="1:3" ht="14.25" customHeight="true">
      <c r="A1223" s="60" t="s">
        <v>32696</v>
      </c>
      <c r="B1223" s="61">
        <v>0</v>
      </c>
      <c r="C1223" s="61">
        <v>0</v>
      </c>
    </row>
    <row r="1224" spans="1:3" ht="14.25" customHeight="true">
      <c r="A1224" s="60" t="s">
        <v>32697</v>
      </c>
      <c r="B1224" s="61">
        <v>0</v>
      </c>
      <c r="C1224" s="61">
        <v>0</v>
      </c>
    </row>
    <row r="1225" spans="1:3" ht="14.25" customHeight="true">
      <c r="A1225" s="60" t="s">
        <v>32698</v>
      </c>
      <c r="B1225" s="61">
        <v>0</v>
      </c>
      <c r="C1225" s="61">
        <v>0</v>
      </c>
    </row>
    <row r="1226" spans="1:3" ht="14.25" customHeight="true">
      <c r="A1226" s="60" t="s">
        <v>32699</v>
      </c>
      <c r="B1226" s="61">
        <v>0</v>
      </c>
      <c r="C1226" s="61">
        <v>0</v>
      </c>
    </row>
    <row r="1227" spans="1:3" ht="14.25" customHeight="true">
      <c r="A1227" s="60" t="s">
        <v>32700</v>
      </c>
      <c r="B1227" s="61">
        <v>0</v>
      </c>
      <c r="C1227" s="61">
        <v>0</v>
      </c>
    </row>
    <row r="1228" spans="1:3" ht="14.25" customHeight="true">
      <c r="A1228" s="60" t="s">
        <v>32701</v>
      </c>
      <c r="B1228" s="61">
        <v>0</v>
      </c>
      <c r="C1228" s="61">
        <v>0</v>
      </c>
    </row>
    <row r="1229" spans="1:3" ht="14.25" customHeight="true">
      <c r="A1229" s="60" t="s">
        <v>32702</v>
      </c>
      <c r="B1229" s="61">
        <v>0</v>
      </c>
      <c r="C1229" s="61">
        <v>0</v>
      </c>
    </row>
    <row r="1230" spans="1:3" ht="14.25" customHeight="true">
      <c r="A1230" s="60" t="s">
        <v>32703</v>
      </c>
      <c r="B1230" s="61">
        <v>0</v>
      </c>
      <c r="C1230" s="61">
        <v>0</v>
      </c>
    </row>
    <row r="1231" spans="1:3" ht="14.25" customHeight="true">
      <c r="A1231" s="60" t="s">
        <v>32704</v>
      </c>
      <c r="B1231" s="61">
        <v>0</v>
      </c>
      <c r="C1231" s="61">
        <v>0</v>
      </c>
    </row>
    <row r="1232" spans="1:3" ht="14.25" customHeight="true">
      <c r="A1232" s="60" t="s">
        <v>32705</v>
      </c>
      <c r="B1232" s="61">
        <v>0</v>
      </c>
      <c r="C1232" s="61">
        <v>0</v>
      </c>
    </row>
    <row r="1233" spans="1:3" ht="14.25" customHeight="true">
      <c r="A1233" s="60" t="s">
        <v>32706</v>
      </c>
      <c r="B1233" s="61">
        <v>0</v>
      </c>
      <c r="C1233" s="61">
        <v>0</v>
      </c>
    </row>
    <row r="1234" spans="1:3" ht="14.25" customHeight="true">
      <c r="A1234" s="60" t="s">
        <v>32707</v>
      </c>
      <c r="B1234" s="61">
        <v>0</v>
      </c>
      <c r="C1234" s="61">
        <v>0</v>
      </c>
    </row>
    <row r="1235" spans="1:3" ht="14.25" customHeight="true">
      <c r="A1235" s="60" t="s">
        <v>32708</v>
      </c>
      <c r="B1235" s="61">
        <v>0</v>
      </c>
      <c r="C1235" s="61">
        <v>0</v>
      </c>
    </row>
    <row r="1236" spans="1:3" ht="14.25" customHeight="true">
      <c r="A1236" s="60" t="s">
        <v>32709</v>
      </c>
      <c r="B1236" s="61">
        <v>0</v>
      </c>
      <c r="C1236" s="61">
        <v>0</v>
      </c>
    </row>
    <row r="1237" spans="1:3" ht="14.25" customHeight="true">
      <c r="A1237" s="60" t="s">
        <v>32710</v>
      </c>
      <c r="B1237" s="61">
        <v>0</v>
      </c>
      <c r="C1237" s="61">
        <v>0</v>
      </c>
    </row>
    <row r="1238" spans="1:3" ht="14.25" customHeight="true">
      <c r="A1238" s="60" t="s">
        <v>32711</v>
      </c>
      <c r="B1238" s="61">
        <v>0</v>
      </c>
      <c r="C1238" s="61">
        <v>0</v>
      </c>
    </row>
    <row r="1239" spans="1:3" ht="14.25" customHeight="true">
      <c r="A1239" s="60" t="s">
        <v>32712</v>
      </c>
      <c r="B1239" s="61">
        <v>0</v>
      </c>
      <c r="C1239" s="61">
        <v>0</v>
      </c>
    </row>
    <row r="1240" spans="1:3" ht="14.25" customHeight="true">
      <c r="A1240" s="60" t="s">
        <v>32713</v>
      </c>
      <c r="B1240" s="61">
        <v>0</v>
      </c>
      <c r="C1240" s="61">
        <v>0</v>
      </c>
    </row>
    <row r="1241" spans="1:3" ht="14.25" customHeight="true">
      <c r="A1241" s="60" t="s">
        <v>32714</v>
      </c>
      <c r="B1241" s="61">
        <v>0</v>
      </c>
      <c r="C1241" s="61">
        <v>0</v>
      </c>
    </row>
    <row r="1242" spans="1:3" ht="14.25" customHeight="true">
      <c r="A1242" s="60" t="s">
        <v>32715</v>
      </c>
      <c r="B1242" s="61">
        <v>0</v>
      </c>
      <c r="C1242" s="61">
        <v>0</v>
      </c>
    </row>
    <row r="1243" spans="1:3" ht="14.25" customHeight="true">
      <c r="A1243" s="60" t="s">
        <v>32716</v>
      </c>
      <c r="B1243" s="61">
        <v>0</v>
      </c>
      <c r="C1243" s="61">
        <v>0</v>
      </c>
    </row>
    <row r="1244" spans="1:3" ht="14.25" customHeight="true">
      <c r="A1244" s="60" t="s">
        <v>32717</v>
      </c>
      <c r="B1244" s="61">
        <v>0</v>
      </c>
      <c r="C1244" s="61">
        <v>0</v>
      </c>
    </row>
    <row r="1245" spans="1:3" ht="14.25" customHeight="true">
      <c r="A1245" s="60" t="s">
        <v>32718</v>
      </c>
      <c r="B1245" s="61">
        <v>0</v>
      </c>
      <c r="C1245" s="61">
        <v>0</v>
      </c>
    </row>
    <row r="1246" spans="1:3" ht="14.25" customHeight="true">
      <c r="A1246" s="60" t="s">
        <v>32719</v>
      </c>
      <c r="B1246" s="61">
        <v>0</v>
      </c>
      <c r="C1246" s="61">
        <v>0</v>
      </c>
    </row>
    <row r="1247" spans="1:3" ht="14.25" customHeight="true">
      <c r="A1247" s="60" t="s">
        <v>32720</v>
      </c>
      <c r="B1247" s="61">
        <v>0</v>
      </c>
      <c r="C1247" s="61">
        <v>0</v>
      </c>
    </row>
    <row r="1248" spans="1:3" ht="14.25" customHeight="true">
      <c r="A1248" s="60" t="s">
        <v>32721</v>
      </c>
      <c r="B1248" s="61">
        <v>0</v>
      </c>
      <c r="C1248" s="61">
        <v>0</v>
      </c>
    </row>
    <row r="1249" spans="1:3" ht="14.25" customHeight="true">
      <c r="A1249" s="60" t="s">
        <v>32722</v>
      </c>
      <c r="B1249" s="61">
        <v>0</v>
      </c>
      <c r="C1249" s="61">
        <v>0</v>
      </c>
    </row>
    <row r="1250" spans="1:3" ht="14.25" customHeight="true">
      <c r="A1250" s="60" t="s">
        <v>32723</v>
      </c>
      <c r="B1250" s="61">
        <v>0</v>
      </c>
      <c r="C1250" s="61">
        <v>0</v>
      </c>
    </row>
    <row r="1251" spans="1:3" ht="14.25" customHeight="true">
      <c r="A1251" s="60" t="s">
        <v>32724</v>
      </c>
      <c r="B1251" s="61">
        <v>0</v>
      </c>
      <c r="C1251" s="61">
        <v>0</v>
      </c>
    </row>
    <row r="1252" spans="1:3" ht="14.25" customHeight="true">
      <c r="A1252" s="60" t="s">
        <v>32725</v>
      </c>
      <c r="B1252" s="61">
        <v>0</v>
      </c>
      <c r="C1252" s="61">
        <v>0</v>
      </c>
    </row>
    <row r="1253" spans="1:3" ht="14.25" customHeight="true">
      <c r="A1253" s="60" t="s">
        <v>32726</v>
      </c>
      <c r="B1253" s="61">
        <v>0</v>
      </c>
      <c r="C1253" s="61">
        <v>0</v>
      </c>
    </row>
    <row r="1254" spans="1:3" ht="14.25" customHeight="true">
      <c r="A1254" s="60" t="s">
        <v>32727</v>
      </c>
      <c r="B1254" s="61">
        <v>0</v>
      </c>
      <c r="C1254" s="61">
        <v>0</v>
      </c>
    </row>
    <row r="1255" spans="1:3" ht="14.25" customHeight="true">
      <c r="A1255" s="60" t="s">
        <v>32728</v>
      </c>
      <c r="B1255" s="61">
        <v>0</v>
      </c>
      <c r="C1255" s="61">
        <v>0</v>
      </c>
    </row>
    <row r="1256" spans="1:3" ht="14.25" customHeight="true">
      <c r="A1256" s="60" t="s">
        <v>32729</v>
      </c>
      <c r="B1256" s="61">
        <v>0</v>
      </c>
      <c r="C1256" s="61">
        <v>0</v>
      </c>
    </row>
    <row r="1257" spans="1:3" ht="14.25" customHeight="true">
      <c r="A1257" s="60" t="s">
        <v>32730</v>
      </c>
      <c r="B1257" s="61">
        <v>0</v>
      </c>
      <c r="C1257" s="61">
        <v>0</v>
      </c>
    </row>
    <row r="1258" spans="1:3" ht="14.25" customHeight="true">
      <c r="A1258" s="60" t="s">
        <v>32731</v>
      </c>
      <c r="B1258" s="61">
        <v>0</v>
      </c>
      <c r="C1258" s="61">
        <v>0</v>
      </c>
    </row>
    <row r="1259" spans="1:3" ht="14.25" customHeight="true">
      <c r="A1259" s="60" t="s">
        <v>32732</v>
      </c>
      <c r="B1259" s="61">
        <v>0</v>
      </c>
      <c r="C1259" s="61">
        <v>0</v>
      </c>
    </row>
    <row r="1260" spans="1:3" ht="14.25" customHeight="true">
      <c r="A1260" s="60" t="s">
        <v>32733</v>
      </c>
      <c r="B1260" s="61">
        <v>0</v>
      </c>
      <c r="C1260" s="61">
        <v>0</v>
      </c>
    </row>
    <row r="1261" spans="1:3" ht="14.25" customHeight="true">
      <c r="A1261" s="60" t="s">
        <v>32734</v>
      </c>
      <c r="B1261" s="61">
        <v>0</v>
      </c>
      <c r="C1261" s="61">
        <v>0</v>
      </c>
    </row>
    <row r="1262" spans="1:3" ht="14.25" customHeight="true">
      <c r="A1262" s="60" t="s">
        <v>32735</v>
      </c>
      <c r="B1262" s="61">
        <v>0</v>
      </c>
      <c r="C1262" s="61">
        <v>0</v>
      </c>
    </row>
    <row r="1263" spans="1:3" ht="14.25" customHeight="true">
      <c r="A1263" s="60" t="s">
        <v>32736</v>
      </c>
      <c r="B1263" s="61">
        <v>0</v>
      </c>
      <c r="C1263" s="61">
        <v>0</v>
      </c>
    </row>
    <row r="1264" spans="1:3" ht="14.25" customHeight="true">
      <c r="A1264" s="60" t="s">
        <v>32737</v>
      </c>
      <c r="B1264" s="61">
        <v>0</v>
      </c>
      <c r="C1264" s="61">
        <v>0</v>
      </c>
    </row>
    <row r="1265" spans="1:3" ht="14.25" customHeight="true">
      <c r="A1265" s="60" t="s">
        <v>32738</v>
      </c>
      <c r="B1265" s="61">
        <v>0</v>
      </c>
      <c r="C1265" s="61">
        <v>0</v>
      </c>
    </row>
    <row r="1266" spans="1:3" ht="14.25" customHeight="true">
      <c r="A1266" s="60" t="s">
        <v>32739</v>
      </c>
      <c r="B1266" s="61">
        <v>0</v>
      </c>
      <c r="C1266" s="61">
        <v>0</v>
      </c>
    </row>
    <row r="1267" spans="1:3" ht="14.25" customHeight="true">
      <c r="A1267" s="60" t="s">
        <v>32740</v>
      </c>
      <c r="B1267" s="61">
        <v>0</v>
      </c>
      <c r="C1267" s="61">
        <v>0</v>
      </c>
    </row>
    <row r="1268" spans="1:3" ht="14.25" customHeight="true">
      <c r="A1268" s="60" t="s">
        <v>32741</v>
      </c>
      <c r="B1268" s="61">
        <v>0</v>
      </c>
      <c r="C1268" s="61">
        <v>0</v>
      </c>
    </row>
    <row r="1269" spans="1:3" ht="14.25" customHeight="true">
      <c r="A1269" s="60" t="s">
        <v>32742</v>
      </c>
      <c r="B1269" s="61">
        <v>0</v>
      </c>
      <c r="C1269" s="61">
        <v>0</v>
      </c>
    </row>
    <row r="1270" spans="1:3" ht="14.25" customHeight="true">
      <c r="A1270" s="60" t="s">
        <v>32743</v>
      </c>
      <c r="B1270" s="61">
        <v>0</v>
      </c>
      <c r="C1270" s="61">
        <v>0</v>
      </c>
    </row>
    <row r="1271" spans="1:3" ht="14.25" customHeight="true">
      <c r="A1271" s="60" t="s">
        <v>32744</v>
      </c>
      <c r="B1271" s="61">
        <v>0</v>
      </c>
      <c r="C1271" s="61">
        <v>0</v>
      </c>
    </row>
    <row r="1272" spans="1:3" ht="14.25" customHeight="true">
      <c r="A1272" s="60" t="s">
        <v>32745</v>
      </c>
      <c r="B1272" s="61">
        <v>0</v>
      </c>
      <c r="C1272" s="61">
        <v>0</v>
      </c>
    </row>
    <row r="1273" spans="1:3" ht="14.25" customHeight="true">
      <c r="A1273" s="60" t="s">
        <v>32746</v>
      </c>
      <c r="B1273" s="61">
        <v>0</v>
      </c>
      <c r="C1273" s="61">
        <v>0</v>
      </c>
    </row>
    <row r="1274" spans="1:3" ht="14.25" customHeight="true">
      <c r="A1274" s="60" t="s">
        <v>32747</v>
      </c>
      <c r="B1274" s="61">
        <v>0</v>
      </c>
      <c r="C1274" s="61">
        <v>0</v>
      </c>
    </row>
    <row r="1275" spans="1:3" ht="14.25" customHeight="true">
      <c r="A1275" s="60" t="s">
        <v>32748</v>
      </c>
      <c r="B1275" s="61">
        <v>0</v>
      </c>
      <c r="C1275" s="61">
        <v>0</v>
      </c>
    </row>
    <row r="1276" spans="1:3" ht="14.25" customHeight="true">
      <c r="A1276" s="60" t="s">
        <v>32749</v>
      </c>
      <c r="B1276" s="61">
        <v>0</v>
      </c>
      <c r="C1276" s="61">
        <v>0</v>
      </c>
    </row>
    <row r="1277" spans="1:3" ht="14.25" customHeight="true">
      <c r="A1277" s="60" t="s">
        <v>32750</v>
      </c>
      <c r="B1277" s="61">
        <v>0</v>
      </c>
      <c r="C1277" s="61">
        <v>0</v>
      </c>
    </row>
    <row r="1278" spans="1:3" ht="14.25" customHeight="true">
      <c r="A1278" s="60" t="s">
        <v>32751</v>
      </c>
      <c r="B1278" s="61">
        <v>0</v>
      </c>
      <c r="C1278" s="61">
        <v>0</v>
      </c>
    </row>
    <row r="1279" spans="1:3" ht="14.25" customHeight="true">
      <c r="A1279" s="60" t="s">
        <v>32752</v>
      </c>
      <c r="B1279" s="61">
        <v>0</v>
      </c>
      <c r="C1279" s="61">
        <v>0</v>
      </c>
    </row>
    <row r="1280" spans="1:3" ht="14.25" customHeight="true">
      <c r="A1280" s="60" t="s">
        <v>32753</v>
      </c>
      <c r="B1280" s="61">
        <v>0</v>
      </c>
      <c r="C1280" s="61">
        <v>0</v>
      </c>
    </row>
    <row r="1281" spans="1:3" ht="14.25" customHeight="true">
      <c r="A1281" s="60" t="s">
        <v>32754</v>
      </c>
      <c r="B1281" s="61">
        <v>0</v>
      </c>
      <c r="C1281" s="61">
        <v>0</v>
      </c>
    </row>
    <row r="1282" spans="1:3" ht="14.25" customHeight="true">
      <c r="A1282" s="60" t="s">
        <v>32755</v>
      </c>
      <c r="B1282" s="61">
        <v>0</v>
      </c>
      <c r="C1282" s="61">
        <v>0</v>
      </c>
    </row>
    <row r="1283" spans="1:3" ht="14.25" customHeight="true">
      <c r="A1283" s="60" t="s">
        <v>32756</v>
      </c>
      <c r="B1283" s="61">
        <v>0</v>
      </c>
      <c r="C1283" s="61">
        <v>0</v>
      </c>
    </row>
    <row r="1284" spans="1:3" ht="14.25" customHeight="true">
      <c r="A1284" s="60" t="s">
        <v>32757</v>
      </c>
      <c r="B1284" s="61">
        <v>0</v>
      </c>
      <c r="C1284" s="61">
        <v>0</v>
      </c>
    </row>
    <row r="1285" spans="1:3" ht="14.25" customHeight="true">
      <c r="A1285" s="60" t="s">
        <v>32758</v>
      </c>
      <c r="B1285" s="61">
        <v>0</v>
      </c>
      <c r="C1285" s="61">
        <v>0</v>
      </c>
    </row>
    <row r="1286" spans="1:3" ht="14.25" customHeight="true">
      <c r="A1286" s="60" t="s">
        <v>32759</v>
      </c>
      <c r="B1286" s="61">
        <v>0</v>
      </c>
      <c r="C1286" s="61">
        <v>0</v>
      </c>
    </row>
    <row r="1287" spans="1:3" ht="14.25" customHeight="true">
      <c r="A1287" s="60" t="s">
        <v>32760</v>
      </c>
      <c r="B1287" s="61">
        <v>0</v>
      </c>
      <c r="C1287" s="61">
        <v>0</v>
      </c>
    </row>
    <row r="1288" spans="1:3" ht="14.25" customHeight="true">
      <c r="A1288" s="60" t="s">
        <v>32761</v>
      </c>
      <c r="B1288" s="61">
        <v>0</v>
      </c>
      <c r="C1288" s="61">
        <v>0</v>
      </c>
    </row>
    <row r="1289" spans="1:3" ht="14.25" customHeight="true">
      <c r="A1289" s="60" t="s">
        <v>32762</v>
      </c>
      <c r="B1289" s="61">
        <v>0</v>
      </c>
      <c r="C1289" s="61">
        <v>0</v>
      </c>
    </row>
    <row r="1290" spans="1:3" ht="14.25" customHeight="true">
      <c r="A1290" s="60" t="s">
        <v>32763</v>
      </c>
      <c r="B1290" s="61">
        <v>0</v>
      </c>
      <c r="C1290" s="61">
        <v>0</v>
      </c>
    </row>
    <row r="1291" spans="1:3" ht="14.25" customHeight="true">
      <c r="A1291" s="60" t="s">
        <v>32764</v>
      </c>
      <c r="B1291" s="61">
        <v>0</v>
      </c>
      <c r="C1291" s="61">
        <v>0</v>
      </c>
    </row>
    <row r="1292" spans="1:3" ht="14.25" customHeight="true">
      <c r="A1292" s="60" t="s">
        <v>32765</v>
      </c>
      <c r="B1292" s="61">
        <v>0</v>
      </c>
      <c r="C1292" s="61">
        <v>0</v>
      </c>
    </row>
    <row r="1293" spans="1:3" ht="14.25" customHeight="true">
      <c r="A1293" s="60" t="s">
        <v>32766</v>
      </c>
      <c r="B1293" s="61">
        <v>0</v>
      </c>
      <c r="C1293" s="61">
        <v>0</v>
      </c>
    </row>
    <row r="1294" spans="1:3" ht="14.25" customHeight="true">
      <c r="A1294" s="60" t="s">
        <v>32767</v>
      </c>
      <c r="B1294" s="61">
        <v>0</v>
      </c>
      <c r="C1294" s="61">
        <v>0</v>
      </c>
    </row>
    <row r="1295" spans="1:3" ht="14.25" customHeight="true">
      <c r="A1295" s="60" t="s">
        <v>32768</v>
      </c>
      <c r="B1295" s="61">
        <v>0</v>
      </c>
      <c r="C1295" s="61">
        <v>0</v>
      </c>
    </row>
    <row r="1296" spans="1:3" ht="14.25" customHeight="true">
      <c r="A1296" s="60" t="s">
        <v>32769</v>
      </c>
      <c r="B1296" s="61">
        <v>0</v>
      </c>
      <c r="C1296" s="61">
        <v>0</v>
      </c>
    </row>
    <row r="1297" spans="1:3" ht="14.25" customHeight="true">
      <c r="A1297" s="60" t="s">
        <v>32770</v>
      </c>
      <c r="B1297" s="61">
        <v>0</v>
      </c>
      <c r="C1297" s="61">
        <v>0</v>
      </c>
    </row>
    <row r="1298" spans="1:3" ht="14.25" customHeight="true">
      <c r="A1298" s="60" t="s">
        <v>32771</v>
      </c>
      <c r="B1298" s="61">
        <v>0</v>
      </c>
      <c r="C1298" s="61">
        <v>0</v>
      </c>
    </row>
    <row r="1299" spans="1:3" ht="14.25" customHeight="true">
      <c r="A1299" s="60" t="s">
        <v>32772</v>
      </c>
      <c r="B1299" s="61">
        <v>0</v>
      </c>
      <c r="C1299" s="61">
        <v>0</v>
      </c>
    </row>
    <row r="1300" spans="1:3" ht="14.25" customHeight="true">
      <c r="A1300" s="60" t="s">
        <v>32773</v>
      </c>
      <c r="B1300" s="61">
        <v>0</v>
      </c>
      <c r="C1300" s="61">
        <v>0</v>
      </c>
    </row>
    <row r="1301" spans="1:3" ht="14.25" customHeight="true">
      <c r="A1301" s="60" t="s">
        <v>32774</v>
      </c>
      <c r="B1301" s="61">
        <v>0</v>
      </c>
      <c r="C1301" s="61">
        <v>0</v>
      </c>
    </row>
    <row r="1302" spans="1:3" ht="14.25" customHeight="true">
      <c r="A1302" s="60" t="s">
        <v>32775</v>
      </c>
      <c r="B1302" s="61">
        <v>0</v>
      </c>
      <c r="C1302" s="61">
        <v>0</v>
      </c>
    </row>
    <row r="1303" spans="1:3" ht="14.25" customHeight="true">
      <c r="A1303" s="60" t="s">
        <v>32776</v>
      </c>
      <c r="B1303" s="61">
        <v>0</v>
      </c>
      <c r="C1303" s="61">
        <v>0</v>
      </c>
    </row>
    <row r="1304" spans="1:3" ht="14.25" customHeight="true">
      <c r="A1304" s="60" t="s">
        <v>32777</v>
      </c>
      <c r="B1304" s="61">
        <v>0</v>
      </c>
      <c r="C1304" s="61">
        <v>0</v>
      </c>
    </row>
    <row r="1305" spans="1:3" ht="14.25" customHeight="true">
      <c r="A1305" s="60" t="s">
        <v>32778</v>
      </c>
      <c r="B1305" s="61">
        <v>0</v>
      </c>
      <c r="C1305" s="61">
        <v>0</v>
      </c>
    </row>
    <row r="1306" spans="1:3" ht="14.25" customHeight="true">
      <c r="A1306" s="60" t="s">
        <v>32779</v>
      </c>
      <c r="B1306" s="61">
        <v>0</v>
      </c>
      <c r="C1306" s="61">
        <v>0</v>
      </c>
    </row>
    <row r="1307" spans="1:3" ht="14.25" customHeight="true">
      <c r="A1307" s="60" t="s">
        <v>32780</v>
      </c>
      <c r="B1307" s="61">
        <v>0</v>
      </c>
      <c r="C1307" s="61">
        <v>0</v>
      </c>
    </row>
    <row r="1308" spans="1:3" ht="14.25" customHeight="true">
      <c r="A1308" s="60" t="s">
        <v>32781</v>
      </c>
      <c r="B1308" s="61">
        <v>0</v>
      </c>
      <c r="C1308" s="61">
        <v>0</v>
      </c>
    </row>
    <row r="1309" spans="1:3" ht="14.25" customHeight="true">
      <c r="A1309" s="60" t="s">
        <v>32782</v>
      </c>
      <c r="B1309" s="61">
        <v>0</v>
      </c>
      <c r="C1309" s="61">
        <v>0</v>
      </c>
    </row>
    <row r="1310" spans="1:3" ht="14.25" customHeight="true">
      <c r="A1310" s="60" t="s">
        <v>32783</v>
      </c>
      <c r="B1310" s="61">
        <v>0</v>
      </c>
      <c r="C1310" s="61">
        <v>0</v>
      </c>
    </row>
    <row r="1311" spans="1:3" ht="14.25" customHeight="true">
      <c r="A1311" s="60" t="s">
        <v>32784</v>
      </c>
      <c r="B1311" s="61">
        <v>0</v>
      </c>
      <c r="C1311" s="61">
        <v>0</v>
      </c>
    </row>
    <row r="1312" spans="1:3" ht="14.25" customHeight="true">
      <c r="A1312" s="60" t="s">
        <v>32785</v>
      </c>
      <c r="B1312" s="61">
        <v>0</v>
      </c>
      <c r="C1312" s="61">
        <v>0</v>
      </c>
    </row>
    <row r="1313" spans="1:3" ht="14.25" customHeight="true">
      <c r="A1313" s="60" t="s">
        <v>32786</v>
      </c>
      <c r="B1313" s="61">
        <v>0</v>
      </c>
      <c r="C1313" s="61">
        <v>0</v>
      </c>
    </row>
    <row r="1314" spans="1:3" ht="14.25" customHeight="true">
      <c r="A1314" s="60" t="s">
        <v>32787</v>
      </c>
      <c r="B1314" s="61">
        <v>0</v>
      </c>
      <c r="C1314" s="61">
        <v>0</v>
      </c>
    </row>
    <row r="1315" spans="1:3" ht="14.25" customHeight="true">
      <c r="A1315" s="60" t="s">
        <v>32788</v>
      </c>
      <c r="B1315" s="61">
        <v>0</v>
      </c>
      <c r="C1315" s="61">
        <v>0</v>
      </c>
    </row>
    <row r="1316" spans="1:3" ht="14.25" customHeight="true">
      <c r="A1316" s="60" t="s">
        <v>32789</v>
      </c>
      <c r="B1316" s="61">
        <v>0</v>
      </c>
      <c r="C1316" s="61">
        <v>0</v>
      </c>
    </row>
    <row r="1317" spans="1:3" ht="14.25" customHeight="true">
      <c r="A1317" s="60" t="s">
        <v>32790</v>
      </c>
      <c r="B1317" s="61">
        <v>0</v>
      </c>
      <c r="C1317" s="61">
        <v>0</v>
      </c>
    </row>
    <row r="1318" spans="1:3" ht="14.25" customHeight="true">
      <c r="A1318" s="60" t="s">
        <v>32791</v>
      </c>
      <c r="B1318" s="61">
        <v>0</v>
      </c>
      <c r="C1318" s="61">
        <v>0</v>
      </c>
    </row>
    <row r="1319" spans="1:3" ht="14.25" customHeight="true">
      <c r="A1319" s="60" t="s">
        <v>32792</v>
      </c>
      <c r="B1319" s="61">
        <v>0</v>
      </c>
      <c r="C1319" s="61">
        <v>0</v>
      </c>
    </row>
    <row r="1320" spans="1:3" ht="14.25" customHeight="true">
      <c r="A1320" s="60" t="s">
        <v>32793</v>
      </c>
      <c r="B1320" s="61">
        <v>0</v>
      </c>
      <c r="C1320" s="61">
        <v>0</v>
      </c>
    </row>
    <row r="1321" spans="1:3" ht="14.25" customHeight="true">
      <c r="A1321" s="60" t="s">
        <v>32794</v>
      </c>
      <c r="B1321" s="61">
        <v>0</v>
      </c>
      <c r="C1321" s="61">
        <v>0</v>
      </c>
    </row>
    <row r="1322" spans="1:3" ht="14.25" customHeight="true">
      <c r="A1322" s="60" t="s">
        <v>32795</v>
      </c>
      <c r="B1322" s="61">
        <v>0</v>
      </c>
      <c r="C1322" s="61">
        <v>0</v>
      </c>
    </row>
    <row r="1323" spans="1:3" ht="14.25" customHeight="true">
      <c r="A1323" s="60" t="s">
        <v>32796</v>
      </c>
      <c r="B1323" s="61">
        <v>0</v>
      </c>
      <c r="C1323" s="61">
        <v>0</v>
      </c>
    </row>
    <row r="1324" spans="1:3" ht="14.25" customHeight="true">
      <c r="A1324" s="60" t="s">
        <v>32797</v>
      </c>
      <c r="B1324" s="61">
        <v>0</v>
      </c>
      <c r="C1324" s="61">
        <v>0</v>
      </c>
    </row>
    <row r="1325" spans="1:3" ht="14.25" customHeight="true">
      <c r="A1325" s="60" t="s">
        <v>32798</v>
      </c>
      <c r="B1325" s="61">
        <v>0</v>
      </c>
      <c r="C1325" s="61">
        <v>0</v>
      </c>
    </row>
    <row r="1326" spans="1:3" ht="14.25" customHeight="true">
      <c r="A1326" s="60" t="s">
        <v>32799</v>
      </c>
      <c r="B1326" s="61">
        <v>0</v>
      </c>
      <c r="C1326" s="61">
        <v>0</v>
      </c>
    </row>
    <row r="1327" spans="1:3" ht="14.25" customHeight="true">
      <c r="A1327" s="60" t="s">
        <v>32800</v>
      </c>
      <c r="B1327" s="61">
        <v>0</v>
      </c>
      <c r="C1327" s="61">
        <v>0</v>
      </c>
    </row>
    <row r="1328" spans="1:3" ht="14.25" customHeight="true">
      <c r="A1328" s="60" t="s">
        <v>32801</v>
      </c>
      <c r="B1328" s="61">
        <v>0</v>
      </c>
      <c r="C1328" s="61">
        <v>0</v>
      </c>
    </row>
    <row r="1329" spans="1:3" ht="14.25" customHeight="true">
      <c r="A1329" s="60" t="s">
        <v>32802</v>
      </c>
      <c r="B1329" s="61">
        <v>0</v>
      </c>
      <c r="C1329" s="61">
        <v>0</v>
      </c>
    </row>
    <row r="1330" spans="1:3" ht="14.25" customHeight="true">
      <c r="A1330" s="60" t="s">
        <v>32803</v>
      </c>
      <c r="B1330" s="61">
        <v>0</v>
      </c>
      <c r="C1330" s="61">
        <v>0</v>
      </c>
    </row>
    <row r="1331" spans="1:3" ht="14.25" customHeight="true">
      <c r="A1331" s="60" t="s">
        <v>32804</v>
      </c>
      <c r="B1331" s="61">
        <v>0</v>
      </c>
      <c r="C1331" s="61">
        <v>0</v>
      </c>
    </row>
    <row r="1332" spans="1:3" ht="14.25" customHeight="true">
      <c r="A1332" s="60" t="s">
        <v>32805</v>
      </c>
      <c r="B1332" s="61">
        <v>0</v>
      </c>
      <c r="C1332" s="61">
        <v>0</v>
      </c>
    </row>
    <row r="1333" spans="1:3" ht="14.25" customHeight="true">
      <c r="A1333" s="60" t="s">
        <v>32806</v>
      </c>
      <c r="B1333" s="61">
        <v>0</v>
      </c>
      <c r="C1333" s="61">
        <v>0</v>
      </c>
    </row>
    <row r="1334" spans="1:3" ht="14.25" customHeight="true">
      <c r="A1334" s="60" t="s">
        <v>32807</v>
      </c>
      <c r="B1334" s="61">
        <v>0</v>
      </c>
      <c r="C1334" s="61">
        <v>0</v>
      </c>
    </row>
    <row r="1335" spans="1:3" ht="14.25" customHeight="true">
      <c r="A1335" s="60" t="s">
        <v>32808</v>
      </c>
      <c r="B1335" s="61">
        <v>0</v>
      </c>
      <c r="C1335" s="61">
        <v>0</v>
      </c>
    </row>
    <row r="1336" spans="1:3" ht="14.25" customHeight="true">
      <c r="A1336" s="60" t="s">
        <v>32809</v>
      </c>
      <c r="B1336" s="61">
        <v>0</v>
      </c>
      <c r="C1336" s="61">
        <v>0</v>
      </c>
    </row>
    <row r="1337" spans="1:3" ht="14.25" customHeight="true">
      <c r="A1337" s="60" t="s">
        <v>32810</v>
      </c>
      <c r="B1337" s="61">
        <v>0</v>
      </c>
      <c r="C1337" s="61">
        <v>0</v>
      </c>
    </row>
    <row r="1338" spans="1:3" ht="14.25" customHeight="true">
      <c r="A1338" s="60" t="s">
        <v>32811</v>
      </c>
      <c r="B1338" s="61">
        <v>0</v>
      </c>
      <c r="C1338" s="61">
        <v>0</v>
      </c>
    </row>
    <row r="1339" spans="1:3" ht="14.25" customHeight="true">
      <c r="A1339" s="60" t="s">
        <v>32812</v>
      </c>
      <c r="B1339" s="61">
        <v>0</v>
      </c>
      <c r="C1339" s="61">
        <v>0</v>
      </c>
    </row>
    <row r="1340" spans="1:3" ht="14.25" customHeight="true">
      <c r="A1340" s="60" t="s">
        <v>32813</v>
      </c>
      <c r="B1340" s="61">
        <v>0</v>
      </c>
      <c r="C1340" s="61">
        <v>0</v>
      </c>
    </row>
    <row r="1341" spans="1:3" ht="14.25" customHeight="true">
      <c r="A1341" s="60" t="s">
        <v>32814</v>
      </c>
      <c r="B1341" s="61">
        <v>0</v>
      </c>
      <c r="C1341" s="61">
        <v>0</v>
      </c>
    </row>
    <row r="1342" spans="1:3" ht="14.25" customHeight="true">
      <c r="A1342" s="60" t="s">
        <v>32815</v>
      </c>
      <c r="B1342" s="61">
        <v>0</v>
      </c>
      <c r="C1342" s="61">
        <v>0</v>
      </c>
    </row>
    <row r="1343" spans="1:3" ht="14.25" customHeight="true">
      <c r="A1343" s="60" t="s">
        <v>32816</v>
      </c>
      <c r="B1343" s="61">
        <v>0</v>
      </c>
      <c r="C1343" s="61">
        <v>0</v>
      </c>
    </row>
    <row r="1344" spans="1:3" ht="14.25" customHeight="true">
      <c r="A1344" s="60" t="s">
        <v>32817</v>
      </c>
      <c r="B1344" s="61">
        <v>0</v>
      </c>
      <c r="C1344" s="61">
        <v>0</v>
      </c>
    </row>
    <row r="1345" spans="1:3" ht="14.25" customHeight="true">
      <c r="A1345" s="60" t="s">
        <v>32818</v>
      </c>
      <c r="B1345" s="61">
        <v>0</v>
      </c>
      <c r="C1345" s="61">
        <v>0</v>
      </c>
    </row>
    <row r="1346" spans="1:3" ht="14.25" customHeight="true">
      <c r="A1346" s="60" t="s">
        <v>32819</v>
      </c>
      <c r="B1346" s="61">
        <v>0</v>
      </c>
      <c r="C1346" s="61">
        <v>0</v>
      </c>
    </row>
    <row r="1347" spans="1:3" ht="14.25" customHeight="true">
      <c r="A1347" s="60" t="s">
        <v>32820</v>
      </c>
      <c r="B1347" s="61">
        <v>0</v>
      </c>
      <c r="C1347" s="61">
        <v>0</v>
      </c>
    </row>
    <row r="1348" spans="1:3" ht="14.25" customHeight="true">
      <c r="A1348" s="60" t="s">
        <v>32821</v>
      </c>
      <c r="B1348" s="61">
        <v>0</v>
      </c>
      <c r="C1348" s="61">
        <v>0</v>
      </c>
    </row>
    <row r="1349" spans="1:3" ht="14.25" customHeight="true">
      <c r="A1349" s="60" t="s">
        <v>32822</v>
      </c>
      <c r="B1349" s="61">
        <v>0</v>
      </c>
      <c r="C1349" s="61">
        <v>0</v>
      </c>
    </row>
    <row r="1350" spans="1:3" ht="14.25" customHeight="true">
      <c r="A1350" s="60" t="s">
        <v>32823</v>
      </c>
      <c r="B1350" s="61">
        <v>0</v>
      </c>
      <c r="C1350" s="61">
        <v>0</v>
      </c>
    </row>
    <row r="1351" spans="1:3" ht="14.25" customHeight="true">
      <c r="A1351" s="60" t="s">
        <v>32824</v>
      </c>
      <c r="B1351" s="61">
        <v>0</v>
      </c>
      <c r="C1351" s="61">
        <v>0</v>
      </c>
    </row>
    <row r="1352" spans="1:3" ht="14.25" customHeight="true">
      <c r="A1352" s="60" t="s">
        <v>32825</v>
      </c>
      <c r="B1352" s="61">
        <v>0</v>
      </c>
      <c r="C1352" s="61">
        <v>0</v>
      </c>
    </row>
    <row r="1353" spans="1:3" ht="14.25" customHeight="true">
      <c r="A1353" s="60" t="s">
        <v>32826</v>
      </c>
      <c r="B1353" s="61">
        <v>0</v>
      </c>
      <c r="C1353" s="61">
        <v>0</v>
      </c>
    </row>
    <row r="1354" spans="1:3" ht="14.25" customHeight="true">
      <c r="A1354" s="60" t="s">
        <v>32827</v>
      </c>
      <c r="B1354" s="61">
        <v>0</v>
      </c>
      <c r="C1354" s="61">
        <v>0</v>
      </c>
    </row>
    <row r="1355" spans="1:3" ht="14.25" customHeight="true">
      <c r="A1355" s="60" t="s">
        <v>32828</v>
      </c>
      <c r="B1355" s="61">
        <v>0</v>
      </c>
      <c r="C1355" s="61">
        <v>0</v>
      </c>
    </row>
    <row r="1356" spans="1:3" ht="14.25" customHeight="true">
      <c r="A1356" s="60" t="s">
        <v>32829</v>
      </c>
      <c r="B1356" s="61">
        <v>0</v>
      </c>
      <c r="C1356" s="61">
        <v>0</v>
      </c>
    </row>
    <row r="1357" spans="1:3" ht="14.25" customHeight="true">
      <c r="A1357" s="60" t="s">
        <v>32830</v>
      </c>
      <c r="B1357" s="61">
        <v>0</v>
      </c>
      <c r="C1357" s="61">
        <v>0</v>
      </c>
    </row>
    <row r="1358" spans="1:3" ht="14.25" customHeight="true">
      <c r="A1358" s="60" t="s">
        <v>32831</v>
      </c>
      <c r="B1358" s="61">
        <v>0</v>
      </c>
      <c r="C1358" s="61">
        <v>0</v>
      </c>
    </row>
    <row r="1359" spans="1:3" ht="14.25" customHeight="true">
      <c r="A1359" s="60" t="s">
        <v>32832</v>
      </c>
      <c r="B1359" s="61">
        <v>0</v>
      </c>
      <c r="C1359" s="61">
        <v>0</v>
      </c>
    </row>
    <row r="1360" spans="1:3" ht="14.25" customHeight="true">
      <c r="A1360" s="60" t="s">
        <v>32833</v>
      </c>
      <c r="B1360" s="61">
        <v>0</v>
      </c>
      <c r="C1360" s="61">
        <v>0</v>
      </c>
    </row>
    <row r="1361" spans="1:3" ht="14.25" customHeight="true">
      <c r="A1361" s="60" t="s">
        <v>32834</v>
      </c>
      <c r="B1361" s="61">
        <v>0</v>
      </c>
      <c r="C1361" s="61">
        <v>0</v>
      </c>
    </row>
    <row r="1362" spans="1:3" ht="14.25" customHeight="true">
      <c r="A1362" s="60" t="s">
        <v>32835</v>
      </c>
      <c r="B1362" s="61">
        <v>0</v>
      </c>
      <c r="C1362" s="61">
        <v>0</v>
      </c>
    </row>
    <row r="1363" spans="1:3" ht="14.25" customHeight="true">
      <c r="A1363" s="60" t="s">
        <v>32836</v>
      </c>
      <c r="B1363" s="61">
        <v>0</v>
      </c>
      <c r="C1363" s="61">
        <v>0</v>
      </c>
    </row>
    <row r="1364" spans="1:3" ht="14.25" customHeight="true">
      <c r="A1364" s="60" t="s">
        <v>32837</v>
      </c>
      <c r="B1364" s="61">
        <v>0</v>
      </c>
      <c r="C1364" s="61">
        <v>0</v>
      </c>
    </row>
    <row r="1365" spans="1:3" ht="14.25" customHeight="true">
      <c r="A1365" s="60" t="s">
        <v>32838</v>
      </c>
      <c r="B1365" s="61">
        <v>0</v>
      </c>
      <c r="C1365" s="61">
        <v>0</v>
      </c>
    </row>
    <row r="1366" spans="1:3" ht="14.25" customHeight="true">
      <c r="A1366" s="60" t="s">
        <v>32839</v>
      </c>
      <c r="B1366" s="61">
        <v>0</v>
      </c>
      <c r="C1366" s="61">
        <v>0</v>
      </c>
    </row>
    <row r="1367" spans="1:3" ht="14.25" customHeight="true">
      <c r="A1367" s="60" t="s">
        <v>32840</v>
      </c>
      <c r="B1367" s="61">
        <v>0</v>
      </c>
      <c r="C1367" s="61">
        <v>0</v>
      </c>
    </row>
    <row r="1368" spans="1:3" ht="14.25" customHeight="true">
      <c r="A1368" s="60" t="s">
        <v>32841</v>
      </c>
      <c r="B1368" s="61">
        <v>0</v>
      </c>
      <c r="C1368" s="61">
        <v>0</v>
      </c>
    </row>
    <row r="1369" spans="1:3" ht="14.25" customHeight="true">
      <c r="A1369" s="60" t="s">
        <v>32842</v>
      </c>
      <c r="B1369" s="61">
        <v>0</v>
      </c>
      <c r="C1369" s="61">
        <v>0</v>
      </c>
    </row>
    <row r="1370" spans="1:3" ht="14.25" customHeight="true">
      <c r="A1370" s="60" t="s">
        <v>32843</v>
      </c>
      <c r="B1370" s="61">
        <v>0</v>
      </c>
      <c r="C1370" s="61">
        <v>0</v>
      </c>
    </row>
    <row r="1371" spans="1:3" ht="14.25" customHeight="true">
      <c r="A1371" s="60" t="s">
        <v>32844</v>
      </c>
      <c r="B1371" s="61">
        <v>0</v>
      </c>
      <c r="C1371" s="61">
        <v>0</v>
      </c>
    </row>
    <row r="1372" spans="1:3" ht="14.25" customHeight="true">
      <c r="A1372" s="60" t="s">
        <v>32845</v>
      </c>
      <c r="B1372" s="61">
        <v>0</v>
      </c>
      <c r="C1372" s="61">
        <v>0</v>
      </c>
    </row>
    <row r="1373" spans="1:3" ht="14.25" customHeight="true">
      <c r="A1373" s="60" t="s">
        <v>32846</v>
      </c>
      <c r="B1373" s="61">
        <v>0</v>
      </c>
      <c r="C1373" s="61">
        <v>0</v>
      </c>
    </row>
    <row r="1374" spans="1:3" ht="14.25" customHeight="true">
      <c r="A1374" s="60" t="s">
        <v>32847</v>
      </c>
      <c r="B1374" s="61">
        <v>0</v>
      </c>
      <c r="C1374" s="61">
        <v>0</v>
      </c>
    </row>
    <row r="1375" spans="1:3" ht="14.25" customHeight="true">
      <c r="A1375" s="60" t="s">
        <v>32848</v>
      </c>
      <c r="B1375" s="61">
        <v>0</v>
      </c>
      <c r="C1375" s="61">
        <v>0</v>
      </c>
    </row>
    <row r="1376" spans="1:3" ht="14.25" customHeight="true">
      <c r="A1376" s="60" t="s">
        <v>32849</v>
      </c>
      <c r="B1376" s="61">
        <v>0</v>
      </c>
      <c r="C1376" s="61">
        <v>0</v>
      </c>
    </row>
    <row r="1377" spans="1:3" ht="14.25" customHeight="true">
      <c r="A1377" s="60" t="s">
        <v>32850</v>
      </c>
      <c r="B1377" s="61">
        <v>0</v>
      </c>
      <c r="C1377" s="61">
        <v>0</v>
      </c>
    </row>
    <row r="1378" spans="1:3" ht="14.25" customHeight="true">
      <c r="A1378" s="60" t="s">
        <v>32851</v>
      </c>
      <c r="B1378" s="61">
        <v>0</v>
      </c>
      <c r="C1378" s="61">
        <v>0</v>
      </c>
    </row>
    <row r="1379" spans="1:3" ht="14.25" customHeight="true">
      <c r="A1379" s="60" t="s">
        <v>32852</v>
      </c>
      <c r="B1379" s="61">
        <v>0</v>
      </c>
      <c r="C1379" s="61">
        <v>0</v>
      </c>
    </row>
    <row r="1380" spans="1:3" ht="14.25" customHeight="true">
      <c r="A1380" s="60" t="s">
        <v>32853</v>
      </c>
      <c r="B1380" s="61">
        <v>0</v>
      </c>
      <c r="C1380" s="61">
        <v>0</v>
      </c>
    </row>
    <row r="1381" spans="1:3" ht="14.25" customHeight="true">
      <c r="A1381" s="60" t="s">
        <v>32854</v>
      </c>
      <c r="B1381" s="61">
        <v>0</v>
      </c>
      <c r="C1381" s="61">
        <v>0</v>
      </c>
    </row>
    <row r="1382" spans="1:3" ht="14.25" customHeight="true">
      <c r="A1382" s="60" t="s">
        <v>32855</v>
      </c>
      <c r="B1382" s="61">
        <v>0</v>
      </c>
      <c r="C1382" s="61">
        <v>0</v>
      </c>
    </row>
    <row r="1383" spans="1:3" ht="14.25" customHeight="true">
      <c r="A1383" s="60" t="s">
        <v>32856</v>
      </c>
      <c r="B1383" s="61">
        <v>0</v>
      </c>
      <c r="C1383" s="61">
        <v>0</v>
      </c>
    </row>
    <row r="1384" spans="1:3" ht="14.25" customHeight="true">
      <c r="A1384" s="60" t="s">
        <v>32857</v>
      </c>
      <c r="B1384" s="61">
        <v>0</v>
      </c>
      <c r="C1384" s="61">
        <v>0</v>
      </c>
    </row>
    <row r="1385" spans="1:3" ht="14.25" customHeight="true">
      <c r="A1385" s="60" t="s">
        <v>32858</v>
      </c>
      <c r="B1385" s="61">
        <v>0</v>
      </c>
      <c r="C1385" s="61">
        <v>0</v>
      </c>
    </row>
    <row r="1386" spans="1:3" ht="14.25" customHeight="true">
      <c r="A1386" s="60" t="s">
        <v>32859</v>
      </c>
      <c r="B1386" s="61">
        <v>0</v>
      </c>
      <c r="C1386" s="61">
        <v>0</v>
      </c>
    </row>
    <row r="1387" spans="1:3" ht="14.25" customHeight="true">
      <c r="A1387" s="60" t="s">
        <v>32860</v>
      </c>
      <c r="B1387" s="61">
        <v>0</v>
      </c>
      <c r="C1387" s="61">
        <v>0</v>
      </c>
    </row>
    <row r="1388" spans="1:3" ht="14.25" customHeight="true">
      <c r="A1388" s="60" t="s">
        <v>32861</v>
      </c>
      <c r="B1388" s="61">
        <v>0</v>
      </c>
      <c r="C1388" s="61">
        <v>0</v>
      </c>
    </row>
    <row r="1389" spans="1:3" ht="14.25" customHeight="true">
      <c r="A1389" s="60" t="s">
        <v>32862</v>
      </c>
      <c r="B1389" s="61">
        <v>0</v>
      </c>
      <c r="C1389" s="61">
        <v>0</v>
      </c>
    </row>
    <row r="1390" spans="1:3" ht="14.25" customHeight="true">
      <c r="A1390" s="60" t="s">
        <v>32863</v>
      </c>
      <c r="B1390" s="61">
        <v>0</v>
      </c>
      <c r="C1390" s="61">
        <v>0</v>
      </c>
    </row>
    <row r="1391" spans="1:3" ht="14.25" customHeight="true">
      <c r="A1391" s="60" t="s">
        <v>32864</v>
      </c>
      <c r="B1391" s="61">
        <v>0</v>
      </c>
      <c r="C1391" s="61">
        <v>0</v>
      </c>
    </row>
    <row r="1392" spans="1:3" ht="14.25" customHeight="true">
      <c r="A1392" s="60" t="s">
        <v>32865</v>
      </c>
      <c r="B1392" s="61">
        <v>0</v>
      </c>
      <c r="C1392" s="61">
        <v>0</v>
      </c>
    </row>
    <row r="1393" spans="1:3" ht="14.25" customHeight="true">
      <c r="A1393" s="60" t="s">
        <v>32866</v>
      </c>
      <c r="B1393" s="61">
        <v>0</v>
      </c>
      <c r="C1393" s="61">
        <v>0</v>
      </c>
    </row>
    <row r="1394" spans="1:3" ht="14.25" customHeight="true">
      <c r="A1394" s="60" t="s">
        <v>32867</v>
      </c>
      <c r="B1394" s="61">
        <v>0</v>
      </c>
      <c r="C1394" s="61">
        <v>0</v>
      </c>
    </row>
    <row r="1395" spans="1:3" ht="14.25" customHeight="true">
      <c r="A1395" s="60" t="s">
        <v>32868</v>
      </c>
      <c r="B1395" s="61">
        <v>0</v>
      </c>
      <c r="C1395" s="61">
        <v>0</v>
      </c>
    </row>
    <row r="1396" spans="1:3" ht="14.25" customHeight="true">
      <c r="A1396" s="60" t="s">
        <v>32869</v>
      </c>
      <c r="B1396" s="61">
        <v>0</v>
      </c>
      <c r="C1396" s="61">
        <v>0</v>
      </c>
    </row>
    <row r="1397" spans="1:3" ht="14.25" customHeight="true">
      <c r="A1397" s="60" t="s">
        <v>32870</v>
      </c>
      <c r="B1397" s="61">
        <v>0</v>
      </c>
      <c r="C1397" s="61">
        <v>0</v>
      </c>
    </row>
    <row r="1398" spans="1:3" ht="14.25" customHeight="true">
      <c r="A1398" s="60" t="s">
        <v>32871</v>
      </c>
      <c r="B1398" s="61">
        <v>0</v>
      </c>
      <c r="C1398" s="61">
        <v>0</v>
      </c>
    </row>
    <row r="1399" spans="1:3" ht="14.25" customHeight="true">
      <c r="A1399" s="60" t="s">
        <v>32872</v>
      </c>
      <c r="B1399" s="61">
        <v>0</v>
      </c>
      <c r="C1399" s="61">
        <v>0</v>
      </c>
    </row>
    <row r="1400" spans="1:3" ht="14.25" customHeight="true">
      <c r="A1400" s="60" t="s">
        <v>32873</v>
      </c>
      <c r="B1400" s="61">
        <v>0</v>
      </c>
      <c r="C1400" s="61">
        <v>0</v>
      </c>
    </row>
    <row r="1401" spans="1:3" ht="14.25" customHeight="true">
      <c r="A1401" s="60" t="s">
        <v>32874</v>
      </c>
      <c r="B1401" s="61">
        <v>0</v>
      </c>
      <c r="C1401" s="61">
        <v>0</v>
      </c>
    </row>
    <row r="1402" spans="1:3" ht="14.25" customHeight="true">
      <c r="A1402" s="60" t="s">
        <v>32875</v>
      </c>
      <c r="B1402" s="61">
        <v>0</v>
      </c>
      <c r="C1402" s="61">
        <v>0</v>
      </c>
    </row>
    <row r="1403" spans="1:3" ht="14.25" customHeight="true">
      <c r="A1403" s="60" t="s">
        <v>32876</v>
      </c>
      <c r="B1403" s="61">
        <v>0</v>
      </c>
      <c r="C1403" s="61">
        <v>0</v>
      </c>
    </row>
    <row r="1404" spans="1:3" ht="14.25" customHeight="true">
      <c r="A1404" s="60" t="s">
        <v>32877</v>
      </c>
      <c r="B1404" s="61">
        <v>0</v>
      </c>
      <c r="C1404" s="61">
        <v>0</v>
      </c>
    </row>
    <row r="1405" spans="1:3" ht="14.25" customHeight="true">
      <c r="A1405" s="60" t="s">
        <v>32878</v>
      </c>
      <c r="B1405" s="61">
        <v>0</v>
      </c>
      <c r="C1405" s="61">
        <v>0</v>
      </c>
    </row>
    <row r="1406" spans="1:3" ht="14.25" customHeight="true">
      <c r="A1406" s="60" t="s">
        <v>32879</v>
      </c>
      <c r="B1406" s="61">
        <v>0</v>
      </c>
      <c r="C1406" s="61">
        <v>0</v>
      </c>
    </row>
    <row r="1407" spans="1:3" ht="14.25" customHeight="true">
      <c r="A1407" s="60" t="s">
        <v>32880</v>
      </c>
      <c r="B1407" s="61">
        <v>0</v>
      </c>
      <c r="C1407" s="61">
        <v>0</v>
      </c>
    </row>
    <row r="1408" spans="1:3" ht="14.25" customHeight="true">
      <c r="A1408" s="60" t="s">
        <v>32881</v>
      </c>
      <c r="B1408" s="61">
        <v>0</v>
      </c>
      <c r="C1408" s="61">
        <v>0</v>
      </c>
    </row>
    <row r="1409" spans="1:3" ht="14.25" customHeight="true">
      <c r="A1409" s="60" t="s">
        <v>32882</v>
      </c>
      <c r="B1409" s="61">
        <v>0</v>
      </c>
      <c r="C1409" s="61">
        <v>0</v>
      </c>
    </row>
    <row r="1410" spans="1:3" ht="14.25" customHeight="true">
      <c r="A1410" s="60" t="s">
        <v>32883</v>
      </c>
      <c r="B1410" s="61">
        <v>0</v>
      </c>
      <c r="C1410" s="61">
        <v>0</v>
      </c>
    </row>
    <row r="1411" spans="1:3" ht="14.25" customHeight="true">
      <c r="A1411" s="60" t="s">
        <v>32884</v>
      </c>
      <c r="B1411" s="61">
        <v>0</v>
      </c>
      <c r="C1411" s="61">
        <v>0</v>
      </c>
    </row>
    <row r="1412" spans="1:3" ht="14.25" customHeight="true">
      <c r="A1412" s="60" t="s">
        <v>32885</v>
      </c>
      <c r="B1412" s="61">
        <v>0</v>
      </c>
      <c r="C1412" s="61">
        <v>0</v>
      </c>
    </row>
    <row r="1413" spans="1:3" ht="14.25" customHeight="true">
      <c r="A1413" s="60" t="s">
        <v>32886</v>
      </c>
      <c r="B1413" s="61">
        <v>0</v>
      </c>
      <c r="C1413" s="61">
        <v>0</v>
      </c>
    </row>
    <row r="1414" spans="1:3" ht="14.25" customHeight="true">
      <c r="A1414" s="60" t="s">
        <v>32887</v>
      </c>
      <c r="B1414" s="61">
        <v>0</v>
      </c>
      <c r="C1414" s="61">
        <v>0</v>
      </c>
    </row>
    <row r="1415" spans="1:3" ht="14.25" customHeight="true">
      <c r="A1415" s="60" t="s">
        <v>32888</v>
      </c>
      <c r="B1415" s="61">
        <v>0</v>
      </c>
      <c r="C1415" s="61">
        <v>0</v>
      </c>
    </row>
    <row r="1416" spans="1:3" ht="14.25" customHeight="true">
      <c r="A1416" s="60" t="s">
        <v>32889</v>
      </c>
      <c r="B1416" s="61">
        <v>0</v>
      </c>
      <c r="C1416" s="61">
        <v>0</v>
      </c>
    </row>
    <row r="1417" spans="1:3" ht="14.25" customHeight="true">
      <c r="A1417" s="60" t="s">
        <v>32890</v>
      </c>
      <c r="B1417" s="61">
        <v>0</v>
      </c>
      <c r="C1417" s="61">
        <v>0</v>
      </c>
    </row>
    <row r="1418" spans="1:3" ht="14.25" customHeight="true">
      <c r="A1418" s="60" t="s">
        <v>32891</v>
      </c>
      <c r="B1418" s="61">
        <v>0</v>
      </c>
      <c r="C1418" s="61">
        <v>0</v>
      </c>
    </row>
    <row r="1419" spans="1:3" ht="14.25" customHeight="true">
      <c r="A1419" s="60" t="s">
        <v>32892</v>
      </c>
      <c r="B1419" s="61">
        <v>0</v>
      </c>
      <c r="C1419" s="61">
        <v>0</v>
      </c>
    </row>
    <row r="1420" spans="1:3" ht="14.25" customHeight="true">
      <c r="A1420" s="60" t="s">
        <v>32893</v>
      </c>
      <c r="B1420" s="61">
        <v>0</v>
      </c>
      <c r="C1420" s="61">
        <v>0</v>
      </c>
    </row>
    <row r="1421" spans="1:3" ht="14.25" customHeight="true">
      <c r="A1421" s="60" t="s">
        <v>32894</v>
      </c>
      <c r="B1421" s="61">
        <v>0</v>
      </c>
      <c r="C1421" s="61">
        <v>0</v>
      </c>
    </row>
    <row r="1422" spans="1:3" ht="14.25" customHeight="true">
      <c r="A1422" s="60" t="s">
        <v>32895</v>
      </c>
      <c r="B1422" s="61">
        <v>0</v>
      </c>
      <c r="C1422" s="61">
        <v>0</v>
      </c>
    </row>
    <row r="1423" spans="1:3" ht="14.25" customHeight="true">
      <c r="A1423" s="60" t="s">
        <v>32896</v>
      </c>
      <c r="B1423" s="61">
        <v>0</v>
      </c>
      <c r="C1423" s="61">
        <v>0</v>
      </c>
    </row>
    <row r="1424" spans="1:3" ht="14.25" customHeight="true">
      <c r="A1424" s="60" t="s">
        <v>32897</v>
      </c>
      <c r="B1424" s="61">
        <v>0</v>
      </c>
      <c r="C1424" s="61">
        <v>0</v>
      </c>
    </row>
    <row r="1425" spans="1:3" ht="14.25" customHeight="true">
      <c r="A1425" s="60" t="s">
        <v>32898</v>
      </c>
      <c r="B1425" s="61">
        <v>0</v>
      </c>
      <c r="C1425" s="61">
        <v>0</v>
      </c>
    </row>
    <row r="1426" spans="1:3" ht="14.25" customHeight="true">
      <c r="A1426" s="60" t="s">
        <v>32899</v>
      </c>
      <c r="B1426" s="61">
        <v>0</v>
      </c>
      <c r="C1426" s="61">
        <v>0</v>
      </c>
    </row>
    <row r="1427" spans="1:3" ht="14.25" customHeight="true">
      <c r="A1427" s="60" t="s">
        <v>32900</v>
      </c>
      <c r="B1427" s="61">
        <v>0</v>
      </c>
      <c r="C1427" s="61">
        <v>0</v>
      </c>
    </row>
    <row r="1428" spans="1:3" ht="14.25" customHeight="true">
      <c r="A1428" s="60" t="s">
        <v>32901</v>
      </c>
      <c r="B1428" s="61">
        <v>0</v>
      </c>
      <c r="C1428" s="61">
        <v>0</v>
      </c>
    </row>
    <row r="1429" spans="1:3" ht="14.25" customHeight="true">
      <c r="A1429" s="60" t="s">
        <v>32902</v>
      </c>
      <c r="B1429" s="61">
        <v>0</v>
      </c>
      <c r="C1429" s="61">
        <v>0</v>
      </c>
    </row>
    <row r="1430" spans="1:3" ht="14.25" customHeight="true">
      <c r="A1430" s="60" t="s">
        <v>32903</v>
      </c>
      <c r="B1430" s="61">
        <v>0</v>
      </c>
      <c r="C1430" s="61">
        <v>0</v>
      </c>
    </row>
    <row r="1431" spans="1:3" ht="14.25" customHeight="true">
      <c r="A1431" s="60" t="s">
        <v>32904</v>
      </c>
      <c r="B1431" s="61">
        <v>0</v>
      </c>
      <c r="C1431" s="61">
        <v>0</v>
      </c>
    </row>
    <row r="1432" spans="1:3" ht="14.25" customHeight="true">
      <c r="A1432" s="60" t="s">
        <v>32905</v>
      </c>
      <c r="B1432" s="61">
        <v>0</v>
      </c>
      <c r="C1432" s="61">
        <v>0</v>
      </c>
    </row>
    <row r="1433" spans="1:3" ht="14.25" customHeight="true">
      <c r="A1433" s="60" t="s">
        <v>32906</v>
      </c>
      <c r="B1433" s="61">
        <v>0</v>
      </c>
      <c r="C1433" s="61">
        <v>0</v>
      </c>
    </row>
    <row r="1434" spans="1:3" ht="14.25" customHeight="true">
      <c r="A1434" s="60" t="s">
        <v>32907</v>
      </c>
      <c r="B1434" s="61">
        <v>0</v>
      </c>
      <c r="C1434" s="61">
        <v>0</v>
      </c>
    </row>
    <row r="1435" spans="1:3" ht="14.25" customHeight="true">
      <c r="A1435" s="60" t="s">
        <v>32908</v>
      </c>
      <c r="B1435" s="61">
        <v>0</v>
      </c>
      <c r="C1435" s="61">
        <v>0</v>
      </c>
    </row>
    <row r="1436" spans="1:3" ht="14.25" customHeight="true">
      <c r="A1436" s="60" t="s">
        <v>32909</v>
      </c>
      <c r="B1436" s="61">
        <v>0</v>
      </c>
      <c r="C1436" s="61">
        <v>0</v>
      </c>
    </row>
    <row r="1437" spans="1:3" ht="14.25" customHeight="true">
      <c r="A1437" s="60" t="s">
        <v>32910</v>
      </c>
      <c r="B1437" s="61">
        <v>0</v>
      </c>
      <c r="C1437" s="61">
        <v>0</v>
      </c>
    </row>
    <row r="1438" spans="1:3" ht="14.25" customHeight="true">
      <c r="A1438" s="60" t="s">
        <v>32911</v>
      </c>
      <c r="B1438" s="61">
        <v>0</v>
      </c>
      <c r="C1438" s="61">
        <v>0</v>
      </c>
    </row>
    <row r="1439" spans="1:3" ht="14.25" customHeight="true">
      <c r="A1439" s="60" t="s">
        <v>32912</v>
      </c>
      <c r="B1439" s="61">
        <v>0</v>
      </c>
      <c r="C1439" s="61">
        <v>0</v>
      </c>
    </row>
    <row r="1440" spans="1:3" ht="14.25" customHeight="true">
      <c r="A1440" s="60" t="s">
        <v>32913</v>
      </c>
      <c r="B1440" s="61">
        <v>0</v>
      </c>
      <c r="C1440" s="61">
        <v>0</v>
      </c>
    </row>
    <row r="1441" spans="1:3" ht="14.25" customHeight="true">
      <c r="A1441" s="60" t="s">
        <v>32914</v>
      </c>
      <c r="B1441" s="61">
        <v>0</v>
      </c>
      <c r="C1441" s="61">
        <v>0</v>
      </c>
    </row>
    <row r="1442" spans="1:3" ht="14.25" customHeight="true">
      <c r="A1442" s="60" t="s">
        <v>32915</v>
      </c>
      <c r="B1442" s="61">
        <v>0</v>
      </c>
      <c r="C1442" s="61">
        <v>0</v>
      </c>
    </row>
    <row r="1443" spans="1:3" ht="14.25" customHeight="true">
      <c r="A1443" s="60" t="s">
        <v>32916</v>
      </c>
      <c r="B1443" s="61">
        <v>0</v>
      </c>
      <c r="C1443" s="61">
        <v>0</v>
      </c>
    </row>
    <row r="1444" spans="1:3" ht="14.25" customHeight="true">
      <c r="A1444" s="60" t="s">
        <v>32917</v>
      </c>
      <c r="B1444" s="61">
        <v>0</v>
      </c>
      <c r="C1444" s="61">
        <v>0</v>
      </c>
    </row>
    <row r="1445" spans="1:3" ht="14.25" customHeight="true">
      <c r="A1445" s="60" t="s">
        <v>32918</v>
      </c>
      <c r="B1445" s="61">
        <v>0</v>
      </c>
      <c r="C1445" s="61">
        <v>0</v>
      </c>
    </row>
    <row r="1446" spans="1:3" ht="14.25" customHeight="true">
      <c r="A1446" s="60" t="s">
        <v>32919</v>
      </c>
      <c r="B1446" s="61">
        <v>0</v>
      </c>
      <c r="C1446" s="61">
        <v>0</v>
      </c>
    </row>
    <row r="1447" spans="1:3" ht="14.25" customHeight="true">
      <c r="A1447" s="60" t="s">
        <v>32920</v>
      </c>
      <c r="B1447" s="61">
        <v>0</v>
      </c>
      <c r="C1447" s="61">
        <v>0</v>
      </c>
    </row>
    <row r="1448" spans="1:3" ht="14.25" customHeight="true">
      <c r="A1448" s="60" t="s">
        <v>32921</v>
      </c>
      <c r="B1448" s="61">
        <v>0</v>
      </c>
      <c r="C1448" s="61">
        <v>0</v>
      </c>
    </row>
    <row r="1449" spans="1:3" ht="14.25" customHeight="true">
      <c r="A1449" s="60" t="s">
        <v>32922</v>
      </c>
      <c r="B1449" s="61">
        <v>0</v>
      </c>
      <c r="C1449" s="61">
        <v>0</v>
      </c>
    </row>
    <row r="1450" spans="1:3" ht="14.25" customHeight="true">
      <c r="A1450" s="60" t="s">
        <v>32923</v>
      </c>
      <c r="B1450" s="61">
        <v>0</v>
      </c>
      <c r="C1450" s="61">
        <v>0</v>
      </c>
    </row>
    <row r="1451" spans="1:3" ht="14.25" customHeight="true">
      <c r="A1451" s="60" t="s">
        <v>32924</v>
      </c>
      <c r="B1451" s="61">
        <v>0</v>
      </c>
      <c r="C1451" s="61">
        <v>0</v>
      </c>
    </row>
    <row r="1452" spans="1:3" ht="14.25" customHeight="true">
      <c r="A1452" s="60" t="s">
        <v>32925</v>
      </c>
      <c r="B1452" s="61">
        <v>0</v>
      </c>
      <c r="C1452" s="61">
        <v>0</v>
      </c>
    </row>
    <row r="1453" spans="1:3" ht="14.25" customHeight="true">
      <c r="A1453" s="60" t="s">
        <v>32926</v>
      </c>
      <c r="B1453" s="61">
        <v>0</v>
      </c>
      <c r="C1453" s="61">
        <v>0</v>
      </c>
    </row>
    <row r="1454" spans="1:3" ht="14.25" customHeight="true">
      <c r="A1454" s="60" t="s">
        <v>32927</v>
      </c>
      <c r="B1454" s="61">
        <v>0</v>
      </c>
      <c r="C1454" s="61">
        <v>0</v>
      </c>
    </row>
    <row r="1455" spans="1:3" ht="14.25" customHeight="true">
      <c r="A1455" s="60" t="s">
        <v>32928</v>
      </c>
      <c r="B1455" s="61">
        <v>0</v>
      </c>
      <c r="C1455" s="61">
        <v>0</v>
      </c>
    </row>
    <row r="1456" spans="1:3" ht="14.25" customHeight="true">
      <c r="A1456" s="60" t="s">
        <v>32929</v>
      </c>
      <c r="B1456" s="61">
        <v>0</v>
      </c>
      <c r="C1456" s="61">
        <v>0</v>
      </c>
    </row>
    <row r="1457" spans="1:3" ht="14.25" customHeight="true">
      <c r="A1457" s="60" t="s">
        <v>32930</v>
      </c>
      <c r="B1457" s="61">
        <v>0</v>
      </c>
      <c r="C1457" s="61">
        <v>0</v>
      </c>
    </row>
    <row r="1458" spans="1:3" ht="14.25" customHeight="true">
      <c r="A1458" s="60" t="s">
        <v>32931</v>
      </c>
      <c r="B1458" s="61">
        <v>0</v>
      </c>
      <c r="C1458" s="61">
        <v>0</v>
      </c>
    </row>
    <row r="1459" spans="1:3" ht="14.25" customHeight="true">
      <c r="A1459" s="60" t="s">
        <v>32932</v>
      </c>
      <c r="B1459" s="61">
        <v>0</v>
      </c>
      <c r="C1459" s="61">
        <v>0</v>
      </c>
    </row>
    <row r="1460" spans="1:3" ht="14.25" customHeight="true">
      <c r="A1460" s="60" t="s">
        <v>32933</v>
      </c>
      <c r="B1460" s="61">
        <v>0</v>
      </c>
      <c r="C1460" s="61">
        <v>0</v>
      </c>
    </row>
    <row r="1461" spans="1:3" ht="14.25" customHeight="true">
      <c r="A1461" s="60" t="s">
        <v>32934</v>
      </c>
      <c r="B1461" s="61">
        <v>0</v>
      </c>
      <c r="C1461" s="61">
        <v>0</v>
      </c>
    </row>
    <row r="1462" spans="1:3" ht="14.25" customHeight="true">
      <c r="A1462" s="60" t="s">
        <v>32935</v>
      </c>
      <c r="B1462" s="61">
        <v>0</v>
      </c>
      <c r="C1462" s="61">
        <v>0</v>
      </c>
    </row>
    <row r="1463" spans="1:3" ht="14.25" customHeight="true">
      <c r="A1463" s="60" t="s">
        <v>32936</v>
      </c>
      <c r="B1463" s="61">
        <v>0</v>
      </c>
      <c r="C1463" s="61">
        <v>0</v>
      </c>
    </row>
    <row r="1464" spans="1:3" ht="14.25" customHeight="true">
      <c r="A1464" s="60" t="s">
        <v>32937</v>
      </c>
      <c r="B1464" s="61">
        <v>0</v>
      </c>
      <c r="C1464" s="61">
        <v>0</v>
      </c>
    </row>
    <row r="1465" spans="1:3" ht="14.25" customHeight="true">
      <c r="A1465" s="60" t="s">
        <v>32938</v>
      </c>
      <c r="B1465" s="61">
        <v>0</v>
      </c>
      <c r="C1465" s="61">
        <v>0</v>
      </c>
    </row>
    <row r="1466" spans="1:3" ht="14.25" customHeight="true">
      <c r="A1466" s="60" t="s">
        <v>32939</v>
      </c>
      <c r="B1466" s="61">
        <v>0</v>
      </c>
      <c r="C1466" s="61">
        <v>0</v>
      </c>
    </row>
    <row r="1467" spans="1:3" ht="14.25" customHeight="true">
      <c r="A1467" s="60" t="s">
        <v>32940</v>
      </c>
      <c r="B1467" s="61">
        <v>0</v>
      </c>
      <c r="C1467" s="61">
        <v>0</v>
      </c>
    </row>
    <row r="1468" spans="1:3" ht="14.25" customHeight="true">
      <c r="A1468" s="60" t="s">
        <v>32941</v>
      </c>
      <c r="B1468" s="61">
        <v>0</v>
      </c>
      <c r="C1468" s="61">
        <v>0</v>
      </c>
    </row>
    <row r="1469" spans="1:3" ht="14.25" customHeight="true">
      <c r="A1469" s="60" t="s">
        <v>32942</v>
      </c>
      <c r="B1469" s="61">
        <v>0</v>
      </c>
      <c r="C1469" s="61">
        <v>0</v>
      </c>
    </row>
    <row r="1470" spans="1:3" ht="14.25" customHeight="true">
      <c r="A1470" s="60" t="s">
        <v>32943</v>
      </c>
      <c r="B1470" s="61">
        <v>0</v>
      </c>
      <c r="C1470" s="61">
        <v>0</v>
      </c>
    </row>
    <row r="1471" spans="1:3" ht="14.25" customHeight="true">
      <c r="A1471" s="60" t="s">
        <v>32944</v>
      </c>
      <c r="B1471" s="61">
        <v>0</v>
      </c>
      <c r="C1471" s="61">
        <v>0</v>
      </c>
    </row>
    <row r="1472" spans="1:3" ht="14.25" customHeight="true">
      <c r="A1472" s="60" t="s">
        <v>32945</v>
      </c>
      <c r="B1472" s="61">
        <v>0</v>
      </c>
      <c r="C1472" s="61">
        <v>0</v>
      </c>
    </row>
    <row r="1473" spans="1:3" ht="14.25" customHeight="true">
      <c r="A1473" s="60" t="s">
        <v>32946</v>
      </c>
      <c r="B1473" s="61">
        <v>0</v>
      </c>
      <c r="C1473" s="61">
        <v>0</v>
      </c>
    </row>
    <row r="1474" spans="1:3" ht="14.25" customHeight="true">
      <c r="A1474" s="60" t="s">
        <v>32947</v>
      </c>
      <c r="B1474" s="61">
        <v>0</v>
      </c>
      <c r="C1474" s="61">
        <v>0</v>
      </c>
    </row>
    <row r="1475" spans="1:3" ht="14.25" customHeight="true">
      <c r="A1475" s="60" t="s">
        <v>32948</v>
      </c>
      <c r="B1475" s="61">
        <v>0</v>
      </c>
      <c r="C1475" s="61">
        <v>0</v>
      </c>
    </row>
    <row r="1476" spans="1:3" ht="14.25" customHeight="true">
      <c r="A1476" s="60" t="s">
        <v>32949</v>
      </c>
      <c r="B1476" s="61">
        <v>0</v>
      </c>
      <c r="C1476" s="61">
        <v>0</v>
      </c>
    </row>
    <row r="1477" spans="1:3" ht="14.25" customHeight="true">
      <c r="A1477" s="60" t="s">
        <v>32950</v>
      </c>
      <c r="B1477" s="61">
        <v>0</v>
      </c>
      <c r="C1477" s="61">
        <v>0</v>
      </c>
    </row>
    <row r="1478" spans="1:3" ht="14.25" customHeight="true">
      <c r="A1478" s="60" t="s">
        <v>32951</v>
      </c>
      <c r="B1478" s="61">
        <v>0</v>
      </c>
      <c r="C1478" s="61">
        <v>0</v>
      </c>
    </row>
    <row r="1479" spans="1:3" ht="14.25" customHeight="true">
      <c r="A1479" s="60" t="s">
        <v>32952</v>
      </c>
      <c r="B1479" s="61">
        <v>0</v>
      </c>
      <c r="C1479" s="61">
        <v>0</v>
      </c>
    </row>
    <row r="1480" spans="1:3" ht="14.25" customHeight="true">
      <c r="A1480" s="60" t="s">
        <v>32953</v>
      </c>
      <c r="B1480" s="61">
        <v>0</v>
      </c>
      <c r="C1480" s="61">
        <v>0</v>
      </c>
    </row>
    <row r="1481" spans="1:3" ht="14.25" customHeight="true">
      <c r="A1481" s="60" t="s">
        <v>32954</v>
      </c>
      <c r="B1481" s="61">
        <v>0</v>
      </c>
      <c r="C1481" s="61">
        <v>0</v>
      </c>
    </row>
    <row r="1482" spans="1:3" ht="14.25" customHeight="true">
      <c r="A1482" s="60" t="s">
        <v>32955</v>
      </c>
      <c r="B1482" s="61">
        <v>0</v>
      </c>
      <c r="C1482" s="61">
        <v>0</v>
      </c>
    </row>
    <row r="1483" spans="1:3" ht="14.25" customHeight="true">
      <c r="A1483" s="60" t="s">
        <v>32956</v>
      </c>
      <c r="B1483" s="61">
        <v>0</v>
      </c>
      <c r="C1483" s="61">
        <v>0</v>
      </c>
    </row>
    <row r="1484" spans="1:3" ht="14.25" customHeight="true">
      <c r="A1484" s="60" t="s">
        <v>32957</v>
      </c>
      <c r="B1484" s="61">
        <v>0</v>
      </c>
      <c r="C1484" s="61">
        <v>0</v>
      </c>
    </row>
    <row r="1485" spans="1:3" ht="14.25" customHeight="true">
      <c r="A1485" s="60" t="s">
        <v>32958</v>
      </c>
      <c r="B1485" s="61">
        <v>0</v>
      </c>
      <c r="C1485" s="61">
        <v>0</v>
      </c>
    </row>
    <row r="1486" spans="1:3" ht="14.25" customHeight="true">
      <c r="A1486" s="60" t="s">
        <v>32959</v>
      </c>
      <c r="B1486" s="61">
        <v>0</v>
      </c>
      <c r="C1486" s="61">
        <v>0</v>
      </c>
    </row>
    <row r="1487" spans="1:3" ht="14.25" customHeight="true">
      <c r="A1487" s="60" t="s">
        <v>32960</v>
      </c>
      <c r="B1487" s="61">
        <v>0</v>
      </c>
      <c r="C1487" s="61">
        <v>0</v>
      </c>
    </row>
    <row r="1488" spans="1:3" ht="14.25" customHeight="true">
      <c r="A1488" s="60" t="s">
        <v>32961</v>
      </c>
      <c r="B1488" s="61">
        <v>0</v>
      </c>
      <c r="C1488" s="61">
        <v>0</v>
      </c>
    </row>
    <row r="1489" spans="1:3" ht="14.25" customHeight="true">
      <c r="A1489" s="60" t="s">
        <v>32962</v>
      </c>
      <c r="B1489" s="61">
        <v>0</v>
      </c>
      <c r="C1489" s="61">
        <v>0</v>
      </c>
    </row>
    <row r="1490" spans="1:3" ht="14.25" customHeight="true">
      <c r="A1490" s="60" t="s">
        <v>32963</v>
      </c>
      <c r="B1490" s="61">
        <v>0</v>
      </c>
      <c r="C1490" s="61">
        <v>0</v>
      </c>
    </row>
    <row r="1491" spans="1:3" ht="14.25" customHeight="true">
      <c r="A1491" s="60" t="s">
        <v>32964</v>
      </c>
      <c r="B1491" s="61">
        <v>0</v>
      </c>
      <c r="C1491" s="61">
        <v>0</v>
      </c>
    </row>
    <row r="1492" spans="1:3" ht="14.25" customHeight="true">
      <c r="A1492" s="60" t="s">
        <v>32965</v>
      </c>
      <c r="B1492" s="61">
        <v>0</v>
      </c>
      <c r="C1492" s="61">
        <v>0</v>
      </c>
    </row>
    <row r="1493" spans="1:3" ht="14.25" customHeight="true">
      <c r="A1493" s="60" t="s">
        <v>32966</v>
      </c>
      <c r="B1493" s="61">
        <v>0</v>
      </c>
      <c r="C1493" s="61">
        <v>0</v>
      </c>
    </row>
    <row r="1494" spans="1:3" ht="14.25" customHeight="true">
      <c r="A1494" s="60" t="s">
        <v>32967</v>
      </c>
      <c r="B1494" s="61">
        <v>0</v>
      </c>
      <c r="C1494" s="61">
        <v>0</v>
      </c>
    </row>
    <row r="1495" spans="1:3" ht="14.25" customHeight="true">
      <c r="A1495" s="60" t="s">
        <v>32968</v>
      </c>
      <c r="B1495" s="61">
        <v>0</v>
      </c>
      <c r="C1495" s="61">
        <v>0</v>
      </c>
    </row>
    <row r="1496" spans="1:3" ht="14.25" customHeight="true">
      <c r="A1496" s="60" t="s">
        <v>32969</v>
      </c>
      <c r="B1496" s="61">
        <v>0</v>
      </c>
      <c r="C1496" s="61">
        <v>0</v>
      </c>
    </row>
    <row r="1497" spans="1:3" ht="14.25" customHeight="true">
      <c r="A1497" s="60" t="s">
        <v>32970</v>
      </c>
      <c r="B1497" s="61">
        <v>0</v>
      </c>
      <c r="C1497" s="61">
        <v>0</v>
      </c>
    </row>
    <row r="1498" spans="1:3" ht="14.25" customHeight="true">
      <c r="A1498" s="60" t="s">
        <v>32971</v>
      </c>
      <c r="B1498" s="61">
        <v>0</v>
      </c>
      <c r="C1498" s="61">
        <v>-10000</v>
      </c>
    </row>
    <row r="1499" spans="1:3" ht="14.25" customHeight="true">
      <c r="A1499" s="60" t="s">
        <v>32972</v>
      </c>
      <c r="B1499" s="61">
        <v>0</v>
      </c>
      <c r="C1499" s="61">
        <v>0</v>
      </c>
    </row>
    <row r="1500" spans="1:3" ht="14.25" customHeight="true">
      <c r="A1500" s="60" t="s">
        <v>32973</v>
      </c>
      <c r="B1500" s="61">
        <v>0</v>
      </c>
      <c r="C1500" s="61">
        <v>0</v>
      </c>
    </row>
    <row r="1501" spans="1:3" ht="14.25" customHeight="true">
      <c r="A1501" s="60" t="s">
        <v>32974</v>
      </c>
      <c r="B1501" s="61">
        <v>0</v>
      </c>
      <c r="C1501" s="61">
        <v>0</v>
      </c>
    </row>
    <row r="1502" spans="1:3" ht="14.25" customHeight="true">
      <c r="A1502" s="60" t="s">
        <v>32975</v>
      </c>
      <c r="B1502" s="61">
        <v>0</v>
      </c>
      <c r="C1502" s="61">
        <v>0</v>
      </c>
    </row>
    <row r="1503" spans="1:3" ht="14.25" customHeight="true">
      <c r="A1503" s="60" t="s">
        <v>32976</v>
      </c>
      <c r="B1503" s="61">
        <v>0</v>
      </c>
      <c r="C1503" s="61">
        <v>0</v>
      </c>
    </row>
    <row r="1504" spans="1:3" ht="14.25" customHeight="true">
      <c r="A1504" s="60" t="s">
        <v>32977</v>
      </c>
      <c r="B1504" s="61">
        <v>0</v>
      </c>
      <c r="C1504" s="61">
        <v>0</v>
      </c>
    </row>
    <row r="1505" spans="1:3" ht="14.25" customHeight="true">
      <c r="A1505" s="60" t="s">
        <v>32978</v>
      </c>
      <c r="B1505" s="61">
        <v>0</v>
      </c>
      <c r="C1505" s="61">
        <v>0</v>
      </c>
    </row>
    <row r="1506" spans="1:3" ht="14.25" customHeight="true">
      <c r="A1506" s="60" t="s">
        <v>32979</v>
      </c>
      <c r="B1506" s="61">
        <v>0</v>
      </c>
      <c r="C1506" s="61">
        <v>0</v>
      </c>
    </row>
    <row r="1507" spans="1:3" ht="14.25" customHeight="true">
      <c r="A1507" s="60" t="s">
        <v>32980</v>
      </c>
      <c r="B1507" s="61">
        <v>0</v>
      </c>
      <c r="C1507" s="61">
        <v>0</v>
      </c>
    </row>
    <row r="1508" spans="1:3" ht="14.25" customHeight="true">
      <c r="A1508" s="60" t="s">
        <v>32981</v>
      </c>
      <c r="B1508" s="61">
        <v>0</v>
      </c>
      <c r="C1508" s="61">
        <v>0</v>
      </c>
    </row>
    <row r="1509" spans="1:3" ht="14.25" customHeight="true">
      <c r="A1509" s="60" t="s">
        <v>32982</v>
      </c>
      <c r="B1509" s="61">
        <v>0</v>
      </c>
      <c r="C1509" s="61">
        <v>0</v>
      </c>
    </row>
    <row r="1510" spans="1:3" ht="14.25" customHeight="true">
      <c r="A1510" s="60" t="s">
        <v>32983</v>
      </c>
      <c r="B1510" s="61">
        <v>0</v>
      </c>
      <c r="C1510" s="61">
        <v>0</v>
      </c>
    </row>
    <row r="1511" spans="1:3" ht="14.25" customHeight="true">
      <c r="A1511" s="60" t="s">
        <v>32984</v>
      </c>
      <c r="B1511" s="61">
        <v>0</v>
      </c>
      <c r="C1511" s="61">
        <v>0</v>
      </c>
    </row>
    <row r="1512" spans="1:3" ht="14.25" customHeight="true">
      <c r="A1512" s="60" t="s">
        <v>32985</v>
      </c>
      <c r="B1512" s="61">
        <v>0</v>
      </c>
      <c r="C1512" s="61">
        <v>0</v>
      </c>
    </row>
    <row r="1513" spans="1:3" ht="14.25" customHeight="true">
      <c r="A1513" s="60" t="s">
        <v>32986</v>
      </c>
      <c r="B1513" s="61">
        <v>0</v>
      </c>
      <c r="C1513" s="61">
        <v>0</v>
      </c>
    </row>
    <row r="1514" spans="1:3" ht="14.25" customHeight="true">
      <c r="A1514" s="60" t="s">
        <v>32987</v>
      </c>
      <c r="B1514" s="61">
        <v>0</v>
      </c>
      <c r="C1514" s="61">
        <v>0</v>
      </c>
    </row>
    <row r="1515" spans="1:3" ht="14.25" customHeight="true">
      <c r="A1515" s="60" t="s">
        <v>32988</v>
      </c>
      <c r="B1515" s="61">
        <v>0</v>
      </c>
      <c r="C1515" s="61">
        <v>0</v>
      </c>
    </row>
    <row r="1516" spans="1:3" ht="14.25" customHeight="true">
      <c r="A1516" s="60" t="s">
        <v>32989</v>
      </c>
      <c r="B1516" s="61">
        <v>0</v>
      </c>
      <c r="C1516" s="61">
        <v>0</v>
      </c>
    </row>
    <row r="1517" spans="1:3" ht="14.25" customHeight="true">
      <c r="A1517" s="60" t="s">
        <v>32990</v>
      </c>
      <c r="B1517" s="61">
        <v>0</v>
      </c>
      <c r="C1517" s="61">
        <v>0</v>
      </c>
    </row>
    <row r="1518" spans="1:3" ht="14.25" customHeight="true">
      <c r="A1518" s="60" t="s">
        <v>32991</v>
      </c>
      <c r="B1518" s="61">
        <v>0</v>
      </c>
      <c r="C1518" s="61">
        <v>0</v>
      </c>
    </row>
    <row r="1519" spans="1:3" ht="14.25" customHeight="true">
      <c r="A1519" s="60" t="s">
        <v>32992</v>
      </c>
      <c r="B1519" s="61">
        <v>0</v>
      </c>
      <c r="C1519" s="61">
        <v>0</v>
      </c>
    </row>
    <row r="1520" spans="1:3" ht="14.25" customHeight="true">
      <c r="A1520" s="60" t="s">
        <v>32993</v>
      </c>
      <c r="B1520" s="61">
        <v>0</v>
      </c>
      <c r="C1520" s="61">
        <v>0</v>
      </c>
    </row>
    <row r="1521" spans="1:3" ht="14.25" customHeight="true">
      <c r="A1521" s="60" t="s">
        <v>32994</v>
      </c>
      <c r="B1521" s="61">
        <v>0</v>
      </c>
      <c r="C1521" s="61">
        <v>0</v>
      </c>
    </row>
    <row r="1522" spans="1:3" ht="14.25" customHeight="true">
      <c r="A1522" s="60" t="s">
        <v>32995</v>
      </c>
      <c r="B1522" s="61">
        <v>0</v>
      </c>
      <c r="C1522" s="61">
        <v>0</v>
      </c>
    </row>
    <row r="1523" spans="1:3" ht="14.25" customHeight="true">
      <c r="A1523" s="60" t="s">
        <v>32996</v>
      </c>
      <c r="B1523" s="61">
        <v>0</v>
      </c>
      <c r="C1523" s="61">
        <v>0</v>
      </c>
    </row>
    <row r="1524" spans="1:3" ht="14.25" customHeight="true">
      <c r="A1524" s="60" t="s">
        <v>32997</v>
      </c>
      <c r="B1524" s="61">
        <v>0</v>
      </c>
      <c r="C1524" s="61">
        <v>0</v>
      </c>
    </row>
    <row r="1525" spans="1:3" ht="14.25" customHeight="true">
      <c r="A1525" s="60" t="s">
        <v>32998</v>
      </c>
      <c r="B1525" s="61">
        <v>0</v>
      </c>
      <c r="C1525" s="61">
        <v>0</v>
      </c>
    </row>
    <row r="1526" spans="1:3" ht="14.25" customHeight="true">
      <c r="A1526" s="60" t="s">
        <v>32999</v>
      </c>
      <c r="B1526" s="61">
        <v>0</v>
      </c>
      <c r="C1526" s="61">
        <v>0</v>
      </c>
    </row>
    <row r="1527" spans="1:3" ht="14.25" customHeight="true">
      <c r="A1527" s="60" t="s">
        <v>33000</v>
      </c>
      <c r="B1527" s="61">
        <v>0</v>
      </c>
      <c r="C1527" s="61">
        <v>0</v>
      </c>
    </row>
    <row r="1528" spans="1:3" ht="14.25" customHeight="true">
      <c r="A1528" s="60" t="s">
        <v>33001</v>
      </c>
      <c r="B1528" s="61">
        <v>0</v>
      </c>
      <c r="C1528" s="61">
        <v>0</v>
      </c>
    </row>
    <row r="1529" spans="1:3" ht="14.25" customHeight="true">
      <c r="A1529" s="60" t="s">
        <v>33002</v>
      </c>
      <c r="B1529" s="61">
        <v>0</v>
      </c>
      <c r="C1529" s="61">
        <v>0</v>
      </c>
    </row>
    <row r="1530" spans="1:3" ht="14.25" customHeight="true">
      <c r="A1530" s="60" t="s">
        <v>33003</v>
      </c>
      <c r="B1530" s="61">
        <v>0</v>
      </c>
      <c r="C1530" s="61">
        <v>0</v>
      </c>
    </row>
    <row r="1531" spans="1:3" ht="14.25" customHeight="true">
      <c r="A1531" s="60" t="s">
        <v>33004</v>
      </c>
      <c r="B1531" s="61">
        <v>0</v>
      </c>
      <c r="C1531" s="61">
        <v>0</v>
      </c>
    </row>
    <row r="1532" spans="1:3" ht="14.25" customHeight="true">
      <c r="A1532" s="60" t="s">
        <v>33005</v>
      </c>
      <c r="B1532" s="61">
        <v>0</v>
      </c>
      <c r="C1532" s="61">
        <v>0</v>
      </c>
    </row>
    <row r="1533" spans="1:3" ht="14.25" customHeight="true">
      <c r="A1533" s="60" t="s">
        <v>33006</v>
      </c>
      <c r="B1533" s="61">
        <v>0</v>
      </c>
      <c r="C1533" s="61">
        <v>0</v>
      </c>
    </row>
    <row r="1534" spans="1:3" ht="14.25" customHeight="true">
      <c r="A1534" s="60" t="s">
        <v>33007</v>
      </c>
      <c r="B1534" s="61">
        <v>0</v>
      </c>
      <c r="C1534" s="61">
        <v>0</v>
      </c>
    </row>
    <row r="1535" spans="1:3" ht="14.25" customHeight="true">
      <c r="A1535" s="60" t="s">
        <v>33008</v>
      </c>
      <c r="B1535" s="61">
        <v>0</v>
      </c>
      <c r="C1535" s="61">
        <v>0</v>
      </c>
    </row>
    <row r="1536" spans="1:3" ht="14.25" customHeight="true">
      <c r="A1536" s="60" t="s">
        <v>33009</v>
      </c>
      <c r="B1536" s="61">
        <v>0</v>
      </c>
      <c r="C1536" s="61">
        <v>0</v>
      </c>
    </row>
    <row r="1537" spans="1:3" ht="14.25" customHeight="true">
      <c r="A1537" s="60" t="s">
        <v>33010</v>
      </c>
      <c r="B1537" s="61">
        <v>0</v>
      </c>
      <c r="C1537" s="61">
        <v>0</v>
      </c>
    </row>
    <row r="1538" spans="1:3" ht="14.25" customHeight="true">
      <c r="A1538" s="60" t="s">
        <v>33011</v>
      </c>
      <c r="B1538" s="61">
        <v>0</v>
      </c>
      <c r="C1538" s="61">
        <v>0</v>
      </c>
    </row>
    <row r="1539" spans="1:3" ht="14.25" customHeight="true">
      <c r="A1539" s="60" t="s">
        <v>33012</v>
      </c>
      <c r="B1539" s="61">
        <v>0</v>
      </c>
      <c r="C1539" s="61">
        <v>0</v>
      </c>
    </row>
    <row r="1540" spans="1:3" ht="14.25" customHeight="true">
      <c r="A1540" s="60" t="s">
        <v>33013</v>
      </c>
      <c r="B1540" s="61">
        <v>0</v>
      </c>
      <c r="C1540" s="61">
        <v>0</v>
      </c>
    </row>
    <row r="1541" spans="1:3" ht="14.25" customHeight="true">
      <c r="A1541" s="60" t="s">
        <v>33014</v>
      </c>
      <c r="B1541" s="61">
        <v>0</v>
      </c>
      <c r="C1541" s="61">
        <v>0</v>
      </c>
    </row>
    <row r="1542" spans="1:3" ht="14.25" customHeight="true">
      <c r="A1542" s="60" t="s">
        <v>33015</v>
      </c>
      <c r="B1542" s="61">
        <v>0</v>
      </c>
      <c r="C1542" s="61">
        <v>0</v>
      </c>
    </row>
    <row r="1543" spans="1:3" ht="14.25" customHeight="true">
      <c r="A1543" s="60" t="s">
        <v>33016</v>
      </c>
      <c r="B1543" s="61">
        <v>0</v>
      </c>
      <c r="C1543" s="61">
        <v>0</v>
      </c>
    </row>
    <row r="1544" spans="1:3" ht="14.25" customHeight="true">
      <c r="A1544" s="60" t="s">
        <v>33017</v>
      </c>
      <c r="B1544" s="61">
        <v>0</v>
      </c>
      <c r="C1544" s="61">
        <v>0</v>
      </c>
    </row>
    <row r="1545" spans="1:3" ht="14.25" customHeight="true">
      <c r="A1545" s="60" t="s">
        <v>33018</v>
      </c>
      <c r="B1545" s="61">
        <v>0</v>
      </c>
      <c r="C1545" s="61">
        <v>0</v>
      </c>
    </row>
    <row r="1546" spans="1:3" ht="14.25" customHeight="true">
      <c r="A1546" s="60" t="s">
        <v>33019</v>
      </c>
      <c r="B1546" s="61">
        <v>0</v>
      </c>
      <c r="C1546" s="61">
        <v>0</v>
      </c>
    </row>
    <row r="1547" spans="1:3" ht="14.25" customHeight="true">
      <c r="A1547" s="60" t="s">
        <v>33020</v>
      </c>
      <c r="B1547" s="61">
        <v>0</v>
      </c>
      <c r="C1547" s="61">
        <v>0</v>
      </c>
    </row>
    <row r="1548" spans="1:3" ht="14.25" customHeight="true">
      <c r="A1548" s="60" t="s">
        <v>33021</v>
      </c>
      <c r="B1548" s="61">
        <v>0</v>
      </c>
      <c r="C1548" s="61">
        <v>0</v>
      </c>
    </row>
    <row r="1549" spans="1:3" ht="14.25" customHeight="true">
      <c r="A1549" s="60" t="s">
        <v>33022</v>
      </c>
      <c r="B1549" s="61">
        <v>0</v>
      </c>
      <c r="C1549" s="61">
        <v>0</v>
      </c>
    </row>
    <row r="1550" spans="1:3" ht="14.25" customHeight="true">
      <c r="A1550" s="60" t="s">
        <v>33023</v>
      </c>
      <c r="B1550" s="61">
        <v>0</v>
      </c>
      <c r="C1550" s="61">
        <v>0</v>
      </c>
    </row>
    <row r="1551" spans="1:3" ht="14.25" customHeight="true">
      <c r="A1551" s="60" t="s">
        <v>33024</v>
      </c>
      <c r="B1551" s="61">
        <v>0</v>
      </c>
      <c r="C1551" s="61">
        <v>0</v>
      </c>
    </row>
    <row r="1552" spans="1:3" ht="14.25" customHeight="true">
      <c r="A1552" s="60" t="s">
        <v>33025</v>
      </c>
      <c r="B1552" s="61">
        <v>0</v>
      </c>
      <c r="C1552" s="61">
        <v>0</v>
      </c>
    </row>
    <row r="1553" spans="1:3" ht="14.25" customHeight="true">
      <c r="A1553" s="60" t="s">
        <v>33026</v>
      </c>
      <c r="B1553" s="61">
        <v>0</v>
      </c>
      <c r="C1553" s="61">
        <v>0</v>
      </c>
    </row>
    <row r="1554" spans="1:3" ht="14.25" customHeight="true">
      <c r="A1554" s="60" t="s">
        <v>33027</v>
      </c>
      <c r="B1554" s="61">
        <v>0</v>
      </c>
      <c r="C1554" s="61">
        <v>0</v>
      </c>
    </row>
    <row r="1555" spans="1:3" ht="14.25" customHeight="true">
      <c r="A1555" s="60" t="s">
        <v>33028</v>
      </c>
      <c r="B1555" s="61">
        <v>0</v>
      </c>
      <c r="C1555" s="61">
        <v>0</v>
      </c>
    </row>
    <row r="1556" spans="1:3" ht="14.25" customHeight="true">
      <c r="A1556" s="60" t="s">
        <v>33029</v>
      </c>
      <c r="B1556" s="61">
        <v>0</v>
      </c>
      <c r="C1556" s="61">
        <v>0</v>
      </c>
    </row>
    <row r="1557" spans="1:3" ht="14.25" customHeight="true">
      <c r="A1557" s="60" t="s">
        <v>33030</v>
      </c>
      <c r="B1557" s="61">
        <v>0</v>
      </c>
      <c r="C1557" s="61">
        <v>0</v>
      </c>
    </row>
    <row r="1558" spans="1:3" ht="14.25" customHeight="true">
      <c r="A1558" s="60" t="s">
        <v>33031</v>
      </c>
      <c r="B1558" s="61">
        <v>0</v>
      </c>
      <c r="C1558" s="61">
        <v>0</v>
      </c>
    </row>
    <row r="1559" spans="1:3" ht="14.25" customHeight="true">
      <c r="A1559" s="60" t="s">
        <v>33032</v>
      </c>
      <c r="B1559" s="61">
        <v>0</v>
      </c>
      <c r="C1559" s="61">
        <v>0</v>
      </c>
    </row>
    <row r="1560" spans="1:3" ht="14.25" customHeight="true">
      <c r="A1560" s="60" t="s">
        <v>33033</v>
      </c>
      <c r="B1560" s="61">
        <v>0</v>
      </c>
      <c r="C1560" s="61">
        <v>0</v>
      </c>
    </row>
    <row r="1561" spans="1:3" ht="14.25" customHeight="true">
      <c r="A1561" s="60" t="s">
        <v>33034</v>
      </c>
      <c r="B1561" s="61">
        <v>0</v>
      </c>
      <c r="C1561" s="61">
        <v>0</v>
      </c>
    </row>
    <row r="1562" spans="1:3" ht="14.25" customHeight="true">
      <c r="A1562" s="60" t="s">
        <v>33035</v>
      </c>
      <c r="B1562" s="61">
        <v>0</v>
      </c>
      <c r="C1562" s="61">
        <v>0</v>
      </c>
    </row>
    <row r="1563" spans="1:3" ht="14.25" customHeight="true">
      <c r="A1563" s="60" t="s">
        <v>33036</v>
      </c>
      <c r="B1563" s="61">
        <v>0</v>
      </c>
      <c r="C1563" s="61">
        <v>0</v>
      </c>
    </row>
    <row r="1564" spans="1:3" ht="14.25" customHeight="true">
      <c r="A1564" s="60" t="s">
        <v>33037</v>
      </c>
      <c r="B1564" s="61">
        <v>-3200</v>
      </c>
      <c r="C1564" s="61">
        <v>-3200</v>
      </c>
    </row>
    <row r="1565" spans="1:3" ht="14.25" customHeight="true">
      <c r="A1565" s="60" t="s">
        <v>33038</v>
      </c>
      <c r="B1565" s="61">
        <v>0</v>
      </c>
      <c r="C1565" s="61">
        <v>0</v>
      </c>
    </row>
    <row r="1566" spans="1:3" ht="14.25" customHeight="true">
      <c r="A1566" s="60" t="s">
        <v>33039</v>
      </c>
      <c r="B1566" s="61">
        <v>0</v>
      </c>
      <c r="C1566" s="61">
        <v>0</v>
      </c>
    </row>
    <row r="1567" spans="1:3" ht="14.25" customHeight="true">
      <c r="A1567" s="60" t="s">
        <v>33040</v>
      </c>
      <c r="B1567" s="61">
        <v>0</v>
      </c>
      <c r="C1567" s="61">
        <v>0</v>
      </c>
    </row>
    <row r="1568" spans="1:3" ht="14.25" customHeight="true">
      <c r="A1568" s="60" t="s">
        <v>33041</v>
      </c>
      <c r="B1568" s="61">
        <v>0</v>
      </c>
      <c r="C1568" s="61">
        <v>0</v>
      </c>
    </row>
    <row r="1569" spans="1:3" ht="14.25" customHeight="true">
      <c r="A1569" s="60" t="s">
        <v>33042</v>
      </c>
      <c r="B1569" s="61">
        <v>-20000</v>
      </c>
      <c r="C1569" s="61">
        <v>-20000</v>
      </c>
    </row>
    <row r="1570" spans="1:3" ht="14.25" customHeight="true">
      <c r="A1570" s="60" t="s">
        <v>33043</v>
      </c>
      <c r="B1570" s="61">
        <v>0</v>
      </c>
      <c r="C1570" s="61">
        <v>0</v>
      </c>
    </row>
    <row r="1571" spans="1:3" ht="14.25" customHeight="true">
      <c r="A1571" s="60" t="s">
        <v>33044</v>
      </c>
      <c r="B1571" s="61">
        <v>0</v>
      </c>
      <c r="C1571" s="61">
        <v>0</v>
      </c>
    </row>
    <row r="1572" spans="1:3" ht="14.25" customHeight="true">
      <c r="A1572" s="60" t="s">
        <v>33045</v>
      </c>
      <c r="B1572" s="61">
        <v>0</v>
      </c>
      <c r="C1572" s="61">
        <v>0</v>
      </c>
    </row>
    <row r="1573" spans="1:3" ht="14.25" customHeight="true">
      <c r="A1573" s="60" t="s">
        <v>33046</v>
      </c>
      <c r="B1573" s="61">
        <v>0</v>
      </c>
      <c r="C1573" s="61">
        <v>0</v>
      </c>
    </row>
    <row r="1574" spans="1:3" ht="14.25" customHeight="true">
      <c r="A1574" s="60" t="s">
        <v>33047</v>
      </c>
      <c r="B1574" s="61">
        <v>0</v>
      </c>
      <c r="C1574" s="61">
        <v>0</v>
      </c>
    </row>
    <row r="1575" spans="1:3" ht="14.25" customHeight="true">
      <c r="A1575" s="60" t="s">
        <v>33048</v>
      </c>
      <c r="B1575" s="61">
        <v>0</v>
      </c>
      <c r="C1575" s="61">
        <v>0</v>
      </c>
    </row>
    <row r="1576" spans="1:3" ht="14.25" customHeight="true">
      <c r="A1576" s="60" t="s">
        <v>33049</v>
      </c>
      <c r="B1576" s="61">
        <v>0</v>
      </c>
      <c r="C1576" s="61">
        <v>0</v>
      </c>
    </row>
    <row r="1577" spans="1:3" ht="14.25" customHeight="true">
      <c r="A1577" s="60" t="s">
        <v>33050</v>
      </c>
      <c r="B1577" s="61">
        <v>0</v>
      </c>
      <c r="C1577" s="61">
        <v>0</v>
      </c>
    </row>
    <row r="1578" spans="1:3" ht="14.25" customHeight="true">
      <c r="A1578" s="60" t="s">
        <v>33051</v>
      </c>
      <c r="B1578" s="61">
        <v>0</v>
      </c>
      <c r="C1578" s="61">
        <v>0</v>
      </c>
    </row>
    <row r="1579" spans="1:3" ht="14.25" customHeight="true">
      <c r="A1579" s="60" t="s">
        <v>33052</v>
      </c>
      <c r="B1579" s="61">
        <v>0</v>
      </c>
      <c r="C1579" s="61">
        <v>0</v>
      </c>
    </row>
    <row r="1580" spans="1:3" ht="14.25" customHeight="true">
      <c r="A1580" s="60" t="s">
        <v>33053</v>
      </c>
      <c r="B1580" s="61">
        <v>0</v>
      </c>
      <c r="C1580" s="61">
        <v>0</v>
      </c>
    </row>
    <row r="1581" spans="1:3" ht="14.25" customHeight="true">
      <c r="A1581" s="60" t="s">
        <v>33054</v>
      </c>
      <c r="B1581" s="61">
        <v>0</v>
      </c>
      <c r="C1581" s="61">
        <v>0</v>
      </c>
    </row>
    <row r="1582" spans="1:3" ht="14.25" customHeight="true">
      <c r="A1582" s="60" t="s">
        <v>33055</v>
      </c>
      <c r="B1582" s="61">
        <v>0</v>
      </c>
      <c r="C1582" s="61">
        <v>0</v>
      </c>
    </row>
    <row r="1583" spans="1:3" ht="14.25" customHeight="true">
      <c r="A1583" s="60" t="s">
        <v>33056</v>
      </c>
      <c r="B1583" s="61">
        <v>0</v>
      </c>
      <c r="C1583" s="61">
        <v>0</v>
      </c>
    </row>
    <row r="1584" spans="1:3" ht="14.25" customHeight="true">
      <c r="A1584" s="60" t="s">
        <v>33057</v>
      </c>
      <c r="B1584" s="61">
        <v>0</v>
      </c>
      <c r="C1584" s="61">
        <v>0</v>
      </c>
    </row>
    <row r="1585" spans="1:3" ht="14.25" customHeight="true">
      <c r="A1585" s="60" t="s">
        <v>33058</v>
      </c>
      <c r="B1585" s="61">
        <v>0</v>
      </c>
      <c r="C1585" s="61">
        <v>0</v>
      </c>
    </row>
    <row r="1586" spans="1:3" ht="14.25" customHeight="true">
      <c r="A1586" s="60" t="s">
        <v>33059</v>
      </c>
      <c r="B1586" s="61">
        <v>0</v>
      </c>
      <c r="C1586" s="61">
        <v>0</v>
      </c>
    </row>
    <row r="1587" spans="1:3" ht="14.25" customHeight="true">
      <c r="A1587" s="60" t="s">
        <v>33060</v>
      </c>
      <c r="B1587" s="61">
        <v>0</v>
      </c>
      <c r="C1587" s="61">
        <v>0</v>
      </c>
    </row>
    <row r="1588" spans="1:3" ht="14.25" customHeight="true">
      <c r="A1588" s="60" t="s">
        <v>33061</v>
      </c>
      <c r="B1588" s="61">
        <v>0</v>
      </c>
      <c r="C1588" s="61">
        <v>0</v>
      </c>
    </row>
    <row r="1589" spans="1:3" ht="14.25" customHeight="true">
      <c r="A1589" s="60" t="s">
        <v>33062</v>
      </c>
      <c r="B1589" s="61">
        <v>0</v>
      </c>
      <c r="C1589" s="61">
        <v>0</v>
      </c>
    </row>
    <row r="1590" spans="1:3" ht="14.25" customHeight="true">
      <c r="A1590" s="60" t="s">
        <v>33063</v>
      </c>
      <c r="B1590" s="61">
        <v>0</v>
      </c>
      <c r="C1590" s="61">
        <v>0</v>
      </c>
    </row>
    <row r="1591" spans="1:3" ht="14.25" customHeight="true">
      <c r="A1591" s="60" t="s">
        <v>33064</v>
      </c>
      <c r="B1591" s="61">
        <v>0</v>
      </c>
      <c r="C1591" s="61">
        <v>0</v>
      </c>
    </row>
    <row r="1592" spans="1:3" ht="14.25" customHeight="true">
      <c r="A1592" s="60" t="s">
        <v>33065</v>
      </c>
      <c r="B1592" s="61">
        <v>0</v>
      </c>
      <c r="C1592" s="61">
        <v>0</v>
      </c>
    </row>
    <row r="1593" spans="1:3" ht="14.25" customHeight="true">
      <c r="A1593" s="60" t="s">
        <v>33066</v>
      </c>
      <c r="B1593" s="61">
        <v>0</v>
      </c>
      <c r="C1593" s="61">
        <v>0</v>
      </c>
    </row>
    <row r="1594" spans="1:3" ht="14.25" customHeight="true">
      <c r="A1594" s="60" t="s">
        <v>33067</v>
      </c>
      <c r="B1594" s="61">
        <v>0</v>
      </c>
      <c r="C1594" s="61">
        <v>0</v>
      </c>
    </row>
    <row r="1595" spans="1:3" ht="14.25" customHeight="true">
      <c r="A1595" s="60" t="s">
        <v>33068</v>
      </c>
      <c r="B1595" s="61">
        <v>0</v>
      </c>
      <c r="C1595" s="61">
        <v>0</v>
      </c>
    </row>
    <row r="1596" spans="1:3" ht="14.25" customHeight="true">
      <c r="A1596" s="60" t="s">
        <v>33069</v>
      </c>
      <c r="B1596" s="61">
        <v>0</v>
      </c>
      <c r="C1596" s="61">
        <v>0</v>
      </c>
    </row>
    <row r="1597" spans="1:3" ht="14.25" customHeight="true">
      <c r="A1597" s="60" t="s">
        <v>33070</v>
      </c>
      <c r="B1597" s="61">
        <v>0</v>
      </c>
      <c r="C1597" s="61">
        <v>0</v>
      </c>
    </row>
    <row r="1598" spans="1:3" ht="14.25" customHeight="true">
      <c r="A1598" s="60" t="s">
        <v>33071</v>
      </c>
      <c r="B1598" s="61">
        <v>0</v>
      </c>
      <c r="C1598" s="61">
        <v>0</v>
      </c>
    </row>
    <row r="1599" spans="1:3" ht="14.25" customHeight="true">
      <c r="A1599" s="60" t="s">
        <v>33072</v>
      </c>
      <c r="B1599" s="61">
        <v>0</v>
      </c>
      <c r="C1599" s="61">
        <v>0</v>
      </c>
    </row>
    <row r="1600" spans="1:3" ht="14.25" customHeight="true">
      <c r="A1600" s="60" t="s">
        <v>33073</v>
      </c>
      <c r="B1600" s="61">
        <v>0</v>
      </c>
      <c r="C1600" s="61">
        <v>0</v>
      </c>
    </row>
    <row r="1601" spans="1:3" ht="14.25" customHeight="true">
      <c r="A1601" s="60" t="s">
        <v>33074</v>
      </c>
      <c r="B1601" s="61">
        <v>0</v>
      </c>
      <c r="C1601" s="61">
        <v>0</v>
      </c>
    </row>
    <row r="1602" spans="1:3" ht="14.25" customHeight="true">
      <c r="A1602" s="60" t="s">
        <v>33075</v>
      </c>
      <c r="B1602" s="61">
        <v>0</v>
      </c>
      <c r="C1602" s="61">
        <v>0</v>
      </c>
    </row>
    <row r="1603" spans="1:3" ht="14.25" customHeight="true">
      <c r="A1603" s="60" t="s">
        <v>33076</v>
      </c>
      <c r="B1603" s="61">
        <v>0</v>
      </c>
      <c r="C1603" s="61">
        <v>0</v>
      </c>
    </row>
    <row r="1604" spans="1:3" ht="14.25" customHeight="true">
      <c r="A1604" s="60" t="s">
        <v>33077</v>
      </c>
      <c r="B1604" s="61">
        <v>0</v>
      </c>
      <c r="C1604" s="61">
        <v>0</v>
      </c>
    </row>
    <row r="1605" spans="1:3" ht="14.25" customHeight="true">
      <c r="A1605" s="60" t="s">
        <v>33078</v>
      </c>
      <c r="B1605" s="61">
        <v>-10000</v>
      </c>
      <c r="C1605" s="61">
        <v>-10000</v>
      </c>
    </row>
    <row r="1606" spans="1:3" ht="14.25" customHeight="true">
      <c r="A1606" s="60" t="s">
        <v>33079</v>
      </c>
      <c r="B1606" s="61">
        <v>0</v>
      </c>
      <c r="C1606" s="61">
        <v>0</v>
      </c>
    </row>
    <row r="1607" spans="1:3" ht="14.25" customHeight="true">
      <c r="A1607" s="60" t="s">
        <v>33080</v>
      </c>
      <c r="B1607" s="61">
        <v>0</v>
      </c>
      <c r="C1607" s="61">
        <v>0</v>
      </c>
    </row>
    <row r="1608" spans="1:3" ht="14.25" customHeight="true">
      <c r="A1608" s="60" t="s">
        <v>33081</v>
      </c>
      <c r="B1608" s="61">
        <v>0</v>
      </c>
      <c r="C1608" s="61">
        <v>0</v>
      </c>
    </row>
    <row r="1609" spans="1:3" ht="14.25" customHeight="true">
      <c r="A1609" s="60" t="s">
        <v>33082</v>
      </c>
      <c r="B1609" s="61">
        <v>0</v>
      </c>
      <c r="C1609" s="61">
        <v>0</v>
      </c>
    </row>
    <row r="1610" spans="1:3" ht="14.25" customHeight="true">
      <c r="A1610" s="60" t="s">
        <v>33083</v>
      </c>
      <c r="B1610" s="61">
        <v>0</v>
      </c>
      <c r="C1610" s="61">
        <v>0</v>
      </c>
    </row>
    <row r="1611" spans="1:3" ht="14.25" customHeight="true">
      <c r="A1611" s="60" t="s">
        <v>33084</v>
      </c>
      <c r="B1611" s="61">
        <v>0</v>
      </c>
      <c r="C1611" s="61">
        <v>0</v>
      </c>
    </row>
    <row r="1612" spans="1:3" ht="14.25" customHeight="true">
      <c r="A1612" s="60" t="s">
        <v>33085</v>
      </c>
      <c r="B1612" s="61">
        <v>0</v>
      </c>
      <c r="C1612" s="61">
        <v>0</v>
      </c>
    </row>
    <row r="1613" spans="1:3" ht="14.25" customHeight="true">
      <c r="A1613" s="60" t="s">
        <v>33086</v>
      </c>
      <c r="B1613" s="61">
        <v>0</v>
      </c>
      <c r="C1613" s="61">
        <v>0</v>
      </c>
    </row>
    <row r="1614" spans="1:3" ht="14.25" customHeight="true">
      <c r="A1614" s="60" t="s">
        <v>33087</v>
      </c>
      <c r="B1614" s="61">
        <v>0</v>
      </c>
      <c r="C1614" s="61">
        <v>0</v>
      </c>
    </row>
    <row r="1615" spans="1:3" ht="14.25" customHeight="true">
      <c r="A1615" s="60" t="s">
        <v>33088</v>
      </c>
      <c r="B1615" s="61">
        <v>0</v>
      </c>
      <c r="C1615" s="61">
        <v>0</v>
      </c>
    </row>
    <row r="1616" spans="1:3" ht="14.25" customHeight="true">
      <c r="A1616" s="60" t="s">
        <v>33089</v>
      </c>
      <c r="B1616" s="61">
        <v>0</v>
      </c>
      <c r="C1616" s="61">
        <v>0</v>
      </c>
    </row>
    <row r="1617" spans="1:3" ht="14.25" customHeight="true">
      <c r="A1617" s="60" t="s">
        <v>33090</v>
      </c>
      <c r="B1617" s="61">
        <v>0</v>
      </c>
      <c r="C1617" s="61">
        <v>0</v>
      </c>
    </row>
    <row r="1618" spans="1:3" ht="14.25" customHeight="true">
      <c r="A1618" s="60" t="s">
        <v>33091</v>
      </c>
      <c r="B1618" s="61">
        <v>0</v>
      </c>
      <c r="C1618" s="61">
        <v>0</v>
      </c>
    </row>
    <row r="1619" spans="1:3" ht="14.25" customHeight="true">
      <c r="A1619" s="60" t="s">
        <v>33092</v>
      </c>
      <c r="B1619" s="61">
        <v>0</v>
      </c>
      <c r="C1619" s="61">
        <v>-1828872.33</v>
      </c>
    </row>
    <row r="1620" spans="1:3" ht="14.25" customHeight="true">
      <c r="A1620" s="60" t="s">
        <v>33093</v>
      </c>
      <c r="B1620" s="61">
        <v>0</v>
      </c>
      <c r="C1620" s="61">
        <v>-1678572.19</v>
      </c>
    </row>
    <row r="1621" spans="1:3" ht="14.25" customHeight="true">
      <c r="A1621" s="60" t="s">
        <v>33094</v>
      </c>
      <c r="B1621" s="61">
        <v>0</v>
      </c>
      <c r="C1621" s="61">
        <v>0</v>
      </c>
    </row>
    <row r="1622" spans="1:3" ht="14.25" customHeight="true">
      <c r="A1622" s="60" t="s">
        <v>33095</v>
      </c>
      <c r="B1622" s="61">
        <v>0</v>
      </c>
      <c r="C1622" s="61">
        <v>0</v>
      </c>
    </row>
    <row r="1623" spans="1:3" ht="14.25" customHeight="true">
      <c r="A1623" s="60" t="s">
        <v>33096</v>
      </c>
      <c r="B1623" s="61">
        <v>0</v>
      </c>
      <c r="C1623" s="61">
        <v>0</v>
      </c>
    </row>
    <row r="1624" spans="1:3" ht="14.25" customHeight="true">
      <c r="A1624" s="60" t="s">
        <v>33097</v>
      </c>
      <c r="B1624" s="61">
        <v>0</v>
      </c>
      <c r="C1624" s="61">
        <v>0</v>
      </c>
    </row>
    <row r="1625" spans="1:3" ht="14.25" customHeight="true">
      <c r="A1625" s="60" t="s">
        <v>33098</v>
      </c>
      <c r="B1625" s="61">
        <v>0</v>
      </c>
      <c r="C1625" s="61">
        <v>0</v>
      </c>
    </row>
    <row r="1626" spans="1:3" ht="14.25" customHeight="true">
      <c r="A1626" s="60" t="s">
        <v>33099</v>
      </c>
      <c r="B1626" s="61">
        <v>0</v>
      </c>
      <c r="C1626" s="61">
        <v>0</v>
      </c>
    </row>
    <row r="1627" spans="1:3" ht="14.25" customHeight="true">
      <c r="A1627" s="60" t="s">
        <v>33100</v>
      </c>
      <c r="B1627" s="61">
        <v>0</v>
      </c>
      <c r="C1627" s="61">
        <v>0</v>
      </c>
    </row>
    <row r="1628" spans="1:3" ht="14.25" customHeight="true">
      <c r="A1628" s="60" t="s">
        <v>33101</v>
      </c>
      <c r="B1628" s="61">
        <v>0</v>
      </c>
      <c r="C1628" s="61">
        <v>0</v>
      </c>
    </row>
    <row r="1629" spans="1:3" ht="14.25" customHeight="true">
      <c r="A1629" s="60" t="s">
        <v>33102</v>
      </c>
      <c r="B1629" s="61">
        <v>0</v>
      </c>
      <c r="C1629" s="61">
        <v>0</v>
      </c>
    </row>
    <row r="1630" spans="1:3" ht="14.25" customHeight="true">
      <c r="A1630" s="60" t="s">
        <v>33103</v>
      </c>
      <c r="B1630" s="61">
        <v>0</v>
      </c>
      <c r="C1630" s="61">
        <v>0</v>
      </c>
    </row>
    <row r="1631" spans="1:3" ht="14.25" customHeight="true">
      <c r="A1631" s="60" t="s">
        <v>33104</v>
      </c>
      <c r="B1631" s="61">
        <v>0</v>
      </c>
      <c r="C1631" s="61">
        <v>0</v>
      </c>
    </row>
    <row r="1632" spans="1:3" ht="14.25" customHeight="true">
      <c r="A1632" s="60" t="s">
        <v>33105</v>
      </c>
      <c r="B1632" s="61">
        <v>0</v>
      </c>
      <c r="C1632" s="61">
        <v>0</v>
      </c>
    </row>
    <row r="1633" spans="1:3" ht="14.25" customHeight="true">
      <c r="A1633" s="60" t="s">
        <v>33106</v>
      </c>
      <c r="B1633" s="61">
        <v>0</v>
      </c>
      <c r="C1633" s="61">
        <v>0</v>
      </c>
    </row>
    <row r="1634" spans="1:3" ht="14.25" customHeight="true">
      <c r="A1634" s="60" t="s">
        <v>33107</v>
      </c>
      <c r="B1634" s="61">
        <v>0</v>
      </c>
      <c r="C1634" s="61">
        <v>0</v>
      </c>
    </row>
    <row r="1635" spans="1:3" ht="14.25" customHeight="true">
      <c r="A1635" s="60" t="s">
        <v>33108</v>
      </c>
      <c r="B1635" s="61">
        <v>0</v>
      </c>
      <c r="C1635" s="61">
        <v>0</v>
      </c>
    </row>
    <row r="1636" spans="1:3" ht="14.25" customHeight="true">
      <c r="A1636" s="60" t="s">
        <v>33109</v>
      </c>
      <c r="B1636" s="61">
        <v>0</v>
      </c>
      <c r="C1636" s="61">
        <v>0</v>
      </c>
    </row>
    <row r="1637" spans="1:3" ht="14.25" customHeight="true">
      <c r="A1637" s="60" t="s">
        <v>33110</v>
      </c>
      <c r="B1637" s="61">
        <v>0</v>
      </c>
      <c r="C1637" s="61">
        <v>0</v>
      </c>
    </row>
    <row r="1638" spans="1:3" ht="14.25" customHeight="true">
      <c r="A1638" s="60" t="s">
        <v>33111</v>
      </c>
      <c r="B1638" s="61">
        <v>0</v>
      </c>
      <c r="C1638" s="61">
        <v>0</v>
      </c>
    </row>
    <row r="1639" spans="1:3" ht="14.25" customHeight="true">
      <c r="A1639" s="60" t="s">
        <v>33112</v>
      </c>
      <c r="B1639" s="61">
        <v>0</v>
      </c>
      <c r="C1639" s="61">
        <v>0</v>
      </c>
    </row>
    <row r="1640" spans="1:3" ht="14.25" customHeight="true">
      <c r="A1640" s="60" t="s">
        <v>33113</v>
      </c>
      <c r="B1640" s="61">
        <v>0</v>
      </c>
      <c r="C1640" s="61">
        <v>0</v>
      </c>
    </row>
    <row r="1641" spans="1:3" ht="14.25" customHeight="true">
      <c r="A1641" s="60" t="s">
        <v>33114</v>
      </c>
      <c r="B1641" s="61">
        <v>0</v>
      </c>
      <c r="C1641" s="61">
        <v>0</v>
      </c>
    </row>
    <row r="1642" spans="1:3" ht="14.25" customHeight="true">
      <c r="A1642" s="60" t="s">
        <v>33115</v>
      </c>
      <c r="B1642" s="61">
        <v>0</v>
      </c>
      <c r="C1642" s="61">
        <v>0</v>
      </c>
    </row>
    <row r="1643" spans="1:3" ht="14.25" customHeight="true">
      <c r="A1643" s="60" t="s">
        <v>33116</v>
      </c>
      <c r="B1643" s="61">
        <v>0</v>
      </c>
      <c r="C1643" s="61">
        <v>0</v>
      </c>
    </row>
    <row r="1644" spans="1:3" ht="14.25" customHeight="true">
      <c r="A1644" s="60" t="s">
        <v>33117</v>
      </c>
      <c r="B1644" s="61">
        <v>0</v>
      </c>
      <c r="C1644" s="61">
        <v>0</v>
      </c>
    </row>
    <row r="1645" spans="1:3" ht="14.25" customHeight="true">
      <c r="A1645" s="60" t="s">
        <v>33118</v>
      </c>
      <c r="B1645" s="61">
        <v>0</v>
      </c>
      <c r="C1645" s="61">
        <v>0</v>
      </c>
    </row>
    <row r="1646" spans="1:3" ht="14.25" customHeight="true">
      <c r="A1646" s="60" t="s">
        <v>33119</v>
      </c>
      <c r="B1646" s="61">
        <v>0</v>
      </c>
      <c r="C1646" s="61">
        <v>0</v>
      </c>
    </row>
    <row r="1647" spans="1:3" ht="14.25" customHeight="true">
      <c r="A1647" s="60" t="s">
        <v>33120</v>
      </c>
      <c r="B1647" s="61">
        <v>0</v>
      </c>
      <c r="C1647" s="61">
        <v>0</v>
      </c>
    </row>
    <row r="1648" spans="1:3" ht="14.25" customHeight="true">
      <c r="A1648" s="60" t="s">
        <v>33121</v>
      </c>
      <c r="B1648" s="61">
        <v>0</v>
      </c>
      <c r="C1648" s="61">
        <v>0</v>
      </c>
    </row>
    <row r="1649" spans="1:3" ht="14.25" customHeight="true">
      <c r="A1649" s="60" t="s">
        <v>33122</v>
      </c>
      <c r="B1649" s="61">
        <v>0</v>
      </c>
      <c r="C1649" s="61">
        <v>0</v>
      </c>
    </row>
    <row r="1650" spans="1:3" ht="14.25" customHeight="true">
      <c r="A1650" s="60" t="s">
        <v>33123</v>
      </c>
      <c r="B1650" s="61">
        <v>0</v>
      </c>
      <c r="C1650" s="61">
        <v>0</v>
      </c>
    </row>
    <row r="1651" spans="1:3" ht="14.25" customHeight="true">
      <c r="A1651" s="60" t="s">
        <v>33124</v>
      </c>
      <c r="B1651" s="61">
        <v>0</v>
      </c>
      <c r="C1651" s="61">
        <v>0</v>
      </c>
    </row>
    <row r="1652" spans="1:3" ht="14.25" customHeight="true">
      <c r="A1652" s="60" t="s">
        <v>33125</v>
      </c>
      <c r="B1652" s="61">
        <v>0</v>
      </c>
      <c r="C1652" s="61">
        <v>0</v>
      </c>
    </row>
    <row r="1653" spans="1:3" ht="14.25" customHeight="true">
      <c r="A1653" s="60" t="s">
        <v>33126</v>
      </c>
      <c r="B1653" s="61">
        <v>0</v>
      </c>
      <c r="C1653" s="61">
        <v>0</v>
      </c>
    </row>
    <row r="1654" spans="1:3" ht="14.25" customHeight="true">
      <c r="A1654" s="60" t="s">
        <v>33127</v>
      </c>
      <c r="B1654" s="61">
        <v>0</v>
      </c>
      <c r="C1654" s="61">
        <v>0</v>
      </c>
    </row>
    <row r="1655" spans="1:3" ht="14.25" customHeight="true">
      <c r="A1655" s="60" t="s">
        <v>33128</v>
      </c>
      <c r="B1655" s="61">
        <v>0</v>
      </c>
      <c r="C1655" s="61">
        <v>0</v>
      </c>
    </row>
    <row r="1656" spans="1:3" ht="14.25" customHeight="true">
      <c r="A1656" s="60" t="s">
        <v>33129</v>
      </c>
      <c r="B1656" s="61">
        <v>0</v>
      </c>
      <c r="C1656" s="61">
        <v>0</v>
      </c>
    </row>
    <row r="1657" spans="1:3" ht="14.25" customHeight="true">
      <c r="A1657" s="60" t="s">
        <v>33130</v>
      </c>
      <c r="B1657" s="61">
        <v>0</v>
      </c>
      <c r="C1657" s="61">
        <v>0</v>
      </c>
    </row>
    <row r="1658" spans="1:3" ht="14.25" customHeight="true">
      <c r="A1658" s="60" t="s">
        <v>33131</v>
      </c>
      <c r="B1658" s="61">
        <v>0</v>
      </c>
      <c r="C1658" s="61">
        <v>0</v>
      </c>
    </row>
    <row r="1659" spans="1:3" ht="14.25" customHeight="true">
      <c r="A1659" s="60" t="s">
        <v>33132</v>
      </c>
      <c r="B1659" s="61">
        <v>0</v>
      </c>
      <c r="C1659" s="61">
        <v>0</v>
      </c>
    </row>
    <row r="1660" spans="1:3" ht="14.25" customHeight="true">
      <c r="A1660" s="60" t="s">
        <v>33133</v>
      </c>
      <c r="B1660" s="61">
        <v>0</v>
      </c>
      <c r="C1660" s="61">
        <v>0</v>
      </c>
    </row>
    <row r="1661" spans="1:3" ht="14.25" customHeight="true">
      <c r="A1661" s="60" t="s">
        <v>33134</v>
      </c>
      <c r="B1661" s="61">
        <v>0</v>
      </c>
      <c r="C1661" s="61">
        <v>0</v>
      </c>
    </row>
    <row r="1662" spans="1:3" ht="14.25" customHeight="true">
      <c r="A1662" s="60" t="s">
        <v>33135</v>
      </c>
      <c r="B1662" s="61">
        <v>0</v>
      </c>
      <c r="C1662" s="61">
        <v>0</v>
      </c>
    </row>
    <row r="1663" spans="1:3" ht="14.25" customHeight="true">
      <c r="A1663" s="60" t="s">
        <v>33136</v>
      </c>
      <c r="B1663" s="61">
        <v>0</v>
      </c>
      <c r="C1663" s="61">
        <v>0</v>
      </c>
    </row>
    <row r="1664" spans="1:3" ht="14.25" customHeight="true">
      <c r="A1664" s="60" t="s">
        <v>33137</v>
      </c>
      <c r="B1664" s="61">
        <v>0</v>
      </c>
      <c r="C1664" s="61">
        <v>0</v>
      </c>
    </row>
    <row r="1665" spans="1:3" ht="14.25" customHeight="true">
      <c r="A1665" s="60" t="s">
        <v>33138</v>
      </c>
      <c r="B1665" s="61">
        <v>0</v>
      </c>
      <c r="C1665" s="61">
        <v>0</v>
      </c>
    </row>
    <row r="1666" spans="1:3" ht="14.25" customHeight="true">
      <c r="A1666" s="60" t="s">
        <v>33139</v>
      </c>
      <c r="B1666" s="61">
        <v>3200</v>
      </c>
      <c r="C1666" s="61">
        <v>3200</v>
      </c>
    </row>
    <row r="1667" spans="1:3" ht="14.25" customHeight="true">
      <c r="A1667" s="60" t="s">
        <v>33140</v>
      </c>
      <c r="B1667" s="61">
        <v>0</v>
      </c>
      <c r="C1667" s="61">
        <v>0</v>
      </c>
    </row>
    <row r="1668" spans="1:3" ht="14.25" customHeight="true">
      <c r="A1668" s="60" t="s">
        <v>33141</v>
      </c>
      <c r="B1668" s="61">
        <v>0</v>
      </c>
      <c r="C1668" s="61">
        <v>0</v>
      </c>
    </row>
    <row r="1669" spans="1:3" ht="14.25" customHeight="true">
      <c r="A1669" s="60" t="s">
        <v>33142</v>
      </c>
      <c r="B1669" s="61">
        <v>0</v>
      </c>
      <c r="C1669" s="61">
        <v>0</v>
      </c>
    </row>
    <row r="1670" spans="1:3" ht="14.25" customHeight="true">
      <c r="A1670" s="60" t="s">
        <v>33143</v>
      </c>
      <c r="B1670" s="61">
        <v>0</v>
      </c>
      <c r="C1670" s="61">
        <v>0</v>
      </c>
    </row>
    <row r="1671" spans="1:3" ht="14.25" customHeight="true">
      <c r="A1671" s="60" t="s">
        <v>33144</v>
      </c>
      <c r="B1671" s="61">
        <v>-60000</v>
      </c>
      <c r="C1671" s="61">
        <v>-290000</v>
      </c>
    </row>
    <row r="1672" spans="1:3" ht="14.25" customHeight="true">
      <c r="A1672" s="60" t="s">
        <v>33145</v>
      </c>
      <c r="B1672" s="61">
        <v>0</v>
      </c>
      <c r="C1672" s="61">
        <v>0</v>
      </c>
    </row>
    <row r="1673" spans="1:3" ht="14.25" customHeight="true">
      <c r="A1673" s="60" t="s">
        <v>33146</v>
      </c>
      <c r="B1673" s="61">
        <v>0</v>
      </c>
      <c r="C1673" s="61">
        <v>0</v>
      </c>
    </row>
    <row r="1674" spans="1:3" ht="14.25" customHeight="true">
      <c r="A1674" s="60" t="s">
        <v>33147</v>
      </c>
      <c r="B1674" s="61">
        <v>0</v>
      </c>
      <c r="C1674" s="61">
        <v>0</v>
      </c>
    </row>
    <row r="1675" spans="1:3" ht="14.25" customHeight="true">
      <c r="A1675" s="60" t="s">
        <v>33148</v>
      </c>
      <c r="B1675" s="61">
        <v>0</v>
      </c>
      <c r="C1675" s="61">
        <v>0</v>
      </c>
    </row>
    <row r="1676" spans="1:3" ht="14.25" customHeight="true">
      <c r="A1676" s="60" t="s">
        <v>33149</v>
      </c>
      <c r="B1676" s="61">
        <v>0</v>
      </c>
      <c r="C1676" s="61">
        <v>0</v>
      </c>
    </row>
    <row r="1677" spans="1:3" ht="14.25" customHeight="true">
      <c r="A1677" s="60" t="s">
        <v>33150</v>
      </c>
      <c r="B1677" s="61">
        <v>0</v>
      </c>
      <c r="C1677" s="61">
        <v>0</v>
      </c>
    </row>
    <row r="1678" spans="1:3" ht="14.25" customHeight="true">
      <c r="A1678" s="60" t="s">
        <v>33151</v>
      </c>
      <c r="B1678" s="61">
        <v>0</v>
      </c>
      <c r="C1678" s="61">
        <v>0</v>
      </c>
    </row>
    <row r="1679" spans="1:3" ht="14.25" customHeight="true">
      <c r="A1679" s="60" t="s">
        <v>33152</v>
      </c>
      <c r="B1679" s="61">
        <v>0</v>
      </c>
      <c r="C1679" s="61">
        <v>0</v>
      </c>
    </row>
    <row r="1680" spans="1:3" ht="14.25" customHeight="true">
      <c r="A1680" s="60" t="s">
        <v>33153</v>
      </c>
      <c r="B1680" s="61">
        <v>0</v>
      </c>
      <c r="C1680" s="61">
        <v>0</v>
      </c>
    </row>
    <row r="1681" spans="1:3" ht="14.25" customHeight="true">
      <c r="A1681" s="60" t="s">
        <v>33154</v>
      </c>
      <c r="B1681" s="61">
        <v>0</v>
      </c>
      <c r="C1681" s="61">
        <v>0</v>
      </c>
    </row>
    <row r="1682" spans="1:3" ht="14.25" customHeight="true">
      <c r="A1682" s="60" t="s">
        <v>33155</v>
      </c>
      <c r="B1682" s="61">
        <v>0</v>
      </c>
      <c r="C1682" s="61">
        <v>0</v>
      </c>
    </row>
    <row r="1683" spans="1:3" ht="14.25" customHeight="true">
      <c r="A1683" s="60" t="s">
        <v>33156</v>
      </c>
      <c r="B1683" s="61">
        <v>0</v>
      </c>
      <c r="C1683" s="61">
        <v>0</v>
      </c>
    </row>
    <row r="1684" spans="1:3" ht="14.25" customHeight="true">
      <c r="A1684" s="60" t="s">
        <v>33157</v>
      </c>
      <c r="B1684" s="61">
        <v>0</v>
      </c>
      <c r="C1684" s="61">
        <v>0</v>
      </c>
    </row>
    <row r="1685" spans="1:3" ht="14.25" customHeight="true">
      <c r="A1685" s="60" t="s">
        <v>33158</v>
      </c>
      <c r="B1685" s="61">
        <v>0</v>
      </c>
      <c r="C1685" s="61">
        <v>0</v>
      </c>
    </row>
    <row r="1686" spans="1:3" ht="14.25" customHeight="true">
      <c r="A1686" s="60" t="s">
        <v>33159</v>
      </c>
      <c r="B1686" s="61">
        <v>0</v>
      </c>
      <c r="C1686" s="61">
        <v>0</v>
      </c>
    </row>
    <row r="1687" spans="1:3" ht="14.25" customHeight="true">
      <c r="A1687" s="60" t="s">
        <v>33160</v>
      </c>
      <c r="B1687" s="61">
        <v>0</v>
      </c>
      <c r="C1687" s="61">
        <v>0</v>
      </c>
    </row>
    <row r="1688" spans="1:3" ht="14.25" customHeight="true">
      <c r="A1688" s="60" t="s">
        <v>33161</v>
      </c>
      <c r="B1688" s="61">
        <v>0</v>
      </c>
      <c r="C1688" s="61">
        <v>0</v>
      </c>
    </row>
    <row r="1689" spans="1:3" ht="14.25" customHeight="true">
      <c r="A1689" s="60" t="s">
        <v>33162</v>
      </c>
      <c r="B1689" s="61">
        <v>0</v>
      </c>
      <c r="C1689" s="61">
        <v>0</v>
      </c>
    </row>
    <row r="1690" spans="1:3" ht="14.25" customHeight="true">
      <c r="A1690" s="60" t="s">
        <v>33163</v>
      </c>
      <c r="B1690" s="61">
        <v>0</v>
      </c>
      <c r="C1690" s="61">
        <v>0</v>
      </c>
    </row>
    <row r="1691" spans="1:3" ht="14.25" customHeight="true">
      <c r="A1691" s="60" t="s">
        <v>33164</v>
      </c>
      <c r="B1691" s="61">
        <v>0</v>
      </c>
      <c r="C1691" s="61">
        <v>0</v>
      </c>
    </row>
    <row r="1692" spans="1:3" ht="14.25" customHeight="true">
      <c r="A1692" s="60" t="s">
        <v>33165</v>
      </c>
      <c r="B1692" s="61">
        <v>0</v>
      </c>
      <c r="C1692" s="61">
        <v>0</v>
      </c>
    </row>
    <row r="1693" spans="1:3" ht="14.25" customHeight="true">
      <c r="A1693" s="60" t="s">
        <v>33166</v>
      </c>
      <c r="B1693" s="61">
        <v>0</v>
      </c>
      <c r="C1693" s="61">
        <v>0</v>
      </c>
    </row>
    <row r="1694" spans="1:3" ht="14.25" customHeight="true">
      <c r="A1694" s="60" t="s">
        <v>33167</v>
      </c>
      <c r="B1694" s="61">
        <v>0</v>
      </c>
      <c r="C1694" s="61">
        <v>0</v>
      </c>
    </row>
    <row r="1695" spans="1:3" ht="14.25" customHeight="true">
      <c r="A1695" s="60" t="s">
        <v>33168</v>
      </c>
      <c r="B1695" s="61">
        <v>0</v>
      </c>
      <c r="C1695" s="61">
        <v>0</v>
      </c>
    </row>
    <row r="1696" spans="1:3" ht="14.25" customHeight="true">
      <c r="A1696" s="60" t="s">
        <v>33169</v>
      </c>
      <c r="B1696" s="61">
        <v>0</v>
      </c>
      <c r="C1696" s="61">
        <v>0</v>
      </c>
    </row>
    <row r="1697" spans="1:3" ht="14.25" customHeight="true">
      <c r="A1697" s="60" t="s">
        <v>33170</v>
      </c>
      <c r="B1697" s="61">
        <v>0</v>
      </c>
      <c r="C1697" s="61">
        <v>0</v>
      </c>
    </row>
    <row r="1698" spans="1:3" ht="14.25" customHeight="true">
      <c r="A1698" s="60" t="s">
        <v>33171</v>
      </c>
      <c r="B1698" s="61">
        <v>0</v>
      </c>
      <c r="C1698" s="61">
        <v>0</v>
      </c>
    </row>
    <row r="1699" spans="1:3" ht="14.25" customHeight="true">
      <c r="A1699" s="60" t="s">
        <v>33172</v>
      </c>
      <c r="B1699" s="61">
        <v>0</v>
      </c>
      <c r="C1699" s="61">
        <v>0</v>
      </c>
    </row>
    <row r="1700" spans="1:3" ht="14.25" customHeight="true">
      <c r="A1700" s="60" t="s">
        <v>33173</v>
      </c>
      <c r="B1700" s="61">
        <v>0</v>
      </c>
      <c r="C1700" s="61">
        <v>0</v>
      </c>
    </row>
    <row r="1701" spans="1:3" ht="14.25" customHeight="true">
      <c r="A1701" s="60" t="s">
        <v>33174</v>
      </c>
      <c r="B1701" s="61">
        <v>0</v>
      </c>
      <c r="C1701" s="61">
        <v>0</v>
      </c>
    </row>
    <row r="1702" spans="1:3" ht="14.25" customHeight="true">
      <c r="A1702" s="60" t="s">
        <v>33175</v>
      </c>
      <c r="B1702" s="61">
        <v>0</v>
      </c>
      <c r="C1702" s="61">
        <v>0</v>
      </c>
    </row>
    <row r="1703" spans="1:3" ht="14.25" customHeight="true">
      <c r="A1703" s="60" t="s">
        <v>33176</v>
      </c>
      <c r="B1703" s="61">
        <v>0</v>
      </c>
      <c r="C1703" s="61">
        <v>0</v>
      </c>
    </row>
    <row r="1704" spans="1:3" ht="14.25" customHeight="true">
      <c r="A1704" s="60" t="s">
        <v>33177</v>
      </c>
      <c r="B1704" s="61">
        <v>0</v>
      </c>
      <c r="C1704" s="61">
        <v>0</v>
      </c>
    </row>
    <row r="1705" spans="1:3" ht="14.25" customHeight="true">
      <c r="A1705" s="60" t="s">
        <v>33178</v>
      </c>
      <c r="B1705" s="61">
        <v>0</v>
      </c>
      <c r="C1705" s="61">
        <v>0</v>
      </c>
    </row>
    <row r="1706" spans="1:3" ht="14.25" customHeight="true">
      <c r="A1706" s="60" t="s">
        <v>33179</v>
      </c>
      <c r="B1706" s="61">
        <v>0</v>
      </c>
      <c r="C1706" s="61">
        <v>0</v>
      </c>
    </row>
    <row r="1707" spans="1:3" ht="14.25" customHeight="true">
      <c r="A1707" s="60" t="s">
        <v>33180</v>
      </c>
      <c r="B1707" s="61">
        <v>0</v>
      </c>
      <c r="C1707" s="61">
        <v>0</v>
      </c>
    </row>
    <row r="1708" spans="1:3" ht="14.25" customHeight="true">
      <c r="A1708" s="60" t="s">
        <v>33181</v>
      </c>
      <c r="B1708" s="61">
        <v>0</v>
      </c>
      <c r="C1708" s="61">
        <v>0</v>
      </c>
    </row>
    <row r="1709" spans="1:3" ht="14.25" customHeight="true">
      <c r="A1709" s="60" t="s">
        <v>33182</v>
      </c>
      <c r="B1709" s="61">
        <v>0</v>
      </c>
      <c r="C1709" s="61">
        <v>0</v>
      </c>
    </row>
    <row r="1710" spans="1:3" ht="14.25" customHeight="true">
      <c r="A1710" s="60" t="s">
        <v>33183</v>
      </c>
      <c r="B1710" s="61">
        <v>0</v>
      </c>
      <c r="C1710" s="61">
        <v>0</v>
      </c>
    </row>
    <row r="1711" spans="1:3" ht="14.25" customHeight="true">
      <c r="A1711" s="60" t="s">
        <v>33184</v>
      </c>
      <c r="B1711" s="61">
        <v>0</v>
      </c>
      <c r="C1711" s="61">
        <v>0</v>
      </c>
    </row>
    <row r="1712" spans="1:3" ht="14.25" customHeight="true">
      <c r="A1712" s="60" t="s">
        <v>33185</v>
      </c>
      <c r="B1712" s="61">
        <v>0</v>
      </c>
      <c r="C1712" s="61">
        <v>0</v>
      </c>
    </row>
    <row r="1713" spans="1:3" ht="14.25" customHeight="true">
      <c r="A1713" s="60" t="s">
        <v>33186</v>
      </c>
      <c r="B1713" s="61">
        <v>0</v>
      </c>
      <c r="C1713" s="61">
        <v>0</v>
      </c>
    </row>
    <row r="1714" spans="1:3" ht="14.25" customHeight="true">
      <c r="A1714" s="60" t="s">
        <v>33187</v>
      </c>
      <c r="B1714" s="61">
        <v>0</v>
      </c>
      <c r="C1714" s="61">
        <v>0</v>
      </c>
    </row>
    <row r="1715" spans="1:3" ht="14.25" customHeight="true">
      <c r="A1715" s="60" t="s">
        <v>33188</v>
      </c>
      <c r="B1715" s="61">
        <v>0</v>
      </c>
      <c r="C1715" s="61">
        <v>0</v>
      </c>
    </row>
    <row r="1716" spans="1:3" ht="14.25" customHeight="true">
      <c r="A1716" s="60" t="s">
        <v>33189</v>
      </c>
      <c r="B1716" s="61">
        <v>0</v>
      </c>
      <c r="C1716" s="61">
        <v>0</v>
      </c>
    </row>
    <row r="1717" spans="1:3" ht="14.25" customHeight="true">
      <c r="A1717" s="60" t="s">
        <v>33190</v>
      </c>
      <c r="B1717" s="61">
        <v>0</v>
      </c>
      <c r="C1717" s="61">
        <v>0</v>
      </c>
    </row>
    <row r="1718" spans="1:3" ht="14.25" customHeight="true">
      <c r="A1718" s="60" t="s">
        <v>33191</v>
      </c>
      <c r="B1718" s="61">
        <v>0</v>
      </c>
      <c r="C1718" s="61">
        <v>0</v>
      </c>
    </row>
    <row r="1719" spans="1:3" ht="14.25" customHeight="true">
      <c r="A1719" s="60" t="s">
        <v>33192</v>
      </c>
      <c r="B1719" s="61">
        <v>0</v>
      </c>
      <c r="C1719" s="61">
        <v>0</v>
      </c>
    </row>
    <row r="1720" spans="1:3" ht="14.25" customHeight="true">
      <c r="A1720" s="60" t="s">
        <v>33193</v>
      </c>
      <c r="B1720" s="61">
        <v>0</v>
      </c>
      <c r="C1720" s="61">
        <v>-100000</v>
      </c>
    </row>
    <row r="1721" spans="1:3" ht="14.25" customHeight="true">
      <c r="A1721" s="60" t="s">
        <v>33194</v>
      </c>
      <c r="B1721" s="61">
        <v>0</v>
      </c>
      <c r="C1721" s="61">
        <v>0</v>
      </c>
    </row>
    <row r="1722" spans="1:3" ht="14.25" customHeight="true">
      <c r="A1722" s="60" t="s">
        <v>33195</v>
      </c>
      <c r="B1722" s="61">
        <v>0</v>
      </c>
      <c r="C1722" s="61">
        <v>0</v>
      </c>
    </row>
    <row r="1723" spans="1:3" ht="14.25" customHeight="true">
      <c r="A1723" s="60" t="s">
        <v>33196</v>
      </c>
      <c r="B1723" s="61">
        <v>0</v>
      </c>
      <c r="C1723" s="61">
        <v>0</v>
      </c>
    </row>
    <row r="1724" spans="1:3" ht="14.25" customHeight="true">
      <c r="A1724" s="60" t="s">
        <v>33197</v>
      </c>
      <c r="B1724" s="61">
        <v>0</v>
      </c>
      <c r="C1724" s="61">
        <v>0</v>
      </c>
    </row>
    <row r="1725" spans="1:3" ht="14.25" customHeight="true">
      <c r="A1725" s="60" t="s">
        <v>33198</v>
      </c>
      <c r="B1725" s="61">
        <v>0</v>
      </c>
      <c r="C1725" s="61">
        <v>0</v>
      </c>
    </row>
    <row r="1726" spans="1:3" ht="14.25" customHeight="true">
      <c r="A1726" s="60" t="s">
        <v>33199</v>
      </c>
      <c r="B1726" s="61">
        <v>0</v>
      </c>
      <c r="C1726" s="61">
        <v>0</v>
      </c>
    </row>
    <row r="1727" spans="1:3" ht="14.25" customHeight="true">
      <c r="A1727" s="60" t="s">
        <v>33200</v>
      </c>
      <c r="B1727" s="61">
        <v>0</v>
      </c>
      <c r="C1727" s="61">
        <v>0</v>
      </c>
    </row>
    <row r="1728" spans="1:3" ht="14.25" customHeight="true">
      <c r="A1728" s="60" t="s">
        <v>33201</v>
      </c>
      <c r="B1728" s="61">
        <v>0</v>
      </c>
      <c r="C1728" s="61">
        <v>0</v>
      </c>
    </row>
    <row r="1729" spans="1:3" ht="14.25" customHeight="true">
      <c r="A1729" s="60" t="s">
        <v>33202</v>
      </c>
      <c r="B1729" s="61">
        <v>0</v>
      </c>
      <c r="C1729" s="61">
        <v>0</v>
      </c>
    </row>
    <row r="1730" spans="1:3" ht="14.25" customHeight="true">
      <c r="A1730" s="60" t="s">
        <v>33203</v>
      </c>
      <c r="B1730" s="61">
        <v>0</v>
      </c>
      <c r="C1730" s="61">
        <v>0</v>
      </c>
    </row>
    <row r="1731" spans="1:3" ht="14.25" customHeight="true">
      <c r="A1731" s="60" t="s">
        <v>33204</v>
      </c>
      <c r="B1731" s="61">
        <v>0</v>
      </c>
      <c r="C1731" s="61">
        <v>0</v>
      </c>
    </row>
    <row r="1732" spans="1:3" ht="14.25" customHeight="true">
      <c r="A1732" s="60" t="s">
        <v>33205</v>
      </c>
      <c r="B1732" s="61">
        <v>0</v>
      </c>
      <c r="C1732" s="61">
        <v>0</v>
      </c>
    </row>
    <row r="1733" spans="1:3" ht="14.25" customHeight="true">
      <c r="A1733" s="60" t="s">
        <v>33206</v>
      </c>
      <c r="B1733" s="61">
        <v>0</v>
      </c>
      <c r="C1733" s="61">
        <v>0</v>
      </c>
    </row>
    <row r="1734" spans="1:3" ht="14.25" customHeight="true">
      <c r="A1734" s="60" t="s">
        <v>33207</v>
      </c>
      <c r="B1734" s="61">
        <v>0</v>
      </c>
      <c r="C1734" s="61">
        <v>0</v>
      </c>
    </row>
    <row r="1735" spans="1:3" ht="14.25" customHeight="true">
      <c r="A1735" s="60" t="s">
        <v>33208</v>
      </c>
      <c r="B1735" s="61">
        <v>0</v>
      </c>
      <c r="C1735" s="61">
        <v>0</v>
      </c>
    </row>
    <row r="1736" spans="1:3" ht="14.25" customHeight="true">
      <c r="A1736" s="60" t="s">
        <v>33209</v>
      </c>
      <c r="B1736" s="61">
        <v>0</v>
      </c>
      <c r="C1736" s="61">
        <v>0</v>
      </c>
    </row>
    <row r="1737" spans="1:3" ht="14.25" customHeight="true">
      <c r="A1737" s="60" t="s">
        <v>33210</v>
      </c>
      <c r="B1737" s="61">
        <v>0</v>
      </c>
      <c r="C1737" s="61">
        <v>0</v>
      </c>
    </row>
    <row r="1738" spans="1:3" ht="14.25" customHeight="true">
      <c r="A1738" s="60" t="s">
        <v>33211</v>
      </c>
      <c r="B1738" s="61">
        <v>0</v>
      </c>
      <c r="C1738" s="61">
        <v>0</v>
      </c>
    </row>
    <row r="1739" spans="1:3" ht="14.25" customHeight="true">
      <c r="A1739" s="60" t="s">
        <v>33212</v>
      </c>
      <c r="B1739" s="61">
        <v>0</v>
      </c>
      <c r="C1739" s="61">
        <v>0</v>
      </c>
    </row>
    <row r="1740" spans="1:3" ht="14.25" customHeight="true">
      <c r="A1740" s="60" t="s">
        <v>33213</v>
      </c>
      <c r="B1740" s="61">
        <v>0</v>
      </c>
      <c r="C1740" s="61">
        <v>0</v>
      </c>
    </row>
    <row r="1741" spans="1:3" ht="14.25" customHeight="true">
      <c r="A1741" s="60" t="s">
        <v>33214</v>
      </c>
      <c r="B1741" s="61">
        <v>0</v>
      </c>
      <c r="C1741" s="61">
        <v>0</v>
      </c>
    </row>
    <row r="1742" spans="1:3" ht="14.25" customHeight="true">
      <c r="A1742" s="60" t="s">
        <v>33215</v>
      </c>
      <c r="B1742" s="61">
        <v>0</v>
      </c>
      <c r="C1742" s="61">
        <v>0</v>
      </c>
    </row>
    <row r="1743" spans="1:3" ht="14.25" customHeight="true">
      <c r="A1743" s="60" t="s">
        <v>33216</v>
      </c>
      <c r="B1743" s="61">
        <v>0</v>
      </c>
      <c r="C1743" s="61">
        <v>0</v>
      </c>
    </row>
    <row r="1744" spans="1:3" ht="14.25" customHeight="true">
      <c r="A1744" s="60" t="s">
        <v>33217</v>
      </c>
      <c r="B1744" s="61">
        <v>0</v>
      </c>
      <c r="C1744" s="61">
        <v>0</v>
      </c>
    </row>
    <row r="1745" spans="1:3" ht="14.25" customHeight="true">
      <c r="A1745" s="60" t="s">
        <v>33218</v>
      </c>
      <c r="B1745" s="61">
        <v>0</v>
      </c>
      <c r="C1745" s="61">
        <v>0</v>
      </c>
    </row>
    <row r="1746" spans="1:3" ht="14.25" customHeight="true">
      <c r="A1746" s="60" t="s">
        <v>33219</v>
      </c>
      <c r="B1746" s="61">
        <v>0</v>
      </c>
      <c r="C1746" s="61">
        <v>0</v>
      </c>
    </row>
    <row r="1747" spans="1:3" ht="14.25" customHeight="true">
      <c r="A1747" s="60" t="s">
        <v>33220</v>
      </c>
      <c r="B1747" s="61">
        <v>0</v>
      </c>
      <c r="C1747" s="61">
        <v>0</v>
      </c>
    </row>
    <row r="1748" spans="1:3" ht="14.25" customHeight="true">
      <c r="A1748" s="60" t="s">
        <v>33221</v>
      </c>
      <c r="B1748" s="61">
        <v>0</v>
      </c>
      <c r="C1748" s="61">
        <v>0</v>
      </c>
    </row>
    <row r="1749" spans="1:3" ht="14.25" customHeight="true">
      <c r="A1749" s="60" t="s">
        <v>33222</v>
      </c>
      <c r="B1749" s="61">
        <v>0</v>
      </c>
      <c r="C1749" s="61">
        <v>0</v>
      </c>
    </row>
    <row r="1750" spans="1:3" ht="14.25" customHeight="true">
      <c r="A1750" s="60" t="s">
        <v>33223</v>
      </c>
      <c r="B1750" s="61">
        <v>0</v>
      </c>
      <c r="C1750" s="61">
        <v>0</v>
      </c>
    </row>
    <row r="1751" spans="1:3" ht="14.25" customHeight="true">
      <c r="A1751" s="60" t="s">
        <v>33224</v>
      </c>
      <c r="B1751" s="61">
        <v>0</v>
      </c>
      <c r="C1751" s="61">
        <v>0</v>
      </c>
    </row>
    <row r="1752" spans="1:3" ht="14.25" customHeight="true">
      <c r="A1752" s="60" t="s">
        <v>33225</v>
      </c>
      <c r="B1752" s="61">
        <v>0</v>
      </c>
      <c r="C1752" s="61">
        <v>0</v>
      </c>
    </row>
    <row r="1753" spans="1:3" ht="14.25" customHeight="true">
      <c r="A1753" s="60" t="s">
        <v>33226</v>
      </c>
      <c r="B1753" s="61">
        <v>0</v>
      </c>
      <c r="C1753" s="61">
        <v>0</v>
      </c>
    </row>
    <row r="1754" spans="1:3" ht="14.25" customHeight="true">
      <c r="A1754" s="60" t="s">
        <v>33227</v>
      </c>
      <c r="B1754" s="61">
        <v>0</v>
      </c>
      <c r="C1754" s="61">
        <v>0</v>
      </c>
    </row>
    <row r="1755" spans="1:3" ht="14.25" customHeight="true">
      <c r="A1755" s="60" t="s">
        <v>33228</v>
      </c>
      <c r="B1755" s="61">
        <v>0</v>
      </c>
      <c r="C1755" s="61">
        <v>0</v>
      </c>
    </row>
    <row r="1756" spans="1:3" ht="14.25" customHeight="true">
      <c r="A1756" s="60" t="s">
        <v>33229</v>
      </c>
      <c r="B1756" s="61">
        <v>0</v>
      </c>
      <c r="C1756" s="61">
        <v>0</v>
      </c>
    </row>
    <row r="1757" spans="1:3" ht="14.25" customHeight="true">
      <c r="A1757" s="60" t="s">
        <v>33230</v>
      </c>
      <c r="B1757" s="61">
        <v>0</v>
      </c>
      <c r="C1757" s="61">
        <v>0</v>
      </c>
    </row>
    <row r="1758" spans="1:3" ht="14.25" customHeight="true">
      <c r="A1758" s="60" t="s">
        <v>33231</v>
      </c>
      <c r="B1758" s="61">
        <v>0</v>
      </c>
      <c r="C1758" s="61">
        <v>0</v>
      </c>
    </row>
    <row r="1759" spans="1:3" ht="14.25" customHeight="true">
      <c r="A1759" s="60" t="s">
        <v>33232</v>
      </c>
      <c r="B1759" s="61">
        <v>0</v>
      </c>
      <c r="C1759" s="61">
        <v>0</v>
      </c>
    </row>
    <row r="1760" spans="1:3" ht="14.25" customHeight="true">
      <c r="A1760" s="60" t="s">
        <v>33233</v>
      </c>
      <c r="B1760" s="61">
        <v>0</v>
      </c>
      <c r="C1760" s="61">
        <v>0</v>
      </c>
    </row>
    <row r="1761" spans="1:3" ht="14.25" customHeight="true">
      <c r="A1761" s="60" t="s">
        <v>33234</v>
      </c>
      <c r="B1761" s="61">
        <v>0</v>
      </c>
      <c r="C1761" s="61">
        <v>0</v>
      </c>
    </row>
    <row r="1762" spans="1:3" ht="14.25" customHeight="true">
      <c r="A1762" s="60" t="s">
        <v>33235</v>
      </c>
      <c r="B1762" s="61">
        <v>0</v>
      </c>
      <c r="C1762" s="61">
        <v>0</v>
      </c>
    </row>
    <row r="1763" spans="1:3" ht="14.25" customHeight="true">
      <c r="A1763" s="60" t="s">
        <v>33236</v>
      </c>
      <c r="B1763" s="61">
        <v>0</v>
      </c>
      <c r="C1763" s="61">
        <v>0</v>
      </c>
    </row>
    <row r="1764" spans="1:3" ht="14.25" customHeight="true">
      <c r="A1764" s="60" t="s">
        <v>33237</v>
      </c>
      <c r="B1764" s="61">
        <v>0</v>
      </c>
      <c r="C1764" s="61">
        <v>0</v>
      </c>
    </row>
    <row r="1765" spans="1:3" ht="14.25" customHeight="true">
      <c r="A1765" s="60" t="s">
        <v>33238</v>
      </c>
      <c r="B1765" s="61">
        <v>0</v>
      </c>
      <c r="C1765" s="61">
        <v>0</v>
      </c>
    </row>
    <row r="1766" spans="1:3" ht="14.25" customHeight="true">
      <c r="A1766" s="60" t="s">
        <v>33239</v>
      </c>
      <c r="B1766" s="61">
        <v>0</v>
      </c>
      <c r="C1766" s="61">
        <v>0</v>
      </c>
    </row>
    <row r="1767" spans="1:3" ht="14.25" customHeight="true">
      <c r="A1767" s="60" t="s">
        <v>33240</v>
      </c>
      <c r="B1767" s="61">
        <v>0</v>
      </c>
      <c r="C1767" s="61">
        <v>0</v>
      </c>
    </row>
    <row r="1768" spans="1:3" ht="14.25" customHeight="true">
      <c r="A1768" s="60" t="s">
        <v>33241</v>
      </c>
      <c r="B1768" s="61">
        <v>0</v>
      </c>
      <c r="C1768" s="61">
        <v>0</v>
      </c>
    </row>
    <row r="1769" spans="1:3" ht="14.25" customHeight="true">
      <c r="A1769" s="60" t="s">
        <v>33242</v>
      </c>
      <c r="B1769" s="61">
        <v>0</v>
      </c>
      <c r="C1769" s="61">
        <v>0</v>
      </c>
    </row>
    <row r="1770" spans="1:3" ht="14.25" customHeight="true">
      <c r="A1770" s="60" t="s">
        <v>33243</v>
      </c>
      <c r="B1770" s="61">
        <v>0</v>
      </c>
      <c r="C1770" s="61">
        <v>0</v>
      </c>
    </row>
    <row r="1771" spans="1:3" ht="14.25" customHeight="true">
      <c r="A1771" s="60" t="s">
        <v>33244</v>
      </c>
      <c r="B1771" s="61">
        <v>0</v>
      </c>
      <c r="C1771" s="61">
        <v>0</v>
      </c>
    </row>
    <row r="1772" spans="1:3" ht="14.25" customHeight="true">
      <c r="A1772" s="60" t="s">
        <v>33245</v>
      </c>
      <c r="B1772" s="61">
        <v>0</v>
      </c>
      <c r="C1772" s="61">
        <v>0</v>
      </c>
    </row>
    <row r="1773" spans="1:3" ht="14.25" customHeight="true">
      <c r="A1773" s="60" t="s">
        <v>33246</v>
      </c>
      <c r="B1773" s="61">
        <v>0</v>
      </c>
      <c r="C1773" s="61">
        <v>0</v>
      </c>
    </row>
    <row r="1774" spans="1:3" ht="14.25" customHeight="true">
      <c r="A1774" s="60" t="s">
        <v>33247</v>
      </c>
      <c r="B1774" s="61">
        <v>0</v>
      </c>
      <c r="C1774" s="61">
        <v>0</v>
      </c>
    </row>
    <row r="1775" spans="1:3" ht="14.25" customHeight="true">
      <c r="A1775" s="60" t="s">
        <v>33248</v>
      </c>
      <c r="B1775" s="61">
        <v>0</v>
      </c>
      <c r="C1775" s="61">
        <v>0</v>
      </c>
    </row>
    <row r="1776" spans="1:3" ht="14.25" customHeight="true">
      <c r="A1776" s="60" t="s">
        <v>33249</v>
      </c>
      <c r="B1776" s="61">
        <v>0</v>
      </c>
      <c r="C1776" s="61">
        <v>0</v>
      </c>
    </row>
    <row r="1777" spans="1:3" ht="14.25" customHeight="true">
      <c r="A1777" s="60" t="s">
        <v>33250</v>
      </c>
      <c r="B1777" s="61">
        <v>0</v>
      </c>
      <c r="C1777" s="61">
        <v>0</v>
      </c>
    </row>
    <row r="1778" spans="1:3" ht="14.25" customHeight="true">
      <c r="A1778" s="60" t="s">
        <v>33251</v>
      </c>
      <c r="B1778" s="61">
        <v>0</v>
      </c>
      <c r="C1778" s="61">
        <v>0</v>
      </c>
    </row>
    <row r="1779" spans="1:3" ht="14.25" customHeight="true">
      <c r="A1779" s="60" t="s">
        <v>33252</v>
      </c>
      <c r="B1779" s="61">
        <v>0</v>
      </c>
      <c r="C1779" s="61">
        <v>0</v>
      </c>
    </row>
    <row r="1780" spans="1:3" ht="14.25" customHeight="true">
      <c r="A1780" s="60" t="s">
        <v>33253</v>
      </c>
      <c r="B1780" s="61">
        <v>0</v>
      </c>
      <c r="C1780" s="61">
        <v>0</v>
      </c>
    </row>
    <row r="1781" spans="1:3" ht="14.25" customHeight="true">
      <c r="A1781" s="60" t="s">
        <v>33254</v>
      </c>
      <c r="B1781" s="61">
        <v>-1000</v>
      </c>
      <c r="C1781" s="61">
        <v>-1000</v>
      </c>
    </row>
    <row r="1782" spans="1:3" ht="14.25" customHeight="true">
      <c r="A1782" s="60" t="s">
        <v>33255</v>
      </c>
      <c r="B1782" s="61">
        <v>0</v>
      </c>
      <c r="C1782" s="61">
        <v>0</v>
      </c>
    </row>
    <row r="1783" spans="1:3" ht="14.25" customHeight="true">
      <c r="A1783" s="60" t="s">
        <v>33256</v>
      </c>
      <c r="B1783" s="61">
        <v>0</v>
      </c>
      <c r="C1783" s="61">
        <v>0</v>
      </c>
    </row>
    <row r="1784" spans="1:3" ht="14.25" customHeight="true">
      <c r="A1784" s="60" t="s">
        <v>33257</v>
      </c>
      <c r="B1784" s="61">
        <v>0</v>
      </c>
      <c r="C1784" s="61">
        <v>0</v>
      </c>
    </row>
    <row r="1785" spans="1:3" ht="14.25" customHeight="true">
      <c r="A1785" s="60" t="s">
        <v>33258</v>
      </c>
      <c r="B1785" s="61">
        <v>0</v>
      </c>
      <c r="C1785" s="61">
        <v>0</v>
      </c>
    </row>
    <row r="1786" spans="1:3" ht="14.25" customHeight="true">
      <c r="A1786" s="60" t="s">
        <v>33259</v>
      </c>
      <c r="B1786" s="61">
        <v>0</v>
      </c>
      <c r="C1786" s="61">
        <v>0</v>
      </c>
    </row>
    <row r="1787" spans="1:3" ht="14.25" customHeight="true">
      <c r="A1787" s="60" t="s">
        <v>33260</v>
      </c>
      <c r="B1787" s="61">
        <v>0</v>
      </c>
      <c r="C1787" s="61">
        <v>0</v>
      </c>
    </row>
    <row r="1788" spans="1:3" ht="14.25" customHeight="true">
      <c r="A1788" s="60" t="s">
        <v>33261</v>
      </c>
      <c r="B1788" s="61">
        <v>0</v>
      </c>
      <c r="C1788" s="61">
        <v>0</v>
      </c>
    </row>
    <row r="1789" spans="1:3" ht="14.25" customHeight="true">
      <c r="A1789" s="60" t="s">
        <v>33262</v>
      </c>
      <c r="B1789" s="61">
        <v>0</v>
      </c>
      <c r="C1789" s="61">
        <v>0</v>
      </c>
    </row>
    <row r="1790" spans="1:3" ht="14.25" customHeight="true">
      <c r="A1790" s="60" t="s">
        <v>33263</v>
      </c>
      <c r="B1790" s="61">
        <v>0</v>
      </c>
      <c r="C1790" s="61">
        <v>0</v>
      </c>
    </row>
    <row r="1791" spans="1:3" ht="14.25" customHeight="true">
      <c r="A1791" s="60" t="s">
        <v>33264</v>
      </c>
      <c r="B1791" s="61">
        <v>0</v>
      </c>
      <c r="C1791" s="61">
        <v>0</v>
      </c>
    </row>
    <row r="1792" spans="1:3" ht="14.25" customHeight="true">
      <c r="A1792" s="60" t="s">
        <v>33265</v>
      </c>
      <c r="B1792" s="61">
        <v>0</v>
      </c>
      <c r="C1792" s="61">
        <v>0</v>
      </c>
    </row>
    <row r="1793" spans="1:3" ht="14.25" customHeight="true">
      <c r="A1793" s="60" t="s">
        <v>33266</v>
      </c>
      <c r="B1793" s="61">
        <v>0</v>
      </c>
      <c r="C1793" s="61">
        <v>0</v>
      </c>
    </row>
    <row r="1794" spans="1:3" ht="14.25" customHeight="true">
      <c r="A1794" s="60" t="s">
        <v>33267</v>
      </c>
      <c r="B1794" s="61">
        <v>0</v>
      </c>
      <c r="C1794" s="61">
        <v>0</v>
      </c>
    </row>
    <row r="1795" spans="1:3" ht="14.25" customHeight="true">
      <c r="A1795" s="60" t="s">
        <v>33268</v>
      </c>
      <c r="B1795" s="61">
        <v>0</v>
      </c>
      <c r="C1795" s="61">
        <v>0</v>
      </c>
    </row>
    <row r="1796" spans="1:3" ht="14.25" customHeight="true">
      <c r="A1796" s="60" t="s">
        <v>33269</v>
      </c>
      <c r="B1796" s="61">
        <v>0</v>
      </c>
      <c r="C1796" s="61">
        <v>0</v>
      </c>
    </row>
    <row r="1797" spans="1:3" ht="14.25" customHeight="true">
      <c r="A1797" s="60" t="s">
        <v>33270</v>
      </c>
      <c r="B1797" s="61">
        <v>0</v>
      </c>
      <c r="C1797" s="61">
        <v>0</v>
      </c>
    </row>
    <row r="1798" spans="1:3" ht="14.25" customHeight="true">
      <c r="A1798" s="60" t="s">
        <v>33271</v>
      </c>
      <c r="B1798" s="61">
        <v>0</v>
      </c>
      <c r="C1798" s="61">
        <v>0</v>
      </c>
    </row>
    <row r="1799" spans="1:3" ht="14.25" customHeight="true">
      <c r="A1799" s="60" t="s">
        <v>33272</v>
      </c>
      <c r="B1799" s="61">
        <v>0</v>
      </c>
      <c r="C1799" s="61">
        <v>0</v>
      </c>
    </row>
    <row r="1800" spans="1:3" ht="14.25" customHeight="true">
      <c r="A1800" s="60" t="s">
        <v>33273</v>
      </c>
      <c r="B1800" s="61">
        <v>0</v>
      </c>
      <c r="C1800" s="61">
        <v>0</v>
      </c>
    </row>
    <row r="1801" spans="1:3" ht="14.25" customHeight="true">
      <c r="A1801" s="60" t="s">
        <v>33274</v>
      </c>
      <c r="B1801" s="61">
        <v>0</v>
      </c>
      <c r="C1801" s="61">
        <v>0</v>
      </c>
    </row>
    <row r="1802" spans="1:3" ht="14.25" customHeight="true">
      <c r="A1802" s="60" t="s">
        <v>33275</v>
      </c>
      <c r="B1802" s="61">
        <v>0</v>
      </c>
      <c r="C1802" s="61">
        <v>0</v>
      </c>
    </row>
    <row r="1803" spans="1:3" ht="14.25" customHeight="true">
      <c r="A1803" s="60" t="s">
        <v>33276</v>
      </c>
      <c r="B1803" s="61">
        <v>0</v>
      </c>
      <c r="C1803" s="61">
        <v>0</v>
      </c>
    </row>
    <row r="1804" spans="1:3" ht="14.25" customHeight="true">
      <c r="A1804" s="60" t="s">
        <v>33277</v>
      </c>
      <c r="B1804" s="61">
        <v>0</v>
      </c>
      <c r="C1804" s="61">
        <v>0</v>
      </c>
    </row>
    <row r="1805" spans="1:3" ht="14.25" customHeight="true">
      <c r="A1805" s="60" t="s">
        <v>33278</v>
      </c>
      <c r="B1805" s="61">
        <v>0</v>
      </c>
      <c r="C1805" s="61">
        <v>0</v>
      </c>
    </row>
    <row r="1806" spans="1:3" ht="14.25" customHeight="true">
      <c r="A1806" s="60" t="s">
        <v>33279</v>
      </c>
      <c r="B1806" s="61">
        <v>0</v>
      </c>
      <c r="C1806" s="61">
        <v>0</v>
      </c>
    </row>
    <row r="1807" spans="1:3" ht="14.25" customHeight="true">
      <c r="A1807" s="60" t="s">
        <v>33280</v>
      </c>
      <c r="B1807" s="61">
        <v>0</v>
      </c>
      <c r="C1807" s="61">
        <v>0</v>
      </c>
    </row>
    <row r="1808" spans="1:3" ht="14.25" customHeight="true">
      <c r="A1808" s="60" t="s">
        <v>33281</v>
      </c>
      <c r="B1808" s="61">
        <v>0</v>
      </c>
      <c r="C1808" s="61">
        <v>0</v>
      </c>
    </row>
    <row r="1809" spans="1:3" ht="14.25" customHeight="true">
      <c r="A1809" s="60" t="s">
        <v>33282</v>
      </c>
      <c r="B1809" s="61">
        <v>0</v>
      </c>
      <c r="C1809" s="61">
        <v>0</v>
      </c>
    </row>
    <row r="1810" spans="1:3" ht="14.25" customHeight="true">
      <c r="A1810" s="60" t="s">
        <v>33283</v>
      </c>
      <c r="B1810" s="61">
        <v>0</v>
      </c>
      <c r="C1810" s="61">
        <v>0</v>
      </c>
    </row>
    <row r="1811" spans="1:3" ht="14.25" customHeight="true">
      <c r="A1811" s="60" t="s">
        <v>33284</v>
      </c>
      <c r="B1811" s="61">
        <v>0</v>
      </c>
      <c r="C1811" s="61">
        <v>0</v>
      </c>
    </row>
    <row r="1812" spans="1:3" ht="14.25" customHeight="true">
      <c r="A1812" s="60" t="s">
        <v>33285</v>
      </c>
      <c r="B1812" s="61">
        <v>0</v>
      </c>
      <c r="C1812" s="61">
        <v>0</v>
      </c>
    </row>
    <row r="1813" spans="1:3" ht="14.25" customHeight="true">
      <c r="A1813" s="60" t="s">
        <v>33286</v>
      </c>
      <c r="B1813" s="61">
        <v>0</v>
      </c>
      <c r="C1813" s="61">
        <v>0</v>
      </c>
    </row>
    <row r="1814" spans="1:3" ht="14.25" customHeight="true">
      <c r="A1814" s="60" t="s">
        <v>33287</v>
      </c>
      <c r="B1814" s="61">
        <v>0</v>
      </c>
      <c r="C1814" s="61">
        <v>0</v>
      </c>
    </row>
    <row r="1815" spans="1:3" ht="14.25" customHeight="true">
      <c r="A1815" s="60" t="s">
        <v>33288</v>
      </c>
      <c r="B1815" s="61">
        <v>0</v>
      </c>
      <c r="C1815" s="61">
        <v>0</v>
      </c>
    </row>
    <row r="1816" spans="1:3" ht="14.25" customHeight="true">
      <c r="A1816" s="60" t="s">
        <v>33289</v>
      </c>
      <c r="B1816" s="61">
        <v>0</v>
      </c>
      <c r="C1816" s="61">
        <v>0</v>
      </c>
    </row>
    <row r="1817" spans="1:3" ht="14.25" customHeight="true">
      <c r="A1817" s="60" t="s">
        <v>33290</v>
      </c>
      <c r="B1817" s="61">
        <v>0</v>
      </c>
      <c r="C1817" s="61">
        <v>0</v>
      </c>
    </row>
    <row r="1818" spans="1:3" ht="14.25" customHeight="true">
      <c r="A1818" s="60" t="s">
        <v>33291</v>
      </c>
      <c r="B1818" s="61">
        <v>0</v>
      </c>
      <c r="C1818" s="61">
        <v>0</v>
      </c>
    </row>
    <row r="1819" spans="1:3" ht="14.25" customHeight="true">
      <c r="A1819" s="60" t="s">
        <v>33292</v>
      </c>
      <c r="B1819" s="61">
        <v>0</v>
      </c>
      <c r="C1819" s="61">
        <v>0</v>
      </c>
    </row>
    <row r="1820" spans="1:3" ht="14.25" customHeight="true">
      <c r="A1820" s="60" t="s">
        <v>33293</v>
      </c>
      <c r="B1820" s="61">
        <v>0</v>
      </c>
      <c r="C1820" s="61">
        <v>0</v>
      </c>
    </row>
    <row r="1821" spans="1:3" ht="14.25" customHeight="true">
      <c r="A1821" s="60" t="s">
        <v>33294</v>
      </c>
      <c r="B1821" s="61">
        <v>0</v>
      </c>
      <c r="C1821" s="61">
        <v>0</v>
      </c>
    </row>
    <row r="1822" spans="1:3" ht="14.25" customHeight="true">
      <c r="A1822" s="60" t="s">
        <v>33295</v>
      </c>
      <c r="B1822" s="61">
        <v>0</v>
      </c>
      <c r="C1822" s="61">
        <v>0</v>
      </c>
    </row>
    <row r="1823" spans="1:3" ht="14.25" customHeight="true">
      <c r="A1823" s="60" t="s">
        <v>33296</v>
      </c>
      <c r="B1823" s="61">
        <v>0</v>
      </c>
      <c r="C1823" s="61">
        <v>0</v>
      </c>
    </row>
    <row r="1824" spans="1:3" ht="14.25" customHeight="true">
      <c r="A1824" s="60" t="s">
        <v>33297</v>
      </c>
      <c r="B1824" s="61">
        <v>0</v>
      </c>
      <c r="C1824" s="61">
        <v>0</v>
      </c>
    </row>
    <row r="1825" spans="1:3" ht="14.25" customHeight="true">
      <c r="A1825" s="60" t="s">
        <v>33298</v>
      </c>
      <c r="B1825" s="61">
        <v>0</v>
      </c>
      <c r="C1825" s="61">
        <v>0</v>
      </c>
    </row>
    <row r="1826" spans="1:3" ht="14.25" customHeight="true">
      <c r="A1826" s="60" t="s">
        <v>33299</v>
      </c>
      <c r="B1826" s="61">
        <v>0</v>
      </c>
      <c r="C1826" s="61">
        <v>0</v>
      </c>
    </row>
    <row r="1827" spans="1:3" ht="14.25" customHeight="true">
      <c r="A1827" s="60" t="s">
        <v>33300</v>
      </c>
      <c r="B1827" s="61">
        <v>0</v>
      </c>
      <c r="C1827" s="61">
        <v>0</v>
      </c>
    </row>
    <row r="1828" spans="1:3" ht="14.25" customHeight="true">
      <c r="A1828" s="60" t="s">
        <v>33301</v>
      </c>
      <c r="B1828" s="61">
        <v>0</v>
      </c>
      <c r="C1828" s="61">
        <v>0</v>
      </c>
    </row>
    <row r="1829" spans="1:3" ht="14.25" customHeight="true">
      <c r="A1829" s="60" t="s">
        <v>33302</v>
      </c>
      <c r="B1829" s="61">
        <v>0</v>
      </c>
      <c r="C1829" s="61">
        <v>0</v>
      </c>
    </row>
    <row r="1830" spans="1:3" ht="14.25" customHeight="true">
      <c r="A1830" s="60" t="s">
        <v>33303</v>
      </c>
      <c r="B1830" s="61">
        <v>0</v>
      </c>
      <c r="C1830" s="61">
        <v>0</v>
      </c>
    </row>
    <row r="1831" spans="1:3" ht="14.25" customHeight="true">
      <c r="A1831" s="60" t="s">
        <v>33304</v>
      </c>
      <c r="B1831" s="61">
        <v>0</v>
      </c>
      <c r="C1831" s="61">
        <v>0</v>
      </c>
    </row>
    <row r="1832" spans="1:3" ht="14.25" customHeight="true">
      <c r="A1832" s="60" t="s">
        <v>33305</v>
      </c>
      <c r="B1832" s="61">
        <v>0</v>
      </c>
      <c r="C1832" s="61">
        <v>0</v>
      </c>
    </row>
    <row r="1833" spans="1:3" ht="14.25" customHeight="true">
      <c r="A1833" s="60" t="s">
        <v>33306</v>
      </c>
      <c r="B1833" s="61">
        <v>0</v>
      </c>
      <c r="C1833" s="61">
        <v>0</v>
      </c>
    </row>
    <row r="1834" spans="1:3" ht="14.25" customHeight="true">
      <c r="A1834" s="60" t="s">
        <v>33307</v>
      </c>
      <c r="B1834" s="61">
        <v>0</v>
      </c>
      <c r="C1834" s="61">
        <v>0</v>
      </c>
    </row>
    <row r="1835" spans="1:3" ht="14.25" customHeight="true">
      <c r="A1835" s="60" t="s">
        <v>33308</v>
      </c>
      <c r="B1835" s="61">
        <v>0</v>
      </c>
      <c r="C1835" s="61">
        <v>0</v>
      </c>
    </row>
    <row r="1836" spans="1:3" ht="14.25" customHeight="true">
      <c r="A1836" s="60" t="s">
        <v>33309</v>
      </c>
      <c r="B1836" s="61">
        <v>0</v>
      </c>
      <c r="C1836" s="61">
        <v>0</v>
      </c>
    </row>
    <row r="1837" spans="1:3" ht="14.25" customHeight="true">
      <c r="A1837" s="60" t="s">
        <v>33310</v>
      </c>
      <c r="B1837" s="61">
        <v>0</v>
      </c>
      <c r="C1837" s="61">
        <v>0</v>
      </c>
    </row>
    <row r="1838" spans="1:3" ht="14.25" customHeight="true">
      <c r="A1838" s="60" t="s">
        <v>33311</v>
      </c>
      <c r="B1838" s="61">
        <v>0</v>
      </c>
      <c r="C1838" s="61">
        <v>0</v>
      </c>
    </row>
    <row r="1839" spans="1:3" ht="14.25" customHeight="true">
      <c r="A1839" s="60" t="s">
        <v>33312</v>
      </c>
      <c r="B1839" s="61">
        <v>0</v>
      </c>
      <c r="C1839" s="61">
        <v>0</v>
      </c>
    </row>
    <row r="1840" spans="1:3" ht="14.25" customHeight="true">
      <c r="A1840" s="60" t="s">
        <v>33313</v>
      </c>
      <c r="B1840" s="61">
        <v>0</v>
      </c>
      <c r="C1840" s="61">
        <v>0</v>
      </c>
    </row>
    <row r="1841" spans="1:3" ht="14.25" customHeight="true">
      <c r="A1841" s="60" t="s">
        <v>33314</v>
      </c>
      <c r="B1841" s="61">
        <v>0</v>
      </c>
      <c r="C1841" s="61">
        <v>0</v>
      </c>
    </row>
    <row r="1842" spans="1:3" ht="14.25" customHeight="true">
      <c r="A1842" s="60" t="s">
        <v>33315</v>
      </c>
      <c r="B1842" s="61">
        <v>0</v>
      </c>
      <c r="C1842" s="61">
        <v>0</v>
      </c>
    </row>
    <row r="1843" spans="1:3" ht="14.25" customHeight="true">
      <c r="A1843" s="60" t="s">
        <v>33316</v>
      </c>
      <c r="B1843" s="61">
        <v>0</v>
      </c>
      <c r="C1843" s="61">
        <v>0</v>
      </c>
    </row>
    <row r="1844" spans="1:3" ht="14.25" customHeight="true">
      <c r="A1844" s="60" t="s">
        <v>33317</v>
      </c>
      <c r="B1844" s="61">
        <v>0</v>
      </c>
      <c r="C1844" s="61">
        <v>0</v>
      </c>
    </row>
    <row r="1845" spans="1:3" ht="14.25" customHeight="true">
      <c r="A1845" s="60" t="s">
        <v>33318</v>
      </c>
      <c r="B1845" s="61">
        <v>0</v>
      </c>
      <c r="C1845" s="61">
        <v>0</v>
      </c>
    </row>
    <row r="1846" spans="1:3" ht="14.25" customHeight="true">
      <c r="A1846" s="60" t="s">
        <v>33319</v>
      </c>
      <c r="B1846" s="61">
        <v>0</v>
      </c>
      <c r="C1846" s="61">
        <v>0</v>
      </c>
    </row>
    <row r="1847" spans="1:3" ht="14.25" customHeight="true">
      <c r="A1847" s="60" t="s">
        <v>33320</v>
      </c>
      <c r="B1847" s="61">
        <v>0</v>
      </c>
      <c r="C1847" s="61">
        <v>0</v>
      </c>
    </row>
    <row r="1848" spans="1:3" ht="14.25" customHeight="true">
      <c r="A1848" s="60" t="s">
        <v>33321</v>
      </c>
      <c r="B1848" s="61">
        <v>0</v>
      </c>
      <c r="C1848" s="61">
        <v>0</v>
      </c>
    </row>
    <row r="1849" spans="1:3" ht="14.25" customHeight="true">
      <c r="A1849" s="60" t="s">
        <v>33322</v>
      </c>
      <c r="B1849" s="61">
        <v>0</v>
      </c>
      <c r="C1849" s="61">
        <v>0</v>
      </c>
    </row>
    <row r="1850" spans="1:3" ht="14.25" customHeight="true">
      <c r="A1850" s="60" t="s">
        <v>33323</v>
      </c>
      <c r="B1850" s="61">
        <v>0</v>
      </c>
      <c r="C1850" s="61">
        <v>0</v>
      </c>
    </row>
    <row r="1851" spans="1:3" ht="14.25" customHeight="true">
      <c r="A1851" s="60" t="s">
        <v>33324</v>
      </c>
      <c r="B1851" s="61">
        <v>0</v>
      </c>
      <c r="C1851" s="61">
        <v>0</v>
      </c>
    </row>
    <row r="1852" spans="1:3" ht="14.25" customHeight="true">
      <c r="A1852" s="60" t="s">
        <v>33325</v>
      </c>
      <c r="B1852" s="61">
        <v>0</v>
      </c>
      <c r="C1852" s="61">
        <v>0</v>
      </c>
    </row>
    <row r="1853" spans="1:3" ht="14.25" customHeight="true">
      <c r="A1853" s="60" t="s">
        <v>33326</v>
      </c>
      <c r="B1853" s="61">
        <v>0</v>
      </c>
      <c r="C1853" s="61">
        <v>0</v>
      </c>
    </row>
    <row r="1854" spans="1:3" ht="14.25" customHeight="true">
      <c r="A1854" s="60" t="s">
        <v>33327</v>
      </c>
      <c r="B1854" s="61">
        <v>0</v>
      </c>
      <c r="C1854" s="61">
        <v>0</v>
      </c>
    </row>
    <row r="1855" spans="1:3" ht="14.25" customHeight="true">
      <c r="A1855" s="60" t="s">
        <v>33328</v>
      </c>
      <c r="B1855" s="61">
        <v>0</v>
      </c>
      <c r="C1855" s="61">
        <v>0</v>
      </c>
    </row>
    <row r="1856" spans="1:3" ht="14.25" customHeight="true">
      <c r="A1856" s="60" t="s">
        <v>33329</v>
      </c>
      <c r="B1856" s="61">
        <v>0</v>
      </c>
      <c r="C1856" s="61">
        <v>0</v>
      </c>
    </row>
    <row r="1857" spans="1:3" ht="14.25" customHeight="true">
      <c r="A1857" s="60" t="s">
        <v>33330</v>
      </c>
      <c r="B1857" s="61">
        <v>0</v>
      </c>
      <c r="C1857" s="61">
        <v>0</v>
      </c>
    </row>
    <row r="1858" spans="1:3" ht="14.25" customHeight="true">
      <c r="A1858" s="60" t="s">
        <v>33331</v>
      </c>
      <c r="B1858" s="61">
        <v>0</v>
      </c>
      <c r="C1858" s="61">
        <v>0</v>
      </c>
    </row>
    <row r="1859" spans="1:3" ht="14.25" customHeight="true">
      <c r="A1859" s="60" t="s">
        <v>33332</v>
      </c>
      <c r="B1859" s="61">
        <v>0</v>
      </c>
      <c r="C1859" s="61">
        <v>-1238500</v>
      </c>
    </row>
    <row r="1860" spans="1:3" ht="14.25" customHeight="true">
      <c r="A1860" s="60" t="s">
        <v>33333</v>
      </c>
      <c r="B1860" s="61">
        <v>0</v>
      </c>
      <c r="C1860" s="61">
        <v>0</v>
      </c>
    </row>
    <row r="1861" spans="1:3" ht="14.25" customHeight="true">
      <c r="A1861" s="60" t="s">
        <v>33334</v>
      </c>
      <c r="B1861" s="61">
        <v>0</v>
      </c>
      <c r="C1861" s="61">
        <v>0</v>
      </c>
    </row>
    <row r="1862" spans="1:3" ht="14.25" customHeight="true">
      <c r="A1862" s="60" t="s">
        <v>33335</v>
      </c>
      <c r="B1862" s="61">
        <v>0</v>
      </c>
      <c r="C1862" s="61">
        <v>0</v>
      </c>
    </row>
    <row r="1863" spans="1:3" ht="14.25" customHeight="true">
      <c r="A1863" s="60" t="s">
        <v>33336</v>
      </c>
      <c r="B1863" s="61">
        <v>0</v>
      </c>
      <c r="C1863" s="61">
        <v>0</v>
      </c>
    </row>
    <row r="1864" spans="1:3" ht="14.25" customHeight="true">
      <c r="A1864" s="60" t="s">
        <v>33337</v>
      </c>
      <c r="B1864" s="61">
        <v>0</v>
      </c>
      <c r="C1864" s="61">
        <v>0</v>
      </c>
    </row>
    <row r="1865" spans="1:3" ht="14.25" customHeight="true">
      <c r="A1865" s="60" t="s">
        <v>33338</v>
      </c>
      <c r="B1865" s="61">
        <v>0</v>
      </c>
      <c r="C1865" s="61">
        <v>0</v>
      </c>
    </row>
    <row r="1866" spans="1:3" ht="14.25" customHeight="true">
      <c r="A1866" s="60" t="s">
        <v>33339</v>
      </c>
      <c r="B1866" s="61">
        <v>0</v>
      </c>
      <c r="C1866" s="61">
        <v>0</v>
      </c>
    </row>
    <row r="1867" spans="1:3" ht="14.25" customHeight="true">
      <c r="A1867" s="60" t="s">
        <v>33340</v>
      </c>
      <c r="B1867" s="61">
        <v>0</v>
      </c>
      <c r="C1867" s="61">
        <v>0</v>
      </c>
    </row>
    <row r="1868" spans="1:3" ht="14.25" customHeight="true">
      <c r="A1868" s="60" t="s">
        <v>33341</v>
      </c>
      <c r="B1868" s="61">
        <v>0</v>
      </c>
      <c r="C1868" s="61">
        <v>0</v>
      </c>
    </row>
    <row r="1869" spans="1:3" ht="14.25" customHeight="true">
      <c r="A1869" s="60" t="s">
        <v>33342</v>
      </c>
      <c r="B1869" s="61">
        <v>0</v>
      </c>
      <c r="C1869" s="61">
        <v>0</v>
      </c>
    </row>
    <row r="1870" spans="1:3" ht="14.25" customHeight="true">
      <c r="A1870" s="60" t="s">
        <v>33343</v>
      </c>
      <c r="B1870" s="61">
        <v>0</v>
      </c>
      <c r="C1870" s="61">
        <v>0</v>
      </c>
    </row>
    <row r="1871" spans="1:3" ht="14.25" customHeight="true">
      <c r="A1871" s="60" t="s">
        <v>33344</v>
      </c>
      <c r="B1871" s="61">
        <v>0</v>
      </c>
      <c r="C1871" s="61">
        <v>0</v>
      </c>
    </row>
    <row r="1872" spans="1:3" ht="14.25" customHeight="true">
      <c r="A1872" s="60" t="s">
        <v>33345</v>
      </c>
      <c r="B1872" s="61">
        <v>0</v>
      </c>
      <c r="C1872" s="61">
        <v>0</v>
      </c>
    </row>
    <row r="1873" spans="1:3" ht="14.25" customHeight="true">
      <c r="A1873" s="60" t="s">
        <v>33346</v>
      </c>
      <c r="B1873" s="61">
        <v>0</v>
      </c>
      <c r="C1873" s="61">
        <v>0</v>
      </c>
    </row>
    <row r="1874" spans="1:3" ht="14.25" customHeight="true">
      <c r="A1874" s="60" t="s">
        <v>33347</v>
      </c>
      <c r="B1874" s="61">
        <v>0</v>
      </c>
      <c r="C1874" s="61">
        <v>0</v>
      </c>
    </row>
    <row r="1875" spans="1:3" ht="14.25" customHeight="true">
      <c r="A1875" s="60" t="s">
        <v>33348</v>
      </c>
      <c r="B1875" s="61">
        <v>0</v>
      </c>
      <c r="C1875" s="61">
        <v>0</v>
      </c>
    </row>
    <row r="1876" spans="1:3" ht="14.25" customHeight="true">
      <c r="A1876" s="60" t="s">
        <v>33349</v>
      </c>
      <c r="B1876" s="61">
        <v>0</v>
      </c>
      <c r="C1876" s="61">
        <v>0</v>
      </c>
    </row>
    <row r="1877" spans="1:3" ht="14.25" customHeight="true">
      <c r="A1877" s="60" t="s">
        <v>33350</v>
      </c>
      <c r="B1877" s="61">
        <v>0</v>
      </c>
      <c r="C1877" s="61">
        <v>0</v>
      </c>
    </row>
    <row r="1878" spans="1:3" ht="14.25" customHeight="true">
      <c r="A1878" s="60" t="s">
        <v>33351</v>
      </c>
      <c r="B1878" s="61">
        <v>0</v>
      </c>
      <c r="C1878" s="61">
        <v>0</v>
      </c>
    </row>
    <row r="1879" spans="1:3" ht="14.25" customHeight="true">
      <c r="A1879" s="60" t="s">
        <v>33352</v>
      </c>
      <c r="B1879" s="61">
        <v>0</v>
      </c>
      <c r="C1879" s="61">
        <v>0</v>
      </c>
    </row>
    <row r="1880" spans="1:3" ht="14.25" customHeight="true">
      <c r="A1880" s="60" t="s">
        <v>33353</v>
      </c>
      <c r="B1880" s="61">
        <v>0</v>
      </c>
      <c r="C1880" s="61">
        <v>0</v>
      </c>
    </row>
    <row r="1881" spans="1:3" ht="14.25" customHeight="true">
      <c r="A1881" s="60" t="s">
        <v>33354</v>
      </c>
      <c r="B1881" s="61">
        <v>0</v>
      </c>
      <c r="C1881" s="61">
        <v>0</v>
      </c>
    </row>
    <row r="1882" spans="1:3" ht="14.25" customHeight="true">
      <c r="A1882" s="60" t="s">
        <v>33355</v>
      </c>
      <c r="B1882" s="61">
        <v>0</v>
      </c>
      <c r="C1882" s="61">
        <v>0</v>
      </c>
    </row>
    <row r="1883" spans="1:3" ht="14.25" customHeight="true">
      <c r="A1883" s="60" t="s">
        <v>33356</v>
      </c>
      <c r="B1883" s="61">
        <v>0</v>
      </c>
      <c r="C1883" s="61">
        <v>0</v>
      </c>
    </row>
    <row r="1884" spans="1:3" ht="14.25" customHeight="true">
      <c r="A1884" s="60" t="s">
        <v>33357</v>
      </c>
      <c r="B1884" s="61">
        <v>0</v>
      </c>
      <c r="C1884" s="61">
        <v>0</v>
      </c>
    </row>
    <row r="1885" spans="1:3" ht="14.25" customHeight="true">
      <c r="A1885" s="60" t="s">
        <v>33358</v>
      </c>
      <c r="B1885" s="61">
        <v>0</v>
      </c>
      <c r="C1885" s="61">
        <v>0</v>
      </c>
    </row>
    <row r="1886" spans="1:3" ht="14.25" customHeight="true">
      <c r="A1886" s="60" t="s">
        <v>33359</v>
      </c>
      <c r="B1886" s="61">
        <v>0</v>
      </c>
      <c r="C1886" s="61">
        <v>0</v>
      </c>
    </row>
    <row r="1887" spans="1:3" ht="14.25" customHeight="true">
      <c r="A1887" s="60" t="s">
        <v>33360</v>
      </c>
      <c r="B1887" s="61">
        <v>0</v>
      </c>
      <c r="C1887" s="61">
        <v>0</v>
      </c>
    </row>
    <row r="1888" spans="1:3" ht="14.25" customHeight="true">
      <c r="A1888" s="60" t="s">
        <v>33361</v>
      </c>
      <c r="B1888" s="61">
        <v>0</v>
      </c>
      <c r="C1888" s="61">
        <v>0</v>
      </c>
    </row>
    <row r="1889" spans="1:3" ht="14.25" customHeight="true">
      <c r="A1889" s="60" t="s">
        <v>33362</v>
      </c>
      <c r="B1889" s="61">
        <v>0</v>
      </c>
      <c r="C1889" s="61">
        <v>0</v>
      </c>
    </row>
    <row r="1890" spans="1:3" ht="14.25" customHeight="true">
      <c r="A1890" s="60" t="s">
        <v>33363</v>
      </c>
      <c r="B1890" s="61">
        <v>0</v>
      </c>
      <c r="C1890" s="61">
        <v>0</v>
      </c>
    </row>
    <row r="1891" spans="1:3" ht="14.25" customHeight="true">
      <c r="A1891" s="60" t="s">
        <v>33364</v>
      </c>
      <c r="B1891" s="61">
        <v>0</v>
      </c>
      <c r="C1891" s="61">
        <v>0</v>
      </c>
    </row>
    <row r="1892" spans="1:3" ht="14.25" customHeight="true">
      <c r="A1892" s="60" t="s">
        <v>33365</v>
      </c>
      <c r="B1892" s="61">
        <v>0</v>
      </c>
      <c r="C1892" s="61">
        <v>0</v>
      </c>
    </row>
    <row r="1893" spans="1:3" ht="14.25" customHeight="true">
      <c r="A1893" s="60" t="s">
        <v>33366</v>
      </c>
      <c r="B1893" s="61">
        <v>0</v>
      </c>
      <c r="C1893" s="61">
        <v>0</v>
      </c>
    </row>
    <row r="1894" spans="1:3" ht="14.25" customHeight="true">
      <c r="A1894" s="60" t="s">
        <v>33367</v>
      </c>
      <c r="B1894" s="61">
        <v>0</v>
      </c>
      <c r="C1894" s="61">
        <v>0</v>
      </c>
    </row>
    <row r="1895" spans="1:3" ht="14.25" customHeight="true">
      <c r="A1895" s="60" t="s">
        <v>33368</v>
      </c>
      <c r="B1895" s="61">
        <v>0</v>
      </c>
      <c r="C1895" s="61">
        <v>0</v>
      </c>
    </row>
    <row r="1896" spans="1:3" ht="14.25" customHeight="true">
      <c r="A1896" s="60" t="s">
        <v>33369</v>
      </c>
      <c r="B1896" s="61">
        <v>0</v>
      </c>
      <c r="C1896" s="61">
        <v>0</v>
      </c>
    </row>
    <row r="1897" spans="1:3" ht="14.25" customHeight="true">
      <c r="A1897" s="60" t="s">
        <v>33370</v>
      </c>
      <c r="B1897" s="61">
        <v>0</v>
      </c>
      <c r="C1897" s="61">
        <v>0</v>
      </c>
    </row>
    <row r="1898" spans="1:3" ht="14.25" customHeight="true">
      <c r="A1898" s="60" t="s">
        <v>33371</v>
      </c>
      <c r="B1898" s="61">
        <v>0</v>
      </c>
      <c r="C1898" s="61">
        <v>0</v>
      </c>
    </row>
    <row r="1899" spans="1:3" ht="14.25" customHeight="true">
      <c r="A1899" s="60" t="s">
        <v>33372</v>
      </c>
      <c r="B1899" s="61">
        <v>0</v>
      </c>
      <c r="C1899" s="61">
        <v>0</v>
      </c>
    </row>
    <row r="1900" spans="1:3" ht="14.25" customHeight="true">
      <c r="A1900" s="60" t="s">
        <v>33373</v>
      </c>
      <c r="B1900" s="61">
        <v>0</v>
      </c>
      <c r="C1900" s="61">
        <v>0</v>
      </c>
    </row>
    <row r="1901" spans="1:3" ht="14.25" customHeight="true">
      <c r="A1901" s="60" t="s">
        <v>33374</v>
      </c>
      <c r="B1901" s="61">
        <v>0</v>
      </c>
      <c r="C1901" s="61">
        <v>-3160000</v>
      </c>
    </row>
    <row r="1902" spans="1:3" ht="14.25" customHeight="true">
      <c r="A1902" s="60" t="s">
        <v>33375</v>
      </c>
      <c r="B1902" s="61">
        <v>0</v>
      </c>
      <c r="C1902" s="61">
        <v>0</v>
      </c>
    </row>
    <row r="1903" spans="1:3" ht="14.25" customHeight="true">
      <c r="A1903" s="60" t="s">
        <v>33376</v>
      </c>
      <c r="B1903" s="61">
        <v>0</v>
      </c>
      <c r="C1903" s="61">
        <v>0</v>
      </c>
    </row>
    <row r="1904" spans="1:3" ht="14.25" customHeight="true">
      <c r="A1904" s="60" t="s">
        <v>33377</v>
      </c>
      <c r="B1904" s="61">
        <v>0</v>
      </c>
      <c r="C1904" s="61">
        <v>0</v>
      </c>
    </row>
    <row r="1905" spans="1:3" ht="14.25" customHeight="true">
      <c r="A1905" s="60" t="s">
        <v>33378</v>
      </c>
      <c r="B1905" s="61">
        <v>0</v>
      </c>
      <c r="C1905" s="61">
        <v>0</v>
      </c>
    </row>
    <row r="1906" spans="1:3" ht="14.25" customHeight="true">
      <c r="A1906" s="60" t="s">
        <v>33379</v>
      </c>
      <c r="B1906" s="61">
        <v>0</v>
      </c>
      <c r="C1906" s="61">
        <v>0</v>
      </c>
    </row>
    <row r="1907" spans="1:3" ht="14.25" customHeight="true">
      <c r="A1907" s="60" t="s">
        <v>33380</v>
      </c>
      <c r="B1907" s="61">
        <v>0</v>
      </c>
      <c r="C1907" s="61">
        <v>0</v>
      </c>
    </row>
    <row r="1908" spans="1:3" ht="14.25" customHeight="true">
      <c r="A1908" s="60" t="s">
        <v>33381</v>
      </c>
      <c r="B1908" s="61">
        <v>0</v>
      </c>
      <c r="C1908" s="61">
        <v>0</v>
      </c>
    </row>
    <row r="1909" spans="1:3" ht="14.25" customHeight="true">
      <c r="A1909" s="60" t="s">
        <v>33382</v>
      </c>
      <c r="B1909" s="61">
        <v>0</v>
      </c>
      <c r="C1909" s="61">
        <v>0</v>
      </c>
    </row>
    <row r="1910" spans="1:3" ht="14.25" customHeight="true">
      <c r="A1910" s="60" t="s">
        <v>33383</v>
      </c>
      <c r="B1910" s="61">
        <v>0</v>
      </c>
      <c r="C1910" s="61">
        <v>0</v>
      </c>
    </row>
    <row r="1911" spans="1:3" ht="14.25" customHeight="true">
      <c r="A1911" s="60" t="s">
        <v>33384</v>
      </c>
      <c r="B1911" s="61">
        <v>0</v>
      </c>
      <c r="C1911" s="61">
        <v>0</v>
      </c>
    </row>
    <row r="1912" spans="1:3" ht="14.25" customHeight="true">
      <c r="A1912" s="60" t="s">
        <v>33385</v>
      </c>
      <c r="B1912" s="61">
        <v>0</v>
      </c>
      <c r="C1912" s="61">
        <v>0</v>
      </c>
    </row>
    <row r="1913" spans="1:3" ht="14.25" customHeight="true">
      <c r="A1913" s="60" t="s">
        <v>33386</v>
      </c>
      <c r="B1913" s="61">
        <v>0</v>
      </c>
      <c r="C1913" s="61">
        <v>0</v>
      </c>
    </row>
    <row r="1914" spans="1:3" ht="14.25" customHeight="true">
      <c r="A1914" s="60" t="s">
        <v>33387</v>
      </c>
      <c r="B1914" s="61">
        <v>0</v>
      </c>
      <c r="C1914" s="61">
        <v>0</v>
      </c>
    </row>
    <row r="1915" spans="1:3" ht="14.25" customHeight="true">
      <c r="A1915" s="60" t="s">
        <v>33388</v>
      </c>
      <c r="B1915" s="61">
        <v>0</v>
      </c>
      <c r="C1915" s="61">
        <v>0</v>
      </c>
    </row>
    <row r="1916" spans="1:3" ht="14.25" customHeight="true">
      <c r="A1916" s="60" t="s">
        <v>33389</v>
      </c>
      <c r="B1916" s="61">
        <v>0</v>
      </c>
      <c r="C1916" s="61">
        <v>0</v>
      </c>
    </row>
    <row r="1917" spans="1:3" ht="14.25" customHeight="true">
      <c r="A1917" s="60" t="s">
        <v>33390</v>
      </c>
      <c r="B1917" s="61">
        <v>0</v>
      </c>
      <c r="C1917" s="61">
        <v>0</v>
      </c>
    </row>
    <row r="1918" spans="1:3" ht="14.25" customHeight="true">
      <c r="A1918" s="60" t="s">
        <v>33391</v>
      </c>
      <c r="B1918" s="61">
        <v>0</v>
      </c>
      <c r="C1918" s="61">
        <v>0</v>
      </c>
    </row>
    <row r="1919" spans="1:3" ht="14.25" customHeight="true">
      <c r="A1919" s="60" t="s">
        <v>33392</v>
      </c>
      <c r="B1919" s="61">
        <v>0</v>
      </c>
      <c r="C1919" s="61">
        <v>0</v>
      </c>
    </row>
    <row r="1920" spans="1:3" ht="14.25" customHeight="true">
      <c r="A1920" s="60" t="s">
        <v>33393</v>
      </c>
      <c r="B1920" s="61">
        <v>0</v>
      </c>
      <c r="C1920" s="61">
        <v>0</v>
      </c>
    </row>
    <row r="1921" spans="1:3" ht="14.25" customHeight="true">
      <c r="A1921" s="60" t="s">
        <v>33394</v>
      </c>
      <c r="B1921" s="61">
        <v>0</v>
      </c>
      <c r="C1921" s="61">
        <v>0</v>
      </c>
    </row>
    <row r="1922" spans="1:3" ht="14.25" customHeight="true">
      <c r="A1922" s="60" t="s">
        <v>33395</v>
      </c>
      <c r="B1922" s="61">
        <v>0</v>
      </c>
      <c r="C1922" s="61">
        <v>0</v>
      </c>
    </row>
    <row r="1923" spans="1:3" ht="14.25" customHeight="true">
      <c r="A1923" s="60" t="s">
        <v>33396</v>
      </c>
      <c r="B1923" s="61">
        <v>0</v>
      </c>
      <c r="C1923" s="61">
        <v>0</v>
      </c>
    </row>
    <row r="1924" spans="1:3" ht="14.25" customHeight="true">
      <c r="A1924" s="60" t="s">
        <v>33397</v>
      </c>
      <c r="B1924" s="61">
        <v>0</v>
      </c>
      <c r="C1924" s="61">
        <v>0</v>
      </c>
    </row>
    <row r="1925" spans="1:3" ht="14.25" customHeight="true">
      <c r="A1925" s="60" t="s">
        <v>33398</v>
      </c>
      <c r="B1925" s="61">
        <v>0</v>
      </c>
      <c r="C1925" s="61">
        <v>0</v>
      </c>
    </row>
    <row r="1926" spans="1:3" ht="14.25" customHeight="true">
      <c r="A1926" s="60" t="s">
        <v>33399</v>
      </c>
      <c r="B1926" s="61">
        <v>0</v>
      </c>
      <c r="C1926" s="61">
        <v>0</v>
      </c>
    </row>
    <row r="1927" spans="1:3" ht="14.25" customHeight="true">
      <c r="A1927" s="60" t="s">
        <v>33400</v>
      </c>
      <c r="B1927" s="61">
        <v>0</v>
      </c>
      <c r="C1927" s="61">
        <v>0</v>
      </c>
    </row>
    <row r="1928" spans="1:3" ht="14.25" customHeight="true">
      <c r="A1928" s="60" t="s">
        <v>33401</v>
      </c>
      <c r="B1928" s="61">
        <v>0</v>
      </c>
      <c r="C1928" s="61">
        <v>0</v>
      </c>
    </row>
    <row r="1929" spans="1:3" ht="14.25" customHeight="true">
      <c r="A1929" s="60" t="s">
        <v>33402</v>
      </c>
      <c r="B1929" s="61">
        <v>0</v>
      </c>
      <c r="C1929" s="61">
        <v>0</v>
      </c>
    </row>
    <row r="1930" spans="1:3" ht="14.25" customHeight="true">
      <c r="A1930" s="60" t="s">
        <v>33403</v>
      </c>
      <c r="B1930" s="61">
        <v>0</v>
      </c>
      <c r="C1930" s="61">
        <v>0</v>
      </c>
    </row>
    <row r="1931" spans="1:3" ht="14.25" customHeight="true">
      <c r="A1931" s="60" t="s">
        <v>33404</v>
      </c>
      <c r="B1931" s="61">
        <v>0</v>
      </c>
      <c r="C1931" s="61">
        <v>0</v>
      </c>
    </row>
    <row r="1932" spans="1:3" ht="14.25" customHeight="true">
      <c r="A1932" s="60" t="s">
        <v>33405</v>
      </c>
      <c r="B1932" s="61">
        <v>0</v>
      </c>
      <c r="C1932" s="61">
        <v>0</v>
      </c>
    </row>
    <row r="1933" spans="1:3" ht="14.25" customHeight="true">
      <c r="A1933" s="60" t="s">
        <v>33406</v>
      </c>
      <c r="B1933" s="61">
        <v>0</v>
      </c>
      <c r="C1933" s="61">
        <v>0</v>
      </c>
    </row>
    <row r="1934" spans="1:3" ht="14.25" customHeight="true">
      <c r="A1934" s="60" t="s">
        <v>33407</v>
      </c>
      <c r="B1934" s="61">
        <v>0</v>
      </c>
      <c r="C1934" s="61">
        <v>0</v>
      </c>
    </row>
    <row r="1935" spans="1:3" ht="14.25" customHeight="true">
      <c r="A1935" s="60" t="s">
        <v>33408</v>
      </c>
      <c r="B1935" s="61">
        <v>0</v>
      </c>
      <c r="C1935" s="61">
        <v>0</v>
      </c>
    </row>
    <row r="1936" spans="1:3" ht="14.25" customHeight="true">
      <c r="A1936" s="60" t="s">
        <v>33409</v>
      </c>
      <c r="B1936" s="61">
        <v>0</v>
      </c>
      <c r="C1936" s="61">
        <v>0</v>
      </c>
    </row>
    <row r="1937" spans="1:3" ht="14.25" customHeight="true">
      <c r="A1937" s="60" t="s">
        <v>33410</v>
      </c>
      <c r="B1937" s="61">
        <v>0</v>
      </c>
      <c r="C1937" s="61">
        <v>0</v>
      </c>
    </row>
    <row r="1938" spans="1:3" ht="14.25" customHeight="true">
      <c r="A1938" s="60" t="s">
        <v>33411</v>
      </c>
      <c r="B1938" s="61">
        <v>0</v>
      </c>
      <c r="C1938" s="61">
        <v>0</v>
      </c>
    </row>
    <row r="1939" spans="1:3" ht="14.25" customHeight="true">
      <c r="A1939" s="60" t="s">
        <v>33412</v>
      </c>
      <c r="B1939" s="61">
        <v>0</v>
      </c>
      <c r="C1939" s="61">
        <v>0</v>
      </c>
    </row>
    <row r="1940" spans="1:3" ht="14.25" customHeight="true">
      <c r="A1940" s="60" t="s">
        <v>33413</v>
      </c>
      <c r="B1940" s="61">
        <v>0</v>
      </c>
      <c r="C1940" s="61">
        <v>0</v>
      </c>
    </row>
    <row r="1941" spans="1:3" ht="14.25" customHeight="true">
      <c r="A1941" s="60" t="s">
        <v>33414</v>
      </c>
      <c r="B1941" s="61">
        <v>0</v>
      </c>
      <c r="C1941" s="61">
        <v>-568625</v>
      </c>
    </row>
    <row r="1942" spans="1:3" ht="14.25" customHeight="true">
      <c r="A1942" s="60" t="s">
        <v>33415</v>
      </c>
      <c r="B1942" s="61">
        <v>0</v>
      </c>
      <c r="C1942" s="61">
        <v>-5500000</v>
      </c>
    </row>
    <row r="1943" spans="1:3" ht="14.25" customHeight="true">
      <c r="A1943" s="60" t="s">
        <v>33416</v>
      </c>
      <c r="B1943" s="61">
        <v>0</v>
      </c>
      <c r="C1943" s="61">
        <v>0</v>
      </c>
    </row>
    <row r="1944" spans="1:3" ht="14.25" customHeight="true">
      <c r="A1944" s="60" t="s">
        <v>33417</v>
      </c>
      <c r="B1944" s="61">
        <v>0</v>
      </c>
      <c r="C1944" s="61">
        <v>0</v>
      </c>
    </row>
    <row r="1945" spans="1:3" ht="14.25" customHeight="true">
      <c r="A1945" s="60" t="s">
        <v>33418</v>
      </c>
      <c r="B1945" s="61">
        <v>0</v>
      </c>
      <c r="C1945" s="61">
        <v>0</v>
      </c>
    </row>
    <row r="1946" spans="1:3" ht="14.25" customHeight="true">
      <c r="A1946" s="60" t="s">
        <v>33419</v>
      </c>
      <c r="B1946" s="61">
        <v>0</v>
      </c>
      <c r="C1946" s="61">
        <v>0</v>
      </c>
    </row>
    <row r="1947" spans="1:3" ht="14.25" customHeight="true">
      <c r="A1947" s="60" t="s">
        <v>33420</v>
      </c>
      <c r="B1947" s="61">
        <v>0</v>
      </c>
      <c r="C1947" s="61">
        <v>0</v>
      </c>
    </row>
    <row r="1948" spans="1:3" ht="14.25" customHeight="true">
      <c r="A1948" s="60" t="s">
        <v>33421</v>
      </c>
      <c r="B1948" s="61">
        <v>0</v>
      </c>
      <c r="C1948" s="61">
        <v>0</v>
      </c>
    </row>
    <row r="1949" spans="1:3" ht="14.25" customHeight="true">
      <c r="A1949" s="60" t="s">
        <v>33422</v>
      </c>
      <c r="B1949" s="61">
        <v>0</v>
      </c>
      <c r="C1949" s="61">
        <v>0</v>
      </c>
    </row>
    <row r="1950" spans="1:3" ht="14.25" customHeight="true">
      <c r="A1950" s="60" t="s">
        <v>33423</v>
      </c>
      <c r="B1950" s="61">
        <v>0</v>
      </c>
      <c r="C1950" s="61">
        <v>0</v>
      </c>
    </row>
    <row r="1951" spans="1:3" ht="14.25" customHeight="true">
      <c r="A1951" s="60" t="s">
        <v>33424</v>
      </c>
      <c r="B1951" s="61">
        <v>0</v>
      </c>
      <c r="C1951" s="61">
        <v>0</v>
      </c>
    </row>
    <row r="1952" spans="1:3" ht="14.25" customHeight="true">
      <c r="A1952" s="60" t="s">
        <v>33425</v>
      </c>
      <c r="B1952" s="61">
        <v>0</v>
      </c>
      <c r="C1952" s="61">
        <v>0</v>
      </c>
    </row>
    <row r="1953" spans="1:3" ht="14.25" customHeight="true">
      <c r="A1953" s="60" t="s">
        <v>33426</v>
      </c>
      <c r="B1953" s="61">
        <v>0</v>
      </c>
      <c r="C1953" s="61">
        <v>0</v>
      </c>
    </row>
    <row r="1954" spans="1:3" ht="14.25" customHeight="true">
      <c r="A1954" s="60" t="s">
        <v>33427</v>
      </c>
      <c r="B1954" s="61">
        <v>0</v>
      </c>
      <c r="C1954" s="61">
        <v>0</v>
      </c>
    </row>
    <row r="1955" spans="1:3" ht="14.25" customHeight="true">
      <c r="A1955" s="60" t="s">
        <v>33428</v>
      </c>
      <c r="B1955" s="61">
        <v>0</v>
      </c>
      <c r="C1955" s="61">
        <v>0</v>
      </c>
    </row>
    <row r="1956" spans="1:3" ht="14.25" customHeight="true">
      <c r="A1956" s="60" t="s">
        <v>33429</v>
      </c>
      <c r="B1956" s="61">
        <v>0</v>
      </c>
      <c r="C1956" s="61">
        <v>0</v>
      </c>
    </row>
    <row r="1957" spans="1:3" ht="14.25" customHeight="true">
      <c r="A1957" s="60" t="s">
        <v>33430</v>
      </c>
      <c r="B1957" s="61">
        <v>0</v>
      </c>
      <c r="C1957" s="61">
        <v>0</v>
      </c>
    </row>
    <row r="1958" spans="1:3" ht="14.25" customHeight="true">
      <c r="A1958" s="60" t="s">
        <v>33431</v>
      </c>
      <c r="B1958" s="61">
        <v>0</v>
      </c>
      <c r="C1958" s="61">
        <v>0</v>
      </c>
    </row>
    <row r="1959" spans="1:3" ht="14.25" customHeight="true">
      <c r="A1959" s="60" t="s">
        <v>33432</v>
      </c>
      <c r="B1959" s="61">
        <v>0</v>
      </c>
      <c r="C1959" s="61">
        <v>0</v>
      </c>
    </row>
    <row r="1960" spans="1:3" ht="14.25" customHeight="true">
      <c r="A1960" s="60" t="s">
        <v>33433</v>
      </c>
      <c r="B1960" s="61">
        <v>0</v>
      </c>
      <c r="C1960" s="61">
        <v>0</v>
      </c>
    </row>
    <row r="1961" spans="1:3" ht="14.25" customHeight="true">
      <c r="A1961" s="60" t="s">
        <v>33434</v>
      </c>
      <c r="B1961" s="61">
        <v>0</v>
      </c>
      <c r="C1961" s="61">
        <v>0</v>
      </c>
    </row>
    <row r="1962" spans="1:3" ht="14.25" customHeight="true">
      <c r="A1962" s="60" t="s">
        <v>33435</v>
      </c>
      <c r="B1962" s="61">
        <v>0</v>
      </c>
      <c r="C1962" s="61">
        <v>0</v>
      </c>
    </row>
    <row r="1963" spans="1:3" ht="14.25" customHeight="true">
      <c r="A1963" s="60" t="s">
        <v>33436</v>
      </c>
      <c r="B1963" s="61">
        <v>0</v>
      </c>
      <c r="C1963" s="61">
        <v>0</v>
      </c>
    </row>
    <row r="1964" spans="1:3" ht="14.25" customHeight="true">
      <c r="A1964" s="60" t="s">
        <v>33437</v>
      </c>
      <c r="B1964" s="61">
        <v>0</v>
      </c>
      <c r="C1964" s="61">
        <v>0</v>
      </c>
    </row>
    <row r="1965" spans="1:3" ht="14.25" customHeight="true">
      <c r="A1965" s="60" t="s">
        <v>33438</v>
      </c>
      <c r="B1965" s="61">
        <v>0</v>
      </c>
      <c r="C1965" s="61">
        <v>0</v>
      </c>
    </row>
    <row r="1966" spans="1:3" ht="14.25" customHeight="true">
      <c r="A1966" s="60" t="s">
        <v>33439</v>
      </c>
      <c r="B1966" s="61">
        <v>0</v>
      </c>
      <c r="C1966" s="61">
        <v>0</v>
      </c>
    </row>
    <row r="1967" spans="1:3" ht="14.25" customHeight="true">
      <c r="A1967" s="60" t="s">
        <v>33440</v>
      </c>
      <c r="B1967" s="61">
        <v>0</v>
      </c>
      <c r="C1967" s="61">
        <v>0</v>
      </c>
    </row>
    <row r="1968" spans="1:3" ht="14.25" customHeight="true">
      <c r="A1968" s="60" t="s">
        <v>33441</v>
      </c>
      <c r="B1968" s="61">
        <v>0</v>
      </c>
      <c r="C1968" s="61">
        <v>0</v>
      </c>
    </row>
    <row r="1969" spans="1:3" ht="14.25" customHeight="true">
      <c r="A1969" s="60" t="s">
        <v>33442</v>
      </c>
      <c r="B1969" s="61">
        <v>0</v>
      </c>
      <c r="C1969" s="61">
        <v>0</v>
      </c>
    </row>
    <row r="1970" spans="1:3" ht="14.25" customHeight="true">
      <c r="A1970" s="60" t="s">
        <v>33443</v>
      </c>
      <c r="B1970" s="61">
        <v>0</v>
      </c>
      <c r="C1970" s="61">
        <v>0</v>
      </c>
    </row>
    <row r="1971" spans="1:3" ht="14.25" customHeight="true">
      <c r="A1971" s="60" t="s">
        <v>33444</v>
      </c>
      <c r="B1971" s="61">
        <v>0</v>
      </c>
      <c r="C1971" s="61">
        <v>0</v>
      </c>
    </row>
    <row r="1972" spans="1:3" ht="14.25" customHeight="true">
      <c r="A1972" s="60" t="s">
        <v>33445</v>
      </c>
      <c r="B1972" s="61">
        <v>0</v>
      </c>
      <c r="C1972" s="61">
        <v>0</v>
      </c>
    </row>
    <row r="1973" spans="1:3" ht="14.25" customHeight="true">
      <c r="A1973" s="60" t="s">
        <v>33446</v>
      </c>
      <c r="B1973" s="61">
        <v>0</v>
      </c>
      <c r="C1973" s="61">
        <v>0</v>
      </c>
    </row>
    <row r="1974" spans="1:3" ht="14.25" customHeight="true">
      <c r="A1974" s="60" t="s">
        <v>33447</v>
      </c>
      <c r="B1974" s="61">
        <v>0</v>
      </c>
      <c r="C1974" s="61">
        <v>0</v>
      </c>
    </row>
    <row r="1975" spans="1:3" ht="14.25" customHeight="true">
      <c r="A1975" s="60" t="s">
        <v>33448</v>
      </c>
      <c r="B1975" s="61">
        <v>0</v>
      </c>
      <c r="C1975" s="61">
        <v>0</v>
      </c>
    </row>
    <row r="1976" spans="1:3" ht="14.25" customHeight="true">
      <c r="A1976" s="60" t="s">
        <v>33449</v>
      </c>
      <c r="B1976" s="61">
        <v>0</v>
      </c>
      <c r="C1976" s="61">
        <v>0</v>
      </c>
    </row>
    <row r="1977" spans="1:3" ht="14.25" customHeight="true">
      <c r="A1977" s="60" t="s">
        <v>33450</v>
      </c>
      <c r="B1977" s="61">
        <v>0</v>
      </c>
      <c r="C1977" s="61">
        <v>0</v>
      </c>
    </row>
    <row r="1978" spans="1:3" ht="14.25" customHeight="true">
      <c r="A1978" s="60" t="s">
        <v>33451</v>
      </c>
      <c r="B1978" s="61">
        <v>0</v>
      </c>
      <c r="C1978" s="61">
        <v>0</v>
      </c>
    </row>
    <row r="1979" spans="1:3" ht="14.25" customHeight="true">
      <c r="A1979" s="60" t="s">
        <v>33452</v>
      </c>
      <c r="B1979" s="61">
        <v>0</v>
      </c>
      <c r="C1979" s="61">
        <v>0</v>
      </c>
    </row>
    <row r="1980" spans="1:3" ht="14.25" customHeight="true">
      <c r="A1980" s="60" t="s">
        <v>33453</v>
      </c>
      <c r="B1980" s="61">
        <v>0</v>
      </c>
      <c r="C1980" s="61">
        <v>0</v>
      </c>
    </row>
    <row r="1981" spans="1:3" ht="14.25" customHeight="true">
      <c r="A1981" s="60" t="s">
        <v>33454</v>
      </c>
      <c r="B1981" s="61">
        <v>0</v>
      </c>
      <c r="C1981" s="61">
        <v>0</v>
      </c>
    </row>
    <row r="1982" spans="1:3" ht="14.25" customHeight="true">
      <c r="A1982" s="60" t="s">
        <v>33455</v>
      </c>
      <c r="B1982" s="61">
        <v>0</v>
      </c>
      <c r="C1982" s="61">
        <v>0</v>
      </c>
    </row>
    <row r="1983" spans="1:3" ht="14.25" customHeight="true">
      <c r="A1983" s="60" t="s">
        <v>33456</v>
      </c>
      <c r="B1983" s="61">
        <v>0</v>
      </c>
      <c r="C1983" s="61">
        <v>0</v>
      </c>
    </row>
    <row r="1984" spans="1:3" ht="14.25" customHeight="true">
      <c r="A1984" s="60" t="s">
        <v>33457</v>
      </c>
      <c r="B1984" s="61">
        <v>0</v>
      </c>
      <c r="C1984" s="61">
        <v>0</v>
      </c>
    </row>
    <row r="1985" spans="1:3" ht="14.25" customHeight="true">
      <c r="A1985" s="60" t="s">
        <v>33458</v>
      </c>
      <c r="B1985" s="61">
        <v>0</v>
      </c>
      <c r="C1985" s="61">
        <v>0</v>
      </c>
    </row>
    <row r="1986" spans="1:3" ht="14.25" customHeight="true">
      <c r="A1986" s="60" t="s">
        <v>33459</v>
      </c>
      <c r="B1986" s="61">
        <v>0</v>
      </c>
      <c r="C1986" s="61">
        <v>0</v>
      </c>
    </row>
    <row r="1987" spans="1:3" ht="14.25" customHeight="true">
      <c r="A1987" s="60" t="s">
        <v>33460</v>
      </c>
      <c r="B1987" s="61">
        <v>0</v>
      </c>
      <c r="C1987" s="61">
        <v>0</v>
      </c>
    </row>
    <row r="1988" spans="1:3" ht="14.25" customHeight="true">
      <c r="A1988" s="60" t="s">
        <v>33461</v>
      </c>
      <c r="B1988" s="61">
        <v>0</v>
      </c>
      <c r="C1988" s="61">
        <v>0</v>
      </c>
    </row>
    <row r="1989" spans="1:3" ht="14.25" customHeight="true">
      <c r="A1989" s="60" t="s">
        <v>33462</v>
      </c>
      <c r="B1989" s="61">
        <v>0</v>
      </c>
      <c r="C1989" s="61">
        <v>0</v>
      </c>
    </row>
    <row r="1990" spans="1:3" ht="14.25" customHeight="true">
      <c r="A1990" s="60" t="s">
        <v>33463</v>
      </c>
      <c r="B1990" s="61">
        <v>0</v>
      </c>
      <c r="C1990" s="61">
        <v>0</v>
      </c>
    </row>
    <row r="1991" spans="1:3" ht="14.25" customHeight="true">
      <c r="A1991" s="60" t="s">
        <v>33464</v>
      </c>
      <c r="B1991" s="61">
        <v>0</v>
      </c>
      <c r="C1991" s="61">
        <v>0</v>
      </c>
    </row>
    <row r="1992" spans="1:3" ht="14.25" customHeight="true">
      <c r="A1992" s="60" t="s">
        <v>33465</v>
      </c>
      <c r="B1992" s="61">
        <v>0</v>
      </c>
      <c r="C1992" s="61">
        <v>0</v>
      </c>
    </row>
    <row r="1993" spans="1:3" ht="14.25" customHeight="true">
      <c r="A1993" s="60" t="s">
        <v>33466</v>
      </c>
      <c r="B1993" s="61">
        <v>0</v>
      </c>
      <c r="C1993" s="61">
        <v>0</v>
      </c>
    </row>
    <row r="1994" spans="1:3" ht="14.25" customHeight="true">
      <c r="A1994" s="60" t="s">
        <v>33467</v>
      </c>
      <c r="B1994" s="61">
        <v>0</v>
      </c>
      <c r="C1994" s="61">
        <v>0</v>
      </c>
    </row>
    <row r="1995" spans="1:3" ht="14.25" customHeight="true">
      <c r="A1995" s="60" t="s">
        <v>33468</v>
      </c>
      <c r="B1995" s="61">
        <v>0</v>
      </c>
      <c r="C1995" s="61">
        <v>0</v>
      </c>
    </row>
    <row r="1996" spans="1:3" ht="14.25" customHeight="true">
      <c r="A1996" s="60" t="s">
        <v>33469</v>
      </c>
      <c r="B1996" s="61">
        <v>0</v>
      </c>
      <c r="C1996" s="61">
        <v>0</v>
      </c>
    </row>
    <row r="1997" spans="1:3" ht="14.25" customHeight="true">
      <c r="A1997" s="60" t="s">
        <v>33470</v>
      </c>
      <c r="B1997" s="61">
        <v>0</v>
      </c>
      <c r="C1997" s="61">
        <v>0</v>
      </c>
    </row>
    <row r="1998" spans="1:3" ht="14.25" customHeight="true">
      <c r="A1998" s="60" t="s">
        <v>33471</v>
      </c>
      <c r="B1998" s="61">
        <v>0</v>
      </c>
      <c r="C1998" s="61">
        <v>0</v>
      </c>
    </row>
    <row r="1999" spans="1:3" ht="14.25" customHeight="true">
      <c r="A1999" s="60" t="s">
        <v>33472</v>
      </c>
      <c r="B1999" s="61">
        <v>0</v>
      </c>
      <c r="C1999" s="61">
        <v>0</v>
      </c>
    </row>
    <row r="2000" spans="1:3" ht="14.25" customHeight="true">
      <c r="A2000" s="60" t="s">
        <v>33473</v>
      </c>
      <c r="B2000" s="61">
        <v>0</v>
      </c>
      <c r="C2000" s="61">
        <v>0</v>
      </c>
    </row>
    <row r="2001" spans="1:3" ht="14.25" customHeight="true">
      <c r="A2001" s="60" t="s">
        <v>33474</v>
      </c>
      <c r="B2001" s="61">
        <v>0</v>
      </c>
      <c r="C2001" s="61">
        <v>0</v>
      </c>
    </row>
    <row r="2002" spans="1:3" ht="14.25" customHeight="true">
      <c r="A2002" s="60" t="s">
        <v>33475</v>
      </c>
      <c r="B2002" s="61">
        <v>0</v>
      </c>
      <c r="C2002" s="61">
        <v>0</v>
      </c>
    </row>
    <row r="2003" spans="1:3" ht="14.25" customHeight="true">
      <c r="A2003" s="60" t="s">
        <v>33476</v>
      </c>
      <c r="B2003" s="61">
        <v>0</v>
      </c>
      <c r="C2003" s="61">
        <v>0</v>
      </c>
    </row>
    <row r="2004" spans="1:3" ht="14.25" customHeight="true">
      <c r="A2004" s="60" t="s">
        <v>33477</v>
      </c>
      <c r="B2004" s="61">
        <v>-20000</v>
      </c>
      <c r="C2004" s="61">
        <v>-20000</v>
      </c>
    </row>
    <row r="2005" spans="1:3" ht="14.25" customHeight="true">
      <c r="A2005" s="60" t="s">
        <v>33478</v>
      </c>
      <c r="B2005" s="61">
        <v>0</v>
      </c>
      <c r="C2005" s="61">
        <v>0</v>
      </c>
    </row>
    <row r="2006" spans="1:3" ht="14.25" customHeight="true">
      <c r="A2006" s="60" t="s">
        <v>33479</v>
      </c>
      <c r="B2006" s="61">
        <v>0</v>
      </c>
      <c r="C2006" s="61">
        <v>0</v>
      </c>
    </row>
    <row r="2007" spans="1:3" ht="14.25" customHeight="true">
      <c r="A2007" s="60" t="s">
        <v>33480</v>
      </c>
      <c r="B2007" s="61">
        <v>0</v>
      </c>
      <c r="C2007" s="61">
        <v>0</v>
      </c>
    </row>
    <row r="2008" spans="1:3" ht="14.25" customHeight="true">
      <c r="A2008" s="60" t="s">
        <v>33481</v>
      </c>
      <c r="B2008" s="61">
        <v>0</v>
      </c>
      <c r="C2008" s="61">
        <v>0</v>
      </c>
    </row>
    <row r="2009" spans="1:3" ht="14.25" customHeight="true">
      <c r="A2009" s="60" t="s">
        <v>33482</v>
      </c>
      <c r="B2009" s="61">
        <v>0</v>
      </c>
      <c r="C2009" s="61">
        <v>0</v>
      </c>
    </row>
    <row r="2010" spans="1:3" ht="14.25" customHeight="true">
      <c r="A2010" s="60" t="s">
        <v>33483</v>
      </c>
      <c r="B2010" s="61">
        <v>0</v>
      </c>
      <c r="C2010" s="61">
        <v>0</v>
      </c>
    </row>
    <row r="2011" spans="1:3" ht="14.25" customHeight="true">
      <c r="A2011" s="60" t="s">
        <v>33484</v>
      </c>
      <c r="B2011" s="61">
        <v>0</v>
      </c>
      <c r="C2011" s="61">
        <v>0</v>
      </c>
    </row>
    <row r="2012" spans="1:3" ht="14.25" customHeight="true">
      <c r="A2012" s="60" t="s">
        <v>33485</v>
      </c>
      <c r="B2012" s="61">
        <v>0</v>
      </c>
      <c r="C2012" s="61">
        <v>0</v>
      </c>
    </row>
    <row r="2013" spans="1:3" ht="14.25" customHeight="true">
      <c r="A2013" s="60" t="s">
        <v>33486</v>
      </c>
      <c r="B2013" s="61">
        <v>0</v>
      </c>
      <c r="C2013" s="61">
        <v>0</v>
      </c>
    </row>
    <row r="2014" spans="1:3" ht="14.25" customHeight="true">
      <c r="A2014" s="60" t="s">
        <v>33487</v>
      </c>
      <c r="B2014" s="61">
        <v>0</v>
      </c>
      <c r="C2014" s="61">
        <v>0</v>
      </c>
    </row>
    <row r="2015" spans="1:3" ht="14.25" customHeight="true">
      <c r="A2015" s="60" t="s">
        <v>33488</v>
      </c>
      <c r="B2015" s="61">
        <v>0</v>
      </c>
      <c r="C2015" s="61">
        <v>0</v>
      </c>
    </row>
    <row r="2016" spans="1:3" ht="14.25" customHeight="true">
      <c r="A2016" s="60" t="s">
        <v>33489</v>
      </c>
      <c r="B2016" s="61">
        <v>0</v>
      </c>
      <c r="C2016" s="61">
        <v>0</v>
      </c>
    </row>
    <row r="2017" spans="1:3" ht="14.25" customHeight="true">
      <c r="A2017" s="60" t="s">
        <v>33490</v>
      </c>
      <c r="B2017" s="61">
        <v>0</v>
      </c>
      <c r="C2017" s="61">
        <v>0</v>
      </c>
    </row>
    <row r="2018" spans="1:3" ht="14.25" customHeight="true">
      <c r="A2018" s="60" t="s">
        <v>33491</v>
      </c>
      <c r="B2018" s="61">
        <v>0</v>
      </c>
      <c r="C2018" s="61">
        <v>0</v>
      </c>
    </row>
    <row r="2019" spans="1:3" ht="14.25" customHeight="true">
      <c r="A2019" s="60" t="s">
        <v>33492</v>
      </c>
      <c r="B2019" s="61">
        <v>0</v>
      </c>
      <c r="C2019" s="61">
        <v>0</v>
      </c>
    </row>
    <row r="2020" spans="1:3" ht="14.25" customHeight="true">
      <c r="A2020" s="60" t="s">
        <v>33493</v>
      </c>
      <c r="B2020" s="61">
        <v>0</v>
      </c>
      <c r="C2020" s="61">
        <v>0</v>
      </c>
    </row>
    <row r="2021" spans="1:3" ht="14.25" customHeight="true">
      <c r="A2021" s="60" t="s">
        <v>33494</v>
      </c>
      <c r="B2021" s="61">
        <v>0</v>
      </c>
      <c r="C2021" s="61">
        <v>0</v>
      </c>
    </row>
    <row r="2022" spans="1:3" ht="14.25" customHeight="true">
      <c r="A2022" s="60" t="s">
        <v>33495</v>
      </c>
      <c r="B2022" s="61">
        <v>0</v>
      </c>
      <c r="C2022" s="61">
        <v>0</v>
      </c>
    </row>
    <row r="2023" spans="1:3" ht="14.25" customHeight="true">
      <c r="A2023" s="60" t="s">
        <v>33496</v>
      </c>
      <c r="B2023" s="61">
        <v>0</v>
      </c>
      <c r="C2023" s="61">
        <v>-2442000</v>
      </c>
    </row>
    <row r="2024" spans="1:3" ht="14.25" customHeight="true">
      <c r="A2024" s="60" t="s">
        <v>33497</v>
      </c>
      <c r="B2024" s="61">
        <v>0</v>
      </c>
      <c r="C2024" s="61">
        <v>0</v>
      </c>
    </row>
    <row r="2025" spans="1:3" ht="14.25" customHeight="true">
      <c r="A2025" s="60" t="s">
        <v>33498</v>
      </c>
      <c r="B2025" s="61">
        <v>0</v>
      </c>
      <c r="C2025" s="61">
        <v>0</v>
      </c>
    </row>
    <row r="2026" spans="1:3" ht="14.25" customHeight="true">
      <c r="A2026" s="60" t="s">
        <v>33499</v>
      </c>
      <c r="B2026" s="61">
        <v>0</v>
      </c>
      <c r="C2026" s="61">
        <v>0</v>
      </c>
    </row>
    <row r="2027" spans="1:3" ht="14.25" customHeight="true">
      <c r="A2027" s="60" t="s">
        <v>33500</v>
      </c>
      <c r="B2027" s="61">
        <v>0</v>
      </c>
      <c r="C2027" s="61">
        <v>0</v>
      </c>
    </row>
    <row r="2028" spans="1:3" ht="14.25" customHeight="true">
      <c r="A2028" s="60" t="s">
        <v>33501</v>
      </c>
      <c r="B2028" s="61">
        <v>0</v>
      </c>
      <c r="C2028" s="61">
        <v>0</v>
      </c>
    </row>
    <row r="2029" spans="1:3" ht="14.25" customHeight="true">
      <c r="A2029" s="60" t="s">
        <v>33502</v>
      </c>
      <c r="B2029" s="61">
        <v>0</v>
      </c>
      <c r="C2029" s="61">
        <v>0</v>
      </c>
    </row>
    <row r="2030" spans="1:3" ht="14.25" customHeight="true">
      <c r="A2030" s="60" t="s">
        <v>33503</v>
      </c>
      <c r="B2030" s="61">
        <v>0</v>
      </c>
      <c r="C2030" s="61">
        <v>0</v>
      </c>
    </row>
    <row r="2031" spans="1:3" ht="14.25" customHeight="true">
      <c r="A2031" s="60" t="s">
        <v>33504</v>
      </c>
      <c r="B2031" s="61">
        <v>0</v>
      </c>
      <c r="C2031" s="61">
        <v>0</v>
      </c>
    </row>
    <row r="2032" spans="1:3" ht="14.25" customHeight="true">
      <c r="A2032" s="60" t="s">
        <v>33505</v>
      </c>
      <c r="B2032" s="61">
        <v>0</v>
      </c>
      <c r="C2032" s="61">
        <v>0</v>
      </c>
    </row>
    <row r="2033" spans="1:3" ht="14.25" customHeight="true">
      <c r="A2033" s="60" t="s">
        <v>33506</v>
      </c>
      <c r="B2033" s="61">
        <v>0</v>
      </c>
      <c r="C2033" s="61">
        <v>0</v>
      </c>
    </row>
    <row r="2034" spans="1:3" ht="14.25" customHeight="true">
      <c r="A2034" s="60" t="s">
        <v>33507</v>
      </c>
      <c r="B2034" s="61">
        <v>0</v>
      </c>
      <c r="C2034" s="61">
        <v>0</v>
      </c>
    </row>
    <row r="2035" spans="1:3" ht="14.25" customHeight="true">
      <c r="A2035" s="60" t="s">
        <v>33508</v>
      </c>
      <c r="B2035" s="61">
        <v>0</v>
      </c>
      <c r="C2035" s="61">
        <v>0</v>
      </c>
    </row>
    <row r="2036" spans="1:3" ht="14.25" customHeight="true">
      <c r="A2036" s="60" t="s">
        <v>33509</v>
      </c>
      <c r="B2036" s="61">
        <v>0</v>
      </c>
      <c r="C2036" s="61">
        <v>0</v>
      </c>
    </row>
    <row r="2037" spans="1:3" ht="14.25" customHeight="true">
      <c r="A2037" s="60" t="s">
        <v>33510</v>
      </c>
      <c r="B2037" s="61">
        <v>0</v>
      </c>
      <c r="C2037" s="61">
        <v>0</v>
      </c>
    </row>
    <row r="2038" spans="1:3" ht="14.25" customHeight="true">
      <c r="A2038" s="60" t="s">
        <v>33511</v>
      </c>
      <c r="B2038" s="61">
        <v>0</v>
      </c>
      <c r="C2038" s="61">
        <v>0</v>
      </c>
    </row>
    <row r="2039" spans="1:3" ht="14.25" customHeight="true">
      <c r="A2039" s="60" t="s">
        <v>33512</v>
      </c>
      <c r="B2039" s="61">
        <v>0</v>
      </c>
      <c r="C2039" s="61">
        <v>0</v>
      </c>
    </row>
    <row r="2040" spans="1:3" ht="14.25" customHeight="true">
      <c r="A2040" s="60" t="s">
        <v>33513</v>
      </c>
      <c r="B2040" s="61">
        <v>0</v>
      </c>
      <c r="C2040" s="61">
        <v>0</v>
      </c>
    </row>
    <row r="2041" spans="1:3" ht="14.25" customHeight="true">
      <c r="A2041" s="60" t="s">
        <v>33514</v>
      </c>
      <c r="B2041" s="61">
        <v>0</v>
      </c>
      <c r="C2041" s="61">
        <v>0</v>
      </c>
    </row>
    <row r="2042" spans="1:3" ht="14.25" customHeight="true">
      <c r="A2042" s="60" t="s">
        <v>33515</v>
      </c>
      <c r="B2042" s="61">
        <v>0</v>
      </c>
      <c r="C2042" s="61">
        <v>0</v>
      </c>
    </row>
    <row r="2043" spans="1:3" ht="14.25" customHeight="true">
      <c r="A2043" s="60" t="s">
        <v>33516</v>
      </c>
      <c r="B2043" s="61">
        <v>0</v>
      </c>
      <c r="C2043" s="61">
        <v>0</v>
      </c>
    </row>
    <row r="2044" spans="1:3" ht="14.25" customHeight="true">
      <c r="A2044" s="60" t="s">
        <v>33517</v>
      </c>
      <c r="B2044" s="61">
        <v>0</v>
      </c>
      <c r="C2044" s="61">
        <v>0</v>
      </c>
    </row>
    <row r="2045" spans="1:3" ht="14.25" customHeight="true">
      <c r="A2045" s="60" t="s">
        <v>33518</v>
      </c>
      <c r="B2045" s="61">
        <v>0</v>
      </c>
      <c r="C2045" s="61">
        <v>0</v>
      </c>
    </row>
    <row r="2046" spans="1:3" ht="14.25" customHeight="true">
      <c r="A2046" s="60" t="s">
        <v>33519</v>
      </c>
      <c r="B2046" s="61">
        <v>0</v>
      </c>
      <c r="C2046" s="61">
        <v>0</v>
      </c>
    </row>
    <row r="2047" spans="1:3" ht="14.25" customHeight="true">
      <c r="A2047" s="60" t="s">
        <v>33520</v>
      </c>
      <c r="B2047" s="61">
        <v>0</v>
      </c>
      <c r="C2047" s="61">
        <v>0</v>
      </c>
    </row>
    <row r="2048" spans="1:3" ht="14.25" customHeight="true">
      <c r="A2048" s="60" t="s">
        <v>33521</v>
      </c>
      <c r="B2048" s="61">
        <v>0</v>
      </c>
      <c r="C2048" s="61">
        <v>0</v>
      </c>
    </row>
    <row r="2049" spans="1:3" ht="14.25" customHeight="true">
      <c r="A2049" s="60" t="s">
        <v>33522</v>
      </c>
      <c r="B2049" s="61">
        <v>0</v>
      </c>
      <c r="C2049" s="61">
        <v>0</v>
      </c>
    </row>
    <row r="2050" spans="1:3" ht="14.25" customHeight="true">
      <c r="A2050" s="60" t="s">
        <v>33523</v>
      </c>
      <c r="B2050" s="61">
        <v>0</v>
      </c>
      <c r="C2050" s="61">
        <v>0</v>
      </c>
    </row>
    <row r="2051" spans="1:3" ht="14.25" customHeight="true">
      <c r="A2051" s="60" t="s">
        <v>33524</v>
      </c>
      <c r="B2051" s="61">
        <v>0</v>
      </c>
      <c r="C2051" s="61">
        <v>0</v>
      </c>
    </row>
    <row r="2052" spans="1:3" ht="14.25" customHeight="true">
      <c r="A2052" s="60" t="s">
        <v>33525</v>
      </c>
      <c r="B2052" s="61">
        <v>0</v>
      </c>
      <c r="C2052" s="61">
        <v>0</v>
      </c>
    </row>
    <row r="2053" spans="1:3" ht="14.25" customHeight="true">
      <c r="A2053" s="60" t="s">
        <v>33526</v>
      </c>
      <c r="B2053" s="61">
        <v>0</v>
      </c>
      <c r="C2053" s="61">
        <v>0</v>
      </c>
    </row>
    <row r="2054" spans="1:3" ht="14.25" customHeight="true">
      <c r="A2054" s="60" t="s">
        <v>33527</v>
      </c>
      <c r="B2054" s="61">
        <v>0</v>
      </c>
      <c r="C2054" s="61">
        <v>0</v>
      </c>
    </row>
    <row r="2055" spans="1:3" ht="14.25" customHeight="true">
      <c r="A2055" s="60" t="s">
        <v>33528</v>
      </c>
      <c r="B2055" s="61">
        <v>0</v>
      </c>
      <c r="C2055" s="61">
        <v>0</v>
      </c>
    </row>
    <row r="2056" spans="1:3" ht="14.25" customHeight="true">
      <c r="A2056" s="60" t="s">
        <v>33529</v>
      </c>
      <c r="B2056" s="61">
        <v>0</v>
      </c>
      <c r="C2056" s="61">
        <v>0</v>
      </c>
    </row>
    <row r="2057" spans="1:3" ht="14.25" customHeight="true">
      <c r="A2057" s="60" t="s">
        <v>33530</v>
      </c>
      <c r="B2057" s="61">
        <v>0</v>
      </c>
      <c r="C2057" s="61">
        <v>0</v>
      </c>
    </row>
    <row r="2058" spans="1:3" ht="14.25" customHeight="true">
      <c r="A2058" s="60" t="s">
        <v>33531</v>
      </c>
      <c r="B2058" s="61">
        <v>0</v>
      </c>
      <c r="C2058" s="61">
        <v>0</v>
      </c>
    </row>
    <row r="2059" spans="1:3" ht="14.25" customHeight="true">
      <c r="A2059" s="60" t="s">
        <v>33532</v>
      </c>
      <c r="B2059" s="61">
        <v>0</v>
      </c>
      <c r="C2059" s="61">
        <v>0</v>
      </c>
    </row>
    <row r="2060" spans="1:3" ht="14.25" customHeight="true">
      <c r="A2060" s="60" t="s">
        <v>33533</v>
      </c>
      <c r="B2060" s="61">
        <v>0</v>
      </c>
      <c r="C2060" s="61">
        <v>0</v>
      </c>
    </row>
    <row r="2061" spans="1:3" ht="14.25" customHeight="true">
      <c r="A2061" s="60" t="s">
        <v>33534</v>
      </c>
      <c r="B2061" s="61">
        <v>0</v>
      </c>
      <c r="C2061" s="61">
        <v>0</v>
      </c>
    </row>
    <row r="2062" spans="1:3" ht="14.25" customHeight="true">
      <c r="A2062" s="60" t="s">
        <v>33535</v>
      </c>
      <c r="B2062" s="61">
        <v>0</v>
      </c>
      <c r="C2062" s="61">
        <v>0</v>
      </c>
    </row>
    <row r="2063" spans="1:3" ht="14.25" customHeight="true">
      <c r="A2063" s="60" t="s">
        <v>33536</v>
      </c>
      <c r="B2063" s="61">
        <v>0</v>
      </c>
      <c r="C2063" s="61">
        <v>0</v>
      </c>
    </row>
    <row r="2064" spans="1:3" ht="14.25" customHeight="true">
      <c r="A2064" s="60" t="s">
        <v>33537</v>
      </c>
      <c r="B2064" s="61">
        <v>0</v>
      </c>
      <c r="C2064" s="61">
        <v>0</v>
      </c>
    </row>
    <row r="2065" spans="1:3" ht="14.25" customHeight="true">
      <c r="A2065" s="60" t="s">
        <v>33538</v>
      </c>
      <c r="B2065" s="61">
        <v>0</v>
      </c>
      <c r="C2065" s="61">
        <v>0</v>
      </c>
    </row>
    <row r="2066" spans="1:3" ht="14.25" customHeight="true">
      <c r="A2066" s="60" t="s">
        <v>33539</v>
      </c>
      <c r="B2066" s="61">
        <v>0</v>
      </c>
      <c r="C2066" s="61">
        <v>0</v>
      </c>
    </row>
    <row r="2067" spans="1:3" ht="14.25" customHeight="true">
      <c r="A2067" s="60" t="s">
        <v>33540</v>
      </c>
      <c r="B2067" s="61">
        <v>0</v>
      </c>
      <c r="C2067" s="61">
        <v>0</v>
      </c>
    </row>
    <row r="2068" spans="1:3" ht="14.25" customHeight="true">
      <c r="A2068" s="60" t="s">
        <v>33541</v>
      </c>
      <c r="B2068" s="61">
        <v>0</v>
      </c>
      <c r="C2068" s="61">
        <v>0</v>
      </c>
    </row>
    <row r="2069" spans="1:3" ht="14.25" customHeight="true">
      <c r="A2069" s="60" t="s">
        <v>33542</v>
      </c>
      <c r="B2069" s="61">
        <v>0</v>
      </c>
      <c r="C2069" s="61">
        <v>0</v>
      </c>
    </row>
    <row r="2070" spans="1:3" ht="14.25" customHeight="true">
      <c r="A2070" s="60" t="s">
        <v>33543</v>
      </c>
      <c r="B2070" s="61">
        <v>0</v>
      </c>
      <c r="C2070" s="61">
        <v>0</v>
      </c>
    </row>
    <row r="2071" spans="1:3" ht="14.25" customHeight="true">
      <c r="A2071" s="60" t="s">
        <v>33544</v>
      </c>
      <c r="B2071" s="61">
        <v>0</v>
      </c>
      <c r="C2071" s="61">
        <v>0</v>
      </c>
    </row>
    <row r="2072" spans="1:3" ht="14.25" customHeight="true">
      <c r="A2072" s="60" t="s">
        <v>33545</v>
      </c>
      <c r="B2072" s="61">
        <v>0</v>
      </c>
      <c r="C2072" s="61">
        <v>0</v>
      </c>
    </row>
    <row r="2073" spans="1:3" ht="14.25" customHeight="true">
      <c r="A2073" s="60" t="s">
        <v>33546</v>
      </c>
      <c r="B2073" s="61">
        <v>0</v>
      </c>
      <c r="C2073" s="61">
        <v>0</v>
      </c>
    </row>
    <row r="2074" spans="1:3" ht="14.25" customHeight="true">
      <c r="A2074" s="60" t="s">
        <v>33547</v>
      </c>
      <c r="B2074" s="61">
        <v>0</v>
      </c>
      <c r="C2074" s="61">
        <v>0</v>
      </c>
    </row>
    <row r="2075" spans="1:3" ht="14.25" customHeight="true">
      <c r="A2075" s="60" t="s">
        <v>33548</v>
      </c>
      <c r="B2075" s="61">
        <v>0</v>
      </c>
      <c r="C2075" s="61">
        <v>0</v>
      </c>
    </row>
    <row r="2076" spans="1:3" ht="14.25" customHeight="true">
      <c r="A2076" s="60" t="s">
        <v>33549</v>
      </c>
      <c r="B2076" s="61">
        <v>0</v>
      </c>
      <c r="C2076" s="61">
        <v>0</v>
      </c>
    </row>
    <row r="2077" spans="1:3" ht="14.25" customHeight="true">
      <c r="A2077" s="60" t="s">
        <v>33550</v>
      </c>
      <c r="B2077" s="61">
        <v>0</v>
      </c>
      <c r="C2077" s="61">
        <v>0</v>
      </c>
    </row>
    <row r="2078" spans="1:3" ht="14.25" customHeight="true">
      <c r="A2078" s="60" t="s">
        <v>33551</v>
      </c>
      <c r="B2078" s="61">
        <v>0</v>
      </c>
      <c r="C2078" s="61">
        <v>0</v>
      </c>
    </row>
    <row r="2079" spans="1:3" ht="14.25" customHeight="true">
      <c r="A2079" s="60" t="s">
        <v>33552</v>
      </c>
      <c r="B2079" s="61">
        <v>0</v>
      </c>
      <c r="C2079" s="61">
        <v>0</v>
      </c>
    </row>
    <row r="2080" spans="1:3" ht="14.25" customHeight="true">
      <c r="A2080" s="60" t="s">
        <v>33553</v>
      </c>
      <c r="B2080" s="61">
        <v>0</v>
      </c>
      <c r="C2080" s="61">
        <v>0</v>
      </c>
    </row>
    <row r="2081" spans="1:3" ht="14.25" customHeight="true">
      <c r="A2081" s="60" t="s">
        <v>33554</v>
      </c>
      <c r="B2081" s="61">
        <v>0</v>
      </c>
      <c r="C2081" s="61">
        <v>0</v>
      </c>
    </row>
    <row r="2082" spans="1:3" ht="14.25" customHeight="true">
      <c r="A2082" s="60" t="s">
        <v>33555</v>
      </c>
      <c r="B2082" s="61">
        <v>0</v>
      </c>
      <c r="C2082" s="61">
        <v>0</v>
      </c>
    </row>
    <row r="2083" spans="1:3" ht="14.25" customHeight="true">
      <c r="A2083" s="60" t="s">
        <v>33556</v>
      </c>
      <c r="B2083" s="61">
        <v>0</v>
      </c>
      <c r="C2083" s="61">
        <v>0</v>
      </c>
    </row>
    <row r="2084" spans="1:3" ht="14.25" customHeight="true">
      <c r="A2084" s="60" t="s">
        <v>33557</v>
      </c>
      <c r="B2084" s="61">
        <v>0</v>
      </c>
      <c r="C2084" s="61">
        <v>0</v>
      </c>
    </row>
    <row r="2085" spans="1:3" ht="14.25" customHeight="true">
      <c r="A2085" s="60" t="s">
        <v>33558</v>
      </c>
      <c r="B2085" s="61">
        <v>0</v>
      </c>
      <c r="C2085" s="61">
        <v>0</v>
      </c>
    </row>
    <row r="2086" spans="1:3" ht="14.25" customHeight="true">
      <c r="A2086" s="60" t="s">
        <v>33559</v>
      </c>
      <c r="B2086" s="61">
        <v>0</v>
      </c>
      <c r="C2086" s="61">
        <v>0</v>
      </c>
    </row>
    <row r="2087" spans="1:3" ht="14.25" customHeight="true">
      <c r="A2087" s="60" t="s">
        <v>33560</v>
      </c>
      <c r="B2087" s="61">
        <v>0</v>
      </c>
      <c r="C2087" s="61">
        <v>0</v>
      </c>
    </row>
    <row r="2088" spans="1:3" ht="14.25" customHeight="true">
      <c r="A2088" s="60" t="s">
        <v>33561</v>
      </c>
      <c r="B2088" s="61">
        <v>0</v>
      </c>
      <c r="C2088" s="61">
        <v>0</v>
      </c>
    </row>
    <row r="2089" spans="1:3" ht="14.25" customHeight="true">
      <c r="A2089" s="60" t="s">
        <v>33562</v>
      </c>
      <c r="B2089" s="61">
        <v>0</v>
      </c>
      <c r="C2089" s="61">
        <v>0</v>
      </c>
    </row>
    <row r="2090" spans="1:3" ht="14.25" customHeight="true">
      <c r="A2090" s="60" t="s">
        <v>33563</v>
      </c>
      <c r="B2090" s="61">
        <v>0</v>
      </c>
      <c r="C2090" s="61">
        <v>0</v>
      </c>
    </row>
    <row r="2091" spans="1:3" ht="14.25" customHeight="true">
      <c r="A2091" s="60" t="s">
        <v>33564</v>
      </c>
      <c r="B2091" s="61">
        <v>0</v>
      </c>
      <c r="C2091" s="61">
        <v>0</v>
      </c>
    </row>
    <row r="2092" spans="1:3" ht="14.25" customHeight="true">
      <c r="A2092" s="60" t="s">
        <v>33565</v>
      </c>
      <c r="B2092" s="61">
        <v>0</v>
      </c>
      <c r="C2092" s="61">
        <v>0</v>
      </c>
    </row>
    <row r="2093" spans="1:3" ht="14.25" customHeight="true">
      <c r="A2093" s="60" t="s">
        <v>33566</v>
      </c>
      <c r="B2093" s="61">
        <v>0</v>
      </c>
      <c r="C2093" s="61">
        <v>0</v>
      </c>
    </row>
    <row r="2094" spans="1:3" ht="14.25" customHeight="true">
      <c r="A2094" s="60" t="s">
        <v>33567</v>
      </c>
      <c r="B2094" s="61">
        <v>0</v>
      </c>
      <c r="C2094" s="61">
        <v>0</v>
      </c>
    </row>
    <row r="2095" spans="1:3" ht="14.25" customHeight="true">
      <c r="A2095" s="60" t="s">
        <v>33568</v>
      </c>
      <c r="B2095" s="61">
        <v>0</v>
      </c>
      <c r="C2095" s="61">
        <v>0</v>
      </c>
    </row>
    <row r="2096" spans="1:3" ht="14.25" customHeight="true">
      <c r="A2096" s="60" t="s">
        <v>33569</v>
      </c>
      <c r="B2096" s="61">
        <v>0</v>
      </c>
      <c r="C2096" s="61">
        <v>0</v>
      </c>
    </row>
    <row r="2097" spans="1:3" ht="14.25" customHeight="true">
      <c r="A2097" s="60" t="s">
        <v>33570</v>
      </c>
      <c r="B2097" s="61">
        <v>0</v>
      </c>
      <c r="C2097" s="61">
        <v>0</v>
      </c>
    </row>
    <row r="2098" spans="1:3" ht="14.25" customHeight="true">
      <c r="A2098" s="60" t="s">
        <v>33571</v>
      </c>
      <c r="B2098" s="61">
        <v>0</v>
      </c>
      <c r="C2098" s="61">
        <v>0</v>
      </c>
    </row>
    <row r="2099" spans="1:3" ht="14.25" customHeight="true">
      <c r="A2099" s="60" t="s">
        <v>33572</v>
      </c>
      <c r="B2099" s="61">
        <v>0</v>
      </c>
      <c r="C2099" s="61">
        <v>0</v>
      </c>
    </row>
    <row r="2100" spans="1:3" ht="14.25" customHeight="true">
      <c r="A2100" s="60" t="s">
        <v>33573</v>
      </c>
      <c r="B2100" s="61">
        <v>0</v>
      </c>
      <c r="C2100" s="61">
        <v>0</v>
      </c>
    </row>
    <row r="2101" spans="1:3" ht="14.25" customHeight="true">
      <c r="A2101" s="60" t="s">
        <v>33574</v>
      </c>
      <c r="B2101" s="61">
        <v>0</v>
      </c>
      <c r="C2101" s="61">
        <v>0</v>
      </c>
    </row>
    <row r="2102" spans="1:3" ht="14.25" customHeight="true">
      <c r="A2102" s="60" t="s">
        <v>33575</v>
      </c>
      <c r="B2102" s="61">
        <v>0</v>
      </c>
      <c r="C2102" s="61">
        <v>0</v>
      </c>
    </row>
    <row r="2103" spans="1:3" ht="14.25" customHeight="true">
      <c r="A2103" s="60" t="s">
        <v>33576</v>
      </c>
      <c r="B2103" s="61">
        <v>0</v>
      </c>
      <c r="C2103" s="61">
        <v>0</v>
      </c>
    </row>
    <row r="2104" spans="1:3" ht="14.25" customHeight="true">
      <c r="A2104" s="60" t="s">
        <v>33577</v>
      </c>
      <c r="B2104" s="61">
        <v>0</v>
      </c>
      <c r="C2104" s="61">
        <v>0</v>
      </c>
    </row>
    <row r="2105" spans="1:3" ht="14.25" customHeight="true">
      <c r="A2105" s="60" t="s">
        <v>33578</v>
      </c>
      <c r="B2105" s="61">
        <v>0</v>
      </c>
      <c r="C2105" s="61">
        <v>0</v>
      </c>
    </row>
    <row r="2106" spans="1:3" ht="14.25" customHeight="true">
      <c r="A2106" s="60" t="s">
        <v>33579</v>
      </c>
      <c r="B2106" s="61">
        <v>0</v>
      </c>
      <c r="C2106" s="61">
        <v>0</v>
      </c>
    </row>
    <row r="2107" spans="1:3" ht="14.25" customHeight="true">
      <c r="A2107" s="60" t="s">
        <v>33580</v>
      </c>
      <c r="B2107" s="61">
        <v>0</v>
      </c>
      <c r="C2107" s="61">
        <v>0</v>
      </c>
    </row>
    <row r="2108" spans="1:3" ht="14.25" customHeight="true">
      <c r="A2108" s="60" t="s">
        <v>33581</v>
      </c>
      <c r="B2108" s="61">
        <v>0</v>
      </c>
      <c r="C2108" s="61">
        <v>0</v>
      </c>
    </row>
    <row r="2109" spans="1:3" ht="14.25" customHeight="true">
      <c r="A2109" s="60" t="s">
        <v>33582</v>
      </c>
      <c r="B2109" s="61">
        <v>0</v>
      </c>
      <c r="C2109" s="61">
        <v>0</v>
      </c>
    </row>
    <row r="2110" spans="1:3" ht="14.25" customHeight="true">
      <c r="A2110" s="60" t="s">
        <v>33583</v>
      </c>
      <c r="B2110" s="61">
        <v>0</v>
      </c>
      <c r="C2110" s="61">
        <v>0</v>
      </c>
    </row>
    <row r="2111" spans="1:3" ht="14.25" customHeight="true">
      <c r="A2111" s="60" t="s">
        <v>33584</v>
      </c>
      <c r="B2111" s="61">
        <v>0</v>
      </c>
      <c r="C2111" s="61">
        <v>0</v>
      </c>
    </row>
    <row r="2112" spans="1:3" ht="14.25" customHeight="true">
      <c r="A2112" s="60" t="s">
        <v>33585</v>
      </c>
      <c r="B2112" s="61">
        <v>0</v>
      </c>
      <c r="C2112" s="61">
        <v>0</v>
      </c>
    </row>
    <row r="2113" spans="1:3" ht="14.25" customHeight="true">
      <c r="A2113" s="60" t="s">
        <v>33586</v>
      </c>
      <c r="B2113" s="61">
        <v>0</v>
      </c>
      <c r="C2113" s="61">
        <v>0</v>
      </c>
    </row>
    <row r="2114" spans="1:3" ht="14.25" customHeight="true">
      <c r="A2114" s="60" t="s">
        <v>33587</v>
      </c>
      <c r="B2114" s="61">
        <v>0</v>
      </c>
      <c r="C2114" s="61">
        <v>0</v>
      </c>
    </row>
    <row r="2115" spans="1:3" ht="14.25" customHeight="true">
      <c r="A2115" s="60" t="s">
        <v>33588</v>
      </c>
      <c r="B2115" s="61">
        <v>-17000</v>
      </c>
      <c r="C2115" s="61">
        <v>-17000</v>
      </c>
    </row>
    <row r="2116" spans="1:3" ht="14.25" customHeight="true">
      <c r="A2116" s="60" t="s">
        <v>33589</v>
      </c>
      <c r="B2116" s="61">
        <v>0</v>
      </c>
      <c r="C2116" s="61">
        <v>0</v>
      </c>
    </row>
    <row r="2117" spans="1:3" ht="14.25" customHeight="true">
      <c r="A2117" s="60" t="s">
        <v>33590</v>
      </c>
      <c r="B2117" s="61">
        <v>0</v>
      </c>
      <c r="C2117" s="61">
        <v>0</v>
      </c>
    </row>
    <row r="2118" spans="1:3" ht="14.25" customHeight="true">
      <c r="A2118" s="60" t="s">
        <v>33591</v>
      </c>
      <c r="B2118" s="61">
        <v>0</v>
      </c>
      <c r="C2118" s="61">
        <v>0</v>
      </c>
    </row>
    <row r="2119" spans="1:3" ht="14.25" customHeight="true">
      <c r="A2119" s="60" t="s">
        <v>33592</v>
      </c>
      <c r="B2119" s="61">
        <v>0</v>
      </c>
      <c r="C2119" s="61">
        <v>0</v>
      </c>
    </row>
    <row r="2120" spans="1:3" ht="14.25" customHeight="true">
      <c r="A2120" s="60" t="s">
        <v>33593</v>
      </c>
      <c r="B2120" s="61">
        <v>0</v>
      </c>
      <c r="C2120" s="61">
        <v>0</v>
      </c>
    </row>
    <row r="2121" spans="1:3" ht="14.25" customHeight="true">
      <c r="A2121" s="60" t="s">
        <v>33594</v>
      </c>
      <c r="B2121" s="61">
        <v>0</v>
      </c>
      <c r="C2121" s="61">
        <v>0</v>
      </c>
    </row>
    <row r="2122" spans="1:3" ht="14.25" customHeight="true">
      <c r="A2122" s="60" t="s">
        <v>33595</v>
      </c>
      <c r="B2122" s="61">
        <v>0</v>
      </c>
      <c r="C2122" s="61">
        <v>0</v>
      </c>
    </row>
    <row r="2123" spans="1:3" ht="14.25" customHeight="true">
      <c r="A2123" s="60" t="s">
        <v>33596</v>
      </c>
      <c r="B2123" s="61">
        <v>0</v>
      </c>
      <c r="C2123" s="61">
        <v>0</v>
      </c>
    </row>
    <row r="2124" spans="1:3" ht="14.25" customHeight="true">
      <c r="A2124" s="60" t="s">
        <v>33597</v>
      </c>
      <c r="B2124" s="61">
        <v>0</v>
      </c>
      <c r="C2124" s="61">
        <v>0</v>
      </c>
    </row>
    <row r="2125" spans="1:3" ht="14.25" customHeight="true">
      <c r="A2125" s="60" t="s">
        <v>33598</v>
      </c>
      <c r="B2125" s="61">
        <v>0</v>
      </c>
      <c r="C2125" s="61">
        <v>0</v>
      </c>
    </row>
    <row r="2126" spans="1:3" ht="14.25" customHeight="true">
      <c r="A2126" s="60" t="s">
        <v>33599</v>
      </c>
      <c r="B2126" s="61">
        <v>0</v>
      </c>
      <c r="C2126" s="61">
        <v>0</v>
      </c>
    </row>
    <row r="2127" spans="1:3" ht="14.25" customHeight="true">
      <c r="A2127" s="60" t="s">
        <v>33600</v>
      </c>
      <c r="B2127" s="61">
        <v>0</v>
      </c>
      <c r="C2127" s="61">
        <v>0</v>
      </c>
    </row>
    <row r="2128" spans="1:3" ht="14.25" customHeight="true">
      <c r="A2128" s="60" t="s">
        <v>33601</v>
      </c>
      <c r="B2128" s="61">
        <v>0</v>
      </c>
      <c r="C2128" s="61">
        <v>0</v>
      </c>
    </row>
    <row r="2129" spans="1:3" ht="14.25" customHeight="true">
      <c r="A2129" s="60" t="s">
        <v>33602</v>
      </c>
      <c r="B2129" s="61">
        <v>0</v>
      </c>
      <c r="C2129" s="61">
        <v>0</v>
      </c>
    </row>
    <row r="2130" spans="1:3" ht="14.25" customHeight="true">
      <c r="A2130" s="60" t="s">
        <v>33603</v>
      </c>
      <c r="B2130" s="61">
        <v>0</v>
      </c>
      <c r="C2130" s="61">
        <v>0</v>
      </c>
    </row>
    <row r="2131" spans="1:3" ht="14.25" customHeight="true">
      <c r="A2131" s="60" t="s">
        <v>33604</v>
      </c>
      <c r="B2131" s="61">
        <v>0</v>
      </c>
      <c r="C2131" s="61">
        <v>0</v>
      </c>
    </row>
    <row r="2132" spans="1:3" ht="14.25" customHeight="true">
      <c r="A2132" s="60" t="s">
        <v>33605</v>
      </c>
      <c r="B2132" s="61">
        <v>0</v>
      </c>
      <c r="C2132" s="61">
        <v>0</v>
      </c>
    </row>
    <row r="2133" spans="1:3" ht="14.25" customHeight="true">
      <c r="A2133" s="60" t="s">
        <v>33606</v>
      </c>
      <c r="B2133" s="61">
        <v>0</v>
      </c>
      <c r="C2133" s="61">
        <v>0</v>
      </c>
    </row>
    <row r="2134" spans="1:3" ht="14.25" customHeight="true">
      <c r="A2134" s="60" t="s">
        <v>33607</v>
      </c>
      <c r="B2134" s="61">
        <v>0</v>
      </c>
      <c r="C2134" s="61">
        <v>0</v>
      </c>
    </row>
    <row r="2135" spans="1:3" ht="14.25" customHeight="true">
      <c r="A2135" s="60" t="s">
        <v>33608</v>
      </c>
      <c r="B2135" s="61">
        <v>0</v>
      </c>
      <c r="C2135" s="61">
        <v>0</v>
      </c>
    </row>
    <row r="2136" spans="1:3" ht="14.25" customHeight="true">
      <c r="A2136" s="60" t="s">
        <v>33609</v>
      </c>
      <c r="B2136" s="61">
        <v>0</v>
      </c>
      <c r="C2136" s="61">
        <v>0</v>
      </c>
    </row>
    <row r="2137" spans="1:3" ht="14.25" customHeight="true">
      <c r="A2137" s="60" t="s">
        <v>33610</v>
      </c>
      <c r="B2137" s="61">
        <v>0</v>
      </c>
      <c r="C2137" s="61">
        <v>0</v>
      </c>
    </row>
    <row r="2138" spans="1:3" ht="14.25" customHeight="true">
      <c r="A2138" s="60" t="s">
        <v>33611</v>
      </c>
      <c r="B2138" s="61">
        <v>0</v>
      </c>
      <c r="C2138" s="61">
        <v>0</v>
      </c>
    </row>
    <row r="2139" spans="1:3" ht="14.25" customHeight="true">
      <c r="A2139" s="60" t="s">
        <v>33612</v>
      </c>
      <c r="B2139" s="61">
        <v>0</v>
      </c>
      <c r="C2139" s="61">
        <v>0</v>
      </c>
    </row>
    <row r="2140" spans="1:3" ht="14.25" customHeight="true">
      <c r="A2140" s="60" t="s">
        <v>33613</v>
      </c>
      <c r="B2140" s="61">
        <v>0</v>
      </c>
      <c r="C2140" s="61">
        <v>0</v>
      </c>
    </row>
    <row r="2141" spans="1:3" ht="14.25" customHeight="true">
      <c r="A2141" s="60" t="s">
        <v>33614</v>
      </c>
      <c r="B2141" s="61">
        <v>0</v>
      </c>
      <c r="C2141" s="61">
        <v>0</v>
      </c>
    </row>
    <row r="2142" spans="1:3" ht="14.25" customHeight="true">
      <c r="A2142" s="60" t="s">
        <v>33615</v>
      </c>
      <c r="B2142" s="61">
        <v>0</v>
      </c>
      <c r="C2142" s="61">
        <v>0</v>
      </c>
    </row>
    <row r="2143" spans="1:3" ht="14.25" customHeight="true">
      <c r="A2143" s="60" t="s">
        <v>33616</v>
      </c>
      <c r="B2143" s="61">
        <v>0</v>
      </c>
      <c r="C2143" s="61">
        <v>0</v>
      </c>
    </row>
    <row r="2144" spans="1:3" ht="14.25" customHeight="true">
      <c r="A2144" s="60" t="s">
        <v>33617</v>
      </c>
      <c r="B2144" s="61">
        <v>0</v>
      </c>
      <c r="C2144" s="61">
        <v>0</v>
      </c>
    </row>
    <row r="2145" spans="1:3" ht="14.25" customHeight="true">
      <c r="A2145" s="60" t="s">
        <v>33618</v>
      </c>
      <c r="B2145" s="61">
        <v>0</v>
      </c>
      <c r="C2145" s="61">
        <v>0</v>
      </c>
    </row>
    <row r="2146" spans="1:3" ht="14.25" customHeight="true">
      <c r="A2146" s="60" t="s">
        <v>33619</v>
      </c>
      <c r="B2146" s="61">
        <v>0</v>
      </c>
      <c r="C2146" s="61">
        <v>0</v>
      </c>
    </row>
    <row r="2147" spans="1:3" ht="14.25" customHeight="true">
      <c r="A2147" s="60" t="s">
        <v>33620</v>
      </c>
      <c r="B2147" s="61">
        <v>0</v>
      </c>
      <c r="C2147" s="61">
        <v>0</v>
      </c>
    </row>
    <row r="2148" spans="1:3" ht="14.25" customHeight="true">
      <c r="A2148" s="60" t="s">
        <v>33621</v>
      </c>
      <c r="B2148" s="61">
        <v>0</v>
      </c>
      <c r="C2148" s="61">
        <v>0</v>
      </c>
    </row>
    <row r="2149" spans="1:3" ht="14.25" customHeight="true">
      <c r="A2149" s="60" t="s">
        <v>33622</v>
      </c>
      <c r="B2149" s="61">
        <v>0</v>
      </c>
      <c r="C2149" s="61">
        <v>0</v>
      </c>
    </row>
    <row r="2150" spans="1:3" ht="14.25" customHeight="true">
      <c r="A2150" s="60" t="s">
        <v>33623</v>
      </c>
      <c r="B2150" s="61">
        <v>0</v>
      </c>
      <c r="C2150" s="61">
        <v>0</v>
      </c>
    </row>
    <row r="2151" spans="1:3" ht="14.25" customHeight="true">
      <c r="A2151" s="60" t="s">
        <v>33624</v>
      </c>
      <c r="B2151" s="61">
        <v>0</v>
      </c>
      <c r="C2151" s="61">
        <v>0</v>
      </c>
    </row>
    <row r="2152" spans="1:3" ht="14.25" customHeight="true">
      <c r="A2152" s="60" t="s">
        <v>33625</v>
      </c>
      <c r="B2152" s="61">
        <v>0</v>
      </c>
      <c r="C2152" s="61">
        <v>0</v>
      </c>
    </row>
    <row r="2153" spans="1:3" ht="14.25" customHeight="true">
      <c r="A2153" s="60" t="s">
        <v>33626</v>
      </c>
      <c r="B2153" s="61">
        <v>0</v>
      </c>
      <c r="C2153" s="61">
        <v>0</v>
      </c>
    </row>
    <row r="2154" spans="1:3" ht="14.25" customHeight="true">
      <c r="A2154" s="60" t="s">
        <v>33627</v>
      </c>
      <c r="B2154" s="61">
        <v>0</v>
      </c>
      <c r="C2154" s="61">
        <v>0</v>
      </c>
    </row>
    <row r="2155" spans="1:3" ht="14.25" customHeight="true">
      <c r="A2155" s="60" t="s">
        <v>33628</v>
      </c>
      <c r="B2155" s="61">
        <v>0</v>
      </c>
      <c r="C2155" s="61">
        <v>0</v>
      </c>
    </row>
    <row r="2156" spans="1:3" ht="14.25" customHeight="true">
      <c r="A2156" s="60" t="s">
        <v>33629</v>
      </c>
      <c r="B2156" s="61">
        <v>0</v>
      </c>
      <c r="C2156" s="61">
        <v>0</v>
      </c>
    </row>
    <row r="2157" spans="1:3" ht="14.25" customHeight="true">
      <c r="A2157" s="60" t="s">
        <v>33630</v>
      </c>
      <c r="B2157" s="61">
        <v>0</v>
      </c>
      <c r="C2157" s="61">
        <v>0</v>
      </c>
    </row>
    <row r="2158" spans="1:3" ht="14.25" customHeight="true">
      <c r="A2158" s="60" t="s">
        <v>33631</v>
      </c>
      <c r="B2158" s="61">
        <v>0</v>
      </c>
      <c r="C2158" s="61">
        <v>0</v>
      </c>
    </row>
    <row r="2159" spans="1:3" ht="14.25" customHeight="true">
      <c r="A2159" s="60" t="s">
        <v>33632</v>
      </c>
      <c r="B2159" s="61">
        <v>0</v>
      </c>
      <c r="C2159" s="61">
        <v>0</v>
      </c>
    </row>
    <row r="2160" spans="1:3" ht="14.25" customHeight="true">
      <c r="A2160" s="60" t="s">
        <v>33633</v>
      </c>
      <c r="B2160" s="61">
        <v>0</v>
      </c>
      <c r="C2160" s="61">
        <v>0</v>
      </c>
    </row>
    <row r="2161" spans="1:3" ht="14.25" customHeight="true">
      <c r="A2161" s="60" t="s">
        <v>33634</v>
      </c>
      <c r="B2161" s="61">
        <v>0</v>
      </c>
      <c r="C2161" s="61">
        <v>0</v>
      </c>
    </row>
    <row r="2162" spans="1:3" ht="14.25" customHeight="true">
      <c r="A2162" s="60" t="s">
        <v>33635</v>
      </c>
      <c r="B2162" s="61">
        <v>0</v>
      </c>
      <c r="C2162" s="61">
        <v>0</v>
      </c>
    </row>
    <row r="2163" spans="1:3" ht="14.25" customHeight="true">
      <c r="A2163" s="60" t="s">
        <v>33636</v>
      </c>
      <c r="B2163" s="61">
        <v>0</v>
      </c>
      <c r="C2163" s="61">
        <v>0</v>
      </c>
    </row>
    <row r="2164" spans="1:3" ht="14.25" customHeight="true">
      <c r="A2164" s="60" t="s">
        <v>33637</v>
      </c>
      <c r="B2164" s="61">
        <v>0</v>
      </c>
      <c r="C2164" s="61">
        <v>0</v>
      </c>
    </row>
    <row r="2165" spans="1:3" ht="14.25" customHeight="true">
      <c r="A2165" s="60" t="s">
        <v>33638</v>
      </c>
      <c r="B2165" s="61">
        <v>0</v>
      </c>
      <c r="C2165" s="61">
        <v>0</v>
      </c>
    </row>
    <row r="2166" spans="1:3" ht="14.25" customHeight="true">
      <c r="A2166" s="60" t="s">
        <v>33639</v>
      </c>
      <c r="B2166" s="61">
        <v>0</v>
      </c>
      <c r="C2166" s="61">
        <v>0</v>
      </c>
    </row>
    <row r="2167" spans="1:3" ht="14.25" customHeight="true">
      <c r="A2167" s="60" t="s">
        <v>33640</v>
      </c>
      <c r="B2167" s="61">
        <v>0</v>
      </c>
      <c r="C2167" s="61">
        <v>0</v>
      </c>
    </row>
    <row r="2168" spans="1:3" ht="14.25" customHeight="true">
      <c r="A2168" s="60" t="s">
        <v>33641</v>
      </c>
      <c r="B2168" s="61">
        <v>0</v>
      </c>
      <c r="C2168" s="61">
        <v>0</v>
      </c>
    </row>
    <row r="2169" spans="1:3" ht="14.25" customHeight="true">
      <c r="A2169" s="60" t="s">
        <v>33642</v>
      </c>
      <c r="B2169" s="61">
        <v>0</v>
      </c>
      <c r="C2169" s="61">
        <v>0</v>
      </c>
    </row>
    <row r="2170" spans="1:3" ht="14.25" customHeight="true">
      <c r="A2170" s="60" t="s">
        <v>33643</v>
      </c>
      <c r="B2170" s="61">
        <v>0</v>
      </c>
      <c r="C2170" s="61">
        <v>0</v>
      </c>
    </row>
    <row r="2171" spans="1:3" ht="14.25" customHeight="true">
      <c r="A2171" s="60" t="s">
        <v>33644</v>
      </c>
      <c r="B2171" s="61">
        <v>0</v>
      </c>
      <c r="C2171" s="61">
        <v>0</v>
      </c>
    </row>
    <row r="2172" spans="1:3" ht="14.25" customHeight="true">
      <c r="A2172" s="60" t="s">
        <v>33645</v>
      </c>
      <c r="B2172" s="61">
        <v>12505.5</v>
      </c>
      <c r="C2172" s="61">
        <v>12505.5</v>
      </c>
    </row>
    <row r="2173" spans="1:3" ht="14.25" customHeight="true">
      <c r="A2173" s="60" t="s">
        <v>33646</v>
      </c>
      <c r="B2173" s="61">
        <v>0</v>
      </c>
      <c r="C2173" s="61">
        <v>0</v>
      </c>
    </row>
    <row r="2174" spans="1:3" ht="14.25" customHeight="true">
      <c r="A2174" s="60" t="s">
        <v>33647</v>
      </c>
      <c r="B2174" s="61">
        <v>0</v>
      </c>
      <c r="C2174" s="61">
        <v>0</v>
      </c>
    </row>
    <row r="2175" spans="1:3" ht="14.25" customHeight="true">
      <c r="A2175" s="60" t="s">
        <v>33648</v>
      </c>
      <c r="B2175" s="61">
        <v>0</v>
      </c>
      <c r="C2175" s="61">
        <v>0</v>
      </c>
    </row>
    <row r="2176" spans="1:3" ht="14.25" customHeight="true">
      <c r="A2176" s="60" t="s">
        <v>33649</v>
      </c>
      <c r="B2176" s="61">
        <v>0</v>
      </c>
      <c r="C2176" s="61">
        <v>0</v>
      </c>
    </row>
    <row r="2177" spans="1:3" ht="14.25" customHeight="true">
      <c r="A2177" s="60" t="s">
        <v>33650</v>
      </c>
      <c r="B2177" s="61">
        <v>0</v>
      </c>
      <c r="C2177" s="61">
        <v>0</v>
      </c>
    </row>
    <row r="2178" spans="1:3" ht="14.25" customHeight="true">
      <c r="A2178" s="60" t="s">
        <v>33651</v>
      </c>
      <c r="B2178" s="61">
        <v>0</v>
      </c>
      <c r="C2178" s="61">
        <v>0</v>
      </c>
    </row>
    <row r="2179" spans="1:3" ht="14.25" customHeight="true">
      <c r="A2179" s="60" t="s">
        <v>33652</v>
      </c>
      <c r="B2179" s="61">
        <v>0</v>
      </c>
      <c r="C2179" s="61">
        <v>-20000</v>
      </c>
    </row>
    <row r="2180" spans="1:3" ht="14.25" customHeight="true">
      <c r="A2180" s="60" t="s">
        <v>33653</v>
      </c>
      <c r="B2180" s="61">
        <v>0</v>
      </c>
      <c r="C2180" s="61">
        <v>0</v>
      </c>
    </row>
    <row r="2181" spans="1:3" ht="14.25" customHeight="true">
      <c r="A2181" s="60" t="s">
        <v>33654</v>
      </c>
      <c r="B2181" s="61">
        <v>0</v>
      </c>
      <c r="C2181" s="61">
        <v>0</v>
      </c>
    </row>
    <row r="2182" spans="1:3" ht="14.25" customHeight="true">
      <c r="A2182" s="60" t="s">
        <v>33655</v>
      </c>
      <c r="B2182" s="61">
        <v>0</v>
      </c>
      <c r="C2182" s="61">
        <v>0</v>
      </c>
    </row>
    <row r="2183" spans="1:3" ht="14.25" customHeight="true">
      <c r="A2183" s="60" t="s">
        <v>33656</v>
      </c>
      <c r="B2183" s="61">
        <v>0</v>
      </c>
      <c r="C2183" s="61">
        <v>0</v>
      </c>
    </row>
    <row r="2184" spans="1:3" ht="14.25" customHeight="true">
      <c r="A2184" s="60" t="s">
        <v>33657</v>
      </c>
      <c r="B2184" s="61">
        <v>0</v>
      </c>
      <c r="C2184" s="61">
        <v>0</v>
      </c>
    </row>
    <row r="2185" spans="1:3" ht="14.25" customHeight="true">
      <c r="A2185" s="60" t="s">
        <v>33658</v>
      </c>
      <c r="B2185" s="61">
        <v>0</v>
      </c>
      <c r="C2185" s="61">
        <v>0</v>
      </c>
    </row>
    <row r="2186" spans="1:3" ht="14.25" customHeight="true">
      <c r="A2186" s="60" t="s">
        <v>33659</v>
      </c>
      <c r="B2186" s="61">
        <v>0</v>
      </c>
      <c r="C2186" s="61">
        <v>0</v>
      </c>
    </row>
    <row r="2187" spans="1:3" ht="14.25" customHeight="true">
      <c r="A2187" s="60" t="s">
        <v>33660</v>
      </c>
      <c r="B2187" s="61">
        <v>0</v>
      </c>
      <c r="C2187" s="61">
        <v>0</v>
      </c>
    </row>
    <row r="2188" spans="1:3" ht="14.25" customHeight="true">
      <c r="A2188" s="60" t="s">
        <v>33661</v>
      </c>
      <c r="B2188" s="61">
        <v>0</v>
      </c>
      <c r="C2188" s="61">
        <v>0</v>
      </c>
    </row>
    <row r="2189" spans="1:3" ht="14.25" customHeight="true">
      <c r="A2189" s="60" t="s">
        <v>33662</v>
      </c>
      <c r="B2189" s="61">
        <v>0</v>
      </c>
      <c r="C2189" s="61">
        <v>0</v>
      </c>
    </row>
    <row r="2190" spans="1:3" ht="14.25" customHeight="true">
      <c r="A2190" s="60" t="s">
        <v>33663</v>
      </c>
      <c r="B2190" s="61">
        <v>0</v>
      </c>
      <c r="C2190" s="61">
        <v>0</v>
      </c>
    </row>
    <row r="2191" spans="1:3" ht="14.25" customHeight="true">
      <c r="A2191" s="60" t="s">
        <v>33664</v>
      </c>
      <c r="B2191" s="61">
        <v>0</v>
      </c>
      <c r="C2191" s="61">
        <v>0</v>
      </c>
    </row>
    <row r="2192" spans="1:3" ht="14.25" customHeight="true">
      <c r="A2192" s="60" t="s">
        <v>33665</v>
      </c>
      <c r="B2192" s="61">
        <v>0</v>
      </c>
      <c r="C2192" s="61">
        <v>0</v>
      </c>
    </row>
    <row r="2193" spans="1:3" ht="14.25" customHeight="true">
      <c r="A2193" s="60" t="s">
        <v>33666</v>
      </c>
      <c r="B2193" s="61">
        <v>0</v>
      </c>
      <c r="C2193" s="61">
        <v>0</v>
      </c>
    </row>
    <row r="2194" spans="1:3" ht="14.25" customHeight="true">
      <c r="A2194" s="60" t="s">
        <v>33667</v>
      </c>
      <c r="B2194" s="61">
        <v>0</v>
      </c>
      <c r="C2194" s="61">
        <v>0</v>
      </c>
    </row>
    <row r="2195" spans="1:3" ht="14.25" customHeight="true">
      <c r="A2195" s="60" t="s">
        <v>33668</v>
      </c>
      <c r="B2195" s="61">
        <v>0</v>
      </c>
      <c r="C2195" s="61">
        <v>0</v>
      </c>
    </row>
    <row r="2196" spans="1:3" ht="14.25" customHeight="true">
      <c r="A2196" s="60" t="s">
        <v>33669</v>
      </c>
      <c r="B2196" s="61">
        <v>0</v>
      </c>
      <c r="C2196" s="61">
        <v>0</v>
      </c>
    </row>
    <row r="2197" spans="1:3" ht="14.25" customHeight="true">
      <c r="A2197" s="60" t="s">
        <v>33670</v>
      </c>
      <c r="B2197" s="61">
        <v>0</v>
      </c>
      <c r="C2197" s="61">
        <v>0</v>
      </c>
    </row>
    <row r="2198" spans="1:3" ht="14.25" customHeight="true">
      <c r="A2198" s="60" t="s">
        <v>33671</v>
      </c>
      <c r="B2198" s="61">
        <v>0</v>
      </c>
      <c r="C2198" s="61">
        <v>0</v>
      </c>
    </row>
    <row r="2199" spans="1:3" ht="14.25" customHeight="true">
      <c r="A2199" s="60" t="s">
        <v>33672</v>
      </c>
      <c r="B2199" s="61">
        <v>0</v>
      </c>
      <c r="C2199" s="61">
        <v>0</v>
      </c>
    </row>
    <row r="2200" spans="1:3" ht="14.25" customHeight="true">
      <c r="A2200" s="60" t="s">
        <v>33673</v>
      </c>
      <c r="B2200" s="61">
        <v>0</v>
      </c>
      <c r="C2200" s="61">
        <v>0</v>
      </c>
    </row>
    <row r="2201" spans="1:3" ht="14.25" customHeight="true">
      <c r="A2201" s="60" t="s">
        <v>33674</v>
      </c>
      <c r="B2201" s="61">
        <v>0</v>
      </c>
      <c r="C2201" s="61">
        <v>0</v>
      </c>
    </row>
    <row r="2202" spans="1:3" ht="14.25" customHeight="true">
      <c r="A2202" s="60" t="s">
        <v>33675</v>
      </c>
      <c r="B2202" s="61">
        <v>0</v>
      </c>
      <c r="C2202" s="61">
        <v>0</v>
      </c>
    </row>
    <row r="2203" spans="1:3" ht="14.25" customHeight="true">
      <c r="A2203" s="60" t="s">
        <v>33676</v>
      </c>
      <c r="B2203" s="61">
        <v>0</v>
      </c>
      <c r="C2203" s="61">
        <v>0</v>
      </c>
    </row>
    <row r="2204" spans="1:3" ht="14.25" customHeight="true">
      <c r="A2204" s="60" t="s">
        <v>33677</v>
      </c>
      <c r="B2204" s="61">
        <v>0</v>
      </c>
      <c r="C2204" s="61">
        <v>0</v>
      </c>
    </row>
    <row r="2205" spans="1:3" ht="14.25" customHeight="true">
      <c r="A2205" s="60" t="s">
        <v>33678</v>
      </c>
      <c r="B2205" s="61">
        <v>0</v>
      </c>
      <c r="C2205" s="61">
        <v>0</v>
      </c>
    </row>
    <row r="2206" spans="1:3" ht="14.25" customHeight="true">
      <c r="A2206" s="60" t="s">
        <v>33679</v>
      </c>
      <c r="B2206" s="61">
        <v>0</v>
      </c>
      <c r="C2206" s="61">
        <v>0</v>
      </c>
    </row>
    <row r="2207" spans="1:3" ht="14.25" customHeight="true">
      <c r="A2207" s="60" t="s">
        <v>33680</v>
      </c>
      <c r="B2207" s="61">
        <v>0</v>
      </c>
      <c r="C2207" s="61">
        <v>0</v>
      </c>
    </row>
    <row r="2208" spans="1:3" ht="14.25" customHeight="true">
      <c r="A2208" s="60" t="s">
        <v>33681</v>
      </c>
      <c r="B2208" s="61">
        <v>0</v>
      </c>
      <c r="C2208" s="61">
        <v>0</v>
      </c>
    </row>
    <row r="2209" spans="1:3" ht="14.25" customHeight="true">
      <c r="A2209" s="60" t="s">
        <v>33682</v>
      </c>
      <c r="B2209" s="61">
        <v>0</v>
      </c>
      <c r="C2209" s="61">
        <v>0</v>
      </c>
    </row>
    <row r="2210" spans="1:3" ht="14.25" customHeight="true">
      <c r="A2210" s="60" t="s">
        <v>33683</v>
      </c>
      <c r="B2210" s="61">
        <v>0</v>
      </c>
      <c r="C2210" s="61">
        <v>0</v>
      </c>
    </row>
    <row r="2211" spans="1:3" ht="14.25" customHeight="true">
      <c r="A2211" s="60" t="s">
        <v>33684</v>
      </c>
      <c r="B2211" s="61">
        <v>0</v>
      </c>
      <c r="C2211" s="61">
        <v>0</v>
      </c>
    </row>
    <row r="2212" spans="1:3" ht="14.25" customHeight="true">
      <c r="A2212" s="60" t="s">
        <v>33685</v>
      </c>
      <c r="B2212" s="61">
        <v>0</v>
      </c>
      <c r="C2212" s="61">
        <v>0</v>
      </c>
    </row>
    <row r="2213" spans="1:3" ht="14.25" customHeight="true">
      <c r="A2213" s="60" t="s">
        <v>33686</v>
      </c>
      <c r="B2213" s="61">
        <v>0</v>
      </c>
      <c r="C2213" s="61">
        <v>0</v>
      </c>
    </row>
    <row r="2214" spans="1:3" ht="14.25" customHeight="true">
      <c r="A2214" s="60" t="s">
        <v>33687</v>
      </c>
      <c r="B2214" s="61">
        <v>0</v>
      </c>
      <c r="C2214" s="61">
        <v>0</v>
      </c>
    </row>
    <row r="2215" spans="1:3" ht="14.25" customHeight="true">
      <c r="A2215" s="60" t="s">
        <v>33688</v>
      </c>
      <c r="B2215" s="61">
        <v>0</v>
      </c>
      <c r="C2215" s="61">
        <v>0</v>
      </c>
    </row>
    <row r="2216" spans="1:3" ht="14.25" customHeight="true">
      <c r="A2216" s="60" t="s">
        <v>33689</v>
      </c>
      <c r="B2216" s="61">
        <v>0</v>
      </c>
      <c r="C2216" s="61">
        <v>0</v>
      </c>
    </row>
    <row r="2217" spans="1:3" ht="14.25" customHeight="true">
      <c r="A2217" s="60" t="s">
        <v>33690</v>
      </c>
      <c r="B2217" s="61">
        <v>0</v>
      </c>
      <c r="C2217" s="61">
        <v>0</v>
      </c>
    </row>
    <row r="2218" spans="1:3" ht="14.25" customHeight="true">
      <c r="A2218" s="60" t="s">
        <v>33691</v>
      </c>
      <c r="B2218" s="61">
        <v>0</v>
      </c>
      <c r="C2218" s="61">
        <v>-2246716.97</v>
      </c>
    </row>
    <row r="2219" spans="1:3" ht="14.25" customHeight="true">
      <c r="A2219" s="60" t="s">
        <v>33692</v>
      </c>
      <c r="B2219" s="61">
        <v>0</v>
      </c>
      <c r="C2219" s="61">
        <v>0</v>
      </c>
    </row>
    <row r="2220" spans="1:3" ht="14.25" customHeight="true">
      <c r="A2220" s="60" t="s">
        <v>33693</v>
      </c>
      <c r="B2220" s="61">
        <v>0</v>
      </c>
      <c r="C2220" s="61">
        <v>0</v>
      </c>
    </row>
    <row r="2221" spans="1:3" ht="14.25" customHeight="true">
      <c r="A2221" s="60" t="s">
        <v>33694</v>
      </c>
      <c r="B2221" s="61">
        <v>0</v>
      </c>
      <c r="C2221" s="61">
        <v>0</v>
      </c>
    </row>
    <row r="2222" spans="1:3" ht="14.25" customHeight="true">
      <c r="A2222" s="60" t="s">
        <v>33695</v>
      </c>
      <c r="B2222" s="61">
        <v>0</v>
      </c>
      <c r="C2222" s="61">
        <v>0</v>
      </c>
    </row>
    <row r="2223" spans="1:3" ht="14.25" customHeight="true">
      <c r="A2223" s="60" t="s">
        <v>33696</v>
      </c>
      <c r="B2223" s="61">
        <v>0</v>
      </c>
      <c r="C2223" s="61">
        <v>0</v>
      </c>
    </row>
    <row r="2224" spans="1:3" ht="14.25" customHeight="true">
      <c r="A2224" s="60" t="s">
        <v>33697</v>
      </c>
      <c r="B2224" s="61">
        <v>0</v>
      </c>
      <c r="C2224" s="61">
        <v>0</v>
      </c>
    </row>
    <row r="2225" spans="1:3" ht="14.25" customHeight="true">
      <c r="A2225" s="60" t="s">
        <v>33698</v>
      </c>
      <c r="B2225" s="61">
        <v>0</v>
      </c>
      <c r="C2225" s="61">
        <v>0</v>
      </c>
    </row>
    <row r="2226" spans="1:3" ht="14.25" customHeight="true">
      <c r="A2226" s="60" t="s">
        <v>33699</v>
      </c>
      <c r="B2226" s="61">
        <v>0</v>
      </c>
      <c r="C2226" s="61">
        <v>0</v>
      </c>
    </row>
    <row r="2227" spans="1:3" ht="14.25" customHeight="true">
      <c r="A2227" s="60" t="s">
        <v>33700</v>
      </c>
      <c r="B2227" s="61">
        <v>0</v>
      </c>
      <c r="C2227" s="61">
        <v>0</v>
      </c>
    </row>
    <row r="2228" spans="1:3" ht="14.25" customHeight="true">
      <c r="A2228" s="60" t="s">
        <v>33701</v>
      </c>
      <c r="B2228" s="61">
        <v>0</v>
      </c>
      <c r="C2228" s="61">
        <v>0</v>
      </c>
    </row>
    <row r="2229" spans="1:3" ht="14.25" customHeight="true">
      <c r="A2229" s="60" t="s">
        <v>33702</v>
      </c>
      <c r="B2229" s="61">
        <v>0</v>
      </c>
      <c r="C2229" s="61">
        <v>0</v>
      </c>
    </row>
    <row r="2230" spans="1:3" ht="14.25" customHeight="true">
      <c r="A2230" s="60" t="s">
        <v>33703</v>
      </c>
      <c r="B2230" s="61">
        <v>0</v>
      </c>
      <c r="C2230" s="61">
        <v>0</v>
      </c>
    </row>
    <row r="2231" spans="1:3" ht="14.25" customHeight="true">
      <c r="A2231" s="60" t="s">
        <v>33704</v>
      </c>
      <c r="B2231" s="61">
        <v>0</v>
      </c>
      <c r="C2231" s="61">
        <v>0</v>
      </c>
    </row>
    <row r="2232" spans="1:3" ht="14.25" customHeight="true">
      <c r="A2232" s="60" t="s">
        <v>33705</v>
      </c>
      <c r="B2232" s="61">
        <v>0</v>
      </c>
      <c r="C2232" s="61">
        <v>0</v>
      </c>
    </row>
    <row r="2233" spans="1:3" ht="14.25" customHeight="true">
      <c r="A2233" s="60" t="s">
        <v>33706</v>
      </c>
      <c r="B2233" s="61">
        <v>0</v>
      </c>
      <c r="C2233" s="61">
        <v>0</v>
      </c>
    </row>
    <row r="2234" spans="1:3" ht="14.25" customHeight="true">
      <c r="A2234" s="60" t="s">
        <v>33707</v>
      </c>
      <c r="B2234" s="61">
        <v>0</v>
      </c>
      <c r="C2234" s="61">
        <v>0</v>
      </c>
    </row>
    <row r="2235" spans="1:3" ht="14.25" customHeight="true">
      <c r="A2235" s="60" t="s">
        <v>33708</v>
      </c>
      <c r="B2235" s="61">
        <v>0</v>
      </c>
      <c r="C2235" s="61">
        <v>0</v>
      </c>
    </row>
    <row r="2236" spans="1:3" ht="14.25" customHeight="true">
      <c r="A2236" s="60" t="s">
        <v>33709</v>
      </c>
      <c r="B2236" s="61">
        <v>0</v>
      </c>
      <c r="C2236" s="61">
        <v>0</v>
      </c>
    </row>
    <row r="2237" spans="1:3" ht="14.25" customHeight="true">
      <c r="A2237" s="60" t="s">
        <v>33710</v>
      </c>
      <c r="B2237" s="61">
        <v>0</v>
      </c>
      <c r="C2237" s="61">
        <v>0</v>
      </c>
    </row>
    <row r="2238" spans="1:3" ht="14.25" customHeight="true">
      <c r="A2238" s="60" t="s">
        <v>33711</v>
      </c>
      <c r="B2238" s="61">
        <v>0</v>
      </c>
      <c r="C2238" s="61">
        <v>0</v>
      </c>
    </row>
    <row r="2239" spans="1:3" ht="14.25" customHeight="true">
      <c r="A2239" s="60" t="s">
        <v>33712</v>
      </c>
      <c r="B2239" s="61">
        <v>0</v>
      </c>
      <c r="C2239" s="61">
        <v>0</v>
      </c>
    </row>
    <row r="2240" spans="1:3" ht="14.25" customHeight="true">
      <c r="A2240" s="60" t="s">
        <v>33713</v>
      </c>
      <c r="B2240" s="61">
        <v>0</v>
      </c>
      <c r="C2240" s="61">
        <v>0</v>
      </c>
    </row>
    <row r="2241" spans="1:3" ht="14.25" customHeight="true">
      <c r="A2241" s="60" t="s">
        <v>33714</v>
      </c>
      <c r="B2241" s="61">
        <v>0</v>
      </c>
      <c r="C2241" s="61">
        <v>0</v>
      </c>
    </row>
    <row r="2242" spans="1:3" ht="14.25" customHeight="true">
      <c r="A2242" s="60" t="s">
        <v>33715</v>
      </c>
      <c r="B2242" s="61">
        <v>0</v>
      </c>
      <c r="C2242" s="61">
        <v>0</v>
      </c>
    </row>
    <row r="2243" spans="1:3" ht="14.25" customHeight="true">
      <c r="A2243" s="60" t="s">
        <v>33716</v>
      </c>
      <c r="B2243" s="61">
        <v>0</v>
      </c>
      <c r="C2243" s="61">
        <v>0</v>
      </c>
    </row>
    <row r="2244" spans="1:3" ht="14.25" customHeight="true">
      <c r="A2244" s="60" t="s">
        <v>33717</v>
      </c>
      <c r="B2244" s="61">
        <v>0</v>
      </c>
      <c r="C2244" s="61">
        <v>0</v>
      </c>
    </row>
    <row r="2245" spans="1:3" ht="14.25" customHeight="true">
      <c r="A2245" s="60" t="s">
        <v>33718</v>
      </c>
      <c r="B2245" s="61">
        <v>0</v>
      </c>
      <c r="C2245" s="61">
        <v>0</v>
      </c>
    </row>
    <row r="2246" spans="1:3" ht="14.25" customHeight="true">
      <c r="A2246" s="60" t="s">
        <v>33719</v>
      </c>
      <c r="B2246" s="61">
        <v>0</v>
      </c>
      <c r="C2246" s="61">
        <v>0</v>
      </c>
    </row>
    <row r="2247" spans="1:3" ht="14.25" customHeight="true">
      <c r="A2247" s="60" t="s">
        <v>33720</v>
      </c>
      <c r="B2247" s="61">
        <v>0</v>
      </c>
      <c r="C2247" s="61">
        <v>0</v>
      </c>
    </row>
    <row r="2248" spans="1:3" ht="14.25" customHeight="true">
      <c r="A2248" s="60" t="s">
        <v>33721</v>
      </c>
      <c r="B2248" s="61">
        <v>0</v>
      </c>
      <c r="C2248" s="61">
        <v>0</v>
      </c>
    </row>
    <row r="2249" spans="1:3" ht="14.25" customHeight="true">
      <c r="A2249" s="60" t="s">
        <v>33722</v>
      </c>
      <c r="B2249" s="61">
        <v>0</v>
      </c>
      <c r="C2249" s="61">
        <v>0</v>
      </c>
    </row>
    <row r="2250" spans="1:3" ht="14.25" customHeight="true">
      <c r="A2250" s="60" t="s">
        <v>33723</v>
      </c>
      <c r="B2250" s="61">
        <v>0</v>
      </c>
      <c r="C2250" s="61">
        <v>0</v>
      </c>
    </row>
    <row r="2251" spans="1:3" ht="14.25" customHeight="true">
      <c r="A2251" s="60" t="s">
        <v>33724</v>
      </c>
      <c r="B2251" s="61">
        <v>0</v>
      </c>
      <c r="C2251" s="61">
        <v>0</v>
      </c>
    </row>
    <row r="2252" spans="1:3" ht="14.25" customHeight="true">
      <c r="A2252" s="60" t="s">
        <v>33725</v>
      </c>
      <c r="B2252" s="61">
        <v>0</v>
      </c>
      <c r="C2252" s="61">
        <v>0</v>
      </c>
    </row>
    <row r="2253" spans="1:3" ht="14.25" customHeight="true">
      <c r="A2253" s="60" t="s">
        <v>33726</v>
      </c>
      <c r="B2253" s="61">
        <v>0</v>
      </c>
      <c r="C2253" s="61">
        <v>0</v>
      </c>
    </row>
    <row r="2254" spans="1:3" ht="14.25" customHeight="true">
      <c r="A2254" s="60" t="s">
        <v>33727</v>
      </c>
      <c r="B2254" s="61">
        <v>0</v>
      </c>
      <c r="C2254" s="61">
        <v>0</v>
      </c>
    </row>
    <row r="2255" spans="1:3" ht="14.25" customHeight="true">
      <c r="A2255" s="60" t="s">
        <v>33728</v>
      </c>
      <c r="B2255" s="61">
        <v>0</v>
      </c>
      <c r="C2255" s="61">
        <v>0</v>
      </c>
    </row>
    <row r="2256" spans="1:3" ht="14.25" customHeight="true">
      <c r="A2256" s="60" t="s">
        <v>33729</v>
      </c>
      <c r="B2256" s="61">
        <v>0</v>
      </c>
      <c r="C2256" s="61">
        <v>0</v>
      </c>
    </row>
    <row r="2257" spans="1:3" ht="14.25" customHeight="true">
      <c r="A2257" s="60" t="s">
        <v>33730</v>
      </c>
      <c r="B2257" s="61">
        <v>0</v>
      </c>
      <c r="C2257" s="61">
        <v>0</v>
      </c>
    </row>
    <row r="2258" spans="1:3" ht="14.25" customHeight="true">
      <c r="A2258" s="60" t="s">
        <v>33731</v>
      </c>
      <c r="B2258" s="61">
        <v>0</v>
      </c>
      <c r="C2258" s="61">
        <v>0</v>
      </c>
    </row>
    <row r="2259" spans="1:3" ht="14.25" customHeight="true">
      <c r="A2259" s="60" t="s">
        <v>33732</v>
      </c>
      <c r="B2259" s="61">
        <v>0</v>
      </c>
      <c r="C2259" s="61">
        <v>0</v>
      </c>
    </row>
    <row r="2260" spans="1:3" ht="14.25" customHeight="true">
      <c r="A2260" s="60" t="s">
        <v>33733</v>
      </c>
      <c r="B2260" s="61">
        <v>0</v>
      </c>
      <c r="C2260" s="61">
        <v>0</v>
      </c>
    </row>
    <row r="2261" spans="1:3" ht="14.25" customHeight="true">
      <c r="A2261" s="60" t="s">
        <v>33734</v>
      </c>
      <c r="B2261" s="61">
        <v>0</v>
      </c>
      <c r="C2261" s="61">
        <v>0</v>
      </c>
    </row>
    <row r="2262" spans="1:3" ht="14.25" customHeight="true">
      <c r="A2262" s="60" t="s">
        <v>33735</v>
      </c>
      <c r="B2262" s="61">
        <v>0</v>
      </c>
      <c r="C2262" s="61">
        <v>0</v>
      </c>
    </row>
    <row r="2263" spans="1:3" ht="14.25" customHeight="true">
      <c r="A2263" s="60" t="s">
        <v>33736</v>
      </c>
      <c r="B2263" s="61">
        <v>0</v>
      </c>
      <c r="C2263" s="61">
        <v>0</v>
      </c>
    </row>
    <row r="2264" spans="1:3" ht="14.25" customHeight="true">
      <c r="A2264" s="60" t="s">
        <v>33737</v>
      </c>
      <c r="B2264" s="61">
        <v>0</v>
      </c>
      <c r="C2264" s="61">
        <v>0</v>
      </c>
    </row>
    <row r="2265" spans="1:3" ht="14.25" customHeight="true">
      <c r="A2265" s="60" t="s">
        <v>33738</v>
      </c>
      <c r="B2265" s="61">
        <v>0</v>
      </c>
      <c r="C2265" s="61">
        <v>0</v>
      </c>
    </row>
    <row r="2266" spans="1:3" ht="14.25" customHeight="true">
      <c r="A2266" s="60" t="s">
        <v>33739</v>
      </c>
      <c r="B2266" s="61">
        <v>0</v>
      </c>
      <c r="C2266" s="61">
        <v>0</v>
      </c>
    </row>
    <row r="2267" spans="1:3" ht="14.25" customHeight="true">
      <c r="A2267" s="60" t="s">
        <v>33740</v>
      </c>
      <c r="B2267" s="61">
        <v>0</v>
      </c>
      <c r="C2267" s="61">
        <v>0</v>
      </c>
    </row>
    <row r="2268" spans="1:3" ht="14.25" customHeight="true">
      <c r="A2268" s="60" t="s">
        <v>33741</v>
      </c>
      <c r="B2268" s="61">
        <v>0</v>
      </c>
      <c r="C2268" s="61">
        <v>0</v>
      </c>
    </row>
    <row r="2269" spans="1:3" ht="14.25" customHeight="true">
      <c r="A2269" s="60" t="s">
        <v>33742</v>
      </c>
      <c r="B2269" s="61">
        <v>0</v>
      </c>
      <c r="C2269" s="61">
        <v>0</v>
      </c>
    </row>
    <row r="2270" spans="1:3" ht="14.25" customHeight="true">
      <c r="A2270" s="60" t="s">
        <v>33743</v>
      </c>
      <c r="B2270" s="61">
        <v>0</v>
      </c>
      <c r="C2270" s="61">
        <v>0</v>
      </c>
    </row>
    <row r="2271" spans="1:3" ht="14.25" customHeight="true">
      <c r="A2271" s="60" t="s">
        <v>33744</v>
      </c>
      <c r="B2271" s="61">
        <v>0</v>
      </c>
      <c r="C2271" s="61">
        <v>0</v>
      </c>
    </row>
    <row r="2272" spans="1:3" ht="14.25" customHeight="true">
      <c r="A2272" s="60" t="s">
        <v>33745</v>
      </c>
      <c r="B2272" s="61">
        <v>0</v>
      </c>
      <c r="C2272" s="61">
        <v>0</v>
      </c>
    </row>
    <row r="2273" spans="1:3" ht="14.25" customHeight="true">
      <c r="A2273" s="60" t="s">
        <v>33746</v>
      </c>
      <c r="B2273" s="61">
        <v>0</v>
      </c>
      <c r="C2273" s="61">
        <v>0</v>
      </c>
    </row>
    <row r="2274" spans="1:3" ht="14.25" customHeight="true">
      <c r="A2274" s="60" t="s">
        <v>33747</v>
      </c>
      <c r="B2274" s="61">
        <v>0</v>
      </c>
      <c r="C2274" s="61">
        <v>0</v>
      </c>
    </row>
    <row r="2275" spans="1:3" ht="14.25" customHeight="true">
      <c r="A2275" s="60" t="s">
        <v>33748</v>
      </c>
      <c r="B2275" s="61">
        <v>0</v>
      </c>
      <c r="C2275" s="61">
        <v>0</v>
      </c>
    </row>
    <row r="2276" spans="1:3" ht="14.25" customHeight="true">
      <c r="A2276" s="60" t="s">
        <v>33749</v>
      </c>
      <c r="B2276" s="61">
        <v>0</v>
      </c>
      <c r="C2276" s="61">
        <v>0</v>
      </c>
    </row>
    <row r="2277" spans="1:3" ht="14.25" customHeight="true">
      <c r="A2277" s="60" t="s">
        <v>33750</v>
      </c>
      <c r="B2277" s="61">
        <v>0</v>
      </c>
      <c r="C2277" s="61">
        <v>0</v>
      </c>
    </row>
    <row r="2278" spans="1:3" ht="14.25" customHeight="true">
      <c r="A2278" s="60" t="s">
        <v>33751</v>
      </c>
      <c r="B2278" s="61">
        <v>0</v>
      </c>
      <c r="C2278" s="61">
        <v>0</v>
      </c>
    </row>
    <row r="2279" spans="1:3" ht="14.25" customHeight="true">
      <c r="A2279" s="60" t="s">
        <v>33752</v>
      </c>
      <c r="B2279" s="61">
        <v>0</v>
      </c>
      <c r="C2279" s="61">
        <v>0</v>
      </c>
    </row>
    <row r="2280" spans="1:3" ht="14.25" customHeight="true">
      <c r="A2280" s="60" t="s">
        <v>33753</v>
      </c>
      <c r="B2280" s="61">
        <v>0</v>
      </c>
      <c r="C2280" s="61">
        <v>0</v>
      </c>
    </row>
    <row r="2281" spans="1:3" ht="14.25" customHeight="true">
      <c r="A2281" s="60" t="s">
        <v>33754</v>
      </c>
      <c r="B2281" s="61">
        <v>0</v>
      </c>
      <c r="C2281" s="61">
        <v>0</v>
      </c>
    </row>
    <row r="2282" spans="1:3" ht="14.25" customHeight="true">
      <c r="A2282" s="60" t="s">
        <v>33755</v>
      </c>
      <c r="B2282" s="61">
        <v>0</v>
      </c>
      <c r="C2282" s="61">
        <v>0</v>
      </c>
    </row>
    <row r="2283" spans="1:3" ht="14.25" customHeight="true">
      <c r="A2283" s="60" t="s">
        <v>33756</v>
      </c>
      <c r="B2283" s="61">
        <v>0</v>
      </c>
      <c r="C2283" s="61">
        <v>0</v>
      </c>
    </row>
    <row r="2284" spans="1:3" ht="14.25" customHeight="true">
      <c r="A2284" s="60" t="s">
        <v>33757</v>
      </c>
      <c r="B2284" s="61">
        <v>0</v>
      </c>
      <c r="C2284" s="61">
        <v>0</v>
      </c>
    </row>
    <row r="2285" spans="1:3" ht="14.25" customHeight="true">
      <c r="A2285" s="60" t="s">
        <v>33758</v>
      </c>
      <c r="B2285" s="61">
        <v>0</v>
      </c>
      <c r="C2285" s="61">
        <v>0</v>
      </c>
    </row>
    <row r="2286" spans="1:3" ht="14.25" customHeight="true">
      <c r="A2286" s="60" t="s">
        <v>33759</v>
      </c>
      <c r="B2286" s="61">
        <v>0</v>
      </c>
      <c r="C2286" s="61">
        <v>0</v>
      </c>
    </row>
    <row r="2287" spans="1:3" ht="14.25" customHeight="true">
      <c r="A2287" s="60" t="s">
        <v>33760</v>
      </c>
      <c r="B2287" s="61">
        <v>0</v>
      </c>
      <c r="C2287" s="61">
        <v>0</v>
      </c>
    </row>
    <row r="2288" spans="1:3" ht="14.25" customHeight="true">
      <c r="A2288" s="60" t="s">
        <v>33761</v>
      </c>
      <c r="B2288" s="61">
        <v>0</v>
      </c>
      <c r="C2288" s="61">
        <v>0</v>
      </c>
    </row>
    <row r="2289" spans="1:3" ht="14.25" customHeight="true">
      <c r="A2289" s="60" t="s">
        <v>33762</v>
      </c>
      <c r="B2289" s="61">
        <v>0</v>
      </c>
      <c r="C2289" s="61">
        <v>0</v>
      </c>
    </row>
    <row r="2290" spans="1:3" ht="14.25" customHeight="true">
      <c r="A2290" s="60" t="s">
        <v>33763</v>
      </c>
      <c r="B2290" s="61">
        <v>0</v>
      </c>
      <c r="C2290" s="61">
        <v>0</v>
      </c>
    </row>
    <row r="2291" spans="1:3" ht="14.25" customHeight="true">
      <c r="A2291" s="60" t="s">
        <v>33764</v>
      </c>
      <c r="B2291" s="61">
        <v>0</v>
      </c>
      <c r="C2291" s="61">
        <v>0</v>
      </c>
    </row>
    <row r="2292" spans="1:3" ht="14.25" customHeight="true">
      <c r="A2292" s="60" t="s">
        <v>33765</v>
      </c>
      <c r="B2292" s="61">
        <v>0</v>
      </c>
      <c r="C2292" s="61">
        <v>0</v>
      </c>
    </row>
    <row r="2293" spans="1:3" ht="14.25" customHeight="true">
      <c r="A2293" s="60" t="s">
        <v>33766</v>
      </c>
      <c r="B2293" s="61">
        <v>0</v>
      </c>
      <c r="C2293" s="61">
        <v>0</v>
      </c>
    </row>
    <row r="2294" spans="1:3" ht="14.25" customHeight="true">
      <c r="A2294" s="60" t="s">
        <v>33767</v>
      </c>
      <c r="B2294" s="61">
        <v>0</v>
      </c>
      <c r="C2294" s="61">
        <v>0</v>
      </c>
    </row>
    <row r="2295" spans="1:3" ht="14.25" customHeight="true">
      <c r="A2295" s="60" t="s">
        <v>33768</v>
      </c>
      <c r="B2295" s="61">
        <v>0</v>
      </c>
      <c r="C2295" s="61">
        <v>0</v>
      </c>
    </row>
    <row r="2296" spans="1:3" ht="14.25" customHeight="true">
      <c r="A2296" s="60" t="s">
        <v>33769</v>
      </c>
      <c r="B2296" s="61">
        <v>0</v>
      </c>
      <c r="C2296" s="61">
        <v>0</v>
      </c>
    </row>
    <row r="2297" spans="1:3" ht="14.25" customHeight="true">
      <c r="A2297" s="60" t="s">
        <v>33770</v>
      </c>
      <c r="B2297" s="61">
        <v>0</v>
      </c>
      <c r="C2297" s="61">
        <v>0</v>
      </c>
    </row>
    <row r="2298" spans="1:3" ht="14.25" customHeight="true">
      <c r="A2298" s="60" t="s">
        <v>33771</v>
      </c>
      <c r="B2298" s="61">
        <v>0</v>
      </c>
      <c r="C2298" s="61">
        <v>0</v>
      </c>
    </row>
    <row r="2299" spans="1:3" ht="14.25" customHeight="true">
      <c r="A2299" s="60" t="s">
        <v>33772</v>
      </c>
      <c r="B2299" s="61">
        <v>0</v>
      </c>
      <c r="C2299" s="61">
        <v>0</v>
      </c>
    </row>
    <row r="2300" spans="1:3" ht="14.25" customHeight="true">
      <c r="A2300" s="60" t="s">
        <v>33773</v>
      </c>
      <c r="B2300" s="61">
        <v>0</v>
      </c>
      <c r="C2300" s="61">
        <v>0</v>
      </c>
    </row>
    <row r="2301" spans="1:3" ht="14.25" customHeight="true">
      <c r="A2301" s="60" t="s">
        <v>33774</v>
      </c>
      <c r="B2301" s="61">
        <v>0</v>
      </c>
      <c r="C2301" s="61">
        <v>0</v>
      </c>
    </row>
    <row r="2302" spans="1:3" ht="14.25" customHeight="true">
      <c r="A2302" s="60" t="s">
        <v>33775</v>
      </c>
      <c r="B2302" s="61">
        <v>0</v>
      </c>
      <c r="C2302" s="61">
        <v>0</v>
      </c>
    </row>
    <row r="2303" spans="1:3" ht="14.25" customHeight="true">
      <c r="A2303" s="60" t="s">
        <v>33776</v>
      </c>
      <c r="B2303" s="61">
        <v>0</v>
      </c>
      <c r="C2303" s="61">
        <v>0</v>
      </c>
    </row>
    <row r="2304" spans="1:3" ht="14.25" customHeight="true">
      <c r="A2304" s="60" t="s">
        <v>33777</v>
      </c>
      <c r="B2304" s="61">
        <v>0</v>
      </c>
      <c r="C2304" s="61">
        <v>0</v>
      </c>
    </row>
    <row r="2305" spans="1:3" ht="14.25" customHeight="true">
      <c r="A2305" s="60" t="s">
        <v>33778</v>
      </c>
      <c r="B2305" s="61">
        <v>0</v>
      </c>
      <c r="C2305" s="61">
        <v>0</v>
      </c>
    </row>
    <row r="2306" spans="1:3" ht="14.25" customHeight="true">
      <c r="A2306" s="60" t="s">
        <v>33779</v>
      </c>
      <c r="B2306" s="61">
        <v>0</v>
      </c>
      <c r="C2306" s="61">
        <v>0</v>
      </c>
    </row>
    <row r="2307" spans="1:3" ht="14.25" customHeight="true">
      <c r="A2307" s="60" t="s">
        <v>33780</v>
      </c>
      <c r="B2307" s="61">
        <v>0</v>
      </c>
      <c r="C2307" s="61">
        <v>0</v>
      </c>
    </row>
    <row r="2308" spans="1:3" ht="14.25" customHeight="true">
      <c r="A2308" s="60" t="s">
        <v>33781</v>
      </c>
      <c r="B2308" s="61">
        <v>0</v>
      </c>
      <c r="C2308" s="61">
        <v>0</v>
      </c>
    </row>
    <row r="2309" spans="1:3" ht="14.25" customHeight="true">
      <c r="A2309" s="60" t="s">
        <v>33782</v>
      </c>
      <c r="B2309" s="61">
        <v>0</v>
      </c>
      <c r="C2309" s="61">
        <v>0</v>
      </c>
    </row>
    <row r="2310" spans="1:3" ht="14.25" customHeight="true">
      <c r="A2310" s="60" t="s">
        <v>33783</v>
      </c>
      <c r="B2310" s="61">
        <v>0</v>
      </c>
      <c r="C2310" s="61">
        <v>0</v>
      </c>
    </row>
    <row r="2311" spans="1:3" ht="14.25" customHeight="true">
      <c r="A2311" s="60" t="s">
        <v>33784</v>
      </c>
      <c r="B2311" s="61">
        <v>0</v>
      </c>
      <c r="C2311" s="61">
        <v>0</v>
      </c>
    </row>
    <row r="2312" spans="1:3" ht="14.25" customHeight="true">
      <c r="A2312" s="60" t="s">
        <v>33785</v>
      </c>
      <c r="B2312" s="61">
        <v>0</v>
      </c>
      <c r="C2312" s="61">
        <v>0</v>
      </c>
    </row>
    <row r="2313" spans="1:3" ht="14.25" customHeight="true">
      <c r="A2313" s="60" t="s">
        <v>33786</v>
      </c>
      <c r="B2313" s="61">
        <v>0</v>
      </c>
      <c r="C2313" s="61">
        <v>0</v>
      </c>
    </row>
    <row r="2314" spans="1:3" ht="14.25" customHeight="true">
      <c r="A2314" s="60" t="s">
        <v>33787</v>
      </c>
      <c r="B2314" s="61">
        <v>0</v>
      </c>
      <c r="C2314" s="61">
        <v>0</v>
      </c>
    </row>
    <row r="2315" spans="1:3" ht="14.25" customHeight="true">
      <c r="A2315" s="60" t="s">
        <v>33788</v>
      </c>
      <c r="B2315" s="61">
        <v>0</v>
      </c>
      <c r="C2315" s="61">
        <v>0</v>
      </c>
    </row>
    <row r="2316" spans="1:3" ht="14.25" customHeight="true">
      <c r="A2316" s="60" t="s">
        <v>33789</v>
      </c>
      <c r="B2316" s="61">
        <v>0</v>
      </c>
      <c r="C2316" s="61">
        <v>0</v>
      </c>
    </row>
    <row r="2317" spans="1:3" ht="14.25" customHeight="true">
      <c r="A2317" s="60" t="s">
        <v>33790</v>
      </c>
      <c r="B2317" s="61">
        <v>0</v>
      </c>
      <c r="C2317" s="61">
        <v>0</v>
      </c>
    </row>
    <row r="2318" spans="1:3" ht="14.25" customHeight="true">
      <c r="A2318" s="60" t="s">
        <v>33791</v>
      </c>
      <c r="B2318" s="61">
        <v>0</v>
      </c>
      <c r="C2318" s="61">
        <v>0</v>
      </c>
    </row>
    <row r="2319" spans="1:3" ht="14.25" customHeight="true">
      <c r="A2319" s="60" t="s">
        <v>33792</v>
      </c>
      <c r="B2319" s="61">
        <v>0</v>
      </c>
      <c r="C2319" s="61">
        <v>0</v>
      </c>
    </row>
    <row r="2320" spans="1:3" ht="14.25" customHeight="true">
      <c r="A2320" s="60" t="s">
        <v>33793</v>
      </c>
      <c r="B2320" s="61">
        <v>0</v>
      </c>
      <c r="C2320" s="61">
        <v>0</v>
      </c>
    </row>
    <row r="2321" spans="1:3" ht="14.25" customHeight="true">
      <c r="A2321" s="60" t="s">
        <v>33794</v>
      </c>
      <c r="B2321" s="61">
        <v>0</v>
      </c>
      <c r="C2321" s="61">
        <v>0</v>
      </c>
    </row>
    <row r="2322" spans="1:3" ht="14.25" customHeight="true">
      <c r="A2322" s="60" t="s">
        <v>33795</v>
      </c>
      <c r="B2322" s="61">
        <v>0</v>
      </c>
      <c r="C2322" s="61">
        <v>0</v>
      </c>
    </row>
    <row r="2323" spans="1:3" ht="14.25" customHeight="true">
      <c r="A2323" s="60" t="s">
        <v>33796</v>
      </c>
      <c r="B2323" s="61">
        <v>0</v>
      </c>
      <c r="C2323" s="61">
        <v>0</v>
      </c>
    </row>
    <row r="2324" spans="1:3" ht="14.25" customHeight="true">
      <c r="A2324" s="60" t="s">
        <v>33797</v>
      </c>
      <c r="B2324" s="61">
        <v>0</v>
      </c>
      <c r="C2324" s="61">
        <v>0</v>
      </c>
    </row>
    <row r="2325" spans="1:3" ht="14.25" customHeight="true">
      <c r="A2325" s="60" t="s">
        <v>33798</v>
      </c>
      <c r="B2325" s="61">
        <v>0</v>
      </c>
      <c r="C2325" s="61">
        <v>0</v>
      </c>
    </row>
    <row r="2326" spans="1:3" ht="14.25" customHeight="true">
      <c r="A2326" s="60" t="s">
        <v>33799</v>
      </c>
      <c r="B2326" s="61">
        <v>0</v>
      </c>
      <c r="C2326" s="61">
        <v>0</v>
      </c>
    </row>
    <row r="2327" spans="1:3" ht="14.25" customHeight="true">
      <c r="A2327" s="60" t="s">
        <v>33800</v>
      </c>
      <c r="B2327" s="61">
        <v>0</v>
      </c>
      <c r="C2327" s="61">
        <v>0</v>
      </c>
    </row>
    <row r="2328" spans="1:3" ht="14.25" customHeight="true">
      <c r="A2328" s="60" t="s">
        <v>33801</v>
      </c>
      <c r="B2328" s="61">
        <v>0</v>
      </c>
      <c r="C2328" s="61">
        <v>0</v>
      </c>
    </row>
    <row r="2329" spans="1:3" ht="14.25" customHeight="true">
      <c r="A2329" s="60" t="s">
        <v>33802</v>
      </c>
      <c r="B2329" s="61">
        <v>0</v>
      </c>
      <c r="C2329" s="61">
        <v>0</v>
      </c>
    </row>
    <row r="2330" spans="1:3" ht="14.25" customHeight="true">
      <c r="A2330" s="60" t="s">
        <v>33803</v>
      </c>
      <c r="B2330" s="61">
        <v>0</v>
      </c>
      <c r="C2330" s="61">
        <v>0</v>
      </c>
    </row>
    <row r="2331" spans="1:3" ht="14.25" customHeight="true">
      <c r="A2331" s="60" t="s">
        <v>33804</v>
      </c>
      <c r="B2331" s="61">
        <v>0</v>
      </c>
      <c r="C2331" s="61">
        <v>0</v>
      </c>
    </row>
    <row r="2332" spans="1:3" ht="14.25" customHeight="true">
      <c r="A2332" s="60" t="s">
        <v>33805</v>
      </c>
      <c r="B2332" s="61">
        <v>0</v>
      </c>
      <c r="C2332" s="61">
        <v>0</v>
      </c>
    </row>
    <row r="2333" spans="1:3" ht="14.25" customHeight="true">
      <c r="A2333" s="60" t="s">
        <v>33806</v>
      </c>
      <c r="B2333" s="61">
        <v>0</v>
      </c>
      <c r="C2333" s="61">
        <v>0</v>
      </c>
    </row>
    <row r="2334" spans="1:3" ht="14.25" customHeight="true">
      <c r="A2334" s="60" t="s">
        <v>33807</v>
      </c>
      <c r="B2334" s="61">
        <v>0</v>
      </c>
      <c r="C2334" s="61">
        <v>0</v>
      </c>
    </row>
    <row r="2335" spans="1:3" ht="14.25" customHeight="true">
      <c r="A2335" s="60" t="s">
        <v>33808</v>
      </c>
      <c r="B2335" s="61">
        <v>0</v>
      </c>
      <c r="C2335" s="61">
        <v>0</v>
      </c>
    </row>
    <row r="2336" spans="1:3" ht="14.25" customHeight="true">
      <c r="A2336" s="60" t="s">
        <v>33809</v>
      </c>
      <c r="B2336" s="61">
        <v>0</v>
      </c>
      <c r="C2336" s="61">
        <v>0</v>
      </c>
    </row>
    <row r="2337" spans="1:3" ht="14.25" customHeight="true">
      <c r="A2337" s="60" t="s">
        <v>33810</v>
      </c>
      <c r="B2337" s="61">
        <v>0</v>
      </c>
      <c r="C2337" s="61">
        <v>0</v>
      </c>
    </row>
    <row r="2338" spans="1:3" ht="14.25" customHeight="true">
      <c r="A2338" s="60" t="s">
        <v>33811</v>
      </c>
      <c r="B2338" s="61">
        <v>0</v>
      </c>
      <c r="C2338" s="61">
        <v>0</v>
      </c>
    </row>
    <row r="2339" spans="1:3" ht="14.25" customHeight="true">
      <c r="A2339" s="60" t="s">
        <v>33812</v>
      </c>
      <c r="B2339" s="61">
        <v>0</v>
      </c>
      <c r="C2339" s="61">
        <v>0</v>
      </c>
    </row>
    <row r="2340" spans="1:3" ht="14.25" customHeight="true">
      <c r="A2340" s="60" t="s">
        <v>33813</v>
      </c>
      <c r="B2340" s="61">
        <v>0</v>
      </c>
      <c r="C2340" s="61">
        <v>0</v>
      </c>
    </row>
    <row r="2341" spans="1:3" ht="14.25" customHeight="true">
      <c r="A2341" s="60" t="s">
        <v>33814</v>
      </c>
      <c r="B2341" s="61">
        <v>0</v>
      </c>
      <c r="C2341" s="61">
        <v>0</v>
      </c>
    </row>
    <row r="2342" spans="1:3" ht="14.25" customHeight="true">
      <c r="A2342" s="60" t="s">
        <v>33815</v>
      </c>
      <c r="B2342" s="61">
        <v>0</v>
      </c>
      <c r="C2342" s="61">
        <v>0</v>
      </c>
    </row>
    <row r="2343" spans="1:3" ht="14.25" customHeight="true">
      <c r="A2343" s="60" t="s">
        <v>33816</v>
      </c>
      <c r="B2343" s="61">
        <v>0</v>
      </c>
      <c r="C2343" s="61">
        <v>0</v>
      </c>
    </row>
    <row r="2344" spans="1:3" ht="14.25" customHeight="true">
      <c r="A2344" s="60" t="s">
        <v>33817</v>
      </c>
      <c r="B2344" s="61">
        <v>0</v>
      </c>
      <c r="C2344" s="61">
        <v>0</v>
      </c>
    </row>
    <row r="2345" spans="1:3" ht="14.25" customHeight="true">
      <c r="A2345" s="60" t="s">
        <v>33818</v>
      </c>
      <c r="B2345" s="61">
        <v>-45000</v>
      </c>
      <c r="C2345" s="61">
        <v>-135000</v>
      </c>
    </row>
    <row r="2346" spans="1:3" ht="14.25" customHeight="true">
      <c r="A2346" s="60" t="s">
        <v>33819</v>
      </c>
      <c r="B2346" s="61">
        <v>0</v>
      </c>
      <c r="C2346" s="61">
        <v>0</v>
      </c>
    </row>
    <row r="2347" spans="1:3" ht="14.25" customHeight="true">
      <c r="A2347" s="60" t="s">
        <v>33820</v>
      </c>
      <c r="B2347" s="61">
        <v>0</v>
      </c>
      <c r="C2347" s="61">
        <v>0</v>
      </c>
    </row>
    <row r="2348" spans="1:3" ht="14.25" customHeight="true">
      <c r="A2348" s="60" t="s">
        <v>33821</v>
      </c>
      <c r="B2348" s="61">
        <v>0</v>
      </c>
      <c r="C2348" s="61">
        <v>0</v>
      </c>
    </row>
    <row r="2349" spans="1:3" ht="14.25" customHeight="true">
      <c r="A2349" s="60" t="s">
        <v>33822</v>
      </c>
      <c r="B2349" s="61">
        <v>0</v>
      </c>
      <c r="C2349" s="61">
        <v>0</v>
      </c>
    </row>
    <row r="2350" spans="1:3" ht="14.25" customHeight="true">
      <c r="A2350" s="60" t="s">
        <v>33823</v>
      </c>
      <c r="B2350" s="61">
        <v>0</v>
      </c>
      <c r="C2350" s="61">
        <v>0</v>
      </c>
    </row>
    <row r="2351" spans="1:3" ht="14.25" customHeight="true">
      <c r="A2351" s="60" t="s">
        <v>33824</v>
      </c>
      <c r="B2351" s="61">
        <v>0</v>
      </c>
      <c r="C2351" s="61">
        <v>0</v>
      </c>
    </row>
    <row r="2352" spans="1:3" ht="14.25" customHeight="true">
      <c r="A2352" s="60" t="s">
        <v>33825</v>
      </c>
      <c r="B2352" s="61">
        <v>0</v>
      </c>
      <c r="C2352" s="61">
        <v>0</v>
      </c>
    </row>
    <row r="2353" spans="1:3" ht="14.25" customHeight="true">
      <c r="A2353" s="60" t="s">
        <v>33826</v>
      </c>
      <c r="B2353" s="61">
        <v>0</v>
      </c>
      <c r="C2353" s="61">
        <v>0</v>
      </c>
    </row>
    <row r="2354" spans="1:3" ht="14.25" customHeight="true">
      <c r="A2354" s="60" t="s">
        <v>33827</v>
      </c>
      <c r="B2354" s="61">
        <v>0</v>
      </c>
      <c r="C2354" s="61">
        <v>0</v>
      </c>
    </row>
    <row r="2355" spans="1:3" ht="14.25" customHeight="true">
      <c r="A2355" s="60" t="s">
        <v>33828</v>
      </c>
      <c r="B2355" s="61">
        <v>0</v>
      </c>
      <c r="C2355" s="61">
        <v>0</v>
      </c>
    </row>
    <row r="2356" spans="1:3" ht="14.25" customHeight="true">
      <c r="A2356" s="60" t="s">
        <v>33829</v>
      </c>
      <c r="B2356" s="61">
        <v>0</v>
      </c>
      <c r="C2356" s="61">
        <v>0</v>
      </c>
    </row>
    <row r="2357" spans="1:3" ht="14.25" customHeight="true">
      <c r="A2357" s="60" t="s">
        <v>33830</v>
      </c>
      <c r="B2357" s="61">
        <v>0</v>
      </c>
      <c r="C2357" s="61">
        <v>0</v>
      </c>
    </row>
    <row r="2358" spans="1:3" ht="14.25" customHeight="true">
      <c r="A2358" s="60" t="s">
        <v>33831</v>
      </c>
      <c r="B2358" s="61">
        <v>0</v>
      </c>
      <c r="C2358" s="61">
        <v>0</v>
      </c>
    </row>
    <row r="2359" spans="1:3" ht="14.25" customHeight="true">
      <c r="A2359" s="60" t="s">
        <v>33832</v>
      </c>
      <c r="B2359" s="61">
        <v>0</v>
      </c>
      <c r="C2359" s="61">
        <v>0</v>
      </c>
    </row>
    <row r="2360" spans="1:3" ht="14.25" customHeight="true">
      <c r="A2360" s="60" t="s">
        <v>33833</v>
      </c>
      <c r="B2360" s="61">
        <v>0</v>
      </c>
      <c r="C2360" s="61">
        <v>0</v>
      </c>
    </row>
    <row r="2361" spans="1:3" ht="14.25" customHeight="true">
      <c r="A2361" s="60" t="s">
        <v>33834</v>
      </c>
      <c r="B2361" s="61">
        <v>0</v>
      </c>
      <c r="C2361" s="61">
        <v>0</v>
      </c>
    </row>
    <row r="2362" spans="1:3" ht="14.25" customHeight="true">
      <c r="A2362" s="60" t="s">
        <v>33835</v>
      </c>
      <c r="B2362" s="61">
        <v>0</v>
      </c>
      <c r="C2362" s="61">
        <v>0</v>
      </c>
    </row>
    <row r="2363" spans="1:3" ht="14.25" customHeight="true">
      <c r="A2363" s="60" t="s">
        <v>33836</v>
      </c>
      <c r="B2363" s="61">
        <v>0</v>
      </c>
      <c r="C2363" s="61">
        <v>0</v>
      </c>
    </row>
    <row r="2364" spans="1:3" ht="14.25" customHeight="true">
      <c r="A2364" s="60" t="s">
        <v>33837</v>
      </c>
      <c r="B2364" s="61">
        <v>0</v>
      </c>
      <c r="C2364" s="61">
        <v>0</v>
      </c>
    </row>
    <row r="2365" spans="1:3" ht="14.25" customHeight="true">
      <c r="A2365" s="60" t="s">
        <v>33838</v>
      </c>
      <c r="B2365" s="61">
        <v>0</v>
      </c>
      <c r="C2365" s="61">
        <v>0</v>
      </c>
    </row>
    <row r="2366" spans="1:3" ht="14.25" customHeight="true">
      <c r="A2366" s="60" t="s">
        <v>33839</v>
      </c>
      <c r="B2366" s="61">
        <v>0</v>
      </c>
      <c r="C2366" s="61">
        <v>0</v>
      </c>
    </row>
    <row r="2367" spans="1:3" ht="14.25" customHeight="true">
      <c r="A2367" s="60" t="s">
        <v>33840</v>
      </c>
      <c r="B2367" s="61">
        <v>0</v>
      </c>
      <c r="C2367" s="61">
        <v>0</v>
      </c>
    </row>
    <row r="2368" spans="1:3" ht="14.25" customHeight="true">
      <c r="A2368" s="60" t="s">
        <v>33841</v>
      </c>
      <c r="B2368" s="61">
        <v>0</v>
      </c>
      <c r="C2368" s="61">
        <v>0</v>
      </c>
    </row>
    <row r="2369" spans="1:3" ht="14.25" customHeight="true">
      <c r="A2369" s="60" t="s">
        <v>33842</v>
      </c>
      <c r="B2369" s="61">
        <v>0</v>
      </c>
      <c r="C2369" s="61">
        <v>0</v>
      </c>
    </row>
    <row r="2370" spans="1:3" ht="14.25" customHeight="true">
      <c r="A2370" s="60" t="s">
        <v>33843</v>
      </c>
      <c r="B2370" s="61">
        <v>0</v>
      </c>
      <c r="C2370" s="61">
        <v>0</v>
      </c>
    </row>
    <row r="2371" spans="1:3" ht="14.25" customHeight="true">
      <c r="A2371" s="60" t="s">
        <v>33844</v>
      </c>
      <c r="B2371" s="61">
        <v>0</v>
      </c>
      <c r="C2371" s="61">
        <v>0</v>
      </c>
    </row>
    <row r="2372" spans="1:3" ht="14.25" customHeight="true">
      <c r="A2372" s="60" t="s">
        <v>33845</v>
      </c>
      <c r="B2372" s="61">
        <v>0</v>
      </c>
      <c r="C2372" s="61">
        <v>0</v>
      </c>
    </row>
    <row r="2373" spans="1:3" ht="14.25" customHeight="true">
      <c r="A2373" s="60" t="s">
        <v>33846</v>
      </c>
      <c r="B2373" s="61">
        <v>0</v>
      </c>
      <c r="C2373" s="61">
        <v>0</v>
      </c>
    </row>
    <row r="2374" spans="1:3" ht="14.25" customHeight="true">
      <c r="A2374" s="60" t="s">
        <v>33847</v>
      </c>
      <c r="B2374" s="61">
        <v>0</v>
      </c>
      <c r="C2374" s="61">
        <v>0</v>
      </c>
    </row>
    <row r="2375" spans="1:3" ht="14.25" customHeight="true">
      <c r="A2375" s="60" t="s">
        <v>33848</v>
      </c>
      <c r="B2375" s="61">
        <v>0</v>
      </c>
      <c r="C2375" s="61">
        <v>0</v>
      </c>
    </row>
    <row r="2376" spans="1:3" ht="14.25" customHeight="true">
      <c r="A2376" s="60" t="s">
        <v>33849</v>
      </c>
      <c r="B2376" s="61">
        <v>0</v>
      </c>
      <c r="C2376" s="61">
        <v>0</v>
      </c>
    </row>
    <row r="2377" spans="1:3" ht="14.25" customHeight="true">
      <c r="A2377" s="60" t="s">
        <v>33850</v>
      </c>
      <c r="B2377" s="61">
        <v>0</v>
      </c>
      <c r="C2377" s="61">
        <v>-4430000</v>
      </c>
    </row>
    <row r="2378" spans="1:3" ht="14.25" customHeight="true">
      <c r="A2378" s="60" t="s">
        <v>33851</v>
      </c>
      <c r="B2378" s="61">
        <v>0</v>
      </c>
      <c r="C2378" s="61">
        <v>0</v>
      </c>
    </row>
    <row r="2379" spans="1:3" ht="14.25" customHeight="true">
      <c r="A2379" s="60" t="s">
        <v>33852</v>
      </c>
      <c r="B2379" s="61">
        <v>0</v>
      </c>
      <c r="C2379" s="61">
        <v>0</v>
      </c>
    </row>
    <row r="2380" spans="1:3" ht="14.25" customHeight="true">
      <c r="A2380" s="60" t="s">
        <v>33853</v>
      </c>
      <c r="B2380" s="61">
        <v>0</v>
      </c>
      <c r="C2380" s="61">
        <v>0</v>
      </c>
    </row>
    <row r="2381" spans="1:3" ht="14.25" customHeight="true">
      <c r="A2381" s="60" t="s">
        <v>33854</v>
      </c>
      <c r="B2381" s="61">
        <v>0</v>
      </c>
      <c r="C2381" s="61">
        <v>0</v>
      </c>
    </row>
    <row r="2382" spans="1:3" ht="14.25" customHeight="true">
      <c r="A2382" s="60" t="s">
        <v>33855</v>
      </c>
      <c r="B2382" s="61">
        <v>0</v>
      </c>
      <c r="C2382" s="61">
        <v>0</v>
      </c>
    </row>
    <row r="2383" spans="1:3" ht="14.25" customHeight="true">
      <c r="A2383" s="60" t="s">
        <v>33856</v>
      </c>
      <c r="B2383" s="61">
        <v>0</v>
      </c>
      <c r="C2383" s="61">
        <v>0</v>
      </c>
    </row>
    <row r="2384" spans="1:3" ht="14.25" customHeight="true">
      <c r="A2384" s="60" t="s">
        <v>33857</v>
      </c>
      <c r="B2384" s="61">
        <v>0</v>
      </c>
      <c r="C2384" s="61">
        <v>0</v>
      </c>
    </row>
    <row r="2385" spans="1:3" ht="14.25" customHeight="true">
      <c r="A2385" s="60" t="s">
        <v>33858</v>
      </c>
      <c r="B2385" s="61">
        <v>0</v>
      </c>
      <c r="C2385" s="61">
        <v>0</v>
      </c>
    </row>
    <row r="2386" spans="1:3" ht="14.25" customHeight="true">
      <c r="A2386" s="60" t="s">
        <v>33859</v>
      </c>
      <c r="B2386" s="61">
        <v>0</v>
      </c>
      <c r="C2386" s="61">
        <v>0</v>
      </c>
    </row>
    <row r="2387" spans="1:3" ht="14.25" customHeight="true">
      <c r="A2387" s="60" t="s">
        <v>33860</v>
      </c>
      <c r="B2387" s="61">
        <v>0</v>
      </c>
      <c r="C2387" s="61">
        <v>0</v>
      </c>
    </row>
    <row r="2388" spans="1:3" ht="14.25" customHeight="true">
      <c r="A2388" s="60" t="s">
        <v>33861</v>
      </c>
      <c r="B2388" s="61">
        <v>0</v>
      </c>
      <c r="C2388" s="61">
        <v>0</v>
      </c>
    </row>
    <row r="2389" spans="1:3" ht="14.25" customHeight="true">
      <c r="A2389" s="60" t="s">
        <v>33862</v>
      </c>
      <c r="B2389" s="61">
        <v>0</v>
      </c>
      <c r="C2389" s="61">
        <v>0</v>
      </c>
    </row>
    <row r="2390" spans="1:3" ht="14.25" customHeight="true">
      <c r="A2390" s="60" t="s">
        <v>33863</v>
      </c>
      <c r="B2390" s="61">
        <v>0</v>
      </c>
      <c r="C2390" s="61">
        <v>0</v>
      </c>
    </row>
    <row r="2391" spans="1:3" ht="14.25" customHeight="true">
      <c r="A2391" s="60" t="s">
        <v>33864</v>
      </c>
      <c r="B2391" s="61">
        <v>0</v>
      </c>
      <c r="C2391" s="61">
        <v>0</v>
      </c>
    </row>
    <row r="2392" spans="1:3" ht="14.25" customHeight="true">
      <c r="A2392" s="60" t="s">
        <v>33865</v>
      </c>
      <c r="B2392" s="61">
        <v>0</v>
      </c>
      <c r="C2392" s="61">
        <v>0</v>
      </c>
    </row>
    <row r="2393" spans="1:3" ht="14.25" customHeight="true">
      <c r="A2393" s="60" t="s">
        <v>33866</v>
      </c>
      <c r="B2393" s="61">
        <v>0</v>
      </c>
      <c r="C2393" s="61">
        <v>0</v>
      </c>
    </row>
    <row r="2394" spans="1:3" ht="14.25" customHeight="true">
      <c r="A2394" s="60" t="s">
        <v>33867</v>
      </c>
      <c r="B2394" s="61">
        <v>0</v>
      </c>
      <c r="C2394" s="61">
        <v>0</v>
      </c>
    </row>
    <row r="2395" spans="1:3" ht="14.25" customHeight="true">
      <c r="A2395" s="60" t="s">
        <v>33868</v>
      </c>
      <c r="B2395" s="61">
        <v>0</v>
      </c>
      <c r="C2395" s="61">
        <v>0</v>
      </c>
    </row>
    <row r="2396" spans="1:3" ht="14.25" customHeight="true">
      <c r="A2396" s="60" t="s">
        <v>33869</v>
      </c>
      <c r="B2396" s="61">
        <v>0</v>
      </c>
      <c r="C2396" s="61">
        <v>0</v>
      </c>
    </row>
    <row r="2397" spans="1:3" ht="14.25" customHeight="true">
      <c r="A2397" s="60" t="s">
        <v>33870</v>
      </c>
      <c r="B2397" s="61">
        <v>0</v>
      </c>
      <c r="C2397" s="61">
        <v>0</v>
      </c>
    </row>
    <row r="2398" spans="1:3" ht="14.25" customHeight="true">
      <c r="A2398" s="60" t="s">
        <v>33871</v>
      </c>
      <c r="B2398" s="61">
        <v>0</v>
      </c>
      <c r="C2398" s="61">
        <v>0</v>
      </c>
    </row>
    <row r="2399" spans="1:3" ht="14.25" customHeight="true">
      <c r="A2399" s="60" t="s">
        <v>33872</v>
      </c>
      <c r="B2399" s="61">
        <v>0</v>
      </c>
      <c r="C2399" s="61">
        <v>0</v>
      </c>
    </row>
    <row r="2400" spans="1:3" ht="14.25" customHeight="true">
      <c r="A2400" s="60" t="s">
        <v>33873</v>
      </c>
      <c r="B2400" s="61">
        <v>0</v>
      </c>
      <c r="C2400" s="61">
        <v>0</v>
      </c>
    </row>
    <row r="2401" spans="1:3" ht="14.25" customHeight="true">
      <c r="A2401" s="60" t="s">
        <v>33874</v>
      </c>
      <c r="B2401" s="61">
        <v>0</v>
      </c>
      <c r="C2401" s="61">
        <v>0</v>
      </c>
    </row>
    <row r="2402" spans="1:3" ht="14.25" customHeight="true">
      <c r="A2402" s="60" t="s">
        <v>33875</v>
      </c>
      <c r="B2402" s="61">
        <v>0</v>
      </c>
      <c r="C2402" s="61">
        <v>0</v>
      </c>
    </row>
    <row r="2403" spans="1:3" ht="14.25" customHeight="true">
      <c r="A2403" s="60" t="s">
        <v>33876</v>
      </c>
      <c r="B2403" s="61">
        <v>0</v>
      </c>
      <c r="C2403" s="61">
        <v>0</v>
      </c>
    </row>
    <row r="2404" spans="1:3" ht="14.25" customHeight="true">
      <c r="A2404" s="60" t="s">
        <v>33877</v>
      </c>
      <c r="B2404" s="61">
        <v>0</v>
      </c>
      <c r="C2404" s="61">
        <v>0</v>
      </c>
    </row>
    <row r="2405" spans="1:3" ht="14.25" customHeight="true">
      <c r="A2405" s="60" t="s">
        <v>33878</v>
      </c>
      <c r="B2405" s="61">
        <v>0</v>
      </c>
      <c r="C2405" s="61">
        <v>0</v>
      </c>
    </row>
    <row r="2406" spans="1:3" ht="14.25" customHeight="true">
      <c r="A2406" s="60" t="s">
        <v>33879</v>
      </c>
      <c r="B2406" s="61">
        <v>0</v>
      </c>
      <c r="C2406" s="61">
        <v>0</v>
      </c>
    </row>
    <row r="2407" spans="1:3" ht="14.25" customHeight="true">
      <c r="A2407" s="60" t="s">
        <v>33880</v>
      </c>
      <c r="B2407" s="61">
        <v>0</v>
      </c>
      <c r="C2407" s="61">
        <v>0</v>
      </c>
    </row>
    <row r="2408" spans="1:3" ht="14.25" customHeight="true">
      <c r="A2408" s="60" t="s">
        <v>33881</v>
      </c>
      <c r="B2408" s="61">
        <v>0</v>
      </c>
      <c r="C2408" s="61">
        <v>0</v>
      </c>
    </row>
    <row r="2409" spans="1:3" ht="14.25" customHeight="true">
      <c r="A2409" s="60" t="s">
        <v>33882</v>
      </c>
      <c r="B2409" s="61">
        <v>0</v>
      </c>
      <c r="C2409" s="61">
        <v>6963.97</v>
      </c>
    </row>
    <row r="2410" spans="1:3" ht="14.25" customHeight="true">
      <c r="A2410" s="60" t="s">
        <v>33883</v>
      </c>
      <c r="B2410" s="61">
        <v>0</v>
      </c>
      <c r="C2410" s="61">
        <v>0</v>
      </c>
    </row>
    <row r="2411" spans="1:3" ht="14.25" customHeight="true">
      <c r="A2411" s="60" t="s">
        <v>33884</v>
      </c>
      <c r="B2411" s="61">
        <v>-175000</v>
      </c>
      <c r="C2411" s="61">
        <v>-445000</v>
      </c>
    </row>
    <row r="2412" spans="1:3" ht="14.25" customHeight="true">
      <c r="A2412" s="60" t="s">
        <v>33885</v>
      </c>
      <c r="B2412" s="61">
        <v>0</v>
      </c>
      <c r="C2412" s="61">
        <v>0</v>
      </c>
    </row>
    <row r="2413" spans="1:3" ht="14.25" customHeight="true">
      <c r="A2413" s="60" t="s">
        <v>33886</v>
      </c>
      <c r="B2413" s="61">
        <v>0</v>
      </c>
      <c r="C2413" s="61">
        <v>0</v>
      </c>
    </row>
    <row r="2414" spans="1:3" ht="14.25" customHeight="true">
      <c r="A2414" s="60" t="s">
        <v>33887</v>
      </c>
      <c r="B2414" s="61">
        <v>0</v>
      </c>
      <c r="C2414" s="61">
        <v>0</v>
      </c>
    </row>
    <row r="2415" spans="1:3" ht="14.25" customHeight="true">
      <c r="A2415" s="60" t="s">
        <v>33888</v>
      </c>
      <c r="B2415" s="61">
        <v>0</v>
      </c>
      <c r="C2415" s="61">
        <v>0</v>
      </c>
    </row>
    <row r="2416" spans="1:3" ht="14.25" customHeight="true">
      <c r="A2416" s="60" t="s">
        <v>33889</v>
      </c>
      <c r="B2416" s="61">
        <v>0</v>
      </c>
      <c r="C2416" s="61">
        <v>0</v>
      </c>
    </row>
    <row r="2417" spans="1:3" ht="14.25" customHeight="true">
      <c r="A2417" s="60" t="s">
        <v>33890</v>
      </c>
      <c r="B2417" s="61">
        <v>0</v>
      </c>
      <c r="C2417" s="61">
        <v>0</v>
      </c>
    </row>
    <row r="2418" spans="1:3" ht="14.25" customHeight="true">
      <c r="A2418" s="60" t="s">
        <v>33891</v>
      </c>
      <c r="B2418" s="61">
        <v>0</v>
      </c>
      <c r="C2418" s="61">
        <v>0</v>
      </c>
    </row>
    <row r="2419" spans="1:3" ht="14.25" customHeight="true">
      <c r="A2419" s="60" t="s">
        <v>33892</v>
      </c>
      <c r="B2419" s="61">
        <v>0</v>
      </c>
      <c r="C2419" s="61">
        <v>0</v>
      </c>
    </row>
    <row r="2420" spans="1:3" ht="14.25" customHeight="true">
      <c r="A2420" s="60" t="s">
        <v>33893</v>
      </c>
      <c r="B2420" s="61">
        <v>0</v>
      </c>
      <c r="C2420" s="61">
        <v>0</v>
      </c>
    </row>
    <row r="2421" spans="1:3" ht="14.25" customHeight="true">
      <c r="A2421" s="60" t="s">
        <v>33894</v>
      </c>
      <c r="B2421" s="61">
        <v>0</v>
      </c>
      <c r="C2421" s="61">
        <v>0</v>
      </c>
    </row>
    <row r="2422" spans="1:3" ht="14.25" customHeight="true">
      <c r="A2422" s="60" t="s">
        <v>33895</v>
      </c>
      <c r="B2422" s="61">
        <v>0</v>
      </c>
      <c r="C2422" s="61">
        <v>0</v>
      </c>
    </row>
    <row r="2423" spans="1:3" ht="14.25" customHeight="true">
      <c r="A2423" s="60" t="s">
        <v>33896</v>
      </c>
      <c r="B2423" s="61">
        <v>0</v>
      </c>
      <c r="C2423" s="61">
        <v>0</v>
      </c>
    </row>
    <row r="2424" spans="1:3" ht="14.25" customHeight="true">
      <c r="A2424" s="60" t="s">
        <v>33897</v>
      </c>
      <c r="B2424" s="61">
        <v>0</v>
      </c>
      <c r="C2424" s="61">
        <v>0</v>
      </c>
    </row>
    <row r="2425" spans="1:3" ht="14.25" customHeight="true">
      <c r="A2425" s="60" t="s">
        <v>33898</v>
      </c>
      <c r="B2425" s="61">
        <v>0</v>
      </c>
      <c r="C2425" s="61">
        <v>0</v>
      </c>
    </row>
    <row r="2426" spans="1:3" ht="14.25" customHeight="true">
      <c r="A2426" s="60" t="s">
        <v>33899</v>
      </c>
      <c r="B2426" s="61">
        <v>0</v>
      </c>
      <c r="C2426" s="61">
        <v>0</v>
      </c>
    </row>
    <row r="2427" spans="1:3" ht="14.25" customHeight="true">
      <c r="A2427" s="60" t="s">
        <v>33900</v>
      </c>
      <c r="B2427" s="61">
        <v>0</v>
      </c>
      <c r="C2427" s="61">
        <v>0</v>
      </c>
    </row>
    <row r="2428" spans="1:3" ht="14.25" customHeight="true">
      <c r="A2428" s="60" t="s">
        <v>33901</v>
      </c>
      <c r="B2428" s="61">
        <v>30000</v>
      </c>
      <c r="C2428" s="61">
        <v>30000</v>
      </c>
    </row>
    <row r="2429" spans="1:3" ht="14.25" customHeight="true">
      <c r="A2429" s="60" t="s">
        <v>33902</v>
      </c>
      <c r="B2429" s="61">
        <v>0</v>
      </c>
      <c r="C2429" s="61">
        <v>0</v>
      </c>
    </row>
    <row r="2430" spans="1:3" ht="14.25" customHeight="true">
      <c r="A2430" s="60" t="s">
        <v>33903</v>
      </c>
      <c r="B2430" s="61">
        <v>0</v>
      </c>
      <c r="C2430" s="61">
        <v>0</v>
      </c>
    </row>
    <row r="2431" spans="1:3" ht="14.25" customHeight="true">
      <c r="A2431" s="60" t="s">
        <v>33904</v>
      </c>
      <c r="B2431" s="61">
        <v>0</v>
      </c>
      <c r="C2431" s="61">
        <v>0</v>
      </c>
    </row>
    <row r="2432" spans="1:3" ht="14.25" customHeight="true">
      <c r="A2432" s="60" t="s">
        <v>33905</v>
      </c>
      <c r="B2432" s="61">
        <v>0</v>
      </c>
      <c r="C2432" s="61">
        <v>0</v>
      </c>
    </row>
    <row r="2433" spans="1:3" ht="14.25" customHeight="true">
      <c r="A2433" s="60" t="s">
        <v>33906</v>
      </c>
      <c r="B2433" s="61">
        <v>0</v>
      </c>
      <c r="C2433" s="61">
        <v>0</v>
      </c>
    </row>
    <row r="2434" spans="1:3" ht="14.25" customHeight="true">
      <c r="A2434" s="60" t="s">
        <v>33907</v>
      </c>
      <c r="B2434" s="61">
        <v>0</v>
      </c>
      <c r="C2434" s="61">
        <v>0</v>
      </c>
    </row>
    <row r="2435" spans="1:3" ht="14.25" customHeight="true">
      <c r="A2435" s="60" t="s">
        <v>33908</v>
      </c>
      <c r="B2435" s="61">
        <v>0</v>
      </c>
      <c r="C2435" s="61">
        <v>0</v>
      </c>
    </row>
    <row r="2436" spans="1:3" ht="14.25" customHeight="true">
      <c r="A2436" s="60" t="s">
        <v>33909</v>
      </c>
      <c r="B2436" s="61">
        <v>0</v>
      </c>
      <c r="C2436" s="61">
        <v>0</v>
      </c>
    </row>
    <row r="2437" spans="1:3" ht="14.25" customHeight="true">
      <c r="A2437" s="60" t="s">
        <v>33910</v>
      </c>
      <c r="B2437" s="61">
        <v>0</v>
      </c>
      <c r="C2437" s="61">
        <v>0</v>
      </c>
    </row>
    <row r="2438" spans="1:3" ht="14.25" customHeight="true">
      <c r="A2438" s="60" t="s">
        <v>33911</v>
      </c>
      <c r="B2438" s="61">
        <v>0</v>
      </c>
      <c r="C2438" s="61">
        <v>0</v>
      </c>
    </row>
    <row r="2439" spans="1:3" ht="14.25" customHeight="true">
      <c r="A2439" s="60" t="s">
        <v>33912</v>
      </c>
      <c r="B2439" s="61">
        <v>0</v>
      </c>
      <c r="C2439" s="61">
        <v>0</v>
      </c>
    </row>
    <row r="2440" spans="1:3" ht="14.25" customHeight="true">
      <c r="A2440" s="60" t="s">
        <v>33913</v>
      </c>
      <c r="B2440" s="61">
        <v>0</v>
      </c>
      <c r="C2440" s="61">
        <v>0</v>
      </c>
    </row>
    <row r="2441" spans="1:3" ht="14.25" customHeight="true">
      <c r="A2441" s="60" t="s">
        <v>33914</v>
      </c>
      <c r="B2441" s="61">
        <v>0</v>
      </c>
      <c r="C2441" s="61">
        <v>0</v>
      </c>
    </row>
    <row r="2442" spans="1:3" ht="14.25" customHeight="true">
      <c r="A2442" s="60" t="s">
        <v>33915</v>
      </c>
      <c r="B2442" s="61">
        <v>0</v>
      </c>
      <c r="C2442" s="61">
        <v>0</v>
      </c>
    </row>
    <row r="2443" spans="1:3" ht="14.25" customHeight="true">
      <c r="A2443" s="60" t="s">
        <v>33916</v>
      </c>
      <c r="B2443" s="61">
        <v>0</v>
      </c>
      <c r="C2443" s="61">
        <v>0</v>
      </c>
    </row>
    <row r="2444" spans="1:3" ht="14.25" customHeight="true">
      <c r="A2444" s="60" t="s">
        <v>33917</v>
      </c>
      <c r="B2444" s="61">
        <v>0</v>
      </c>
      <c r="C2444" s="61">
        <v>0</v>
      </c>
    </row>
    <row r="2445" spans="1:3" ht="14.25" customHeight="true">
      <c r="A2445" s="60" t="s">
        <v>33918</v>
      </c>
      <c r="B2445" s="61">
        <v>0</v>
      </c>
      <c r="C2445" s="61">
        <v>0</v>
      </c>
    </row>
    <row r="2446" spans="1:3" ht="14.25" customHeight="true">
      <c r="A2446" s="60" t="s">
        <v>33919</v>
      </c>
      <c r="B2446" s="61">
        <v>0</v>
      </c>
      <c r="C2446" s="61">
        <v>0</v>
      </c>
    </row>
    <row r="2447" spans="1:3" ht="14.25" customHeight="true">
      <c r="A2447" s="60" t="s">
        <v>33920</v>
      </c>
      <c r="B2447" s="61">
        <v>0</v>
      </c>
      <c r="C2447" s="61">
        <v>0</v>
      </c>
    </row>
    <row r="2448" spans="1:3" ht="14.25" customHeight="true">
      <c r="A2448" s="60" t="s">
        <v>33921</v>
      </c>
      <c r="B2448" s="61">
        <v>0</v>
      </c>
      <c r="C2448" s="61">
        <v>0</v>
      </c>
    </row>
    <row r="2449" spans="1:3" ht="14.25" customHeight="true">
      <c r="A2449" s="60" t="s">
        <v>33922</v>
      </c>
      <c r="B2449" s="61">
        <v>0</v>
      </c>
      <c r="C2449" s="61">
        <v>0</v>
      </c>
    </row>
    <row r="2450" spans="1:3" ht="14.25" customHeight="true">
      <c r="A2450" s="60" t="s">
        <v>33923</v>
      </c>
      <c r="B2450" s="61">
        <v>0</v>
      </c>
      <c r="C2450" s="61">
        <v>0</v>
      </c>
    </row>
    <row r="2451" spans="1:3" ht="14.25" customHeight="true">
      <c r="A2451" s="60" t="s">
        <v>33924</v>
      </c>
      <c r="B2451" s="61">
        <v>0</v>
      </c>
      <c r="C2451" s="61">
        <v>0</v>
      </c>
    </row>
    <row r="2452" spans="1:3" ht="14.25" customHeight="true">
      <c r="A2452" s="60" t="s">
        <v>33925</v>
      </c>
      <c r="B2452" s="61">
        <v>0</v>
      </c>
      <c r="C2452" s="61">
        <v>0</v>
      </c>
    </row>
    <row r="2453" spans="1:3" ht="14.25" customHeight="true">
      <c r="A2453" s="60" t="s">
        <v>33926</v>
      </c>
      <c r="B2453" s="61">
        <v>0</v>
      </c>
      <c r="C2453" s="61">
        <v>0</v>
      </c>
    </row>
    <row r="2454" spans="1:3" ht="14.25" customHeight="true">
      <c r="A2454" s="60" t="s">
        <v>33927</v>
      </c>
      <c r="B2454" s="61">
        <v>0</v>
      </c>
      <c r="C2454" s="61">
        <v>0</v>
      </c>
    </row>
    <row r="2455" spans="1:3" ht="14.25" customHeight="true">
      <c r="A2455" s="60" t="s">
        <v>33928</v>
      </c>
      <c r="B2455" s="61">
        <v>0</v>
      </c>
      <c r="C2455" s="61">
        <v>0</v>
      </c>
    </row>
    <row r="2456" spans="1:3" ht="14.25" customHeight="true">
      <c r="A2456" s="60" t="s">
        <v>33929</v>
      </c>
      <c r="B2456" s="61">
        <v>0</v>
      </c>
      <c r="C2456" s="61">
        <v>0</v>
      </c>
    </row>
    <row r="2457" spans="1:3" ht="14.25" customHeight="true">
      <c r="A2457" s="60" t="s">
        <v>33930</v>
      </c>
      <c r="B2457" s="61">
        <v>0</v>
      </c>
      <c r="C2457" s="61">
        <v>0</v>
      </c>
    </row>
    <row r="2458" spans="1:3" ht="14.25" customHeight="true">
      <c r="A2458" s="60" t="s">
        <v>33931</v>
      </c>
      <c r="B2458" s="61">
        <v>0</v>
      </c>
      <c r="C2458" s="61">
        <v>0</v>
      </c>
    </row>
    <row r="2459" spans="1:3" ht="14.25" customHeight="true">
      <c r="A2459" s="60" t="s">
        <v>33932</v>
      </c>
      <c r="B2459" s="61">
        <v>0</v>
      </c>
      <c r="C2459" s="61">
        <v>0</v>
      </c>
    </row>
    <row r="2460" spans="1:3" ht="14.25" customHeight="true">
      <c r="A2460" s="60" t="s">
        <v>33933</v>
      </c>
      <c r="B2460" s="61">
        <v>0</v>
      </c>
      <c r="C2460" s="61">
        <v>0</v>
      </c>
    </row>
    <row r="2461" spans="1:3" ht="14.25" customHeight="true">
      <c r="A2461" s="60" t="s">
        <v>33934</v>
      </c>
      <c r="B2461" s="61">
        <v>0</v>
      </c>
      <c r="C2461" s="61">
        <v>0</v>
      </c>
    </row>
    <row r="2462" spans="1:3" ht="14.25" customHeight="true">
      <c r="A2462" s="60" t="s">
        <v>33935</v>
      </c>
      <c r="B2462" s="61">
        <v>0</v>
      </c>
      <c r="C2462" s="61">
        <v>0</v>
      </c>
    </row>
    <row r="2463" spans="1:3" ht="14.25" customHeight="true">
      <c r="A2463" s="60" t="s">
        <v>33936</v>
      </c>
      <c r="B2463" s="61">
        <v>0</v>
      </c>
      <c r="C2463" s="61">
        <v>0</v>
      </c>
    </row>
    <row r="2464" spans="1:3" ht="14.25" customHeight="true">
      <c r="A2464" s="60" t="s">
        <v>33937</v>
      </c>
      <c r="B2464" s="61">
        <v>0</v>
      </c>
      <c r="C2464" s="61">
        <v>0</v>
      </c>
    </row>
    <row r="2465" spans="1:3" ht="14.25" customHeight="true">
      <c r="A2465" s="60" t="s">
        <v>33938</v>
      </c>
      <c r="B2465" s="61">
        <v>0</v>
      </c>
      <c r="C2465" s="61">
        <v>0</v>
      </c>
    </row>
    <row r="2466" spans="1:3" ht="14.25" customHeight="true">
      <c r="A2466" s="60" t="s">
        <v>33939</v>
      </c>
      <c r="B2466" s="61">
        <v>0</v>
      </c>
      <c r="C2466" s="61">
        <v>0</v>
      </c>
    </row>
    <row r="2467" spans="1:3" ht="14.25" customHeight="true">
      <c r="A2467" s="60" t="s">
        <v>33940</v>
      </c>
      <c r="B2467" s="61">
        <v>0</v>
      </c>
      <c r="C2467" s="61">
        <v>0</v>
      </c>
    </row>
    <row r="2468" spans="1:3" ht="14.25" customHeight="true">
      <c r="A2468" s="60" t="s">
        <v>33941</v>
      </c>
      <c r="B2468" s="61">
        <v>0</v>
      </c>
      <c r="C2468" s="61">
        <v>0</v>
      </c>
    </row>
    <row r="2469" spans="1:3" ht="14.25" customHeight="true">
      <c r="A2469" s="60" t="s">
        <v>33942</v>
      </c>
      <c r="B2469" s="61">
        <v>0</v>
      </c>
      <c r="C2469" s="61">
        <v>0</v>
      </c>
    </row>
    <row r="2470" spans="1:3" ht="14.25" customHeight="true">
      <c r="A2470" s="60" t="s">
        <v>33943</v>
      </c>
      <c r="B2470" s="61">
        <v>0</v>
      </c>
      <c r="C2470" s="61">
        <v>0</v>
      </c>
    </row>
    <row r="2471" spans="1:3" ht="14.25" customHeight="true">
      <c r="A2471" s="60" t="s">
        <v>33944</v>
      </c>
      <c r="B2471" s="61">
        <v>0</v>
      </c>
      <c r="C2471" s="61">
        <v>0</v>
      </c>
    </row>
    <row r="2472" spans="1:3" ht="14.25" customHeight="true">
      <c r="A2472" s="60" t="s">
        <v>33945</v>
      </c>
      <c r="B2472" s="61">
        <v>0</v>
      </c>
      <c r="C2472" s="61">
        <v>-120000</v>
      </c>
    </row>
    <row r="2473" spans="1:3" ht="14.25" customHeight="true">
      <c r="A2473" s="60" t="s">
        <v>33946</v>
      </c>
      <c r="B2473" s="61">
        <v>0</v>
      </c>
      <c r="C2473" s="61">
        <v>-1137000</v>
      </c>
    </row>
    <row r="2474" spans="1:3" ht="14.25" customHeight="true">
      <c r="A2474" s="60" t="s">
        <v>33947</v>
      </c>
      <c r="B2474" s="61">
        <v>0</v>
      </c>
      <c r="C2474" s="61">
        <v>0</v>
      </c>
    </row>
    <row r="2475" spans="1:3" ht="14.25" customHeight="true">
      <c r="A2475" s="60" t="s">
        <v>33948</v>
      </c>
      <c r="B2475" s="61">
        <v>0</v>
      </c>
      <c r="C2475" s="61">
        <v>0</v>
      </c>
    </row>
    <row r="2476" spans="1:3" ht="14.25" customHeight="true">
      <c r="A2476" s="60" t="s">
        <v>33949</v>
      </c>
      <c r="B2476" s="61">
        <v>0</v>
      </c>
      <c r="C2476" s="61">
        <v>0</v>
      </c>
    </row>
    <row r="2477" spans="1:3" ht="14.25" customHeight="true">
      <c r="A2477" s="60" t="s">
        <v>33950</v>
      </c>
      <c r="B2477" s="61">
        <v>0</v>
      </c>
      <c r="C2477" s="61">
        <v>0</v>
      </c>
    </row>
    <row r="2478" spans="1:3" ht="14.25" customHeight="true">
      <c r="A2478" s="60" t="s">
        <v>33951</v>
      </c>
      <c r="B2478" s="61">
        <v>0</v>
      </c>
      <c r="C2478" s="61">
        <v>0</v>
      </c>
    </row>
    <row r="2479" spans="1:3" ht="14.25" customHeight="true">
      <c r="A2479" s="60" t="s">
        <v>33952</v>
      </c>
      <c r="B2479" s="61">
        <v>0</v>
      </c>
      <c r="C2479" s="61">
        <v>0</v>
      </c>
    </row>
    <row r="2480" spans="1:3" ht="14.25" customHeight="true">
      <c r="A2480" s="60" t="s">
        <v>33953</v>
      </c>
      <c r="B2480" s="61">
        <v>0</v>
      </c>
      <c r="C2480" s="61">
        <v>0</v>
      </c>
    </row>
    <row r="2481" spans="1:3" ht="14.25" customHeight="true">
      <c r="A2481" s="60" t="s">
        <v>33954</v>
      </c>
      <c r="B2481" s="61">
        <v>0</v>
      </c>
      <c r="C2481" s="61">
        <v>0</v>
      </c>
    </row>
    <row r="2482" spans="1:3" ht="14.25" customHeight="true">
      <c r="A2482" s="60" t="s">
        <v>33955</v>
      </c>
      <c r="B2482" s="61">
        <v>0</v>
      </c>
      <c r="C2482" s="61">
        <v>0</v>
      </c>
    </row>
    <row r="2483" spans="1:3" ht="14.25" customHeight="true">
      <c r="A2483" s="60" t="s">
        <v>33956</v>
      </c>
      <c r="B2483" s="61">
        <v>0</v>
      </c>
      <c r="C2483" s="61">
        <v>0</v>
      </c>
    </row>
    <row r="2484" spans="1:3" ht="14.25" customHeight="true">
      <c r="A2484" s="60" t="s">
        <v>33957</v>
      </c>
      <c r="B2484" s="61">
        <v>0</v>
      </c>
      <c r="C2484" s="61">
        <v>0</v>
      </c>
    </row>
    <row r="2485" spans="1:3" ht="14.25" customHeight="true">
      <c r="A2485" s="60" t="s">
        <v>33958</v>
      </c>
      <c r="B2485" s="61">
        <v>0</v>
      </c>
      <c r="C2485" s="61">
        <v>0</v>
      </c>
    </row>
    <row r="2486" spans="1:3" ht="14.25" customHeight="true">
      <c r="A2486" s="60" t="s">
        <v>33959</v>
      </c>
      <c r="B2486" s="61">
        <v>0</v>
      </c>
      <c r="C2486" s="61">
        <v>0</v>
      </c>
    </row>
    <row r="2487" spans="1:3" ht="14.25" customHeight="true">
      <c r="A2487" s="60" t="s">
        <v>33960</v>
      </c>
      <c r="B2487" s="61">
        <v>0</v>
      </c>
      <c r="C2487" s="61">
        <v>0</v>
      </c>
    </row>
    <row r="2488" spans="1:3" ht="14.25" customHeight="true">
      <c r="A2488" s="60" t="s">
        <v>33961</v>
      </c>
      <c r="B2488" s="61">
        <v>0</v>
      </c>
      <c r="C2488" s="61">
        <v>0</v>
      </c>
    </row>
    <row r="2489" spans="1:3" ht="14.25" customHeight="true">
      <c r="A2489" s="60" t="s">
        <v>33962</v>
      </c>
      <c r="B2489" s="61">
        <v>0</v>
      </c>
      <c r="C2489" s="61">
        <v>0</v>
      </c>
    </row>
    <row r="2490" spans="1:3" ht="14.25" customHeight="true">
      <c r="A2490" s="60" t="s">
        <v>33963</v>
      </c>
      <c r="B2490" s="61">
        <v>0</v>
      </c>
      <c r="C2490" s="61">
        <v>0</v>
      </c>
    </row>
    <row r="2491" spans="1:3" ht="14.25" customHeight="true">
      <c r="A2491" s="60" t="s">
        <v>33964</v>
      </c>
      <c r="B2491" s="61">
        <v>0</v>
      </c>
      <c r="C2491" s="61">
        <v>0</v>
      </c>
    </row>
    <row r="2492" spans="1:3" ht="14.25" customHeight="true">
      <c r="A2492" s="60" t="s">
        <v>33965</v>
      </c>
      <c r="B2492" s="61">
        <v>0</v>
      </c>
      <c r="C2492" s="61">
        <v>0</v>
      </c>
    </row>
    <row r="2493" spans="1:3" ht="14.25" customHeight="true">
      <c r="A2493" s="60" t="s">
        <v>33966</v>
      </c>
      <c r="B2493" s="61">
        <v>0</v>
      </c>
      <c r="C2493" s="61">
        <v>0</v>
      </c>
    </row>
    <row r="2494" spans="1:3" ht="14.25" customHeight="true">
      <c r="A2494" s="60" t="s">
        <v>33967</v>
      </c>
      <c r="B2494" s="61">
        <v>0</v>
      </c>
      <c r="C2494" s="61">
        <v>0</v>
      </c>
    </row>
    <row r="2495" spans="1:3" ht="14.25" customHeight="true">
      <c r="A2495" s="60" t="s">
        <v>33968</v>
      </c>
      <c r="B2495" s="61">
        <v>0</v>
      </c>
      <c r="C2495" s="61">
        <v>0</v>
      </c>
    </row>
    <row r="2496" spans="1:3" ht="14.25" customHeight="true">
      <c r="A2496" s="60" t="s">
        <v>33969</v>
      </c>
      <c r="B2496" s="61">
        <v>0</v>
      </c>
      <c r="C2496" s="61">
        <v>0</v>
      </c>
    </row>
    <row r="2497" spans="1:3" ht="14.25" customHeight="true">
      <c r="A2497" s="60" t="s">
        <v>33970</v>
      </c>
      <c r="B2497" s="61">
        <v>0</v>
      </c>
      <c r="C2497" s="61">
        <v>0</v>
      </c>
    </row>
    <row r="2498" spans="1:3" ht="14.25" customHeight="true">
      <c r="A2498" s="60" t="s">
        <v>33971</v>
      </c>
      <c r="B2498" s="61">
        <v>0</v>
      </c>
      <c r="C2498" s="61">
        <v>0</v>
      </c>
    </row>
    <row r="2499" spans="1:3" ht="14.25" customHeight="true">
      <c r="A2499" s="60" t="s">
        <v>33972</v>
      </c>
      <c r="B2499" s="61">
        <v>0</v>
      </c>
      <c r="C2499" s="61">
        <v>0</v>
      </c>
    </row>
    <row r="2500" spans="1:3" ht="14.25" customHeight="true">
      <c r="A2500" s="60" t="s">
        <v>33973</v>
      </c>
      <c r="B2500" s="61">
        <v>0</v>
      </c>
      <c r="C2500" s="61">
        <v>0</v>
      </c>
    </row>
    <row r="2501" spans="1:3" ht="14.25" customHeight="true">
      <c r="A2501" s="60" t="s">
        <v>33974</v>
      </c>
      <c r="B2501" s="61">
        <v>0</v>
      </c>
      <c r="C2501" s="61">
        <v>0</v>
      </c>
    </row>
    <row r="2502" spans="1:3" ht="14.25" customHeight="true">
      <c r="A2502" s="60" t="s">
        <v>33975</v>
      </c>
      <c r="B2502" s="61">
        <v>0</v>
      </c>
      <c r="C2502" s="61">
        <v>0</v>
      </c>
    </row>
    <row r="2503" spans="1:3" ht="14.25" customHeight="true">
      <c r="A2503" s="60" t="s">
        <v>33976</v>
      </c>
      <c r="B2503" s="61">
        <v>0</v>
      </c>
      <c r="C2503" s="61">
        <v>0</v>
      </c>
    </row>
    <row r="2504" spans="1:3" ht="14.25" customHeight="true">
      <c r="A2504" s="60" t="s">
        <v>33977</v>
      </c>
      <c r="B2504" s="61">
        <v>0</v>
      </c>
      <c r="C2504" s="61">
        <v>0</v>
      </c>
    </row>
    <row r="2505" spans="1:3" ht="14.25" customHeight="true">
      <c r="A2505" s="60" t="s">
        <v>33978</v>
      </c>
      <c r="B2505" s="61">
        <v>0</v>
      </c>
      <c r="C2505" s="61">
        <v>0</v>
      </c>
    </row>
    <row r="2506" spans="1:3" ht="14.25" customHeight="true">
      <c r="A2506" s="60" t="s">
        <v>33979</v>
      </c>
      <c r="B2506" s="61">
        <v>0</v>
      </c>
      <c r="C2506" s="61">
        <v>0</v>
      </c>
    </row>
    <row r="2507" spans="1:3" ht="14.25" customHeight="true">
      <c r="A2507" s="60" t="s">
        <v>33980</v>
      </c>
      <c r="B2507" s="61">
        <v>0</v>
      </c>
      <c r="C2507" s="61">
        <v>0</v>
      </c>
    </row>
    <row r="2508" spans="1:3" ht="14.25" customHeight="true">
      <c r="A2508" s="60" t="s">
        <v>33981</v>
      </c>
      <c r="B2508" s="61">
        <v>0</v>
      </c>
      <c r="C2508" s="61">
        <v>0</v>
      </c>
    </row>
    <row r="2509" spans="1:3" ht="14.25" customHeight="true">
      <c r="A2509" s="60" t="s">
        <v>33982</v>
      </c>
      <c r="B2509" s="61">
        <v>0</v>
      </c>
      <c r="C2509" s="61">
        <v>0</v>
      </c>
    </row>
    <row r="2510" spans="1:3" ht="14.25" customHeight="true">
      <c r="A2510" s="60" t="s">
        <v>33983</v>
      </c>
      <c r="B2510" s="61">
        <v>0</v>
      </c>
      <c r="C2510" s="61">
        <v>0</v>
      </c>
    </row>
    <row r="2511" spans="1:3" ht="14.25" customHeight="true">
      <c r="A2511" s="60" t="s">
        <v>33984</v>
      </c>
      <c r="B2511" s="61">
        <v>0</v>
      </c>
      <c r="C2511" s="61">
        <v>0</v>
      </c>
    </row>
    <row r="2512" spans="1:3" ht="14.25" customHeight="true">
      <c r="A2512" s="60" t="s">
        <v>33985</v>
      </c>
      <c r="B2512" s="61">
        <v>0</v>
      </c>
      <c r="C2512" s="61">
        <v>0</v>
      </c>
    </row>
    <row r="2513" spans="1:3" ht="14.25" customHeight="true">
      <c r="A2513" s="60" t="s">
        <v>33986</v>
      </c>
      <c r="B2513" s="61">
        <v>0</v>
      </c>
      <c r="C2513" s="61">
        <v>0</v>
      </c>
    </row>
    <row r="2514" spans="1:3" ht="14.25" customHeight="true">
      <c r="A2514" s="60" t="s">
        <v>33987</v>
      </c>
      <c r="B2514" s="61">
        <v>0</v>
      </c>
      <c r="C2514" s="61">
        <v>0</v>
      </c>
    </row>
    <row r="2515" spans="1:3" ht="14.25" customHeight="true">
      <c r="A2515" s="60" t="s">
        <v>33988</v>
      </c>
      <c r="B2515" s="61">
        <v>0</v>
      </c>
      <c r="C2515" s="61">
        <v>0</v>
      </c>
    </row>
    <row r="2516" spans="1:3" ht="14.25" customHeight="true">
      <c r="A2516" s="60" t="s">
        <v>33989</v>
      </c>
      <c r="B2516" s="61">
        <v>0</v>
      </c>
      <c r="C2516" s="61">
        <v>0</v>
      </c>
    </row>
    <row r="2517" spans="1:3" ht="14.25" customHeight="true">
      <c r="A2517" s="60" t="s">
        <v>33990</v>
      </c>
      <c r="B2517" s="61">
        <v>0</v>
      </c>
      <c r="C2517" s="61">
        <v>0</v>
      </c>
    </row>
    <row r="2518" spans="1:3" ht="14.25" customHeight="true">
      <c r="A2518" s="60" t="s">
        <v>33991</v>
      </c>
      <c r="B2518" s="61">
        <v>0</v>
      </c>
      <c r="C2518" s="61">
        <v>0</v>
      </c>
    </row>
    <row r="2519" spans="1:3" ht="14.25" customHeight="true">
      <c r="A2519" s="60" t="s">
        <v>33992</v>
      </c>
      <c r="B2519" s="61">
        <v>0</v>
      </c>
      <c r="C2519" s="61">
        <v>0</v>
      </c>
    </row>
    <row r="2520" spans="1:3" ht="14.25" customHeight="true">
      <c r="A2520" s="60" t="s">
        <v>33993</v>
      </c>
      <c r="B2520" s="61">
        <v>0</v>
      </c>
      <c r="C2520" s="61">
        <v>0</v>
      </c>
    </row>
    <row r="2521" spans="1:3" ht="14.25" customHeight="true">
      <c r="A2521" s="60" t="s">
        <v>33994</v>
      </c>
      <c r="B2521" s="61">
        <v>0</v>
      </c>
      <c r="C2521" s="61">
        <v>0</v>
      </c>
    </row>
    <row r="2522" spans="1:3" ht="14.25" customHeight="true">
      <c r="A2522" s="60" t="s">
        <v>33995</v>
      </c>
      <c r="B2522" s="61">
        <v>0</v>
      </c>
      <c r="C2522" s="61">
        <v>0</v>
      </c>
    </row>
    <row r="2523" spans="1:3" ht="14.25" customHeight="true">
      <c r="A2523" s="60" t="s">
        <v>33996</v>
      </c>
      <c r="B2523" s="61">
        <v>0</v>
      </c>
      <c r="C2523" s="61">
        <v>0</v>
      </c>
    </row>
    <row r="2524" spans="1:3" ht="14.25" customHeight="true">
      <c r="A2524" s="60" t="s">
        <v>33997</v>
      </c>
      <c r="B2524" s="61">
        <v>0</v>
      </c>
      <c r="C2524" s="61">
        <v>0</v>
      </c>
    </row>
    <row r="2525" spans="1:3" ht="14.25" customHeight="true">
      <c r="A2525" s="60" t="s">
        <v>33998</v>
      </c>
      <c r="B2525" s="61">
        <v>0</v>
      </c>
      <c r="C2525" s="61">
        <v>0</v>
      </c>
    </row>
    <row r="2526" spans="1:3" ht="14.25" customHeight="true">
      <c r="A2526" s="60" t="s">
        <v>33999</v>
      </c>
      <c r="B2526" s="61">
        <v>0</v>
      </c>
      <c r="C2526" s="61">
        <v>0</v>
      </c>
    </row>
    <row r="2527" spans="1:3" ht="14.25" customHeight="true">
      <c r="A2527" s="60" t="s">
        <v>34000</v>
      </c>
      <c r="B2527" s="61">
        <v>0</v>
      </c>
      <c r="C2527" s="61">
        <v>0</v>
      </c>
    </row>
    <row r="2528" spans="1:3" ht="14.25" customHeight="true">
      <c r="A2528" s="60" t="s">
        <v>34001</v>
      </c>
      <c r="B2528" s="61">
        <v>0</v>
      </c>
      <c r="C2528" s="61">
        <v>0</v>
      </c>
    </row>
    <row r="2529" spans="1:3" ht="14.25" customHeight="true">
      <c r="A2529" s="60" t="s">
        <v>34002</v>
      </c>
      <c r="B2529" s="61">
        <v>0</v>
      </c>
      <c r="C2529" s="61">
        <v>0</v>
      </c>
    </row>
    <row r="2530" spans="1:3" ht="14.25" customHeight="true">
      <c r="A2530" s="60" t="s">
        <v>34003</v>
      </c>
      <c r="B2530" s="61">
        <v>0</v>
      </c>
      <c r="C2530" s="61">
        <v>0</v>
      </c>
    </row>
    <row r="2531" spans="1:3" ht="14.25" customHeight="true">
      <c r="A2531" s="60" t="s">
        <v>34004</v>
      </c>
      <c r="B2531" s="61">
        <v>0</v>
      </c>
      <c r="C2531" s="61">
        <v>0</v>
      </c>
    </row>
    <row r="2532" spans="1:3" ht="14.25" customHeight="true">
      <c r="A2532" s="60" t="s">
        <v>34005</v>
      </c>
      <c r="B2532" s="61">
        <v>0</v>
      </c>
      <c r="C2532" s="61">
        <v>-1876000</v>
      </c>
    </row>
    <row r="2533" spans="1:3" ht="14.25" customHeight="true">
      <c r="A2533" s="60" t="s">
        <v>34006</v>
      </c>
      <c r="B2533" s="61">
        <v>0</v>
      </c>
      <c r="C2533" s="61">
        <v>0</v>
      </c>
    </row>
    <row r="2534" spans="1:3" ht="14.25" customHeight="true">
      <c r="A2534" s="60" t="s">
        <v>34007</v>
      </c>
      <c r="B2534" s="61">
        <v>0</v>
      </c>
      <c r="C2534" s="61">
        <v>0</v>
      </c>
    </row>
    <row r="2535" spans="1:3" ht="14.25" customHeight="true">
      <c r="A2535" s="60" t="s">
        <v>34008</v>
      </c>
      <c r="B2535" s="61">
        <v>0</v>
      </c>
      <c r="C2535" s="61">
        <v>0</v>
      </c>
    </row>
    <row r="2536" spans="1:3" ht="14.25" customHeight="true">
      <c r="A2536" s="60" t="s">
        <v>34009</v>
      </c>
      <c r="B2536" s="61">
        <v>0</v>
      </c>
      <c r="C2536" s="61">
        <v>0</v>
      </c>
    </row>
    <row r="2537" spans="1:3" ht="14.25" customHeight="true">
      <c r="A2537" s="60" t="s">
        <v>34010</v>
      </c>
      <c r="B2537" s="61">
        <v>0</v>
      </c>
      <c r="C2537" s="61">
        <v>0</v>
      </c>
    </row>
    <row r="2538" spans="1:3" ht="14.25" customHeight="true">
      <c r="A2538" s="60" t="s">
        <v>34011</v>
      </c>
      <c r="B2538" s="61">
        <v>0</v>
      </c>
      <c r="C2538" s="61">
        <v>0</v>
      </c>
    </row>
    <row r="2539" spans="1:3" ht="14.25" customHeight="true">
      <c r="A2539" s="60" t="s">
        <v>34012</v>
      </c>
      <c r="B2539" s="61">
        <v>0</v>
      </c>
      <c r="C2539" s="61">
        <v>0</v>
      </c>
    </row>
    <row r="2540" spans="1:3" ht="14.25" customHeight="true">
      <c r="A2540" s="60" t="s">
        <v>34013</v>
      </c>
      <c r="B2540" s="61">
        <v>0</v>
      </c>
      <c r="C2540" s="61">
        <v>0</v>
      </c>
    </row>
    <row r="2541" spans="1:3" ht="14.25" customHeight="true">
      <c r="A2541" s="60" t="s">
        <v>34014</v>
      </c>
      <c r="B2541" s="61">
        <v>0</v>
      </c>
      <c r="C2541" s="61">
        <v>0</v>
      </c>
    </row>
    <row r="2542" spans="1:3" ht="14.25" customHeight="true">
      <c r="A2542" s="60" t="s">
        <v>34015</v>
      </c>
      <c r="B2542" s="61">
        <v>0</v>
      </c>
      <c r="C2542" s="61">
        <v>0</v>
      </c>
    </row>
    <row r="2543" spans="1:3" ht="14.25" customHeight="true">
      <c r="A2543" s="60" t="s">
        <v>34016</v>
      </c>
      <c r="B2543" s="61">
        <v>0</v>
      </c>
      <c r="C2543" s="61">
        <v>0</v>
      </c>
    </row>
    <row r="2544" spans="1:3" ht="14.25" customHeight="true">
      <c r="A2544" s="60" t="s">
        <v>34017</v>
      </c>
      <c r="B2544" s="61">
        <v>0</v>
      </c>
      <c r="C2544" s="61">
        <v>0</v>
      </c>
    </row>
    <row r="2545" spans="1:3" ht="14.25" customHeight="true">
      <c r="A2545" s="60" t="s">
        <v>34018</v>
      </c>
      <c r="B2545" s="61">
        <v>0</v>
      </c>
      <c r="C2545" s="61">
        <v>0</v>
      </c>
    </row>
    <row r="2546" spans="1:3" ht="14.25" customHeight="true">
      <c r="A2546" s="60" t="s">
        <v>34019</v>
      </c>
      <c r="B2546" s="61">
        <v>0</v>
      </c>
      <c r="C2546" s="61">
        <v>0</v>
      </c>
    </row>
    <row r="2547" spans="1:3" ht="14.25" customHeight="true">
      <c r="A2547" s="60" t="s">
        <v>34020</v>
      </c>
      <c r="B2547" s="61">
        <v>0</v>
      </c>
      <c r="C2547" s="61">
        <v>0</v>
      </c>
    </row>
    <row r="2548" spans="1:3" ht="14.25" customHeight="true">
      <c r="A2548" s="60" t="s">
        <v>34021</v>
      </c>
      <c r="B2548" s="61">
        <v>0</v>
      </c>
      <c r="C2548" s="61">
        <v>0</v>
      </c>
    </row>
    <row r="2549" spans="1:3" ht="14.25" customHeight="true">
      <c r="A2549" s="60" t="s">
        <v>34022</v>
      </c>
      <c r="B2549" s="61">
        <v>0</v>
      </c>
      <c r="C2549" s="61">
        <v>0</v>
      </c>
    </row>
    <row r="2550" spans="1:3" ht="14.25" customHeight="true">
      <c r="A2550" s="60" t="s">
        <v>34023</v>
      </c>
      <c r="B2550" s="61">
        <v>0</v>
      </c>
      <c r="C2550" s="61">
        <v>0</v>
      </c>
    </row>
    <row r="2551" spans="1:3" ht="14.25" customHeight="true">
      <c r="A2551" s="60" t="s">
        <v>34024</v>
      </c>
      <c r="B2551" s="61">
        <v>0</v>
      </c>
      <c r="C2551" s="61">
        <v>0</v>
      </c>
    </row>
    <row r="2552" spans="1:3" ht="14.25" customHeight="true">
      <c r="A2552" s="60" t="s">
        <v>34025</v>
      </c>
      <c r="B2552" s="61">
        <v>0</v>
      </c>
      <c r="C2552" s="61">
        <v>0</v>
      </c>
    </row>
    <row r="2553" spans="1:3" ht="14.25" customHeight="true">
      <c r="A2553" s="60" t="s">
        <v>34026</v>
      </c>
      <c r="B2553" s="61">
        <v>0</v>
      </c>
      <c r="C2553" s="61">
        <v>0</v>
      </c>
    </row>
    <row r="2554" spans="1:3" ht="14.25" customHeight="true">
      <c r="A2554" s="60" t="s">
        <v>34027</v>
      </c>
      <c r="B2554" s="61">
        <v>0</v>
      </c>
      <c r="C2554" s="61">
        <v>0</v>
      </c>
    </row>
    <row r="2555" spans="1:3" ht="14.25" customHeight="true">
      <c r="A2555" s="60" t="s">
        <v>34028</v>
      </c>
      <c r="B2555" s="61">
        <v>0</v>
      </c>
      <c r="C2555" s="61">
        <v>0</v>
      </c>
    </row>
    <row r="2556" spans="1:3" ht="14.25" customHeight="true">
      <c r="A2556" s="60" t="s">
        <v>34029</v>
      </c>
      <c r="B2556" s="61">
        <v>0</v>
      </c>
      <c r="C2556" s="61">
        <v>0</v>
      </c>
    </row>
    <row r="2557" spans="1:3" ht="14.25" customHeight="true">
      <c r="A2557" s="60" t="s">
        <v>34030</v>
      </c>
      <c r="B2557" s="61">
        <v>0</v>
      </c>
      <c r="C2557" s="61">
        <v>0</v>
      </c>
    </row>
    <row r="2558" spans="1:3" ht="14.25" customHeight="true">
      <c r="A2558" s="60" t="s">
        <v>34031</v>
      </c>
      <c r="B2558" s="61">
        <v>0</v>
      </c>
      <c r="C2558" s="61">
        <v>0</v>
      </c>
    </row>
    <row r="2559" spans="1:3" ht="14.25" customHeight="true">
      <c r="A2559" s="60" t="s">
        <v>34032</v>
      </c>
      <c r="B2559" s="61">
        <v>0</v>
      </c>
      <c r="C2559" s="61">
        <v>0</v>
      </c>
    </row>
    <row r="2560" spans="1:3" ht="14.25" customHeight="true">
      <c r="A2560" s="60" t="s">
        <v>34033</v>
      </c>
      <c r="B2560" s="61">
        <v>0</v>
      </c>
      <c r="C2560" s="61">
        <v>0</v>
      </c>
    </row>
    <row r="2561" spans="1:3" ht="14.25" customHeight="true">
      <c r="A2561" s="60" t="s">
        <v>34034</v>
      </c>
      <c r="B2561" s="61">
        <v>0</v>
      </c>
      <c r="C2561" s="61">
        <v>0</v>
      </c>
    </row>
    <row r="2562" spans="1:3" ht="14.25" customHeight="true">
      <c r="A2562" s="60" t="s">
        <v>34035</v>
      </c>
      <c r="B2562" s="61">
        <v>0</v>
      </c>
      <c r="C2562" s="61">
        <v>0</v>
      </c>
    </row>
    <row r="2563" spans="1:3" ht="14.25" customHeight="true">
      <c r="A2563" s="60" t="s">
        <v>34036</v>
      </c>
      <c r="B2563" s="61">
        <v>-310000</v>
      </c>
      <c r="C2563" s="61">
        <v>-425000</v>
      </c>
    </row>
    <row r="2564" spans="1:3" ht="14.25" customHeight="true">
      <c r="A2564" s="60" t="s">
        <v>34037</v>
      </c>
      <c r="B2564" s="61">
        <v>0</v>
      </c>
      <c r="C2564" s="61">
        <v>0</v>
      </c>
    </row>
    <row r="2565" spans="1:3" ht="14.25" customHeight="true">
      <c r="A2565" s="60" t="s">
        <v>34038</v>
      </c>
      <c r="B2565" s="61">
        <v>8500</v>
      </c>
      <c r="C2565" s="61">
        <v>8500</v>
      </c>
    </row>
    <row r="2566" spans="1:3" ht="14.25" customHeight="true">
      <c r="A2566" s="60" t="s">
        <v>34039</v>
      </c>
      <c r="B2566" s="61">
        <v>10000</v>
      </c>
      <c r="C2566" s="61">
        <v>10000</v>
      </c>
    </row>
    <row r="2567" spans="1:3" ht="14.25" customHeight="true">
      <c r="A2567" s="60" t="s">
        <v>34040</v>
      </c>
      <c r="B2567" s="61">
        <v>-8810.1399999999</v>
      </c>
      <c r="C2567" s="61">
        <v>519472.969999987</v>
      </c>
    </row>
  </sheetData>
  <autoFilter ref="A2:H2567"/>
  <pageMargins left="0.7" right="0.7" top="0.75" bottom="0.75" header="0.511811023622047" footer="0.511811023622047"/>
  <pageSetup horizontalDpi="300" orientation="portrait" paperSize="1" useFirstPageNumber="true"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49"/>
  <sheetViews>
    <sheetView workbookViewId="0">
      <selection activeCell="A188" sqref="A188"/>
    </sheetView>
  </sheetViews>
  <sheetFormatPr defaultColWidth="11.6666666666667" defaultRowHeight="15" outlineLevelCol="1"/>
  <cols>
    <col customWidth="true" max="3" min="1" style="33" width="11.66"/>
    <col customWidth="true" max="4" min="4" style="33" width="14"/>
    <col customWidth="true" max="1024" min="5" style="33" width="11.66"/>
  </cols>
  <sheetData>
    <row r="1" spans="1:2" ht="14.25" customHeight="true">
      <c r="A1" s="48" t="s">
        <v>2</v>
      </c>
      <c r="B1" s="33" t="s">
        <v>34041</v>
      </c>
    </row>
    <row r="2" spans="1:2" s="48" customFormat="true" ht="14.25" customHeight="true">
      <c r="A2" s="33">
        <v>11047</v>
      </c>
      <c r="B2" s="48" t="s">
        <v>13777</v>
      </c>
    </row>
    <row r="3" spans="1:2" ht="14.25" customHeight="true">
      <c r="A3" s="33">
        <v>11217</v>
      </c>
      <c r="B3" s="33" t="s">
        <v>13777</v>
      </c>
    </row>
    <row r="4" spans="1:2" ht="14.25" customHeight="true">
      <c r="A4" s="33">
        <v>11048</v>
      </c>
      <c r="B4" s="33" t="s">
        <v>13778</v>
      </c>
    </row>
    <row r="5" spans="1:2" ht="14.25" customHeight="true">
      <c r="A5" s="33">
        <v>11218</v>
      </c>
      <c r="B5" s="33" t="s">
        <v>13778</v>
      </c>
    </row>
    <row r="6" spans="1:2">
      <c r="A6" s="33">
        <v>11354</v>
      </c>
      <c r="B6" s="33" t="s">
        <v>13849</v>
      </c>
    </row>
    <row r="7" spans="1:2">
      <c r="A7" s="33">
        <v>11353</v>
      </c>
      <c r="B7" s="33" t="s">
        <v>13848</v>
      </c>
    </row>
    <row r="8" spans="1:2" ht="14.25" customHeight="true">
      <c r="A8" s="33">
        <v>11317</v>
      </c>
      <c r="B8" s="33" t="s">
        <v>13806</v>
      </c>
    </row>
    <row r="9" spans="1:2" ht="14.25" customHeight="true">
      <c r="A9" s="33">
        <v>11329</v>
      </c>
      <c r="B9" s="33" t="s">
        <v>13823</v>
      </c>
    </row>
    <row r="10" spans="1:2">
      <c r="A10" s="33">
        <v>11076</v>
      </c>
      <c r="B10" s="33" t="s">
        <v>13803</v>
      </c>
    </row>
    <row r="11" spans="1:2" ht="14.25" customHeight="true">
      <c r="A11" s="33">
        <v>11310</v>
      </c>
      <c r="B11" s="33" t="s">
        <v>13803</v>
      </c>
    </row>
    <row r="12" spans="1:2">
      <c r="A12" s="33">
        <v>11057</v>
      </c>
      <c r="B12" s="33" t="s">
        <v>13827</v>
      </c>
    </row>
    <row r="13" spans="1:2">
      <c r="A13" s="33">
        <v>11333</v>
      </c>
      <c r="B13" s="33" t="s">
        <v>13827</v>
      </c>
    </row>
    <row r="14" spans="1:2">
      <c r="A14" s="33">
        <v>11073</v>
      </c>
      <c r="B14" s="33" t="s">
        <v>13839</v>
      </c>
    </row>
    <row r="15" spans="1:2">
      <c r="A15" s="33">
        <v>11345</v>
      </c>
      <c r="B15" s="33" t="s">
        <v>13839</v>
      </c>
    </row>
    <row r="16" spans="1:2" ht="14.25" customHeight="true">
      <c r="A16" s="33">
        <v>11311</v>
      </c>
      <c r="B16" s="33" t="s">
        <v>13804</v>
      </c>
    </row>
    <row r="17" spans="1:2" ht="14.25" customHeight="true">
      <c r="A17" s="33">
        <v>11401</v>
      </c>
      <c r="B17" s="33" t="s">
        <v>13804</v>
      </c>
    </row>
    <row r="18" spans="1:2">
      <c r="A18" s="33">
        <v>11058</v>
      </c>
      <c r="B18" s="33" t="s">
        <v>13828</v>
      </c>
    </row>
    <row r="19" spans="1:2">
      <c r="A19" s="33">
        <v>11334</v>
      </c>
      <c r="B19" s="33" t="s">
        <v>13828</v>
      </c>
    </row>
    <row r="20" spans="1:2" ht="14.25" customHeight="true">
      <c r="A20" s="33">
        <v>11219</v>
      </c>
      <c r="B20" s="33" t="s">
        <v>13787</v>
      </c>
    </row>
    <row r="21" spans="1:2" ht="14.25" customHeight="true">
      <c r="A21" s="33">
        <v>11215</v>
      </c>
      <c r="B21" s="33" t="s">
        <v>13794</v>
      </c>
    </row>
    <row r="22" spans="1:2" ht="14.25" customHeight="true">
      <c r="A22" s="33">
        <v>11302</v>
      </c>
      <c r="B22" s="33" t="s">
        <v>13796</v>
      </c>
    </row>
    <row r="23" spans="1:2">
      <c r="A23" s="33">
        <v>11070</v>
      </c>
      <c r="B23" s="33" t="s">
        <v>13785</v>
      </c>
    </row>
    <row r="24" spans="1:2" ht="14.25" customHeight="true">
      <c r="A24" s="33">
        <v>11228</v>
      </c>
      <c r="B24" s="33" t="s">
        <v>13785</v>
      </c>
    </row>
    <row r="25" spans="1:2" ht="14.25" customHeight="true">
      <c r="A25" s="33">
        <v>11327</v>
      </c>
      <c r="B25" s="33" t="s">
        <v>13821</v>
      </c>
    </row>
    <row r="26" spans="1:2" ht="14.25" customHeight="true">
      <c r="A26" s="33">
        <v>11030</v>
      </c>
      <c r="B26" s="33" t="s">
        <v>13797</v>
      </c>
    </row>
    <row r="27" spans="1:2" ht="14.25" customHeight="true">
      <c r="A27" s="33">
        <v>11301</v>
      </c>
      <c r="B27" s="33" t="s">
        <v>13797</v>
      </c>
    </row>
    <row r="28" spans="1:2" ht="14.25" customHeight="true">
      <c r="A28" s="33">
        <v>11214</v>
      </c>
      <c r="B28" s="33" t="s">
        <v>13864</v>
      </c>
    </row>
    <row r="29" spans="1:2" ht="14.25" customHeight="true">
      <c r="A29" s="33">
        <v>25000</v>
      </c>
      <c r="B29" s="33" t="s">
        <v>13864</v>
      </c>
    </row>
    <row r="30" spans="1:2" ht="14.25" customHeight="true">
      <c r="A30" s="33">
        <v>11312</v>
      </c>
      <c r="B30" s="33" t="s">
        <v>13805</v>
      </c>
    </row>
    <row r="31" spans="1:2" ht="14.25" customHeight="true">
      <c r="A31" s="33">
        <v>11204</v>
      </c>
      <c r="B31" s="33" t="s">
        <v>13772</v>
      </c>
    </row>
    <row r="32" spans="1:2">
      <c r="A32" s="33">
        <v>11026</v>
      </c>
      <c r="B32" s="33" t="s">
        <v>13865</v>
      </c>
    </row>
    <row r="33" spans="1:2" ht="14.25" customHeight="true">
      <c r="A33" s="33">
        <v>11103</v>
      </c>
      <c r="B33" s="33" t="s">
        <v>13865</v>
      </c>
    </row>
    <row r="34" spans="1:2" ht="14.25" customHeight="true">
      <c r="A34" s="33">
        <v>11206</v>
      </c>
      <c r="B34" s="33" t="s">
        <v>13865</v>
      </c>
    </row>
    <row r="35" spans="1:2" ht="14.25" customHeight="true">
      <c r="A35" s="33">
        <v>11207</v>
      </c>
      <c r="B35" s="33" t="s">
        <v>13865</v>
      </c>
    </row>
    <row r="36" spans="1:2" ht="14.25" customHeight="true">
      <c r="A36" s="33">
        <v>25100</v>
      </c>
      <c r="B36" s="33" t="s">
        <v>13865</v>
      </c>
    </row>
    <row r="37" spans="1:2" ht="14.25" customHeight="true">
      <c r="A37" s="33">
        <v>11303</v>
      </c>
      <c r="B37" s="33" t="s">
        <v>13798</v>
      </c>
    </row>
    <row r="38" spans="1:2" ht="14.25" customHeight="true">
      <c r="A38" s="33">
        <v>11040</v>
      </c>
      <c r="B38" s="33" t="s">
        <v>13811</v>
      </c>
    </row>
    <row r="39" spans="1:2" ht="14.25" customHeight="true">
      <c r="A39" s="33">
        <v>11313</v>
      </c>
      <c r="B39" s="33" t="s">
        <v>13811</v>
      </c>
    </row>
    <row r="40" spans="1:2">
      <c r="A40" s="33">
        <v>11074</v>
      </c>
      <c r="B40" s="33" t="s">
        <v>13840</v>
      </c>
    </row>
    <row r="41" spans="1:2">
      <c r="A41" s="33">
        <v>11346</v>
      </c>
      <c r="B41" s="33" t="s">
        <v>13840</v>
      </c>
    </row>
    <row r="42" spans="1:2" ht="14.25" customHeight="true">
      <c r="A42" s="33">
        <v>11052</v>
      </c>
      <c r="B42" s="33" t="s">
        <v>13819</v>
      </c>
    </row>
    <row r="43" spans="1:2" ht="14.25" customHeight="true">
      <c r="A43" s="33">
        <v>11325</v>
      </c>
      <c r="B43" s="33" t="s">
        <v>13819</v>
      </c>
    </row>
    <row r="44" spans="1:2" ht="14.25" customHeight="true">
      <c r="A44" s="33">
        <v>11402</v>
      </c>
      <c r="B44" s="33" t="s">
        <v>13819</v>
      </c>
    </row>
    <row r="45" spans="1:2">
      <c r="A45" s="33">
        <v>11075</v>
      </c>
      <c r="B45" s="33" t="s">
        <v>13851</v>
      </c>
    </row>
    <row r="46" spans="1:2">
      <c r="A46" s="33">
        <v>11356</v>
      </c>
      <c r="B46" s="33" t="s">
        <v>13851</v>
      </c>
    </row>
    <row r="47" spans="1:2">
      <c r="A47" s="33">
        <v>11225</v>
      </c>
      <c r="B47" s="33" t="s">
        <v>13788</v>
      </c>
    </row>
    <row r="48" spans="1:2">
      <c r="A48" s="33">
        <v>28006</v>
      </c>
      <c r="B48" s="33" t="s">
        <v>13788</v>
      </c>
    </row>
    <row r="49" spans="1:2" ht="14.25" customHeight="true">
      <c r="A49" s="33">
        <v>11304</v>
      </c>
      <c r="B49" s="33" t="s">
        <v>13799</v>
      </c>
    </row>
    <row r="50" spans="1:2">
      <c r="A50" s="33">
        <v>11350</v>
      </c>
      <c r="B50" s="33" t="s">
        <v>13845</v>
      </c>
    </row>
    <row r="51" spans="1:2">
      <c r="A51" s="33">
        <v>11348</v>
      </c>
      <c r="B51" s="33" t="s">
        <v>13843</v>
      </c>
    </row>
    <row r="52" spans="1:2">
      <c r="A52" s="33">
        <v>11342</v>
      </c>
      <c r="B52" s="33" t="s">
        <v>13837</v>
      </c>
    </row>
    <row r="53" spans="1:2" ht="14.25" customHeight="true">
      <c r="A53" s="33">
        <v>11102</v>
      </c>
      <c r="B53" s="33" t="s">
        <v>13795</v>
      </c>
    </row>
    <row r="54" spans="1:2" ht="14.25" customHeight="true">
      <c r="A54" s="33">
        <v>11202</v>
      </c>
      <c r="B54" s="33" t="s">
        <v>13795</v>
      </c>
    </row>
    <row r="55" spans="1:2" ht="14.25" customHeight="true">
      <c r="A55" s="33">
        <v>11045</v>
      </c>
      <c r="B55" s="33" t="s">
        <v>13812</v>
      </c>
    </row>
    <row r="56" spans="1:2" ht="14.25" customHeight="true">
      <c r="A56" s="33">
        <v>11318</v>
      </c>
      <c r="B56" s="33" t="s">
        <v>13812</v>
      </c>
    </row>
    <row r="57" spans="1:2" ht="14.25" customHeight="true">
      <c r="A57" s="33">
        <v>11212</v>
      </c>
      <c r="B57" s="33" t="s">
        <v>13793</v>
      </c>
    </row>
    <row r="58" spans="1:2" ht="14.25" customHeight="true">
      <c r="A58" s="33">
        <v>11224</v>
      </c>
      <c r="B58" s="33" t="s">
        <v>13775</v>
      </c>
    </row>
    <row r="59" spans="1:2" ht="14.25" customHeight="true">
      <c r="A59" s="33">
        <v>11020</v>
      </c>
      <c r="B59" s="33" t="s">
        <v>13802</v>
      </c>
    </row>
    <row r="60" spans="1:2" ht="14.25" customHeight="true">
      <c r="A60" s="33">
        <v>11309</v>
      </c>
      <c r="B60" s="33" t="s">
        <v>13802</v>
      </c>
    </row>
    <row r="61" spans="1:2">
      <c r="A61" s="33">
        <v>11343</v>
      </c>
      <c r="B61" s="33" t="s">
        <v>13838</v>
      </c>
    </row>
    <row r="62" spans="1:2">
      <c r="A62" s="33">
        <v>11358</v>
      </c>
      <c r="B62" s="33" t="s">
        <v>13838</v>
      </c>
    </row>
    <row r="63" spans="1:2" ht="14.25" customHeight="true">
      <c r="A63" s="33">
        <v>11314</v>
      </c>
      <c r="B63" s="33" t="s">
        <v>13807</v>
      </c>
    </row>
    <row r="64" spans="1:2">
      <c r="A64" s="33">
        <v>11361</v>
      </c>
      <c r="B64" s="33" t="s">
        <v>13855</v>
      </c>
    </row>
    <row r="65" spans="1:2" ht="14.25" customHeight="true">
      <c r="A65" s="33">
        <v>11043</v>
      </c>
      <c r="B65" s="33" t="s">
        <v>13813</v>
      </c>
    </row>
    <row r="66" spans="1:2" ht="14.25" customHeight="true">
      <c r="A66" s="33">
        <v>11319</v>
      </c>
      <c r="B66" s="33" t="s">
        <v>13813</v>
      </c>
    </row>
    <row r="67" spans="1:2">
      <c r="A67" s="33">
        <v>11357</v>
      </c>
      <c r="B67" s="33" t="s">
        <v>13852</v>
      </c>
    </row>
    <row r="68" spans="1:2" ht="14.25" customHeight="true">
      <c r="A68" s="33">
        <v>11044</v>
      </c>
      <c r="B68" s="33" t="s">
        <v>13814</v>
      </c>
    </row>
    <row r="69" spans="1:2" ht="14.25" customHeight="true">
      <c r="A69" s="33">
        <v>11320</v>
      </c>
      <c r="B69" s="33" t="s">
        <v>13814</v>
      </c>
    </row>
    <row r="70" spans="1:2" ht="14.25" customHeight="true">
      <c r="A70" s="33">
        <v>11203</v>
      </c>
      <c r="B70" s="33" t="s">
        <v>13774</v>
      </c>
    </row>
    <row r="71" spans="1:2">
      <c r="A71" s="33">
        <v>11072</v>
      </c>
      <c r="B71" s="33" t="s">
        <v>13832</v>
      </c>
    </row>
    <row r="72" spans="1:2">
      <c r="A72" s="33">
        <v>11338</v>
      </c>
      <c r="B72" s="33" t="s">
        <v>13832</v>
      </c>
    </row>
    <row r="73" spans="1:2">
      <c r="A73" s="33">
        <v>11352</v>
      </c>
      <c r="B73" s="33" t="s">
        <v>13846</v>
      </c>
    </row>
    <row r="74" spans="1:2" ht="14.25" customHeight="true">
      <c r="A74" s="33">
        <v>11041</v>
      </c>
      <c r="B74" s="33" t="s">
        <v>13784</v>
      </c>
    </row>
    <row r="75" spans="1:2" ht="14.25" customHeight="true">
      <c r="A75" s="33">
        <v>11221</v>
      </c>
      <c r="B75" s="33" t="s">
        <v>13784</v>
      </c>
    </row>
    <row r="76" spans="1:2">
      <c r="A76" s="33">
        <v>11340</v>
      </c>
      <c r="B76" s="33" t="s">
        <v>13833</v>
      </c>
    </row>
    <row r="77" spans="1:2" ht="14.25" customHeight="true">
      <c r="A77" s="33">
        <v>11328</v>
      </c>
      <c r="B77" s="33" t="s">
        <v>13822</v>
      </c>
    </row>
    <row r="78" spans="1:2" ht="14.25" customHeight="true">
      <c r="A78" s="33">
        <v>11010</v>
      </c>
      <c r="B78" s="33" t="s">
        <v>13810</v>
      </c>
    </row>
    <row r="79" spans="1:2" ht="14.25" customHeight="true">
      <c r="A79" s="33">
        <v>11308</v>
      </c>
      <c r="B79" s="33" t="s">
        <v>13810</v>
      </c>
    </row>
    <row r="80" spans="1:2" ht="14.25" customHeight="true">
      <c r="A80" s="33">
        <v>11054</v>
      </c>
      <c r="B80" s="33" t="s">
        <v>13824</v>
      </c>
    </row>
    <row r="81" spans="1:2">
      <c r="A81" s="33">
        <v>11330</v>
      </c>
      <c r="B81" s="33" t="s">
        <v>13824</v>
      </c>
    </row>
    <row r="82" spans="1:2">
      <c r="A82" s="33">
        <v>25200</v>
      </c>
      <c r="B82" s="33" t="s">
        <v>13859</v>
      </c>
    </row>
    <row r="83" spans="1:2">
      <c r="A83" s="33">
        <v>11071</v>
      </c>
      <c r="B83" s="33" t="s">
        <v>13831</v>
      </c>
    </row>
    <row r="84" spans="1:2">
      <c r="A84" s="33">
        <v>11337</v>
      </c>
      <c r="B84" s="33" t="s">
        <v>13831</v>
      </c>
    </row>
    <row r="85" spans="1:2" ht="14.25" customHeight="true">
      <c r="A85" s="33">
        <v>11307</v>
      </c>
      <c r="B85" s="33" t="s">
        <v>13861</v>
      </c>
    </row>
    <row r="86" spans="1:2" ht="14.25" customHeight="true">
      <c r="A86" s="33">
        <v>11051</v>
      </c>
      <c r="B86" s="33" t="s">
        <v>13818</v>
      </c>
    </row>
    <row r="87" spans="1:2" ht="14.25" customHeight="true">
      <c r="A87" s="33">
        <v>11324</v>
      </c>
      <c r="B87" s="33" t="s">
        <v>13818</v>
      </c>
    </row>
    <row r="88" spans="1:2" ht="14.25" customHeight="true">
      <c r="A88" s="33">
        <v>11305</v>
      </c>
      <c r="B88" s="33" t="s">
        <v>13800</v>
      </c>
    </row>
    <row r="89" spans="1:2">
      <c r="A89" s="33">
        <v>11341</v>
      </c>
      <c r="B89" s="33" t="s">
        <v>13835</v>
      </c>
    </row>
    <row r="90" spans="1:2" ht="14.25" customHeight="true">
      <c r="A90" s="33">
        <v>22017</v>
      </c>
      <c r="B90" s="33" t="s">
        <v>34042</v>
      </c>
    </row>
    <row r="91" spans="1:2" ht="14.25" customHeight="true">
      <c r="A91" s="33">
        <v>11223</v>
      </c>
      <c r="B91" s="33" t="s">
        <v>13791</v>
      </c>
    </row>
    <row r="92" spans="1:2" ht="14.25" customHeight="true">
      <c r="A92" s="33">
        <v>11046</v>
      </c>
      <c r="B92" s="33" t="s">
        <v>13815</v>
      </c>
    </row>
    <row r="93" spans="1:2" ht="14.25" customHeight="true">
      <c r="A93" s="33">
        <v>11321</v>
      </c>
      <c r="B93" s="33" t="s">
        <v>13815</v>
      </c>
    </row>
    <row r="94" spans="1:2" ht="14.25" customHeight="true">
      <c r="A94" s="33">
        <v>11205</v>
      </c>
      <c r="B94" s="33" t="s">
        <v>34043</v>
      </c>
    </row>
    <row r="95" spans="1:2" ht="14.25" customHeight="true">
      <c r="A95" s="33">
        <v>11315</v>
      </c>
      <c r="B95" s="33" t="s">
        <v>13808</v>
      </c>
    </row>
    <row r="96" spans="1:2" ht="14.25" customHeight="true">
      <c r="A96" s="33">
        <v>11222</v>
      </c>
      <c r="B96" s="33" t="s">
        <v>13790</v>
      </c>
    </row>
    <row r="97" spans="1:2" ht="14.25" customHeight="true">
      <c r="A97" s="33">
        <v>11210</v>
      </c>
      <c r="B97" s="33" t="s">
        <v>34044</v>
      </c>
    </row>
    <row r="98" spans="1:2">
      <c r="A98" s="33">
        <v>11060</v>
      </c>
      <c r="B98" s="33" t="s">
        <v>13830</v>
      </c>
    </row>
    <row r="99" spans="1:2">
      <c r="A99" s="33">
        <v>11336</v>
      </c>
      <c r="B99" s="33" t="s">
        <v>13830</v>
      </c>
    </row>
    <row r="100" spans="1:2" ht="14.25" customHeight="true">
      <c r="A100" s="33">
        <v>11231</v>
      </c>
      <c r="B100" s="33" t="s">
        <v>13780</v>
      </c>
    </row>
    <row r="101" spans="1:2" ht="14.25" customHeight="true">
      <c r="A101" s="33">
        <v>11232</v>
      </c>
      <c r="B101" s="33" t="s">
        <v>13781</v>
      </c>
    </row>
    <row r="102" spans="1:2" ht="14.25" customHeight="true">
      <c r="A102" s="33">
        <v>11233</v>
      </c>
      <c r="B102" s="33" t="s">
        <v>13782</v>
      </c>
    </row>
    <row r="103" spans="1:2" ht="14.25" customHeight="true">
      <c r="A103" s="33">
        <v>11234</v>
      </c>
      <c r="B103" s="33" t="s">
        <v>13783</v>
      </c>
    </row>
    <row r="104" spans="1:2" ht="14.25" customHeight="true">
      <c r="A104" s="33">
        <v>11200</v>
      </c>
      <c r="B104" s="33" t="s">
        <v>13771</v>
      </c>
    </row>
    <row r="105" spans="1:2">
      <c r="A105" s="33">
        <v>28007</v>
      </c>
      <c r="B105" s="33" t="s">
        <v>13771</v>
      </c>
    </row>
    <row r="106" spans="1:2" ht="14.25" customHeight="true">
      <c r="A106" s="33">
        <v>11213</v>
      </c>
      <c r="B106" s="33" t="s">
        <v>31456</v>
      </c>
    </row>
    <row r="107" spans="1:2">
      <c r="A107" s="33">
        <v>11360</v>
      </c>
      <c r="B107" s="33" t="s">
        <v>31456</v>
      </c>
    </row>
    <row r="108" spans="1:2">
      <c r="A108" s="33">
        <v>11349</v>
      </c>
      <c r="B108" s="33" t="s">
        <v>13844</v>
      </c>
    </row>
    <row r="109" spans="1:2" ht="14.25" customHeight="true">
      <c r="A109" s="33">
        <v>11053</v>
      </c>
      <c r="B109" s="33" t="s">
        <v>13820</v>
      </c>
    </row>
    <row r="110" spans="1:2" ht="14.25" customHeight="true">
      <c r="A110" s="33">
        <v>11326</v>
      </c>
      <c r="B110" s="33" t="s">
        <v>13820</v>
      </c>
    </row>
    <row r="111" spans="1:2" ht="14.25" customHeight="true">
      <c r="A111" s="33">
        <v>11201</v>
      </c>
      <c r="B111" s="33" t="s">
        <v>13773</v>
      </c>
    </row>
    <row r="112" spans="1:2" ht="14.25" customHeight="true">
      <c r="A112" s="33">
        <v>11216</v>
      </c>
      <c r="B112" s="33" t="s">
        <v>13801</v>
      </c>
    </row>
    <row r="113" spans="1:2" ht="14.25" customHeight="true">
      <c r="A113" s="33">
        <v>11220</v>
      </c>
      <c r="B113" s="33" t="s">
        <v>13801</v>
      </c>
    </row>
    <row r="114" spans="1:2">
      <c r="A114" s="33">
        <v>11363</v>
      </c>
      <c r="B114" s="33" t="s">
        <v>13856</v>
      </c>
    </row>
    <row r="115" spans="1:2">
      <c r="A115" s="33">
        <v>11344</v>
      </c>
      <c r="B115" s="33" t="s">
        <v>13836</v>
      </c>
    </row>
    <row r="116" spans="1:2">
      <c r="A116" s="33">
        <v>11355</v>
      </c>
      <c r="B116" s="33" t="s">
        <v>13850</v>
      </c>
    </row>
    <row r="117" spans="1:2" ht="14.25" customHeight="true">
      <c r="A117" s="33">
        <v>11050</v>
      </c>
      <c r="B117" s="33" t="s">
        <v>13817</v>
      </c>
    </row>
    <row r="118" spans="1:2" ht="14.25" customHeight="true">
      <c r="A118" s="33">
        <v>11323</v>
      </c>
      <c r="B118" s="33" t="s">
        <v>13817</v>
      </c>
    </row>
    <row r="119" spans="1:2" ht="14.25" customHeight="true">
      <c r="A119" s="33">
        <v>11208</v>
      </c>
      <c r="B119" s="33" t="s">
        <v>34045</v>
      </c>
    </row>
    <row r="120" spans="1:2">
      <c r="A120" s="33">
        <v>11056</v>
      </c>
      <c r="B120" s="33" t="s">
        <v>13826</v>
      </c>
    </row>
    <row r="121" spans="1:2">
      <c r="A121" s="33">
        <v>11332</v>
      </c>
      <c r="B121" s="33" t="s">
        <v>13826</v>
      </c>
    </row>
    <row r="122" spans="1:2">
      <c r="A122" s="33">
        <v>11359</v>
      </c>
      <c r="B122" s="33" t="s">
        <v>13854</v>
      </c>
    </row>
    <row r="123" spans="1:2" ht="14.25" customHeight="true">
      <c r="A123" s="33">
        <v>11316</v>
      </c>
      <c r="B123" s="33" t="s">
        <v>13809</v>
      </c>
    </row>
    <row r="124" spans="1:2">
      <c r="A124" s="33">
        <v>11059</v>
      </c>
      <c r="B124" s="33" t="s">
        <v>13829</v>
      </c>
    </row>
    <row r="125" spans="1:2">
      <c r="A125" s="33">
        <v>11335</v>
      </c>
      <c r="B125" s="33" t="s">
        <v>13829</v>
      </c>
    </row>
    <row r="126" spans="1:2">
      <c r="A126" s="33">
        <v>11351</v>
      </c>
      <c r="B126" s="33" t="s">
        <v>13847</v>
      </c>
    </row>
    <row r="127" spans="1:2">
      <c r="A127" s="33">
        <v>11339</v>
      </c>
      <c r="B127" s="33" t="s">
        <v>13834</v>
      </c>
    </row>
    <row r="128" spans="1:2" ht="14.25" customHeight="true">
      <c r="A128" s="33">
        <v>11055</v>
      </c>
      <c r="B128" s="33" t="s">
        <v>13825</v>
      </c>
    </row>
    <row r="129" spans="1:2">
      <c r="A129" s="33">
        <v>11331</v>
      </c>
      <c r="B129" s="33" t="s">
        <v>13825</v>
      </c>
    </row>
    <row r="130" spans="1:2" ht="14.25" customHeight="true">
      <c r="A130" s="33">
        <v>11049</v>
      </c>
      <c r="B130" s="33" t="s">
        <v>13816</v>
      </c>
    </row>
    <row r="131" spans="1:2" ht="14.25" customHeight="true">
      <c r="A131" s="33">
        <v>11322</v>
      </c>
      <c r="B131" s="33" t="s">
        <v>13816</v>
      </c>
    </row>
    <row r="132" spans="1:2">
      <c r="A132" s="33">
        <v>11347</v>
      </c>
      <c r="B132" s="33" t="s">
        <v>13841</v>
      </c>
    </row>
    <row r="133" spans="1:1">
      <c r="A133" s="33">
        <v>11362</v>
      </c>
    </row>
    <row r="134" spans="1:2">
      <c r="A134" s="33">
        <v>25100</v>
      </c>
      <c r="B134" s="33" t="s">
        <v>13846</v>
      </c>
    </row>
    <row r="135" spans="1:2">
      <c r="A135" s="33">
        <v>11031</v>
      </c>
      <c r="B135" s="33" t="s">
        <v>13849</v>
      </c>
    </row>
    <row r="136" spans="1:2">
      <c r="A136" s="33">
        <v>11032</v>
      </c>
      <c r="B136" s="33" t="s">
        <v>13846</v>
      </c>
    </row>
    <row r="137" spans="1:2">
      <c r="A137" s="33">
        <v>11033</v>
      </c>
      <c r="B137" s="33" t="s">
        <v>13850</v>
      </c>
    </row>
    <row r="138" spans="1:2">
      <c r="A138" s="33">
        <v>11077</v>
      </c>
      <c r="B138" s="33" t="s">
        <v>13841</v>
      </c>
    </row>
    <row r="139" spans="1:2">
      <c r="A139" s="33">
        <v>11403</v>
      </c>
      <c r="B139" s="33" t="s">
        <v>13844</v>
      </c>
    </row>
    <row r="140" spans="1:2">
      <c r="A140" s="33">
        <v>25600</v>
      </c>
      <c r="B140" s="33" t="s">
        <v>34046</v>
      </c>
    </row>
    <row r="141" spans="1:2">
      <c r="A141" s="33">
        <v>25602</v>
      </c>
      <c r="B141" s="33" t="s">
        <v>34047</v>
      </c>
    </row>
    <row r="142" spans="1:1">
      <c r="A142" s="33">
        <v>25604</v>
      </c>
    </row>
    <row r="144" spans="1:2">
      <c r="A144" s="59">
        <v>12400</v>
      </c>
      <c r="B144" s="59" t="s">
        <v>34048</v>
      </c>
    </row>
    <row r="145" spans="1:2">
      <c r="A145" s="59">
        <v>12401</v>
      </c>
      <c r="B145" s="59" t="s">
        <v>34048</v>
      </c>
    </row>
    <row r="146" spans="1:2">
      <c r="A146" s="59">
        <v>12402</v>
      </c>
      <c r="B146" s="59" t="s">
        <v>34048</v>
      </c>
    </row>
    <row r="147" spans="1:2">
      <c r="A147" s="59">
        <v>12403</v>
      </c>
      <c r="B147" s="59" t="s">
        <v>34048</v>
      </c>
    </row>
    <row r="148" spans="1:2">
      <c r="A148" s="59">
        <v>12501</v>
      </c>
      <c r="B148" s="59" t="s">
        <v>34048</v>
      </c>
    </row>
    <row r="149" spans="1:2">
      <c r="A149" s="59">
        <v>25603</v>
      </c>
      <c r="B149" s="59" t="s">
        <v>34048</v>
      </c>
    </row>
    <row r="150" spans="1:2">
      <c r="A150" s="59">
        <v>12400</v>
      </c>
      <c r="B150" s="59" t="s">
        <v>34049</v>
      </c>
    </row>
    <row r="151" spans="1:2">
      <c r="A151" s="59">
        <v>12401</v>
      </c>
      <c r="B151" s="59" t="s">
        <v>34049</v>
      </c>
    </row>
    <row r="152" spans="1:2">
      <c r="A152" s="59">
        <v>12402</v>
      </c>
      <c r="B152" s="59" t="s">
        <v>34049</v>
      </c>
    </row>
    <row r="153" spans="1:2">
      <c r="A153" s="59">
        <v>12403</v>
      </c>
      <c r="B153" s="59" t="s">
        <v>34049</v>
      </c>
    </row>
    <row r="154" spans="1:2">
      <c r="A154" s="59">
        <v>12501</v>
      </c>
      <c r="B154" s="59" t="s">
        <v>34049</v>
      </c>
    </row>
    <row r="155" spans="1:2">
      <c r="A155" s="59">
        <v>25603</v>
      </c>
      <c r="B155" s="59" t="s">
        <v>34049</v>
      </c>
    </row>
    <row r="156" spans="1:2">
      <c r="A156" s="59">
        <v>12400</v>
      </c>
      <c r="B156" s="59" t="s">
        <v>34050</v>
      </c>
    </row>
    <row r="157" spans="1:2">
      <c r="A157" s="59">
        <v>12401</v>
      </c>
      <c r="B157" s="59" t="s">
        <v>34050</v>
      </c>
    </row>
    <row r="158" spans="1:2">
      <c r="A158" s="59">
        <v>12402</v>
      </c>
      <c r="B158" s="59" t="s">
        <v>34050</v>
      </c>
    </row>
    <row r="159" spans="1:2">
      <c r="A159" s="59">
        <v>12403</v>
      </c>
      <c r="B159" s="59" t="s">
        <v>34050</v>
      </c>
    </row>
    <row r="160" spans="1:2">
      <c r="A160" s="59">
        <v>12501</v>
      </c>
      <c r="B160" s="59" t="s">
        <v>34050</v>
      </c>
    </row>
    <row r="161" spans="1:2">
      <c r="A161" s="59">
        <v>25603</v>
      </c>
      <c r="B161" s="59" t="s">
        <v>34050</v>
      </c>
    </row>
    <row r="162" spans="1:2">
      <c r="A162" s="59">
        <v>12400</v>
      </c>
      <c r="B162" s="59" t="s">
        <v>34051</v>
      </c>
    </row>
    <row r="163" spans="1:2">
      <c r="A163" s="59">
        <v>12401</v>
      </c>
      <c r="B163" s="59" t="s">
        <v>34051</v>
      </c>
    </row>
    <row r="164" spans="1:2">
      <c r="A164" s="59">
        <v>12402</v>
      </c>
      <c r="B164" s="59" t="s">
        <v>34051</v>
      </c>
    </row>
    <row r="165" spans="1:2">
      <c r="A165" s="59">
        <v>12403</v>
      </c>
      <c r="B165" s="59" t="s">
        <v>34051</v>
      </c>
    </row>
    <row r="166" spans="1:2">
      <c r="A166" s="59">
        <v>12501</v>
      </c>
      <c r="B166" s="59" t="s">
        <v>34051</v>
      </c>
    </row>
    <row r="167" spans="1:2">
      <c r="A167" s="59">
        <v>25603</v>
      </c>
      <c r="B167" s="59" t="s">
        <v>34051</v>
      </c>
    </row>
    <row r="168" spans="1:2">
      <c r="A168" s="59">
        <v>12400</v>
      </c>
      <c r="B168" s="59" t="s">
        <v>34052</v>
      </c>
    </row>
    <row r="169" spans="1:2">
      <c r="A169" s="59">
        <v>12401</v>
      </c>
      <c r="B169" s="59" t="s">
        <v>34052</v>
      </c>
    </row>
    <row r="170" spans="1:2">
      <c r="A170" s="59">
        <v>12402</v>
      </c>
      <c r="B170" s="59" t="s">
        <v>34052</v>
      </c>
    </row>
    <row r="171" spans="1:2">
      <c r="A171" s="59">
        <v>12403</v>
      </c>
      <c r="B171" s="59" t="s">
        <v>34052</v>
      </c>
    </row>
    <row r="172" spans="1:2">
      <c r="A172" s="59">
        <v>12501</v>
      </c>
      <c r="B172" s="59" t="s">
        <v>34052</v>
      </c>
    </row>
    <row r="173" spans="1:2">
      <c r="A173" s="59">
        <v>25603</v>
      </c>
      <c r="B173" s="59" t="s">
        <v>34052</v>
      </c>
    </row>
    <row r="174" spans="1:2">
      <c r="A174" s="59">
        <v>12400</v>
      </c>
      <c r="B174" s="59" t="s">
        <v>34053</v>
      </c>
    </row>
    <row r="175" spans="1:2">
      <c r="A175" s="59">
        <v>12401</v>
      </c>
      <c r="B175" s="59" t="s">
        <v>34053</v>
      </c>
    </row>
    <row r="176" spans="1:2">
      <c r="A176" s="59">
        <v>12402</v>
      </c>
      <c r="B176" s="59" t="s">
        <v>34053</v>
      </c>
    </row>
    <row r="177" spans="1:2">
      <c r="A177" s="59">
        <v>12403</v>
      </c>
      <c r="B177" s="59" t="s">
        <v>34053</v>
      </c>
    </row>
    <row r="178" spans="1:2">
      <c r="A178" s="59">
        <v>12501</v>
      </c>
      <c r="B178" s="59" t="s">
        <v>34053</v>
      </c>
    </row>
    <row r="179" spans="1:2">
      <c r="A179" s="59">
        <v>25603</v>
      </c>
      <c r="B179" s="59" t="s">
        <v>34053</v>
      </c>
    </row>
    <row r="180" spans="1:2">
      <c r="A180" s="59">
        <v>12400</v>
      </c>
      <c r="B180" s="59" t="s">
        <v>34054</v>
      </c>
    </row>
    <row r="181" spans="1:2">
      <c r="A181" s="59">
        <v>12401</v>
      </c>
      <c r="B181" s="59" t="s">
        <v>34054</v>
      </c>
    </row>
    <row r="182" spans="1:2">
      <c r="A182" s="59">
        <v>12402</v>
      </c>
      <c r="B182" s="59" t="s">
        <v>34054</v>
      </c>
    </row>
    <row r="183" spans="1:2">
      <c r="A183" s="59">
        <v>12403</v>
      </c>
      <c r="B183" s="59" t="s">
        <v>34054</v>
      </c>
    </row>
    <row r="184" spans="1:2">
      <c r="A184" s="59">
        <v>12501</v>
      </c>
      <c r="B184" s="59" t="s">
        <v>34054</v>
      </c>
    </row>
    <row r="185" spans="1:2">
      <c r="A185" s="59">
        <v>25603</v>
      </c>
      <c r="B185" s="59" t="s">
        <v>34054</v>
      </c>
    </row>
    <row r="186" spans="1:2">
      <c r="A186" s="59">
        <v>12400</v>
      </c>
      <c r="B186" s="59" t="s">
        <v>34055</v>
      </c>
    </row>
    <row r="187" spans="1:2">
      <c r="A187" s="59">
        <v>12401</v>
      </c>
      <c r="B187" s="59" t="s">
        <v>34055</v>
      </c>
    </row>
    <row r="188" spans="1:2">
      <c r="A188" s="59">
        <v>12402</v>
      </c>
      <c r="B188" s="59" t="s">
        <v>34055</v>
      </c>
    </row>
    <row r="189" spans="1:2">
      <c r="A189" s="59">
        <v>12403</v>
      </c>
      <c r="B189" s="59" t="s">
        <v>34055</v>
      </c>
    </row>
    <row r="190" spans="1:2">
      <c r="A190" s="59">
        <v>12501</v>
      </c>
      <c r="B190" s="59" t="s">
        <v>34055</v>
      </c>
    </row>
    <row r="191" spans="1:2">
      <c r="A191" s="59">
        <v>25603</v>
      </c>
      <c r="B191" s="59" t="s">
        <v>34055</v>
      </c>
    </row>
    <row r="192" spans="1:2">
      <c r="A192" s="59">
        <v>12400</v>
      </c>
      <c r="B192" s="59" t="s">
        <v>34056</v>
      </c>
    </row>
    <row r="193" spans="1:2">
      <c r="A193" s="59">
        <v>12401</v>
      </c>
      <c r="B193" s="59" t="s">
        <v>34056</v>
      </c>
    </row>
    <row r="194" spans="1:2">
      <c r="A194" s="59">
        <v>12402</v>
      </c>
      <c r="B194" s="59" t="s">
        <v>34056</v>
      </c>
    </row>
    <row r="195" spans="1:2">
      <c r="A195" s="59">
        <v>12403</v>
      </c>
      <c r="B195" s="59" t="s">
        <v>34056</v>
      </c>
    </row>
    <row r="196" spans="1:2">
      <c r="A196" s="59">
        <v>12501</v>
      </c>
      <c r="B196" s="59" t="s">
        <v>34056</v>
      </c>
    </row>
    <row r="197" spans="1:2">
      <c r="A197" s="59">
        <v>25603</v>
      </c>
      <c r="B197" s="59" t="s">
        <v>34056</v>
      </c>
    </row>
    <row r="198" spans="1:2">
      <c r="A198" s="59">
        <v>12400</v>
      </c>
      <c r="B198" s="59" t="s">
        <v>34057</v>
      </c>
    </row>
    <row r="199" spans="1:2">
      <c r="A199" s="59">
        <v>12401</v>
      </c>
      <c r="B199" s="59" t="s">
        <v>34057</v>
      </c>
    </row>
    <row r="200" spans="1:2">
      <c r="A200" s="59">
        <v>12402</v>
      </c>
      <c r="B200" s="59" t="s">
        <v>34057</v>
      </c>
    </row>
    <row r="201" spans="1:2">
      <c r="A201" s="59">
        <v>12403</v>
      </c>
      <c r="B201" s="59" t="s">
        <v>34057</v>
      </c>
    </row>
    <row r="202" spans="1:2">
      <c r="A202" s="59">
        <v>12501</v>
      </c>
      <c r="B202" s="59" t="s">
        <v>34057</v>
      </c>
    </row>
    <row r="203" spans="1:2">
      <c r="A203" s="59">
        <v>25603</v>
      </c>
      <c r="B203" s="59" t="s">
        <v>34057</v>
      </c>
    </row>
    <row r="204" spans="1:2">
      <c r="A204" s="59">
        <v>12400</v>
      </c>
      <c r="B204" s="59" t="s">
        <v>34058</v>
      </c>
    </row>
    <row r="205" spans="1:2">
      <c r="A205" s="59">
        <v>12401</v>
      </c>
      <c r="B205" s="59" t="s">
        <v>34058</v>
      </c>
    </row>
    <row r="206" spans="1:2">
      <c r="A206" s="59">
        <v>12402</v>
      </c>
      <c r="B206" s="59" t="s">
        <v>34058</v>
      </c>
    </row>
    <row r="207" spans="1:2">
      <c r="A207" s="59">
        <v>12403</v>
      </c>
      <c r="B207" s="59" t="s">
        <v>34058</v>
      </c>
    </row>
    <row r="208" spans="1:2">
      <c r="A208" s="59">
        <v>12501</v>
      </c>
      <c r="B208" s="59" t="s">
        <v>34058</v>
      </c>
    </row>
    <row r="209" spans="1:2">
      <c r="A209" s="59">
        <v>25603</v>
      </c>
      <c r="B209" s="59" t="s">
        <v>34058</v>
      </c>
    </row>
    <row r="210" spans="1:2">
      <c r="A210" s="59">
        <v>12400</v>
      </c>
      <c r="B210" s="59" t="s">
        <v>34059</v>
      </c>
    </row>
    <row r="211" spans="1:2">
      <c r="A211" s="59">
        <v>12401</v>
      </c>
      <c r="B211" s="59" t="s">
        <v>34059</v>
      </c>
    </row>
    <row r="212" spans="1:2">
      <c r="A212" s="59">
        <v>12402</v>
      </c>
      <c r="B212" s="59" t="s">
        <v>34059</v>
      </c>
    </row>
    <row r="213" spans="1:2">
      <c r="A213" s="59">
        <v>12403</v>
      </c>
      <c r="B213" s="59" t="s">
        <v>34059</v>
      </c>
    </row>
    <row r="214" spans="1:2">
      <c r="A214" s="59">
        <v>12501</v>
      </c>
      <c r="B214" s="59" t="s">
        <v>34059</v>
      </c>
    </row>
    <row r="215" spans="1:2">
      <c r="A215" s="59">
        <v>25603</v>
      </c>
      <c r="B215" s="59" t="s">
        <v>34059</v>
      </c>
    </row>
    <row r="216" spans="1:2">
      <c r="A216" s="59">
        <v>12400</v>
      </c>
      <c r="B216" s="59" t="s">
        <v>34060</v>
      </c>
    </row>
    <row r="217" spans="1:2">
      <c r="A217" s="59">
        <v>12401</v>
      </c>
      <c r="B217" s="59" t="s">
        <v>34060</v>
      </c>
    </row>
    <row r="218" spans="1:2">
      <c r="A218" s="59">
        <v>12402</v>
      </c>
      <c r="B218" s="59" t="s">
        <v>34060</v>
      </c>
    </row>
    <row r="219" spans="1:2">
      <c r="A219" s="59">
        <v>12403</v>
      </c>
      <c r="B219" s="59" t="s">
        <v>34060</v>
      </c>
    </row>
    <row r="220" spans="1:2">
      <c r="A220" s="59">
        <v>12501</v>
      </c>
      <c r="B220" s="59" t="s">
        <v>34060</v>
      </c>
    </row>
    <row r="221" spans="1:2">
      <c r="A221" s="59">
        <v>25603</v>
      </c>
      <c r="B221" s="59" t="s">
        <v>34060</v>
      </c>
    </row>
    <row r="222" spans="1:2">
      <c r="A222" s="59">
        <v>12400</v>
      </c>
      <c r="B222" s="59" t="s">
        <v>34061</v>
      </c>
    </row>
    <row r="223" spans="1:2">
      <c r="A223" s="59">
        <v>12401</v>
      </c>
      <c r="B223" s="59" t="s">
        <v>34061</v>
      </c>
    </row>
    <row r="224" spans="1:2">
      <c r="A224" s="59">
        <v>12402</v>
      </c>
      <c r="B224" s="59" t="s">
        <v>34061</v>
      </c>
    </row>
    <row r="225" spans="1:2">
      <c r="A225" s="59">
        <v>12403</v>
      </c>
      <c r="B225" s="59" t="s">
        <v>34061</v>
      </c>
    </row>
    <row r="226" spans="1:2">
      <c r="A226" s="59">
        <v>12501</v>
      </c>
      <c r="B226" s="59" t="s">
        <v>34061</v>
      </c>
    </row>
    <row r="227" spans="1:2">
      <c r="A227" s="59">
        <v>25603</v>
      </c>
      <c r="B227" s="59" t="s">
        <v>34061</v>
      </c>
    </row>
    <row r="228" spans="1:2">
      <c r="A228" s="59">
        <v>12400</v>
      </c>
      <c r="B228" s="59" t="s">
        <v>34062</v>
      </c>
    </row>
    <row r="229" spans="1:2">
      <c r="A229" s="59">
        <v>12401</v>
      </c>
      <c r="B229" s="59" t="s">
        <v>34062</v>
      </c>
    </row>
    <row r="230" spans="1:2">
      <c r="A230" s="59">
        <v>12402</v>
      </c>
      <c r="B230" s="59" t="s">
        <v>34062</v>
      </c>
    </row>
    <row r="231" spans="1:2">
      <c r="A231" s="59">
        <v>12403</v>
      </c>
      <c r="B231" s="59" t="s">
        <v>34062</v>
      </c>
    </row>
    <row r="232" spans="1:2">
      <c r="A232" s="59">
        <v>12501</v>
      </c>
      <c r="B232" s="59" t="s">
        <v>34062</v>
      </c>
    </row>
    <row r="233" spans="1:2">
      <c r="A233" s="59">
        <v>25603</v>
      </c>
      <c r="B233" s="59" t="s">
        <v>34062</v>
      </c>
    </row>
    <row r="234" spans="1:2">
      <c r="A234" s="59">
        <v>12400</v>
      </c>
      <c r="B234" s="59" t="s">
        <v>34063</v>
      </c>
    </row>
    <row r="235" spans="1:2">
      <c r="A235" s="59">
        <v>12401</v>
      </c>
      <c r="B235" s="59" t="s">
        <v>34063</v>
      </c>
    </row>
    <row r="236" spans="1:2">
      <c r="A236" s="59">
        <v>12402</v>
      </c>
      <c r="B236" s="59" t="s">
        <v>34063</v>
      </c>
    </row>
    <row r="237" spans="1:2">
      <c r="A237" s="59">
        <v>12403</v>
      </c>
      <c r="B237" s="59" t="s">
        <v>34063</v>
      </c>
    </row>
    <row r="238" spans="1:2">
      <c r="A238" s="59">
        <v>12501</v>
      </c>
      <c r="B238" s="59" t="s">
        <v>34063</v>
      </c>
    </row>
    <row r="239" spans="1:2">
      <c r="A239" s="59">
        <v>25603</v>
      </c>
      <c r="B239" s="59" t="s">
        <v>34063</v>
      </c>
    </row>
    <row r="240" spans="1:2">
      <c r="A240" s="59">
        <v>12400</v>
      </c>
      <c r="B240" s="59" t="s">
        <v>34064</v>
      </c>
    </row>
    <row r="241" spans="1:2">
      <c r="A241" s="59">
        <v>12401</v>
      </c>
      <c r="B241" s="59" t="s">
        <v>34064</v>
      </c>
    </row>
    <row r="242" spans="1:2">
      <c r="A242" s="59">
        <v>12402</v>
      </c>
      <c r="B242" s="59" t="s">
        <v>34064</v>
      </c>
    </row>
    <row r="243" spans="1:2">
      <c r="A243" s="59">
        <v>12403</v>
      </c>
      <c r="B243" s="59" t="s">
        <v>34064</v>
      </c>
    </row>
    <row r="244" spans="1:2">
      <c r="A244" s="59">
        <v>12501</v>
      </c>
      <c r="B244" s="59" t="s">
        <v>34064</v>
      </c>
    </row>
    <row r="245" spans="1:2">
      <c r="A245" s="59">
        <v>25603</v>
      </c>
      <c r="B245" s="59" t="s">
        <v>34064</v>
      </c>
    </row>
    <row r="246" spans="1:2">
      <c r="A246" s="59">
        <v>12400</v>
      </c>
      <c r="B246" s="59" t="s">
        <v>34065</v>
      </c>
    </row>
    <row r="247" spans="1:2">
      <c r="A247" s="59">
        <v>12401</v>
      </c>
      <c r="B247" s="59" t="s">
        <v>34065</v>
      </c>
    </row>
    <row r="248" spans="1:2">
      <c r="A248" s="59">
        <v>12402</v>
      </c>
      <c r="B248" s="59" t="s">
        <v>34065</v>
      </c>
    </row>
    <row r="249" spans="1:2">
      <c r="A249" s="59">
        <v>12403</v>
      </c>
      <c r="B249" s="59" t="s">
        <v>34065</v>
      </c>
    </row>
    <row r="250" spans="1:2">
      <c r="A250" s="59">
        <v>12501</v>
      </c>
      <c r="B250" s="59" t="s">
        <v>34065</v>
      </c>
    </row>
    <row r="251" spans="1:2">
      <c r="A251" s="59">
        <v>25603</v>
      </c>
      <c r="B251" s="59" t="s">
        <v>34065</v>
      </c>
    </row>
    <row r="252" spans="1:2">
      <c r="A252" s="59">
        <v>12400</v>
      </c>
      <c r="B252" s="59" t="s">
        <v>34066</v>
      </c>
    </row>
    <row r="253" spans="1:2">
      <c r="A253" s="59">
        <v>12401</v>
      </c>
      <c r="B253" s="59" t="s">
        <v>34066</v>
      </c>
    </row>
    <row r="254" spans="1:2">
      <c r="A254" s="59">
        <v>12402</v>
      </c>
      <c r="B254" s="59" t="s">
        <v>34066</v>
      </c>
    </row>
    <row r="255" spans="1:2">
      <c r="A255" s="59">
        <v>12403</v>
      </c>
      <c r="B255" s="59" t="s">
        <v>34066</v>
      </c>
    </row>
    <row r="256" spans="1:2">
      <c r="A256" s="59">
        <v>12501</v>
      </c>
      <c r="B256" s="59" t="s">
        <v>34066</v>
      </c>
    </row>
    <row r="257" spans="1:2">
      <c r="A257" s="59">
        <v>25603</v>
      </c>
      <c r="B257" s="59" t="s">
        <v>34066</v>
      </c>
    </row>
    <row r="258" spans="1:2">
      <c r="A258" s="59">
        <v>12400</v>
      </c>
      <c r="B258" s="59" t="s">
        <v>34067</v>
      </c>
    </row>
    <row r="259" spans="1:2">
      <c r="A259" s="59">
        <v>12401</v>
      </c>
      <c r="B259" s="59" t="s">
        <v>34067</v>
      </c>
    </row>
    <row r="260" spans="1:2">
      <c r="A260" s="59">
        <v>12402</v>
      </c>
      <c r="B260" s="59" t="s">
        <v>34067</v>
      </c>
    </row>
    <row r="261" spans="1:2">
      <c r="A261" s="59">
        <v>12403</v>
      </c>
      <c r="B261" s="59" t="s">
        <v>34067</v>
      </c>
    </row>
    <row r="262" spans="1:2">
      <c r="A262" s="59">
        <v>12501</v>
      </c>
      <c r="B262" s="59" t="s">
        <v>34067</v>
      </c>
    </row>
    <row r="263" spans="1:2">
      <c r="A263" s="59">
        <v>25603</v>
      </c>
      <c r="B263" s="59" t="s">
        <v>34067</v>
      </c>
    </row>
    <row r="264" spans="1:2">
      <c r="A264" s="59">
        <v>12400</v>
      </c>
      <c r="B264" s="59" t="s">
        <v>34068</v>
      </c>
    </row>
    <row r="265" spans="1:2">
      <c r="A265" s="59">
        <v>12401</v>
      </c>
      <c r="B265" s="59" t="s">
        <v>34068</v>
      </c>
    </row>
    <row r="266" spans="1:2">
      <c r="A266" s="59">
        <v>12402</v>
      </c>
      <c r="B266" s="59" t="s">
        <v>34068</v>
      </c>
    </row>
    <row r="267" spans="1:2">
      <c r="A267" s="59">
        <v>12403</v>
      </c>
      <c r="B267" s="59" t="s">
        <v>34068</v>
      </c>
    </row>
    <row r="268" spans="1:2">
      <c r="A268" s="59">
        <v>12501</v>
      </c>
      <c r="B268" s="59" t="s">
        <v>34068</v>
      </c>
    </row>
    <row r="269" spans="1:2">
      <c r="A269" s="59">
        <v>25603</v>
      </c>
      <c r="B269" s="59" t="s">
        <v>34068</v>
      </c>
    </row>
    <row r="270" spans="1:2">
      <c r="A270" s="59">
        <v>12400</v>
      </c>
      <c r="B270" s="59" t="s">
        <v>34069</v>
      </c>
    </row>
    <row r="271" spans="1:2">
      <c r="A271" s="59">
        <v>12401</v>
      </c>
      <c r="B271" s="59" t="s">
        <v>34069</v>
      </c>
    </row>
    <row r="272" spans="1:2">
      <c r="A272" s="59">
        <v>12402</v>
      </c>
      <c r="B272" s="59" t="s">
        <v>34069</v>
      </c>
    </row>
    <row r="273" spans="1:2">
      <c r="A273" s="59">
        <v>12403</v>
      </c>
      <c r="B273" s="59" t="s">
        <v>34069</v>
      </c>
    </row>
    <row r="274" spans="1:2">
      <c r="A274" s="59">
        <v>12501</v>
      </c>
      <c r="B274" s="59" t="s">
        <v>34069</v>
      </c>
    </row>
    <row r="275" spans="1:2">
      <c r="A275" s="59">
        <v>25603</v>
      </c>
      <c r="B275" s="59" t="s">
        <v>34069</v>
      </c>
    </row>
    <row r="276" spans="1:2">
      <c r="A276" s="59">
        <v>12400</v>
      </c>
      <c r="B276" s="59" t="s">
        <v>34070</v>
      </c>
    </row>
    <row r="277" spans="1:2">
      <c r="A277" s="59">
        <v>12401</v>
      </c>
      <c r="B277" s="59" t="s">
        <v>34070</v>
      </c>
    </row>
    <row r="278" spans="1:2">
      <c r="A278" s="59">
        <v>12402</v>
      </c>
      <c r="B278" s="59" t="s">
        <v>34070</v>
      </c>
    </row>
    <row r="279" spans="1:2">
      <c r="A279" s="59">
        <v>12403</v>
      </c>
      <c r="B279" s="59" t="s">
        <v>34070</v>
      </c>
    </row>
    <row r="280" spans="1:2">
      <c r="A280" s="59">
        <v>12501</v>
      </c>
      <c r="B280" s="59" t="s">
        <v>34070</v>
      </c>
    </row>
    <row r="281" spans="1:2">
      <c r="A281" s="59">
        <v>25603</v>
      </c>
      <c r="B281" s="59" t="s">
        <v>34070</v>
      </c>
    </row>
    <row r="282" spans="1:2">
      <c r="A282" s="59">
        <v>12400</v>
      </c>
      <c r="B282" s="59" t="s">
        <v>34071</v>
      </c>
    </row>
    <row r="283" spans="1:2">
      <c r="A283" s="59">
        <v>12401</v>
      </c>
      <c r="B283" s="59" t="s">
        <v>34071</v>
      </c>
    </row>
    <row r="284" spans="1:2">
      <c r="A284" s="59">
        <v>12402</v>
      </c>
      <c r="B284" s="59" t="s">
        <v>34071</v>
      </c>
    </row>
    <row r="285" spans="1:2">
      <c r="A285" s="59">
        <v>12403</v>
      </c>
      <c r="B285" s="59" t="s">
        <v>34071</v>
      </c>
    </row>
    <row r="286" spans="1:2">
      <c r="A286" s="59">
        <v>12501</v>
      </c>
      <c r="B286" s="59" t="s">
        <v>34071</v>
      </c>
    </row>
    <row r="287" spans="1:2">
      <c r="A287" s="59">
        <v>25603</v>
      </c>
      <c r="B287" s="59" t="s">
        <v>34071</v>
      </c>
    </row>
    <row r="288" spans="1:2">
      <c r="A288" s="59">
        <v>12400</v>
      </c>
      <c r="B288" s="59" t="s">
        <v>34072</v>
      </c>
    </row>
    <row r="289" spans="1:2">
      <c r="A289" s="59">
        <v>12401</v>
      </c>
      <c r="B289" s="59" t="s">
        <v>34072</v>
      </c>
    </row>
    <row r="290" spans="1:2">
      <c r="A290" s="59">
        <v>12402</v>
      </c>
      <c r="B290" s="59" t="s">
        <v>34072</v>
      </c>
    </row>
    <row r="291" spans="1:2">
      <c r="A291" s="59">
        <v>12403</v>
      </c>
      <c r="B291" s="59" t="s">
        <v>34072</v>
      </c>
    </row>
    <row r="292" spans="1:2">
      <c r="A292" s="59">
        <v>12501</v>
      </c>
      <c r="B292" s="59" t="s">
        <v>34072</v>
      </c>
    </row>
    <row r="293" spans="1:2">
      <c r="A293" s="59">
        <v>25603</v>
      </c>
      <c r="B293" s="59" t="s">
        <v>34072</v>
      </c>
    </row>
    <row r="294" spans="1:2">
      <c r="A294" s="59">
        <v>12400</v>
      </c>
      <c r="B294" s="59" t="s">
        <v>34073</v>
      </c>
    </row>
    <row r="295" spans="1:2">
      <c r="A295" s="59">
        <v>12401</v>
      </c>
      <c r="B295" s="59" t="s">
        <v>34073</v>
      </c>
    </row>
    <row r="296" spans="1:2">
      <c r="A296" s="59">
        <v>12402</v>
      </c>
      <c r="B296" s="59" t="s">
        <v>34073</v>
      </c>
    </row>
    <row r="297" spans="1:2">
      <c r="A297" s="59">
        <v>12403</v>
      </c>
      <c r="B297" s="59" t="s">
        <v>34073</v>
      </c>
    </row>
    <row r="298" spans="1:2">
      <c r="A298" s="59">
        <v>12501</v>
      </c>
      <c r="B298" s="59" t="s">
        <v>34073</v>
      </c>
    </row>
    <row r="299" spans="1:2">
      <c r="A299" s="59">
        <v>25603</v>
      </c>
      <c r="B299" s="59" t="s">
        <v>34073</v>
      </c>
    </row>
    <row r="300" spans="1:2">
      <c r="A300" s="59">
        <v>12400</v>
      </c>
      <c r="B300" s="59" t="s">
        <v>34074</v>
      </c>
    </row>
    <row r="301" spans="1:2">
      <c r="A301" s="59">
        <v>12401</v>
      </c>
      <c r="B301" s="59" t="s">
        <v>34074</v>
      </c>
    </row>
    <row r="302" spans="1:2">
      <c r="A302" s="59">
        <v>12402</v>
      </c>
      <c r="B302" s="59" t="s">
        <v>34074</v>
      </c>
    </row>
    <row r="303" spans="1:2">
      <c r="A303" s="59">
        <v>12403</v>
      </c>
      <c r="B303" s="59" t="s">
        <v>34074</v>
      </c>
    </row>
    <row r="304" spans="1:2">
      <c r="A304" s="59">
        <v>12501</v>
      </c>
      <c r="B304" s="59" t="s">
        <v>34074</v>
      </c>
    </row>
    <row r="305" spans="1:2">
      <c r="A305" s="59">
        <v>25603</v>
      </c>
      <c r="B305" s="59" t="s">
        <v>34074</v>
      </c>
    </row>
    <row r="306" spans="1:2">
      <c r="A306" s="59">
        <v>12400</v>
      </c>
      <c r="B306" s="59" t="s">
        <v>34075</v>
      </c>
    </row>
    <row r="307" spans="1:2">
      <c r="A307" s="59">
        <v>12401</v>
      </c>
      <c r="B307" s="59" t="s">
        <v>34075</v>
      </c>
    </row>
    <row r="308" spans="1:2">
      <c r="A308" s="59">
        <v>12402</v>
      </c>
      <c r="B308" s="59" t="s">
        <v>34075</v>
      </c>
    </row>
    <row r="309" spans="1:2">
      <c r="A309" s="59">
        <v>12403</v>
      </c>
      <c r="B309" s="59" t="s">
        <v>34075</v>
      </c>
    </row>
    <row r="310" spans="1:2">
      <c r="A310" s="59">
        <v>12501</v>
      </c>
      <c r="B310" s="59" t="s">
        <v>34075</v>
      </c>
    </row>
    <row r="311" spans="1:2">
      <c r="A311" s="59">
        <v>25603</v>
      </c>
      <c r="B311" s="59" t="s">
        <v>34075</v>
      </c>
    </row>
    <row r="312" spans="1:2">
      <c r="A312" s="59">
        <v>12400</v>
      </c>
      <c r="B312" s="59" t="s">
        <v>34076</v>
      </c>
    </row>
    <row r="313" spans="1:2">
      <c r="A313" s="59">
        <v>12401</v>
      </c>
      <c r="B313" s="59" t="s">
        <v>34076</v>
      </c>
    </row>
    <row r="314" spans="1:2">
      <c r="A314" s="59">
        <v>12402</v>
      </c>
      <c r="B314" s="59" t="s">
        <v>34076</v>
      </c>
    </row>
    <row r="315" spans="1:2">
      <c r="A315" s="59">
        <v>12403</v>
      </c>
      <c r="B315" s="59" t="s">
        <v>34076</v>
      </c>
    </row>
    <row r="316" spans="1:2">
      <c r="A316" s="59">
        <v>12501</v>
      </c>
      <c r="B316" s="59" t="s">
        <v>34076</v>
      </c>
    </row>
    <row r="317" spans="1:2">
      <c r="A317" s="59">
        <v>25603</v>
      </c>
      <c r="B317" s="59" t="s">
        <v>34076</v>
      </c>
    </row>
    <row r="318" spans="1:2">
      <c r="A318" s="59">
        <v>12400</v>
      </c>
      <c r="B318" s="59" t="s">
        <v>34077</v>
      </c>
    </row>
    <row r="319" spans="1:2">
      <c r="A319" s="59">
        <v>12401</v>
      </c>
      <c r="B319" s="59" t="s">
        <v>34077</v>
      </c>
    </row>
    <row r="320" spans="1:2">
      <c r="A320" s="59">
        <v>12402</v>
      </c>
      <c r="B320" s="59" t="s">
        <v>34077</v>
      </c>
    </row>
    <row r="321" spans="1:2">
      <c r="A321" s="59">
        <v>12403</v>
      </c>
      <c r="B321" s="59" t="s">
        <v>34077</v>
      </c>
    </row>
    <row r="322" spans="1:2">
      <c r="A322" s="59">
        <v>12501</v>
      </c>
      <c r="B322" s="59" t="s">
        <v>34077</v>
      </c>
    </row>
    <row r="323" spans="1:2">
      <c r="A323" s="59">
        <v>25603</v>
      </c>
      <c r="B323" s="59" t="s">
        <v>34077</v>
      </c>
    </row>
    <row r="324" spans="1:2">
      <c r="A324" s="59">
        <v>12400</v>
      </c>
      <c r="B324" s="59" t="s">
        <v>34078</v>
      </c>
    </row>
    <row r="325" spans="1:2">
      <c r="A325" s="59">
        <v>12401</v>
      </c>
      <c r="B325" s="59" t="s">
        <v>34078</v>
      </c>
    </row>
    <row r="326" spans="1:2">
      <c r="A326" s="59">
        <v>12402</v>
      </c>
      <c r="B326" s="59" t="s">
        <v>34078</v>
      </c>
    </row>
    <row r="327" spans="1:2">
      <c r="A327" s="59">
        <v>12403</v>
      </c>
      <c r="B327" s="59" t="s">
        <v>34078</v>
      </c>
    </row>
    <row r="328" spans="1:2">
      <c r="A328" s="59">
        <v>12501</v>
      </c>
      <c r="B328" s="59" t="s">
        <v>34078</v>
      </c>
    </row>
    <row r="329" spans="1:2">
      <c r="A329" s="59">
        <v>25603</v>
      </c>
      <c r="B329" s="59" t="s">
        <v>34078</v>
      </c>
    </row>
    <row r="330" spans="1:2">
      <c r="A330" s="59">
        <v>12400</v>
      </c>
      <c r="B330" s="59" t="s">
        <v>34079</v>
      </c>
    </row>
    <row r="331" spans="1:2">
      <c r="A331" s="59">
        <v>12401</v>
      </c>
      <c r="B331" s="59" t="s">
        <v>34079</v>
      </c>
    </row>
    <row r="332" spans="1:2">
      <c r="A332" s="59">
        <v>12402</v>
      </c>
      <c r="B332" s="59" t="s">
        <v>34079</v>
      </c>
    </row>
    <row r="333" spans="1:2">
      <c r="A333" s="59">
        <v>12403</v>
      </c>
      <c r="B333" s="59" t="s">
        <v>34079</v>
      </c>
    </row>
    <row r="334" spans="1:2">
      <c r="A334" s="59">
        <v>12501</v>
      </c>
      <c r="B334" s="59" t="s">
        <v>34079</v>
      </c>
    </row>
    <row r="335" spans="1:2">
      <c r="A335" s="59">
        <v>25603</v>
      </c>
      <c r="B335" s="59" t="s">
        <v>34079</v>
      </c>
    </row>
    <row r="336" spans="1:2">
      <c r="A336" s="59">
        <v>12400</v>
      </c>
      <c r="B336" s="59" t="s">
        <v>34080</v>
      </c>
    </row>
    <row r="337" spans="1:2">
      <c r="A337" s="59">
        <v>12401</v>
      </c>
      <c r="B337" s="59" t="s">
        <v>34080</v>
      </c>
    </row>
    <row r="338" spans="1:2">
      <c r="A338" s="59">
        <v>12402</v>
      </c>
      <c r="B338" s="59" t="s">
        <v>34080</v>
      </c>
    </row>
    <row r="339" spans="1:2">
      <c r="A339" s="59">
        <v>12403</v>
      </c>
      <c r="B339" s="59" t="s">
        <v>34080</v>
      </c>
    </row>
    <row r="340" spans="1:2">
      <c r="A340" s="59">
        <v>12501</v>
      </c>
      <c r="B340" s="59" t="s">
        <v>34080</v>
      </c>
    </row>
    <row r="341" spans="1:2">
      <c r="A341" s="59">
        <v>25603</v>
      </c>
      <c r="B341" s="59" t="s">
        <v>34080</v>
      </c>
    </row>
    <row r="342" spans="1:2">
      <c r="A342" s="59">
        <v>12400</v>
      </c>
      <c r="B342" s="59" t="s">
        <v>34081</v>
      </c>
    </row>
    <row r="343" spans="1:2">
      <c r="A343" s="59">
        <v>12401</v>
      </c>
      <c r="B343" s="59" t="s">
        <v>34081</v>
      </c>
    </row>
    <row r="344" spans="1:2">
      <c r="A344" s="59">
        <v>12402</v>
      </c>
      <c r="B344" s="59" t="s">
        <v>34081</v>
      </c>
    </row>
    <row r="345" spans="1:2">
      <c r="A345" s="59">
        <v>12403</v>
      </c>
      <c r="B345" s="59" t="s">
        <v>34081</v>
      </c>
    </row>
    <row r="346" spans="1:2">
      <c r="A346" s="59">
        <v>12501</v>
      </c>
      <c r="B346" s="59" t="s">
        <v>34081</v>
      </c>
    </row>
    <row r="347" spans="1:2">
      <c r="A347" s="59">
        <v>25603</v>
      </c>
      <c r="B347" s="59" t="s">
        <v>34081</v>
      </c>
    </row>
    <row r="348" spans="1:2">
      <c r="A348" s="59">
        <v>12400</v>
      </c>
      <c r="B348" s="59" t="s">
        <v>34082</v>
      </c>
    </row>
    <row r="349" spans="1:2">
      <c r="A349" s="59">
        <v>12401</v>
      </c>
      <c r="B349" s="59" t="s">
        <v>34082</v>
      </c>
    </row>
    <row r="350" spans="1:2">
      <c r="A350" s="59">
        <v>12402</v>
      </c>
      <c r="B350" s="59" t="s">
        <v>34082</v>
      </c>
    </row>
    <row r="351" spans="1:2">
      <c r="A351" s="59">
        <v>12403</v>
      </c>
      <c r="B351" s="59" t="s">
        <v>34082</v>
      </c>
    </row>
    <row r="352" spans="1:2">
      <c r="A352" s="59">
        <v>12501</v>
      </c>
      <c r="B352" s="59" t="s">
        <v>34082</v>
      </c>
    </row>
    <row r="353" spans="1:2">
      <c r="A353" s="59">
        <v>25603</v>
      </c>
      <c r="B353" s="59" t="s">
        <v>34082</v>
      </c>
    </row>
    <row r="354" spans="1:2">
      <c r="A354" s="59">
        <v>12400</v>
      </c>
      <c r="B354" s="59" t="s">
        <v>34083</v>
      </c>
    </row>
    <row r="355" spans="1:2">
      <c r="A355" s="59">
        <v>12401</v>
      </c>
      <c r="B355" s="59" t="s">
        <v>34083</v>
      </c>
    </row>
    <row r="356" spans="1:2">
      <c r="A356" s="59">
        <v>12402</v>
      </c>
      <c r="B356" s="59" t="s">
        <v>34083</v>
      </c>
    </row>
    <row r="357" spans="1:2">
      <c r="A357" s="59">
        <v>12403</v>
      </c>
      <c r="B357" s="59" t="s">
        <v>34083</v>
      </c>
    </row>
    <row r="358" spans="1:2">
      <c r="A358" s="59">
        <v>12501</v>
      </c>
      <c r="B358" s="59" t="s">
        <v>34083</v>
      </c>
    </row>
    <row r="359" spans="1:2">
      <c r="A359" s="59">
        <v>25603</v>
      </c>
      <c r="B359" s="59" t="s">
        <v>34083</v>
      </c>
    </row>
    <row r="360" spans="1:2">
      <c r="A360" s="59">
        <v>12400</v>
      </c>
      <c r="B360" s="59" t="s">
        <v>34084</v>
      </c>
    </row>
    <row r="361" spans="1:2">
      <c r="A361" s="59">
        <v>12401</v>
      </c>
      <c r="B361" s="59" t="s">
        <v>34084</v>
      </c>
    </row>
    <row r="362" spans="1:2">
      <c r="A362" s="59">
        <v>12402</v>
      </c>
      <c r="B362" s="59" t="s">
        <v>34084</v>
      </c>
    </row>
    <row r="363" spans="1:2">
      <c r="A363" s="59">
        <v>12403</v>
      </c>
      <c r="B363" s="59" t="s">
        <v>34084</v>
      </c>
    </row>
    <row r="364" spans="1:2">
      <c r="A364" s="59">
        <v>12501</v>
      </c>
      <c r="B364" s="59" t="s">
        <v>34084</v>
      </c>
    </row>
    <row r="365" spans="1:2">
      <c r="A365" s="59">
        <v>25603</v>
      </c>
      <c r="B365" s="59" t="s">
        <v>34084</v>
      </c>
    </row>
    <row r="366" spans="1:2">
      <c r="A366" s="59">
        <v>12400</v>
      </c>
      <c r="B366" s="59" t="s">
        <v>34085</v>
      </c>
    </row>
    <row r="367" spans="1:2">
      <c r="A367" s="59">
        <v>12401</v>
      </c>
      <c r="B367" s="59" t="s">
        <v>34085</v>
      </c>
    </row>
    <row r="368" spans="1:2">
      <c r="A368" s="59">
        <v>12402</v>
      </c>
      <c r="B368" s="59" t="s">
        <v>34085</v>
      </c>
    </row>
    <row r="369" spans="1:2">
      <c r="A369" s="59">
        <v>12403</v>
      </c>
      <c r="B369" s="59" t="s">
        <v>34085</v>
      </c>
    </row>
    <row r="370" spans="1:2">
      <c r="A370" s="59">
        <v>12501</v>
      </c>
      <c r="B370" s="59" t="s">
        <v>34085</v>
      </c>
    </row>
    <row r="371" spans="1:2">
      <c r="A371" s="59">
        <v>25603</v>
      </c>
      <c r="B371" s="59" t="s">
        <v>34085</v>
      </c>
    </row>
    <row r="372" spans="1:2">
      <c r="A372" s="59">
        <v>12400</v>
      </c>
      <c r="B372" s="59" t="s">
        <v>34086</v>
      </c>
    </row>
    <row r="373" spans="1:2">
      <c r="A373" s="59">
        <v>12401</v>
      </c>
      <c r="B373" s="59" t="s">
        <v>34086</v>
      </c>
    </row>
    <row r="374" spans="1:2">
      <c r="A374" s="59">
        <v>12402</v>
      </c>
      <c r="B374" s="59" t="s">
        <v>34086</v>
      </c>
    </row>
    <row r="375" spans="1:2">
      <c r="A375" s="59">
        <v>12403</v>
      </c>
      <c r="B375" s="59" t="s">
        <v>34086</v>
      </c>
    </row>
    <row r="376" spans="1:2">
      <c r="A376" s="59">
        <v>12501</v>
      </c>
      <c r="B376" s="59" t="s">
        <v>34086</v>
      </c>
    </row>
    <row r="377" spans="1:2">
      <c r="A377" s="59">
        <v>25603</v>
      </c>
      <c r="B377" s="59" t="s">
        <v>34086</v>
      </c>
    </row>
    <row r="378" spans="1:2">
      <c r="A378" s="59">
        <v>12400</v>
      </c>
      <c r="B378" s="59" t="s">
        <v>34087</v>
      </c>
    </row>
    <row r="379" spans="1:2">
      <c r="A379" s="59">
        <v>12401</v>
      </c>
      <c r="B379" s="59" t="s">
        <v>34087</v>
      </c>
    </row>
    <row r="380" spans="1:2">
      <c r="A380" s="59">
        <v>12402</v>
      </c>
      <c r="B380" s="59" t="s">
        <v>34087</v>
      </c>
    </row>
    <row r="381" spans="1:2">
      <c r="A381" s="59">
        <v>12403</v>
      </c>
      <c r="B381" s="59" t="s">
        <v>34087</v>
      </c>
    </row>
    <row r="382" spans="1:2">
      <c r="A382" s="59">
        <v>12501</v>
      </c>
      <c r="B382" s="59" t="s">
        <v>34087</v>
      </c>
    </row>
    <row r="383" spans="1:2">
      <c r="A383" s="59">
        <v>25603</v>
      </c>
      <c r="B383" s="59" t="s">
        <v>34087</v>
      </c>
    </row>
    <row r="384" spans="1:2">
      <c r="A384" s="59">
        <v>12400</v>
      </c>
      <c r="B384" s="59" t="s">
        <v>34088</v>
      </c>
    </row>
    <row r="385" spans="1:2">
      <c r="A385" s="59">
        <v>12401</v>
      </c>
      <c r="B385" s="59" t="s">
        <v>34088</v>
      </c>
    </row>
    <row r="386" spans="1:2">
      <c r="A386" s="59">
        <v>12402</v>
      </c>
      <c r="B386" s="59" t="s">
        <v>34088</v>
      </c>
    </row>
    <row r="387" spans="1:2">
      <c r="A387" s="59">
        <v>12403</v>
      </c>
      <c r="B387" s="59" t="s">
        <v>34088</v>
      </c>
    </row>
    <row r="388" spans="1:2">
      <c r="A388" s="59">
        <v>12501</v>
      </c>
      <c r="B388" s="59" t="s">
        <v>34088</v>
      </c>
    </row>
    <row r="389" spans="1:2">
      <c r="A389" s="59">
        <v>25603</v>
      </c>
      <c r="B389" s="59" t="s">
        <v>34088</v>
      </c>
    </row>
    <row r="390" spans="1:2">
      <c r="A390" s="59">
        <v>12400</v>
      </c>
      <c r="B390" s="59" t="s">
        <v>34089</v>
      </c>
    </row>
    <row r="391" spans="1:2">
      <c r="A391" s="59">
        <v>12401</v>
      </c>
      <c r="B391" s="59" t="s">
        <v>34089</v>
      </c>
    </row>
    <row r="392" spans="1:2">
      <c r="A392" s="59">
        <v>12402</v>
      </c>
      <c r="B392" s="59" t="s">
        <v>34089</v>
      </c>
    </row>
    <row r="393" spans="1:2">
      <c r="A393" s="59">
        <v>12403</v>
      </c>
      <c r="B393" s="59" t="s">
        <v>34089</v>
      </c>
    </row>
    <row r="394" spans="1:2">
      <c r="A394" s="59">
        <v>12501</v>
      </c>
      <c r="B394" s="59" t="s">
        <v>34089</v>
      </c>
    </row>
    <row r="395" spans="1:2">
      <c r="A395" s="59">
        <v>25603</v>
      </c>
      <c r="B395" s="59" t="s">
        <v>34089</v>
      </c>
    </row>
    <row r="396" spans="1:2">
      <c r="A396" s="59">
        <v>12400</v>
      </c>
      <c r="B396" s="59" t="s">
        <v>34090</v>
      </c>
    </row>
    <row r="397" spans="1:2">
      <c r="A397" s="59">
        <v>12401</v>
      </c>
      <c r="B397" s="59" t="s">
        <v>34090</v>
      </c>
    </row>
    <row r="398" spans="1:2">
      <c r="A398" s="59">
        <v>12402</v>
      </c>
      <c r="B398" s="59" t="s">
        <v>34090</v>
      </c>
    </row>
    <row r="399" spans="1:2">
      <c r="A399" s="59">
        <v>12403</v>
      </c>
      <c r="B399" s="59" t="s">
        <v>34090</v>
      </c>
    </row>
    <row r="400" spans="1:2">
      <c r="A400" s="59">
        <v>12501</v>
      </c>
      <c r="B400" s="59" t="s">
        <v>34090</v>
      </c>
    </row>
    <row r="401" spans="1:2">
      <c r="A401" s="59">
        <v>25603</v>
      </c>
      <c r="B401" s="59" t="s">
        <v>34090</v>
      </c>
    </row>
    <row r="402" spans="1:2">
      <c r="A402" s="59">
        <v>12400</v>
      </c>
      <c r="B402" s="59" t="s">
        <v>34091</v>
      </c>
    </row>
    <row r="403" spans="1:2">
      <c r="A403" s="59">
        <v>12401</v>
      </c>
      <c r="B403" s="59" t="s">
        <v>34091</v>
      </c>
    </row>
    <row r="404" spans="1:2">
      <c r="A404" s="59">
        <v>12402</v>
      </c>
      <c r="B404" s="59" t="s">
        <v>34091</v>
      </c>
    </row>
    <row r="405" spans="1:2">
      <c r="A405" s="59">
        <v>12403</v>
      </c>
      <c r="B405" s="59" t="s">
        <v>34091</v>
      </c>
    </row>
    <row r="406" spans="1:2">
      <c r="A406" s="59">
        <v>12501</v>
      </c>
      <c r="B406" s="59" t="s">
        <v>34091</v>
      </c>
    </row>
    <row r="407" spans="1:2">
      <c r="A407" s="59">
        <v>25603</v>
      </c>
      <c r="B407" s="59" t="s">
        <v>34091</v>
      </c>
    </row>
    <row r="408" spans="1:2">
      <c r="A408" s="59">
        <v>12400</v>
      </c>
      <c r="B408" s="59" t="s">
        <v>34092</v>
      </c>
    </row>
    <row r="409" spans="1:2">
      <c r="A409" s="59">
        <v>12401</v>
      </c>
      <c r="B409" s="59" t="s">
        <v>34092</v>
      </c>
    </row>
    <row r="410" spans="1:2">
      <c r="A410" s="59">
        <v>12402</v>
      </c>
      <c r="B410" s="59" t="s">
        <v>34092</v>
      </c>
    </row>
    <row r="411" spans="1:2">
      <c r="A411" s="59">
        <v>12403</v>
      </c>
      <c r="B411" s="59" t="s">
        <v>34092</v>
      </c>
    </row>
    <row r="412" spans="1:2">
      <c r="A412" s="59">
        <v>12501</v>
      </c>
      <c r="B412" s="59" t="s">
        <v>34092</v>
      </c>
    </row>
    <row r="413" spans="1:2">
      <c r="A413" s="59">
        <v>25603</v>
      </c>
      <c r="B413" s="59" t="s">
        <v>34092</v>
      </c>
    </row>
    <row r="414" spans="1:2">
      <c r="A414" s="59">
        <v>12400</v>
      </c>
      <c r="B414" s="59" t="s">
        <v>34093</v>
      </c>
    </row>
    <row r="415" spans="1:2">
      <c r="A415" s="59">
        <v>12401</v>
      </c>
      <c r="B415" s="59" t="s">
        <v>34093</v>
      </c>
    </row>
    <row r="416" spans="1:2">
      <c r="A416" s="59">
        <v>12402</v>
      </c>
      <c r="B416" s="59" t="s">
        <v>34093</v>
      </c>
    </row>
    <row r="417" spans="1:2">
      <c r="A417" s="59">
        <v>12403</v>
      </c>
      <c r="B417" s="59" t="s">
        <v>34093</v>
      </c>
    </row>
    <row r="418" spans="1:2">
      <c r="A418" s="59">
        <v>12501</v>
      </c>
      <c r="B418" s="59" t="s">
        <v>34093</v>
      </c>
    </row>
    <row r="419" spans="1:2">
      <c r="A419" s="59">
        <v>25603</v>
      </c>
      <c r="B419" s="59" t="s">
        <v>34093</v>
      </c>
    </row>
    <row r="420" spans="1:2">
      <c r="A420" s="59">
        <v>12400</v>
      </c>
      <c r="B420" s="59" t="s">
        <v>34094</v>
      </c>
    </row>
    <row r="421" spans="1:2">
      <c r="A421" s="59">
        <v>12401</v>
      </c>
      <c r="B421" s="59" t="s">
        <v>34094</v>
      </c>
    </row>
    <row r="422" spans="1:2">
      <c r="A422" s="59">
        <v>12402</v>
      </c>
      <c r="B422" s="59" t="s">
        <v>34094</v>
      </c>
    </row>
    <row r="423" spans="1:2">
      <c r="A423" s="59">
        <v>12403</v>
      </c>
      <c r="B423" s="59" t="s">
        <v>34094</v>
      </c>
    </row>
    <row r="424" spans="1:2">
      <c r="A424" s="59">
        <v>12501</v>
      </c>
      <c r="B424" s="59" t="s">
        <v>34094</v>
      </c>
    </row>
    <row r="425" spans="1:2">
      <c r="A425" s="59">
        <v>25603</v>
      </c>
      <c r="B425" s="59" t="s">
        <v>34094</v>
      </c>
    </row>
    <row r="426" spans="1:2">
      <c r="A426" s="59">
        <v>12400</v>
      </c>
      <c r="B426" s="59" t="s">
        <v>34095</v>
      </c>
    </row>
    <row r="427" spans="1:2">
      <c r="A427" s="59">
        <v>12401</v>
      </c>
      <c r="B427" s="59" t="s">
        <v>34095</v>
      </c>
    </row>
    <row r="428" spans="1:2">
      <c r="A428" s="59">
        <v>12402</v>
      </c>
      <c r="B428" s="59" t="s">
        <v>34095</v>
      </c>
    </row>
    <row r="429" spans="1:2">
      <c r="A429" s="59">
        <v>12403</v>
      </c>
      <c r="B429" s="59" t="s">
        <v>34095</v>
      </c>
    </row>
    <row r="430" spans="1:2">
      <c r="A430" s="59">
        <v>12501</v>
      </c>
      <c r="B430" s="59" t="s">
        <v>34095</v>
      </c>
    </row>
    <row r="431" spans="1:2">
      <c r="A431" s="59">
        <v>25603</v>
      </c>
      <c r="B431" s="59" t="s">
        <v>34095</v>
      </c>
    </row>
    <row r="432" spans="1:2">
      <c r="A432" s="59">
        <v>12400</v>
      </c>
      <c r="B432" s="59" t="s">
        <v>34096</v>
      </c>
    </row>
    <row r="433" spans="1:2">
      <c r="A433" s="59">
        <v>12401</v>
      </c>
      <c r="B433" s="59" t="s">
        <v>34096</v>
      </c>
    </row>
    <row r="434" spans="1:2">
      <c r="A434" s="59">
        <v>12402</v>
      </c>
      <c r="B434" s="59" t="s">
        <v>34096</v>
      </c>
    </row>
    <row r="435" spans="1:2">
      <c r="A435" s="59">
        <v>12403</v>
      </c>
      <c r="B435" s="59" t="s">
        <v>34096</v>
      </c>
    </row>
    <row r="436" spans="1:2">
      <c r="A436" s="59">
        <v>12501</v>
      </c>
      <c r="B436" s="59" t="s">
        <v>34096</v>
      </c>
    </row>
    <row r="437" spans="1:2">
      <c r="A437" s="59">
        <v>25603</v>
      </c>
      <c r="B437" s="59" t="s">
        <v>34096</v>
      </c>
    </row>
    <row r="438" spans="1:2">
      <c r="A438" s="59">
        <v>12400</v>
      </c>
      <c r="B438" s="59" t="s">
        <v>34097</v>
      </c>
    </row>
    <row r="439" spans="1:2">
      <c r="A439" s="59">
        <v>12401</v>
      </c>
      <c r="B439" s="59" t="s">
        <v>34097</v>
      </c>
    </row>
    <row r="440" spans="1:2">
      <c r="A440" s="59">
        <v>12402</v>
      </c>
      <c r="B440" s="59" t="s">
        <v>34097</v>
      </c>
    </row>
    <row r="441" spans="1:2">
      <c r="A441" s="59">
        <v>12403</v>
      </c>
      <c r="B441" s="59" t="s">
        <v>34097</v>
      </c>
    </row>
    <row r="442" spans="1:2">
      <c r="A442" s="59">
        <v>12501</v>
      </c>
      <c r="B442" s="59" t="s">
        <v>34097</v>
      </c>
    </row>
    <row r="443" spans="1:2">
      <c r="A443" s="59">
        <v>25603</v>
      </c>
      <c r="B443" s="59" t="s">
        <v>34097</v>
      </c>
    </row>
    <row r="444" spans="1:2">
      <c r="A444" s="59">
        <v>12400</v>
      </c>
      <c r="B444" s="59" t="s">
        <v>34098</v>
      </c>
    </row>
    <row r="445" spans="1:2">
      <c r="A445" s="59">
        <v>12401</v>
      </c>
      <c r="B445" s="59" t="s">
        <v>34098</v>
      </c>
    </row>
    <row r="446" spans="1:2">
      <c r="A446" s="59">
        <v>12402</v>
      </c>
      <c r="B446" s="59" t="s">
        <v>34098</v>
      </c>
    </row>
    <row r="447" spans="1:2">
      <c r="A447" s="59">
        <v>12403</v>
      </c>
      <c r="B447" s="59" t="s">
        <v>34098</v>
      </c>
    </row>
    <row r="448" spans="1:2">
      <c r="A448" s="59">
        <v>12501</v>
      </c>
      <c r="B448" s="59" t="s">
        <v>34098</v>
      </c>
    </row>
    <row r="449" spans="1:2">
      <c r="A449" s="59">
        <v>25603</v>
      </c>
      <c r="B449" s="59" t="s">
        <v>34098</v>
      </c>
    </row>
  </sheetData>
  <pageMargins left="0.75" right="0.75" top="1" bottom="1" header="0.511811023622047" footer="0.511811023622047"/>
  <pageSetup horizontalDpi="300" orientation="portrait" paperSize="1" useFirstPageNumber="true"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E87"/>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5" min="15" style="33" width="14.8933333333333"/>
    <col customWidth="true" max="18" min="16" style="33" width="14.44"/>
    <col customWidth="true" hidden="true" max="19" min="19" style="43" width="10.3266666666667"/>
    <col customWidth="true" max="20" min="20" style="33" width="14.8933333333333"/>
    <col customWidth="true" max="21" min="21" style="33" width="14.44"/>
    <col customWidth="true" max="22" min="22" style="33" width="14.8933333333333"/>
    <col customWidth="true" max="23" min="23" style="33" width="14.44"/>
    <col customWidth="true" max="25" min="24" style="33" width="17.8866666666667"/>
    <col customWidth="true" hidden="true" max="29" min="26" style="43" width="11"/>
    <col customWidth="true" max="30" min="30" style="43" width="10.5533333333333"/>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hidden="true" max="50" min="50" style="43" width="12.1066666666667"/>
    <col customWidth="true" max="51" min="51" style="33" width="14.44"/>
    <col customWidth="true" max="52" min="52" style="33" width="14.8933333333333"/>
    <col customWidth="true" max="53" min="53" style="33" width="14.44"/>
    <col customWidth="true" max="54" min="54" style="33" width="16.3266666666667"/>
    <col customWidth="true" max="55" min="55" style="33" width="14.44"/>
    <col customWidth="true" max="56" min="56" style="33" width="16.3266666666667"/>
    <col customWidth="true" max="57" min="57" style="33" width="14.8933333333333"/>
    <col customWidth="true" max="58" min="58" style="33" width="11.66"/>
    <col customWidth="true" hidden="true" max="59" min="59" style="33" width="14.5533333333333"/>
    <col customWidth="true" max="60" min="60" style="33" width="14"/>
    <col customWidth="true" max="61" min="61" style="33" width="14.5533333333333"/>
    <col customWidth="true" max="82" min="62" style="33" width="14"/>
    <col customWidth="true" max="83" min="83" style="33" width="14.44"/>
    <col customWidth="true" max="84" min="84" style="33" width="14"/>
    <col customWidth="true" max="85" min="85" style="33" width="11"/>
    <col customWidth="true" max="1024" min="86" style="33" width="9.10666666666667"/>
  </cols>
  <sheetData>
    <row r="1" spans="1:1" ht="12" customHeight="true">
      <c r="A1" s="33">
        <v>-1</v>
      </c>
    </row>
    <row r="2" spans="15:15" ht="12" customHeight="true">
      <c r="O2" s="33">
        <v>-1</v>
      </c>
    </row>
    <row r="4" spans="2:82"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13775</v>
      </c>
      <c r="Q4" s="44" t="s">
        <v>13775</v>
      </c>
      <c r="R4" s="44" t="s">
        <v>13775</v>
      </c>
      <c r="S4" s="51" t="s">
        <v>13775</v>
      </c>
      <c r="T4" s="44" t="s">
        <v>13777</v>
      </c>
      <c r="U4" s="44" t="s">
        <v>13777</v>
      </c>
      <c r="V4" s="44" t="s">
        <v>13778</v>
      </c>
      <c r="W4" s="52" t="s">
        <v>13778</v>
      </c>
      <c r="X4" s="44" t="s">
        <v>13778</v>
      </c>
      <c r="Y4" s="44" t="s">
        <v>13778</v>
      </c>
      <c r="Z4" s="51" t="s">
        <v>31453</v>
      </c>
      <c r="AA4" s="51" t="s">
        <v>31453</v>
      </c>
      <c r="AB4" s="51" t="s">
        <v>31454</v>
      </c>
      <c r="AC4" s="51" t="s">
        <v>31454</v>
      </c>
      <c r="AD4" s="51" t="s">
        <v>13788</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54" t="s">
        <v>13801</v>
      </c>
      <c r="AX4" s="58" t="s">
        <v>13801</v>
      </c>
      <c r="AY4" s="44" t="s">
        <v>13810</v>
      </c>
      <c r="AZ4" s="44" t="s">
        <v>13802</v>
      </c>
      <c r="BA4" s="44" t="s">
        <v>13803</v>
      </c>
      <c r="BB4" s="44" t="s">
        <v>13803</v>
      </c>
      <c r="BC4" s="44" t="s">
        <v>13804</v>
      </c>
      <c r="BD4" s="44" t="s">
        <v>13804</v>
      </c>
      <c r="BE4" s="44" t="s">
        <v>13805</v>
      </c>
      <c r="BF4" s="44" t="s">
        <v>13811</v>
      </c>
      <c r="BG4" s="53" t="s">
        <v>13811</v>
      </c>
      <c r="BH4" s="44" t="s">
        <v>13806</v>
      </c>
      <c r="BI4" s="44" t="s">
        <v>13807</v>
      </c>
      <c r="BJ4" s="44" t="s">
        <v>13808</v>
      </c>
      <c r="BK4" s="44" t="s">
        <v>13809</v>
      </c>
      <c r="BL4" s="44" t="s">
        <v>13796</v>
      </c>
      <c r="BM4" s="44" t="s">
        <v>13797</v>
      </c>
      <c r="BN4" s="44" t="s">
        <v>13798</v>
      </c>
      <c r="BO4" s="44" t="s">
        <v>13799</v>
      </c>
      <c r="BP4" s="44" t="s">
        <v>13800</v>
      </c>
      <c r="BQ4" s="44" t="s">
        <v>13812</v>
      </c>
      <c r="BR4" s="44" t="s">
        <v>13814</v>
      </c>
      <c r="BS4" s="54" t="s">
        <v>13814</v>
      </c>
      <c r="BT4" s="44" t="s">
        <v>13813</v>
      </c>
      <c r="BU4" s="54" t="s">
        <v>13813</v>
      </c>
      <c r="BV4" s="44" t="s">
        <v>13815</v>
      </c>
      <c r="BW4" s="44" t="s">
        <v>13816</v>
      </c>
      <c r="BX4" s="44" t="s">
        <v>13817</v>
      </c>
      <c r="BY4" s="44" t="s">
        <v>13818</v>
      </c>
      <c r="BZ4" s="44" t="s">
        <v>13819</v>
      </c>
      <c r="CA4" s="54" t="s">
        <v>13864</v>
      </c>
      <c r="CB4" s="44" t="s">
        <v>13864</v>
      </c>
      <c r="CC4" s="44" t="s">
        <v>13859</v>
      </c>
      <c r="CD4" s="44" t="s">
        <v>13860</v>
      </c>
    </row>
    <row r="5" spans="2:82"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34104</v>
      </c>
      <c r="Q5" s="48" t="s">
        <v>34105</v>
      </c>
      <c r="R5" s="45" t="s">
        <v>34103</v>
      </c>
      <c r="S5" s="43" t="s">
        <v>34107</v>
      </c>
      <c r="T5" s="48" t="s">
        <v>34104</v>
      </c>
      <c r="U5" s="45" t="s">
        <v>34103</v>
      </c>
      <c r="V5" s="48" t="s">
        <v>34104</v>
      </c>
      <c r="W5" s="45" t="s">
        <v>34103</v>
      </c>
      <c r="X5" s="48" t="s">
        <v>34108</v>
      </c>
      <c r="Y5" s="48" t="s">
        <v>34107</v>
      </c>
      <c r="Z5" s="43" t="s">
        <v>34104</v>
      </c>
      <c r="AA5" s="43" t="s">
        <v>34105</v>
      </c>
      <c r="AB5" s="43" t="s">
        <v>34104</v>
      </c>
      <c r="AC5" s="43" t="s">
        <v>34105</v>
      </c>
      <c r="AD5" s="43" t="s">
        <v>34103</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55" t="s">
        <v>34110</v>
      </c>
      <c r="AX5" s="43" t="s">
        <v>34111</v>
      </c>
      <c r="AY5" s="48" t="s">
        <v>34111</v>
      </c>
      <c r="AZ5" s="48" t="s">
        <v>34112</v>
      </c>
      <c r="BA5" s="48" t="s">
        <v>34113</v>
      </c>
      <c r="BB5" s="48" t="s">
        <v>34114</v>
      </c>
      <c r="BC5" s="48" t="s">
        <v>34115</v>
      </c>
      <c r="BD5" s="48" t="s">
        <v>34116</v>
      </c>
      <c r="BE5" s="48" t="s">
        <v>34117</v>
      </c>
      <c r="BF5" s="48" t="s">
        <v>34118</v>
      </c>
      <c r="BG5" s="48" t="s">
        <v>34119</v>
      </c>
      <c r="BH5" s="48" t="s">
        <v>34120</v>
      </c>
      <c r="BI5" s="48" t="s">
        <v>34121</v>
      </c>
      <c r="BJ5" s="48" t="s">
        <v>34122</v>
      </c>
      <c r="BK5" s="48" t="s">
        <v>34123</v>
      </c>
      <c r="BL5" s="48" t="s">
        <v>34124</v>
      </c>
      <c r="BM5" s="48" t="s">
        <v>34125</v>
      </c>
      <c r="BN5" s="48" t="s">
        <v>34126</v>
      </c>
      <c r="BO5" s="48" t="s">
        <v>34127</v>
      </c>
      <c r="BP5" s="48" t="s">
        <v>34128</v>
      </c>
      <c r="BQ5" s="48" t="s">
        <v>34129</v>
      </c>
      <c r="BR5" s="48" t="s">
        <v>34130</v>
      </c>
      <c r="BS5" s="55" t="s">
        <v>34131</v>
      </c>
      <c r="BT5" s="48" t="s">
        <v>34132</v>
      </c>
      <c r="BU5" s="55" t="s">
        <v>34133</v>
      </c>
      <c r="BV5" s="48" t="s">
        <v>34134</v>
      </c>
      <c r="BW5" s="48" t="s">
        <v>34135</v>
      </c>
      <c r="BX5" s="48" t="s">
        <v>34136</v>
      </c>
      <c r="BY5" s="48" t="s">
        <v>34137</v>
      </c>
      <c r="BZ5" s="48" t="s">
        <v>34138</v>
      </c>
      <c r="CA5" s="55" t="s">
        <v>34139</v>
      </c>
      <c r="CB5" s="48" t="s">
        <v>34140</v>
      </c>
      <c r="CC5" s="48" t="s">
        <v>34141</v>
      </c>
      <c r="CD5" s="48" t="s">
        <v>34142</v>
      </c>
    </row>
    <row r="6" spans="2:82"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v>27931733</v>
      </c>
      <c r="Q6" s="48">
        <v>26843912</v>
      </c>
      <c r="R6" s="45">
        <v>33540278</v>
      </c>
      <c r="T6" s="48">
        <v>30249789</v>
      </c>
      <c r="U6" s="45">
        <v>30282681</v>
      </c>
      <c r="V6" s="48">
        <v>748032703</v>
      </c>
      <c r="W6" s="45">
        <v>30311274</v>
      </c>
      <c r="X6" s="48">
        <v>203081093</v>
      </c>
      <c r="Y6" s="48" t="s">
        <v>34154</v>
      </c>
      <c r="Z6" s="43" t="s">
        <v>34155</v>
      </c>
      <c r="AA6" s="43" t="s">
        <v>34156</v>
      </c>
      <c r="AB6" s="43" t="s">
        <v>34157</v>
      </c>
      <c r="AC6" s="43" t="s">
        <v>34158</v>
      </c>
      <c r="AD6" s="43" t="s">
        <v>34159</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55">
        <v>11747980</v>
      </c>
      <c r="AX6" s="43" t="s">
        <v>34166</v>
      </c>
      <c r="AY6" s="48">
        <v>13585976</v>
      </c>
      <c r="AZ6" s="48">
        <v>748033552</v>
      </c>
      <c r="BA6" s="48">
        <v>31874966</v>
      </c>
      <c r="BB6" s="48">
        <v>454979502</v>
      </c>
      <c r="BC6" s="48">
        <v>31860536</v>
      </c>
      <c r="BD6" s="48">
        <v>693305826</v>
      </c>
      <c r="BE6" s="48">
        <v>32205856</v>
      </c>
      <c r="BF6" s="48">
        <v>32121632</v>
      </c>
      <c r="BG6" s="48" t="s">
        <v>34167</v>
      </c>
      <c r="BH6" s="48">
        <v>35356295</v>
      </c>
      <c r="BI6" s="48" t="s">
        <v>34168</v>
      </c>
      <c r="BJ6" s="48" t="s">
        <v>34169</v>
      </c>
      <c r="BK6" s="48" t="s">
        <v>34170</v>
      </c>
      <c r="BL6" s="48">
        <v>748030061</v>
      </c>
      <c r="BM6" s="48">
        <v>748032711</v>
      </c>
      <c r="BN6" s="48">
        <v>37307538</v>
      </c>
      <c r="BO6" s="48">
        <v>37346924</v>
      </c>
      <c r="BP6" s="48">
        <v>748035300</v>
      </c>
      <c r="BQ6" s="48" t="s">
        <v>34171</v>
      </c>
      <c r="BR6" s="48">
        <v>46129441</v>
      </c>
      <c r="BS6" s="55">
        <v>345508773</v>
      </c>
      <c r="BT6" s="48" t="s">
        <v>34172</v>
      </c>
      <c r="BU6" s="55">
        <v>369921303</v>
      </c>
      <c r="BV6" s="48" t="s">
        <v>34173</v>
      </c>
      <c r="BW6" s="48" t="s">
        <v>34174</v>
      </c>
      <c r="BX6" s="48"/>
      <c r="BY6" s="48">
        <v>50376193</v>
      </c>
      <c r="BZ6" s="48"/>
      <c r="CA6" s="55" t="s">
        <v>34175</v>
      </c>
      <c r="CB6" s="48"/>
      <c r="CC6" s="48">
        <v>4402766</v>
      </c>
      <c r="CD6" s="48" t="s">
        <v>34176</v>
      </c>
    </row>
    <row r="7" spans="2:82"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34178</v>
      </c>
      <c r="Q7" s="48" t="s">
        <v>34179</v>
      </c>
      <c r="R7" s="45" t="s">
        <v>14059</v>
      </c>
      <c r="T7" s="48" t="s">
        <v>34178</v>
      </c>
      <c r="U7" s="45" t="s">
        <v>14059</v>
      </c>
      <c r="V7" s="48" t="s">
        <v>34178</v>
      </c>
      <c r="W7" s="45" t="s">
        <v>14059</v>
      </c>
      <c r="X7" s="48" t="s">
        <v>34181</v>
      </c>
      <c r="Y7" s="48" t="s">
        <v>14060</v>
      </c>
      <c r="Z7" s="43" t="s">
        <v>14047</v>
      </c>
      <c r="AA7" s="43" t="s">
        <v>14049</v>
      </c>
      <c r="AB7" s="43" t="s">
        <v>14047</v>
      </c>
      <c r="AC7" s="43" t="s">
        <v>14049</v>
      </c>
      <c r="AD7" s="43" t="s">
        <v>14059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55" t="s">
        <v>34183</v>
      </c>
      <c r="AX7" s="43" t="s">
        <v>14046</v>
      </c>
      <c r="AY7" s="48" t="s">
        <v>14045</v>
      </c>
      <c r="AZ7" s="48" t="s">
        <v>14045</v>
      </c>
      <c r="BA7" s="48" t="s">
        <v>14045</v>
      </c>
      <c r="BB7" s="48" t="s">
        <v>34183</v>
      </c>
      <c r="BC7" s="48" t="s">
        <v>14045</v>
      </c>
      <c r="BD7" s="48" t="s">
        <v>34183</v>
      </c>
      <c r="BE7" s="48" t="s">
        <v>14045</v>
      </c>
      <c r="BF7" s="48" t="s">
        <v>14045</v>
      </c>
      <c r="BG7" s="48" t="s">
        <v>14053</v>
      </c>
      <c r="BH7" s="48" t="s">
        <v>14045</v>
      </c>
      <c r="BI7" s="48" t="s">
        <v>14045</v>
      </c>
      <c r="BJ7" s="48" t="s">
        <v>14045</v>
      </c>
      <c r="BK7" s="48" t="s">
        <v>14045</v>
      </c>
      <c r="BL7" s="48" t="s">
        <v>14045</v>
      </c>
      <c r="BM7" s="48" t="s">
        <v>14045</v>
      </c>
      <c r="BN7" s="48" t="s">
        <v>14045</v>
      </c>
      <c r="BO7" s="48" t="s">
        <v>14045</v>
      </c>
      <c r="BP7" s="48" t="s">
        <v>14045</v>
      </c>
      <c r="BQ7" s="48" t="s">
        <v>14045</v>
      </c>
      <c r="BR7" s="48" t="s">
        <v>14045</v>
      </c>
      <c r="BS7" s="55" t="s">
        <v>14061</v>
      </c>
      <c r="BT7" s="48" t="s">
        <v>14045</v>
      </c>
      <c r="BU7" s="55" t="s">
        <v>14061</v>
      </c>
      <c r="BV7" s="48" t="s">
        <v>14045</v>
      </c>
      <c r="BW7" s="48" t="s">
        <v>14045</v>
      </c>
      <c r="BX7" s="48" t="s">
        <v>14045</v>
      </c>
      <c r="BY7" s="48" t="s">
        <v>14045</v>
      </c>
      <c r="BZ7" s="48" t="s">
        <v>14045</v>
      </c>
      <c r="CA7" s="55" t="s">
        <v>14061</v>
      </c>
      <c r="CB7" s="48" t="s">
        <v>34184</v>
      </c>
      <c r="CC7" s="48" t="s">
        <v>14060</v>
      </c>
      <c r="CD7" s="48" t="s">
        <v>34178</v>
      </c>
    </row>
    <row r="8" spans="24:79" ht="12" customHeight="true">
      <c r="X8" s="33">
        <v>865</v>
      </c>
      <c r="Y8" s="33">
        <v>865</v>
      </c>
      <c r="AW8" s="55" t="s">
        <v>34185</v>
      </c>
      <c r="BG8" s="33" t="s">
        <v>34186</v>
      </c>
      <c r="BS8" s="56"/>
      <c r="BU8" s="56"/>
      <c r="CA8" s="56"/>
    </row>
    <row r="9" spans="2:83" s="39" customFormat="true" ht="12" customHeight="true">
      <c r="B9" s="39" t="s">
        <v>34187</v>
      </c>
      <c r="D9" s="46">
        <v>0</v>
      </c>
      <c r="E9" s="46">
        <v>0</v>
      </c>
      <c r="F9" s="46">
        <v>0</v>
      </c>
      <c r="G9" s="46">
        <v>0</v>
      </c>
      <c r="H9" s="46">
        <v>0</v>
      </c>
      <c r="I9" s="46">
        <v>0</v>
      </c>
      <c r="J9" s="46">
        <v>0</v>
      </c>
      <c r="K9" s="50">
        <v>1150137.61</v>
      </c>
      <c r="L9" s="50">
        <v>29276.57</v>
      </c>
      <c r="M9" s="46">
        <v>0</v>
      </c>
      <c r="N9" s="46">
        <v>0</v>
      </c>
      <c r="O9" s="46">
        <v>0</v>
      </c>
      <c r="P9" s="50">
        <v>22078.93</v>
      </c>
      <c r="Q9" s="46">
        <v>0</v>
      </c>
      <c r="R9" s="46">
        <v>0</v>
      </c>
      <c r="S9" s="51">
        <v>0</v>
      </c>
      <c r="T9" s="50">
        <v>209908.41</v>
      </c>
      <c r="U9" s="46">
        <v>0</v>
      </c>
      <c r="V9" s="46">
        <v>0</v>
      </c>
      <c r="W9" s="46">
        <v>0</v>
      </c>
      <c r="X9" s="50">
        <v>9458.12</v>
      </c>
      <c r="Y9" s="50">
        <v>0</v>
      </c>
      <c r="Z9" s="51"/>
      <c r="AA9" s="51"/>
      <c r="AB9" s="51"/>
      <c r="AC9" s="51"/>
      <c r="AD9" s="51"/>
      <c r="AE9" s="50">
        <v>317257.65</v>
      </c>
      <c r="AF9" s="51"/>
      <c r="AG9" s="50">
        <v>64562.52</v>
      </c>
      <c r="AH9" s="50">
        <v>33834.56</v>
      </c>
      <c r="AI9" s="51"/>
      <c r="AJ9" s="50">
        <v>55595.27</v>
      </c>
      <c r="AK9" s="50">
        <v>123406.86</v>
      </c>
      <c r="AL9" s="50">
        <v>32685.13</v>
      </c>
      <c r="AM9" s="46"/>
      <c r="AN9" s="46"/>
      <c r="AO9" s="50">
        <v>30180.92</v>
      </c>
      <c r="AP9" s="50">
        <v>38768.36</v>
      </c>
      <c r="AQ9" s="50">
        <v>40829.66</v>
      </c>
      <c r="AR9" s="50">
        <v>32205.43</v>
      </c>
      <c r="AS9" s="50">
        <v>29773.5</v>
      </c>
      <c r="AT9" s="51"/>
      <c r="AU9" s="50">
        <v>12160.06</v>
      </c>
      <c r="AV9" s="50">
        <v>113636.48</v>
      </c>
      <c r="AW9" s="54"/>
      <c r="AX9" s="51"/>
      <c r="AY9" s="50">
        <v>37717.07</v>
      </c>
      <c r="AZ9" s="50">
        <v>38449.81</v>
      </c>
      <c r="BA9" s="50">
        <v>62521.36</v>
      </c>
      <c r="BB9" s="50">
        <v>3832.44</v>
      </c>
      <c r="BC9" s="50">
        <v>135894.82</v>
      </c>
      <c r="BD9" s="50">
        <v>3205.35</v>
      </c>
      <c r="BE9" s="50">
        <v>32598.07</v>
      </c>
      <c r="BF9" s="50">
        <v>49437.39</v>
      </c>
      <c r="BG9" s="50"/>
      <c r="BH9" s="50">
        <v>107913.56</v>
      </c>
      <c r="BI9" s="50">
        <v>37157.25</v>
      </c>
      <c r="BJ9" s="50">
        <v>33583.16</v>
      </c>
      <c r="BK9" s="50">
        <v>39768.26</v>
      </c>
      <c r="BL9" s="50">
        <v>37610.83</v>
      </c>
      <c r="BM9" s="50">
        <v>58023.34</v>
      </c>
      <c r="BN9" s="50">
        <v>48844.27</v>
      </c>
      <c r="BO9" s="50">
        <v>53303.13</v>
      </c>
      <c r="BP9" s="50">
        <v>147057.27</v>
      </c>
      <c r="BQ9" s="50">
        <v>38794.85</v>
      </c>
      <c r="BR9" s="50">
        <v>64900.11</v>
      </c>
      <c r="BS9" s="54"/>
      <c r="BT9" s="50">
        <v>25817.25</v>
      </c>
      <c r="BU9" s="54"/>
      <c r="BV9" s="50">
        <v>70669.43</v>
      </c>
      <c r="BW9" s="50">
        <v>47866.71</v>
      </c>
      <c r="BX9" s="50">
        <v>67721.5</v>
      </c>
      <c r="BY9" s="50">
        <v>100269.06</v>
      </c>
      <c r="BZ9" s="50">
        <v>41426.97</v>
      </c>
      <c r="CA9" s="54"/>
      <c r="CB9" s="50">
        <v>145441.25</v>
      </c>
      <c r="CC9" s="50">
        <v>584918.08</v>
      </c>
      <c r="CD9" s="50">
        <v>63822.48</v>
      </c>
      <c r="CE9" s="39">
        <f>SUM(D9:CD9)</f>
        <v>4524321.11</v>
      </c>
    </row>
    <row r="10" spans="19:79" s="39" customFormat="true" ht="12" customHeight="true">
      <c r="S10" s="51"/>
      <c r="Z10" s="51"/>
      <c r="AA10" s="51"/>
      <c r="AB10" s="51"/>
      <c r="AC10" s="51"/>
      <c r="AD10" s="51"/>
      <c r="AF10" s="51"/>
      <c r="AI10" s="51"/>
      <c r="AT10" s="51"/>
      <c r="AW10" s="54"/>
      <c r="AX10" s="51"/>
      <c r="BS10" s="54"/>
      <c r="BU10" s="54"/>
      <c r="CA10" s="54"/>
    </row>
    <row r="11" spans="2:79" s="39" customFormat="true" ht="12" customHeight="true">
      <c r="B11" s="39" t="s">
        <v>34188</v>
      </c>
      <c r="S11" s="51"/>
      <c r="Z11" s="51"/>
      <c r="AA11" s="51"/>
      <c r="AB11" s="51"/>
      <c r="AC11" s="51"/>
      <c r="AD11" s="51"/>
      <c r="AF11" s="51"/>
      <c r="AI11" s="51"/>
      <c r="AT11" s="51"/>
      <c r="AW11" s="54"/>
      <c r="AX11" s="51"/>
      <c r="BS11" s="54"/>
      <c r="BU11" s="54"/>
      <c r="CA11" s="54"/>
    </row>
    <row r="12" spans="4:82" s="39" customFormat="true" ht="12" customHeight="true">
      <c r="D12" s="46">
        <v>91986.57</v>
      </c>
      <c r="E12" s="46">
        <v>2283.13</v>
      </c>
      <c r="F12" s="46">
        <v>6623.64</v>
      </c>
      <c r="G12" s="46">
        <v>40953.47</v>
      </c>
      <c r="H12" s="46">
        <v>-534.7</v>
      </c>
      <c r="I12" s="46"/>
      <c r="J12" s="46">
        <v>753727.69</v>
      </c>
      <c r="K12" s="46">
        <v>3841.28</v>
      </c>
      <c r="L12" s="46"/>
      <c r="M12" s="46">
        <v>27612.05</v>
      </c>
      <c r="N12" s="46">
        <v>19850.45</v>
      </c>
      <c r="O12" s="46">
        <v>10904.66</v>
      </c>
      <c r="P12" s="46"/>
      <c r="Q12" s="46">
        <v>85.33</v>
      </c>
      <c r="R12" s="46">
        <v>8680.85</v>
      </c>
      <c r="S12" s="51"/>
      <c r="T12" s="46">
        <v>14250</v>
      </c>
      <c r="U12" s="46">
        <v>13421.6</v>
      </c>
      <c r="V12" s="46">
        <v>11400</v>
      </c>
      <c r="W12" s="46">
        <v>8365.11</v>
      </c>
      <c r="X12" s="46">
        <v>7371.97</v>
      </c>
      <c r="Y12" s="46">
        <v>0</v>
      </c>
      <c r="Z12" s="51"/>
      <c r="AA12" s="51"/>
      <c r="AB12" s="51"/>
      <c r="AC12" s="51"/>
      <c r="AD12" s="51"/>
      <c r="AE12" s="46"/>
      <c r="AF12" s="51"/>
      <c r="AG12" s="46">
        <v>12677.32</v>
      </c>
      <c r="AH12" s="46">
        <v>40.51</v>
      </c>
      <c r="AI12" s="51"/>
      <c r="AJ12" s="46">
        <v>68750.77</v>
      </c>
      <c r="AK12" s="46">
        <v>5925.9</v>
      </c>
      <c r="AL12" s="46">
        <v>7105.94</v>
      </c>
      <c r="AM12" s="46"/>
      <c r="AN12" s="46"/>
      <c r="AO12" s="46"/>
      <c r="AP12" s="46"/>
      <c r="AQ12" s="46"/>
      <c r="AR12" s="46"/>
      <c r="AS12" s="46"/>
      <c r="AT12" s="51"/>
      <c r="AU12" s="46"/>
      <c r="AV12" s="46">
        <v>482.83</v>
      </c>
      <c r="AW12" s="54"/>
      <c r="AX12" s="51"/>
      <c r="AY12" s="46"/>
      <c r="AZ12" s="46"/>
      <c r="BA12" s="46"/>
      <c r="BB12" s="46"/>
      <c r="BC12" s="46"/>
      <c r="BD12" s="46"/>
      <c r="BE12" s="46"/>
      <c r="BF12" s="46"/>
      <c r="BG12" s="46"/>
      <c r="BH12" s="46"/>
      <c r="BI12" s="46">
        <v>40.65</v>
      </c>
      <c r="BJ12" s="46"/>
      <c r="BK12" s="46"/>
      <c r="BL12" s="46"/>
      <c r="BM12" s="46"/>
      <c r="BN12" s="46"/>
      <c r="BO12" s="46"/>
      <c r="BP12" s="46"/>
      <c r="BQ12" s="46"/>
      <c r="BR12" s="46"/>
      <c r="BS12" s="54"/>
      <c r="BT12" s="46"/>
      <c r="BU12" s="54"/>
      <c r="BV12" s="46"/>
      <c r="BW12" s="46"/>
      <c r="BX12" s="46"/>
      <c r="BY12" s="46"/>
      <c r="BZ12" s="46"/>
      <c r="CA12" s="54"/>
      <c r="CB12" s="46">
        <v>189250</v>
      </c>
      <c r="CC12" s="46"/>
      <c r="CD12" s="46">
        <v>998.18</v>
      </c>
    </row>
    <row r="13" spans="4:82" s="39" customFormat="true" ht="12" customHeight="true">
      <c r="D13" s="46"/>
      <c r="E13" s="46">
        <v>-603.11</v>
      </c>
      <c r="F13" s="46">
        <v>986.22</v>
      </c>
      <c r="G13" s="46"/>
      <c r="H13" s="46"/>
      <c r="I13" s="46"/>
      <c r="J13" s="46"/>
      <c r="K13" s="46">
        <v>-1191.01</v>
      </c>
      <c r="L13" s="46"/>
      <c r="M13" s="46"/>
      <c r="N13" s="46"/>
      <c r="O13" s="46">
        <v>3025.09</v>
      </c>
      <c r="P13" s="46"/>
      <c r="Q13" s="46"/>
      <c r="R13" s="46"/>
      <c r="S13" s="51"/>
      <c r="T13" s="46">
        <v>-1029.95</v>
      </c>
      <c r="U13" s="46">
        <v>15609.72</v>
      </c>
      <c r="V13" s="46">
        <v>-472.21</v>
      </c>
      <c r="W13" s="46">
        <v>15274.82</v>
      </c>
      <c r="X13" s="46"/>
      <c r="Y13" s="46"/>
      <c r="Z13" s="51"/>
      <c r="AA13" s="51"/>
      <c r="AB13" s="51"/>
      <c r="AC13" s="51"/>
      <c r="AD13" s="51"/>
      <c r="AE13" s="46"/>
      <c r="AF13" s="51"/>
      <c r="AG13" s="46">
        <v>391.99</v>
      </c>
      <c r="AH13" s="46"/>
      <c r="AI13" s="51"/>
      <c r="AJ13" s="46">
        <v>38.47</v>
      </c>
      <c r="AK13" s="46"/>
      <c r="AL13" s="46"/>
      <c r="AM13" s="46"/>
      <c r="AN13" s="46"/>
      <c r="AO13" s="46"/>
      <c r="AP13" s="46"/>
      <c r="AQ13" s="46"/>
      <c r="AR13" s="46"/>
      <c r="AS13" s="46"/>
      <c r="AT13" s="51"/>
      <c r="AU13" s="46"/>
      <c r="AV13" s="46"/>
      <c r="AW13" s="54"/>
      <c r="AX13" s="51"/>
      <c r="AY13" s="46"/>
      <c r="AZ13" s="46"/>
      <c r="BA13" s="46"/>
      <c r="BB13" s="46"/>
      <c r="BC13" s="46"/>
      <c r="BD13" s="46"/>
      <c r="BE13" s="46"/>
      <c r="BF13" s="46"/>
      <c r="BG13" s="46"/>
      <c r="BH13" s="46"/>
      <c r="BI13" s="46"/>
      <c r="BJ13" s="46"/>
      <c r="BK13" s="46"/>
      <c r="BL13" s="46"/>
      <c r="BM13" s="46"/>
      <c r="BN13" s="46"/>
      <c r="BO13" s="46"/>
      <c r="BP13" s="46"/>
      <c r="BQ13" s="46"/>
      <c r="BR13" s="46"/>
      <c r="BS13" s="54"/>
      <c r="BT13" s="46"/>
      <c r="BU13" s="54"/>
      <c r="BV13" s="46"/>
      <c r="BW13" s="46"/>
      <c r="BX13" s="46"/>
      <c r="BY13" s="46"/>
      <c r="BZ13" s="46"/>
      <c r="CA13" s="54"/>
      <c r="CB13" s="46"/>
      <c r="CC13" s="46"/>
      <c r="CD13" s="46"/>
    </row>
    <row r="14" spans="4:82" s="39" customFormat="true" ht="12" customHeight="true">
      <c r="D14" s="46"/>
      <c r="E14" s="46"/>
      <c r="F14" s="46"/>
      <c r="G14" s="46"/>
      <c r="H14" s="46"/>
      <c r="I14" s="46"/>
      <c r="J14" s="46"/>
      <c r="K14" s="46"/>
      <c r="L14" s="46"/>
      <c r="M14" s="46"/>
      <c r="N14" s="46"/>
      <c r="O14" s="46"/>
      <c r="P14" s="46"/>
      <c r="Q14" s="46"/>
      <c r="R14" s="46"/>
      <c r="S14" s="51"/>
      <c r="T14" s="46"/>
      <c r="U14" s="46"/>
      <c r="V14" s="46"/>
      <c r="W14" s="46"/>
      <c r="X14" s="46"/>
      <c r="Y14" s="46"/>
      <c r="Z14" s="51"/>
      <c r="AA14" s="51"/>
      <c r="AB14" s="51"/>
      <c r="AC14" s="51"/>
      <c r="AD14" s="51"/>
      <c r="AE14" s="46"/>
      <c r="AF14" s="51"/>
      <c r="AG14" s="46"/>
      <c r="AH14" s="46">
        <v>40448.2</v>
      </c>
      <c r="AI14" s="51"/>
      <c r="AJ14" s="46"/>
      <c r="AK14" s="46"/>
      <c r="AL14" s="46"/>
      <c r="AM14" s="46"/>
      <c r="AN14" s="46"/>
      <c r="AO14" s="46"/>
      <c r="AP14" s="46"/>
      <c r="AQ14" s="46"/>
      <c r="AR14" s="46"/>
      <c r="AS14" s="46"/>
      <c r="AT14" s="51"/>
      <c r="AU14" s="46"/>
      <c r="AV14" s="46"/>
      <c r="AW14" s="54"/>
      <c r="AX14" s="51"/>
      <c r="AY14" s="46"/>
      <c r="AZ14" s="46"/>
      <c r="BA14" s="46"/>
      <c r="BB14" s="46"/>
      <c r="BC14" s="46"/>
      <c r="BD14" s="46"/>
      <c r="BE14" s="46"/>
      <c r="BF14" s="46"/>
      <c r="BG14" s="46"/>
      <c r="BH14" s="46"/>
      <c r="BI14" s="46"/>
      <c r="BJ14" s="46"/>
      <c r="BK14" s="46"/>
      <c r="BL14" s="46"/>
      <c r="BM14" s="46"/>
      <c r="BN14" s="46"/>
      <c r="BO14" s="46"/>
      <c r="BP14" s="46"/>
      <c r="BQ14" s="46"/>
      <c r="BR14" s="46"/>
      <c r="BS14" s="54"/>
      <c r="BT14" s="46"/>
      <c r="BU14" s="54"/>
      <c r="BV14" s="46"/>
      <c r="BW14" s="46"/>
      <c r="BX14" s="46"/>
      <c r="BY14" s="46"/>
      <c r="BZ14" s="46"/>
      <c r="CA14" s="54"/>
      <c r="CB14" s="46"/>
      <c r="CC14" s="46"/>
      <c r="CD14" s="46">
        <v>354.64</v>
      </c>
    </row>
    <row r="15" spans="4:82" s="39" customFormat="true" ht="12" customHeight="true">
      <c r="D15" s="46"/>
      <c r="E15" s="46"/>
      <c r="F15" s="46"/>
      <c r="G15" s="46"/>
      <c r="H15" s="46"/>
      <c r="I15" s="46"/>
      <c r="J15" s="46"/>
      <c r="K15" s="46"/>
      <c r="L15" s="46"/>
      <c r="M15" s="46"/>
      <c r="N15" s="46"/>
      <c r="O15" s="46"/>
      <c r="P15" s="46"/>
      <c r="Q15" s="46"/>
      <c r="R15" s="46"/>
      <c r="S15" s="51"/>
      <c r="T15" s="46"/>
      <c r="U15" s="46"/>
      <c r="V15" s="46"/>
      <c r="W15" s="46"/>
      <c r="X15" s="46"/>
      <c r="Y15" s="46"/>
      <c r="Z15" s="51"/>
      <c r="AA15" s="51"/>
      <c r="AB15" s="51"/>
      <c r="AC15" s="51"/>
      <c r="AD15" s="51"/>
      <c r="AE15" s="46"/>
      <c r="AF15" s="51"/>
      <c r="AG15" s="46">
        <v>990.79</v>
      </c>
      <c r="AH15" s="46"/>
      <c r="AI15" s="51"/>
      <c r="AJ15" s="46"/>
      <c r="AK15" s="46">
        <v>1049.33</v>
      </c>
      <c r="AL15" s="46"/>
      <c r="AM15" s="46"/>
      <c r="AN15" s="46"/>
      <c r="AO15" s="46"/>
      <c r="AP15" s="46"/>
      <c r="AQ15" s="46"/>
      <c r="AR15" s="46"/>
      <c r="AS15" s="46"/>
      <c r="AT15" s="51"/>
      <c r="AU15" s="46"/>
      <c r="AV15" s="46"/>
      <c r="AW15" s="54"/>
      <c r="AX15" s="51"/>
      <c r="AY15" s="46"/>
      <c r="AZ15" s="46"/>
      <c r="BA15" s="46"/>
      <c r="BB15" s="46"/>
      <c r="BC15" s="46"/>
      <c r="BD15" s="46"/>
      <c r="BE15" s="46"/>
      <c r="BF15" s="46"/>
      <c r="BG15" s="46"/>
      <c r="BH15" s="46"/>
      <c r="BI15" s="46"/>
      <c r="BJ15" s="46"/>
      <c r="BK15" s="46"/>
      <c r="BL15" s="46"/>
      <c r="BM15" s="46"/>
      <c r="BN15" s="46"/>
      <c r="BO15" s="46"/>
      <c r="BP15" s="46"/>
      <c r="BQ15" s="46"/>
      <c r="BR15" s="46"/>
      <c r="BS15" s="54"/>
      <c r="BT15" s="46"/>
      <c r="BU15" s="54"/>
      <c r="BV15" s="46"/>
      <c r="BW15" s="46"/>
      <c r="BX15" s="46"/>
      <c r="BY15" s="46"/>
      <c r="BZ15" s="46"/>
      <c r="CA15" s="54"/>
      <c r="CB15" s="46"/>
      <c r="CC15" s="46"/>
      <c r="CD15" s="46"/>
    </row>
    <row r="16" spans="4:82" s="39" customFormat="true" ht="12" customHeight="true">
      <c r="D16" s="46"/>
      <c r="E16" s="46"/>
      <c r="F16" s="46"/>
      <c r="G16" s="46"/>
      <c r="H16" s="46"/>
      <c r="I16" s="46"/>
      <c r="J16" s="46"/>
      <c r="K16" s="46"/>
      <c r="L16" s="46"/>
      <c r="M16" s="46"/>
      <c r="N16" s="46"/>
      <c r="O16" s="46"/>
      <c r="P16" s="46"/>
      <c r="Q16" s="46"/>
      <c r="R16" s="46"/>
      <c r="S16" s="51"/>
      <c r="T16" s="46"/>
      <c r="U16" s="46"/>
      <c r="V16" s="46"/>
      <c r="W16" s="46"/>
      <c r="X16" s="46"/>
      <c r="Y16" s="46"/>
      <c r="Z16" s="51"/>
      <c r="AA16" s="51"/>
      <c r="AB16" s="51"/>
      <c r="AC16" s="51"/>
      <c r="AD16" s="51"/>
      <c r="AE16" s="46"/>
      <c r="AF16" s="51"/>
      <c r="AG16" s="46"/>
      <c r="AH16" s="46"/>
      <c r="AI16" s="51"/>
      <c r="AJ16" s="46"/>
      <c r="AK16" s="46">
        <v>3463.09</v>
      </c>
      <c r="AL16" s="46"/>
      <c r="AM16" s="46"/>
      <c r="AN16" s="46"/>
      <c r="AO16" s="46"/>
      <c r="AP16" s="46"/>
      <c r="AQ16" s="46"/>
      <c r="AR16" s="46"/>
      <c r="AS16" s="46"/>
      <c r="AT16" s="51"/>
      <c r="AU16" s="46"/>
      <c r="AV16" s="46"/>
      <c r="AW16" s="54"/>
      <c r="AX16" s="51"/>
      <c r="AY16" s="46"/>
      <c r="AZ16" s="46"/>
      <c r="BA16" s="46"/>
      <c r="BB16" s="46"/>
      <c r="BC16" s="46"/>
      <c r="BD16" s="46"/>
      <c r="BE16" s="46"/>
      <c r="BF16" s="46"/>
      <c r="BG16" s="46"/>
      <c r="BH16" s="46"/>
      <c r="BI16" s="46"/>
      <c r="BJ16" s="46"/>
      <c r="BK16" s="46"/>
      <c r="BL16" s="46"/>
      <c r="BM16" s="46"/>
      <c r="BN16" s="46"/>
      <c r="BO16" s="46"/>
      <c r="BP16" s="46"/>
      <c r="BQ16" s="46"/>
      <c r="BR16" s="46"/>
      <c r="BS16" s="54"/>
      <c r="BT16" s="46"/>
      <c r="BU16" s="54"/>
      <c r="BV16" s="46"/>
      <c r="BW16" s="46"/>
      <c r="BX16" s="46"/>
      <c r="BY16" s="46"/>
      <c r="BZ16" s="46"/>
      <c r="CA16" s="54"/>
      <c r="CB16" s="46"/>
      <c r="CC16" s="46"/>
      <c r="CD16" s="46"/>
    </row>
    <row r="17" spans="4:82" s="39" customFormat="true" ht="12" customHeight="true">
      <c r="D17" s="46"/>
      <c r="E17" s="46"/>
      <c r="F17" s="46"/>
      <c r="G17" s="46"/>
      <c r="H17" s="46"/>
      <c r="I17" s="46"/>
      <c r="J17" s="46"/>
      <c r="K17" s="46"/>
      <c r="L17" s="46"/>
      <c r="M17" s="46"/>
      <c r="N17" s="46"/>
      <c r="O17" s="46"/>
      <c r="P17" s="46"/>
      <c r="Q17" s="46"/>
      <c r="R17" s="46"/>
      <c r="S17" s="51"/>
      <c r="T17" s="46"/>
      <c r="U17" s="46"/>
      <c r="V17" s="46"/>
      <c r="W17" s="46"/>
      <c r="X17" s="46"/>
      <c r="Y17" s="46"/>
      <c r="Z17" s="51"/>
      <c r="AA17" s="51"/>
      <c r="AB17" s="51"/>
      <c r="AC17" s="51"/>
      <c r="AD17" s="51"/>
      <c r="AE17" s="46"/>
      <c r="AF17" s="51"/>
      <c r="AG17" s="46"/>
      <c r="AH17" s="46"/>
      <c r="AI17" s="51"/>
      <c r="AJ17" s="46"/>
      <c r="AK17" s="46"/>
      <c r="AL17" s="46"/>
      <c r="AM17" s="46"/>
      <c r="AN17" s="46"/>
      <c r="AO17" s="46"/>
      <c r="AP17" s="46"/>
      <c r="AQ17" s="46"/>
      <c r="AR17" s="46"/>
      <c r="AS17" s="46"/>
      <c r="AT17" s="51"/>
      <c r="AU17" s="46"/>
      <c r="AV17" s="46"/>
      <c r="AW17" s="54"/>
      <c r="AX17" s="51"/>
      <c r="AY17" s="46"/>
      <c r="AZ17" s="46"/>
      <c r="BA17" s="46"/>
      <c r="BB17" s="46"/>
      <c r="BC17" s="46"/>
      <c r="BD17" s="46"/>
      <c r="BE17" s="46"/>
      <c r="BF17" s="46"/>
      <c r="BG17" s="46"/>
      <c r="BH17" s="46"/>
      <c r="BI17" s="46"/>
      <c r="BJ17" s="46"/>
      <c r="BK17" s="46"/>
      <c r="BL17" s="46"/>
      <c r="BM17" s="46"/>
      <c r="BN17" s="46"/>
      <c r="BO17" s="46"/>
      <c r="BP17" s="46"/>
      <c r="BQ17" s="46"/>
      <c r="BR17" s="46"/>
      <c r="BS17" s="54"/>
      <c r="BT17" s="46"/>
      <c r="BU17" s="54"/>
      <c r="BV17" s="46"/>
      <c r="BW17" s="46"/>
      <c r="BX17" s="46"/>
      <c r="BY17" s="46"/>
      <c r="BZ17" s="46"/>
      <c r="CA17" s="54"/>
      <c r="CB17" s="46"/>
      <c r="CC17" s="46"/>
      <c r="CD17" s="46"/>
    </row>
    <row r="18" spans="4:82" s="39" customFormat="true" ht="12" customHeight="true">
      <c r="D18" s="46"/>
      <c r="E18" s="46"/>
      <c r="F18" s="46"/>
      <c r="G18" s="46"/>
      <c r="H18" s="46"/>
      <c r="I18" s="46"/>
      <c r="J18" s="46"/>
      <c r="K18" s="46"/>
      <c r="L18" s="46"/>
      <c r="M18" s="46"/>
      <c r="N18" s="46"/>
      <c r="O18" s="46"/>
      <c r="P18" s="46"/>
      <c r="Q18" s="46"/>
      <c r="R18" s="46"/>
      <c r="S18" s="51"/>
      <c r="T18" s="46"/>
      <c r="U18" s="46"/>
      <c r="V18" s="46"/>
      <c r="W18" s="46"/>
      <c r="X18" s="46"/>
      <c r="Y18" s="46"/>
      <c r="Z18" s="51"/>
      <c r="AA18" s="51"/>
      <c r="AB18" s="51"/>
      <c r="AC18" s="51"/>
      <c r="AD18" s="51"/>
      <c r="AE18" s="46"/>
      <c r="AF18" s="51"/>
      <c r="AG18" s="46"/>
      <c r="AH18" s="46"/>
      <c r="AI18" s="51"/>
      <c r="AJ18" s="46"/>
      <c r="AK18" s="46"/>
      <c r="AL18" s="46"/>
      <c r="AM18" s="46"/>
      <c r="AN18" s="46"/>
      <c r="AO18" s="46"/>
      <c r="AP18" s="46"/>
      <c r="AQ18" s="46"/>
      <c r="AR18" s="46"/>
      <c r="AS18" s="46"/>
      <c r="AT18" s="51"/>
      <c r="AU18" s="46"/>
      <c r="AV18" s="46"/>
      <c r="AW18" s="54"/>
      <c r="AX18" s="51"/>
      <c r="AY18" s="46"/>
      <c r="AZ18" s="46"/>
      <c r="BA18" s="46"/>
      <c r="BB18" s="46"/>
      <c r="BC18" s="46"/>
      <c r="BD18" s="46"/>
      <c r="BE18" s="46"/>
      <c r="BF18" s="46"/>
      <c r="BG18" s="46"/>
      <c r="BH18" s="46"/>
      <c r="BI18" s="46"/>
      <c r="BJ18" s="46"/>
      <c r="BK18" s="46"/>
      <c r="BL18" s="46"/>
      <c r="BM18" s="46"/>
      <c r="BN18" s="46"/>
      <c r="BO18" s="46"/>
      <c r="BP18" s="46"/>
      <c r="BQ18" s="46"/>
      <c r="BR18" s="46"/>
      <c r="BS18" s="54"/>
      <c r="BT18" s="46"/>
      <c r="BU18" s="54"/>
      <c r="BV18" s="46"/>
      <c r="BW18" s="46"/>
      <c r="BX18" s="46"/>
      <c r="BY18" s="46"/>
      <c r="BZ18" s="46"/>
      <c r="CA18" s="54"/>
      <c r="CB18" s="46"/>
      <c r="CC18" s="46"/>
      <c r="CD18" s="46"/>
    </row>
    <row r="19" spans="4:82" s="39" customFormat="true" ht="12" customHeight="true">
      <c r="D19" s="46"/>
      <c r="E19" s="46"/>
      <c r="F19" s="46"/>
      <c r="G19" s="46"/>
      <c r="H19" s="46"/>
      <c r="I19" s="46"/>
      <c r="J19" s="46"/>
      <c r="K19" s="46"/>
      <c r="L19" s="46"/>
      <c r="M19" s="46"/>
      <c r="N19" s="46"/>
      <c r="O19" s="46"/>
      <c r="P19" s="46"/>
      <c r="Q19" s="46"/>
      <c r="R19" s="46"/>
      <c r="S19" s="51"/>
      <c r="T19" s="46"/>
      <c r="U19" s="46"/>
      <c r="V19" s="46"/>
      <c r="W19" s="46"/>
      <c r="X19" s="46"/>
      <c r="Y19" s="46"/>
      <c r="Z19" s="51"/>
      <c r="AA19" s="51"/>
      <c r="AB19" s="51"/>
      <c r="AC19" s="51"/>
      <c r="AD19" s="51"/>
      <c r="AE19" s="46"/>
      <c r="AF19" s="51"/>
      <c r="AG19" s="46"/>
      <c r="AH19" s="46"/>
      <c r="AI19" s="51"/>
      <c r="AJ19" s="46"/>
      <c r="AK19" s="46"/>
      <c r="AL19" s="46"/>
      <c r="AM19" s="46"/>
      <c r="AN19" s="46"/>
      <c r="AO19" s="46"/>
      <c r="AP19" s="46"/>
      <c r="AQ19" s="46"/>
      <c r="AR19" s="46"/>
      <c r="AS19" s="46"/>
      <c r="AT19" s="51"/>
      <c r="AU19" s="46"/>
      <c r="AV19" s="46"/>
      <c r="AW19" s="54"/>
      <c r="AX19" s="51"/>
      <c r="AY19" s="46"/>
      <c r="AZ19" s="46"/>
      <c r="BA19" s="46"/>
      <c r="BB19" s="46"/>
      <c r="BC19" s="46"/>
      <c r="BD19" s="46"/>
      <c r="BE19" s="46"/>
      <c r="BF19" s="46"/>
      <c r="BG19" s="46"/>
      <c r="BH19" s="46"/>
      <c r="BI19" s="46"/>
      <c r="BJ19" s="46"/>
      <c r="BK19" s="46"/>
      <c r="BL19" s="46"/>
      <c r="BM19" s="46"/>
      <c r="BN19" s="46"/>
      <c r="BO19" s="46"/>
      <c r="BP19" s="46"/>
      <c r="BQ19" s="46"/>
      <c r="BR19" s="46"/>
      <c r="BS19" s="54"/>
      <c r="BT19" s="46"/>
      <c r="BU19" s="54"/>
      <c r="BV19" s="46"/>
      <c r="BW19" s="46"/>
      <c r="BX19" s="46"/>
      <c r="BY19" s="46"/>
      <c r="BZ19" s="46"/>
      <c r="CA19" s="54"/>
      <c r="CB19" s="46"/>
      <c r="CC19" s="46"/>
      <c r="CD19" s="46"/>
    </row>
    <row r="20" spans="4:82" s="39" customFormat="true" ht="12" customHeight="true">
      <c r="D20" s="46"/>
      <c r="E20" s="46"/>
      <c r="F20" s="46"/>
      <c r="G20" s="46"/>
      <c r="H20" s="46"/>
      <c r="I20" s="46"/>
      <c r="J20" s="46"/>
      <c r="K20" s="46"/>
      <c r="L20" s="46"/>
      <c r="M20" s="46"/>
      <c r="N20" s="46"/>
      <c r="O20" s="46"/>
      <c r="P20" s="46"/>
      <c r="Q20" s="46"/>
      <c r="R20" s="46"/>
      <c r="S20" s="51"/>
      <c r="T20" s="46"/>
      <c r="U20" s="46"/>
      <c r="V20" s="46"/>
      <c r="W20" s="46"/>
      <c r="X20" s="46"/>
      <c r="Y20" s="46"/>
      <c r="Z20" s="51"/>
      <c r="AA20" s="51"/>
      <c r="AB20" s="51"/>
      <c r="AC20" s="51"/>
      <c r="AD20" s="51"/>
      <c r="AE20" s="46"/>
      <c r="AF20" s="51"/>
      <c r="AG20" s="46"/>
      <c r="AH20" s="46"/>
      <c r="AI20" s="51"/>
      <c r="AJ20" s="46"/>
      <c r="AK20" s="46"/>
      <c r="AL20" s="46"/>
      <c r="AM20" s="46"/>
      <c r="AN20" s="46"/>
      <c r="AO20" s="46"/>
      <c r="AP20" s="46"/>
      <c r="AQ20" s="46"/>
      <c r="AR20" s="46"/>
      <c r="AS20" s="46"/>
      <c r="AT20" s="51"/>
      <c r="AU20" s="46"/>
      <c r="AV20" s="46"/>
      <c r="AW20" s="54"/>
      <c r="AX20" s="51"/>
      <c r="AY20" s="46"/>
      <c r="AZ20" s="46"/>
      <c r="BA20" s="46"/>
      <c r="BB20" s="46"/>
      <c r="BC20" s="46"/>
      <c r="BD20" s="46"/>
      <c r="BE20" s="46"/>
      <c r="BF20" s="46"/>
      <c r="BG20" s="46"/>
      <c r="BH20" s="46"/>
      <c r="BI20" s="46"/>
      <c r="BJ20" s="46"/>
      <c r="BK20" s="46"/>
      <c r="BL20" s="46"/>
      <c r="BM20" s="46"/>
      <c r="BN20" s="46"/>
      <c r="BO20" s="46"/>
      <c r="BP20" s="46"/>
      <c r="BQ20" s="46"/>
      <c r="BR20" s="46"/>
      <c r="BS20" s="54"/>
      <c r="BT20" s="46"/>
      <c r="BU20" s="54"/>
      <c r="BV20" s="46"/>
      <c r="BW20" s="46"/>
      <c r="BX20" s="46"/>
      <c r="BY20" s="46"/>
      <c r="BZ20" s="46"/>
      <c r="CA20" s="54"/>
      <c r="CB20" s="46"/>
      <c r="CC20" s="46"/>
      <c r="CD20" s="46"/>
    </row>
    <row r="21" spans="4:82" s="39" customFormat="true" ht="12" customHeight="true">
      <c r="D21" s="46"/>
      <c r="E21" s="46"/>
      <c r="F21" s="46"/>
      <c r="G21" s="46"/>
      <c r="H21" s="46"/>
      <c r="I21" s="46"/>
      <c r="J21" s="46"/>
      <c r="K21" s="46"/>
      <c r="L21" s="46"/>
      <c r="M21" s="46"/>
      <c r="N21" s="46"/>
      <c r="O21" s="46"/>
      <c r="P21" s="46"/>
      <c r="Q21" s="46"/>
      <c r="R21" s="46"/>
      <c r="S21" s="51"/>
      <c r="T21" s="46"/>
      <c r="U21" s="46"/>
      <c r="V21" s="46"/>
      <c r="W21" s="46"/>
      <c r="X21" s="46"/>
      <c r="Y21" s="46"/>
      <c r="Z21" s="51"/>
      <c r="AA21" s="51"/>
      <c r="AB21" s="51"/>
      <c r="AC21" s="51"/>
      <c r="AD21" s="51"/>
      <c r="AE21" s="46"/>
      <c r="AF21" s="51"/>
      <c r="AG21" s="46"/>
      <c r="AH21" s="46"/>
      <c r="AI21" s="51"/>
      <c r="AJ21" s="46"/>
      <c r="AK21" s="46"/>
      <c r="AL21" s="46"/>
      <c r="AM21" s="46"/>
      <c r="AN21" s="46"/>
      <c r="AO21" s="46"/>
      <c r="AP21" s="46"/>
      <c r="AQ21" s="46"/>
      <c r="AR21" s="46"/>
      <c r="AS21" s="46"/>
      <c r="AT21" s="51"/>
      <c r="AU21" s="46"/>
      <c r="AV21" s="46"/>
      <c r="AW21" s="54"/>
      <c r="AX21" s="51"/>
      <c r="AY21" s="46"/>
      <c r="AZ21" s="46"/>
      <c r="BA21" s="46"/>
      <c r="BB21" s="46"/>
      <c r="BC21" s="46"/>
      <c r="BD21" s="46"/>
      <c r="BE21" s="46"/>
      <c r="BF21" s="46"/>
      <c r="BG21" s="46"/>
      <c r="BH21" s="46"/>
      <c r="BI21" s="46"/>
      <c r="BJ21" s="46"/>
      <c r="BK21" s="46"/>
      <c r="BL21" s="46"/>
      <c r="BM21" s="46"/>
      <c r="BN21" s="46"/>
      <c r="BO21" s="46"/>
      <c r="BP21" s="46"/>
      <c r="BQ21" s="46"/>
      <c r="BR21" s="46"/>
      <c r="BS21" s="54"/>
      <c r="BT21" s="46"/>
      <c r="BU21" s="54"/>
      <c r="BV21" s="46"/>
      <c r="BW21" s="46"/>
      <c r="BX21" s="46"/>
      <c r="BY21" s="46"/>
      <c r="BZ21" s="46"/>
      <c r="CA21" s="54"/>
      <c r="CB21" s="46"/>
      <c r="CC21" s="46"/>
      <c r="CD21" s="46"/>
    </row>
    <row r="22" spans="4:82" s="39" customFormat="true" ht="12" customHeight="true">
      <c r="D22" s="46"/>
      <c r="E22" s="46"/>
      <c r="F22" s="46"/>
      <c r="G22" s="46"/>
      <c r="H22" s="46"/>
      <c r="I22" s="46"/>
      <c r="J22" s="46"/>
      <c r="K22" s="46"/>
      <c r="L22" s="46"/>
      <c r="M22" s="46"/>
      <c r="N22" s="46"/>
      <c r="O22" s="46"/>
      <c r="P22" s="46"/>
      <c r="Q22" s="46"/>
      <c r="R22" s="46"/>
      <c r="S22" s="51"/>
      <c r="T22" s="46"/>
      <c r="U22" s="46"/>
      <c r="V22" s="46"/>
      <c r="W22" s="46"/>
      <c r="X22" s="46"/>
      <c r="Y22" s="46"/>
      <c r="Z22" s="51"/>
      <c r="AA22" s="51"/>
      <c r="AB22" s="51"/>
      <c r="AC22" s="51"/>
      <c r="AD22" s="51"/>
      <c r="AE22" s="46"/>
      <c r="AF22" s="51"/>
      <c r="AG22" s="46"/>
      <c r="AH22" s="46"/>
      <c r="AI22" s="51"/>
      <c r="AJ22" s="46"/>
      <c r="AK22" s="46"/>
      <c r="AL22" s="46"/>
      <c r="AM22" s="46"/>
      <c r="AN22" s="46"/>
      <c r="AO22" s="46"/>
      <c r="AP22" s="46"/>
      <c r="AQ22" s="46"/>
      <c r="AR22" s="46"/>
      <c r="AS22" s="46"/>
      <c r="AT22" s="51"/>
      <c r="AU22" s="46"/>
      <c r="AV22" s="46"/>
      <c r="AW22" s="54"/>
      <c r="AX22" s="51"/>
      <c r="AY22" s="46"/>
      <c r="AZ22" s="46"/>
      <c r="BA22" s="46"/>
      <c r="BB22" s="46"/>
      <c r="BC22" s="46"/>
      <c r="BD22" s="46"/>
      <c r="BE22" s="46"/>
      <c r="BF22" s="46"/>
      <c r="BG22" s="46"/>
      <c r="BH22" s="46"/>
      <c r="BI22" s="46"/>
      <c r="BJ22" s="46"/>
      <c r="BK22" s="46"/>
      <c r="BL22" s="46"/>
      <c r="BM22" s="46"/>
      <c r="BN22" s="46"/>
      <c r="BO22" s="46"/>
      <c r="BP22" s="46"/>
      <c r="BQ22" s="46"/>
      <c r="BR22" s="46"/>
      <c r="BS22" s="54"/>
      <c r="BT22" s="46"/>
      <c r="BU22" s="54"/>
      <c r="BV22" s="46"/>
      <c r="BW22" s="46"/>
      <c r="BX22" s="46"/>
      <c r="BY22" s="46"/>
      <c r="BZ22" s="46"/>
      <c r="CA22" s="54"/>
      <c r="CB22" s="46"/>
      <c r="CC22" s="46"/>
      <c r="CD22" s="46"/>
    </row>
    <row r="23" spans="4:82" s="39" customFormat="true" ht="12" customHeight="true">
      <c r="D23" s="46"/>
      <c r="E23" s="46"/>
      <c r="F23" s="46"/>
      <c r="G23" s="46"/>
      <c r="H23" s="46"/>
      <c r="I23" s="46"/>
      <c r="J23" s="46"/>
      <c r="K23" s="46"/>
      <c r="L23" s="46"/>
      <c r="M23" s="46"/>
      <c r="N23" s="46"/>
      <c r="O23" s="46"/>
      <c r="P23" s="46"/>
      <c r="Q23" s="46"/>
      <c r="R23" s="46"/>
      <c r="S23" s="51"/>
      <c r="T23" s="46"/>
      <c r="U23" s="46"/>
      <c r="V23" s="46"/>
      <c r="W23" s="46"/>
      <c r="X23" s="46"/>
      <c r="Y23" s="46"/>
      <c r="Z23" s="51"/>
      <c r="AA23" s="51"/>
      <c r="AB23" s="51"/>
      <c r="AC23" s="51"/>
      <c r="AD23" s="51"/>
      <c r="AE23" s="46"/>
      <c r="AF23" s="51"/>
      <c r="AG23" s="46"/>
      <c r="AH23" s="46"/>
      <c r="AI23" s="51"/>
      <c r="AJ23" s="46"/>
      <c r="AK23" s="46"/>
      <c r="AL23" s="46"/>
      <c r="AM23" s="46"/>
      <c r="AN23" s="46"/>
      <c r="AO23" s="46"/>
      <c r="AP23" s="46"/>
      <c r="AQ23" s="46"/>
      <c r="AR23" s="46"/>
      <c r="AS23" s="46"/>
      <c r="AT23" s="51"/>
      <c r="AU23" s="46"/>
      <c r="AV23" s="46"/>
      <c r="AW23" s="54"/>
      <c r="AX23" s="51"/>
      <c r="AY23" s="46"/>
      <c r="AZ23" s="46"/>
      <c r="BA23" s="46"/>
      <c r="BB23" s="46"/>
      <c r="BC23" s="46"/>
      <c r="BD23" s="46"/>
      <c r="BE23" s="46"/>
      <c r="BF23" s="46"/>
      <c r="BG23" s="46"/>
      <c r="BH23" s="46"/>
      <c r="BI23" s="46"/>
      <c r="BJ23" s="46"/>
      <c r="BK23" s="46"/>
      <c r="BL23" s="46"/>
      <c r="BM23" s="46"/>
      <c r="BN23" s="46"/>
      <c r="BO23" s="46"/>
      <c r="BP23" s="46"/>
      <c r="BQ23" s="46"/>
      <c r="BR23" s="46"/>
      <c r="BS23" s="54"/>
      <c r="BT23" s="46"/>
      <c r="BU23" s="54"/>
      <c r="BV23" s="46"/>
      <c r="BW23" s="46"/>
      <c r="BX23" s="46"/>
      <c r="BY23" s="46"/>
      <c r="BZ23" s="46"/>
      <c r="CA23" s="54"/>
      <c r="CB23" s="46"/>
      <c r="CC23" s="46"/>
      <c r="CD23" s="46"/>
    </row>
    <row r="24" spans="4:82" s="39" customFormat="true" ht="12" customHeight="true">
      <c r="D24" s="46"/>
      <c r="E24" s="46"/>
      <c r="F24" s="46"/>
      <c r="G24" s="46"/>
      <c r="H24" s="46"/>
      <c r="I24" s="46"/>
      <c r="J24" s="46"/>
      <c r="K24" s="46"/>
      <c r="L24" s="46"/>
      <c r="M24" s="46"/>
      <c r="N24" s="46"/>
      <c r="O24" s="46"/>
      <c r="P24" s="46"/>
      <c r="Q24" s="46"/>
      <c r="R24" s="46"/>
      <c r="S24" s="51"/>
      <c r="T24" s="46"/>
      <c r="U24" s="46"/>
      <c r="V24" s="46"/>
      <c r="W24" s="46"/>
      <c r="X24" s="46"/>
      <c r="Y24" s="46"/>
      <c r="Z24" s="51"/>
      <c r="AA24" s="51"/>
      <c r="AB24" s="51"/>
      <c r="AC24" s="51"/>
      <c r="AD24" s="51"/>
      <c r="AE24" s="46"/>
      <c r="AF24" s="51"/>
      <c r="AG24" s="46"/>
      <c r="AH24" s="46"/>
      <c r="AI24" s="51"/>
      <c r="AJ24" s="46"/>
      <c r="AK24" s="46"/>
      <c r="AL24" s="46"/>
      <c r="AM24" s="46"/>
      <c r="AN24" s="46"/>
      <c r="AO24" s="46"/>
      <c r="AP24" s="46"/>
      <c r="AQ24" s="46"/>
      <c r="AR24" s="46"/>
      <c r="AS24" s="46"/>
      <c r="AT24" s="51"/>
      <c r="AU24" s="46"/>
      <c r="AV24" s="46"/>
      <c r="AW24" s="54"/>
      <c r="AX24" s="51"/>
      <c r="AY24" s="46"/>
      <c r="AZ24" s="46"/>
      <c r="BA24" s="46"/>
      <c r="BB24" s="46"/>
      <c r="BC24" s="46"/>
      <c r="BD24" s="46"/>
      <c r="BE24" s="46"/>
      <c r="BF24" s="46"/>
      <c r="BG24" s="46"/>
      <c r="BH24" s="46"/>
      <c r="BI24" s="46"/>
      <c r="BJ24" s="46"/>
      <c r="BK24" s="46"/>
      <c r="BL24" s="46"/>
      <c r="BM24" s="46"/>
      <c r="BN24" s="46"/>
      <c r="BO24" s="46"/>
      <c r="BP24" s="46"/>
      <c r="BQ24" s="46"/>
      <c r="BR24" s="46"/>
      <c r="BS24" s="54"/>
      <c r="BT24" s="46"/>
      <c r="BU24" s="54"/>
      <c r="BV24" s="46"/>
      <c r="BW24" s="46"/>
      <c r="BX24" s="46"/>
      <c r="BY24" s="46"/>
      <c r="BZ24" s="46"/>
      <c r="CA24" s="54"/>
      <c r="CB24" s="46"/>
      <c r="CC24" s="46"/>
      <c r="CD24" s="46"/>
    </row>
    <row r="25" spans="4:82" s="39" customFormat="true" ht="12" customHeight="true">
      <c r="D25" s="46"/>
      <c r="E25" s="46"/>
      <c r="F25" s="46"/>
      <c r="G25" s="46"/>
      <c r="H25" s="46"/>
      <c r="I25" s="46"/>
      <c r="J25" s="46"/>
      <c r="K25" s="46"/>
      <c r="L25" s="46"/>
      <c r="M25" s="46"/>
      <c r="N25" s="46"/>
      <c r="O25" s="46"/>
      <c r="P25" s="46"/>
      <c r="Q25" s="46"/>
      <c r="R25" s="46"/>
      <c r="S25" s="51"/>
      <c r="T25" s="46"/>
      <c r="U25" s="46"/>
      <c r="V25" s="46"/>
      <c r="W25" s="46"/>
      <c r="X25" s="46"/>
      <c r="Y25" s="46"/>
      <c r="Z25" s="51"/>
      <c r="AA25" s="51"/>
      <c r="AB25" s="51"/>
      <c r="AC25" s="51"/>
      <c r="AD25" s="51"/>
      <c r="AE25" s="46"/>
      <c r="AF25" s="51"/>
      <c r="AG25" s="46"/>
      <c r="AH25" s="46"/>
      <c r="AI25" s="51"/>
      <c r="AJ25" s="46"/>
      <c r="AK25" s="46"/>
      <c r="AL25" s="46"/>
      <c r="AM25" s="46"/>
      <c r="AN25" s="46"/>
      <c r="AO25" s="46"/>
      <c r="AP25" s="46"/>
      <c r="AQ25" s="46"/>
      <c r="AR25" s="46"/>
      <c r="AS25" s="46"/>
      <c r="AT25" s="51"/>
      <c r="AU25" s="46"/>
      <c r="AV25" s="46"/>
      <c r="AW25" s="54"/>
      <c r="AX25" s="51"/>
      <c r="AY25" s="46"/>
      <c r="AZ25" s="46"/>
      <c r="BA25" s="46"/>
      <c r="BB25" s="46"/>
      <c r="BC25" s="46"/>
      <c r="BD25" s="46"/>
      <c r="BE25" s="46"/>
      <c r="BF25" s="46"/>
      <c r="BG25" s="46"/>
      <c r="BH25" s="46"/>
      <c r="BI25" s="46"/>
      <c r="BJ25" s="46"/>
      <c r="BK25" s="46"/>
      <c r="BL25" s="46"/>
      <c r="BM25" s="46"/>
      <c r="BN25" s="46"/>
      <c r="BO25" s="46"/>
      <c r="BP25" s="46"/>
      <c r="BQ25" s="46"/>
      <c r="BR25" s="46"/>
      <c r="BS25" s="54"/>
      <c r="BT25" s="46"/>
      <c r="BU25" s="54"/>
      <c r="BV25" s="46"/>
      <c r="BW25" s="46"/>
      <c r="BX25" s="46"/>
      <c r="BY25" s="46"/>
      <c r="BZ25" s="46"/>
      <c r="CA25" s="54"/>
      <c r="CB25" s="46"/>
      <c r="CC25" s="46"/>
      <c r="CD25" s="46"/>
    </row>
    <row r="26" spans="4:82" s="39" customFormat="true" ht="12" customHeight="true">
      <c r="D26" s="46"/>
      <c r="E26" s="46"/>
      <c r="F26" s="46"/>
      <c r="G26" s="46"/>
      <c r="H26" s="46"/>
      <c r="I26" s="46"/>
      <c r="J26" s="46"/>
      <c r="K26" s="46"/>
      <c r="L26" s="46"/>
      <c r="M26" s="46"/>
      <c r="N26" s="46"/>
      <c r="O26" s="46"/>
      <c r="P26" s="46"/>
      <c r="Q26" s="46"/>
      <c r="R26" s="46"/>
      <c r="S26" s="51"/>
      <c r="T26" s="46"/>
      <c r="U26" s="46"/>
      <c r="V26" s="46"/>
      <c r="W26" s="46"/>
      <c r="X26" s="46"/>
      <c r="Y26" s="46"/>
      <c r="Z26" s="51"/>
      <c r="AA26" s="51"/>
      <c r="AB26" s="51"/>
      <c r="AC26" s="51"/>
      <c r="AD26" s="51"/>
      <c r="AE26" s="46"/>
      <c r="AF26" s="51"/>
      <c r="AG26" s="46"/>
      <c r="AH26" s="46"/>
      <c r="AI26" s="51"/>
      <c r="AJ26" s="46"/>
      <c r="AK26" s="46"/>
      <c r="AL26" s="46"/>
      <c r="AM26" s="46"/>
      <c r="AN26" s="46"/>
      <c r="AO26" s="46"/>
      <c r="AP26" s="46"/>
      <c r="AQ26" s="46"/>
      <c r="AR26" s="46"/>
      <c r="AS26" s="46"/>
      <c r="AT26" s="51"/>
      <c r="AU26" s="46"/>
      <c r="AV26" s="46"/>
      <c r="AW26" s="54"/>
      <c r="AX26" s="51"/>
      <c r="AY26" s="46"/>
      <c r="AZ26" s="46"/>
      <c r="BA26" s="46"/>
      <c r="BB26" s="46"/>
      <c r="BC26" s="46"/>
      <c r="BD26" s="46"/>
      <c r="BE26" s="46"/>
      <c r="BF26" s="46"/>
      <c r="BG26" s="46"/>
      <c r="BH26" s="46"/>
      <c r="BI26" s="46"/>
      <c r="BJ26" s="46"/>
      <c r="BK26" s="46"/>
      <c r="BL26" s="46"/>
      <c r="BM26" s="46"/>
      <c r="BN26" s="46"/>
      <c r="BO26" s="46"/>
      <c r="BP26" s="46"/>
      <c r="BQ26" s="46"/>
      <c r="BR26" s="46"/>
      <c r="BS26" s="54"/>
      <c r="BT26" s="46"/>
      <c r="BU26" s="54"/>
      <c r="BV26" s="46"/>
      <c r="BW26" s="46"/>
      <c r="BX26" s="46"/>
      <c r="BY26" s="46"/>
      <c r="BZ26" s="46"/>
      <c r="CA26" s="54"/>
      <c r="CB26" s="46"/>
      <c r="CC26" s="46"/>
      <c r="CD26" s="46"/>
    </row>
    <row r="27" spans="4:82" s="39" customFormat="true" ht="12" customHeight="true">
      <c r="D27" s="46"/>
      <c r="E27" s="46"/>
      <c r="F27" s="46"/>
      <c r="G27" s="46"/>
      <c r="H27" s="46"/>
      <c r="I27" s="46"/>
      <c r="J27" s="46"/>
      <c r="K27" s="46"/>
      <c r="L27" s="46"/>
      <c r="M27" s="46"/>
      <c r="N27" s="46"/>
      <c r="O27" s="46"/>
      <c r="P27" s="46"/>
      <c r="Q27" s="46"/>
      <c r="R27" s="46"/>
      <c r="S27" s="51"/>
      <c r="T27" s="46"/>
      <c r="U27" s="46"/>
      <c r="V27" s="46"/>
      <c r="W27" s="46"/>
      <c r="X27" s="46"/>
      <c r="Y27" s="46"/>
      <c r="Z27" s="51"/>
      <c r="AA27" s="51"/>
      <c r="AB27" s="51"/>
      <c r="AC27" s="51"/>
      <c r="AD27" s="51"/>
      <c r="AE27" s="46"/>
      <c r="AF27" s="51"/>
      <c r="AG27" s="46"/>
      <c r="AH27" s="46"/>
      <c r="AI27" s="51"/>
      <c r="AJ27" s="46"/>
      <c r="AK27" s="46"/>
      <c r="AL27" s="46"/>
      <c r="AM27" s="46"/>
      <c r="AN27" s="46"/>
      <c r="AO27" s="46"/>
      <c r="AP27" s="46"/>
      <c r="AQ27" s="46"/>
      <c r="AR27" s="46"/>
      <c r="AS27" s="46"/>
      <c r="AT27" s="51"/>
      <c r="AU27" s="46"/>
      <c r="AV27" s="46"/>
      <c r="AW27" s="54"/>
      <c r="AX27" s="51"/>
      <c r="AY27" s="46"/>
      <c r="AZ27" s="46"/>
      <c r="BA27" s="46"/>
      <c r="BB27" s="46"/>
      <c r="BC27" s="46"/>
      <c r="BD27" s="46"/>
      <c r="BE27" s="46"/>
      <c r="BF27" s="46"/>
      <c r="BG27" s="46"/>
      <c r="BH27" s="46"/>
      <c r="BI27" s="46"/>
      <c r="BJ27" s="46"/>
      <c r="BK27" s="46"/>
      <c r="BL27" s="46"/>
      <c r="BM27" s="46"/>
      <c r="BN27" s="46"/>
      <c r="BO27" s="46"/>
      <c r="BP27" s="46"/>
      <c r="BQ27" s="46"/>
      <c r="BR27" s="46"/>
      <c r="BS27" s="54"/>
      <c r="BT27" s="46"/>
      <c r="BU27" s="54"/>
      <c r="BV27" s="46"/>
      <c r="BW27" s="46"/>
      <c r="BX27" s="46"/>
      <c r="BY27" s="46"/>
      <c r="BZ27" s="46"/>
      <c r="CA27" s="54"/>
      <c r="CB27" s="46"/>
      <c r="CC27" s="46"/>
      <c r="CD27" s="46"/>
    </row>
    <row r="28" spans="4:82" s="39" customFormat="true" ht="12" customHeight="true">
      <c r="D28" s="46"/>
      <c r="E28" s="46"/>
      <c r="F28" s="46"/>
      <c r="G28" s="46"/>
      <c r="H28" s="46"/>
      <c r="I28" s="46"/>
      <c r="J28" s="46"/>
      <c r="K28" s="46"/>
      <c r="L28" s="46"/>
      <c r="M28" s="46"/>
      <c r="N28" s="46"/>
      <c r="O28" s="46"/>
      <c r="P28" s="46"/>
      <c r="Q28" s="46"/>
      <c r="R28" s="46"/>
      <c r="S28" s="51"/>
      <c r="T28" s="46"/>
      <c r="U28" s="46"/>
      <c r="V28" s="46"/>
      <c r="W28" s="46"/>
      <c r="X28" s="46"/>
      <c r="Y28" s="46"/>
      <c r="Z28" s="51"/>
      <c r="AA28" s="51"/>
      <c r="AB28" s="51"/>
      <c r="AC28" s="51"/>
      <c r="AD28" s="51"/>
      <c r="AE28" s="46"/>
      <c r="AF28" s="51"/>
      <c r="AG28" s="46"/>
      <c r="AH28" s="46"/>
      <c r="AI28" s="51"/>
      <c r="AJ28" s="46"/>
      <c r="AK28" s="46"/>
      <c r="AL28" s="46"/>
      <c r="AM28" s="46"/>
      <c r="AN28" s="46"/>
      <c r="AO28" s="46"/>
      <c r="AP28" s="46"/>
      <c r="AQ28" s="46"/>
      <c r="AR28" s="46"/>
      <c r="AS28" s="46"/>
      <c r="AT28" s="51"/>
      <c r="AU28" s="46"/>
      <c r="AV28" s="46"/>
      <c r="AW28" s="54"/>
      <c r="AX28" s="51"/>
      <c r="AY28" s="46"/>
      <c r="AZ28" s="46"/>
      <c r="BA28" s="46"/>
      <c r="BB28" s="46"/>
      <c r="BC28" s="46"/>
      <c r="BD28" s="46"/>
      <c r="BE28" s="46"/>
      <c r="BF28" s="46"/>
      <c r="BG28" s="46"/>
      <c r="BH28" s="46"/>
      <c r="BI28" s="46"/>
      <c r="BJ28" s="46"/>
      <c r="BK28" s="46"/>
      <c r="BL28" s="46"/>
      <c r="BM28" s="46"/>
      <c r="BN28" s="46"/>
      <c r="BO28" s="46"/>
      <c r="BP28" s="46"/>
      <c r="BQ28" s="46"/>
      <c r="BR28" s="46"/>
      <c r="BS28" s="54"/>
      <c r="BT28" s="46"/>
      <c r="BU28" s="54"/>
      <c r="BV28" s="46"/>
      <c r="BW28" s="46"/>
      <c r="BX28" s="46"/>
      <c r="BY28" s="46"/>
      <c r="BZ28" s="46"/>
      <c r="CA28" s="54"/>
      <c r="CB28" s="46"/>
      <c r="CC28" s="46"/>
      <c r="CD28" s="46"/>
    </row>
    <row r="29" spans="2:83" s="39" customFormat="true" ht="12" customHeight="true">
      <c r="B29" s="39" t="s">
        <v>34189</v>
      </c>
      <c r="D29" s="39">
        <f t="shared" ref="D29:BO29" si="0">+SUM(D11:D28)</f>
        <v>91986.57</v>
      </c>
      <c r="E29" s="39">
        <f t="shared" si="0"/>
        <v>1680.02</v>
      </c>
      <c r="F29" s="39">
        <f t="shared" si="0"/>
        <v>7609.86</v>
      </c>
      <c r="G29" s="39">
        <f t="shared" si="0"/>
        <v>40953.47</v>
      </c>
      <c r="H29" s="39">
        <f t="shared" si="0"/>
        <v>-534.7</v>
      </c>
      <c r="I29" s="39">
        <f t="shared" si="0"/>
        <v>0</v>
      </c>
      <c r="J29" s="39">
        <f t="shared" si="0"/>
        <v>753727.69</v>
      </c>
      <c r="K29" s="39">
        <f t="shared" si="0"/>
        <v>2650.27</v>
      </c>
      <c r="L29" s="39">
        <f t="shared" si="0"/>
        <v>0</v>
      </c>
      <c r="M29" s="39">
        <f t="shared" si="0"/>
        <v>27612.05</v>
      </c>
      <c r="N29" s="39">
        <f t="shared" si="0"/>
        <v>19850.45</v>
      </c>
      <c r="O29" s="39">
        <f t="shared" si="0"/>
        <v>13929.75</v>
      </c>
      <c r="P29" s="39">
        <f t="shared" si="0"/>
        <v>0</v>
      </c>
      <c r="Q29" s="39">
        <f t="shared" si="0"/>
        <v>85.33</v>
      </c>
      <c r="R29" s="39">
        <f t="shared" si="0"/>
        <v>8680.85</v>
      </c>
      <c r="S29" s="51">
        <f t="shared" si="0"/>
        <v>0</v>
      </c>
      <c r="T29" s="39">
        <f t="shared" si="0"/>
        <v>13220.05</v>
      </c>
      <c r="U29" s="39">
        <f t="shared" si="0"/>
        <v>29031.32</v>
      </c>
      <c r="V29" s="39">
        <f t="shared" si="0"/>
        <v>10927.79</v>
      </c>
      <c r="W29" s="39">
        <f t="shared" si="0"/>
        <v>23639.93</v>
      </c>
      <c r="X29" s="39">
        <f t="shared" si="0"/>
        <v>7371.97</v>
      </c>
      <c r="Y29" s="39">
        <f t="shared" si="0"/>
        <v>0</v>
      </c>
      <c r="Z29" s="51">
        <f t="shared" si="0"/>
        <v>0</v>
      </c>
      <c r="AA29" s="51">
        <f t="shared" si="0"/>
        <v>0</v>
      </c>
      <c r="AB29" s="51">
        <f t="shared" si="0"/>
        <v>0</v>
      </c>
      <c r="AC29" s="51">
        <f t="shared" si="0"/>
        <v>0</v>
      </c>
      <c r="AD29" s="51">
        <f t="shared" si="0"/>
        <v>0</v>
      </c>
      <c r="AE29" s="39">
        <f t="shared" si="0"/>
        <v>0</v>
      </c>
      <c r="AF29" s="51">
        <f t="shared" si="0"/>
        <v>0</v>
      </c>
      <c r="AG29" s="39">
        <f t="shared" si="0"/>
        <v>14060.1</v>
      </c>
      <c r="AH29" s="39">
        <f t="shared" si="0"/>
        <v>40488.71</v>
      </c>
      <c r="AI29" s="51">
        <f t="shared" si="0"/>
        <v>0</v>
      </c>
      <c r="AJ29" s="39">
        <f t="shared" si="0"/>
        <v>68789.24</v>
      </c>
      <c r="AK29" s="39">
        <f t="shared" si="0"/>
        <v>10438.32</v>
      </c>
      <c r="AL29" s="39">
        <f t="shared" si="0"/>
        <v>7105.94</v>
      </c>
      <c r="AM29" s="39">
        <f t="shared" si="0"/>
        <v>0</v>
      </c>
      <c r="AN29" s="39">
        <f t="shared" si="0"/>
        <v>0</v>
      </c>
      <c r="AO29" s="39">
        <f t="shared" si="0"/>
        <v>0</v>
      </c>
      <c r="AP29" s="39">
        <f t="shared" si="0"/>
        <v>0</v>
      </c>
      <c r="AQ29" s="39">
        <f t="shared" si="0"/>
        <v>0</v>
      </c>
      <c r="AR29" s="39">
        <f t="shared" si="0"/>
        <v>0</v>
      </c>
      <c r="AS29" s="39">
        <f t="shared" si="0"/>
        <v>0</v>
      </c>
      <c r="AT29" s="51">
        <f t="shared" si="0"/>
        <v>0</v>
      </c>
      <c r="AU29" s="39">
        <f t="shared" si="0"/>
        <v>0</v>
      </c>
      <c r="AV29" s="39">
        <f t="shared" si="0"/>
        <v>482.83</v>
      </c>
      <c r="AW29" s="54">
        <f t="shared" si="0"/>
        <v>0</v>
      </c>
      <c r="AX29" s="51">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0</v>
      </c>
      <c r="BH29" s="39">
        <f t="shared" si="0"/>
        <v>0</v>
      </c>
      <c r="BI29" s="39">
        <f t="shared" si="0"/>
        <v>40.65</v>
      </c>
      <c r="BJ29" s="39">
        <f t="shared" si="0"/>
        <v>0</v>
      </c>
      <c r="BK29" s="39">
        <f t="shared" si="0"/>
        <v>0</v>
      </c>
      <c r="BL29" s="39">
        <f t="shared" si="0"/>
        <v>0</v>
      </c>
      <c r="BM29" s="39">
        <f t="shared" si="0"/>
        <v>0</v>
      </c>
      <c r="BN29" s="39">
        <f t="shared" si="0"/>
        <v>0</v>
      </c>
      <c r="BO29" s="39">
        <f t="shared" si="0"/>
        <v>0</v>
      </c>
      <c r="BP29" s="39">
        <f t="shared" ref="BP29:CD29" si="1">+SUM(BP11:BP28)</f>
        <v>0</v>
      </c>
      <c r="BQ29" s="39">
        <f t="shared" si="1"/>
        <v>0</v>
      </c>
      <c r="BR29" s="39">
        <f t="shared" si="1"/>
        <v>0</v>
      </c>
      <c r="BS29" s="54">
        <f t="shared" si="1"/>
        <v>0</v>
      </c>
      <c r="BT29" s="39">
        <f t="shared" si="1"/>
        <v>0</v>
      </c>
      <c r="BU29" s="54">
        <f t="shared" si="1"/>
        <v>0</v>
      </c>
      <c r="BV29" s="39">
        <f t="shared" si="1"/>
        <v>0</v>
      </c>
      <c r="BW29" s="39">
        <f t="shared" si="1"/>
        <v>0</v>
      </c>
      <c r="BX29" s="39">
        <f t="shared" si="1"/>
        <v>0</v>
      </c>
      <c r="BY29" s="39">
        <f t="shared" si="1"/>
        <v>0</v>
      </c>
      <c r="BZ29" s="39">
        <f t="shared" si="1"/>
        <v>0</v>
      </c>
      <c r="CA29" s="54">
        <f t="shared" si="1"/>
        <v>0</v>
      </c>
      <c r="CB29" s="39">
        <f t="shared" si="1"/>
        <v>189250</v>
      </c>
      <c r="CC29" s="39">
        <f t="shared" si="1"/>
        <v>0</v>
      </c>
      <c r="CD29" s="39">
        <f t="shared" si="1"/>
        <v>1352.82</v>
      </c>
      <c r="CE29" s="39">
        <f>SUM(D29:CD29)</f>
        <v>1384431.28</v>
      </c>
    </row>
    <row r="30" spans="19:79" s="39" customFormat="true" ht="12" customHeight="true">
      <c r="S30" s="51"/>
      <c r="Z30" s="51"/>
      <c r="AA30" s="51"/>
      <c r="AB30" s="51"/>
      <c r="AC30" s="51"/>
      <c r="AD30" s="51"/>
      <c r="AF30" s="51"/>
      <c r="AI30" s="51"/>
      <c r="AT30" s="51"/>
      <c r="AW30" s="54"/>
      <c r="AX30" s="51"/>
      <c r="BS30" s="54"/>
      <c r="BU30" s="54"/>
      <c r="CA30" s="54"/>
    </row>
    <row r="31" spans="2:79" s="39" customFormat="true" ht="12" customHeight="true">
      <c r="B31" s="39" t="s">
        <v>34190</v>
      </c>
      <c r="S31" s="51"/>
      <c r="Z31" s="51"/>
      <c r="AA31" s="51"/>
      <c r="AB31" s="51"/>
      <c r="AC31" s="51"/>
      <c r="AD31" s="51"/>
      <c r="AF31" s="51"/>
      <c r="AI31" s="51"/>
      <c r="AT31" s="51"/>
      <c r="AW31" s="54"/>
      <c r="AX31" s="51"/>
      <c r="BS31" s="54"/>
      <c r="BU31" s="54"/>
      <c r="CA31" s="54"/>
    </row>
    <row r="32" spans="4:82" s="39" customFormat="true" ht="12" customHeight="true">
      <c r="D32" s="46"/>
      <c r="E32" s="46">
        <f>-45495.86*-1</f>
        <v>45495.86</v>
      </c>
      <c r="F32" s="46">
        <f>-30552.96*-1</f>
        <v>30552.96</v>
      </c>
      <c r="G32" s="46"/>
      <c r="H32" s="46">
        <f>-33619.22*-1</f>
        <v>33619.22</v>
      </c>
      <c r="I32" s="46"/>
      <c r="J32" s="46"/>
      <c r="K32" s="46">
        <f>-600386.92*A1</f>
        <v>600386.92</v>
      </c>
      <c r="L32" s="46"/>
      <c r="M32" s="46"/>
      <c r="N32" s="46">
        <f>-15474.62*A1</f>
        <v>15474.62</v>
      </c>
      <c r="O32" s="46">
        <f>-123892.52*A1</f>
        <v>123892.52</v>
      </c>
      <c r="P32" s="46">
        <f>-8200.44*A1</f>
        <v>8200.44</v>
      </c>
      <c r="Q32" s="46">
        <f>-1365.52*-1</f>
        <v>1365.52</v>
      </c>
      <c r="R32" s="46"/>
      <c r="S32" s="51"/>
      <c r="T32" s="46">
        <f>-74579.04*-1</f>
        <v>74579.04</v>
      </c>
      <c r="U32" s="46"/>
      <c r="V32" s="46">
        <f>-52695.25*-1</f>
        <v>52695.25</v>
      </c>
      <c r="W32" s="46"/>
      <c r="X32" s="46"/>
      <c r="Y32" s="46"/>
      <c r="Z32" s="51"/>
      <c r="AA32" s="51"/>
      <c r="AB32" s="51"/>
      <c r="AC32" s="51"/>
      <c r="AD32" s="51"/>
      <c r="AE32" s="46"/>
      <c r="AF32" s="51"/>
      <c r="AG32" s="46">
        <f>-330736.34*-1</f>
        <v>330736.34</v>
      </c>
      <c r="AH32" s="46">
        <f>-27059.97*-1</f>
        <v>27059.97</v>
      </c>
      <c r="AI32" s="51"/>
      <c r="AJ32" s="46">
        <f>-173110.73*-1</f>
        <v>173110.73</v>
      </c>
      <c r="AK32" s="46">
        <f>-17413.25*-1</f>
        <v>17413.25</v>
      </c>
      <c r="AL32" s="46">
        <f>-5309.94*-1</f>
        <v>5309.94</v>
      </c>
      <c r="AM32" s="46"/>
      <c r="AN32" s="46"/>
      <c r="AO32" s="46"/>
      <c r="AP32" s="46">
        <f>-30350*-1</f>
        <v>30350</v>
      </c>
      <c r="AQ32" s="46">
        <f>-41000*-1</f>
        <v>41000</v>
      </c>
      <c r="AR32" s="46">
        <f>-20000*-1</f>
        <v>20000</v>
      </c>
      <c r="AS32" s="46">
        <f>-16000*-1</f>
        <v>16000</v>
      </c>
      <c r="AT32" s="51"/>
      <c r="AU32" s="46">
        <f>-5350*-1</f>
        <v>5350</v>
      </c>
      <c r="AV32" s="46">
        <f>-112066.16*-1</f>
        <v>112066.16</v>
      </c>
      <c r="AW32" s="54"/>
      <c r="AX32" s="51"/>
      <c r="AY32" s="46">
        <f>-1470*-1</f>
        <v>1470</v>
      </c>
      <c r="AZ32" s="46">
        <f>-7593.31*-1</f>
        <v>7593.31</v>
      </c>
      <c r="BA32" s="46">
        <f>-27011.02*-1</f>
        <v>27011.02</v>
      </c>
      <c r="BB32" s="46"/>
      <c r="BC32" s="46">
        <f>-37780.94*-1</f>
        <v>37780.94</v>
      </c>
      <c r="BD32" s="46"/>
      <c r="BE32" s="46">
        <f>-6909.99*-1</f>
        <v>6909.99</v>
      </c>
      <c r="BF32" s="46">
        <f>-2122.54*-1</f>
        <v>2122.54</v>
      </c>
      <c r="BG32" s="46"/>
      <c r="BH32" s="46">
        <f>-16255.62*-1</f>
        <v>16255.62</v>
      </c>
      <c r="BI32" s="46">
        <f>-18838.19*-1</f>
        <v>18838.19</v>
      </c>
      <c r="BJ32" s="46">
        <f>-3171.14*-1</f>
        <v>3171.14</v>
      </c>
      <c r="BK32" s="46">
        <f>-717.01*-1</f>
        <v>717.01</v>
      </c>
      <c r="BL32" s="46">
        <f>-4190.19*-1</f>
        <v>4190.19</v>
      </c>
      <c r="BM32" s="46">
        <f>-4017.89*-1</f>
        <v>4017.89</v>
      </c>
      <c r="BN32" s="46">
        <f>-6533.19*-1</f>
        <v>6533.19</v>
      </c>
      <c r="BO32" s="46">
        <f>-13156.65*-1</f>
        <v>13156.65</v>
      </c>
      <c r="BP32" s="46">
        <f>-12696.79*-1</f>
        <v>12696.79</v>
      </c>
      <c r="BQ32" s="46">
        <f>-482.76*-1</f>
        <v>482.76</v>
      </c>
      <c r="BR32" s="46">
        <f>-5141.23*-1</f>
        <v>5141.23</v>
      </c>
      <c r="BS32" s="54"/>
      <c r="BT32" s="46">
        <f>-5335.78*-1</f>
        <v>5335.78</v>
      </c>
      <c r="BU32" s="54"/>
      <c r="BV32" s="46">
        <f>-1801.61*-1</f>
        <v>1801.61</v>
      </c>
      <c r="BW32" s="46">
        <f>-3442.58*-1</f>
        <v>3442.58</v>
      </c>
      <c r="BX32" s="46">
        <f>-110593.01*-1</f>
        <v>110593.01</v>
      </c>
      <c r="BY32" s="46">
        <f>-3056.98*-1</f>
        <v>3056.98</v>
      </c>
      <c r="BZ32" s="46"/>
      <c r="CA32" s="54"/>
      <c r="CB32" s="46"/>
      <c r="CC32" s="46"/>
      <c r="CD32" s="46">
        <f>-33710.31*-1</f>
        <v>33710.31</v>
      </c>
    </row>
    <row r="33" spans="4:82" s="39" customFormat="true" ht="12" customHeight="true">
      <c r="D33" s="46"/>
      <c r="E33" s="46"/>
      <c r="F33" s="46"/>
      <c r="G33" s="46"/>
      <c r="H33" s="46"/>
      <c r="I33" s="46"/>
      <c r="J33" s="46"/>
      <c r="K33" s="46"/>
      <c r="L33" s="46"/>
      <c r="M33" s="46"/>
      <c r="N33" s="46"/>
      <c r="O33" s="46"/>
      <c r="P33" s="46">
        <f>-124.33*-1</f>
        <v>124.33</v>
      </c>
      <c r="Q33" s="46"/>
      <c r="R33" s="46"/>
      <c r="S33" s="51"/>
      <c r="T33" s="46"/>
      <c r="U33" s="46"/>
      <c r="V33" s="46"/>
      <c r="W33" s="46"/>
      <c r="X33" s="46"/>
      <c r="Y33" s="46"/>
      <c r="Z33" s="51"/>
      <c r="AA33" s="51"/>
      <c r="AB33" s="51"/>
      <c r="AC33" s="51"/>
      <c r="AD33" s="51"/>
      <c r="AE33" s="46"/>
      <c r="AF33" s="51"/>
      <c r="AG33" s="46"/>
      <c r="AH33" s="46"/>
      <c r="AI33" s="51"/>
      <c r="AJ33" s="46"/>
      <c r="AK33" s="46"/>
      <c r="AL33" s="46"/>
      <c r="AM33" s="46"/>
      <c r="AN33" s="46"/>
      <c r="AO33" s="46"/>
      <c r="AP33" s="46"/>
      <c r="AQ33" s="46"/>
      <c r="AR33" s="46"/>
      <c r="AS33" s="46"/>
      <c r="AT33" s="51"/>
      <c r="AU33" s="46"/>
      <c r="AV33" s="46"/>
      <c r="AW33" s="54"/>
      <c r="AX33" s="51"/>
      <c r="AY33" s="46"/>
      <c r="AZ33" s="46"/>
      <c r="BA33" s="46"/>
      <c r="BB33" s="46"/>
      <c r="BC33" s="46"/>
      <c r="BD33" s="46"/>
      <c r="BE33" s="46"/>
      <c r="BF33" s="46"/>
      <c r="BG33" s="46"/>
      <c r="BH33" s="46"/>
      <c r="BI33" s="46"/>
      <c r="BJ33" s="46"/>
      <c r="BK33" s="46"/>
      <c r="BL33" s="46"/>
      <c r="BM33" s="46"/>
      <c r="BN33" s="46"/>
      <c r="BO33" s="46"/>
      <c r="BP33" s="46"/>
      <c r="BQ33" s="46"/>
      <c r="BR33" s="46"/>
      <c r="BS33" s="54"/>
      <c r="BT33" s="46"/>
      <c r="BU33" s="54"/>
      <c r="BV33" s="46"/>
      <c r="BW33" s="46"/>
      <c r="BX33" s="46"/>
      <c r="BY33" s="46"/>
      <c r="BZ33" s="46"/>
      <c r="CA33" s="54"/>
      <c r="CB33" s="46"/>
      <c r="CC33" s="46"/>
      <c r="CD33" s="46"/>
    </row>
    <row r="34" spans="4:82" s="39" customFormat="true" ht="12" customHeight="true">
      <c r="D34" s="46"/>
      <c r="E34" s="46"/>
      <c r="F34" s="46"/>
      <c r="G34" s="46"/>
      <c r="H34" s="46"/>
      <c r="I34" s="46"/>
      <c r="J34" s="46"/>
      <c r="K34" s="46"/>
      <c r="L34" s="46"/>
      <c r="M34" s="46"/>
      <c r="N34" s="46"/>
      <c r="O34" s="46"/>
      <c r="P34" s="46">
        <f>-30000*-1</f>
        <v>30000</v>
      </c>
      <c r="Q34" s="46"/>
      <c r="R34" s="46"/>
      <c r="S34" s="51"/>
      <c r="T34" s="46"/>
      <c r="U34" s="46"/>
      <c r="V34" s="46"/>
      <c r="W34" s="46"/>
      <c r="X34" s="46"/>
      <c r="Y34" s="46"/>
      <c r="Z34" s="51"/>
      <c r="AA34" s="51"/>
      <c r="AB34" s="51"/>
      <c r="AC34" s="51"/>
      <c r="AD34" s="51"/>
      <c r="AE34" s="46"/>
      <c r="AF34" s="51"/>
      <c r="AG34" s="46"/>
      <c r="AH34" s="46"/>
      <c r="AI34" s="51"/>
      <c r="AJ34" s="46"/>
      <c r="AK34" s="46"/>
      <c r="AL34" s="46"/>
      <c r="AM34" s="46"/>
      <c r="AN34" s="46"/>
      <c r="AO34" s="46"/>
      <c r="AP34" s="46"/>
      <c r="AQ34" s="46"/>
      <c r="AR34" s="46"/>
      <c r="AS34" s="46"/>
      <c r="AT34" s="51"/>
      <c r="AU34" s="46"/>
      <c r="AV34" s="46"/>
      <c r="AW34" s="54"/>
      <c r="AX34" s="51"/>
      <c r="AY34" s="46"/>
      <c r="AZ34" s="46"/>
      <c r="BA34" s="46"/>
      <c r="BB34" s="46"/>
      <c r="BC34" s="46"/>
      <c r="BD34" s="46"/>
      <c r="BE34" s="46"/>
      <c r="BF34" s="46"/>
      <c r="BG34" s="46"/>
      <c r="BH34" s="46"/>
      <c r="BI34" s="46"/>
      <c r="BJ34" s="46"/>
      <c r="BK34" s="46"/>
      <c r="BL34" s="46"/>
      <c r="BM34" s="46"/>
      <c r="BN34" s="46"/>
      <c r="BO34" s="46"/>
      <c r="BP34" s="46"/>
      <c r="BQ34" s="46"/>
      <c r="BR34" s="46"/>
      <c r="BS34" s="54"/>
      <c r="BT34" s="46"/>
      <c r="BU34" s="54"/>
      <c r="BV34" s="46"/>
      <c r="BW34" s="46"/>
      <c r="BX34" s="46"/>
      <c r="BY34" s="46"/>
      <c r="BZ34" s="46"/>
      <c r="CA34" s="54"/>
      <c r="CB34" s="46"/>
      <c r="CC34" s="46"/>
      <c r="CD34" s="46"/>
    </row>
    <row r="35" spans="4:82" s="39" customFormat="true" ht="12" customHeight="true">
      <c r="D35" s="46"/>
      <c r="E35" s="46"/>
      <c r="F35" s="46"/>
      <c r="G35" s="46"/>
      <c r="H35" s="46"/>
      <c r="I35" s="46"/>
      <c r="J35" s="46"/>
      <c r="K35" s="46"/>
      <c r="L35" s="46"/>
      <c r="M35" s="46"/>
      <c r="N35" s="46"/>
      <c r="O35" s="46"/>
      <c r="P35" s="46"/>
      <c r="Q35" s="46"/>
      <c r="R35" s="46"/>
      <c r="S35" s="51"/>
      <c r="T35" s="46"/>
      <c r="U35" s="46"/>
      <c r="V35" s="46"/>
      <c r="W35" s="46"/>
      <c r="X35" s="46"/>
      <c r="Y35" s="46"/>
      <c r="Z35" s="51"/>
      <c r="AA35" s="51"/>
      <c r="AB35" s="51"/>
      <c r="AC35" s="51"/>
      <c r="AD35" s="51"/>
      <c r="AE35" s="46"/>
      <c r="AF35" s="51"/>
      <c r="AG35" s="46"/>
      <c r="AH35" s="46"/>
      <c r="AI35" s="51"/>
      <c r="AJ35" s="46"/>
      <c r="AK35" s="46"/>
      <c r="AL35" s="46"/>
      <c r="AM35" s="46"/>
      <c r="AN35" s="46"/>
      <c r="AO35" s="46"/>
      <c r="AP35" s="46"/>
      <c r="AQ35" s="46"/>
      <c r="AR35" s="46"/>
      <c r="AS35" s="46"/>
      <c r="AT35" s="51"/>
      <c r="AU35" s="46"/>
      <c r="AV35" s="46"/>
      <c r="AW35" s="54"/>
      <c r="AX35" s="51"/>
      <c r="AY35" s="46"/>
      <c r="AZ35" s="46"/>
      <c r="BA35" s="46"/>
      <c r="BB35" s="46"/>
      <c r="BC35" s="46"/>
      <c r="BD35" s="46"/>
      <c r="BE35" s="46"/>
      <c r="BF35" s="46"/>
      <c r="BG35" s="46"/>
      <c r="BH35" s="46"/>
      <c r="BI35" s="46"/>
      <c r="BJ35" s="46"/>
      <c r="BK35" s="46"/>
      <c r="BL35" s="46"/>
      <c r="BM35" s="46"/>
      <c r="BN35" s="46"/>
      <c r="BO35" s="46"/>
      <c r="BP35" s="46"/>
      <c r="BQ35" s="46"/>
      <c r="BR35" s="46"/>
      <c r="BS35" s="54"/>
      <c r="BT35" s="46"/>
      <c r="BU35" s="54"/>
      <c r="BV35" s="46"/>
      <c r="BW35" s="46"/>
      <c r="BX35" s="46"/>
      <c r="BY35" s="46"/>
      <c r="BZ35" s="46"/>
      <c r="CA35" s="54"/>
      <c r="CB35" s="46"/>
      <c r="CC35" s="46"/>
      <c r="CD35" s="46"/>
    </row>
    <row r="36" spans="4:82" s="39" customFormat="true" ht="12" customHeight="true">
      <c r="D36" s="46"/>
      <c r="E36" s="46"/>
      <c r="F36" s="46"/>
      <c r="G36" s="46"/>
      <c r="H36" s="46"/>
      <c r="I36" s="46"/>
      <c r="J36" s="46"/>
      <c r="K36" s="46"/>
      <c r="L36" s="46"/>
      <c r="M36" s="46"/>
      <c r="N36" s="46"/>
      <c r="O36" s="46"/>
      <c r="P36" s="46"/>
      <c r="Q36" s="46"/>
      <c r="R36" s="46"/>
      <c r="S36" s="51"/>
      <c r="T36" s="46"/>
      <c r="U36" s="46"/>
      <c r="V36" s="46"/>
      <c r="W36" s="46"/>
      <c r="X36" s="46"/>
      <c r="Y36" s="46"/>
      <c r="Z36" s="51"/>
      <c r="AA36" s="51"/>
      <c r="AB36" s="51"/>
      <c r="AC36" s="51"/>
      <c r="AD36" s="51"/>
      <c r="AE36" s="46"/>
      <c r="AF36" s="51"/>
      <c r="AG36" s="46"/>
      <c r="AH36" s="46"/>
      <c r="AI36" s="51"/>
      <c r="AJ36" s="46"/>
      <c r="AK36" s="46"/>
      <c r="AL36" s="46"/>
      <c r="AM36" s="46"/>
      <c r="AN36" s="46"/>
      <c r="AO36" s="46"/>
      <c r="AP36" s="46"/>
      <c r="AQ36" s="46"/>
      <c r="AR36" s="46"/>
      <c r="AS36" s="46"/>
      <c r="AT36" s="51"/>
      <c r="AU36" s="46"/>
      <c r="AV36" s="46"/>
      <c r="AW36" s="54"/>
      <c r="AX36" s="51"/>
      <c r="AY36" s="46"/>
      <c r="AZ36" s="46"/>
      <c r="BA36" s="46"/>
      <c r="BB36" s="46"/>
      <c r="BC36" s="46"/>
      <c r="BD36" s="46"/>
      <c r="BE36" s="46"/>
      <c r="BF36" s="46"/>
      <c r="BG36" s="46"/>
      <c r="BH36" s="46"/>
      <c r="BI36" s="46"/>
      <c r="BJ36" s="46"/>
      <c r="BK36" s="46"/>
      <c r="BL36" s="46"/>
      <c r="BM36" s="46"/>
      <c r="BN36" s="46"/>
      <c r="BO36" s="46"/>
      <c r="BP36" s="46"/>
      <c r="BQ36" s="46"/>
      <c r="BR36" s="46"/>
      <c r="BS36" s="54"/>
      <c r="BT36" s="46"/>
      <c r="BU36" s="54"/>
      <c r="BV36" s="46"/>
      <c r="BW36" s="46"/>
      <c r="BX36" s="46"/>
      <c r="BY36" s="46"/>
      <c r="BZ36" s="46"/>
      <c r="CA36" s="54"/>
      <c r="CB36" s="46"/>
      <c r="CC36" s="46"/>
      <c r="CD36" s="46"/>
    </row>
    <row r="37" spans="4:82" s="39" customFormat="true" ht="12" customHeight="true">
      <c r="D37" s="46"/>
      <c r="E37" s="46"/>
      <c r="F37" s="46"/>
      <c r="G37" s="46"/>
      <c r="H37" s="46"/>
      <c r="I37" s="46"/>
      <c r="J37" s="46"/>
      <c r="K37" s="46"/>
      <c r="L37" s="46"/>
      <c r="M37" s="46"/>
      <c r="N37" s="46"/>
      <c r="O37" s="46"/>
      <c r="P37" s="46"/>
      <c r="Q37" s="46"/>
      <c r="R37" s="46"/>
      <c r="S37" s="51"/>
      <c r="T37" s="46"/>
      <c r="U37" s="46"/>
      <c r="V37" s="46"/>
      <c r="W37" s="46"/>
      <c r="X37" s="46"/>
      <c r="Y37" s="46"/>
      <c r="Z37" s="51"/>
      <c r="AA37" s="51"/>
      <c r="AB37" s="51"/>
      <c r="AC37" s="51"/>
      <c r="AD37" s="51"/>
      <c r="AE37" s="46"/>
      <c r="AF37" s="51"/>
      <c r="AG37" s="46"/>
      <c r="AH37" s="46"/>
      <c r="AI37" s="51"/>
      <c r="AJ37" s="46"/>
      <c r="AK37" s="46"/>
      <c r="AL37" s="46"/>
      <c r="AM37" s="46"/>
      <c r="AN37" s="46"/>
      <c r="AO37" s="46"/>
      <c r="AP37" s="46"/>
      <c r="AQ37" s="46"/>
      <c r="AR37" s="46"/>
      <c r="AS37" s="46"/>
      <c r="AT37" s="51"/>
      <c r="AU37" s="46"/>
      <c r="AV37" s="46"/>
      <c r="AW37" s="54"/>
      <c r="AX37" s="51"/>
      <c r="AY37" s="46"/>
      <c r="AZ37" s="46"/>
      <c r="BA37" s="46"/>
      <c r="BB37" s="46"/>
      <c r="BC37" s="46"/>
      <c r="BD37" s="46"/>
      <c r="BE37" s="46"/>
      <c r="BF37" s="46"/>
      <c r="BG37" s="46"/>
      <c r="BH37" s="46"/>
      <c r="BI37" s="46"/>
      <c r="BJ37" s="46"/>
      <c r="BK37" s="46"/>
      <c r="BL37" s="46"/>
      <c r="BM37" s="46"/>
      <c r="BN37" s="46"/>
      <c r="BO37" s="46"/>
      <c r="BP37" s="46"/>
      <c r="BQ37" s="46"/>
      <c r="BR37" s="46"/>
      <c r="BS37" s="54"/>
      <c r="BT37" s="46"/>
      <c r="BU37" s="54"/>
      <c r="BV37" s="46"/>
      <c r="BW37" s="46"/>
      <c r="BX37" s="46"/>
      <c r="BY37" s="46"/>
      <c r="BZ37" s="46"/>
      <c r="CA37" s="54"/>
      <c r="CB37" s="46"/>
      <c r="CC37" s="46"/>
      <c r="CD37" s="46"/>
    </row>
    <row r="38" spans="4:82" s="39" customFormat="true" ht="12" customHeight="true">
      <c r="D38" s="46"/>
      <c r="E38" s="46"/>
      <c r="F38" s="46"/>
      <c r="G38" s="46"/>
      <c r="H38" s="46"/>
      <c r="I38" s="46"/>
      <c r="J38" s="46"/>
      <c r="K38" s="46"/>
      <c r="L38" s="46"/>
      <c r="M38" s="46"/>
      <c r="N38" s="46"/>
      <c r="O38" s="46"/>
      <c r="P38" s="46"/>
      <c r="Q38" s="46"/>
      <c r="R38" s="46"/>
      <c r="S38" s="51"/>
      <c r="T38" s="46"/>
      <c r="U38" s="46"/>
      <c r="V38" s="46"/>
      <c r="W38" s="46"/>
      <c r="X38" s="46"/>
      <c r="Y38" s="46"/>
      <c r="Z38" s="51"/>
      <c r="AA38" s="51"/>
      <c r="AB38" s="51"/>
      <c r="AC38" s="51"/>
      <c r="AD38" s="51"/>
      <c r="AE38" s="46"/>
      <c r="AF38" s="51"/>
      <c r="AG38" s="46"/>
      <c r="AH38" s="46"/>
      <c r="AI38" s="51"/>
      <c r="AJ38" s="46"/>
      <c r="AK38" s="46"/>
      <c r="AL38" s="46"/>
      <c r="AM38" s="46"/>
      <c r="AN38" s="46"/>
      <c r="AO38" s="46"/>
      <c r="AP38" s="46"/>
      <c r="AQ38" s="46"/>
      <c r="AR38" s="46"/>
      <c r="AS38" s="46"/>
      <c r="AT38" s="51"/>
      <c r="AU38" s="46"/>
      <c r="AV38" s="46"/>
      <c r="AW38" s="54"/>
      <c r="AX38" s="51"/>
      <c r="AY38" s="46"/>
      <c r="AZ38" s="46"/>
      <c r="BA38" s="46"/>
      <c r="BB38" s="46"/>
      <c r="BC38" s="46"/>
      <c r="BD38" s="46"/>
      <c r="BE38" s="46"/>
      <c r="BF38" s="46"/>
      <c r="BG38" s="46"/>
      <c r="BH38" s="46"/>
      <c r="BI38" s="46"/>
      <c r="BJ38" s="46"/>
      <c r="BK38" s="46"/>
      <c r="BL38" s="46"/>
      <c r="BM38" s="46"/>
      <c r="BN38" s="46"/>
      <c r="BO38" s="46"/>
      <c r="BP38" s="46"/>
      <c r="BQ38" s="46"/>
      <c r="BR38" s="46"/>
      <c r="BS38" s="54"/>
      <c r="BT38" s="46"/>
      <c r="BU38" s="54"/>
      <c r="BV38" s="46"/>
      <c r="BW38" s="46"/>
      <c r="BX38" s="46"/>
      <c r="BY38" s="46"/>
      <c r="BZ38" s="46"/>
      <c r="CA38" s="54"/>
      <c r="CB38" s="46"/>
      <c r="CC38" s="46"/>
      <c r="CD38" s="46"/>
    </row>
    <row r="39" spans="4:82" s="39" customFormat="true" ht="12" customHeight="true">
      <c r="D39" s="46"/>
      <c r="E39" s="46"/>
      <c r="F39" s="46"/>
      <c r="G39" s="46"/>
      <c r="H39" s="46"/>
      <c r="I39" s="46"/>
      <c r="J39" s="46"/>
      <c r="K39" s="46"/>
      <c r="L39" s="46"/>
      <c r="M39" s="46"/>
      <c r="N39" s="46"/>
      <c r="O39" s="46"/>
      <c r="P39" s="46"/>
      <c r="Q39" s="46"/>
      <c r="R39" s="46"/>
      <c r="S39" s="51"/>
      <c r="T39" s="46"/>
      <c r="U39" s="46"/>
      <c r="V39" s="46"/>
      <c r="W39" s="46"/>
      <c r="X39" s="46"/>
      <c r="Y39" s="46"/>
      <c r="Z39" s="51"/>
      <c r="AA39" s="51"/>
      <c r="AB39" s="51"/>
      <c r="AC39" s="51"/>
      <c r="AD39" s="51"/>
      <c r="AE39" s="46"/>
      <c r="AF39" s="51"/>
      <c r="AG39" s="46"/>
      <c r="AH39" s="46"/>
      <c r="AI39" s="51"/>
      <c r="AJ39" s="46"/>
      <c r="AK39" s="46"/>
      <c r="AL39" s="46"/>
      <c r="AM39" s="46"/>
      <c r="AN39" s="46"/>
      <c r="AO39" s="46"/>
      <c r="AP39" s="46"/>
      <c r="AQ39" s="46"/>
      <c r="AR39" s="46"/>
      <c r="AS39" s="46"/>
      <c r="AT39" s="51"/>
      <c r="AU39" s="46"/>
      <c r="AV39" s="46"/>
      <c r="AW39" s="54"/>
      <c r="AX39" s="51"/>
      <c r="AY39" s="46"/>
      <c r="AZ39" s="46"/>
      <c r="BA39" s="46"/>
      <c r="BB39" s="46"/>
      <c r="BC39" s="46"/>
      <c r="BD39" s="46"/>
      <c r="BE39" s="46"/>
      <c r="BF39" s="46"/>
      <c r="BG39" s="46"/>
      <c r="BH39" s="46"/>
      <c r="BI39" s="46"/>
      <c r="BJ39" s="46"/>
      <c r="BK39" s="46"/>
      <c r="BL39" s="46"/>
      <c r="BM39" s="46"/>
      <c r="BN39" s="46"/>
      <c r="BO39" s="46"/>
      <c r="BP39" s="46"/>
      <c r="BQ39" s="46"/>
      <c r="BR39" s="46"/>
      <c r="BS39" s="54"/>
      <c r="BT39" s="46"/>
      <c r="BU39" s="54"/>
      <c r="BV39" s="46"/>
      <c r="BW39" s="46"/>
      <c r="BX39" s="46"/>
      <c r="BY39" s="46"/>
      <c r="BZ39" s="46"/>
      <c r="CA39" s="54"/>
      <c r="CB39" s="46"/>
      <c r="CC39" s="46"/>
      <c r="CD39" s="46"/>
    </row>
    <row r="40" spans="4:82" s="39" customFormat="true" ht="12" customHeight="true">
      <c r="D40" s="46"/>
      <c r="E40" s="46"/>
      <c r="F40" s="46"/>
      <c r="G40" s="46"/>
      <c r="H40" s="46"/>
      <c r="I40" s="46"/>
      <c r="J40" s="46"/>
      <c r="K40" s="46"/>
      <c r="L40" s="46"/>
      <c r="M40" s="46"/>
      <c r="N40" s="46"/>
      <c r="O40" s="46"/>
      <c r="P40" s="46"/>
      <c r="Q40" s="46"/>
      <c r="R40" s="46"/>
      <c r="S40" s="51"/>
      <c r="T40" s="46"/>
      <c r="U40" s="46"/>
      <c r="V40" s="46"/>
      <c r="W40" s="46"/>
      <c r="X40" s="46"/>
      <c r="Y40" s="46"/>
      <c r="Z40" s="51"/>
      <c r="AA40" s="51"/>
      <c r="AB40" s="51"/>
      <c r="AC40" s="51"/>
      <c r="AD40" s="51"/>
      <c r="AE40" s="46"/>
      <c r="AF40" s="51"/>
      <c r="AG40" s="46"/>
      <c r="AH40" s="46"/>
      <c r="AI40" s="51"/>
      <c r="AJ40" s="46"/>
      <c r="AK40" s="46"/>
      <c r="AL40" s="46"/>
      <c r="AM40" s="46"/>
      <c r="AN40" s="46"/>
      <c r="AO40" s="46"/>
      <c r="AP40" s="46"/>
      <c r="AQ40" s="46"/>
      <c r="AR40" s="46"/>
      <c r="AS40" s="46"/>
      <c r="AT40" s="51"/>
      <c r="AU40" s="46"/>
      <c r="AV40" s="46"/>
      <c r="AW40" s="54"/>
      <c r="AX40" s="51"/>
      <c r="AY40" s="46"/>
      <c r="AZ40" s="46"/>
      <c r="BA40" s="46"/>
      <c r="BB40" s="46"/>
      <c r="BC40" s="46"/>
      <c r="BD40" s="46"/>
      <c r="BE40" s="46"/>
      <c r="BF40" s="46"/>
      <c r="BG40" s="46"/>
      <c r="BH40" s="46"/>
      <c r="BI40" s="46"/>
      <c r="BJ40" s="46"/>
      <c r="BK40" s="46"/>
      <c r="BL40" s="46"/>
      <c r="BM40" s="46"/>
      <c r="BN40" s="46"/>
      <c r="BO40" s="46"/>
      <c r="BP40" s="46"/>
      <c r="BQ40" s="46"/>
      <c r="BR40" s="46"/>
      <c r="BS40" s="54"/>
      <c r="BT40" s="46"/>
      <c r="BU40" s="54"/>
      <c r="BV40" s="46"/>
      <c r="BW40" s="46"/>
      <c r="BX40" s="46"/>
      <c r="BY40" s="46"/>
      <c r="BZ40" s="46"/>
      <c r="CA40" s="54"/>
      <c r="CB40" s="46"/>
      <c r="CC40" s="46"/>
      <c r="CD40" s="46"/>
    </row>
    <row r="41" spans="4:82" s="39" customFormat="true" ht="12" customHeight="true">
      <c r="D41" s="46"/>
      <c r="E41" s="46"/>
      <c r="F41" s="46"/>
      <c r="G41" s="46"/>
      <c r="H41" s="46"/>
      <c r="I41" s="46"/>
      <c r="J41" s="46"/>
      <c r="K41" s="46"/>
      <c r="L41" s="46"/>
      <c r="M41" s="46"/>
      <c r="N41" s="46"/>
      <c r="O41" s="46"/>
      <c r="P41" s="46"/>
      <c r="Q41" s="46"/>
      <c r="R41" s="46"/>
      <c r="S41" s="51"/>
      <c r="T41" s="46"/>
      <c r="U41" s="46"/>
      <c r="V41" s="46"/>
      <c r="W41" s="46"/>
      <c r="X41" s="46"/>
      <c r="Y41" s="46"/>
      <c r="Z41" s="51"/>
      <c r="AA41" s="51"/>
      <c r="AB41" s="51"/>
      <c r="AC41" s="51"/>
      <c r="AD41" s="51"/>
      <c r="AE41" s="46"/>
      <c r="AF41" s="51"/>
      <c r="AG41" s="46"/>
      <c r="AH41" s="46"/>
      <c r="AI41" s="51"/>
      <c r="AJ41" s="46"/>
      <c r="AK41" s="46"/>
      <c r="AL41" s="46"/>
      <c r="AM41" s="46"/>
      <c r="AN41" s="46"/>
      <c r="AO41" s="46"/>
      <c r="AP41" s="46"/>
      <c r="AQ41" s="46"/>
      <c r="AR41" s="46"/>
      <c r="AS41" s="46"/>
      <c r="AT41" s="51"/>
      <c r="AU41" s="46"/>
      <c r="AV41" s="46"/>
      <c r="AW41" s="54"/>
      <c r="AX41" s="51"/>
      <c r="AY41" s="46"/>
      <c r="AZ41" s="46"/>
      <c r="BA41" s="46"/>
      <c r="BB41" s="46"/>
      <c r="BC41" s="46"/>
      <c r="BD41" s="46"/>
      <c r="BE41" s="46"/>
      <c r="BF41" s="46"/>
      <c r="BG41" s="46"/>
      <c r="BH41" s="46"/>
      <c r="BI41" s="46"/>
      <c r="BJ41" s="46"/>
      <c r="BK41" s="46"/>
      <c r="BL41" s="46"/>
      <c r="BM41" s="46"/>
      <c r="BN41" s="46"/>
      <c r="BO41" s="46"/>
      <c r="BP41" s="46"/>
      <c r="BQ41" s="46"/>
      <c r="BR41" s="46"/>
      <c r="BS41" s="54"/>
      <c r="BT41" s="46"/>
      <c r="BU41" s="54"/>
      <c r="BV41" s="46"/>
      <c r="BW41" s="46"/>
      <c r="BX41" s="46"/>
      <c r="BY41" s="46"/>
      <c r="BZ41" s="46"/>
      <c r="CA41" s="54"/>
      <c r="CB41" s="46"/>
      <c r="CC41" s="46"/>
      <c r="CD41" s="46"/>
    </row>
    <row r="42" spans="4:82" s="39" customFormat="true" ht="12" customHeight="true">
      <c r="D42" s="46"/>
      <c r="E42" s="46"/>
      <c r="F42" s="46"/>
      <c r="G42" s="46"/>
      <c r="H42" s="46"/>
      <c r="I42" s="46"/>
      <c r="J42" s="46"/>
      <c r="K42" s="46"/>
      <c r="L42" s="46"/>
      <c r="M42" s="46"/>
      <c r="N42" s="46"/>
      <c r="O42" s="46"/>
      <c r="P42" s="46"/>
      <c r="Q42" s="46"/>
      <c r="R42" s="46"/>
      <c r="S42" s="51"/>
      <c r="T42" s="46"/>
      <c r="U42" s="46"/>
      <c r="V42" s="46"/>
      <c r="W42" s="46"/>
      <c r="X42" s="46"/>
      <c r="Y42" s="46"/>
      <c r="Z42" s="51"/>
      <c r="AA42" s="51"/>
      <c r="AB42" s="51"/>
      <c r="AC42" s="51"/>
      <c r="AD42" s="51"/>
      <c r="AE42" s="46"/>
      <c r="AF42" s="51"/>
      <c r="AG42" s="46"/>
      <c r="AH42" s="46"/>
      <c r="AI42" s="51"/>
      <c r="AJ42" s="46"/>
      <c r="AK42" s="46"/>
      <c r="AL42" s="46"/>
      <c r="AM42" s="46"/>
      <c r="AN42" s="46"/>
      <c r="AO42" s="46"/>
      <c r="AP42" s="46"/>
      <c r="AQ42" s="46"/>
      <c r="AR42" s="46"/>
      <c r="AS42" s="46"/>
      <c r="AT42" s="51"/>
      <c r="AU42" s="46"/>
      <c r="AV42" s="46"/>
      <c r="AW42" s="54"/>
      <c r="AX42" s="51"/>
      <c r="AY42" s="46"/>
      <c r="AZ42" s="46"/>
      <c r="BA42" s="46"/>
      <c r="BB42" s="46"/>
      <c r="BC42" s="46"/>
      <c r="BD42" s="46"/>
      <c r="BE42" s="46"/>
      <c r="BF42" s="46"/>
      <c r="BG42" s="46"/>
      <c r="BH42" s="46"/>
      <c r="BI42" s="46"/>
      <c r="BJ42" s="46"/>
      <c r="BK42" s="46"/>
      <c r="BL42" s="46"/>
      <c r="BM42" s="46"/>
      <c r="BN42" s="46"/>
      <c r="BO42" s="46"/>
      <c r="BP42" s="46"/>
      <c r="BQ42" s="46"/>
      <c r="BR42" s="46"/>
      <c r="BS42" s="54"/>
      <c r="BT42" s="46"/>
      <c r="BU42" s="54"/>
      <c r="BV42" s="46"/>
      <c r="BW42" s="46"/>
      <c r="BX42" s="46"/>
      <c r="BY42" s="46"/>
      <c r="BZ42" s="46"/>
      <c r="CA42" s="54"/>
      <c r="CB42" s="46"/>
      <c r="CC42" s="46"/>
      <c r="CD42" s="46"/>
    </row>
    <row r="43" spans="4:82" s="39" customFormat="true" ht="12" customHeight="true">
      <c r="D43" s="46"/>
      <c r="E43" s="46"/>
      <c r="F43" s="46"/>
      <c r="G43" s="46"/>
      <c r="H43" s="46"/>
      <c r="I43" s="46"/>
      <c r="J43" s="46"/>
      <c r="K43" s="46"/>
      <c r="L43" s="46"/>
      <c r="M43" s="46"/>
      <c r="N43" s="46"/>
      <c r="O43" s="46"/>
      <c r="P43" s="46"/>
      <c r="Q43" s="46"/>
      <c r="R43" s="46"/>
      <c r="S43" s="51"/>
      <c r="T43" s="46"/>
      <c r="U43" s="46"/>
      <c r="V43" s="46"/>
      <c r="W43" s="46"/>
      <c r="X43" s="46"/>
      <c r="Y43" s="46"/>
      <c r="Z43" s="51"/>
      <c r="AA43" s="51"/>
      <c r="AB43" s="51"/>
      <c r="AC43" s="51"/>
      <c r="AD43" s="51"/>
      <c r="AE43" s="46"/>
      <c r="AF43" s="51"/>
      <c r="AG43" s="46"/>
      <c r="AH43" s="46"/>
      <c r="AI43" s="51"/>
      <c r="AJ43" s="46"/>
      <c r="AK43" s="46"/>
      <c r="AL43" s="46"/>
      <c r="AM43" s="46"/>
      <c r="AN43" s="46"/>
      <c r="AO43" s="46"/>
      <c r="AP43" s="46"/>
      <c r="AQ43" s="46"/>
      <c r="AR43" s="46"/>
      <c r="AS43" s="46"/>
      <c r="AT43" s="51"/>
      <c r="AU43" s="46"/>
      <c r="AV43" s="46"/>
      <c r="AW43" s="54"/>
      <c r="AX43" s="51"/>
      <c r="AY43" s="46"/>
      <c r="AZ43" s="46"/>
      <c r="BA43" s="46"/>
      <c r="BB43" s="46"/>
      <c r="BC43" s="46"/>
      <c r="BD43" s="46"/>
      <c r="BE43" s="46"/>
      <c r="BF43" s="46"/>
      <c r="BG43" s="46"/>
      <c r="BH43" s="46"/>
      <c r="BI43" s="46"/>
      <c r="BJ43" s="46"/>
      <c r="BK43" s="46"/>
      <c r="BL43" s="46"/>
      <c r="BM43" s="46"/>
      <c r="BN43" s="46"/>
      <c r="BO43" s="46"/>
      <c r="BP43" s="46"/>
      <c r="BQ43" s="46"/>
      <c r="BR43" s="46"/>
      <c r="BS43" s="54"/>
      <c r="BT43" s="46"/>
      <c r="BU43" s="54"/>
      <c r="BV43" s="46"/>
      <c r="BW43" s="46"/>
      <c r="BX43" s="46"/>
      <c r="BY43" s="46"/>
      <c r="BZ43" s="46"/>
      <c r="CA43" s="54"/>
      <c r="CB43" s="46"/>
      <c r="CC43" s="46"/>
      <c r="CD43" s="46"/>
    </row>
    <row r="44" spans="4:82" s="39" customFormat="true" ht="12" customHeight="true">
      <c r="D44" s="46"/>
      <c r="E44" s="46"/>
      <c r="F44" s="46"/>
      <c r="G44" s="46"/>
      <c r="H44" s="46"/>
      <c r="I44" s="46"/>
      <c r="J44" s="46"/>
      <c r="K44" s="46"/>
      <c r="L44" s="46"/>
      <c r="M44" s="46"/>
      <c r="N44" s="46"/>
      <c r="O44" s="46"/>
      <c r="P44" s="46"/>
      <c r="Q44" s="46"/>
      <c r="R44" s="46"/>
      <c r="S44" s="51"/>
      <c r="T44" s="46"/>
      <c r="U44" s="46"/>
      <c r="V44" s="46"/>
      <c r="W44" s="46"/>
      <c r="X44" s="46"/>
      <c r="Y44" s="46"/>
      <c r="Z44" s="51"/>
      <c r="AA44" s="51"/>
      <c r="AB44" s="51"/>
      <c r="AC44" s="51"/>
      <c r="AD44" s="51"/>
      <c r="AE44" s="46"/>
      <c r="AF44" s="51"/>
      <c r="AG44" s="46"/>
      <c r="AH44" s="46"/>
      <c r="AI44" s="51"/>
      <c r="AJ44" s="46"/>
      <c r="AK44" s="46"/>
      <c r="AL44" s="46"/>
      <c r="AM44" s="46"/>
      <c r="AN44" s="46"/>
      <c r="AO44" s="46"/>
      <c r="AP44" s="46"/>
      <c r="AQ44" s="46"/>
      <c r="AR44" s="46"/>
      <c r="AS44" s="46"/>
      <c r="AT44" s="51"/>
      <c r="AU44" s="46"/>
      <c r="AV44" s="46"/>
      <c r="AW44" s="54"/>
      <c r="AX44" s="51"/>
      <c r="AY44" s="46"/>
      <c r="AZ44" s="46"/>
      <c r="BA44" s="46"/>
      <c r="BB44" s="46"/>
      <c r="BC44" s="46"/>
      <c r="BD44" s="46"/>
      <c r="BE44" s="46"/>
      <c r="BF44" s="46"/>
      <c r="BG44" s="46"/>
      <c r="BH44" s="46"/>
      <c r="BI44" s="46"/>
      <c r="BJ44" s="46"/>
      <c r="BK44" s="46"/>
      <c r="BL44" s="46"/>
      <c r="BM44" s="46"/>
      <c r="BN44" s="46"/>
      <c r="BO44" s="46"/>
      <c r="BP44" s="46"/>
      <c r="BQ44" s="46"/>
      <c r="BR44" s="46"/>
      <c r="BS44" s="54"/>
      <c r="BT44" s="46"/>
      <c r="BU44" s="54"/>
      <c r="BV44" s="46"/>
      <c r="BW44" s="46"/>
      <c r="BX44" s="46"/>
      <c r="BY44" s="46"/>
      <c r="BZ44" s="46"/>
      <c r="CA44" s="54"/>
      <c r="CB44" s="46"/>
      <c r="CC44" s="46"/>
      <c r="CD44" s="46"/>
    </row>
    <row r="45" spans="4:82" s="39" customFormat="true" ht="12" customHeight="true">
      <c r="D45" s="46"/>
      <c r="E45" s="46"/>
      <c r="F45" s="46"/>
      <c r="G45" s="46"/>
      <c r="H45" s="46"/>
      <c r="I45" s="46"/>
      <c r="J45" s="46"/>
      <c r="K45" s="46"/>
      <c r="L45" s="46"/>
      <c r="M45" s="46"/>
      <c r="N45" s="46"/>
      <c r="O45" s="46"/>
      <c r="P45" s="46"/>
      <c r="Q45" s="46"/>
      <c r="R45" s="46"/>
      <c r="S45" s="51"/>
      <c r="T45" s="46"/>
      <c r="U45" s="46"/>
      <c r="V45" s="46"/>
      <c r="W45" s="46"/>
      <c r="X45" s="46"/>
      <c r="Y45" s="46"/>
      <c r="Z45" s="51"/>
      <c r="AA45" s="51"/>
      <c r="AB45" s="51"/>
      <c r="AC45" s="51"/>
      <c r="AD45" s="51"/>
      <c r="AE45" s="46"/>
      <c r="AF45" s="51"/>
      <c r="AG45" s="46"/>
      <c r="AH45" s="46"/>
      <c r="AI45" s="51"/>
      <c r="AJ45" s="46"/>
      <c r="AK45" s="46"/>
      <c r="AL45" s="46"/>
      <c r="AM45" s="46"/>
      <c r="AN45" s="46"/>
      <c r="AO45" s="46"/>
      <c r="AP45" s="46"/>
      <c r="AQ45" s="46"/>
      <c r="AR45" s="46"/>
      <c r="AS45" s="46"/>
      <c r="AT45" s="51"/>
      <c r="AU45" s="46"/>
      <c r="AV45" s="46"/>
      <c r="AW45" s="54"/>
      <c r="AX45" s="51"/>
      <c r="AY45" s="46"/>
      <c r="AZ45" s="46"/>
      <c r="BA45" s="46"/>
      <c r="BB45" s="46"/>
      <c r="BC45" s="46"/>
      <c r="BD45" s="46"/>
      <c r="BE45" s="46"/>
      <c r="BF45" s="46"/>
      <c r="BG45" s="46"/>
      <c r="BH45" s="46"/>
      <c r="BI45" s="46"/>
      <c r="BJ45" s="46"/>
      <c r="BK45" s="46"/>
      <c r="BL45" s="46"/>
      <c r="BM45" s="46"/>
      <c r="BN45" s="46"/>
      <c r="BO45" s="46"/>
      <c r="BP45" s="46"/>
      <c r="BQ45" s="46"/>
      <c r="BR45" s="46"/>
      <c r="BS45" s="54"/>
      <c r="BT45" s="46"/>
      <c r="BU45" s="54"/>
      <c r="BV45" s="46"/>
      <c r="BW45" s="46"/>
      <c r="BX45" s="46"/>
      <c r="BY45" s="46"/>
      <c r="BZ45" s="46"/>
      <c r="CA45" s="54"/>
      <c r="CB45" s="46"/>
      <c r="CC45" s="46"/>
      <c r="CD45" s="46"/>
    </row>
    <row r="46" spans="4:82" s="39" customFormat="true" ht="12" customHeight="true">
      <c r="D46" s="46"/>
      <c r="E46" s="46"/>
      <c r="F46" s="46"/>
      <c r="G46" s="46"/>
      <c r="H46" s="46"/>
      <c r="I46" s="46"/>
      <c r="J46" s="46"/>
      <c r="K46" s="46"/>
      <c r="L46" s="46"/>
      <c r="M46" s="46"/>
      <c r="N46" s="46"/>
      <c r="O46" s="46"/>
      <c r="P46" s="46"/>
      <c r="Q46" s="46"/>
      <c r="R46" s="46"/>
      <c r="S46" s="51"/>
      <c r="T46" s="46"/>
      <c r="U46" s="46"/>
      <c r="V46" s="46"/>
      <c r="W46" s="46"/>
      <c r="X46" s="46"/>
      <c r="Y46" s="46"/>
      <c r="Z46" s="51"/>
      <c r="AA46" s="51"/>
      <c r="AB46" s="51"/>
      <c r="AC46" s="51"/>
      <c r="AD46" s="51"/>
      <c r="AE46" s="46"/>
      <c r="AF46" s="51"/>
      <c r="AG46" s="46"/>
      <c r="AH46" s="46"/>
      <c r="AI46" s="51"/>
      <c r="AJ46" s="46"/>
      <c r="AK46" s="46"/>
      <c r="AL46" s="46"/>
      <c r="AM46" s="46"/>
      <c r="AN46" s="46"/>
      <c r="AO46" s="46"/>
      <c r="AP46" s="46"/>
      <c r="AQ46" s="46"/>
      <c r="AR46" s="46"/>
      <c r="AS46" s="46"/>
      <c r="AT46" s="51"/>
      <c r="AU46" s="46"/>
      <c r="AV46" s="46"/>
      <c r="AW46" s="54"/>
      <c r="AX46" s="51"/>
      <c r="AY46" s="46"/>
      <c r="AZ46" s="46"/>
      <c r="BA46" s="46"/>
      <c r="BB46" s="46"/>
      <c r="BC46" s="46"/>
      <c r="BD46" s="46"/>
      <c r="BE46" s="46"/>
      <c r="BF46" s="46"/>
      <c r="BG46" s="46"/>
      <c r="BH46" s="46"/>
      <c r="BI46" s="46"/>
      <c r="BJ46" s="46"/>
      <c r="BK46" s="46"/>
      <c r="BL46" s="46"/>
      <c r="BM46" s="46"/>
      <c r="BN46" s="46"/>
      <c r="BO46" s="46"/>
      <c r="BP46" s="46"/>
      <c r="BQ46" s="46"/>
      <c r="BR46" s="46"/>
      <c r="BS46" s="54"/>
      <c r="BT46" s="46"/>
      <c r="BU46" s="54"/>
      <c r="BV46" s="46"/>
      <c r="BW46" s="46"/>
      <c r="BX46" s="46"/>
      <c r="BY46" s="46"/>
      <c r="BZ46" s="46"/>
      <c r="CA46" s="54"/>
      <c r="CB46" s="46"/>
      <c r="CC46" s="46"/>
      <c r="CD46" s="46"/>
    </row>
    <row r="47" spans="2:83" s="39" customFormat="true" ht="12" customHeight="true">
      <c r="B47" s="39" t="s">
        <v>34191</v>
      </c>
      <c r="D47" s="39">
        <f t="shared" ref="D47:BO47" si="2">+SUM(D31:D46)</f>
        <v>0</v>
      </c>
      <c r="E47" s="39">
        <f t="shared" si="2"/>
        <v>45495.86</v>
      </c>
      <c r="F47" s="39">
        <f t="shared" si="2"/>
        <v>30552.96</v>
      </c>
      <c r="G47" s="39">
        <f t="shared" si="2"/>
        <v>0</v>
      </c>
      <c r="H47" s="39">
        <f t="shared" si="2"/>
        <v>33619.22</v>
      </c>
      <c r="I47" s="39">
        <f t="shared" si="2"/>
        <v>0</v>
      </c>
      <c r="J47" s="39">
        <f t="shared" si="2"/>
        <v>0</v>
      </c>
      <c r="K47" s="39">
        <f t="shared" si="2"/>
        <v>600386.92</v>
      </c>
      <c r="L47" s="39">
        <f t="shared" si="2"/>
        <v>0</v>
      </c>
      <c r="M47" s="39">
        <f t="shared" si="2"/>
        <v>0</v>
      </c>
      <c r="N47" s="39">
        <f t="shared" si="2"/>
        <v>15474.62</v>
      </c>
      <c r="O47" s="39">
        <f t="shared" si="2"/>
        <v>123892.52</v>
      </c>
      <c r="P47" s="39">
        <f t="shared" si="2"/>
        <v>38324.77</v>
      </c>
      <c r="Q47" s="39">
        <f t="shared" si="2"/>
        <v>1365.52</v>
      </c>
      <c r="R47" s="39">
        <f t="shared" si="2"/>
        <v>0</v>
      </c>
      <c r="S47" s="51">
        <f t="shared" si="2"/>
        <v>0</v>
      </c>
      <c r="T47" s="39">
        <f t="shared" si="2"/>
        <v>74579.04</v>
      </c>
      <c r="U47" s="39">
        <f t="shared" si="2"/>
        <v>0</v>
      </c>
      <c r="V47" s="39">
        <f t="shared" si="2"/>
        <v>52695.25</v>
      </c>
      <c r="W47" s="39">
        <f t="shared" si="2"/>
        <v>0</v>
      </c>
      <c r="X47" s="39">
        <f t="shared" si="2"/>
        <v>0</v>
      </c>
      <c r="Y47" s="39">
        <f t="shared" si="2"/>
        <v>0</v>
      </c>
      <c r="Z47" s="51">
        <f t="shared" si="2"/>
        <v>0</v>
      </c>
      <c r="AA47" s="51">
        <f t="shared" si="2"/>
        <v>0</v>
      </c>
      <c r="AB47" s="51">
        <f t="shared" si="2"/>
        <v>0</v>
      </c>
      <c r="AC47" s="51">
        <f t="shared" si="2"/>
        <v>0</v>
      </c>
      <c r="AD47" s="51">
        <f t="shared" si="2"/>
        <v>0</v>
      </c>
      <c r="AE47" s="39">
        <f t="shared" si="2"/>
        <v>0</v>
      </c>
      <c r="AF47" s="51">
        <f t="shared" si="2"/>
        <v>0</v>
      </c>
      <c r="AG47" s="39">
        <f t="shared" si="2"/>
        <v>330736.34</v>
      </c>
      <c r="AH47" s="39">
        <f t="shared" si="2"/>
        <v>27059.97</v>
      </c>
      <c r="AI47" s="51">
        <f t="shared" si="2"/>
        <v>0</v>
      </c>
      <c r="AJ47" s="39">
        <f t="shared" si="2"/>
        <v>173110.73</v>
      </c>
      <c r="AK47" s="39">
        <f t="shared" si="2"/>
        <v>17413.25</v>
      </c>
      <c r="AL47" s="39">
        <f t="shared" si="2"/>
        <v>5309.94</v>
      </c>
      <c r="AM47" s="39">
        <f t="shared" si="2"/>
        <v>0</v>
      </c>
      <c r="AN47" s="39">
        <f t="shared" si="2"/>
        <v>0</v>
      </c>
      <c r="AO47" s="39">
        <f t="shared" si="2"/>
        <v>0</v>
      </c>
      <c r="AP47" s="39">
        <f t="shared" si="2"/>
        <v>30350</v>
      </c>
      <c r="AQ47" s="39">
        <f t="shared" si="2"/>
        <v>41000</v>
      </c>
      <c r="AR47" s="39">
        <f t="shared" si="2"/>
        <v>20000</v>
      </c>
      <c r="AS47" s="39">
        <f t="shared" si="2"/>
        <v>16000</v>
      </c>
      <c r="AT47" s="51">
        <f t="shared" si="2"/>
        <v>0</v>
      </c>
      <c r="AU47" s="39">
        <f t="shared" si="2"/>
        <v>5350</v>
      </c>
      <c r="AV47" s="39">
        <f t="shared" si="2"/>
        <v>112066.16</v>
      </c>
      <c r="AW47" s="54">
        <f t="shared" si="2"/>
        <v>0</v>
      </c>
      <c r="AX47" s="51">
        <f t="shared" si="2"/>
        <v>0</v>
      </c>
      <c r="AY47" s="39">
        <f t="shared" si="2"/>
        <v>1470</v>
      </c>
      <c r="AZ47" s="39">
        <f t="shared" si="2"/>
        <v>7593.31</v>
      </c>
      <c r="BA47" s="39">
        <f t="shared" si="2"/>
        <v>27011.02</v>
      </c>
      <c r="BB47" s="39">
        <f t="shared" si="2"/>
        <v>0</v>
      </c>
      <c r="BC47" s="39">
        <f t="shared" si="2"/>
        <v>37780.94</v>
      </c>
      <c r="BD47" s="39">
        <f t="shared" si="2"/>
        <v>0</v>
      </c>
      <c r="BE47" s="39">
        <f t="shared" si="2"/>
        <v>6909.99</v>
      </c>
      <c r="BF47" s="39">
        <f t="shared" si="2"/>
        <v>2122.54</v>
      </c>
      <c r="BG47" s="39">
        <f t="shared" si="2"/>
        <v>0</v>
      </c>
      <c r="BH47" s="39">
        <f t="shared" si="2"/>
        <v>16255.62</v>
      </c>
      <c r="BI47" s="39">
        <f t="shared" si="2"/>
        <v>18838.19</v>
      </c>
      <c r="BJ47" s="39">
        <f t="shared" si="2"/>
        <v>3171.14</v>
      </c>
      <c r="BK47" s="39">
        <f t="shared" si="2"/>
        <v>717.01</v>
      </c>
      <c r="BL47" s="39">
        <f t="shared" si="2"/>
        <v>4190.19</v>
      </c>
      <c r="BM47" s="39">
        <f t="shared" si="2"/>
        <v>4017.89</v>
      </c>
      <c r="BN47" s="39">
        <f t="shared" si="2"/>
        <v>6533.19</v>
      </c>
      <c r="BO47" s="39">
        <f t="shared" si="2"/>
        <v>13156.65</v>
      </c>
      <c r="BP47" s="39">
        <f t="shared" ref="BP47:CD47" si="3">+SUM(BP31:BP46)</f>
        <v>12696.79</v>
      </c>
      <c r="BQ47" s="39">
        <f t="shared" si="3"/>
        <v>482.76</v>
      </c>
      <c r="BR47" s="39">
        <f t="shared" si="3"/>
        <v>5141.23</v>
      </c>
      <c r="BS47" s="54">
        <f t="shared" si="3"/>
        <v>0</v>
      </c>
      <c r="BT47" s="39">
        <f t="shared" si="3"/>
        <v>5335.78</v>
      </c>
      <c r="BU47" s="54">
        <f t="shared" si="3"/>
        <v>0</v>
      </c>
      <c r="BV47" s="39">
        <f t="shared" si="3"/>
        <v>1801.61</v>
      </c>
      <c r="BW47" s="39">
        <f t="shared" si="3"/>
        <v>3442.58</v>
      </c>
      <c r="BX47" s="39">
        <f t="shared" si="3"/>
        <v>110593.01</v>
      </c>
      <c r="BY47" s="39">
        <f t="shared" si="3"/>
        <v>3056.98</v>
      </c>
      <c r="BZ47" s="39">
        <f t="shared" si="3"/>
        <v>0</v>
      </c>
      <c r="CA47" s="54">
        <f t="shared" si="3"/>
        <v>0</v>
      </c>
      <c r="CB47" s="39">
        <f t="shared" si="3"/>
        <v>0</v>
      </c>
      <c r="CC47" s="39">
        <f t="shared" si="3"/>
        <v>0</v>
      </c>
      <c r="CD47" s="39">
        <f t="shared" si="3"/>
        <v>33710.31</v>
      </c>
      <c r="CE47" s="39">
        <f>SUM(D47:CD47)</f>
        <v>2120811.8</v>
      </c>
    </row>
    <row r="48" spans="19:79" s="39" customFormat="true" ht="12" customHeight="true">
      <c r="S48" s="51"/>
      <c r="Z48" s="51"/>
      <c r="AA48" s="51"/>
      <c r="AB48" s="51"/>
      <c r="AC48" s="51"/>
      <c r="AD48" s="51"/>
      <c r="AF48" s="51"/>
      <c r="AI48" s="51"/>
      <c r="AT48" s="51"/>
      <c r="AW48" s="54"/>
      <c r="AX48" s="51"/>
      <c r="BS48" s="54"/>
      <c r="BU48" s="54"/>
      <c r="CA48" s="54"/>
    </row>
    <row r="49" spans="2:82" s="39" customFormat="true" ht="12" customHeight="true">
      <c r="B49" s="39" t="s">
        <v>34192</v>
      </c>
      <c r="D49" s="39">
        <f t="shared" ref="D49:AV49" si="4">+D9+D29-D47</f>
        <v>91986.57</v>
      </c>
      <c r="E49" s="39">
        <f t="shared" si="4"/>
        <v>-43815.84</v>
      </c>
      <c r="F49" s="39">
        <f t="shared" si="4"/>
        <v>-22943.1</v>
      </c>
      <c r="G49" s="39">
        <f t="shared" si="4"/>
        <v>40953.47</v>
      </c>
      <c r="H49" s="39">
        <f t="shared" si="4"/>
        <v>-34153.92</v>
      </c>
      <c r="I49" s="39">
        <f t="shared" si="4"/>
        <v>0</v>
      </c>
      <c r="J49" s="39">
        <f t="shared" si="4"/>
        <v>753727.69</v>
      </c>
      <c r="K49" s="39">
        <f t="shared" si="4"/>
        <v>552400.96</v>
      </c>
      <c r="L49" s="39">
        <f t="shared" si="4"/>
        <v>29276.57</v>
      </c>
      <c r="M49" s="39">
        <f t="shared" si="4"/>
        <v>27612.05</v>
      </c>
      <c r="N49" s="39">
        <f t="shared" si="4"/>
        <v>4375.83</v>
      </c>
      <c r="O49" s="39">
        <f t="shared" si="4"/>
        <v>-109962.77</v>
      </c>
      <c r="P49" s="39">
        <f t="shared" si="4"/>
        <v>-16245.84</v>
      </c>
      <c r="Q49" s="39">
        <f t="shared" si="4"/>
        <v>-1280.19</v>
      </c>
      <c r="R49" s="39">
        <f t="shared" si="4"/>
        <v>8680.85</v>
      </c>
      <c r="S49" s="51">
        <f t="shared" si="4"/>
        <v>0</v>
      </c>
      <c r="T49" s="39">
        <f t="shared" si="4"/>
        <v>148549.42</v>
      </c>
      <c r="U49" s="39">
        <f t="shared" si="4"/>
        <v>29031.32</v>
      </c>
      <c r="V49" s="39">
        <f t="shared" si="4"/>
        <v>-41767.46</v>
      </c>
      <c r="W49" s="39">
        <f t="shared" si="4"/>
        <v>23639.93</v>
      </c>
      <c r="X49" s="39">
        <f t="shared" si="4"/>
        <v>16830.09</v>
      </c>
      <c r="Y49" s="39">
        <f t="shared" si="4"/>
        <v>0</v>
      </c>
      <c r="Z49" s="51">
        <f t="shared" si="4"/>
        <v>0</v>
      </c>
      <c r="AA49" s="51">
        <f t="shared" si="4"/>
        <v>0</v>
      </c>
      <c r="AB49" s="51">
        <f t="shared" si="4"/>
        <v>0</v>
      </c>
      <c r="AC49" s="51">
        <f t="shared" si="4"/>
        <v>0</v>
      </c>
      <c r="AD49" s="51">
        <f t="shared" si="4"/>
        <v>0</v>
      </c>
      <c r="AE49" s="39">
        <f t="shared" si="4"/>
        <v>317257.65</v>
      </c>
      <c r="AF49" s="51">
        <f t="shared" si="4"/>
        <v>0</v>
      </c>
      <c r="AG49" s="39">
        <f t="shared" si="4"/>
        <v>-252113.72</v>
      </c>
      <c r="AH49" s="39">
        <f t="shared" si="4"/>
        <v>47263.3</v>
      </c>
      <c r="AI49" s="51">
        <f t="shared" si="4"/>
        <v>0</v>
      </c>
      <c r="AJ49" s="39">
        <f t="shared" si="4"/>
        <v>-48726.22</v>
      </c>
      <c r="AK49" s="39">
        <f t="shared" si="4"/>
        <v>116431.93</v>
      </c>
      <c r="AL49" s="39">
        <f t="shared" si="4"/>
        <v>34481.13</v>
      </c>
      <c r="AM49" s="39">
        <f t="shared" si="4"/>
        <v>0</v>
      </c>
      <c r="AN49" s="39">
        <f t="shared" si="4"/>
        <v>0</v>
      </c>
      <c r="AO49" s="39">
        <f t="shared" si="4"/>
        <v>30180.92</v>
      </c>
      <c r="AP49" s="39">
        <f t="shared" si="4"/>
        <v>8418.36</v>
      </c>
      <c r="AQ49" s="39">
        <f t="shared" si="4"/>
        <v>-170.339999999997</v>
      </c>
      <c r="AR49" s="39">
        <f t="shared" si="4"/>
        <v>12205.43</v>
      </c>
      <c r="AS49" s="39">
        <f t="shared" si="4"/>
        <v>13773.5</v>
      </c>
      <c r="AT49" s="51">
        <f t="shared" si="4"/>
        <v>0</v>
      </c>
      <c r="AU49" s="39">
        <f t="shared" si="4"/>
        <v>6810.06</v>
      </c>
      <c r="AV49" s="39">
        <f t="shared" si="4"/>
        <v>2053.14999999999</v>
      </c>
      <c r="AW49" s="54"/>
      <c r="AX49" s="51">
        <f t="shared" ref="AX49:CD49" si="5">+AX9+AX29-AX47</f>
        <v>0</v>
      </c>
      <c r="AY49" s="39">
        <f t="shared" si="5"/>
        <v>36247.07</v>
      </c>
      <c r="AZ49" s="39">
        <f t="shared" si="5"/>
        <v>30856.5</v>
      </c>
      <c r="BA49" s="39">
        <f t="shared" si="5"/>
        <v>35510.34</v>
      </c>
      <c r="BB49" s="39">
        <f t="shared" si="5"/>
        <v>3832.44</v>
      </c>
      <c r="BC49" s="39">
        <f t="shared" si="5"/>
        <v>98113.88</v>
      </c>
      <c r="BD49" s="39">
        <f t="shared" si="5"/>
        <v>3205.35</v>
      </c>
      <c r="BE49" s="39">
        <f t="shared" si="5"/>
        <v>25688.08</v>
      </c>
      <c r="BF49" s="39">
        <f t="shared" si="5"/>
        <v>47314.85</v>
      </c>
      <c r="BG49" s="39">
        <f t="shared" si="5"/>
        <v>0</v>
      </c>
      <c r="BH49" s="39">
        <f t="shared" si="5"/>
        <v>91657.94</v>
      </c>
      <c r="BI49" s="39">
        <f t="shared" si="5"/>
        <v>18359.71</v>
      </c>
      <c r="BJ49" s="39">
        <f t="shared" si="5"/>
        <v>30412.02</v>
      </c>
      <c r="BK49" s="39">
        <f t="shared" si="5"/>
        <v>39051.25</v>
      </c>
      <c r="BL49" s="39">
        <f t="shared" si="5"/>
        <v>33420.64</v>
      </c>
      <c r="BM49" s="39">
        <f t="shared" si="5"/>
        <v>54005.45</v>
      </c>
      <c r="BN49" s="39">
        <f t="shared" si="5"/>
        <v>42311.08</v>
      </c>
      <c r="BO49" s="39">
        <f t="shared" si="5"/>
        <v>40146.48</v>
      </c>
      <c r="BP49" s="39">
        <f t="shared" si="5"/>
        <v>134360.48</v>
      </c>
      <c r="BQ49" s="39">
        <f t="shared" si="5"/>
        <v>38312.09</v>
      </c>
      <c r="BR49" s="39">
        <f t="shared" si="5"/>
        <v>59758.88</v>
      </c>
      <c r="BS49" s="54">
        <f t="shared" si="5"/>
        <v>0</v>
      </c>
      <c r="BT49" s="39">
        <f t="shared" si="5"/>
        <v>20481.47</v>
      </c>
      <c r="BU49" s="54">
        <f t="shared" si="5"/>
        <v>0</v>
      </c>
      <c r="BV49" s="39">
        <f t="shared" si="5"/>
        <v>68867.82</v>
      </c>
      <c r="BW49" s="39">
        <f t="shared" si="5"/>
        <v>44424.13</v>
      </c>
      <c r="BX49" s="39">
        <f t="shared" si="5"/>
        <v>-42871.51</v>
      </c>
      <c r="BY49" s="39">
        <f t="shared" si="5"/>
        <v>97212.08</v>
      </c>
      <c r="BZ49" s="39">
        <f t="shared" si="5"/>
        <v>41426.97</v>
      </c>
      <c r="CA49" s="54">
        <f t="shared" si="5"/>
        <v>0</v>
      </c>
      <c r="CB49" s="39">
        <f t="shared" si="5"/>
        <v>334691.25</v>
      </c>
      <c r="CC49" s="39">
        <f t="shared" si="5"/>
        <v>584918.08</v>
      </c>
      <c r="CD49" s="39">
        <f t="shared" si="5"/>
        <v>31464.99</v>
      </c>
    </row>
    <row r="50" spans="19:79" s="39" customFormat="true" ht="12" customHeight="true">
      <c r="S50" s="51"/>
      <c r="Z50" s="51"/>
      <c r="AA50" s="51"/>
      <c r="AB50" s="51"/>
      <c r="AC50" s="51"/>
      <c r="AD50" s="51"/>
      <c r="AF50" s="51"/>
      <c r="AI50" s="51"/>
      <c r="AT50" s="51"/>
      <c r="AW50" s="54"/>
      <c r="AX50" s="51"/>
      <c r="BS50" s="54"/>
      <c r="BU50" s="54"/>
      <c r="CA50" s="54"/>
    </row>
    <row r="51" spans="2:82" s="39" customFormat="true" ht="12" customHeight="true">
      <c r="B51" s="39" t="s">
        <v>34193</v>
      </c>
      <c r="D51" s="46">
        <v>91986.57</v>
      </c>
      <c r="E51" s="46">
        <v>-43815.84</v>
      </c>
      <c r="F51" s="46">
        <v>-22943.1</v>
      </c>
      <c r="G51" s="46">
        <v>40953.47</v>
      </c>
      <c r="H51" s="46">
        <v>-34153.92</v>
      </c>
      <c r="I51" s="46"/>
      <c r="J51" s="46">
        <v>755127.69</v>
      </c>
      <c r="K51" s="46">
        <v>552400.96</v>
      </c>
      <c r="L51" s="46">
        <v>4304.68</v>
      </c>
      <c r="M51" s="46">
        <v>27612.05</v>
      </c>
      <c r="N51" s="46">
        <v>4375.83</v>
      </c>
      <c r="O51" s="46">
        <v>-109962.77</v>
      </c>
      <c r="P51" s="46">
        <v>-16245.84</v>
      </c>
      <c r="Q51" s="46">
        <v>-1280.19</v>
      </c>
      <c r="R51" s="46">
        <v>8680.85</v>
      </c>
      <c r="S51" s="46"/>
      <c r="T51" s="46">
        <v>148549.42</v>
      </c>
      <c r="U51" s="46">
        <v>29031.32</v>
      </c>
      <c r="V51" s="46">
        <v>-41767.46</v>
      </c>
      <c r="W51" s="46">
        <v>23639.93</v>
      </c>
      <c r="X51" s="46">
        <v>16830.09</v>
      </c>
      <c r="Y51" s="46"/>
      <c r="Z51" s="46"/>
      <c r="AA51" s="46"/>
      <c r="AB51" s="46"/>
      <c r="AC51" s="46"/>
      <c r="AD51" s="46"/>
      <c r="AE51" s="46">
        <v>317257.65</v>
      </c>
      <c r="AF51" s="46"/>
      <c r="AG51" s="46">
        <v>-252113.72</v>
      </c>
      <c r="AH51" s="46">
        <v>47263.3</v>
      </c>
      <c r="AI51" s="46"/>
      <c r="AJ51" s="46">
        <v>-48726.22</v>
      </c>
      <c r="AK51" s="46">
        <v>116431.93</v>
      </c>
      <c r="AL51" s="46">
        <v>34481.13</v>
      </c>
      <c r="AM51" s="46"/>
      <c r="AN51" s="46"/>
      <c r="AO51" s="46">
        <v>30180.92</v>
      </c>
      <c r="AP51" s="46">
        <v>8418.36</v>
      </c>
      <c r="AQ51" s="46">
        <v>-170.34</v>
      </c>
      <c r="AR51" s="46">
        <v>12205.43</v>
      </c>
      <c r="AS51" s="46">
        <v>13773.5</v>
      </c>
      <c r="AT51" s="46"/>
      <c r="AU51" s="46">
        <v>6810.06</v>
      </c>
      <c r="AV51" s="46">
        <v>2053.15</v>
      </c>
      <c r="AW51" s="54"/>
      <c r="AX51" s="46"/>
      <c r="AY51" s="46">
        <v>36311.21</v>
      </c>
      <c r="AZ51" s="46">
        <v>30856.5</v>
      </c>
      <c r="BA51" s="46">
        <v>35510.34</v>
      </c>
      <c r="BB51" s="46">
        <v>3832.44</v>
      </c>
      <c r="BC51" s="46">
        <v>98113.88</v>
      </c>
      <c r="BD51" s="46">
        <v>3205.35</v>
      </c>
      <c r="BE51" s="46">
        <v>25688.08</v>
      </c>
      <c r="BF51" s="46">
        <v>47314.85</v>
      </c>
      <c r="BG51" s="46"/>
      <c r="BH51" s="46">
        <v>88545.36</v>
      </c>
      <c r="BI51" s="46">
        <v>18359.71</v>
      </c>
      <c r="BJ51" s="46">
        <v>30412.02</v>
      </c>
      <c r="BK51" s="46">
        <v>39051.25</v>
      </c>
      <c r="BL51" s="46">
        <v>33420.64</v>
      </c>
      <c r="BM51" s="46">
        <v>54005.45</v>
      </c>
      <c r="BN51" s="46">
        <v>42311.08</v>
      </c>
      <c r="BO51" s="46">
        <v>40146.48</v>
      </c>
      <c r="BP51" s="46">
        <v>134360.48</v>
      </c>
      <c r="BQ51" s="46">
        <v>38312.09</v>
      </c>
      <c r="BR51" s="46">
        <v>59758.88</v>
      </c>
      <c r="BS51" s="54"/>
      <c r="BT51" s="46">
        <v>20481.47</v>
      </c>
      <c r="BU51" s="54"/>
      <c r="BV51" s="46">
        <v>68867.82</v>
      </c>
      <c r="BW51" s="46">
        <v>44424.13</v>
      </c>
      <c r="BX51" s="46">
        <v>-42871.51</v>
      </c>
      <c r="BY51" s="46">
        <v>97212.08</v>
      </c>
      <c r="BZ51" s="46">
        <v>41426.97</v>
      </c>
      <c r="CA51" s="54"/>
      <c r="CB51" s="46">
        <v>334691.25</v>
      </c>
      <c r="CC51" s="46">
        <v>584918.08</v>
      </c>
      <c r="CD51" s="46">
        <v>31464.99</v>
      </c>
    </row>
    <row r="52" spans="2:83" s="39" customFormat="true" ht="12" customHeight="true">
      <c r="B52" s="39" t="s">
        <v>34194</v>
      </c>
      <c r="D52" s="47">
        <f>SUMIF('BS-Details'!$D:$D,D$4&amp;"-"&amp;D$7,'BS-Details'!$K:$K)-D$51</f>
        <v>-51869.15</v>
      </c>
      <c r="E52" s="47">
        <f>SUMIF('BS-Details'!$D:$D,E$4&amp;"-"&amp;E$7,'BS-Details'!$K:$K)-E$51</f>
        <v>14372.99</v>
      </c>
      <c r="F52" s="47">
        <f>SUMIF('BS-Details'!$D:$D,F$4&amp;"-"&amp;F$7,'BS-Details'!$K:$K)-F$51</f>
        <v>-6460.42</v>
      </c>
      <c r="G52" s="47">
        <f>SUMIF('BS-Details'!$D:$D,G$4&amp;"-"&amp;G$7,'BS-Details'!$K:$K)-G$51</f>
        <v>-59105.49</v>
      </c>
      <c r="H52" s="47">
        <f>SUMIF('BS-Details'!$D:$D,H$4&amp;"-"&amp;H$7,'BS-Details'!$K:$K)-H$51</f>
        <v>20889.96</v>
      </c>
      <c r="I52" s="47">
        <f>SUMIF('BS-Details'!$D:$D,I$4&amp;"-"&amp;I$7,'BS-Details'!$K:$K)-I$51</f>
        <v>-7732.72</v>
      </c>
      <c r="J52" s="47">
        <f>SUMIF('BS-Details'!$D:$D,J$4&amp;"-"&amp;J$7,'BS-Details'!$K:$K)-J$51</f>
        <v>-659873.47</v>
      </c>
      <c r="K52" s="47">
        <f>SUMIF('BS-Details'!$D:$D,K$4&amp;"-"&amp;K$7,'BS-Details'!$K:$K)-K$51</f>
        <v>1061232.76</v>
      </c>
      <c r="L52" s="47">
        <f>SUMIF('BS-Details'!$D:$D,L$4&amp;"-"&amp;L$7,'BS-Details'!$K:$K)-L$51</f>
        <v>-4304.68</v>
      </c>
      <c r="M52" s="47">
        <f>SUMIF('BS-Details'!$D:$D,M$4&amp;"-"&amp;M$7,'BS-Details'!$K:$K)-M$51</f>
        <v>-48117.79</v>
      </c>
      <c r="N52" s="47">
        <f>SUMIF('BS-Details'!$D:$D,N$4&amp;"-"&amp;N$7,'BS-Details'!$K:$K)-N$51</f>
        <v>-18137.98</v>
      </c>
      <c r="O52" s="47">
        <f>SUMIF('BS-Details'!$D:$D,O$4&amp;"-"&amp;O$7,'BS-Details'!$K:$K)-O$51</f>
        <v>109889.21</v>
      </c>
      <c r="P52" s="47">
        <f>SUMIF('BS-Details'!$D:$D,P$4&amp;"-"&amp;P$7,'BS-Details'!$K:$K)-P$51</f>
        <v>16245.84</v>
      </c>
      <c r="Q52" s="47">
        <f>SUMIF('BS-Details'!$D:$D,Q$4&amp;"-"&amp;Q$7,'BS-Details'!$K:$K)-Q$51</f>
        <v>557.56</v>
      </c>
      <c r="R52" s="47">
        <f>SUMIF('BS-Details'!$D:$D,R$4&amp;"-"&amp;R$7,'BS-Details'!$K:$K)-R$51</f>
        <v>-2815.87</v>
      </c>
      <c r="S52" s="47">
        <f>SUMIF('BS-Details'!$D:$D,S$4&amp;"-"&amp;S$7,'BS-Details'!$K:$K)-S$51</f>
        <v>0</v>
      </c>
      <c r="T52" s="47">
        <f>SUMIF('BS-Details'!$D:$D,T$4&amp;"-"&amp;T$7,'BS-Details'!$K:$K)-T$51</f>
        <v>84023.31</v>
      </c>
      <c r="U52" s="47">
        <f>SUMIF('BS-Details'!$D:$D,U$4&amp;"-"&amp;U$7,'BS-Details'!$K:$K)-U$51</f>
        <v>57508.68</v>
      </c>
      <c r="V52" s="47">
        <f>SUMIF('BS-Details'!$D:$D,V$4&amp;"-"&amp;V$7,'BS-Details'!$K:$K)-V$51</f>
        <v>-18511.88</v>
      </c>
      <c r="W52" s="47">
        <f>SUMIF('BS-Details'!$D:$D,W$4&amp;"-"&amp;W$7,'BS-Details'!$K:$K)-W$51</f>
        <v>46099.47</v>
      </c>
      <c r="X52" s="47">
        <f>SUMIF('BS-Details'!$D:$D,X$4&amp;"-"&amp;X$7,'BS-Details'!$K:$K)-X$51</f>
        <v>-15079.95</v>
      </c>
      <c r="Y52" s="47">
        <f>SUMIF('BS-Details'!$D:$D,Y$4&amp;"-"&amp;Y$7,'BS-Details'!$K:$K)-Y$51</f>
        <v>0</v>
      </c>
      <c r="Z52" s="47">
        <f>SUMIF('BS-Details'!$D:$D,Z$4&amp;"-"&amp;Z$7,'BS-Details'!$K:$K)-Z$51</f>
        <v>0</v>
      </c>
      <c r="AA52" s="47">
        <f>SUMIF('BS-Details'!$D:$D,AA$4&amp;"-"&amp;AA$7,'BS-Details'!$K:$K)-AA$51</f>
        <v>0</v>
      </c>
      <c r="AB52" s="47">
        <f>SUMIF('BS-Details'!$D:$D,AB$4&amp;"-"&amp;AB$7,'BS-Details'!$K:$K)-AB$51</f>
        <v>0</v>
      </c>
      <c r="AC52" s="47">
        <f>SUMIF('BS-Details'!$D:$D,AC$4&amp;"-"&amp;AC$7,'BS-Details'!$K:$K)-AC$51</f>
        <v>0</v>
      </c>
      <c r="AD52" s="47">
        <f>SUMIF('BS-Details'!$D:$D,AD$4&amp;"-"&amp;AD$7,'BS-Details'!$K:$K)-AD$51</f>
        <v>0</v>
      </c>
      <c r="AE52" s="47">
        <f>SUMIF('BS-Details'!$D:$D,AE$4&amp;"-"&amp;AE$7,'BS-Details'!$K:$K)-AE$51</f>
        <v>-317468.07</v>
      </c>
      <c r="AF52" s="47">
        <f>SUMIF('BS-Details'!$D:$D,AF$4&amp;"-"&amp;AF$7,'BS-Details'!$K:$K)-AF$51</f>
        <v>0</v>
      </c>
      <c r="AG52" s="47">
        <f>SUMIF('BS-Details'!$D:$D,AG$4&amp;"-"&amp;AG$7,'BS-Details'!$K:$K)-AG$51</f>
        <v>134221.37</v>
      </c>
      <c r="AH52" s="47">
        <f>SUMIF('BS-Details'!$D:$D,AH$4&amp;"-"&amp;AH$7,'BS-Details'!$K:$K)-AH$51</f>
        <v>16548.22</v>
      </c>
      <c r="AI52" s="47">
        <f>SUMIF('BS-Details'!$D:$D,AI$4&amp;"-"&amp;AI$7,'BS-Details'!$K:$K)-AI$51</f>
        <v>0</v>
      </c>
      <c r="AJ52" s="47">
        <f>SUMIF('BS-Details'!$D:$D,AJ$4&amp;"-"&amp;AJ$7,'BS-Details'!$K:$K)-AJ$51</f>
        <v>81833.87</v>
      </c>
      <c r="AK52" s="47">
        <f>SUMIF('BS-Details'!$D:$D,AK$4&amp;"-"&amp;AK$7,'BS-Details'!$K:$K)-AK$51</f>
        <v>-70624.71</v>
      </c>
      <c r="AL52" s="47">
        <f>SUMIF('BS-Details'!$D:$D,AL$4&amp;"-"&amp;AL$7,'BS-Details'!$K:$K)-AL$51</f>
        <v>-32657.75</v>
      </c>
      <c r="AM52" s="47">
        <f>SUMIF('BS-Details'!$D:$D,AM$4&amp;"-"&amp;AM$7,'BS-Details'!$K:$K)-AM$51</f>
        <v>0</v>
      </c>
      <c r="AN52" s="47">
        <f>SUMIF('BS-Details'!$D:$D,AN$4&amp;"-"&amp;AN$7,'BS-Details'!$K:$K)-AN$51</f>
        <v>0</v>
      </c>
      <c r="AO52" s="47">
        <f>SUMIF('BS-Details'!$D:$D,AO$4&amp;"-"&amp;AO$7,'BS-Details'!$K:$K)-AO$51</f>
        <v>-23937.93</v>
      </c>
      <c r="AP52" s="47">
        <f>SUMIF('BS-Details'!$D:$D,AP$4&amp;"-"&amp;AP$7,'BS-Details'!$K:$K)-AP$51</f>
        <v>113328.52</v>
      </c>
      <c r="AQ52" s="47">
        <f>SUMIF('BS-Details'!$D:$D,AQ$4&amp;"-"&amp;AQ$7,'BS-Details'!$K:$K)-AQ$51</f>
        <v>5047.12</v>
      </c>
      <c r="AR52" s="47">
        <f>SUMIF('BS-Details'!$D:$D,AR$4&amp;"-"&amp;AR$7,'BS-Details'!$K:$K)-AR$51</f>
        <v>2008.23</v>
      </c>
      <c r="AS52" s="47">
        <f>SUMIF('BS-Details'!$D:$D,AS$4&amp;"-"&amp;AS$7,'BS-Details'!$K:$K)-AS$51</f>
        <v>-3013.3</v>
      </c>
      <c r="AT52" s="47">
        <f>SUMIF('BS-Details'!$D:$D,AT$4&amp;"-"&amp;AT$7,'BS-Details'!$K:$K)-AT$51</f>
        <v>0</v>
      </c>
      <c r="AU52" s="47">
        <f>SUMIF('BS-Details'!$D:$D,AU$4&amp;"-"&amp;AU$7,'BS-Details'!$K:$K)-AU$51</f>
        <v>32594.26</v>
      </c>
      <c r="AV52" s="47">
        <f>SUMIF('BS-Details'!$D:$D,AV$4&amp;"-"&amp;AV$7,'BS-Details'!$K:$K)-AV$51</f>
        <v>-112453.92</v>
      </c>
      <c r="AW52" s="57">
        <f>SUMIF('BS-Details'!$D:$D,AW$4&amp;"-"&amp;AW$7,'BS-Details'!$K:$K)-AW$51</f>
        <v>0</v>
      </c>
      <c r="AX52" s="47">
        <f>SUMIF('BS-Details'!$D:$D,AX$4&amp;"-"&amp;AX$7,'BS-Details'!$K:$K)-AX$51</f>
        <v>0</v>
      </c>
      <c r="AY52" s="47">
        <f>SUMIF('BS-Details'!$D:$D,AY$4&amp;"-"&amp;AY$7,'BS-Details'!$K:$K)-AY$51</f>
        <v>-36311.21</v>
      </c>
      <c r="AZ52" s="47">
        <f>SUMIF('BS-Details'!$D:$D,AZ$4&amp;"-"&amp;AZ$7,'BS-Details'!$K:$K)-AZ$51</f>
        <v>-33742.4</v>
      </c>
      <c r="BA52" s="47">
        <f>SUMIF('BS-Details'!$D:$D,BA$4&amp;"-"&amp;BA$7,'BS-Details'!$K:$K)-BA$51</f>
        <v>-13712.84</v>
      </c>
      <c r="BB52" s="47">
        <f>SUMIF('BS-Details'!$D:$D,BB$4&amp;"-"&amp;BB$7,'BS-Details'!$K:$K)-BB$51</f>
        <v>-3832.44</v>
      </c>
      <c r="BC52" s="47">
        <f>SUMIF('BS-Details'!$D:$D,BC$4&amp;"-"&amp;BC$7,'BS-Details'!$K:$K)-BC$51</f>
        <v>-130663.44</v>
      </c>
      <c r="BD52" s="47">
        <f>SUMIF('BS-Details'!$D:$D,BD$4&amp;"-"&amp;BD$7,'BS-Details'!$K:$K)-BD$51</f>
        <v>-3205.35</v>
      </c>
      <c r="BE52" s="47">
        <f>SUMIF('BS-Details'!$D:$D,BE$4&amp;"-"&amp;BE$7,'BS-Details'!$K:$K)-BE$51</f>
        <v>-25688.08</v>
      </c>
      <c r="BF52" s="47">
        <f>SUMIF('BS-Details'!$D:$D,BF$4&amp;"-"&amp;BF$7,'BS-Details'!$K:$K)-BF$51</f>
        <v>-44868.8</v>
      </c>
      <c r="BG52" s="47">
        <f>SUMIF('BS-Details'!$D:$D,BG$4&amp;"-"&amp;BG$7,'BS-Details'!$K:$K)-BG$51</f>
        <v>0</v>
      </c>
      <c r="BH52" s="47">
        <f>SUMIF('BS-Details'!$D:$D,BH$4&amp;"-"&amp;BH$7,'BS-Details'!$K:$K)-BH$51</f>
        <v>-80169.6</v>
      </c>
      <c r="BI52" s="47">
        <f>SUMIF('BS-Details'!$D:$D,BI$4&amp;"-"&amp;BI$7,'BS-Details'!$K:$K)-BI$51</f>
        <v>-18359.71</v>
      </c>
      <c r="BJ52" s="47">
        <f>SUMIF('BS-Details'!$D:$D,BJ$4&amp;"-"&amp;BJ$7,'BS-Details'!$K:$K)-BJ$51</f>
        <v>-32002.27</v>
      </c>
      <c r="BK52" s="47">
        <f>SUMIF('BS-Details'!$D:$D,BK$4&amp;"-"&amp;BK$7,'BS-Details'!$K:$K)-BK$51</f>
        <v>-85979.35</v>
      </c>
      <c r="BL52" s="47">
        <f>SUMIF('BS-Details'!$D:$D,BL$4&amp;"-"&amp;BL$7,'BS-Details'!$K:$K)-BL$51</f>
        <v>-23081.79</v>
      </c>
      <c r="BM52" s="47">
        <f>SUMIF('BS-Details'!$D:$D,BM$4&amp;"-"&amp;BM$7,'BS-Details'!$K:$K)-BM$51</f>
        <v>-53675.32</v>
      </c>
      <c r="BN52" s="47">
        <f>SUMIF('BS-Details'!$D:$D,BN$4&amp;"-"&amp;BN$7,'BS-Details'!$K:$K)-BN$51</f>
        <v>-57023.03</v>
      </c>
      <c r="BO52" s="47">
        <f>SUMIF('BS-Details'!$D:$D,BO$4&amp;"-"&amp;BO$7,'BS-Details'!$K:$K)-BO$51</f>
        <v>-41380.91</v>
      </c>
      <c r="BP52" s="47">
        <f>SUMIF('BS-Details'!$D:$D,BP$4&amp;"-"&amp;BP$7,'BS-Details'!$K:$K)-BP$51</f>
        <v>-146290.62</v>
      </c>
      <c r="BQ52" s="47">
        <f>SUMIF('BS-Details'!$D:$D,BQ$4&amp;"-"&amp;BQ$7,'BS-Details'!$K:$K)-BQ$51</f>
        <v>-38312.09</v>
      </c>
      <c r="BR52" s="47">
        <f>SUMIF('BS-Details'!$D:$D,BR$4&amp;"-"&amp;BR$7,'BS-Details'!$K:$K)-BR$51</f>
        <v>-59758.88</v>
      </c>
      <c r="BS52" s="57">
        <f>SUMIF('BS-Details'!$D:$D,BS$4&amp;"-"&amp;BS$7,'BS-Details'!$K:$K)-BS$51</f>
        <v>0</v>
      </c>
      <c r="BT52" s="47">
        <f>SUMIF('BS-Details'!$D:$D,BT$4&amp;"-"&amp;BT$7,'BS-Details'!$K:$K)-BT$51</f>
        <v>-20481.47</v>
      </c>
      <c r="BU52" s="57">
        <f>SUMIF('BS-Details'!$D:$D,BU$4&amp;"-"&amp;BU$7,'BS-Details'!$K:$K)-BU$51</f>
        <v>0</v>
      </c>
      <c r="BV52" s="47">
        <f>SUMIF('BS-Details'!$D:$D,BV$4&amp;"-"&amp;BV$7,'BS-Details'!$K:$K)-BV$51</f>
        <v>-46695.66</v>
      </c>
      <c r="BW52" s="47">
        <f>SUMIF('BS-Details'!$D:$D,BW$4&amp;"-"&amp;BW$7,'BS-Details'!$K:$K)-BW$51</f>
        <v>-46279.85</v>
      </c>
      <c r="BX52" s="47">
        <f>SUMIF('BS-Details'!$D:$D,BX$4&amp;"-"&amp;BX$7,'BS-Details'!$K:$K)-BX$51</f>
        <v>42871.51</v>
      </c>
      <c r="BY52" s="47">
        <f>SUMIF('BS-Details'!$D:$D,BY$4&amp;"-"&amp;BY$7,'BS-Details'!$K:$K)-BY$51</f>
        <v>-104407.55</v>
      </c>
      <c r="BZ52" s="47">
        <f>SUMIF('BS-Details'!$D:$D,BZ$4&amp;"-"&amp;BZ$7,'BS-Details'!$K:$K)-BZ$51</f>
        <v>-51233.03</v>
      </c>
      <c r="CA52" s="57">
        <f>SUMIF('BS-Details'!$D:$D,CA$4&amp;"-"&amp;CA$7,'BS-Details'!$K:$K)-CA$51</f>
        <v>0</v>
      </c>
      <c r="CB52" s="47">
        <f>SUMIF('BS-Details'!$D:$D,CB$4&amp;"-"&amp;CB$7,'BS-Details'!$K:$K)-CB$51</f>
        <v>-334691.25</v>
      </c>
      <c r="CC52" s="47">
        <f>SUMIF('BS-Details'!$D:$D,CC$4&amp;"-"&amp;CC$7,'BS-Details'!$K:$K)-CC$51</f>
        <v>-585718.08</v>
      </c>
      <c r="CD52" s="47">
        <f>SUMIF('BS-Details'!$D:$D,CD$4&amp;"-"&amp;CD$7,'BS-Details'!$K:$K)-CD$51</f>
        <v>-190416.93</v>
      </c>
      <c r="CE52" s="39">
        <f>SUM(D52:CD52)</f>
        <v>-1920874.15</v>
      </c>
    </row>
    <row r="53" spans="2:83" s="39" customFormat="true" ht="12" customHeight="true">
      <c r="B53" s="39" t="s">
        <v>34195</v>
      </c>
      <c r="S53" s="51"/>
      <c r="Z53" s="51"/>
      <c r="AA53" s="51"/>
      <c r="AB53" s="51"/>
      <c r="AC53" s="51"/>
      <c r="AD53" s="51"/>
      <c r="AF53" s="51"/>
      <c r="AI53" s="51"/>
      <c r="AT53" s="51"/>
      <c r="AW53" s="54"/>
      <c r="AX53" s="51"/>
      <c r="BS53" s="54"/>
      <c r="BU53" s="54"/>
      <c r="CA53" s="54"/>
      <c r="CE53" s="39">
        <f>SUM(D53:CD53)</f>
        <v>0</v>
      </c>
    </row>
    <row r="54" spans="4:82" s="39" customFormat="true" ht="12" customHeight="true">
      <c r="D54" s="46"/>
      <c r="E54" s="46"/>
      <c r="F54" s="46"/>
      <c r="G54" s="46"/>
      <c r="H54" s="46"/>
      <c r="I54" s="46"/>
      <c r="J54" s="46">
        <v>-1400</v>
      </c>
      <c r="K54" s="46"/>
      <c r="L54" s="46"/>
      <c r="M54" s="46"/>
      <c r="N54" s="46"/>
      <c r="O54" s="46"/>
      <c r="P54" s="46"/>
      <c r="Q54" s="46"/>
      <c r="R54" s="46"/>
      <c r="S54" s="51"/>
      <c r="T54" s="46"/>
      <c r="U54" s="46"/>
      <c r="V54" s="46"/>
      <c r="W54" s="46"/>
      <c r="X54" s="46"/>
      <c r="Y54" s="46"/>
      <c r="Z54" s="51"/>
      <c r="AA54" s="51"/>
      <c r="AB54" s="51"/>
      <c r="AC54" s="51"/>
      <c r="AD54" s="51"/>
      <c r="AE54" s="46"/>
      <c r="AF54" s="51"/>
      <c r="AG54" s="46"/>
      <c r="AH54" s="46"/>
      <c r="AI54" s="51"/>
      <c r="AJ54" s="46"/>
      <c r="AK54" s="46"/>
      <c r="AL54" s="46"/>
      <c r="AM54" s="46"/>
      <c r="AN54" s="46"/>
      <c r="AO54" s="46"/>
      <c r="AP54" s="46"/>
      <c r="AQ54" s="46"/>
      <c r="AR54" s="46"/>
      <c r="AS54" s="46"/>
      <c r="AT54" s="51"/>
      <c r="AU54" s="46"/>
      <c r="AV54" s="46"/>
      <c r="AW54" s="54"/>
      <c r="AX54" s="51"/>
      <c r="AY54" s="46">
        <v>-64.14</v>
      </c>
      <c r="AZ54" s="46"/>
      <c r="BA54" s="46"/>
      <c r="BB54" s="46"/>
      <c r="BC54" s="46"/>
      <c r="BD54" s="46"/>
      <c r="BE54" s="46"/>
      <c r="BF54" s="46"/>
      <c r="BG54" s="46"/>
      <c r="BH54" s="46"/>
      <c r="BI54" s="46"/>
      <c r="BJ54" s="46"/>
      <c r="BK54" s="46"/>
      <c r="BL54" s="46"/>
      <c r="BM54" s="46"/>
      <c r="BN54" s="46"/>
      <c r="BO54" s="46"/>
      <c r="BP54" s="46"/>
      <c r="BQ54" s="46"/>
      <c r="BR54" s="46"/>
      <c r="BS54" s="54"/>
      <c r="BT54" s="46"/>
      <c r="BU54" s="54"/>
      <c r="BV54" s="46"/>
      <c r="BW54" s="46"/>
      <c r="BX54" s="46"/>
      <c r="BY54" s="46"/>
      <c r="BZ54" s="46"/>
      <c r="CA54" s="54"/>
      <c r="CB54" s="46"/>
      <c r="CC54" s="46"/>
      <c r="CD54" s="46"/>
    </row>
    <row r="55" spans="4:82" s="39" customFormat="true" ht="12" customHeight="true">
      <c r="D55" s="46"/>
      <c r="E55" s="46"/>
      <c r="F55" s="46"/>
      <c r="G55" s="46"/>
      <c r="H55" s="46"/>
      <c r="I55" s="46"/>
      <c r="J55" s="46"/>
      <c r="K55" s="46"/>
      <c r="L55" s="46"/>
      <c r="M55" s="46"/>
      <c r="N55" s="46"/>
      <c r="O55" s="46"/>
      <c r="P55" s="46"/>
      <c r="Q55" s="46"/>
      <c r="R55" s="46"/>
      <c r="S55" s="51"/>
      <c r="T55" s="46"/>
      <c r="U55" s="46"/>
      <c r="V55" s="46"/>
      <c r="W55" s="46"/>
      <c r="X55" s="46"/>
      <c r="Y55" s="46"/>
      <c r="Z55" s="51"/>
      <c r="AA55" s="51"/>
      <c r="AB55" s="51"/>
      <c r="AC55" s="51"/>
      <c r="AD55" s="51"/>
      <c r="AE55" s="46"/>
      <c r="AF55" s="51"/>
      <c r="AG55" s="46"/>
      <c r="AH55" s="46"/>
      <c r="AI55" s="51"/>
      <c r="AJ55" s="46"/>
      <c r="AK55" s="46"/>
      <c r="AL55" s="46"/>
      <c r="AM55" s="46"/>
      <c r="AN55" s="46"/>
      <c r="AO55" s="46"/>
      <c r="AP55" s="46"/>
      <c r="AQ55" s="46"/>
      <c r="AR55" s="46"/>
      <c r="AS55" s="46"/>
      <c r="AT55" s="51"/>
      <c r="AU55" s="46"/>
      <c r="AV55" s="46"/>
      <c r="AW55" s="54"/>
      <c r="AX55" s="51"/>
      <c r="AY55" s="46"/>
      <c r="AZ55" s="46"/>
      <c r="BA55" s="46"/>
      <c r="BB55" s="46"/>
      <c r="BC55" s="46"/>
      <c r="BD55" s="46"/>
      <c r="BE55" s="46"/>
      <c r="BF55" s="46"/>
      <c r="BG55" s="46"/>
      <c r="BH55" s="46"/>
      <c r="BI55" s="46"/>
      <c r="BJ55" s="46"/>
      <c r="BK55" s="46"/>
      <c r="BL55" s="46"/>
      <c r="BM55" s="46"/>
      <c r="BN55" s="46"/>
      <c r="BO55" s="46"/>
      <c r="BP55" s="46"/>
      <c r="BQ55" s="46"/>
      <c r="BR55" s="46"/>
      <c r="BS55" s="54"/>
      <c r="BT55" s="46"/>
      <c r="BU55" s="54"/>
      <c r="BV55" s="46"/>
      <c r="BW55" s="46"/>
      <c r="BX55" s="46"/>
      <c r="BY55" s="46"/>
      <c r="BZ55" s="46"/>
      <c r="CA55" s="54"/>
      <c r="CB55" s="46"/>
      <c r="CC55" s="46"/>
      <c r="CD55" s="46"/>
    </row>
    <row r="56" spans="4:82" s="39" customFormat="true" ht="12" customHeight="true">
      <c r="D56" s="46"/>
      <c r="E56" s="46"/>
      <c r="F56" s="46"/>
      <c r="G56" s="46"/>
      <c r="H56" s="46"/>
      <c r="I56" s="46"/>
      <c r="J56" s="46"/>
      <c r="K56" s="46"/>
      <c r="L56" s="46"/>
      <c r="M56" s="46"/>
      <c r="N56" s="46"/>
      <c r="O56" s="46"/>
      <c r="P56" s="46"/>
      <c r="Q56" s="46"/>
      <c r="R56" s="46"/>
      <c r="S56" s="51"/>
      <c r="T56" s="46"/>
      <c r="U56" s="46"/>
      <c r="V56" s="46"/>
      <c r="W56" s="46"/>
      <c r="X56" s="46"/>
      <c r="Y56" s="46"/>
      <c r="Z56" s="51"/>
      <c r="AA56" s="51"/>
      <c r="AB56" s="51"/>
      <c r="AC56" s="51"/>
      <c r="AD56" s="51"/>
      <c r="AE56" s="46"/>
      <c r="AF56" s="51"/>
      <c r="AG56" s="46"/>
      <c r="AH56" s="46"/>
      <c r="AI56" s="51"/>
      <c r="AJ56" s="46"/>
      <c r="AK56" s="46"/>
      <c r="AL56" s="46"/>
      <c r="AM56" s="46"/>
      <c r="AN56" s="46"/>
      <c r="AO56" s="46"/>
      <c r="AP56" s="46"/>
      <c r="AQ56" s="46"/>
      <c r="AR56" s="46"/>
      <c r="AS56" s="46"/>
      <c r="AT56" s="51"/>
      <c r="AU56" s="46"/>
      <c r="AV56" s="46"/>
      <c r="AW56" s="54"/>
      <c r="AX56" s="51"/>
      <c r="AY56" s="46"/>
      <c r="AZ56" s="46"/>
      <c r="BA56" s="46"/>
      <c r="BB56" s="46"/>
      <c r="BC56" s="46"/>
      <c r="BD56" s="46"/>
      <c r="BE56" s="46"/>
      <c r="BF56" s="46"/>
      <c r="BG56" s="46"/>
      <c r="BH56" s="46"/>
      <c r="BI56" s="46"/>
      <c r="BJ56" s="46"/>
      <c r="BK56" s="46"/>
      <c r="BL56" s="46"/>
      <c r="BM56" s="46"/>
      <c r="BN56" s="46"/>
      <c r="BO56" s="46"/>
      <c r="BP56" s="46"/>
      <c r="BQ56" s="46"/>
      <c r="BR56" s="46"/>
      <c r="BS56" s="54"/>
      <c r="BT56" s="46"/>
      <c r="BU56" s="54"/>
      <c r="BV56" s="46"/>
      <c r="BW56" s="46"/>
      <c r="BX56" s="46"/>
      <c r="BY56" s="46"/>
      <c r="BZ56" s="46"/>
      <c r="CA56" s="54"/>
      <c r="CB56" s="46"/>
      <c r="CC56" s="46"/>
      <c r="CD56" s="46"/>
    </row>
    <row r="57" spans="2:83" s="39" customFormat="true" ht="12" customHeight="true">
      <c r="B57" s="39" t="s">
        <v>34196</v>
      </c>
      <c r="D57" s="39">
        <f t="shared" ref="D57:S57" si="6">+SUM(D53:D56)</f>
        <v>0</v>
      </c>
      <c r="E57" s="39">
        <f t="shared" si="6"/>
        <v>0</v>
      </c>
      <c r="F57" s="39">
        <f t="shared" si="6"/>
        <v>0</v>
      </c>
      <c r="G57" s="39">
        <f t="shared" si="6"/>
        <v>0</v>
      </c>
      <c r="H57" s="39">
        <f t="shared" si="6"/>
        <v>0</v>
      </c>
      <c r="I57" s="39">
        <f t="shared" si="6"/>
        <v>0</v>
      </c>
      <c r="J57" s="39">
        <f t="shared" si="6"/>
        <v>-1400</v>
      </c>
      <c r="K57" s="39">
        <f t="shared" si="6"/>
        <v>0</v>
      </c>
      <c r="L57" s="39">
        <f t="shared" si="6"/>
        <v>0</v>
      </c>
      <c r="M57" s="39">
        <f t="shared" si="6"/>
        <v>0</v>
      </c>
      <c r="N57" s="39">
        <f t="shared" si="6"/>
        <v>0</v>
      </c>
      <c r="O57" s="39">
        <f t="shared" si="6"/>
        <v>0</v>
      </c>
      <c r="P57" s="39">
        <f t="shared" si="6"/>
        <v>0</v>
      </c>
      <c r="Q57" s="39">
        <f t="shared" si="6"/>
        <v>0</v>
      </c>
      <c r="R57" s="39">
        <f t="shared" si="6"/>
        <v>0</v>
      </c>
      <c r="S57" s="51">
        <f t="shared" si="6"/>
        <v>0</v>
      </c>
      <c r="T57" s="39">
        <f>+SUM(T54:T56)</f>
        <v>0</v>
      </c>
      <c r="U57" s="39">
        <f t="shared" ref="U57:CD57" si="7">+SUM(U53:U56)</f>
        <v>0</v>
      </c>
      <c r="V57" s="39">
        <f t="shared" si="7"/>
        <v>0</v>
      </c>
      <c r="W57" s="39">
        <f t="shared" si="7"/>
        <v>0</v>
      </c>
      <c r="X57" s="39">
        <f t="shared" si="7"/>
        <v>0</v>
      </c>
      <c r="Y57" s="39">
        <f t="shared" si="7"/>
        <v>0</v>
      </c>
      <c r="Z57" s="51">
        <f t="shared" si="7"/>
        <v>0</v>
      </c>
      <c r="AA57" s="51">
        <f t="shared" si="7"/>
        <v>0</v>
      </c>
      <c r="AB57" s="51">
        <f t="shared" si="7"/>
        <v>0</v>
      </c>
      <c r="AC57" s="51">
        <f t="shared" si="7"/>
        <v>0</v>
      </c>
      <c r="AD57" s="51">
        <f t="shared" si="7"/>
        <v>0</v>
      </c>
      <c r="AE57" s="39">
        <f t="shared" si="7"/>
        <v>0</v>
      </c>
      <c r="AF57" s="51">
        <f t="shared" si="7"/>
        <v>0</v>
      </c>
      <c r="AG57" s="39">
        <f t="shared" si="7"/>
        <v>0</v>
      </c>
      <c r="AH57" s="39">
        <f t="shared" si="7"/>
        <v>0</v>
      </c>
      <c r="AI57" s="51">
        <f t="shared" si="7"/>
        <v>0</v>
      </c>
      <c r="AJ57" s="39">
        <f t="shared" si="7"/>
        <v>0</v>
      </c>
      <c r="AK57" s="39">
        <f t="shared" si="7"/>
        <v>0</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0</v>
      </c>
      <c r="AW57" s="54">
        <f t="shared" si="7"/>
        <v>0</v>
      </c>
      <c r="AX57" s="51">
        <f t="shared" si="7"/>
        <v>0</v>
      </c>
      <c r="AY57" s="39">
        <f t="shared" si="7"/>
        <v>-64.14</v>
      </c>
      <c r="AZ57" s="39">
        <f t="shared" si="7"/>
        <v>0</v>
      </c>
      <c r="BA57" s="39">
        <f t="shared" si="7"/>
        <v>0</v>
      </c>
      <c r="BB57" s="39">
        <f t="shared" si="7"/>
        <v>0</v>
      </c>
      <c r="BC57" s="39">
        <f t="shared" si="7"/>
        <v>0</v>
      </c>
      <c r="BD57" s="39">
        <f t="shared" si="7"/>
        <v>0</v>
      </c>
      <c r="BE57" s="39">
        <f t="shared" si="7"/>
        <v>0</v>
      </c>
      <c r="BF57" s="39">
        <f t="shared" si="7"/>
        <v>0</v>
      </c>
      <c r="BG57" s="39">
        <f t="shared" si="7"/>
        <v>0</v>
      </c>
      <c r="BH57" s="39">
        <f t="shared" si="7"/>
        <v>0</v>
      </c>
      <c r="BI57" s="39">
        <f t="shared" si="7"/>
        <v>0</v>
      </c>
      <c r="BJ57" s="39">
        <f t="shared" si="7"/>
        <v>0</v>
      </c>
      <c r="BK57" s="39">
        <f t="shared" si="7"/>
        <v>0</v>
      </c>
      <c r="BL57" s="39">
        <f t="shared" si="7"/>
        <v>0</v>
      </c>
      <c r="BM57" s="39">
        <f t="shared" si="7"/>
        <v>0</v>
      </c>
      <c r="BN57" s="39">
        <f t="shared" si="7"/>
        <v>0</v>
      </c>
      <c r="BO57" s="39">
        <f t="shared" si="7"/>
        <v>0</v>
      </c>
      <c r="BP57" s="39">
        <f t="shared" si="7"/>
        <v>0</v>
      </c>
      <c r="BQ57" s="39">
        <f t="shared" si="7"/>
        <v>0</v>
      </c>
      <c r="BR57" s="39">
        <f t="shared" si="7"/>
        <v>0</v>
      </c>
      <c r="BS57" s="54">
        <f t="shared" si="7"/>
        <v>0</v>
      </c>
      <c r="BT57" s="39">
        <f t="shared" si="7"/>
        <v>0</v>
      </c>
      <c r="BU57" s="54">
        <f t="shared" si="7"/>
        <v>0</v>
      </c>
      <c r="BV57" s="39">
        <f t="shared" si="7"/>
        <v>0</v>
      </c>
      <c r="BW57" s="39">
        <f t="shared" si="7"/>
        <v>0</v>
      </c>
      <c r="BX57" s="39">
        <f t="shared" si="7"/>
        <v>0</v>
      </c>
      <c r="BY57" s="39">
        <f t="shared" si="7"/>
        <v>0</v>
      </c>
      <c r="BZ57" s="39">
        <f t="shared" si="7"/>
        <v>0</v>
      </c>
      <c r="CA57" s="54">
        <f t="shared" si="7"/>
        <v>0</v>
      </c>
      <c r="CB57" s="39">
        <f t="shared" si="7"/>
        <v>0</v>
      </c>
      <c r="CC57" s="39">
        <f t="shared" si="7"/>
        <v>0</v>
      </c>
      <c r="CD57" s="39">
        <f t="shared" si="7"/>
        <v>0</v>
      </c>
      <c r="CE57" s="39">
        <f>SUM(D57:CD57)</f>
        <v>-1464.14</v>
      </c>
    </row>
    <row r="58" spans="19:79" s="39" customFormat="true" ht="12" customHeight="true">
      <c r="S58" s="51"/>
      <c r="Z58" s="51"/>
      <c r="AA58" s="51"/>
      <c r="AB58" s="51"/>
      <c r="AC58" s="51"/>
      <c r="AD58" s="51"/>
      <c r="AF58" s="51"/>
      <c r="AI58" s="51"/>
      <c r="AT58" s="51"/>
      <c r="AW58" s="54"/>
      <c r="AX58" s="51"/>
      <c r="BS58" s="54"/>
      <c r="BU58" s="54"/>
      <c r="CA58" s="54"/>
    </row>
    <row r="59" spans="2:79" s="39" customFormat="true" ht="12" customHeight="true">
      <c r="B59" s="39" t="s">
        <v>34197</v>
      </c>
      <c r="S59" s="51"/>
      <c r="Z59" s="51"/>
      <c r="AA59" s="51"/>
      <c r="AB59" s="51"/>
      <c r="AC59" s="51"/>
      <c r="AD59" s="51"/>
      <c r="AF59" s="51"/>
      <c r="AI59" s="51"/>
      <c r="AT59" s="51"/>
      <c r="AW59" s="54"/>
      <c r="AX59" s="51"/>
      <c r="BS59" s="54"/>
      <c r="BU59" s="54"/>
      <c r="CA59" s="54"/>
    </row>
    <row r="60" spans="4:82" s="39" customFormat="true" ht="12" customHeight="true">
      <c r="D60" s="46"/>
      <c r="E60" s="46"/>
      <c r="F60" s="46"/>
      <c r="G60" s="46"/>
      <c r="H60" s="46"/>
      <c r="I60" s="46"/>
      <c r="J60" s="46">
        <v>0</v>
      </c>
      <c r="K60" s="46"/>
      <c r="L60" s="46">
        <v>8625.68</v>
      </c>
      <c r="M60" s="46"/>
      <c r="N60" s="46"/>
      <c r="O60" s="46"/>
      <c r="P60" s="46"/>
      <c r="Q60" s="46"/>
      <c r="R60" s="46"/>
      <c r="S60" s="51"/>
      <c r="T60" s="46">
        <v>0</v>
      </c>
      <c r="U60" s="46"/>
      <c r="V60" s="46"/>
      <c r="W60" s="46"/>
      <c r="X60" s="46"/>
      <c r="Y60" s="46"/>
      <c r="Z60" s="51"/>
      <c r="AA60" s="51"/>
      <c r="AB60" s="51"/>
      <c r="AC60" s="51"/>
      <c r="AD60" s="51"/>
      <c r="AE60" s="46"/>
      <c r="AF60" s="51"/>
      <c r="AG60" s="46"/>
      <c r="AH60" s="46"/>
      <c r="AI60" s="51"/>
      <c r="AJ60" s="46"/>
      <c r="AK60" s="46"/>
      <c r="AL60" s="46"/>
      <c r="AM60" s="46"/>
      <c r="AN60" s="46"/>
      <c r="AO60" s="46"/>
      <c r="AP60" s="46"/>
      <c r="AQ60" s="46"/>
      <c r="AR60" s="46"/>
      <c r="AS60" s="46"/>
      <c r="AT60" s="51"/>
      <c r="AU60" s="46"/>
      <c r="AV60" s="46"/>
      <c r="AW60" s="54"/>
      <c r="AX60" s="51"/>
      <c r="AY60" s="46"/>
      <c r="AZ60" s="46"/>
      <c r="BA60" s="46"/>
      <c r="BB60" s="46"/>
      <c r="BC60" s="46"/>
      <c r="BD60" s="46"/>
      <c r="BE60" s="46"/>
      <c r="BF60" s="46"/>
      <c r="BG60" s="46"/>
      <c r="BH60" s="46">
        <v>11.26</v>
      </c>
      <c r="BI60" s="46"/>
      <c r="BJ60" s="46"/>
      <c r="BK60" s="46"/>
      <c r="BL60" s="46"/>
      <c r="BM60" s="46"/>
      <c r="BN60" s="46"/>
      <c r="BO60" s="46"/>
      <c r="BP60" s="46"/>
      <c r="BQ60" s="46"/>
      <c r="BR60" s="46"/>
      <c r="BS60" s="54"/>
      <c r="BT60" s="46"/>
      <c r="BU60" s="54"/>
      <c r="BV60" s="46"/>
      <c r="BW60" s="46"/>
      <c r="BX60" s="46"/>
      <c r="BY60" s="46"/>
      <c r="BZ60" s="46"/>
      <c r="CA60" s="54"/>
      <c r="CB60" s="46"/>
      <c r="CC60" s="46"/>
      <c r="CD60" s="46"/>
    </row>
    <row r="61" spans="4:82" s="39" customFormat="true" ht="12" customHeight="true">
      <c r="D61" s="46"/>
      <c r="E61" s="46"/>
      <c r="F61" s="46"/>
      <c r="G61" s="46"/>
      <c r="H61" s="46"/>
      <c r="I61" s="46"/>
      <c r="J61" s="46"/>
      <c r="K61" s="46"/>
      <c r="L61" s="46"/>
      <c r="M61" s="46"/>
      <c r="N61" s="46"/>
      <c r="O61" s="46"/>
      <c r="P61" s="46"/>
      <c r="Q61" s="46"/>
      <c r="R61" s="46"/>
      <c r="S61" s="51"/>
      <c r="T61" s="46"/>
      <c r="U61" s="46"/>
      <c r="V61" s="46"/>
      <c r="W61" s="46"/>
      <c r="X61" s="46"/>
      <c r="Y61" s="46"/>
      <c r="Z61" s="51"/>
      <c r="AA61" s="51"/>
      <c r="AB61" s="51"/>
      <c r="AC61" s="51"/>
      <c r="AD61" s="51"/>
      <c r="AE61" s="46"/>
      <c r="AF61" s="51"/>
      <c r="AG61" s="46"/>
      <c r="AH61" s="46"/>
      <c r="AI61" s="51"/>
      <c r="AJ61" s="46"/>
      <c r="AK61" s="46"/>
      <c r="AL61" s="46"/>
      <c r="AM61" s="46"/>
      <c r="AN61" s="46"/>
      <c r="AO61" s="46"/>
      <c r="AP61" s="46"/>
      <c r="AQ61" s="46"/>
      <c r="AR61" s="46"/>
      <c r="AS61" s="46"/>
      <c r="AT61" s="51"/>
      <c r="AU61" s="46"/>
      <c r="AV61" s="46"/>
      <c r="AW61" s="54"/>
      <c r="AX61" s="51"/>
      <c r="AY61" s="46"/>
      <c r="AZ61" s="46"/>
      <c r="BA61" s="46"/>
      <c r="BB61" s="46"/>
      <c r="BC61" s="46"/>
      <c r="BD61" s="46"/>
      <c r="BE61" s="46"/>
      <c r="BF61" s="46"/>
      <c r="BG61" s="46"/>
      <c r="BH61" s="46">
        <v>3101.32</v>
      </c>
      <c r="BI61" s="46"/>
      <c r="BJ61" s="46"/>
      <c r="BK61" s="46"/>
      <c r="BL61" s="46"/>
      <c r="BM61" s="46"/>
      <c r="BN61" s="46"/>
      <c r="BO61" s="46"/>
      <c r="BP61" s="46"/>
      <c r="BQ61" s="46"/>
      <c r="BR61" s="46"/>
      <c r="BS61" s="54"/>
      <c r="BT61" s="46"/>
      <c r="BU61" s="54"/>
      <c r="BV61" s="46"/>
      <c r="BW61" s="46"/>
      <c r="BX61" s="46"/>
      <c r="BY61" s="46"/>
      <c r="BZ61" s="46"/>
      <c r="CA61" s="54"/>
      <c r="CB61" s="46"/>
      <c r="CC61" s="46"/>
      <c r="CD61" s="46"/>
    </row>
    <row r="62" spans="4:82" s="39" customFormat="true" ht="12" customHeight="true">
      <c r="D62" s="46"/>
      <c r="E62" s="46"/>
      <c r="F62" s="46"/>
      <c r="G62" s="46"/>
      <c r="H62" s="46"/>
      <c r="I62" s="46"/>
      <c r="J62" s="46"/>
      <c r="K62" s="46"/>
      <c r="L62" s="46">
        <v>8087.63</v>
      </c>
      <c r="M62" s="46"/>
      <c r="N62" s="46"/>
      <c r="O62" s="46"/>
      <c r="P62" s="46"/>
      <c r="Q62" s="46"/>
      <c r="R62" s="46"/>
      <c r="S62" s="51"/>
      <c r="T62" s="46"/>
      <c r="U62" s="46"/>
      <c r="V62" s="46"/>
      <c r="W62" s="46"/>
      <c r="X62" s="46"/>
      <c r="Y62" s="46"/>
      <c r="Z62" s="51"/>
      <c r="AA62" s="51"/>
      <c r="AB62" s="51"/>
      <c r="AC62" s="51"/>
      <c r="AD62" s="51"/>
      <c r="AE62" s="46"/>
      <c r="AF62" s="51"/>
      <c r="AG62" s="46"/>
      <c r="AH62" s="46"/>
      <c r="AI62" s="51"/>
      <c r="AJ62" s="46"/>
      <c r="AK62" s="46"/>
      <c r="AL62" s="46"/>
      <c r="AM62" s="46"/>
      <c r="AN62" s="46"/>
      <c r="AO62" s="46"/>
      <c r="AP62" s="46"/>
      <c r="AQ62" s="46"/>
      <c r="AR62" s="46"/>
      <c r="AS62" s="46"/>
      <c r="AT62" s="51"/>
      <c r="AU62" s="46"/>
      <c r="AV62" s="46"/>
      <c r="AW62" s="54"/>
      <c r="AX62" s="51"/>
      <c r="AY62" s="46"/>
      <c r="AZ62" s="46"/>
      <c r="BA62" s="46"/>
      <c r="BB62" s="46"/>
      <c r="BC62" s="46"/>
      <c r="BD62" s="46"/>
      <c r="BE62" s="46"/>
      <c r="BF62" s="46"/>
      <c r="BG62" s="46"/>
      <c r="BH62" s="46"/>
      <c r="BI62" s="46"/>
      <c r="BJ62" s="46"/>
      <c r="BK62" s="46"/>
      <c r="BL62" s="46"/>
      <c r="BM62" s="46"/>
      <c r="BN62" s="46"/>
      <c r="BO62" s="46"/>
      <c r="BP62" s="46"/>
      <c r="BQ62" s="46"/>
      <c r="BR62" s="46"/>
      <c r="BS62" s="54"/>
      <c r="BT62" s="46"/>
      <c r="BU62" s="54"/>
      <c r="BV62" s="46"/>
      <c r="BW62" s="46"/>
      <c r="BX62" s="46"/>
      <c r="BY62" s="46"/>
      <c r="BZ62" s="46"/>
      <c r="CA62" s="54"/>
      <c r="CB62" s="46"/>
      <c r="CC62" s="46"/>
      <c r="CD62" s="46"/>
    </row>
    <row r="63" spans="4:82" s="39" customFormat="true" ht="12" customHeight="true">
      <c r="D63" s="46"/>
      <c r="E63" s="46"/>
      <c r="F63" s="46"/>
      <c r="G63" s="46"/>
      <c r="H63" s="46"/>
      <c r="I63" s="46"/>
      <c r="J63" s="46"/>
      <c r="K63" s="46"/>
      <c r="L63" s="46">
        <v>8258.58</v>
      </c>
      <c r="M63" s="46"/>
      <c r="N63" s="46"/>
      <c r="O63" s="46"/>
      <c r="P63" s="46"/>
      <c r="Q63" s="46"/>
      <c r="R63" s="46"/>
      <c r="S63" s="51"/>
      <c r="T63" s="46"/>
      <c r="U63" s="46"/>
      <c r="V63" s="46"/>
      <c r="W63" s="46"/>
      <c r="X63" s="46"/>
      <c r="Y63" s="46"/>
      <c r="Z63" s="51"/>
      <c r="AA63" s="51"/>
      <c r="AB63" s="51"/>
      <c r="AC63" s="51"/>
      <c r="AD63" s="51"/>
      <c r="AE63" s="46"/>
      <c r="AF63" s="51"/>
      <c r="AG63" s="46"/>
      <c r="AH63" s="46"/>
      <c r="AI63" s="51"/>
      <c r="AJ63" s="46"/>
      <c r="AK63" s="46"/>
      <c r="AL63" s="46"/>
      <c r="AM63" s="46"/>
      <c r="AN63" s="46"/>
      <c r="AO63" s="46"/>
      <c r="AP63" s="46"/>
      <c r="AQ63" s="46"/>
      <c r="AR63" s="46"/>
      <c r="AS63" s="46"/>
      <c r="AT63" s="51"/>
      <c r="AU63" s="46"/>
      <c r="AV63" s="46"/>
      <c r="AW63" s="54"/>
      <c r="AX63" s="51"/>
      <c r="AY63" s="46"/>
      <c r="AZ63" s="46"/>
      <c r="BA63" s="46"/>
      <c r="BB63" s="46"/>
      <c r="BC63" s="46"/>
      <c r="BD63" s="46"/>
      <c r="BE63" s="46"/>
      <c r="BF63" s="46"/>
      <c r="BG63" s="46"/>
      <c r="BH63" s="46"/>
      <c r="BI63" s="46"/>
      <c r="BJ63" s="46"/>
      <c r="BK63" s="46"/>
      <c r="BL63" s="46"/>
      <c r="BM63" s="46"/>
      <c r="BN63" s="46"/>
      <c r="BO63" s="46"/>
      <c r="BP63" s="46"/>
      <c r="BQ63" s="46"/>
      <c r="BR63" s="46"/>
      <c r="BS63" s="54"/>
      <c r="BT63" s="46"/>
      <c r="BU63" s="54"/>
      <c r="BV63" s="46"/>
      <c r="BW63" s="46"/>
      <c r="BX63" s="46"/>
      <c r="BY63" s="46"/>
      <c r="BZ63" s="46"/>
      <c r="CA63" s="54"/>
      <c r="CB63" s="46"/>
      <c r="CC63" s="46"/>
      <c r="CD63" s="46"/>
    </row>
    <row r="64" spans="4:82" s="39" customFormat="true" ht="12" customHeight="true">
      <c r="D64" s="46"/>
      <c r="E64" s="46"/>
      <c r="F64" s="46"/>
      <c r="G64" s="46"/>
      <c r="H64" s="46"/>
      <c r="I64" s="46"/>
      <c r="J64" s="46"/>
      <c r="K64" s="46"/>
      <c r="L64" s="46"/>
      <c r="M64" s="46"/>
      <c r="N64" s="46"/>
      <c r="O64" s="46"/>
      <c r="P64" s="46"/>
      <c r="Q64" s="46"/>
      <c r="R64" s="46"/>
      <c r="S64" s="51"/>
      <c r="T64" s="46"/>
      <c r="U64" s="46"/>
      <c r="V64" s="46"/>
      <c r="W64" s="46"/>
      <c r="X64" s="46"/>
      <c r="Y64" s="46"/>
      <c r="Z64" s="51"/>
      <c r="AA64" s="51"/>
      <c r="AB64" s="51"/>
      <c r="AC64" s="51"/>
      <c r="AD64" s="51"/>
      <c r="AE64" s="46"/>
      <c r="AF64" s="51"/>
      <c r="AG64" s="46"/>
      <c r="AH64" s="46"/>
      <c r="AI64" s="51"/>
      <c r="AJ64" s="46"/>
      <c r="AK64" s="46"/>
      <c r="AL64" s="46"/>
      <c r="AM64" s="46"/>
      <c r="AN64" s="46"/>
      <c r="AO64" s="46"/>
      <c r="AP64" s="46"/>
      <c r="AQ64" s="46"/>
      <c r="AR64" s="46"/>
      <c r="AS64" s="46"/>
      <c r="AT64" s="51"/>
      <c r="AU64" s="46"/>
      <c r="AV64" s="46"/>
      <c r="AW64" s="54"/>
      <c r="AX64" s="51"/>
      <c r="AY64" s="46"/>
      <c r="AZ64" s="46"/>
      <c r="BA64" s="46"/>
      <c r="BB64" s="46"/>
      <c r="BC64" s="46"/>
      <c r="BD64" s="46"/>
      <c r="BE64" s="46"/>
      <c r="BF64" s="46"/>
      <c r="BG64" s="46"/>
      <c r="BH64" s="46"/>
      <c r="BI64" s="46"/>
      <c r="BJ64" s="46"/>
      <c r="BK64" s="46"/>
      <c r="BL64" s="46"/>
      <c r="BM64" s="46"/>
      <c r="BN64" s="46"/>
      <c r="BO64" s="46"/>
      <c r="BP64" s="46"/>
      <c r="BQ64" s="46"/>
      <c r="BR64" s="46"/>
      <c r="BS64" s="54"/>
      <c r="BT64" s="46"/>
      <c r="BU64" s="54"/>
      <c r="BV64" s="46"/>
      <c r="BW64" s="46"/>
      <c r="BX64" s="46"/>
      <c r="BY64" s="46"/>
      <c r="BZ64" s="46"/>
      <c r="CA64" s="54"/>
      <c r="CB64" s="46"/>
      <c r="CC64" s="46"/>
      <c r="CD64" s="46"/>
    </row>
    <row r="65" spans="4:82" s="39" customFormat="true" ht="12" customHeight="true">
      <c r="D65" s="46"/>
      <c r="E65" s="46"/>
      <c r="F65" s="46"/>
      <c r="G65" s="46"/>
      <c r="H65" s="46"/>
      <c r="I65" s="46"/>
      <c r="J65" s="46"/>
      <c r="K65" s="46"/>
      <c r="L65" s="46"/>
      <c r="M65" s="46"/>
      <c r="N65" s="46"/>
      <c r="O65" s="46"/>
      <c r="P65" s="46"/>
      <c r="Q65" s="46"/>
      <c r="R65" s="46"/>
      <c r="S65" s="51"/>
      <c r="T65" s="46"/>
      <c r="U65" s="46"/>
      <c r="V65" s="46"/>
      <c r="W65" s="46"/>
      <c r="X65" s="46"/>
      <c r="Y65" s="46"/>
      <c r="Z65" s="51"/>
      <c r="AA65" s="51"/>
      <c r="AB65" s="51"/>
      <c r="AC65" s="51"/>
      <c r="AD65" s="51"/>
      <c r="AE65" s="46"/>
      <c r="AF65" s="51"/>
      <c r="AG65" s="46"/>
      <c r="AH65" s="46"/>
      <c r="AI65" s="51"/>
      <c r="AJ65" s="46"/>
      <c r="AK65" s="46"/>
      <c r="AL65" s="46"/>
      <c r="AM65" s="46"/>
      <c r="AN65" s="46"/>
      <c r="AO65" s="46"/>
      <c r="AP65" s="46"/>
      <c r="AQ65" s="46"/>
      <c r="AR65" s="46"/>
      <c r="AS65" s="46"/>
      <c r="AT65" s="51"/>
      <c r="AU65" s="46"/>
      <c r="AV65" s="46"/>
      <c r="AW65" s="54"/>
      <c r="AX65" s="51"/>
      <c r="AY65" s="46"/>
      <c r="AZ65" s="46"/>
      <c r="BA65" s="46"/>
      <c r="BB65" s="46"/>
      <c r="BC65" s="46"/>
      <c r="BD65" s="46"/>
      <c r="BE65" s="46"/>
      <c r="BF65" s="46"/>
      <c r="BG65" s="46"/>
      <c r="BH65" s="46"/>
      <c r="BI65" s="46"/>
      <c r="BJ65" s="46"/>
      <c r="BK65" s="46"/>
      <c r="BL65" s="46"/>
      <c r="BM65" s="46"/>
      <c r="BN65" s="46"/>
      <c r="BO65" s="46"/>
      <c r="BP65" s="46"/>
      <c r="BQ65" s="46"/>
      <c r="BR65" s="46"/>
      <c r="BS65" s="54"/>
      <c r="BT65" s="46"/>
      <c r="BU65" s="54"/>
      <c r="BV65" s="46"/>
      <c r="BW65" s="46"/>
      <c r="BX65" s="46"/>
      <c r="BY65" s="46"/>
      <c r="BZ65" s="46"/>
      <c r="CA65" s="54"/>
      <c r="CB65" s="46"/>
      <c r="CC65" s="46"/>
      <c r="CD65" s="46"/>
    </row>
    <row r="66" spans="4:82" s="39" customFormat="true" ht="12" customHeight="true">
      <c r="D66" s="46"/>
      <c r="E66" s="46"/>
      <c r="F66" s="46"/>
      <c r="G66" s="46"/>
      <c r="H66" s="46"/>
      <c r="I66" s="46"/>
      <c r="J66" s="46"/>
      <c r="K66" s="46"/>
      <c r="L66" s="46"/>
      <c r="M66" s="46"/>
      <c r="N66" s="46"/>
      <c r="O66" s="46"/>
      <c r="P66" s="46"/>
      <c r="Q66" s="46"/>
      <c r="R66" s="46"/>
      <c r="S66" s="51"/>
      <c r="T66" s="46"/>
      <c r="U66" s="46"/>
      <c r="V66" s="46"/>
      <c r="W66" s="46"/>
      <c r="X66" s="46"/>
      <c r="Y66" s="46"/>
      <c r="Z66" s="51"/>
      <c r="AA66" s="51"/>
      <c r="AB66" s="51"/>
      <c r="AC66" s="51"/>
      <c r="AD66" s="51"/>
      <c r="AE66" s="46"/>
      <c r="AF66" s="51"/>
      <c r="AG66" s="46"/>
      <c r="AH66" s="46"/>
      <c r="AI66" s="51"/>
      <c r="AJ66" s="46"/>
      <c r="AK66" s="46"/>
      <c r="AL66" s="46"/>
      <c r="AM66" s="46"/>
      <c r="AN66" s="46"/>
      <c r="AO66" s="46"/>
      <c r="AP66" s="46"/>
      <c r="AQ66" s="46"/>
      <c r="AR66" s="46"/>
      <c r="AS66" s="46"/>
      <c r="AT66" s="51"/>
      <c r="AU66" s="46"/>
      <c r="AV66" s="46"/>
      <c r="AW66" s="54"/>
      <c r="AX66" s="51"/>
      <c r="AY66" s="46"/>
      <c r="AZ66" s="46"/>
      <c r="BA66" s="46"/>
      <c r="BB66" s="46"/>
      <c r="BC66" s="46"/>
      <c r="BD66" s="46"/>
      <c r="BE66" s="46"/>
      <c r="BF66" s="46"/>
      <c r="BG66" s="46"/>
      <c r="BH66" s="46"/>
      <c r="BI66" s="46"/>
      <c r="BJ66" s="46"/>
      <c r="BK66" s="46"/>
      <c r="BL66" s="46"/>
      <c r="BM66" s="46"/>
      <c r="BN66" s="46"/>
      <c r="BO66" s="46"/>
      <c r="BP66" s="46"/>
      <c r="BQ66" s="46"/>
      <c r="BR66" s="46"/>
      <c r="BS66" s="54"/>
      <c r="BT66" s="46"/>
      <c r="BU66" s="54"/>
      <c r="BV66" s="46"/>
      <c r="BW66" s="46"/>
      <c r="BX66" s="46"/>
      <c r="BY66" s="46"/>
      <c r="BZ66" s="46"/>
      <c r="CA66" s="54"/>
      <c r="CB66" s="46"/>
      <c r="CC66" s="46"/>
      <c r="CD66" s="46"/>
    </row>
    <row r="67" spans="4:82" s="39" customFormat="true" ht="12" customHeight="true">
      <c r="D67" s="46"/>
      <c r="E67" s="46"/>
      <c r="F67" s="46"/>
      <c r="G67" s="46"/>
      <c r="H67" s="46"/>
      <c r="I67" s="46"/>
      <c r="J67" s="46"/>
      <c r="K67" s="46"/>
      <c r="L67" s="46"/>
      <c r="M67" s="46"/>
      <c r="N67" s="46"/>
      <c r="O67" s="46"/>
      <c r="P67" s="46"/>
      <c r="Q67" s="46"/>
      <c r="R67" s="46"/>
      <c r="S67" s="51"/>
      <c r="T67" s="46"/>
      <c r="U67" s="46"/>
      <c r="V67" s="46"/>
      <c r="W67" s="46"/>
      <c r="X67" s="46"/>
      <c r="Y67" s="46"/>
      <c r="Z67" s="51"/>
      <c r="AA67" s="51"/>
      <c r="AB67" s="51"/>
      <c r="AC67" s="51"/>
      <c r="AD67" s="51"/>
      <c r="AE67" s="46"/>
      <c r="AF67" s="51"/>
      <c r="AG67" s="46"/>
      <c r="AH67" s="46"/>
      <c r="AI67" s="51"/>
      <c r="AJ67" s="46"/>
      <c r="AK67" s="46"/>
      <c r="AL67" s="46"/>
      <c r="AM67" s="46"/>
      <c r="AN67" s="46"/>
      <c r="AO67" s="46"/>
      <c r="AP67" s="46"/>
      <c r="AQ67" s="46"/>
      <c r="AR67" s="46"/>
      <c r="AS67" s="46"/>
      <c r="AT67" s="51"/>
      <c r="AU67" s="46"/>
      <c r="AV67" s="46"/>
      <c r="AW67" s="54"/>
      <c r="AX67" s="51"/>
      <c r="AY67" s="46"/>
      <c r="AZ67" s="46"/>
      <c r="BA67" s="46"/>
      <c r="BB67" s="46"/>
      <c r="BC67" s="46"/>
      <c r="BD67" s="46"/>
      <c r="BE67" s="46"/>
      <c r="BF67" s="46"/>
      <c r="BG67" s="46"/>
      <c r="BH67" s="46"/>
      <c r="BI67" s="46"/>
      <c r="BJ67" s="46"/>
      <c r="BK67" s="46"/>
      <c r="BL67" s="46"/>
      <c r="BM67" s="46"/>
      <c r="BN67" s="46"/>
      <c r="BO67" s="46"/>
      <c r="BP67" s="46"/>
      <c r="BQ67" s="46"/>
      <c r="BR67" s="46"/>
      <c r="BS67" s="54"/>
      <c r="BT67" s="46"/>
      <c r="BU67" s="54"/>
      <c r="BV67" s="46"/>
      <c r="BW67" s="46"/>
      <c r="BX67" s="46"/>
      <c r="BY67" s="46"/>
      <c r="BZ67" s="46"/>
      <c r="CA67" s="54"/>
      <c r="CB67" s="46"/>
      <c r="CC67" s="46"/>
      <c r="CD67" s="46"/>
    </row>
    <row r="68" spans="4:82" s="39" customFormat="true" ht="12" customHeight="true">
      <c r="D68" s="46"/>
      <c r="E68" s="46"/>
      <c r="F68" s="46"/>
      <c r="G68" s="46"/>
      <c r="H68" s="46"/>
      <c r="I68" s="46"/>
      <c r="J68" s="46"/>
      <c r="K68" s="46"/>
      <c r="L68" s="46"/>
      <c r="M68" s="46"/>
      <c r="N68" s="46"/>
      <c r="O68" s="46"/>
      <c r="P68" s="46"/>
      <c r="Q68" s="46"/>
      <c r="R68" s="46"/>
      <c r="S68" s="51"/>
      <c r="T68" s="46"/>
      <c r="U68" s="46"/>
      <c r="V68" s="46"/>
      <c r="W68" s="46"/>
      <c r="X68" s="46"/>
      <c r="Y68" s="46"/>
      <c r="Z68" s="51"/>
      <c r="AA68" s="51"/>
      <c r="AB68" s="51"/>
      <c r="AC68" s="51"/>
      <c r="AD68" s="51"/>
      <c r="AE68" s="46"/>
      <c r="AF68" s="51"/>
      <c r="AG68" s="46"/>
      <c r="AH68" s="46"/>
      <c r="AI68" s="51"/>
      <c r="AJ68" s="46"/>
      <c r="AK68" s="46"/>
      <c r="AL68" s="46"/>
      <c r="AM68" s="46"/>
      <c r="AN68" s="46"/>
      <c r="AO68" s="46"/>
      <c r="AP68" s="46"/>
      <c r="AQ68" s="46"/>
      <c r="AR68" s="46"/>
      <c r="AS68" s="46"/>
      <c r="AT68" s="51"/>
      <c r="AU68" s="46"/>
      <c r="AV68" s="46"/>
      <c r="AW68" s="54"/>
      <c r="AX68" s="51"/>
      <c r="AY68" s="46"/>
      <c r="AZ68" s="46"/>
      <c r="BA68" s="46"/>
      <c r="BB68" s="46"/>
      <c r="BC68" s="46"/>
      <c r="BD68" s="46"/>
      <c r="BE68" s="46"/>
      <c r="BF68" s="46"/>
      <c r="BG68" s="46"/>
      <c r="BH68" s="46"/>
      <c r="BI68" s="46"/>
      <c r="BJ68" s="46"/>
      <c r="BK68" s="46"/>
      <c r="BL68" s="46"/>
      <c r="BM68" s="46"/>
      <c r="BN68" s="46"/>
      <c r="BO68" s="46"/>
      <c r="BP68" s="46"/>
      <c r="BQ68" s="46"/>
      <c r="BR68" s="46"/>
      <c r="BS68" s="54"/>
      <c r="BT68" s="46"/>
      <c r="BU68" s="54"/>
      <c r="BV68" s="46"/>
      <c r="BW68" s="46"/>
      <c r="BX68" s="46"/>
      <c r="BY68" s="46"/>
      <c r="BZ68" s="46"/>
      <c r="CA68" s="54"/>
      <c r="CB68" s="46"/>
      <c r="CC68" s="46"/>
      <c r="CD68" s="46"/>
    </row>
    <row r="69" spans="4:82" s="39" customFormat="true" ht="12" customHeight="true">
      <c r="D69" s="46"/>
      <c r="E69" s="46"/>
      <c r="F69" s="46"/>
      <c r="G69" s="46"/>
      <c r="H69" s="46"/>
      <c r="I69" s="46"/>
      <c r="J69" s="46"/>
      <c r="K69" s="46"/>
      <c r="L69" s="46"/>
      <c r="M69" s="46"/>
      <c r="N69" s="46"/>
      <c r="O69" s="46"/>
      <c r="P69" s="46"/>
      <c r="Q69" s="46"/>
      <c r="R69" s="46"/>
      <c r="S69" s="51"/>
      <c r="T69" s="46"/>
      <c r="U69" s="46"/>
      <c r="V69" s="46"/>
      <c r="W69" s="46"/>
      <c r="X69" s="46"/>
      <c r="Y69" s="46"/>
      <c r="Z69" s="51"/>
      <c r="AA69" s="51"/>
      <c r="AB69" s="51"/>
      <c r="AC69" s="51"/>
      <c r="AD69" s="51"/>
      <c r="AE69" s="46"/>
      <c r="AF69" s="51"/>
      <c r="AG69" s="46"/>
      <c r="AH69" s="46"/>
      <c r="AI69" s="51"/>
      <c r="AJ69" s="46"/>
      <c r="AK69" s="46"/>
      <c r="AL69" s="46"/>
      <c r="AM69" s="46"/>
      <c r="AN69" s="46"/>
      <c r="AO69" s="46"/>
      <c r="AP69" s="46"/>
      <c r="AQ69" s="46"/>
      <c r="AR69" s="46"/>
      <c r="AS69" s="46"/>
      <c r="AT69" s="51"/>
      <c r="AU69" s="46"/>
      <c r="AV69" s="46"/>
      <c r="AW69" s="54"/>
      <c r="AX69" s="51"/>
      <c r="AY69" s="46"/>
      <c r="AZ69" s="46"/>
      <c r="BA69" s="46"/>
      <c r="BB69" s="46"/>
      <c r="BC69" s="46"/>
      <c r="BD69" s="46"/>
      <c r="BE69" s="46"/>
      <c r="BF69" s="46"/>
      <c r="BG69" s="46"/>
      <c r="BH69" s="46"/>
      <c r="BI69" s="46"/>
      <c r="BJ69" s="46"/>
      <c r="BK69" s="46"/>
      <c r="BL69" s="46"/>
      <c r="BM69" s="46"/>
      <c r="BN69" s="46"/>
      <c r="BO69" s="46"/>
      <c r="BP69" s="46"/>
      <c r="BQ69" s="46"/>
      <c r="BR69" s="46"/>
      <c r="BS69" s="54"/>
      <c r="BT69" s="46"/>
      <c r="BU69" s="54"/>
      <c r="BV69" s="46"/>
      <c r="BW69" s="46"/>
      <c r="BX69" s="46"/>
      <c r="BY69" s="46"/>
      <c r="BZ69" s="46"/>
      <c r="CA69" s="54"/>
      <c r="CB69" s="46"/>
      <c r="CC69" s="46"/>
      <c r="CD69" s="46"/>
    </row>
    <row r="70" spans="4:82" s="39" customFormat="true" ht="12" customHeight="true">
      <c r="D70" s="46"/>
      <c r="E70" s="46"/>
      <c r="F70" s="46"/>
      <c r="G70" s="46"/>
      <c r="H70" s="46"/>
      <c r="I70" s="46"/>
      <c r="J70" s="46"/>
      <c r="K70" s="46"/>
      <c r="L70" s="46"/>
      <c r="M70" s="46"/>
      <c r="N70" s="46"/>
      <c r="O70" s="46"/>
      <c r="P70" s="46"/>
      <c r="Q70" s="46"/>
      <c r="R70" s="46"/>
      <c r="S70" s="51"/>
      <c r="T70" s="46"/>
      <c r="U70" s="46"/>
      <c r="V70" s="46"/>
      <c r="W70" s="46"/>
      <c r="X70" s="46"/>
      <c r="Y70" s="46"/>
      <c r="Z70" s="51"/>
      <c r="AA70" s="51"/>
      <c r="AB70" s="51"/>
      <c r="AC70" s="51"/>
      <c r="AD70" s="51"/>
      <c r="AE70" s="46"/>
      <c r="AF70" s="51"/>
      <c r="AG70" s="46"/>
      <c r="AH70" s="46"/>
      <c r="AI70" s="51"/>
      <c r="AJ70" s="46"/>
      <c r="AK70" s="46"/>
      <c r="AL70" s="46"/>
      <c r="AM70" s="46"/>
      <c r="AN70" s="46"/>
      <c r="AO70" s="46"/>
      <c r="AP70" s="46"/>
      <c r="AQ70" s="46"/>
      <c r="AR70" s="46"/>
      <c r="AS70" s="46"/>
      <c r="AT70" s="51"/>
      <c r="AU70" s="46"/>
      <c r="AV70" s="46"/>
      <c r="AW70" s="54"/>
      <c r="AX70" s="51"/>
      <c r="AY70" s="46"/>
      <c r="AZ70" s="46"/>
      <c r="BA70" s="46"/>
      <c r="BB70" s="46"/>
      <c r="BC70" s="46"/>
      <c r="BD70" s="46"/>
      <c r="BE70" s="46"/>
      <c r="BF70" s="46"/>
      <c r="BG70" s="46"/>
      <c r="BH70" s="46"/>
      <c r="BI70" s="46"/>
      <c r="BJ70" s="46"/>
      <c r="BK70" s="46"/>
      <c r="BL70" s="46"/>
      <c r="BM70" s="46"/>
      <c r="BN70" s="46"/>
      <c r="BO70" s="46"/>
      <c r="BP70" s="46"/>
      <c r="BQ70" s="46"/>
      <c r="BR70" s="46"/>
      <c r="BS70" s="54"/>
      <c r="BT70" s="46"/>
      <c r="BU70" s="54"/>
      <c r="BV70" s="46"/>
      <c r="BW70" s="46"/>
      <c r="BX70" s="46"/>
      <c r="BY70" s="46"/>
      <c r="BZ70" s="46"/>
      <c r="CA70" s="54"/>
      <c r="CB70" s="46"/>
      <c r="CC70" s="46"/>
      <c r="CD70" s="46"/>
    </row>
    <row r="71" spans="4:82" s="39" customFormat="true" ht="12" customHeight="true">
      <c r="D71" s="46"/>
      <c r="E71" s="46"/>
      <c r="F71" s="46"/>
      <c r="G71" s="46"/>
      <c r="H71" s="46"/>
      <c r="I71" s="46"/>
      <c r="J71" s="46"/>
      <c r="K71" s="46"/>
      <c r="L71" s="46"/>
      <c r="M71" s="46"/>
      <c r="N71" s="46"/>
      <c r="O71" s="46"/>
      <c r="P71" s="46"/>
      <c r="Q71" s="46"/>
      <c r="R71" s="46"/>
      <c r="S71" s="51"/>
      <c r="T71" s="46"/>
      <c r="U71" s="46"/>
      <c r="V71" s="46"/>
      <c r="W71" s="46"/>
      <c r="X71" s="46"/>
      <c r="Y71" s="46"/>
      <c r="Z71" s="51"/>
      <c r="AA71" s="51"/>
      <c r="AB71" s="51"/>
      <c r="AC71" s="51"/>
      <c r="AD71" s="51"/>
      <c r="AE71" s="46"/>
      <c r="AF71" s="51"/>
      <c r="AG71" s="46"/>
      <c r="AH71" s="46"/>
      <c r="AI71" s="51"/>
      <c r="AJ71" s="46"/>
      <c r="AK71" s="46"/>
      <c r="AL71" s="46"/>
      <c r="AM71" s="46"/>
      <c r="AN71" s="46"/>
      <c r="AO71" s="46"/>
      <c r="AP71" s="46"/>
      <c r="AQ71" s="46"/>
      <c r="AR71" s="46"/>
      <c r="AS71" s="46"/>
      <c r="AT71" s="51"/>
      <c r="AU71" s="46"/>
      <c r="AV71" s="46"/>
      <c r="AW71" s="54"/>
      <c r="AX71" s="51"/>
      <c r="AY71" s="46"/>
      <c r="AZ71" s="46"/>
      <c r="BA71" s="46"/>
      <c r="BB71" s="46"/>
      <c r="BC71" s="46"/>
      <c r="BD71" s="46"/>
      <c r="BE71" s="46"/>
      <c r="BF71" s="46"/>
      <c r="BG71" s="46"/>
      <c r="BH71" s="46"/>
      <c r="BI71" s="46"/>
      <c r="BJ71" s="46"/>
      <c r="BK71" s="46"/>
      <c r="BL71" s="46"/>
      <c r="BM71" s="46"/>
      <c r="BN71" s="46"/>
      <c r="BO71" s="46"/>
      <c r="BP71" s="46"/>
      <c r="BQ71" s="46"/>
      <c r="BR71" s="46"/>
      <c r="BS71" s="54"/>
      <c r="BT71" s="46"/>
      <c r="BU71" s="54"/>
      <c r="BV71" s="46"/>
      <c r="BW71" s="46"/>
      <c r="BX71" s="46"/>
      <c r="BY71" s="46"/>
      <c r="BZ71" s="46"/>
      <c r="CA71" s="54"/>
      <c r="CB71" s="46"/>
      <c r="CC71" s="46"/>
      <c r="CD71" s="46"/>
    </row>
    <row r="72" spans="2:83" s="39" customFormat="true" ht="12" customHeight="true">
      <c r="B72" s="39" t="s">
        <v>34198</v>
      </c>
      <c r="D72" s="39">
        <f t="shared" ref="D72:W72" si="8">+SUM(D59:D71)</f>
        <v>0</v>
      </c>
      <c r="E72" s="39">
        <f t="shared" si="8"/>
        <v>0</v>
      </c>
      <c r="F72" s="39">
        <f t="shared" si="8"/>
        <v>0</v>
      </c>
      <c r="G72" s="39">
        <f t="shared" si="8"/>
        <v>0</v>
      </c>
      <c r="H72" s="39">
        <f t="shared" si="8"/>
        <v>0</v>
      </c>
      <c r="I72" s="39">
        <f t="shared" si="8"/>
        <v>0</v>
      </c>
      <c r="J72" s="39">
        <f t="shared" si="8"/>
        <v>0</v>
      </c>
      <c r="K72" s="39">
        <f t="shared" si="8"/>
        <v>0</v>
      </c>
      <c r="L72" s="39">
        <f t="shared" si="8"/>
        <v>24971.89</v>
      </c>
      <c r="M72" s="39">
        <f t="shared" si="8"/>
        <v>0</v>
      </c>
      <c r="N72" s="39">
        <f t="shared" si="8"/>
        <v>0</v>
      </c>
      <c r="O72" s="39">
        <f t="shared" si="8"/>
        <v>0</v>
      </c>
      <c r="P72" s="39">
        <f t="shared" si="8"/>
        <v>0</v>
      </c>
      <c r="Q72" s="39">
        <f t="shared" si="8"/>
        <v>0</v>
      </c>
      <c r="R72" s="39">
        <f t="shared" si="8"/>
        <v>0</v>
      </c>
      <c r="S72" s="51">
        <f t="shared" si="8"/>
        <v>0</v>
      </c>
      <c r="T72" s="39">
        <f t="shared" si="8"/>
        <v>0</v>
      </c>
      <c r="U72" s="39">
        <f t="shared" si="8"/>
        <v>0</v>
      </c>
      <c r="V72" s="39">
        <f t="shared" si="8"/>
        <v>0</v>
      </c>
      <c r="W72" s="39">
        <f t="shared" si="8"/>
        <v>0</v>
      </c>
      <c r="Y72" s="39">
        <f t="shared" ref="Y72:CD72" si="9">+SUM(Y59:Y71)</f>
        <v>0</v>
      </c>
      <c r="Z72" s="51">
        <f t="shared" si="9"/>
        <v>0</v>
      </c>
      <c r="AA72" s="51">
        <f t="shared" si="9"/>
        <v>0</v>
      </c>
      <c r="AB72" s="51">
        <f t="shared" si="9"/>
        <v>0</v>
      </c>
      <c r="AC72" s="51">
        <f t="shared" si="9"/>
        <v>0</v>
      </c>
      <c r="AD72" s="51">
        <f t="shared" si="9"/>
        <v>0</v>
      </c>
      <c r="AE72" s="39">
        <f t="shared" si="9"/>
        <v>0</v>
      </c>
      <c r="AF72" s="51">
        <f t="shared" si="9"/>
        <v>0</v>
      </c>
      <c r="AG72" s="39">
        <f t="shared" si="9"/>
        <v>0</v>
      </c>
      <c r="AH72" s="39">
        <f t="shared" si="9"/>
        <v>0</v>
      </c>
      <c r="AI72" s="51">
        <f t="shared" si="9"/>
        <v>0</v>
      </c>
      <c r="AJ72" s="39">
        <f t="shared" si="9"/>
        <v>0</v>
      </c>
      <c r="AK72" s="39">
        <f t="shared" si="9"/>
        <v>0</v>
      </c>
      <c r="AL72" s="39">
        <f t="shared" si="9"/>
        <v>0</v>
      </c>
      <c r="AM72" s="39">
        <f t="shared" si="9"/>
        <v>0</v>
      </c>
      <c r="AN72" s="39">
        <f t="shared" si="9"/>
        <v>0</v>
      </c>
      <c r="AO72" s="39">
        <f t="shared" si="9"/>
        <v>0</v>
      </c>
      <c r="AP72" s="39">
        <f t="shared" si="9"/>
        <v>0</v>
      </c>
      <c r="AQ72" s="39">
        <f t="shared" si="9"/>
        <v>0</v>
      </c>
      <c r="AR72" s="39">
        <f t="shared" si="9"/>
        <v>0</v>
      </c>
      <c r="AS72" s="39">
        <f t="shared" si="9"/>
        <v>0</v>
      </c>
      <c r="AT72" s="51">
        <f t="shared" si="9"/>
        <v>0</v>
      </c>
      <c r="AU72" s="39">
        <f t="shared" si="9"/>
        <v>0</v>
      </c>
      <c r="AV72" s="39">
        <f t="shared" si="9"/>
        <v>0</v>
      </c>
      <c r="AW72" s="54">
        <f t="shared" si="9"/>
        <v>0</v>
      </c>
      <c r="AX72" s="51">
        <f t="shared" si="9"/>
        <v>0</v>
      </c>
      <c r="AY72" s="39">
        <f t="shared" si="9"/>
        <v>0</v>
      </c>
      <c r="AZ72" s="39">
        <f t="shared" si="9"/>
        <v>0</v>
      </c>
      <c r="BA72" s="39">
        <f t="shared" si="9"/>
        <v>0</v>
      </c>
      <c r="BB72" s="39">
        <f t="shared" si="9"/>
        <v>0</v>
      </c>
      <c r="BC72" s="39">
        <f t="shared" si="9"/>
        <v>0</v>
      </c>
      <c r="BD72" s="39">
        <f t="shared" si="9"/>
        <v>0</v>
      </c>
      <c r="BE72" s="39">
        <f t="shared" si="9"/>
        <v>0</v>
      </c>
      <c r="BF72" s="39">
        <f t="shared" si="9"/>
        <v>0</v>
      </c>
      <c r="BG72" s="39">
        <f t="shared" si="9"/>
        <v>0</v>
      </c>
      <c r="BH72" s="39">
        <f t="shared" si="9"/>
        <v>3112.58</v>
      </c>
      <c r="BI72" s="39">
        <f t="shared" si="9"/>
        <v>0</v>
      </c>
      <c r="BJ72" s="39">
        <f t="shared" si="9"/>
        <v>0</v>
      </c>
      <c r="BK72" s="39">
        <f t="shared" si="9"/>
        <v>0</v>
      </c>
      <c r="BL72" s="39">
        <f t="shared" si="9"/>
        <v>0</v>
      </c>
      <c r="BM72" s="39">
        <f t="shared" si="9"/>
        <v>0</v>
      </c>
      <c r="BN72" s="39">
        <f t="shared" si="9"/>
        <v>0</v>
      </c>
      <c r="BO72" s="39">
        <f t="shared" si="9"/>
        <v>0</v>
      </c>
      <c r="BP72" s="39">
        <f t="shared" si="9"/>
        <v>0</v>
      </c>
      <c r="BQ72" s="39">
        <f t="shared" si="9"/>
        <v>0</v>
      </c>
      <c r="BR72" s="39">
        <f t="shared" si="9"/>
        <v>0</v>
      </c>
      <c r="BS72" s="54">
        <f t="shared" si="9"/>
        <v>0</v>
      </c>
      <c r="BT72" s="39">
        <f t="shared" si="9"/>
        <v>0</v>
      </c>
      <c r="BU72" s="54">
        <f t="shared" si="9"/>
        <v>0</v>
      </c>
      <c r="BV72" s="39">
        <f t="shared" si="9"/>
        <v>0</v>
      </c>
      <c r="BW72" s="39">
        <f t="shared" si="9"/>
        <v>0</v>
      </c>
      <c r="BX72" s="39">
        <f t="shared" si="9"/>
        <v>0</v>
      </c>
      <c r="BY72" s="39">
        <f t="shared" si="9"/>
        <v>0</v>
      </c>
      <c r="BZ72" s="39">
        <f t="shared" si="9"/>
        <v>0</v>
      </c>
      <c r="CA72" s="54">
        <f t="shared" si="9"/>
        <v>0</v>
      </c>
      <c r="CB72" s="39">
        <f t="shared" si="9"/>
        <v>0</v>
      </c>
      <c r="CC72" s="39">
        <f t="shared" si="9"/>
        <v>0</v>
      </c>
      <c r="CD72" s="39">
        <f t="shared" si="9"/>
        <v>0</v>
      </c>
      <c r="CE72" s="39">
        <f>SUM(D72:CD72)</f>
        <v>28084.47</v>
      </c>
    </row>
    <row r="73" spans="19:79" s="39" customFormat="true" ht="12" customHeight="true">
      <c r="S73" s="51"/>
      <c r="Z73" s="51"/>
      <c r="AA73" s="51"/>
      <c r="AB73" s="51"/>
      <c r="AC73" s="51"/>
      <c r="AD73" s="51"/>
      <c r="AF73" s="51"/>
      <c r="AI73" s="51"/>
      <c r="AT73" s="51"/>
      <c r="AW73" s="54"/>
      <c r="AX73" s="51"/>
      <c r="BS73" s="54"/>
      <c r="BU73" s="54"/>
      <c r="CA73" s="54"/>
    </row>
    <row r="74" spans="19:79" s="39" customFormat="true" ht="12" customHeight="true">
      <c r="S74" s="51"/>
      <c r="Z74" s="51"/>
      <c r="AA74" s="51"/>
      <c r="AB74" s="51"/>
      <c r="AC74" s="51"/>
      <c r="AD74" s="51"/>
      <c r="AF74" s="51"/>
      <c r="AI74" s="51"/>
      <c r="AT74" s="51"/>
      <c r="AW74" s="54"/>
      <c r="AX74" s="51"/>
      <c r="BS74" s="54"/>
      <c r="BU74" s="54"/>
      <c r="CA74" s="54"/>
    </row>
    <row r="75" spans="2:83" s="39" customFormat="true" ht="12" customHeight="true">
      <c r="B75" s="39" t="s">
        <v>34199</v>
      </c>
      <c r="D75" s="39">
        <f t="shared" ref="D75:BO75" si="10">+D51+D57+D72</f>
        <v>91986.57</v>
      </c>
      <c r="E75" s="39">
        <f t="shared" si="10"/>
        <v>-43815.84</v>
      </c>
      <c r="F75" s="39">
        <f t="shared" si="10"/>
        <v>-22943.1</v>
      </c>
      <c r="G75" s="39">
        <f t="shared" si="10"/>
        <v>40953.47</v>
      </c>
      <c r="H75" s="39">
        <f t="shared" si="10"/>
        <v>-34153.92</v>
      </c>
      <c r="I75" s="39">
        <f t="shared" si="10"/>
        <v>0</v>
      </c>
      <c r="J75" s="39">
        <f t="shared" si="10"/>
        <v>753727.69</v>
      </c>
      <c r="K75" s="39">
        <f t="shared" si="10"/>
        <v>552400.96</v>
      </c>
      <c r="L75" s="39">
        <f t="shared" si="10"/>
        <v>29276.57</v>
      </c>
      <c r="M75" s="39">
        <f t="shared" si="10"/>
        <v>27612.05</v>
      </c>
      <c r="N75" s="39">
        <f t="shared" si="10"/>
        <v>4375.83</v>
      </c>
      <c r="O75" s="39">
        <f t="shared" si="10"/>
        <v>-109962.77</v>
      </c>
      <c r="P75" s="39">
        <f t="shared" si="10"/>
        <v>-16245.84</v>
      </c>
      <c r="Q75" s="39">
        <f t="shared" si="10"/>
        <v>-1280.19</v>
      </c>
      <c r="R75" s="39">
        <f t="shared" si="10"/>
        <v>8680.85</v>
      </c>
      <c r="S75" s="51">
        <f t="shared" si="10"/>
        <v>0</v>
      </c>
      <c r="T75" s="39">
        <f t="shared" si="10"/>
        <v>148549.42</v>
      </c>
      <c r="U75" s="39">
        <f t="shared" si="10"/>
        <v>29031.32</v>
      </c>
      <c r="V75" s="39">
        <f t="shared" si="10"/>
        <v>-41767.46</v>
      </c>
      <c r="W75" s="39">
        <f t="shared" si="10"/>
        <v>23639.93</v>
      </c>
      <c r="X75" s="39">
        <f t="shared" si="10"/>
        <v>16830.09</v>
      </c>
      <c r="Y75" s="39">
        <f t="shared" si="10"/>
        <v>0</v>
      </c>
      <c r="Z75" s="51">
        <f t="shared" si="10"/>
        <v>0</v>
      </c>
      <c r="AA75" s="51">
        <f t="shared" si="10"/>
        <v>0</v>
      </c>
      <c r="AB75" s="51">
        <f t="shared" si="10"/>
        <v>0</v>
      </c>
      <c r="AC75" s="51">
        <f t="shared" si="10"/>
        <v>0</v>
      </c>
      <c r="AD75" s="51">
        <f t="shared" si="10"/>
        <v>0</v>
      </c>
      <c r="AE75" s="39">
        <f t="shared" si="10"/>
        <v>317257.65</v>
      </c>
      <c r="AF75" s="51">
        <f t="shared" si="10"/>
        <v>0</v>
      </c>
      <c r="AG75" s="39">
        <f t="shared" si="10"/>
        <v>-252113.72</v>
      </c>
      <c r="AH75" s="39">
        <f t="shared" si="10"/>
        <v>47263.3</v>
      </c>
      <c r="AI75" s="51">
        <f t="shared" si="10"/>
        <v>0</v>
      </c>
      <c r="AJ75" s="39">
        <f t="shared" si="10"/>
        <v>-48726.22</v>
      </c>
      <c r="AK75" s="39">
        <f t="shared" si="10"/>
        <v>116431.93</v>
      </c>
      <c r="AL75" s="39">
        <f t="shared" si="10"/>
        <v>34481.13</v>
      </c>
      <c r="AM75" s="39">
        <f t="shared" si="10"/>
        <v>0</v>
      </c>
      <c r="AN75" s="39">
        <f t="shared" si="10"/>
        <v>0</v>
      </c>
      <c r="AO75" s="39">
        <f t="shared" si="10"/>
        <v>30180.92</v>
      </c>
      <c r="AP75" s="39">
        <f t="shared" si="10"/>
        <v>8418.36</v>
      </c>
      <c r="AQ75" s="39">
        <f t="shared" si="10"/>
        <v>-170.34</v>
      </c>
      <c r="AR75" s="39">
        <f t="shared" si="10"/>
        <v>12205.43</v>
      </c>
      <c r="AS75" s="39">
        <f t="shared" si="10"/>
        <v>13773.5</v>
      </c>
      <c r="AT75" s="51">
        <f t="shared" si="10"/>
        <v>0</v>
      </c>
      <c r="AU75" s="39">
        <f t="shared" si="10"/>
        <v>6810.06</v>
      </c>
      <c r="AV75" s="39">
        <f t="shared" si="10"/>
        <v>2053.15</v>
      </c>
      <c r="AW75" s="54">
        <f t="shared" si="10"/>
        <v>0</v>
      </c>
      <c r="AX75" s="51">
        <f t="shared" si="10"/>
        <v>0</v>
      </c>
      <c r="AY75" s="39">
        <f t="shared" si="10"/>
        <v>36247.07</v>
      </c>
      <c r="AZ75" s="39">
        <f t="shared" si="10"/>
        <v>30856.5</v>
      </c>
      <c r="BA75" s="39">
        <f t="shared" si="10"/>
        <v>35510.34</v>
      </c>
      <c r="BB75" s="39">
        <f t="shared" si="10"/>
        <v>3832.44</v>
      </c>
      <c r="BC75" s="39">
        <f t="shared" si="10"/>
        <v>98113.88</v>
      </c>
      <c r="BD75" s="39">
        <f t="shared" si="10"/>
        <v>3205.35</v>
      </c>
      <c r="BE75" s="39">
        <f t="shared" si="10"/>
        <v>25688.08</v>
      </c>
      <c r="BF75" s="39">
        <f t="shared" si="10"/>
        <v>47314.85</v>
      </c>
      <c r="BG75" s="39">
        <f t="shared" si="10"/>
        <v>0</v>
      </c>
      <c r="BH75" s="39">
        <f t="shared" si="10"/>
        <v>91657.94</v>
      </c>
      <c r="BI75" s="39">
        <f t="shared" si="10"/>
        <v>18359.71</v>
      </c>
      <c r="BJ75" s="39">
        <f t="shared" si="10"/>
        <v>30412.02</v>
      </c>
      <c r="BK75" s="39">
        <f t="shared" si="10"/>
        <v>39051.25</v>
      </c>
      <c r="BL75" s="39">
        <f t="shared" si="10"/>
        <v>33420.64</v>
      </c>
      <c r="BM75" s="39">
        <f t="shared" si="10"/>
        <v>54005.45</v>
      </c>
      <c r="BN75" s="39">
        <f t="shared" si="10"/>
        <v>42311.08</v>
      </c>
      <c r="BO75" s="39">
        <f t="shared" si="10"/>
        <v>40146.48</v>
      </c>
      <c r="BP75" s="39">
        <f t="shared" ref="BP75:CD75" si="11">+BP51+BP57+BP72</f>
        <v>134360.48</v>
      </c>
      <c r="BQ75" s="39">
        <f t="shared" si="11"/>
        <v>38312.09</v>
      </c>
      <c r="BR75" s="39">
        <f t="shared" si="11"/>
        <v>59758.88</v>
      </c>
      <c r="BS75" s="54">
        <f t="shared" si="11"/>
        <v>0</v>
      </c>
      <c r="BT75" s="39">
        <f t="shared" si="11"/>
        <v>20481.47</v>
      </c>
      <c r="BU75" s="54">
        <f t="shared" si="11"/>
        <v>0</v>
      </c>
      <c r="BV75" s="39">
        <f t="shared" si="11"/>
        <v>68867.82</v>
      </c>
      <c r="BW75" s="39">
        <f t="shared" si="11"/>
        <v>44424.13</v>
      </c>
      <c r="BX75" s="39">
        <f t="shared" si="11"/>
        <v>-42871.51</v>
      </c>
      <c r="BY75" s="39">
        <f t="shared" si="11"/>
        <v>97212.08</v>
      </c>
      <c r="BZ75" s="39">
        <f t="shared" si="11"/>
        <v>41426.97</v>
      </c>
      <c r="CA75" s="54">
        <f t="shared" si="11"/>
        <v>0</v>
      </c>
      <c r="CB75" s="39">
        <f t="shared" si="11"/>
        <v>334691.25</v>
      </c>
      <c r="CC75" s="39">
        <f t="shared" si="11"/>
        <v>584918.08</v>
      </c>
      <c r="CD75" s="39">
        <f t="shared" si="11"/>
        <v>31464.99</v>
      </c>
      <c r="CE75" s="39">
        <f>SUM(D75:CD75)</f>
        <v>3787940.59</v>
      </c>
    </row>
    <row r="76" spans="19:79" s="39" customFormat="true" ht="12" customHeight="true">
      <c r="S76" s="51"/>
      <c r="Z76" s="51"/>
      <c r="AA76" s="51"/>
      <c r="AB76" s="51"/>
      <c r="AC76" s="51"/>
      <c r="AD76" s="51"/>
      <c r="AF76" s="51"/>
      <c r="AI76" s="51"/>
      <c r="AT76" s="51"/>
      <c r="AW76" s="54"/>
      <c r="AX76" s="51"/>
      <c r="BS76" s="54"/>
      <c r="BU76" s="54"/>
      <c r="CA76" s="54"/>
    </row>
    <row r="77" spans="2:83" s="39" customFormat="true" ht="12" customHeight="true">
      <c r="B77" s="39" t="s">
        <v>13909</v>
      </c>
      <c r="D77" s="47">
        <f t="shared" ref="D77:BO77" si="12">+D49-D75</f>
        <v>0</v>
      </c>
      <c r="E77" s="47">
        <f t="shared" si="12"/>
        <v>0</v>
      </c>
      <c r="F77" s="47">
        <f t="shared" si="12"/>
        <v>0</v>
      </c>
      <c r="G77" s="47">
        <f t="shared" si="12"/>
        <v>0</v>
      </c>
      <c r="H77" s="47">
        <f t="shared" si="12"/>
        <v>0</v>
      </c>
      <c r="I77" s="47">
        <f t="shared" si="12"/>
        <v>0</v>
      </c>
      <c r="J77" s="47">
        <f t="shared" si="12"/>
        <v>0</v>
      </c>
      <c r="K77" s="47">
        <f t="shared" si="12"/>
        <v>0</v>
      </c>
      <c r="L77" s="47">
        <f t="shared" si="12"/>
        <v>0</v>
      </c>
      <c r="M77" s="47">
        <f t="shared" si="12"/>
        <v>0</v>
      </c>
      <c r="N77" s="47">
        <f t="shared" si="12"/>
        <v>0</v>
      </c>
      <c r="O77" s="47">
        <f t="shared" si="12"/>
        <v>0</v>
      </c>
      <c r="P77" s="47">
        <f t="shared" si="12"/>
        <v>0</v>
      </c>
      <c r="Q77" s="47">
        <f t="shared" si="12"/>
        <v>0</v>
      </c>
      <c r="R77" s="47">
        <f t="shared" si="12"/>
        <v>0</v>
      </c>
      <c r="S77" s="47">
        <f t="shared" si="12"/>
        <v>0</v>
      </c>
      <c r="T77" s="47">
        <f t="shared" si="12"/>
        <v>0</v>
      </c>
      <c r="U77" s="47">
        <f t="shared" si="12"/>
        <v>0</v>
      </c>
      <c r="V77" s="47">
        <f t="shared" si="12"/>
        <v>0</v>
      </c>
      <c r="W77" s="47">
        <f t="shared" si="12"/>
        <v>0</v>
      </c>
      <c r="X77" s="47">
        <f t="shared" si="12"/>
        <v>0</v>
      </c>
      <c r="Y77" s="47">
        <f t="shared" si="12"/>
        <v>0</v>
      </c>
      <c r="Z77" s="47">
        <f t="shared" si="12"/>
        <v>0</v>
      </c>
      <c r="AA77" s="47">
        <f t="shared" si="12"/>
        <v>0</v>
      </c>
      <c r="AB77" s="47">
        <f t="shared" si="12"/>
        <v>0</v>
      </c>
      <c r="AC77" s="47">
        <f t="shared" si="12"/>
        <v>0</v>
      </c>
      <c r="AD77" s="47">
        <f t="shared" si="12"/>
        <v>0</v>
      </c>
      <c r="AE77" s="47">
        <f t="shared" si="12"/>
        <v>0</v>
      </c>
      <c r="AF77" s="47">
        <f t="shared" si="12"/>
        <v>0</v>
      </c>
      <c r="AG77" s="47">
        <f t="shared" si="12"/>
        <v>0</v>
      </c>
      <c r="AH77" s="47">
        <f t="shared" si="12"/>
        <v>0</v>
      </c>
      <c r="AI77" s="47">
        <f t="shared" si="12"/>
        <v>0</v>
      </c>
      <c r="AJ77" s="47">
        <f t="shared" si="12"/>
        <v>0</v>
      </c>
      <c r="AK77" s="47">
        <f t="shared" si="12"/>
        <v>0</v>
      </c>
      <c r="AL77" s="47">
        <f t="shared" si="12"/>
        <v>0</v>
      </c>
      <c r="AM77" s="47">
        <f t="shared" si="12"/>
        <v>0</v>
      </c>
      <c r="AN77" s="47">
        <f t="shared" si="12"/>
        <v>0</v>
      </c>
      <c r="AO77" s="47">
        <f t="shared" si="12"/>
        <v>0</v>
      </c>
      <c r="AP77" s="47">
        <f t="shared" si="12"/>
        <v>0</v>
      </c>
      <c r="AQ77" s="47">
        <f t="shared" si="12"/>
        <v>3.49587025993969e-12</v>
      </c>
      <c r="AR77" s="47">
        <f t="shared" si="12"/>
        <v>0</v>
      </c>
      <c r="AS77" s="47">
        <f t="shared" si="12"/>
        <v>0</v>
      </c>
      <c r="AT77" s="47">
        <f t="shared" si="12"/>
        <v>0</v>
      </c>
      <c r="AU77" s="47">
        <f t="shared" si="12"/>
        <v>0</v>
      </c>
      <c r="AV77" s="47">
        <f t="shared" si="12"/>
        <v>-5.91171556152403e-12</v>
      </c>
      <c r="AW77" s="57">
        <f t="shared" si="12"/>
        <v>0</v>
      </c>
      <c r="AX77" s="47">
        <f t="shared" si="12"/>
        <v>0</v>
      </c>
      <c r="AY77" s="47">
        <f t="shared" si="12"/>
        <v>0</v>
      </c>
      <c r="AZ77" s="47">
        <f t="shared" si="12"/>
        <v>0</v>
      </c>
      <c r="BA77" s="47">
        <f t="shared" si="12"/>
        <v>0</v>
      </c>
      <c r="BB77" s="47">
        <f t="shared" si="12"/>
        <v>0</v>
      </c>
      <c r="BC77" s="47">
        <f t="shared" si="12"/>
        <v>0</v>
      </c>
      <c r="BD77" s="47">
        <f t="shared" si="12"/>
        <v>0</v>
      </c>
      <c r="BE77" s="47">
        <f t="shared" si="12"/>
        <v>0</v>
      </c>
      <c r="BF77" s="47">
        <f t="shared" si="12"/>
        <v>0</v>
      </c>
      <c r="BG77" s="47">
        <f t="shared" si="12"/>
        <v>0</v>
      </c>
      <c r="BH77" s="47">
        <f t="shared" si="12"/>
        <v>0</v>
      </c>
      <c r="BI77" s="47">
        <f t="shared" si="12"/>
        <v>0</v>
      </c>
      <c r="BJ77" s="47">
        <f t="shared" si="12"/>
        <v>0</v>
      </c>
      <c r="BK77" s="47">
        <f t="shared" si="12"/>
        <v>0</v>
      </c>
      <c r="BL77" s="47">
        <f t="shared" si="12"/>
        <v>0</v>
      </c>
      <c r="BM77" s="47">
        <f t="shared" si="12"/>
        <v>0</v>
      </c>
      <c r="BN77" s="47">
        <f t="shared" si="12"/>
        <v>0</v>
      </c>
      <c r="BO77" s="47">
        <f t="shared" si="12"/>
        <v>0</v>
      </c>
      <c r="BP77" s="47">
        <f t="shared" ref="BP77:CD77" si="13">+BP49-BP75</f>
        <v>0</v>
      </c>
      <c r="BQ77" s="47">
        <f t="shared" si="13"/>
        <v>0</v>
      </c>
      <c r="BR77" s="47">
        <f t="shared" si="13"/>
        <v>0</v>
      </c>
      <c r="BS77" s="57">
        <f t="shared" si="13"/>
        <v>0</v>
      </c>
      <c r="BT77" s="47">
        <f t="shared" si="13"/>
        <v>0</v>
      </c>
      <c r="BU77" s="57">
        <f t="shared" si="13"/>
        <v>0</v>
      </c>
      <c r="BV77" s="47">
        <f t="shared" si="13"/>
        <v>0</v>
      </c>
      <c r="BW77" s="47">
        <f t="shared" si="13"/>
        <v>0</v>
      </c>
      <c r="BX77" s="47">
        <f t="shared" si="13"/>
        <v>0</v>
      </c>
      <c r="BY77" s="47">
        <f t="shared" si="13"/>
        <v>0</v>
      </c>
      <c r="BZ77" s="47">
        <f t="shared" si="13"/>
        <v>0</v>
      </c>
      <c r="CA77" s="57">
        <f t="shared" si="13"/>
        <v>0</v>
      </c>
      <c r="CB77" s="47">
        <f t="shared" si="13"/>
        <v>0</v>
      </c>
      <c r="CC77" s="47">
        <f t="shared" si="13"/>
        <v>0</v>
      </c>
      <c r="CD77" s="47">
        <f t="shared" si="13"/>
        <v>0</v>
      </c>
      <c r="CE77" s="39">
        <f>SUM(D77:CD77)</f>
        <v>-2.41584530158434e-12</v>
      </c>
    </row>
    <row r="78" spans="4:6" ht="12" customHeight="true">
      <c r="D78" s="39"/>
      <c r="E78" s="39"/>
      <c r="F78" s="39"/>
    </row>
    <row r="79" spans="4:6" ht="12" customHeight="true">
      <c r="D79" s="39"/>
      <c r="E79" s="39"/>
      <c r="F79" s="39"/>
    </row>
    <row r="80" spans="4:6" ht="12" customHeight="true">
      <c r="D80" s="39"/>
      <c r="E80" s="39"/>
      <c r="F80" s="39"/>
    </row>
    <row r="81" spans="4:6" ht="12" customHeight="true">
      <c r="D81" s="39"/>
      <c r="E81" s="39"/>
      <c r="F81" s="39"/>
    </row>
    <row r="82" spans="4:6" ht="12" customHeight="true">
      <c r="D82" s="39"/>
      <c r="E82" s="39"/>
      <c r="F82" s="39"/>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sheetData>
  <conditionalFormatting sqref="D52:CD52">
    <cfRule type="cellIs" dxfId="4" priority="2" operator="notEqual">
      <formula>0</formula>
    </cfRule>
  </conditionalFormatting>
  <conditionalFormatting sqref="D77:CD77">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E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5" min="15" style="33" width="14.8933333333333"/>
    <col customWidth="true" max="18" min="16" style="33" width="14.44"/>
    <col customWidth="true" hidden="true" max="19" min="19" style="43" width="10.3266666666667"/>
    <col customWidth="true" max="20" min="20" style="33" width="14.8933333333333"/>
    <col customWidth="true" max="21" min="21" style="33" width="14.44"/>
    <col customWidth="true" max="22" min="22" style="33" width="14.8933333333333"/>
    <col customWidth="true" max="23" min="23" style="33" width="14.44"/>
    <col customWidth="true" max="25" min="24" style="33" width="17.8866666666667"/>
    <col customWidth="true" hidden="true" max="29" min="26" style="43" width="11"/>
    <col customWidth="true" max="30" min="30" style="43" width="10.5533333333333"/>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hidden="true" max="50" min="50" style="43" width="12.1066666666667"/>
    <col customWidth="true" max="51" min="51" style="33" width="14.44"/>
    <col customWidth="true" max="52" min="52" style="33" width="14.8933333333333"/>
    <col customWidth="true" max="53" min="53" style="33" width="14.44"/>
    <col customWidth="true" max="54" min="54" style="33" width="16.3266666666667"/>
    <col customWidth="true" max="55" min="55" style="33" width="14.44"/>
    <col customWidth="true" max="56" min="56" style="33" width="16.3266666666667"/>
    <col customWidth="true" max="57" min="57" style="33" width="14.8933333333333"/>
    <col customWidth="true" max="58" min="58" style="33" width="11.66"/>
    <col customWidth="true" hidden="true" max="59" min="59" style="33" width="14.5533333333333"/>
    <col customWidth="true" max="60" min="60" style="33" width="14"/>
    <col customWidth="true" max="61" min="61" style="33" width="14.5533333333333"/>
    <col customWidth="true" max="82" min="62" style="33" width="14"/>
    <col customWidth="true" max="83" min="83" style="33" width="14.44"/>
    <col customWidth="true" max="84" min="84" style="33" width="14"/>
    <col customWidth="true" max="85" min="85" style="33" width="11"/>
    <col customWidth="true" max="1024" min="86" style="33" width="9.10666666666667"/>
  </cols>
  <sheetData>
    <row r="1" spans="1:1" ht="12" customHeight="true">
      <c r="A1" s="33">
        <v>-1</v>
      </c>
    </row>
    <row r="2" spans="15:15" ht="12" customHeight="true">
      <c r="O2" s="33">
        <v>-1</v>
      </c>
    </row>
    <row r="4" spans="2:82"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13775</v>
      </c>
      <c r="Q4" s="44" t="s">
        <v>13775</v>
      </c>
      <c r="R4" s="44" t="s">
        <v>13775</v>
      </c>
      <c r="S4" s="51" t="s">
        <v>13775</v>
      </c>
      <c r="T4" s="44" t="s">
        <v>13777</v>
      </c>
      <c r="U4" s="44" t="s">
        <v>13777</v>
      </c>
      <c r="V4" s="44" t="s">
        <v>13778</v>
      </c>
      <c r="W4" s="52" t="s">
        <v>13778</v>
      </c>
      <c r="X4" s="44" t="s">
        <v>13778</v>
      </c>
      <c r="Y4" s="44" t="s">
        <v>13778</v>
      </c>
      <c r="Z4" s="51" t="s">
        <v>31453</v>
      </c>
      <c r="AA4" s="51" t="s">
        <v>31453</v>
      </c>
      <c r="AB4" s="51" t="s">
        <v>31454</v>
      </c>
      <c r="AC4" s="51" t="s">
        <v>31454</v>
      </c>
      <c r="AD4" s="51" t="s">
        <v>13788</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54" t="s">
        <v>13801</v>
      </c>
      <c r="AX4" s="58" t="s">
        <v>13801</v>
      </c>
      <c r="AY4" s="44" t="s">
        <v>13810</v>
      </c>
      <c r="AZ4" s="44" t="s">
        <v>13802</v>
      </c>
      <c r="BA4" s="44" t="s">
        <v>13803</v>
      </c>
      <c r="BB4" s="44" t="s">
        <v>13803</v>
      </c>
      <c r="BC4" s="44" t="s">
        <v>13804</v>
      </c>
      <c r="BD4" s="44" t="s">
        <v>13804</v>
      </c>
      <c r="BE4" s="44" t="s">
        <v>13805</v>
      </c>
      <c r="BF4" s="44" t="s">
        <v>13811</v>
      </c>
      <c r="BG4" s="53" t="s">
        <v>13811</v>
      </c>
      <c r="BH4" s="44" t="s">
        <v>13806</v>
      </c>
      <c r="BI4" s="44" t="s">
        <v>13807</v>
      </c>
      <c r="BJ4" s="44" t="s">
        <v>13808</v>
      </c>
      <c r="BK4" s="44" t="s">
        <v>13809</v>
      </c>
      <c r="BL4" s="44" t="s">
        <v>13796</v>
      </c>
      <c r="BM4" s="44" t="s">
        <v>13797</v>
      </c>
      <c r="BN4" s="44" t="s">
        <v>13798</v>
      </c>
      <c r="BO4" s="44" t="s">
        <v>13799</v>
      </c>
      <c r="BP4" s="44" t="s">
        <v>13800</v>
      </c>
      <c r="BQ4" s="44" t="s">
        <v>13812</v>
      </c>
      <c r="BR4" s="44" t="s">
        <v>13814</v>
      </c>
      <c r="BS4" s="54" t="s">
        <v>13814</v>
      </c>
      <c r="BT4" s="44" t="s">
        <v>13813</v>
      </c>
      <c r="BU4" s="54" t="s">
        <v>13813</v>
      </c>
      <c r="BV4" s="44" t="s">
        <v>13815</v>
      </c>
      <c r="BW4" s="44" t="s">
        <v>13816</v>
      </c>
      <c r="BX4" s="44" t="s">
        <v>13817</v>
      </c>
      <c r="BY4" s="44" t="s">
        <v>13818</v>
      </c>
      <c r="BZ4" s="44" t="s">
        <v>13819</v>
      </c>
      <c r="CA4" s="54" t="s">
        <v>13864</v>
      </c>
      <c r="CB4" s="44" t="s">
        <v>13864</v>
      </c>
      <c r="CC4" s="44" t="s">
        <v>13859</v>
      </c>
      <c r="CD4" s="44" t="s">
        <v>13860</v>
      </c>
    </row>
    <row r="5" spans="2:82"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34104</v>
      </c>
      <c r="Q5" s="48" t="s">
        <v>34105</v>
      </c>
      <c r="R5" s="45" t="s">
        <v>34103</v>
      </c>
      <c r="S5" s="43" t="s">
        <v>34107</v>
      </c>
      <c r="T5" s="48" t="s">
        <v>34104</v>
      </c>
      <c r="U5" s="45" t="s">
        <v>34103</v>
      </c>
      <c r="V5" s="48" t="s">
        <v>34104</v>
      </c>
      <c r="W5" s="45" t="s">
        <v>34103</v>
      </c>
      <c r="X5" s="48" t="s">
        <v>34108</v>
      </c>
      <c r="Y5" s="48" t="s">
        <v>34107</v>
      </c>
      <c r="Z5" s="43" t="s">
        <v>34104</v>
      </c>
      <c r="AA5" s="43" t="s">
        <v>34105</v>
      </c>
      <c r="AB5" s="43" t="s">
        <v>34104</v>
      </c>
      <c r="AC5" s="43" t="s">
        <v>34105</v>
      </c>
      <c r="AD5" s="43" t="s">
        <v>34103</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55" t="s">
        <v>34110</v>
      </c>
      <c r="AX5" s="43" t="s">
        <v>34111</v>
      </c>
      <c r="AY5" s="48" t="s">
        <v>34111</v>
      </c>
      <c r="AZ5" s="48" t="s">
        <v>34112</v>
      </c>
      <c r="BA5" s="48" t="s">
        <v>34113</v>
      </c>
      <c r="BB5" s="48" t="s">
        <v>34114</v>
      </c>
      <c r="BC5" s="48" t="s">
        <v>34115</v>
      </c>
      <c r="BD5" s="48" t="s">
        <v>34116</v>
      </c>
      <c r="BE5" s="48" t="s">
        <v>34117</v>
      </c>
      <c r="BF5" s="48" t="s">
        <v>34118</v>
      </c>
      <c r="BG5" s="48" t="s">
        <v>34119</v>
      </c>
      <c r="BH5" s="48" t="s">
        <v>34120</v>
      </c>
      <c r="BI5" s="48" t="s">
        <v>34121</v>
      </c>
      <c r="BJ5" s="48" t="s">
        <v>34122</v>
      </c>
      <c r="BK5" s="48" t="s">
        <v>34123</v>
      </c>
      <c r="BL5" s="48" t="s">
        <v>34124</v>
      </c>
      <c r="BM5" s="48" t="s">
        <v>34125</v>
      </c>
      <c r="BN5" s="48" t="s">
        <v>34126</v>
      </c>
      <c r="BO5" s="48" t="s">
        <v>34127</v>
      </c>
      <c r="BP5" s="48" t="s">
        <v>34128</v>
      </c>
      <c r="BQ5" s="48" t="s">
        <v>34129</v>
      </c>
      <c r="BR5" s="48" t="s">
        <v>34130</v>
      </c>
      <c r="BS5" s="55" t="s">
        <v>34131</v>
      </c>
      <c r="BT5" s="48" t="s">
        <v>34132</v>
      </c>
      <c r="BU5" s="55" t="s">
        <v>34133</v>
      </c>
      <c r="BV5" s="48" t="s">
        <v>34134</v>
      </c>
      <c r="BW5" s="48" t="s">
        <v>34135</v>
      </c>
      <c r="BX5" s="48" t="s">
        <v>34136</v>
      </c>
      <c r="BY5" s="48" t="s">
        <v>34137</v>
      </c>
      <c r="BZ5" s="48" t="s">
        <v>34138</v>
      </c>
      <c r="CA5" s="55" t="s">
        <v>34139</v>
      </c>
      <c r="CB5" s="48" t="s">
        <v>34140</v>
      </c>
      <c r="CC5" s="48" t="s">
        <v>34141</v>
      </c>
      <c r="CD5" s="48" t="s">
        <v>34142</v>
      </c>
    </row>
    <row r="6" spans="2:82"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v>27931733</v>
      </c>
      <c r="Q6" s="48">
        <v>26843912</v>
      </c>
      <c r="R6" s="45">
        <v>33540278</v>
      </c>
      <c r="T6" s="48">
        <v>30249789</v>
      </c>
      <c r="U6" s="45">
        <v>30282681</v>
      </c>
      <c r="V6" s="48">
        <v>748032703</v>
      </c>
      <c r="W6" s="45">
        <v>30311274</v>
      </c>
      <c r="X6" s="48">
        <v>203081093</v>
      </c>
      <c r="Y6" s="48" t="s">
        <v>34154</v>
      </c>
      <c r="Z6" s="43" t="s">
        <v>34155</v>
      </c>
      <c r="AA6" s="43" t="s">
        <v>34156</v>
      </c>
      <c r="AB6" s="43" t="s">
        <v>34157</v>
      </c>
      <c r="AC6" s="43" t="s">
        <v>34158</v>
      </c>
      <c r="AD6" s="43" t="s">
        <v>34159</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55">
        <v>11747980</v>
      </c>
      <c r="AX6" s="43" t="s">
        <v>34166</v>
      </c>
      <c r="AY6" s="48">
        <v>13585976</v>
      </c>
      <c r="AZ6" s="48">
        <v>748033552</v>
      </c>
      <c r="BA6" s="48">
        <v>31874966</v>
      </c>
      <c r="BB6" s="48">
        <v>454979502</v>
      </c>
      <c r="BC6" s="48">
        <v>31860536</v>
      </c>
      <c r="BD6" s="48">
        <v>693305826</v>
      </c>
      <c r="BE6" s="48">
        <v>32205856</v>
      </c>
      <c r="BF6" s="48">
        <v>32121632</v>
      </c>
      <c r="BG6" s="48" t="s">
        <v>34167</v>
      </c>
      <c r="BH6" s="48">
        <v>35356295</v>
      </c>
      <c r="BI6" s="48" t="s">
        <v>34168</v>
      </c>
      <c r="BJ6" s="48" t="s">
        <v>34169</v>
      </c>
      <c r="BK6" s="48" t="s">
        <v>34170</v>
      </c>
      <c r="BL6" s="48">
        <v>748030061</v>
      </c>
      <c r="BM6" s="48">
        <v>748032711</v>
      </c>
      <c r="BN6" s="48">
        <v>37307538</v>
      </c>
      <c r="BO6" s="48">
        <v>37346924</v>
      </c>
      <c r="BP6" s="48">
        <v>748035300</v>
      </c>
      <c r="BQ6" s="48" t="s">
        <v>34171</v>
      </c>
      <c r="BR6" s="48">
        <v>46129441</v>
      </c>
      <c r="BS6" s="55">
        <v>345508773</v>
      </c>
      <c r="BT6" s="48" t="s">
        <v>34172</v>
      </c>
      <c r="BU6" s="55">
        <v>369921303</v>
      </c>
      <c r="BV6" s="48" t="s">
        <v>34173</v>
      </c>
      <c r="BW6" s="48" t="s">
        <v>34174</v>
      </c>
      <c r="BX6" s="48"/>
      <c r="BY6" s="48">
        <v>50376193</v>
      </c>
      <c r="BZ6" s="48"/>
      <c r="CA6" s="55" t="s">
        <v>34175</v>
      </c>
      <c r="CB6" s="48"/>
      <c r="CC6" s="48">
        <v>4402766</v>
      </c>
      <c r="CD6" s="48" t="s">
        <v>34176</v>
      </c>
    </row>
    <row r="7" spans="2:82"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34178</v>
      </c>
      <c r="Q7" s="48" t="s">
        <v>34179</v>
      </c>
      <c r="R7" s="45" t="s">
        <v>14059</v>
      </c>
      <c r="T7" s="48" t="s">
        <v>34178</v>
      </c>
      <c r="U7" s="45" t="s">
        <v>14059</v>
      </c>
      <c r="V7" s="48" t="s">
        <v>34178</v>
      </c>
      <c r="W7" s="45" t="s">
        <v>14059</v>
      </c>
      <c r="X7" s="48" t="s">
        <v>34181</v>
      </c>
      <c r="Y7" s="48" t="s">
        <v>14060</v>
      </c>
      <c r="Z7" s="43" t="s">
        <v>14047</v>
      </c>
      <c r="AA7" s="43" t="s">
        <v>14049</v>
      </c>
      <c r="AB7" s="43" t="s">
        <v>14047</v>
      </c>
      <c r="AC7" s="43" t="s">
        <v>14049</v>
      </c>
      <c r="AD7" s="43" t="s">
        <v>14059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55" t="s">
        <v>34183</v>
      </c>
      <c r="AX7" s="43" t="s">
        <v>14046</v>
      </c>
      <c r="AY7" s="48" t="s">
        <v>14045</v>
      </c>
      <c r="AZ7" s="48" t="s">
        <v>14045</v>
      </c>
      <c r="BA7" s="48" t="s">
        <v>14045</v>
      </c>
      <c r="BB7" s="48" t="s">
        <v>34183</v>
      </c>
      <c r="BC7" s="48" t="s">
        <v>14045</v>
      </c>
      <c r="BD7" s="48" t="s">
        <v>34183</v>
      </c>
      <c r="BE7" s="48" t="s">
        <v>14045</v>
      </c>
      <c r="BF7" s="48" t="s">
        <v>14045</v>
      </c>
      <c r="BG7" s="48" t="s">
        <v>14053</v>
      </c>
      <c r="BH7" s="48" t="s">
        <v>14045</v>
      </c>
      <c r="BI7" s="48" t="s">
        <v>14045</v>
      </c>
      <c r="BJ7" s="48" t="s">
        <v>14045</v>
      </c>
      <c r="BK7" s="48" t="s">
        <v>14045</v>
      </c>
      <c r="BL7" s="48" t="s">
        <v>14045</v>
      </c>
      <c r="BM7" s="48" t="s">
        <v>14045</v>
      </c>
      <c r="BN7" s="48" t="s">
        <v>14045</v>
      </c>
      <c r="BO7" s="48" t="s">
        <v>14045</v>
      </c>
      <c r="BP7" s="48" t="s">
        <v>14045</v>
      </c>
      <c r="BQ7" s="48" t="s">
        <v>14045</v>
      </c>
      <c r="BR7" s="48" t="s">
        <v>14045</v>
      </c>
      <c r="BS7" s="55" t="s">
        <v>14061</v>
      </c>
      <c r="BT7" s="48" t="s">
        <v>14045</v>
      </c>
      <c r="BU7" s="55" t="s">
        <v>14061</v>
      </c>
      <c r="BV7" s="48" t="s">
        <v>14045</v>
      </c>
      <c r="BW7" s="48" t="s">
        <v>14045</v>
      </c>
      <c r="BX7" s="48" t="s">
        <v>14045</v>
      </c>
      <c r="BY7" s="48" t="s">
        <v>14045</v>
      </c>
      <c r="BZ7" s="48" t="s">
        <v>14045</v>
      </c>
      <c r="CA7" s="55" t="s">
        <v>14061</v>
      </c>
      <c r="CB7" s="48" t="s">
        <v>34184</v>
      </c>
      <c r="CC7" s="48" t="s">
        <v>14060</v>
      </c>
      <c r="CD7" s="48" t="s">
        <v>34178</v>
      </c>
    </row>
    <row r="8" spans="24:79" ht="12" customHeight="true">
      <c r="X8" s="33">
        <v>865</v>
      </c>
      <c r="Y8" s="33">
        <v>865</v>
      </c>
      <c r="AW8" s="55" t="s">
        <v>34185</v>
      </c>
      <c r="BG8" s="33" t="s">
        <v>34186</v>
      </c>
      <c r="BS8" s="56"/>
      <c r="BU8" s="56"/>
      <c r="CA8" s="56"/>
    </row>
    <row r="9" spans="2:83" s="39" customFormat="true" ht="12" customHeight="true">
      <c r="B9" s="39" t="s">
        <v>34187</v>
      </c>
      <c r="D9" s="46">
        <v>0</v>
      </c>
      <c r="E9" s="46">
        <v>0</v>
      </c>
      <c r="F9" s="46">
        <v>0</v>
      </c>
      <c r="G9" s="46">
        <v>0</v>
      </c>
      <c r="H9" s="46">
        <v>0</v>
      </c>
      <c r="I9" s="46">
        <v>0</v>
      </c>
      <c r="J9" s="46">
        <v>0</v>
      </c>
      <c r="K9" s="50">
        <v>3483437</v>
      </c>
      <c r="L9" s="50">
        <v>44540.64</v>
      </c>
      <c r="M9" s="46">
        <v>0</v>
      </c>
      <c r="N9" s="46">
        <v>0</v>
      </c>
      <c r="O9" s="46">
        <v>0</v>
      </c>
      <c r="P9" s="50">
        <v>23728.63</v>
      </c>
      <c r="Q9" s="46"/>
      <c r="R9" s="46"/>
      <c r="S9" s="51"/>
      <c r="T9" s="50">
        <v>252288.68</v>
      </c>
      <c r="U9" s="46"/>
      <c r="V9" s="46"/>
      <c r="W9" s="46"/>
      <c r="X9" s="50">
        <v>3037.65</v>
      </c>
      <c r="Y9" s="50"/>
      <c r="Z9" s="51"/>
      <c r="AA9" s="51"/>
      <c r="AB9" s="51"/>
      <c r="AC9" s="51"/>
      <c r="AD9" s="51"/>
      <c r="AE9" s="50">
        <v>28612.82</v>
      </c>
      <c r="AF9" s="51"/>
      <c r="AG9" s="50">
        <v>97019.73</v>
      </c>
      <c r="AH9" s="50">
        <v>37844.24</v>
      </c>
      <c r="AI9" s="51"/>
      <c r="AJ9" s="50">
        <v>54972.14</v>
      </c>
      <c r="AK9" s="50">
        <v>127773.13</v>
      </c>
      <c r="AL9" s="50">
        <v>33889.33</v>
      </c>
      <c r="AM9" s="46"/>
      <c r="AN9" s="46"/>
      <c r="AO9" s="50">
        <v>13920.76</v>
      </c>
      <c r="AP9" s="50">
        <v>38494.39</v>
      </c>
      <c r="AQ9" s="50">
        <v>62275.93</v>
      </c>
      <c r="AR9" s="50">
        <v>32622.99</v>
      </c>
      <c r="AS9" s="50">
        <v>30529.85</v>
      </c>
      <c r="AT9" s="51"/>
      <c r="AU9" s="50">
        <v>22828.89</v>
      </c>
      <c r="AV9" s="50">
        <v>357659.75</v>
      </c>
      <c r="AW9" s="54"/>
      <c r="AX9" s="51"/>
      <c r="AY9" s="50">
        <v>29837.77</v>
      </c>
      <c r="AZ9" s="50">
        <v>58003.27</v>
      </c>
      <c r="BA9" s="50">
        <v>77279.01</v>
      </c>
      <c r="BB9" s="50">
        <v>3813.06</v>
      </c>
      <c r="BC9" s="50">
        <v>87045.46</v>
      </c>
      <c r="BD9" s="50">
        <v>3110.93</v>
      </c>
      <c r="BE9" s="50">
        <v>38252.33</v>
      </c>
      <c r="BF9" s="50">
        <v>18531.9</v>
      </c>
      <c r="BG9" s="50"/>
      <c r="BH9" s="50">
        <v>130116.92</v>
      </c>
      <c r="BI9" s="50">
        <v>68573.96</v>
      </c>
      <c r="BJ9" s="50">
        <v>23486.69</v>
      </c>
      <c r="BK9" s="50">
        <v>16368.75</v>
      </c>
      <c r="BL9" s="50">
        <v>32851.38</v>
      </c>
      <c r="BM9" s="50">
        <v>41050.95</v>
      </c>
      <c r="BN9" s="50">
        <v>34062.12</v>
      </c>
      <c r="BO9" s="50">
        <v>29138.74</v>
      </c>
      <c r="BP9" s="50">
        <v>101854.36</v>
      </c>
      <c r="BQ9" s="50">
        <v>14840.97</v>
      </c>
      <c r="BR9" s="50">
        <v>47604.25</v>
      </c>
      <c r="BS9" s="54"/>
      <c r="BT9" s="50">
        <v>32696.09</v>
      </c>
      <c r="BU9" s="54"/>
      <c r="BV9" s="50">
        <v>76694.84</v>
      </c>
      <c r="BW9" s="50">
        <v>31513.62</v>
      </c>
      <c r="BX9" s="50">
        <v>62269.36</v>
      </c>
      <c r="BY9" s="50">
        <v>48329.04</v>
      </c>
      <c r="BZ9" s="50">
        <v>22227.24</v>
      </c>
      <c r="CA9" s="54"/>
      <c r="CB9" s="50">
        <v>216588.17</v>
      </c>
      <c r="CC9" s="50">
        <v>584918.08</v>
      </c>
      <c r="CD9" s="50">
        <v>2685.78</v>
      </c>
      <c r="CE9" s="39">
        <f>SUM(D9:CD9)</f>
        <v>6679221.59</v>
      </c>
    </row>
    <row r="10" spans="19:79" s="39" customFormat="true" ht="12" customHeight="true">
      <c r="S10" s="51"/>
      <c r="Z10" s="51"/>
      <c r="AA10" s="51"/>
      <c r="AB10" s="51"/>
      <c r="AC10" s="51"/>
      <c r="AD10" s="51"/>
      <c r="AF10" s="51"/>
      <c r="AI10" s="51"/>
      <c r="AT10" s="51"/>
      <c r="AW10" s="54"/>
      <c r="AX10" s="51"/>
      <c r="BS10" s="54"/>
      <c r="BU10" s="54"/>
      <c r="CA10" s="54"/>
    </row>
    <row r="11" spans="2:79" s="39" customFormat="true" ht="12" customHeight="true">
      <c r="B11" s="39" t="s">
        <v>34188</v>
      </c>
      <c r="S11" s="51"/>
      <c r="Z11" s="51"/>
      <c r="AA11" s="51"/>
      <c r="AB11" s="51"/>
      <c r="AC11" s="51"/>
      <c r="AD11" s="51"/>
      <c r="AF11" s="51"/>
      <c r="AI11" s="51"/>
      <c r="AT11" s="51"/>
      <c r="AW11" s="54"/>
      <c r="AX11" s="51"/>
      <c r="BS11" s="54"/>
      <c r="BU11" s="54"/>
      <c r="CA11" s="54"/>
    </row>
    <row r="12" spans="4:82" s="39" customFormat="true" ht="12" customHeight="true">
      <c r="D12" s="46">
        <v>124455.29</v>
      </c>
      <c r="E12" s="46">
        <v>257.35</v>
      </c>
      <c r="F12" s="46">
        <v>13879.3</v>
      </c>
      <c r="G12" s="46">
        <v>57976.69</v>
      </c>
      <c r="H12" s="46"/>
      <c r="I12" s="46"/>
      <c r="J12" s="46">
        <v>1100282.08</v>
      </c>
      <c r="K12" s="46">
        <v>4056.19</v>
      </c>
      <c r="L12" s="46"/>
      <c r="M12" s="46">
        <v>46708.34</v>
      </c>
      <c r="N12" s="46">
        <v>7438.17</v>
      </c>
      <c r="O12" s="46">
        <v>10549.67</v>
      </c>
      <c r="P12" s="46">
        <v>-0.31</v>
      </c>
      <c r="Q12" s="46">
        <v>17.41</v>
      </c>
      <c r="R12" s="46">
        <v>12778.48</v>
      </c>
      <c r="S12" s="51"/>
      <c r="T12" s="46">
        <v>2237.18</v>
      </c>
      <c r="U12" s="46">
        <v>26864.26</v>
      </c>
      <c r="V12" s="46"/>
      <c r="W12" s="46">
        <v>23493.48</v>
      </c>
      <c r="X12" s="46">
        <v>100</v>
      </c>
      <c r="Y12" s="46"/>
      <c r="Z12" s="51"/>
      <c r="AA12" s="51"/>
      <c r="AB12" s="51"/>
      <c r="AC12" s="51"/>
      <c r="AD12" s="51"/>
      <c r="AE12" s="46"/>
      <c r="AF12" s="51"/>
      <c r="AG12" s="46">
        <v>84.39</v>
      </c>
      <c r="AH12" s="46">
        <v>6496.74</v>
      </c>
      <c r="AI12" s="51"/>
      <c r="AJ12" s="46">
        <v>37500.42</v>
      </c>
      <c r="AK12" s="46">
        <v>7800</v>
      </c>
      <c r="AL12" s="46">
        <v>4500</v>
      </c>
      <c r="AM12" s="46"/>
      <c r="AN12" s="46"/>
      <c r="AO12" s="46"/>
      <c r="AP12" s="46"/>
      <c r="AQ12" s="46"/>
      <c r="AR12" s="46"/>
      <c r="AS12" s="46"/>
      <c r="AT12" s="51"/>
      <c r="AU12" s="46"/>
      <c r="AV12" s="46">
        <v>45270.83</v>
      </c>
      <c r="AW12" s="54"/>
      <c r="AX12" s="51"/>
      <c r="AY12" s="46"/>
      <c r="AZ12" s="46"/>
      <c r="BA12" s="46"/>
      <c r="BB12" s="46"/>
      <c r="BC12" s="46"/>
      <c r="BD12" s="46"/>
      <c r="BE12" s="46"/>
      <c r="BF12" s="46"/>
      <c r="BG12" s="46"/>
      <c r="BH12" s="46"/>
      <c r="BI12" s="46">
        <v>40.65</v>
      </c>
      <c r="BJ12" s="46"/>
      <c r="BK12" s="46"/>
      <c r="BL12" s="46"/>
      <c r="BM12" s="46"/>
      <c r="BN12" s="46"/>
      <c r="BO12" s="46"/>
      <c r="BP12" s="46"/>
      <c r="BQ12" s="46"/>
      <c r="BR12" s="46"/>
      <c r="BS12" s="54"/>
      <c r="BT12" s="46"/>
      <c r="BU12" s="54"/>
      <c r="BV12" s="46"/>
      <c r="BW12" s="46"/>
      <c r="BX12" s="46"/>
      <c r="BY12" s="46"/>
      <c r="BZ12" s="46"/>
      <c r="CA12" s="54"/>
      <c r="CB12" s="46">
        <v>229271</v>
      </c>
      <c r="CC12" s="46"/>
      <c r="CD12" s="46"/>
    </row>
    <row r="13" spans="4:82" s="39" customFormat="true" ht="12" customHeight="true">
      <c r="D13" s="46"/>
      <c r="E13" s="46"/>
      <c r="F13" s="46">
        <v>4258.56</v>
      </c>
      <c r="G13" s="46"/>
      <c r="H13" s="46"/>
      <c r="I13" s="46"/>
      <c r="J13" s="46"/>
      <c r="K13" s="46"/>
      <c r="L13" s="46"/>
      <c r="M13" s="46"/>
      <c r="N13" s="46"/>
      <c r="O13" s="46"/>
      <c r="P13" s="46"/>
      <c r="Q13" s="46">
        <v>79.68</v>
      </c>
      <c r="R13" s="46"/>
      <c r="S13" s="51"/>
      <c r="T13" s="46"/>
      <c r="U13" s="46">
        <v>27938.93</v>
      </c>
      <c r="V13" s="46"/>
      <c r="W13" s="46">
        <v>24949.31</v>
      </c>
      <c r="X13" s="46">
        <v>8300.53</v>
      </c>
      <c r="Y13" s="46"/>
      <c r="Z13" s="51"/>
      <c r="AA13" s="51"/>
      <c r="AB13" s="51"/>
      <c r="AC13" s="51"/>
      <c r="AD13" s="51"/>
      <c r="AE13" s="46"/>
      <c r="AF13" s="51"/>
      <c r="AG13" s="46"/>
      <c r="AH13" s="46"/>
      <c r="AI13" s="51"/>
      <c r="AJ13" s="46"/>
      <c r="AK13" s="46">
        <v>9750</v>
      </c>
      <c r="AL13" s="46">
        <v>3600</v>
      </c>
      <c r="AM13" s="46"/>
      <c r="AN13" s="46"/>
      <c r="AO13" s="46"/>
      <c r="AP13" s="46"/>
      <c r="AQ13" s="46"/>
      <c r="AR13" s="46"/>
      <c r="AS13" s="46"/>
      <c r="AT13" s="51"/>
      <c r="AU13" s="46"/>
      <c r="AV13" s="46"/>
      <c r="AW13" s="54"/>
      <c r="AX13" s="51"/>
      <c r="AY13" s="46"/>
      <c r="AZ13" s="46"/>
      <c r="BA13" s="46"/>
      <c r="BB13" s="46"/>
      <c r="BC13" s="46"/>
      <c r="BD13" s="46"/>
      <c r="BE13" s="46"/>
      <c r="BF13" s="46"/>
      <c r="BG13" s="46"/>
      <c r="BH13" s="46"/>
      <c r="BI13" s="46"/>
      <c r="BJ13" s="46"/>
      <c r="BK13" s="46"/>
      <c r="BL13" s="46"/>
      <c r="BM13" s="46"/>
      <c r="BN13" s="46"/>
      <c r="BO13" s="46"/>
      <c r="BP13" s="46"/>
      <c r="BQ13" s="46"/>
      <c r="BR13" s="46"/>
      <c r="BS13" s="54"/>
      <c r="BT13" s="46"/>
      <c r="BU13" s="54"/>
      <c r="BV13" s="46"/>
      <c r="BW13" s="46"/>
      <c r="BX13" s="46"/>
      <c r="BY13" s="46"/>
      <c r="BZ13" s="46"/>
      <c r="CA13" s="54"/>
      <c r="CB13" s="46"/>
      <c r="CC13" s="46"/>
      <c r="CD13" s="46"/>
    </row>
    <row r="14" spans="4:82" s="39" customFormat="true" ht="12" customHeight="true">
      <c r="D14" s="46"/>
      <c r="E14" s="46"/>
      <c r="F14" s="46"/>
      <c r="G14" s="46"/>
      <c r="H14" s="46"/>
      <c r="I14" s="46"/>
      <c r="J14" s="46"/>
      <c r="K14" s="46"/>
      <c r="L14" s="46"/>
      <c r="M14" s="46"/>
      <c r="N14" s="46"/>
      <c r="O14" s="46"/>
      <c r="P14" s="46"/>
      <c r="Q14" s="46">
        <v>250</v>
      </c>
      <c r="R14" s="46"/>
      <c r="S14" s="51"/>
      <c r="T14" s="46"/>
      <c r="U14" s="46"/>
      <c r="V14" s="46"/>
      <c r="W14" s="46"/>
      <c r="X14" s="46"/>
      <c r="Y14" s="46"/>
      <c r="Z14" s="51"/>
      <c r="AA14" s="51"/>
      <c r="AB14" s="51"/>
      <c r="AC14" s="51"/>
      <c r="AD14" s="51"/>
      <c r="AE14" s="46"/>
      <c r="AF14" s="51"/>
      <c r="AG14" s="46">
        <v>1201.14</v>
      </c>
      <c r="AH14" s="46">
        <v>1671.04</v>
      </c>
      <c r="AI14" s="51"/>
      <c r="AJ14" s="46"/>
      <c r="AK14" s="46">
        <v>792.92</v>
      </c>
      <c r="AL14" s="46">
        <v>1143.27</v>
      </c>
      <c r="AM14" s="46"/>
      <c r="AN14" s="46"/>
      <c r="AO14" s="46"/>
      <c r="AP14" s="46"/>
      <c r="AQ14" s="46"/>
      <c r="AR14" s="46"/>
      <c r="AS14" s="46"/>
      <c r="AT14" s="51"/>
      <c r="AU14" s="46"/>
      <c r="AV14" s="46"/>
      <c r="AW14" s="54"/>
      <c r="AX14" s="51"/>
      <c r="AY14" s="46"/>
      <c r="AZ14" s="46"/>
      <c r="BA14" s="46"/>
      <c r="BB14" s="46"/>
      <c r="BC14" s="46"/>
      <c r="BD14" s="46"/>
      <c r="BE14" s="46"/>
      <c r="BF14" s="46"/>
      <c r="BG14" s="46"/>
      <c r="BH14" s="46"/>
      <c r="BI14" s="46"/>
      <c r="BJ14" s="46"/>
      <c r="BK14" s="46"/>
      <c r="BL14" s="46"/>
      <c r="BM14" s="46"/>
      <c r="BN14" s="46"/>
      <c r="BO14" s="46"/>
      <c r="BP14" s="46"/>
      <c r="BQ14" s="46"/>
      <c r="BR14" s="46"/>
      <c r="BS14" s="54"/>
      <c r="BT14" s="46"/>
      <c r="BU14" s="54"/>
      <c r="BV14" s="46"/>
      <c r="BW14" s="46"/>
      <c r="BX14" s="46"/>
      <c r="BY14" s="46"/>
      <c r="BZ14" s="46"/>
      <c r="CA14" s="54"/>
      <c r="CB14" s="46"/>
      <c r="CC14" s="46"/>
      <c r="CD14" s="46"/>
    </row>
    <row r="15" spans="4:82" s="39" customFormat="true" ht="12" customHeight="true">
      <c r="D15" s="46"/>
      <c r="E15" s="46"/>
      <c r="F15" s="46">
        <v>-261714</v>
      </c>
      <c r="G15" s="46"/>
      <c r="H15" s="46"/>
      <c r="I15" s="46"/>
      <c r="J15" s="46"/>
      <c r="K15" s="46"/>
      <c r="L15" s="46"/>
      <c r="M15" s="46"/>
      <c r="N15" s="46"/>
      <c r="O15" s="46"/>
      <c r="P15" s="46"/>
      <c r="Q15" s="46">
        <v>250</v>
      </c>
      <c r="R15" s="46"/>
      <c r="S15" s="51"/>
      <c r="T15" s="46"/>
      <c r="U15" s="46"/>
      <c r="V15" s="46"/>
      <c r="W15" s="46"/>
      <c r="X15" s="46"/>
      <c r="Y15" s="46"/>
      <c r="Z15" s="51"/>
      <c r="AA15" s="51"/>
      <c r="AB15" s="51"/>
      <c r="AC15" s="51"/>
      <c r="AD15" s="51"/>
      <c r="AE15" s="46"/>
      <c r="AF15" s="51"/>
      <c r="AG15" s="46"/>
      <c r="AH15" s="46"/>
      <c r="AI15" s="51"/>
      <c r="AJ15" s="46"/>
      <c r="AK15" s="46">
        <v>4810.86</v>
      </c>
      <c r="AL15" s="46">
        <v>5872.69</v>
      </c>
      <c r="AM15" s="46"/>
      <c r="AN15" s="46"/>
      <c r="AO15" s="46"/>
      <c r="AP15" s="46"/>
      <c r="AQ15" s="46"/>
      <c r="AR15" s="46"/>
      <c r="AS15" s="46"/>
      <c r="AT15" s="51"/>
      <c r="AU15" s="46"/>
      <c r="AV15" s="46"/>
      <c r="AW15" s="54"/>
      <c r="AX15" s="51"/>
      <c r="AY15" s="46"/>
      <c r="AZ15" s="46"/>
      <c r="BA15" s="46"/>
      <c r="BB15" s="46"/>
      <c r="BC15" s="46"/>
      <c r="BD15" s="46"/>
      <c r="BE15" s="46"/>
      <c r="BF15" s="46"/>
      <c r="BG15" s="46"/>
      <c r="BH15" s="46"/>
      <c r="BI15" s="46"/>
      <c r="BJ15" s="46"/>
      <c r="BK15" s="46"/>
      <c r="BL15" s="46"/>
      <c r="BM15" s="46"/>
      <c r="BN15" s="46"/>
      <c r="BO15" s="46"/>
      <c r="BP15" s="46"/>
      <c r="BQ15" s="46"/>
      <c r="BR15" s="46"/>
      <c r="BS15" s="54"/>
      <c r="BT15" s="46"/>
      <c r="BU15" s="54"/>
      <c r="BV15" s="46"/>
      <c r="BW15" s="46"/>
      <c r="BX15" s="46"/>
      <c r="BY15" s="46"/>
      <c r="BZ15" s="46"/>
      <c r="CA15" s="54"/>
      <c r="CB15" s="46"/>
      <c r="CC15" s="46"/>
      <c r="CD15" s="46"/>
    </row>
    <row r="16" spans="4:82" s="39" customFormat="true" ht="12" customHeight="true">
      <c r="D16" s="46"/>
      <c r="E16" s="46"/>
      <c r="F16" s="46"/>
      <c r="G16" s="46"/>
      <c r="H16" s="46"/>
      <c r="I16" s="46"/>
      <c r="J16" s="46"/>
      <c r="K16" s="46"/>
      <c r="L16" s="46"/>
      <c r="M16" s="46"/>
      <c r="N16" s="46"/>
      <c r="O16" s="46">
        <v>2620.76</v>
      </c>
      <c r="P16" s="46"/>
      <c r="Q16" s="46"/>
      <c r="R16" s="46"/>
      <c r="S16" s="51"/>
      <c r="T16" s="46"/>
      <c r="U16" s="46"/>
      <c r="V16" s="46"/>
      <c r="W16" s="46"/>
      <c r="X16" s="46"/>
      <c r="Y16" s="46"/>
      <c r="Z16" s="51"/>
      <c r="AA16" s="51"/>
      <c r="AB16" s="51"/>
      <c r="AC16" s="51"/>
      <c r="AD16" s="51"/>
      <c r="AE16" s="46"/>
      <c r="AF16" s="51"/>
      <c r="AG16" s="46"/>
      <c r="AH16" s="46">
        <v>22128.61</v>
      </c>
      <c r="AI16" s="51"/>
      <c r="AJ16" s="46"/>
      <c r="AK16" s="46"/>
      <c r="AL16" s="46"/>
      <c r="AM16" s="46"/>
      <c r="AN16" s="46"/>
      <c r="AO16" s="46"/>
      <c r="AP16" s="46"/>
      <c r="AQ16" s="46"/>
      <c r="AR16" s="46"/>
      <c r="AS16" s="46"/>
      <c r="AT16" s="51"/>
      <c r="AU16" s="46"/>
      <c r="AV16" s="46"/>
      <c r="AW16" s="54"/>
      <c r="AX16" s="51"/>
      <c r="AY16" s="46"/>
      <c r="AZ16" s="46"/>
      <c r="BA16" s="46"/>
      <c r="BB16" s="46"/>
      <c r="BC16" s="46"/>
      <c r="BD16" s="46"/>
      <c r="BE16" s="46"/>
      <c r="BF16" s="46"/>
      <c r="BG16" s="46"/>
      <c r="BH16" s="46"/>
      <c r="BI16" s="46"/>
      <c r="BJ16" s="46"/>
      <c r="BK16" s="46"/>
      <c r="BL16" s="46"/>
      <c r="BM16" s="46"/>
      <c r="BN16" s="46"/>
      <c r="BO16" s="46"/>
      <c r="BP16" s="46"/>
      <c r="BQ16" s="46"/>
      <c r="BR16" s="46"/>
      <c r="BS16" s="54"/>
      <c r="BT16" s="46"/>
      <c r="BU16" s="54"/>
      <c r="BV16" s="46"/>
      <c r="BW16" s="46"/>
      <c r="BX16" s="46"/>
      <c r="BY16" s="46"/>
      <c r="BZ16" s="46"/>
      <c r="CA16" s="54"/>
      <c r="CB16" s="46"/>
      <c r="CC16" s="46"/>
      <c r="CD16" s="46"/>
    </row>
    <row r="17" spans="4:82" s="39" customFormat="true" ht="12" customHeight="true">
      <c r="D17" s="46"/>
      <c r="E17" s="46"/>
      <c r="F17" s="46"/>
      <c r="G17" s="46"/>
      <c r="H17" s="46"/>
      <c r="I17" s="46"/>
      <c r="J17" s="46"/>
      <c r="K17" s="46"/>
      <c r="L17" s="46"/>
      <c r="M17" s="46"/>
      <c r="N17" s="46"/>
      <c r="O17" s="46"/>
      <c r="P17" s="46"/>
      <c r="Q17" s="46"/>
      <c r="R17" s="46"/>
      <c r="S17" s="51"/>
      <c r="T17" s="46"/>
      <c r="U17" s="46"/>
      <c r="V17" s="46"/>
      <c r="W17" s="46"/>
      <c r="X17" s="46"/>
      <c r="Y17" s="46"/>
      <c r="Z17" s="51"/>
      <c r="AA17" s="51"/>
      <c r="AB17" s="51"/>
      <c r="AC17" s="51"/>
      <c r="AD17" s="51"/>
      <c r="AE17" s="46"/>
      <c r="AF17" s="51"/>
      <c r="AG17" s="46"/>
      <c r="AH17" s="46"/>
      <c r="AI17" s="51"/>
      <c r="AJ17" s="46"/>
      <c r="AK17" s="46"/>
      <c r="AL17" s="46"/>
      <c r="AM17" s="46"/>
      <c r="AN17" s="46"/>
      <c r="AO17" s="46"/>
      <c r="AP17" s="46"/>
      <c r="AQ17" s="46"/>
      <c r="AR17" s="46"/>
      <c r="AS17" s="46"/>
      <c r="AT17" s="51"/>
      <c r="AU17" s="46"/>
      <c r="AV17" s="46"/>
      <c r="AW17" s="54"/>
      <c r="AX17" s="51"/>
      <c r="AY17" s="46"/>
      <c r="AZ17" s="46"/>
      <c r="BA17" s="46"/>
      <c r="BB17" s="46"/>
      <c r="BC17" s="46"/>
      <c r="BD17" s="46"/>
      <c r="BE17" s="46"/>
      <c r="BF17" s="46"/>
      <c r="BG17" s="46"/>
      <c r="BH17" s="46"/>
      <c r="BI17" s="46"/>
      <c r="BJ17" s="46"/>
      <c r="BK17" s="46"/>
      <c r="BL17" s="46"/>
      <c r="BM17" s="46"/>
      <c r="BN17" s="46"/>
      <c r="BO17" s="46"/>
      <c r="BP17" s="46"/>
      <c r="BQ17" s="46"/>
      <c r="BR17" s="46"/>
      <c r="BS17" s="54"/>
      <c r="BT17" s="46"/>
      <c r="BU17" s="54"/>
      <c r="BV17" s="46"/>
      <c r="BW17" s="46"/>
      <c r="BX17" s="46"/>
      <c r="BY17" s="46"/>
      <c r="BZ17" s="46"/>
      <c r="CA17" s="54"/>
      <c r="CB17" s="46"/>
      <c r="CC17" s="46"/>
      <c r="CD17" s="46"/>
    </row>
    <row r="18" spans="4:82" s="39" customFormat="true" ht="12" customHeight="true">
      <c r="D18" s="46"/>
      <c r="E18" s="46"/>
      <c r="F18" s="46"/>
      <c r="G18" s="46"/>
      <c r="H18" s="46"/>
      <c r="I18" s="46"/>
      <c r="J18" s="46"/>
      <c r="K18" s="46"/>
      <c r="L18" s="46"/>
      <c r="M18" s="46"/>
      <c r="N18" s="46"/>
      <c r="O18" s="46"/>
      <c r="P18" s="46"/>
      <c r="Q18" s="46"/>
      <c r="R18" s="46"/>
      <c r="S18" s="51"/>
      <c r="T18" s="46"/>
      <c r="U18" s="46"/>
      <c r="V18" s="46"/>
      <c r="W18" s="46"/>
      <c r="X18" s="46"/>
      <c r="Y18" s="46"/>
      <c r="Z18" s="51"/>
      <c r="AA18" s="51"/>
      <c r="AB18" s="51"/>
      <c r="AC18" s="51"/>
      <c r="AD18" s="51"/>
      <c r="AE18" s="46"/>
      <c r="AF18" s="51"/>
      <c r="AG18" s="46"/>
      <c r="AH18" s="46"/>
      <c r="AI18" s="51"/>
      <c r="AJ18" s="46"/>
      <c r="AK18" s="46"/>
      <c r="AL18" s="46"/>
      <c r="AM18" s="46"/>
      <c r="AN18" s="46"/>
      <c r="AO18" s="46"/>
      <c r="AP18" s="46"/>
      <c r="AQ18" s="46"/>
      <c r="AR18" s="46"/>
      <c r="AS18" s="46"/>
      <c r="AT18" s="51"/>
      <c r="AU18" s="46"/>
      <c r="AV18" s="46"/>
      <c r="AW18" s="54"/>
      <c r="AX18" s="51"/>
      <c r="AY18" s="46"/>
      <c r="AZ18" s="46"/>
      <c r="BA18" s="46"/>
      <c r="BB18" s="46"/>
      <c r="BC18" s="46"/>
      <c r="BD18" s="46"/>
      <c r="BE18" s="46"/>
      <c r="BF18" s="46"/>
      <c r="BG18" s="46"/>
      <c r="BH18" s="46"/>
      <c r="BI18" s="46"/>
      <c r="BJ18" s="46"/>
      <c r="BK18" s="46"/>
      <c r="BL18" s="46"/>
      <c r="BM18" s="46"/>
      <c r="BN18" s="46"/>
      <c r="BO18" s="46"/>
      <c r="BP18" s="46"/>
      <c r="BQ18" s="46"/>
      <c r="BR18" s="46"/>
      <c r="BS18" s="54"/>
      <c r="BT18" s="46"/>
      <c r="BU18" s="54"/>
      <c r="BV18" s="46"/>
      <c r="BW18" s="46"/>
      <c r="BX18" s="46"/>
      <c r="BY18" s="46"/>
      <c r="BZ18" s="46"/>
      <c r="CA18" s="54"/>
      <c r="CB18" s="46"/>
      <c r="CC18" s="46"/>
      <c r="CD18" s="46"/>
    </row>
    <row r="19" spans="4:82" s="39" customFormat="true" ht="12" customHeight="true">
      <c r="D19" s="46"/>
      <c r="E19" s="46"/>
      <c r="F19" s="46"/>
      <c r="G19" s="46"/>
      <c r="H19" s="46"/>
      <c r="I19" s="46"/>
      <c r="J19" s="46"/>
      <c r="K19" s="46"/>
      <c r="L19" s="46"/>
      <c r="M19" s="46"/>
      <c r="N19" s="46"/>
      <c r="O19" s="46"/>
      <c r="P19" s="46"/>
      <c r="Q19" s="46"/>
      <c r="R19" s="46"/>
      <c r="S19" s="51"/>
      <c r="T19" s="46"/>
      <c r="U19" s="46"/>
      <c r="V19" s="46"/>
      <c r="W19" s="46"/>
      <c r="X19" s="46"/>
      <c r="Y19" s="46"/>
      <c r="Z19" s="51"/>
      <c r="AA19" s="51"/>
      <c r="AB19" s="51"/>
      <c r="AC19" s="51"/>
      <c r="AD19" s="51"/>
      <c r="AE19" s="46"/>
      <c r="AF19" s="51"/>
      <c r="AG19" s="46"/>
      <c r="AH19" s="46"/>
      <c r="AI19" s="51"/>
      <c r="AJ19" s="46"/>
      <c r="AK19" s="46"/>
      <c r="AL19" s="46"/>
      <c r="AM19" s="46"/>
      <c r="AN19" s="46"/>
      <c r="AO19" s="46"/>
      <c r="AP19" s="46"/>
      <c r="AQ19" s="46"/>
      <c r="AR19" s="46"/>
      <c r="AS19" s="46"/>
      <c r="AT19" s="51"/>
      <c r="AU19" s="46"/>
      <c r="AV19" s="46"/>
      <c r="AW19" s="54"/>
      <c r="AX19" s="51"/>
      <c r="AY19" s="46"/>
      <c r="AZ19" s="46"/>
      <c r="BA19" s="46"/>
      <c r="BB19" s="46"/>
      <c r="BC19" s="46"/>
      <c r="BD19" s="46"/>
      <c r="BE19" s="46"/>
      <c r="BF19" s="46"/>
      <c r="BG19" s="46"/>
      <c r="BH19" s="46"/>
      <c r="BI19" s="46"/>
      <c r="BJ19" s="46"/>
      <c r="BK19" s="46"/>
      <c r="BL19" s="46"/>
      <c r="BM19" s="46"/>
      <c r="BN19" s="46"/>
      <c r="BO19" s="46"/>
      <c r="BP19" s="46"/>
      <c r="BQ19" s="46"/>
      <c r="BR19" s="46"/>
      <c r="BS19" s="54"/>
      <c r="BT19" s="46"/>
      <c r="BU19" s="54"/>
      <c r="BV19" s="46"/>
      <c r="BW19" s="46"/>
      <c r="BX19" s="46"/>
      <c r="BY19" s="46"/>
      <c r="BZ19" s="46"/>
      <c r="CA19" s="54"/>
      <c r="CB19" s="46"/>
      <c r="CC19" s="46"/>
      <c r="CD19" s="46"/>
    </row>
    <row r="20" spans="4:82" s="39" customFormat="true" ht="12" customHeight="true">
      <c r="D20" s="46"/>
      <c r="E20" s="46"/>
      <c r="F20" s="46"/>
      <c r="G20" s="46"/>
      <c r="H20" s="46"/>
      <c r="I20" s="46"/>
      <c r="J20" s="46"/>
      <c r="K20" s="46"/>
      <c r="L20" s="46"/>
      <c r="M20" s="46"/>
      <c r="N20" s="46"/>
      <c r="O20" s="46"/>
      <c r="P20" s="46"/>
      <c r="Q20" s="46"/>
      <c r="R20" s="46"/>
      <c r="S20" s="51"/>
      <c r="T20" s="46"/>
      <c r="U20" s="46"/>
      <c r="V20" s="46"/>
      <c r="W20" s="46"/>
      <c r="X20" s="46"/>
      <c r="Y20" s="46"/>
      <c r="Z20" s="51"/>
      <c r="AA20" s="51"/>
      <c r="AB20" s="51"/>
      <c r="AC20" s="51"/>
      <c r="AD20" s="51"/>
      <c r="AE20" s="46"/>
      <c r="AF20" s="51"/>
      <c r="AG20" s="46"/>
      <c r="AH20" s="46"/>
      <c r="AI20" s="51"/>
      <c r="AJ20" s="46"/>
      <c r="AK20" s="46"/>
      <c r="AL20" s="46"/>
      <c r="AM20" s="46"/>
      <c r="AN20" s="46"/>
      <c r="AO20" s="46"/>
      <c r="AP20" s="46"/>
      <c r="AQ20" s="46"/>
      <c r="AR20" s="46"/>
      <c r="AS20" s="46"/>
      <c r="AT20" s="51"/>
      <c r="AU20" s="46"/>
      <c r="AV20" s="46"/>
      <c r="AW20" s="54"/>
      <c r="AX20" s="51"/>
      <c r="AY20" s="46"/>
      <c r="AZ20" s="46"/>
      <c r="BA20" s="46"/>
      <c r="BB20" s="46"/>
      <c r="BC20" s="46"/>
      <c r="BD20" s="46"/>
      <c r="BE20" s="46"/>
      <c r="BF20" s="46"/>
      <c r="BG20" s="46"/>
      <c r="BH20" s="46"/>
      <c r="BI20" s="46"/>
      <c r="BJ20" s="46"/>
      <c r="BK20" s="46"/>
      <c r="BL20" s="46"/>
      <c r="BM20" s="46"/>
      <c r="BN20" s="46"/>
      <c r="BO20" s="46"/>
      <c r="BP20" s="46"/>
      <c r="BQ20" s="46"/>
      <c r="BR20" s="46"/>
      <c r="BS20" s="54"/>
      <c r="BT20" s="46"/>
      <c r="BU20" s="54"/>
      <c r="BV20" s="46"/>
      <c r="BW20" s="46"/>
      <c r="BX20" s="46"/>
      <c r="BY20" s="46"/>
      <c r="BZ20" s="46"/>
      <c r="CA20" s="54"/>
      <c r="CB20" s="46"/>
      <c r="CC20" s="46"/>
      <c r="CD20" s="46"/>
    </row>
    <row r="21" spans="4:82" s="39" customFormat="true" ht="12" customHeight="true">
      <c r="D21" s="46"/>
      <c r="E21" s="46"/>
      <c r="F21" s="46"/>
      <c r="G21" s="46"/>
      <c r="H21" s="46"/>
      <c r="I21" s="46"/>
      <c r="J21" s="46"/>
      <c r="K21" s="46"/>
      <c r="L21" s="46"/>
      <c r="M21" s="46"/>
      <c r="N21" s="46"/>
      <c r="O21" s="46"/>
      <c r="P21" s="46"/>
      <c r="Q21" s="46"/>
      <c r="R21" s="46"/>
      <c r="S21" s="51"/>
      <c r="T21" s="46"/>
      <c r="U21" s="46"/>
      <c r="V21" s="46"/>
      <c r="W21" s="46"/>
      <c r="X21" s="46"/>
      <c r="Y21" s="46"/>
      <c r="Z21" s="51"/>
      <c r="AA21" s="51"/>
      <c r="AB21" s="51"/>
      <c r="AC21" s="51"/>
      <c r="AD21" s="51"/>
      <c r="AE21" s="46"/>
      <c r="AF21" s="51"/>
      <c r="AG21" s="46"/>
      <c r="AH21" s="46"/>
      <c r="AI21" s="51"/>
      <c r="AJ21" s="46"/>
      <c r="AK21" s="46"/>
      <c r="AL21" s="46"/>
      <c r="AM21" s="46"/>
      <c r="AN21" s="46"/>
      <c r="AO21" s="46"/>
      <c r="AP21" s="46"/>
      <c r="AQ21" s="46"/>
      <c r="AR21" s="46"/>
      <c r="AS21" s="46"/>
      <c r="AT21" s="51"/>
      <c r="AU21" s="46"/>
      <c r="AV21" s="46"/>
      <c r="AW21" s="54"/>
      <c r="AX21" s="51"/>
      <c r="AY21" s="46"/>
      <c r="AZ21" s="46"/>
      <c r="BA21" s="46"/>
      <c r="BB21" s="46"/>
      <c r="BC21" s="46"/>
      <c r="BD21" s="46"/>
      <c r="BE21" s="46"/>
      <c r="BF21" s="46"/>
      <c r="BG21" s="46"/>
      <c r="BH21" s="46"/>
      <c r="BI21" s="46"/>
      <c r="BJ21" s="46"/>
      <c r="BK21" s="46"/>
      <c r="BL21" s="46"/>
      <c r="BM21" s="46"/>
      <c r="BN21" s="46"/>
      <c r="BO21" s="46"/>
      <c r="BP21" s="46"/>
      <c r="BQ21" s="46"/>
      <c r="BR21" s="46"/>
      <c r="BS21" s="54"/>
      <c r="BT21" s="46"/>
      <c r="BU21" s="54"/>
      <c r="BV21" s="46"/>
      <c r="BW21" s="46"/>
      <c r="BX21" s="46"/>
      <c r="BY21" s="46"/>
      <c r="BZ21" s="46"/>
      <c r="CA21" s="54"/>
      <c r="CB21" s="46"/>
      <c r="CC21" s="46"/>
      <c r="CD21" s="46"/>
    </row>
    <row r="22" spans="4:82" s="39" customFormat="true" ht="12" customHeight="true">
      <c r="D22" s="46"/>
      <c r="E22" s="46"/>
      <c r="F22" s="46"/>
      <c r="G22" s="46"/>
      <c r="H22" s="46"/>
      <c r="I22" s="46"/>
      <c r="J22" s="46"/>
      <c r="K22" s="46"/>
      <c r="L22" s="46"/>
      <c r="M22" s="46"/>
      <c r="N22" s="46"/>
      <c r="O22" s="46"/>
      <c r="P22" s="46"/>
      <c r="Q22" s="46"/>
      <c r="R22" s="46"/>
      <c r="S22" s="51"/>
      <c r="T22" s="46"/>
      <c r="U22" s="46"/>
      <c r="V22" s="46"/>
      <c r="W22" s="46"/>
      <c r="X22" s="46"/>
      <c r="Y22" s="46"/>
      <c r="Z22" s="51"/>
      <c r="AA22" s="51"/>
      <c r="AB22" s="51"/>
      <c r="AC22" s="51"/>
      <c r="AD22" s="51"/>
      <c r="AE22" s="46"/>
      <c r="AF22" s="51"/>
      <c r="AG22" s="46"/>
      <c r="AH22" s="46"/>
      <c r="AI22" s="51"/>
      <c r="AJ22" s="46"/>
      <c r="AK22" s="46"/>
      <c r="AL22" s="46"/>
      <c r="AM22" s="46"/>
      <c r="AN22" s="46"/>
      <c r="AO22" s="46"/>
      <c r="AP22" s="46"/>
      <c r="AQ22" s="46"/>
      <c r="AR22" s="46"/>
      <c r="AS22" s="46"/>
      <c r="AT22" s="51"/>
      <c r="AU22" s="46"/>
      <c r="AV22" s="46"/>
      <c r="AW22" s="54"/>
      <c r="AX22" s="51"/>
      <c r="AY22" s="46"/>
      <c r="AZ22" s="46"/>
      <c r="BA22" s="46"/>
      <c r="BB22" s="46"/>
      <c r="BC22" s="46"/>
      <c r="BD22" s="46"/>
      <c r="BE22" s="46"/>
      <c r="BF22" s="46"/>
      <c r="BG22" s="46"/>
      <c r="BH22" s="46"/>
      <c r="BI22" s="46"/>
      <c r="BJ22" s="46"/>
      <c r="BK22" s="46"/>
      <c r="BL22" s="46"/>
      <c r="BM22" s="46"/>
      <c r="BN22" s="46"/>
      <c r="BO22" s="46"/>
      <c r="BP22" s="46"/>
      <c r="BQ22" s="46"/>
      <c r="BR22" s="46"/>
      <c r="BS22" s="54"/>
      <c r="BT22" s="46"/>
      <c r="BU22" s="54"/>
      <c r="BV22" s="46"/>
      <c r="BW22" s="46"/>
      <c r="BX22" s="46"/>
      <c r="BY22" s="46"/>
      <c r="BZ22" s="46"/>
      <c r="CA22" s="54"/>
      <c r="CB22" s="46"/>
      <c r="CC22" s="46"/>
      <c r="CD22" s="46"/>
    </row>
    <row r="23" spans="4:82" s="39" customFormat="true" ht="12" customHeight="true">
      <c r="D23" s="46"/>
      <c r="E23" s="46"/>
      <c r="F23" s="46"/>
      <c r="G23" s="46"/>
      <c r="H23" s="46"/>
      <c r="I23" s="46"/>
      <c r="J23" s="46"/>
      <c r="K23" s="46"/>
      <c r="L23" s="46"/>
      <c r="M23" s="46"/>
      <c r="N23" s="46"/>
      <c r="O23" s="46"/>
      <c r="P23" s="46"/>
      <c r="Q23" s="46"/>
      <c r="R23" s="46"/>
      <c r="S23" s="51"/>
      <c r="T23" s="46"/>
      <c r="U23" s="46"/>
      <c r="V23" s="46"/>
      <c r="W23" s="46"/>
      <c r="X23" s="46"/>
      <c r="Y23" s="46"/>
      <c r="Z23" s="51"/>
      <c r="AA23" s="51"/>
      <c r="AB23" s="51"/>
      <c r="AC23" s="51"/>
      <c r="AD23" s="51"/>
      <c r="AE23" s="46"/>
      <c r="AF23" s="51"/>
      <c r="AG23" s="46"/>
      <c r="AH23" s="46"/>
      <c r="AI23" s="51"/>
      <c r="AJ23" s="46"/>
      <c r="AK23" s="46"/>
      <c r="AL23" s="46"/>
      <c r="AM23" s="46"/>
      <c r="AN23" s="46"/>
      <c r="AO23" s="46"/>
      <c r="AP23" s="46"/>
      <c r="AQ23" s="46"/>
      <c r="AR23" s="46"/>
      <c r="AS23" s="46"/>
      <c r="AT23" s="51"/>
      <c r="AU23" s="46"/>
      <c r="AV23" s="46"/>
      <c r="AW23" s="54"/>
      <c r="AX23" s="51"/>
      <c r="AY23" s="46"/>
      <c r="AZ23" s="46"/>
      <c r="BA23" s="46"/>
      <c r="BB23" s="46"/>
      <c r="BC23" s="46"/>
      <c r="BD23" s="46"/>
      <c r="BE23" s="46"/>
      <c r="BF23" s="46"/>
      <c r="BG23" s="46"/>
      <c r="BH23" s="46"/>
      <c r="BI23" s="46"/>
      <c r="BJ23" s="46"/>
      <c r="BK23" s="46"/>
      <c r="BL23" s="46"/>
      <c r="BM23" s="46"/>
      <c r="BN23" s="46"/>
      <c r="BO23" s="46"/>
      <c r="BP23" s="46"/>
      <c r="BQ23" s="46"/>
      <c r="BR23" s="46"/>
      <c r="BS23" s="54"/>
      <c r="BT23" s="46"/>
      <c r="BU23" s="54"/>
      <c r="BV23" s="46"/>
      <c r="BW23" s="46"/>
      <c r="BX23" s="46"/>
      <c r="BY23" s="46"/>
      <c r="BZ23" s="46"/>
      <c r="CA23" s="54"/>
      <c r="CB23" s="46"/>
      <c r="CC23" s="46"/>
      <c r="CD23" s="46"/>
    </row>
    <row r="24" spans="4:82" s="39" customFormat="true" ht="12" customHeight="true">
      <c r="D24" s="46"/>
      <c r="E24" s="46"/>
      <c r="F24" s="46"/>
      <c r="G24" s="46"/>
      <c r="H24" s="46"/>
      <c r="I24" s="46"/>
      <c r="J24" s="46"/>
      <c r="K24" s="46"/>
      <c r="L24" s="46"/>
      <c r="M24" s="46"/>
      <c r="N24" s="46"/>
      <c r="O24" s="46"/>
      <c r="P24" s="46"/>
      <c r="Q24" s="46"/>
      <c r="R24" s="46"/>
      <c r="S24" s="51"/>
      <c r="T24" s="46"/>
      <c r="U24" s="46"/>
      <c r="V24" s="46"/>
      <c r="W24" s="46"/>
      <c r="X24" s="46"/>
      <c r="Y24" s="46"/>
      <c r="Z24" s="51"/>
      <c r="AA24" s="51"/>
      <c r="AB24" s="51"/>
      <c r="AC24" s="51"/>
      <c r="AD24" s="51"/>
      <c r="AE24" s="46"/>
      <c r="AF24" s="51"/>
      <c r="AG24" s="46"/>
      <c r="AH24" s="46"/>
      <c r="AI24" s="51"/>
      <c r="AJ24" s="46"/>
      <c r="AK24" s="46"/>
      <c r="AL24" s="46"/>
      <c r="AM24" s="46"/>
      <c r="AN24" s="46"/>
      <c r="AO24" s="46"/>
      <c r="AP24" s="46"/>
      <c r="AQ24" s="46"/>
      <c r="AR24" s="46"/>
      <c r="AS24" s="46"/>
      <c r="AT24" s="51"/>
      <c r="AU24" s="46"/>
      <c r="AV24" s="46"/>
      <c r="AW24" s="54"/>
      <c r="AX24" s="51"/>
      <c r="AY24" s="46"/>
      <c r="AZ24" s="46"/>
      <c r="BA24" s="46"/>
      <c r="BB24" s="46"/>
      <c r="BC24" s="46"/>
      <c r="BD24" s="46"/>
      <c r="BE24" s="46"/>
      <c r="BF24" s="46"/>
      <c r="BG24" s="46"/>
      <c r="BH24" s="46"/>
      <c r="BI24" s="46"/>
      <c r="BJ24" s="46"/>
      <c r="BK24" s="46"/>
      <c r="BL24" s="46"/>
      <c r="BM24" s="46"/>
      <c r="BN24" s="46"/>
      <c r="BO24" s="46"/>
      <c r="BP24" s="46"/>
      <c r="BQ24" s="46"/>
      <c r="BR24" s="46"/>
      <c r="BS24" s="54"/>
      <c r="BT24" s="46"/>
      <c r="BU24" s="54"/>
      <c r="BV24" s="46"/>
      <c r="BW24" s="46"/>
      <c r="BX24" s="46"/>
      <c r="BY24" s="46"/>
      <c r="BZ24" s="46"/>
      <c r="CA24" s="54"/>
      <c r="CB24" s="46"/>
      <c r="CC24" s="46"/>
      <c r="CD24" s="46"/>
    </row>
    <row r="25" spans="4:82" s="39" customFormat="true" ht="12" customHeight="true">
      <c r="D25" s="46"/>
      <c r="E25" s="46"/>
      <c r="F25" s="46"/>
      <c r="G25" s="46"/>
      <c r="H25" s="46"/>
      <c r="I25" s="46"/>
      <c r="J25" s="46"/>
      <c r="K25" s="46"/>
      <c r="L25" s="46"/>
      <c r="M25" s="46"/>
      <c r="N25" s="46"/>
      <c r="O25" s="46"/>
      <c r="P25" s="46"/>
      <c r="Q25" s="46"/>
      <c r="R25" s="46"/>
      <c r="S25" s="51"/>
      <c r="T25" s="46"/>
      <c r="U25" s="46"/>
      <c r="V25" s="46"/>
      <c r="W25" s="46"/>
      <c r="X25" s="46"/>
      <c r="Y25" s="46"/>
      <c r="Z25" s="51"/>
      <c r="AA25" s="51"/>
      <c r="AB25" s="51"/>
      <c r="AC25" s="51"/>
      <c r="AD25" s="51"/>
      <c r="AE25" s="46"/>
      <c r="AF25" s="51"/>
      <c r="AG25" s="46"/>
      <c r="AH25" s="46"/>
      <c r="AI25" s="51"/>
      <c r="AJ25" s="46"/>
      <c r="AK25" s="46"/>
      <c r="AL25" s="46"/>
      <c r="AM25" s="46"/>
      <c r="AN25" s="46"/>
      <c r="AO25" s="46"/>
      <c r="AP25" s="46"/>
      <c r="AQ25" s="46"/>
      <c r="AR25" s="46"/>
      <c r="AS25" s="46"/>
      <c r="AT25" s="51"/>
      <c r="AU25" s="46"/>
      <c r="AV25" s="46"/>
      <c r="AW25" s="54"/>
      <c r="AX25" s="51"/>
      <c r="AY25" s="46"/>
      <c r="AZ25" s="46"/>
      <c r="BA25" s="46"/>
      <c r="BB25" s="46"/>
      <c r="BC25" s="46"/>
      <c r="BD25" s="46"/>
      <c r="BE25" s="46"/>
      <c r="BF25" s="46"/>
      <c r="BG25" s="46"/>
      <c r="BH25" s="46"/>
      <c r="BI25" s="46"/>
      <c r="BJ25" s="46"/>
      <c r="BK25" s="46"/>
      <c r="BL25" s="46"/>
      <c r="BM25" s="46"/>
      <c r="BN25" s="46"/>
      <c r="BO25" s="46"/>
      <c r="BP25" s="46"/>
      <c r="BQ25" s="46"/>
      <c r="BR25" s="46"/>
      <c r="BS25" s="54"/>
      <c r="BT25" s="46"/>
      <c r="BU25" s="54"/>
      <c r="BV25" s="46"/>
      <c r="BW25" s="46"/>
      <c r="BX25" s="46"/>
      <c r="BY25" s="46"/>
      <c r="BZ25" s="46"/>
      <c r="CA25" s="54"/>
      <c r="CB25" s="46"/>
      <c r="CC25" s="46"/>
      <c r="CD25" s="46"/>
    </row>
    <row r="26" spans="4:82" s="39" customFormat="true" ht="12" customHeight="true">
      <c r="D26" s="46"/>
      <c r="E26" s="46"/>
      <c r="F26" s="46"/>
      <c r="G26" s="46"/>
      <c r="H26" s="46"/>
      <c r="I26" s="46"/>
      <c r="J26" s="46"/>
      <c r="K26" s="46"/>
      <c r="L26" s="46"/>
      <c r="M26" s="46"/>
      <c r="N26" s="46"/>
      <c r="O26" s="46"/>
      <c r="P26" s="46"/>
      <c r="Q26" s="46"/>
      <c r="R26" s="46"/>
      <c r="S26" s="51"/>
      <c r="T26" s="46"/>
      <c r="U26" s="46"/>
      <c r="V26" s="46"/>
      <c r="W26" s="46"/>
      <c r="X26" s="46"/>
      <c r="Y26" s="46"/>
      <c r="Z26" s="51"/>
      <c r="AA26" s="51"/>
      <c r="AB26" s="51"/>
      <c r="AC26" s="51"/>
      <c r="AD26" s="51"/>
      <c r="AE26" s="46"/>
      <c r="AF26" s="51"/>
      <c r="AG26" s="46"/>
      <c r="AH26" s="46"/>
      <c r="AI26" s="51"/>
      <c r="AJ26" s="46"/>
      <c r="AK26" s="46"/>
      <c r="AL26" s="46"/>
      <c r="AM26" s="46"/>
      <c r="AN26" s="46"/>
      <c r="AO26" s="46"/>
      <c r="AP26" s="46"/>
      <c r="AQ26" s="46"/>
      <c r="AR26" s="46"/>
      <c r="AS26" s="46"/>
      <c r="AT26" s="51"/>
      <c r="AU26" s="46"/>
      <c r="AV26" s="46"/>
      <c r="AW26" s="54"/>
      <c r="AX26" s="51"/>
      <c r="AY26" s="46"/>
      <c r="AZ26" s="46"/>
      <c r="BA26" s="46"/>
      <c r="BB26" s="46"/>
      <c r="BC26" s="46"/>
      <c r="BD26" s="46"/>
      <c r="BE26" s="46"/>
      <c r="BF26" s="46"/>
      <c r="BG26" s="46"/>
      <c r="BH26" s="46"/>
      <c r="BI26" s="46"/>
      <c r="BJ26" s="46"/>
      <c r="BK26" s="46"/>
      <c r="BL26" s="46"/>
      <c r="BM26" s="46"/>
      <c r="BN26" s="46"/>
      <c r="BO26" s="46"/>
      <c r="BP26" s="46"/>
      <c r="BQ26" s="46"/>
      <c r="BR26" s="46"/>
      <c r="BS26" s="54"/>
      <c r="BT26" s="46"/>
      <c r="BU26" s="54"/>
      <c r="BV26" s="46"/>
      <c r="BW26" s="46"/>
      <c r="BX26" s="46"/>
      <c r="BY26" s="46"/>
      <c r="BZ26" s="46"/>
      <c r="CA26" s="54"/>
      <c r="CB26" s="46"/>
      <c r="CC26" s="46"/>
      <c r="CD26" s="46"/>
    </row>
    <row r="27" spans="4:82" s="39" customFormat="true" ht="12" customHeight="true">
      <c r="D27" s="46"/>
      <c r="E27" s="46"/>
      <c r="F27" s="46"/>
      <c r="G27" s="46"/>
      <c r="H27" s="46"/>
      <c r="I27" s="46"/>
      <c r="J27" s="46"/>
      <c r="K27" s="46"/>
      <c r="L27" s="46"/>
      <c r="M27" s="46"/>
      <c r="N27" s="46"/>
      <c r="O27" s="46"/>
      <c r="P27" s="46"/>
      <c r="Q27" s="46"/>
      <c r="R27" s="46"/>
      <c r="S27" s="51"/>
      <c r="T27" s="46"/>
      <c r="U27" s="46"/>
      <c r="V27" s="46"/>
      <c r="W27" s="46"/>
      <c r="X27" s="46"/>
      <c r="Y27" s="46"/>
      <c r="Z27" s="51"/>
      <c r="AA27" s="51"/>
      <c r="AB27" s="51"/>
      <c r="AC27" s="51"/>
      <c r="AD27" s="51"/>
      <c r="AE27" s="46"/>
      <c r="AF27" s="51"/>
      <c r="AG27" s="46"/>
      <c r="AH27" s="46"/>
      <c r="AI27" s="51"/>
      <c r="AJ27" s="46"/>
      <c r="AK27" s="46"/>
      <c r="AL27" s="46"/>
      <c r="AM27" s="46"/>
      <c r="AN27" s="46"/>
      <c r="AO27" s="46"/>
      <c r="AP27" s="46"/>
      <c r="AQ27" s="46"/>
      <c r="AR27" s="46"/>
      <c r="AS27" s="46"/>
      <c r="AT27" s="51"/>
      <c r="AU27" s="46"/>
      <c r="AV27" s="46"/>
      <c r="AW27" s="54"/>
      <c r="AX27" s="51"/>
      <c r="AY27" s="46"/>
      <c r="AZ27" s="46"/>
      <c r="BA27" s="46"/>
      <c r="BB27" s="46"/>
      <c r="BC27" s="46"/>
      <c r="BD27" s="46"/>
      <c r="BE27" s="46"/>
      <c r="BF27" s="46"/>
      <c r="BG27" s="46"/>
      <c r="BH27" s="46"/>
      <c r="BI27" s="46"/>
      <c r="BJ27" s="46"/>
      <c r="BK27" s="46"/>
      <c r="BL27" s="46"/>
      <c r="BM27" s="46"/>
      <c r="BN27" s="46"/>
      <c r="BO27" s="46"/>
      <c r="BP27" s="46"/>
      <c r="BQ27" s="46"/>
      <c r="BR27" s="46"/>
      <c r="BS27" s="54"/>
      <c r="BT27" s="46"/>
      <c r="BU27" s="54"/>
      <c r="BV27" s="46"/>
      <c r="BW27" s="46"/>
      <c r="BX27" s="46"/>
      <c r="BY27" s="46"/>
      <c r="BZ27" s="46"/>
      <c r="CA27" s="54"/>
      <c r="CB27" s="46"/>
      <c r="CC27" s="46"/>
      <c r="CD27" s="46"/>
    </row>
    <row r="28" spans="4:82" s="39" customFormat="true" ht="12" customHeight="true">
      <c r="D28" s="46"/>
      <c r="E28" s="46"/>
      <c r="F28" s="46"/>
      <c r="G28" s="46"/>
      <c r="H28" s="46"/>
      <c r="I28" s="46"/>
      <c r="J28" s="46"/>
      <c r="K28" s="46"/>
      <c r="L28" s="46"/>
      <c r="M28" s="46"/>
      <c r="N28" s="46"/>
      <c r="O28" s="46"/>
      <c r="P28" s="46"/>
      <c r="Q28" s="46"/>
      <c r="R28" s="46"/>
      <c r="S28" s="51"/>
      <c r="T28" s="46"/>
      <c r="U28" s="46"/>
      <c r="V28" s="46"/>
      <c r="W28" s="46"/>
      <c r="X28" s="46"/>
      <c r="Y28" s="46"/>
      <c r="Z28" s="51"/>
      <c r="AA28" s="51"/>
      <c r="AB28" s="51"/>
      <c r="AC28" s="51"/>
      <c r="AD28" s="51"/>
      <c r="AE28" s="46"/>
      <c r="AF28" s="51"/>
      <c r="AG28" s="46"/>
      <c r="AH28" s="46"/>
      <c r="AI28" s="51"/>
      <c r="AJ28" s="46"/>
      <c r="AK28" s="46"/>
      <c r="AL28" s="46"/>
      <c r="AM28" s="46"/>
      <c r="AN28" s="46"/>
      <c r="AO28" s="46"/>
      <c r="AP28" s="46"/>
      <c r="AQ28" s="46"/>
      <c r="AR28" s="46"/>
      <c r="AS28" s="46"/>
      <c r="AT28" s="51"/>
      <c r="AU28" s="46"/>
      <c r="AV28" s="46"/>
      <c r="AW28" s="54"/>
      <c r="AX28" s="51"/>
      <c r="AY28" s="46"/>
      <c r="AZ28" s="46"/>
      <c r="BA28" s="46"/>
      <c r="BB28" s="46"/>
      <c r="BC28" s="46"/>
      <c r="BD28" s="46"/>
      <c r="BE28" s="46"/>
      <c r="BF28" s="46"/>
      <c r="BG28" s="46"/>
      <c r="BH28" s="46"/>
      <c r="BI28" s="46"/>
      <c r="BJ28" s="46"/>
      <c r="BK28" s="46"/>
      <c r="BL28" s="46"/>
      <c r="BM28" s="46"/>
      <c r="BN28" s="46"/>
      <c r="BO28" s="46"/>
      <c r="BP28" s="46"/>
      <c r="BQ28" s="46"/>
      <c r="BR28" s="46"/>
      <c r="BS28" s="54"/>
      <c r="BT28" s="46"/>
      <c r="BU28" s="54"/>
      <c r="BV28" s="46"/>
      <c r="BW28" s="46"/>
      <c r="BX28" s="46"/>
      <c r="BY28" s="46"/>
      <c r="BZ28" s="46"/>
      <c r="CA28" s="54"/>
      <c r="CB28" s="46"/>
      <c r="CC28" s="46"/>
      <c r="CD28" s="46"/>
    </row>
    <row r="29" spans="2:83" s="39" customFormat="true" ht="12" customHeight="true">
      <c r="B29" s="39" t="s">
        <v>34189</v>
      </c>
      <c r="D29" s="39">
        <f t="shared" ref="D29:BO29" si="0">+SUM(D11:D28)</f>
        <v>124455.29</v>
      </c>
      <c r="E29" s="39">
        <f t="shared" si="0"/>
        <v>257.35</v>
      </c>
      <c r="F29" s="39">
        <f t="shared" si="0"/>
        <v>-243576.14</v>
      </c>
      <c r="G29" s="39">
        <f t="shared" si="0"/>
        <v>57976.69</v>
      </c>
      <c r="H29" s="39">
        <f t="shared" si="0"/>
        <v>0</v>
      </c>
      <c r="I29" s="39">
        <f t="shared" si="0"/>
        <v>0</v>
      </c>
      <c r="J29" s="39">
        <f t="shared" si="0"/>
        <v>1100282.08</v>
      </c>
      <c r="K29" s="39">
        <f t="shared" si="0"/>
        <v>4056.19</v>
      </c>
      <c r="L29" s="39">
        <f t="shared" si="0"/>
        <v>0</v>
      </c>
      <c r="M29" s="39">
        <f t="shared" si="0"/>
        <v>46708.34</v>
      </c>
      <c r="N29" s="39">
        <f t="shared" si="0"/>
        <v>7438.17</v>
      </c>
      <c r="O29" s="39">
        <f t="shared" si="0"/>
        <v>13170.43</v>
      </c>
      <c r="P29" s="39">
        <f t="shared" si="0"/>
        <v>-0.31</v>
      </c>
      <c r="Q29" s="39">
        <f t="shared" si="0"/>
        <v>597.09</v>
      </c>
      <c r="R29" s="39">
        <f t="shared" si="0"/>
        <v>12778.48</v>
      </c>
      <c r="S29" s="51">
        <f t="shared" si="0"/>
        <v>0</v>
      </c>
      <c r="T29" s="39">
        <f t="shared" si="0"/>
        <v>2237.18</v>
      </c>
      <c r="U29" s="39">
        <f t="shared" si="0"/>
        <v>54803.19</v>
      </c>
      <c r="V29" s="39">
        <f t="shared" si="0"/>
        <v>0</v>
      </c>
      <c r="W29" s="39">
        <f t="shared" si="0"/>
        <v>48442.79</v>
      </c>
      <c r="X29" s="39">
        <f t="shared" si="0"/>
        <v>8400.53</v>
      </c>
      <c r="Y29" s="39">
        <f t="shared" si="0"/>
        <v>0</v>
      </c>
      <c r="Z29" s="51">
        <f t="shared" si="0"/>
        <v>0</v>
      </c>
      <c r="AA29" s="51">
        <f t="shared" si="0"/>
        <v>0</v>
      </c>
      <c r="AB29" s="51">
        <f t="shared" si="0"/>
        <v>0</v>
      </c>
      <c r="AC29" s="51">
        <f t="shared" si="0"/>
        <v>0</v>
      </c>
      <c r="AD29" s="51">
        <f t="shared" si="0"/>
        <v>0</v>
      </c>
      <c r="AE29" s="39">
        <f t="shared" si="0"/>
        <v>0</v>
      </c>
      <c r="AF29" s="51">
        <f t="shared" si="0"/>
        <v>0</v>
      </c>
      <c r="AG29" s="39">
        <f t="shared" si="0"/>
        <v>1285.53</v>
      </c>
      <c r="AH29" s="39">
        <f t="shared" si="0"/>
        <v>30296.39</v>
      </c>
      <c r="AI29" s="51">
        <f t="shared" si="0"/>
        <v>0</v>
      </c>
      <c r="AJ29" s="39">
        <f t="shared" si="0"/>
        <v>37500.42</v>
      </c>
      <c r="AK29" s="39">
        <f t="shared" si="0"/>
        <v>23153.78</v>
      </c>
      <c r="AL29" s="39">
        <f t="shared" si="0"/>
        <v>15115.96</v>
      </c>
      <c r="AM29" s="39">
        <f t="shared" si="0"/>
        <v>0</v>
      </c>
      <c r="AN29" s="39">
        <f t="shared" si="0"/>
        <v>0</v>
      </c>
      <c r="AO29" s="39">
        <f t="shared" si="0"/>
        <v>0</v>
      </c>
      <c r="AP29" s="39">
        <f t="shared" si="0"/>
        <v>0</v>
      </c>
      <c r="AQ29" s="39">
        <f t="shared" si="0"/>
        <v>0</v>
      </c>
      <c r="AR29" s="39">
        <f t="shared" si="0"/>
        <v>0</v>
      </c>
      <c r="AS29" s="39">
        <f t="shared" si="0"/>
        <v>0</v>
      </c>
      <c r="AT29" s="51">
        <f t="shared" si="0"/>
        <v>0</v>
      </c>
      <c r="AU29" s="39">
        <f t="shared" si="0"/>
        <v>0</v>
      </c>
      <c r="AV29" s="39">
        <f t="shared" si="0"/>
        <v>45270.83</v>
      </c>
      <c r="AW29" s="54">
        <f t="shared" si="0"/>
        <v>0</v>
      </c>
      <c r="AX29" s="51">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0</v>
      </c>
      <c r="BH29" s="39">
        <f t="shared" si="0"/>
        <v>0</v>
      </c>
      <c r="BI29" s="39">
        <f t="shared" si="0"/>
        <v>40.65</v>
      </c>
      <c r="BJ29" s="39">
        <f t="shared" si="0"/>
        <v>0</v>
      </c>
      <c r="BK29" s="39">
        <f t="shared" si="0"/>
        <v>0</v>
      </c>
      <c r="BL29" s="39">
        <f t="shared" si="0"/>
        <v>0</v>
      </c>
      <c r="BM29" s="39">
        <f t="shared" si="0"/>
        <v>0</v>
      </c>
      <c r="BN29" s="39">
        <f t="shared" si="0"/>
        <v>0</v>
      </c>
      <c r="BO29" s="39">
        <f t="shared" si="0"/>
        <v>0</v>
      </c>
      <c r="BP29" s="39">
        <f t="shared" ref="BP29:CD29" si="1">+SUM(BP11:BP28)</f>
        <v>0</v>
      </c>
      <c r="BQ29" s="39">
        <f t="shared" si="1"/>
        <v>0</v>
      </c>
      <c r="BR29" s="39">
        <f t="shared" si="1"/>
        <v>0</v>
      </c>
      <c r="BS29" s="54">
        <f t="shared" si="1"/>
        <v>0</v>
      </c>
      <c r="BT29" s="39">
        <f t="shared" si="1"/>
        <v>0</v>
      </c>
      <c r="BU29" s="54">
        <f t="shared" si="1"/>
        <v>0</v>
      </c>
      <c r="BV29" s="39">
        <f t="shared" si="1"/>
        <v>0</v>
      </c>
      <c r="BW29" s="39">
        <f t="shared" si="1"/>
        <v>0</v>
      </c>
      <c r="BX29" s="39">
        <f t="shared" si="1"/>
        <v>0</v>
      </c>
      <c r="BY29" s="39">
        <f t="shared" si="1"/>
        <v>0</v>
      </c>
      <c r="BZ29" s="39">
        <f t="shared" si="1"/>
        <v>0</v>
      </c>
      <c r="CA29" s="54">
        <f t="shared" si="1"/>
        <v>0</v>
      </c>
      <c r="CB29" s="39">
        <f t="shared" si="1"/>
        <v>229271</v>
      </c>
      <c r="CC29" s="39">
        <f t="shared" si="1"/>
        <v>0</v>
      </c>
      <c r="CD29" s="39">
        <f t="shared" si="1"/>
        <v>0</v>
      </c>
      <c r="CE29" s="39">
        <f>SUM(D29:CD29)</f>
        <v>1619961.91</v>
      </c>
    </row>
    <row r="30" spans="19:79" s="39" customFormat="true" ht="12" customHeight="true">
      <c r="S30" s="51"/>
      <c r="Z30" s="51"/>
      <c r="AA30" s="51"/>
      <c r="AB30" s="51"/>
      <c r="AC30" s="51"/>
      <c r="AD30" s="51"/>
      <c r="AF30" s="51"/>
      <c r="AI30" s="51"/>
      <c r="AT30" s="51"/>
      <c r="AW30" s="54"/>
      <c r="AX30" s="51"/>
      <c r="BS30" s="54"/>
      <c r="BU30" s="54"/>
      <c r="CA30" s="54"/>
    </row>
    <row r="31" spans="2:79" s="39" customFormat="true" ht="12" customHeight="true">
      <c r="B31" s="39" t="s">
        <v>34190</v>
      </c>
      <c r="S31" s="51"/>
      <c r="Z31" s="51"/>
      <c r="AA31" s="51"/>
      <c r="AB31" s="51"/>
      <c r="AC31" s="51"/>
      <c r="AD31" s="51"/>
      <c r="AF31" s="51"/>
      <c r="AI31" s="51"/>
      <c r="AT31" s="51"/>
      <c r="AW31" s="54"/>
      <c r="AX31" s="51"/>
      <c r="BS31" s="54"/>
      <c r="BU31" s="54"/>
      <c r="CA31" s="54"/>
    </row>
    <row r="32" spans="4:82" s="39" customFormat="true" ht="12" customHeight="true">
      <c r="D32" s="46"/>
      <c r="E32" s="46">
        <f>-96024.45*-1</f>
        <v>96024.45</v>
      </c>
      <c r="F32" s="46">
        <f>-29669.28*-1</f>
        <v>29669.28</v>
      </c>
      <c r="G32" s="46"/>
      <c r="H32" s="46">
        <f>-67256.6*-1</f>
        <v>67256.6</v>
      </c>
      <c r="I32" s="46"/>
      <c r="J32" s="46"/>
      <c r="K32" s="46">
        <f>-1148587.67*-1</f>
        <v>1148587.67</v>
      </c>
      <c r="L32" s="46"/>
      <c r="M32" s="46"/>
      <c r="N32" s="46">
        <f>-141497.47*-1</f>
        <v>141497.47</v>
      </c>
      <c r="O32" s="46">
        <f>-118275.91*-1</f>
        <v>118275.91</v>
      </c>
      <c r="P32" s="46">
        <f>-12698.1*-1</f>
        <v>12698.1</v>
      </c>
      <c r="Q32" s="46">
        <f>-1769.03*-1</f>
        <v>1769.03</v>
      </c>
      <c r="R32" s="46"/>
      <c r="S32" s="51"/>
      <c r="T32" s="46">
        <f>-134998.93*-1</f>
        <v>134998.93</v>
      </c>
      <c r="U32" s="46"/>
      <c r="V32" s="46">
        <f>-86524.08*-1</f>
        <v>86524.08</v>
      </c>
      <c r="W32" s="46"/>
      <c r="X32" s="46"/>
      <c r="Y32" s="46"/>
      <c r="Z32" s="51"/>
      <c r="AA32" s="51"/>
      <c r="AB32" s="51"/>
      <c r="AC32" s="51"/>
      <c r="AD32" s="51"/>
      <c r="AE32" s="46">
        <f>-3123.2*-1</f>
        <v>3123.2</v>
      </c>
      <c r="AF32" s="51"/>
      <c r="AG32" s="46">
        <v>315631.8</v>
      </c>
      <c r="AH32" s="46">
        <f>-39882.76*-1</f>
        <v>39882.76</v>
      </c>
      <c r="AI32" s="51"/>
      <c r="AJ32" s="46">
        <f>-247633.14*-1</f>
        <v>247633.14</v>
      </c>
      <c r="AK32" s="46">
        <f>-18947.64*-1</f>
        <v>18947.64</v>
      </c>
      <c r="AL32" s="46">
        <f>-5309.94*-1</f>
        <v>5309.94</v>
      </c>
      <c r="AM32" s="46"/>
      <c r="AN32" s="46"/>
      <c r="AO32" s="46"/>
      <c r="AP32" s="46">
        <f>-30159*-1</f>
        <v>30159</v>
      </c>
      <c r="AQ32" s="46">
        <f>-99132*-1</f>
        <v>99132</v>
      </c>
      <c r="AR32" s="46">
        <f>-20000*-1</f>
        <v>20000</v>
      </c>
      <c r="AS32" s="46">
        <f>-16000*-1</f>
        <v>16000</v>
      </c>
      <c r="AT32" s="51"/>
      <c r="AU32" s="46">
        <f>-7257.18*-1</f>
        <v>7257.18</v>
      </c>
      <c r="AV32" s="46">
        <f>-105261.48*A1</f>
        <v>105261.48</v>
      </c>
      <c r="AW32" s="54"/>
      <c r="AX32" s="51"/>
      <c r="AY32" s="46">
        <f>-2200.64*A1</f>
        <v>2200.64</v>
      </c>
      <c r="AZ32" s="46">
        <f>-4409.51*A1</f>
        <v>4409.51</v>
      </c>
      <c r="BA32" s="46">
        <f>-75359.72*A1</f>
        <v>75359.72</v>
      </c>
      <c r="BB32" s="46"/>
      <c r="BC32" s="46">
        <f>-56652.67*A1</f>
        <v>56652.67</v>
      </c>
      <c r="BD32" s="46"/>
      <c r="BE32" s="46">
        <f>-8447.81*A1</f>
        <v>8447.81</v>
      </c>
      <c r="BF32" s="46">
        <f>-5470.55*A1</f>
        <v>5470.55</v>
      </c>
      <c r="BG32" s="46"/>
      <c r="BH32" s="46">
        <f>-36240.65*A1</f>
        <v>36240.65</v>
      </c>
      <c r="BI32" s="46">
        <f>-41665.4*A1</f>
        <v>41665.4</v>
      </c>
      <c r="BJ32" s="46">
        <f>-2868.93*A1</f>
        <v>2868.93</v>
      </c>
      <c r="BK32" s="46">
        <f>-75.3*A1</f>
        <v>75.3</v>
      </c>
      <c r="BL32" s="46">
        <f>-9415.58*A1</f>
        <v>9415.58</v>
      </c>
      <c r="BM32" s="46">
        <f>-19232.39*A1</f>
        <v>19232.39</v>
      </c>
      <c r="BN32" s="46">
        <f>-7916*A1</f>
        <v>7916</v>
      </c>
      <c r="BO32" s="46">
        <f>-8767.42*A1</f>
        <v>8767.42</v>
      </c>
      <c r="BP32" s="46">
        <f>-17825.8*A1</f>
        <v>17825.8</v>
      </c>
      <c r="BQ32" s="46">
        <f>-2501.5*A1</f>
        <v>2501.5</v>
      </c>
      <c r="BR32" s="46">
        <f>-6687.36*A1</f>
        <v>6687.36</v>
      </c>
      <c r="BS32" s="54"/>
      <c r="BT32" s="46">
        <f>-13848.82*A1</f>
        <v>13848.82</v>
      </c>
      <c r="BU32" s="54"/>
      <c r="BV32" s="46">
        <f>-103260.64*A1</f>
        <v>103260.64</v>
      </c>
      <c r="BW32" s="46">
        <f>-466.15*A1</f>
        <v>466.15</v>
      </c>
      <c r="BX32" s="46">
        <v>173602</v>
      </c>
      <c r="BY32" s="46">
        <f>-4616.66*A1</f>
        <v>4616.66</v>
      </c>
      <c r="BZ32" s="46">
        <f>-1585.25*-1</f>
        <v>1585.25</v>
      </c>
      <c r="CA32" s="54"/>
      <c r="CB32" s="46"/>
      <c r="CC32" s="46"/>
      <c r="CD32" s="46">
        <f>-12469.29*-1</f>
        <v>12469.29</v>
      </c>
    </row>
    <row r="33" spans="4:82" s="39" customFormat="true" ht="12" customHeight="true">
      <c r="D33" s="46"/>
      <c r="E33" s="46"/>
      <c r="F33" s="46"/>
      <c r="G33" s="46"/>
      <c r="H33" s="46"/>
      <c r="I33" s="46"/>
      <c r="J33" s="46"/>
      <c r="K33" s="46"/>
      <c r="L33" s="46"/>
      <c r="M33" s="46"/>
      <c r="N33" s="46"/>
      <c r="O33" s="46"/>
      <c r="P33" s="46"/>
      <c r="Q33" s="46"/>
      <c r="R33" s="46"/>
      <c r="S33" s="51"/>
      <c r="T33" s="46"/>
      <c r="U33" s="46"/>
      <c r="V33" s="46"/>
      <c r="W33" s="46"/>
      <c r="X33" s="46"/>
      <c r="Y33" s="46"/>
      <c r="Z33" s="51"/>
      <c r="AA33" s="51"/>
      <c r="AB33" s="51"/>
      <c r="AC33" s="51"/>
      <c r="AD33" s="51"/>
      <c r="AE33" s="46"/>
      <c r="AF33" s="51"/>
      <c r="AG33" s="46"/>
      <c r="AH33" s="46"/>
      <c r="AI33" s="51"/>
      <c r="AJ33" s="46"/>
      <c r="AK33" s="46"/>
      <c r="AL33" s="46"/>
      <c r="AM33" s="46"/>
      <c r="AN33" s="46"/>
      <c r="AO33" s="46"/>
      <c r="AP33" s="46"/>
      <c r="AQ33" s="46"/>
      <c r="AR33" s="46"/>
      <c r="AS33" s="46"/>
      <c r="AT33" s="51"/>
      <c r="AU33" s="46"/>
      <c r="AV33" s="46"/>
      <c r="AW33" s="54"/>
      <c r="AX33" s="51"/>
      <c r="AY33" s="46"/>
      <c r="AZ33" s="46"/>
      <c r="BA33" s="46"/>
      <c r="BB33" s="46"/>
      <c r="BC33" s="46"/>
      <c r="BD33" s="46"/>
      <c r="BE33" s="46"/>
      <c r="BF33" s="46"/>
      <c r="BG33" s="46"/>
      <c r="BH33" s="46"/>
      <c r="BI33" s="46"/>
      <c r="BJ33" s="46"/>
      <c r="BK33" s="46"/>
      <c r="BL33" s="46"/>
      <c r="BM33" s="46"/>
      <c r="BN33" s="46"/>
      <c r="BO33" s="46"/>
      <c r="BP33" s="46"/>
      <c r="BQ33" s="46"/>
      <c r="BR33" s="46"/>
      <c r="BS33" s="54"/>
      <c r="BT33" s="46"/>
      <c r="BU33" s="54"/>
      <c r="BV33" s="46"/>
      <c r="BW33" s="46"/>
      <c r="BX33" s="46"/>
      <c r="BY33" s="46"/>
      <c r="BZ33" s="46"/>
      <c r="CA33" s="54"/>
      <c r="CB33" s="46"/>
      <c r="CC33" s="46"/>
      <c r="CD33" s="46"/>
    </row>
    <row r="34" spans="4:82" s="39" customFormat="true" ht="12" customHeight="true">
      <c r="D34" s="46"/>
      <c r="E34" s="46"/>
      <c r="F34" s="46"/>
      <c r="G34" s="46"/>
      <c r="H34" s="46"/>
      <c r="I34" s="46"/>
      <c r="J34" s="46"/>
      <c r="K34" s="46"/>
      <c r="L34" s="46"/>
      <c r="M34" s="46"/>
      <c r="N34" s="46"/>
      <c r="O34" s="46"/>
      <c r="P34" s="46"/>
      <c r="Q34" s="46"/>
      <c r="R34" s="46"/>
      <c r="S34" s="51"/>
      <c r="T34" s="46"/>
      <c r="U34" s="46"/>
      <c r="V34" s="46"/>
      <c r="W34" s="46"/>
      <c r="X34" s="46"/>
      <c r="Y34" s="46"/>
      <c r="Z34" s="51"/>
      <c r="AA34" s="51"/>
      <c r="AB34" s="51"/>
      <c r="AC34" s="51"/>
      <c r="AD34" s="51"/>
      <c r="AE34" s="46"/>
      <c r="AF34" s="51"/>
      <c r="AG34" s="46"/>
      <c r="AH34" s="46"/>
      <c r="AI34" s="51"/>
      <c r="AJ34" s="46"/>
      <c r="AK34" s="46"/>
      <c r="AL34" s="46"/>
      <c r="AM34" s="46"/>
      <c r="AN34" s="46"/>
      <c r="AO34" s="46"/>
      <c r="AP34" s="46"/>
      <c r="AQ34" s="46"/>
      <c r="AR34" s="46"/>
      <c r="AS34" s="46"/>
      <c r="AT34" s="51"/>
      <c r="AU34" s="46"/>
      <c r="AV34" s="46"/>
      <c r="AW34" s="54"/>
      <c r="AX34" s="51"/>
      <c r="AY34" s="46"/>
      <c r="AZ34" s="46"/>
      <c r="BA34" s="46"/>
      <c r="BB34" s="46"/>
      <c r="BC34" s="46"/>
      <c r="BD34" s="46"/>
      <c r="BE34" s="46"/>
      <c r="BF34" s="46"/>
      <c r="BG34" s="46"/>
      <c r="BH34" s="46"/>
      <c r="BI34" s="46"/>
      <c r="BJ34" s="46"/>
      <c r="BK34" s="46"/>
      <c r="BL34" s="46"/>
      <c r="BM34" s="46"/>
      <c r="BN34" s="46"/>
      <c r="BO34" s="46"/>
      <c r="BP34" s="46"/>
      <c r="BQ34" s="46"/>
      <c r="BR34" s="46"/>
      <c r="BS34" s="54"/>
      <c r="BT34" s="46"/>
      <c r="BU34" s="54"/>
      <c r="BV34" s="46"/>
      <c r="BW34" s="46"/>
      <c r="BX34" s="46"/>
      <c r="BY34" s="46"/>
      <c r="BZ34" s="46"/>
      <c r="CA34" s="54"/>
      <c r="CB34" s="46"/>
      <c r="CC34" s="46"/>
      <c r="CD34" s="46"/>
    </row>
    <row r="35" spans="4:82" s="39" customFormat="true" ht="12" customHeight="true">
      <c r="D35" s="46"/>
      <c r="E35" s="46"/>
      <c r="F35" s="46"/>
      <c r="G35" s="46"/>
      <c r="H35" s="46"/>
      <c r="I35" s="46"/>
      <c r="J35" s="46"/>
      <c r="K35" s="46"/>
      <c r="L35" s="46"/>
      <c r="M35" s="46"/>
      <c r="N35" s="46"/>
      <c r="O35" s="46"/>
      <c r="P35" s="46"/>
      <c r="Q35" s="46"/>
      <c r="R35" s="46"/>
      <c r="S35" s="51"/>
      <c r="T35" s="46"/>
      <c r="U35" s="46"/>
      <c r="V35" s="46"/>
      <c r="W35" s="46"/>
      <c r="X35" s="46"/>
      <c r="Y35" s="46"/>
      <c r="Z35" s="51"/>
      <c r="AA35" s="51"/>
      <c r="AB35" s="51"/>
      <c r="AC35" s="51"/>
      <c r="AD35" s="51"/>
      <c r="AE35" s="46"/>
      <c r="AF35" s="51"/>
      <c r="AG35" s="46"/>
      <c r="AH35" s="46"/>
      <c r="AI35" s="51"/>
      <c r="AJ35" s="46"/>
      <c r="AK35" s="46"/>
      <c r="AL35" s="46"/>
      <c r="AM35" s="46"/>
      <c r="AN35" s="46"/>
      <c r="AO35" s="46"/>
      <c r="AP35" s="46"/>
      <c r="AQ35" s="46"/>
      <c r="AR35" s="46"/>
      <c r="AS35" s="46"/>
      <c r="AT35" s="51"/>
      <c r="AU35" s="46"/>
      <c r="AV35" s="46"/>
      <c r="AW35" s="54"/>
      <c r="AX35" s="51"/>
      <c r="AY35" s="46"/>
      <c r="AZ35" s="46"/>
      <c r="BA35" s="46"/>
      <c r="BB35" s="46"/>
      <c r="BC35" s="46"/>
      <c r="BD35" s="46"/>
      <c r="BE35" s="46"/>
      <c r="BF35" s="46"/>
      <c r="BG35" s="46"/>
      <c r="BH35" s="46"/>
      <c r="BI35" s="46"/>
      <c r="BJ35" s="46"/>
      <c r="BK35" s="46"/>
      <c r="BL35" s="46"/>
      <c r="BM35" s="46"/>
      <c r="BN35" s="46"/>
      <c r="BO35" s="46"/>
      <c r="BP35" s="46"/>
      <c r="BQ35" s="46"/>
      <c r="BR35" s="46"/>
      <c r="BS35" s="54"/>
      <c r="BT35" s="46"/>
      <c r="BU35" s="54"/>
      <c r="BV35" s="46"/>
      <c r="BW35" s="46"/>
      <c r="BX35" s="46"/>
      <c r="BY35" s="46"/>
      <c r="BZ35" s="46"/>
      <c r="CA35" s="54"/>
      <c r="CB35" s="46"/>
      <c r="CC35" s="46"/>
      <c r="CD35" s="46"/>
    </row>
    <row r="36" spans="4:82" s="39" customFormat="true" ht="12" customHeight="true">
      <c r="D36" s="46"/>
      <c r="E36" s="46"/>
      <c r="F36" s="46"/>
      <c r="G36" s="46"/>
      <c r="H36" s="46"/>
      <c r="I36" s="46"/>
      <c r="J36" s="46"/>
      <c r="K36" s="46"/>
      <c r="L36" s="46"/>
      <c r="M36" s="46"/>
      <c r="N36" s="46"/>
      <c r="O36" s="46"/>
      <c r="P36" s="46"/>
      <c r="Q36" s="46"/>
      <c r="R36" s="46"/>
      <c r="S36" s="51"/>
      <c r="T36" s="46"/>
      <c r="U36" s="46"/>
      <c r="V36" s="46"/>
      <c r="W36" s="46"/>
      <c r="X36" s="46"/>
      <c r="Y36" s="46"/>
      <c r="Z36" s="51"/>
      <c r="AA36" s="51"/>
      <c r="AB36" s="51"/>
      <c r="AC36" s="51"/>
      <c r="AD36" s="51"/>
      <c r="AE36" s="46"/>
      <c r="AF36" s="51"/>
      <c r="AG36" s="46"/>
      <c r="AH36" s="46"/>
      <c r="AI36" s="51"/>
      <c r="AJ36" s="46"/>
      <c r="AK36" s="46"/>
      <c r="AL36" s="46"/>
      <c r="AM36" s="46"/>
      <c r="AN36" s="46"/>
      <c r="AO36" s="46"/>
      <c r="AP36" s="46"/>
      <c r="AQ36" s="46"/>
      <c r="AR36" s="46"/>
      <c r="AS36" s="46"/>
      <c r="AT36" s="51"/>
      <c r="AU36" s="46"/>
      <c r="AV36" s="46"/>
      <c r="AW36" s="54"/>
      <c r="AX36" s="51"/>
      <c r="AY36" s="46"/>
      <c r="AZ36" s="46"/>
      <c r="BA36" s="46"/>
      <c r="BB36" s="46"/>
      <c r="BC36" s="46"/>
      <c r="BD36" s="46"/>
      <c r="BE36" s="46"/>
      <c r="BF36" s="46"/>
      <c r="BG36" s="46"/>
      <c r="BH36" s="46"/>
      <c r="BI36" s="46"/>
      <c r="BJ36" s="46"/>
      <c r="BK36" s="46"/>
      <c r="BL36" s="46"/>
      <c r="BM36" s="46"/>
      <c r="BN36" s="46"/>
      <c r="BO36" s="46"/>
      <c r="BP36" s="46"/>
      <c r="BQ36" s="46"/>
      <c r="BR36" s="46"/>
      <c r="BS36" s="54"/>
      <c r="BT36" s="46"/>
      <c r="BU36" s="54"/>
      <c r="BV36" s="46"/>
      <c r="BW36" s="46"/>
      <c r="BX36" s="46"/>
      <c r="BY36" s="46"/>
      <c r="BZ36" s="46"/>
      <c r="CA36" s="54"/>
      <c r="CB36" s="46"/>
      <c r="CC36" s="46"/>
      <c r="CD36" s="46"/>
    </row>
    <row r="37" spans="4:82" s="39" customFormat="true" ht="12" customHeight="true">
      <c r="D37" s="46"/>
      <c r="E37" s="46"/>
      <c r="F37" s="46"/>
      <c r="G37" s="46"/>
      <c r="H37" s="46"/>
      <c r="I37" s="46"/>
      <c r="J37" s="46"/>
      <c r="K37" s="46"/>
      <c r="L37" s="46"/>
      <c r="M37" s="46"/>
      <c r="N37" s="46"/>
      <c r="O37" s="46"/>
      <c r="P37" s="46"/>
      <c r="Q37" s="46"/>
      <c r="R37" s="46"/>
      <c r="S37" s="51"/>
      <c r="T37" s="46"/>
      <c r="U37" s="46"/>
      <c r="V37" s="46"/>
      <c r="W37" s="46"/>
      <c r="X37" s="46"/>
      <c r="Y37" s="46"/>
      <c r="Z37" s="51"/>
      <c r="AA37" s="51"/>
      <c r="AB37" s="51"/>
      <c r="AC37" s="51"/>
      <c r="AD37" s="51"/>
      <c r="AE37" s="46"/>
      <c r="AF37" s="51"/>
      <c r="AG37" s="46"/>
      <c r="AH37" s="46"/>
      <c r="AI37" s="51"/>
      <c r="AJ37" s="46"/>
      <c r="AK37" s="46"/>
      <c r="AL37" s="46"/>
      <c r="AM37" s="46"/>
      <c r="AN37" s="46"/>
      <c r="AO37" s="46"/>
      <c r="AP37" s="46"/>
      <c r="AQ37" s="46"/>
      <c r="AR37" s="46"/>
      <c r="AS37" s="46"/>
      <c r="AT37" s="51"/>
      <c r="AU37" s="46"/>
      <c r="AV37" s="46"/>
      <c r="AW37" s="54"/>
      <c r="AX37" s="51"/>
      <c r="AY37" s="46"/>
      <c r="AZ37" s="46"/>
      <c r="BA37" s="46"/>
      <c r="BB37" s="46"/>
      <c r="BC37" s="46"/>
      <c r="BD37" s="46"/>
      <c r="BE37" s="46"/>
      <c r="BF37" s="46"/>
      <c r="BG37" s="46"/>
      <c r="BH37" s="46"/>
      <c r="BI37" s="46"/>
      <c r="BJ37" s="46"/>
      <c r="BK37" s="46"/>
      <c r="BL37" s="46"/>
      <c r="BM37" s="46"/>
      <c r="BN37" s="46"/>
      <c r="BO37" s="46"/>
      <c r="BP37" s="46"/>
      <c r="BQ37" s="46"/>
      <c r="BR37" s="46"/>
      <c r="BS37" s="54"/>
      <c r="BT37" s="46"/>
      <c r="BU37" s="54"/>
      <c r="BV37" s="46"/>
      <c r="BW37" s="46"/>
      <c r="BX37" s="46"/>
      <c r="BY37" s="46"/>
      <c r="BZ37" s="46"/>
      <c r="CA37" s="54"/>
      <c r="CB37" s="46"/>
      <c r="CC37" s="46"/>
      <c r="CD37" s="46"/>
    </row>
    <row r="38" spans="4:82" s="39" customFormat="true" ht="12" customHeight="true">
      <c r="D38" s="46"/>
      <c r="E38" s="46"/>
      <c r="F38" s="46"/>
      <c r="G38" s="46"/>
      <c r="H38" s="46"/>
      <c r="I38" s="46"/>
      <c r="J38" s="46"/>
      <c r="K38" s="46"/>
      <c r="L38" s="46"/>
      <c r="M38" s="46"/>
      <c r="N38" s="46"/>
      <c r="O38" s="46"/>
      <c r="P38" s="46"/>
      <c r="Q38" s="46"/>
      <c r="R38" s="46"/>
      <c r="S38" s="51"/>
      <c r="T38" s="46"/>
      <c r="U38" s="46"/>
      <c r="V38" s="46"/>
      <c r="W38" s="46"/>
      <c r="X38" s="46"/>
      <c r="Y38" s="46"/>
      <c r="Z38" s="51"/>
      <c r="AA38" s="51"/>
      <c r="AB38" s="51"/>
      <c r="AC38" s="51"/>
      <c r="AD38" s="51"/>
      <c r="AE38" s="46"/>
      <c r="AF38" s="51"/>
      <c r="AG38" s="46"/>
      <c r="AH38" s="46"/>
      <c r="AI38" s="51"/>
      <c r="AJ38" s="46"/>
      <c r="AK38" s="46"/>
      <c r="AL38" s="46"/>
      <c r="AM38" s="46"/>
      <c r="AN38" s="46"/>
      <c r="AO38" s="46"/>
      <c r="AP38" s="46"/>
      <c r="AQ38" s="46"/>
      <c r="AR38" s="46"/>
      <c r="AS38" s="46"/>
      <c r="AT38" s="51"/>
      <c r="AU38" s="46"/>
      <c r="AV38" s="46"/>
      <c r="AW38" s="54"/>
      <c r="AX38" s="51"/>
      <c r="AY38" s="46"/>
      <c r="AZ38" s="46"/>
      <c r="BA38" s="46"/>
      <c r="BB38" s="46"/>
      <c r="BC38" s="46"/>
      <c r="BD38" s="46"/>
      <c r="BE38" s="46"/>
      <c r="BF38" s="46"/>
      <c r="BG38" s="46"/>
      <c r="BH38" s="46"/>
      <c r="BI38" s="46"/>
      <c r="BJ38" s="46"/>
      <c r="BK38" s="46"/>
      <c r="BL38" s="46"/>
      <c r="BM38" s="46"/>
      <c r="BN38" s="46"/>
      <c r="BO38" s="46"/>
      <c r="BP38" s="46"/>
      <c r="BQ38" s="46"/>
      <c r="BR38" s="46"/>
      <c r="BS38" s="54"/>
      <c r="BT38" s="46"/>
      <c r="BU38" s="54"/>
      <c r="BV38" s="46"/>
      <c r="BW38" s="46"/>
      <c r="BX38" s="46"/>
      <c r="BY38" s="46"/>
      <c r="BZ38" s="46"/>
      <c r="CA38" s="54"/>
      <c r="CB38" s="46"/>
      <c r="CC38" s="46"/>
      <c r="CD38" s="46"/>
    </row>
    <row r="39" spans="4:82" s="39" customFormat="true" ht="12" customHeight="true">
      <c r="D39" s="46"/>
      <c r="E39" s="46"/>
      <c r="F39" s="46"/>
      <c r="G39" s="46"/>
      <c r="H39" s="46"/>
      <c r="I39" s="46"/>
      <c r="J39" s="46"/>
      <c r="K39" s="46"/>
      <c r="L39" s="46"/>
      <c r="M39" s="46"/>
      <c r="N39" s="46"/>
      <c r="O39" s="46"/>
      <c r="P39" s="46"/>
      <c r="Q39" s="46"/>
      <c r="R39" s="46"/>
      <c r="S39" s="51"/>
      <c r="T39" s="46"/>
      <c r="U39" s="46"/>
      <c r="V39" s="46"/>
      <c r="W39" s="46"/>
      <c r="X39" s="46"/>
      <c r="Y39" s="46"/>
      <c r="Z39" s="51"/>
      <c r="AA39" s="51"/>
      <c r="AB39" s="51"/>
      <c r="AC39" s="51"/>
      <c r="AD39" s="51"/>
      <c r="AE39" s="46"/>
      <c r="AF39" s="51"/>
      <c r="AG39" s="46"/>
      <c r="AH39" s="46"/>
      <c r="AI39" s="51"/>
      <c r="AJ39" s="46"/>
      <c r="AK39" s="46"/>
      <c r="AL39" s="46"/>
      <c r="AM39" s="46"/>
      <c r="AN39" s="46"/>
      <c r="AO39" s="46"/>
      <c r="AP39" s="46"/>
      <c r="AQ39" s="46"/>
      <c r="AR39" s="46"/>
      <c r="AS39" s="46"/>
      <c r="AT39" s="51"/>
      <c r="AU39" s="46"/>
      <c r="AV39" s="46"/>
      <c r="AW39" s="54"/>
      <c r="AX39" s="51"/>
      <c r="AY39" s="46"/>
      <c r="AZ39" s="46"/>
      <c r="BA39" s="46"/>
      <c r="BB39" s="46"/>
      <c r="BC39" s="46"/>
      <c r="BD39" s="46"/>
      <c r="BE39" s="46"/>
      <c r="BF39" s="46"/>
      <c r="BG39" s="46"/>
      <c r="BH39" s="46"/>
      <c r="BI39" s="46"/>
      <c r="BJ39" s="46"/>
      <c r="BK39" s="46"/>
      <c r="BL39" s="46"/>
      <c r="BM39" s="46"/>
      <c r="BN39" s="46"/>
      <c r="BO39" s="46"/>
      <c r="BP39" s="46"/>
      <c r="BQ39" s="46"/>
      <c r="BR39" s="46"/>
      <c r="BS39" s="54"/>
      <c r="BT39" s="46"/>
      <c r="BU39" s="54"/>
      <c r="BV39" s="46"/>
      <c r="BW39" s="46"/>
      <c r="BX39" s="46"/>
      <c r="BY39" s="46"/>
      <c r="BZ39" s="46"/>
      <c r="CA39" s="54"/>
      <c r="CB39" s="46"/>
      <c r="CC39" s="46"/>
      <c r="CD39" s="46"/>
    </row>
    <row r="40" spans="4:82" s="39" customFormat="true" ht="12" customHeight="true">
      <c r="D40" s="46"/>
      <c r="E40" s="46"/>
      <c r="F40" s="46"/>
      <c r="G40" s="46"/>
      <c r="H40" s="46"/>
      <c r="I40" s="46"/>
      <c r="J40" s="46"/>
      <c r="K40" s="46"/>
      <c r="L40" s="46"/>
      <c r="M40" s="46"/>
      <c r="N40" s="46"/>
      <c r="O40" s="46"/>
      <c r="P40" s="46"/>
      <c r="Q40" s="46"/>
      <c r="R40" s="46"/>
      <c r="S40" s="51"/>
      <c r="T40" s="46"/>
      <c r="U40" s="46"/>
      <c r="V40" s="46"/>
      <c r="W40" s="46"/>
      <c r="X40" s="46"/>
      <c r="Y40" s="46"/>
      <c r="Z40" s="51"/>
      <c r="AA40" s="51"/>
      <c r="AB40" s="51"/>
      <c r="AC40" s="51"/>
      <c r="AD40" s="51"/>
      <c r="AE40" s="46"/>
      <c r="AF40" s="51"/>
      <c r="AG40" s="46"/>
      <c r="AH40" s="46"/>
      <c r="AI40" s="51"/>
      <c r="AJ40" s="46"/>
      <c r="AK40" s="46"/>
      <c r="AL40" s="46"/>
      <c r="AM40" s="46"/>
      <c r="AN40" s="46"/>
      <c r="AO40" s="46"/>
      <c r="AP40" s="46"/>
      <c r="AQ40" s="46"/>
      <c r="AR40" s="46"/>
      <c r="AS40" s="46"/>
      <c r="AT40" s="51"/>
      <c r="AU40" s="46"/>
      <c r="AV40" s="46"/>
      <c r="AW40" s="54"/>
      <c r="AX40" s="51"/>
      <c r="AY40" s="46"/>
      <c r="AZ40" s="46"/>
      <c r="BA40" s="46"/>
      <c r="BB40" s="46"/>
      <c r="BC40" s="46"/>
      <c r="BD40" s="46"/>
      <c r="BE40" s="46"/>
      <c r="BF40" s="46"/>
      <c r="BG40" s="46"/>
      <c r="BH40" s="46"/>
      <c r="BI40" s="46"/>
      <c r="BJ40" s="46"/>
      <c r="BK40" s="46"/>
      <c r="BL40" s="46"/>
      <c r="BM40" s="46"/>
      <c r="BN40" s="46"/>
      <c r="BO40" s="46"/>
      <c r="BP40" s="46"/>
      <c r="BQ40" s="46"/>
      <c r="BR40" s="46"/>
      <c r="BS40" s="54"/>
      <c r="BT40" s="46"/>
      <c r="BU40" s="54"/>
      <c r="BV40" s="46"/>
      <c r="BW40" s="46"/>
      <c r="BX40" s="46"/>
      <c r="BY40" s="46"/>
      <c r="BZ40" s="46"/>
      <c r="CA40" s="54"/>
      <c r="CB40" s="46"/>
      <c r="CC40" s="46"/>
      <c r="CD40" s="46"/>
    </row>
    <row r="41" spans="4:82" s="39" customFormat="true" ht="12" customHeight="true">
      <c r="D41" s="46"/>
      <c r="E41" s="46"/>
      <c r="F41" s="46"/>
      <c r="G41" s="46"/>
      <c r="H41" s="46"/>
      <c r="I41" s="46"/>
      <c r="J41" s="46"/>
      <c r="K41" s="46"/>
      <c r="L41" s="46"/>
      <c r="M41" s="46"/>
      <c r="N41" s="46"/>
      <c r="O41" s="46"/>
      <c r="P41" s="46"/>
      <c r="Q41" s="46"/>
      <c r="R41" s="46"/>
      <c r="S41" s="51"/>
      <c r="T41" s="46"/>
      <c r="U41" s="46"/>
      <c r="V41" s="46"/>
      <c r="W41" s="46"/>
      <c r="X41" s="46"/>
      <c r="Y41" s="46"/>
      <c r="Z41" s="51"/>
      <c r="AA41" s="51"/>
      <c r="AB41" s="51"/>
      <c r="AC41" s="51"/>
      <c r="AD41" s="51"/>
      <c r="AE41" s="46"/>
      <c r="AF41" s="51"/>
      <c r="AG41" s="46"/>
      <c r="AH41" s="46"/>
      <c r="AI41" s="51"/>
      <c r="AJ41" s="46"/>
      <c r="AK41" s="46"/>
      <c r="AL41" s="46"/>
      <c r="AM41" s="46"/>
      <c r="AN41" s="46"/>
      <c r="AO41" s="46"/>
      <c r="AP41" s="46"/>
      <c r="AQ41" s="46"/>
      <c r="AR41" s="46"/>
      <c r="AS41" s="46"/>
      <c r="AT41" s="51"/>
      <c r="AU41" s="46"/>
      <c r="AV41" s="46"/>
      <c r="AW41" s="54"/>
      <c r="AX41" s="51"/>
      <c r="AY41" s="46"/>
      <c r="AZ41" s="46"/>
      <c r="BA41" s="46"/>
      <c r="BB41" s="46"/>
      <c r="BC41" s="46"/>
      <c r="BD41" s="46"/>
      <c r="BE41" s="46"/>
      <c r="BF41" s="46"/>
      <c r="BG41" s="46"/>
      <c r="BH41" s="46"/>
      <c r="BI41" s="46"/>
      <c r="BJ41" s="46"/>
      <c r="BK41" s="46"/>
      <c r="BL41" s="46"/>
      <c r="BM41" s="46"/>
      <c r="BN41" s="46"/>
      <c r="BO41" s="46"/>
      <c r="BP41" s="46"/>
      <c r="BQ41" s="46"/>
      <c r="BR41" s="46"/>
      <c r="BS41" s="54"/>
      <c r="BT41" s="46"/>
      <c r="BU41" s="54"/>
      <c r="BV41" s="46"/>
      <c r="BW41" s="46"/>
      <c r="BX41" s="46"/>
      <c r="BY41" s="46"/>
      <c r="BZ41" s="46"/>
      <c r="CA41" s="54"/>
      <c r="CB41" s="46"/>
      <c r="CC41" s="46"/>
      <c r="CD41" s="46"/>
    </row>
    <row r="42" spans="4:82" s="39" customFormat="true" ht="12" customHeight="true">
      <c r="D42" s="46"/>
      <c r="E42" s="46"/>
      <c r="F42" s="46"/>
      <c r="G42" s="46"/>
      <c r="H42" s="46"/>
      <c r="I42" s="46"/>
      <c r="J42" s="46"/>
      <c r="K42" s="46"/>
      <c r="L42" s="46"/>
      <c r="M42" s="46"/>
      <c r="N42" s="46"/>
      <c r="O42" s="46"/>
      <c r="P42" s="46"/>
      <c r="Q42" s="46"/>
      <c r="R42" s="46"/>
      <c r="S42" s="51"/>
      <c r="T42" s="46"/>
      <c r="U42" s="46"/>
      <c r="V42" s="46"/>
      <c r="W42" s="46"/>
      <c r="X42" s="46"/>
      <c r="Y42" s="46"/>
      <c r="Z42" s="51"/>
      <c r="AA42" s="51"/>
      <c r="AB42" s="51"/>
      <c r="AC42" s="51"/>
      <c r="AD42" s="51"/>
      <c r="AE42" s="46"/>
      <c r="AF42" s="51"/>
      <c r="AG42" s="46"/>
      <c r="AH42" s="46"/>
      <c r="AI42" s="51"/>
      <c r="AJ42" s="46"/>
      <c r="AK42" s="46"/>
      <c r="AL42" s="46"/>
      <c r="AM42" s="46"/>
      <c r="AN42" s="46"/>
      <c r="AO42" s="46"/>
      <c r="AP42" s="46"/>
      <c r="AQ42" s="46"/>
      <c r="AR42" s="46"/>
      <c r="AS42" s="46"/>
      <c r="AT42" s="51"/>
      <c r="AU42" s="46"/>
      <c r="AV42" s="46"/>
      <c r="AW42" s="54"/>
      <c r="AX42" s="51"/>
      <c r="AY42" s="46"/>
      <c r="AZ42" s="46"/>
      <c r="BA42" s="46"/>
      <c r="BB42" s="46"/>
      <c r="BC42" s="46"/>
      <c r="BD42" s="46"/>
      <c r="BE42" s="46"/>
      <c r="BF42" s="46"/>
      <c r="BG42" s="46"/>
      <c r="BH42" s="46"/>
      <c r="BI42" s="46"/>
      <c r="BJ42" s="46"/>
      <c r="BK42" s="46"/>
      <c r="BL42" s="46"/>
      <c r="BM42" s="46"/>
      <c r="BN42" s="46"/>
      <c r="BO42" s="46"/>
      <c r="BP42" s="46"/>
      <c r="BQ42" s="46"/>
      <c r="BR42" s="46"/>
      <c r="BS42" s="54"/>
      <c r="BT42" s="46"/>
      <c r="BU42" s="54"/>
      <c r="BV42" s="46"/>
      <c r="BW42" s="46"/>
      <c r="BX42" s="46"/>
      <c r="BY42" s="46"/>
      <c r="BZ42" s="46"/>
      <c r="CA42" s="54"/>
      <c r="CB42" s="46"/>
      <c r="CC42" s="46"/>
      <c r="CD42" s="46"/>
    </row>
    <row r="43" spans="4:82" s="39" customFormat="true" ht="12" customHeight="true">
      <c r="D43" s="46"/>
      <c r="E43" s="46"/>
      <c r="F43" s="46"/>
      <c r="G43" s="46"/>
      <c r="H43" s="46"/>
      <c r="I43" s="46"/>
      <c r="J43" s="46"/>
      <c r="K43" s="46"/>
      <c r="L43" s="46"/>
      <c r="M43" s="46"/>
      <c r="N43" s="46"/>
      <c r="O43" s="46"/>
      <c r="P43" s="46"/>
      <c r="Q43" s="46"/>
      <c r="R43" s="46"/>
      <c r="S43" s="51"/>
      <c r="T43" s="46"/>
      <c r="U43" s="46"/>
      <c r="V43" s="46"/>
      <c r="W43" s="46"/>
      <c r="X43" s="46"/>
      <c r="Y43" s="46"/>
      <c r="Z43" s="51"/>
      <c r="AA43" s="51"/>
      <c r="AB43" s="51"/>
      <c r="AC43" s="51"/>
      <c r="AD43" s="51"/>
      <c r="AE43" s="46"/>
      <c r="AF43" s="51"/>
      <c r="AG43" s="46"/>
      <c r="AH43" s="46"/>
      <c r="AI43" s="51"/>
      <c r="AJ43" s="46"/>
      <c r="AK43" s="46"/>
      <c r="AL43" s="46"/>
      <c r="AM43" s="46"/>
      <c r="AN43" s="46"/>
      <c r="AO43" s="46"/>
      <c r="AP43" s="46"/>
      <c r="AQ43" s="46"/>
      <c r="AR43" s="46"/>
      <c r="AS43" s="46"/>
      <c r="AT43" s="51"/>
      <c r="AU43" s="46"/>
      <c r="AV43" s="46"/>
      <c r="AW43" s="54"/>
      <c r="AX43" s="51"/>
      <c r="AY43" s="46"/>
      <c r="AZ43" s="46"/>
      <c r="BA43" s="46"/>
      <c r="BB43" s="46"/>
      <c r="BC43" s="46"/>
      <c r="BD43" s="46"/>
      <c r="BE43" s="46"/>
      <c r="BF43" s="46"/>
      <c r="BG43" s="46"/>
      <c r="BH43" s="46"/>
      <c r="BI43" s="46"/>
      <c r="BJ43" s="46"/>
      <c r="BK43" s="46"/>
      <c r="BL43" s="46"/>
      <c r="BM43" s="46"/>
      <c r="BN43" s="46"/>
      <c r="BO43" s="46"/>
      <c r="BP43" s="46"/>
      <c r="BQ43" s="46"/>
      <c r="BR43" s="46"/>
      <c r="BS43" s="54"/>
      <c r="BT43" s="46"/>
      <c r="BU43" s="54"/>
      <c r="BV43" s="46"/>
      <c r="BW43" s="46"/>
      <c r="BX43" s="46"/>
      <c r="BY43" s="46"/>
      <c r="BZ43" s="46"/>
      <c r="CA43" s="54"/>
      <c r="CB43" s="46"/>
      <c r="CC43" s="46"/>
      <c r="CD43" s="46"/>
    </row>
    <row r="44" spans="4:82" s="39" customFormat="true" ht="12" customHeight="true">
      <c r="D44" s="46"/>
      <c r="E44" s="46"/>
      <c r="F44" s="46"/>
      <c r="G44" s="46"/>
      <c r="H44" s="46"/>
      <c r="I44" s="46"/>
      <c r="J44" s="46"/>
      <c r="K44" s="46"/>
      <c r="L44" s="46"/>
      <c r="M44" s="46"/>
      <c r="N44" s="46"/>
      <c r="O44" s="46"/>
      <c r="P44" s="46"/>
      <c r="Q44" s="46"/>
      <c r="R44" s="46"/>
      <c r="S44" s="51"/>
      <c r="T44" s="46"/>
      <c r="U44" s="46"/>
      <c r="V44" s="46"/>
      <c r="W44" s="46"/>
      <c r="X44" s="46"/>
      <c r="Y44" s="46"/>
      <c r="Z44" s="51"/>
      <c r="AA44" s="51"/>
      <c r="AB44" s="51"/>
      <c r="AC44" s="51"/>
      <c r="AD44" s="51"/>
      <c r="AE44" s="46"/>
      <c r="AF44" s="51"/>
      <c r="AG44" s="46"/>
      <c r="AH44" s="46"/>
      <c r="AI44" s="51"/>
      <c r="AJ44" s="46"/>
      <c r="AK44" s="46"/>
      <c r="AL44" s="46"/>
      <c r="AM44" s="46"/>
      <c r="AN44" s="46"/>
      <c r="AO44" s="46"/>
      <c r="AP44" s="46"/>
      <c r="AQ44" s="46"/>
      <c r="AR44" s="46"/>
      <c r="AS44" s="46"/>
      <c r="AT44" s="51"/>
      <c r="AU44" s="46"/>
      <c r="AV44" s="46"/>
      <c r="AW44" s="54"/>
      <c r="AX44" s="51"/>
      <c r="AY44" s="46"/>
      <c r="AZ44" s="46"/>
      <c r="BA44" s="46"/>
      <c r="BB44" s="46"/>
      <c r="BC44" s="46"/>
      <c r="BD44" s="46"/>
      <c r="BE44" s="46"/>
      <c r="BF44" s="46"/>
      <c r="BG44" s="46"/>
      <c r="BH44" s="46"/>
      <c r="BI44" s="46"/>
      <c r="BJ44" s="46"/>
      <c r="BK44" s="46"/>
      <c r="BL44" s="46"/>
      <c r="BM44" s="46"/>
      <c r="BN44" s="46"/>
      <c r="BO44" s="46"/>
      <c r="BP44" s="46"/>
      <c r="BQ44" s="46"/>
      <c r="BR44" s="46"/>
      <c r="BS44" s="54"/>
      <c r="BT44" s="46"/>
      <c r="BU44" s="54"/>
      <c r="BV44" s="46"/>
      <c r="BW44" s="46"/>
      <c r="BX44" s="46"/>
      <c r="BY44" s="46"/>
      <c r="BZ44" s="46"/>
      <c r="CA44" s="54"/>
      <c r="CB44" s="46"/>
      <c r="CC44" s="46"/>
      <c r="CD44" s="46"/>
    </row>
    <row r="45" spans="4:82" s="39" customFormat="true" ht="12" customHeight="true">
      <c r="D45" s="46"/>
      <c r="E45" s="46"/>
      <c r="F45" s="46"/>
      <c r="G45" s="46"/>
      <c r="H45" s="46"/>
      <c r="I45" s="46"/>
      <c r="J45" s="46"/>
      <c r="K45" s="46"/>
      <c r="L45" s="46"/>
      <c r="M45" s="46"/>
      <c r="N45" s="46"/>
      <c r="O45" s="46"/>
      <c r="P45" s="46"/>
      <c r="Q45" s="46"/>
      <c r="R45" s="46"/>
      <c r="S45" s="51"/>
      <c r="T45" s="46"/>
      <c r="U45" s="46"/>
      <c r="V45" s="46"/>
      <c r="W45" s="46"/>
      <c r="X45" s="46"/>
      <c r="Y45" s="46"/>
      <c r="Z45" s="51"/>
      <c r="AA45" s="51"/>
      <c r="AB45" s="51"/>
      <c r="AC45" s="51"/>
      <c r="AD45" s="51"/>
      <c r="AE45" s="46"/>
      <c r="AF45" s="51"/>
      <c r="AG45" s="46"/>
      <c r="AH45" s="46"/>
      <c r="AI45" s="51"/>
      <c r="AJ45" s="46"/>
      <c r="AK45" s="46"/>
      <c r="AL45" s="46"/>
      <c r="AM45" s="46"/>
      <c r="AN45" s="46"/>
      <c r="AO45" s="46"/>
      <c r="AP45" s="46"/>
      <c r="AQ45" s="46"/>
      <c r="AR45" s="46"/>
      <c r="AS45" s="46"/>
      <c r="AT45" s="51"/>
      <c r="AU45" s="46"/>
      <c r="AV45" s="46"/>
      <c r="AW45" s="54"/>
      <c r="AX45" s="51"/>
      <c r="AY45" s="46"/>
      <c r="AZ45" s="46"/>
      <c r="BA45" s="46"/>
      <c r="BB45" s="46"/>
      <c r="BC45" s="46"/>
      <c r="BD45" s="46"/>
      <c r="BE45" s="46"/>
      <c r="BF45" s="46"/>
      <c r="BG45" s="46"/>
      <c r="BH45" s="46"/>
      <c r="BI45" s="46"/>
      <c r="BJ45" s="46"/>
      <c r="BK45" s="46"/>
      <c r="BL45" s="46"/>
      <c r="BM45" s="46"/>
      <c r="BN45" s="46"/>
      <c r="BO45" s="46"/>
      <c r="BP45" s="46"/>
      <c r="BQ45" s="46"/>
      <c r="BR45" s="46"/>
      <c r="BS45" s="54"/>
      <c r="BT45" s="46"/>
      <c r="BU45" s="54"/>
      <c r="BV45" s="46"/>
      <c r="BW45" s="46"/>
      <c r="BX45" s="46"/>
      <c r="BY45" s="46"/>
      <c r="BZ45" s="46"/>
      <c r="CA45" s="54"/>
      <c r="CB45" s="46"/>
      <c r="CC45" s="46"/>
      <c r="CD45" s="46"/>
    </row>
    <row r="46" spans="4:82" s="39" customFormat="true" ht="12" customHeight="true">
      <c r="D46" s="46"/>
      <c r="E46" s="46"/>
      <c r="F46" s="46"/>
      <c r="G46" s="46"/>
      <c r="H46" s="46"/>
      <c r="I46" s="46"/>
      <c r="J46" s="46"/>
      <c r="K46" s="46"/>
      <c r="L46" s="46"/>
      <c r="M46" s="46"/>
      <c r="N46" s="46"/>
      <c r="O46" s="46"/>
      <c r="P46" s="46"/>
      <c r="Q46" s="46"/>
      <c r="R46" s="46"/>
      <c r="S46" s="51"/>
      <c r="T46" s="46"/>
      <c r="U46" s="46"/>
      <c r="V46" s="46"/>
      <c r="W46" s="46"/>
      <c r="X46" s="46"/>
      <c r="Y46" s="46"/>
      <c r="Z46" s="51"/>
      <c r="AA46" s="51"/>
      <c r="AB46" s="51"/>
      <c r="AC46" s="51"/>
      <c r="AD46" s="51"/>
      <c r="AE46" s="46"/>
      <c r="AF46" s="51"/>
      <c r="AG46" s="46"/>
      <c r="AH46" s="46"/>
      <c r="AI46" s="51"/>
      <c r="AJ46" s="46"/>
      <c r="AK46" s="46"/>
      <c r="AL46" s="46"/>
      <c r="AM46" s="46"/>
      <c r="AN46" s="46"/>
      <c r="AO46" s="46"/>
      <c r="AP46" s="46"/>
      <c r="AQ46" s="46"/>
      <c r="AR46" s="46"/>
      <c r="AS46" s="46"/>
      <c r="AT46" s="51"/>
      <c r="AU46" s="46"/>
      <c r="AV46" s="46"/>
      <c r="AW46" s="54"/>
      <c r="AX46" s="51"/>
      <c r="AY46" s="46"/>
      <c r="AZ46" s="46"/>
      <c r="BA46" s="46"/>
      <c r="BB46" s="46"/>
      <c r="BC46" s="46"/>
      <c r="BD46" s="46"/>
      <c r="BE46" s="46"/>
      <c r="BF46" s="46"/>
      <c r="BG46" s="46"/>
      <c r="BH46" s="46"/>
      <c r="BI46" s="46"/>
      <c r="BJ46" s="46"/>
      <c r="BK46" s="46"/>
      <c r="BL46" s="46"/>
      <c r="BM46" s="46"/>
      <c r="BN46" s="46"/>
      <c r="BO46" s="46"/>
      <c r="BP46" s="46"/>
      <c r="BQ46" s="46"/>
      <c r="BR46" s="46"/>
      <c r="BS46" s="54"/>
      <c r="BT46" s="46"/>
      <c r="BU46" s="54"/>
      <c r="BV46" s="46"/>
      <c r="BW46" s="46"/>
      <c r="BX46" s="46"/>
      <c r="BY46" s="46"/>
      <c r="BZ46" s="46"/>
      <c r="CA46" s="54"/>
      <c r="CB46" s="46"/>
      <c r="CC46" s="46"/>
      <c r="CD46" s="46"/>
    </row>
    <row r="47" spans="2:83" s="39" customFormat="true" ht="12" customHeight="true">
      <c r="B47" s="39" t="s">
        <v>34191</v>
      </c>
      <c r="D47" s="39">
        <f t="shared" ref="D47:BO47" si="2">+SUM(D31:D46)</f>
        <v>0</v>
      </c>
      <c r="E47" s="39">
        <f t="shared" si="2"/>
        <v>96024.45</v>
      </c>
      <c r="F47" s="39">
        <f t="shared" si="2"/>
        <v>29669.28</v>
      </c>
      <c r="G47" s="39">
        <f t="shared" si="2"/>
        <v>0</v>
      </c>
      <c r="H47" s="39">
        <f t="shared" si="2"/>
        <v>67256.6</v>
      </c>
      <c r="I47" s="39">
        <f t="shared" si="2"/>
        <v>0</v>
      </c>
      <c r="J47" s="39">
        <f t="shared" si="2"/>
        <v>0</v>
      </c>
      <c r="K47" s="39">
        <f t="shared" si="2"/>
        <v>1148587.67</v>
      </c>
      <c r="L47" s="39">
        <f t="shared" si="2"/>
        <v>0</v>
      </c>
      <c r="M47" s="39">
        <f t="shared" si="2"/>
        <v>0</v>
      </c>
      <c r="N47" s="39">
        <f t="shared" si="2"/>
        <v>141497.47</v>
      </c>
      <c r="O47" s="39">
        <f t="shared" si="2"/>
        <v>118275.91</v>
      </c>
      <c r="P47" s="39">
        <f t="shared" si="2"/>
        <v>12698.1</v>
      </c>
      <c r="Q47" s="39">
        <f t="shared" si="2"/>
        <v>1769.03</v>
      </c>
      <c r="R47" s="39">
        <f t="shared" si="2"/>
        <v>0</v>
      </c>
      <c r="S47" s="51">
        <f t="shared" si="2"/>
        <v>0</v>
      </c>
      <c r="T47" s="39">
        <f t="shared" si="2"/>
        <v>134998.93</v>
      </c>
      <c r="U47" s="39">
        <f t="shared" si="2"/>
        <v>0</v>
      </c>
      <c r="V47" s="39">
        <f t="shared" si="2"/>
        <v>86524.08</v>
      </c>
      <c r="W47" s="39">
        <f t="shared" si="2"/>
        <v>0</v>
      </c>
      <c r="X47" s="39">
        <f t="shared" si="2"/>
        <v>0</v>
      </c>
      <c r="Y47" s="39">
        <f t="shared" si="2"/>
        <v>0</v>
      </c>
      <c r="Z47" s="51">
        <f t="shared" si="2"/>
        <v>0</v>
      </c>
      <c r="AA47" s="51">
        <f t="shared" si="2"/>
        <v>0</v>
      </c>
      <c r="AB47" s="51">
        <f t="shared" si="2"/>
        <v>0</v>
      </c>
      <c r="AC47" s="51">
        <f t="shared" si="2"/>
        <v>0</v>
      </c>
      <c r="AD47" s="51">
        <f t="shared" si="2"/>
        <v>0</v>
      </c>
      <c r="AE47" s="39">
        <f t="shared" si="2"/>
        <v>3123.2</v>
      </c>
      <c r="AF47" s="51">
        <f t="shared" si="2"/>
        <v>0</v>
      </c>
      <c r="AG47" s="39">
        <f t="shared" si="2"/>
        <v>315631.8</v>
      </c>
      <c r="AH47" s="39">
        <f t="shared" si="2"/>
        <v>39882.76</v>
      </c>
      <c r="AI47" s="51">
        <f t="shared" si="2"/>
        <v>0</v>
      </c>
      <c r="AJ47" s="39">
        <f t="shared" si="2"/>
        <v>247633.14</v>
      </c>
      <c r="AK47" s="39">
        <f t="shared" si="2"/>
        <v>18947.64</v>
      </c>
      <c r="AL47" s="39">
        <f t="shared" si="2"/>
        <v>5309.94</v>
      </c>
      <c r="AM47" s="39">
        <f t="shared" si="2"/>
        <v>0</v>
      </c>
      <c r="AN47" s="39">
        <f t="shared" si="2"/>
        <v>0</v>
      </c>
      <c r="AO47" s="39">
        <f t="shared" si="2"/>
        <v>0</v>
      </c>
      <c r="AP47" s="39">
        <f t="shared" si="2"/>
        <v>30159</v>
      </c>
      <c r="AQ47" s="39">
        <f t="shared" si="2"/>
        <v>99132</v>
      </c>
      <c r="AR47" s="39">
        <f t="shared" si="2"/>
        <v>20000</v>
      </c>
      <c r="AS47" s="39">
        <f t="shared" si="2"/>
        <v>16000</v>
      </c>
      <c r="AT47" s="51">
        <f t="shared" si="2"/>
        <v>0</v>
      </c>
      <c r="AU47" s="39">
        <f t="shared" si="2"/>
        <v>7257.18</v>
      </c>
      <c r="AV47" s="39">
        <f t="shared" si="2"/>
        <v>105261.48</v>
      </c>
      <c r="AW47" s="54">
        <f t="shared" si="2"/>
        <v>0</v>
      </c>
      <c r="AX47" s="51">
        <f t="shared" si="2"/>
        <v>0</v>
      </c>
      <c r="AY47" s="39">
        <f t="shared" si="2"/>
        <v>2200.64</v>
      </c>
      <c r="AZ47" s="39">
        <f t="shared" si="2"/>
        <v>4409.51</v>
      </c>
      <c r="BA47" s="39">
        <f t="shared" si="2"/>
        <v>75359.72</v>
      </c>
      <c r="BB47" s="39">
        <f t="shared" si="2"/>
        <v>0</v>
      </c>
      <c r="BC47" s="39">
        <f t="shared" si="2"/>
        <v>56652.67</v>
      </c>
      <c r="BD47" s="39">
        <f t="shared" si="2"/>
        <v>0</v>
      </c>
      <c r="BE47" s="39">
        <f t="shared" si="2"/>
        <v>8447.81</v>
      </c>
      <c r="BF47" s="39">
        <f t="shared" si="2"/>
        <v>5470.55</v>
      </c>
      <c r="BG47" s="39">
        <f t="shared" si="2"/>
        <v>0</v>
      </c>
      <c r="BH47" s="39">
        <f t="shared" si="2"/>
        <v>36240.65</v>
      </c>
      <c r="BI47" s="39">
        <f t="shared" si="2"/>
        <v>41665.4</v>
      </c>
      <c r="BJ47" s="39">
        <f t="shared" si="2"/>
        <v>2868.93</v>
      </c>
      <c r="BK47" s="39">
        <f t="shared" si="2"/>
        <v>75.3</v>
      </c>
      <c r="BL47" s="39">
        <f t="shared" si="2"/>
        <v>9415.58</v>
      </c>
      <c r="BM47" s="39">
        <f t="shared" si="2"/>
        <v>19232.39</v>
      </c>
      <c r="BN47" s="39">
        <f t="shared" si="2"/>
        <v>7916</v>
      </c>
      <c r="BO47" s="39">
        <f t="shared" si="2"/>
        <v>8767.42</v>
      </c>
      <c r="BP47" s="39">
        <f t="shared" ref="BP47:CD47" si="3">+SUM(BP31:BP46)</f>
        <v>17825.8</v>
      </c>
      <c r="BQ47" s="39">
        <f t="shared" si="3"/>
        <v>2501.5</v>
      </c>
      <c r="BR47" s="39">
        <f t="shared" si="3"/>
        <v>6687.36</v>
      </c>
      <c r="BS47" s="54">
        <f t="shared" si="3"/>
        <v>0</v>
      </c>
      <c r="BT47" s="39">
        <f t="shared" si="3"/>
        <v>13848.82</v>
      </c>
      <c r="BU47" s="54">
        <f t="shared" si="3"/>
        <v>0</v>
      </c>
      <c r="BV47" s="39">
        <f t="shared" si="3"/>
        <v>103260.64</v>
      </c>
      <c r="BW47" s="39">
        <f t="shared" si="3"/>
        <v>466.15</v>
      </c>
      <c r="BX47" s="39">
        <f t="shared" si="3"/>
        <v>173602</v>
      </c>
      <c r="BY47" s="39">
        <f t="shared" si="3"/>
        <v>4616.66</v>
      </c>
      <c r="BZ47" s="39">
        <f t="shared" si="3"/>
        <v>1585.25</v>
      </c>
      <c r="CA47" s="54">
        <f t="shared" si="3"/>
        <v>0</v>
      </c>
      <c r="CB47" s="39">
        <f t="shared" si="3"/>
        <v>0</v>
      </c>
      <c r="CC47" s="39">
        <f t="shared" si="3"/>
        <v>0</v>
      </c>
      <c r="CD47" s="39">
        <f t="shared" si="3"/>
        <v>12469.29</v>
      </c>
      <c r="CE47" s="39">
        <f>SUM(D47:CD47)</f>
        <v>3361225.7</v>
      </c>
    </row>
    <row r="48" spans="19:79" s="39" customFormat="true" ht="12" customHeight="true">
      <c r="S48" s="51"/>
      <c r="Z48" s="51"/>
      <c r="AA48" s="51"/>
      <c r="AB48" s="51"/>
      <c r="AC48" s="51"/>
      <c r="AD48" s="51"/>
      <c r="AF48" s="51"/>
      <c r="AI48" s="51"/>
      <c r="AT48" s="51"/>
      <c r="AW48" s="54"/>
      <c r="AX48" s="51"/>
      <c r="BS48" s="54"/>
      <c r="BU48" s="54"/>
      <c r="CA48" s="54"/>
    </row>
    <row r="49" spans="2:82" s="39" customFormat="true" ht="12" customHeight="true">
      <c r="B49" s="39" t="s">
        <v>34192</v>
      </c>
      <c r="D49" s="39">
        <f t="shared" ref="D49:AV49" si="4">+D9+D29-D47</f>
        <v>124455.29</v>
      </c>
      <c r="E49" s="39">
        <f t="shared" si="4"/>
        <v>-95767.1</v>
      </c>
      <c r="F49" s="39">
        <f t="shared" si="4"/>
        <v>-273245.42</v>
      </c>
      <c r="G49" s="39">
        <f t="shared" si="4"/>
        <v>57976.69</v>
      </c>
      <c r="H49" s="39">
        <f t="shared" si="4"/>
        <v>-67256.6</v>
      </c>
      <c r="I49" s="39">
        <f t="shared" si="4"/>
        <v>0</v>
      </c>
      <c r="J49" s="39">
        <f t="shared" si="4"/>
        <v>1100282.08</v>
      </c>
      <c r="K49" s="39">
        <f t="shared" si="4"/>
        <v>2338905.52</v>
      </c>
      <c r="L49" s="39">
        <f t="shared" si="4"/>
        <v>44540.64</v>
      </c>
      <c r="M49" s="39">
        <f t="shared" si="4"/>
        <v>46708.34</v>
      </c>
      <c r="N49" s="39">
        <f t="shared" si="4"/>
        <v>-134059.3</v>
      </c>
      <c r="O49" s="39">
        <f t="shared" si="4"/>
        <v>-105105.48</v>
      </c>
      <c r="P49" s="39">
        <f t="shared" si="4"/>
        <v>11030.22</v>
      </c>
      <c r="Q49" s="39">
        <f t="shared" si="4"/>
        <v>-1171.94</v>
      </c>
      <c r="R49" s="39">
        <f t="shared" si="4"/>
        <v>12778.48</v>
      </c>
      <c r="S49" s="51">
        <f t="shared" si="4"/>
        <v>0</v>
      </c>
      <c r="T49" s="39">
        <f t="shared" si="4"/>
        <v>119526.93</v>
      </c>
      <c r="U49" s="39">
        <f t="shared" si="4"/>
        <v>54803.19</v>
      </c>
      <c r="V49" s="39">
        <f t="shared" si="4"/>
        <v>-86524.08</v>
      </c>
      <c r="W49" s="39">
        <f t="shared" si="4"/>
        <v>48442.79</v>
      </c>
      <c r="X49" s="39">
        <f t="shared" si="4"/>
        <v>11438.18</v>
      </c>
      <c r="Y49" s="39">
        <f t="shared" si="4"/>
        <v>0</v>
      </c>
      <c r="Z49" s="51">
        <f t="shared" si="4"/>
        <v>0</v>
      </c>
      <c r="AA49" s="51">
        <f t="shared" si="4"/>
        <v>0</v>
      </c>
      <c r="AB49" s="51">
        <f t="shared" si="4"/>
        <v>0</v>
      </c>
      <c r="AC49" s="51">
        <f t="shared" si="4"/>
        <v>0</v>
      </c>
      <c r="AD49" s="51">
        <f t="shared" si="4"/>
        <v>0</v>
      </c>
      <c r="AE49" s="39">
        <f t="shared" si="4"/>
        <v>25489.62</v>
      </c>
      <c r="AF49" s="51">
        <f t="shared" si="4"/>
        <v>0</v>
      </c>
      <c r="AG49" s="39">
        <f t="shared" si="4"/>
        <v>-217326.54</v>
      </c>
      <c r="AH49" s="39">
        <f t="shared" si="4"/>
        <v>28257.87</v>
      </c>
      <c r="AI49" s="51">
        <f t="shared" si="4"/>
        <v>0</v>
      </c>
      <c r="AJ49" s="39">
        <f t="shared" si="4"/>
        <v>-155160.58</v>
      </c>
      <c r="AK49" s="39">
        <f t="shared" si="4"/>
        <v>131979.27</v>
      </c>
      <c r="AL49" s="39">
        <f t="shared" si="4"/>
        <v>43695.35</v>
      </c>
      <c r="AM49" s="39">
        <f t="shared" si="4"/>
        <v>0</v>
      </c>
      <c r="AN49" s="39">
        <f t="shared" si="4"/>
        <v>0</v>
      </c>
      <c r="AO49" s="39">
        <f t="shared" si="4"/>
        <v>13920.76</v>
      </c>
      <c r="AP49" s="39">
        <f t="shared" si="4"/>
        <v>8335.39</v>
      </c>
      <c r="AQ49" s="39">
        <f t="shared" si="4"/>
        <v>-36856.07</v>
      </c>
      <c r="AR49" s="39">
        <f t="shared" si="4"/>
        <v>12622.99</v>
      </c>
      <c r="AS49" s="39">
        <f t="shared" si="4"/>
        <v>14529.85</v>
      </c>
      <c r="AT49" s="51">
        <f t="shared" si="4"/>
        <v>0</v>
      </c>
      <c r="AU49" s="39">
        <f t="shared" si="4"/>
        <v>15571.71</v>
      </c>
      <c r="AV49" s="39">
        <f t="shared" si="4"/>
        <v>297669.1</v>
      </c>
      <c r="AW49" s="54"/>
      <c r="AX49" s="51">
        <f t="shared" ref="AX49:CD49" si="5">+AX9+AX29-AX47</f>
        <v>0</v>
      </c>
      <c r="AY49" s="39">
        <f t="shared" si="5"/>
        <v>27637.13</v>
      </c>
      <c r="AZ49" s="39">
        <f t="shared" si="5"/>
        <v>53593.76</v>
      </c>
      <c r="BA49" s="39">
        <f t="shared" si="5"/>
        <v>1919.28999999999</v>
      </c>
      <c r="BB49" s="39">
        <f t="shared" si="5"/>
        <v>3813.06</v>
      </c>
      <c r="BC49" s="39">
        <f t="shared" si="5"/>
        <v>30392.79</v>
      </c>
      <c r="BD49" s="39">
        <f t="shared" si="5"/>
        <v>3110.93</v>
      </c>
      <c r="BE49" s="39">
        <f t="shared" si="5"/>
        <v>29804.52</v>
      </c>
      <c r="BF49" s="39">
        <f t="shared" si="5"/>
        <v>13061.35</v>
      </c>
      <c r="BG49" s="39">
        <f t="shared" si="5"/>
        <v>0</v>
      </c>
      <c r="BH49" s="39">
        <f t="shared" si="5"/>
        <v>93876.27</v>
      </c>
      <c r="BI49" s="39">
        <f t="shared" si="5"/>
        <v>26949.21</v>
      </c>
      <c r="BJ49" s="39">
        <f t="shared" si="5"/>
        <v>20617.76</v>
      </c>
      <c r="BK49" s="39">
        <f t="shared" si="5"/>
        <v>16293.45</v>
      </c>
      <c r="BL49" s="39">
        <f t="shared" si="5"/>
        <v>23435.8</v>
      </c>
      <c r="BM49" s="39">
        <f t="shared" si="5"/>
        <v>21818.56</v>
      </c>
      <c r="BN49" s="39">
        <f t="shared" si="5"/>
        <v>26146.12</v>
      </c>
      <c r="BO49" s="39">
        <f t="shared" si="5"/>
        <v>20371.32</v>
      </c>
      <c r="BP49" s="39">
        <f t="shared" si="5"/>
        <v>84028.56</v>
      </c>
      <c r="BQ49" s="39">
        <f t="shared" si="5"/>
        <v>12339.47</v>
      </c>
      <c r="BR49" s="39">
        <f t="shared" si="5"/>
        <v>40916.89</v>
      </c>
      <c r="BS49" s="54">
        <f t="shared" si="5"/>
        <v>0</v>
      </c>
      <c r="BT49" s="39">
        <f t="shared" si="5"/>
        <v>18847.27</v>
      </c>
      <c r="BU49" s="54">
        <f t="shared" si="5"/>
        <v>0</v>
      </c>
      <c r="BV49" s="39">
        <f t="shared" si="5"/>
        <v>-26565.8</v>
      </c>
      <c r="BW49" s="39">
        <f t="shared" si="5"/>
        <v>31047.47</v>
      </c>
      <c r="BX49" s="39">
        <f t="shared" si="5"/>
        <v>-111332.64</v>
      </c>
      <c r="BY49" s="39">
        <f t="shared" si="5"/>
        <v>43712.38</v>
      </c>
      <c r="BZ49" s="39">
        <f t="shared" si="5"/>
        <v>20641.99</v>
      </c>
      <c r="CA49" s="54">
        <f t="shared" si="5"/>
        <v>0</v>
      </c>
      <c r="CB49" s="39">
        <f t="shared" si="5"/>
        <v>445859.17</v>
      </c>
      <c r="CC49" s="39">
        <f t="shared" si="5"/>
        <v>584918.08</v>
      </c>
      <c r="CD49" s="39">
        <f t="shared" si="5"/>
        <v>-9783.51</v>
      </c>
    </row>
    <row r="50" spans="19:79" s="39" customFormat="true" ht="12" customHeight="true">
      <c r="S50" s="51"/>
      <c r="Z50" s="51"/>
      <c r="AA50" s="51"/>
      <c r="AB50" s="51"/>
      <c r="AC50" s="51"/>
      <c r="AD50" s="51"/>
      <c r="AF50" s="51"/>
      <c r="AI50" s="51"/>
      <c r="AT50" s="51"/>
      <c r="AW50" s="54"/>
      <c r="AX50" s="51"/>
      <c r="BS50" s="54"/>
      <c r="BU50" s="54"/>
      <c r="CA50" s="54"/>
    </row>
    <row r="51" spans="2:82" s="39" customFormat="true" ht="12" customHeight="true">
      <c r="B51" s="39" t="s">
        <v>34193</v>
      </c>
      <c r="D51" s="46">
        <v>124455.29</v>
      </c>
      <c r="E51" s="46">
        <v>-95767.1</v>
      </c>
      <c r="F51" s="46">
        <v>-273245.42</v>
      </c>
      <c r="G51" s="46">
        <v>57976.69</v>
      </c>
      <c r="H51" s="46">
        <v>-67256.6</v>
      </c>
      <c r="I51" s="46"/>
      <c r="J51" s="46">
        <v>1101682.08</v>
      </c>
      <c r="K51" s="46">
        <v>2338905.52</v>
      </c>
      <c r="L51" s="46">
        <v>4291.91</v>
      </c>
      <c r="M51" s="46">
        <v>46708.34</v>
      </c>
      <c r="N51" s="46">
        <v>-134059.3</v>
      </c>
      <c r="O51" s="46">
        <v>-105105.48</v>
      </c>
      <c r="P51" s="46">
        <v>11030.22</v>
      </c>
      <c r="Q51" s="46">
        <v>-1171.94</v>
      </c>
      <c r="R51" s="46">
        <v>12778.48</v>
      </c>
      <c r="S51" s="46"/>
      <c r="T51" s="46">
        <v>119526.93</v>
      </c>
      <c r="U51" s="46">
        <v>54803.19</v>
      </c>
      <c r="V51" s="46">
        <v>-86524.08</v>
      </c>
      <c r="W51" s="46">
        <v>48442.79</v>
      </c>
      <c r="X51" s="46">
        <v>11438.18</v>
      </c>
      <c r="Y51" s="46"/>
      <c r="Z51" s="46"/>
      <c r="AA51" s="46"/>
      <c r="AB51" s="46"/>
      <c r="AC51" s="46"/>
      <c r="AD51" s="46"/>
      <c r="AE51" s="46">
        <v>25489.62</v>
      </c>
      <c r="AF51" s="46"/>
      <c r="AG51" s="46">
        <v>-217326.54</v>
      </c>
      <c r="AH51" s="46">
        <v>28371.22</v>
      </c>
      <c r="AI51" s="46"/>
      <c r="AJ51" s="46">
        <v>-155160.58</v>
      </c>
      <c r="AK51" s="46">
        <v>131979.27</v>
      </c>
      <c r="AL51" s="46">
        <v>43695.35</v>
      </c>
      <c r="AM51" s="46"/>
      <c r="AN51" s="46"/>
      <c r="AO51" s="46">
        <v>13920.76</v>
      </c>
      <c r="AP51" s="46">
        <v>8335.39</v>
      </c>
      <c r="AQ51" s="46">
        <v>-36856.07</v>
      </c>
      <c r="AR51" s="46">
        <v>12622.99</v>
      </c>
      <c r="AS51" s="46">
        <v>14529.85</v>
      </c>
      <c r="AT51" s="46"/>
      <c r="AU51" s="46">
        <v>15571.71</v>
      </c>
      <c r="AV51" s="46">
        <v>309104.22</v>
      </c>
      <c r="AW51" s="54"/>
      <c r="AX51" s="46"/>
      <c r="AY51" s="46">
        <v>27701.27</v>
      </c>
      <c r="AZ51" s="46">
        <v>53593.76</v>
      </c>
      <c r="BA51" s="46">
        <v>1919.29</v>
      </c>
      <c r="BB51" s="46">
        <v>3813.06</v>
      </c>
      <c r="BC51" s="46">
        <v>30392.79</v>
      </c>
      <c r="BD51" s="46">
        <v>3110.93</v>
      </c>
      <c r="BE51" s="46">
        <v>29804.52</v>
      </c>
      <c r="BF51" s="46">
        <v>13061.35</v>
      </c>
      <c r="BG51" s="46"/>
      <c r="BH51" s="46">
        <v>90763.69</v>
      </c>
      <c r="BI51" s="46">
        <v>26949.21</v>
      </c>
      <c r="BJ51" s="46">
        <v>20617.76</v>
      </c>
      <c r="BK51" s="46">
        <v>16293.45</v>
      </c>
      <c r="BL51" s="46">
        <v>23435.8</v>
      </c>
      <c r="BM51" s="46">
        <v>21818.56</v>
      </c>
      <c r="BN51" s="46">
        <v>26146.12</v>
      </c>
      <c r="BO51" s="46">
        <v>20371.32</v>
      </c>
      <c r="BP51" s="46">
        <v>84028.56</v>
      </c>
      <c r="BQ51" s="46">
        <v>12339.47</v>
      </c>
      <c r="BR51" s="46">
        <v>40916.89</v>
      </c>
      <c r="BS51" s="54"/>
      <c r="BT51" s="46">
        <v>18847.27</v>
      </c>
      <c r="BU51" s="54"/>
      <c r="BV51" s="46">
        <v>-26565.8</v>
      </c>
      <c r="BW51" s="46">
        <v>31047.47</v>
      </c>
      <c r="BX51" s="46">
        <v>-111332.64</v>
      </c>
      <c r="BY51" s="46">
        <v>43712.38</v>
      </c>
      <c r="BZ51" s="46">
        <v>20641.99</v>
      </c>
      <c r="CA51" s="54"/>
      <c r="CB51" s="46">
        <v>445859.17</v>
      </c>
      <c r="CC51" s="46">
        <v>584918.08</v>
      </c>
      <c r="CD51" s="46">
        <v>-9783.51</v>
      </c>
    </row>
    <row r="52" spans="2:83" s="39" customFormat="true" ht="12" customHeight="true">
      <c r="B52" s="39" t="s">
        <v>34194</v>
      </c>
      <c r="D52" s="47">
        <f>SUMIF('BS-Details'!$D:$D,D$4&amp;"-"&amp;D$7,'BS-Details'!$K:$K)-D$51</f>
        <v>-84337.87</v>
      </c>
      <c r="E52" s="47">
        <f>SUMIF('BS-Details'!$D:$D,E$4&amp;"-"&amp;E$7,'BS-Details'!$K:$K)-E$51</f>
        <v>66324.25</v>
      </c>
      <c r="F52" s="47">
        <f>SUMIF('BS-Details'!$D:$D,F$4&amp;"-"&amp;F$7,'BS-Details'!$K:$K)-F$51</f>
        <v>243841.9</v>
      </c>
      <c r="G52" s="47">
        <f>SUMIF('BS-Details'!$D:$D,G$4&amp;"-"&amp;G$7,'BS-Details'!$K:$K)-G$51</f>
        <v>-76128.71</v>
      </c>
      <c r="H52" s="47">
        <f>SUMIF('BS-Details'!$D:$D,H$4&amp;"-"&amp;H$7,'BS-Details'!$K:$K)-H$51</f>
        <v>53992.64</v>
      </c>
      <c r="I52" s="47">
        <f>SUMIF('BS-Details'!$D:$D,I$4&amp;"-"&amp;I$7,'BS-Details'!$K:$K)-I$51</f>
        <v>-7732.72</v>
      </c>
      <c r="J52" s="47">
        <f>SUMIF('BS-Details'!$D:$D,J$4&amp;"-"&amp;J$7,'BS-Details'!$K:$K)-J$51</f>
        <v>-1006427.86</v>
      </c>
      <c r="K52" s="47">
        <f>SUMIF('BS-Details'!$D:$D,K$4&amp;"-"&amp;K$7,'BS-Details'!$K:$K)-K$51</f>
        <v>-725271.8</v>
      </c>
      <c r="L52" s="47">
        <f>SUMIF('BS-Details'!$D:$D,L$4&amp;"-"&amp;L$7,'BS-Details'!$K:$K)-L$51</f>
        <v>-4291.91</v>
      </c>
      <c r="M52" s="47">
        <f>SUMIF('BS-Details'!$D:$D,M$4&amp;"-"&amp;M$7,'BS-Details'!$K:$K)-M$51</f>
        <v>-67214.08</v>
      </c>
      <c r="N52" s="47">
        <f>SUMIF('BS-Details'!$D:$D,N$4&amp;"-"&amp;N$7,'BS-Details'!$K:$K)-N$51</f>
        <v>120297.15</v>
      </c>
      <c r="O52" s="47">
        <f>SUMIF('BS-Details'!$D:$D,O$4&amp;"-"&amp;O$7,'BS-Details'!$K:$K)-O$51</f>
        <v>105031.92</v>
      </c>
      <c r="P52" s="47">
        <f>SUMIF('BS-Details'!$D:$D,P$4&amp;"-"&amp;P$7,'BS-Details'!$K:$K)-P$51</f>
        <v>-11030.22</v>
      </c>
      <c r="Q52" s="47">
        <f>SUMIF('BS-Details'!$D:$D,Q$4&amp;"-"&amp;Q$7,'BS-Details'!$K:$K)-Q$51</f>
        <v>449.31</v>
      </c>
      <c r="R52" s="47">
        <f>SUMIF('BS-Details'!$D:$D,R$4&amp;"-"&amp;R$7,'BS-Details'!$K:$K)-R$51</f>
        <v>-6913.5</v>
      </c>
      <c r="S52" s="47">
        <f>SUMIF('BS-Details'!$D:$D,S$4&amp;"-"&amp;S$7,'BS-Details'!$K:$K)-S$51</f>
        <v>0</v>
      </c>
      <c r="T52" s="47">
        <f>SUMIF('BS-Details'!$D:$D,T$4&amp;"-"&amp;T$7,'BS-Details'!$K:$K)-T$51</f>
        <v>113045.8</v>
      </c>
      <c r="U52" s="47">
        <f>SUMIF('BS-Details'!$D:$D,U$4&amp;"-"&amp;U$7,'BS-Details'!$K:$K)-U$51</f>
        <v>31736.81</v>
      </c>
      <c r="V52" s="47">
        <f>SUMIF('BS-Details'!$D:$D,V$4&amp;"-"&amp;V$7,'BS-Details'!$K:$K)-V$51</f>
        <v>26244.74</v>
      </c>
      <c r="W52" s="47">
        <f>SUMIF('BS-Details'!$D:$D,W$4&amp;"-"&amp;W$7,'BS-Details'!$K:$K)-W$51</f>
        <v>21296.61</v>
      </c>
      <c r="X52" s="47">
        <f>SUMIF('BS-Details'!$D:$D,X$4&amp;"-"&amp;X$7,'BS-Details'!$K:$K)-X$51</f>
        <v>-9688.04</v>
      </c>
      <c r="Y52" s="47">
        <f>SUMIF('BS-Details'!$D:$D,Y$4&amp;"-"&amp;Y$7,'BS-Details'!$K:$K)-Y$51</f>
        <v>0</v>
      </c>
      <c r="Z52" s="47">
        <f>SUMIF('BS-Details'!$D:$D,Z$4&amp;"-"&amp;Z$7,'BS-Details'!$K:$K)-Z$51</f>
        <v>0</v>
      </c>
      <c r="AA52" s="47">
        <f>SUMIF('BS-Details'!$D:$D,AA$4&amp;"-"&amp;AA$7,'BS-Details'!$K:$K)-AA$51</f>
        <v>0</v>
      </c>
      <c r="AB52" s="47">
        <f>SUMIF('BS-Details'!$D:$D,AB$4&amp;"-"&amp;AB$7,'BS-Details'!$K:$K)-AB$51</f>
        <v>0</v>
      </c>
      <c r="AC52" s="47">
        <f>SUMIF('BS-Details'!$D:$D,AC$4&amp;"-"&amp;AC$7,'BS-Details'!$K:$K)-AC$51</f>
        <v>0</v>
      </c>
      <c r="AD52" s="47">
        <f>SUMIF('BS-Details'!$D:$D,AD$4&amp;"-"&amp;AD$7,'BS-Details'!$K:$K)-AD$51</f>
        <v>0</v>
      </c>
      <c r="AE52" s="47">
        <f>SUMIF('BS-Details'!$D:$D,AE$4&amp;"-"&amp;AE$7,'BS-Details'!$K:$K)-AE$51</f>
        <v>-25700.04</v>
      </c>
      <c r="AF52" s="47">
        <f>SUMIF('BS-Details'!$D:$D,AF$4&amp;"-"&amp;AF$7,'BS-Details'!$K:$K)-AF$51</f>
        <v>0</v>
      </c>
      <c r="AG52" s="47">
        <f>SUMIF('BS-Details'!$D:$D,AG$4&amp;"-"&amp;AG$7,'BS-Details'!$K:$K)-AG$51</f>
        <v>99434.19</v>
      </c>
      <c r="AH52" s="47">
        <f>SUMIF('BS-Details'!$D:$D,AH$4&amp;"-"&amp;AH$7,'BS-Details'!$K:$K)-AH$51</f>
        <v>35440.3</v>
      </c>
      <c r="AI52" s="47">
        <f>SUMIF('BS-Details'!$D:$D,AI$4&amp;"-"&amp;AI$7,'BS-Details'!$K:$K)-AI$51</f>
        <v>0</v>
      </c>
      <c r="AJ52" s="47">
        <f>SUMIF('BS-Details'!$D:$D,AJ$4&amp;"-"&amp;AJ$7,'BS-Details'!$K:$K)-AJ$51</f>
        <v>188268.23</v>
      </c>
      <c r="AK52" s="47">
        <f>SUMIF('BS-Details'!$D:$D,AK$4&amp;"-"&amp;AK$7,'BS-Details'!$K:$K)-AK$51</f>
        <v>-86172.05</v>
      </c>
      <c r="AL52" s="47">
        <f>SUMIF('BS-Details'!$D:$D,AL$4&amp;"-"&amp;AL$7,'BS-Details'!$K:$K)-AL$51</f>
        <v>-41871.97</v>
      </c>
      <c r="AM52" s="47">
        <f>SUMIF('BS-Details'!$D:$D,AM$4&amp;"-"&amp;AM$7,'BS-Details'!$K:$K)-AM$51</f>
        <v>0</v>
      </c>
      <c r="AN52" s="47">
        <f>SUMIF('BS-Details'!$D:$D,AN$4&amp;"-"&amp;AN$7,'BS-Details'!$K:$K)-AN$51</f>
        <v>0</v>
      </c>
      <c r="AO52" s="47">
        <f>SUMIF('BS-Details'!$D:$D,AO$4&amp;"-"&amp;AO$7,'BS-Details'!$K:$K)-AO$51</f>
        <v>-7677.77</v>
      </c>
      <c r="AP52" s="47">
        <f>SUMIF('BS-Details'!$D:$D,AP$4&amp;"-"&amp;AP$7,'BS-Details'!$K:$K)-AP$51</f>
        <v>113411.49</v>
      </c>
      <c r="AQ52" s="47">
        <f>SUMIF('BS-Details'!$D:$D,AQ$4&amp;"-"&amp;AQ$7,'BS-Details'!$K:$K)-AQ$51</f>
        <v>41732.85</v>
      </c>
      <c r="AR52" s="47">
        <f>SUMIF('BS-Details'!$D:$D,AR$4&amp;"-"&amp;AR$7,'BS-Details'!$K:$K)-AR$51</f>
        <v>1590.67</v>
      </c>
      <c r="AS52" s="47">
        <f>SUMIF('BS-Details'!$D:$D,AS$4&amp;"-"&amp;AS$7,'BS-Details'!$K:$K)-AS$51</f>
        <v>-3769.65</v>
      </c>
      <c r="AT52" s="47">
        <f>SUMIF('BS-Details'!$D:$D,AT$4&amp;"-"&amp;AT$7,'BS-Details'!$K:$K)-AT$51</f>
        <v>0</v>
      </c>
      <c r="AU52" s="47">
        <f>SUMIF('BS-Details'!$D:$D,AU$4&amp;"-"&amp;AU$7,'BS-Details'!$K:$K)-AU$51</f>
        <v>23832.61</v>
      </c>
      <c r="AV52" s="47">
        <f>SUMIF('BS-Details'!$D:$D,AV$4&amp;"-"&amp;AV$7,'BS-Details'!$K:$K)-AV$51</f>
        <v>-419504.99</v>
      </c>
      <c r="AW52" s="57">
        <f>SUMIF('BS-Details'!$D:$D,AW$4&amp;"-"&amp;AW$7,'BS-Details'!$K:$K)-AW$51</f>
        <v>0</v>
      </c>
      <c r="AX52" s="47">
        <f>SUMIF('BS-Details'!$D:$D,AX$4&amp;"-"&amp;AX$7,'BS-Details'!$K:$K)-AX$51</f>
        <v>0</v>
      </c>
      <c r="AY52" s="47">
        <f>SUMIF('BS-Details'!$D:$D,AY$4&amp;"-"&amp;AY$7,'BS-Details'!$K:$K)-AY$51</f>
        <v>-27701.27</v>
      </c>
      <c r="AZ52" s="47">
        <f>SUMIF('BS-Details'!$D:$D,AZ$4&amp;"-"&amp;AZ$7,'BS-Details'!$K:$K)-AZ$51</f>
        <v>-56479.66</v>
      </c>
      <c r="BA52" s="47">
        <f>SUMIF('BS-Details'!$D:$D,BA$4&amp;"-"&amp;BA$7,'BS-Details'!$K:$K)-BA$51</f>
        <v>19878.21</v>
      </c>
      <c r="BB52" s="47">
        <f>SUMIF('BS-Details'!$D:$D,BB$4&amp;"-"&amp;BB$7,'BS-Details'!$K:$K)-BB$51</f>
        <v>-3813.06</v>
      </c>
      <c r="BC52" s="47">
        <f>SUMIF('BS-Details'!$D:$D,BC$4&amp;"-"&amp;BC$7,'BS-Details'!$K:$K)-BC$51</f>
        <v>-62942.35</v>
      </c>
      <c r="BD52" s="47">
        <f>SUMIF('BS-Details'!$D:$D,BD$4&amp;"-"&amp;BD$7,'BS-Details'!$K:$K)-BD$51</f>
        <v>-3110.93</v>
      </c>
      <c r="BE52" s="47">
        <f>SUMIF('BS-Details'!$D:$D,BE$4&amp;"-"&amp;BE$7,'BS-Details'!$K:$K)-BE$51</f>
        <v>-29804.52</v>
      </c>
      <c r="BF52" s="47">
        <f>SUMIF('BS-Details'!$D:$D,BF$4&amp;"-"&amp;BF$7,'BS-Details'!$K:$K)-BF$51</f>
        <v>-10615.3</v>
      </c>
      <c r="BG52" s="47">
        <f>SUMIF('BS-Details'!$D:$D,BG$4&amp;"-"&amp;BG$7,'BS-Details'!$K:$K)-BG$51</f>
        <v>0</v>
      </c>
      <c r="BH52" s="47">
        <f>SUMIF('BS-Details'!$D:$D,BH$4&amp;"-"&amp;BH$7,'BS-Details'!$K:$K)-BH$51</f>
        <v>-82387.93</v>
      </c>
      <c r="BI52" s="47">
        <f>SUMIF('BS-Details'!$D:$D,BI$4&amp;"-"&amp;BI$7,'BS-Details'!$K:$K)-BI$51</f>
        <v>-26949.21</v>
      </c>
      <c r="BJ52" s="47">
        <f>SUMIF('BS-Details'!$D:$D,BJ$4&amp;"-"&amp;BJ$7,'BS-Details'!$K:$K)-BJ$51</f>
        <v>-22208.01</v>
      </c>
      <c r="BK52" s="47">
        <f>SUMIF('BS-Details'!$D:$D,BK$4&amp;"-"&amp;BK$7,'BS-Details'!$K:$K)-BK$51</f>
        <v>-63221.55</v>
      </c>
      <c r="BL52" s="47">
        <f>SUMIF('BS-Details'!$D:$D,BL$4&amp;"-"&amp;BL$7,'BS-Details'!$K:$K)-BL$51</f>
        <v>-13096.95</v>
      </c>
      <c r="BM52" s="47">
        <f>SUMIF('BS-Details'!$D:$D,BM$4&amp;"-"&amp;BM$7,'BS-Details'!$K:$K)-BM$51</f>
        <v>-21488.43</v>
      </c>
      <c r="BN52" s="47">
        <f>SUMIF('BS-Details'!$D:$D,BN$4&amp;"-"&amp;BN$7,'BS-Details'!$K:$K)-BN$51</f>
        <v>-40858.07</v>
      </c>
      <c r="BO52" s="47">
        <f>SUMIF('BS-Details'!$D:$D,BO$4&amp;"-"&amp;BO$7,'BS-Details'!$K:$K)-BO$51</f>
        <v>-21605.75</v>
      </c>
      <c r="BP52" s="47">
        <f>SUMIF('BS-Details'!$D:$D,BP$4&amp;"-"&amp;BP$7,'BS-Details'!$K:$K)-BP$51</f>
        <v>-95958.7</v>
      </c>
      <c r="BQ52" s="47">
        <f>SUMIF('BS-Details'!$D:$D,BQ$4&amp;"-"&amp;BQ$7,'BS-Details'!$K:$K)-BQ$51</f>
        <v>-12339.47</v>
      </c>
      <c r="BR52" s="47">
        <f>SUMIF('BS-Details'!$D:$D,BR$4&amp;"-"&amp;BR$7,'BS-Details'!$K:$K)-BR$51</f>
        <v>-40916.89</v>
      </c>
      <c r="BS52" s="57">
        <f>SUMIF('BS-Details'!$D:$D,BS$4&amp;"-"&amp;BS$7,'BS-Details'!$K:$K)-BS$51</f>
        <v>0</v>
      </c>
      <c r="BT52" s="47">
        <f>SUMIF('BS-Details'!$D:$D,BT$4&amp;"-"&amp;BT$7,'BS-Details'!$K:$K)-BT$51</f>
        <v>-18847.27</v>
      </c>
      <c r="BU52" s="57">
        <f>SUMIF('BS-Details'!$D:$D,BU$4&amp;"-"&amp;BU$7,'BS-Details'!$K:$K)-BU$51</f>
        <v>0</v>
      </c>
      <c r="BV52" s="47">
        <f>SUMIF('BS-Details'!$D:$D,BV$4&amp;"-"&amp;BV$7,'BS-Details'!$K:$K)-BV$51</f>
        <v>48737.96</v>
      </c>
      <c r="BW52" s="47">
        <f>SUMIF('BS-Details'!$D:$D,BW$4&amp;"-"&amp;BW$7,'BS-Details'!$K:$K)-BW$51</f>
        <v>-32903.19</v>
      </c>
      <c r="BX52" s="47">
        <f>SUMIF('BS-Details'!$D:$D,BX$4&amp;"-"&amp;BX$7,'BS-Details'!$K:$K)-BX$51</f>
        <v>111332.64</v>
      </c>
      <c r="BY52" s="47">
        <f>SUMIF('BS-Details'!$D:$D,BY$4&amp;"-"&amp;BY$7,'BS-Details'!$K:$K)-BY$51</f>
        <v>-50907.85</v>
      </c>
      <c r="BZ52" s="47">
        <f>SUMIF('BS-Details'!$D:$D,BZ$4&amp;"-"&amp;BZ$7,'BS-Details'!$K:$K)-BZ$51</f>
        <v>-30448.05</v>
      </c>
      <c r="CA52" s="57">
        <f>SUMIF('BS-Details'!$D:$D,CA$4&amp;"-"&amp;CA$7,'BS-Details'!$K:$K)-CA$51</f>
        <v>0</v>
      </c>
      <c r="CB52" s="47">
        <f>SUMIF('BS-Details'!$D:$D,CB$4&amp;"-"&amp;CB$7,'BS-Details'!$K:$K)-CB$51</f>
        <v>-445859.17</v>
      </c>
      <c r="CC52" s="47">
        <f>SUMIF('BS-Details'!$D:$D,CC$4&amp;"-"&amp;CC$7,'BS-Details'!$K:$K)-CC$51</f>
        <v>-585718.08</v>
      </c>
      <c r="CD52" s="47">
        <f>SUMIF('BS-Details'!$D:$D,CD$4&amp;"-"&amp;CD$7,'BS-Details'!$K:$K)-CD$51</f>
        <v>-149168.43</v>
      </c>
      <c r="CE52" s="39">
        <f>SUM(D52:CD52)</f>
        <v>-3067162.99</v>
      </c>
    </row>
    <row r="53" spans="2:83" s="39" customFormat="true" ht="12" customHeight="true">
      <c r="B53" s="39" t="s">
        <v>34195</v>
      </c>
      <c r="S53" s="51"/>
      <c r="Z53" s="51"/>
      <c r="AA53" s="51"/>
      <c r="AB53" s="51"/>
      <c r="AC53" s="51"/>
      <c r="AD53" s="51"/>
      <c r="AF53" s="51"/>
      <c r="AI53" s="51"/>
      <c r="AT53" s="51"/>
      <c r="AW53" s="54"/>
      <c r="AX53" s="51"/>
      <c r="BS53" s="54"/>
      <c r="BU53" s="54"/>
      <c r="CA53" s="54"/>
      <c r="CE53" s="39">
        <f>SUM(D53:CD53)</f>
        <v>0</v>
      </c>
    </row>
    <row r="54" spans="4:82" s="39" customFormat="true" ht="12" customHeight="true">
      <c r="D54" s="46"/>
      <c r="E54" s="46"/>
      <c r="F54" s="46"/>
      <c r="G54" s="46"/>
      <c r="H54" s="46"/>
      <c r="I54" s="46"/>
      <c r="J54" s="46">
        <v>-1400</v>
      </c>
      <c r="K54" s="46"/>
      <c r="L54" s="46">
        <v>40248.73</v>
      </c>
      <c r="M54" s="46"/>
      <c r="N54" s="46"/>
      <c r="O54" s="46"/>
      <c r="P54" s="46"/>
      <c r="Q54" s="46"/>
      <c r="R54" s="46"/>
      <c r="S54" s="51"/>
      <c r="T54" s="46"/>
      <c r="U54" s="46"/>
      <c r="V54" s="46"/>
      <c r="W54" s="46"/>
      <c r="X54" s="46"/>
      <c r="Y54" s="46"/>
      <c r="Z54" s="51"/>
      <c r="AA54" s="51"/>
      <c r="AB54" s="51"/>
      <c r="AC54" s="51"/>
      <c r="AD54" s="51"/>
      <c r="AE54" s="46"/>
      <c r="AF54" s="51"/>
      <c r="AG54" s="46"/>
      <c r="AH54" s="46">
        <v>-113.35</v>
      </c>
      <c r="AI54" s="51"/>
      <c r="AJ54" s="46"/>
      <c r="AK54" s="46"/>
      <c r="AL54" s="46"/>
      <c r="AM54" s="46"/>
      <c r="AN54" s="46"/>
      <c r="AO54" s="46"/>
      <c r="AP54" s="46"/>
      <c r="AQ54" s="46"/>
      <c r="AR54" s="46"/>
      <c r="AS54" s="46"/>
      <c r="AT54" s="51"/>
      <c r="AU54" s="46"/>
      <c r="AV54" s="46">
        <v>-11435.12</v>
      </c>
      <c r="AW54" s="54"/>
      <c r="AX54" s="51"/>
      <c r="AY54" s="46">
        <v>-64.14</v>
      </c>
      <c r="AZ54" s="46"/>
      <c r="BA54" s="46"/>
      <c r="BB54" s="46"/>
      <c r="BC54" s="46"/>
      <c r="BD54" s="46"/>
      <c r="BE54" s="46"/>
      <c r="BF54" s="46"/>
      <c r="BG54" s="46"/>
      <c r="BH54" s="46">
        <v>3112.58</v>
      </c>
      <c r="BI54" s="46"/>
      <c r="BJ54" s="46"/>
      <c r="BK54" s="46"/>
      <c r="BL54" s="46"/>
      <c r="BM54" s="46"/>
      <c r="BN54" s="46"/>
      <c r="BO54" s="46"/>
      <c r="BP54" s="46"/>
      <c r="BQ54" s="46"/>
      <c r="BR54" s="46"/>
      <c r="BS54" s="54"/>
      <c r="BT54" s="46"/>
      <c r="BU54" s="54"/>
      <c r="BV54" s="46"/>
      <c r="BW54" s="46"/>
      <c r="BX54" s="46"/>
      <c r="BY54" s="46"/>
      <c r="BZ54" s="46"/>
      <c r="CA54" s="54"/>
      <c r="CB54" s="46"/>
      <c r="CC54" s="46"/>
      <c r="CD54" s="46"/>
    </row>
    <row r="55" spans="4:82" s="39" customFormat="true" ht="12" customHeight="true">
      <c r="D55" s="46"/>
      <c r="E55" s="46"/>
      <c r="F55" s="46"/>
      <c r="G55" s="46"/>
      <c r="H55" s="46"/>
      <c r="I55" s="46"/>
      <c r="J55" s="46"/>
      <c r="K55" s="46"/>
      <c r="L55" s="46"/>
      <c r="M55" s="46"/>
      <c r="N55" s="46"/>
      <c r="O55" s="46"/>
      <c r="P55" s="46"/>
      <c r="Q55" s="46"/>
      <c r="R55" s="46"/>
      <c r="S55" s="51"/>
      <c r="T55" s="46"/>
      <c r="U55" s="46"/>
      <c r="V55" s="46"/>
      <c r="W55" s="46"/>
      <c r="X55" s="46"/>
      <c r="Y55" s="46"/>
      <c r="Z55" s="51"/>
      <c r="AA55" s="51"/>
      <c r="AB55" s="51"/>
      <c r="AC55" s="51"/>
      <c r="AD55" s="51"/>
      <c r="AE55" s="46"/>
      <c r="AF55" s="51"/>
      <c r="AG55" s="46"/>
      <c r="AH55" s="46"/>
      <c r="AI55" s="51"/>
      <c r="AJ55" s="46"/>
      <c r="AK55" s="46"/>
      <c r="AL55" s="46"/>
      <c r="AM55" s="46"/>
      <c r="AN55" s="46"/>
      <c r="AO55" s="46"/>
      <c r="AP55" s="46"/>
      <c r="AQ55" s="46"/>
      <c r="AR55" s="46"/>
      <c r="AS55" s="46"/>
      <c r="AT55" s="51"/>
      <c r="AU55" s="46"/>
      <c r="AV55" s="46"/>
      <c r="AW55" s="54"/>
      <c r="AX55" s="51"/>
      <c r="AY55" s="46"/>
      <c r="AZ55" s="46"/>
      <c r="BA55" s="46"/>
      <c r="BB55" s="46"/>
      <c r="BC55" s="46"/>
      <c r="BD55" s="46"/>
      <c r="BE55" s="46"/>
      <c r="BF55" s="46"/>
      <c r="BG55" s="46"/>
      <c r="BH55" s="46"/>
      <c r="BI55" s="46"/>
      <c r="BJ55" s="46"/>
      <c r="BK55" s="46"/>
      <c r="BL55" s="46"/>
      <c r="BM55" s="46"/>
      <c r="BN55" s="46"/>
      <c r="BO55" s="46"/>
      <c r="BP55" s="46"/>
      <c r="BQ55" s="46"/>
      <c r="BR55" s="46"/>
      <c r="BS55" s="54"/>
      <c r="BT55" s="46"/>
      <c r="BU55" s="54"/>
      <c r="BV55" s="46"/>
      <c r="BW55" s="46"/>
      <c r="BX55" s="46"/>
      <c r="BY55" s="46"/>
      <c r="BZ55" s="46"/>
      <c r="CA55" s="54"/>
      <c r="CB55" s="46"/>
      <c r="CC55" s="46"/>
      <c r="CD55" s="46"/>
    </row>
    <row r="56" spans="4:82" s="39" customFormat="true" ht="12" customHeight="true">
      <c r="D56" s="46"/>
      <c r="E56" s="46"/>
      <c r="F56" s="46"/>
      <c r="G56" s="46"/>
      <c r="H56" s="46"/>
      <c r="I56" s="46"/>
      <c r="J56" s="46"/>
      <c r="K56" s="46"/>
      <c r="L56" s="46"/>
      <c r="M56" s="46"/>
      <c r="N56" s="46"/>
      <c r="O56" s="46"/>
      <c r="P56" s="46"/>
      <c r="Q56" s="46"/>
      <c r="R56" s="46"/>
      <c r="S56" s="51"/>
      <c r="T56" s="46"/>
      <c r="U56" s="46"/>
      <c r="V56" s="46"/>
      <c r="W56" s="46"/>
      <c r="X56" s="46"/>
      <c r="Y56" s="46"/>
      <c r="Z56" s="51"/>
      <c r="AA56" s="51"/>
      <c r="AB56" s="51"/>
      <c r="AC56" s="51"/>
      <c r="AD56" s="51"/>
      <c r="AE56" s="46"/>
      <c r="AF56" s="51"/>
      <c r="AG56" s="46"/>
      <c r="AH56" s="46"/>
      <c r="AI56" s="51"/>
      <c r="AJ56" s="46"/>
      <c r="AK56" s="46"/>
      <c r="AL56" s="46"/>
      <c r="AM56" s="46"/>
      <c r="AN56" s="46"/>
      <c r="AO56" s="46"/>
      <c r="AP56" s="46"/>
      <c r="AQ56" s="46"/>
      <c r="AR56" s="46"/>
      <c r="AS56" s="46"/>
      <c r="AT56" s="51"/>
      <c r="AU56" s="46"/>
      <c r="AV56" s="46"/>
      <c r="AW56" s="54"/>
      <c r="AX56" s="51"/>
      <c r="AY56" s="46"/>
      <c r="AZ56" s="46"/>
      <c r="BA56" s="46"/>
      <c r="BB56" s="46"/>
      <c r="BC56" s="46"/>
      <c r="BD56" s="46"/>
      <c r="BE56" s="46"/>
      <c r="BF56" s="46"/>
      <c r="BG56" s="46"/>
      <c r="BH56" s="46"/>
      <c r="BI56" s="46"/>
      <c r="BJ56" s="46"/>
      <c r="BK56" s="46"/>
      <c r="BL56" s="46"/>
      <c r="BM56" s="46"/>
      <c r="BN56" s="46"/>
      <c r="BO56" s="46"/>
      <c r="BP56" s="46"/>
      <c r="BQ56" s="46"/>
      <c r="BR56" s="46"/>
      <c r="BS56" s="54"/>
      <c r="BT56" s="46"/>
      <c r="BU56" s="54"/>
      <c r="BV56" s="46"/>
      <c r="BW56" s="46"/>
      <c r="BX56" s="46"/>
      <c r="BY56" s="46"/>
      <c r="BZ56" s="46"/>
      <c r="CA56" s="54"/>
      <c r="CB56" s="46"/>
      <c r="CC56" s="46"/>
      <c r="CD56" s="46"/>
    </row>
    <row r="57" spans="2:83" s="39" customFormat="true" ht="12" customHeight="true">
      <c r="B57" s="39" t="s">
        <v>34196</v>
      </c>
      <c r="D57" s="39">
        <f t="shared" ref="D57:S57" si="6">+SUM(D53:D56)</f>
        <v>0</v>
      </c>
      <c r="E57" s="39">
        <f t="shared" si="6"/>
        <v>0</v>
      </c>
      <c r="F57" s="39">
        <f t="shared" si="6"/>
        <v>0</v>
      </c>
      <c r="G57" s="39">
        <f t="shared" si="6"/>
        <v>0</v>
      </c>
      <c r="H57" s="39">
        <f t="shared" si="6"/>
        <v>0</v>
      </c>
      <c r="I57" s="39">
        <f t="shared" si="6"/>
        <v>0</v>
      </c>
      <c r="J57" s="39">
        <f t="shared" si="6"/>
        <v>-1400</v>
      </c>
      <c r="K57" s="39">
        <f t="shared" si="6"/>
        <v>0</v>
      </c>
      <c r="L57" s="39">
        <f t="shared" si="6"/>
        <v>40248.73</v>
      </c>
      <c r="M57" s="39">
        <f t="shared" si="6"/>
        <v>0</v>
      </c>
      <c r="N57" s="39">
        <f t="shared" si="6"/>
        <v>0</v>
      </c>
      <c r="O57" s="39">
        <f t="shared" si="6"/>
        <v>0</v>
      </c>
      <c r="P57" s="39">
        <f t="shared" si="6"/>
        <v>0</v>
      </c>
      <c r="Q57" s="39">
        <f t="shared" si="6"/>
        <v>0</v>
      </c>
      <c r="R57" s="39">
        <f t="shared" si="6"/>
        <v>0</v>
      </c>
      <c r="S57" s="51">
        <f t="shared" si="6"/>
        <v>0</v>
      </c>
      <c r="T57" s="39">
        <f>+SUM(T54:T56)</f>
        <v>0</v>
      </c>
      <c r="U57" s="39">
        <f t="shared" ref="U57:CD57" si="7">+SUM(U53:U56)</f>
        <v>0</v>
      </c>
      <c r="V57" s="39">
        <f t="shared" si="7"/>
        <v>0</v>
      </c>
      <c r="W57" s="39">
        <f t="shared" si="7"/>
        <v>0</v>
      </c>
      <c r="X57" s="39">
        <f t="shared" si="7"/>
        <v>0</v>
      </c>
      <c r="Y57" s="39">
        <f t="shared" si="7"/>
        <v>0</v>
      </c>
      <c r="Z57" s="51">
        <f t="shared" si="7"/>
        <v>0</v>
      </c>
      <c r="AA57" s="51">
        <f t="shared" si="7"/>
        <v>0</v>
      </c>
      <c r="AB57" s="51">
        <f t="shared" si="7"/>
        <v>0</v>
      </c>
      <c r="AC57" s="51">
        <f t="shared" si="7"/>
        <v>0</v>
      </c>
      <c r="AD57" s="51">
        <f t="shared" si="7"/>
        <v>0</v>
      </c>
      <c r="AE57" s="39">
        <f t="shared" si="7"/>
        <v>0</v>
      </c>
      <c r="AF57" s="51">
        <f t="shared" si="7"/>
        <v>0</v>
      </c>
      <c r="AG57" s="39">
        <f t="shared" si="7"/>
        <v>0</v>
      </c>
      <c r="AH57" s="39">
        <f t="shared" si="7"/>
        <v>-113.35</v>
      </c>
      <c r="AI57" s="51">
        <f t="shared" si="7"/>
        <v>0</v>
      </c>
      <c r="AJ57" s="39">
        <f t="shared" si="7"/>
        <v>0</v>
      </c>
      <c r="AK57" s="39">
        <f t="shared" si="7"/>
        <v>0</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-11435.12</v>
      </c>
      <c r="AW57" s="54">
        <f t="shared" si="7"/>
        <v>0</v>
      </c>
      <c r="AX57" s="51">
        <f t="shared" si="7"/>
        <v>0</v>
      </c>
      <c r="AY57" s="39">
        <f t="shared" si="7"/>
        <v>-64.14</v>
      </c>
      <c r="AZ57" s="39">
        <f t="shared" si="7"/>
        <v>0</v>
      </c>
      <c r="BA57" s="39">
        <f t="shared" si="7"/>
        <v>0</v>
      </c>
      <c r="BB57" s="39">
        <f t="shared" si="7"/>
        <v>0</v>
      </c>
      <c r="BC57" s="39">
        <f t="shared" si="7"/>
        <v>0</v>
      </c>
      <c r="BD57" s="39">
        <f t="shared" si="7"/>
        <v>0</v>
      </c>
      <c r="BE57" s="39">
        <f t="shared" si="7"/>
        <v>0</v>
      </c>
      <c r="BF57" s="39">
        <f t="shared" si="7"/>
        <v>0</v>
      </c>
      <c r="BG57" s="39">
        <f t="shared" si="7"/>
        <v>0</v>
      </c>
      <c r="BH57" s="39">
        <f t="shared" si="7"/>
        <v>3112.58</v>
      </c>
      <c r="BI57" s="39">
        <f t="shared" si="7"/>
        <v>0</v>
      </c>
      <c r="BJ57" s="39">
        <f t="shared" si="7"/>
        <v>0</v>
      </c>
      <c r="BK57" s="39">
        <f t="shared" si="7"/>
        <v>0</v>
      </c>
      <c r="BL57" s="39">
        <f t="shared" si="7"/>
        <v>0</v>
      </c>
      <c r="BM57" s="39">
        <f t="shared" si="7"/>
        <v>0</v>
      </c>
      <c r="BN57" s="39">
        <f t="shared" si="7"/>
        <v>0</v>
      </c>
      <c r="BO57" s="39">
        <f t="shared" si="7"/>
        <v>0</v>
      </c>
      <c r="BP57" s="39">
        <f t="shared" si="7"/>
        <v>0</v>
      </c>
      <c r="BQ57" s="39">
        <f t="shared" si="7"/>
        <v>0</v>
      </c>
      <c r="BR57" s="39">
        <f t="shared" si="7"/>
        <v>0</v>
      </c>
      <c r="BS57" s="54">
        <f t="shared" si="7"/>
        <v>0</v>
      </c>
      <c r="BT57" s="39">
        <f t="shared" si="7"/>
        <v>0</v>
      </c>
      <c r="BU57" s="54">
        <f t="shared" si="7"/>
        <v>0</v>
      </c>
      <c r="BV57" s="39">
        <f t="shared" si="7"/>
        <v>0</v>
      </c>
      <c r="BW57" s="39">
        <f t="shared" si="7"/>
        <v>0</v>
      </c>
      <c r="BX57" s="39">
        <f t="shared" si="7"/>
        <v>0</v>
      </c>
      <c r="BY57" s="39">
        <f t="shared" si="7"/>
        <v>0</v>
      </c>
      <c r="BZ57" s="39">
        <f t="shared" si="7"/>
        <v>0</v>
      </c>
      <c r="CA57" s="54">
        <f t="shared" si="7"/>
        <v>0</v>
      </c>
      <c r="CB57" s="39">
        <f t="shared" si="7"/>
        <v>0</v>
      </c>
      <c r="CC57" s="39">
        <f t="shared" si="7"/>
        <v>0</v>
      </c>
      <c r="CD57" s="39">
        <f t="shared" si="7"/>
        <v>0</v>
      </c>
      <c r="CE57" s="39">
        <f>SUM(D57:CD57)</f>
        <v>30348.7</v>
      </c>
    </row>
    <row r="58" spans="19:79" s="39" customFormat="true" ht="12" customHeight="true">
      <c r="S58" s="51"/>
      <c r="Z58" s="51"/>
      <c r="AA58" s="51"/>
      <c r="AB58" s="51"/>
      <c r="AC58" s="51"/>
      <c r="AD58" s="51"/>
      <c r="AF58" s="51"/>
      <c r="AI58" s="51"/>
      <c r="AT58" s="51"/>
      <c r="AW58" s="54"/>
      <c r="AX58" s="51"/>
      <c r="BS58" s="54"/>
      <c r="BU58" s="54"/>
      <c r="CA58" s="54"/>
    </row>
    <row r="59" spans="2:79" s="39" customFormat="true" ht="12" customHeight="true">
      <c r="B59" s="39" t="s">
        <v>34197</v>
      </c>
      <c r="S59" s="51"/>
      <c r="Z59" s="51"/>
      <c r="AA59" s="51"/>
      <c r="AB59" s="51"/>
      <c r="AC59" s="51"/>
      <c r="AD59" s="51"/>
      <c r="AF59" s="51"/>
      <c r="AI59" s="51"/>
      <c r="AT59" s="51"/>
      <c r="AW59" s="54"/>
      <c r="AX59" s="51"/>
      <c r="BS59" s="54"/>
      <c r="BU59" s="54"/>
      <c r="CA59" s="54"/>
    </row>
    <row r="60" spans="4:82" s="39" customFormat="true" ht="12" customHeight="true">
      <c r="D60" s="46"/>
      <c r="E60" s="46"/>
      <c r="F60" s="46"/>
      <c r="G60" s="46"/>
      <c r="H60" s="46"/>
      <c r="I60" s="46"/>
      <c r="J60" s="46">
        <v>0</v>
      </c>
      <c r="K60" s="46"/>
      <c r="L60" s="46"/>
      <c r="M60" s="46"/>
      <c r="N60" s="46"/>
      <c r="O60" s="46"/>
      <c r="P60" s="46"/>
      <c r="Q60" s="46"/>
      <c r="R60" s="46"/>
      <c r="S60" s="51"/>
      <c r="T60" s="46">
        <v>0</v>
      </c>
      <c r="U60" s="46"/>
      <c r="V60" s="46"/>
      <c r="W60" s="46"/>
      <c r="X60" s="46"/>
      <c r="Y60" s="46"/>
      <c r="Z60" s="51"/>
      <c r="AA60" s="51"/>
      <c r="AB60" s="51"/>
      <c r="AC60" s="51"/>
      <c r="AD60" s="51"/>
      <c r="AE60" s="46"/>
      <c r="AF60" s="51"/>
      <c r="AG60" s="46"/>
      <c r="AH60" s="46"/>
      <c r="AI60" s="51"/>
      <c r="AJ60" s="46"/>
      <c r="AK60" s="46">
        <v>-7800</v>
      </c>
      <c r="AL60" s="46">
        <v>-4500</v>
      </c>
      <c r="AM60" s="46"/>
      <c r="AN60" s="46"/>
      <c r="AO60" s="46"/>
      <c r="AP60" s="46"/>
      <c r="AQ60" s="46"/>
      <c r="AR60" s="46"/>
      <c r="AS60" s="46"/>
      <c r="AT60" s="51"/>
      <c r="AU60" s="46"/>
      <c r="AV60" s="46"/>
      <c r="AW60" s="54"/>
      <c r="AX60" s="51"/>
      <c r="AY60" s="46"/>
      <c r="AZ60" s="46"/>
      <c r="BA60" s="46"/>
      <c r="BB60" s="46"/>
      <c r="BC60" s="46"/>
      <c r="BD60" s="46"/>
      <c r="BE60" s="46"/>
      <c r="BF60" s="46"/>
      <c r="BG60" s="46"/>
      <c r="BH60" s="46"/>
      <c r="BI60" s="46"/>
      <c r="BJ60" s="46"/>
      <c r="BK60" s="46"/>
      <c r="BL60" s="46"/>
      <c r="BM60" s="46"/>
      <c r="BN60" s="46"/>
      <c r="BO60" s="46"/>
      <c r="BP60" s="46"/>
      <c r="BQ60" s="46"/>
      <c r="BR60" s="46"/>
      <c r="BS60" s="54"/>
      <c r="BT60" s="46"/>
      <c r="BU60" s="54"/>
      <c r="BV60" s="46"/>
      <c r="BW60" s="46"/>
      <c r="BX60" s="46"/>
      <c r="BY60" s="46"/>
      <c r="BZ60" s="46"/>
      <c r="CA60" s="54"/>
      <c r="CB60" s="46"/>
      <c r="CC60" s="46"/>
      <c r="CD60" s="46"/>
    </row>
    <row r="61" spans="4:82" s="39" customFormat="true" ht="12" customHeight="true">
      <c r="D61" s="46"/>
      <c r="E61" s="46"/>
      <c r="F61" s="46"/>
      <c r="G61" s="46"/>
      <c r="H61" s="46"/>
      <c r="I61" s="46"/>
      <c r="J61" s="46"/>
      <c r="K61" s="46"/>
      <c r="L61" s="46"/>
      <c r="M61" s="46"/>
      <c r="N61" s="46"/>
      <c r="O61" s="46"/>
      <c r="P61" s="46"/>
      <c r="Q61" s="46"/>
      <c r="R61" s="46"/>
      <c r="S61" s="51"/>
      <c r="T61" s="46"/>
      <c r="U61" s="46"/>
      <c r="V61" s="46"/>
      <c r="W61" s="46"/>
      <c r="X61" s="46"/>
      <c r="Y61" s="46"/>
      <c r="Z61" s="51"/>
      <c r="AA61" s="51"/>
      <c r="AB61" s="51"/>
      <c r="AC61" s="51"/>
      <c r="AD61" s="51"/>
      <c r="AE61" s="46"/>
      <c r="AF61" s="51"/>
      <c r="AG61" s="46"/>
      <c r="AH61" s="46"/>
      <c r="AI61" s="51"/>
      <c r="AJ61" s="46"/>
      <c r="AK61" s="46">
        <v>-9750</v>
      </c>
      <c r="AL61" s="46">
        <v>-3600</v>
      </c>
      <c r="AM61" s="46"/>
      <c r="AN61" s="46"/>
      <c r="AO61" s="46"/>
      <c r="AP61" s="46"/>
      <c r="AQ61" s="46"/>
      <c r="AR61" s="46"/>
      <c r="AS61" s="46"/>
      <c r="AT61" s="51"/>
      <c r="AU61" s="46"/>
      <c r="AV61" s="46"/>
      <c r="AW61" s="54"/>
      <c r="AX61" s="51"/>
      <c r="AY61" s="46"/>
      <c r="AZ61" s="46"/>
      <c r="BA61" s="46"/>
      <c r="BB61" s="46"/>
      <c r="BC61" s="46"/>
      <c r="BD61" s="46"/>
      <c r="BE61" s="46"/>
      <c r="BF61" s="46"/>
      <c r="BG61" s="46"/>
      <c r="BH61" s="46"/>
      <c r="BI61" s="46"/>
      <c r="BJ61" s="46"/>
      <c r="BK61" s="46"/>
      <c r="BL61" s="46"/>
      <c r="BM61" s="46"/>
      <c r="BN61" s="46"/>
      <c r="BO61" s="46"/>
      <c r="BP61" s="46"/>
      <c r="BQ61" s="46"/>
      <c r="BR61" s="46"/>
      <c r="BS61" s="54"/>
      <c r="BT61" s="46"/>
      <c r="BU61" s="54"/>
      <c r="BV61" s="46"/>
      <c r="BW61" s="46"/>
      <c r="BX61" s="46"/>
      <c r="BY61" s="46"/>
      <c r="BZ61" s="46"/>
      <c r="CA61" s="54"/>
      <c r="CB61" s="46"/>
      <c r="CC61" s="46"/>
      <c r="CD61" s="46"/>
    </row>
    <row r="62" spans="4:82" s="39" customFormat="true" ht="12" customHeight="true">
      <c r="D62" s="46"/>
      <c r="E62" s="46"/>
      <c r="F62" s="46"/>
      <c r="G62" s="46"/>
      <c r="H62" s="46"/>
      <c r="I62" s="46"/>
      <c r="J62" s="46"/>
      <c r="K62" s="46"/>
      <c r="L62" s="46"/>
      <c r="M62" s="46"/>
      <c r="N62" s="46"/>
      <c r="O62" s="46"/>
      <c r="P62" s="46"/>
      <c r="Q62" s="46"/>
      <c r="R62" s="46"/>
      <c r="S62" s="51"/>
      <c r="T62" s="46"/>
      <c r="U62" s="46"/>
      <c r="V62" s="46"/>
      <c r="W62" s="46"/>
      <c r="X62" s="46"/>
      <c r="Y62" s="46"/>
      <c r="Z62" s="51"/>
      <c r="AA62" s="51"/>
      <c r="AB62" s="51"/>
      <c r="AC62" s="51"/>
      <c r="AD62" s="51"/>
      <c r="AE62" s="46"/>
      <c r="AF62" s="51"/>
      <c r="AG62" s="46"/>
      <c r="AH62" s="46"/>
      <c r="AI62" s="51"/>
      <c r="AJ62" s="46"/>
      <c r="AK62" s="46"/>
      <c r="AL62" s="46"/>
      <c r="AM62" s="46"/>
      <c r="AN62" s="46"/>
      <c r="AO62" s="46"/>
      <c r="AP62" s="46"/>
      <c r="AQ62" s="46"/>
      <c r="AR62" s="46"/>
      <c r="AS62" s="46"/>
      <c r="AT62" s="51"/>
      <c r="AU62" s="46"/>
      <c r="AV62" s="46"/>
      <c r="AW62" s="54"/>
      <c r="AX62" s="51"/>
      <c r="AY62" s="46"/>
      <c r="AZ62" s="46"/>
      <c r="BA62" s="46"/>
      <c r="BB62" s="46"/>
      <c r="BC62" s="46"/>
      <c r="BD62" s="46"/>
      <c r="BE62" s="46"/>
      <c r="BF62" s="46"/>
      <c r="BG62" s="46"/>
      <c r="BH62" s="46"/>
      <c r="BI62" s="46"/>
      <c r="BJ62" s="46"/>
      <c r="BK62" s="46"/>
      <c r="BL62" s="46"/>
      <c r="BM62" s="46"/>
      <c r="BN62" s="46"/>
      <c r="BO62" s="46"/>
      <c r="BP62" s="46"/>
      <c r="BQ62" s="46"/>
      <c r="BR62" s="46"/>
      <c r="BS62" s="54"/>
      <c r="BT62" s="46"/>
      <c r="BU62" s="54"/>
      <c r="BV62" s="46"/>
      <c r="BW62" s="46"/>
      <c r="BX62" s="46"/>
      <c r="BY62" s="46"/>
      <c r="BZ62" s="46"/>
      <c r="CA62" s="54"/>
      <c r="CB62" s="46"/>
      <c r="CC62" s="46"/>
      <c r="CD62" s="46"/>
    </row>
    <row r="63" spans="4:82" s="39" customFormat="true" ht="12" customHeight="true">
      <c r="D63" s="46"/>
      <c r="E63" s="46"/>
      <c r="F63" s="46"/>
      <c r="G63" s="46"/>
      <c r="H63" s="46"/>
      <c r="I63" s="46"/>
      <c r="J63" s="46"/>
      <c r="K63" s="46"/>
      <c r="L63" s="46"/>
      <c r="M63" s="46"/>
      <c r="N63" s="46"/>
      <c r="O63" s="46"/>
      <c r="P63" s="46"/>
      <c r="Q63" s="46"/>
      <c r="R63" s="46"/>
      <c r="S63" s="51"/>
      <c r="T63" s="46"/>
      <c r="U63" s="46"/>
      <c r="V63" s="46"/>
      <c r="W63" s="46"/>
      <c r="X63" s="46"/>
      <c r="Y63" s="46"/>
      <c r="Z63" s="51"/>
      <c r="AA63" s="51"/>
      <c r="AB63" s="51"/>
      <c r="AC63" s="51"/>
      <c r="AD63" s="51"/>
      <c r="AE63" s="46"/>
      <c r="AF63" s="51"/>
      <c r="AG63" s="46"/>
      <c r="AH63" s="46"/>
      <c r="AI63" s="51"/>
      <c r="AJ63" s="46"/>
      <c r="AK63" s="46"/>
      <c r="AL63" s="46"/>
      <c r="AM63" s="46"/>
      <c r="AN63" s="46"/>
      <c r="AO63" s="46"/>
      <c r="AP63" s="46"/>
      <c r="AQ63" s="46"/>
      <c r="AR63" s="46"/>
      <c r="AS63" s="46"/>
      <c r="AT63" s="51"/>
      <c r="AU63" s="46"/>
      <c r="AV63" s="46"/>
      <c r="AW63" s="54"/>
      <c r="AX63" s="51"/>
      <c r="AY63" s="46"/>
      <c r="AZ63" s="46"/>
      <c r="BA63" s="46"/>
      <c r="BB63" s="46"/>
      <c r="BC63" s="46"/>
      <c r="BD63" s="46"/>
      <c r="BE63" s="46"/>
      <c r="BF63" s="46"/>
      <c r="BG63" s="46"/>
      <c r="BH63" s="46"/>
      <c r="BI63" s="46"/>
      <c r="BJ63" s="46"/>
      <c r="BK63" s="46"/>
      <c r="BL63" s="46"/>
      <c r="BM63" s="46"/>
      <c r="BN63" s="46"/>
      <c r="BO63" s="46"/>
      <c r="BP63" s="46"/>
      <c r="BQ63" s="46"/>
      <c r="BR63" s="46"/>
      <c r="BS63" s="54"/>
      <c r="BT63" s="46"/>
      <c r="BU63" s="54"/>
      <c r="BV63" s="46"/>
      <c r="BW63" s="46"/>
      <c r="BX63" s="46"/>
      <c r="BY63" s="46"/>
      <c r="BZ63" s="46"/>
      <c r="CA63" s="54"/>
      <c r="CB63" s="46"/>
      <c r="CC63" s="46"/>
      <c r="CD63" s="46"/>
    </row>
    <row r="64" spans="4:82" s="39" customFormat="true" ht="12" customHeight="true">
      <c r="D64" s="46"/>
      <c r="E64" s="46"/>
      <c r="F64" s="46"/>
      <c r="G64" s="46"/>
      <c r="H64" s="46"/>
      <c r="I64" s="46"/>
      <c r="J64" s="46"/>
      <c r="K64" s="46"/>
      <c r="L64" s="46"/>
      <c r="M64" s="46"/>
      <c r="N64" s="46"/>
      <c r="O64" s="46"/>
      <c r="P64" s="46"/>
      <c r="Q64" s="46"/>
      <c r="R64" s="46"/>
      <c r="S64" s="51"/>
      <c r="T64" s="46"/>
      <c r="U64" s="46"/>
      <c r="V64" s="46"/>
      <c r="W64" s="46"/>
      <c r="X64" s="46"/>
      <c r="Y64" s="46"/>
      <c r="Z64" s="51"/>
      <c r="AA64" s="51"/>
      <c r="AB64" s="51"/>
      <c r="AC64" s="51"/>
      <c r="AD64" s="51"/>
      <c r="AE64" s="46"/>
      <c r="AF64" s="51"/>
      <c r="AG64" s="46"/>
      <c r="AH64" s="46"/>
      <c r="AI64" s="51"/>
      <c r="AJ64" s="46"/>
      <c r="AK64" s="46"/>
      <c r="AL64" s="46"/>
      <c r="AM64" s="46"/>
      <c r="AN64" s="46"/>
      <c r="AO64" s="46"/>
      <c r="AP64" s="46"/>
      <c r="AQ64" s="46"/>
      <c r="AR64" s="46"/>
      <c r="AS64" s="46"/>
      <c r="AT64" s="51"/>
      <c r="AU64" s="46"/>
      <c r="AV64" s="46"/>
      <c r="AW64" s="54"/>
      <c r="AX64" s="51"/>
      <c r="AY64" s="46"/>
      <c r="AZ64" s="46"/>
      <c r="BA64" s="46"/>
      <c r="BB64" s="46"/>
      <c r="BC64" s="46"/>
      <c r="BD64" s="46"/>
      <c r="BE64" s="46"/>
      <c r="BF64" s="46"/>
      <c r="BG64" s="46"/>
      <c r="BH64" s="46"/>
      <c r="BI64" s="46"/>
      <c r="BJ64" s="46"/>
      <c r="BK64" s="46"/>
      <c r="BL64" s="46"/>
      <c r="BM64" s="46"/>
      <c r="BN64" s="46"/>
      <c r="BO64" s="46"/>
      <c r="BP64" s="46"/>
      <c r="BQ64" s="46"/>
      <c r="BR64" s="46"/>
      <c r="BS64" s="54"/>
      <c r="BT64" s="46"/>
      <c r="BU64" s="54"/>
      <c r="BV64" s="46"/>
      <c r="BW64" s="46"/>
      <c r="BX64" s="46"/>
      <c r="BY64" s="46"/>
      <c r="BZ64" s="46"/>
      <c r="CA64" s="54"/>
      <c r="CB64" s="46"/>
      <c r="CC64" s="46"/>
      <c r="CD64" s="46"/>
    </row>
    <row r="65" spans="4:82" s="39" customFormat="true" ht="12" customHeight="true">
      <c r="D65" s="46"/>
      <c r="E65" s="46"/>
      <c r="F65" s="46"/>
      <c r="G65" s="46"/>
      <c r="H65" s="46"/>
      <c r="I65" s="46"/>
      <c r="J65" s="46"/>
      <c r="K65" s="46"/>
      <c r="L65" s="46"/>
      <c r="M65" s="46"/>
      <c r="N65" s="46"/>
      <c r="O65" s="46"/>
      <c r="P65" s="46"/>
      <c r="Q65" s="46"/>
      <c r="R65" s="46"/>
      <c r="S65" s="51"/>
      <c r="T65" s="46"/>
      <c r="U65" s="46"/>
      <c r="V65" s="46"/>
      <c r="W65" s="46"/>
      <c r="X65" s="46"/>
      <c r="Y65" s="46"/>
      <c r="Z65" s="51"/>
      <c r="AA65" s="51"/>
      <c r="AB65" s="51"/>
      <c r="AC65" s="51"/>
      <c r="AD65" s="51"/>
      <c r="AE65" s="46"/>
      <c r="AF65" s="51"/>
      <c r="AG65" s="46"/>
      <c r="AH65" s="46"/>
      <c r="AI65" s="51"/>
      <c r="AJ65" s="46"/>
      <c r="AK65" s="46"/>
      <c r="AL65" s="46"/>
      <c r="AM65" s="46"/>
      <c r="AN65" s="46"/>
      <c r="AO65" s="46"/>
      <c r="AP65" s="46"/>
      <c r="AQ65" s="46"/>
      <c r="AR65" s="46"/>
      <c r="AS65" s="46"/>
      <c r="AT65" s="51"/>
      <c r="AU65" s="46"/>
      <c r="AV65" s="46"/>
      <c r="AW65" s="54"/>
      <c r="AX65" s="51"/>
      <c r="AY65" s="46"/>
      <c r="AZ65" s="46"/>
      <c r="BA65" s="46"/>
      <c r="BB65" s="46"/>
      <c r="BC65" s="46"/>
      <c r="BD65" s="46"/>
      <c r="BE65" s="46"/>
      <c r="BF65" s="46"/>
      <c r="BG65" s="46"/>
      <c r="BH65" s="46"/>
      <c r="BI65" s="46"/>
      <c r="BJ65" s="46"/>
      <c r="BK65" s="46"/>
      <c r="BL65" s="46"/>
      <c r="BM65" s="46"/>
      <c r="BN65" s="46"/>
      <c r="BO65" s="46"/>
      <c r="BP65" s="46"/>
      <c r="BQ65" s="46"/>
      <c r="BR65" s="46"/>
      <c r="BS65" s="54"/>
      <c r="BT65" s="46"/>
      <c r="BU65" s="54"/>
      <c r="BV65" s="46"/>
      <c r="BW65" s="46"/>
      <c r="BX65" s="46"/>
      <c r="BY65" s="46"/>
      <c r="BZ65" s="46"/>
      <c r="CA65" s="54"/>
      <c r="CB65" s="46"/>
      <c r="CC65" s="46"/>
      <c r="CD65" s="46"/>
    </row>
    <row r="66" spans="4:82" s="39" customFormat="true" ht="12" customHeight="true">
      <c r="D66" s="46"/>
      <c r="E66" s="46"/>
      <c r="F66" s="46"/>
      <c r="G66" s="46"/>
      <c r="H66" s="46"/>
      <c r="I66" s="46"/>
      <c r="J66" s="46"/>
      <c r="K66" s="46"/>
      <c r="L66" s="46"/>
      <c r="M66" s="46"/>
      <c r="N66" s="46"/>
      <c r="O66" s="46"/>
      <c r="P66" s="46"/>
      <c r="Q66" s="46"/>
      <c r="R66" s="46"/>
      <c r="S66" s="51"/>
      <c r="T66" s="46"/>
      <c r="U66" s="46"/>
      <c r="V66" s="46"/>
      <c r="W66" s="46"/>
      <c r="X66" s="46"/>
      <c r="Y66" s="46"/>
      <c r="Z66" s="51"/>
      <c r="AA66" s="51"/>
      <c r="AB66" s="51"/>
      <c r="AC66" s="51"/>
      <c r="AD66" s="51"/>
      <c r="AE66" s="46"/>
      <c r="AF66" s="51"/>
      <c r="AG66" s="46"/>
      <c r="AH66" s="46"/>
      <c r="AI66" s="51"/>
      <c r="AJ66" s="46"/>
      <c r="AK66" s="46"/>
      <c r="AL66" s="46"/>
      <c r="AM66" s="46"/>
      <c r="AN66" s="46"/>
      <c r="AO66" s="46"/>
      <c r="AP66" s="46"/>
      <c r="AQ66" s="46"/>
      <c r="AR66" s="46"/>
      <c r="AS66" s="46"/>
      <c r="AT66" s="51"/>
      <c r="AU66" s="46"/>
      <c r="AV66" s="46"/>
      <c r="AW66" s="54"/>
      <c r="AX66" s="51"/>
      <c r="AY66" s="46"/>
      <c r="AZ66" s="46"/>
      <c r="BA66" s="46"/>
      <c r="BB66" s="46"/>
      <c r="BC66" s="46"/>
      <c r="BD66" s="46"/>
      <c r="BE66" s="46"/>
      <c r="BF66" s="46"/>
      <c r="BG66" s="46"/>
      <c r="BH66" s="46"/>
      <c r="BI66" s="46"/>
      <c r="BJ66" s="46"/>
      <c r="BK66" s="46"/>
      <c r="BL66" s="46"/>
      <c r="BM66" s="46"/>
      <c r="BN66" s="46"/>
      <c r="BO66" s="46"/>
      <c r="BP66" s="46"/>
      <c r="BQ66" s="46"/>
      <c r="BR66" s="46"/>
      <c r="BS66" s="54"/>
      <c r="BT66" s="46"/>
      <c r="BU66" s="54"/>
      <c r="BV66" s="46"/>
      <c r="BW66" s="46"/>
      <c r="BX66" s="46"/>
      <c r="BY66" s="46"/>
      <c r="BZ66" s="46"/>
      <c r="CA66" s="54"/>
      <c r="CB66" s="46"/>
      <c r="CC66" s="46"/>
      <c r="CD66" s="46"/>
    </row>
    <row r="67" spans="4:82" s="39" customFormat="true" ht="12" customHeight="true">
      <c r="D67" s="46"/>
      <c r="E67" s="46"/>
      <c r="F67" s="46"/>
      <c r="G67" s="46"/>
      <c r="H67" s="46"/>
      <c r="I67" s="46"/>
      <c r="J67" s="46"/>
      <c r="K67" s="46"/>
      <c r="L67" s="46"/>
      <c r="M67" s="46"/>
      <c r="N67" s="46"/>
      <c r="O67" s="46"/>
      <c r="P67" s="46"/>
      <c r="Q67" s="46"/>
      <c r="R67" s="46"/>
      <c r="S67" s="51"/>
      <c r="T67" s="46"/>
      <c r="U67" s="46"/>
      <c r="V67" s="46"/>
      <c r="W67" s="46"/>
      <c r="X67" s="46"/>
      <c r="Y67" s="46"/>
      <c r="Z67" s="51"/>
      <c r="AA67" s="51"/>
      <c r="AB67" s="51"/>
      <c r="AC67" s="51"/>
      <c r="AD67" s="51"/>
      <c r="AE67" s="46"/>
      <c r="AF67" s="51"/>
      <c r="AG67" s="46"/>
      <c r="AH67" s="46"/>
      <c r="AI67" s="51"/>
      <c r="AJ67" s="46"/>
      <c r="AK67" s="46"/>
      <c r="AL67" s="46"/>
      <c r="AM67" s="46"/>
      <c r="AN67" s="46"/>
      <c r="AO67" s="46"/>
      <c r="AP67" s="46"/>
      <c r="AQ67" s="46"/>
      <c r="AR67" s="46"/>
      <c r="AS67" s="46"/>
      <c r="AT67" s="51"/>
      <c r="AU67" s="46"/>
      <c r="AV67" s="46"/>
      <c r="AW67" s="54"/>
      <c r="AX67" s="51"/>
      <c r="AY67" s="46"/>
      <c r="AZ67" s="46"/>
      <c r="BA67" s="46"/>
      <c r="BB67" s="46"/>
      <c r="BC67" s="46"/>
      <c r="BD67" s="46"/>
      <c r="BE67" s="46"/>
      <c r="BF67" s="46"/>
      <c r="BG67" s="46"/>
      <c r="BH67" s="46"/>
      <c r="BI67" s="46"/>
      <c r="BJ67" s="46"/>
      <c r="BK67" s="46"/>
      <c r="BL67" s="46"/>
      <c r="BM67" s="46"/>
      <c r="BN67" s="46"/>
      <c r="BO67" s="46"/>
      <c r="BP67" s="46"/>
      <c r="BQ67" s="46"/>
      <c r="BR67" s="46"/>
      <c r="BS67" s="54"/>
      <c r="BT67" s="46"/>
      <c r="BU67" s="54"/>
      <c r="BV67" s="46"/>
      <c r="BW67" s="46"/>
      <c r="BX67" s="46"/>
      <c r="BY67" s="46"/>
      <c r="BZ67" s="46"/>
      <c r="CA67" s="54"/>
      <c r="CB67" s="46"/>
      <c r="CC67" s="46"/>
      <c r="CD67" s="46"/>
    </row>
    <row r="68" spans="4:82" s="39" customFormat="true" ht="12" customHeight="true">
      <c r="D68" s="46"/>
      <c r="E68" s="46"/>
      <c r="F68" s="46"/>
      <c r="G68" s="46"/>
      <c r="H68" s="46"/>
      <c r="I68" s="46"/>
      <c r="J68" s="46"/>
      <c r="K68" s="46"/>
      <c r="L68" s="46"/>
      <c r="M68" s="46"/>
      <c r="N68" s="46"/>
      <c r="O68" s="46"/>
      <c r="P68" s="46"/>
      <c r="Q68" s="46"/>
      <c r="R68" s="46"/>
      <c r="S68" s="51"/>
      <c r="T68" s="46"/>
      <c r="U68" s="46"/>
      <c r="V68" s="46"/>
      <c r="W68" s="46"/>
      <c r="X68" s="46"/>
      <c r="Y68" s="46"/>
      <c r="Z68" s="51"/>
      <c r="AA68" s="51"/>
      <c r="AB68" s="51"/>
      <c r="AC68" s="51"/>
      <c r="AD68" s="51"/>
      <c r="AE68" s="46"/>
      <c r="AF68" s="51"/>
      <c r="AG68" s="46"/>
      <c r="AH68" s="46"/>
      <c r="AI68" s="51"/>
      <c r="AJ68" s="46"/>
      <c r="AK68" s="46"/>
      <c r="AL68" s="46"/>
      <c r="AM68" s="46"/>
      <c r="AN68" s="46"/>
      <c r="AO68" s="46"/>
      <c r="AP68" s="46"/>
      <c r="AQ68" s="46"/>
      <c r="AR68" s="46"/>
      <c r="AS68" s="46"/>
      <c r="AT68" s="51"/>
      <c r="AU68" s="46"/>
      <c r="AV68" s="46"/>
      <c r="AW68" s="54"/>
      <c r="AX68" s="51"/>
      <c r="AY68" s="46"/>
      <c r="AZ68" s="46"/>
      <c r="BA68" s="46"/>
      <c r="BB68" s="46"/>
      <c r="BC68" s="46"/>
      <c r="BD68" s="46"/>
      <c r="BE68" s="46"/>
      <c r="BF68" s="46"/>
      <c r="BG68" s="46"/>
      <c r="BH68" s="46"/>
      <c r="BI68" s="46"/>
      <c r="BJ68" s="46"/>
      <c r="BK68" s="46"/>
      <c r="BL68" s="46"/>
      <c r="BM68" s="46"/>
      <c r="BN68" s="46"/>
      <c r="BO68" s="46"/>
      <c r="BP68" s="46"/>
      <c r="BQ68" s="46"/>
      <c r="BR68" s="46"/>
      <c r="BS68" s="54"/>
      <c r="BT68" s="46"/>
      <c r="BU68" s="54"/>
      <c r="BV68" s="46"/>
      <c r="BW68" s="46"/>
      <c r="BX68" s="46"/>
      <c r="BY68" s="46"/>
      <c r="BZ68" s="46"/>
      <c r="CA68" s="54"/>
      <c r="CB68" s="46"/>
      <c r="CC68" s="46"/>
      <c r="CD68" s="46"/>
    </row>
    <row r="69" spans="4:82" s="39" customFormat="true" ht="12" customHeight="true">
      <c r="D69" s="46"/>
      <c r="E69" s="46"/>
      <c r="F69" s="46"/>
      <c r="G69" s="46"/>
      <c r="H69" s="46"/>
      <c r="I69" s="46"/>
      <c r="J69" s="46"/>
      <c r="K69" s="46"/>
      <c r="L69" s="46"/>
      <c r="M69" s="46"/>
      <c r="N69" s="46"/>
      <c r="O69" s="46"/>
      <c r="P69" s="46"/>
      <c r="Q69" s="46"/>
      <c r="R69" s="46"/>
      <c r="S69" s="51"/>
      <c r="T69" s="46"/>
      <c r="U69" s="46"/>
      <c r="V69" s="46"/>
      <c r="W69" s="46"/>
      <c r="X69" s="46"/>
      <c r="Y69" s="46"/>
      <c r="Z69" s="51"/>
      <c r="AA69" s="51"/>
      <c r="AB69" s="51"/>
      <c r="AC69" s="51"/>
      <c r="AD69" s="51"/>
      <c r="AE69" s="46"/>
      <c r="AF69" s="51"/>
      <c r="AG69" s="46"/>
      <c r="AH69" s="46"/>
      <c r="AI69" s="51"/>
      <c r="AJ69" s="46"/>
      <c r="AK69" s="46"/>
      <c r="AL69" s="46"/>
      <c r="AM69" s="46"/>
      <c r="AN69" s="46"/>
      <c r="AO69" s="46"/>
      <c r="AP69" s="46"/>
      <c r="AQ69" s="46"/>
      <c r="AR69" s="46"/>
      <c r="AS69" s="46"/>
      <c r="AT69" s="51"/>
      <c r="AU69" s="46"/>
      <c r="AV69" s="46"/>
      <c r="AW69" s="54"/>
      <c r="AX69" s="51"/>
      <c r="AY69" s="46"/>
      <c r="AZ69" s="46"/>
      <c r="BA69" s="46"/>
      <c r="BB69" s="46"/>
      <c r="BC69" s="46"/>
      <c r="BD69" s="46"/>
      <c r="BE69" s="46"/>
      <c r="BF69" s="46"/>
      <c r="BG69" s="46"/>
      <c r="BH69" s="46"/>
      <c r="BI69" s="46"/>
      <c r="BJ69" s="46"/>
      <c r="BK69" s="46"/>
      <c r="BL69" s="46"/>
      <c r="BM69" s="46"/>
      <c r="BN69" s="46"/>
      <c r="BO69" s="46"/>
      <c r="BP69" s="46"/>
      <c r="BQ69" s="46"/>
      <c r="BR69" s="46"/>
      <c r="BS69" s="54"/>
      <c r="BT69" s="46"/>
      <c r="BU69" s="54"/>
      <c r="BV69" s="46"/>
      <c r="BW69" s="46"/>
      <c r="BX69" s="46"/>
      <c r="BY69" s="46"/>
      <c r="BZ69" s="46"/>
      <c r="CA69" s="54"/>
      <c r="CB69" s="46"/>
      <c r="CC69" s="46"/>
      <c r="CD69" s="46"/>
    </row>
    <row r="70" spans="4:82" s="39" customFormat="true" ht="12" customHeight="true">
      <c r="D70" s="46"/>
      <c r="E70" s="46"/>
      <c r="F70" s="46"/>
      <c r="G70" s="46"/>
      <c r="H70" s="46"/>
      <c r="I70" s="46"/>
      <c r="J70" s="46"/>
      <c r="K70" s="46"/>
      <c r="L70" s="46"/>
      <c r="M70" s="46"/>
      <c r="N70" s="46"/>
      <c r="O70" s="46"/>
      <c r="P70" s="46"/>
      <c r="Q70" s="46"/>
      <c r="R70" s="46"/>
      <c r="S70" s="51"/>
      <c r="T70" s="46"/>
      <c r="U70" s="46"/>
      <c r="V70" s="46"/>
      <c r="W70" s="46"/>
      <c r="X70" s="46"/>
      <c r="Y70" s="46"/>
      <c r="Z70" s="51"/>
      <c r="AA70" s="51"/>
      <c r="AB70" s="51"/>
      <c r="AC70" s="51"/>
      <c r="AD70" s="51"/>
      <c r="AE70" s="46"/>
      <c r="AF70" s="51"/>
      <c r="AG70" s="46"/>
      <c r="AH70" s="46"/>
      <c r="AI70" s="51"/>
      <c r="AJ70" s="46"/>
      <c r="AK70" s="46"/>
      <c r="AL70" s="46"/>
      <c r="AM70" s="46"/>
      <c r="AN70" s="46"/>
      <c r="AO70" s="46"/>
      <c r="AP70" s="46"/>
      <c r="AQ70" s="46"/>
      <c r="AR70" s="46"/>
      <c r="AS70" s="46"/>
      <c r="AT70" s="51"/>
      <c r="AU70" s="46"/>
      <c r="AV70" s="46"/>
      <c r="AW70" s="54"/>
      <c r="AX70" s="51"/>
      <c r="AY70" s="46"/>
      <c r="AZ70" s="46"/>
      <c r="BA70" s="46"/>
      <c r="BB70" s="46"/>
      <c r="BC70" s="46"/>
      <c r="BD70" s="46"/>
      <c r="BE70" s="46"/>
      <c r="BF70" s="46"/>
      <c r="BG70" s="46"/>
      <c r="BH70" s="46"/>
      <c r="BI70" s="46"/>
      <c r="BJ70" s="46"/>
      <c r="BK70" s="46"/>
      <c r="BL70" s="46"/>
      <c r="BM70" s="46"/>
      <c r="BN70" s="46"/>
      <c r="BO70" s="46"/>
      <c r="BP70" s="46"/>
      <c r="BQ70" s="46"/>
      <c r="BR70" s="46"/>
      <c r="BS70" s="54"/>
      <c r="BT70" s="46"/>
      <c r="BU70" s="54"/>
      <c r="BV70" s="46"/>
      <c r="BW70" s="46"/>
      <c r="BX70" s="46"/>
      <c r="BY70" s="46"/>
      <c r="BZ70" s="46"/>
      <c r="CA70" s="54"/>
      <c r="CB70" s="46"/>
      <c r="CC70" s="46"/>
      <c r="CD70" s="46"/>
    </row>
    <row r="71" spans="4:82" s="39" customFormat="true" ht="12" customHeight="true">
      <c r="D71" s="46"/>
      <c r="E71" s="46"/>
      <c r="F71" s="46"/>
      <c r="G71" s="46"/>
      <c r="H71" s="46"/>
      <c r="I71" s="46"/>
      <c r="J71" s="46"/>
      <c r="K71" s="46"/>
      <c r="L71" s="46"/>
      <c r="M71" s="46"/>
      <c r="N71" s="46"/>
      <c r="O71" s="46"/>
      <c r="P71" s="46"/>
      <c r="Q71" s="46"/>
      <c r="R71" s="46"/>
      <c r="S71" s="51"/>
      <c r="T71" s="46"/>
      <c r="U71" s="46"/>
      <c r="V71" s="46"/>
      <c r="W71" s="46"/>
      <c r="X71" s="46"/>
      <c r="Y71" s="46"/>
      <c r="Z71" s="51"/>
      <c r="AA71" s="51"/>
      <c r="AB71" s="51"/>
      <c r="AC71" s="51"/>
      <c r="AD71" s="51"/>
      <c r="AE71" s="46"/>
      <c r="AF71" s="51"/>
      <c r="AG71" s="46"/>
      <c r="AH71" s="46"/>
      <c r="AI71" s="51"/>
      <c r="AJ71" s="46"/>
      <c r="AK71" s="46"/>
      <c r="AL71" s="46"/>
      <c r="AM71" s="46"/>
      <c r="AN71" s="46"/>
      <c r="AO71" s="46"/>
      <c r="AP71" s="46"/>
      <c r="AQ71" s="46"/>
      <c r="AR71" s="46"/>
      <c r="AS71" s="46"/>
      <c r="AT71" s="51"/>
      <c r="AU71" s="46"/>
      <c r="AV71" s="46"/>
      <c r="AW71" s="54"/>
      <c r="AX71" s="51"/>
      <c r="AY71" s="46"/>
      <c r="AZ71" s="46"/>
      <c r="BA71" s="46"/>
      <c r="BB71" s="46"/>
      <c r="BC71" s="46"/>
      <c r="BD71" s="46"/>
      <c r="BE71" s="46"/>
      <c r="BF71" s="46"/>
      <c r="BG71" s="46"/>
      <c r="BH71" s="46"/>
      <c r="BI71" s="46"/>
      <c r="BJ71" s="46"/>
      <c r="BK71" s="46"/>
      <c r="BL71" s="46"/>
      <c r="BM71" s="46"/>
      <c r="BN71" s="46"/>
      <c r="BO71" s="46"/>
      <c r="BP71" s="46"/>
      <c r="BQ71" s="46"/>
      <c r="BR71" s="46"/>
      <c r="BS71" s="54"/>
      <c r="BT71" s="46"/>
      <c r="BU71" s="54"/>
      <c r="BV71" s="46"/>
      <c r="BW71" s="46"/>
      <c r="BX71" s="46"/>
      <c r="BY71" s="46"/>
      <c r="BZ71" s="46"/>
      <c r="CA71" s="54"/>
      <c r="CB71" s="46"/>
      <c r="CC71" s="46"/>
      <c r="CD71" s="46"/>
    </row>
    <row r="72" spans="4:82" s="39" customFormat="true" ht="12" customHeight="true">
      <c r="D72" s="46"/>
      <c r="E72" s="46"/>
      <c r="F72" s="46"/>
      <c r="G72" s="46"/>
      <c r="H72" s="46"/>
      <c r="I72" s="46"/>
      <c r="J72" s="46"/>
      <c r="K72" s="46"/>
      <c r="L72" s="46"/>
      <c r="M72" s="46"/>
      <c r="N72" s="46"/>
      <c r="O72" s="46"/>
      <c r="P72" s="46"/>
      <c r="Q72" s="46"/>
      <c r="R72" s="46"/>
      <c r="S72" s="51"/>
      <c r="T72" s="46"/>
      <c r="U72" s="46"/>
      <c r="V72" s="46"/>
      <c r="W72" s="46"/>
      <c r="X72" s="46"/>
      <c r="Y72" s="46"/>
      <c r="Z72" s="51"/>
      <c r="AA72" s="51"/>
      <c r="AB72" s="51"/>
      <c r="AC72" s="51"/>
      <c r="AD72" s="51"/>
      <c r="AE72" s="46"/>
      <c r="AF72" s="51"/>
      <c r="AG72" s="46"/>
      <c r="AH72" s="46"/>
      <c r="AI72" s="51"/>
      <c r="AJ72" s="46"/>
      <c r="AK72" s="46"/>
      <c r="AL72" s="46"/>
      <c r="AM72" s="46"/>
      <c r="AN72" s="46"/>
      <c r="AO72" s="46"/>
      <c r="AP72" s="46"/>
      <c r="AQ72" s="46"/>
      <c r="AR72" s="46"/>
      <c r="AS72" s="46"/>
      <c r="AT72" s="51"/>
      <c r="AU72" s="46"/>
      <c r="AV72" s="46"/>
      <c r="AW72" s="54"/>
      <c r="AX72" s="51"/>
      <c r="AY72" s="46"/>
      <c r="AZ72" s="46"/>
      <c r="BA72" s="46"/>
      <c r="BB72" s="46"/>
      <c r="BC72" s="46"/>
      <c r="BD72" s="46"/>
      <c r="BE72" s="46"/>
      <c r="BF72" s="46"/>
      <c r="BG72" s="46"/>
      <c r="BH72" s="46"/>
      <c r="BI72" s="46"/>
      <c r="BJ72" s="46"/>
      <c r="BK72" s="46"/>
      <c r="BL72" s="46"/>
      <c r="BM72" s="46"/>
      <c r="BN72" s="46"/>
      <c r="BO72" s="46"/>
      <c r="BP72" s="46"/>
      <c r="BQ72" s="46"/>
      <c r="BR72" s="46"/>
      <c r="BS72" s="54"/>
      <c r="BT72" s="46"/>
      <c r="BU72" s="54"/>
      <c r="BV72" s="46"/>
      <c r="BW72" s="46"/>
      <c r="BX72" s="46"/>
      <c r="BY72" s="46"/>
      <c r="BZ72" s="46"/>
      <c r="CA72" s="54"/>
      <c r="CB72" s="46"/>
      <c r="CC72" s="46"/>
      <c r="CD72" s="46"/>
    </row>
    <row r="73" spans="4:82" s="39" customFormat="true" ht="12" customHeight="true">
      <c r="D73" s="46"/>
      <c r="E73" s="46"/>
      <c r="F73" s="46"/>
      <c r="G73" s="46"/>
      <c r="H73" s="46"/>
      <c r="I73" s="46"/>
      <c r="J73" s="46"/>
      <c r="K73" s="46"/>
      <c r="L73" s="46"/>
      <c r="M73" s="46"/>
      <c r="N73" s="46"/>
      <c r="O73" s="46"/>
      <c r="P73" s="46"/>
      <c r="Q73" s="46"/>
      <c r="R73" s="46"/>
      <c r="S73" s="51"/>
      <c r="T73" s="46"/>
      <c r="U73" s="46"/>
      <c r="V73" s="46"/>
      <c r="W73" s="46"/>
      <c r="X73" s="46"/>
      <c r="Y73" s="46"/>
      <c r="Z73" s="51"/>
      <c r="AA73" s="51"/>
      <c r="AB73" s="51"/>
      <c r="AC73" s="51"/>
      <c r="AD73" s="51"/>
      <c r="AE73" s="46"/>
      <c r="AF73" s="51"/>
      <c r="AG73" s="46"/>
      <c r="AH73" s="46"/>
      <c r="AI73" s="51"/>
      <c r="AJ73" s="46"/>
      <c r="AK73" s="46"/>
      <c r="AL73" s="46"/>
      <c r="AM73" s="46"/>
      <c r="AN73" s="46"/>
      <c r="AO73" s="46"/>
      <c r="AP73" s="46"/>
      <c r="AQ73" s="46"/>
      <c r="AR73" s="46"/>
      <c r="AS73" s="46"/>
      <c r="AT73" s="51"/>
      <c r="AU73" s="46"/>
      <c r="AV73" s="46"/>
      <c r="AW73" s="54"/>
      <c r="AX73" s="51"/>
      <c r="AY73" s="46"/>
      <c r="AZ73" s="46"/>
      <c r="BA73" s="46"/>
      <c r="BB73" s="46"/>
      <c r="BC73" s="46"/>
      <c r="BD73" s="46"/>
      <c r="BE73" s="46"/>
      <c r="BF73" s="46"/>
      <c r="BG73" s="46"/>
      <c r="BH73" s="46"/>
      <c r="BI73" s="46"/>
      <c r="BJ73" s="46"/>
      <c r="BK73" s="46"/>
      <c r="BL73" s="46"/>
      <c r="BM73" s="46"/>
      <c r="BN73" s="46"/>
      <c r="BO73" s="46"/>
      <c r="BP73" s="46"/>
      <c r="BQ73" s="46"/>
      <c r="BR73" s="46"/>
      <c r="BS73" s="54"/>
      <c r="BT73" s="46"/>
      <c r="BU73" s="54"/>
      <c r="BV73" s="46"/>
      <c r="BW73" s="46"/>
      <c r="BX73" s="46"/>
      <c r="BY73" s="46"/>
      <c r="BZ73" s="46"/>
      <c r="CA73" s="54"/>
      <c r="CB73" s="46"/>
      <c r="CC73" s="46"/>
      <c r="CD73" s="46"/>
    </row>
    <row r="74" spans="4:82" s="39" customFormat="true" ht="12" customHeight="true">
      <c r="D74" s="46"/>
      <c r="E74" s="46"/>
      <c r="F74" s="46"/>
      <c r="G74" s="46"/>
      <c r="H74" s="46"/>
      <c r="I74" s="46"/>
      <c r="J74" s="46"/>
      <c r="K74" s="46"/>
      <c r="L74" s="46"/>
      <c r="M74" s="46"/>
      <c r="N74" s="46"/>
      <c r="O74" s="46"/>
      <c r="P74" s="46"/>
      <c r="Q74" s="46"/>
      <c r="R74" s="46"/>
      <c r="S74" s="51"/>
      <c r="T74" s="46"/>
      <c r="U74" s="46"/>
      <c r="V74" s="46"/>
      <c r="W74" s="46"/>
      <c r="X74" s="46"/>
      <c r="Y74" s="46"/>
      <c r="Z74" s="51"/>
      <c r="AA74" s="51"/>
      <c r="AB74" s="51"/>
      <c r="AC74" s="51"/>
      <c r="AD74" s="51"/>
      <c r="AE74" s="46"/>
      <c r="AF74" s="51"/>
      <c r="AG74" s="46"/>
      <c r="AH74" s="46"/>
      <c r="AI74" s="51"/>
      <c r="AJ74" s="46"/>
      <c r="AK74" s="46"/>
      <c r="AL74" s="46"/>
      <c r="AM74" s="46"/>
      <c r="AN74" s="46"/>
      <c r="AO74" s="46"/>
      <c r="AP74" s="46"/>
      <c r="AQ74" s="46"/>
      <c r="AR74" s="46"/>
      <c r="AS74" s="46"/>
      <c r="AT74" s="51"/>
      <c r="AU74" s="46"/>
      <c r="AV74" s="46"/>
      <c r="AW74" s="54"/>
      <c r="AX74" s="51"/>
      <c r="AY74" s="46"/>
      <c r="AZ74" s="46"/>
      <c r="BA74" s="46"/>
      <c r="BB74" s="46"/>
      <c r="BC74" s="46"/>
      <c r="BD74" s="46"/>
      <c r="BE74" s="46"/>
      <c r="BF74" s="46"/>
      <c r="BG74" s="46"/>
      <c r="BH74" s="46"/>
      <c r="BI74" s="46"/>
      <c r="BJ74" s="46"/>
      <c r="BK74" s="46"/>
      <c r="BL74" s="46"/>
      <c r="BM74" s="46"/>
      <c r="BN74" s="46"/>
      <c r="BO74" s="46"/>
      <c r="BP74" s="46"/>
      <c r="BQ74" s="46"/>
      <c r="BR74" s="46"/>
      <c r="BS74" s="54"/>
      <c r="BT74" s="46"/>
      <c r="BU74" s="54"/>
      <c r="BV74" s="46"/>
      <c r="BW74" s="46"/>
      <c r="BX74" s="46"/>
      <c r="BY74" s="46"/>
      <c r="BZ74" s="46"/>
      <c r="CA74" s="54"/>
      <c r="CB74" s="46"/>
      <c r="CC74" s="46"/>
      <c r="CD74" s="46"/>
    </row>
    <row r="75" spans="4:82" s="39" customFormat="true" ht="12" customHeight="true">
      <c r="D75" s="46"/>
      <c r="E75" s="46"/>
      <c r="F75" s="46"/>
      <c r="G75" s="46"/>
      <c r="H75" s="46"/>
      <c r="I75" s="46"/>
      <c r="J75" s="46"/>
      <c r="K75" s="46"/>
      <c r="L75" s="46"/>
      <c r="M75" s="46"/>
      <c r="N75" s="46"/>
      <c r="O75" s="46"/>
      <c r="P75" s="46"/>
      <c r="Q75" s="46"/>
      <c r="R75" s="46"/>
      <c r="S75" s="51"/>
      <c r="T75" s="46"/>
      <c r="U75" s="46"/>
      <c r="V75" s="46"/>
      <c r="W75" s="46"/>
      <c r="X75" s="46"/>
      <c r="Y75" s="46"/>
      <c r="Z75" s="51"/>
      <c r="AA75" s="51"/>
      <c r="AB75" s="51"/>
      <c r="AC75" s="51"/>
      <c r="AD75" s="51"/>
      <c r="AE75" s="46"/>
      <c r="AF75" s="51"/>
      <c r="AG75" s="46"/>
      <c r="AH75" s="46"/>
      <c r="AI75" s="51"/>
      <c r="AJ75" s="46"/>
      <c r="AK75" s="46"/>
      <c r="AL75" s="46"/>
      <c r="AM75" s="46"/>
      <c r="AN75" s="46"/>
      <c r="AO75" s="46"/>
      <c r="AP75" s="46"/>
      <c r="AQ75" s="46"/>
      <c r="AR75" s="46"/>
      <c r="AS75" s="46"/>
      <c r="AT75" s="51"/>
      <c r="AU75" s="46"/>
      <c r="AV75" s="46"/>
      <c r="AW75" s="54"/>
      <c r="AX75" s="51"/>
      <c r="AY75" s="46"/>
      <c r="AZ75" s="46"/>
      <c r="BA75" s="46"/>
      <c r="BB75" s="46"/>
      <c r="BC75" s="46"/>
      <c r="BD75" s="46"/>
      <c r="BE75" s="46"/>
      <c r="BF75" s="46"/>
      <c r="BG75" s="46"/>
      <c r="BH75" s="46"/>
      <c r="BI75" s="46"/>
      <c r="BJ75" s="46"/>
      <c r="BK75" s="46"/>
      <c r="BL75" s="46"/>
      <c r="BM75" s="46"/>
      <c r="BN75" s="46"/>
      <c r="BO75" s="46"/>
      <c r="BP75" s="46"/>
      <c r="BQ75" s="46"/>
      <c r="BR75" s="46"/>
      <c r="BS75" s="54"/>
      <c r="BT75" s="46"/>
      <c r="BU75" s="54"/>
      <c r="BV75" s="46"/>
      <c r="BW75" s="46"/>
      <c r="BX75" s="46"/>
      <c r="BY75" s="46"/>
      <c r="BZ75" s="46"/>
      <c r="CA75" s="54"/>
      <c r="CB75" s="46"/>
      <c r="CC75" s="46"/>
      <c r="CD75" s="46"/>
    </row>
    <row r="76" spans="4:82" s="39" customFormat="true" ht="12" customHeight="true">
      <c r="D76" s="46"/>
      <c r="E76" s="46"/>
      <c r="F76" s="46"/>
      <c r="G76" s="46"/>
      <c r="H76" s="46"/>
      <c r="I76" s="46"/>
      <c r="J76" s="46"/>
      <c r="K76" s="46"/>
      <c r="L76" s="46"/>
      <c r="M76" s="46"/>
      <c r="N76" s="46"/>
      <c r="O76" s="46"/>
      <c r="P76" s="46"/>
      <c r="Q76" s="46"/>
      <c r="R76" s="46"/>
      <c r="S76" s="51"/>
      <c r="T76" s="46"/>
      <c r="U76" s="46"/>
      <c r="V76" s="46"/>
      <c r="W76" s="46"/>
      <c r="X76" s="46"/>
      <c r="Y76" s="46"/>
      <c r="Z76" s="51"/>
      <c r="AA76" s="51"/>
      <c r="AB76" s="51"/>
      <c r="AC76" s="51"/>
      <c r="AD76" s="51"/>
      <c r="AE76" s="46"/>
      <c r="AF76" s="51"/>
      <c r="AG76" s="46"/>
      <c r="AH76" s="46"/>
      <c r="AI76" s="51"/>
      <c r="AJ76" s="46"/>
      <c r="AK76" s="46"/>
      <c r="AL76" s="46"/>
      <c r="AM76" s="46"/>
      <c r="AN76" s="46"/>
      <c r="AO76" s="46"/>
      <c r="AP76" s="46"/>
      <c r="AQ76" s="46"/>
      <c r="AR76" s="46"/>
      <c r="AS76" s="46"/>
      <c r="AT76" s="51"/>
      <c r="AU76" s="46"/>
      <c r="AV76" s="46"/>
      <c r="AW76" s="54"/>
      <c r="AX76" s="51"/>
      <c r="AY76" s="46"/>
      <c r="AZ76" s="46"/>
      <c r="BA76" s="46"/>
      <c r="BB76" s="46"/>
      <c r="BC76" s="46"/>
      <c r="BD76" s="46"/>
      <c r="BE76" s="46"/>
      <c r="BF76" s="46"/>
      <c r="BG76" s="46"/>
      <c r="BH76" s="46"/>
      <c r="BI76" s="46"/>
      <c r="BJ76" s="46"/>
      <c r="BK76" s="46"/>
      <c r="BL76" s="46"/>
      <c r="BM76" s="46"/>
      <c r="BN76" s="46"/>
      <c r="BO76" s="46"/>
      <c r="BP76" s="46"/>
      <c r="BQ76" s="46"/>
      <c r="BR76" s="46"/>
      <c r="BS76" s="54"/>
      <c r="BT76" s="46"/>
      <c r="BU76" s="54"/>
      <c r="BV76" s="46"/>
      <c r="BW76" s="46"/>
      <c r="BX76" s="46"/>
      <c r="BY76" s="46"/>
      <c r="BZ76" s="46"/>
      <c r="CA76" s="54"/>
      <c r="CB76" s="46"/>
      <c r="CC76" s="46"/>
      <c r="CD76" s="46"/>
    </row>
    <row r="77" spans="2:83" s="39" customFormat="true" ht="12" customHeight="true">
      <c r="B77" s="39" t="s">
        <v>34198</v>
      </c>
      <c r="D77" s="39">
        <f t="shared" ref="D77:W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51">
        <f t="shared" si="8"/>
        <v>0</v>
      </c>
      <c r="T77" s="39">
        <f t="shared" si="8"/>
        <v>0</v>
      </c>
      <c r="U77" s="39">
        <f t="shared" si="8"/>
        <v>0</v>
      </c>
      <c r="V77" s="39">
        <f t="shared" si="8"/>
        <v>0</v>
      </c>
      <c r="W77" s="39">
        <f t="shared" si="8"/>
        <v>0</v>
      </c>
      <c r="Y77" s="39">
        <f t="shared" ref="Y77:CD77" si="9">+SUM(Y59:Y76)</f>
        <v>0</v>
      </c>
      <c r="Z77" s="51">
        <f t="shared" si="9"/>
        <v>0</v>
      </c>
      <c r="AA77" s="51">
        <f t="shared" si="9"/>
        <v>0</v>
      </c>
      <c r="AB77" s="51">
        <f t="shared" si="9"/>
        <v>0</v>
      </c>
      <c r="AC77" s="51">
        <f t="shared" si="9"/>
        <v>0</v>
      </c>
      <c r="AD77" s="51">
        <f t="shared" si="9"/>
        <v>0</v>
      </c>
      <c r="AE77" s="39">
        <f t="shared" si="9"/>
        <v>0</v>
      </c>
      <c r="AF77" s="51">
        <f t="shared" si="9"/>
        <v>0</v>
      </c>
      <c r="AG77" s="39">
        <f t="shared" si="9"/>
        <v>0</v>
      </c>
      <c r="AH77" s="39">
        <f t="shared" si="9"/>
        <v>0</v>
      </c>
      <c r="AI77" s="51">
        <f t="shared" si="9"/>
        <v>0</v>
      </c>
      <c r="AJ77" s="39">
        <f t="shared" si="9"/>
        <v>0</v>
      </c>
      <c r="AK77" s="39">
        <f t="shared" si="9"/>
        <v>-17550</v>
      </c>
      <c r="AL77" s="39">
        <f t="shared" si="9"/>
        <v>-8100</v>
      </c>
      <c r="AM77" s="39">
        <f t="shared" si="9"/>
        <v>0</v>
      </c>
      <c r="AN77" s="39">
        <f t="shared" si="9"/>
        <v>0</v>
      </c>
      <c r="AO77" s="39">
        <f t="shared" si="9"/>
        <v>0</v>
      </c>
      <c r="AP77" s="39">
        <f t="shared" si="9"/>
        <v>0</v>
      </c>
      <c r="AQ77" s="39">
        <f t="shared" si="9"/>
        <v>0</v>
      </c>
      <c r="AR77" s="39">
        <f t="shared" si="9"/>
        <v>0</v>
      </c>
      <c r="AS77" s="39">
        <f t="shared" si="9"/>
        <v>0</v>
      </c>
      <c r="AT77" s="51">
        <f t="shared" si="9"/>
        <v>0</v>
      </c>
      <c r="AU77" s="39">
        <f t="shared" si="9"/>
        <v>0</v>
      </c>
      <c r="AV77" s="39">
        <f t="shared" si="9"/>
        <v>0</v>
      </c>
      <c r="AW77" s="54">
        <f t="shared" si="9"/>
        <v>0</v>
      </c>
      <c r="AX77" s="51">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39">
        <f t="shared" si="9"/>
        <v>0</v>
      </c>
      <c r="BR77" s="39">
        <f t="shared" si="9"/>
        <v>0</v>
      </c>
      <c r="BS77" s="54">
        <f t="shared" si="9"/>
        <v>0</v>
      </c>
      <c r="BT77" s="39">
        <f t="shared" si="9"/>
        <v>0</v>
      </c>
      <c r="BU77" s="54">
        <f t="shared" si="9"/>
        <v>0</v>
      </c>
      <c r="BV77" s="39">
        <f t="shared" si="9"/>
        <v>0</v>
      </c>
      <c r="BW77" s="39">
        <f t="shared" si="9"/>
        <v>0</v>
      </c>
      <c r="BX77" s="39">
        <f t="shared" si="9"/>
        <v>0</v>
      </c>
      <c r="BY77" s="39">
        <f t="shared" si="9"/>
        <v>0</v>
      </c>
      <c r="BZ77" s="39">
        <f t="shared" si="9"/>
        <v>0</v>
      </c>
      <c r="CA77" s="54">
        <f t="shared" si="9"/>
        <v>0</v>
      </c>
      <c r="CB77" s="39">
        <f t="shared" si="9"/>
        <v>0</v>
      </c>
      <c r="CC77" s="39">
        <f t="shared" si="9"/>
        <v>0</v>
      </c>
      <c r="CD77" s="39">
        <f t="shared" si="9"/>
        <v>0</v>
      </c>
      <c r="CE77" s="39">
        <f>SUM(D77:CD77)</f>
        <v>-25650</v>
      </c>
    </row>
    <row r="78" spans="19:79" s="39" customFormat="true" ht="12" customHeight="true">
      <c r="S78" s="51"/>
      <c r="Z78" s="51"/>
      <c r="AA78" s="51"/>
      <c r="AB78" s="51"/>
      <c r="AC78" s="51"/>
      <c r="AD78" s="51"/>
      <c r="AF78" s="51"/>
      <c r="AI78" s="51"/>
      <c r="AT78" s="51"/>
      <c r="AW78" s="54"/>
      <c r="AX78" s="51"/>
      <c r="BS78" s="54"/>
      <c r="BU78" s="54"/>
      <c r="CA78" s="54"/>
    </row>
    <row r="79" spans="19:79" s="39" customFormat="true" ht="12" customHeight="true">
      <c r="S79" s="51"/>
      <c r="Z79" s="51"/>
      <c r="AA79" s="51"/>
      <c r="AB79" s="51"/>
      <c r="AC79" s="51"/>
      <c r="AD79" s="51"/>
      <c r="AF79" s="51"/>
      <c r="AI79" s="51"/>
      <c r="AT79" s="51"/>
      <c r="AW79" s="54"/>
      <c r="AX79" s="51"/>
      <c r="BS79" s="54"/>
      <c r="BU79" s="54"/>
      <c r="CA79" s="54"/>
    </row>
    <row r="80" spans="2:83" s="39" customFormat="true" ht="12" customHeight="true">
      <c r="B80" s="39" t="s">
        <v>34199</v>
      </c>
      <c r="D80" s="39">
        <f t="shared" ref="D80:BO80" si="10">+D51+D57+D77</f>
        <v>124455.29</v>
      </c>
      <c r="E80" s="39">
        <f t="shared" si="10"/>
        <v>-95767.1</v>
      </c>
      <c r="F80" s="39">
        <f t="shared" si="10"/>
        <v>-273245.42</v>
      </c>
      <c r="G80" s="39">
        <f t="shared" si="10"/>
        <v>57976.69</v>
      </c>
      <c r="H80" s="39">
        <f t="shared" si="10"/>
        <v>-67256.6</v>
      </c>
      <c r="I80" s="39">
        <f t="shared" si="10"/>
        <v>0</v>
      </c>
      <c r="J80" s="39">
        <f t="shared" si="10"/>
        <v>1100282.08</v>
      </c>
      <c r="K80" s="39">
        <f t="shared" si="10"/>
        <v>2338905.52</v>
      </c>
      <c r="L80" s="39">
        <f t="shared" si="10"/>
        <v>44540.64</v>
      </c>
      <c r="M80" s="39">
        <f t="shared" si="10"/>
        <v>46708.34</v>
      </c>
      <c r="N80" s="39">
        <f t="shared" si="10"/>
        <v>-134059.3</v>
      </c>
      <c r="O80" s="39">
        <f t="shared" si="10"/>
        <v>-105105.48</v>
      </c>
      <c r="P80" s="39">
        <f t="shared" si="10"/>
        <v>11030.22</v>
      </c>
      <c r="Q80" s="39">
        <f t="shared" si="10"/>
        <v>-1171.94</v>
      </c>
      <c r="R80" s="39">
        <f t="shared" si="10"/>
        <v>12778.48</v>
      </c>
      <c r="S80" s="51">
        <f t="shared" si="10"/>
        <v>0</v>
      </c>
      <c r="T80" s="39">
        <f t="shared" si="10"/>
        <v>119526.93</v>
      </c>
      <c r="U80" s="39">
        <f t="shared" si="10"/>
        <v>54803.19</v>
      </c>
      <c r="V80" s="39">
        <f t="shared" si="10"/>
        <v>-86524.08</v>
      </c>
      <c r="W80" s="39">
        <f t="shared" si="10"/>
        <v>48442.79</v>
      </c>
      <c r="X80" s="39">
        <f t="shared" si="10"/>
        <v>11438.18</v>
      </c>
      <c r="Y80" s="39">
        <f t="shared" si="10"/>
        <v>0</v>
      </c>
      <c r="Z80" s="51">
        <f t="shared" si="10"/>
        <v>0</v>
      </c>
      <c r="AA80" s="51">
        <f t="shared" si="10"/>
        <v>0</v>
      </c>
      <c r="AB80" s="51">
        <f t="shared" si="10"/>
        <v>0</v>
      </c>
      <c r="AC80" s="51">
        <f t="shared" si="10"/>
        <v>0</v>
      </c>
      <c r="AD80" s="51">
        <f t="shared" si="10"/>
        <v>0</v>
      </c>
      <c r="AE80" s="39">
        <f t="shared" si="10"/>
        <v>25489.62</v>
      </c>
      <c r="AF80" s="51">
        <f t="shared" si="10"/>
        <v>0</v>
      </c>
      <c r="AG80" s="39">
        <f t="shared" si="10"/>
        <v>-217326.54</v>
      </c>
      <c r="AH80" s="39">
        <f t="shared" si="10"/>
        <v>28257.87</v>
      </c>
      <c r="AI80" s="51">
        <f t="shared" si="10"/>
        <v>0</v>
      </c>
      <c r="AJ80" s="39">
        <f t="shared" si="10"/>
        <v>-155160.58</v>
      </c>
      <c r="AK80" s="39">
        <f t="shared" si="10"/>
        <v>114429.27</v>
      </c>
      <c r="AL80" s="39">
        <f t="shared" si="10"/>
        <v>35595.35</v>
      </c>
      <c r="AM80" s="39">
        <f t="shared" si="10"/>
        <v>0</v>
      </c>
      <c r="AN80" s="39">
        <f t="shared" si="10"/>
        <v>0</v>
      </c>
      <c r="AO80" s="39">
        <f t="shared" si="10"/>
        <v>13920.76</v>
      </c>
      <c r="AP80" s="39">
        <f t="shared" si="10"/>
        <v>8335.39</v>
      </c>
      <c r="AQ80" s="39">
        <f t="shared" si="10"/>
        <v>-36856.07</v>
      </c>
      <c r="AR80" s="39">
        <f t="shared" si="10"/>
        <v>12622.99</v>
      </c>
      <c r="AS80" s="39">
        <f t="shared" si="10"/>
        <v>14529.85</v>
      </c>
      <c r="AT80" s="51">
        <f t="shared" si="10"/>
        <v>0</v>
      </c>
      <c r="AU80" s="39">
        <f t="shared" si="10"/>
        <v>15571.71</v>
      </c>
      <c r="AV80" s="39">
        <f t="shared" si="10"/>
        <v>297669.1</v>
      </c>
      <c r="AW80" s="54">
        <f t="shared" si="10"/>
        <v>0</v>
      </c>
      <c r="AX80" s="51">
        <f t="shared" si="10"/>
        <v>0</v>
      </c>
      <c r="AY80" s="39">
        <f t="shared" si="10"/>
        <v>27637.13</v>
      </c>
      <c r="AZ80" s="39">
        <f t="shared" si="10"/>
        <v>53593.76</v>
      </c>
      <c r="BA80" s="39">
        <f t="shared" si="10"/>
        <v>1919.29</v>
      </c>
      <c r="BB80" s="39">
        <f t="shared" si="10"/>
        <v>3813.06</v>
      </c>
      <c r="BC80" s="39">
        <f t="shared" si="10"/>
        <v>30392.79</v>
      </c>
      <c r="BD80" s="39">
        <f t="shared" si="10"/>
        <v>3110.93</v>
      </c>
      <c r="BE80" s="39">
        <f t="shared" si="10"/>
        <v>29804.52</v>
      </c>
      <c r="BF80" s="39">
        <f t="shared" si="10"/>
        <v>13061.35</v>
      </c>
      <c r="BG80" s="39">
        <f t="shared" si="10"/>
        <v>0</v>
      </c>
      <c r="BH80" s="39">
        <f t="shared" si="10"/>
        <v>93876.27</v>
      </c>
      <c r="BI80" s="39">
        <f t="shared" si="10"/>
        <v>26949.21</v>
      </c>
      <c r="BJ80" s="39">
        <f t="shared" si="10"/>
        <v>20617.76</v>
      </c>
      <c r="BK80" s="39">
        <f t="shared" si="10"/>
        <v>16293.45</v>
      </c>
      <c r="BL80" s="39">
        <f t="shared" si="10"/>
        <v>23435.8</v>
      </c>
      <c r="BM80" s="39">
        <f t="shared" si="10"/>
        <v>21818.56</v>
      </c>
      <c r="BN80" s="39">
        <f t="shared" si="10"/>
        <v>26146.12</v>
      </c>
      <c r="BO80" s="39">
        <f t="shared" si="10"/>
        <v>20371.32</v>
      </c>
      <c r="BP80" s="39">
        <f t="shared" ref="BP80:CD80" si="11">+BP51+BP57+BP77</f>
        <v>84028.56</v>
      </c>
      <c r="BQ80" s="39">
        <f t="shared" si="11"/>
        <v>12339.47</v>
      </c>
      <c r="BR80" s="39">
        <f t="shared" si="11"/>
        <v>40916.89</v>
      </c>
      <c r="BS80" s="54">
        <f t="shared" si="11"/>
        <v>0</v>
      </c>
      <c r="BT80" s="39">
        <f t="shared" si="11"/>
        <v>18847.27</v>
      </c>
      <c r="BU80" s="54">
        <f t="shared" si="11"/>
        <v>0</v>
      </c>
      <c r="BV80" s="39">
        <f t="shared" si="11"/>
        <v>-26565.8</v>
      </c>
      <c r="BW80" s="39">
        <f t="shared" si="11"/>
        <v>31047.47</v>
      </c>
      <c r="BX80" s="39">
        <f t="shared" si="11"/>
        <v>-111332.64</v>
      </c>
      <c r="BY80" s="39">
        <f t="shared" si="11"/>
        <v>43712.38</v>
      </c>
      <c r="BZ80" s="39">
        <f t="shared" si="11"/>
        <v>20641.99</v>
      </c>
      <c r="CA80" s="54">
        <f t="shared" si="11"/>
        <v>0</v>
      </c>
      <c r="CB80" s="39">
        <f t="shared" si="11"/>
        <v>445859.17</v>
      </c>
      <c r="CC80" s="39">
        <f t="shared" si="11"/>
        <v>584918.08</v>
      </c>
      <c r="CD80" s="39">
        <f t="shared" si="11"/>
        <v>-9783.51</v>
      </c>
      <c r="CE80" s="39">
        <f>SUM(D80:CD80)</f>
        <v>4912307.8</v>
      </c>
    </row>
    <row r="81" spans="19:79" s="39" customFormat="true" ht="12" customHeight="true">
      <c r="S81" s="51"/>
      <c r="Z81" s="51"/>
      <c r="AA81" s="51"/>
      <c r="AB81" s="51"/>
      <c r="AC81" s="51"/>
      <c r="AD81" s="51"/>
      <c r="AF81" s="51"/>
      <c r="AI81" s="51"/>
      <c r="AT81" s="51"/>
      <c r="AW81" s="54"/>
      <c r="AX81" s="51"/>
      <c r="BS81" s="54"/>
      <c r="BU81" s="54"/>
      <c r="CA81" s="54"/>
    </row>
    <row r="82" spans="2:83" s="39" customFormat="true" ht="12" customHeight="true">
      <c r="B82" s="39" t="s">
        <v>13909</v>
      </c>
      <c r="D82" s="47">
        <f t="shared" ref="D82:BO82" si="12">+D49-D80</f>
        <v>0</v>
      </c>
      <c r="E82" s="47">
        <f t="shared" si="12"/>
        <v>0</v>
      </c>
      <c r="F82" s="47">
        <f t="shared" si="12"/>
        <v>0</v>
      </c>
      <c r="G82" s="47">
        <f t="shared" si="12"/>
        <v>0</v>
      </c>
      <c r="H82" s="47">
        <f t="shared" si="12"/>
        <v>0</v>
      </c>
      <c r="I82" s="47">
        <f t="shared" si="12"/>
        <v>0</v>
      </c>
      <c r="J82" s="47">
        <f t="shared" si="12"/>
        <v>0</v>
      </c>
      <c r="K82" s="47">
        <f t="shared" si="12"/>
        <v>0</v>
      </c>
      <c r="L82" s="47">
        <f t="shared" si="12"/>
        <v>0</v>
      </c>
      <c r="M82" s="47">
        <f t="shared" si="12"/>
        <v>0</v>
      </c>
      <c r="N82" s="47">
        <f t="shared" si="12"/>
        <v>0</v>
      </c>
      <c r="O82" s="47">
        <f t="shared" si="12"/>
        <v>0</v>
      </c>
      <c r="P82" s="47">
        <f t="shared" si="12"/>
        <v>0</v>
      </c>
      <c r="Q82" s="47">
        <f t="shared" si="12"/>
        <v>0</v>
      </c>
      <c r="R82" s="47">
        <f t="shared" si="12"/>
        <v>0</v>
      </c>
      <c r="S82" s="47">
        <f t="shared" si="12"/>
        <v>0</v>
      </c>
      <c r="T82" s="47">
        <f t="shared" si="12"/>
        <v>0</v>
      </c>
      <c r="U82" s="47">
        <f t="shared" si="12"/>
        <v>0</v>
      </c>
      <c r="V82" s="47">
        <f t="shared" si="12"/>
        <v>0</v>
      </c>
      <c r="W82" s="47">
        <f t="shared" si="12"/>
        <v>0</v>
      </c>
      <c r="X82" s="47">
        <f t="shared" si="12"/>
        <v>0</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17550</v>
      </c>
      <c r="AL82" s="47">
        <f t="shared" si="12"/>
        <v>8100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57">
        <f t="shared" si="12"/>
        <v>0</v>
      </c>
      <c r="AX82" s="47">
        <f t="shared" si="12"/>
        <v>0</v>
      </c>
      <c r="AY82" s="47">
        <f t="shared" si="12"/>
        <v>0</v>
      </c>
      <c r="AZ82" s="47">
        <f t="shared" si="12"/>
        <v>0</v>
      </c>
      <c r="BA82" s="47">
        <f t="shared" si="12"/>
        <v>-6.3664629124105e-12</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D82" si="13">+BP49-BP80</f>
        <v>0</v>
      </c>
      <c r="BQ82" s="47">
        <f t="shared" si="13"/>
        <v>0</v>
      </c>
      <c r="BR82" s="47">
        <f t="shared" si="13"/>
        <v>0</v>
      </c>
      <c r="BS82" s="57">
        <f t="shared" si="13"/>
        <v>0</v>
      </c>
      <c r="BT82" s="47">
        <f t="shared" si="13"/>
        <v>0</v>
      </c>
      <c r="BU82" s="57">
        <f t="shared" si="13"/>
        <v>0</v>
      </c>
      <c r="BV82" s="47">
        <f t="shared" si="13"/>
        <v>0</v>
      </c>
      <c r="BW82" s="47">
        <f t="shared" si="13"/>
        <v>0</v>
      </c>
      <c r="BX82" s="47">
        <f t="shared" si="13"/>
        <v>0</v>
      </c>
      <c r="BY82" s="47">
        <f t="shared" si="13"/>
        <v>0</v>
      </c>
      <c r="BZ82" s="47">
        <f t="shared" si="13"/>
        <v>0</v>
      </c>
      <c r="CA82" s="57">
        <f t="shared" si="13"/>
        <v>0</v>
      </c>
      <c r="CB82" s="47">
        <f t="shared" si="13"/>
        <v>0</v>
      </c>
      <c r="CC82" s="47">
        <f t="shared" si="13"/>
        <v>0</v>
      </c>
      <c r="CD82" s="47">
        <f t="shared" si="13"/>
        <v>0</v>
      </c>
      <c r="CE82" s="39">
        <f>SUM(D82:CD82)</f>
        <v>25650</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D52">
    <cfRule type="cellIs" dxfId="4" priority="2" operator="notEqual">
      <formula>0</formula>
    </cfRule>
  </conditionalFormatting>
  <conditionalFormatting sqref="D82:CD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19" min="17" style="33" width="14.44"/>
    <col customWidth="true" hidden="true" max="20" min="20" style="43" width="10.3266666666667"/>
    <col customWidth="true" max="21" min="21" style="33" width="14.8933333333333"/>
    <col customWidth="true" max="22" min="22" style="33" width="14.44"/>
    <col customWidth="true" max="23" min="23" style="33" width="14.8933333333333"/>
    <col customWidth="true" max="24" min="24" style="33" width="14.44"/>
    <col customWidth="true" max="25" min="25" style="33" width="17.8866666666667"/>
    <col customWidth="true" hidden="true" max="29" min="26" style="43" width="11"/>
    <col customWidth="true" max="30" min="30" style="43" width="10.5533333333333"/>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max="50" min="50" style="33" width="14.8933333333333"/>
    <col customWidth="true" max="51" min="51" style="33" width="14.44"/>
    <col customWidth="true" max="52" min="52" style="33" width="16.3266666666667"/>
    <col customWidth="true" max="53" min="53" style="33" width="14.44"/>
    <col customWidth="true" max="54" min="54" style="33" width="16.3266666666667"/>
    <col customWidth="true" max="55" min="55" style="33" width="14.8933333333333"/>
    <col customWidth="true" max="56" min="56" style="33" width="11.66"/>
    <col customWidth="true" hidden="true" max="57" min="57" style="33" width="14.5533333333333"/>
    <col customWidth="true" max="58" min="58" style="33" width="14"/>
    <col customWidth="true" max="59" min="59" style="33" width="14.5533333333333"/>
    <col customWidth="true" max="81" min="60" style="33" width="14"/>
    <col customWidth="true" max="82" min="82" style="33" width="14.44"/>
    <col customWidth="true" max="83" min="83" style="33" width="14"/>
    <col customWidth="true" max="84" min="84" style="33" width="11"/>
    <col customWidth="true" max="1024" min="85" style="33" width="9.10666666666667"/>
  </cols>
  <sheetData>
    <row r="1" spans="1:1" ht="12" customHeight="true">
      <c r="A1" s="33">
        <v>-1</v>
      </c>
    </row>
    <row r="2" spans="15:16" ht="12" customHeight="true">
      <c r="O2" s="33">
        <v>-1</v>
      </c>
      <c r="P2" s="33">
        <v>-1</v>
      </c>
    </row>
    <row r="4" spans="2:81"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51" t="s">
        <v>13775</v>
      </c>
      <c r="U4" s="44" t="s">
        <v>13777</v>
      </c>
      <c r="V4" s="44" t="s">
        <v>13777</v>
      </c>
      <c r="W4" s="44" t="s">
        <v>13778</v>
      </c>
      <c r="X4" s="52" t="s">
        <v>13778</v>
      </c>
      <c r="Y4" s="44" t="s">
        <v>13778</v>
      </c>
      <c r="Z4" s="51" t="s">
        <v>31453</v>
      </c>
      <c r="AA4" s="51" t="s">
        <v>31453</v>
      </c>
      <c r="AB4" s="51" t="s">
        <v>31454</v>
      </c>
      <c r="AC4" s="51" t="s">
        <v>31454</v>
      </c>
      <c r="AD4" s="51" t="s">
        <v>13788</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44" t="s">
        <v>13810</v>
      </c>
      <c r="AX4" s="44" t="s">
        <v>13802</v>
      </c>
      <c r="AY4" s="44" t="s">
        <v>13803</v>
      </c>
      <c r="AZ4" s="44" t="s">
        <v>13803</v>
      </c>
      <c r="BA4" s="44" t="s">
        <v>13804</v>
      </c>
      <c r="BB4" s="44" t="s">
        <v>13804</v>
      </c>
      <c r="BC4" s="44" t="s">
        <v>13805</v>
      </c>
      <c r="BD4" s="44" t="s">
        <v>13811</v>
      </c>
      <c r="BE4" s="53" t="s">
        <v>13811</v>
      </c>
      <c r="BF4" s="44" t="s">
        <v>13806</v>
      </c>
      <c r="BG4" s="44" t="s">
        <v>13807</v>
      </c>
      <c r="BH4" s="44" t="s">
        <v>13808</v>
      </c>
      <c r="BI4" s="44" t="s">
        <v>13809</v>
      </c>
      <c r="BJ4" s="44" t="s">
        <v>13796</v>
      </c>
      <c r="BK4" s="44" t="s">
        <v>13797</v>
      </c>
      <c r="BL4" s="44" t="s">
        <v>13798</v>
      </c>
      <c r="BM4" s="44" t="s">
        <v>13799</v>
      </c>
      <c r="BN4" s="44" t="s">
        <v>13800</v>
      </c>
      <c r="BO4" s="44" t="s">
        <v>13812</v>
      </c>
      <c r="BP4" s="44" t="s">
        <v>13814</v>
      </c>
      <c r="BQ4" s="54" t="s">
        <v>13814</v>
      </c>
      <c r="BR4" s="44" t="s">
        <v>13813</v>
      </c>
      <c r="BS4" s="54" t="s">
        <v>13813</v>
      </c>
      <c r="BT4" s="44" t="s">
        <v>13815</v>
      </c>
      <c r="BU4" s="44" t="s">
        <v>13816</v>
      </c>
      <c r="BV4" s="44" t="s">
        <v>13817</v>
      </c>
      <c r="BW4" s="44" t="s">
        <v>13818</v>
      </c>
      <c r="BX4" s="44" t="s">
        <v>13819</v>
      </c>
      <c r="BY4" s="54" t="s">
        <v>13864</v>
      </c>
      <c r="BZ4" s="44" t="s">
        <v>13864</v>
      </c>
      <c r="CA4" s="44" t="s">
        <v>13859</v>
      </c>
      <c r="CB4" s="44" t="s">
        <v>13860</v>
      </c>
      <c r="CC4" s="44" t="s">
        <v>13820</v>
      </c>
    </row>
    <row r="5" spans="2:81"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34105</v>
      </c>
      <c r="S5" s="45" t="s">
        <v>34103</v>
      </c>
      <c r="T5" s="43" t="s">
        <v>34107</v>
      </c>
      <c r="U5" s="48" t="s">
        <v>34104</v>
      </c>
      <c r="V5" s="45" t="s">
        <v>34103</v>
      </c>
      <c r="W5" s="48" t="s">
        <v>34104</v>
      </c>
      <c r="X5" s="45" t="s">
        <v>34103</v>
      </c>
      <c r="Y5" s="48" t="s">
        <v>34108</v>
      </c>
      <c r="Z5" s="43" t="s">
        <v>34104</v>
      </c>
      <c r="AA5" s="43" t="s">
        <v>34105</v>
      </c>
      <c r="AB5" s="43" t="s">
        <v>34104</v>
      </c>
      <c r="AC5" s="43" t="s">
        <v>34105</v>
      </c>
      <c r="AD5" s="43" t="s">
        <v>34103</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48" t="s">
        <v>34111</v>
      </c>
      <c r="AX5" s="48" t="s">
        <v>34112</v>
      </c>
      <c r="AY5" s="48" t="s">
        <v>34113</v>
      </c>
      <c r="AZ5" s="48" t="s">
        <v>34114</v>
      </c>
      <c r="BA5" s="48" t="s">
        <v>34115</v>
      </c>
      <c r="BB5" s="48" t="s">
        <v>34116</v>
      </c>
      <c r="BC5" s="48" t="s">
        <v>34117</v>
      </c>
      <c r="BD5" s="48" t="s">
        <v>34118</v>
      </c>
      <c r="BE5" s="48" t="s">
        <v>34119</v>
      </c>
      <c r="BF5" s="48" t="s">
        <v>34120</v>
      </c>
      <c r="BG5" s="48" t="s">
        <v>34121</v>
      </c>
      <c r="BH5" s="48" t="s">
        <v>34122</v>
      </c>
      <c r="BI5" s="48" t="s">
        <v>34123</v>
      </c>
      <c r="BJ5" s="48" t="s">
        <v>34124</v>
      </c>
      <c r="BK5" s="48" t="s">
        <v>34125</v>
      </c>
      <c r="BL5" s="48" t="s">
        <v>34126</v>
      </c>
      <c r="BM5" s="48" t="s">
        <v>34127</v>
      </c>
      <c r="BN5" s="48" t="s">
        <v>34128</v>
      </c>
      <c r="BO5" s="48" t="s">
        <v>34129</v>
      </c>
      <c r="BP5" s="48" t="s">
        <v>34130</v>
      </c>
      <c r="BQ5" s="55" t="s">
        <v>34131</v>
      </c>
      <c r="BR5" s="48" t="s">
        <v>34132</v>
      </c>
      <c r="BS5" s="55" t="s">
        <v>34133</v>
      </c>
      <c r="BT5" s="48" t="s">
        <v>34134</v>
      </c>
      <c r="BU5" s="48" t="s">
        <v>34135</v>
      </c>
      <c r="BV5" s="48" t="s">
        <v>34136</v>
      </c>
      <c r="BW5" s="48" t="s">
        <v>34137</v>
      </c>
      <c r="BX5" s="48" t="s">
        <v>34138</v>
      </c>
      <c r="BY5" s="55" t="s">
        <v>34139</v>
      </c>
      <c r="BZ5" s="48" t="s">
        <v>34140</v>
      </c>
      <c r="CA5" s="48" t="s">
        <v>34141</v>
      </c>
      <c r="CB5" s="48" t="s">
        <v>34142</v>
      </c>
      <c r="CC5" s="48" t="s">
        <v>34200</v>
      </c>
    </row>
    <row r="6" spans="2:81"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26843912</v>
      </c>
      <c r="S6" s="45">
        <v>33540278</v>
      </c>
      <c r="U6" s="48">
        <v>30249789</v>
      </c>
      <c r="V6" s="45">
        <v>30282681</v>
      </c>
      <c r="W6" s="48">
        <v>748032703</v>
      </c>
      <c r="X6" s="45">
        <v>30311274</v>
      </c>
      <c r="Y6" s="48">
        <v>203081093</v>
      </c>
      <c r="Z6" s="43" t="s">
        <v>34155</v>
      </c>
      <c r="AA6" s="43" t="s">
        <v>34156</v>
      </c>
      <c r="AB6" s="43" t="s">
        <v>34157</v>
      </c>
      <c r="AC6" s="43" t="s">
        <v>34158</v>
      </c>
      <c r="AD6" s="43" t="s">
        <v>34159</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48">
        <v>13585976</v>
      </c>
      <c r="AX6" s="48">
        <v>748033552</v>
      </c>
      <c r="AY6" s="48">
        <v>31874966</v>
      </c>
      <c r="AZ6" s="48">
        <v>454979502</v>
      </c>
      <c r="BA6" s="48">
        <v>31860536</v>
      </c>
      <c r="BB6" s="48">
        <v>693305826</v>
      </c>
      <c r="BC6" s="48">
        <v>32205856</v>
      </c>
      <c r="BD6" s="48">
        <v>32121632</v>
      </c>
      <c r="BE6" s="48" t="s">
        <v>34167</v>
      </c>
      <c r="BF6" s="48">
        <v>35356295</v>
      </c>
      <c r="BG6" s="48" t="s">
        <v>34168</v>
      </c>
      <c r="BH6" s="48" t="s">
        <v>34169</v>
      </c>
      <c r="BI6" s="48" t="s">
        <v>34170</v>
      </c>
      <c r="BJ6" s="48">
        <v>748030061</v>
      </c>
      <c r="BK6" s="48">
        <v>748032711</v>
      </c>
      <c r="BL6" s="48">
        <v>37307538</v>
      </c>
      <c r="BM6" s="48">
        <v>37346924</v>
      </c>
      <c r="BN6" s="48">
        <v>748035300</v>
      </c>
      <c r="BO6" s="48" t="s">
        <v>34171</v>
      </c>
      <c r="BP6" s="48">
        <v>46129441</v>
      </c>
      <c r="BQ6" s="55">
        <v>345508773</v>
      </c>
      <c r="BR6" s="48" t="s">
        <v>34172</v>
      </c>
      <c r="BS6" s="55">
        <v>369921303</v>
      </c>
      <c r="BT6" s="48" t="s">
        <v>34173</v>
      </c>
      <c r="BU6" s="48" t="s">
        <v>34174</v>
      </c>
      <c r="BV6" s="48"/>
      <c r="BW6" s="48">
        <v>50376193</v>
      </c>
      <c r="BX6" s="48"/>
      <c r="BY6" s="55" t="s">
        <v>34175</v>
      </c>
      <c r="BZ6" s="48"/>
      <c r="CA6" s="48">
        <v>4402766</v>
      </c>
      <c r="CB6" s="48" t="s">
        <v>34176</v>
      </c>
      <c r="CC6" s="48"/>
    </row>
    <row r="7" spans="2:81"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34179</v>
      </c>
      <c r="S7" s="45" t="s">
        <v>14059</v>
      </c>
      <c r="U7" s="48" t="s">
        <v>34178</v>
      </c>
      <c r="V7" s="45" t="s">
        <v>14059</v>
      </c>
      <c r="W7" s="48" t="s">
        <v>34178</v>
      </c>
      <c r="X7" s="45" t="s">
        <v>14059</v>
      </c>
      <c r="Y7" s="48" t="s">
        <v>34181</v>
      </c>
      <c r="Z7" s="43" t="s">
        <v>14047</v>
      </c>
      <c r="AA7" s="43" t="s">
        <v>14049</v>
      </c>
      <c r="AB7" s="43" t="s">
        <v>14047</v>
      </c>
      <c r="AC7" s="43" t="s">
        <v>14049</v>
      </c>
      <c r="AD7" s="43" t="s">
        <v>14059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48" t="s">
        <v>14045</v>
      </c>
      <c r="AX7" s="48" t="s">
        <v>14045</v>
      </c>
      <c r="AY7" s="48" t="s">
        <v>14045</v>
      </c>
      <c r="AZ7" s="48" t="s">
        <v>14061</v>
      </c>
      <c r="BA7" s="48" t="s">
        <v>14045</v>
      </c>
      <c r="BB7" s="48" t="s">
        <v>14061</v>
      </c>
      <c r="BC7" s="48" t="s">
        <v>14045</v>
      </c>
      <c r="BD7" s="48" t="s">
        <v>14045</v>
      </c>
      <c r="BE7" s="48" t="s">
        <v>14053</v>
      </c>
      <c r="BF7" s="48" t="s">
        <v>14045</v>
      </c>
      <c r="BG7" s="48" t="s">
        <v>14045</v>
      </c>
      <c r="BH7" s="48" t="s">
        <v>14045</v>
      </c>
      <c r="BI7" s="48" t="s">
        <v>14045</v>
      </c>
      <c r="BJ7" s="48" t="s">
        <v>14045</v>
      </c>
      <c r="BK7" s="48" t="s">
        <v>14045</v>
      </c>
      <c r="BL7" s="48" t="s">
        <v>14045</v>
      </c>
      <c r="BM7" s="48" t="s">
        <v>14045</v>
      </c>
      <c r="BN7" s="48" t="s">
        <v>14045</v>
      </c>
      <c r="BO7" s="48" t="s">
        <v>14045</v>
      </c>
      <c r="BP7" s="48" t="s">
        <v>14045</v>
      </c>
      <c r="BQ7" s="55" t="s">
        <v>14061</v>
      </c>
      <c r="BR7" s="48" t="s">
        <v>14045</v>
      </c>
      <c r="BS7" s="55" t="s">
        <v>14061</v>
      </c>
      <c r="BT7" s="48" t="s">
        <v>14045</v>
      </c>
      <c r="BU7" s="48" t="s">
        <v>14045</v>
      </c>
      <c r="BV7" s="48" t="s">
        <v>14045</v>
      </c>
      <c r="BW7" s="48" t="s">
        <v>14045</v>
      </c>
      <c r="BX7" s="48" t="s">
        <v>14045</v>
      </c>
      <c r="BY7" s="55" t="s">
        <v>14061</v>
      </c>
      <c r="BZ7" s="48" t="s">
        <v>34184</v>
      </c>
      <c r="CA7" s="48" t="s">
        <v>14060</v>
      </c>
      <c r="CB7" s="48" t="s">
        <v>34178</v>
      </c>
      <c r="CC7" s="48" t="s">
        <v>14045</v>
      </c>
    </row>
    <row r="8" spans="25:77" ht="12" customHeight="true">
      <c r="Y8" s="33">
        <v>865</v>
      </c>
      <c r="BE8" s="33" t="s">
        <v>34186</v>
      </c>
      <c r="BQ8" s="56"/>
      <c r="BS8" s="56"/>
      <c r="BY8" s="56"/>
    </row>
    <row r="9" spans="2:82" s="39" customFormat="true" ht="12" customHeight="true">
      <c r="B9" s="39" t="s">
        <v>34187</v>
      </c>
      <c r="D9" s="46"/>
      <c r="E9" s="46"/>
      <c r="F9" s="46"/>
      <c r="G9" s="46"/>
      <c r="H9" s="46"/>
      <c r="I9" s="46"/>
      <c r="J9" s="46"/>
      <c r="K9" s="50">
        <v>1013042.47</v>
      </c>
      <c r="L9" s="50">
        <v>107319.33</v>
      </c>
      <c r="M9" s="46"/>
      <c r="N9" s="46"/>
      <c r="O9" s="46"/>
      <c r="P9" s="46"/>
      <c r="Q9" s="50">
        <v>8956.47</v>
      </c>
      <c r="R9" s="46"/>
      <c r="S9" s="46"/>
      <c r="T9" s="51"/>
      <c r="U9" s="50">
        <v>229492.71</v>
      </c>
      <c r="V9" s="46"/>
      <c r="W9" s="46"/>
      <c r="X9" s="46"/>
      <c r="Y9" s="50">
        <v>9638.32</v>
      </c>
      <c r="Z9" s="51"/>
      <c r="AA9" s="51"/>
      <c r="AB9" s="51"/>
      <c r="AC9" s="51"/>
      <c r="AD9" s="51"/>
      <c r="AE9" s="50">
        <v>55163.06</v>
      </c>
      <c r="AF9" s="51"/>
      <c r="AG9" s="50">
        <v>65101.39</v>
      </c>
      <c r="AH9" s="50">
        <v>23536.1</v>
      </c>
      <c r="AI9" s="51"/>
      <c r="AJ9" s="50">
        <v>11792.52</v>
      </c>
      <c r="AK9" s="50">
        <v>34886.18</v>
      </c>
      <c r="AL9" s="50">
        <v>19738.15</v>
      </c>
      <c r="AM9" s="46"/>
      <c r="AN9" s="46"/>
      <c r="AO9" s="50">
        <v>14146.56</v>
      </c>
      <c r="AP9" s="50">
        <v>8390.12</v>
      </c>
      <c r="AQ9" s="50">
        <v>7563.37</v>
      </c>
      <c r="AR9" s="50">
        <v>3022.35</v>
      </c>
      <c r="AS9" s="50">
        <v>6274.12</v>
      </c>
      <c r="AT9" s="51"/>
      <c r="AU9" s="50">
        <v>35771.93</v>
      </c>
      <c r="AV9" s="50">
        <v>33171.79</v>
      </c>
      <c r="AW9" s="50">
        <v>33127.18</v>
      </c>
      <c r="AX9" s="50">
        <v>15907.57</v>
      </c>
      <c r="AY9" s="50">
        <v>67628.02</v>
      </c>
      <c r="AZ9" s="50">
        <v>3915.09</v>
      </c>
      <c r="BA9" s="50">
        <v>29370.51</v>
      </c>
      <c r="BB9" s="50">
        <v>3219.22</v>
      </c>
      <c r="BC9" s="50">
        <v>19051.69</v>
      </c>
      <c r="BD9" s="50">
        <v>39429.89</v>
      </c>
      <c r="BE9" s="50"/>
      <c r="BF9" s="50">
        <v>105910.05</v>
      </c>
      <c r="BG9" s="50">
        <v>94874.22</v>
      </c>
      <c r="BH9" s="50">
        <v>33159.15</v>
      </c>
      <c r="BI9" s="50">
        <v>25119.04</v>
      </c>
      <c r="BJ9" s="50">
        <v>37105.35</v>
      </c>
      <c r="BK9" s="50">
        <v>64512.44</v>
      </c>
      <c r="BL9" s="50">
        <v>45838.92</v>
      </c>
      <c r="BM9" s="50">
        <v>49714.4</v>
      </c>
      <c r="BN9" s="50">
        <v>44382.96</v>
      </c>
      <c r="BO9" s="50">
        <v>31474.57</v>
      </c>
      <c r="BP9" s="50">
        <v>57804.97</v>
      </c>
      <c r="BQ9" s="54"/>
      <c r="BR9" s="50">
        <v>16832.87</v>
      </c>
      <c r="BS9" s="54"/>
      <c r="BT9" s="50">
        <v>86847.03</v>
      </c>
      <c r="BU9" s="50">
        <v>39701.13</v>
      </c>
      <c r="BV9" s="50">
        <v>27613.67</v>
      </c>
      <c r="BW9" s="50">
        <v>74345.51</v>
      </c>
      <c r="BX9" s="50">
        <v>30593.8</v>
      </c>
      <c r="BY9" s="54"/>
      <c r="BZ9" s="50">
        <v>222006.48</v>
      </c>
      <c r="CA9" s="50">
        <v>584918.08</v>
      </c>
      <c r="CB9" s="50">
        <v>6069.91</v>
      </c>
      <c r="CC9" s="50">
        <v>3853.22</v>
      </c>
      <c r="CD9" s="39">
        <f>SUM(D9:CC9)</f>
        <v>3581333.88</v>
      </c>
    </row>
    <row r="10" spans="20:77" s="39" customFormat="true" ht="12" customHeight="true">
      <c r="T10" s="51"/>
      <c r="Z10" s="51"/>
      <c r="AA10" s="51"/>
      <c r="AB10" s="51"/>
      <c r="AC10" s="51"/>
      <c r="AD10" s="51"/>
      <c r="AF10" s="51"/>
      <c r="AI10" s="51"/>
      <c r="AT10" s="51"/>
      <c r="BQ10" s="54"/>
      <c r="BS10" s="54"/>
      <c r="BY10" s="54"/>
    </row>
    <row r="11" spans="2:77" s="39" customFormat="true" ht="12" customHeight="true">
      <c r="B11" s="39" t="s">
        <v>34188</v>
      </c>
      <c r="T11" s="51"/>
      <c r="Z11" s="51"/>
      <c r="AA11" s="51"/>
      <c r="AB11" s="51"/>
      <c r="AC11" s="51"/>
      <c r="AD11" s="51"/>
      <c r="AF11" s="51"/>
      <c r="AI11" s="51"/>
      <c r="AT11" s="51"/>
      <c r="BQ11" s="54"/>
      <c r="BS11" s="54"/>
      <c r="BY11" s="54"/>
    </row>
    <row r="12" spans="4:81" s="39" customFormat="true" ht="12" customHeight="true">
      <c r="D12" s="46">
        <v>88955.98</v>
      </c>
      <c r="E12" s="46">
        <v>562.83</v>
      </c>
      <c r="F12" s="46">
        <v>2223.13</v>
      </c>
      <c r="G12" s="46">
        <v>39879.53</v>
      </c>
      <c r="H12" s="46"/>
      <c r="I12" s="46"/>
      <c r="J12" s="46">
        <v>836428.13</v>
      </c>
      <c r="K12" s="46">
        <v>28557.42</v>
      </c>
      <c r="L12" s="46"/>
      <c r="M12" s="46">
        <v>37312.32</v>
      </c>
      <c r="N12" s="46">
        <v>14276.14</v>
      </c>
      <c r="O12" s="46"/>
      <c r="P12" s="46">
        <v>1314.86</v>
      </c>
      <c r="Q12" s="46">
        <v>499.43</v>
      </c>
      <c r="R12" s="46"/>
      <c r="S12" s="46">
        <v>14101.3</v>
      </c>
      <c r="T12" s="51"/>
      <c r="U12" s="46">
        <v>10517.95</v>
      </c>
      <c r="V12" s="46">
        <v>13294.89</v>
      </c>
      <c r="W12" s="46"/>
      <c r="X12" s="46">
        <v>7184.89</v>
      </c>
      <c r="Y12" s="46">
        <v>8835.96</v>
      </c>
      <c r="Z12" s="51"/>
      <c r="AA12" s="51"/>
      <c r="AB12" s="51"/>
      <c r="AC12" s="51"/>
      <c r="AD12" s="51"/>
      <c r="AE12" s="46"/>
      <c r="AF12" s="51"/>
      <c r="AG12" s="46">
        <v>7347.95</v>
      </c>
      <c r="AH12" s="46">
        <v>18086.73</v>
      </c>
      <c r="AI12" s="51"/>
      <c r="AJ12" s="46"/>
      <c r="AK12" s="46">
        <v>5850</v>
      </c>
      <c r="AL12" s="46">
        <v>5002.4</v>
      </c>
      <c r="AM12" s="46"/>
      <c r="AN12" s="46"/>
      <c r="AO12" s="46"/>
      <c r="AP12" s="46"/>
      <c r="AQ12" s="46"/>
      <c r="AR12" s="46"/>
      <c r="AS12" s="46"/>
      <c r="AT12" s="51"/>
      <c r="AU12" s="46"/>
      <c r="AV12" s="46">
        <v>111236.08</v>
      </c>
      <c r="AW12" s="46"/>
      <c r="AX12" s="46"/>
      <c r="AY12" s="46"/>
      <c r="AZ12" s="46"/>
      <c r="BA12" s="46"/>
      <c r="BB12" s="46"/>
      <c r="BC12" s="46"/>
      <c r="BD12" s="46"/>
      <c r="BE12" s="46"/>
      <c r="BF12" s="46"/>
      <c r="BG12" s="46">
        <v>40.65</v>
      </c>
      <c r="BH12" s="46"/>
      <c r="BI12" s="46"/>
      <c r="BJ12" s="46"/>
      <c r="BK12" s="46"/>
      <c r="BL12" s="46"/>
      <c r="BM12" s="46"/>
      <c r="BN12" s="46"/>
      <c r="BO12" s="46"/>
      <c r="BP12" s="46"/>
      <c r="BQ12" s="54"/>
      <c r="BR12" s="46"/>
      <c r="BS12" s="54"/>
      <c r="BT12" s="46"/>
      <c r="BU12" s="46"/>
      <c r="BV12" s="46"/>
      <c r="BW12" s="46"/>
      <c r="BX12" s="46"/>
      <c r="BY12" s="54"/>
      <c r="BZ12" s="46">
        <v>109000</v>
      </c>
      <c r="CA12" s="46"/>
      <c r="CB12" s="46"/>
      <c r="CC12" s="46"/>
    </row>
    <row r="13" spans="4:81" s="39" customFormat="true" ht="12" customHeight="true">
      <c r="D13" s="46"/>
      <c r="E13" s="46"/>
      <c r="F13" s="46">
        <v>918.81</v>
      </c>
      <c r="G13" s="46"/>
      <c r="H13" s="46"/>
      <c r="I13" s="46"/>
      <c r="J13" s="46"/>
      <c r="K13" s="46"/>
      <c r="L13" s="46"/>
      <c r="M13" s="46"/>
      <c r="N13" s="46"/>
      <c r="O13" s="46"/>
      <c r="P13" s="46"/>
      <c r="Q13" s="46">
        <v>-1.28</v>
      </c>
      <c r="R13" s="46"/>
      <c r="S13" s="46"/>
      <c r="T13" s="51"/>
      <c r="U13" s="46"/>
      <c r="V13" s="46">
        <v>15034.56</v>
      </c>
      <c r="W13" s="46"/>
      <c r="X13" s="46">
        <v>12579.31</v>
      </c>
      <c r="Y13" s="46"/>
      <c r="Z13" s="51"/>
      <c r="AA13" s="51"/>
      <c r="AB13" s="51"/>
      <c r="AC13" s="51"/>
      <c r="AD13" s="51"/>
      <c r="AE13" s="46"/>
      <c r="AF13" s="51"/>
      <c r="AG13" s="46"/>
      <c r="AH13" s="46"/>
      <c r="AI13" s="51"/>
      <c r="AJ13" s="46"/>
      <c r="AK13" s="46">
        <v>7800</v>
      </c>
      <c r="AL13" s="46"/>
      <c r="AM13" s="46"/>
      <c r="AN13" s="46"/>
      <c r="AO13" s="46"/>
      <c r="AP13" s="46"/>
      <c r="AQ13" s="46"/>
      <c r="AR13" s="46"/>
      <c r="AS13" s="46"/>
      <c r="AT13" s="51"/>
      <c r="AU13" s="46"/>
      <c r="AV13" s="46"/>
      <c r="AW13" s="46"/>
      <c r="AX13" s="46"/>
      <c r="AY13" s="46"/>
      <c r="AZ13" s="46"/>
      <c r="BA13" s="46"/>
      <c r="BB13" s="46"/>
      <c r="BC13" s="46"/>
      <c r="BD13" s="46"/>
      <c r="BE13" s="46"/>
      <c r="BF13" s="46"/>
      <c r="BG13" s="46">
        <v>127.17</v>
      </c>
      <c r="BH13" s="46"/>
      <c r="BI13" s="46"/>
      <c r="BJ13" s="46"/>
      <c r="BK13" s="46"/>
      <c r="BL13" s="46"/>
      <c r="BM13" s="46"/>
      <c r="BN13" s="46"/>
      <c r="BO13" s="46"/>
      <c r="BP13" s="46"/>
      <c r="BQ13" s="54"/>
      <c r="BR13" s="46"/>
      <c r="BS13" s="54"/>
      <c r="BT13" s="46"/>
      <c r="BU13" s="46"/>
      <c r="BV13" s="46"/>
      <c r="BW13" s="46"/>
      <c r="BX13" s="46"/>
      <c r="BY13" s="54"/>
      <c r="BZ13" s="46"/>
      <c r="CA13" s="46"/>
      <c r="CB13" s="46"/>
      <c r="CC13" s="46"/>
    </row>
    <row r="14" spans="4:81" s="39" customFormat="true" ht="12" customHeight="true">
      <c r="D14" s="46"/>
      <c r="E14" s="46"/>
      <c r="F14" s="46"/>
      <c r="G14" s="46"/>
      <c r="H14" s="46"/>
      <c r="I14" s="46"/>
      <c r="J14" s="46"/>
      <c r="K14" s="46">
        <v>55000</v>
      </c>
      <c r="L14" s="46"/>
      <c r="M14" s="46"/>
      <c r="N14" s="46"/>
      <c r="O14" s="46"/>
      <c r="P14" s="46">
        <v>1657.71</v>
      </c>
      <c r="Q14" s="46"/>
      <c r="R14" s="46"/>
      <c r="S14" s="46"/>
      <c r="T14" s="51"/>
      <c r="U14" s="46"/>
      <c r="V14" s="46"/>
      <c r="W14" s="46"/>
      <c r="X14" s="46"/>
      <c r="Y14" s="46"/>
      <c r="Z14" s="51"/>
      <c r="AA14" s="51"/>
      <c r="AB14" s="51"/>
      <c r="AC14" s="51"/>
      <c r="AD14" s="51"/>
      <c r="AE14" s="46"/>
      <c r="AF14" s="51"/>
      <c r="AG14" s="46">
        <v>-55000</v>
      </c>
      <c r="AH14" s="46"/>
      <c r="AI14" s="51"/>
      <c r="AJ14" s="46"/>
      <c r="AK14" s="46">
        <v>9750</v>
      </c>
      <c r="AL14" s="46"/>
      <c r="AM14" s="46"/>
      <c r="AN14" s="46"/>
      <c r="AO14" s="46"/>
      <c r="AP14" s="46"/>
      <c r="AQ14" s="46"/>
      <c r="AR14" s="46"/>
      <c r="AS14" s="46"/>
      <c r="AT14" s="51"/>
      <c r="AU14" s="46"/>
      <c r="AV14" s="46"/>
      <c r="AW14" s="46"/>
      <c r="AX14" s="46"/>
      <c r="AY14" s="46"/>
      <c r="AZ14" s="46"/>
      <c r="BA14" s="46"/>
      <c r="BB14" s="46"/>
      <c r="BC14" s="46"/>
      <c r="BD14" s="46"/>
      <c r="BE14" s="46"/>
      <c r="BF14" s="46"/>
      <c r="BG14" s="46"/>
      <c r="BH14" s="46"/>
      <c r="BI14" s="46"/>
      <c r="BJ14" s="46"/>
      <c r="BK14" s="46"/>
      <c r="BL14" s="46"/>
      <c r="BM14" s="46"/>
      <c r="BN14" s="46"/>
      <c r="BO14" s="46"/>
      <c r="BP14" s="46"/>
      <c r="BQ14" s="54"/>
      <c r="BR14" s="46"/>
      <c r="BS14" s="54"/>
      <c r="BT14" s="46"/>
      <c r="BU14" s="46"/>
      <c r="BV14" s="46"/>
      <c r="BW14" s="46"/>
      <c r="BX14" s="46"/>
      <c r="BY14" s="54"/>
      <c r="BZ14" s="46"/>
      <c r="CA14" s="46"/>
      <c r="CB14" s="46"/>
      <c r="CC14" s="46"/>
    </row>
    <row r="15" spans="4:81" s="39" customFormat="true" ht="12" customHeight="true">
      <c r="D15" s="46"/>
      <c r="E15" s="46"/>
      <c r="F15" s="46"/>
      <c r="G15" s="46"/>
      <c r="H15" s="46"/>
      <c r="I15" s="46"/>
      <c r="J15" s="46"/>
      <c r="K15" s="46"/>
      <c r="L15" s="46"/>
      <c r="M15" s="46"/>
      <c r="N15" s="46"/>
      <c r="O15" s="46"/>
      <c r="P15" s="46">
        <v>997.15</v>
      </c>
      <c r="Q15" s="46"/>
      <c r="R15" s="46"/>
      <c r="S15" s="46"/>
      <c r="T15" s="51"/>
      <c r="U15" s="46"/>
      <c r="V15" s="46"/>
      <c r="W15" s="46"/>
      <c r="X15" s="46"/>
      <c r="Y15" s="46"/>
      <c r="Z15" s="51"/>
      <c r="AA15" s="51"/>
      <c r="AB15" s="51"/>
      <c r="AC15" s="51"/>
      <c r="AD15" s="51"/>
      <c r="AE15" s="46"/>
      <c r="AF15" s="51"/>
      <c r="AG15" s="46"/>
      <c r="AH15" s="46"/>
      <c r="AI15" s="51"/>
      <c r="AJ15" s="46"/>
      <c r="AK15" s="46"/>
      <c r="AL15" s="46">
        <v>4500</v>
      </c>
      <c r="AM15" s="46"/>
      <c r="AN15" s="46"/>
      <c r="AO15" s="46"/>
      <c r="AP15" s="46"/>
      <c r="AQ15" s="46"/>
      <c r="AR15" s="46"/>
      <c r="AS15" s="46"/>
      <c r="AT15" s="51"/>
      <c r="AU15" s="46"/>
      <c r="AV15" s="46"/>
      <c r="AW15" s="46"/>
      <c r="AX15" s="46"/>
      <c r="AY15" s="46"/>
      <c r="AZ15" s="46"/>
      <c r="BA15" s="46"/>
      <c r="BB15" s="46"/>
      <c r="BC15" s="46"/>
      <c r="BD15" s="46"/>
      <c r="BE15" s="46"/>
      <c r="BF15" s="46"/>
      <c r="BG15" s="46"/>
      <c r="BH15" s="46"/>
      <c r="BI15" s="46"/>
      <c r="BJ15" s="46"/>
      <c r="BK15" s="46"/>
      <c r="BL15" s="46"/>
      <c r="BM15" s="46"/>
      <c r="BN15" s="46"/>
      <c r="BO15" s="46"/>
      <c r="BP15" s="46"/>
      <c r="BQ15" s="54"/>
      <c r="BR15" s="46"/>
      <c r="BS15" s="54"/>
      <c r="BT15" s="46"/>
      <c r="BU15" s="46"/>
      <c r="BV15" s="46"/>
      <c r="BW15" s="46"/>
      <c r="BX15" s="46"/>
      <c r="BY15" s="54"/>
      <c r="BZ15" s="46"/>
      <c r="CA15" s="46"/>
      <c r="CB15" s="46"/>
      <c r="CC15" s="46"/>
    </row>
    <row r="16" spans="4:81" s="39" customFormat="true" ht="12" customHeight="true">
      <c r="D16" s="46"/>
      <c r="E16" s="46"/>
      <c r="F16" s="46"/>
      <c r="G16" s="46"/>
      <c r="H16" s="46"/>
      <c r="I16" s="46"/>
      <c r="J16" s="46"/>
      <c r="K16" s="46">
        <v>-689.73</v>
      </c>
      <c r="L16" s="46"/>
      <c r="M16" s="46"/>
      <c r="N16" s="46"/>
      <c r="O16" s="46"/>
      <c r="P16" s="46"/>
      <c r="Q16" s="46"/>
      <c r="R16" s="46"/>
      <c r="S16" s="46"/>
      <c r="T16" s="51"/>
      <c r="U16" s="46"/>
      <c r="V16" s="46"/>
      <c r="W16" s="46"/>
      <c r="X16" s="46"/>
      <c r="Y16" s="46"/>
      <c r="Z16" s="51"/>
      <c r="AA16" s="51"/>
      <c r="AB16" s="51"/>
      <c r="AC16" s="51"/>
      <c r="AD16" s="51"/>
      <c r="AE16" s="46"/>
      <c r="AF16" s="51"/>
      <c r="AG16" s="46"/>
      <c r="AH16" s="46"/>
      <c r="AI16" s="51"/>
      <c r="AJ16" s="46"/>
      <c r="AK16" s="46">
        <v>221.65</v>
      </c>
      <c r="AL16" s="46">
        <v>3600</v>
      </c>
      <c r="AM16" s="46"/>
      <c r="AN16" s="46"/>
      <c r="AO16" s="46"/>
      <c r="AP16" s="46"/>
      <c r="AQ16" s="46"/>
      <c r="AR16" s="46"/>
      <c r="AS16" s="46"/>
      <c r="AT16" s="51"/>
      <c r="AU16" s="46"/>
      <c r="AV16" s="46"/>
      <c r="AW16" s="46"/>
      <c r="AX16" s="46"/>
      <c r="AY16" s="46"/>
      <c r="AZ16" s="46"/>
      <c r="BA16" s="46"/>
      <c r="BB16" s="46"/>
      <c r="BC16" s="46"/>
      <c r="BD16" s="46"/>
      <c r="BE16" s="46"/>
      <c r="BF16" s="46"/>
      <c r="BG16" s="46"/>
      <c r="BH16" s="46"/>
      <c r="BI16" s="46"/>
      <c r="BJ16" s="46"/>
      <c r="BK16" s="46"/>
      <c r="BL16" s="46"/>
      <c r="BM16" s="46"/>
      <c r="BN16" s="46"/>
      <c r="BO16" s="46"/>
      <c r="BP16" s="46"/>
      <c r="BQ16" s="54"/>
      <c r="BR16" s="46"/>
      <c r="BS16" s="54"/>
      <c r="BT16" s="46"/>
      <c r="BU16" s="46"/>
      <c r="BV16" s="46"/>
      <c r="BW16" s="46"/>
      <c r="BX16" s="46"/>
      <c r="BY16" s="54"/>
      <c r="BZ16" s="46"/>
      <c r="CA16" s="46"/>
      <c r="CB16" s="46"/>
      <c r="CC16" s="46"/>
    </row>
    <row r="17" spans="4:81" s="39" customFormat="true" ht="12" customHeight="true">
      <c r="D17" s="46"/>
      <c r="E17" s="46"/>
      <c r="F17" s="46"/>
      <c r="G17" s="46"/>
      <c r="H17" s="46"/>
      <c r="I17" s="46"/>
      <c r="J17" s="46"/>
      <c r="K17" s="46"/>
      <c r="L17" s="46"/>
      <c r="M17" s="46"/>
      <c r="N17" s="46"/>
      <c r="O17" s="46"/>
      <c r="P17" s="46"/>
      <c r="Q17" s="46"/>
      <c r="R17" s="46"/>
      <c r="S17" s="46"/>
      <c r="T17" s="51"/>
      <c r="U17" s="46"/>
      <c r="V17" s="46"/>
      <c r="W17" s="46"/>
      <c r="X17" s="46"/>
      <c r="Y17" s="46"/>
      <c r="Z17" s="51"/>
      <c r="AA17" s="51"/>
      <c r="AB17" s="51"/>
      <c r="AC17" s="51"/>
      <c r="AD17" s="51"/>
      <c r="AE17" s="46"/>
      <c r="AF17" s="51"/>
      <c r="AG17" s="46"/>
      <c r="AH17" s="46"/>
      <c r="AI17" s="51"/>
      <c r="AJ17" s="46"/>
      <c r="AK17" s="46"/>
      <c r="AL17" s="46"/>
      <c r="AM17" s="46"/>
      <c r="AN17" s="46"/>
      <c r="AO17" s="46"/>
      <c r="AP17" s="46"/>
      <c r="AQ17" s="46"/>
      <c r="AR17" s="46"/>
      <c r="AS17" s="46"/>
      <c r="AT17" s="51"/>
      <c r="AU17" s="46"/>
      <c r="AV17" s="46"/>
      <c r="AW17" s="46"/>
      <c r="AX17" s="46"/>
      <c r="AY17" s="46"/>
      <c r="AZ17" s="46"/>
      <c r="BA17" s="46"/>
      <c r="BB17" s="46"/>
      <c r="BC17" s="46"/>
      <c r="BD17" s="46"/>
      <c r="BE17" s="46"/>
      <c r="BF17" s="46"/>
      <c r="BG17" s="46"/>
      <c r="BH17" s="46"/>
      <c r="BI17" s="46"/>
      <c r="BJ17" s="46"/>
      <c r="BK17" s="46"/>
      <c r="BL17" s="46"/>
      <c r="BM17" s="46"/>
      <c r="BN17" s="46"/>
      <c r="BO17" s="46"/>
      <c r="BP17" s="46"/>
      <c r="BQ17" s="54"/>
      <c r="BR17" s="46"/>
      <c r="BS17" s="54"/>
      <c r="BT17" s="46"/>
      <c r="BU17" s="46"/>
      <c r="BV17" s="46"/>
      <c r="BW17" s="46"/>
      <c r="BX17" s="46"/>
      <c r="BY17" s="54"/>
      <c r="BZ17" s="46"/>
      <c r="CA17" s="46"/>
      <c r="CB17" s="46"/>
      <c r="CC17" s="46"/>
    </row>
    <row r="18" spans="4:81" s="39" customFormat="true" ht="12" customHeight="true">
      <c r="D18" s="46"/>
      <c r="E18" s="46"/>
      <c r="F18" s="46"/>
      <c r="G18" s="46"/>
      <c r="H18" s="46"/>
      <c r="I18" s="46"/>
      <c r="J18" s="46"/>
      <c r="K18" s="46"/>
      <c r="L18" s="46"/>
      <c r="M18" s="46"/>
      <c r="N18" s="46"/>
      <c r="O18" s="46"/>
      <c r="P18" s="46"/>
      <c r="Q18" s="46"/>
      <c r="R18" s="46"/>
      <c r="S18" s="46"/>
      <c r="T18" s="51"/>
      <c r="U18" s="46"/>
      <c r="V18" s="46"/>
      <c r="W18" s="46"/>
      <c r="X18" s="46"/>
      <c r="Y18" s="46"/>
      <c r="Z18" s="51"/>
      <c r="AA18" s="51"/>
      <c r="AB18" s="51"/>
      <c r="AC18" s="51"/>
      <c r="AD18" s="51"/>
      <c r="AE18" s="46"/>
      <c r="AF18" s="51"/>
      <c r="AG18" s="46"/>
      <c r="AH18" s="46"/>
      <c r="AI18" s="51"/>
      <c r="AJ18" s="46"/>
      <c r="AK18" s="46"/>
      <c r="AL18" s="46"/>
      <c r="AM18" s="46"/>
      <c r="AN18" s="46"/>
      <c r="AO18" s="46"/>
      <c r="AP18" s="46"/>
      <c r="AQ18" s="46"/>
      <c r="AR18" s="46"/>
      <c r="AS18" s="46"/>
      <c r="AT18" s="51"/>
      <c r="AU18" s="46"/>
      <c r="AV18" s="46"/>
      <c r="AW18" s="46"/>
      <c r="AX18" s="46"/>
      <c r="AY18" s="46"/>
      <c r="AZ18" s="46"/>
      <c r="BA18" s="46"/>
      <c r="BB18" s="46"/>
      <c r="BC18" s="46"/>
      <c r="BD18" s="46"/>
      <c r="BE18" s="46"/>
      <c r="BF18" s="46"/>
      <c r="BG18" s="46"/>
      <c r="BH18" s="46"/>
      <c r="BI18" s="46"/>
      <c r="BJ18" s="46"/>
      <c r="BK18" s="46"/>
      <c r="BL18" s="46"/>
      <c r="BM18" s="46"/>
      <c r="BN18" s="46"/>
      <c r="BO18" s="46"/>
      <c r="BP18" s="46"/>
      <c r="BQ18" s="54"/>
      <c r="BR18" s="46"/>
      <c r="BS18" s="54"/>
      <c r="BT18" s="46"/>
      <c r="BU18" s="46"/>
      <c r="BV18" s="46"/>
      <c r="BW18" s="46"/>
      <c r="BX18" s="46"/>
      <c r="BY18" s="54"/>
      <c r="BZ18" s="46"/>
      <c r="CA18" s="46"/>
      <c r="CB18" s="46"/>
      <c r="CC18" s="46"/>
    </row>
    <row r="19" spans="4:81" s="39" customFormat="true" ht="12" customHeight="true">
      <c r="D19" s="46"/>
      <c r="E19" s="46"/>
      <c r="F19" s="46"/>
      <c r="G19" s="46"/>
      <c r="H19" s="46"/>
      <c r="I19" s="46"/>
      <c r="J19" s="46"/>
      <c r="K19" s="46"/>
      <c r="L19" s="46"/>
      <c r="M19" s="46"/>
      <c r="N19" s="46"/>
      <c r="O19" s="46"/>
      <c r="P19" s="46"/>
      <c r="Q19" s="46"/>
      <c r="R19" s="46"/>
      <c r="S19" s="46"/>
      <c r="T19" s="51"/>
      <c r="U19" s="46"/>
      <c r="V19" s="46"/>
      <c r="W19" s="46"/>
      <c r="X19" s="46"/>
      <c r="Y19" s="46"/>
      <c r="Z19" s="51"/>
      <c r="AA19" s="51"/>
      <c r="AB19" s="51"/>
      <c r="AC19" s="51"/>
      <c r="AD19" s="51"/>
      <c r="AE19" s="46"/>
      <c r="AF19" s="51"/>
      <c r="AG19" s="46"/>
      <c r="AH19" s="46"/>
      <c r="AI19" s="51"/>
      <c r="AJ19" s="46"/>
      <c r="AK19" s="46"/>
      <c r="AL19" s="46"/>
      <c r="AM19" s="46"/>
      <c r="AN19" s="46"/>
      <c r="AO19" s="46"/>
      <c r="AP19" s="46"/>
      <c r="AQ19" s="46"/>
      <c r="AR19" s="46"/>
      <c r="AS19" s="46"/>
      <c r="AT19" s="51"/>
      <c r="AU19" s="46"/>
      <c r="AV19" s="46"/>
      <c r="AW19" s="46"/>
      <c r="AX19" s="46"/>
      <c r="AY19" s="46"/>
      <c r="AZ19" s="46"/>
      <c r="BA19" s="46"/>
      <c r="BB19" s="46"/>
      <c r="BC19" s="46"/>
      <c r="BD19" s="46"/>
      <c r="BE19" s="46"/>
      <c r="BF19" s="46"/>
      <c r="BG19" s="46"/>
      <c r="BH19" s="46"/>
      <c r="BI19" s="46"/>
      <c r="BJ19" s="46"/>
      <c r="BK19" s="46"/>
      <c r="BL19" s="46"/>
      <c r="BM19" s="46"/>
      <c r="BN19" s="46"/>
      <c r="BO19" s="46"/>
      <c r="BP19" s="46"/>
      <c r="BQ19" s="54"/>
      <c r="BR19" s="46"/>
      <c r="BS19" s="54"/>
      <c r="BT19" s="46"/>
      <c r="BU19" s="46"/>
      <c r="BV19" s="46"/>
      <c r="BW19" s="46"/>
      <c r="BX19" s="46"/>
      <c r="BY19" s="54"/>
      <c r="BZ19" s="46"/>
      <c r="CA19" s="46"/>
      <c r="CB19" s="46"/>
      <c r="CC19" s="46"/>
    </row>
    <row r="20" spans="4:81" s="39" customFormat="true" ht="12" customHeight="true">
      <c r="D20" s="46"/>
      <c r="E20" s="46"/>
      <c r="F20" s="46"/>
      <c r="G20" s="46"/>
      <c r="H20" s="46"/>
      <c r="I20" s="46"/>
      <c r="J20" s="46"/>
      <c r="K20" s="46"/>
      <c r="L20" s="46"/>
      <c r="M20" s="46"/>
      <c r="N20" s="46"/>
      <c r="O20" s="46"/>
      <c r="P20" s="46"/>
      <c r="Q20" s="46"/>
      <c r="R20" s="46"/>
      <c r="S20" s="46"/>
      <c r="T20" s="51"/>
      <c r="U20" s="46"/>
      <c r="V20" s="46"/>
      <c r="W20" s="46"/>
      <c r="X20" s="46"/>
      <c r="Y20" s="46"/>
      <c r="Z20" s="51"/>
      <c r="AA20" s="51"/>
      <c r="AB20" s="51"/>
      <c r="AC20" s="51"/>
      <c r="AD20" s="51"/>
      <c r="AE20" s="46"/>
      <c r="AF20" s="51"/>
      <c r="AG20" s="46"/>
      <c r="AH20" s="46"/>
      <c r="AI20" s="51"/>
      <c r="AJ20" s="46"/>
      <c r="AK20" s="46"/>
      <c r="AL20" s="46"/>
      <c r="AM20" s="46"/>
      <c r="AN20" s="46"/>
      <c r="AO20" s="46"/>
      <c r="AP20" s="46"/>
      <c r="AQ20" s="46"/>
      <c r="AR20" s="46"/>
      <c r="AS20" s="46"/>
      <c r="AT20" s="51"/>
      <c r="AU20" s="46"/>
      <c r="AV20" s="46"/>
      <c r="AW20" s="46"/>
      <c r="AX20" s="46"/>
      <c r="AY20" s="46"/>
      <c r="AZ20" s="46"/>
      <c r="BA20" s="46"/>
      <c r="BB20" s="46"/>
      <c r="BC20" s="46"/>
      <c r="BD20" s="46"/>
      <c r="BE20" s="46"/>
      <c r="BF20" s="46"/>
      <c r="BG20" s="46"/>
      <c r="BH20" s="46"/>
      <c r="BI20" s="46"/>
      <c r="BJ20" s="46"/>
      <c r="BK20" s="46"/>
      <c r="BL20" s="46"/>
      <c r="BM20" s="46"/>
      <c r="BN20" s="46"/>
      <c r="BO20" s="46"/>
      <c r="BP20" s="46"/>
      <c r="BQ20" s="54"/>
      <c r="BR20" s="46"/>
      <c r="BS20" s="54"/>
      <c r="BT20" s="46"/>
      <c r="BU20" s="46"/>
      <c r="BV20" s="46"/>
      <c r="BW20" s="46"/>
      <c r="BX20" s="46"/>
      <c r="BY20" s="54"/>
      <c r="BZ20" s="46"/>
      <c r="CA20" s="46"/>
      <c r="CB20" s="46"/>
      <c r="CC20" s="46"/>
    </row>
    <row r="21" spans="4:81" s="39" customFormat="true" ht="12" customHeight="true">
      <c r="D21" s="46"/>
      <c r="E21" s="46"/>
      <c r="F21" s="46"/>
      <c r="G21" s="46"/>
      <c r="H21" s="46"/>
      <c r="I21" s="46"/>
      <c r="J21" s="46"/>
      <c r="K21" s="46"/>
      <c r="L21" s="46"/>
      <c r="M21" s="46"/>
      <c r="N21" s="46"/>
      <c r="O21" s="46"/>
      <c r="P21" s="46"/>
      <c r="Q21" s="46"/>
      <c r="R21" s="46"/>
      <c r="S21" s="46"/>
      <c r="T21" s="51"/>
      <c r="U21" s="46"/>
      <c r="V21" s="46"/>
      <c r="W21" s="46"/>
      <c r="X21" s="46"/>
      <c r="Y21" s="46"/>
      <c r="Z21" s="51"/>
      <c r="AA21" s="51"/>
      <c r="AB21" s="51"/>
      <c r="AC21" s="51"/>
      <c r="AD21" s="51"/>
      <c r="AE21" s="46"/>
      <c r="AF21" s="51"/>
      <c r="AG21" s="46"/>
      <c r="AH21" s="46"/>
      <c r="AI21" s="51"/>
      <c r="AJ21" s="46"/>
      <c r="AK21" s="46"/>
      <c r="AL21" s="46"/>
      <c r="AM21" s="46"/>
      <c r="AN21" s="46"/>
      <c r="AO21" s="46"/>
      <c r="AP21" s="46"/>
      <c r="AQ21" s="46"/>
      <c r="AR21" s="46"/>
      <c r="AS21" s="46"/>
      <c r="AT21" s="51"/>
      <c r="AU21" s="46"/>
      <c r="AV21" s="46"/>
      <c r="AW21" s="46"/>
      <c r="AX21" s="46"/>
      <c r="AY21" s="46"/>
      <c r="AZ21" s="46"/>
      <c r="BA21" s="46"/>
      <c r="BB21" s="46"/>
      <c r="BC21" s="46"/>
      <c r="BD21" s="46"/>
      <c r="BE21" s="46"/>
      <c r="BF21" s="46"/>
      <c r="BG21" s="46"/>
      <c r="BH21" s="46"/>
      <c r="BI21" s="46"/>
      <c r="BJ21" s="46"/>
      <c r="BK21" s="46"/>
      <c r="BL21" s="46"/>
      <c r="BM21" s="46"/>
      <c r="BN21" s="46"/>
      <c r="BO21" s="46"/>
      <c r="BP21" s="46"/>
      <c r="BQ21" s="54"/>
      <c r="BR21" s="46"/>
      <c r="BS21" s="54"/>
      <c r="BT21" s="46"/>
      <c r="BU21" s="46"/>
      <c r="BV21" s="46"/>
      <c r="BW21" s="46"/>
      <c r="BX21" s="46"/>
      <c r="BY21" s="54"/>
      <c r="BZ21" s="46"/>
      <c r="CA21" s="46"/>
      <c r="CB21" s="46"/>
      <c r="CC21" s="46"/>
    </row>
    <row r="22" spans="4:81" s="39" customFormat="true" ht="12" customHeight="true">
      <c r="D22" s="46"/>
      <c r="E22" s="46"/>
      <c r="F22" s="46"/>
      <c r="G22" s="46"/>
      <c r="H22" s="46"/>
      <c r="I22" s="46"/>
      <c r="J22" s="46"/>
      <c r="K22" s="46"/>
      <c r="L22" s="46"/>
      <c r="M22" s="46"/>
      <c r="N22" s="46"/>
      <c r="O22" s="46"/>
      <c r="P22" s="46"/>
      <c r="Q22" s="46"/>
      <c r="R22" s="46"/>
      <c r="S22" s="46"/>
      <c r="T22" s="51"/>
      <c r="U22" s="46"/>
      <c r="V22" s="46"/>
      <c r="W22" s="46"/>
      <c r="X22" s="46"/>
      <c r="Y22" s="46"/>
      <c r="Z22" s="51"/>
      <c r="AA22" s="51"/>
      <c r="AB22" s="51"/>
      <c r="AC22" s="51"/>
      <c r="AD22" s="51"/>
      <c r="AE22" s="46"/>
      <c r="AF22" s="51"/>
      <c r="AG22" s="46"/>
      <c r="AH22" s="46"/>
      <c r="AI22" s="51"/>
      <c r="AJ22" s="46"/>
      <c r="AK22" s="46"/>
      <c r="AL22" s="46"/>
      <c r="AM22" s="46"/>
      <c r="AN22" s="46"/>
      <c r="AO22" s="46"/>
      <c r="AP22" s="46"/>
      <c r="AQ22" s="46"/>
      <c r="AR22" s="46"/>
      <c r="AS22" s="46"/>
      <c r="AT22" s="51"/>
      <c r="AU22" s="46"/>
      <c r="AV22" s="46"/>
      <c r="AW22" s="46"/>
      <c r="AX22" s="46"/>
      <c r="AY22" s="46"/>
      <c r="AZ22" s="46"/>
      <c r="BA22" s="46"/>
      <c r="BB22" s="46"/>
      <c r="BC22" s="46"/>
      <c r="BD22" s="46"/>
      <c r="BE22" s="46"/>
      <c r="BF22" s="46"/>
      <c r="BG22" s="46"/>
      <c r="BH22" s="46"/>
      <c r="BI22" s="46"/>
      <c r="BJ22" s="46"/>
      <c r="BK22" s="46"/>
      <c r="BL22" s="46"/>
      <c r="BM22" s="46"/>
      <c r="BN22" s="46"/>
      <c r="BO22" s="46"/>
      <c r="BP22" s="46"/>
      <c r="BQ22" s="54"/>
      <c r="BR22" s="46"/>
      <c r="BS22" s="54"/>
      <c r="BT22" s="46"/>
      <c r="BU22" s="46"/>
      <c r="BV22" s="46"/>
      <c r="BW22" s="46"/>
      <c r="BX22" s="46"/>
      <c r="BY22" s="54"/>
      <c r="BZ22" s="46"/>
      <c r="CA22" s="46"/>
      <c r="CB22" s="46"/>
      <c r="CC22" s="46"/>
    </row>
    <row r="23" spans="4:81" s="39" customFormat="true" ht="12" customHeight="true">
      <c r="D23" s="46"/>
      <c r="E23" s="46"/>
      <c r="F23" s="46"/>
      <c r="G23" s="46"/>
      <c r="H23" s="46"/>
      <c r="I23" s="46"/>
      <c r="J23" s="46"/>
      <c r="K23" s="46"/>
      <c r="L23" s="46"/>
      <c r="M23" s="46"/>
      <c r="N23" s="46"/>
      <c r="O23" s="46"/>
      <c r="P23" s="46"/>
      <c r="Q23" s="46"/>
      <c r="R23" s="46"/>
      <c r="S23" s="46"/>
      <c r="T23" s="51"/>
      <c r="U23" s="46"/>
      <c r="V23" s="46"/>
      <c r="W23" s="46"/>
      <c r="X23" s="46"/>
      <c r="Y23" s="46"/>
      <c r="Z23" s="51"/>
      <c r="AA23" s="51"/>
      <c r="AB23" s="51"/>
      <c r="AC23" s="51"/>
      <c r="AD23" s="51"/>
      <c r="AE23" s="46"/>
      <c r="AF23" s="51"/>
      <c r="AG23" s="46"/>
      <c r="AH23" s="46"/>
      <c r="AI23" s="51"/>
      <c r="AJ23" s="46"/>
      <c r="AK23" s="46"/>
      <c r="AL23" s="46"/>
      <c r="AM23" s="46"/>
      <c r="AN23" s="46"/>
      <c r="AO23" s="46"/>
      <c r="AP23" s="46"/>
      <c r="AQ23" s="46"/>
      <c r="AR23" s="46"/>
      <c r="AS23" s="46"/>
      <c r="AT23" s="51"/>
      <c r="AU23" s="46"/>
      <c r="AV23" s="46"/>
      <c r="AW23" s="46"/>
      <c r="AX23" s="46"/>
      <c r="AY23" s="46"/>
      <c r="AZ23" s="46"/>
      <c r="BA23" s="46"/>
      <c r="BB23" s="46"/>
      <c r="BC23" s="46"/>
      <c r="BD23" s="46"/>
      <c r="BE23" s="46"/>
      <c r="BF23" s="46"/>
      <c r="BG23" s="46"/>
      <c r="BH23" s="46"/>
      <c r="BI23" s="46"/>
      <c r="BJ23" s="46"/>
      <c r="BK23" s="46"/>
      <c r="BL23" s="46"/>
      <c r="BM23" s="46"/>
      <c r="BN23" s="46"/>
      <c r="BO23" s="46"/>
      <c r="BP23" s="46"/>
      <c r="BQ23" s="54"/>
      <c r="BR23" s="46"/>
      <c r="BS23" s="54"/>
      <c r="BT23" s="46"/>
      <c r="BU23" s="46"/>
      <c r="BV23" s="46"/>
      <c r="BW23" s="46"/>
      <c r="BX23" s="46"/>
      <c r="BY23" s="54"/>
      <c r="BZ23" s="46"/>
      <c r="CA23" s="46"/>
      <c r="CB23" s="46"/>
      <c r="CC23" s="46"/>
    </row>
    <row r="24" spans="4:81" s="39" customFormat="true" ht="12" customHeight="true">
      <c r="D24" s="46"/>
      <c r="E24" s="46"/>
      <c r="F24" s="46"/>
      <c r="G24" s="46"/>
      <c r="H24" s="46"/>
      <c r="I24" s="46"/>
      <c r="J24" s="46"/>
      <c r="K24" s="46"/>
      <c r="L24" s="46"/>
      <c r="M24" s="46"/>
      <c r="N24" s="46"/>
      <c r="O24" s="46"/>
      <c r="P24" s="46"/>
      <c r="Q24" s="46"/>
      <c r="R24" s="46"/>
      <c r="S24" s="46"/>
      <c r="T24" s="51"/>
      <c r="U24" s="46"/>
      <c r="V24" s="46"/>
      <c r="W24" s="46"/>
      <c r="X24" s="46"/>
      <c r="Y24" s="46"/>
      <c r="Z24" s="51"/>
      <c r="AA24" s="51"/>
      <c r="AB24" s="51"/>
      <c r="AC24" s="51"/>
      <c r="AD24" s="51"/>
      <c r="AE24" s="46"/>
      <c r="AF24" s="51"/>
      <c r="AG24" s="46"/>
      <c r="AH24" s="46"/>
      <c r="AI24" s="51"/>
      <c r="AJ24" s="46"/>
      <c r="AK24" s="46"/>
      <c r="AL24" s="46"/>
      <c r="AM24" s="46"/>
      <c r="AN24" s="46"/>
      <c r="AO24" s="46"/>
      <c r="AP24" s="46"/>
      <c r="AQ24" s="46"/>
      <c r="AR24" s="46"/>
      <c r="AS24" s="46"/>
      <c r="AT24" s="51"/>
      <c r="AU24" s="46"/>
      <c r="AV24" s="46"/>
      <c r="AW24" s="46"/>
      <c r="AX24" s="46"/>
      <c r="AY24" s="46"/>
      <c r="AZ24" s="46"/>
      <c r="BA24" s="46"/>
      <c r="BB24" s="46"/>
      <c r="BC24" s="46"/>
      <c r="BD24" s="46"/>
      <c r="BE24" s="46"/>
      <c r="BF24" s="46"/>
      <c r="BG24" s="46"/>
      <c r="BH24" s="46"/>
      <c r="BI24" s="46"/>
      <c r="BJ24" s="46"/>
      <c r="BK24" s="46"/>
      <c r="BL24" s="46"/>
      <c r="BM24" s="46"/>
      <c r="BN24" s="46"/>
      <c r="BO24" s="46"/>
      <c r="BP24" s="46"/>
      <c r="BQ24" s="54"/>
      <c r="BR24" s="46"/>
      <c r="BS24" s="54"/>
      <c r="BT24" s="46"/>
      <c r="BU24" s="46"/>
      <c r="BV24" s="46"/>
      <c r="BW24" s="46"/>
      <c r="BX24" s="46"/>
      <c r="BY24" s="54"/>
      <c r="BZ24" s="46"/>
      <c r="CA24" s="46"/>
      <c r="CB24" s="46"/>
      <c r="CC24" s="46"/>
    </row>
    <row r="25" spans="4:81" s="39" customFormat="true" ht="12" customHeight="true">
      <c r="D25" s="46"/>
      <c r="E25" s="46"/>
      <c r="F25" s="46"/>
      <c r="G25" s="46"/>
      <c r="H25" s="46"/>
      <c r="I25" s="46"/>
      <c r="J25" s="46"/>
      <c r="K25" s="46"/>
      <c r="L25" s="46"/>
      <c r="M25" s="46"/>
      <c r="N25" s="46"/>
      <c r="O25" s="46"/>
      <c r="P25" s="46"/>
      <c r="Q25" s="46"/>
      <c r="R25" s="46"/>
      <c r="S25" s="46"/>
      <c r="T25" s="51"/>
      <c r="U25" s="46"/>
      <c r="V25" s="46"/>
      <c r="W25" s="46"/>
      <c r="X25" s="46"/>
      <c r="Y25" s="46"/>
      <c r="Z25" s="51"/>
      <c r="AA25" s="51"/>
      <c r="AB25" s="51"/>
      <c r="AC25" s="51"/>
      <c r="AD25" s="51"/>
      <c r="AE25" s="46"/>
      <c r="AF25" s="51"/>
      <c r="AG25" s="46"/>
      <c r="AH25" s="46"/>
      <c r="AI25" s="51"/>
      <c r="AJ25" s="46"/>
      <c r="AK25" s="46"/>
      <c r="AL25" s="46"/>
      <c r="AM25" s="46"/>
      <c r="AN25" s="46"/>
      <c r="AO25" s="46"/>
      <c r="AP25" s="46"/>
      <c r="AQ25" s="46"/>
      <c r="AR25" s="46"/>
      <c r="AS25" s="46"/>
      <c r="AT25" s="51"/>
      <c r="AU25" s="46"/>
      <c r="AV25" s="46"/>
      <c r="AW25" s="46"/>
      <c r="AX25" s="46"/>
      <c r="AY25" s="46"/>
      <c r="AZ25" s="46"/>
      <c r="BA25" s="46"/>
      <c r="BB25" s="46"/>
      <c r="BC25" s="46"/>
      <c r="BD25" s="46"/>
      <c r="BE25" s="46"/>
      <c r="BF25" s="46"/>
      <c r="BG25" s="46"/>
      <c r="BH25" s="46"/>
      <c r="BI25" s="46"/>
      <c r="BJ25" s="46"/>
      <c r="BK25" s="46"/>
      <c r="BL25" s="46"/>
      <c r="BM25" s="46"/>
      <c r="BN25" s="46"/>
      <c r="BO25" s="46"/>
      <c r="BP25" s="46"/>
      <c r="BQ25" s="54"/>
      <c r="BR25" s="46"/>
      <c r="BS25" s="54"/>
      <c r="BT25" s="46"/>
      <c r="BU25" s="46"/>
      <c r="BV25" s="46"/>
      <c r="BW25" s="46"/>
      <c r="BX25" s="46"/>
      <c r="BY25" s="54"/>
      <c r="BZ25" s="46"/>
      <c r="CA25" s="46"/>
      <c r="CB25" s="46"/>
      <c r="CC25" s="46"/>
    </row>
    <row r="26" spans="4:81" s="39" customFormat="true" ht="12" customHeight="true">
      <c r="D26" s="46"/>
      <c r="E26" s="46"/>
      <c r="F26" s="46"/>
      <c r="G26" s="46"/>
      <c r="H26" s="46"/>
      <c r="I26" s="46"/>
      <c r="J26" s="46"/>
      <c r="K26" s="46"/>
      <c r="L26" s="46"/>
      <c r="M26" s="46"/>
      <c r="N26" s="46"/>
      <c r="O26" s="46"/>
      <c r="P26" s="46"/>
      <c r="Q26" s="46"/>
      <c r="R26" s="46"/>
      <c r="S26" s="46"/>
      <c r="T26" s="51"/>
      <c r="U26" s="46"/>
      <c r="V26" s="46"/>
      <c r="W26" s="46"/>
      <c r="X26" s="46"/>
      <c r="Y26" s="46"/>
      <c r="Z26" s="51"/>
      <c r="AA26" s="51"/>
      <c r="AB26" s="51"/>
      <c r="AC26" s="51"/>
      <c r="AD26" s="51"/>
      <c r="AE26" s="46"/>
      <c r="AF26" s="51"/>
      <c r="AG26" s="46"/>
      <c r="AH26" s="46"/>
      <c r="AI26" s="51"/>
      <c r="AJ26" s="46"/>
      <c r="AK26" s="46"/>
      <c r="AL26" s="46"/>
      <c r="AM26" s="46"/>
      <c r="AN26" s="46"/>
      <c r="AO26" s="46"/>
      <c r="AP26" s="46"/>
      <c r="AQ26" s="46"/>
      <c r="AR26" s="46"/>
      <c r="AS26" s="46"/>
      <c r="AT26" s="51"/>
      <c r="AU26" s="46"/>
      <c r="AV26" s="46"/>
      <c r="AW26" s="46"/>
      <c r="AX26" s="46"/>
      <c r="AY26" s="46"/>
      <c r="AZ26" s="46"/>
      <c r="BA26" s="46"/>
      <c r="BB26" s="46"/>
      <c r="BC26" s="46"/>
      <c r="BD26" s="46"/>
      <c r="BE26" s="46"/>
      <c r="BF26" s="46"/>
      <c r="BG26" s="46"/>
      <c r="BH26" s="46"/>
      <c r="BI26" s="46"/>
      <c r="BJ26" s="46"/>
      <c r="BK26" s="46"/>
      <c r="BL26" s="46"/>
      <c r="BM26" s="46"/>
      <c r="BN26" s="46"/>
      <c r="BO26" s="46"/>
      <c r="BP26" s="46"/>
      <c r="BQ26" s="54"/>
      <c r="BR26" s="46"/>
      <c r="BS26" s="54"/>
      <c r="BT26" s="46"/>
      <c r="BU26" s="46"/>
      <c r="BV26" s="46"/>
      <c r="BW26" s="46"/>
      <c r="BX26" s="46"/>
      <c r="BY26" s="54"/>
      <c r="BZ26" s="46"/>
      <c r="CA26" s="46"/>
      <c r="CB26" s="46"/>
      <c r="CC26" s="46"/>
    </row>
    <row r="27" spans="4:81" s="39" customFormat="true" ht="12" customHeight="true">
      <c r="D27" s="46"/>
      <c r="E27" s="46"/>
      <c r="F27" s="46"/>
      <c r="G27" s="46"/>
      <c r="H27" s="46"/>
      <c r="I27" s="46"/>
      <c r="J27" s="46"/>
      <c r="K27" s="46"/>
      <c r="L27" s="46"/>
      <c r="M27" s="46"/>
      <c r="N27" s="46"/>
      <c r="O27" s="46"/>
      <c r="P27" s="46"/>
      <c r="Q27" s="46"/>
      <c r="R27" s="46"/>
      <c r="S27" s="46"/>
      <c r="T27" s="51"/>
      <c r="U27" s="46"/>
      <c r="V27" s="46"/>
      <c r="W27" s="46"/>
      <c r="X27" s="46"/>
      <c r="Y27" s="46"/>
      <c r="Z27" s="51"/>
      <c r="AA27" s="51"/>
      <c r="AB27" s="51"/>
      <c r="AC27" s="51"/>
      <c r="AD27" s="51"/>
      <c r="AE27" s="46"/>
      <c r="AF27" s="51"/>
      <c r="AG27" s="46"/>
      <c r="AH27" s="46"/>
      <c r="AI27" s="51"/>
      <c r="AJ27" s="46"/>
      <c r="AK27" s="46"/>
      <c r="AL27" s="46"/>
      <c r="AM27" s="46"/>
      <c r="AN27" s="46"/>
      <c r="AO27" s="46"/>
      <c r="AP27" s="46"/>
      <c r="AQ27" s="46"/>
      <c r="AR27" s="46"/>
      <c r="AS27" s="46"/>
      <c r="AT27" s="51"/>
      <c r="AU27" s="46"/>
      <c r="AV27" s="46"/>
      <c r="AW27" s="46"/>
      <c r="AX27" s="46"/>
      <c r="AY27" s="46"/>
      <c r="AZ27" s="46"/>
      <c r="BA27" s="46"/>
      <c r="BB27" s="46"/>
      <c r="BC27" s="46"/>
      <c r="BD27" s="46"/>
      <c r="BE27" s="46"/>
      <c r="BF27" s="46"/>
      <c r="BG27" s="46"/>
      <c r="BH27" s="46"/>
      <c r="BI27" s="46"/>
      <c r="BJ27" s="46"/>
      <c r="BK27" s="46"/>
      <c r="BL27" s="46"/>
      <c r="BM27" s="46"/>
      <c r="BN27" s="46"/>
      <c r="BO27" s="46"/>
      <c r="BP27" s="46"/>
      <c r="BQ27" s="54"/>
      <c r="BR27" s="46"/>
      <c r="BS27" s="54"/>
      <c r="BT27" s="46"/>
      <c r="BU27" s="46"/>
      <c r="BV27" s="46"/>
      <c r="BW27" s="46"/>
      <c r="BX27" s="46"/>
      <c r="BY27" s="54"/>
      <c r="BZ27" s="46"/>
      <c r="CA27" s="46"/>
      <c r="CB27" s="46"/>
      <c r="CC27" s="46"/>
    </row>
    <row r="28" spans="4:81" s="39" customFormat="true" ht="12" customHeight="true">
      <c r="D28" s="46"/>
      <c r="E28" s="46"/>
      <c r="F28" s="46"/>
      <c r="G28" s="46"/>
      <c r="H28" s="46"/>
      <c r="I28" s="46"/>
      <c r="J28" s="46"/>
      <c r="K28" s="46"/>
      <c r="L28" s="46"/>
      <c r="M28" s="46"/>
      <c r="N28" s="46"/>
      <c r="O28" s="46"/>
      <c r="P28" s="46"/>
      <c r="Q28" s="46"/>
      <c r="R28" s="46"/>
      <c r="S28" s="46"/>
      <c r="T28" s="51"/>
      <c r="U28" s="46"/>
      <c r="V28" s="46"/>
      <c r="W28" s="46"/>
      <c r="X28" s="46"/>
      <c r="Y28" s="46"/>
      <c r="Z28" s="51"/>
      <c r="AA28" s="51"/>
      <c r="AB28" s="51"/>
      <c r="AC28" s="51"/>
      <c r="AD28" s="51"/>
      <c r="AE28" s="46"/>
      <c r="AF28" s="51"/>
      <c r="AG28" s="46"/>
      <c r="AH28" s="46"/>
      <c r="AI28" s="51"/>
      <c r="AJ28" s="46"/>
      <c r="AK28" s="46"/>
      <c r="AL28" s="46"/>
      <c r="AM28" s="46"/>
      <c r="AN28" s="46"/>
      <c r="AO28" s="46"/>
      <c r="AP28" s="46"/>
      <c r="AQ28" s="46"/>
      <c r="AR28" s="46"/>
      <c r="AS28" s="46"/>
      <c r="AT28" s="51"/>
      <c r="AU28" s="46"/>
      <c r="AV28" s="46"/>
      <c r="AW28" s="46"/>
      <c r="AX28" s="46"/>
      <c r="AY28" s="46"/>
      <c r="AZ28" s="46"/>
      <c r="BA28" s="46"/>
      <c r="BB28" s="46"/>
      <c r="BC28" s="46"/>
      <c r="BD28" s="46"/>
      <c r="BE28" s="46"/>
      <c r="BF28" s="46"/>
      <c r="BG28" s="46"/>
      <c r="BH28" s="46"/>
      <c r="BI28" s="46"/>
      <c r="BJ28" s="46"/>
      <c r="BK28" s="46"/>
      <c r="BL28" s="46"/>
      <c r="BM28" s="46"/>
      <c r="BN28" s="46"/>
      <c r="BO28" s="46"/>
      <c r="BP28" s="46"/>
      <c r="BQ28" s="54"/>
      <c r="BR28" s="46"/>
      <c r="BS28" s="54"/>
      <c r="BT28" s="46"/>
      <c r="BU28" s="46"/>
      <c r="BV28" s="46"/>
      <c r="BW28" s="46"/>
      <c r="BX28" s="46"/>
      <c r="BY28" s="54"/>
      <c r="BZ28" s="46"/>
      <c r="CA28" s="46"/>
      <c r="CB28" s="46"/>
      <c r="CC28" s="46"/>
    </row>
    <row r="29" spans="2:82" s="39" customFormat="true" ht="12" customHeight="true">
      <c r="B29" s="39" t="s">
        <v>34189</v>
      </c>
      <c r="D29" s="39">
        <f t="shared" ref="D29:BO29" si="0">+SUM(D11:D28)</f>
        <v>88955.98</v>
      </c>
      <c r="E29" s="39">
        <f t="shared" si="0"/>
        <v>562.83</v>
      </c>
      <c r="F29" s="39">
        <f t="shared" si="0"/>
        <v>3141.94</v>
      </c>
      <c r="G29" s="39">
        <f t="shared" si="0"/>
        <v>39879.53</v>
      </c>
      <c r="H29" s="39">
        <f t="shared" si="0"/>
        <v>0</v>
      </c>
      <c r="I29" s="39">
        <f t="shared" si="0"/>
        <v>0</v>
      </c>
      <c r="J29" s="39">
        <f t="shared" si="0"/>
        <v>836428.13</v>
      </c>
      <c r="K29" s="39">
        <f t="shared" si="0"/>
        <v>82867.69</v>
      </c>
      <c r="L29" s="39">
        <f t="shared" si="0"/>
        <v>0</v>
      </c>
      <c r="M29" s="39">
        <f t="shared" si="0"/>
        <v>37312.32</v>
      </c>
      <c r="N29" s="39">
        <f t="shared" si="0"/>
        <v>14276.14</v>
      </c>
      <c r="O29" s="39">
        <f t="shared" si="0"/>
        <v>0</v>
      </c>
      <c r="P29" s="39">
        <f t="shared" si="0"/>
        <v>3969.72</v>
      </c>
      <c r="Q29" s="39">
        <f t="shared" si="0"/>
        <v>498.15</v>
      </c>
      <c r="R29" s="39">
        <f t="shared" si="0"/>
        <v>0</v>
      </c>
      <c r="S29" s="39">
        <f t="shared" si="0"/>
        <v>14101.3</v>
      </c>
      <c r="T29" s="51">
        <f t="shared" si="0"/>
        <v>0</v>
      </c>
      <c r="U29" s="39">
        <f t="shared" si="0"/>
        <v>10517.95</v>
      </c>
      <c r="V29" s="39">
        <f t="shared" si="0"/>
        <v>28329.45</v>
      </c>
      <c r="W29" s="39">
        <f t="shared" si="0"/>
        <v>0</v>
      </c>
      <c r="X29" s="39">
        <f t="shared" si="0"/>
        <v>19764.2</v>
      </c>
      <c r="Y29" s="39">
        <f t="shared" si="0"/>
        <v>8835.96</v>
      </c>
      <c r="Z29" s="51">
        <f t="shared" si="0"/>
        <v>0</v>
      </c>
      <c r="AA29" s="51">
        <f t="shared" si="0"/>
        <v>0</v>
      </c>
      <c r="AB29" s="51">
        <f t="shared" si="0"/>
        <v>0</v>
      </c>
      <c r="AC29" s="51">
        <f t="shared" si="0"/>
        <v>0</v>
      </c>
      <c r="AD29" s="51">
        <f t="shared" si="0"/>
        <v>0</v>
      </c>
      <c r="AE29" s="39">
        <f t="shared" si="0"/>
        <v>0</v>
      </c>
      <c r="AF29" s="51">
        <f t="shared" si="0"/>
        <v>0</v>
      </c>
      <c r="AG29" s="39">
        <f t="shared" si="0"/>
        <v>-47652.05</v>
      </c>
      <c r="AH29" s="39">
        <f t="shared" si="0"/>
        <v>18086.73</v>
      </c>
      <c r="AI29" s="51">
        <f t="shared" si="0"/>
        <v>0</v>
      </c>
      <c r="AJ29" s="39">
        <f t="shared" si="0"/>
        <v>0</v>
      </c>
      <c r="AK29" s="39">
        <f t="shared" si="0"/>
        <v>23621.65</v>
      </c>
      <c r="AL29" s="39">
        <f t="shared" si="0"/>
        <v>13102.4</v>
      </c>
      <c r="AM29" s="39">
        <f t="shared" si="0"/>
        <v>0</v>
      </c>
      <c r="AN29" s="39">
        <f t="shared" si="0"/>
        <v>0</v>
      </c>
      <c r="AO29" s="39">
        <f t="shared" si="0"/>
        <v>0</v>
      </c>
      <c r="AP29" s="39">
        <f t="shared" si="0"/>
        <v>0</v>
      </c>
      <c r="AQ29" s="39">
        <f t="shared" si="0"/>
        <v>0</v>
      </c>
      <c r="AR29" s="39">
        <f t="shared" si="0"/>
        <v>0</v>
      </c>
      <c r="AS29" s="39">
        <f t="shared" si="0"/>
        <v>0</v>
      </c>
      <c r="AT29" s="51">
        <f t="shared" si="0"/>
        <v>0</v>
      </c>
      <c r="AU29" s="39">
        <f t="shared" si="0"/>
        <v>0</v>
      </c>
      <c r="AV29" s="39">
        <f t="shared" si="0"/>
        <v>111236.08</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167.82</v>
      </c>
      <c r="BH29" s="39">
        <f t="shared" si="0"/>
        <v>0</v>
      </c>
      <c r="BI29" s="39">
        <f t="shared" si="0"/>
        <v>0</v>
      </c>
      <c r="BJ29" s="39">
        <f t="shared" si="0"/>
        <v>0</v>
      </c>
      <c r="BK29" s="39">
        <f t="shared" si="0"/>
        <v>0</v>
      </c>
      <c r="BL29" s="39">
        <f t="shared" si="0"/>
        <v>0</v>
      </c>
      <c r="BM29" s="39">
        <f t="shared" si="0"/>
        <v>0</v>
      </c>
      <c r="BN29" s="39">
        <f t="shared" si="0"/>
        <v>0</v>
      </c>
      <c r="BO29" s="39">
        <f t="shared" si="0"/>
        <v>0</v>
      </c>
      <c r="BP29" s="39">
        <f t="shared" ref="BP29:CC29" si="1">+SUM(BP11:BP28)</f>
        <v>0</v>
      </c>
      <c r="BQ29" s="54">
        <f t="shared" si="1"/>
        <v>0</v>
      </c>
      <c r="BR29" s="39">
        <f t="shared" si="1"/>
        <v>0</v>
      </c>
      <c r="BS29" s="54">
        <f t="shared" si="1"/>
        <v>0</v>
      </c>
      <c r="BT29" s="39">
        <f t="shared" si="1"/>
        <v>0</v>
      </c>
      <c r="BU29" s="39">
        <f t="shared" si="1"/>
        <v>0</v>
      </c>
      <c r="BV29" s="39">
        <f t="shared" si="1"/>
        <v>0</v>
      </c>
      <c r="BW29" s="39">
        <f t="shared" si="1"/>
        <v>0</v>
      </c>
      <c r="BX29" s="39">
        <f t="shared" si="1"/>
        <v>0</v>
      </c>
      <c r="BY29" s="54">
        <f t="shared" si="1"/>
        <v>0</v>
      </c>
      <c r="BZ29" s="39">
        <f t="shared" si="1"/>
        <v>109000</v>
      </c>
      <c r="CA29" s="39">
        <f t="shared" si="1"/>
        <v>0</v>
      </c>
      <c r="CB29" s="39">
        <f t="shared" si="1"/>
        <v>0</v>
      </c>
      <c r="CC29" s="39">
        <f t="shared" si="1"/>
        <v>0</v>
      </c>
      <c r="CD29" s="39">
        <f>SUM(D29:CC29)</f>
        <v>1417003.92</v>
      </c>
    </row>
    <row r="30" spans="20:77" s="39" customFormat="true" ht="12" customHeight="true">
      <c r="T30" s="51"/>
      <c r="Z30" s="51"/>
      <c r="AA30" s="51"/>
      <c r="AB30" s="51"/>
      <c r="AC30" s="51"/>
      <c r="AD30" s="51"/>
      <c r="AF30" s="51"/>
      <c r="AI30" s="51"/>
      <c r="AT30" s="51"/>
      <c r="BQ30" s="54"/>
      <c r="BS30" s="54"/>
      <c r="BY30" s="54"/>
    </row>
    <row r="31" spans="2:77" s="39" customFormat="true" ht="12" customHeight="true">
      <c r="B31" s="39" t="s">
        <v>34190</v>
      </c>
      <c r="T31" s="51"/>
      <c r="Z31" s="51"/>
      <c r="AA31" s="51"/>
      <c r="AB31" s="51"/>
      <c r="AC31" s="51"/>
      <c r="AD31" s="51"/>
      <c r="AF31" s="51"/>
      <c r="AI31" s="51"/>
      <c r="AT31" s="51"/>
      <c r="BQ31" s="54"/>
      <c r="BS31" s="54"/>
      <c r="BY31" s="54"/>
    </row>
    <row r="32" spans="4:81" s="39" customFormat="true" ht="12" customHeight="true">
      <c r="D32" s="46"/>
      <c r="E32" s="46">
        <f>-18589.30821*-1</f>
        <v>18589.30821</v>
      </c>
      <c r="F32" s="46">
        <f>-50952.85*-1</f>
        <v>50952.85</v>
      </c>
      <c r="G32" s="46"/>
      <c r="H32" s="46">
        <f>-18856.84176*-1</f>
        <v>18856.84176</v>
      </c>
      <c r="I32" s="46"/>
      <c r="J32" s="46"/>
      <c r="K32" s="46">
        <f>-368040.03*-1</f>
        <v>368040.03</v>
      </c>
      <c r="L32" s="46"/>
      <c r="M32" s="46"/>
      <c r="N32" s="46">
        <f>-9078.78838*-1</f>
        <v>9078.78838</v>
      </c>
      <c r="O32" s="46">
        <v>99698.91</v>
      </c>
      <c r="P32" s="46">
        <f>-140181.63*-1</f>
        <v>140181.63</v>
      </c>
      <c r="Q32" s="46">
        <f>-1868.04858*-1</f>
        <v>1868.04858</v>
      </c>
      <c r="R32" s="46">
        <f>-2165.25*-1</f>
        <v>2165.25</v>
      </c>
      <c r="S32" s="46"/>
      <c r="T32" s="51"/>
      <c r="U32" s="46">
        <f>-53814.17*-1</f>
        <v>53814.17</v>
      </c>
      <c r="V32" s="46"/>
      <c r="W32" s="46">
        <f>-60163.34*-1</f>
        <v>60163.34</v>
      </c>
      <c r="X32" s="46"/>
      <c r="Y32" s="46"/>
      <c r="Z32" s="51"/>
      <c r="AA32" s="51"/>
      <c r="AB32" s="51"/>
      <c r="AC32" s="51"/>
      <c r="AD32" s="51"/>
      <c r="AE32" s="46">
        <f>-3123.2*-1</f>
        <v>3123.2</v>
      </c>
      <c r="AF32" s="51"/>
      <c r="AG32" s="46">
        <f>-258649.36*-1</f>
        <v>258649.36</v>
      </c>
      <c r="AH32" s="46">
        <f>-21416.61*-1</f>
        <v>21416.61</v>
      </c>
      <c r="AI32" s="51"/>
      <c r="AJ32" s="46">
        <f>-145377.64*-1</f>
        <v>145377.64</v>
      </c>
      <c r="AK32" s="46">
        <v>30297.81</v>
      </c>
      <c r="AL32" s="46">
        <f>-7025.21*-1</f>
        <v>7025.21</v>
      </c>
      <c r="AM32" s="46"/>
      <c r="AN32" s="46"/>
      <c r="AO32" s="46"/>
      <c r="AP32" s="46"/>
      <c r="AQ32" s="46">
        <f>-81000*-1</f>
        <v>81000</v>
      </c>
      <c r="AR32" s="46"/>
      <c r="AS32" s="46"/>
      <c r="AT32" s="51"/>
      <c r="AU32" s="46">
        <f>-15517.95*-1</f>
        <v>15517.95</v>
      </c>
      <c r="AV32" s="46">
        <f>-112482.64*-1</f>
        <v>112482.64</v>
      </c>
      <c r="AW32" s="46">
        <f>-32250*-1</f>
        <v>32250</v>
      </c>
      <c r="AX32" s="46">
        <f>-9446.55*-1</f>
        <v>9446.55</v>
      </c>
      <c r="AY32" s="46">
        <f>-40425.72*-1</f>
        <v>40425.72</v>
      </c>
      <c r="AZ32" s="46"/>
      <c r="BA32" s="46">
        <f>-55107.61*-1</f>
        <v>55107.61</v>
      </c>
      <c r="BB32" s="46"/>
      <c r="BC32" s="46">
        <f>-329.15*-1</f>
        <v>329.15</v>
      </c>
      <c r="BD32" s="46">
        <f>-23396.41*-1</f>
        <v>23396.41</v>
      </c>
      <c r="BE32" s="46"/>
      <c r="BF32" s="46">
        <f>-35933.2399999999*-1</f>
        <v>35933.2399999999</v>
      </c>
      <c r="BG32" s="46">
        <f>-40907.61*-1</f>
        <v>40907.61</v>
      </c>
      <c r="BH32" s="46">
        <f>-9464.27*-1</f>
        <v>9464.27</v>
      </c>
      <c r="BI32" s="46">
        <f>-4205*-1</f>
        <v>4205</v>
      </c>
      <c r="BJ32" s="46">
        <f>-4248.59*-1</f>
        <v>4248.59</v>
      </c>
      <c r="BK32" s="46">
        <f>-12013.55*-1</f>
        <v>12013.55</v>
      </c>
      <c r="BL32" s="46">
        <f>-14881.24*-1</f>
        <v>14881.24</v>
      </c>
      <c r="BM32" s="46">
        <f>-9496.18*-1</f>
        <v>9496.18</v>
      </c>
      <c r="BN32" s="46">
        <f>-29977.2*-1</f>
        <v>29977.2</v>
      </c>
      <c r="BO32" s="46">
        <f>-5654.04*-1</f>
        <v>5654.04</v>
      </c>
      <c r="BP32" s="46">
        <f>-14129.6*-1</f>
        <v>14129.6</v>
      </c>
      <c r="BQ32" s="54"/>
      <c r="BR32" s="46">
        <f>-4625.81*-1</f>
        <v>4625.81</v>
      </c>
      <c r="BS32" s="54"/>
      <c r="BT32" s="46">
        <f>-109508.77*-1</f>
        <v>109508.77</v>
      </c>
      <c r="BU32" s="46">
        <f>-11321.85*-1</f>
        <v>11321.85</v>
      </c>
      <c r="BV32" s="46">
        <f>-170897.46*-1</f>
        <v>170897.46</v>
      </c>
      <c r="BW32" s="46">
        <f>-11845.73*-1</f>
        <v>11845.73</v>
      </c>
      <c r="BX32" s="46">
        <f>-1255.85*-1</f>
        <v>1255.85</v>
      </c>
      <c r="BY32" s="54"/>
      <c r="BZ32" s="46"/>
      <c r="CA32" s="46"/>
      <c r="CB32" s="46">
        <f>-14387.35*-1</f>
        <v>14387.35</v>
      </c>
      <c r="CC32" s="46"/>
    </row>
    <row r="33" spans="4:81" s="39" customFormat="true" ht="12" customHeight="true">
      <c r="D33" s="46"/>
      <c r="E33" s="46"/>
      <c r="F33" s="46"/>
      <c r="G33" s="46"/>
      <c r="H33" s="46"/>
      <c r="I33" s="46"/>
      <c r="J33" s="46"/>
      <c r="K33" s="46"/>
      <c r="L33" s="46"/>
      <c r="M33" s="46"/>
      <c r="N33" s="46">
        <v>0.01</v>
      </c>
      <c r="O33" s="46"/>
      <c r="P33" s="46"/>
      <c r="Q33" s="46"/>
      <c r="R33" s="46"/>
      <c r="S33" s="46"/>
      <c r="T33" s="51"/>
      <c r="U33" s="46"/>
      <c r="V33" s="46"/>
      <c r="W33" s="46"/>
      <c r="X33" s="46"/>
      <c r="Y33" s="46"/>
      <c r="Z33" s="51"/>
      <c r="AA33" s="51"/>
      <c r="AB33" s="51"/>
      <c r="AC33" s="51"/>
      <c r="AD33" s="51"/>
      <c r="AE33" s="46"/>
      <c r="AF33" s="51"/>
      <c r="AG33" s="46"/>
      <c r="AH33" s="46"/>
      <c r="AI33" s="51"/>
      <c r="AJ33" s="46"/>
      <c r="AK33" s="46"/>
      <c r="AL33" s="46"/>
      <c r="AM33" s="46"/>
      <c r="AN33" s="46"/>
      <c r="AO33" s="46"/>
      <c r="AP33" s="46"/>
      <c r="AQ33" s="46"/>
      <c r="AR33" s="46"/>
      <c r="AS33" s="46"/>
      <c r="AT33" s="51"/>
      <c r="AU33" s="46"/>
      <c r="AV33" s="46"/>
      <c r="AW33" s="46"/>
      <c r="AX33" s="46"/>
      <c r="AY33" s="46"/>
      <c r="AZ33" s="46"/>
      <c r="BA33" s="46"/>
      <c r="BB33" s="46"/>
      <c r="BC33" s="46"/>
      <c r="BD33" s="46"/>
      <c r="BE33" s="46"/>
      <c r="BF33" s="46"/>
      <c r="BG33" s="46"/>
      <c r="BH33" s="46"/>
      <c r="BI33" s="46"/>
      <c r="BJ33" s="46"/>
      <c r="BK33" s="46"/>
      <c r="BL33" s="46"/>
      <c r="BM33" s="46"/>
      <c r="BN33" s="46"/>
      <c r="BO33" s="46"/>
      <c r="BP33" s="46"/>
      <c r="BQ33" s="54"/>
      <c r="BR33" s="46"/>
      <c r="BS33" s="54"/>
      <c r="BT33" s="46"/>
      <c r="BU33" s="46"/>
      <c r="BV33" s="46"/>
      <c r="BW33" s="46"/>
      <c r="BX33" s="46"/>
      <c r="BY33" s="54"/>
      <c r="BZ33" s="46"/>
      <c r="CA33" s="46"/>
      <c r="CB33" s="46"/>
      <c r="CC33" s="46"/>
    </row>
    <row r="34" spans="4:81" s="39" customFormat="true" ht="12" customHeight="true">
      <c r="D34" s="46"/>
      <c r="E34" s="46"/>
      <c r="F34" s="46"/>
      <c r="G34" s="46"/>
      <c r="H34" s="46"/>
      <c r="I34" s="46"/>
      <c r="J34" s="46"/>
      <c r="K34" s="46"/>
      <c r="L34" s="46"/>
      <c r="M34" s="46"/>
      <c r="N34" s="46"/>
      <c r="O34" s="46"/>
      <c r="P34" s="46"/>
      <c r="Q34" s="46"/>
      <c r="R34" s="46"/>
      <c r="S34" s="46"/>
      <c r="T34" s="51"/>
      <c r="U34" s="46"/>
      <c r="V34" s="46"/>
      <c r="W34" s="46"/>
      <c r="X34" s="46"/>
      <c r="Y34" s="46"/>
      <c r="Z34" s="51"/>
      <c r="AA34" s="51"/>
      <c r="AB34" s="51"/>
      <c r="AC34" s="51"/>
      <c r="AD34" s="51"/>
      <c r="AE34" s="46"/>
      <c r="AF34" s="51"/>
      <c r="AG34" s="46"/>
      <c r="AH34" s="46"/>
      <c r="AI34" s="51"/>
      <c r="AJ34" s="46"/>
      <c r="AK34" s="46"/>
      <c r="AL34" s="46"/>
      <c r="AM34" s="46"/>
      <c r="AN34" s="46"/>
      <c r="AO34" s="46"/>
      <c r="AP34" s="46"/>
      <c r="AQ34" s="46"/>
      <c r="AR34" s="46"/>
      <c r="AS34" s="46"/>
      <c r="AT34" s="51"/>
      <c r="AU34" s="46"/>
      <c r="AV34" s="46"/>
      <c r="AW34" s="46"/>
      <c r="AX34" s="46"/>
      <c r="AY34" s="46"/>
      <c r="AZ34" s="46"/>
      <c r="BA34" s="46"/>
      <c r="BB34" s="46"/>
      <c r="BC34" s="46"/>
      <c r="BD34" s="46"/>
      <c r="BE34" s="46"/>
      <c r="BF34" s="46"/>
      <c r="BG34" s="46"/>
      <c r="BH34" s="46"/>
      <c r="BI34" s="46"/>
      <c r="BJ34" s="46"/>
      <c r="BK34" s="46"/>
      <c r="BL34" s="46"/>
      <c r="BM34" s="46"/>
      <c r="BN34" s="46"/>
      <c r="BO34" s="46"/>
      <c r="BP34" s="46"/>
      <c r="BQ34" s="54"/>
      <c r="BR34" s="46"/>
      <c r="BS34" s="54"/>
      <c r="BT34" s="46"/>
      <c r="BU34" s="46"/>
      <c r="BV34" s="46"/>
      <c r="BW34" s="46"/>
      <c r="BX34" s="46"/>
      <c r="BY34" s="54"/>
      <c r="BZ34" s="46"/>
      <c r="CA34" s="46"/>
      <c r="CB34" s="46"/>
      <c r="CC34" s="46"/>
    </row>
    <row r="35" spans="4:81" s="39" customFormat="true" ht="12" customHeight="true">
      <c r="D35" s="46"/>
      <c r="E35" s="46"/>
      <c r="F35" s="46"/>
      <c r="G35" s="46"/>
      <c r="H35" s="46"/>
      <c r="I35" s="46"/>
      <c r="J35" s="46"/>
      <c r="K35" s="46"/>
      <c r="L35" s="46"/>
      <c r="M35" s="46"/>
      <c r="N35" s="46"/>
      <c r="O35" s="46"/>
      <c r="P35" s="46"/>
      <c r="Q35" s="46"/>
      <c r="R35" s="46"/>
      <c r="S35" s="46"/>
      <c r="T35" s="51"/>
      <c r="U35" s="46"/>
      <c r="V35" s="46"/>
      <c r="W35" s="46"/>
      <c r="X35" s="46"/>
      <c r="Y35" s="46"/>
      <c r="Z35" s="51"/>
      <c r="AA35" s="51"/>
      <c r="AB35" s="51"/>
      <c r="AC35" s="51"/>
      <c r="AD35" s="51"/>
      <c r="AE35" s="46"/>
      <c r="AF35" s="51"/>
      <c r="AG35" s="46"/>
      <c r="AH35" s="46"/>
      <c r="AI35" s="51"/>
      <c r="AJ35" s="46"/>
      <c r="AK35" s="46"/>
      <c r="AL35" s="46"/>
      <c r="AM35" s="46"/>
      <c r="AN35" s="46"/>
      <c r="AO35" s="46"/>
      <c r="AP35" s="46"/>
      <c r="AQ35" s="46"/>
      <c r="AR35" s="46"/>
      <c r="AS35" s="46"/>
      <c r="AT35" s="51"/>
      <c r="AU35" s="46"/>
      <c r="AV35" s="46"/>
      <c r="AW35" s="46"/>
      <c r="AX35" s="46"/>
      <c r="AY35" s="46"/>
      <c r="AZ35" s="46"/>
      <c r="BA35" s="46"/>
      <c r="BB35" s="46"/>
      <c r="BC35" s="46"/>
      <c r="BD35" s="46"/>
      <c r="BE35" s="46"/>
      <c r="BF35" s="46"/>
      <c r="BG35" s="46"/>
      <c r="BH35" s="46"/>
      <c r="BI35" s="46"/>
      <c r="BJ35" s="46"/>
      <c r="BK35" s="46"/>
      <c r="BL35" s="46"/>
      <c r="BM35" s="46"/>
      <c r="BN35" s="46"/>
      <c r="BO35" s="46"/>
      <c r="BP35" s="46"/>
      <c r="BQ35" s="54"/>
      <c r="BR35" s="46"/>
      <c r="BS35" s="54"/>
      <c r="BT35" s="46"/>
      <c r="BU35" s="46"/>
      <c r="BV35" s="46"/>
      <c r="BW35" s="46"/>
      <c r="BX35" s="46"/>
      <c r="BY35" s="54"/>
      <c r="BZ35" s="46"/>
      <c r="CA35" s="46"/>
      <c r="CB35" s="46"/>
      <c r="CC35" s="46"/>
    </row>
    <row r="36" spans="4:81" s="39" customFormat="true" ht="12" customHeight="true">
      <c r="D36" s="46"/>
      <c r="E36" s="46"/>
      <c r="F36" s="46"/>
      <c r="G36" s="46"/>
      <c r="H36" s="46"/>
      <c r="I36" s="46"/>
      <c r="J36" s="46"/>
      <c r="K36" s="46"/>
      <c r="L36" s="46"/>
      <c r="M36" s="46"/>
      <c r="N36" s="46"/>
      <c r="O36" s="46"/>
      <c r="P36" s="46"/>
      <c r="Q36" s="46"/>
      <c r="R36" s="46"/>
      <c r="S36" s="46"/>
      <c r="T36" s="51"/>
      <c r="U36" s="46"/>
      <c r="V36" s="46"/>
      <c r="W36" s="46"/>
      <c r="X36" s="46"/>
      <c r="Y36" s="46"/>
      <c r="Z36" s="51"/>
      <c r="AA36" s="51"/>
      <c r="AB36" s="51"/>
      <c r="AC36" s="51"/>
      <c r="AD36" s="51"/>
      <c r="AE36" s="46"/>
      <c r="AF36" s="51"/>
      <c r="AG36" s="46"/>
      <c r="AH36" s="46"/>
      <c r="AI36" s="51"/>
      <c r="AJ36" s="46"/>
      <c r="AK36" s="46"/>
      <c r="AL36" s="46"/>
      <c r="AM36" s="46"/>
      <c r="AN36" s="46"/>
      <c r="AO36" s="46"/>
      <c r="AP36" s="46"/>
      <c r="AQ36" s="46"/>
      <c r="AR36" s="46"/>
      <c r="AS36" s="46"/>
      <c r="AT36" s="51"/>
      <c r="AU36" s="46"/>
      <c r="AV36" s="46"/>
      <c r="AW36" s="46"/>
      <c r="AX36" s="46"/>
      <c r="AY36" s="46"/>
      <c r="AZ36" s="46"/>
      <c r="BA36" s="46"/>
      <c r="BB36" s="46"/>
      <c r="BC36" s="46"/>
      <c r="BD36" s="46"/>
      <c r="BE36" s="46"/>
      <c r="BF36" s="46"/>
      <c r="BG36" s="46"/>
      <c r="BH36" s="46"/>
      <c r="BI36" s="46"/>
      <c r="BJ36" s="46"/>
      <c r="BK36" s="46"/>
      <c r="BL36" s="46"/>
      <c r="BM36" s="46"/>
      <c r="BN36" s="46"/>
      <c r="BO36" s="46"/>
      <c r="BP36" s="46"/>
      <c r="BQ36" s="54"/>
      <c r="BR36" s="46"/>
      <c r="BS36" s="54"/>
      <c r="BT36" s="46"/>
      <c r="BU36" s="46"/>
      <c r="BV36" s="46"/>
      <c r="BW36" s="46"/>
      <c r="BX36" s="46"/>
      <c r="BY36" s="54"/>
      <c r="BZ36" s="46"/>
      <c r="CA36" s="46"/>
      <c r="CB36" s="46"/>
      <c r="CC36" s="46"/>
    </row>
    <row r="37" spans="4:81" s="39" customFormat="true" ht="12" customHeight="true">
      <c r="D37" s="46"/>
      <c r="E37" s="46"/>
      <c r="F37" s="46"/>
      <c r="G37" s="46"/>
      <c r="H37" s="46"/>
      <c r="I37" s="46"/>
      <c r="J37" s="46"/>
      <c r="K37" s="46"/>
      <c r="L37" s="46"/>
      <c r="M37" s="46"/>
      <c r="N37" s="46"/>
      <c r="O37" s="46"/>
      <c r="P37" s="46"/>
      <c r="Q37" s="46"/>
      <c r="R37" s="46"/>
      <c r="S37" s="46"/>
      <c r="T37" s="51"/>
      <c r="U37" s="46"/>
      <c r="V37" s="46"/>
      <c r="W37" s="46"/>
      <c r="X37" s="46"/>
      <c r="Y37" s="46"/>
      <c r="Z37" s="51"/>
      <c r="AA37" s="51"/>
      <c r="AB37" s="51"/>
      <c r="AC37" s="51"/>
      <c r="AD37" s="51"/>
      <c r="AE37" s="46"/>
      <c r="AF37" s="51"/>
      <c r="AG37" s="46"/>
      <c r="AH37" s="46"/>
      <c r="AI37" s="51"/>
      <c r="AJ37" s="46"/>
      <c r="AK37" s="46"/>
      <c r="AL37" s="46"/>
      <c r="AM37" s="46"/>
      <c r="AN37" s="46"/>
      <c r="AO37" s="46"/>
      <c r="AP37" s="46"/>
      <c r="AQ37" s="46"/>
      <c r="AR37" s="46"/>
      <c r="AS37" s="46"/>
      <c r="AT37" s="51"/>
      <c r="AU37" s="46"/>
      <c r="AV37" s="46"/>
      <c r="AW37" s="46"/>
      <c r="AX37" s="46"/>
      <c r="AY37" s="46"/>
      <c r="AZ37" s="46"/>
      <c r="BA37" s="46"/>
      <c r="BB37" s="46"/>
      <c r="BC37" s="46"/>
      <c r="BD37" s="46"/>
      <c r="BE37" s="46"/>
      <c r="BF37" s="46"/>
      <c r="BG37" s="46"/>
      <c r="BH37" s="46"/>
      <c r="BI37" s="46"/>
      <c r="BJ37" s="46"/>
      <c r="BK37" s="46"/>
      <c r="BL37" s="46"/>
      <c r="BM37" s="46"/>
      <c r="BN37" s="46"/>
      <c r="BO37" s="46"/>
      <c r="BP37" s="46"/>
      <c r="BQ37" s="54"/>
      <c r="BR37" s="46"/>
      <c r="BS37" s="54"/>
      <c r="BT37" s="46"/>
      <c r="BU37" s="46"/>
      <c r="BV37" s="46"/>
      <c r="BW37" s="46"/>
      <c r="BX37" s="46"/>
      <c r="BY37" s="54"/>
      <c r="BZ37" s="46"/>
      <c r="CA37" s="46"/>
      <c r="CB37" s="46"/>
      <c r="CC37" s="46"/>
    </row>
    <row r="38" spans="4:81" s="39" customFormat="true" ht="12" customHeight="true">
      <c r="D38" s="46"/>
      <c r="E38" s="46"/>
      <c r="F38" s="46"/>
      <c r="G38" s="46"/>
      <c r="H38" s="46"/>
      <c r="I38" s="46"/>
      <c r="J38" s="46"/>
      <c r="K38" s="46"/>
      <c r="L38" s="46"/>
      <c r="M38" s="46"/>
      <c r="N38" s="46"/>
      <c r="O38" s="46"/>
      <c r="P38" s="46"/>
      <c r="Q38" s="46"/>
      <c r="R38" s="46"/>
      <c r="S38" s="46"/>
      <c r="T38" s="51"/>
      <c r="U38" s="46"/>
      <c r="V38" s="46"/>
      <c r="W38" s="46"/>
      <c r="X38" s="46"/>
      <c r="Y38" s="46"/>
      <c r="Z38" s="51"/>
      <c r="AA38" s="51"/>
      <c r="AB38" s="51"/>
      <c r="AC38" s="51"/>
      <c r="AD38" s="51"/>
      <c r="AE38" s="46"/>
      <c r="AF38" s="51"/>
      <c r="AG38" s="46"/>
      <c r="AH38" s="46"/>
      <c r="AI38" s="51"/>
      <c r="AJ38" s="46"/>
      <c r="AK38" s="46"/>
      <c r="AL38" s="46"/>
      <c r="AM38" s="46"/>
      <c r="AN38" s="46"/>
      <c r="AO38" s="46"/>
      <c r="AP38" s="46"/>
      <c r="AQ38" s="46"/>
      <c r="AR38" s="46"/>
      <c r="AS38" s="46"/>
      <c r="AT38" s="51"/>
      <c r="AU38" s="46"/>
      <c r="AV38" s="46"/>
      <c r="AW38" s="46"/>
      <c r="AX38" s="46"/>
      <c r="AY38" s="46"/>
      <c r="AZ38" s="46"/>
      <c r="BA38" s="46"/>
      <c r="BB38" s="46"/>
      <c r="BC38" s="46"/>
      <c r="BD38" s="46"/>
      <c r="BE38" s="46"/>
      <c r="BF38" s="46"/>
      <c r="BG38" s="46"/>
      <c r="BH38" s="46"/>
      <c r="BI38" s="46"/>
      <c r="BJ38" s="46"/>
      <c r="BK38" s="46"/>
      <c r="BL38" s="46"/>
      <c r="BM38" s="46"/>
      <c r="BN38" s="46"/>
      <c r="BO38" s="46"/>
      <c r="BP38" s="46"/>
      <c r="BQ38" s="54"/>
      <c r="BR38" s="46"/>
      <c r="BS38" s="54"/>
      <c r="BT38" s="46"/>
      <c r="BU38" s="46"/>
      <c r="BV38" s="46"/>
      <c r="BW38" s="46"/>
      <c r="BX38" s="46"/>
      <c r="BY38" s="54"/>
      <c r="BZ38" s="46"/>
      <c r="CA38" s="46"/>
      <c r="CB38" s="46"/>
      <c r="CC38" s="46"/>
    </row>
    <row r="39" spans="4:81" s="39" customFormat="true" ht="12" customHeight="true">
      <c r="D39" s="46"/>
      <c r="E39" s="46"/>
      <c r="F39" s="46"/>
      <c r="G39" s="46"/>
      <c r="H39" s="46"/>
      <c r="I39" s="46"/>
      <c r="J39" s="46"/>
      <c r="K39" s="46"/>
      <c r="L39" s="46"/>
      <c r="M39" s="46"/>
      <c r="N39" s="46"/>
      <c r="O39" s="46"/>
      <c r="P39" s="46"/>
      <c r="Q39" s="46"/>
      <c r="R39" s="46"/>
      <c r="S39" s="46"/>
      <c r="T39" s="51"/>
      <c r="U39" s="46"/>
      <c r="V39" s="46"/>
      <c r="W39" s="46"/>
      <c r="X39" s="46"/>
      <c r="Y39" s="46"/>
      <c r="Z39" s="51"/>
      <c r="AA39" s="51"/>
      <c r="AB39" s="51"/>
      <c r="AC39" s="51"/>
      <c r="AD39" s="51"/>
      <c r="AE39" s="46"/>
      <c r="AF39" s="51"/>
      <c r="AG39" s="46"/>
      <c r="AH39" s="46"/>
      <c r="AI39" s="51"/>
      <c r="AJ39" s="46"/>
      <c r="AK39" s="46"/>
      <c r="AL39" s="46"/>
      <c r="AM39" s="46"/>
      <c r="AN39" s="46"/>
      <c r="AO39" s="46"/>
      <c r="AP39" s="46"/>
      <c r="AQ39" s="46"/>
      <c r="AR39" s="46"/>
      <c r="AS39" s="46"/>
      <c r="AT39" s="51"/>
      <c r="AU39" s="46"/>
      <c r="AV39" s="46"/>
      <c r="AW39" s="46"/>
      <c r="AX39" s="46"/>
      <c r="AY39" s="46"/>
      <c r="AZ39" s="46"/>
      <c r="BA39" s="46"/>
      <c r="BB39" s="46"/>
      <c r="BC39" s="46"/>
      <c r="BD39" s="46"/>
      <c r="BE39" s="46"/>
      <c r="BF39" s="46"/>
      <c r="BG39" s="46"/>
      <c r="BH39" s="46"/>
      <c r="BI39" s="46"/>
      <c r="BJ39" s="46"/>
      <c r="BK39" s="46"/>
      <c r="BL39" s="46"/>
      <c r="BM39" s="46"/>
      <c r="BN39" s="46"/>
      <c r="BO39" s="46"/>
      <c r="BP39" s="46"/>
      <c r="BQ39" s="54"/>
      <c r="BR39" s="46"/>
      <c r="BS39" s="54"/>
      <c r="BT39" s="46"/>
      <c r="BU39" s="46"/>
      <c r="BV39" s="46"/>
      <c r="BW39" s="46"/>
      <c r="BX39" s="46"/>
      <c r="BY39" s="54"/>
      <c r="BZ39" s="46"/>
      <c r="CA39" s="46"/>
      <c r="CB39" s="46"/>
      <c r="CC39" s="46"/>
    </row>
    <row r="40" spans="4:81" s="39" customFormat="true" ht="12" customHeight="true">
      <c r="D40" s="46"/>
      <c r="E40" s="46"/>
      <c r="F40" s="46"/>
      <c r="G40" s="46"/>
      <c r="H40" s="46"/>
      <c r="I40" s="46"/>
      <c r="J40" s="46"/>
      <c r="K40" s="46"/>
      <c r="L40" s="46"/>
      <c r="M40" s="46"/>
      <c r="N40" s="46"/>
      <c r="O40" s="46"/>
      <c r="P40" s="46"/>
      <c r="Q40" s="46"/>
      <c r="R40" s="46"/>
      <c r="S40" s="46"/>
      <c r="T40" s="51"/>
      <c r="U40" s="46"/>
      <c r="V40" s="46"/>
      <c r="W40" s="46"/>
      <c r="X40" s="46"/>
      <c r="Y40" s="46"/>
      <c r="Z40" s="51"/>
      <c r="AA40" s="51"/>
      <c r="AB40" s="51"/>
      <c r="AC40" s="51"/>
      <c r="AD40" s="51"/>
      <c r="AE40" s="46"/>
      <c r="AF40" s="51"/>
      <c r="AG40" s="46"/>
      <c r="AH40" s="46"/>
      <c r="AI40" s="51"/>
      <c r="AJ40" s="46"/>
      <c r="AK40" s="46"/>
      <c r="AL40" s="46"/>
      <c r="AM40" s="46"/>
      <c r="AN40" s="46"/>
      <c r="AO40" s="46"/>
      <c r="AP40" s="46"/>
      <c r="AQ40" s="46"/>
      <c r="AR40" s="46"/>
      <c r="AS40" s="46"/>
      <c r="AT40" s="51"/>
      <c r="AU40" s="46"/>
      <c r="AV40" s="46"/>
      <c r="AW40" s="46"/>
      <c r="AX40" s="46"/>
      <c r="AY40" s="46"/>
      <c r="AZ40" s="46"/>
      <c r="BA40" s="46"/>
      <c r="BB40" s="46"/>
      <c r="BC40" s="46"/>
      <c r="BD40" s="46"/>
      <c r="BE40" s="46"/>
      <c r="BF40" s="46"/>
      <c r="BG40" s="46"/>
      <c r="BH40" s="46"/>
      <c r="BI40" s="46"/>
      <c r="BJ40" s="46"/>
      <c r="BK40" s="46"/>
      <c r="BL40" s="46"/>
      <c r="BM40" s="46"/>
      <c r="BN40" s="46"/>
      <c r="BO40" s="46"/>
      <c r="BP40" s="46"/>
      <c r="BQ40" s="54"/>
      <c r="BR40" s="46"/>
      <c r="BS40" s="54"/>
      <c r="BT40" s="46"/>
      <c r="BU40" s="46"/>
      <c r="BV40" s="46"/>
      <c r="BW40" s="46"/>
      <c r="BX40" s="46"/>
      <c r="BY40" s="54"/>
      <c r="BZ40" s="46"/>
      <c r="CA40" s="46"/>
      <c r="CB40" s="46"/>
      <c r="CC40" s="46"/>
    </row>
    <row r="41" spans="4:81" s="39" customFormat="true" ht="12" customHeight="true">
      <c r="D41" s="46"/>
      <c r="E41" s="46"/>
      <c r="F41" s="46"/>
      <c r="G41" s="46"/>
      <c r="H41" s="46"/>
      <c r="I41" s="46"/>
      <c r="J41" s="46"/>
      <c r="K41" s="46"/>
      <c r="L41" s="46"/>
      <c r="M41" s="46"/>
      <c r="N41" s="46"/>
      <c r="O41" s="46"/>
      <c r="P41" s="46"/>
      <c r="Q41" s="46"/>
      <c r="R41" s="46"/>
      <c r="S41" s="46"/>
      <c r="T41" s="51"/>
      <c r="U41" s="46"/>
      <c r="V41" s="46"/>
      <c r="W41" s="46"/>
      <c r="X41" s="46"/>
      <c r="Y41" s="46"/>
      <c r="Z41" s="51"/>
      <c r="AA41" s="51"/>
      <c r="AB41" s="51"/>
      <c r="AC41" s="51"/>
      <c r="AD41" s="51"/>
      <c r="AE41" s="46"/>
      <c r="AF41" s="51"/>
      <c r="AG41" s="46"/>
      <c r="AH41" s="46"/>
      <c r="AI41" s="51"/>
      <c r="AJ41" s="46"/>
      <c r="AK41" s="46"/>
      <c r="AL41" s="46"/>
      <c r="AM41" s="46"/>
      <c r="AN41" s="46"/>
      <c r="AO41" s="46"/>
      <c r="AP41" s="46"/>
      <c r="AQ41" s="46"/>
      <c r="AR41" s="46"/>
      <c r="AS41" s="46"/>
      <c r="AT41" s="51"/>
      <c r="AU41" s="46"/>
      <c r="AV41" s="46"/>
      <c r="AW41" s="46"/>
      <c r="AX41" s="46"/>
      <c r="AY41" s="46"/>
      <c r="AZ41" s="46"/>
      <c r="BA41" s="46"/>
      <c r="BB41" s="46"/>
      <c r="BC41" s="46"/>
      <c r="BD41" s="46"/>
      <c r="BE41" s="46"/>
      <c r="BF41" s="46"/>
      <c r="BG41" s="46"/>
      <c r="BH41" s="46"/>
      <c r="BI41" s="46"/>
      <c r="BJ41" s="46"/>
      <c r="BK41" s="46"/>
      <c r="BL41" s="46"/>
      <c r="BM41" s="46"/>
      <c r="BN41" s="46"/>
      <c r="BO41" s="46"/>
      <c r="BP41" s="46"/>
      <c r="BQ41" s="54"/>
      <c r="BR41" s="46"/>
      <c r="BS41" s="54"/>
      <c r="BT41" s="46"/>
      <c r="BU41" s="46"/>
      <c r="BV41" s="46"/>
      <c r="BW41" s="46"/>
      <c r="BX41" s="46"/>
      <c r="BY41" s="54"/>
      <c r="BZ41" s="46"/>
      <c r="CA41" s="46"/>
      <c r="CB41" s="46"/>
      <c r="CC41" s="46"/>
    </row>
    <row r="42" spans="4:81" s="39" customFormat="true" ht="12" customHeight="true">
      <c r="D42" s="46"/>
      <c r="E42" s="46"/>
      <c r="F42" s="46"/>
      <c r="G42" s="46"/>
      <c r="H42" s="46"/>
      <c r="I42" s="46"/>
      <c r="J42" s="46"/>
      <c r="K42" s="46"/>
      <c r="L42" s="46"/>
      <c r="M42" s="46"/>
      <c r="N42" s="46"/>
      <c r="O42" s="46"/>
      <c r="P42" s="46"/>
      <c r="Q42" s="46"/>
      <c r="R42" s="46"/>
      <c r="S42" s="46"/>
      <c r="T42" s="51"/>
      <c r="U42" s="46"/>
      <c r="V42" s="46"/>
      <c r="W42" s="46"/>
      <c r="X42" s="46"/>
      <c r="Y42" s="46"/>
      <c r="Z42" s="51"/>
      <c r="AA42" s="51"/>
      <c r="AB42" s="51"/>
      <c r="AC42" s="51"/>
      <c r="AD42" s="51"/>
      <c r="AE42" s="46"/>
      <c r="AF42" s="51"/>
      <c r="AG42" s="46"/>
      <c r="AH42" s="46"/>
      <c r="AI42" s="51"/>
      <c r="AJ42" s="46"/>
      <c r="AK42" s="46"/>
      <c r="AL42" s="46"/>
      <c r="AM42" s="46"/>
      <c r="AN42" s="46"/>
      <c r="AO42" s="46"/>
      <c r="AP42" s="46"/>
      <c r="AQ42" s="46"/>
      <c r="AR42" s="46"/>
      <c r="AS42" s="46"/>
      <c r="AT42" s="51"/>
      <c r="AU42" s="46"/>
      <c r="AV42" s="46"/>
      <c r="AW42" s="46"/>
      <c r="AX42" s="46"/>
      <c r="AY42" s="46"/>
      <c r="AZ42" s="46"/>
      <c r="BA42" s="46"/>
      <c r="BB42" s="46"/>
      <c r="BC42" s="46"/>
      <c r="BD42" s="46"/>
      <c r="BE42" s="46"/>
      <c r="BF42" s="46"/>
      <c r="BG42" s="46"/>
      <c r="BH42" s="46"/>
      <c r="BI42" s="46"/>
      <c r="BJ42" s="46"/>
      <c r="BK42" s="46"/>
      <c r="BL42" s="46"/>
      <c r="BM42" s="46"/>
      <c r="BN42" s="46"/>
      <c r="BO42" s="46"/>
      <c r="BP42" s="46"/>
      <c r="BQ42" s="54"/>
      <c r="BR42" s="46"/>
      <c r="BS42" s="54"/>
      <c r="BT42" s="46"/>
      <c r="BU42" s="46"/>
      <c r="BV42" s="46"/>
      <c r="BW42" s="46"/>
      <c r="BX42" s="46"/>
      <c r="BY42" s="54"/>
      <c r="BZ42" s="46"/>
      <c r="CA42" s="46"/>
      <c r="CB42" s="46"/>
      <c r="CC42" s="46"/>
    </row>
    <row r="43" spans="4:81" s="39" customFormat="true" ht="12" customHeight="true">
      <c r="D43" s="46"/>
      <c r="E43" s="46"/>
      <c r="F43" s="46"/>
      <c r="G43" s="46"/>
      <c r="H43" s="46"/>
      <c r="I43" s="46"/>
      <c r="J43" s="46"/>
      <c r="K43" s="46"/>
      <c r="L43" s="46"/>
      <c r="M43" s="46"/>
      <c r="N43" s="46"/>
      <c r="O43" s="46"/>
      <c r="P43" s="46"/>
      <c r="Q43" s="46"/>
      <c r="R43" s="46"/>
      <c r="S43" s="46"/>
      <c r="T43" s="51"/>
      <c r="U43" s="46"/>
      <c r="V43" s="46"/>
      <c r="W43" s="46"/>
      <c r="X43" s="46"/>
      <c r="Y43" s="46"/>
      <c r="Z43" s="51"/>
      <c r="AA43" s="51"/>
      <c r="AB43" s="51"/>
      <c r="AC43" s="51"/>
      <c r="AD43" s="51"/>
      <c r="AE43" s="46"/>
      <c r="AF43" s="51"/>
      <c r="AG43" s="46"/>
      <c r="AH43" s="46"/>
      <c r="AI43" s="51"/>
      <c r="AJ43" s="46"/>
      <c r="AK43" s="46"/>
      <c r="AL43" s="46"/>
      <c r="AM43" s="46"/>
      <c r="AN43" s="46"/>
      <c r="AO43" s="46"/>
      <c r="AP43" s="46"/>
      <c r="AQ43" s="46"/>
      <c r="AR43" s="46"/>
      <c r="AS43" s="46"/>
      <c r="AT43" s="51"/>
      <c r="AU43" s="46"/>
      <c r="AV43" s="46"/>
      <c r="AW43" s="46"/>
      <c r="AX43" s="46"/>
      <c r="AY43" s="46"/>
      <c r="AZ43" s="46"/>
      <c r="BA43" s="46"/>
      <c r="BB43" s="46"/>
      <c r="BC43" s="46"/>
      <c r="BD43" s="46"/>
      <c r="BE43" s="46"/>
      <c r="BF43" s="46"/>
      <c r="BG43" s="46"/>
      <c r="BH43" s="46"/>
      <c r="BI43" s="46"/>
      <c r="BJ43" s="46"/>
      <c r="BK43" s="46"/>
      <c r="BL43" s="46"/>
      <c r="BM43" s="46"/>
      <c r="BN43" s="46"/>
      <c r="BO43" s="46"/>
      <c r="BP43" s="46"/>
      <c r="BQ43" s="54"/>
      <c r="BR43" s="46"/>
      <c r="BS43" s="54"/>
      <c r="BT43" s="46"/>
      <c r="BU43" s="46"/>
      <c r="BV43" s="46"/>
      <c r="BW43" s="46"/>
      <c r="BX43" s="46"/>
      <c r="BY43" s="54"/>
      <c r="BZ43" s="46"/>
      <c r="CA43" s="46"/>
      <c r="CB43" s="46"/>
      <c r="CC43" s="46"/>
    </row>
    <row r="44" spans="4:81" s="39" customFormat="true" ht="12" customHeight="true">
      <c r="D44" s="46"/>
      <c r="E44" s="46"/>
      <c r="F44" s="46"/>
      <c r="G44" s="46"/>
      <c r="H44" s="46"/>
      <c r="I44" s="46"/>
      <c r="J44" s="46"/>
      <c r="K44" s="46"/>
      <c r="L44" s="46"/>
      <c r="M44" s="46"/>
      <c r="N44" s="46"/>
      <c r="O44" s="46"/>
      <c r="P44" s="46"/>
      <c r="Q44" s="46"/>
      <c r="R44" s="46"/>
      <c r="S44" s="46"/>
      <c r="T44" s="51"/>
      <c r="U44" s="46"/>
      <c r="V44" s="46"/>
      <c r="W44" s="46"/>
      <c r="X44" s="46"/>
      <c r="Y44" s="46"/>
      <c r="Z44" s="51"/>
      <c r="AA44" s="51"/>
      <c r="AB44" s="51"/>
      <c r="AC44" s="51"/>
      <c r="AD44" s="51"/>
      <c r="AE44" s="46"/>
      <c r="AF44" s="51"/>
      <c r="AG44" s="46"/>
      <c r="AH44" s="46"/>
      <c r="AI44" s="51"/>
      <c r="AJ44" s="46"/>
      <c r="AK44" s="46"/>
      <c r="AL44" s="46"/>
      <c r="AM44" s="46"/>
      <c r="AN44" s="46"/>
      <c r="AO44" s="46"/>
      <c r="AP44" s="46"/>
      <c r="AQ44" s="46"/>
      <c r="AR44" s="46"/>
      <c r="AS44" s="46"/>
      <c r="AT44" s="51"/>
      <c r="AU44" s="46"/>
      <c r="AV44" s="46"/>
      <c r="AW44" s="46"/>
      <c r="AX44" s="46"/>
      <c r="AY44" s="46"/>
      <c r="AZ44" s="46"/>
      <c r="BA44" s="46"/>
      <c r="BB44" s="46"/>
      <c r="BC44" s="46"/>
      <c r="BD44" s="46"/>
      <c r="BE44" s="46"/>
      <c r="BF44" s="46"/>
      <c r="BG44" s="46"/>
      <c r="BH44" s="46"/>
      <c r="BI44" s="46"/>
      <c r="BJ44" s="46"/>
      <c r="BK44" s="46"/>
      <c r="BL44" s="46"/>
      <c r="BM44" s="46"/>
      <c r="BN44" s="46"/>
      <c r="BO44" s="46"/>
      <c r="BP44" s="46"/>
      <c r="BQ44" s="54"/>
      <c r="BR44" s="46"/>
      <c r="BS44" s="54"/>
      <c r="BT44" s="46"/>
      <c r="BU44" s="46"/>
      <c r="BV44" s="46"/>
      <c r="BW44" s="46"/>
      <c r="BX44" s="46"/>
      <c r="BY44" s="54"/>
      <c r="BZ44" s="46"/>
      <c r="CA44" s="46"/>
      <c r="CB44" s="46"/>
      <c r="CC44" s="46"/>
    </row>
    <row r="45" spans="4:81" s="39" customFormat="true" ht="12" customHeight="true">
      <c r="D45" s="46"/>
      <c r="E45" s="46"/>
      <c r="F45" s="46"/>
      <c r="G45" s="46"/>
      <c r="H45" s="46"/>
      <c r="I45" s="46"/>
      <c r="J45" s="46"/>
      <c r="K45" s="46"/>
      <c r="L45" s="46"/>
      <c r="M45" s="46"/>
      <c r="N45" s="46"/>
      <c r="O45" s="46"/>
      <c r="P45" s="46"/>
      <c r="Q45" s="46"/>
      <c r="R45" s="46"/>
      <c r="S45" s="46"/>
      <c r="T45" s="51"/>
      <c r="U45" s="46"/>
      <c r="V45" s="46"/>
      <c r="W45" s="46"/>
      <c r="X45" s="46"/>
      <c r="Y45" s="46"/>
      <c r="Z45" s="51"/>
      <c r="AA45" s="51"/>
      <c r="AB45" s="51"/>
      <c r="AC45" s="51"/>
      <c r="AD45" s="51"/>
      <c r="AE45" s="46"/>
      <c r="AF45" s="51"/>
      <c r="AG45" s="46"/>
      <c r="AH45" s="46"/>
      <c r="AI45" s="51"/>
      <c r="AJ45" s="46"/>
      <c r="AK45" s="46"/>
      <c r="AL45" s="46"/>
      <c r="AM45" s="46"/>
      <c r="AN45" s="46"/>
      <c r="AO45" s="46"/>
      <c r="AP45" s="46"/>
      <c r="AQ45" s="46"/>
      <c r="AR45" s="46"/>
      <c r="AS45" s="46"/>
      <c r="AT45" s="51"/>
      <c r="AU45" s="46"/>
      <c r="AV45" s="46"/>
      <c r="AW45" s="46"/>
      <c r="AX45" s="46"/>
      <c r="AY45" s="46"/>
      <c r="AZ45" s="46"/>
      <c r="BA45" s="46"/>
      <c r="BB45" s="46"/>
      <c r="BC45" s="46"/>
      <c r="BD45" s="46"/>
      <c r="BE45" s="46"/>
      <c r="BF45" s="46"/>
      <c r="BG45" s="46"/>
      <c r="BH45" s="46"/>
      <c r="BI45" s="46"/>
      <c r="BJ45" s="46"/>
      <c r="BK45" s="46"/>
      <c r="BL45" s="46"/>
      <c r="BM45" s="46"/>
      <c r="BN45" s="46"/>
      <c r="BO45" s="46"/>
      <c r="BP45" s="46"/>
      <c r="BQ45" s="54"/>
      <c r="BR45" s="46"/>
      <c r="BS45" s="54"/>
      <c r="BT45" s="46"/>
      <c r="BU45" s="46"/>
      <c r="BV45" s="46"/>
      <c r="BW45" s="46"/>
      <c r="BX45" s="46"/>
      <c r="BY45" s="54"/>
      <c r="BZ45" s="46"/>
      <c r="CA45" s="46"/>
      <c r="CB45" s="46"/>
      <c r="CC45" s="46"/>
    </row>
    <row r="46" spans="4:81" s="39" customFormat="true" ht="12" customHeight="true">
      <c r="D46" s="46"/>
      <c r="E46" s="46"/>
      <c r="F46" s="46"/>
      <c r="G46" s="46"/>
      <c r="H46" s="46"/>
      <c r="I46" s="46"/>
      <c r="J46" s="46"/>
      <c r="K46" s="46"/>
      <c r="L46" s="46"/>
      <c r="M46" s="46"/>
      <c r="N46" s="46"/>
      <c r="O46" s="46"/>
      <c r="P46" s="46"/>
      <c r="Q46" s="46"/>
      <c r="R46" s="46"/>
      <c r="S46" s="46"/>
      <c r="T46" s="51"/>
      <c r="U46" s="46"/>
      <c r="V46" s="46"/>
      <c r="W46" s="46"/>
      <c r="X46" s="46"/>
      <c r="Y46" s="46"/>
      <c r="Z46" s="51"/>
      <c r="AA46" s="51"/>
      <c r="AB46" s="51"/>
      <c r="AC46" s="51"/>
      <c r="AD46" s="51"/>
      <c r="AE46" s="46"/>
      <c r="AF46" s="51"/>
      <c r="AG46" s="46"/>
      <c r="AH46" s="46"/>
      <c r="AI46" s="51"/>
      <c r="AJ46" s="46"/>
      <c r="AK46" s="46"/>
      <c r="AL46" s="46"/>
      <c r="AM46" s="46"/>
      <c r="AN46" s="46"/>
      <c r="AO46" s="46"/>
      <c r="AP46" s="46"/>
      <c r="AQ46" s="46"/>
      <c r="AR46" s="46"/>
      <c r="AS46" s="46"/>
      <c r="AT46" s="51"/>
      <c r="AU46" s="46"/>
      <c r="AV46" s="46"/>
      <c r="AW46" s="46"/>
      <c r="AX46" s="46"/>
      <c r="AY46" s="46"/>
      <c r="AZ46" s="46"/>
      <c r="BA46" s="46"/>
      <c r="BB46" s="46"/>
      <c r="BC46" s="46"/>
      <c r="BD46" s="46"/>
      <c r="BE46" s="46"/>
      <c r="BF46" s="46"/>
      <c r="BG46" s="46"/>
      <c r="BH46" s="46"/>
      <c r="BI46" s="46"/>
      <c r="BJ46" s="46"/>
      <c r="BK46" s="46"/>
      <c r="BL46" s="46"/>
      <c r="BM46" s="46"/>
      <c r="BN46" s="46"/>
      <c r="BO46" s="46"/>
      <c r="BP46" s="46"/>
      <c r="BQ46" s="54"/>
      <c r="BR46" s="46"/>
      <c r="BS46" s="54"/>
      <c r="BT46" s="46"/>
      <c r="BU46" s="46"/>
      <c r="BV46" s="46"/>
      <c r="BW46" s="46"/>
      <c r="BX46" s="46"/>
      <c r="BY46" s="54"/>
      <c r="BZ46" s="46"/>
      <c r="CA46" s="46"/>
      <c r="CB46" s="46"/>
      <c r="CC46" s="46"/>
    </row>
    <row r="47" spans="2:82" s="39" customFormat="true" ht="12" customHeight="true">
      <c r="B47" s="39" t="s">
        <v>34191</v>
      </c>
      <c r="D47" s="39">
        <f t="shared" ref="D47:BO47" si="2">+SUM(D31:D46)</f>
        <v>0</v>
      </c>
      <c r="E47" s="39">
        <f t="shared" si="2"/>
        <v>18589.30821</v>
      </c>
      <c r="F47" s="39">
        <f t="shared" si="2"/>
        <v>50952.85</v>
      </c>
      <c r="G47" s="39">
        <f t="shared" si="2"/>
        <v>0</v>
      </c>
      <c r="H47" s="39">
        <f t="shared" si="2"/>
        <v>18856.84176</v>
      </c>
      <c r="I47" s="39">
        <f t="shared" si="2"/>
        <v>0</v>
      </c>
      <c r="J47" s="39">
        <f t="shared" si="2"/>
        <v>0</v>
      </c>
      <c r="K47" s="39">
        <f t="shared" si="2"/>
        <v>368040.03</v>
      </c>
      <c r="L47" s="39">
        <f t="shared" si="2"/>
        <v>0</v>
      </c>
      <c r="M47" s="39">
        <f t="shared" si="2"/>
        <v>0</v>
      </c>
      <c r="N47" s="39">
        <f t="shared" si="2"/>
        <v>9078.79838</v>
      </c>
      <c r="O47" s="39">
        <f t="shared" si="2"/>
        <v>99698.91</v>
      </c>
      <c r="P47" s="39">
        <f t="shared" si="2"/>
        <v>140181.63</v>
      </c>
      <c r="Q47" s="39">
        <f t="shared" si="2"/>
        <v>1868.04858</v>
      </c>
      <c r="R47" s="39">
        <f t="shared" si="2"/>
        <v>2165.25</v>
      </c>
      <c r="S47" s="39">
        <f t="shared" si="2"/>
        <v>0</v>
      </c>
      <c r="T47" s="51">
        <f t="shared" si="2"/>
        <v>0</v>
      </c>
      <c r="U47" s="39">
        <f t="shared" si="2"/>
        <v>53814.17</v>
      </c>
      <c r="V47" s="39">
        <f t="shared" si="2"/>
        <v>0</v>
      </c>
      <c r="W47" s="39">
        <f t="shared" si="2"/>
        <v>60163.34</v>
      </c>
      <c r="X47" s="39">
        <f t="shared" si="2"/>
        <v>0</v>
      </c>
      <c r="Y47" s="39">
        <f t="shared" si="2"/>
        <v>0</v>
      </c>
      <c r="Z47" s="51">
        <f t="shared" si="2"/>
        <v>0</v>
      </c>
      <c r="AA47" s="51">
        <f t="shared" si="2"/>
        <v>0</v>
      </c>
      <c r="AB47" s="51">
        <f t="shared" si="2"/>
        <v>0</v>
      </c>
      <c r="AC47" s="51">
        <f t="shared" si="2"/>
        <v>0</v>
      </c>
      <c r="AD47" s="51">
        <f t="shared" si="2"/>
        <v>0</v>
      </c>
      <c r="AE47" s="39">
        <f t="shared" si="2"/>
        <v>3123.2</v>
      </c>
      <c r="AF47" s="51">
        <f t="shared" si="2"/>
        <v>0</v>
      </c>
      <c r="AG47" s="39">
        <f t="shared" si="2"/>
        <v>258649.36</v>
      </c>
      <c r="AH47" s="39">
        <f t="shared" si="2"/>
        <v>21416.61</v>
      </c>
      <c r="AI47" s="51">
        <f t="shared" si="2"/>
        <v>0</v>
      </c>
      <c r="AJ47" s="39">
        <f t="shared" si="2"/>
        <v>145377.64</v>
      </c>
      <c r="AK47" s="39">
        <f t="shared" si="2"/>
        <v>30297.81</v>
      </c>
      <c r="AL47" s="39">
        <f t="shared" si="2"/>
        <v>7025.21</v>
      </c>
      <c r="AM47" s="39">
        <f t="shared" si="2"/>
        <v>0</v>
      </c>
      <c r="AN47" s="39">
        <f t="shared" si="2"/>
        <v>0</v>
      </c>
      <c r="AO47" s="39">
        <f t="shared" si="2"/>
        <v>0</v>
      </c>
      <c r="AP47" s="39">
        <f t="shared" si="2"/>
        <v>0</v>
      </c>
      <c r="AQ47" s="39">
        <f t="shared" si="2"/>
        <v>81000</v>
      </c>
      <c r="AR47" s="39">
        <f t="shared" si="2"/>
        <v>0</v>
      </c>
      <c r="AS47" s="39">
        <f t="shared" si="2"/>
        <v>0</v>
      </c>
      <c r="AT47" s="51">
        <f t="shared" si="2"/>
        <v>0</v>
      </c>
      <c r="AU47" s="39">
        <f t="shared" si="2"/>
        <v>15517.95</v>
      </c>
      <c r="AV47" s="39">
        <f t="shared" si="2"/>
        <v>112482.64</v>
      </c>
      <c r="AW47" s="39">
        <f t="shared" si="2"/>
        <v>32250</v>
      </c>
      <c r="AX47" s="39">
        <f t="shared" si="2"/>
        <v>9446.55</v>
      </c>
      <c r="AY47" s="39">
        <f t="shared" si="2"/>
        <v>40425.72</v>
      </c>
      <c r="AZ47" s="39">
        <f t="shared" si="2"/>
        <v>0</v>
      </c>
      <c r="BA47" s="39">
        <f t="shared" si="2"/>
        <v>55107.61</v>
      </c>
      <c r="BB47" s="39">
        <f t="shared" si="2"/>
        <v>0</v>
      </c>
      <c r="BC47" s="39">
        <f t="shared" si="2"/>
        <v>329.15</v>
      </c>
      <c r="BD47" s="39">
        <f t="shared" si="2"/>
        <v>23396.41</v>
      </c>
      <c r="BE47" s="39">
        <f t="shared" si="2"/>
        <v>0</v>
      </c>
      <c r="BF47" s="39">
        <f t="shared" si="2"/>
        <v>35933.2399999999</v>
      </c>
      <c r="BG47" s="39">
        <f t="shared" si="2"/>
        <v>40907.61</v>
      </c>
      <c r="BH47" s="39">
        <f t="shared" si="2"/>
        <v>9464.27</v>
      </c>
      <c r="BI47" s="39">
        <f t="shared" si="2"/>
        <v>4205</v>
      </c>
      <c r="BJ47" s="39">
        <f t="shared" si="2"/>
        <v>4248.59</v>
      </c>
      <c r="BK47" s="39">
        <f t="shared" si="2"/>
        <v>12013.55</v>
      </c>
      <c r="BL47" s="39">
        <f t="shared" si="2"/>
        <v>14881.24</v>
      </c>
      <c r="BM47" s="39">
        <f t="shared" si="2"/>
        <v>9496.18</v>
      </c>
      <c r="BN47" s="39">
        <f t="shared" si="2"/>
        <v>29977.2</v>
      </c>
      <c r="BO47" s="39">
        <f t="shared" si="2"/>
        <v>5654.04</v>
      </c>
      <c r="BP47" s="39">
        <f t="shared" ref="BP47:CC47" si="3">+SUM(BP31:BP46)</f>
        <v>14129.6</v>
      </c>
      <c r="BQ47" s="54">
        <f t="shared" si="3"/>
        <v>0</v>
      </c>
      <c r="BR47" s="39">
        <f t="shared" si="3"/>
        <v>4625.81</v>
      </c>
      <c r="BS47" s="54">
        <f t="shared" si="3"/>
        <v>0</v>
      </c>
      <c r="BT47" s="39">
        <f t="shared" si="3"/>
        <v>109508.77</v>
      </c>
      <c r="BU47" s="39">
        <f t="shared" si="3"/>
        <v>11321.85</v>
      </c>
      <c r="BV47" s="39">
        <f t="shared" si="3"/>
        <v>170897.46</v>
      </c>
      <c r="BW47" s="39">
        <f t="shared" si="3"/>
        <v>11845.73</v>
      </c>
      <c r="BX47" s="39">
        <f t="shared" si="3"/>
        <v>1255.85</v>
      </c>
      <c r="BY47" s="54">
        <f t="shared" si="3"/>
        <v>0</v>
      </c>
      <c r="BZ47" s="39">
        <f t="shared" si="3"/>
        <v>0</v>
      </c>
      <c r="CA47" s="39">
        <f t="shared" si="3"/>
        <v>0</v>
      </c>
      <c r="CB47" s="39">
        <f t="shared" si="3"/>
        <v>14387.35</v>
      </c>
      <c r="CC47" s="39">
        <f t="shared" si="3"/>
        <v>0</v>
      </c>
      <c r="CD47" s="39">
        <f>SUM(D47:CB47)</f>
        <v>2164008.37693</v>
      </c>
    </row>
    <row r="48" spans="20:77" s="39" customFormat="true" ht="12" customHeight="true">
      <c r="T48" s="51"/>
      <c r="Z48" s="51"/>
      <c r="AA48" s="51"/>
      <c r="AB48" s="51"/>
      <c r="AC48" s="51"/>
      <c r="AD48" s="51"/>
      <c r="AF48" s="51"/>
      <c r="AI48" s="51"/>
      <c r="AT48" s="51"/>
      <c r="BQ48" s="54"/>
      <c r="BS48" s="54"/>
      <c r="BY48" s="54"/>
    </row>
    <row r="49" spans="2:81" s="39" customFormat="true" ht="12" customHeight="true">
      <c r="B49" s="39" t="s">
        <v>34192</v>
      </c>
      <c r="D49" s="39">
        <f t="shared" ref="D49:BO49" si="4">+D9+D29-D47</f>
        <v>88955.98</v>
      </c>
      <c r="E49" s="39">
        <f t="shared" si="4"/>
        <v>-18026.47821</v>
      </c>
      <c r="F49" s="39">
        <f t="shared" si="4"/>
        <v>-47810.91</v>
      </c>
      <c r="G49" s="39">
        <f t="shared" si="4"/>
        <v>39879.53</v>
      </c>
      <c r="H49" s="39">
        <f t="shared" si="4"/>
        <v>-18856.84176</v>
      </c>
      <c r="I49" s="39">
        <f t="shared" si="4"/>
        <v>0</v>
      </c>
      <c r="J49" s="39">
        <f t="shared" si="4"/>
        <v>836428.13</v>
      </c>
      <c r="K49" s="39">
        <f t="shared" si="4"/>
        <v>727870.13</v>
      </c>
      <c r="L49" s="39">
        <f t="shared" si="4"/>
        <v>107319.33</v>
      </c>
      <c r="M49" s="39">
        <f t="shared" si="4"/>
        <v>37312.32</v>
      </c>
      <c r="N49" s="39">
        <f t="shared" si="4"/>
        <v>5197.34162</v>
      </c>
      <c r="O49" s="39">
        <f t="shared" si="4"/>
        <v>-99698.91</v>
      </c>
      <c r="P49" s="39">
        <f t="shared" si="4"/>
        <v>-136211.91</v>
      </c>
      <c r="Q49" s="39">
        <f t="shared" si="4"/>
        <v>7586.57142</v>
      </c>
      <c r="R49" s="39">
        <f t="shared" si="4"/>
        <v>-2165.25</v>
      </c>
      <c r="S49" s="39">
        <f t="shared" si="4"/>
        <v>14101.3</v>
      </c>
      <c r="T49" s="51">
        <f t="shared" si="4"/>
        <v>0</v>
      </c>
      <c r="U49" s="39">
        <f t="shared" si="4"/>
        <v>186196.49</v>
      </c>
      <c r="V49" s="39">
        <f t="shared" si="4"/>
        <v>28329.45</v>
      </c>
      <c r="W49" s="39">
        <f t="shared" si="4"/>
        <v>-60163.34</v>
      </c>
      <c r="X49" s="39">
        <f t="shared" si="4"/>
        <v>19764.2</v>
      </c>
      <c r="Y49" s="39">
        <f t="shared" si="4"/>
        <v>18474.28</v>
      </c>
      <c r="Z49" s="51">
        <f t="shared" si="4"/>
        <v>0</v>
      </c>
      <c r="AA49" s="51">
        <f t="shared" si="4"/>
        <v>0</v>
      </c>
      <c r="AB49" s="51">
        <f t="shared" si="4"/>
        <v>0</v>
      </c>
      <c r="AC49" s="51">
        <f t="shared" si="4"/>
        <v>0</v>
      </c>
      <c r="AD49" s="51">
        <f t="shared" si="4"/>
        <v>0</v>
      </c>
      <c r="AE49" s="39">
        <f t="shared" si="4"/>
        <v>52039.86</v>
      </c>
      <c r="AF49" s="51">
        <f t="shared" si="4"/>
        <v>0</v>
      </c>
      <c r="AG49" s="39">
        <f t="shared" si="4"/>
        <v>-241200.02</v>
      </c>
      <c r="AH49" s="39">
        <f t="shared" si="4"/>
        <v>20206.22</v>
      </c>
      <c r="AI49" s="51">
        <f t="shared" si="4"/>
        <v>0</v>
      </c>
      <c r="AJ49" s="39">
        <f t="shared" si="4"/>
        <v>-133585.12</v>
      </c>
      <c r="AK49" s="39">
        <f t="shared" si="4"/>
        <v>28210.02</v>
      </c>
      <c r="AL49" s="39">
        <f t="shared" si="4"/>
        <v>25815.34</v>
      </c>
      <c r="AM49" s="39">
        <f t="shared" si="4"/>
        <v>0</v>
      </c>
      <c r="AN49" s="39">
        <f t="shared" si="4"/>
        <v>0</v>
      </c>
      <c r="AO49" s="39">
        <f t="shared" si="4"/>
        <v>14146.56</v>
      </c>
      <c r="AP49" s="39">
        <f t="shared" si="4"/>
        <v>8390.12</v>
      </c>
      <c r="AQ49" s="39">
        <f t="shared" si="4"/>
        <v>-73436.63</v>
      </c>
      <c r="AR49" s="39">
        <f t="shared" si="4"/>
        <v>3022.35</v>
      </c>
      <c r="AS49" s="39">
        <f t="shared" si="4"/>
        <v>6274.12</v>
      </c>
      <c r="AT49" s="51">
        <f t="shared" si="4"/>
        <v>0</v>
      </c>
      <c r="AU49" s="39">
        <f t="shared" si="4"/>
        <v>20253.98</v>
      </c>
      <c r="AV49" s="39">
        <f t="shared" si="4"/>
        <v>31925.23</v>
      </c>
      <c r="AW49" s="39">
        <f t="shared" si="4"/>
        <v>877.18</v>
      </c>
      <c r="AX49" s="39">
        <f t="shared" si="4"/>
        <v>6461.02</v>
      </c>
      <c r="AY49" s="39">
        <f t="shared" si="4"/>
        <v>27202.3</v>
      </c>
      <c r="AZ49" s="39">
        <f t="shared" si="4"/>
        <v>3915.09</v>
      </c>
      <c r="BA49" s="39">
        <f t="shared" si="4"/>
        <v>-25737.1</v>
      </c>
      <c r="BB49" s="39">
        <f t="shared" si="4"/>
        <v>3219.22</v>
      </c>
      <c r="BC49" s="39">
        <f t="shared" si="4"/>
        <v>18722.54</v>
      </c>
      <c r="BD49" s="39">
        <f t="shared" si="4"/>
        <v>16033.48</v>
      </c>
      <c r="BE49" s="39">
        <f t="shared" si="4"/>
        <v>0</v>
      </c>
      <c r="BF49" s="39">
        <f t="shared" si="4"/>
        <v>69976.8100000001</v>
      </c>
      <c r="BG49" s="39">
        <f t="shared" si="4"/>
        <v>54134.43</v>
      </c>
      <c r="BH49" s="39">
        <f t="shared" si="4"/>
        <v>23694.88</v>
      </c>
      <c r="BI49" s="39">
        <f t="shared" si="4"/>
        <v>20914.04</v>
      </c>
      <c r="BJ49" s="39">
        <f t="shared" si="4"/>
        <v>32856.76</v>
      </c>
      <c r="BK49" s="39">
        <f t="shared" si="4"/>
        <v>52498.89</v>
      </c>
      <c r="BL49" s="39">
        <f t="shared" si="4"/>
        <v>30957.68</v>
      </c>
      <c r="BM49" s="39">
        <f t="shared" si="4"/>
        <v>40218.22</v>
      </c>
      <c r="BN49" s="39">
        <f t="shared" si="4"/>
        <v>14405.76</v>
      </c>
      <c r="BO49" s="39">
        <f t="shared" si="4"/>
        <v>25820.53</v>
      </c>
      <c r="BP49" s="39">
        <f t="shared" ref="BP49:CC49" si="5">+BP9+BP29-BP47</f>
        <v>43675.37</v>
      </c>
      <c r="BQ49" s="54">
        <f t="shared" si="5"/>
        <v>0</v>
      </c>
      <c r="BR49" s="39">
        <f t="shared" si="5"/>
        <v>12207.06</v>
      </c>
      <c r="BS49" s="54">
        <f t="shared" si="5"/>
        <v>0</v>
      </c>
      <c r="BT49" s="39">
        <f t="shared" si="5"/>
        <v>-22661.74</v>
      </c>
      <c r="BU49" s="39">
        <f t="shared" si="5"/>
        <v>28379.28</v>
      </c>
      <c r="BV49" s="39">
        <f t="shared" si="5"/>
        <v>-143283.79</v>
      </c>
      <c r="BW49" s="39">
        <f t="shared" si="5"/>
        <v>62499.78</v>
      </c>
      <c r="BX49" s="39">
        <f t="shared" si="5"/>
        <v>29337.95</v>
      </c>
      <c r="BY49" s="54">
        <f t="shared" si="5"/>
        <v>0</v>
      </c>
      <c r="BZ49" s="39">
        <f t="shared" si="5"/>
        <v>331006.48</v>
      </c>
      <c r="CA49" s="39">
        <f t="shared" si="5"/>
        <v>584918.08</v>
      </c>
      <c r="CB49" s="39">
        <f t="shared" si="5"/>
        <v>-8317.44</v>
      </c>
      <c r="CC49" s="39">
        <f t="shared" si="5"/>
        <v>3853.22</v>
      </c>
    </row>
    <row r="50" spans="20:77" s="39" customFormat="true" ht="12" customHeight="true">
      <c r="T50" s="51"/>
      <c r="Z50" s="51"/>
      <c r="AA50" s="51"/>
      <c r="AB50" s="51"/>
      <c r="AC50" s="51"/>
      <c r="AD50" s="51"/>
      <c r="AF50" s="51"/>
      <c r="AI50" s="51"/>
      <c r="AT50" s="51"/>
      <c r="BQ50" s="54"/>
      <c r="BS50" s="54"/>
      <c r="BY50" s="54"/>
    </row>
    <row r="51" spans="2:81" s="39" customFormat="true" ht="12" customHeight="true">
      <c r="B51" s="39" t="s">
        <v>34193</v>
      </c>
      <c r="D51" s="46">
        <v>88955.98</v>
      </c>
      <c r="E51" s="46">
        <v>-18026.47821</v>
      </c>
      <c r="F51" s="46">
        <v>-47810.9100000001</v>
      </c>
      <c r="G51" s="46">
        <v>39879.53</v>
      </c>
      <c r="H51" s="46">
        <v>-18856.84176</v>
      </c>
      <c r="I51" s="46"/>
      <c r="J51" s="46">
        <v>836428.13</v>
      </c>
      <c r="K51" s="46">
        <v>728039.114999999</v>
      </c>
      <c r="L51" s="46">
        <v>4279.27</v>
      </c>
      <c r="M51" s="46">
        <v>37312.32</v>
      </c>
      <c r="N51" s="46">
        <v>5197.34661999988</v>
      </c>
      <c r="O51" s="46">
        <v>-99698.91</v>
      </c>
      <c r="P51" s="46">
        <v>-136211.91</v>
      </c>
      <c r="Q51" s="46">
        <v>7586.57141999999</v>
      </c>
      <c r="R51" s="46">
        <v>-2165.25</v>
      </c>
      <c r="S51" s="46">
        <v>14101.3</v>
      </c>
      <c r="T51" s="46"/>
      <c r="U51" s="46">
        <v>186196.49</v>
      </c>
      <c r="V51" s="46">
        <v>28329.4500000003</v>
      </c>
      <c r="W51" s="46">
        <v>-60163.3358</v>
      </c>
      <c r="X51" s="46">
        <v>19764.2000000001</v>
      </c>
      <c r="Y51" s="46">
        <v>18474.28</v>
      </c>
      <c r="Z51" s="46"/>
      <c r="AA51" s="46"/>
      <c r="AB51" s="46"/>
      <c r="AC51" s="46"/>
      <c r="AD51" s="46"/>
      <c r="AE51" s="46">
        <v>52039.86</v>
      </c>
      <c r="AF51" s="46"/>
      <c r="AG51" s="46">
        <v>-241200.02</v>
      </c>
      <c r="AH51" s="46">
        <v>20206.22</v>
      </c>
      <c r="AI51" s="46"/>
      <c r="AJ51" s="46">
        <v>-133585.12</v>
      </c>
      <c r="AK51" s="46">
        <v>28210.32</v>
      </c>
      <c r="AL51" s="46">
        <v>25815.34</v>
      </c>
      <c r="AM51" s="46"/>
      <c r="AN51" s="46"/>
      <c r="AO51" s="46">
        <v>14146.56</v>
      </c>
      <c r="AP51" s="46">
        <v>8390.12</v>
      </c>
      <c r="AQ51" s="46">
        <v>-73436.63</v>
      </c>
      <c r="AR51" s="46">
        <v>3022.35</v>
      </c>
      <c r="AS51" s="46">
        <v>6274.12</v>
      </c>
      <c r="AT51" s="46"/>
      <c r="AU51" s="46">
        <v>20253.98</v>
      </c>
      <c r="AV51" s="46">
        <v>31925.2299999999</v>
      </c>
      <c r="AW51" s="46">
        <v>941.319999999996</v>
      </c>
      <c r="AX51" s="46">
        <v>6461.01999999995</v>
      </c>
      <c r="AY51" s="46">
        <v>27202.3</v>
      </c>
      <c r="AZ51" s="46">
        <v>3915.09</v>
      </c>
      <c r="BA51" s="46">
        <v>-25737.1</v>
      </c>
      <c r="BB51" s="46">
        <v>3219.22</v>
      </c>
      <c r="BC51" s="46">
        <v>18722.54</v>
      </c>
      <c r="BD51" s="46">
        <v>16033.48</v>
      </c>
      <c r="BE51" s="46"/>
      <c r="BF51" s="46">
        <v>66864.23</v>
      </c>
      <c r="BG51" s="46">
        <v>54134.43</v>
      </c>
      <c r="BH51" s="46">
        <v>23944.88</v>
      </c>
      <c r="BI51" s="46">
        <v>20914.04</v>
      </c>
      <c r="BJ51" s="46">
        <v>32856.76</v>
      </c>
      <c r="BK51" s="46">
        <v>52498.89</v>
      </c>
      <c r="BL51" s="46">
        <v>30957.68</v>
      </c>
      <c r="BM51" s="46">
        <v>40218.22</v>
      </c>
      <c r="BN51" s="46">
        <v>62517.75</v>
      </c>
      <c r="BO51" s="46">
        <v>25820.53</v>
      </c>
      <c r="BP51" s="46">
        <v>43675.3699999997</v>
      </c>
      <c r="BQ51" s="54"/>
      <c r="BR51" s="46">
        <v>12207.06</v>
      </c>
      <c r="BS51" s="54"/>
      <c r="BT51" s="46">
        <v>-22661.74</v>
      </c>
      <c r="BU51" s="46">
        <v>28379.28</v>
      </c>
      <c r="BV51" s="46">
        <v>-143283.79</v>
      </c>
      <c r="BW51" s="46">
        <v>62499.78</v>
      </c>
      <c r="BX51" s="46">
        <v>29337.95</v>
      </c>
      <c r="BY51" s="54"/>
      <c r="BZ51" s="46">
        <v>331006.48</v>
      </c>
      <c r="CA51" s="46">
        <v>584918.08</v>
      </c>
      <c r="CB51" s="46">
        <v>-8317.44</v>
      </c>
      <c r="CC51" s="46">
        <v>3853.22</v>
      </c>
    </row>
    <row r="52" spans="2:82" s="39" customFormat="true" ht="12" customHeight="true">
      <c r="B52" s="39" t="s">
        <v>34194</v>
      </c>
      <c r="D52" s="47">
        <f>SUMIF('BS-Details'!$D:$D,D$4&amp;"-"&amp;D$7,'BS-Details'!$K:$K)-D$51</f>
        <v>-48838.56</v>
      </c>
      <c r="E52" s="47">
        <f>SUMIF('BS-Details'!$D:$D,E$4&amp;"-"&amp;E$7,'BS-Details'!$K:$K)-E$51</f>
        <v>-11416.37179</v>
      </c>
      <c r="F52" s="47">
        <f>SUMIF('BS-Details'!$D:$D,F$4&amp;"-"&amp;F$7,'BS-Details'!$K:$K)-F$51</f>
        <v>18407.3900000001</v>
      </c>
      <c r="G52" s="47">
        <f>SUMIF('BS-Details'!$D:$D,G$4&amp;"-"&amp;G$7,'BS-Details'!$K:$K)-G$51</f>
        <v>-58031.55</v>
      </c>
      <c r="H52" s="47">
        <f>SUMIF('BS-Details'!$D:$D,H$4&amp;"-"&amp;H$7,'BS-Details'!$K:$K)-H$51</f>
        <v>5592.88176</v>
      </c>
      <c r="I52" s="47">
        <f>SUMIF('BS-Details'!$D:$D,I$4&amp;"-"&amp;I$7,'BS-Details'!$K:$K)-I$51</f>
        <v>-7732.72</v>
      </c>
      <c r="J52" s="47">
        <f>SUMIF('BS-Details'!$D:$D,J$4&amp;"-"&amp;J$7,'BS-Details'!$K:$K)-J$51</f>
        <v>-741173.91</v>
      </c>
      <c r="K52" s="47">
        <f>SUMIF('BS-Details'!$D:$D,K$4&amp;"-"&amp;K$7,'BS-Details'!$K:$K)-K$51</f>
        <v>885594.605000001</v>
      </c>
      <c r="L52" s="47">
        <f>SUMIF('BS-Details'!$D:$D,L$4&amp;"-"&amp;L$7,'BS-Details'!$K:$K)-L$51</f>
        <v>-4279.27</v>
      </c>
      <c r="M52" s="47">
        <f>SUMIF('BS-Details'!$D:$D,M$4&amp;"-"&amp;M$7,'BS-Details'!$K:$K)-M$51</f>
        <v>-57818.06</v>
      </c>
      <c r="N52" s="47">
        <f>SUMIF('BS-Details'!$D:$D,N$4&amp;"-"&amp;N$7,'BS-Details'!$K:$K)-N$51</f>
        <v>-18959.4966199999</v>
      </c>
      <c r="O52" s="47">
        <f>SUMIF('BS-Details'!$D:$D,O$4&amp;"-"&amp;O$7,'BS-Details'!$K:$K)-O$51</f>
        <v>99625.35</v>
      </c>
      <c r="P52" s="47">
        <f>SUMIF('BS-Details'!$D:$D,P$4&amp;"-"&amp;P$7,'BS-Details'!$K:$K)-P$51</f>
        <v>-42812.13</v>
      </c>
      <c r="Q52" s="47">
        <f>SUMIF('BS-Details'!$D:$D,Q$4&amp;"-"&amp;Q$7,'BS-Details'!$K:$K)-Q$51</f>
        <v>-7586.57141999999</v>
      </c>
      <c r="R52" s="47">
        <f>SUMIF('BS-Details'!$D:$D,R$4&amp;"-"&amp;R$7,'BS-Details'!$K:$K)-R$51</f>
        <v>1442.62</v>
      </c>
      <c r="S52" s="47">
        <f>SUMIF('BS-Details'!$D:$D,S$4&amp;"-"&amp;S$7,'BS-Details'!$K:$K)-S$51</f>
        <v>-8236.32</v>
      </c>
      <c r="T52" s="47">
        <f>SUMIF('BS-Details'!$D:$D,T$4&amp;"-"&amp;T$7,'BS-Details'!$K:$K)-T$51</f>
        <v>0</v>
      </c>
      <c r="U52" s="47">
        <f>SUMIF('BS-Details'!$D:$D,U$4&amp;"-"&amp;U$7,'BS-Details'!$K:$K)-U$51</f>
        <v>46376.24</v>
      </c>
      <c r="V52" s="47">
        <f>SUMIF('BS-Details'!$D:$D,V$4&amp;"-"&amp;V$7,'BS-Details'!$K:$K)-V$51</f>
        <v>58210.5499999997</v>
      </c>
      <c r="W52" s="47">
        <f>SUMIF('BS-Details'!$D:$D,W$4&amp;"-"&amp;W$7,'BS-Details'!$K:$K)-W$51</f>
        <v>-116.004199999996</v>
      </c>
      <c r="X52" s="47">
        <f>SUMIF('BS-Details'!$D:$D,X$4&amp;"-"&amp;X$7,'BS-Details'!$K:$K)-X$51</f>
        <v>49975.1999999999</v>
      </c>
      <c r="Y52" s="47">
        <f>SUMIF('BS-Details'!$D:$D,Y$4&amp;"-"&amp;Y$7,'BS-Details'!$K:$K)-Y$51</f>
        <v>-16724.14</v>
      </c>
      <c r="Z52" s="47">
        <f>SUMIF('BS-Details'!$D:$D,Z$4&amp;"-"&amp;Z$7,'BS-Details'!$K:$K)-Z$51</f>
        <v>0</v>
      </c>
      <c r="AA52" s="47">
        <f>SUMIF('BS-Details'!$D:$D,AA$4&amp;"-"&amp;AA$7,'BS-Details'!$K:$K)-AA$51</f>
        <v>0</v>
      </c>
      <c r="AB52" s="47">
        <f>SUMIF('BS-Details'!$D:$D,AB$4&amp;"-"&amp;AB$7,'BS-Details'!$K:$K)-AB$51</f>
        <v>0</v>
      </c>
      <c r="AC52" s="47">
        <f>SUMIF('BS-Details'!$D:$D,AC$4&amp;"-"&amp;AC$7,'BS-Details'!$K:$K)-AC$51</f>
        <v>0</v>
      </c>
      <c r="AD52" s="47">
        <f>SUMIF('BS-Details'!$D:$D,AD$4&amp;"-"&amp;AD$7,'BS-Details'!$K:$K)-AD$51</f>
        <v>0</v>
      </c>
      <c r="AE52" s="47">
        <f>SUMIF('BS-Details'!$D:$D,AE$4&amp;"-"&amp;AE$7,'BS-Details'!$K:$K)-AE$51</f>
        <v>-52250.28</v>
      </c>
      <c r="AF52" s="47">
        <f>SUMIF('BS-Details'!$D:$D,AF$4&amp;"-"&amp;AF$7,'BS-Details'!$K:$K)-AF$51</f>
        <v>0</v>
      </c>
      <c r="AG52" s="47">
        <f>SUMIF('BS-Details'!$D:$D,AG$4&amp;"-"&amp;AG$7,'BS-Details'!$K:$K)-AG$51</f>
        <v>123307.67</v>
      </c>
      <c r="AH52" s="47">
        <f>SUMIF('BS-Details'!$D:$D,AH$4&amp;"-"&amp;AH$7,'BS-Details'!$K:$K)-AH$51</f>
        <v>43605.3</v>
      </c>
      <c r="AI52" s="47">
        <f>SUMIF('BS-Details'!$D:$D,AI$4&amp;"-"&amp;AI$7,'BS-Details'!$K:$K)-AI$51</f>
        <v>0</v>
      </c>
      <c r="AJ52" s="47">
        <f>SUMIF('BS-Details'!$D:$D,AJ$4&amp;"-"&amp;AJ$7,'BS-Details'!$K:$K)-AJ$51</f>
        <v>166692.77</v>
      </c>
      <c r="AK52" s="47">
        <f>SUMIF('BS-Details'!$D:$D,AK$4&amp;"-"&amp;AK$7,'BS-Details'!$K:$K)-AK$51</f>
        <v>17596.9</v>
      </c>
      <c r="AL52" s="47">
        <f>SUMIF('BS-Details'!$D:$D,AL$4&amp;"-"&amp;AL$7,'BS-Details'!$K:$K)-AL$51</f>
        <v>-23991.96</v>
      </c>
      <c r="AM52" s="47">
        <f>SUMIF('BS-Details'!$D:$D,AM$4&amp;"-"&amp;AM$7,'BS-Details'!$K:$K)-AM$51</f>
        <v>0</v>
      </c>
      <c r="AN52" s="47">
        <f>SUMIF('BS-Details'!$D:$D,AN$4&amp;"-"&amp;AN$7,'BS-Details'!$K:$K)-AN$51</f>
        <v>0</v>
      </c>
      <c r="AO52" s="47">
        <f>SUMIF('BS-Details'!$D:$D,AO$4&amp;"-"&amp;AO$7,'BS-Details'!$K:$K)-AO$51</f>
        <v>-7903.57</v>
      </c>
      <c r="AP52" s="47">
        <f>SUMIF('BS-Details'!$D:$D,AP$4&amp;"-"&amp;AP$7,'BS-Details'!$K:$K)-AP$51</f>
        <v>113356.76</v>
      </c>
      <c r="AQ52" s="47">
        <f>SUMIF('BS-Details'!$D:$D,AQ$4&amp;"-"&amp;AQ$7,'BS-Details'!$K:$K)-AQ$51</f>
        <v>78313.41</v>
      </c>
      <c r="AR52" s="47">
        <f>SUMIF('BS-Details'!$D:$D,AR$4&amp;"-"&amp;AR$7,'BS-Details'!$K:$K)-AR$51</f>
        <v>11191.31</v>
      </c>
      <c r="AS52" s="47">
        <f>SUMIF('BS-Details'!$D:$D,AS$4&amp;"-"&amp;AS$7,'BS-Details'!$K:$K)-AS$51</f>
        <v>4486.08</v>
      </c>
      <c r="AT52" s="47">
        <f>SUMIF('BS-Details'!$D:$D,AT$4&amp;"-"&amp;AT$7,'BS-Details'!$K:$K)-AT$51</f>
        <v>0</v>
      </c>
      <c r="AU52" s="47">
        <f>SUMIF('BS-Details'!$D:$D,AU$4&amp;"-"&amp;AU$7,'BS-Details'!$K:$K)-AU$51</f>
        <v>19150.34</v>
      </c>
      <c r="AV52" s="47">
        <f>SUMIF('BS-Details'!$D:$D,AV$4&amp;"-"&amp;AV$7,'BS-Details'!$K:$K)-AV$51</f>
        <v>-142326</v>
      </c>
      <c r="AW52" s="47">
        <f>SUMIF('BS-Details'!$D:$D,AW$4&amp;"-"&amp;AW$7,'BS-Details'!$K:$K)-AW$51</f>
        <v>-941.319999999996</v>
      </c>
      <c r="AX52" s="47">
        <f>SUMIF('BS-Details'!$D:$D,AX$4&amp;"-"&amp;AX$7,'BS-Details'!$K:$K)-AX$51</f>
        <v>-9346.91999999995</v>
      </c>
      <c r="AY52" s="47">
        <f>SUMIF('BS-Details'!$D:$D,AY$4&amp;"-"&amp;AY$7,'BS-Details'!$K:$K)-AY$51</f>
        <v>-5404.8</v>
      </c>
      <c r="AZ52" s="47">
        <f>SUMIF('BS-Details'!$D:$D,AZ$4&amp;"-"&amp;AZ$7,'BS-Details'!$K:$K)-AZ$51</f>
        <v>-3915.09</v>
      </c>
      <c r="BA52" s="47">
        <f>SUMIF('BS-Details'!$D:$D,BA$4&amp;"-"&amp;BA$7,'BS-Details'!$K:$K)-BA$51</f>
        <v>-6812.46</v>
      </c>
      <c r="BB52" s="47">
        <f>SUMIF('BS-Details'!$D:$D,BB$4&amp;"-"&amp;BB$7,'BS-Details'!$K:$K)-BB$51</f>
        <v>-3219.22</v>
      </c>
      <c r="BC52" s="47">
        <f>SUMIF('BS-Details'!$D:$D,BC$4&amp;"-"&amp;BC$7,'BS-Details'!$K:$K)-BC$51</f>
        <v>-18722.54</v>
      </c>
      <c r="BD52" s="47">
        <f>SUMIF('BS-Details'!$D:$D,BD$4&amp;"-"&amp;BD$7,'BS-Details'!$K:$K)-BD$51</f>
        <v>-13587.43</v>
      </c>
      <c r="BE52" s="47">
        <f>SUMIF('BS-Details'!$D:$D,BE$4&amp;"-"&amp;BE$7,'BS-Details'!$K:$K)-BE$51</f>
        <v>0</v>
      </c>
      <c r="BF52" s="47">
        <f>SUMIF('BS-Details'!$D:$D,BF$4&amp;"-"&amp;BF$7,'BS-Details'!$K:$K)-BF$51</f>
        <v>-58488.47</v>
      </c>
      <c r="BG52" s="47">
        <f>SUMIF('BS-Details'!$D:$D,BG$4&amp;"-"&amp;BG$7,'BS-Details'!$K:$K)-BG$51</f>
        <v>-54134.43</v>
      </c>
      <c r="BH52" s="47">
        <f>SUMIF('BS-Details'!$D:$D,BH$4&amp;"-"&amp;BH$7,'BS-Details'!$K:$K)-BH$51</f>
        <v>-25535.13</v>
      </c>
      <c r="BI52" s="47">
        <f>SUMIF('BS-Details'!$D:$D,BI$4&amp;"-"&amp;BI$7,'BS-Details'!$K:$K)-BI$51</f>
        <v>-67842.14</v>
      </c>
      <c r="BJ52" s="47">
        <f>SUMIF('BS-Details'!$D:$D,BJ$4&amp;"-"&amp;BJ$7,'BS-Details'!$K:$K)-BJ$51</f>
        <v>-22517.91</v>
      </c>
      <c r="BK52" s="47">
        <f>SUMIF('BS-Details'!$D:$D,BK$4&amp;"-"&amp;BK$7,'BS-Details'!$K:$K)-BK$51</f>
        <v>-52168.76</v>
      </c>
      <c r="BL52" s="47">
        <f>SUMIF('BS-Details'!$D:$D,BL$4&amp;"-"&amp;BL$7,'BS-Details'!$K:$K)-BL$51</f>
        <v>-45669.63</v>
      </c>
      <c r="BM52" s="47">
        <f>SUMIF('BS-Details'!$D:$D,BM$4&amp;"-"&amp;BM$7,'BS-Details'!$K:$K)-BM$51</f>
        <v>-41452.65</v>
      </c>
      <c r="BN52" s="47">
        <f>SUMIF('BS-Details'!$D:$D,BN$4&amp;"-"&amp;BN$7,'BS-Details'!$K:$K)-BN$51</f>
        <v>-74447.89</v>
      </c>
      <c r="BO52" s="47">
        <f>SUMIF('BS-Details'!$D:$D,BO$4&amp;"-"&amp;BO$7,'BS-Details'!$K:$K)-BO$51</f>
        <v>-25820.53</v>
      </c>
      <c r="BP52" s="47">
        <f>SUMIF('BS-Details'!$D:$D,BP$4&amp;"-"&amp;BP$7,'BS-Details'!$K:$K)-BP$51</f>
        <v>-43675.3699999997</v>
      </c>
      <c r="BQ52" s="47">
        <f>SUMIF('BS-Details'!$D:$D,BQ$4&amp;"-"&amp;BQ$7,'BS-Details'!$K:$K)-BQ$51</f>
        <v>0</v>
      </c>
      <c r="BR52" s="47">
        <f>SUMIF('BS-Details'!$D:$D,BR$4&amp;"-"&amp;BR$7,'BS-Details'!$K:$K)-BR$51</f>
        <v>-12207.06</v>
      </c>
      <c r="BS52" s="47">
        <f>SUMIF('BS-Details'!$D:$D,BS$4&amp;"-"&amp;BS$7,'BS-Details'!$K:$K)-BS$51</f>
        <v>0</v>
      </c>
      <c r="BT52" s="47">
        <f>SUMIF('BS-Details'!$D:$D,BT$4&amp;"-"&amp;BT$7,'BS-Details'!$K:$K)-BT$51</f>
        <v>44833.9</v>
      </c>
      <c r="BU52" s="47">
        <f>SUMIF('BS-Details'!$D:$D,BU$4&amp;"-"&amp;BU$7,'BS-Details'!$K:$K)-BU$51</f>
        <v>-30235</v>
      </c>
      <c r="BV52" s="47">
        <f>SUMIF('BS-Details'!$D:$D,BV$4&amp;"-"&amp;BV$7,'BS-Details'!$K:$K)-BV$51</f>
        <v>143283.79</v>
      </c>
      <c r="BW52" s="47">
        <f>SUMIF('BS-Details'!$D:$D,BW$4&amp;"-"&amp;BW$7,'BS-Details'!$K:$K)-BW$51</f>
        <v>-69695.25</v>
      </c>
      <c r="BX52" s="47">
        <f>SUMIF('BS-Details'!$D:$D,BX$4&amp;"-"&amp;BX$7,'BS-Details'!$K:$K)-BX$51</f>
        <v>-39144.01</v>
      </c>
      <c r="BY52" s="47">
        <f>SUMIF('BS-Details'!$D:$D,BY$4&amp;"-"&amp;BY$7,'BS-Details'!$K:$K)-BY$51</f>
        <v>0</v>
      </c>
      <c r="BZ52" s="47">
        <f>SUMIF('BS-Details'!$D:$D,BZ$4&amp;"-"&amp;BZ$7,'BS-Details'!$K:$K)-BZ$51</f>
        <v>-331006.48</v>
      </c>
      <c r="CA52" s="47">
        <f>SUMIF('BS-Details'!$D:$D,CA$4&amp;"-"&amp;CA$7,'BS-Details'!$K:$K)-CA$51</f>
        <v>-585718.08</v>
      </c>
      <c r="CB52" s="47">
        <f>SUMIF('BS-Details'!$D:$D,CB$4&amp;"-"&amp;CB$7,'BS-Details'!$K:$K)-CB$51</f>
        <v>-150634.5</v>
      </c>
      <c r="CC52" s="47">
        <f>SUMIF('BS-Details'!$D:$D,CC$4&amp;"-"&amp;CC$7,'BS-Details'!$K:$K)-CC$51</f>
        <v>-7285.5</v>
      </c>
      <c r="CD52" s="39">
        <f>SUM(D52:CC52)</f>
        <v>-1118782.41727</v>
      </c>
    </row>
    <row r="53" spans="2:82" s="39" customFormat="true" ht="12" customHeight="true">
      <c r="B53" s="39" t="s">
        <v>34195</v>
      </c>
      <c r="T53" s="51"/>
      <c r="Z53" s="51"/>
      <c r="AA53" s="51"/>
      <c r="AB53" s="51"/>
      <c r="AC53" s="51"/>
      <c r="AD53" s="51"/>
      <c r="AF53" s="51"/>
      <c r="AI53" s="51"/>
      <c r="AT53" s="51"/>
      <c r="BQ53" s="54"/>
      <c r="BS53" s="54"/>
      <c r="BY53" s="54"/>
      <c r="CD53" s="39">
        <f>SUM(D53:CB53)</f>
        <v>0</v>
      </c>
    </row>
    <row r="54" spans="4:81" s="39" customFormat="true" ht="12" customHeight="true">
      <c r="D54" s="46"/>
      <c r="E54" s="46"/>
      <c r="F54" s="46"/>
      <c r="G54" s="46"/>
      <c r="H54" s="46"/>
      <c r="I54" s="46"/>
      <c r="J54" s="46"/>
      <c r="K54" s="46">
        <v>-168.98</v>
      </c>
      <c r="L54" s="46">
        <v>103040.06</v>
      </c>
      <c r="M54" s="46"/>
      <c r="N54" s="46"/>
      <c r="O54" s="46"/>
      <c r="P54" s="46"/>
      <c r="Q54" s="46"/>
      <c r="R54" s="46"/>
      <c r="S54" s="46"/>
      <c r="T54" s="51"/>
      <c r="U54" s="46"/>
      <c r="V54" s="46"/>
      <c r="W54" s="46"/>
      <c r="X54" s="46"/>
      <c r="Y54" s="46"/>
      <c r="Z54" s="51"/>
      <c r="AA54" s="51"/>
      <c r="AB54" s="51"/>
      <c r="AC54" s="51"/>
      <c r="AD54" s="51"/>
      <c r="AE54" s="46"/>
      <c r="AF54" s="51"/>
      <c r="AG54" s="46"/>
      <c r="AH54" s="46"/>
      <c r="AI54" s="51"/>
      <c r="AJ54" s="46"/>
      <c r="AK54" s="46">
        <v>-0.3</v>
      </c>
      <c r="AL54" s="46"/>
      <c r="AM54" s="46"/>
      <c r="AN54" s="46"/>
      <c r="AO54" s="46"/>
      <c r="AP54" s="46"/>
      <c r="AQ54" s="46"/>
      <c r="AR54" s="46"/>
      <c r="AS54" s="46"/>
      <c r="AT54" s="51"/>
      <c r="AU54" s="46"/>
      <c r="AV54" s="46"/>
      <c r="AW54" s="46">
        <v>-64.14</v>
      </c>
      <c r="AX54" s="46"/>
      <c r="AY54" s="46"/>
      <c r="AZ54" s="46"/>
      <c r="BA54" s="46"/>
      <c r="BB54" s="46"/>
      <c r="BC54" s="46"/>
      <c r="BD54" s="46"/>
      <c r="BE54" s="46"/>
      <c r="BF54" s="46">
        <v>3112.58</v>
      </c>
      <c r="BG54" s="46"/>
      <c r="BH54" s="46">
        <v>-250</v>
      </c>
      <c r="BI54" s="46"/>
      <c r="BJ54" s="46"/>
      <c r="BK54" s="46"/>
      <c r="BL54" s="46"/>
      <c r="BM54" s="46"/>
      <c r="BN54" s="46">
        <v>-48111.99</v>
      </c>
      <c r="BO54" s="46"/>
      <c r="BP54" s="46"/>
      <c r="BQ54" s="54"/>
      <c r="BR54" s="46"/>
      <c r="BS54" s="54"/>
      <c r="BT54" s="46"/>
      <c r="BU54" s="46"/>
      <c r="BV54" s="46"/>
      <c r="BW54" s="46"/>
      <c r="BX54" s="46"/>
      <c r="BY54" s="54"/>
      <c r="BZ54" s="46"/>
      <c r="CA54" s="46"/>
      <c r="CB54" s="46"/>
      <c r="CC54" s="46"/>
    </row>
    <row r="55" spans="4:81" s="39" customFormat="true" ht="12" customHeight="true">
      <c r="D55" s="46"/>
      <c r="E55" s="46"/>
      <c r="F55" s="46"/>
      <c r="G55" s="46"/>
      <c r="H55" s="46"/>
      <c r="I55" s="46"/>
      <c r="J55" s="46"/>
      <c r="K55" s="46"/>
      <c r="L55" s="46"/>
      <c r="M55" s="46"/>
      <c r="N55" s="46"/>
      <c r="O55" s="46"/>
      <c r="P55" s="46"/>
      <c r="Q55" s="46"/>
      <c r="R55" s="46"/>
      <c r="S55" s="46"/>
      <c r="T55" s="51"/>
      <c r="U55" s="46"/>
      <c r="V55" s="46"/>
      <c r="W55" s="46"/>
      <c r="X55" s="46"/>
      <c r="Y55" s="46"/>
      <c r="Z55" s="51"/>
      <c r="AA55" s="51"/>
      <c r="AB55" s="51"/>
      <c r="AC55" s="51"/>
      <c r="AD55" s="51"/>
      <c r="AE55" s="46"/>
      <c r="AF55" s="51"/>
      <c r="AG55" s="46"/>
      <c r="AH55" s="46"/>
      <c r="AI55" s="51"/>
      <c r="AJ55" s="46"/>
      <c r="AK55" s="46"/>
      <c r="AL55" s="46"/>
      <c r="AM55" s="46"/>
      <c r="AN55" s="46"/>
      <c r="AO55" s="46"/>
      <c r="AP55" s="46"/>
      <c r="AQ55" s="46"/>
      <c r="AR55" s="46"/>
      <c r="AS55" s="46"/>
      <c r="AT55" s="51"/>
      <c r="AU55" s="46"/>
      <c r="AV55" s="46"/>
      <c r="AW55" s="46"/>
      <c r="AX55" s="46"/>
      <c r="AY55" s="46"/>
      <c r="AZ55" s="46"/>
      <c r="BA55" s="46"/>
      <c r="BB55" s="46"/>
      <c r="BC55" s="46"/>
      <c r="BD55" s="46"/>
      <c r="BE55" s="46"/>
      <c r="BF55" s="46"/>
      <c r="BG55" s="46"/>
      <c r="BH55" s="46"/>
      <c r="BI55" s="46"/>
      <c r="BJ55" s="46"/>
      <c r="BK55" s="46"/>
      <c r="BL55" s="46"/>
      <c r="BM55" s="46"/>
      <c r="BN55" s="46"/>
      <c r="BO55" s="46"/>
      <c r="BP55" s="46"/>
      <c r="BQ55" s="54"/>
      <c r="BR55" s="46"/>
      <c r="BS55" s="54"/>
      <c r="BT55" s="46"/>
      <c r="BU55" s="46"/>
      <c r="BV55" s="46"/>
      <c r="BW55" s="46"/>
      <c r="BX55" s="46"/>
      <c r="BY55" s="54"/>
      <c r="BZ55" s="46"/>
      <c r="CA55" s="46"/>
      <c r="CB55" s="46"/>
      <c r="CC55" s="46"/>
    </row>
    <row r="56" spans="4:81" s="39" customFormat="true" ht="12" customHeight="true">
      <c r="D56" s="46"/>
      <c r="E56" s="46"/>
      <c r="F56" s="46"/>
      <c r="G56" s="46"/>
      <c r="H56" s="46"/>
      <c r="I56" s="46"/>
      <c r="J56" s="46"/>
      <c r="K56" s="46"/>
      <c r="L56" s="46"/>
      <c r="M56" s="46"/>
      <c r="N56" s="46"/>
      <c r="O56" s="46"/>
      <c r="P56" s="46"/>
      <c r="Q56" s="46"/>
      <c r="R56" s="46"/>
      <c r="S56" s="46"/>
      <c r="T56" s="51"/>
      <c r="U56" s="46"/>
      <c r="V56" s="46"/>
      <c r="W56" s="46"/>
      <c r="X56" s="46"/>
      <c r="Y56" s="46"/>
      <c r="Z56" s="51"/>
      <c r="AA56" s="51"/>
      <c r="AB56" s="51"/>
      <c r="AC56" s="51"/>
      <c r="AD56" s="51"/>
      <c r="AE56" s="46"/>
      <c r="AF56" s="51"/>
      <c r="AG56" s="46"/>
      <c r="AH56" s="46"/>
      <c r="AI56" s="51"/>
      <c r="AJ56" s="46"/>
      <c r="AK56" s="46"/>
      <c r="AL56" s="46"/>
      <c r="AM56" s="46"/>
      <c r="AN56" s="46"/>
      <c r="AO56" s="46"/>
      <c r="AP56" s="46"/>
      <c r="AQ56" s="46"/>
      <c r="AR56" s="46"/>
      <c r="AS56" s="46"/>
      <c r="AT56" s="51"/>
      <c r="AU56" s="46"/>
      <c r="AV56" s="46"/>
      <c r="AW56" s="46"/>
      <c r="AX56" s="46"/>
      <c r="AY56" s="46"/>
      <c r="AZ56" s="46"/>
      <c r="BA56" s="46"/>
      <c r="BB56" s="46"/>
      <c r="BC56" s="46"/>
      <c r="BD56" s="46"/>
      <c r="BE56" s="46"/>
      <c r="BF56" s="46"/>
      <c r="BG56" s="46"/>
      <c r="BH56" s="46"/>
      <c r="BI56" s="46"/>
      <c r="BJ56" s="46"/>
      <c r="BK56" s="46"/>
      <c r="BL56" s="46"/>
      <c r="BM56" s="46"/>
      <c r="BN56" s="46"/>
      <c r="BO56" s="46"/>
      <c r="BP56" s="46"/>
      <c r="BQ56" s="54"/>
      <c r="BR56" s="46"/>
      <c r="BS56" s="54"/>
      <c r="BT56" s="46"/>
      <c r="BU56" s="46"/>
      <c r="BV56" s="46"/>
      <c r="BW56" s="46"/>
      <c r="BX56" s="46"/>
      <c r="BY56" s="54"/>
      <c r="BZ56" s="46"/>
      <c r="CA56" s="46"/>
      <c r="CB56" s="46"/>
      <c r="CC56" s="46"/>
    </row>
    <row r="57" spans="2:82" s="39" customFormat="true" ht="12" customHeight="true">
      <c r="B57" s="39" t="s">
        <v>34196</v>
      </c>
      <c r="D57" s="39">
        <f t="shared" ref="D57:T57" si="6">+SUM(D53:D56)</f>
        <v>0</v>
      </c>
      <c r="E57" s="39">
        <f t="shared" si="6"/>
        <v>0</v>
      </c>
      <c r="F57" s="39">
        <f t="shared" si="6"/>
        <v>0</v>
      </c>
      <c r="G57" s="39">
        <f t="shared" si="6"/>
        <v>0</v>
      </c>
      <c r="H57" s="39">
        <f t="shared" si="6"/>
        <v>0</v>
      </c>
      <c r="I57" s="39">
        <f t="shared" si="6"/>
        <v>0</v>
      </c>
      <c r="J57" s="39">
        <f t="shared" si="6"/>
        <v>0</v>
      </c>
      <c r="K57" s="39">
        <f t="shared" si="6"/>
        <v>-168.98</v>
      </c>
      <c r="L57" s="39">
        <f t="shared" si="6"/>
        <v>103040.06</v>
      </c>
      <c r="M57" s="39">
        <f t="shared" si="6"/>
        <v>0</v>
      </c>
      <c r="N57" s="39">
        <f t="shared" si="6"/>
        <v>0</v>
      </c>
      <c r="O57" s="39">
        <f t="shared" si="6"/>
        <v>0</v>
      </c>
      <c r="P57" s="39">
        <f t="shared" si="6"/>
        <v>0</v>
      </c>
      <c r="Q57" s="39">
        <f t="shared" si="6"/>
        <v>0</v>
      </c>
      <c r="R57" s="39">
        <f t="shared" si="6"/>
        <v>0</v>
      </c>
      <c r="S57" s="39">
        <f t="shared" si="6"/>
        <v>0</v>
      </c>
      <c r="T57" s="51">
        <f t="shared" si="6"/>
        <v>0</v>
      </c>
      <c r="U57" s="39">
        <f>+SUM(U54:U56)</f>
        <v>0</v>
      </c>
      <c r="V57" s="39">
        <f t="shared" ref="V57:CC57" si="7">+SUM(V53:V56)</f>
        <v>0</v>
      </c>
      <c r="W57" s="39">
        <f t="shared" si="7"/>
        <v>0</v>
      </c>
      <c r="X57" s="39">
        <f t="shared" si="7"/>
        <v>0</v>
      </c>
      <c r="Y57" s="39">
        <f t="shared" si="7"/>
        <v>0</v>
      </c>
      <c r="Z57" s="51">
        <f t="shared" si="7"/>
        <v>0</v>
      </c>
      <c r="AA57" s="51">
        <f t="shared" si="7"/>
        <v>0</v>
      </c>
      <c r="AB57" s="51">
        <f t="shared" si="7"/>
        <v>0</v>
      </c>
      <c r="AC57" s="51">
        <f t="shared" si="7"/>
        <v>0</v>
      </c>
      <c r="AD57" s="51">
        <f t="shared" si="7"/>
        <v>0</v>
      </c>
      <c r="AE57" s="39">
        <f t="shared" si="7"/>
        <v>0</v>
      </c>
      <c r="AF57" s="51">
        <f t="shared" si="7"/>
        <v>0</v>
      </c>
      <c r="AG57" s="39">
        <f t="shared" si="7"/>
        <v>0</v>
      </c>
      <c r="AH57" s="39">
        <f t="shared" si="7"/>
        <v>0</v>
      </c>
      <c r="AI57" s="51">
        <f t="shared" si="7"/>
        <v>0</v>
      </c>
      <c r="AJ57" s="39">
        <f t="shared" si="7"/>
        <v>0</v>
      </c>
      <c r="AK57" s="39">
        <f t="shared" si="7"/>
        <v>-0.3</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0</v>
      </c>
      <c r="AW57" s="39">
        <f t="shared" si="7"/>
        <v>-64.14</v>
      </c>
      <c r="AX57" s="39">
        <f t="shared" si="7"/>
        <v>0</v>
      </c>
      <c r="AY57" s="39">
        <f t="shared" si="7"/>
        <v>0</v>
      </c>
      <c r="AZ57" s="39">
        <f t="shared" si="7"/>
        <v>0</v>
      </c>
      <c r="BA57" s="39">
        <f t="shared" si="7"/>
        <v>0</v>
      </c>
      <c r="BB57" s="39">
        <f t="shared" si="7"/>
        <v>0</v>
      </c>
      <c r="BC57" s="39">
        <f t="shared" si="7"/>
        <v>0</v>
      </c>
      <c r="BD57" s="39">
        <f t="shared" si="7"/>
        <v>0</v>
      </c>
      <c r="BE57" s="39">
        <f t="shared" si="7"/>
        <v>0</v>
      </c>
      <c r="BF57" s="39">
        <f t="shared" si="7"/>
        <v>3112.58</v>
      </c>
      <c r="BG57" s="39">
        <f t="shared" si="7"/>
        <v>0</v>
      </c>
      <c r="BH57" s="39">
        <f t="shared" si="7"/>
        <v>-250</v>
      </c>
      <c r="BI57" s="39">
        <f t="shared" si="7"/>
        <v>0</v>
      </c>
      <c r="BJ57" s="39">
        <f t="shared" si="7"/>
        <v>0</v>
      </c>
      <c r="BK57" s="39">
        <f t="shared" si="7"/>
        <v>0</v>
      </c>
      <c r="BL57" s="39">
        <f t="shared" si="7"/>
        <v>0</v>
      </c>
      <c r="BM57" s="39">
        <f t="shared" si="7"/>
        <v>0</v>
      </c>
      <c r="BN57" s="39">
        <f t="shared" si="7"/>
        <v>-48111.99</v>
      </c>
      <c r="BO57" s="39">
        <f t="shared" si="7"/>
        <v>0</v>
      </c>
      <c r="BP57" s="39">
        <f t="shared" si="7"/>
        <v>0</v>
      </c>
      <c r="BQ57" s="54">
        <f t="shared" si="7"/>
        <v>0</v>
      </c>
      <c r="BR57" s="39">
        <f t="shared" si="7"/>
        <v>0</v>
      </c>
      <c r="BS57" s="54">
        <f t="shared" si="7"/>
        <v>0</v>
      </c>
      <c r="BT57" s="39">
        <f t="shared" si="7"/>
        <v>0</v>
      </c>
      <c r="BU57" s="39">
        <f t="shared" si="7"/>
        <v>0</v>
      </c>
      <c r="BV57" s="39">
        <f t="shared" si="7"/>
        <v>0</v>
      </c>
      <c r="BW57" s="39">
        <f t="shared" si="7"/>
        <v>0</v>
      </c>
      <c r="BX57" s="39">
        <f t="shared" si="7"/>
        <v>0</v>
      </c>
      <c r="BY57" s="54">
        <f t="shared" si="7"/>
        <v>0</v>
      </c>
      <c r="BZ57" s="39">
        <f t="shared" si="7"/>
        <v>0</v>
      </c>
      <c r="CA57" s="39">
        <f t="shared" si="7"/>
        <v>0</v>
      </c>
      <c r="CB57" s="39">
        <f t="shared" si="7"/>
        <v>0</v>
      </c>
      <c r="CC57" s="39">
        <f t="shared" si="7"/>
        <v>0</v>
      </c>
      <c r="CD57" s="39">
        <f>SUM(D57:CC57)</f>
        <v>57557.23</v>
      </c>
    </row>
    <row r="58" spans="20:77" s="39" customFormat="true" ht="12" customHeight="true">
      <c r="T58" s="51"/>
      <c r="Z58" s="51"/>
      <c r="AA58" s="51"/>
      <c r="AB58" s="51"/>
      <c r="AC58" s="51"/>
      <c r="AD58" s="51"/>
      <c r="AF58" s="51"/>
      <c r="AI58" s="51"/>
      <c r="AT58" s="51"/>
      <c r="BQ58" s="54"/>
      <c r="BS58" s="54"/>
      <c r="BY58" s="54"/>
    </row>
    <row r="59" spans="2:77" s="39" customFormat="true" ht="12" customHeight="true">
      <c r="B59" s="39" t="s">
        <v>34197</v>
      </c>
      <c r="T59" s="51"/>
      <c r="Z59" s="51"/>
      <c r="AA59" s="51"/>
      <c r="AB59" s="51"/>
      <c r="AC59" s="51"/>
      <c r="AD59" s="51"/>
      <c r="AF59" s="51"/>
      <c r="AI59" s="51"/>
      <c r="AT59" s="51"/>
      <c r="BQ59" s="54"/>
      <c r="BS59" s="54"/>
      <c r="BY59" s="54"/>
    </row>
    <row r="60" spans="4:81" s="39" customFormat="true" ht="12" customHeight="true">
      <c r="D60" s="46"/>
      <c r="E60" s="46"/>
      <c r="F60" s="46"/>
      <c r="G60" s="46"/>
      <c r="H60" s="46"/>
      <c r="I60" s="46"/>
      <c r="J60" s="46">
        <v>0</v>
      </c>
      <c r="K60" s="46"/>
      <c r="L60" s="46"/>
      <c r="M60" s="46"/>
      <c r="N60" s="46"/>
      <c r="O60" s="46"/>
      <c r="P60" s="46"/>
      <c r="Q60" s="46"/>
      <c r="R60" s="46"/>
      <c r="S60" s="46"/>
      <c r="T60" s="51"/>
      <c r="U60" s="46"/>
      <c r="V60" s="46"/>
      <c r="W60" s="46"/>
      <c r="X60" s="46"/>
      <c r="Y60" s="46"/>
      <c r="Z60" s="51"/>
      <c r="AA60" s="51"/>
      <c r="AB60" s="51"/>
      <c r="AC60" s="51"/>
      <c r="AD60" s="51"/>
      <c r="AE60" s="46"/>
      <c r="AF60" s="51"/>
      <c r="AG60" s="46"/>
      <c r="AH60" s="46"/>
      <c r="AI60" s="51"/>
      <c r="AJ60" s="46"/>
      <c r="AK60" s="46"/>
      <c r="AL60" s="46"/>
      <c r="AM60" s="46"/>
      <c r="AN60" s="46"/>
      <c r="AO60" s="46"/>
      <c r="AP60" s="46"/>
      <c r="AQ60" s="46"/>
      <c r="AR60" s="46"/>
      <c r="AS60" s="46"/>
      <c r="AT60" s="51"/>
      <c r="AU60" s="46"/>
      <c r="AV60" s="46"/>
      <c r="AW60" s="46"/>
      <c r="AX60" s="46"/>
      <c r="AY60" s="46"/>
      <c r="AZ60" s="46"/>
      <c r="BA60" s="46"/>
      <c r="BB60" s="46"/>
      <c r="BC60" s="46"/>
      <c r="BD60" s="46"/>
      <c r="BE60" s="46"/>
      <c r="BF60" s="46"/>
      <c r="BG60" s="46"/>
      <c r="BH60" s="46"/>
      <c r="BI60" s="46"/>
      <c r="BJ60" s="46"/>
      <c r="BK60" s="46"/>
      <c r="BL60" s="46"/>
      <c r="BM60" s="46"/>
      <c r="BN60" s="46"/>
      <c r="BO60" s="46"/>
      <c r="BP60" s="46"/>
      <c r="BQ60" s="54"/>
      <c r="BR60" s="46"/>
      <c r="BS60" s="54"/>
      <c r="BT60" s="46"/>
      <c r="BU60" s="46"/>
      <c r="BV60" s="46"/>
      <c r="BW60" s="46"/>
      <c r="BX60" s="46"/>
      <c r="BY60" s="54"/>
      <c r="BZ60" s="46"/>
      <c r="CA60" s="46"/>
      <c r="CB60" s="46"/>
      <c r="CC60" s="46"/>
    </row>
    <row r="61" spans="4:81" s="39" customFormat="true" ht="12" customHeight="true">
      <c r="D61" s="46"/>
      <c r="E61" s="46"/>
      <c r="F61" s="46"/>
      <c r="G61" s="46"/>
      <c r="H61" s="46"/>
      <c r="I61" s="46"/>
      <c r="J61" s="46"/>
      <c r="K61" s="46"/>
      <c r="L61" s="46"/>
      <c r="M61" s="46"/>
      <c r="N61" s="46"/>
      <c r="O61" s="46"/>
      <c r="P61" s="46"/>
      <c r="Q61" s="46"/>
      <c r="R61" s="46"/>
      <c r="S61" s="46"/>
      <c r="T61" s="51"/>
      <c r="U61" s="46"/>
      <c r="V61" s="46"/>
      <c r="W61" s="46"/>
      <c r="X61" s="46"/>
      <c r="Y61" s="46"/>
      <c r="Z61" s="51"/>
      <c r="AA61" s="51"/>
      <c r="AB61" s="51"/>
      <c r="AC61" s="51"/>
      <c r="AD61" s="51"/>
      <c r="AE61" s="46"/>
      <c r="AF61" s="51"/>
      <c r="AG61" s="46"/>
      <c r="AH61" s="46"/>
      <c r="AI61" s="51"/>
      <c r="AJ61" s="46"/>
      <c r="AK61" s="46"/>
      <c r="AL61" s="46"/>
      <c r="AM61" s="46"/>
      <c r="AN61" s="46"/>
      <c r="AO61" s="46"/>
      <c r="AP61" s="46"/>
      <c r="AQ61" s="46"/>
      <c r="AR61" s="46"/>
      <c r="AS61" s="46"/>
      <c r="AT61" s="51"/>
      <c r="AU61" s="46"/>
      <c r="AV61" s="46"/>
      <c r="AW61" s="46"/>
      <c r="AX61" s="46"/>
      <c r="AY61" s="46"/>
      <c r="AZ61" s="46"/>
      <c r="BA61" s="46"/>
      <c r="BB61" s="46"/>
      <c r="BC61" s="46"/>
      <c r="BD61" s="46"/>
      <c r="BE61" s="46"/>
      <c r="BF61" s="46"/>
      <c r="BG61" s="46"/>
      <c r="BH61" s="46"/>
      <c r="BI61" s="46"/>
      <c r="BJ61" s="46"/>
      <c r="BK61" s="46"/>
      <c r="BL61" s="46"/>
      <c r="BM61" s="46"/>
      <c r="BN61" s="46"/>
      <c r="BO61" s="46"/>
      <c r="BP61" s="46"/>
      <c r="BQ61" s="54"/>
      <c r="BR61" s="46"/>
      <c r="BS61" s="54"/>
      <c r="BT61" s="46"/>
      <c r="BU61" s="46"/>
      <c r="BV61" s="46"/>
      <c r="BW61" s="46"/>
      <c r="BX61" s="46"/>
      <c r="BY61" s="54"/>
      <c r="BZ61" s="46"/>
      <c r="CA61" s="46"/>
      <c r="CB61" s="46"/>
      <c r="CC61" s="46"/>
    </row>
    <row r="62" spans="4:81" s="39" customFormat="true" ht="12" customHeight="true">
      <c r="D62" s="46"/>
      <c r="E62" s="46"/>
      <c r="F62" s="46"/>
      <c r="G62" s="46"/>
      <c r="H62" s="46"/>
      <c r="I62" s="46"/>
      <c r="J62" s="46"/>
      <c r="K62" s="46"/>
      <c r="L62" s="46"/>
      <c r="M62" s="46"/>
      <c r="N62" s="46"/>
      <c r="O62" s="46"/>
      <c r="P62" s="46"/>
      <c r="Q62" s="46"/>
      <c r="R62" s="46"/>
      <c r="S62" s="46"/>
      <c r="T62" s="51"/>
      <c r="U62" s="46"/>
      <c r="V62" s="46"/>
      <c r="W62" s="46"/>
      <c r="X62" s="46"/>
      <c r="Y62" s="46"/>
      <c r="Z62" s="51"/>
      <c r="AA62" s="51"/>
      <c r="AB62" s="51"/>
      <c r="AC62" s="51"/>
      <c r="AD62" s="51"/>
      <c r="AE62" s="46"/>
      <c r="AF62" s="51"/>
      <c r="AG62" s="46"/>
      <c r="AH62" s="46"/>
      <c r="AI62" s="51"/>
      <c r="AJ62" s="46"/>
      <c r="AK62" s="46"/>
      <c r="AL62" s="46"/>
      <c r="AM62" s="46"/>
      <c r="AN62" s="46"/>
      <c r="AO62" s="46"/>
      <c r="AP62" s="46"/>
      <c r="AQ62" s="46"/>
      <c r="AR62" s="46"/>
      <c r="AS62" s="46"/>
      <c r="AT62" s="51"/>
      <c r="AU62" s="46"/>
      <c r="AV62" s="46"/>
      <c r="AW62" s="46"/>
      <c r="AX62" s="46"/>
      <c r="AY62" s="46"/>
      <c r="AZ62" s="46"/>
      <c r="BA62" s="46"/>
      <c r="BB62" s="46"/>
      <c r="BC62" s="46"/>
      <c r="BD62" s="46"/>
      <c r="BE62" s="46"/>
      <c r="BF62" s="46"/>
      <c r="BG62" s="46"/>
      <c r="BH62" s="46"/>
      <c r="BI62" s="46"/>
      <c r="BJ62" s="46"/>
      <c r="BK62" s="46"/>
      <c r="BL62" s="46"/>
      <c r="BM62" s="46"/>
      <c r="BN62" s="46"/>
      <c r="BO62" s="46"/>
      <c r="BP62" s="46"/>
      <c r="BQ62" s="54"/>
      <c r="BR62" s="46"/>
      <c r="BS62" s="54"/>
      <c r="BT62" s="46"/>
      <c r="BU62" s="46"/>
      <c r="BV62" s="46"/>
      <c r="BW62" s="46"/>
      <c r="BX62" s="46"/>
      <c r="BY62" s="54"/>
      <c r="BZ62" s="46"/>
      <c r="CA62" s="46"/>
      <c r="CB62" s="46"/>
      <c r="CC62" s="46"/>
    </row>
    <row r="63" spans="4:81" s="39" customFormat="true" ht="12" customHeight="true">
      <c r="D63" s="46"/>
      <c r="E63" s="46"/>
      <c r="F63" s="46"/>
      <c r="G63" s="46"/>
      <c r="H63" s="46"/>
      <c r="I63" s="46"/>
      <c r="J63" s="46"/>
      <c r="K63" s="46"/>
      <c r="L63" s="46"/>
      <c r="M63" s="46"/>
      <c r="N63" s="46"/>
      <c r="O63" s="46"/>
      <c r="P63" s="46"/>
      <c r="Q63" s="46"/>
      <c r="R63" s="46"/>
      <c r="S63" s="46"/>
      <c r="T63" s="51"/>
      <c r="U63" s="46"/>
      <c r="V63" s="46"/>
      <c r="W63" s="46"/>
      <c r="X63" s="46"/>
      <c r="Y63" s="46"/>
      <c r="Z63" s="51"/>
      <c r="AA63" s="51"/>
      <c r="AB63" s="51"/>
      <c r="AC63" s="51"/>
      <c r="AD63" s="51"/>
      <c r="AE63" s="46"/>
      <c r="AF63" s="51"/>
      <c r="AG63" s="46"/>
      <c r="AH63" s="46"/>
      <c r="AI63" s="51"/>
      <c r="AJ63" s="46"/>
      <c r="AK63" s="46"/>
      <c r="AL63" s="46"/>
      <c r="AM63" s="46"/>
      <c r="AN63" s="46"/>
      <c r="AO63" s="46"/>
      <c r="AP63" s="46"/>
      <c r="AQ63" s="46"/>
      <c r="AR63" s="46"/>
      <c r="AS63" s="46"/>
      <c r="AT63" s="51"/>
      <c r="AU63" s="46"/>
      <c r="AV63" s="46"/>
      <c r="AW63" s="46"/>
      <c r="AX63" s="46"/>
      <c r="AY63" s="46"/>
      <c r="AZ63" s="46"/>
      <c r="BA63" s="46"/>
      <c r="BB63" s="46"/>
      <c r="BC63" s="46"/>
      <c r="BD63" s="46"/>
      <c r="BE63" s="46"/>
      <c r="BF63" s="46"/>
      <c r="BG63" s="46"/>
      <c r="BH63" s="46"/>
      <c r="BI63" s="46"/>
      <c r="BJ63" s="46"/>
      <c r="BK63" s="46"/>
      <c r="BL63" s="46"/>
      <c r="BM63" s="46"/>
      <c r="BN63" s="46"/>
      <c r="BO63" s="46"/>
      <c r="BP63" s="46"/>
      <c r="BQ63" s="54"/>
      <c r="BR63" s="46"/>
      <c r="BS63" s="54"/>
      <c r="BT63" s="46"/>
      <c r="BU63" s="46"/>
      <c r="BV63" s="46"/>
      <c r="BW63" s="46"/>
      <c r="BX63" s="46"/>
      <c r="BY63" s="54"/>
      <c r="BZ63" s="46"/>
      <c r="CA63" s="46"/>
      <c r="CB63" s="46"/>
      <c r="CC63" s="46"/>
    </row>
    <row r="64" spans="4:81" s="39" customFormat="true" ht="12" customHeight="true">
      <c r="D64" s="46"/>
      <c r="E64" s="46"/>
      <c r="F64" s="46"/>
      <c r="G64" s="46"/>
      <c r="H64" s="46"/>
      <c r="I64" s="46"/>
      <c r="J64" s="46"/>
      <c r="K64" s="46"/>
      <c r="L64" s="46"/>
      <c r="M64" s="46"/>
      <c r="N64" s="46"/>
      <c r="O64" s="46"/>
      <c r="P64" s="46"/>
      <c r="Q64" s="46"/>
      <c r="R64" s="46"/>
      <c r="S64" s="46"/>
      <c r="T64" s="51"/>
      <c r="U64" s="46"/>
      <c r="V64" s="46"/>
      <c r="W64" s="46"/>
      <c r="X64" s="46"/>
      <c r="Y64" s="46"/>
      <c r="Z64" s="51"/>
      <c r="AA64" s="51"/>
      <c r="AB64" s="51"/>
      <c r="AC64" s="51"/>
      <c r="AD64" s="51"/>
      <c r="AE64" s="46"/>
      <c r="AF64" s="51"/>
      <c r="AG64" s="46"/>
      <c r="AH64" s="46"/>
      <c r="AI64" s="51"/>
      <c r="AJ64" s="46"/>
      <c r="AK64" s="46"/>
      <c r="AL64" s="46"/>
      <c r="AM64" s="46"/>
      <c r="AN64" s="46"/>
      <c r="AO64" s="46"/>
      <c r="AP64" s="46"/>
      <c r="AQ64" s="46"/>
      <c r="AR64" s="46"/>
      <c r="AS64" s="46"/>
      <c r="AT64" s="51"/>
      <c r="AU64" s="46"/>
      <c r="AV64" s="46"/>
      <c r="AW64" s="46"/>
      <c r="AX64" s="46"/>
      <c r="AY64" s="46"/>
      <c r="AZ64" s="46"/>
      <c r="BA64" s="46"/>
      <c r="BB64" s="46"/>
      <c r="BC64" s="46"/>
      <c r="BD64" s="46"/>
      <c r="BE64" s="46"/>
      <c r="BF64" s="46"/>
      <c r="BG64" s="46"/>
      <c r="BH64" s="46"/>
      <c r="BI64" s="46"/>
      <c r="BJ64" s="46"/>
      <c r="BK64" s="46"/>
      <c r="BL64" s="46"/>
      <c r="BM64" s="46"/>
      <c r="BN64" s="46"/>
      <c r="BO64" s="46"/>
      <c r="BP64" s="46"/>
      <c r="BQ64" s="54"/>
      <c r="BR64" s="46"/>
      <c r="BS64" s="54"/>
      <c r="BT64" s="46"/>
      <c r="BU64" s="46"/>
      <c r="BV64" s="46"/>
      <c r="BW64" s="46"/>
      <c r="BX64" s="46"/>
      <c r="BY64" s="54"/>
      <c r="BZ64" s="46"/>
      <c r="CA64" s="46"/>
      <c r="CB64" s="46"/>
      <c r="CC64" s="46"/>
    </row>
    <row r="65" spans="4:81" s="39" customFormat="true" ht="12" customHeight="true">
      <c r="D65" s="46"/>
      <c r="E65" s="46"/>
      <c r="F65" s="46"/>
      <c r="G65" s="46"/>
      <c r="H65" s="46"/>
      <c r="I65" s="46"/>
      <c r="J65" s="46"/>
      <c r="K65" s="46"/>
      <c r="L65" s="46"/>
      <c r="M65" s="46"/>
      <c r="N65" s="46"/>
      <c r="O65" s="46"/>
      <c r="P65" s="46"/>
      <c r="Q65" s="46"/>
      <c r="R65" s="46"/>
      <c r="S65" s="46"/>
      <c r="T65" s="51"/>
      <c r="U65" s="46"/>
      <c r="V65" s="46"/>
      <c r="W65" s="46"/>
      <c r="X65" s="46"/>
      <c r="Y65" s="46"/>
      <c r="Z65" s="51"/>
      <c r="AA65" s="51"/>
      <c r="AB65" s="51"/>
      <c r="AC65" s="51"/>
      <c r="AD65" s="51"/>
      <c r="AE65" s="46"/>
      <c r="AF65" s="51"/>
      <c r="AG65" s="46"/>
      <c r="AH65" s="46"/>
      <c r="AI65" s="51"/>
      <c r="AJ65" s="46"/>
      <c r="AK65" s="46"/>
      <c r="AL65" s="46"/>
      <c r="AM65" s="46"/>
      <c r="AN65" s="46"/>
      <c r="AO65" s="46"/>
      <c r="AP65" s="46"/>
      <c r="AQ65" s="46"/>
      <c r="AR65" s="46"/>
      <c r="AS65" s="46"/>
      <c r="AT65" s="51"/>
      <c r="AU65" s="46"/>
      <c r="AV65" s="46"/>
      <c r="AW65" s="46"/>
      <c r="AX65" s="46"/>
      <c r="AY65" s="46"/>
      <c r="AZ65" s="46"/>
      <c r="BA65" s="46"/>
      <c r="BB65" s="46"/>
      <c r="BC65" s="46"/>
      <c r="BD65" s="46"/>
      <c r="BE65" s="46"/>
      <c r="BF65" s="46"/>
      <c r="BG65" s="46"/>
      <c r="BH65" s="46"/>
      <c r="BI65" s="46"/>
      <c r="BJ65" s="46"/>
      <c r="BK65" s="46"/>
      <c r="BL65" s="46"/>
      <c r="BM65" s="46"/>
      <c r="BN65" s="46"/>
      <c r="BO65" s="46"/>
      <c r="BP65" s="46"/>
      <c r="BQ65" s="54"/>
      <c r="BR65" s="46"/>
      <c r="BS65" s="54"/>
      <c r="BT65" s="46"/>
      <c r="BU65" s="46"/>
      <c r="BV65" s="46"/>
      <c r="BW65" s="46"/>
      <c r="BX65" s="46"/>
      <c r="BY65" s="54"/>
      <c r="BZ65" s="46"/>
      <c r="CA65" s="46"/>
      <c r="CB65" s="46"/>
      <c r="CC65" s="46"/>
    </row>
    <row r="66" spans="4:81" s="39" customFormat="true" ht="12" customHeight="true">
      <c r="D66" s="46"/>
      <c r="E66" s="46"/>
      <c r="F66" s="46"/>
      <c r="G66" s="46"/>
      <c r="H66" s="46"/>
      <c r="I66" s="46"/>
      <c r="J66" s="46"/>
      <c r="K66" s="46"/>
      <c r="L66" s="46"/>
      <c r="M66" s="46"/>
      <c r="N66" s="46"/>
      <c r="O66" s="46"/>
      <c r="P66" s="46"/>
      <c r="Q66" s="46"/>
      <c r="R66" s="46"/>
      <c r="S66" s="46"/>
      <c r="T66" s="51"/>
      <c r="U66" s="46"/>
      <c r="V66" s="46"/>
      <c r="W66" s="46"/>
      <c r="X66" s="46"/>
      <c r="Y66" s="46"/>
      <c r="Z66" s="51"/>
      <c r="AA66" s="51"/>
      <c r="AB66" s="51"/>
      <c r="AC66" s="51"/>
      <c r="AD66" s="51"/>
      <c r="AE66" s="46"/>
      <c r="AF66" s="51"/>
      <c r="AG66" s="46"/>
      <c r="AH66" s="46"/>
      <c r="AI66" s="51"/>
      <c r="AJ66" s="46"/>
      <c r="AK66" s="46"/>
      <c r="AL66" s="46"/>
      <c r="AM66" s="46"/>
      <c r="AN66" s="46"/>
      <c r="AO66" s="46"/>
      <c r="AP66" s="46"/>
      <c r="AQ66" s="46"/>
      <c r="AR66" s="46"/>
      <c r="AS66" s="46"/>
      <c r="AT66" s="51"/>
      <c r="AU66" s="46"/>
      <c r="AV66" s="46"/>
      <c r="AW66" s="46"/>
      <c r="AX66" s="46"/>
      <c r="AY66" s="46"/>
      <c r="AZ66" s="46"/>
      <c r="BA66" s="46"/>
      <c r="BB66" s="46"/>
      <c r="BC66" s="46"/>
      <c r="BD66" s="46"/>
      <c r="BE66" s="46"/>
      <c r="BF66" s="46"/>
      <c r="BG66" s="46"/>
      <c r="BH66" s="46"/>
      <c r="BI66" s="46"/>
      <c r="BJ66" s="46"/>
      <c r="BK66" s="46"/>
      <c r="BL66" s="46"/>
      <c r="BM66" s="46"/>
      <c r="BN66" s="46"/>
      <c r="BO66" s="46"/>
      <c r="BP66" s="46"/>
      <c r="BQ66" s="54"/>
      <c r="BR66" s="46"/>
      <c r="BS66" s="54"/>
      <c r="BT66" s="46"/>
      <c r="BU66" s="46"/>
      <c r="BV66" s="46"/>
      <c r="BW66" s="46"/>
      <c r="BX66" s="46"/>
      <c r="BY66" s="54"/>
      <c r="BZ66" s="46"/>
      <c r="CA66" s="46"/>
      <c r="CB66" s="46"/>
      <c r="CC66" s="46"/>
    </row>
    <row r="67" spans="4:81" s="39" customFormat="true" ht="12" customHeight="true">
      <c r="D67" s="46"/>
      <c r="E67" s="46"/>
      <c r="F67" s="46"/>
      <c r="G67" s="46"/>
      <c r="H67" s="46"/>
      <c r="I67" s="46"/>
      <c r="J67" s="46"/>
      <c r="K67" s="46"/>
      <c r="L67" s="46"/>
      <c r="M67" s="46"/>
      <c r="N67" s="46"/>
      <c r="O67" s="46"/>
      <c r="P67" s="46"/>
      <c r="Q67" s="46"/>
      <c r="R67" s="46"/>
      <c r="S67" s="46"/>
      <c r="T67" s="51"/>
      <c r="U67" s="46"/>
      <c r="V67" s="46"/>
      <c r="W67" s="46"/>
      <c r="X67" s="46"/>
      <c r="Y67" s="46"/>
      <c r="Z67" s="51"/>
      <c r="AA67" s="51"/>
      <c r="AB67" s="51"/>
      <c r="AC67" s="51"/>
      <c r="AD67" s="51"/>
      <c r="AE67" s="46"/>
      <c r="AF67" s="51"/>
      <c r="AG67" s="46"/>
      <c r="AH67" s="46"/>
      <c r="AI67" s="51"/>
      <c r="AJ67" s="46"/>
      <c r="AK67" s="46"/>
      <c r="AL67" s="46"/>
      <c r="AM67" s="46"/>
      <c r="AN67" s="46"/>
      <c r="AO67" s="46"/>
      <c r="AP67" s="46"/>
      <c r="AQ67" s="46"/>
      <c r="AR67" s="46"/>
      <c r="AS67" s="46"/>
      <c r="AT67" s="51"/>
      <c r="AU67" s="46"/>
      <c r="AV67" s="46"/>
      <c r="AW67" s="46"/>
      <c r="AX67" s="46"/>
      <c r="AY67" s="46"/>
      <c r="AZ67" s="46"/>
      <c r="BA67" s="46"/>
      <c r="BB67" s="46"/>
      <c r="BC67" s="46"/>
      <c r="BD67" s="46"/>
      <c r="BE67" s="46"/>
      <c r="BF67" s="46"/>
      <c r="BG67" s="46"/>
      <c r="BH67" s="46"/>
      <c r="BI67" s="46"/>
      <c r="BJ67" s="46"/>
      <c r="BK67" s="46"/>
      <c r="BL67" s="46"/>
      <c r="BM67" s="46"/>
      <c r="BN67" s="46"/>
      <c r="BO67" s="46"/>
      <c r="BP67" s="46"/>
      <c r="BQ67" s="54"/>
      <c r="BR67" s="46"/>
      <c r="BS67" s="54"/>
      <c r="BT67" s="46"/>
      <c r="BU67" s="46"/>
      <c r="BV67" s="46"/>
      <c r="BW67" s="46"/>
      <c r="BX67" s="46"/>
      <c r="BY67" s="54"/>
      <c r="BZ67" s="46"/>
      <c r="CA67" s="46"/>
      <c r="CB67" s="46"/>
      <c r="CC67" s="46"/>
    </row>
    <row r="68" spans="4:81" s="39" customFormat="true" ht="12" customHeight="true">
      <c r="D68" s="46"/>
      <c r="E68" s="46"/>
      <c r="F68" s="46"/>
      <c r="G68" s="46"/>
      <c r="H68" s="46"/>
      <c r="I68" s="46"/>
      <c r="J68" s="46"/>
      <c r="K68" s="46"/>
      <c r="L68" s="46"/>
      <c r="M68" s="46"/>
      <c r="N68" s="46"/>
      <c r="O68" s="46"/>
      <c r="P68" s="46"/>
      <c r="Q68" s="46"/>
      <c r="R68" s="46"/>
      <c r="S68" s="46"/>
      <c r="T68" s="51"/>
      <c r="U68" s="46"/>
      <c r="V68" s="46"/>
      <c r="W68" s="46"/>
      <c r="X68" s="46"/>
      <c r="Y68" s="46"/>
      <c r="Z68" s="51"/>
      <c r="AA68" s="51"/>
      <c r="AB68" s="51"/>
      <c r="AC68" s="51"/>
      <c r="AD68" s="51"/>
      <c r="AE68" s="46"/>
      <c r="AF68" s="51"/>
      <c r="AG68" s="46"/>
      <c r="AH68" s="46"/>
      <c r="AI68" s="51"/>
      <c r="AJ68" s="46"/>
      <c r="AK68" s="46"/>
      <c r="AL68" s="46"/>
      <c r="AM68" s="46"/>
      <c r="AN68" s="46"/>
      <c r="AO68" s="46"/>
      <c r="AP68" s="46"/>
      <c r="AQ68" s="46"/>
      <c r="AR68" s="46"/>
      <c r="AS68" s="46"/>
      <c r="AT68" s="51"/>
      <c r="AU68" s="46"/>
      <c r="AV68" s="46"/>
      <c r="AW68" s="46"/>
      <c r="AX68" s="46"/>
      <c r="AY68" s="46"/>
      <c r="AZ68" s="46"/>
      <c r="BA68" s="46"/>
      <c r="BB68" s="46"/>
      <c r="BC68" s="46"/>
      <c r="BD68" s="46"/>
      <c r="BE68" s="46"/>
      <c r="BF68" s="46"/>
      <c r="BG68" s="46"/>
      <c r="BH68" s="46"/>
      <c r="BI68" s="46"/>
      <c r="BJ68" s="46"/>
      <c r="BK68" s="46"/>
      <c r="BL68" s="46"/>
      <c r="BM68" s="46"/>
      <c r="BN68" s="46"/>
      <c r="BO68" s="46"/>
      <c r="BP68" s="46"/>
      <c r="BQ68" s="54"/>
      <c r="BR68" s="46"/>
      <c r="BS68" s="54"/>
      <c r="BT68" s="46"/>
      <c r="BU68" s="46"/>
      <c r="BV68" s="46"/>
      <c r="BW68" s="46"/>
      <c r="BX68" s="46"/>
      <c r="BY68" s="54"/>
      <c r="BZ68" s="46"/>
      <c r="CA68" s="46"/>
      <c r="CB68" s="46"/>
      <c r="CC68" s="46"/>
    </row>
    <row r="69" spans="4:81" s="39" customFormat="true" ht="12" customHeight="true">
      <c r="D69" s="46"/>
      <c r="E69" s="46"/>
      <c r="F69" s="46"/>
      <c r="G69" s="46"/>
      <c r="H69" s="46"/>
      <c r="I69" s="46"/>
      <c r="J69" s="46"/>
      <c r="K69" s="46"/>
      <c r="L69" s="46"/>
      <c r="M69" s="46"/>
      <c r="N69" s="46"/>
      <c r="O69" s="46"/>
      <c r="P69" s="46"/>
      <c r="Q69" s="46"/>
      <c r="R69" s="46"/>
      <c r="S69" s="46"/>
      <c r="T69" s="51"/>
      <c r="U69" s="46"/>
      <c r="V69" s="46"/>
      <c r="W69" s="46"/>
      <c r="X69" s="46"/>
      <c r="Y69" s="46"/>
      <c r="Z69" s="51"/>
      <c r="AA69" s="51"/>
      <c r="AB69" s="51"/>
      <c r="AC69" s="51"/>
      <c r="AD69" s="51"/>
      <c r="AE69" s="46"/>
      <c r="AF69" s="51"/>
      <c r="AG69" s="46"/>
      <c r="AH69" s="46"/>
      <c r="AI69" s="51"/>
      <c r="AJ69" s="46"/>
      <c r="AK69" s="46"/>
      <c r="AL69" s="46"/>
      <c r="AM69" s="46"/>
      <c r="AN69" s="46"/>
      <c r="AO69" s="46"/>
      <c r="AP69" s="46"/>
      <c r="AQ69" s="46"/>
      <c r="AR69" s="46"/>
      <c r="AS69" s="46"/>
      <c r="AT69" s="51"/>
      <c r="AU69" s="46"/>
      <c r="AV69" s="46"/>
      <c r="AW69" s="46"/>
      <c r="AX69" s="46"/>
      <c r="AY69" s="46"/>
      <c r="AZ69" s="46"/>
      <c r="BA69" s="46"/>
      <c r="BB69" s="46"/>
      <c r="BC69" s="46"/>
      <c r="BD69" s="46"/>
      <c r="BE69" s="46"/>
      <c r="BF69" s="46"/>
      <c r="BG69" s="46"/>
      <c r="BH69" s="46"/>
      <c r="BI69" s="46"/>
      <c r="BJ69" s="46"/>
      <c r="BK69" s="46"/>
      <c r="BL69" s="46"/>
      <c r="BM69" s="46"/>
      <c r="BN69" s="46"/>
      <c r="BO69" s="46"/>
      <c r="BP69" s="46"/>
      <c r="BQ69" s="54"/>
      <c r="BR69" s="46"/>
      <c r="BS69" s="54"/>
      <c r="BT69" s="46"/>
      <c r="BU69" s="46"/>
      <c r="BV69" s="46"/>
      <c r="BW69" s="46"/>
      <c r="BX69" s="46"/>
      <c r="BY69" s="54"/>
      <c r="BZ69" s="46"/>
      <c r="CA69" s="46"/>
      <c r="CB69" s="46"/>
      <c r="CC69" s="46"/>
    </row>
    <row r="70" spans="4:81" s="39" customFormat="true" ht="12" customHeight="true">
      <c r="D70" s="46"/>
      <c r="E70" s="46"/>
      <c r="F70" s="46"/>
      <c r="G70" s="46"/>
      <c r="H70" s="46"/>
      <c r="I70" s="46"/>
      <c r="J70" s="46"/>
      <c r="K70" s="46"/>
      <c r="L70" s="46"/>
      <c r="M70" s="46"/>
      <c r="N70" s="46"/>
      <c r="O70" s="46"/>
      <c r="P70" s="46"/>
      <c r="Q70" s="46"/>
      <c r="R70" s="46"/>
      <c r="S70" s="46"/>
      <c r="T70" s="51"/>
      <c r="U70" s="46"/>
      <c r="V70" s="46"/>
      <c r="W70" s="46"/>
      <c r="X70" s="46"/>
      <c r="Y70" s="46"/>
      <c r="Z70" s="51"/>
      <c r="AA70" s="51"/>
      <c r="AB70" s="51"/>
      <c r="AC70" s="51"/>
      <c r="AD70" s="51"/>
      <c r="AE70" s="46"/>
      <c r="AF70" s="51"/>
      <c r="AG70" s="46"/>
      <c r="AH70" s="46"/>
      <c r="AI70" s="51"/>
      <c r="AJ70" s="46"/>
      <c r="AK70" s="46"/>
      <c r="AL70" s="46"/>
      <c r="AM70" s="46"/>
      <c r="AN70" s="46"/>
      <c r="AO70" s="46"/>
      <c r="AP70" s="46"/>
      <c r="AQ70" s="46"/>
      <c r="AR70" s="46"/>
      <c r="AS70" s="46"/>
      <c r="AT70" s="51"/>
      <c r="AU70" s="46"/>
      <c r="AV70" s="46"/>
      <c r="AW70" s="46"/>
      <c r="AX70" s="46"/>
      <c r="AY70" s="46"/>
      <c r="AZ70" s="46"/>
      <c r="BA70" s="46"/>
      <c r="BB70" s="46"/>
      <c r="BC70" s="46"/>
      <c r="BD70" s="46"/>
      <c r="BE70" s="46"/>
      <c r="BF70" s="46"/>
      <c r="BG70" s="46"/>
      <c r="BH70" s="46"/>
      <c r="BI70" s="46"/>
      <c r="BJ70" s="46"/>
      <c r="BK70" s="46"/>
      <c r="BL70" s="46"/>
      <c r="BM70" s="46"/>
      <c r="BN70" s="46"/>
      <c r="BO70" s="46"/>
      <c r="BP70" s="46"/>
      <c r="BQ70" s="54"/>
      <c r="BR70" s="46"/>
      <c r="BS70" s="54"/>
      <c r="BT70" s="46"/>
      <c r="BU70" s="46"/>
      <c r="BV70" s="46"/>
      <c r="BW70" s="46"/>
      <c r="BX70" s="46"/>
      <c r="BY70" s="54"/>
      <c r="BZ70" s="46"/>
      <c r="CA70" s="46"/>
      <c r="CB70" s="46"/>
      <c r="CC70" s="46"/>
    </row>
    <row r="71" spans="4:81" s="39" customFormat="true" ht="12" customHeight="true">
      <c r="D71" s="46"/>
      <c r="E71" s="46"/>
      <c r="F71" s="46"/>
      <c r="G71" s="46"/>
      <c r="H71" s="46"/>
      <c r="I71" s="46"/>
      <c r="J71" s="46"/>
      <c r="K71" s="46"/>
      <c r="L71" s="46"/>
      <c r="M71" s="46"/>
      <c r="N71" s="46"/>
      <c r="O71" s="46"/>
      <c r="P71" s="46"/>
      <c r="Q71" s="46"/>
      <c r="R71" s="46"/>
      <c r="S71" s="46"/>
      <c r="T71" s="51"/>
      <c r="U71" s="46"/>
      <c r="V71" s="46"/>
      <c r="W71" s="46"/>
      <c r="X71" s="46"/>
      <c r="Y71" s="46"/>
      <c r="Z71" s="51"/>
      <c r="AA71" s="51"/>
      <c r="AB71" s="51"/>
      <c r="AC71" s="51"/>
      <c r="AD71" s="51"/>
      <c r="AE71" s="46"/>
      <c r="AF71" s="51"/>
      <c r="AG71" s="46"/>
      <c r="AH71" s="46"/>
      <c r="AI71" s="51"/>
      <c r="AJ71" s="46"/>
      <c r="AK71" s="46"/>
      <c r="AL71" s="46"/>
      <c r="AM71" s="46"/>
      <c r="AN71" s="46"/>
      <c r="AO71" s="46"/>
      <c r="AP71" s="46"/>
      <c r="AQ71" s="46"/>
      <c r="AR71" s="46"/>
      <c r="AS71" s="46"/>
      <c r="AT71" s="51"/>
      <c r="AU71" s="46"/>
      <c r="AV71" s="46"/>
      <c r="AW71" s="46"/>
      <c r="AX71" s="46"/>
      <c r="AY71" s="46"/>
      <c r="AZ71" s="46"/>
      <c r="BA71" s="46"/>
      <c r="BB71" s="46"/>
      <c r="BC71" s="46"/>
      <c r="BD71" s="46"/>
      <c r="BE71" s="46"/>
      <c r="BF71" s="46"/>
      <c r="BG71" s="46"/>
      <c r="BH71" s="46"/>
      <c r="BI71" s="46"/>
      <c r="BJ71" s="46"/>
      <c r="BK71" s="46"/>
      <c r="BL71" s="46"/>
      <c r="BM71" s="46"/>
      <c r="BN71" s="46"/>
      <c r="BO71" s="46"/>
      <c r="BP71" s="46"/>
      <c r="BQ71" s="54"/>
      <c r="BR71" s="46"/>
      <c r="BS71" s="54"/>
      <c r="BT71" s="46"/>
      <c r="BU71" s="46"/>
      <c r="BV71" s="46"/>
      <c r="BW71" s="46"/>
      <c r="BX71" s="46"/>
      <c r="BY71" s="54"/>
      <c r="BZ71" s="46"/>
      <c r="CA71" s="46"/>
      <c r="CB71" s="46"/>
      <c r="CC71" s="46"/>
    </row>
    <row r="72" spans="4:81" s="39" customFormat="true" ht="12" customHeight="true">
      <c r="D72" s="46"/>
      <c r="E72" s="46"/>
      <c r="F72" s="46"/>
      <c r="G72" s="46"/>
      <c r="H72" s="46"/>
      <c r="I72" s="46"/>
      <c r="J72" s="46"/>
      <c r="K72" s="46"/>
      <c r="L72" s="46"/>
      <c r="M72" s="46"/>
      <c r="N72" s="46"/>
      <c r="O72" s="46"/>
      <c r="P72" s="46"/>
      <c r="Q72" s="46"/>
      <c r="R72" s="46"/>
      <c r="S72" s="46"/>
      <c r="T72" s="51"/>
      <c r="U72" s="46"/>
      <c r="V72" s="46"/>
      <c r="W72" s="46"/>
      <c r="X72" s="46"/>
      <c r="Y72" s="46"/>
      <c r="Z72" s="51"/>
      <c r="AA72" s="51"/>
      <c r="AB72" s="51"/>
      <c r="AC72" s="51"/>
      <c r="AD72" s="51"/>
      <c r="AE72" s="46"/>
      <c r="AF72" s="51"/>
      <c r="AG72" s="46"/>
      <c r="AH72" s="46"/>
      <c r="AI72" s="51"/>
      <c r="AJ72" s="46"/>
      <c r="AK72" s="46"/>
      <c r="AL72" s="46"/>
      <c r="AM72" s="46"/>
      <c r="AN72" s="46"/>
      <c r="AO72" s="46"/>
      <c r="AP72" s="46"/>
      <c r="AQ72" s="46"/>
      <c r="AR72" s="46"/>
      <c r="AS72" s="46"/>
      <c r="AT72" s="51"/>
      <c r="AU72" s="46"/>
      <c r="AV72" s="46"/>
      <c r="AW72" s="46"/>
      <c r="AX72" s="46"/>
      <c r="AY72" s="46"/>
      <c r="AZ72" s="46"/>
      <c r="BA72" s="46"/>
      <c r="BB72" s="46"/>
      <c r="BC72" s="46"/>
      <c r="BD72" s="46"/>
      <c r="BE72" s="46"/>
      <c r="BF72" s="46"/>
      <c r="BG72" s="46"/>
      <c r="BH72" s="46"/>
      <c r="BI72" s="46"/>
      <c r="BJ72" s="46"/>
      <c r="BK72" s="46"/>
      <c r="BL72" s="46"/>
      <c r="BM72" s="46"/>
      <c r="BN72" s="46"/>
      <c r="BO72" s="46"/>
      <c r="BP72" s="46"/>
      <c r="BQ72" s="54"/>
      <c r="BR72" s="46"/>
      <c r="BS72" s="54"/>
      <c r="BT72" s="46"/>
      <c r="BU72" s="46"/>
      <c r="BV72" s="46"/>
      <c r="BW72" s="46"/>
      <c r="BX72" s="46"/>
      <c r="BY72" s="54"/>
      <c r="BZ72" s="46"/>
      <c r="CA72" s="46"/>
      <c r="CB72" s="46"/>
      <c r="CC72" s="46"/>
    </row>
    <row r="73" spans="4:81" s="39" customFormat="true" ht="12" customHeight="true">
      <c r="D73" s="46"/>
      <c r="E73" s="46"/>
      <c r="F73" s="46"/>
      <c r="G73" s="46"/>
      <c r="H73" s="46"/>
      <c r="I73" s="46"/>
      <c r="J73" s="46"/>
      <c r="K73" s="46"/>
      <c r="L73" s="46"/>
      <c r="M73" s="46"/>
      <c r="N73" s="46"/>
      <c r="O73" s="46"/>
      <c r="P73" s="46"/>
      <c r="Q73" s="46"/>
      <c r="R73" s="46"/>
      <c r="S73" s="46"/>
      <c r="T73" s="51"/>
      <c r="U73" s="46"/>
      <c r="V73" s="46"/>
      <c r="W73" s="46"/>
      <c r="X73" s="46"/>
      <c r="Y73" s="46"/>
      <c r="Z73" s="51"/>
      <c r="AA73" s="51"/>
      <c r="AB73" s="51"/>
      <c r="AC73" s="51"/>
      <c r="AD73" s="51"/>
      <c r="AE73" s="46"/>
      <c r="AF73" s="51"/>
      <c r="AG73" s="46"/>
      <c r="AH73" s="46"/>
      <c r="AI73" s="51"/>
      <c r="AJ73" s="46"/>
      <c r="AK73" s="46"/>
      <c r="AL73" s="46"/>
      <c r="AM73" s="46"/>
      <c r="AN73" s="46"/>
      <c r="AO73" s="46"/>
      <c r="AP73" s="46"/>
      <c r="AQ73" s="46"/>
      <c r="AR73" s="46"/>
      <c r="AS73" s="46"/>
      <c r="AT73" s="51"/>
      <c r="AU73" s="46"/>
      <c r="AV73" s="46"/>
      <c r="AW73" s="46"/>
      <c r="AX73" s="46"/>
      <c r="AY73" s="46"/>
      <c r="AZ73" s="46"/>
      <c r="BA73" s="46"/>
      <c r="BB73" s="46"/>
      <c r="BC73" s="46"/>
      <c r="BD73" s="46"/>
      <c r="BE73" s="46"/>
      <c r="BF73" s="46"/>
      <c r="BG73" s="46"/>
      <c r="BH73" s="46"/>
      <c r="BI73" s="46"/>
      <c r="BJ73" s="46"/>
      <c r="BK73" s="46"/>
      <c r="BL73" s="46"/>
      <c r="BM73" s="46"/>
      <c r="BN73" s="46"/>
      <c r="BO73" s="46"/>
      <c r="BP73" s="46"/>
      <c r="BQ73" s="54"/>
      <c r="BR73" s="46"/>
      <c r="BS73" s="54"/>
      <c r="BT73" s="46"/>
      <c r="BU73" s="46"/>
      <c r="BV73" s="46"/>
      <c r="BW73" s="46"/>
      <c r="BX73" s="46"/>
      <c r="BY73" s="54"/>
      <c r="BZ73" s="46"/>
      <c r="CA73" s="46"/>
      <c r="CB73" s="46"/>
      <c r="CC73" s="46"/>
    </row>
    <row r="74" spans="4:81" s="39" customFormat="true" ht="12" customHeight="true">
      <c r="D74" s="46"/>
      <c r="E74" s="46"/>
      <c r="F74" s="46"/>
      <c r="G74" s="46"/>
      <c r="H74" s="46"/>
      <c r="I74" s="46"/>
      <c r="J74" s="46"/>
      <c r="K74" s="46"/>
      <c r="L74" s="46"/>
      <c r="M74" s="46"/>
      <c r="N74" s="46"/>
      <c r="O74" s="46"/>
      <c r="P74" s="46"/>
      <c r="Q74" s="46"/>
      <c r="R74" s="46"/>
      <c r="S74" s="46"/>
      <c r="T74" s="51"/>
      <c r="U74" s="46"/>
      <c r="V74" s="46"/>
      <c r="W74" s="46"/>
      <c r="X74" s="46"/>
      <c r="Y74" s="46"/>
      <c r="Z74" s="51"/>
      <c r="AA74" s="51"/>
      <c r="AB74" s="51"/>
      <c r="AC74" s="51"/>
      <c r="AD74" s="51"/>
      <c r="AE74" s="46"/>
      <c r="AF74" s="51"/>
      <c r="AG74" s="46"/>
      <c r="AH74" s="46"/>
      <c r="AI74" s="51"/>
      <c r="AJ74" s="46"/>
      <c r="AK74" s="46"/>
      <c r="AL74" s="46"/>
      <c r="AM74" s="46"/>
      <c r="AN74" s="46"/>
      <c r="AO74" s="46"/>
      <c r="AP74" s="46"/>
      <c r="AQ74" s="46"/>
      <c r="AR74" s="46"/>
      <c r="AS74" s="46"/>
      <c r="AT74" s="51"/>
      <c r="AU74" s="46"/>
      <c r="AV74" s="46"/>
      <c r="AW74" s="46"/>
      <c r="AX74" s="46"/>
      <c r="AY74" s="46"/>
      <c r="AZ74" s="46"/>
      <c r="BA74" s="46"/>
      <c r="BB74" s="46"/>
      <c r="BC74" s="46"/>
      <c r="BD74" s="46"/>
      <c r="BE74" s="46"/>
      <c r="BF74" s="46"/>
      <c r="BG74" s="46"/>
      <c r="BH74" s="46"/>
      <c r="BI74" s="46"/>
      <c r="BJ74" s="46"/>
      <c r="BK74" s="46"/>
      <c r="BL74" s="46"/>
      <c r="BM74" s="46"/>
      <c r="BN74" s="46"/>
      <c r="BO74" s="46"/>
      <c r="BP74" s="46"/>
      <c r="BQ74" s="54"/>
      <c r="BR74" s="46"/>
      <c r="BS74" s="54"/>
      <c r="BT74" s="46"/>
      <c r="BU74" s="46"/>
      <c r="BV74" s="46"/>
      <c r="BW74" s="46"/>
      <c r="BX74" s="46"/>
      <c r="BY74" s="54"/>
      <c r="BZ74" s="46"/>
      <c r="CA74" s="46"/>
      <c r="CB74" s="46"/>
      <c r="CC74" s="46"/>
    </row>
    <row r="75" spans="4:81" s="39" customFormat="true" ht="12" customHeight="true">
      <c r="D75" s="46"/>
      <c r="E75" s="46"/>
      <c r="F75" s="46"/>
      <c r="G75" s="46"/>
      <c r="H75" s="46"/>
      <c r="I75" s="46"/>
      <c r="J75" s="46"/>
      <c r="K75" s="46"/>
      <c r="L75" s="46"/>
      <c r="M75" s="46"/>
      <c r="N75" s="46"/>
      <c r="O75" s="46"/>
      <c r="P75" s="46"/>
      <c r="Q75" s="46"/>
      <c r="R75" s="46"/>
      <c r="S75" s="46"/>
      <c r="T75" s="51"/>
      <c r="U75" s="46"/>
      <c r="V75" s="46"/>
      <c r="W75" s="46"/>
      <c r="X75" s="46"/>
      <c r="Y75" s="46"/>
      <c r="Z75" s="51"/>
      <c r="AA75" s="51"/>
      <c r="AB75" s="51"/>
      <c r="AC75" s="51"/>
      <c r="AD75" s="51"/>
      <c r="AE75" s="46"/>
      <c r="AF75" s="51"/>
      <c r="AG75" s="46"/>
      <c r="AH75" s="46"/>
      <c r="AI75" s="51"/>
      <c r="AJ75" s="46"/>
      <c r="AK75" s="46"/>
      <c r="AL75" s="46"/>
      <c r="AM75" s="46"/>
      <c r="AN75" s="46"/>
      <c r="AO75" s="46"/>
      <c r="AP75" s="46"/>
      <c r="AQ75" s="46"/>
      <c r="AR75" s="46"/>
      <c r="AS75" s="46"/>
      <c r="AT75" s="51"/>
      <c r="AU75" s="46"/>
      <c r="AV75" s="46"/>
      <c r="AW75" s="46"/>
      <c r="AX75" s="46"/>
      <c r="AY75" s="46"/>
      <c r="AZ75" s="46"/>
      <c r="BA75" s="46"/>
      <c r="BB75" s="46"/>
      <c r="BC75" s="46"/>
      <c r="BD75" s="46"/>
      <c r="BE75" s="46"/>
      <c r="BF75" s="46"/>
      <c r="BG75" s="46"/>
      <c r="BH75" s="46"/>
      <c r="BI75" s="46"/>
      <c r="BJ75" s="46"/>
      <c r="BK75" s="46"/>
      <c r="BL75" s="46"/>
      <c r="BM75" s="46"/>
      <c r="BN75" s="46"/>
      <c r="BO75" s="46"/>
      <c r="BP75" s="46"/>
      <c r="BQ75" s="54"/>
      <c r="BR75" s="46"/>
      <c r="BS75" s="54"/>
      <c r="BT75" s="46"/>
      <c r="BU75" s="46"/>
      <c r="BV75" s="46"/>
      <c r="BW75" s="46"/>
      <c r="BX75" s="46"/>
      <c r="BY75" s="54"/>
      <c r="BZ75" s="46"/>
      <c r="CA75" s="46"/>
      <c r="CB75" s="46"/>
      <c r="CC75" s="46"/>
    </row>
    <row r="76" spans="4:81" s="39" customFormat="true" ht="12" customHeight="true">
      <c r="D76" s="46"/>
      <c r="E76" s="46"/>
      <c r="F76" s="46"/>
      <c r="G76" s="46"/>
      <c r="H76" s="46"/>
      <c r="I76" s="46"/>
      <c r="J76" s="46"/>
      <c r="K76" s="46"/>
      <c r="L76" s="46"/>
      <c r="M76" s="46"/>
      <c r="N76" s="46"/>
      <c r="O76" s="46"/>
      <c r="P76" s="46"/>
      <c r="Q76" s="46"/>
      <c r="R76" s="46"/>
      <c r="S76" s="46"/>
      <c r="T76" s="51"/>
      <c r="U76" s="46"/>
      <c r="V76" s="46"/>
      <c r="W76" s="46"/>
      <c r="X76" s="46"/>
      <c r="Y76" s="46"/>
      <c r="Z76" s="51"/>
      <c r="AA76" s="51"/>
      <c r="AB76" s="51"/>
      <c r="AC76" s="51"/>
      <c r="AD76" s="51"/>
      <c r="AE76" s="46"/>
      <c r="AF76" s="51"/>
      <c r="AG76" s="46"/>
      <c r="AH76" s="46"/>
      <c r="AI76" s="51"/>
      <c r="AJ76" s="46"/>
      <c r="AK76" s="46"/>
      <c r="AL76" s="46"/>
      <c r="AM76" s="46"/>
      <c r="AN76" s="46"/>
      <c r="AO76" s="46"/>
      <c r="AP76" s="46"/>
      <c r="AQ76" s="46"/>
      <c r="AR76" s="46"/>
      <c r="AS76" s="46"/>
      <c r="AT76" s="51"/>
      <c r="AU76" s="46"/>
      <c r="AV76" s="46"/>
      <c r="AW76" s="46"/>
      <c r="AX76" s="46"/>
      <c r="AY76" s="46"/>
      <c r="AZ76" s="46"/>
      <c r="BA76" s="46"/>
      <c r="BB76" s="46"/>
      <c r="BC76" s="46"/>
      <c r="BD76" s="46"/>
      <c r="BE76" s="46"/>
      <c r="BF76" s="46"/>
      <c r="BG76" s="46"/>
      <c r="BH76" s="46"/>
      <c r="BI76" s="46"/>
      <c r="BJ76" s="46"/>
      <c r="BK76" s="46"/>
      <c r="BL76" s="46"/>
      <c r="BM76" s="46"/>
      <c r="BN76" s="46"/>
      <c r="BO76" s="46"/>
      <c r="BP76" s="46"/>
      <c r="BQ76" s="54"/>
      <c r="BR76" s="46"/>
      <c r="BS76" s="54"/>
      <c r="BT76" s="46"/>
      <c r="BU76" s="46"/>
      <c r="BV76" s="46"/>
      <c r="BW76" s="46"/>
      <c r="BX76" s="46"/>
      <c r="BY76" s="54"/>
      <c r="BZ76" s="46"/>
      <c r="CA76" s="46"/>
      <c r="CB76" s="46"/>
      <c r="CC76" s="46"/>
    </row>
    <row r="77" spans="2:82" s="39" customFormat="true" ht="12" customHeight="true">
      <c r="B77" s="39" t="s">
        <v>34198</v>
      </c>
      <c r="D77" s="39">
        <f t="shared" ref="D77:X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51">
        <f t="shared" si="8"/>
        <v>0</v>
      </c>
      <c r="U77" s="39">
        <f t="shared" si="8"/>
        <v>0</v>
      </c>
      <c r="V77" s="39">
        <f t="shared" si="8"/>
        <v>0</v>
      </c>
      <c r="W77" s="39">
        <f t="shared" si="8"/>
        <v>0</v>
      </c>
      <c r="X77" s="39">
        <f t="shared" si="8"/>
        <v>0</v>
      </c>
      <c r="Z77" s="51">
        <f t="shared" ref="Z77:CC77" si="9">+SUM(Z59:Z76)</f>
        <v>0</v>
      </c>
      <c r="AA77" s="51">
        <f t="shared" si="9"/>
        <v>0</v>
      </c>
      <c r="AB77" s="51">
        <f t="shared" si="9"/>
        <v>0</v>
      </c>
      <c r="AC77" s="51">
        <f t="shared" si="9"/>
        <v>0</v>
      </c>
      <c r="AD77" s="51">
        <f t="shared" si="9"/>
        <v>0</v>
      </c>
      <c r="AE77" s="39">
        <f t="shared" si="9"/>
        <v>0</v>
      </c>
      <c r="AF77" s="51">
        <f t="shared" si="9"/>
        <v>0</v>
      </c>
      <c r="AG77" s="39">
        <f t="shared" si="9"/>
        <v>0</v>
      </c>
      <c r="AH77" s="39">
        <f t="shared" si="9"/>
        <v>0</v>
      </c>
      <c r="AI77" s="51">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39">
        <f t="shared" si="9"/>
        <v>0</v>
      </c>
      <c r="AT77" s="51">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54">
        <f t="shared" si="9"/>
        <v>0</v>
      </c>
      <c r="BR77" s="39">
        <f t="shared" si="9"/>
        <v>0</v>
      </c>
      <c r="BS77" s="54">
        <f t="shared" si="9"/>
        <v>0</v>
      </c>
      <c r="BT77" s="39">
        <f t="shared" si="9"/>
        <v>0</v>
      </c>
      <c r="BU77" s="39">
        <f t="shared" si="9"/>
        <v>0</v>
      </c>
      <c r="BV77" s="39">
        <f t="shared" si="9"/>
        <v>0</v>
      </c>
      <c r="BW77" s="39">
        <f t="shared" si="9"/>
        <v>0</v>
      </c>
      <c r="BX77" s="39">
        <f t="shared" si="9"/>
        <v>0</v>
      </c>
      <c r="BY77" s="54">
        <f t="shared" si="9"/>
        <v>0</v>
      </c>
      <c r="BZ77" s="39">
        <f t="shared" si="9"/>
        <v>0</v>
      </c>
      <c r="CA77" s="39">
        <f t="shared" si="9"/>
        <v>0</v>
      </c>
      <c r="CB77" s="39">
        <f t="shared" si="9"/>
        <v>0</v>
      </c>
      <c r="CC77" s="39">
        <f t="shared" si="9"/>
        <v>0</v>
      </c>
      <c r="CD77" s="39">
        <f>SUM(D77:CC77)</f>
        <v>0</v>
      </c>
    </row>
    <row r="78" spans="20:77" s="39" customFormat="true" ht="12" customHeight="true">
      <c r="T78" s="51"/>
      <c r="Z78" s="51"/>
      <c r="AA78" s="51"/>
      <c r="AB78" s="51"/>
      <c r="AC78" s="51"/>
      <c r="AD78" s="51"/>
      <c r="AF78" s="51"/>
      <c r="AI78" s="51"/>
      <c r="AT78" s="51"/>
      <c r="BQ78" s="54"/>
      <c r="BS78" s="54"/>
      <c r="BY78" s="54"/>
    </row>
    <row r="79" spans="20:77" s="39" customFormat="true" ht="12" customHeight="true">
      <c r="T79" s="51"/>
      <c r="Z79" s="51"/>
      <c r="AA79" s="51"/>
      <c r="AB79" s="51"/>
      <c r="AC79" s="51"/>
      <c r="AD79" s="51"/>
      <c r="AF79" s="51"/>
      <c r="AI79" s="51"/>
      <c r="AT79" s="51"/>
      <c r="BQ79" s="54"/>
      <c r="BS79" s="54"/>
      <c r="BY79" s="54"/>
    </row>
    <row r="80" spans="2:82" s="39" customFormat="true" ht="12" customHeight="true">
      <c r="B80" s="39" t="s">
        <v>34199</v>
      </c>
      <c r="D80" s="39">
        <f t="shared" ref="D80:BO80" si="10">+D51+D57+D77</f>
        <v>88955.98</v>
      </c>
      <c r="E80" s="39">
        <f t="shared" si="10"/>
        <v>-18026.47821</v>
      </c>
      <c r="F80" s="39">
        <f t="shared" si="10"/>
        <v>-47810.9100000001</v>
      </c>
      <c r="G80" s="39">
        <f t="shared" si="10"/>
        <v>39879.53</v>
      </c>
      <c r="H80" s="39">
        <f t="shared" si="10"/>
        <v>-18856.84176</v>
      </c>
      <c r="I80" s="39">
        <f t="shared" si="10"/>
        <v>0</v>
      </c>
      <c r="J80" s="39">
        <f t="shared" si="10"/>
        <v>836428.13</v>
      </c>
      <c r="K80" s="39">
        <f t="shared" si="10"/>
        <v>727870.134999999</v>
      </c>
      <c r="L80" s="39">
        <f t="shared" si="10"/>
        <v>107319.33</v>
      </c>
      <c r="M80" s="39">
        <f t="shared" si="10"/>
        <v>37312.32</v>
      </c>
      <c r="N80" s="39">
        <f t="shared" si="10"/>
        <v>5197.34661999988</v>
      </c>
      <c r="O80" s="39">
        <f t="shared" si="10"/>
        <v>-99698.91</v>
      </c>
      <c r="P80" s="39">
        <f t="shared" si="10"/>
        <v>-136211.91</v>
      </c>
      <c r="Q80" s="39">
        <f t="shared" si="10"/>
        <v>7586.57141999999</v>
      </c>
      <c r="R80" s="39">
        <f t="shared" si="10"/>
        <v>-2165.25</v>
      </c>
      <c r="S80" s="39">
        <f t="shared" si="10"/>
        <v>14101.3</v>
      </c>
      <c r="T80" s="51">
        <f t="shared" si="10"/>
        <v>0</v>
      </c>
      <c r="U80" s="39">
        <f t="shared" si="10"/>
        <v>186196.49</v>
      </c>
      <c r="V80" s="39">
        <f t="shared" si="10"/>
        <v>28329.4500000003</v>
      </c>
      <c r="W80" s="39">
        <f t="shared" si="10"/>
        <v>-60163.3358</v>
      </c>
      <c r="X80" s="39">
        <f t="shared" si="10"/>
        <v>19764.2000000001</v>
      </c>
      <c r="Y80" s="39">
        <f t="shared" si="10"/>
        <v>18474.28</v>
      </c>
      <c r="Z80" s="51">
        <f t="shared" si="10"/>
        <v>0</v>
      </c>
      <c r="AA80" s="51">
        <f t="shared" si="10"/>
        <v>0</v>
      </c>
      <c r="AB80" s="51">
        <f t="shared" si="10"/>
        <v>0</v>
      </c>
      <c r="AC80" s="51">
        <f t="shared" si="10"/>
        <v>0</v>
      </c>
      <c r="AD80" s="51">
        <f t="shared" si="10"/>
        <v>0</v>
      </c>
      <c r="AE80" s="39">
        <f t="shared" si="10"/>
        <v>52039.86</v>
      </c>
      <c r="AF80" s="51">
        <f t="shared" si="10"/>
        <v>0</v>
      </c>
      <c r="AG80" s="39">
        <f t="shared" si="10"/>
        <v>-241200.02</v>
      </c>
      <c r="AH80" s="39">
        <f t="shared" si="10"/>
        <v>20206.22</v>
      </c>
      <c r="AI80" s="51">
        <f t="shared" si="10"/>
        <v>0</v>
      </c>
      <c r="AJ80" s="39">
        <f t="shared" si="10"/>
        <v>-133585.12</v>
      </c>
      <c r="AK80" s="39">
        <f t="shared" si="10"/>
        <v>28210.02</v>
      </c>
      <c r="AL80" s="39">
        <f t="shared" si="10"/>
        <v>25815.34</v>
      </c>
      <c r="AM80" s="39">
        <f t="shared" si="10"/>
        <v>0</v>
      </c>
      <c r="AN80" s="39">
        <f t="shared" si="10"/>
        <v>0</v>
      </c>
      <c r="AO80" s="39">
        <f t="shared" si="10"/>
        <v>14146.56</v>
      </c>
      <c r="AP80" s="39">
        <f t="shared" si="10"/>
        <v>8390.12</v>
      </c>
      <c r="AQ80" s="39">
        <f t="shared" si="10"/>
        <v>-73436.63</v>
      </c>
      <c r="AR80" s="39">
        <f t="shared" si="10"/>
        <v>3022.35</v>
      </c>
      <c r="AS80" s="39">
        <f t="shared" si="10"/>
        <v>6274.12</v>
      </c>
      <c r="AT80" s="51">
        <f t="shared" si="10"/>
        <v>0</v>
      </c>
      <c r="AU80" s="39">
        <f t="shared" si="10"/>
        <v>20253.98</v>
      </c>
      <c r="AV80" s="39">
        <f t="shared" si="10"/>
        <v>31925.2299999999</v>
      </c>
      <c r="AW80" s="39">
        <f t="shared" si="10"/>
        <v>877.179999999996</v>
      </c>
      <c r="AX80" s="39">
        <f t="shared" si="10"/>
        <v>6461.01999999995</v>
      </c>
      <c r="AY80" s="39">
        <f t="shared" si="10"/>
        <v>27202.3</v>
      </c>
      <c r="AZ80" s="39">
        <f t="shared" si="10"/>
        <v>3915.09</v>
      </c>
      <c r="BA80" s="39">
        <f t="shared" si="10"/>
        <v>-25737.1</v>
      </c>
      <c r="BB80" s="39">
        <f t="shared" si="10"/>
        <v>3219.22</v>
      </c>
      <c r="BC80" s="39">
        <f t="shared" si="10"/>
        <v>18722.54</v>
      </c>
      <c r="BD80" s="39">
        <f t="shared" si="10"/>
        <v>16033.48</v>
      </c>
      <c r="BE80" s="39">
        <f t="shared" si="10"/>
        <v>0</v>
      </c>
      <c r="BF80" s="39">
        <f t="shared" si="10"/>
        <v>69976.81</v>
      </c>
      <c r="BG80" s="39">
        <f t="shared" si="10"/>
        <v>54134.43</v>
      </c>
      <c r="BH80" s="39">
        <f t="shared" si="10"/>
        <v>23694.88</v>
      </c>
      <c r="BI80" s="39">
        <f t="shared" si="10"/>
        <v>20914.04</v>
      </c>
      <c r="BJ80" s="39">
        <f t="shared" si="10"/>
        <v>32856.76</v>
      </c>
      <c r="BK80" s="39">
        <f t="shared" si="10"/>
        <v>52498.89</v>
      </c>
      <c r="BL80" s="39">
        <f t="shared" si="10"/>
        <v>30957.68</v>
      </c>
      <c r="BM80" s="39">
        <f t="shared" si="10"/>
        <v>40218.22</v>
      </c>
      <c r="BN80" s="39">
        <f t="shared" si="10"/>
        <v>14405.76</v>
      </c>
      <c r="BO80" s="39">
        <f t="shared" si="10"/>
        <v>25820.53</v>
      </c>
      <c r="BP80" s="39">
        <f t="shared" ref="BP80:CC80" si="11">+BP51+BP57+BP77</f>
        <v>43675.3699999997</v>
      </c>
      <c r="BQ80" s="54">
        <f t="shared" si="11"/>
        <v>0</v>
      </c>
      <c r="BR80" s="39">
        <f t="shared" si="11"/>
        <v>12207.06</v>
      </c>
      <c r="BS80" s="54">
        <f t="shared" si="11"/>
        <v>0</v>
      </c>
      <c r="BT80" s="39">
        <f t="shared" si="11"/>
        <v>-22661.74</v>
      </c>
      <c r="BU80" s="39">
        <f t="shared" si="11"/>
        <v>28379.28</v>
      </c>
      <c r="BV80" s="39">
        <f t="shared" si="11"/>
        <v>-143283.79</v>
      </c>
      <c r="BW80" s="39">
        <f t="shared" si="11"/>
        <v>62499.78</v>
      </c>
      <c r="BX80" s="39">
        <f t="shared" si="11"/>
        <v>29337.95</v>
      </c>
      <c r="BY80" s="54">
        <f t="shared" si="11"/>
        <v>0</v>
      </c>
      <c r="BZ80" s="39">
        <f t="shared" si="11"/>
        <v>331006.48</v>
      </c>
      <c r="CA80" s="39">
        <f t="shared" si="11"/>
        <v>584918.08</v>
      </c>
      <c r="CB80" s="39">
        <f t="shared" si="11"/>
        <v>-8317.44</v>
      </c>
      <c r="CC80" s="39">
        <f t="shared" si="11"/>
        <v>3853.22</v>
      </c>
      <c r="CD80" s="39">
        <f>SUM(D80:CC80)</f>
        <v>2834329.43727</v>
      </c>
    </row>
    <row r="81" spans="20:77" s="39" customFormat="true" ht="12" customHeight="true">
      <c r="T81" s="51"/>
      <c r="Z81" s="51"/>
      <c r="AA81" s="51"/>
      <c r="AB81" s="51"/>
      <c r="AC81" s="51"/>
      <c r="AD81" s="51"/>
      <c r="AF81" s="51"/>
      <c r="AI81" s="51"/>
      <c r="AT81" s="51"/>
      <c r="BQ81" s="54"/>
      <c r="BS81" s="54"/>
      <c r="BY81" s="54"/>
    </row>
    <row r="82" spans="2:82" s="39" customFormat="true" ht="12" customHeight="true">
      <c r="B82" s="39" t="s">
        <v>13909</v>
      </c>
      <c r="D82" s="47">
        <f t="shared" ref="D82:BO82" si="12">+D49-D80</f>
        <v>0</v>
      </c>
      <c r="E82" s="47">
        <f t="shared" si="12"/>
        <v>0</v>
      </c>
      <c r="F82" s="47">
        <f t="shared" si="12"/>
        <v>1.01863406598568e-10</v>
      </c>
      <c r="G82" s="47">
        <f t="shared" si="12"/>
        <v>0</v>
      </c>
      <c r="H82" s="47">
        <f t="shared" si="12"/>
        <v>0</v>
      </c>
      <c r="I82" s="47">
        <f t="shared" si="12"/>
        <v>0</v>
      </c>
      <c r="J82" s="47">
        <f t="shared" si="12"/>
        <v>0</v>
      </c>
      <c r="K82" s="47">
        <f t="shared" si="12"/>
        <v>-0.00499999907333404</v>
      </c>
      <c r="L82" s="47">
        <f t="shared" si="12"/>
        <v>0</v>
      </c>
      <c r="M82" s="47">
        <f t="shared" si="12"/>
        <v>0</v>
      </c>
      <c r="N82" s="47">
        <f t="shared" si="12"/>
        <v>-0.00499999988096533</v>
      </c>
      <c r="O82" s="47">
        <f t="shared" si="12"/>
        <v>0</v>
      </c>
      <c r="P82" s="47">
        <f t="shared" si="12"/>
        <v>0</v>
      </c>
      <c r="Q82" s="47">
        <f t="shared" si="12"/>
        <v>9.09494701772928e-12</v>
      </c>
      <c r="R82" s="47">
        <f t="shared" si="12"/>
        <v>0</v>
      </c>
      <c r="S82" s="47">
        <f t="shared" si="12"/>
        <v>0</v>
      </c>
      <c r="T82" s="47">
        <f t="shared" si="12"/>
        <v>0</v>
      </c>
      <c r="U82" s="47">
        <f t="shared" si="12"/>
        <v>0</v>
      </c>
      <c r="V82" s="47">
        <f t="shared" si="12"/>
        <v>-3.01952240988612e-10</v>
      </c>
      <c r="W82" s="47">
        <f t="shared" si="12"/>
        <v>-0.00419999999576248</v>
      </c>
      <c r="X82" s="47">
        <f t="shared" si="12"/>
        <v>-9.82254277914762e-11</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9.45874489843845e-11</v>
      </c>
      <c r="AW82" s="47">
        <f t="shared" si="12"/>
        <v>4.32009983342141e-12</v>
      </c>
      <c r="AX82" s="47">
        <f t="shared" si="12"/>
        <v>5.00222085975111e-11</v>
      </c>
      <c r="AY82" s="47">
        <f t="shared" si="12"/>
        <v>0</v>
      </c>
      <c r="AZ82" s="47">
        <f t="shared" si="12"/>
        <v>0</v>
      </c>
      <c r="BA82" s="47">
        <f t="shared" si="12"/>
        <v>0</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C82" si="13">+BP49-BP80</f>
        <v>3.05590219795704e-10</v>
      </c>
      <c r="BQ82" s="57">
        <f t="shared" si="13"/>
        <v>0</v>
      </c>
      <c r="BR82" s="47">
        <f t="shared" si="13"/>
        <v>0</v>
      </c>
      <c r="BS82" s="57">
        <f t="shared" si="13"/>
        <v>0</v>
      </c>
      <c r="BT82" s="47">
        <f t="shared" si="13"/>
        <v>0</v>
      </c>
      <c r="BU82" s="47">
        <f t="shared" si="13"/>
        <v>0</v>
      </c>
      <c r="BV82" s="47">
        <f t="shared" si="13"/>
        <v>0</v>
      </c>
      <c r="BW82" s="47">
        <f t="shared" si="13"/>
        <v>0</v>
      </c>
      <c r="BX82" s="47">
        <f t="shared" si="13"/>
        <v>0</v>
      </c>
      <c r="BY82" s="57">
        <f t="shared" si="13"/>
        <v>0</v>
      </c>
      <c r="BZ82" s="47">
        <f t="shared" si="13"/>
        <v>0</v>
      </c>
      <c r="CA82" s="47">
        <f t="shared" si="13"/>
        <v>0</v>
      </c>
      <c r="CB82" s="47">
        <f t="shared" si="13"/>
        <v>0</v>
      </c>
      <c r="CC82" s="47">
        <f t="shared" si="13"/>
        <v>0</v>
      </c>
      <c r="CD82" s="39">
        <f>SUM(D82:CC82)</f>
        <v>-0.0141999987847612</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C52">
    <cfRule type="cellIs" dxfId="4" priority="2" operator="notEqual">
      <formula>0</formula>
    </cfRule>
  </conditionalFormatting>
  <conditionalFormatting sqref="D82:CC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19" min="17" style="33" width="14.44"/>
    <col customWidth="true" hidden="true" max="20" min="20" style="43" width="10.3266666666667"/>
    <col customWidth="true" max="21" min="21" style="33" width="14.8933333333333"/>
    <col customWidth="true" max="22" min="22" style="33" width="14.44"/>
    <col customWidth="true" max="23" min="23" style="33" width="14.8933333333333"/>
    <col customWidth="true" max="24" min="24" style="33" width="14.44"/>
    <col customWidth="true" max="25" min="25" style="33" width="17.8866666666667"/>
    <col customWidth="true" hidden="true" max="29" min="26" style="43" width="11"/>
    <col customWidth="true" max="30" min="30" style="43" width="10.5533333333333"/>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max="50" min="50" style="33" width="14.8933333333333"/>
    <col customWidth="true" max="51" min="51" style="33" width="14.44"/>
    <col customWidth="true" max="52" min="52" style="33" width="16.3266666666667"/>
    <col customWidth="true" max="53" min="53" style="33" width="14.44"/>
    <col customWidth="true" max="54" min="54" style="33" width="16.3266666666667"/>
    <col customWidth="true" max="55" min="55" style="33" width="14.8933333333333"/>
    <col customWidth="true" max="56" min="56" style="33" width="11.66"/>
    <col customWidth="true" hidden="true" max="57" min="57" style="33" width="14.5533333333333"/>
    <col customWidth="true" max="58" min="58" style="33" width="14"/>
    <col customWidth="true" max="59" min="59" style="33" width="14.5533333333333"/>
    <col customWidth="true" max="81" min="60" style="33" width="14"/>
    <col customWidth="true" max="82" min="82" style="33" width="14.44"/>
    <col customWidth="true" max="83" min="83" style="33" width="14"/>
    <col customWidth="true" max="84" min="84" style="33" width="11"/>
    <col customWidth="true" max="1024" min="85" style="33" width="9.10666666666667"/>
  </cols>
  <sheetData>
    <row r="1" spans="1:1" ht="12" customHeight="true">
      <c r="A1" s="33">
        <v>-1</v>
      </c>
    </row>
    <row r="2" spans="15:16" ht="12" customHeight="true">
      <c r="O2" s="33">
        <v>-1</v>
      </c>
      <c r="P2" s="33">
        <v>-1</v>
      </c>
    </row>
    <row r="4" spans="2:81"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51" t="s">
        <v>13775</v>
      </c>
      <c r="U4" s="44" t="s">
        <v>13777</v>
      </c>
      <c r="V4" s="44" t="s">
        <v>13777</v>
      </c>
      <c r="W4" s="44" t="s">
        <v>13778</v>
      </c>
      <c r="X4" s="52" t="s">
        <v>13778</v>
      </c>
      <c r="Y4" s="44" t="s">
        <v>13778</v>
      </c>
      <c r="Z4" s="51" t="s">
        <v>31453</v>
      </c>
      <c r="AA4" s="51" t="s">
        <v>31453</v>
      </c>
      <c r="AB4" s="51" t="s">
        <v>31454</v>
      </c>
      <c r="AC4" s="51" t="s">
        <v>31454</v>
      </c>
      <c r="AD4" s="51" t="s">
        <v>13788</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44" t="s">
        <v>13810</v>
      </c>
      <c r="AX4" s="44" t="s">
        <v>13802</v>
      </c>
      <c r="AY4" s="44" t="s">
        <v>13803</v>
      </c>
      <c r="AZ4" s="44" t="s">
        <v>13803</v>
      </c>
      <c r="BA4" s="44" t="s">
        <v>13804</v>
      </c>
      <c r="BB4" s="44" t="s">
        <v>13804</v>
      </c>
      <c r="BC4" s="44" t="s">
        <v>13805</v>
      </c>
      <c r="BD4" s="44" t="s">
        <v>13811</v>
      </c>
      <c r="BE4" s="53" t="s">
        <v>13811</v>
      </c>
      <c r="BF4" s="44" t="s">
        <v>13806</v>
      </c>
      <c r="BG4" s="44" t="s">
        <v>13807</v>
      </c>
      <c r="BH4" s="44" t="s">
        <v>13808</v>
      </c>
      <c r="BI4" s="44" t="s">
        <v>13809</v>
      </c>
      <c r="BJ4" s="44" t="s">
        <v>13796</v>
      </c>
      <c r="BK4" s="44" t="s">
        <v>13797</v>
      </c>
      <c r="BL4" s="44" t="s">
        <v>13798</v>
      </c>
      <c r="BM4" s="44" t="s">
        <v>13799</v>
      </c>
      <c r="BN4" s="44" t="s">
        <v>13800</v>
      </c>
      <c r="BO4" s="44" t="s">
        <v>13812</v>
      </c>
      <c r="BP4" s="44" t="s">
        <v>13814</v>
      </c>
      <c r="BQ4" s="54" t="s">
        <v>13814</v>
      </c>
      <c r="BR4" s="44" t="s">
        <v>13813</v>
      </c>
      <c r="BS4" s="54" t="s">
        <v>13813</v>
      </c>
      <c r="BT4" s="44" t="s">
        <v>13815</v>
      </c>
      <c r="BU4" s="44" t="s">
        <v>13816</v>
      </c>
      <c r="BV4" s="44" t="s">
        <v>13817</v>
      </c>
      <c r="BW4" s="44" t="s">
        <v>13818</v>
      </c>
      <c r="BX4" s="44" t="s">
        <v>13820</v>
      </c>
      <c r="BY4" s="44" t="s">
        <v>13819</v>
      </c>
      <c r="BZ4" s="54" t="s">
        <v>13864</v>
      </c>
      <c r="CA4" s="44" t="s">
        <v>13864</v>
      </c>
      <c r="CB4" s="44" t="s">
        <v>13859</v>
      </c>
      <c r="CC4" s="44" t="s">
        <v>13860</v>
      </c>
    </row>
    <row r="5" spans="2:81"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34105</v>
      </c>
      <c r="S5" s="45" t="s">
        <v>34103</v>
      </c>
      <c r="T5" s="43" t="s">
        <v>34107</v>
      </c>
      <c r="U5" s="48" t="s">
        <v>34104</v>
      </c>
      <c r="V5" s="45" t="s">
        <v>34103</v>
      </c>
      <c r="W5" s="48" t="s">
        <v>34104</v>
      </c>
      <c r="X5" s="45" t="s">
        <v>34103</v>
      </c>
      <c r="Y5" s="48" t="s">
        <v>34108</v>
      </c>
      <c r="Z5" s="43" t="s">
        <v>34104</v>
      </c>
      <c r="AA5" s="43" t="s">
        <v>34105</v>
      </c>
      <c r="AB5" s="43" t="s">
        <v>34104</v>
      </c>
      <c r="AC5" s="43" t="s">
        <v>34105</v>
      </c>
      <c r="AD5" s="43" t="s">
        <v>34103</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48" t="s">
        <v>34111</v>
      </c>
      <c r="AX5" s="48" t="s">
        <v>34112</v>
      </c>
      <c r="AY5" s="48" t="s">
        <v>34113</v>
      </c>
      <c r="AZ5" s="48" t="s">
        <v>34114</v>
      </c>
      <c r="BA5" s="48" t="s">
        <v>34115</v>
      </c>
      <c r="BB5" s="48" t="s">
        <v>34116</v>
      </c>
      <c r="BC5" s="48" t="s">
        <v>34117</v>
      </c>
      <c r="BD5" s="48" t="s">
        <v>34118</v>
      </c>
      <c r="BE5" s="48" t="s">
        <v>34119</v>
      </c>
      <c r="BF5" s="48" t="s">
        <v>34120</v>
      </c>
      <c r="BG5" s="48" t="s">
        <v>34121</v>
      </c>
      <c r="BH5" s="48" t="s">
        <v>34122</v>
      </c>
      <c r="BI5" s="48" t="s">
        <v>34123</v>
      </c>
      <c r="BJ5" s="48" t="s">
        <v>34124</v>
      </c>
      <c r="BK5" s="48" t="s">
        <v>34125</v>
      </c>
      <c r="BL5" s="48" t="s">
        <v>34126</v>
      </c>
      <c r="BM5" s="48" t="s">
        <v>34127</v>
      </c>
      <c r="BN5" s="48" t="s">
        <v>34128</v>
      </c>
      <c r="BO5" s="48" t="s">
        <v>34129</v>
      </c>
      <c r="BP5" s="48" t="s">
        <v>34130</v>
      </c>
      <c r="BQ5" s="55" t="s">
        <v>34131</v>
      </c>
      <c r="BR5" s="48" t="s">
        <v>34132</v>
      </c>
      <c r="BS5" s="55" t="s">
        <v>34133</v>
      </c>
      <c r="BT5" s="48" t="s">
        <v>34134</v>
      </c>
      <c r="BU5" s="48" t="s">
        <v>34135</v>
      </c>
      <c r="BV5" s="48" t="s">
        <v>34136</v>
      </c>
      <c r="BW5" s="48" t="s">
        <v>34137</v>
      </c>
      <c r="BX5" s="48" t="s">
        <v>34200</v>
      </c>
      <c r="BY5" s="48" t="s">
        <v>34138</v>
      </c>
      <c r="BZ5" s="55" t="s">
        <v>34139</v>
      </c>
      <c r="CA5" s="48" t="s">
        <v>34140</v>
      </c>
      <c r="CB5" s="48" t="s">
        <v>34141</v>
      </c>
      <c r="CC5" s="48" t="s">
        <v>34142</v>
      </c>
    </row>
    <row r="6" spans="2:81"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26843912</v>
      </c>
      <c r="S6" s="45">
        <v>33540278</v>
      </c>
      <c r="U6" s="48">
        <v>30249789</v>
      </c>
      <c r="V6" s="45">
        <v>30282681</v>
      </c>
      <c r="W6" s="48">
        <v>748032703</v>
      </c>
      <c r="X6" s="45">
        <v>30311274</v>
      </c>
      <c r="Y6" s="48">
        <v>203081093</v>
      </c>
      <c r="Z6" s="43" t="s">
        <v>34155</v>
      </c>
      <c r="AA6" s="43" t="s">
        <v>34156</v>
      </c>
      <c r="AB6" s="43" t="s">
        <v>34157</v>
      </c>
      <c r="AC6" s="43" t="s">
        <v>34158</v>
      </c>
      <c r="AD6" s="43" t="s">
        <v>34159</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48">
        <v>13585976</v>
      </c>
      <c r="AX6" s="48">
        <v>748033552</v>
      </c>
      <c r="AY6" s="48">
        <v>31874966</v>
      </c>
      <c r="AZ6" s="48">
        <v>454979502</v>
      </c>
      <c r="BA6" s="48">
        <v>31860536</v>
      </c>
      <c r="BB6" s="48">
        <v>693305826</v>
      </c>
      <c r="BC6" s="48">
        <v>32205856</v>
      </c>
      <c r="BD6" s="48">
        <v>32121632</v>
      </c>
      <c r="BE6" s="48" t="s">
        <v>34167</v>
      </c>
      <c r="BF6" s="48">
        <v>35356295</v>
      </c>
      <c r="BG6" s="48" t="s">
        <v>34168</v>
      </c>
      <c r="BH6" s="48" t="s">
        <v>34169</v>
      </c>
      <c r="BI6" s="48" t="s">
        <v>34170</v>
      </c>
      <c r="BJ6" s="48">
        <v>748030061</v>
      </c>
      <c r="BK6" s="48">
        <v>748032711</v>
      </c>
      <c r="BL6" s="48">
        <v>37307538</v>
      </c>
      <c r="BM6" s="48">
        <v>37346924</v>
      </c>
      <c r="BN6" s="48">
        <v>748035300</v>
      </c>
      <c r="BO6" s="48" t="s">
        <v>34171</v>
      </c>
      <c r="BP6" s="48">
        <v>46129441</v>
      </c>
      <c r="BQ6" s="55">
        <v>345508773</v>
      </c>
      <c r="BR6" s="48" t="s">
        <v>34172</v>
      </c>
      <c r="BS6" s="55">
        <v>369921303</v>
      </c>
      <c r="BT6" s="48" t="s">
        <v>34173</v>
      </c>
      <c r="BU6" s="48" t="s">
        <v>34174</v>
      </c>
      <c r="BV6" s="48"/>
      <c r="BW6" s="48">
        <v>50376193</v>
      </c>
      <c r="BX6" s="48"/>
      <c r="BY6" s="48"/>
      <c r="BZ6" s="55" t="s">
        <v>34175</v>
      </c>
      <c r="CA6" s="48"/>
      <c r="CB6" s="48">
        <v>4402766</v>
      </c>
      <c r="CC6" s="48" t="s">
        <v>34176</v>
      </c>
    </row>
    <row r="7" spans="2:81"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34179</v>
      </c>
      <c r="S7" s="45" t="s">
        <v>14059</v>
      </c>
      <c r="U7" s="48" t="s">
        <v>34178</v>
      </c>
      <c r="V7" s="45" t="s">
        <v>14059</v>
      </c>
      <c r="W7" s="48" t="s">
        <v>34178</v>
      </c>
      <c r="X7" s="45" t="s">
        <v>14059</v>
      </c>
      <c r="Y7" s="48" t="s">
        <v>34181</v>
      </c>
      <c r="Z7" s="43" t="s">
        <v>14047</v>
      </c>
      <c r="AA7" s="43" t="s">
        <v>14049</v>
      </c>
      <c r="AB7" s="43" t="s">
        <v>14047</v>
      </c>
      <c r="AC7" s="43" t="s">
        <v>14049</v>
      </c>
      <c r="AD7" s="43" t="s">
        <v>14059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48" t="s">
        <v>14045</v>
      </c>
      <c r="AX7" s="48" t="s">
        <v>14045</v>
      </c>
      <c r="AY7" s="48" t="s">
        <v>14045</v>
      </c>
      <c r="AZ7" s="48" t="s">
        <v>14061</v>
      </c>
      <c r="BA7" s="48" t="s">
        <v>14045</v>
      </c>
      <c r="BB7" s="48" t="s">
        <v>14061</v>
      </c>
      <c r="BC7" s="48" t="s">
        <v>14045</v>
      </c>
      <c r="BD7" s="48" t="s">
        <v>14045</v>
      </c>
      <c r="BE7" s="48" t="s">
        <v>14053</v>
      </c>
      <c r="BF7" s="48" t="s">
        <v>14045</v>
      </c>
      <c r="BG7" s="48" t="s">
        <v>14045</v>
      </c>
      <c r="BH7" s="48" t="s">
        <v>14045</v>
      </c>
      <c r="BI7" s="48" t="s">
        <v>14045</v>
      </c>
      <c r="BJ7" s="48" t="s">
        <v>14045</v>
      </c>
      <c r="BK7" s="48" t="s">
        <v>14045</v>
      </c>
      <c r="BL7" s="48" t="s">
        <v>14045</v>
      </c>
      <c r="BM7" s="48" t="s">
        <v>14045</v>
      </c>
      <c r="BN7" s="48" t="s">
        <v>14045</v>
      </c>
      <c r="BO7" s="48" t="s">
        <v>14045</v>
      </c>
      <c r="BP7" s="48" t="s">
        <v>14045</v>
      </c>
      <c r="BQ7" s="55" t="s">
        <v>14061</v>
      </c>
      <c r="BR7" s="48" t="s">
        <v>14045</v>
      </c>
      <c r="BS7" s="55" t="s">
        <v>14061</v>
      </c>
      <c r="BT7" s="48" t="s">
        <v>14045</v>
      </c>
      <c r="BU7" s="48" t="s">
        <v>14045</v>
      </c>
      <c r="BV7" s="48" t="s">
        <v>14045</v>
      </c>
      <c r="BW7" s="48" t="s">
        <v>14045</v>
      </c>
      <c r="BX7" s="48" t="s">
        <v>14045</v>
      </c>
      <c r="BY7" s="48" t="s">
        <v>14045</v>
      </c>
      <c r="BZ7" s="55" t="s">
        <v>14061</v>
      </c>
      <c r="CA7" s="48" t="s">
        <v>34184</v>
      </c>
      <c r="CB7" s="48" t="s">
        <v>14060</v>
      </c>
      <c r="CC7" s="48" t="s">
        <v>34178</v>
      </c>
    </row>
    <row r="8" spans="25:78" ht="12" customHeight="true">
      <c r="Y8" s="33">
        <v>865</v>
      </c>
      <c r="BE8" s="33" t="s">
        <v>34186</v>
      </c>
      <c r="BQ8" s="56"/>
      <c r="BS8" s="56"/>
      <c r="BZ8" s="56"/>
    </row>
    <row r="9" spans="2:82" s="39" customFormat="true" ht="12" customHeight="true">
      <c r="B9" s="39" t="s">
        <v>34187</v>
      </c>
      <c r="D9" s="46"/>
      <c r="E9" s="46"/>
      <c r="F9" s="46"/>
      <c r="G9" s="46"/>
      <c r="H9" s="46"/>
      <c r="I9" s="46"/>
      <c r="J9" s="46"/>
      <c r="K9" s="50">
        <v>1252906.08</v>
      </c>
      <c r="L9" s="50">
        <v>186126</v>
      </c>
      <c r="M9" s="46"/>
      <c r="N9" s="46"/>
      <c r="O9" s="46"/>
      <c r="P9" s="46"/>
      <c r="Q9" s="50">
        <v>9991.73</v>
      </c>
      <c r="R9" s="46"/>
      <c r="S9" s="46"/>
      <c r="T9" s="51"/>
      <c r="U9" s="50">
        <v>180242.27</v>
      </c>
      <c r="V9" s="46"/>
      <c r="W9" s="46"/>
      <c r="X9" s="46"/>
      <c r="Y9" s="50">
        <v>19161.47</v>
      </c>
      <c r="Z9" s="51"/>
      <c r="AA9" s="51"/>
      <c r="AB9" s="51"/>
      <c r="AC9" s="51"/>
      <c r="AD9" s="51"/>
      <c r="AE9" s="50">
        <v>81713.24</v>
      </c>
      <c r="AF9" s="51"/>
      <c r="AG9" s="50">
        <v>65650.86</v>
      </c>
      <c r="AH9" s="50">
        <v>14189.77</v>
      </c>
      <c r="AI9" s="51"/>
      <c r="AJ9" s="50">
        <v>19546.47</v>
      </c>
      <c r="AK9" s="50">
        <v>53723.18</v>
      </c>
      <c r="AL9" s="50">
        <v>28898.72</v>
      </c>
      <c r="AM9" s="46"/>
      <c r="AN9" s="46"/>
      <c r="AO9" s="50">
        <v>37716.44</v>
      </c>
      <c r="AP9" s="50">
        <v>71376.48</v>
      </c>
      <c r="AQ9" s="50">
        <v>111883.12</v>
      </c>
      <c r="AR9" s="50">
        <v>51675.44</v>
      </c>
      <c r="AS9" s="50">
        <v>41927.22</v>
      </c>
      <c r="AT9" s="51"/>
      <c r="AU9" s="50">
        <v>36126.63</v>
      </c>
      <c r="AV9" s="50">
        <v>139343.82</v>
      </c>
      <c r="AW9" s="50">
        <v>17491.57</v>
      </c>
      <c r="AX9" s="50">
        <v>20528.64</v>
      </c>
      <c r="AY9" s="50">
        <v>73904.21</v>
      </c>
      <c r="AZ9" s="50">
        <v>4015.67</v>
      </c>
      <c r="BA9" s="50">
        <v>57610.81</v>
      </c>
      <c r="BB9" s="50">
        <v>3325.99</v>
      </c>
      <c r="BC9" s="50">
        <v>23641.48</v>
      </c>
      <c r="BD9" s="50">
        <v>20243.89</v>
      </c>
      <c r="BE9" s="50"/>
      <c r="BF9" s="50">
        <v>224302.01</v>
      </c>
      <c r="BG9" s="50">
        <v>126410.51</v>
      </c>
      <c r="BH9" s="50">
        <v>47245</v>
      </c>
      <c r="BI9" s="50">
        <v>25212.42</v>
      </c>
      <c r="BJ9" s="50">
        <v>48300.67</v>
      </c>
      <c r="BK9" s="50">
        <v>77522.92</v>
      </c>
      <c r="BL9" s="50">
        <v>58985.24</v>
      </c>
      <c r="BM9" s="50">
        <v>64590.18</v>
      </c>
      <c r="BN9" s="50">
        <v>87622.26</v>
      </c>
      <c r="BO9" s="50">
        <v>41031.09</v>
      </c>
      <c r="BP9" s="50">
        <v>23172.64</v>
      </c>
      <c r="BQ9" s="54"/>
      <c r="BR9" s="50">
        <v>28393.45</v>
      </c>
      <c r="BS9" s="54"/>
      <c r="BT9" s="50">
        <v>81230.9</v>
      </c>
      <c r="BU9" s="50">
        <v>39190.04</v>
      </c>
      <c r="BV9" s="50">
        <v>35646.6</v>
      </c>
      <c r="BW9" s="50">
        <v>93058.54</v>
      </c>
      <c r="BX9" s="50">
        <v>14492.52</v>
      </c>
      <c r="BY9" s="50">
        <v>37217.08</v>
      </c>
      <c r="BZ9" s="54"/>
      <c r="CA9" s="50">
        <v>350378.46</v>
      </c>
      <c r="CB9" s="50">
        <v>584918.08</v>
      </c>
      <c r="CC9" s="50">
        <v>6760.3</v>
      </c>
      <c r="CD9" s="39">
        <f>SUM(D9:CC9)</f>
        <v>4718642.11</v>
      </c>
    </row>
    <row r="10" spans="20:78" s="39" customFormat="true" ht="12" customHeight="true">
      <c r="T10" s="51"/>
      <c r="Z10" s="51"/>
      <c r="AA10" s="51"/>
      <c r="AB10" s="51"/>
      <c r="AC10" s="51"/>
      <c r="AD10" s="51"/>
      <c r="AF10" s="51"/>
      <c r="AI10" s="51"/>
      <c r="AT10" s="51"/>
      <c r="BQ10" s="54"/>
      <c r="BS10" s="54"/>
      <c r="BZ10" s="54"/>
    </row>
    <row r="11" spans="2:78" s="39" customFormat="true" ht="12" customHeight="true">
      <c r="B11" s="39" t="s">
        <v>34188</v>
      </c>
      <c r="T11" s="51"/>
      <c r="Z11" s="51"/>
      <c r="AA11" s="51"/>
      <c r="AB11" s="51"/>
      <c r="AC11" s="51"/>
      <c r="AD11" s="51"/>
      <c r="AF11" s="51"/>
      <c r="AI11" s="51"/>
      <c r="AT11" s="51"/>
      <c r="BQ11" s="54"/>
      <c r="BS11" s="54"/>
      <c r="BZ11" s="54"/>
    </row>
    <row r="12" spans="4:81" s="39" customFormat="true" ht="12" customHeight="true">
      <c r="D12" s="46">
        <v>95167.79</v>
      </c>
      <c r="E12" s="46">
        <v>300.16</v>
      </c>
      <c r="F12" s="46">
        <v>30.4</v>
      </c>
      <c r="G12" s="46">
        <v>50542.17</v>
      </c>
      <c r="H12" s="46"/>
      <c r="I12" s="46"/>
      <c r="J12" s="46">
        <v>927378.34</v>
      </c>
      <c r="K12" s="46">
        <v>13910.18</v>
      </c>
      <c r="L12" s="46"/>
      <c r="M12" s="46">
        <v>39708.65</v>
      </c>
      <c r="N12" s="46">
        <v>27308.7</v>
      </c>
      <c r="O12" s="46"/>
      <c r="P12" s="46"/>
      <c r="Q12" s="46"/>
      <c r="R12" s="46"/>
      <c r="S12" s="46">
        <v>14706.43</v>
      </c>
      <c r="T12" s="51"/>
      <c r="U12" s="46"/>
      <c r="V12" s="46">
        <v>14110.15</v>
      </c>
      <c r="W12" s="46"/>
      <c r="X12" s="46">
        <v>11894.28</v>
      </c>
      <c r="Y12" s="46">
        <v>15554.49</v>
      </c>
      <c r="Z12" s="51"/>
      <c r="AA12" s="51"/>
      <c r="AB12" s="51"/>
      <c r="AC12" s="51"/>
      <c r="AD12" s="51"/>
      <c r="AE12" s="46"/>
      <c r="AF12" s="51"/>
      <c r="AG12" s="46">
        <v>18015.6</v>
      </c>
      <c r="AH12" s="46">
        <v>33523.34</v>
      </c>
      <c r="AI12" s="51"/>
      <c r="AJ12" s="46"/>
      <c r="AK12" s="46">
        <v>5850</v>
      </c>
      <c r="AL12" s="46">
        <v>11383.13</v>
      </c>
      <c r="AM12" s="46"/>
      <c r="AN12" s="46"/>
      <c r="AO12" s="46"/>
      <c r="AP12" s="46">
        <v>20000</v>
      </c>
      <c r="AQ12" s="46"/>
      <c r="AR12" s="46"/>
      <c r="AS12" s="46"/>
      <c r="AT12" s="51"/>
      <c r="AU12" s="46"/>
      <c r="AV12" s="46">
        <v>106656.96</v>
      </c>
      <c r="AW12" s="46"/>
      <c r="AX12" s="46"/>
      <c r="AY12" s="46"/>
      <c r="AZ12" s="46"/>
      <c r="BA12" s="46"/>
      <c r="BB12" s="46"/>
      <c r="BC12" s="46"/>
      <c r="BD12" s="46"/>
      <c r="BE12" s="46"/>
      <c r="BF12" s="46"/>
      <c r="BG12" s="46">
        <v>40.65</v>
      </c>
      <c r="BH12" s="46"/>
      <c r="BI12" s="46"/>
      <c r="BJ12" s="46"/>
      <c r="BK12" s="46"/>
      <c r="BL12" s="46"/>
      <c r="BM12" s="46"/>
      <c r="BN12" s="46"/>
      <c r="BO12" s="46"/>
      <c r="BP12" s="46"/>
      <c r="BQ12" s="54"/>
      <c r="BR12" s="46"/>
      <c r="BS12" s="54"/>
      <c r="BT12" s="46"/>
      <c r="BU12" s="46"/>
      <c r="BV12" s="46"/>
      <c r="BW12" s="46"/>
      <c r="BX12" s="46"/>
      <c r="BY12" s="46"/>
      <c r="BZ12" s="54"/>
      <c r="CA12" s="46">
        <v>109000</v>
      </c>
      <c r="CB12" s="46"/>
      <c r="CC12" s="46"/>
    </row>
    <row r="13" spans="4:81" s="39" customFormat="true" ht="12" customHeight="true">
      <c r="D13" s="46"/>
      <c r="E13" s="46"/>
      <c r="F13" s="46"/>
      <c r="G13" s="46"/>
      <c r="H13" s="46"/>
      <c r="I13" s="46"/>
      <c r="J13" s="46"/>
      <c r="K13" s="46">
        <v>55000</v>
      </c>
      <c r="L13" s="46"/>
      <c r="M13" s="46"/>
      <c r="N13" s="46"/>
      <c r="O13" s="46"/>
      <c r="P13" s="46"/>
      <c r="Q13" s="46"/>
      <c r="R13" s="46"/>
      <c r="S13" s="46"/>
      <c r="T13" s="51"/>
      <c r="U13" s="46"/>
      <c r="V13" s="46">
        <v>16011.72</v>
      </c>
      <c r="W13" s="46"/>
      <c r="X13" s="46">
        <v>16643.51</v>
      </c>
      <c r="Y13" s="46"/>
      <c r="Z13" s="51"/>
      <c r="AA13" s="51"/>
      <c r="AB13" s="51"/>
      <c r="AC13" s="51"/>
      <c r="AD13" s="51"/>
      <c r="AE13" s="46"/>
      <c r="AF13" s="51"/>
      <c r="AG13" s="46">
        <v>-55000</v>
      </c>
      <c r="AH13" s="46"/>
      <c r="AI13" s="51"/>
      <c r="AJ13" s="46"/>
      <c r="AK13" s="46">
        <v>420.33</v>
      </c>
      <c r="AL13" s="46"/>
      <c r="AM13" s="46"/>
      <c r="AN13" s="46"/>
      <c r="AO13" s="46"/>
      <c r="AP13" s="46"/>
      <c r="AQ13" s="46"/>
      <c r="AR13" s="46"/>
      <c r="AS13" s="46"/>
      <c r="AT13" s="51"/>
      <c r="AU13" s="46"/>
      <c r="AV13" s="46"/>
      <c r="AW13" s="46"/>
      <c r="AX13" s="46"/>
      <c r="AY13" s="46"/>
      <c r="AZ13" s="46"/>
      <c r="BA13" s="46"/>
      <c r="BB13" s="46"/>
      <c r="BC13" s="46"/>
      <c r="BD13" s="46"/>
      <c r="BE13" s="46"/>
      <c r="BF13" s="46"/>
      <c r="BG13" s="46"/>
      <c r="BH13" s="46"/>
      <c r="BI13" s="46"/>
      <c r="BJ13" s="46"/>
      <c r="BK13" s="46"/>
      <c r="BL13" s="46"/>
      <c r="BM13" s="46"/>
      <c r="BN13" s="46"/>
      <c r="BO13" s="46"/>
      <c r="BP13" s="46"/>
      <c r="BQ13" s="54"/>
      <c r="BR13" s="46"/>
      <c r="BS13" s="54"/>
      <c r="BT13" s="46"/>
      <c r="BU13" s="46"/>
      <c r="BV13" s="46"/>
      <c r="BW13" s="46"/>
      <c r="BX13" s="46"/>
      <c r="BY13" s="46"/>
      <c r="BZ13" s="54"/>
      <c r="CA13" s="46"/>
      <c r="CB13" s="46"/>
      <c r="CC13" s="46"/>
    </row>
    <row r="14" spans="4:81" s="39" customFormat="true" ht="12" customHeight="true">
      <c r="D14" s="46"/>
      <c r="E14" s="46"/>
      <c r="F14" s="46"/>
      <c r="G14" s="46"/>
      <c r="H14" s="46"/>
      <c r="I14" s="46"/>
      <c r="J14" s="46"/>
      <c r="K14" s="46"/>
      <c r="L14" s="46"/>
      <c r="M14" s="46"/>
      <c r="N14" s="46"/>
      <c r="O14" s="46"/>
      <c r="P14" s="46"/>
      <c r="Q14" s="46"/>
      <c r="R14" s="46"/>
      <c r="S14" s="46"/>
      <c r="T14" s="51"/>
      <c r="U14" s="46"/>
      <c r="V14" s="46"/>
      <c r="W14" s="46"/>
      <c r="X14" s="46"/>
      <c r="Y14" s="46"/>
      <c r="Z14" s="51"/>
      <c r="AA14" s="51"/>
      <c r="AB14" s="51"/>
      <c r="AC14" s="51"/>
      <c r="AD14" s="51"/>
      <c r="AE14" s="46"/>
      <c r="AF14" s="51"/>
      <c r="AG14" s="46"/>
      <c r="AH14" s="46"/>
      <c r="AI14" s="51"/>
      <c r="AJ14" s="46"/>
      <c r="AK14" s="46"/>
      <c r="AL14" s="46"/>
      <c r="AM14" s="46"/>
      <c r="AN14" s="46"/>
      <c r="AO14" s="46"/>
      <c r="AP14" s="46"/>
      <c r="AQ14" s="46"/>
      <c r="AR14" s="46"/>
      <c r="AS14" s="46"/>
      <c r="AT14" s="51"/>
      <c r="AU14" s="46"/>
      <c r="AV14" s="46"/>
      <c r="AW14" s="46"/>
      <c r="AX14" s="46"/>
      <c r="AY14" s="46"/>
      <c r="AZ14" s="46"/>
      <c r="BA14" s="46"/>
      <c r="BB14" s="46"/>
      <c r="BC14" s="46"/>
      <c r="BD14" s="46"/>
      <c r="BE14" s="46"/>
      <c r="BF14" s="46"/>
      <c r="BG14" s="46"/>
      <c r="BH14" s="46"/>
      <c r="BI14" s="46"/>
      <c r="BJ14" s="46"/>
      <c r="BK14" s="46"/>
      <c r="BL14" s="46"/>
      <c r="BM14" s="46"/>
      <c r="BN14" s="46"/>
      <c r="BO14" s="46"/>
      <c r="BP14" s="46"/>
      <c r="BQ14" s="54"/>
      <c r="BR14" s="46"/>
      <c r="BS14" s="54"/>
      <c r="BT14" s="46"/>
      <c r="BU14" s="46"/>
      <c r="BV14" s="46"/>
      <c r="BW14" s="46"/>
      <c r="BX14" s="46"/>
      <c r="BY14" s="46"/>
      <c r="BZ14" s="54"/>
      <c r="CA14" s="46"/>
      <c r="CB14" s="46"/>
      <c r="CC14" s="46"/>
    </row>
    <row r="15" spans="4:81" s="39" customFormat="true" ht="12" customHeight="true">
      <c r="D15" s="46"/>
      <c r="E15" s="46"/>
      <c r="F15" s="46"/>
      <c r="G15" s="46"/>
      <c r="H15" s="46"/>
      <c r="I15" s="46"/>
      <c r="J15" s="46"/>
      <c r="K15" s="46"/>
      <c r="L15" s="46"/>
      <c r="M15" s="46"/>
      <c r="N15" s="46"/>
      <c r="O15" s="46"/>
      <c r="P15" s="46"/>
      <c r="Q15" s="46"/>
      <c r="R15" s="46"/>
      <c r="S15" s="46"/>
      <c r="T15" s="51"/>
      <c r="U15" s="46"/>
      <c r="V15" s="46"/>
      <c r="W15" s="46"/>
      <c r="X15" s="46"/>
      <c r="Y15" s="46"/>
      <c r="Z15" s="51"/>
      <c r="AA15" s="51"/>
      <c r="AB15" s="51"/>
      <c r="AC15" s="51"/>
      <c r="AD15" s="51"/>
      <c r="AE15" s="46"/>
      <c r="AF15" s="51"/>
      <c r="AG15" s="46"/>
      <c r="AH15" s="46"/>
      <c r="AI15" s="51"/>
      <c r="AJ15" s="46"/>
      <c r="AK15" s="46"/>
      <c r="AL15" s="46"/>
      <c r="AM15" s="46"/>
      <c r="AN15" s="46"/>
      <c r="AO15" s="46"/>
      <c r="AP15" s="46"/>
      <c r="AQ15" s="46"/>
      <c r="AR15" s="46"/>
      <c r="AS15" s="46"/>
      <c r="AT15" s="51"/>
      <c r="AU15" s="46"/>
      <c r="AV15" s="46"/>
      <c r="AW15" s="46"/>
      <c r="AX15" s="46"/>
      <c r="AY15" s="46"/>
      <c r="AZ15" s="46"/>
      <c r="BA15" s="46"/>
      <c r="BB15" s="46"/>
      <c r="BC15" s="46"/>
      <c r="BD15" s="46"/>
      <c r="BE15" s="46"/>
      <c r="BF15" s="46"/>
      <c r="BG15" s="46"/>
      <c r="BH15" s="46"/>
      <c r="BI15" s="46"/>
      <c r="BJ15" s="46"/>
      <c r="BK15" s="46"/>
      <c r="BL15" s="46"/>
      <c r="BM15" s="46"/>
      <c r="BN15" s="46"/>
      <c r="BO15" s="46"/>
      <c r="BP15" s="46"/>
      <c r="BQ15" s="54"/>
      <c r="BR15" s="46"/>
      <c r="BS15" s="54"/>
      <c r="BT15" s="46"/>
      <c r="BU15" s="46"/>
      <c r="BV15" s="46"/>
      <c r="BW15" s="46"/>
      <c r="BX15" s="46"/>
      <c r="BY15" s="46"/>
      <c r="BZ15" s="54"/>
      <c r="CA15" s="46"/>
      <c r="CB15" s="46"/>
      <c r="CC15" s="46"/>
    </row>
    <row r="16" spans="4:81" s="39" customFormat="true" ht="12" customHeight="true">
      <c r="D16" s="46"/>
      <c r="E16" s="46"/>
      <c r="F16" s="46"/>
      <c r="G16" s="46"/>
      <c r="H16" s="46"/>
      <c r="I16" s="46"/>
      <c r="J16" s="46"/>
      <c r="K16" s="46"/>
      <c r="L16" s="46"/>
      <c r="M16" s="46"/>
      <c r="N16" s="46"/>
      <c r="O16" s="46"/>
      <c r="P16" s="46"/>
      <c r="Q16" s="46"/>
      <c r="R16" s="46"/>
      <c r="S16" s="46"/>
      <c r="T16" s="51"/>
      <c r="U16" s="46"/>
      <c r="V16" s="46"/>
      <c r="W16" s="46"/>
      <c r="X16" s="46"/>
      <c r="Y16" s="46"/>
      <c r="Z16" s="51"/>
      <c r="AA16" s="51"/>
      <c r="AB16" s="51"/>
      <c r="AC16" s="51"/>
      <c r="AD16" s="51"/>
      <c r="AE16" s="46"/>
      <c r="AF16" s="51"/>
      <c r="AG16" s="46"/>
      <c r="AH16" s="46"/>
      <c r="AI16" s="51"/>
      <c r="AJ16" s="46"/>
      <c r="AK16" s="46"/>
      <c r="AL16" s="46"/>
      <c r="AM16" s="46"/>
      <c r="AN16" s="46"/>
      <c r="AO16" s="46"/>
      <c r="AP16" s="46"/>
      <c r="AQ16" s="46"/>
      <c r="AR16" s="46"/>
      <c r="AS16" s="46"/>
      <c r="AT16" s="51"/>
      <c r="AU16" s="46"/>
      <c r="AV16" s="46"/>
      <c r="AW16" s="46"/>
      <c r="AX16" s="46"/>
      <c r="AY16" s="46"/>
      <c r="AZ16" s="46"/>
      <c r="BA16" s="46"/>
      <c r="BB16" s="46"/>
      <c r="BC16" s="46"/>
      <c r="BD16" s="46"/>
      <c r="BE16" s="46"/>
      <c r="BF16" s="46"/>
      <c r="BG16" s="46"/>
      <c r="BH16" s="46"/>
      <c r="BI16" s="46"/>
      <c r="BJ16" s="46"/>
      <c r="BK16" s="46"/>
      <c r="BL16" s="46"/>
      <c r="BM16" s="46"/>
      <c r="BN16" s="46"/>
      <c r="BO16" s="46"/>
      <c r="BP16" s="46"/>
      <c r="BQ16" s="54"/>
      <c r="BR16" s="46"/>
      <c r="BS16" s="54"/>
      <c r="BT16" s="46"/>
      <c r="BU16" s="46"/>
      <c r="BV16" s="46"/>
      <c r="BW16" s="46"/>
      <c r="BX16" s="46"/>
      <c r="BY16" s="46"/>
      <c r="BZ16" s="54"/>
      <c r="CA16" s="46"/>
      <c r="CB16" s="46"/>
      <c r="CC16" s="46"/>
    </row>
    <row r="17" spans="4:81" s="39" customFormat="true" ht="12" customHeight="true">
      <c r="D17" s="46"/>
      <c r="E17" s="46"/>
      <c r="F17" s="46"/>
      <c r="G17" s="46"/>
      <c r="H17" s="46"/>
      <c r="I17" s="46"/>
      <c r="J17" s="46"/>
      <c r="K17" s="46"/>
      <c r="L17" s="46"/>
      <c r="M17" s="46"/>
      <c r="N17" s="46"/>
      <c r="O17" s="46"/>
      <c r="P17" s="46"/>
      <c r="Q17" s="46"/>
      <c r="R17" s="46"/>
      <c r="S17" s="46"/>
      <c r="T17" s="51"/>
      <c r="U17" s="46"/>
      <c r="V17" s="46"/>
      <c r="W17" s="46"/>
      <c r="X17" s="46"/>
      <c r="Y17" s="46"/>
      <c r="Z17" s="51"/>
      <c r="AA17" s="51"/>
      <c r="AB17" s="51"/>
      <c r="AC17" s="51"/>
      <c r="AD17" s="51"/>
      <c r="AE17" s="46"/>
      <c r="AF17" s="51"/>
      <c r="AG17" s="46"/>
      <c r="AH17" s="46"/>
      <c r="AI17" s="51"/>
      <c r="AJ17" s="46"/>
      <c r="AK17" s="46"/>
      <c r="AL17" s="46"/>
      <c r="AM17" s="46"/>
      <c r="AN17" s="46"/>
      <c r="AO17" s="46"/>
      <c r="AP17" s="46"/>
      <c r="AQ17" s="46"/>
      <c r="AR17" s="46"/>
      <c r="AS17" s="46"/>
      <c r="AT17" s="51"/>
      <c r="AU17" s="46"/>
      <c r="AV17" s="46"/>
      <c r="AW17" s="46"/>
      <c r="AX17" s="46"/>
      <c r="AY17" s="46"/>
      <c r="AZ17" s="46"/>
      <c r="BA17" s="46"/>
      <c r="BB17" s="46"/>
      <c r="BC17" s="46"/>
      <c r="BD17" s="46"/>
      <c r="BE17" s="46"/>
      <c r="BF17" s="46"/>
      <c r="BG17" s="46"/>
      <c r="BH17" s="46"/>
      <c r="BI17" s="46"/>
      <c r="BJ17" s="46"/>
      <c r="BK17" s="46"/>
      <c r="BL17" s="46"/>
      <c r="BM17" s="46"/>
      <c r="BN17" s="46"/>
      <c r="BO17" s="46"/>
      <c r="BP17" s="46"/>
      <c r="BQ17" s="54"/>
      <c r="BR17" s="46"/>
      <c r="BS17" s="54"/>
      <c r="BT17" s="46"/>
      <c r="BU17" s="46"/>
      <c r="BV17" s="46"/>
      <c r="BW17" s="46"/>
      <c r="BX17" s="46"/>
      <c r="BY17" s="46"/>
      <c r="BZ17" s="54"/>
      <c r="CA17" s="46"/>
      <c r="CB17" s="46"/>
      <c r="CC17" s="46"/>
    </row>
    <row r="18" spans="4:81" s="39" customFormat="true" ht="12" customHeight="true">
      <c r="D18" s="46"/>
      <c r="E18" s="46"/>
      <c r="F18" s="46"/>
      <c r="G18" s="46"/>
      <c r="H18" s="46"/>
      <c r="I18" s="46"/>
      <c r="J18" s="46"/>
      <c r="K18" s="46"/>
      <c r="L18" s="46"/>
      <c r="M18" s="46"/>
      <c r="N18" s="46"/>
      <c r="O18" s="46"/>
      <c r="P18" s="46"/>
      <c r="Q18" s="46"/>
      <c r="R18" s="46"/>
      <c r="S18" s="46"/>
      <c r="T18" s="51"/>
      <c r="U18" s="46"/>
      <c r="V18" s="46"/>
      <c r="W18" s="46"/>
      <c r="X18" s="46"/>
      <c r="Y18" s="46"/>
      <c r="Z18" s="51"/>
      <c r="AA18" s="51"/>
      <c r="AB18" s="51"/>
      <c r="AC18" s="51"/>
      <c r="AD18" s="51"/>
      <c r="AE18" s="46"/>
      <c r="AF18" s="51"/>
      <c r="AG18" s="46"/>
      <c r="AH18" s="46"/>
      <c r="AI18" s="51"/>
      <c r="AJ18" s="46"/>
      <c r="AK18" s="46"/>
      <c r="AL18" s="46"/>
      <c r="AM18" s="46"/>
      <c r="AN18" s="46"/>
      <c r="AO18" s="46"/>
      <c r="AP18" s="46"/>
      <c r="AQ18" s="46"/>
      <c r="AR18" s="46"/>
      <c r="AS18" s="46"/>
      <c r="AT18" s="51"/>
      <c r="AU18" s="46"/>
      <c r="AV18" s="46"/>
      <c r="AW18" s="46"/>
      <c r="AX18" s="46"/>
      <c r="AY18" s="46"/>
      <c r="AZ18" s="46"/>
      <c r="BA18" s="46"/>
      <c r="BB18" s="46"/>
      <c r="BC18" s="46"/>
      <c r="BD18" s="46"/>
      <c r="BE18" s="46"/>
      <c r="BF18" s="46"/>
      <c r="BG18" s="46"/>
      <c r="BH18" s="46"/>
      <c r="BI18" s="46"/>
      <c r="BJ18" s="46"/>
      <c r="BK18" s="46"/>
      <c r="BL18" s="46"/>
      <c r="BM18" s="46"/>
      <c r="BN18" s="46"/>
      <c r="BO18" s="46"/>
      <c r="BP18" s="46"/>
      <c r="BQ18" s="54"/>
      <c r="BR18" s="46"/>
      <c r="BS18" s="54"/>
      <c r="BT18" s="46"/>
      <c r="BU18" s="46"/>
      <c r="BV18" s="46"/>
      <c r="BW18" s="46"/>
      <c r="BX18" s="46"/>
      <c r="BY18" s="46"/>
      <c r="BZ18" s="54"/>
      <c r="CA18" s="46"/>
      <c r="CB18" s="46"/>
      <c r="CC18" s="46"/>
    </row>
    <row r="19" spans="4:81" s="39" customFormat="true" ht="12" customHeight="true">
      <c r="D19" s="46"/>
      <c r="E19" s="46"/>
      <c r="F19" s="46"/>
      <c r="G19" s="46"/>
      <c r="H19" s="46"/>
      <c r="I19" s="46"/>
      <c r="J19" s="46"/>
      <c r="K19" s="46"/>
      <c r="L19" s="46"/>
      <c r="M19" s="46"/>
      <c r="N19" s="46"/>
      <c r="O19" s="46"/>
      <c r="P19" s="46"/>
      <c r="Q19" s="46"/>
      <c r="R19" s="46"/>
      <c r="S19" s="46"/>
      <c r="T19" s="51"/>
      <c r="U19" s="46"/>
      <c r="V19" s="46"/>
      <c r="W19" s="46"/>
      <c r="X19" s="46"/>
      <c r="Y19" s="46"/>
      <c r="Z19" s="51"/>
      <c r="AA19" s="51"/>
      <c r="AB19" s="51"/>
      <c r="AC19" s="51"/>
      <c r="AD19" s="51"/>
      <c r="AE19" s="46"/>
      <c r="AF19" s="51"/>
      <c r="AG19" s="46"/>
      <c r="AH19" s="46"/>
      <c r="AI19" s="51"/>
      <c r="AJ19" s="46"/>
      <c r="AK19" s="46"/>
      <c r="AL19" s="46"/>
      <c r="AM19" s="46"/>
      <c r="AN19" s="46"/>
      <c r="AO19" s="46"/>
      <c r="AP19" s="46"/>
      <c r="AQ19" s="46"/>
      <c r="AR19" s="46"/>
      <c r="AS19" s="46"/>
      <c r="AT19" s="51"/>
      <c r="AU19" s="46"/>
      <c r="AV19" s="46"/>
      <c r="AW19" s="46"/>
      <c r="AX19" s="46"/>
      <c r="AY19" s="46"/>
      <c r="AZ19" s="46"/>
      <c r="BA19" s="46"/>
      <c r="BB19" s="46"/>
      <c r="BC19" s="46"/>
      <c r="BD19" s="46"/>
      <c r="BE19" s="46"/>
      <c r="BF19" s="46"/>
      <c r="BG19" s="46"/>
      <c r="BH19" s="46"/>
      <c r="BI19" s="46"/>
      <c r="BJ19" s="46"/>
      <c r="BK19" s="46"/>
      <c r="BL19" s="46"/>
      <c r="BM19" s="46"/>
      <c r="BN19" s="46"/>
      <c r="BO19" s="46"/>
      <c r="BP19" s="46"/>
      <c r="BQ19" s="54"/>
      <c r="BR19" s="46"/>
      <c r="BS19" s="54"/>
      <c r="BT19" s="46"/>
      <c r="BU19" s="46"/>
      <c r="BV19" s="46"/>
      <c r="BW19" s="46"/>
      <c r="BX19" s="46"/>
      <c r="BY19" s="46"/>
      <c r="BZ19" s="54"/>
      <c r="CA19" s="46"/>
      <c r="CB19" s="46"/>
      <c r="CC19" s="46"/>
    </row>
    <row r="20" spans="4:81" s="39" customFormat="true" ht="12" customHeight="true">
      <c r="D20" s="46"/>
      <c r="E20" s="46"/>
      <c r="F20" s="46"/>
      <c r="G20" s="46"/>
      <c r="H20" s="46"/>
      <c r="I20" s="46"/>
      <c r="J20" s="46"/>
      <c r="K20" s="46"/>
      <c r="L20" s="46"/>
      <c r="M20" s="46"/>
      <c r="N20" s="46"/>
      <c r="O20" s="46"/>
      <c r="P20" s="46"/>
      <c r="Q20" s="46"/>
      <c r="R20" s="46"/>
      <c r="S20" s="46"/>
      <c r="T20" s="51"/>
      <c r="U20" s="46"/>
      <c r="V20" s="46"/>
      <c r="W20" s="46"/>
      <c r="X20" s="46"/>
      <c r="Y20" s="46"/>
      <c r="Z20" s="51"/>
      <c r="AA20" s="51"/>
      <c r="AB20" s="51"/>
      <c r="AC20" s="51"/>
      <c r="AD20" s="51"/>
      <c r="AE20" s="46"/>
      <c r="AF20" s="51"/>
      <c r="AG20" s="46"/>
      <c r="AH20" s="46"/>
      <c r="AI20" s="51"/>
      <c r="AJ20" s="46"/>
      <c r="AK20" s="46"/>
      <c r="AL20" s="46"/>
      <c r="AM20" s="46"/>
      <c r="AN20" s="46"/>
      <c r="AO20" s="46"/>
      <c r="AP20" s="46"/>
      <c r="AQ20" s="46"/>
      <c r="AR20" s="46"/>
      <c r="AS20" s="46"/>
      <c r="AT20" s="51"/>
      <c r="AU20" s="46"/>
      <c r="AV20" s="46"/>
      <c r="AW20" s="46"/>
      <c r="AX20" s="46"/>
      <c r="AY20" s="46"/>
      <c r="AZ20" s="46"/>
      <c r="BA20" s="46"/>
      <c r="BB20" s="46"/>
      <c r="BC20" s="46"/>
      <c r="BD20" s="46"/>
      <c r="BE20" s="46"/>
      <c r="BF20" s="46"/>
      <c r="BG20" s="46"/>
      <c r="BH20" s="46"/>
      <c r="BI20" s="46"/>
      <c r="BJ20" s="46"/>
      <c r="BK20" s="46"/>
      <c r="BL20" s="46"/>
      <c r="BM20" s="46"/>
      <c r="BN20" s="46"/>
      <c r="BO20" s="46"/>
      <c r="BP20" s="46"/>
      <c r="BQ20" s="54"/>
      <c r="BR20" s="46"/>
      <c r="BS20" s="54"/>
      <c r="BT20" s="46"/>
      <c r="BU20" s="46"/>
      <c r="BV20" s="46"/>
      <c r="BW20" s="46"/>
      <c r="BX20" s="46"/>
      <c r="BY20" s="46"/>
      <c r="BZ20" s="54"/>
      <c r="CA20" s="46"/>
      <c r="CB20" s="46"/>
      <c r="CC20" s="46"/>
    </row>
    <row r="21" spans="4:81" s="39" customFormat="true" ht="12" customHeight="true">
      <c r="D21" s="46"/>
      <c r="E21" s="46"/>
      <c r="F21" s="46"/>
      <c r="G21" s="46"/>
      <c r="H21" s="46"/>
      <c r="I21" s="46"/>
      <c r="J21" s="46"/>
      <c r="K21" s="46"/>
      <c r="L21" s="46"/>
      <c r="M21" s="46"/>
      <c r="N21" s="46"/>
      <c r="O21" s="46"/>
      <c r="P21" s="46"/>
      <c r="Q21" s="46"/>
      <c r="R21" s="46"/>
      <c r="S21" s="46"/>
      <c r="T21" s="51"/>
      <c r="U21" s="46"/>
      <c r="V21" s="46"/>
      <c r="W21" s="46"/>
      <c r="X21" s="46"/>
      <c r="Y21" s="46"/>
      <c r="Z21" s="51"/>
      <c r="AA21" s="51"/>
      <c r="AB21" s="51"/>
      <c r="AC21" s="51"/>
      <c r="AD21" s="51"/>
      <c r="AE21" s="46"/>
      <c r="AF21" s="51"/>
      <c r="AG21" s="46"/>
      <c r="AH21" s="46"/>
      <c r="AI21" s="51"/>
      <c r="AJ21" s="46"/>
      <c r="AK21" s="46"/>
      <c r="AL21" s="46"/>
      <c r="AM21" s="46"/>
      <c r="AN21" s="46"/>
      <c r="AO21" s="46"/>
      <c r="AP21" s="46"/>
      <c r="AQ21" s="46"/>
      <c r="AR21" s="46"/>
      <c r="AS21" s="46"/>
      <c r="AT21" s="51"/>
      <c r="AU21" s="46"/>
      <c r="AV21" s="46"/>
      <c r="AW21" s="46"/>
      <c r="AX21" s="46"/>
      <c r="AY21" s="46"/>
      <c r="AZ21" s="46"/>
      <c r="BA21" s="46"/>
      <c r="BB21" s="46"/>
      <c r="BC21" s="46"/>
      <c r="BD21" s="46"/>
      <c r="BE21" s="46"/>
      <c r="BF21" s="46"/>
      <c r="BG21" s="46"/>
      <c r="BH21" s="46"/>
      <c r="BI21" s="46"/>
      <c r="BJ21" s="46"/>
      <c r="BK21" s="46"/>
      <c r="BL21" s="46"/>
      <c r="BM21" s="46"/>
      <c r="BN21" s="46"/>
      <c r="BO21" s="46"/>
      <c r="BP21" s="46"/>
      <c r="BQ21" s="54"/>
      <c r="BR21" s="46"/>
      <c r="BS21" s="54"/>
      <c r="BT21" s="46"/>
      <c r="BU21" s="46"/>
      <c r="BV21" s="46"/>
      <c r="BW21" s="46"/>
      <c r="BX21" s="46"/>
      <c r="BY21" s="46"/>
      <c r="BZ21" s="54"/>
      <c r="CA21" s="46"/>
      <c r="CB21" s="46"/>
      <c r="CC21" s="46"/>
    </row>
    <row r="22" spans="4:81" s="39" customFormat="true" ht="12" customHeight="true">
      <c r="D22" s="46"/>
      <c r="E22" s="46"/>
      <c r="F22" s="46"/>
      <c r="G22" s="46"/>
      <c r="H22" s="46"/>
      <c r="I22" s="46"/>
      <c r="J22" s="46"/>
      <c r="K22" s="46"/>
      <c r="L22" s="46"/>
      <c r="M22" s="46"/>
      <c r="N22" s="46"/>
      <c r="O22" s="46"/>
      <c r="P22" s="46"/>
      <c r="Q22" s="46"/>
      <c r="R22" s="46"/>
      <c r="S22" s="46"/>
      <c r="T22" s="51"/>
      <c r="U22" s="46"/>
      <c r="V22" s="46"/>
      <c r="W22" s="46"/>
      <c r="X22" s="46"/>
      <c r="Y22" s="46"/>
      <c r="Z22" s="51"/>
      <c r="AA22" s="51"/>
      <c r="AB22" s="51"/>
      <c r="AC22" s="51"/>
      <c r="AD22" s="51"/>
      <c r="AE22" s="46"/>
      <c r="AF22" s="51"/>
      <c r="AG22" s="46"/>
      <c r="AH22" s="46"/>
      <c r="AI22" s="51"/>
      <c r="AJ22" s="46"/>
      <c r="AK22" s="46"/>
      <c r="AL22" s="46"/>
      <c r="AM22" s="46"/>
      <c r="AN22" s="46"/>
      <c r="AO22" s="46"/>
      <c r="AP22" s="46"/>
      <c r="AQ22" s="46"/>
      <c r="AR22" s="46"/>
      <c r="AS22" s="46"/>
      <c r="AT22" s="51"/>
      <c r="AU22" s="46"/>
      <c r="AV22" s="46"/>
      <c r="AW22" s="46"/>
      <c r="AX22" s="46"/>
      <c r="AY22" s="46"/>
      <c r="AZ22" s="46"/>
      <c r="BA22" s="46"/>
      <c r="BB22" s="46"/>
      <c r="BC22" s="46"/>
      <c r="BD22" s="46"/>
      <c r="BE22" s="46"/>
      <c r="BF22" s="46"/>
      <c r="BG22" s="46"/>
      <c r="BH22" s="46"/>
      <c r="BI22" s="46"/>
      <c r="BJ22" s="46"/>
      <c r="BK22" s="46"/>
      <c r="BL22" s="46"/>
      <c r="BM22" s="46"/>
      <c r="BN22" s="46"/>
      <c r="BO22" s="46"/>
      <c r="BP22" s="46"/>
      <c r="BQ22" s="54"/>
      <c r="BR22" s="46"/>
      <c r="BS22" s="54"/>
      <c r="BT22" s="46"/>
      <c r="BU22" s="46"/>
      <c r="BV22" s="46"/>
      <c r="BW22" s="46"/>
      <c r="BX22" s="46"/>
      <c r="BY22" s="46"/>
      <c r="BZ22" s="54"/>
      <c r="CA22" s="46"/>
      <c r="CB22" s="46"/>
      <c r="CC22" s="46"/>
    </row>
    <row r="23" spans="4:81" s="39" customFormat="true" ht="12" customHeight="true">
      <c r="D23" s="46"/>
      <c r="E23" s="46"/>
      <c r="F23" s="46"/>
      <c r="G23" s="46"/>
      <c r="H23" s="46"/>
      <c r="I23" s="46"/>
      <c r="J23" s="46"/>
      <c r="K23" s="46"/>
      <c r="L23" s="46"/>
      <c r="M23" s="46"/>
      <c r="N23" s="46"/>
      <c r="O23" s="46"/>
      <c r="P23" s="46"/>
      <c r="Q23" s="46"/>
      <c r="R23" s="46"/>
      <c r="S23" s="46"/>
      <c r="T23" s="51"/>
      <c r="U23" s="46"/>
      <c r="V23" s="46"/>
      <c r="W23" s="46"/>
      <c r="X23" s="46"/>
      <c r="Y23" s="46"/>
      <c r="Z23" s="51"/>
      <c r="AA23" s="51"/>
      <c r="AB23" s="51"/>
      <c r="AC23" s="51"/>
      <c r="AD23" s="51"/>
      <c r="AE23" s="46"/>
      <c r="AF23" s="51"/>
      <c r="AG23" s="46"/>
      <c r="AH23" s="46"/>
      <c r="AI23" s="51"/>
      <c r="AJ23" s="46"/>
      <c r="AK23" s="46"/>
      <c r="AL23" s="46"/>
      <c r="AM23" s="46"/>
      <c r="AN23" s="46"/>
      <c r="AO23" s="46"/>
      <c r="AP23" s="46"/>
      <c r="AQ23" s="46"/>
      <c r="AR23" s="46"/>
      <c r="AS23" s="46"/>
      <c r="AT23" s="51"/>
      <c r="AU23" s="46"/>
      <c r="AV23" s="46"/>
      <c r="AW23" s="46"/>
      <c r="AX23" s="46"/>
      <c r="AY23" s="46"/>
      <c r="AZ23" s="46"/>
      <c r="BA23" s="46"/>
      <c r="BB23" s="46"/>
      <c r="BC23" s="46"/>
      <c r="BD23" s="46"/>
      <c r="BE23" s="46"/>
      <c r="BF23" s="46"/>
      <c r="BG23" s="46"/>
      <c r="BH23" s="46"/>
      <c r="BI23" s="46"/>
      <c r="BJ23" s="46"/>
      <c r="BK23" s="46"/>
      <c r="BL23" s="46"/>
      <c r="BM23" s="46"/>
      <c r="BN23" s="46"/>
      <c r="BO23" s="46"/>
      <c r="BP23" s="46"/>
      <c r="BQ23" s="54"/>
      <c r="BR23" s="46"/>
      <c r="BS23" s="54"/>
      <c r="BT23" s="46"/>
      <c r="BU23" s="46"/>
      <c r="BV23" s="46"/>
      <c r="BW23" s="46"/>
      <c r="BX23" s="46"/>
      <c r="BY23" s="46"/>
      <c r="BZ23" s="54"/>
      <c r="CA23" s="46"/>
      <c r="CB23" s="46"/>
      <c r="CC23" s="46"/>
    </row>
    <row r="24" spans="4:81" s="39" customFormat="true" ht="12" customHeight="true">
      <c r="D24" s="46"/>
      <c r="E24" s="46"/>
      <c r="F24" s="46"/>
      <c r="G24" s="46"/>
      <c r="H24" s="46"/>
      <c r="I24" s="46"/>
      <c r="J24" s="46"/>
      <c r="K24" s="46"/>
      <c r="L24" s="46"/>
      <c r="M24" s="46"/>
      <c r="N24" s="46"/>
      <c r="O24" s="46"/>
      <c r="P24" s="46"/>
      <c r="Q24" s="46"/>
      <c r="R24" s="46"/>
      <c r="S24" s="46"/>
      <c r="T24" s="51"/>
      <c r="U24" s="46"/>
      <c r="V24" s="46"/>
      <c r="W24" s="46"/>
      <c r="X24" s="46"/>
      <c r="Y24" s="46"/>
      <c r="Z24" s="51"/>
      <c r="AA24" s="51"/>
      <c r="AB24" s="51"/>
      <c r="AC24" s="51"/>
      <c r="AD24" s="51"/>
      <c r="AE24" s="46"/>
      <c r="AF24" s="51"/>
      <c r="AG24" s="46"/>
      <c r="AH24" s="46"/>
      <c r="AI24" s="51"/>
      <c r="AJ24" s="46"/>
      <c r="AK24" s="46"/>
      <c r="AL24" s="46"/>
      <c r="AM24" s="46"/>
      <c r="AN24" s="46"/>
      <c r="AO24" s="46"/>
      <c r="AP24" s="46"/>
      <c r="AQ24" s="46"/>
      <c r="AR24" s="46"/>
      <c r="AS24" s="46"/>
      <c r="AT24" s="51"/>
      <c r="AU24" s="46"/>
      <c r="AV24" s="46"/>
      <c r="AW24" s="46"/>
      <c r="AX24" s="46"/>
      <c r="AY24" s="46"/>
      <c r="AZ24" s="46"/>
      <c r="BA24" s="46"/>
      <c r="BB24" s="46"/>
      <c r="BC24" s="46"/>
      <c r="BD24" s="46"/>
      <c r="BE24" s="46"/>
      <c r="BF24" s="46"/>
      <c r="BG24" s="46"/>
      <c r="BH24" s="46"/>
      <c r="BI24" s="46"/>
      <c r="BJ24" s="46"/>
      <c r="BK24" s="46"/>
      <c r="BL24" s="46"/>
      <c r="BM24" s="46"/>
      <c r="BN24" s="46"/>
      <c r="BO24" s="46"/>
      <c r="BP24" s="46"/>
      <c r="BQ24" s="54"/>
      <c r="BR24" s="46"/>
      <c r="BS24" s="54"/>
      <c r="BT24" s="46"/>
      <c r="BU24" s="46"/>
      <c r="BV24" s="46"/>
      <c r="BW24" s="46"/>
      <c r="BX24" s="46"/>
      <c r="BY24" s="46"/>
      <c r="BZ24" s="54"/>
      <c r="CA24" s="46"/>
      <c r="CB24" s="46"/>
      <c r="CC24" s="46"/>
    </row>
    <row r="25" spans="4:81" s="39" customFormat="true" ht="12" customHeight="true">
      <c r="D25" s="46"/>
      <c r="E25" s="46"/>
      <c r="F25" s="46"/>
      <c r="G25" s="46"/>
      <c r="H25" s="46"/>
      <c r="I25" s="46"/>
      <c r="J25" s="46"/>
      <c r="K25" s="46"/>
      <c r="L25" s="46"/>
      <c r="M25" s="46"/>
      <c r="N25" s="46"/>
      <c r="O25" s="46"/>
      <c r="P25" s="46"/>
      <c r="Q25" s="46"/>
      <c r="R25" s="46"/>
      <c r="S25" s="46"/>
      <c r="T25" s="51"/>
      <c r="U25" s="46"/>
      <c r="V25" s="46"/>
      <c r="W25" s="46"/>
      <c r="X25" s="46"/>
      <c r="Y25" s="46"/>
      <c r="Z25" s="51"/>
      <c r="AA25" s="51"/>
      <c r="AB25" s="51"/>
      <c r="AC25" s="51"/>
      <c r="AD25" s="51"/>
      <c r="AE25" s="46"/>
      <c r="AF25" s="51"/>
      <c r="AG25" s="46"/>
      <c r="AH25" s="46"/>
      <c r="AI25" s="51"/>
      <c r="AJ25" s="46"/>
      <c r="AK25" s="46"/>
      <c r="AL25" s="46"/>
      <c r="AM25" s="46"/>
      <c r="AN25" s="46"/>
      <c r="AO25" s="46"/>
      <c r="AP25" s="46"/>
      <c r="AQ25" s="46"/>
      <c r="AR25" s="46"/>
      <c r="AS25" s="46"/>
      <c r="AT25" s="51"/>
      <c r="AU25" s="46"/>
      <c r="AV25" s="46"/>
      <c r="AW25" s="46"/>
      <c r="AX25" s="46"/>
      <c r="AY25" s="46"/>
      <c r="AZ25" s="46"/>
      <c r="BA25" s="46"/>
      <c r="BB25" s="46"/>
      <c r="BC25" s="46"/>
      <c r="BD25" s="46"/>
      <c r="BE25" s="46"/>
      <c r="BF25" s="46"/>
      <c r="BG25" s="46"/>
      <c r="BH25" s="46"/>
      <c r="BI25" s="46"/>
      <c r="BJ25" s="46"/>
      <c r="BK25" s="46"/>
      <c r="BL25" s="46"/>
      <c r="BM25" s="46"/>
      <c r="BN25" s="46"/>
      <c r="BO25" s="46"/>
      <c r="BP25" s="46"/>
      <c r="BQ25" s="54"/>
      <c r="BR25" s="46"/>
      <c r="BS25" s="54"/>
      <c r="BT25" s="46"/>
      <c r="BU25" s="46"/>
      <c r="BV25" s="46"/>
      <c r="BW25" s="46"/>
      <c r="BX25" s="46"/>
      <c r="BY25" s="46"/>
      <c r="BZ25" s="54"/>
      <c r="CA25" s="46"/>
      <c r="CB25" s="46"/>
      <c r="CC25" s="46"/>
    </row>
    <row r="26" spans="4:81" s="39" customFormat="true" ht="12" customHeight="true">
      <c r="D26" s="46"/>
      <c r="E26" s="46"/>
      <c r="F26" s="46"/>
      <c r="G26" s="46"/>
      <c r="H26" s="46"/>
      <c r="I26" s="46"/>
      <c r="J26" s="46"/>
      <c r="K26" s="46"/>
      <c r="L26" s="46"/>
      <c r="M26" s="46"/>
      <c r="N26" s="46"/>
      <c r="O26" s="46"/>
      <c r="P26" s="46"/>
      <c r="Q26" s="46"/>
      <c r="R26" s="46"/>
      <c r="S26" s="46"/>
      <c r="T26" s="51"/>
      <c r="U26" s="46"/>
      <c r="V26" s="46"/>
      <c r="W26" s="46"/>
      <c r="X26" s="46"/>
      <c r="Y26" s="46"/>
      <c r="Z26" s="51"/>
      <c r="AA26" s="51"/>
      <c r="AB26" s="51"/>
      <c r="AC26" s="51"/>
      <c r="AD26" s="51"/>
      <c r="AE26" s="46"/>
      <c r="AF26" s="51"/>
      <c r="AG26" s="46"/>
      <c r="AH26" s="46"/>
      <c r="AI26" s="51"/>
      <c r="AJ26" s="46"/>
      <c r="AK26" s="46"/>
      <c r="AL26" s="46"/>
      <c r="AM26" s="46"/>
      <c r="AN26" s="46"/>
      <c r="AO26" s="46"/>
      <c r="AP26" s="46"/>
      <c r="AQ26" s="46"/>
      <c r="AR26" s="46"/>
      <c r="AS26" s="46"/>
      <c r="AT26" s="51"/>
      <c r="AU26" s="46"/>
      <c r="AV26" s="46"/>
      <c r="AW26" s="46"/>
      <c r="AX26" s="46"/>
      <c r="AY26" s="46"/>
      <c r="AZ26" s="46"/>
      <c r="BA26" s="46"/>
      <c r="BB26" s="46"/>
      <c r="BC26" s="46"/>
      <c r="BD26" s="46"/>
      <c r="BE26" s="46"/>
      <c r="BF26" s="46"/>
      <c r="BG26" s="46"/>
      <c r="BH26" s="46"/>
      <c r="BI26" s="46"/>
      <c r="BJ26" s="46"/>
      <c r="BK26" s="46"/>
      <c r="BL26" s="46"/>
      <c r="BM26" s="46"/>
      <c r="BN26" s="46"/>
      <c r="BO26" s="46"/>
      <c r="BP26" s="46"/>
      <c r="BQ26" s="54"/>
      <c r="BR26" s="46"/>
      <c r="BS26" s="54"/>
      <c r="BT26" s="46"/>
      <c r="BU26" s="46"/>
      <c r="BV26" s="46"/>
      <c r="BW26" s="46"/>
      <c r="BX26" s="46"/>
      <c r="BY26" s="46"/>
      <c r="BZ26" s="54"/>
      <c r="CA26" s="46"/>
      <c r="CB26" s="46"/>
      <c r="CC26" s="46"/>
    </row>
    <row r="27" spans="4:81" s="39" customFormat="true" ht="12" customHeight="true">
      <c r="D27" s="46"/>
      <c r="E27" s="46"/>
      <c r="F27" s="46"/>
      <c r="G27" s="46"/>
      <c r="H27" s="46"/>
      <c r="I27" s="46"/>
      <c r="J27" s="46"/>
      <c r="K27" s="46"/>
      <c r="L27" s="46"/>
      <c r="M27" s="46"/>
      <c r="N27" s="46"/>
      <c r="O27" s="46"/>
      <c r="P27" s="46"/>
      <c r="Q27" s="46"/>
      <c r="R27" s="46"/>
      <c r="S27" s="46"/>
      <c r="T27" s="51"/>
      <c r="U27" s="46"/>
      <c r="V27" s="46"/>
      <c r="W27" s="46"/>
      <c r="X27" s="46"/>
      <c r="Y27" s="46"/>
      <c r="Z27" s="51"/>
      <c r="AA27" s="51"/>
      <c r="AB27" s="51"/>
      <c r="AC27" s="51"/>
      <c r="AD27" s="51"/>
      <c r="AE27" s="46"/>
      <c r="AF27" s="51"/>
      <c r="AG27" s="46"/>
      <c r="AH27" s="46"/>
      <c r="AI27" s="51"/>
      <c r="AJ27" s="46"/>
      <c r="AK27" s="46"/>
      <c r="AL27" s="46"/>
      <c r="AM27" s="46"/>
      <c r="AN27" s="46"/>
      <c r="AO27" s="46"/>
      <c r="AP27" s="46"/>
      <c r="AQ27" s="46"/>
      <c r="AR27" s="46"/>
      <c r="AS27" s="46"/>
      <c r="AT27" s="51"/>
      <c r="AU27" s="46"/>
      <c r="AV27" s="46"/>
      <c r="AW27" s="46"/>
      <c r="AX27" s="46"/>
      <c r="AY27" s="46"/>
      <c r="AZ27" s="46"/>
      <c r="BA27" s="46"/>
      <c r="BB27" s="46"/>
      <c r="BC27" s="46"/>
      <c r="BD27" s="46"/>
      <c r="BE27" s="46"/>
      <c r="BF27" s="46"/>
      <c r="BG27" s="46"/>
      <c r="BH27" s="46"/>
      <c r="BI27" s="46"/>
      <c r="BJ27" s="46"/>
      <c r="BK27" s="46"/>
      <c r="BL27" s="46"/>
      <c r="BM27" s="46"/>
      <c r="BN27" s="46"/>
      <c r="BO27" s="46"/>
      <c r="BP27" s="46"/>
      <c r="BQ27" s="54"/>
      <c r="BR27" s="46"/>
      <c r="BS27" s="54"/>
      <c r="BT27" s="46"/>
      <c r="BU27" s="46"/>
      <c r="BV27" s="46"/>
      <c r="BW27" s="46"/>
      <c r="BX27" s="46"/>
      <c r="BY27" s="46"/>
      <c r="BZ27" s="54"/>
      <c r="CA27" s="46"/>
      <c r="CB27" s="46"/>
      <c r="CC27" s="46"/>
    </row>
    <row r="28" spans="4:81" s="39" customFormat="true" ht="12" customHeight="true">
      <c r="D28" s="46"/>
      <c r="E28" s="46"/>
      <c r="F28" s="46"/>
      <c r="G28" s="46"/>
      <c r="H28" s="46"/>
      <c r="I28" s="46"/>
      <c r="J28" s="46"/>
      <c r="K28" s="46"/>
      <c r="L28" s="46"/>
      <c r="M28" s="46"/>
      <c r="N28" s="46"/>
      <c r="O28" s="46"/>
      <c r="P28" s="46"/>
      <c r="Q28" s="46"/>
      <c r="R28" s="46"/>
      <c r="S28" s="46"/>
      <c r="T28" s="51"/>
      <c r="U28" s="46"/>
      <c r="V28" s="46"/>
      <c r="W28" s="46"/>
      <c r="X28" s="46"/>
      <c r="Y28" s="46"/>
      <c r="Z28" s="51"/>
      <c r="AA28" s="51"/>
      <c r="AB28" s="51"/>
      <c r="AC28" s="51"/>
      <c r="AD28" s="51"/>
      <c r="AE28" s="46"/>
      <c r="AF28" s="51"/>
      <c r="AG28" s="46"/>
      <c r="AH28" s="46"/>
      <c r="AI28" s="51"/>
      <c r="AJ28" s="46"/>
      <c r="AK28" s="46"/>
      <c r="AL28" s="46"/>
      <c r="AM28" s="46"/>
      <c r="AN28" s="46"/>
      <c r="AO28" s="46"/>
      <c r="AP28" s="46"/>
      <c r="AQ28" s="46"/>
      <c r="AR28" s="46"/>
      <c r="AS28" s="46"/>
      <c r="AT28" s="51"/>
      <c r="AU28" s="46"/>
      <c r="AV28" s="46"/>
      <c r="AW28" s="46"/>
      <c r="AX28" s="46"/>
      <c r="AY28" s="46"/>
      <c r="AZ28" s="46"/>
      <c r="BA28" s="46"/>
      <c r="BB28" s="46"/>
      <c r="BC28" s="46"/>
      <c r="BD28" s="46"/>
      <c r="BE28" s="46"/>
      <c r="BF28" s="46"/>
      <c r="BG28" s="46"/>
      <c r="BH28" s="46"/>
      <c r="BI28" s="46"/>
      <c r="BJ28" s="46"/>
      <c r="BK28" s="46"/>
      <c r="BL28" s="46"/>
      <c r="BM28" s="46"/>
      <c r="BN28" s="46"/>
      <c r="BO28" s="46"/>
      <c r="BP28" s="46"/>
      <c r="BQ28" s="54"/>
      <c r="BR28" s="46"/>
      <c r="BS28" s="54"/>
      <c r="BT28" s="46"/>
      <c r="BU28" s="46"/>
      <c r="BV28" s="46"/>
      <c r="BW28" s="46"/>
      <c r="BX28" s="46"/>
      <c r="BY28" s="46"/>
      <c r="BZ28" s="54"/>
      <c r="CA28" s="46"/>
      <c r="CB28" s="46"/>
      <c r="CC28" s="46"/>
    </row>
    <row r="29" spans="2:82" s="39" customFormat="true" ht="12" customHeight="true">
      <c r="B29" s="39" t="s">
        <v>34189</v>
      </c>
      <c r="D29" s="39">
        <f t="shared" ref="D29:BO29" si="0">+SUM(D11:D28)</f>
        <v>95167.79</v>
      </c>
      <c r="E29" s="39">
        <f t="shared" si="0"/>
        <v>300.16</v>
      </c>
      <c r="F29" s="39">
        <f t="shared" si="0"/>
        <v>30.4</v>
      </c>
      <c r="G29" s="39">
        <f t="shared" si="0"/>
        <v>50542.17</v>
      </c>
      <c r="H29" s="39">
        <f t="shared" si="0"/>
        <v>0</v>
      </c>
      <c r="I29" s="39">
        <f t="shared" si="0"/>
        <v>0</v>
      </c>
      <c r="J29" s="39">
        <f t="shared" si="0"/>
        <v>927378.34</v>
      </c>
      <c r="K29" s="39">
        <f t="shared" si="0"/>
        <v>68910.18</v>
      </c>
      <c r="L29" s="39">
        <f t="shared" si="0"/>
        <v>0</v>
      </c>
      <c r="M29" s="39">
        <f t="shared" si="0"/>
        <v>39708.65</v>
      </c>
      <c r="N29" s="39">
        <f t="shared" si="0"/>
        <v>27308.7</v>
      </c>
      <c r="O29" s="39">
        <f t="shared" si="0"/>
        <v>0</v>
      </c>
      <c r="P29" s="39">
        <f t="shared" si="0"/>
        <v>0</v>
      </c>
      <c r="Q29" s="39">
        <f t="shared" si="0"/>
        <v>0</v>
      </c>
      <c r="R29" s="39">
        <f t="shared" si="0"/>
        <v>0</v>
      </c>
      <c r="S29" s="39">
        <f t="shared" si="0"/>
        <v>14706.43</v>
      </c>
      <c r="T29" s="51">
        <f t="shared" si="0"/>
        <v>0</v>
      </c>
      <c r="U29" s="39">
        <f t="shared" si="0"/>
        <v>0</v>
      </c>
      <c r="V29" s="39">
        <f t="shared" si="0"/>
        <v>30121.87</v>
      </c>
      <c r="W29" s="39">
        <f t="shared" si="0"/>
        <v>0</v>
      </c>
      <c r="X29" s="39">
        <f t="shared" si="0"/>
        <v>28537.79</v>
      </c>
      <c r="Y29" s="39">
        <f t="shared" si="0"/>
        <v>15554.49</v>
      </c>
      <c r="Z29" s="51">
        <f t="shared" si="0"/>
        <v>0</v>
      </c>
      <c r="AA29" s="51">
        <f t="shared" si="0"/>
        <v>0</v>
      </c>
      <c r="AB29" s="51">
        <f t="shared" si="0"/>
        <v>0</v>
      </c>
      <c r="AC29" s="51">
        <f t="shared" si="0"/>
        <v>0</v>
      </c>
      <c r="AD29" s="51">
        <f t="shared" si="0"/>
        <v>0</v>
      </c>
      <c r="AE29" s="39">
        <f t="shared" si="0"/>
        <v>0</v>
      </c>
      <c r="AF29" s="51">
        <f t="shared" si="0"/>
        <v>0</v>
      </c>
      <c r="AG29" s="39">
        <f t="shared" si="0"/>
        <v>-36984.4</v>
      </c>
      <c r="AH29" s="39">
        <f t="shared" si="0"/>
        <v>33523.34</v>
      </c>
      <c r="AI29" s="51">
        <f t="shared" si="0"/>
        <v>0</v>
      </c>
      <c r="AJ29" s="39">
        <f t="shared" si="0"/>
        <v>0</v>
      </c>
      <c r="AK29" s="39">
        <f t="shared" si="0"/>
        <v>6270.33</v>
      </c>
      <c r="AL29" s="39">
        <f t="shared" si="0"/>
        <v>11383.13</v>
      </c>
      <c r="AM29" s="39">
        <f t="shared" si="0"/>
        <v>0</v>
      </c>
      <c r="AN29" s="39">
        <f t="shared" si="0"/>
        <v>0</v>
      </c>
      <c r="AO29" s="39">
        <f t="shared" si="0"/>
        <v>0</v>
      </c>
      <c r="AP29" s="39">
        <f t="shared" si="0"/>
        <v>20000</v>
      </c>
      <c r="AQ29" s="39">
        <f t="shared" si="0"/>
        <v>0</v>
      </c>
      <c r="AR29" s="39">
        <f t="shared" si="0"/>
        <v>0</v>
      </c>
      <c r="AS29" s="39">
        <f t="shared" si="0"/>
        <v>0</v>
      </c>
      <c r="AT29" s="51">
        <f t="shared" si="0"/>
        <v>0</v>
      </c>
      <c r="AU29" s="39">
        <f t="shared" si="0"/>
        <v>0</v>
      </c>
      <c r="AV29" s="39">
        <f t="shared" si="0"/>
        <v>106656.96</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40.65</v>
      </c>
      <c r="BH29" s="39">
        <f t="shared" si="0"/>
        <v>0</v>
      </c>
      <c r="BI29" s="39">
        <f t="shared" si="0"/>
        <v>0</v>
      </c>
      <c r="BJ29" s="39">
        <f t="shared" si="0"/>
        <v>0</v>
      </c>
      <c r="BK29" s="39">
        <f t="shared" si="0"/>
        <v>0</v>
      </c>
      <c r="BL29" s="39">
        <f t="shared" si="0"/>
        <v>0</v>
      </c>
      <c r="BM29" s="39">
        <f t="shared" si="0"/>
        <v>0</v>
      </c>
      <c r="BN29" s="39">
        <f t="shared" si="0"/>
        <v>0</v>
      </c>
      <c r="BO29" s="39">
        <f t="shared" si="0"/>
        <v>0</v>
      </c>
      <c r="BP29" s="39">
        <f t="shared" ref="BP29:CC29" si="1">+SUM(BP11:BP28)</f>
        <v>0</v>
      </c>
      <c r="BQ29" s="54">
        <f t="shared" si="1"/>
        <v>0</v>
      </c>
      <c r="BR29" s="39">
        <f t="shared" si="1"/>
        <v>0</v>
      </c>
      <c r="BS29" s="54">
        <f t="shared" si="1"/>
        <v>0</v>
      </c>
      <c r="BT29" s="39">
        <f t="shared" si="1"/>
        <v>0</v>
      </c>
      <c r="BU29" s="39">
        <f t="shared" si="1"/>
        <v>0</v>
      </c>
      <c r="BV29" s="39">
        <f t="shared" si="1"/>
        <v>0</v>
      </c>
      <c r="BW29" s="39">
        <f t="shared" si="1"/>
        <v>0</v>
      </c>
      <c r="BX29" s="39">
        <f t="shared" si="1"/>
        <v>0</v>
      </c>
      <c r="BY29" s="39">
        <f t="shared" si="1"/>
        <v>0</v>
      </c>
      <c r="BZ29" s="54">
        <f t="shared" si="1"/>
        <v>0</v>
      </c>
      <c r="CA29" s="39">
        <f t="shared" si="1"/>
        <v>109000</v>
      </c>
      <c r="CB29" s="39">
        <f t="shared" si="1"/>
        <v>0</v>
      </c>
      <c r="CC29" s="39">
        <f t="shared" si="1"/>
        <v>0</v>
      </c>
      <c r="CD29" s="39">
        <f>SUM(D29:CC29)</f>
        <v>1548156.98</v>
      </c>
    </row>
    <row r="30" spans="20:78" s="39" customFormat="true" ht="12" customHeight="true">
      <c r="T30" s="51"/>
      <c r="Z30" s="51"/>
      <c r="AA30" s="51"/>
      <c r="AB30" s="51"/>
      <c r="AC30" s="51"/>
      <c r="AD30" s="51"/>
      <c r="AF30" s="51"/>
      <c r="AI30" s="51"/>
      <c r="AT30" s="51"/>
      <c r="BQ30" s="54"/>
      <c r="BS30" s="54"/>
      <c r="BZ30" s="54"/>
    </row>
    <row r="31" spans="2:78" s="39" customFormat="true" ht="12" customHeight="true">
      <c r="B31" s="39" t="s">
        <v>34190</v>
      </c>
      <c r="T31" s="51"/>
      <c r="Z31" s="51"/>
      <c r="AA31" s="51"/>
      <c r="AB31" s="51"/>
      <c r="AC31" s="51"/>
      <c r="AD31" s="51"/>
      <c r="AF31" s="51"/>
      <c r="AI31" s="51"/>
      <c r="AT31" s="51"/>
      <c r="BQ31" s="54"/>
      <c r="BS31" s="54"/>
      <c r="BZ31" s="54"/>
    </row>
    <row r="32" spans="4:81" s="39" customFormat="true" ht="12" customHeight="true">
      <c r="D32" s="46"/>
      <c r="E32" s="46">
        <v>35839.73</v>
      </c>
      <c r="F32" s="46">
        <v>65119.26</v>
      </c>
      <c r="G32" s="46"/>
      <c r="H32" s="46">
        <v>26155.68</v>
      </c>
      <c r="I32" s="46"/>
      <c r="J32" s="46"/>
      <c r="K32" s="46">
        <v>452822.89</v>
      </c>
      <c r="L32" s="46"/>
      <c r="M32" s="46"/>
      <c r="N32" s="46">
        <v>14590.23</v>
      </c>
      <c r="O32" s="46">
        <v>85365.62</v>
      </c>
      <c r="P32" s="46">
        <v>167737.22</v>
      </c>
      <c r="Q32" s="46">
        <v>4982.27542</v>
      </c>
      <c r="R32" s="46">
        <v>2948.6</v>
      </c>
      <c r="S32" s="46"/>
      <c r="T32" s="51"/>
      <c r="U32" s="46">
        <v>50799.48</v>
      </c>
      <c r="V32" s="46"/>
      <c r="W32" s="46">
        <v>44086.59</v>
      </c>
      <c r="X32" s="46"/>
      <c r="Y32" s="46"/>
      <c r="Z32" s="51"/>
      <c r="AA32" s="51"/>
      <c r="AB32" s="51"/>
      <c r="AC32" s="51"/>
      <c r="AD32" s="51"/>
      <c r="AE32" s="46">
        <v>3123.2</v>
      </c>
      <c r="AF32" s="51"/>
      <c r="AG32" s="46">
        <v>294549.82</v>
      </c>
      <c r="AH32" s="46">
        <v>17667.99</v>
      </c>
      <c r="AI32" s="51"/>
      <c r="AJ32" s="46">
        <v>175069.6</v>
      </c>
      <c r="AK32" s="46">
        <v>29016.12</v>
      </c>
      <c r="AL32" s="46">
        <v>13195.75</v>
      </c>
      <c r="AM32" s="46"/>
      <c r="AN32" s="46"/>
      <c r="AO32" s="46">
        <v>1385</v>
      </c>
      <c r="AP32" s="46">
        <v>14745</v>
      </c>
      <c r="AQ32" s="46">
        <v>85155</v>
      </c>
      <c r="AR32" s="46">
        <v>2770</v>
      </c>
      <c r="AS32" s="46">
        <v>2770</v>
      </c>
      <c r="AT32" s="51"/>
      <c r="AU32" s="46">
        <v>7929</v>
      </c>
      <c r="AV32" s="46">
        <v>107862.73</v>
      </c>
      <c r="AW32" s="46">
        <v>20150</v>
      </c>
      <c r="AX32" s="46">
        <v>6347.97</v>
      </c>
      <c r="AY32" s="46">
        <v>35295.72</v>
      </c>
      <c r="AZ32" s="46"/>
      <c r="BA32" s="46">
        <v>61852.89</v>
      </c>
      <c r="BB32" s="46"/>
      <c r="BC32" s="46">
        <v>182</v>
      </c>
      <c r="BD32" s="46">
        <v>7939.13</v>
      </c>
      <c r="BE32" s="46"/>
      <c r="BF32" s="46">
        <v>24059.87</v>
      </c>
      <c r="BG32" s="46">
        <v>31139.53</v>
      </c>
      <c r="BH32" s="46">
        <v>6381.74</v>
      </c>
      <c r="BI32" s="46">
        <v>1493.96</v>
      </c>
      <c r="BJ32" s="46">
        <v>11840.08</v>
      </c>
      <c r="BK32" s="46">
        <v>8401.72</v>
      </c>
      <c r="BL32" s="46">
        <v>7024.29</v>
      </c>
      <c r="BM32" s="46">
        <v>14089.11</v>
      </c>
      <c r="BN32" s="46">
        <v>18593.12</v>
      </c>
      <c r="BO32" s="46">
        <v>4528.14</v>
      </c>
      <c r="BP32" s="46">
        <v>21702.49</v>
      </c>
      <c r="BQ32" s="54"/>
      <c r="BR32" s="46">
        <v>1685.29</v>
      </c>
      <c r="BS32" s="54"/>
      <c r="BT32" s="46">
        <v>104124.58</v>
      </c>
      <c r="BU32" s="46">
        <v>1454.96</v>
      </c>
      <c r="BV32" s="46">
        <f>221469-1200</f>
        <v>220269</v>
      </c>
      <c r="BW32" s="46">
        <v>2779.77</v>
      </c>
      <c r="BX32" s="46">
        <v>2500</v>
      </c>
      <c r="BY32" s="46">
        <v>227.64</v>
      </c>
      <c r="BZ32" s="54"/>
      <c r="CA32" s="46"/>
      <c r="CB32" s="46"/>
      <c r="CC32" s="46">
        <v>17144.22</v>
      </c>
    </row>
    <row r="33" spans="4:81" s="39" customFormat="true" ht="12" customHeight="true">
      <c r="D33" s="46"/>
      <c r="E33" s="46"/>
      <c r="F33" s="46"/>
      <c r="G33" s="46"/>
      <c r="H33" s="46"/>
      <c r="I33" s="46"/>
      <c r="J33" s="46"/>
      <c r="K33" s="46"/>
      <c r="L33" s="46"/>
      <c r="M33" s="46"/>
      <c r="N33" s="46"/>
      <c r="O33" s="46"/>
      <c r="P33" s="46">
        <v>-1511.94</v>
      </c>
      <c r="Q33" s="46"/>
      <c r="R33" s="46"/>
      <c r="S33" s="46"/>
      <c r="T33" s="51"/>
      <c r="U33" s="46"/>
      <c r="V33" s="46"/>
      <c r="W33" s="46"/>
      <c r="X33" s="46"/>
      <c r="Y33" s="46"/>
      <c r="Z33" s="51"/>
      <c r="AA33" s="51"/>
      <c r="AB33" s="51"/>
      <c r="AC33" s="51"/>
      <c r="AD33" s="51"/>
      <c r="AE33" s="46"/>
      <c r="AF33" s="51"/>
      <c r="AG33" s="46"/>
      <c r="AH33" s="46"/>
      <c r="AI33" s="51"/>
      <c r="AJ33" s="46"/>
      <c r="AK33" s="46"/>
      <c r="AL33" s="46"/>
      <c r="AM33" s="46"/>
      <c r="AN33" s="46"/>
      <c r="AO33" s="46"/>
      <c r="AP33" s="46"/>
      <c r="AQ33" s="46"/>
      <c r="AR33" s="46"/>
      <c r="AS33" s="46"/>
      <c r="AT33" s="51"/>
      <c r="AU33" s="46"/>
      <c r="AV33" s="46"/>
      <c r="AW33" s="46"/>
      <c r="AX33" s="46"/>
      <c r="AY33" s="46"/>
      <c r="AZ33" s="46"/>
      <c r="BA33" s="46"/>
      <c r="BB33" s="46"/>
      <c r="BC33" s="46"/>
      <c r="BD33" s="46"/>
      <c r="BE33" s="46"/>
      <c r="BF33" s="46"/>
      <c r="BG33" s="46"/>
      <c r="BH33" s="46"/>
      <c r="BI33" s="46"/>
      <c r="BJ33" s="46"/>
      <c r="BK33" s="46"/>
      <c r="BL33" s="46"/>
      <c r="BM33" s="46"/>
      <c r="BN33" s="46"/>
      <c r="BO33" s="46"/>
      <c r="BP33" s="46"/>
      <c r="BQ33" s="54"/>
      <c r="BR33" s="46"/>
      <c r="BS33" s="54"/>
      <c r="BT33" s="46"/>
      <c r="BU33" s="46"/>
      <c r="BV33" s="46"/>
      <c r="BW33" s="46"/>
      <c r="BX33" s="46"/>
      <c r="BY33" s="46"/>
      <c r="BZ33" s="54"/>
      <c r="CA33" s="46"/>
      <c r="CB33" s="46"/>
      <c r="CC33" s="46"/>
    </row>
    <row r="34" spans="4:81" s="39" customFormat="true" ht="12" customHeight="true">
      <c r="D34" s="46"/>
      <c r="E34" s="46"/>
      <c r="F34" s="46"/>
      <c r="G34" s="46"/>
      <c r="H34" s="46"/>
      <c r="I34" s="46"/>
      <c r="J34" s="46"/>
      <c r="K34" s="46"/>
      <c r="L34" s="46"/>
      <c r="M34" s="46"/>
      <c r="N34" s="46"/>
      <c r="O34" s="46"/>
      <c r="P34" s="46">
        <v>-1259.9</v>
      </c>
      <c r="Q34" s="46"/>
      <c r="R34" s="46"/>
      <c r="S34" s="46"/>
      <c r="T34" s="51"/>
      <c r="U34" s="46"/>
      <c r="V34" s="46"/>
      <c r="W34" s="46"/>
      <c r="X34" s="46"/>
      <c r="Y34" s="46"/>
      <c r="Z34" s="51"/>
      <c r="AA34" s="51"/>
      <c r="AB34" s="51"/>
      <c r="AC34" s="51"/>
      <c r="AD34" s="51"/>
      <c r="AE34" s="46"/>
      <c r="AF34" s="51"/>
      <c r="AG34" s="46"/>
      <c r="AH34" s="46"/>
      <c r="AI34" s="51"/>
      <c r="AJ34" s="46"/>
      <c r="AK34" s="46"/>
      <c r="AL34" s="46"/>
      <c r="AM34" s="46"/>
      <c r="AN34" s="46"/>
      <c r="AO34" s="46"/>
      <c r="AP34" s="46"/>
      <c r="AQ34" s="46"/>
      <c r="AR34" s="46"/>
      <c r="AS34" s="46"/>
      <c r="AT34" s="51"/>
      <c r="AU34" s="46"/>
      <c r="AV34" s="46"/>
      <c r="AW34" s="46"/>
      <c r="AX34" s="46"/>
      <c r="AY34" s="46"/>
      <c r="AZ34" s="46"/>
      <c r="BA34" s="46"/>
      <c r="BB34" s="46"/>
      <c r="BC34" s="46"/>
      <c r="BD34" s="46"/>
      <c r="BE34" s="46"/>
      <c r="BF34" s="46"/>
      <c r="BG34" s="46"/>
      <c r="BH34" s="46"/>
      <c r="BI34" s="46"/>
      <c r="BJ34" s="46"/>
      <c r="BK34" s="46"/>
      <c r="BL34" s="46"/>
      <c r="BM34" s="46"/>
      <c r="BN34" s="46"/>
      <c r="BO34" s="46"/>
      <c r="BP34" s="46"/>
      <c r="BQ34" s="54"/>
      <c r="BR34" s="46"/>
      <c r="BS34" s="54"/>
      <c r="BT34" s="46"/>
      <c r="BU34" s="46"/>
      <c r="BV34" s="46"/>
      <c r="BW34" s="46"/>
      <c r="BX34" s="46"/>
      <c r="BY34" s="46"/>
      <c r="BZ34" s="54"/>
      <c r="CA34" s="46"/>
      <c r="CB34" s="46"/>
      <c r="CC34" s="46"/>
    </row>
    <row r="35" spans="4:81" s="39" customFormat="true" ht="12" customHeight="true">
      <c r="D35" s="46"/>
      <c r="E35" s="46"/>
      <c r="F35" s="46"/>
      <c r="G35" s="46"/>
      <c r="H35" s="46"/>
      <c r="I35" s="46"/>
      <c r="J35" s="46"/>
      <c r="K35" s="46"/>
      <c r="L35" s="46"/>
      <c r="M35" s="46"/>
      <c r="N35" s="46"/>
      <c r="O35" s="46"/>
      <c r="P35" s="46"/>
      <c r="Q35" s="46"/>
      <c r="R35" s="46"/>
      <c r="S35" s="46"/>
      <c r="T35" s="51"/>
      <c r="U35" s="46"/>
      <c r="V35" s="46"/>
      <c r="W35" s="46"/>
      <c r="X35" s="46"/>
      <c r="Y35" s="46"/>
      <c r="Z35" s="51"/>
      <c r="AA35" s="51"/>
      <c r="AB35" s="51"/>
      <c r="AC35" s="51"/>
      <c r="AD35" s="51"/>
      <c r="AE35" s="46"/>
      <c r="AF35" s="51"/>
      <c r="AG35" s="46"/>
      <c r="AH35" s="46"/>
      <c r="AI35" s="51"/>
      <c r="AJ35" s="46"/>
      <c r="AK35" s="46"/>
      <c r="AL35" s="46"/>
      <c r="AM35" s="46"/>
      <c r="AN35" s="46"/>
      <c r="AO35" s="46"/>
      <c r="AP35" s="46"/>
      <c r="AQ35" s="46"/>
      <c r="AR35" s="46"/>
      <c r="AS35" s="46"/>
      <c r="AT35" s="51"/>
      <c r="AU35" s="46"/>
      <c r="AV35" s="46"/>
      <c r="AW35" s="46"/>
      <c r="AX35" s="46"/>
      <c r="AY35" s="46"/>
      <c r="AZ35" s="46"/>
      <c r="BA35" s="46"/>
      <c r="BB35" s="46"/>
      <c r="BC35" s="46"/>
      <c r="BD35" s="46"/>
      <c r="BE35" s="46"/>
      <c r="BF35" s="46"/>
      <c r="BG35" s="46"/>
      <c r="BH35" s="46"/>
      <c r="BI35" s="46"/>
      <c r="BJ35" s="46"/>
      <c r="BK35" s="46"/>
      <c r="BL35" s="46"/>
      <c r="BM35" s="46"/>
      <c r="BN35" s="46"/>
      <c r="BO35" s="46"/>
      <c r="BP35" s="46"/>
      <c r="BQ35" s="54"/>
      <c r="BR35" s="46"/>
      <c r="BS35" s="54"/>
      <c r="BT35" s="46"/>
      <c r="BU35" s="46"/>
      <c r="BV35" s="46"/>
      <c r="BW35" s="46"/>
      <c r="BX35" s="46"/>
      <c r="BY35" s="46"/>
      <c r="BZ35" s="54"/>
      <c r="CA35" s="46"/>
      <c r="CB35" s="46"/>
      <c r="CC35" s="46"/>
    </row>
    <row r="36" spans="4:81" s="39" customFormat="true" ht="12" customHeight="true">
      <c r="D36" s="46"/>
      <c r="E36" s="46"/>
      <c r="F36" s="46"/>
      <c r="G36" s="46"/>
      <c r="H36" s="46"/>
      <c r="I36" s="46"/>
      <c r="J36" s="46"/>
      <c r="K36" s="46"/>
      <c r="L36" s="46"/>
      <c r="M36" s="46"/>
      <c r="N36" s="46"/>
      <c r="O36" s="46"/>
      <c r="P36" s="46"/>
      <c r="Q36" s="46"/>
      <c r="R36" s="46"/>
      <c r="S36" s="46"/>
      <c r="T36" s="51"/>
      <c r="U36" s="46"/>
      <c r="V36" s="46"/>
      <c r="W36" s="46"/>
      <c r="X36" s="46"/>
      <c r="Y36" s="46"/>
      <c r="Z36" s="51"/>
      <c r="AA36" s="51"/>
      <c r="AB36" s="51"/>
      <c r="AC36" s="51"/>
      <c r="AD36" s="51"/>
      <c r="AE36" s="46"/>
      <c r="AF36" s="51"/>
      <c r="AG36" s="46"/>
      <c r="AH36" s="46"/>
      <c r="AI36" s="51"/>
      <c r="AJ36" s="46"/>
      <c r="AK36" s="46"/>
      <c r="AL36" s="46"/>
      <c r="AM36" s="46"/>
      <c r="AN36" s="46"/>
      <c r="AO36" s="46"/>
      <c r="AP36" s="46"/>
      <c r="AQ36" s="46"/>
      <c r="AR36" s="46"/>
      <c r="AS36" s="46"/>
      <c r="AT36" s="51"/>
      <c r="AU36" s="46"/>
      <c r="AV36" s="46"/>
      <c r="AW36" s="46"/>
      <c r="AX36" s="46"/>
      <c r="AY36" s="46"/>
      <c r="AZ36" s="46"/>
      <c r="BA36" s="46"/>
      <c r="BB36" s="46"/>
      <c r="BC36" s="46"/>
      <c r="BD36" s="46"/>
      <c r="BE36" s="46"/>
      <c r="BF36" s="46"/>
      <c r="BG36" s="46"/>
      <c r="BH36" s="46"/>
      <c r="BI36" s="46"/>
      <c r="BJ36" s="46"/>
      <c r="BK36" s="46"/>
      <c r="BL36" s="46"/>
      <c r="BM36" s="46"/>
      <c r="BN36" s="46"/>
      <c r="BO36" s="46"/>
      <c r="BP36" s="46"/>
      <c r="BQ36" s="54"/>
      <c r="BR36" s="46"/>
      <c r="BS36" s="54"/>
      <c r="BT36" s="46"/>
      <c r="BU36" s="46"/>
      <c r="BV36" s="46"/>
      <c r="BW36" s="46"/>
      <c r="BX36" s="46"/>
      <c r="BY36" s="46"/>
      <c r="BZ36" s="54"/>
      <c r="CA36" s="46"/>
      <c r="CB36" s="46"/>
      <c r="CC36" s="46"/>
    </row>
    <row r="37" spans="4:81" s="39" customFormat="true" ht="12" customHeight="true">
      <c r="D37" s="46"/>
      <c r="E37" s="46"/>
      <c r="F37" s="46"/>
      <c r="G37" s="46"/>
      <c r="H37" s="46"/>
      <c r="I37" s="46"/>
      <c r="J37" s="46"/>
      <c r="K37" s="46"/>
      <c r="L37" s="46"/>
      <c r="M37" s="46"/>
      <c r="N37" s="46"/>
      <c r="O37" s="46"/>
      <c r="P37" s="46"/>
      <c r="Q37" s="46"/>
      <c r="R37" s="46"/>
      <c r="S37" s="46"/>
      <c r="T37" s="51"/>
      <c r="U37" s="46"/>
      <c r="V37" s="46"/>
      <c r="W37" s="46"/>
      <c r="X37" s="46"/>
      <c r="Y37" s="46"/>
      <c r="Z37" s="51"/>
      <c r="AA37" s="51"/>
      <c r="AB37" s="51"/>
      <c r="AC37" s="51"/>
      <c r="AD37" s="51"/>
      <c r="AE37" s="46"/>
      <c r="AF37" s="51"/>
      <c r="AG37" s="46"/>
      <c r="AH37" s="46"/>
      <c r="AI37" s="51"/>
      <c r="AJ37" s="46"/>
      <c r="AK37" s="46"/>
      <c r="AL37" s="46"/>
      <c r="AM37" s="46"/>
      <c r="AN37" s="46"/>
      <c r="AO37" s="46"/>
      <c r="AP37" s="46"/>
      <c r="AQ37" s="46"/>
      <c r="AR37" s="46"/>
      <c r="AS37" s="46"/>
      <c r="AT37" s="51"/>
      <c r="AU37" s="46"/>
      <c r="AV37" s="46"/>
      <c r="AW37" s="46"/>
      <c r="AX37" s="46"/>
      <c r="AY37" s="46"/>
      <c r="AZ37" s="46"/>
      <c r="BA37" s="46"/>
      <c r="BB37" s="46"/>
      <c r="BC37" s="46"/>
      <c r="BD37" s="46"/>
      <c r="BE37" s="46"/>
      <c r="BF37" s="46"/>
      <c r="BG37" s="46"/>
      <c r="BH37" s="46"/>
      <c r="BI37" s="46"/>
      <c r="BJ37" s="46"/>
      <c r="BK37" s="46"/>
      <c r="BL37" s="46"/>
      <c r="BM37" s="46"/>
      <c r="BN37" s="46"/>
      <c r="BO37" s="46"/>
      <c r="BP37" s="46"/>
      <c r="BQ37" s="54"/>
      <c r="BR37" s="46"/>
      <c r="BS37" s="54"/>
      <c r="BT37" s="46"/>
      <c r="BU37" s="46"/>
      <c r="BV37" s="46"/>
      <c r="BW37" s="46"/>
      <c r="BX37" s="46"/>
      <c r="BY37" s="46"/>
      <c r="BZ37" s="54"/>
      <c r="CA37" s="46"/>
      <c r="CB37" s="46"/>
      <c r="CC37" s="46"/>
    </row>
    <row r="38" spans="4:81" s="39" customFormat="true" ht="12" customHeight="true">
      <c r="D38" s="46"/>
      <c r="E38" s="46"/>
      <c r="F38" s="46"/>
      <c r="G38" s="46"/>
      <c r="H38" s="46"/>
      <c r="I38" s="46"/>
      <c r="J38" s="46"/>
      <c r="K38" s="46"/>
      <c r="L38" s="46"/>
      <c r="M38" s="46"/>
      <c r="N38" s="46"/>
      <c r="O38" s="46"/>
      <c r="P38" s="46"/>
      <c r="Q38" s="46"/>
      <c r="R38" s="46"/>
      <c r="S38" s="46"/>
      <c r="T38" s="51"/>
      <c r="U38" s="46"/>
      <c r="V38" s="46"/>
      <c r="W38" s="46"/>
      <c r="X38" s="46"/>
      <c r="Y38" s="46"/>
      <c r="Z38" s="51"/>
      <c r="AA38" s="51"/>
      <c r="AB38" s="51"/>
      <c r="AC38" s="51"/>
      <c r="AD38" s="51"/>
      <c r="AE38" s="46"/>
      <c r="AF38" s="51"/>
      <c r="AG38" s="46"/>
      <c r="AH38" s="46"/>
      <c r="AI38" s="51"/>
      <c r="AJ38" s="46"/>
      <c r="AK38" s="46"/>
      <c r="AL38" s="46"/>
      <c r="AM38" s="46"/>
      <c r="AN38" s="46"/>
      <c r="AO38" s="46"/>
      <c r="AP38" s="46"/>
      <c r="AQ38" s="46"/>
      <c r="AR38" s="46"/>
      <c r="AS38" s="46"/>
      <c r="AT38" s="51"/>
      <c r="AU38" s="46"/>
      <c r="AV38" s="46"/>
      <c r="AW38" s="46"/>
      <c r="AX38" s="46"/>
      <c r="AY38" s="46"/>
      <c r="AZ38" s="46"/>
      <c r="BA38" s="46"/>
      <c r="BB38" s="46"/>
      <c r="BC38" s="46"/>
      <c r="BD38" s="46"/>
      <c r="BE38" s="46"/>
      <c r="BF38" s="46"/>
      <c r="BG38" s="46"/>
      <c r="BH38" s="46"/>
      <c r="BI38" s="46"/>
      <c r="BJ38" s="46"/>
      <c r="BK38" s="46"/>
      <c r="BL38" s="46"/>
      <c r="BM38" s="46"/>
      <c r="BN38" s="46"/>
      <c r="BO38" s="46"/>
      <c r="BP38" s="46"/>
      <c r="BQ38" s="54"/>
      <c r="BR38" s="46"/>
      <c r="BS38" s="54"/>
      <c r="BT38" s="46"/>
      <c r="BU38" s="46"/>
      <c r="BV38" s="46"/>
      <c r="BW38" s="46"/>
      <c r="BX38" s="46"/>
      <c r="BY38" s="46"/>
      <c r="BZ38" s="54"/>
      <c r="CA38" s="46"/>
      <c r="CB38" s="46"/>
      <c r="CC38" s="46"/>
    </row>
    <row r="39" spans="4:81" s="39" customFormat="true" ht="12" customHeight="true">
      <c r="D39" s="46"/>
      <c r="E39" s="46"/>
      <c r="F39" s="46"/>
      <c r="G39" s="46"/>
      <c r="H39" s="46"/>
      <c r="I39" s="46"/>
      <c r="J39" s="46"/>
      <c r="K39" s="46"/>
      <c r="L39" s="46"/>
      <c r="M39" s="46"/>
      <c r="N39" s="46"/>
      <c r="O39" s="46"/>
      <c r="P39" s="46"/>
      <c r="Q39" s="46"/>
      <c r="R39" s="46"/>
      <c r="S39" s="46"/>
      <c r="T39" s="51"/>
      <c r="U39" s="46"/>
      <c r="V39" s="46"/>
      <c r="W39" s="46"/>
      <c r="X39" s="46"/>
      <c r="Y39" s="46"/>
      <c r="Z39" s="51"/>
      <c r="AA39" s="51"/>
      <c r="AB39" s="51"/>
      <c r="AC39" s="51"/>
      <c r="AD39" s="51"/>
      <c r="AE39" s="46"/>
      <c r="AF39" s="51"/>
      <c r="AG39" s="46"/>
      <c r="AH39" s="46"/>
      <c r="AI39" s="51"/>
      <c r="AJ39" s="46"/>
      <c r="AK39" s="46"/>
      <c r="AL39" s="46"/>
      <c r="AM39" s="46"/>
      <c r="AN39" s="46"/>
      <c r="AO39" s="46"/>
      <c r="AP39" s="46"/>
      <c r="AQ39" s="46"/>
      <c r="AR39" s="46"/>
      <c r="AS39" s="46"/>
      <c r="AT39" s="51"/>
      <c r="AU39" s="46"/>
      <c r="AV39" s="46"/>
      <c r="AW39" s="46"/>
      <c r="AX39" s="46"/>
      <c r="AY39" s="46"/>
      <c r="AZ39" s="46"/>
      <c r="BA39" s="46"/>
      <c r="BB39" s="46"/>
      <c r="BC39" s="46"/>
      <c r="BD39" s="46"/>
      <c r="BE39" s="46"/>
      <c r="BF39" s="46"/>
      <c r="BG39" s="46"/>
      <c r="BH39" s="46"/>
      <c r="BI39" s="46"/>
      <c r="BJ39" s="46"/>
      <c r="BK39" s="46"/>
      <c r="BL39" s="46"/>
      <c r="BM39" s="46"/>
      <c r="BN39" s="46"/>
      <c r="BO39" s="46"/>
      <c r="BP39" s="46"/>
      <c r="BQ39" s="54"/>
      <c r="BR39" s="46"/>
      <c r="BS39" s="54"/>
      <c r="BT39" s="46"/>
      <c r="BU39" s="46"/>
      <c r="BV39" s="46"/>
      <c r="BW39" s="46"/>
      <c r="BX39" s="46"/>
      <c r="BY39" s="46"/>
      <c r="BZ39" s="54"/>
      <c r="CA39" s="46"/>
      <c r="CB39" s="46"/>
      <c r="CC39" s="46"/>
    </row>
    <row r="40" spans="4:81" s="39" customFormat="true" ht="12" customHeight="true">
      <c r="D40" s="46"/>
      <c r="E40" s="46"/>
      <c r="F40" s="46"/>
      <c r="G40" s="46"/>
      <c r="H40" s="46"/>
      <c r="I40" s="46"/>
      <c r="J40" s="46"/>
      <c r="K40" s="46"/>
      <c r="L40" s="46"/>
      <c r="M40" s="46"/>
      <c r="N40" s="46"/>
      <c r="O40" s="46"/>
      <c r="P40" s="46"/>
      <c r="Q40" s="46"/>
      <c r="R40" s="46"/>
      <c r="S40" s="46"/>
      <c r="T40" s="51"/>
      <c r="U40" s="46"/>
      <c r="V40" s="46"/>
      <c r="W40" s="46"/>
      <c r="X40" s="46"/>
      <c r="Y40" s="46"/>
      <c r="Z40" s="51"/>
      <c r="AA40" s="51"/>
      <c r="AB40" s="51"/>
      <c r="AC40" s="51"/>
      <c r="AD40" s="51"/>
      <c r="AE40" s="46"/>
      <c r="AF40" s="51"/>
      <c r="AG40" s="46"/>
      <c r="AH40" s="46"/>
      <c r="AI40" s="51"/>
      <c r="AJ40" s="46"/>
      <c r="AK40" s="46"/>
      <c r="AL40" s="46"/>
      <c r="AM40" s="46"/>
      <c r="AN40" s="46"/>
      <c r="AO40" s="46"/>
      <c r="AP40" s="46"/>
      <c r="AQ40" s="46"/>
      <c r="AR40" s="46"/>
      <c r="AS40" s="46"/>
      <c r="AT40" s="51"/>
      <c r="AU40" s="46"/>
      <c r="AV40" s="46"/>
      <c r="AW40" s="46"/>
      <c r="AX40" s="46"/>
      <c r="AY40" s="46"/>
      <c r="AZ40" s="46"/>
      <c r="BA40" s="46"/>
      <c r="BB40" s="46"/>
      <c r="BC40" s="46"/>
      <c r="BD40" s="46"/>
      <c r="BE40" s="46"/>
      <c r="BF40" s="46"/>
      <c r="BG40" s="46"/>
      <c r="BH40" s="46"/>
      <c r="BI40" s="46"/>
      <c r="BJ40" s="46"/>
      <c r="BK40" s="46"/>
      <c r="BL40" s="46"/>
      <c r="BM40" s="46"/>
      <c r="BN40" s="46"/>
      <c r="BO40" s="46"/>
      <c r="BP40" s="46"/>
      <c r="BQ40" s="54"/>
      <c r="BR40" s="46"/>
      <c r="BS40" s="54"/>
      <c r="BT40" s="46"/>
      <c r="BU40" s="46"/>
      <c r="BV40" s="46"/>
      <c r="BW40" s="46"/>
      <c r="BX40" s="46"/>
      <c r="BY40" s="46"/>
      <c r="BZ40" s="54"/>
      <c r="CA40" s="46"/>
      <c r="CB40" s="46"/>
      <c r="CC40" s="46"/>
    </row>
    <row r="41" spans="4:81" s="39" customFormat="true" ht="12" customHeight="true">
      <c r="D41" s="46"/>
      <c r="E41" s="46"/>
      <c r="F41" s="46"/>
      <c r="G41" s="46"/>
      <c r="H41" s="46"/>
      <c r="I41" s="46"/>
      <c r="J41" s="46"/>
      <c r="K41" s="46"/>
      <c r="L41" s="46"/>
      <c r="M41" s="46"/>
      <c r="N41" s="46"/>
      <c r="O41" s="46"/>
      <c r="P41" s="46"/>
      <c r="Q41" s="46"/>
      <c r="R41" s="46"/>
      <c r="S41" s="46"/>
      <c r="T41" s="51"/>
      <c r="U41" s="46"/>
      <c r="V41" s="46"/>
      <c r="W41" s="46"/>
      <c r="X41" s="46"/>
      <c r="Y41" s="46"/>
      <c r="Z41" s="51"/>
      <c r="AA41" s="51"/>
      <c r="AB41" s="51"/>
      <c r="AC41" s="51"/>
      <c r="AD41" s="51"/>
      <c r="AE41" s="46"/>
      <c r="AF41" s="51"/>
      <c r="AG41" s="46"/>
      <c r="AH41" s="46"/>
      <c r="AI41" s="51"/>
      <c r="AJ41" s="46"/>
      <c r="AK41" s="46"/>
      <c r="AL41" s="46"/>
      <c r="AM41" s="46"/>
      <c r="AN41" s="46"/>
      <c r="AO41" s="46"/>
      <c r="AP41" s="46"/>
      <c r="AQ41" s="46"/>
      <c r="AR41" s="46"/>
      <c r="AS41" s="46"/>
      <c r="AT41" s="51"/>
      <c r="AU41" s="46"/>
      <c r="AV41" s="46"/>
      <c r="AW41" s="46"/>
      <c r="AX41" s="46"/>
      <c r="AY41" s="46"/>
      <c r="AZ41" s="46"/>
      <c r="BA41" s="46"/>
      <c r="BB41" s="46"/>
      <c r="BC41" s="46"/>
      <c r="BD41" s="46"/>
      <c r="BE41" s="46"/>
      <c r="BF41" s="46"/>
      <c r="BG41" s="46"/>
      <c r="BH41" s="46"/>
      <c r="BI41" s="46"/>
      <c r="BJ41" s="46"/>
      <c r="BK41" s="46"/>
      <c r="BL41" s="46"/>
      <c r="BM41" s="46"/>
      <c r="BN41" s="46"/>
      <c r="BO41" s="46"/>
      <c r="BP41" s="46"/>
      <c r="BQ41" s="54"/>
      <c r="BR41" s="46"/>
      <c r="BS41" s="54"/>
      <c r="BT41" s="46"/>
      <c r="BU41" s="46"/>
      <c r="BV41" s="46"/>
      <c r="BW41" s="46"/>
      <c r="BX41" s="46"/>
      <c r="BY41" s="46"/>
      <c r="BZ41" s="54"/>
      <c r="CA41" s="46"/>
      <c r="CB41" s="46"/>
      <c r="CC41" s="46"/>
    </row>
    <row r="42" spans="4:81" s="39" customFormat="true" ht="12" customHeight="true">
      <c r="D42" s="46"/>
      <c r="E42" s="46"/>
      <c r="F42" s="46"/>
      <c r="G42" s="46"/>
      <c r="H42" s="46"/>
      <c r="I42" s="46"/>
      <c r="J42" s="46"/>
      <c r="K42" s="46"/>
      <c r="L42" s="46"/>
      <c r="M42" s="46"/>
      <c r="N42" s="46"/>
      <c r="O42" s="46"/>
      <c r="P42" s="46"/>
      <c r="Q42" s="46"/>
      <c r="R42" s="46"/>
      <c r="S42" s="46"/>
      <c r="T42" s="51"/>
      <c r="U42" s="46"/>
      <c r="V42" s="46"/>
      <c r="W42" s="46"/>
      <c r="X42" s="46"/>
      <c r="Y42" s="46"/>
      <c r="Z42" s="51"/>
      <c r="AA42" s="51"/>
      <c r="AB42" s="51"/>
      <c r="AC42" s="51"/>
      <c r="AD42" s="51"/>
      <c r="AE42" s="46"/>
      <c r="AF42" s="51"/>
      <c r="AG42" s="46"/>
      <c r="AH42" s="46"/>
      <c r="AI42" s="51"/>
      <c r="AJ42" s="46"/>
      <c r="AK42" s="46"/>
      <c r="AL42" s="46"/>
      <c r="AM42" s="46"/>
      <c r="AN42" s="46"/>
      <c r="AO42" s="46"/>
      <c r="AP42" s="46"/>
      <c r="AQ42" s="46"/>
      <c r="AR42" s="46"/>
      <c r="AS42" s="46"/>
      <c r="AT42" s="51"/>
      <c r="AU42" s="46"/>
      <c r="AV42" s="46"/>
      <c r="AW42" s="46"/>
      <c r="AX42" s="46"/>
      <c r="AY42" s="46"/>
      <c r="AZ42" s="46"/>
      <c r="BA42" s="46"/>
      <c r="BB42" s="46"/>
      <c r="BC42" s="46"/>
      <c r="BD42" s="46"/>
      <c r="BE42" s="46"/>
      <c r="BF42" s="46"/>
      <c r="BG42" s="46"/>
      <c r="BH42" s="46"/>
      <c r="BI42" s="46"/>
      <c r="BJ42" s="46"/>
      <c r="BK42" s="46"/>
      <c r="BL42" s="46"/>
      <c r="BM42" s="46"/>
      <c r="BN42" s="46"/>
      <c r="BO42" s="46"/>
      <c r="BP42" s="46"/>
      <c r="BQ42" s="54"/>
      <c r="BR42" s="46"/>
      <c r="BS42" s="54"/>
      <c r="BT42" s="46"/>
      <c r="BU42" s="46"/>
      <c r="BV42" s="46"/>
      <c r="BW42" s="46"/>
      <c r="BX42" s="46"/>
      <c r="BY42" s="46"/>
      <c r="BZ42" s="54"/>
      <c r="CA42" s="46"/>
      <c r="CB42" s="46"/>
      <c r="CC42" s="46"/>
    </row>
    <row r="43" spans="4:81" s="39" customFormat="true" ht="12" customHeight="true">
      <c r="D43" s="46"/>
      <c r="E43" s="46"/>
      <c r="F43" s="46"/>
      <c r="G43" s="46"/>
      <c r="H43" s="46"/>
      <c r="I43" s="46"/>
      <c r="J43" s="46"/>
      <c r="K43" s="46"/>
      <c r="L43" s="46"/>
      <c r="M43" s="46"/>
      <c r="N43" s="46"/>
      <c r="O43" s="46"/>
      <c r="P43" s="46"/>
      <c r="Q43" s="46"/>
      <c r="R43" s="46"/>
      <c r="S43" s="46"/>
      <c r="T43" s="51"/>
      <c r="U43" s="46"/>
      <c r="V43" s="46"/>
      <c r="W43" s="46"/>
      <c r="X43" s="46"/>
      <c r="Y43" s="46"/>
      <c r="Z43" s="51"/>
      <c r="AA43" s="51"/>
      <c r="AB43" s="51"/>
      <c r="AC43" s="51"/>
      <c r="AD43" s="51"/>
      <c r="AE43" s="46"/>
      <c r="AF43" s="51"/>
      <c r="AG43" s="46"/>
      <c r="AH43" s="46"/>
      <c r="AI43" s="51"/>
      <c r="AJ43" s="46"/>
      <c r="AK43" s="46"/>
      <c r="AL43" s="46"/>
      <c r="AM43" s="46"/>
      <c r="AN43" s="46"/>
      <c r="AO43" s="46"/>
      <c r="AP43" s="46"/>
      <c r="AQ43" s="46"/>
      <c r="AR43" s="46"/>
      <c r="AS43" s="46"/>
      <c r="AT43" s="51"/>
      <c r="AU43" s="46"/>
      <c r="AV43" s="46"/>
      <c r="AW43" s="46"/>
      <c r="AX43" s="46"/>
      <c r="AY43" s="46"/>
      <c r="AZ43" s="46"/>
      <c r="BA43" s="46"/>
      <c r="BB43" s="46"/>
      <c r="BC43" s="46"/>
      <c r="BD43" s="46"/>
      <c r="BE43" s="46"/>
      <c r="BF43" s="46"/>
      <c r="BG43" s="46"/>
      <c r="BH43" s="46"/>
      <c r="BI43" s="46"/>
      <c r="BJ43" s="46"/>
      <c r="BK43" s="46"/>
      <c r="BL43" s="46"/>
      <c r="BM43" s="46"/>
      <c r="BN43" s="46"/>
      <c r="BO43" s="46"/>
      <c r="BP43" s="46"/>
      <c r="BQ43" s="54"/>
      <c r="BR43" s="46"/>
      <c r="BS43" s="54"/>
      <c r="BT43" s="46"/>
      <c r="BU43" s="46"/>
      <c r="BV43" s="46"/>
      <c r="BW43" s="46"/>
      <c r="BX43" s="46"/>
      <c r="BY43" s="46"/>
      <c r="BZ43" s="54"/>
      <c r="CA43" s="46"/>
      <c r="CB43" s="46"/>
      <c r="CC43" s="46"/>
    </row>
    <row r="44" spans="4:81" s="39" customFormat="true" ht="12" customHeight="true">
      <c r="D44" s="46"/>
      <c r="E44" s="46"/>
      <c r="F44" s="46"/>
      <c r="G44" s="46"/>
      <c r="H44" s="46"/>
      <c r="I44" s="46"/>
      <c r="J44" s="46"/>
      <c r="K44" s="46"/>
      <c r="L44" s="46"/>
      <c r="M44" s="46"/>
      <c r="N44" s="46"/>
      <c r="O44" s="46"/>
      <c r="P44" s="46"/>
      <c r="Q44" s="46"/>
      <c r="R44" s="46"/>
      <c r="S44" s="46"/>
      <c r="T44" s="51"/>
      <c r="U44" s="46"/>
      <c r="V44" s="46"/>
      <c r="W44" s="46"/>
      <c r="X44" s="46"/>
      <c r="Y44" s="46"/>
      <c r="Z44" s="51"/>
      <c r="AA44" s="51"/>
      <c r="AB44" s="51"/>
      <c r="AC44" s="51"/>
      <c r="AD44" s="51"/>
      <c r="AE44" s="46"/>
      <c r="AF44" s="51"/>
      <c r="AG44" s="46"/>
      <c r="AH44" s="46"/>
      <c r="AI44" s="51"/>
      <c r="AJ44" s="46"/>
      <c r="AK44" s="46"/>
      <c r="AL44" s="46"/>
      <c r="AM44" s="46"/>
      <c r="AN44" s="46"/>
      <c r="AO44" s="46"/>
      <c r="AP44" s="46"/>
      <c r="AQ44" s="46"/>
      <c r="AR44" s="46"/>
      <c r="AS44" s="46"/>
      <c r="AT44" s="51"/>
      <c r="AU44" s="46"/>
      <c r="AV44" s="46"/>
      <c r="AW44" s="46"/>
      <c r="AX44" s="46"/>
      <c r="AY44" s="46"/>
      <c r="AZ44" s="46"/>
      <c r="BA44" s="46"/>
      <c r="BB44" s="46"/>
      <c r="BC44" s="46"/>
      <c r="BD44" s="46"/>
      <c r="BE44" s="46"/>
      <c r="BF44" s="46"/>
      <c r="BG44" s="46"/>
      <c r="BH44" s="46"/>
      <c r="BI44" s="46"/>
      <c r="BJ44" s="46"/>
      <c r="BK44" s="46"/>
      <c r="BL44" s="46"/>
      <c r="BM44" s="46"/>
      <c r="BN44" s="46"/>
      <c r="BO44" s="46"/>
      <c r="BP44" s="46"/>
      <c r="BQ44" s="54"/>
      <c r="BR44" s="46"/>
      <c r="BS44" s="54"/>
      <c r="BT44" s="46"/>
      <c r="BU44" s="46"/>
      <c r="BV44" s="46"/>
      <c r="BW44" s="46"/>
      <c r="BX44" s="46"/>
      <c r="BY44" s="46"/>
      <c r="BZ44" s="54"/>
      <c r="CA44" s="46"/>
      <c r="CB44" s="46"/>
      <c r="CC44" s="46"/>
    </row>
    <row r="45" spans="4:81" s="39" customFormat="true" ht="12" customHeight="true">
      <c r="D45" s="46"/>
      <c r="E45" s="46"/>
      <c r="F45" s="46"/>
      <c r="G45" s="46"/>
      <c r="H45" s="46"/>
      <c r="I45" s="46"/>
      <c r="J45" s="46"/>
      <c r="K45" s="46"/>
      <c r="L45" s="46"/>
      <c r="M45" s="46"/>
      <c r="N45" s="46"/>
      <c r="O45" s="46"/>
      <c r="P45" s="46"/>
      <c r="Q45" s="46"/>
      <c r="R45" s="46"/>
      <c r="S45" s="46"/>
      <c r="T45" s="51"/>
      <c r="U45" s="46"/>
      <c r="V45" s="46"/>
      <c r="W45" s="46"/>
      <c r="X45" s="46"/>
      <c r="Y45" s="46"/>
      <c r="Z45" s="51"/>
      <c r="AA45" s="51"/>
      <c r="AB45" s="51"/>
      <c r="AC45" s="51"/>
      <c r="AD45" s="51"/>
      <c r="AE45" s="46"/>
      <c r="AF45" s="51"/>
      <c r="AG45" s="46"/>
      <c r="AH45" s="46"/>
      <c r="AI45" s="51"/>
      <c r="AJ45" s="46"/>
      <c r="AK45" s="46"/>
      <c r="AL45" s="46"/>
      <c r="AM45" s="46"/>
      <c r="AN45" s="46"/>
      <c r="AO45" s="46"/>
      <c r="AP45" s="46"/>
      <c r="AQ45" s="46"/>
      <c r="AR45" s="46"/>
      <c r="AS45" s="46"/>
      <c r="AT45" s="51"/>
      <c r="AU45" s="46"/>
      <c r="AV45" s="46"/>
      <c r="AW45" s="46"/>
      <c r="AX45" s="46"/>
      <c r="AY45" s="46"/>
      <c r="AZ45" s="46"/>
      <c r="BA45" s="46"/>
      <c r="BB45" s="46"/>
      <c r="BC45" s="46"/>
      <c r="BD45" s="46"/>
      <c r="BE45" s="46"/>
      <c r="BF45" s="46"/>
      <c r="BG45" s="46"/>
      <c r="BH45" s="46"/>
      <c r="BI45" s="46"/>
      <c r="BJ45" s="46"/>
      <c r="BK45" s="46"/>
      <c r="BL45" s="46"/>
      <c r="BM45" s="46"/>
      <c r="BN45" s="46"/>
      <c r="BO45" s="46"/>
      <c r="BP45" s="46"/>
      <c r="BQ45" s="54"/>
      <c r="BR45" s="46"/>
      <c r="BS45" s="54"/>
      <c r="BT45" s="46"/>
      <c r="BU45" s="46"/>
      <c r="BV45" s="46"/>
      <c r="BW45" s="46"/>
      <c r="BX45" s="46"/>
      <c r="BY45" s="46"/>
      <c r="BZ45" s="54"/>
      <c r="CA45" s="46"/>
      <c r="CB45" s="46"/>
      <c r="CC45" s="46"/>
    </row>
    <row r="46" spans="4:81" s="39" customFormat="true" ht="12" customHeight="true">
      <c r="D46" s="46"/>
      <c r="E46" s="46"/>
      <c r="F46" s="46"/>
      <c r="G46" s="46"/>
      <c r="H46" s="46"/>
      <c r="I46" s="46"/>
      <c r="J46" s="46"/>
      <c r="K46" s="46"/>
      <c r="L46" s="46"/>
      <c r="M46" s="46"/>
      <c r="N46" s="46"/>
      <c r="O46" s="46"/>
      <c r="P46" s="46"/>
      <c r="Q46" s="46"/>
      <c r="R46" s="46"/>
      <c r="S46" s="46"/>
      <c r="T46" s="51"/>
      <c r="U46" s="46"/>
      <c r="V46" s="46"/>
      <c r="W46" s="46"/>
      <c r="X46" s="46"/>
      <c r="Y46" s="46"/>
      <c r="Z46" s="51"/>
      <c r="AA46" s="51"/>
      <c r="AB46" s="51"/>
      <c r="AC46" s="51"/>
      <c r="AD46" s="51"/>
      <c r="AE46" s="46"/>
      <c r="AF46" s="51"/>
      <c r="AG46" s="46"/>
      <c r="AH46" s="46"/>
      <c r="AI46" s="51"/>
      <c r="AJ46" s="46"/>
      <c r="AK46" s="46"/>
      <c r="AL46" s="46"/>
      <c r="AM46" s="46"/>
      <c r="AN46" s="46"/>
      <c r="AO46" s="46"/>
      <c r="AP46" s="46"/>
      <c r="AQ46" s="46"/>
      <c r="AR46" s="46"/>
      <c r="AS46" s="46"/>
      <c r="AT46" s="51"/>
      <c r="AU46" s="46"/>
      <c r="AV46" s="46"/>
      <c r="AW46" s="46"/>
      <c r="AX46" s="46"/>
      <c r="AY46" s="46"/>
      <c r="AZ46" s="46"/>
      <c r="BA46" s="46"/>
      <c r="BB46" s="46"/>
      <c r="BC46" s="46"/>
      <c r="BD46" s="46"/>
      <c r="BE46" s="46"/>
      <c r="BF46" s="46"/>
      <c r="BG46" s="46"/>
      <c r="BH46" s="46"/>
      <c r="BI46" s="46"/>
      <c r="BJ46" s="46"/>
      <c r="BK46" s="46"/>
      <c r="BL46" s="46"/>
      <c r="BM46" s="46"/>
      <c r="BN46" s="46"/>
      <c r="BO46" s="46"/>
      <c r="BP46" s="46"/>
      <c r="BQ46" s="54"/>
      <c r="BR46" s="46"/>
      <c r="BS46" s="54"/>
      <c r="BT46" s="46"/>
      <c r="BU46" s="46"/>
      <c r="BV46" s="46"/>
      <c r="BW46" s="46"/>
      <c r="BX46" s="46"/>
      <c r="BY46" s="46"/>
      <c r="BZ46" s="54"/>
      <c r="CA46" s="46"/>
      <c r="CB46" s="46"/>
      <c r="CC46" s="46"/>
    </row>
    <row r="47" spans="2:82" s="39" customFormat="true" ht="12" customHeight="true">
      <c r="B47" s="39" t="s">
        <v>34191</v>
      </c>
      <c r="D47" s="39">
        <f t="shared" ref="D47:BO47" si="2">+SUM(D31:D46)</f>
        <v>0</v>
      </c>
      <c r="E47" s="39">
        <f t="shared" si="2"/>
        <v>35839.73</v>
      </c>
      <c r="F47" s="39">
        <f t="shared" si="2"/>
        <v>65119.26</v>
      </c>
      <c r="G47" s="39">
        <f t="shared" si="2"/>
        <v>0</v>
      </c>
      <c r="H47" s="39">
        <f t="shared" si="2"/>
        <v>26155.68</v>
      </c>
      <c r="I47" s="39">
        <f t="shared" si="2"/>
        <v>0</v>
      </c>
      <c r="J47" s="39">
        <f t="shared" si="2"/>
        <v>0</v>
      </c>
      <c r="K47" s="39">
        <f t="shared" si="2"/>
        <v>452822.89</v>
      </c>
      <c r="L47" s="39">
        <f t="shared" si="2"/>
        <v>0</v>
      </c>
      <c r="M47" s="39">
        <f t="shared" si="2"/>
        <v>0</v>
      </c>
      <c r="N47" s="39">
        <f t="shared" si="2"/>
        <v>14590.23</v>
      </c>
      <c r="O47" s="39">
        <f t="shared" si="2"/>
        <v>85365.62</v>
      </c>
      <c r="P47" s="39">
        <f t="shared" si="2"/>
        <v>164965.38</v>
      </c>
      <c r="Q47" s="39">
        <f t="shared" si="2"/>
        <v>4982.27542</v>
      </c>
      <c r="R47" s="39">
        <f t="shared" si="2"/>
        <v>2948.6</v>
      </c>
      <c r="S47" s="39">
        <f t="shared" si="2"/>
        <v>0</v>
      </c>
      <c r="T47" s="51">
        <f t="shared" si="2"/>
        <v>0</v>
      </c>
      <c r="U47" s="39">
        <f t="shared" si="2"/>
        <v>50799.48</v>
      </c>
      <c r="V47" s="39">
        <f t="shared" si="2"/>
        <v>0</v>
      </c>
      <c r="W47" s="39">
        <f t="shared" si="2"/>
        <v>44086.59</v>
      </c>
      <c r="X47" s="39">
        <f t="shared" si="2"/>
        <v>0</v>
      </c>
      <c r="Y47" s="39">
        <f t="shared" si="2"/>
        <v>0</v>
      </c>
      <c r="Z47" s="51">
        <f t="shared" si="2"/>
        <v>0</v>
      </c>
      <c r="AA47" s="51">
        <f t="shared" si="2"/>
        <v>0</v>
      </c>
      <c r="AB47" s="51">
        <f t="shared" si="2"/>
        <v>0</v>
      </c>
      <c r="AC47" s="51">
        <f t="shared" si="2"/>
        <v>0</v>
      </c>
      <c r="AD47" s="51">
        <f t="shared" si="2"/>
        <v>0</v>
      </c>
      <c r="AE47" s="39">
        <f t="shared" si="2"/>
        <v>3123.2</v>
      </c>
      <c r="AF47" s="51">
        <f t="shared" si="2"/>
        <v>0</v>
      </c>
      <c r="AG47" s="39">
        <f t="shared" si="2"/>
        <v>294549.82</v>
      </c>
      <c r="AH47" s="39">
        <f t="shared" si="2"/>
        <v>17667.99</v>
      </c>
      <c r="AI47" s="51">
        <f t="shared" si="2"/>
        <v>0</v>
      </c>
      <c r="AJ47" s="39">
        <f t="shared" si="2"/>
        <v>175069.6</v>
      </c>
      <c r="AK47" s="39">
        <f t="shared" si="2"/>
        <v>29016.12</v>
      </c>
      <c r="AL47" s="39">
        <f t="shared" si="2"/>
        <v>13195.75</v>
      </c>
      <c r="AM47" s="39">
        <f t="shared" si="2"/>
        <v>0</v>
      </c>
      <c r="AN47" s="39">
        <f t="shared" si="2"/>
        <v>0</v>
      </c>
      <c r="AO47" s="39">
        <f t="shared" si="2"/>
        <v>1385</v>
      </c>
      <c r="AP47" s="39">
        <f t="shared" si="2"/>
        <v>14745</v>
      </c>
      <c r="AQ47" s="39">
        <f t="shared" si="2"/>
        <v>85155</v>
      </c>
      <c r="AR47" s="39">
        <f t="shared" si="2"/>
        <v>2770</v>
      </c>
      <c r="AS47" s="39">
        <f t="shared" si="2"/>
        <v>2770</v>
      </c>
      <c r="AT47" s="51">
        <f t="shared" si="2"/>
        <v>0</v>
      </c>
      <c r="AU47" s="39">
        <f t="shared" si="2"/>
        <v>7929</v>
      </c>
      <c r="AV47" s="39">
        <f t="shared" si="2"/>
        <v>107862.73</v>
      </c>
      <c r="AW47" s="39">
        <f t="shared" si="2"/>
        <v>20150</v>
      </c>
      <c r="AX47" s="39">
        <f t="shared" si="2"/>
        <v>6347.97</v>
      </c>
      <c r="AY47" s="39">
        <f t="shared" si="2"/>
        <v>35295.72</v>
      </c>
      <c r="AZ47" s="39">
        <f t="shared" si="2"/>
        <v>0</v>
      </c>
      <c r="BA47" s="39">
        <f t="shared" si="2"/>
        <v>61852.89</v>
      </c>
      <c r="BB47" s="39">
        <f t="shared" si="2"/>
        <v>0</v>
      </c>
      <c r="BC47" s="39">
        <f t="shared" si="2"/>
        <v>182</v>
      </c>
      <c r="BD47" s="39">
        <f t="shared" si="2"/>
        <v>7939.13</v>
      </c>
      <c r="BE47" s="39">
        <f t="shared" si="2"/>
        <v>0</v>
      </c>
      <c r="BF47" s="39">
        <f t="shared" si="2"/>
        <v>24059.87</v>
      </c>
      <c r="BG47" s="39">
        <f t="shared" si="2"/>
        <v>31139.53</v>
      </c>
      <c r="BH47" s="39">
        <f t="shared" si="2"/>
        <v>6381.74</v>
      </c>
      <c r="BI47" s="39">
        <f t="shared" si="2"/>
        <v>1493.96</v>
      </c>
      <c r="BJ47" s="39">
        <f t="shared" si="2"/>
        <v>11840.08</v>
      </c>
      <c r="BK47" s="39">
        <f t="shared" si="2"/>
        <v>8401.72</v>
      </c>
      <c r="BL47" s="39">
        <f t="shared" si="2"/>
        <v>7024.29</v>
      </c>
      <c r="BM47" s="39">
        <f t="shared" si="2"/>
        <v>14089.11</v>
      </c>
      <c r="BN47" s="39">
        <f t="shared" si="2"/>
        <v>18593.12</v>
      </c>
      <c r="BO47" s="39">
        <f t="shared" si="2"/>
        <v>4528.14</v>
      </c>
      <c r="BP47" s="39">
        <f t="shared" ref="BP47:CC47" si="3">+SUM(BP31:BP46)</f>
        <v>21702.49</v>
      </c>
      <c r="BQ47" s="54">
        <f t="shared" si="3"/>
        <v>0</v>
      </c>
      <c r="BR47" s="39">
        <f t="shared" si="3"/>
        <v>1685.29</v>
      </c>
      <c r="BS47" s="54">
        <f t="shared" si="3"/>
        <v>0</v>
      </c>
      <c r="BT47" s="39">
        <f t="shared" si="3"/>
        <v>104124.58</v>
      </c>
      <c r="BU47" s="39">
        <f t="shared" si="3"/>
        <v>1454.96</v>
      </c>
      <c r="BV47" s="39">
        <f t="shared" si="3"/>
        <v>220269</v>
      </c>
      <c r="BW47" s="39">
        <f t="shared" si="3"/>
        <v>2779.77</v>
      </c>
      <c r="BX47" s="39">
        <f t="shared" si="3"/>
        <v>2500</v>
      </c>
      <c r="BY47" s="39">
        <f t="shared" si="3"/>
        <v>227.64</v>
      </c>
      <c r="BZ47" s="54">
        <f t="shared" si="3"/>
        <v>0</v>
      </c>
      <c r="CA47" s="39">
        <f t="shared" si="3"/>
        <v>0</v>
      </c>
      <c r="CB47" s="39">
        <f t="shared" si="3"/>
        <v>0</v>
      </c>
      <c r="CC47" s="39">
        <f t="shared" si="3"/>
        <v>17144.22</v>
      </c>
      <c r="CD47" s="39">
        <f>SUM(D47:CC47)</f>
        <v>2334122.16542</v>
      </c>
    </row>
    <row r="48" spans="20:78" s="39" customFormat="true" ht="12" customHeight="true">
      <c r="T48" s="51"/>
      <c r="Z48" s="51"/>
      <c r="AA48" s="51"/>
      <c r="AB48" s="51"/>
      <c r="AC48" s="51"/>
      <c r="AD48" s="51"/>
      <c r="AF48" s="51"/>
      <c r="AI48" s="51"/>
      <c r="AT48" s="51"/>
      <c r="BQ48" s="54"/>
      <c r="BS48" s="54"/>
      <c r="BZ48" s="54"/>
    </row>
    <row r="49" spans="2:81" s="39" customFormat="true" ht="12" customHeight="true">
      <c r="B49" s="39" t="s">
        <v>34192</v>
      </c>
      <c r="D49" s="39">
        <f t="shared" ref="D49:BO49" si="4">+D9+D29-D47</f>
        <v>95167.79</v>
      </c>
      <c r="E49" s="39">
        <f t="shared" si="4"/>
        <v>-35539.57</v>
      </c>
      <c r="F49" s="39">
        <f t="shared" si="4"/>
        <v>-65088.86</v>
      </c>
      <c r="G49" s="39">
        <f t="shared" si="4"/>
        <v>50542.17</v>
      </c>
      <c r="H49" s="39">
        <f t="shared" si="4"/>
        <v>-26155.68</v>
      </c>
      <c r="I49" s="39">
        <f t="shared" si="4"/>
        <v>0</v>
      </c>
      <c r="J49" s="39">
        <f t="shared" si="4"/>
        <v>927378.34</v>
      </c>
      <c r="K49" s="39">
        <f t="shared" si="4"/>
        <v>868993.37</v>
      </c>
      <c r="L49" s="39">
        <f t="shared" si="4"/>
        <v>186126</v>
      </c>
      <c r="M49" s="39">
        <f t="shared" si="4"/>
        <v>39708.65</v>
      </c>
      <c r="N49" s="39">
        <f t="shared" si="4"/>
        <v>12718.47</v>
      </c>
      <c r="O49" s="39">
        <f t="shared" si="4"/>
        <v>-85365.62</v>
      </c>
      <c r="P49" s="39">
        <f t="shared" si="4"/>
        <v>-164965.38</v>
      </c>
      <c r="Q49" s="39">
        <f t="shared" si="4"/>
        <v>5009.45458</v>
      </c>
      <c r="R49" s="39">
        <f t="shared" si="4"/>
        <v>-2948.6</v>
      </c>
      <c r="S49" s="39">
        <f t="shared" si="4"/>
        <v>14706.43</v>
      </c>
      <c r="T49" s="51">
        <f t="shared" si="4"/>
        <v>0</v>
      </c>
      <c r="U49" s="39">
        <f t="shared" si="4"/>
        <v>129442.79</v>
      </c>
      <c r="V49" s="39">
        <f t="shared" si="4"/>
        <v>30121.87</v>
      </c>
      <c r="W49" s="39">
        <f t="shared" si="4"/>
        <v>-44086.59</v>
      </c>
      <c r="X49" s="39">
        <f t="shared" si="4"/>
        <v>28537.79</v>
      </c>
      <c r="Y49" s="39">
        <f t="shared" si="4"/>
        <v>34715.96</v>
      </c>
      <c r="Z49" s="51">
        <f t="shared" si="4"/>
        <v>0</v>
      </c>
      <c r="AA49" s="51">
        <f t="shared" si="4"/>
        <v>0</v>
      </c>
      <c r="AB49" s="51">
        <f t="shared" si="4"/>
        <v>0</v>
      </c>
      <c r="AC49" s="51">
        <f t="shared" si="4"/>
        <v>0</v>
      </c>
      <c r="AD49" s="51">
        <f t="shared" si="4"/>
        <v>0</v>
      </c>
      <c r="AE49" s="39">
        <f t="shared" si="4"/>
        <v>78590.04</v>
      </c>
      <c r="AF49" s="51">
        <f t="shared" si="4"/>
        <v>0</v>
      </c>
      <c r="AG49" s="39">
        <f t="shared" si="4"/>
        <v>-265883.36</v>
      </c>
      <c r="AH49" s="39">
        <f t="shared" si="4"/>
        <v>30045.12</v>
      </c>
      <c r="AI49" s="51">
        <f t="shared" si="4"/>
        <v>0</v>
      </c>
      <c r="AJ49" s="39">
        <f t="shared" si="4"/>
        <v>-155523.13</v>
      </c>
      <c r="AK49" s="39">
        <f t="shared" si="4"/>
        <v>30977.39</v>
      </c>
      <c r="AL49" s="39">
        <f t="shared" si="4"/>
        <v>27086.1</v>
      </c>
      <c r="AM49" s="39">
        <f t="shared" si="4"/>
        <v>0</v>
      </c>
      <c r="AN49" s="39">
        <f t="shared" si="4"/>
        <v>0</v>
      </c>
      <c r="AO49" s="39">
        <f t="shared" si="4"/>
        <v>36331.44</v>
      </c>
      <c r="AP49" s="39">
        <f t="shared" si="4"/>
        <v>76631.48</v>
      </c>
      <c r="AQ49" s="39">
        <f t="shared" si="4"/>
        <v>26728.12</v>
      </c>
      <c r="AR49" s="39">
        <f t="shared" si="4"/>
        <v>48905.44</v>
      </c>
      <c r="AS49" s="39">
        <f t="shared" si="4"/>
        <v>39157.22</v>
      </c>
      <c r="AT49" s="51">
        <f t="shared" si="4"/>
        <v>0</v>
      </c>
      <c r="AU49" s="39">
        <f t="shared" si="4"/>
        <v>28197.63</v>
      </c>
      <c r="AV49" s="39">
        <f t="shared" si="4"/>
        <v>138138.05</v>
      </c>
      <c r="AW49" s="39">
        <f t="shared" si="4"/>
        <v>-2658.43</v>
      </c>
      <c r="AX49" s="39">
        <f t="shared" si="4"/>
        <v>14180.67</v>
      </c>
      <c r="AY49" s="39">
        <f t="shared" si="4"/>
        <v>38608.49</v>
      </c>
      <c r="AZ49" s="39">
        <f t="shared" si="4"/>
        <v>4015.67</v>
      </c>
      <c r="BA49" s="39">
        <f t="shared" si="4"/>
        <v>-4242.08</v>
      </c>
      <c r="BB49" s="39">
        <f t="shared" si="4"/>
        <v>3325.99</v>
      </c>
      <c r="BC49" s="39">
        <f t="shared" si="4"/>
        <v>23459.48</v>
      </c>
      <c r="BD49" s="39">
        <f t="shared" si="4"/>
        <v>12304.76</v>
      </c>
      <c r="BE49" s="39">
        <f t="shared" si="4"/>
        <v>0</v>
      </c>
      <c r="BF49" s="39">
        <f t="shared" si="4"/>
        <v>200242.14</v>
      </c>
      <c r="BG49" s="39">
        <f t="shared" si="4"/>
        <v>95311.63</v>
      </c>
      <c r="BH49" s="39">
        <f t="shared" si="4"/>
        <v>40863.26</v>
      </c>
      <c r="BI49" s="39">
        <f t="shared" si="4"/>
        <v>23718.46</v>
      </c>
      <c r="BJ49" s="39">
        <f t="shared" si="4"/>
        <v>36460.59</v>
      </c>
      <c r="BK49" s="39">
        <f t="shared" si="4"/>
        <v>69121.2</v>
      </c>
      <c r="BL49" s="39">
        <f t="shared" si="4"/>
        <v>51960.95</v>
      </c>
      <c r="BM49" s="39">
        <f t="shared" si="4"/>
        <v>50501.07</v>
      </c>
      <c r="BN49" s="39">
        <f t="shared" si="4"/>
        <v>69029.14</v>
      </c>
      <c r="BO49" s="39">
        <f t="shared" si="4"/>
        <v>36502.95</v>
      </c>
      <c r="BP49" s="39">
        <f t="shared" ref="BP49:CC49" si="5">+BP9+BP29-BP47</f>
        <v>1470.15</v>
      </c>
      <c r="BQ49" s="54">
        <f t="shared" si="5"/>
        <v>0</v>
      </c>
      <c r="BR49" s="39">
        <f t="shared" si="5"/>
        <v>26708.16</v>
      </c>
      <c r="BS49" s="54">
        <f t="shared" si="5"/>
        <v>0</v>
      </c>
      <c r="BT49" s="39">
        <f t="shared" si="5"/>
        <v>-22893.68</v>
      </c>
      <c r="BU49" s="39">
        <f t="shared" si="5"/>
        <v>37735.08</v>
      </c>
      <c r="BV49" s="39">
        <f t="shared" si="5"/>
        <v>-184622.4</v>
      </c>
      <c r="BW49" s="39">
        <f t="shared" si="5"/>
        <v>90278.77</v>
      </c>
      <c r="BX49" s="39">
        <f t="shared" si="5"/>
        <v>11992.52</v>
      </c>
      <c r="BY49" s="39">
        <f t="shared" si="5"/>
        <v>36989.44</v>
      </c>
      <c r="BZ49" s="54">
        <f t="shared" si="5"/>
        <v>0</v>
      </c>
      <c r="CA49" s="39">
        <f t="shared" si="5"/>
        <v>459378.46</v>
      </c>
      <c r="CB49" s="39">
        <f t="shared" si="5"/>
        <v>584918.08</v>
      </c>
      <c r="CC49" s="39">
        <f t="shared" si="5"/>
        <v>-10383.92</v>
      </c>
    </row>
    <row r="50" spans="20:78" s="39" customFormat="true" ht="12" customHeight="true">
      <c r="T50" s="51"/>
      <c r="Z50" s="51"/>
      <c r="AA50" s="51"/>
      <c r="AB50" s="51"/>
      <c r="AC50" s="51"/>
      <c r="AD50" s="51"/>
      <c r="AF50" s="51"/>
      <c r="AI50" s="51"/>
      <c r="AT50" s="51"/>
      <c r="BQ50" s="54"/>
      <c r="BS50" s="54"/>
      <c r="BZ50" s="54"/>
    </row>
    <row r="51" spans="2:81" s="39" customFormat="true" ht="12" customHeight="true">
      <c r="B51" s="39" t="s">
        <v>34193</v>
      </c>
      <c r="D51" s="46">
        <v>95167.79</v>
      </c>
      <c r="E51" s="46">
        <v>-35539.57</v>
      </c>
      <c r="F51" s="46">
        <v>-65088.86</v>
      </c>
      <c r="G51" s="46">
        <v>50542.17</v>
      </c>
      <c r="H51" s="46">
        <v>-26155.68</v>
      </c>
      <c r="I51" s="46"/>
      <c r="J51" s="46">
        <v>927378.34</v>
      </c>
      <c r="K51" s="46">
        <v>869993.37</v>
      </c>
      <c r="L51" s="46">
        <v>4266.76</v>
      </c>
      <c r="M51" s="46">
        <v>39708.65</v>
      </c>
      <c r="N51" s="46">
        <v>12788.45</v>
      </c>
      <c r="O51" s="46">
        <v>-85365.62</v>
      </c>
      <c r="P51" s="46">
        <v>-164965.38</v>
      </c>
      <c r="Q51" s="46">
        <v>5009.45</v>
      </c>
      <c r="R51" s="46">
        <v>-2948.6</v>
      </c>
      <c r="S51" s="46">
        <v>14706.43</v>
      </c>
      <c r="T51" s="46"/>
      <c r="U51" s="46">
        <v>129442.79</v>
      </c>
      <c r="V51" s="46">
        <v>30121.87</v>
      </c>
      <c r="W51" s="46">
        <v>-44086.59</v>
      </c>
      <c r="X51" s="46">
        <v>28537.79</v>
      </c>
      <c r="Y51" s="46">
        <v>34715.96</v>
      </c>
      <c r="Z51" s="46"/>
      <c r="AA51" s="46"/>
      <c r="AB51" s="46"/>
      <c r="AC51" s="46"/>
      <c r="AD51" s="46"/>
      <c r="AE51" s="46">
        <v>78590.04</v>
      </c>
      <c r="AF51" s="46"/>
      <c r="AG51" s="46">
        <v>-265883.36</v>
      </c>
      <c r="AH51" s="46">
        <v>30045.12</v>
      </c>
      <c r="AI51" s="46"/>
      <c r="AJ51" s="46">
        <v>-155523.13</v>
      </c>
      <c r="AK51" s="46">
        <v>30977.39</v>
      </c>
      <c r="AL51" s="46">
        <v>27086.1</v>
      </c>
      <c r="AM51" s="46"/>
      <c r="AN51" s="46"/>
      <c r="AO51" s="46">
        <v>36331.44</v>
      </c>
      <c r="AP51" s="46">
        <v>76631.4800000001</v>
      </c>
      <c r="AQ51" s="46">
        <v>26728.12</v>
      </c>
      <c r="AR51" s="46">
        <v>48905.44</v>
      </c>
      <c r="AS51" s="46">
        <v>39157.22</v>
      </c>
      <c r="AT51" s="46"/>
      <c r="AU51" s="46">
        <v>28197.63</v>
      </c>
      <c r="AV51" s="46">
        <v>138138.05</v>
      </c>
      <c r="AW51" s="46">
        <v>-2594.29</v>
      </c>
      <c r="AX51" s="46">
        <v>14180.67</v>
      </c>
      <c r="AY51" s="46">
        <v>38608.49</v>
      </c>
      <c r="AZ51" s="46">
        <v>4015.67</v>
      </c>
      <c r="BA51" s="46">
        <v>-4242.07999999999</v>
      </c>
      <c r="BB51" s="46">
        <v>3325.99</v>
      </c>
      <c r="BC51" s="46">
        <v>23459.48</v>
      </c>
      <c r="BD51" s="46">
        <v>12304.76</v>
      </c>
      <c r="BE51" s="46"/>
      <c r="BF51" s="46">
        <v>200242.14</v>
      </c>
      <c r="BG51" s="46">
        <v>95311.63</v>
      </c>
      <c r="BH51" s="46">
        <v>41113.26</v>
      </c>
      <c r="BI51" s="46">
        <v>23718.46</v>
      </c>
      <c r="BJ51" s="46">
        <v>36460.59</v>
      </c>
      <c r="BK51" s="46">
        <v>69121.2</v>
      </c>
      <c r="BL51" s="46">
        <v>51960.95</v>
      </c>
      <c r="BM51" s="46">
        <v>50501.07</v>
      </c>
      <c r="BN51" s="46">
        <v>69029.14</v>
      </c>
      <c r="BO51" s="46">
        <v>36502.95</v>
      </c>
      <c r="BP51" s="46">
        <v>1470.15</v>
      </c>
      <c r="BQ51" s="54"/>
      <c r="BR51" s="46">
        <v>26708.16</v>
      </c>
      <c r="BS51" s="54"/>
      <c r="BT51" s="46">
        <v>-22893.68</v>
      </c>
      <c r="BU51" s="46">
        <v>37735.08</v>
      </c>
      <c r="BV51" s="46">
        <v>-184622.4</v>
      </c>
      <c r="BW51" s="46">
        <v>90278.77</v>
      </c>
      <c r="BX51" s="46">
        <v>11992.52</v>
      </c>
      <c r="BY51" s="46">
        <v>36989.44</v>
      </c>
      <c r="BZ51" s="54"/>
      <c r="CA51" s="46">
        <v>459378.46</v>
      </c>
      <c r="CB51" s="46">
        <v>584918.08</v>
      </c>
      <c r="CC51" s="46">
        <v>-10383.92</v>
      </c>
    </row>
    <row r="52" spans="2:82" s="39" customFormat="true" ht="12" customHeight="true">
      <c r="B52" s="39" t="s">
        <v>34194</v>
      </c>
      <c r="D52" s="47">
        <f>SUMIF('BS-Details'!$D:$D,D$4&amp;"-"&amp;D$7,'BS-Details'!$K:$K)-D$51</f>
        <v>-55050.37</v>
      </c>
      <c r="E52" s="47">
        <f>SUMIF('BS-Details'!$D:$D,E$4&amp;"-"&amp;E$7,'BS-Details'!$K:$K)-E$51</f>
        <v>6096.72</v>
      </c>
      <c r="F52" s="47">
        <f>SUMIF('BS-Details'!$D:$D,F$4&amp;"-"&amp;F$7,'BS-Details'!$K:$K)-F$51</f>
        <v>35685.34</v>
      </c>
      <c r="G52" s="47">
        <f>SUMIF('BS-Details'!$D:$D,G$4&amp;"-"&amp;G$7,'BS-Details'!$K:$K)-G$51</f>
        <v>-68694.19</v>
      </c>
      <c r="H52" s="47">
        <f>SUMIF('BS-Details'!$D:$D,H$4&amp;"-"&amp;H$7,'BS-Details'!$K:$K)-H$51</f>
        <v>12891.72</v>
      </c>
      <c r="I52" s="47">
        <f>SUMIF('BS-Details'!$D:$D,I$4&amp;"-"&amp;I$7,'BS-Details'!$K:$K)-I$51</f>
        <v>-7732.72</v>
      </c>
      <c r="J52" s="47">
        <f>SUMIF('BS-Details'!$D:$D,J$4&amp;"-"&amp;J$7,'BS-Details'!$K:$K)-J$51</f>
        <v>-832124.12</v>
      </c>
      <c r="K52" s="47">
        <f>SUMIF('BS-Details'!$D:$D,K$4&amp;"-"&amp;K$7,'BS-Details'!$K:$K)-K$51</f>
        <v>743640.35</v>
      </c>
      <c r="L52" s="47">
        <f>SUMIF('BS-Details'!$D:$D,L$4&amp;"-"&amp;L$7,'BS-Details'!$K:$K)-L$51</f>
        <v>-4266.76</v>
      </c>
      <c r="M52" s="47">
        <f>SUMIF('BS-Details'!$D:$D,M$4&amp;"-"&amp;M$7,'BS-Details'!$K:$K)-M$51</f>
        <v>-60214.39</v>
      </c>
      <c r="N52" s="47">
        <f>SUMIF('BS-Details'!$D:$D,N$4&amp;"-"&amp;N$7,'BS-Details'!$K:$K)-N$51</f>
        <v>-26550.6</v>
      </c>
      <c r="O52" s="47">
        <f>SUMIF('BS-Details'!$D:$D,O$4&amp;"-"&amp;O$7,'BS-Details'!$K:$K)-O$51</f>
        <v>85292.06</v>
      </c>
      <c r="P52" s="47">
        <f>SUMIF('BS-Details'!$D:$D,P$4&amp;"-"&amp;P$7,'BS-Details'!$K:$K)-P$51</f>
        <v>-14058.66</v>
      </c>
      <c r="Q52" s="47">
        <f>SUMIF('BS-Details'!$D:$D,Q$4&amp;"-"&amp;Q$7,'BS-Details'!$K:$K)-Q$51</f>
        <v>-5009.45</v>
      </c>
      <c r="R52" s="47">
        <f>SUMIF('BS-Details'!$D:$D,R$4&amp;"-"&amp;R$7,'BS-Details'!$K:$K)-R$51</f>
        <v>2225.97</v>
      </c>
      <c r="S52" s="47">
        <f>SUMIF('BS-Details'!$D:$D,S$4&amp;"-"&amp;S$7,'BS-Details'!$K:$K)-S$51</f>
        <v>-8841.45</v>
      </c>
      <c r="T52" s="47">
        <f>SUMIF('BS-Details'!$D:$D,T$4&amp;"-"&amp;T$7,'BS-Details'!$K:$K)-T$51</f>
        <v>0</v>
      </c>
      <c r="U52" s="47">
        <f>SUMIF('BS-Details'!$D:$D,U$4&amp;"-"&amp;U$7,'BS-Details'!$K:$K)-U$51</f>
        <v>103129.94</v>
      </c>
      <c r="V52" s="47">
        <f>SUMIF('BS-Details'!$D:$D,V$4&amp;"-"&amp;V$7,'BS-Details'!$K:$K)-V$51</f>
        <v>56418.13</v>
      </c>
      <c r="W52" s="47">
        <f>SUMIF('BS-Details'!$D:$D,W$4&amp;"-"&amp;W$7,'BS-Details'!$K:$K)-W$51</f>
        <v>-16192.75</v>
      </c>
      <c r="X52" s="47">
        <f>SUMIF('BS-Details'!$D:$D,X$4&amp;"-"&amp;X$7,'BS-Details'!$K:$K)-X$51</f>
        <v>41201.61</v>
      </c>
      <c r="Y52" s="47">
        <f>SUMIF('BS-Details'!$D:$D,Y$4&amp;"-"&amp;Y$7,'BS-Details'!$K:$K)-Y$51</f>
        <v>-32965.82</v>
      </c>
      <c r="Z52" s="47">
        <f>SUMIF('BS-Details'!$D:$D,Z$4&amp;"-"&amp;Z$7,'BS-Details'!$K:$K)-Z$51</f>
        <v>0</v>
      </c>
      <c r="AA52" s="47">
        <f>SUMIF('BS-Details'!$D:$D,AA$4&amp;"-"&amp;AA$7,'BS-Details'!$K:$K)-AA$51</f>
        <v>0</v>
      </c>
      <c r="AB52" s="47">
        <f>SUMIF('BS-Details'!$D:$D,AB$4&amp;"-"&amp;AB$7,'BS-Details'!$K:$K)-AB$51</f>
        <v>0</v>
      </c>
      <c r="AC52" s="47">
        <f>SUMIF('BS-Details'!$D:$D,AC$4&amp;"-"&amp;AC$7,'BS-Details'!$K:$K)-AC$51</f>
        <v>0</v>
      </c>
      <c r="AD52" s="47">
        <f>SUMIF('BS-Details'!$D:$D,AD$4&amp;"-"&amp;AD$7,'BS-Details'!$K:$K)-AD$51</f>
        <v>0</v>
      </c>
      <c r="AE52" s="47">
        <f>SUMIF('BS-Details'!$D:$D,AE$4&amp;"-"&amp;AE$7,'BS-Details'!$K:$K)-AE$51</f>
        <v>-78800.46</v>
      </c>
      <c r="AF52" s="47">
        <f>SUMIF('BS-Details'!$D:$D,AF$4&amp;"-"&amp;AF$7,'BS-Details'!$K:$K)-AF$51</f>
        <v>0</v>
      </c>
      <c r="AG52" s="47">
        <f>SUMIF('BS-Details'!$D:$D,AG$4&amp;"-"&amp;AG$7,'BS-Details'!$K:$K)-AG$51</f>
        <v>147991.01</v>
      </c>
      <c r="AH52" s="47">
        <f>SUMIF('BS-Details'!$D:$D,AH$4&amp;"-"&amp;AH$7,'BS-Details'!$K:$K)-AH$51</f>
        <v>33766.4</v>
      </c>
      <c r="AI52" s="47">
        <f>SUMIF('BS-Details'!$D:$D,AI$4&amp;"-"&amp;AI$7,'BS-Details'!$K:$K)-AI$51</f>
        <v>0</v>
      </c>
      <c r="AJ52" s="47">
        <f>SUMIF('BS-Details'!$D:$D,AJ$4&amp;"-"&amp;AJ$7,'BS-Details'!$K:$K)-AJ$51</f>
        <v>188630.78</v>
      </c>
      <c r="AK52" s="47">
        <f>SUMIF('BS-Details'!$D:$D,AK$4&amp;"-"&amp;AK$7,'BS-Details'!$K:$K)-AK$51</f>
        <v>14829.83</v>
      </c>
      <c r="AL52" s="47">
        <f>SUMIF('BS-Details'!$D:$D,AL$4&amp;"-"&amp;AL$7,'BS-Details'!$K:$K)-AL$51</f>
        <v>-25262.72</v>
      </c>
      <c r="AM52" s="47">
        <f>SUMIF('BS-Details'!$D:$D,AM$4&amp;"-"&amp;AM$7,'BS-Details'!$K:$K)-AM$51</f>
        <v>0</v>
      </c>
      <c r="AN52" s="47">
        <f>SUMIF('BS-Details'!$D:$D,AN$4&amp;"-"&amp;AN$7,'BS-Details'!$K:$K)-AN$51</f>
        <v>0</v>
      </c>
      <c r="AO52" s="47">
        <f>SUMIF('BS-Details'!$D:$D,AO$4&amp;"-"&amp;AO$7,'BS-Details'!$K:$K)-AO$51</f>
        <v>-30088.45</v>
      </c>
      <c r="AP52" s="47">
        <f>SUMIF('BS-Details'!$D:$D,AP$4&amp;"-"&amp;AP$7,'BS-Details'!$K:$K)-AP$51</f>
        <v>45115.3999999999</v>
      </c>
      <c r="AQ52" s="47">
        <f>SUMIF('BS-Details'!$D:$D,AQ$4&amp;"-"&amp;AQ$7,'BS-Details'!$K:$K)-AQ$51</f>
        <v>-21851.34</v>
      </c>
      <c r="AR52" s="47">
        <f>SUMIF('BS-Details'!$D:$D,AR$4&amp;"-"&amp;AR$7,'BS-Details'!$K:$K)-AR$51</f>
        <v>-34691.78</v>
      </c>
      <c r="AS52" s="47">
        <f>SUMIF('BS-Details'!$D:$D,AS$4&amp;"-"&amp;AS$7,'BS-Details'!$K:$K)-AS$51</f>
        <v>-28397.02</v>
      </c>
      <c r="AT52" s="47">
        <f>SUMIF('BS-Details'!$D:$D,AT$4&amp;"-"&amp;AT$7,'BS-Details'!$K:$K)-AT$51</f>
        <v>0</v>
      </c>
      <c r="AU52" s="47">
        <f>SUMIF('BS-Details'!$D:$D,AU$4&amp;"-"&amp;AU$7,'BS-Details'!$K:$K)-AU$51</f>
        <v>11206.69</v>
      </c>
      <c r="AV52" s="47">
        <f>SUMIF('BS-Details'!$D:$D,AV$4&amp;"-"&amp;AV$7,'BS-Details'!$K:$K)-AV$51</f>
        <v>-248538.82</v>
      </c>
      <c r="AW52" s="47">
        <f>SUMIF('BS-Details'!$D:$D,AW$4&amp;"-"&amp;AW$7,'BS-Details'!$K:$K)-AW$51</f>
        <v>2594.29</v>
      </c>
      <c r="AX52" s="47">
        <f>SUMIF('BS-Details'!$D:$D,AX$4&amp;"-"&amp;AX$7,'BS-Details'!$K:$K)-AX$51</f>
        <v>-17066.57</v>
      </c>
      <c r="AY52" s="47">
        <f>SUMIF('BS-Details'!$D:$D,AY$4&amp;"-"&amp;AY$7,'BS-Details'!$K:$K)-AY$51</f>
        <v>-16810.99</v>
      </c>
      <c r="AZ52" s="47">
        <f>SUMIF('BS-Details'!$D:$D,AZ$4&amp;"-"&amp;AZ$7,'BS-Details'!$K:$K)-AZ$51</f>
        <v>-4015.67</v>
      </c>
      <c r="BA52" s="47">
        <f>SUMIF('BS-Details'!$D:$D,BA$4&amp;"-"&amp;BA$7,'BS-Details'!$K:$K)-BA$51</f>
        <v>-28307.48</v>
      </c>
      <c r="BB52" s="47">
        <f>SUMIF('BS-Details'!$D:$D,BB$4&amp;"-"&amp;BB$7,'BS-Details'!$K:$K)-BB$51</f>
        <v>-3325.99</v>
      </c>
      <c r="BC52" s="47">
        <f>SUMIF('BS-Details'!$D:$D,BC$4&amp;"-"&amp;BC$7,'BS-Details'!$K:$K)-BC$51</f>
        <v>-23459.48</v>
      </c>
      <c r="BD52" s="47">
        <f>SUMIF('BS-Details'!$D:$D,BD$4&amp;"-"&amp;BD$7,'BS-Details'!$K:$K)-BD$51</f>
        <v>-9858.71</v>
      </c>
      <c r="BE52" s="47">
        <f>SUMIF('BS-Details'!$D:$D,BE$4&amp;"-"&amp;BE$7,'BS-Details'!$K:$K)-BE$51</f>
        <v>0</v>
      </c>
      <c r="BF52" s="47">
        <f>SUMIF('BS-Details'!$D:$D,BF$4&amp;"-"&amp;BF$7,'BS-Details'!$K:$K)-BF$51</f>
        <v>-191866.38</v>
      </c>
      <c r="BG52" s="47">
        <f>SUMIF('BS-Details'!$D:$D,BG$4&amp;"-"&amp;BG$7,'BS-Details'!$K:$K)-BG$51</f>
        <v>-95311.63</v>
      </c>
      <c r="BH52" s="47">
        <f>SUMIF('BS-Details'!$D:$D,BH$4&amp;"-"&amp;BH$7,'BS-Details'!$K:$K)-BH$51</f>
        <v>-42703.51</v>
      </c>
      <c r="BI52" s="47">
        <f>SUMIF('BS-Details'!$D:$D,BI$4&amp;"-"&amp;BI$7,'BS-Details'!$K:$K)-BI$51</f>
        <v>-70646.56</v>
      </c>
      <c r="BJ52" s="47">
        <f>SUMIF('BS-Details'!$D:$D,BJ$4&amp;"-"&amp;BJ$7,'BS-Details'!$K:$K)-BJ$51</f>
        <v>-26121.74</v>
      </c>
      <c r="BK52" s="47">
        <f>SUMIF('BS-Details'!$D:$D,BK$4&amp;"-"&amp;BK$7,'BS-Details'!$K:$K)-BK$51</f>
        <v>-68791.07</v>
      </c>
      <c r="BL52" s="47">
        <f>SUMIF('BS-Details'!$D:$D,BL$4&amp;"-"&amp;BL$7,'BS-Details'!$K:$K)-BL$51</f>
        <v>-66672.9</v>
      </c>
      <c r="BM52" s="47">
        <f>SUMIF('BS-Details'!$D:$D,BM$4&amp;"-"&amp;BM$7,'BS-Details'!$K:$K)-BM$51</f>
        <v>-51735.5</v>
      </c>
      <c r="BN52" s="47">
        <f>SUMIF('BS-Details'!$D:$D,BN$4&amp;"-"&amp;BN$7,'BS-Details'!$K:$K)-BN$51</f>
        <v>-80959.28</v>
      </c>
      <c r="BO52" s="47">
        <f>SUMIF('BS-Details'!$D:$D,BO$4&amp;"-"&amp;BO$7,'BS-Details'!$K:$K)-BO$51</f>
        <v>-36502.95</v>
      </c>
      <c r="BP52" s="47">
        <f>SUMIF('BS-Details'!$D:$D,BP$4&amp;"-"&amp;BP$7,'BS-Details'!$K:$K)-BP$51</f>
        <v>-1470.15</v>
      </c>
      <c r="BQ52" s="47">
        <f>SUMIF('BS-Details'!$D:$D,BQ$4&amp;"-"&amp;BQ$7,'BS-Details'!$K:$K)-BQ$51</f>
        <v>0</v>
      </c>
      <c r="BR52" s="47">
        <f>SUMIF('BS-Details'!$D:$D,BR$4&amp;"-"&amp;BR$7,'BS-Details'!$K:$K)-BR$51</f>
        <v>-26708.16</v>
      </c>
      <c r="BS52" s="47">
        <f>SUMIF('BS-Details'!$D:$D,BS$4&amp;"-"&amp;BS$7,'BS-Details'!$K:$K)-BS$51</f>
        <v>0</v>
      </c>
      <c r="BT52" s="47">
        <f>SUMIF('BS-Details'!$D:$D,BT$4&amp;"-"&amp;BT$7,'BS-Details'!$K:$K)-BT$51</f>
        <v>45065.84</v>
      </c>
      <c r="BU52" s="47">
        <f>SUMIF('BS-Details'!$D:$D,BU$4&amp;"-"&amp;BU$7,'BS-Details'!$K:$K)-BU$51</f>
        <v>-39590.8</v>
      </c>
      <c r="BV52" s="47">
        <f>SUMIF('BS-Details'!$D:$D,BV$4&amp;"-"&amp;BV$7,'BS-Details'!$K:$K)-BV$51</f>
        <v>184622.4</v>
      </c>
      <c r="BW52" s="47">
        <f>SUMIF('BS-Details'!$D:$D,BW$4&amp;"-"&amp;BW$7,'BS-Details'!$K:$K)-BW$51</f>
        <v>-97474.24</v>
      </c>
      <c r="BX52" s="47">
        <f>SUMIF('BS-Details'!$D:$D,BX$4&amp;"-"&amp;BX$7,'BS-Details'!$K:$K)-BX$51</f>
        <v>-15424.8</v>
      </c>
      <c r="BY52" s="47">
        <f>SUMIF('BS-Details'!$D:$D,BY$4&amp;"-"&amp;BY$7,'BS-Details'!$K:$K)-BY$51</f>
        <v>-46795.5</v>
      </c>
      <c r="BZ52" s="47">
        <f>SUMIF('BS-Details'!$D:$D,BZ$4&amp;"-"&amp;BZ$7,'BS-Details'!$K:$K)-BZ$51</f>
        <v>0</v>
      </c>
      <c r="CA52" s="47">
        <f>SUMIF('BS-Details'!$D:$D,CA$4&amp;"-"&amp;CA$7,'BS-Details'!$K:$K)-CA$51</f>
        <v>-459378.46</v>
      </c>
      <c r="CB52" s="47">
        <f>SUMIF('BS-Details'!$D:$D,CB$4&amp;"-"&amp;CB$7,'BS-Details'!$K:$K)-CB$51</f>
        <v>-585718.08</v>
      </c>
      <c r="CC52" s="47">
        <f>SUMIF('BS-Details'!$D:$D,CC$4&amp;"-"&amp;CC$7,'BS-Details'!$K:$K)-CC$51</f>
        <v>-148568.02</v>
      </c>
      <c r="CD52" s="39">
        <f>SUM(D52:CC52)</f>
        <v>-2094212.01</v>
      </c>
    </row>
    <row r="53" spans="2:82" s="39" customFormat="true" ht="12" customHeight="true">
      <c r="B53" s="39" t="s">
        <v>34195</v>
      </c>
      <c r="T53" s="51"/>
      <c r="Z53" s="51"/>
      <c r="AA53" s="51"/>
      <c r="AB53" s="51"/>
      <c r="AC53" s="51"/>
      <c r="AD53" s="51"/>
      <c r="AF53" s="51"/>
      <c r="AI53" s="51"/>
      <c r="AT53" s="51"/>
      <c r="BQ53" s="54"/>
      <c r="BS53" s="54"/>
      <c r="BZ53" s="54"/>
      <c r="CD53" s="39">
        <f>SUM(D53:CC53)</f>
        <v>0</v>
      </c>
    </row>
    <row r="54" spans="4:81" s="39" customFormat="true" ht="12" customHeight="true">
      <c r="D54" s="46"/>
      <c r="E54" s="46"/>
      <c r="F54" s="46"/>
      <c r="G54" s="46"/>
      <c r="H54" s="46"/>
      <c r="I54" s="46"/>
      <c r="J54" s="46"/>
      <c r="K54" s="46">
        <v>-1000</v>
      </c>
      <c r="L54" s="46">
        <v>181859.24</v>
      </c>
      <c r="M54" s="46"/>
      <c r="N54" s="46">
        <v>-69.98</v>
      </c>
      <c r="O54" s="46"/>
      <c r="P54" s="46"/>
      <c r="Q54" s="46"/>
      <c r="R54" s="46"/>
      <c r="S54" s="46"/>
      <c r="T54" s="51"/>
      <c r="U54" s="46"/>
      <c r="V54" s="46"/>
      <c r="W54" s="46"/>
      <c r="X54" s="46"/>
      <c r="Y54" s="46"/>
      <c r="Z54" s="51"/>
      <c r="AA54" s="51"/>
      <c r="AB54" s="51"/>
      <c r="AC54" s="51"/>
      <c r="AD54" s="51"/>
      <c r="AE54" s="46"/>
      <c r="AF54" s="51"/>
      <c r="AG54" s="46"/>
      <c r="AH54" s="46"/>
      <c r="AI54" s="51"/>
      <c r="AJ54" s="46"/>
      <c r="AK54" s="46"/>
      <c r="AL54" s="46"/>
      <c r="AM54" s="46"/>
      <c r="AN54" s="46"/>
      <c r="AO54" s="46"/>
      <c r="AP54" s="46"/>
      <c r="AQ54" s="46"/>
      <c r="AR54" s="46"/>
      <c r="AS54" s="46"/>
      <c r="AT54" s="51"/>
      <c r="AU54" s="46"/>
      <c r="AV54" s="46"/>
      <c r="AW54" s="46">
        <v>-64.14</v>
      </c>
      <c r="AX54" s="46"/>
      <c r="AY54" s="46"/>
      <c r="AZ54" s="46"/>
      <c r="BA54" s="46"/>
      <c r="BB54" s="46"/>
      <c r="BC54" s="46"/>
      <c r="BD54" s="46"/>
      <c r="BE54" s="46"/>
      <c r="BF54" s="46"/>
      <c r="BG54" s="46"/>
      <c r="BH54" s="46">
        <v>-250</v>
      </c>
      <c r="BI54" s="46"/>
      <c r="BJ54" s="46"/>
      <c r="BK54" s="46"/>
      <c r="BL54" s="46"/>
      <c r="BM54" s="46"/>
      <c r="BN54" s="46"/>
      <c r="BO54" s="46"/>
      <c r="BP54" s="46"/>
      <c r="BQ54" s="54"/>
      <c r="BR54" s="46"/>
      <c r="BS54" s="54"/>
      <c r="BT54" s="46"/>
      <c r="BU54" s="46"/>
      <c r="BV54" s="46"/>
      <c r="BW54" s="46"/>
      <c r="BX54" s="46"/>
      <c r="BY54" s="46"/>
      <c r="BZ54" s="54"/>
      <c r="CA54" s="46"/>
      <c r="CB54" s="46"/>
      <c r="CC54" s="46"/>
    </row>
    <row r="55" spans="4:81" s="39" customFormat="true" ht="12" customHeight="true">
      <c r="D55" s="46"/>
      <c r="E55" s="46"/>
      <c r="F55" s="46"/>
      <c r="G55" s="46"/>
      <c r="H55" s="46"/>
      <c r="I55" s="46"/>
      <c r="J55" s="46"/>
      <c r="K55" s="46"/>
      <c r="L55" s="46"/>
      <c r="M55" s="46"/>
      <c r="N55" s="46"/>
      <c r="O55" s="46"/>
      <c r="P55" s="46"/>
      <c r="Q55" s="46"/>
      <c r="R55" s="46"/>
      <c r="S55" s="46"/>
      <c r="T55" s="51"/>
      <c r="U55" s="46"/>
      <c r="V55" s="46"/>
      <c r="W55" s="46"/>
      <c r="X55" s="46"/>
      <c r="Y55" s="46"/>
      <c r="Z55" s="51"/>
      <c r="AA55" s="51"/>
      <c r="AB55" s="51"/>
      <c r="AC55" s="51"/>
      <c r="AD55" s="51"/>
      <c r="AE55" s="46"/>
      <c r="AF55" s="51"/>
      <c r="AG55" s="46"/>
      <c r="AH55" s="46"/>
      <c r="AI55" s="51"/>
      <c r="AJ55" s="46"/>
      <c r="AK55" s="46"/>
      <c r="AL55" s="46"/>
      <c r="AM55" s="46"/>
      <c r="AN55" s="46"/>
      <c r="AO55" s="46"/>
      <c r="AP55" s="46"/>
      <c r="AQ55" s="46"/>
      <c r="AR55" s="46"/>
      <c r="AS55" s="46"/>
      <c r="AT55" s="51"/>
      <c r="AU55" s="46"/>
      <c r="AV55" s="46"/>
      <c r="AW55" s="46"/>
      <c r="AX55" s="46"/>
      <c r="AY55" s="46"/>
      <c r="AZ55" s="46"/>
      <c r="BA55" s="46"/>
      <c r="BB55" s="46"/>
      <c r="BC55" s="46"/>
      <c r="BD55" s="46"/>
      <c r="BE55" s="46"/>
      <c r="BF55" s="46"/>
      <c r="BG55" s="46"/>
      <c r="BH55" s="46"/>
      <c r="BI55" s="46"/>
      <c r="BJ55" s="46"/>
      <c r="BK55" s="46"/>
      <c r="BL55" s="46"/>
      <c r="BM55" s="46"/>
      <c r="BN55" s="46"/>
      <c r="BO55" s="46"/>
      <c r="BP55" s="46"/>
      <c r="BQ55" s="54"/>
      <c r="BR55" s="46"/>
      <c r="BS55" s="54"/>
      <c r="BT55" s="46"/>
      <c r="BU55" s="46"/>
      <c r="BV55" s="46"/>
      <c r="BW55" s="46"/>
      <c r="BX55" s="46"/>
      <c r="BY55" s="46"/>
      <c r="BZ55" s="54"/>
      <c r="CA55" s="46"/>
      <c r="CB55" s="46"/>
      <c r="CC55" s="46"/>
    </row>
    <row r="56" spans="4:81" s="39" customFormat="true" ht="12" customHeight="true">
      <c r="D56" s="46"/>
      <c r="E56" s="46"/>
      <c r="F56" s="46"/>
      <c r="G56" s="46"/>
      <c r="H56" s="46"/>
      <c r="I56" s="46"/>
      <c r="J56" s="46"/>
      <c r="K56" s="46"/>
      <c r="L56" s="46"/>
      <c r="M56" s="46"/>
      <c r="N56" s="46"/>
      <c r="O56" s="46"/>
      <c r="P56" s="46"/>
      <c r="Q56" s="46"/>
      <c r="R56" s="46"/>
      <c r="S56" s="46"/>
      <c r="T56" s="51"/>
      <c r="U56" s="46"/>
      <c r="V56" s="46"/>
      <c r="W56" s="46"/>
      <c r="X56" s="46"/>
      <c r="Y56" s="46"/>
      <c r="Z56" s="51"/>
      <c r="AA56" s="51"/>
      <c r="AB56" s="51"/>
      <c r="AC56" s="51"/>
      <c r="AD56" s="51"/>
      <c r="AE56" s="46"/>
      <c r="AF56" s="51"/>
      <c r="AG56" s="46"/>
      <c r="AH56" s="46"/>
      <c r="AI56" s="51"/>
      <c r="AJ56" s="46"/>
      <c r="AK56" s="46"/>
      <c r="AL56" s="46"/>
      <c r="AM56" s="46"/>
      <c r="AN56" s="46"/>
      <c r="AO56" s="46"/>
      <c r="AP56" s="46"/>
      <c r="AQ56" s="46"/>
      <c r="AR56" s="46"/>
      <c r="AS56" s="46"/>
      <c r="AT56" s="51"/>
      <c r="AU56" s="46"/>
      <c r="AV56" s="46"/>
      <c r="AW56" s="46"/>
      <c r="AX56" s="46"/>
      <c r="AY56" s="46"/>
      <c r="AZ56" s="46"/>
      <c r="BA56" s="46"/>
      <c r="BB56" s="46"/>
      <c r="BC56" s="46"/>
      <c r="BD56" s="46"/>
      <c r="BE56" s="46"/>
      <c r="BF56" s="46"/>
      <c r="BG56" s="46"/>
      <c r="BH56" s="46"/>
      <c r="BI56" s="46"/>
      <c r="BJ56" s="46"/>
      <c r="BK56" s="46"/>
      <c r="BL56" s="46"/>
      <c r="BM56" s="46"/>
      <c r="BN56" s="46"/>
      <c r="BO56" s="46"/>
      <c r="BP56" s="46"/>
      <c r="BQ56" s="54"/>
      <c r="BR56" s="46"/>
      <c r="BS56" s="54"/>
      <c r="BT56" s="46"/>
      <c r="BU56" s="46"/>
      <c r="BV56" s="46"/>
      <c r="BW56" s="46"/>
      <c r="BX56" s="46"/>
      <c r="BY56" s="46"/>
      <c r="BZ56" s="54"/>
      <c r="CA56" s="46"/>
      <c r="CB56" s="46"/>
      <c r="CC56" s="46"/>
    </row>
    <row r="57" spans="2:82" s="39" customFormat="true" ht="12" customHeight="true">
      <c r="B57" s="39" t="s">
        <v>34196</v>
      </c>
      <c r="D57" s="39">
        <f t="shared" ref="D57:T57" si="6">+SUM(D53:D56)</f>
        <v>0</v>
      </c>
      <c r="E57" s="39">
        <f t="shared" si="6"/>
        <v>0</v>
      </c>
      <c r="F57" s="39">
        <f t="shared" si="6"/>
        <v>0</v>
      </c>
      <c r="G57" s="39">
        <f t="shared" si="6"/>
        <v>0</v>
      </c>
      <c r="H57" s="39">
        <f t="shared" si="6"/>
        <v>0</v>
      </c>
      <c r="I57" s="39">
        <f t="shared" si="6"/>
        <v>0</v>
      </c>
      <c r="J57" s="39">
        <f t="shared" si="6"/>
        <v>0</v>
      </c>
      <c r="K57" s="39">
        <f t="shared" si="6"/>
        <v>-1000</v>
      </c>
      <c r="L57" s="39">
        <f t="shared" si="6"/>
        <v>181859.24</v>
      </c>
      <c r="M57" s="39">
        <f t="shared" si="6"/>
        <v>0</v>
      </c>
      <c r="N57" s="39">
        <f t="shared" si="6"/>
        <v>-69.98</v>
      </c>
      <c r="O57" s="39">
        <f t="shared" si="6"/>
        <v>0</v>
      </c>
      <c r="P57" s="39">
        <f t="shared" si="6"/>
        <v>0</v>
      </c>
      <c r="Q57" s="39">
        <f t="shared" si="6"/>
        <v>0</v>
      </c>
      <c r="R57" s="39">
        <f t="shared" si="6"/>
        <v>0</v>
      </c>
      <c r="S57" s="39">
        <f t="shared" si="6"/>
        <v>0</v>
      </c>
      <c r="T57" s="51">
        <f t="shared" si="6"/>
        <v>0</v>
      </c>
      <c r="U57" s="39">
        <f>+SUM(U54:U56)</f>
        <v>0</v>
      </c>
      <c r="V57" s="39">
        <f t="shared" ref="V57:CC57" si="7">+SUM(V53:V56)</f>
        <v>0</v>
      </c>
      <c r="W57" s="39">
        <f t="shared" si="7"/>
        <v>0</v>
      </c>
      <c r="X57" s="39">
        <f t="shared" si="7"/>
        <v>0</v>
      </c>
      <c r="Y57" s="39">
        <f t="shared" si="7"/>
        <v>0</v>
      </c>
      <c r="Z57" s="51">
        <f t="shared" si="7"/>
        <v>0</v>
      </c>
      <c r="AA57" s="51">
        <f t="shared" si="7"/>
        <v>0</v>
      </c>
      <c r="AB57" s="51">
        <f t="shared" si="7"/>
        <v>0</v>
      </c>
      <c r="AC57" s="51">
        <f t="shared" si="7"/>
        <v>0</v>
      </c>
      <c r="AD57" s="51">
        <f t="shared" si="7"/>
        <v>0</v>
      </c>
      <c r="AE57" s="39">
        <f t="shared" si="7"/>
        <v>0</v>
      </c>
      <c r="AF57" s="51">
        <f t="shared" si="7"/>
        <v>0</v>
      </c>
      <c r="AG57" s="39">
        <f t="shared" si="7"/>
        <v>0</v>
      </c>
      <c r="AH57" s="39">
        <f t="shared" si="7"/>
        <v>0</v>
      </c>
      <c r="AI57" s="51">
        <f t="shared" si="7"/>
        <v>0</v>
      </c>
      <c r="AJ57" s="39">
        <f t="shared" si="7"/>
        <v>0</v>
      </c>
      <c r="AK57" s="39">
        <f t="shared" si="7"/>
        <v>0</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0</v>
      </c>
      <c r="AW57" s="39">
        <f t="shared" si="7"/>
        <v>-64.14</v>
      </c>
      <c r="AX57" s="39">
        <f t="shared" si="7"/>
        <v>0</v>
      </c>
      <c r="AY57" s="39">
        <f t="shared" si="7"/>
        <v>0</v>
      </c>
      <c r="AZ57" s="39">
        <f t="shared" si="7"/>
        <v>0</v>
      </c>
      <c r="BA57" s="39">
        <f t="shared" si="7"/>
        <v>0</v>
      </c>
      <c r="BB57" s="39">
        <f t="shared" si="7"/>
        <v>0</v>
      </c>
      <c r="BC57" s="39">
        <f t="shared" si="7"/>
        <v>0</v>
      </c>
      <c r="BD57" s="39">
        <f t="shared" si="7"/>
        <v>0</v>
      </c>
      <c r="BE57" s="39">
        <f t="shared" si="7"/>
        <v>0</v>
      </c>
      <c r="BF57" s="39">
        <f t="shared" si="7"/>
        <v>0</v>
      </c>
      <c r="BG57" s="39">
        <f t="shared" si="7"/>
        <v>0</v>
      </c>
      <c r="BH57" s="39">
        <f t="shared" si="7"/>
        <v>-250</v>
      </c>
      <c r="BI57" s="39">
        <f t="shared" si="7"/>
        <v>0</v>
      </c>
      <c r="BJ57" s="39">
        <f t="shared" si="7"/>
        <v>0</v>
      </c>
      <c r="BK57" s="39">
        <f t="shared" si="7"/>
        <v>0</v>
      </c>
      <c r="BL57" s="39">
        <f t="shared" si="7"/>
        <v>0</v>
      </c>
      <c r="BM57" s="39">
        <f t="shared" si="7"/>
        <v>0</v>
      </c>
      <c r="BN57" s="39">
        <f t="shared" si="7"/>
        <v>0</v>
      </c>
      <c r="BO57" s="39">
        <f t="shared" si="7"/>
        <v>0</v>
      </c>
      <c r="BP57" s="39">
        <f t="shared" si="7"/>
        <v>0</v>
      </c>
      <c r="BQ57" s="54">
        <f t="shared" si="7"/>
        <v>0</v>
      </c>
      <c r="BR57" s="39">
        <f t="shared" si="7"/>
        <v>0</v>
      </c>
      <c r="BS57" s="54">
        <f t="shared" si="7"/>
        <v>0</v>
      </c>
      <c r="BT57" s="39">
        <f t="shared" si="7"/>
        <v>0</v>
      </c>
      <c r="BU57" s="39">
        <f t="shared" si="7"/>
        <v>0</v>
      </c>
      <c r="BV57" s="39">
        <f t="shared" si="7"/>
        <v>0</v>
      </c>
      <c r="BW57" s="39">
        <f t="shared" si="7"/>
        <v>0</v>
      </c>
      <c r="BX57" s="39">
        <f t="shared" si="7"/>
        <v>0</v>
      </c>
      <c r="BY57" s="39">
        <f t="shared" si="7"/>
        <v>0</v>
      </c>
      <c r="BZ57" s="54">
        <f t="shared" si="7"/>
        <v>0</v>
      </c>
      <c r="CA57" s="39">
        <f t="shared" si="7"/>
        <v>0</v>
      </c>
      <c r="CB57" s="39">
        <f t="shared" si="7"/>
        <v>0</v>
      </c>
      <c r="CC57" s="39">
        <f t="shared" si="7"/>
        <v>0</v>
      </c>
      <c r="CD57" s="39">
        <f>SUM(D57:CC57)</f>
        <v>180475.12</v>
      </c>
    </row>
    <row r="58" spans="20:78" s="39" customFormat="true" ht="12" customHeight="true">
      <c r="T58" s="51"/>
      <c r="Z58" s="51"/>
      <c r="AA58" s="51"/>
      <c r="AB58" s="51"/>
      <c r="AC58" s="51"/>
      <c r="AD58" s="51"/>
      <c r="AF58" s="51"/>
      <c r="AI58" s="51"/>
      <c r="AT58" s="51"/>
      <c r="BQ58" s="54"/>
      <c r="BS58" s="54"/>
      <c r="BZ58" s="54"/>
    </row>
    <row r="59" spans="2:78" s="39" customFormat="true" ht="12" customHeight="true">
      <c r="B59" s="39" t="s">
        <v>34197</v>
      </c>
      <c r="T59" s="51"/>
      <c r="Z59" s="51"/>
      <c r="AA59" s="51"/>
      <c r="AB59" s="51"/>
      <c r="AC59" s="51"/>
      <c r="AD59" s="51"/>
      <c r="AF59" s="51"/>
      <c r="AI59" s="51"/>
      <c r="AT59" s="51"/>
      <c r="BQ59" s="54"/>
      <c r="BS59" s="54"/>
      <c r="BZ59" s="54"/>
    </row>
    <row r="60" spans="4:81" s="39" customFormat="true" ht="12" customHeight="true">
      <c r="D60" s="46"/>
      <c r="E60" s="46"/>
      <c r="F60" s="46"/>
      <c r="G60" s="46"/>
      <c r="H60" s="46"/>
      <c r="I60" s="46"/>
      <c r="J60" s="46">
        <v>0</v>
      </c>
      <c r="K60" s="46"/>
      <c r="L60" s="46"/>
      <c r="M60" s="46"/>
      <c r="N60" s="46"/>
      <c r="O60" s="46"/>
      <c r="P60" s="46"/>
      <c r="Q60" s="46"/>
      <c r="R60" s="46"/>
      <c r="S60" s="46"/>
      <c r="T60" s="51"/>
      <c r="U60" s="46"/>
      <c r="V60" s="46"/>
      <c r="W60" s="46"/>
      <c r="X60" s="46"/>
      <c r="Y60" s="46"/>
      <c r="Z60" s="51"/>
      <c r="AA60" s="51"/>
      <c r="AB60" s="51"/>
      <c r="AC60" s="51"/>
      <c r="AD60" s="51"/>
      <c r="AE60" s="46"/>
      <c r="AF60" s="51"/>
      <c r="AG60" s="46"/>
      <c r="AH60" s="46"/>
      <c r="AI60" s="51"/>
      <c r="AJ60" s="46"/>
      <c r="AK60" s="46"/>
      <c r="AL60" s="46"/>
      <c r="AM60" s="46"/>
      <c r="AN60" s="46"/>
      <c r="AO60" s="46"/>
      <c r="AP60" s="46"/>
      <c r="AQ60" s="46"/>
      <c r="AR60" s="46"/>
      <c r="AS60" s="46"/>
      <c r="AT60" s="51"/>
      <c r="AU60" s="46"/>
      <c r="AV60" s="46"/>
      <c r="AW60" s="46"/>
      <c r="AX60" s="46"/>
      <c r="AY60" s="46"/>
      <c r="AZ60" s="46"/>
      <c r="BA60" s="46"/>
      <c r="BB60" s="46"/>
      <c r="BC60" s="46"/>
      <c r="BD60" s="46"/>
      <c r="BE60" s="46"/>
      <c r="BF60" s="46"/>
      <c r="BG60" s="46"/>
      <c r="BH60" s="46"/>
      <c r="BI60" s="46"/>
      <c r="BJ60" s="46"/>
      <c r="BK60" s="46"/>
      <c r="BL60" s="46"/>
      <c r="BM60" s="46"/>
      <c r="BN60" s="46"/>
      <c r="BO60" s="46"/>
      <c r="BP60" s="46"/>
      <c r="BQ60" s="54"/>
      <c r="BR60" s="46"/>
      <c r="BS60" s="54"/>
      <c r="BT60" s="46"/>
      <c r="BU60" s="46"/>
      <c r="BV60" s="46"/>
      <c r="BW60" s="46"/>
      <c r="BX60" s="46"/>
      <c r="BY60" s="46"/>
      <c r="BZ60" s="54"/>
      <c r="CA60" s="46"/>
      <c r="CB60" s="46"/>
      <c r="CC60" s="46"/>
    </row>
    <row r="61" spans="4:81" s="39" customFormat="true" ht="12" customHeight="true">
      <c r="D61" s="46"/>
      <c r="E61" s="46"/>
      <c r="F61" s="46"/>
      <c r="G61" s="46"/>
      <c r="H61" s="46"/>
      <c r="I61" s="46"/>
      <c r="J61" s="46"/>
      <c r="K61" s="46"/>
      <c r="L61" s="46"/>
      <c r="M61" s="46"/>
      <c r="N61" s="46"/>
      <c r="O61" s="46"/>
      <c r="P61" s="46"/>
      <c r="Q61" s="46"/>
      <c r="R61" s="46"/>
      <c r="S61" s="46"/>
      <c r="T61" s="51"/>
      <c r="U61" s="46"/>
      <c r="V61" s="46"/>
      <c r="W61" s="46"/>
      <c r="X61" s="46"/>
      <c r="Y61" s="46"/>
      <c r="Z61" s="51"/>
      <c r="AA61" s="51"/>
      <c r="AB61" s="51"/>
      <c r="AC61" s="51"/>
      <c r="AD61" s="51"/>
      <c r="AE61" s="46"/>
      <c r="AF61" s="51"/>
      <c r="AG61" s="46"/>
      <c r="AH61" s="46"/>
      <c r="AI61" s="51"/>
      <c r="AJ61" s="46"/>
      <c r="AK61" s="46"/>
      <c r="AL61" s="46"/>
      <c r="AM61" s="46"/>
      <c r="AN61" s="46"/>
      <c r="AO61" s="46"/>
      <c r="AP61" s="46"/>
      <c r="AQ61" s="46"/>
      <c r="AR61" s="46"/>
      <c r="AS61" s="46"/>
      <c r="AT61" s="51"/>
      <c r="AU61" s="46"/>
      <c r="AV61" s="46"/>
      <c r="AW61" s="46"/>
      <c r="AX61" s="46"/>
      <c r="AY61" s="46"/>
      <c r="AZ61" s="46"/>
      <c r="BA61" s="46"/>
      <c r="BB61" s="46"/>
      <c r="BC61" s="46"/>
      <c r="BD61" s="46"/>
      <c r="BE61" s="46"/>
      <c r="BF61" s="46"/>
      <c r="BG61" s="46"/>
      <c r="BH61" s="46"/>
      <c r="BI61" s="46"/>
      <c r="BJ61" s="46"/>
      <c r="BK61" s="46"/>
      <c r="BL61" s="46"/>
      <c r="BM61" s="46"/>
      <c r="BN61" s="46"/>
      <c r="BO61" s="46"/>
      <c r="BP61" s="46"/>
      <c r="BQ61" s="54"/>
      <c r="BR61" s="46"/>
      <c r="BS61" s="54"/>
      <c r="BT61" s="46"/>
      <c r="BU61" s="46"/>
      <c r="BV61" s="46"/>
      <c r="BW61" s="46"/>
      <c r="BX61" s="46"/>
      <c r="BY61" s="46"/>
      <c r="BZ61" s="54"/>
      <c r="CA61" s="46"/>
      <c r="CB61" s="46"/>
      <c r="CC61" s="46"/>
    </row>
    <row r="62" spans="4:81" s="39" customFormat="true" ht="12" customHeight="true">
      <c r="D62" s="46"/>
      <c r="E62" s="46"/>
      <c r="F62" s="46"/>
      <c r="G62" s="46"/>
      <c r="H62" s="46"/>
      <c r="I62" s="46"/>
      <c r="J62" s="46"/>
      <c r="K62" s="46"/>
      <c r="L62" s="46"/>
      <c r="M62" s="46"/>
      <c r="N62" s="46"/>
      <c r="O62" s="46"/>
      <c r="P62" s="46"/>
      <c r="Q62" s="46"/>
      <c r="R62" s="46"/>
      <c r="S62" s="46"/>
      <c r="T62" s="51"/>
      <c r="U62" s="46"/>
      <c r="V62" s="46"/>
      <c r="W62" s="46"/>
      <c r="X62" s="46"/>
      <c r="Y62" s="46"/>
      <c r="Z62" s="51"/>
      <c r="AA62" s="51"/>
      <c r="AB62" s="51"/>
      <c r="AC62" s="51"/>
      <c r="AD62" s="51"/>
      <c r="AE62" s="46"/>
      <c r="AF62" s="51"/>
      <c r="AG62" s="46"/>
      <c r="AH62" s="46"/>
      <c r="AI62" s="51"/>
      <c r="AJ62" s="46"/>
      <c r="AK62" s="46"/>
      <c r="AL62" s="46"/>
      <c r="AM62" s="46"/>
      <c r="AN62" s="46"/>
      <c r="AO62" s="46"/>
      <c r="AP62" s="46"/>
      <c r="AQ62" s="46"/>
      <c r="AR62" s="46"/>
      <c r="AS62" s="46"/>
      <c r="AT62" s="51"/>
      <c r="AU62" s="46"/>
      <c r="AV62" s="46"/>
      <c r="AW62" s="46"/>
      <c r="AX62" s="46"/>
      <c r="AY62" s="46"/>
      <c r="AZ62" s="46"/>
      <c r="BA62" s="46"/>
      <c r="BB62" s="46"/>
      <c r="BC62" s="46"/>
      <c r="BD62" s="46"/>
      <c r="BE62" s="46"/>
      <c r="BF62" s="46"/>
      <c r="BG62" s="46"/>
      <c r="BH62" s="46"/>
      <c r="BI62" s="46"/>
      <c r="BJ62" s="46"/>
      <c r="BK62" s="46"/>
      <c r="BL62" s="46"/>
      <c r="BM62" s="46"/>
      <c r="BN62" s="46"/>
      <c r="BO62" s="46"/>
      <c r="BP62" s="46"/>
      <c r="BQ62" s="54"/>
      <c r="BR62" s="46"/>
      <c r="BS62" s="54"/>
      <c r="BT62" s="46"/>
      <c r="BU62" s="46"/>
      <c r="BV62" s="46"/>
      <c r="BW62" s="46"/>
      <c r="BX62" s="46"/>
      <c r="BY62" s="46"/>
      <c r="BZ62" s="54"/>
      <c r="CA62" s="46"/>
      <c r="CB62" s="46"/>
      <c r="CC62" s="46"/>
    </row>
    <row r="63" spans="4:81" s="39" customFormat="true" ht="12" customHeight="true">
      <c r="D63" s="46"/>
      <c r="E63" s="46"/>
      <c r="F63" s="46"/>
      <c r="G63" s="46"/>
      <c r="H63" s="46"/>
      <c r="I63" s="46"/>
      <c r="J63" s="46"/>
      <c r="K63" s="46"/>
      <c r="L63" s="46"/>
      <c r="M63" s="46"/>
      <c r="N63" s="46"/>
      <c r="O63" s="46"/>
      <c r="P63" s="46"/>
      <c r="Q63" s="46"/>
      <c r="R63" s="46"/>
      <c r="S63" s="46"/>
      <c r="T63" s="51"/>
      <c r="U63" s="46"/>
      <c r="V63" s="46"/>
      <c r="W63" s="46"/>
      <c r="X63" s="46"/>
      <c r="Y63" s="46"/>
      <c r="Z63" s="51"/>
      <c r="AA63" s="51"/>
      <c r="AB63" s="51"/>
      <c r="AC63" s="51"/>
      <c r="AD63" s="51"/>
      <c r="AE63" s="46"/>
      <c r="AF63" s="51"/>
      <c r="AG63" s="46"/>
      <c r="AH63" s="46"/>
      <c r="AI63" s="51"/>
      <c r="AJ63" s="46"/>
      <c r="AK63" s="46"/>
      <c r="AL63" s="46"/>
      <c r="AM63" s="46"/>
      <c r="AN63" s="46"/>
      <c r="AO63" s="46"/>
      <c r="AP63" s="46"/>
      <c r="AQ63" s="46"/>
      <c r="AR63" s="46"/>
      <c r="AS63" s="46"/>
      <c r="AT63" s="51"/>
      <c r="AU63" s="46"/>
      <c r="AV63" s="46"/>
      <c r="AW63" s="46"/>
      <c r="AX63" s="46"/>
      <c r="AY63" s="46"/>
      <c r="AZ63" s="46"/>
      <c r="BA63" s="46"/>
      <c r="BB63" s="46"/>
      <c r="BC63" s="46"/>
      <c r="BD63" s="46"/>
      <c r="BE63" s="46"/>
      <c r="BF63" s="46"/>
      <c r="BG63" s="46"/>
      <c r="BH63" s="46"/>
      <c r="BI63" s="46"/>
      <c r="BJ63" s="46"/>
      <c r="BK63" s="46"/>
      <c r="BL63" s="46"/>
      <c r="BM63" s="46"/>
      <c r="BN63" s="46"/>
      <c r="BO63" s="46"/>
      <c r="BP63" s="46"/>
      <c r="BQ63" s="54"/>
      <c r="BR63" s="46"/>
      <c r="BS63" s="54"/>
      <c r="BT63" s="46"/>
      <c r="BU63" s="46"/>
      <c r="BV63" s="46"/>
      <c r="BW63" s="46"/>
      <c r="BX63" s="46"/>
      <c r="BY63" s="46"/>
      <c r="BZ63" s="54"/>
      <c r="CA63" s="46"/>
      <c r="CB63" s="46"/>
      <c r="CC63" s="46"/>
    </row>
    <row r="64" spans="4:81" s="39" customFormat="true" ht="12" customHeight="true">
      <c r="D64" s="46"/>
      <c r="E64" s="46"/>
      <c r="F64" s="46"/>
      <c r="G64" s="46"/>
      <c r="H64" s="46"/>
      <c r="I64" s="46"/>
      <c r="J64" s="46"/>
      <c r="K64" s="46"/>
      <c r="L64" s="46"/>
      <c r="M64" s="46"/>
      <c r="N64" s="46"/>
      <c r="O64" s="46"/>
      <c r="P64" s="46"/>
      <c r="Q64" s="46"/>
      <c r="R64" s="46"/>
      <c r="S64" s="46"/>
      <c r="T64" s="51"/>
      <c r="U64" s="46"/>
      <c r="V64" s="46"/>
      <c r="W64" s="46"/>
      <c r="X64" s="46"/>
      <c r="Y64" s="46"/>
      <c r="Z64" s="51"/>
      <c r="AA64" s="51"/>
      <c r="AB64" s="51"/>
      <c r="AC64" s="51"/>
      <c r="AD64" s="51"/>
      <c r="AE64" s="46"/>
      <c r="AF64" s="51"/>
      <c r="AG64" s="46"/>
      <c r="AH64" s="46"/>
      <c r="AI64" s="51"/>
      <c r="AJ64" s="46"/>
      <c r="AK64" s="46"/>
      <c r="AL64" s="46"/>
      <c r="AM64" s="46"/>
      <c r="AN64" s="46"/>
      <c r="AO64" s="46"/>
      <c r="AP64" s="46"/>
      <c r="AQ64" s="46"/>
      <c r="AR64" s="46"/>
      <c r="AS64" s="46"/>
      <c r="AT64" s="51"/>
      <c r="AU64" s="46"/>
      <c r="AV64" s="46"/>
      <c r="AW64" s="46"/>
      <c r="AX64" s="46"/>
      <c r="AY64" s="46"/>
      <c r="AZ64" s="46"/>
      <c r="BA64" s="46"/>
      <c r="BB64" s="46"/>
      <c r="BC64" s="46"/>
      <c r="BD64" s="46"/>
      <c r="BE64" s="46"/>
      <c r="BF64" s="46"/>
      <c r="BG64" s="46"/>
      <c r="BH64" s="46"/>
      <c r="BI64" s="46"/>
      <c r="BJ64" s="46"/>
      <c r="BK64" s="46"/>
      <c r="BL64" s="46"/>
      <c r="BM64" s="46"/>
      <c r="BN64" s="46"/>
      <c r="BO64" s="46"/>
      <c r="BP64" s="46"/>
      <c r="BQ64" s="54"/>
      <c r="BR64" s="46"/>
      <c r="BS64" s="54"/>
      <c r="BT64" s="46"/>
      <c r="BU64" s="46"/>
      <c r="BV64" s="46"/>
      <c r="BW64" s="46"/>
      <c r="BX64" s="46"/>
      <c r="BY64" s="46"/>
      <c r="BZ64" s="54"/>
      <c r="CA64" s="46"/>
      <c r="CB64" s="46"/>
      <c r="CC64" s="46"/>
    </row>
    <row r="65" spans="4:81" s="39" customFormat="true" ht="12" customHeight="true">
      <c r="D65" s="46"/>
      <c r="E65" s="46"/>
      <c r="F65" s="46"/>
      <c r="G65" s="46"/>
      <c r="H65" s="46"/>
      <c r="I65" s="46"/>
      <c r="J65" s="46"/>
      <c r="K65" s="46"/>
      <c r="L65" s="46"/>
      <c r="M65" s="46"/>
      <c r="N65" s="46"/>
      <c r="O65" s="46"/>
      <c r="P65" s="46"/>
      <c r="Q65" s="46"/>
      <c r="R65" s="46"/>
      <c r="S65" s="46"/>
      <c r="T65" s="51"/>
      <c r="U65" s="46"/>
      <c r="V65" s="46"/>
      <c r="W65" s="46"/>
      <c r="X65" s="46"/>
      <c r="Y65" s="46"/>
      <c r="Z65" s="51"/>
      <c r="AA65" s="51"/>
      <c r="AB65" s="51"/>
      <c r="AC65" s="51"/>
      <c r="AD65" s="51"/>
      <c r="AE65" s="46"/>
      <c r="AF65" s="51"/>
      <c r="AG65" s="46"/>
      <c r="AH65" s="46"/>
      <c r="AI65" s="51"/>
      <c r="AJ65" s="46"/>
      <c r="AK65" s="46"/>
      <c r="AL65" s="46"/>
      <c r="AM65" s="46"/>
      <c r="AN65" s="46"/>
      <c r="AO65" s="46"/>
      <c r="AP65" s="46"/>
      <c r="AQ65" s="46"/>
      <c r="AR65" s="46"/>
      <c r="AS65" s="46"/>
      <c r="AT65" s="51"/>
      <c r="AU65" s="46"/>
      <c r="AV65" s="46"/>
      <c r="AW65" s="46"/>
      <c r="AX65" s="46"/>
      <c r="AY65" s="46"/>
      <c r="AZ65" s="46"/>
      <c r="BA65" s="46"/>
      <c r="BB65" s="46"/>
      <c r="BC65" s="46"/>
      <c r="BD65" s="46"/>
      <c r="BE65" s="46"/>
      <c r="BF65" s="46"/>
      <c r="BG65" s="46"/>
      <c r="BH65" s="46"/>
      <c r="BI65" s="46"/>
      <c r="BJ65" s="46"/>
      <c r="BK65" s="46"/>
      <c r="BL65" s="46"/>
      <c r="BM65" s="46"/>
      <c r="BN65" s="46"/>
      <c r="BO65" s="46"/>
      <c r="BP65" s="46"/>
      <c r="BQ65" s="54"/>
      <c r="BR65" s="46"/>
      <c r="BS65" s="54"/>
      <c r="BT65" s="46"/>
      <c r="BU65" s="46"/>
      <c r="BV65" s="46"/>
      <c r="BW65" s="46"/>
      <c r="BX65" s="46"/>
      <c r="BY65" s="46"/>
      <c r="BZ65" s="54"/>
      <c r="CA65" s="46"/>
      <c r="CB65" s="46"/>
      <c r="CC65" s="46"/>
    </row>
    <row r="66" spans="4:81" s="39" customFormat="true" ht="12" customHeight="true">
      <c r="D66" s="46"/>
      <c r="E66" s="46"/>
      <c r="F66" s="46"/>
      <c r="G66" s="46"/>
      <c r="H66" s="46"/>
      <c r="I66" s="46"/>
      <c r="J66" s="46"/>
      <c r="K66" s="46"/>
      <c r="L66" s="46"/>
      <c r="M66" s="46"/>
      <c r="N66" s="46"/>
      <c r="O66" s="46"/>
      <c r="P66" s="46"/>
      <c r="Q66" s="46"/>
      <c r="R66" s="46"/>
      <c r="S66" s="46"/>
      <c r="T66" s="51"/>
      <c r="U66" s="46"/>
      <c r="V66" s="46"/>
      <c r="W66" s="46"/>
      <c r="X66" s="46"/>
      <c r="Y66" s="46"/>
      <c r="Z66" s="51"/>
      <c r="AA66" s="51"/>
      <c r="AB66" s="51"/>
      <c r="AC66" s="51"/>
      <c r="AD66" s="51"/>
      <c r="AE66" s="46"/>
      <c r="AF66" s="51"/>
      <c r="AG66" s="46"/>
      <c r="AH66" s="46"/>
      <c r="AI66" s="51"/>
      <c r="AJ66" s="46"/>
      <c r="AK66" s="46"/>
      <c r="AL66" s="46"/>
      <c r="AM66" s="46"/>
      <c r="AN66" s="46"/>
      <c r="AO66" s="46"/>
      <c r="AP66" s="46"/>
      <c r="AQ66" s="46"/>
      <c r="AR66" s="46"/>
      <c r="AS66" s="46"/>
      <c r="AT66" s="51"/>
      <c r="AU66" s="46"/>
      <c r="AV66" s="46"/>
      <c r="AW66" s="46"/>
      <c r="AX66" s="46"/>
      <c r="AY66" s="46"/>
      <c r="AZ66" s="46"/>
      <c r="BA66" s="46"/>
      <c r="BB66" s="46"/>
      <c r="BC66" s="46"/>
      <c r="BD66" s="46"/>
      <c r="BE66" s="46"/>
      <c r="BF66" s="46"/>
      <c r="BG66" s="46"/>
      <c r="BH66" s="46"/>
      <c r="BI66" s="46"/>
      <c r="BJ66" s="46"/>
      <c r="BK66" s="46"/>
      <c r="BL66" s="46"/>
      <c r="BM66" s="46"/>
      <c r="BN66" s="46"/>
      <c r="BO66" s="46"/>
      <c r="BP66" s="46"/>
      <c r="BQ66" s="54"/>
      <c r="BR66" s="46"/>
      <c r="BS66" s="54"/>
      <c r="BT66" s="46"/>
      <c r="BU66" s="46"/>
      <c r="BV66" s="46"/>
      <c r="BW66" s="46"/>
      <c r="BX66" s="46"/>
      <c r="BY66" s="46"/>
      <c r="BZ66" s="54"/>
      <c r="CA66" s="46"/>
      <c r="CB66" s="46"/>
      <c r="CC66" s="46"/>
    </row>
    <row r="67" spans="4:81" s="39" customFormat="true" ht="12" customHeight="true">
      <c r="D67" s="46"/>
      <c r="E67" s="46"/>
      <c r="F67" s="46"/>
      <c r="G67" s="46"/>
      <c r="H67" s="46"/>
      <c r="I67" s="46"/>
      <c r="J67" s="46"/>
      <c r="K67" s="46"/>
      <c r="L67" s="46"/>
      <c r="M67" s="46"/>
      <c r="N67" s="46"/>
      <c r="O67" s="46"/>
      <c r="P67" s="46"/>
      <c r="Q67" s="46"/>
      <c r="R67" s="46"/>
      <c r="S67" s="46"/>
      <c r="T67" s="51"/>
      <c r="U67" s="46"/>
      <c r="V67" s="46"/>
      <c r="W67" s="46"/>
      <c r="X67" s="46"/>
      <c r="Y67" s="46"/>
      <c r="Z67" s="51"/>
      <c r="AA67" s="51"/>
      <c r="AB67" s="51"/>
      <c r="AC67" s="51"/>
      <c r="AD67" s="51"/>
      <c r="AE67" s="46"/>
      <c r="AF67" s="51"/>
      <c r="AG67" s="46"/>
      <c r="AH67" s="46"/>
      <c r="AI67" s="51"/>
      <c r="AJ67" s="46"/>
      <c r="AK67" s="46"/>
      <c r="AL67" s="46"/>
      <c r="AM67" s="46"/>
      <c r="AN67" s="46"/>
      <c r="AO67" s="46"/>
      <c r="AP67" s="46"/>
      <c r="AQ67" s="46"/>
      <c r="AR67" s="46"/>
      <c r="AS67" s="46"/>
      <c r="AT67" s="51"/>
      <c r="AU67" s="46"/>
      <c r="AV67" s="46"/>
      <c r="AW67" s="46"/>
      <c r="AX67" s="46"/>
      <c r="AY67" s="46"/>
      <c r="AZ67" s="46"/>
      <c r="BA67" s="46"/>
      <c r="BB67" s="46"/>
      <c r="BC67" s="46"/>
      <c r="BD67" s="46"/>
      <c r="BE67" s="46"/>
      <c r="BF67" s="46"/>
      <c r="BG67" s="46"/>
      <c r="BH67" s="46"/>
      <c r="BI67" s="46"/>
      <c r="BJ67" s="46"/>
      <c r="BK67" s="46"/>
      <c r="BL67" s="46"/>
      <c r="BM67" s="46"/>
      <c r="BN67" s="46"/>
      <c r="BO67" s="46"/>
      <c r="BP67" s="46"/>
      <c r="BQ67" s="54"/>
      <c r="BR67" s="46"/>
      <c r="BS67" s="54"/>
      <c r="BT67" s="46"/>
      <c r="BU67" s="46"/>
      <c r="BV67" s="46"/>
      <c r="BW67" s="46"/>
      <c r="BX67" s="46"/>
      <c r="BY67" s="46"/>
      <c r="BZ67" s="54"/>
      <c r="CA67" s="46"/>
      <c r="CB67" s="46"/>
      <c r="CC67" s="46"/>
    </row>
    <row r="68" spans="4:81" s="39" customFormat="true" ht="12" customHeight="true">
      <c r="D68" s="46"/>
      <c r="E68" s="46"/>
      <c r="F68" s="46"/>
      <c r="G68" s="46"/>
      <c r="H68" s="46"/>
      <c r="I68" s="46"/>
      <c r="J68" s="46"/>
      <c r="K68" s="46"/>
      <c r="L68" s="46"/>
      <c r="M68" s="46"/>
      <c r="N68" s="46"/>
      <c r="O68" s="46"/>
      <c r="P68" s="46"/>
      <c r="Q68" s="46"/>
      <c r="R68" s="46"/>
      <c r="S68" s="46"/>
      <c r="T68" s="51"/>
      <c r="U68" s="46"/>
      <c r="V68" s="46"/>
      <c r="W68" s="46"/>
      <c r="X68" s="46"/>
      <c r="Y68" s="46"/>
      <c r="Z68" s="51"/>
      <c r="AA68" s="51"/>
      <c r="AB68" s="51"/>
      <c r="AC68" s="51"/>
      <c r="AD68" s="51"/>
      <c r="AE68" s="46"/>
      <c r="AF68" s="51"/>
      <c r="AG68" s="46"/>
      <c r="AH68" s="46"/>
      <c r="AI68" s="51"/>
      <c r="AJ68" s="46"/>
      <c r="AK68" s="46"/>
      <c r="AL68" s="46"/>
      <c r="AM68" s="46"/>
      <c r="AN68" s="46"/>
      <c r="AO68" s="46"/>
      <c r="AP68" s="46"/>
      <c r="AQ68" s="46"/>
      <c r="AR68" s="46"/>
      <c r="AS68" s="46"/>
      <c r="AT68" s="51"/>
      <c r="AU68" s="46"/>
      <c r="AV68" s="46"/>
      <c r="AW68" s="46"/>
      <c r="AX68" s="46"/>
      <c r="AY68" s="46"/>
      <c r="AZ68" s="46"/>
      <c r="BA68" s="46"/>
      <c r="BB68" s="46"/>
      <c r="BC68" s="46"/>
      <c r="BD68" s="46"/>
      <c r="BE68" s="46"/>
      <c r="BF68" s="46"/>
      <c r="BG68" s="46"/>
      <c r="BH68" s="46"/>
      <c r="BI68" s="46"/>
      <c r="BJ68" s="46"/>
      <c r="BK68" s="46"/>
      <c r="BL68" s="46"/>
      <c r="BM68" s="46"/>
      <c r="BN68" s="46"/>
      <c r="BO68" s="46"/>
      <c r="BP68" s="46"/>
      <c r="BQ68" s="54"/>
      <c r="BR68" s="46"/>
      <c r="BS68" s="54"/>
      <c r="BT68" s="46"/>
      <c r="BU68" s="46"/>
      <c r="BV68" s="46"/>
      <c r="BW68" s="46"/>
      <c r="BX68" s="46"/>
      <c r="BY68" s="46"/>
      <c r="BZ68" s="54"/>
      <c r="CA68" s="46"/>
      <c r="CB68" s="46"/>
      <c r="CC68" s="46"/>
    </row>
    <row r="69" spans="4:81" s="39" customFormat="true" ht="12" customHeight="true">
      <c r="D69" s="46"/>
      <c r="E69" s="46"/>
      <c r="F69" s="46"/>
      <c r="G69" s="46"/>
      <c r="H69" s="46"/>
      <c r="I69" s="46"/>
      <c r="J69" s="46"/>
      <c r="K69" s="46"/>
      <c r="L69" s="46"/>
      <c r="M69" s="46"/>
      <c r="N69" s="46"/>
      <c r="O69" s="46"/>
      <c r="P69" s="46"/>
      <c r="Q69" s="46"/>
      <c r="R69" s="46"/>
      <c r="S69" s="46"/>
      <c r="T69" s="51"/>
      <c r="U69" s="46"/>
      <c r="V69" s="46"/>
      <c r="W69" s="46"/>
      <c r="X69" s="46"/>
      <c r="Y69" s="46"/>
      <c r="Z69" s="51"/>
      <c r="AA69" s="51"/>
      <c r="AB69" s="51"/>
      <c r="AC69" s="51"/>
      <c r="AD69" s="51"/>
      <c r="AE69" s="46"/>
      <c r="AF69" s="51"/>
      <c r="AG69" s="46"/>
      <c r="AH69" s="46"/>
      <c r="AI69" s="51"/>
      <c r="AJ69" s="46"/>
      <c r="AK69" s="46"/>
      <c r="AL69" s="46"/>
      <c r="AM69" s="46"/>
      <c r="AN69" s="46"/>
      <c r="AO69" s="46"/>
      <c r="AP69" s="46"/>
      <c r="AQ69" s="46"/>
      <c r="AR69" s="46"/>
      <c r="AS69" s="46"/>
      <c r="AT69" s="51"/>
      <c r="AU69" s="46"/>
      <c r="AV69" s="46"/>
      <c r="AW69" s="46"/>
      <c r="AX69" s="46"/>
      <c r="AY69" s="46"/>
      <c r="AZ69" s="46"/>
      <c r="BA69" s="46"/>
      <c r="BB69" s="46"/>
      <c r="BC69" s="46"/>
      <c r="BD69" s="46"/>
      <c r="BE69" s="46"/>
      <c r="BF69" s="46"/>
      <c r="BG69" s="46"/>
      <c r="BH69" s="46"/>
      <c r="BI69" s="46"/>
      <c r="BJ69" s="46"/>
      <c r="BK69" s="46"/>
      <c r="BL69" s="46"/>
      <c r="BM69" s="46"/>
      <c r="BN69" s="46"/>
      <c r="BO69" s="46"/>
      <c r="BP69" s="46"/>
      <c r="BQ69" s="54"/>
      <c r="BR69" s="46"/>
      <c r="BS69" s="54"/>
      <c r="BT69" s="46"/>
      <c r="BU69" s="46"/>
      <c r="BV69" s="46"/>
      <c r="BW69" s="46"/>
      <c r="BX69" s="46"/>
      <c r="BY69" s="46"/>
      <c r="BZ69" s="54"/>
      <c r="CA69" s="46"/>
      <c r="CB69" s="46"/>
      <c r="CC69" s="46"/>
    </row>
    <row r="70" spans="4:81" s="39" customFormat="true" ht="12" customHeight="true">
      <c r="D70" s="46"/>
      <c r="E70" s="46"/>
      <c r="F70" s="46"/>
      <c r="G70" s="46"/>
      <c r="H70" s="46"/>
      <c r="I70" s="46"/>
      <c r="J70" s="46"/>
      <c r="K70" s="46"/>
      <c r="L70" s="46"/>
      <c r="M70" s="46"/>
      <c r="N70" s="46"/>
      <c r="O70" s="46"/>
      <c r="P70" s="46"/>
      <c r="Q70" s="46"/>
      <c r="R70" s="46"/>
      <c r="S70" s="46"/>
      <c r="T70" s="51"/>
      <c r="U70" s="46"/>
      <c r="V70" s="46"/>
      <c r="W70" s="46"/>
      <c r="X70" s="46"/>
      <c r="Y70" s="46"/>
      <c r="Z70" s="51"/>
      <c r="AA70" s="51"/>
      <c r="AB70" s="51"/>
      <c r="AC70" s="51"/>
      <c r="AD70" s="51"/>
      <c r="AE70" s="46"/>
      <c r="AF70" s="51"/>
      <c r="AG70" s="46"/>
      <c r="AH70" s="46"/>
      <c r="AI70" s="51"/>
      <c r="AJ70" s="46"/>
      <c r="AK70" s="46"/>
      <c r="AL70" s="46"/>
      <c r="AM70" s="46"/>
      <c r="AN70" s="46"/>
      <c r="AO70" s="46"/>
      <c r="AP70" s="46"/>
      <c r="AQ70" s="46"/>
      <c r="AR70" s="46"/>
      <c r="AS70" s="46"/>
      <c r="AT70" s="51"/>
      <c r="AU70" s="46"/>
      <c r="AV70" s="46"/>
      <c r="AW70" s="46"/>
      <c r="AX70" s="46"/>
      <c r="AY70" s="46"/>
      <c r="AZ70" s="46"/>
      <c r="BA70" s="46"/>
      <c r="BB70" s="46"/>
      <c r="BC70" s="46"/>
      <c r="BD70" s="46"/>
      <c r="BE70" s="46"/>
      <c r="BF70" s="46"/>
      <c r="BG70" s="46"/>
      <c r="BH70" s="46"/>
      <c r="BI70" s="46"/>
      <c r="BJ70" s="46"/>
      <c r="BK70" s="46"/>
      <c r="BL70" s="46"/>
      <c r="BM70" s="46"/>
      <c r="BN70" s="46"/>
      <c r="BO70" s="46"/>
      <c r="BP70" s="46"/>
      <c r="BQ70" s="54"/>
      <c r="BR70" s="46"/>
      <c r="BS70" s="54"/>
      <c r="BT70" s="46"/>
      <c r="BU70" s="46"/>
      <c r="BV70" s="46"/>
      <c r="BW70" s="46"/>
      <c r="BX70" s="46"/>
      <c r="BY70" s="46"/>
      <c r="BZ70" s="54"/>
      <c r="CA70" s="46"/>
      <c r="CB70" s="46"/>
      <c r="CC70" s="46"/>
    </row>
    <row r="71" spans="4:81" s="39" customFormat="true" ht="12" customHeight="true">
      <c r="D71" s="46"/>
      <c r="E71" s="46"/>
      <c r="F71" s="46"/>
      <c r="G71" s="46"/>
      <c r="H71" s="46"/>
      <c r="I71" s="46"/>
      <c r="J71" s="46"/>
      <c r="K71" s="46"/>
      <c r="L71" s="46"/>
      <c r="M71" s="46"/>
      <c r="N71" s="46"/>
      <c r="O71" s="46"/>
      <c r="P71" s="46"/>
      <c r="Q71" s="46"/>
      <c r="R71" s="46"/>
      <c r="S71" s="46"/>
      <c r="T71" s="51"/>
      <c r="U71" s="46"/>
      <c r="V71" s="46"/>
      <c r="W71" s="46"/>
      <c r="X71" s="46"/>
      <c r="Y71" s="46"/>
      <c r="Z71" s="51"/>
      <c r="AA71" s="51"/>
      <c r="AB71" s="51"/>
      <c r="AC71" s="51"/>
      <c r="AD71" s="51"/>
      <c r="AE71" s="46"/>
      <c r="AF71" s="51"/>
      <c r="AG71" s="46"/>
      <c r="AH71" s="46"/>
      <c r="AI71" s="51"/>
      <c r="AJ71" s="46"/>
      <c r="AK71" s="46"/>
      <c r="AL71" s="46"/>
      <c r="AM71" s="46"/>
      <c r="AN71" s="46"/>
      <c r="AO71" s="46"/>
      <c r="AP71" s="46"/>
      <c r="AQ71" s="46"/>
      <c r="AR71" s="46"/>
      <c r="AS71" s="46"/>
      <c r="AT71" s="51"/>
      <c r="AU71" s="46"/>
      <c r="AV71" s="46"/>
      <c r="AW71" s="46"/>
      <c r="AX71" s="46"/>
      <c r="AY71" s="46"/>
      <c r="AZ71" s="46"/>
      <c r="BA71" s="46"/>
      <c r="BB71" s="46"/>
      <c r="BC71" s="46"/>
      <c r="BD71" s="46"/>
      <c r="BE71" s="46"/>
      <c r="BF71" s="46"/>
      <c r="BG71" s="46"/>
      <c r="BH71" s="46"/>
      <c r="BI71" s="46"/>
      <c r="BJ71" s="46"/>
      <c r="BK71" s="46"/>
      <c r="BL71" s="46"/>
      <c r="BM71" s="46"/>
      <c r="BN71" s="46"/>
      <c r="BO71" s="46"/>
      <c r="BP71" s="46"/>
      <c r="BQ71" s="54"/>
      <c r="BR71" s="46"/>
      <c r="BS71" s="54"/>
      <c r="BT71" s="46"/>
      <c r="BU71" s="46"/>
      <c r="BV71" s="46"/>
      <c r="BW71" s="46"/>
      <c r="BX71" s="46"/>
      <c r="BY71" s="46"/>
      <c r="BZ71" s="54"/>
      <c r="CA71" s="46"/>
      <c r="CB71" s="46"/>
      <c r="CC71" s="46"/>
    </row>
    <row r="72" spans="4:81" s="39" customFormat="true" ht="12" customHeight="true">
      <c r="D72" s="46"/>
      <c r="E72" s="46"/>
      <c r="F72" s="46"/>
      <c r="G72" s="46"/>
      <c r="H72" s="46"/>
      <c r="I72" s="46"/>
      <c r="J72" s="46"/>
      <c r="K72" s="46"/>
      <c r="L72" s="46"/>
      <c r="M72" s="46"/>
      <c r="N72" s="46"/>
      <c r="O72" s="46"/>
      <c r="P72" s="46"/>
      <c r="Q72" s="46"/>
      <c r="R72" s="46"/>
      <c r="S72" s="46"/>
      <c r="T72" s="51"/>
      <c r="U72" s="46"/>
      <c r="V72" s="46"/>
      <c r="W72" s="46"/>
      <c r="X72" s="46"/>
      <c r="Y72" s="46"/>
      <c r="Z72" s="51"/>
      <c r="AA72" s="51"/>
      <c r="AB72" s="51"/>
      <c r="AC72" s="51"/>
      <c r="AD72" s="51"/>
      <c r="AE72" s="46"/>
      <c r="AF72" s="51"/>
      <c r="AG72" s="46"/>
      <c r="AH72" s="46"/>
      <c r="AI72" s="51"/>
      <c r="AJ72" s="46"/>
      <c r="AK72" s="46"/>
      <c r="AL72" s="46"/>
      <c r="AM72" s="46"/>
      <c r="AN72" s="46"/>
      <c r="AO72" s="46"/>
      <c r="AP72" s="46"/>
      <c r="AQ72" s="46"/>
      <c r="AR72" s="46"/>
      <c r="AS72" s="46"/>
      <c r="AT72" s="51"/>
      <c r="AU72" s="46"/>
      <c r="AV72" s="46"/>
      <c r="AW72" s="46"/>
      <c r="AX72" s="46"/>
      <c r="AY72" s="46"/>
      <c r="AZ72" s="46"/>
      <c r="BA72" s="46"/>
      <c r="BB72" s="46"/>
      <c r="BC72" s="46"/>
      <c r="BD72" s="46"/>
      <c r="BE72" s="46"/>
      <c r="BF72" s="46"/>
      <c r="BG72" s="46"/>
      <c r="BH72" s="46"/>
      <c r="BI72" s="46"/>
      <c r="BJ72" s="46"/>
      <c r="BK72" s="46"/>
      <c r="BL72" s="46"/>
      <c r="BM72" s="46"/>
      <c r="BN72" s="46"/>
      <c r="BO72" s="46"/>
      <c r="BP72" s="46"/>
      <c r="BQ72" s="54"/>
      <c r="BR72" s="46"/>
      <c r="BS72" s="54"/>
      <c r="BT72" s="46"/>
      <c r="BU72" s="46"/>
      <c r="BV72" s="46"/>
      <c r="BW72" s="46"/>
      <c r="BX72" s="46"/>
      <c r="BY72" s="46"/>
      <c r="BZ72" s="54"/>
      <c r="CA72" s="46"/>
      <c r="CB72" s="46"/>
      <c r="CC72" s="46"/>
    </row>
    <row r="73" spans="4:81" s="39" customFormat="true" ht="12" customHeight="true">
      <c r="D73" s="46"/>
      <c r="E73" s="46"/>
      <c r="F73" s="46"/>
      <c r="G73" s="46"/>
      <c r="H73" s="46"/>
      <c r="I73" s="46"/>
      <c r="J73" s="46"/>
      <c r="K73" s="46"/>
      <c r="L73" s="46"/>
      <c r="M73" s="46"/>
      <c r="N73" s="46"/>
      <c r="O73" s="46"/>
      <c r="P73" s="46"/>
      <c r="Q73" s="46"/>
      <c r="R73" s="46"/>
      <c r="S73" s="46"/>
      <c r="T73" s="51"/>
      <c r="U73" s="46"/>
      <c r="V73" s="46"/>
      <c r="W73" s="46"/>
      <c r="X73" s="46"/>
      <c r="Y73" s="46"/>
      <c r="Z73" s="51"/>
      <c r="AA73" s="51"/>
      <c r="AB73" s="51"/>
      <c r="AC73" s="51"/>
      <c r="AD73" s="51"/>
      <c r="AE73" s="46"/>
      <c r="AF73" s="51"/>
      <c r="AG73" s="46"/>
      <c r="AH73" s="46"/>
      <c r="AI73" s="51"/>
      <c r="AJ73" s="46"/>
      <c r="AK73" s="46"/>
      <c r="AL73" s="46"/>
      <c r="AM73" s="46"/>
      <c r="AN73" s="46"/>
      <c r="AO73" s="46"/>
      <c r="AP73" s="46"/>
      <c r="AQ73" s="46"/>
      <c r="AR73" s="46"/>
      <c r="AS73" s="46"/>
      <c r="AT73" s="51"/>
      <c r="AU73" s="46"/>
      <c r="AV73" s="46"/>
      <c r="AW73" s="46"/>
      <c r="AX73" s="46"/>
      <c r="AY73" s="46"/>
      <c r="AZ73" s="46"/>
      <c r="BA73" s="46"/>
      <c r="BB73" s="46"/>
      <c r="BC73" s="46"/>
      <c r="BD73" s="46"/>
      <c r="BE73" s="46"/>
      <c r="BF73" s="46"/>
      <c r="BG73" s="46"/>
      <c r="BH73" s="46"/>
      <c r="BI73" s="46"/>
      <c r="BJ73" s="46"/>
      <c r="BK73" s="46"/>
      <c r="BL73" s="46"/>
      <c r="BM73" s="46"/>
      <c r="BN73" s="46"/>
      <c r="BO73" s="46"/>
      <c r="BP73" s="46"/>
      <c r="BQ73" s="54"/>
      <c r="BR73" s="46"/>
      <c r="BS73" s="54"/>
      <c r="BT73" s="46"/>
      <c r="BU73" s="46"/>
      <c r="BV73" s="46"/>
      <c r="BW73" s="46"/>
      <c r="BX73" s="46"/>
      <c r="BY73" s="46"/>
      <c r="BZ73" s="54"/>
      <c r="CA73" s="46"/>
      <c r="CB73" s="46"/>
      <c r="CC73" s="46"/>
    </row>
    <row r="74" spans="4:81" s="39" customFormat="true" ht="12" customHeight="true">
      <c r="D74" s="46"/>
      <c r="E74" s="46"/>
      <c r="F74" s="46"/>
      <c r="G74" s="46"/>
      <c r="H74" s="46"/>
      <c r="I74" s="46"/>
      <c r="J74" s="46"/>
      <c r="K74" s="46"/>
      <c r="L74" s="46"/>
      <c r="M74" s="46"/>
      <c r="N74" s="46"/>
      <c r="O74" s="46"/>
      <c r="P74" s="46"/>
      <c r="Q74" s="46"/>
      <c r="R74" s="46"/>
      <c r="S74" s="46"/>
      <c r="T74" s="51"/>
      <c r="U74" s="46"/>
      <c r="V74" s="46"/>
      <c r="W74" s="46"/>
      <c r="X74" s="46"/>
      <c r="Y74" s="46"/>
      <c r="Z74" s="51"/>
      <c r="AA74" s="51"/>
      <c r="AB74" s="51"/>
      <c r="AC74" s="51"/>
      <c r="AD74" s="51"/>
      <c r="AE74" s="46"/>
      <c r="AF74" s="51"/>
      <c r="AG74" s="46"/>
      <c r="AH74" s="46"/>
      <c r="AI74" s="51"/>
      <c r="AJ74" s="46"/>
      <c r="AK74" s="46"/>
      <c r="AL74" s="46"/>
      <c r="AM74" s="46"/>
      <c r="AN74" s="46"/>
      <c r="AO74" s="46"/>
      <c r="AP74" s="46"/>
      <c r="AQ74" s="46"/>
      <c r="AR74" s="46"/>
      <c r="AS74" s="46"/>
      <c r="AT74" s="51"/>
      <c r="AU74" s="46"/>
      <c r="AV74" s="46"/>
      <c r="AW74" s="46"/>
      <c r="AX74" s="46"/>
      <c r="AY74" s="46"/>
      <c r="AZ74" s="46"/>
      <c r="BA74" s="46"/>
      <c r="BB74" s="46"/>
      <c r="BC74" s="46"/>
      <c r="BD74" s="46"/>
      <c r="BE74" s="46"/>
      <c r="BF74" s="46"/>
      <c r="BG74" s="46"/>
      <c r="BH74" s="46"/>
      <c r="BI74" s="46"/>
      <c r="BJ74" s="46"/>
      <c r="BK74" s="46"/>
      <c r="BL74" s="46"/>
      <c r="BM74" s="46"/>
      <c r="BN74" s="46"/>
      <c r="BO74" s="46"/>
      <c r="BP74" s="46"/>
      <c r="BQ74" s="54"/>
      <c r="BR74" s="46"/>
      <c r="BS74" s="54"/>
      <c r="BT74" s="46"/>
      <c r="BU74" s="46"/>
      <c r="BV74" s="46"/>
      <c r="BW74" s="46"/>
      <c r="BX74" s="46"/>
      <c r="BY74" s="46"/>
      <c r="BZ74" s="54"/>
      <c r="CA74" s="46"/>
      <c r="CB74" s="46"/>
      <c r="CC74" s="46"/>
    </row>
    <row r="75" spans="4:81" s="39" customFormat="true" ht="12" customHeight="true">
      <c r="D75" s="46"/>
      <c r="E75" s="46"/>
      <c r="F75" s="46"/>
      <c r="G75" s="46"/>
      <c r="H75" s="46"/>
      <c r="I75" s="46"/>
      <c r="J75" s="46"/>
      <c r="K75" s="46"/>
      <c r="L75" s="46"/>
      <c r="M75" s="46"/>
      <c r="N75" s="46"/>
      <c r="O75" s="46"/>
      <c r="P75" s="46"/>
      <c r="Q75" s="46"/>
      <c r="R75" s="46"/>
      <c r="S75" s="46"/>
      <c r="T75" s="51"/>
      <c r="U75" s="46"/>
      <c r="V75" s="46"/>
      <c r="W75" s="46"/>
      <c r="X75" s="46"/>
      <c r="Y75" s="46"/>
      <c r="Z75" s="51"/>
      <c r="AA75" s="51"/>
      <c r="AB75" s="51"/>
      <c r="AC75" s="51"/>
      <c r="AD75" s="51"/>
      <c r="AE75" s="46"/>
      <c r="AF75" s="51"/>
      <c r="AG75" s="46"/>
      <c r="AH75" s="46"/>
      <c r="AI75" s="51"/>
      <c r="AJ75" s="46"/>
      <c r="AK75" s="46"/>
      <c r="AL75" s="46"/>
      <c r="AM75" s="46"/>
      <c r="AN75" s="46"/>
      <c r="AO75" s="46"/>
      <c r="AP75" s="46"/>
      <c r="AQ75" s="46"/>
      <c r="AR75" s="46"/>
      <c r="AS75" s="46"/>
      <c r="AT75" s="51"/>
      <c r="AU75" s="46"/>
      <c r="AV75" s="46"/>
      <c r="AW75" s="46"/>
      <c r="AX75" s="46"/>
      <c r="AY75" s="46"/>
      <c r="AZ75" s="46"/>
      <c r="BA75" s="46"/>
      <c r="BB75" s="46"/>
      <c r="BC75" s="46"/>
      <c r="BD75" s="46"/>
      <c r="BE75" s="46"/>
      <c r="BF75" s="46"/>
      <c r="BG75" s="46"/>
      <c r="BH75" s="46"/>
      <c r="BI75" s="46"/>
      <c r="BJ75" s="46"/>
      <c r="BK75" s="46"/>
      <c r="BL75" s="46"/>
      <c r="BM75" s="46"/>
      <c r="BN75" s="46"/>
      <c r="BO75" s="46"/>
      <c r="BP75" s="46"/>
      <c r="BQ75" s="54"/>
      <c r="BR75" s="46"/>
      <c r="BS75" s="54"/>
      <c r="BT75" s="46"/>
      <c r="BU75" s="46"/>
      <c r="BV75" s="46"/>
      <c r="BW75" s="46"/>
      <c r="BX75" s="46"/>
      <c r="BY75" s="46"/>
      <c r="BZ75" s="54"/>
      <c r="CA75" s="46"/>
      <c r="CB75" s="46"/>
      <c r="CC75" s="46"/>
    </row>
    <row r="76" spans="4:81" s="39" customFormat="true" ht="12" customHeight="true">
      <c r="D76" s="46"/>
      <c r="E76" s="46"/>
      <c r="F76" s="46"/>
      <c r="G76" s="46"/>
      <c r="H76" s="46"/>
      <c r="I76" s="46"/>
      <c r="J76" s="46"/>
      <c r="K76" s="46"/>
      <c r="L76" s="46"/>
      <c r="M76" s="46"/>
      <c r="N76" s="46"/>
      <c r="O76" s="46"/>
      <c r="P76" s="46"/>
      <c r="Q76" s="46"/>
      <c r="R76" s="46"/>
      <c r="S76" s="46"/>
      <c r="T76" s="51"/>
      <c r="U76" s="46"/>
      <c r="V76" s="46"/>
      <c r="W76" s="46"/>
      <c r="X76" s="46"/>
      <c r="Y76" s="46"/>
      <c r="Z76" s="51"/>
      <c r="AA76" s="51"/>
      <c r="AB76" s="51"/>
      <c r="AC76" s="51"/>
      <c r="AD76" s="51"/>
      <c r="AE76" s="46"/>
      <c r="AF76" s="51"/>
      <c r="AG76" s="46"/>
      <c r="AH76" s="46"/>
      <c r="AI76" s="51"/>
      <c r="AJ76" s="46"/>
      <c r="AK76" s="46"/>
      <c r="AL76" s="46"/>
      <c r="AM76" s="46"/>
      <c r="AN76" s="46"/>
      <c r="AO76" s="46"/>
      <c r="AP76" s="46"/>
      <c r="AQ76" s="46"/>
      <c r="AR76" s="46"/>
      <c r="AS76" s="46"/>
      <c r="AT76" s="51"/>
      <c r="AU76" s="46"/>
      <c r="AV76" s="46"/>
      <c r="AW76" s="46"/>
      <c r="AX76" s="46"/>
      <c r="AY76" s="46"/>
      <c r="AZ76" s="46"/>
      <c r="BA76" s="46"/>
      <c r="BB76" s="46"/>
      <c r="BC76" s="46"/>
      <c r="BD76" s="46"/>
      <c r="BE76" s="46"/>
      <c r="BF76" s="46"/>
      <c r="BG76" s="46"/>
      <c r="BH76" s="46"/>
      <c r="BI76" s="46"/>
      <c r="BJ76" s="46"/>
      <c r="BK76" s="46"/>
      <c r="BL76" s="46"/>
      <c r="BM76" s="46"/>
      <c r="BN76" s="46"/>
      <c r="BO76" s="46"/>
      <c r="BP76" s="46"/>
      <c r="BQ76" s="54"/>
      <c r="BR76" s="46"/>
      <c r="BS76" s="54"/>
      <c r="BT76" s="46"/>
      <c r="BU76" s="46"/>
      <c r="BV76" s="46"/>
      <c r="BW76" s="46"/>
      <c r="BX76" s="46"/>
      <c r="BY76" s="46"/>
      <c r="BZ76" s="54"/>
      <c r="CA76" s="46"/>
      <c r="CB76" s="46"/>
      <c r="CC76" s="46"/>
    </row>
    <row r="77" spans="2:82" s="39" customFormat="true" ht="12" customHeight="true">
      <c r="B77" s="39" t="s">
        <v>34198</v>
      </c>
      <c r="D77" s="39">
        <f t="shared" ref="D77:X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51">
        <f t="shared" si="8"/>
        <v>0</v>
      </c>
      <c r="U77" s="39">
        <f t="shared" si="8"/>
        <v>0</v>
      </c>
      <c r="V77" s="39">
        <f t="shared" si="8"/>
        <v>0</v>
      </c>
      <c r="W77" s="39">
        <f t="shared" si="8"/>
        <v>0</v>
      </c>
      <c r="X77" s="39">
        <f t="shared" si="8"/>
        <v>0</v>
      </c>
      <c r="Z77" s="51">
        <f t="shared" ref="Z77:CC77" si="9">+SUM(Z59:Z76)</f>
        <v>0</v>
      </c>
      <c r="AA77" s="51">
        <f t="shared" si="9"/>
        <v>0</v>
      </c>
      <c r="AB77" s="51">
        <f t="shared" si="9"/>
        <v>0</v>
      </c>
      <c r="AC77" s="51">
        <f t="shared" si="9"/>
        <v>0</v>
      </c>
      <c r="AD77" s="51">
        <f t="shared" si="9"/>
        <v>0</v>
      </c>
      <c r="AE77" s="39">
        <f t="shared" si="9"/>
        <v>0</v>
      </c>
      <c r="AF77" s="51">
        <f t="shared" si="9"/>
        <v>0</v>
      </c>
      <c r="AG77" s="39">
        <f t="shared" si="9"/>
        <v>0</v>
      </c>
      <c r="AH77" s="39">
        <f t="shared" si="9"/>
        <v>0</v>
      </c>
      <c r="AI77" s="51">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39">
        <f t="shared" si="9"/>
        <v>0</v>
      </c>
      <c r="AT77" s="51">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54">
        <f t="shared" si="9"/>
        <v>0</v>
      </c>
      <c r="BR77" s="39">
        <f t="shared" si="9"/>
        <v>0</v>
      </c>
      <c r="BS77" s="54">
        <f t="shared" si="9"/>
        <v>0</v>
      </c>
      <c r="BT77" s="39">
        <f t="shared" si="9"/>
        <v>0</v>
      </c>
      <c r="BU77" s="39">
        <f t="shared" si="9"/>
        <v>0</v>
      </c>
      <c r="BV77" s="39">
        <f t="shared" si="9"/>
        <v>0</v>
      </c>
      <c r="BW77" s="39">
        <f t="shared" si="9"/>
        <v>0</v>
      </c>
      <c r="BX77" s="39">
        <f t="shared" si="9"/>
        <v>0</v>
      </c>
      <c r="BY77" s="39">
        <f t="shared" si="9"/>
        <v>0</v>
      </c>
      <c r="BZ77" s="54">
        <f t="shared" si="9"/>
        <v>0</v>
      </c>
      <c r="CA77" s="39">
        <f t="shared" si="9"/>
        <v>0</v>
      </c>
      <c r="CB77" s="39">
        <f t="shared" si="9"/>
        <v>0</v>
      </c>
      <c r="CC77" s="39">
        <f t="shared" si="9"/>
        <v>0</v>
      </c>
      <c r="CD77" s="39">
        <f>SUM(D77:CC77)</f>
        <v>0</v>
      </c>
    </row>
    <row r="78" spans="20:78" s="39" customFormat="true" ht="12" customHeight="true">
      <c r="T78" s="51"/>
      <c r="Z78" s="51"/>
      <c r="AA78" s="51"/>
      <c r="AB78" s="51"/>
      <c r="AC78" s="51"/>
      <c r="AD78" s="51"/>
      <c r="AF78" s="51"/>
      <c r="AI78" s="51"/>
      <c r="AT78" s="51"/>
      <c r="BQ78" s="54"/>
      <c r="BS78" s="54"/>
      <c r="BZ78" s="54"/>
    </row>
    <row r="79" spans="20:78" s="39" customFormat="true" ht="12" customHeight="true">
      <c r="T79" s="51"/>
      <c r="Z79" s="51"/>
      <c r="AA79" s="51"/>
      <c r="AB79" s="51"/>
      <c r="AC79" s="51"/>
      <c r="AD79" s="51"/>
      <c r="AF79" s="51"/>
      <c r="AI79" s="51"/>
      <c r="AT79" s="51"/>
      <c r="BQ79" s="54"/>
      <c r="BS79" s="54"/>
      <c r="BZ79" s="54"/>
    </row>
    <row r="80" spans="2:82" s="39" customFormat="true" ht="12" customHeight="true">
      <c r="B80" s="39" t="s">
        <v>34199</v>
      </c>
      <c r="D80" s="39">
        <f t="shared" ref="D80:BO80" si="10">+D51+D57+D77</f>
        <v>95167.79</v>
      </c>
      <c r="E80" s="39">
        <f t="shared" si="10"/>
        <v>-35539.57</v>
      </c>
      <c r="F80" s="39">
        <f t="shared" si="10"/>
        <v>-65088.86</v>
      </c>
      <c r="G80" s="39">
        <f t="shared" si="10"/>
        <v>50542.17</v>
      </c>
      <c r="H80" s="39">
        <f t="shared" si="10"/>
        <v>-26155.68</v>
      </c>
      <c r="I80" s="39">
        <f t="shared" si="10"/>
        <v>0</v>
      </c>
      <c r="J80" s="39">
        <f t="shared" si="10"/>
        <v>927378.34</v>
      </c>
      <c r="K80" s="39">
        <f t="shared" si="10"/>
        <v>868993.37</v>
      </c>
      <c r="L80" s="39">
        <f t="shared" si="10"/>
        <v>186126</v>
      </c>
      <c r="M80" s="39">
        <f t="shared" si="10"/>
        <v>39708.65</v>
      </c>
      <c r="N80" s="39">
        <f t="shared" si="10"/>
        <v>12718.47</v>
      </c>
      <c r="O80" s="39">
        <f t="shared" si="10"/>
        <v>-85365.62</v>
      </c>
      <c r="P80" s="39">
        <f t="shared" si="10"/>
        <v>-164965.38</v>
      </c>
      <c r="Q80" s="39">
        <f t="shared" si="10"/>
        <v>5009.45</v>
      </c>
      <c r="R80" s="39">
        <f t="shared" si="10"/>
        <v>-2948.6</v>
      </c>
      <c r="S80" s="39">
        <f t="shared" si="10"/>
        <v>14706.43</v>
      </c>
      <c r="T80" s="51">
        <f t="shared" si="10"/>
        <v>0</v>
      </c>
      <c r="U80" s="39">
        <f t="shared" si="10"/>
        <v>129442.79</v>
      </c>
      <c r="V80" s="39">
        <f t="shared" si="10"/>
        <v>30121.87</v>
      </c>
      <c r="W80" s="39">
        <f t="shared" si="10"/>
        <v>-44086.59</v>
      </c>
      <c r="X80" s="39">
        <f t="shared" si="10"/>
        <v>28537.79</v>
      </c>
      <c r="Y80" s="39">
        <f t="shared" si="10"/>
        <v>34715.96</v>
      </c>
      <c r="Z80" s="51">
        <f t="shared" si="10"/>
        <v>0</v>
      </c>
      <c r="AA80" s="51">
        <f t="shared" si="10"/>
        <v>0</v>
      </c>
      <c r="AB80" s="51">
        <f t="shared" si="10"/>
        <v>0</v>
      </c>
      <c r="AC80" s="51">
        <f t="shared" si="10"/>
        <v>0</v>
      </c>
      <c r="AD80" s="51">
        <f t="shared" si="10"/>
        <v>0</v>
      </c>
      <c r="AE80" s="39">
        <f t="shared" si="10"/>
        <v>78590.04</v>
      </c>
      <c r="AF80" s="51">
        <f t="shared" si="10"/>
        <v>0</v>
      </c>
      <c r="AG80" s="39">
        <f t="shared" si="10"/>
        <v>-265883.36</v>
      </c>
      <c r="AH80" s="39">
        <f t="shared" si="10"/>
        <v>30045.12</v>
      </c>
      <c r="AI80" s="51">
        <f t="shared" si="10"/>
        <v>0</v>
      </c>
      <c r="AJ80" s="39">
        <f t="shared" si="10"/>
        <v>-155523.13</v>
      </c>
      <c r="AK80" s="39">
        <f t="shared" si="10"/>
        <v>30977.39</v>
      </c>
      <c r="AL80" s="39">
        <f t="shared" si="10"/>
        <v>27086.1</v>
      </c>
      <c r="AM80" s="39">
        <f t="shared" si="10"/>
        <v>0</v>
      </c>
      <c r="AN80" s="39">
        <f t="shared" si="10"/>
        <v>0</v>
      </c>
      <c r="AO80" s="39">
        <f t="shared" si="10"/>
        <v>36331.44</v>
      </c>
      <c r="AP80" s="39">
        <f t="shared" si="10"/>
        <v>76631.4800000001</v>
      </c>
      <c r="AQ80" s="39">
        <f t="shared" si="10"/>
        <v>26728.12</v>
      </c>
      <c r="AR80" s="39">
        <f t="shared" si="10"/>
        <v>48905.44</v>
      </c>
      <c r="AS80" s="39">
        <f t="shared" si="10"/>
        <v>39157.22</v>
      </c>
      <c r="AT80" s="51">
        <f t="shared" si="10"/>
        <v>0</v>
      </c>
      <c r="AU80" s="39">
        <f t="shared" si="10"/>
        <v>28197.63</v>
      </c>
      <c r="AV80" s="39">
        <f t="shared" si="10"/>
        <v>138138.05</v>
      </c>
      <c r="AW80" s="39">
        <f t="shared" si="10"/>
        <v>-2658.43</v>
      </c>
      <c r="AX80" s="39">
        <f t="shared" si="10"/>
        <v>14180.67</v>
      </c>
      <c r="AY80" s="39">
        <f t="shared" si="10"/>
        <v>38608.49</v>
      </c>
      <c r="AZ80" s="39">
        <f t="shared" si="10"/>
        <v>4015.67</v>
      </c>
      <c r="BA80" s="39">
        <f t="shared" si="10"/>
        <v>-4242.07999999999</v>
      </c>
      <c r="BB80" s="39">
        <f t="shared" si="10"/>
        <v>3325.99</v>
      </c>
      <c r="BC80" s="39">
        <f t="shared" si="10"/>
        <v>23459.48</v>
      </c>
      <c r="BD80" s="39">
        <f t="shared" si="10"/>
        <v>12304.76</v>
      </c>
      <c r="BE80" s="39">
        <f t="shared" si="10"/>
        <v>0</v>
      </c>
      <c r="BF80" s="39">
        <f t="shared" si="10"/>
        <v>200242.14</v>
      </c>
      <c r="BG80" s="39">
        <f t="shared" si="10"/>
        <v>95311.63</v>
      </c>
      <c r="BH80" s="39">
        <f t="shared" si="10"/>
        <v>40863.26</v>
      </c>
      <c r="BI80" s="39">
        <f t="shared" si="10"/>
        <v>23718.46</v>
      </c>
      <c r="BJ80" s="39">
        <f t="shared" si="10"/>
        <v>36460.59</v>
      </c>
      <c r="BK80" s="39">
        <f t="shared" si="10"/>
        <v>69121.2</v>
      </c>
      <c r="BL80" s="39">
        <f t="shared" si="10"/>
        <v>51960.95</v>
      </c>
      <c r="BM80" s="39">
        <f t="shared" si="10"/>
        <v>50501.07</v>
      </c>
      <c r="BN80" s="39">
        <f t="shared" si="10"/>
        <v>69029.14</v>
      </c>
      <c r="BO80" s="39">
        <f t="shared" si="10"/>
        <v>36502.95</v>
      </c>
      <c r="BP80" s="39">
        <f t="shared" ref="BP80:CC80" si="11">+BP51+BP57+BP77</f>
        <v>1470.15</v>
      </c>
      <c r="BQ80" s="54">
        <f t="shared" si="11"/>
        <v>0</v>
      </c>
      <c r="BR80" s="39">
        <f t="shared" si="11"/>
        <v>26708.16</v>
      </c>
      <c r="BS80" s="54">
        <f t="shared" si="11"/>
        <v>0</v>
      </c>
      <c r="BT80" s="39">
        <f t="shared" si="11"/>
        <v>-22893.68</v>
      </c>
      <c r="BU80" s="39">
        <f t="shared" si="11"/>
        <v>37735.08</v>
      </c>
      <c r="BV80" s="39">
        <f t="shared" si="11"/>
        <v>-184622.4</v>
      </c>
      <c r="BW80" s="39">
        <f t="shared" si="11"/>
        <v>90278.77</v>
      </c>
      <c r="BX80" s="39">
        <f t="shared" si="11"/>
        <v>11992.52</v>
      </c>
      <c r="BY80" s="39">
        <f t="shared" si="11"/>
        <v>36989.44</v>
      </c>
      <c r="BZ80" s="54">
        <f t="shared" si="11"/>
        <v>0</v>
      </c>
      <c r="CA80" s="39">
        <f t="shared" si="11"/>
        <v>459378.46</v>
      </c>
      <c r="CB80" s="39">
        <f t="shared" si="11"/>
        <v>584918.08</v>
      </c>
      <c r="CC80" s="39">
        <f t="shared" si="11"/>
        <v>-10383.92</v>
      </c>
      <c r="CD80" s="39">
        <f>SUM(D80:CC80)</f>
        <v>3932676.92</v>
      </c>
    </row>
    <row r="81" spans="20:78" s="39" customFormat="true" ht="12" customHeight="true">
      <c r="T81" s="51"/>
      <c r="Z81" s="51"/>
      <c r="AA81" s="51"/>
      <c r="AB81" s="51"/>
      <c r="AC81" s="51"/>
      <c r="AD81" s="51"/>
      <c r="AF81" s="51"/>
      <c r="AI81" s="51"/>
      <c r="AT81" s="51"/>
      <c r="BQ81" s="54"/>
      <c r="BS81" s="54"/>
      <c r="BZ81" s="54"/>
    </row>
    <row r="82" spans="2:82" s="39" customFormat="true" ht="12" customHeight="true">
      <c r="B82" s="39" t="s">
        <v>13909</v>
      </c>
      <c r="D82" s="47">
        <f t="shared" ref="D82:BO82" si="12">+D49-D80</f>
        <v>0</v>
      </c>
      <c r="E82" s="47">
        <f t="shared" si="12"/>
        <v>0</v>
      </c>
      <c r="F82" s="47">
        <f t="shared" si="12"/>
        <v>0</v>
      </c>
      <c r="G82" s="47">
        <f t="shared" si="12"/>
        <v>0</v>
      </c>
      <c r="H82" s="47">
        <f t="shared" si="12"/>
        <v>0</v>
      </c>
      <c r="I82" s="47">
        <f t="shared" si="12"/>
        <v>0</v>
      </c>
      <c r="J82" s="47">
        <f t="shared" si="12"/>
        <v>0</v>
      </c>
      <c r="K82" s="47">
        <f t="shared" si="12"/>
        <v>0</v>
      </c>
      <c r="L82" s="47">
        <f t="shared" si="12"/>
        <v>0</v>
      </c>
      <c r="M82" s="47">
        <f t="shared" si="12"/>
        <v>0</v>
      </c>
      <c r="N82" s="47">
        <f t="shared" si="12"/>
        <v>0</v>
      </c>
      <c r="O82" s="47">
        <f t="shared" si="12"/>
        <v>0</v>
      </c>
      <c r="P82" s="47">
        <f t="shared" si="12"/>
        <v>0</v>
      </c>
      <c r="Q82" s="47">
        <f t="shared" si="12"/>
        <v>0.0045799999998053</v>
      </c>
      <c r="R82" s="47">
        <f t="shared" si="12"/>
        <v>0</v>
      </c>
      <c r="S82" s="47">
        <f t="shared" si="12"/>
        <v>0</v>
      </c>
      <c r="T82" s="47">
        <f t="shared" si="12"/>
        <v>0</v>
      </c>
      <c r="U82" s="47">
        <f t="shared" si="12"/>
        <v>0</v>
      </c>
      <c r="V82" s="47">
        <f t="shared" si="12"/>
        <v>0</v>
      </c>
      <c r="W82" s="47">
        <f t="shared" si="12"/>
        <v>0</v>
      </c>
      <c r="X82" s="47">
        <f t="shared" si="12"/>
        <v>0</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47">
        <f t="shared" si="12"/>
        <v>0</v>
      </c>
      <c r="AX82" s="47">
        <f t="shared" si="12"/>
        <v>0</v>
      </c>
      <c r="AY82" s="47">
        <f t="shared" si="12"/>
        <v>0</v>
      </c>
      <c r="AZ82" s="47">
        <f t="shared" si="12"/>
        <v>0</v>
      </c>
      <c r="BA82" s="47">
        <f t="shared" si="12"/>
        <v>-1.18234311230481e-11</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C82" si="13">+BP49-BP80</f>
        <v>-2.27373675443232e-12</v>
      </c>
      <c r="BQ82" s="57">
        <f t="shared" si="13"/>
        <v>0</v>
      </c>
      <c r="BR82" s="47">
        <f t="shared" si="13"/>
        <v>0</v>
      </c>
      <c r="BS82" s="57">
        <f t="shared" si="13"/>
        <v>0</v>
      </c>
      <c r="BT82" s="47">
        <f t="shared" si="13"/>
        <v>0</v>
      </c>
      <c r="BU82" s="47">
        <f t="shared" si="13"/>
        <v>0</v>
      </c>
      <c r="BV82" s="47">
        <f t="shared" si="13"/>
        <v>0</v>
      </c>
      <c r="BW82" s="47">
        <f t="shared" si="13"/>
        <v>0</v>
      </c>
      <c r="BX82" s="47">
        <f t="shared" si="13"/>
        <v>0</v>
      </c>
      <c r="BY82" s="47">
        <f t="shared" si="13"/>
        <v>0</v>
      </c>
      <c r="BZ82" s="57">
        <f t="shared" si="13"/>
        <v>0</v>
      </c>
      <c r="CA82" s="47">
        <f t="shared" si="13"/>
        <v>0</v>
      </c>
      <c r="CB82" s="47">
        <f t="shared" si="13"/>
        <v>0</v>
      </c>
      <c r="CC82" s="47">
        <f t="shared" si="13"/>
        <v>0</v>
      </c>
      <c r="CD82" s="39">
        <f>SUM(D82:CC82)</f>
        <v>0.00457999998570813</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C52">
    <cfRule type="cellIs" dxfId="4" priority="2" operator="notEqual">
      <formula>0</formula>
    </cfRule>
  </conditionalFormatting>
  <conditionalFormatting sqref="D82:CC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19" min="17" style="33" width="14.44"/>
    <col customWidth="true" hidden="true" max="20" min="20" style="43" width="10.3266666666667"/>
    <col customWidth="true" max="21" min="21" style="33" width="14.8933333333333"/>
    <col customWidth="true" max="22" min="22" style="33" width="14.44"/>
    <col customWidth="true" max="23" min="23" style="33" width="14.8933333333333"/>
    <col customWidth="true" max="24" min="24" style="33" width="14.44"/>
    <col customWidth="true" max="25" min="25" style="33" width="17.8866666666667"/>
    <col customWidth="true" hidden="true" max="29" min="26" style="43" width="11"/>
    <col customWidth="true" max="30" min="30" style="33" width="14"/>
    <col customWidth="true" hidden="true" max="31" min="31" style="43" width="12.44"/>
    <col customWidth="true" max="33" min="32" style="33" width="14"/>
    <col customWidth="true" hidden="true" max="34" min="34" style="43" width="10.5533333333333"/>
    <col customWidth="true" max="35" min="35" style="33" width="14"/>
    <col customWidth="true" max="36" min="36" style="33" width="14.8933333333333"/>
    <col customWidth="true" max="37" min="37" style="33" width="14.44"/>
    <col customWidth="true" hidden="true" max="38" min="38" style="33" width="14.8933333333333"/>
    <col customWidth="true" hidden="true" max="39" min="39" style="33" width="14"/>
    <col customWidth="true" max="44" min="40" style="33" width="14.8933333333333"/>
    <col customWidth="true" hidden="true" max="45" min="45" style="43" width="10.5533333333333"/>
    <col customWidth="true" max="47" min="46" style="33" width="14.8933333333333"/>
    <col customWidth="true" max="48" min="48" style="33" width="14.44"/>
    <col customWidth="true" max="49" min="49" style="33" width="14.8933333333333"/>
    <col customWidth="true" max="50" min="50" style="33" width="14.44"/>
    <col customWidth="true" max="51" min="51" style="33" width="16.3266666666667"/>
    <col customWidth="true" max="52" min="52" style="33" width="14.44"/>
    <col customWidth="true" max="53" min="53" style="33" width="16.3266666666667"/>
    <col customWidth="true" max="54" min="54" style="33" width="14.8933333333333"/>
    <col customWidth="true" max="55" min="55" style="33" width="11.66"/>
    <col customWidth="true" hidden="true" max="56" min="56" style="33" width="14.5533333333333"/>
    <col customWidth="true" max="57" min="57" style="33" width="14"/>
    <col customWidth="true" max="58" min="58" style="33" width="14.5533333333333"/>
    <col customWidth="true" max="81" min="59" style="33" width="14"/>
    <col customWidth="true" max="82" min="82" style="33" width="14.44"/>
    <col customWidth="true" max="83" min="83" style="33" width="14"/>
    <col customWidth="true" max="84" min="84" style="33" width="11"/>
    <col customWidth="true" max="1024" min="85" style="33" width="9.10666666666667"/>
  </cols>
  <sheetData>
    <row r="1" spans="1:1" ht="12" customHeight="true">
      <c r="A1" s="33">
        <v>-1</v>
      </c>
    </row>
    <row r="2" spans="15:16" ht="12" customHeight="true">
      <c r="O2" s="33">
        <v>-1</v>
      </c>
      <c r="P2" s="33">
        <v>-1</v>
      </c>
    </row>
    <row r="4" spans="2:81"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51" t="s">
        <v>13775</v>
      </c>
      <c r="U4" s="44" t="s">
        <v>13777</v>
      </c>
      <c r="V4" s="44" t="s">
        <v>13777</v>
      </c>
      <c r="W4" s="44" t="s">
        <v>13778</v>
      </c>
      <c r="X4" s="52" t="s">
        <v>13778</v>
      </c>
      <c r="Y4" s="44" t="s">
        <v>13778</v>
      </c>
      <c r="Z4" s="51" t="s">
        <v>31453</v>
      </c>
      <c r="AA4" s="51" t="s">
        <v>31453</v>
      </c>
      <c r="AB4" s="51" t="s">
        <v>31454</v>
      </c>
      <c r="AC4" s="51" t="s">
        <v>31454</v>
      </c>
      <c r="AD4" s="44" t="s">
        <v>13788</v>
      </c>
      <c r="AE4" s="51" t="s">
        <v>13788</v>
      </c>
      <c r="AF4" s="44" t="s">
        <v>13795</v>
      </c>
      <c r="AG4" s="44" t="s">
        <v>13793</v>
      </c>
      <c r="AH4" s="51" t="s">
        <v>34100</v>
      </c>
      <c r="AI4" s="44" t="s">
        <v>13794</v>
      </c>
      <c r="AJ4" s="44" t="s">
        <v>13790</v>
      </c>
      <c r="AK4" s="44" t="s">
        <v>13791</v>
      </c>
      <c r="AL4" s="53" t="s">
        <v>31456</v>
      </c>
      <c r="AM4" s="53" t="s">
        <v>34045</v>
      </c>
      <c r="AN4" s="44" t="s">
        <v>13784</v>
      </c>
      <c r="AO4" s="44" t="s">
        <v>13780</v>
      </c>
      <c r="AP4" s="44" t="s">
        <v>13781</v>
      </c>
      <c r="AQ4" s="44" t="s">
        <v>13782</v>
      </c>
      <c r="AR4" s="44" t="s">
        <v>13783</v>
      </c>
      <c r="AS4" s="51" t="s">
        <v>34101</v>
      </c>
      <c r="AT4" s="44" t="s">
        <v>13787</v>
      </c>
      <c r="AU4" s="44" t="s">
        <v>13801</v>
      </c>
      <c r="AV4" s="44" t="s">
        <v>13810</v>
      </c>
      <c r="AW4" s="44" t="s">
        <v>13802</v>
      </c>
      <c r="AX4" s="44" t="s">
        <v>13803</v>
      </c>
      <c r="AY4" s="44" t="s">
        <v>13803</v>
      </c>
      <c r="AZ4" s="44" t="s">
        <v>13804</v>
      </c>
      <c r="BA4" s="44" t="s">
        <v>13804</v>
      </c>
      <c r="BB4" s="44" t="s">
        <v>13805</v>
      </c>
      <c r="BC4" s="44" t="s">
        <v>13811</v>
      </c>
      <c r="BD4" s="53" t="s">
        <v>13811</v>
      </c>
      <c r="BE4" s="44" t="s">
        <v>13806</v>
      </c>
      <c r="BF4" s="44" t="s">
        <v>13807</v>
      </c>
      <c r="BG4" s="44" t="s">
        <v>13808</v>
      </c>
      <c r="BH4" s="44" t="s">
        <v>13809</v>
      </c>
      <c r="BI4" s="44" t="s">
        <v>13796</v>
      </c>
      <c r="BJ4" s="44" t="s">
        <v>13797</v>
      </c>
      <c r="BK4" s="44" t="s">
        <v>13798</v>
      </c>
      <c r="BL4" s="44" t="s">
        <v>13799</v>
      </c>
      <c r="BM4" s="44" t="s">
        <v>13800</v>
      </c>
      <c r="BN4" s="44" t="s">
        <v>13812</v>
      </c>
      <c r="BO4" s="44" t="s">
        <v>13814</v>
      </c>
      <c r="BP4" s="44" t="s">
        <v>13813</v>
      </c>
      <c r="BQ4" s="44" t="s">
        <v>13815</v>
      </c>
      <c r="BR4" s="44" t="s">
        <v>13816</v>
      </c>
      <c r="BS4" s="44" t="s">
        <v>13817</v>
      </c>
      <c r="BT4" s="44" t="s">
        <v>13818</v>
      </c>
      <c r="BU4" s="44" t="s">
        <v>13820</v>
      </c>
      <c r="BV4" s="44" t="s">
        <v>13819</v>
      </c>
      <c r="BW4" s="44" t="s">
        <v>13823</v>
      </c>
      <c r="BX4" s="44" t="s">
        <v>13821</v>
      </c>
      <c r="BY4" s="44" t="s">
        <v>13822</v>
      </c>
      <c r="BZ4" s="44" t="s">
        <v>13864</v>
      </c>
      <c r="CA4" s="44" t="s">
        <v>13865</v>
      </c>
      <c r="CB4" s="44" t="s">
        <v>13859</v>
      </c>
      <c r="CC4" s="44" t="s">
        <v>13860</v>
      </c>
    </row>
    <row r="5" spans="2:81"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34105</v>
      </c>
      <c r="S5" s="45" t="s">
        <v>34103</v>
      </c>
      <c r="T5" s="43" t="s">
        <v>34107</v>
      </c>
      <c r="U5" s="48" t="s">
        <v>34104</v>
      </c>
      <c r="V5" s="45" t="s">
        <v>34103</v>
      </c>
      <c r="W5" s="48" t="s">
        <v>34104</v>
      </c>
      <c r="X5" s="45" t="s">
        <v>34103</v>
      </c>
      <c r="Y5" s="48" t="s">
        <v>34108</v>
      </c>
      <c r="Z5" s="43" t="s">
        <v>34104</v>
      </c>
      <c r="AA5" s="43" t="s">
        <v>34105</v>
      </c>
      <c r="AB5" s="43" t="s">
        <v>34104</v>
      </c>
      <c r="AC5" s="43" t="s">
        <v>34105</v>
      </c>
      <c r="AD5" s="48" t="s">
        <v>34104</v>
      </c>
      <c r="AE5" s="43" t="s">
        <v>34109</v>
      </c>
      <c r="AF5" s="48" t="s">
        <v>34104</v>
      </c>
      <c r="AG5" s="48" t="s">
        <v>34104</v>
      </c>
      <c r="AH5" s="43" t="s">
        <v>34104</v>
      </c>
      <c r="AI5" s="48" t="s">
        <v>34104</v>
      </c>
      <c r="AJ5" s="48" t="s">
        <v>34104</v>
      </c>
      <c r="AK5" s="48" t="s">
        <v>34104</v>
      </c>
      <c r="AL5" s="48" t="s">
        <v>34104</v>
      </c>
      <c r="AM5" s="48" t="s">
        <v>34104</v>
      </c>
      <c r="AN5" s="48" t="s">
        <v>34104</v>
      </c>
      <c r="AO5" s="48" t="s">
        <v>34104</v>
      </c>
      <c r="AP5" s="48" t="s">
        <v>34104</v>
      </c>
      <c r="AQ5" s="48" t="s">
        <v>34104</v>
      </c>
      <c r="AR5" s="48" t="s">
        <v>34104</v>
      </c>
      <c r="AS5" s="43" t="s">
        <v>34104</v>
      </c>
      <c r="AT5" s="48" t="s">
        <v>34104</v>
      </c>
      <c r="AU5" s="48" t="s">
        <v>34104</v>
      </c>
      <c r="AV5" s="48" t="s">
        <v>34111</v>
      </c>
      <c r="AW5" s="48" t="s">
        <v>34112</v>
      </c>
      <c r="AX5" s="48" t="s">
        <v>34113</v>
      </c>
      <c r="AY5" s="48" t="s">
        <v>34114</v>
      </c>
      <c r="AZ5" s="48" t="s">
        <v>34115</v>
      </c>
      <c r="BA5" s="48" t="s">
        <v>34116</v>
      </c>
      <c r="BB5" s="48" t="s">
        <v>34117</v>
      </c>
      <c r="BC5" s="48" t="s">
        <v>34118</v>
      </c>
      <c r="BD5" s="48" t="s">
        <v>34119</v>
      </c>
      <c r="BE5" s="48" t="s">
        <v>34120</v>
      </c>
      <c r="BF5" s="48" t="s">
        <v>34121</v>
      </c>
      <c r="BG5" s="48" t="s">
        <v>34122</v>
      </c>
      <c r="BH5" s="48" t="s">
        <v>34123</v>
      </c>
      <c r="BI5" s="48" t="s">
        <v>34124</v>
      </c>
      <c r="BJ5" s="48" t="s">
        <v>34125</v>
      </c>
      <c r="BK5" s="48" t="s">
        <v>34126</v>
      </c>
      <c r="BL5" s="48" t="s">
        <v>34127</v>
      </c>
      <c r="BM5" s="48" t="s">
        <v>34128</v>
      </c>
      <c r="BN5" s="48" t="s">
        <v>34129</v>
      </c>
      <c r="BO5" s="48" t="s">
        <v>34130</v>
      </c>
      <c r="BP5" s="48" t="s">
        <v>34132</v>
      </c>
      <c r="BQ5" s="48" t="s">
        <v>34134</v>
      </c>
      <c r="BR5" s="48" t="s">
        <v>34135</v>
      </c>
      <c r="BS5" s="48" t="s">
        <v>34136</v>
      </c>
      <c r="BT5" s="48" t="s">
        <v>34137</v>
      </c>
      <c r="BU5" s="48" t="s">
        <v>34200</v>
      </c>
      <c r="BV5" s="48" t="s">
        <v>34138</v>
      </c>
      <c r="BW5" s="48" t="s">
        <v>34203</v>
      </c>
      <c r="BX5" s="48" t="s">
        <v>34204</v>
      </c>
      <c r="BY5" s="48" t="s">
        <v>34205</v>
      </c>
      <c r="BZ5" s="48" t="s">
        <v>34140</v>
      </c>
      <c r="CA5" s="48" t="s">
        <v>34206</v>
      </c>
      <c r="CB5" s="48" t="s">
        <v>34141</v>
      </c>
      <c r="CC5" s="48" t="s">
        <v>34142</v>
      </c>
    </row>
    <row r="6" spans="2:81"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26843912</v>
      </c>
      <c r="S6" s="45">
        <v>33540278</v>
      </c>
      <c r="U6" s="48">
        <v>30249789</v>
      </c>
      <c r="V6" s="45">
        <v>30282681</v>
      </c>
      <c r="W6" s="48">
        <v>748032703</v>
      </c>
      <c r="X6" s="45">
        <v>30311274</v>
      </c>
      <c r="Y6" s="48">
        <v>203081093</v>
      </c>
      <c r="Z6" s="43" t="s">
        <v>34155</v>
      </c>
      <c r="AA6" s="43" t="s">
        <v>34156</v>
      </c>
      <c r="AB6" s="43" t="s">
        <v>34157</v>
      </c>
      <c r="AC6" s="43" t="s">
        <v>34158</v>
      </c>
      <c r="AD6" s="48" t="s">
        <v>34160</v>
      </c>
      <c r="AE6" s="43" t="s">
        <v>34161</v>
      </c>
      <c r="AF6" s="48" t="s">
        <v>34162</v>
      </c>
      <c r="AG6" s="48">
        <v>14176875</v>
      </c>
      <c r="AH6" s="43" t="s">
        <v>34163</v>
      </c>
      <c r="AI6" s="48">
        <v>26459321</v>
      </c>
      <c r="AJ6" s="48">
        <v>26690883</v>
      </c>
      <c r="AK6" s="48" t="s">
        <v>34164</v>
      </c>
      <c r="AL6" s="48">
        <v>24772020</v>
      </c>
      <c r="AM6" s="48">
        <v>4402812</v>
      </c>
      <c r="AN6" s="48" t="s">
        <v>34165</v>
      </c>
      <c r="AO6" s="48">
        <v>25065334</v>
      </c>
      <c r="AP6" s="48">
        <v>25084368</v>
      </c>
      <c r="AQ6" s="48">
        <v>25069633</v>
      </c>
      <c r="AR6" s="48">
        <v>33538439</v>
      </c>
      <c r="AT6" s="48">
        <v>27607358</v>
      </c>
      <c r="AU6" s="48">
        <v>748045952</v>
      </c>
      <c r="AV6" s="48">
        <v>13585976</v>
      </c>
      <c r="AW6" s="48">
        <v>748033552</v>
      </c>
      <c r="AX6" s="48">
        <v>31874966</v>
      </c>
      <c r="AY6" s="48">
        <v>454979502</v>
      </c>
      <c r="AZ6" s="48">
        <v>31860536</v>
      </c>
      <c r="BA6" s="48">
        <v>693305826</v>
      </c>
      <c r="BB6" s="48">
        <v>32205856</v>
      </c>
      <c r="BC6" s="48">
        <v>32121632</v>
      </c>
      <c r="BD6" s="48" t="s">
        <v>34167</v>
      </c>
      <c r="BE6" s="48">
        <v>35356295</v>
      </c>
      <c r="BF6" s="48" t="s">
        <v>34168</v>
      </c>
      <c r="BG6" s="48" t="s">
        <v>34169</v>
      </c>
      <c r="BH6" s="48" t="s">
        <v>34170</v>
      </c>
      <c r="BI6" s="48">
        <v>748030061</v>
      </c>
      <c r="BJ6" s="48">
        <v>748032711</v>
      </c>
      <c r="BK6" s="48">
        <v>37307538</v>
      </c>
      <c r="BL6" s="48">
        <v>37346924</v>
      </c>
      <c r="BM6" s="48">
        <v>748035300</v>
      </c>
      <c r="BN6" s="48" t="s">
        <v>34171</v>
      </c>
      <c r="BO6" s="48">
        <v>46129441</v>
      </c>
      <c r="BP6" s="48" t="s">
        <v>34172</v>
      </c>
      <c r="BQ6" s="48" t="s">
        <v>34173</v>
      </c>
      <c r="BR6" s="48" t="s">
        <v>34174</v>
      </c>
      <c r="BS6" s="48"/>
      <c r="BT6" s="48">
        <v>50376193</v>
      </c>
      <c r="BU6" s="48"/>
      <c r="BV6" s="48"/>
      <c r="BW6" s="48" t="s">
        <v>34207</v>
      </c>
      <c r="BX6" s="48"/>
      <c r="BY6" s="48"/>
      <c r="BZ6" s="48"/>
      <c r="CA6" s="48"/>
      <c r="CB6" s="48">
        <v>4402766</v>
      </c>
      <c r="CC6" s="48" t="s">
        <v>34176</v>
      </c>
    </row>
    <row r="7" spans="2:81"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34179</v>
      </c>
      <c r="S7" s="45" t="s">
        <v>14059</v>
      </c>
      <c r="U7" s="48" t="s">
        <v>34178</v>
      </c>
      <c r="V7" s="45" t="s">
        <v>14059</v>
      </c>
      <c r="W7" s="48" t="s">
        <v>34178</v>
      </c>
      <c r="X7" s="45" t="s">
        <v>14059</v>
      </c>
      <c r="Y7" s="48" t="s">
        <v>34181</v>
      </c>
      <c r="Z7" s="43" t="s">
        <v>14047</v>
      </c>
      <c r="AA7" s="43" t="s">
        <v>14049</v>
      </c>
      <c r="AB7" s="43" t="s">
        <v>14047</v>
      </c>
      <c r="AC7" s="43" t="s">
        <v>14049</v>
      </c>
      <c r="AD7" s="48" t="s">
        <v>34178</v>
      </c>
      <c r="AE7" s="43" t="s">
        <v>14060</v>
      </c>
      <c r="AF7" s="48" t="s">
        <v>34178</v>
      </c>
      <c r="AG7" s="48" t="s">
        <v>34178</v>
      </c>
      <c r="AH7" s="43" t="s">
        <v>34182</v>
      </c>
      <c r="AI7" s="48" t="s">
        <v>34178</v>
      </c>
      <c r="AJ7" s="48" t="s">
        <v>34178</v>
      </c>
      <c r="AK7" s="48" t="s">
        <v>34178</v>
      </c>
      <c r="AL7" s="48" t="s">
        <v>34178</v>
      </c>
      <c r="AM7" s="48" t="s">
        <v>34178</v>
      </c>
      <c r="AN7" s="48" t="s">
        <v>34178</v>
      </c>
      <c r="AO7" s="48" t="s">
        <v>34178</v>
      </c>
      <c r="AP7" s="48" t="s">
        <v>34178</v>
      </c>
      <c r="AQ7" s="48" t="s">
        <v>34178</v>
      </c>
      <c r="AR7" s="48" t="s">
        <v>34178</v>
      </c>
      <c r="AS7" s="43" t="s">
        <v>34178</v>
      </c>
      <c r="AT7" s="48" t="s">
        <v>34178</v>
      </c>
      <c r="AU7" s="48" t="s">
        <v>14045</v>
      </c>
      <c r="AV7" s="48" t="s">
        <v>14045</v>
      </c>
      <c r="AW7" s="48" t="s">
        <v>14045</v>
      </c>
      <c r="AX7" s="48" t="s">
        <v>14045</v>
      </c>
      <c r="AY7" s="48" t="s">
        <v>14061</v>
      </c>
      <c r="AZ7" s="48" t="s">
        <v>14045</v>
      </c>
      <c r="BA7" s="48" t="s">
        <v>14061</v>
      </c>
      <c r="BB7" s="48" t="s">
        <v>14045</v>
      </c>
      <c r="BC7" s="48" t="s">
        <v>14045</v>
      </c>
      <c r="BD7" s="48" t="s">
        <v>14053</v>
      </c>
      <c r="BE7" s="48" t="s">
        <v>14045</v>
      </c>
      <c r="BF7" s="48" t="s">
        <v>14045</v>
      </c>
      <c r="BG7" s="48" t="s">
        <v>14045</v>
      </c>
      <c r="BH7" s="48" t="s">
        <v>14045</v>
      </c>
      <c r="BI7" s="48" t="s">
        <v>14045</v>
      </c>
      <c r="BJ7" s="48" t="s">
        <v>14045</v>
      </c>
      <c r="BK7" s="48" t="s">
        <v>14045</v>
      </c>
      <c r="BL7" s="48" t="s">
        <v>14045</v>
      </c>
      <c r="BM7" s="48" t="s">
        <v>14045</v>
      </c>
      <c r="BN7" s="48" t="s">
        <v>14045</v>
      </c>
      <c r="BO7" s="48" t="s">
        <v>14045</v>
      </c>
      <c r="BP7" s="48" t="s">
        <v>14045</v>
      </c>
      <c r="BQ7" s="48" t="s">
        <v>14045</v>
      </c>
      <c r="BR7" s="48" t="s">
        <v>14045</v>
      </c>
      <c r="BS7" s="48" t="s">
        <v>14045</v>
      </c>
      <c r="BT7" s="48" t="s">
        <v>14045</v>
      </c>
      <c r="BU7" s="48" t="s">
        <v>14045</v>
      </c>
      <c r="BV7" s="48" t="s">
        <v>14045</v>
      </c>
      <c r="BW7" s="48" t="s">
        <v>14045</v>
      </c>
      <c r="BX7" s="48" t="s">
        <v>14045</v>
      </c>
      <c r="BY7" s="48" t="s">
        <v>14045</v>
      </c>
      <c r="BZ7" s="48" t="s">
        <v>34184</v>
      </c>
      <c r="CA7" s="48" t="s">
        <v>34178</v>
      </c>
      <c r="CB7" s="48" t="s">
        <v>14060</v>
      </c>
      <c r="CC7" s="48" t="s">
        <v>34178</v>
      </c>
    </row>
    <row r="8" spans="25:56" ht="12" customHeight="true">
      <c r="Y8" s="33">
        <v>865</v>
      </c>
      <c r="BD8" s="33" t="s">
        <v>34186</v>
      </c>
    </row>
    <row r="9" spans="2:82" s="39" customFormat="true" ht="12" customHeight="true">
      <c r="B9" s="39" t="s">
        <v>34187</v>
      </c>
      <c r="D9" s="46"/>
      <c r="E9" s="46"/>
      <c r="F9" s="46"/>
      <c r="G9" s="46"/>
      <c r="H9" s="46"/>
      <c r="I9" s="46"/>
      <c r="J9" s="46"/>
      <c r="K9" s="50">
        <v>1701107.47</v>
      </c>
      <c r="L9" s="50">
        <v>210989.46</v>
      </c>
      <c r="M9" s="46"/>
      <c r="N9" s="46"/>
      <c r="O9" s="46"/>
      <c r="P9" s="46"/>
      <c r="Q9" s="50">
        <v>31654.16</v>
      </c>
      <c r="R9" s="46"/>
      <c r="S9" s="46"/>
      <c r="T9" s="51"/>
      <c r="U9" s="50">
        <v>249058.86</v>
      </c>
      <c r="V9" s="46"/>
      <c r="W9" s="46"/>
      <c r="X9" s="46"/>
      <c r="Y9" s="50">
        <v>25731.87</v>
      </c>
      <c r="Z9" s="51"/>
      <c r="AA9" s="51"/>
      <c r="AB9" s="51"/>
      <c r="AC9" s="51"/>
      <c r="AD9" s="50">
        <v>183415.48</v>
      </c>
      <c r="AE9" s="51"/>
      <c r="AF9" s="50">
        <v>99482.4</v>
      </c>
      <c r="AG9" s="50">
        <v>27618.16</v>
      </c>
      <c r="AH9" s="51"/>
      <c r="AI9" s="50">
        <v>11968.85</v>
      </c>
      <c r="AJ9" s="50">
        <v>45485.17</v>
      </c>
      <c r="AK9" s="50">
        <v>26114.78</v>
      </c>
      <c r="AL9" s="46"/>
      <c r="AM9" s="46"/>
      <c r="AN9" s="50">
        <v>46817.66</v>
      </c>
      <c r="AO9" s="50">
        <v>32088.22</v>
      </c>
      <c r="AP9" s="50">
        <v>106713.93</v>
      </c>
      <c r="AQ9" s="50">
        <v>71391.71</v>
      </c>
      <c r="AR9" s="50">
        <v>54893.49</v>
      </c>
      <c r="AS9" s="51"/>
      <c r="AT9" s="50">
        <v>29766.9</v>
      </c>
      <c r="AU9" s="50">
        <v>235067.86</v>
      </c>
      <c r="AV9" s="50">
        <v>27383.1</v>
      </c>
      <c r="AW9" s="50">
        <v>26931.44</v>
      </c>
      <c r="AX9" s="50">
        <v>84048.71</v>
      </c>
      <c r="AY9" s="50">
        <v>4115.79</v>
      </c>
      <c r="AZ9" s="50">
        <v>81670.96</v>
      </c>
      <c r="BA9" s="50">
        <v>3432.49</v>
      </c>
      <c r="BB9" s="50">
        <v>27591.2</v>
      </c>
      <c r="BC9" s="50">
        <v>36497.42</v>
      </c>
      <c r="BD9" s="50"/>
      <c r="BE9" s="50">
        <v>232058.06</v>
      </c>
      <c r="BF9" s="50">
        <v>149558.28</v>
      </c>
      <c r="BG9" s="50">
        <v>53954.78</v>
      </c>
      <c r="BH9" s="50">
        <v>26043.52</v>
      </c>
      <c r="BI9" s="50">
        <v>52197.5</v>
      </c>
      <c r="BJ9" s="50">
        <v>93039.04</v>
      </c>
      <c r="BK9" s="50">
        <v>99964.5</v>
      </c>
      <c r="BL9" s="50">
        <v>82346.18</v>
      </c>
      <c r="BM9" s="50">
        <v>135473.03</v>
      </c>
      <c r="BN9" s="50">
        <v>46027.04</v>
      </c>
      <c r="BO9" s="50">
        <v>11929.12</v>
      </c>
      <c r="BP9" s="50">
        <v>9418.64</v>
      </c>
      <c r="BQ9" s="50">
        <v>4457.07</v>
      </c>
      <c r="BR9" s="50">
        <v>50726.46</v>
      </c>
      <c r="BS9" s="50">
        <v>42706.66</v>
      </c>
      <c r="BT9" s="50">
        <v>118808.69</v>
      </c>
      <c r="BU9" s="50">
        <v>41920.73</v>
      </c>
      <c r="BV9" s="50">
        <v>44982.27</v>
      </c>
      <c r="BW9" s="50">
        <v>865.95</v>
      </c>
      <c r="BX9" s="50">
        <v>33125</v>
      </c>
      <c r="BY9" s="50">
        <v>0</v>
      </c>
      <c r="BZ9" s="50">
        <v>355697.85</v>
      </c>
      <c r="CA9" s="50">
        <v>1503144.26</v>
      </c>
      <c r="CB9" s="50">
        <v>584918.08</v>
      </c>
      <c r="CC9" s="50">
        <v>11884.63</v>
      </c>
      <c r="CD9" s="39">
        <f>SUM(D9:CC9)</f>
        <v>7266284.88</v>
      </c>
    </row>
    <row r="10" spans="20:45" s="39" customFormat="true" ht="12" customHeight="true">
      <c r="T10" s="51"/>
      <c r="Z10" s="51"/>
      <c r="AA10" s="51"/>
      <c r="AB10" s="51"/>
      <c r="AC10" s="51"/>
      <c r="AE10" s="51"/>
      <c r="AH10" s="51"/>
      <c r="AS10" s="51"/>
    </row>
    <row r="11" spans="2:45" s="39" customFormat="true" ht="12" customHeight="true">
      <c r="B11" s="39" t="s">
        <v>34188</v>
      </c>
      <c r="T11" s="51"/>
      <c r="Z11" s="51"/>
      <c r="AA11" s="51"/>
      <c r="AB11" s="51"/>
      <c r="AC11" s="51"/>
      <c r="AE11" s="51"/>
      <c r="AH11" s="51"/>
      <c r="AS11" s="51"/>
    </row>
    <row r="12" spans="4:81" s="39" customFormat="true" ht="12" customHeight="true">
      <c r="D12" s="46">
        <v>83012.4</v>
      </c>
      <c r="E12" s="46">
        <v>1382.7</v>
      </c>
      <c r="F12" s="46"/>
      <c r="G12" s="46">
        <v>39002.8</v>
      </c>
      <c r="H12" s="46"/>
      <c r="I12" s="46"/>
      <c r="J12" s="46">
        <v>744897.38</v>
      </c>
      <c r="K12" s="46">
        <v>42906.42</v>
      </c>
      <c r="L12" s="46"/>
      <c r="M12" s="46">
        <v>25763.51</v>
      </c>
      <c r="N12" s="46">
        <v>20870.54</v>
      </c>
      <c r="O12" s="46"/>
      <c r="P12" s="46"/>
      <c r="Q12" s="46"/>
      <c r="R12" s="46"/>
      <c r="S12" s="46">
        <v>8552.06</v>
      </c>
      <c r="T12" s="51"/>
      <c r="U12" s="46"/>
      <c r="V12" s="46">
        <v>25345.53</v>
      </c>
      <c r="W12" s="46"/>
      <c r="X12" s="46">
        <v>15326.86</v>
      </c>
      <c r="Y12" s="46">
        <v>7903.47</v>
      </c>
      <c r="Z12" s="51"/>
      <c r="AA12" s="51"/>
      <c r="AB12" s="51"/>
      <c r="AC12" s="51"/>
      <c r="AD12" s="46"/>
      <c r="AE12" s="51"/>
      <c r="AF12" s="46">
        <v>18015.6</v>
      </c>
      <c r="AG12" s="46">
        <v>25383.63</v>
      </c>
      <c r="AH12" s="51"/>
      <c r="AI12" s="46"/>
      <c r="AJ12" s="46">
        <v>5850</v>
      </c>
      <c r="AK12" s="46">
        <v>8803.83</v>
      </c>
      <c r="AL12" s="46"/>
      <c r="AM12" s="46"/>
      <c r="AN12" s="46"/>
      <c r="AO12" s="46">
        <v>20000</v>
      </c>
      <c r="AP12" s="46"/>
      <c r="AQ12" s="46"/>
      <c r="AR12" s="46"/>
      <c r="AS12" s="51"/>
      <c r="AT12" s="46"/>
      <c r="AU12" s="46">
        <v>68605.15</v>
      </c>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v>7847.07</v>
      </c>
      <c r="BX12" s="46"/>
      <c r="BY12" s="46">
        <v>42925.16</v>
      </c>
      <c r="BZ12" s="46">
        <v>86000</v>
      </c>
      <c r="CA12" s="46"/>
      <c r="CB12" s="46"/>
      <c r="CC12" s="46"/>
    </row>
    <row r="13" spans="4:81" s="39" customFormat="true" ht="12" customHeight="true">
      <c r="D13" s="46"/>
      <c r="E13" s="46"/>
      <c r="F13" s="46"/>
      <c r="G13" s="46"/>
      <c r="H13" s="46"/>
      <c r="I13" s="46"/>
      <c r="J13" s="46"/>
      <c r="K13" s="46"/>
      <c r="L13" s="46"/>
      <c r="M13" s="46"/>
      <c r="N13" s="46"/>
      <c r="O13" s="46"/>
      <c r="P13" s="46"/>
      <c r="Q13" s="46"/>
      <c r="R13" s="46"/>
      <c r="S13" s="46"/>
      <c r="T13" s="51"/>
      <c r="U13" s="46"/>
      <c r="V13" s="46">
        <v>26634.26</v>
      </c>
      <c r="W13" s="46"/>
      <c r="X13" s="46">
        <v>22647.49</v>
      </c>
      <c r="Y13" s="46"/>
      <c r="Z13" s="51"/>
      <c r="AA13" s="51"/>
      <c r="AB13" s="51"/>
      <c r="AC13" s="51"/>
      <c r="AD13" s="46"/>
      <c r="AE13" s="51"/>
      <c r="AF13" s="46"/>
      <c r="AG13" s="46"/>
      <c r="AH13" s="51"/>
      <c r="AI13" s="46"/>
      <c r="AJ13" s="46"/>
      <c r="AK13" s="46"/>
      <c r="AL13" s="46"/>
      <c r="AM13" s="46"/>
      <c r="AN13" s="46"/>
      <c r="AO13" s="46"/>
      <c r="AP13" s="46"/>
      <c r="AQ13" s="46"/>
      <c r="AR13" s="46"/>
      <c r="AS13" s="51"/>
      <c r="AT13" s="46"/>
      <c r="AU13" s="46"/>
      <c r="AV13" s="46"/>
      <c r="AW13" s="46"/>
      <c r="AX13" s="46"/>
      <c r="AY13" s="46"/>
      <c r="AZ13" s="46"/>
      <c r="BA13" s="46"/>
      <c r="BB13" s="46"/>
      <c r="BC13" s="46"/>
      <c r="BD13" s="46"/>
      <c r="BE13" s="46"/>
      <c r="BF13" s="46">
        <v>40.65</v>
      </c>
      <c r="BG13" s="46"/>
      <c r="BH13" s="46"/>
      <c r="BI13" s="46"/>
      <c r="BJ13" s="46"/>
      <c r="BK13" s="46"/>
      <c r="BL13" s="46"/>
      <c r="BM13" s="46"/>
      <c r="BN13" s="46"/>
      <c r="BO13" s="46"/>
      <c r="BP13" s="46"/>
      <c r="BQ13" s="46"/>
      <c r="BR13" s="46"/>
      <c r="BS13" s="46"/>
      <c r="BT13" s="46"/>
      <c r="BU13" s="46"/>
      <c r="BV13" s="46"/>
      <c r="BW13" s="46"/>
      <c r="BX13" s="46"/>
      <c r="BY13" s="46"/>
      <c r="BZ13" s="46"/>
      <c r="CA13" s="46"/>
      <c r="CB13" s="46"/>
      <c r="CC13" s="46"/>
    </row>
    <row r="14" spans="4:81" s="39" customFormat="true" ht="12" customHeight="true">
      <c r="D14" s="46"/>
      <c r="E14" s="46"/>
      <c r="F14" s="46"/>
      <c r="G14" s="46"/>
      <c r="H14" s="46"/>
      <c r="I14" s="46"/>
      <c r="J14" s="46"/>
      <c r="K14" s="46"/>
      <c r="L14" s="46"/>
      <c r="M14" s="46"/>
      <c r="N14" s="46"/>
      <c r="O14" s="46"/>
      <c r="P14" s="46"/>
      <c r="Q14" s="46"/>
      <c r="R14" s="46"/>
      <c r="S14" s="46"/>
      <c r="T14" s="51"/>
      <c r="U14" s="46"/>
      <c r="V14" s="46"/>
      <c r="W14" s="46"/>
      <c r="X14" s="46"/>
      <c r="Y14" s="46"/>
      <c r="Z14" s="51"/>
      <c r="AA14" s="51"/>
      <c r="AB14" s="51"/>
      <c r="AC14" s="51"/>
      <c r="AD14" s="46"/>
      <c r="AE14" s="51"/>
      <c r="AF14" s="46"/>
      <c r="AG14" s="46"/>
      <c r="AH14" s="51"/>
      <c r="AI14" s="46"/>
      <c r="AJ14" s="46"/>
      <c r="AK14" s="46"/>
      <c r="AL14" s="46"/>
      <c r="AM14" s="46"/>
      <c r="AN14" s="46"/>
      <c r="AO14" s="46"/>
      <c r="AP14" s="46"/>
      <c r="AQ14" s="46"/>
      <c r="AR14" s="46"/>
      <c r="AS14" s="51"/>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row>
    <row r="15" spans="4:81" s="39" customFormat="true" ht="12" customHeight="true">
      <c r="D15" s="46"/>
      <c r="E15" s="46"/>
      <c r="F15" s="46"/>
      <c r="G15" s="46"/>
      <c r="H15" s="46"/>
      <c r="I15" s="46"/>
      <c r="J15" s="46"/>
      <c r="K15" s="46"/>
      <c r="L15" s="46"/>
      <c r="M15" s="46"/>
      <c r="N15" s="46"/>
      <c r="O15" s="46"/>
      <c r="P15" s="46"/>
      <c r="Q15" s="46"/>
      <c r="R15" s="46"/>
      <c r="S15" s="46"/>
      <c r="T15" s="51"/>
      <c r="U15" s="46"/>
      <c r="V15" s="46"/>
      <c r="W15" s="46"/>
      <c r="X15" s="46"/>
      <c r="Y15" s="46"/>
      <c r="Z15" s="51"/>
      <c r="AA15" s="51"/>
      <c r="AB15" s="51"/>
      <c r="AC15" s="51"/>
      <c r="AD15" s="46"/>
      <c r="AE15" s="51"/>
      <c r="AF15" s="46"/>
      <c r="AG15" s="46"/>
      <c r="AH15" s="51"/>
      <c r="AI15" s="46"/>
      <c r="AJ15" s="46"/>
      <c r="AK15" s="46"/>
      <c r="AL15" s="46"/>
      <c r="AM15" s="46"/>
      <c r="AN15" s="46"/>
      <c r="AO15" s="46"/>
      <c r="AP15" s="46"/>
      <c r="AQ15" s="46"/>
      <c r="AR15" s="46"/>
      <c r="AS15" s="51"/>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row>
    <row r="16" spans="4:81" s="39" customFormat="true" ht="12" customHeight="true">
      <c r="D16" s="46"/>
      <c r="E16" s="46"/>
      <c r="F16" s="46"/>
      <c r="G16" s="46"/>
      <c r="H16" s="46"/>
      <c r="I16" s="46"/>
      <c r="J16" s="46"/>
      <c r="K16" s="46"/>
      <c r="L16" s="46"/>
      <c r="M16" s="46"/>
      <c r="N16" s="46"/>
      <c r="O16" s="46"/>
      <c r="P16" s="46"/>
      <c r="Q16" s="46"/>
      <c r="R16" s="46"/>
      <c r="S16" s="46"/>
      <c r="T16" s="51"/>
      <c r="U16" s="46"/>
      <c r="V16" s="46"/>
      <c r="W16" s="46"/>
      <c r="X16" s="46"/>
      <c r="Y16" s="46"/>
      <c r="Z16" s="51"/>
      <c r="AA16" s="51"/>
      <c r="AB16" s="51"/>
      <c r="AC16" s="51"/>
      <c r="AD16" s="46"/>
      <c r="AE16" s="51"/>
      <c r="AF16" s="46"/>
      <c r="AG16" s="46"/>
      <c r="AH16" s="51"/>
      <c r="AI16" s="46"/>
      <c r="AJ16" s="46"/>
      <c r="AK16" s="46"/>
      <c r="AL16" s="46"/>
      <c r="AM16" s="46"/>
      <c r="AN16" s="46"/>
      <c r="AO16" s="46"/>
      <c r="AP16" s="46"/>
      <c r="AQ16" s="46"/>
      <c r="AR16" s="46"/>
      <c r="AS16" s="51"/>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row>
    <row r="17" spans="4:81" s="39" customFormat="true" ht="12" customHeight="true">
      <c r="D17" s="46"/>
      <c r="E17" s="46"/>
      <c r="F17" s="46"/>
      <c r="G17" s="46"/>
      <c r="H17" s="46"/>
      <c r="I17" s="46"/>
      <c r="J17" s="46"/>
      <c r="K17" s="46"/>
      <c r="L17" s="46"/>
      <c r="M17" s="46"/>
      <c r="N17" s="46"/>
      <c r="O17" s="46"/>
      <c r="P17" s="46"/>
      <c r="Q17" s="46"/>
      <c r="R17" s="46"/>
      <c r="S17" s="46"/>
      <c r="T17" s="51"/>
      <c r="U17" s="46"/>
      <c r="V17" s="46"/>
      <c r="W17" s="46"/>
      <c r="X17" s="46"/>
      <c r="Y17" s="46"/>
      <c r="Z17" s="51"/>
      <c r="AA17" s="51"/>
      <c r="AB17" s="51"/>
      <c r="AC17" s="51"/>
      <c r="AD17" s="46"/>
      <c r="AE17" s="51"/>
      <c r="AF17" s="46"/>
      <c r="AG17" s="46"/>
      <c r="AH17" s="51"/>
      <c r="AI17" s="46"/>
      <c r="AJ17" s="46"/>
      <c r="AK17" s="46"/>
      <c r="AL17" s="46"/>
      <c r="AM17" s="46"/>
      <c r="AN17" s="46"/>
      <c r="AO17" s="46"/>
      <c r="AP17" s="46"/>
      <c r="AQ17" s="46"/>
      <c r="AR17" s="46"/>
      <c r="AS17" s="51"/>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row>
    <row r="18" spans="4:81" s="39" customFormat="true" ht="12" customHeight="true">
      <c r="D18" s="46"/>
      <c r="E18" s="46"/>
      <c r="F18" s="46"/>
      <c r="G18" s="46"/>
      <c r="H18" s="46"/>
      <c r="I18" s="46"/>
      <c r="J18" s="46"/>
      <c r="K18" s="46"/>
      <c r="L18" s="46"/>
      <c r="M18" s="46"/>
      <c r="N18" s="46"/>
      <c r="O18" s="46"/>
      <c r="P18" s="46"/>
      <c r="Q18" s="46"/>
      <c r="R18" s="46"/>
      <c r="S18" s="46"/>
      <c r="T18" s="51"/>
      <c r="U18" s="46"/>
      <c r="V18" s="46"/>
      <c r="W18" s="46"/>
      <c r="X18" s="46"/>
      <c r="Y18" s="46"/>
      <c r="Z18" s="51"/>
      <c r="AA18" s="51"/>
      <c r="AB18" s="51"/>
      <c r="AC18" s="51"/>
      <c r="AD18" s="46"/>
      <c r="AE18" s="51"/>
      <c r="AF18" s="46"/>
      <c r="AG18" s="46"/>
      <c r="AH18" s="51"/>
      <c r="AI18" s="46"/>
      <c r="AJ18" s="46"/>
      <c r="AK18" s="46"/>
      <c r="AL18" s="46"/>
      <c r="AM18" s="46"/>
      <c r="AN18" s="46"/>
      <c r="AO18" s="46"/>
      <c r="AP18" s="46"/>
      <c r="AQ18" s="46"/>
      <c r="AR18" s="46"/>
      <c r="AS18" s="51"/>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row>
    <row r="19" spans="4:81" s="39" customFormat="true" ht="12" customHeight="true">
      <c r="D19" s="46"/>
      <c r="E19" s="46"/>
      <c r="F19" s="46"/>
      <c r="G19" s="46"/>
      <c r="H19" s="46"/>
      <c r="I19" s="46"/>
      <c r="J19" s="46"/>
      <c r="K19" s="46"/>
      <c r="L19" s="46"/>
      <c r="M19" s="46"/>
      <c r="N19" s="46"/>
      <c r="O19" s="46"/>
      <c r="P19" s="46"/>
      <c r="Q19" s="46"/>
      <c r="R19" s="46"/>
      <c r="S19" s="46"/>
      <c r="T19" s="51"/>
      <c r="U19" s="46"/>
      <c r="V19" s="46"/>
      <c r="W19" s="46"/>
      <c r="X19" s="46"/>
      <c r="Y19" s="46"/>
      <c r="Z19" s="51"/>
      <c r="AA19" s="51"/>
      <c r="AB19" s="51"/>
      <c r="AC19" s="51"/>
      <c r="AD19" s="46"/>
      <c r="AE19" s="51"/>
      <c r="AF19" s="46"/>
      <c r="AG19" s="46"/>
      <c r="AH19" s="51"/>
      <c r="AI19" s="46"/>
      <c r="AJ19" s="46"/>
      <c r="AK19" s="46"/>
      <c r="AL19" s="46"/>
      <c r="AM19" s="46"/>
      <c r="AN19" s="46"/>
      <c r="AO19" s="46"/>
      <c r="AP19" s="46"/>
      <c r="AQ19" s="46"/>
      <c r="AR19" s="46"/>
      <c r="AS19" s="51"/>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row>
    <row r="20" spans="4:81" s="39" customFormat="true" ht="12" customHeight="true">
      <c r="D20" s="46"/>
      <c r="E20" s="46"/>
      <c r="F20" s="46"/>
      <c r="G20" s="46"/>
      <c r="H20" s="46"/>
      <c r="I20" s="46"/>
      <c r="J20" s="46"/>
      <c r="K20" s="46"/>
      <c r="L20" s="46"/>
      <c r="M20" s="46"/>
      <c r="N20" s="46"/>
      <c r="O20" s="46"/>
      <c r="P20" s="46"/>
      <c r="Q20" s="46"/>
      <c r="R20" s="46"/>
      <c r="S20" s="46"/>
      <c r="T20" s="51"/>
      <c r="U20" s="46"/>
      <c r="V20" s="46"/>
      <c r="W20" s="46"/>
      <c r="X20" s="46"/>
      <c r="Y20" s="46"/>
      <c r="Z20" s="51"/>
      <c r="AA20" s="51"/>
      <c r="AB20" s="51"/>
      <c r="AC20" s="51"/>
      <c r="AD20" s="46"/>
      <c r="AE20" s="51"/>
      <c r="AF20" s="46"/>
      <c r="AG20" s="46"/>
      <c r="AH20" s="51"/>
      <c r="AI20" s="46"/>
      <c r="AJ20" s="46"/>
      <c r="AK20" s="46"/>
      <c r="AL20" s="46"/>
      <c r="AM20" s="46"/>
      <c r="AN20" s="46"/>
      <c r="AO20" s="46"/>
      <c r="AP20" s="46"/>
      <c r="AQ20" s="46"/>
      <c r="AR20" s="46"/>
      <c r="AS20" s="51"/>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row>
    <row r="21" spans="4:81" s="39" customFormat="true" ht="12" customHeight="true">
      <c r="D21" s="46"/>
      <c r="E21" s="46"/>
      <c r="F21" s="46"/>
      <c r="G21" s="46"/>
      <c r="H21" s="46"/>
      <c r="I21" s="46"/>
      <c r="J21" s="46"/>
      <c r="K21" s="46"/>
      <c r="L21" s="46"/>
      <c r="M21" s="46"/>
      <c r="N21" s="46"/>
      <c r="O21" s="46"/>
      <c r="P21" s="46"/>
      <c r="Q21" s="46"/>
      <c r="R21" s="46"/>
      <c r="S21" s="46"/>
      <c r="T21" s="51"/>
      <c r="U21" s="46"/>
      <c r="V21" s="46"/>
      <c r="W21" s="46"/>
      <c r="X21" s="46"/>
      <c r="Y21" s="46"/>
      <c r="Z21" s="51"/>
      <c r="AA21" s="51"/>
      <c r="AB21" s="51"/>
      <c r="AC21" s="51"/>
      <c r="AD21" s="46"/>
      <c r="AE21" s="51"/>
      <c r="AF21" s="46"/>
      <c r="AG21" s="46"/>
      <c r="AH21" s="51"/>
      <c r="AI21" s="46"/>
      <c r="AJ21" s="46"/>
      <c r="AK21" s="46"/>
      <c r="AL21" s="46"/>
      <c r="AM21" s="46"/>
      <c r="AN21" s="46"/>
      <c r="AO21" s="46"/>
      <c r="AP21" s="46"/>
      <c r="AQ21" s="46"/>
      <c r="AR21" s="46"/>
      <c r="AS21" s="51"/>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row>
    <row r="22" spans="4:81" s="39" customFormat="true" ht="12" customHeight="true">
      <c r="D22" s="46"/>
      <c r="E22" s="46"/>
      <c r="F22" s="46"/>
      <c r="G22" s="46"/>
      <c r="H22" s="46"/>
      <c r="I22" s="46"/>
      <c r="J22" s="46"/>
      <c r="K22" s="46"/>
      <c r="L22" s="46"/>
      <c r="M22" s="46"/>
      <c r="N22" s="46"/>
      <c r="O22" s="46"/>
      <c r="P22" s="46"/>
      <c r="Q22" s="46"/>
      <c r="R22" s="46"/>
      <c r="S22" s="46"/>
      <c r="T22" s="51"/>
      <c r="U22" s="46"/>
      <c r="V22" s="46"/>
      <c r="W22" s="46"/>
      <c r="X22" s="46"/>
      <c r="Y22" s="46"/>
      <c r="Z22" s="51"/>
      <c r="AA22" s="51"/>
      <c r="AB22" s="51"/>
      <c r="AC22" s="51"/>
      <c r="AD22" s="46"/>
      <c r="AE22" s="51"/>
      <c r="AF22" s="46"/>
      <c r="AG22" s="46"/>
      <c r="AH22" s="51"/>
      <c r="AI22" s="46"/>
      <c r="AJ22" s="46"/>
      <c r="AK22" s="46"/>
      <c r="AL22" s="46"/>
      <c r="AM22" s="46"/>
      <c r="AN22" s="46"/>
      <c r="AO22" s="46"/>
      <c r="AP22" s="46"/>
      <c r="AQ22" s="46"/>
      <c r="AR22" s="46"/>
      <c r="AS22" s="51"/>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row>
    <row r="23" spans="4:81" s="39" customFormat="true" ht="12" customHeight="true">
      <c r="D23" s="46"/>
      <c r="E23" s="46"/>
      <c r="F23" s="46"/>
      <c r="G23" s="46"/>
      <c r="H23" s="46"/>
      <c r="I23" s="46"/>
      <c r="J23" s="46"/>
      <c r="K23" s="46"/>
      <c r="L23" s="46"/>
      <c r="M23" s="46"/>
      <c r="N23" s="46"/>
      <c r="O23" s="46"/>
      <c r="P23" s="46"/>
      <c r="Q23" s="46"/>
      <c r="R23" s="46"/>
      <c r="S23" s="46"/>
      <c r="T23" s="51"/>
      <c r="U23" s="46"/>
      <c r="V23" s="46"/>
      <c r="W23" s="46"/>
      <c r="X23" s="46"/>
      <c r="Y23" s="46"/>
      <c r="Z23" s="51"/>
      <c r="AA23" s="51"/>
      <c r="AB23" s="51"/>
      <c r="AC23" s="51"/>
      <c r="AD23" s="46"/>
      <c r="AE23" s="51"/>
      <c r="AF23" s="46"/>
      <c r="AG23" s="46"/>
      <c r="AH23" s="51"/>
      <c r="AI23" s="46"/>
      <c r="AJ23" s="46"/>
      <c r="AK23" s="46"/>
      <c r="AL23" s="46"/>
      <c r="AM23" s="46"/>
      <c r="AN23" s="46"/>
      <c r="AO23" s="46"/>
      <c r="AP23" s="46"/>
      <c r="AQ23" s="46"/>
      <c r="AR23" s="46"/>
      <c r="AS23" s="51"/>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row>
    <row r="24" spans="4:81" s="39" customFormat="true" ht="12" customHeight="true">
      <c r="D24" s="46"/>
      <c r="E24" s="46"/>
      <c r="F24" s="46"/>
      <c r="G24" s="46"/>
      <c r="H24" s="46"/>
      <c r="I24" s="46"/>
      <c r="J24" s="46"/>
      <c r="K24" s="46"/>
      <c r="L24" s="46"/>
      <c r="M24" s="46"/>
      <c r="N24" s="46"/>
      <c r="O24" s="46"/>
      <c r="P24" s="46"/>
      <c r="Q24" s="46"/>
      <c r="R24" s="46"/>
      <c r="S24" s="46"/>
      <c r="T24" s="51"/>
      <c r="U24" s="46"/>
      <c r="V24" s="46"/>
      <c r="W24" s="46"/>
      <c r="X24" s="46"/>
      <c r="Y24" s="46"/>
      <c r="Z24" s="51"/>
      <c r="AA24" s="51"/>
      <c r="AB24" s="51"/>
      <c r="AC24" s="51"/>
      <c r="AD24" s="46"/>
      <c r="AE24" s="51"/>
      <c r="AF24" s="46"/>
      <c r="AG24" s="46"/>
      <c r="AH24" s="51"/>
      <c r="AI24" s="46"/>
      <c r="AJ24" s="46"/>
      <c r="AK24" s="46"/>
      <c r="AL24" s="46"/>
      <c r="AM24" s="46"/>
      <c r="AN24" s="46"/>
      <c r="AO24" s="46"/>
      <c r="AP24" s="46"/>
      <c r="AQ24" s="46"/>
      <c r="AR24" s="46"/>
      <c r="AS24" s="51"/>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row>
    <row r="25" spans="4:81" s="39" customFormat="true" ht="12" customHeight="true">
      <c r="D25" s="46"/>
      <c r="E25" s="46"/>
      <c r="F25" s="46"/>
      <c r="G25" s="46"/>
      <c r="H25" s="46"/>
      <c r="I25" s="46"/>
      <c r="J25" s="46"/>
      <c r="K25" s="46"/>
      <c r="L25" s="46"/>
      <c r="M25" s="46"/>
      <c r="N25" s="46"/>
      <c r="O25" s="46"/>
      <c r="P25" s="46"/>
      <c r="Q25" s="46"/>
      <c r="R25" s="46"/>
      <c r="S25" s="46"/>
      <c r="T25" s="51"/>
      <c r="U25" s="46"/>
      <c r="V25" s="46"/>
      <c r="W25" s="46"/>
      <c r="X25" s="46"/>
      <c r="Y25" s="46"/>
      <c r="Z25" s="51"/>
      <c r="AA25" s="51"/>
      <c r="AB25" s="51"/>
      <c r="AC25" s="51"/>
      <c r="AD25" s="46"/>
      <c r="AE25" s="51"/>
      <c r="AF25" s="46"/>
      <c r="AG25" s="46"/>
      <c r="AH25" s="51"/>
      <c r="AI25" s="46"/>
      <c r="AJ25" s="46"/>
      <c r="AK25" s="46"/>
      <c r="AL25" s="46"/>
      <c r="AM25" s="46"/>
      <c r="AN25" s="46"/>
      <c r="AO25" s="46"/>
      <c r="AP25" s="46"/>
      <c r="AQ25" s="46"/>
      <c r="AR25" s="46"/>
      <c r="AS25" s="51"/>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row>
    <row r="26" spans="4:81" s="39" customFormat="true" ht="12" customHeight="true">
      <c r="D26" s="46"/>
      <c r="E26" s="46"/>
      <c r="F26" s="46"/>
      <c r="G26" s="46"/>
      <c r="H26" s="46"/>
      <c r="I26" s="46"/>
      <c r="J26" s="46"/>
      <c r="K26" s="46"/>
      <c r="L26" s="46"/>
      <c r="M26" s="46"/>
      <c r="N26" s="46"/>
      <c r="O26" s="46"/>
      <c r="P26" s="46"/>
      <c r="Q26" s="46"/>
      <c r="R26" s="46"/>
      <c r="S26" s="46"/>
      <c r="T26" s="51"/>
      <c r="U26" s="46"/>
      <c r="V26" s="46"/>
      <c r="W26" s="46"/>
      <c r="X26" s="46"/>
      <c r="Y26" s="46"/>
      <c r="Z26" s="51"/>
      <c r="AA26" s="51"/>
      <c r="AB26" s="51"/>
      <c r="AC26" s="51"/>
      <c r="AD26" s="46"/>
      <c r="AE26" s="51"/>
      <c r="AF26" s="46"/>
      <c r="AG26" s="46"/>
      <c r="AH26" s="51"/>
      <c r="AI26" s="46"/>
      <c r="AJ26" s="46"/>
      <c r="AK26" s="46"/>
      <c r="AL26" s="46"/>
      <c r="AM26" s="46"/>
      <c r="AN26" s="46"/>
      <c r="AO26" s="46"/>
      <c r="AP26" s="46"/>
      <c r="AQ26" s="46"/>
      <c r="AR26" s="46"/>
      <c r="AS26" s="51"/>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row>
    <row r="27" spans="4:81" s="39" customFormat="true" ht="12" customHeight="true">
      <c r="D27" s="46"/>
      <c r="E27" s="46"/>
      <c r="F27" s="46"/>
      <c r="G27" s="46"/>
      <c r="H27" s="46"/>
      <c r="I27" s="46"/>
      <c r="J27" s="46"/>
      <c r="K27" s="46"/>
      <c r="L27" s="46"/>
      <c r="M27" s="46"/>
      <c r="N27" s="46"/>
      <c r="O27" s="46"/>
      <c r="P27" s="46"/>
      <c r="Q27" s="46"/>
      <c r="R27" s="46"/>
      <c r="S27" s="46"/>
      <c r="T27" s="51"/>
      <c r="U27" s="46"/>
      <c r="V27" s="46"/>
      <c r="W27" s="46"/>
      <c r="X27" s="46"/>
      <c r="Y27" s="46"/>
      <c r="Z27" s="51"/>
      <c r="AA27" s="51"/>
      <c r="AB27" s="51"/>
      <c r="AC27" s="51"/>
      <c r="AD27" s="46"/>
      <c r="AE27" s="51"/>
      <c r="AF27" s="46"/>
      <c r="AG27" s="46"/>
      <c r="AH27" s="51"/>
      <c r="AI27" s="46"/>
      <c r="AJ27" s="46"/>
      <c r="AK27" s="46"/>
      <c r="AL27" s="46"/>
      <c r="AM27" s="46"/>
      <c r="AN27" s="46"/>
      <c r="AO27" s="46"/>
      <c r="AP27" s="46"/>
      <c r="AQ27" s="46"/>
      <c r="AR27" s="46"/>
      <c r="AS27" s="51"/>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row>
    <row r="28" spans="4:81" s="39" customFormat="true" ht="12" customHeight="true">
      <c r="D28" s="46"/>
      <c r="E28" s="46"/>
      <c r="F28" s="46"/>
      <c r="G28" s="46"/>
      <c r="H28" s="46"/>
      <c r="I28" s="46"/>
      <c r="J28" s="46"/>
      <c r="K28" s="46"/>
      <c r="L28" s="46"/>
      <c r="M28" s="46"/>
      <c r="N28" s="46"/>
      <c r="O28" s="46"/>
      <c r="P28" s="46"/>
      <c r="Q28" s="46"/>
      <c r="R28" s="46"/>
      <c r="S28" s="46"/>
      <c r="T28" s="51"/>
      <c r="U28" s="46"/>
      <c r="V28" s="46"/>
      <c r="W28" s="46"/>
      <c r="X28" s="46"/>
      <c r="Y28" s="46"/>
      <c r="Z28" s="51"/>
      <c r="AA28" s="51"/>
      <c r="AB28" s="51"/>
      <c r="AC28" s="51"/>
      <c r="AD28" s="46"/>
      <c r="AE28" s="51"/>
      <c r="AF28" s="46"/>
      <c r="AG28" s="46"/>
      <c r="AH28" s="51"/>
      <c r="AI28" s="46"/>
      <c r="AJ28" s="46"/>
      <c r="AK28" s="46"/>
      <c r="AL28" s="46"/>
      <c r="AM28" s="46"/>
      <c r="AN28" s="46"/>
      <c r="AO28" s="46"/>
      <c r="AP28" s="46"/>
      <c r="AQ28" s="46"/>
      <c r="AR28" s="46"/>
      <c r="AS28" s="51"/>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row>
    <row r="29" spans="2:82" s="39" customFormat="true" ht="12" customHeight="true">
      <c r="B29" s="39" t="s">
        <v>34189</v>
      </c>
      <c r="D29" s="39">
        <f t="shared" ref="D29:BO29" si="0">+SUM(D11:D28)</f>
        <v>83012.4</v>
      </c>
      <c r="E29" s="39">
        <f t="shared" si="0"/>
        <v>1382.7</v>
      </c>
      <c r="F29" s="39">
        <f t="shared" si="0"/>
        <v>0</v>
      </c>
      <c r="G29" s="39">
        <f t="shared" si="0"/>
        <v>39002.8</v>
      </c>
      <c r="H29" s="39">
        <f t="shared" si="0"/>
        <v>0</v>
      </c>
      <c r="I29" s="39">
        <f t="shared" si="0"/>
        <v>0</v>
      </c>
      <c r="J29" s="39">
        <f t="shared" si="0"/>
        <v>744897.38</v>
      </c>
      <c r="K29" s="39">
        <f t="shared" si="0"/>
        <v>42906.42</v>
      </c>
      <c r="L29" s="39">
        <f t="shared" si="0"/>
        <v>0</v>
      </c>
      <c r="M29" s="39">
        <f t="shared" si="0"/>
        <v>25763.51</v>
      </c>
      <c r="N29" s="39">
        <f t="shared" si="0"/>
        <v>20870.54</v>
      </c>
      <c r="O29" s="39">
        <f t="shared" si="0"/>
        <v>0</v>
      </c>
      <c r="P29" s="39">
        <f t="shared" si="0"/>
        <v>0</v>
      </c>
      <c r="Q29" s="39">
        <f t="shared" si="0"/>
        <v>0</v>
      </c>
      <c r="R29" s="39">
        <f t="shared" si="0"/>
        <v>0</v>
      </c>
      <c r="S29" s="39">
        <f t="shared" si="0"/>
        <v>8552.06</v>
      </c>
      <c r="T29" s="51">
        <f t="shared" si="0"/>
        <v>0</v>
      </c>
      <c r="U29" s="39">
        <f t="shared" si="0"/>
        <v>0</v>
      </c>
      <c r="V29" s="39">
        <f t="shared" si="0"/>
        <v>51979.79</v>
      </c>
      <c r="W29" s="39">
        <f t="shared" si="0"/>
        <v>0</v>
      </c>
      <c r="X29" s="39">
        <f t="shared" si="0"/>
        <v>37974.35</v>
      </c>
      <c r="Y29" s="39">
        <f t="shared" si="0"/>
        <v>7903.47</v>
      </c>
      <c r="Z29" s="51">
        <f t="shared" si="0"/>
        <v>0</v>
      </c>
      <c r="AA29" s="51">
        <f t="shared" si="0"/>
        <v>0</v>
      </c>
      <c r="AB29" s="51">
        <f t="shared" si="0"/>
        <v>0</v>
      </c>
      <c r="AC29" s="51">
        <f t="shared" si="0"/>
        <v>0</v>
      </c>
      <c r="AD29" s="39">
        <f t="shared" si="0"/>
        <v>0</v>
      </c>
      <c r="AE29" s="51">
        <f t="shared" si="0"/>
        <v>0</v>
      </c>
      <c r="AF29" s="39">
        <f t="shared" si="0"/>
        <v>18015.6</v>
      </c>
      <c r="AG29" s="39">
        <f t="shared" si="0"/>
        <v>25383.63</v>
      </c>
      <c r="AH29" s="51">
        <f t="shared" si="0"/>
        <v>0</v>
      </c>
      <c r="AI29" s="39">
        <f t="shared" si="0"/>
        <v>0</v>
      </c>
      <c r="AJ29" s="39">
        <f t="shared" si="0"/>
        <v>5850</v>
      </c>
      <c r="AK29" s="39">
        <f t="shared" si="0"/>
        <v>8803.83</v>
      </c>
      <c r="AL29" s="39">
        <f t="shared" si="0"/>
        <v>0</v>
      </c>
      <c r="AM29" s="39">
        <f t="shared" si="0"/>
        <v>0</v>
      </c>
      <c r="AN29" s="39">
        <f t="shared" si="0"/>
        <v>0</v>
      </c>
      <c r="AO29" s="39">
        <f t="shared" si="0"/>
        <v>20000</v>
      </c>
      <c r="AP29" s="39">
        <f t="shared" si="0"/>
        <v>0</v>
      </c>
      <c r="AQ29" s="39">
        <f t="shared" si="0"/>
        <v>0</v>
      </c>
      <c r="AR29" s="39">
        <f t="shared" si="0"/>
        <v>0</v>
      </c>
      <c r="AS29" s="51">
        <f t="shared" si="0"/>
        <v>0</v>
      </c>
      <c r="AT29" s="39">
        <f t="shared" si="0"/>
        <v>0</v>
      </c>
      <c r="AU29" s="39">
        <f t="shared" si="0"/>
        <v>68605.15</v>
      </c>
      <c r="AV29" s="39">
        <f t="shared" si="0"/>
        <v>0</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40.65</v>
      </c>
      <c r="BG29" s="39">
        <f t="shared" si="0"/>
        <v>0</v>
      </c>
      <c r="BH29" s="39">
        <f t="shared" si="0"/>
        <v>0</v>
      </c>
      <c r="BI29" s="39">
        <f t="shared" si="0"/>
        <v>0</v>
      </c>
      <c r="BJ29" s="39">
        <f t="shared" si="0"/>
        <v>0</v>
      </c>
      <c r="BK29" s="39">
        <f t="shared" si="0"/>
        <v>0</v>
      </c>
      <c r="BL29" s="39">
        <f t="shared" si="0"/>
        <v>0</v>
      </c>
      <c r="BM29" s="39">
        <f t="shared" si="0"/>
        <v>0</v>
      </c>
      <c r="BN29" s="39">
        <f t="shared" si="0"/>
        <v>0</v>
      </c>
      <c r="BO29" s="39">
        <f t="shared" si="0"/>
        <v>0</v>
      </c>
      <c r="BP29" s="39">
        <f t="shared" ref="BP29:CC29" si="1">+SUM(BP11:BP28)</f>
        <v>0</v>
      </c>
      <c r="BQ29" s="39">
        <f t="shared" si="1"/>
        <v>0</v>
      </c>
      <c r="BR29" s="39">
        <f t="shared" si="1"/>
        <v>0</v>
      </c>
      <c r="BS29" s="39">
        <f t="shared" si="1"/>
        <v>0</v>
      </c>
      <c r="BT29" s="39">
        <f t="shared" si="1"/>
        <v>0</v>
      </c>
      <c r="BU29" s="39">
        <f t="shared" si="1"/>
        <v>0</v>
      </c>
      <c r="BV29" s="39">
        <f t="shared" si="1"/>
        <v>0</v>
      </c>
      <c r="BW29" s="39">
        <f t="shared" si="1"/>
        <v>7847.07</v>
      </c>
      <c r="BX29" s="39">
        <f t="shared" si="1"/>
        <v>0</v>
      </c>
      <c r="BY29" s="39">
        <f t="shared" si="1"/>
        <v>42925.16</v>
      </c>
      <c r="BZ29" s="39">
        <f t="shared" si="1"/>
        <v>86000</v>
      </c>
      <c r="CA29" s="39">
        <f t="shared" si="1"/>
        <v>0</v>
      </c>
      <c r="CB29" s="39">
        <f t="shared" si="1"/>
        <v>0</v>
      </c>
      <c r="CC29" s="39">
        <f t="shared" si="1"/>
        <v>0</v>
      </c>
      <c r="CD29" s="39">
        <f>SUM(D29:CC29)</f>
        <v>1347716.51</v>
      </c>
    </row>
    <row r="30" spans="20:45" s="39" customFormat="true" ht="12" customHeight="true">
      <c r="T30" s="51"/>
      <c r="Z30" s="51"/>
      <c r="AA30" s="51"/>
      <c r="AB30" s="51"/>
      <c r="AC30" s="51"/>
      <c r="AE30" s="51"/>
      <c r="AH30" s="51"/>
      <c r="AS30" s="51"/>
    </row>
    <row r="31" spans="2:45" s="39" customFormat="true" ht="12" customHeight="true">
      <c r="B31" s="39" t="s">
        <v>34190</v>
      </c>
      <c r="T31" s="51"/>
      <c r="Z31" s="51"/>
      <c r="AA31" s="51"/>
      <c r="AB31" s="51"/>
      <c r="AC31" s="51"/>
      <c r="AE31" s="51"/>
      <c r="AH31" s="51"/>
      <c r="AS31" s="51"/>
    </row>
    <row r="32" spans="4:82" s="39" customFormat="true" ht="12" customHeight="true">
      <c r="D32" s="46"/>
      <c r="E32" s="46">
        <v>34648.75</v>
      </c>
      <c r="F32" s="46">
        <v>51565</v>
      </c>
      <c r="G32" s="46"/>
      <c r="H32" s="46">
        <v>24933.57888</v>
      </c>
      <c r="I32" s="46"/>
      <c r="J32" s="46"/>
      <c r="K32" s="46">
        <v>579999.07</v>
      </c>
      <c r="L32" s="46"/>
      <c r="M32" s="46"/>
      <c r="N32" s="46">
        <v>16641.65</v>
      </c>
      <c r="O32" s="46">
        <v>83882.0400000001</v>
      </c>
      <c r="P32" s="46">
        <v>99072.57</v>
      </c>
      <c r="Q32" s="46">
        <v>4908.32</v>
      </c>
      <c r="R32" s="46">
        <v>2200.97</v>
      </c>
      <c r="S32" s="46"/>
      <c r="T32" s="51"/>
      <c r="U32" s="46">
        <v>51433.43</v>
      </c>
      <c r="V32" s="46"/>
      <c r="W32" s="46">
        <v>57800.87</v>
      </c>
      <c r="X32" s="46"/>
      <c r="Y32" s="46"/>
      <c r="Z32" s="51"/>
      <c r="AA32" s="51"/>
      <c r="AB32" s="51"/>
      <c r="AC32" s="51"/>
      <c r="AD32" s="46">
        <v>3123.2</v>
      </c>
      <c r="AE32" s="51"/>
      <c r="AF32" s="46">
        <v>315519.24</v>
      </c>
      <c r="AG32" s="46">
        <v>22527.29</v>
      </c>
      <c r="AH32" s="51"/>
      <c r="AI32" s="46">
        <v>156402.76</v>
      </c>
      <c r="AJ32" s="46">
        <v>20782.58</v>
      </c>
      <c r="AK32" s="46">
        <v>7525.66</v>
      </c>
      <c r="AL32" s="46"/>
      <c r="AM32" s="46"/>
      <c r="AN32" s="46">
        <v>2777.26</v>
      </c>
      <c r="AO32" s="46">
        <v>8510</v>
      </c>
      <c r="AP32" s="46">
        <v>86200</v>
      </c>
      <c r="AQ32" s="46">
        <v>5200</v>
      </c>
      <c r="AR32" s="46">
        <v>5200</v>
      </c>
      <c r="AS32" s="51"/>
      <c r="AT32" s="46">
        <v>10290</v>
      </c>
      <c r="AU32" s="46">
        <v>108241.95</v>
      </c>
      <c r="AV32" s="46">
        <v>17246.68</v>
      </c>
      <c r="AW32" s="46">
        <v>5802.79</v>
      </c>
      <c r="AX32" s="46">
        <v>23089.76</v>
      </c>
      <c r="AY32" s="46"/>
      <c r="AZ32" s="46">
        <v>49130.37</v>
      </c>
      <c r="BA32" s="46"/>
      <c r="BB32" s="46">
        <v>2229.64</v>
      </c>
      <c r="BC32" s="46">
        <v>12646.7</v>
      </c>
      <c r="BD32" s="46"/>
      <c r="BE32" s="46">
        <v>21719.29</v>
      </c>
      <c r="BF32" s="46">
        <v>34719.38</v>
      </c>
      <c r="BG32" s="46">
        <v>1729.37</v>
      </c>
      <c r="BH32" s="46">
        <v>1591.36</v>
      </c>
      <c r="BI32" s="46">
        <v>1397.71</v>
      </c>
      <c r="BJ32" s="46">
        <v>7032.92</v>
      </c>
      <c r="BK32" s="46">
        <v>13509.1</v>
      </c>
      <c r="BL32" s="46">
        <v>9965.49</v>
      </c>
      <c r="BM32" s="46">
        <v>11324.06</v>
      </c>
      <c r="BN32" s="46">
        <v>3791.75</v>
      </c>
      <c r="BO32" s="46">
        <v>62460.95</v>
      </c>
      <c r="BP32" s="46">
        <v>6026.92</v>
      </c>
      <c r="BQ32" s="46">
        <v>27379.46</v>
      </c>
      <c r="BR32" s="46">
        <v>4656.41</v>
      </c>
      <c r="BS32" s="46">
        <v>273322.65</v>
      </c>
      <c r="BT32" s="46">
        <v>2939.84</v>
      </c>
      <c r="BU32" s="46">
        <v>68.36</v>
      </c>
      <c r="BV32" s="46">
        <v>38.32</v>
      </c>
      <c r="BW32" s="46"/>
      <c r="BX32" s="46">
        <v>365.14</v>
      </c>
      <c r="BY32" s="46"/>
      <c r="BZ32" s="46"/>
      <c r="CA32" s="46"/>
      <c r="CB32" s="46"/>
      <c r="CC32" s="46">
        <v>17610.74</v>
      </c>
      <c r="CD32" s="39">
        <f>SUM(D32:CC32)</f>
        <v>2371181.34888</v>
      </c>
    </row>
    <row r="33" spans="4:81" s="39" customFormat="true" ht="12" customHeight="true">
      <c r="D33" s="46"/>
      <c r="E33" s="46"/>
      <c r="F33" s="46"/>
      <c r="G33" s="46"/>
      <c r="H33" s="46"/>
      <c r="I33" s="46"/>
      <c r="J33" s="46"/>
      <c r="K33" s="46"/>
      <c r="L33" s="46"/>
      <c r="M33" s="46"/>
      <c r="N33" s="46"/>
      <c r="O33" s="46"/>
      <c r="P33" s="46"/>
      <c r="Q33" s="46"/>
      <c r="R33" s="46"/>
      <c r="S33" s="46"/>
      <c r="T33" s="51"/>
      <c r="U33" s="46"/>
      <c r="V33" s="46"/>
      <c r="W33" s="46"/>
      <c r="X33" s="46"/>
      <c r="Y33" s="46"/>
      <c r="Z33" s="51"/>
      <c r="AA33" s="51"/>
      <c r="AB33" s="51"/>
      <c r="AC33" s="51"/>
      <c r="AD33" s="46"/>
      <c r="AE33" s="51"/>
      <c r="AF33" s="46"/>
      <c r="AG33" s="46"/>
      <c r="AH33" s="51"/>
      <c r="AI33" s="46"/>
      <c r="AJ33" s="46"/>
      <c r="AK33" s="46"/>
      <c r="AL33" s="46"/>
      <c r="AM33" s="46"/>
      <c r="AN33" s="46"/>
      <c r="AO33" s="46"/>
      <c r="AP33" s="46"/>
      <c r="AQ33" s="46"/>
      <c r="AR33" s="46"/>
      <c r="AS33" s="51"/>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row>
    <row r="34" spans="4:81" s="39" customFormat="true" ht="12" customHeight="true">
      <c r="D34" s="46"/>
      <c r="E34" s="46"/>
      <c r="F34" s="46"/>
      <c r="G34" s="46"/>
      <c r="H34" s="46"/>
      <c r="I34" s="46"/>
      <c r="J34" s="46"/>
      <c r="K34" s="46"/>
      <c r="L34" s="46"/>
      <c r="M34" s="46"/>
      <c r="N34" s="46"/>
      <c r="O34" s="46"/>
      <c r="P34" s="46"/>
      <c r="Q34" s="46"/>
      <c r="R34" s="46"/>
      <c r="S34" s="46"/>
      <c r="T34" s="51"/>
      <c r="U34" s="46"/>
      <c r="V34" s="46"/>
      <c r="W34" s="46"/>
      <c r="X34" s="46"/>
      <c r="Y34" s="46"/>
      <c r="Z34" s="51"/>
      <c r="AA34" s="51"/>
      <c r="AB34" s="51"/>
      <c r="AC34" s="51"/>
      <c r="AD34" s="46"/>
      <c r="AE34" s="51"/>
      <c r="AF34" s="46"/>
      <c r="AG34" s="46"/>
      <c r="AH34" s="51"/>
      <c r="AI34" s="46"/>
      <c r="AJ34" s="46"/>
      <c r="AK34" s="46"/>
      <c r="AL34" s="46"/>
      <c r="AM34" s="46"/>
      <c r="AN34" s="46"/>
      <c r="AO34" s="46"/>
      <c r="AP34" s="46"/>
      <c r="AQ34" s="46"/>
      <c r="AR34" s="46"/>
      <c r="AS34" s="51"/>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row>
    <row r="35" spans="4:81" s="39" customFormat="true" ht="12" customHeight="true">
      <c r="D35" s="46"/>
      <c r="E35" s="46"/>
      <c r="F35" s="46"/>
      <c r="G35" s="46"/>
      <c r="H35" s="46"/>
      <c r="I35" s="46"/>
      <c r="J35" s="46"/>
      <c r="K35" s="46"/>
      <c r="L35" s="46"/>
      <c r="M35" s="46"/>
      <c r="N35" s="46"/>
      <c r="O35" s="46"/>
      <c r="P35" s="46"/>
      <c r="Q35" s="46"/>
      <c r="R35" s="46"/>
      <c r="S35" s="46"/>
      <c r="T35" s="51"/>
      <c r="U35" s="46"/>
      <c r="V35" s="46"/>
      <c r="W35" s="46"/>
      <c r="X35" s="46"/>
      <c r="Y35" s="46"/>
      <c r="Z35" s="51"/>
      <c r="AA35" s="51"/>
      <c r="AB35" s="51"/>
      <c r="AC35" s="51"/>
      <c r="AD35" s="46"/>
      <c r="AE35" s="51"/>
      <c r="AF35" s="46"/>
      <c r="AG35" s="46"/>
      <c r="AH35" s="51"/>
      <c r="AI35" s="46"/>
      <c r="AJ35" s="46"/>
      <c r="AK35" s="46"/>
      <c r="AL35" s="46"/>
      <c r="AM35" s="46"/>
      <c r="AN35" s="46"/>
      <c r="AO35" s="46"/>
      <c r="AP35" s="46"/>
      <c r="AQ35" s="46"/>
      <c r="AR35" s="46"/>
      <c r="AS35" s="51"/>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row>
    <row r="36" spans="4:81" s="39" customFormat="true" ht="12" customHeight="true">
      <c r="D36" s="46"/>
      <c r="E36" s="46"/>
      <c r="F36" s="46"/>
      <c r="G36" s="46"/>
      <c r="H36" s="46"/>
      <c r="I36" s="46"/>
      <c r="J36" s="46"/>
      <c r="K36" s="46"/>
      <c r="L36" s="46"/>
      <c r="M36" s="46"/>
      <c r="N36" s="46"/>
      <c r="O36" s="46"/>
      <c r="P36" s="46"/>
      <c r="Q36" s="46"/>
      <c r="R36" s="46"/>
      <c r="S36" s="46"/>
      <c r="T36" s="51"/>
      <c r="U36" s="46"/>
      <c r="V36" s="46"/>
      <c r="W36" s="46"/>
      <c r="X36" s="46"/>
      <c r="Y36" s="46"/>
      <c r="Z36" s="51"/>
      <c r="AA36" s="51"/>
      <c r="AB36" s="51"/>
      <c r="AC36" s="51"/>
      <c r="AD36" s="46"/>
      <c r="AE36" s="51"/>
      <c r="AF36" s="46"/>
      <c r="AG36" s="46"/>
      <c r="AH36" s="51"/>
      <c r="AI36" s="46"/>
      <c r="AJ36" s="46"/>
      <c r="AK36" s="46"/>
      <c r="AL36" s="46"/>
      <c r="AM36" s="46"/>
      <c r="AN36" s="46"/>
      <c r="AO36" s="46"/>
      <c r="AP36" s="46"/>
      <c r="AQ36" s="46"/>
      <c r="AR36" s="46"/>
      <c r="AS36" s="51"/>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row>
    <row r="37" spans="4:81" s="39" customFormat="true" ht="12" customHeight="true">
      <c r="D37" s="46"/>
      <c r="E37" s="46"/>
      <c r="F37" s="46"/>
      <c r="G37" s="46"/>
      <c r="H37" s="46"/>
      <c r="I37" s="46"/>
      <c r="J37" s="46"/>
      <c r="K37" s="46"/>
      <c r="L37" s="46"/>
      <c r="M37" s="46"/>
      <c r="N37" s="46"/>
      <c r="O37" s="46"/>
      <c r="P37" s="46"/>
      <c r="Q37" s="46"/>
      <c r="R37" s="46"/>
      <c r="S37" s="46"/>
      <c r="T37" s="51"/>
      <c r="U37" s="46"/>
      <c r="V37" s="46"/>
      <c r="W37" s="46"/>
      <c r="X37" s="46"/>
      <c r="Y37" s="46"/>
      <c r="Z37" s="51"/>
      <c r="AA37" s="51"/>
      <c r="AB37" s="51"/>
      <c r="AC37" s="51"/>
      <c r="AD37" s="46"/>
      <c r="AE37" s="51"/>
      <c r="AF37" s="46"/>
      <c r="AG37" s="46"/>
      <c r="AH37" s="51"/>
      <c r="AI37" s="46"/>
      <c r="AJ37" s="46"/>
      <c r="AK37" s="46"/>
      <c r="AL37" s="46"/>
      <c r="AM37" s="46"/>
      <c r="AN37" s="46"/>
      <c r="AO37" s="46"/>
      <c r="AP37" s="46"/>
      <c r="AQ37" s="46"/>
      <c r="AR37" s="46"/>
      <c r="AS37" s="51"/>
      <c r="AT37" s="46"/>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row>
    <row r="38" spans="4:81" s="39" customFormat="true" ht="12" customHeight="true">
      <c r="D38" s="46"/>
      <c r="E38" s="46"/>
      <c r="F38" s="46"/>
      <c r="G38" s="46"/>
      <c r="H38" s="46"/>
      <c r="I38" s="46"/>
      <c r="J38" s="46"/>
      <c r="K38" s="46"/>
      <c r="L38" s="46"/>
      <c r="M38" s="46"/>
      <c r="N38" s="46"/>
      <c r="O38" s="46"/>
      <c r="P38" s="46"/>
      <c r="Q38" s="46"/>
      <c r="R38" s="46"/>
      <c r="S38" s="46"/>
      <c r="T38" s="51"/>
      <c r="U38" s="46"/>
      <c r="V38" s="46"/>
      <c r="W38" s="46"/>
      <c r="X38" s="46"/>
      <c r="Y38" s="46"/>
      <c r="Z38" s="51"/>
      <c r="AA38" s="51"/>
      <c r="AB38" s="51"/>
      <c r="AC38" s="51"/>
      <c r="AD38" s="46"/>
      <c r="AE38" s="51"/>
      <c r="AF38" s="46"/>
      <c r="AG38" s="46"/>
      <c r="AH38" s="51"/>
      <c r="AI38" s="46"/>
      <c r="AJ38" s="46"/>
      <c r="AK38" s="46"/>
      <c r="AL38" s="46"/>
      <c r="AM38" s="46"/>
      <c r="AN38" s="46"/>
      <c r="AO38" s="46"/>
      <c r="AP38" s="46"/>
      <c r="AQ38" s="46"/>
      <c r="AR38" s="46"/>
      <c r="AS38" s="51"/>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row>
    <row r="39" spans="4:81" s="39" customFormat="true" ht="12" customHeight="true">
      <c r="D39" s="46"/>
      <c r="E39" s="46"/>
      <c r="F39" s="46"/>
      <c r="G39" s="46"/>
      <c r="H39" s="46"/>
      <c r="I39" s="46"/>
      <c r="J39" s="46"/>
      <c r="K39" s="46"/>
      <c r="L39" s="46"/>
      <c r="M39" s="46"/>
      <c r="N39" s="46"/>
      <c r="O39" s="46"/>
      <c r="P39" s="46"/>
      <c r="Q39" s="46"/>
      <c r="R39" s="46"/>
      <c r="S39" s="46"/>
      <c r="T39" s="51"/>
      <c r="U39" s="46"/>
      <c r="V39" s="46"/>
      <c r="W39" s="46"/>
      <c r="X39" s="46"/>
      <c r="Y39" s="46"/>
      <c r="Z39" s="51"/>
      <c r="AA39" s="51"/>
      <c r="AB39" s="51"/>
      <c r="AC39" s="51"/>
      <c r="AD39" s="46"/>
      <c r="AE39" s="51"/>
      <c r="AF39" s="46"/>
      <c r="AG39" s="46"/>
      <c r="AH39" s="51"/>
      <c r="AI39" s="46"/>
      <c r="AJ39" s="46"/>
      <c r="AK39" s="46"/>
      <c r="AL39" s="46"/>
      <c r="AM39" s="46"/>
      <c r="AN39" s="46"/>
      <c r="AO39" s="46"/>
      <c r="AP39" s="46"/>
      <c r="AQ39" s="46"/>
      <c r="AR39" s="46"/>
      <c r="AS39" s="51"/>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row>
    <row r="40" spans="4:81" s="39" customFormat="true" ht="12" customHeight="true">
      <c r="D40" s="46"/>
      <c r="E40" s="46"/>
      <c r="F40" s="46"/>
      <c r="G40" s="46"/>
      <c r="H40" s="46"/>
      <c r="I40" s="46"/>
      <c r="J40" s="46"/>
      <c r="K40" s="46"/>
      <c r="L40" s="46"/>
      <c r="M40" s="46"/>
      <c r="N40" s="46"/>
      <c r="O40" s="46"/>
      <c r="P40" s="46"/>
      <c r="Q40" s="46"/>
      <c r="R40" s="46"/>
      <c r="S40" s="46"/>
      <c r="T40" s="51"/>
      <c r="U40" s="46"/>
      <c r="V40" s="46"/>
      <c r="W40" s="46"/>
      <c r="X40" s="46"/>
      <c r="Y40" s="46"/>
      <c r="Z40" s="51"/>
      <c r="AA40" s="51"/>
      <c r="AB40" s="51"/>
      <c r="AC40" s="51"/>
      <c r="AD40" s="46"/>
      <c r="AE40" s="51"/>
      <c r="AF40" s="46"/>
      <c r="AG40" s="46"/>
      <c r="AH40" s="51"/>
      <c r="AI40" s="46"/>
      <c r="AJ40" s="46"/>
      <c r="AK40" s="46"/>
      <c r="AL40" s="46"/>
      <c r="AM40" s="46"/>
      <c r="AN40" s="46"/>
      <c r="AO40" s="46"/>
      <c r="AP40" s="46"/>
      <c r="AQ40" s="46"/>
      <c r="AR40" s="46"/>
      <c r="AS40" s="51"/>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row>
    <row r="41" spans="4:81" s="39" customFormat="true" ht="12" customHeight="true">
      <c r="D41" s="46"/>
      <c r="E41" s="46"/>
      <c r="F41" s="46"/>
      <c r="G41" s="46"/>
      <c r="H41" s="46"/>
      <c r="I41" s="46"/>
      <c r="J41" s="46"/>
      <c r="K41" s="46"/>
      <c r="L41" s="46"/>
      <c r="M41" s="46"/>
      <c r="N41" s="46"/>
      <c r="O41" s="46"/>
      <c r="P41" s="46"/>
      <c r="Q41" s="46"/>
      <c r="R41" s="46"/>
      <c r="S41" s="46"/>
      <c r="T41" s="51"/>
      <c r="U41" s="46"/>
      <c r="V41" s="46"/>
      <c r="W41" s="46"/>
      <c r="X41" s="46"/>
      <c r="Y41" s="46"/>
      <c r="Z41" s="51"/>
      <c r="AA41" s="51"/>
      <c r="AB41" s="51"/>
      <c r="AC41" s="51"/>
      <c r="AD41" s="46"/>
      <c r="AE41" s="51"/>
      <c r="AF41" s="46"/>
      <c r="AG41" s="46"/>
      <c r="AH41" s="51"/>
      <c r="AI41" s="46"/>
      <c r="AJ41" s="46"/>
      <c r="AK41" s="46"/>
      <c r="AL41" s="46"/>
      <c r="AM41" s="46"/>
      <c r="AN41" s="46"/>
      <c r="AO41" s="46"/>
      <c r="AP41" s="46"/>
      <c r="AQ41" s="46"/>
      <c r="AR41" s="46"/>
      <c r="AS41" s="51"/>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row>
    <row r="42" spans="4:81" s="39" customFormat="true" ht="12" customHeight="true">
      <c r="D42" s="46"/>
      <c r="E42" s="46"/>
      <c r="F42" s="46"/>
      <c r="G42" s="46"/>
      <c r="H42" s="46"/>
      <c r="I42" s="46"/>
      <c r="J42" s="46"/>
      <c r="K42" s="46"/>
      <c r="L42" s="46"/>
      <c r="M42" s="46"/>
      <c r="N42" s="46"/>
      <c r="O42" s="46"/>
      <c r="P42" s="46"/>
      <c r="Q42" s="46"/>
      <c r="R42" s="46"/>
      <c r="S42" s="46"/>
      <c r="T42" s="51"/>
      <c r="U42" s="46"/>
      <c r="V42" s="46"/>
      <c r="W42" s="46"/>
      <c r="X42" s="46"/>
      <c r="Y42" s="46"/>
      <c r="Z42" s="51"/>
      <c r="AA42" s="51"/>
      <c r="AB42" s="51"/>
      <c r="AC42" s="51"/>
      <c r="AD42" s="46"/>
      <c r="AE42" s="51"/>
      <c r="AF42" s="46"/>
      <c r="AG42" s="46"/>
      <c r="AH42" s="51"/>
      <c r="AI42" s="46"/>
      <c r="AJ42" s="46"/>
      <c r="AK42" s="46"/>
      <c r="AL42" s="46"/>
      <c r="AM42" s="46"/>
      <c r="AN42" s="46"/>
      <c r="AO42" s="46"/>
      <c r="AP42" s="46"/>
      <c r="AQ42" s="46"/>
      <c r="AR42" s="46"/>
      <c r="AS42" s="51"/>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row>
    <row r="43" spans="4:81" s="39" customFormat="true" ht="12" customHeight="true">
      <c r="D43" s="46"/>
      <c r="E43" s="46"/>
      <c r="F43" s="46"/>
      <c r="G43" s="46"/>
      <c r="H43" s="46"/>
      <c r="I43" s="46"/>
      <c r="J43" s="46"/>
      <c r="K43" s="46"/>
      <c r="L43" s="46"/>
      <c r="M43" s="46"/>
      <c r="N43" s="46"/>
      <c r="O43" s="46"/>
      <c r="P43" s="46"/>
      <c r="Q43" s="46"/>
      <c r="R43" s="46"/>
      <c r="S43" s="46"/>
      <c r="T43" s="51"/>
      <c r="U43" s="46"/>
      <c r="V43" s="46"/>
      <c r="W43" s="46"/>
      <c r="X43" s="46"/>
      <c r="Y43" s="46"/>
      <c r="Z43" s="51"/>
      <c r="AA43" s="51"/>
      <c r="AB43" s="51"/>
      <c r="AC43" s="51"/>
      <c r="AD43" s="46"/>
      <c r="AE43" s="51"/>
      <c r="AF43" s="46"/>
      <c r="AG43" s="46"/>
      <c r="AH43" s="51"/>
      <c r="AI43" s="46"/>
      <c r="AJ43" s="46"/>
      <c r="AK43" s="46"/>
      <c r="AL43" s="46"/>
      <c r="AM43" s="46"/>
      <c r="AN43" s="46"/>
      <c r="AO43" s="46"/>
      <c r="AP43" s="46"/>
      <c r="AQ43" s="46"/>
      <c r="AR43" s="46"/>
      <c r="AS43" s="51"/>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row>
    <row r="44" spans="4:81" s="39" customFormat="true" ht="12" customHeight="true">
      <c r="D44" s="46"/>
      <c r="E44" s="46"/>
      <c r="F44" s="46"/>
      <c r="G44" s="46"/>
      <c r="H44" s="46"/>
      <c r="I44" s="46"/>
      <c r="J44" s="46"/>
      <c r="K44" s="46"/>
      <c r="L44" s="46"/>
      <c r="M44" s="46"/>
      <c r="N44" s="46"/>
      <c r="O44" s="46"/>
      <c r="P44" s="46"/>
      <c r="Q44" s="46"/>
      <c r="R44" s="46"/>
      <c r="S44" s="46"/>
      <c r="T44" s="51"/>
      <c r="U44" s="46"/>
      <c r="V44" s="46"/>
      <c r="W44" s="46"/>
      <c r="X44" s="46"/>
      <c r="Y44" s="46"/>
      <c r="Z44" s="51"/>
      <c r="AA44" s="51"/>
      <c r="AB44" s="51"/>
      <c r="AC44" s="51"/>
      <c r="AD44" s="46"/>
      <c r="AE44" s="51"/>
      <c r="AF44" s="46"/>
      <c r="AG44" s="46"/>
      <c r="AH44" s="51"/>
      <c r="AI44" s="46"/>
      <c r="AJ44" s="46"/>
      <c r="AK44" s="46"/>
      <c r="AL44" s="46"/>
      <c r="AM44" s="46"/>
      <c r="AN44" s="46"/>
      <c r="AO44" s="46"/>
      <c r="AP44" s="46"/>
      <c r="AQ44" s="46"/>
      <c r="AR44" s="46"/>
      <c r="AS44" s="51"/>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row>
    <row r="45" spans="4:81" s="39" customFormat="true" ht="12" customHeight="true">
      <c r="D45" s="46"/>
      <c r="E45" s="46"/>
      <c r="F45" s="46"/>
      <c r="G45" s="46"/>
      <c r="H45" s="46"/>
      <c r="I45" s="46"/>
      <c r="J45" s="46"/>
      <c r="K45" s="46"/>
      <c r="L45" s="46"/>
      <c r="M45" s="46"/>
      <c r="N45" s="46"/>
      <c r="O45" s="46"/>
      <c r="P45" s="46"/>
      <c r="Q45" s="46"/>
      <c r="R45" s="46"/>
      <c r="S45" s="46"/>
      <c r="T45" s="51"/>
      <c r="U45" s="46"/>
      <c r="V45" s="46"/>
      <c r="W45" s="46"/>
      <c r="X45" s="46"/>
      <c r="Y45" s="46"/>
      <c r="Z45" s="51"/>
      <c r="AA45" s="51"/>
      <c r="AB45" s="51"/>
      <c r="AC45" s="51"/>
      <c r="AD45" s="46"/>
      <c r="AE45" s="51"/>
      <c r="AF45" s="46"/>
      <c r="AG45" s="46"/>
      <c r="AH45" s="51"/>
      <c r="AI45" s="46"/>
      <c r="AJ45" s="46"/>
      <c r="AK45" s="46"/>
      <c r="AL45" s="46"/>
      <c r="AM45" s="46"/>
      <c r="AN45" s="46"/>
      <c r="AO45" s="46"/>
      <c r="AP45" s="46"/>
      <c r="AQ45" s="46"/>
      <c r="AR45" s="46"/>
      <c r="AS45" s="51"/>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row>
    <row r="46" spans="4:81" s="39" customFormat="true" ht="12" customHeight="true">
      <c r="D46" s="46"/>
      <c r="E46" s="46"/>
      <c r="F46" s="46"/>
      <c r="G46" s="46"/>
      <c r="H46" s="46"/>
      <c r="I46" s="46"/>
      <c r="J46" s="46"/>
      <c r="K46" s="46"/>
      <c r="L46" s="46"/>
      <c r="M46" s="46"/>
      <c r="N46" s="46"/>
      <c r="O46" s="46"/>
      <c r="P46" s="46"/>
      <c r="Q46" s="46"/>
      <c r="R46" s="46"/>
      <c r="S46" s="46"/>
      <c r="T46" s="51"/>
      <c r="U46" s="46"/>
      <c r="V46" s="46"/>
      <c r="W46" s="46"/>
      <c r="X46" s="46"/>
      <c r="Y46" s="46"/>
      <c r="Z46" s="51"/>
      <c r="AA46" s="51"/>
      <c r="AB46" s="51"/>
      <c r="AC46" s="51"/>
      <c r="AD46" s="46"/>
      <c r="AE46" s="51"/>
      <c r="AF46" s="46"/>
      <c r="AG46" s="46"/>
      <c r="AH46" s="51"/>
      <c r="AI46" s="46"/>
      <c r="AJ46" s="46"/>
      <c r="AK46" s="46"/>
      <c r="AL46" s="46"/>
      <c r="AM46" s="46"/>
      <c r="AN46" s="46"/>
      <c r="AO46" s="46"/>
      <c r="AP46" s="46"/>
      <c r="AQ46" s="46"/>
      <c r="AR46" s="46"/>
      <c r="AS46" s="51"/>
      <c r="AT46" s="46"/>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row>
    <row r="47" spans="2:82" s="39" customFormat="true" ht="12" customHeight="true">
      <c r="B47" s="39" t="s">
        <v>34191</v>
      </c>
      <c r="D47" s="39">
        <f t="shared" ref="D47:BO47" si="2">+SUM(D31:D46)</f>
        <v>0</v>
      </c>
      <c r="E47" s="39">
        <f t="shared" si="2"/>
        <v>34648.75</v>
      </c>
      <c r="F47" s="39">
        <f t="shared" si="2"/>
        <v>51565</v>
      </c>
      <c r="G47" s="39">
        <f t="shared" si="2"/>
        <v>0</v>
      </c>
      <c r="H47" s="39">
        <f t="shared" si="2"/>
        <v>24933.57888</v>
      </c>
      <c r="I47" s="39">
        <f t="shared" si="2"/>
        <v>0</v>
      </c>
      <c r="J47" s="39">
        <f t="shared" si="2"/>
        <v>0</v>
      </c>
      <c r="K47" s="39">
        <f t="shared" si="2"/>
        <v>579999.07</v>
      </c>
      <c r="L47" s="39">
        <f t="shared" si="2"/>
        <v>0</v>
      </c>
      <c r="M47" s="39">
        <f t="shared" si="2"/>
        <v>0</v>
      </c>
      <c r="N47" s="39">
        <f t="shared" si="2"/>
        <v>16641.65</v>
      </c>
      <c r="O47" s="39">
        <f t="shared" si="2"/>
        <v>83882.0400000001</v>
      </c>
      <c r="P47" s="39">
        <f t="shared" si="2"/>
        <v>99072.57</v>
      </c>
      <c r="Q47" s="39">
        <f t="shared" si="2"/>
        <v>4908.32</v>
      </c>
      <c r="R47" s="39">
        <f t="shared" si="2"/>
        <v>2200.97</v>
      </c>
      <c r="S47" s="39">
        <f t="shared" si="2"/>
        <v>0</v>
      </c>
      <c r="T47" s="51">
        <f t="shared" si="2"/>
        <v>0</v>
      </c>
      <c r="U47" s="39">
        <f t="shared" si="2"/>
        <v>51433.43</v>
      </c>
      <c r="V47" s="39">
        <f t="shared" si="2"/>
        <v>0</v>
      </c>
      <c r="W47" s="39">
        <f t="shared" si="2"/>
        <v>57800.87</v>
      </c>
      <c r="X47" s="39">
        <f t="shared" si="2"/>
        <v>0</v>
      </c>
      <c r="Y47" s="39">
        <f t="shared" si="2"/>
        <v>0</v>
      </c>
      <c r="Z47" s="51">
        <f t="shared" si="2"/>
        <v>0</v>
      </c>
      <c r="AA47" s="51">
        <f t="shared" si="2"/>
        <v>0</v>
      </c>
      <c r="AB47" s="51">
        <f t="shared" si="2"/>
        <v>0</v>
      </c>
      <c r="AC47" s="51">
        <f t="shared" si="2"/>
        <v>0</v>
      </c>
      <c r="AD47" s="39">
        <f t="shared" si="2"/>
        <v>3123.2</v>
      </c>
      <c r="AE47" s="51">
        <f t="shared" si="2"/>
        <v>0</v>
      </c>
      <c r="AF47" s="39">
        <f t="shared" si="2"/>
        <v>315519.24</v>
      </c>
      <c r="AG47" s="39">
        <f t="shared" si="2"/>
        <v>22527.29</v>
      </c>
      <c r="AH47" s="51">
        <f t="shared" si="2"/>
        <v>0</v>
      </c>
      <c r="AI47" s="39">
        <f t="shared" si="2"/>
        <v>156402.76</v>
      </c>
      <c r="AJ47" s="39">
        <f t="shared" si="2"/>
        <v>20782.58</v>
      </c>
      <c r="AK47" s="39">
        <f t="shared" si="2"/>
        <v>7525.66</v>
      </c>
      <c r="AL47" s="39">
        <f t="shared" si="2"/>
        <v>0</v>
      </c>
      <c r="AM47" s="39">
        <f t="shared" si="2"/>
        <v>0</v>
      </c>
      <c r="AN47" s="39">
        <f t="shared" si="2"/>
        <v>2777.26</v>
      </c>
      <c r="AO47" s="39">
        <f t="shared" si="2"/>
        <v>8510</v>
      </c>
      <c r="AP47" s="39">
        <f t="shared" si="2"/>
        <v>86200</v>
      </c>
      <c r="AQ47" s="39">
        <f t="shared" si="2"/>
        <v>5200</v>
      </c>
      <c r="AR47" s="39">
        <f t="shared" si="2"/>
        <v>5200</v>
      </c>
      <c r="AS47" s="51">
        <f t="shared" si="2"/>
        <v>0</v>
      </c>
      <c r="AT47" s="39">
        <f t="shared" si="2"/>
        <v>10290</v>
      </c>
      <c r="AU47" s="39">
        <f t="shared" si="2"/>
        <v>108241.95</v>
      </c>
      <c r="AV47" s="39">
        <f t="shared" si="2"/>
        <v>17246.68</v>
      </c>
      <c r="AW47" s="39">
        <f t="shared" si="2"/>
        <v>5802.79</v>
      </c>
      <c r="AX47" s="39">
        <f t="shared" si="2"/>
        <v>23089.76</v>
      </c>
      <c r="AY47" s="39">
        <f t="shared" si="2"/>
        <v>0</v>
      </c>
      <c r="AZ47" s="39">
        <f t="shared" si="2"/>
        <v>49130.37</v>
      </c>
      <c r="BA47" s="39">
        <f t="shared" si="2"/>
        <v>0</v>
      </c>
      <c r="BB47" s="39">
        <f t="shared" si="2"/>
        <v>2229.64</v>
      </c>
      <c r="BC47" s="39">
        <f t="shared" si="2"/>
        <v>12646.7</v>
      </c>
      <c r="BD47" s="39">
        <f t="shared" si="2"/>
        <v>0</v>
      </c>
      <c r="BE47" s="39">
        <f t="shared" si="2"/>
        <v>21719.29</v>
      </c>
      <c r="BF47" s="39">
        <f t="shared" si="2"/>
        <v>34719.38</v>
      </c>
      <c r="BG47" s="39">
        <f t="shared" si="2"/>
        <v>1729.37</v>
      </c>
      <c r="BH47" s="39">
        <f t="shared" si="2"/>
        <v>1591.36</v>
      </c>
      <c r="BI47" s="39">
        <f t="shared" si="2"/>
        <v>1397.71</v>
      </c>
      <c r="BJ47" s="39">
        <f t="shared" si="2"/>
        <v>7032.92</v>
      </c>
      <c r="BK47" s="39">
        <f t="shared" si="2"/>
        <v>13509.1</v>
      </c>
      <c r="BL47" s="39">
        <f t="shared" si="2"/>
        <v>9965.49</v>
      </c>
      <c r="BM47" s="39">
        <f t="shared" si="2"/>
        <v>11324.06</v>
      </c>
      <c r="BN47" s="39">
        <f t="shared" si="2"/>
        <v>3791.75</v>
      </c>
      <c r="BO47" s="39">
        <f t="shared" si="2"/>
        <v>62460.95</v>
      </c>
      <c r="BP47" s="39">
        <f t="shared" ref="BP47:CC47" si="3">+SUM(BP31:BP46)</f>
        <v>6026.92</v>
      </c>
      <c r="BQ47" s="39">
        <f t="shared" si="3"/>
        <v>27379.46</v>
      </c>
      <c r="BR47" s="39">
        <f t="shared" si="3"/>
        <v>4656.41</v>
      </c>
      <c r="BS47" s="39">
        <f t="shared" si="3"/>
        <v>273322.65</v>
      </c>
      <c r="BT47" s="39">
        <f t="shared" si="3"/>
        <v>2939.84</v>
      </c>
      <c r="BU47" s="39">
        <f t="shared" si="3"/>
        <v>68.36</v>
      </c>
      <c r="BV47" s="39">
        <f t="shared" si="3"/>
        <v>38.32</v>
      </c>
      <c r="BW47" s="39">
        <f t="shared" si="3"/>
        <v>0</v>
      </c>
      <c r="BX47" s="39">
        <f t="shared" si="3"/>
        <v>365.14</v>
      </c>
      <c r="BY47" s="39">
        <f t="shared" si="3"/>
        <v>0</v>
      </c>
      <c r="BZ47" s="39">
        <f t="shared" si="3"/>
        <v>0</v>
      </c>
      <c r="CA47" s="39">
        <f t="shared" si="3"/>
        <v>0</v>
      </c>
      <c r="CB47" s="39">
        <f t="shared" si="3"/>
        <v>0</v>
      </c>
      <c r="CC47" s="39">
        <f t="shared" si="3"/>
        <v>17610.74</v>
      </c>
      <c r="CD47" s="39">
        <f>SUM(D47:CC47)</f>
        <v>2371181.34888</v>
      </c>
    </row>
    <row r="48" spans="20:45" s="39" customFormat="true" ht="12" customHeight="true">
      <c r="T48" s="51"/>
      <c r="Z48" s="51"/>
      <c r="AA48" s="51"/>
      <c r="AB48" s="51"/>
      <c r="AC48" s="51"/>
      <c r="AE48" s="51"/>
      <c r="AH48" s="51"/>
      <c r="AS48" s="51"/>
    </row>
    <row r="49" spans="2:82" s="39" customFormat="true" ht="12" customHeight="true">
      <c r="B49" s="39" t="s">
        <v>34192</v>
      </c>
      <c r="D49" s="39">
        <f t="shared" ref="D49:BO49" si="4">+D9+D29-D47</f>
        <v>83012.4</v>
      </c>
      <c r="E49" s="39">
        <f t="shared" si="4"/>
        <v>-33266.05</v>
      </c>
      <c r="F49" s="39">
        <f t="shared" si="4"/>
        <v>-51565</v>
      </c>
      <c r="G49" s="39">
        <f t="shared" si="4"/>
        <v>39002.8</v>
      </c>
      <c r="H49" s="39">
        <f t="shared" si="4"/>
        <v>-24933.57888</v>
      </c>
      <c r="I49" s="39">
        <f t="shared" si="4"/>
        <v>0</v>
      </c>
      <c r="J49" s="39">
        <f t="shared" si="4"/>
        <v>744897.38</v>
      </c>
      <c r="K49" s="39">
        <f t="shared" si="4"/>
        <v>1164014.82</v>
      </c>
      <c r="L49" s="39">
        <f t="shared" si="4"/>
        <v>210989.46</v>
      </c>
      <c r="M49" s="39">
        <f t="shared" si="4"/>
        <v>25763.51</v>
      </c>
      <c r="N49" s="39">
        <f t="shared" si="4"/>
        <v>4228.89</v>
      </c>
      <c r="O49" s="39">
        <f t="shared" si="4"/>
        <v>-83882.0400000001</v>
      </c>
      <c r="P49" s="39">
        <f t="shared" si="4"/>
        <v>-99072.57</v>
      </c>
      <c r="Q49" s="39">
        <f t="shared" si="4"/>
        <v>26745.84</v>
      </c>
      <c r="R49" s="39">
        <f t="shared" si="4"/>
        <v>-2200.97</v>
      </c>
      <c r="S49" s="39">
        <f t="shared" si="4"/>
        <v>8552.06</v>
      </c>
      <c r="T49" s="51">
        <f t="shared" si="4"/>
        <v>0</v>
      </c>
      <c r="U49" s="39">
        <f t="shared" si="4"/>
        <v>197625.43</v>
      </c>
      <c r="V49" s="39">
        <f t="shared" si="4"/>
        <v>51979.79</v>
      </c>
      <c r="W49" s="39">
        <f t="shared" si="4"/>
        <v>-57800.87</v>
      </c>
      <c r="X49" s="39">
        <f t="shared" si="4"/>
        <v>37974.35</v>
      </c>
      <c r="Y49" s="39">
        <f t="shared" si="4"/>
        <v>33635.34</v>
      </c>
      <c r="Z49" s="51">
        <f t="shared" si="4"/>
        <v>0</v>
      </c>
      <c r="AA49" s="51">
        <f t="shared" si="4"/>
        <v>0</v>
      </c>
      <c r="AB49" s="51">
        <f t="shared" si="4"/>
        <v>0</v>
      </c>
      <c r="AC49" s="51">
        <f t="shared" si="4"/>
        <v>0</v>
      </c>
      <c r="AD49" s="39">
        <f t="shared" si="4"/>
        <v>180292.28</v>
      </c>
      <c r="AE49" s="51">
        <f t="shared" si="4"/>
        <v>0</v>
      </c>
      <c r="AF49" s="39">
        <f t="shared" si="4"/>
        <v>-198021.24</v>
      </c>
      <c r="AG49" s="39">
        <f t="shared" si="4"/>
        <v>30474.5</v>
      </c>
      <c r="AH49" s="51">
        <f t="shared" si="4"/>
        <v>0</v>
      </c>
      <c r="AI49" s="39">
        <f t="shared" si="4"/>
        <v>-144433.91</v>
      </c>
      <c r="AJ49" s="39">
        <f t="shared" si="4"/>
        <v>30552.59</v>
      </c>
      <c r="AK49" s="39">
        <f t="shared" si="4"/>
        <v>27392.95</v>
      </c>
      <c r="AL49" s="39">
        <f t="shared" si="4"/>
        <v>0</v>
      </c>
      <c r="AM49" s="39">
        <f t="shared" si="4"/>
        <v>0</v>
      </c>
      <c r="AN49" s="39">
        <f t="shared" si="4"/>
        <v>44040.4</v>
      </c>
      <c r="AO49" s="39">
        <f t="shared" si="4"/>
        <v>43578.22</v>
      </c>
      <c r="AP49" s="39">
        <f t="shared" si="4"/>
        <v>20513.93</v>
      </c>
      <c r="AQ49" s="39">
        <f t="shared" si="4"/>
        <v>66191.71</v>
      </c>
      <c r="AR49" s="39">
        <f t="shared" si="4"/>
        <v>49693.49</v>
      </c>
      <c r="AS49" s="51">
        <f t="shared" si="4"/>
        <v>0</v>
      </c>
      <c r="AT49" s="39">
        <f t="shared" si="4"/>
        <v>19476.9</v>
      </c>
      <c r="AU49" s="39">
        <f t="shared" si="4"/>
        <v>195431.06</v>
      </c>
      <c r="AV49" s="39">
        <f t="shared" si="4"/>
        <v>10136.42</v>
      </c>
      <c r="AW49" s="39">
        <f t="shared" si="4"/>
        <v>21128.65</v>
      </c>
      <c r="AX49" s="39">
        <f t="shared" si="4"/>
        <v>60958.95</v>
      </c>
      <c r="AY49" s="39">
        <f t="shared" si="4"/>
        <v>4115.79</v>
      </c>
      <c r="AZ49" s="39">
        <f t="shared" si="4"/>
        <v>32540.59</v>
      </c>
      <c r="BA49" s="39">
        <f t="shared" si="4"/>
        <v>3432.49</v>
      </c>
      <c r="BB49" s="39">
        <f t="shared" si="4"/>
        <v>25361.56</v>
      </c>
      <c r="BC49" s="39">
        <f t="shared" si="4"/>
        <v>23850.72</v>
      </c>
      <c r="BD49" s="39">
        <f t="shared" si="4"/>
        <v>0</v>
      </c>
      <c r="BE49" s="39">
        <f t="shared" si="4"/>
        <v>210338.77</v>
      </c>
      <c r="BF49" s="39">
        <f t="shared" si="4"/>
        <v>114879.55</v>
      </c>
      <c r="BG49" s="39">
        <f t="shared" si="4"/>
        <v>52225.41</v>
      </c>
      <c r="BH49" s="39">
        <f t="shared" si="4"/>
        <v>24452.16</v>
      </c>
      <c r="BI49" s="39">
        <f t="shared" si="4"/>
        <v>50799.79</v>
      </c>
      <c r="BJ49" s="39">
        <f t="shared" si="4"/>
        <v>86006.12</v>
      </c>
      <c r="BK49" s="39">
        <f t="shared" si="4"/>
        <v>86455.4</v>
      </c>
      <c r="BL49" s="39">
        <f t="shared" si="4"/>
        <v>72380.69</v>
      </c>
      <c r="BM49" s="39">
        <f t="shared" si="4"/>
        <v>124148.97</v>
      </c>
      <c r="BN49" s="39">
        <f t="shared" si="4"/>
        <v>42235.29</v>
      </c>
      <c r="BO49" s="39">
        <f t="shared" si="4"/>
        <v>-50531.83</v>
      </c>
      <c r="BP49" s="39">
        <f t="shared" ref="BP49:CC49" si="5">+BP9+BP29-BP47</f>
        <v>3391.72</v>
      </c>
      <c r="BQ49" s="39">
        <f t="shared" si="5"/>
        <v>-22922.39</v>
      </c>
      <c r="BR49" s="39">
        <f t="shared" si="5"/>
        <v>46070.05</v>
      </c>
      <c r="BS49" s="39">
        <f t="shared" si="5"/>
        <v>-230615.99</v>
      </c>
      <c r="BT49" s="39">
        <f t="shared" si="5"/>
        <v>115868.85</v>
      </c>
      <c r="BU49" s="39">
        <f t="shared" si="5"/>
        <v>41852.37</v>
      </c>
      <c r="BV49" s="39">
        <f t="shared" si="5"/>
        <v>44943.95</v>
      </c>
      <c r="BW49" s="39">
        <f t="shared" si="5"/>
        <v>8713.02</v>
      </c>
      <c r="BX49" s="39">
        <f t="shared" si="5"/>
        <v>32759.86</v>
      </c>
      <c r="BY49" s="39">
        <f t="shared" si="5"/>
        <v>42925.16</v>
      </c>
      <c r="BZ49" s="39">
        <f t="shared" si="5"/>
        <v>441697.85</v>
      </c>
      <c r="CA49" s="39">
        <f t="shared" si="5"/>
        <v>1503144.26</v>
      </c>
      <c r="CB49" s="39">
        <f t="shared" si="5"/>
        <v>584918.08</v>
      </c>
      <c r="CC49" s="39">
        <f t="shared" si="5"/>
        <v>-5726.11</v>
      </c>
      <c r="CD49" s="39">
        <f>SUM(D49:CC49)</f>
        <v>6242820.04112</v>
      </c>
    </row>
    <row r="50" spans="20:45" s="39" customFormat="true" ht="12" customHeight="true">
      <c r="T50" s="51"/>
      <c r="Z50" s="51"/>
      <c r="AA50" s="51"/>
      <c r="AB50" s="51"/>
      <c r="AC50" s="51"/>
      <c r="AE50" s="51"/>
      <c r="AH50" s="51"/>
      <c r="AS50" s="51"/>
    </row>
    <row r="51" spans="2:82" s="39" customFormat="true" ht="12" customHeight="true">
      <c r="B51" s="39" t="s">
        <v>34193</v>
      </c>
      <c r="D51" s="46">
        <v>51211.4</v>
      </c>
      <c r="E51" s="46">
        <v>-33266.05</v>
      </c>
      <c r="F51" s="46">
        <v>-51342.9399999999</v>
      </c>
      <c r="G51" s="46">
        <v>35080.8</v>
      </c>
      <c r="H51" s="46">
        <v>-24933.58</v>
      </c>
      <c r="I51" s="46"/>
      <c r="J51" s="46">
        <v>744897.38</v>
      </c>
      <c r="K51" s="46">
        <v>1274842.02</v>
      </c>
      <c r="L51" s="46">
        <v>4251.56</v>
      </c>
      <c r="M51" s="46">
        <v>25763.51</v>
      </c>
      <c r="N51" s="46">
        <v>4298.87</v>
      </c>
      <c r="O51" s="46">
        <v>-83882.04</v>
      </c>
      <c r="P51" s="46">
        <v>-89826.21</v>
      </c>
      <c r="Q51" s="46">
        <v>26745.84</v>
      </c>
      <c r="R51" s="46">
        <v>-1513.35</v>
      </c>
      <c r="S51" s="46">
        <v>8552.06</v>
      </c>
      <c r="T51" s="46"/>
      <c r="U51" s="46">
        <v>197625.43</v>
      </c>
      <c r="V51" s="46">
        <v>51979.79</v>
      </c>
      <c r="W51" s="46">
        <v>-57800.87</v>
      </c>
      <c r="X51" s="46">
        <v>37974.35</v>
      </c>
      <c r="Y51" s="46">
        <v>33635.34</v>
      </c>
      <c r="Z51" s="46"/>
      <c r="AA51" s="46"/>
      <c r="AB51" s="46"/>
      <c r="AC51" s="46"/>
      <c r="AD51" s="46">
        <v>180292.28</v>
      </c>
      <c r="AE51" s="46"/>
      <c r="AF51" s="46">
        <v>-303430.36</v>
      </c>
      <c r="AG51" s="46">
        <v>30474.5</v>
      </c>
      <c r="AH51" s="46"/>
      <c r="AI51" s="46">
        <v>-144433.91</v>
      </c>
      <c r="AJ51" s="46">
        <v>31961.9299999999</v>
      </c>
      <c r="AK51" s="46">
        <v>27392.95</v>
      </c>
      <c r="AL51" s="46"/>
      <c r="AM51" s="46"/>
      <c r="AN51" s="46">
        <v>44040.4</v>
      </c>
      <c r="AO51" s="46">
        <v>43578.22</v>
      </c>
      <c r="AP51" s="46">
        <v>20513.93</v>
      </c>
      <c r="AQ51" s="46">
        <v>66191.71</v>
      </c>
      <c r="AR51" s="46">
        <v>49693.49</v>
      </c>
      <c r="AS51" s="46"/>
      <c r="AT51" s="46">
        <v>19476.9</v>
      </c>
      <c r="AU51" s="46">
        <v>195734.73</v>
      </c>
      <c r="AV51" s="46">
        <v>10200.56</v>
      </c>
      <c r="AW51" s="46">
        <v>21128.65</v>
      </c>
      <c r="AX51" s="46">
        <v>60958.95</v>
      </c>
      <c r="AY51" s="46">
        <v>4115.79</v>
      </c>
      <c r="AZ51" s="46">
        <v>32540.59</v>
      </c>
      <c r="BA51" s="46">
        <v>3432.49</v>
      </c>
      <c r="BB51" s="46">
        <v>25361.56</v>
      </c>
      <c r="BC51" s="46">
        <v>23850.72</v>
      </c>
      <c r="BD51" s="46"/>
      <c r="BE51" s="46">
        <v>210338.77</v>
      </c>
      <c r="BF51" s="46">
        <v>114879.55</v>
      </c>
      <c r="BG51" s="46">
        <v>52475.41</v>
      </c>
      <c r="BH51" s="46">
        <v>24452.16</v>
      </c>
      <c r="BI51" s="46">
        <v>50799.79</v>
      </c>
      <c r="BJ51" s="46">
        <v>86006.12</v>
      </c>
      <c r="BK51" s="46">
        <v>86455.41</v>
      </c>
      <c r="BL51" s="46">
        <v>72380.69</v>
      </c>
      <c r="BM51" s="46">
        <v>124148.97</v>
      </c>
      <c r="BN51" s="46">
        <v>42235.29</v>
      </c>
      <c r="BO51" s="46">
        <v>-50531.83</v>
      </c>
      <c r="BP51" s="46">
        <v>3391.72</v>
      </c>
      <c r="BQ51" s="46">
        <v>-22922.39</v>
      </c>
      <c r="BR51" s="46">
        <v>46070.05</v>
      </c>
      <c r="BS51" s="46">
        <v>-230615.99</v>
      </c>
      <c r="BT51" s="46">
        <v>115868.85</v>
      </c>
      <c r="BU51" s="46">
        <v>41852.37</v>
      </c>
      <c r="BV51" s="46">
        <v>44943.95</v>
      </c>
      <c r="BW51" s="46">
        <v>8713.02</v>
      </c>
      <c r="BX51" s="46">
        <v>32759.86</v>
      </c>
      <c r="BY51" s="46">
        <v>42925.16</v>
      </c>
      <c r="BZ51" s="46">
        <v>441697.85</v>
      </c>
      <c r="CA51" s="46">
        <v>1503144.26</v>
      </c>
      <c r="CB51" s="46">
        <v>584918.08</v>
      </c>
      <c r="CC51" s="46">
        <v>-5726.11</v>
      </c>
      <c r="CD51" s="39">
        <f>SUM(D51:CC51)</f>
        <v>6018030.4</v>
      </c>
    </row>
    <row r="52" spans="2:82" s="39" customFormat="true" ht="12" customHeight="true">
      <c r="B52" s="39" t="s">
        <v>34194</v>
      </c>
      <c r="D52" s="47">
        <f>SUMIF('BS-Details'!$D:$D,D$4&amp;"-"&amp;D$7,'BS-Details'!$K:$K)-D$51</f>
        <v>-11093.98</v>
      </c>
      <c r="E52" s="47">
        <f>SUMIF('BS-Details'!$D:$D,E$4&amp;"-"&amp;E$7,'BS-Details'!$K:$K)-E$51</f>
        <v>3823.2</v>
      </c>
      <c r="F52" s="47">
        <f>SUMIF('BS-Details'!$D:$D,F$4&amp;"-"&amp;F$7,'BS-Details'!$K:$K)-F$51</f>
        <v>21939.4199999999</v>
      </c>
      <c r="G52" s="47">
        <f>SUMIF('BS-Details'!$D:$D,G$4&amp;"-"&amp;G$7,'BS-Details'!$K:$K)-G$51</f>
        <v>-53232.82</v>
      </c>
      <c r="H52" s="47">
        <f>SUMIF('BS-Details'!$D:$D,H$4&amp;"-"&amp;H$7,'BS-Details'!$K:$K)-H$51</f>
        <v>11669.62</v>
      </c>
      <c r="I52" s="47">
        <f>SUMIF('BS-Details'!$D:$D,I$4&amp;"-"&amp;I$7,'BS-Details'!$K:$K)-I$51</f>
        <v>-7732.72</v>
      </c>
      <c r="J52" s="47">
        <f>SUMIF('BS-Details'!$D:$D,J$4&amp;"-"&amp;J$7,'BS-Details'!$K:$K)-J$51</f>
        <v>-649643.16</v>
      </c>
      <c r="K52" s="47">
        <f>SUMIF('BS-Details'!$D:$D,K$4&amp;"-"&amp;K$7,'BS-Details'!$K:$K)-K$51</f>
        <v>338791.7</v>
      </c>
      <c r="L52" s="47">
        <f>SUMIF('BS-Details'!$D:$D,L$4&amp;"-"&amp;L$7,'BS-Details'!$K:$K)-L$51</f>
        <v>-4251.56</v>
      </c>
      <c r="M52" s="47">
        <f>SUMIF('BS-Details'!$D:$D,M$4&amp;"-"&amp;M$7,'BS-Details'!$K:$K)-M$51</f>
        <v>-46269.25</v>
      </c>
      <c r="N52" s="47">
        <f>SUMIF('BS-Details'!$D:$D,N$4&amp;"-"&amp;N$7,'BS-Details'!$K:$K)-N$51</f>
        <v>-18061.02</v>
      </c>
      <c r="O52" s="47">
        <f>SUMIF('BS-Details'!$D:$D,O$4&amp;"-"&amp;O$7,'BS-Details'!$K:$K)-O$51</f>
        <v>83808.48</v>
      </c>
      <c r="P52" s="47">
        <f>SUMIF('BS-Details'!$D:$D,P$4&amp;"-"&amp;P$7,'BS-Details'!$K:$K)-P$51</f>
        <v>-89197.83</v>
      </c>
      <c r="Q52" s="47">
        <f>SUMIF('BS-Details'!$D:$D,Q$4&amp;"-"&amp;Q$7,'BS-Details'!$K:$K)-Q$51</f>
        <v>-26745.84</v>
      </c>
      <c r="R52" s="47">
        <f>SUMIF('BS-Details'!$D:$D,R$4&amp;"-"&amp;R$7,'BS-Details'!$K:$K)-R$51</f>
        <v>790.72</v>
      </c>
      <c r="S52" s="47">
        <f>SUMIF('BS-Details'!$D:$D,S$4&amp;"-"&amp;S$7,'BS-Details'!$K:$K)-S$51</f>
        <v>-2687.08</v>
      </c>
      <c r="T52" s="47">
        <f>SUMIF('BS-Details'!$D:$D,T$4&amp;"-"&amp;T$7,'BS-Details'!$K:$K)-T$51</f>
        <v>0</v>
      </c>
      <c r="U52" s="47">
        <f>SUMIF('BS-Details'!$D:$D,U$4&amp;"-"&amp;U$7,'BS-Details'!$K:$K)-U$51</f>
        <v>34947.3</v>
      </c>
      <c r="V52" s="47">
        <f>SUMIF('BS-Details'!$D:$D,V$4&amp;"-"&amp;V$7,'BS-Details'!$K:$K)-V$51</f>
        <v>34560.21</v>
      </c>
      <c r="W52" s="47">
        <f>SUMIF('BS-Details'!$D:$D,W$4&amp;"-"&amp;W$7,'BS-Details'!$K:$K)-W$51</f>
        <v>-2478.46999999999</v>
      </c>
      <c r="X52" s="47">
        <f>SUMIF('BS-Details'!$D:$D,X$4&amp;"-"&amp;X$7,'BS-Details'!$K:$K)-X$51</f>
        <v>31765.05</v>
      </c>
      <c r="Y52" s="47">
        <f>SUMIF('BS-Details'!$D:$D,Y$4&amp;"-"&amp;Y$7,'BS-Details'!$K:$K)-Y$51</f>
        <v>-31885.2</v>
      </c>
      <c r="Z52" s="47">
        <f>SUMIF('BS-Details'!$D:$D,Z$4&amp;"-"&amp;Z$7,'BS-Details'!$K:$K)-Z$51</f>
        <v>0</v>
      </c>
      <c r="AA52" s="47">
        <f>SUMIF('BS-Details'!$D:$D,AA$4&amp;"-"&amp;AA$7,'BS-Details'!$K:$K)-AA$51</f>
        <v>0</v>
      </c>
      <c r="AB52" s="47">
        <f>SUMIF('BS-Details'!$D:$D,AB$4&amp;"-"&amp;AB$7,'BS-Details'!$K:$K)-AB$51</f>
        <v>0</v>
      </c>
      <c r="AC52" s="47">
        <f>SUMIF('BS-Details'!$D:$D,AC$4&amp;"-"&amp;AC$7,'BS-Details'!$K:$K)-AC$51</f>
        <v>0</v>
      </c>
      <c r="AD52" s="47">
        <f>SUMIF('BS-Details'!$D:$D,AD$4&amp;"-"&amp;AD$7,'BS-Details'!$K:$K)-AD$51</f>
        <v>-180502.7</v>
      </c>
      <c r="AE52" s="47">
        <f>SUMIF('BS-Details'!$D:$D,AE$4&amp;"-"&amp;AE$7,'BS-Details'!$K:$K)-AE$51</f>
        <v>0</v>
      </c>
      <c r="AF52" s="47">
        <f>SUMIF('BS-Details'!$D:$D,AF$4&amp;"-"&amp;AF$7,'BS-Details'!$K:$K)-AF$51</f>
        <v>185538.01</v>
      </c>
      <c r="AG52" s="47">
        <f>SUMIF('BS-Details'!$D:$D,AG$4&amp;"-"&amp;AG$7,'BS-Details'!$K:$K)-AG$51</f>
        <v>33337.02</v>
      </c>
      <c r="AH52" s="47">
        <f>SUMIF('BS-Details'!$D:$D,AH$4&amp;"-"&amp;AH$7,'BS-Details'!$K:$K)-AH$51</f>
        <v>0</v>
      </c>
      <c r="AI52" s="47">
        <f>SUMIF('BS-Details'!$D:$D,AI$4&amp;"-"&amp;AI$7,'BS-Details'!$K:$K)-AI$51</f>
        <v>177541.56</v>
      </c>
      <c r="AJ52" s="47">
        <f>SUMIF('BS-Details'!$D:$D,AJ$4&amp;"-"&amp;AJ$7,'BS-Details'!$K:$K)-AJ$51</f>
        <v>13845.2900000001</v>
      </c>
      <c r="AK52" s="47">
        <f>SUMIF('BS-Details'!$D:$D,AK$4&amp;"-"&amp;AK$7,'BS-Details'!$K:$K)-AK$51</f>
        <v>-25569.57</v>
      </c>
      <c r="AL52" s="47">
        <f>SUMIF('BS-Details'!$D:$D,AL$4&amp;"-"&amp;AL$7,'BS-Details'!$K:$K)-AL$51</f>
        <v>0</v>
      </c>
      <c r="AM52" s="47">
        <f>SUMIF('BS-Details'!$D:$D,AM$4&amp;"-"&amp;AM$7,'BS-Details'!$K:$K)-AM$51</f>
        <v>0</v>
      </c>
      <c r="AN52" s="47">
        <f>SUMIF('BS-Details'!$D:$D,AN$4&amp;"-"&amp;AN$7,'BS-Details'!$K:$K)-AN$51</f>
        <v>-37797.41</v>
      </c>
      <c r="AO52" s="47">
        <f>SUMIF('BS-Details'!$D:$D,AO$4&amp;"-"&amp;AO$7,'BS-Details'!$K:$K)-AO$51</f>
        <v>78168.66</v>
      </c>
      <c r="AP52" s="47">
        <f>SUMIF('BS-Details'!$D:$D,AP$4&amp;"-"&amp;AP$7,'BS-Details'!$K:$K)-AP$51</f>
        <v>-15637.15</v>
      </c>
      <c r="AQ52" s="47">
        <f>SUMIF('BS-Details'!$D:$D,AQ$4&amp;"-"&amp;AQ$7,'BS-Details'!$K:$K)-AQ$51</f>
        <v>-51978.05</v>
      </c>
      <c r="AR52" s="47">
        <f>SUMIF('BS-Details'!$D:$D,AR$4&amp;"-"&amp;AR$7,'BS-Details'!$K:$K)-AR$51</f>
        <v>-38933.29</v>
      </c>
      <c r="AS52" s="47">
        <f>SUMIF('BS-Details'!$D:$D,AS$4&amp;"-"&amp;AS$7,'BS-Details'!$K:$K)-AS$51</f>
        <v>0</v>
      </c>
      <c r="AT52" s="47">
        <f>SUMIF('BS-Details'!$D:$D,AT$4&amp;"-"&amp;AT$7,'BS-Details'!$K:$K)-AT$51</f>
        <v>19927.42</v>
      </c>
      <c r="AU52" s="47">
        <f>SUMIF('BS-Details'!$D:$D,AU$4&amp;"-"&amp;AU$7,'BS-Details'!$K:$K)-AU$51</f>
        <v>-306135.5</v>
      </c>
      <c r="AV52" s="47">
        <f>SUMIF('BS-Details'!$D:$D,AV$4&amp;"-"&amp;AV$7,'BS-Details'!$K:$K)-AV$51</f>
        <v>-10200.56</v>
      </c>
      <c r="AW52" s="47">
        <f>SUMIF('BS-Details'!$D:$D,AW$4&amp;"-"&amp;AW$7,'BS-Details'!$K:$K)-AW$51</f>
        <v>-24014.55</v>
      </c>
      <c r="AX52" s="47">
        <f>SUMIF('BS-Details'!$D:$D,AX$4&amp;"-"&amp;AX$7,'BS-Details'!$K:$K)-AX$51</f>
        <v>-39161.45</v>
      </c>
      <c r="AY52" s="47">
        <f>SUMIF('BS-Details'!$D:$D,AY$4&amp;"-"&amp;AY$7,'BS-Details'!$K:$K)-AY$51</f>
        <v>-4115.79</v>
      </c>
      <c r="AZ52" s="47">
        <f>SUMIF('BS-Details'!$D:$D,AZ$4&amp;"-"&amp;AZ$7,'BS-Details'!$K:$K)-AZ$51</f>
        <v>-65090.15</v>
      </c>
      <c r="BA52" s="47">
        <f>SUMIF('BS-Details'!$D:$D,BA$4&amp;"-"&amp;BA$7,'BS-Details'!$K:$K)-BA$51</f>
        <v>-3432.49</v>
      </c>
      <c r="BB52" s="47">
        <f>SUMIF('BS-Details'!$D:$D,BB$4&amp;"-"&amp;BB$7,'BS-Details'!$K:$K)-BB$51</f>
        <v>-25361.56</v>
      </c>
      <c r="BC52" s="47">
        <f>SUMIF('BS-Details'!$D:$D,BC$4&amp;"-"&amp;BC$7,'BS-Details'!$K:$K)-BC$51</f>
        <v>-21404.67</v>
      </c>
      <c r="BD52" s="47">
        <f>SUMIF('BS-Details'!$D:$D,BD$4&amp;"-"&amp;BD$7,'BS-Details'!$K:$K)-BD$51</f>
        <v>0</v>
      </c>
      <c r="BE52" s="47">
        <f>SUMIF('BS-Details'!$D:$D,BE$4&amp;"-"&amp;BE$7,'BS-Details'!$K:$K)-BE$51</f>
        <v>-201963.01</v>
      </c>
      <c r="BF52" s="47">
        <f>SUMIF('BS-Details'!$D:$D,BF$4&amp;"-"&amp;BF$7,'BS-Details'!$K:$K)-BF$51</f>
        <v>-114879.55</v>
      </c>
      <c r="BG52" s="47">
        <f>SUMIF('BS-Details'!$D:$D,BG$4&amp;"-"&amp;BG$7,'BS-Details'!$K:$K)-BG$51</f>
        <v>-54065.66</v>
      </c>
      <c r="BH52" s="47">
        <f>SUMIF('BS-Details'!$D:$D,BH$4&amp;"-"&amp;BH$7,'BS-Details'!$K:$K)-BH$51</f>
        <v>-71380.26</v>
      </c>
      <c r="BI52" s="47">
        <f>SUMIF('BS-Details'!$D:$D,BI$4&amp;"-"&amp;BI$7,'BS-Details'!$K:$K)-BI$51</f>
        <v>-40460.94</v>
      </c>
      <c r="BJ52" s="47">
        <f>SUMIF('BS-Details'!$D:$D,BJ$4&amp;"-"&amp;BJ$7,'BS-Details'!$K:$K)-BJ$51</f>
        <v>-85675.99</v>
      </c>
      <c r="BK52" s="47">
        <f>SUMIF('BS-Details'!$D:$D,BK$4&amp;"-"&amp;BK$7,'BS-Details'!$K:$K)-BK$51</f>
        <v>-101167.36</v>
      </c>
      <c r="BL52" s="47">
        <f>SUMIF('BS-Details'!$D:$D,BL$4&amp;"-"&amp;BL$7,'BS-Details'!$K:$K)-BL$51</f>
        <v>-73615.12</v>
      </c>
      <c r="BM52" s="47">
        <f>SUMIF('BS-Details'!$D:$D,BM$4&amp;"-"&amp;BM$7,'BS-Details'!$K:$K)-BM$51</f>
        <v>-136079.11</v>
      </c>
      <c r="BN52" s="47">
        <f>SUMIF('BS-Details'!$D:$D,BN$4&amp;"-"&amp;BN$7,'BS-Details'!$K:$K)-BN$51</f>
        <v>-42235.29</v>
      </c>
      <c r="BO52" s="47">
        <f>SUMIF('BS-Details'!$D:$D,BO$4&amp;"-"&amp;BO$7,'BS-Details'!$K:$K)-BO$51</f>
        <v>50531.83</v>
      </c>
      <c r="BP52" s="47">
        <f>SUMIF('BS-Details'!$D:$D,BP$4&amp;"-"&amp;BP$7,'BS-Details'!$K:$K)-BP$51</f>
        <v>-3391.72</v>
      </c>
      <c r="BQ52" s="47">
        <f>SUMIF('BS-Details'!$D:$D,BQ$4&amp;"-"&amp;BQ$7,'BS-Details'!$K:$K)-BQ$51</f>
        <v>45094.55</v>
      </c>
      <c r="BR52" s="47">
        <f>SUMIF('BS-Details'!$D:$D,BR$4&amp;"-"&amp;BR$7,'BS-Details'!$K:$K)-BR$51</f>
        <v>-47925.77</v>
      </c>
      <c r="BS52" s="47">
        <f>SUMIF('BS-Details'!$D:$D,BS$4&amp;"-"&amp;BS$7,'BS-Details'!$K:$K)-BS$51</f>
        <v>230615.99</v>
      </c>
      <c r="BT52" s="47">
        <f>SUMIF('BS-Details'!$D:$D,BT$4&amp;"-"&amp;BT$7,'BS-Details'!$K:$K)-BT$51</f>
        <v>-123064.32</v>
      </c>
      <c r="BU52" s="47">
        <f>SUMIF('BS-Details'!$D:$D,BU$4&amp;"-"&amp;BU$7,'BS-Details'!$K:$K)-BU$51</f>
        <v>-45284.65</v>
      </c>
      <c r="BV52" s="47">
        <f>SUMIF('BS-Details'!$D:$D,BV$4&amp;"-"&amp;BV$7,'BS-Details'!$K:$K)-BV$51</f>
        <v>-54750.01</v>
      </c>
      <c r="BW52" s="47">
        <f>SUMIF('BS-Details'!$D:$D,BW$4&amp;"-"&amp;BW$7,'BS-Details'!$K:$K)-BW$51</f>
        <v>-8713.02</v>
      </c>
      <c r="BX52" s="47">
        <f>SUMIF('BS-Details'!$D:$D,BX$4&amp;"-"&amp;BX$7,'BS-Details'!$K:$K)-BX$51</f>
        <v>-32547.59</v>
      </c>
      <c r="BY52" s="47">
        <f>SUMIF('BS-Details'!$D:$D,BY$4&amp;"-"&amp;BY$7,'BS-Details'!$K:$K)-BY$51</f>
        <v>-44967.43</v>
      </c>
      <c r="BZ52" s="47">
        <f>SUMIF('BS-Details'!$D:$D,BZ$4&amp;"-"&amp;BZ$7,'BS-Details'!$K:$K)-BZ$51</f>
        <v>-441697.85</v>
      </c>
      <c r="CA52" s="47">
        <f>SUMIF('BS-Details'!$D:$D,CA$4&amp;"-"&amp;CA$7,'BS-Details'!$K:$K)-CA$51</f>
        <v>-1501345.68</v>
      </c>
      <c r="CB52" s="47">
        <f>SUMIF('BS-Details'!$D:$D,CB$4&amp;"-"&amp;CB$7,'BS-Details'!$K:$K)-CB$51</f>
        <v>-585718.08</v>
      </c>
      <c r="CC52" s="47">
        <f>SUMIF('BS-Details'!$D:$D,CC$4&amp;"-"&amp;CC$7,'BS-Details'!$K:$K)-CC$51</f>
        <v>-153225.83</v>
      </c>
      <c r="CD52" s="39">
        <f>SUM(D52:CC52)</f>
        <v>-4360072.03</v>
      </c>
    </row>
    <row r="53" spans="2:82" s="39" customFormat="true" ht="12" customHeight="true">
      <c r="B53" s="39" t="s">
        <v>34195</v>
      </c>
      <c r="T53" s="51"/>
      <c r="Z53" s="51"/>
      <c r="AA53" s="51"/>
      <c r="AB53" s="51"/>
      <c r="AC53" s="51"/>
      <c r="AE53" s="51"/>
      <c r="AH53" s="51"/>
      <c r="AS53" s="51"/>
      <c r="CD53" s="39">
        <f>SUM(D53:CC53)</f>
        <v>0</v>
      </c>
    </row>
    <row r="54" spans="4:81" s="39" customFormat="true" ht="12" customHeight="true">
      <c r="D54" s="46">
        <v>31801</v>
      </c>
      <c r="E54" s="46"/>
      <c r="F54" s="46">
        <v>-222.06</v>
      </c>
      <c r="G54" s="46">
        <v>3922</v>
      </c>
      <c r="H54" s="46"/>
      <c r="I54" s="46"/>
      <c r="J54" s="46"/>
      <c r="K54" s="46">
        <f>-55000-55000-111.06-716.14</f>
        <v>-110827.2</v>
      </c>
      <c r="L54" s="46">
        <f>29359.79+24878.66+101019.98+25960.98+25518.49</f>
        <v>206737.9</v>
      </c>
      <c r="M54" s="46"/>
      <c r="N54" s="46">
        <v>-69.98</v>
      </c>
      <c r="O54" s="46"/>
      <c r="P54" s="46">
        <v>-6829.7</v>
      </c>
      <c r="Q54" s="46"/>
      <c r="R54" s="46"/>
      <c r="S54" s="46"/>
      <c r="T54" s="51"/>
      <c r="U54" s="46"/>
      <c r="V54" s="46"/>
      <c r="W54" s="46"/>
      <c r="X54" s="46"/>
      <c r="Y54" s="46"/>
      <c r="Z54" s="51"/>
      <c r="AA54" s="51"/>
      <c r="AB54" s="51"/>
      <c r="AC54" s="51"/>
      <c r="AD54" s="46"/>
      <c r="AE54" s="51"/>
      <c r="AF54" s="46">
        <f>228.42-5822.38+1003.08+55000+55000</f>
        <v>105409.12</v>
      </c>
      <c r="AG54" s="46"/>
      <c r="AH54" s="51"/>
      <c r="AI54" s="46"/>
      <c r="AJ54" s="46">
        <v>-356.21</v>
      </c>
      <c r="AK54" s="46"/>
      <c r="AL54" s="46"/>
      <c r="AM54" s="46"/>
      <c r="AN54" s="46"/>
      <c r="AO54" s="46"/>
      <c r="AP54" s="46"/>
      <c r="AQ54" s="46"/>
      <c r="AR54" s="46"/>
      <c r="AS54" s="51"/>
      <c r="AT54" s="46"/>
      <c r="AU54" s="46">
        <v>-0.01</v>
      </c>
      <c r="AV54" s="46">
        <v>-64.14</v>
      </c>
      <c r="AW54" s="46"/>
      <c r="AX54" s="46"/>
      <c r="AY54" s="46"/>
      <c r="AZ54" s="46"/>
      <c r="BA54" s="46"/>
      <c r="BB54" s="46"/>
      <c r="BC54" s="46"/>
      <c r="BD54" s="46"/>
      <c r="BE54" s="46"/>
      <c r="BF54" s="46"/>
      <c r="BG54" s="46">
        <v>-250</v>
      </c>
      <c r="BH54" s="46"/>
      <c r="BI54" s="46"/>
      <c r="BJ54" s="46"/>
      <c r="BK54" s="46">
        <v>-0.01</v>
      </c>
      <c r="BL54" s="46"/>
      <c r="BM54" s="46"/>
      <c r="BN54" s="46"/>
      <c r="BO54" s="46"/>
      <c r="BP54" s="46"/>
      <c r="BQ54" s="46"/>
      <c r="BR54" s="46"/>
      <c r="BS54" s="46"/>
      <c r="BT54" s="46"/>
      <c r="BU54" s="46"/>
      <c r="BV54" s="46"/>
      <c r="BW54" s="46"/>
      <c r="BX54" s="46"/>
      <c r="BY54" s="46"/>
      <c r="BZ54" s="46"/>
      <c r="CA54" s="46"/>
      <c r="CB54" s="46"/>
      <c r="CC54" s="46"/>
    </row>
    <row r="55" spans="4:81" s="39" customFormat="true" ht="12" customHeight="true">
      <c r="D55" s="46"/>
      <c r="E55" s="46"/>
      <c r="F55" s="46"/>
      <c r="G55" s="46"/>
      <c r="H55" s="46"/>
      <c r="I55" s="46"/>
      <c r="J55" s="46"/>
      <c r="K55" s="46"/>
      <c r="L55" s="46"/>
      <c r="M55" s="46"/>
      <c r="N55" s="46"/>
      <c r="O55" s="46"/>
      <c r="P55" s="46">
        <v>-2416.66</v>
      </c>
      <c r="Q55" s="46"/>
      <c r="R55" s="46">
        <v>-527.89</v>
      </c>
      <c r="S55" s="46"/>
      <c r="T55" s="51"/>
      <c r="U55" s="46"/>
      <c r="V55" s="46"/>
      <c r="W55" s="46"/>
      <c r="X55" s="46"/>
      <c r="Y55" s="46"/>
      <c r="Z55" s="51"/>
      <c r="AA55" s="51"/>
      <c r="AB55" s="51"/>
      <c r="AC55" s="51"/>
      <c r="AD55" s="46"/>
      <c r="AE55" s="51"/>
      <c r="AF55" s="46"/>
      <c r="AG55" s="46"/>
      <c r="AH55" s="51"/>
      <c r="AI55" s="46"/>
      <c r="AJ55" s="46">
        <v>-1053.13</v>
      </c>
      <c r="AK55" s="46"/>
      <c r="AL55" s="46"/>
      <c r="AM55" s="46"/>
      <c r="AN55" s="46"/>
      <c r="AO55" s="46"/>
      <c r="AP55" s="46"/>
      <c r="AQ55" s="46"/>
      <c r="AR55" s="46"/>
      <c r="AS55" s="51"/>
      <c r="AT55" s="46"/>
      <c r="AU55" s="46">
        <v>-303.66</v>
      </c>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row>
    <row r="56" spans="4:81" s="39" customFormat="true" ht="12" customHeight="true">
      <c r="D56" s="46"/>
      <c r="E56" s="46"/>
      <c r="F56" s="46"/>
      <c r="G56" s="46"/>
      <c r="H56" s="46"/>
      <c r="I56" s="46"/>
      <c r="J56" s="46"/>
      <c r="K56" s="46"/>
      <c r="L56" s="46"/>
      <c r="M56" s="46"/>
      <c r="N56" s="46"/>
      <c r="O56" s="46"/>
      <c r="P56" s="46"/>
      <c r="Q56" s="46"/>
      <c r="R56" s="46">
        <v>-159.73</v>
      </c>
      <c r="S56" s="46"/>
      <c r="T56" s="51"/>
      <c r="U56" s="46"/>
      <c r="V56" s="46"/>
      <c r="W56" s="46"/>
      <c r="X56" s="46"/>
      <c r="Y56" s="46"/>
      <c r="Z56" s="51"/>
      <c r="AA56" s="51"/>
      <c r="AB56" s="51"/>
      <c r="AC56" s="51"/>
      <c r="AD56" s="46"/>
      <c r="AE56" s="51"/>
      <c r="AF56" s="46"/>
      <c r="AG56" s="46"/>
      <c r="AH56" s="51"/>
      <c r="AI56" s="46"/>
      <c r="AJ56" s="46"/>
      <c r="AK56" s="46"/>
      <c r="AL56" s="46"/>
      <c r="AM56" s="46"/>
      <c r="AN56" s="46"/>
      <c r="AO56" s="46"/>
      <c r="AP56" s="46"/>
      <c r="AQ56" s="46"/>
      <c r="AR56" s="46"/>
      <c r="AS56" s="51"/>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row>
    <row r="57" spans="2:82" s="39" customFormat="true" ht="12" customHeight="true">
      <c r="B57" s="39" t="s">
        <v>34196</v>
      </c>
      <c r="D57" s="39">
        <f t="shared" ref="D57:T57" si="6">+SUM(D53:D56)</f>
        <v>31801</v>
      </c>
      <c r="E57" s="39">
        <f t="shared" si="6"/>
        <v>0</v>
      </c>
      <c r="F57" s="39">
        <f t="shared" si="6"/>
        <v>-222.06</v>
      </c>
      <c r="G57" s="39">
        <f t="shared" si="6"/>
        <v>3922</v>
      </c>
      <c r="H57" s="39">
        <f t="shared" si="6"/>
        <v>0</v>
      </c>
      <c r="I57" s="39">
        <f t="shared" si="6"/>
        <v>0</v>
      </c>
      <c r="J57" s="39">
        <f t="shared" si="6"/>
        <v>0</v>
      </c>
      <c r="K57" s="39">
        <f t="shared" si="6"/>
        <v>-110827.2</v>
      </c>
      <c r="L57" s="39">
        <f t="shared" si="6"/>
        <v>206737.9</v>
      </c>
      <c r="M57" s="39">
        <f t="shared" si="6"/>
        <v>0</v>
      </c>
      <c r="N57" s="39">
        <f t="shared" si="6"/>
        <v>-69.98</v>
      </c>
      <c r="O57" s="39">
        <f t="shared" si="6"/>
        <v>0</v>
      </c>
      <c r="P57" s="39">
        <f t="shared" si="6"/>
        <v>-9246.36</v>
      </c>
      <c r="Q57" s="39">
        <f t="shared" si="6"/>
        <v>0</v>
      </c>
      <c r="R57" s="39">
        <f t="shared" si="6"/>
        <v>-687.62</v>
      </c>
      <c r="S57" s="39">
        <f t="shared" si="6"/>
        <v>0</v>
      </c>
      <c r="T57" s="51">
        <f t="shared" si="6"/>
        <v>0</v>
      </c>
      <c r="U57" s="39">
        <f>+SUM(U54:U56)</f>
        <v>0</v>
      </c>
      <c r="V57" s="39">
        <f t="shared" ref="V57:CC57" si="7">+SUM(V53:V56)</f>
        <v>0</v>
      </c>
      <c r="W57" s="39">
        <f t="shared" si="7"/>
        <v>0</v>
      </c>
      <c r="X57" s="39">
        <f t="shared" si="7"/>
        <v>0</v>
      </c>
      <c r="Y57" s="39">
        <f t="shared" si="7"/>
        <v>0</v>
      </c>
      <c r="Z57" s="51">
        <f t="shared" si="7"/>
        <v>0</v>
      </c>
      <c r="AA57" s="51">
        <f t="shared" si="7"/>
        <v>0</v>
      </c>
      <c r="AB57" s="51">
        <f t="shared" si="7"/>
        <v>0</v>
      </c>
      <c r="AC57" s="51">
        <f t="shared" si="7"/>
        <v>0</v>
      </c>
      <c r="AD57" s="39">
        <f t="shared" si="7"/>
        <v>0</v>
      </c>
      <c r="AE57" s="51">
        <f t="shared" si="7"/>
        <v>0</v>
      </c>
      <c r="AF57" s="39">
        <f t="shared" si="7"/>
        <v>105409.12</v>
      </c>
      <c r="AG57" s="39">
        <f t="shared" si="7"/>
        <v>0</v>
      </c>
      <c r="AH57" s="51">
        <f t="shared" si="7"/>
        <v>0</v>
      </c>
      <c r="AI57" s="39">
        <f t="shared" si="7"/>
        <v>0</v>
      </c>
      <c r="AJ57" s="39">
        <f t="shared" si="7"/>
        <v>-1409.34</v>
      </c>
      <c r="AK57" s="39">
        <f t="shared" si="7"/>
        <v>0</v>
      </c>
      <c r="AL57" s="39">
        <f t="shared" si="7"/>
        <v>0</v>
      </c>
      <c r="AM57" s="39">
        <f t="shared" si="7"/>
        <v>0</v>
      </c>
      <c r="AN57" s="39">
        <f t="shared" si="7"/>
        <v>0</v>
      </c>
      <c r="AO57" s="39">
        <f t="shared" si="7"/>
        <v>0</v>
      </c>
      <c r="AP57" s="39">
        <f t="shared" si="7"/>
        <v>0</v>
      </c>
      <c r="AQ57" s="39">
        <f t="shared" si="7"/>
        <v>0</v>
      </c>
      <c r="AR57" s="39">
        <f t="shared" si="7"/>
        <v>0</v>
      </c>
      <c r="AS57" s="51">
        <f t="shared" si="7"/>
        <v>0</v>
      </c>
      <c r="AT57" s="39">
        <f t="shared" si="7"/>
        <v>0</v>
      </c>
      <c r="AU57" s="39">
        <f t="shared" si="7"/>
        <v>-303.67</v>
      </c>
      <c r="AV57" s="39">
        <f t="shared" si="7"/>
        <v>-64.14</v>
      </c>
      <c r="AW57" s="39">
        <f t="shared" si="7"/>
        <v>0</v>
      </c>
      <c r="AX57" s="39">
        <f t="shared" si="7"/>
        <v>0</v>
      </c>
      <c r="AY57" s="39">
        <f t="shared" si="7"/>
        <v>0</v>
      </c>
      <c r="AZ57" s="39">
        <f t="shared" si="7"/>
        <v>0</v>
      </c>
      <c r="BA57" s="39">
        <f t="shared" si="7"/>
        <v>0</v>
      </c>
      <c r="BB57" s="39">
        <f t="shared" si="7"/>
        <v>0</v>
      </c>
      <c r="BC57" s="39">
        <f t="shared" si="7"/>
        <v>0</v>
      </c>
      <c r="BD57" s="39">
        <f t="shared" si="7"/>
        <v>0</v>
      </c>
      <c r="BE57" s="39">
        <f t="shared" si="7"/>
        <v>0</v>
      </c>
      <c r="BF57" s="39">
        <f t="shared" si="7"/>
        <v>0</v>
      </c>
      <c r="BG57" s="39">
        <f t="shared" si="7"/>
        <v>-250</v>
      </c>
      <c r="BH57" s="39">
        <f t="shared" si="7"/>
        <v>0</v>
      </c>
      <c r="BI57" s="39">
        <f t="shared" si="7"/>
        <v>0</v>
      </c>
      <c r="BJ57" s="39">
        <f t="shared" si="7"/>
        <v>0</v>
      </c>
      <c r="BK57" s="39">
        <f t="shared" si="7"/>
        <v>-0.01</v>
      </c>
      <c r="BL57" s="39">
        <f t="shared" si="7"/>
        <v>0</v>
      </c>
      <c r="BM57" s="39">
        <f t="shared" si="7"/>
        <v>0</v>
      </c>
      <c r="BN57" s="39">
        <f t="shared" si="7"/>
        <v>0</v>
      </c>
      <c r="BO57" s="39">
        <f t="shared" si="7"/>
        <v>0</v>
      </c>
      <c r="BP57" s="39">
        <f t="shared" si="7"/>
        <v>0</v>
      </c>
      <c r="BQ57" s="39">
        <f t="shared" si="7"/>
        <v>0</v>
      </c>
      <c r="BR57" s="39">
        <f t="shared" si="7"/>
        <v>0</v>
      </c>
      <c r="BS57" s="39">
        <f t="shared" si="7"/>
        <v>0</v>
      </c>
      <c r="BT57" s="39">
        <f t="shared" si="7"/>
        <v>0</v>
      </c>
      <c r="BU57" s="39">
        <f t="shared" si="7"/>
        <v>0</v>
      </c>
      <c r="BV57" s="39">
        <f t="shared" si="7"/>
        <v>0</v>
      </c>
      <c r="BW57" s="39">
        <f t="shared" si="7"/>
        <v>0</v>
      </c>
      <c r="BX57" s="39">
        <f t="shared" si="7"/>
        <v>0</v>
      </c>
      <c r="BY57" s="39">
        <f t="shared" si="7"/>
        <v>0</v>
      </c>
      <c r="BZ57" s="39">
        <f t="shared" si="7"/>
        <v>0</v>
      </c>
      <c r="CA57" s="39">
        <f t="shared" si="7"/>
        <v>0</v>
      </c>
      <c r="CB57" s="39">
        <f t="shared" si="7"/>
        <v>0</v>
      </c>
      <c r="CC57" s="39">
        <f t="shared" si="7"/>
        <v>0</v>
      </c>
      <c r="CD57" s="39">
        <f>SUM(D57:CC57)</f>
        <v>224789.64</v>
      </c>
    </row>
    <row r="58" spans="20:45" s="39" customFormat="true" ht="12" customHeight="true">
      <c r="T58" s="51"/>
      <c r="Z58" s="51"/>
      <c r="AA58" s="51"/>
      <c r="AB58" s="51"/>
      <c r="AC58" s="51"/>
      <c r="AE58" s="51"/>
      <c r="AH58" s="51"/>
      <c r="AS58" s="51"/>
    </row>
    <row r="59" spans="2:45" s="39" customFormat="true" ht="12" customHeight="true">
      <c r="B59" s="39" t="s">
        <v>34197</v>
      </c>
      <c r="T59" s="51"/>
      <c r="Z59" s="51"/>
      <c r="AA59" s="51"/>
      <c r="AB59" s="51"/>
      <c r="AC59" s="51"/>
      <c r="AE59" s="51"/>
      <c r="AH59" s="51"/>
      <c r="AS59" s="51"/>
    </row>
    <row r="60" spans="4:81" s="39" customFormat="true" ht="12" customHeight="true">
      <c r="D60" s="46"/>
      <c r="E60" s="46"/>
      <c r="F60" s="46"/>
      <c r="G60" s="46"/>
      <c r="H60" s="46"/>
      <c r="I60" s="46"/>
      <c r="J60" s="46">
        <v>0</v>
      </c>
      <c r="K60" s="46"/>
      <c r="L60" s="46"/>
      <c r="M60" s="46"/>
      <c r="N60" s="46"/>
      <c r="O60" s="46"/>
      <c r="P60" s="46"/>
      <c r="Q60" s="46"/>
      <c r="R60" s="46"/>
      <c r="S60" s="46"/>
      <c r="T60" s="51"/>
      <c r="U60" s="46"/>
      <c r="V60" s="46"/>
      <c r="W60" s="46"/>
      <c r="X60" s="46"/>
      <c r="Y60" s="46"/>
      <c r="Z60" s="51"/>
      <c r="AA60" s="51"/>
      <c r="AB60" s="51"/>
      <c r="AC60" s="51"/>
      <c r="AD60" s="46"/>
      <c r="AE60" s="51"/>
      <c r="AF60" s="46"/>
      <c r="AG60" s="46"/>
      <c r="AH60" s="51"/>
      <c r="AI60" s="46"/>
      <c r="AJ60" s="46"/>
      <c r="AK60" s="46"/>
      <c r="AL60" s="46"/>
      <c r="AM60" s="46"/>
      <c r="AN60" s="46"/>
      <c r="AO60" s="46"/>
      <c r="AP60" s="46"/>
      <c r="AQ60" s="46"/>
      <c r="AR60" s="46"/>
      <c r="AS60" s="51"/>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row>
    <row r="61" spans="4:81" s="39" customFormat="true" ht="12" customHeight="true">
      <c r="D61" s="46"/>
      <c r="E61" s="46"/>
      <c r="F61" s="46"/>
      <c r="G61" s="46"/>
      <c r="H61" s="46"/>
      <c r="I61" s="46"/>
      <c r="J61" s="46"/>
      <c r="K61" s="46"/>
      <c r="L61" s="46"/>
      <c r="M61" s="46"/>
      <c r="N61" s="46"/>
      <c r="O61" s="46"/>
      <c r="P61" s="46"/>
      <c r="Q61" s="46"/>
      <c r="R61" s="46"/>
      <c r="S61" s="46"/>
      <c r="T61" s="51"/>
      <c r="U61" s="46"/>
      <c r="V61" s="46"/>
      <c r="W61" s="46"/>
      <c r="X61" s="46"/>
      <c r="Y61" s="46"/>
      <c r="Z61" s="51"/>
      <c r="AA61" s="51"/>
      <c r="AB61" s="51"/>
      <c r="AC61" s="51"/>
      <c r="AD61" s="46"/>
      <c r="AE61" s="51"/>
      <c r="AF61" s="46"/>
      <c r="AG61" s="46"/>
      <c r="AH61" s="51"/>
      <c r="AI61" s="46"/>
      <c r="AJ61" s="46"/>
      <c r="AK61" s="46"/>
      <c r="AL61" s="46"/>
      <c r="AM61" s="46"/>
      <c r="AN61" s="46"/>
      <c r="AO61" s="46"/>
      <c r="AP61" s="46"/>
      <c r="AQ61" s="46"/>
      <c r="AR61" s="46"/>
      <c r="AS61" s="51"/>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row>
    <row r="62" spans="4:81" s="39" customFormat="true" ht="12" customHeight="true">
      <c r="D62" s="46"/>
      <c r="E62" s="46"/>
      <c r="F62" s="46"/>
      <c r="G62" s="46"/>
      <c r="H62" s="46"/>
      <c r="I62" s="46"/>
      <c r="J62" s="46"/>
      <c r="K62" s="46"/>
      <c r="L62" s="46"/>
      <c r="M62" s="46"/>
      <c r="N62" s="46"/>
      <c r="O62" s="46"/>
      <c r="P62" s="46"/>
      <c r="Q62" s="46"/>
      <c r="R62" s="46"/>
      <c r="S62" s="46"/>
      <c r="T62" s="51"/>
      <c r="U62" s="46"/>
      <c r="V62" s="46"/>
      <c r="W62" s="46"/>
      <c r="X62" s="46"/>
      <c r="Y62" s="46"/>
      <c r="Z62" s="51"/>
      <c r="AA62" s="51"/>
      <c r="AB62" s="51"/>
      <c r="AC62" s="51"/>
      <c r="AD62" s="46"/>
      <c r="AE62" s="51"/>
      <c r="AF62" s="46"/>
      <c r="AG62" s="46"/>
      <c r="AH62" s="51"/>
      <c r="AI62" s="46"/>
      <c r="AJ62" s="46"/>
      <c r="AK62" s="46"/>
      <c r="AL62" s="46"/>
      <c r="AM62" s="46"/>
      <c r="AN62" s="46"/>
      <c r="AO62" s="46"/>
      <c r="AP62" s="46"/>
      <c r="AQ62" s="46"/>
      <c r="AR62" s="46"/>
      <c r="AS62" s="51"/>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row>
    <row r="63" spans="4:81" s="39" customFormat="true" ht="12" customHeight="true">
      <c r="D63" s="46"/>
      <c r="E63" s="46"/>
      <c r="F63" s="46"/>
      <c r="G63" s="46"/>
      <c r="H63" s="46"/>
      <c r="I63" s="46"/>
      <c r="J63" s="46"/>
      <c r="K63" s="46"/>
      <c r="L63" s="46"/>
      <c r="M63" s="46"/>
      <c r="N63" s="46"/>
      <c r="O63" s="46"/>
      <c r="P63" s="46"/>
      <c r="Q63" s="46"/>
      <c r="R63" s="46"/>
      <c r="S63" s="46"/>
      <c r="T63" s="51"/>
      <c r="U63" s="46"/>
      <c r="V63" s="46"/>
      <c r="W63" s="46"/>
      <c r="X63" s="46"/>
      <c r="Y63" s="46"/>
      <c r="Z63" s="51"/>
      <c r="AA63" s="51"/>
      <c r="AB63" s="51"/>
      <c r="AC63" s="51"/>
      <c r="AD63" s="46"/>
      <c r="AE63" s="51"/>
      <c r="AF63" s="46"/>
      <c r="AG63" s="46"/>
      <c r="AH63" s="51"/>
      <c r="AI63" s="46"/>
      <c r="AJ63" s="46"/>
      <c r="AK63" s="46"/>
      <c r="AL63" s="46"/>
      <c r="AM63" s="46"/>
      <c r="AN63" s="46"/>
      <c r="AO63" s="46"/>
      <c r="AP63" s="46"/>
      <c r="AQ63" s="46"/>
      <c r="AR63" s="46"/>
      <c r="AS63" s="51"/>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row>
    <row r="64" spans="4:81" s="39" customFormat="true" ht="12" customHeight="true">
      <c r="D64" s="46"/>
      <c r="E64" s="46"/>
      <c r="F64" s="46"/>
      <c r="G64" s="46"/>
      <c r="H64" s="46"/>
      <c r="I64" s="46"/>
      <c r="J64" s="46"/>
      <c r="K64" s="46"/>
      <c r="L64" s="46"/>
      <c r="M64" s="46"/>
      <c r="N64" s="46"/>
      <c r="O64" s="46"/>
      <c r="P64" s="46"/>
      <c r="Q64" s="46"/>
      <c r="R64" s="46"/>
      <c r="S64" s="46"/>
      <c r="T64" s="51"/>
      <c r="U64" s="46"/>
      <c r="V64" s="46"/>
      <c r="W64" s="46"/>
      <c r="X64" s="46"/>
      <c r="Y64" s="46"/>
      <c r="Z64" s="51"/>
      <c r="AA64" s="51"/>
      <c r="AB64" s="51"/>
      <c r="AC64" s="51"/>
      <c r="AD64" s="46"/>
      <c r="AE64" s="51"/>
      <c r="AF64" s="46"/>
      <c r="AG64" s="46"/>
      <c r="AH64" s="51"/>
      <c r="AI64" s="46"/>
      <c r="AJ64" s="46"/>
      <c r="AK64" s="46"/>
      <c r="AL64" s="46"/>
      <c r="AM64" s="46"/>
      <c r="AN64" s="46"/>
      <c r="AO64" s="46"/>
      <c r="AP64" s="46"/>
      <c r="AQ64" s="46"/>
      <c r="AR64" s="46"/>
      <c r="AS64" s="51"/>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row>
    <row r="65" spans="4:81" s="39" customFormat="true" ht="12" customHeight="true">
      <c r="D65" s="46"/>
      <c r="E65" s="46"/>
      <c r="F65" s="46"/>
      <c r="G65" s="46"/>
      <c r="H65" s="46"/>
      <c r="I65" s="46"/>
      <c r="J65" s="46"/>
      <c r="K65" s="46"/>
      <c r="L65" s="46"/>
      <c r="M65" s="46"/>
      <c r="N65" s="46"/>
      <c r="O65" s="46"/>
      <c r="P65" s="46"/>
      <c r="Q65" s="46"/>
      <c r="R65" s="46"/>
      <c r="S65" s="46"/>
      <c r="T65" s="51"/>
      <c r="U65" s="46"/>
      <c r="V65" s="46"/>
      <c r="W65" s="46"/>
      <c r="X65" s="46"/>
      <c r="Y65" s="46"/>
      <c r="Z65" s="51"/>
      <c r="AA65" s="51"/>
      <c r="AB65" s="51"/>
      <c r="AC65" s="51"/>
      <c r="AD65" s="46"/>
      <c r="AE65" s="51"/>
      <c r="AF65" s="46"/>
      <c r="AG65" s="46"/>
      <c r="AH65" s="51"/>
      <c r="AI65" s="46"/>
      <c r="AJ65" s="46"/>
      <c r="AK65" s="46"/>
      <c r="AL65" s="46"/>
      <c r="AM65" s="46"/>
      <c r="AN65" s="46"/>
      <c r="AO65" s="46"/>
      <c r="AP65" s="46"/>
      <c r="AQ65" s="46"/>
      <c r="AR65" s="46"/>
      <c r="AS65" s="51"/>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row>
    <row r="66" spans="4:81" s="39" customFormat="true" ht="12" customHeight="true">
      <c r="D66" s="46"/>
      <c r="E66" s="46"/>
      <c r="F66" s="46"/>
      <c r="G66" s="46"/>
      <c r="H66" s="46"/>
      <c r="I66" s="46"/>
      <c r="J66" s="46"/>
      <c r="K66" s="46"/>
      <c r="L66" s="46"/>
      <c r="M66" s="46"/>
      <c r="N66" s="46"/>
      <c r="O66" s="46"/>
      <c r="P66" s="46"/>
      <c r="Q66" s="46"/>
      <c r="R66" s="46"/>
      <c r="S66" s="46"/>
      <c r="T66" s="51"/>
      <c r="U66" s="46"/>
      <c r="V66" s="46"/>
      <c r="W66" s="46"/>
      <c r="X66" s="46"/>
      <c r="Y66" s="46"/>
      <c r="Z66" s="51"/>
      <c r="AA66" s="51"/>
      <c r="AB66" s="51"/>
      <c r="AC66" s="51"/>
      <c r="AD66" s="46"/>
      <c r="AE66" s="51"/>
      <c r="AF66" s="46"/>
      <c r="AG66" s="46"/>
      <c r="AH66" s="51"/>
      <c r="AI66" s="46"/>
      <c r="AJ66" s="46"/>
      <c r="AK66" s="46"/>
      <c r="AL66" s="46"/>
      <c r="AM66" s="46"/>
      <c r="AN66" s="46"/>
      <c r="AO66" s="46"/>
      <c r="AP66" s="46"/>
      <c r="AQ66" s="46"/>
      <c r="AR66" s="46"/>
      <c r="AS66" s="51"/>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row>
    <row r="67" spans="4:81" s="39" customFormat="true" ht="12" customHeight="true">
      <c r="D67" s="46"/>
      <c r="E67" s="46"/>
      <c r="F67" s="46"/>
      <c r="G67" s="46"/>
      <c r="H67" s="46"/>
      <c r="I67" s="46"/>
      <c r="J67" s="46"/>
      <c r="K67" s="46"/>
      <c r="L67" s="46"/>
      <c r="M67" s="46"/>
      <c r="N67" s="46"/>
      <c r="O67" s="46"/>
      <c r="P67" s="46"/>
      <c r="Q67" s="46"/>
      <c r="R67" s="46"/>
      <c r="S67" s="46"/>
      <c r="T67" s="51"/>
      <c r="U67" s="46"/>
      <c r="V67" s="46"/>
      <c r="W67" s="46"/>
      <c r="X67" s="46"/>
      <c r="Y67" s="46"/>
      <c r="Z67" s="51"/>
      <c r="AA67" s="51"/>
      <c r="AB67" s="51"/>
      <c r="AC67" s="51"/>
      <c r="AD67" s="46"/>
      <c r="AE67" s="51"/>
      <c r="AF67" s="46"/>
      <c r="AG67" s="46"/>
      <c r="AH67" s="51"/>
      <c r="AI67" s="46"/>
      <c r="AJ67" s="46"/>
      <c r="AK67" s="46"/>
      <c r="AL67" s="46"/>
      <c r="AM67" s="46"/>
      <c r="AN67" s="46"/>
      <c r="AO67" s="46"/>
      <c r="AP67" s="46"/>
      <c r="AQ67" s="46"/>
      <c r="AR67" s="46"/>
      <c r="AS67" s="51"/>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row>
    <row r="68" spans="4:81" s="39" customFormat="true" ht="12" customHeight="true">
      <c r="D68" s="46"/>
      <c r="E68" s="46"/>
      <c r="F68" s="46"/>
      <c r="G68" s="46"/>
      <c r="H68" s="46"/>
      <c r="I68" s="46"/>
      <c r="J68" s="46"/>
      <c r="K68" s="46"/>
      <c r="L68" s="46"/>
      <c r="M68" s="46"/>
      <c r="N68" s="46"/>
      <c r="O68" s="46"/>
      <c r="P68" s="46"/>
      <c r="Q68" s="46"/>
      <c r="R68" s="46"/>
      <c r="S68" s="46"/>
      <c r="T68" s="51"/>
      <c r="U68" s="46"/>
      <c r="V68" s="46"/>
      <c r="W68" s="46"/>
      <c r="X68" s="46"/>
      <c r="Y68" s="46"/>
      <c r="Z68" s="51"/>
      <c r="AA68" s="51"/>
      <c r="AB68" s="51"/>
      <c r="AC68" s="51"/>
      <c r="AD68" s="46"/>
      <c r="AE68" s="51"/>
      <c r="AF68" s="46"/>
      <c r="AG68" s="46"/>
      <c r="AH68" s="51"/>
      <c r="AI68" s="46"/>
      <c r="AJ68" s="46"/>
      <c r="AK68" s="46"/>
      <c r="AL68" s="46"/>
      <c r="AM68" s="46"/>
      <c r="AN68" s="46"/>
      <c r="AO68" s="46"/>
      <c r="AP68" s="46"/>
      <c r="AQ68" s="46"/>
      <c r="AR68" s="46"/>
      <c r="AS68" s="51"/>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row>
    <row r="69" spans="4:81" s="39" customFormat="true" ht="12" customHeight="true">
      <c r="D69" s="46"/>
      <c r="E69" s="46"/>
      <c r="F69" s="46"/>
      <c r="G69" s="46"/>
      <c r="H69" s="46"/>
      <c r="I69" s="46"/>
      <c r="J69" s="46"/>
      <c r="K69" s="46"/>
      <c r="L69" s="46"/>
      <c r="M69" s="46"/>
      <c r="N69" s="46"/>
      <c r="O69" s="46"/>
      <c r="P69" s="46"/>
      <c r="Q69" s="46"/>
      <c r="R69" s="46"/>
      <c r="S69" s="46"/>
      <c r="T69" s="51"/>
      <c r="U69" s="46"/>
      <c r="V69" s="46"/>
      <c r="W69" s="46"/>
      <c r="X69" s="46"/>
      <c r="Y69" s="46"/>
      <c r="Z69" s="51"/>
      <c r="AA69" s="51"/>
      <c r="AB69" s="51"/>
      <c r="AC69" s="51"/>
      <c r="AD69" s="46"/>
      <c r="AE69" s="51"/>
      <c r="AF69" s="46"/>
      <c r="AG69" s="46"/>
      <c r="AH69" s="51"/>
      <c r="AI69" s="46"/>
      <c r="AJ69" s="46"/>
      <c r="AK69" s="46"/>
      <c r="AL69" s="46"/>
      <c r="AM69" s="46"/>
      <c r="AN69" s="46"/>
      <c r="AO69" s="46"/>
      <c r="AP69" s="46"/>
      <c r="AQ69" s="46"/>
      <c r="AR69" s="46"/>
      <c r="AS69" s="51"/>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row>
    <row r="70" spans="4:81" s="39" customFormat="true" ht="12" customHeight="true">
      <c r="D70" s="46"/>
      <c r="E70" s="46"/>
      <c r="F70" s="46"/>
      <c r="G70" s="46"/>
      <c r="H70" s="46"/>
      <c r="I70" s="46"/>
      <c r="J70" s="46"/>
      <c r="K70" s="46"/>
      <c r="L70" s="46"/>
      <c r="M70" s="46"/>
      <c r="N70" s="46"/>
      <c r="O70" s="46"/>
      <c r="P70" s="46"/>
      <c r="Q70" s="46"/>
      <c r="R70" s="46"/>
      <c r="S70" s="46"/>
      <c r="T70" s="51"/>
      <c r="U70" s="46"/>
      <c r="V70" s="46"/>
      <c r="W70" s="46"/>
      <c r="X70" s="46"/>
      <c r="Y70" s="46"/>
      <c r="Z70" s="51"/>
      <c r="AA70" s="51"/>
      <c r="AB70" s="51"/>
      <c r="AC70" s="51"/>
      <c r="AD70" s="46"/>
      <c r="AE70" s="51"/>
      <c r="AF70" s="46"/>
      <c r="AG70" s="46"/>
      <c r="AH70" s="51"/>
      <c r="AI70" s="46"/>
      <c r="AJ70" s="46"/>
      <c r="AK70" s="46"/>
      <c r="AL70" s="46"/>
      <c r="AM70" s="46"/>
      <c r="AN70" s="46"/>
      <c r="AO70" s="46"/>
      <c r="AP70" s="46"/>
      <c r="AQ70" s="46"/>
      <c r="AR70" s="46"/>
      <c r="AS70" s="51"/>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row>
    <row r="71" spans="4:81" s="39" customFormat="true" ht="12" customHeight="true">
      <c r="D71" s="46"/>
      <c r="E71" s="46"/>
      <c r="F71" s="46"/>
      <c r="G71" s="46"/>
      <c r="H71" s="46"/>
      <c r="I71" s="46"/>
      <c r="J71" s="46"/>
      <c r="K71" s="46"/>
      <c r="L71" s="46"/>
      <c r="M71" s="46"/>
      <c r="N71" s="46"/>
      <c r="O71" s="46"/>
      <c r="P71" s="46"/>
      <c r="Q71" s="46"/>
      <c r="R71" s="46"/>
      <c r="S71" s="46"/>
      <c r="T71" s="51"/>
      <c r="U71" s="46"/>
      <c r="V71" s="46"/>
      <c r="W71" s="46"/>
      <c r="X71" s="46"/>
      <c r="Y71" s="46"/>
      <c r="Z71" s="51"/>
      <c r="AA71" s="51"/>
      <c r="AB71" s="51"/>
      <c r="AC71" s="51"/>
      <c r="AD71" s="46"/>
      <c r="AE71" s="51"/>
      <c r="AF71" s="46"/>
      <c r="AG71" s="46"/>
      <c r="AH71" s="51"/>
      <c r="AI71" s="46"/>
      <c r="AJ71" s="46"/>
      <c r="AK71" s="46"/>
      <c r="AL71" s="46"/>
      <c r="AM71" s="46"/>
      <c r="AN71" s="46"/>
      <c r="AO71" s="46"/>
      <c r="AP71" s="46"/>
      <c r="AQ71" s="46"/>
      <c r="AR71" s="46"/>
      <c r="AS71" s="51"/>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row>
    <row r="72" spans="4:81" s="39" customFormat="true" ht="12" customHeight="true">
      <c r="D72" s="46"/>
      <c r="E72" s="46"/>
      <c r="F72" s="46"/>
      <c r="G72" s="46"/>
      <c r="H72" s="46"/>
      <c r="I72" s="46"/>
      <c r="J72" s="46"/>
      <c r="K72" s="46"/>
      <c r="L72" s="46"/>
      <c r="M72" s="46"/>
      <c r="N72" s="46"/>
      <c r="O72" s="46"/>
      <c r="P72" s="46"/>
      <c r="Q72" s="46"/>
      <c r="R72" s="46"/>
      <c r="S72" s="46"/>
      <c r="T72" s="51"/>
      <c r="U72" s="46"/>
      <c r="V72" s="46"/>
      <c r="W72" s="46"/>
      <c r="X72" s="46"/>
      <c r="Y72" s="46"/>
      <c r="Z72" s="51"/>
      <c r="AA72" s="51"/>
      <c r="AB72" s="51"/>
      <c r="AC72" s="51"/>
      <c r="AD72" s="46"/>
      <c r="AE72" s="51"/>
      <c r="AF72" s="46"/>
      <c r="AG72" s="46"/>
      <c r="AH72" s="51"/>
      <c r="AI72" s="46"/>
      <c r="AJ72" s="46"/>
      <c r="AK72" s="46"/>
      <c r="AL72" s="46"/>
      <c r="AM72" s="46"/>
      <c r="AN72" s="46"/>
      <c r="AO72" s="46"/>
      <c r="AP72" s="46"/>
      <c r="AQ72" s="46"/>
      <c r="AR72" s="46"/>
      <c r="AS72" s="51"/>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row>
    <row r="73" spans="4:81" s="39" customFormat="true" ht="12" customHeight="true">
      <c r="D73" s="46"/>
      <c r="E73" s="46"/>
      <c r="F73" s="46"/>
      <c r="G73" s="46"/>
      <c r="H73" s="46"/>
      <c r="I73" s="46"/>
      <c r="J73" s="46"/>
      <c r="K73" s="46"/>
      <c r="L73" s="46"/>
      <c r="M73" s="46"/>
      <c r="N73" s="46"/>
      <c r="O73" s="46"/>
      <c r="P73" s="46"/>
      <c r="Q73" s="46"/>
      <c r="R73" s="46"/>
      <c r="S73" s="46"/>
      <c r="T73" s="51"/>
      <c r="U73" s="46"/>
      <c r="V73" s="46"/>
      <c r="W73" s="46"/>
      <c r="X73" s="46"/>
      <c r="Y73" s="46"/>
      <c r="Z73" s="51"/>
      <c r="AA73" s="51"/>
      <c r="AB73" s="51"/>
      <c r="AC73" s="51"/>
      <c r="AD73" s="46"/>
      <c r="AE73" s="51"/>
      <c r="AF73" s="46"/>
      <c r="AG73" s="46"/>
      <c r="AH73" s="51"/>
      <c r="AI73" s="46"/>
      <c r="AJ73" s="46"/>
      <c r="AK73" s="46"/>
      <c r="AL73" s="46"/>
      <c r="AM73" s="46"/>
      <c r="AN73" s="46"/>
      <c r="AO73" s="46"/>
      <c r="AP73" s="46"/>
      <c r="AQ73" s="46"/>
      <c r="AR73" s="46"/>
      <c r="AS73" s="51"/>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row>
    <row r="74" spans="4:81" s="39" customFormat="true" ht="12" customHeight="true">
      <c r="D74" s="46"/>
      <c r="E74" s="46"/>
      <c r="F74" s="46"/>
      <c r="G74" s="46"/>
      <c r="H74" s="46"/>
      <c r="I74" s="46"/>
      <c r="J74" s="46"/>
      <c r="K74" s="46"/>
      <c r="L74" s="46"/>
      <c r="M74" s="46"/>
      <c r="N74" s="46"/>
      <c r="O74" s="46"/>
      <c r="P74" s="46"/>
      <c r="Q74" s="46"/>
      <c r="R74" s="46"/>
      <c r="S74" s="46"/>
      <c r="T74" s="51"/>
      <c r="U74" s="46"/>
      <c r="V74" s="46"/>
      <c r="W74" s="46"/>
      <c r="X74" s="46"/>
      <c r="Y74" s="46"/>
      <c r="Z74" s="51"/>
      <c r="AA74" s="51"/>
      <c r="AB74" s="51"/>
      <c r="AC74" s="51"/>
      <c r="AD74" s="46"/>
      <c r="AE74" s="51"/>
      <c r="AF74" s="46"/>
      <c r="AG74" s="46"/>
      <c r="AH74" s="51"/>
      <c r="AI74" s="46"/>
      <c r="AJ74" s="46"/>
      <c r="AK74" s="46"/>
      <c r="AL74" s="46"/>
      <c r="AM74" s="46"/>
      <c r="AN74" s="46"/>
      <c r="AO74" s="46"/>
      <c r="AP74" s="46"/>
      <c r="AQ74" s="46"/>
      <c r="AR74" s="46"/>
      <c r="AS74" s="51"/>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row>
    <row r="75" spans="4:81" s="39" customFormat="true" ht="12" customHeight="true">
      <c r="D75" s="46"/>
      <c r="E75" s="46"/>
      <c r="F75" s="46"/>
      <c r="G75" s="46"/>
      <c r="H75" s="46"/>
      <c r="I75" s="46"/>
      <c r="J75" s="46"/>
      <c r="K75" s="46"/>
      <c r="L75" s="46"/>
      <c r="M75" s="46"/>
      <c r="N75" s="46"/>
      <c r="O75" s="46"/>
      <c r="P75" s="46"/>
      <c r="Q75" s="46"/>
      <c r="R75" s="46"/>
      <c r="S75" s="46"/>
      <c r="T75" s="51"/>
      <c r="U75" s="46"/>
      <c r="V75" s="46"/>
      <c r="W75" s="46"/>
      <c r="X75" s="46"/>
      <c r="Y75" s="46"/>
      <c r="Z75" s="51"/>
      <c r="AA75" s="51"/>
      <c r="AB75" s="51"/>
      <c r="AC75" s="51"/>
      <c r="AD75" s="46"/>
      <c r="AE75" s="51"/>
      <c r="AF75" s="46"/>
      <c r="AG75" s="46"/>
      <c r="AH75" s="51"/>
      <c r="AI75" s="46"/>
      <c r="AJ75" s="46"/>
      <c r="AK75" s="46"/>
      <c r="AL75" s="46"/>
      <c r="AM75" s="46"/>
      <c r="AN75" s="46"/>
      <c r="AO75" s="46"/>
      <c r="AP75" s="46"/>
      <c r="AQ75" s="46"/>
      <c r="AR75" s="46"/>
      <c r="AS75" s="51"/>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row>
    <row r="76" spans="4:81" s="39" customFormat="true" ht="12" customHeight="true">
      <c r="D76" s="46"/>
      <c r="E76" s="46"/>
      <c r="F76" s="46"/>
      <c r="G76" s="46"/>
      <c r="H76" s="46"/>
      <c r="I76" s="46"/>
      <c r="J76" s="46"/>
      <c r="K76" s="46"/>
      <c r="L76" s="46"/>
      <c r="M76" s="46"/>
      <c r="N76" s="46"/>
      <c r="O76" s="46"/>
      <c r="P76" s="46"/>
      <c r="Q76" s="46"/>
      <c r="R76" s="46"/>
      <c r="S76" s="46"/>
      <c r="T76" s="51"/>
      <c r="U76" s="46"/>
      <c r="V76" s="46"/>
      <c r="W76" s="46"/>
      <c r="X76" s="46"/>
      <c r="Y76" s="46"/>
      <c r="Z76" s="51"/>
      <c r="AA76" s="51"/>
      <c r="AB76" s="51"/>
      <c r="AC76" s="51"/>
      <c r="AD76" s="46"/>
      <c r="AE76" s="51"/>
      <c r="AF76" s="46"/>
      <c r="AG76" s="46"/>
      <c r="AH76" s="51"/>
      <c r="AI76" s="46"/>
      <c r="AJ76" s="46"/>
      <c r="AK76" s="46"/>
      <c r="AL76" s="46"/>
      <c r="AM76" s="46"/>
      <c r="AN76" s="46"/>
      <c r="AO76" s="46"/>
      <c r="AP76" s="46"/>
      <c r="AQ76" s="46"/>
      <c r="AR76" s="46"/>
      <c r="AS76" s="51"/>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row>
    <row r="77" spans="2:82" s="39" customFormat="true" ht="12" customHeight="true">
      <c r="B77" s="39" t="s">
        <v>34198</v>
      </c>
      <c r="D77" s="39">
        <f t="shared" ref="D77:X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51">
        <f t="shared" si="8"/>
        <v>0</v>
      </c>
      <c r="U77" s="39">
        <f t="shared" si="8"/>
        <v>0</v>
      </c>
      <c r="V77" s="39">
        <f t="shared" si="8"/>
        <v>0</v>
      </c>
      <c r="W77" s="39">
        <f t="shared" si="8"/>
        <v>0</v>
      </c>
      <c r="X77" s="39">
        <f t="shared" si="8"/>
        <v>0</v>
      </c>
      <c r="Z77" s="51">
        <f t="shared" ref="Z77:CC77" si="9">+SUM(Z59:Z76)</f>
        <v>0</v>
      </c>
      <c r="AA77" s="51">
        <f t="shared" si="9"/>
        <v>0</v>
      </c>
      <c r="AB77" s="51">
        <f t="shared" si="9"/>
        <v>0</v>
      </c>
      <c r="AC77" s="51">
        <f t="shared" si="9"/>
        <v>0</v>
      </c>
      <c r="AD77" s="39">
        <f t="shared" si="9"/>
        <v>0</v>
      </c>
      <c r="AE77" s="51">
        <f t="shared" si="9"/>
        <v>0</v>
      </c>
      <c r="AF77" s="39">
        <f t="shared" si="9"/>
        <v>0</v>
      </c>
      <c r="AG77" s="39">
        <f t="shared" si="9"/>
        <v>0</v>
      </c>
      <c r="AH77" s="51">
        <f t="shared" si="9"/>
        <v>0</v>
      </c>
      <c r="AI77" s="39">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51">
        <f t="shared" si="9"/>
        <v>0</v>
      </c>
      <c r="AT77" s="39">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39">
        <f t="shared" si="9"/>
        <v>0</v>
      </c>
      <c r="BR77" s="39">
        <f t="shared" si="9"/>
        <v>0</v>
      </c>
      <c r="BS77" s="39">
        <f t="shared" si="9"/>
        <v>0</v>
      </c>
      <c r="BT77" s="39">
        <f t="shared" si="9"/>
        <v>0</v>
      </c>
      <c r="BU77" s="39">
        <f t="shared" si="9"/>
        <v>0</v>
      </c>
      <c r="BV77" s="39">
        <f t="shared" si="9"/>
        <v>0</v>
      </c>
      <c r="BW77" s="39">
        <f t="shared" si="9"/>
        <v>0</v>
      </c>
      <c r="BX77" s="39">
        <f t="shared" si="9"/>
        <v>0</v>
      </c>
      <c r="BY77" s="39">
        <f t="shared" si="9"/>
        <v>0</v>
      </c>
      <c r="BZ77" s="39">
        <f t="shared" si="9"/>
        <v>0</v>
      </c>
      <c r="CA77" s="39">
        <f t="shared" si="9"/>
        <v>0</v>
      </c>
      <c r="CB77" s="39">
        <f t="shared" si="9"/>
        <v>0</v>
      </c>
      <c r="CC77" s="39">
        <f t="shared" si="9"/>
        <v>0</v>
      </c>
      <c r="CD77" s="39">
        <f>SUM(D77:CC77)</f>
        <v>0</v>
      </c>
    </row>
    <row r="78" spans="20:45" s="39" customFormat="true" ht="12" customHeight="true">
      <c r="T78" s="51"/>
      <c r="Z78" s="51"/>
      <c r="AA78" s="51"/>
      <c r="AB78" s="51"/>
      <c r="AC78" s="51"/>
      <c r="AE78" s="51"/>
      <c r="AH78" s="51"/>
      <c r="AS78" s="51"/>
    </row>
    <row r="79" spans="20:45" s="39" customFormat="true" ht="12" customHeight="true">
      <c r="T79" s="51"/>
      <c r="Z79" s="51"/>
      <c r="AA79" s="51"/>
      <c r="AB79" s="51"/>
      <c r="AC79" s="51"/>
      <c r="AE79" s="51"/>
      <c r="AH79" s="51"/>
      <c r="AS79" s="51"/>
    </row>
    <row r="80" spans="2:82" s="39" customFormat="true" ht="12" customHeight="true">
      <c r="B80" s="39" t="s">
        <v>34199</v>
      </c>
      <c r="D80" s="39">
        <f t="shared" ref="D80:BO80" si="10">+D51+D57+D77</f>
        <v>83012.4</v>
      </c>
      <c r="E80" s="39">
        <f t="shared" si="10"/>
        <v>-33266.05</v>
      </c>
      <c r="F80" s="39">
        <f t="shared" si="10"/>
        <v>-51564.9999999999</v>
      </c>
      <c r="G80" s="39">
        <f t="shared" si="10"/>
        <v>39002.8</v>
      </c>
      <c r="H80" s="39">
        <f t="shared" si="10"/>
        <v>-24933.58</v>
      </c>
      <c r="I80" s="39">
        <f t="shared" si="10"/>
        <v>0</v>
      </c>
      <c r="J80" s="39">
        <f t="shared" si="10"/>
        <v>744897.38</v>
      </c>
      <c r="K80" s="39">
        <f t="shared" si="10"/>
        <v>1164014.82</v>
      </c>
      <c r="L80" s="39">
        <f t="shared" si="10"/>
        <v>210989.46</v>
      </c>
      <c r="M80" s="39">
        <f t="shared" si="10"/>
        <v>25763.51</v>
      </c>
      <c r="N80" s="39">
        <f t="shared" si="10"/>
        <v>4228.89</v>
      </c>
      <c r="O80" s="39">
        <f t="shared" si="10"/>
        <v>-83882.04</v>
      </c>
      <c r="P80" s="39">
        <f t="shared" si="10"/>
        <v>-99072.57</v>
      </c>
      <c r="Q80" s="39">
        <f t="shared" si="10"/>
        <v>26745.84</v>
      </c>
      <c r="R80" s="39">
        <f t="shared" si="10"/>
        <v>-2200.97</v>
      </c>
      <c r="S80" s="39">
        <f t="shared" si="10"/>
        <v>8552.06</v>
      </c>
      <c r="T80" s="51">
        <f t="shared" si="10"/>
        <v>0</v>
      </c>
      <c r="U80" s="39">
        <f t="shared" si="10"/>
        <v>197625.43</v>
      </c>
      <c r="V80" s="39">
        <f t="shared" si="10"/>
        <v>51979.79</v>
      </c>
      <c r="W80" s="39">
        <f t="shared" si="10"/>
        <v>-57800.87</v>
      </c>
      <c r="X80" s="39">
        <f t="shared" si="10"/>
        <v>37974.35</v>
      </c>
      <c r="Y80" s="39">
        <f t="shared" si="10"/>
        <v>33635.34</v>
      </c>
      <c r="Z80" s="51">
        <f t="shared" si="10"/>
        <v>0</v>
      </c>
      <c r="AA80" s="51">
        <f t="shared" si="10"/>
        <v>0</v>
      </c>
      <c r="AB80" s="51">
        <f t="shared" si="10"/>
        <v>0</v>
      </c>
      <c r="AC80" s="51">
        <f t="shared" si="10"/>
        <v>0</v>
      </c>
      <c r="AD80" s="39">
        <f t="shared" si="10"/>
        <v>180292.28</v>
      </c>
      <c r="AE80" s="51">
        <f t="shared" si="10"/>
        <v>0</v>
      </c>
      <c r="AF80" s="39">
        <f t="shared" si="10"/>
        <v>-198021.24</v>
      </c>
      <c r="AG80" s="39">
        <f t="shared" si="10"/>
        <v>30474.5</v>
      </c>
      <c r="AH80" s="51">
        <f t="shared" si="10"/>
        <v>0</v>
      </c>
      <c r="AI80" s="39">
        <f t="shared" si="10"/>
        <v>-144433.91</v>
      </c>
      <c r="AJ80" s="39">
        <f t="shared" si="10"/>
        <v>30552.5899999999</v>
      </c>
      <c r="AK80" s="39">
        <f t="shared" si="10"/>
        <v>27392.95</v>
      </c>
      <c r="AL80" s="39">
        <f t="shared" si="10"/>
        <v>0</v>
      </c>
      <c r="AM80" s="39">
        <f t="shared" si="10"/>
        <v>0</v>
      </c>
      <c r="AN80" s="39">
        <f t="shared" si="10"/>
        <v>44040.4</v>
      </c>
      <c r="AO80" s="39">
        <f t="shared" si="10"/>
        <v>43578.22</v>
      </c>
      <c r="AP80" s="39">
        <f t="shared" si="10"/>
        <v>20513.93</v>
      </c>
      <c r="AQ80" s="39">
        <f t="shared" si="10"/>
        <v>66191.71</v>
      </c>
      <c r="AR80" s="39">
        <f t="shared" si="10"/>
        <v>49693.49</v>
      </c>
      <c r="AS80" s="51">
        <f t="shared" si="10"/>
        <v>0</v>
      </c>
      <c r="AT80" s="39">
        <f t="shared" si="10"/>
        <v>19476.9</v>
      </c>
      <c r="AU80" s="39">
        <f t="shared" si="10"/>
        <v>195431.06</v>
      </c>
      <c r="AV80" s="39">
        <f t="shared" si="10"/>
        <v>10136.42</v>
      </c>
      <c r="AW80" s="39">
        <f t="shared" si="10"/>
        <v>21128.65</v>
      </c>
      <c r="AX80" s="39">
        <f t="shared" si="10"/>
        <v>60958.95</v>
      </c>
      <c r="AY80" s="39">
        <f t="shared" si="10"/>
        <v>4115.79</v>
      </c>
      <c r="AZ80" s="39">
        <f t="shared" si="10"/>
        <v>32540.59</v>
      </c>
      <c r="BA80" s="39">
        <f t="shared" si="10"/>
        <v>3432.49</v>
      </c>
      <c r="BB80" s="39">
        <f t="shared" si="10"/>
        <v>25361.56</v>
      </c>
      <c r="BC80" s="39">
        <f t="shared" si="10"/>
        <v>23850.72</v>
      </c>
      <c r="BD80" s="39">
        <f t="shared" si="10"/>
        <v>0</v>
      </c>
      <c r="BE80" s="39">
        <f t="shared" si="10"/>
        <v>210338.77</v>
      </c>
      <c r="BF80" s="39">
        <f t="shared" si="10"/>
        <v>114879.55</v>
      </c>
      <c r="BG80" s="39">
        <f t="shared" si="10"/>
        <v>52225.41</v>
      </c>
      <c r="BH80" s="39">
        <f t="shared" si="10"/>
        <v>24452.16</v>
      </c>
      <c r="BI80" s="39">
        <f t="shared" si="10"/>
        <v>50799.79</v>
      </c>
      <c r="BJ80" s="39">
        <f t="shared" si="10"/>
        <v>86006.12</v>
      </c>
      <c r="BK80" s="39">
        <f t="shared" si="10"/>
        <v>86455.4</v>
      </c>
      <c r="BL80" s="39">
        <f t="shared" si="10"/>
        <v>72380.69</v>
      </c>
      <c r="BM80" s="39">
        <f t="shared" si="10"/>
        <v>124148.97</v>
      </c>
      <c r="BN80" s="39">
        <f t="shared" si="10"/>
        <v>42235.29</v>
      </c>
      <c r="BO80" s="39">
        <f t="shared" si="10"/>
        <v>-50531.83</v>
      </c>
      <c r="BP80" s="39">
        <f t="shared" ref="BP80:CC80" si="11">+BP51+BP57+BP77</f>
        <v>3391.72</v>
      </c>
      <c r="BQ80" s="39">
        <f t="shared" si="11"/>
        <v>-22922.39</v>
      </c>
      <c r="BR80" s="39">
        <f t="shared" si="11"/>
        <v>46070.05</v>
      </c>
      <c r="BS80" s="39">
        <f t="shared" si="11"/>
        <v>-230615.99</v>
      </c>
      <c r="BT80" s="39">
        <f t="shared" si="11"/>
        <v>115868.85</v>
      </c>
      <c r="BU80" s="39">
        <f t="shared" si="11"/>
        <v>41852.37</v>
      </c>
      <c r="BV80" s="39">
        <f t="shared" si="11"/>
        <v>44943.95</v>
      </c>
      <c r="BW80" s="39">
        <f t="shared" si="11"/>
        <v>8713.02</v>
      </c>
      <c r="BX80" s="39">
        <f t="shared" si="11"/>
        <v>32759.86</v>
      </c>
      <c r="BY80" s="39">
        <f t="shared" si="11"/>
        <v>42925.16</v>
      </c>
      <c r="BZ80" s="39">
        <f t="shared" si="11"/>
        <v>441697.85</v>
      </c>
      <c r="CA80" s="39">
        <f t="shared" si="11"/>
        <v>1503144.26</v>
      </c>
      <c r="CB80" s="39">
        <f t="shared" si="11"/>
        <v>584918.08</v>
      </c>
      <c r="CC80" s="39">
        <f t="shared" si="11"/>
        <v>-5726.11</v>
      </c>
      <c r="CD80" s="39">
        <f>SUM(D80:CC80)</f>
        <v>6242820.04</v>
      </c>
    </row>
    <row r="81" spans="20:45" s="39" customFormat="true" ht="12" customHeight="true">
      <c r="T81" s="51"/>
      <c r="Z81" s="51"/>
      <c r="AA81" s="51"/>
      <c r="AB81" s="51"/>
      <c r="AC81" s="51"/>
      <c r="AE81" s="51"/>
      <c r="AH81" s="51"/>
      <c r="AS81" s="51"/>
    </row>
    <row r="82" spans="2:82" s="39" customFormat="true" ht="12" customHeight="true">
      <c r="B82" s="39" t="s">
        <v>13909</v>
      </c>
      <c r="D82" s="47">
        <f t="shared" ref="D82:BO82" si="12">+D49-D80</f>
        <v>0</v>
      </c>
      <c r="E82" s="47">
        <f t="shared" si="12"/>
        <v>0</v>
      </c>
      <c r="F82" s="47">
        <f t="shared" si="12"/>
        <v>-1.01863406598568e-10</v>
      </c>
      <c r="G82" s="47">
        <f t="shared" si="12"/>
        <v>0</v>
      </c>
      <c r="H82" s="47">
        <f t="shared" si="12"/>
        <v>0.00112000000081025</v>
      </c>
      <c r="I82" s="47">
        <f t="shared" si="12"/>
        <v>0</v>
      </c>
      <c r="J82" s="47">
        <f t="shared" si="12"/>
        <v>0</v>
      </c>
      <c r="K82" s="47">
        <f t="shared" si="12"/>
        <v>0</v>
      </c>
      <c r="L82" s="47">
        <f t="shared" si="12"/>
        <v>0</v>
      </c>
      <c r="M82" s="47">
        <f t="shared" si="12"/>
        <v>0</v>
      </c>
      <c r="N82" s="47">
        <f t="shared" si="12"/>
        <v>0</v>
      </c>
      <c r="O82" s="47">
        <f t="shared" si="12"/>
        <v>0</v>
      </c>
      <c r="P82" s="47">
        <f t="shared" si="12"/>
        <v>0</v>
      </c>
      <c r="Q82" s="47">
        <f t="shared" si="12"/>
        <v>0</v>
      </c>
      <c r="R82" s="47">
        <f t="shared" si="12"/>
        <v>0</v>
      </c>
      <c r="S82" s="47">
        <f t="shared" si="12"/>
        <v>0</v>
      </c>
      <c r="T82" s="47">
        <f t="shared" si="12"/>
        <v>0</v>
      </c>
      <c r="U82" s="47">
        <f t="shared" si="12"/>
        <v>0</v>
      </c>
      <c r="V82" s="47">
        <f t="shared" si="12"/>
        <v>0</v>
      </c>
      <c r="W82" s="47">
        <f t="shared" si="12"/>
        <v>0</v>
      </c>
      <c r="X82" s="47">
        <f t="shared" si="12"/>
        <v>0</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9.82254277914762e-11</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47">
        <f t="shared" si="12"/>
        <v>0</v>
      </c>
      <c r="AX82" s="47">
        <f t="shared" si="12"/>
        <v>0</v>
      </c>
      <c r="AY82" s="47">
        <f t="shared" si="12"/>
        <v>0</v>
      </c>
      <c r="AZ82" s="47">
        <f t="shared" si="12"/>
        <v>0</v>
      </c>
      <c r="BA82" s="47">
        <f t="shared" si="12"/>
        <v>0</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C82" si="13">+BP49-BP80</f>
        <v>0</v>
      </c>
      <c r="BQ82" s="47">
        <f t="shared" si="13"/>
        <v>0</v>
      </c>
      <c r="BR82" s="47">
        <f t="shared" si="13"/>
        <v>0</v>
      </c>
      <c r="BS82" s="47">
        <f t="shared" si="13"/>
        <v>0</v>
      </c>
      <c r="BT82" s="47">
        <f t="shared" si="13"/>
        <v>0</v>
      </c>
      <c r="BU82" s="47">
        <f t="shared" si="13"/>
        <v>0</v>
      </c>
      <c r="BV82" s="47">
        <f t="shared" si="13"/>
        <v>0</v>
      </c>
      <c r="BW82" s="47">
        <f t="shared" si="13"/>
        <v>0</v>
      </c>
      <c r="BX82" s="47">
        <f t="shared" si="13"/>
        <v>0</v>
      </c>
      <c r="BY82" s="47">
        <f t="shared" si="13"/>
        <v>0</v>
      </c>
      <c r="BZ82" s="47">
        <f t="shared" si="13"/>
        <v>0</v>
      </c>
      <c r="CA82" s="47">
        <f t="shared" si="13"/>
        <v>0</v>
      </c>
      <c r="CB82" s="47">
        <f t="shared" si="13"/>
        <v>0</v>
      </c>
      <c r="CC82" s="47">
        <f t="shared" si="13"/>
        <v>0</v>
      </c>
      <c r="CD82" s="39">
        <f>SUM(D82:CC82)</f>
        <v>0.00111999999717227</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C52">
    <cfRule type="cellIs" dxfId="4" priority="2" operator="notEqual">
      <formula>0</formula>
    </cfRule>
  </conditionalFormatting>
  <conditionalFormatting sqref="D82:CC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19" min="17" style="33" width="14.44"/>
    <col customWidth="true" hidden="true" max="20" min="20" style="43" width="10.3266666666667"/>
    <col customWidth="true" max="21" min="21" style="33" width="14.8933333333333"/>
    <col customWidth="true" max="22" min="22" style="33" width="14.44"/>
    <col customWidth="true" max="23" min="23" style="33" width="14.8933333333333"/>
    <col customWidth="true" max="24" min="24" style="33" width="14.44"/>
    <col customWidth="true" max="25" min="25" style="33" width="17.8866666666667"/>
    <col customWidth="true" hidden="true" max="29" min="26" style="43" width="11"/>
    <col customWidth="true" max="30" min="30" style="33" width="14"/>
    <col customWidth="true" hidden="true" max="31" min="31" style="43" width="12.44"/>
    <col customWidth="true" max="33" min="32" style="33" width="14"/>
    <col customWidth="true" hidden="true" max="34" min="34" style="43" width="10.5533333333333"/>
    <col customWidth="true" max="35" min="35" style="33" width="14"/>
    <col customWidth="true" max="36" min="36" style="33" width="14.8933333333333"/>
    <col customWidth="true" max="37" min="37" style="33" width="14.44"/>
    <col customWidth="true" hidden="true" max="38" min="38" style="33" width="14.8933333333333"/>
    <col customWidth="true" hidden="true" max="39" min="39" style="33" width="14"/>
    <col customWidth="true" max="44" min="40" style="33" width="14.8933333333333"/>
    <col customWidth="true" hidden="true" max="45" min="45" style="43" width="10.5533333333333"/>
    <col customWidth="true" max="47" min="46" style="33" width="14.8933333333333"/>
    <col customWidth="true" max="48" min="48" style="33" width="14.44"/>
    <col customWidth="true" max="49" min="49" style="33" width="14.8933333333333"/>
    <col customWidth="true" max="50" min="50" style="33" width="14.44"/>
    <col customWidth="true" max="51" min="51" style="33" width="16.3266666666667"/>
    <col customWidth="true" max="52" min="52" style="33" width="14.44"/>
    <col customWidth="true" max="53" min="53" style="33" width="16.3266666666667"/>
    <col customWidth="true" max="54" min="54" style="33" width="14.8933333333333"/>
    <col customWidth="true" max="55" min="55" style="33" width="11.66"/>
    <col customWidth="true" hidden="true" max="56" min="56" style="33" width="14.5533333333333"/>
    <col customWidth="true" max="57" min="57" style="33" width="14"/>
    <col customWidth="true" max="58" min="58" style="33" width="14.5533333333333"/>
    <col customWidth="true" max="81" min="59" style="33" width="14"/>
    <col customWidth="true" max="82" min="82" style="33" width="14.44"/>
    <col customWidth="true" max="83" min="83" style="33" width="14"/>
    <col customWidth="true" max="84" min="84" style="33" width="11"/>
    <col customWidth="true" max="1024" min="85" style="33" width="9.10666666666667"/>
  </cols>
  <sheetData>
    <row r="1" spans="1:1" ht="12" customHeight="true">
      <c r="A1" s="33">
        <v>-1</v>
      </c>
    </row>
    <row r="2" spans="15:16" ht="12" customHeight="true">
      <c r="O2" s="33">
        <v>-1</v>
      </c>
      <c r="P2" s="33">
        <v>-1</v>
      </c>
    </row>
    <row r="4" spans="2:81"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51" t="s">
        <v>13775</v>
      </c>
      <c r="U4" s="44" t="s">
        <v>13777</v>
      </c>
      <c r="V4" s="44" t="s">
        <v>13777</v>
      </c>
      <c r="W4" s="44" t="s">
        <v>13778</v>
      </c>
      <c r="X4" s="52" t="s">
        <v>13778</v>
      </c>
      <c r="Y4" s="44" t="s">
        <v>13778</v>
      </c>
      <c r="Z4" s="51" t="s">
        <v>31453</v>
      </c>
      <c r="AA4" s="51" t="s">
        <v>31453</v>
      </c>
      <c r="AB4" s="51" t="s">
        <v>31454</v>
      </c>
      <c r="AC4" s="51" t="s">
        <v>31454</v>
      </c>
      <c r="AD4" s="44" t="s">
        <v>13788</v>
      </c>
      <c r="AE4" s="51" t="s">
        <v>13788</v>
      </c>
      <c r="AF4" s="44" t="s">
        <v>13795</v>
      </c>
      <c r="AG4" s="44" t="s">
        <v>13793</v>
      </c>
      <c r="AH4" s="51" t="s">
        <v>34100</v>
      </c>
      <c r="AI4" s="44" t="s">
        <v>13794</v>
      </c>
      <c r="AJ4" s="44" t="s">
        <v>13790</v>
      </c>
      <c r="AK4" s="44" t="s">
        <v>13791</v>
      </c>
      <c r="AL4" s="53" t="s">
        <v>31456</v>
      </c>
      <c r="AM4" s="53" t="s">
        <v>34045</v>
      </c>
      <c r="AN4" s="44" t="s">
        <v>13784</v>
      </c>
      <c r="AO4" s="44" t="s">
        <v>13780</v>
      </c>
      <c r="AP4" s="44" t="s">
        <v>13781</v>
      </c>
      <c r="AQ4" s="44" t="s">
        <v>13782</v>
      </c>
      <c r="AR4" s="44" t="s">
        <v>13783</v>
      </c>
      <c r="AS4" s="51" t="s">
        <v>34101</v>
      </c>
      <c r="AT4" s="44" t="s">
        <v>13787</v>
      </c>
      <c r="AU4" s="44" t="s">
        <v>13801</v>
      </c>
      <c r="AV4" s="44" t="s">
        <v>13810</v>
      </c>
      <c r="AW4" s="44" t="s">
        <v>13802</v>
      </c>
      <c r="AX4" s="44" t="s">
        <v>13803</v>
      </c>
      <c r="AY4" s="44" t="s">
        <v>13803</v>
      </c>
      <c r="AZ4" s="44" t="s">
        <v>13804</v>
      </c>
      <c r="BA4" s="44" t="s">
        <v>13804</v>
      </c>
      <c r="BB4" s="44" t="s">
        <v>13805</v>
      </c>
      <c r="BC4" s="44" t="s">
        <v>13811</v>
      </c>
      <c r="BD4" s="53" t="s">
        <v>13811</v>
      </c>
      <c r="BE4" s="44" t="s">
        <v>13806</v>
      </c>
      <c r="BF4" s="44" t="s">
        <v>13807</v>
      </c>
      <c r="BG4" s="44" t="s">
        <v>13808</v>
      </c>
      <c r="BH4" s="44" t="s">
        <v>13809</v>
      </c>
      <c r="BI4" s="44" t="s">
        <v>13796</v>
      </c>
      <c r="BJ4" s="44" t="s">
        <v>13797</v>
      </c>
      <c r="BK4" s="44" t="s">
        <v>13798</v>
      </c>
      <c r="BL4" s="44" t="s">
        <v>13799</v>
      </c>
      <c r="BM4" s="44" t="s">
        <v>13800</v>
      </c>
      <c r="BN4" s="44" t="s">
        <v>13812</v>
      </c>
      <c r="BO4" s="44" t="s">
        <v>13814</v>
      </c>
      <c r="BP4" s="44" t="s">
        <v>13813</v>
      </c>
      <c r="BQ4" s="44" t="s">
        <v>13815</v>
      </c>
      <c r="BR4" s="44" t="s">
        <v>13816</v>
      </c>
      <c r="BS4" s="44" t="s">
        <v>13817</v>
      </c>
      <c r="BT4" s="44" t="s">
        <v>13818</v>
      </c>
      <c r="BU4" s="44" t="s">
        <v>13820</v>
      </c>
      <c r="BV4" s="44" t="s">
        <v>13819</v>
      </c>
      <c r="BW4" s="44" t="s">
        <v>13823</v>
      </c>
      <c r="BX4" s="44" t="s">
        <v>13821</v>
      </c>
      <c r="BY4" s="44" t="s">
        <v>13822</v>
      </c>
      <c r="BZ4" s="44" t="s">
        <v>13864</v>
      </c>
      <c r="CA4" s="44" t="s">
        <v>13865</v>
      </c>
      <c r="CB4" s="44" t="s">
        <v>13859</v>
      </c>
      <c r="CC4" s="44" t="s">
        <v>13860</v>
      </c>
    </row>
    <row r="5" spans="2:81"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34105</v>
      </c>
      <c r="S5" s="45" t="s">
        <v>34103</v>
      </c>
      <c r="T5" s="43" t="s">
        <v>34107</v>
      </c>
      <c r="U5" s="48" t="s">
        <v>34104</v>
      </c>
      <c r="V5" s="45" t="s">
        <v>34103</v>
      </c>
      <c r="W5" s="48" t="s">
        <v>34104</v>
      </c>
      <c r="X5" s="45" t="s">
        <v>34103</v>
      </c>
      <c r="Y5" s="48" t="s">
        <v>34108</v>
      </c>
      <c r="Z5" s="43" t="s">
        <v>34104</v>
      </c>
      <c r="AA5" s="43" t="s">
        <v>34105</v>
      </c>
      <c r="AB5" s="43" t="s">
        <v>34104</v>
      </c>
      <c r="AC5" s="43" t="s">
        <v>34105</v>
      </c>
      <c r="AD5" s="48" t="s">
        <v>34104</v>
      </c>
      <c r="AE5" s="43" t="s">
        <v>34109</v>
      </c>
      <c r="AF5" s="48" t="s">
        <v>34104</v>
      </c>
      <c r="AG5" s="48" t="s">
        <v>34104</v>
      </c>
      <c r="AH5" s="43" t="s">
        <v>34104</v>
      </c>
      <c r="AI5" s="48" t="s">
        <v>34104</v>
      </c>
      <c r="AJ5" s="48" t="s">
        <v>34104</v>
      </c>
      <c r="AK5" s="48" t="s">
        <v>34104</v>
      </c>
      <c r="AL5" s="48" t="s">
        <v>34104</v>
      </c>
      <c r="AM5" s="48" t="s">
        <v>34104</v>
      </c>
      <c r="AN5" s="48" t="s">
        <v>34104</v>
      </c>
      <c r="AO5" s="48" t="s">
        <v>34104</v>
      </c>
      <c r="AP5" s="48" t="s">
        <v>34104</v>
      </c>
      <c r="AQ5" s="48" t="s">
        <v>34104</v>
      </c>
      <c r="AR5" s="48" t="s">
        <v>34104</v>
      </c>
      <c r="AS5" s="43" t="s">
        <v>34104</v>
      </c>
      <c r="AT5" s="48" t="s">
        <v>34104</v>
      </c>
      <c r="AU5" s="48" t="s">
        <v>34104</v>
      </c>
      <c r="AV5" s="48" t="s">
        <v>34111</v>
      </c>
      <c r="AW5" s="48" t="s">
        <v>34112</v>
      </c>
      <c r="AX5" s="48" t="s">
        <v>34113</v>
      </c>
      <c r="AY5" s="48" t="s">
        <v>34114</v>
      </c>
      <c r="AZ5" s="48" t="s">
        <v>34115</v>
      </c>
      <c r="BA5" s="48" t="s">
        <v>34116</v>
      </c>
      <c r="BB5" s="48" t="s">
        <v>34117</v>
      </c>
      <c r="BC5" s="48" t="s">
        <v>34118</v>
      </c>
      <c r="BD5" s="48" t="s">
        <v>34119</v>
      </c>
      <c r="BE5" s="48" t="s">
        <v>34120</v>
      </c>
      <c r="BF5" s="48" t="s">
        <v>34121</v>
      </c>
      <c r="BG5" s="48" t="s">
        <v>34122</v>
      </c>
      <c r="BH5" s="48" t="s">
        <v>34123</v>
      </c>
      <c r="BI5" s="48" t="s">
        <v>34124</v>
      </c>
      <c r="BJ5" s="48" t="s">
        <v>34125</v>
      </c>
      <c r="BK5" s="48" t="s">
        <v>34126</v>
      </c>
      <c r="BL5" s="48" t="s">
        <v>34127</v>
      </c>
      <c r="BM5" s="48" t="s">
        <v>34128</v>
      </c>
      <c r="BN5" s="48" t="s">
        <v>34129</v>
      </c>
      <c r="BO5" s="48" t="s">
        <v>34130</v>
      </c>
      <c r="BP5" s="48" t="s">
        <v>34132</v>
      </c>
      <c r="BQ5" s="48" t="s">
        <v>34134</v>
      </c>
      <c r="BR5" s="48" t="s">
        <v>34135</v>
      </c>
      <c r="BS5" s="48" t="s">
        <v>34136</v>
      </c>
      <c r="BT5" s="48" t="s">
        <v>34137</v>
      </c>
      <c r="BU5" s="48" t="s">
        <v>34200</v>
      </c>
      <c r="BV5" s="48" t="s">
        <v>34138</v>
      </c>
      <c r="BW5" s="48" t="s">
        <v>34203</v>
      </c>
      <c r="BX5" s="48" t="s">
        <v>34204</v>
      </c>
      <c r="BY5" s="48" t="s">
        <v>34205</v>
      </c>
      <c r="BZ5" s="48" t="s">
        <v>34140</v>
      </c>
      <c r="CA5" s="48" t="s">
        <v>34206</v>
      </c>
      <c r="CB5" s="48" t="s">
        <v>34141</v>
      </c>
      <c r="CC5" s="48" t="s">
        <v>34142</v>
      </c>
    </row>
    <row r="6" spans="2:81"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26843912</v>
      </c>
      <c r="S6" s="45">
        <v>33540278</v>
      </c>
      <c r="U6" s="48">
        <v>30249789</v>
      </c>
      <c r="V6" s="45">
        <v>30282681</v>
      </c>
      <c r="W6" s="48">
        <v>748032703</v>
      </c>
      <c r="X6" s="45">
        <v>30311274</v>
      </c>
      <c r="Y6" s="48">
        <v>203081093</v>
      </c>
      <c r="Z6" s="43" t="s">
        <v>34155</v>
      </c>
      <c r="AA6" s="43" t="s">
        <v>34156</v>
      </c>
      <c r="AB6" s="43" t="s">
        <v>34157</v>
      </c>
      <c r="AC6" s="43" t="s">
        <v>34158</v>
      </c>
      <c r="AD6" s="48" t="s">
        <v>34160</v>
      </c>
      <c r="AE6" s="43" t="s">
        <v>34161</v>
      </c>
      <c r="AF6" s="48" t="s">
        <v>34162</v>
      </c>
      <c r="AG6" s="48">
        <v>14176875</v>
      </c>
      <c r="AH6" s="43" t="s">
        <v>34163</v>
      </c>
      <c r="AI6" s="48">
        <v>26459321</v>
      </c>
      <c r="AJ6" s="48">
        <v>26690883</v>
      </c>
      <c r="AK6" s="48" t="s">
        <v>34164</v>
      </c>
      <c r="AL6" s="48">
        <v>24772020</v>
      </c>
      <c r="AM6" s="48">
        <v>4402812</v>
      </c>
      <c r="AN6" s="48" t="s">
        <v>34165</v>
      </c>
      <c r="AO6" s="48">
        <v>25065334</v>
      </c>
      <c r="AP6" s="48">
        <v>25084368</v>
      </c>
      <c r="AQ6" s="48">
        <v>25069633</v>
      </c>
      <c r="AR6" s="48">
        <v>33538439</v>
      </c>
      <c r="AT6" s="48">
        <v>27607358</v>
      </c>
      <c r="AU6" s="48">
        <v>748045952</v>
      </c>
      <c r="AV6" s="48">
        <v>13585976</v>
      </c>
      <c r="AW6" s="48">
        <v>748033552</v>
      </c>
      <c r="AX6" s="48">
        <v>31874966</v>
      </c>
      <c r="AY6" s="48">
        <v>454979502</v>
      </c>
      <c r="AZ6" s="48">
        <v>31860536</v>
      </c>
      <c r="BA6" s="48">
        <v>693305826</v>
      </c>
      <c r="BB6" s="48">
        <v>32205856</v>
      </c>
      <c r="BC6" s="48">
        <v>32121632</v>
      </c>
      <c r="BD6" s="48" t="s">
        <v>34167</v>
      </c>
      <c r="BE6" s="48">
        <v>35356295</v>
      </c>
      <c r="BF6" s="48" t="s">
        <v>34168</v>
      </c>
      <c r="BG6" s="48" t="s">
        <v>34169</v>
      </c>
      <c r="BH6" s="48" t="s">
        <v>34170</v>
      </c>
      <c r="BI6" s="48">
        <v>748030061</v>
      </c>
      <c r="BJ6" s="48">
        <v>748032711</v>
      </c>
      <c r="BK6" s="48">
        <v>37307538</v>
      </c>
      <c r="BL6" s="48">
        <v>37346924</v>
      </c>
      <c r="BM6" s="48">
        <v>748035300</v>
      </c>
      <c r="BN6" s="48" t="s">
        <v>34171</v>
      </c>
      <c r="BO6" s="48">
        <v>46129441</v>
      </c>
      <c r="BP6" s="48" t="s">
        <v>34172</v>
      </c>
      <c r="BQ6" s="48" t="s">
        <v>34173</v>
      </c>
      <c r="BR6" s="48" t="s">
        <v>34174</v>
      </c>
      <c r="BS6" s="48"/>
      <c r="BT6" s="48">
        <v>50376193</v>
      </c>
      <c r="BU6" s="48"/>
      <c r="BV6" s="48"/>
      <c r="BW6" s="48" t="s">
        <v>34207</v>
      </c>
      <c r="BX6" s="48"/>
      <c r="BY6" s="48"/>
      <c r="BZ6" s="48"/>
      <c r="CA6" s="48"/>
      <c r="CB6" s="48">
        <v>4402766</v>
      </c>
      <c r="CC6" s="48" t="s">
        <v>34176</v>
      </c>
    </row>
    <row r="7" spans="2:81"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34179</v>
      </c>
      <c r="S7" s="45" t="s">
        <v>14059</v>
      </c>
      <c r="U7" s="48" t="s">
        <v>34178</v>
      </c>
      <c r="V7" s="45" t="s">
        <v>14059</v>
      </c>
      <c r="W7" s="48" t="s">
        <v>34178</v>
      </c>
      <c r="X7" s="45" t="s">
        <v>14059</v>
      </c>
      <c r="Y7" s="48" t="s">
        <v>34181</v>
      </c>
      <c r="Z7" s="43" t="s">
        <v>14047</v>
      </c>
      <c r="AA7" s="43" t="s">
        <v>14049</v>
      </c>
      <c r="AB7" s="43" t="s">
        <v>14047</v>
      </c>
      <c r="AC7" s="43" t="s">
        <v>14049</v>
      </c>
      <c r="AD7" s="48" t="s">
        <v>34178</v>
      </c>
      <c r="AE7" s="43" t="s">
        <v>14060</v>
      </c>
      <c r="AF7" s="48" t="s">
        <v>34178</v>
      </c>
      <c r="AG7" s="48" t="s">
        <v>34178</v>
      </c>
      <c r="AH7" s="43" t="s">
        <v>34182</v>
      </c>
      <c r="AI7" s="48" t="s">
        <v>34178</v>
      </c>
      <c r="AJ7" s="48" t="s">
        <v>34178</v>
      </c>
      <c r="AK7" s="48" t="s">
        <v>34178</v>
      </c>
      <c r="AL7" s="48" t="s">
        <v>34178</v>
      </c>
      <c r="AM7" s="48" t="s">
        <v>34178</v>
      </c>
      <c r="AN7" s="48" t="s">
        <v>34178</v>
      </c>
      <c r="AO7" s="48" t="s">
        <v>34178</v>
      </c>
      <c r="AP7" s="48" t="s">
        <v>34178</v>
      </c>
      <c r="AQ7" s="48" t="s">
        <v>34178</v>
      </c>
      <c r="AR7" s="48" t="s">
        <v>34178</v>
      </c>
      <c r="AS7" s="43" t="s">
        <v>34178</v>
      </c>
      <c r="AT7" s="48" t="s">
        <v>34178</v>
      </c>
      <c r="AU7" s="48" t="s">
        <v>14045</v>
      </c>
      <c r="AV7" s="48" t="s">
        <v>14045</v>
      </c>
      <c r="AW7" s="48" t="s">
        <v>14045</v>
      </c>
      <c r="AX7" s="48" t="s">
        <v>14045</v>
      </c>
      <c r="AY7" s="48" t="s">
        <v>14061</v>
      </c>
      <c r="AZ7" s="48" t="s">
        <v>14045</v>
      </c>
      <c r="BA7" s="48" t="s">
        <v>14061</v>
      </c>
      <c r="BB7" s="48" t="s">
        <v>14045</v>
      </c>
      <c r="BC7" s="48" t="s">
        <v>14045</v>
      </c>
      <c r="BD7" s="48" t="s">
        <v>14053</v>
      </c>
      <c r="BE7" s="48" t="s">
        <v>14045</v>
      </c>
      <c r="BF7" s="48" t="s">
        <v>14045</v>
      </c>
      <c r="BG7" s="48" t="s">
        <v>14045</v>
      </c>
      <c r="BH7" s="48" t="s">
        <v>14045</v>
      </c>
      <c r="BI7" s="48" t="s">
        <v>14045</v>
      </c>
      <c r="BJ7" s="48" t="s">
        <v>14045</v>
      </c>
      <c r="BK7" s="48" t="s">
        <v>14045</v>
      </c>
      <c r="BL7" s="48" t="s">
        <v>14045</v>
      </c>
      <c r="BM7" s="48" t="s">
        <v>14045</v>
      </c>
      <c r="BN7" s="48" t="s">
        <v>14045</v>
      </c>
      <c r="BO7" s="48" t="s">
        <v>14045</v>
      </c>
      <c r="BP7" s="48" t="s">
        <v>14045</v>
      </c>
      <c r="BQ7" s="48" t="s">
        <v>14045</v>
      </c>
      <c r="BR7" s="48" t="s">
        <v>14045</v>
      </c>
      <c r="BS7" s="48" t="s">
        <v>14045</v>
      </c>
      <c r="BT7" s="48" t="s">
        <v>14045</v>
      </c>
      <c r="BU7" s="48" t="s">
        <v>14045</v>
      </c>
      <c r="BV7" s="48" t="s">
        <v>14045</v>
      </c>
      <c r="BW7" s="48" t="s">
        <v>14045</v>
      </c>
      <c r="BX7" s="48" t="s">
        <v>14045</v>
      </c>
      <c r="BY7" s="48" t="s">
        <v>14045</v>
      </c>
      <c r="BZ7" s="48" t="s">
        <v>34184</v>
      </c>
      <c r="CA7" s="48" t="s">
        <v>34178</v>
      </c>
      <c r="CB7" s="48" t="s">
        <v>14060</v>
      </c>
      <c r="CC7" s="48" t="s">
        <v>34178</v>
      </c>
    </row>
    <row r="8" spans="25:56" ht="12" customHeight="true">
      <c r="Y8" s="33">
        <v>865</v>
      </c>
      <c r="BD8" s="33" t="s">
        <v>34186</v>
      </c>
    </row>
    <row r="9" spans="2:82" s="39" customFormat="true" ht="12" customHeight="true">
      <c r="B9" s="39" t="s">
        <v>34187</v>
      </c>
      <c r="D9" s="46"/>
      <c r="E9" s="46"/>
      <c r="F9" s="46"/>
      <c r="G9" s="46"/>
      <c r="H9" s="46"/>
      <c r="I9" s="46"/>
      <c r="J9" s="46"/>
      <c r="K9" s="50">
        <v>2421217.36</v>
      </c>
      <c r="L9" s="50">
        <v>70858.37</v>
      </c>
      <c r="M9" s="46"/>
      <c r="N9" s="46"/>
      <c r="O9" s="46"/>
      <c r="P9" s="46"/>
      <c r="Q9" s="50">
        <v>16817.17</v>
      </c>
      <c r="R9" s="46"/>
      <c r="S9" s="46"/>
      <c r="T9" s="51"/>
      <c r="U9" s="50">
        <v>326369.9</v>
      </c>
      <c r="V9" s="46"/>
      <c r="W9" s="46"/>
      <c r="X9" s="46"/>
      <c r="Y9" s="50">
        <v>20646.55</v>
      </c>
      <c r="Z9" s="51"/>
      <c r="AA9" s="51"/>
      <c r="AB9" s="51"/>
      <c r="AC9" s="51"/>
      <c r="AD9" s="50">
        <v>211039.41</v>
      </c>
      <c r="AE9" s="51"/>
      <c r="AF9" s="50">
        <v>101640.63</v>
      </c>
      <c r="AG9" s="50">
        <v>25557.55</v>
      </c>
      <c r="AH9" s="51"/>
      <c r="AI9" s="50">
        <v>1568.82</v>
      </c>
      <c r="AJ9" s="50">
        <v>50863.89</v>
      </c>
      <c r="AK9" s="50">
        <v>26867.66</v>
      </c>
      <c r="AL9" s="46"/>
      <c r="AM9" s="46"/>
      <c r="AN9" s="50">
        <v>20036.95</v>
      </c>
      <c r="AO9" s="50">
        <v>198431.94</v>
      </c>
      <c r="AP9" s="50">
        <v>55475.72</v>
      </c>
      <c r="AQ9" s="50">
        <v>24938.35</v>
      </c>
      <c r="AR9" s="50">
        <v>23789.17</v>
      </c>
      <c r="AS9" s="51"/>
      <c r="AT9" s="50">
        <v>26171.34</v>
      </c>
      <c r="AU9" s="50">
        <v>55251.95</v>
      </c>
      <c r="AV9" s="50">
        <v>21470.14</v>
      </c>
      <c r="AW9" s="50">
        <v>14401.53</v>
      </c>
      <c r="AX9" s="50">
        <v>69772.19</v>
      </c>
      <c r="AY9" s="50">
        <v>4216.1</v>
      </c>
      <c r="AZ9" s="50">
        <v>55715.74</v>
      </c>
      <c r="BA9" s="50">
        <v>3539.06</v>
      </c>
      <c r="BB9" s="50">
        <v>16871.32</v>
      </c>
      <c r="BC9" s="50">
        <v>8893.67</v>
      </c>
      <c r="BD9" s="50"/>
      <c r="BE9" s="50">
        <v>242264.87</v>
      </c>
      <c r="BF9" s="50">
        <v>205104.08</v>
      </c>
      <c r="BG9" s="50">
        <v>44846.99</v>
      </c>
      <c r="BH9" s="50">
        <v>5105.06</v>
      </c>
      <c r="BI9" s="50">
        <v>55594.98</v>
      </c>
      <c r="BJ9" s="50">
        <v>87469.44</v>
      </c>
      <c r="BK9" s="50">
        <v>80642.39</v>
      </c>
      <c r="BL9" s="50">
        <v>67976.16</v>
      </c>
      <c r="BM9" s="50">
        <v>11974.79</v>
      </c>
      <c r="BN9" s="50">
        <v>16474.91</v>
      </c>
      <c r="BO9" s="50">
        <v>12376.34</v>
      </c>
      <c r="BP9" s="50">
        <v>11890.17</v>
      </c>
      <c r="BQ9" s="50">
        <v>12630.32</v>
      </c>
      <c r="BR9" s="50">
        <v>33964.22</v>
      </c>
      <c r="BS9" s="50">
        <v>39614.49</v>
      </c>
      <c r="BT9" s="50">
        <v>70865.7</v>
      </c>
      <c r="BU9" s="50">
        <v>66317.68</v>
      </c>
      <c r="BV9" s="50">
        <v>32789.59</v>
      </c>
      <c r="BW9" s="50">
        <v>19592.51</v>
      </c>
      <c r="BX9" s="50">
        <v>50439.55</v>
      </c>
      <c r="BY9" s="50">
        <v>60551.69</v>
      </c>
      <c r="BZ9" s="50">
        <v>360992.1</v>
      </c>
      <c r="CA9" s="50">
        <v>17618652.8</v>
      </c>
      <c r="CB9" s="50">
        <v>584918.08</v>
      </c>
      <c r="CC9" s="50">
        <v>24399.52</v>
      </c>
      <c r="CD9" s="39">
        <f>SUM(D9:CC9)</f>
        <v>23689870.91</v>
      </c>
    </row>
    <row r="10" spans="20:45" s="39" customFormat="true" ht="12" customHeight="true">
      <c r="T10" s="51"/>
      <c r="Z10" s="51"/>
      <c r="AA10" s="51"/>
      <c r="AB10" s="51"/>
      <c r="AC10" s="51"/>
      <c r="AE10" s="51"/>
      <c r="AH10" s="51"/>
      <c r="AS10" s="51"/>
    </row>
    <row r="11" spans="2:45" s="39" customFormat="true" ht="12" customHeight="true">
      <c r="B11" s="39" t="s">
        <v>34188</v>
      </c>
      <c r="T11" s="51"/>
      <c r="Z11" s="51"/>
      <c r="AA11" s="51"/>
      <c r="AB11" s="51"/>
      <c r="AC11" s="51"/>
      <c r="AE11" s="51"/>
      <c r="AH11" s="51"/>
      <c r="AS11" s="51"/>
    </row>
    <row r="12" spans="4:81" s="39" customFormat="true" ht="12" customHeight="true">
      <c r="D12" s="46">
        <v>56516.82</v>
      </c>
      <c r="E12" s="46">
        <v>477.43</v>
      </c>
      <c r="F12" s="46">
        <v>1207.96</v>
      </c>
      <c r="G12" s="46">
        <v>32838.6</v>
      </c>
      <c r="H12" s="46"/>
      <c r="I12" s="46"/>
      <c r="J12" s="46">
        <v>608093.61</v>
      </c>
      <c r="K12" s="46">
        <v>41218.41</v>
      </c>
      <c r="L12" s="46"/>
      <c r="M12" s="46">
        <v>21076.78</v>
      </c>
      <c r="N12" s="46">
        <v>20937.44</v>
      </c>
      <c r="O12" s="46"/>
      <c r="P12" s="46"/>
      <c r="Q12" s="46"/>
      <c r="R12" s="46"/>
      <c r="S12" s="46">
        <v>9876.13</v>
      </c>
      <c r="T12" s="51"/>
      <c r="U12" s="46">
        <v>1617.95</v>
      </c>
      <c r="V12" s="46">
        <v>13497.24</v>
      </c>
      <c r="W12" s="46">
        <v>1294.36</v>
      </c>
      <c r="X12" s="46">
        <v>6500.77</v>
      </c>
      <c r="Y12" s="46">
        <v>9064.79</v>
      </c>
      <c r="Z12" s="51"/>
      <c r="AA12" s="51"/>
      <c r="AB12" s="51"/>
      <c r="AC12" s="51"/>
      <c r="AD12" s="46"/>
      <c r="AE12" s="51"/>
      <c r="AF12" s="46">
        <v>21304.71</v>
      </c>
      <c r="AG12" s="46">
        <v>10020.37</v>
      </c>
      <c r="AH12" s="51"/>
      <c r="AI12" s="46"/>
      <c r="AJ12" s="46">
        <v>5850</v>
      </c>
      <c r="AK12" s="46">
        <v>8803.83</v>
      </c>
      <c r="AL12" s="46"/>
      <c r="AM12" s="46"/>
      <c r="AN12" s="46"/>
      <c r="AO12" s="46">
        <v>53831.22</v>
      </c>
      <c r="AP12" s="46"/>
      <c r="AQ12" s="46"/>
      <c r="AR12" s="46"/>
      <c r="AS12" s="51"/>
      <c r="AT12" s="46"/>
      <c r="AU12" s="46">
        <v>193802.54</v>
      </c>
      <c r="AV12" s="46"/>
      <c r="AW12" s="46"/>
      <c r="AX12" s="46"/>
      <c r="AY12" s="46"/>
      <c r="AZ12" s="46"/>
      <c r="BA12" s="46"/>
      <c r="BB12" s="46"/>
      <c r="BC12" s="46"/>
      <c r="BD12" s="46"/>
      <c r="BE12" s="46"/>
      <c r="BF12" s="46">
        <v>3262.14</v>
      </c>
      <c r="BG12" s="46"/>
      <c r="BH12" s="46"/>
      <c r="BI12" s="46"/>
      <c r="BJ12" s="46"/>
      <c r="BK12" s="46">
        <v>0.01</v>
      </c>
      <c r="BL12" s="46"/>
      <c r="BM12" s="46"/>
      <c r="BN12" s="46"/>
      <c r="BO12" s="46"/>
      <c r="BP12" s="46"/>
      <c r="BQ12" s="46"/>
      <c r="BR12" s="46"/>
      <c r="BS12" s="46"/>
      <c r="BT12" s="46"/>
      <c r="BU12" s="46"/>
      <c r="BV12" s="46"/>
      <c r="BW12" s="46"/>
      <c r="BX12" s="46"/>
      <c r="BY12" s="46"/>
      <c r="BZ12" s="46">
        <v>46000</v>
      </c>
      <c r="CA12" s="46"/>
      <c r="CB12" s="46"/>
      <c r="CC12" s="46"/>
    </row>
    <row r="13" spans="4:81" s="39" customFormat="true" ht="12" customHeight="true">
      <c r="D13" s="46"/>
      <c r="E13" s="46"/>
      <c r="F13" s="46">
        <v>4590.55</v>
      </c>
      <c r="G13" s="46"/>
      <c r="H13" s="46"/>
      <c r="I13" s="46"/>
      <c r="J13" s="46"/>
      <c r="K13" s="46"/>
      <c r="L13" s="46"/>
      <c r="M13" s="46"/>
      <c r="N13" s="46"/>
      <c r="O13" s="46"/>
      <c r="P13" s="46"/>
      <c r="Q13" s="46"/>
      <c r="R13" s="46"/>
      <c r="S13" s="46"/>
      <c r="T13" s="51"/>
      <c r="U13" s="46"/>
      <c r="V13" s="46">
        <v>13987.49</v>
      </c>
      <c r="W13" s="46"/>
      <c r="X13" s="46">
        <v>14346.09</v>
      </c>
      <c r="Y13" s="46"/>
      <c r="Z13" s="51"/>
      <c r="AA13" s="51"/>
      <c r="AB13" s="51"/>
      <c r="AC13" s="51"/>
      <c r="AD13" s="46"/>
      <c r="AE13" s="51"/>
      <c r="AF13" s="46"/>
      <c r="AG13" s="46"/>
      <c r="AH13" s="51"/>
      <c r="AI13" s="46"/>
      <c r="AJ13" s="46">
        <v>180.76</v>
      </c>
      <c r="AK13" s="46"/>
      <c r="AL13" s="46"/>
      <c r="AM13" s="46"/>
      <c r="AN13" s="46"/>
      <c r="AO13" s="46"/>
      <c r="AP13" s="46"/>
      <c r="AQ13" s="46"/>
      <c r="AR13" s="46"/>
      <c r="AS13" s="51"/>
      <c r="AT13" s="46"/>
      <c r="AU13" s="46">
        <v>0.01</v>
      </c>
      <c r="AV13" s="46"/>
      <c r="AW13" s="46"/>
      <c r="AX13" s="46"/>
      <c r="AY13" s="46"/>
      <c r="AZ13" s="46"/>
      <c r="BA13" s="46"/>
      <c r="BB13" s="46"/>
      <c r="BC13" s="46"/>
      <c r="BD13" s="46"/>
      <c r="BE13" s="46"/>
      <c r="BF13" s="46">
        <v>40.65</v>
      </c>
      <c r="BG13" s="46"/>
      <c r="BH13" s="46"/>
      <c r="BI13" s="46"/>
      <c r="BJ13" s="46"/>
      <c r="BK13" s="46"/>
      <c r="BL13" s="46"/>
      <c r="BM13" s="46"/>
      <c r="BN13" s="46"/>
      <c r="BO13" s="46"/>
      <c r="BP13" s="46"/>
      <c r="BQ13" s="46"/>
      <c r="BR13" s="46"/>
      <c r="BS13" s="46"/>
      <c r="BT13" s="46"/>
      <c r="BU13" s="46"/>
      <c r="BV13" s="46"/>
      <c r="BW13" s="46"/>
      <c r="BX13" s="46"/>
      <c r="BY13" s="46"/>
      <c r="BZ13" s="46"/>
      <c r="CA13" s="46"/>
      <c r="CB13" s="46"/>
      <c r="CC13" s="46"/>
    </row>
    <row r="14" spans="4:81" s="39" customFormat="true" ht="12" customHeight="true">
      <c r="D14" s="46"/>
      <c r="E14" s="46"/>
      <c r="F14" s="46"/>
      <c r="G14" s="46"/>
      <c r="H14" s="46"/>
      <c r="I14" s="46"/>
      <c r="J14" s="46"/>
      <c r="K14" s="46"/>
      <c r="L14" s="46"/>
      <c r="M14" s="46"/>
      <c r="N14" s="46"/>
      <c r="O14" s="46"/>
      <c r="P14" s="46"/>
      <c r="Q14" s="46"/>
      <c r="R14" s="46"/>
      <c r="S14" s="46"/>
      <c r="T14" s="51"/>
      <c r="U14" s="46"/>
      <c r="V14" s="46"/>
      <c r="W14" s="46"/>
      <c r="X14" s="46"/>
      <c r="Y14" s="46"/>
      <c r="Z14" s="51"/>
      <c r="AA14" s="51"/>
      <c r="AB14" s="51"/>
      <c r="AC14" s="51"/>
      <c r="AD14" s="46"/>
      <c r="AE14" s="51"/>
      <c r="AF14" s="46"/>
      <c r="AG14" s="46"/>
      <c r="AH14" s="51"/>
      <c r="AI14" s="46"/>
      <c r="AJ14" s="46">
        <v>672.07</v>
      </c>
      <c r="AK14" s="46"/>
      <c r="AL14" s="46"/>
      <c r="AM14" s="46"/>
      <c r="AN14" s="46"/>
      <c r="AO14" s="46"/>
      <c r="AP14" s="46"/>
      <c r="AQ14" s="46"/>
      <c r="AR14" s="46"/>
      <c r="AS14" s="51"/>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row>
    <row r="15" spans="4:81" s="39" customFormat="true" ht="12" customHeight="true">
      <c r="D15" s="46"/>
      <c r="E15" s="46"/>
      <c r="F15" s="46"/>
      <c r="G15" s="46"/>
      <c r="H15" s="46"/>
      <c r="I15" s="46"/>
      <c r="J15" s="46"/>
      <c r="K15" s="46"/>
      <c r="L15" s="46"/>
      <c r="M15" s="46"/>
      <c r="N15" s="46"/>
      <c r="O15" s="46"/>
      <c r="P15" s="46"/>
      <c r="Q15" s="46"/>
      <c r="R15" s="46"/>
      <c r="S15" s="46"/>
      <c r="T15" s="51"/>
      <c r="U15" s="46"/>
      <c r="V15" s="46"/>
      <c r="W15" s="46"/>
      <c r="X15" s="46"/>
      <c r="Y15" s="46"/>
      <c r="Z15" s="51"/>
      <c r="AA15" s="51"/>
      <c r="AB15" s="51"/>
      <c r="AC15" s="51"/>
      <c r="AD15" s="46"/>
      <c r="AE15" s="51"/>
      <c r="AF15" s="46"/>
      <c r="AG15" s="46"/>
      <c r="AH15" s="51"/>
      <c r="AI15" s="46"/>
      <c r="AJ15" s="46"/>
      <c r="AK15" s="46"/>
      <c r="AL15" s="46"/>
      <c r="AM15" s="46"/>
      <c r="AN15" s="46"/>
      <c r="AO15" s="46"/>
      <c r="AP15" s="46"/>
      <c r="AQ15" s="46"/>
      <c r="AR15" s="46"/>
      <c r="AS15" s="51"/>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row>
    <row r="16" spans="4:81" s="39" customFormat="true" ht="12" customHeight="true">
      <c r="D16" s="46"/>
      <c r="E16" s="46"/>
      <c r="F16" s="46"/>
      <c r="G16" s="46"/>
      <c r="H16" s="46"/>
      <c r="I16" s="46"/>
      <c r="J16" s="46"/>
      <c r="K16" s="46"/>
      <c r="L16" s="46"/>
      <c r="M16" s="46"/>
      <c r="N16" s="46"/>
      <c r="O16" s="46"/>
      <c r="P16" s="46"/>
      <c r="Q16" s="46"/>
      <c r="R16" s="46"/>
      <c r="S16" s="46"/>
      <c r="T16" s="51"/>
      <c r="U16" s="46"/>
      <c r="V16" s="46"/>
      <c r="W16" s="46"/>
      <c r="X16" s="46"/>
      <c r="Y16" s="46"/>
      <c r="Z16" s="51"/>
      <c r="AA16" s="51"/>
      <c r="AB16" s="51"/>
      <c r="AC16" s="51"/>
      <c r="AD16" s="46"/>
      <c r="AE16" s="51"/>
      <c r="AF16" s="46"/>
      <c r="AG16" s="46"/>
      <c r="AH16" s="51"/>
      <c r="AI16" s="46"/>
      <c r="AJ16" s="46"/>
      <c r="AK16" s="46"/>
      <c r="AL16" s="46"/>
      <c r="AM16" s="46"/>
      <c r="AN16" s="46"/>
      <c r="AO16" s="46"/>
      <c r="AP16" s="46"/>
      <c r="AQ16" s="46"/>
      <c r="AR16" s="46"/>
      <c r="AS16" s="51"/>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row>
    <row r="17" spans="4:81" s="39" customFormat="true" ht="12" customHeight="true">
      <c r="D17" s="46"/>
      <c r="E17" s="46"/>
      <c r="F17" s="46"/>
      <c r="G17" s="46"/>
      <c r="H17" s="46"/>
      <c r="I17" s="46"/>
      <c r="J17" s="46"/>
      <c r="K17" s="46"/>
      <c r="L17" s="46"/>
      <c r="M17" s="46"/>
      <c r="N17" s="46"/>
      <c r="O17" s="46"/>
      <c r="P17" s="46"/>
      <c r="Q17" s="46"/>
      <c r="R17" s="46"/>
      <c r="S17" s="46"/>
      <c r="T17" s="51"/>
      <c r="U17" s="46"/>
      <c r="V17" s="46"/>
      <c r="W17" s="46"/>
      <c r="X17" s="46"/>
      <c r="Y17" s="46"/>
      <c r="Z17" s="51"/>
      <c r="AA17" s="51"/>
      <c r="AB17" s="51"/>
      <c r="AC17" s="51"/>
      <c r="AD17" s="46"/>
      <c r="AE17" s="51"/>
      <c r="AF17" s="46"/>
      <c r="AG17" s="46"/>
      <c r="AH17" s="51"/>
      <c r="AI17" s="46"/>
      <c r="AJ17" s="46"/>
      <c r="AK17" s="46"/>
      <c r="AL17" s="46"/>
      <c r="AM17" s="46"/>
      <c r="AN17" s="46"/>
      <c r="AO17" s="46"/>
      <c r="AP17" s="46"/>
      <c r="AQ17" s="46"/>
      <c r="AR17" s="46"/>
      <c r="AS17" s="51"/>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row>
    <row r="18" spans="4:81" s="39" customFormat="true" ht="12" customHeight="true">
      <c r="D18" s="46"/>
      <c r="E18" s="46"/>
      <c r="F18" s="46"/>
      <c r="G18" s="46"/>
      <c r="H18" s="46"/>
      <c r="I18" s="46"/>
      <c r="J18" s="46"/>
      <c r="K18" s="46"/>
      <c r="L18" s="46"/>
      <c r="M18" s="46"/>
      <c r="N18" s="46"/>
      <c r="O18" s="46"/>
      <c r="P18" s="46"/>
      <c r="Q18" s="46"/>
      <c r="R18" s="46"/>
      <c r="S18" s="46"/>
      <c r="T18" s="51"/>
      <c r="U18" s="46"/>
      <c r="V18" s="46"/>
      <c r="W18" s="46"/>
      <c r="X18" s="46"/>
      <c r="Y18" s="46"/>
      <c r="Z18" s="51"/>
      <c r="AA18" s="51"/>
      <c r="AB18" s="51"/>
      <c r="AC18" s="51"/>
      <c r="AD18" s="46"/>
      <c r="AE18" s="51"/>
      <c r="AF18" s="46"/>
      <c r="AG18" s="46"/>
      <c r="AH18" s="51"/>
      <c r="AI18" s="46"/>
      <c r="AJ18" s="46"/>
      <c r="AK18" s="46"/>
      <c r="AL18" s="46"/>
      <c r="AM18" s="46"/>
      <c r="AN18" s="46"/>
      <c r="AO18" s="46"/>
      <c r="AP18" s="46"/>
      <c r="AQ18" s="46"/>
      <c r="AR18" s="46"/>
      <c r="AS18" s="51"/>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row>
    <row r="19" spans="4:81" s="39" customFormat="true" ht="12" customHeight="true">
      <c r="D19" s="46"/>
      <c r="E19" s="46"/>
      <c r="F19" s="46"/>
      <c r="G19" s="46"/>
      <c r="H19" s="46"/>
      <c r="I19" s="46"/>
      <c r="J19" s="46"/>
      <c r="K19" s="46"/>
      <c r="L19" s="46"/>
      <c r="M19" s="46"/>
      <c r="N19" s="46"/>
      <c r="O19" s="46"/>
      <c r="P19" s="46"/>
      <c r="Q19" s="46"/>
      <c r="R19" s="46"/>
      <c r="S19" s="46"/>
      <c r="T19" s="51"/>
      <c r="U19" s="46"/>
      <c r="V19" s="46"/>
      <c r="W19" s="46"/>
      <c r="X19" s="46"/>
      <c r="Y19" s="46"/>
      <c r="Z19" s="51"/>
      <c r="AA19" s="51"/>
      <c r="AB19" s="51"/>
      <c r="AC19" s="51"/>
      <c r="AD19" s="46"/>
      <c r="AE19" s="51"/>
      <c r="AF19" s="46"/>
      <c r="AG19" s="46"/>
      <c r="AH19" s="51"/>
      <c r="AI19" s="46"/>
      <c r="AJ19" s="46"/>
      <c r="AK19" s="46"/>
      <c r="AL19" s="46"/>
      <c r="AM19" s="46"/>
      <c r="AN19" s="46"/>
      <c r="AO19" s="46"/>
      <c r="AP19" s="46"/>
      <c r="AQ19" s="46"/>
      <c r="AR19" s="46"/>
      <c r="AS19" s="51"/>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row>
    <row r="20" spans="4:81" s="39" customFormat="true" ht="12" customHeight="true">
      <c r="D20" s="46"/>
      <c r="E20" s="46"/>
      <c r="F20" s="46"/>
      <c r="G20" s="46"/>
      <c r="H20" s="46"/>
      <c r="I20" s="46"/>
      <c r="J20" s="46"/>
      <c r="K20" s="46"/>
      <c r="L20" s="46"/>
      <c r="M20" s="46"/>
      <c r="N20" s="46"/>
      <c r="O20" s="46"/>
      <c r="P20" s="46"/>
      <c r="Q20" s="46"/>
      <c r="R20" s="46"/>
      <c r="S20" s="46"/>
      <c r="T20" s="51"/>
      <c r="U20" s="46"/>
      <c r="V20" s="46"/>
      <c r="W20" s="46"/>
      <c r="X20" s="46"/>
      <c r="Y20" s="46"/>
      <c r="Z20" s="51"/>
      <c r="AA20" s="51"/>
      <c r="AB20" s="51"/>
      <c r="AC20" s="51"/>
      <c r="AD20" s="46"/>
      <c r="AE20" s="51"/>
      <c r="AF20" s="46"/>
      <c r="AG20" s="46"/>
      <c r="AH20" s="51"/>
      <c r="AI20" s="46"/>
      <c r="AJ20" s="46"/>
      <c r="AK20" s="46"/>
      <c r="AL20" s="46"/>
      <c r="AM20" s="46"/>
      <c r="AN20" s="46"/>
      <c r="AO20" s="46"/>
      <c r="AP20" s="46"/>
      <c r="AQ20" s="46"/>
      <c r="AR20" s="46"/>
      <c r="AS20" s="51"/>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row>
    <row r="21" spans="4:81" s="39" customFormat="true" ht="12" customHeight="true">
      <c r="D21" s="46"/>
      <c r="E21" s="46"/>
      <c r="F21" s="46"/>
      <c r="G21" s="46"/>
      <c r="H21" s="46"/>
      <c r="I21" s="46"/>
      <c r="J21" s="46"/>
      <c r="K21" s="46"/>
      <c r="L21" s="46"/>
      <c r="M21" s="46"/>
      <c r="N21" s="46"/>
      <c r="O21" s="46"/>
      <c r="P21" s="46"/>
      <c r="Q21" s="46"/>
      <c r="R21" s="46"/>
      <c r="S21" s="46"/>
      <c r="T21" s="51"/>
      <c r="U21" s="46"/>
      <c r="V21" s="46"/>
      <c r="W21" s="46"/>
      <c r="X21" s="46"/>
      <c r="Y21" s="46"/>
      <c r="Z21" s="51"/>
      <c r="AA21" s="51"/>
      <c r="AB21" s="51"/>
      <c r="AC21" s="51"/>
      <c r="AD21" s="46"/>
      <c r="AE21" s="51"/>
      <c r="AF21" s="46"/>
      <c r="AG21" s="46"/>
      <c r="AH21" s="51"/>
      <c r="AI21" s="46"/>
      <c r="AJ21" s="46"/>
      <c r="AK21" s="46"/>
      <c r="AL21" s="46"/>
      <c r="AM21" s="46"/>
      <c r="AN21" s="46"/>
      <c r="AO21" s="46"/>
      <c r="AP21" s="46"/>
      <c r="AQ21" s="46"/>
      <c r="AR21" s="46"/>
      <c r="AS21" s="51"/>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row>
    <row r="22" spans="4:81" s="39" customFormat="true" ht="12" customHeight="true">
      <c r="D22" s="46"/>
      <c r="E22" s="46"/>
      <c r="F22" s="46"/>
      <c r="G22" s="46"/>
      <c r="H22" s="46"/>
      <c r="I22" s="46"/>
      <c r="J22" s="46"/>
      <c r="K22" s="46"/>
      <c r="L22" s="46"/>
      <c r="M22" s="46"/>
      <c r="N22" s="46"/>
      <c r="O22" s="46"/>
      <c r="P22" s="46"/>
      <c r="Q22" s="46"/>
      <c r="R22" s="46"/>
      <c r="S22" s="46"/>
      <c r="T22" s="51"/>
      <c r="U22" s="46"/>
      <c r="V22" s="46"/>
      <c r="W22" s="46"/>
      <c r="X22" s="46"/>
      <c r="Y22" s="46"/>
      <c r="Z22" s="51"/>
      <c r="AA22" s="51"/>
      <c r="AB22" s="51"/>
      <c r="AC22" s="51"/>
      <c r="AD22" s="46"/>
      <c r="AE22" s="51"/>
      <c r="AF22" s="46"/>
      <c r="AG22" s="46"/>
      <c r="AH22" s="51"/>
      <c r="AI22" s="46"/>
      <c r="AJ22" s="46"/>
      <c r="AK22" s="46"/>
      <c r="AL22" s="46"/>
      <c r="AM22" s="46"/>
      <c r="AN22" s="46"/>
      <c r="AO22" s="46"/>
      <c r="AP22" s="46"/>
      <c r="AQ22" s="46"/>
      <c r="AR22" s="46"/>
      <c r="AS22" s="51"/>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row>
    <row r="23" spans="4:81" s="39" customFormat="true" ht="12" customHeight="true">
      <c r="D23" s="46"/>
      <c r="E23" s="46"/>
      <c r="F23" s="46"/>
      <c r="G23" s="46"/>
      <c r="H23" s="46"/>
      <c r="I23" s="46"/>
      <c r="J23" s="46"/>
      <c r="K23" s="46"/>
      <c r="L23" s="46"/>
      <c r="M23" s="46"/>
      <c r="N23" s="46"/>
      <c r="O23" s="46"/>
      <c r="P23" s="46"/>
      <c r="Q23" s="46"/>
      <c r="R23" s="46"/>
      <c r="S23" s="46"/>
      <c r="T23" s="51"/>
      <c r="U23" s="46"/>
      <c r="V23" s="46"/>
      <c r="W23" s="46"/>
      <c r="X23" s="46"/>
      <c r="Y23" s="46"/>
      <c r="Z23" s="51"/>
      <c r="AA23" s="51"/>
      <c r="AB23" s="51"/>
      <c r="AC23" s="51"/>
      <c r="AD23" s="46"/>
      <c r="AE23" s="51"/>
      <c r="AF23" s="46"/>
      <c r="AG23" s="46"/>
      <c r="AH23" s="51"/>
      <c r="AI23" s="46"/>
      <c r="AJ23" s="46"/>
      <c r="AK23" s="46"/>
      <c r="AL23" s="46"/>
      <c r="AM23" s="46"/>
      <c r="AN23" s="46"/>
      <c r="AO23" s="46"/>
      <c r="AP23" s="46"/>
      <c r="AQ23" s="46"/>
      <c r="AR23" s="46"/>
      <c r="AS23" s="51"/>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row>
    <row r="24" spans="4:81" s="39" customFormat="true" ht="12" customHeight="true">
      <c r="D24" s="46"/>
      <c r="E24" s="46"/>
      <c r="F24" s="46"/>
      <c r="G24" s="46"/>
      <c r="H24" s="46"/>
      <c r="I24" s="46"/>
      <c r="J24" s="46"/>
      <c r="K24" s="46"/>
      <c r="L24" s="46"/>
      <c r="M24" s="46"/>
      <c r="N24" s="46"/>
      <c r="O24" s="46"/>
      <c r="P24" s="46"/>
      <c r="Q24" s="46"/>
      <c r="R24" s="46"/>
      <c r="S24" s="46"/>
      <c r="T24" s="51"/>
      <c r="U24" s="46"/>
      <c r="V24" s="46"/>
      <c r="W24" s="46"/>
      <c r="X24" s="46"/>
      <c r="Y24" s="46"/>
      <c r="Z24" s="51"/>
      <c r="AA24" s="51"/>
      <c r="AB24" s="51"/>
      <c r="AC24" s="51"/>
      <c r="AD24" s="46"/>
      <c r="AE24" s="51"/>
      <c r="AF24" s="46"/>
      <c r="AG24" s="46"/>
      <c r="AH24" s="51"/>
      <c r="AI24" s="46"/>
      <c r="AJ24" s="46"/>
      <c r="AK24" s="46"/>
      <c r="AL24" s="46"/>
      <c r="AM24" s="46"/>
      <c r="AN24" s="46"/>
      <c r="AO24" s="46"/>
      <c r="AP24" s="46"/>
      <c r="AQ24" s="46"/>
      <c r="AR24" s="46"/>
      <c r="AS24" s="51"/>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row>
    <row r="25" spans="4:81" s="39" customFormat="true" ht="12" customHeight="true">
      <c r="D25" s="46"/>
      <c r="E25" s="46"/>
      <c r="F25" s="46"/>
      <c r="G25" s="46"/>
      <c r="H25" s="46"/>
      <c r="I25" s="46"/>
      <c r="J25" s="46"/>
      <c r="K25" s="46"/>
      <c r="L25" s="46"/>
      <c r="M25" s="46"/>
      <c r="N25" s="46"/>
      <c r="O25" s="46"/>
      <c r="P25" s="46"/>
      <c r="Q25" s="46"/>
      <c r="R25" s="46"/>
      <c r="S25" s="46"/>
      <c r="T25" s="51"/>
      <c r="U25" s="46"/>
      <c r="V25" s="46"/>
      <c r="W25" s="46"/>
      <c r="X25" s="46"/>
      <c r="Y25" s="46"/>
      <c r="Z25" s="51"/>
      <c r="AA25" s="51"/>
      <c r="AB25" s="51"/>
      <c r="AC25" s="51"/>
      <c r="AD25" s="46"/>
      <c r="AE25" s="51"/>
      <c r="AF25" s="46"/>
      <c r="AG25" s="46"/>
      <c r="AH25" s="51"/>
      <c r="AI25" s="46"/>
      <c r="AJ25" s="46"/>
      <c r="AK25" s="46"/>
      <c r="AL25" s="46"/>
      <c r="AM25" s="46"/>
      <c r="AN25" s="46"/>
      <c r="AO25" s="46"/>
      <c r="AP25" s="46"/>
      <c r="AQ25" s="46"/>
      <c r="AR25" s="46"/>
      <c r="AS25" s="51"/>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row>
    <row r="26" spans="4:81" s="39" customFormat="true" ht="12" customHeight="true">
      <c r="D26" s="46"/>
      <c r="E26" s="46"/>
      <c r="F26" s="46"/>
      <c r="G26" s="46"/>
      <c r="H26" s="46"/>
      <c r="I26" s="46"/>
      <c r="J26" s="46"/>
      <c r="K26" s="46"/>
      <c r="L26" s="46"/>
      <c r="M26" s="46"/>
      <c r="N26" s="46"/>
      <c r="O26" s="46"/>
      <c r="P26" s="46"/>
      <c r="Q26" s="46"/>
      <c r="R26" s="46"/>
      <c r="S26" s="46"/>
      <c r="T26" s="51"/>
      <c r="U26" s="46"/>
      <c r="V26" s="46"/>
      <c r="W26" s="46"/>
      <c r="X26" s="46"/>
      <c r="Y26" s="46"/>
      <c r="Z26" s="51"/>
      <c r="AA26" s="51"/>
      <c r="AB26" s="51"/>
      <c r="AC26" s="51"/>
      <c r="AD26" s="46"/>
      <c r="AE26" s="51"/>
      <c r="AF26" s="46"/>
      <c r="AG26" s="46"/>
      <c r="AH26" s="51"/>
      <c r="AI26" s="46"/>
      <c r="AJ26" s="46"/>
      <c r="AK26" s="46"/>
      <c r="AL26" s="46"/>
      <c r="AM26" s="46"/>
      <c r="AN26" s="46"/>
      <c r="AO26" s="46"/>
      <c r="AP26" s="46"/>
      <c r="AQ26" s="46"/>
      <c r="AR26" s="46"/>
      <c r="AS26" s="51"/>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row>
    <row r="27" spans="4:81" s="39" customFormat="true" ht="12" customHeight="true">
      <c r="D27" s="46"/>
      <c r="E27" s="46"/>
      <c r="F27" s="46"/>
      <c r="G27" s="46"/>
      <c r="H27" s="46"/>
      <c r="I27" s="46"/>
      <c r="J27" s="46"/>
      <c r="K27" s="46"/>
      <c r="L27" s="46"/>
      <c r="M27" s="46"/>
      <c r="N27" s="46"/>
      <c r="O27" s="46"/>
      <c r="P27" s="46"/>
      <c r="Q27" s="46"/>
      <c r="R27" s="46"/>
      <c r="S27" s="46"/>
      <c r="T27" s="51"/>
      <c r="U27" s="46"/>
      <c r="V27" s="46"/>
      <c r="W27" s="46"/>
      <c r="X27" s="46"/>
      <c r="Y27" s="46"/>
      <c r="Z27" s="51"/>
      <c r="AA27" s="51"/>
      <c r="AB27" s="51"/>
      <c r="AC27" s="51"/>
      <c r="AD27" s="46"/>
      <c r="AE27" s="51"/>
      <c r="AF27" s="46"/>
      <c r="AG27" s="46"/>
      <c r="AH27" s="51"/>
      <c r="AI27" s="46"/>
      <c r="AJ27" s="46"/>
      <c r="AK27" s="46"/>
      <c r="AL27" s="46"/>
      <c r="AM27" s="46"/>
      <c r="AN27" s="46"/>
      <c r="AO27" s="46"/>
      <c r="AP27" s="46"/>
      <c r="AQ27" s="46"/>
      <c r="AR27" s="46"/>
      <c r="AS27" s="51"/>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row>
    <row r="28" spans="4:81" s="39" customFormat="true" ht="12" customHeight="true">
      <c r="D28" s="46"/>
      <c r="E28" s="46"/>
      <c r="F28" s="46"/>
      <c r="G28" s="46"/>
      <c r="H28" s="46"/>
      <c r="I28" s="46"/>
      <c r="J28" s="46"/>
      <c r="K28" s="46"/>
      <c r="L28" s="46"/>
      <c r="M28" s="46"/>
      <c r="N28" s="46"/>
      <c r="O28" s="46"/>
      <c r="P28" s="46"/>
      <c r="Q28" s="46"/>
      <c r="R28" s="46"/>
      <c r="S28" s="46"/>
      <c r="T28" s="51"/>
      <c r="U28" s="46"/>
      <c r="V28" s="46"/>
      <c r="W28" s="46"/>
      <c r="X28" s="46"/>
      <c r="Y28" s="46"/>
      <c r="Z28" s="51"/>
      <c r="AA28" s="51"/>
      <c r="AB28" s="51"/>
      <c r="AC28" s="51"/>
      <c r="AD28" s="46"/>
      <c r="AE28" s="51"/>
      <c r="AF28" s="46"/>
      <c r="AG28" s="46"/>
      <c r="AH28" s="51"/>
      <c r="AI28" s="46"/>
      <c r="AJ28" s="46"/>
      <c r="AK28" s="46"/>
      <c r="AL28" s="46"/>
      <c r="AM28" s="46"/>
      <c r="AN28" s="46"/>
      <c r="AO28" s="46"/>
      <c r="AP28" s="46"/>
      <c r="AQ28" s="46"/>
      <c r="AR28" s="46"/>
      <c r="AS28" s="51"/>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row>
    <row r="29" spans="2:82" s="39" customFormat="true" ht="12" customHeight="true">
      <c r="B29" s="39" t="s">
        <v>34189</v>
      </c>
      <c r="D29" s="39">
        <f t="shared" ref="D29:BO29" si="0">+SUM(D11:D28)</f>
        <v>56516.82</v>
      </c>
      <c r="E29" s="39">
        <f t="shared" si="0"/>
        <v>477.43</v>
      </c>
      <c r="F29" s="39">
        <f t="shared" si="0"/>
        <v>5798.51</v>
      </c>
      <c r="G29" s="39">
        <f t="shared" si="0"/>
        <v>32838.6</v>
      </c>
      <c r="H29" s="39">
        <f t="shared" si="0"/>
        <v>0</v>
      </c>
      <c r="I29" s="39">
        <f t="shared" si="0"/>
        <v>0</v>
      </c>
      <c r="J29" s="39">
        <f t="shared" si="0"/>
        <v>608093.61</v>
      </c>
      <c r="K29" s="39">
        <f t="shared" si="0"/>
        <v>41218.41</v>
      </c>
      <c r="L29" s="39">
        <f t="shared" si="0"/>
        <v>0</v>
      </c>
      <c r="M29" s="39">
        <f t="shared" si="0"/>
        <v>21076.78</v>
      </c>
      <c r="N29" s="39">
        <f t="shared" si="0"/>
        <v>20937.44</v>
      </c>
      <c r="O29" s="39">
        <f t="shared" si="0"/>
        <v>0</v>
      </c>
      <c r="P29" s="39">
        <f t="shared" si="0"/>
        <v>0</v>
      </c>
      <c r="Q29" s="39">
        <f t="shared" si="0"/>
        <v>0</v>
      </c>
      <c r="R29" s="39">
        <f t="shared" si="0"/>
        <v>0</v>
      </c>
      <c r="S29" s="39">
        <f t="shared" si="0"/>
        <v>9876.13</v>
      </c>
      <c r="T29" s="51">
        <f t="shared" si="0"/>
        <v>0</v>
      </c>
      <c r="U29" s="39">
        <f t="shared" si="0"/>
        <v>1617.95</v>
      </c>
      <c r="V29" s="39">
        <f t="shared" si="0"/>
        <v>27484.73</v>
      </c>
      <c r="W29" s="39">
        <f t="shared" si="0"/>
        <v>1294.36</v>
      </c>
      <c r="X29" s="39">
        <f t="shared" si="0"/>
        <v>20846.86</v>
      </c>
      <c r="Y29" s="39">
        <f t="shared" si="0"/>
        <v>9064.79</v>
      </c>
      <c r="Z29" s="51">
        <f t="shared" si="0"/>
        <v>0</v>
      </c>
      <c r="AA29" s="51">
        <f t="shared" si="0"/>
        <v>0</v>
      </c>
      <c r="AB29" s="51">
        <f t="shared" si="0"/>
        <v>0</v>
      </c>
      <c r="AC29" s="51">
        <f t="shared" si="0"/>
        <v>0</v>
      </c>
      <c r="AD29" s="39">
        <f t="shared" si="0"/>
        <v>0</v>
      </c>
      <c r="AE29" s="51">
        <f t="shared" si="0"/>
        <v>0</v>
      </c>
      <c r="AF29" s="39">
        <f t="shared" si="0"/>
        <v>21304.71</v>
      </c>
      <c r="AG29" s="39">
        <f t="shared" si="0"/>
        <v>10020.37</v>
      </c>
      <c r="AH29" s="51">
        <f t="shared" si="0"/>
        <v>0</v>
      </c>
      <c r="AI29" s="39">
        <f t="shared" si="0"/>
        <v>0</v>
      </c>
      <c r="AJ29" s="39">
        <f t="shared" si="0"/>
        <v>6702.83</v>
      </c>
      <c r="AK29" s="39">
        <f t="shared" si="0"/>
        <v>8803.83</v>
      </c>
      <c r="AL29" s="39">
        <f t="shared" si="0"/>
        <v>0</v>
      </c>
      <c r="AM29" s="39">
        <f t="shared" si="0"/>
        <v>0</v>
      </c>
      <c r="AN29" s="39">
        <f t="shared" si="0"/>
        <v>0</v>
      </c>
      <c r="AO29" s="39">
        <f t="shared" si="0"/>
        <v>53831.22</v>
      </c>
      <c r="AP29" s="39">
        <f t="shared" si="0"/>
        <v>0</v>
      </c>
      <c r="AQ29" s="39">
        <f t="shared" si="0"/>
        <v>0</v>
      </c>
      <c r="AR29" s="39">
        <f t="shared" si="0"/>
        <v>0</v>
      </c>
      <c r="AS29" s="51">
        <f t="shared" si="0"/>
        <v>0</v>
      </c>
      <c r="AT29" s="39">
        <f t="shared" si="0"/>
        <v>0</v>
      </c>
      <c r="AU29" s="39">
        <f t="shared" si="0"/>
        <v>193802.55</v>
      </c>
      <c r="AV29" s="39">
        <f t="shared" si="0"/>
        <v>0</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3302.79</v>
      </c>
      <c r="BG29" s="39">
        <f t="shared" si="0"/>
        <v>0</v>
      </c>
      <c r="BH29" s="39">
        <f t="shared" si="0"/>
        <v>0</v>
      </c>
      <c r="BI29" s="39">
        <f t="shared" si="0"/>
        <v>0</v>
      </c>
      <c r="BJ29" s="39">
        <f t="shared" si="0"/>
        <v>0</v>
      </c>
      <c r="BK29" s="39">
        <f t="shared" si="0"/>
        <v>0.01</v>
      </c>
      <c r="BL29" s="39">
        <f t="shared" si="0"/>
        <v>0</v>
      </c>
      <c r="BM29" s="39">
        <f t="shared" si="0"/>
        <v>0</v>
      </c>
      <c r="BN29" s="39">
        <f t="shared" si="0"/>
        <v>0</v>
      </c>
      <c r="BO29" s="39">
        <f t="shared" si="0"/>
        <v>0</v>
      </c>
      <c r="BP29" s="39">
        <f t="shared" ref="BP29:CC29" si="1">+SUM(BP11:BP28)</f>
        <v>0</v>
      </c>
      <c r="BQ29" s="39">
        <f t="shared" si="1"/>
        <v>0</v>
      </c>
      <c r="BR29" s="39">
        <f t="shared" si="1"/>
        <v>0</v>
      </c>
      <c r="BS29" s="39">
        <f t="shared" si="1"/>
        <v>0</v>
      </c>
      <c r="BT29" s="39">
        <f t="shared" si="1"/>
        <v>0</v>
      </c>
      <c r="BU29" s="39">
        <f t="shared" si="1"/>
        <v>0</v>
      </c>
      <c r="BV29" s="39">
        <f t="shared" si="1"/>
        <v>0</v>
      </c>
      <c r="BW29" s="39">
        <f t="shared" si="1"/>
        <v>0</v>
      </c>
      <c r="BX29" s="39">
        <f t="shared" si="1"/>
        <v>0</v>
      </c>
      <c r="BY29" s="39">
        <f t="shared" si="1"/>
        <v>0</v>
      </c>
      <c r="BZ29" s="39">
        <f t="shared" si="1"/>
        <v>46000</v>
      </c>
      <c r="CA29" s="39">
        <f t="shared" si="1"/>
        <v>0</v>
      </c>
      <c r="CB29" s="39">
        <f t="shared" si="1"/>
        <v>0</v>
      </c>
      <c r="CC29" s="39">
        <f t="shared" si="1"/>
        <v>0</v>
      </c>
      <c r="CD29" s="39">
        <f>SUM(D29:CC29)</f>
        <v>1200910.73</v>
      </c>
    </row>
    <row r="30" spans="20:45" s="39" customFormat="true" ht="12" customHeight="true">
      <c r="T30" s="51"/>
      <c r="Z30" s="51"/>
      <c r="AA30" s="51"/>
      <c r="AB30" s="51"/>
      <c r="AC30" s="51"/>
      <c r="AE30" s="51"/>
      <c r="AH30" s="51"/>
      <c r="AS30" s="51"/>
    </row>
    <row r="31" spans="2:45" s="39" customFormat="true" ht="12" customHeight="true">
      <c r="B31" s="39" t="s">
        <v>34190</v>
      </c>
      <c r="T31" s="51"/>
      <c r="Z31" s="51"/>
      <c r="AA31" s="51"/>
      <c r="AB31" s="51"/>
      <c r="AC31" s="51"/>
      <c r="AE31" s="51"/>
      <c r="AH31" s="51"/>
      <c r="AS31" s="51"/>
    </row>
    <row r="32" spans="4:82" s="39" customFormat="true" ht="12" customHeight="true">
      <c r="D32" s="46"/>
      <c r="E32" s="46">
        <v>31211.88</v>
      </c>
      <c r="F32" s="46">
        <v>38640.83</v>
      </c>
      <c r="G32" s="46"/>
      <c r="H32" s="46">
        <v>30948.89</v>
      </c>
      <c r="I32" s="46"/>
      <c r="J32" s="46"/>
      <c r="K32" s="46">
        <v>770119.84</v>
      </c>
      <c r="L32" s="46"/>
      <c r="M32" s="46"/>
      <c r="N32" s="46">
        <v>16192.51</v>
      </c>
      <c r="O32" s="46">
        <v>83882.0400000001</v>
      </c>
      <c r="P32" s="46">
        <v>65792.39</v>
      </c>
      <c r="Q32" s="46">
        <v>5913.23</v>
      </c>
      <c r="R32" s="46">
        <v>2060.6</v>
      </c>
      <c r="S32" s="46"/>
      <c r="T32" s="51"/>
      <c r="U32" s="46">
        <v>49229.48</v>
      </c>
      <c r="V32" s="46"/>
      <c r="W32" s="46">
        <v>49935.08</v>
      </c>
      <c r="X32" s="46"/>
      <c r="Y32" s="46"/>
      <c r="Z32" s="51"/>
      <c r="AA32" s="51"/>
      <c r="AB32" s="51"/>
      <c r="AC32" s="51"/>
      <c r="AD32" s="46">
        <v>3123.2</v>
      </c>
      <c r="AE32" s="51"/>
      <c r="AF32" s="46">
        <v>286198.43</v>
      </c>
      <c r="AG32" s="46">
        <v>27178.24</v>
      </c>
      <c r="AH32" s="51"/>
      <c r="AI32" s="46">
        <v>156553.75</v>
      </c>
      <c r="AJ32" s="46">
        <v>21994.74</v>
      </c>
      <c r="AK32" s="46">
        <v>7807.83</v>
      </c>
      <c r="AL32" s="46"/>
      <c r="AM32" s="46"/>
      <c r="AN32" s="46">
        <v>3400</v>
      </c>
      <c r="AO32" s="46">
        <v>10550</v>
      </c>
      <c r="AP32" s="46">
        <v>6000</v>
      </c>
      <c r="AQ32" s="46">
        <v>6000</v>
      </c>
      <c r="AR32" s="46">
        <v>6000</v>
      </c>
      <c r="AS32" s="51"/>
      <c r="AT32" s="46">
        <v>64831.22</v>
      </c>
      <c r="AU32" s="46">
        <v>107783.89</v>
      </c>
      <c r="AV32" s="46">
        <v>16462.14</v>
      </c>
      <c r="AW32" s="46">
        <v>7359.98</v>
      </c>
      <c r="AX32" s="46">
        <v>56399.79</v>
      </c>
      <c r="AY32" s="46"/>
      <c r="AZ32" s="46">
        <v>89143.87</v>
      </c>
      <c r="BA32" s="46"/>
      <c r="BB32" s="46">
        <v>1509.54</v>
      </c>
      <c r="BC32" s="46">
        <v>11917.15</v>
      </c>
      <c r="BD32" s="46"/>
      <c r="BE32" s="46">
        <v>23519.45</v>
      </c>
      <c r="BF32" s="46">
        <v>52945.75</v>
      </c>
      <c r="BG32" s="46">
        <v>5432.7</v>
      </c>
      <c r="BH32" s="46">
        <v>2992.73</v>
      </c>
      <c r="BI32" s="46">
        <v>6259.01</v>
      </c>
      <c r="BJ32" s="46">
        <v>17065.9</v>
      </c>
      <c r="BK32" s="46">
        <v>9243.94</v>
      </c>
      <c r="BL32" s="46">
        <v>11532.49</v>
      </c>
      <c r="BM32" s="46">
        <v>570755.82</v>
      </c>
      <c r="BN32" s="46">
        <v>6064.13</v>
      </c>
      <c r="BO32" s="46">
        <v>104528.8</v>
      </c>
      <c r="BP32" s="46">
        <v>2866.61</v>
      </c>
      <c r="BQ32" s="46">
        <v>28228.77</v>
      </c>
      <c r="BR32" s="46">
        <v>3379.19</v>
      </c>
      <c r="BS32" s="46">
        <v>329543.91</v>
      </c>
      <c r="BT32" s="46">
        <v>9539.06</v>
      </c>
      <c r="BU32" s="46">
        <v>1858.47</v>
      </c>
      <c r="BV32" s="46">
        <v>1698.67</v>
      </c>
      <c r="BW32" s="46">
        <v>886.07</v>
      </c>
      <c r="BX32" s="46">
        <v>1096.24</v>
      </c>
      <c r="BY32" s="46">
        <v>1923.87</v>
      </c>
      <c r="BZ32" s="46"/>
      <c r="CA32" s="46"/>
      <c r="CB32" s="46">
        <v>800</v>
      </c>
      <c r="CC32" s="46">
        <v>19816.11</v>
      </c>
      <c r="CD32" s="39">
        <f>SUM(D32:CC32)</f>
        <v>3246118.23</v>
      </c>
    </row>
    <row r="33" spans="4:81" s="39" customFormat="true" ht="12" customHeight="true">
      <c r="D33" s="46"/>
      <c r="E33" s="46"/>
      <c r="F33" s="46"/>
      <c r="G33" s="46"/>
      <c r="H33" s="46"/>
      <c r="I33" s="46"/>
      <c r="J33" s="46"/>
      <c r="K33" s="46"/>
      <c r="L33" s="46"/>
      <c r="M33" s="46"/>
      <c r="N33" s="46"/>
      <c r="O33" s="46"/>
      <c r="P33" s="46"/>
      <c r="Q33" s="46"/>
      <c r="R33" s="46"/>
      <c r="S33" s="46"/>
      <c r="T33" s="51"/>
      <c r="U33" s="46"/>
      <c r="V33" s="46"/>
      <c r="W33" s="46"/>
      <c r="X33" s="46"/>
      <c r="Y33" s="46"/>
      <c r="Z33" s="51"/>
      <c r="AA33" s="51"/>
      <c r="AB33" s="51"/>
      <c r="AC33" s="51"/>
      <c r="AD33" s="46"/>
      <c r="AE33" s="51"/>
      <c r="AF33" s="46"/>
      <c r="AG33" s="46"/>
      <c r="AH33" s="51"/>
      <c r="AI33" s="46"/>
      <c r="AJ33" s="46"/>
      <c r="AK33" s="46"/>
      <c r="AL33" s="46"/>
      <c r="AM33" s="46"/>
      <c r="AN33" s="46"/>
      <c r="AO33" s="46"/>
      <c r="AP33" s="46"/>
      <c r="AQ33" s="46"/>
      <c r="AR33" s="46"/>
      <c r="AS33" s="51"/>
      <c r="AT33" s="46"/>
      <c r="AU33" s="46"/>
      <c r="AV33" s="46"/>
      <c r="AW33" s="46"/>
      <c r="AX33" s="46"/>
      <c r="AY33" s="46"/>
      <c r="AZ33" s="46"/>
      <c r="BA33" s="46"/>
      <c r="BB33" s="46"/>
      <c r="BC33" s="46"/>
      <c r="BD33" s="46"/>
      <c r="BE33" s="46"/>
      <c r="BF33" s="46"/>
      <c r="BG33" s="46">
        <v>-250</v>
      </c>
      <c r="BH33" s="46"/>
      <c r="BI33" s="46"/>
      <c r="BJ33" s="46"/>
      <c r="BK33" s="46"/>
      <c r="BL33" s="46"/>
      <c r="BM33" s="46"/>
      <c r="BN33" s="46"/>
      <c r="BO33" s="46"/>
      <c r="BP33" s="46"/>
      <c r="BQ33" s="46"/>
      <c r="BR33" s="46"/>
      <c r="BS33" s="46"/>
      <c r="BT33" s="46"/>
      <c r="BU33" s="46"/>
      <c r="BV33" s="46"/>
      <c r="BW33" s="46"/>
      <c r="BX33" s="46"/>
      <c r="BY33" s="46"/>
      <c r="BZ33" s="46"/>
      <c r="CA33" s="46"/>
      <c r="CB33" s="46"/>
      <c r="CC33" s="46"/>
    </row>
    <row r="34" spans="4:81" s="39" customFormat="true" ht="12" customHeight="true">
      <c r="D34" s="46"/>
      <c r="E34" s="46"/>
      <c r="F34" s="46"/>
      <c r="G34" s="46"/>
      <c r="H34" s="46"/>
      <c r="I34" s="46"/>
      <c r="J34" s="46"/>
      <c r="K34" s="46"/>
      <c r="L34" s="46"/>
      <c r="M34" s="46"/>
      <c r="N34" s="46"/>
      <c r="O34" s="46"/>
      <c r="P34" s="46"/>
      <c r="Q34" s="46"/>
      <c r="R34" s="46"/>
      <c r="S34" s="46"/>
      <c r="T34" s="51"/>
      <c r="U34" s="46"/>
      <c r="V34" s="46"/>
      <c r="W34" s="46"/>
      <c r="X34" s="46"/>
      <c r="Y34" s="46"/>
      <c r="Z34" s="51"/>
      <c r="AA34" s="51"/>
      <c r="AB34" s="51"/>
      <c r="AC34" s="51"/>
      <c r="AD34" s="46"/>
      <c r="AE34" s="51"/>
      <c r="AF34" s="46"/>
      <c r="AG34" s="46"/>
      <c r="AH34" s="51"/>
      <c r="AI34" s="46"/>
      <c r="AJ34" s="46"/>
      <c r="AK34" s="46"/>
      <c r="AL34" s="46"/>
      <c r="AM34" s="46"/>
      <c r="AN34" s="46"/>
      <c r="AO34" s="46"/>
      <c r="AP34" s="46"/>
      <c r="AQ34" s="46"/>
      <c r="AR34" s="46"/>
      <c r="AS34" s="51"/>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row>
    <row r="35" spans="4:81" s="39" customFormat="true" ht="12" customHeight="true">
      <c r="D35" s="46"/>
      <c r="E35" s="46"/>
      <c r="F35" s="46"/>
      <c r="G35" s="46"/>
      <c r="H35" s="46"/>
      <c r="I35" s="46"/>
      <c r="J35" s="46"/>
      <c r="K35" s="46"/>
      <c r="L35" s="46"/>
      <c r="M35" s="46"/>
      <c r="N35" s="46"/>
      <c r="O35" s="46"/>
      <c r="P35" s="46"/>
      <c r="Q35" s="46"/>
      <c r="R35" s="46"/>
      <c r="S35" s="46"/>
      <c r="T35" s="51"/>
      <c r="U35" s="46"/>
      <c r="V35" s="46"/>
      <c r="W35" s="46"/>
      <c r="X35" s="46"/>
      <c r="Y35" s="46"/>
      <c r="Z35" s="51"/>
      <c r="AA35" s="51"/>
      <c r="AB35" s="51"/>
      <c r="AC35" s="51"/>
      <c r="AD35" s="46"/>
      <c r="AE35" s="51"/>
      <c r="AF35" s="46"/>
      <c r="AG35" s="46"/>
      <c r="AH35" s="51"/>
      <c r="AI35" s="46"/>
      <c r="AJ35" s="46"/>
      <c r="AK35" s="46"/>
      <c r="AL35" s="46"/>
      <c r="AM35" s="46"/>
      <c r="AN35" s="46"/>
      <c r="AO35" s="46"/>
      <c r="AP35" s="46"/>
      <c r="AQ35" s="46"/>
      <c r="AR35" s="46"/>
      <c r="AS35" s="51"/>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row>
    <row r="36" spans="4:81" s="39" customFormat="true" ht="12" customHeight="true">
      <c r="D36" s="46"/>
      <c r="E36" s="46"/>
      <c r="F36" s="46"/>
      <c r="G36" s="46"/>
      <c r="H36" s="46"/>
      <c r="I36" s="46"/>
      <c r="J36" s="46"/>
      <c r="K36" s="46"/>
      <c r="L36" s="46"/>
      <c r="M36" s="46"/>
      <c r="N36" s="46"/>
      <c r="O36" s="46"/>
      <c r="P36" s="46"/>
      <c r="Q36" s="46"/>
      <c r="R36" s="46"/>
      <c r="S36" s="46"/>
      <c r="T36" s="51"/>
      <c r="U36" s="46"/>
      <c r="V36" s="46"/>
      <c r="W36" s="46"/>
      <c r="X36" s="46"/>
      <c r="Y36" s="46"/>
      <c r="Z36" s="51"/>
      <c r="AA36" s="51"/>
      <c r="AB36" s="51"/>
      <c r="AC36" s="51"/>
      <c r="AD36" s="46"/>
      <c r="AE36" s="51"/>
      <c r="AF36" s="46"/>
      <c r="AG36" s="46"/>
      <c r="AH36" s="51"/>
      <c r="AI36" s="46"/>
      <c r="AJ36" s="46"/>
      <c r="AK36" s="46"/>
      <c r="AL36" s="46"/>
      <c r="AM36" s="46"/>
      <c r="AN36" s="46"/>
      <c r="AO36" s="46"/>
      <c r="AP36" s="46"/>
      <c r="AQ36" s="46"/>
      <c r="AR36" s="46"/>
      <c r="AS36" s="51"/>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row>
    <row r="37" spans="4:81" s="39" customFormat="true" ht="12" customHeight="true">
      <c r="D37" s="46"/>
      <c r="E37" s="46"/>
      <c r="F37" s="46"/>
      <c r="G37" s="46"/>
      <c r="H37" s="46"/>
      <c r="I37" s="46"/>
      <c r="J37" s="46"/>
      <c r="K37" s="46"/>
      <c r="L37" s="46"/>
      <c r="M37" s="46"/>
      <c r="N37" s="46"/>
      <c r="O37" s="46"/>
      <c r="P37" s="46"/>
      <c r="Q37" s="46"/>
      <c r="R37" s="46"/>
      <c r="S37" s="46"/>
      <c r="T37" s="51"/>
      <c r="U37" s="46"/>
      <c r="V37" s="46"/>
      <c r="W37" s="46"/>
      <c r="X37" s="46"/>
      <c r="Y37" s="46"/>
      <c r="Z37" s="51"/>
      <c r="AA37" s="51"/>
      <c r="AB37" s="51"/>
      <c r="AC37" s="51"/>
      <c r="AD37" s="46"/>
      <c r="AE37" s="51"/>
      <c r="AF37" s="46"/>
      <c r="AG37" s="46"/>
      <c r="AH37" s="51"/>
      <c r="AI37" s="46"/>
      <c r="AJ37" s="46"/>
      <c r="AK37" s="46"/>
      <c r="AL37" s="46"/>
      <c r="AM37" s="46"/>
      <c r="AN37" s="46"/>
      <c r="AO37" s="46"/>
      <c r="AP37" s="46"/>
      <c r="AQ37" s="46"/>
      <c r="AR37" s="46"/>
      <c r="AS37" s="51"/>
      <c r="AT37" s="46"/>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row>
    <row r="38" spans="4:81" s="39" customFormat="true" ht="12" customHeight="true">
      <c r="D38" s="46"/>
      <c r="E38" s="46"/>
      <c r="F38" s="46"/>
      <c r="G38" s="46"/>
      <c r="H38" s="46"/>
      <c r="I38" s="46"/>
      <c r="J38" s="46"/>
      <c r="K38" s="46"/>
      <c r="L38" s="46"/>
      <c r="M38" s="46"/>
      <c r="N38" s="46"/>
      <c r="O38" s="46"/>
      <c r="P38" s="46"/>
      <c r="Q38" s="46"/>
      <c r="R38" s="46"/>
      <c r="S38" s="46"/>
      <c r="T38" s="51"/>
      <c r="U38" s="46"/>
      <c r="V38" s="46"/>
      <c r="W38" s="46"/>
      <c r="X38" s="46"/>
      <c r="Y38" s="46"/>
      <c r="Z38" s="51"/>
      <c r="AA38" s="51"/>
      <c r="AB38" s="51"/>
      <c r="AC38" s="51"/>
      <c r="AD38" s="46"/>
      <c r="AE38" s="51"/>
      <c r="AF38" s="46"/>
      <c r="AG38" s="46"/>
      <c r="AH38" s="51"/>
      <c r="AI38" s="46"/>
      <c r="AJ38" s="46"/>
      <c r="AK38" s="46"/>
      <c r="AL38" s="46"/>
      <c r="AM38" s="46"/>
      <c r="AN38" s="46"/>
      <c r="AO38" s="46"/>
      <c r="AP38" s="46"/>
      <c r="AQ38" s="46"/>
      <c r="AR38" s="46"/>
      <c r="AS38" s="51"/>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row>
    <row r="39" spans="4:81" s="39" customFormat="true" ht="12" customHeight="true">
      <c r="D39" s="46"/>
      <c r="E39" s="46"/>
      <c r="F39" s="46"/>
      <c r="G39" s="46"/>
      <c r="H39" s="46"/>
      <c r="I39" s="46"/>
      <c r="J39" s="46"/>
      <c r="K39" s="46"/>
      <c r="L39" s="46"/>
      <c r="M39" s="46"/>
      <c r="N39" s="46"/>
      <c r="O39" s="46"/>
      <c r="P39" s="46"/>
      <c r="Q39" s="46"/>
      <c r="R39" s="46"/>
      <c r="S39" s="46"/>
      <c r="T39" s="51"/>
      <c r="U39" s="46"/>
      <c r="V39" s="46"/>
      <c r="W39" s="46"/>
      <c r="X39" s="46"/>
      <c r="Y39" s="46"/>
      <c r="Z39" s="51"/>
      <c r="AA39" s="51"/>
      <c r="AB39" s="51"/>
      <c r="AC39" s="51"/>
      <c r="AD39" s="46"/>
      <c r="AE39" s="51"/>
      <c r="AF39" s="46"/>
      <c r="AG39" s="46"/>
      <c r="AH39" s="51"/>
      <c r="AI39" s="46"/>
      <c r="AJ39" s="46"/>
      <c r="AK39" s="46"/>
      <c r="AL39" s="46"/>
      <c r="AM39" s="46"/>
      <c r="AN39" s="46"/>
      <c r="AO39" s="46"/>
      <c r="AP39" s="46"/>
      <c r="AQ39" s="46"/>
      <c r="AR39" s="46"/>
      <c r="AS39" s="51"/>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row>
    <row r="40" spans="4:81" s="39" customFormat="true" ht="12" customHeight="true">
      <c r="D40" s="46"/>
      <c r="E40" s="46"/>
      <c r="F40" s="46"/>
      <c r="G40" s="46"/>
      <c r="H40" s="46"/>
      <c r="I40" s="46"/>
      <c r="J40" s="46"/>
      <c r="K40" s="46"/>
      <c r="L40" s="46"/>
      <c r="M40" s="46"/>
      <c r="N40" s="46"/>
      <c r="O40" s="46"/>
      <c r="P40" s="46"/>
      <c r="Q40" s="46"/>
      <c r="R40" s="46"/>
      <c r="S40" s="46"/>
      <c r="T40" s="51"/>
      <c r="U40" s="46"/>
      <c r="V40" s="46"/>
      <c r="W40" s="46"/>
      <c r="X40" s="46"/>
      <c r="Y40" s="46"/>
      <c r="Z40" s="51"/>
      <c r="AA40" s="51"/>
      <c r="AB40" s="51"/>
      <c r="AC40" s="51"/>
      <c r="AD40" s="46"/>
      <c r="AE40" s="51"/>
      <c r="AF40" s="46"/>
      <c r="AG40" s="46"/>
      <c r="AH40" s="51"/>
      <c r="AI40" s="46"/>
      <c r="AJ40" s="46"/>
      <c r="AK40" s="46"/>
      <c r="AL40" s="46"/>
      <c r="AM40" s="46"/>
      <c r="AN40" s="46"/>
      <c r="AO40" s="46"/>
      <c r="AP40" s="46"/>
      <c r="AQ40" s="46"/>
      <c r="AR40" s="46"/>
      <c r="AS40" s="51"/>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row>
    <row r="41" spans="4:81" s="39" customFormat="true" ht="12" customHeight="true">
      <c r="D41" s="46"/>
      <c r="E41" s="46"/>
      <c r="F41" s="46"/>
      <c r="G41" s="46"/>
      <c r="H41" s="46"/>
      <c r="I41" s="46"/>
      <c r="J41" s="46"/>
      <c r="K41" s="46"/>
      <c r="L41" s="46"/>
      <c r="M41" s="46"/>
      <c r="N41" s="46"/>
      <c r="O41" s="46"/>
      <c r="P41" s="46"/>
      <c r="Q41" s="46"/>
      <c r="R41" s="46"/>
      <c r="S41" s="46"/>
      <c r="T41" s="51"/>
      <c r="U41" s="46"/>
      <c r="V41" s="46"/>
      <c r="W41" s="46"/>
      <c r="X41" s="46"/>
      <c r="Y41" s="46"/>
      <c r="Z41" s="51"/>
      <c r="AA41" s="51"/>
      <c r="AB41" s="51"/>
      <c r="AC41" s="51"/>
      <c r="AD41" s="46"/>
      <c r="AE41" s="51"/>
      <c r="AF41" s="46"/>
      <c r="AG41" s="46"/>
      <c r="AH41" s="51"/>
      <c r="AI41" s="46"/>
      <c r="AJ41" s="46"/>
      <c r="AK41" s="46"/>
      <c r="AL41" s="46"/>
      <c r="AM41" s="46"/>
      <c r="AN41" s="46"/>
      <c r="AO41" s="46"/>
      <c r="AP41" s="46"/>
      <c r="AQ41" s="46"/>
      <c r="AR41" s="46"/>
      <c r="AS41" s="51"/>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row>
    <row r="42" spans="4:81" s="39" customFormat="true" ht="12" customHeight="true">
      <c r="D42" s="46"/>
      <c r="E42" s="46"/>
      <c r="F42" s="46"/>
      <c r="G42" s="46"/>
      <c r="H42" s="46"/>
      <c r="I42" s="46"/>
      <c r="J42" s="46"/>
      <c r="K42" s="46"/>
      <c r="L42" s="46"/>
      <c r="M42" s="46"/>
      <c r="N42" s="46"/>
      <c r="O42" s="46"/>
      <c r="P42" s="46"/>
      <c r="Q42" s="46"/>
      <c r="R42" s="46"/>
      <c r="S42" s="46"/>
      <c r="T42" s="51"/>
      <c r="U42" s="46"/>
      <c r="V42" s="46"/>
      <c r="W42" s="46"/>
      <c r="X42" s="46"/>
      <c r="Y42" s="46"/>
      <c r="Z42" s="51"/>
      <c r="AA42" s="51"/>
      <c r="AB42" s="51"/>
      <c r="AC42" s="51"/>
      <c r="AD42" s="46"/>
      <c r="AE42" s="51"/>
      <c r="AF42" s="46"/>
      <c r="AG42" s="46"/>
      <c r="AH42" s="51"/>
      <c r="AI42" s="46"/>
      <c r="AJ42" s="46"/>
      <c r="AK42" s="46"/>
      <c r="AL42" s="46"/>
      <c r="AM42" s="46"/>
      <c r="AN42" s="46"/>
      <c r="AO42" s="46"/>
      <c r="AP42" s="46"/>
      <c r="AQ42" s="46"/>
      <c r="AR42" s="46"/>
      <c r="AS42" s="51"/>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row>
    <row r="43" spans="4:81" s="39" customFormat="true" ht="12" customHeight="true">
      <c r="D43" s="46"/>
      <c r="E43" s="46"/>
      <c r="F43" s="46"/>
      <c r="G43" s="46"/>
      <c r="H43" s="46"/>
      <c r="I43" s="46"/>
      <c r="J43" s="46"/>
      <c r="K43" s="46"/>
      <c r="L43" s="46"/>
      <c r="M43" s="46"/>
      <c r="N43" s="46"/>
      <c r="O43" s="46"/>
      <c r="P43" s="46"/>
      <c r="Q43" s="46"/>
      <c r="R43" s="46"/>
      <c r="S43" s="46"/>
      <c r="T43" s="51"/>
      <c r="U43" s="46"/>
      <c r="V43" s="46"/>
      <c r="W43" s="46"/>
      <c r="X43" s="46"/>
      <c r="Y43" s="46"/>
      <c r="Z43" s="51"/>
      <c r="AA43" s="51"/>
      <c r="AB43" s="51"/>
      <c r="AC43" s="51"/>
      <c r="AD43" s="46"/>
      <c r="AE43" s="51"/>
      <c r="AF43" s="46"/>
      <c r="AG43" s="46"/>
      <c r="AH43" s="51"/>
      <c r="AI43" s="46"/>
      <c r="AJ43" s="46"/>
      <c r="AK43" s="46"/>
      <c r="AL43" s="46"/>
      <c r="AM43" s="46"/>
      <c r="AN43" s="46"/>
      <c r="AO43" s="46"/>
      <c r="AP43" s="46"/>
      <c r="AQ43" s="46"/>
      <c r="AR43" s="46"/>
      <c r="AS43" s="51"/>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row>
    <row r="44" spans="4:81" s="39" customFormat="true" ht="12" customHeight="true">
      <c r="D44" s="46"/>
      <c r="E44" s="46"/>
      <c r="F44" s="46"/>
      <c r="G44" s="46"/>
      <c r="H44" s="46"/>
      <c r="I44" s="46"/>
      <c r="J44" s="46"/>
      <c r="K44" s="46"/>
      <c r="L44" s="46"/>
      <c r="M44" s="46"/>
      <c r="N44" s="46"/>
      <c r="O44" s="46"/>
      <c r="P44" s="46"/>
      <c r="Q44" s="46"/>
      <c r="R44" s="46"/>
      <c r="S44" s="46"/>
      <c r="T44" s="51"/>
      <c r="U44" s="46"/>
      <c r="V44" s="46"/>
      <c r="W44" s="46"/>
      <c r="X44" s="46"/>
      <c r="Y44" s="46"/>
      <c r="Z44" s="51"/>
      <c r="AA44" s="51"/>
      <c r="AB44" s="51"/>
      <c r="AC44" s="51"/>
      <c r="AD44" s="46"/>
      <c r="AE44" s="51"/>
      <c r="AF44" s="46"/>
      <c r="AG44" s="46"/>
      <c r="AH44" s="51"/>
      <c r="AI44" s="46"/>
      <c r="AJ44" s="46"/>
      <c r="AK44" s="46"/>
      <c r="AL44" s="46"/>
      <c r="AM44" s="46"/>
      <c r="AN44" s="46"/>
      <c r="AO44" s="46"/>
      <c r="AP44" s="46"/>
      <c r="AQ44" s="46"/>
      <c r="AR44" s="46"/>
      <c r="AS44" s="51"/>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row>
    <row r="45" spans="4:81" s="39" customFormat="true" ht="12" customHeight="true">
      <c r="D45" s="46"/>
      <c r="E45" s="46"/>
      <c r="F45" s="46"/>
      <c r="G45" s="46"/>
      <c r="H45" s="46"/>
      <c r="I45" s="46"/>
      <c r="J45" s="46"/>
      <c r="K45" s="46"/>
      <c r="L45" s="46"/>
      <c r="M45" s="46"/>
      <c r="N45" s="46"/>
      <c r="O45" s="46"/>
      <c r="P45" s="46"/>
      <c r="Q45" s="46"/>
      <c r="R45" s="46"/>
      <c r="S45" s="46"/>
      <c r="T45" s="51"/>
      <c r="U45" s="46"/>
      <c r="V45" s="46"/>
      <c r="W45" s="46"/>
      <c r="X45" s="46"/>
      <c r="Y45" s="46"/>
      <c r="Z45" s="51"/>
      <c r="AA45" s="51"/>
      <c r="AB45" s="51"/>
      <c r="AC45" s="51"/>
      <c r="AD45" s="46"/>
      <c r="AE45" s="51"/>
      <c r="AF45" s="46"/>
      <c r="AG45" s="46"/>
      <c r="AH45" s="51"/>
      <c r="AI45" s="46"/>
      <c r="AJ45" s="46"/>
      <c r="AK45" s="46"/>
      <c r="AL45" s="46"/>
      <c r="AM45" s="46"/>
      <c r="AN45" s="46"/>
      <c r="AO45" s="46"/>
      <c r="AP45" s="46"/>
      <c r="AQ45" s="46"/>
      <c r="AR45" s="46"/>
      <c r="AS45" s="51"/>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row>
    <row r="46" spans="4:81" s="39" customFormat="true" ht="12" customHeight="true">
      <c r="D46" s="46"/>
      <c r="E46" s="46"/>
      <c r="F46" s="46"/>
      <c r="G46" s="46"/>
      <c r="H46" s="46"/>
      <c r="I46" s="46"/>
      <c r="J46" s="46"/>
      <c r="K46" s="46"/>
      <c r="L46" s="46"/>
      <c r="M46" s="46"/>
      <c r="N46" s="46"/>
      <c r="O46" s="46"/>
      <c r="P46" s="46"/>
      <c r="Q46" s="46"/>
      <c r="R46" s="46"/>
      <c r="S46" s="46"/>
      <c r="T46" s="51"/>
      <c r="U46" s="46"/>
      <c r="V46" s="46"/>
      <c r="W46" s="46"/>
      <c r="X46" s="46"/>
      <c r="Y46" s="46"/>
      <c r="Z46" s="51"/>
      <c r="AA46" s="51"/>
      <c r="AB46" s="51"/>
      <c r="AC46" s="51"/>
      <c r="AD46" s="46"/>
      <c r="AE46" s="51"/>
      <c r="AF46" s="46"/>
      <c r="AG46" s="46"/>
      <c r="AH46" s="51"/>
      <c r="AI46" s="46"/>
      <c r="AJ46" s="46"/>
      <c r="AK46" s="46"/>
      <c r="AL46" s="46"/>
      <c r="AM46" s="46"/>
      <c r="AN46" s="46"/>
      <c r="AO46" s="46"/>
      <c r="AP46" s="46"/>
      <c r="AQ46" s="46"/>
      <c r="AR46" s="46"/>
      <c r="AS46" s="51"/>
      <c r="AT46" s="46"/>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row>
    <row r="47" spans="2:82" s="39" customFormat="true" ht="12" customHeight="true">
      <c r="B47" s="39" t="s">
        <v>34191</v>
      </c>
      <c r="D47" s="39">
        <f t="shared" ref="D47:BO47" si="2">+SUM(D31:D46)</f>
        <v>0</v>
      </c>
      <c r="E47" s="39">
        <f t="shared" si="2"/>
        <v>31211.88</v>
      </c>
      <c r="F47" s="39">
        <f t="shared" si="2"/>
        <v>38640.83</v>
      </c>
      <c r="G47" s="39">
        <f t="shared" si="2"/>
        <v>0</v>
      </c>
      <c r="H47" s="39">
        <f t="shared" si="2"/>
        <v>30948.89</v>
      </c>
      <c r="I47" s="39">
        <f t="shared" si="2"/>
        <v>0</v>
      </c>
      <c r="J47" s="39">
        <f t="shared" si="2"/>
        <v>0</v>
      </c>
      <c r="K47" s="39">
        <f t="shared" si="2"/>
        <v>770119.84</v>
      </c>
      <c r="L47" s="39">
        <f t="shared" si="2"/>
        <v>0</v>
      </c>
      <c r="M47" s="39">
        <f t="shared" si="2"/>
        <v>0</v>
      </c>
      <c r="N47" s="39">
        <f t="shared" si="2"/>
        <v>16192.51</v>
      </c>
      <c r="O47" s="39">
        <f t="shared" si="2"/>
        <v>83882.0400000001</v>
      </c>
      <c r="P47" s="39">
        <f t="shared" si="2"/>
        <v>65792.39</v>
      </c>
      <c r="Q47" s="39">
        <f t="shared" si="2"/>
        <v>5913.23</v>
      </c>
      <c r="R47" s="39">
        <f t="shared" si="2"/>
        <v>2060.6</v>
      </c>
      <c r="S47" s="39">
        <f t="shared" si="2"/>
        <v>0</v>
      </c>
      <c r="T47" s="51">
        <f t="shared" si="2"/>
        <v>0</v>
      </c>
      <c r="U47" s="39">
        <f t="shared" si="2"/>
        <v>49229.48</v>
      </c>
      <c r="V47" s="39">
        <f t="shared" si="2"/>
        <v>0</v>
      </c>
      <c r="W47" s="39">
        <f t="shared" si="2"/>
        <v>49935.08</v>
      </c>
      <c r="X47" s="39">
        <f t="shared" si="2"/>
        <v>0</v>
      </c>
      <c r="Y47" s="39">
        <f t="shared" si="2"/>
        <v>0</v>
      </c>
      <c r="Z47" s="51">
        <f t="shared" si="2"/>
        <v>0</v>
      </c>
      <c r="AA47" s="51">
        <f t="shared" si="2"/>
        <v>0</v>
      </c>
      <c r="AB47" s="51">
        <f t="shared" si="2"/>
        <v>0</v>
      </c>
      <c r="AC47" s="51">
        <f t="shared" si="2"/>
        <v>0</v>
      </c>
      <c r="AD47" s="39">
        <f t="shared" si="2"/>
        <v>3123.2</v>
      </c>
      <c r="AE47" s="51">
        <f t="shared" si="2"/>
        <v>0</v>
      </c>
      <c r="AF47" s="39">
        <f t="shared" si="2"/>
        <v>286198.43</v>
      </c>
      <c r="AG47" s="39">
        <f t="shared" si="2"/>
        <v>27178.24</v>
      </c>
      <c r="AH47" s="51">
        <f t="shared" si="2"/>
        <v>0</v>
      </c>
      <c r="AI47" s="39">
        <f t="shared" si="2"/>
        <v>156553.75</v>
      </c>
      <c r="AJ47" s="39">
        <f t="shared" si="2"/>
        <v>21994.74</v>
      </c>
      <c r="AK47" s="39">
        <f t="shared" si="2"/>
        <v>7807.83</v>
      </c>
      <c r="AL47" s="39">
        <f t="shared" si="2"/>
        <v>0</v>
      </c>
      <c r="AM47" s="39">
        <f t="shared" si="2"/>
        <v>0</v>
      </c>
      <c r="AN47" s="39">
        <f t="shared" si="2"/>
        <v>3400</v>
      </c>
      <c r="AO47" s="39">
        <f t="shared" si="2"/>
        <v>10550</v>
      </c>
      <c r="AP47" s="39">
        <f t="shared" si="2"/>
        <v>6000</v>
      </c>
      <c r="AQ47" s="39">
        <f t="shared" si="2"/>
        <v>6000</v>
      </c>
      <c r="AR47" s="39">
        <f t="shared" si="2"/>
        <v>6000</v>
      </c>
      <c r="AS47" s="51">
        <f t="shared" si="2"/>
        <v>0</v>
      </c>
      <c r="AT47" s="39">
        <f t="shared" si="2"/>
        <v>64831.22</v>
      </c>
      <c r="AU47" s="39">
        <f t="shared" si="2"/>
        <v>107783.89</v>
      </c>
      <c r="AV47" s="39">
        <f t="shared" si="2"/>
        <v>16462.14</v>
      </c>
      <c r="AW47" s="39">
        <f t="shared" si="2"/>
        <v>7359.98</v>
      </c>
      <c r="AX47" s="39">
        <f t="shared" si="2"/>
        <v>56399.79</v>
      </c>
      <c r="AY47" s="39">
        <f t="shared" si="2"/>
        <v>0</v>
      </c>
      <c r="AZ47" s="39">
        <f t="shared" si="2"/>
        <v>89143.87</v>
      </c>
      <c r="BA47" s="39">
        <f t="shared" si="2"/>
        <v>0</v>
      </c>
      <c r="BB47" s="39">
        <f t="shared" si="2"/>
        <v>1509.54</v>
      </c>
      <c r="BC47" s="39">
        <f t="shared" si="2"/>
        <v>11917.15</v>
      </c>
      <c r="BD47" s="39">
        <f t="shared" si="2"/>
        <v>0</v>
      </c>
      <c r="BE47" s="39">
        <f t="shared" si="2"/>
        <v>23519.45</v>
      </c>
      <c r="BF47" s="39">
        <f t="shared" si="2"/>
        <v>52945.75</v>
      </c>
      <c r="BG47" s="39">
        <f t="shared" si="2"/>
        <v>5182.7</v>
      </c>
      <c r="BH47" s="39">
        <f t="shared" si="2"/>
        <v>2992.73</v>
      </c>
      <c r="BI47" s="39">
        <f t="shared" si="2"/>
        <v>6259.01</v>
      </c>
      <c r="BJ47" s="39">
        <f t="shared" si="2"/>
        <v>17065.9</v>
      </c>
      <c r="BK47" s="39">
        <f t="shared" si="2"/>
        <v>9243.94</v>
      </c>
      <c r="BL47" s="39">
        <f t="shared" si="2"/>
        <v>11532.49</v>
      </c>
      <c r="BM47" s="39">
        <f t="shared" si="2"/>
        <v>570755.82</v>
      </c>
      <c r="BN47" s="39">
        <f t="shared" si="2"/>
        <v>6064.13</v>
      </c>
      <c r="BO47" s="39">
        <f t="shared" si="2"/>
        <v>104528.8</v>
      </c>
      <c r="BP47" s="39">
        <f t="shared" ref="BP47:CC47" si="3">+SUM(BP31:BP46)</f>
        <v>2866.61</v>
      </c>
      <c r="BQ47" s="39">
        <f t="shared" si="3"/>
        <v>28228.77</v>
      </c>
      <c r="BR47" s="39">
        <f t="shared" si="3"/>
        <v>3379.19</v>
      </c>
      <c r="BS47" s="39">
        <f t="shared" si="3"/>
        <v>329543.91</v>
      </c>
      <c r="BT47" s="39">
        <f t="shared" si="3"/>
        <v>9539.06</v>
      </c>
      <c r="BU47" s="39">
        <f t="shared" si="3"/>
        <v>1858.47</v>
      </c>
      <c r="BV47" s="39">
        <f t="shared" si="3"/>
        <v>1698.67</v>
      </c>
      <c r="BW47" s="39">
        <f t="shared" si="3"/>
        <v>886.07</v>
      </c>
      <c r="BX47" s="39">
        <f t="shared" si="3"/>
        <v>1096.24</v>
      </c>
      <c r="BY47" s="39">
        <f t="shared" si="3"/>
        <v>1923.87</v>
      </c>
      <c r="BZ47" s="39">
        <f t="shared" si="3"/>
        <v>0</v>
      </c>
      <c r="CA47" s="39">
        <f t="shared" si="3"/>
        <v>0</v>
      </c>
      <c r="CB47" s="39">
        <f t="shared" si="3"/>
        <v>800</v>
      </c>
      <c r="CC47" s="39">
        <f t="shared" si="3"/>
        <v>19816.11</v>
      </c>
      <c r="CD47" s="39">
        <f>SUM(D47:CC47)</f>
        <v>3245868.23</v>
      </c>
    </row>
    <row r="48" spans="20:45" s="39" customFormat="true" ht="12" customHeight="true">
      <c r="T48" s="51"/>
      <c r="Z48" s="51"/>
      <c r="AA48" s="51"/>
      <c r="AB48" s="51"/>
      <c r="AC48" s="51"/>
      <c r="AE48" s="51"/>
      <c r="AH48" s="51"/>
      <c r="AS48" s="51"/>
    </row>
    <row r="49" spans="2:82" s="39" customFormat="true" ht="12" customHeight="true">
      <c r="B49" s="39" t="s">
        <v>34192</v>
      </c>
      <c r="D49" s="39">
        <f t="shared" ref="D49:BO49" si="4">+D9+D29-D47</f>
        <v>56516.82</v>
      </c>
      <c r="E49" s="39">
        <f t="shared" si="4"/>
        <v>-30734.45</v>
      </c>
      <c r="F49" s="39">
        <f t="shared" si="4"/>
        <v>-32842.32</v>
      </c>
      <c r="G49" s="39">
        <f t="shared" si="4"/>
        <v>32838.6</v>
      </c>
      <c r="H49" s="39">
        <f t="shared" si="4"/>
        <v>-30948.89</v>
      </c>
      <c r="I49" s="39">
        <f t="shared" si="4"/>
        <v>0</v>
      </c>
      <c r="J49" s="39">
        <f t="shared" si="4"/>
        <v>608093.61</v>
      </c>
      <c r="K49" s="39">
        <f t="shared" si="4"/>
        <v>1692315.93</v>
      </c>
      <c r="L49" s="39">
        <f t="shared" si="4"/>
        <v>70858.37</v>
      </c>
      <c r="M49" s="39">
        <f t="shared" si="4"/>
        <v>21076.78</v>
      </c>
      <c r="N49" s="39">
        <f t="shared" si="4"/>
        <v>4744.93</v>
      </c>
      <c r="O49" s="39">
        <f t="shared" si="4"/>
        <v>-83882.0400000001</v>
      </c>
      <c r="P49" s="39">
        <f t="shared" si="4"/>
        <v>-65792.39</v>
      </c>
      <c r="Q49" s="39">
        <f t="shared" si="4"/>
        <v>10903.94</v>
      </c>
      <c r="R49" s="39">
        <f t="shared" si="4"/>
        <v>-2060.6</v>
      </c>
      <c r="S49" s="39">
        <f t="shared" si="4"/>
        <v>9876.13</v>
      </c>
      <c r="T49" s="51">
        <f t="shared" si="4"/>
        <v>0</v>
      </c>
      <c r="U49" s="39">
        <f t="shared" si="4"/>
        <v>278758.37</v>
      </c>
      <c r="V49" s="39">
        <f t="shared" si="4"/>
        <v>27484.73</v>
      </c>
      <c r="W49" s="39">
        <f t="shared" si="4"/>
        <v>-48640.72</v>
      </c>
      <c r="X49" s="39">
        <f t="shared" si="4"/>
        <v>20846.86</v>
      </c>
      <c r="Y49" s="39">
        <f t="shared" si="4"/>
        <v>29711.34</v>
      </c>
      <c r="Z49" s="51">
        <f t="shared" si="4"/>
        <v>0</v>
      </c>
      <c r="AA49" s="51">
        <f t="shared" si="4"/>
        <v>0</v>
      </c>
      <c r="AB49" s="51">
        <f t="shared" si="4"/>
        <v>0</v>
      </c>
      <c r="AC49" s="51">
        <f t="shared" si="4"/>
        <v>0</v>
      </c>
      <c r="AD49" s="39">
        <f t="shared" si="4"/>
        <v>207916.21</v>
      </c>
      <c r="AE49" s="51">
        <f t="shared" si="4"/>
        <v>0</v>
      </c>
      <c r="AF49" s="39">
        <f t="shared" si="4"/>
        <v>-163253.09</v>
      </c>
      <c r="AG49" s="39">
        <f t="shared" si="4"/>
        <v>8399.68</v>
      </c>
      <c r="AH49" s="51">
        <f t="shared" si="4"/>
        <v>0</v>
      </c>
      <c r="AI49" s="39">
        <f t="shared" si="4"/>
        <v>-154984.93</v>
      </c>
      <c r="AJ49" s="39">
        <f t="shared" si="4"/>
        <v>35571.98</v>
      </c>
      <c r="AK49" s="39">
        <f t="shared" si="4"/>
        <v>27863.66</v>
      </c>
      <c r="AL49" s="39">
        <f t="shared" si="4"/>
        <v>0</v>
      </c>
      <c r="AM49" s="39">
        <f t="shared" si="4"/>
        <v>0</v>
      </c>
      <c r="AN49" s="39">
        <f t="shared" si="4"/>
        <v>16636.95</v>
      </c>
      <c r="AO49" s="39">
        <f t="shared" si="4"/>
        <v>241713.16</v>
      </c>
      <c r="AP49" s="39">
        <f t="shared" si="4"/>
        <v>49475.72</v>
      </c>
      <c r="AQ49" s="39">
        <f t="shared" si="4"/>
        <v>18938.35</v>
      </c>
      <c r="AR49" s="39">
        <f t="shared" si="4"/>
        <v>17789.17</v>
      </c>
      <c r="AS49" s="51">
        <f t="shared" si="4"/>
        <v>0</v>
      </c>
      <c r="AT49" s="39">
        <f t="shared" si="4"/>
        <v>-38659.88</v>
      </c>
      <c r="AU49" s="39">
        <f t="shared" si="4"/>
        <v>141270.61</v>
      </c>
      <c r="AV49" s="39">
        <f t="shared" si="4"/>
        <v>5008</v>
      </c>
      <c r="AW49" s="39">
        <f t="shared" si="4"/>
        <v>7041.55</v>
      </c>
      <c r="AX49" s="39">
        <f t="shared" si="4"/>
        <v>13372.4</v>
      </c>
      <c r="AY49" s="39">
        <f t="shared" si="4"/>
        <v>4216.1</v>
      </c>
      <c r="AZ49" s="39">
        <f t="shared" si="4"/>
        <v>-33428.13</v>
      </c>
      <c r="BA49" s="39">
        <f t="shared" si="4"/>
        <v>3539.06</v>
      </c>
      <c r="BB49" s="39">
        <f t="shared" si="4"/>
        <v>15361.78</v>
      </c>
      <c r="BC49" s="39">
        <f t="shared" si="4"/>
        <v>-3023.48</v>
      </c>
      <c r="BD49" s="39">
        <f t="shared" si="4"/>
        <v>0</v>
      </c>
      <c r="BE49" s="39">
        <f t="shared" si="4"/>
        <v>218745.42</v>
      </c>
      <c r="BF49" s="39">
        <f t="shared" si="4"/>
        <v>155461.12</v>
      </c>
      <c r="BG49" s="39">
        <f t="shared" si="4"/>
        <v>39664.29</v>
      </c>
      <c r="BH49" s="39">
        <f t="shared" si="4"/>
        <v>2112.33</v>
      </c>
      <c r="BI49" s="39">
        <f t="shared" si="4"/>
        <v>49335.97</v>
      </c>
      <c r="BJ49" s="39">
        <f t="shared" si="4"/>
        <v>70403.54</v>
      </c>
      <c r="BK49" s="39">
        <f t="shared" si="4"/>
        <v>71398.46</v>
      </c>
      <c r="BL49" s="39">
        <f t="shared" si="4"/>
        <v>56443.67</v>
      </c>
      <c r="BM49" s="39">
        <f t="shared" si="4"/>
        <v>-558781.03</v>
      </c>
      <c r="BN49" s="39">
        <f t="shared" si="4"/>
        <v>10410.78</v>
      </c>
      <c r="BO49" s="39">
        <f t="shared" si="4"/>
        <v>-92152.46</v>
      </c>
      <c r="BP49" s="39">
        <f t="shared" ref="BP49:CC49" si="5">+BP9+BP29-BP47</f>
        <v>9023.56</v>
      </c>
      <c r="BQ49" s="39">
        <f t="shared" si="5"/>
        <v>-15598.45</v>
      </c>
      <c r="BR49" s="39">
        <f t="shared" si="5"/>
        <v>30585.03</v>
      </c>
      <c r="BS49" s="39">
        <f t="shared" si="5"/>
        <v>-289929.42</v>
      </c>
      <c r="BT49" s="39">
        <f t="shared" si="5"/>
        <v>61326.64</v>
      </c>
      <c r="BU49" s="39">
        <f t="shared" si="5"/>
        <v>64459.21</v>
      </c>
      <c r="BV49" s="39">
        <f t="shared" si="5"/>
        <v>31090.92</v>
      </c>
      <c r="BW49" s="39">
        <f t="shared" si="5"/>
        <v>18706.44</v>
      </c>
      <c r="BX49" s="39">
        <f t="shared" si="5"/>
        <v>49343.31</v>
      </c>
      <c r="BY49" s="39">
        <f t="shared" si="5"/>
        <v>58627.82</v>
      </c>
      <c r="BZ49" s="39">
        <f t="shared" si="5"/>
        <v>406992.1</v>
      </c>
      <c r="CA49" s="39">
        <f t="shared" si="5"/>
        <v>17618652.8</v>
      </c>
      <c r="CB49" s="39">
        <f t="shared" si="5"/>
        <v>584118.08</v>
      </c>
      <c r="CC49" s="39">
        <f t="shared" si="5"/>
        <v>4583.41</v>
      </c>
      <c r="CD49" s="39">
        <f>SUM(D49:CC49)</f>
        <v>21644913.41</v>
      </c>
    </row>
    <row r="50" spans="20:45" s="39" customFormat="true" ht="12" customHeight="true">
      <c r="T50" s="51"/>
      <c r="Z50" s="51"/>
      <c r="AA50" s="51"/>
      <c r="AB50" s="51"/>
      <c r="AC50" s="51"/>
      <c r="AE50" s="51"/>
      <c r="AH50" s="51"/>
      <c r="AS50" s="51"/>
    </row>
    <row r="51" spans="2:82" s="39" customFormat="true" ht="12" customHeight="true">
      <c r="B51" s="39" t="s">
        <v>34193</v>
      </c>
      <c r="D51" s="46">
        <v>41854.82</v>
      </c>
      <c r="E51" s="46">
        <v>-30734.4500000001</v>
      </c>
      <c r="F51" s="46">
        <v>-32842.32</v>
      </c>
      <c r="G51" s="46">
        <v>32838.6</v>
      </c>
      <c r="H51" s="46">
        <v>-35494.2</v>
      </c>
      <c r="I51" s="46"/>
      <c r="J51" s="46">
        <v>608093.61</v>
      </c>
      <c r="K51" s="46">
        <v>1802758.27</v>
      </c>
      <c r="L51" s="46">
        <v>4239.45</v>
      </c>
      <c r="M51" s="46">
        <v>21076.78</v>
      </c>
      <c r="N51" s="46">
        <v>4744.93</v>
      </c>
      <c r="O51" s="46">
        <v>-83882.0400000001</v>
      </c>
      <c r="P51" s="46">
        <v>-60302.5500000005</v>
      </c>
      <c r="Q51" s="46">
        <v>10903.94</v>
      </c>
      <c r="R51" s="46">
        <v>-1581.75999999999</v>
      </c>
      <c r="S51" s="46">
        <v>9876.12999999998</v>
      </c>
      <c r="T51" s="46"/>
      <c r="U51" s="46">
        <v>278758.37</v>
      </c>
      <c r="V51" s="46">
        <v>27484.7300000001</v>
      </c>
      <c r="W51" s="46">
        <v>-48640.72</v>
      </c>
      <c r="X51" s="46">
        <v>20846.8600000001</v>
      </c>
      <c r="Y51" s="46">
        <v>29711.34</v>
      </c>
      <c r="Z51" s="46"/>
      <c r="AA51" s="46"/>
      <c r="AB51" s="46"/>
      <c r="AC51" s="46"/>
      <c r="AD51" s="46">
        <v>207916.21</v>
      </c>
      <c r="AE51" s="46"/>
      <c r="AF51" s="46">
        <v>-271580.33</v>
      </c>
      <c r="AG51" s="46">
        <v>8473.75</v>
      </c>
      <c r="AH51" s="46"/>
      <c r="AI51" s="46">
        <v>-154984.93</v>
      </c>
      <c r="AJ51" s="46">
        <v>35571.98</v>
      </c>
      <c r="AK51" s="46">
        <v>27863.66</v>
      </c>
      <c r="AL51" s="46"/>
      <c r="AM51" s="46"/>
      <c r="AN51" s="46">
        <v>16636.95</v>
      </c>
      <c r="AO51" s="46">
        <v>241713.15</v>
      </c>
      <c r="AP51" s="46">
        <v>8475.72</v>
      </c>
      <c r="AQ51" s="46">
        <v>18938.35</v>
      </c>
      <c r="AR51" s="46">
        <v>17789.17</v>
      </c>
      <c r="AS51" s="46"/>
      <c r="AT51" s="46">
        <v>-38659.88</v>
      </c>
      <c r="AU51" s="46">
        <v>141270.61</v>
      </c>
      <c r="AV51" s="46">
        <v>5072.14</v>
      </c>
      <c r="AW51" s="46">
        <v>7041.55</v>
      </c>
      <c r="AX51" s="46">
        <v>13372.4</v>
      </c>
      <c r="AY51" s="46">
        <v>4216.1</v>
      </c>
      <c r="AZ51" s="46">
        <v>-33428.13</v>
      </c>
      <c r="BA51" s="46">
        <v>3539.06</v>
      </c>
      <c r="BB51" s="46">
        <v>15342.66</v>
      </c>
      <c r="BC51" s="46">
        <v>-3023.48</v>
      </c>
      <c r="BD51" s="46"/>
      <c r="BE51" s="46">
        <v>218745.42</v>
      </c>
      <c r="BF51" s="46">
        <v>155461.12</v>
      </c>
      <c r="BG51" s="46">
        <v>39664.29</v>
      </c>
      <c r="BH51" s="46">
        <v>2112.33</v>
      </c>
      <c r="BI51" s="46">
        <v>49335.97</v>
      </c>
      <c r="BJ51" s="46">
        <v>70403.54</v>
      </c>
      <c r="BK51" s="46">
        <v>71398.46</v>
      </c>
      <c r="BL51" s="46">
        <v>56443.67</v>
      </c>
      <c r="BM51" s="46">
        <v>-558781.03</v>
      </c>
      <c r="BN51" s="46">
        <v>10410.78</v>
      </c>
      <c r="BO51" s="46">
        <v>-92152.46</v>
      </c>
      <c r="BP51" s="46">
        <v>9023.56</v>
      </c>
      <c r="BQ51" s="46">
        <v>-15598.45</v>
      </c>
      <c r="BR51" s="46">
        <v>30585.03</v>
      </c>
      <c r="BS51" s="46">
        <v>-289929.42</v>
      </c>
      <c r="BT51" s="46">
        <v>61326.64</v>
      </c>
      <c r="BU51" s="46">
        <v>64459.21</v>
      </c>
      <c r="BV51" s="46">
        <v>31090.92</v>
      </c>
      <c r="BW51" s="46">
        <v>18726.44</v>
      </c>
      <c r="BX51" s="46">
        <v>49343.31</v>
      </c>
      <c r="BY51" s="46">
        <v>58627.82</v>
      </c>
      <c r="BZ51" s="46">
        <v>406992.1</v>
      </c>
      <c r="CA51" s="46">
        <v>17618637.8</v>
      </c>
      <c r="CB51" s="46">
        <v>584118.08</v>
      </c>
      <c r="CC51" s="46">
        <v>4583.41</v>
      </c>
      <c r="CD51" s="39">
        <f>SUM(D51:CC51)</f>
        <v>21526295.04</v>
      </c>
    </row>
    <row r="52" spans="2:82" s="39" customFormat="true" ht="12" customHeight="true">
      <c r="B52" s="39" t="s">
        <v>34194</v>
      </c>
      <c r="D52" s="47">
        <f>SUMIF('BS-Details'!$D:$D,D$4&amp;"-"&amp;D$7,'BS-Details'!$K:$K)-D$51</f>
        <v>-1737.4</v>
      </c>
      <c r="E52" s="47">
        <f>SUMIF('BS-Details'!$D:$D,E$4&amp;"-"&amp;E$7,'BS-Details'!$K:$K)-E$51</f>
        <v>1291.6000000001</v>
      </c>
      <c r="F52" s="47">
        <f>SUMIF('BS-Details'!$D:$D,F$4&amp;"-"&amp;F$7,'BS-Details'!$K:$K)-F$51</f>
        <v>3438.8</v>
      </c>
      <c r="G52" s="47">
        <f>SUMIF('BS-Details'!$D:$D,G$4&amp;"-"&amp;G$7,'BS-Details'!$K:$K)-G$51</f>
        <v>-50990.62</v>
      </c>
      <c r="H52" s="47">
        <f>SUMIF('BS-Details'!$D:$D,H$4&amp;"-"&amp;H$7,'BS-Details'!$K:$K)-H$51</f>
        <v>22230.24</v>
      </c>
      <c r="I52" s="47">
        <f>SUMIF('BS-Details'!$D:$D,I$4&amp;"-"&amp;I$7,'BS-Details'!$K:$K)-I$51</f>
        <v>-7732.72</v>
      </c>
      <c r="J52" s="47">
        <f>SUMIF('BS-Details'!$D:$D,J$4&amp;"-"&amp;J$7,'BS-Details'!$K:$K)-J$51</f>
        <v>-512839.39</v>
      </c>
      <c r="K52" s="47">
        <f>SUMIF('BS-Details'!$D:$D,K$4&amp;"-"&amp;K$7,'BS-Details'!$K:$K)-K$51</f>
        <v>-189124.55</v>
      </c>
      <c r="L52" s="47">
        <f>SUMIF('BS-Details'!$D:$D,L$4&amp;"-"&amp;L$7,'BS-Details'!$K:$K)-L$51</f>
        <v>-4239.45</v>
      </c>
      <c r="M52" s="47">
        <f>SUMIF('BS-Details'!$D:$D,M$4&amp;"-"&amp;M$7,'BS-Details'!$K:$K)-M$51</f>
        <v>-41582.52</v>
      </c>
      <c r="N52" s="47">
        <f>SUMIF('BS-Details'!$D:$D,N$4&amp;"-"&amp;N$7,'BS-Details'!$K:$K)-N$51</f>
        <v>-18507.08</v>
      </c>
      <c r="O52" s="47">
        <f>SUMIF('BS-Details'!$D:$D,O$4&amp;"-"&amp;O$7,'BS-Details'!$K:$K)-O$51</f>
        <v>83808.4800000001</v>
      </c>
      <c r="P52" s="47">
        <f>SUMIF('BS-Details'!$D:$D,P$4&amp;"-"&amp;P$7,'BS-Details'!$K:$K)-P$51</f>
        <v>-118721.49</v>
      </c>
      <c r="Q52" s="47">
        <f>SUMIF('BS-Details'!$D:$D,Q$4&amp;"-"&amp;Q$7,'BS-Details'!$K:$K)-Q$51</f>
        <v>-10903.94</v>
      </c>
      <c r="R52" s="47">
        <f>SUMIF('BS-Details'!$D:$D,R$4&amp;"-"&amp;R$7,'BS-Details'!$K:$K)-R$51</f>
        <v>859.12999999999</v>
      </c>
      <c r="S52" s="47">
        <f>SUMIF('BS-Details'!$D:$D,S$4&amp;"-"&amp;S$7,'BS-Details'!$K:$K)-S$51</f>
        <v>-4011.14999999998</v>
      </c>
      <c r="T52" s="47">
        <f>SUMIF('BS-Details'!$D:$D,T$4&amp;"-"&amp;T$7,'BS-Details'!$K:$K)-T$51</f>
        <v>0</v>
      </c>
      <c r="U52" s="47">
        <f>SUMIF('BS-Details'!$D:$D,U$4&amp;"-"&amp;U$7,'BS-Details'!$K:$K)-U$51</f>
        <v>-46185.64</v>
      </c>
      <c r="V52" s="47">
        <f>SUMIF('BS-Details'!$D:$D,V$4&amp;"-"&amp;V$7,'BS-Details'!$K:$K)-V$51</f>
        <v>59055.2699999999</v>
      </c>
      <c r="W52" s="47">
        <f>SUMIF('BS-Details'!$D:$D,W$4&amp;"-"&amp;W$7,'BS-Details'!$K:$K)-W$51</f>
        <v>-11638.62</v>
      </c>
      <c r="X52" s="47">
        <f>SUMIF('BS-Details'!$D:$D,X$4&amp;"-"&amp;X$7,'BS-Details'!$K:$K)-X$51</f>
        <v>48892.5399999999</v>
      </c>
      <c r="Y52" s="47">
        <f>SUMIF('BS-Details'!$D:$D,Y$4&amp;"-"&amp;Y$7,'BS-Details'!$K:$K)-Y$51</f>
        <v>-27961.2</v>
      </c>
      <c r="Z52" s="47">
        <f>SUMIF('BS-Details'!$D:$D,Z$4&amp;"-"&amp;Z$7,'BS-Details'!$K:$K)-Z$51</f>
        <v>0</v>
      </c>
      <c r="AA52" s="47">
        <f>SUMIF('BS-Details'!$D:$D,AA$4&amp;"-"&amp;AA$7,'BS-Details'!$K:$K)-AA$51</f>
        <v>0</v>
      </c>
      <c r="AB52" s="47">
        <f>SUMIF('BS-Details'!$D:$D,AB$4&amp;"-"&amp;AB$7,'BS-Details'!$K:$K)-AB$51</f>
        <v>0</v>
      </c>
      <c r="AC52" s="47">
        <f>SUMIF('BS-Details'!$D:$D,AC$4&amp;"-"&amp;AC$7,'BS-Details'!$K:$K)-AC$51</f>
        <v>0</v>
      </c>
      <c r="AD52" s="47">
        <f>SUMIF('BS-Details'!$D:$D,AD$4&amp;"-"&amp;AD$7,'BS-Details'!$K:$K)-AD$51</f>
        <v>-208126.63</v>
      </c>
      <c r="AE52" s="47">
        <f>SUMIF('BS-Details'!$D:$D,AE$4&amp;"-"&amp;AE$7,'BS-Details'!$K:$K)-AE$51</f>
        <v>0</v>
      </c>
      <c r="AF52" s="47">
        <f>SUMIF('BS-Details'!$D:$D,AF$4&amp;"-"&amp;AF$7,'BS-Details'!$K:$K)-AF$51</f>
        <v>153687.98</v>
      </c>
      <c r="AG52" s="47">
        <f>SUMIF('BS-Details'!$D:$D,AG$4&amp;"-"&amp;AG$7,'BS-Details'!$K:$K)-AG$51</f>
        <v>55337.77</v>
      </c>
      <c r="AH52" s="47">
        <f>SUMIF('BS-Details'!$D:$D,AH$4&amp;"-"&amp;AH$7,'BS-Details'!$K:$K)-AH$51</f>
        <v>0</v>
      </c>
      <c r="AI52" s="47">
        <f>SUMIF('BS-Details'!$D:$D,AI$4&amp;"-"&amp;AI$7,'BS-Details'!$K:$K)-AI$51</f>
        <v>188092.58</v>
      </c>
      <c r="AJ52" s="47">
        <f>SUMIF('BS-Details'!$D:$D,AJ$4&amp;"-"&amp;AJ$7,'BS-Details'!$K:$K)-AJ$51</f>
        <v>10235.24</v>
      </c>
      <c r="AK52" s="47">
        <f>SUMIF('BS-Details'!$D:$D,AK$4&amp;"-"&amp;AK$7,'BS-Details'!$K:$K)-AK$51</f>
        <v>-26040.28</v>
      </c>
      <c r="AL52" s="47">
        <f>SUMIF('BS-Details'!$D:$D,AL$4&amp;"-"&amp;AL$7,'BS-Details'!$K:$K)-AL$51</f>
        <v>0</v>
      </c>
      <c r="AM52" s="47">
        <f>SUMIF('BS-Details'!$D:$D,AM$4&amp;"-"&amp;AM$7,'BS-Details'!$K:$K)-AM$51</f>
        <v>0</v>
      </c>
      <c r="AN52" s="47">
        <f>SUMIF('BS-Details'!$D:$D,AN$4&amp;"-"&amp;AN$7,'BS-Details'!$K:$K)-AN$51</f>
        <v>-10393.96</v>
      </c>
      <c r="AO52" s="47">
        <f>SUMIF('BS-Details'!$D:$D,AO$4&amp;"-"&amp;AO$7,'BS-Details'!$K:$K)-AO$51</f>
        <v>-119966.27</v>
      </c>
      <c r="AP52" s="47">
        <f>SUMIF('BS-Details'!$D:$D,AP$4&amp;"-"&amp;AP$7,'BS-Details'!$K:$K)-AP$51</f>
        <v>-3598.94</v>
      </c>
      <c r="AQ52" s="47">
        <f>SUMIF('BS-Details'!$D:$D,AQ$4&amp;"-"&amp;AQ$7,'BS-Details'!$K:$K)-AQ$51</f>
        <v>-4724.69</v>
      </c>
      <c r="AR52" s="47">
        <f>SUMIF('BS-Details'!$D:$D,AR$4&amp;"-"&amp;AR$7,'BS-Details'!$K:$K)-AR$51</f>
        <v>-7028.97</v>
      </c>
      <c r="AS52" s="47">
        <f>SUMIF('BS-Details'!$D:$D,AS$4&amp;"-"&amp;AS$7,'BS-Details'!$K:$K)-AS$51</f>
        <v>0</v>
      </c>
      <c r="AT52" s="47">
        <f>SUMIF('BS-Details'!$D:$D,AT$4&amp;"-"&amp;AT$7,'BS-Details'!$K:$K)-AT$51</f>
        <v>78064.2</v>
      </c>
      <c r="AU52" s="47">
        <f>SUMIF('BS-Details'!$D:$D,AU$4&amp;"-"&amp;AU$7,'BS-Details'!$K:$K)-AU$51</f>
        <v>-251671.38</v>
      </c>
      <c r="AV52" s="47">
        <f>SUMIF('BS-Details'!$D:$D,AV$4&amp;"-"&amp;AV$7,'BS-Details'!$K:$K)-AV$51</f>
        <v>-5072.14</v>
      </c>
      <c r="AW52" s="47">
        <f>SUMIF('BS-Details'!$D:$D,AW$4&amp;"-"&amp;AW$7,'BS-Details'!$K:$K)-AW$51</f>
        <v>-9927.45</v>
      </c>
      <c r="AX52" s="47">
        <f>SUMIF('BS-Details'!$D:$D,AX$4&amp;"-"&amp;AX$7,'BS-Details'!$K:$K)-AX$51</f>
        <v>8425.1</v>
      </c>
      <c r="AY52" s="47">
        <f>SUMIF('BS-Details'!$D:$D,AY$4&amp;"-"&amp;AY$7,'BS-Details'!$K:$K)-AY$51</f>
        <v>-4216.1</v>
      </c>
      <c r="AZ52" s="47">
        <f>SUMIF('BS-Details'!$D:$D,AZ$4&amp;"-"&amp;AZ$7,'BS-Details'!$K:$K)-AZ$51</f>
        <v>878.569999999996</v>
      </c>
      <c r="BA52" s="47">
        <f>SUMIF('BS-Details'!$D:$D,BA$4&amp;"-"&amp;BA$7,'BS-Details'!$K:$K)-BA$51</f>
        <v>-3539.06</v>
      </c>
      <c r="BB52" s="47">
        <f>SUMIF('BS-Details'!$D:$D,BB$4&amp;"-"&amp;BB$7,'BS-Details'!$K:$K)-BB$51</f>
        <v>-15342.66</v>
      </c>
      <c r="BC52" s="47">
        <f>SUMIF('BS-Details'!$D:$D,BC$4&amp;"-"&amp;BC$7,'BS-Details'!$K:$K)-BC$51</f>
        <v>5469.53</v>
      </c>
      <c r="BD52" s="47">
        <f>SUMIF('BS-Details'!$D:$D,BD$4&amp;"-"&amp;BD$7,'BS-Details'!$K:$K)-BD$51</f>
        <v>0</v>
      </c>
      <c r="BE52" s="47">
        <f>SUMIF('BS-Details'!$D:$D,BE$4&amp;"-"&amp;BE$7,'BS-Details'!$K:$K)-BE$51</f>
        <v>-210369.66</v>
      </c>
      <c r="BF52" s="47">
        <f>SUMIF('BS-Details'!$D:$D,BF$4&amp;"-"&amp;BF$7,'BS-Details'!$K:$K)-BF$51</f>
        <v>-155461.12</v>
      </c>
      <c r="BG52" s="47">
        <f>SUMIF('BS-Details'!$D:$D,BG$4&amp;"-"&amp;BG$7,'BS-Details'!$K:$K)-BG$51</f>
        <v>-41254.54</v>
      </c>
      <c r="BH52" s="47">
        <f>SUMIF('BS-Details'!$D:$D,BH$4&amp;"-"&amp;BH$7,'BS-Details'!$K:$K)-BH$51</f>
        <v>-49040.43</v>
      </c>
      <c r="BI52" s="47">
        <f>SUMIF('BS-Details'!$D:$D,BI$4&amp;"-"&amp;BI$7,'BS-Details'!$K:$K)-BI$51</f>
        <v>-38997.12</v>
      </c>
      <c r="BJ52" s="47">
        <f>SUMIF('BS-Details'!$D:$D,BJ$4&amp;"-"&amp;BJ$7,'BS-Details'!$K:$K)-BJ$51</f>
        <v>-70073.41</v>
      </c>
      <c r="BK52" s="47">
        <f>SUMIF('BS-Details'!$D:$D,BK$4&amp;"-"&amp;BK$7,'BS-Details'!$K:$K)-BK$51</f>
        <v>-86110.41</v>
      </c>
      <c r="BL52" s="47">
        <f>SUMIF('BS-Details'!$D:$D,BL$4&amp;"-"&amp;BL$7,'BS-Details'!$K:$K)-BL$51</f>
        <v>-57678.1</v>
      </c>
      <c r="BM52" s="47">
        <f>SUMIF('BS-Details'!$D:$D,BM$4&amp;"-"&amp;BM$7,'BS-Details'!$K:$K)-BM$51</f>
        <v>546850.89</v>
      </c>
      <c r="BN52" s="47">
        <f>SUMIF('BS-Details'!$D:$D,BN$4&amp;"-"&amp;BN$7,'BS-Details'!$K:$K)-BN$51</f>
        <v>-10410.78</v>
      </c>
      <c r="BO52" s="47">
        <f>SUMIF('BS-Details'!$D:$D,BO$4&amp;"-"&amp;BO$7,'BS-Details'!$K:$K)-BO$51</f>
        <v>92152.46</v>
      </c>
      <c r="BP52" s="47">
        <f>SUMIF('BS-Details'!$D:$D,BP$4&amp;"-"&amp;BP$7,'BS-Details'!$K:$K)-BP$51</f>
        <v>-9023.56</v>
      </c>
      <c r="BQ52" s="47">
        <f>SUMIF('BS-Details'!$D:$D,BQ$4&amp;"-"&amp;BQ$7,'BS-Details'!$K:$K)-BQ$51</f>
        <v>37770.61</v>
      </c>
      <c r="BR52" s="47">
        <f>SUMIF('BS-Details'!$D:$D,BR$4&amp;"-"&amp;BR$7,'BS-Details'!$K:$K)-BR$51</f>
        <v>-32440.75</v>
      </c>
      <c r="BS52" s="47">
        <f>SUMIF('BS-Details'!$D:$D,BS$4&amp;"-"&amp;BS$7,'BS-Details'!$K:$K)-BS$51</f>
        <v>289929.42</v>
      </c>
      <c r="BT52" s="47">
        <f>SUMIF('BS-Details'!$D:$D,BT$4&amp;"-"&amp;BT$7,'BS-Details'!$K:$K)-BT$51</f>
        <v>-68522.11</v>
      </c>
      <c r="BU52" s="47">
        <f>SUMIF('BS-Details'!$D:$D,BU$4&amp;"-"&amp;BU$7,'BS-Details'!$K:$K)-BU$51</f>
        <v>-67891.49</v>
      </c>
      <c r="BV52" s="47">
        <f>SUMIF('BS-Details'!$D:$D,BV$4&amp;"-"&amp;BV$7,'BS-Details'!$K:$K)-BV$51</f>
        <v>-40896.98</v>
      </c>
      <c r="BW52" s="47">
        <f>SUMIF('BS-Details'!$D:$D,BW$4&amp;"-"&amp;BW$7,'BS-Details'!$K:$K)-BW$51</f>
        <v>-18726.44</v>
      </c>
      <c r="BX52" s="47">
        <f>SUMIF('BS-Details'!$D:$D,BX$4&amp;"-"&amp;BX$7,'BS-Details'!$K:$K)-BX$51</f>
        <v>-49131.04</v>
      </c>
      <c r="BY52" s="47">
        <f>SUMIF('BS-Details'!$D:$D,BY$4&amp;"-"&amp;BY$7,'BS-Details'!$K:$K)-BY$51</f>
        <v>-60670.09</v>
      </c>
      <c r="BZ52" s="47">
        <f>SUMIF('BS-Details'!$D:$D,BZ$4&amp;"-"&amp;BZ$7,'BS-Details'!$K:$K)-BZ$51</f>
        <v>-406992.1</v>
      </c>
      <c r="CA52" s="47">
        <f>SUMIF('BS-Details'!$D:$D,CA$4&amp;"-"&amp;CA$7,'BS-Details'!$K:$K)-CA$51</f>
        <v>-17616839.22</v>
      </c>
      <c r="CB52" s="47">
        <f>SUMIF('BS-Details'!$D:$D,CB$4&amp;"-"&amp;CB$7,'BS-Details'!$K:$K)-CB$51</f>
        <v>-584918.08</v>
      </c>
      <c r="CC52" s="47">
        <f>SUMIF('BS-Details'!$D:$D,CC$4&amp;"-"&amp;CC$7,'BS-Details'!$K:$K)-CC$51</f>
        <v>-163535.35</v>
      </c>
      <c r="CD52" s="39">
        <f>SUM(D52:CC52)</f>
        <v>-19868336.67</v>
      </c>
    </row>
    <row r="53" spans="2:82" s="39" customFormat="true" ht="12" customHeight="true">
      <c r="B53" s="39" t="s">
        <v>34195</v>
      </c>
      <c r="T53" s="51"/>
      <c r="Z53" s="51"/>
      <c r="AA53" s="51"/>
      <c r="AB53" s="51"/>
      <c r="AC53" s="51"/>
      <c r="AE53" s="51"/>
      <c r="AH53" s="51"/>
      <c r="AS53" s="51"/>
      <c r="CD53" s="39">
        <f>SUM(D53:CC53)</f>
        <v>0</v>
      </c>
    </row>
    <row r="54" spans="4:81" s="39" customFormat="true" ht="12" customHeight="true">
      <c r="D54" s="46">
        <v>14662</v>
      </c>
      <c r="E54" s="46"/>
      <c r="F54" s="46"/>
      <c r="G54" s="46"/>
      <c r="H54" s="46">
        <v>4545.31</v>
      </c>
      <c r="I54" s="46"/>
      <c r="J54" s="46"/>
      <c r="K54" s="46">
        <v>-442.34</v>
      </c>
      <c r="L54" s="46">
        <v>66618.92</v>
      </c>
      <c r="M54" s="46"/>
      <c r="N54" s="46"/>
      <c r="O54" s="46"/>
      <c r="P54" s="46">
        <v>-5351.38</v>
      </c>
      <c r="Q54" s="46"/>
      <c r="R54" s="46">
        <v>-478.84</v>
      </c>
      <c r="S54" s="46"/>
      <c r="T54" s="51"/>
      <c r="U54" s="46"/>
      <c r="V54" s="46"/>
      <c r="W54" s="46"/>
      <c r="X54" s="46"/>
      <c r="Y54" s="46"/>
      <c r="Z54" s="51"/>
      <c r="AA54" s="51"/>
      <c r="AB54" s="51"/>
      <c r="AC54" s="51"/>
      <c r="AD54" s="46"/>
      <c r="AE54" s="51"/>
      <c r="AF54" s="46">
        <v>108327.24</v>
      </c>
      <c r="AG54" s="46">
        <v>-74.07</v>
      </c>
      <c r="AH54" s="51"/>
      <c r="AI54" s="46"/>
      <c r="AJ54" s="46"/>
      <c r="AK54" s="46"/>
      <c r="AL54" s="46"/>
      <c r="AM54" s="46"/>
      <c r="AN54" s="46"/>
      <c r="AO54" s="46">
        <v>0.01</v>
      </c>
      <c r="AP54" s="46">
        <v>41000</v>
      </c>
      <c r="AQ54" s="46"/>
      <c r="AR54" s="46"/>
      <c r="AS54" s="51"/>
      <c r="AT54" s="46"/>
      <c r="AU54" s="46"/>
      <c r="AV54" s="46">
        <v>-64.14</v>
      </c>
      <c r="AW54" s="46"/>
      <c r="AX54" s="46"/>
      <c r="AY54" s="46"/>
      <c r="AZ54" s="46"/>
      <c r="BA54" s="46"/>
      <c r="BB54" s="46">
        <v>19.12</v>
      </c>
      <c r="BC54" s="46"/>
      <c r="BD54" s="46"/>
      <c r="BE54" s="46"/>
      <c r="BF54" s="46"/>
      <c r="BG54" s="46"/>
      <c r="BH54" s="46"/>
      <c r="BI54" s="46"/>
      <c r="BJ54" s="46"/>
      <c r="BK54" s="46"/>
      <c r="BL54" s="46"/>
      <c r="BM54" s="46"/>
      <c r="BN54" s="46"/>
      <c r="BO54" s="46"/>
      <c r="BP54" s="46"/>
      <c r="BQ54" s="46"/>
      <c r="BR54" s="46"/>
      <c r="BS54" s="46"/>
      <c r="BT54" s="46"/>
      <c r="BU54" s="46"/>
      <c r="BV54" s="46"/>
      <c r="BW54" s="46">
        <v>-20</v>
      </c>
      <c r="BX54" s="46"/>
      <c r="BY54" s="46"/>
      <c r="BZ54" s="46"/>
      <c r="CA54" s="46">
        <v>15</v>
      </c>
      <c r="CB54" s="46"/>
      <c r="CC54" s="46"/>
    </row>
    <row r="55" spans="4:81" s="39" customFormat="true" ht="12" customHeight="true">
      <c r="D55" s="46"/>
      <c r="E55" s="46"/>
      <c r="F55" s="46"/>
      <c r="G55" s="46"/>
      <c r="H55" s="46"/>
      <c r="I55" s="46"/>
      <c r="J55" s="46"/>
      <c r="K55" s="46">
        <v>-55000</v>
      </c>
      <c r="L55" s="46"/>
      <c r="M55" s="46"/>
      <c r="N55" s="46"/>
      <c r="O55" s="46"/>
      <c r="P55" s="46">
        <v>-138.46</v>
      </c>
      <c r="Q55" s="46"/>
      <c r="R55" s="46"/>
      <c r="S55" s="46"/>
      <c r="T55" s="51"/>
      <c r="U55" s="46"/>
      <c r="V55" s="46"/>
      <c r="W55" s="46"/>
      <c r="X55" s="46"/>
      <c r="Y55" s="46"/>
      <c r="Z55" s="51"/>
      <c r="AA55" s="51"/>
      <c r="AB55" s="51"/>
      <c r="AC55" s="51"/>
      <c r="AD55" s="46"/>
      <c r="AE55" s="51"/>
      <c r="AF55" s="46"/>
      <c r="AG55" s="46"/>
      <c r="AH55" s="51"/>
      <c r="AI55" s="46"/>
      <c r="AJ55" s="46"/>
      <c r="AK55" s="46"/>
      <c r="AL55" s="46"/>
      <c r="AM55" s="46"/>
      <c r="AN55" s="46"/>
      <c r="AO55" s="46"/>
      <c r="AP55" s="46"/>
      <c r="AQ55" s="46"/>
      <c r="AR55" s="46"/>
      <c r="AS55" s="51"/>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row>
    <row r="56" spans="4:81" s="39" customFormat="true" ht="12" customHeight="true">
      <c r="D56" s="46"/>
      <c r="E56" s="46"/>
      <c r="F56" s="46"/>
      <c r="G56" s="46"/>
      <c r="H56" s="46"/>
      <c r="I56" s="46"/>
      <c r="J56" s="46"/>
      <c r="K56" s="46">
        <v>-55000</v>
      </c>
      <c r="L56" s="46"/>
      <c r="M56" s="46"/>
      <c r="N56" s="46"/>
      <c r="O56" s="46"/>
      <c r="P56" s="46"/>
      <c r="Q56" s="46"/>
      <c r="R56" s="46"/>
      <c r="S56" s="46"/>
      <c r="T56" s="51"/>
      <c r="U56" s="46"/>
      <c r="V56" s="46"/>
      <c r="W56" s="46"/>
      <c r="X56" s="46"/>
      <c r="Y56" s="46"/>
      <c r="Z56" s="51"/>
      <c r="AA56" s="51"/>
      <c r="AB56" s="51"/>
      <c r="AC56" s="51"/>
      <c r="AD56" s="46"/>
      <c r="AE56" s="51"/>
      <c r="AF56" s="46"/>
      <c r="AG56" s="46"/>
      <c r="AH56" s="51"/>
      <c r="AI56" s="46"/>
      <c r="AJ56" s="46"/>
      <c r="AK56" s="46"/>
      <c r="AL56" s="46"/>
      <c r="AM56" s="46"/>
      <c r="AN56" s="46"/>
      <c r="AO56" s="46"/>
      <c r="AP56" s="46"/>
      <c r="AQ56" s="46"/>
      <c r="AR56" s="46"/>
      <c r="AS56" s="51"/>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row>
    <row r="57" spans="2:82" s="39" customFormat="true" ht="12" customHeight="true">
      <c r="B57" s="39" t="s">
        <v>34196</v>
      </c>
      <c r="D57" s="39">
        <f t="shared" ref="D57:T57" si="6">+SUM(D53:D56)</f>
        <v>14662</v>
      </c>
      <c r="E57" s="39">
        <f t="shared" si="6"/>
        <v>0</v>
      </c>
      <c r="F57" s="39">
        <f t="shared" si="6"/>
        <v>0</v>
      </c>
      <c r="G57" s="39">
        <f t="shared" si="6"/>
        <v>0</v>
      </c>
      <c r="H57" s="39">
        <f t="shared" si="6"/>
        <v>4545.31</v>
      </c>
      <c r="I57" s="39">
        <f t="shared" si="6"/>
        <v>0</v>
      </c>
      <c r="J57" s="39">
        <f t="shared" si="6"/>
        <v>0</v>
      </c>
      <c r="K57" s="39">
        <f t="shared" si="6"/>
        <v>-110442.34</v>
      </c>
      <c r="L57" s="39">
        <f t="shared" si="6"/>
        <v>66618.92</v>
      </c>
      <c r="M57" s="39">
        <f t="shared" si="6"/>
        <v>0</v>
      </c>
      <c r="N57" s="39">
        <f t="shared" si="6"/>
        <v>0</v>
      </c>
      <c r="O57" s="39">
        <f t="shared" si="6"/>
        <v>0</v>
      </c>
      <c r="P57" s="39">
        <f t="shared" si="6"/>
        <v>-5489.84</v>
      </c>
      <c r="Q57" s="39">
        <f t="shared" si="6"/>
        <v>0</v>
      </c>
      <c r="R57" s="39">
        <f t="shared" si="6"/>
        <v>-478.84</v>
      </c>
      <c r="S57" s="39">
        <f t="shared" si="6"/>
        <v>0</v>
      </c>
      <c r="T57" s="51">
        <f t="shared" si="6"/>
        <v>0</v>
      </c>
      <c r="U57" s="39">
        <f>+SUM(U54:U56)</f>
        <v>0</v>
      </c>
      <c r="V57" s="39">
        <f t="shared" ref="V57:CC57" si="7">+SUM(V53:V56)</f>
        <v>0</v>
      </c>
      <c r="W57" s="39">
        <f t="shared" si="7"/>
        <v>0</v>
      </c>
      <c r="X57" s="39">
        <f t="shared" si="7"/>
        <v>0</v>
      </c>
      <c r="Y57" s="39">
        <f t="shared" si="7"/>
        <v>0</v>
      </c>
      <c r="Z57" s="51">
        <f t="shared" si="7"/>
        <v>0</v>
      </c>
      <c r="AA57" s="51">
        <f t="shared" si="7"/>
        <v>0</v>
      </c>
      <c r="AB57" s="51">
        <f t="shared" si="7"/>
        <v>0</v>
      </c>
      <c r="AC57" s="51">
        <f t="shared" si="7"/>
        <v>0</v>
      </c>
      <c r="AD57" s="39">
        <f t="shared" si="7"/>
        <v>0</v>
      </c>
      <c r="AE57" s="51">
        <f t="shared" si="7"/>
        <v>0</v>
      </c>
      <c r="AF57" s="39">
        <f t="shared" si="7"/>
        <v>108327.24</v>
      </c>
      <c r="AG57" s="39">
        <f t="shared" si="7"/>
        <v>-74.07</v>
      </c>
      <c r="AH57" s="51">
        <f t="shared" si="7"/>
        <v>0</v>
      </c>
      <c r="AI57" s="39">
        <f t="shared" si="7"/>
        <v>0</v>
      </c>
      <c r="AJ57" s="39">
        <f t="shared" si="7"/>
        <v>0</v>
      </c>
      <c r="AK57" s="39">
        <f t="shared" si="7"/>
        <v>0</v>
      </c>
      <c r="AL57" s="39">
        <f t="shared" si="7"/>
        <v>0</v>
      </c>
      <c r="AM57" s="39">
        <f t="shared" si="7"/>
        <v>0</v>
      </c>
      <c r="AN57" s="39">
        <f t="shared" si="7"/>
        <v>0</v>
      </c>
      <c r="AO57" s="39">
        <f t="shared" si="7"/>
        <v>0.01</v>
      </c>
      <c r="AP57" s="39">
        <f t="shared" si="7"/>
        <v>41000</v>
      </c>
      <c r="AQ57" s="39">
        <f t="shared" si="7"/>
        <v>0</v>
      </c>
      <c r="AR57" s="39">
        <f t="shared" si="7"/>
        <v>0</v>
      </c>
      <c r="AS57" s="51">
        <f t="shared" si="7"/>
        <v>0</v>
      </c>
      <c r="AT57" s="39">
        <f t="shared" si="7"/>
        <v>0</v>
      </c>
      <c r="AU57" s="39">
        <f t="shared" si="7"/>
        <v>0</v>
      </c>
      <c r="AV57" s="39">
        <f t="shared" si="7"/>
        <v>-64.14</v>
      </c>
      <c r="AW57" s="39">
        <f t="shared" si="7"/>
        <v>0</v>
      </c>
      <c r="AX57" s="39">
        <f t="shared" si="7"/>
        <v>0</v>
      </c>
      <c r="AY57" s="39">
        <f t="shared" si="7"/>
        <v>0</v>
      </c>
      <c r="AZ57" s="39">
        <f t="shared" si="7"/>
        <v>0</v>
      </c>
      <c r="BA57" s="39">
        <f t="shared" si="7"/>
        <v>0</v>
      </c>
      <c r="BB57" s="39">
        <f t="shared" si="7"/>
        <v>19.12</v>
      </c>
      <c r="BC57" s="39">
        <f t="shared" si="7"/>
        <v>0</v>
      </c>
      <c r="BD57" s="39">
        <f t="shared" si="7"/>
        <v>0</v>
      </c>
      <c r="BE57" s="39">
        <f t="shared" si="7"/>
        <v>0</v>
      </c>
      <c r="BF57" s="39">
        <f t="shared" si="7"/>
        <v>0</v>
      </c>
      <c r="BG57" s="39">
        <f t="shared" si="7"/>
        <v>0</v>
      </c>
      <c r="BH57" s="39">
        <f t="shared" si="7"/>
        <v>0</v>
      </c>
      <c r="BI57" s="39">
        <f t="shared" si="7"/>
        <v>0</v>
      </c>
      <c r="BJ57" s="39">
        <f t="shared" si="7"/>
        <v>0</v>
      </c>
      <c r="BK57" s="39">
        <f t="shared" si="7"/>
        <v>0</v>
      </c>
      <c r="BL57" s="39">
        <f t="shared" si="7"/>
        <v>0</v>
      </c>
      <c r="BM57" s="39">
        <f t="shared" si="7"/>
        <v>0</v>
      </c>
      <c r="BN57" s="39">
        <f t="shared" si="7"/>
        <v>0</v>
      </c>
      <c r="BO57" s="39">
        <f t="shared" si="7"/>
        <v>0</v>
      </c>
      <c r="BP57" s="39">
        <f t="shared" si="7"/>
        <v>0</v>
      </c>
      <c r="BQ57" s="39">
        <f t="shared" si="7"/>
        <v>0</v>
      </c>
      <c r="BR57" s="39">
        <f t="shared" si="7"/>
        <v>0</v>
      </c>
      <c r="BS57" s="39">
        <f t="shared" si="7"/>
        <v>0</v>
      </c>
      <c r="BT57" s="39">
        <f t="shared" si="7"/>
        <v>0</v>
      </c>
      <c r="BU57" s="39">
        <f t="shared" si="7"/>
        <v>0</v>
      </c>
      <c r="BV57" s="39">
        <f t="shared" si="7"/>
        <v>0</v>
      </c>
      <c r="BW57" s="39">
        <f t="shared" si="7"/>
        <v>-20</v>
      </c>
      <c r="BX57" s="39">
        <f t="shared" si="7"/>
        <v>0</v>
      </c>
      <c r="BY57" s="39">
        <f t="shared" si="7"/>
        <v>0</v>
      </c>
      <c r="BZ57" s="39">
        <f t="shared" si="7"/>
        <v>0</v>
      </c>
      <c r="CA57" s="39">
        <f t="shared" si="7"/>
        <v>15</v>
      </c>
      <c r="CB57" s="39">
        <f t="shared" si="7"/>
        <v>0</v>
      </c>
      <c r="CC57" s="39">
        <f t="shared" si="7"/>
        <v>0</v>
      </c>
      <c r="CD57" s="39">
        <f>SUM(D57:CC57)</f>
        <v>118618.37</v>
      </c>
    </row>
    <row r="58" spans="20:45" s="39" customFormat="true" ht="12" customHeight="true">
      <c r="T58" s="51"/>
      <c r="Z58" s="51"/>
      <c r="AA58" s="51"/>
      <c r="AB58" s="51"/>
      <c r="AC58" s="51"/>
      <c r="AE58" s="51"/>
      <c r="AH58" s="51"/>
      <c r="AS58" s="51"/>
    </row>
    <row r="59" spans="2:45" s="39" customFormat="true" ht="12" customHeight="true">
      <c r="B59" s="39" t="s">
        <v>34197</v>
      </c>
      <c r="T59" s="51"/>
      <c r="Z59" s="51"/>
      <c r="AA59" s="51"/>
      <c r="AB59" s="51"/>
      <c r="AC59" s="51"/>
      <c r="AE59" s="51"/>
      <c r="AH59" s="51"/>
      <c r="AS59" s="51"/>
    </row>
    <row r="60" spans="4:81" s="39" customFormat="true" ht="12" customHeight="true">
      <c r="D60" s="46"/>
      <c r="E60" s="46"/>
      <c r="F60" s="46"/>
      <c r="G60" s="46"/>
      <c r="H60" s="46"/>
      <c r="I60" s="46"/>
      <c r="J60" s="46">
        <v>0</v>
      </c>
      <c r="K60" s="46"/>
      <c r="L60" s="46"/>
      <c r="M60" s="46"/>
      <c r="N60" s="46"/>
      <c r="O60" s="46"/>
      <c r="P60" s="46"/>
      <c r="Q60" s="46"/>
      <c r="R60" s="46"/>
      <c r="S60" s="46"/>
      <c r="T60" s="51"/>
      <c r="U60" s="46"/>
      <c r="V60" s="46"/>
      <c r="W60" s="46"/>
      <c r="X60" s="46"/>
      <c r="Y60" s="46"/>
      <c r="Z60" s="51"/>
      <c r="AA60" s="51"/>
      <c r="AB60" s="51"/>
      <c r="AC60" s="51"/>
      <c r="AD60" s="46"/>
      <c r="AE60" s="51"/>
      <c r="AF60" s="46"/>
      <c r="AG60" s="46"/>
      <c r="AH60" s="51"/>
      <c r="AI60" s="46"/>
      <c r="AJ60" s="46"/>
      <c r="AK60" s="46"/>
      <c r="AL60" s="46"/>
      <c r="AM60" s="46"/>
      <c r="AN60" s="46"/>
      <c r="AO60" s="46"/>
      <c r="AP60" s="46"/>
      <c r="AQ60" s="46"/>
      <c r="AR60" s="46"/>
      <c r="AS60" s="51"/>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row>
    <row r="61" spans="4:81" s="39" customFormat="true" ht="12" customHeight="true">
      <c r="D61" s="46"/>
      <c r="E61" s="46"/>
      <c r="F61" s="46"/>
      <c r="G61" s="46"/>
      <c r="H61" s="46"/>
      <c r="I61" s="46"/>
      <c r="J61" s="46"/>
      <c r="K61" s="46"/>
      <c r="L61" s="46"/>
      <c r="M61" s="46"/>
      <c r="N61" s="46"/>
      <c r="O61" s="46"/>
      <c r="P61" s="46"/>
      <c r="Q61" s="46"/>
      <c r="R61" s="46"/>
      <c r="S61" s="46"/>
      <c r="T61" s="51"/>
      <c r="U61" s="46"/>
      <c r="V61" s="46"/>
      <c r="W61" s="46"/>
      <c r="X61" s="46"/>
      <c r="Y61" s="46"/>
      <c r="Z61" s="51"/>
      <c r="AA61" s="51"/>
      <c r="AB61" s="51"/>
      <c r="AC61" s="51"/>
      <c r="AD61" s="46"/>
      <c r="AE61" s="51"/>
      <c r="AF61" s="46"/>
      <c r="AG61" s="46"/>
      <c r="AH61" s="51"/>
      <c r="AI61" s="46"/>
      <c r="AJ61" s="46"/>
      <c r="AK61" s="46"/>
      <c r="AL61" s="46"/>
      <c r="AM61" s="46"/>
      <c r="AN61" s="46"/>
      <c r="AO61" s="46"/>
      <c r="AP61" s="46"/>
      <c r="AQ61" s="46"/>
      <c r="AR61" s="46"/>
      <c r="AS61" s="51"/>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row>
    <row r="62" spans="4:81" s="39" customFormat="true" ht="12" customHeight="true">
      <c r="D62" s="46"/>
      <c r="E62" s="46"/>
      <c r="F62" s="46"/>
      <c r="G62" s="46"/>
      <c r="H62" s="46"/>
      <c r="I62" s="46"/>
      <c r="J62" s="46"/>
      <c r="K62" s="46"/>
      <c r="L62" s="46"/>
      <c r="M62" s="46"/>
      <c r="N62" s="46"/>
      <c r="O62" s="46"/>
      <c r="P62" s="46"/>
      <c r="Q62" s="46"/>
      <c r="R62" s="46"/>
      <c r="S62" s="46"/>
      <c r="T62" s="51"/>
      <c r="U62" s="46"/>
      <c r="V62" s="46"/>
      <c r="W62" s="46"/>
      <c r="X62" s="46"/>
      <c r="Y62" s="46"/>
      <c r="Z62" s="51"/>
      <c r="AA62" s="51"/>
      <c r="AB62" s="51"/>
      <c r="AC62" s="51"/>
      <c r="AD62" s="46"/>
      <c r="AE62" s="51"/>
      <c r="AF62" s="46"/>
      <c r="AG62" s="46"/>
      <c r="AH62" s="51"/>
      <c r="AI62" s="46"/>
      <c r="AJ62" s="46"/>
      <c r="AK62" s="46"/>
      <c r="AL62" s="46"/>
      <c r="AM62" s="46"/>
      <c r="AN62" s="46"/>
      <c r="AO62" s="46"/>
      <c r="AP62" s="46"/>
      <c r="AQ62" s="46"/>
      <c r="AR62" s="46"/>
      <c r="AS62" s="51"/>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row>
    <row r="63" spans="4:81" s="39" customFormat="true" ht="12" customHeight="true">
      <c r="D63" s="46"/>
      <c r="E63" s="46"/>
      <c r="F63" s="46"/>
      <c r="G63" s="46"/>
      <c r="H63" s="46"/>
      <c r="I63" s="46"/>
      <c r="J63" s="46"/>
      <c r="K63" s="46"/>
      <c r="L63" s="46"/>
      <c r="M63" s="46"/>
      <c r="N63" s="46"/>
      <c r="O63" s="46"/>
      <c r="P63" s="46"/>
      <c r="Q63" s="46"/>
      <c r="R63" s="46"/>
      <c r="S63" s="46"/>
      <c r="T63" s="51"/>
      <c r="U63" s="46"/>
      <c r="V63" s="46"/>
      <c r="W63" s="46"/>
      <c r="X63" s="46"/>
      <c r="Y63" s="46"/>
      <c r="Z63" s="51"/>
      <c r="AA63" s="51"/>
      <c r="AB63" s="51"/>
      <c r="AC63" s="51"/>
      <c r="AD63" s="46"/>
      <c r="AE63" s="51"/>
      <c r="AF63" s="46"/>
      <c r="AG63" s="46"/>
      <c r="AH63" s="51"/>
      <c r="AI63" s="46"/>
      <c r="AJ63" s="46"/>
      <c r="AK63" s="46"/>
      <c r="AL63" s="46"/>
      <c r="AM63" s="46"/>
      <c r="AN63" s="46"/>
      <c r="AO63" s="46"/>
      <c r="AP63" s="46"/>
      <c r="AQ63" s="46"/>
      <c r="AR63" s="46"/>
      <c r="AS63" s="51"/>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row>
    <row r="64" spans="4:81" s="39" customFormat="true" ht="12" customHeight="true">
      <c r="D64" s="46"/>
      <c r="E64" s="46"/>
      <c r="F64" s="46"/>
      <c r="G64" s="46"/>
      <c r="H64" s="46"/>
      <c r="I64" s="46"/>
      <c r="J64" s="46"/>
      <c r="K64" s="46"/>
      <c r="L64" s="46"/>
      <c r="M64" s="46"/>
      <c r="N64" s="46"/>
      <c r="O64" s="46"/>
      <c r="P64" s="46"/>
      <c r="Q64" s="46"/>
      <c r="R64" s="46"/>
      <c r="S64" s="46"/>
      <c r="T64" s="51"/>
      <c r="U64" s="46"/>
      <c r="V64" s="46"/>
      <c r="W64" s="46"/>
      <c r="X64" s="46"/>
      <c r="Y64" s="46"/>
      <c r="Z64" s="51"/>
      <c r="AA64" s="51"/>
      <c r="AB64" s="51"/>
      <c r="AC64" s="51"/>
      <c r="AD64" s="46"/>
      <c r="AE64" s="51"/>
      <c r="AF64" s="46"/>
      <c r="AG64" s="46"/>
      <c r="AH64" s="51"/>
      <c r="AI64" s="46"/>
      <c r="AJ64" s="46"/>
      <c r="AK64" s="46"/>
      <c r="AL64" s="46"/>
      <c r="AM64" s="46"/>
      <c r="AN64" s="46"/>
      <c r="AO64" s="46"/>
      <c r="AP64" s="46"/>
      <c r="AQ64" s="46"/>
      <c r="AR64" s="46"/>
      <c r="AS64" s="51"/>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row>
    <row r="65" spans="4:81" s="39" customFormat="true" ht="12" customHeight="true">
      <c r="D65" s="46"/>
      <c r="E65" s="46"/>
      <c r="F65" s="46"/>
      <c r="G65" s="46"/>
      <c r="H65" s="46"/>
      <c r="I65" s="46"/>
      <c r="J65" s="46"/>
      <c r="K65" s="46"/>
      <c r="L65" s="46"/>
      <c r="M65" s="46"/>
      <c r="N65" s="46"/>
      <c r="O65" s="46"/>
      <c r="P65" s="46"/>
      <c r="Q65" s="46"/>
      <c r="R65" s="46"/>
      <c r="S65" s="46"/>
      <c r="T65" s="51"/>
      <c r="U65" s="46"/>
      <c r="V65" s="46"/>
      <c r="W65" s="46"/>
      <c r="X65" s="46"/>
      <c r="Y65" s="46"/>
      <c r="Z65" s="51"/>
      <c r="AA65" s="51"/>
      <c r="AB65" s="51"/>
      <c r="AC65" s="51"/>
      <c r="AD65" s="46"/>
      <c r="AE65" s="51"/>
      <c r="AF65" s="46"/>
      <c r="AG65" s="46"/>
      <c r="AH65" s="51"/>
      <c r="AI65" s="46"/>
      <c r="AJ65" s="46"/>
      <c r="AK65" s="46"/>
      <c r="AL65" s="46"/>
      <c r="AM65" s="46"/>
      <c r="AN65" s="46"/>
      <c r="AO65" s="46"/>
      <c r="AP65" s="46"/>
      <c r="AQ65" s="46"/>
      <c r="AR65" s="46"/>
      <c r="AS65" s="51"/>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row>
    <row r="66" spans="4:81" s="39" customFormat="true" ht="12" customHeight="true">
      <c r="D66" s="46"/>
      <c r="E66" s="46"/>
      <c r="F66" s="46"/>
      <c r="G66" s="46"/>
      <c r="H66" s="46"/>
      <c r="I66" s="46"/>
      <c r="J66" s="46"/>
      <c r="K66" s="46"/>
      <c r="L66" s="46"/>
      <c r="M66" s="46"/>
      <c r="N66" s="46"/>
      <c r="O66" s="46"/>
      <c r="P66" s="46"/>
      <c r="Q66" s="46"/>
      <c r="R66" s="46"/>
      <c r="S66" s="46"/>
      <c r="T66" s="51"/>
      <c r="U66" s="46"/>
      <c r="V66" s="46"/>
      <c r="W66" s="46"/>
      <c r="X66" s="46"/>
      <c r="Y66" s="46"/>
      <c r="Z66" s="51"/>
      <c r="AA66" s="51"/>
      <c r="AB66" s="51"/>
      <c r="AC66" s="51"/>
      <c r="AD66" s="46"/>
      <c r="AE66" s="51"/>
      <c r="AF66" s="46"/>
      <c r="AG66" s="46"/>
      <c r="AH66" s="51"/>
      <c r="AI66" s="46"/>
      <c r="AJ66" s="46"/>
      <c r="AK66" s="46"/>
      <c r="AL66" s="46"/>
      <c r="AM66" s="46"/>
      <c r="AN66" s="46"/>
      <c r="AO66" s="46"/>
      <c r="AP66" s="46"/>
      <c r="AQ66" s="46"/>
      <c r="AR66" s="46"/>
      <c r="AS66" s="51"/>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row>
    <row r="67" spans="4:81" s="39" customFormat="true" ht="12" customHeight="true">
      <c r="D67" s="46"/>
      <c r="E67" s="46"/>
      <c r="F67" s="46"/>
      <c r="G67" s="46"/>
      <c r="H67" s="46"/>
      <c r="I67" s="46"/>
      <c r="J67" s="46"/>
      <c r="K67" s="46"/>
      <c r="L67" s="46"/>
      <c r="M67" s="46"/>
      <c r="N67" s="46"/>
      <c r="O67" s="46"/>
      <c r="P67" s="46"/>
      <c r="Q67" s="46"/>
      <c r="R67" s="46"/>
      <c r="S67" s="46"/>
      <c r="T67" s="51"/>
      <c r="U67" s="46"/>
      <c r="V67" s="46"/>
      <c r="W67" s="46"/>
      <c r="X67" s="46"/>
      <c r="Y67" s="46"/>
      <c r="Z67" s="51"/>
      <c r="AA67" s="51"/>
      <c r="AB67" s="51"/>
      <c r="AC67" s="51"/>
      <c r="AD67" s="46"/>
      <c r="AE67" s="51"/>
      <c r="AF67" s="46"/>
      <c r="AG67" s="46"/>
      <c r="AH67" s="51"/>
      <c r="AI67" s="46"/>
      <c r="AJ67" s="46"/>
      <c r="AK67" s="46"/>
      <c r="AL67" s="46"/>
      <c r="AM67" s="46"/>
      <c r="AN67" s="46"/>
      <c r="AO67" s="46"/>
      <c r="AP67" s="46"/>
      <c r="AQ67" s="46"/>
      <c r="AR67" s="46"/>
      <c r="AS67" s="51"/>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row>
    <row r="68" spans="4:81" s="39" customFormat="true" ht="12" customHeight="true">
      <c r="D68" s="46"/>
      <c r="E68" s="46"/>
      <c r="F68" s="46"/>
      <c r="G68" s="46"/>
      <c r="H68" s="46"/>
      <c r="I68" s="46"/>
      <c r="J68" s="46"/>
      <c r="K68" s="46"/>
      <c r="L68" s="46"/>
      <c r="M68" s="46"/>
      <c r="N68" s="46"/>
      <c r="O68" s="46"/>
      <c r="P68" s="46"/>
      <c r="Q68" s="46"/>
      <c r="R68" s="46"/>
      <c r="S68" s="46"/>
      <c r="T68" s="51"/>
      <c r="U68" s="46"/>
      <c r="V68" s="46"/>
      <c r="W68" s="46"/>
      <c r="X68" s="46"/>
      <c r="Y68" s="46"/>
      <c r="Z68" s="51"/>
      <c r="AA68" s="51"/>
      <c r="AB68" s="51"/>
      <c r="AC68" s="51"/>
      <c r="AD68" s="46"/>
      <c r="AE68" s="51"/>
      <c r="AF68" s="46"/>
      <c r="AG68" s="46"/>
      <c r="AH68" s="51"/>
      <c r="AI68" s="46"/>
      <c r="AJ68" s="46"/>
      <c r="AK68" s="46"/>
      <c r="AL68" s="46"/>
      <c r="AM68" s="46"/>
      <c r="AN68" s="46"/>
      <c r="AO68" s="46"/>
      <c r="AP68" s="46"/>
      <c r="AQ68" s="46"/>
      <c r="AR68" s="46"/>
      <c r="AS68" s="51"/>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row>
    <row r="69" spans="4:81" s="39" customFormat="true" ht="12" customHeight="true">
      <c r="D69" s="46"/>
      <c r="E69" s="46"/>
      <c r="F69" s="46"/>
      <c r="G69" s="46"/>
      <c r="H69" s="46"/>
      <c r="I69" s="46"/>
      <c r="J69" s="46"/>
      <c r="K69" s="46"/>
      <c r="L69" s="46"/>
      <c r="M69" s="46"/>
      <c r="N69" s="46"/>
      <c r="O69" s="46"/>
      <c r="P69" s="46"/>
      <c r="Q69" s="46"/>
      <c r="R69" s="46"/>
      <c r="S69" s="46"/>
      <c r="T69" s="51"/>
      <c r="U69" s="46"/>
      <c r="V69" s="46"/>
      <c r="W69" s="46"/>
      <c r="X69" s="46"/>
      <c r="Y69" s="46"/>
      <c r="Z69" s="51"/>
      <c r="AA69" s="51"/>
      <c r="AB69" s="51"/>
      <c r="AC69" s="51"/>
      <c r="AD69" s="46"/>
      <c r="AE69" s="51"/>
      <c r="AF69" s="46"/>
      <c r="AG69" s="46"/>
      <c r="AH69" s="51"/>
      <c r="AI69" s="46"/>
      <c r="AJ69" s="46"/>
      <c r="AK69" s="46"/>
      <c r="AL69" s="46"/>
      <c r="AM69" s="46"/>
      <c r="AN69" s="46"/>
      <c r="AO69" s="46"/>
      <c r="AP69" s="46"/>
      <c r="AQ69" s="46"/>
      <c r="AR69" s="46"/>
      <c r="AS69" s="51"/>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row>
    <row r="70" spans="4:81" s="39" customFormat="true" ht="12" customHeight="true">
      <c r="D70" s="46"/>
      <c r="E70" s="46"/>
      <c r="F70" s="46"/>
      <c r="G70" s="46"/>
      <c r="H70" s="46"/>
      <c r="I70" s="46"/>
      <c r="J70" s="46"/>
      <c r="K70" s="46"/>
      <c r="L70" s="46"/>
      <c r="M70" s="46"/>
      <c r="N70" s="46"/>
      <c r="O70" s="46"/>
      <c r="P70" s="46"/>
      <c r="Q70" s="46"/>
      <c r="R70" s="46"/>
      <c r="S70" s="46"/>
      <c r="T70" s="51"/>
      <c r="U70" s="46"/>
      <c r="V70" s="46"/>
      <c r="W70" s="46"/>
      <c r="X70" s="46"/>
      <c r="Y70" s="46"/>
      <c r="Z70" s="51"/>
      <c r="AA70" s="51"/>
      <c r="AB70" s="51"/>
      <c r="AC70" s="51"/>
      <c r="AD70" s="46"/>
      <c r="AE70" s="51"/>
      <c r="AF70" s="46"/>
      <c r="AG70" s="46"/>
      <c r="AH70" s="51"/>
      <c r="AI70" s="46"/>
      <c r="AJ70" s="46"/>
      <c r="AK70" s="46"/>
      <c r="AL70" s="46"/>
      <c r="AM70" s="46"/>
      <c r="AN70" s="46"/>
      <c r="AO70" s="46"/>
      <c r="AP70" s="46"/>
      <c r="AQ70" s="46"/>
      <c r="AR70" s="46"/>
      <c r="AS70" s="51"/>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row>
    <row r="71" spans="4:81" s="39" customFormat="true" ht="12" customHeight="true">
      <c r="D71" s="46"/>
      <c r="E71" s="46"/>
      <c r="F71" s="46"/>
      <c r="G71" s="46"/>
      <c r="H71" s="46"/>
      <c r="I71" s="46"/>
      <c r="J71" s="46"/>
      <c r="K71" s="46"/>
      <c r="L71" s="46"/>
      <c r="M71" s="46"/>
      <c r="N71" s="46"/>
      <c r="O71" s="46"/>
      <c r="P71" s="46"/>
      <c r="Q71" s="46"/>
      <c r="R71" s="46"/>
      <c r="S71" s="46"/>
      <c r="T71" s="51"/>
      <c r="U71" s="46"/>
      <c r="V71" s="46"/>
      <c r="W71" s="46"/>
      <c r="X71" s="46"/>
      <c r="Y71" s="46"/>
      <c r="Z71" s="51"/>
      <c r="AA71" s="51"/>
      <c r="AB71" s="51"/>
      <c r="AC71" s="51"/>
      <c r="AD71" s="46"/>
      <c r="AE71" s="51"/>
      <c r="AF71" s="46"/>
      <c r="AG71" s="46"/>
      <c r="AH71" s="51"/>
      <c r="AI71" s="46"/>
      <c r="AJ71" s="46"/>
      <c r="AK71" s="46"/>
      <c r="AL71" s="46"/>
      <c r="AM71" s="46"/>
      <c r="AN71" s="46"/>
      <c r="AO71" s="46"/>
      <c r="AP71" s="46"/>
      <c r="AQ71" s="46"/>
      <c r="AR71" s="46"/>
      <c r="AS71" s="51"/>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row>
    <row r="72" spans="4:81" s="39" customFormat="true" ht="12" customHeight="true">
      <c r="D72" s="46"/>
      <c r="E72" s="46"/>
      <c r="F72" s="46"/>
      <c r="G72" s="46"/>
      <c r="H72" s="46"/>
      <c r="I72" s="46"/>
      <c r="J72" s="46"/>
      <c r="K72" s="46"/>
      <c r="L72" s="46"/>
      <c r="M72" s="46"/>
      <c r="N72" s="46"/>
      <c r="O72" s="46"/>
      <c r="P72" s="46"/>
      <c r="Q72" s="46"/>
      <c r="R72" s="46"/>
      <c r="S72" s="46"/>
      <c r="T72" s="51"/>
      <c r="U72" s="46"/>
      <c r="V72" s="46"/>
      <c r="W72" s="46"/>
      <c r="X72" s="46"/>
      <c r="Y72" s="46"/>
      <c r="Z72" s="51"/>
      <c r="AA72" s="51"/>
      <c r="AB72" s="51"/>
      <c r="AC72" s="51"/>
      <c r="AD72" s="46"/>
      <c r="AE72" s="51"/>
      <c r="AF72" s="46"/>
      <c r="AG72" s="46"/>
      <c r="AH72" s="51"/>
      <c r="AI72" s="46"/>
      <c r="AJ72" s="46"/>
      <c r="AK72" s="46"/>
      <c r="AL72" s="46"/>
      <c r="AM72" s="46"/>
      <c r="AN72" s="46"/>
      <c r="AO72" s="46"/>
      <c r="AP72" s="46"/>
      <c r="AQ72" s="46"/>
      <c r="AR72" s="46"/>
      <c r="AS72" s="51"/>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row>
    <row r="73" spans="4:81" s="39" customFormat="true" ht="12" customHeight="true">
      <c r="D73" s="46"/>
      <c r="E73" s="46"/>
      <c r="F73" s="46"/>
      <c r="G73" s="46"/>
      <c r="H73" s="46"/>
      <c r="I73" s="46"/>
      <c r="J73" s="46"/>
      <c r="K73" s="46"/>
      <c r="L73" s="46"/>
      <c r="M73" s="46"/>
      <c r="N73" s="46"/>
      <c r="O73" s="46"/>
      <c r="P73" s="46"/>
      <c r="Q73" s="46"/>
      <c r="R73" s="46"/>
      <c r="S73" s="46"/>
      <c r="T73" s="51"/>
      <c r="U73" s="46"/>
      <c r="V73" s="46"/>
      <c r="W73" s="46"/>
      <c r="X73" s="46"/>
      <c r="Y73" s="46"/>
      <c r="Z73" s="51"/>
      <c r="AA73" s="51"/>
      <c r="AB73" s="51"/>
      <c r="AC73" s="51"/>
      <c r="AD73" s="46"/>
      <c r="AE73" s="51"/>
      <c r="AF73" s="46"/>
      <c r="AG73" s="46"/>
      <c r="AH73" s="51"/>
      <c r="AI73" s="46"/>
      <c r="AJ73" s="46"/>
      <c r="AK73" s="46"/>
      <c r="AL73" s="46"/>
      <c r="AM73" s="46"/>
      <c r="AN73" s="46"/>
      <c r="AO73" s="46"/>
      <c r="AP73" s="46"/>
      <c r="AQ73" s="46"/>
      <c r="AR73" s="46"/>
      <c r="AS73" s="51"/>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row>
    <row r="74" spans="4:81" s="39" customFormat="true" ht="12" customHeight="true">
      <c r="D74" s="46"/>
      <c r="E74" s="46"/>
      <c r="F74" s="46"/>
      <c r="G74" s="46"/>
      <c r="H74" s="46"/>
      <c r="I74" s="46"/>
      <c r="J74" s="46"/>
      <c r="K74" s="46"/>
      <c r="L74" s="46"/>
      <c r="M74" s="46"/>
      <c r="N74" s="46"/>
      <c r="O74" s="46"/>
      <c r="P74" s="46"/>
      <c r="Q74" s="46"/>
      <c r="R74" s="46"/>
      <c r="S74" s="46"/>
      <c r="T74" s="51"/>
      <c r="U74" s="46"/>
      <c r="V74" s="46"/>
      <c r="W74" s="46"/>
      <c r="X74" s="46"/>
      <c r="Y74" s="46"/>
      <c r="Z74" s="51"/>
      <c r="AA74" s="51"/>
      <c r="AB74" s="51"/>
      <c r="AC74" s="51"/>
      <c r="AD74" s="46"/>
      <c r="AE74" s="51"/>
      <c r="AF74" s="46"/>
      <c r="AG74" s="46"/>
      <c r="AH74" s="51"/>
      <c r="AI74" s="46"/>
      <c r="AJ74" s="46"/>
      <c r="AK74" s="46"/>
      <c r="AL74" s="46"/>
      <c r="AM74" s="46"/>
      <c r="AN74" s="46"/>
      <c r="AO74" s="46"/>
      <c r="AP74" s="46"/>
      <c r="AQ74" s="46"/>
      <c r="AR74" s="46"/>
      <c r="AS74" s="51"/>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row>
    <row r="75" spans="4:81" s="39" customFormat="true" ht="12" customHeight="true">
      <c r="D75" s="46"/>
      <c r="E75" s="46"/>
      <c r="F75" s="46"/>
      <c r="G75" s="46"/>
      <c r="H75" s="46"/>
      <c r="I75" s="46"/>
      <c r="J75" s="46"/>
      <c r="K75" s="46"/>
      <c r="L75" s="46"/>
      <c r="M75" s="46"/>
      <c r="N75" s="46"/>
      <c r="O75" s="46"/>
      <c r="P75" s="46"/>
      <c r="Q75" s="46"/>
      <c r="R75" s="46"/>
      <c r="S75" s="46"/>
      <c r="T75" s="51"/>
      <c r="U75" s="46"/>
      <c r="V75" s="46"/>
      <c r="W75" s="46"/>
      <c r="X75" s="46"/>
      <c r="Y75" s="46"/>
      <c r="Z75" s="51"/>
      <c r="AA75" s="51"/>
      <c r="AB75" s="51"/>
      <c r="AC75" s="51"/>
      <c r="AD75" s="46"/>
      <c r="AE75" s="51"/>
      <c r="AF75" s="46"/>
      <c r="AG75" s="46"/>
      <c r="AH75" s="51"/>
      <c r="AI75" s="46"/>
      <c r="AJ75" s="46"/>
      <c r="AK75" s="46"/>
      <c r="AL75" s="46"/>
      <c r="AM75" s="46"/>
      <c r="AN75" s="46"/>
      <c r="AO75" s="46"/>
      <c r="AP75" s="46"/>
      <c r="AQ75" s="46"/>
      <c r="AR75" s="46"/>
      <c r="AS75" s="51"/>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row>
    <row r="76" spans="4:81" s="39" customFormat="true" ht="12" customHeight="true">
      <c r="D76" s="46"/>
      <c r="E76" s="46"/>
      <c r="F76" s="46"/>
      <c r="G76" s="46"/>
      <c r="H76" s="46"/>
      <c r="I76" s="46"/>
      <c r="J76" s="46"/>
      <c r="K76" s="46"/>
      <c r="L76" s="46"/>
      <c r="M76" s="46"/>
      <c r="N76" s="46"/>
      <c r="O76" s="46"/>
      <c r="P76" s="46"/>
      <c r="Q76" s="46"/>
      <c r="R76" s="46"/>
      <c r="S76" s="46"/>
      <c r="T76" s="51"/>
      <c r="U76" s="46"/>
      <c r="V76" s="46"/>
      <c r="W76" s="46"/>
      <c r="X76" s="46"/>
      <c r="Y76" s="46"/>
      <c r="Z76" s="51"/>
      <c r="AA76" s="51"/>
      <c r="AB76" s="51"/>
      <c r="AC76" s="51"/>
      <c r="AD76" s="46"/>
      <c r="AE76" s="51"/>
      <c r="AF76" s="46"/>
      <c r="AG76" s="46"/>
      <c r="AH76" s="51"/>
      <c r="AI76" s="46"/>
      <c r="AJ76" s="46"/>
      <c r="AK76" s="46"/>
      <c r="AL76" s="46"/>
      <c r="AM76" s="46"/>
      <c r="AN76" s="46"/>
      <c r="AO76" s="46"/>
      <c r="AP76" s="46"/>
      <c r="AQ76" s="46"/>
      <c r="AR76" s="46"/>
      <c r="AS76" s="51"/>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row>
    <row r="77" spans="2:82" s="39" customFormat="true" ht="12" customHeight="true">
      <c r="B77" s="39" t="s">
        <v>34198</v>
      </c>
      <c r="D77" s="39">
        <f t="shared" ref="D77:X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51">
        <f t="shared" si="8"/>
        <v>0</v>
      </c>
      <c r="U77" s="39">
        <f t="shared" si="8"/>
        <v>0</v>
      </c>
      <c r="V77" s="39">
        <f t="shared" si="8"/>
        <v>0</v>
      </c>
      <c r="W77" s="39">
        <f t="shared" si="8"/>
        <v>0</v>
      </c>
      <c r="X77" s="39">
        <f t="shared" si="8"/>
        <v>0</v>
      </c>
      <c r="Z77" s="51">
        <f t="shared" ref="Z77:CC77" si="9">+SUM(Z59:Z76)</f>
        <v>0</v>
      </c>
      <c r="AA77" s="51">
        <f t="shared" si="9"/>
        <v>0</v>
      </c>
      <c r="AB77" s="51">
        <f t="shared" si="9"/>
        <v>0</v>
      </c>
      <c r="AC77" s="51">
        <f t="shared" si="9"/>
        <v>0</v>
      </c>
      <c r="AD77" s="39">
        <f t="shared" si="9"/>
        <v>0</v>
      </c>
      <c r="AE77" s="51">
        <f t="shared" si="9"/>
        <v>0</v>
      </c>
      <c r="AF77" s="39">
        <f t="shared" si="9"/>
        <v>0</v>
      </c>
      <c r="AG77" s="39">
        <f t="shared" si="9"/>
        <v>0</v>
      </c>
      <c r="AH77" s="51">
        <f t="shared" si="9"/>
        <v>0</v>
      </c>
      <c r="AI77" s="39">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51">
        <f t="shared" si="9"/>
        <v>0</v>
      </c>
      <c r="AT77" s="39">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39">
        <f t="shared" si="9"/>
        <v>0</v>
      </c>
      <c r="BR77" s="39">
        <f t="shared" si="9"/>
        <v>0</v>
      </c>
      <c r="BS77" s="39">
        <f t="shared" si="9"/>
        <v>0</v>
      </c>
      <c r="BT77" s="39">
        <f t="shared" si="9"/>
        <v>0</v>
      </c>
      <c r="BU77" s="39">
        <f t="shared" si="9"/>
        <v>0</v>
      </c>
      <c r="BV77" s="39">
        <f t="shared" si="9"/>
        <v>0</v>
      </c>
      <c r="BW77" s="39">
        <f t="shared" si="9"/>
        <v>0</v>
      </c>
      <c r="BX77" s="39">
        <f t="shared" si="9"/>
        <v>0</v>
      </c>
      <c r="BY77" s="39">
        <f t="shared" si="9"/>
        <v>0</v>
      </c>
      <c r="BZ77" s="39">
        <f t="shared" si="9"/>
        <v>0</v>
      </c>
      <c r="CA77" s="39">
        <f t="shared" si="9"/>
        <v>0</v>
      </c>
      <c r="CB77" s="39">
        <f t="shared" si="9"/>
        <v>0</v>
      </c>
      <c r="CC77" s="39">
        <f t="shared" si="9"/>
        <v>0</v>
      </c>
      <c r="CD77" s="39">
        <f>SUM(D77:CC77)</f>
        <v>0</v>
      </c>
    </row>
    <row r="78" spans="20:45" s="39" customFormat="true" ht="12" customHeight="true">
      <c r="T78" s="51"/>
      <c r="Z78" s="51"/>
      <c r="AA78" s="51"/>
      <c r="AB78" s="51"/>
      <c r="AC78" s="51"/>
      <c r="AE78" s="51"/>
      <c r="AH78" s="51"/>
      <c r="AS78" s="51"/>
    </row>
    <row r="79" spans="20:45" s="39" customFormat="true" ht="12" customHeight="true">
      <c r="T79" s="51"/>
      <c r="Z79" s="51"/>
      <c r="AA79" s="51"/>
      <c r="AB79" s="51"/>
      <c r="AC79" s="51"/>
      <c r="AE79" s="51"/>
      <c r="AH79" s="51"/>
      <c r="AS79" s="51"/>
    </row>
    <row r="80" spans="2:82" s="39" customFormat="true" ht="12" customHeight="true">
      <c r="B80" s="39" t="s">
        <v>34199</v>
      </c>
      <c r="D80" s="39">
        <f t="shared" ref="D80:BO80" si="10">+D51+D57+D77</f>
        <v>56516.82</v>
      </c>
      <c r="E80" s="39">
        <f t="shared" si="10"/>
        <v>-30734.4500000001</v>
      </c>
      <c r="F80" s="39">
        <f t="shared" si="10"/>
        <v>-32842.32</v>
      </c>
      <c r="G80" s="39">
        <f t="shared" si="10"/>
        <v>32838.6</v>
      </c>
      <c r="H80" s="39">
        <f t="shared" si="10"/>
        <v>-30948.89</v>
      </c>
      <c r="I80" s="39">
        <f t="shared" si="10"/>
        <v>0</v>
      </c>
      <c r="J80" s="39">
        <f t="shared" si="10"/>
        <v>608093.61</v>
      </c>
      <c r="K80" s="39">
        <f t="shared" si="10"/>
        <v>1692315.93</v>
      </c>
      <c r="L80" s="39">
        <f t="shared" si="10"/>
        <v>70858.37</v>
      </c>
      <c r="M80" s="39">
        <f t="shared" si="10"/>
        <v>21076.78</v>
      </c>
      <c r="N80" s="39">
        <f t="shared" si="10"/>
        <v>4744.93</v>
      </c>
      <c r="O80" s="39">
        <f t="shared" si="10"/>
        <v>-83882.0400000001</v>
      </c>
      <c r="P80" s="39">
        <f t="shared" si="10"/>
        <v>-65792.3900000005</v>
      </c>
      <c r="Q80" s="39">
        <f t="shared" si="10"/>
        <v>10903.94</v>
      </c>
      <c r="R80" s="39">
        <f t="shared" si="10"/>
        <v>-2060.59999999999</v>
      </c>
      <c r="S80" s="39">
        <f t="shared" si="10"/>
        <v>9876.12999999998</v>
      </c>
      <c r="T80" s="51">
        <f t="shared" si="10"/>
        <v>0</v>
      </c>
      <c r="U80" s="39">
        <f t="shared" si="10"/>
        <v>278758.37</v>
      </c>
      <c r="V80" s="39">
        <f t="shared" si="10"/>
        <v>27484.7300000001</v>
      </c>
      <c r="W80" s="39">
        <f t="shared" si="10"/>
        <v>-48640.72</v>
      </c>
      <c r="X80" s="39">
        <f t="shared" si="10"/>
        <v>20846.8600000001</v>
      </c>
      <c r="Y80" s="39">
        <f t="shared" si="10"/>
        <v>29711.34</v>
      </c>
      <c r="Z80" s="51">
        <f t="shared" si="10"/>
        <v>0</v>
      </c>
      <c r="AA80" s="51">
        <f t="shared" si="10"/>
        <v>0</v>
      </c>
      <c r="AB80" s="51">
        <f t="shared" si="10"/>
        <v>0</v>
      </c>
      <c r="AC80" s="51">
        <f t="shared" si="10"/>
        <v>0</v>
      </c>
      <c r="AD80" s="39">
        <f t="shared" si="10"/>
        <v>207916.21</v>
      </c>
      <c r="AE80" s="51">
        <f t="shared" si="10"/>
        <v>0</v>
      </c>
      <c r="AF80" s="39">
        <f t="shared" si="10"/>
        <v>-163253.09</v>
      </c>
      <c r="AG80" s="39">
        <f t="shared" si="10"/>
        <v>8399.68</v>
      </c>
      <c r="AH80" s="51">
        <f t="shared" si="10"/>
        <v>0</v>
      </c>
      <c r="AI80" s="39">
        <f t="shared" si="10"/>
        <v>-154984.93</v>
      </c>
      <c r="AJ80" s="39">
        <f t="shared" si="10"/>
        <v>35571.98</v>
      </c>
      <c r="AK80" s="39">
        <f t="shared" si="10"/>
        <v>27863.66</v>
      </c>
      <c r="AL80" s="39">
        <f t="shared" si="10"/>
        <v>0</v>
      </c>
      <c r="AM80" s="39">
        <f t="shared" si="10"/>
        <v>0</v>
      </c>
      <c r="AN80" s="39">
        <f t="shared" si="10"/>
        <v>16636.95</v>
      </c>
      <c r="AO80" s="39">
        <f t="shared" si="10"/>
        <v>241713.16</v>
      </c>
      <c r="AP80" s="39">
        <f t="shared" si="10"/>
        <v>49475.72</v>
      </c>
      <c r="AQ80" s="39">
        <f t="shared" si="10"/>
        <v>18938.35</v>
      </c>
      <c r="AR80" s="39">
        <f t="shared" si="10"/>
        <v>17789.17</v>
      </c>
      <c r="AS80" s="51">
        <f t="shared" si="10"/>
        <v>0</v>
      </c>
      <c r="AT80" s="39">
        <f t="shared" si="10"/>
        <v>-38659.88</v>
      </c>
      <c r="AU80" s="39">
        <f t="shared" si="10"/>
        <v>141270.61</v>
      </c>
      <c r="AV80" s="39">
        <f t="shared" si="10"/>
        <v>5008</v>
      </c>
      <c r="AW80" s="39">
        <f t="shared" si="10"/>
        <v>7041.55</v>
      </c>
      <c r="AX80" s="39">
        <f t="shared" si="10"/>
        <v>13372.4</v>
      </c>
      <c r="AY80" s="39">
        <f t="shared" si="10"/>
        <v>4216.1</v>
      </c>
      <c r="AZ80" s="39">
        <f t="shared" si="10"/>
        <v>-33428.13</v>
      </c>
      <c r="BA80" s="39">
        <f t="shared" si="10"/>
        <v>3539.06</v>
      </c>
      <c r="BB80" s="39">
        <f t="shared" si="10"/>
        <v>15361.78</v>
      </c>
      <c r="BC80" s="39">
        <f t="shared" si="10"/>
        <v>-3023.48</v>
      </c>
      <c r="BD80" s="39">
        <f t="shared" si="10"/>
        <v>0</v>
      </c>
      <c r="BE80" s="39">
        <f t="shared" si="10"/>
        <v>218745.42</v>
      </c>
      <c r="BF80" s="39">
        <f t="shared" si="10"/>
        <v>155461.12</v>
      </c>
      <c r="BG80" s="39">
        <f t="shared" si="10"/>
        <v>39664.29</v>
      </c>
      <c r="BH80" s="39">
        <f t="shared" si="10"/>
        <v>2112.33</v>
      </c>
      <c r="BI80" s="39">
        <f t="shared" si="10"/>
        <v>49335.97</v>
      </c>
      <c r="BJ80" s="39">
        <f t="shared" si="10"/>
        <v>70403.54</v>
      </c>
      <c r="BK80" s="39">
        <f t="shared" si="10"/>
        <v>71398.46</v>
      </c>
      <c r="BL80" s="39">
        <f t="shared" si="10"/>
        <v>56443.67</v>
      </c>
      <c r="BM80" s="39">
        <f t="shared" si="10"/>
        <v>-558781.03</v>
      </c>
      <c r="BN80" s="39">
        <f t="shared" si="10"/>
        <v>10410.78</v>
      </c>
      <c r="BO80" s="39">
        <f t="shared" si="10"/>
        <v>-92152.46</v>
      </c>
      <c r="BP80" s="39">
        <f t="shared" ref="BP80:CC80" si="11">+BP51+BP57+BP77</f>
        <v>9023.56</v>
      </c>
      <c r="BQ80" s="39">
        <f t="shared" si="11"/>
        <v>-15598.45</v>
      </c>
      <c r="BR80" s="39">
        <f t="shared" si="11"/>
        <v>30585.03</v>
      </c>
      <c r="BS80" s="39">
        <f t="shared" si="11"/>
        <v>-289929.42</v>
      </c>
      <c r="BT80" s="39">
        <f t="shared" si="11"/>
        <v>61326.64</v>
      </c>
      <c r="BU80" s="39">
        <f t="shared" si="11"/>
        <v>64459.21</v>
      </c>
      <c r="BV80" s="39">
        <f t="shared" si="11"/>
        <v>31090.92</v>
      </c>
      <c r="BW80" s="39">
        <f t="shared" si="11"/>
        <v>18706.44</v>
      </c>
      <c r="BX80" s="39">
        <f t="shared" si="11"/>
        <v>49343.31</v>
      </c>
      <c r="BY80" s="39">
        <f t="shared" si="11"/>
        <v>58627.82</v>
      </c>
      <c r="BZ80" s="39">
        <f t="shared" si="11"/>
        <v>406992.1</v>
      </c>
      <c r="CA80" s="39">
        <f t="shared" si="11"/>
        <v>17618652.8</v>
      </c>
      <c r="CB80" s="39">
        <f t="shared" si="11"/>
        <v>584118.08</v>
      </c>
      <c r="CC80" s="39">
        <f t="shared" si="11"/>
        <v>4583.41</v>
      </c>
      <c r="CD80" s="39">
        <f>SUM(D80:CC80)</f>
        <v>21644913.41</v>
      </c>
    </row>
    <row r="81" spans="20:45" s="39" customFormat="true" ht="12" customHeight="true">
      <c r="T81" s="51"/>
      <c r="Z81" s="51"/>
      <c r="AA81" s="51"/>
      <c r="AB81" s="51"/>
      <c r="AC81" s="51"/>
      <c r="AE81" s="51"/>
      <c r="AH81" s="51"/>
      <c r="AS81" s="51"/>
    </row>
    <row r="82" spans="2:82" s="39" customFormat="true" ht="12" customHeight="true">
      <c r="B82" s="39" t="s">
        <v>13909</v>
      </c>
      <c r="D82" s="47">
        <f t="shared" ref="D82:BO82" si="12">+D49-D80</f>
        <v>0</v>
      </c>
      <c r="E82" s="47">
        <f t="shared" si="12"/>
        <v>9.82254277914762e-11</v>
      </c>
      <c r="F82" s="47">
        <f t="shared" si="12"/>
        <v>0</v>
      </c>
      <c r="G82" s="47">
        <f t="shared" si="12"/>
        <v>0</v>
      </c>
      <c r="H82" s="47">
        <f t="shared" si="12"/>
        <v>0</v>
      </c>
      <c r="I82" s="47">
        <f t="shared" si="12"/>
        <v>0</v>
      </c>
      <c r="J82" s="47">
        <f t="shared" si="12"/>
        <v>0</v>
      </c>
      <c r="K82" s="47">
        <f t="shared" si="12"/>
        <v>0</v>
      </c>
      <c r="L82" s="47">
        <f t="shared" si="12"/>
        <v>0</v>
      </c>
      <c r="M82" s="47">
        <f t="shared" si="12"/>
        <v>0</v>
      </c>
      <c r="N82" s="47">
        <f t="shared" si="12"/>
        <v>0</v>
      </c>
      <c r="O82" s="47">
        <f t="shared" si="12"/>
        <v>0</v>
      </c>
      <c r="P82" s="47">
        <f t="shared" si="12"/>
        <v>4.94765117764473e-10</v>
      </c>
      <c r="Q82" s="47">
        <f t="shared" si="12"/>
        <v>0</v>
      </c>
      <c r="R82" s="47">
        <f t="shared" si="12"/>
        <v>-1.00044417195022e-11</v>
      </c>
      <c r="S82" s="47">
        <f t="shared" si="12"/>
        <v>2.00088834390044e-11</v>
      </c>
      <c r="T82" s="47">
        <f t="shared" si="12"/>
        <v>0</v>
      </c>
      <c r="U82" s="47">
        <f t="shared" si="12"/>
        <v>0</v>
      </c>
      <c r="V82" s="47">
        <f t="shared" si="12"/>
        <v>-1.01863406598568e-10</v>
      </c>
      <c r="W82" s="47">
        <f t="shared" si="12"/>
        <v>0</v>
      </c>
      <c r="X82" s="47">
        <f t="shared" si="12"/>
        <v>-9.82254277914762e-11</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47">
        <f t="shared" si="12"/>
        <v>0</v>
      </c>
      <c r="AX82" s="47">
        <f t="shared" si="12"/>
        <v>0</v>
      </c>
      <c r="AY82" s="47">
        <f t="shared" si="12"/>
        <v>0</v>
      </c>
      <c r="AZ82" s="47">
        <f t="shared" si="12"/>
        <v>0</v>
      </c>
      <c r="BA82" s="47">
        <f t="shared" si="12"/>
        <v>0</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C82" si="13">+BP49-BP80</f>
        <v>0</v>
      </c>
      <c r="BQ82" s="47">
        <f t="shared" si="13"/>
        <v>0</v>
      </c>
      <c r="BR82" s="47">
        <f t="shared" si="13"/>
        <v>0</v>
      </c>
      <c r="BS82" s="47">
        <f t="shared" si="13"/>
        <v>0</v>
      </c>
      <c r="BT82" s="47">
        <f t="shared" si="13"/>
        <v>0</v>
      </c>
      <c r="BU82" s="47">
        <f t="shared" si="13"/>
        <v>0</v>
      </c>
      <c r="BV82" s="47">
        <f t="shared" si="13"/>
        <v>0</v>
      </c>
      <c r="BW82" s="47">
        <f t="shared" si="13"/>
        <v>0</v>
      </c>
      <c r="BX82" s="47">
        <f t="shared" si="13"/>
        <v>0</v>
      </c>
      <c r="BY82" s="47">
        <f t="shared" si="13"/>
        <v>0</v>
      </c>
      <c r="BZ82" s="47">
        <f t="shared" si="13"/>
        <v>0</v>
      </c>
      <c r="CA82" s="47">
        <f t="shared" si="13"/>
        <v>0</v>
      </c>
      <c r="CB82" s="47">
        <f t="shared" si="13"/>
        <v>0</v>
      </c>
      <c r="CC82" s="47">
        <f t="shared" si="13"/>
        <v>0</v>
      </c>
      <c r="CD82" s="39">
        <f>SUM(D82:CC82)</f>
        <v>4.02906152885407e-10</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C52">
    <cfRule type="cellIs" dxfId="4" priority="2" operator="notEqual">
      <formula>0</formula>
    </cfRule>
  </conditionalFormatting>
  <conditionalFormatting sqref="D82:CC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H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20" min="17" style="33" width="14.44"/>
    <col customWidth="true" hidden="true" max="21" min="21" style="43" width="10.3266666666667"/>
    <col customWidth="true" max="22" min="22" style="33" width="14.8933333333333"/>
    <col customWidth="true" max="23" min="23" style="33" width="14.44"/>
    <col customWidth="true" max="24" min="24" style="33" width="14.8933333333333"/>
    <col customWidth="true" max="25" min="25" style="33" width="14.44"/>
    <col customWidth="true" max="26" min="26" style="33" width="17.8866666666667"/>
    <col customWidth="true" hidden="true" max="30" min="27" style="43" width="11"/>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max="50" min="50" style="33" width="14.8933333333333"/>
    <col customWidth="true" max="51" min="51" style="33" width="14.44"/>
    <col customWidth="true" max="52" min="52" style="33" width="16.3266666666667"/>
    <col customWidth="true" max="53" min="53" style="33" width="14.44"/>
    <col customWidth="true" max="54" min="54" style="33" width="16.3266666666667"/>
    <col customWidth="true" max="55" min="55" style="33" width="14.8933333333333"/>
    <col customWidth="true" max="56" min="56" style="33" width="11.66"/>
    <col customWidth="true" hidden="true" max="57" min="57" style="33" width="14.5533333333333"/>
    <col customWidth="true" max="58" min="58" style="33" width="14"/>
    <col customWidth="true" max="59" min="59" style="33" width="14.5533333333333"/>
    <col customWidth="true" max="85" min="60" style="33" width="14"/>
    <col customWidth="true" max="86" min="86" style="33" width="14.44"/>
    <col customWidth="true" max="87" min="87" style="33" width="14"/>
    <col customWidth="true" max="88" min="88" style="33" width="11"/>
    <col customWidth="true" max="1024" min="89" style="33" width="9.10666666666667"/>
  </cols>
  <sheetData>
    <row r="1" spans="1:1" ht="12" customHeight="true">
      <c r="A1" s="33">
        <v>-1</v>
      </c>
    </row>
    <row r="2" spans="15:16" ht="12" customHeight="true">
      <c r="O2" s="33">
        <v>-1</v>
      </c>
      <c r="P2" s="33">
        <v>-1</v>
      </c>
    </row>
    <row r="4" spans="2:85"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44" t="s">
        <v>13775</v>
      </c>
      <c r="U4" s="51" t="s">
        <v>13775</v>
      </c>
      <c r="V4" s="44" t="s">
        <v>13777</v>
      </c>
      <c r="W4" s="44" t="s">
        <v>13777</v>
      </c>
      <c r="X4" s="44" t="s">
        <v>13778</v>
      </c>
      <c r="Y4" s="52" t="s">
        <v>13778</v>
      </c>
      <c r="Z4" s="44" t="s">
        <v>13778</v>
      </c>
      <c r="AA4" s="51" t="s">
        <v>31453</v>
      </c>
      <c r="AB4" s="51" t="s">
        <v>31453</v>
      </c>
      <c r="AC4" s="51" t="s">
        <v>31454</v>
      </c>
      <c r="AD4" s="51" t="s">
        <v>31454</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44" t="s">
        <v>13810</v>
      </c>
      <c r="AX4" s="44" t="s">
        <v>13802</v>
      </c>
      <c r="AY4" s="44" t="s">
        <v>13803</v>
      </c>
      <c r="AZ4" s="44" t="s">
        <v>13803</v>
      </c>
      <c r="BA4" s="44" t="s">
        <v>13804</v>
      </c>
      <c r="BB4" s="44" t="s">
        <v>13804</v>
      </c>
      <c r="BC4" s="44" t="s">
        <v>13805</v>
      </c>
      <c r="BD4" s="44" t="s">
        <v>13811</v>
      </c>
      <c r="BE4" s="53" t="s">
        <v>13811</v>
      </c>
      <c r="BF4" s="44" t="s">
        <v>13806</v>
      </c>
      <c r="BG4" s="44" t="s">
        <v>13807</v>
      </c>
      <c r="BH4" s="44" t="s">
        <v>13808</v>
      </c>
      <c r="BI4" s="44" t="s">
        <v>13809</v>
      </c>
      <c r="BJ4" s="44" t="s">
        <v>13796</v>
      </c>
      <c r="BK4" s="44" t="s">
        <v>13797</v>
      </c>
      <c r="BL4" s="44" t="s">
        <v>13798</v>
      </c>
      <c r="BM4" s="44" t="s">
        <v>13799</v>
      </c>
      <c r="BN4" s="44" t="s">
        <v>13800</v>
      </c>
      <c r="BO4" s="44" t="s">
        <v>13812</v>
      </c>
      <c r="BP4" s="44" t="s">
        <v>13814</v>
      </c>
      <c r="BQ4" s="44" t="s">
        <v>13813</v>
      </c>
      <c r="BR4" s="44" t="s">
        <v>13815</v>
      </c>
      <c r="BS4" s="44" t="s">
        <v>13816</v>
      </c>
      <c r="BT4" s="44" t="s">
        <v>13817</v>
      </c>
      <c r="BU4" s="44" t="s">
        <v>13818</v>
      </c>
      <c r="BV4" s="44" t="s">
        <v>13820</v>
      </c>
      <c r="BW4" s="44" t="s">
        <v>13819</v>
      </c>
      <c r="BX4" s="44" t="s">
        <v>13823</v>
      </c>
      <c r="BY4" s="44" t="s">
        <v>13821</v>
      </c>
      <c r="BZ4" s="44" t="s">
        <v>13822</v>
      </c>
      <c r="CA4" s="44" t="s">
        <v>13824</v>
      </c>
      <c r="CB4" s="44" t="s">
        <v>13825</v>
      </c>
      <c r="CC4" s="44" t="s">
        <v>13826</v>
      </c>
      <c r="CD4" s="44" t="s">
        <v>13864</v>
      </c>
      <c r="CE4" s="44" t="s">
        <v>13865</v>
      </c>
      <c r="CF4" s="44" t="s">
        <v>13859</v>
      </c>
      <c r="CG4" s="44" t="s">
        <v>13860</v>
      </c>
    </row>
    <row r="5" spans="2:85"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34104</v>
      </c>
      <c r="S5" s="48" t="s">
        <v>34105</v>
      </c>
      <c r="T5" s="45" t="s">
        <v>34103</v>
      </c>
      <c r="U5" s="43" t="s">
        <v>34107</v>
      </c>
      <c r="V5" s="48" t="s">
        <v>34104</v>
      </c>
      <c r="W5" s="45" t="s">
        <v>34103</v>
      </c>
      <c r="X5" s="48" t="s">
        <v>34104</v>
      </c>
      <c r="Y5" s="45" t="s">
        <v>34103</v>
      </c>
      <c r="Z5" s="48" t="s">
        <v>34108</v>
      </c>
      <c r="AA5" s="43" t="s">
        <v>34104</v>
      </c>
      <c r="AB5" s="43" t="s">
        <v>34105</v>
      </c>
      <c r="AC5" s="43" t="s">
        <v>34104</v>
      </c>
      <c r="AD5" s="43" t="s">
        <v>34105</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48" t="s">
        <v>34111</v>
      </c>
      <c r="AX5" s="48" t="s">
        <v>34112</v>
      </c>
      <c r="AY5" s="48" t="s">
        <v>34113</v>
      </c>
      <c r="AZ5" s="48" t="s">
        <v>34114</v>
      </c>
      <c r="BA5" s="48" t="s">
        <v>34115</v>
      </c>
      <c r="BB5" s="48" t="s">
        <v>34116</v>
      </c>
      <c r="BC5" s="48" t="s">
        <v>34117</v>
      </c>
      <c r="BD5" s="48" t="s">
        <v>34118</v>
      </c>
      <c r="BE5" s="48" t="s">
        <v>34119</v>
      </c>
      <c r="BF5" s="48" t="s">
        <v>34120</v>
      </c>
      <c r="BG5" s="48" t="s">
        <v>34121</v>
      </c>
      <c r="BH5" s="48" t="s">
        <v>34122</v>
      </c>
      <c r="BI5" s="48" t="s">
        <v>34123</v>
      </c>
      <c r="BJ5" s="48" t="s">
        <v>34124</v>
      </c>
      <c r="BK5" s="48" t="s">
        <v>34125</v>
      </c>
      <c r="BL5" s="48" t="s">
        <v>34126</v>
      </c>
      <c r="BM5" s="48" t="s">
        <v>34127</v>
      </c>
      <c r="BN5" s="48" t="s">
        <v>34128</v>
      </c>
      <c r="BO5" s="48" t="s">
        <v>34129</v>
      </c>
      <c r="BP5" s="48" t="s">
        <v>34130</v>
      </c>
      <c r="BQ5" s="48" t="s">
        <v>34132</v>
      </c>
      <c r="BR5" s="48" t="s">
        <v>34134</v>
      </c>
      <c r="BS5" s="48" t="s">
        <v>34135</v>
      </c>
      <c r="BT5" s="48" t="s">
        <v>34136</v>
      </c>
      <c r="BU5" s="48" t="s">
        <v>34137</v>
      </c>
      <c r="BV5" s="48" t="s">
        <v>34200</v>
      </c>
      <c r="BW5" s="48" t="s">
        <v>34138</v>
      </c>
      <c r="BX5" s="48" t="s">
        <v>34203</v>
      </c>
      <c r="BY5" s="48" t="s">
        <v>34204</v>
      </c>
      <c r="BZ5" s="48" t="s">
        <v>34205</v>
      </c>
      <c r="CA5" s="48" t="s">
        <v>34208</v>
      </c>
      <c r="CB5" s="48" t="s">
        <v>34209</v>
      </c>
      <c r="CC5" s="48" t="s">
        <v>34210</v>
      </c>
      <c r="CD5" s="48" t="s">
        <v>34140</v>
      </c>
      <c r="CE5" s="48" t="s">
        <v>34206</v>
      </c>
      <c r="CF5" s="48" t="s">
        <v>34141</v>
      </c>
      <c r="CG5" s="48" t="s">
        <v>34142</v>
      </c>
    </row>
    <row r="6" spans="2:85"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53564399</v>
      </c>
      <c r="S6" s="48">
        <v>26843912</v>
      </c>
      <c r="T6" s="45">
        <v>33540278</v>
      </c>
      <c r="V6" s="48">
        <v>30249789</v>
      </c>
      <c r="W6" s="45">
        <v>30282681</v>
      </c>
      <c r="X6" s="48">
        <v>748032703</v>
      </c>
      <c r="Y6" s="45">
        <v>30311274</v>
      </c>
      <c r="Z6" s="48">
        <v>203081093</v>
      </c>
      <c r="AA6" s="43" t="s">
        <v>34155</v>
      </c>
      <c r="AB6" s="43" t="s">
        <v>34156</v>
      </c>
      <c r="AC6" s="43" t="s">
        <v>34157</v>
      </c>
      <c r="AD6" s="43" t="s">
        <v>34158</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48">
        <v>13585976</v>
      </c>
      <c r="AX6" s="48">
        <v>748033552</v>
      </c>
      <c r="AY6" s="48">
        <v>31874966</v>
      </c>
      <c r="AZ6" s="48">
        <v>454979502</v>
      </c>
      <c r="BA6" s="48">
        <v>31860536</v>
      </c>
      <c r="BB6" s="48">
        <v>693305826</v>
      </c>
      <c r="BC6" s="48">
        <v>32205856</v>
      </c>
      <c r="BD6" s="48">
        <v>32121632</v>
      </c>
      <c r="BE6" s="48" t="s">
        <v>34167</v>
      </c>
      <c r="BF6" s="48">
        <v>35356295</v>
      </c>
      <c r="BG6" s="48" t="s">
        <v>34168</v>
      </c>
      <c r="BH6" s="48" t="s">
        <v>34169</v>
      </c>
      <c r="BI6" s="48" t="s">
        <v>34170</v>
      </c>
      <c r="BJ6" s="48">
        <v>748030061</v>
      </c>
      <c r="BK6" s="48">
        <v>748032711</v>
      </c>
      <c r="BL6" s="48">
        <v>37307538</v>
      </c>
      <c r="BM6" s="48">
        <v>37346924</v>
      </c>
      <c r="BN6" s="48">
        <v>748035300</v>
      </c>
      <c r="BO6" s="48" t="s">
        <v>34171</v>
      </c>
      <c r="BP6" s="48">
        <v>46129441</v>
      </c>
      <c r="BQ6" s="48" t="s">
        <v>34172</v>
      </c>
      <c r="BR6" s="48" t="s">
        <v>34173</v>
      </c>
      <c r="BS6" s="48" t="s">
        <v>34174</v>
      </c>
      <c r="BT6" s="48"/>
      <c r="BU6" s="48">
        <v>50376193</v>
      </c>
      <c r="BV6" s="48"/>
      <c r="BW6" s="48"/>
      <c r="BX6" s="48" t="s">
        <v>34207</v>
      </c>
      <c r="BY6" s="48"/>
      <c r="BZ6" s="48"/>
      <c r="CA6" s="48"/>
      <c r="CB6" s="48"/>
      <c r="CC6" s="48"/>
      <c r="CD6" s="48"/>
      <c r="CE6" s="48"/>
      <c r="CF6" s="48">
        <v>4402766</v>
      </c>
      <c r="CG6" s="48" t="s">
        <v>34176</v>
      </c>
    </row>
    <row r="7" spans="2:85"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34211</v>
      </c>
      <c r="S7" s="48" t="s">
        <v>34179</v>
      </c>
      <c r="T7" s="45" t="s">
        <v>14059</v>
      </c>
      <c r="V7" s="48" t="s">
        <v>34178</v>
      </c>
      <c r="W7" s="45" t="s">
        <v>14059</v>
      </c>
      <c r="X7" s="48" t="s">
        <v>34178</v>
      </c>
      <c r="Y7" s="45" t="s">
        <v>14059</v>
      </c>
      <c r="Z7" s="48" t="s">
        <v>34181</v>
      </c>
      <c r="AA7" s="43" t="s">
        <v>14047</v>
      </c>
      <c r="AB7" s="43" t="s">
        <v>14049</v>
      </c>
      <c r="AC7" s="43" t="s">
        <v>14047</v>
      </c>
      <c r="AD7" s="43" t="s">
        <v>14049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48" t="s">
        <v>14045</v>
      </c>
      <c r="AX7" s="48" t="s">
        <v>14045</v>
      </c>
      <c r="AY7" s="48" t="s">
        <v>14045</v>
      </c>
      <c r="AZ7" s="48" t="s">
        <v>14061</v>
      </c>
      <c r="BA7" s="48" t="s">
        <v>14045</v>
      </c>
      <c r="BB7" s="48" t="s">
        <v>14061</v>
      </c>
      <c r="BC7" s="48" t="s">
        <v>14045</v>
      </c>
      <c r="BD7" s="48" t="s">
        <v>14045</v>
      </c>
      <c r="BE7" s="48" t="s">
        <v>14053</v>
      </c>
      <c r="BF7" s="48" t="s">
        <v>14045</v>
      </c>
      <c r="BG7" s="48" t="s">
        <v>14045</v>
      </c>
      <c r="BH7" s="48" t="s">
        <v>14045</v>
      </c>
      <c r="BI7" s="48" t="s">
        <v>14045</v>
      </c>
      <c r="BJ7" s="48" t="s">
        <v>14045</v>
      </c>
      <c r="BK7" s="48" t="s">
        <v>14045</v>
      </c>
      <c r="BL7" s="48" t="s">
        <v>14045</v>
      </c>
      <c r="BM7" s="48" t="s">
        <v>14045</v>
      </c>
      <c r="BN7" s="48" t="s">
        <v>14045</v>
      </c>
      <c r="BO7" s="48" t="s">
        <v>14045</v>
      </c>
      <c r="BP7" s="48" t="s">
        <v>14045</v>
      </c>
      <c r="BQ7" s="48" t="s">
        <v>14045</v>
      </c>
      <c r="BR7" s="48" t="s">
        <v>14045</v>
      </c>
      <c r="BS7" s="48" t="s">
        <v>14045</v>
      </c>
      <c r="BT7" s="48" t="s">
        <v>14045</v>
      </c>
      <c r="BU7" s="48" t="s">
        <v>14045</v>
      </c>
      <c r="BV7" s="48" t="s">
        <v>14045</v>
      </c>
      <c r="BW7" s="48" t="s">
        <v>14045</v>
      </c>
      <c r="BX7" s="48" t="s">
        <v>14045</v>
      </c>
      <c r="BY7" s="48" t="s">
        <v>14045</v>
      </c>
      <c r="BZ7" s="48" t="s">
        <v>14045</v>
      </c>
      <c r="CA7" s="48" t="s">
        <v>14045</v>
      </c>
      <c r="CB7" s="48" t="s">
        <v>14045</v>
      </c>
      <c r="CC7" s="48" t="s">
        <v>14045</v>
      </c>
      <c r="CD7" s="48" t="s">
        <v>34184</v>
      </c>
      <c r="CE7" s="48" t="s">
        <v>34178</v>
      </c>
      <c r="CF7" s="48" t="s">
        <v>14060</v>
      </c>
      <c r="CG7" s="48" t="s">
        <v>34178</v>
      </c>
    </row>
    <row r="8" spans="26:57" ht="12" customHeight="true">
      <c r="Z8" s="33">
        <v>865</v>
      </c>
      <c r="BE8" s="33" t="s">
        <v>34186</v>
      </c>
    </row>
    <row r="9" spans="2:86" s="39" customFormat="true" ht="12" customHeight="true">
      <c r="B9" s="39" t="s">
        <v>34187</v>
      </c>
      <c r="D9" s="46">
        <v>0</v>
      </c>
      <c r="E9" s="46">
        <v>0</v>
      </c>
      <c r="F9" s="46">
        <v>0</v>
      </c>
      <c r="G9" s="46">
        <v>0</v>
      </c>
      <c r="H9" s="46">
        <v>0</v>
      </c>
      <c r="I9" s="46"/>
      <c r="J9" s="46">
        <v>0</v>
      </c>
      <c r="K9" s="50">
        <v>2701797.98</v>
      </c>
      <c r="L9" s="50">
        <v>49086.52</v>
      </c>
      <c r="M9" s="46">
        <v>0</v>
      </c>
      <c r="N9" s="46"/>
      <c r="O9" s="46">
        <v>0</v>
      </c>
      <c r="P9" s="46">
        <v>0</v>
      </c>
      <c r="Q9" s="50">
        <v>19541.6</v>
      </c>
      <c r="R9" s="50">
        <v>0</v>
      </c>
      <c r="S9" s="46">
        <v>0</v>
      </c>
      <c r="T9" s="46">
        <v>0</v>
      </c>
      <c r="U9" s="51"/>
      <c r="V9" s="50">
        <v>301200.79</v>
      </c>
      <c r="W9" s="46">
        <v>0</v>
      </c>
      <c r="X9" s="46">
        <v>0</v>
      </c>
      <c r="Y9" s="46">
        <v>0</v>
      </c>
      <c r="Z9" s="50">
        <v>21120.54</v>
      </c>
      <c r="AA9" s="51"/>
      <c r="AB9" s="51"/>
      <c r="AC9" s="51"/>
      <c r="AD9" s="51"/>
      <c r="AE9" s="50">
        <v>239338.46</v>
      </c>
      <c r="AF9" s="51"/>
      <c r="AG9" s="50">
        <v>84257.19</v>
      </c>
      <c r="AH9" s="50">
        <v>28785.56</v>
      </c>
      <c r="AI9" s="51"/>
      <c r="AJ9" s="50">
        <v>10591.38</v>
      </c>
      <c r="AK9" s="50">
        <v>119367.8</v>
      </c>
      <c r="AL9" s="50">
        <v>55059.13</v>
      </c>
      <c r="AM9" s="46"/>
      <c r="AN9" s="46"/>
      <c r="AO9" s="50">
        <v>29723.21</v>
      </c>
      <c r="AP9" s="50">
        <v>138124.42</v>
      </c>
      <c r="AQ9" s="50">
        <v>93662</v>
      </c>
      <c r="AR9" s="50">
        <v>46624.72</v>
      </c>
      <c r="AS9" s="50">
        <v>38725.45</v>
      </c>
      <c r="AT9" s="51"/>
      <c r="AU9" s="50">
        <v>13109.71</v>
      </c>
      <c r="AV9" s="50">
        <v>72019.14</v>
      </c>
      <c r="AW9" s="50">
        <v>19481.93</v>
      </c>
      <c r="AX9" s="50">
        <v>17935.5</v>
      </c>
      <c r="AY9" s="50">
        <v>92955.22</v>
      </c>
      <c r="AZ9" s="50">
        <v>4316.34</v>
      </c>
      <c r="BA9" s="50">
        <v>55611.26</v>
      </c>
      <c r="BB9" s="50">
        <v>3645.74</v>
      </c>
      <c r="BC9" s="50">
        <v>21894.93</v>
      </c>
      <c r="BD9" s="50">
        <v>19446.36</v>
      </c>
      <c r="BE9" s="50"/>
      <c r="BF9" s="50">
        <v>61525.19</v>
      </c>
      <c r="BG9" s="50">
        <v>212873.7</v>
      </c>
      <c r="BH9" s="50">
        <v>50737.71</v>
      </c>
      <c r="BI9" s="50">
        <v>10986.48</v>
      </c>
      <c r="BJ9" s="50">
        <v>64565.25</v>
      </c>
      <c r="BK9" s="50">
        <v>96630.75</v>
      </c>
      <c r="BL9" s="50">
        <v>41798.03</v>
      </c>
      <c r="BM9" s="50">
        <v>55948.73</v>
      </c>
      <c r="BN9" s="50">
        <v>175241.52</v>
      </c>
      <c r="BO9" s="50">
        <v>20937.73</v>
      </c>
      <c r="BP9" s="50">
        <v>29667.28</v>
      </c>
      <c r="BQ9" s="50">
        <v>14876.15</v>
      </c>
      <c r="BR9" s="50">
        <v>14246.33</v>
      </c>
      <c r="BS9" s="50">
        <v>43444.29</v>
      </c>
      <c r="BT9" s="50">
        <v>32468.61</v>
      </c>
      <c r="BU9" s="50">
        <v>98388.41</v>
      </c>
      <c r="BV9" s="50">
        <v>94669.23</v>
      </c>
      <c r="BW9" s="50">
        <v>39822.76</v>
      </c>
      <c r="BX9" s="50">
        <v>23375.73</v>
      </c>
      <c r="BY9" s="50">
        <v>44665.31</v>
      </c>
      <c r="BZ9" s="50">
        <v>64415.41</v>
      </c>
      <c r="CA9" s="50">
        <v>211.6</v>
      </c>
      <c r="CB9" s="50">
        <v>211.6</v>
      </c>
      <c r="CC9" s="50">
        <v>222.6</v>
      </c>
      <c r="CD9" s="50">
        <v>366300.19</v>
      </c>
      <c r="CE9" s="50">
        <v>17702802.8</v>
      </c>
      <c r="CF9" s="50">
        <v>583483.45</v>
      </c>
      <c r="CG9" s="50">
        <v>13534.94</v>
      </c>
      <c r="CH9" s="39">
        <f>SUM(D9:CG9)</f>
        <v>24255474.66</v>
      </c>
    </row>
    <row r="10" spans="21:46" s="39" customFormat="true" ht="12" customHeight="true">
      <c r="U10" s="51"/>
      <c r="AA10" s="51"/>
      <c r="AB10" s="51"/>
      <c r="AC10" s="51"/>
      <c r="AD10" s="51"/>
      <c r="AF10" s="51"/>
      <c r="AI10" s="51"/>
      <c r="AT10" s="51"/>
    </row>
    <row r="11" spans="2:46" s="39" customFormat="true" ht="12" customHeight="true">
      <c r="B11" s="39" t="s">
        <v>34188</v>
      </c>
      <c r="U11" s="51"/>
      <c r="AA11" s="51"/>
      <c r="AB11" s="51"/>
      <c r="AC11" s="51"/>
      <c r="AD11" s="51"/>
      <c r="AF11" s="51"/>
      <c r="AI11" s="51"/>
      <c r="AT11" s="51"/>
    </row>
    <row r="12" spans="4:85" s="39" customFormat="true" ht="12" customHeight="true">
      <c r="D12" s="46">
        <v>49343.3</v>
      </c>
      <c r="E12" s="46">
        <v>477.43</v>
      </c>
      <c r="F12" s="46"/>
      <c r="G12" s="46">
        <v>60187.18</v>
      </c>
      <c r="H12" s="46"/>
      <c r="I12" s="46"/>
      <c r="J12" s="46">
        <v>475501.69</v>
      </c>
      <c r="K12" s="46">
        <v>3382.75</v>
      </c>
      <c r="L12" s="46"/>
      <c r="M12" s="46">
        <v>14660.59</v>
      </c>
      <c r="N12" s="46">
        <v>9258.57</v>
      </c>
      <c r="O12" s="46">
        <v>0</v>
      </c>
      <c r="P12" s="46"/>
      <c r="Q12" s="46"/>
      <c r="R12" s="46"/>
      <c r="S12" s="46"/>
      <c r="T12" s="46">
        <v>9015.16</v>
      </c>
      <c r="U12" s="51"/>
      <c r="V12" s="46"/>
      <c r="W12" s="46">
        <v>19747.73</v>
      </c>
      <c r="X12" s="46"/>
      <c r="Y12" s="46">
        <v>9228.62</v>
      </c>
      <c r="Z12" s="46">
        <v>6763.24</v>
      </c>
      <c r="AA12" s="51"/>
      <c r="AB12" s="51"/>
      <c r="AC12" s="51"/>
      <c r="AD12" s="51"/>
      <c r="AE12" s="46"/>
      <c r="AF12" s="51"/>
      <c r="AG12" s="46">
        <v>24669.96</v>
      </c>
      <c r="AH12" s="46">
        <v>11537.57</v>
      </c>
      <c r="AI12" s="51"/>
      <c r="AJ12" s="46">
        <v>0</v>
      </c>
      <c r="AK12" s="46">
        <v>6170.83</v>
      </c>
      <c r="AL12" s="46">
        <v>8803.83</v>
      </c>
      <c r="AM12" s="46"/>
      <c r="AN12" s="46"/>
      <c r="AO12" s="46"/>
      <c r="AP12" s="46">
        <v>25000</v>
      </c>
      <c r="AQ12" s="46"/>
      <c r="AR12" s="46"/>
      <c r="AS12" s="46"/>
      <c r="AT12" s="51"/>
      <c r="AU12" s="46"/>
      <c r="AV12" s="46">
        <v>71752.03</v>
      </c>
      <c r="AW12" s="46"/>
      <c r="AX12" s="46"/>
      <c r="AY12" s="46"/>
      <c r="AZ12" s="46"/>
      <c r="BA12" s="46"/>
      <c r="BB12" s="46"/>
      <c r="BC12" s="46"/>
      <c r="BD12" s="46"/>
      <c r="BE12" s="46"/>
      <c r="BF12" s="46"/>
      <c r="BG12" s="46">
        <v>40.65</v>
      </c>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row>
    <row r="13" spans="4:85" s="39" customFormat="true" ht="12" customHeight="true">
      <c r="D13" s="46"/>
      <c r="E13" s="46"/>
      <c r="F13" s="46"/>
      <c r="G13" s="46"/>
      <c r="H13" s="46"/>
      <c r="I13" s="46"/>
      <c r="J13" s="46"/>
      <c r="K13" s="46"/>
      <c r="L13" s="46"/>
      <c r="M13" s="46"/>
      <c r="N13" s="46"/>
      <c r="O13" s="46"/>
      <c r="P13" s="46"/>
      <c r="Q13" s="46"/>
      <c r="R13" s="46"/>
      <c r="S13" s="46"/>
      <c r="T13" s="46"/>
      <c r="U13" s="51"/>
      <c r="V13" s="46"/>
      <c r="W13" s="46">
        <v>18594.55</v>
      </c>
      <c r="X13" s="46"/>
      <c r="Y13" s="46">
        <v>15414.19</v>
      </c>
      <c r="Z13" s="46"/>
      <c r="AA13" s="51"/>
      <c r="AB13" s="51"/>
      <c r="AC13" s="51"/>
      <c r="AD13" s="51"/>
      <c r="AE13" s="46"/>
      <c r="AF13" s="51"/>
      <c r="AG13" s="46"/>
      <c r="AH13" s="46"/>
      <c r="AI13" s="51"/>
      <c r="AJ13" s="46"/>
      <c r="AK13" s="46"/>
      <c r="AL13" s="46"/>
      <c r="AM13" s="46"/>
      <c r="AN13" s="46"/>
      <c r="AO13" s="46"/>
      <c r="AP13" s="46"/>
      <c r="AQ13" s="46"/>
      <c r="AR13" s="46"/>
      <c r="AS13" s="46"/>
      <c r="AT13" s="51"/>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row>
    <row r="14" spans="4:85" s="39" customFormat="true" ht="12" customHeight="true">
      <c r="D14" s="46"/>
      <c r="E14" s="46"/>
      <c r="F14" s="46"/>
      <c r="G14" s="46"/>
      <c r="H14" s="46"/>
      <c r="I14" s="46"/>
      <c r="J14" s="46"/>
      <c r="K14" s="46"/>
      <c r="L14" s="46"/>
      <c r="M14" s="46"/>
      <c r="N14" s="46"/>
      <c r="O14" s="46"/>
      <c r="P14" s="46"/>
      <c r="Q14" s="46"/>
      <c r="R14" s="46"/>
      <c r="S14" s="46"/>
      <c r="T14" s="46"/>
      <c r="U14" s="51"/>
      <c r="V14" s="46"/>
      <c r="W14" s="46"/>
      <c r="X14" s="46"/>
      <c r="Y14" s="46"/>
      <c r="Z14" s="46"/>
      <c r="AA14" s="51"/>
      <c r="AB14" s="51"/>
      <c r="AC14" s="51"/>
      <c r="AD14" s="51"/>
      <c r="AE14" s="46"/>
      <c r="AF14" s="51"/>
      <c r="AG14" s="46"/>
      <c r="AH14" s="46"/>
      <c r="AI14" s="51"/>
      <c r="AJ14" s="46"/>
      <c r="AK14" s="46"/>
      <c r="AL14" s="46"/>
      <c r="AM14" s="46"/>
      <c r="AN14" s="46"/>
      <c r="AO14" s="46"/>
      <c r="AP14" s="46"/>
      <c r="AQ14" s="46"/>
      <c r="AR14" s="46"/>
      <c r="AS14" s="46"/>
      <c r="AT14" s="51"/>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row>
    <row r="15" spans="4:85" s="39" customFormat="true" ht="12" customHeight="true">
      <c r="D15" s="46"/>
      <c r="E15" s="46"/>
      <c r="F15" s="46"/>
      <c r="G15" s="46"/>
      <c r="H15" s="46"/>
      <c r="I15" s="46"/>
      <c r="J15" s="46"/>
      <c r="K15" s="46"/>
      <c r="L15" s="46"/>
      <c r="M15" s="46"/>
      <c r="N15" s="46"/>
      <c r="O15" s="46"/>
      <c r="P15" s="46"/>
      <c r="Q15" s="46"/>
      <c r="R15" s="46"/>
      <c r="S15" s="46"/>
      <c r="T15" s="46"/>
      <c r="U15" s="51"/>
      <c r="V15" s="46"/>
      <c r="W15" s="46"/>
      <c r="X15" s="46"/>
      <c r="Y15" s="46"/>
      <c r="Z15" s="46"/>
      <c r="AA15" s="51"/>
      <c r="AB15" s="51"/>
      <c r="AC15" s="51"/>
      <c r="AD15" s="51"/>
      <c r="AE15" s="46"/>
      <c r="AF15" s="51"/>
      <c r="AG15" s="46"/>
      <c r="AH15" s="46"/>
      <c r="AI15" s="51"/>
      <c r="AJ15" s="46"/>
      <c r="AK15" s="46"/>
      <c r="AL15" s="46"/>
      <c r="AM15" s="46"/>
      <c r="AN15" s="46"/>
      <c r="AO15" s="46"/>
      <c r="AP15" s="46"/>
      <c r="AQ15" s="46"/>
      <c r="AR15" s="46"/>
      <c r="AS15" s="46"/>
      <c r="AT15" s="51"/>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row>
    <row r="16" spans="4:85" s="39" customFormat="true" ht="12" customHeight="true">
      <c r="D16" s="46"/>
      <c r="E16" s="46"/>
      <c r="F16" s="46"/>
      <c r="G16" s="46"/>
      <c r="H16" s="46"/>
      <c r="I16" s="46"/>
      <c r="J16" s="46"/>
      <c r="K16" s="46"/>
      <c r="L16" s="46"/>
      <c r="M16" s="46"/>
      <c r="N16" s="46"/>
      <c r="O16" s="46"/>
      <c r="P16" s="46"/>
      <c r="Q16" s="46"/>
      <c r="R16" s="46"/>
      <c r="S16" s="46"/>
      <c r="T16" s="46"/>
      <c r="U16" s="51"/>
      <c r="V16" s="46"/>
      <c r="W16" s="46"/>
      <c r="X16" s="46"/>
      <c r="Y16" s="46"/>
      <c r="Z16" s="46"/>
      <c r="AA16" s="51"/>
      <c r="AB16" s="51"/>
      <c r="AC16" s="51"/>
      <c r="AD16" s="51"/>
      <c r="AE16" s="46"/>
      <c r="AF16" s="51"/>
      <c r="AG16" s="46"/>
      <c r="AH16" s="46"/>
      <c r="AI16" s="51"/>
      <c r="AJ16" s="46"/>
      <c r="AK16" s="46"/>
      <c r="AL16" s="46"/>
      <c r="AM16" s="46"/>
      <c r="AN16" s="46"/>
      <c r="AO16" s="46"/>
      <c r="AP16" s="46"/>
      <c r="AQ16" s="46"/>
      <c r="AR16" s="46"/>
      <c r="AS16" s="46"/>
      <c r="AT16" s="51"/>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row>
    <row r="17" spans="4:85" s="39" customFormat="true" ht="12" customHeight="true">
      <c r="D17" s="46"/>
      <c r="E17" s="46"/>
      <c r="F17" s="46"/>
      <c r="G17" s="46"/>
      <c r="H17" s="46"/>
      <c r="I17" s="46"/>
      <c r="J17" s="46"/>
      <c r="K17" s="46"/>
      <c r="L17" s="46"/>
      <c r="M17" s="46"/>
      <c r="N17" s="46"/>
      <c r="O17" s="46"/>
      <c r="P17" s="46"/>
      <c r="Q17" s="46"/>
      <c r="R17" s="46"/>
      <c r="S17" s="46"/>
      <c r="T17" s="46"/>
      <c r="U17" s="51"/>
      <c r="V17" s="46"/>
      <c r="W17" s="46"/>
      <c r="X17" s="46"/>
      <c r="Y17" s="46"/>
      <c r="Z17" s="46"/>
      <c r="AA17" s="51"/>
      <c r="AB17" s="51"/>
      <c r="AC17" s="51"/>
      <c r="AD17" s="51"/>
      <c r="AE17" s="46"/>
      <c r="AF17" s="51"/>
      <c r="AG17" s="46"/>
      <c r="AH17" s="46"/>
      <c r="AI17" s="51"/>
      <c r="AJ17" s="46"/>
      <c r="AK17" s="46"/>
      <c r="AL17" s="46"/>
      <c r="AM17" s="46"/>
      <c r="AN17" s="46"/>
      <c r="AO17" s="46"/>
      <c r="AP17" s="46"/>
      <c r="AQ17" s="46"/>
      <c r="AR17" s="46"/>
      <c r="AS17" s="46"/>
      <c r="AT17" s="51"/>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row>
    <row r="18" spans="4:85" s="39" customFormat="true" ht="12" customHeight="true">
      <c r="D18" s="46"/>
      <c r="E18" s="46"/>
      <c r="F18" s="46"/>
      <c r="G18" s="46"/>
      <c r="H18" s="46"/>
      <c r="I18" s="46"/>
      <c r="J18" s="46"/>
      <c r="K18" s="46"/>
      <c r="L18" s="46"/>
      <c r="M18" s="46"/>
      <c r="N18" s="46"/>
      <c r="O18" s="46"/>
      <c r="P18" s="46"/>
      <c r="Q18" s="46"/>
      <c r="R18" s="46"/>
      <c r="S18" s="46"/>
      <c r="T18" s="46"/>
      <c r="U18" s="51"/>
      <c r="V18" s="46"/>
      <c r="W18" s="46"/>
      <c r="X18" s="46"/>
      <c r="Y18" s="46"/>
      <c r="Z18" s="46"/>
      <c r="AA18" s="51"/>
      <c r="AB18" s="51"/>
      <c r="AC18" s="51"/>
      <c r="AD18" s="51"/>
      <c r="AE18" s="46"/>
      <c r="AF18" s="51"/>
      <c r="AG18" s="46"/>
      <c r="AH18" s="46"/>
      <c r="AI18" s="51"/>
      <c r="AJ18" s="46"/>
      <c r="AK18" s="46"/>
      <c r="AL18" s="46"/>
      <c r="AM18" s="46"/>
      <c r="AN18" s="46"/>
      <c r="AO18" s="46"/>
      <c r="AP18" s="46"/>
      <c r="AQ18" s="46"/>
      <c r="AR18" s="46"/>
      <c r="AS18" s="46"/>
      <c r="AT18" s="51"/>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row>
    <row r="19" spans="4:85" s="39" customFormat="true" ht="12" customHeight="true">
      <c r="D19" s="46"/>
      <c r="E19" s="46"/>
      <c r="F19" s="46"/>
      <c r="G19" s="46"/>
      <c r="H19" s="46"/>
      <c r="I19" s="46"/>
      <c r="J19" s="46"/>
      <c r="K19" s="46"/>
      <c r="L19" s="46"/>
      <c r="M19" s="46"/>
      <c r="N19" s="46"/>
      <c r="O19" s="46"/>
      <c r="P19" s="46"/>
      <c r="Q19" s="46"/>
      <c r="R19" s="46"/>
      <c r="S19" s="46"/>
      <c r="T19" s="46"/>
      <c r="U19" s="51"/>
      <c r="V19" s="46"/>
      <c r="W19" s="46"/>
      <c r="X19" s="46"/>
      <c r="Y19" s="46"/>
      <c r="Z19" s="46"/>
      <c r="AA19" s="51"/>
      <c r="AB19" s="51"/>
      <c r="AC19" s="51"/>
      <c r="AD19" s="51"/>
      <c r="AE19" s="46"/>
      <c r="AF19" s="51"/>
      <c r="AG19" s="46"/>
      <c r="AH19" s="46"/>
      <c r="AI19" s="51"/>
      <c r="AJ19" s="46"/>
      <c r="AK19" s="46"/>
      <c r="AL19" s="46"/>
      <c r="AM19" s="46"/>
      <c r="AN19" s="46"/>
      <c r="AO19" s="46"/>
      <c r="AP19" s="46"/>
      <c r="AQ19" s="46"/>
      <c r="AR19" s="46"/>
      <c r="AS19" s="46"/>
      <c r="AT19" s="51"/>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row>
    <row r="20" spans="4:85" s="39" customFormat="true" ht="12" customHeight="true">
      <c r="D20" s="46"/>
      <c r="E20" s="46"/>
      <c r="F20" s="46"/>
      <c r="G20" s="46"/>
      <c r="H20" s="46"/>
      <c r="I20" s="46"/>
      <c r="J20" s="46"/>
      <c r="K20" s="46"/>
      <c r="L20" s="46"/>
      <c r="M20" s="46"/>
      <c r="N20" s="46"/>
      <c r="O20" s="46"/>
      <c r="P20" s="46"/>
      <c r="Q20" s="46"/>
      <c r="R20" s="46"/>
      <c r="S20" s="46"/>
      <c r="T20" s="46"/>
      <c r="U20" s="51"/>
      <c r="V20" s="46"/>
      <c r="W20" s="46"/>
      <c r="X20" s="46"/>
      <c r="Y20" s="46"/>
      <c r="Z20" s="46"/>
      <c r="AA20" s="51"/>
      <c r="AB20" s="51"/>
      <c r="AC20" s="51"/>
      <c r="AD20" s="51"/>
      <c r="AE20" s="46"/>
      <c r="AF20" s="51"/>
      <c r="AG20" s="46"/>
      <c r="AH20" s="46"/>
      <c r="AI20" s="51"/>
      <c r="AJ20" s="46"/>
      <c r="AK20" s="46"/>
      <c r="AL20" s="46"/>
      <c r="AM20" s="46"/>
      <c r="AN20" s="46"/>
      <c r="AO20" s="46"/>
      <c r="AP20" s="46"/>
      <c r="AQ20" s="46"/>
      <c r="AR20" s="46"/>
      <c r="AS20" s="46"/>
      <c r="AT20" s="51"/>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row>
    <row r="21" spans="4:85" s="39" customFormat="true" ht="12" customHeight="true">
      <c r="D21" s="46"/>
      <c r="E21" s="46"/>
      <c r="F21" s="46"/>
      <c r="G21" s="46"/>
      <c r="H21" s="46"/>
      <c r="I21" s="46"/>
      <c r="J21" s="46"/>
      <c r="K21" s="46"/>
      <c r="L21" s="46"/>
      <c r="M21" s="46"/>
      <c r="N21" s="46"/>
      <c r="O21" s="46"/>
      <c r="P21" s="46"/>
      <c r="Q21" s="46"/>
      <c r="R21" s="46"/>
      <c r="S21" s="46"/>
      <c r="T21" s="46"/>
      <c r="U21" s="51"/>
      <c r="V21" s="46"/>
      <c r="W21" s="46"/>
      <c r="X21" s="46"/>
      <c r="Y21" s="46"/>
      <c r="Z21" s="46"/>
      <c r="AA21" s="51"/>
      <c r="AB21" s="51"/>
      <c r="AC21" s="51"/>
      <c r="AD21" s="51"/>
      <c r="AE21" s="46"/>
      <c r="AF21" s="51"/>
      <c r="AG21" s="46"/>
      <c r="AH21" s="46"/>
      <c r="AI21" s="51"/>
      <c r="AJ21" s="46"/>
      <c r="AK21" s="46"/>
      <c r="AL21" s="46"/>
      <c r="AM21" s="46"/>
      <c r="AN21" s="46"/>
      <c r="AO21" s="46"/>
      <c r="AP21" s="46"/>
      <c r="AQ21" s="46"/>
      <c r="AR21" s="46"/>
      <c r="AS21" s="46"/>
      <c r="AT21" s="51"/>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row>
    <row r="22" spans="4:85" s="39" customFormat="true" ht="12" customHeight="true">
      <c r="D22" s="46"/>
      <c r="E22" s="46"/>
      <c r="F22" s="46"/>
      <c r="G22" s="46"/>
      <c r="H22" s="46"/>
      <c r="I22" s="46"/>
      <c r="J22" s="46"/>
      <c r="K22" s="46"/>
      <c r="L22" s="46"/>
      <c r="M22" s="46"/>
      <c r="N22" s="46"/>
      <c r="O22" s="46"/>
      <c r="P22" s="46"/>
      <c r="Q22" s="46"/>
      <c r="R22" s="46"/>
      <c r="S22" s="46"/>
      <c r="T22" s="46"/>
      <c r="U22" s="51"/>
      <c r="V22" s="46"/>
      <c r="W22" s="46"/>
      <c r="X22" s="46"/>
      <c r="Y22" s="46"/>
      <c r="Z22" s="46"/>
      <c r="AA22" s="51"/>
      <c r="AB22" s="51"/>
      <c r="AC22" s="51"/>
      <c r="AD22" s="51"/>
      <c r="AE22" s="46"/>
      <c r="AF22" s="51"/>
      <c r="AG22" s="46"/>
      <c r="AH22" s="46"/>
      <c r="AI22" s="51"/>
      <c r="AJ22" s="46"/>
      <c r="AK22" s="46"/>
      <c r="AL22" s="46"/>
      <c r="AM22" s="46"/>
      <c r="AN22" s="46"/>
      <c r="AO22" s="46"/>
      <c r="AP22" s="46"/>
      <c r="AQ22" s="46"/>
      <c r="AR22" s="46"/>
      <c r="AS22" s="46"/>
      <c r="AT22" s="51"/>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row>
    <row r="23" spans="4:85" s="39" customFormat="true" ht="12" customHeight="true">
      <c r="D23" s="46"/>
      <c r="E23" s="46"/>
      <c r="F23" s="46"/>
      <c r="G23" s="46"/>
      <c r="H23" s="46"/>
      <c r="I23" s="46"/>
      <c r="J23" s="46"/>
      <c r="K23" s="46"/>
      <c r="L23" s="46"/>
      <c r="M23" s="46"/>
      <c r="N23" s="46"/>
      <c r="O23" s="46"/>
      <c r="P23" s="46"/>
      <c r="Q23" s="46"/>
      <c r="R23" s="46"/>
      <c r="S23" s="46"/>
      <c r="T23" s="46"/>
      <c r="U23" s="51"/>
      <c r="V23" s="46"/>
      <c r="W23" s="46"/>
      <c r="X23" s="46"/>
      <c r="Y23" s="46"/>
      <c r="Z23" s="46"/>
      <c r="AA23" s="51"/>
      <c r="AB23" s="51"/>
      <c r="AC23" s="51"/>
      <c r="AD23" s="51"/>
      <c r="AE23" s="46"/>
      <c r="AF23" s="51"/>
      <c r="AG23" s="46"/>
      <c r="AH23" s="46"/>
      <c r="AI23" s="51"/>
      <c r="AJ23" s="46"/>
      <c r="AK23" s="46"/>
      <c r="AL23" s="46"/>
      <c r="AM23" s="46"/>
      <c r="AN23" s="46"/>
      <c r="AO23" s="46"/>
      <c r="AP23" s="46"/>
      <c r="AQ23" s="46"/>
      <c r="AR23" s="46"/>
      <c r="AS23" s="46"/>
      <c r="AT23" s="51"/>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row>
    <row r="24" spans="4:85" s="39" customFormat="true" ht="12" customHeight="true">
      <c r="D24" s="46"/>
      <c r="E24" s="46"/>
      <c r="F24" s="46"/>
      <c r="G24" s="46"/>
      <c r="H24" s="46"/>
      <c r="I24" s="46"/>
      <c r="J24" s="46"/>
      <c r="K24" s="46"/>
      <c r="L24" s="46"/>
      <c r="M24" s="46"/>
      <c r="N24" s="46"/>
      <c r="O24" s="46"/>
      <c r="P24" s="46"/>
      <c r="Q24" s="46"/>
      <c r="R24" s="46"/>
      <c r="S24" s="46"/>
      <c r="T24" s="46"/>
      <c r="U24" s="51"/>
      <c r="V24" s="46"/>
      <c r="W24" s="46"/>
      <c r="X24" s="46"/>
      <c r="Y24" s="46"/>
      <c r="Z24" s="46"/>
      <c r="AA24" s="51"/>
      <c r="AB24" s="51"/>
      <c r="AC24" s="51"/>
      <c r="AD24" s="51"/>
      <c r="AE24" s="46"/>
      <c r="AF24" s="51"/>
      <c r="AG24" s="46"/>
      <c r="AH24" s="46"/>
      <c r="AI24" s="51"/>
      <c r="AJ24" s="46"/>
      <c r="AK24" s="46"/>
      <c r="AL24" s="46"/>
      <c r="AM24" s="46"/>
      <c r="AN24" s="46"/>
      <c r="AO24" s="46"/>
      <c r="AP24" s="46"/>
      <c r="AQ24" s="46"/>
      <c r="AR24" s="46"/>
      <c r="AS24" s="46"/>
      <c r="AT24" s="51"/>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row>
    <row r="25" spans="4:85" s="39" customFormat="true" ht="12" customHeight="true">
      <c r="D25" s="46"/>
      <c r="E25" s="46"/>
      <c r="F25" s="46"/>
      <c r="G25" s="46"/>
      <c r="H25" s="46"/>
      <c r="I25" s="46"/>
      <c r="J25" s="46"/>
      <c r="K25" s="46"/>
      <c r="L25" s="46"/>
      <c r="M25" s="46"/>
      <c r="N25" s="46"/>
      <c r="O25" s="46"/>
      <c r="P25" s="46"/>
      <c r="Q25" s="46"/>
      <c r="R25" s="46"/>
      <c r="S25" s="46"/>
      <c r="T25" s="46"/>
      <c r="U25" s="51"/>
      <c r="V25" s="46"/>
      <c r="W25" s="46"/>
      <c r="X25" s="46"/>
      <c r="Y25" s="46"/>
      <c r="Z25" s="46"/>
      <c r="AA25" s="51"/>
      <c r="AB25" s="51"/>
      <c r="AC25" s="51"/>
      <c r="AD25" s="51"/>
      <c r="AE25" s="46"/>
      <c r="AF25" s="51"/>
      <c r="AG25" s="46"/>
      <c r="AH25" s="46"/>
      <c r="AI25" s="51"/>
      <c r="AJ25" s="46"/>
      <c r="AK25" s="46"/>
      <c r="AL25" s="46"/>
      <c r="AM25" s="46"/>
      <c r="AN25" s="46"/>
      <c r="AO25" s="46"/>
      <c r="AP25" s="46"/>
      <c r="AQ25" s="46"/>
      <c r="AR25" s="46"/>
      <c r="AS25" s="46"/>
      <c r="AT25" s="51"/>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row>
    <row r="26" spans="4:85" s="39" customFormat="true" ht="12" customHeight="true">
      <c r="D26" s="46"/>
      <c r="E26" s="46"/>
      <c r="F26" s="46"/>
      <c r="G26" s="46"/>
      <c r="H26" s="46"/>
      <c r="I26" s="46"/>
      <c r="J26" s="46"/>
      <c r="K26" s="46"/>
      <c r="L26" s="46"/>
      <c r="M26" s="46"/>
      <c r="N26" s="46"/>
      <c r="O26" s="46"/>
      <c r="P26" s="46"/>
      <c r="Q26" s="46"/>
      <c r="R26" s="46"/>
      <c r="S26" s="46"/>
      <c r="T26" s="46"/>
      <c r="U26" s="51"/>
      <c r="V26" s="46"/>
      <c r="W26" s="46"/>
      <c r="X26" s="46"/>
      <c r="Y26" s="46"/>
      <c r="Z26" s="46"/>
      <c r="AA26" s="51"/>
      <c r="AB26" s="51"/>
      <c r="AC26" s="51"/>
      <c r="AD26" s="51"/>
      <c r="AE26" s="46"/>
      <c r="AF26" s="51"/>
      <c r="AG26" s="46"/>
      <c r="AH26" s="46"/>
      <c r="AI26" s="51"/>
      <c r="AJ26" s="46"/>
      <c r="AK26" s="46"/>
      <c r="AL26" s="46"/>
      <c r="AM26" s="46"/>
      <c r="AN26" s="46"/>
      <c r="AO26" s="46"/>
      <c r="AP26" s="46"/>
      <c r="AQ26" s="46"/>
      <c r="AR26" s="46"/>
      <c r="AS26" s="46"/>
      <c r="AT26" s="51"/>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row>
    <row r="27" spans="4:85" s="39" customFormat="true" ht="12" customHeight="true">
      <c r="D27" s="46"/>
      <c r="E27" s="46"/>
      <c r="F27" s="46"/>
      <c r="G27" s="46"/>
      <c r="H27" s="46"/>
      <c r="I27" s="46"/>
      <c r="J27" s="46"/>
      <c r="K27" s="46"/>
      <c r="L27" s="46"/>
      <c r="M27" s="46"/>
      <c r="N27" s="46"/>
      <c r="O27" s="46"/>
      <c r="P27" s="46"/>
      <c r="Q27" s="46"/>
      <c r="R27" s="46"/>
      <c r="S27" s="46"/>
      <c r="T27" s="46"/>
      <c r="U27" s="51"/>
      <c r="V27" s="46"/>
      <c r="W27" s="46"/>
      <c r="X27" s="46"/>
      <c r="Y27" s="46"/>
      <c r="Z27" s="46"/>
      <c r="AA27" s="51"/>
      <c r="AB27" s="51"/>
      <c r="AC27" s="51"/>
      <c r="AD27" s="51"/>
      <c r="AE27" s="46"/>
      <c r="AF27" s="51"/>
      <c r="AG27" s="46"/>
      <c r="AH27" s="46"/>
      <c r="AI27" s="51"/>
      <c r="AJ27" s="46"/>
      <c r="AK27" s="46"/>
      <c r="AL27" s="46"/>
      <c r="AM27" s="46"/>
      <c r="AN27" s="46"/>
      <c r="AO27" s="46"/>
      <c r="AP27" s="46"/>
      <c r="AQ27" s="46"/>
      <c r="AR27" s="46"/>
      <c r="AS27" s="46"/>
      <c r="AT27" s="51"/>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row>
    <row r="28" spans="4:85" s="39" customFormat="true" ht="12" customHeight="true">
      <c r="D28" s="46"/>
      <c r="E28" s="46"/>
      <c r="F28" s="46"/>
      <c r="G28" s="46"/>
      <c r="H28" s="46"/>
      <c r="I28" s="46"/>
      <c r="J28" s="46"/>
      <c r="K28" s="46"/>
      <c r="L28" s="46"/>
      <c r="M28" s="46"/>
      <c r="N28" s="46"/>
      <c r="O28" s="46"/>
      <c r="P28" s="46"/>
      <c r="Q28" s="46"/>
      <c r="R28" s="46"/>
      <c r="S28" s="46"/>
      <c r="T28" s="46"/>
      <c r="U28" s="51"/>
      <c r="V28" s="46"/>
      <c r="W28" s="46"/>
      <c r="X28" s="46"/>
      <c r="Y28" s="46"/>
      <c r="Z28" s="46"/>
      <c r="AA28" s="51"/>
      <c r="AB28" s="51"/>
      <c r="AC28" s="51"/>
      <c r="AD28" s="51"/>
      <c r="AE28" s="46"/>
      <c r="AF28" s="51"/>
      <c r="AG28" s="46"/>
      <c r="AH28" s="46"/>
      <c r="AI28" s="51"/>
      <c r="AJ28" s="46"/>
      <c r="AK28" s="46"/>
      <c r="AL28" s="46"/>
      <c r="AM28" s="46"/>
      <c r="AN28" s="46"/>
      <c r="AO28" s="46"/>
      <c r="AP28" s="46"/>
      <c r="AQ28" s="46"/>
      <c r="AR28" s="46"/>
      <c r="AS28" s="46"/>
      <c r="AT28" s="51"/>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row>
    <row r="29" spans="2:86" s="39" customFormat="true" ht="12" customHeight="true">
      <c r="B29" s="39" t="s">
        <v>34189</v>
      </c>
      <c r="D29" s="39">
        <f t="shared" ref="D29:BO29" si="0">+SUM(D11:D28)</f>
        <v>49343.3</v>
      </c>
      <c r="E29" s="39">
        <f t="shared" si="0"/>
        <v>477.43</v>
      </c>
      <c r="F29" s="39">
        <f t="shared" si="0"/>
        <v>0</v>
      </c>
      <c r="G29" s="39">
        <f t="shared" si="0"/>
        <v>60187.18</v>
      </c>
      <c r="H29" s="39">
        <f t="shared" si="0"/>
        <v>0</v>
      </c>
      <c r="I29" s="39">
        <f t="shared" si="0"/>
        <v>0</v>
      </c>
      <c r="J29" s="39">
        <f t="shared" si="0"/>
        <v>475501.69</v>
      </c>
      <c r="K29" s="39">
        <f t="shared" si="0"/>
        <v>3382.75</v>
      </c>
      <c r="L29" s="39">
        <f t="shared" si="0"/>
        <v>0</v>
      </c>
      <c r="M29" s="39">
        <f t="shared" si="0"/>
        <v>14660.59</v>
      </c>
      <c r="N29" s="39">
        <f t="shared" si="0"/>
        <v>9258.57</v>
      </c>
      <c r="O29" s="39">
        <f t="shared" si="0"/>
        <v>0</v>
      </c>
      <c r="P29" s="39">
        <f t="shared" si="0"/>
        <v>0</v>
      </c>
      <c r="Q29" s="39">
        <f t="shared" si="0"/>
        <v>0</v>
      </c>
      <c r="R29" s="39">
        <f t="shared" si="0"/>
        <v>0</v>
      </c>
      <c r="S29" s="39">
        <f t="shared" si="0"/>
        <v>0</v>
      </c>
      <c r="T29" s="39">
        <f t="shared" si="0"/>
        <v>9015.16</v>
      </c>
      <c r="U29" s="51">
        <f t="shared" si="0"/>
        <v>0</v>
      </c>
      <c r="V29" s="39">
        <f t="shared" si="0"/>
        <v>0</v>
      </c>
      <c r="W29" s="39">
        <f t="shared" si="0"/>
        <v>38342.28</v>
      </c>
      <c r="X29" s="39">
        <f t="shared" si="0"/>
        <v>0</v>
      </c>
      <c r="Y29" s="39">
        <f t="shared" si="0"/>
        <v>24642.81</v>
      </c>
      <c r="Z29" s="39">
        <f t="shared" si="0"/>
        <v>6763.24</v>
      </c>
      <c r="AA29" s="51">
        <f t="shared" si="0"/>
        <v>0</v>
      </c>
      <c r="AB29" s="51">
        <f t="shared" si="0"/>
        <v>0</v>
      </c>
      <c r="AC29" s="51">
        <f t="shared" si="0"/>
        <v>0</v>
      </c>
      <c r="AD29" s="51">
        <f t="shared" si="0"/>
        <v>0</v>
      </c>
      <c r="AE29" s="39">
        <f t="shared" si="0"/>
        <v>0</v>
      </c>
      <c r="AF29" s="51">
        <f t="shared" si="0"/>
        <v>0</v>
      </c>
      <c r="AG29" s="39">
        <f t="shared" si="0"/>
        <v>24669.96</v>
      </c>
      <c r="AH29" s="39">
        <f t="shared" si="0"/>
        <v>11537.57</v>
      </c>
      <c r="AI29" s="51">
        <f t="shared" si="0"/>
        <v>0</v>
      </c>
      <c r="AJ29" s="39">
        <f t="shared" si="0"/>
        <v>0</v>
      </c>
      <c r="AK29" s="39">
        <f t="shared" si="0"/>
        <v>6170.83</v>
      </c>
      <c r="AL29" s="39">
        <f t="shared" si="0"/>
        <v>8803.83</v>
      </c>
      <c r="AM29" s="39">
        <f t="shared" si="0"/>
        <v>0</v>
      </c>
      <c r="AN29" s="39">
        <f t="shared" si="0"/>
        <v>0</v>
      </c>
      <c r="AO29" s="39">
        <f t="shared" si="0"/>
        <v>0</v>
      </c>
      <c r="AP29" s="39">
        <f t="shared" si="0"/>
        <v>25000</v>
      </c>
      <c r="AQ29" s="39">
        <f t="shared" si="0"/>
        <v>0</v>
      </c>
      <c r="AR29" s="39">
        <f t="shared" si="0"/>
        <v>0</v>
      </c>
      <c r="AS29" s="39">
        <f t="shared" si="0"/>
        <v>0</v>
      </c>
      <c r="AT29" s="51">
        <f t="shared" si="0"/>
        <v>0</v>
      </c>
      <c r="AU29" s="39">
        <f t="shared" si="0"/>
        <v>0</v>
      </c>
      <c r="AV29" s="39">
        <f t="shared" si="0"/>
        <v>71752.03</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40.65</v>
      </c>
      <c r="BH29" s="39">
        <f t="shared" si="0"/>
        <v>0</v>
      </c>
      <c r="BI29" s="39">
        <f t="shared" si="0"/>
        <v>0</v>
      </c>
      <c r="BJ29" s="39">
        <f t="shared" si="0"/>
        <v>0</v>
      </c>
      <c r="BK29" s="39">
        <f t="shared" si="0"/>
        <v>0</v>
      </c>
      <c r="BL29" s="39">
        <f t="shared" si="0"/>
        <v>0</v>
      </c>
      <c r="BM29" s="39">
        <f t="shared" si="0"/>
        <v>0</v>
      </c>
      <c r="BN29" s="39">
        <f t="shared" si="0"/>
        <v>0</v>
      </c>
      <c r="BO29" s="39">
        <f t="shared" si="0"/>
        <v>0</v>
      </c>
      <c r="BP29" s="39">
        <f t="shared" ref="BP29:CG29" si="1">+SUM(BP11:BP28)</f>
        <v>0</v>
      </c>
      <c r="BQ29" s="39">
        <f t="shared" si="1"/>
        <v>0</v>
      </c>
      <c r="BR29" s="39">
        <f t="shared" si="1"/>
        <v>0</v>
      </c>
      <c r="BS29" s="39">
        <f t="shared" si="1"/>
        <v>0</v>
      </c>
      <c r="BT29" s="39">
        <f t="shared" si="1"/>
        <v>0</v>
      </c>
      <c r="BU29" s="39">
        <f t="shared" si="1"/>
        <v>0</v>
      </c>
      <c r="BV29" s="39">
        <f t="shared" si="1"/>
        <v>0</v>
      </c>
      <c r="BW29" s="39">
        <f t="shared" si="1"/>
        <v>0</v>
      </c>
      <c r="BX29" s="39">
        <f t="shared" si="1"/>
        <v>0</v>
      </c>
      <c r="BY29" s="39">
        <f t="shared" si="1"/>
        <v>0</v>
      </c>
      <c r="BZ29" s="39">
        <f t="shared" si="1"/>
        <v>0</v>
      </c>
      <c r="CA29" s="39">
        <f t="shared" si="1"/>
        <v>0</v>
      </c>
      <c r="CB29" s="39">
        <f t="shared" si="1"/>
        <v>0</v>
      </c>
      <c r="CC29" s="39">
        <f t="shared" si="1"/>
        <v>0</v>
      </c>
      <c r="CD29" s="39">
        <f t="shared" si="1"/>
        <v>0</v>
      </c>
      <c r="CE29" s="39">
        <f t="shared" si="1"/>
        <v>0</v>
      </c>
      <c r="CF29" s="39">
        <f t="shared" si="1"/>
        <v>0</v>
      </c>
      <c r="CG29" s="39">
        <f t="shared" si="1"/>
        <v>0</v>
      </c>
      <c r="CH29" s="39">
        <f>SUM(D29:CG29)</f>
        <v>839549.87</v>
      </c>
    </row>
    <row r="30" spans="21:46" s="39" customFormat="true" ht="12" customHeight="true">
      <c r="U30" s="51"/>
      <c r="AA30" s="51"/>
      <c r="AB30" s="51"/>
      <c r="AC30" s="51"/>
      <c r="AD30" s="51"/>
      <c r="AF30" s="51"/>
      <c r="AI30" s="51"/>
      <c r="AT30" s="51"/>
    </row>
    <row r="31" spans="2:46" s="39" customFormat="true" ht="12" customHeight="true">
      <c r="B31" s="39" t="s">
        <v>34190</v>
      </c>
      <c r="U31" s="51"/>
      <c r="AA31" s="51"/>
      <c r="AB31" s="51"/>
      <c r="AC31" s="51"/>
      <c r="AD31" s="51"/>
      <c r="AF31" s="51"/>
      <c r="AI31" s="51"/>
      <c r="AT31" s="51"/>
    </row>
    <row r="32" spans="4:86" s="39" customFormat="true" ht="12" customHeight="true">
      <c r="D32" s="46"/>
      <c r="E32" s="46">
        <v>39747.62</v>
      </c>
      <c r="F32" s="46">
        <v>32648.73</v>
      </c>
      <c r="G32" s="46"/>
      <c r="H32" s="46">
        <v>23444.19</v>
      </c>
      <c r="I32" s="46"/>
      <c r="J32" s="46"/>
      <c r="K32" s="46">
        <v>478289.85</v>
      </c>
      <c r="L32" s="46">
        <v>0</v>
      </c>
      <c r="M32" s="46"/>
      <c r="N32" s="46">
        <v>15712.85</v>
      </c>
      <c r="O32" s="46">
        <v>0</v>
      </c>
      <c r="P32" s="46">
        <v>149829.48</v>
      </c>
      <c r="Q32" s="46">
        <v>494.69</v>
      </c>
      <c r="R32" s="46">
        <v>3504.96</v>
      </c>
      <c r="S32" s="46">
        <v>1982.65</v>
      </c>
      <c r="T32" s="46"/>
      <c r="U32" s="51"/>
      <c r="V32" s="46">
        <v>57831.71</v>
      </c>
      <c r="W32" s="46"/>
      <c r="X32" s="46">
        <v>45199.19</v>
      </c>
      <c r="Y32" s="46">
        <v>10167.33</v>
      </c>
      <c r="Z32" s="46"/>
      <c r="AA32" s="51"/>
      <c r="AB32" s="51"/>
      <c r="AC32" s="51"/>
      <c r="AD32" s="51"/>
      <c r="AE32" s="46">
        <v>3123.2</v>
      </c>
      <c r="AF32" s="51"/>
      <c r="AG32" s="46">
        <v>181190.11</v>
      </c>
      <c r="AH32" s="46">
        <v>17469.52</v>
      </c>
      <c r="AI32" s="51"/>
      <c r="AJ32" s="46">
        <v>85533.41</v>
      </c>
      <c r="AK32" s="46">
        <v>18414.22</v>
      </c>
      <c r="AL32" s="46">
        <v>16301.53</v>
      </c>
      <c r="AM32" s="46"/>
      <c r="AN32" s="46"/>
      <c r="AO32" s="46">
        <v>2600</v>
      </c>
      <c r="AP32" s="46">
        <v>7800</v>
      </c>
      <c r="AQ32" s="46">
        <v>5200</v>
      </c>
      <c r="AR32" s="46">
        <v>5200</v>
      </c>
      <c r="AS32" s="46">
        <v>5200</v>
      </c>
      <c r="AT32" s="51"/>
      <c r="AU32" s="46">
        <v>30200</v>
      </c>
      <c r="AV32" s="46">
        <v>106680.8</v>
      </c>
      <c r="AW32" s="46">
        <v>13931.29</v>
      </c>
      <c r="AX32" s="46">
        <v>6440.99</v>
      </c>
      <c r="AY32" s="46">
        <v>35178.33</v>
      </c>
      <c r="AZ32" s="46"/>
      <c r="BA32" s="46">
        <v>57130.28</v>
      </c>
      <c r="BB32" s="46"/>
      <c r="BC32" s="46">
        <v>276.41</v>
      </c>
      <c r="BD32" s="46">
        <v>12626.02</v>
      </c>
      <c r="BE32" s="46"/>
      <c r="BF32" s="46">
        <v>14907.77</v>
      </c>
      <c r="BG32" s="46">
        <v>31870.49</v>
      </c>
      <c r="BH32" s="46">
        <v>2801.99</v>
      </c>
      <c r="BI32" s="46">
        <v>783.81</v>
      </c>
      <c r="BJ32" s="46">
        <v>1277.67</v>
      </c>
      <c r="BK32" s="46">
        <v>10428.61</v>
      </c>
      <c r="BL32" s="46">
        <v>11454.6</v>
      </c>
      <c r="BM32" s="46">
        <v>13216.89</v>
      </c>
      <c r="BN32" s="46">
        <v>417461.07</v>
      </c>
      <c r="BO32" s="46">
        <v>1217.56</v>
      </c>
      <c r="BP32" s="46">
        <v>81787.8</v>
      </c>
      <c r="BQ32" s="46">
        <v>14953.15</v>
      </c>
      <c r="BR32" s="46">
        <v>3845.01</v>
      </c>
      <c r="BS32" s="46">
        <v>5230.92</v>
      </c>
      <c r="BT32" s="46">
        <v>382990.15</v>
      </c>
      <c r="BU32" s="46">
        <v>1591.82</v>
      </c>
      <c r="BV32" s="46">
        <v>2094.66</v>
      </c>
      <c r="BW32" s="46">
        <v>1584.99</v>
      </c>
      <c r="BX32" s="46">
        <v>200</v>
      </c>
      <c r="BY32" s="46">
        <v>783.33</v>
      </c>
      <c r="BZ32" s="46">
        <v>1657.87</v>
      </c>
      <c r="CA32" s="46"/>
      <c r="CB32" s="46"/>
      <c r="CC32" s="46"/>
      <c r="CD32" s="46"/>
      <c r="CE32" s="46"/>
      <c r="CF32" s="46"/>
      <c r="CG32" s="46">
        <v>17007.42</v>
      </c>
      <c r="CH32" s="39">
        <f>SUM(D32:CG32)</f>
        <v>2488496.94</v>
      </c>
    </row>
    <row r="33" spans="4:85" s="39" customFormat="true" ht="12" customHeight="true">
      <c r="D33" s="46"/>
      <c r="E33" s="46">
        <v>-0.01</v>
      </c>
      <c r="F33" s="46">
        <v>-317.29</v>
      </c>
      <c r="G33" s="46"/>
      <c r="H33" s="46">
        <v>-0.02</v>
      </c>
      <c r="I33" s="46"/>
      <c r="J33" s="46"/>
      <c r="K33" s="46"/>
      <c r="L33" s="46"/>
      <c r="M33" s="46"/>
      <c r="N33" s="46">
        <v>-0.01</v>
      </c>
      <c r="O33" s="46"/>
      <c r="P33" s="46">
        <v>-15443.12</v>
      </c>
      <c r="Q33" s="46"/>
      <c r="R33" s="46"/>
      <c r="S33" s="46"/>
      <c r="T33" s="46"/>
      <c r="U33" s="51"/>
      <c r="V33" s="46">
        <v>0.02</v>
      </c>
      <c r="W33" s="46"/>
      <c r="X33" s="46">
        <v>0.01</v>
      </c>
      <c r="Y33" s="46"/>
      <c r="Z33" s="46"/>
      <c r="AA33" s="51"/>
      <c r="AB33" s="51"/>
      <c r="AC33" s="51"/>
      <c r="AD33" s="51"/>
      <c r="AE33" s="46"/>
      <c r="AF33" s="51"/>
      <c r="AG33" s="46"/>
      <c r="AH33" s="46"/>
      <c r="AI33" s="51"/>
      <c r="AJ33" s="46"/>
      <c r="AK33" s="46"/>
      <c r="AL33" s="46"/>
      <c r="AM33" s="46"/>
      <c r="AN33" s="46"/>
      <c r="AO33" s="46"/>
      <c r="AP33" s="46"/>
      <c r="AQ33" s="46"/>
      <c r="AR33" s="46"/>
      <c r="AS33" s="46"/>
      <c r="AT33" s="51"/>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row>
    <row r="34" spans="4:85" s="39" customFormat="true" ht="12" customHeight="true">
      <c r="D34" s="46"/>
      <c r="E34" s="46"/>
      <c r="F34" s="46"/>
      <c r="G34" s="46"/>
      <c r="H34" s="46"/>
      <c r="I34" s="46"/>
      <c r="J34" s="46"/>
      <c r="K34" s="46"/>
      <c r="L34" s="46"/>
      <c r="M34" s="46"/>
      <c r="N34" s="46"/>
      <c r="O34" s="46"/>
      <c r="P34" s="46"/>
      <c r="Q34" s="46"/>
      <c r="R34" s="46"/>
      <c r="S34" s="46"/>
      <c r="T34" s="46"/>
      <c r="U34" s="51"/>
      <c r="V34" s="46"/>
      <c r="W34" s="46"/>
      <c r="X34" s="46"/>
      <c r="Y34" s="46"/>
      <c r="Z34" s="46"/>
      <c r="AA34" s="51"/>
      <c r="AB34" s="51"/>
      <c r="AC34" s="51"/>
      <c r="AD34" s="51"/>
      <c r="AE34" s="46"/>
      <c r="AF34" s="51"/>
      <c r="AG34" s="46"/>
      <c r="AH34" s="46"/>
      <c r="AI34" s="51"/>
      <c r="AJ34" s="46"/>
      <c r="AK34" s="46"/>
      <c r="AL34" s="46"/>
      <c r="AM34" s="46"/>
      <c r="AN34" s="46"/>
      <c r="AO34" s="46"/>
      <c r="AP34" s="46"/>
      <c r="AQ34" s="46"/>
      <c r="AR34" s="46"/>
      <c r="AS34" s="46"/>
      <c r="AT34" s="51"/>
      <c r="AU34" s="46"/>
      <c r="AV34" s="46">
        <v>-1529.63</v>
      </c>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row>
    <row r="35" spans="4:85" s="39" customFormat="true" ht="12" customHeight="true">
      <c r="D35" s="46"/>
      <c r="E35" s="46"/>
      <c r="F35" s="46"/>
      <c r="G35" s="46"/>
      <c r="H35" s="46"/>
      <c r="I35" s="46"/>
      <c r="J35" s="46"/>
      <c r="K35" s="46"/>
      <c r="L35" s="46"/>
      <c r="M35" s="46"/>
      <c r="N35" s="46"/>
      <c r="O35" s="46"/>
      <c r="P35" s="46"/>
      <c r="Q35" s="46"/>
      <c r="R35" s="46"/>
      <c r="S35" s="46"/>
      <c r="T35" s="46"/>
      <c r="U35" s="51"/>
      <c r="V35" s="46"/>
      <c r="W35" s="46"/>
      <c r="X35" s="46"/>
      <c r="Y35" s="46"/>
      <c r="Z35" s="46"/>
      <c r="AA35" s="51"/>
      <c r="AB35" s="51"/>
      <c r="AC35" s="51"/>
      <c r="AD35" s="51"/>
      <c r="AE35" s="46"/>
      <c r="AF35" s="51"/>
      <c r="AG35" s="46"/>
      <c r="AH35" s="46"/>
      <c r="AI35" s="51"/>
      <c r="AJ35" s="46"/>
      <c r="AK35" s="46"/>
      <c r="AL35" s="46"/>
      <c r="AM35" s="46"/>
      <c r="AN35" s="46"/>
      <c r="AO35" s="46"/>
      <c r="AP35" s="46"/>
      <c r="AQ35" s="46"/>
      <c r="AR35" s="46"/>
      <c r="AS35" s="46"/>
      <c r="AT35" s="51"/>
      <c r="AU35" s="46"/>
      <c r="AV35" s="46">
        <v>-1674.26</v>
      </c>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row>
    <row r="36" spans="4:85" s="39" customFormat="true" ht="12" customHeight="true">
      <c r="D36" s="46"/>
      <c r="E36" s="46"/>
      <c r="F36" s="46"/>
      <c r="G36" s="46"/>
      <c r="H36" s="46"/>
      <c r="I36" s="46"/>
      <c r="J36" s="46"/>
      <c r="K36" s="46"/>
      <c r="L36" s="46"/>
      <c r="M36" s="46"/>
      <c r="N36" s="46"/>
      <c r="O36" s="46"/>
      <c r="P36" s="46"/>
      <c r="Q36" s="46"/>
      <c r="R36" s="46"/>
      <c r="S36" s="46"/>
      <c r="T36" s="46"/>
      <c r="U36" s="51"/>
      <c r="V36" s="46"/>
      <c r="W36" s="46"/>
      <c r="X36" s="46"/>
      <c r="Y36" s="46"/>
      <c r="Z36" s="46"/>
      <c r="AA36" s="51"/>
      <c r="AB36" s="51"/>
      <c r="AC36" s="51"/>
      <c r="AD36" s="51"/>
      <c r="AE36" s="46"/>
      <c r="AF36" s="51"/>
      <c r="AG36" s="46"/>
      <c r="AH36" s="46"/>
      <c r="AI36" s="51"/>
      <c r="AJ36" s="46"/>
      <c r="AK36" s="46"/>
      <c r="AL36" s="46"/>
      <c r="AM36" s="46"/>
      <c r="AN36" s="46"/>
      <c r="AO36" s="46"/>
      <c r="AP36" s="46"/>
      <c r="AQ36" s="46"/>
      <c r="AR36" s="46"/>
      <c r="AS36" s="46"/>
      <c r="AT36" s="51"/>
      <c r="AU36" s="46"/>
      <c r="AV36" s="46">
        <v>-836.45</v>
      </c>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row>
    <row r="37" spans="4:85" s="39" customFormat="true" ht="12" customHeight="true">
      <c r="D37" s="46"/>
      <c r="E37" s="46"/>
      <c r="F37" s="46"/>
      <c r="G37" s="46"/>
      <c r="H37" s="46"/>
      <c r="I37" s="46"/>
      <c r="J37" s="46"/>
      <c r="K37" s="46"/>
      <c r="L37" s="46"/>
      <c r="M37" s="46"/>
      <c r="N37" s="46"/>
      <c r="O37" s="46"/>
      <c r="P37" s="46"/>
      <c r="Q37" s="46"/>
      <c r="R37" s="46"/>
      <c r="S37" s="46"/>
      <c r="T37" s="46"/>
      <c r="U37" s="51"/>
      <c r="V37" s="46"/>
      <c r="W37" s="46"/>
      <c r="X37" s="46"/>
      <c r="Y37" s="46"/>
      <c r="Z37" s="46"/>
      <c r="AA37" s="51"/>
      <c r="AB37" s="51"/>
      <c r="AC37" s="51"/>
      <c r="AD37" s="51"/>
      <c r="AE37" s="46"/>
      <c r="AF37" s="51"/>
      <c r="AG37" s="46"/>
      <c r="AH37" s="46"/>
      <c r="AI37" s="51"/>
      <c r="AJ37" s="46"/>
      <c r="AK37" s="46"/>
      <c r="AL37" s="46"/>
      <c r="AM37" s="46"/>
      <c r="AN37" s="46"/>
      <c r="AO37" s="46"/>
      <c r="AP37" s="46"/>
      <c r="AQ37" s="46"/>
      <c r="AR37" s="46"/>
      <c r="AS37" s="46"/>
      <c r="AT37" s="51"/>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row>
    <row r="38" spans="4:85" s="39" customFormat="true" ht="12" customHeight="true">
      <c r="D38" s="46"/>
      <c r="E38" s="46"/>
      <c r="F38" s="46"/>
      <c r="G38" s="46"/>
      <c r="H38" s="46"/>
      <c r="I38" s="46"/>
      <c r="J38" s="46"/>
      <c r="K38" s="46"/>
      <c r="L38" s="46"/>
      <c r="M38" s="46"/>
      <c r="N38" s="46"/>
      <c r="O38" s="46"/>
      <c r="P38" s="46"/>
      <c r="Q38" s="46"/>
      <c r="R38" s="46"/>
      <c r="S38" s="46"/>
      <c r="T38" s="46"/>
      <c r="U38" s="51"/>
      <c r="V38" s="46"/>
      <c r="W38" s="46"/>
      <c r="X38" s="46"/>
      <c r="Y38" s="46"/>
      <c r="Z38" s="46"/>
      <c r="AA38" s="51"/>
      <c r="AB38" s="51"/>
      <c r="AC38" s="51"/>
      <c r="AD38" s="51"/>
      <c r="AE38" s="46"/>
      <c r="AF38" s="51"/>
      <c r="AG38" s="46"/>
      <c r="AH38" s="46"/>
      <c r="AI38" s="51"/>
      <c r="AJ38" s="46"/>
      <c r="AK38" s="46"/>
      <c r="AL38" s="46"/>
      <c r="AM38" s="46"/>
      <c r="AN38" s="46"/>
      <c r="AO38" s="46"/>
      <c r="AP38" s="46"/>
      <c r="AQ38" s="46"/>
      <c r="AR38" s="46"/>
      <c r="AS38" s="46"/>
      <c r="AT38" s="51"/>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row>
    <row r="39" spans="4:85" s="39" customFormat="true" ht="12" customHeight="true">
      <c r="D39" s="46"/>
      <c r="E39" s="46"/>
      <c r="F39" s="46"/>
      <c r="G39" s="46"/>
      <c r="H39" s="46"/>
      <c r="I39" s="46"/>
      <c r="J39" s="46"/>
      <c r="K39" s="46"/>
      <c r="L39" s="46"/>
      <c r="M39" s="46"/>
      <c r="N39" s="46"/>
      <c r="O39" s="46"/>
      <c r="P39" s="46"/>
      <c r="Q39" s="46"/>
      <c r="R39" s="46"/>
      <c r="S39" s="46"/>
      <c r="T39" s="46"/>
      <c r="U39" s="51"/>
      <c r="V39" s="46"/>
      <c r="W39" s="46"/>
      <c r="X39" s="46"/>
      <c r="Y39" s="46"/>
      <c r="Z39" s="46"/>
      <c r="AA39" s="51"/>
      <c r="AB39" s="51"/>
      <c r="AC39" s="51"/>
      <c r="AD39" s="51"/>
      <c r="AE39" s="46"/>
      <c r="AF39" s="51"/>
      <c r="AG39" s="46"/>
      <c r="AH39" s="46"/>
      <c r="AI39" s="51"/>
      <c r="AJ39" s="46"/>
      <c r="AK39" s="46"/>
      <c r="AL39" s="46"/>
      <c r="AM39" s="46"/>
      <c r="AN39" s="46"/>
      <c r="AO39" s="46"/>
      <c r="AP39" s="46"/>
      <c r="AQ39" s="46"/>
      <c r="AR39" s="46"/>
      <c r="AS39" s="46"/>
      <c r="AT39" s="51"/>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row>
    <row r="40" spans="4:85" s="39" customFormat="true" ht="12" customHeight="true">
      <c r="D40" s="46"/>
      <c r="E40" s="46"/>
      <c r="F40" s="46"/>
      <c r="G40" s="46"/>
      <c r="H40" s="46"/>
      <c r="I40" s="46"/>
      <c r="J40" s="46"/>
      <c r="K40" s="46"/>
      <c r="L40" s="46"/>
      <c r="M40" s="46"/>
      <c r="N40" s="46"/>
      <c r="O40" s="46"/>
      <c r="P40" s="46"/>
      <c r="Q40" s="46"/>
      <c r="R40" s="46"/>
      <c r="S40" s="46"/>
      <c r="T40" s="46"/>
      <c r="U40" s="51"/>
      <c r="V40" s="46"/>
      <c r="W40" s="46"/>
      <c r="X40" s="46"/>
      <c r="Y40" s="46"/>
      <c r="Z40" s="46"/>
      <c r="AA40" s="51"/>
      <c r="AB40" s="51"/>
      <c r="AC40" s="51"/>
      <c r="AD40" s="51"/>
      <c r="AE40" s="46"/>
      <c r="AF40" s="51"/>
      <c r="AG40" s="46"/>
      <c r="AH40" s="46"/>
      <c r="AI40" s="51"/>
      <c r="AJ40" s="46"/>
      <c r="AK40" s="46"/>
      <c r="AL40" s="46"/>
      <c r="AM40" s="46"/>
      <c r="AN40" s="46"/>
      <c r="AO40" s="46"/>
      <c r="AP40" s="46"/>
      <c r="AQ40" s="46"/>
      <c r="AR40" s="46"/>
      <c r="AS40" s="46"/>
      <c r="AT40" s="51"/>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row>
    <row r="41" spans="4:85" s="39" customFormat="true" ht="12" customHeight="true">
      <c r="D41" s="46"/>
      <c r="E41" s="46"/>
      <c r="F41" s="46"/>
      <c r="G41" s="46"/>
      <c r="H41" s="46"/>
      <c r="I41" s="46"/>
      <c r="J41" s="46"/>
      <c r="K41" s="46"/>
      <c r="L41" s="46"/>
      <c r="M41" s="46"/>
      <c r="N41" s="46"/>
      <c r="O41" s="46"/>
      <c r="P41" s="46"/>
      <c r="Q41" s="46"/>
      <c r="R41" s="46"/>
      <c r="S41" s="46"/>
      <c r="T41" s="46"/>
      <c r="U41" s="51"/>
      <c r="V41" s="46"/>
      <c r="W41" s="46"/>
      <c r="X41" s="46"/>
      <c r="Y41" s="46"/>
      <c r="Z41" s="46"/>
      <c r="AA41" s="51"/>
      <c r="AB41" s="51"/>
      <c r="AC41" s="51"/>
      <c r="AD41" s="51"/>
      <c r="AE41" s="46"/>
      <c r="AF41" s="51"/>
      <c r="AG41" s="46"/>
      <c r="AH41" s="46"/>
      <c r="AI41" s="51"/>
      <c r="AJ41" s="46"/>
      <c r="AK41" s="46"/>
      <c r="AL41" s="46"/>
      <c r="AM41" s="46"/>
      <c r="AN41" s="46"/>
      <c r="AO41" s="46"/>
      <c r="AP41" s="46"/>
      <c r="AQ41" s="46"/>
      <c r="AR41" s="46"/>
      <c r="AS41" s="46"/>
      <c r="AT41" s="51"/>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row>
    <row r="42" spans="4:85" s="39" customFormat="true" ht="12" customHeight="true">
      <c r="D42" s="46"/>
      <c r="E42" s="46"/>
      <c r="F42" s="46"/>
      <c r="G42" s="46"/>
      <c r="H42" s="46"/>
      <c r="I42" s="46"/>
      <c r="J42" s="46"/>
      <c r="K42" s="46"/>
      <c r="L42" s="46"/>
      <c r="M42" s="46"/>
      <c r="N42" s="46"/>
      <c r="O42" s="46"/>
      <c r="P42" s="46"/>
      <c r="Q42" s="46"/>
      <c r="R42" s="46"/>
      <c r="S42" s="46"/>
      <c r="T42" s="46"/>
      <c r="U42" s="51"/>
      <c r="V42" s="46"/>
      <c r="W42" s="46"/>
      <c r="X42" s="46"/>
      <c r="Y42" s="46"/>
      <c r="Z42" s="46"/>
      <c r="AA42" s="51"/>
      <c r="AB42" s="51"/>
      <c r="AC42" s="51"/>
      <c r="AD42" s="51"/>
      <c r="AE42" s="46"/>
      <c r="AF42" s="51"/>
      <c r="AG42" s="46"/>
      <c r="AH42" s="46"/>
      <c r="AI42" s="51"/>
      <c r="AJ42" s="46"/>
      <c r="AK42" s="46"/>
      <c r="AL42" s="46"/>
      <c r="AM42" s="46"/>
      <c r="AN42" s="46"/>
      <c r="AO42" s="46"/>
      <c r="AP42" s="46"/>
      <c r="AQ42" s="46"/>
      <c r="AR42" s="46"/>
      <c r="AS42" s="46"/>
      <c r="AT42" s="51"/>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row>
    <row r="43" spans="4:85" s="39" customFormat="true" ht="12" customHeight="true">
      <c r="D43" s="46"/>
      <c r="E43" s="46"/>
      <c r="F43" s="46"/>
      <c r="G43" s="46"/>
      <c r="H43" s="46"/>
      <c r="I43" s="46"/>
      <c r="J43" s="46"/>
      <c r="K43" s="46"/>
      <c r="L43" s="46"/>
      <c r="M43" s="46"/>
      <c r="N43" s="46"/>
      <c r="O43" s="46"/>
      <c r="P43" s="46"/>
      <c r="Q43" s="46"/>
      <c r="R43" s="46"/>
      <c r="S43" s="46"/>
      <c r="T43" s="46"/>
      <c r="U43" s="51"/>
      <c r="V43" s="46"/>
      <c r="W43" s="46"/>
      <c r="X43" s="46"/>
      <c r="Y43" s="46"/>
      <c r="Z43" s="46"/>
      <c r="AA43" s="51"/>
      <c r="AB43" s="51"/>
      <c r="AC43" s="51"/>
      <c r="AD43" s="51"/>
      <c r="AE43" s="46"/>
      <c r="AF43" s="51"/>
      <c r="AG43" s="46"/>
      <c r="AH43" s="46"/>
      <c r="AI43" s="51"/>
      <c r="AJ43" s="46"/>
      <c r="AK43" s="46"/>
      <c r="AL43" s="46"/>
      <c r="AM43" s="46"/>
      <c r="AN43" s="46"/>
      <c r="AO43" s="46"/>
      <c r="AP43" s="46"/>
      <c r="AQ43" s="46"/>
      <c r="AR43" s="46"/>
      <c r="AS43" s="46"/>
      <c r="AT43" s="51"/>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row>
    <row r="44" spans="4:85" s="39" customFormat="true" ht="12" customHeight="true">
      <c r="D44" s="46"/>
      <c r="E44" s="46"/>
      <c r="F44" s="46"/>
      <c r="G44" s="46"/>
      <c r="H44" s="46"/>
      <c r="I44" s="46"/>
      <c r="J44" s="46"/>
      <c r="K44" s="46"/>
      <c r="L44" s="46"/>
      <c r="M44" s="46"/>
      <c r="N44" s="46"/>
      <c r="O44" s="46"/>
      <c r="P44" s="46"/>
      <c r="Q44" s="46"/>
      <c r="R44" s="46"/>
      <c r="S44" s="46"/>
      <c r="T44" s="46"/>
      <c r="U44" s="51"/>
      <c r="V44" s="46"/>
      <c r="W44" s="46"/>
      <c r="X44" s="46"/>
      <c r="Y44" s="46"/>
      <c r="Z44" s="46"/>
      <c r="AA44" s="51"/>
      <c r="AB44" s="51"/>
      <c r="AC44" s="51"/>
      <c r="AD44" s="51"/>
      <c r="AE44" s="46"/>
      <c r="AF44" s="51"/>
      <c r="AG44" s="46"/>
      <c r="AH44" s="46"/>
      <c r="AI44" s="51"/>
      <c r="AJ44" s="46"/>
      <c r="AK44" s="46"/>
      <c r="AL44" s="46"/>
      <c r="AM44" s="46"/>
      <c r="AN44" s="46"/>
      <c r="AO44" s="46"/>
      <c r="AP44" s="46"/>
      <c r="AQ44" s="46"/>
      <c r="AR44" s="46"/>
      <c r="AS44" s="46"/>
      <c r="AT44" s="51"/>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row>
    <row r="45" spans="4:85" s="39" customFormat="true" ht="12" customHeight="true">
      <c r="D45" s="46"/>
      <c r="E45" s="46"/>
      <c r="F45" s="46"/>
      <c r="G45" s="46"/>
      <c r="H45" s="46"/>
      <c r="I45" s="46"/>
      <c r="J45" s="46"/>
      <c r="K45" s="46"/>
      <c r="L45" s="46"/>
      <c r="M45" s="46"/>
      <c r="N45" s="46"/>
      <c r="O45" s="46"/>
      <c r="P45" s="46"/>
      <c r="Q45" s="46"/>
      <c r="R45" s="46"/>
      <c r="S45" s="46"/>
      <c r="T45" s="46"/>
      <c r="U45" s="51"/>
      <c r="V45" s="46"/>
      <c r="W45" s="46"/>
      <c r="X45" s="46"/>
      <c r="Y45" s="46"/>
      <c r="Z45" s="46"/>
      <c r="AA45" s="51"/>
      <c r="AB45" s="51"/>
      <c r="AC45" s="51"/>
      <c r="AD45" s="51"/>
      <c r="AE45" s="46"/>
      <c r="AF45" s="51"/>
      <c r="AG45" s="46"/>
      <c r="AH45" s="46"/>
      <c r="AI45" s="51"/>
      <c r="AJ45" s="46"/>
      <c r="AK45" s="46"/>
      <c r="AL45" s="46"/>
      <c r="AM45" s="46"/>
      <c r="AN45" s="46"/>
      <c r="AO45" s="46"/>
      <c r="AP45" s="46"/>
      <c r="AQ45" s="46"/>
      <c r="AR45" s="46"/>
      <c r="AS45" s="46"/>
      <c r="AT45" s="51"/>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row>
    <row r="46" spans="4:85" s="39" customFormat="true" ht="12" customHeight="true">
      <c r="D46" s="46"/>
      <c r="E46" s="46"/>
      <c r="F46" s="46"/>
      <c r="G46" s="46"/>
      <c r="H46" s="46"/>
      <c r="I46" s="46"/>
      <c r="J46" s="46"/>
      <c r="K46" s="46"/>
      <c r="L46" s="46"/>
      <c r="M46" s="46"/>
      <c r="N46" s="46"/>
      <c r="O46" s="46"/>
      <c r="P46" s="46"/>
      <c r="Q46" s="46"/>
      <c r="R46" s="46"/>
      <c r="S46" s="46"/>
      <c r="T46" s="46"/>
      <c r="U46" s="51"/>
      <c r="V46" s="46"/>
      <c r="W46" s="46"/>
      <c r="X46" s="46"/>
      <c r="Y46" s="46"/>
      <c r="Z46" s="46"/>
      <c r="AA46" s="51"/>
      <c r="AB46" s="51"/>
      <c r="AC46" s="51"/>
      <c r="AD46" s="51"/>
      <c r="AE46" s="46"/>
      <c r="AF46" s="51"/>
      <c r="AG46" s="46"/>
      <c r="AH46" s="46"/>
      <c r="AI46" s="51"/>
      <c r="AJ46" s="46"/>
      <c r="AK46" s="46"/>
      <c r="AL46" s="46"/>
      <c r="AM46" s="46"/>
      <c r="AN46" s="46"/>
      <c r="AO46" s="46"/>
      <c r="AP46" s="46"/>
      <c r="AQ46" s="46"/>
      <c r="AR46" s="46"/>
      <c r="AS46" s="46"/>
      <c r="AT46" s="51"/>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c r="CD46" s="46"/>
      <c r="CE46" s="46"/>
      <c r="CF46" s="46"/>
      <c r="CG46" s="46"/>
    </row>
    <row r="47" spans="2:86" s="39" customFormat="true" ht="12" customHeight="true">
      <c r="B47" s="39" t="s">
        <v>34191</v>
      </c>
      <c r="D47" s="39">
        <f t="shared" ref="D47:BO47" si="2">+SUM(D31:D46)</f>
        <v>0</v>
      </c>
      <c r="E47" s="39">
        <f t="shared" si="2"/>
        <v>39747.61</v>
      </c>
      <c r="F47" s="39">
        <f t="shared" si="2"/>
        <v>32331.44</v>
      </c>
      <c r="G47" s="39">
        <f t="shared" si="2"/>
        <v>0</v>
      </c>
      <c r="H47" s="39">
        <f t="shared" si="2"/>
        <v>23444.17</v>
      </c>
      <c r="I47" s="39">
        <f t="shared" si="2"/>
        <v>0</v>
      </c>
      <c r="J47" s="39">
        <f t="shared" si="2"/>
        <v>0</v>
      </c>
      <c r="K47" s="39">
        <f t="shared" si="2"/>
        <v>478289.85</v>
      </c>
      <c r="L47" s="39">
        <f t="shared" si="2"/>
        <v>0</v>
      </c>
      <c r="M47" s="39">
        <f t="shared" si="2"/>
        <v>0</v>
      </c>
      <c r="N47" s="39">
        <f t="shared" si="2"/>
        <v>15712.84</v>
      </c>
      <c r="O47" s="39">
        <f t="shared" si="2"/>
        <v>0</v>
      </c>
      <c r="P47" s="39">
        <f t="shared" si="2"/>
        <v>134386.36</v>
      </c>
      <c r="Q47" s="39">
        <f t="shared" si="2"/>
        <v>494.69</v>
      </c>
      <c r="R47" s="39">
        <f t="shared" si="2"/>
        <v>3504.96</v>
      </c>
      <c r="S47" s="39">
        <f t="shared" si="2"/>
        <v>1982.65</v>
      </c>
      <c r="T47" s="39">
        <f t="shared" si="2"/>
        <v>0</v>
      </c>
      <c r="U47" s="51">
        <f t="shared" si="2"/>
        <v>0</v>
      </c>
      <c r="V47" s="39">
        <f t="shared" si="2"/>
        <v>57831.73</v>
      </c>
      <c r="W47" s="39">
        <f t="shared" si="2"/>
        <v>0</v>
      </c>
      <c r="X47" s="39">
        <f t="shared" si="2"/>
        <v>45199.2</v>
      </c>
      <c r="Y47" s="39">
        <f t="shared" si="2"/>
        <v>10167.33</v>
      </c>
      <c r="Z47" s="39">
        <f t="shared" si="2"/>
        <v>0</v>
      </c>
      <c r="AA47" s="51">
        <f t="shared" si="2"/>
        <v>0</v>
      </c>
      <c r="AB47" s="51">
        <f t="shared" si="2"/>
        <v>0</v>
      </c>
      <c r="AC47" s="51">
        <f t="shared" si="2"/>
        <v>0</v>
      </c>
      <c r="AD47" s="51">
        <f t="shared" si="2"/>
        <v>0</v>
      </c>
      <c r="AE47" s="39">
        <f t="shared" si="2"/>
        <v>3123.2</v>
      </c>
      <c r="AF47" s="51">
        <f t="shared" si="2"/>
        <v>0</v>
      </c>
      <c r="AG47" s="39">
        <f t="shared" si="2"/>
        <v>181190.11</v>
      </c>
      <c r="AH47" s="39">
        <f t="shared" si="2"/>
        <v>17469.52</v>
      </c>
      <c r="AI47" s="51">
        <f t="shared" si="2"/>
        <v>0</v>
      </c>
      <c r="AJ47" s="39">
        <f t="shared" si="2"/>
        <v>85533.41</v>
      </c>
      <c r="AK47" s="39">
        <f t="shared" si="2"/>
        <v>18414.22</v>
      </c>
      <c r="AL47" s="39">
        <f t="shared" si="2"/>
        <v>16301.53</v>
      </c>
      <c r="AM47" s="39">
        <f t="shared" si="2"/>
        <v>0</v>
      </c>
      <c r="AN47" s="39">
        <f t="shared" si="2"/>
        <v>0</v>
      </c>
      <c r="AO47" s="39">
        <f t="shared" si="2"/>
        <v>2600</v>
      </c>
      <c r="AP47" s="39">
        <f t="shared" si="2"/>
        <v>7800</v>
      </c>
      <c r="AQ47" s="39">
        <f t="shared" si="2"/>
        <v>5200</v>
      </c>
      <c r="AR47" s="39">
        <f t="shared" si="2"/>
        <v>5200</v>
      </c>
      <c r="AS47" s="39">
        <f t="shared" si="2"/>
        <v>5200</v>
      </c>
      <c r="AT47" s="51">
        <f t="shared" si="2"/>
        <v>0</v>
      </c>
      <c r="AU47" s="39">
        <f t="shared" si="2"/>
        <v>30200</v>
      </c>
      <c r="AV47" s="39">
        <f t="shared" si="2"/>
        <v>102640.46</v>
      </c>
      <c r="AW47" s="39">
        <f t="shared" si="2"/>
        <v>13931.29</v>
      </c>
      <c r="AX47" s="39">
        <f t="shared" si="2"/>
        <v>6440.99</v>
      </c>
      <c r="AY47" s="39">
        <f t="shared" si="2"/>
        <v>35178.33</v>
      </c>
      <c r="AZ47" s="39">
        <f t="shared" si="2"/>
        <v>0</v>
      </c>
      <c r="BA47" s="39">
        <f t="shared" si="2"/>
        <v>57130.28</v>
      </c>
      <c r="BB47" s="39">
        <f t="shared" si="2"/>
        <v>0</v>
      </c>
      <c r="BC47" s="39">
        <f t="shared" si="2"/>
        <v>276.41</v>
      </c>
      <c r="BD47" s="39">
        <f t="shared" si="2"/>
        <v>12626.02</v>
      </c>
      <c r="BE47" s="39">
        <f t="shared" si="2"/>
        <v>0</v>
      </c>
      <c r="BF47" s="39">
        <f t="shared" si="2"/>
        <v>14907.77</v>
      </c>
      <c r="BG47" s="39">
        <f t="shared" si="2"/>
        <v>31870.49</v>
      </c>
      <c r="BH47" s="39">
        <f t="shared" si="2"/>
        <v>2801.99</v>
      </c>
      <c r="BI47" s="39">
        <f t="shared" si="2"/>
        <v>783.81</v>
      </c>
      <c r="BJ47" s="39">
        <f t="shared" si="2"/>
        <v>1277.67</v>
      </c>
      <c r="BK47" s="39">
        <f t="shared" si="2"/>
        <v>10428.61</v>
      </c>
      <c r="BL47" s="39">
        <f t="shared" si="2"/>
        <v>11454.6</v>
      </c>
      <c r="BM47" s="39">
        <f t="shared" si="2"/>
        <v>13216.89</v>
      </c>
      <c r="BN47" s="39">
        <f t="shared" si="2"/>
        <v>417461.07</v>
      </c>
      <c r="BO47" s="39">
        <f t="shared" si="2"/>
        <v>1217.56</v>
      </c>
      <c r="BP47" s="39">
        <f t="shared" ref="BP47:CG47" si="3">+SUM(BP31:BP46)</f>
        <v>81787.8</v>
      </c>
      <c r="BQ47" s="39">
        <f t="shared" si="3"/>
        <v>14953.15</v>
      </c>
      <c r="BR47" s="39">
        <f t="shared" si="3"/>
        <v>3845.01</v>
      </c>
      <c r="BS47" s="39">
        <f t="shared" si="3"/>
        <v>5230.92</v>
      </c>
      <c r="BT47" s="39">
        <f t="shared" si="3"/>
        <v>382990.15</v>
      </c>
      <c r="BU47" s="39">
        <f t="shared" si="3"/>
        <v>1591.82</v>
      </c>
      <c r="BV47" s="39">
        <f t="shared" si="3"/>
        <v>2094.66</v>
      </c>
      <c r="BW47" s="39">
        <f t="shared" si="3"/>
        <v>1584.99</v>
      </c>
      <c r="BX47" s="39">
        <f t="shared" si="3"/>
        <v>200</v>
      </c>
      <c r="BY47" s="39">
        <f t="shared" si="3"/>
        <v>783.33</v>
      </c>
      <c r="BZ47" s="39">
        <f t="shared" si="3"/>
        <v>1657.87</v>
      </c>
      <c r="CA47" s="39">
        <f t="shared" si="3"/>
        <v>0</v>
      </c>
      <c r="CB47" s="39">
        <f t="shared" si="3"/>
        <v>0</v>
      </c>
      <c r="CC47" s="39">
        <f t="shared" si="3"/>
        <v>0</v>
      </c>
      <c r="CD47" s="39">
        <f t="shared" si="3"/>
        <v>0</v>
      </c>
      <c r="CE47" s="39">
        <f t="shared" si="3"/>
        <v>0</v>
      </c>
      <c r="CF47" s="39">
        <f t="shared" si="3"/>
        <v>0</v>
      </c>
      <c r="CG47" s="39">
        <f t="shared" si="3"/>
        <v>17007.42</v>
      </c>
      <c r="CH47" s="39">
        <f>SUM(D47:CG47)</f>
        <v>2468696.18</v>
      </c>
    </row>
    <row r="48" spans="21:46" s="39" customFormat="true" ht="12" customHeight="true">
      <c r="U48" s="51"/>
      <c r="AA48" s="51"/>
      <c r="AB48" s="51"/>
      <c r="AC48" s="51"/>
      <c r="AD48" s="51"/>
      <c r="AF48" s="51"/>
      <c r="AI48" s="51"/>
      <c r="AT48" s="51"/>
    </row>
    <row r="49" spans="2:86" s="39" customFormat="true" ht="12" customHeight="true">
      <c r="B49" s="39" t="s">
        <v>34192</v>
      </c>
      <c r="D49" s="39">
        <f t="shared" ref="D49:BO49" si="4">+D9+D29-D47</f>
        <v>49343.3</v>
      </c>
      <c r="E49" s="39">
        <f t="shared" si="4"/>
        <v>-39270.18</v>
      </c>
      <c r="F49" s="39">
        <f t="shared" si="4"/>
        <v>-32331.44</v>
      </c>
      <c r="G49" s="39">
        <f t="shared" si="4"/>
        <v>60187.18</v>
      </c>
      <c r="H49" s="39">
        <f t="shared" si="4"/>
        <v>-23444.17</v>
      </c>
      <c r="I49" s="39">
        <f t="shared" si="4"/>
        <v>0</v>
      </c>
      <c r="J49" s="39">
        <f t="shared" si="4"/>
        <v>475501.69</v>
      </c>
      <c r="K49" s="39">
        <f t="shared" si="4"/>
        <v>2226890.88</v>
      </c>
      <c r="L49" s="39">
        <f t="shared" si="4"/>
        <v>49086.52</v>
      </c>
      <c r="M49" s="39">
        <f t="shared" si="4"/>
        <v>14660.59</v>
      </c>
      <c r="N49" s="39">
        <f t="shared" si="4"/>
        <v>-6454.27</v>
      </c>
      <c r="O49" s="39">
        <f t="shared" si="4"/>
        <v>0</v>
      </c>
      <c r="P49" s="39">
        <f t="shared" si="4"/>
        <v>-134386.36</v>
      </c>
      <c r="Q49" s="39">
        <f t="shared" si="4"/>
        <v>19046.91</v>
      </c>
      <c r="R49" s="39">
        <f t="shared" si="4"/>
        <v>-3504.96</v>
      </c>
      <c r="S49" s="39">
        <f t="shared" si="4"/>
        <v>-1982.65</v>
      </c>
      <c r="T49" s="39">
        <f t="shared" si="4"/>
        <v>9015.16</v>
      </c>
      <c r="U49" s="51">
        <f t="shared" si="4"/>
        <v>0</v>
      </c>
      <c r="V49" s="39">
        <f t="shared" si="4"/>
        <v>243369.06</v>
      </c>
      <c r="W49" s="39">
        <f t="shared" si="4"/>
        <v>38342.28</v>
      </c>
      <c r="X49" s="39">
        <f t="shared" si="4"/>
        <v>-45199.2</v>
      </c>
      <c r="Y49" s="39">
        <f t="shared" si="4"/>
        <v>14475.48</v>
      </c>
      <c r="Z49" s="39">
        <f t="shared" si="4"/>
        <v>27883.78</v>
      </c>
      <c r="AA49" s="51">
        <f t="shared" si="4"/>
        <v>0</v>
      </c>
      <c r="AB49" s="51">
        <f t="shared" si="4"/>
        <v>0</v>
      </c>
      <c r="AC49" s="51">
        <f t="shared" si="4"/>
        <v>0</v>
      </c>
      <c r="AD49" s="51">
        <f t="shared" si="4"/>
        <v>0</v>
      </c>
      <c r="AE49" s="39">
        <f t="shared" si="4"/>
        <v>236215.26</v>
      </c>
      <c r="AF49" s="51">
        <f t="shared" si="4"/>
        <v>0</v>
      </c>
      <c r="AG49" s="39">
        <f t="shared" si="4"/>
        <v>-72262.96</v>
      </c>
      <c r="AH49" s="39">
        <f t="shared" si="4"/>
        <v>22853.61</v>
      </c>
      <c r="AI49" s="51">
        <f t="shared" si="4"/>
        <v>0</v>
      </c>
      <c r="AJ49" s="39">
        <f t="shared" si="4"/>
        <v>-74942.03</v>
      </c>
      <c r="AK49" s="39">
        <f t="shared" si="4"/>
        <v>107124.41</v>
      </c>
      <c r="AL49" s="39">
        <f t="shared" si="4"/>
        <v>47561.43</v>
      </c>
      <c r="AM49" s="39">
        <f t="shared" si="4"/>
        <v>0</v>
      </c>
      <c r="AN49" s="39">
        <f t="shared" si="4"/>
        <v>0</v>
      </c>
      <c r="AO49" s="39">
        <f t="shared" si="4"/>
        <v>27123.21</v>
      </c>
      <c r="AP49" s="39">
        <f t="shared" si="4"/>
        <v>155324.42</v>
      </c>
      <c r="AQ49" s="39">
        <f t="shared" si="4"/>
        <v>88462</v>
      </c>
      <c r="AR49" s="39">
        <f t="shared" si="4"/>
        <v>41424.72</v>
      </c>
      <c r="AS49" s="39">
        <f t="shared" si="4"/>
        <v>33525.45</v>
      </c>
      <c r="AT49" s="51">
        <f t="shared" si="4"/>
        <v>0</v>
      </c>
      <c r="AU49" s="39">
        <f t="shared" si="4"/>
        <v>-17090.29</v>
      </c>
      <c r="AV49" s="39">
        <f t="shared" si="4"/>
        <v>41130.71</v>
      </c>
      <c r="AW49" s="39">
        <f t="shared" si="4"/>
        <v>5550.64</v>
      </c>
      <c r="AX49" s="39">
        <f t="shared" si="4"/>
        <v>11494.51</v>
      </c>
      <c r="AY49" s="39">
        <f t="shared" si="4"/>
        <v>57776.89</v>
      </c>
      <c r="AZ49" s="39">
        <f t="shared" si="4"/>
        <v>4316.34</v>
      </c>
      <c r="BA49" s="39">
        <f t="shared" si="4"/>
        <v>-1519.02</v>
      </c>
      <c r="BB49" s="39">
        <f t="shared" si="4"/>
        <v>3645.74</v>
      </c>
      <c r="BC49" s="39">
        <f t="shared" si="4"/>
        <v>21618.52</v>
      </c>
      <c r="BD49" s="39">
        <f t="shared" si="4"/>
        <v>6820.34</v>
      </c>
      <c r="BE49" s="39">
        <f t="shared" si="4"/>
        <v>0</v>
      </c>
      <c r="BF49" s="39">
        <f t="shared" si="4"/>
        <v>46617.42</v>
      </c>
      <c r="BG49" s="39">
        <f t="shared" si="4"/>
        <v>181043.86</v>
      </c>
      <c r="BH49" s="39">
        <f t="shared" si="4"/>
        <v>47935.72</v>
      </c>
      <c r="BI49" s="39">
        <f t="shared" si="4"/>
        <v>10202.67</v>
      </c>
      <c r="BJ49" s="39">
        <f t="shared" si="4"/>
        <v>63287.58</v>
      </c>
      <c r="BK49" s="39">
        <f t="shared" si="4"/>
        <v>86202.14</v>
      </c>
      <c r="BL49" s="39">
        <f t="shared" si="4"/>
        <v>30343.43</v>
      </c>
      <c r="BM49" s="39">
        <f t="shared" si="4"/>
        <v>42731.84</v>
      </c>
      <c r="BN49" s="39">
        <f t="shared" si="4"/>
        <v>-242219.55</v>
      </c>
      <c r="BO49" s="39">
        <f t="shared" si="4"/>
        <v>19720.17</v>
      </c>
      <c r="BP49" s="39">
        <f t="shared" ref="BP49:CG49" si="5">+BP9+BP29-BP47</f>
        <v>-52120.52</v>
      </c>
      <c r="BQ49" s="39">
        <f t="shared" si="5"/>
        <v>-77</v>
      </c>
      <c r="BR49" s="39">
        <f t="shared" si="5"/>
        <v>10401.32</v>
      </c>
      <c r="BS49" s="39">
        <f t="shared" si="5"/>
        <v>38213.37</v>
      </c>
      <c r="BT49" s="39">
        <f t="shared" si="5"/>
        <v>-350521.54</v>
      </c>
      <c r="BU49" s="39">
        <f t="shared" si="5"/>
        <v>96796.59</v>
      </c>
      <c r="BV49" s="39">
        <f t="shared" si="5"/>
        <v>92574.57</v>
      </c>
      <c r="BW49" s="39">
        <f t="shared" si="5"/>
        <v>38237.77</v>
      </c>
      <c r="BX49" s="39">
        <f t="shared" si="5"/>
        <v>23175.73</v>
      </c>
      <c r="BY49" s="39">
        <f t="shared" si="5"/>
        <v>43881.98</v>
      </c>
      <c r="BZ49" s="39">
        <f t="shared" si="5"/>
        <v>62757.54</v>
      </c>
      <c r="CA49" s="39">
        <f t="shared" si="5"/>
        <v>211.6</v>
      </c>
      <c r="CB49" s="39">
        <f t="shared" si="5"/>
        <v>211.6</v>
      </c>
      <c r="CC49" s="39">
        <f t="shared" si="5"/>
        <v>222.6</v>
      </c>
      <c r="CD49" s="39">
        <f t="shared" si="5"/>
        <v>366300.19</v>
      </c>
      <c r="CE49" s="39">
        <f t="shared" si="5"/>
        <v>17702802.8</v>
      </c>
      <c r="CF49" s="39">
        <f t="shared" si="5"/>
        <v>583483.45</v>
      </c>
      <c r="CG49" s="39">
        <f t="shared" si="5"/>
        <v>-3472.48</v>
      </c>
      <c r="CH49" s="39">
        <f>SUM(D49:CG49)</f>
        <v>22626328.35</v>
      </c>
    </row>
    <row r="50" spans="21:46" s="39" customFormat="true" ht="12" customHeight="true">
      <c r="U50" s="51"/>
      <c r="AA50" s="51"/>
      <c r="AB50" s="51"/>
      <c r="AC50" s="51"/>
      <c r="AD50" s="51"/>
      <c r="AF50" s="51"/>
      <c r="AI50" s="51"/>
      <c r="AT50" s="51"/>
    </row>
    <row r="51" spans="2:86" s="39" customFormat="true" ht="12" customHeight="true">
      <c r="B51" s="39" t="s">
        <v>34193</v>
      </c>
      <c r="D51" s="46">
        <v>34681.3</v>
      </c>
      <c r="E51" s="46">
        <v>-39270.18</v>
      </c>
      <c r="F51" s="46">
        <v>-29555.3</v>
      </c>
      <c r="G51" s="46">
        <v>60187.18</v>
      </c>
      <c r="H51" s="46">
        <v>-23444.17</v>
      </c>
      <c r="I51" s="46"/>
      <c r="J51" s="46">
        <v>475501.69</v>
      </c>
      <c r="K51" s="46">
        <v>2227607.02</v>
      </c>
      <c r="L51" s="46">
        <v>4226.1</v>
      </c>
      <c r="M51" s="46">
        <v>14660.59</v>
      </c>
      <c r="N51" s="46">
        <v>-6454.27</v>
      </c>
      <c r="O51" s="46">
        <v>0</v>
      </c>
      <c r="P51" s="46">
        <f>-129616.55+977.87</f>
        <v>-128638.68</v>
      </c>
      <c r="Q51" s="46">
        <v>19121.35</v>
      </c>
      <c r="R51" s="46">
        <v>-3504.96</v>
      </c>
      <c r="S51" s="46">
        <v>-935.99</v>
      </c>
      <c r="T51" s="46">
        <v>9015.16</v>
      </c>
      <c r="U51" s="46"/>
      <c r="V51" s="46">
        <v>243369.06</v>
      </c>
      <c r="W51" s="46">
        <v>38342.28</v>
      </c>
      <c r="X51" s="46">
        <v>-45199.2</v>
      </c>
      <c r="Y51" s="46">
        <v>14475.48</v>
      </c>
      <c r="Z51" s="46">
        <v>27883.78</v>
      </c>
      <c r="AA51" s="46"/>
      <c r="AB51" s="46"/>
      <c r="AC51" s="46"/>
      <c r="AD51" s="46"/>
      <c r="AE51" s="46">
        <v>236215.26</v>
      </c>
      <c r="AF51" s="46"/>
      <c r="AG51" s="46">
        <v>-95707.28</v>
      </c>
      <c r="AH51" s="46">
        <v>23033.24</v>
      </c>
      <c r="AI51" s="46"/>
      <c r="AJ51" s="46">
        <v>-74942.03</v>
      </c>
      <c r="AK51" s="46">
        <v>109607.61</v>
      </c>
      <c r="AL51" s="46">
        <v>47561.43</v>
      </c>
      <c r="AM51" s="46"/>
      <c r="AN51" s="46"/>
      <c r="AO51" s="46">
        <v>27123.21</v>
      </c>
      <c r="AP51" s="46">
        <f>130324.42+25000</f>
        <v>155324.42</v>
      </c>
      <c r="AQ51" s="46">
        <v>88462</v>
      </c>
      <c r="AR51" s="46">
        <v>41424.72</v>
      </c>
      <c r="AS51" s="46">
        <v>33525.45</v>
      </c>
      <c r="AT51" s="46"/>
      <c r="AU51" s="46">
        <v>-17090.29</v>
      </c>
      <c r="AV51" s="46">
        <v>41130.71</v>
      </c>
      <c r="AW51" s="46">
        <v>5614.78</v>
      </c>
      <c r="AX51" s="46">
        <v>11494.51</v>
      </c>
      <c r="AY51" s="46">
        <v>57776.89</v>
      </c>
      <c r="AZ51" s="46">
        <v>4316.34</v>
      </c>
      <c r="BA51" s="46">
        <v>-1519.02</v>
      </c>
      <c r="BB51" s="46">
        <v>3645.74</v>
      </c>
      <c r="BC51" s="46">
        <v>21618.52</v>
      </c>
      <c r="BD51" s="46">
        <v>6820.34</v>
      </c>
      <c r="BE51" s="46"/>
      <c r="BF51" s="46">
        <v>46617.42</v>
      </c>
      <c r="BG51" s="46">
        <f>181142.34-98.48</f>
        <v>181043.86</v>
      </c>
      <c r="BH51" s="46">
        <v>48185.72</v>
      </c>
      <c r="BI51" s="46">
        <v>10202.67</v>
      </c>
      <c r="BJ51" s="46">
        <v>63287.58</v>
      </c>
      <c r="BK51" s="46">
        <v>86202.14</v>
      </c>
      <c r="BL51" s="46">
        <v>30343.44</v>
      </c>
      <c r="BM51" s="46">
        <v>42731.84</v>
      </c>
      <c r="BN51" s="46">
        <v>-242219.55</v>
      </c>
      <c r="BO51" s="46">
        <v>19720.17</v>
      </c>
      <c r="BP51" s="46">
        <v>-52120.52</v>
      </c>
      <c r="BQ51" s="46">
        <v>-77</v>
      </c>
      <c r="BR51" s="46">
        <v>10401.32</v>
      </c>
      <c r="BS51" s="46">
        <v>38213.37</v>
      </c>
      <c r="BT51" s="46">
        <v>-350521.54</v>
      </c>
      <c r="BU51" s="46">
        <v>96796.59</v>
      </c>
      <c r="BV51" s="46">
        <v>92574.57</v>
      </c>
      <c r="BW51" s="46">
        <v>38237.77</v>
      </c>
      <c r="BX51" s="46">
        <v>23195.73</v>
      </c>
      <c r="BY51" s="46">
        <v>43881.98</v>
      </c>
      <c r="BZ51" s="46">
        <v>62757.54</v>
      </c>
      <c r="CA51" s="46">
        <v>211.6</v>
      </c>
      <c r="CB51" s="46">
        <v>0</v>
      </c>
      <c r="CC51" s="46">
        <v>0</v>
      </c>
      <c r="CD51" s="46">
        <v>366300.19</v>
      </c>
      <c r="CE51" s="46">
        <f>17702802.8+15</f>
        <v>17702817.8</v>
      </c>
      <c r="CF51" s="46">
        <v>583483.45</v>
      </c>
      <c r="CG51" s="46">
        <v>-3472.48</v>
      </c>
      <c r="CH51" s="39">
        <f>SUM(D51:CG51)</f>
        <v>22556300.45</v>
      </c>
    </row>
    <row r="52" spans="2:86" s="39" customFormat="true" ht="12" customHeight="true">
      <c r="B52" s="39" t="s">
        <v>34194</v>
      </c>
      <c r="D52" s="47">
        <f>ROUND(SUMIF('BS-Details'!$D:$D,D$4&amp;"-"&amp;D$7,'BS-Details'!$K:$K),2)-D$51</f>
        <v>5436.12</v>
      </c>
      <c r="E52" s="47">
        <f>ROUND(SUMIF('BS-Details'!$D:$D,E$4&amp;"-"&amp;E$7,'BS-Details'!$K:$K),2)-E$51</f>
        <v>9827.33</v>
      </c>
      <c r="F52" s="47">
        <f>ROUND(SUMIF('BS-Details'!$D:$D,F$4&amp;"-"&amp;F$7,'BS-Details'!$K:$K),2)-F$51</f>
        <v>151.779999999999</v>
      </c>
      <c r="G52" s="47">
        <f>ROUND(SUMIF('BS-Details'!$D:$D,G$4&amp;"-"&amp;G$7,'BS-Details'!$K:$K),2)-G$51</f>
        <v>-78339.2</v>
      </c>
      <c r="H52" s="47">
        <f>ROUND(SUMIF('BS-Details'!$D:$D,H$4&amp;"-"&amp;H$7,'BS-Details'!$K:$K),2)-H$51</f>
        <v>10180.21</v>
      </c>
      <c r="I52" s="47">
        <f>ROUND(SUMIF('BS-Details'!$D:$D,I$4&amp;"-"&amp;I$7,'BS-Details'!$K:$K),2)-I$51</f>
        <v>-7732.72</v>
      </c>
      <c r="J52" s="47">
        <f>ROUND(SUMIF('BS-Details'!$D:$D,J$4&amp;"-"&amp;J$7,'BS-Details'!$K:$K),2)-J$51</f>
        <v>-380247.47</v>
      </c>
      <c r="K52" s="47">
        <f>ROUND(SUMIF('BS-Details'!$D:$D,K$4&amp;"-"&amp;K$7,'BS-Details'!$K:$K),2)-K$51</f>
        <v>-613973.3</v>
      </c>
      <c r="L52" s="47">
        <f>ROUND(SUMIF('BS-Details'!$D:$D,L$4&amp;"-"&amp;L$7,'BS-Details'!$K:$K),2)-L$51</f>
        <v>-4226.1</v>
      </c>
      <c r="M52" s="47">
        <f>ROUND(SUMIF('BS-Details'!$D:$D,M$4&amp;"-"&amp;M$7,'BS-Details'!$K:$K),2)-M$51</f>
        <v>-35166.33</v>
      </c>
      <c r="N52" s="47">
        <f>ROUND(SUMIF('BS-Details'!$D:$D,N$4&amp;"-"&amp;N$7,'BS-Details'!$K:$K),2)-N$51</f>
        <v>-7307.88</v>
      </c>
      <c r="O52" s="47">
        <f>ROUND(SUMIF('BS-Details'!$D:$D,O$4&amp;"-"&amp;O$7,'BS-Details'!$K:$K),2)-O$51</f>
        <v>-73.56</v>
      </c>
      <c r="P52" s="47">
        <f>ROUND(SUMIF('BS-Details'!$D:$D,P$4&amp;"-"&amp;P$7,'BS-Details'!$K:$K),2)-P$51</f>
        <v>-50385.36</v>
      </c>
      <c r="Q52" s="47">
        <f>ROUND(SUMIF('BS-Details'!$D:$D,Q$4&amp;"-"&amp;Q$7,'BS-Details'!$K:$K),2)-Q$51</f>
        <v>-19121.35</v>
      </c>
      <c r="R52" s="47">
        <f>ROUND(SUMIF('BS-Details'!$D:$D,R$4&amp;"-"&amp;R$7,'BS-Details'!$K:$K),2)-R$51</f>
        <v>2628.77</v>
      </c>
      <c r="S52" s="47">
        <f>ROUND(SUMIF('BS-Details'!$D:$D,S$4&amp;"-"&amp;S$7,'BS-Details'!$K:$K),2)-S$51</f>
        <v>213.36</v>
      </c>
      <c r="T52" s="47">
        <f>ROUND(SUMIF('BS-Details'!$D:$D,T$4&amp;"-"&amp;T$7,'BS-Details'!$K:$K),2)-T$51</f>
        <v>-3150.18</v>
      </c>
      <c r="U52" s="47">
        <f>ROUND(SUMIF('BS-Details'!$D:$D,U$4&amp;"-"&amp;U$7,'BS-Details'!$K:$K),2)-U$51</f>
        <v>0</v>
      </c>
      <c r="V52" s="47">
        <f>ROUND(SUMIF('BS-Details'!$D:$D,V$4&amp;"-"&amp;V$7,'BS-Details'!$K:$K),2)-V$51</f>
        <v>-10796.33</v>
      </c>
      <c r="W52" s="47">
        <f>ROUND(SUMIF('BS-Details'!$D:$D,W$4&amp;"-"&amp;W$7,'BS-Details'!$K:$K),2)-W$51</f>
        <v>48197.72</v>
      </c>
      <c r="X52" s="47">
        <f>ROUND(SUMIF('BS-Details'!$D:$D,X$4&amp;"-"&amp;X$7,'BS-Details'!$K:$K),2)-X$51</f>
        <v>-15080.14</v>
      </c>
      <c r="Y52" s="47">
        <f>ROUND(SUMIF('BS-Details'!$D:$D,Y$4&amp;"-"&amp;Y$7,'BS-Details'!$K:$K),2)-Y$51</f>
        <v>55263.92</v>
      </c>
      <c r="Z52" s="47">
        <f>ROUND(SUMIF('BS-Details'!$D:$D,Z$4&amp;"-"&amp;Z$7,'BS-Details'!$K:$K),2)-Z$51</f>
        <v>-26133.64</v>
      </c>
      <c r="AA52" s="47">
        <f>ROUND(SUMIF('BS-Details'!$D:$D,AA$4&amp;"-"&amp;AA$7,'BS-Details'!$K:$K),2)-AA$51</f>
        <v>0</v>
      </c>
      <c r="AB52" s="47">
        <f>ROUND(SUMIF('BS-Details'!$D:$D,AB$4&amp;"-"&amp;AB$7,'BS-Details'!$K:$K),2)-AB$51</f>
        <v>0</v>
      </c>
      <c r="AC52" s="47">
        <f>ROUND(SUMIF('BS-Details'!$D:$D,AC$4&amp;"-"&amp;AC$7,'BS-Details'!$K:$K),2)-AC$51</f>
        <v>0</v>
      </c>
      <c r="AD52" s="47">
        <f>ROUND(SUMIF('BS-Details'!$D:$D,AD$4&amp;"-"&amp;AD$7,'BS-Details'!$K:$K),2)-AD$51</f>
        <v>0</v>
      </c>
      <c r="AE52" s="47">
        <f>ROUND(SUMIF('BS-Details'!$D:$D,AE$4&amp;"-"&amp;AE$7,'BS-Details'!$K:$K),2)-AE$51</f>
        <v>-236425.68</v>
      </c>
      <c r="AF52" s="47">
        <f>ROUND(SUMIF('BS-Details'!$D:$D,AF$4&amp;"-"&amp;AF$7,'BS-Details'!$K:$K),2)-AF$51</f>
        <v>0</v>
      </c>
      <c r="AG52" s="47">
        <f>ROUND(SUMIF('BS-Details'!$D:$D,AG$4&amp;"-"&amp;AG$7,'BS-Details'!$K:$K),2)-AG$51</f>
        <v>-22185.07</v>
      </c>
      <c r="AH52" s="47">
        <f>ROUND(SUMIF('BS-Details'!$D:$D,AH$4&amp;"-"&amp;AH$7,'BS-Details'!$K:$K),2)-AH$51</f>
        <v>40778.28</v>
      </c>
      <c r="AI52" s="47">
        <f>ROUND(SUMIF('BS-Details'!$D:$D,AI$4&amp;"-"&amp;AI$7,'BS-Details'!$K:$K),2)-AI$51</f>
        <v>0</v>
      </c>
      <c r="AJ52" s="47">
        <f>ROUND(SUMIF('BS-Details'!$D:$D,AJ$4&amp;"-"&amp;AJ$7,'BS-Details'!$K:$K),2)-AJ$51</f>
        <v>108049.68</v>
      </c>
      <c r="AK52" s="47">
        <f>ROUND(SUMIF('BS-Details'!$D:$D,AK$4&amp;"-"&amp;AK$7,'BS-Details'!$K:$K),2)-AK$51</f>
        <v>-63800.39</v>
      </c>
      <c r="AL52" s="47">
        <f>ROUND(SUMIF('BS-Details'!$D:$D,AL$4&amp;"-"&amp;AL$7,'BS-Details'!$K:$K),2)-AL$51</f>
        <v>-45738.05</v>
      </c>
      <c r="AM52" s="47">
        <f>ROUND(SUMIF('BS-Details'!$D:$D,AM$4&amp;"-"&amp;AM$7,'BS-Details'!$K:$K),2)-AM$51</f>
        <v>0</v>
      </c>
      <c r="AN52" s="47">
        <f>ROUND(SUMIF('BS-Details'!$D:$D,AN$4&amp;"-"&amp;AN$7,'BS-Details'!$K:$K),2)-AN$51</f>
        <v>0</v>
      </c>
      <c r="AO52" s="47">
        <f>ROUND(SUMIF('BS-Details'!$D:$D,AO$4&amp;"-"&amp;AO$7,'BS-Details'!$K:$K),2)-AO$51</f>
        <v>-20880.22</v>
      </c>
      <c r="AP52" s="47">
        <f>ROUND(SUMIF('BS-Details'!$D:$D,AP$4&amp;"-"&amp;AP$7,'BS-Details'!$K:$K),2)-AP$51</f>
        <v>-33577.54</v>
      </c>
      <c r="AQ52" s="47">
        <f>ROUND(SUMIF('BS-Details'!$D:$D,AQ$4&amp;"-"&amp;AQ$7,'BS-Details'!$K:$K),2)-AQ$51</f>
        <v>-83585.22</v>
      </c>
      <c r="AR52" s="47">
        <f>ROUND(SUMIF('BS-Details'!$D:$D,AR$4&amp;"-"&amp;AR$7,'BS-Details'!$K:$K),2)-AR$51</f>
        <v>-27211.06</v>
      </c>
      <c r="AS52" s="47">
        <f>ROUND(SUMIF('BS-Details'!$D:$D,AS$4&amp;"-"&amp;AS$7,'BS-Details'!$K:$K),2)-AS$51</f>
        <v>-22765.25</v>
      </c>
      <c r="AT52" s="47">
        <f>ROUND(SUMIF('BS-Details'!$D:$D,AT$4&amp;"-"&amp;AT$7,'BS-Details'!$K:$K),2)-AT$51</f>
        <v>0</v>
      </c>
      <c r="AU52" s="47">
        <f>ROUND(SUMIF('BS-Details'!$D:$D,AU$4&amp;"-"&amp;AU$7,'BS-Details'!$K:$K),2)-AU$51</f>
        <v>56494.61</v>
      </c>
      <c r="AV52" s="47">
        <f>ROUND(SUMIF('BS-Details'!$D:$D,AV$4&amp;"-"&amp;AV$7,'BS-Details'!$K:$K),2)-AV$51</f>
        <v>-151531.48</v>
      </c>
      <c r="AW52" s="47">
        <f>ROUND(SUMIF('BS-Details'!$D:$D,AW$4&amp;"-"&amp;AW$7,'BS-Details'!$K:$K),2)-AW$51</f>
        <v>-5614.78</v>
      </c>
      <c r="AX52" s="47">
        <f>ROUND(SUMIF('BS-Details'!$D:$D,AX$4&amp;"-"&amp;AX$7,'BS-Details'!$K:$K),2)-AX$51</f>
        <v>-14380.41</v>
      </c>
      <c r="AY52" s="47">
        <f>ROUND(SUMIF('BS-Details'!$D:$D,AY$4&amp;"-"&amp;AY$7,'BS-Details'!$K:$K),2)-AY$51</f>
        <v>-35979.39</v>
      </c>
      <c r="AZ52" s="47">
        <f>ROUND(SUMIF('BS-Details'!$D:$D,AZ$4&amp;"-"&amp;AZ$7,'BS-Details'!$K:$K),2)-AZ$51</f>
        <v>-4316.34</v>
      </c>
      <c r="BA52" s="47">
        <f>ROUND(SUMIF('BS-Details'!$D:$D,BA$4&amp;"-"&amp;BA$7,'BS-Details'!$K:$K),2)-BA$51</f>
        <v>-31030.54</v>
      </c>
      <c r="BB52" s="47">
        <f>ROUND(SUMIF('BS-Details'!$D:$D,BB$4&amp;"-"&amp;BB$7,'BS-Details'!$K:$K),2)-BB$51</f>
        <v>-3645.74</v>
      </c>
      <c r="BC52" s="47">
        <f>ROUND(SUMIF('BS-Details'!$D:$D,BC$4&amp;"-"&amp;BC$7,'BS-Details'!$K:$K),2)-BC$51</f>
        <v>-21618.52</v>
      </c>
      <c r="BD52" s="47">
        <f>ROUND(SUMIF('BS-Details'!$D:$D,BD$4&amp;"-"&amp;BD$7,'BS-Details'!$K:$K),2)-BD$51</f>
        <v>-4374.29</v>
      </c>
      <c r="BE52" s="47">
        <f>ROUND(SUMIF('BS-Details'!$D:$D,BE$4&amp;"-"&amp;BE$7,'BS-Details'!$K:$K),2)-BE$51</f>
        <v>0</v>
      </c>
      <c r="BF52" s="47">
        <f>ROUND(SUMIF('BS-Details'!$D:$D,BF$4&amp;"-"&amp;BF$7,'BS-Details'!$K:$K),2)-BF$51</f>
        <v>-38241.66</v>
      </c>
      <c r="BG52" s="47">
        <f>ROUND(SUMIF('BS-Details'!$D:$D,BG$4&amp;"-"&amp;BG$7,'BS-Details'!$K:$K),2)-BG$51</f>
        <v>-181043.86</v>
      </c>
      <c r="BH52" s="47">
        <f>ROUND(SUMIF('BS-Details'!$D:$D,BH$4&amp;"-"&amp;BH$7,'BS-Details'!$K:$K),2)-BH$51</f>
        <v>-49775.97</v>
      </c>
      <c r="BI52" s="47">
        <f>ROUND(SUMIF('BS-Details'!$D:$D,BI$4&amp;"-"&amp;BI$7,'BS-Details'!$K:$K),2)-BI$51</f>
        <v>-57130.77</v>
      </c>
      <c r="BJ52" s="47">
        <f>ROUND(SUMIF('BS-Details'!$D:$D,BJ$4&amp;"-"&amp;BJ$7,'BS-Details'!$K:$K),2)-BJ$51</f>
        <v>-52948.73</v>
      </c>
      <c r="BK52" s="47">
        <f>ROUND(SUMIF('BS-Details'!$D:$D,BK$4&amp;"-"&amp;BK$7,'BS-Details'!$K:$K),2)-BK$51</f>
        <v>-85872.01</v>
      </c>
      <c r="BL52" s="47">
        <f>ROUND(SUMIF('BS-Details'!$D:$D,BL$4&amp;"-"&amp;BL$7,'BS-Details'!$K:$K),2)-BL$51</f>
        <v>-45055.39</v>
      </c>
      <c r="BM52" s="47">
        <f>ROUND(SUMIF('BS-Details'!$D:$D,BM$4&amp;"-"&amp;BM$7,'BS-Details'!$K:$K),2)-BM$51</f>
        <v>-43966.27</v>
      </c>
      <c r="BN52" s="47">
        <f>ROUND(SUMIF('BS-Details'!$D:$D,BN$4&amp;"-"&amp;BN$7,'BS-Details'!$K:$K),2)-BN$51</f>
        <v>230289.41</v>
      </c>
      <c r="BO52" s="47">
        <f>ROUND(SUMIF('BS-Details'!$D:$D,BO$4&amp;"-"&amp;BO$7,'BS-Details'!$K:$K),2)-BO$51</f>
        <v>-19720.17</v>
      </c>
      <c r="BP52" s="47">
        <f>ROUND(SUMIF('BS-Details'!$D:$D,BP$4&amp;"-"&amp;BP$7,'BS-Details'!$K:$K),2)-BP$51</f>
        <v>52120.52</v>
      </c>
      <c r="BQ52" s="47">
        <f>ROUND(SUMIF('BS-Details'!$D:$D,BQ$4&amp;"-"&amp;BQ$7,'BS-Details'!$K:$K),2)-BQ$51</f>
        <v>77</v>
      </c>
      <c r="BR52" s="47">
        <f>ROUND(SUMIF('BS-Details'!$D:$D,BR$4&amp;"-"&amp;BR$7,'BS-Details'!$K:$K),2)-BR$51</f>
        <v>11770.84</v>
      </c>
      <c r="BS52" s="47">
        <f>ROUND(SUMIF('BS-Details'!$D:$D,BS$4&amp;"-"&amp;BS$7,'BS-Details'!$K:$K),2)-BS$51</f>
        <v>-40069.09</v>
      </c>
      <c r="BT52" s="47">
        <f>ROUND(SUMIF('BS-Details'!$D:$D,BT$4&amp;"-"&amp;BT$7,'BS-Details'!$K:$K),2)-BT$51</f>
        <v>350521.54</v>
      </c>
      <c r="BU52" s="47">
        <f>ROUND(SUMIF('BS-Details'!$D:$D,BU$4&amp;"-"&amp;BU$7,'BS-Details'!$K:$K),2)-BU$51</f>
        <v>-103992.06</v>
      </c>
      <c r="BV52" s="47">
        <f>ROUND(SUMIF('BS-Details'!$D:$D,BV$4&amp;"-"&amp;BV$7,'BS-Details'!$K:$K),2)-BV$51</f>
        <v>-96006.85</v>
      </c>
      <c r="BW52" s="47">
        <f>ROUND(SUMIF('BS-Details'!$D:$D,BW$4&amp;"-"&amp;BW$7,'BS-Details'!$K:$K),2)-BW$51</f>
        <v>-48043.83</v>
      </c>
      <c r="BX52" s="47">
        <f>ROUND(SUMIF('BS-Details'!$D:$D,BX$4&amp;"-"&amp;BX$7,'BS-Details'!$K:$K),2)-BX$51</f>
        <v>-23195.73</v>
      </c>
      <c r="BY52" s="47">
        <f>ROUND(SUMIF('BS-Details'!$D:$D,BY$4&amp;"-"&amp;BY$7,'BS-Details'!$K:$K),2)-BY$51</f>
        <v>-43669.71</v>
      </c>
      <c r="BZ52" s="47">
        <f>ROUND(SUMIF('BS-Details'!$D:$D,BZ$4&amp;"-"&amp;BZ$7,'BS-Details'!$K:$K),2)-BZ$51</f>
        <v>-64799.81</v>
      </c>
      <c r="CA52" s="47">
        <f>ROUND(SUMIF('BS-Details'!$D:$D,CA$4&amp;"-"&amp;CA$7,'BS-Details'!$K:$K),2)-CA$51</f>
        <v>2832.44</v>
      </c>
      <c r="CB52" s="47">
        <f>ROUND(SUMIF('BS-Details'!$D:$D,CB$4&amp;"-"&amp;CB$7,'BS-Details'!$K:$K),2)-CB$51</f>
        <v>0</v>
      </c>
      <c r="CC52" s="47">
        <f>ROUND(SUMIF('BS-Details'!$D:$D,CC$4&amp;"-"&amp;CC$7,'BS-Details'!$K:$K),2)-CC$51</f>
        <v>2325.52</v>
      </c>
      <c r="CD52" s="47">
        <f>ROUND(SUMIF('BS-Details'!$D:$D,CD$4&amp;"-"&amp;CD$7,'BS-Details'!$K:$K),2)-CD$51</f>
        <v>-366300.19</v>
      </c>
      <c r="CE52" s="47">
        <f>ROUND(SUMIF('BS-Details'!$D:$D,CE$4&amp;"-"&amp;CE$7,'BS-Details'!$K:$K),2)-CE$51</f>
        <v>-17701019.22</v>
      </c>
      <c r="CF52" s="47">
        <f>ROUND(SUMIF('BS-Details'!$D:$D,CF$4&amp;"-"&amp;CF$7,'BS-Details'!$K:$K),2)-CF$51</f>
        <v>-584283.45</v>
      </c>
      <c r="CG52" s="47">
        <f>ROUND(SUMIF('BS-Details'!$D:$D,CG$4&amp;"-"&amp;CG$7,'BS-Details'!$K:$K),2)-CG$51</f>
        <v>-155479.46</v>
      </c>
      <c r="CH52" s="39">
        <f>SUM(D52:CG52)</f>
        <v>-20893848.71</v>
      </c>
    </row>
    <row r="53" spans="2:86" s="39" customFormat="true" ht="12" customHeight="true">
      <c r="B53" s="39" t="s">
        <v>34195</v>
      </c>
      <c r="U53" s="51"/>
      <c r="AA53" s="51"/>
      <c r="AB53" s="51"/>
      <c r="AC53" s="51"/>
      <c r="AD53" s="51"/>
      <c r="AF53" s="51"/>
      <c r="AI53" s="51"/>
      <c r="AT53" s="51"/>
      <c r="CH53" s="39">
        <f>SUM(D53:CG53)</f>
        <v>0</v>
      </c>
    </row>
    <row r="54" spans="4:85" s="39" customFormat="true" ht="12" customHeight="true">
      <c r="D54" s="46">
        <v>14662</v>
      </c>
      <c r="E54" s="46"/>
      <c r="F54" s="46">
        <v>-2776.14</v>
      </c>
      <c r="G54" s="46"/>
      <c r="H54" s="46"/>
      <c r="I54" s="46"/>
      <c r="J54" s="46"/>
      <c r="K54" s="46">
        <v>-716.14</v>
      </c>
      <c r="L54" s="46">
        <v>44860.42</v>
      </c>
      <c r="M54" s="46"/>
      <c r="N54" s="46"/>
      <c r="O54" s="46"/>
      <c r="P54" s="46">
        <v>315.78</v>
      </c>
      <c r="Q54" s="46">
        <v>0.56</v>
      </c>
      <c r="R54" s="46"/>
      <c r="S54" s="46">
        <v>-1046.66</v>
      </c>
      <c r="T54" s="46"/>
      <c r="U54" s="51"/>
      <c r="V54" s="46"/>
      <c r="W54" s="46"/>
      <c r="X54" s="46"/>
      <c r="Y54" s="46"/>
      <c r="Z54" s="46"/>
      <c r="AA54" s="51"/>
      <c r="AB54" s="51"/>
      <c r="AC54" s="51"/>
      <c r="AD54" s="51"/>
      <c r="AE54" s="46"/>
      <c r="AF54" s="51"/>
      <c r="AG54" s="46">
        <v>32178.25</v>
      </c>
      <c r="AH54" s="46">
        <v>-179.63</v>
      </c>
      <c r="AI54" s="51"/>
      <c r="AJ54" s="46"/>
      <c r="AK54" s="46">
        <v>-2483.2</v>
      </c>
      <c r="AL54" s="46"/>
      <c r="AM54" s="46"/>
      <c r="AN54" s="46"/>
      <c r="AO54" s="46"/>
      <c r="AP54" s="46"/>
      <c r="AQ54" s="46"/>
      <c r="AR54" s="46"/>
      <c r="AS54" s="46"/>
      <c r="AT54" s="51"/>
      <c r="AU54" s="46"/>
      <c r="AV54" s="46"/>
      <c r="AW54" s="46">
        <v>-64.14</v>
      </c>
      <c r="AX54" s="46"/>
      <c r="AY54" s="46"/>
      <c r="AZ54" s="46"/>
      <c r="BA54" s="46"/>
      <c r="BB54" s="46"/>
      <c r="BC54" s="46"/>
      <c r="BD54" s="46"/>
      <c r="BE54" s="46"/>
      <c r="BF54" s="46"/>
      <c r="BG54" s="46"/>
      <c r="BH54" s="46">
        <v>-250</v>
      </c>
      <c r="BI54" s="46"/>
      <c r="BJ54" s="46"/>
      <c r="BK54" s="46"/>
      <c r="BL54" s="46">
        <v>-0.01</v>
      </c>
      <c r="BM54" s="46"/>
      <c r="BN54" s="46"/>
      <c r="BO54" s="46"/>
      <c r="BP54" s="46"/>
      <c r="BQ54" s="46"/>
      <c r="BR54" s="46"/>
      <c r="BS54" s="46"/>
      <c r="BT54" s="46"/>
      <c r="BU54" s="46"/>
      <c r="BV54" s="46"/>
      <c r="BW54" s="46"/>
      <c r="BX54" s="46">
        <v>-20</v>
      </c>
      <c r="BY54" s="46"/>
      <c r="BZ54" s="46"/>
      <c r="CA54" s="46"/>
      <c r="CB54" s="46">
        <v>500</v>
      </c>
      <c r="CC54" s="46">
        <v>500</v>
      </c>
      <c r="CD54" s="46"/>
      <c r="CE54" s="46">
        <v>-15</v>
      </c>
      <c r="CF54" s="46"/>
      <c r="CG54" s="46"/>
    </row>
    <row r="55" spans="4:85" s="39" customFormat="true" ht="12" customHeight="true">
      <c r="D55" s="46"/>
      <c r="E55" s="46"/>
      <c r="F55" s="46"/>
      <c r="G55" s="46"/>
      <c r="H55" s="46"/>
      <c r="I55" s="46"/>
      <c r="J55" s="46"/>
      <c r="K55" s="46"/>
      <c r="L55" s="46"/>
      <c r="M55" s="46"/>
      <c r="N55" s="46"/>
      <c r="O55" s="46"/>
      <c r="P55" s="46">
        <v>-5085.59</v>
      </c>
      <c r="Q55" s="46">
        <v>-75</v>
      </c>
      <c r="R55" s="46"/>
      <c r="S55" s="46"/>
      <c r="T55" s="46"/>
      <c r="U55" s="51"/>
      <c r="V55" s="46"/>
      <c r="W55" s="46"/>
      <c r="X55" s="46"/>
      <c r="Y55" s="46"/>
      <c r="Z55" s="46"/>
      <c r="AA55" s="51"/>
      <c r="AB55" s="51"/>
      <c r="AC55" s="51"/>
      <c r="AD55" s="51"/>
      <c r="AE55" s="46"/>
      <c r="AF55" s="51"/>
      <c r="AG55" s="46">
        <v>-8733.93</v>
      </c>
      <c r="AH55" s="46"/>
      <c r="AI55" s="51"/>
      <c r="AJ55" s="46"/>
      <c r="AK55" s="46"/>
      <c r="AL55" s="46"/>
      <c r="AM55" s="46"/>
      <c r="AN55" s="46"/>
      <c r="AO55" s="46"/>
      <c r="AP55" s="46"/>
      <c r="AQ55" s="46"/>
      <c r="AR55" s="46"/>
      <c r="AS55" s="46"/>
      <c r="AT55" s="51"/>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v>-288.4</v>
      </c>
      <c r="CC55" s="46">
        <v>-277.4</v>
      </c>
      <c r="CD55" s="46"/>
      <c r="CE55" s="46"/>
      <c r="CF55" s="46"/>
      <c r="CG55" s="46"/>
    </row>
    <row r="56" spans="4:85" s="39" customFormat="true" ht="12" customHeight="true">
      <c r="D56" s="46"/>
      <c r="E56" s="46"/>
      <c r="F56" s="46"/>
      <c r="G56" s="46"/>
      <c r="H56" s="46"/>
      <c r="I56" s="46"/>
      <c r="J56" s="46"/>
      <c r="K56" s="46"/>
      <c r="L56" s="46"/>
      <c r="M56" s="46"/>
      <c r="N56" s="46"/>
      <c r="O56" s="46"/>
      <c r="P56" s="46">
        <v>-977.87</v>
      </c>
      <c r="Q56" s="46"/>
      <c r="R56" s="46"/>
      <c r="S56" s="46"/>
      <c r="T56" s="46"/>
      <c r="U56" s="51"/>
      <c r="V56" s="46"/>
      <c r="W56" s="46"/>
      <c r="X56" s="46"/>
      <c r="Y56" s="46"/>
      <c r="Z56" s="46"/>
      <c r="AA56" s="51"/>
      <c r="AB56" s="51"/>
      <c r="AC56" s="51"/>
      <c r="AD56" s="51"/>
      <c r="AE56" s="46"/>
      <c r="AF56" s="51"/>
      <c r="AG56" s="46"/>
      <c r="AH56" s="46"/>
      <c r="AI56" s="51"/>
      <c r="AJ56" s="46"/>
      <c r="AK56" s="46"/>
      <c r="AL56" s="46"/>
      <c r="AM56" s="46"/>
      <c r="AN56" s="46"/>
      <c r="AO56" s="46"/>
      <c r="AP56" s="46"/>
      <c r="AQ56" s="46"/>
      <c r="AR56" s="46"/>
      <c r="AS56" s="46"/>
      <c r="AT56" s="51"/>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row>
    <row r="57" spans="2:86" s="39" customFormat="true" ht="12" customHeight="true">
      <c r="B57" s="39" t="s">
        <v>34196</v>
      </c>
      <c r="D57" s="39">
        <f t="shared" ref="D57:U57" si="6">+SUM(D53:D56)</f>
        <v>14662</v>
      </c>
      <c r="E57" s="39">
        <f t="shared" si="6"/>
        <v>0</v>
      </c>
      <c r="F57" s="39">
        <f t="shared" si="6"/>
        <v>-2776.14</v>
      </c>
      <c r="G57" s="39">
        <f t="shared" si="6"/>
        <v>0</v>
      </c>
      <c r="H57" s="39">
        <f t="shared" si="6"/>
        <v>0</v>
      </c>
      <c r="I57" s="39">
        <f t="shared" si="6"/>
        <v>0</v>
      </c>
      <c r="J57" s="39">
        <f t="shared" si="6"/>
        <v>0</v>
      </c>
      <c r="K57" s="39">
        <f t="shared" si="6"/>
        <v>-716.14</v>
      </c>
      <c r="L57" s="39">
        <f t="shared" si="6"/>
        <v>44860.42</v>
      </c>
      <c r="M57" s="39">
        <f t="shared" si="6"/>
        <v>0</v>
      </c>
      <c r="N57" s="39">
        <f t="shared" si="6"/>
        <v>0</v>
      </c>
      <c r="O57" s="39">
        <f t="shared" si="6"/>
        <v>0</v>
      </c>
      <c r="P57" s="39">
        <f t="shared" si="6"/>
        <v>-5747.68</v>
      </c>
      <c r="Q57" s="39">
        <f t="shared" si="6"/>
        <v>-74.44</v>
      </c>
      <c r="R57" s="39">
        <f t="shared" si="6"/>
        <v>0</v>
      </c>
      <c r="S57" s="39">
        <f t="shared" si="6"/>
        <v>-1046.66</v>
      </c>
      <c r="T57" s="39">
        <f t="shared" si="6"/>
        <v>0</v>
      </c>
      <c r="U57" s="51">
        <f t="shared" si="6"/>
        <v>0</v>
      </c>
      <c r="V57" s="39">
        <f>+SUM(V54:V56)</f>
        <v>0</v>
      </c>
      <c r="W57" s="39">
        <f t="shared" ref="W57:CG57" si="7">+SUM(W53:W56)</f>
        <v>0</v>
      </c>
      <c r="X57" s="39">
        <f t="shared" si="7"/>
        <v>0</v>
      </c>
      <c r="Y57" s="39">
        <f t="shared" si="7"/>
        <v>0</v>
      </c>
      <c r="Z57" s="39">
        <f t="shared" si="7"/>
        <v>0</v>
      </c>
      <c r="AA57" s="51">
        <f t="shared" si="7"/>
        <v>0</v>
      </c>
      <c r="AB57" s="51">
        <f t="shared" si="7"/>
        <v>0</v>
      </c>
      <c r="AC57" s="51">
        <f t="shared" si="7"/>
        <v>0</v>
      </c>
      <c r="AD57" s="51">
        <f t="shared" si="7"/>
        <v>0</v>
      </c>
      <c r="AE57" s="39">
        <f t="shared" si="7"/>
        <v>0</v>
      </c>
      <c r="AF57" s="51">
        <f t="shared" si="7"/>
        <v>0</v>
      </c>
      <c r="AG57" s="39">
        <f t="shared" si="7"/>
        <v>23444.32</v>
      </c>
      <c r="AH57" s="39">
        <f t="shared" si="7"/>
        <v>-179.63</v>
      </c>
      <c r="AI57" s="51">
        <f t="shared" si="7"/>
        <v>0</v>
      </c>
      <c r="AJ57" s="39">
        <f t="shared" si="7"/>
        <v>0</v>
      </c>
      <c r="AK57" s="39">
        <f t="shared" si="7"/>
        <v>-2483.2</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0</v>
      </c>
      <c r="AW57" s="39">
        <f t="shared" si="7"/>
        <v>-64.14</v>
      </c>
      <c r="AX57" s="39">
        <f t="shared" si="7"/>
        <v>0</v>
      </c>
      <c r="AY57" s="39">
        <f t="shared" si="7"/>
        <v>0</v>
      </c>
      <c r="AZ57" s="39">
        <f t="shared" si="7"/>
        <v>0</v>
      </c>
      <c r="BA57" s="39">
        <f t="shared" si="7"/>
        <v>0</v>
      </c>
      <c r="BB57" s="39">
        <f t="shared" si="7"/>
        <v>0</v>
      </c>
      <c r="BC57" s="39">
        <f t="shared" si="7"/>
        <v>0</v>
      </c>
      <c r="BD57" s="39">
        <f t="shared" si="7"/>
        <v>0</v>
      </c>
      <c r="BE57" s="39">
        <f t="shared" si="7"/>
        <v>0</v>
      </c>
      <c r="BF57" s="39">
        <f t="shared" si="7"/>
        <v>0</v>
      </c>
      <c r="BG57" s="39">
        <f t="shared" si="7"/>
        <v>0</v>
      </c>
      <c r="BH57" s="39">
        <f t="shared" si="7"/>
        <v>-250</v>
      </c>
      <c r="BI57" s="39">
        <f t="shared" si="7"/>
        <v>0</v>
      </c>
      <c r="BJ57" s="39">
        <f t="shared" si="7"/>
        <v>0</v>
      </c>
      <c r="BK57" s="39">
        <f t="shared" si="7"/>
        <v>0</v>
      </c>
      <c r="BL57" s="39">
        <f t="shared" si="7"/>
        <v>-0.01</v>
      </c>
      <c r="BM57" s="39">
        <f t="shared" si="7"/>
        <v>0</v>
      </c>
      <c r="BN57" s="39">
        <f t="shared" si="7"/>
        <v>0</v>
      </c>
      <c r="BO57" s="39">
        <f t="shared" si="7"/>
        <v>0</v>
      </c>
      <c r="BP57" s="39">
        <f t="shared" si="7"/>
        <v>0</v>
      </c>
      <c r="BQ57" s="39">
        <f t="shared" si="7"/>
        <v>0</v>
      </c>
      <c r="BR57" s="39">
        <f t="shared" si="7"/>
        <v>0</v>
      </c>
      <c r="BS57" s="39">
        <f t="shared" si="7"/>
        <v>0</v>
      </c>
      <c r="BT57" s="39">
        <f t="shared" si="7"/>
        <v>0</v>
      </c>
      <c r="BU57" s="39">
        <f t="shared" si="7"/>
        <v>0</v>
      </c>
      <c r="BV57" s="39">
        <f t="shared" si="7"/>
        <v>0</v>
      </c>
      <c r="BW57" s="39">
        <f t="shared" si="7"/>
        <v>0</v>
      </c>
      <c r="BX57" s="39">
        <f t="shared" si="7"/>
        <v>-20</v>
      </c>
      <c r="BY57" s="39">
        <f t="shared" si="7"/>
        <v>0</v>
      </c>
      <c r="BZ57" s="39">
        <f t="shared" si="7"/>
        <v>0</v>
      </c>
      <c r="CA57" s="39">
        <f t="shared" si="7"/>
        <v>0</v>
      </c>
      <c r="CB57" s="39">
        <f t="shared" si="7"/>
        <v>211.6</v>
      </c>
      <c r="CC57" s="39">
        <f t="shared" si="7"/>
        <v>222.6</v>
      </c>
      <c r="CD57" s="39">
        <f t="shared" si="7"/>
        <v>0</v>
      </c>
      <c r="CE57" s="39">
        <f t="shared" si="7"/>
        <v>-15</v>
      </c>
      <c r="CF57" s="39">
        <f t="shared" si="7"/>
        <v>0</v>
      </c>
      <c r="CG57" s="39">
        <f t="shared" si="7"/>
        <v>0</v>
      </c>
      <c r="CH57" s="39">
        <f>SUM(D57:CG57)</f>
        <v>70027.9</v>
      </c>
    </row>
    <row r="58" spans="21:46" s="39" customFormat="true" ht="12" customHeight="true">
      <c r="U58" s="51"/>
      <c r="AA58" s="51"/>
      <c r="AB58" s="51"/>
      <c r="AC58" s="51"/>
      <c r="AD58" s="51"/>
      <c r="AF58" s="51"/>
      <c r="AI58" s="51"/>
      <c r="AT58" s="51"/>
    </row>
    <row r="59" spans="2:46" s="39" customFormat="true" ht="12" customHeight="true">
      <c r="B59" s="39" t="s">
        <v>34197</v>
      </c>
      <c r="U59" s="51"/>
      <c r="AA59" s="51"/>
      <c r="AB59" s="51"/>
      <c r="AC59" s="51"/>
      <c r="AD59" s="51"/>
      <c r="AF59" s="51"/>
      <c r="AI59" s="51"/>
      <c r="AT59" s="51"/>
    </row>
    <row r="60" spans="4:85" s="39" customFormat="true" ht="12" customHeight="true">
      <c r="D60" s="46"/>
      <c r="E60" s="46"/>
      <c r="F60" s="46"/>
      <c r="G60" s="46"/>
      <c r="H60" s="46"/>
      <c r="I60" s="46"/>
      <c r="J60" s="46"/>
      <c r="K60" s="46"/>
      <c r="L60" s="46"/>
      <c r="M60" s="46"/>
      <c r="N60" s="46"/>
      <c r="O60" s="46"/>
      <c r="P60" s="46"/>
      <c r="Q60" s="46"/>
      <c r="R60" s="46"/>
      <c r="S60" s="46"/>
      <c r="T60" s="46"/>
      <c r="U60" s="51"/>
      <c r="V60" s="46"/>
      <c r="W60" s="46"/>
      <c r="X60" s="46"/>
      <c r="Y60" s="46"/>
      <c r="Z60" s="46"/>
      <c r="AA60" s="51"/>
      <c r="AB60" s="51"/>
      <c r="AC60" s="51"/>
      <c r="AD60" s="51"/>
      <c r="AE60" s="46"/>
      <c r="AF60" s="51"/>
      <c r="AG60" s="46"/>
      <c r="AH60" s="46"/>
      <c r="AI60" s="51"/>
      <c r="AJ60" s="46"/>
      <c r="AK60" s="46"/>
      <c r="AL60" s="46"/>
      <c r="AM60" s="46"/>
      <c r="AN60" s="46"/>
      <c r="AO60" s="46"/>
      <c r="AP60" s="46"/>
      <c r="AQ60" s="46"/>
      <c r="AR60" s="46"/>
      <c r="AS60" s="46"/>
      <c r="AT60" s="51"/>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row>
    <row r="61" spans="4:85" s="39" customFormat="true" ht="12" customHeight="true">
      <c r="D61" s="46"/>
      <c r="E61" s="46"/>
      <c r="F61" s="46"/>
      <c r="G61" s="46"/>
      <c r="H61" s="46"/>
      <c r="I61" s="46"/>
      <c r="J61" s="46"/>
      <c r="K61" s="46"/>
      <c r="L61" s="46"/>
      <c r="M61" s="46"/>
      <c r="N61" s="46"/>
      <c r="O61" s="46"/>
      <c r="P61" s="46"/>
      <c r="Q61" s="46"/>
      <c r="R61" s="46"/>
      <c r="S61" s="46"/>
      <c r="T61" s="46"/>
      <c r="U61" s="51"/>
      <c r="V61" s="46"/>
      <c r="W61" s="46"/>
      <c r="X61" s="46"/>
      <c r="Y61" s="46"/>
      <c r="Z61" s="46"/>
      <c r="AA61" s="51"/>
      <c r="AB61" s="51"/>
      <c r="AC61" s="51"/>
      <c r="AD61" s="51"/>
      <c r="AE61" s="46"/>
      <c r="AF61" s="51"/>
      <c r="AG61" s="46"/>
      <c r="AH61" s="46"/>
      <c r="AI61" s="51"/>
      <c r="AJ61" s="46"/>
      <c r="AK61" s="46"/>
      <c r="AL61" s="46"/>
      <c r="AM61" s="46"/>
      <c r="AN61" s="46"/>
      <c r="AO61" s="46"/>
      <c r="AP61" s="46"/>
      <c r="AQ61" s="46"/>
      <c r="AR61" s="46"/>
      <c r="AS61" s="46"/>
      <c r="AT61" s="51"/>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row>
    <row r="62" spans="4:85" s="39" customFormat="true" ht="12" customHeight="true">
      <c r="D62" s="46"/>
      <c r="E62" s="46"/>
      <c r="F62" s="46"/>
      <c r="G62" s="46"/>
      <c r="H62" s="46"/>
      <c r="I62" s="46"/>
      <c r="J62" s="46"/>
      <c r="K62" s="46"/>
      <c r="L62" s="46"/>
      <c r="M62" s="46"/>
      <c r="N62" s="46"/>
      <c r="O62" s="46"/>
      <c r="P62" s="46"/>
      <c r="Q62" s="46"/>
      <c r="R62" s="46"/>
      <c r="S62" s="46"/>
      <c r="T62" s="46"/>
      <c r="U62" s="51"/>
      <c r="V62" s="46"/>
      <c r="W62" s="46"/>
      <c r="X62" s="46"/>
      <c r="Y62" s="46"/>
      <c r="Z62" s="46"/>
      <c r="AA62" s="51"/>
      <c r="AB62" s="51"/>
      <c r="AC62" s="51"/>
      <c r="AD62" s="51"/>
      <c r="AE62" s="46"/>
      <c r="AF62" s="51"/>
      <c r="AG62" s="46"/>
      <c r="AH62" s="46"/>
      <c r="AI62" s="51"/>
      <c r="AJ62" s="46"/>
      <c r="AK62" s="46"/>
      <c r="AL62" s="46"/>
      <c r="AM62" s="46"/>
      <c r="AN62" s="46"/>
      <c r="AO62" s="46"/>
      <c r="AP62" s="46"/>
      <c r="AQ62" s="46"/>
      <c r="AR62" s="46"/>
      <c r="AS62" s="46"/>
      <c r="AT62" s="51"/>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row>
    <row r="63" spans="4:85" s="39" customFormat="true" ht="12" customHeight="true">
      <c r="D63" s="46"/>
      <c r="E63" s="46"/>
      <c r="F63" s="46"/>
      <c r="G63" s="46"/>
      <c r="H63" s="46"/>
      <c r="I63" s="46"/>
      <c r="J63" s="46"/>
      <c r="K63" s="46"/>
      <c r="L63" s="46"/>
      <c r="M63" s="46"/>
      <c r="N63" s="46"/>
      <c r="O63" s="46"/>
      <c r="P63" s="46"/>
      <c r="Q63" s="46"/>
      <c r="R63" s="46"/>
      <c r="S63" s="46"/>
      <c r="T63" s="46"/>
      <c r="U63" s="51"/>
      <c r="V63" s="46"/>
      <c r="W63" s="46"/>
      <c r="X63" s="46"/>
      <c r="Y63" s="46"/>
      <c r="Z63" s="46"/>
      <c r="AA63" s="51"/>
      <c r="AB63" s="51"/>
      <c r="AC63" s="51"/>
      <c r="AD63" s="51"/>
      <c r="AE63" s="46"/>
      <c r="AF63" s="51"/>
      <c r="AG63" s="46"/>
      <c r="AH63" s="46"/>
      <c r="AI63" s="51"/>
      <c r="AJ63" s="46"/>
      <c r="AK63" s="46"/>
      <c r="AL63" s="46"/>
      <c r="AM63" s="46"/>
      <c r="AN63" s="46"/>
      <c r="AO63" s="46"/>
      <c r="AP63" s="46"/>
      <c r="AQ63" s="46"/>
      <c r="AR63" s="46"/>
      <c r="AS63" s="46"/>
      <c r="AT63" s="51"/>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row>
    <row r="64" spans="4:85" s="39" customFormat="true" ht="12" customHeight="true">
      <c r="D64" s="46"/>
      <c r="E64" s="46"/>
      <c r="F64" s="46"/>
      <c r="G64" s="46"/>
      <c r="H64" s="46"/>
      <c r="I64" s="46"/>
      <c r="J64" s="46"/>
      <c r="K64" s="46"/>
      <c r="L64" s="46"/>
      <c r="M64" s="46"/>
      <c r="N64" s="46"/>
      <c r="O64" s="46"/>
      <c r="P64" s="46"/>
      <c r="Q64" s="46"/>
      <c r="R64" s="46"/>
      <c r="S64" s="46"/>
      <c r="T64" s="46"/>
      <c r="U64" s="51"/>
      <c r="V64" s="46"/>
      <c r="W64" s="46"/>
      <c r="X64" s="46"/>
      <c r="Y64" s="46"/>
      <c r="Z64" s="46"/>
      <c r="AA64" s="51"/>
      <c r="AB64" s="51"/>
      <c r="AC64" s="51"/>
      <c r="AD64" s="51"/>
      <c r="AE64" s="46"/>
      <c r="AF64" s="51"/>
      <c r="AG64" s="46"/>
      <c r="AH64" s="46"/>
      <c r="AI64" s="51"/>
      <c r="AJ64" s="46"/>
      <c r="AK64" s="46"/>
      <c r="AL64" s="46"/>
      <c r="AM64" s="46"/>
      <c r="AN64" s="46"/>
      <c r="AO64" s="46"/>
      <c r="AP64" s="46"/>
      <c r="AQ64" s="46"/>
      <c r="AR64" s="46"/>
      <c r="AS64" s="46"/>
      <c r="AT64" s="51"/>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row>
    <row r="65" spans="4:85" s="39" customFormat="true" ht="12" customHeight="true">
      <c r="D65" s="46"/>
      <c r="E65" s="46"/>
      <c r="F65" s="46"/>
      <c r="G65" s="46"/>
      <c r="H65" s="46"/>
      <c r="I65" s="46"/>
      <c r="J65" s="46"/>
      <c r="K65" s="46"/>
      <c r="L65" s="46"/>
      <c r="M65" s="46"/>
      <c r="N65" s="46"/>
      <c r="O65" s="46"/>
      <c r="P65" s="46"/>
      <c r="Q65" s="46"/>
      <c r="R65" s="46"/>
      <c r="S65" s="46"/>
      <c r="T65" s="46"/>
      <c r="U65" s="51"/>
      <c r="V65" s="46"/>
      <c r="W65" s="46"/>
      <c r="X65" s="46"/>
      <c r="Y65" s="46"/>
      <c r="Z65" s="46"/>
      <c r="AA65" s="51"/>
      <c r="AB65" s="51"/>
      <c r="AC65" s="51"/>
      <c r="AD65" s="51"/>
      <c r="AE65" s="46"/>
      <c r="AF65" s="51"/>
      <c r="AG65" s="46"/>
      <c r="AH65" s="46"/>
      <c r="AI65" s="51"/>
      <c r="AJ65" s="46"/>
      <c r="AK65" s="46"/>
      <c r="AL65" s="46"/>
      <c r="AM65" s="46"/>
      <c r="AN65" s="46"/>
      <c r="AO65" s="46"/>
      <c r="AP65" s="46"/>
      <c r="AQ65" s="46"/>
      <c r="AR65" s="46"/>
      <c r="AS65" s="46"/>
      <c r="AT65" s="51"/>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row>
    <row r="66" spans="4:85" s="39" customFormat="true" ht="12" customHeight="true">
      <c r="D66" s="46"/>
      <c r="E66" s="46"/>
      <c r="F66" s="46"/>
      <c r="G66" s="46"/>
      <c r="H66" s="46"/>
      <c r="I66" s="46"/>
      <c r="J66" s="46"/>
      <c r="K66" s="46"/>
      <c r="L66" s="46"/>
      <c r="M66" s="46"/>
      <c r="N66" s="46"/>
      <c r="O66" s="46"/>
      <c r="P66" s="46"/>
      <c r="Q66" s="46"/>
      <c r="R66" s="46"/>
      <c r="S66" s="46"/>
      <c r="T66" s="46"/>
      <c r="U66" s="51"/>
      <c r="V66" s="46"/>
      <c r="W66" s="46"/>
      <c r="X66" s="46"/>
      <c r="Y66" s="46"/>
      <c r="Z66" s="46"/>
      <c r="AA66" s="51"/>
      <c r="AB66" s="51"/>
      <c r="AC66" s="51"/>
      <c r="AD66" s="51"/>
      <c r="AE66" s="46"/>
      <c r="AF66" s="51"/>
      <c r="AG66" s="46"/>
      <c r="AH66" s="46"/>
      <c r="AI66" s="51"/>
      <c r="AJ66" s="46"/>
      <c r="AK66" s="46"/>
      <c r="AL66" s="46"/>
      <c r="AM66" s="46"/>
      <c r="AN66" s="46"/>
      <c r="AO66" s="46"/>
      <c r="AP66" s="46"/>
      <c r="AQ66" s="46"/>
      <c r="AR66" s="46"/>
      <c r="AS66" s="46"/>
      <c r="AT66" s="51"/>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row>
    <row r="67" spans="4:85" s="39" customFormat="true" ht="12" customHeight="true">
      <c r="D67" s="46"/>
      <c r="E67" s="46"/>
      <c r="F67" s="46"/>
      <c r="G67" s="46"/>
      <c r="H67" s="46"/>
      <c r="I67" s="46"/>
      <c r="J67" s="46"/>
      <c r="K67" s="46"/>
      <c r="L67" s="46"/>
      <c r="M67" s="46"/>
      <c r="N67" s="46"/>
      <c r="O67" s="46"/>
      <c r="P67" s="46"/>
      <c r="Q67" s="46"/>
      <c r="R67" s="46"/>
      <c r="S67" s="46"/>
      <c r="T67" s="46"/>
      <c r="U67" s="51"/>
      <c r="V67" s="46"/>
      <c r="W67" s="46"/>
      <c r="X67" s="46"/>
      <c r="Y67" s="46"/>
      <c r="Z67" s="46"/>
      <c r="AA67" s="51"/>
      <c r="AB67" s="51"/>
      <c r="AC67" s="51"/>
      <c r="AD67" s="51"/>
      <c r="AE67" s="46"/>
      <c r="AF67" s="51"/>
      <c r="AG67" s="46"/>
      <c r="AH67" s="46"/>
      <c r="AI67" s="51"/>
      <c r="AJ67" s="46"/>
      <c r="AK67" s="46"/>
      <c r="AL67" s="46"/>
      <c r="AM67" s="46"/>
      <c r="AN67" s="46"/>
      <c r="AO67" s="46"/>
      <c r="AP67" s="46"/>
      <c r="AQ67" s="46"/>
      <c r="AR67" s="46"/>
      <c r="AS67" s="46"/>
      <c r="AT67" s="51"/>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row>
    <row r="68" spans="4:85" s="39" customFormat="true" ht="12" customHeight="true">
      <c r="D68" s="46"/>
      <c r="E68" s="46"/>
      <c r="F68" s="46"/>
      <c r="G68" s="46"/>
      <c r="H68" s="46"/>
      <c r="I68" s="46"/>
      <c r="J68" s="46"/>
      <c r="K68" s="46"/>
      <c r="L68" s="46"/>
      <c r="M68" s="46"/>
      <c r="N68" s="46"/>
      <c r="O68" s="46"/>
      <c r="P68" s="46"/>
      <c r="Q68" s="46"/>
      <c r="R68" s="46"/>
      <c r="S68" s="46"/>
      <c r="T68" s="46"/>
      <c r="U68" s="51"/>
      <c r="V68" s="46"/>
      <c r="W68" s="46"/>
      <c r="X68" s="46"/>
      <c r="Y68" s="46"/>
      <c r="Z68" s="46"/>
      <c r="AA68" s="51"/>
      <c r="AB68" s="51"/>
      <c r="AC68" s="51"/>
      <c r="AD68" s="51"/>
      <c r="AE68" s="46"/>
      <c r="AF68" s="51"/>
      <c r="AG68" s="46"/>
      <c r="AH68" s="46"/>
      <c r="AI68" s="51"/>
      <c r="AJ68" s="46"/>
      <c r="AK68" s="46"/>
      <c r="AL68" s="46"/>
      <c r="AM68" s="46"/>
      <c r="AN68" s="46"/>
      <c r="AO68" s="46"/>
      <c r="AP68" s="46"/>
      <c r="AQ68" s="46"/>
      <c r="AR68" s="46"/>
      <c r="AS68" s="46"/>
      <c r="AT68" s="51"/>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row>
    <row r="69" spans="4:85" s="39" customFormat="true" ht="12" customHeight="true">
      <c r="D69" s="46"/>
      <c r="E69" s="46"/>
      <c r="F69" s="46"/>
      <c r="G69" s="46"/>
      <c r="H69" s="46"/>
      <c r="I69" s="46"/>
      <c r="J69" s="46"/>
      <c r="K69" s="46"/>
      <c r="L69" s="46"/>
      <c r="M69" s="46"/>
      <c r="N69" s="46"/>
      <c r="O69" s="46"/>
      <c r="P69" s="46"/>
      <c r="Q69" s="46"/>
      <c r="R69" s="46"/>
      <c r="S69" s="46"/>
      <c r="T69" s="46"/>
      <c r="U69" s="51"/>
      <c r="V69" s="46"/>
      <c r="W69" s="46"/>
      <c r="X69" s="46"/>
      <c r="Y69" s="46"/>
      <c r="Z69" s="46"/>
      <c r="AA69" s="51"/>
      <c r="AB69" s="51"/>
      <c r="AC69" s="51"/>
      <c r="AD69" s="51"/>
      <c r="AE69" s="46"/>
      <c r="AF69" s="51"/>
      <c r="AG69" s="46"/>
      <c r="AH69" s="46"/>
      <c r="AI69" s="51"/>
      <c r="AJ69" s="46"/>
      <c r="AK69" s="46"/>
      <c r="AL69" s="46"/>
      <c r="AM69" s="46"/>
      <c r="AN69" s="46"/>
      <c r="AO69" s="46"/>
      <c r="AP69" s="46"/>
      <c r="AQ69" s="46"/>
      <c r="AR69" s="46"/>
      <c r="AS69" s="46"/>
      <c r="AT69" s="51"/>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row>
    <row r="70" spans="4:85" s="39" customFormat="true" ht="12" customHeight="true">
      <c r="D70" s="46"/>
      <c r="E70" s="46"/>
      <c r="F70" s="46"/>
      <c r="G70" s="46"/>
      <c r="H70" s="46"/>
      <c r="I70" s="46"/>
      <c r="J70" s="46"/>
      <c r="K70" s="46"/>
      <c r="L70" s="46"/>
      <c r="M70" s="46"/>
      <c r="N70" s="46"/>
      <c r="O70" s="46"/>
      <c r="P70" s="46"/>
      <c r="Q70" s="46"/>
      <c r="R70" s="46"/>
      <c r="S70" s="46"/>
      <c r="T70" s="46"/>
      <c r="U70" s="51"/>
      <c r="V70" s="46"/>
      <c r="W70" s="46"/>
      <c r="X70" s="46"/>
      <c r="Y70" s="46"/>
      <c r="Z70" s="46"/>
      <c r="AA70" s="51"/>
      <c r="AB70" s="51"/>
      <c r="AC70" s="51"/>
      <c r="AD70" s="51"/>
      <c r="AE70" s="46"/>
      <c r="AF70" s="51"/>
      <c r="AG70" s="46"/>
      <c r="AH70" s="46"/>
      <c r="AI70" s="51"/>
      <c r="AJ70" s="46"/>
      <c r="AK70" s="46"/>
      <c r="AL70" s="46"/>
      <c r="AM70" s="46"/>
      <c r="AN70" s="46"/>
      <c r="AO70" s="46"/>
      <c r="AP70" s="46"/>
      <c r="AQ70" s="46"/>
      <c r="AR70" s="46"/>
      <c r="AS70" s="46"/>
      <c r="AT70" s="51"/>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row>
    <row r="71" spans="4:85" s="39" customFormat="true" ht="12" customHeight="true">
      <c r="D71" s="46"/>
      <c r="E71" s="46"/>
      <c r="F71" s="46"/>
      <c r="G71" s="46"/>
      <c r="H71" s="46"/>
      <c r="I71" s="46"/>
      <c r="J71" s="46"/>
      <c r="K71" s="46"/>
      <c r="L71" s="46"/>
      <c r="M71" s="46"/>
      <c r="N71" s="46"/>
      <c r="O71" s="46"/>
      <c r="P71" s="46"/>
      <c r="Q71" s="46"/>
      <c r="R71" s="46"/>
      <c r="S71" s="46"/>
      <c r="T71" s="46"/>
      <c r="U71" s="51"/>
      <c r="V71" s="46"/>
      <c r="W71" s="46"/>
      <c r="X71" s="46"/>
      <c r="Y71" s="46"/>
      <c r="Z71" s="46"/>
      <c r="AA71" s="51"/>
      <c r="AB71" s="51"/>
      <c r="AC71" s="51"/>
      <c r="AD71" s="51"/>
      <c r="AE71" s="46"/>
      <c r="AF71" s="51"/>
      <c r="AG71" s="46"/>
      <c r="AH71" s="46"/>
      <c r="AI71" s="51"/>
      <c r="AJ71" s="46"/>
      <c r="AK71" s="46"/>
      <c r="AL71" s="46"/>
      <c r="AM71" s="46"/>
      <c r="AN71" s="46"/>
      <c r="AO71" s="46"/>
      <c r="AP71" s="46"/>
      <c r="AQ71" s="46"/>
      <c r="AR71" s="46"/>
      <c r="AS71" s="46"/>
      <c r="AT71" s="51"/>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row>
    <row r="72" spans="4:85" s="39" customFormat="true" ht="12" customHeight="true">
      <c r="D72" s="46"/>
      <c r="E72" s="46"/>
      <c r="F72" s="46"/>
      <c r="G72" s="46"/>
      <c r="H72" s="46"/>
      <c r="I72" s="46"/>
      <c r="J72" s="46"/>
      <c r="K72" s="46"/>
      <c r="L72" s="46"/>
      <c r="M72" s="46"/>
      <c r="N72" s="46"/>
      <c r="O72" s="46"/>
      <c r="P72" s="46"/>
      <c r="Q72" s="46"/>
      <c r="R72" s="46"/>
      <c r="S72" s="46"/>
      <c r="T72" s="46"/>
      <c r="U72" s="51"/>
      <c r="V72" s="46"/>
      <c r="W72" s="46"/>
      <c r="X72" s="46"/>
      <c r="Y72" s="46"/>
      <c r="Z72" s="46"/>
      <c r="AA72" s="51"/>
      <c r="AB72" s="51"/>
      <c r="AC72" s="51"/>
      <c r="AD72" s="51"/>
      <c r="AE72" s="46"/>
      <c r="AF72" s="51"/>
      <c r="AG72" s="46"/>
      <c r="AH72" s="46"/>
      <c r="AI72" s="51"/>
      <c r="AJ72" s="46"/>
      <c r="AK72" s="46"/>
      <c r="AL72" s="46"/>
      <c r="AM72" s="46"/>
      <c r="AN72" s="46"/>
      <c r="AO72" s="46"/>
      <c r="AP72" s="46"/>
      <c r="AQ72" s="46"/>
      <c r="AR72" s="46"/>
      <c r="AS72" s="46"/>
      <c r="AT72" s="51"/>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row>
    <row r="73" spans="4:85" s="39" customFormat="true" ht="12" customHeight="true">
      <c r="D73" s="46"/>
      <c r="E73" s="46"/>
      <c r="F73" s="46"/>
      <c r="G73" s="46"/>
      <c r="H73" s="46"/>
      <c r="I73" s="46"/>
      <c r="J73" s="46"/>
      <c r="K73" s="46"/>
      <c r="L73" s="46"/>
      <c r="M73" s="46"/>
      <c r="N73" s="46"/>
      <c r="O73" s="46"/>
      <c r="P73" s="46"/>
      <c r="Q73" s="46"/>
      <c r="R73" s="46"/>
      <c r="S73" s="46"/>
      <c r="T73" s="46"/>
      <c r="U73" s="51"/>
      <c r="V73" s="46"/>
      <c r="W73" s="46"/>
      <c r="X73" s="46"/>
      <c r="Y73" s="46"/>
      <c r="Z73" s="46"/>
      <c r="AA73" s="51"/>
      <c r="AB73" s="51"/>
      <c r="AC73" s="51"/>
      <c r="AD73" s="51"/>
      <c r="AE73" s="46"/>
      <c r="AF73" s="51"/>
      <c r="AG73" s="46"/>
      <c r="AH73" s="46"/>
      <c r="AI73" s="51"/>
      <c r="AJ73" s="46"/>
      <c r="AK73" s="46"/>
      <c r="AL73" s="46"/>
      <c r="AM73" s="46"/>
      <c r="AN73" s="46"/>
      <c r="AO73" s="46"/>
      <c r="AP73" s="46"/>
      <c r="AQ73" s="46"/>
      <c r="AR73" s="46"/>
      <c r="AS73" s="46"/>
      <c r="AT73" s="51"/>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row>
    <row r="74" spans="4:85" s="39" customFormat="true" ht="12" customHeight="true">
      <c r="D74" s="46"/>
      <c r="E74" s="46"/>
      <c r="F74" s="46"/>
      <c r="G74" s="46"/>
      <c r="H74" s="46"/>
      <c r="I74" s="46"/>
      <c r="J74" s="46"/>
      <c r="K74" s="46"/>
      <c r="L74" s="46"/>
      <c r="M74" s="46"/>
      <c r="N74" s="46"/>
      <c r="O74" s="46"/>
      <c r="P74" s="46"/>
      <c r="Q74" s="46"/>
      <c r="R74" s="46"/>
      <c r="S74" s="46"/>
      <c r="T74" s="46"/>
      <c r="U74" s="51"/>
      <c r="V74" s="46"/>
      <c r="W74" s="46"/>
      <c r="X74" s="46"/>
      <c r="Y74" s="46"/>
      <c r="Z74" s="46"/>
      <c r="AA74" s="51"/>
      <c r="AB74" s="51"/>
      <c r="AC74" s="51"/>
      <c r="AD74" s="51"/>
      <c r="AE74" s="46"/>
      <c r="AF74" s="51"/>
      <c r="AG74" s="46"/>
      <c r="AH74" s="46"/>
      <c r="AI74" s="51"/>
      <c r="AJ74" s="46"/>
      <c r="AK74" s="46"/>
      <c r="AL74" s="46"/>
      <c r="AM74" s="46"/>
      <c r="AN74" s="46"/>
      <c r="AO74" s="46"/>
      <c r="AP74" s="46"/>
      <c r="AQ74" s="46"/>
      <c r="AR74" s="46"/>
      <c r="AS74" s="46"/>
      <c r="AT74" s="51"/>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row>
    <row r="75" spans="4:85" s="39" customFormat="true" ht="12" customHeight="true">
      <c r="D75" s="46"/>
      <c r="E75" s="46"/>
      <c r="F75" s="46"/>
      <c r="G75" s="46"/>
      <c r="H75" s="46"/>
      <c r="I75" s="46"/>
      <c r="J75" s="46"/>
      <c r="K75" s="46"/>
      <c r="L75" s="46"/>
      <c r="M75" s="46"/>
      <c r="N75" s="46"/>
      <c r="O75" s="46"/>
      <c r="P75" s="46"/>
      <c r="Q75" s="46"/>
      <c r="R75" s="46"/>
      <c r="S75" s="46"/>
      <c r="T75" s="46"/>
      <c r="U75" s="51"/>
      <c r="V75" s="46"/>
      <c r="W75" s="46"/>
      <c r="X75" s="46"/>
      <c r="Y75" s="46"/>
      <c r="Z75" s="46"/>
      <c r="AA75" s="51"/>
      <c r="AB75" s="51"/>
      <c r="AC75" s="51"/>
      <c r="AD75" s="51"/>
      <c r="AE75" s="46"/>
      <c r="AF75" s="51"/>
      <c r="AG75" s="46"/>
      <c r="AH75" s="46"/>
      <c r="AI75" s="51"/>
      <c r="AJ75" s="46"/>
      <c r="AK75" s="46"/>
      <c r="AL75" s="46"/>
      <c r="AM75" s="46"/>
      <c r="AN75" s="46"/>
      <c r="AO75" s="46"/>
      <c r="AP75" s="46"/>
      <c r="AQ75" s="46"/>
      <c r="AR75" s="46"/>
      <c r="AS75" s="46"/>
      <c r="AT75" s="51"/>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row>
    <row r="76" spans="4:85" s="39" customFormat="true" ht="12" customHeight="true">
      <c r="D76" s="46"/>
      <c r="E76" s="46"/>
      <c r="F76" s="46"/>
      <c r="G76" s="46"/>
      <c r="H76" s="46"/>
      <c r="I76" s="46"/>
      <c r="J76" s="46"/>
      <c r="K76" s="46"/>
      <c r="L76" s="46"/>
      <c r="M76" s="46"/>
      <c r="N76" s="46"/>
      <c r="O76" s="46"/>
      <c r="P76" s="46"/>
      <c r="Q76" s="46"/>
      <c r="R76" s="46"/>
      <c r="S76" s="46"/>
      <c r="T76" s="46"/>
      <c r="U76" s="51"/>
      <c r="V76" s="46"/>
      <c r="W76" s="46"/>
      <c r="X76" s="46"/>
      <c r="Y76" s="46"/>
      <c r="Z76" s="46"/>
      <c r="AA76" s="51"/>
      <c r="AB76" s="51"/>
      <c r="AC76" s="51"/>
      <c r="AD76" s="51"/>
      <c r="AE76" s="46"/>
      <c r="AF76" s="51"/>
      <c r="AG76" s="46"/>
      <c r="AH76" s="46"/>
      <c r="AI76" s="51"/>
      <c r="AJ76" s="46"/>
      <c r="AK76" s="46"/>
      <c r="AL76" s="46"/>
      <c r="AM76" s="46"/>
      <c r="AN76" s="46"/>
      <c r="AO76" s="46"/>
      <c r="AP76" s="46"/>
      <c r="AQ76" s="46"/>
      <c r="AR76" s="46"/>
      <c r="AS76" s="46"/>
      <c r="AT76" s="51"/>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row>
    <row r="77" spans="2:86" s="39" customFormat="true" ht="12" customHeight="true">
      <c r="B77" s="39" t="s">
        <v>34198</v>
      </c>
      <c r="D77" s="39">
        <f t="shared" ref="D77:Y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39">
        <f t="shared" si="8"/>
        <v>0</v>
      </c>
      <c r="U77" s="51">
        <f t="shared" si="8"/>
        <v>0</v>
      </c>
      <c r="V77" s="39">
        <f t="shared" si="8"/>
        <v>0</v>
      </c>
      <c r="W77" s="39">
        <f t="shared" si="8"/>
        <v>0</v>
      </c>
      <c r="X77" s="39">
        <f t="shared" si="8"/>
        <v>0</v>
      </c>
      <c r="Y77" s="39">
        <f t="shared" si="8"/>
        <v>0</v>
      </c>
      <c r="AA77" s="51">
        <f t="shared" ref="AA77:CG77" si="9">+SUM(AA59:AA76)</f>
        <v>0</v>
      </c>
      <c r="AB77" s="51">
        <f t="shared" si="9"/>
        <v>0</v>
      </c>
      <c r="AC77" s="51">
        <f t="shared" si="9"/>
        <v>0</v>
      </c>
      <c r="AD77" s="51">
        <f t="shared" si="9"/>
        <v>0</v>
      </c>
      <c r="AE77" s="39">
        <f t="shared" si="9"/>
        <v>0</v>
      </c>
      <c r="AF77" s="51">
        <f t="shared" si="9"/>
        <v>0</v>
      </c>
      <c r="AG77" s="39">
        <f t="shared" si="9"/>
        <v>0</v>
      </c>
      <c r="AH77" s="39">
        <f t="shared" si="9"/>
        <v>0</v>
      </c>
      <c r="AI77" s="51">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39">
        <f t="shared" si="9"/>
        <v>0</v>
      </c>
      <c r="AT77" s="51">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39">
        <f t="shared" si="9"/>
        <v>0</v>
      </c>
      <c r="BR77" s="39">
        <f t="shared" si="9"/>
        <v>0</v>
      </c>
      <c r="BS77" s="39">
        <f t="shared" si="9"/>
        <v>0</v>
      </c>
      <c r="BT77" s="39">
        <f t="shared" si="9"/>
        <v>0</v>
      </c>
      <c r="BU77" s="39">
        <f t="shared" si="9"/>
        <v>0</v>
      </c>
      <c r="BV77" s="39">
        <f t="shared" si="9"/>
        <v>0</v>
      </c>
      <c r="BW77" s="39">
        <f t="shared" si="9"/>
        <v>0</v>
      </c>
      <c r="BX77" s="39">
        <f t="shared" si="9"/>
        <v>0</v>
      </c>
      <c r="BY77" s="39">
        <f t="shared" si="9"/>
        <v>0</v>
      </c>
      <c r="BZ77" s="39">
        <f t="shared" si="9"/>
        <v>0</v>
      </c>
      <c r="CA77" s="39">
        <f t="shared" si="9"/>
        <v>0</v>
      </c>
      <c r="CB77" s="39">
        <f t="shared" si="9"/>
        <v>0</v>
      </c>
      <c r="CC77" s="39">
        <f t="shared" si="9"/>
        <v>0</v>
      </c>
      <c r="CD77" s="39">
        <f t="shared" si="9"/>
        <v>0</v>
      </c>
      <c r="CE77" s="39">
        <f t="shared" si="9"/>
        <v>0</v>
      </c>
      <c r="CF77" s="39">
        <f t="shared" si="9"/>
        <v>0</v>
      </c>
      <c r="CG77" s="39">
        <f t="shared" si="9"/>
        <v>0</v>
      </c>
      <c r="CH77" s="39">
        <f>SUM(D77:CG77)</f>
        <v>0</v>
      </c>
    </row>
    <row r="78" spans="21:46" s="39" customFormat="true" ht="12" customHeight="true">
      <c r="U78" s="51"/>
      <c r="AA78" s="51"/>
      <c r="AB78" s="51"/>
      <c r="AC78" s="51"/>
      <c r="AD78" s="51"/>
      <c r="AF78" s="51"/>
      <c r="AI78" s="51"/>
      <c r="AT78" s="51"/>
    </row>
    <row r="79" spans="21:46" s="39" customFormat="true" ht="12" customHeight="true">
      <c r="U79" s="51"/>
      <c r="AA79" s="51"/>
      <c r="AB79" s="51"/>
      <c r="AC79" s="51"/>
      <c r="AD79" s="51"/>
      <c r="AF79" s="51"/>
      <c r="AI79" s="51"/>
      <c r="AT79" s="51"/>
    </row>
    <row r="80" spans="2:86" s="39" customFormat="true" ht="12" customHeight="true">
      <c r="B80" s="39" t="s">
        <v>34199</v>
      </c>
      <c r="D80" s="39">
        <f t="shared" ref="D80:BO80" si="10">+D51+D57+D77</f>
        <v>49343.3</v>
      </c>
      <c r="E80" s="39">
        <f t="shared" si="10"/>
        <v>-39270.18</v>
      </c>
      <c r="F80" s="39">
        <f t="shared" si="10"/>
        <v>-32331.44</v>
      </c>
      <c r="G80" s="39">
        <f t="shared" si="10"/>
        <v>60187.18</v>
      </c>
      <c r="H80" s="39">
        <f t="shared" si="10"/>
        <v>-23444.17</v>
      </c>
      <c r="I80" s="39">
        <f t="shared" si="10"/>
        <v>0</v>
      </c>
      <c r="J80" s="39">
        <f t="shared" si="10"/>
        <v>475501.69</v>
      </c>
      <c r="K80" s="39">
        <f t="shared" si="10"/>
        <v>2226890.88</v>
      </c>
      <c r="L80" s="39">
        <f t="shared" si="10"/>
        <v>49086.52</v>
      </c>
      <c r="M80" s="39">
        <f t="shared" si="10"/>
        <v>14660.59</v>
      </c>
      <c r="N80" s="39">
        <f t="shared" si="10"/>
        <v>-6454.27</v>
      </c>
      <c r="O80" s="39">
        <f t="shared" si="10"/>
        <v>0</v>
      </c>
      <c r="P80" s="39">
        <f t="shared" si="10"/>
        <v>-134386.36</v>
      </c>
      <c r="Q80" s="39">
        <f t="shared" si="10"/>
        <v>19046.91</v>
      </c>
      <c r="R80" s="39">
        <f t="shared" si="10"/>
        <v>-3504.96</v>
      </c>
      <c r="S80" s="39">
        <f t="shared" si="10"/>
        <v>-1982.65</v>
      </c>
      <c r="T80" s="39">
        <f t="shared" si="10"/>
        <v>9015.16</v>
      </c>
      <c r="U80" s="51">
        <f t="shared" si="10"/>
        <v>0</v>
      </c>
      <c r="V80" s="39">
        <f t="shared" si="10"/>
        <v>243369.06</v>
      </c>
      <c r="W80" s="39">
        <f t="shared" si="10"/>
        <v>38342.28</v>
      </c>
      <c r="X80" s="39">
        <f t="shared" si="10"/>
        <v>-45199.2</v>
      </c>
      <c r="Y80" s="39">
        <f t="shared" si="10"/>
        <v>14475.48</v>
      </c>
      <c r="Z80" s="39">
        <f t="shared" si="10"/>
        <v>27883.78</v>
      </c>
      <c r="AA80" s="51">
        <f t="shared" si="10"/>
        <v>0</v>
      </c>
      <c r="AB80" s="51">
        <f t="shared" si="10"/>
        <v>0</v>
      </c>
      <c r="AC80" s="51">
        <f t="shared" si="10"/>
        <v>0</v>
      </c>
      <c r="AD80" s="51">
        <f t="shared" si="10"/>
        <v>0</v>
      </c>
      <c r="AE80" s="39">
        <f t="shared" si="10"/>
        <v>236215.26</v>
      </c>
      <c r="AF80" s="51">
        <f t="shared" si="10"/>
        <v>0</v>
      </c>
      <c r="AG80" s="39">
        <f t="shared" si="10"/>
        <v>-72262.96</v>
      </c>
      <c r="AH80" s="39">
        <f t="shared" si="10"/>
        <v>22853.61</v>
      </c>
      <c r="AI80" s="51">
        <f t="shared" si="10"/>
        <v>0</v>
      </c>
      <c r="AJ80" s="39">
        <f t="shared" si="10"/>
        <v>-74942.03</v>
      </c>
      <c r="AK80" s="39">
        <f t="shared" si="10"/>
        <v>107124.41</v>
      </c>
      <c r="AL80" s="39">
        <f t="shared" si="10"/>
        <v>47561.43</v>
      </c>
      <c r="AM80" s="39">
        <f t="shared" si="10"/>
        <v>0</v>
      </c>
      <c r="AN80" s="39">
        <f t="shared" si="10"/>
        <v>0</v>
      </c>
      <c r="AO80" s="39">
        <f t="shared" si="10"/>
        <v>27123.21</v>
      </c>
      <c r="AP80" s="39">
        <f t="shared" si="10"/>
        <v>155324.42</v>
      </c>
      <c r="AQ80" s="39">
        <f t="shared" si="10"/>
        <v>88462</v>
      </c>
      <c r="AR80" s="39">
        <f t="shared" si="10"/>
        <v>41424.72</v>
      </c>
      <c r="AS80" s="39">
        <f t="shared" si="10"/>
        <v>33525.45</v>
      </c>
      <c r="AT80" s="51">
        <f t="shared" si="10"/>
        <v>0</v>
      </c>
      <c r="AU80" s="39">
        <f t="shared" si="10"/>
        <v>-17090.29</v>
      </c>
      <c r="AV80" s="39">
        <f t="shared" si="10"/>
        <v>41130.71</v>
      </c>
      <c r="AW80" s="39">
        <f t="shared" si="10"/>
        <v>5550.64</v>
      </c>
      <c r="AX80" s="39">
        <f t="shared" si="10"/>
        <v>11494.51</v>
      </c>
      <c r="AY80" s="39">
        <f t="shared" si="10"/>
        <v>57776.89</v>
      </c>
      <c r="AZ80" s="39">
        <f t="shared" si="10"/>
        <v>4316.34</v>
      </c>
      <c r="BA80" s="39">
        <f t="shared" si="10"/>
        <v>-1519.02</v>
      </c>
      <c r="BB80" s="39">
        <f t="shared" si="10"/>
        <v>3645.74</v>
      </c>
      <c r="BC80" s="39">
        <f t="shared" si="10"/>
        <v>21618.52</v>
      </c>
      <c r="BD80" s="39">
        <f t="shared" si="10"/>
        <v>6820.34</v>
      </c>
      <c r="BE80" s="39">
        <f t="shared" si="10"/>
        <v>0</v>
      </c>
      <c r="BF80" s="39">
        <f t="shared" si="10"/>
        <v>46617.42</v>
      </c>
      <c r="BG80" s="39">
        <f t="shared" si="10"/>
        <v>181043.86</v>
      </c>
      <c r="BH80" s="39">
        <f t="shared" si="10"/>
        <v>47935.72</v>
      </c>
      <c r="BI80" s="39">
        <f t="shared" si="10"/>
        <v>10202.67</v>
      </c>
      <c r="BJ80" s="39">
        <f t="shared" si="10"/>
        <v>63287.58</v>
      </c>
      <c r="BK80" s="39">
        <f t="shared" si="10"/>
        <v>86202.14</v>
      </c>
      <c r="BL80" s="39">
        <f t="shared" si="10"/>
        <v>30343.43</v>
      </c>
      <c r="BM80" s="39">
        <f t="shared" si="10"/>
        <v>42731.84</v>
      </c>
      <c r="BN80" s="39">
        <f t="shared" si="10"/>
        <v>-242219.55</v>
      </c>
      <c r="BO80" s="39">
        <f t="shared" si="10"/>
        <v>19720.17</v>
      </c>
      <c r="BP80" s="39">
        <f t="shared" ref="BP80:CG80" si="11">+BP51+BP57+BP77</f>
        <v>-52120.52</v>
      </c>
      <c r="BQ80" s="39">
        <f t="shared" si="11"/>
        <v>-77</v>
      </c>
      <c r="BR80" s="39">
        <f t="shared" si="11"/>
        <v>10401.32</v>
      </c>
      <c r="BS80" s="39">
        <f t="shared" si="11"/>
        <v>38213.37</v>
      </c>
      <c r="BT80" s="39">
        <f t="shared" si="11"/>
        <v>-350521.54</v>
      </c>
      <c r="BU80" s="39">
        <f t="shared" si="11"/>
        <v>96796.59</v>
      </c>
      <c r="BV80" s="39">
        <f t="shared" si="11"/>
        <v>92574.57</v>
      </c>
      <c r="BW80" s="39">
        <f t="shared" si="11"/>
        <v>38237.77</v>
      </c>
      <c r="BX80" s="39">
        <f t="shared" si="11"/>
        <v>23175.73</v>
      </c>
      <c r="BY80" s="39">
        <f t="shared" si="11"/>
        <v>43881.98</v>
      </c>
      <c r="BZ80" s="39">
        <f t="shared" si="11"/>
        <v>62757.54</v>
      </c>
      <c r="CA80" s="39">
        <f t="shared" si="11"/>
        <v>211.6</v>
      </c>
      <c r="CB80" s="39">
        <f t="shared" si="11"/>
        <v>211.6</v>
      </c>
      <c r="CC80" s="39">
        <f t="shared" si="11"/>
        <v>222.6</v>
      </c>
      <c r="CD80" s="39">
        <f t="shared" si="11"/>
        <v>366300.19</v>
      </c>
      <c r="CE80" s="39">
        <f t="shared" si="11"/>
        <v>17702802.8</v>
      </c>
      <c r="CF80" s="39">
        <f t="shared" si="11"/>
        <v>583483.45</v>
      </c>
      <c r="CG80" s="39">
        <f t="shared" si="11"/>
        <v>-3472.48</v>
      </c>
      <c r="CH80" s="39">
        <f>SUM(D80:CG80)</f>
        <v>22626328.35</v>
      </c>
    </row>
    <row r="81" spans="21:46" s="39" customFormat="true" ht="12" customHeight="true">
      <c r="U81" s="51"/>
      <c r="AA81" s="51"/>
      <c r="AB81" s="51"/>
      <c r="AC81" s="51"/>
      <c r="AD81" s="51"/>
      <c r="AF81" s="51"/>
      <c r="AI81" s="51"/>
      <c r="AT81" s="51"/>
    </row>
    <row r="82" spans="2:86" s="39" customFormat="true" ht="12" customHeight="true">
      <c r="B82" s="39" t="s">
        <v>13909</v>
      </c>
      <c r="D82" s="47">
        <f t="shared" ref="D82:BO82" si="12">+D49-D80</f>
        <v>0</v>
      </c>
      <c r="E82" s="47">
        <f t="shared" si="12"/>
        <v>0</v>
      </c>
      <c r="F82" s="47">
        <f t="shared" si="12"/>
        <v>0</v>
      </c>
      <c r="G82" s="47">
        <f t="shared" si="12"/>
        <v>0</v>
      </c>
      <c r="H82" s="47">
        <f t="shared" si="12"/>
        <v>0</v>
      </c>
      <c r="I82" s="47">
        <f t="shared" si="12"/>
        <v>0</v>
      </c>
      <c r="J82" s="47">
        <f t="shared" si="12"/>
        <v>0</v>
      </c>
      <c r="K82" s="47">
        <f t="shared" si="12"/>
        <v>0</v>
      </c>
      <c r="L82" s="47">
        <f t="shared" si="12"/>
        <v>0</v>
      </c>
      <c r="M82" s="47">
        <f t="shared" si="12"/>
        <v>0</v>
      </c>
      <c r="N82" s="47">
        <f t="shared" si="12"/>
        <v>0</v>
      </c>
      <c r="O82" s="47">
        <f t="shared" si="12"/>
        <v>0</v>
      </c>
      <c r="P82" s="47">
        <f t="shared" si="12"/>
        <v>0</v>
      </c>
      <c r="Q82" s="47">
        <f t="shared" si="12"/>
        <v>0</v>
      </c>
      <c r="R82" s="47">
        <f t="shared" si="12"/>
        <v>0</v>
      </c>
      <c r="S82" s="47">
        <f t="shared" si="12"/>
        <v>0</v>
      </c>
      <c r="T82" s="47">
        <f t="shared" si="12"/>
        <v>0</v>
      </c>
      <c r="U82" s="47">
        <f t="shared" si="12"/>
        <v>0</v>
      </c>
      <c r="V82" s="47">
        <f t="shared" si="12"/>
        <v>0</v>
      </c>
      <c r="W82" s="47">
        <f t="shared" si="12"/>
        <v>0</v>
      </c>
      <c r="X82" s="47">
        <f t="shared" si="12"/>
        <v>0</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47">
        <f t="shared" si="12"/>
        <v>0</v>
      </c>
      <c r="AX82" s="47">
        <f t="shared" si="12"/>
        <v>0</v>
      </c>
      <c r="AY82" s="47">
        <f t="shared" si="12"/>
        <v>0</v>
      </c>
      <c r="AZ82" s="47">
        <f t="shared" si="12"/>
        <v>0</v>
      </c>
      <c r="BA82" s="47">
        <f t="shared" si="12"/>
        <v>3.18323145620525e-12</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G82" si="13">+BP49-BP80</f>
        <v>0</v>
      </c>
      <c r="BQ82" s="47">
        <f t="shared" si="13"/>
        <v>0</v>
      </c>
      <c r="BR82" s="47">
        <f t="shared" si="13"/>
        <v>0</v>
      </c>
      <c r="BS82" s="47">
        <f t="shared" si="13"/>
        <v>0</v>
      </c>
      <c r="BT82" s="47">
        <f t="shared" si="13"/>
        <v>0</v>
      </c>
      <c r="BU82" s="47">
        <f t="shared" si="13"/>
        <v>0</v>
      </c>
      <c r="BV82" s="47">
        <f t="shared" si="13"/>
        <v>0</v>
      </c>
      <c r="BW82" s="47">
        <f t="shared" si="13"/>
        <v>0</v>
      </c>
      <c r="BX82" s="47">
        <f t="shared" si="13"/>
        <v>0</v>
      </c>
      <c r="BY82" s="47">
        <f t="shared" si="13"/>
        <v>0</v>
      </c>
      <c r="BZ82" s="47">
        <f t="shared" si="13"/>
        <v>0</v>
      </c>
      <c r="CA82" s="47">
        <f t="shared" si="13"/>
        <v>0</v>
      </c>
      <c r="CB82" s="47">
        <f t="shared" si="13"/>
        <v>0</v>
      </c>
      <c r="CC82" s="47">
        <f t="shared" si="13"/>
        <v>0</v>
      </c>
      <c r="CD82" s="47">
        <f t="shared" si="13"/>
        <v>0</v>
      </c>
      <c r="CE82" s="47">
        <f t="shared" si="13"/>
        <v>0</v>
      </c>
      <c r="CF82" s="47">
        <f t="shared" si="13"/>
        <v>0</v>
      </c>
      <c r="CG82" s="47">
        <f t="shared" si="13"/>
        <v>0</v>
      </c>
      <c r="CH82" s="39">
        <f>SUM(D82:CG82)</f>
        <v>3.18323145620525e-12</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G52">
    <cfRule type="cellIs" dxfId="4" priority="2" operator="notEqual">
      <formula>0</formula>
    </cfRule>
  </conditionalFormatting>
  <conditionalFormatting sqref="D82:CG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H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20" min="17" style="33" width="14.44"/>
    <col customWidth="true" hidden="true" max="21" min="21" style="43" width="10.3266666666667"/>
    <col customWidth="true" max="22" min="22" style="33" width="14.8933333333333"/>
    <col customWidth="true" max="23" min="23" style="33" width="14.44"/>
    <col customWidth="true" max="24" min="24" style="33" width="14.8933333333333"/>
    <col customWidth="true" max="25" min="25" style="33" width="14.44"/>
    <col customWidth="true" max="26" min="26" style="33" width="17.8866666666667"/>
    <col customWidth="true" hidden="true" max="30" min="27" style="43" width="11"/>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max="50" min="50" style="33" width="14.8933333333333"/>
    <col customWidth="true" max="51" min="51" style="33" width="14.44"/>
    <col customWidth="true" max="52" min="52" style="33" width="16.3266666666667"/>
    <col customWidth="true" max="53" min="53" style="33" width="14.44"/>
    <col customWidth="true" max="54" min="54" style="33" width="16.3266666666667"/>
    <col customWidth="true" max="55" min="55" style="33" width="14.8933333333333"/>
    <col customWidth="true" max="56" min="56" style="33" width="11.66"/>
    <col customWidth="true" hidden="true" max="57" min="57" style="33" width="14.5533333333333"/>
    <col customWidth="true" max="58" min="58" style="33" width="14"/>
    <col customWidth="true" max="59" min="59" style="33" width="14.5533333333333"/>
    <col customWidth="true" max="85" min="60" style="33" width="14"/>
    <col customWidth="true" max="86" min="86" style="33" width="14.44"/>
    <col customWidth="true" max="87" min="87" style="33" width="14"/>
    <col customWidth="true" max="88" min="88" style="33" width="11"/>
    <col customWidth="true" max="1024" min="89" style="33" width="9.10666666666667"/>
  </cols>
  <sheetData>
    <row r="1" spans="1:1" ht="12" customHeight="true">
      <c r="A1" s="33">
        <v>-1</v>
      </c>
    </row>
    <row r="2" spans="15:16" ht="12" customHeight="true">
      <c r="O2" s="33">
        <v>-1</v>
      </c>
      <c r="P2" s="33">
        <v>-1</v>
      </c>
    </row>
    <row r="4" spans="2:85"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44" t="s">
        <v>13775</v>
      </c>
      <c r="U4" s="51" t="s">
        <v>13775</v>
      </c>
      <c r="V4" s="44" t="s">
        <v>13777</v>
      </c>
      <c r="W4" s="44" t="s">
        <v>13777</v>
      </c>
      <c r="X4" s="44" t="s">
        <v>13778</v>
      </c>
      <c r="Y4" s="52" t="s">
        <v>13778</v>
      </c>
      <c r="Z4" s="44" t="s">
        <v>13778</v>
      </c>
      <c r="AA4" s="51" t="s">
        <v>31453</v>
      </c>
      <c r="AB4" s="51" t="s">
        <v>31453</v>
      </c>
      <c r="AC4" s="51" t="s">
        <v>31454</v>
      </c>
      <c r="AD4" s="51" t="s">
        <v>31454</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44" t="s">
        <v>13810</v>
      </c>
      <c r="AX4" s="44" t="s">
        <v>13802</v>
      </c>
      <c r="AY4" s="44" t="s">
        <v>13803</v>
      </c>
      <c r="AZ4" s="44" t="s">
        <v>13803</v>
      </c>
      <c r="BA4" s="44" t="s">
        <v>13804</v>
      </c>
      <c r="BB4" s="44" t="s">
        <v>13804</v>
      </c>
      <c r="BC4" s="44" t="s">
        <v>13805</v>
      </c>
      <c r="BD4" s="44" t="s">
        <v>13811</v>
      </c>
      <c r="BE4" s="53" t="s">
        <v>13811</v>
      </c>
      <c r="BF4" s="44" t="s">
        <v>13806</v>
      </c>
      <c r="BG4" s="44" t="s">
        <v>13807</v>
      </c>
      <c r="BH4" s="44" t="s">
        <v>13808</v>
      </c>
      <c r="BI4" s="44" t="s">
        <v>13809</v>
      </c>
      <c r="BJ4" s="44" t="s">
        <v>13796</v>
      </c>
      <c r="BK4" s="44" t="s">
        <v>13797</v>
      </c>
      <c r="BL4" s="44" t="s">
        <v>13798</v>
      </c>
      <c r="BM4" s="44" t="s">
        <v>13799</v>
      </c>
      <c r="BN4" s="44" t="s">
        <v>13800</v>
      </c>
      <c r="BO4" s="44" t="s">
        <v>13812</v>
      </c>
      <c r="BP4" s="44" t="s">
        <v>13814</v>
      </c>
      <c r="BQ4" s="44" t="s">
        <v>13813</v>
      </c>
      <c r="BR4" s="44" t="s">
        <v>13815</v>
      </c>
      <c r="BS4" s="44" t="s">
        <v>13816</v>
      </c>
      <c r="BT4" s="44" t="s">
        <v>13817</v>
      </c>
      <c r="BU4" s="44" t="s">
        <v>13818</v>
      </c>
      <c r="BV4" s="44" t="s">
        <v>13820</v>
      </c>
      <c r="BW4" s="44" t="s">
        <v>13819</v>
      </c>
      <c r="BX4" s="44" t="s">
        <v>13823</v>
      </c>
      <c r="BY4" s="44" t="s">
        <v>13821</v>
      </c>
      <c r="BZ4" s="44" t="s">
        <v>13822</v>
      </c>
      <c r="CA4" s="44" t="s">
        <v>13824</v>
      </c>
      <c r="CB4" s="44" t="s">
        <v>13825</v>
      </c>
      <c r="CC4" s="44" t="s">
        <v>13826</v>
      </c>
      <c r="CD4" s="44" t="s">
        <v>13864</v>
      </c>
      <c r="CE4" s="44" t="s">
        <v>13865</v>
      </c>
      <c r="CF4" s="44" t="s">
        <v>13859</v>
      </c>
      <c r="CG4" s="44" t="s">
        <v>13860</v>
      </c>
    </row>
    <row r="5" spans="2:85"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34104</v>
      </c>
      <c r="S5" s="48" t="s">
        <v>34105</v>
      </c>
      <c r="T5" s="45" t="s">
        <v>34103</v>
      </c>
      <c r="U5" s="43" t="s">
        <v>34107</v>
      </c>
      <c r="V5" s="48" t="s">
        <v>34104</v>
      </c>
      <c r="W5" s="45" t="s">
        <v>34103</v>
      </c>
      <c r="X5" s="48" t="s">
        <v>34104</v>
      </c>
      <c r="Y5" s="45" t="s">
        <v>34103</v>
      </c>
      <c r="Z5" s="48" t="s">
        <v>34108</v>
      </c>
      <c r="AA5" s="43" t="s">
        <v>34104</v>
      </c>
      <c r="AB5" s="43" t="s">
        <v>34105</v>
      </c>
      <c r="AC5" s="43" t="s">
        <v>34104</v>
      </c>
      <c r="AD5" s="43" t="s">
        <v>34105</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48" t="s">
        <v>34111</v>
      </c>
      <c r="AX5" s="48" t="s">
        <v>34112</v>
      </c>
      <c r="AY5" s="48" t="s">
        <v>34113</v>
      </c>
      <c r="AZ5" s="48" t="s">
        <v>34114</v>
      </c>
      <c r="BA5" s="48" t="s">
        <v>34115</v>
      </c>
      <c r="BB5" s="48" t="s">
        <v>34116</v>
      </c>
      <c r="BC5" s="48" t="s">
        <v>34117</v>
      </c>
      <c r="BD5" s="48" t="s">
        <v>34118</v>
      </c>
      <c r="BE5" s="48" t="s">
        <v>34119</v>
      </c>
      <c r="BF5" s="48" t="s">
        <v>34120</v>
      </c>
      <c r="BG5" s="48" t="s">
        <v>34121</v>
      </c>
      <c r="BH5" s="48" t="s">
        <v>34122</v>
      </c>
      <c r="BI5" s="48" t="s">
        <v>34123</v>
      </c>
      <c r="BJ5" s="48" t="s">
        <v>34124</v>
      </c>
      <c r="BK5" s="48" t="s">
        <v>34125</v>
      </c>
      <c r="BL5" s="48" t="s">
        <v>34126</v>
      </c>
      <c r="BM5" s="48" t="s">
        <v>34127</v>
      </c>
      <c r="BN5" s="48" t="s">
        <v>34128</v>
      </c>
      <c r="BO5" s="48" t="s">
        <v>34129</v>
      </c>
      <c r="BP5" s="48" t="s">
        <v>34130</v>
      </c>
      <c r="BQ5" s="48" t="s">
        <v>34132</v>
      </c>
      <c r="BR5" s="48" t="s">
        <v>34134</v>
      </c>
      <c r="BS5" s="48" t="s">
        <v>34135</v>
      </c>
      <c r="BT5" s="48" t="s">
        <v>34136</v>
      </c>
      <c r="BU5" s="48" t="s">
        <v>34137</v>
      </c>
      <c r="BV5" s="48" t="s">
        <v>34200</v>
      </c>
      <c r="BW5" s="48" t="s">
        <v>34138</v>
      </c>
      <c r="BX5" s="48" t="s">
        <v>34203</v>
      </c>
      <c r="BY5" s="48" t="s">
        <v>34204</v>
      </c>
      <c r="BZ5" s="48" t="s">
        <v>34205</v>
      </c>
      <c r="CA5" s="48" t="s">
        <v>34208</v>
      </c>
      <c r="CB5" s="48" t="s">
        <v>34209</v>
      </c>
      <c r="CC5" s="48" t="s">
        <v>34210</v>
      </c>
      <c r="CD5" s="48" t="s">
        <v>34140</v>
      </c>
      <c r="CE5" s="48" t="s">
        <v>34206</v>
      </c>
      <c r="CF5" s="48" t="s">
        <v>34141</v>
      </c>
      <c r="CG5" s="48" t="s">
        <v>34142</v>
      </c>
    </row>
    <row r="6" spans="2:85"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53564399</v>
      </c>
      <c r="S6" s="48">
        <v>26843912</v>
      </c>
      <c r="T6" s="45">
        <v>33540278</v>
      </c>
      <c r="V6" s="48">
        <v>30249789</v>
      </c>
      <c r="W6" s="45">
        <v>30282681</v>
      </c>
      <c r="X6" s="48">
        <v>748032703</v>
      </c>
      <c r="Y6" s="45">
        <v>30311274</v>
      </c>
      <c r="Z6" s="48">
        <v>203081093</v>
      </c>
      <c r="AA6" s="43" t="s">
        <v>34155</v>
      </c>
      <c r="AB6" s="43" t="s">
        <v>34156</v>
      </c>
      <c r="AC6" s="43" t="s">
        <v>34157</v>
      </c>
      <c r="AD6" s="43" t="s">
        <v>34158</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48">
        <v>13585976</v>
      </c>
      <c r="AX6" s="48">
        <v>748033552</v>
      </c>
      <c r="AY6" s="48">
        <v>31874966</v>
      </c>
      <c r="AZ6" s="48">
        <v>454979502</v>
      </c>
      <c r="BA6" s="48">
        <v>31860536</v>
      </c>
      <c r="BB6" s="48">
        <v>693305826</v>
      </c>
      <c r="BC6" s="48">
        <v>32205856</v>
      </c>
      <c r="BD6" s="48">
        <v>32121632</v>
      </c>
      <c r="BE6" s="48" t="s">
        <v>34167</v>
      </c>
      <c r="BF6" s="48">
        <v>35356295</v>
      </c>
      <c r="BG6" s="48" t="s">
        <v>34168</v>
      </c>
      <c r="BH6" s="48" t="s">
        <v>34169</v>
      </c>
      <c r="BI6" s="48" t="s">
        <v>34170</v>
      </c>
      <c r="BJ6" s="48">
        <v>748030061</v>
      </c>
      <c r="BK6" s="48">
        <v>748032711</v>
      </c>
      <c r="BL6" s="48">
        <v>37307538</v>
      </c>
      <c r="BM6" s="48">
        <v>37346924</v>
      </c>
      <c r="BN6" s="48">
        <v>748035300</v>
      </c>
      <c r="BO6" s="48" t="s">
        <v>34171</v>
      </c>
      <c r="BP6" s="48">
        <v>46129441</v>
      </c>
      <c r="BQ6" s="48" t="s">
        <v>34172</v>
      </c>
      <c r="BR6" s="48" t="s">
        <v>34173</v>
      </c>
      <c r="BS6" s="48" t="s">
        <v>34174</v>
      </c>
      <c r="BT6" s="48"/>
      <c r="BU6" s="48">
        <v>50376193</v>
      </c>
      <c r="BV6" s="48"/>
      <c r="BW6" s="48"/>
      <c r="BX6" s="48" t="s">
        <v>34207</v>
      </c>
      <c r="BY6" s="48"/>
      <c r="BZ6" s="48"/>
      <c r="CA6" s="48"/>
      <c r="CB6" s="48"/>
      <c r="CC6" s="48"/>
      <c r="CD6" s="48"/>
      <c r="CE6" s="48"/>
      <c r="CF6" s="48">
        <v>4402766</v>
      </c>
      <c r="CG6" s="48" t="s">
        <v>34176</v>
      </c>
    </row>
    <row r="7" spans="2:85"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34211</v>
      </c>
      <c r="S7" s="48" t="s">
        <v>34179</v>
      </c>
      <c r="T7" s="45" t="s">
        <v>14059</v>
      </c>
      <c r="V7" s="48" t="s">
        <v>34178</v>
      </c>
      <c r="W7" s="45" t="s">
        <v>14059</v>
      </c>
      <c r="X7" s="48" t="s">
        <v>34178</v>
      </c>
      <c r="Y7" s="45" t="s">
        <v>14059</v>
      </c>
      <c r="Z7" s="48" t="s">
        <v>34181</v>
      </c>
      <c r="AA7" s="43" t="s">
        <v>14047</v>
      </c>
      <c r="AB7" s="43" t="s">
        <v>14049</v>
      </c>
      <c r="AC7" s="43" t="s">
        <v>14047</v>
      </c>
      <c r="AD7" s="43" t="s">
        <v>14049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48" t="s">
        <v>14045</v>
      </c>
      <c r="AX7" s="48" t="s">
        <v>14045</v>
      </c>
      <c r="AY7" s="48" t="s">
        <v>14045</v>
      </c>
      <c r="AZ7" s="48" t="s">
        <v>14061</v>
      </c>
      <c r="BA7" s="48" t="s">
        <v>14045</v>
      </c>
      <c r="BB7" s="48" t="s">
        <v>14061</v>
      </c>
      <c r="BC7" s="48" t="s">
        <v>14045</v>
      </c>
      <c r="BD7" s="48" t="s">
        <v>14045</v>
      </c>
      <c r="BE7" s="48" t="s">
        <v>14053</v>
      </c>
      <c r="BF7" s="48" t="s">
        <v>14045</v>
      </c>
      <c r="BG7" s="48" t="s">
        <v>14045</v>
      </c>
      <c r="BH7" s="48" t="s">
        <v>14045</v>
      </c>
      <c r="BI7" s="48" t="s">
        <v>14045</v>
      </c>
      <c r="BJ7" s="48" t="s">
        <v>14045</v>
      </c>
      <c r="BK7" s="48" t="s">
        <v>14045</v>
      </c>
      <c r="BL7" s="48" t="s">
        <v>14045</v>
      </c>
      <c r="BM7" s="48" t="s">
        <v>14045</v>
      </c>
      <c r="BN7" s="48" t="s">
        <v>14045</v>
      </c>
      <c r="BO7" s="48" t="s">
        <v>14045</v>
      </c>
      <c r="BP7" s="48" t="s">
        <v>14045</v>
      </c>
      <c r="BQ7" s="48" t="s">
        <v>14045</v>
      </c>
      <c r="BR7" s="48" t="s">
        <v>14045</v>
      </c>
      <c r="BS7" s="48" t="s">
        <v>14045</v>
      </c>
      <c r="BT7" s="48" t="s">
        <v>14045</v>
      </c>
      <c r="BU7" s="48" t="s">
        <v>14045</v>
      </c>
      <c r="BV7" s="48" t="s">
        <v>14045</v>
      </c>
      <c r="BW7" s="48" t="s">
        <v>14045</v>
      </c>
      <c r="BX7" s="48" t="s">
        <v>14045</v>
      </c>
      <c r="BY7" s="48" t="s">
        <v>14045</v>
      </c>
      <c r="BZ7" s="48" t="s">
        <v>14045</v>
      </c>
      <c r="CA7" s="48" t="s">
        <v>14045</v>
      </c>
      <c r="CB7" s="48" t="s">
        <v>14045</v>
      </c>
      <c r="CC7" s="48" t="s">
        <v>14045</v>
      </c>
      <c r="CD7" s="48" t="s">
        <v>34184</v>
      </c>
      <c r="CE7" s="48" t="s">
        <v>34178</v>
      </c>
      <c r="CF7" s="48" t="s">
        <v>14060</v>
      </c>
      <c r="CG7" s="48" t="s">
        <v>34178</v>
      </c>
    </row>
    <row r="8" spans="26:57" ht="12" customHeight="true">
      <c r="Z8" s="33">
        <v>865</v>
      </c>
      <c r="BE8" s="33" t="s">
        <v>34186</v>
      </c>
    </row>
    <row r="9" spans="2:86" s="39" customFormat="true" ht="12" customHeight="true">
      <c r="B9" s="39" t="s">
        <v>34187</v>
      </c>
      <c r="D9" s="46">
        <v>0</v>
      </c>
      <c r="E9" s="46">
        <v>0</v>
      </c>
      <c r="F9" s="46">
        <v>0</v>
      </c>
      <c r="G9" s="46">
        <v>0</v>
      </c>
      <c r="H9" s="46">
        <v>0</v>
      </c>
      <c r="I9" s="46"/>
      <c r="J9" s="46">
        <v>0</v>
      </c>
      <c r="K9" s="50">
        <v>1594570.01</v>
      </c>
      <c r="L9" s="50">
        <v>68440.65</v>
      </c>
      <c r="M9" s="46">
        <v>0</v>
      </c>
      <c r="N9" s="46"/>
      <c r="O9" s="46">
        <v>0</v>
      </c>
      <c r="P9" s="46">
        <v>0</v>
      </c>
      <c r="Q9" s="46">
        <v>0</v>
      </c>
      <c r="R9" s="50">
        <v>10344.42</v>
      </c>
      <c r="S9" s="46">
        <v>0</v>
      </c>
      <c r="T9" s="46">
        <v>0</v>
      </c>
      <c r="U9" s="51"/>
      <c r="V9" s="50">
        <v>76077.12</v>
      </c>
      <c r="W9" s="46">
        <v>0</v>
      </c>
      <c r="X9" s="46">
        <v>0</v>
      </c>
      <c r="Y9" s="46">
        <v>0</v>
      </c>
      <c r="Z9" s="50">
        <v>15585.28</v>
      </c>
      <c r="AA9" s="51"/>
      <c r="AB9" s="51"/>
      <c r="AC9" s="51"/>
      <c r="AD9" s="51"/>
      <c r="AE9" s="50">
        <v>267639.14</v>
      </c>
      <c r="AF9" s="51"/>
      <c r="AG9" s="50">
        <v>103889.22</v>
      </c>
      <c r="AH9" s="50">
        <v>19762.46</v>
      </c>
      <c r="AI9" s="51"/>
      <c r="AJ9" s="50">
        <v>27687.11</v>
      </c>
      <c r="AK9" s="50">
        <v>107073.79</v>
      </c>
      <c r="AL9" s="50">
        <v>41832.58</v>
      </c>
      <c r="AM9" s="46"/>
      <c r="AN9" s="46"/>
      <c r="AO9" s="50">
        <v>460.64</v>
      </c>
      <c r="AP9" s="50">
        <v>115537.25</v>
      </c>
      <c r="AQ9" s="50">
        <v>2633.37</v>
      </c>
      <c r="AR9" s="50">
        <v>2862.11</v>
      </c>
      <c r="AS9" s="50">
        <v>2514.64</v>
      </c>
      <c r="AT9" s="51"/>
      <c r="AU9" s="50">
        <v>2251.3</v>
      </c>
      <c r="AV9" s="50">
        <v>52605.72</v>
      </c>
      <c r="AW9" s="50">
        <v>19501.1</v>
      </c>
      <c r="AX9" s="50">
        <v>25812.67</v>
      </c>
      <c r="AY9" s="50">
        <v>107391.2</v>
      </c>
      <c r="AZ9" s="50">
        <v>4416.86</v>
      </c>
      <c r="BA9" s="50">
        <v>74183.59</v>
      </c>
      <c r="BB9" s="50">
        <v>3752.57</v>
      </c>
      <c r="BC9" s="50">
        <v>28606.02</v>
      </c>
      <c r="BD9" s="50">
        <v>28467.83</v>
      </c>
      <c r="BE9" s="50"/>
      <c r="BF9" s="50">
        <v>79019.11</v>
      </c>
      <c r="BG9" s="50">
        <v>226666.78</v>
      </c>
      <c r="BH9" s="50">
        <v>57283.56</v>
      </c>
      <c r="BI9" s="50">
        <v>12724.56</v>
      </c>
      <c r="BJ9" s="50">
        <v>81139.02</v>
      </c>
      <c r="BK9" s="50">
        <v>69925.68</v>
      </c>
      <c r="BL9" s="50">
        <v>46335.8</v>
      </c>
      <c r="BM9" s="50">
        <v>40879.79</v>
      </c>
      <c r="BN9" s="50">
        <v>19093.71</v>
      </c>
      <c r="BO9" s="50">
        <v>23176.76</v>
      </c>
      <c r="BP9" s="50">
        <v>19883.84</v>
      </c>
      <c r="BQ9" s="50">
        <v>50948.7</v>
      </c>
      <c r="BR9" s="50">
        <v>21896.57</v>
      </c>
      <c r="BS9" s="50">
        <v>50230.35</v>
      </c>
      <c r="BT9" s="50">
        <v>35650.37</v>
      </c>
      <c r="BU9" s="50">
        <v>45945.89</v>
      </c>
      <c r="BV9" s="50">
        <v>102444.99</v>
      </c>
      <c r="BW9" s="50">
        <v>48030.12</v>
      </c>
      <c r="BX9" s="50">
        <v>28969.56</v>
      </c>
      <c r="BY9" s="50">
        <v>56106.38</v>
      </c>
      <c r="BZ9" s="50">
        <v>60852.52</v>
      </c>
      <c r="CA9" s="50">
        <v>9859.33</v>
      </c>
      <c r="CB9" s="50">
        <v>55301.76</v>
      </c>
      <c r="CC9" s="50">
        <v>175.99</v>
      </c>
      <c r="CD9" s="50">
        <v>1802809.46</v>
      </c>
      <c r="CE9" s="50">
        <v>12486157.8</v>
      </c>
      <c r="CF9" s="50">
        <v>581790.66</v>
      </c>
      <c r="CG9" s="50">
        <v>3226.05</v>
      </c>
      <c r="CH9" s="39">
        <f>SUM(D9:CG9)</f>
        <v>18920423.76</v>
      </c>
    </row>
    <row r="10" spans="21:46" s="39" customFormat="true" ht="12" customHeight="true">
      <c r="U10" s="51"/>
      <c r="AA10" s="51"/>
      <c r="AB10" s="51"/>
      <c r="AC10" s="51"/>
      <c r="AD10" s="51"/>
      <c r="AF10" s="51"/>
      <c r="AI10" s="51"/>
      <c r="AT10" s="51"/>
    </row>
    <row r="11" spans="2:46" s="39" customFormat="true" ht="12" customHeight="true">
      <c r="B11" s="39" t="s">
        <v>34188</v>
      </c>
      <c r="U11" s="51"/>
      <c r="AA11" s="51"/>
      <c r="AB11" s="51"/>
      <c r="AC11" s="51"/>
      <c r="AD11" s="51"/>
      <c r="AF11" s="51"/>
      <c r="AI11" s="51"/>
      <c r="AT11" s="51"/>
    </row>
    <row r="12" spans="4:85" s="39" customFormat="true" ht="12" customHeight="true">
      <c r="D12" s="46">
        <v>68155.16</v>
      </c>
      <c r="E12" s="46">
        <v>477.43</v>
      </c>
      <c r="F12" s="46">
        <v>317.29</v>
      </c>
      <c r="G12" s="46">
        <v>39618.35</v>
      </c>
      <c r="H12" s="46"/>
      <c r="I12" s="46"/>
      <c r="J12" s="46">
        <v>679621.92</v>
      </c>
      <c r="K12" s="46">
        <v>5844.69</v>
      </c>
      <c r="L12" s="46"/>
      <c r="M12" s="46">
        <v>24860.29</v>
      </c>
      <c r="N12" s="46">
        <v>4288.4</v>
      </c>
      <c r="O12" s="46"/>
      <c r="P12" s="46">
        <v>16420.99</v>
      </c>
      <c r="Q12" s="46">
        <v>42913.82</v>
      </c>
      <c r="R12" s="46"/>
      <c r="S12" s="46"/>
      <c r="T12" s="46">
        <v>12671.11</v>
      </c>
      <c r="U12" s="51"/>
      <c r="V12" s="46"/>
      <c r="W12" s="46">
        <v>31870.45</v>
      </c>
      <c r="X12" s="46"/>
      <c r="Y12" s="46">
        <v>16134.25</v>
      </c>
      <c r="Z12" s="46">
        <v>8782.57</v>
      </c>
      <c r="AA12" s="51"/>
      <c r="AB12" s="51"/>
      <c r="AC12" s="51"/>
      <c r="AD12" s="51"/>
      <c r="AE12" s="46"/>
      <c r="AF12" s="51"/>
      <c r="AG12" s="46">
        <v>328.08</v>
      </c>
      <c r="AH12" s="46">
        <v>8294.21</v>
      </c>
      <c r="AI12" s="51"/>
      <c r="AJ12" s="46">
        <v>24545.13</v>
      </c>
      <c r="AK12" s="46">
        <v>6170.83</v>
      </c>
      <c r="AL12" s="46">
        <v>8803.93</v>
      </c>
      <c r="AM12" s="46"/>
      <c r="AN12" s="46"/>
      <c r="AO12" s="46"/>
      <c r="AP12" s="46">
        <v>25000</v>
      </c>
      <c r="AQ12" s="46"/>
      <c r="AR12" s="46"/>
      <c r="AS12" s="46"/>
      <c r="AT12" s="51"/>
      <c r="AU12" s="46"/>
      <c r="AV12" s="46">
        <v>69272.29</v>
      </c>
      <c r="AW12" s="46"/>
      <c r="AX12" s="46"/>
      <c r="AY12" s="46"/>
      <c r="AZ12" s="46"/>
      <c r="BA12" s="46"/>
      <c r="BB12" s="46"/>
      <c r="BC12" s="46"/>
      <c r="BD12" s="46"/>
      <c r="BE12" s="46"/>
      <c r="BF12" s="46"/>
      <c r="BG12" s="46">
        <v>40.65</v>
      </c>
      <c r="BH12" s="46"/>
      <c r="BI12" s="46"/>
      <c r="BJ12" s="46"/>
      <c r="BK12" s="46"/>
      <c r="BL12" s="46"/>
      <c r="BM12" s="46"/>
      <c r="BN12" s="46"/>
      <c r="BO12" s="46"/>
      <c r="BP12" s="46"/>
      <c r="BQ12" s="46">
        <v>1812.45</v>
      </c>
      <c r="BR12" s="46">
        <v>975</v>
      </c>
      <c r="BS12" s="46"/>
      <c r="BT12" s="46"/>
      <c r="BU12" s="46"/>
      <c r="BV12" s="46"/>
      <c r="BW12" s="46"/>
      <c r="BX12" s="46"/>
      <c r="BY12" s="46"/>
      <c r="BZ12" s="46"/>
      <c r="CA12" s="46"/>
      <c r="CB12" s="46"/>
      <c r="CC12" s="46"/>
      <c r="CD12" s="46">
        <v>365021</v>
      </c>
      <c r="CE12" s="46"/>
      <c r="CF12" s="46"/>
      <c r="CG12" s="46"/>
    </row>
    <row r="13" spans="4:85" s="39" customFormat="true" ht="12" customHeight="true">
      <c r="D13" s="46"/>
      <c r="E13" s="46"/>
      <c r="F13" s="46"/>
      <c r="G13" s="46"/>
      <c r="H13" s="46"/>
      <c r="I13" s="46"/>
      <c r="J13" s="46"/>
      <c r="K13" s="46"/>
      <c r="L13" s="46"/>
      <c r="M13" s="46"/>
      <c r="N13" s="46"/>
      <c r="O13" s="46"/>
      <c r="P13" s="46"/>
      <c r="Q13" s="46">
        <v>19121.35</v>
      </c>
      <c r="R13" s="46"/>
      <c r="S13" s="46"/>
      <c r="T13" s="46"/>
      <c r="U13" s="51"/>
      <c r="V13" s="46"/>
      <c r="W13" s="46">
        <v>30642.44</v>
      </c>
      <c r="X13" s="46"/>
      <c r="Y13" s="46">
        <v>24007.18</v>
      </c>
      <c r="Z13" s="46"/>
      <c r="AA13" s="51"/>
      <c r="AB13" s="51"/>
      <c r="AC13" s="51"/>
      <c r="AD13" s="51"/>
      <c r="AE13" s="46"/>
      <c r="AF13" s="51"/>
      <c r="AG13" s="46"/>
      <c r="AH13" s="46"/>
      <c r="AI13" s="51"/>
      <c r="AJ13" s="46"/>
      <c r="AK13" s="46"/>
      <c r="AL13" s="46"/>
      <c r="AM13" s="46"/>
      <c r="AN13" s="46"/>
      <c r="AO13" s="46"/>
      <c r="AP13" s="46"/>
      <c r="AQ13" s="46"/>
      <c r="AR13" s="46"/>
      <c r="AS13" s="46"/>
      <c r="AT13" s="51"/>
      <c r="AU13" s="46"/>
      <c r="AV13" s="46"/>
      <c r="AW13" s="46"/>
      <c r="AX13" s="46"/>
      <c r="AY13" s="46"/>
      <c r="AZ13" s="46"/>
      <c r="BA13" s="46"/>
      <c r="BB13" s="46"/>
      <c r="BC13" s="46"/>
      <c r="BD13" s="46"/>
      <c r="BE13" s="46"/>
      <c r="BF13" s="46"/>
      <c r="BG13" s="46"/>
      <c r="BH13" s="46"/>
      <c r="BI13" s="46"/>
      <c r="BJ13" s="46"/>
      <c r="BK13" s="46"/>
      <c r="BL13" s="46"/>
      <c r="BM13" s="46"/>
      <c r="BN13" s="46"/>
      <c r="BO13" s="46"/>
      <c r="BP13" s="46"/>
      <c r="BQ13" s="46">
        <v>220.89</v>
      </c>
      <c r="BR13" s="46"/>
      <c r="BS13" s="46"/>
      <c r="BT13" s="46"/>
      <c r="BU13" s="46"/>
      <c r="BV13" s="46"/>
      <c r="BW13" s="46"/>
      <c r="BX13" s="46"/>
      <c r="BY13" s="46"/>
      <c r="BZ13" s="46"/>
      <c r="CA13" s="46"/>
      <c r="CB13" s="46"/>
      <c r="CC13" s="46"/>
      <c r="CD13" s="46"/>
      <c r="CE13" s="46"/>
      <c r="CF13" s="46"/>
      <c r="CG13" s="46"/>
    </row>
    <row r="14" spans="4:85" s="39" customFormat="true" ht="12" customHeight="true">
      <c r="D14" s="46"/>
      <c r="E14" s="46"/>
      <c r="F14" s="46"/>
      <c r="G14" s="46"/>
      <c r="H14" s="46"/>
      <c r="I14" s="46"/>
      <c r="J14" s="46"/>
      <c r="K14" s="46"/>
      <c r="L14" s="46"/>
      <c r="M14" s="46"/>
      <c r="N14" s="46"/>
      <c r="O14" s="46"/>
      <c r="P14" s="46"/>
      <c r="Q14" s="46"/>
      <c r="R14" s="46"/>
      <c r="S14" s="46"/>
      <c r="T14" s="46"/>
      <c r="U14" s="51"/>
      <c r="V14" s="46"/>
      <c r="W14" s="46"/>
      <c r="X14" s="46"/>
      <c r="Y14" s="46"/>
      <c r="Z14" s="46"/>
      <c r="AA14" s="51"/>
      <c r="AB14" s="51"/>
      <c r="AC14" s="51"/>
      <c r="AD14" s="51"/>
      <c r="AE14" s="46"/>
      <c r="AF14" s="51"/>
      <c r="AG14" s="46"/>
      <c r="AH14" s="46"/>
      <c r="AI14" s="51"/>
      <c r="AJ14" s="46"/>
      <c r="AK14" s="46"/>
      <c r="AL14" s="46"/>
      <c r="AM14" s="46"/>
      <c r="AN14" s="46"/>
      <c r="AO14" s="46"/>
      <c r="AP14" s="46"/>
      <c r="AQ14" s="46"/>
      <c r="AR14" s="46"/>
      <c r="AS14" s="46"/>
      <c r="AT14" s="51"/>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row>
    <row r="15" spans="4:85" s="39" customFormat="true" ht="12" customHeight="true">
      <c r="D15" s="46"/>
      <c r="E15" s="46"/>
      <c r="F15" s="46"/>
      <c r="G15" s="46"/>
      <c r="H15" s="46"/>
      <c r="I15" s="46"/>
      <c r="J15" s="46"/>
      <c r="K15" s="46"/>
      <c r="L15" s="46"/>
      <c r="M15" s="46"/>
      <c r="N15" s="46"/>
      <c r="O15" s="46"/>
      <c r="P15" s="46"/>
      <c r="Q15" s="46"/>
      <c r="R15" s="46"/>
      <c r="S15" s="46"/>
      <c r="T15" s="46"/>
      <c r="U15" s="51"/>
      <c r="V15" s="46"/>
      <c r="W15" s="46"/>
      <c r="X15" s="46"/>
      <c r="Y15" s="46"/>
      <c r="Z15" s="46"/>
      <c r="AA15" s="51"/>
      <c r="AB15" s="51"/>
      <c r="AC15" s="51"/>
      <c r="AD15" s="51"/>
      <c r="AE15" s="46"/>
      <c r="AF15" s="51"/>
      <c r="AG15" s="46"/>
      <c r="AH15" s="46"/>
      <c r="AI15" s="51"/>
      <c r="AJ15" s="46"/>
      <c r="AK15" s="46"/>
      <c r="AL15" s="46"/>
      <c r="AM15" s="46"/>
      <c r="AN15" s="46"/>
      <c r="AO15" s="46"/>
      <c r="AP15" s="46"/>
      <c r="AQ15" s="46"/>
      <c r="AR15" s="46"/>
      <c r="AS15" s="46"/>
      <c r="AT15" s="51"/>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row>
    <row r="16" spans="4:85" s="39" customFormat="true" ht="12" customHeight="true">
      <c r="D16" s="46"/>
      <c r="E16" s="46"/>
      <c r="F16" s="46"/>
      <c r="G16" s="46"/>
      <c r="H16" s="46"/>
      <c r="I16" s="46"/>
      <c r="J16" s="46"/>
      <c r="K16" s="46"/>
      <c r="L16" s="46"/>
      <c r="M16" s="46"/>
      <c r="N16" s="46"/>
      <c r="O16" s="46"/>
      <c r="P16" s="46"/>
      <c r="Q16" s="46"/>
      <c r="R16" s="46"/>
      <c r="S16" s="46"/>
      <c r="T16" s="46"/>
      <c r="U16" s="51"/>
      <c r="V16" s="46"/>
      <c r="W16" s="46"/>
      <c r="X16" s="46"/>
      <c r="Y16" s="46"/>
      <c r="Z16" s="46"/>
      <c r="AA16" s="51"/>
      <c r="AB16" s="51"/>
      <c r="AC16" s="51"/>
      <c r="AD16" s="51"/>
      <c r="AE16" s="46"/>
      <c r="AF16" s="51"/>
      <c r="AG16" s="46"/>
      <c r="AH16" s="46"/>
      <c r="AI16" s="51"/>
      <c r="AJ16" s="46"/>
      <c r="AK16" s="46"/>
      <c r="AL16" s="46"/>
      <c r="AM16" s="46"/>
      <c r="AN16" s="46"/>
      <c r="AO16" s="46"/>
      <c r="AP16" s="46"/>
      <c r="AQ16" s="46"/>
      <c r="AR16" s="46"/>
      <c r="AS16" s="46"/>
      <c r="AT16" s="51"/>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row>
    <row r="17" spans="4:85" s="39" customFormat="true" ht="12" customHeight="true">
      <c r="D17" s="46"/>
      <c r="E17" s="46"/>
      <c r="F17" s="46"/>
      <c r="G17" s="46"/>
      <c r="H17" s="46"/>
      <c r="I17" s="46"/>
      <c r="J17" s="46"/>
      <c r="K17" s="46"/>
      <c r="L17" s="46"/>
      <c r="M17" s="46"/>
      <c r="N17" s="46"/>
      <c r="O17" s="46"/>
      <c r="P17" s="46"/>
      <c r="Q17" s="46"/>
      <c r="R17" s="46"/>
      <c r="S17" s="46"/>
      <c r="T17" s="46"/>
      <c r="U17" s="51"/>
      <c r="V17" s="46"/>
      <c r="W17" s="46"/>
      <c r="X17" s="46"/>
      <c r="Y17" s="46"/>
      <c r="Z17" s="46"/>
      <c r="AA17" s="51"/>
      <c r="AB17" s="51"/>
      <c r="AC17" s="51"/>
      <c r="AD17" s="51"/>
      <c r="AE17" s="46"/>
      <c r="AF17" s="51"/>
      <c r="AG17" s="46"/>
      <c r="AH17" s="46"/>
      <c r="AI17" s="51"/>
      <c r="AJ17" s="46"/>
      <c r="AK17" s="46"/>
      <c r="AL17" s="46"/>
      <c r="AM17" s="46"/>
      <c r="AN17" s="46"/>
      <c r="AO17" s="46"/>
      <c r="AP17" s="46"/>
      <c r="AQ17" s="46"/>
      <c r="AR17" s="46"/>
      <c r="AS17" s="46"/>
      <c r="AT17" s="51"/>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row>
    <row r="18" spans="4:85" s="39" customFormat="true" ht="12" customHeight="true">
      <c r="D18" s="46"/>
      <c r="E18" s="46"/>
      <c r="F18" s="46"/>
      <c r="G18" s="46"/>
      <c r="H18" s="46"/>
      <c r="I18" s="46"/>
      <c r="J18" s="46"/>
      <c r="K18" s="46"/>
      <c r="L18" s="46"/>
      <c r="M18" s="46"/>
      <c r="N18" s="46"/>
      <c r="O18" s="46"/>
      <c r="P18" s="46"/>
      <c r="Q18" s="46"/>
      <c r="R18" s="46"/>
      <c r="S18" s="46"/>
      <c r="T18" s="46"/>
      <c r="U18" s="51"/>
      <c r="V18" s="46"/>
      <c r="W18" s="46"/>
      <c r="X18" s="46"/>
      <c r="Y18" s="46"/>
      <c r="Z18" s="46"/>
      <c r="AA18" s="51"/>
      <c r="AB18" s="51"/>
      <c r="AC18" s="51"/>
      <c r="AD18" s="51"/>
      <c r="AE18" s="46"/>
      <c r="AF18" s="51"/>
      <c r="AG18" s="46"/>
      <c r="AH18" s="46"/>
      <c r="AI18" s="51"/>
      <c r="AJ18" s="46"/>
      <c r="AK18" s="46"/>
      <c r="AL18" s="46"/>
      <c r="AM18" s="46"/>
      <c r="AN18" s="46"/>
      <c r="AO18" s="46"/>
      <c r="AP18" s="46"/>
      <c r="AQ18" s="46"/>
      <c r="AR18" s="46"/>
      <c r="AS18" s="46"/>
      <c r="AT18" s="51"/>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row>
    <row r="19" spans="4:85" s="39" customFormat="true" ht="12" customHeight="true">
      <c r="D19" s="46"/>
      <c r="E19" s="46"/>
      <c r="F19" s="46"/>
      <c r="G19" s="46"/>
      <c r="H19" s="46"/>
      <c r="I19" s="46"/>
      <c r="J19" s="46"/>
      <c r="K19" s="46"/>
      <c r="L19" s="46"/>
      <c r="M19" s="46"/>
      <c r="N19" s="46"/>
      <c r="O19" s="46"/>
      <c r="P19" s="46"/>
      <c r="Q19" s="46"/>
      <c r="R19" s="46"/>
      <c r="S19" s="46"/>
      <c r="T19" s="46"/>
      <c r="U19" s="51"/>
      <c r="V19" s="46"/>
      <c r="W19" s="46"/>
      <c r="X19" s="46"/>
      <c r="Y19" s="46"/>
      <c r="Z19" s="46"/>
      <c r="AA19" s="51"/>
      <c r="AB19" s="51"/>
      <c r="AC19" s="51"/>
      <c r="AD19" s="51"/>
      <c r="AE19" s="46"/>
      <c r="AF19" s="51"/>
      <c r="AG19" s="46"/>
      <c r="AH19" s="46"/>
      <c r="AI19" s="51"/>
      <c r="AJ19" s="46"/>
      <c r="AK19" s="46"/>
      <c r="AL19" s="46"/>
      <c r="AM19" s="46"/>
      <c r="AN19" s="46"/>
      <c r="AO19" s="46"/>
      <c r="AP19" s="46"/>
      <c r="AQ19" s="46"/>
      <c r="AR19" s="46"/>
      <c r="AS19" s="46"/>
      <c r="AT19" s="51"/>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row>
    <row r="20" spans="4:85" s="39" customFormat="true" ht="12" customHeight="true">
      <c r="D20" s="46"/>
      <c r="E20" s="46"/>
      <c r="F20" s="46"/>
      <c r="G20" s="46"/>
      <c r="H20" s="46"/>
      <c r="I20" s="46"/>
      <c r="J20" s="46"/>
      <c r="K20" s="46"/>
      <c r="L20" s="46"/>
      <c r="M20" s="46"/>
      <c r="N20" s="46"/>
      <c r="O20" s="46"/>
      <c r="P20" s="46"/>
      <c r="Q20" s="46"/>
      <c r="R20" s="46"/>
      <c r="S20" s="46"/>
      <c r="T20" s="46"/>
      <c r="U20" s="51"/>
      <c r="V20" s="46"/>
      <c r="W20" s="46"/>
      <c r="X20" s="46"/>
      <c r="Y20" s="46"/>
      <c r="Z20" s="46"/>
      <c r="AA20" s="51"/>
      <c r="AB20" s="51"/>
      <c r="AC20" s="51"/>
      <c r="AD20" s="51"/>
      <c r="AE20" s="46"/>
      <c r="AF20" s="51"/>
      <c r="AG20" s="46"/>
      <c r="AH20" s="46"/>
      <c r="AI20" s="51"/>
      <c r="AJ20" s="46"/>
      <c r="AK20" s="46"/>
      <c r="AL20" s="46"/>
      <c r="AM20" s="46"/>
      <c r="AN20" s="46"/>
      <c r="AO20" s="46"/>
      <c r="AP20" s="46"/>
      <c r="AQ20" s="46"/>
      <c r="AR20" s="46"/>
      <c r="AS20" s="46"/>
      <c r="AT20" s="51"/>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row>
    <row r="21" spans="4:85" s="39" customFormat="true" ht="12" customHeight="true">
      <c r="D21" s="46"/>
      <c r="E21" s="46"/>
      <c r="F21" s="46"/>
      <c r="G21" s="46"/>
      <c r="H21" s="46"/>
      <c r="I21" s="46"/>
      <c r="J21" s="46"/>
      <c r="K21" s="46"/>
      <c r="L21" s="46"/>
      <c r="M21" s="46"/>
      <c r="N21" s="46"/>
      <c r="O21" s="46"/>
      <c r="P21" s="46"/>
      <c r="Q21" s="46"/>
      <c r="R21" s="46"/>
      <c r="S21" s="46"/>
      <c r="T21" s="46"/>
      <c r="U21" s="51"/>
      <c r="V21" s="46"/>
      <c r="W21" s="46"/>
      <c r="X21" s="46"/>
      <c r="Y21" s="46"/>
      <c r="Z21" s="46"/>
      <c r="AA21" s="51"/>
      <c r="AB21" s="51"/>
      <c r="AC21" s="51"/>
      <c r="AD21" s="51"/>
      <c r="AE21" s="46"/>
      <c r="AF21" s="51"/>
      <c r="AG21" s="46"/>
      <c r="AH21" s="46"/>
      <c r="AI21" s="51"/>
      <c r="AJ21" s="46"/>
      <c r="AK21" s="46"/>
      <c r="AL21" s="46"/>
      <c r="AM21" s="46"/>
      <c r="AN21" s="46"/>
      <c r="AO21" s="46"/>
      <c r="AP21" s="46"/>
      <c r="AQ21" s="46"/>
      <c r="AR21" s="46"/>
      <c r="AS21" s="46"/>
      <c r="AT21" s="51"/>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row>
    <row r="22" spans="4:85" s="39" customFormat="true" ht="12" customHeight="true">
      <c r="D22" s="46"/>
      <c r="E22" s="46"/>
      <c r="F22" s="46"/>
      <c r="G22" s="46"/>
      <c r="H22" s="46"/>
      <c r="I22" s="46"/>
      <c r="J22" s="46"/>
      <c r="K22" s="46"/>
      <c r="L22" s="46"/>
      <c r="M22" s="46"/>
      <c r="N22" s="46"/>
      <c r="O22" s="46"/>
      <c r="P22" s="46"/>
      <c r="Q22" s="46"/>
      <c r="R22" s="46"/>
      <c r="S22" s="46"/>
      <c r="T22" s="46"/>
      <c r="U22" s="51"/>
      <c r="V22" s="46"/>
      <c r="W22" s="46"/>
      <c r="X22" s="46"/>
      <c r="Y22" s="46"/>
      <c r="Z22" s="46"/>
      <c r="AA22" s="51"/>
      <c r="AB22" s="51"/>
      <c r="AC22" s="51"/>
      <c r="AD22" s="51"/>
      <c r="AE22" s="46"/>
      <c r="AF22" s="51"/>
      <c r="AG22" s="46"/>
      <c r="AH22" s="46"/>
      <c r="AI22" s="51"/>
      <c r="AJ22" s="46"/>
      <c r="AK22" s="46"/>
      <c r="AL22" s="46"/>
      <c r="AM22" s="46"/>
      <c r="AN22" s="46"/>
      <c r="AO22" s="46"/>
      <c r="AP22" s="46"/>
      <c r="AQ22" s="46"/>
      <c r="AR22" s="46"/>
      <c r="AS22" s="46"/>
      <c r="AT22" s="51"/>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row>
    <row r="23" spans="4:85" s="39" customFormat="true" ht="12" customHeight="true">
      <c r="D23" s="46"/>
      <c r="E23" s="46"/>
      <c r="F23" s="46"/>
      <c r="G23" s="46"/>
      <c r="H23" s="46"/>
      <c r="I23" s="46"/>
      <c r="J23" s="46"/>
      <c r="K23" s="46"/>
      <c r="L23" s="46"/>
      <c r="M23" s="46"/>
      <c r="N23" s="46"/>
      <c r="O23" s="46"/>
      <c r="P23" s="46"/>
      <c r="Q23" s="46"/>
      <c r="R23" s="46"/>
      <c r="S23" s="46"/>
      <c r="T23" s="46"/>
      <c r="U23" s="51"/>
      <c r="V23" s="46"/>
      <c r="W23" s="46"/>
      <c r="X23" s="46"/>
      <c r="Y23" s="46"/>
      <c r="Z23" s="46"/>
      <c r="AA23" s="51"/>
      <c r="AB23" s="51"/>
      <c r="AC23" s="51"/>
      <c r="AD23" s="51"/>
      <c r="AE23" s="46"/>
      <c r="AF23" s="51"/>
      <c r="AG23" s="46"/>
      <c r="AH23" s="46"/>
      <c r="AI23" s="51"/>
      <c r="AJ23" s="46"/>
      <c r="AK23" s="46"/>
      <c r="AL23" s="46"/>
      <c r="AM23" s="46"/>
      <c r="AN23" s="46"/>
      <c r="AO23" s="46"/>
      <c r="AP23" s="46"/>
      <c r="AQ23" s="46"/>
      <c r="AR23" s="46"/>
      <c r="AS23" s="46"/>
      <c r="AT23" s="51"/>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row>
    <row r="24" spans="4:85" s="39" customFormat="true" ht="12" customHeight="true">
      <c r="D24" s="46"/>
      <c r="E24" s="46"/>
      <c r="F24" s="46"/>
      <c r="G24" s="46"/>
      <c r="H24" s="46"/>
      <c r="I24" s="46"/>
      <c r="J24" s="46"/>
      <c r="K24" s="46"/>
      <c r="L24" s="46"/>
      <c r="M24" s="46"/>
      <c r="N24" s="46"/>
      <c r="O24" s="46"/>
      <c r="P24" s="46"/>
      <c r="Q24" s="46"/>
      <c r="R24" s="46"/>
      <c r="S24" s="46"/>
      <c r="T24" s="46"/>
      <c r="U24" s="51"/>
      <c r="V24" s="46"/>
      <c r="W24" s="46"/>
      <c r="X24" s="46"/>
      <c r="Y24" s="46"/>
      <c r="Z24" s="46"/>
      <c r="AA24" s="51"/>
      <c r="AB24" s="51"/>
      <c r="AC24" s="51"/>
      <c r="AD24" s="51"/>
      <c r="AE24" s="46"/>
      <c r="AF24" s="51"/>
      <c r="AG24" s="46"/>
      <c r="AH24" s="46"/>
      <c r="AI24" s="51"/>
      <c r="AJ24" s="46"/>
      <c r="AK24" s="46"/>
      <c r="AL24" s="46"/>
      <c r="AM24" s="46"/>
      <c r="AN24" s="46"/>
      <c r="AO24" s="46"/>
      <c r="AP24" s="46"/>
      <c r="AQ24" s="46"/>
      <c r="AR24" s="46"/>
      <c r="AS24" s="46"/>
      <c r="AT24" s="51"/>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row>
    <row r="25" spans="4:85" s="39" customFormat="true" ht="12" customHeight="true">
      <c r="D25" s="46"/>
      <c r="E25" s="46"/>
      <c r="F25" s="46"/>
      <c r="G25" s="46"/>
      <c r="H25" s="46"/>
      <c r="I25" s="46"/>
      <c r="J25" s="46"/>
      <c r="K25" s="46"/>
      <c r="L25" s="46"/>
      <c r="M25" s="46"/>
      <c r="N25" s="46"/>
      <c r="O25" s="46"/>
      <c r="P25" s="46"/>
      <c r="Q25" s="46"/>
      <c r="R25" s="46"/>
      <c r="S25" s="46"/>
      <c r="T25" s="46"/>
      <c r="U25" s="51"/>
      <c r="V25" s="46"/>
      <c r="W25" s="46"/>
      <c r="X25" s="46"/>
      <c r="Y25" s="46"/>
      <c r="Z25" s="46"/>
      <c r="AA25" s="51"/>
      <c r="AB25" s="51"/>
      <c r="AC25" s="51"/>
      <c r="AD25" s="51"/>
      <c r="AE25" s="46"/>
      <c r="AF25" s="51"/>
      <c r="AG25" s="46"/>
      <c r="AH25" s="46"/>
      <c r="AI25" s="51"/>
      <c r="AJ25" s="46"/>
      <c r="AK25" s="46"/>
      <c r="AL25" s="46"/>
      <c r="AM25" s="46"/>
      <c r="AN25" s="46"/>
      <c r="AO25" s="46"/>
      <c r="AP25" s="46"/>
      <c r="AQ25" s="46"/>
      <c r="AR25" s="46"/>
      <c r="AS25" s="46"/>
      <c r="AT25" s="51"/>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row>
    <row r="26" spans="4:85" s="39" customFormat="true" ht="12" customHeight="true">
      <c r="D26" s="46"/>
      <c r="E26" s="46"/>
      <c r="F26" s="46"/>
      <c r="G26" s="46"/>
      <c r="H26" s="46"/>
      <c r="I26" s="46"/>
      <c r="J26" s="46"/>
      <c r="K26" s="46"/>
      <c r="L26" s="46"/>
      <c r="M26" s="46"/>
      <c r="N26" s="46"/>
      <c r="O26" s="46"/>
      <c r="P26" s="46"/>
      <c r="Q26" s="46"/>
      <c r="R26" s="46"/>
      <c r="S26" s="46"/>
      <c r="T26" s="46"/>
      <c r="U26" s="51"/>
      <c r="V26" s="46"/>
      <c r="W26" s="46"/>
      <c r="X26" s="46"/>
      <c r="Y26" s="46"/>
      <c r="Z26" s="46"/>
      <c r="AA26" s="51"/>
      <c r="AB26" s="51"/>
      <c r="AC26" s="51"/>
      <c r="AD26" s="51"/>
      <c r="AE26" s="46"/>
      <c r="AF26" s="51"/>
      <c r="AG26" s="46"/>
      <c r="AH26" s="46"/>
      <c r="AI26" s="51"/>
      <c r="AJ26" s="46"/>
      <c r="AK26" s="46"/>
      <c r="AL26" s="46"/>
      <c r="AM26" s="46"/>
      <c r="AN26" s="46"/>
      <c r="AO26" s="46"/>
      <c r="AP26" s="46"/>
      <c r="AQ26" s="46"/>
      <c r="AR26" s="46"/>
      <c r="AS26" s="46"/>
      <c r="AT26" s="51"/>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row>
    <row r="27" spans="4:85" s="39" customFormat="true" ht="12" customHeight="true">
      <c r="D27" s="46"/>
      <c r="E27" s="46"/>
      <c r="F27" s="46"/>
      <c r="G27" s="46"/>
      <c r="H27" s="46"/>
      <c r="I27" s="46"/>
      <c r="J27" s="46"/>
      <c r="K27" s="46"/>
      <c r="L27" s="46"/>
      <c r="M27" s="46"/>
      <c r="N27" s="46"/>
      <c r="O27" s="46"/>
      <c r="P27" s="46"/>
      <c r="Q27" s="46"/>
      <c r="R27" s="46"/>
      <c r="S27" s="46"/>
      <c r="T27" s="46"/>
      <c r="U27" s="51"/>
      <c r="V27" s="46"/>
      <c r="W27" s="46"/>
      <c r="X27" s="46"/>
      <c r="Y27" s="46"/>
      <c r="Z27" s="46"/>
      <c r="AA27" s="51"/>
      <c r="AB27" s="51"/>
      <c r="AC27" s="51"/>
      <c r="AD27" s="51"/>
      <c r="AE27" s="46"/>
      <c r="AF27" s="51"/>
      <c r="AG27" s="46"/>
      <c r="AH27" s="46"/>
      <c r="AI27" s="51"/>
      <c r="AJ27" s="46"/>
      <c r="AK27" s="46"/>
      <c r="AL27" s="46"/>
      <c r="AM27" s="46"/>
      <c r="AN27" s="46"/>
      <c r="AO27" s="46"/>
      <c r="AP27" s="46"/>
      <c r="AQ27" s="46"/>
      <c r="AR27" s="46"/>
      <c r="AS27" s="46"/>
      <c r="AT27" s="51"/>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row>
    <row r="28" spans="4:85" s="39" customFormat="true" ht="12" customHeight="true">
      <c r="D28" s="46"/>
      <c r="E28" s="46"/>
      <c r="F28" s="46"/>
      <c r="G28" s="46"/>
      <c r="H28" s="46"/>
      <c r="I28" s="46"/>
      <c r="J28" s="46"/>
      <c r="K28" s="46"/>
      <c r="L28" s="46"/>
      <c r="M28" s="46"/>
      <c r="N28" s="46"/>
      <c r="O28" s="46"/>
      <c r="P28" s="46"/>
      <c r="Q28" s="46"/>
      <c r="R28" s="46"/>
      <c r="S28" s="46"/>
      <c r="T28" s="46"/>
      <c r="U28" s="51"/>
      <c r="V28" s="46"/>
      <c r="W28" s="46"/>
      <c r="X28" s="46"/>
      <c r="Y28" s="46"/>
      <c r="Z28" s="46"/>
      <c r="AA28" s="51"/>
      <c r="AB28" s="51"/>
      <c r="AC28" s="51"/>
      <c r="AD28" s="51"/>
      <c r="AE28" s="46"/>
      <c r="AF28" s="51"/>
      <c r="AG28" s="46"/>
      <c r="AH28" s="46"/>
      <c r="AI28" s="51"/>
      <c r="AJ28" s="46"/>
      <c r="AK28" s="46"/>
      <c r="AL28" s="46"/>
      <c r="AM28" s="46"/>
      <c r="AN28" s="46"/>
      <c r="AO28" s="46"/>
      <c r="AP28" s="46"/>
      <c r="AQ28" s="46"/>
      <c r="AR28" s="46"/>
      <c r="AS28" s="46"/>
      <c r="AT28" s="51"/>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row>
    <row r="29" spans="2:86" s="39" customFormat="true" ht="12" customHeight="true">
      <c r="B29" s="39" t="s">
        <v>34189</v>
      </c>
      <c r="D29" s="39">
        <f t="shared" ref="D29:BO29" si="0">+SUM(D11:D28)</f>
        <v>68155.16</v>
      </c>
      <c r="E29" s="39">
        <f t="shared" si="0"/>
        <v>477.43</v>
      </c>
      <c r="F29" s="39">
        <f t="shared" si="0"/>
        <v>317.29</v>
      </c>
      <c r="G29" s="39">
        <f t="shared" si="0"/>
        <v>39618.35</v>
      </c>
      <c r="H29" s="39">
        <f t="shared" si="0"/>
        <v>0</v>
      </c>
      <c r="I29" s="39">
        <f t="shared" si="0"/>
        <v>0</v>
      </c>
      <c r="J29" s="39">
        <f t="shared" si="0"/>
        <v>679621.92</v>
      </c>
      <c r="K29" s="39">
        <f t="shared" si="0"/>
        <v>5844.69</v>
      </c>
      <c r="L29" s="39">
        <f t="shared" si="0"/>
        <v>0</v>
      </c>
      <c r="M29" s="39">
        <f t="shared" si="0"/>
        <v>24860.29</v>
      </c>
      <c r="N29" s="39">
        <f t="shared" si="0"/>
        <v>4288.4</v>
      </c>
      <c r="O29" s="39">
        <f t="shared" si="0"/>
        <v>0</v>
      </c>
      <c r="P29" s="39">
        <f t="shared" si="0"/>
        <v>16420.99</v>
      </c>
      <c r="Q29" s="39">
        <f t="shared" si="0"/>
        <v>62035.17</v>
      </c>
      <c r="R29" s="39">
        <f t="shared" si="0"/>
        <v>0</v>
      </c>
      <c r="S29" s="39">
        <f t="shared" si="0"/>
        <v>0</v>
      </c>
      <c r="T29" s="39">
        <f t="shared" si="0"/>
        <v>12671.11</v>
      </c>
      <c r="U29" s="51">
        <f t="shared" si="0"/>
        <v>0</v>
      </c>
      <c r="V29" s="39">
        <f t="shared" si="0"/>
        <v>0</v>
      </c>
      <c r="W29" s="39">
        <f t="shared" si="0"/>
        <v>62512.89</v>
      </c>
      <c r="X29" s="39">
        <f t="shared" si="0"/>
        <v>0</v>
      </c>
      <c r="Y29" s="39">
        <f t="shared" si="0"/>
        <v>40141.43</v>
      </c>
      <c r="Z29" s="39">
        <f t="shared" si="0"/>
        <v>8782.57</v>
      </c>
      <c r="AA29" s="51">
        <f t="shared" si="0"/>
        <v>0</v>
      </c>
      <c r="AB29" s="51">
        <f t="shared" si="0"/>
        <v>0</v>
      </c>
      <c r="AC29" s="51">
        <f t="shared" si="0"/>
        <v>0</v>
      </c>
      <c r="AD29" s="51">
        <f t="shared" si="0"/>
        <v>0</v>
      </c>
      <c r="AE29" s="39">
        <f t="shared" si="0"/>
        <v>0</v>
      </c>
      <c r="AF29" s="51">
        <f t="shared" si="0"/>
        <v>0</v>
      </c>
      <c r="AG29" s="39">
        <f t="shared" si="0"/>
        <v>328.08</v>
      </c>
      <c r="AH29" s="39">
        <f t="shared" si="0"/>
        <v>8294.21</v>
      </c>
      <c r="AI29" s="51">
        <f t="shared" si="0"/>
        <v>0</v>
      </c>
      <c r="AJ29" s="39">
        <f t="shared" si="0"/>
        <v>24545.13</v>
      </c>
      <c r="AK29" s="39">
        <f t="shared" si="0"/>
        <v>6170.83</v>
      </c>
      <c r="AL29" s="39">
        <f t="shared" si="0"/>
        <v>8803.93</v>
      </c>
      <c r="AM29" s="39">
        <f t="shared" si="0"/>
        <v>0</v>
      </c>
      <c r="AN29" s="39">
        <f t="shared" si="0"/>
        <v>0</v>
      </c>
      <c r="AO29" s="39">
        <f t="shared" si="0"/>
        <v>0</v>
      </c>
      <c r="AP29" s="39">
        <f t="shared" si="0"/>
        <v>25000</v>
      </c>
      <c r="AQ29" s="39">
        <f t="shared" si="0"/>
        <v>0</v>
      </c>
      <c r="AR29" s="39">
        <f t="shared" si="0"/>
        <v>0</v>
      </c>
      <c r="AS29" s="39">
        <f t="shared" si="0"/>
        <v>0</v>
      </c>
      <c r="AT29" s="51">
        <f t="shared" si="0"/>
        <v>0</v>
      </c>
      <c r="AU29" s="39">
        <f t="shared" si="0"/>
        <v>0</v>
      </c>
      <c r="AV29" s="39">
        <f t="shared" si="0"/>
        <v>69272.29</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40.65</v>
      </c>
      <c r="BH29" s="39">
        <f t="shared" si="0"/>
        <v>0</v>
      </c>
      <c r="BI29" s="39">
        <f t="shared" si="0"/>
        <v>0</v>
      </c>
      <c r="BJ29" s="39">
        <f t="shared" si="0"/>
        <v>0</v>
      </c>
      <c r="BK29" s="39">
        <f t="shared" si="0"/>
        <v>0</v>
      </c>
      <c r="BL29" s="39">
        <f t="shared" si="0"/>
        <v>0</v>
      </c>
      <c r="BM29" s="39">
        <f t="shared" si="0"/>
        <v>0</v>
      </c>
      <c r="BN29" s="39">
        <f t="shared" si="0"/>
        <v>0</v>
      </c>
      <c r="BO29" s="39">
        <f t="shared" si="0"/>
        <v>0</v>
      </c>
      <c r="BP29" s="39">
        <f t="shared" ref="BP29:CG29" si="1">+SUM(BP11:BP28)</f>
        <v>0</v>
      </c>
      <c r="BQ29" s="39">
        <f t="shared" si="1"/>
        <v>2033.34</v>
      </c>
      <c r="BR29" s="39">
        <f t="shared" si="1"/>
        <v>975</v>
      </c>
      <c r="BS29" s="39">
        <f t="shared" si="1"/>
        <v>0</v>
      </c>
      <c r="BT29" s="39">
        <f t="shared" si="1"/>
        <v>0</v>
      </c>
      <c r="BU29" s="39">
        <f t="shared" si="1"/>
        <v>0</v>
      </c>
      <c r="BV29" s="39">
        <f t="shared" si="1"/>
        <v>0</v>
      </c>
      <c r="BW29" s="39">
        <f t="shared" si="1"/>
        <v>0</v>
      </c>
      <c r="BX29" s="39">
        <f t="shared" si="1"/>
        <v>0</v>
      </c>
      <c r="BY29" s="39">
        <f t="shared" si="1"/>
        <v>0</v>
      </c>
      <c r="BZ29" s="39">
        <f t="shared" si="1"/>
        <v>0</v>
      </c>
      <c r="CA29" s="39">
        <f t="shared" si="1"/>
        <v>0</v>
      </c>
      <c r="CB29" s="39">
        <f t="shared" si="1"/>
        <v>0</v>
      </c>
      <c r="CC29" s="39">
        <f t="shared" si="1"/>
        <v>0</v>
      </c>
      <c r="CD29" s="39">
        <f t="shared" si="1"/>
        <v>365021</v>
      </c>
      <c r="CE29" s="39">
        <f t="shared" si="1"/>
        <v>0</v>
      </c>
      <c r="CF29" s="39">
        <f t="shared" si="1"/>
        <v>0</v>
      </c>
      <c r="CG29" s="39">
        <f t="shared" si="1"/>
        <v>0</v>
      </c>
      <c r="CH29" s="39">
        <f>SUM(D29:CG29)</f>
        <v>1536232.15</v>
      </c>
    </row>
    <row r="30" spans="21:46" s="39" customFormat="true" ht="12" customHeight="true">
      <c r="U30" s="51"/>
      <c r="AA30" s="51"/>
      <c r="AB30" s="51"/>
      <c r="AC30" s="51"/>
      <c r="AD30" s="51"/>
      <c r="AF30" s="51"/>
      <c r="AI30" s="51"/>
      <c r="AT30" s="51"/>
    </row>
    <row r="31" spans="2:46" s="39" customFormat="true" ht="12" customHeight="true">
      <c r="B31" s="39" t="s">
        <v>34190</v>
      </c>
      <c r="U31" s="51"/>
      <c r="AA31" s="51"/>
      <c r="AB31" s="51"/>
      <c r="AC31" s="51"/>
      <c r="AD31" s="51"/>
      <c r="AF31" s="51"/>
      <c r="AI31" s="51"/>
      <c r="AT31" s="51"/>
    </row>
    <row r="32" spans="4:86" s="39" customFormat="true" ht="12" customHeight="true">
      <c r="D32" s="46"/>
      <c r="E32" s="46">
        <v>28103.7</v>
      </c>
      <c r="F32" s="46">
        <f>27318.22-187.12</f>
        <v>27131.1</v>
      </c>
      <c r="G32" s="46"/>
      <c r="H32" s="46">
        <v>17966.95</v>
      </c>
      <c r="I32" s="46"/>
      <c r="J32" s="46"/>
      <c r="K32" s="46">
        <v>776369.35</v>
      </c>
      <c r="L32" s="46"/>
      <c r="M32" s="46"/>
      <c r="N32" s="46">
        <v>11121.97</v>
      </c>
      <c r="O32" s="46"/>
      <c r="P32" s="46">
        <f>155195.16-8863.18</f>
        <v>146331.98</v>
      </c>
      <c r="Q32" s="46">
        <v>62035.17</v>
      </c>
      <c r="R32" s="46">
        <v>6137.37</v>
      </c>
      <c r="S32" s="46">
        <v>1798.49</v>
      </c>
      <c r="T32" s="46"/>
      <c r="U32" s="51"/>
      <c r="V32" s="46">
        <v>48664.93</v>
      </c>
      <c r="W32" s="46"/>
      <c r="X32" s="46">
        <v>41735.6</v>
      </c>
      <c r="Y32" s="46"/>
      <c r="Z32" s="46"/>
      <c r="AA32" s="51"/>
      <c r="AB32" s="51"/>
      <c r="AC32" s="51"/>
      <c r="AD32" s="51"/>
      <c r="AE32" s="46">
        <v>3123.2</v>
      </c>
      <c r="AF32" s="51"/>
      <c r="AG32" s="46">
        <f>142385.62-1592.69</f>
        <v>140792.93</v>
      </c>
      <c r="AH32" s="46">
        <v>11867</v>
      </c>
      <c r="AI32" s="51"/>
      <c r="AJ32" s="46">
        <v>137208.37</v>
      </c>
      <c r="AK32" s="46">
        <f>24979.44-7498.58</f>
        <v>17480.86</v>
      </c>
      <c r="AL32" s="46">
        <f>12007.83-2701.12</f>
        <v>9306.71</v>
      </c>
      <c r="AM32" s="46"/>
      <c r="AN32" s="46"/>
      <c r="AO32" s="46">
        <v>2775</v>
      </c>
      <c r="AP32" s="46">
        <v>7800</v>
      </c>
      <c r="AQ32" s="46">
        <v>5200</v>
      </c>
      <c r="AR32" s="46">
        <v>5200</v>
      </c>
      <c r="AS32" s="46">
        <v>5200</v>
      </c>
      <c r="AT32" s="51"/>
      <c r="AU32" s="46">
        <v>30200</v>
      </c>
      <c r="AV32" s="46">
        <v>143074.82</v>
      </c>
      <c r="AW32" s="46">
        <v>14686</v>
      </c>
      <c r="AX32" s="46">
        <v>8477.62</v>
      </c>
      <c r="AY32" s="46">
        <v>29710.13</v>
      </c>
      <c r="AZ32" s="46"/>
      <c r="BA32" s="46">
        <v>47396.38</v>
      </c>
      <c r="BB32" s="46"/>
      <c r="BC32" s="46">
        <v>396.98</v>
      </c>
      <c r="BD32" s="46">
        <v>6053.74</v>
      </c>
      <c r="BE32" s="46"/>
      <c r="BF32" s="46">
        <v>13709.09</v>
      </c>
      <c r="BG32" s="46">
        <v>161352.01</v>
      </c>
      <c r="BH32" s="46">
        <v>3307.55</v>
      </c>
      <c r="BI32" s="46">
        <v>1336.55</v>
      </c>
      <c r="BJ32" s="46">
        <v>1324.11</v>
      </c>
      <c r="BK32" s="46">
        <v>60172.62</v>
      </c>
      <c r="BL32" s="46">
        <v>4011.42</v>
      </c>
      <c r="BM32" s="46">
        <v>4655.48</v>
      </c>
      <c r="BN32" s="46">
        <v>145398.39</v>
      </c>
      <c r="BO32" s="46">
        <v>1722.57</v>
      </c>
      <c r="BP32" s="46">
        <v>61403.18</v>
      </c>
      <c r="BQ32" s="46">
        <v>1132.63</v>
      </c>
      <c r="BR32" s="46">
        <v>9252.33</v>
      </c>
      <c r="BS32" s="46">
        <v>993.14</v>
      </c>
      <c r="BT32" s="46">
        <v>438122.12</v>
      </c>
      <c r="BU32" s="46">
        <v>8189.88</v>
      </c>
      <c r="BV32" s="46">
        <v>84.36</v>
      </c>
      <c r="BW32" s="46">
        <v>403.8</v>
      </c>
      <c r="BX32" s="46">
        <v>779.84</v>
      </c>
      <c r="BY32" s="46">
        <v>728.41</v>
      </c>
      <c r="BZ32" s="46">
        <v>1660.16</v>
      </c>
      <c r="CA32" s="46">
        <v>500</v>
      </c>
      <c r="CB32" s="46">
        <v>50500</v>
      </c>
      <c r="CC32" s="46"/>
      <c r="CD32" s="46"/>
      <c r="CE32" s="46"/>
      <c r="CF32" s="46">
        <v>600</v>
      </c>
      <c r="CG32" s="46">
        <v>13642.74</v>
      </c>
      <c r="CH32" s="39">
        <f>SUM(D32:CG32)</f>
        <v>2778328.73</v>
      </c>
    </row>
    <row r="33" spans="4:85" s="39" customFormat="true" ht="12" customHeight="true">
      <c r="D33" s="46"/>
      <c r="E33" s="46"/>
      <c r="F33" s="46"/>
      <c r="G33" s="46"/>
      <c r="H33" s="46"/>
      <c r="I33" s="46"/>
      <c r="J33" s="46"/>
      <c r="K33" s="46"/>
      <c r="L33" s="46"/>
      <c r="M33" s="46"/>
      <c r="N33" s="46"/>
      <c r="O33" s="46"/>
      <c r="P33" s="46"/>
      <c r="Q33" s="46"/>
      <c r="R33" s="46"/>
      <c r="S33" s="46"/>
      <c r="T33" s="46"/>
      <c r="U33" s="51"/>
      <c r="V33" s="46"/>
      <c r="W33" s="46"/>
      <c r="X33" s="46"/>
      <c r="Y33" s="46"/>
      <c r="Z33" s="46"/>
      <c r="AA33" s="51"/>
      <c r="AB33" s="51"/>
      <c r="AC33" s="51"/>
      <c r="AD33" s="51"/>
      <c r="AE33" s="46"/>
      <c r="AF33" s="51"/>
      <c r="AG33" s="46"/>
      <c r="AH33" s="46"/>
      <c r="AI33" s="51"/>
      <c r="AJ33" s="46"/>
      <c r="AK33" s="46"/>
      <c r="AL33" s="46"/>
      <c r="AM33" s="46"/>
      <c r="AN33" s="46"/>
      <c r="AO33" s="46"/>
      <c r="AP33" s="46"/>
      <c r="AQ33" s="46"/>
      <c r="AR33" s="46"/>
      <c r="AS33" s="46"/>
      <c r="AT33" s="51"/>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row>
    <row r="34" spans="4:85" s="39" customFormat="true" ht="12" customHeight="true">
      <c r="D34" s="46"/>
      <c r="E34" s="46"/>
      <c r="F34" s="46"/>
      <c r="G34" s="46"/>
      <c r="H34" s="46"/>
      <c r="I34" s="46"/>
      <c r="J34" s="46"/>
      <c r="K34" s="46"/>
      <c r="L34" s="46"/>
      <c r="M34" s="46"/>
      <c r="N34" s="46"/>
      <c r="O34" s="46"/>
      <c r="P34" s="46"/>
      <c r="Q34" s="46"/>
      <c r="R34" s="46"/>
      <c r="S34" s="46"/>
      <c r="T34" s="46"/>
      <c r="U34" s="51"/>
      <c r="V34" s="46"/>
      <c r="W34" s="46"/>
      <c r="X34" s="46"/>
      <c r="Y34" s="46"/>
      <c r="Z34" s="46"/>
      <c r="AA34" s="51"/>
      <c r="AB34" s="51"/>
      <c r="AC34" s="51"/>
      <c r="AD34" s="51"/>
      <c r="AE34" s="46"/>
      <c r="AF34" s="51"/>
      <c r="AG34" s="46"/>
      <c r="AH34" s="46"/>
      <c r="AI34" s="51"/>
      <c r="AJ34" s="46"/>
      <c r="AK34" s="46"/>
      <c r="AL34" s="46"/>
      <c r="AM34" s="46"/>
      <c r="AN34" s="46"/>
      <c r="AO34" s="46"/>
      <c r="AP34" s="46"/>
      <c r="AQ34" s="46"/>
      <c r="AR34" s="46"/>
      <c r="AS34" s="46"/>
      <c r="AT34" s="51"/>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row>
    <row r="35" spans="4:85" s="39" customFormat="true" ht="12" customHeight="true">
      <c r="D35" s="46"/>
      <c r="E35" s="46"/>
      <c r="F35" s="46"/>
      <c r="G35" s="46"/>
      <c r="H35" s="46"/>
      <c r="I35" s="46"/>
      <c r="J35" s="46"/>
      <c r="K35" s="46"/>
      <c r="L35" s="46"/>
      <c r="M35" s="46"/>
      <c r="N35" s="46"/>
      <c r="O35" s="46"/>
      <c r="P35" s="46"/>
      <c r="Q35" s="46"/>
      <c r="R35" s="46"/>
      <c r="S35" s="46"/>
      <c r="T35" s="46"/>
      <c r="U35" s="51"/>
      <c r="V35" s="46"/>
      <c r="W35" s="46"/>
      <c r="X35" s="46"/>
      <c r="Y35" s="46"/>
      <c r="Z35" s="46"/>
      <c r="AA35" s="51"/>
      <c r="AB35" s="51"/>
      <c r="AC35" s="51"/>
      <c r="AD35" s="51"/>
      <c r="AE35" s="46"/>
      <c r="AF35" s="51"/>
      <c r="AG35" s="46"/>
      <c r="AH35" s="46"/>
      <c r="AI35" s="51"/>
      <c r="AJ35" s="46"/>
      <c r="AK35" s="46"/>
      <c r="AL35" s="46"/>
      <c r="AM35" s="46"/>
      <c r="AN35" s="46"/>
      <c r="AO35" s="46"/>
      <c r="AP35" s="46"/>
      <c r="AQ35" s="46"/>
      <c r="AR35" s="46"/>
      <c r="AS35" s="46"/>
      <c r="AT35" s="51"/>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row>
    <row r="36" spans="4:85" s="39" customFormat="true" ht="12" customHeight="true">
      <c r="D36" s="46"/>
      <c r="E36" s="46"/>
      <c r="F36" s="46"/>
      <c r="G36" s="46"/>
      <c r="H36" s="46"/>
      <c r="I36" s="46"/>
      <c r="J36" s="46"/>
      <c r="K36" s="46"/>
      <c r="L36" s="46"/>
      <c r="M36" s="46"/>
      <c r="N36" s="46"/>
      <c r="O36" s="46"/>
      <c r="P36" s="46"/>
      <c r="Q36" s="46"/>
      <c r="R36" s="46"/>
      <c r="S36" s="46"/>
      <c r="T36" s="46"/>
      <c r="U36" s="51"/>
      <c r="V36" s="46"/>
      <c r="W36" s="46"/>
      <c r="X36" s="46"/>
      <c r="Y36" s="46"/>
      <c r="Z36" s="46"/>
      <c r="AA36" s="51"/>
      <c r="AB36" s="51"/>
      <c r="AC36" s="51"/>
      <c r="AD36" s="51"/>
      <c r="AE36" s="46"/>
      <c r="AF36" s="51"/>
      <c r="AG36" s="46"/>
      <c r="AH36" s="46"/>
      <c r="AI36" s="51"/>
      <c r="AJ36" s="46"/>
      <c r="AK36" s="46"/>
      <c r="AL36" s="46"/>
      <c r="AM36" s="46"/>
      <c r="AN36" s="46"/>
      <c r="AO36" s="46"/>
      <c r="AP36" s="46"/>
      <c r="AQ36" s="46"/>
      <c r="AR36" s="46"/>
      <c r="AS36" s="46"/>
      <c r="AT36" s="51"/>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row>
    <row r="37" spans="4:85" s="39" customFormat="true" ht="12" customHeight="true">
      <c r="D37" s="46"/>
      <c r="E37" s="46"/>
      <c r="F37" s="46"/>
      <c r="G37" s="46"/>
      <c r="H37" s="46"/>
      <c r="I37" s="46"/>
      <c r="J37" s="46"/>
      <c r="K37" s="46"/>
      <c r="L37" s="46"/>
      <c r="M37" s="46"/>
      <c r="N37" s="46"/>
      <c r="O37" s="46"/>
      <c r="P37" s="46"/>
      <c r="Q37" s="46"/>
      <c r="R37" s="46"/>
      <c r="S37" s="46"/>
      <c r="T37" s="46"/>
      <c r="U37" s="51"/>
      <c r="V37" s="46"/>
      <c r="W37" s="46"/>
      <c r="X37" s="46"/>
      <c r="Y37" s="46"/>
      <c r="Z37" s="46"/>
      <c r="AA37" s="51"/>
      <c r="AB37" s="51"/>
      <c r="AC37" s="51"/>
      <c r="AD37" s="51"/>
      <c r="AE37" s="46"/>
      <c r="AF37" s="51"/>
      <c r="AG37" s="46"/>
      <c r="AH37" s="46"/>
      <c r="AI37" s="51"/>
      <c r="AJ37" s="46"/>
      <c r="AK37" s="46"/>
      <c r="AL37" s="46"/>
      <c r="AM37" s="46"/>
      <c r="AN37" s="46"/>
      <c r="AO37" s="46"/>
      <c r="AP37" s="46"/>
      <c r="AQ37" s="46"/>
      <c r="AR37" s="46"/>
      <c r="AS37" s="46"/>
      <c r="AT37" s="51"/>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row>
    <row r="38" spans="4:85" s="39" customFormat="true" ht="12" customHeight="true">
      <c r="D38" s="46"/>
      <c r="E38" s="46"/>
      <c r="F38" s="46"/>
      <c r="G38" s="46"/>
      <c r="H38" s="46"/>
      <c r="I38" s="46"/>
      <c r="J38" s="46"/>
      <c r="K38" s="46"/>
      <c r="L38" s="46"/>
      <c r="M38" s="46"/>
      <c r="N38" s="46"/>
      <c r="O38" s="46"/>
      <c r="P38" s="46"/>
      <c r="Q38" s="46"/>
      <c r="R38" s="46"/>
      <c r="S38" s="46"/>
      <c r="T38" s="46"/>
      <c r="U38" s="51"/>
      <c r="V38" s="46"/>
      <c r="W38" s="46"/>
      <c r="X38" s="46"/>
      <c r="Y38" s="46"/>
      <c r="Z38" s="46"/>
      <c r="AA38" s="51"/>
      <c r="AB38" s="51"/>
      <c r="AC38" s="51"/>
      <c r="AD38" s="51"/>
      <c r="AE38" s="46"/>
      <c r="AF38" s="51"/>
      <c r="AG38" s="46"/>
      <c r="AH38" s="46"/>
      <c r="AI38" s="51"/>
      <c r="AJ38" s="46"/>
      <c r="AK38" s="46"/>
      <c r="AL38" s="46"/>
      <c r="AM38" s="46"/>
      <c r="AN38" s="46"/>
      <c r="AO38" s="46"/>
      <c r="AP38" s="46"/>
      <c r="AQ38" s="46"/>
      <c r="AR38" s="46"/>
      <c r="AS38" s="46"/>
      <c r="AT38" s="51"/>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row>
    <row r="39" spans="4:85" s="39" customFormat="true" ht="12" customHeight="true">
      <c r="D39" s="46"/>
      <c r="E39" s="46"/>
      <c r="F39" s="46"/>
      <c r="G39" s="46"/>
      <c r="H39" s="46"/>
      <c r="I39" s="46"/>
      <c r="J39" s="46"/>
      <c r="K39" s="46"/>
      <c r="L39" s="46"/>
      <c r="M39" s="46"/>
      <c r="N39" s="46"/>
      <c r="O39" s="46"/>
      <c r="P39" s="46"/>
      <c r="Q39" s="46"/>
      <c r="R39" s="46"/>
      <c r="S39" s="46"/>
      <c r="T39" s="46"/>
      <c r="U39" s="51"/>
      <c r="V39" s="46"/>
      <c r="W39" s="46"/>
      <c r="X39" s="46"/>
      <c r="Y39" s="46"/>
      <c r="Z39" s="46"/>
      <c r="AA39" s="51"/>
      <c r="AB39" s="51"/>
      <c r="AC39" s="51"/>
      <c r="AD39" s="51"/>
      <c r="AE39" s="46"/>
      <c r="AF39" s="51"/>
      <c r="AG39" s="46"/>
      <c r="AH39" s="46"/>
      <c r="AI39" s="51"/>
      <c r="AJ39" s="46"/>
      <c r="AK39" s="46"/>
      <c r="AL39" s="46"/>
      <c r="AM39" s="46"/>
      <c r="AN39" s="46"/>
      <c r="AO39" s="46"/>
      <c r="AP39" s="46"/>
      <c r="AQ39" s="46"/>
      <c r="AR39" s="46"/>
      <c r="AS39" s="46"/>
      <c r="AT39" s="51"/>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row>
    <row r="40" spans="4:85" s="39" customFormat="true" ht="12" customHeight="true">
      <c r="D40" s="46"/>
      <c r="E40" s="46"/>
      <c r="F40" s="46"/>
      <c r="G40" s="46"/>
      <c r="H40" s="46"/>
      <c r="I40" s="46"/>
      <c r="J40" s="46"/>
      <c r="K40" s="46"/>
      <c r="L40" s="46"/>
      <c r="M40" s="46"/>
      <c r="N40" s="46"/>
      <c r="O40" s="46"/>
      <c r="P40" s="46"/>
      <c r="Q40" s="46"/>
      <c r="R40" s="46"/>
      <c r="S40" s="46"/>
      <c r="T40" s="46"/>
      <c r="U40" s="51"/>
      <c r="V40" s="46"/>
      <c r="W40" s="46"/>
      <c r="X40" s="46"/>
      <c r="Y40" s="46"/>
      <c r="Z40" s="46"/>
      <c r="AA40" s="51"/>
      <c r="AB40" s="51"/>
      <c r="AC40" s="51"/>
      <c r="AD40" s="51"/>
      <c r="AE40" s="46"/>
      <c r="AF40" s="51"/>
      <c r="AG40" s="46"/>
      <c r="AH40" s="46"/>
      <c r="AI40" s="51"/>
      <c r="AJ40" s="46"/>
      <c r="AK40" s="46"/>
      <c r="AL40" s="46"/>
      <c r="AM40" s="46"/>
      <c r="AN40" s="46"/>
      <c r="AO40" s="46"/>
      <c r="AP40" s="46"/>
      <c r="AQ40" s="46"/>
      <c r="AR40" s="46"/>
      <c r="AS40" s="46"/>
      <c r="AT40" s="51"/>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row>
    <row r="41" spans="4:85" s="39" customFormat="true" ht="12" customHeight="true">
      <c r="D41" s="46"/>
      <c r="E41" s="46"/>
      <c r="F41" s="46"/>
      <c r="G41" s="46"/>
      <c r="H41" s="46"/>
      <c r="I41" s="46"/>
      <c r="J41" s="46"/>
      <c r="K41" s="46"/>
      <c r="L41" s="46"/>
      <c r="M41" s="46"/>
      <c r="N41" s="46"/>
      <c r="O41" s="46"/>
      <c r="P41" s="46"/>
      <c r="Q41" s="46"/>
      <c r="R41" s="46"/>
      <c r="S41" s="46"/>
      <c r="T41" s="46"/>
      <c r="U41" s="51"/>
      <c r="V41" s="46"/>
      <c r="W41" s="46"/>
      <c r="X41" s="46"/>
      <c r="Y41" s="46"/>
      <c r="Z41" s="46"/>
      <c r="AA41" s="51"/>
      <c r="AB41" s="51"/>
      <c r="AC41" s="51"/>
      <c r="AD41" s="51"/>
      <c r="AE41" s="46"/>
      <c r="AF41" s="51"/>
      <c r="AG41" s="46"/>
      <c r="AH41" s="46"/>
      <c r="AI41" s="51"/>
      <c r="AJ41" s="46"/>
      <c r="AK41" s="46"/>
      <c r="AL41" s="46"/>
      <c r="AM41" s="46"/>
      <c r="AN41" s="46"/>
      <c r="AO41" s="46"/>
      <c r="AP41" s="46"/>
      <c r="AQ41" s="46"/>
      <c r="AR41" s="46"/>
      <c r="AS41" s="46"/>
      <c r="AT41" s="51"/>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row>
    <row r="42" spans="4:85" s="39" customFormat="true" ht="12" customHeight="true">
      <c r="D42" s="46"/>
      <c r="E42" s="46"/>
      <c r="F42" s="46"/>
      <c r="G42" s="46"/>
      <c r="H42" s="46"/>
      <c r="I42" s="46"/>
      <c r="J42" s="46"/>
      <c r="K42" s="46"/>
      <c r="L42" s="46"/>
      <c r="M42" s="46"/>
      <c r="N42" s="46"/>
      <c r="O42" s="46"/>
      <c r="P42" s="46"/>
      <c r="Q42" s="46"/>
      <c r="R42" s="46"/>
      <c r="S42" s="46"/>
      <c r="T42" s="46"/>
      <c r="U42" s="51"/>
      <c r="V42" s="46"/>
      <c r="W42" s="46"/>
      <c r="X42" s="46"/>
      <c r="Y42" s="46"/>
      <c r="Z42" s="46"/>
      <c r="AA42" s="51"/>
      <c r="AB42" s="51"/>
      <c r="AC42" s="51"/>
      <c r="AD42" s="51"/>
      <c r="AE42" s="46"/>
      <c r="AF42" s="51"/>
      <c r="AG42" s="46"/>
      <c r="AH42" s="46"/>
      <c r="AI42" s="51"/>
      <c r="AJ42" s="46"/>
      <c r="AK42" s="46"/>
      <c r="AL42" s="46"/>
      <c r="AM42" s="46"/>
      <c r="AN42" s="46"/>
      <c r="AO42" s="46"/>
      <c r="AP42" s="46"/>
      <c r="AQ42" s="46"/>
      <c r="AR42" s="46"/>
      <c r="AS42" s="46"/>
      <c r="AT42" s="51"/>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row>
    <row r="43" spans="4:85" s="39" customFormat="true" ht="12" customHeight="true">
      <c r="D43" s="46"/>
      <c r="E43" s="46"/>
      <c r="F43" s="46"/>
      <c r="G43" s="46"/>
      <c r="H43" s="46"/>
      <c r="I43" s="46"/>
      <c r="J43" s="46"/>
      <c r="K43" s="46"/>
      <c r="L43" s="46"/>
      <c r="M43" s="46"/>
      <c r="N43" s="46"/>
      <c r="O43" s="46"/>
      <c r="P43" s="46"/>
      <c r="Q43" s="46"/>
      <c r="R43" s="46"/>
      <c r="S43" s="46"/>
      <c r="T43" s="46"/>
      <c r="U43" s="51"/>
      <c r="V43" s="46"/>
      <c r="W43" s="46"/>
      <c r="X43" s="46"/>
      <c r="Y43" s="46"/>
      <c r="Z43" s="46"/>
      <c r="AA43" s="51"/>
      <c r="AB43" s="51"/>
      <c r="AC43" s="51"/>
      <c r="AD43" s="51"/>
      <c r="AE43" s="46"/>
      <c r="AF43" s="51"/>
      <c r="AG43" s="46"/>
      <c r="AH43" s="46"/>
      <c r="AI43" s="51"/>
      <c r="AJ43" s="46"/>
      <c r="AK43" s="46"/>
      <c r="AL43" s="46"/>
      <c r="AM43" s="46"/>
      <c r="AN43" s="46"/>
      <c r="AO43" s="46"/>
      <c r="AP43" s="46"/>
      <c r="AQ43" s="46"/>
      <c r="AR43" s="46"/>
      <c r="AS43" s="46"/>
      <c r="AT43" s="51"/>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row>
    <row r="44" spans="4:85" s="39" customFormat="true" ht="12" customHeight="true">
      <c r="D44" s="46"/>
      <c r="E44" s="46"/>
      <c r="F44" s="46"/>
      <c r="G44" s="46"/>
      <c r="H44" s="46"/>
      <c r="I44" s="46"/>
      <c r="J44" s="46"/>
      <c r="K44" s="46"/>
      <c r="L44" s="46"/>
      <c r="M44" s="46"/>
      <c r="N44" s="46"/>
      <c r="O44" s="46"/>
      <c r="P44" s="46"/>
      <c r="Q44" s="46"/>
      <c r="R44" s="46"/>
      <c r="S44" s="46"/>
      <c r="T44" s="46"/>
      <c r="U44" s="51"/>
      <c r="V44" s="46"/>
      <c r="W44" s="46"/>
      <c r="X44" s="46"/>
      <c r="Y44" s="46"/>
      <c r="Z44" s="46"/>
      <c r="AA44" s="51"/>
      <c r="AB44" s="51"/>
      <c r="AC44" s="51"/>
      <c r="AD44" s="51"/>
      <c r="AE44" s="46"/>
      <c r="AF44" s="51"/>
      <c r="AG44" s="46"/>
      <c r="AH44" s="46"/>
      <c r="AI44" s="51"/>
      <c r="AJ44" s="46"/>
      <c r="AK44" s="46"/>
      <c r="AL44" s="46"/>
      <c r="AM44" s="46"/>
      <c r="AN44" s="46"/>
      <c r="AO44" s="46"/>
      <c r="AP44" s="46"/>
      <c r="AQ44" s="46"/>
      <c r="AR44" s="46"/>
      <c r="AS44" s="46"/>
      <c r="AT44" s="51"/>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row>
    <row r="45" spans="4:85" s="39" customFormat="true" ht="12" customHeight="true">
      <c r="D45" s="46"/>
      <c r="E45" s="46"/>
      <c r="F45" s="46"/>
      <c r="G45" s="46"/>
      <c r="H45" s="46"/>
      <c r="I45" s="46"/>
      <c r="J45" s="46"/>
      <c r="K45" s="46"/>
      <c r="L45" s="46"/>
      <c r="M45" s="46"/>
      <c r="N45" s="46"/>
      <c r="O45" s="46"/>
      <c r="P45" s="46"/>
      <c r="Q45" s="46"/>
      <c r="R45" s="46"/>
      <c r="S45" s="46"/>
      <c r="T45" s="46"/>
      <c r="U45" s="51"/>
      <c r="V45" s="46"/>
      <c r="W45" s="46"/>
      <c r="X45" s="46"/>
      <c r="Y45" s="46"/>
      <c r="Z45" s="46"/>
      <c r="AA45" s="51"/>
      <c r="AB45" s="51"/>
      <c r="AC45" s="51"/>
      <c r="AD45" s="51"/>
      <c r="AE45" s="46"/>
      <c r="AF45" s="51"/>
      <c r="AG45" s="46"/>
      <c r="AH45" s="46"/>
      <c r="AI45" s="51"/>
      <c r="AJ45" s="46"/>
      <c r="AK45" s="46"/>
      <c r="AL45" s="46"/>
      <c r="AM45" s="46"/>
      <c r="AN45" s="46"/>
      <c r="AO45" s="46"/>
      <c r="AP45" s="46"/>
      <c r="AQ45" s="46"/>
      <c r="AR45" s="46"/>
      <c r="AS45" s="46"/>
      <c r="AT45" s="51"/>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row>
    <row r="46" spans="4:85" s="39" customFormat="true" ht="12" customHeight="true">
      <c r="D46" s="46"/>
      <c r="E46" s="46"/>
      <c r="F46" s="46"/>
      <c r="G46" s="46"/>
      <c r="H46" s="46"/>
      <c r="I46" s="46"/>
      <c r="J46" s="46"/>
      <c r="K46" s="46"/>
      <c r="L46" s="46"/>
      <c r="M46" s="46"/>
      <c r="N46" s="46"/>
      <c r="O46" s="46"/>
      <c r="P46" s="46"/>
      <c r="Q46" s="46"/>
      <c r="R46" s="46"/>
      <c r="S46" s="46"/>
      <c r="T46" s="46"/>
      <c r="U46" s="51"/>
      <c r="V46" s="46"/>
      <c r="W46" s="46"/>
      <c r="X46" s="46"/>
      <c r="Y46" s="46"/>
      <c r="Z46" s="46"/>
      <c r="AA46" s="51"/>
      <c r="AB46" s="51"/>
      <c r="AC46" s="51"/>
      <c r="AD46" s="51"/>
      <c r="AE46" s="46"/>
      <c r="AF46" s="51"/>
      <c r="AG46" s="46"/>
      <c r="AH46" s="46"/>
      <c r="AI46" s="51"/>
      <c r="AJ46" s="46"/>
      <c r="AK46" s="46"/>
      <c r="AL46" s="46"/>
      <c r="AM46" s="46"/>
      <c r="AN46" s="46"/>
      <c r="AO46" s="46"/>
      <c r="AP46" s="46"/>
      <c r="AQ46" s="46"/>
      <c r="AR46" s="46"/>
      <c r="AS46" s="46"/>
      <c r="AT46" s="51"/>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c r="CD46" s="46"/>
      <c r="CE46" s="46"/>
      <c r="CF46" s="46"/>
      <c r="CG46" s="46"/>
    </row>
    <row r="47" spans="2:86" s="39" customFormat="true" ht="12" customHeight="true">
      <c r="B47" s="39" t="s">
        <v>34191</v>
      </c>
      <c r="D47" s="39">
        <f t="shared" ref="D47:BO47" si="2">+SUM(D31:D46)</f>
        <v>0</v>
      </c>
      <c r="E47" s="39">
        <f t="shared" si="2"/>
        <v>28103.7</v>
      </c>
      <c r="F47" s="39">
        <f t="shared" si="2"/>
        <v>27131.1</v>
      </c>
      <c r="G47" s="39">
        <f t="shared" si="2"/>
        <v>0</v>
      </c>
      <c r="H47" s="39">
        <f t="shared" si="2"/>
        <v>17966.95</v>
      </c>
      <c r="I47" s="39">
        <f t="shared" si="2"/>
        <v>0</v>
      </c>
      <c r="J47" s="39">
        <f t="shared" si="2"/>
        <v>0</v>
      </c>
      <c r="K47" s="39">
        <f t="shared" si="2"/>
        <v>776369.35</v>
      </c>
      <c r="L47" s="39">
        <f t="shared" si="2"/>
        <v>0</v>
      </c>
      <c r="M47" s="39">
        <f t="shared" si="2"/>
        <v>0</v>
      </c>
      <c r="N47" s="39">
        <f t="shared" si="2"/>
        <v>11121.97</v>
      </c>
      <c r="O47" s="39">
        <f t="shared" si="2"/>
        <v>0</v>
      </c>
      <c r="P47" s="39">
        <f t="shared" si="2"/>
        <v>146331.98</v>
      </c>
      <c r="Q47" s="39">
        <f t="shared" si="2"/>
        <v>62035.17</v>
      </c>
      <c r="R47" s="39">
        <f t="shared" si="2"/>
        <v>6137.37</v>
      </c>
      <c r="S47" s="39">
        <f t="shared" si="2"/>
        <v>1798.49</v>
      </c>
      <c r="T47" s="39">
        <f t="shared" si="2"/>
        <v>0</v>
      </c>
      <c r="U47" s="51">
        <f t="shared" si="2"/>
        <v>0</v>
      </c>
      <c r="V47" s="39">
        <f t="shared" si="2"/>
        <v>48664.93</v>
      </c>
      <c r="W47" s="39">
        <f t="shared" si="2"/>
        <v>0</v>
      </c>
      <c r="X47" s="39">
        <f t="shared" si="2"/>
        <v>41735.6</v>
      </c>
      <c r="Y47" s="39">
        <f t="shared" si="2"/>
        <v>0</v>
      </c>
      <c r="Z47" s="39">
        <f t="shared" si="2"/>
        <v>0</v>
      </c>
      <c r="AA47" s="51">
        <f t="shared" si="2"/>
        <v>0</v>
      </c>
      <c r="AB47" s="51">
        <f t="shared" si="2"/>
        <v>0</v>
      </c>
      <c r="AC47" s="51">
        <f t="shared" si="2"/>
        <v>0</v>
      </c>
      <c r="AD47" s="51">
        <f t="shared" si="2"/>
        <v>0</v>
      </c>
      <c r="AE47" s="39">
        <f t="shared" si="2"/>
        <v>3123.2</v>
      </c>
      <c r="AF47" s="51">
        <f t="shared" si="2"/>
        <v>0</v>
      </c>
      <c r="AG47" s="39">
        <f t="shared" si="2"/>
        <v>140792.93</v>
      </c>
      <c r="AH47" s="39">
        <f t="shared" si="2"/>
        <v>11867</v>
      </c>
      <c r="AI47" s="51">
        <f t="shared" si="2"/>
        <v>0</v>
      </c>
      <c r="AJ47" s="39">
        <f t="shared" si="2"/>
        <v>137208.37</v>
      </c>
      <c r="AK47" s="39">
        <f t="shared" si="2"/>
        <v>17480.86</v>
      </c>
      <c r="AL47" s="39">
        <f t="shared" si="2"/>
        <v>9306.71</v>
      </c>
      <c r="AM47" s="39">
        <f t="shared" si="2"/>
        <v>0</v>
      </c>
      <c r="AN47" s="39">
        <f t="shared" si="2"/>
        <v>0</v>
      </c>
      <c r="AO47" s="39">
        <f t="shared" si="2"/>
        <v>2775</v>
      </c>
      <c r="AP47" s="39">
        <f t="shared" si="2"/>
        <v>7800</v>
      </c>
      <c r="AQ47" s="39">
        <f t="shared" si="2"/>
        <v>5200</v>
      </c>
      <c r="AR47" s="39">
        <f t="shared" si="2"/>
        <v>5200</v>
      </c>
      <c r="AS47" s="39">
        <f t="shared" si="2"/>
        <v>5200</v>
      </c>
      <c r="AT47" s="51">
        <f t="shared" si="2"/>
        <v>0</v>
      </c>
      <c r="AU47" s="39">
        <f t="shared" si="2"/>
        <v>30200</v>
      </c>
      <c r="AV47" s="39">
        <f t="shared" si="2"/>
        <v>143074.82</v>
      </c>
      <c r="AW47" s="39">
        <f t="shared" si="2"/>
        <v>14686</v>
      </c>
      <c r="AX47" s="39">
        <f t="shared" si="2"/>
        <v>8477.62</v>
      </c>
      <c r="AY47" s="39">
        <f t="shared" si="2"/>
        <v>29710.13</v>
      </c>
      <c r="AZ47" s="39">
        <f t="shared" si="2"/>
        <v>0</v>
      </c>
      <c r="BA47" s="39">
        <f t="shared" si="2"/>
        <v>47396.38</v>
      </c>
      <c r="BB47" s="39">
        <f t="shared" si="2"/>
        <v>0</v>
      </c>
      <c r="BC47" s="39">
        <f t="shared" si="2"/>
        <v>396.98</v>
      </c>
      <c r="BD47" s="39">
        <f t="shared" si="2"/>
        <v>6053.74</v>
      </c>
      <c r="BE47" s="39">
        <f t="shared" si="2"/>
        <v>0</v>
      </c>
      <c r="BF47" s="39">
        <f t="shared" si="2"/>
        <v>13709.09</v>
      </c>
      <c r="BG47" s="39">
        <f t="shared" si="2"/>
        <v>161352.01</v>
      </c>
      <c r="BH47" s="39">
        <f t="shared" si="2"/>
        <v>3307.55</v>
      </c>
      <c r="BI47" s="39">
        <f t="shared" si="2"/>
        <v>1336.55</v>
      </c>
      <c r="BJ47" s="39">
        <f t="shared" si="2"/>
        <v>1324.11</v>
      </c>
      <c r="BK47" s="39">
        <f t="shared" si="2"/>
        <v>60172.62</v>
      </c>
      <c r="BL47" s="39">
        <f t="shared" si="2"/>
        <v>4011.42</v>
      </c>
      <c r="BM47" s="39">
        <f t="shared" si="2"/>
        <v>4655.48</v>
      </c>
      <c r="BN47" s="39">
        <f t="shared" si="2"/>
        <v>145398.39</v>
      </c>
      <c r="BO47" s="39">
        <f t="shared" si="2"/>
        <v>1722.57</v>
      </c>
      <c r="BP47" s="39">
        <f t="shared" ref="BP47:CG47" si="3">+SUM(BP31:BP46)</f>
        <v>61403.18</v>
      </c>
      <c r="BQ47" s="39">
        <f t="shared" si="3"/>
        <v>1132.63</v>
      </c>
      <c r="BR47" s="39">
        <f t="shared" si="3"/>
        <v>9252.33</v>
      </c>
      <c r="BS47" s="39">
        <f t="shared" si="3"/>
        <v>993.14</v>
      </c>
      <c r="BT47" s="39">
        <f t="shared" si="3"/>
        <v>438122.12</v>
      </c>
      <c r="BU47" s="39">
        <f t="shared" si="3"/>
        <v>8189.88</v>
      </c>
      <c r="BV47" s="39">
        <f t="shared" si="3"/>
        <v>84.36</v>
      </c>
      <c r="BW47" s="39">
        <f t="shared" si="3"/>
        <v>403.8</v>
      </c>
      <c r="BX47" s="39">
        <f t="shared" si="3"/>
        <v>779.84</v>
      </c>
      <c r="BY47" s="39">
        <f t="shared" si="3"/>
        <v>728.41</v>
      </c>
      <c r="BZ47" s="39">
        <f t="shared" si="3"/>
        <v>1660.16</v>
      </c>
      <c r="CA47" s="39">
        <f t="shared" si="3"/>
        <v>500</v>
      </c>
      <c r="CB47" s="39">
        <f t="shared" si="3"/>
        <v>50500</v>
      </c>
      <c r="CC47" s="39">
        <f t="shared" si="3"/>
        <v>0</v>
      </c>
      <c r="CD47" s="39">
        <f t="shared" si="3"/>
        <v>0</v>
      </c>
      <c r="CE47" s="39">
        <f t="shared" si="3"/>
        <v>0</v>
      </c>
      <c r="CF47" s="39">
        <f t="shared" si="3"/>
        <v>600</v>
      </c>
      <c r="CG47" s="39">
        <f t="shared" si="3"/>
        <v>13642.74</v>
      </c>
      <c r="CH47" s="39">
        <f>SUM(D47:CG47)</f>
        <v>2778328.73</v>
      </c>
    </row>
    <row r="48" spans="21:46" s="39" customFormat="true" ht="12" customHeight="true">
      <c r="U48" s="51"/>
      <c r="AA48" s="51"/>
      <c r="AB48" s="51"/>
      <c r="AC48" s="51"/>
      <c r="AD48" s="51"/>
      <c r="AF48" s="51"/>
      <c r="AI48" s="51"/>
      <c r="AT48" s="51"/>
    </row>
    <row r="49" spans="2:86" s="39" customFormat="true" ht="12" customHeight="true">
      <c r="B49" s="39" t="s">
        <v>34192</v>
      </c>
      <c r="D49" s="39">
        <f t="shared" ref="D49:BO49" si="4">+D9+D29-D47</f>
        <v>68155.16</v>
      </c>
      <c r="E49" s="39">
        <f t="shared" si="4"/>
        <v>-27626.27</v>
      </c>
      <c r="F49" s="39">
        <f t="shared" si="4"/>
        <v>-26813.81</v>
      </c>
      <c r="G49" s="39">
        <f t="shared" si="4"/>
        <v>39618.35</v>
      </c>
      <c r="H49" s="39">
        <f t="shared" si="4"/>
        <v>-17966.95</v>
      </c>
      <c r="I49" s="39">
        <f t="shared" si="4"/>
        <v>0</v>
      </c>
      <c r="J49" s="39">
        <f t="shared" si="4"/>
        <v>679621.92</v>
      </c>
      <c r="K49" s="39">
        <f t="shared" si="4"/>
        <v>824045.35</v>
      </c>
      <c r="L49" s="39">
        <f t="shared" si="4"/>
        <v>68440.65</v>
      </c>
      <c r="M49" s="39">
        <f t="shared" si="4"/>
        <v>24860.29</v>
      </c>
      <c r="N49" s="39">
        <f t="shared" si="4"/>
        <v>-6833.57</v>
      </c>
      <c r="O49" s="39">
        <f t="shared" si="4"/>
        <v>0</v>
      </c>
      <c r="P49" s="39">
        <f t="shared" si="4"/>
        <v>-129910.99</v>
      </c>
      <c r="Q49" s="39">
        <f t="shared" si="4"/>
        <v>0</v>
      </c>
      <c r="R49" s="39">
        <f t="shared" si="4"/>
        <v>4207.05</v>
      </c>
      <c r="S49" s="39">
        <f t="shared" si="4"/>
        <v>-1798.49</v>
      </c>
      <c r="T49" s="39">
        <f t="shared" si="4"/>
        <v>12671.11</v>
      </c>
      <c r="U49" s="51">
        <f t="shared" si="4"/>
        <v>0</v>
      </c>
      <c r="V49" s="39">
        <f t="shared" si="4"/>
        <v>27412.19</v>
      </c>
      <c r="W49" s="39">
        <f t="shared" si="4"/>
        <v>62512.89</v>
      </c>
      <c r="X49" s="39">
        <f t="shared" si="4"/>
        <v>-41735.6</v>
      </c>
      <c r="Y49" s="39">
        <f t="shared" si="4"/>
        <v>40141.43</v>
      </c>
      <c r="Z49" s="39">
        <f t="shared" si="4"/>
        <v>24367.85</v>
      </c>
      <c r="AA49" s="51">
        <f t="shared" si="4"/>
        <v>0</v>
      </c>
      <c r="AB49" s="51">
        <f t="shared" si="4"/>
        <v>0</v>
      </c>
      <c r="AC49" s="51">
        <f t="shared" si="4"/>
        <v>0</v>
      </c>
      <c r="AD49" s="51">
        <f t="shared" si="4"/>
        <v>0</v>
      </c>
      <c r="AE49" s="39">
        <f t="shared" si="4"/>
        <v>264515.94</v>
      </c>
      <c r="AF49" s="51">
        <f t="shared" si="4"/>
        <v>0</v>
      </c>
      <c r="AG49" s="39">
        <f t="shared" si="4"/>
        <v>-36575.63</v>
      </c>
      <c r="AH49" s="39">
        <f t="shared" si="4"/>
        <v>16189.67</v>
      </c>
      <c r="AI49" s="51">
        <f t="shared" si="4"/>
        <v>0</v>
      </c>
      <c r="AJ49" s="39">
        <f t="shared" si="4"/>
        <v>-84976.13</v>
      </c>
      <c r="AK49" s="39">
        <f t="shared" si="4"/>
        <v>95763.76</v>
      </c>
      <c r="AL49" s="39">
        <f t="shared" si="4"/>
        <v>41329.8</v>
      </c>
      <c r="AM49" s="39">
        <f t="shared" si="4"/>
        <v>0</v>
      </c>
      <c r="AN49" s="39">
        <f t="shared" si="4"/>
        <v>0</v>
      </c>
      <c r="AO49" s="39">
        <f t="shared" si="4"/>
        <v>-2314.36</v>
      </c>
      <c r="AP49" s="39">
        <f t="shared" si="4"/>
        <v>132737.25</v>
      </c>
      <c r="AQ49" s="39">
        <f t="shared" si="4"/>
        <v>-2566.63</v>
      </c>
      <c r="AR49" s="39">
        <f t="shared" si="4"/>
        <v>-2337.89</v>
      </c>
      <c r="AS49" s="39">
        <f t="shared" si="4"/>
        <v>-2685.36</v>
      </c>
      <c r="AT49" s="51">
        <f t="shared" si="4"/>
        <v>0</v>
      </c>
      <c r="AU49" s="39">
        <f t="shared" si="4"/>
        <v>-27948.7</v>
      </c>
      <c r="AV49" s="39">
        <f t="shared" si="4"/>
        <v>-21196.81</v>
      </c>
      <c r="AW49" s="39">
        <f t="shared" si="4"/>
        <v>4815.1</v>
      </c>
      <c r="AX49" s="39">
        <f t="shared" si="4"/>
        <v>17335.05</v>
      </c>
      <c r="AY49" s="39">
        <f t="shared" si="4"/>
        <v>77681.07</v>
      </c>
      <c r="AZ49" s="39">
        <f t="shared" si="4"/>
        <v>4416.86</v>
      </c>
      <c r="BA49" s="39">
        <f t="shared" si="4"/>
        <v>26787.21</v>
      </c>
      <c r="BB49" s="39">
        <f t="shared" si="4"/>
        <v>3752.57</v>
      </c>
      <c r="BC49" s="39">
        <f t="shared" si="4"/>
        <v>28209.04</v>
      </c>
      <c r="BD49" s="39">
        <f t="shared" si="4"/>
        <v>22414.09</v>
      </c>
      <c r="BE49" s="39">
        <f t="shared" si="4"/>
        <v>0</v>
      </c>
      <c r="BF49" s="39">
        <f t="shared" si="4"/>
        <v>65310.02</v>
      </c>
      <c r="BG49" s="39">
        <f t="shared" si="4"/>
        <v>65355.42</v>
      </c>
      <c r="BH49" s="39">
        <f t="shared" si="4"/>
        <v>53976.01</v>
      </c>
      <c r="BI49" s="39">
        <f t="shared" si="4"/>
        <v>11388.01</v>
      </c>
      <c r="BJ49" s="39">
        <f t="shared" si="4"/>
        <v>79814.91</v>
      </c>
      <c r="BK49" s="39">
        <f t="shared" si="4"/>
        <v>9753.05999999999</v>
      </c>
      <c r="BL49" s="39">
        <f t="shared" si="4"/>
        <v>42324.38</v>
      </c>
      <c r="BM49" s="39">
        <f t="shared" si="4"/>
        <v>36224.31</v>
      </c>
      <c r="BN49" s="39">
        <f t="shared" si="4"/>
        <v>-126304.68</v>
      </c>
      <c r="BO49" s="39">
        <f t="shared" si="4"/>
        <v>21454.19</v>
      </c>
      <c r="BP49" s="39">
        <f t="shared" ref="BP49:CG49" si="5">+BP9+BP29-BP47</f>
        <v>-41519.34</v>
      </c>
      <c r="BQ49" s="39">
        <f t="shared" si="5"/>
        <v>51849.41</v>
      </c>
      <c r="BR49" s="39">
        <f t="shared" si="5"/>
        <v>13619.24</v>
      </c>
      <c r="BS49" s="39">
        <f t="shared" si="5"/>
        <v>49237.21</v>
      </c>
      <c r="BT49" s="39">
        <f t="shared" si="5"/>
        <v>-402471.75</v>
      </c>
      <c r="BU49" s="39">
        <f t="shared" si="5"/>
        <v>37756.01</v>
      </c>
      <c r="BV49" s="39">
        <f t="shared" si="5"/>
        <v>102360.63</v>
      </c>
      <c r="BW49" s="39">
        <f t="shared" si="5"/>
        <v>47626.32</v>
      </c>
      <c r="BX49" s="39">
        <f t="shared" si="5"/>
        <v>28189.72</v>
      </c>
      <c r="BY49" s="39">
        <f t="shared" si="5"/>
        <v>55377.97</v>
      </c>
      <c r="BZ49" s="39">
        <f t="shared" si="5"/>
        <v>59192.36</v>
      </c>
      <c r="CA49" s="39">
        <f t="shared" si="5"/>
        <v>9359.33</v>
      </c>
      <c r="CB49" s="39">
        <f t="shared" si="5"/>
        <v>4801.76</v>
      </c>
      <c r="CC49" s="39">
        <f t="shared" si="5"/>
        <v>175.99</v>
      </c>
      <c r="CD49" s="39">
        <f t="shared" si="5"/>
        <v>2167830.46</v>
      </c>
      <c r="CE49" s="39">
        <f t="shared" si="5"/>
        <v>12486157.8</v>
      </c>
      <c r="CF49" s="39">
        <f t="shared" si="5"/>
        <v>581190.66</v>
      </c>
      <c r="CG49" s="39">
        <f t="shared" si="5"/>
        <v>-10416.69</v>
      </c>
      <c r="CH49" s="39">
        <f>SUM(D49:CG49)</f>
        <v>17678327.18</v>
      </c>
    </row>
    <row r="50" spans="21:46" s="39" customFormat="true" ht="12" customHeight="true">
      <c r="U50" s="51"/>
      <c r="AA50" s="51"/>
      <c r="AB50" s="51"/>
      <c r="AC50" s="51"/>
      <c r="AD50" s="51"/>
      <c r="AF50" s="51"/>
      <c r="AI50" s="51"/>
      <c r="AT50" s="51"/>
    </row>
    <row r="51" spans="2:86" s="39" customFormat="true" ht="12" customHeight="true">
      <c r="B51" s="39" t="s">
        <v>34193</v>
      </c>
      <c r="D51" s="46">
        <v>68545.16</v>
      </c>
      <c r="E51" s="46">
        <v>-27626.26</v>
      </c>
      <c r="F51" s="46">
        <v>-26813.81</v>
      </c>
      <c r="G51" s="46">
        <v>39618.35</v>
      </c>
      <c r="H51" s="46">
        <v>-17966.93</v>
      </c>
      <c r="I51" s="46"/>
      <c r="J51" s="46">
        <v>677951.92</v>
      </c>
      <c r="K51" s="46">
        <v>824045.35</v>
      </c>
      <c r="L51" s="46">
        <v>4213.44</v>
      </c>
      <c r="M51" s="46">
        <v>24860.29</v>
      </c>
      <c r="N51" s="46">
        <v>-6833.55</v>
      </c>
      <c r="O51" s="46"/>
      <c r="P51" s="46">
        <v>-129910.99</v>
      </c>
      <c r="Q51" s="46">
        <v>0</v>
      </c>
      <c r="R51" s="46">
        <v>4207.05</v>
      </c>
      <c r="S51" s="46">
        <v>-1798.49</v>
      </c>
      <c r="T51" s="46">
        <v>12671.11</v>
      </c>
      <c r="U51" s="46"/>
      <c r="V51" s="46">
        <v>27412.17</v>
      </c>
      <c r="W51" s="46">
        <v>62512.89</v>
      </c>
      <c r="X51" s="46">
        <v>-41735.6</v>
      </c>
      <c r="Y51" s="46">
        <v>40141.43</v>
      </c>
      <c r="Z51" s="46">
        <v>24367.85</v>
      </c>
      <c r="AA51" s="46"/>
      <c r="AB51" s="46"/>
      <c r="AC51" s="46"/>
      <c r="AD51" s="46"/>
      <c r="AE51" s="46">
        <v>264515.94</v>
      </c>
      <c r="AF51" s="46"/>
      <c r="AG51" s="46">
        <v>-36575.63</v>
      </c>
      <c r="AH51" s="46">
        <v>16189.67</v>
      </c>
      <c r="AI51" s="46"/>
      <c r="AJ51" s="46">
        <v>-84976.13</v>
      </c>
      <c r="AK51" s="46">
        <v>95763.76</v>
      </c>
      <c r="AL51" s="46">
        <v>41329.8</v>
      </c>
      <c r="AM51" s="46"/>
      <c r="AN51" s="46"/>
      <c r="AO51" s="46">
        <v>-2314.36</v>
      </c>
      <c r="AP51" s="46">
        <v>132737.25</v>
      </c>
      <c r="AQ51" s="46">
        <v>-2566.63</v>
      </c>
      <c r="AR51" s="46">
        <v>-2337.89</v>
      </c>
      <c r="AS51" s="46">
        <v>-2685.36</v>
      </c>
      <c r="AT51" s="46"/>
      <c r="AU51" s="46">
        <v>-27948.7</v>
      </c>
      <c r="AV51" s="46">
        <v>-13835.1</v>
      </c>
      <c r="AW51" s="46">
        <v>4815.1</v>
      </c>
      <c r="AX51" s="46">
        <v>17335.05</v>
      </c>
      <c r="AY51" s="46">
        <v>77681.07</v>
      </c>
      <c r="AZ51" s="46">
        <v>4416.86</v>
      </c>
      <c r="BA51" s="46">
        <v>26787.21</v>
      </c>
      <c r="BB51" s="46">
        <v>3752.57</v>
      </c>
      <c r="BC51" s="46">
        <v>28209.04</v>
      </c>
      <c r="BD51" s="46">
        <v>22414.09</v>
      </c>
      <c r="BE51" s="46"/>
      <c r="BF51" s="46">
        <v>65310.02</v>
      </c>
      <c r="BG51" s="46">
        <v>65355.42</v>
      </c>
      <c r="BH51" s="46">
        <v>53976.01</v>
      </c>
      <c r="BI51" s="46">
        <v>11388.01</v>
      </c>
      <c r="BJ51" s="46">
        <v>79814.91</v>
      </c>
      <c r="BK51" s="46">
        <v>9753.06</v>
      </c>
      <c r="BL51" s="46">
        <v>42324.38</v>
      </c>
      <c r="BM51" s="46">
        <v>36224.31</v>
      </c>
      <c r="BN51" s="46">
        <v>-126304.68</v>
      </c>
      <c r="BO51" s="46">
        <v>21454.19</v>
      </c>
      <c r="BP51" s="46">
        <v>-41519.34</v>
      </c>
      <c r="BQ51" s="46">
        <v>51849.41</v>
      </c>
      <c r="BR51" s="46">
        <v>13619.24</v>
      </c>
      <c r="BS51" s="46">
        <v>49237.21</v>
      </c>
      <c r="BT51" s="46">
        <v>-402471.75</v>
      </c>
      <c r="BU51" s="46">
        <v>37756.01</v>
      </c>
      <c r="BV51" s="46">
        <v>102360.63</v>
      </c>
      <c r="BW51" s="46">
        <v>47626.32</v>
      </c>
      <c r="BX51" s="46">
        <v>28189.72</v>
      </c>
      <c r="BY51" s="46">
        <v>55377.97</v>
      </c>
      <c r="BZ51" s="46">
        <v>59192.36</v>
      </c>
      <c r="CA51" s="46">
        <v>9359.33</v>
      </c>
      <c r="CB51" s="46">
        <v>4801.76</v>
      </c>
      <c r="CC51" s="46">
        <v>175.99</v>
      </c>
      <c r="CD51" s="46">
        <v>2167830.46</v>
      </c>
      <c r="CE51" s="46">
        <v>12486157.8</v>
      </c>
      <c r="CF51" s="46">
        <v>581190.66</v>
      </c>
      <c r="CG51" s="46">
        <v>-10416.69</v>
      </c>
      <c r="CH51" s="39">
        <f>SUM(D51:CG51)</f>
        <v>17620181.71</v>
      </c>
    </row>
    <row r="52" spans="2:86" s="39" customFormat="true" ht="12" customHeight="true">
      <c r="B52" s="39" t="s">
        <v>34194</v>
      </c>
      <c r="D52" s="47">
        <f>ROUND(SUMIF('BS-Details'!$D:$D,D$4&amp;"-"&amp;D$7,'BS-Details'!$K:$K),2)-D$51</f>
        <v>-28427.74</v>
      </c>
      <c r="E52" s="47">
        <f>ROUND(SUMIF('BS-Details'!$D:$D,E$4&amp;"-"&amp;E$7,'BS-Details'!$K:$K),2)-E$51</f>
        <v>-1816.59</v>
      </c>
      <c r="F52" s="47">
        <f>ROUND(SUMIF('BS-Details'!$D:$D,F$4&amp;"-"&amp;F$7,'BS-Details'!$K:$K),2)-F$51</f>
        <v>-2589.71</v>
      </c>
      <c r="G52" s="47">
        <f>ROUND(SUMIF('BS-Details'!$D:$D,G$4&amp;"-"&amp;G$7,'BS-Details'!$K:$K),2)-G$51</f>
        <v>-57770.37</v>
      </c>
      <c r="H52" s="47">
        <f>ROUND(SUMIF('BS-Details'!$D:$D,H$4&amp;"-"&amp;H$7,'BS-Details'!$K:$K),2)-H$51</f>
        <v>4702.97</v>
      </c>
      <c r="I52" s="47">
        <f>ROUND(SUMIF('BS-Details'!$D:$D,I$4&amp;"-"&amp;I$7,'BS-Details'!$K:$K),2)-I$51</f>
        <v>-7732.72</v>
      </c>
      <c r="J52" s="47">
        <f>ROUND(SUMIF('BS-Details'!$D:$D,J$4&amp;"-"&amp;J$7,'BS-Details'!$K:$K),2)-J$51</f>
        <v>-582697.7</v>
      </c>
      <c r="K52" s="47">
        <f>ROUND(SUMIF('BS-Details'!$D:$D,K$4&amp;"-"&amp;K$7,'BS-Details'!$K:$K),2)-K$51</f>
        <v>789588.37</v>
      </c>
      <c r="L52" s="47">
        <f>ROUND(SUMIF('BS-Details'!$D:$D,L$4&amp;"-"&amp;L$7,'BS-Details'!$K:$K),2)-L$51</f>
        <v>-4213.44</v>
      </c>
      <c r="M52" s="47">
        <f>ROUND(SUMIF('BS-Details'!$D:$D,M$4&amp;"-"&amp;M$7,'BS-Details'!$K:$K),2)-M$51</f>
        <v>-45366.03</v>
      </c>
      <c r="N52" s="47">
        <f>ROUND(SUMIF('BS-Details'!$D:$D,N$4&amp;"-"&amp;N$7,'BS-Details'!$K:$K),2)-N$51</f>
        <v>-6928.6</v>
      </c>
      <c r="O52" s="47">
        <f>ROUND(SUMIF('BS-Details'!$D:$D,O$4&amp;"-"&amp;O$7,'BS-Details'!$K:$K),2)-O$51</f>
        <v>-73.56</v>
      </c>
      <c r="P52" s="47">
        <f>ROUND(SUMIF('BS-Details'!$D:$D,P$4&amp;"-"&amp;P$7,'BS-Details'!$K:$K),2)-P$51</f>
        <v>-49113.05</v>
      </c>
      <c r="Q52" s="47">
        <f>ROUND(SUMIF('BS-Details'!$D:$D,Q$4&amp;"-"&amp;Q$7,'BS-Details'!$K:$K),2)-Q$51</f>
        <v>0</v>
      </c>
      <c r="R52" s="47">
        <f>ROUND(SUMIF('BS-Details'!$D:$D,R$4&amp;"-"&amp;R$7,'BS-Details'!$K:$K),2)-R$51</f>
        <v>-5083.24</v>
      </c>
      <c r="S52" s="47">
        <f>ROUND(SUMIF('BS-Details'!$D:$D,S$4&amp;"-"&amp;S$7,'BS-Details'!$K:$K),2)-S$51</f>
        <v>1075.86</v>
      </c>
      <c r="T52" s="47">
        <f>ROUND(SUMIF('BS-Details'!$D:$D,T$4&amp;"-"&amp;T$7,'BS-Details'!$K:$K),2)-T$51</f>
        <v>-6806.13</v>
      </c>
      <c r="U52" s="47">
        <f>ROUND(SUMIF('BS-Details'!$D:$D,U$4&amp;"-"&amp;U$7,'BS-Details'!$K:$K),2)-U$51</f>
        <v>0</v>
      </c>
      <c r="V52" s="47">
        <f>ROUND(SUMIF('BS-Details'!$D:$D,V$4&amp;"-"&amp;V$7,'BS-Details'!$K:$K),2)-V$51</f>
        <v>205160.56</v>
      </c>
      <c r="W52" s="47">
        <f>ROUND(SUMIF('BS-Details'!$D:$D,W$4&amp;"-"&amp;W$7,'BS-Details'!$K:$K),2)-W$51</f>
        <v>24027.11</v>
      </c>
      <c r="X52" s="47">
        <f>ROUND(SUMIF('BS-Details'!$D:$D,X$4&amp;"-"&amp;X$7,'BS-Details'!$K:$K),2)-X$51</f>
        <v>-18543.74</v>
      </c>
      <c r="Y52" s="47">
        <f>ROUND(SUMIF('BS-Details'!$D:$D,Y$4&amp;"-"&amp;Y$7,'BS-Details'!$K:$K),2)-Y$51</f>
        <v>29597.97</v>
      </c>
      <c r="Z52" s="47">
        <f>ROUND(SUMIF('BS-Details'!$D:$D,Z$4&amp;"-"&amp;Z$7,'BS-Details'!$K:$K),2)-Z$51</f>
        <v>-22617.71</v>
      </c>
      <c r="AA52" s="47">
        <f>ROUND(SUMIF('BS-Details'!$D:$D,AA$4&amp;"-"&amp;AA$7,'BS-Details'!$K:$K),2)-AA$51</f>
        <v>0</v>
      </c>
      <c r="AB52" s="47">
        <f>ROUND(SUMIF('BS-Details'!$D:$D,AB$4&amp;"-"&amp;AB$7,'BS-Details'!$K:$K),2)-AB$51</f>
        <v>0</v>
      </c>
      <c r="AC52" s="47">
        <f>ROUND(SUMIF('BS-Details'!$D:$D,AC$4&amp;"-"&amp;AC$7,'BS-Details'!$K:$K),2)-AC$51</f>
        <v>0</v>
      </c>
      <c r="AD52" s="47">
        <f>ROUND(SUMIF('BS-Details'!$D:$D,AD$4&amp;"-"&amp;AD$7,'BS-Details'!$K:$K),2)-AD$51</f>
        <v>0</v>
      </c>
      <c r="AE52" s="47">
        <f>ROUND(SUMIF('BS-Details'!$D:$D,AE$4&amp;"-"&amp;AE$7,'BS-Details'!$K:$K),2)-AE$51</f>
        <v>-264726.36</v>
      </c>
      <c r="AF52" s="47">
        <f>ROUND(SUMIF('BS-Details'!$D:$D,AF$4&amp;"-"&amp;AF$7,'BS-Details'!$K:$K),2)-AF$51</f>
        <v>0</v>
      </c>
      <c r="AG52" s="47">
        <f>ROUND(SUMIF('BS-Details'!$D:$D,AG$4&amp;"-"&amp;AG$7,'BS-Details'!$K:$K),2)-AG$51</f>
        <v>-81316.72</v>
      </c>
      <c r="AH52" s="47">
        <f>ROUND(SUMIF('BS-Details'!$D:$D,AH$4&amp;"-"&amp;AH$7,'BS-Details'!$K:$K),2)-AH$51</f>
        <v>47621.85</v>
      </c>
      <c r="AI52" s="47">
        <f>ROUND(SUMIF('BS-Details'!$D:$D,AI$4&amp;"-"&amp;AI$7,'BS-Details'!$K:$K),2)-AI$51</f>
        <v>0</v>
      </c>
      <c r="AJ52" s="47">
        <f>ROUND(SUMIF('BS-Details'!$D:$D,AJ$4&amp;"-"&amp;AJ$7,'BS-Details'!$K:$K),2)-AJ$51</f>
        <v>118083.78</v>
      </c>
      <c r="AK52" s="47">
        <f>ROUND(SUMIF('BS-Details'!$D:$D,AK$4&amp;"-"&amp;AK$7,'BS-Details'!$K:$K),2)-AK$51</f>
        <v>-49956.54</v>
      </c>
      <c r="AL52" s="47">
        <f>ROUND(SUMIF('BS-Details'!$D:$D,AL$4&amp;"-"&amp;AL$7,'BS-Details'!$K:$K),2)-AL$51</f>
        <v>-39506.42</v>
      </c>
      <c r="AM52" s="47">
        <f>ROUND(SUMIF('BS-Details'!$D:$D,AM$4&amp;"-"&amp;AM$7,'BS-Details'!$K:$K),2)-AM$51</f>
        <v>0</v>
      </c>
      <c r="AN52" s="47">
        <f>ROUND(SUMIF('BS-Details'!$D:$D,AN$4&amp;"-"&amp;AN$7,'BS-Details'!$K:$K),2)-AN$51</f>
        <v>0</v>
      </c>
      <c r="AO52" s="47">
        <f>ROUND(SUMIF('BS-Details'!$D:$D,AO$4&amp;"-"&amp;AO$7,'BS-Details'!$K:$K),2)-AO$51</f>
        <v>8557.35</v>
      </c>
      <c r="AP52" s="47">
        <f>ROUND(SUMIF('BS-Details'!$D:$D,AP$4&amp;"-"&amp;AP$7,'BS-Details'!$K:$K),2)-AP$51</f>
        <v>-10990.37</v>
      </c>
      <c r="AQ52" s="47">
        <f>ROUND(SUMIF('BS-Details'!$D:$D,AQ$4&amp;"-"&amp;AQ$7,'BS-Details'!$K:$K),2)-AQ$51</f>
        <v>7443.41</v>
      </c>
      <c r="AR52" s="47">
        <f>ROUND(SUMIF('BS-Details'!$D:$D,AR$4&amp;"-"&amp;AR$7,'BS-Details'!$K:$K),2)-AR$51</f>
        <v>16551.55</v>
      </c>
      <c r="AS52" s="47">
        <f>ROUND(SUMIF('BS-Details'!$D:$D,AS$4&amp;"-"&amp;AS$7,'BS-Details'!$K:$K),2)-AS$51</f>
        <v>13445.56</v>
      </c>
      <c r="AT52" s="47">
        <f>ROUND(SUMIF('BS-Details'!$D:$D,AT$4&amp;"-"&amp;AT$7,'BS-Details'!$K:$K),2)-AT$51</f>
        <v>0</v>
      </c>
      <c r="AU52" s="47">
        <f>ROUND(SUMIF('BS-Details'!$D:$D,AU$4&amp;"-"&amp;AU$7,'BS-Details'!$K:$K),2)-AU$51</f>
        <v>67353.02</v>
      </c>
      <c r="AV52" s="47">
        <f>ROUND(SUMIF('BS-Details'!$D:$D,AV$4&amp;"-"&amp;AV$7,'BS-Details'!$K:$K),2)-AV$51</f>
        <v>-96565.67</v>
      </c>
      <c r="AW52" s="47">
        <f>ROUND(SUMIF('BS-Details'!$D:$D,AW$4&amp;"-"&amp;AW$7,'BS-Details'!$K:$K),2)-AW$51</f>
        <v>-4815.1</v>
      </c>
      <c r="AX52" s="47">
        <f>ROUND(SUMIF('BS-Details'!$D:$D,AX$4&amp;"-"&amp;AX$7,'BS-Details'!$K:$K),2)-AX$51</f>
        <v>-20220.95</v>
      </c>
      <c r="AY52" s="47">
        <f>ROUND(SUMIF('BS-Details'!$D:$D,AY$4&amp;"-"&amp;AY$7,'BS-Details'!$K:$K),2)-AY$51</f>
        <v>-55883.57</v>
      </c>
      <c r="AZ52" s="47">
        <f>ROUND(SUMIF('BS-Details'!$D:$D,AZ$4&amp;"-"&amp;AZ$7,'BS-Details'!$K:$K),2)-AZ$51</f>
        <v>-4416.86</v>
      </c>
      <c r="BA52" s="47">
        <f>ROUND(SUMIF('BS-Details'!$D:$D,BA$4&amp;"-"&amp;BA$7,'BS-Details'!$K:$K),2)-BA$51</f>
        <v>-59336.77</v>
      </c>
      <c r="BB52" s="47">
        <f>ROUND(SUMIF('BS-Details'!$D:$D,BB$4&amp;"-"&amp;BB$7,'BS-Details'!$K:$K),2)-BB$51</f>
        <v>-3752.57</v>
      </c>
      <c r="BC52" s="47">
        <f>ROUND(SUMIF('BS-Details'!$D:$D,BC$4&amp;"-"&amp;BC$7,'BS-Details'!$K:$K),2)-BC$51</f>
        <v>-28209.04</v>
      </c>
      <c r="BD52" s="47">
        <f>ROUND(SUMIF('BS-Details'!$D:$D,BD$4&amp;"-"&amp;BD$7,'BS-Details'!$K:$K),2)-BD$51</f>
        <v>-19968.04</v>
      </c>
      <c r="BE52" s="47">
        <f>ROUND(SUMIF('BS-Details'!$D:$D,BE$4&amp;"-"&amp;BE$7,'BS-Details'!$K:$K),2)-BE$51</f>
        <v>0</v>
      </c>
      <c r="BF52" s="47">
        <f>ROUND(SUMIF('BS-Details'!$D:$D,BF$4&amp;"-"&amp;BF$7,'BS-Details'!$K:$K),2)-BF$51</f>
        <v>-56934.26</v>
      </c>
      <c r="BG52" s="47">
        <f>ROUND(SUMIF('BS-Details'!$D:$D,BG$4&amp;"-"&amp;BG$7,'BS-Details'!$K:$K),2)-BG$51</f>
        <v>-65355.42</v>
      </c>
      <c r="BH52" s="47">
        <f>ROUND(SUMIF('BS-Details'!$D:$D,BH$4&amp;"-"&amp;BH$7,'BS-Details'!$K:$K),2)-BH$51</f>
        <v>-55566.26</v>
      </c>
      <c r="BI52" s="47">
        <f>ROUND(SUMIF('BS-Details'!$D:$D,BI$4&amp;"-"&amp;BI$7,'BS-Details'!$K:$K),2)-BI$51</f>
        <v>-58316.11</v>
      </c>
      <c r="BJ52" s="47">
        <f>ROUND(SUMIF('BS-Details'!$D:$D,BJ$4&amp;"-"&amp;BJ$7,'BS-Details'!$K:$K),2)-BJ$51</f>
        <v>-69476.06</v>
      </c>
      <c r="BK52" s="47">
        <f>ROUND(SUMIF('BS-Details'!$D:$D,BK$4&amp;"-"&amp;BK$7,'BS-Details'!$K:$K),2)-BK$51</f>
        <v>-9422.93</v>
      </c>
      <c r="BL52" s="47">
        <f>ROUND(SUMIF('BS-Details'!$D:$D,BL$4&amp;"-"&amp;BL$7,'BS-Details'!$K:$K),2)-BL$51</f>
        <v>-57036.33</v>
      </c>
      <c r="BM52" s="47">
        <f>ROUND(SUMIF('BS-Details'!$D:$D,BM$4&amp;"-"&amp;BM$7,'BS-Details'!$K:$K),2)-BM$51</f>
        <v>-37458.74</v>
      </c>
      <c r="BN52" s="47">
        <f>ROUND(SUMIF('BS-Details'!$D:$D,BN$4&amp;"-"&amp;BN$7,'BS-Details'!$K:$K),2)-BN$51</f>
        <v>114374.54</v>
      </c>
      <c r="BO52" s="47">
        <f>ROUND(SUMIF('BS-Details'!$D:$D,BO$4&amp;"-"&amp;BO$7,'BS-Details'!$K:$K),2)-BO$51</f>
        <v>-21454.19</v>
      </c>
      <c r="BP52" s="47">
        <f>ROUND(SUMIF('BS-Details'!$D:$D,BP$4&amp;"-"&amp;BP$7,'BS-Details'!$K:$K),2)-BP$51</f>
        <v>41519.34</v>
      </c>
      <c r="BQ52" s="47">
        <f>ROUND(SUMIF('BS-Details'!$D:$D,BQ$4&amp;"-"&amp;BQ$7,'BS-Details'!$K:$K),2)-BQ$51</f>
        <v>-51849.41</v>
      </c>
      <c r="BR52" s="47">
        <f>ROUND(SUMIF('BS-Details'!$D:$D,BR$4&amp;"-"&amp;BR$7,'BS-Details'!$K:$K),2)-BR$51</f>
        <v>8552.92</v>
      </c>
      <c r="BS52" s="47">
        <f>ROUND(SUMIF('BS-Details'!$D:$D,BS$4&amp;"-"&amp;BS$7,'BS-Details'!$K:$K),2)-BS$51</f>
        <v>-51092.93</v>
      </c>
      <c r="BT52" s="47">
        <f>ROUND(SUMIF('BS-Details'!$D:$D,BT$4&amp;"-"&amp;BT$7,'BS-Details'!$K:$K),2)-BT$51</f>
        <v>402471.75</v>
      </c>
      <c r="BU52" s="47">
        <f>ROUND(SUMIF('BS-Details'!$D:$D,BU$4&amp;"-"&amp;BU$7,'BS-Details'!$K:$K),2)-BU$51</f>
        <v>-44951.48</v>
      </c>
      <c r="BV52" s="47">
        <f>ROUND(SUMIF('BS-Details'!$D:$D,BV$4&amp;"-"&amp;BV$7,'BS-Details'!$K:$K),2)-BV$51</f>
        <v>-105792.91</v>
      </c>
      <c r="BW52" s="47">
        <f>ROUND(SUMIF('BS-Details'!$D:$D,BW$4&amp;"-"&amp;BW$7,'BS-Details'!$K:$K),2)-BW$51</f>
        <v>-57432.38</v>
      </c>
      <c r="BX52" s="47">
        <f>ROUND(SUMIF('BS-Details'!$D:$D,BX$4&amp;"-"&amp;BX$7,'BS-Details'!$K:$K),2)-BX$51</f>
        <v>-28189.72</v>
      </c>
      <c r="BY52" s="47">
        <f>ROUND(SUMIF('BS-Details'!$D:$D,BY$4&amp;"-"&amp;BY$7,'BS-Details'!$K:$K),2)-BY$51</f>
        <v>-55165.7</v>
      </c>
      <c r="BZ52" s="47">
        <f>ROUND(SUMIF('BS-Details'!$D:$D,BZ$4&amp;"-"&amp;BZ$7,'BS-Details'!$K:$K),2)-BZ$51</f>
        <v>-61234.63</v>
      </c>
      <c r="CA52" s="47">
        <f>ROUND(SUMIF('BS-Details'!$D:$D,CA$4&amp;"-"&amp;CA$7,'BS-Details'!$K:$K),2)-CA$51</f>
        <v>-6315.29</v>
      </c>
      <c r="CB52" s="47">
        <f>ROUND(SUMIF('BS-Details'!$D:$D,CB$4&amp;"-"&amp;CB$7,'BS-Details'!$K:$K),2)-CB$51</f>
        <v>-4801.76</v>
      </c>
      <c r="CC52" s="47">
        <f>ROUND(SUMIF('BS-Details'!$D:$D,CC$4&amp;"-"&amp;CC$7,'BS-Details'!$K:$K),2)-CC$51</f>
        <v>2149.53</v>
      </c>
      <c r="CD52" s="47">
        <f>ROUND(SUMIF('BS-Details'!$D:$D,CD$4&amp;"-"&amp;CD$7,'BS-Details'!$K:$K),2)-CD$51</f>
        <v>-2167830.46</v>
      </c>
      <c r="CE52" s="47">
        <f>ROUND(SUMIF('BS-Details'!$D:$D,CE$4&amp;"-"&amp;CE$7,'BS-Details'!$K:$K),2)-CE$51</f>
        <v>-12484359.22</v>
      </c>
      <c r="CF52" s="47">
        <f>ROUND(SUMIF('BS-Details'!$D:$D,CF$4&amp;"-"&amp;CF$7,'BS-Details'!$K:$K),2)-CF$51</f>
        <v>-581990.66</v>
      </c>
      <c r="CG52" s="47">
        <f>ROUND(SUMIF('BS-Details'!$D:$D,CG$4&amp;"-"&amp;CG$7,'BS-Details'!$K:$K),2)-CG$51</f>
        <v>-148535.25</v>
      </c>
      <c r="CH52" s="39">
        <f>SUM(D52:CG52)</f>
        <v>-15957729.97</v>
      </c>
    </row>
    <row r="53" spans="2:86" s="39" customFormat="true" ht="12" customHeight="true">
      <c r="B53" s="39" t="s">
        <v>34195</v>
      </c>
      <c r="U53" s="51"/>
      <c r="AA53" s="51"/>
      <c r="AB53" s="51"/>
      <c r="AC53" s="51"/>
      <c r="AD53" s="51"/>
      <c r="AF53" s="51"/>
      <c r="AI53" s="51"/>
      <c r="AT53" s="51"/>
      <c r="CH53" s="39">
        <f>SUM(D53:CG53)</f>
        <v>0</v>
      </c>
    </row>
    <row r="54" spans="4:85" s="39" customFormat="true" ht="12" customHeight="true">
      <c r="D54" s="46">
        <v>-390</v>
      </c>
      <c r="E54" s="46"/>
      <c r="F54" s="46"/>
      <c r="G54" s="46"/>
      <c r="H54" s="46"/>
      <c r="I54" s="46"/>
      <c r="J54" s="46">
        <v>1670</v>
      </c>
      <c r="K54" s="46"/>
      <c r="L54" s="46">
        <v>64227.21</v>
      </c>
      <c r="M54" s="46"/>
      <c r="N54" s="46"/>
      <c r="O54" s="46"/>
      <c r="P54" s="46"/>
      <c r="Q54" s="46"/>
      <c r="R54" s="46"/>
      <c r="S54" s="46"/>
      <c r="T54" s="46"/>
      <c r="U54" s="51"/>
      <c r="V54" s="46"/>
      <c r="W54" s="46"/>
      <c r="X54" s="46"/>
      <c r="Y54" s="46"/>
      <c r="Z54" s="46"/>
      <c r="AA54" s="51"/>
      <c r="AB54" s="51"/>
      <c r="AC54" s="51"/>
      <c r="AD54" s="51"/>
      <c r="AE54" s="46"/>
      <c r="AF54" s="51"/>
      <c r="AG54" s="46"/>
      <c r="AH54" s="46"/>
      <c r="AI54" s="51"/>
      <c r="AJ54" s="46"/>
      <c r="AK54" s="46"/>
      <c r="AL54" s="46"/>
      <c r="AM54" s="46"/>
      <c r="AN54" s="46"/>
      <c r="AO54" s="46"/>
      <c r="AP54" s="46"/>
      <c r="AQ54" s="46"/>
      <c r="AR54" s="46"/>
      <c r="AS54" s="46"/>
      <c r="AT54" s="51"/>
      <c r="AU54" s="46"/>
      <c r="AV54" s="46">
        <v>-7402.61</v>
      </c>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row>
    <row r="55" spans="4:85" s="39" customFormat="true" ht="12" customHeight="true">
      <c r="D55" s="46"/>
      <c r="E55" s="46"/>
      <c r="F55" s="46"/>
      <c r="G55" s="46"/>
      <c r="H55" s="46"/>
      <c r="I55" s="46"/>
      <c r="J55" s="46"/>
      <c r="K55" s="46"/>
      <c r="L55" s="46"/>
      <c r="M55" s="46"/>
      <c r="N55" s="46"/>
      <c r="O55" s="46"/>
      <c r="P55" s="46"/>
      <c r="Q55" s="46"/>
      <c r="R55" s="46"/>
      <c r="S55" s="46"/>
      <c r="T55" s="46"/>
      <c r="U55" s="51"/>
      <c r="V55" s="46"/>
      <c r="W55" s="46"/>
      <c r="X55" s="46"/>
      <c r="Y55" s="46"/>
      <c r="Z55" s="46"/>
      <c r="AA55" s="51"/>
      <c r="AB55" s="51"/>
      <c r="AC55" s="51"/>
      <c r="AD55" s="51"/>
      <c r="AE55" s="46"/>
      <c r="AF55" s="51"/>
      <c r="AG55" s="46"/>
      <c r="AH55" s="46"/>
      <c r="AI55" s="51"/>
      <c r="AJ55" s="46"/>
      <c r="AK55" s="46"/>
      <c r="AL55" s="46"/>
      <c r="AM55" s="46"/>
      <c r="AN55" s="46"/>
      <c r="AO55" s="46"/>
      <c r="AP55" s="46"/>
      <c r="AQ55" s="46"/>
      <c r="AR55" s="46"/>
      <c r="AS55" s="46"/>
      <c r="AT55" s="51"/>
      <c r="AU55" s="46"/>
      <c r="AV55" s="46">
        <v>40.9</v>
      </c>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row>
    <row r="56" spans="4:85" s="39" customFormat="true" ht="12" customHeight="true">
      <c r="D56" s="46"/>
      <c r="E56" s="46"/>
      <c r="F56" s="46"/>
      <c r="G56" s="46"/>
      <c r="H56" s="46"/>
      <c r="I56" s="46"/>
      <c r="J56" s="46"/>
      <c r="K56" s="46"/>
      <c r="L56" s="46"/>
      <c r="M56" s="46"/>
      <c r="N56" s="46"/>
      <c r="O56" s="46"/>
      <c r="P56" s="46"/>
      <c r="Q56" s="46"/>
      <c r="R56" s="46"/>
      <c r="S56" s="46"/>
      <c r="T56" s="46"/>
      <c r="U56" s="51"/>
      <c r="V56" s="46"/>
      <c r="W56" s="46"/>
      <c r="X56" s="46"/>
      <c r="Y56" s="46"/>
      <c r="Z56" s="46"/>
      <c r="AA56" s="51"/>
      <c r="AB56" s="51"/>
      <c r="AC56" s="51"/>
      <c r="AD56" s="51"/>
      <c r="AE56" s="46"/>
      <c r="AF56" s="51"/>
      <c r="AG56" s="46"/>
      <c r="AH56" s="46"/>
      <c r="AI56" s="51"/>
      <c r="AJ56" s="46"/>
      <c r="AK56" s="46"/>
      <c r="AL56" s="46"/>
      <c r="AM56" s="46"/>
      <c r="AN56" s="46"/>
      <c r="AO56" s="46"/>
      <c r="AP56" s="46"/>
      <c r="AQ56" s="46"/>
      <c r="AR56" s="46"/>
      <c r="AS56" s="46"/>
      <c r="AT56" s="51"/>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row>
    <row r="57" spans="2:86" s="39" customFormat="true" ht="12" customHeight="true">
      <c r="B57" s="39" t="s">
        <v>34196</v>
      </c>
      <c r="D57" s="39">
        <f t="shared" ref="D57:U57" si="6">+SUM(D53:D56)</f>
        <v>-390</v>
      </c>
      <c r="E57" s="39">
        <f t="shared" si="6"/>
        <v>0</v>
      </c>
      <c r="F57" s="39">
        <f t="shared" si="6"/>
        <v>0</v>
      </c>
      <c r="G57" s="39">
        <f t="shared" si="6"/>
        <v>0</v>
      </c>
      <c r="H57" s="39">
        <f t="shared" si="6"/>
        <v>0</v>
      </c>
      <c r="I57" s="39">
        <f t="shared" si="6"/>
        <v>0</v>
      </c>
      <c r="J57" s="39">
        <f t="shared" si="6"/>
        <v>1670</v>
      </c>
      <c r="K57" s="39">
        <f t="shared" si="6"/>
        <v>0</v>
      </c>
      <c r="L57" s="39">
        <f t="shared" si="6"/>
        <v>64227.21</v>
      </c>
      <c r="M57" s="39">
        <f t="shared" si="6"/>
        <v>0</v>
      </c>
      <c r="N57" s="39">
        <f t="shared" si="6"/>
        <v>0</v>
      </c>
      <c r="O57" s="39">
        <f t="shared" si="6"/>
        <v>0</v>
      </c>
      <c r="P57" s="39">
        <f t="shared" si="6"/>
        <v>0</v>
      </c>
      <c r="Q57" s="39">
        <f t="shared" si="6"/>
        <v>0</v>
      </c>
      <c r="R57" s="39">
        <f t="shared" si="6"/>
        <v>0</v>
      </c>
      <c r="S57" s="39">
        <f t="shared" si="6"/>
        <v>0</v>
      </c>
      <c r="T57" s="39">
        <f t="shared" si="6"/>
        <v>0</v>
      </c>
      <c r="U57" s="51">
        <f t="shared" si="6"/>
        <v>0</v>
      </c>
      <c r="V57" s="39">
        <f>+SUM(V54:V56)</f>
        <v>0</v>
      </c>
      <c r="W57" s="39">
        <f t="shared" ref="W57:CG57" si="7">+SUM(W53:W56)</f>
        <v>0</v>
      </c>
      <c r="X57" s="39">
        <f t="shared" si="7"/>
        <v>0</v>
      </c>
      <c r="Y57" s="39">
        <f t="shared" si="7"/>
        <v>0</v>
      </c>
      <c r="Z57" s="39">
        <f t="shared" si="7"/>
        <v>0</v>
      </c>
      <c r="AA57" s="51">
        <f t="shared" si="7"/>
        <v>0</v>
      </c>
      <c r="AB57" s="51">
        <f t="shared" si="7"/>
        <v>0</v>
      </c>
      <c r="AC57" s="51">
        <f t="shared" si="7"/>
        <v>0</v>
      </c>
      <c r="AD57" s="51">
        <f t="shared" si="7"/>
        <v>0</v>
      </c>
      <c r="AE57" s="39">
        <f t="shared" si="7"/>
        <v>0</v>
      </c>
      <c r="AF57" s="51">
        <f t="shared" si="7"/>
        <v>0</v>
      </c>
      <c r="AG57" s="39">
        <f t="shared" si="7"/>
        <v>0</v>
      </c>
      <c r="AH57" s="39">
        <f t="shared" si="7"/>
        <v>0</v>
      </c>
      <c r="AI57" s="51">
        <f t="shared" si="7"/>
        <v>0</v>
      </c>
      <c r="AJ57" s="39">
        <f t="shared" si="7"/>
        <v>0</v>
      </c>
      <c r="AK57" s="39">
        <f t="shared" si="7"/>
        <v>0</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-7361.71</v>
      </c>
      <c r="AW57" s="39">
        <f t="shared" si="7"/>
        <v>0</v>
      </c>
      <c r="AX57" s="39">
        <f t="shared" si="7"/>
        <v>0</v>
      </c>
      <c r="AY57" s="39">
        <f t="shared" si="7"/>
        <v>0</v>
      </c>
      <c r="AZ57" s="39">
        <f t="shared" si="7"/>
        <v>0</v>
      </c>
      <c r="BA57" s="39">
        <f t="shared" si="7"/>
        <v>0</v>
      </c>
      <c r="BB57" s="39">
        <f t="shared" si="7"/>
        <v>0</v>
      </c>
      <c r="BC57" s="39">
        <f t="shared" si="7"/>
        <v>0</v>
      </c>
      <c r="BD57" s="39">
        <f t="shared" si="7"/>
        <v>0</v>
      </c>
      <c r="BE57" s="39">
        <f t="shared" si="7"/>
        <v>0</v>
      </c>
      <c r="BF57" s="39">
        <f t="shared" si="7"/>
        <v>0</v>
      </c>
      <c r="BG57" s="39">
        <f t="shared" si="7"/>
        <v>0</v>
      </c>
      <c r="BH57" s="39">
        <f t="shared" si="7"/>
        <v>0</v>
      </c>
      <c r="BI57" s="39">
        <f t="shared" si="7"/>
        <v>0</v>
      </c>
      <c r="BJ57" s="39">
        <f t="shared" si="7"/>
        <v>0</v>
      </c>
      <c r="BK57" s="39">
        <f t="shared" si="7"/>
        <v>0</v>
      </c>
      <c r="BL57" s="39">
        <f t="shared" si="7"/>
        <v>0</v>
      </c>
      <c r="BM57" s="39">
        <f t="shared" si="7"/>
        <v>0</v>
      </c>
      <c r="BN57" s="39">
        <f t="shared" si="7"/>
        <v>0</v>
      </c>
      <c r="BO57" s="39">
        <f t="shared" si="7"/>
        <v>0</v>
      </c>
      <c r="BP57" s="39">
        <f t="shared" si="7"/>
        <v>0</v>
      </c>
      <c r="BQ57" s="39">
        <f t="shared" si="7"/>
        <v>0</v>
      </c>
      <c r="BR57" s="39">
        <f t="shared" si="7"/>
        <v>0</v>
      </c>
      <c r="BS57" s="39">
        <f t="shared" si="7"/>
        <v>0</v>
      </c>
      <c r="BT57" s="39">
        <f t="shared" si="7"/>
        <v>0</v>
      </c>
      <c r="BU57" s="39">
        <f t="shared" si="7"/>
        <v>0</v>
      </c>
      <c r="BV57" s="39">
        <f t="shared" si="7"/>
        <v>0</v>
      </c>
      <c r="BW57" s="39">
        <f t="shared" si="7"/>
        <v>0</v>
      </c>
      <c r="BX57" s="39">
        <f t="shared" si="7"/>
        <v>0</v>
      </c>
      <c r="BY57" s="39">
        <f t="shared" si="7"/>
        <v>0</v>
      </c>
      <c r="BZ57" s="39">
        <f t="shared" si="7"/>
        <v>0</v>
      </c>
      <c r="CA57" s="39">
        <f t="shared" si="7"/>
        <v>0</v>
      </c>
      <c r="CB57" s="39">
        <f t="shared" si="7"/>
        <v>0</v>
      </c>
      <c r="CC57" s="39">
        <f t="shared" si="7"/>
        <v>0</v>
      </c>
      <c r="CD57" s="39">
        <f t="shared" si="7"/>
        <v>0</v>
      </c>
      <c r="CE57" s="39">
        <f t="shared" si="7"/>
        <v>0</v>
      </c>
      <c r="CF57" s="39">
        <f t="shared" si="7"/>
        <v>0</v>
      </c>
      <c r="CG57" s="39">
        <f t="shared" si="7"/>
        <v>0</v>
      </c>
      <c r="CH57" s="39">
        <f>SUM(D57:CG57)</f>
        <v>58145.5</v>
      </c>
    </row>
    <row r="58" spans="21:46" s="39" customFormat="true" ht="12" customHeight="true">
      <c r="U58" s="51"/>
      <c r="AA58" s="51"/>
      <c r="AB58" s="51"/>
      <c r="AC58" s="51"/>
      <c r="AD58" s="51"/>
      <c r="AF58" s="51"/>
      <c r="AI58" s="51"/>
      <c r="AT58" s="51"/>
    </row>
    <row r="59" spans="2:46" s="39" customFormat="true" ht="12" customHeight="true">
      <c r="B59" s="39" t="s">
        <v>34197</v>
      </c>
      <c r="U59" s="51"/>
      <c r="AA59" s="51"/>
      <c r="AB59" s="51"/>
      <c r="AC59" s="51"/>
      <c r="AD59" s="51"/>
      <c r="AF59" s="51"/>
      <c r="AI59" s="51"/>
      <c r="AT59" s="51"/>
    </row>
    <row r="60" spans="4:85" s="39" customFormat="true" ht="12" customHeight="true">
      <c r="D60" s="46"/>
      <c r="E60" s="46"/>
      <c r="F60" s="46"/>
      <c r="G60" s="46"/>
      <c r="H60" s="46"/>
      <c r="I60" s="46"/>
      <c r="J60" s="46"/>
      <c r="K60" s="46"/>
      <c r="L60" s="46"/>
      <c r="M60" s="46"/>
      <c r="N60" s="46"/>
      <c r="O60" s="46"/>
      <c r="P60" s="46"/>
      <c r="Q60" s="46"/>
      <c r="R60" s="46"/>
      <c r="S60" s="46"/>
      <c r="T60" s="46"/>
      <c r="U60" s="51"/>
      <c r="V60" s="46"/>
      <c r="W60" s="46"/>
      <c r="X60" s="46"/>
      <c r="Y60" s="46"/>
      <c r="Z60" s="46"/>
      <c r="AA60" s="51"/>
      <c r="AB60" s="51"/>
      <c r="AC60" s="51"/>
      <c r="AD60" s="51"/>
      <c r="AE60" s="46"/>
      <c r="AF60" s="51"/>
      <c r="AG60" s="46"/>
      <c r="AH60" s="46"/>
      <c r="AI60" s="51"/>
      <c r="AJ60" s="46"/>
      <c r="AK60" s="46"/>
      <c r="AL60" s="46"/>
      <c r="AM60" s="46"/>
      <c r="AN60" s="46"/>
      <c r="AO60" s="46"/>
      <c r="AP60" s="46"/>
      <c r="AQ60" s="46"/>
      <c r="AR60" s="46"/>
      <c r="AS60" s="46"/>
      <c r="AT60" s="51"/>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row>
    <row r="61" spans="4:85" s="39" customFormat="true" ht="12" customHeight="true">
      <c r="D61" s="46"/>
      <c r="E61" s="46"/>
      <c r="F61" s="46"/>
      <c r="G61" s="46"/>
      <c r="H61" s="46"/>
      <c r="I61" s="46"/>
      <c r="J61" s="46"/>
      <c r="K61" s="46"/>
      <c r="L61" s="46"/>
      <c r="M61" s="46"/>
      <c r="N61" s="46"/>
      <c r="O61" s="46"/>
      <c r="P61" s="46"/>
      <c r="Q61" s="46"/>
      <c r="R61" s="46"/>
      <c r="S61" s="46"/>
      <c r="T61" s="46"/>
      <c r="U61" s="51"/>
      <c r="V61" s="46"/>
      <c r="W61" s="46"/>
      <c r="X61" s="46"/>
      <c r="Y61" s="46"/>
      <c r="Z61" s="46"/>
      <c r="AA61" s="51"/>
      <c r="AB61" s="51"/>
      <c r="AC61" s="51"/>
      <c r="AD61" s="51"/>
      <c r="AE61" s="46"/>
      <c r="AF61" s="51"/>
      <c r="AG61" s="46"/>
      <c r="AH61" s="46"/>
      <c r="AI61" s="51"/>
      <c r="AJ61" s="46"/>
      <c r="AK61" s="46"/>
      <c r="AL61" s="46"/>
      <c r="AM61" s="46"/>
      <c r="AN61" s="46"/>
      <c r="AO61" s="46"/>
      <c r="AP61" s="46"/>
      <c r="AQ61" s="46"/>
      <c r="AR61" s="46"/>
      <c r="AS61" s="46"/>
      <c r="AT61" s="51"/>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row>
    <row r="62" spans="4:85" s="39" customFormat="true" ht="12" customHeight="true">
      <c r="D62" s="46"/>
      <c r="E62" s="46"/>
      <c r="F62" s="46"/>
      <c r="G62" s="46"/>
      <c r="H62" s="46"/>
      <c r="I62" s="46"/>
      <c r="J62" s="46"/>
      <c r="K62" s="46"/>
      <c r="L62" s="46"/>
      <c r="M62" s="46"/>
      <c r="N62" s="46"/>
      <c r="O62" s="46"/>
      <c r="P62" s="46"/>
      <c r="Q62" s="46"/>
      <c r="R62" s="46"/>
      <c r="S62" s="46"/>
      <c r="T62" s="46"/>
      <c r="U62" s="51"/>
      <c r="V62" s="46"/>
      <c r="W62" s="46"/>
      <c r="X62" s="46"/>
      <c r="Y62" s="46"/>
      <c r="Z62" s="46"/>
      <c r="AA62" s="51"/>
      <c r="AB62" s="51"/>
      <c r="AC62" s="51"/>
      <c r="AD62" s="51"/>
      <c r="AE62" s="46"/>
      <c r="AF62" s="51"/>
      <c r="AG62" s="46"/>
      <c r="AH62" s="46"/>
      <c r="AI62" s="51"/>
      <c r="AJ62" s="46"/>
      <c r="AK62" s="46"/>
      <c r="AL62" s="46"/>
      <c r="AM62" s="46"/>
      <c r="AN62" s="46"/>
      <c r="AO62" s="46"/>
      <c r="AP62" s="46"/>
      <c r="AQ62" s="46"/>
      <c r="AR62" s="46"/>
      <c r="AS62" s="46"/>
      <c r="AT62" s="51"/>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row>
    <row r="63" spans="4:85" s="39" customFormat="true" ht="12" customHeight="true">
      <c r="D63" s="46"/>
      <c r="E63" s="46"/>
      <c r="F63" s="46"/>
      <c r="G63" s="46"/>
      <c r="H63" s="46"/>
      <c r="I63" s="46"/>
      <c r="J63" s="46"/>
      <c r="K63" s="46"/>
      <c r="L63" s="46"/>
      <c r="M63" s="46"/>
      <c r="N63" s="46"/>
      <c r="O63" s="46"/>
      <c r="P63" s="46"/>
      <c r="Q63" s="46"/>
      <c r="R63" s="46"/>
      <c r="S63" s="46"/>
      <c r="T63" s="46"/>
      <c r="U63" s="51"/>
      <c r="V63" s="46"/>
      <c r="W63" s="46"/>
      <c r="X63" s="46"/>
      <c r="Y63" s="46"/>
      <c r="Z63" s="46"/>
      <c r="AA63" s="51"/>
      <c r="AB63" s="51"/>
      <c r="AC63" s="51"/>
      <c r="AD63" s="51"/>
      <c r="AE63" s="46"/>
      <c r="AF63" s="51"/>
      <c r="AG63" s="46"/>
      <c r="AH63" s="46"/>
      <c r="AI63" s="51"/>
      <c r="AJ63" s="46"/>
      <c r="AK63" s="46"/>
      <c r="AL63" s="46"/>
      <c r="AM63" s="46"/>
      <c r="AN63" s="46"/>
      <c r="AO63" s="46"/>
      <c r="AP63" s="46"/>
      <c r="AQ63" s="46"/>
      <c r="AR63" s="46"/>
      <c r="AS63" s="46"/>
      <c r="AT63" s="51"/>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row>
    <row r="64" spans="4:85" s="39" customFormat="true" ht="12" customHeight="true">
      <c r="D64" s="46"/>
      <c r="E64" s="46"/>
      <c r="F64" s="46"/>
      <c r="G64" s="46"/>
      <c r="H64" s="46"/>
      <c r="I64" s="46"/>
      <c r="J64" s="46"/>
      <c r="K64" s="46"/>
      <c r="L64" s="46"/>
      <c r="M64" s="46"/>
      <c r="N64" s="46"/>
      <c r="O64" s="46"/>
      <c r="P64" s="46"/>
      <c r="Q64" s="46"/>
      <c r="R64" s="46"/>
      <c r="S64" s="46"/>
      <c r="T64" s="46"/>
      <c r="U64" s="51"/>
      <c r="V64" s="46"/>
      <c r="W64" s="46"/>
      <c r="X64" s="46"/>
      <c r="Y64" s="46"/>
      <c r="Z64" s="46"/>
      <c r="AA64" s="51"/>
      <c r="AB64" s="51"/>
      <c r="AC64" s="51"/>
      <c r="AD64" s="51"/>
      <c r="AE64" s="46"/>
      <c r="AF64" s="51"/>
      <c r="AG64" s="46"/>
      <c r="AH64" s="46"/>
      <c r="AI64" s="51"/>
      <c r="AJ64" s="46"/>
      <c r="AK64" s="46"/>
      <c r="AL64" s="46"/>
      <c r="AM64" s="46"/>
      <c r="AN64" s="46"/>
      <c r="AO64" s="46"/>
      <c r="AP64" s="46"/>
      <c r="AQ64" s="46"/>
      <c r="AR64" s="46"/>
      <c r="AS64" s="46"/>
      <c r="AT64" s="51"/>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row>
    <row r="65" spans="4:85" s="39" customFormat="true" ht="12" customHeight="true">
      <c r="D65" s="46"/>
      <c r="E65" s="46"/>
      <c r="F65" s="46"/>
      <c r="G65" s="46"/>
      <c r="H65" s="46"/>
      <c r="I65" s="46"/>
      <c r="J65" s="46"/>
      <c r="K65" s="46"/>
      <c r="L65" s="46"/>
      <c r="M65" s="46"/>
      <c r="N65" s="46"/>
      <c r="O65" s="46"/>
      <c r="P65" s="46"/>
      <c r="Q65" s="46"/>
      <c r="R65" s="46"/>
      <c r="S65" s="46"/>
      <c r="T65" s="46"/>
      <c r="U65" s="51"/>
      <c r="V65" s="46"/>
      <c r="W65" s="46"/>
      <c r="X65" s="46"/>
      <c r="Y65" s="46"/>
      <c r="Z65" s="46"/>
      <c r="AA65" s="51"/>
      <c r="AB65" s="51"/>
      <c r="AC65" s="51"/>
      <c r="AD65" s="51"/>
      <c r="AE65" s="46"/>
      <c r="AF65" s="51"/>
      <c r="AG65" s="46"/>
      <c r="AH65" s="46"/>
      <c r="AI65" s="51"/>
      <c r="AJ65" s="46"/>
      <c r="AK65" s="46"/>
      <c r="AL65" s="46"/>
      <c r="AM65" s="46"/>
      <c r="AN65" s="46"/>
      <c r="AO65" s="46"/>
      <c r="AP65" s="46"/>
      <c r="AQ65" s="46"/>
      <c r="AR65" s="46"/>
      <c r="AS65" s="46"/>
      <c r="AT65" s="51"/>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row>
    <row r="66" spans="4:85" s="39" customFormat="true" ht="12" customHeight="true">
      <c r="D66" s="46"/>
      <c r="E66" s="46"/>
      <c r="F66" s="46"/>
      <c r="G66" s="46"/>
      <c r="H66" s="46"/>
      <c r="I66" s="46"/>
      <c r="J66" s="46"/>
      <c r="K66" s="46"/>
      <c r="L66" s="46"/>
      <c r="M66" s="46"/>
      <c r="N66" s="46"/>
      <c r="O66" s="46"/>
      <c r="P66" s="46"/>
      <c r="Q66" s="46"/>
      <c r="R66" s="46"/>
      <c r="S66" s="46"/>
      <c r="T66" s="46"/>
      <c r="U66" s="51"/>
      <c r="V66" s="46"/>
      <c r="W66" s="46"/>
      <c r="X66" s="46"/>
      <c r="Y66" s="46"/>
      <c r="Z66" s="46"/>
      <c r="AA66" s="51"/>
      <c r="AB66" s="51"/>
      <c r="AC66" s="51"/>
      <c r="AD66" s="51"/>
      <c r="AE66" s="46"/>
      <c r="AF66" s="51"/>
      <c r="AG66" s="46"/>
      <c r="AH66" s="46"/>
      <c r="AI66" s="51"/>
      <c r="AJ66" s="46"/>
      <c r="AK66" s="46"/>
      <c r="AL66" s="46"/>
      <c r="AM66" s="46"/>
      <c r="AN66" s="46"/>
      <c r="AO66" s="46"/>
      <c r="AP66" s="46"/>
      <c r="AQ66" s="46"/>
      <c r="AR66" s="46"/>
      <c r="AS66" s="46"/>
      <c r="AT66" s="51"/>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row>
    <row r="67" spans="4:85" s="39" customFormat="true" ht="12" customHeight="true">
      <c r="D67" s="46"/>
      <c r="E67" s="46"/>
      <c r="F67" s="46"/>
      <c r="G67" s="46"/>
      <c r="H67" s="46"/>
      <c r="I67" s="46"/>
      <c r="J67" s="46"/>
      <c r="K67" s="46"/>
      <c r="L67" s="46"/>
      <c r="M67" s="46"/>
      <c r="N67" s="46"/>
      <c r="O67" s="46"/>
      <c r="P67" s="46"/>
      <c r="Q67" s="46"/>
      <c r="R67" s="46"/>
      <c r="S67" s="46"/>
      <c r="T67" s="46"/>
      <c r="U67" s="51"/>
      <c r="V67" s="46"/>
      <c r="W67" s="46"/>
      <c r="X67" s="46"/>
      <c r="Y67" s="46"/>
      <c r="Z67" s="46"/>
      <c r="AA67" s="51"/>
      <c r="AB67" s="51"/>
      <c r="AC67" s="51"/>
      <c r="AD67" s="51"/>
      <c r="AE67" s="46"/>
      <c r="AF67" s="51"/>
      <c r="AG67" s="46"/>
      <c r="AH67" s="46"/>
      <c r="AI67" s="51"/>
      <c r="AJ67" s="46"/>
      <c r="AK67" s="46"/>
      <c r="AL67" s="46"/>
      <c r="AM67" s="46"/>
      <c r="AN67" s="46"/>
      <c r="AO67" s="46"/>
      <c r="AP67" s="46"/>
      <c r="AQ67" s="46"/>
      <c r="AR67" s="46"/>
      <c r="AS67" s="46"/>
      <c r="AT67" s="51"/>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row>
    <row r="68" spans="4:85" s="39" customFormat="true" ht="12" customHeight="true">
      <c r="D68" s="46"/>
      <c r="E68" s="46"/>
      <c r="F68" s="46"/>
      <c r="G68" s="46"/>
      <c r="H68" s="46"/>
      <c r="I68" s="46"/>
      <c r="J68" s="46"/>
      <c r="K68" s="46"/>
      <c r="L68" s="46"/>
      <c r="M68" s="46"/>
      <c r="N68" s="46"/>
      <c r="O68" s="46"/>
      <c r="P68" s="46"/>
      <c r="Q68" s="46"/>
      <c r="R68" s="46"/>
      <c r="S68" s="46"/>
      <c r="T68" s="46"/>
      <c r="U68" s="51"/>
      <c r="V68" s="46"/>
      <c r="W68" s="46"/>
      <c r="X68" s="46"/>
      <c r="Y68" s="46"/>
      <c r="Z68" s="46"/>
      <c r="AA68" s="51"/>
      <c r="AB68" s="51"/>
      <c r="AC68" s="51"/>
      <c r="AD68" s="51"/>
      <c r="AE68" s="46"/>
      <c r="AF68" s="51"/>
      <c r="AG68" s="46"/>
      <c r="AH68" s="46"/>
      <c r="AI68" s="51"/>
      <c r="AJ68" s="46"/>
      <c r="AK68" s="46"/>
      <c r="AL68" s="46"/>
      <c r="AM68" s="46"/>
      <c r="AN68" s="46"/>
      <c r="AO68" s="46"/>
      <c r="AP68" s="46"/>
      <c r="AQ68" s="46"/>
      <c r="AR68" s="46"/>
      <c r="AS68" s="46"/>
      <c r="AT68" s="51"/>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row>
    <row r="69" spans="4:85" s="39" customFormat="true" ht="12" customHeight="true">
      <c r="D69" s="46"/>
      <c r="E69" s="46"/>
      <c r="F69" s="46"/>
      <c r="G69" s="46"/>
      <c r="H69" s="46"/>
      <c r="I69" s="46"/>
      <c r="J69" s="46"/>
      <c r="K69" s="46"/>
      <c r="L69" s="46"/>
      <c r="M69" s="46"/>
      <c r="N69" s="46"/>
      <c r="O69" s="46"/>
      <c r="P69" s="46"/>
      <c r="Q69" s="46"/>
      <c r="R69" s="46"/>
      <c r="S69" s="46"/>
      <c r="T69" s="46"/>
      <c r="U69" s="51"/>
      <c r="V69" s="46"/>
      <c r="W69" s="46"/>
      <c r="X69" s="46"/>
      <c r="Y69" s="46"/>
      <c r="Z69" s="46"/>
      <c r="AA69" s="51"/>
      <c r="AB69" s="51"/>
      <c r="AC69" s="51"/>
      <c r="AD69" s="51"/>
      <c r="AE69" s="46"/>
      <c r="AF69" s="51"/>
      <c r="AG69" s="46"/>
      <c r="AH69" s="46"/>
      <c r="AI69" s="51"/>
      <c r="AJ69" s="46"/>
      <c r="AK69" s="46"/>
      <c r="AL69" s="46"/>
      <c r="AM69" s="46"/>
      <c r="AN69" s="46"/>
      <c r="AO69" s="46"/>
      <c r="AP69" s="46"/>
      <c r="AQ69" s="46"/>
      <c r="AR69" s="46"/>
      <c r="AS69" s="46"/>
      <c r="AT69" s="51"/>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row>
    <row r="70" spans="4:85" s="39" customFormat="true" ht="12" customHeight="true">
      <c r="D70" s="46"/>
      <c r="E70" s="46"/>
      <c r="F70" s="46"/>
      <c r="G70" s="46"/>
      <c r="H70" s="46"/>
      <c r="I70" s="46"/>
      <c r="J70" s="46"/>
      <c r="K70" s="46"/>
      <c r="L70" s="46"/>
      <c r="M70" s="46"/>
      <c r="N70" s="46"/>
      <c r="O70" s="46"/>
      <c r="P70" s="46"/>
      <c r="Q70" s="46"/>
      <c r="R70" s="46"/>
      <c r="S70" s="46"/>
      <c r="T70" s="46"/>
      <c r="U70" s="51"/>
      <c r="V70" s="46"/>
      <c r="W70" s="46"/>
      <c r="X70" s="46"/>
      <c r="Y70" s="46"/>
      <c r="Z70" s="46"/>
      <c r="AA70" s="51"/>
      <c r="AB70" s="51"/>
      <c r="AC70" s="51"/>
      <c r="AD70" s="51"/>
      <c r="AE70" s="46"/>
      <c r="AF70" s="51"/>
      <c r="AG70" s="46"/>
      <c r="AH70" s="46"/>
      <c r="AI70" s="51"/>
      <c r="AJ70" s="46"/>
      <c r="AK70" s="46"/>
      <c r="AL70" s="46"/>
      <c r="AM70" s="46"/>
      <c r="AN70" s="46"/>
      <c r="AO70" s="46"/>
      <c r="AP70" s="46"/>
      <c r="AQ70" s="46"/>
      <c r="AR70" s="46"/>
      <c r="AS70" s="46"/>
      <c r="AT70" s="51"/>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row>
    <row r="71" spans="4:85" s="39" customFormat="true" ht="12" customHeight="true">
      <c r="D71" s="46"/>
      <c r="E71" s="46"/>
      <c r="F71" s="46"/>
      <c r="G71" s="46"/>
      <c r="H71" s="46"/>
      <c r="I71" s="46"/>
      <c r="J71" s="46"/>
      <c r="K71" s="46"/>
      <c r="L71" s="46"/>
      <c r="M71" s="46"/>
      <c r="N71" s="46"/>
      <c r="O71" s="46"/>
      <c r="P71" s="46"/>
      <c r="Q71" s="46"/>
      <c r="R71" s="46"/>
      <c r="S71" s="46"/>
      <c r="T71" s="46"/>
      <c r="U71" s="51"/>
      <c r="V71" s="46"/>
      <c r="W71" s="46"/>
      <c r="X71" s="46"/>
      <c r="Y71" s="46"/>
      <c r="Z71" s="46"/>
      <c r="AA71" s="51"/>
      <c r="AB71" s="51"/>
      <c r="AC71" s="51"/>
      <c r="AD71" s="51"/>
      <c r="AE71" s="46"/>
      <c r="AF71" s="51"/>
      <c r="AG71" s="46"/>
      <c r="AH71" s="46"/>
      <c r="AI71" s="51"/>
      <c r="AJ71" s="46"/>
      <c r="AK71" s="46"/>
      <c r="AL71" s="46"/>
      <c r="AM71" s="46"/>
      <c r="AN71" s="46"/>
      <c r="AO71" s="46"/>
      <c r="AP71" s="46"/>
      <c r="AQ71" s="46"/>
      <c r="AR71" s="46"/>
      <c r="AS71" s="46"/>
      <c r="AT71" s="51"/>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row>
    <row r="72" spans="4:85" s="39" customFormat="true" ht="12" customHeight="true">
      <c r="D72" s="46"/>
      <c r="E72" s="46"/>
      <c r="F72" s="46"/>
      <c r="G72" s="46"/>
      <c r="H72" s="46"/>
      <c r="I72" s="46"/>
      <c r="J72" s="46"/>
      <c r="K72" s="46"/>
      <c r="L72" s="46"/>
      <c r="M72" s="46"/>
      <c r="N72" s="46"/>
      <c r="O72" s="46"/>
      <c r="P72" s="46"/>
      <c r="Q72" s="46"/>
      <c r="R72" s="46"/>
      <c r="S72" s="46"/>
      <c r="T72" s="46"/>
      <c r="U72" s="51"/>
      <c r="V72" s="46"/>
      <c r="W72" s="46"/>
      <c r="X72" s="46"/>
      <c r="Y72" s="46"/>
      <c r="Z72" s="46"/>
      <c r="AA72" s="51"/>
      <c r="AB72" s="51"/>
      <c r="AC72" s="51"/>
      <c r="AD72" s="51"/>
      <c r="AE72" s="46"/>
      <c r="AF72" s="51"/>
      <c r="AG72" s="46"/>
      <c r="AH72" s="46"/>
      <c r="AI72" s="51"/>
      <c r="AJ72" s="46"/>
      <c r="AK72" s="46"/>
      <c r="AL72" s="46"/>
      <c r="AM72" s="46"/>
      <c r="AN72" s="46"/>
      <c r="AO72" s="46"/>
      <c r="AP72" s="46"/>
      <c r="AQ72" s="46"/>
      <c r="AR72" s="46"/>
      <c r="AS72" s="46"/>
      <c r="AT72" s="51"/>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row>
    <row r="73" spans="4:85" s="39" customFormat="true" ht="12" customHeight="true">
      <c r="D73" s="46"/>
      <c r="E73" s="46"/>
      <c r="F73" s="46"/>
      <c r="G73" s="46"/>
      <c r="H73" s="46"/>
      <c r="I73" s="46"/>
      <c r="J73" s="46"/>
      <c r="K73" s="46"/>
      <c r="L73" s="46"/>
      <c r="M73" s="46"/>
      <c r="N73" s="46"/>
      <c r="O73" s="46"/>
      <c r="P73" s="46"/>
      <c r="Q73" s="46"/>
      <c r="R73" s="46"/>
      <c r="S73" s="46"/>
      <c r="T73" s="46"/>
      <c r="U73" s="51"/>
      <c r="V73" s="46"/>
      <c r="W73" s="46"/>
      <c r="X73" s="46"/>
      <c r="Y73" s="46"/>
      <c r="Z73" s="46"/>
      <c r="AA73" s="51"/>
      <c r="AB73" s="51"/>
      <c r="AC73" s="51"/>
      <c r="AD73" s="51"/>
      <c r="AE73" s="46"/>
      <c r="AF73" s="51"/>
      <c r="AG73" s="46"/>
      <c r="AH73" s="46"/>
      <c r="AI73" s="51"/>
      <c r="AJ73" s="46"/>
      <c r="AK73" s="46"/>
      <c r="AL73" s="46"/>
      <c r="AM73" s="46"/>
      <c r="AN73" s="46"/>
      <c r="AO73" s="46"/>
      <c r="AP73" s="46"/>
      <c r="AQ73" s="46"/>
      <c r="AR73" s="46"/>
      <c r="AS73" s="46"/>
      <c r="AT73" s="51"/>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row>
    <row r="74" spans="4:85" s="39" customFormat="true" ht="12" customHeight="true">
      <c r="D74" s="46"/>
      <c r="E74" s="46"/>
      <c r="F74" s="46"/>
      <c r="G74" s="46"/>
      <c r="H74" s="46"/>
      <c r="I74" s="46"/>
      <c r="J74" s="46"/>
      <c r="K74" s="46"/>
      <c r="L74" s="46"/>
      <c r="M74" s="46"/>
      <c r="N74" s="46"/>
      <c r="O74" s="46"/>
      <c r="P74" s="46"/>
      <c r="Q74" s="46"/>
      <c r="R74" s="46"/>
      <c r="S74" s="46"/>
      <c r="T74" s="46"/>
      <c r="U74" s="51"/>
      <c r="V74" s="46"/>
      <c r="W74" s="46"/>
      <c r="X74" s="46"/>
      <c r="Y74" s="46"/>
      <c r="Z74" s="46"/>
      <c r="AA74" s="51"/>
      <c r="AB74" s="51"/>
      <c r="AC74" s="51"/>
      <c r="AD74" s="51"/>
      <c r="AE74" s="46"/>
      <c r="AF74" s="51"/>
      <c r="AG74" s="46"/>
      <c r="AH74" s="46"/>
      <c r="AI74" s="51"/>
      <c r="AJ74" s="46"/>
      <c r="AK74" s="46"/>
      <c r="AL74" s="46"/>
      <c r="AM74" s="46"/>
      <c r="AN74" s="46"/>
      <c r="AO74" s="46"/>
      <c r="AP74" s="46"/>
      <c r="AQ74" s="46"/>
      <c r="AR74" s="46"/>
      <c r="AS74" s="46"/>
      <c r="AT74" s="51"/>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row>
    <row r="75" spans="4:85" s="39" customFormat="true" ht="12" customHeight="true">
      <c r="D75" s="46"/>
      <c r="E75" s="46"/>
      <c r="F75" s="46"/>
      <c r="G75" s="46"/>
      <c r="H75" s="46"/>
      <c r="I75" s="46"/>
      <c r="J75" s="46"/>
      <c r="K75" s="46"/>
      <c r="L75" s="46"/>
      <c r="M75" s="46"/>
      <c r="N75" s="46"/>
      <c r="O75" s="46"/>
      <c r="P75" s="46"/>
      <c r="Q75" s="46"/>
      <c r="R75" s="46"/>
      <c r="S75" s="46"/>
      <c r="T75" s="46"/>
      <c r="U75" s="51"/>
      <c r="V75" s="46"/>
      <c r="W75" s="46"/>
      <c r="X75" s="46"/>
      <c r="Y75" s="46"/>
      <c r="Z75" s="46"/>
      <c r="AA75" s="51"/>
      <c r="AB75" s="51"/>
      <c r="AC75" s="51"/>
      <c r="AD75" s="51"/>
      <c r="AE75" s="46"/>
      <c r="AF75" s="51"/>
      <c r="AG75" s="46"/>
      <c r="AH75" s="46"/>
      <c r="AI75" s="51"/>
      <c r="AJ75" s="46"/>
      <c r="AK75" s="46"/>
      <c r="AL75" s="46"/>
      <c r="AM75" s="46"/>
      <c r="AN75" s="46"/>
      <c r="AO75" s="46"/>
      <c r="AP75" s="46"/>
      <c r="AQ75" s="46"/>
      <c r="AR75" s="46"/>
      <c r="AS75" s="46"/>
      <c r="AT75" s="51"/>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row>
    <row r="76" spans="4:85" s="39" customFormat="true" ht="12" customHeight="true">
      <c r="D76" s="46"/>
      <c r="E76" s="46"/>
      <c r="F76" s="46"/>
      <c r="G76" s="46"/>
      <c r="H76" s="46"/>
      <c r="I76" s="46"/>
      <c r="J76" s="46"/>
      <c r="K76" s="46"/>
      <c r="L76" s="46"/>
      <c r="M76" s="46"/>
      <c r="N76" s="46"/>
      <c r="O76" s="46"/>
      <c r="P76" s="46"/>
      <c r="Q76" s="46"/>
      <c r="R76" s="46"/>
      <c r="S76" s="46"/>
      <c r="T76" s="46"/>
      <c r="U76" s="51"/>
      <c r="V76" s="46"/>
      <c r="W76" s="46"/>
      <c r="X76" s="46"/>
      <c r="Y76" s="46"/>
      <c r="Z76" s="46"/>
      <c r="AA76" s="51"/>
      <c r="AB76" s="51"/>
      <c r="AC76" s="51"/>
      <c r="AD76" s="51"/>
      <c r="AE76" s="46"/>
      <c r="AF76" s="51"/>
      <c r="AG76" s="46"/>
      <c r="AH76" s="46"/>
      <c r="AI76" s="51"/>
      <c r="AJ76" s="46"/>
      <c r="AK76" s="46"/>
      <c r="AL76" s="46"/>
      <c r="AM76" s="46"/>
      <c r="AN76" s="46"/>
      <c r="AO76" s="46"/>
      <c r="AP76" s="46"/>
      <c r="AQ76" s="46"/>
      <c r="AR76" s="46"/>
      <c r="AS76" s="46"/>
      <c r="AT76" s="51"/>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row>
    <row r="77" spans="2:86" s="39" customFormat="true" ht="12" customHeight="true">
      <c r="B77" s="39" t="s">
        <v>34198</v>
      </c>
      <c r="D77" s="39">
        <f t="shared" ref="D77:Y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39">
        <f t="shared" si="8"/>
        <v>0</v>
      </c>
      <c r="U77" s="51">
        <f t="shared" si="8"/>
        <v>0</v>
      </c>
      <c r="V77" s="39">
        <f t="shared" si="8"/>
        <v>0</v>
      </c>
      <c r="W77" s="39">
        <f t="shared" si="8"/>
        <v>0</v>
      </c>
      <c r="X77" s="39">
        <f t="shared" si="8"/>
        <v>0</v>
      </c>
      <c r="Y77" s="39">
        <f t="shared" si="8"/>
        <v>0</v>
      </c>
      <c r="AA77" s="51">
        <f t="shared" ref="AA77:CG77" si="9">+SUM(AA59:AA76)</f>
        <v>0</v>
      </c>
      <c r="AB77" s="51">
        <f t="shared" si="9"/>
        <v>0</v>
      </c>
      <c r="AC77" s="51">
        <f t="shared" si="9"/>
        <v>0</v>
      </c>
      <c r="AD77" s="51">
        <f t="shared" si="9"/>
        <v>0</v>
      </c>
      <c r="AE77" s="39">
        <f t="shared" si="9"/>
        <v>0</v>
      </c>
      <c r="AF77" s="51">
        <f t="shared" si="9"/>
        <v>0</v>
      </c>
      <c r="AG77" s="39">
        <f t="shared" si="9"/>
        <v>0</v>
      </c>
      <c r="AH77" s="39">
        <f t="shared" si="9"/>
        <v>0</v>
      </c>
      <c r="AI77" s="51">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39">
        <f t="shared" si="9"/>
        <v>0</v>
      </c>
      <c r="AT77" s="51">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39">
        <f t="shared" si="9"/>
        <v>0</v>
      </c>
      <c r="BR77" s="39">
        <f t="shared" si="9"/>
        <v>0</v>
      </c>
      <c r="BS77" s="39">
        <f t="shared" si="9"/>
        <v>0</v>
      </c>
      <c r="BT77" s="39">
        <f t="shared" si="9"/>
        <v>0</v>
      </c>
      <c r="BU77" s="39">
        <f t="shared" si="9"/>
        <v>0</v>
      </c>
      <c r="BV77" s="39">
        <f t="shared" si="9"/>
        <v>0</v>
      </c>
      <c r="BW77" s="39">
        <f t="shared" si="9"/>
        <v>0</v>
      </c>
      <c r="BX77" s="39">
        <f t="shared" si="9"/>
        <v>0</v>
      </c>
      <c r="BY77" s="39">
        <f t="shared" si="9"/>
        <v>0</v>
      </c>
      <c r="BZ77" s="39">
        <f t="shared" si="9"/>
        <v>0</v>
      </c>
      <c r="CA77" s="39">
        <f t="shared" si="9"/>
        <v>0</v>
      </c>
      <c r="CB77" s="39">
        <f t="shared" si="9"/>
        <v>0</v>
      </c>
      <c r="CC77" s="39">
        <f t="shared" si="9"/>
        <v>0</v>
      </c>
      <c r="CD77" s="39">
        <f t="shared" si="9"/>
        <v>0</v>
      </c>
      <c r="CE77" s="39">
        <f t="shared" si="9"/>
        <v>0</v>
      </c>
      <c r="CF77" s="39">
        <f t="shared" si="9"/>
        <v>0</v>
      </c>
      <c r="CG77" s="39">
        <f t="shared" si="9"/>
        <v>0</v>
      </c>
      <c r="CH77" s="39">
        <f>SUM(D77:CG77)</f>
        <v>0</v>
      </c>
    </row>
    <row r="78" spans="21:46" s="39" customFormat="true" ht="12" customHeight="true">
      <c r="U78" s="51"/>
      <c r="AA78" s="51"/>
      <c r="AB78" s="51"/>
      <c r="AC78" s="51"/>
      <c r="AD78" s="51"/>
      <c r="AF78" s="51"/>
      <c r="AI78" s="51"/>
      <c r="AT78" s="51"/>
    </row>
    <row r="79" spans="21:46" s="39" customFormat="true" ht="12" customHeight="true">
      <c r="U79" s="51"/>
      <c r="AA79" s="51"/>
      <c r="AB79" s="51"/>
      <c r="AC79" s="51"/>
      <c r="AD79" s="51"/>
      <c r="AF79" s="51"/>
      <c r="AI79" s="51"/>
      <c r="AT79" s="51"/>
    </row>
    <row r="80" spans="2:86" s="39" customFormat="true" ht="12" customHeight="true">
      <c r="B80" s="39" t="s">
        <v>34199</v>
      </c>
      <c r="D80" s="39">
        <f t="shared" ref="D80:BO80" si="10">+D51+D57+D77</f>
        <v>68155.16</v>
      </c>
      <c r="E80" s="39">
        <f t="shared" si="10"/>
        <v>-27626.26</v>
      </c>
      <c r="F80" s="39">
        <f t="shared" si="10"/>
        <v>-26813.81</v>
      </c>
      <c r="G80" s="39">
        <f t="shared" si="10"/>
        <v>39618.35</v>
      </c>
      <c r="H80" s="39">
        <f t="shared" si="10"/>
        <v>-17966.93</v>
      </c>
      <c r="I80" s="39">
        <f t="shared" si="10"/>
        <v>0</v>
      </c>
      <c r="J80" s="39">
        <f t="shared" si="10"/>
        <v>679621.92</v>
      </c>
      <c r="K80" s="39">
        <f t="shared" si="10"/>
        <v>824045.35</v>
      </c>
      <c r="L80" s="39">
        <f t="shared" si="10"/>
        <v>68440.65</v>
      </c>
      <c r="M80" s="39">
        <f t="shared" si="10"/>
        <v>24860.29</v>
      </c>
      <c r="N80" s="39">
        <f t="shared" si="10"/>
        <v>-6833.55</v>
      </c>
      <c r="O80" s="39">
        <f t="shared" si="10"/>
        <v>0</v>
      </c>
      <c r="P80" s="39">
        <f t="shared" si="10"/>
        <v>-129910.99</v>
      </c>
      <c r="Q80" s="39">
        <f t="shared" si="10"/>
        <v>0</v>
      </c>
      <c r="R80" s="39">
        <f t="shared" si="10"/>
        <v>4207.05</v>
      </c>
      <c r="S80" s="39">
        <f t="shared" si="10"/>
        <v>-1798.49</v>
      </c>
      <c r="T80" s="39">
        <f t="shared" si="10"/>
        <v>12671.11</v>
      </c>
      <c r="U80" s="51">
        <f t="shared" si="10"/>
        <v>0</v>
      </c>
      <c r="V80" s="39">
        <f t="shared" si="10"/>
        <v>27412.17</v>
      </c>
      <c r="W80" s="39">
        <f t="shared" si="10"/>
        <v>62512.89</v>
      </c>
      <c r="X80" s="39">
        <f t="shared" si="10"/>
        <v>-41735.6</v>
      </c>
      <c r="Y80" s="39">
        <f t="shared" si="10"/>
        <v>40141.43</v>
      </c>
      <c r="Z80" s="39">
        <f t="shared" si="10"/>
        <v>24367.85</v>
      </c>
      <c r="AA80" s="51">
        <f t="shared" si="10"/>
        <v>0</v>
      </c>
      <c r="AB80" s="51">
        <f t="shared" si="10"/>
        <v>0</v>
      </c>
      <c r="AC80" s="51">
        <f t="shared" si="10"/>
        <v>0</v>
      </c>
      <c r="AD80" s="51">
        <f t="shared" si="10"/>
        <v>0</v>
      </c>
      <c r="AE80" s="39">
        <f t="shared" si="10"/>
        <v>264515.94</v>
      </c>
      <c r="AF80" s="51">
        <f t="shared" si="10"/>
        <v>0</v>
      </c>
      <c r="AG80" s="39">
        <f t="shared" si="10"/>
        <v>-36575.63</v>
      </c>
      <c r="AH80" s="39">
        <f t="shared" si="10"/>
        <v>16189.67</v>
      </c>
      <c r="AI80" s="51">
        <f t="shared" si="10"/>
        <v>0</v>
      </c>
      <c r="AJ80" s="39">
        <f t="shared" si="10"/>
        <v>-84976.13</v>
      </c>
      <c r="AK80" s="39">
        <f t="shared" si="10"/>
        <v>95763.76</v>
      </c>
      <c r="AL80" s="39">
        <f t="shared" si="10"/>
        <v>41329.8</v>
      </c>
      <c r="AM80" s="39">
        <f t="shared" si="10"/>
        <v>0</v>
      </c>
      <c r="AN80" s="39">
        <f t="shared" si="10"/>
        <v>0</v>
      </c>
      <c r="AO80" s="39">
        <f t="shared" si="10"/>
        <v>-2314.36</v>
      </c>
      <c r="AP80" s="39">
        <f t="shared" si="10"/>
        <v>132737.25</v>
      </c>
      <c r="AQ80" s="39">
        <f t="shared" si="10"/>
        <v>-2566.63</v>
      </c>
      <c r="AR80" s="39">
        <f t="shared" si="10"/>
        <v>-2337.89</v>
      </c>
      <c r="AS80" s="39">
        <f t="shared" si="10"/>
        <v>-2685.36</v>
      </c>
      <c r="AT80" s="51">
        <f t="shared" si="10"/>
        <v>0</v>
      </c>
      <c r="AU80" s="39">
        <f t="shared" si="10"/>
        <v>-27948.7</v>
      </c>
      <c r="AV80" s="39">
        <f t="shared" si="10"/>
        <v>-21196.81</v>
      </c>
      <c r="AW80" s="39">
        <f t="shared" si="10"/>
        <v>4815.1</v>
      </c>
      <c r="AX80" s="39">
        <f t="shared" si="10"/>
        <v>17335.05</v>
      </c>
      <c r="AY80" s="39">
        <f t="shared" si="10"/>
        <v>77681.07</v>
      </c>
      <c r="AZ80" s="39">
        <f t="shared" si="10"/>
        <v>4416.86</v>
      </c>
      <c r="BA80" s="39">
        <f t="shared" si="10"/>
        <v>26787.21</v>
      </c>
      <c r="BB80" s="39">
        <f t="shared" si="10"/>
        <v>3752.57</v>
      </c>
      <c r="BC80" s="39">
        <f t="shared" si="10"/>
        <v>28209.04</v>
      </c>
      <c r="BD80" s="39">
        <f t="shared" si="10"/>
        <v>22414.09</v>
      </c>
      <c r="BE80" s="39">
        <f t="shared" si="10"/>
        <v>0</v>
      </c>
      <c r="BF80" s="39">
        <f t="shared" si="10"/>
        <v>65310.02</v>
      </c>
      <c r="BG80" s="39">
        <f t="shared" si="10"/>
        <v>65355.42</v>
      </c>
      <c r="BH80" s="39">
        <f t="shared" si="10"/>
        <v>53976.01</v>
      </c>
      <c r="BI80" s="39">
        <f t="shared" si="10"/>
        <v>11388.01</v>
      </c>
      <c r="BJ80" s="39">
        <f t="shared" si="10"/>
        <v>79814.91</v>
      </c>
      <c r="BK80" s="39">
        <f t="shared" si="10"/>
        <v>9753.06</v>
      </c>
      <c r="BL80" s="39">
        <f t="shared" si="10"/>
        <v>42324.38</v>
      </c>
      <c r="BM80" s="39">
        <f t="shared" si="10"/>
        <v>36224.31</v>
      </c>
      <c r="BN80" s="39">
        <f t="shared" si="10"/>
        <v>-126304.68</v>
      </c>
      <c r="BO80" s="39">
        <f t="shared" si="10"/>
        <v>21454.19</v>
      </c>
      <c r="BP80" s="39">
        <f t="shared" ref="BP80:CG80" si="11">+BP51+BP57+BP77</f>
        <v>-41519.34</v>
      </c>
      <c r="BQ80" s="39">
        <f t="shared" si="11"/>
        <v>51849.41</v>
      </c>
      <c r="BR80" s="39">
        <f t="shared" si="11"/>
        <v>13619.24</v>
      </c>
      <c r="BS80" s="39">
        <f t="shared" si="11"/>
        <v>49237.21</v>
      </c>
      <c r="BT80" s="39">
        <f t="shared" si="11"/>
        <v>-402471.75</v>
      </c>
      <c r="BU80" s="39">
        <f t="shared" si="11"/>
        <v>37756.01</v>
      </c>
      <c r="BV80" s="39">
        <f t="shared" si="11"/>
        <v>102360.63</v>
      </c>
      <c r="BW80" s="39">
        <f t="shared" si="11"/>
        <v>47626.32</v>
      </c>
      <c r="BX80" s="39">
        <f t="shared" si="11"/>
        <v>28189.72</v>
      </c>
      <c r="BY80" s="39">
        <f t="shared" si="11"/>
        <v>55377.97</v>
      </c>
      <c r="BZ80" s="39">
        <f t="shared" si="11"/>
        <v>59192.36</v>
      </c>
      <c r="CA80" s="39">
        <f t="shared" si="11"/>
        <v>9359.33</v>
      </c>
      <c r="CB80" s="39">
        <f t="shared" si="11"/>
        <v>4801.76</v>
      </c>
      <c r="CC80" s="39">
        <f t="shared" si="11"/>
        <v>175.99</v>
      </c>
      <c r="CD80" s="39">
        <f t="shared" si="11"/>
        <v>2167830.46</v>
      </c>
      <c r="CE80" s="39">
        <f t="shared" si="11"/>
        <v>12486157.8</v>
      </c>
      <c r="CF80" s="39">
        <f t="shared" si="11"/>
        <v>581190.66</v>
      </c>
      <c r="CG80" s="39">
        <f t="shared" si="11"/>
        <v>-10416.69</v>
      </c>
      <c r="CH80" s="39">
        <f>SUM(D80:CG80)</f>
        <v>17678327.21</v>
      </c>
    </row>
    <row r="81" spans="21:46" s="39" customFormat="true" ht="12" customHeight="true">
      <c r="U81" s="51"/>
      <c r="AA81" s="51"/>
      <c r="AB81" s="51"/>
      <c r="AC81" s="51"/>
      <c r="AD81" s="51"/>
      <c r="AF81" s="51"/>
      <c r="AI81" s="51"/>
      <c r="AT81" s="51"/>
    </row>
    <row r="82" spans="2:86" s="39" customFormat="true" ht="12" customHeight="true">
      <c r="B82" s="39" t="s">
        <v>13909</v>
      </c>
      <c r="D82" s="47">
        <f t="shared" ref="D82:BO82" si="12">+D49-D80</f>
        <v>0</v>
      </c>
      <c r="E82" s="47">
        <f t="shared" si="12"/>
        <v>-0.0100000000020373</v>
      </c>
      <c r="F82" s="47">
        <f t="shared" si="12"/>
        <v>0</v>
      </c>
      <c r="G82" s="47">
        <f t="shared" si="12"/>
        <v>0</v>
      </c>
      <c r="H82" s="47">
        <f t="shared" si="12"/>
        <v>-0.0200000000004366</v>
      </c>
      <c r="I82" s="47">
        <f t="shared" si="12"/>
        <v>0</v>
      </c>
      <c r="J82" s="47">
        <f t="shared" si="12"/>
        <v>0</v>
      </c>
      <c r="K82" s="47">
        <f t="shared" si="12"/>
        <v>0</v>
      </c>
      <c r="L82" s="47">
        <f t="shared" si="12"/>
        <v>0</v>
      </c>
      <c r="M82" s="47">
        <f t="shared" si="12"/>
        <v>0</v>
      </c>
      <c r="N82" s="47">
        <f t="shared" si="12"/>
        <v>-0.0199999999995271</v>
      </c>
      <c r="O82" s="47">
        <f t="shared" si="12"/>
        <v>0</v>
      </c>
      <c r="P82" s="47">
        <f t="shared" si="12"/>
        <v>0</v>
      </c>
      <c r="Q82" s="47">
        <f t="shared" si="12"/>
        <v>0</v>
      </c>
      <c r="R82" s="47">
        <f t="shared" si="12"/>
        <v>0</v>
      </c>
      <c r="S82" s="47">
        <f t="shared" si="12"/>
        <v>0</v>
      </c>
      <c r="T82" s="47">
        <f t="shared" si="12"/>
        <v>0</v>
      </c>
      <c r="U82" s="47">
        <f t="shared" si="12"/>
        <v>0</v>
      </c>
      <c r="V82" s="47">
        <f t="shared" si="12"/>
        <v>0.0199999999967986</v>
      </c>
      <c r="W82" s="47">
        <f t="shared" si="12"/>
        <v>0</v>
      </c>
      <c r="X82" s="47">
        <f t="shared" si="12"/>
        <v>0</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47">
        <f t="shared" si="12"/>
        <v>0</v>
      </c>
      <c r="AX82" s="47">
        <f t="shared" si="12"/>
        <v>0</v>
      </c>
      <c r="AY82" s="47">
        <f t="shared" si="12"/>
        <v>0</v>
      </c>
      <c r="AZ82" s="47">
        <f t="shared" si="12"/>
        <v>0</v>
      </c>
      <c r="BA82" s="47">
        <f t="shared" si="12"/>
        <v>0</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G82" si="13">+BP49-BP80</f>
        <v>0</v>
      </c>
      <c r="BQ82" s="47">
        <f t="shared" si="13"/>
        <v>0</v>
      </c>
      <c r="BR82" s="47">
        <f t="shared" si="13"/>
        <v>0</v>
      </c>
      <c r="BS82" s="47">
        <f t="shared" si="13"/>
        <v>0</v>
      </c>
      <c r="BT82" s="47">
        <f t="shared" si="13"/>
        <v>0</v>
      </c>
      <c r="BU82" s="47">
        <f t="shared" si="13"/>
        <v>0</v>
      </c>
      <c r="BV82" s="47">
        <f t="shared" si="13"/>
        <v>0</v>
      </c>
      <c r="BW82" s="47">
        <f t="shared" si="13"/>
        <v>0</v>
      </c>
      <c r="BX82" s="47">
        <f t="shared" si="13"/>
        <v>0</v>
      </c>
      <c r="BY82" s="47">
        <f t="shared" si="13"/>
        <v>0</v>
      </c>
      <c r="BZ82" s="47">
        <f t="shared" si="13"/>
        <v>0</v>
      </c>
      <c r="CA82" s="47">
        <f t="shared" si="13"/>
        <v>0</v>
      </c>
      <c r="CB82" s="47">
        <f t="shared" si="13"/>
        <v>0</v>
      </c>
      <c r="CC82" s="47">
        <f t="shared" si="13"/>
        <v>0</v>
      </c>
      <c r="CD82" s="47">
        <f t="shared" si="13"/>
        <v>0</v>
      </c>
      <c r="CE82" s="47">
        <f t="shared" si="13"/>
        <v>0</v>
      </c>
      <c r="CF82" s="47">
        <f t="shared" si="13"/>
        <v>0</v>
      </c>
      <c r="CG82" s="47">
        <f t="shared" si="13"/>
        <v>0</v>
      </c>
      <c r="CH82" s="39">
        <f>SUM(D82:CG82)</f>
        <v>-0.0300000000052023</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G52">
    <cfRule type="cellIs" dxfId="4" priority="2" operator="notEqual">
      <formula>0</formula>
    </cfRule>
  </conditionalFormatting>
  <conditionalFormatting sqref="D82:CG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I92"/>
  <sheetViews>
    <sheetView workbookViewId="0">
      <selection activeCell="A1" sqref="A1"/>
    </sheetView>
  </sheetViews>
  <sheetFormatPr defaultColWidth="9.12" defaultRowHeight="15"/>
  <cols>
    <col customWidth="true" max="1" min="1" style="33" width="2.54666666666667"/>
    <col customWidth="true" max="2" min="2" style="33" width="23.6733333333333"/>
    <col customWidth="true" max="3" min="3" style="33" width="6.44"/>
    <col customWidth="true" max="6" min="4" style="33" width="14.8933333333333"/>
    <col customWidth="true" max="8" min="7" style="33" width="14.44"/>
    <col customWidth="true" max="9" min="9" style="33" width="14.8933333333333"/>
    <col customWidth="true" max="10" min="10" style="33" width="14.44"/>
    <col customWidth="true" max="11" min="11" style="33" width="14.8933333333333"/>
    <col customWidth="true" max="12" min="12" style="33" width="17.3266666666667"/>
    <col customWidth="true" max="14" min="13" style="33" width="14.44"/>
    <col customWidth="true" max="16" min="15" style="33" width="14.8933333333333"/>
    <col customWidth="true" max="20" min="17" style="33" width="14.44"/>
    <col customWidth="true" hidden="true" max="21" min="21" style="43" width="10.3266666666667"/>
    <col customWidth="true" max="22" min="22" style="33" width="14.8933333333333"/>
    <col customWidth="true" max="23" min="23" style="33" width="14.44"/>
    <col customWidth="true" max="24" min="24" style="33" width="14.8933333333333"/>
    <col customWidth="true" max="25" min="25" style="33" width="14.44"/>
    <col customWidth="true" max="26" min="26" style="33" width="17.8866666666667"/>
    <col customWidth="true" hidden="true" max="30" min="27" style="43" width="11"/>
    <col customWidth="true" max="31" min="31" style="33" width="14"/>
    <col customWidth="true" hidden="true" max="32" min="32" style="43" width="12.44"/>
    <col customWidth="true" max="34" min="33" style="33" width="14"/>
    <col customWidth="true" hidden="true" max="35" min="35" style="43" width="10.5533333333333"/>
    <col customWidth="true" max="36" min="36" style="33" width="14"/>
    <col customWidth="true" max="37" min="37" style="33" width="14.8933333333333"/>
    <col customWidth="true" max="38" min="38" style="33" width="14.44"/>
    <col customWidth="true" hidden="true" max="39" min="39" style="33" width="14.8933333333333"/>
    <col customWidth="true" hidden="true" max="40" min="40" style="33" width="14"/>
    <col customWidth="true" max="45" min="41" style="33" width="14.8933333333333"/>
    <col customWidth="true" hidden="true" max="46" min="46" style="43" width="10.5533333333333"/>
    <col customWidth="true" max="48" min="47" style="33" width="14.8933333333333"/>
    <col customWidth="true" max="49" min="49" style="33" width="14.44"/>
    <col customWidth="true" max="50" min="50" style="33" width="14.8933333333333"/>
    <col customWidth="true" max="51" min="51" style="33" width="14.44"/>
    <col customWidth="true" max="52" min="52" style="33" width="16.3266666666667"/>
    <col customWidth="true" max="53" min="53" style="33" width="14.44"/>
    <col customWidth="true" max="54" min="54" style="33" width="16.3266666666667"/>
    <col customWidth="true" max="55" min="55" style="33" width="14.8933333333333"/>
    <col customWidth="true" max="56" min="56" style="33" width="11.66"/>
    <col customWidth="true" hidden="true" max="57" min="57" style="33" width="14.5533333333333"/>
    <col customWidth="true" max="58" min="58" style="33" width="14"/>
    <col customWidth="true" max="59" min="59" style="33" width="14.5533333333333"/>
    <col customWidth="true" max="86" min="60" style="33" width="14"/>
    <col customWidth="true" max="87" min="87" style="33" width="14.44"/>
    <col customWidth="true" max="88" min="88" style="33" width="14"/>
    <col customWidth="true" max="89" min="89" style="33" width="11"/>
    <col customWidth="true" max="1024" min="90" style="33" width="9.10666666666667"/>
  </cols>
  <sheetData>
    <row r="1" spans="1:1" ht="12" customHeight="true">
      <c r="A1" s="33">
        <v>-1</v>
      </c>
    </row>
    <row r="2" spans="15:16" ht="12" customHeight="true">
      <c r="O2" s="33">
        <v>-1</v>
      </c>
      <c r="P2" s="33">
        <v>-1</v>
      </c>
    </row>
    <row r="4" spans="2:86" ht="12" customHeight="true">
      <c r="B4" s="33" t="s">
        <v>34099</v>
      </c>
      <c r="D4" s="44" t="s">
        <v>13772</v>
      </c>
      <c r="E4" s="44" t="s">
        <v>13772</v>
      </c>
      <c r="F4" s="44" t="s">
        <v>13772</v>
      </c>
      <c r="G4" s="44" t="s">
        <v>13774</v>
      </c>
      <c r="H4" s="44" t="s">
        <v>13774</v>
      </c>
      <c r="I4" s="49" t="s">
        <v>13774</v>
      </c>
      <c r="J4" s="44" t="s">
        <v>13771</v>
      </c>
      <c r="K4" s="44" t="s">
        <v>13771</v>
      </c>
      <c r="L4" s="44" t="s">
        <v>13771</v>
      </c>
      <c r="M4" s="44" t="s">
        <v>13773</v>
      </c>
      <c r="N4" s="44" t="s">
        <v>13773</v>
      </c>
      <c r="O4" s="44" t="s">
        <v>13773</v>
      </c>
      <c r="P4" s="44" t="s">
        <v>13773</v>
      </c>
      <c r="Q4" s="44" t="s">
        <v>13775</v>
      </c>
      <c r="R4" s="44" t="s">
        <v>13775</v>
      </c>
      <c r="S4" s="44" t="s">
        <v>13775</v>
      </c>
      <c r="T4" s="44" t="s">
        <v>13775</v>
      </c>
      <c r="U4" s="51" t="s">
        <v>13775</v>
      </c>
      <c r="V4" s="44" t="s">
        <v>13777</v>
      </c>
      <c r="W4" s="44" t="s">
        <v>13777</v>
      </c>
      <c r="X4" s="44" t="s">
        <v>13778</v>
      </c>
      <c r="Y4" s="44" t="s">
        <v>13778</v>
      </c>
      <c r="Z4" s="52" t="s">
        <v>13778</v>
      </c>
      <c r="AA4" s="51" t="s">
        <v>31453</v>
      </c>
      <c r="AB4" s="51" t="s">
        <v>31453</v>
      </c>
      <c r="AC4" s="51" t="s">
        <v>31454</v>
      </c>
      <c r="AD4" s="51" t="s">
        <v>31454</v>
      </c>
      <c r="AE4" s="44" t="s">
        <v>13788</v>
      </c>
      <c r="AF4" s="51" t="s">
        <v>13788</v>
      </c>
      <c r="AG4" s="44" t="s">
        <v>13795</v>
      </c>
      <c r="AH4" s="44" t="s">
        <v>13793</v>
      </c>
      <c r="AI4" s="51" t="s">
        <v>34100</v>
      </c>
      <c r="AJ4" s="44" t="s">
        <v>13794</v>
      </c>
      <c r="AK4" s="44" t="s">
        <v>13790</v>
      </c>
      <c r="AL4" s="44" t="s">
        <v>13791</v>
      </c>
      <c r="AM4" s="53" t="s">
        <v>31456</v>
      </c>
      <c r="AN4" s="53" t="s">
        <v>34045</v>
      </c>
      <c r="AO4" s="44" t="s">
        <v>13784</v>
      </c>
      <c r="AP4" s="44" t="s">
        <v>13780</v>
      </c>
      <c r="AQ4" s="44" t="s">
        <v>13781</v>
      </c>
      <c r="AR4" s="44" t="s">
        <v>13782</v>
      </c>
      <c r="AS4" s="44" t="s">
        <v>13783</v>
      </c>
      <c r="AT4" s="51" t="s">
        <v>34101</v>
      </c>
      <c r="AU4" s="44" t="s">
        <v>13787</v>
      </c>
      <c r="AV4" s="44" t="s">
        <v>13801</v>
      </c>
      <c r="AW4" s="44" t="s">
        <v>13810</v>
      </c>
      <c r="AX4" s="44" t="s">
        <v>13802</v>
      </c>
      <c r="AY4" s="44" t="s">
        <v>13803</v>
      </c>
      <c r="AZ4" s="44" t="s">
        <v>13803</v>
      </c>
      <c r="BA4" s="44" t="s">
        <v>13804</v>
      </c>
      <c r="BB4" s="44" t="s">
        <v>13804</v>
      </c>
      <c r="BC4" s="44" t="s">
        <v>13805</v>
      </c>
      <c r="BD4" s="44" t="s">
        <v>13811</v>
      </c>
      <c r="BE4" s="53" t="s">
        <v>13811</v>
      </c>
      <c r="BF4" s="44" t="s">
        <v>13806</v>
      </c>
      <c r="BG4" s="44" t="s">
        <v>13807</v>
      </c>
      <c r="BH4" s="44" t="s">
        <v>13808</v>
      </c>
      <c r="BI4" s="44" t="s">
        <v>13809</v>
      </c>
      <c r="BJ4" s="44" t="s">
        <v>13796</v>
      </c>
      <c r="BK4" s="44" t="s">
        <v>13797</v>
      </c>
      <c r="BL4" s="44" t="s">
        <v>13798</v>
      </c>
      <c r="BM4" s="44" t="s">
        <v>13799</v>
      </c>
      <c r="BN4" s="44" t="s">
        <v>13800</v>
      </c>
      <c r="BO4" s="44" t="s">
        <v>13812</v>
      </c>
      <c r="BP4" s="44" t="s">
        <v>13814</v>
      </c>
      <c r="BQ4" s="44" t="s">
        <v>13813</v>
      </c>
      <c r="BR4" s="44" t="s">
        <v>13815</v>
      </c>
      <c r="BS4" s="44" t="s">
        <v>13816</v>
      </c>
      <c r="BT4" s="44" t="s">
        <v>13817</v>
      </c>
      <c r="BU4" s="44" t="s">
        <v>13818</v>
      </c>
      <c r="BV4" s="44" t="s">
        <v>13820</v>
      </c>
      <c r="BW4" s="44" t="s">
        <v>13819</v>
      </c>
      <c r="BX4" s="44" t="s">
        <v>13823</v>
      </c>
      <c r="BY4" s="44" t="s">
        <v>13821</v>
      </c>
      <c r="BZ4" s="44" t="s">
        <v>13822</v>
      </c>
      <c r="CA4" s="44" t="s">
        <v>13824</v>
      </c>
      <c r="CB4" s="44" t="s">
        <v>13825</v>
      </c>
      <c r="CC4" s="44" t="s">
        <v>13826</v>
      </c>
      <c r="CD4" s="44" t="s">
        <v>13864</v>
      </c>
      <c r="CE4" s="44" t="s">
        <v>13865</v>
      </c>
      <c r="CF4" s="44" t="s">
        <v>13865</v>
      </c>
      <c r="CG4" s="44" t="s">
        <v>13859</v>
      </c>
      <c r="CH4" s="44" t="s">
        <v>13860</v>
      </c>
    </row>
    <row r="5" spans="2:86" ht="12" customHeight="true">
      <c r="B5" s="33" t="s">
        <v>34102</v>
      </c>
      <c r="D5" s="45" t="s">
        <v>34103</v>
      </c>
      <c r="E5" s="48" t="s">
        <v>34104</v>
      </c>
      <c r="F5" s="48" t="s">
        <v>34105</v>
      </c>
      <c r="G5" s="45" t="s">
        <v>34103</v>
      </c>
      <c r="H5" s="48" t="s">
        <v>34104</v>
      </c>
      <c r="I5" s="48" t="s">
        <v>34105</v>
      </c>
      <c r="J5" s="45" t="s">
        <v>34103</v>
      </c>
      <c r="K5" s="48" t="s">
        <v>34104</v>
      </c>
      <c r="L5" s="48" t="s">
        <v>34106</v>
      </c>
      <c r="M5" s="45" t="s">
        <v>34103</v>
      </c>
      <c r="N5" s="48" t="s">
        <v>34104</v>
      </c>
      <c r="O5" s="48" t="s">
        <v>34105</v>
      </c>
      <c r="P5" s="48" t="s">
        <v>34105</v>
      </c>
      <c r="Q5" s="48" t="s">
        <v>34104</v>
      </c>
      <c r="R5" s="48" t="s">
        <v>34104</v>
      </c>
      <c r="S5" s="48" t="s">
        <v>34105</v>
      </c>
      <c r="T5" s="45" t="s">
        <v>34103</v>
      </c>
      <c r="U5" s="43" t="s">
        <v>34107</v>
      </c>
      <c r="V5" s="48" t="s">
        <v>34104</v>
      </c>
      <c r="W5" s="45" t="s">
        <v>34103</v>
      </c>
      <c r="X5" s="48" t="s">
        <v>34104</v>
      </c>
      <c r="Y5" s="45" t="s">
        <v>34103</v>
      </c>
      <c r="Z5" s="48" t="s">
        <v>34108</v>
      </c>
      <c r="AA5" s="43" t="s">
        <v>34104</v>
      </c>
      <c r="AB5" s="43" t="s">
        <v>34105</v>
      </c>
      <c r="AC5" s="43" t="s">
        <v>34104</v>
      </c>
      <c r="AD5" s="43" t="s">
        <v>34105</v>
      </c>
      <c r="AE5" s="48" t="s">
        <v>34104</v>
      </c>
      <c r="AF5" s="43" t="s">
        <v>34109</v>
      </c>
      <c r="AG5" s="48" t="s">
        <v>34104</v>
      </c>
      <c r="AH5" s="48" t="s">
        <v>34104</v>
      </c>
      <c r="AI5" s="43" t="s">
        <v>34104</v>
      </c>
      <c r="AJ5" s="48" t="s">
        <v>34104</v>
      </c>
      <c r="AK5" s="48" t="s">
        <v>34104</v>
      </c>
      <c r="AL5" s="48" t="s">
        <v>34104</v>
      </c>
      <c r="AM5" s="48" t="s">
        <v>34104</v>
      </c>
      <c r="AN5" s="48" t="s">
        <v>34104</v>
      </c>
      <c r="AO5" s="48" t="s">
        <v>34104</v>
      </c>
      <c r="AP5" s="48" t="s">
        <v>34104</v>
      </c>
      <c r="AQ5" s="48" t="s">
        <v>34104</v>
      </c>
      <c r="AR5" s="48" t="s">
        <v>34104</v>
      </c>
      <c r="AS5" s="48" t="s">
        <v>34104</v>
      </c>
      <c r="AT5" s="43" t="s">
        <v>34104</v>
      </c>
      <c r="AU5" s="48" t="s">
        <v>34104</v>
      </c>
      <c r="AV5" s="48" t="s">
        <v>34104</v>
      </c>
      <c r="AW5" s="48" t="s">
        <v>34111</v>
      </c>
      <c r="AX5" s="48" t="s">
        <v>34112</v>
      </c>
      <c r="AY5" s="48" t="s">
        <v>34113</v>
      </c>
      <c r="AZ5" s="48" t="s">
        <v>34114</v>
      </c>
      <c r="BA5" s="48" t="s">
        <v>34115</v>
      </c>
      <c r="BB5" s="48" t="s">
        <v>34116</v>
      </c>
      <c r="BC5" s="48" t="s">
        <v>34117</v>
      </c>
      <c r="BD5" s="48" t="s">
        <v>34118</v>
      </c>
      <c r="BE5" s="48" t="s">
        <v>34119</v>
      </c>
      <c r="BF5" s="48" t="s">
        <v>34120</v>
      </c>
      <c r="BG5" s="48" t="s">
        <v>34121</v>
      </c>
      <c r="BH5" s="48" t="s">
        <v>34122</v>
      </c>
      <c r="BI5" s="48" t="s">
        <v>34123</v>
      </c>
      <c r="BJ5" s="48" t="s">
        <v>34124</v>
      </c>
      <c r="BK5" s="48" t="s">
        <v>34125</v>
      </c>
      <c r="BL5" s="48" t="s">
        <v>34126</v>
      </c>
      <c r="BM5" s="48" t="s">
        <v>34127</v>
      </c>
      <c r="BN5" s="48" t="s">
        <v>34128</v>
      </c>
      <c r="BO5" s="48" t="s">
        <v>34129</v>
      </c>
      <c r="BP5" s="48" t="s">
        <v>34130</v>
      </c>
      <c r="BQ5" s="48" t="s">
        <v>34132</v>
      </c>
      <c r="BR5" s="48" t="s">
        <v>34134</v>
      </c>
      <c r="BS5" s="48" t="s">
        <v>34135</v>
      </c>
      <c r="BT5" s="48" t="s">
        <v>34136</v>
      </c>
      <c r="BU5" s="48" t="s">
        <v>34137</v>
      </c>
      <c r="BV5" s="48" t="s">
        <v>34200</v>
      </c>
      <c r="BW5" s="48" t="s">
        <v>34138</v>
      </c>
      <c r="BX5" s="48" t="s">
        <v>34203</v>
      </c>
      <c r="BY5" s="48" t="s">
        <v>34204</v>
      </c>
      <c r="BZ5" s="48" t="s">
        <v>34205</v>
      </c>
      <c r="CA5" s="48" t="s">
        <v>34208</v>
      </c>
      <c r="CB5" s="48" t="s">
        <v>34209</v>
      </c>
      <c r="CC5" s="48" t="s">
        <v>34210</v>
      </c>
      <c r="CD5" s="48" t="s">
        <v>34140</v>
      </c>
      <c r="CE5" s="48" t="s">
        <v>34206</v>
      </c>
      <c r="CF5" s="48" t="s">
        <v>34212</v>
      </c>
      <c r="CG5" s="48" t="s">
        <v>34141</v>
      </c>
      <c r="CH5" s="48" t="s">
        <v>34142</v>
      </c>
    </row>
    <row r="6" spans="2:86" ht="12" customHeight="true">
      <c r="B6" s="33" t="s">
        <v>34143</v>
      </c>
      <c r="D6" s="45" t="s">
        <v>34144</v>
      </c>
      <c r="E6" s="48" t="s">
        <v>34145</v>
      </c>
      <c r="F6" s="48" t="s">
        <v>34146</v>
      </c>
      <c r="G6" s="45" t="s">
        <v>34147</v>
      </c>
      <c r="H6" s="48" t="s">
        <v>34148</v>
      </c>
      <c r="I6" s="48" t="s">
        <v>34149</v>
      </c>
      <c r="J6" s="45" t="s">
        <v>34150</v>
      </c>
      <c r="K6" s="48" t="s">
        <v>34151</v>
      </c>
      <c r="L6" s="48">
        <v>24547612</v>
      </c>
      <c r="M6" s="45" t="s">
        <v>34152</v>
      </c>
      <c r="N6" s="48" t="s">
        <v>34153</v>
      </c>
      <c r="O6" s="48">
        <v>748015260</v>
      </c>
      <c r="P6" s="48" t="s">
        <v>34201</v>
      </c>
      <c r="Q6" s="48">
        <v>27931733</v>
      </c>
      <c r="R6" s="48">
        <v>53564399</v>
      </c>
      <c r="S6" s="48">
        <v>26843912</v>
      </c>
      <c r="T6" s="45">
        <v>33540278</v>
      </c>
      <c r="V6" s="48">
        <v>30249789</v>
      </c>
      <c r="W6" s="45">
        <v>30282681</v>
      </c>
      <c r="X6" s="48">
        <v>748032703</v>
      </c>
      <c r="Y6" s="45">
        <v>30311274</v>
      </c>
      <c r="Z6" s="48">
        <v>203081093</v>
      </c>
      <c r="AA6" s="43" t="s">
        <v>34155</v>
      </c>
      <c r="AB6" s="43" t="s">
        <v>34156</v>
      </c>
      <c r="AC6" s="43" t="s">
        <v>34157</v>
      </c>
      <c r="AD6" s="43" t="s">
        <v>34158</v>
      </c>
      <c r="AE6" s="48" t="s">
        <v>34160</v>
      </c>
      <c r="AF6" s="43" t="s">
        <v>34161</v>
      </c>
      <c r="AG6" s="48" t="s">
        <v>34162</v>
      </c>
      <c r="AH6" s="48">
        <v>14176875</v>
      </c>
      <c r="AI6" s="43" t="s">
        <v>34163</v>
      </c>
      <c r="AJ6" s="48">
        <v>26459321</v>
      </c>
      <c r="AK6" s="48">
        <v>26690883</v>
      </c>
      <c r="AL6" s="48" t="s">
        <v>34164</v>
      </c>
      <c r="AM6" s="48">
        <v>24772020</v>
      </c>
      <c r="AN6" s="48">
        <v>4402812</v>
      </c>
      <c r="AO6" s="48" t="s">
        <v>34165</v>
      </c>
      <c r="AP6" s="48">
        <v>25065334</v>
      </c>
      <c r="AQ6" s="48">
        <v>25084368</v>
      </c>
      <c r="AR6" s="48">
        <v>25069633</v>
      </c>
      <c r="AS6" s="48">
        <v>33538439</v>
      </c>
      <c r="AU6" s="48">
        <v>27607358</v>
      </c>
      <c r="AV6" s="48">
        <v>748045952</v>
      </c>
      <c r="AW6" s="48">
        <v>13585976</v>
      </c>
      <c r="AX6" s="48">
        <v>748033552</v>
      </c>
      <c r="AY6" s="48">
        <v>31874966</v>
      </c>
      <c r="AZ6" s="48">
        <v>454979502</v>
      </c>
      <c r="BA6" s="48">
        <v>31860536</v>
      </c>
      <c r="BB6" s="48">
        <v>693305826</v>
      </c>
      <c r="BC6" s="48">
        <v>32205856</v>
      </c>
      <c r="BD6" s="48">
        <v>32121632</v>
      </c>
      <c r="BE6" s="48" t="s">
        <v>34167</v>
      </c>
      <c r="BF6" s="48">
        <v>35356295</v>
      </c>
      <c r="BG6" s="48" t="s">
        <v>34168</v>
      </c>
      <c r="BH6" s="48" t="s">
        <v>34169</v>
      </c>
      <c r="BI6" s="48" t="s">
        <v>34170</v>
      </c>
      <c r="BJ6" s="48">
        <v>748030061</v>
      </c>
      <c r="BK6" s="48">
        <v>748032711</v>
      </c>
      <c r="BL6" s="48">
        <v>37307538</v>
      </c>
      <c r="BM6" s="48">
        <v>37346924</v>
      </c>
      <c r="BN6" s="48">
        <v>748035300</v>
      </c>
      <c r="BO6" s="48" t="s">
        <v>34171</v>
      </c>
      <c r="BP6" s="48">
        <v>46129441</v>
      </c>
      <c r="BQ6" s="48" t="s">
        <v>34172</v>
      </c>
      <c r="BR6" s="48" t="s">
        <v>34173</v>
      </c>
      <c r="BS6" s="48" t="s">
        <v>34174</v>
      </c>
      <c r="BT6" s="48"/>
      <c r="BU6" s="48">
        <v>50376193</v>
      </c>
      <c r="BV6" s="48"/>
      <c r="BW6" s="48"/>
      <c r="BX6" s="48" t="s">
        <v>34207</v>
      </c>
      <c r="BY6" s="48"/>
      <c r="BZ6" s="48"/>
      <c r="CA6" s="48"/>
      <c r="CB6" s="48"/>
      <c r="CC6" s="48"/>
      <c r="CD6" s="48"/>
      <c r="CE6" s="48"/>
      <c r="CF6" s="48"/>
      <c r="CG6" s="48">
        <v>4402766</v>
      </c>
      <c r="CH6" s="48" t="s">
        <v>34176</v>
      </c>
    </row>
    <row r="7" spans="2:86" ht="12" customHeight="true">
      <c r="B7" s="33" t="s">
        <v>34177</v>
      </c>
      <c r="D7" s="45" t="s">
        <v>14059</v>
      </c>
      <c r="E7" s="48" t="s">
        <v>34178</v>
      </c>
      <c r="F7" s="48" t="s">
        <v>34179</v>
      </c>
      <c r="G7" s="45" t="s">
        <v>14059</v>
      </c>
      <c r="H7" s="48" t="s">
        <v>34178</v>
      </c>
      <c r="I7" s="48" t="s">
        <v>34179</v>
      </c>
      <c r="J7" s="45" t="s">
        <v>14059</v>
      </c>
      <c r="K7" s="48" t="s">
        <v>34178</v>
      </c>
      <c r="L7" s="48" t="s">
        <v>34180</v>
      </c>
      <c r="M7" s="45" t="s">
        <v>14059</v>
      </c>
      <c r="N7" s="48" t="s">
        <v>34178</v>
      </c>
      <c r="O7" s="48" t="s">
        <v>34179</v>
      </c>
      <c r="P7" s="48" t="s">
        <v>34202</v>
      </c>
      <c r="Q7" s="48" t="s">
        <v>34178</v>
      </c>
      <c r="R7" s="48" t="s">
        <v>34211</v>
      </c>
      <c r="S7" s="48" t="s">
        <v>34179</v>
      </c>
      <c r="T7" s="45" t="s">
        <v>14059</v>
      </c>
      <c r="V7" s="48" t="s">
        <v>34178</v>
      </c>
      <c r="W7" s="45" t="s">
        <v>14059</v>
      </c>
      <c r="X7" s="48" t="s">
        <v>34178</v>
      </c>
      <c r="Y7" s="45" t="s">
        <v>14059</v>
      </c>
      <c r="Z7" s="48" t="s">
        <v>34181</v>
      </c>
      <c r="AA7" s="43" t="s">
        <v>14047</v>
      </c>
      <c r="AB7" s="43" t="s">
        <v>14049</v>
      </c>
      <c r="AC7" s="43" t="s">
        <v>14047</v>
      </c>
      <c r="AD7" s="43" t="s">
        <v>14049</v>
      </c>
      <c r="AE7" s="48" t="s">
        <v>34178</v>
      </c>
      <c r="AF7" s="43" t="s">
        <v>14060</v>
      </c>
      <c r="AG7" s="48" t="s">
        <v>34178</v>
      </c>
      <c r="AH7" s="48" t="s">
        <v>34178</v>
      </c>
      <c r="AI7" s="43" t="s">
        <v>34182</v>
      </c>
      <c r="AJ7" s="48" t="s">
        <v>34178</v>
      </c>
      <c r="AK7" s="48" t="s">
        <v>34178</v>
      </c>
      <c r="AL7" s="48" t="s">
        <v>34178</v>
      </c>
      <c r="AM7" s="48" t="s">
        <v>34178</v>
      </c>
      <c r="AN7" s="48" t="s">
        <v>34178</v>
      </c>
      <c r="AO7" s="48" t="s">
        <v>34178</v>
      </c>
      <c r="AP7" s="48" t="s">
        <v>34178</v>
      </c>
      <c r="AQ7" s="48" t="s">
        <v>34178</v>
      </c>
      <c r="AR7" s="48" t="s">
        <v>34178</v>
      </c>
      <c r="AS7" s="48" t="s">
        <v>34178</v>
      </c>
      <c r="AT7" s="43" t="s">
        <v>34178</v>
      </c>
      <c r="AU7" s="48" t="s">
        <v>34178</v>
      </c>
      <c r="AV7" s="48" t="s">
        <v>14045</v>
      </c>
      <c r="AW7" s="48" t="s">
        <v>14045</v>
      </c>
      <c r="AX7" s="48" t="s">
        <v>14045</v>
      </c>
      <c r="AY7" s="48" t="s">
        <v>14045</v>
      </c>
      <c r="AZ7" s="48" t="s">
        <v>14061</v>
      </c>
      <c r="BA7" s="48" t="s">
        <v>14045</v>
      </c>
      <c r="BB7" s="48" t="s">
        <v>14061</v>
      </c>
      <c r="BC7" s="48" t="s">
        <v>14045</v>
      </c>
      <c r="BD7" s="48" t="s">
        <v>14045</v>
      </c>
      <c r="BE7" s="48" t="s">
        <v>14053</v>
      </c>
      <c r="BF7" s="48" t="s">
        <v>14045</v>
      </c>
      <c r="BG7" s="48" t="s">
        <v>14045</v>
      </c>
      <c r="BH7" s="48" t="s">
        <v>14045</v>
      </c>
      <c r="BI7" s="48" t="s">
        <v>14045</v>
      </c>
      <c r="BJ7" s="48" t="s">
        <v>14045</v>
      </c>
      <c r="BK7" s="48" t="s">
        <v>14045</v>
      </c>
      <c r="BL7" s="48" t="s">
        <v>14045</v>
      </c>
      <c r="BM7" s="48" t="s">
        <v>14045</v>
      </c>
      <c r="BN7" s="48" t="s">
        <v>14045</v>
      </c>
      <c r="BO7" s="48" t="s">
        <v>14045</v>
      </c>
      <c r="BP7" s="48" t="s">
        <v>14045</v>
      </c>
      <c r="BQ7" s="48" t="s">
        <v>14045</v>
      </c>
      <c r="BR7" s="48" t="s">
        <v>14045</v>
      </c>
      <c r="BS7" s="48" t="s">
        <v>14045</v>
      </c>
      <c r="BT7" s="48" t="s">
        <v>14045</v>
      </c>
      <c r="BU7" s="48" t="s">
        <v>14045</v>
      </c>
      <c r="BV7" s="48" t="s">
        <v>14045</v>
      </c>
      <c r="BW7" s="48" t="s">
        <v>14045</v>
      </c>
      <c r="BX7" s="48" t="s">
        <v>14045</v>
      </c>
      <c r="BY7" s="48" t="s">
        <v>14045</v>
      </c>
      <c r="BZ7" s="48" t="s">
        <v>14045</v>
      </c>
      <c r="CA7" s="48" t="s">
        <v>14045</v>
      </c>
      <c r="CB7" s="48" t="s">
        <v>14045</v>
      </c>
      <c r="CC7" s="48" t="s">
        <v>14045</v>
      </c>
      <c r="CD7" s="48" t="s">
        <v>34184</v>
      </c>
      <c r="CE7" s="48" t="s">
        <v>34178</v>
      </c>
      <c r="CF7" s="48" t="s">
        <v>34213</v>
      </c>
      <c r="CG7" s="48" t="s">
        <v>14060</v>
      </c>
      <c r="CH7" s="48" t="s">
        <v>34178</v>
      </c>
    </row>
    <row r="8" spans="26:57" ht="12" customHeight="true">
      <c r="Z8" s="33">
        <v>865</v>
      </c>
      <c r="BE8" s="33" t="s">
        <v>34186</v>
      </c>
    </row>
    <row r="9" spans="2:87" s="39" customFormat="true" ht="12" customHeight="true">
      <c r="B9" s="39" t="s">
        <v>34187</v>
      </c>
      <c r="D9" s="46">
        <v>0</v>
      </c>
      <c r="E9" s="46">
        <v>0</v>
      </c>
      <c r="F9" s="46">
        <v>0</v>
      </c>
      <c r="G9" s="46">
        <v>0</v>
      </c>
      <c r="H9" s="46">
        <v>0</v>
      </c>
      <c r="I9" s="46">
        <v>0</v>
      </c>
      <c r="J9" s="46">
        <v>0</v>
      </c>
      <c r="K9" s="50">
        <v>1445657.37</v>
      </c>
      <c r="L9" s="50">
        <v>11845.65</v>
      </c>
      <c r="M9" s="46">
        <v>0</v>
      </c>
      <c r="N9" s="46">
        <v>0</v>
      </c>
      <c r="O9" s="46">
        <v>0</v>
      </c>
      <c r="P9" s="46">
        <v>0</v>
      </c>
      <c r="Q9" s="46">
        <v>0</v>
      </c>
      <c r="R9" s="50">
        <v>12273.24</v>
      </c>
      <c r="S9" s="46">
        <v>0</v>
      </c>
      <c r="T9" s="46">
        <v>0</v>
      </c>
      <c r="U9" s="51"/>
      <c r="V9" s="50">
        <v>135406.09</v>
      </c>
      <c r="W9" s="46">
        <v>0</v>
      </c>
      <c r="X9" s="46">
        <v>0</v>
      </c>
      <c r="Y9" s="46">
        <v>0</v>
      </c>
      <c r="Z9" s="50">
        <v>5152.21</v>
      </c>
      <c r="AA9" s="51"/>
      <c r="AB9" s="51"/>
      <c r="AC9" s="51"/>
      <c r="AD9" s="51"/>
      <c r="AE9" s="50">
        <v>295953.22</v>
      </c>
      <c r="AF9" s="51"/>
      <c r="AG9" s="50">
        <v>66219.23</v>
      </c>
      <c r="AH9" s="50">
        <v>16363.78</v>
      </c>
      <c r="AI9" s="51"/>
      <c r="AJ9" s="50">
        <v>25584.41</v>
      </c>
      <c r="AK9" s="50">
        <v>54023.15</v>
      </c>
      <c r="AL9" s="50">
        <v>35527.91</v>
      </c>
      <c r="AM9" s="46"/>
      <c r="AN9" s="46"/>
      <c r="AO9" s="50">
        <v>3198.94</v>
      </c>
      <c r="AP9" s="50">
        <v>138955.17</v>
      </c>
      <c r="AQ9" s="50">
        <v>8007.91</v>
      </c>
      <c r="AR9" s="50">
        <v>7554.77</v>
      </c>
      <c r="AS9" s="50">
        <v>6161.61</v>
      </c>
      <c r="AT9" s="51"/>
      <c r="AU9" s="50">
        <v>4741.72</v>
      </c>
      <c r="AV9" s="50">
        <v>37789.6</v>
      </c>
      <c r="AW9" s="50">
        <v>14662.51</v>
      </c>
      <c r="AX9" s="50">
        <v>30747.03</v>
      </c>
      <c r="AY9" s="50">
        <v>140570.89</v>
      </c>
      <c r="AZ9" s="50">
        <v>4514.33</v>
      </c>
      <c r="BA9" s="50">
        <v>98289.79</v>
      </c>
      <c r="BB9" s="50">
        <v>3856.29</v>
      </c>
      <c r="BC9" s="50">
        <v>34970.03</v>
      </c>
      <c r="BD9" s="50">
        <v>45070.1</v>
      </c>
      <c r="BE9" s="50"/>
      <c r="BF9" s="50">
        <v>108085.75</v>
      </c>
      <c r="BG9" s="50">
        <v>111841.56</v>
      </c>
      <c r="BH9" s="50">
        <v>57217.05</v>
      </c>
      <c r="BI9" s="50">
        <v>17765.78</v>
      </c>
      <c r="BJ9" s="50">
        <v>44182.62</v>
      </c>
      <c r="BK9" s="50">
        <v>67153.96</v>
      </c>
      <c r="BL9" s="50">
        <v>57714.88</v>
      </c>
      <c r="BM9" s="50">
        <v>65245.96</v>
      </c>
      <c r="BN9" s="50">
        <v>23521.19</v>
      </c>
      <c r="BO9" s="50">
        <v>16751.78</v>
      </c>
      <c r="BP9" s="50">
        <v>11519.32</v>
      </c>
      <c r="BQ9" s="50">
        <v>46622.26</v>
      </c>
      <c r="BR9" s="50">
        <v>23247.22</v>
      </c>
      <c r="BS9" s="50">
        <v>56832.6</v>
      </c>
      <c r="BT9" s="50">
        <v>47356.44</v>
      </c>
      <c r="BU9" s="50">
        <v>40063.93</v>
      </c>
      <c r="BV9" s="50">
        <v>108146.87</v>
      </c>
      <c r="BW9" s="50">
        <v>54763.44</v>
      </c>
      <c r="BX9" s="50">
        <v>33698.12</v>
      </c>
      <c r="BY9" s="50">
        <v>59111.09</v>
      </c>
      <c r="BZ9" s="50">
        <v>67276.08</v>
      </c>
      <c r="CA9" s="50">
        <v>27558.04</v>
      </c>
      <c r="CB9" s="50">
        <v>9553.25</v>
      </c>
      <c r="CC9" s="50">
        <v>8046.41</v>
      </c>
      <c r="CD9" s="50">
        <v>2169466.65</v>
      </c>
      <c r="CE9" s="50">
        <v>4248552.8</v>
      </c>
      <c r="CF9" s="50">
        <v>3750000</v>
      </c>
      <c r="CG9" s="50">
        <v>581190.66</v>
      </c>
      <c r="CH9" s="50">
        <v>1823.21</v>
      </c>
      <c r="CI9" s="39">
        <f>SUM(D9:CH9)</f>
        <v>14597405.87</v>
      </c>
    </row>
    <row r="10" spans="21:46" s="39" customFormat="true" ht="12" customHeight="true">
      <c r="U10" s="51"/>
      <c r="AA10" s="51"/>
      <c r="AB10" s="51"/>
      <c r="AC10" s="51"/>
      <c r="AD10" s="51"/>
      <c r="AF10" s="51"/>
      <c r="AI10" s="51"/>
      <c r="AT10" s="51"/>
    </row>
    <row r="11" spans="2:46" s="39" customFormat="true" ht="12" customHeight="true">
      <c r="B11" s="39" t="s">
        <v>34188</v>
      </c>
      <c r="U11" s="51"/>
      <c r="AA11" s="51"/>
      <c r="AB11" s="51"/>
      <c r="AC11" s="51"/>
      <c r="AD11" s="51"/>
      <c r="AF11" s="51"/>
      <c r="AI11" s="51"/>
      <c r="AT11" s="51"/>
    </row>
    <row r="12" spans="4:86" s="39" customFormat="true" ht="12" customHeight="true">
      <c r="D12" s="46">
        <v>35944.48</v>
      </c>
      <c r="E12" s="46">
        <v>422</v>
      </c>
      <c r="F12" s="46">
        <v>317.29</v>
      </c>
      <c r="G12" s="46">
        <v>21281.84</v>
      </c>
      <c r="H12" s="46"/>
      <c r="I12" s="46"/>
      <c r="J12" s="46">
        <v>379758.3</v>
      </c>
      <c r="K12" s="46">
        <v>24913.67</v>
      </c>
      <c r="L12" s="46"/>
      <c r="M12" s="46">
        <v>15012.47</v>
      </c>
      <c r="N12" s="46">
        <v>10547.26</v>
      </c>
      <c r="O12" s="46"/>
      <c r="P12" s="46">
        <v>17015.02</v>
      </c>
      <c r="Q12" s="46"/>
      <c r="R12" s="46"/>
      <c r="S12" s="46"/>
      <c r="T12" s="46">
        <v>5671.7</v>
      </c>
      <c r="U12" s="51"/>
      <c r="V12" s="46">
        <v>22874.47</v>
      </c>
      <c r="W12" s="46">
        <v>37756</v>
      </c>
      <c r="X12" s="46">
        <v>97.68</v>
      </c>
      <c r="Y12" s="46">
        <v>13741.01</v>
      </c>
      <c r="Z12" s="46">
        <v>12659.64</v>
      </c>
      <c r="AA12" s="51"/>
      <c r="AB12" s="51"/>
      <c r="AC12" s="51"/>
      <c r="AD12" s="51"/>
      <c r="AE12" s="46"/>
      <c r="AF12" s="51"/>
      <c r="AG12" s="46">
        <v>25318.1</v>
      </c>
      <c r="AH12" s="46">
        <v>32431.1</v>
      </c>
      <c r="AI12" s="51"/>
      <c r="AJ12" s="46">
        <v>13967.68</v>
      </c>
      <c r="AK12" s="46">
        <v>6170.83</v>
      </c>
      <c r="AL12" s="46">
        <v>4572.25</v>
      </c>
      <c r="AM12" s="46"/>
      <c r="AN12" s="46"/>
      <c r="AO12" s="46"/>
      <c r="AP12" s="46"/>
      <c r="AQ12" s="46"/>
      <c r="AR12" s="46"/>
      <c r="AS12" s="46"/>
      <c r="AT12" s="51"/>
      <c r="AU12" s="46"/>
      <c r="AV12" s="46">
        <v>35641.49</v>
      </c>
      <c r="AW12" s="46"/>
      <c r="AX12" s="46"/>
      <c r="AY12" s="46"/>
      <c r="AZ12" s="46"/>
      <c r="BA12" s="46"/>
      <c r="BB12" s="46"/>
      <c r="BC12" s="46"/>
      <c r="BD12" s="46"/>
      <c r="BE12" s="46"/>
      <c r="BF12" s="46"/>
      <c r="BG12" s="46">
        <v>5417.49</v>
      </c>
      <c r="BH12" s="46"/>
      <c r="BI12" s="46"/>
      <c r="BJ12" s="46"/>
      <c r="BK12" s="46"/>
      <c r="BL12" s="46"/>
      <c r="BM12" s="46"/>
      <c r="BN12" s="46"/>
      <c r="BO12" s="46"/>
      <c r="BP12" s="46"/>
      <c r="BQ12" s="46"/>
      <c r="BR12" s="46">
        <v>975</v>
      </c>
      <c r="BS12" s="46"/>
      <c r="BT12" s="46"/>
      <c r="BU12" s="46"/>
      <c r="BV12" s="46"/>
      <c r="BW12" s="46"/>
      <c r="BX12" s="46"/>
      <c r="BY12" s="46"/>
      <c r="BZ12" s="46"/>
      <c r="CA12" s="46"/>
      <c r="CB12" s="46"/>
      <c r="CC12" s="46"/>
      <c r="CD12" s="46">
        <v>300000</v>
      </c>
      <c r="CE12" s="46"/>
      <c r="CF12" s="46"/>
      <c r="CG12" s="46"/>
      <c r="CH12" s="46"/>
    </row>
    <row r="13" spans="4:86" s="39" customFormat="true" ht="12" customHeight="true">
      <c r="D13" s="46"/>
      <c r="E13" s="46"/>
      <c r="F13" s="46"/>
      <c r="G13" s="46"/>
      <c r="H13" s="46"/>
      <c r="I13" s="46"/>
      <c r="J13" s="46"/>
      <c r="K13" s="46"/>
      <c r="L13" s="46"/>
      <c r="M13" s="46"/>
      <c r="N13" s="46"/>
      <c r="O13" s="46"/>
      <c r="P13" s="46"/>
      <c r="Q13" s="46"/>
      <c r="R13" s="46"/>
      <c r="S13" s="46"/>
      <c r="T13" s="46"/>
      <c r="U13" s="51"/>
      <c r="V13" s="46"/>
      <c r="W13" s="46">
        <v>17686.8</v>
      </c>
      <c r="X13" s="46"/>
      <c r="Y13" s="46">
        <v>15702.75</v>
      </c>
      <c r="Z13" s="46"/>
      <c r="AA13" s="51"/>
      <c r="AB13" s="51"/>
      <c r="AC13" s="51"/>
      <c r="AD13" s="51"/>
      <c r="AE13" s="46"/>
      <c r="AF13" s="51"/>
      <c r="AG13" s="46"/>
      <c r="AH13" s="46"/>
      <c r="AI13" s="51"/>
      <c r="AJ13" s="46"/>
      <c r="AK13" s="46"/>
      <c r="AL13" s="46"/>
      <c r="AM13" s="46"/>
      <c r="AN13" s="46"/>
      <c r="AO13" s="46"/>
      <c r="AP13" s="46"/>
      <c r="AQ13" s="46"/>
      <c r="AR13" s="46"/>
      <c r="AS13" s="46"/>
      <c r="AT13" s="51"/>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row>
    <row r="14" spans="4:86" s="39" customFormat="true" ht="12" customHeight="true">
      <c r="D14" s="46"/>
      <c r="E14" s="46"/>
      <c r="F14" s="46"/>
      <c r="G14" s="46"/>
      <c r="H14" s="46"/>
      <c r="I14" s="46"/>
      <c r="J14" s="46"/>
      <c r="K14" s="46"/>
      <c r="L14" s="46"/>
      <c r="M14" s="46"/>
      <c r="N14" s="46"/>
      <c r="O14" s="46"/>
      <c r="P14" s="46"/>
      <c r="Q14" s="46"/>
      <c r="R14" s="46"/>
      <c r="S14" s="46"/>
      <c r="T14" s="46"/>
      <c r="U14" s="51"/>
      <c r="V14" s="46"/>
      <c r="W14" s="46"/>
      <c r="X14" s="46"/>
      <c r="Y14" s="46"/>
      <c r="Z14" s="46"/>
      <c r="AA14" s="51"/>
      <c r="AB14" s="51"/>
      <c r="AC14" s="51"/>
      <c r="AD14" s="51"/>
      <c r="AE14" s="46"/>
      <c r="AF14" s="51"/>
      <c r="AG14" s="46"/>
      <c r="AH14" s="46"/>
      <c r="AI14" s="51"/>
      <c r="AJ14" s="46"/>
      <c r="AK14" s="46"/>
      <c r="AL14" s="46"/>
      <c r="AM14" s="46"/>
      <c r="AN14" s="46"/>
      <c r="AO14" s="46"/>
      <c r="AP14" s="46"/>
      <c r="AQ14" s="46"/>
      <c r="AR14" s="46"/>
      <c r="AS14" s="46"/>
      <c r="AT14" s="51"/>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c r="CH14" s="46"/>
    </row>
    <row r="15" spans="4:86" s="39" customFormat="true" ht="12" customHeight="true">
      <c r="D15" s="46"/>
      <c r="E15" s="46"/>
      <c r="F15" s="46"/>
      <c r="G15" s="46"/>
      <c r="H15" s="46"/>
      <c r="I15" s="46"/>
      <c r="J15" s="46"/>
      <c r="K15" s="46"/>
      <c r="L15" s="46"/>
      <c r="M15" s="46"/>
      <c r="N15" s="46"/>
      <c r="O15" s="46"/>
      <c r="P15" s="46"/>
      <c r="Q15" s="46"/>
      <c r="R15" s="46"/>
      <c r="S15" s="46"/>
      <c r="T15" s="46"/>
      <c r="U15" s="51"/>
      <c r="V15" s="46"/>
      <c r="W15" s="46"/>
      <c r="X15" s="46"/>
      <c r="Y15" s="46"/>
      <c r="Z15" s="46"/>
      <c r="AA15" s="51"/>
      <c r="AB15" s="51"/>
      <c r="AC15" s="51"/>
      <c r="AD15" s="51"/>
      <c r="AE15" s="46"/>
      <c r="AF15" s="51"/>
      <c r="AG15" s="46"/>
      <c r="AH15" s="46"/>
      <c r="AI15" s="51"/>
      <c r="AJ15" s="46"/>
      <c r="AK15" s="46"/>
      <c r="AL15" s="46"/>
      <c r="AM15" s="46"/>
      <c r="AN15" s="46"/>
      <c r="AO15" s="46"/>
      <c r="AP15" s="46"/>
      <c r="AQ15" s="46"/>
      <c r="AR15" s="46"/>
      <c r="AS15" s="46"/>
      <c r="AT15" s="51"/>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row>
    <row r="16" spans="4:86" s="39" customFormat="true" ht="12" customHeight="true">
      <c r="D16" s="46"/>
      <c r="E16" s="46"/>
      <c r="F16" s="46"/>
      <c r="G16" s="46"/>
      <c r="H16" s="46"/>
      <c r="I16" s="46"/>
      <c r="J16" s="46"/>
      <c r="K16" s="46"/>
      <c r="L16" s="46"/>
      <c r="M16" s="46"/>
      <c r="N16" s="46"/>
      <c r="O16" s="46"/>
      <c r="P16" s="46"/>
      <c r="Q16" s="46"/>
      <c r="R16" s="46"/>
      <c r="S16" s="46"/>
      <c r="T16" s="46"/>
      <c r="U16" s="51"/>
      <c r="V16" s="46"/>
      <c r="W16" s="46"/>
      <c r="X16" s="46"/>
      <c r="Y16" s="46"/>
      <c r="Z16" s="46"/>
      <c r="AA16" s="51"/>
      <c r="AB16" s="51"/>
      <c r="AC16" s="51"/>
      <c r="AD16" s="51"/>
      <c r="AE16" s="46"/>
      <c r="AF16" s="51"/>
      <c r="AG16" s="46"/>
      <c r="AH16" s="46"/>
      <c r="AI16" s="51"/>
      <c r="AJ16" s="46"/>
      <c r="AK16" s="46"/>
      <c r="AL16" s="46"/>
      <c r="AM16" s="46"/>
      <c r="AN16" s="46"/>
      <c r="AO16" s="46"/>
      <c r="AP16" s="46"/>
      <c r="AQ16" s="46"/>
      <c r="AR16" s="46"/>
      <c r="AS16" s="46"/>
      <c r="AT16" s="51"/>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row>
    <row r="17" spans="4:86" s="39" customFormat="true" ht="12" customHeight="true">
      <c r="D17" s="46"/>
      <c r="E17" s="46"/>
      <c r="F17" s="46"/>
      <c r="G17" s="46"/>
      <c r="H17" s="46"/>
      <c r="I17" s="46"/>
      <c r="J17" s="46"/>
      <c r="K17" s="46"/>
      <c r="L17" s="46"/>
      <c r="M17" s="46"/>
      <c r="N17" s="46"/>
      <c r="O17" s="46"/>
      <c r="P17" s="46"/>
      <c r="Q17" s="46"/>
      <c r="R17" s="46"/>
      <c r="S17" s="46"/>
      <c r="T17" s="46"/>
      <c r="U17" s="51"/>
      <c r="V17" s="46"/>
      <c r="W17" s="46"/>
      <c r="X17" s="46"/>
      <c r="Y17" s="46"/>
      <c r="Z17" s="46"/>
      <c r="AA17" s="51"/>
      <c r="AB17" s="51"/>
      <c r="AC17" s="51"/>
      <c r="AD17" s="51"/>
      <c r="AE17" s="46"/>
      <c r="AF17" s="51"/>
      <c r="AG17" s="46"/>
      <c r="AH17" s="46"/>
      <c r="AI17" s="51"/>
      <c r="AJ17" s="46"/>
      <c r="AK17" s="46"/>
      <c r="AL17" s="46"/>
      <c r="AM17" s="46"/>
      <c r="AN17" s="46"/>
      <c r="AO17" s="46"/>
      <c r="AP17" s="46"/>
      <c r="AQ17" s="46"/>
      <c r="AR17" s="46"/>
      <c r="AS17" s="46"/>
      <c r="AT17" s="51"/>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row>
    <row r="18" spans="4:86" s="39" customFormat="true" ht="12" customHeight="true">
      <c r="D18" s="46"/>
      <c r="E18" s="46"/>
      <c r="F18" s="46"/>
      <c r="G18" s="46"/>
      <c r="H18" s="46"/>
      <c r="I18" s="46"/>
      <c r="J18" s="46"/>
      <c r="K18" s="46"/>
      <c r="L18" s="46"/>
      <c r="M18" s="46"/>
      <c r="N18" s="46"/>
      <c r="O18" s="46"/>
      <c r="P18" s="46"/>
      <c r="Q18" s="46"/>
      <c r="R18" s="46"/>
      <c r="S18" s="46"/>
      <c r="T18" s="46"/>
      <c r="U18" s="51"/>
      <c r="V18" s="46"/>
      <c r="W18" s="46"/>
      <c r="X18" s="46"/>
      <c r="Y18" s="46"/>
      <c r="Z18" s="46"/>
      <c r="AA18" s="51"/>
      <c r="AB18" s="51"/>
      <c r="AC18" s="51"/>
      <c r="AD18" s="51"/>
      <c r="AE18" s="46"/>
      <c r="AF18" s="51"/>
      <c r="AG18" s="46"/>
      <c r="AH18" s="46"/>
      <c r="AI18" s="51"/>
      <c r="AJ18" s="46"/>
      <c r="AK18" s="46"/>
      <c r="AL18" s="46"/>
      <c r="AM18" s="46"/>
      <c r="AN18" s="46"/>
      <c r="AO18" s="46"/>
      <c r="AP18" s="46"/>
      <c r="AQ18" s="46"/>
      <c r="AR18" s="46"/>
      <c r="AS18" s="46"/>
      <c r="AT18" s="51"/>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row>
    <row r="19" spans="4:86" s="39" customFormat="true" ht="12" customHeight="true">
      <c r="D19" s="46"/>
      <c r="E19" s="46"/>
      <c r="F19" s="46"/>
      <c r="G19" s="46"/>
      <c r="H19" s="46"/>
      <c r="I19" s="46"/>
      <c r="J19" s="46"/>
      <c r="K19" s="46"/>
      <c r="L19" s="46"/>
      <c r="M19" s="46"/>
      <c r="N19" s="46"/>
      <c r="O19" s="46"/>
      <c r="P19" s="46"/>
      <c r="Q19" s="46"/>
      <c r="R19" s="46"/>
      <c r="S19" s="46"/>
      <c r="T19" s="46"/>
      <c r="U19" s="51"/>
      <c r="V19" s="46"/>
      <c r="W19" s="46"/>
      <c r="X19" s="46"/>
      <c r="Y19" s="46"/>
      <c r="Z19" s="46"/>
      <c r="AA19" s="51"/>
      <c r="AB19" s="51"/>
      <c r="AC19" s="51"/>
      <c r="AD19" s="51"/>
      <c r="AE19" s="46"/>
      <c r="AF19" s="51"/>
      <c r="AG19" s="46"/>
      <c r="AH19" s="46"/>
      <c r="AI19" s="51"/>
      <c r="AJ19" s="46"/>
      <c r="AK19" s="46"/>
      <c r="AL19" s="46"/>
      <c r="AM19" s="46"/>
      <c r="AN19" s="46"/>
      <c r="AO19" s="46"/>
      <c r="AP19" s="46"/>
      <c r="AQ19" s="46"/>
      <c r="AR19" s="46"/>
      <c r="AS19" s="46"/>
      <c r="AT19" s="51"/>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row>
    <row r="20" spans="4:86" s="39" customFormat="true" ht="12" customHeight="true">
      <c r="D20" s="46"/>
      <c r="E20" s="46"/>
      <c r="F20" s="46"/>
      <c r="G20" s="46"/>
      <c r="H20" s="46"/>
      <c r="I20" s="46"/>
      <c r="J20" s="46"/>
      <c r="K20" s="46"/>
      <c r="L20" s="46"/>
      <c r="M20" s="46"/>
      <c r="N20" s="46"/>
      <c r="O20" s="46"/>
      <c r="P20" s="46"/>
      <c r="Q20" s="46"/>
      <c r="R20" s="46"/>
      <c r="S20" s="46"/>
      <c r="T20" s="46"/>
      <c r="U20" s="51"/>
      <c r="V20" s="46"/>
      <c r="W20" s="46"/>
      <c r="X20" s="46"/>
      <c r="Y20" s="46"/>
      <c r="Z20" s="46"/>
      <c r="AA20" s="51"/>
      <c r="AB20" s="51"/>
      <c r="AC20" s="51"/>
      <c r="AD20" s="51"/>
      <c r="AE20" s="46"/>
      <c r="AF20" s="51"/>
      <c r="AG20" s="46"/>
      <c r="AH20" s="46"/>
      <c r="AI20" s="51"/>
      <c r="AJ20" s="46"/>
      <c r="AK20" s="46"/>
      <c r="AL20" s="46"/>
      <c r="AM20" s="46"/>
      <c r="AN20" s="46"/>
      <c r="AO20" s="46"/>
      <c r="AP20" s="46"/>
      <c r="AQ20" s="46"/>
      <c r="AR20" s="46"/>
      <c r="AS20" s="46"/>
      <c r="AT20" s="51"/>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row>
    <row r="21" spans="4:86" s="39" customFormat="true" ht="12" customHeight="true">
      <c r="D21" s="46"/>
      <c r="E21" s="46"/>
      <c r="F21" s="46"/>
      <c r="G21" s="46"/>
      <c r="H21" s="46"/>
      <c r="I21" s="46"/>
      <c r="J21" s="46"/>
      <c r="K21" s="46"/>
      <c r="L21" s="46"/>
      <c r="M21" s="46"/>
      <c r="N21" s="46"/>
      <c r="O21" s="46"/>
      <c r="P21" s="46"/>
      <c r="Q21" s="46"/>
      <c r="R21" s="46"/>
      <c r="S21" s="46"/>
      <c r="T21" s="46"/>
      <c r="U21" s="51"/>
      <c r="V21" s="46"/>
      <c r="W21" s="46"/>
      <c r="X21" s="46"/>
      <c r="Y21" s="46"/>
      <c r="Z21" s="46"/>
      <c r="AA21" s="51"/>
      <c r="AB21" s="51"/>
      <c r="AC21" s="51"/>
      <c r="AD21" s="51"/>
      <c r="AE21" s="46"/>
      <c r="AF21" s="51"/>
      <c r="AG21" s="46"/>
      <c r="AH21" s="46"/>
      <c r="AI21" s="51"/>
      <c r="AJ21" s="46"/>
      <c r="AK21" s="46"/>
      <c r="AL21" s="46"/>
      <c r="AM21" s="46"/>
      <c r="AN21" s="46"/>
      <c r="AO21" s="46"/>
      <c r="AP21" s="46"/>
      <c r="AQ21" s="46"/>
      <c r="AR21" s="46"/>
      <c r="AS21" s="46"/>
      <c r="AT21" s="51"/>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row>
    <row r="22" spans="4:86" s="39" customFormat="true" ht="12" customHeight="true">
      <c r="D22" s="46"/>
      <c r="E22" s="46"/>
      <c r="F22" s="46"/>
      <c r="G22" s="46"/>
      <c r="H22" s="46"/>
      <c r="I22" s="46"/>
      <c r="J22" s="46"/>
      <c r="K22" s="46"/>
      <c r="L22" s="46"/>
      <c r="M22" s="46"/>
      <c r="N22" s="46"/>
      <c r="O22" s="46"/>
      <c r="P22" s="46"/>
      <c r="Q22" s="46"/>
      <c r="R22" s="46"/>
      <c r="S22" s="46"/>
      <c r="T22" s="46"/>
      <c r="U22" s="51"/>
      <c r="V22" s="46"/>
      <c r="W22" s="46"/>
      <c r="X22" s="46"/>
      <c r="Y22" s="46"/>
      <c r="Z22" s="46"/>
      <c r="AA22" s="51"/>
      <c r="AB22" s="51"/>
      <c r="AC22" s="51"/>
      <c r="AD22" s="51"/>
      <c r="AE22" s="46"/>
      <c r="AF22" s="51"/>
      <c r="AG22" s="46"/>
      <c r="AH22" s="46"/>
      <c r="AI22" s="51"/>
      <c r="AJ22" s="46"/>
      <c r="AK22" s="46"/>
      <c r="AL22" s="46"/>
      <c r="AM22" s="46"/>
      <c r="AN22" s="46"/>
      <c r="AO22" s="46"/>
      <c r="AP22" s="46"/>
      <c r="AQ22" s="46"/>
      <c r="AR22" s="46"/>
      <c r="AS22" s="46"/>
      <c r="AT22" s="51"/>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c r="CH22" s="46"/>
    </row>
    <row r="23" spans="4:86" s="39" customFormat="true" ht="12" customHeight="true">
      <c r="D23" s="46"/>
      <c r="E23" s="46"/>
      <c r="F23" s="46"/>
      <c r="G23" s="46"/>
      <c r="H23" s="46"/>
      <c r="I23" s="46"/>
      <c r="J23" s="46"/>
      <c r="K23" s="46"/>
      <c r="L23" s="46"/>
      <c r="M23" s="46"/>
      <c r="N23" s="46"/>
      <c r="O23" s="46"/>
      <c r="P23" s="46"/>
      <c r="Q23" s="46"/>
      <c r="R23" s="46"/>
      <c r="S23" s="46"/>
      <c r="T23" s="46"/>
      <c r="U23" s="51"/>
      <c r="V23" s="46"/>
      <c r="W23" s="46"/>
      <c r="X23" s="46"/>
      <c r="Y23" s="46"/>
      <c r="Z23" s="46"/>
      <c r="AA23" s="51"/>
      <c r="AB23" s="51"/>
      <c r="AC23" s="51"/>
      <c r="AD23" s="51"/>
      <c r="AE23" s="46"/>
      <c r="AF23" s="51"/>
      <c r="AG23" s="46"/>
      <c r="AH23" s="46"/>
      <c r="AI23" s="51"/>
      <c r="AJ23" s="46"/>
      <c r="AK23" s="46"/>
      <c r="AL23" s="46"/>
      <c r="AM23" s="46"/>
      <c r="AN23" s="46"/>
      <c r="AO23" s="46"/>
      <c r="AP23" s="46"/>
      <c r="AQ23" s="46"/>
      <c r="AR23" s="46"/>
      <c r="AS23" s="46"/>
      <c r="AT23" s="51"/>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row>
    <row r="24" spans="4:86" s="39" customFormat="true" ht="12" customHeight="true">
      <c r="D24" s="46"/>
      <c r="E24" s="46"/>
      <c r="F24" s="46"/>
      <c r="G24" s="46"/>
      <c r="H24" s="46"/>
      <c r="I24" s="46"/>
      <c r="J24" s="46"/>
      <c r="K24" s="46"/>
      <c r="L24" s="46"/>
      <c r="M24" s="46"/>
      <c r="N24" s="46"/>
      <c r="O24" s="46"/>
      <c r="P24" s="46"/>
      <c r="Q24" s="46"/>
      <c r="R24" s="46"/>
      <c r="S24" s="46"/>
      <c r="T24" s="46"/>
      <c r="U24" s="51"/>
      <c r="V24" s="46"/>
      <c r="W24" s="46"/>
      <c r="X24" s="46"/>
      <c r="Y24" s="46"/>
      <c r="Z24" s="46"/>
      <c r="AA24" s="51"/>
      <c r="AB24" s="51"/>
      <c r="AC24" s="51"/>
      <c r="AD24" s="51"/>
      <c r="AE24" s="46"/>
      <c r="AF24" s="51"/>
      <c r="AG24" s="46"/>
      <c r="AH24" s="46"/>
      <c r="AI24" s="51"/>
      <c r="AJ24" s="46"/>
      <c r="AK24" s="46"/>
      <c r="AL24" s="46"/>
      <c r="AM24" s="46"/>
      <c r="AN24" s="46"/>
      <c r="AO24" s="46"/>
      <c r="AP24" s="46"/>
      <c r="AQ24" s="46"/>
      <c r="AR24" s="46"/>
      <c r="AS24" s="46"/>
      <c r="AT24" s="51"/>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row>
    <row r="25" spans="4:86" s="39" customFormat="true" ht="12" customHeight="true">
      <c r="D25" s="46"/>
      <c r="E25" s="46"/>
      <c r="F25" s="46"/>
      <c r="G25" s="46"/>
      <c r="H25" s="46"/>
      <c r="I25" s="46"/>
      <c r="J25" s="46"/>
      <c r="K25" s="46"/>
      <c r="L25" s="46"/>
      <c r="M25" s="46"/>
      <c r="N25" s="46"/>
      <c r="O25" s="46"/>
      <c r="P25" s="46"/>
      <c r="Q25" s="46"/>
      <c r="R25" s="46"/>
      <c r="S25" s="46"/>
      <c r="T25" s="46"/>
      <c r="U25" s="51"/>
      <c r="V25" s="46"/>
      <c r="W25" s="46"/>
      <c r="X25" s="46"/>
      <c r="Y25" s="46"/>
      <c r="Z25" s="46"/>
      <c r="AA25" s="51"/>
      <c r="AB25" s="51"/>
      <c r="AC25" s="51"/>
      <c r="AD25" s="51"/>
      <c r="AE25" s="46"/>
      <c r="AF25" s="51"/>
      <c r="AG25" s="46"/>
      <c r="AH25" s="46"/>
      <c r="AI25" s="51"/>
      <c r="AJ25" s="46"/>
      <c r="AK25" s="46"/>
      <c r="AL25" s="46"/>
      <c r="AM25" s="46"/>
      <c r="AN25" s="46"/>
      <c r="AO25" s="46"/>
      <c r="AP25" s="46"/>
      <c r="AQ25" s="46"/>
      <c r="AR25" s="46"/>
      <c r="AS25" s="46"/>
      <c r="AT25" s="51"/>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row>
    <row r="26" spans="4:86" s="39" customFormat="true" ht="12" customHeight="true">
      <c r="D26" s="46"/>
      <c r="E26" s="46"/>
      <c r="F26" s="46"/>
      <c r="G26" s="46"/>
      <c r="H26" s="46"/>
      <c r="I26" s="46"/>
      <c r="J26" s="46"/>
      <c r="K26" s="46"/>
      <c r="L26" s="46"/>
      <c r="M26" s="46"/>
      <c r="N26" s="46"/>
      <c r="O26" s="46"/>
      <c r="P26" s="46"/>
      <c r="Q26" s="46"/>
      <c r="R26" s="46"/>
      <c r="S26" s="46"/>
      <c r="T26" s="46"/>
      <c r="U26" s="51"/>
      <c r="V26" s="46"/>
      <c r="W26" s="46"/>
      <c r="X26" s="46"/>
      <c r="Y26" s="46"/>
      <c r="Z26" s="46"/>
      <c r="AA26" s="51"/>
      <c r="AB26" s="51"/>
      <c r="AC26" s="51"/>
      <c r="AD26" s="51"/>
      <c r="AE26" s="46"/>
      <c r="AF26" s="51"/>
      <c r="AG26" s="46"/>
      <c r="AH26" s="46"/>
      <c r="AI26" s="51"/>
      <c r="AJ26" s="46"/>
      <c r="AK26" s="46"/>
      <c r="AL26" s="46"/>
      <c r="AM26" s="46"/>
      <c r="AN26" s="46"/>
      <c r="AO26" s="46"/>
      <c r="AP26" s="46"/>
      <c r="AQ26" s="46"/>
      <c r="AR26" s="46"/>
      <c r="AS26" s="46"/>
      <c r="AT26" s="51"/>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row>
    <row r="27" spans="4:86" s="39" customFormat="true" ht="12" customHeight="true">
      <c r="D27" s="46"/>
      <c r="E27" s="46"/>
      <c r="F27" s="46"/>
      <c r="G27" s="46"/>
      <c r="H27" s="46"/>
      <c r="I27" s="46"/>
      <c r="J27" s="46"/>
      <c r="K27" s="46"/>
      <c r="L27" s="46"/>
      <c r="M27" s="46"/>
      <c r="N27" s="46"/>
      <c r="O27" s="46"/>
      <c r="P27" s="46"/>
      <c r="Q27" s="46"/>
      <c r="R27" s="46"/>
      <c r="S27" s="46"/>
      <c r="T27" s="46"/>
      <c r="U27" s="51"/>
      <c r="V27" s="46"/>
      <c r="W27" s="46"/>
      <c r="X27" s="46"/>
      <c r="Y27" s="46"/>
      <c r="Z27" s="46"/>
      <c r="AA27" s="51"/>
      <c r="AB27" s="51"/>
      <c r="AC27" s="51"/>
      <c r="AD27" s="51"/>
      <c r="AE27" s="46"/>
      <c r="AF27" s="51"/>
      <c r="AG27" s="46"/>
      <c r="AH27" s="46"/>
      <c r="AI27" s="51"/>
      <c r="AJ27" s="46"/>
      <c r="AK27" s="46"/>
      <c r="AL27" s="46"/>
      <c r="AM27" s="46"/>
      <c r="AN27" s="46"/>
      <c r="AO27" s="46"/>
      <c r="AP27" s="46"/>
      <c r="AQ27" s="46"/>
      <c r="AR27" s="46"/>
      <c r="AS27" s="46"/>
      <c r="AT27" s="51"/>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c r="CH27" s="46"/>
    </row>
    <row r="28" spans="4:86" s="39" customFormat="true" ht="12" customHeight="true">
      <c r="D28" s="46"/>
      <c r="E28" s="46"/>
      <c r="F28" s="46"/>
      <c r="G28" s="46"/>
      <c r="H28" s="46"/>
      <c r="I28" s="46"/>
      <c r="J28" s="46"/>
      <c r="K28" s="46"/>
      <c r="L28" s="46"/>
      <c r="M28" s="46"/>
      <c r="N28" s="46"/>
      <c r="O28" s="46"/>
      <c r="P28" s="46"/>
      <c r="Q28" s="46"/>
      <c r="R28" s="46"/>
      <c r="S28" s="46"/>
      <c r="T28" s="46"/>
      <c r="U28" s="51"/>
      <c r="V28" s="46"/>
      <c r="W28" s="46"/>
      <c r="X28" s="46"/>
      <c r="Y28" s="46"/>
      <c r="Z28" s="46"/>
      <c r="AA28" s="51"/>
      <c r="AB28" s="51"/>
      <c r="AC28" s="51"/>
      <c r="AD28" s="51"/>
      <c r="AE28" s="46"/>
      <c r="AF28" s="51"/>
      <c r="AG28" s="46"/>
      <c r="AH28" s="46"/>
      <c r="AI28" s="51"/>
      <c r="AJ28" s="46"/>
      <c r="AK28" s="46"/>
      <c r="AL28" s="46"/>
      <c r="AM28" s="46"/>
      <c r="AN28" s="46"/>
      <c r="AO28" s="46"/>
      <c r="AP28" s="46"/>
      <c r="AQ28" s="46"/>
      <c r="AR28" s="46"/>
      <c r="AS28" s="46"/>
      <c r="AT28" s="51"/>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c r="CH28" s="46"/>
    </row>
    <row r="29" spans="2:87" s="39" customFormat="true" ht="12" customHeight="true">
      <c r="B29" s="39" t="s">
        <v>34189</v>
      </c>
      <c r="D29" s="39">
        <f t="shared" ref="D29:BO29" si="0">+SUM(D11:D28)</f>
        <v>35944.48</v>
      </c>
      <c r="E29" s="39">
        <f t="shared" si="0"/>
        <v>422</v>
      </c>
      <c r="F29" s="39">
        <f t="shared" si="0"/>
        <v>317.29</v>
      </c>
      <c r="G29" s="39">
        <f t="shared" si="0"/>
        <v>21281.84</v>
      </c>
      <c r="H29" s="39">
        <f t="shared" si="0"/>
        <v>0</v>
      </c>
      <c r="I29" s="39">
        <f t="shared" si="0"/>
        <v>0</v>
      </c>
      <c r="J29" s="39">
        <f t="shared" si="0"/>
        <v>379758.3</v>
      </c>
      <c r="K29" s="39">
        <f t="shared" si="0"/>
        <v>24913.67</v>
      </c>
      <c r="L29" s="39">
        <f t="shared" si="0"/>
        <v>0</v>
      </c>
      <c r="M29" s="39">
        <f t="shared" si="0"/>
        <v>15012.47</v>
      </c>
      <c r="N29" s="39">
        <f t="shared" si="0"/>
        <v>10547.26</v>
      </c>
      <c r="O29" s="39">
        <f t="shared" si="0"/>
        <v>0</v>
      </c>
      <c r="P29" s="39">
        <f t="shared" si="0"/>
        <v>17015.02</v>
      </c>
      <c r="Q29" s="39">
        <f t="shared" si="0"/>
        <v>0</v>
      </c>
      <c r="R29" s="39">
        <f t="shared" si="0"/>
        <v>0</v>
      </c>
      <c r="S29" s="39">
        <f t="shared" si="0"/>
        <v>0</v>
      </c>
      <c r="T29" s="39">
        <f t="shared" si="0"/>
        <v>5671.7</v>
      </c>
      <c r="U29" s="51">
        <f t="shared" si="0"/>
        <v>0</v>
      </c>
      <c r="V29" s="39">
        <f t="shared" si="0"/>
        <v>22874.47</v>
      </c>
      <c r="W29" s="39">
        <f t="shared" si="0"/>
        <v>55442.8</v>
      </c>
      <c r="X29" s="39">
        <f t="shared" si="0"/>
        <v>97.68</v>
      </c>
      <c r="Y29" s="39">
        <f t="shared" si="0"/>
        <v>29443.76</v>
      </c>
      <c r="Z29" s="39">
        <f t="shared" si="0"/>
        <v>12659.64</v>
      </c>
      <c r="AA29" s="51">
        <f t="shared" si="0"/>
        <v>0</v>
      </c>
      <c r="AB29" s="51">
        <f t="shared" si="0"/>
        <v>0</v>
      </c>
      <c r="AC29" s="51">
        <f t="shared" si="0"/>
        <v>0</v>
      </c>
      <c r="AD29" s="51">
        <f t="shared" si="0"/>
        <v>0</v>
      </c>
      <c r="AE29" s="39">
        <f t="shared" si="0"/>
        <v>0</v>
      </c>
      <c r="AF29" s="51">
        <f t="shared" si="0"/>
        <v>0</v>
      </c>
      <c r="AG29" s="39">
        <f t="shared" si="0"/>
        <v>25318.1</v>
      </c>
      <c r="AH29" s="39">
        <f t="shared" si="0"/>
        <v>32431.1</v>
      </c>
      <c r="AI29" s="51">
        <f t="shared" si="0"/>
        <v>0</v>
      </c>
      <c r="AJ29" s="39">
        <f t="shared" si="0"/>
        <v>13967.68</v>
      </c>
      <c r="AK29" s="39">
        <f t="shared" si="0"/>
        <v>6170.83</v>
      </c>
      <c r="AL29" s="39">
        <f t="shared" si="0"/>
        <v>4572.25</v>
      </c>
      <c r="AM29" s="39">
        <f t="shared" si="0"/>
        <v>0</v>
      </c>
      <c r="AN29" s="39">
        <f t="shared" si="0"/>
        <v>0</v>
      </c>
      <c r="AO29" s="39">
        <f t="shared" si="0"/>
        <v>0</v>
      </c>
      <c r="AP29" s="39">
        <f t="shared" si="0"/>
        <v>0</v>
      </c>
      <c r="AQ29" s="39">
        <f t="shared" si="0"/>
        <v>0</v>
      </c>
      <c r="AR29" s="39">
        <f t="shared" si="0"/>
        <v>0</v>
      </c>
      <c r="AS29" s="39">
        <f t="shared" si="0"/>
        <v>0</v>
      </c>
      <c r="AT29" s="51">
        <f t="shared" si="0"/>
        <v>0</v>
      </c>
      <c r="AU29" s="39">
        <f t="shared" si="0"/>
        <v>0</v>
      </c>
      <c r="AV29" s="39">
        <f t="shared" si="0"/>
        <v>35641.49</v>
      </c>
      <c r="AW29" s="39">
        <f t="shared" si="0"/>
        <v>0</v>
      </c>
      <c r="AX29" s="39">
        <f t="shared" si="0"/>
        <v>0</v>
      </c>
      <c r="AY29" s="39">
        <f t="shared" si="0"/>
        <v>0</v>
      </c>
      <c r="AZ29" s="39">
        <f t="shared" si="0"/>
        <v>0</v>
      </c>
      <c r="BA29" s="39">
        <f t="shared" si="0"/>
        <v>0</v>
      </c>
      <c r="BB29" s="39">
        <f t="shared" si="0"/>
        <v>0</v>
      </c>
      <c r="BC29" s="39">
        <f t="shared" si="0"/>
        <v>0</v>
      </c>
      <c r="BD29" s="39">
        <f t="shared" si="0"/>
        <v>0</v>
      </c>
      <c r="BE29" s="39">
        <f t="shared" si="0"/>
        <v>0</v>
      </c>
      <c r="BF29" s="39">
        <f t="shared" si="0"/>
        <v>0</v>
      </c>
      <c r="BG29" s="39">
        <f t="shared" si="0"/>
        <v>5417.49</v>
      </c>
      <c r="BH29" s="39">
        <f t="shared" si="0"/>
        <v>0</v>
      </c>
      <c r="BI29" s="39">
        <f t="shared" si="0"/>
        <v>0</v>
      </c>
      <c r="BJ29" s="39">
        <f t="shared" si="0"/>
        <v>0</v>
      </c>
      <c r="BK29" s="39">
        <f t="shared" si="0"/>
        <v>0</v>
      </c>
      <c r="BL29" s="39">
        <f t="shared" si="0"/>
        <v>0</v>
      </c>
      <c r="BM29" s="39">
        <f t="shared" si="0"/>
        <v>0</v>
      </c>
      <c r="BN29" s="39">
        <f t="shared" si="0"/>
        <v>0</v>
      </c>
      <c r="BO29" s="39">
        <f t="shared" si="0"/>
        <v>0</v>
      </c>
      <c r="BP29" s="39">
        <f t="shared" ref="BP29:CH29" si="1">+SUM(BP11:BP28)</f>
        <v>0</v>
      </c>
      <c r="BQ29" s="39">
        <f t="shared" si="1"/>
        <v>0</v>
      </c>
      <c r="BR29" s="39">
        <f t="shared" si="1"/>
        <v>975</v>
      </c>
      <c r="BS29" s="39">
        <f t="shared" si="1"/>
        <v>0</v>
      </c>
      <c r="BT29" s="39">
        <f t="shared" si="1"/>
        <v>0</v>
      </c>
      <c r="BU29" s="39">
        <f t="shared" si="1"/>
        <v>0</v>
      </c>
      <c r="BV29" s="39">
        <f t="shared" si="1"/>
        <v>0</v>
      </c>
      <c r="BW29" s="39">
        <f t="shared" si="1"/>
        <v>0</v>
      </c>
      <c r="BX29" s="39">
        <f t="shared" si="1"/>
        <v>0</v>
      </c>
      <c r="BY29" s="39">
        <f t="shared" si="1"/>
        <v>0</v>
      </c>
      <c r="BZ29" s="39">
        <f t="shared" si="1"/>
        <v>0</v>
      </c>
      <c r="CA29" s="39">
        <f t="shared" si="1"/>
        <v>0</v>
      </c>
      <c r="CB29" s="39">
        <f t="shared" si="1"/>
        <v>0</v>
      </c>
      <c r="CC29" s="39">
        <f t="shared" si="1"/>
        <v>0</v>
      </c>
      <c r="CD29" s="39">
        <f t="shared" si="1"/>
        <v>300000</v>
      </c>
      <c r="CE29" s="39">
        <f t="shared" si="1"/>
        <v>0</v>
      </c>
      <c r="CF29" s="39">
        <f t="shared" si="1"/>
        <v>0</v>
      </c>
      <c r="CG29" s="39">
        <f t="shared" si="1"/>
        <v>0</v>
      </c>
      <c r="CH29" s="39">
        <f t="shared" si="1"/>
        <v>0</v>
      </c>
      <c r="CI29" s="39">
        <f>SUM(D29:CH29)</f>
        <v>1055896.32</v>
      </c>
    </row>
    <row r="30" spans="21:46" s="39" customFormat="true" ht="12" customHeight="true">
      <c r="U30" s="51"/>
      <c r="AA30" s="51"/>
      <c r="AB30" s="51"/>
      <c r="AC30" s="51"/>
      <c r="AD30" s="51"/>
      <c r="AF30" s="51"/>
      <c r="AI30" s="51"/>
      <c r="AT30" s="51"/>
    </row>
    <row r="31" spans="2:46" s="39" customFormat="true" ht="12" customHeight="true">
      <c r="B31" s="39" t="s">
        <v>34190</v>
      </c>
      <c r="U31" s="51"/>
      <c r="AA31" s="51"/>
      <c r="AB31" s="51"/>
      <c r="AC31" s="51"/>
      <c r="AD31" s="51"/>
      <c r="AF31" s="51"/>
      <c r="AI31" s="51"/>
      <c r="AT31" s="51"/>
    </row>
    <row r="32" spans="4:87" s="39" customFormat="true" ht="12" customHeight="true">
      <c r="D32" s="46"/>
      <c r="E32" s="46">
        <v>31944.66</v>
      </c>
      <c r="F32" s="46">
        <v>72219.07</v>
      </c>
      <c r="G32" s="46"/>
      <c r="H32" s="46">
        <v>22893.16</v>
      </c>
      <c r="I32" s="46"/>
      <c r="J32" s="46"/>
      <c r="K32" s="46">
        <v>811849.6</v>
      </c>
      <c r="L32" s="46"/>
      <c r="M32" s="46"/>
      <c r="N32" s="46">
        <v>14550.21</v>
      </c>
      <c r="O32" s="46"/>
      <c r="P32" s="46">
        <v>366680.06</v>
      </c>
      <c r="Q32" s="46"/>
      <c r="R32" s="46">
        <v>12603.49</v>
      </c>
      <c r="S32" s="46">
        <v>5208.94</v>
      </c>
      <c r="T32" s="46"/>
      <c r="U32" s="51"/>
      <c r="V32" s="46">
        <v>54986.74</v>
      </c>
      <c r="W32" s="46"/>
      <c r="X32" s="46">
        <v>53581.33</v>
      </c>
      <c r="Y32" s="46"/>
      <c r="Z32" s="46"/>
      <c r="AA32" s="51"/>
      <c r="AB32" s="51"/>
      <c r="AC32" s="51"/>
      <c r="AD32" s="51"/>
      <c r="AE32" s="46">
        <v>3123.2</v>
      </c>
      <c r="AF32" s="51"/>
      <c r="AG32" s="46">
        <v>143062.08</v>
      </c>
      <c r="AH32" s="46">
        <v>44620.62</v>
      </c>
      <c r="AI32" s="51"/>
      <c r="AJ32" s="46">
        <v>124231.84</v>
      </c>
      <c r="AK32" s="46">
        <v>41594.67</v>
      </c>
      <c r="AL32" s="46">
        <v>14914.92</v>
      </c>
      <c r="AM32" s="46"/>
      <c r="AN32" s="46"/>
      <c r="AO32" s="46">
        <v>2600</v>
      </c>
      <c r="AP32" s="46">
        <v>7800</v>
      </c>
      <c r="AQ32" s="46">
        <v>5200</v>
      </c>
      <c r="AR32" s="46">
        <v>5200</v>
      </c>
      <c r="AS32" s="46">
        <v>5200</v>
      </c>
      <c r="AT32" s="51"/>
      <c r="AU32" s="46">
        <v>5200</v>
      </c>
      <c r="AV32" s="46">
        <v>116178.35</v>
      </c>
      <c r="AW32" s="46">
        <v>13456.95</v>
      </c>
      <c r="AX32" s="46">
        <v>3798.22</v>
      </c>
      <c r="AY32" s="46">
        <v>23332.63</v>
      </c>
      <c r="AZ32" s="46"/>
      <c r="BA32" s="46">
        <v>46930.3</v>
      </c>
      <c r="BB32" s="46"/>
      <c r="BC32" s="46">
        <v>336.61</v>
      </c>
      <c r="BD32" s="46">
        <v>15186.16</v>
      </c>
      <c r="BE32" s="46"/>
      <c r="BF32" s="46">
        <v>7667.84</v>
      </c>
      <c r="BG32" s="46">
        <v>28942.08</v>
      </c>
      <c r="BH32" s="46">
        <v>1255.31</v>
      </c>
      <c r="BI32" s="46">
        <v>318.16</v>
      </c>
      <c r="BJ32" s="46">
        <v>1040.2</v>
      </c>
      <c r="BK32" s="46">
        <v>44653.36</v>
      </c>
      <c r="BL32" s="46">
        <v>15177.56</v>
      </c>
      <c r="BM32" s="46">
        <v>5321.77</v>
      </c>
      <c r="BN32" s="46">
        <v>74828.08</v>
      </c>
      <c r="BO32" s="46">
        <v>688</v>
      </c>
      <c r="BP32" s="46">
        <v>41280.01</v>
      </c>
      <c r="BQ32" s="46">
        <v>1191.55</v>
      </c>
      <c r="BR32" s="46">
        <v>1962.53</v>
      </c>
      <c r="BS32" s="46">
        <v>5330.52</v>
      </c>
      <c r="BT32" s="46">
        <v>502283.32</v>
      </c>
      <c r="BU32" s="46">
        <v>5233.78</v>
      </c>
      <c r="BV32" s="46">
        <v>2257.22</v>
      </c>
      <c r="BW32" s="46">
        <v>3983.06</v>
      </c>
      <c r="BX32" s="46"/>
      <c r="BY32" s="46">
        <v>416.03</v>
      </c>
      <c r="BZ32" s="46">
        <v>1643.42</v>
      </c>
      <c r="CA32" s="46">
        <v>300</v>
      </c>
      <c r="CB32" s="46">
        <v>959.93</v>
      </c>
      <c r="CC32" s="46">
        <v>6843</v>
      </c>
      <c r="CD32" s="46"/>
      <c r="CE32" s="46"/>
      <c r="CF32" s="46"/>
      <c r="CG32" s="46">
        <v>25000</v>
      </c>
      <c r="CH32" s="46">
        <v>19522.4</v>
      </c>
      <c r="CI32" s="39">
        <f>SUM(D32:CH32)</f>
        <v>2866582.94</v>
      </c>
    </row>
    <row r="33" spans="4:86" s="39" customFormat="true" ht="12" customHeight="true">
      <c r="D33" s="46"/>
      <c r="E33" s="46"/>
      <c r="F33" s="46"/>
      <c r="G33" s="46"/>
      <c r="H33" s="46"/>
      <c r="I33" s="46"/>
      <c r="J33" s="46"/>
      <c r="K33" s="46"/>
      <c r="L33" s="46"/>
      <c r="M33" s="46"/>
      <c r="N33" s="46"/>
      <c r="O33" s="46"/>
      <c r="P33" s="46"/>
      <c r="Q33" s="46"/>
      <c r="R33" s="46"/>
      <c r="S33" s="46"/>
      <c r="T33" s="46"/>
      <c r="U33" s="51"/>
      <c r="V33" s="46"/>
      <c r="W33" s="46"/>
      <c r="X33" s="46"/>
      <c r="Y33" s="46"/>
      <c r="Z33" s="46"/>
      <c r="AA33" s="51"/>
      <c r="AB33" s="51"/>
      <c r="AC33" s="51"/>
      <c r="AD33" s="51"/>
      <c r="AE33" s="46"/>
      <c r="AF33" s="51"/>
      <c r="AG33" s="46"/>
      <c r="AH33" s="46"/>
      <c r="AI33" s="51"/>
      <c r="AJ33" s="46"/>
      <c r="AK33" s="46"/>
      <c r="AL33" s="46"/>
      <c r="AM33" s="46"/>
      <c r="AN33" s="46"/>
      <c r="AO33" s="46"/>
      <c r="AP33" s="46"/>
      <c r="AQ33" s="46"/>
      <c r="AR33" s="46"/>
      <c r="AS33" s="46"/>
      <c r="AT33" s="51"/>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c r="CH33" s="46"/>
    </row>
    <row r="34" spans="4:86" s="39" customFormat="true" ht="12" customHeight="true">
      <c r="D34" s="46"/>
      <c r="E34" s="46"/>
      <c r="F34" s="46"/>
      <c r="G34" s="46"/>
      <c r="H34" s="46"/>
      <c r="I34" s="46"/>
      <c r="J34" s="46"/>
      <c r="K34" s="46"/>
      <c r="L34" s="46"/>
      <c r="M34" s="46"/>
      <c r="N34" s="46"/>
      <c r="O34" s="46"/>
      <c r="P34" s="46"/>
      <c r="Q34" s="46"/>
      <c r="R34" s="46"/>
      <c r="S34" s="46"/>
      <c r="T34" s="46"/>
      <c r="U34" s="51"/>
      <c r="V34" s="46"/>
      <c r="W34" s="46"/>
      <c r="X34" s="46"/>
      <c r="Y34" s="46"/>
      <c r="Z34" s="46"/>
      <c r="AA34" s="51"/>
      <c r="AB34" s="51"/>
      <c r="AC34" s="51"/>
      <c r="AD34" s="51"/>
      <c r="AE34" s="46"/>
      <c r="AF34" s="51"/>
      <c r="AG34" s="46"/>
      <c r="AH34" s="46"/>
      <c r="AI34" s="51"/>
      <c r="AJ34" s="46"/>
      <c r="AK34" s="46"/>
      <c r="AL34" s="46"/>
      <c r="AM34" s="46"/>
      <c r="AN34" s="46"/>
      <c r="AO34" s="46"/>
      <c r="AP34" s="46"/>
      <c r="AQ34" s="46"/>
      <c r="AR34" s="46"/>
      <c r="AS34" s="46"/>
      <c r="AT34" s="51"/>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c r="CH34" s="46"/>
    </row>
    <row r="35" spans="4:86" s="39" customFormat="true" ht="12" customHeight="true">
      <c r="D35" s="46"/>
      <c r="E35" s="46"/>
      <c r="F35" s="46"/>
      <c r="G35" s="46"/>
      <c r="H35" s="46"/>
      <c r="I35" s="46"/>
      <c r="J35" s="46"/>
      <c r="K35" s="46"/>
      <c r="L35" s="46"/>
      <c r="M35" s="46"/>
      <c r="N35" s="46"/>
      <c r="O35" s="46"/>
      <c r="P35" s="46"/>
      <c r="Q35" s="46"/>
      <c r="R35" s="46"/>
      <c r="S35" s="46"/>
      <c r="T35" s="46"/>
      <c r="U35" s="51"/>
      <c r="V35" s="46"/>
      <c r="W35" s="46"/>
      <c r="X35" s="46"/>
      <c r="Y35" s="46"/>
      <c r="Z35" s="46"/>
      <c r="AA35" s="51"/>
      <c r="AB35" s="51"/>
      <c r="AC35" s="51"/>
      <c r="AD35" s="51"/>
      <c r="AE35" s="46"/>
      <c r="AF35" s="51"/>
      <c r="AG35" s="46"/>
      <c r="AH35" s="46"/>
      <c r="AI35" s="51"/>
      <c r="AJ35" s="46"/>
      <c r="AK35" s="46"/>
      <c r="AL35" s="46"/>
      <c r="AM35" s="46"/>
      <c r="AN35" s="46"/>
      <c r="AO35" s="46"/>
      <c r="AP35" s="46"/>
      <c r="AQ35" s="46"/>
      <c r="AR35" s="46"/>
      <c r="AS35" s="46"/>
      <c r="AT35" s="51"/>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c r="CH35" s="46"/>
    </row>
    <row r="36" spans="4:86" s="39" customFormat="true" ht="12" customHeight="true">
      <c r="D36" s="46"/>
      <c r="E36" s="46"/>
      <c r="F36" s="46"/>
      <c r="G36" s="46"/>
      <c r="H36" s="46"/>
      <c r="I36" s="46"/>
      <c r="J36" s="46"/>
      <c r="K36" s="46"/>
      <c r="L36" s="46"/>
      <c r="M36" s="46"/>
      <c r="N36" s="46"/>
      <c r="O36" s="46"/>
      <c r="P36" s="46"/>
      <c r="Q36" s="46"/>
      <c r="R36" s="46"/>
      <c r="S36" s="46"/>
      <c r="T36" s="46"/>
      <c r="U36" s="51"/>
      <c r="V36" s="46"/>
      <c r="W36" s="46"/>
      <c r="X36" s="46"/>
      <c r="Y36" s="46"/>
      <c r="Z36" s="46"/>
      <c r="AA36" s="51"/>
      <c r="AB36" s="51"/>
      <c r="AC36" s="51"/>
      <c r="AD36" s="51"/>
      <c r="AE36" s="46"/>
      <c r="AF36" s="51"/>
      <c r="AG36" s="46"/>
      <c r="AH36" s="46"/>
      <c r="AI36" s="51"/>
      <c r="AJ36" s="46"/>
      <c r="AK36" s="46"/>
      <c r="AL36" s="46"/>
      <c r="AM36" s="46"/>
      <c r="AN36" s="46"/>
      <c r="AO36" s="46"/>
      <c r="AP36" s="46"/>
      <c r="AQ36" s="46"/>
      <c r="AR36" s="46"/>
      <c r="AS36" s="46"/>
      <c r="AT36" s="51"/>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row>
    <row r="37" spans="4:86" s="39" customFormat="true" ht="12" customHeight="true">
      <c r="D37" s="46"/>
      <c r="E37" s="46"/>
      <c r="F37" s="46"/>
      <c r="G37" s="46"/>
      <c r="H37" s="46"/>
      <c r="I37" s="46"/>
      <c r="J37" s="46"/>
      <c r="K37" s="46"/>
      <c r="L37" s="46"/>
      <c r="M37" s="46"/>
      <c r="N37" s="46"/>
      <c r="O37" s="46"/>
      <c r="P37" s="46"/>
      <c r="Q37" s="46"/>
      <c r="R37" s="46"/>
      <c r="S37" s="46"/>
      <c r="T37" s="46"/>
      <c r="U37" s="51"/>
      <c r="V37" s="46"/>
      <c r="W37" s="46"/>
      <c r="X37" s="46"/>
      <c r="Y37" s="46"/>
      <c r="Z37" s="46"/>
      <c r="AA37" s="51"/>
      <c r="AB37" s="51"/>
      <c r="AC37" s="51"/>
      <c r="AD37" s="51"/>
      <c r="AE37" s="46"/>
      <c r="AF37" s="51"/>
      <c r="AG37" s="46"/>
      <c r="AH37" s="46"/>
      <c r="AI37" s="51"/>
      <c r="AJ37" s="46"/>
      <c r="AK37" s="46"/>
      <c r="AL37" s="46"/>
      <c r="AM37" s="46"/>
      <c r="AN37" s="46"/>
      <c r="AO37" s="46"/>
      <c r="AP37" s="46"/>
      <c r="AQ37" s="46"/>
      <c r="AR37" s="46"/>
      <c r="AS37" s="46"/>
      <c r="AT37" s="51"/>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c r="CH37" s="46"/>
    </row>
    <row r="38" spans="4:86" s="39" customFormat="true" ht="12" customHeight="true">
      <c r="D38" s="46"/>
      <c r="E38" s="46"/>
      <c r="F38" s="46"/>
      <c r="G38" s="46"/>
      <c r="H38" s="46"/>
      <c r="I38" s="46"/>
      <c r="J38" s="46"/>
      <c r="K38" s="46"/>
      <c r="L38" s="46"/>
      <c r="M38" s="46"/>
      <c r="N38" s="46"/>
      <c r="O38" s="46"/>
      <c r="P38" s="46"/>
      <c r="Q38" s="46"/>
      <c r="R38" s="46"/>
      <c r="S38" s="46"/>
      <c r="T38" s="46"/>
      <c r="U38" s="51"/>
      <c r="V38" s="46"/>
      <c r="W38" s="46"/>
      <c r="X38" s="46"/>
      <c r="Y38" s="46"/>
      <c r="Z38" s="46"/>
      <c r="AA38" s="51"/>
      <c r="AB38" s="51"/>
      <c r="AC38" s="51"/>
      <c r="AD38" s="51"/>
      <c r="AE38" s="46"/>
      <c r="AF38" s="51"/>
      <c r="AG38" s="46"/>
      <c r="AH38" s="46"/>
      <c r="AI38" s="51"/>
      <c r="AJ38" s="46"/>
      <c r="AK38" s="46"/>
      <c r="AL38" s="46"/>
      <c r="AM38" s="46"/>
      <c r="AN38" s="46"/>
      <c r="AO38" s="46"/>
      <c r="AP38" s="46"/>
      <c r="AQ38" s="46"/>
      <c r="AR38" s="46"/>
      <c r="AS38" s="46"/>
      <c r="AT38" s="51"/>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c r="CH38" s="46"/>
    </row>
    <row r="39" spans="4:86" s="39" customFormat="true" ht="12" customHeight="true">
      <c r="D39" s="46"/>
      <c r="E39" s="46"/>
      <c r="F39" s="46"/>
      <c r="G39" s="46"/>
      <c r="H39" s="46"/>
      <c r="I39" s="46"/>
      <c r="J39" s="46"/>
      <c r="K39" s="46"/>
      <c r="L39" s="46"/>
      <c r="M39" s="46"/>
      <c r="N39" s="46"/>
      <c r="O39" s="46"/>
      <c r="P39" s="46"/>
      <c r="Q39" s="46"/>
      <c r="R39" s="46"/>
      <c r="S39" s="46"/>
      <c r="T39" s="46"/>
      <c r="U39" s="51"/>
      <c r="V39" s="46"/>
      <c r="W39" s="46"/>
      <c r="X39" s="46"/>
      <c r="Y39" s="46"/>
      <c r="Z39" s="46"/>
      <c r="AA39" s="51"/>
      <c r="AB39" s="51"/>
      <c r="AC39" s="51"/>
      <c r="AD39" s="51"/>
      <c r="AE39" s="46"/>
      <c r="AF39" s="51"/>
      <c r="AG39" s="46"/>
      <c r="AH39" s="46"/>
      <c r="AI39" s="51"/>
      <c r="AJ39" s="46"/>
      <c r="AK39" s="46"/>
      <c r="AL39" s="46"/>
      <c r="AM39" s="46"/>
      <c r="AN39" s="46"/>
      <c r="AO39" s="46"/>
      <c r="AP39" s="46"/>
      <c r="AQ39" s="46"/>
      <c r="AR39" s="46"/>
      <c r="AS39" s="46"/>
      <c r="AT39" s="51"/>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row>
    <row r="40" spans="4:86" s="39" customFormat="true" ht="12" customHeight="true">
      <c r="D40" s="46"/>
      <c r="E40" s="46"/>
      <c r="F40" s="46"/>
      <c r="G40" s="46"/>
      <c r="H40" s="46"/>
      <c r="I40" s="46"/>
      <c r="J40" s="46"/>
      <c r="K40" s="46"/>
      <c r="L40" s="46"/>
      <c r="M40" s="46"/>
      <c r="N40" s="46"/>
      <c r="O40" s="46"/>
      <c r="P40" s="46"/>
      <c r="Q40" s="46"/>
      <c r="R40" s="46"/>
      <c r="S40" s="46"/>
      <c r="T40" s="46"/>
      <c r="U40" s="51"/>
      <c r="V40" s="46"/>
      <c r="W40" s="46"/>
      <c r="X40" s="46"/>
      <c r="Y40" s="46"/>
      <c r="Z40" s="46"/>
      <c r="AA40" s="51"/>
      <c r="AB40" s="51"/>
      <c r="AC40" s="51"/>
      <c r="AD40" s="51"/>
      <c r="AE40" s="46"/>
      <c r="AF40" s="51"/>
      <c r="AG40" s="46"/>
      <c r="AH40" s="46"/>
      <c r="AI40" s="51"/>
      <c r="AJ40" s="46"/>
      <c r="AK40" s="46"/>
      <c r="AL40" s="46"/>
      <c r="AM40" s="46"/>
      <c r="AN40" s="46"/>
      <c r="AO40" s="46"/>
      <c r="AP40" s="46"/>
      <c r="AQ40" s="46"/>
      <c r="AR40" s="46"/>
      <c r="AS40" s="46"/>
      <c r="AT40" s="51"/>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c r="CH40" s="46"/>
    </row>
    <row r="41" spans="4:86" s="39" customFormat="true" ht="12" customHeight="true">
      <c r="D41" s="46"/>
      <c r="E41" s="46"/>
      <c r="F41" s="46"/>
      <c r="G41" s="46"/>
      <c r="H41" s="46"/>
      <c r="I41" s="46"/>
      <c r="J41" s="46"/>
      <c r="K41" s="46"/>
      <c r="L41" s="46"/>
      <c r="M41" s="46"/>
      <c r="N41" s="46"/>
      <c r="O41" s="46"/>
      <c r="P41" s="46"/>
      <c r="Q41" s="46"/>
      <c r="R41" s="46"/>
      <c r="S41" s="46"/>
      <c r="T41" s="46"/>
      <c r="U41" s="51"/>
      <c r="V41" s="46"/>
      <c r="W41" s="46"/>
      <c r="X41" s="46"/>
      <c r="Y41" s="46"/>
      <c r="Z41" s="46"/>
      <c r="AA41" s="51"/>
      <c r="AB41" s="51"/>
      <c r="AC41" s="51"/>
      <c r="AD41" s="51"/>
      <c r="AE41" s="46"/>
      <c r="AF41" s="51"/>
      <c r="AG41" s="46"/>
      <c r="AH41" s="46"/>
      <c r="AI41" s="51"/>
      <c r="AJ41" s="46"/>
      <c r="AK41" s="46"/>
      <c r="AL41" s="46"/>
      <c r="AM41" s="46"/>
      <c r="AN41" s="46"/>
      <c r="AO41" s="46"/>
      <c r="AP41" s="46"/>
      <c r="AQ41" s="46"/>
      <c r="AR41" s="46"/>
      <c r="AS41" s="46"/>
      <c r="AT41" s="51"/>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c r="CH41" s="46"/>
    </row>
    <row r="42" spans="4:86" s="39" customFormat="true" ht="12" customHeight="true">
      <c r="D42" s="46"/>
      <c r="E42" s="46"/>
      <c r="F42" s="46"/>
      <c r="G42" s="46"/>
      <c r="H42" s="46"/>
      <c r="I42" s="46"/>
      <c r="J42" s="46"/>
      <c r="K42" s="46"/>
      <c r="L42" s="46"/>
      <c r="M42" s="46"/>
      <c r="N42" s="46"/>
      <c r="O42" s="46"/>
      <c r="P42" s="46"/>
      <c r="Q42" s="46"/>
      <c r="R42" s="46"/>
      <c r="S42" s="46"/>
      <c r="T42" s="46"/>
      <c r="U42" s="51"/>
      <c r="V42" s="46"/>
      <c r="W42" s="46"/>
      <c r="X42" s="46"/>
      <c r="Y42" s="46"/>
      <c r="Z42" s="46"/>
      <c r="AA42" s="51"/>
      <c r="AB42" s="51"/>
      <c r="AC42" s="51"/>
      <c r="AD42" s="51"/>
      <c r="AE42" s="46"/>
      <c r="AF42" s="51"/>
      <c r="AG42" s="46"/>
      <c r="AH42" s="46"/>
      <c r="AI42" s="51"/>
      <c r="AJ42" s="46"/>
      <c r="AK42" s="46"/>
      <c r="AL42" s="46"/>
      <c r="AM42" s="46"/>
      <c r="AN42" s="46"/>
      <c r="AO42" s="46"/>
      <c r="AP42" s="46"/>
      <c r="AQ42" s="46"/>
      <c r="AR42" s="46"/>
      <c r="AS42" s="46"/>
      <c r="AT42" s="51"/>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row>
    <row r="43" spans="4:86" s="39" customFormat="true" ht="12" customHeight="true">
      <c r="D43" s="46"/>
      <c r="E43" s="46"/>
      <c r="F43" s="46"/>
      <c r="G43" s="46"/>
      <c r="H43" s="46"/>
      <c r="I43" s="46"/>
      <c r="J43" s="46"/>
      <c r="K43" s="46"/>
      <c r="L43" s="46"/>
      <c r="M43" s="46"/>
      <c r="N43" s="46"/>
      <c r="O43" s="46"/>
      <c r="P43" s="46"/>
      <c r="Q43" s="46"/>
      <c r="R43" s="46"/>
      <c r="S43" s="46"/>
      <c r="T43" s="46"/>
      <c r="U43" s="51"/>
      <c r="V43" s="46"/>
      <c r="W43" s="46"/>
      <c r="X43" s="46"/>
      <c r="Y43" s="46"/>
      <c r="Z43" s="46"/>
      <c r="AA43" s="51"/>
      <c r="AB43" s="51"/>
      <c r="AC43" s="51"/>
      <c r="AD43" s="51"/>
      <c r="AE43" s="46"/>
      <c r="AF43" s="51"/>
      <c r="AG43" s="46"/>
      <c r="AH43" s="46"/>
      <c r="AI43" s="51"/>
      <c r="AJ43" s="46"/>
      <c r="AK43" s="46"/>
      <c r="AL43" s="46"/>
      <c r="AM43" s="46"/>
      <c r="AN43" s="46"/>
      <c r="AO43" s="46"/>
      <c r="AP43" s="46"/>
      <c r="AQ43" s="46"/>
      <c r="AR43" s="46"/>
      <c r="AS43" s="46"/>
      <c r="AT43" s="51"/>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row>
    <row r="44" spans="4:86" s="39" customFormat="true" ht="12" customHeight="true">
      <c r="D44" s="46"/>
      <c r="E44" s="46"/>
      <c r="F44" s="46"/>
      <c r="G44" s="46"/>
      <c r="H44" s="46"/>
      <c r="I44" s="46"/>
      <c r="J44" s="46"/>
      <c r="K44" s="46"/>
      <c r="L44" s="46"/>
      <c r="M44" s="46"/>
      <c r="N44" s="46"/>
      <c r="O44" s="46"/>
      <c r="P44" s="46"/>
      <c r="Q44" s="46"/>
      <c r="R44" s="46"/>
      <c r="S44" s="46"/>
      <c r="T44" s="46"/>
      <c r="U44" s="51"/>
      <c r="V44" s="46"/>
      <c r="W44" s="46"/>
      <c r="X44" s="46"/>
      <c r="Y44" s="46"/>
      <c r="Z44" s="46"/>
      <c r="AA44" s="51"/>
      <c r="AB44" s="51"/>
      <c r="AC44" s="51"/>
      <c r="AD44" s="51"/>
      <c r="AE44" s="46"/>
      <c r="AF44" s="51"/>
      <c r="AG44" s="46"/>
      <c r="AH44" s="46"/>
      <c r="AI44" s="51"/>
      <c r="AJ44" s="46"/>
      <c r="AK44" s="46"/>
      <c r="AL44" s="46"/>
      <c r="AM44" s="46"/>
      <c r="AN44" s="46"/>
      <c r="AO44" s="46"/>
      <c r="AP44" s="46"/>
      <c r="AQ44" s="46"/>
      <c r="AR44" s="46"/>
      <c r="AS44" s="46"/>
      <c r="AT44" s="51"/>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c r="CH44" s="46"/>
    </row>
    <row r="45" spans="4:86" s="39" customFormat="true" ht="12" customHeight="true">
      <c r="D45" s="46"/>
      <c r="E45" s="46"/>
      <c r="F45" s="46"/>
      <c r="G45" s="46"/>
      <c r="H45" s="46"/>
      <c r="I45" s="46"/>
      <c r="J45" s="46"/>
      <c r="K45" s="46"/>
      <c r="L45" s="46"/>
      <c r="M45" s="46"/>
      <c r="N45" s="46"/>
      <c r="O45" s="46"/>
      <c r="P45" s="46"/>
      <c r="Q45" s="46"/>
      <c r="R45" s="46"/>
      <c r="S45" s="46"/>
      <c r="T45" s="46"/>
      <c r="U45" s="51"/>
      <c r="V45" s="46"/>
      <c r="W45" s="46"/>
      <c r="X45" s="46"/>
      <c r="Y45" s="46"/>
      <c r="Z45" s="46"/>
      <c r="AA45" s="51"/>
      <c r="AB45" s="51"/>
      <c r="AC45" s="51"/>
      <c r="AD45" s="51"/>
      <c r="AE45" s="46"/>
      <c r="AF45" s="51"/>
      <c r="AG45" s="46"/>
      <c r="AH45" s="46"/>
      <c r="AI45" s="51"/>
      <c r="AJ45" s="46"/>
      <c r="AK45" s="46"/>
      <c r="AL45" s="46"/>
      <c r="AM45" s="46"/>
      <c r="AN45" s="46"/>
      <c r="AO45" s="46"/>
      <c r="AP45" s="46"/>
      <c r="AQ45" s="46"/>
      <c r="AR45" s="46"/>
      <c r="AS45" s="46"/>
      <c r="AT45" s="51"/>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c r="CH45" s="46"/>
    </row>
    <row r="46" spans="4:86" s="39" customFormat="true" ht="12" customHeight="true">
      <c r="D46" s="46"/>
      <c r="E46" s="46"/>
      <c r="F46" s="46"/>
      <c r="G46" s="46"/>
      <c r="H46" s="46"/>
      <c r="I46" s="46"/>
      <c r="J46" s="46"/>
      <c r="K46" s="46"/>
      <c r="L46" s="46"/>
      <c r="M46" s="46"/>
      <c r="N46" s="46"/>
      <c r="O46" s="46"/>
      <c r="P46" s="46"/>
      <c r="Q46" s="46"/>
      <c r="R46" s="46"/>
      <c r="S46" s="46"/>
      <c r="T46" s="46"/>
      <c r="U46" s="51"/>
      <c r="V46" s="46"/>
      <c r="W46" s="46"/>
      <c r="X46" s="46"/>
      <c r="Y46" s="46"/>
      <c r="Z46" s="46"/>
      <c r="AA46" s="51"/>
      <c r="AB46" s="51"/>
      <c r="AC46" s="51"/>
      <c r="AD46" s="51"/>
      <c r="AE46" s="46"/>
      <c r="AF46" s="51"/>
      <c r="AG46" s="46"/>
      <c r="AH46" s="46"/>
      <c r="AI46" s="51"/>
      <c r="AJ46" s="46"/>
      <c r="AK46" s="46"/>
      <c r="AL46" s="46"/>
      <c r="AM46" s="46"/>
      <c r="AN46" s="46"/>
      <c r="AO46" s="46"/>
      <c r="AP46" s="46"/>
      <c r="AQ46" s="46"/>
      <c r="AR46" s="46"/>
      <c r="AS46" s="46"/>
      <c r="AT46" s="51"/>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c r="CD46" s="46"/>
      <c r="CE46" s="46"/>
      <c r="CF46" s="46"/>
      <c r="CG46" s="46"/>
      <c r="CH46" s="46"/>
    </row>
    <row r="47" spans="2:87" s="39" customFormat="true" ht="12" customHeight="true">
      <c r="B47" s="39" t="s">
        <v>34191</v>
      </c>
      <c r="D47" s="39">
        <f t="shared" ref="D47:BO47" si="2">+SUM(D31:D46)</f>
        <v>0</v>
      </c>
      <c r="E47" s="39">
        <f t="shared" si="2"/>
        <v>31944.66</v>
      </c>
      <c r="F47" s="39">
        <f t="shared" si="2"/>
        <v>72219.07</v>
      </c>
      <c r="G47" s="39">
        <f t="shared" si="2"/>
        <v>0</v>
      </c>
      <c r="H47" s="39">
        <f t="shared" si="2"/>
        <v>22893.16</v>
      </c>
      <c r="I47" s="39">
        <f t="shared" si="2"/>
        <v>0</v>
      </c>
      <c r="J47" s="39">
        <f t="shared" si="2"/>
        <v>0</v>
      </c>
      <c r="K47" s="39">
        <f t="shared" si="2"/>
        <v>811849.6</v>
      </c>
      <c r="L47" s="39">
        <f t="shared" si="2"/>
        <v>0</v>
      </c>
      <c r="M47" s="39">
        <f t="shared" si="2"/>
        <v>0</v>
      </c>
      <c r="N47" s="39">
        <f t="shared" si="2"/>
        <v>14550.21</v>
      </c>
      <c r="O47" s="39">
        <f t="shared" si="2"/>
        <v>0</v>
      </c>
      <c r="P47" s="39">
        <f t="shared" si="2"/>
        <v>366680.06</v>
      </c>
      <c r="Q47" s="39">
        <f t="shared" si="2"/>
        <v>0</v>
      </c>
      <c r="R47" s="39">
        <f t="shared" si="2"/>
        <v>12603.49</v>
      </c>
      <c r="S47" s="39">
        <f t="shared" si="2"/>
        <v>5208.94</v>
      </c>
      <c r="T47" s="39">
        <f t="shared" si="2"/>
        <v>0</v>
      </c>
      <c r="U47" s="51">
        <f t="shared" si="2"/>
        <v>0</v>
      </c>
      <c r="V47" s="39">
        <f t="shared" si="2"/>
        <v>54986.74</v>
      </c>
      <c r="W47" s="39">
        <f t="shared" si="2"/>
        <v>0</v>
      </c>
      <c r="X47" s="39">
        <f t="shared" si="2"/>
        <v>53581.33</v>
      </c>
      <c r="Y47" s="39">
        <f t="shared" si="2"/>
        <v>0</v>
      </c>
      <c r="Z47" s="39">
        <f t="shared" si="2"/>
        <v>0</v>
      </c>
      <c r="AA47" s="51">
        <f t="shared" si="2"/>
        <v>0</v>
      </c>
      <c r="AB47" s="51">
        <f t="shared" si="2"/>
        <v>0</v>
      </c>
      <c r="AC47" s="51">
        <f t="shared" si="2"/>
        <v>0</v>
      </c>
      <c r="AD47" s="51">
        <f t="shared" si="2"/>
        <v>0</v>
      </c>
      <c r="AE47" s="39">
        <f t="shared" si="2"/>
        <v>3123.2</v>
      </c>
      <c r="AF47" s="51">
        <f t="shared" si="2"/>
        <v>0</v>
      </c>
      <c r="AG47" s="39">
        <f t="shared" si="2"/>
        <v>143062.08</v>
      </c>
      <c r="AH47" s="39">
        <f t="shared" si="2"/>
        <v>44620.62</v>
      </c>
      <c r="AI47" s="51">
        <f t="shared" si="2"/>
        <v>0</v>
      </c>
      <c r="AJ47" s="39">
        <f t="shared" si="2"/>
        <v>124231.84</v>
      </c>
      <c r="AK47" s="39">
        <f t="shared" si="2"/>
        <v>41594.67</v>
      </c>
      <c r="AL47" s="39">
        <f t="shared" si="2"/>
        <v>14914.92</v>
      </c>
      <c r="AM47" s="39">
        <f t="shared" si="2"/>
        <v>0</v>
      </c>
      <c r="AN47" s="39">
        <f t="shared" si="2"/>
        <v>0</v>
      </c>
      <c r="AO47" s="39">
        <f t="shared" si="2"/>
        <v>2600</v>
      </c>
      <c r="AP47" s="39">
        <f t="shared" si="2"/>
        <v>7800</v>
      </c>
      <c r="AQ47" s="39">
        <f t="shared" si="2"/>
        <v>5200</v>
      </c>
      <c r="AR47" s="39">
        <f t="shared" si="2"/>
        <v>5200</v>
      </c>
      <c r="AS47" s="39">
        <f t="shared" si="2"/>
        <v>5200</v>
      </c>
      <c r="AT47" s="51">
        <f t="shared" si="2"/>
        <v>0</v>
      </c>
      <c r="AU47" s="39">
        <f t="shared" si="2"/>
        <v>5200</v>
      </c>
      <c r="AV47" s="39">
        <f t="shared" si="2"/>
        <v>116178.35</v>
      </c>
      <c r="AW47" s="39">
        <f t="shared" si="2"/>
        <v>13456.95</v>
      </c>
      <c r="AX47" s="39">
        <f t="shared" si="2"/>
        <v>3798.22</v>
      </c>
      <c r="AY47" s="39">
        <f t="shared" si="2"/>
        <v>23332.63</v>
      </c>
      <c r="AZ47" s="39">
        <f t="shared" si="2"/>
        <v>0</v>
      </c>
      <c r="BA47" s="39">
        <f t="shared" si="2"/>
        <v>46930.3</v>
      </c>
      <c r="BB47" s="39">
        <f t="shared" si="2"/>
        <v>0</v>
      </c>
      <c r="BC47" s="39">
        <f t="shared" si="2"/>
        <v>336.61</v>
      </c>
      <c r="BD47" s="39">
        <f t="shared" si="2"/>
        <v>15186.16</v>
      </c>
      <c r="BE47" s="39">
        <f t="shared" si="2"/>
        <v>0</v>
      </c>
      <c r="BF47" s="39">
        <f t="shared" si="2"/>
        <v>7667.84</v>
      </c>
      <c r="BG47" s="39">
        <f t="shared" si="2"/>
        <v>28942.08</v>
      </c>
      <c r="BH47" s="39">
        <f t="shared" si="2"/>
        <v>1255.31</v>
      </c>
      <c r="BI47" s="39">
        <f t="shared" si="2"/>
        <v>318.16</v>
      </c>
      <c r="BJ47" s="39">
        <f t="shared" si="2"/>
        <v>1040.2</v>
      </c>
      <c r="BK47" s="39">
        <f t="shared" si="2"/>
        <v>44653.36</v>
      </c>
      <c r="BL47" s="39">
        <f t="shared" si="2"/>
        <v>15177.56</v>
      </c>
      <c r="BM47" s="39">
        <f t="shared" si="2"/>
        <v>5321.77</v>
      </c>
      <c r="BN47" s="39">
        <f t="shared" si="2"/>
        <v>74828.08</v>
      </c>
      <c r="BO47" s="39">
        <f t="shared" si="2"/>
        <v>688</v>
      </c>
      <c r="BP47" s="39">
        <f t="shared" ref="BP47:CH47" si="3">+SUM(BP31:BP46)</f>
        <v>41280.01</v>
      </c>
      <c r="BQ47" s="39">
        <f t="shared" si="3"/>
        <v>1191.55</v>
      </c>
      <c r="BR47" s="39">
        <f t="shared" si="3"/>
        <v>1962.53</v>
      </c>
      <c r="BS47" s="39">
        <f t="shared" si="3"/>
        <v>5330.52</v>
      </c>
      <c r="BT47" s="39">
        <f t="shared" si="3"/>
        <v>502283.32</v>
      </c>
      <c r="BU47" s="39">
        <f t="shared" si="3"/>
        <v>5233.78</v>
      </c>
      <c r="BV47" s="39">
        <f t="shared" si="3"/>
        <v>2257.22</v>
      </c>
      <c r="BW47" s="39">
        <f t="shared" si="3"/>
        <v>3983.06</v>
      </c>
      <c r="BX47" s="39">
        <f t="shared" si="3"/>
        <v>0</v>
      </c>
      <c r="BY47" s="39">
        <f t="shared" si="3"/>
        <v>416.03</v>
      </c>
      <c r="BZ47" s="39">
        <f t="shared" si="3"/>
        <v>1643.42</v>
      </c>
      <c r="CA47" s="39">
        <f t="shared" si="3"/>
        <v>300</v>
      </c>
      <c r="CB47" s="39">
        <f t="shared" si="3"/>
        <v>959.93</v>
      </c>
      <c r="CC47" s="39">
        <f t="shared" si="3"/>
        <v>6843</v>
      </c>
      <c r="CD47" s="39">
        <f t="shared" si="3"/>
        <v>0</v>
      </c>
      <c r="CE47" s="39">
        <f t="shared" si="3"/>
        <v>0</v>
      </c>
      <c r="CF47" s="39">
        <f t="shared" si="3"/>
        <v>0</v>
      </c>
      <c r="CG47" s="39">
        <f t="shared" si="3"/>
        <v>25000</v>
      </c>
      <c r="CH47" s="39">
        <f t="shared" si="3"/>
        <v>19522.4</v>
      </c>
      <c r="CI47" s="39">
        <f>SUM(D47:CH47)</f>
        <v>2866582.94</v>
      </c>
    </row>
    <row r="48" spans="21:46" s="39" customFormat="true" ht="12" customHeight="true">
      <c r="U48" s="51"/>
      <c r="AA48" s="51"/>
      <c r="AB48" s="51"/>
      <c r="AC48" s="51"/>
      <c r="AD48" s="51"/>
      <c r="AF48" s="51"/>
      <c r="AI48" s="51"/>
      <c r="AT48" s="51"/>
    </row>
    <row r="49" spans="2:87" s="39" customFormat="true" ht="12" customHeight="true">
      <c r="B49" s="39" t="s">
        <v>34192</v>
      </c>
      <c r="D49" s="39">
        <f t="shared" ref="D49:BO49" si="4">+D9+D29-D47</f>
        <v>35944.48</v>
      </c>
      <c r="E49" s="39">
        <f t="shared" si="4"/>
        <v>-31522.66</v>
      </c>
      <c r="F49" s="39">
        <f t="shared" si="4"/>
        <v>-71901.78</v>
      </c>
      <c r="G49" s="39">
        <f t="shared" si="4"/>
        <v>21281.84</v>
      </c>
      <c r="H49" s="39">
        <f t="shared" si="4"/>
        <v>-22893.16</v>
      </c>
      <c r="I49" s="39">
        <f t="shared" si="4"/>
        <v>0</v>
      </c>
      <c r="J49" s="39">
        <f t="shared" si="4"/>
        <v>379758.3</v>
      </c>
      <c r="K49" s="39">
        <f t="shared" si="4"/>
        <v>658721.44</v>
      </c>
      <c r="L49" s="39">
        <f t="shared" si="4"/>
        <v>11845.65</v>
      </c>
      <c r="M49" s="39">
        <f t="shared" si="4"/>
        <v>15012.47</v>
      </c>
      <c r="N49" s="39">
        <f t="shared" si="4"/>
        <v>-4002.95</v>
      </c>
      <c r="O49" s="39">
        <f t="shared" si="4"/>
        <v>0</v>
      </c>
      <c r="P49" s="39">
        <f t="shared" si="4"/>
        <v>-349665.04</v>
      </c>
      <c r="Q49" s="39">
        <f t="shared" si="4"/>
        <v>0</v>
      </c>
      <c r="R49" s="39">
        <f t="shared" si="4"/>
        <v>-330.25</v>
      </c>
      <c r="S49" s="39">
        <f t="shared" si="4"/>
        <v>-5208.94</v>
      </c>
      <c r="T49" s="39">
        <f t="shared" si="4"/>
        <v>5671.7</v>
      </c>
      <c r="U49" s="51">
        <f t="shared" si="4"/>
        <v>0</v>
      </c>
      <c r="V49" s="39">
        <f t="shared" si="4"/>
        <v>103293.82</v>
      </c>
      <c r="W49" s="39">
        <f t="shared" si="4"/>
        <v>55442.8</v>
      </c>
      <c r="X49" s="39">
        <f t="shared" si="4"/>
        <v>-53483.65</v>
      </c>
      <c r="Y49" s="39">
        <f t="shared" si="4"/>
        <v>29443.76</v>
      </c>
      <c r="Z49" s="39">
        <f t="shared" si="4"/>
        <v>17811.85</v>
      </c>
      <c r="AA49" s="51">
        <f t="shared" si="4"/>
        <v>0</v>
      </c>
      <c r="AB49" s="51">
        <f t="shared" si="4"/>
        <v>0</v>
      </c>
      <c r="AC49" s="51">
        <f t="shared" si="4"/>
        <v>0</v>
      </c>
      <c r="AD49" s="51">
        <f t="shared" si="4"/>
        <v>0</v>
      </c>
      <c r="AE49" s="39">
        <f t="shared" si="4"/>
        <v>292830.02</v>
      </c>
      <c r="AF49" s="51">
        <f t="shared" si="4"/>
        <v>0</v>
      </c>
      <c r="AG49" s="39">
        <f t="shared" si="4"/>
        <v>-51524.75</v>
      </c>
      <c r="AH49" s="39">
        <f t="shared" si="4"/>
        <v>4174.25999999999</v>
      </c>
      <c r="AI49" s="51">
        <f t="shared" si="4"/>
        <v>0</v>
      </c>
      <c r="AJ49" s="39">
        <f t="shared" si="4"/>
        <v>-84679.75</v>
      </c>
      <c r="AK49" s="39">
        <f t="shared" si="4"/>
        <v>18599.31</v>
      </c>
      <c r="AL49" s="39">
        <f t="shared" si="4"/>
        <v>25185.24</v>
      </c>
      <c r="AM49" s="39">
        <f t="shared" si="4"/>
        <v>0</v>
      </c>
      <c r="AN49" s="39">
        <f t="shared" si="4"/>
        <v>0</v>
      </c>
      <c r="AO49" s="39">
        <f t="shared" si="4"/>
        <v>598.94</v>
      </c>
      <c r="AP49" s="39">
        <f t="shared" si="4"/>
        <v>131155.17</v>
      </c>
      <c r="AQ49" s="39">
        <f t="shared" si="4"/>
        <v>2807.91</v>
      </c>
      <c r="AR49" s="39">
        <f t="shared" si="4"/>
        <v>2354.77</v>
      </c>
      <c r="AS49" s="39">
        <f t="shared" si="4"/>
        <v>961.61</v>
      </c>
      <c r="AT49" s="51">
        <f t="shared" si="4"/>
        <v>0</v>
      </c>
      <c r="AU49" s="39">
        <f t="shared" si="4"/>
        <v>-458.28</v>
      </c>
      <c r="AV49" s="39">
        <f t="shared" si="4"/>
        <v>-42747.26</v>
      </c>
      <c r="AW49" s="39">
        <f t="shared" si="4"/>
        <v>1205.56</v>
      </c>
      <c r="AX49" s="39">
        <f t="shared" si="4"/>
        <v>26948.81</v>
      </c>
      <c r="AY49" s="39">
        <f t="shared" si="4"/>
        <v>117238.26</v>
      </c>
      <c r="AZ49" s="39">
        <f t="shared" si="4"/>
        <v>4514.33</v>
      </c>
      <c r="BA49" s="39">
        <f t="shared" si="4"/>
        <v>51359.49</v>
      </c>
      <c r="BB49" s="39">
        <f t="shared" si="4"/>
        <v>3856.29</v>
      </c>
      <c r="BC49" s="39">
        <f t="shared" si="4"/>
        <v>34633.42</v>
      </c>
      <c r="BD49" s="39">
        <f t="shared" si="4"/>
        <v>29883.94</v>
      </c>
      <c r="BE49" s="39">
        <f t="shared" si="4"/>
        <v>0</v>
      </c>
      <c r="BF49" s="39">
        <f t="shared" si="4"/>
        <v>100417.91</v>
      </c>
      <c r="BG49" s="39">
        <f t="shared" si="4"/>
        <v>88316.97</v>
      </c>
      <c r="BH49" s="39">
        <f t="shared" si="4"/>
        <v>55961.74</v>
      </c>
      <c r="BI49" s="39">
        <f t="shared" si="4"/>
        <v>17447.62</v>
      </c>
      <c r="BJ49" s="39">
        <f t="shared" si="4"/>
        <v>43142.42</v>
      </c>
      <c r="BK49" s="39">
        <f t="shared" si="4"/>
        <v>22500.6</v>
      </c>
      <c r="BL49" s="39">
        <f t="shared" si="4"/>
        <v>42537.32</v>
      </c>
      <c r="BM49" s="39">
        <f t="shared" si="4"/>
        <v>59924.19</v>
      </c>
      <c r="BN49" s="39">
        <f t="shared" si="4"/>
        <v>-51306.89</v>
      </c>
      <c r="BO49" s="39">
        <f t="shared" si="4"/>
        <v>16063.78</v>
      </c>
      <c r="BP49" s="39">
        <f t="shared" ref="BP49:CH49" si="5">+BP9+BP29-BP47</f>
        <v>-29760.69</v>
      </c>
      <c r="BQ49" s="39">
        <f t="shared" si="5"/>
        <v>45430.71</v>
      </c>
      <c r="BR49" s="39">
        <f t="shared" si="5"/>
        <v>22259.69</v>
      </c>
      <c r="BS49" s="39">
        <f t="shared" si="5"/>
        <v>51502.08</v>
      </c>
      <c r="BT49" s="39">
        <f t="shared" si="5"/>
        <v>-454926.88</v>
      </c>
      <c r="BU49" s="39">
        <f t="shared" si="5"/>
        <v>34830.15</v>
      </c>
      <c r="BV49" s="39">
        <f t="shared" si="5"/>
        <v>105889.65</v>
      </c>
      <c r="BW49" s="39">
        <f t="shared" si="5"/>
        <v>50780.38</v>
      </c>
      <c r="BX49" s="39">
        <f t="shared" si="5"/>
        <v>33698.12</v>
      </c>
      <c r="BY49" s="39">
        <f t="shared" si="5"/>
        <v>58695.06</v>
      </c>
      <c r="BZ49" s="39">
        <f t="shared" si="5"/>
        <v>65632.66</v>
      </c>
      <c r="CA49" s="39">
        <f t="shared" si="5"/>
        <v>27258.04</v>
      </c>
      <c r="CB49" s="39">
        <f t="shared" si="5"/>
        <v>8593.32</v>
      </c>
      <c r="CC49" s="39">
        <f t="shared" si="5"/>
        <v>1203.41</v>
      </c>
      <c r="CD49" s="39">
        <f t="shared" si="5"/>
        <v>2469466.65</v>
      </c>
      <c r="CE49" s="39">
        <f t="shared" si="5"/>
        <v>4248552.8</v>
      </c>
      <c r="CF49" s="39">
        <f t="shared" si="5"/>
        <v>3750000</v>
      </c>
      <c r="CG49" s="39">
        <f t="shared" si="5"/>
        <v>556190.66</v>
      </c>
      <c r="CH49" s="39">
        <f t="shared" si="5"/>
        <v>-17699.19</v>
      </c>
      <c r="CI49" s="39">
        <f>SUM(D49:CH49)</f>
        <v>12786719.25</v>
      </c>
    </row>
    <row r="50" spans="21:46" s="39" customFormat="true" ht="12" customHeight="true">
      <c r="U50" s="51"/>
      <c r="AA50" s="51"/>
      <c r="AB50" s="51"/>
      <c r="AC50" s="51"/>
      <c r="AD50" s="51"/>
      <c r="AF50" s="51"/>
      <c r="AI50" s="51"/>
      <c r="AT50" s="51"/>
    </row>
    <row r="51" spans="2:87" s="39" customFormat="true" ht="12" customHeight="true">
      <c r="B51" s="39" t="s">
        <v>34193</v>
      </c>
      <c r="D51" s="46">
        <v>36334.48</v>
      </c>
      <c r="E51" s="46">
        <v>-31522.66</v>
      </c>
      <c r="F51" s="46">
        <v>-71901.78</v>
      </c>
      <c r="G51" s="46">
        <v>21281.84</v>
      </c>
      <c r="H51" s="46">
        <v>-22893.16</v>
      </c>
      <c r="I51" s="46"/>
      <c r="J51" s="46">
        <v>378088.3</v>
      </c>
      <c r="K51" s="46">
        <v>658721.44</v>
      </c>
      <c r="L51" s="46">
        <v>4211.65</v>
      </c>
      <c r="M51" s="46">
        <v>15012.47</v>
      </c>
      <c r="N51" s="46">
        <v>-4002.95</v>
      </c>
      <c r="O51" s="46"/>
      <c r="P51" s="46">
        <v>-348510.57</v>
      </c>
      <c r="Q51" s="46"/>
      <c r="R51" s="46">
        <v>-330.25</v>
      </c>
      <c r="S51" s="46">
        <v>-5208.94</v>
      </c>
      <c r="T51" s="46">
        <v>5671.7</v>
      </c>
      <c r="U51" s="46"/>
      <c r="V51" s="46">
        <v>103293.82</v>
      </c>
      <c r="W51" s="46">
        <v>55442.8</v>
      </c>
      <c r="X51" s="46">
        <v>-53483.65</v>
      </c>
      <c r="Y51" s="46">
        <v>29443.76</v>
      </c>
      <c r="Z51" s="46">
        <v>17811.85</v>
      </c>
      <c r="AA51" s="46"/>
      <c r="AB51" s="46"/>
      <c r="AC51" s="46"/>
      <c r="AD51" s="46"/>
      <c r="AE51" s="46">
        <v>292830.02</v>
      </c>
      <c r="AF51" s="46"/>
      <c r="AG51" s="46">
        <v>-50625.34</v>
      </c>
      <c r="AH51" s="46">
        <v>4174.26</v>
      </c>
      <c r="AI51" s="46"/>
      <c r="AJ51" s="46">
        <v>-84679.75</v>
      </c>
      <c r="AK51" s="46">
        <v>19418.97</v>
      </c>
      <c r="AL51" s="46">
        <v>25185.24</v>
      </c>
      <c r="AM51" s="46"/>
      <c r="AN51" s="46"/>
      <c r="AO51" s="46">
        <v>598.94</v>
      </c>
      <c r="AP51" s="46">
        <v>131155.17</v>
      </c>
      <c r="AQ51" s="46">
        <v>2807.91</v>
      </c>
      <c r="AR51" s="46">
        <v>2354.77</v>
      </c>
      <c r="AS51" s="46">
        <v>961.61</v>
      </c>
      <c r="AT51" s="46"/>
      <c r="AU51" s="46">
        <v>-458.28</v>
      </c>
      <c r="AV51" s="46">
        <v>-42721.06</v>
      </c>
      <c r="AW51" s="46">
        <v>1205.56</v>
      </c>
      <c r="AX51" s="46">
        <v>26948.81</v>
      </c>
      <c r="AY51" s="46">
        <v>117238.26</v>
      </c>
      <c r="AZ51" s="46">
        <v>4514.33</v>
      </c>
      <c r="BA51" s="46">
        <v>51359.49</v>
      </c>
      <c r="BB51" s="46">
        <v>3856.29</v>
      </c>
      <c r="BC51" s="46">
        <v>34633.42</v>
      </c>
      <c r="BD51" s="46">
        <v>29883.94</v>
      </c>
      <c r="BE51" s="46"/>
      <c r="BF51" s="46">
        <v>100417.91</v>
      </c>
      <c r="BG51" s="46">
        <v>88316.97</v>
      </c>
      <c r="BH51" s="46">
        <v>55961.74</v>
      </c>
      <c r="BI51" s="46">
        <v>17447.62</v>
      </c>
      <c r="BJ51" s="46">
        <v>43142.42</v>
      </c>
      <c r="BK51" s="46">
        <v>22500.6</v>
      </c>
      <c r="BL51" s="46">
        <v>42537.32</v>
      </c>
      <c r="BM51" s="46">
        <v>59924.19</v>
      </c>
      <c r="BN51" s="46">
        <v>-51306.89</v>
      </c>
      <c r="BO51" s="46">
        <v>16063.78</v>
      </c>
      <c r="BP51" s="46">
        <v>-29760.69</v>
      </c>
      <c r="BQ51" s="46">
        <v>45430.71</v>
      </c>
      <c r="BR51" s="46">
        <v>22259.69</v>
      </c>
      <c r="BS51" s="46">
        <v>51502.08</v>
      </c>
      <c r="BT51" s="46">
        <v>-454926.88</v>
      </c>
      <c r="BU51" s="46">
        <v>34830.15</v>
      </c>
      <c r="BV51" s="46">
        <v>105889.65</v>
      </c>
      <c r="BW51" s="46">
        <v>50780.38</v>
      </c>
      <c r="BX51" s="46">
        <v>33698.12</v>
      </c>
      <c r="BY51" s="46">
        <v>58695.06</v>
      </c>
      <c r="BZ51" s="46">
        <v>65632.66</v>
      </c>
      <c r="CA51" s="46">
        <v>27258.04</v>
      </c>
      <c r="CB51" s="46">
        <v>8593.32</v>
      </c>
      <c r="CC51" s="46">
        <v>1203.41</v>
      </c>
      <c r="CD51" s="46">
        <v>2469466.65</v>
      </c>
      <c r="CE51" s="46">
        <v>4248552.8</v>
      </c>
      <c r="CF51" s="46">
        <v>3750000</v>
      </c>
      <c r="CG51" s="46">
        <v>556190.66</v>
      </c>
      <c r="CH51" s="46">
        <v>-17699.19</v>
      </c>
      <c r="CI51" s="39">
        <f>SUM(D51:CH51)</f>
        <v>12780704.99</v>
      </c>
    </row>
    <row r="52" spans="2:87" s="39" customFormat="true" ht="12" customHeight="true">
      <c r="B52" s="39" t="s">
        <v>34194</v>
      </c>
      <c r="D52" s="47">
        <f>ROUND(SUMIF('BS-Details'!$D:$D,D$4&amp;"-"&amp;D$7,'BS-Details'!$K:$K),2)-D$51</f>
        <v>3782.94</v>
      </c>
      <c r="E52" s="47">
        <f>ROUND(SUMIF('BS-Details'!$D:$D,E$4&amp;"-"&amp;E$7,'BS-Details'!$K:$K),2)-E$51</f>
        <v>2079.81</v>
      </c>
      <c r="F52" s="47">
        <f>ROUND(SUMIF('BS-Details'!$D:$D,F$4&amp;"-"&amp;F$7,'BS-Details'!$K:$K),2)-F$51</f>
        <v>42498.26</v>
      </c>
      <c r="G52" s="47">
        <f>ROUND(SUMIF('BS-Details'!$D:$D,G$4&amp;"-"&amp;G$7,'BS-Details'!$K:$K),2)-G$51</f>
        <v>-39433.86</v>
      </c>
      <c r="H52" s="47">
        <f>ROUND(SUMIF('BS-Details'!$D:$D,H$4&amp;"-"&amp;H$7,'BS-Details'!$K:$K),2)-H$51</f>
        <v>9629.2</v>
      </c>
      <c r="I52" s="47">
        <f>ROUND(SUMIF('BS-Details'!$D:$D,I$4&amp;"-"&amp;I$7,'BS-Details'!$K:$K),2)-I$51</f>
        <v>-7732.72</v>
      </c>
      <c r="J52" s="47">
        <f>ROUND(SUMIF('BS-Details'!$D:$D,J$4&amp;"-"&amp;J$7,'BS-Details'!$K:$K),2)-J$51</f>
        <v>-282834.08</v>
      </c>
      <c r="K52" s="47">
        <f>ROUND(SUMIF('BS-Details'!$D:$D,K$4&amp;"-"&amp;K$7,'BS-Details'!$K:$K),2)-K$51</f>
        <v>954912.28</v>
      </c>
      <c r="L52" s="47">
        <f>ROUND(SUMIF('BS-Details'!$D:$D,L$4&amp;"-"&amp;L$7,'BS-Details'!$K:$K),2)-L$51</f>
        <v>-4211.65</v>
      </c>
      <c r="M52" s="47">
        <f>ROUND(SUMIF('BS-Details'!$D:$D,M$4&amp;"-"&amp;M$7,'BS-Details'!$K:$K),2)-M$51</f>
        <v>-35518.21</v>
      </c>
      <c r="N52" s="47">
        <f>ROUND(SUMIF('BS-Details'!$D:$D,N$4&amp;"-"&amp;N$7,'BS-Details'!$K:$K),2)-N$51</f>
        <v>-9759.2</v>
      </c>
      <c r="O52" s="47">
        <f>ROUND(SUMIF('BS-Details'!$D:$D,O$4&amp;"-"&amp;O$7,'BS-Details'!$K:$K),2)-O$51</f>
        <v>-73.56</v>
      </c>
      <c r="P52" s="47">
        <f>ROUND(SUMIF('BS-Details'!$D:$D,P$4&amp;"-"&amp;P$7,'BS-Details'!$K:$K),2)-P$51</f>
        <v>169486.53</v>
      </c>
      <c r="Q52" s="47">
        <f>ROUND(SUMIF('BS-Details'!$D:$D,Q$4&amp;"-"&amp;Q$7,'BS-Details'!$K:$K),2)-Q$51</f>
        <v>0</v>
      </c>
      <c r="R52" s="47">
        <f>ROUND(SUMIF('BS-Details'!$D:$D,R$4&amp;"-"&amp;R$7,'BS-Details'!$K:$K),2)-R$51</f>
        <v>-545.94</v>
      </c>
      <c r="S52" s="47">
        <f>ROUND(SUMIF('BS-Details'!$D:$D,S$4&amp;"-"&amp;S$7,'BS-Details'!$K:$K),2)-S$51</f>
        <v>4486.31</v>
      </c>
      <c r="T52" s="47">
        <f>ROUND(SUMIF('BS-Details'!$D:$D,T$4&amp;"-"&amp;T$7,'BS-Details'!$K:$K),2)-T$51</f>
        <v>193.28</v>
      </c>
      <c r="U52" s="47">
        <f>ROUND(SUMIF('BS-Details'!$D:$D,U$4&amp;"-"&amp;U$7,'BS-Details'!$K:$K),2)-U$51</f>
        <v>0</v>
      </c>
      <c r="V52" s="47">
        <f>ROUND(SUMIF('BS-Details'!$D:$D,V$4&amp;"-"&amp;V$7,'BS-Details'!$K:$K),2)-V$51</f>
        <v>129278.91</v>
      </c>
      <c r="W52" s="47">
        <f>ROUND(SUMIF('BS-Details'!$D:$D,W$4&amp;"-"&amp;W$7,'BS-Details'!$K:$K),2)-W$51</f>
        <v>31097.2</v>
      </c>
      <c r="X52" s="47">
        <f>ROUND(SUMIF('BS-Details'!$D:$D,X$4&amp;"-"&amp;X$7,'BS-Details'!$K:$K),2)-X$51</f>
        <v>-6795.69</v>
      </c>
      <c r="Y52" s="47">
        <f>ROUND(SUMIF('BS-Details'!$D:$D,Y$4&amp;"-"&amp;Y$7,'BS-Details'!$K:$K),2)-Y$51</f>
        <v>40295.64</v>
      </c>
      <c r="Z52" s="47">
        <f>ROUND(SUMIF('BS-Details'!$D:$D,Z$4&amp;"-"&amp;Z$7,'BS-Details'!$K:$K),2)-Z$51</f>
        <v>-16061.71</v>
      </c>
      <c r="AA52" s="47">
        <f>ROUND(SUMIF('BS-Details'!$D:$D,AA$4&amp;"-"&amp;AA$7,'BS-Details'!$K:$K),2)-AA$51</f>
        <v>0</v>
      </c>
      <c r="AB52" s="47">
        <f>ROUND(SUMIF('BS-Details'!$D:$D,AB$4&amp;"-"&amp;AB$7,'BS-Details'!$K:$K),2)-AB$51</f>
        <v>0</v>
      </c>
      <c r="AC52" s="47">
        <f>ROUND(SUMIF('BS-Details'!$D:$D,AC$4&amp;"-"&amp;AC$7,'BS-Details'!$K:$K),2)-AC$51</f>
        <v>0</v>
      </c>
      <c r="AD52" s="47">
        <f>ROUND(SUMIF('BS-Details'!$D:$D,AD$4&amp;"-"&amp;AD$7,'BS-Details'!$K:$K),2)-AD$51</f>
        <v>0</v>
      </c>
      <c r="AE52" s="47">
        <f>ROUND(SUMIF('BS-Details'!$D:$D,AE$4&amp;"-"&amp;AE$7,'BS-Details'!$K:$K),2)-AE$51</f>
        <v>-293040.44</v>
      </c>
      <c r="AF52" s="47">
        <f>ROUND(SUMIF('BS-Details'!$D:$D,AF$4&amp;"-"&amp;AF$7,'BS-Details'!$K:$K),2)-AF$51</f>
        <v>0</v>
      </c>
      <c r="AG52" s="47">
        <f>ROUND(SUMIF('BS-Details'!$D:$D,AG$4&amp;"-"&amp;AG$7,'BS-Details'!$K:$K),2)-AG$51</f>
        <v>-67267.01</v>
      </c>
      <c r="AH52" s="47">
        <f>ROUND(SUMIF('BS-Details'!$D:$D,AH$4&amp;"-"&amp;AH$7,'BS-Details'!$K:$K),2)-AH$51</f>
        <v>59637.26</v>
      </c>
      <c r="AI52" s="47">
        <f>ROUND(SUMIF('BS-Details'!$D:$D,AI$4&amp;"-"&amp;AI$7,'BS-Details'!$K:$K),2)-AI$51</f>
        <v>0</v>
      </c>
      <c r="AJ52" s="47">
        <f>ROUND(SUMIF('BS-Details'!$D:$D,AJ$4&amp;"-"&amp;AJ$7,'BS-Details'!$K:$K),2)-AJ$51</f>
        <v>117787.4</v>
      </c>
      <c r="AK52" s="47">
        <f>ROUND(SUMIF('BS-Details'!$D:$D,AK$4&amp;"-"&amp;AK$7,'BS-Details'!$K:$K),2)-AK$51</f>
        <v>26388.25</v>
      </c>
      <c r="AL52" s="47">
        <f>ROUND(SUMIF('BS-Details'!$D:$D,AL$4&amp;"-"&amp;AL$7,'BS-Details'!$K:$K),2)-AL$51</f>
        <v>-23361.86</v>
      </c>
      <c r="AM52" s="47">
        <f>ROUND(SUMIF('BS-Details'!$D:$D,AM$4&amp;"-"&amp;AM$7,'BS-Details'!$K:$K),2)-AM$51</f>
        <v>0</v>
      </c>
      <c r="AN52" s="47">
        <f>ROUND(SUMIF('BS-Details'!$D:$D,AN$4&amp;"-"&amp;AN$7,'BS-Details'!$K:$K),2)-AN$51</f>
        <v>0</v>
      </c>
      <c r="AO52" s="47">
        <f>ROUND(SUMIF('BS-Details'!$D:$D,AO$4&amp;"-"&amp;AO$7,'BS-Details'!$K:$K),2)-AO$51</f>
        <v>5644.05</v>
      </c>
      <c r="AP52" s="47">
        <f>ROUND(SUMIF('BS-Details'!$D:$D,AP$4&amp;"-"&amp;AP$7,'BS-Details'!$K:$K),2)-AP$51</f>
        <v>-9408.29000000001</v>
      </c>
      <c r="AQ52" s="47">
        <f>ROUND(SUMIF('BS-Details'!$D:$D,AQ$4&amp;"-"&amp;AQ$7,'BS-Details'!$K:$K),2)-AQ$51</f>
        <v>2068.87</v>
      </c>
      <c r="AR52" s="47">
        <f>ROUND(SUMIF('BS-Details'!$D:$D,AR$4&amp;"-"&amp;AR$7,'BS-Details'!$K:$K),2)-AR$51</f>
        <v>11858.89</v>
      </c>
      <c r="AS52" s="47">
        <f>ROUND(SUMIF('BS-Details'!$D:$D,AS$4&amp;"-"&amp;AS$7,'BS-Details'!$K:$K),2)-AS$51</f>
        <v>9798.59</v>
      </c>
      <c r="AT52" s="47">
        <f>ROUND(SUMIF('BS-Details'!$D:$D,AT$4&amp;"-"&amp;AT$7,'BS-Details'!$K:$K),2)-AT$51</f>
        <v>0</v>
      </c>
      <c r="AU52" s="47">
        <f>ROUND(SUMIF('BS-Details'!$D:$D,AU$4&amp;"-"&amp;AU$7,'BS-Details'!$K:$K),2)-AU$51</f>
        <v>39862.6</v>
      </c>
      <c r="AV52" s="47">
        <f>ROUND(SUMIF('BS-Details'!$D:$D,AV$4&amp;"-"&amp;AV$7,'BS-Details'!$K:$K),2)-AV$51</f>
        <v>-67679.71</v>
      </c>
      <c r="AW52" s="47">
        <f>ROUND(SUMIF('BS-Details'!$D:$D,AW$4&amp;"-"&amp;AW$7,'BS-Details'!$K:$K),2)-AW$51</f>
        <v>-1205.56</v>
      </c>
      <c r="AX52" s="47">
        <f>ROUND(SUMIF('BS-Details'!$D:$D,AX$4&amp;"-"&amp;AX$7,'BS-Details'!$K:$K),2)-AX$51</f>
        <v>-29834.71</v>
      </c>
      <c r="AY52" s="47">
        <f>ROUND(SUMIF('BS-Details'!$D:$D,AY$4&amp;"-"&amp;AY$7,'BS-Details'!$K:$K),2)-AY$51</f>
        <v>-95440.76</v>
      </c>
      <c r="AZ52" s="47">
        <f>ROUND(SUMIF('BS-Details'!$D:$D,AZ$4&amp;"-"&amp;AZ$7,'BS-Details'!$K:$K),2)-AZ$51</f>
        <v>-4514.33</v>
      </c>
      <c r="BA52" s="47">
        <f>ROUND(SUMIF('BS-Details'!$D:$D,BA$4&amp;"-"&amp;BA$7,'BS-Details'!$K:$K),2)-BA$51</f>
        <v>-83909.05</v>
      </c>
      <c r="BB52" s="47">
        <f>ROUND(SUMIF('BS-Details'!$D:$D,BB$4&amp;"-"&amp;BB$7,'BS-Details'!$K:$K),2)-BB$51</f>
        <v>-3856.29</v>
      </c>
      <c r="BC52" s="47">
        <f>ROUND(SUMIF('BS-Details'!$D:$D,BC$4&amp;"-"&amp;BC$7,'BS-Details'!$K:$K),2)-BC$51</f>
        <v>-34633.42</v>
      </c>
      <c r="BD52" s="47">
        <f>ROUND(SUMIF('BS-Details'!$D:$D,BD$4&amp;"-"&amp;BD$7,'BS-Details'!$K:$K),2)-BD$51</f>
        <v>-27437.89</v>
      </c>
      <c r="BE52" s="47">
        <f>ROUND(SUMIF('BS-Details'!$D:$D,BE$4&amp;"-"&amp;BE$7,'BS-Details'!$K:$K),2)-BE$51</f>
        <v>0</v>
      </c>
      <c r="BF52" s="47">
        <f>ROUND(SUMIF('BS-Details'!$D:$D,BF$4&amp;"-"&amp;BF$7,'BS-Details'!$K:$K),2)-BF$51</f>
        <v>-92042.15</v>
      </c>
      <c r="BG52" s="47">
        <f>ROUND(SUMIF('BS-Details'!$D:$D,BG$4&amp;"-"&amp;BG$7,'BS-Details'!$K:$K),2)-BG$51</f>
        <v>-88316.97</v>
      </c>
      <c r="BH52" s="47">
        <f>ROUND(SUMIF('BS-Details'!$D:$D,BH$4&amp;"-"&amp;BH$7,'BS-Details'!$K:$K),2)-BH$51</f>
        <v>-57551.99</v>
      </c>
      <c r="BI52" s="47">
        <f>ROUND(SUMIF('BS-Details'!$D:$D,BI$4&amp;"-"&amp;BI$7,'BS-Details'!$K:$K),2)-BI$51</f>
        <v>-64375.72</v>
      </c>
      <c r="BJ52" s="47">
        <f>ROUND(SUMIF('BS-Details'!$D:$D,BJ$4&amp;"-"&amp;BJ$7,'BS-Details'!$K:$K),2)-BJ$51</f>
        <v>-32803.57</v>
      </c>
      <c r="BK52" s="47">
        <f>ROUND(SUMIF('BS-Details'!$D:$D,BK$4&amp;"-"&amp;BK$7,'BS-Details'!$K:$K),2)-BK$51</f>
        <v>-22170.47</v>
      </c>
      <c r="BL52" s="47">
        <f>ROUND(SUMIF('BS-Details'!$D:$D,BL$4&amp;"-"&amp;BL$7,'BS-Details'!$K:$K),2)-BL$51</f>
        <v>-57249.27</v>
      </c>
      <c r="BM52" s="47">
        <f>ROUND(SUMIF('BS-Details'!$D:$D,BM$4&amp;"-"&amp;BM$7,'BS-Details'!$K:$K),2)-BM$51</f>
        <v>-61158.62</v>
      </c>
      <c r="BN52" s="47">
        <f>ROUND(SUMIF('BS-Details'!$D:$D,BN$4&amp;"-"&amp;BN$7,'BS-Details'!$K:$K),2)-BN$51</f>
        <v>39376.75</v>
      </c>
      <c r="BO52" s="47">
        <f>ROUND(SUMIF('BS-Details'!$D:$D,BO$4&amp;"-"&amp;BO$7,'BS-Details'!$K:$K),2)-BO$51</f>
        <v>-16063.78</v>
      </c>
      <c r="BP52" s="47">
        <f>ROUND(SUMIF('BS-Details'!$D:$D,BP$4&amp;"-"&amp;BP$7,'BS-Details'!$K:$K),2)-BP$51</f>
        <v>29760.69</v>
      </c>
      <c r="BQ52" s="47">
        <f>ROUND(SUMIF('BS-Details'!$D:$D,BQ$4&amp;"-"&amp;BQ$7,'BS-Details'!$K:$K),2)-BQ$51</f>
        <v>-45430.71</v>
      </c>
      <c r="BR52" s="47">
        <f>ROUND(SUMIF('BS-Details'!$D:$D,BR$4&amp;"-"&amp;BR$7,'BS-Details'!$K:$K),2)-BR$51</f>
        <v>-87.5299999999988</v>
      </c>
      <c r="BS52" s="47">
        <f>ROUND(SUMIF('BS-Details'!$D:$D,BS$4&amp;"-"&amp;BS$7,'BS-Details'!$K:$K),2)-BS$51</f>
        <v>-53357.8</v>
      </c>
      <c r="BT52" s="47">
        <f>ROUND(SUMIF('BS-Details'!$D:$D,BT$4&amp;"-"&amp;BT$7,'BS-Details'!$K:$K),2)-BT$51</f>
        <v>454926.88</v>
      </c>
      <c r="BU52" s="47">
        <f>ROUND(SUMIF('BS-Details'!$D:$D,BU$4&amp;"-"&amp;BU$7,'BS-Details'!$K:$K),2)-BU$51</f>
        <v>-42025.62</v>
      </c>
      <c r="BV52" s="47">
        <f>ROUND(SUMIF('BS-Details'!$D:$D,BV$4&amp;"-"&amp;BV$7,'BS-Details'!$K:$K),2)-BV$51</f>
        <v>-109321.93</v>
      </c>
      <c r="BW52" s="47">
        <f>ROUND(SUMIF('BS-Details'!$D:$D,BW$4&amp;"-"&amp;BW$7,'BS-Details'!$K:$K),2)-BW$51</f>
        <v>-60586.44</v>
      </c>
      <c r="BX52" s="47">
        <f>ROUND(SUMIF('BS-Details'!$D:$D,BX$4&amp;"-"&amp;BX$7,'BS-Details'!$K:$K),2)-BX$51</f>
        <v>-33698.12</v>
      </c>
      <c r="BY52" s="47">
        <f>ROUND(SUMIF('BS-Details'!$D:$D,BY$4&amp;"-"&amp;BY$7,'BS-Details'!$K:$K),2)-BY$51</f>
        <v>-58482.79</v>
      </c>
      <c r="BZ52" s="47">
        <f>ROUND(SUMIF('BS-Details'!$D:$D,BZ$4&amp;"-"&amp;BZ$7,'BS-Details'!$K:$K),2)-BZ$51</f>
        <v>-67674.93</v>
      </c>
      <c r="CA52" s="47">
        <f>ROUND(SUMIF('BS-Details'!$D:$D,CA$4&amp;"-"&amp;CA$7,'BS-Details'!$K:$K),2)-CA$51</f>
        <v>-24214</v>
      </c>
      <c r="CB52" s="47">
        <f>ROUND(SUMIF('BS-Details'!$D:$D,CB$4&amp;"-"&amp;CB$7,'BS-Details'!$K:$K),2)-CB$51</f>
        <v>-8593.32</v>
      </c>
      <c r="CC52" s="47">
        <f>ROUND(SUMIF('BS-Details'!$D:$D,CC$4&amp;"-"&amp;CC$7,'BS-Details'!$K:$K),2)-CC$51</f>
        <v>1122.11</v>
      </c>
      <c r="CD52" s="47">
        <f>ROUND(SUMIF('BS-Details'!$D:$D,CD$4&amp;"-"&amp;CD$7,'BS-Details'!$K:$K),2)-CD$51</f>
        <v>-2469466.65</v>
      </c>
      <c r="CE52" s="47">
        <f>ROUND(SUMIF('BS-Details'!$D:$D,CE$4&amp;"-"&amp;CE$7,'BS-Details'!$K:$K),2)-CE$51</f>
        <v>-4246754.22</v>
      </c>
      <c r="CF52" s="47">
        <f>ROUND(SUMIF('BS-Details'!$D:$D,CF$4&amp;"-"&amp;CF$7,'BS-Details'!$K:$K),2)-CF$51</f>
        <v>-3752744.73</v>
      </c>
      <c r="CG52" s="47">
        <f>ROUND(SUMIF('BS-Details'!$D:$D,CG$4&amp;"-"&amp;CG$7,'BS-Details'!$K:$K),2)-CG$51</f>
        <v>-556990.66</v>
      </c>
      <c r="CH52" s="47">
        <f>ROUND(SUMIF('BS-Details'!$D:$D,CH$4&amp;"-"&amp;CH$7,'BS-Details'!$K:$K),2)-CH$51</f>
        <v>-141252.75</v>
      </c>
      <c r="CI52" s="39">
        <f>SUM(D52:CH52)</f>
        <v>-11120997.98</v>
      </c>
    </row>
    <row r="53" spans="2:87" s="39" customFormat="true" ht="12" customHeight="true">
      <c r="B53" s="39" t="s">
        <v>34195</v>
      </c>
      <c r="U53" s="51"/>
      <c r="AA53" s="51"/>
      <c r="AB53" s="51"/>
      <c r="AC53" s="51"/>
      <c r="AD53" s="51"/>
      <c r="AF53" s="51"/>
      <c r="AI53" s="51"/>
      <c r="AT53" s="51"/>
      <c r="CI53" s="39">
        <f>SUM(D53:CH53)</f>
        <v>0</v>
      </c>
    </row>
    <row r="54" spans="4:86" s="39" customFormat="true" ht="12" customHeight="true">
      <c r="D54" s="46">
        <v>-390</v>
      </c>
      <c r="E54" s="46"/>
      <c r="F54" s="46"/>
      <c r="G54" s="46"/>
      <c r="H54" s="46"/>
      <c r="I54" s="46"/>
      <c r="J54" s="46">
        <v>1670</v>
      </c>
      <c r="K54" s="46"/>
      <c r="L54" s="46">
        <v>80165.27</v>
      </c>
      <c r="M54" s="46"/>
      <c r="N54" s="46"/>
      <c r="O54" s="46"/>
      <c r="P54" s="46">
        <v>-1154.47</v>
      </c>
      <c r="Q54" s="46"/>
      <c r="R54" s="46"/>
      <c r="S54" s="46"/>
      <c r="T54" s="46"/>
      <c r="U54" s="51"/>
      <c r="V54" s="46"/>
      <c r="W54" s="46"/>
      <c r="X54" s="46"/>
      <c r="Y54" s="46"/>
      <c r="Z54" s="46"/>
      <c r="AA54" s="51"/>
      <c r="AB54" s="51"/>
      <c r="AC54" s="51"/>
      <c r="AD54" s="51"/>
      <c r="AE54" s="46"/>
      <c r="AF54" s="51"/>
      <c r="AG54" s="46">
        <v>1.67</v>
      </c>
      <c r="AH54" s="46"/>
      <c r="AI54" s="51"/>
      <c r="AJ54" s="46"/>
      <c r="AK54" s="46">
        <v>-819.66</v>
      </c>
      <c r="AL54" s="46"/>
      <c r="AM54" s="46"/>
      <c r="AN54" s="46"/>
      <c r="AO54" s="46"/>
      <c r="AP54" s="46"/>
      <c r="AQ54" s="46"/>
      <c r="AR54" s="46"/>
      <c r="AS54" s="46"/>
      <c r="AT54" s="51"/>
      <c r="AU54" s="46"/>
      <c r="AV54" s="46">
        <v>-26.2</v>
      </c>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row>
    <row r="55" spans="4:86" s="39" customFormat="true" ht="12" customHeight="true">
      <c r="D55" s="46"/>
      <c r="E55" s="46"/>
      <c r="F55" s="46"/>
      <c r="G55" s="46"/>
      <c r="H55" s="46"/>
      <c r="I55" s="46"/>
      <c r="J55" s="46"/>
      <c r="K55" s="46"/>
      <c r="L55" s="46">
        <v>-72531.27</v>
      </c>
      <c r="M55" s="46"/>
      <c r="N55" s="46"/>
      <c r="O55" s="46"/>
      <c r="P55" s="46"/>
      <c r="Q55" s="46"/>
      <c r="R55" s="46"/>
      <c r="S55" s="46"/>
      <c r="T55" s="46"/>
      <c r="U55" s="51"/>
      <c r="V55" s="46"/>
      <c r="W55" s="46"/>
      <c r="X55" s="46"/>
      <c r="Y55" s="46"/>
      <c r="Z55" s="46"/>
      <c r="AA55" s="51"/>
      <c r="AB55" s="51"/>
      <c r="AC55" s="51"/>
      <c r="AD55" s="51"/>
      <c r="AE55" s="46"/>
      <c r="AF55" s="51"/>
      <c r="AG55" s="46">
        <v>-901.08</v>
      </c>
      <c r="AH55" s="46"/>
      <c r="AI55" s="51"/>
      <c r="AJ55" s="46"/>
      <c r="AK55" s="46"/>
      <c r="AL55" s="46"/>
      <c r="AM55" s="46"/>
      <c r="AN55" s="46"/>
      <c r="AO55" s="46"/>
      <c r="AP55" s="46"/>
      <c r="AQ55" s="46"/>
      <c r="AR55" s="46"/>
      <c r="AS55" s="46"/>
      <c r="AT55" s="51"/>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row>
    <row r="56" spans="4:86" s="39" customFormat="true" ht="12" customHeight="true">
      <c r="D56" s="46"/>
      <c r="E56" s="46"/>
      <c r="F56" s="46"/>
      <c r="G56" s="46"/>
      <c r="H56" s="46"/>
      <c r="I56" s="46"/>
      <c r="J56" s="46"/>
      <c r="K56" s="46"/>
      <c r="L56" s="46"/>
      <c r="M56" s="46"/>
      <c r="N56" s="46"/>
      <c r="O56" s="46"/>
      <c r="P56" s="46"/>
      <c r="Q56" s="46"/>
      <c r="R56" s="46"/>
      <c r="S56" s="46"/>
      <c r="T56" s="46"/>
      <c r="U56" s="51"/>
      <c r="V56" s="46"/>
      <c r="W56" s="46"/>
      <c r="X56" s="46"/>
      <c r="Y56" s="46"/>
      <c r="Z56" s="46"/>
      <c r="AA56" s="51"/>
      <c r="AB56" s="51"/>
      <c r="AC56" s="51"/>
      <c r="AD56" s="51"/>
      <c r="AE56" s="46"/>
      <c r="AF56" s="51"/>
      <c r="AG56" s="46"/>
      <c r="AH56" s="46"/>
      <c r="AI56" s="51"/>
      <c r="AJ56" s="46"/>
      <c r="AK56" s="46"/>
      <c r="AL56" s="46"/>
      <c r="AM56" s="46"/>
      <c r="AN56" s="46"/>
      <c r="AO56" s="46"/>
      <c r="AP56" s="46"/>
      <c r="AQ56" s="46"/>
      <c r="AR56" s="46"/>
      <c r="AS56" s="46"/>
      <c r="AT56" s="51"/>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row>
    <row r="57" spans="2:87" s="39" customFormat="true" ht="12" customHeight="true">
      <c r="B57" s="39" t="s">
        <v>34196</v>
      </c>
      <c r="D57" s="39">
        <f t="shared" ref="D57:U57" si="6">+SUM(D53:D56)</f>
        <v>-390</v>
      </c>
      <c r="E57" s="39">
        <f t="shared" si="6"/>
        <v>0</v>
      </c>
      <c r="F57" s="39">
        <f t="shared" si="6"/>
        <v>0</v>
      </c>
      <c r="G57" s="39">
        <f t="shared" si="6"/>
        <v>0</v>
      </c>
      <c r="H57" s="39">
        <f t="shared" si="6"/>
        <v>0</v>
      </c>
      <c r="I57" s="39">
        <f t="shared" si="6"/>
        <v>0</v>
      </c>
      <c r="J57" s="39">
        <f t="shared" si="6"/>
        <v>1670</v>
      </c>
      <c r="K57" s="39">
        <f t="shared" si="6"/>
        <v>0</v>
      </c>
      <c r="L57" s="39">
        <f t="shared" si="6"/>
        <v>7634</v>
      </c>
      <c r="M57" s="39">
        <f t="shared" si="6"/>
        <v>0</v>
      </c>
      <c r="N57" s="39">
        <f t="shared" si="6"/>
        <v>0</v>
      </c>
      <c r="O57" s="39">
        <f t="shared" si="6"/>
        <v>0</v>
      </c>
      <c r="P57" s="39">
        <f t="shared" si="6"/>
        <v>-1154.47</v>
      </c>
      <c r="Q57" s="39">
        <f t="shared" si="6"/>
        <v>0</v>
      </c>
      <c r="R57" s="39">
        <f t="shared" si="6"/>
        <v>0</v>
      </c>
      <c r="S57" s="39">
        <f t="shared" si="6"/>
        <v>0</v>
      </c>
      <c r="T57" s="39">
        <f t="shared" si="6"/>
        <v>0</v>
      </c>
      <c r="U57" s="51">
        <f t="shared" si="6"/>
        <v>0</v>
      </c>
      <c r="V57" s="39">
        <f>+SUM(V54:V56)</f>
        <v>0</v>
      </c>
      <c r="W57" s="39">
        <f t="shared" ref="W57:CH57" si="7">+SUM(W53:W56)</f>
        <v>0</v>
      </c>
      <c r="X57" s="39">
        <f t="shared" si="7"/>
        <v>0</v>
      </c>
      <c r="Y57" s="39">
        <f t="shared" si="7"/>
        <v>0</v>
      </c>
      <c r="Z57" s="39">
        <f t="shared" si="7"/>
        <v>0</v>
      </c>
      <c r="AA57" s="51">
        <f t="shared" si="7"/>
        <v>0</v>
      </c>
      <c r="AB57" s="51">
        <f t="shared" si="7"/>
        <v>0</v>
      </c>
      <c r="AC57" s="51">
        <f t="shared" si="7"/>
        <v>0</v>
      </c>
      <c r="AD57" s="51">
        <f t="shared" si="7"/>
        <v>0</v>
      </c>
      <c r="AE57" s="39">
        <f t="shared" si="7"/>
        <v>0</v>
      </c>
      <c r="AF57" s="51">
        <f t="shared" si="7"/>
        <v>0</v>
      </c>
      <c r="AG57" s="39">
        <f t="shared" si="7"/>
        <v>-899.41</v>
      </c>
      <c r="AH57" s="39">
        <f t="shared" si="7"/>
        <v>0</v>
      </c>
      <c r="AI57" s="51">
        <f t="shared" si="7"/>
        <v>0</v>
      </c>
      <c r="AJ57" s="39">
        <f t="shared" si="7"/>
        <v>0</v>
      </c>
      <c r="AK57" s="39">
        <f t="shared" si="7"/>
        <v>-819.66</v>
      </c>
      <c r="AL57" s="39">
        <f t="shared" si="7"/>
        <v>0</v>
      </c>
      <c r="AM57" s="39">
        <f t="shared" si="7"/>
        <v>0</v>
      </c>
      <c r="AN57" s="39">
        <f t="shared" si="7"/>
        <v>0</v>
      </c>
      <c r="AO57" s="39">
        <f t="shared" si="7"/>
        <v>0</v>
      </c>
      <c r="AP57" s="39">
        <f t="shared" si="7"/>
        <v>0</v>
      </c>
      <c r="AQ57" s="39">
        <f t="shared" si="7"/>
        <v>0</v>
      </c>
      <c r="AR57" s="39">
        <f t="shared" si="7"/>
        <v>0</v>
      </c>
      <c r="AS57" s="39">
        <f t="shared" si="7"/>
        <v>0</v>
      </c>
      <c r="AT57" s="51">
        <f t="shared" si="7"/>
        <v>0</v>
      </c>
      <c r="AU57" s="39">
        <f t="shared" si="7"/>
        <v>0</v>
      </c>
      <c r="AV57" s="39">
        <f t="shared" si="7"/>
        <v>-26.2</v>
      </c>
      <c r="AW57" s="39">
        <f t="shared" si="7"/>
        <v>0</v>
      </c>
      <c r="AX57" s="39">
        <f t="shared" si="7"/>
        <v>0</v>
      </c>
      <c r="AY57" s="39">
        <f t="shared" si="7"/>
        <v>0</v>
      </c>
      <c r="AZ57" s="39">
        <f t="shared" si="7"/>
        <v>0</v>
      </c>
      <c r="BA57" s="39">
        <f t="shared" si="7"/>
        <v>0</v>
      </c>
      <c r="BB57" s="39">
        <f t="shared" si="7"/>
        <v>0</v>
      </c>
      <c r="BC57" s="39">
        <f t="shared" si="7"/>
        <v>0</v>
      </c>
      <c r="BD57" s="39">
        <f t="shared" si="7"/>
        <v>0</v>
      </c>
      <c r="BE57" s="39">
        <f t="shared" si="7"/>
        <v>0</v>
      </c>
      <c r="BF57" s="39">
        <f t="shared" si="7"/>
        <v>0</v>
      </c>
      <c r="BG57" s="39">
        <f t="shared" si="7"/>
        <v>0</v>
      </c>
      <c r="BH57" s="39">
        <f t="shared" si="7"/>
        <v>0</v>
      </c>
      <c r="BI57" s="39">
        <f t="shared" si="7"/>
        <v>0</v>
      </c>
      <c r="BJ57" s="39">
        <f t="shared" si="7"/>
        <v>0</v>
      </c>
      <c r="BK57" s="39">
        <f t="shared" si="7"/>
        <v>0</v>
      </c>
      <c r="BL57" s="39">
        <f t="shared" si="7"/>
        <v>0</v>
      </c>
      <c r="BM57" s="39">
        <f t="shared" si="7"/>
        <v>0</v>
      </c>
      <c r="BN57" s="39">
        <f t="shared" si="7"/>
        <v>0</v>
      </c>
      <c r="BO57" s="39">
        <f t="shared" si="7"/>
        <v>0</v>
      </c>
      <c r="BP57" s="39">
        <f t="shared" si="7"/>
        <v>0</v>
      </c>
      <c r="BQ57" s="39">
        <f t="shared" si="7"/>
        <v>0</v>
      </c>
      <c r="BR57" s="39">
        <f t="shared" si="7"/>
        <v>0</v>
      </c>
      <c r="BS57" s="39">
        <f t="shared" si="7"/>
        <v>0</v>
      </c>
      <c r="BT57" s="39">
        <f t="shared" si="7"/>
        <v>0</v>
      </c>
      <c r="BU57" s="39">
        <f t="shared" si="7"/>
        <v>0</v>
      </c>
      <c r="BV57" s="39">
        <f t="shared" si="7"/>
        <v>0</v>
      </c>
      <c r="BW57" s="39">
        <f t="shared" si="7"/>
        <v>0</v>
      </c>
      <c r="BX57" s="39">
        <f t="shared" si="7"/>
        <v>0</v>
      </c>
      <c r="BY57" s="39">
        <f t="shared" si="7"/>
        <v>0</v>
      </c>
      <c r="BZ57" s="39">
        <f t="shared" si="7"/>
        <v>0</v>
      </c>
      <c r="CA57" s="39">
        <f t="shared" si="7"/>
        <v>0</v>
      </c>
      <c r="CB57" s="39">
        <f t="shared" si="7"/>
        <v>0</v>
      </c>
      <c r="CC57" s="39">
        <f t="shared" si="7"/>
        <v>0</v>
      </c>
      <c r="CD57" s="39">
        <f t="shared" si="7"/>
        <v>0</v>
      </c>
      <c r="CE57" s="39">
        <f t="shared" si="7"/>
        <v>0</v>
      </c>
      <c r="CF57" s="39">
        <f t="shared" si="7"/>
        <v>0</v>
      </c>
      <c r="CG57" s="39">
        <f t="shared" si="7"/>
        <v>0</v>
      </c>
      <c r="CH57" s="39">
        <f t="shared" si="7"/>
        <v>0</v>
      </c>
      <c r="CI57" s="39">
        <f>SUM(D57:CH57)</f>
        <v>6014.26</v>
      </c>
    </row>
    <row r="58" spans="21:46" s="39" customFormat="true" ht="12" customHeight="true">
      <c r="U58" s="51"/>
      <c r="AA58" s="51"/>
      <c r="AB58" s="51"/>
      <c r="AC58" s="51"/>
      <c r="AD58" s="51"/>
      <c r="AF58" s="51"/>
      <c r="AI58" s="51"/>
      <c r="AT58" s="51"/>
    </row>
    <row r="59" spans="2:46" s="39" customFormat="true" ht="12" customHeight="true">
      <c r="B59" s="39" t="s">
        <v>34197</v>
      </c>
      <c r="U59" s="51"/>
      <c r="AA59" s="51"/>
      <c r="AB59" s="51"/>
      <c r="AC59" s="51"/>
      <c r="AD59" s="51"/>
      <c r="AF59" s="51"/>
      <c r="AI59" s="51"/>
      <c r="AT59" s="51"/>
    </row>
    <row r="60" spans="4:86" s="39" customFormat="true" ht="12" customHeight="true">
      <c r="D60" s="46"/>
      <c r="E60" s="46"/>
      <c r="F60" s="46"/>
      <c r="G60" s="46"/>
      <c r="H60" s="46"/>
      <c r="I60" s="46"/>
      <c r="J60" s="46"/>
      <c r="K60" s="46"/>
      <c r="L60" s="46"/>
      <c r="M60" s="46"/>
      <c r="N60" s="46"/>
      <c r="O60" s="46"/>
      <c r="P60" s="46"/>
      <c r="Q60" s="46"/>
      <c r="R60" s="46"/>
      <c r="S60" s="46"/>
      <c r="T60" s="46"/>
      <c r="U60" s="51"/>
      <c r="V60" s="46"/>
      <c r="W60" s="46"/>
      <c r="X60" s="46"/>
      <c r="Y60" s="46"/>
      <c r="Z60" s="46"/>
      <c r="AA60" s="51"/>
      <c r="AB60" s="51"/>
      <c r="AC60" s="51"/>
      <c r="AD60" s="51"/>
      <c r="AE60" s="46"/>
      <c r="AF60" s="51"/>
      <c r="AG60" s="46"/>
      <c r="AH60" s="46"/>
      <c r="AI60" s="51"/>
      <c r="AJ60" s="46"/>
      <c r="AK60" s="46"/>
      <c r="AL60" s="46"/>
      <c r="AM60" s="46"/>
      <c r="AN60" s="46"/>
      <c r="AO60" s="46"/>
      <c r="AP60" s="46"/>
      <c r="AQ60" s="46"/>
      <c r="AR60" s="46"/>
      <c r="AS60" s="46"/>
      <c r="AT60" s="51"/>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row>
    <row r="61" spans="4:86" s="39" customFormat="true" ht="12" customHeight="true">
      <c r="D61" s="46"/>
      <c r="E61" s="46"/>
      <c r="F61" s="46"/>
      <c r="G61" s="46"/>
      <c r="H61" s="46"/>
      <c r="I61" s="46"/>
      <c r="J61" s="46"/>
      <c r="K61" s="46"/>
      <c r="L61" s="46"/>
      <c r="M61" s="46"/>
      <c r="N61" s="46"/>
      <c r="O61" s="46"/>
      <c r="P61" s="46"/>
      <c r="Q61" s="46"/>
      <c r="R61" s="46"/>
      <c r="S61" s="46"/>
      <c r="T61" s="46"/>
      <c r="U61" s="51"/>
      <c r="V61" s="46"/>
      <c r="W61" s="46"/>
      <c r="X61" s="46"/>
      <c r="Y61" s="46"/>
      <c r="Z61" s="46"/>
      <c r="AA61" s="51"/>
      <c r="AB61" s="51"/>
      <c r="AC61" s="51"/>
      <c r="AD61" s="51"/>
      <c r="AE61" s="46"/>
      <c r="AF61" s="51"/>
      <c r="AG61" s="46"/>
      <c r="AH61" s="46"/>
      <c r="AI61" s="51"/>
      <c r="AJ61" s="46"/>
      <c r="AK61" s="46"/>
      <c r="AL61" s="46"/>
      <c r="AM61" s="46"/>
      <c r="AN61" s="46"/>
      <c r="AO61" s="46"/>
      <c r="AP61" s="46"/>
      <c r="AQ61" s="46"/>
      <c r="AR61" s="46"/>
      <c r="AS61" s="46"/>
      <c r="AT61" s="51"/>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row>
    <row r="62" spans="4:86" s="39" customFormat="true" ht="12" customHeight="true">
      <c r="D62" s="46"/>
      <c r="E62" s="46"/>
      <c r="F62" s="46"/>
      <c r="G62" s="46"/>
      <c r="H62" s="46"/>
      <c r="I62" s="46"/>
      <c r="J62" s="46"/>
      <c r="K62" s="46"/>
      <c r="L62" s="46"/>
      <c r="M62" s="46"/>
      <c r="N62" s="46"/>
      <c r="O62" s="46"/>
      <c r="P62" s="46"/>
      <c r="Q62" s="46"/>
      <c r="R62" s="46"/>
      <c r="S62" s="46"/>
      <c r="T62" s="46"/>
      <c r="U62" s="51"/>
      <c r="V62" s="46"/>
      <c r="W62" s="46"/>
      <c r="X62" s="46"/>
      <c r="Y62" s="46"/>
      <c r="Z62" s="46"/>
      <c r="AA62" s="51"/>
      <c r="AB62" s="51"/>
      <c r="AC62" s="51"/>
      <c r="AD62" s="51"/>
      <c r="AE62" s="46"/>
      <c r="AF62" s="51"/>
      <c r="AG62" s="46"/>
      <c r="AH62" s="46"/>
      <c r="AI62" s="51"/>
      <c r="AJ62" s="46"/>
      <c r="AK62" s="46"/>
      <c r="AL62" s="46"/>
      <c r="AM62" s="46"/>
      <c r="AN62" s="46"/>
      <c r="AO62" s="46"/>
      <c r="AP62" s="46"/>
      <c r="AQ62" s="46"/>
      <c r="AR62" s="46"/>
      <c r="AS62" s="46"/>
      <c r="AT62" s="51"/>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row>
    <row r="63" spans="4:86" s="39" customFormat="true" ht="12" customHeight="true">
      <c r="D63" s="46"/>
      <c r="E63" s="46"/>
      <c r="F63" s="46"/>
      <c r="G63" s="46"/>
      <c r="H63" s="46"/>
      <c r="I63" s="46"/>
      <c r="J63" s="46"/>
      <c r="K63" s="46"/>
      <c r="L63" s="46"/>
      <c r="M63" s="46"/>
      <c r="N63" s="46"/>
      <c r="O63" s="46"/>
      <c r="P63" s="46"/>
      <c r="Q63" s="46"/>
      <c r="R63" s="46"/>
      <c r="S63" s="46"/>
      <c r="T63" s="46"/>
      <c r="U63" s="51"/>
      <c r="V63" s="46"/>
      <c r="W63" s="46"/>
      <c r="X63" s="46"/>
      <c r="Y63" s="46"/>
      <c r="Z63" s="46"/>
      <c r="AA63" s="51"/>
      <c r="AB63" s="51"/>
      <c r="AC63" s="51"/>
      <c r="AD63" s="51"/>
      <c r="AE63" s="46"/>
      <c r="AF63" s="51"/>
      <c r="AG63" s="46"/>
      <c r="AH63" s="46"/>
      <c r="AI63" s="51"/>
      <c r="AJ63" s="46"/>
      <c r="AK63" s="46"/>
      <c r="AL63" s="46"/>
      <c r="AM63" s="46"/>
      <c r="AN63" s="46"/>
      <c r="AO63" s="46"/>
      <c r="AP63" s="46"/>
      <c r="AQ63" s="46"/>
      <c r="AR63" s="46"/>
      <c r="AS63" s="46"/>
      <c r="AT63" s="51"/>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row>
    <row r="64" spans="4:86" s="39" customFormat="true" ht="12" customHeight="true">
      <c r="D64" s="46"/>
      <c r="E64" s="46"/>
      <c r="F64" s="46"/>
      <c r="G64" s="46"/>
      <c r="H64" s="46"/>
      <c r="I64" s="46"/>
      <c r="J64" s="46"/>
      <c r="K64" s="46"/>
      <c r="L64" s="46"/>
      <c r="M64" s="46"/>
      <c r="N64" s="46"/>
      <c r="O64" s="46"/>
      <c r="P64" s="46"/>
      <c r="Q64" s="46"/>
      <c r="R64" s="46"/>
      <c r="S64" s="46"/>
      <c r="T64" s="46"/>
      <c r="U64" s="51"/>
      <c r="V64" s="46"/>
      <c r="W64" s="46"/>
      <c r="X64" s="46"/>
      <c r="Y64" s="46"/>
      <c r="Z64" s="46"/>
      <c r="AA64" s="51"/>
      <c r="AB64" s="51"/>
      <c r="AC64" s="51"/>
      <c r="AD64" s="51"/>
      <c r="AE64" s="46"/>
      <c r="AF64" s="51"/>
      <c r="AG64" s="46"/>
      <c r="AH64" s="46"/>
      <c r="AI64" s="51"/>
      <c r="AJ64" s="46"/>
      <c r="AK64" s="46"/>
      <c r="AL64" s="46"/>
      <c r="AM64" s="46"/>
      <c r="AN64" s="46"/>
      <c r="AO64" s="46"/>
      <c r="AP64" s="46"/>
      <c r="AQ64" s="46"/>
      <c r="AR64" s="46"/>
      <c r="AS64" s="46"/>
      <c r="AT64" s="51"/>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row>
    <row r="65" spans="4:86" s="39" customFormat="true" ht="12" customHeight="true">
      <c r="D65" s="46"/>
      <c r="E65" s="46"/>
      <c r="F65" s="46"/>
      <c r="G65" s="46"/>
      <c r="H65" s="46"/>
      <c r="I65" s="46"/>
      <c r="J65" s="46"/>
      <c r="K65" s="46"/>
      <c r="L65" s="46"/>
      <c r="M65" s="46"/>
      <c r="N65" s="46"/>
      <c r="O65" s="46"/>
      <c r="P65" s="46"/>
      <c r="Q65" s="46"/>
      <c r="R65" s="46"/>
      <c r="S65" s="46"/>
      <c r="T65" s="46"/>
      <c r="U65" s="51"/>
      <c r="V65" s="46"/>
      <c r="W65" s="46"/>
      <c r="X65" s="46"/>
      <c r="Y65" s="46"/>
      <c r="Z65" s="46"/>
      <c r="AA65" s="51"/>
      <c r="AB65" s="51"/>
      <c r="AC65" s="51"/>
      <c r="AD65" s="51"/>
      <c r="AE65" s="46"/>
      <c r="AF65" s="51"/>
      <c r="AG65" s="46"/>
      <c r="AH65" s="46"/>
      <c r="AI65" s="51"/>
      <c r="AJ65" s="46"/>
      <c r="AK65" s="46"/>
      <c r="AL65" s="46"/>
      <c r="AM65" s="46"/>
      <c r="AN65" s="46"/>
      <c r="AO65" s="46"/>
      <c r="AP65" s="46"/>
      <c r="AQ65" s="46"/>
      <c r="AR65" s="46"/>
      <c r="AS65" s="46"/>
      <c r="AT65" s="51"/>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row>
    <row r="66" spans="4:86" s="39" customFormat="true" ht="12" customHeight="true">
      <c r="D66" s="46"/>
      <c r="E66" s="46"/>
      <c r="F66" s="46"/>
      <c r="G66" s="46"/>
      <c r="H66" s="46"/>
      <c r="I66" s="46"/>
      <c r="J66" s="46"/>
      <c r="K66" s="46"/>
      <c r="L66" s="46"/>
      <c r="M66" s="46"/>
      <c r="N66" s="46"/>
      <c r="O66" s="46"/>
      <c r="P66" s="46"/>
      <c r="Q66" s="46"/>
      <c r="R66" s="46"/>
      <c r="S66" s="46"/>
      <c r="T66" s="46"/>
      <c r="U66" s="51"/>
      <c r="V66" s="46"/>
      <c r="W66" s="46"/>
      <c r="X66" s="46"/>
      <c r="Y66" s="46"/>
      <c r="Z66" s="46"/>
      <c r="AA66" s="51"/>
      <c r="AB66" s="51"/>
      <c r="AC66" s="51"/>
      <c r="AD66" s="51"/>
      <c r="AE66" s="46"/>
      <c r="AF66" s="51"/>
      <c r="AG66" s="46"/>
      <c r="AH66" s="46"/>
      <c r="AI66" s="51"/>
      <c r="AJ66" s="46"/>
      <c r="AK66" s="46"/>
      <c r="AL66" s="46"/>
      <c r="AM66" s="46"/>
      <c r="AN66" s="46"/>
      <c r="AO66" s="46"/>
      <c r="AP66" s="46"/>
      <c r="AQ66" s="46"/>
      <c r="AR66" s="46"/>
      <c r="AS66" s="46"/>
      <c r="AT66" s="51"/>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row>
    <row r="67" spans="4:86" s="39" customFormat="true" ht="12" customHeight="true">
      <c r="D67" s="46"/>
      <c r="E67" s="46"/>
      <c r="F67" s="46"/>
      <c r="G67" s="46"/>
      <c r="H67" s="46"/>
      <c r="I67" s="46"/>
      <c r="J67" s="46"/>
      <c r="K67" s="46"/>
      <c r="L67" s="46"/>
      <c r="M67" s="46"/>
      <c r="N67" s="46"/>
      <c r="O67" s="46"/>
      <c r="P67" s="46"/>
      <c r="Q67" s="46"/>
      <c r="R67" s="46"/>
      <c r="S67" s="46"/>
      <c r="T67" s="46"/>
      <c r="U67" s="51"/>
      <c r="V67" s="46"/>
      <c r="W67" s="46"/>
      <c r="X67" s="46"/>
      <c r="Y67" s="46"/>
      <c r="Z67" s="46"/>
      <c r="AA67" s="51"/>
      <c r="AB67" s="51"/>
      <c r="AC67" s="51"/>
      <c r="AD67" s="51"/>
      <c r="AE67" s="46"/>
      <c r="AF67" s="51"/>
      <c r="AG67" s="46"/>
      <c r="AH67" s="46"/>
      <c r="AI67" s="51"/>
      <c r="AJ67" s="46"/>
      <c r="AK67" s="46"/>
      <c r="AL67" s="46"/>
      <c r="AM67" s="46"/>
      <c r="AN67" s="46"/>
      <c r="AO67" s="46"/>
      <c r="AP67" s="46"/>
      <c r="AQ67" s="46"/>
      <c r="AR67" s="46"/>
      <c r="AS67" s="46"/>
      <c r="AT67" s="51"/>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row>
    <row r="68" spans="4:86" s="39" customFormat="true" ht="12" customHeight="true">
      <c r="D68" s="46"/>
      <c r="E68" s="46"/>
      <c r="F68" s="46"/>
      <c r="G68" s="46"/>
      <c r="H68" s="46"/>
      <c r="I68" s="46"/>
      <c r="J68" s="46"/>
      <c r="K68" s="46"/>
      <c r="L68" s="46"/>
      <c r="M68" s="46"/>
      <c r="N68" s="46"/>
      <c r="O68" s="46"/>
      <c r="P68" s="46"/>
      <c r="Q68" s="46"/>
      <c r="R68" s="46"/>
      <c r="S68" s="46"/>
      <c r="T68" s="46"/>
      <c r="U68" s="51"/>
      <c r="V68" s="46"/>
      <c r="W68" s="46"/>
      <c r="X68" s="46"/>
      <c r="Y68" s="46"/>
      <c r="Z68" s="46"/>
      <c r="AA68" s="51"/>
      <c r="AB68" s="51"/>
      <c r="AC68" s="51"/>
      <c r="AD68" s="51"/>
      <c r="AE68" s="46"/>
      <c r="AF68" s="51"/>
      <c r="AG68" s="46"/>
      <c r="AH68" s="46"/>
      <c r="AI68" s="51"/>
      <c r="AJ68" s="46"/>
      <c r="AK68" s="46"/>
      <c r="AL68" s="46"/>
      <c r="AM68" s="46"/>
      <c r="AN68" s="46"/>
      <c r="AO68" s="46"/>
      <c r="AP68" s="46"/>
      <c r="AQ68" s="46"/>
      <c r="AR68" s="46"/>
      <c r="AS68" s="46"/>
      <c r="AT68" s="51"/>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row>
    <row r="69" spans="4:86" s="39" customFormat="true" ht="12" customHeight="true">
      <c r="D69" s="46"/>
      <c r="E69" s="46"/>
      <c r="F69" s="46"/>
      <c r="G69" s="46"/>
      <c r="H69" s="46"/>
      <c r="I69" s="46"/>
      <c r="J69" s="46"/>
      <c r="K69" s="46"/>
      <c r="L69" s="46"/>
      <c r="M69" s="46"/>
      <c r="N69" s="46"/>
      <c r="O69" s="46"/>
      <c r="P69" s="46"/>
      <c r="Q69" s="46"/>
      <c r="R69" s="46"/>
      <c r="S69" s="46"/>
      <c r="T69" s="46"/>
      <c r="U69" s="51"/>
      <c r="V69" s="46"/>
      <c r="W69" s="46"/>
      <c r="X69" s="46"/>
      <c r="Y69" s="46"/>
      <c r="Z69" s="46"/>
      <c r="AA69" s="51"/>
      <c r="AB69" s="51"/>
      <c r="AC69" s="51"/>
      <c r="AD69" s="51"/>
      <c r="AE69" s="46"/>
      <c r="AF69" s="51"/>
      <c r="AG69" s="46"/>
      <c r="AH69" s="46"/>
      <c r="AI69" s="51"/>
      <c r="AJ69" s="46"/>
      <c r="AK69" s="46"/>
      <c r="AL69" s="46"/>
      <c r="AM69" s="46"/>
      <c r="AN69" s="46"/>
      <c r="AO69" s="46"/>
      <c r="AP69" s="46"/>
      <c r="AQ69" s="46"/>
      <c r="AR69" s="46"/>
      <c r="AS69" s="46"/>
      <c r="AT69" s="51"/>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row>
    <row r="70" spans="4:86" s="39" customFormat="true" ht="12" customHeight="true">
      <c r="D70" s="46"/>
      <c r="E70" s="46"/>
      <c r="F70" s="46"/>
      <c r="G70" s="46"/>
      <c r="H70" s="46"/>
      <c r="I70" s="46"/>
      <c r="J70" s="46"/>
      <c r="K70" s="46"/>
      <c r="L70" s="46"/>
      <c r="M70" s="46"/>
      <c r="N70" s="46"/>
      <c r="O70" s="46"/>
      <c r="P70" s="46"/>
      <c r="Q70" s="46"/>
      <c r="R70" s="46"/>
      <c r="S70" s="46"/>
      <c r="T70" s="46"/>
      <c r="U70" s="51"/>
      <c r="V70" s="46"/>
      <c r="W70" s="46"/>
      <c r="X70" s="46"/>
      <c r="Y70" s="46"/>
      <c r="Z70" s="46"/>
      <c r="AA70" s="51"/>
      <c r="AB70" s="51"/>
      <c r="AC70" s="51"/>
      <c r="AD70" s="51"/>
      <c r="AE70" s="46"/>
      <c r="AF70" s="51"/>
      <c r="AG70" s="46"/>
      <c r="AH70" s="46"/>
      <c r="AI70" s="51"/>
      <c r="AJ70" s="46"/>
      <c r="AK70" s="46"/>
      <c r="AL70" s="46"/>
      <c r="AM70" s="46"/>
      <c r="AN70" s="46"/>
      <c r="AO70" s="46"/>
      <c r="AP70" s="46"/>
      <c r="AQ70" s="46"/>
      <c r="AR70" s="46"/>
      <c r="AS70" s="46"/>
      <c r="AT70" s="51"/>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row>
    <row r="71" spans="4:86" s="39" customFormat="true" ht="12" customHeight="true">
      <c r="D71" s="46"/>
      <c r="E71" s="46"/>
      <c r="F71" s="46"/>
      <c r="G71" s="46"/>
      <c r="H71" s="46"/>
      <c r="I71" s="46"/>
      <c r="J71" s="46"/>
      <c r="K71" s="46"/>
      <c r="L71" s="46"/>
      <c r="M71" s="46"/>
      <c r="N71" s="46"/>
      <c r="O71" s="46"/>
      <c r="P71" s="46"/>
      <c r="Q71" s="46"/>
      <c r="R71" s="46"/>
      <c r="S71" s="46"/>
      <c r="T71" s="46"/>
      <c r="U71" s="51"/>
      <c r="V71" s="46"/>
      <c r="W71" s="46"/>
      <c r="X71" s="46"/>
      <c r="Y71" s="46"/>
      <c r="Z71" s="46"/>
      <c r="AA71" s="51"/>
      <c r="AB71" s="51"/>
      <c r="AC71" s="51"/>
      <c r="AD71" s="51"/>
      <c r="AE71" s="46"/>
      <c r="AF71" s="51"/>
      <c r="AG71" s="46"/>
      <c r="AH71" s="46"/>
      <c r="AI71" s="51"/>
      <c r="AJ71" s="46"/>
      <c r="AK71" s="46"/>
      <c r="AL71" s="46"/>
      <c r="AM71" s="46"/>
      <c r="AN71" s="46"/>
      <c r="AO71" s="46"/>
      <c r="AP71" s="46"/>
      <c r="AQ71" s="46"/>
      <c r="AR71" s="46"/>
      <c r="AS71" s="46"/>
      <c r="AT71" s="51"/>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row>
    <row r="72" spans="4:86" s="39" customFormat="true" ht="12" customHeight="true">
      <c r="D72" s="46"/>
      <c r="E72" s="46"/>
      <c r="F72" s="46"/>
      <c r="G72" s="46"/>
      <c r="H72" s="46"/>
      <c r="I72" s="46"/>
      <c r="J72" s="46"/>
      <c r="K72" s="46"/>
      <c r="L72" s="46"/>
      <c r="M72" s="46"/>
      <c r="N72" s="46"/>
      <c r="O72" s="46"/>
      <c r="P72" s="46"/>
      <c r="Q72" s="46"/>
      <c r="R72" s="46"/>
      <c r="S72" s="46"/>
      <c r="T72" s="46"/>
      <c r="U72" s="51"/>
      <c r="V72" s="46"/>
      <c r="W72" s="46"/>
      <c r="X72" s="46"/>
      <c r="Y72" s="46"/>
      <c r="Z72" s="46"/>
      <c r="AA72" s="51"/>
      <c r="AB72" s="51"/>
      <c r="AC72" s="51"/>
      <c r="AD72" s="51"/>
      <c r="AE72" s="46"/>
      <c r="AF72" s="51"/>
      <c r="AG72" s="46"/>
      <c r="AH72" s="46"/>
      <c r="AI72" s="51"/>
      <c r="AJ72" s="46"/>
      <c r="AK72" s="46"/>
      <c r="AL72" s="46"/>
      <c r="AM72" s="46"/>
      <c r="AN72" s="46"/>
      <c r="AO72" s="46"/>
      <c r="AP72" s="46"/>
      <c r="AQ72" s="46"/>
      <c r="AR72" s="46"/>
      <c r="AS72" s="46"/>
      <c r="AT72" s="51"/>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row>
    <row r="73" spans="4:86" s="39" customFormat="true" ht="12" customHeight="true">
      <c r="D73" s="46"/>
      <c r="E73" s="46"/>
      <c r="F73" s="46"/>
      <c r="G73" s="46"/>
      <c r="H73" s="46"/>
      <c r="I73" s="46"/>
      <c r="J73" s="46"/>
      <c r="K73" s="46"/>
      <c r="L73" s="46"/>
      <c r="M73" s="46"/>
      <c r="N73" s="46"/>
      <c r="O73" s="46"/>
      <c r="P73" s="46"/>
      <c r="Q73" s="46"/>
      <c r="R73" s="46"/>
      <c r="S73" s="46"/>
      <c r="T73" s="46"/>
      <c r="U73" s="51"/>
      <c r="V73" s="46"/>
      <c r="W73" s="46"/>
      <c r="X73" s="46"/>
      <c r="Y73" s="46"/>
      <c r="Z73" s="46"/>
      <c r="AA73" s="51"/>
      <c r="AB73" s="51"/>
      <c r="AC73" s="51"/>
      <c r="AD73" s="51"/>
      <c r="AE73" s="46"/>
      <c r="AF73" s="51"/>
      <c r="AG73" s="46"/>
      <c r="AH73" s="46"/>
      <c r="AI73" s="51"/>
      <c r="AJ73" s="46"/>
      <c r="AK73" s="46"/>
      <c r="AL73" s="46"/>
      <c r="AM73" s="46"/>
      <c r="AN73" s="46"/>
      <c r="AO73" s="46"/>
      <c r="AP73" s="46"/>
      <c r="AQ73" s="46"/>
      <c r="AR73" s="46"/>
      <c r="AS73" s="46"/>
      <c r="AT73" s="51"/>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row>
    <row r="74" spans="4:86" s="39" customFormat="true" ht="12" customHeight="true">
      <c r="D74" s="46"/>
      <c r="E74" s="46"/>
      <c r="F74" s="46"/>
      <c r="G74" s="46"/>
      <c r="H74" s="46"/>
      <c r="I74" s="46"/>
      <c r="J74" s="46"/>
      <c r="K74" s="46"/>
      <c r="L74" s="46"/>
      <c r="M74" s="46"/>
      <c r="N74" s="46"/>
      <c r="O74" s="46"/>
      <c r="P74" s="46"/>
      <c r="Q74" s="46"/>
      <c r="R74" s="46"/>
      <c r="S74" s="46"/>
      <c r="T74" s="46"/>
      <c r="U74" s="51"/>
      <c r="V74" s="46"/>
      <c r="W74" s="46"/>
      <c r="X74" s="46"/>
      <c r="Y74" s="46"/>
      <c r="Z74" s="46"/>
      <c r="AA74" s="51"/>
      <c r="AB74" s="51"/>
      <c r="AC74" s="51"/>
      <c r="AD74" s="51"/>
      <c r="AE74" s="46"/>
      <c r="AF74" s="51"/>
      <c r="AG74" s="46"/>
      <c r="AH74" s="46"/>
      <c r="AI74" s="51"/>
      <c r="AJ74" s="46"/>
      <c r="AK74" s="46"/>
      <c r="AL74" s="46"/>
      <c r="AM74" s="46"/>
      <c r="AN74" s="46"/>
      <c r="AO74" s="46"/>
      <c r="AP74" s="46"/>
      <c r="AQ74" s="46"/>
      <c r="AR74" s="46"/>
      <c r="AS74" s="46"/>
      <c r="AT74" s="51"/>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row>
    <row r="75" spans="4:86" s="39" customFormat="true" ht="12" customHeight="true">
      <c r="D75" s="46"/>
      <c r="E75" s="46"/>
      <c r="F75" s="46"/>
      <c r="G75" s="46"/>
      <c r="H75" s="46"/>
      <c r="I75" s="46"/>
      <c r="J75" s="46"/>
      <c r="K75" s="46"/>
      <c r="L75" s="46"/>
      <c r="M75" s="46"/>
      <c r="N75" s="46"/>
      <c r="O75" s="46"/>
      <c r="P75" s="46"/>
      <c r="Q75" s="46"/>
      <c r="R75" s="46"/>
      <c r="S75" s="46"/>
      <c r="T75" s="46"/>
      <c r="U75" s="51"/>
      <c r="V75" s="46"/>
      <c r="W75" s="46"/>
      <c r="X75" s="46"/>
      <c r="Y75" s="46"/>
      <c r="Z75" s="46"/>
      <c r="AA75" s="51"/>
      <c r="AB75" s="51"/>
      <c r="AC75" s="51"/>
      <c r="AD75" s="51"/>
      <c r="AE75" s="46"/>
      <c r="AF75" s="51"/>
      <c r="AG75" s="46"/>
      <c r="AH75" s="46"/>
      <c r="AI75" s="51"/>
      <c r="AJ75" s="46"/>
      <c r="AK75" s="46"/>
      <c r="AL75" s="46"/>
      <c r="AM75" s="46"/>
      <c r="AN75" s="46"/>
      <c r="AO75" s="46"/>
      <c r="AP75" s="46"/>
      <c r="AQ75" s="46"/>
      <c r="AR75" s="46"/>
      <c r="AS75" s="46"/>
      <c r="AT75" s="51"/>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row>
    <row r="76" spans="4:86" s="39" customFormat="true" ht="12" customHeight="true">
      <c r="D76" s="46"/>
      <c r="E76" s="46"/>
      <c r="F76" s="46"/>
      <c r="G76" s="46"/>
      <c r="H76" s="46"/>
      <c r="I76" s="46"/>
      <c r="J76" s="46"/>
      <c r="K76" s="46"/>
      <c r="L76" s="46"/>
      <c r="M76" s="46"/>
      <c r="N76" s="46"/>
      <c r="O76" s="46"/>
      <c r="P76" s="46"/>
      <c r="Q76" s="46"/>
      <c r="R76" s="46"/>
      <c r="S76" s="46"/>
      <c r="T76" s="46"/>
      <c r="U76" s="51"/>
      <c r="V76" s="46"/>
      <c r="W76" s="46"/>
      <c r="X76" s="46"/>
      <c r="Y76" s="46"/>
      <c r="Z76" s="46"/>
      <c r="AA76" s="51"/>
      <c r="AB76" s="51"/>
      <c r="AC76" s="51"/>
      <c r="AD76" s="51"/>
      <c r="AE76" s="46"/>
      <c r="AF76" s="51"/>
      <c r="AG76" s="46"/>
      <c r="AH76" s="46"/>
      <c r="AI76" s="51"/>
      <c r="AJ76" s="46"/>
      <c r="AK76" s="46"/>
      <c r="AL76" s="46"/>
      <c r="AM76" s="46"/>
      <c r="AN76" s="46"/>
      <c r="AO76" s="46"/>
      <c r="AP76" s="46"/>
      <c r="AQ76" s="46"/>
      <c r="AR76" s="46"/>
      <c r="AS76" s="46"/>
      <c r="AT76" s="51"/>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row>
    <row r="77" spans="2:87" s="39" customFormat="true" ht="12" customHeight="true">
      <c r="B77" s="39" t="s">
        <v>34198</v>
      </c>
      <c r="D77" s="39">
        <f t="shared" ref="D77:Y77" si="8">+SUM(D59:D76)</f>
        <v>0</v>
      </c>
      <c r="E77" s="39">
        <f t="shared" si="8"/>
        <v>0</v>
      </c>
      <c r="F77" s="39">
        <f t="shared" si="8"/>
        <v>0</v>
      </c>
      <c r="G77" s="39">
        <f t="shared" si="8"/>
        <v>0</v>
      </c>
      <c r="H77" s="39">
        <f t="shared" si="8"/>
        <v>0</v>
      </c>
      <c r="I77" s="39">
        <f t="shared" si="8"/>
        <v>0</v>
      </c>
      <c r="J77" s="39">
        <f t="shared" si="8"/>
        <v>0</v>
      </c>
      <c r="K77" s="39">
        <f t="shared" si="8"/>
        <v>0</v>
      </c>
      <c r="L77" s="39">
        <f t="shared" si="8"/>
        <v>0</v>
      </c>
      <c r="M77" s="39">
        <f t="shared" si="8"/>
        <v>0</v>
      </c>
      <c r="N77" s="39">
        <f t="shared" si="8"/>
        <v>0</v>
      </c>
      <c r="O77" s="39">
        <f t="shared" si="8"/>
        <v>0</v>
      </c>
      <c r="P77" s="39">
        <f t="shared" si="8"/>
        <v>0</v>
      </c>
      <c r="Q77" s="39">
        <f t="shared" si="8"/>
        <v>0</v>
      </c>
      <c r="R77" s="39">
        <f t="shared" si="8"/>
        <v>0</v>
      </c>
      <c r="S77" s="39">
        <f t="shared" si="8"/>
        <v>0</v>
      </c>
      <c r="T77" s="39">
        <f t="shared" si="8"/>
        <v>0</v>
      </c>
      <c r="U77" s="51">
        <f t="shared" si="8"/>
        <v>0</v>
      </c>
      <c r="V77" s="39">
        <f t="shared" si="8"/>
        <v>0</v>
      </c>
      <c r="W77" s="39">
        <f t="shared" si="8"/>
        <v>0</v>
      </c>
      <c r="X77" s="39">
        <f t="shared" si="8"/>
        <v>0</v>
      </c>
      <c r="Y77" s="39">
        <f t="shared" si="8"/>
        <v>0</v>
      </c>
      <c r="AA77" s="51">
        <f t="shared" ref="AA77:CH77" si="9">+SUM(AA59:AA76)</f>
        <v>0</v>
      </c>
      <c r="AB77" s="51">
        <f t="shared" si="9"/>
        <v>0</v>
      </c>
      <c r="AC77" s="51">
        <f t="shared" si="9"/>
        <v>0</v>
      </c>
      <c r="AD77" s="51">
        <f t="shared" si="9"/>
        <v>0</v>
      </c>
      <c r="AE77" s="39">
        <f t="shared" si="9"/>
        <v>0</v>
      </c>
      <c r="AF77" s="51">
        <f t="shared" si="9"/>
        <v>0</v>
      </c>
      <c r="AG77" s="39">
        <f t="shared" si="9"/>
        <v>0</v>
      </c>
      <c r="AH77" s="39">
        <f t="shared" si="9"/>
        <v>0</v>
      </c>
      <c r="AI77" s="51">
        <f t="shared" si="9"/>
        <v>0</v>
      </c>
      <c r="AJ77" s="39">
        <f t="shared" si="9"/>
        <v>0</v>
      </c>
      <c r="AK77" s="39">
        <f t="shared" si="9"/>
        <v>0</v>
      </c>
      <c r="AL77" s="39">
        <f t="shared" si="9"/>
        <v>0</v>
      </c>
      <c r="AM77" s="39">
        <f t="shared" si="9"/>
        <v>0</v>
      </c>
      <c r="AN77" s="39">
        <f t="shared" si="9"/>
        <v>0</v>
      </c>
      <c r="AO77" s="39">
        <f t="shared" si="9"/>
        <v>0</v>
      </c>
      <c r="AP77" s="39">
        <f t="shared" si="9"/>
        <v>0</v>
      </c>
      <c r="AQ77" s="39">
        <f t="shared" si="9"/>
        <v>0</v>
      </c>
      <c r="AR77" s="39">
        <f t="shared" si="9"/>
        <v>0</v>
      </c>
      <c r="AS77" s="39">
        <f t="shared" si="9"/>
        <v>0</v>
      </c>
      <c r="AT77" s="51">
        <f t="shared" si="9"/>
        <v>0</v>
      </c>
      <c r="AU77" s="39">
        <f t="shared" si="9"/>
        <v>0</v>
      </c>
      <c r="AV77" s="39">
        <f t="shared" si="9"/>
        <v>0</v>
      </c>
      <c r="AW77" s="39">
        <f t="shared" si="9"/>
        <v>0</v>
      </c>
      <c r="AX77" s="39">
        <f t="shared" si="9"/>
        <v>0</v>
      </c>
      <c r="AY77" s="39">
        <f t="shared" si="9"/>
        <v>0</v>
      </c>
      <c r="AZ77" s="39">
        <f t="shared" si="9"/>
        <v>0</v>
      </c>
      <c r="BA77" s="39">
        <f t="shared" si="9"/>
        <v>0</v>
      </c>
      <c r="BB77" s="39">
        <f t="shared" si="9"/>
        <v>0</v>
      </c>
      <c r="BC77" s="39">
        <f t="shared" si="9"/>
        <v>0</v>
      </c>
      <c r="BD77" s="39">
        <f t="shared" si="9"/>
        <v>0</v>
      </c>
      <c r="BE77" s="39">
        <f t="shared" si="9"/>
        <v>0</v>
      </c>
      <c r="BF77" s="39">
        <f t="shared" si="9"/>
        <v>0</v>
      </c>
      <c r="BG77" s="39">
        <f t="shared" si="9"/>
        <v>0</v>
      </c>
      <c r="BH77" s="39">
        <f t="shared" si="9"/>
        <v>0</v>
      </c>
      <c r="BI77" s="39">
        <f t="shared" si="9"/>
        <v>0</v>
      </c>
      <c r="BJ77" s="39">
        <f t="shared" si="9"/>
        <v>0</v>
      </c>
      <c r="BK77" s="39">
        <f t="shared" si="9"/>
        <v>0</v>
      </c>
      <c r="BL77" s="39">
        <f t="shared" si="9"/>
        <v>0</v>
      </c>
      <c r="BM77" s="39">
        <f t="shared" si="9"/>
        <v>0</v>
      </c>
      <c r="BN77" s="39">
        <f t="shared" si="9"/>
        <v>0</v>
      </c>
      <c r="BO77" s="39">
        <f t="shared" si="9"/>
        <v>0</v>
      </c>
      <c r="BP77" s="39">
        <f t="shared" si="9"/>
        <v>0</v>
      </c>
      <c r="BQ77" s="39">
        <f t="shared" si="9"/>
        <v>0</v>
      </c>
      <c r="BR77" s="39">
        <f t="shared" si="9"/>
        <v>0</v>
      </c>
      <c r="BS77" s="39">
        <f t="shared" si="9"/>
        <v>0</v>
      </c>
      <c r="BT77" s="39">
        <f t="shared" si="9"/>
        <v>0</v>
      </c>
      <c r="BU77" s="39">
        <f t="shared" si="9"/>
        <v>0</v>
      </c>
      <c r="BV77" s="39">
        <f t="shared" si="9"/>
        <v>0</v>
      </c>
      <c r="BW77" s="39">
        <f t="shared" si="9"/>
        <v>0</v>
      </c>
      <c r="BX77" s="39">
        <f t="shared" si="9"/>
        <v>0</v>
      </c>
      <c r="BY77" s="39">
        <f t="shared" si="9"/>
        <v>0</v>
      </c>
      <c r="BZ77" s="39">
        <f t="shared" si="9"/>
        <v>0</v>
      </c>
      <c r="CA77" s="39">
        <f t="shared" si="9"/>
        <v>0</v>
      </c>
      <c r="CB77" s="39">
        <f t="shared" si="9"/>
        <v>0</v>
      </c>
      <c r="CC77" s="39">
        <f t="shared" si="9"/>
        <v>0</v>
      </c>
      <c r="CD77" s="39">
        <f t="shared" si="9"/>
        <v>0</v>
      </c>
      <c r="CE77" s="39">
        <f t="shared" si="9"/>
        <v>0</v>
      </c>
      <c r="CF77" s="39">
        <f t="shared" si="9"/>
        <v>0</v>
      </c>
      <c r="CG77" s="39">
        <f t="shared" si="9"/>
        <v>0</v>
      </c>
      <c r="CH77" s="39">
        <f t="shared" si="9"/>
        <v>0</v>
      </c>
      <c r="CI77" s="39">
        <f>SUM(D77:CH77)</f>
        <v>0</v>
      </c>
    </row>
    <row r="78" spans="21:46" s="39" customFormat="true" ht="12" customHeight="true">
      <c r="U78" s="51"/>
      <c r="AA78" s="51"/>
      <c r="AB78" s="51"/>
      <c r="AC78" s="51"/>
      <c r="AD78" s="51"/>
      <c r="AF78" s="51"/>
      <c r="AI78" s="51"/>
      <c r="AT78" s="51"/>
    </row>
    <row r="79" spans="21:46" s="39" customFormat="true" ht="12" customHeight="true">
      <c r="U79" s="51"/>
      <c r="AA79" s="51"/>
      <c r="AB79" s="51"/>
      <c r="AC79" s="51"/>
      <c r="AD79" s="51"/>
      <c r="AF79" s="51"/>
      <c r="AI79" s="51"/>
      <c r="AT79" s="51"/>
    </row>
    <row r="80" spans="2:87" s="39" customFormat="true" ht="12" customHeight="true">
      <c r="B80" s="39" t="s">
        <v>34199</v>
      </c>
      <c r="D80" s="39">
        <f t="shared" ref="D80:BO80" si="10">+D51+D57+D77</f>
        <v>35944.48</v>
      </c>
      <c r="E80" s="39">
        <f t="shared" si="10"/>
        <v>-31522.66</v>
      </c>
      <c r="F80" s="39">
        <f t="shared" si="10"/>
        <v>-71901.78</v>
      </c>
      <c r="G80" s="39">
        <f t="shared" si="10"/>
        <v>21281.84</v>
      </c>
      <c r="H80" s="39">
        <f t="shared" si="10"/>
        <v>-22893.16</v>
      </c>
      <c r="I80" s="39">
        <f t="shared" si="10"/>
        <v>0</v>
      </c>
      <c r="J80" s="39">
        <f t="shared" si="10"/>
        <v>379758.3</v>
      </c>
      <c r="K80" s="39">
        <f t="shared" si="10"/>
        <v>658721.44</v>
      </c>
      <c r="L80" s="39">
        <f t="shared" si="10"/>
        <v>11845.65</v>
      </c>
      <c r="M80" s="39">
        <f t="shared" si="10"/>
        <v>15012.47</v>
      </c>
      <c r="N80" s="39">
        <f t="shared" si="10"/>
        <v>-4002.95</v>
      </c>
      <c r="O80" s="39">
        <f t="shared" si="10"/>
        <v>0</v>
      </c>
      <c r="P80" s="39">
        <f t="shared" si="10"/>
        <v>-349665.04</v>
      </c>
      <c r="Q80" s="39">
        <f t="shared" si="10"/>
        <v>0</v>
      </c>
      <c r="R80" s="39">
        <f t="shared" si="10"/>
        <v>-330.25</v>
      </c>
      <c r="S80" s="39">
        <f t="shared" si="10"/>
        <v>-5208.94</v>
      </c>
      <c r="T80" s="39">
        <f t="shared" si="10"/>
        <v>5671.7</v>
      </c>
      <c r="U80" s="51">
        <f t="shared" si="10"/>
        <v>0</v>
      </c>
      <c r="V80" s="39">
        <f t="shared" si="10"/>
        <v>103293.82</v>
      </c>
      <c r="W80" s="39">
        <f t="shared" si="10"/>
        <v>55442.8</v>
      </c>
      <c r="X80" s="39">
        <f t="shared" si="10"/>
        <v>-53483.65</v>
      </c>
      <c r="Y80" s="39">
        <f t="shared" si="10"/>
        <v>29443.76</v>
      </c>
      <c r="Z80" s="39">
        <f t="shared" si="10"/>
        <v>17811.85</v>
      </c>
      <c r="AA80" s="51">
        <f t="shared" si="10"/>
        <v>0</v>
      </c>
      <c r="AB80" s="51">
        <f t="shared" si="10"/>
        <v>0</v>
      </c>
      <c r="AC80" s="51">
        <f t="shared" si="10"/>
        <v>0</v>
      </c>
      <c r="AD80" s="51">
        <f t="shared" si="10"/>
        <v>0</v>
      </c>
      <c r="AE80" s="39">
        <f t="shared" si="10"/>
        <v>292830.02</v>
      </c>
      <c r="AF80" s="51">
        <f t="shared" si="10"/>
        <v>0</v>
      </c>
      <c r="AG80" s="39">
        <f t="shared" si="10"/>
        <v>-51524.75</v>
      </c>
      <c r="AH80" s="39">
        <f t="shared" si="10"/>
        <v>4174.26</v>
      </c>
      <c r="AI80" s="51">
        <f t="shared" si="10"/>
        <v>0</v>
      </c>
      <c r="AJ80" s="39">
        <f t="shared" si="10"/>
        <v>-84679.75</v>
      </c>
      <c r="AK80" s="39">
        <f t="shared" si="10"/>
        <v>18599.31</v>
      </c>
      <c r="AL80" s="39">
        <f t="shared" si="10"/>
        <v>25185.24</v>
      </c>
      <c r="AM80" s="39">
        <f t="shared" si="10"/>
        <v>0</v>
      </c>
      <c r="AN80" s="39">
        <f t="shared" si="10"/>
        <v>0</v>
      </c>
      <c r="AO80" s="39">
        <f t="shared" si="10"/>
        <v>598.94</v>
      </c>
      <c r="AP80" s="39">
        <f t="shared" si="10"/>
        <v>131155.17</v>
      </c>
      <c r="AQ80" s="39">
        <f t="shared" si="10"/>
        <v>2807.91</v>
      </c>
      <c r="AR80" s="39">
        <f t="shared" si="10"/>
        <v>2354.77</v>
      </c>
      <c r="AS80" s="39">
        <f t="shared" si="10"/>
        <v>961.61</v>
      </c>
      <c r="AT80" s="51">
        <f t="shared" si="10"/>
        <v>0</v>
      </c>
      <c r="AU80" s="39">
        <f t="shared" si="10"/>
        <v>-458.28</v>
      </c>
      <c r="AV80" s="39">
        <f t="shared" si="10"/>
        <v>-42747.26</v>
      </c>
      <c r="AW80" s="39">
        <f t="shared" si="10"/>
        <v>1205.56</v>
      </c>
      <c r="AX80" s="39">
        <f t="shared" si="10"/>
        <v>26948.81</v>
      </c>
      <c r="AY80" s="39">
        <f t="shared" si="10"/>
        <v>117238.26</v>
      </c>
      <c r="AZ80" s="39">
        <f t="shared" si="10"/>
        <v>4514.33</v>
      </c>
      <c r="BA80" s="39">
        <f t="shared" si="10"/>
        <v>51359.49</v>
      </c>
      <c r="BB80" s="39">
        <f t="shared" si="10"/>
        <v>3856.29</v>
      </c>
      <c r="BC80" s="39">
        <f t="shared" si="10"/>
        <v>34633.42</v>
      </c>
      <c r="BD80" s="39">
        <f t="shared" si="10"/>
        <v>29883.94</v>
      </c>
      <c r="BE80" s="39">
        <f t="shared" si="10"/>
        <v>0</v>
      </c>
      <c r="BF80" s="39">
        <f t="shared" si="10"/>
        <v>100417.91</v>
      </c>
      <c r="BG80" s="39">
        <f t="shared" si="10"/>
        <v>88316.97</v>
      </c>
      <c r="BH80" s="39">
        <f t="shared" si="10"/>
        <v>55961.74</v>
      </c>
      <c r="BI80" s="39">
        <f t="shared" si="10"/>
        <v>17447.62</v>
      </c>
      <c r="BJ80" s="39">
        <f t="shared" si="10"/>
        <v>43142.42</v>
      </c>
      <c r="BK80" s="39">
        <f t="shared" si="10"/>
        <v>22500.6</v>
      </c>
      <c r="BL80" s="39">
        <f t="shared" si="10"/>
        <v>42537.32</v>
      </c>
      <c r="BM80" s="39">
        <f t="shared" si="10"/>
        <v>59924.19</v>
      </c>
      <c r="BN80" s="39">
        <f t="shared" si="10"/>
        <v>-51306.89</v>
      </c>
      <c r="BO80" s="39">
        <f t="shared" si="10"/>
        <v>16063.78</v>
      </c>
      <c r="BP80" s="39">
        <f t="shared" ref="BP80:CH80" si="11">+BP51+BP57+BP77</f>
        <v>-29760.69</v>
      </c>
      <c r="BQ80" s="39">
        <f t="shared" si="11"/>
        <v>45430.71</v>
      </c>
      <c r="BR80" s="39">
        <f t="shared" si="11"/>
        <v>22259.69</v>
      </c>
      <c r="BS80" s="39">
        <f t="shared" si="11"/>
        <v>51502.08</v>
      </c>
      <c r="BT80" s="39">
        <f t="shared" si="11"/>
        <v>-454926.88</v>
      </c>
      <c r="BU80" s="39">
        <f t="shared" si="11"/>
        <v>34830.15</v>
      </c>
      <c r="BV80" s="39">
        <f t="shared" si="11"/>
        <v>105889.65</v>
      </c>
      <c r="BW80" s="39">
        <f t="shared" si="11"/>
        <v>50780.38</v>
      </c>
      <c r="BX80" s="39">
        <f t="shared" si="11"/>
        <v>33698.12</v>
      </c>
      <c r="BY80" s="39">
        <f t="shared" si="11"/>
        <v>58695.06</v>
      </c>
      <c r="BZ80" s="39">
        <f t="shared" si="11"/>
        <v>65632.66</v>
      </c>
      <c r="CA80" s="39">
        <f t="shared" si="11"/>
        <v>27258.04</v>
      </c>
      <c r="CB80" s="39">
        <f t="shared" si="11"/>
        <v>8593.32</v>
      </c>
      <c r="CC80" s="39">
        <f t="shared" si="11"/>
        <v>1203.41</v>
      </c>
      <c r="CD80" s="39">
        <f t="shared" si="11"/>
        <v>2469466.65</v>
      </c>
      <c r="CE80" s="39">
        <f t="shared" si="11"/>
        <v>4248552.8</v>
      </c>
      <c r="CF80" s="39">
        <f t="shared" si="11"/>
        <v>3750000</v>
      </c>
      <c r="CG80" s="39">
        <f t="shared" si="11"/>
        <v>556190.66</v>
      </c>
      <c r="CH80" s="39">
        <f t="shared" si="11"/>
        <v>-17699.19</v>
      </c>
      <c r="CI80" s="39">
        <f>SUM(D80:CH80)</f>
        <v>12786719.25</v>
      </c>
    </row>
    <row r="81" spans="21:46" s="39" customFormat="true" ht="12" customHeight="true">
      <c r="U81" s="51"/>
      <c r="AA81" s="51"/>
      <c r="AB81" s="51"/>
      <c r="AC81" s="51"/>
      <c r="AD81" s="51"/>
      <c r="AF81" s="51"/>
      <c r="AI81" s="51"/>
      <c r="AT81" s="51"/>
    </row>
    <row r="82" spans="2:87" s="39" customFormat="true" ht="12" customHeight="true">
      <c r="B82" s="39" t="s">
        <v>13909</v>
      </c>
      <c r="D82" s="47">
        <f t="shared" ref="D82:BO82" si="12">+D49-D80</f>
        <v>0</v>
      </c>
      <c r="E82" s="47">
        <f t="shared" si="12"/>
        <v>0</v>
      </c>
      <c r="F82" s="47">
        <f t="shared" si="12"/>
        <v>0</v>
      </c>
      <c r="G82" s="47">
        <f t="shared" si="12"/>
        <v>0</v>
      </c>
      <c r="H82" s="47">
        <f t="shared" si="12"/>
        <v>0</v>
      </c>
      <c r="I82" s="47">
        <f t="shared" si="12"/>
        <v>0</v>
      </c>
      <c r="J82" s="47">
        <f t="shared" si="12"/>
        <v>0</v>
      </c>
      <c r="K82" s="47">
        <f t="shared" si="12"/>
        <v>0</v>
      </c>
      <c r="L82" s="47">
        <f t="shared" si="12"/>
        <v>0</v>
      </c>
      <c r="M82" s="47">
        <f t="shared" si="12"/>
        <v>0</v>
      </c>
      <c r="N82" s="47">
        <f t="shared" si="12"/>
        <v>0</v>
      </c>
      <c r="O82" s="47">
        <f t="shared" si="12"/>
        <v>0</v>
      </c>
      <c r="P82" s="47">
        <f t="shared" si="12"/>
        <v>0</v>
      </c>
      <c r="Q82" s="47">
        <f t="shared" si="12"/>
        <v>0</v>
      </c>
      <c r="R82" s="47">
        <f t="shared" si="12"/>
        <v>0</v>
      </c>
      <c r="S82" s="47">
        <f t="shared" si="12"/>
        <v>0</v>
      </c>
      <c r="T82" s="47">
        <f t="shared" si="12"/>
        <v>0</v>
      </c>
      <c r="U82" s="47">
        <f t="shared" si="12"/>
        <v>0</v>
      </c>
      <c r="V82" s="47">
        <f t="shared" si="12"/>
        <v>0</v>
      </c>
      <c r="W82" s="47">
        <f t="shared" si="12"/>
        <v>0</v>
      </c>
      <c r="X82" s="47">
        <f t="shared" si="12"/>
        <v>0</v>
      </c>
      <c r="Y82" s="47">
        <f t="shared" si="12"/>
        <v>0</v>
      </c>
      <c r="Z82" s="47">
        <f t="shared" si="12"/>
        <v>0</v>
      </c>
      <c r="AA82" s="47">
        <f t="shared" si="12"/>
        <v>0</v>
      </c>
      <c r="AB82" s="47">
        <f t="shared" si="12"/>
        <v>0</v>
      </c>
      <c r="AC82" s="47">
        <f t="shared" si="12"/>
        <v>0</v>
      </c>
      <c r="AD82" s="47">
        <f t="shared" si="12"/>
        <v>0</v>
      </c>
      <c r="AE82" s="47">
        <f t="shared" si="12"/>
        <v>0</v>
      </c>
      <c r="AF82" s="47">
        <f t="shared" si="12"/>
        <v>0</v>
      </c>
      <c r="AG82" s="47">
        <f t="shared" si="12"/>
        <v>0</v>
      </c>
      <c r="AH82" s="47">
        <f t="shared" si="12"/>
        <v>0</v>
      </c>
      <c r="AI82" s="47">
        <f t="shared" si="12"/>
        <v>0</v>
      </c>
      <c r="AJ82" s="47">
        <f t="shared" si="12"/>
        <v>0</v>
      </c>
      <c r="AK82" s="47">
        <f t="shared" si="12"/>
        <v>0</v>
      </c>
      <c r="AL82" s="47">
        <f t="shared" si="12"/>
        <v>0</v>
      </c>
      <c r="AM82" s="47">
        <f t="shared" si="12"/>
        <v>0</v>
      </c>
      <c r="AN82" s="47">
        <f t="shared" si="12"/>
        <v>0</v>
      </c>
      <c r="AO82" s="47">
        <f t="shared" si="12"/>
        <v>0</v>
      </c>
      <c r="AP82" s="47">
        <f t="shared" si="12"/>
        <v>0</v>
      </c>
      <c r="AQ82" s="47">
        <f t="shared" si="12"/>
        <v>0</v>
      </c>
      <c r="AR82" s="47">
        <f t="shared" si="12"/>
        <v>0</v>
      </c>
      <c r="AS82" s="47">
        <f t="shared" si="12"/>
        <v>0</v>
      </c>
      <c r="AT82" s="47">
        <f t="shared" si="12"/>
        <v>0</v>
      </c>
      <c r="AU82" s="47">
        <f t="shared" si="12"/>
        <v>0</v>
      </c>
      <c r="AV82" s="47">
        <f t="shared" si="12"/>
        <v>0</v>
      </c>
      <c r="AW82" s="47">
        <f t="shared" si="12"/>
        <v>0</v>
      </c>
      <c r="AX82" s="47">
        <f t="shared" si="12"/>
        <v>0</v>
      </c>
      <c r="AY82" s="47">
        <f t="shared" si="12"/>
        <v>0</v>
      </c>
      <c r="AZ82" s="47">
        <f t="shared" si="12"/>
        <v>0</v>
      </c>
      <c r="BA82" s="47">
        <f t="shared" si="12"/>
        <v>0</v>
      </c>
      <c r="BB82" s="47">
        <f t="shared" si="12"/>
        <v>0</v>
      </c>
      <c r="BC82" s="47">
        <f t="shared" si="12"/>
        <v>0</v>
      </c>
      <c r="BD82" s="47">
        <f t="shared" si="12"/>
        <v>0</v>
      </c>
      <c r="BE82" s="47">
        <f t="shared" si="12"/>
        <v>0</v>
      </c>
      <c r="BF82" s="47">
        <f t="shared" si="12"/>
        <v>0</v>
      </c>
      <c r="BG82" s="47">
        <f t="shared" si="12"/>
        <v>0</v>
      </c>
      <c r="BH82" s="47">
        <f t="shared" si="12"/>
        <v>0</v>
      </c>
      <c r="BI82" s="47">
        <f t="shared" si="12"/>
        <v>0</v>
      </c>
      <c r="BJ82" s="47">
        <f t="shared" si="12"/>
        <v>0</v>
      </c>
      <c r="BK82" s="47">
        <f t="shared" si="12"/>
        <v>0</v>
      </c>
      <c r="BL82" s="47">
        <f t="shared" si="12"/>
        <v>0</v>
      </c>
      <c r="BM82" s="47">
        <f t="shared" si="12"/>
        <v>0</v>
      </c>
      <c r="BN82" s="47">
        <f t="shared" si="12"/>
        <v>0</v>
      </c>
      <c r="BO82" s="47">
        <f t="shared" si="12"/>
        <v>0</v>
      </c>
      <c r="BP82" s="47">
        <f t="shared" ref="BP82:CH82" si="13">+BP49-BP80</f>
        <v>0</v>
      </c>
      <c r="BQ82" s="47">
        <f t="shared" si="13"/>
        <v>0</v>
      </c>
      <c r="BR82" s="47">
        <f t="shared" si="13"/>
        <v>0</v>
      </c>
      <c r="BS82" s="47">
        <f t="shared" si="13"/>
        <v>0</v>
      </c>
      <c r="BT82" s="47">
        <f t="shared" si="13"/>
        <v>0</v>
      </c>
      <c r="BU82" s="47">
        <f t="shared" si="13"/>
        <v>0</v>
      </c>
      <c r="BV82" s="47">
        <f t="shared" si="13"/>
        <v>0</v>
      </c>
      <c r="BW82" s="47">
        <f t="shared" si="13"/>
        <v>0</v>
      </c>
      <c r="BX82" s="47">
        <f t="shared" si="13"/>
        <v>0</v>
      </c>
      <c r="BY82" s="47">
        <f t="shared" si="13"/>
        <v>0</v>
      </c>
      <c r="BZ82" s="47">
        <f t="shared" si="13"/>
        <v>0</v>
      </c>
      <c r="CA82" s="47">
        <f t="shared" si="13"/>
        <v>0</v>
      </c>
      <c r="CB82" s="47">
        <f t="shared" si="13"/>
        <v>0</v>
      </c>
      <c r="CC82" s="47">
        <f t="shared" si="13"/>
        <v>0</v>
      </c>
      <c r="CD82" s="47">
        <f t="shared" si="13"/>
        <v>0</v>
      </c>
      <c r="CE82" s="47">
        <f t="shared" si="13"/>
        <v>0</v>
      </c>
      <c r="CF82" s="47">
        <f t="shared" si="13"/>
        <v>0</v>
      </c>
      <c r="CG82" s="47">
        <f t="shared" si="13"/>
        <v>0</v>
      </c>
      <c r="CH82" s="47">
        <f t="shared" si="13"/>
        <v>0</v>
      </c>
      <c r="CI82" s="39">
        <f>SUM(D82:CH82)</f>
        <v>0</v>
      </c>
    </row>
    <row r="83" spans="4:6" ht="12" customHeight="true">
      <c r="D83" s="39"/>
      <c r="E83" s="39"/>
      <c r="F83" s="39"/>
    </row>
    <row r="84" spans="4:6" ht="12" customHeight="true">
      <c r="D84" s="39"/>
      <c r="E84" s="39"/>
      <c r="F84" s="39"/>
    </row>
    <row r="85" spans="4:6" ht="12" customHeight="true">
      <c r="D85" s="39"/>
      <c r="E85" s="39"/>
      <c r="F85" s="39"/>
    </row>
    <row r="86" spans="4:6" ht="12" customHeight="true">
      <c r="D86" s="39"/>
      <c r="E86" s="39"/>
      <c r="F86" s="39"/>
    </row>
    <row r="87" spans="4:6" ht="12" customHeight="true">
      <c r="D87" s="39"/>
      <c r="E87" s="39"/>
      <c r="F87" s="39"/>
    </row>
    <row r="88" spans="4:6" ht="12" customHeight="true">
      <c r="D88" s="39"/>
      <c r="E88" s="39"/>
      <c r="F88" s="39"/>
    </row>
    <row r="89" spans="4:6" ht="12" customHeight="true">
      <c r="D89" s="39"/>
      <c r="E89" s="39"/>
      <c r="F89" s="39"/>
    </row>
    <row r="90" spans="4:6" ht="12" customHeight="true">
      <c r="D90" s="39"/>
      <c r="E90" s="39"/>
      <c r="F90" s="39"/>
    </row>
    <row r="91" spans="4:6" ht="12" customHeight="true">
      <c r="D91" s="39"/>
      <c r="E91" s="39"/>
      <c r="F91" s="39"/>
    </row>
    <row r="92" spans="4:6" ht="12" customHeight="true">
      <c r="D92" s="39"/>
      <c r="E92" s="39"/>
      <c r="F92" s="39"/>
    </row>
  </sheetData>
  <conditionalFormatting sqref="D52:CH52">
    <cfRule type="cellIs" dxfId="4" priority="2" operator="notEqual">
      <formula>0</formula>
    </cfRule>
  </conditionalFormatting>
  <conditionalFormatting sqref="D82:CH82">
    <cfRule type="cellIs" dxfId="4" priority="3" operator="notBetween">
      <formula>-0.01</formula>
      <formula>0.01</formula>
    </cfRule>
  </conditionalFormatting>
  <pageMargins left="0.7" right="0.7" top="0.75" bottom="0.75" header="0.511811023622047" footer="0.511811023622047"/>
  <pageSetup horizontalDpi="300" orientation="portrait" paperSize="1" useFirstPageNumber="true" verticalDpi="300"/>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1"/>
  <sheetViews>
    <sheetView workbookViewId="0">
      <selection activeCell="G11" sqref="G11"/>
    </sheetView>
  </sheetViews>
  <sheetFormatPr defaultColWidth="9.12" defaultRowHeight="15"/>
  <cols>
    <col customWidth="true" max="1" min="1" style="33" width="9.10666666666667"/>
    <col customWidth="true" max="2" min="2" style="33" width="14.3266666666667"/>
    <col customWidth="true" max="3" min="3" style="33" width="15.1066666666667"/>
    <col customWidth="true" max="4" min="4" style="33" width="13.1066666666667"/>
    <col customWidth="true" max="5" min="5" style="33" width="4.55333333333333"/>
    <col customWidth="true" max="6" min="6" style="33" width="12.3266666666667"/>
    <col customWidth="true" max="7" min="7" style="33" width="9.10666666666667"/>
    <col customWidth="true" max="8" min="8" style="33" width="15.3266666666667"/>
    <col customWidth="true" max="9" min="9" style="33" width="13.1066666666667"/>
    <col customWidth="true" max="10" min="10" style="33" width="20.44"/>
    <col customWidth="true" max="11" min="11" style="33" width="3.34"/>
    <col customWidth="true" max="12" min="12" style="33" width="11.5533333333333"/>
    <col customWidth="true" max="13" min="13" style="33" width="20.44"/>
    <col customWidth="true" max="14" min="14" style="33" width="12.3266666666667"/>
    <col customWidth="true" max="15" min="15" style="33" width="9.55333333333333"/>
    <col customWidth="true" max="1024" min="16" style="33" width="9.10666666666667"/>
  </cols>
  <sheetData>
    <row r="1" spans="1:14" ht="14.25" customHeight="true">
      <c r="A1" s="34" t="s">
        <v>34214</v>
      </c>
      <c r="B1" s="34"/>
      <c r="C1" s="34"/>
      <c r="D1" s="34"/>
      <c r="F1" s="41" t="s">
        <v>34215</v>
      </c>
      <c r="I1" s="42"/>
      <c r="J1" s="42"/>
      <c r="K1" s="42"/>
      <c r="L1" s="42"/>
      <c r="M1" s="42"/>
      <c r="N1" s="42"/>
    </row>
    <row r="2" spans="1:14">
      <c r="A2" s="34"/>
      <c r="B2" s="34" t="s">
        <v>34216</v>
      </c>
      <c r="C2" s="34" t="s">
        <v>34217</v>
      </c>
      <c r="D2" s="34" t="s">
        <v>34218</v>
      </c>
      <c r="I2" s="42"/>
      <c r="J2" s="42"/>
      <c r="K2" s="42"/>
      <c r="L2" s="42"/>
      <c r="M2" s="42"/>
      <c r="N2" s="42"/>
    </row>
    <row r="3" spans="1:4">
      <c r="A3" s="33" t="s">
        <v>13776</v>
      </c>
      <c r="B3" s="35">
        <v>912834</v>
      </c>
      <c r="C3" s="36" t="e">
        <f>HLOOKUP(A3,#REF!,51,0)</f>
        <v>#REF!</v>
      </c>
      <c r="D3" s="36" t="e">
        <f t="shared" ref="D3:D15" si="0">B3-C3</f>
        <v>#REF!</v>
      </c>
    </row>
    <row r="4" spans="1:4">
      <c r="A4" s="33" t="s">
        <v>13779</v>
      </c>
      <c r="B4" s="37">
        <v>180974</v>
      </c>
      <c r="C4" s="36" t="e">
        <f>HLOOKUP(A4,#REF!,51,0)</f>
        <v>#REF!</v>
      </c>
      <c r="D4" s="36" t="e">
        <f t="shared" si="0"/>
        <v>#REF!</v>
      </c>
    </row>
    <row r="5" spans="1:11">
      <c r="A5" s="33" t="s">
        <v>13786</v>
      </c>
      <c r="B5" s="37">
        <v>63572.29</v>
      </c>
      <c r="C5" s="36" t="e">
        <f>HLOOKUP(A5,#REF!,51,0)</f>
        <v>#REF!</v>
      </c>
      <c r="D5" s="36" t="e">
        <f t="shared" si="0"/>
        <v>#REF!</v>
      </c>
      <c r="K5" s="39"/>
    </row>
    <row r="6" spans="1:11">
      <c r="A6" s="33" t="s">
        <v>13787</v>
      </c>
      <c r="B6" s="35">
        <v>10219.78</v>
      </c>
      <c r="C6" s="36" t="e">
        <f>HLOOKUP(A6,#REF!,51,0)</f>
        <v>#REF!</v>
      </c>
      <c r="D6" s="36" t="e">
        <f t="shared" si="0"/>
        <v>#REF!</v>
      </c>
      <c r="I6" s="39"/>
      <c r="J6" s="39"/>
      <c r="K6" s="39"/>
    </row>
    <row r="7" spans="1:11">
      <c r="A7" s="33" t="s">
        <v>13788</v>
      </c>
      <c r="B7" s="35">
        <v>11002.42</v>
      </c>
      <c r="C7" s="36" t="e">
        <f>HLOOKUP(A7,#REF!,51,0)</f>
        <v>#REF!</v>
      </c>
      <c r="D7" s="36" t="e">
        <f t="shared" si="0"/>
        <v>#REF!</v>
      </c>
      <c r="K7" s="39"/>
    </row>
    <row r="8" spans="1:11">
      <c r="A8" s="33" t="s">
        <v>13792</v>
      </c>
      <c r="B8" s="35" t="s">
        <v>14984</v>
      </c>
      <c r="C8" s="36" t="e">
        <f>HLOOKUP(A8,#REF!,51,0)</f>
        <v>#REF!</v>
      </c>
      <c r="D8" s="36" t="e">
        <f t="shared" si="0"/>
        <v>#VALUE!</v>
      </c>
      <c r="I8" s="39"/>
      <c r="K8" s="39"/>
    </row>
    <row r="9" spans="1:11">
      <c r="A9" s="33" t="s">
        <v>13793</v>
      </c>
      <c r="B9" s="35">
        <v>-15889.61</v>
      </c>
      <c r="C9" s="36" t="e">
        <f>HLOOKUP(A9,#REF!,51,0)</f>
        <v>#REF!</v>
      </c>
      <c r="D9" s="36" t="e">
        <f t="shared" si="0"/>
        <v>#REF!</v>
      </c>
      <c r="K9" s="39"/>
    </row>
    <row r="10" spans="1:11">
      <c r="A10" s="33" t="s">
        <v>13794</v>
      </c>
      <c r="B10" s="35">
        <v>-66276.66</v>
      </c>
      <c r="C10" s="36" t="e">
        <f>HLOOKUP(A10,#REF!,51,0)</f>
        <v>#REF!</v>
      </c>
      <c r="D10" s="36" t="e">
        <f t="shared" si="0"/>
        <v>#REF!</v>
      </c>
      <c r="K10" s="39"/>
    </row>
    <row r="11" spans="1:11">
      <c r="A11" s="33" t="s">
        <v>13795</v>
      </c>
      <c r="B11" s="37">
        <v>-151990.27</v>
      </c>
      <c r="C11" s="36" t="e">
        <f>HLOOKUP(A11,#REF!,51,0)</f>
        <v>#REF!</v>
      </c>
      <c r="D11" s="36" t="e">
        <f t="shared" si="0"/>
        <v>#REF!</v>
      </c>
      <c r="K11" s="39"/>
    </row>
    <row r="12" spans="1:13">
      <c r="A12" s="33" t="s">
        <v>13859</v>
      </c>
      <c r="B12" s="38" t="s">
        <v>14984</v>
      </c>
      <c r="C12" s="36" t="e">
        <f>HLOOKUP(A12,#REF!,51,0)</f>
        <v>#REF!</v>
      </c>
      <c r="D12" s="36" t="e">
        <f t="shared" si="0"/>
        <v>#VALUE!</v>
      </c>
      <c r="K12" s="39"/>
      <c r="M12" s="39"/>
    </row>
    <row r="13" spans="1:11">
      <c r="A13" s="33" t="s">
        <v>13860</v>
      </c>
      <c r="B13" s="35" t="s">
        <v>14984</v>
      </c>
      <c r="C13" s="36" t="e">
        <f>HLOOKUP(A13,#REF!,51,0)</f>
        <v>#REF!</v>
      </c>
      <c r="D13" s="36" t="e">
        <f t="shared" si="0"/>
        <v>#VALUE!</v>
      </c>
      <c r="I13" s="39"/>
      <c r="K13" s="39"/>
    </row>
    <row r="14" spans="1:14">
      <c r="A14" s="33" t="s">
        <v>13862</v>
      </c>
      <c r="B14" s="38" t="s">
        <v>14984</v>
      </c>
      <c r="C14" s="36" t="e">
        <f>HLOOKUP(A14,#REF!,51,0)</f>
        <v>#REF!</v>
      </c>
      <c r="D14" s="36" t="e">
        <f t="shared" si="0"/>
        <v>#VALUE!</v>
      </c>
      <c r="K14" s="39"/>
      <c r="M14" s="39"/>
      <c r="N14" s="39"/>
    </row>
    <row r="15" spans="1:11">
      <c r="A15" s="33" t="s">
        <v>13765</v>
      </c>
      <c r="B15" s="38" t="s">
        <v>14984</v>
      </c>
      <c r="C15" s="36" t="e">
        <f>HLOOKUP(A15,#REF!,51,0)</f>
        <v>#REF!</v>
      </c>
      <c r="D15" s="36" t="e">
        <f t="shared" si="0"/>
        <v>#VALUE!</v>
      </c>
      <c r="K15" s="39"/>
    </row>
    <row r="16" spans="2:13">
      <c r="B16" s="39"/>
      <c r="C16" s="36"/>
      <c r="D16" s="36"/>
      <c r="G16" s="39"/>
      <c r="K16" s="39"/>
      <c r="M16" s="39"/>
    </row>
    <row r="17" spans="2:11">
      <c r="B17" s="39"/>
      <c r="G17" s="39"/>
      <c r="H17" s="39"/>
      <c r="I17" s="39"/>
      <c r="K17" s="39"/>
    </row>
    <row r="18" spans="1:11">
      <c r="A18" s="34" t="s">
        <v>34219</v>
      </c>
      <c r="B18" s="34"/>
      <c r="C18" s="34"/>
      <c r="D18" s="34"/>
      <c r="G18" s="39"/>
      <c r="K18" s="39"/>
    </row>
    <row r="19" spans="1:13">
      <c r="A19" s="34"/>
      <c r="B19" s="34" t="s">
        <v>34216</v>
      </c>
      <c r="C19" s="34" t="s">
        <v>34217</v>
      </c>
      <c r="D19" s="34" t="s">
        <v>34218</v>
      </c>
      <c r="G19" s="39"/>
      <c r="I19" s="39"/>
      <c r="K19" s="39"/>
      <c r="M19" s="39"/>
    </row>
    <row r="20" spans="1:7">
      <c r="A20" s="33" t="s">
        <v>13776</v>
      </c>
      <c r="B20" s="35">
        <v>1020608</v>
      </c>
      <c r="C20" s="36" t="e">
        <f>HLOOKUP(A20,#REF!,66,0)</f>
        <v>#REF!</v>
      </c>
      <c r="D20" s="36" t="e">
        <f t="shared" ref="D20:D32" si="1">B20-C20</f>
        <v>#REF!</v>
      </c>
      <c r="G20" s="39"/>
    </row>
    <row r="21" spans="1:11">
      <c r="A21" s="33" t="s">
        <v>13779</v>
      </c>
      <c r="B21" s="37">
        <v>196089</v>
      </c>
      <c r="C21" s="36" t="e">
        <f>HLOOKUP(A21,#REF!,66,0)</f>
        <v>#REF!</v>
      </c>
      <c r="D21" s="36" t="e">
        <f t="shared" si="1"/>
        <v>#REF!</v>
      </c>
      <c r="G21" s="39"/>
      <c r="K21" s="39"/>
    </row>
    <row r="22" spans="1:7">
      <c r="A22" s="33" t="s">
        <v>13786</v>
      </c>
      <c r="B22" s="37">
        <v>120609.09</v>
      </c>
      <c r="C22" s="36" t="e">
        <f>HLOOKUP(A22,#REF!,66,0)</f>
        <v>#REF!</v>
      </c>
      <c r="D22" s="36" t="e">
        <f t="shared" si="1"/>
        <v>#REF!</v>
      </c>
      <c r="G22" s="39"/>
    </row>
    <row r="23" spans="1:11">
      <c r="A23" s="33" t="s">
        <v>13787</v>
      </c>
      <c r="B23" s="35">
        <v>21442.69</v>
      </c>
      <c r="C23" s="36" t="e">
        <f>HLOOKUP(A23,#REF!,66,0)</f>
        <v>#REF!</v>
      </c>
      <c r="D23" s="36" t="e">
        <f t="shared" si="1"/>
        <v>#REF!</v>
      </c>
      <c r="F23" s="33" t="s">
        <v>34220</v>
      </c>
      <c r="G23" s="39"/>
      <c r="K23" s="39"/>
    </row>
    <row r="24" spans="1:11">
      <c r="A24" s="33" t="s">
        <v>13788</v>
      </c>
      <c r="B24" s="35">
        <v>11002.42</v>
      </c>
      <c r="C24" s="36" t="e">
        <f>HLOOKUP(A24,#REF!,66,0)</f>
        <v>#REF!</v>
      </c>
      <c r="D24" s="36" t="e">
        <f t="shared" si="1"/>
        <v>#REF!</v>
      </c>
      <c r="G24" s="39"/>
      <c r="K24" s="39"/>
    </row>
    <row r="25" spans="1:11">
      <c r="A25" s="33" t="s">
        <v>13792</v>
      </c>
      <c r="B25" s="35" t="s">
        <v>14984</v>
      </c>
      <c r="C25" s="36" t="e">
        <f>HLOOKUP(A25,#REF!,66,0)</f>
        <v>#REF!</v>
      </c>
      <c r="D25" s="36" t="e">
        <f t="shared" si="1"/>
        <v>#VALUE!</v>
      </c>
      <c r="G25" s="39"/>
      <c r="H25" s="39"/>
      <c r="I25" s="39"/>
      <c r="K25" s="39"/>
    </row>
    <row r="26" spans="1:11">
      <c r="A26" s="33" t="s">
        <v>13793</v>
      </c>
      <c r="B26" s="35">
        <v>-15889.61</v>
      </c>
      <c r="C26" s="36" t="e">
        <f>HLOOKUP(A26,#REF!,66,0)</f>
        <v>#REF!</v>
      </c>
      <c r="D26" s="36" t="e">
        <f t="shared" si="1"/>
        <v>#REF!</v>
      </c>
      <c r="K26" s="39"/>
    </row>
    <row r="27" spans="1:11">
      <c r="A27" s="33" t="s">
        <v>13794</v>
      </c>
      <c r="B27" s="35">
        <v>-66276.66</v>
      </c>
      <c r="C27" s="36" t="e">
        <f>HLOOKUP(A27,#REF!,66,0)</f>
        <v>#REF!</v>
      </c>
      <c r="D27" s="36" t="e">
        <f t="shared" si="1"/>
        <v>#REF!</v>
      </c>
      <c r="K27" s="39"/>
    </row>
    <row r="28" spans="1:11">
      <c r="A28" s="33" t="s">
        <v>13795</v>
      </c>
      <c r="B28" s="37">
        <v>-150977.51</v>
      </c>
      <c r="C28" s="36" t="e">
        <f>HLOOKUP(A28,#REF!,66,0)</f>
        <v>#REF!</v>
      </c>
      <c r="D28" s="36" t="e">
        <f t="shared" si="1"/>
        <v>#REF!</v>
      </c>
      <c r="F28" s="33" t="s">
        <v>34221</v>
      </c>
      <c r="K28" s="39"/>
    </row>
    <row r="29" spans="1:11">
      <c r="A29" s="33" t="s">
        <v>13859</v>
      </c>
      <c r="B29" s="38" t="s">
        <v>14984</v>
      </c>
      <c r="C29" s="36" t="e">
        <f>HLOOKUP(A29,#REF!,66,0)</f>
        <v>#REF!</v>
      </c>
      <c r="D29" s="36" t="e">
        <f t="shared" si="1"/>
        <v>#VALUE!</v>
      </c>
      <c r="H29" s="39"/>
      <c r="I29" s="39"/>
      <c r="K29" s="39"/>
    </row>
    <row r="30" spans="1:4">
      <c r="A30" s="33" t="s">
        <v>13860</v>
      </c>
      <c r="B30" s="35" t="s">
        <v>14984</v>
      </c>
      <c r="C30" s="36" t="e">
        <f>HLOOKUP(A30,#REF!,66,0)</f>
        <v>#REF!</v>
      </c>
      <c r="D30" s="36" t="e">
        <f t="shared" si="1"/>
        <v>#VALUE!</v>
      </c>
    </row>
    <row r="31" spans="1:11">
      <c r="A31" s="33" t="s">
        <v>13862</v>
      </c>
      <c r="B31" s="38" t="s">
        <v>14984</v>
      </c>
      <c r="C31" s="36" t="e">
        <f>HLOOKUP(A31,#REF!,66,0)</f>
        <v>#REF!</v>
      </c>
      <c r="D31" s="36" t="e">
        <f t="shared" si="1"/>
        <v>#VALUE!</v>
      </c>
      <c r="H31" s="39"/>
      <c r="I31" s="39"/>
      <c r="K31" s="39"/>
    </row>
    <row r="32" spans="1:4">
      <c r="A32" s="33" t="s">
        <v>13765</v>
      </c>
      <c r="B32" s="38" t="s">
        <v>14984</v>
      </c>
      <c r="C32" s="36" t="e">
        <f>HLOOKUP(A32,#REF!,66,0)</f>
        <v>#REF!</v>
      </c>
      <c r="D32" s="36" t="e">
        <f t="shared" si="1"/>
        <v>#VALUE!</v>
      </c>
    </row>
    <row r="33" spans="11:15">
      <c r="K33" s="39"/>
      <c r="N33" s="39"/>
      <c r="O33" s="39"/>
    </row>
    <row r="34" spans="14:15">
      <c r="N34" s="39"/>
      <c r="O34" s="39"/>
    </row>
    <row r="35" spans="2:15">
      <c r="B35" s="40" t="e">
        <f>#REF!</f>
        <v>#REF!</v>
      </c>
      <c r="K35" s="39"/>
      <c r="N35" s="39"/>
      <c r="O35" s="39"/>
    </row>
    <row r="36" spans="9:15">
      <c r="I36" s="39"/>
      <c r="K36" s="39"/>
      <c r="N36" s="39"/>
      <c r="O36" s="39"/>
    </row>
    <row r="37" spans="8:15">
      <c r="H37" s="39"/>
      <c r="I37" s="39"/>
      <c r="K37" s="39"/>
      <c r="N37" s="39"/>
      <c r="O37" s="39"/>
    </row>
    <row r="38" spans="9:15">
      <c r="I38" s="39"/>
      <c r="N38" s="39"/>
      <c r="O38" s="39"/>
    </row>
    <row r="39" spans="11:15">
      <c r="K39" s="39"/>
      <c r="N39" s="39"/>
      <c r="O39" s="39"/>
    </row>
    <row r="40" spans="8:15">
      <c r="H40" s="39"/>
      <c r="I40" s="39"/>
      <c r="K40" s="39"/>
      <c r="M40" s="39"/>
      <c r="N40" s="39"/>
      <c r="O40" s="39"/>
    </row>
    <row r="41" spans="11:15">
      <c r="K41" s="39"/>
      <c r="N41" s="39"/>
      <c r="O41" s="39"/>
    </row>
    <row r="42" spans="11:15">
      <c r="K42" s="39"/>
      <c r="N42" s="39"/>
      <c r="O42" s="39"/>
    </row>
    <row r="43" spans="8:15">
      <c r="H43" s="39"/>
      <c r="I43" s="39"/>
      <c r="K43" s="39"/>
      <c r="N43" s="39"/>
      <c r="O43" s="39"/>
    </row>
    <row r="44" spans="11:15">
      <c r="K44" s="39"/>
      <c r="N44" s="39"/>
      <c r="O44" s="39"/>
    </row>
    <row r="45" spans="11:15">
      <c r="K45" s="39"/>
      <c r="N45" s="39"/>
      <c r="O45" s="39"/>
    </row>
    <row r="46" spans="11:15">
      <c r="K46" s="39"/>
      <c r="N46" s="39"/>
      <c r="O46" s="39"/>
    </row>
    <row r="47" spans="14:15">
      <c r="N47" s="39"/>
      <c r="O47" s="39"/>
    </row>
    <row r="48" spans="9:15">
      <c r="I48" s="39"/>
      <c r="K48" s="39"/>
      <c r="N48" s="39"/>
      <c r="O48" s="39"/>
    </row>
    <row r="49" spans="11:15">
      <c r="K49" s="39"/>
      <c r="L49" s="39"/>
      <c r="N49" s="39"/>
      <c r="O49" s="39"/>
    </row>
    <row r="50" spans="11:15">
      <c r="K50" s="39"/>
      <c r="N50" s="39"/>
      <c r="O50" s="39"/>
    </row>
    <row r="51" spans="14:15">
      <c r="N51" s="39"/>
      <c r="O51" s="39"/>
    </row>
    <row r="52" spans="8:15">
      <c r="H52" s="39"/>
      <c r="I52" s="39"/>
      <c r="K52" s="39"/>
      <c r="M52" s="39"/>
      <c r="N52" s="39"/>
      <c r="O52" s="39"/>
    </row>
    <row r="53" spans="9:15">
      <c r="I53" s="39"/>
      <c r="K53" s="39"/>
      <c r="N53" s="39"/>
      <c r="O53" s="39"/>
    </row>
    <row r="54" spans="14:15">
      <c r="N54" s="39"/>
      <c r="O54" s="39"/>
    </row>
    <row r="55" spans="8:15">
      <c r="H55" s="39"/>
      <c r="I55" s="39"/>
      <c r="K55" s="39"/>
      <c r="N55" s="39"/>
      <c r="O55" s="39"/>
    </row>
    <row r="56" spans="9:15">
      <c r="I56" s="39"/>
      <c r="K56" s="39"/>
      <c r="N56" s="39"/>
      <c r="O56" s="39"/>
    </row>
    <row r="57" spans="14:15">
      <c r="N57" s="39"/>
      <c r="O57" s="39"/>
    </row>
    <row r="58" spans="11:15">
      <c r="K58" s="39"/>
      <c r="N58" s="39"/>
      <c r="O58" s="39"/>
    </row>
    <row r="59" spans="11:15">
      <c r="K59" s="39"/>
      <c r="N59" s="39"/>
      <c r="O59" s="39"/>
    </row>
    <row r="60" spans="8:15">
      <c r="H60" s="39"/>
      <c r="I60" s="39"/>
      <c r="K60" s="39"/>
      <c r="M60" s="39"/>
      <c r="N60" s="39"/>
      <c r="O60" s="39"/>
    </row>
    <row r="61" spans="11:15">
      <c r="K61" s="39"/>
      <c r="N61" s="39"/>
      <c r="O61" s="39"/>
    </row>
  </sheetData>
  <mergeCells count="2">
    <mergeCell ref="A1:D1"/>
    <mergeCell ref="A18:D18"/>
  </mergeCells>
  <conditionalFormatting sqref="B20">
    <cfRule type="cellIs" dxfId="5" priority="2" operator="lessThan">
      <formula>0</formula>
    </cfRule>
  </conditionalFormatting>
  <pageMargins left="0.7" right="0.7" top="0.75" bottom="0.75" header="0.511811023622047" footer="0.511811023622047"/>
  <pageSetup horizontalDpi="300" orientation="portrait" paperSize="1" useFirstPageNumber="true"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2"/>
  <sheetViews>
    <sheetView workbookViewId="0">
      <selection activeCell="A3" sqref="A3"/>
    </sheetView>
  </sheetViews>
  <sheetFormatPr defaultColWidth="9.12" defaultRowHeight="15" outlineLevelCol="3"/>
  <cols>
    <col customWidth="true" max="1" min="1" style="33" width="12.8933333333333"/>
    <col customWidth="true" max="2" min="2" style="33" width="17.5466666666667"/>
    <col customWidth="true" max="3" min="3" style="33" width="14.8933333333333"/>
    <col customWidth="true" max="4" min="4" style="33" width="23.5466666666667"/>
    <col customWidth="true" max="5" min="5" style="33" width="9.44"/>
    <col customWidth="true" max="1024" min="6" style="33" width="9.10666666666667"/>
  </cols>
  <sheetData>
    <row r="1" ht="14.25" customHeight="true"/>
    <row r="2" spans="1:4" ht="14.25" customHeight="true">
      <c r="A2" s="33" t="s">
        <v>31479</v>
      </c>
      <c r="B2" s="33">
        <v>13122.53</v>
      </c>
      <c r="C2" s="33">
        <v>13122.53</v>
      </c>
      <c r="D2" s="33" t="s">
        <v>34222</v>
      </c>
    </row>
    <row r="3" spans="1:4" ht="14.25" customHeight="true">
      <c r="A3" s="33" t="s">
        <v>31483</v>
      </c>
      <c r="B3" s="33">
        <v>23614.1</v>
      </c>
      <c r="C3" s="33">
        <v>21413.74</v>
      </c>
      <c r="D3" s="33" t="s">
        <v>34222</v>
      </c>
    </row>
    <row r="4" ht="14.25" customHeight="true"/>
    <row r="5" ht="14.25" customHeight="true"/>
    <row r="6" ht="14.25" customHeight="true"/>
    <row r="7" ht="14.25" customHeight="true"/>
    <row r="8" ht="14.25" customHeight="true"/>
    <row r="9" ht="14.25" customHeight="true"/>
    <row r="10" ht="14.25" customHeight="true"/>
    <row r="11" ht="14.25" customHeight="true"/>
    <row r="12" ht="14.25" customHeight="true"/>
    <row r="13" ht="14.25" customHeight="true"/>
    <row r="14" ht="14.25" customHeight="true"/>
    <row r="15" ht="14.25" customHeight="true"/>
    <row r="16" ht="14.25" customHeight="true"/>
    <row r="17" ht="14.25" customHeight="true"/>
    <row r="18" ht="14.25" customHeight="true"/>
    <row r="19" ht="14.25" customHeight="true"/>
    <row r="20" ht="14.25" customHeight="true"/>
    <row r="21" ht="14.25" customHeight="true"/>
    <row r="22" ht="14.25" customHeight="true"/>
  </sheetData>
  <pageMargins left="0.7" right="0.7" top="0.75" bottom="0.75" header="0.511811023622047" footer="0.511811023622047"/>
  <pageSetup horizontalDpi="300" orientation="portrait" paperSize="9" useFirstPageNumber="true"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
  <sheetViews>
    <sheetView workbookViewId="0">
      <selection activeCell="J8" sqref="J8"/>
    </sheetView>
  </sheetViews>
  <sheetFormatPr defaultColWidth="9.16666666666667" defaultRowHeight="15"/>
  <cols>
    <col customWidth="true" max="1" min="1" width="18.8533333333333"/>
    <col customWidth="true" max="2" min="2" width="13.34"/>
    <col customWidth="true" max="3" min="3" width="11.46"/>
    <col customWidth="true" max="4" min="4" width="15.2133333333333"/>
    <col customWidth="true" max="6" min="6" width="15.3533333333333"/>
    <col customWidth="true" max="7" min="7" width="17.4533333333333"/>
    <col customWidth="true" max="8" min="8" width="11.8266666666667"/>
    <col customWidth="true" max="10" min="10" width="30.2266666666667"/>
  </cols>
  <sheetData>
    <row r="1" spans="1:5" ht="18" customHeight="true">
      <c r="A1" s="29" t="s">
        <v>34223</v>
      </c>
      <c r="B1" s="29"/>
      <c r="C1" s="29"/>
      <c r="D1" s="29"/>
      <c r="E1" s="29"/>
    </row>
    <row r="2" spans="5:9">
      <c r="E2" s="32" t="s">
        <v>34224</v>
      </c>
      <c r="F2" s="32"/>
      <c r="G2" s="32"/>
      <c r="H2" s="32"/>
      <c r="I2" s="32"/>
    </row>
    <row r="3" spans="1:10" s="28" customFormat="true">
      <c r="A3" s="28" t="s">
        <v>34225</v>
      </c>
      <c r="B3" s="30" t="s">
        <v>34226</v>
      </c>
      <c r="C3" s="28" t="s">
        <v>34227</v>
      </c>
      <c r="D3" s="28" t="s">
        <v>34228</v>
      </c>
      <c r="E3" s="28" t="s">
        <v>31248</v>
      </c>
      <c r="F3" s="28" t="s">
        <v>31250</v>
      </c>
      <c r="G3" s="28" t="s">
        <v>34229</v>
      </c>
      <c r="H3" s="28" t="s">
        <v>13768</v>
      </c>
      <c r="I3" s="28" t="s">
        <v>14660</v>
      </c>
      <c r="J3" s="28" t="s">
        <v>34230</v>
      </c>
    </row>
    <row r="4" spans="1:10">
      <c r="A4" t="s">
        <v>31370</v>
      </c>
      <c r="B4" t="s">
        <v>31370</v>
      </c>
      <c r="C4" s="31" t="s">
        <v>34231</v>
      </c>
      <c r="D4">
        <v>6</v>
      </c>
      <c r="E4">
        <v>7</v>
      </c>
      <c r="F4">
        <v>6</v>
      </c>
      <c r="G4">
        <v>5</v>
      </c>
      <c r="H4">
        <v>4</v>
      </c>
      <c r="I4">
        <v>11</v>
      </c>
      <c r="J4" t="s">
        <v>34232</v>
      </c>
    </row>
    <row r="5" spans="1:10">
      <c r="A5" s="31" t="s">
        <v>31404</v>
      </c>
      <c r="B5" t="s">
        <v>31404</v>
      </c>
      <c r="C5" t="s">
        <v>34231</v>
      </c>
      <c r="D5">
        <v>6</v>
      </c>
      <c r="E5">
        <v>7</v>
      </c>
      <c r="F5">
        <v>6</v>
      </c>
      <c r="G5">
        <v>5</v>
      </c>
      <c r="H5">
        <v>4</v>
      </c>
      <c r="I5">
        <v>10</v>
      </c>
      <c r="J5" s="31" t="s">
        <v>34232</v>
      </c>
    </row>
    <row r="6" spans="1:10">
      <c r="A6" t="s">
        <v>31257</v>
      </c>
      <c r="B6" t="s">
        <v>31257</v>
      </c>
      <c r="C6" t="s">
        <v>34233</v>
      </c>
      <c r="D6">
        <v>1</v>
      </c>
      <c r="E6">
        <v>5</v>
      </c>
      <c r="F6">
        <v>4</v>
      </c>
      <c r="G6">
        <v>2</v>
      </c>
      <c r="H6">
        <v>12</v>
      </c>
      <c r="I6">
        <v>6</v>
      </c>
      <c r="J6" t="s">
        <v>34234</v>
      </c>
    </row>
    <row r="7" spans="1:10">
      <c r="A7" t="s">
        <v>31277</v>
      </c>
      <c r="B7" t="s">
        <v>31277</v>
      </c>
      <c r="C7" t="s">
        <v>34233</v>
      </c>
      <c r="D7">
        <v>1</v>
      </c>
      <c r="E7">
        <v>1</v>
      </c>
      <c r="F7">
        <v>5</v>
      </c>
      <c r="G7">
        <v>6</v>
      </c>
      <c r="H7">
        <v>7</v>
      </c>
      <c r="I7">
        <v>11</v>
      </c>
      <c r="J7" s="31" t="s">
        <v>34235</v>
      </c>
    </row>
    <row r="8" spans="1:9">
      <c r="A8" t="s">
        <v>34236</v>
      </c>
      <c r="B8" s="31" t="s">
        <v>31321</v>
      </c>
      <c r="C8" t="s">
        <v>34233</v>
      </c>
      <c r="D8">
        <v>1</v>
      </c>
      <c r="E8">
        <v>6</v>
      </c>
      <c r="F8">
        <v>2</v>
      </c>
      <c r="G8">
        <v>3</v>
      </c>
      <c r="H8">
        <v>5</v>
      </c>
      <c r="I8">
        <v>7</v>
      </c>
    </row>
    <row r="9" spans="1:9">
      <c r="A9" t="s">
        <v>31345</v>
      </c>
      <c r="B9" t="s">
        <v>31345</v>
      </c>
      <c r="C9" t="s">
        <v>34233</v>
      </c>
      <c r="D9">
        <v>1</v>
      </c>
      <c r="E9">
        <v>1</v>
      </c>
      <c r="F9">
        <v>8</v>
      </c>
      <c r="G9">
        <v>6</v>
      </c>
      <c r="H9">
        <v>4</v>
      </c>
      <c r="I9">
        <v>23</v>
      </c>
    </row>
  </sheetData>
  <mergeCells count="2">
    <mergeCell ref="A1:E1"/>
    <mergeCell ref="E2:I2"/>
  </mergeCells>
  <pageMargins left="0.7875" right="0.7875" top="1.05277777777778" bottom="1.05277777777778" header="0.7875" footer="0.7875"/>
  <pageSetup horizontalDpi="300" orientation="portrait" paperSize="9" useFirstPageNumber="true" verticalDpi="300"/>
  <headerFooter>
    <oddHeader>&amp;C&amp;"Times New Roman,Regular"&amp;12&amp;Kffffff&amp;A</oddHeader>
    <oddFooter>&amp;C&amp;"Times New Roman,Regular"&amp;12&amp;KffffffPage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R28"/>
  <sheetViews>
    <sheetView workbookViewId="0">
      <pane activePane="topRight" state="frozen" topLeftCell="D1" xSplit="3"/>
      <selection/>
      <selection activeCell="A1" pane="topRight" sqref="A1"/>
    </sheetView>
  </sheetViews>
  <sheetFormatPr defaultColWidth="9" defaultRowHeight="15"/>
  <cols>
    <col customWidth="true" max="1" min="1" width="33.8866666666667"/>
    <col customWidth="true" max="2" min="2" width="25.6733333333333"/>
    <col customWidth="true" max="12" min="4" width="17"/>
    <col customWidth="true" max="15" min="13" width="19.3266666666667"/>
    <col customWidth="true" max="23" min="16" width="17"/>
    <col customWidth="true" max="26" min="24" width="17.1066666666667"/>
    <col customWidth="true" max="31" min="27" width="17"/>
    <col customWidth="true" max="32" min="32" width="19.8866666666667"/>
    <col customWidth="true" max="53" min="33" width="17"/>
    <col customWidth="true" max="54" min="54" width="17.1066666666667"/>
    <col customWidth="true" max="56" min="55" width="17"/>
    <col customWidth="true" max="57" min="57" width="17.1066666666667"/>
    <col customWidth="true" max="58" min="58" width="17"/>
    <col customWidth="true" max="59" min="59" width="18.1133333333333"/>
    <col customWidth="true" max="62" min="60" width="17"/>
    <col customWidth="true" max="63" min="63" width="20.1133333333333"/>
    <col customWidth="true" max="64" min="64" width="17"/>
    <col customWidth="true" max="65" min="65" width="17.5533333333333"/>
    <col customWidth="true" max="67" min="66" width="17"/>
    <col customWidth="true" max="68" min="68" width="17.1066666666667"/>
    <col customWidth="true" max="69" min="69" width="17"/>
    <col customWidth="true" max="70" min="70" width="20.1133333333333"/>
    <col customWidth="true" max="71" min="71" width="17"/>
    <col customWidth="true" max="72" min="72" width="20.1133333333333"/>
    <col customWidth="true" max="74" min="73" width="17"/>
    <col customWidth="true" max="75" min="75" width="20.1133333333333"/>
    <col customWidth="true" max="77" min="76" width="17"/>
    <col customWidth="true" max="78" min="78" width="20.1133333333333"/>
    <col customWidth="true" max="80" min="79" width="17"/>
    <col customWidth="true" max="81" min="81" width="20.1133333333333"/>
    <col customWidth="true" max="82" min="82" width="17"/>
    <col customWidth="true" max="83" min="83" width="20.1133333333333"/>
    <col customWidth="true" max="87" min="84" width="17"/>
    <col customWidth="true" max="88" min="88" width="20.1133333333333"/>
    <col customWidth="true" max="89" min="89" width="17"/>
    <col customWidth="true" max="90" min="90" width="17.1066666666667"/>
    <col customWidth="true" max="92" min="91" width="17"/>
    <col customWidth="true" max="93" min="93" width="17.1066666666667"/>
    <col customWidth="true" max="94" min="94" width="17"/>
    <col customWidth="true" max="95" min="95" width="17.1066666666667"/>
    <col customWidth="true" max="96" min="96" width="17"/>
    <col customWidth="true" max="97" min="97" width="17.1066666666667"/>
    <col customWidth="true" max="99" min="98" width="17"/>
    <col customWidth="true" max="100" min="100" width="20.1133333333333"/>
    <col customWidth="true" max="101" min="101" width="17"/>
    <col customWidth="true" max="102" min="102" width="20.1133333333333"/>
    <col customWidth="true" max="103" min="103" width="17"/>
    <col customWidth="true" max="104" min="104" width="20.1133333333333"/>
    <col customWidth="true" max="106" min="105" width="17"/>
    <col customWidth="true" max="107" min="107" width="20.1133333333333"/>
    <col customWidth="true" max="108" min="108" width="17"/>
    <col customWidth="true" max="109" min="109" width="17.1066666666667"/>
    <col customWidth="true" max="110" min="110" width="17"/>
    <col customWidth="true" max="111" min="111" width="17.1066666666667"/>
    <col customWidth="true" max="112" min="112" width="17"/>
    <col customWidth="true" max="113" min="113" width="17.1066666666667"/>
    <col customWidth="true" max="115" min="114" width="17"/>
    <col customWidth="true" max="116" min="116" width="17.1066666666667"/>
    <col customWidth="true" max="117" min="117" width="17"/>
    <col customWidth="true" max="118" min="118" width="17.1066666666667"/>
    <col customWidth="true" max="119" min="119" width="17"/>
    <col customWidth="true" max="120" min="120" width="18.3266666666667"/>
    <col customWidth="true" max="124" min="121" width="17"/>
    <col customWidth="true" max="125" min="125" width="17.1066666666667"/>
    <col customWidth="true" max="133" min="126" width="17"/>
    <col customWidth="true" max="134" min="134" width="17.1066666666667"/>
    <col customWidth="true" max="172" min="135" width="17"/>
    <col customWidth="true" max="173" min="173" width="16"/>
    <col customWidth="true" max="174" min="174" width="17"/>
  </cols>
  <sheetData>
    <row r="1" spans="1:171">
      <c r="A1" s="1" t="s">
        <v>34237</v>
      </c>
      <c r="I1" s="8" t="s">
        <v>34238</v>
      </c>
      <c r="M1" s="8" t="s">
        <v>34239</v>
      </c>
      <c r="N1" s="8" t="s">
        <v>34239</v>
      </c>
      <c r="S1" s="8" t="s">
        <v>34238</v>
      </c>
      <c r="T1" s="8" t="s">
        <v>34238</v>
      </c>
      <c r="AF1" s="8" t="s">
        <v>34238</v>
      </c>
      <c r="AG1" s="8" t="s">
        <v>34238</v>
      </c>
      <c r="AH1" s="8" t="s">
        <v>34238</v>
      </c>
      <c r="AI1" s="8" t="s">
        <v>34238</v>
      </c>
      <c r="AJ1" s="8" t="s">
        <v>34238</v>
      </c>
      <c r="BC1" s="8" t="s">
        <v>34238</v>
      </c>
      <c r="BF1" s="8" t="s">
        <v>34238</v>
      </c>
      <c r="BI1" s="8" t="s">
        <v>34238</v>
      </c>
      <c r="BU1" s="8" t="s">
        <v>34238</v>
      </c>
      <c r="BX1" s="8" t="s">
        <v>34238</v>
      </c>
      <c r="CB1" s="8" t="s">
        <v>34238</v>
      </c>
      <c r="CF1" s="8" t="s">
        <v>34238</v>
      </c>
      <c r="CG1" s="8" t="s">
        <v>34238</v>
      </c>
      <c r="CH1" s="8" t="s">
        <v>34238</v>
      </c>
      <c r="CM1" s="8" t="s">
        <v>34238</v>
      </c>
      <c r="CT1" s="8" t="s">
        <v>34238</v>
      </c>
      <c r="DJ1" s="8" t="s">
        <v>34238</v>
      </c>
      <c r="DO1" s="8" t="s">
        <v>34238</v>
      </c>
      <c r="DS1" s="8" t="s">
        <v>34238</v>
      </c>
      <c r="DW1" s="8" t="s">
        <v>34238</v>
      </c>
      <c r="DX1" s="8" t="s">
        <v>34238</v>
      </c>
      <c r="DZ1" s="8" t="s">
        <v>34238</v>
      </c>
      <c r="EJ1" s="8" t="s">
        <v>34238</v>
      </c>
      <c r="EL1" s="8" t="s">
        <v>34238</v>
      </c>
      <c r="EX1" s="8" t="s">
        <v>34238</v>
      </c>
      <c r="EY1" s="8" t="s">
        <v>34238</v>
      </c>
      <c r="EZ1" s="8" t="s">
        <v>34238</v>
      </c>
      <c r="FC1" s="8" t="s">
        <v>34238</v>
      </c>
      <c r="FD1" s="8" t="s">
        <v>34238</v>
      </c>
      <c r="FJ1" s="8" t="s">
        <v>34238</v>
      </c>
      <c r="FL1" s="8" t="s">
        <v>34238</v>
      </c>
      <c r="FM1" s="8" t="s">
        <v>34238</v>
      </c>
      <c r="FO1" s="8" t="s">
        <v>34238</v>
      </c>
    </row>
    <row r="2" spans="12:159">
      <c r="L2" s="8" t="s">
        <v>34240</v>
      </c>
      <c r="AT2" s="21" t="s">
        <v>34240</v>
      </c>
      <c r="AU2" s="21" t="s">
        <v>34240</v>
      </c>
      <c r="AV2" s="21" t="s">
        <v>34240</v>
      </c>
      <c r="AW2" s="21" t="s">
        <v>34240</v>
      </c>
      <c r="AZ2" s="8" t="s">
        <v>34241</v>
      </c>
      <c r="BA2" s="8" t="s">
        <v>34241</v>
      </c>
      <c r="BB2" s="8" t="s">
        <v>34241</v>
      </c>
      <c r="BC2" s="8" t="s">
        <v>34240</v>
      </c>
      <c r="BD2" s="8" t="s">
        <v>34241</v>
      </c>
      <c r="BE2" s="8" t="s">
        <v>34241</v>
      </c>
      <c r="BF2" s="8" t="s">
        <v>34241</v>
      </c>
      <c r="BG2" s="8" t="s">
        <v>34241</v>
      </c>
      <c r="BH2" s="8" t="s">
        <v>34241</v>
      </c>
      <c r="BJ2" s="8" t="s">
        <v>34241</v>
      </c>
      <c r="BK2" s="8" t="s">
        <v>34241</v>
      </c>
      <c r="BL2" s="8" t="s">
        <v>34241</v>
      </c>
      <c r="BM2" s="8" t="s">
        <v>34241</v>
      </c>
      <c r="BO2" s="8" t="s">
        <v>34241</v>
      </c>
      <c r="BP2" s="8" t="s">
        <v>34241</v>
      </c>
      <c r="BQ2" s="8" t="s">
        <v>34241</v>
      </c>
      <c r="BR2" s="8" t="s">
        <v>34241</v>
      </c>
      <c r="BS2" s="8" t="s">
        <v>34241</v>
      </c>
      <c r="BT2" s="8" t="s">
        <v>34241</v>
      </c>
      <c r="BV2" s="8" t="s">
        <v>34241</v>
      </c>
      <c r="BW2" s="8" t="s">
        <v>34241</v>
      </c>
      <c r="BY2" s="8" t="s">
        <v>34241</v>
      </c>
      <c r="BZ2" s="8" t="s">
        <v>34241</v>
      </c>
      <c r="CA2" s="8" t="s">
        <v>34241</v>
      </c>
      <c r="CB2" s="8" t="s">
        <v>34241</v>
      </c>
      <c r="CC2" s="8" t="s">
        <v>34241</v>
      </c>
      <c r="CD2" s="8" t="s">
        <v>34241</v>
      </c>
      <c r="CE2" s="8" t="s">
        <v>34241</v>
      </c>
      <c r="CI2" s="8" t="s">
        <v>34241</v>
      </c>
      <c r="CJ2" s="8" t="s">
        <v>34241</v>
      </c>
      <c r="CK2" s="8" t="s">
        <v>34241</v>
      </c>
      <c r="CL2" s="8" t="s">
        <v>34241</v>
      </c>
      <c r="CN2" s="8" t="s">
        <v>34241</v>
      </c>
      <c r="CO2" s="8" t="s">
        <v>34241</v>
      </c>
      <c r="CP2" s="8" t="s">
        <v>34241</v>
      </c>
      <c r="CQ2" s="8" t="s">
        <v>34241</v>
      </c>
      <c r="CR2" s="8" t="s">
        <v>34241</v>
      </c>
      <c r="CS2" s="8" t="s">
        <v>34241</v>
      </c>
      <c r="CU2" s="8" t="s">
        <v>34241</v>
      </c>
      <c r="CV2" s="8" t="s">
        <v>34241</v>
      </c>
      <c r="CW2" s="8" t="s">
        <v>34241</v>
      </c>
      <c r="CX2" s="8" t="s">
        <v>34241</v>
      </c>
      <c r="CY2" s="8" t="s">
        <v>34241</v>
      </c>
      <c r="CZ2" s="8" t="s">
        <v>34241</v>
      </c>
      <c r="DA2" s="8" t="s">
        <v>34240</v>
      </c>
      <c r="DB2" s="8" t="s">
        <v>34241</v>
      </c>
      <c r="DC2" s="8" t="s">
        <v>34241</v>
      </c>
      <c r="DD2" s="8" t="s">
        <v>34241</v>
      </c>
      <c r="DE2" s="8" t="s">
        <v>34241</v>
      </c>
      <c r="DF2" s="8" t="s">
        <v>34241</v>
      </c>
      <c r="DG2" s="8" t="s">
        <v>34241</v>
      </c>
      <c r="DH2" s="8" t="s">
        <v>34241</v>
      </c>
      <c r="DI2" s="8" t="s">
        <v>34241</v>
      </c>
      <c r="DK2" s="8" t="s">
        <v>34241</v>
      </c>
      <c r="DL2" s="8" t="s">
        <v>34241</v>
      </c>
      <c r="DM2" s="8" t="s">
        <v>34241</v>
      </c>
      <c r="DN2" s="8" t="s">
        <v>34241</v>
      </c>
      <c r="DP2" s="8" t="s">
        <v>34241</v>
      </c>
      <c r="DQ2" s="8" t="s">
        <v>34241</v>
      </c>
      <c r="DR2" s="8" t="s">
        <v>34241</v>
      </c>
      <c r="DT2" s="8" t="s">
        <v>34241</v>
      </c>
      <c r="DU2" s="8" t="s">
        <v>34241</v>
      </c>
      <c r="DV2" s="8" t="s">
        <v>34241</v>
      </c>
      <c r="DW2" s="8" t="s">
        <v>34241</v>
      </c>
      <c r="DX2" s="8" t="s">
        <v>34241</v>
      </c>
      <c r="DY2" s="8" t="s">
        <v>34241</v>
      </c>
      <c r="EA2" s="8" t="s">
        <v>34241</v>
      </c>
      <c r="EB2" s="8" t="s">
        <v>34241</v>
      </c>
      <c r="EC2" s="8" t="s">
        <v>34241</v>
      </c>
      <c r="ED2" s="8" t="s">
        <v>34241</v>
      </c>
      <c r="EE2" s="8" t="s">
        <v>34241</v>
      </c>
      <c r="EF2" s="8" t="s">
        <v>34241</v>
      </c>
      <c r="EG2" s="8" t="s">
        <v>34241</v>
      </c>
      <c r="EH2" s="8" t="s">
        <v>34241</v>
      </c>
      <c r="EM2" s="8" t="s">
        <v>34241</v>
      </c>
      <c r="EN2" s="8" t="s">
        <v>34241</v>
      </c>
      <c r="EO2" s="8" t="s">
        <v>34241</v>
      </c>
      <c r="EP2" s="8" t="s">
        <v>34241</v>
      </c>
      <c r="EQ2" s="8" t="s">
        <v>34241</v>
      </c>
      <c r="ER2" s="8" t="s">
        <v>34241</v>
      </c>
      <c r="ES2" s="8" t="s">
        <v>34241</v>
      </c>
      <c r="ET2" s="8" t="s">
        <v>34241</v>
      </c>
      <c r="EU2" s="8" t="s">
        <v>34241</v>
      </c>
      <c r="EV2" s="8" t="s">
        <v>34241</v>
      </c>
      <c r="FA2" s="8" t="s">
        <v>34241</v>
      </c>
      <c r="FB2" s="8" t="s">
        <v>34240</v>
      </c>
      <c r="FC2" s="8" t="s">
        <v>34240</v>
      </c>
    </row>
    <row r="3" spans="22:171">
      <c r="V3" s="8" t="s">
        <v>34242</v>
      </c>
      <c r="Y3" s="8" t="s">
        <v>34242</v>
      </c>
      <c r="AN3" s="8">
        <v>0</v>
      </c>
      <c r="AQ3" s="8" t="s">
        <v>34242</v>
      </c>
      <c r="AR3" s="8" t="s">
        <v>34242</v>
      </c>
      <c r="DY3" s="8" t="s">
        <v>34243</v>
      </c>
      <c r="FE3" s="8" t="s">
        <v>34242</v>
      </c>
      <c r="FN3" s="8" t="s">
        <v>34242</v>
      </c>
      <c r="FO3" s="8" t="s">
        <v>34242</v>
      </c>
    </row>
    <row r="4" spans="2:171">
      <c r="B4" s="2" t="s">
        <v>34099</v>
      </c>
      <c r="D4" s="3" t="s">
        <v>13772</v>
      </c>
      <c r="E4" s="3" t="s">
        <v>13772</v>
      </c>
      <c r="F4" s="3" t="s">
        <v>13772</v>
      </c>
      <c r="G4" s="3" t="s">
        <v>13774</v>
      </c>
      <c r="H4" s="3" t="s">
        <v>13774</v>
      </c>
      <c r="I4" s="3" t="s">
        <v>13774</v>
      </c>
      <c r="J4" s="3" t="s">
        <v>13771</v>
      </c>
      <c r="K4" s="3" t="s">
        <v>13771</v>
      </c>
      <c r="L4" s="3" t="s">
        <v>13771</v>
      </c>
      <c r="M4" s="3" t="s">
        <v>13771</v>
      </c>
      <c r="N4" s="3" t="s">
        <v>13771</v>
      </c>
      <c r="O4" s="3" t="s">
        <v>13771</v>
      </c>
      <c r="P4" s="3" t="s">
        <v>13773</v>
      </c>
      <c r="Q4" s="3" t="s">
        <v>13773</v>
      </c>
      <c r="R4" s="3" t="s">
        <v>13773</v>
      </c>
      <c r="S4" s="3" t="s">
        <v>13773</v>
      </c>
      <c r="T4" s="3" t="s">
        <v>13775</v>
      </c>
      <c r="U4" s="3" t="s">
        <v>13775</v>
      </c>
      <c r="V4" s="3" t="s">
        <v>13775</v>
      </c>
      <c r="W4" s="3" t="s">
        <v>13775</v>
      </c>
      <c r="X4" s="3" t="s">
        <v>13775</v>
      </c>
      <c r="Y4" s="3" t="s">
        <v>13775</v>
      </c>
      <c r="Z4" s="3" t="s">
        <v>13775</v>
      </c>
      <c r="AA4" s="3" t="s">
        <v>13777</v>
      </c>
      <c r="AB4" s="3" t="s">
        <v>13777</v>
      </c>
      <c r="AC4" s="3" t="s">
        <v>13777</v>
      </c>
      <c r="AD4" s="3" t="s">
        <v>13778</v>
      </c>
      <c r="AE4" s="3" t="s">
        <v>13778</v>
      </c>
      <c r="AF4" s="3" t="s">
        <v>13778</v>
      </c>
      <c r="AG4" s="3" t="s">
        <v>31453</v>
      </c>
      <c r="AH4" s="3" t="s">
        <v>31453</v>
      </c>
      <c r="AI4" s="3" t="s">
        <v>31454</v>
      </c>
      <c r="AJ4" s="3" t="s">
        <v>31454</v>
      </c>
      <c r="AK4" s="3" t="s">
        <v>13788</v>
      </c>
      <c r="AL4" s="3" t="s">
        <v>13788</v>
      </c>
      <c r="AM4" s="3" t="s">
        <v>13788</v>
      </c>
      <c r="AN4" s="3" t="s">
        <v>13795</v>
      </c>
      <c r="AO4" s="3" t="s">
        <v>13793</v>
      </c>
      <c r="AP4" s="3" t="s">
        <v>13794</v>
      </c>
      <c r="AQ4" s="20" t="s">
        <v>13790</v>
      </c>
      <c r="AR4" s="3" t="s">
        <v>13791</v>
      </c>
      <c r="AS4" s="3" t="s">
        <v>13784</v>
      </c>
      <c r="AT4" s="3" t="s">
        <v>13780</v>
      </c>
      <c r="AU4" s="3" t="s">
        <v>13781</v>
      </c>
      <c r="AV4" s="3" t="s">
        <v>13782</v>
      </c>
      <c r="AW4" s="3" t="s">
        <v>13783</v>
      </c>
      <c r="AX4" s="3" t="s">
        <v>13785</v>
      </c>
      <c r="AY4" s="3" t="s">
        <v>13787</v>
      </c>
      <c r="AZ4" s="3" t="s">
        <v>13801</v>
      </c>
      <c r="BA4" s="3" t="s">
        <v>13810</v>
      </c>
      <c r="BB4" s="3" t="s">
        <v>13810</v>
      </c>
      <c r="BC4" s="3" t="s">
        <v>13802</v>
      </c>
      <c r="BD4" s="3" t="s">
        <v>13803</v>
      </c>
      <c r="BE4" s="3" t="s">
        <v>13803</v>
      </c>
      <c r="BF4" s="3" t="s">
        <v>13803</v>
      </c>
      <c r="BG4" s="3" t="s">
        <v>13804</v>
      </c>
      <c r="BH4" s="3" t="s">
        <v>13804</v>
      </c>
      <c r="BI4" s="3" t="s">
        <v>13805</v>
      </c>
      <c r="BJ4" s="3" t="s">
        <v>13811</v>
      </c>
      <c r="BK4" s="3" t="s">
        <v>13811</v>
      </c>
      <c r="BL4" s="3" t="s">
        <v>13806</v>
      </c>
      <c r="BM4" s="3" t="s">
        <v>13806</v>
      </c>
      <c r="BN4" s="3" t="s">
        <v>13807</v>
      </c>
      <c r="BO4" s="3" t="s">
        <v>13808</v>
      </c>
      <c r="BP4" s="3" t="s">
        <v>13808</v>
      </c>
      <c r="BQ4" s="3" t="s">
        <v>13809</v>
      </c>
      <c r="BR4" s="3" t="s">
        <v>13809</v>
      </c>
      <c r="BS4" s="3" t="s">
        <v>13796</v>
      </c>
      <c r="BT4" s="3" t="s">
        <v>13796</v>
      </c>
      <c r="BU4" s="3" t="s">
        <v>13796</v>
      </c>
      <c r="BV4" s="3" t="s">
        <v>13797</v>
      </c>
      <c r="BW4" s="3" t="s">
        <v>13797</v>
      </c>
      <c r="BX4" s="3" t="s">
        <v>13797</v>
      </c>
      <c r="BY4" s="3" t="s">
        <v>13798</v>
      </c>
      <c r="BZ4" s="3" t="s">
        <v>13798</v>
      </c>
      <c r="CA4" s="3" t="s">
        <v>13799</v>
      </c>
      <c r="CB4" s="3" t="s">
        <v>13799</v>
      </c>
      <c r="CC4" s="3" t="s">
        <v>13799</v>
      </c>
      <c r="CD4" s="3" t="s">
        <v>13800</v>
      </c>
      <c r="CE4" s="3" t="s">
        <v>13800</v>
      </c>
      <c r="CF4" s="3" t="s">
        <v>13812</v>
      </c>
      <c r="CG4" s="3" t="s">
        <v>13814</v>
      </c>
      <c r="CH4" s="3" t="s">
        <v>13813</v>
      </c>
      <c r="CI4" s="3" t="s">
        <v>13815</v>
      </c>
      <c r="CJ4" s="3" t="s">
        <v>13815</v>
      </c>
      <c r="CK4" s="3" t="s">
        <v>13816</v>
      </c>
      <c r="CL4" s="3" t="s">
        <v>13816</v>
      </c>
      <c r="CM4" s="3" t="s">
        <v>13817</v>
      </c>
      <c r="CN4" s="3" t="s">
        <v>13818</v>
      </c>
      <c r="CO4" s="3" t="s">
        <v>13818</v>
      </c>
      <c r="CP4" s="3" t="s">
        <v>13820</v>
      </c>
      <c r="CQ4" s="3" t="s">
        <v>13820</v>
      </c>
      <c r="CR4" s="3" t="s">
        <v>13819</v>
      </c>
      <c r="CS4" s="3" t="s">
        <v>13819</v>
      </c>
      <c r="CT4" s="3" t="s">
        <v>13823</v>
      </c>
      <c r="CU4" s="3" t="s">
        <v>13821</v>
      </c>
      <c r="CV4" s="3" t="s">
        <v>13821</v>
      </c>
      <c r="CW4" s="3" t="s">
        <v>13822</v>
      </c>
      <c r="CX4" s="3" t="s">
        <v>13822</v>
      </c>
      <c r="CY4" s="3" t="s">
        <v>13824</v>
      </c>
      <c r="CZ4" s="3" t="s">
        <v>13824</v>
      </c>
      <c r="DA4" s="3" t="s">
        <v>13825</v>
      </c>
      <c r="DB4" s="3" t="s">
        <v>13826</v>
      </c>
      <c r="DC4" s="3" t="s">
        <v>13826</v>
      </c>
      <c r="DD4" s="3" t="s">
        <v>13827</v>
      </c>
      <c r="DE4" s="3" t="s">
        <v>13827</v>
      </c>
      <c r="DF4" s="3" t="s">
        <v>13828</v>
      </c>
      <c r="DG4" s="3" t="s">
        <v>13828</v>
      </c>
      <c r="DH4" s="3" t="s">
        <v>13829</v>
      </c>
      <c r="DI4" s="3" t="s">
        <v>13829</v>
      </c>
      <c r="DJ4" s="20" t="s">
        <v>13830</v>
      </c>
      <c r="DK4" s="3" t="s">
        <v>13831</v>
      </c>
      <c r="DL4" s="3" t="s">
        <v>13831</v>
      </c>
      <c r="DM4" s="3" t="s">
        <v>13832</v>
      </c>
      <c r="DN4" s="3" t="s">
        <v>13832</v>
      </c>
      <c r="DO4" s="3" t="s">
        <v>13835</v>
      </c>
      <c r="DP4" s="3" t="s">
        <v>13833</v>
      </c>
      <c r="DQ4" s="3" t="s">
        <v>13833</v>
      </c>
      <c r="DR4" s="3" t="s">
        <v>13833</v>
      </c>
      <c r="DS4" s="3" t="s">
        <v>13837</v>
      </c>
      <c r="DT4" s="3" t="s">
        <v>13838</v>
      </c>
      <c r="DU4" s="3" t="s">
        <v>13838</v>
      </c>
      <c r="DV4" s="3" t="s">
        <v>13839</v>
      </c>
      <c r="DW4" s="3" t="s">
        <v>13839</v>
      </c>
      <c r="DX4" s="3" t="s">
        <v>13839</v>
      </c>
      <c r="DY4" s="3" t="s">
        <v>13839</v>
      </c>
      <c r="DZ4" s="3" t="s">
        <v>13840</v>
      </c>
      <c r="EA4" s="3" t="s">
        <v>13841</v>
      </c>
      <c r="EB4" s="3" t="s">
        <v>13841</v>
      </c>
      <c r="EC4" s="3" t="s">
        <v>13841</v>
      </c>
      <c r="ED4" s="3" t="s">
        <v>13842</v>
      </c>
      <c r="EE4" s="3" t="s">
        <v>13843</v>
      </c>
      <c r="EF4" s="20" t="s">
        <v>13844</v>
      </c>
      <c r="EG4" s="20" t="s">
        <v>13845</v>
      </c>
      <c r="EH4" s="3" t="s">
        <v>13846</v>
      </c>
      <c r="EI4" s="3" t="s">
        <v>13846</v>
      </c>
      <c r="EJ4" s="3" t="s">
        <v>13847</v>
      </c>
      <c r="EK4" s="3" t="s">
        <v>13847</v>
      </c>
      <c r="EL4" s="3" t="s">
        <v>14668</v>
      </c>
      <c r="EM4" s="3" t="s">
        <v>13849</v>
      </c>
      <c r="EN4" s="3" t="s">
        <v>13848</v>
      </c>
      <c r="EO4" s="3" t="s">
        <v>13850</v>
      </c>
      <c r="EP4" s="3" t="s">
        <v>13851</v>
      </c>
      <c r="EQ4" s="3" t="s">
        <v>13852</v>
      </c>
      <c r="ER4" s="3" t="s">
        <v>13853</v>
      </c>
      <c r="ES4" s="3" t="s">
        <v>13854</v>
      </c>
      <c r="ET4" s="3" t="s">
        <v>13855</v>
      </c>
      <c r="EU4" s="3" t="s">
        <v>13855</v>
      </c>
      <c r="EV4" s="3" t="s">
        <v>13856</v>
      </c>
      <c r="EW4" s="3" t="s">
        <v>13856</v>
      </c>
      <c r="EX4" s="3" t="s">
        <v>13834</v>
      </c>
      <c r="EY4" s="3" t="s">
        <v>13834</v>
      </c>
      <c r="EZ4" s="3" t="s">
        <v>13836</v>
      </c>
      <c r="FA4" s="3" t="s">
        <v>13836</v>
      </c>
      <c r="FB4" s="3" t="s">
        <v>13862</v>
      </c>
      <c r="FC4" s="3" t="s">
        <v>31455</v>
      </c>
      <c r="FD4" s="3" t="s">
        <v>13864</v>
      </c>
      <c r="FE4" s="3" t="s">
        <v>13865</v>
      </c>
      <c r="FF4" s="3" t="s">
        <v>13865</v>
      </c>
      <c r="FG4" s="3" t="s">
        <v>13865</v>
      </c>
      <c r="FH4" s="3" t="s">
        <v>13865</v>
      </c>
      <c r="FI4" s="3" t="s">
        <v>13865</v>
      </c>
      <c r="FJ4" s="3" t="s">
        <v>31456</v>
      </c>
      <c r="FK4" s="3" t="s">
        <v>31456</v>
      </c>
      <c r="FL4" s="3" t="s">
        <v>13777</v>
      </c>
      <c r="FM4" s="3" t="s">
        <v>13859</v>
      </c>
      <c r="FN4" s="20" t="s">
        <v>13860</v>
      </c>
      <c r="FO4" s="20" t="s">
        <v>13861</v>
      </c>
    </row>
    <row r="5" spans="2:171">
      <c r="B5" s="4" t="s">
        <v>34102</v>
      </c>
      <c r="D5" s="5" t="s">
        <v>34103</v>
      </c>
      <c r="E5" s="14" t="s">
        <v>34104</v>
      </c>
      <c r="F5" s="14" t="s">
        <v>34105</v>
      </c>
      <c r="G5" s="5" t="s">
        <v>34103</v>
      </c>
      <c r="H5" s="14" t="s">
        <v>34104</v>
      </c>
      <c r="I5" s="14" t="s">
        <v>34105</v>
      </c>
      <c r="K5" s="5" t="s">
        <v>34103</v>
      </c>
      <c r="L5" s="14" t="s">
        <v>34104</v>
      </c>
      <c r="M5" s="14" t="s">
        <v>2128</v>
      </c>
      <c r="N5" s="14" t="s">
        <v>34106</v>
      </c>
      <c r="O5" s="14" t="s">
        <v>2128</v>
      </c>
      <c r="P5" s="5" t="s">
        <v>34103</v>
      </c>
      <c r="Q5" s="14" t="s">
        <v>34104</v>
      </c>
      <c r="R5" s="14" t="s">
        <v>34105</v>
      </c>
      <c r="S5" s="14" t="s">
        <v>34105</v>
      </c>
      <c r="T5" s="14" t="s">
        <v>34104</v>
      </c>
      <c r="U5" s="14" t="s">
        <v>34104</v>
      </c>
      <c r="V5" s="14" t="s">
        <v>34105</v>
      </c>
      <c r="W5" s="5" t="s">
        <v>34103</v>
      </c>
      <c r="X5" s="14" t="str">
        <f>X4&amp;"-"&amp;X8</f>
        <v>FSH-BOA</v>
      </c>
      <c r="Y5" s="14" t="str">
        <f>Y4&amp;"-"&amp;Y8</f>
        <v>FSH-BOA</v>
      </c>
      <c r="Z5" s="5" t="s">
        <v>34103</v>
      </c>
      <c r="AA5" s="14" t="s">
        <v>34104</v>
      </c>
      <c r="AB5" s="14" t="s">
        <v>13867</v>
      </c>
      <c r="AC5" s="5" t="s">
        <v>34103</v>
      </c>
      <c r="AD5" s="14" t="s">
        <v>34104</v>
      </c>
      <c r="AE5" s="5" t="s">
        <v>34103</v>
      </c>
      <c r="AF5" s="14" t="s">
        <v>34108</v>
      </c>
      <c r="AG5" s="8" t="s">
        <v>34104</v>
      </c>
      <c r="AH5" s="8" t="s">
        <v>34105</v>
      </c>
      <c r="AI5" s="8" t="s">
        <v>34104</v>
      </c>
      <c r="AJ5" s="8" t="s">
        <v>34105</v>
      </c>
      <c r="AK5" s="14" t="s">
        <v>34104</v>
      </c>
      <c r="AL5" s="14" t="s">
        <v>34244</v>
      </c>
      <c r="AM5" s="14" t="s">
        <v>34245</v>
      </c>
      <c r="AN5" s="14" t="s">
        <v>34104</v>
      </c>
      <c r="AO5" s="14" t="s">
        <v>34104</v>
      </c>
      <c r="AP5" s="14" t="s">
        <v>34104</v>
      </c>
      <c r="AQ5" s="14" t="s">
        <v>34104</v>
      </c>
      <c r="AR5" s="14" t="s">
        <v>34104</v>
      </c>
      <c r="AS5" s="14" t="s">
        <v>34104</v>
      </c>
      <c r="AT5" s="14" t="s">
        <v>34104</v>
      </c>
      <c r="AU5" s="14" t="s">
        <v>34104</v>
      </c>
      <c r="AV5" s="14" t="s">
        <v>34104</v>
      </c>
      <c r="AW5" s="14" t="s">
        <v>34104</v>
      </c>
      <c r="AX5" s="14" t="s">
        <v>34104</v>
      </c>
      <c r="AY5" s="14" t="s">
        <v>34104</v>
      </c>
      <c r="AZ5" s="14" t="s">
        <v>34104</v>
      </c>
      <c r="BA5" s="14" t="s">
        <v>34246</v>
      </c>
      <c r="BB5" s="22" t="s">
        <v>34247</v>
      </c>
      <c r="BC5" s="14" t="s">
        <v>34248</v>
      </c>
      <c r="BD5" s="14" t="s">
        <v>34113</v>
      </c>
      <c r="BE5" s="14" t="s">
        <v>34249</v>
      </c>
      <c r="BF5" s="14" t="s">
        <v>34250</v>
      </c>
      <c r="BG5" s="14" t="s">
        <v>34251</v>
      </c>
      <c r="BH5" s="14" t="s">
        <v>34115</v>
      </c>
      <c r="BI5" s="14" t="s">
        <v>34252</v>
      </c>
      <c r="BJ5" s="14" t="s">
        <v>34118</v>
      </c>
      <c r="BK5" s="14" t="str">
        <f>BK4&amp;"-"&amp;BK8</f>
        <v>DOL-BOA</v>
      </c>
      <c r="BL5" s="14" t="s">
        <v>34120</v>
      </c>
      <c r="BM5" s="14" t="s">
        <v>34253</v>
      </c>
      <c r="BN5" s="14" t="s">
        <v>34121</v>
      </c>
      <c r="BO5" s="14" t="s">
        <v>34122</v>
      </c>
      <c r="BP5" s="14" t="str">
        <f>BP4&amp;"-"&amp;BP8</f>
        <v>PUR-BOA</v>
      </c>
      <c r="BQ5" s="14" t="s">
        <v>34123</v>
      </c>
      <c r="BR5" s="14" t="str">
        <f>BR4&amp;"-"&amp;BR8</f>
        <v>VAL-BOA</v>
      </c>
      <c r="BS5" s="14" t="s">
        <v>34124</v>
      </c>
      <c r="BT5" s="14" t="str">
        <f>BT4&amp;"-"&amp;BT8</f>
        <v>CHA-BOA</v>
      </c>
      <c r="BU5" s="14" t="s">
        <v>34254</v>
      </c>
      <c r="BV5" s="14" t="s">
        <v>34125</v>
      </c>
      <c r="BW5" s="14" t="str">
        <f>BW4&amp;"-"&amp;BW8</f>
        <v>CRE-BOA</v>
      </c>
      <c r="BX5" s="14" t="s">
        <v>34255</v>
      </c>
      <c r="BY5" s="14" t="s">
        <v>34126</v>
      </c>
      <c r="BZ5" s="14" t="s">
        <v>34256</v>
      </c>
      <c r="CA5" s="14" t="s">
        <v>34127</v>
      </c>
      <c r="CB5" s="14" t="s">
        <v>34257</v>
      </c>
      <c r="CC5" s="14" t="s">
        <v>34258</v>
      </c>
      <c r="CD5" s="14" t="s">
        <v>34128</v>
      </c>
      <c r="CE5" s="14" t="s">
        <v>34259</v>
      </c>
      <c r="CF5" s="14" t="s">
        <v>34129</v>
      </c>
      <c r="CG5" s="14" t="s">
        <v>34130</v>
      </c>
      <c r="CH5" s="14" t="s">
        <v>34132</v>
      </c>
      <c r="CI5" s="14" t="s">
        <v>34134</v>
      </c>
      <c r="CJ5" s="14" t="s">
        <v>34260</v>
      </c>
      <c r="CK5" s="14" t="s">
        <v>34135</v>
      </c>
      <c r="CL5" s="14" t="str">
        <f>CL4&amp;"-"&amp;CL8</f>
        <v>WOO-BOA</v>
      </c>
      <c r="CM5" s="14" t="s">
        <v>34136</v>
      </c>
      <c r="CN5" s="14" t="s">
        <v>34137</v>
      </c>
      <c r="CO5" s="14" t="s">
        <v>34261</v>
      </c>
      <c r="CP5" s="14" t="s">
        <v>34200</v>
      </c>
      <c r="CQ5" s="14" t="s">
        <v>34262</v>
      </c>
      <c r="CR5" s="14" t="s">
        <v>34138</v>
      </c>
      <c r="CS5" s="14" t="s">
        <v>34263</v>
      </c>
      <c r="CT5" s="14" t="s">
        <v>34203</v>
      </c>
      <c r="CU5" s="14" t="s">
        <v>34204</v>
      </c>
      <c r="CV5" s="14" t="s">
        <v>34264</v>
      </c>
      <c r="CW5" s="14" t="s">
        <v>34205</v>
      </c>
      <c r="CX5" s="14" t="s">
        <v>34265</v>
      </c>
      <c r="CY5" s="14" t="s">
        <v>34208</v>
      </c>
      <c r="CZ5" s="14" t="s">
        <v>34266</v>
      </c>
      <c r="DA5" s="14" t="s">
        <v>34209</v>
      </c>
      <c r="DB5" s="14" t="s">
        <v>34210</v>
      </c>
      <c r="DC5" s="14" t="s">
        <v>34267</v>
      </c>
      <c r="DD5" s="14" t="s">
        <v>34268</v>
      </c>
      <c r="DE5" s="14" t="s">
        <v>34269</v>
      </c>
      <c r="DF5" s="14" t="s">
        <v>34270</v>
      </c>
      <c r="DG5" s="14" t="s">
        <v>34271</v>
      </c>
      <c r="DH5" s="14" t="s">
        <v>34272</v>
      </c>
      <c r="DI5" s="14" t="str">
        <f>DI4&amp;"-"&amp;DI8</f>
        <v>VEN-BOA</v>
      </c>
      <c r="DJ5" s="14" t="s">
        <v>34273</v>
      </c>
      <c r="DK5" s="14" t="s">
        <v>34274</v>
      </c>
      <c r="DL5" s="14" t="s">
        <v>34275</v>
      </c>
      <c r="DM5" s="14" t="s">
        <v>34276</v>
      </c>
      <c r="DN5" s="14" t="s">
        <v>34277</v>
      </c>
      <c r="DO5" s="14" t="s">
        <v>34278</v>
      </c>
      <c r="DP5" s="14" t="s">
        <v>34279</v>
      </c>
      <c r="DQ5" s="14" t="s">
        <v>34280</v>
      </c>
      <c r="DR5" s="14" t="str">
        <f>DR4&amp;"-"&amp;DR8</f>
        <v>LCP-CBC</v>
      </c>
      <c r="DS5" s="14" t="str">
        <f>DS4&amp;"-"&amp;DS8</f>
        <v>EAS-BOW</v>
      </c>
      <c r="DT5" s="14" t="str">
        <f>DT4&amp;"-"&amp;DT8</f>
        <v>GRA-BOW</v>
      </c>
      <c r="DU5" s="14" t="s">
        <v>34281</v>
      </c>
      <c r="DV5" s="14" t="str">
        <f t="shared" ref="DV5:EP5" si="0">DV4&amp;"-"&amp;DV8</f>
        <v>API-BOW</v>
      </c>
      <c r="DW5" s="14" t="str">
        <f t="shared" si="0"/>
        <v>API-BOW</v>
      </c>
      <c r="DX5" s="14" t="str">
        <f t="shared" si="0"/>
        <v>API-CBC</v>
      </c>
      <c r="DY5" s="14" t="str">
        <f t="shared" si="0"/>
        <v>API-CBC</v>
      </c>
      <c r="DZ5" s="14" t="str">
        <f t="shared" si="0"/>
        <v>DPH-BOW</v>
      </c>
      <c r="EA5" s="14" t="str">
        <f t="shared" si="0"/>
        <v>ZPI-CBC</v>
      </c>
      <c r="EB5" s="14" t="str">
        <f t="shared" si="0"/>
        <v>ZPI-WF</v>
      </c>
      <c r="EC5" s="14" t="str">
        <f t="shared" si="0"/>
        <v>ZPI-BOW</v>
      </c>
      <c r="ED5" s="14" t="str">
        <f t="shared" si="0"/>
        <v>PGP-BOA</v>
      </c>
      <c r="EE5" s="14" t="str">
        <f t="shared" si="0"/>
        <v>EAM-BOA</v>
      </c>
      <c r="EF5" s="14" t="str">
        <f t="shared" si="0"/>
        <v>SEA-BOA</v>
      </c>
      <c r="EG5" s="14" t="str">
        <f t="shared" si="0"/>
        <v>EAL-BOA</v>
      </c>
      <c r="EH5" s="14" t="str">
        <f t="shared" si="0"/>
        <v>KLP-CBC</v>
      </c>
      <c r="EI5" s="14" t="str">
        <f t="shared" si="0"/>
        <v>KLP-BOA</v>
      </c>
      <c r="EJ5" s="14" t="str">
        <f t="shared" si="0"/>
        <v>WEP-CBC</v>
      </c>
      <c r="EK5" s="14" t="str">
        <f t="shared" si="0"/>
        <v>WEP-BTX</v>
      </c>
      <c r="EL5" s="14" t="str">
        <f t="shared" si="0"/>
        <v>WIC-CBC</v>
      </c>
      <c r="EM5" s="14" t="str">
        <f t="shared" si="0"/>
        <v>AKA-CBC</v>
      </c>
      <c r="EN5" s="14" t="str">
        <f t="shared" si="0"/>
        <v>AKC-CBC</v>
      </c>
      <c r="EO5" s="14" t="str">
        <f t="shared" si="0"/>
        <v>SPA-CBC</v>
      </c>
      <c r="EP5" s="14" t="str">
        <f t="shared" si="0"/>
        <v>DPM-CBC</v>
      </c>
      <c r="EQ5" s="14" t="s">
        <v>34282</v>
      </c>
      <c r="ER5" s="14" t="str">
        <f t="shared" ref="ER5:EZ5" si="1">ER4&amp;"-"&amp;ER8</f>
        <v>HDR-CBC</v>
      </c>
      <c r="ES5" s="14" t="str">
        <f t="shared" si="1"/>
        <v>TPI-CBC</v>
      </c>
      <c r="ET5" s="14" t="str">
        <f t="shared" si="1"/>
        <v>GSM-CBC</v>
      </c>
      <c r="EU5" s="14" t="str">
        <f t="shared" si="1"/>
        <v>GSM-BOW</v>
      </c>
      <c r="EV5" s="14" t="str">
        <f t="shared" si="1"/>
        <v>SOF-CBC</v>
      </c>
      <c r="EW5" s="14" t="str">
        <f t="shared" si="1"/>
        <v>SOF-BOA</v>
      </c>
      <c r="EX5" s="14" t="str">
        <f t="shared" si="1"/>
        <v>WES-UB</v>
      </c>
      <c r="EY5" s="14" t="str">
        <f t="shared" si="1"/>
        <v>WES-BOW</v>
      </c>
      <c r="EZ5" s="14" t="str">
        <f t="shared" si="1"/>
        <v>SOU-BOW</v>
      </c>
      <c r="FA5" s="14" t="s">
        <v>34283</v>
      </c>
      <c r="FB5" s="14" t="s">
        <v>34284</v>
      </c>
      <c r="FC5" s="14" t="s">
        <v>34285</v>
      </c>
      <c r="FD5" s="14" t="s">
        <v>34140</v>
      </c>
      <c r="FE5" s="14" t="s">
        <v>34206</v>
      </c>
      <c r="FF5" s="14" t="s">
        <v>34212</v>
      </c>
      <c r="FG5" s="14" t="s">
        <v>34212</v>
      </c>
      <c r="FH5" s="14" t="s">
        <v>34286</v>
      </c>
      <c r="FI5" s="14" t="s">
        <v>34287</v>
      </c>
      <c r="FJ5" s="14" t="s">
        <v>34288</v>
      </c>
      <c r="FK5" s="14" t="s">
        <v>34289</v>
      </c>
      <c r="FL5" s="14" t="s">
        <v>34290</v>
      </c>
      <c r="FM5" s="14" t="s">
        <v>34141</v>
      </c>
      <c r="FN5" s="14" t="s">
        <v>34142</v>
      </c>
      <c r="FO5" s="14" t="s">
        <v>34291</v>
      </c>
    </row>
    <row r="6" spans="2:171">
      <c r="B6" s="6" t="s">
        <v>34143</v>
      </c>
      <c r="D6" s="7">
        <v>748032380</v>
      </c>
      <c r="E6" s="15">
        <v>748032364</v>
      </c>
      <c r="F6" s="15">
        <v>748032372</v>
      </c>
      <c r="G6" s="7">
        <v>748032331</v>
      </c>
      <c r="H6" s="15">
        <v>748032315</v>
      </c>
      <c r="I6" s="15">
        <v>748032323</v>
      </c>
      <c r="K6" s="7">
        <v>748032414</v>
      </c>
      <c r="L6" s="15">
        <v>748032398</v>
      </c>
      <c r="M6" s="15">
        <v>59701540</v>
      </c>
      <c r="N6" s="15">
        <v>24547612</v>
      </c>
      <c r="O6" s="15">
        <v>1002000568</v>
      </c>
      <c r="P6" s="7">
        <v>748015229</v>
      </c>
      <c r="Q6" s="15">
        <v>748015237</v>
      </c>
      <c r="R6" s="15">
        <v>748015260</v>
      </c>
      <c r="S6" s="15">
        <v>51834794</v>
      </c>
      <c r="T6" s="15">
        <v>27931733</v>
      </c>
      <c r="U6" s="15">
        <v>53564399</v>
      </c>
      <c r="V6" s="15">
        <v>26843912</v>
      </c>
      <c r="W6" s="7">
        <v>33540278</v>
      </c>
      <c r="X6" s="15">
        <v>325134112992</v>
      </c>
      <c r="Y6" s="15">
        <v>325134112989</v>
      </c>
      <c r="Z6" s="7">
        <v>325134113001</v>
      </c>
      <c r="AA6" s="15">
        <v>30249789</v>
      </c>
      <c r="AB6" s="15">
        <v>1002000576</v>
      </c>
      <c r="AC6" s="7">
        <v>30282681</v>
      </c>
      <c r="AD6" s="15">
        <v>748032703</v>
      </c>
      <c r="AE6" s="7">
        <v>30311274</v>
      </c>
      <c r="AF6" s="15">
        <v>203081093</v>
      </c>
      <c r="AG6" s="19">
        <v>4040011298</v>
      </c>
      <c r="AH6" s="19">
        <v>4040011306</v>
      </c>
      <c r="AI6" s="19">
        <v>4040012122</v>
      </c>
      <c r="AJ6" s="19">
        <v>4040012130</v>
      </c>
      <c r="AK6" s="15">
        <v>748000619</v>
      </c>
      <c r="AM6" s="15">
        <v>1002000543</v>
      </c>
      <c r="AN6" s="15">
        <v>748032349</v>
      </c>
      <c r="AO6" s="15">
        <v>14176875</v>
      </c>
      <c r="AP6" s="15">
        <v>26459321</v>
      </c>
      <c r="AQ6" s="15">
        <v>26690883</v>
      </c>
      <c r="AR6" s="15">
        <v>35398917</v>
      </c>
      <c r="AS6" s="15">
        <v>32845339</v>
      </c>
      <c r="AT6" s="15">
        <v>25065334</v>
      </c>
      <c r="AU6" s="15">
        <v>25084368</v>
      </c>
      <c r="AV6" s="15">
        <v>25069633</v>
      </c>
      <c r="AW6" s="15">
        <v>33538439</v>
      </c>
      <c r="AX6" s="15">
        <v>54731476</v>
      </c>
      <c r="AY6" s="15">
        <v>27607358</v>
      </c>
      <c r="AZ6" s="15">
        <v>748045952</v>
      </c>
      <c r="BA6" s="15">
        <v>13585976</v>
      </c>
      <c r="BB6" s="23">
        <v>325176762355</v>
      </c>
      <c r="BC6" s="15">
        <v>748033552</v>
      </c>
      <c r="BD6" s="15">
        <v>31874966</v>
      </c>
      <c r="BE6" s="15">
        <v>325175739240</v>
      </c>
      <c r="BF6" s="15">
        <v>8019</v>
      </c>
      <c r="BG6" s="15">
        <v>325175744594</v>
      </c>
      <c r="BH6" s="15">
        <v>31860536</v>
      </c>
      <c r="BI6" s="15">
        <v>32205856</v>
      </c>
      <c r="BJ6" s="15">
        <v>45186632</v>
      </c>
      <c r="BK6" s="15">
        <v>325176739485</v>
      </c>
      <c r="BL6" s="15">
        <v>35356295</v>
      </c>
      <c r="BM6" s="15">
        <v>325175747986</v>
      </c>
      <c r="BN6" s="15">
        <v>310425667</v>
      </c>
      <c r="BO6" s="15">
        <v>34950071</v>
      </c>
      <c r="BP6" s="15">
        <v>325176754402</v>
      </c>
      <c r="BQ6" s="15">
        <v>35223388</v>
      </c>
      <c r="BR6" s="15">
        <v>325176761754</v>
      </c>
      <c r="BS6" s="15">
        <v>748030061</v>
      </c>
      <c r="BT6" s="15">
        <v>325176733656</v>
      </c>
      <c r="BU6" s="15">
        <v>8087</v>
      </c>
      <c r="BV6" s="15">
        <v>748032711</v>
      </c>
      <c r="BW6" s="15">
        <v>325176737173</v>
      </c>
      <c r="BX6" s="15">
        <v>8070</v>
      </c>
      <c r="BY6" s="15">
        <v>37307538</v>
      </c>
      <c r="BZ6" s="15">
        <v>325176738224</v>
      </c>
      <c r="CA6" s="15">
        <v>37346924</v>
      </c>
      <c r="CB6" s="15">
        <v>8053</v>
      </c>
      <c r="CC6" s="15">
        <v>325176741871</v>
      </c>
      <c r="CD6" s="15">
        <v>748035300</v>
      </c>
      <c r="CE6" s="15">
        <v>325176751586</v>
      </c>
      <c r="CF6" s="15">
        <v>45369592</v>
      </c>
      <c r="CG6" s="15">
        <v>46129441</v>
      </c>
      <c r="CH6" s="15">
        <v>46084117</v>
      </c>
      <c r="CI6" s="15">
        <v>46339883</v>
      </c>
      <c r="CJ6" s="15">
        <v>325176753348</v>
      </c>
      <c r="CK6" s="15">
        <v>48374763</v>
      </c>
      <c r="CL6" s="15">
        <v>325176762106</v>
      </c>
      <c r="CM6" s="15">
        <v>50396878</v>
      </c>
      <c r="CN6" s="15">
        <v>50376193</v>
      </c>
      <c r="CO6" s="15">
        <v>325176749925</v>
      </c>
      <c r="CP6" s="15">
        <v>51665420</v>
      </c>
      <c r="CQ6" s="15">
        <v>325176761518</v>
      </c>
      <c r="CR6" s="15">
        <v>50845692</v>
      </c>
      <c r="CS6" s="15">
        <v>325176740733</v>
      </c>
      <c r="CT6" s="15">
        <v>51669901</v>
      </c>
      <c r="CU6" s="15">
        <v>52973062</v>
      </c>
      <c r="CV6" s="15">
        <v>325176735023</v>
      </c>
      <c r="CW6" s="15">
        <v>52990108</v>
      </c>
      <c r="CX6" s="15">
        <v>325176744425</v>
      </c>
      <c r="CY6" s="15">
        <v>53567889</v>
      </c>
      <c r="CZ6" s="15">
        <v>325176746708</v>
      </c>
      <c r="DA6" s="15">
        <v>53560132</v>
      </c>
      <c r="DB6" s="15">
        <v>53538286</v>
      </c>
      <c r="DC6" s="15">
        <v>325176761631</v>
      </c>
      <c r="DD6" s="15">
        <v>54663992</v>
      </c>
      <c r="DE6" s="15">
        <v>325176730031</v>
      </c>
      <c r="DF6" s="15">
        <v>54617568</v>
      </c>
      <c r="DG6" s="15">
        <v>325176732152</v>
      </c>
      <c r="DH6" s="15">
        <v>55872626</v>
      </c>
      <c r="DI6" s="15">
        <v>325176761903</v>
      </c>
      <c r="DJ6" s="15">
        <v>54917901</v>
      </c>
      <c r="DK6" s="15">
        <v>55872402</v>
      </c>
      <c r="DL6" s="15">
        <v>325176748120</v>
      </c>
      <c r="DM6" s="15">
        <v>55872857</v>
      </c>
      <c r="DN6" s="15">
        <v>325176742980</v>
      </c>
      <c r="DO6" s="15">
        <v>56849680</v>
      </c>
      <c r="DP6" s="15">
        <v>1504912147</v>
      </c>
      <c r="DQ6" s="15">
        <v>56915341</v>
      </c>
      <c r="DR6" s="15">
        <v>1001000437</v>
      </c>
      <c r="DS6" s="15">
        <v>60469160</v>
      </c>
      <c r="DT6" s="15">
        <v>60474103</v>
      </c>
      <c r="DU6" s="15">
        <v>325175750847</v>
      </c>
      <c r="DV6" s="15">
        <v>63141782</v>
      </c>
      <c r="DW6" s="15">
        <v>63141782</v>
      </c>
      <c r="DX6" s="15">
        <v>1001001716</v>
      </c>
      <c r="DY6" s="15">
        <v>1001001716</v>
      </c>
      <c r="DZ6" s="15">
        <v>66517731</v>
      </c>
      <c r="EA6" s="15">
        <v>1001002912</v>
      </c>
      <c r="EB6" s="15">
        <v>4943006379</v>
      </c>
      <c r="ED6" s="15">
        <v>325161820121</v>
      </c>
      <c r="EE6" s="15">
        <v>325164080887</v>
      </c>
      <c r="EF6" s="15">
        <v>325164396759</v>
      </c>
      <c r="EG6" s="15">
        <v>325164086470</v>
      </c>
      <c r="EH6" s="15">
        <v>1001003175</v>
      </c>
      <c r="EJ6" s="15">
        <v>1001003233</v>
      </c>
      <c r="EL6" s="15">
        <v>1001003274</v>
      </c>
      <c r="EM6" s="15">
        <v>1001003381</v>
      </c>
      <c r="EN6" s="15">
        <v>1001003373</v>
      </c>
      <c r="EO6" s="15">
        <v>1001003399</v>
      </c>
      <c r="EP6" s="15">
        <v>1001003225</v>
      </c>
      <c r="EQ6" s="15">
        <v>1001003423</v>
      </c>
      <c r="ER6" s="15">
        <v>1001003415</v>
      </c>
      <c r="ES6" s="15">
        <v>1001003498</v>
      </c>
      <c r="ET6" s="15">
        <v>1001000551</v>
      </c>
      <c r="EV6" s="15">
        <v>1001000619</v>
      </c>
      <c r="EW6" s="15">
        <v>10010003399</v>
      </c>
      <c r="EX6" s="15">
        <v>103467569</v>
      </c>
      <c r="EY6" s="15">
        <v>56674013</v>
      </c>
      <c r="EZ6" s="15">
        <v>59590018</v>
      </c>
      <c r="FA6" s="15">
        <v>56550486</v>
      </c>
      <c r="FB6" s="15">
        <v>65662355</v>
      </c>
      <c r="FC6" s="15">
        <v>748038866</v>
      </c>
      <c r="FD6" s="15">
        <v>4670115998</v>
      </c>
      <c r="FE6" s="15">
        <v>25304139</v>
      </c>
      <c r="FF6" s="15">
        <v>103715918</v>
      </c>
      <c r="FG6" s="15">
        <v>103715918</v>
      </c>
      <c r="FI6" s="15">
        <v>1002000584</v>
      </c>
      <c r="FJ6" s="27">
        <v>1001000353</v>
      </c>
      <c r="FL6" s="15">
        <v>30912352</v>
      </c>
      <c r="FM6" s="15">
        <v>4402766</v>
      </c>
      <c r="FN6" s="15">
        <v>32839282</v>
      </c>
      <c r="FO6" s="15">
        <v>30270074</v>
      </c>
    </row>
    <row r="7" spans="2:171">
      <c r="B7" s="4" t="s">
        <v>34177</v>
      </c>
      <c r="D7" s="5" t="s">
        <v>14059</v>
      </c>
      <c r="E7" s="14" t="s">
        <v>34178</v>
      </c>
      <c r="F7" s="14" t="s">
        <v>34179</v>
      </c>
      <c r="G7" s="5" t="s">
        <v>14059</v>
      </c>
      <c r="H7" s="14" t="s">
        <v>34178</v>
      </c>
      <c r="I7" s="14" t="s">
        <v>34179</v>
      </c>
      <c r="J7" s="14" t="s">
        <v>34179</v>
      </c>
      <c r="K7" s="5" t="s">
        <v>14059</v>
      </c>
      <c r="L7" s="14" t="s">
        <v>34178</v>
      </c>
      <c r="M7" s="14" t="s">
        <v>34292</v>
      </c>
      <c r="N7" s="14" t="s">
        <v>34180</v>
      </c>
      <c r="O7" s="14" t="s">
        <v>34293</v>
      </c>
      <c r="P7" s="5" t="s">
        <v>14059</v>
      </c>
      <c r="Q7" s="14" t="s">
        <v>34178</v>
      </c>
      <c r="R7" s="14" t="s">
        <v>34179</v>
      </c>
      <c r="S7" s="14" t="s">
        <v>34202</v>
      </c>
      <c r="T7" s="14" t="s">
        <v>34178</v>
      </c>
      <c r="U7" s="14" t="s">
        <v>34211</v>
      </c>
      <c r="V7" s="14" t="s">
        <v>34179</v>
      </c>
      <c r="W7" s="5" t="s">
        <v>14059</v>
      </c>
      <c r="X7" s="14" t="s">
        <v>34294</v>
      </c>
      <c r="Y7" s="14" t="s">
        <v>34295</v>
      </c>
      <c r="Z7" s="5" t="s">
        <v>34296</v>
      </c>
      <c r="AA7" s="14" t="s">
        <v>34178</v>
      </c>
      <c r="AB7" s="14" t="s">
        <v>34293</v>
      </c>
      <c r="AC7" s="5" t="s">
        <v>14059</v>
      </c>
      <c r="AD7" s="14" t="s">
        <v>34178</v>
      </c>
      <c r="AE7" s="5" t="s">
        <v>14059</v>
      </c>
      <c r="AF7" s="14" t="s">
        <v>34181</v>
      </c>
      <c r="AG7" s="8" t="s">
        <v>14047</v>
      </c>
      <c r="AH7" s="8" t="s">
        <v>14049</v>
      </c>
      <c r="AI7" s="8" t="s">
        <v>14047</v>
      </c>
      <c r="AJ7" s="8" t="s">
        <v>14049</v>
      </c>
      <c r="AK7" s="14" t="s">
        <v>34178</v>
      </c>
      <c r="AL7" s="14" t="s">
        <v>34213</v>
      </c>
      <c r="AM7" s="14" t="s">
        <v>34293</v>
      </c>
      <c r="AN7" s="14" t="s">
        <v>34178</v>
      </c>
      <c r="AO7" s="14" t="s">
        <v>34178</v>
      </c>
      <c r="AP7" s="14" t="s">
        <v>34178</v>
      </c>
      <c r="AQ7" s="14" t="s">
        <v>34178</v>
      </c>
      <c r="AR7" s="14" t="s">
        <v>34178</v>
      </c>
      <c r="AS7" s="14" t="s">
        <v>34178</v>
      </c>
      <c r="AT7" s="14" t="s">
        <v>34178</v>
      </c>
      <c r="AU7" s="14" t="s">
        <v>34178</v>
      </c>
      <c r="AV7" s="14" t="s">
        <v>34178</v>
      </c>
      <c r="AW7" s="14" t="s">
        <v>34178</v>
      </c>
      <c r="AX7" s="14" t="s">
        <v>34178</v>
      </c>
      <c r="AY7" s="14" t="s">
        <v>34178</v>
      </c>
      <c r="AZ7" s="14" t="s">
        <v>14045</v>
      </c>
      <c r="BA7" s="14" t="s">
        <v>14045</v>
      </c>
      <c r="BB7" s="14" t="s">
        <v>14050</v>
      </c>
      <c r="BC7" s="14" t="s">
        <v>14045</v>
      </c>
      <c r="BD7" s="14" t="s">
        <v>14045</v>
      </c>
      <c r="BE7" s="14" t="s">
        <v>14050</v>
      </c>
      <c r="BF7" s="14" t="s">
        <v>14046</v>
      </c>
      <c r="BG7" s="14" t="s">
        <v>14050</v>
      </c>
      <c r="BH7" s="14" t="s">
        <v>14045</v>
      </c>
      <c r="BI7" s="14" t="s">
        <v>14045</v>
      </c>
      <c r="BJ7" s="14" t="s">
        <v>14045</v>
      </c>
      <c r="BK7" s="14" t="s">
        <v>14050</v>
      </c>
      <c r="BL7" s="14" t="s">
        <v>14045</v>
      </c>
      <c r="BM7" s="14" t="s">
        <v>14050</v>
      </c>
      <c r="BN7" s="14" t="s">
        <v>14045</v>
      </c>
      <c r="BO7" s="14" t="s">
        <v>14045</v>
      </c>
      <c r="BP7" s="14" t="s">
        <v>14050</v>
      </c>
      <c r="BQ7" s="14" t="s">
        <v>14045</v>
      </c>
      <c r="BR7" s="14" t="s">
        <v>14050</v>
      </c>
      <c r="BS7" s="14" t="s">
        <v>14045</v>
      </c>
      <c r="BT7" s="14" t="s">
        <v>14050</v>
      </c>
      <c r="BU7" s="14" t="s">
        <v>14046</v>
      </c>
      <c r="BV7" s="14" t="s">
        <v>14045</v>
      </c>
      <c r="BW7" s="14" t="s">
        <v>14050</v>
      </c>
      <c r="BX7" s="14" t="s">
        <v>14046</v>
      </c>
      <c r="BY7" s="14" t="s">
        <v>14045</v>
      </c>
      <c r="BZ7" s="14" t="s">
        <v>14050</v>
      </c>
      <c r="CA7" s="14" t="s">
        <v>14045</v>
      </c>
      <c r="CB7" s="14" t="s">
        <v>14046</v>
      </c>
      <c r="CC7" s="14" t="s">
        <v>14050</v>
      </c>
      <c r="CD7" s="14" t="s">
        <v>14045</v>
      </c>
      <c r="CE7" s="14" t="s">
        <v>14050</v>
      </c>
      <c r="CF7" s="14" t="s">
        <v>14045</v>
      </c>
      <c r="CG7" s="14" t="s">
        <v>14045</v>
      </c>
      <c r="CH7" s="14" t="s">
        <v>14045</v>
      </c>
      <c r="CI7" s="14" t="s">
        <v>14045</v>
      </c>
      <c r="CJ7" s="14" t="s">
        <v>14050</v>
      </c>
      <c r="CK7" s="14" t="s">
        <v>14045</v>
      </c>
      <c r="CL7" s="14" t="s">
        <v>14050</v>
      </c>
      <c r="CM7" s="14" t="s">
        <v>14045</v>
      </c>
      <c r="CN7" s="14" t="s">
        <v>14045</v>
      </c>
      <c r="CO7" s="14" t="s">
        <v>14050</v>
      </c>
      <c r="CP7" s="14" t="s">
        <v>14045</v>
      </c>
      <c r="CQ7" s="14" t="s">
        <v>14050</v>
      </c>
      <c r="CR7" s="14" t="s">
        <v>14045</v>
      </c>
      <c r="CS7" s="14" t="s">
        <v>14050</v>
      </c>
      <c r="CT7" s="14" t="s">
        <v>14045</v>
      </c>
      <c r="CU7" s="14" t="s">
        <v>14045</v>
      </c>
      <c r="CV7" s="14" t="s">
        <v>14050</v>
      </c>
      <c r="CW7" s="14" t="s">
        <v>14045</v>
      </c>
      <c r="CX7" s="14" t="s">
        <v>14050</v>
      </c>
      <c r="CY7" s="14" t="s">
        <v>14045</v>
      </c>
      <c r="CZ7" s="14" t="s">
        <v>14050</v>
      </c>
      <c r="DA7" s="14" t="s">
        <v>14045</v>
      </c>
      <c r="DB7" s="14" t="s">
        <v>14045</v>
      </c>
      <c r="DC7" s="14" t="s">
        <v>14050</v>
      </c>
      <c r="DD7" s="14" t="s">
        <v>14045</v>
      </c>
      <c r="DE7" s="14" t="s">
        <v>14050</v>
      </c>
      <c r="DF7" s="14" t="s">
        <v>14045</v>
      </c>
      <c r="DG7" s="14" t="s">
        <v>14050</v>
      </c>
      <c r="DH7" s="14" t="s">
        <v>14045</v>
      </c>
      <c r="DI7" s="14" t="s">
        <v>14050</v>
      </c>
      <c r="DJ7" s="14" t="s">
        <v>14045</v>
      </c>
      <c r="DK7" s="14" t="s">
        <v>14045</v>
      </c>
      <c r="DL7" s="14" t="s">
        <v>14050</v>
      </c>
      <c r="DM7" s="14" t="s">
        <v>14045</v>
      </c>
      <c r="DN7" s="14" t="s">
        <v>14050</v>
      </c>
      <c r="DO7" s="14" t="s">
        <v>14045</v>
      </c>
      <c r="DP7" s="14" t="s">
        <v>14060</v>
      </c>
      <c r="DQ7" s="14" t="s">
        <v>14045</v>
      </c>
      <c r="DR7" s="14" t="s">
        <v>14049</v>
      </c>
      <c r="DS7" s="14" t="s">
        <v>14045</v>
      </c>
      <c r="DT7" s="14" t="s">
        <v>14045</v>
      </c>
      <c r="DU7" s="14" t="s">
        <v>14050</v>
      </c>
      <c r="DV7" s="14" t="s">
        <v>14061</v>
      </c>
      <c r="DW7" s="14" t="s">
        <v>14045</v>
      </c>
      <c r="DX7" s="14" t="s">
        <v>14049</v>
      </c>
      <c r="DY7" s="14" t="s">
        <v>14055</v>
      </c>
      <c r="DZ7" s="14" t="s">
        <v>14045</v>
      </c>
      <c r="EA7" s="14" t="s">
        <v>14049</v>
      </c>
      <c r="EB7" s="14" t="s">
        <v>14059</v>
      </c>
      <c r="EC7" s="14" t="s">
        <v>14045</v>
      </c>
      <c r="ED7" s="14" t="s">
        <v>14050</v>
      </c>
      <c r="EE7" s="14" t="s">
        <v>14050</v>
      </c>
      <c r="EF7" s="14" t="s">
        <v>14050</v>
      </c>
      <c r="EG7" s="14" t="s">
        <v>14050</v>
      </c>
      <c r="EH7" s="14" t="s">
        <v>14049</v>
      </c>
      <c r="EI7" s="14" t="s">
        <v>14050</v>
      </c>
      <c r="EJ7" s="14" t="s">
        <v>14045</v>
      </c>
      <c r="EK7" s="14" t="s">
        <v>14051</v>
      </c>
      <c r="EL7" s="14" t="s">
        <v>14045</v>
      </c>
      <c r="EM7" s="14" t="s">
        <v>14049</v>
      </c>
      <c r="EN7" s="14" t="s">
        <v>14049</v>
      </c>
      <c r="EO7" s="14" t="s">
        <v>14049</v>
      </c>
      <c r="EP7" s="14" t="s">
        <v>14049</v>
      </c>
      <c r="EQ7" s="14" t="s">
        <v>14049</v>
      </c>
      <c r="ER7" s="14" t="s">
        <v>14049</v>
      </c>
      <c r="ES7" s="14" t="s">
        <v>14049</v>
      </c>
      <c r="ET7" s="14" t="s">
        <v>14049</v>
      </c>
      <c r="EU7" s="14" t="s">
        <v>14045</v>
      </c>
      <c r="EV7" s="14" t="s">
        <v>14049</v>
      </c>
      <c r="EW7" s="14" t="s">
        <v>14050</v>
      </c>
      <c r="EX7" s="14" t="s">
        <v>14047</v>
      </c>
      <c r="EY7" s="14" t="s">
        <v>14045</v>
      </c>
      <c r="EZ7" s="14" t="s">
        <v>14045</v>
      </c>
      <c r="FA7" s="14" t="s">
        <v>14045</v>
      </c>
      <c r="FB7" s="14" t="s">
        <v>34178</v>
      </c>
      <c r="FC7" s="14" t="s">
        <v>34178</v>
      </c>
      <c r="FD7" s="14" t="s">
        <v>34184</v>
      </c>
      <c r="FE7" s="14" t="s">
        <v>34178</v>
      </c>
      <c r="FF7" s="14" t="s">
        <v>34213</v>
      </c>
      <c r="FG7" s="14" t="s">
        <v>34297</v>
      </c>
      <c r="FH7" s="14" t="s">
        <v>34298</v>
      </c>
      <c r="FI7" s="14" t="s">
        <v>34293</v>
      </c>
      <c r="FJ7" s="14" t="s">
        <v>34293</v>
      </c>
      <c r="FK7" s="14" t="s">
        <v>34299</v>
      </c>
      <c r="FL7" s="14" t="s">
        <v>34292</v>
      </c>
      <c r="FM7" s="14" t="s">
        <v>14060</v>
      </c>
      <c r="FN7" s="14" t="s">
        <v>34178</v>
      </c>
      <c r="FO7" s="14" t="s">
        <v>34178</v>
      </c>
    </row>
    <row r="8" spans="2:171">
      <c r="B8" s="4" t="s">
        <v>34300</v>
      </c>
      <c r="D8" s="8" t="s">
        <v>31277</v>
      </c>
      <c r="E8" s="8" t="s">
        <v>31277</v>
      </c>
      <c r="F8" s="8" t="s">
        <v>31277</v>
      </c>
      <c r="G8" s="8" t="s">
        <v>31277</v>
      </c>
      <c r="H8" s="8" t="s">
        <v>31277</v>
      </c>
      <c r="I8" s="8" t="s">
        <v>31277</v>
      </c>
      <c r="J8" s="8" t="s">
        <v>31277</v>
      </c>
      <c r="K8" s="8" t="s">
        <v>31277</v>
      </c>
      <c r="L8" s="8" t="s">
        <v>31277</v>
      </c>
      <c r="M8" s="8" t="s">
        <v>31277</v>
      </c>
      <c r="N8" s="8" t="s">
        <v>31277</v>
      </c>
      <c r="O8" s="8" t="s">
        <v>31257</v>
      </c>
      <c r="P8" s="8" t="s">
        <v>31277</v>
      </c>
      <c r="Q8" s="8" t="s">
        <v>31277</v>
      </c>
      <c r="R8" s="8" t="s">
        <v>31277</v>
      </c>
      <c r="S8" s="8" t="s">
        <v>31277</v>
      </c>
      <c r="T8" s="8" t="s">
        <v>31277</v>
      </c>
      <c r="U8" s="8" t="s">
        <v>31277</v>
      </c>
      <c r="V8" s="8" t="s">
        <v>31277</v>
      </c>
      <c r="W8" s="8" t="s">
        <v>31277</v>
      </c>
      <c r="X8" s="8" t="s">
        <v>31370</v>
      </c>
      <c r="Y8" s="8" t="s">
        <v>31370</v>
      </c>
      <c r="Z8" s="8" t="s">
        <v>31370</v>
      </c>
      <c r="AA8" s="8" t="s">
        <v>31277</v>
      </c>
      <c r="AB8" s="8" t="s">
        <v>31257</v>
      </c>
      <c r="AC8" s="8" t="s">
        <v>31277</v>
      </c>
      <c r="AD8" s="8" t="s">
        <v>31277</v>
      </c>
      <c r="AE8" s="8" t="s">
        <v>31277</v>
      </c>
      <c r="AF8" s="8" t="s">
        <v>34301</v>
      </c>
      <c r="AG8" s="8" t="s">
        <v>31277</v>
      </c>
      <c r="AH8" s="8" t="s">
        <v>31277</v>
      </c>
      <c r="AI8" s="8" t="s">
        <v>31277</v>
      </c>
      <c r="AJ8" s="8" t="s">
        <v>31277</v>
      </c>
      <c r="AK8" s="8" t="s">
        <v>31277</v>
      </c>
      <c r="AL8" s="8" t="s">
        <v>34302</v>
      </c>
      <c r="AM8" s="8" t="s">
        <v>31257</v>
      </c>
      <c r="AN8" s="8" t="s">
        <v>31277</v>
      </c>
      <c r="AO8" s="8" t="s">
        <v>31277</v>
      </c>
      <c r="AP8" s="8" t="s">
        <v>31277</v>
      </c>
      <c r="AQ8" s="8" t="s">
        <v>31277</v>
      </c>
      <c r="AR8" s="8" t="s">
        <v>31277</v>
      </c>
      <c r="AS8" s="8" t="s">
        <v>31277</v>
      </c>
      <c r="AT8" s="8" t="s">
        <v>31277</v>
      </c>
      <c r="AU8" s="8" t="s">
        <v>31277</v>
      </c>
      <c r="AV8" s="8" t="s">
        <v>31277</v>
      </c>
      <c r="AW8" s="8" t="s">
        <v>31277</v>
      </c>
      <c r="AX8" s="8" t="s">
        <v>31277</v>
      </c>
      <c r="AY8" s="8" t="s">
        <v>31277</v>
      </c>
      <c r="AZ8" s="8" t="s">
        <v>31277</v>
      </c>
      <c r="BA8" s="8" t="s">
        <v>31277</v>
      </c>
      <c r="BB8" s="24" t="s">
        <v>31370</v>
      </c>
      <c r="BC8" s="8" t="s">
        <v>31277</v>
      </c>
      <c r="BD8" s="8" t="s">
        <v>31277</v>
      </c>
      <c r="BE8" s="8" t="s">
        <v>31370</v>
      </c>
      <c r="BF8" s="8" t="s">
        <v>34303</v>
      </c>
      <c r="BG8" s="8" t="s">
        <v>31370</v>
      </c>
      <c r="BH8" s="8" t="s">
        <v>31277</v>
      </c>
      <c r="BI8" s="8" t="s">
        <v>31277</v>
      </c>
      <c r="BJ8" s="8" t="s">
        <v>31277</v>
      </c>
      <c r="BK8" s="8" t="s">
        <v>31370</v>
      </c>
      <c r="BL8" s="8" t="s">
        <v>31277</v>
      </c>
      <c r="BM8" s="8" t="s">
        <v>31370</v>
      </c>
      <c r="BN8" s="8" t="s">
        <v>34304</v>
      </c>
      <c r="BO8" s="8" t="s">
        <v>31277</v>
      </c>
      <c r="BP8" s="8" t="s">
        <v>31370</v>
      </c>
      <c r="BQ8" s="8" t="s">
        <v>31277</v>
      </c>
      <c r="BR8" s="8" t="s">
        <v>31370</v>
      </c>
      <c r="BS8" s="8" t="s">
        <v>31277</v>
      </c>
      <c r="BT8" s="8" t="s">
        <v>31370</v>
      </c>
      <c r="BU8" s="8" t="s">
        <v>34303</v>
      </c>
      <c r="BV8" s="8" t="s">
        <v>31277</v>
      </c>
      <c r="BW8" s="8" t="s">
        <v>31370</v>
      </c>
      <c r="BX8" s="8" t="s">
        <v>34303</v>
      </c>
      <c r="BY8" s="8" t="s">
        <v>31277</v>
      </c>
      <c r="BZ8" s="8" t="s">
        <v>31370</v>
      </c>
      <c r="CA8" s="8" t="s">
        <v>31277</v>
      </c>
      <c r="CB8" s="8" t="s">
        <v>34303</v>
      </c>
      <c r="CC8" s="8" t="s">
        <v>31370</v>
      </c>
      <c r="CD8" s="8" t="s">
        <v>31277</v>
      </c>
      <c r="CE8" s="8" t="s">
        <v>31370</v>
      </c>
      <c r="CF8" s="8" t="s">
        <v>31277</v>
      </c>
      <c r="CG8" s="8" t="s">
        <v>31277</v>
      </c>
      <c r="CH8" s="8" t="s">
        <v>31277</v>
      </c>
      <c r="CI8" s="8" t="s">
        <v>31277</v>
      </c>
      <c r="CJ8" s="8" t="s">
        <v>31370</v>
      </c>
      <c r="CK8" s="8" t="s">
        <v>31277</v>
      </c>
      <c r="CL8" s="8" t="s">
        <v>31370</v>
      </c>
      <c r="CM8" s="8" t="s">
        <v>31277</v>
      </c>
      <c r="CN8" s="8" t="s">
        <v>31277</v>
      </c>
      <c r="CO8" s="8" t="s">
        <v>31370</v>
      </c>
      <c r="CP8" s="8" t="s">
        <v>31277</v>
      </c>
      <c r="CQ8" s="8" t="s">
        <v>31370</v>
      </c>
      <c r="CR8" s="8" t="s">
        <v>31277</v>
      </c>
      <c r="CS8" s="8" t="s">
        <v>31370</v>
      </c>
      <c r="CT8" s="8" t="s">
        <v>31277</v>
      </c>
      <c r="CU8" s="8" t="s">
        <v>31277</v>
      </c>
      <c r="CV8" s="8" t="s">
        <v>31370</v>
      </c>
      <c r="CW8" s="8" t="s">
        <v>31277</v>
      </c>
      <c r="CX8" s="8" t="s">
        <v>31370</v>
      </c>
      <c r="CY8" s="8" t="s">
        <v>31277</v>
      </c>
      <c r="CZ8" s="8" t="s">
        <v>31370</v>
      </c>
      <c r="DA8" s="8" t="s">
        <v>31277</v>
      </c>
      <c r="DB8" s="8" t="s">
        <v>31277</v>
      </c>
      <c r="DC8" s="8" t="s">
        <v>31370</v>
      </c>
      <c r="DD8" s="8" t="s">
        <v>31277</v>
      </c>
      <c r="DE8" s="8" t="s">
        <v>31370</v>
      </c>
      <c r="DF8" s="8" t="s">
        <v>31277</v>
      </c>
      <c r="DG8" s="8" t="s">
        <v>31370</v>
      </c>
      <c r="DH8" s="8" t="s">
        <v>31277</v>
      </c>
      <c r="DI8" s="8" t="s">
        <v>31370</v>
      </c>
      <c r="DJ8" s="8" t="s">
        <v>31277</v>
      </c>
      <c r="DK8" s="8" t="s">
        <v>31277</v>
      </c>
      <c r="DL8" s="8" t="s">
        <v>31370</v>
      </c>
      <c r="DM8" s="8" t="s">
        <v>31277</v>
      </c>
      <c r="DN8" s="8" t="s">
        <v>31370</v>
      </c>
      <c r="DO8" s="8" t="s">
        <v>31277</v>
      </c>
      <c r="DP8" s="8" t="s">
        <v>13867</v>
      </c>
      <c r="DQ8" s="8" t="s">
        <v>31277</v>
      </c>
      <c r="DR8" s="26" t="s">
        <v>31257</v>
      </c>
      <c r="DS8" s="8" t="s">
        <v>31277</v>
      </c>
      <c r="DT8" s="8" t="s">
        <v>31277</v>
      </c>
      <c r="DV8" s="8" t="s">
        <v>31277</v>
      </c>
      <c r="DW8" s="8" t="s">
        <v>31277</v>
      </c>
      <c r="DX8" s="8" t="s">
        <v>31257</v>
      </c>
      <c r="DY8" s="8" t="s">
        <v>31257</v>
      </c>
      <c r="DZ8" s="8" t="s">
        <v>31277</v>
      </c>
      <c r="EA8" s="26" t="s">
        <v>31257</v>
      </c>
      <c r="EB8" s="8" t="s">
        <v>31345</v>
      </c>
      <c r="EC8" s="8" t="s">
        <v>31277</v>
      </c>
      <c r="ED8" s="8" t="s">
        <v>31370</v>
      </c>
      <c r="EE8" s="8" t="s">
        <v>31370</v>
      </c>
      <c r="EF8" s="8" t="s">
        <v>31370</v>
      </c>
      <c r="EG8" s="8" t="s">
        <v>31370</v>
      </c>
      <c r="EH8" s="26" t="s">
        <v>31257</v>
      </c>
      <c r="EI8" s="26" t="s">
        <v>31370</v>
      </c>
      <c r="EJ8" s="26" t="s">
        <v>31257</v>
      </c>
      <c r="EK8" s="26" t="s">
        <v>34305</v>
      </c>
      <c r="EL8" s="26" t="s">
        <v>31257</v>
      </c>
      <c r="EM8" s="26" t="s">
        <v>31257</v>
      </c>
      <c r="EN8" s="26" t="s">
        <v>31257</v>
      </c>
      <c r="EO8" s="26" t="s">
        <v>31257</v>
      </c>
      <c r="EP8" s="26" t="s">
        <v>31257</v>
      </c>
      <c r="EQ8" s="26" t="s">
        <v>31257</v>
      </c>
      <c r="ER8" s="26" t="s">
        <v>31257</v>
      </c>
      <c r="ES8" s="26" t="s">
        <v>31257</v>
      </c>
      <c r="ET8" s="26" t="s">
        <v>31257</v>
      </c>
      <c r="EU8" s="26" t="s">
        <v>31277</v>
      </c>
      <c r="EV8" s="26" t="s">
        <v>31257</v>
      </c>
      <c r="EW8" s="26" t="s">
        <v>31370</v>
      </c>
      <c r="EX8" s="8" t="s">
        <v>34302</v>
      </c>
      <c r="EY8" s="8" t="s">
        <v>31277</v>
      </c>
      <c r="EZ8" s="8" t="s">
        <v>31277</v>
      </c>
      <c r="FA8" s="8" t="s">
        <v>31277</v>
      </c>
      <c r="FB8" s="8" t="s">
        <v>31277</v>
      </c>
      <c r="FC8" s="8" t="s">
        <v>31277</v>
      </c>
      <c r="FD8" s="8" t="s">
        <v>34306</v>
      </c>
      <c r="FE8" s="8" t="s">
        <v>31277</v>
      </c>
      <c r="FF8" s="8" t="s">
        <v>34302</v>
      </c>
      <c r="FG8" s="8" t="s">
        <v>34302</v>
      </c>
      <c r="FH8" s="8" t="s">
        <v>34307</v>
      </c>
      <c r="FI8" s="8" t="s">
        <v>31257</v>
      </c>
      <c r="FJ8" s="8" t="s">
        <v>31257</v>
      </c>
      <c r="FK8" s="8" t="s">
        <v>34308</v>
      </c>
      <c r="FL8" s="8" t="s">
        <v>31277</v>
      </c>
      <c r="FM8" s="8" t="s">
        <v>34309</v>
      </c>
      <c r="FN8" s="8" t="s">
        <v>31277</v>
      </c>
      <c r="FO8" s="8" t="s">
        <v>31277</v>
      </c>
    </row>
    <row r="9" spans="1:174">
      <c r="A9" s="9" t="s">
        <v>34310</v>
      </c>
      <c r="B9" s="9" t="s">
        <v>34187</v>
      </c>
      <c r="E9" s="16">
        <v>0</v>
      </c>
      <c r="L9" s="16">
        <v>1626463.04</v>
      </c>
      <c r="O9" s="16">
        <v>837644.31</v>
      </c>
      <c r="Q9" s="16">
        <v>0</v>
      </c>
      <c r="X9" s="16">
        <v>0</v>
      </c>
      <c r="Y9" s="16">
        <v>22042.25</v>
      </c>
      <c r="AA9" s="16">
        <v>303275.7</v>
      </c>
      <c r="AB9" s="16">
        <v>1423094.83</v>
      </c>
      <c r="AD9" s="16">
        <v>0</v>
      </c>
      <c r="AK9" s="16">
        <v>300</v>
      </c>
      <c r="AM9" s="16">
        <v>66157.56</v>
      </c>
      <c r="AN9" s="16">
        <v>9599.42</v>
      </c>
      <c r="AO9" s="16">
        <v>73090.45</v>
      </c>
      <c r="AP9" s="16">
        <v>16727.2</v>
      </c>
      <c r="AQ9" s="16">
        <v>67126.53</v>
      </c>
      <c r="AR9" s="16">
        <v>-785.55</v>
      </c>
      <c r="AS9" s="16">
        <v>7278.2</v>
      </c>
      <c r="AT9" s="16">
        <v>120821.63</v>
      </c>
      <c r="AU9" s="16">
        <v>7586.11</v>
      </c>
      <c r="AV9" s="16">
        <v>15212.52</v>
      </c>
      <c r="AW9" s="16">
        <v>11142.28</v>
      </c>
      <c r="AX9" s="16">
        <v>22234.57</v>
      </c>
      <c r="AY9" s="16">
        <v>41467.04</v>
      </c>
      <c r="AZ9" s="16">
        <v>26237.78</v>
      </c>
      <c r="BA9" s="16">
        <v>0</v>
      </c>
      <c r="BB9" s="16">
        <v>20277.41</v>
      </c>
      <c r="BC9" s="16">
        <v>39.69</v>
      </c>
      <c r="BD9" s="16">
        <v>0</v>
      </c>
      <c r="BE9" s="16">
        <v>14314.7</v>
      </c>
      <c r="BG9" s="16">
        <v>30165.97</v>
      </c>
      <c r="BH9" s="16">
        <v>0</v>
      </c>
      <c r="BJ9" s="16">
        <v>0</v>
      </c>
      <c r="BK9" s="16">
        <v>21033.44</v>
      </c>
      <c r="BL9" s="16">
        <v>0</v>
      </c>
      <c r="BM9" s="16">
        <v>33100.88</v>
      </c>
      <c r="BO9" s="16">
        <v>0</v>
      </c>
      <c r="BP9" s="16">
        <v>11078.66</v>
      </c>
      <c r="BQ9" s="16">
        <v>0</v>
      </c>
      <c r="BR9" s="16">
        <v>15067.99</v>
      </c>
      <c r="BS9" s="16">
        <v>0</v>
      </c>
      <c r="BT9" s="16">
        <v>21519.96</v>
      </c>
      <c r="BV9" s="16">
        <v>0</v>
      </c>
      <c r="BW9" s="16">
        <v>28968.29</v>
      </c>
      <c r="BY9" s="16">
        <v>0</v>
      </c>
      <c r="BZ9" s="16">
        <v>15854.98</v>
      </c>
      <c r="CA9" s="16">
        <v>0</v>
      </c>
      <c r="CC9" s="16">
        <v>21855.01</v>
      </c>
      <c r="CD9" s="16">
        <v>0</v>
      </c>
      <c r="CE9" s="16">
        <v>29907.08</v>
      </c>
      <c r="CI9" s="16">
        <v>0</v>
      </c>
      <c r="CJ9" s="16">
        <v>6178.86</v>
      </c>
      <c r="CK9" s="16">
        <v>0</v>
      </c>
      <c r="CL9" s="16">
        <v>23298.94</v>
      </c>
      <c r="CN9" s="16">
        <v>0</v>
      </c>
      <c r="CO9" s="16">
        <v>35702.52</v>
      </c>
      <c r="CP9" s="16">
        <v>0</v>
      </c>
      <c r="CQ9" s="16">
        <v>19084.84</v>
      </c>
      <c r="CR9" s="16">
        <v>0</v>
      </c>
      <c r="CS9" s="16">
        <v>21855.01</v>
      </c>
      <c r="CU9" s="16">
        <v>0</v>
      </c>
      <c r="CV9" s="16">
        <v>53574.87</v>
      </c>
      <c r="CW9" s="16">
        <v>0</v>
      </c>
      <c r="CX9" s="16">
        <v>31330.48</v>
      </c>
      <c r="CY9" s="16">
        <v>0</v>
      </c>
      <c r="CZ9" s="16">
        <v>23186.23</v>
      </c>
      <c r="DB9" s="16">
        <v>0</v>
      </c>
      <c r="DC9" s="16">
        <v>2850.56</v>
      </c>
      <c r="DD9" s="16">
        <v>0</v>
      </c>
      <c r="DE9" s="16">
        <v>21171.73</v>
      </c>
      <c r="DF9" s="16">
        <v>0</v>
      </c>
      <c r="DG9" s="16">
        <v>35026.5</v>
      </c>
      <c r="DH9" s="16">
        <v>0</v>
      </c>
      <c r="DI9" s="16">
        <v>20589.16</v>
      </c>
      <c r="DK9" s="16">
        <v>0</v>
      </c>
      <c r="DL9" s="16">
        <v>23825.11</v>
      </c>
      <c r="DM9" s="16">
        <v>0</v>
      </c>
      <c r="DN9" s="16">
        <v>21038.79</v>
      </c>
      <c r="DP9" s="16">
        <v>4700</v>
      </c>
      <c r="DR9" s="16">
        <v>7391.58</v>
      </c>
      <c r="DU9" s="16">
        <v>78548.95</v>
      </c>
      <c r="DX9" s="16">
        <v>32719.13</v>
      </c>
      <c r="DY9" s="16">
        <v>32719.13</v>
      </c>
      <c r="EA9" s="16">
        <v>3553.72</v>
      </c>
      <c r="EB9" s="16">
        <v>6101.65</v>
      </c>
      <c r="ED9" s="16">
        <v>42631.54</v>
      </c>
      <c r="EE9" s="16">
        <v>41137.04</v>
      </c>
      <c r="EF9" s="16">
        <v>17464.09</v>
      </c>
      <c r="EG9" s="16">
        <v>24985.08</v>
      </c>
      <c r="EH9" s="16">
        <v>27429.89</v>
      </c>
      <c r="EL9" s="16">
        <v>166313.91</v>
      </c>
      <c r="EM9" s="16">
        <v>1563.76</v>
      </c>
      <c r="EN9" s="16">
        <v>5828.43</v>
      </c>
      <c r="EO9" s="16">
        <v>16687.57</v>
      </c>
      <c r="EP9" s="16">
        <v>23082</v>
      </c>
      <c r="EQ9" s="16">
        <v>5369.29</v>
      </c>
      <c r="ER9" s="16">
        <v>18775.38</v>
      </c>
      <c r="ES9" s="16">
        <v>47269.03</v>
      </c>
      <c r="ET9" s="16">
        <v>51430.9</v>
      </c>
      <c r="EV9" s="16">
        <v>42009.59</v>
      </c>
      <c r="FB9" s="16">
        <v>0</v>
      </c>
      <c r="FE9" s="16">
        <v>1798.58</v>
      </c>
      <c r="FI9" s="16">
        <v>116045.49</v>
      </c>
      <c r="FN9" s="16">
        <v>22652.59</v>
      </c>
      <c r="FO9" s="16">
        <v>148664.98</v>
      </c>
      <c r="FP9" s="10">
        <f t="shared" ref="FP9:FP27" si="2">SUM(D9:FO9)</f>
        <v>6285486.83000001</v>
      </c>
      <c r="FQ9" s="10">
        <v>0</v>
      </c>
      <c r="FR9" s="10">
        <f>+FP9-FQ9</f>
        <v>6285486.83000001</v>
      </c>
    </row>
    <row r="10" spans="172:172">
      <c r="FP10" s="10">
        <f t="shared" si="2"/>
        <v>0</v>
      </c>
    </row>
    <row r="11" spans="1:174">
      <c r="A11" s="9" t="s">
        <v>34311</v>
      </c>
      <c r="E11" s="17">
        <v>0</v>
      </c>
      <c r="L11" s="17">
        <v>108052.44</v>
      </c>
      <c r="O11" s="17">
        <v>0</v>
      </c>
      <c r="Q11" s="17">
        <v>0</v>
      </c>
      <c r="X11" s="17">
        <v>0</v>
      </c>
      <c r="Y11" s="17">
        <v>696.82</v>
      </c>
      <c r="AA11" s="17">
        <v>3392.44</v>
      </c>
      <c r="AB11" s="17">
        <v>0</v>
      </c>
      <c r="AD11" s="17">
        <v>3306.58</v>
      </c>
      <c r="AK11" s="17">
        <v>0</v>
      </c>
      <c r="AM11" s="17">
        <v>0</v>
      </c>
      <c r="AN11" s="17">
        <v>2056.39</v>
      </c>
      <c r="AO11" s="17">
        <v>13766.69</v>
      </c>
      <c r="AP11" s="17">
        <v>171784.37</v>
      </c>
      <c r="AQ11" s="17">
        <v>3768.24</v>
      </c>
      <c r="AR11" s="17">
        <v>2826.18</v>
      </c>
      <c r="AS11" s="17">
        <v>0</v>
      </c>
      <c r="AT11" s="17">
        <v>1000</v>
      </c>
      <c r="AU11" s="17">
        <v>1000</v>
      </c>
      <c r="AV11" s="17">
        <v>1000</v>
      </c>
      <c r="AW11" s="17">
        <v>1000</v>
      </c>
      <c r="AX11" s="17">
        <v>0</v>
      </c>
      <c r="AY11" s="17">
        <v>0</v>
      </c>
      <c r="AZ11" s="17">
        <v>143973.19</v>
      </c>
      <c r="BA11" s="17">
        <v>0</v>
      </c>
      <c r="BB11" s="17">
        <v>51038</v>
      </c>
      <c r="BC11" s="17">
        <v>34566.64</v>
      </c>
      <c r="BD11" s="17">
        <v>8889</v>
      </c>
      <c r="BE11" s="17">
        <v>1732.83</v>
      </c>
      <c r="BG11" s="17">
        <v>206081.35</v>
      </c>
      <c r="BH11" s="17">
        <v>9406.64</v>
      </c>
      <c r="BJ11" s="17">
        <v>0</v>
      </c>
      <c r="BK11" s="17">
        <v>8673.41</v>
      </c>
      <c r="BL11" s="17">
        <v>5000</v>
      </c>
      <c r="BM11" s="17">
        <v>18939.4</v>
      </c>
      <c r="BO11" s="17">
        <v>0</v>
      </c>
      <c r="BP11" s="17">
        <v>0</v>
      </c>
      <c r="BQ11" s="17">
        <v>0</v>
      </c>
      <c r="BR11" s="17">
        <v>26913</v>
      </c>
      <c r="BS11" s="17">
        <v>0</v>
      </c>
      <c r="BT11" s="17">
        <v>642.22</v>
      </c>
      <c r="BV11" s="17">
        <v>0</v>
      </c>
      <c r="BW11" s="17">
        <v>12506.56</v>
      </c>
      <c r="BY11" s="17">
        <v>0</v>
      </c>
      <c r="BZ11" s="17">
        <v>4332.96</v>
      </c>
      <c r="CA11" s="17">
        <v>0</v>
      </c>
      <c r="CC11" s="17">
        <v>15429.92</v>
      </c>
      <c r="CD11" s="17">
        <v>0</v>
      </c>
      <c r="CE11" s="17">
        <v>13529.5</v>
      </c>
      <c r="CI11" s="17">
        <v>0</v>
      </c>
      <c r="CJ11" s="17">
        <v>5972.94</v>
      </c>
      <c r="CK11" s="17">
        <v>0</v>
      </c>
      <c r="CL11" s="17">
        <v>1794.33</v>
      </c>
      <c r="CN11" s="17">
        <v>0</v>
      </c>
      <c r="CO11" s="17">
        <v>12192.62</v>
      </c>
      <c r="CP11" s="17">
        <v>0</v>
      </c>
      <c r="CQ11" s="17">
        <v>23004.08</v>
      </c>
      <c r="CR11" s="17">
        <v>0</v>
      </c>
      <c r="CS11" s="17">
        <v>15429.92</v>
      </c>
      <c r="CU11" s="17">
        <v>0</v>
      </c>
      <c r="CV11" s="17">
        <v>0</v>
      </c>
      <c r="CW11" s="17">
        <v>0</v>
      </c>
      <c r="CX11" s="17">
        <v>0</v>
      </c>
      <c r="CY11" s="17">
        <v>0</v>
      </c>
      <c r="CZ11" s="17">
        <v>0</v>
      </c>
      <c r="DB11" s="17">
        <v>0</v>
      </c>
      <c r="DC11" s="17">
        <v>10483.51</v>
      </c>
      <c r="DD11" s="17">
        <v>0</v>
      </c>
      <c r="DE11" s="17">
        <v>3901.45</v>
      </c>
      <c r="DF11" s="17">
        <v>0</v>
      </c>
      <c r="DG11" s="17">
        <v>4327.42</v>
      </c>
      <c r="DH11" s="17">
        <v>0</v>
      </c>
      <c r="DI11" s="17">
        <v>0</v>
      </c>
      <c r="DK11" s="17">
        <v>0</v>
      </c>
      <c r="DL11" s="17">
        <v>3621.21</v>
      </c>
      <c r="DM11" s="17">
        <v>8331.68</v>
      </c>
      <c r="DN11" s="17">
        <v>600</v>
      </c>
      <c r="DP11" s="17">
        <v>327284</v>
      </c>
      <c r="DR11" s="17">
        <v>11446</v>
      </c>
      <c r="DU11" s="17">
        <v>257533.35</v>
      </c>
      <c r="DX11" s="17">
        <v>18525.09</v>
      </c>
      <c r="DY11" s="17">
        <v>18525.09</v>
      </c>
      <c r="EA11" s="17">
        <v>70869.24</v>
      </c>
      <c r="EB11" s="17">
        <v>17850.3</v>
      </c>
      <c r="ED11" s="17">
        <v>0.03</v>
      </c>
      <c r="EE11" s="17">
        <v>0</v>
      </c>
      <c r="EF11" s="17">
        <v>3616.83</v>
      </c>
      <c r="EG11" s="17">
        <v>0</v>
      </c>
      <c r="EH11" s="17">
        <v>73934.02</v>
      </c>
      <c r="EL11" s="17">
        <v>0</v>
      </c>
      <c r="EM11" s="17">
        <v>8937.93</v>
      </c>
      <c r="EN11" s="17">
        <v>4388.05</v>
      </c>
      <c r="EO11" s="17">
        <v>18270.77</v>
      </c>
      <c r="EP11" s="17">
        <v>33741.57</v>
      </c>
      <c r="EQ11" s="17">
        <v>1308.75</v>
      </c>
      <c r="ER11" s="17">
        <v>24557.3</v>
      </c>
      <c r="ES11" s="17">
        <v>24307.65</v>
      </c>
      <c r="ET11" s="17">
        <v>559982.88</v>
      </c>
      <c r="EV11" s="17">
        <v>58779.15</v>
      </c>
      <c r="FB11" s="17">
        <v>74043.15</v>
      </c>
      <c r="FE11" s="17">
        <v>0</v>
      </c>
      <c r="FI11" s="17">
        <v>0</v>
      </c>
      <c r="FN11" s="17">
        <v>0</v>
      </c>
      <c r="FO11" s="17">
        <v>0</v>
      </c>
      <c r="FP11" s="10">
        <f t="shared" si="2"/>
        <v>2572865.08</v>
      </c>
      <c r="FR11" s="10">
        <f>+COUNTIFS(D9:FO9,"&gt;0")</f>
        <v>72</v>
      </c>
    </row>
    <row r="12" spans="1:172">
      <c r="A12" s="9" t="s">
        <v>34312</v>
      </c>
      <c r="E12" s="17">
        <v>29442.85</v>
      </c>
      <c r="L12" s="17">
        <v>304142.35</v>
      </c>
      <c r="O12" s="17">
        <v>0</v>
      </c>
      <c r="Q12" s="17">
        <v>13832.15</v>
      </c>
      <c r="X12" s="17">
        <v>0</v>
      </c>
      <c r="Y12" s="17">
        <v>1952.35</v>
      </c>
      <c r="AA12" s="17">
        <v>89095.41</v>
      </c>
      <c r="AB12" s="17">
        <v>0</v>
      </c>
      <c r="AD12" s="17">
        <v>78220.59</v>
      </c>
      <c r="AK12" s="17">
        <v>510.42</v>
      </c>
      <c r="AM12" s="17">
        <v>0</v>
      </c>
      <c r="AN12" s="17">
        <v>130818.09</v>
      </c>
      <c r="AO12" s="17">
        <v>37966.59</v>
      </c>
      <c r="AP12" s="17">
        <v>28531.25</v>
      </c>
      <c r="AQ12" s="17">
        <v>26728.56</v>
      </c>
      <c r="AR12" s="17">
        <v>154.24</v>
      </c>
      <c r="AS12" s="17">
        <v>1035.21</v>
      </c>
      <c r="AT12" s="17">
        <v>74.75</v>
      </c>
      <c r="AU12" s="17">
        <v>3709.33</v>
      </c>
      <c r="AV12" s="17">
        <v>1998.86</v>
      </c>
      <c r="AW12" s="17">
        <v>1382.08</v>
      </c>
      <c r="AX12" s="17">
        <v>0</v>
      </c>
      <c r="AY12" s="17">
        <v>2062.72</v>
      </c>
      <c r="AZ12" s="17">
        <v>153672.35</v>
      </c>
      <c r="BA12" s="17">
        <v>0</v>
      </c>
      <c r="BB12" s="17">
        <v>127.5</v>
      </c>
      <c r="BC12" s="17">
        <v>22420.36</v>
      </c>
      <c r="BD12" s="17">
        <v>2178.65</v>
      </c>
      <c r="BE12" s="17">
        <v>32497.56</v>
      </c>
      <c r="BG12" s="17">
        <v>28958.25</v>
      </c>
      <c r="BH12" s="17">
        <v>393</v>
      </c>
      <c r="BJ12" s="17">
        <v>2237.62</v>
      </c>
      <c r="BK12" s="17">
        <v>1302.71</v>
      </c>
      <c r="BL12" s="17">
        <v>999.6</v>
      </c>
      <c r="BM12" s="17">
        <v>32454.78</v>
      </c>
      <c r="BO12" s="17">
        <v>731</v>
      </c>
      <c r="BP12" s="17">
        <v>20000</v>
      </c>
      <c r="BQ12" s="17">
        <v>30000</v>
      </c>
      <c r="BR12" s="17">
        <v>1049.44</v>
      </c>
      <c r="BS12" s="17">
        <v>731</v>
      </c>
      <c r="BT12" s="17">
        <v>16063</v>
      </c>
      <c r="BV12" s="17">
        <v>0</v>
      </c>
      <c r="BW12" s="17">
        <v>33064</v>
      </c>
      <c r="BY12" s="17">
        <v>16000</v>
      </c>
      <c r="BZ12" s="17">
        <v>1199.57</v>
      </c>
      <c r="CA12" s="17">
        <v>0</v>
      </c>
      <c r="CC12" s="17">
        <v>300</v>
      </c>
      <c r="CD12" s="17">
        <v>0</v>
      </c>
      <c r="CE12" s="17">
        <v>8168.07</v>
      </c>
      <c r="CI12" s="17">
        <v>1043</v>
      </c>
      <c r="CJ12" s="17">
        <v>3455</v>
      </c>
      <c r="CK12" s="17">
        <v>0</v>
      </c>
      <c r="CL12" s="17">
        <v>11514.9</v>
      </c>
      <c r="CN12" s="17">
        <v>0</v>
      </c>
      <c r="CO12" s="17">
        <v>11014.33</v>
      </c>
      <c r="CP12" s="17">
        <v>0</v>
      </c>
      <c r="CQ12" s="17">
        <v>11615.07</v>
      </c>
      <c r="CR12" s="17">
        <v>0</v>
      </c>
      <c r="CS12" s="17">
        <v>300</v>
      </c>
      <c r="CU12" s="17">
        <v>0</v>
      </c>
      <c r="CV12" s="17">
        <v>495</v>
      </c>
      <c r="CW12" s="17">
        <v>0</v>
      </c>
      <c r="CX12" s="17">
        <v>4375.39</v>
      </c>
      <c r="CY12" s="17">
        <v>0</v>
      </c>
      <c r="CZ12" s="17">
        <v>1111.53</v>
      </c>
      <c r="DB12" s="17">
        <v>0</v>
      </c>
      <c r="DC12" s="17">
        <v>2237.26</v>
      </c>
      <c r="DD12" s="17">
        <v>0</v>
      </c>
      <c r="DE12" s="17">
        <v>300</v>
      </c>
      <c r="DF12" s="17">
        <v>526</v>
      </c>
      <c r="DG12" s="17">
        <v>400</v>
      </c>
      <c r="DH12" s="17">
        <v>0</v>
      </c>
      <c r="DI12" s="17">
        <v>255</v>
      </c>
      <c r="DK12" s="17">
        <v>0</v>
      </c>
      <c r="DL12" s="17">
        <v>1213.22</v>
      </c>
      <c r="DM12" s="17">
        <v>0</v>
      </c>
      <c r="DN12" s="17">
        <v>748.47</v>
      </c>
      <c r="DP12" s="17">
        <v>123679.28</v>
      </c>
      <c r="DR12" s="17">
        <v>227994.12</v>
      </c>
      <c r="DU12" s="17">
        <v>133752.87</v>
      </c>
      <c r="DX12" s="17">
        <v>55069.25</v>
      </c>
      <c r="DY12" s="17">
        <v>55069.25</v>
      </c>
      <c r="EA12" s="17">
        <v>89592.77</v>
      </c>
      <c r="EB12" s="17">
        <v>19899.25</v>
      </c>
      <c r="ED12" s="17">
        <v>9075.68</v>
      </c>
      <c r="EE12" s="17">
        <v>4343.04</v>
      </c>
      <c r="EF12" s="17">
        <v>490.09</v>
      </c>
      <c r="EG12" s="17">
        <v>64130.85</v>
      </c>
      <c r="EH12" s="17">
        <v>55159.37</v>
      </c>
      <c r="EL12" s="17">
        <v>7175</v>
      </c>
      <c r="EM12" s="17">
        <v>4361.31</v>
      </c>
      <c r="EN12" s="17">
        <v>3437.45</v>
      </c>
      <c r="EO12" s="17">
        <v>14258.13</v>
      </c>
      <c r="EP12" s="17">
        <v>21744.14</v>
      </c>
      <c r="EQ12" s="17">
        <v>3900.36</v>
      </c>
      <c r="ER12" s="17">
        <v>16917.33</v>
      </c>
      <c r="ES12" s="17">
        <v>108593.79</v>
      </c>
      <c r="ET12" s="17">
        <v>154938.24</v>
      </c>
      <c r="EV12" s="17">
        <v>49803.65</v>
      </c>
      <c r="FB12" s="17">
        <v>20741.25</v>
      </c>
      <c r="FE12" s="17">
        <v>0</v>
      </c>
      <c r="FI12" s="17">
        <v>0</v>
      </c>
      <c r="FN12" s="17">
        <v>171206.22</v>
      </c>
      <c r="FO12" s="17">
        <v>8052.19</v>
      </c>
      <c r="FP12" s="10">
        <f t="shared" si="2"/>
        <v>2630195.31</v>
      </c>
    </row>
    <row r="13" spans="2:172">
      <c r="B13" s="9" t="s">
        <v>34313</v>
      </c>
      <c r="E13" s="17">
        <v>0</v>
      </c>
      <c r="L13" s="17">
        <v>0</v>
      </c>
      <c r="O13" s="17">
        <v>0</v>
      </c>
      <c r="Q13" s="17">
        <v>0</v>
      </c>
      <c r="X13" s="17">
        <v>0</v>
      </c>
      <c r="Y13" s="17">
        <v>0</v>
      </c>
      <c r="AA13" s="17">
        <v>0</v>
      </c>
      <c r="AB13" s="17">
        <v>0</v>
      </c>
      <c r="AD13" s="17">
        <v>0</v>
      </c>
      <c r="AK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G13" s="17">
        <v>0</v>
      </c>
      <c r="BH13" s="17">
        <v>0</v>
      </c>
      <c r="BJ13" s="17">
        <v>0</v>
      </c>
      <c r="BK13" s="17">
        <v>0</v>
      </c>
      <c r="BL13" s="17">
        <v>0</v>
      </c>
      <c r="BM13" s="17">
        <v>0</v>
      </c>
      <c r="BO13" s="17">
        <v>0</v>
      </c>
      <c r="BP13" s="17">
        <v>0</v>
      </c>
      <c r="BQ13" s="17">
        <v>0</v>
      </c>
      <c r="BR13" s="17">
        <v>0</v>
      </c>
      <c r="BS13" s="17">
        <v>0</v>
      </c>
      <c r="BT13" s="17">
        <v>0</v>
      </c>
      <c r="BV13" s="17">
        <v>0</v>
      </c>
      <c r="BW13" s="17">
        <v>0</v>
      </c>
      <c r="BY13" s="17">
        <v>0</v>
      </c>
      <c r="BZ13" s="17">
        <v>0</v>
      </c>
      <c r="CA13" s="17">
        <v>0</v>
      </c>
      <c r="CC13" s="17">
        <v>0</v>
      </c>
      <c r="CD13" s="17">
        <v>0</v>
      </c>
      <c r="CE13" s="17">
        <v>0</v>
      </c>
      <c r="CI13" s="17">
        <v>0</v>
      </c>
      <c r="CJ13" s="17">
        <v>0</v>
      </c>
      <c r="CK13" s="17">
        <v>0</v>
      </c>
      <c r="CL13" s="17">
        <v>0</v>
      </c>
      <c r="CN13" s="17">
        <v>0</v>
      </c>
      <c r="CO13" s="17">
        <v>0</v>
      </c>
      <c r="CP13" s="17">
        <v>0</v>
      </c>
      <c r="CQ13" s="17">
        <v>0</v>
      </c>
      <c r="CR13" s="17">
        <v>0</v>
      </c>
      <c r="CS13" s="17">
        <v>0</v>
      </c>
      <c r="CU13" s="17">
        <v>0</v>
      </c>
      <c r="CV13" s="17">
        <v>0</v>
      </c>
      <c r="CW13" s="17">
        <v>0</v>
      </c>
      <c r="CX13" s="17">
        <v>0</v>
      </c>
      <c r="CY13" s="17">
        <v>0</v>
      </c>
      <c r="CZ13" s="17">
        <v>0</v>
      </c>
      <c r="DB13" s="17">
        <v>0</v>
      </c>
      <c r="DC13" s="17">
        <v>0</v>
      </c>
      <c r="DD13" s="17">
        <v>0</v>
      </c>
      <c r="DE13" s="17">
        <v>0</v>
      </c>
      <c r="DF13" s="17">
        <v>0</v>
      </c>
      <c r="DG13" s="17">
        <v>0</v>
      </c>
      <c r="DH13" s="17">
        <v>0</v>
      </c>
      <c r="DI13" s="17">
        <v>0</v>
      </c>
      <c r="DK13" s="17">
        <v>0</v>
      </c>
      <c r="DL13" s="17">
        <v>0</v>
      </c>
      <c r="DM13" s="17">
        <v>0</v>
      </c>
      <c r="DN13" s="17">
        <v>0</v>
      </c>
      <c r="DP13" s="17">
        <v>0</v>
      </c>
      <c r="DR13" s="17">
        <v>0</v>
      </c>
      <c r="DU13" s="17">
        <v>0</v>
      </c>
      <c r="DX13" s="17">
        <v>0</v>
      </c>
      <c r="DY13" s="17">
        <v>0</v>
      </c>
      <c r="EA13" s="17">
        <v>0</v>
      </c>
      <c r="EB13" s="17">
        <v>0</v>
      </c>
      <c r="ED13" s="17">
        <v>0</v>
      </c>
      <c r="EE13" s="17">
        <v>0</v>
      </c>
      <c r="EF13" s="17">
        <v>0</v>
      </c>
      <c r="EG13" s="17">
        <v>0</v>
      </c>
      <c r="EH13" s="17">
        <v>0</v>
      </c>
      <c r="EL13" s="17">
        <v>0</v>
      </c>
      <c r="EM13" s="17">
        <v>0</v>
      </c>
      <c r="EN13" s="17">
        <v>0</v>
      </c>
      <c r="EO13" s="17">
        <v>0</v>
      </c>
      <c r="EP13" s="17">
        <v>0</v>
      </c>
      <c r="EQ13" s="17">
        <v>0</v>
      </c>
      <c r="ER13" s="17">
        <v>0</v>
      </c>
      <c r="ES13" s="17">
        <v>0</v>
      </c>
      <c r="ET13" s="17">
        <v>0</v>
      </c>
      <c r="EV13" s="17">
        <v>0</v>
      </c>
      <c r="FB13" s="17">
        <v>0</v>
      </c>
      <c r="FE13" s="17">
        <v>0</v>
      </c>
      <c r="FI13" s="17">
        <v>0</v>
      </c>
      <c r="FN13" s="17">
        <v>0</v>
      </c>
      <c r="FO13" s="17">
        <v>0</v>
      </c>
      <c r="FP13" s="10">
        <f t="shared" si="2"/>
        <v>0</v>
      </c>
    </row>
    <row r="14" spans="2:172">
      <c r="B14" s="9" t="s">
        <v>34191</v>
      </c>
      <c r="D14" s="10">
        <f t="shared" ref="D14:BO14" si="3">D12+D13</f>
        <v>0</v>
      </c>
      <c r="E14" s="10">
        <f t="shared" si="3"/>
        <v>29442.85</v>
      </c>
      <c r="F14" s="10">
        <f t="shared" si="3"/>
        <v>0</v>
      </c>
      <c r="G14" s="10">
        <f t="shared" si="3"/>
        <v>0</v>
      </c>
      <c r="H14" s="10">
        <f t="shared" si="3"/>
        <v>0</v>
      </c>
      <c r="I14" s="10">
        <f t="shared" si="3"/>
        <v>0</v>
      </c>
      <c r="J14" s="10">
        <f t="shared" si="3"/>
        <v>0</v>
      </c>
      <c r="K14" s="10">
        <f t="shared" si="3"/>
        <v>0</v>
      </c>
      <c r="L14" s="10">
        <f t="shared" si="3"/>
        <v>304142.35</v>
      </c>
      <c r="M14" s="10">
        <f t="shared" si="3"/>
        <v>0</v>
      </c>
      <c r="N14" s="10">
        <f t="shared" si="3"/>
        <v>0</v>
      </c>
      <c r="O14" s="10">
        <f t="shared" si="3"/>
        <v>0</v>
      </c>
      <c r="P14" s="10">
        <f t="shared" si="3"/>
        <v>0</v>
      </c>
      <c r="Q14" s="10">
        <f t="shared" si="3"/>
        <v>13832.15</v>
      </c>
      <c r="R14" s="10">
        <f t="shared" si="3"/>
        <v>0</v>
      </c>
      <c r="S14" s="10">
        <f t="shared" si="3"/>
        <v>0</v>
      </c>
      <c r="T14" s="10">
        <f t="shared" si="3"/>
        <v>0</v>
      </c>
      <c r="U14" s="10">
        <f t="shared" si="3"/>
        <v>0</v>
      </c>
      <c r="V14" s="10">
        <f t="shared" si="3"/>
        <v>0</v>
      </c>
      <c r="W14" s="10">
        <f t="shared" si="3"/>
        <v>0</v>
      </c>
      <c r="X14" s="10">
        <f t="shared" si="3"/>
        <v>0</v>
      </c>
      <c r="Y14" s="10">
        <f t="shared" si="3"/>
        <v>1952.35</v>
      </c>
      <c r="Z14" s="10">
        <f t="shared" si="3"/>
        <v>0</v>
      </c>
      <c r="AA14" s="10">
        <f t="shared" si="3"/>
        <v>89095.41</v>
      </c>
      <c r="AB14" s="10">
        <f t="shared" si="3"/>
        <v>0</v>
      </c>
      <c r="AC14" s="10">
        <f t="shared" si="3"/>
        <v>0</v>
      </c>
      <c r="AD14" s="10">
        <f t="shared" si="3"/>
        <v>78220.59</v>
      </c>
      <c r="AE14" s="10">
        <f t="shared" si="3"/>
        <v>0</v>
      </c>
      <c r="AF14" s="10">
        <f t="shared" si="3"/>
        <v>0</v>
      </c>
      <c r="AG14" s="10">
        <f t="shared" si="3"/>
        <v>0</v>
      </c>
      <c r="AH14" s="10">
        <f t="shared" si="3"/>
        <v>0</v>
      </c>
      <c r="AI14" s="10">
        <f t="shared" si="3"/>
        <v>0</v>
      </c>
      <c r="AJ14" s="10">
        <f t="shared" si="3"/>
        <v>0</v>
      </c>
      <c r="AK14" s="10">
        <f t="shared" si="3"/>
        <v>510.42</v>
      </c>
      <c r="AL14" s="10">
        <f t="shared" si="3"/>
        <v>0</v>
      </c>
      <c r="AM14" s="10">
        <f t="shared" si="3"/>
        <v>0</v>
      </c>
      <c r="AN14" s="10">
        <f t="shared" si="3"/>
        <v>130818.09</v>
      </c>
      <c r="AO14" s="10">
        <f t="shared" si="3"/>
        <v>37966.59</v>
      </c>
      <c r="AP14" s="10">
        <f t="shared" si="3"/>
        <v>28531.25</v>
      </c>
      <c r="AQ14" s="10">
        <f t="shared" si="3"/>
        <v>26728.56</v>
      </c>
      <c r="AR14" s="10">
        <f t="shared" si="3"/>
        <v>154.24</v>
      </c>
      <c r="AS14" s="10">
        <f t="shared" si="3"/>
        <v>1035.21</v>
      </c>
      <c r="AT14" s="10">
        <f t="shared" si="3"/>
        <v>74.75</v>
      </c>
      <c r="AU14" s="10">
        <f t="shared" si="3"/>
        <v>3709.33</v>
      </c>
      <c r="AV14" s="10">
        <f t="shared" si="3"/>
        <v>1998.86</v>
      </c>
      <c r="AW14" s="10">
        <f t="shared" si="3"/>
        <v>1382.08</v>
      </c>
      <c r="AX14" s="10">
        <f t="shared" si="3"/>
        <v>0</v>
      </c>
      <c r="AY14" s="10">
        <f t="shared" si="3"/>
        <v>2062.72</v>
      </c>
      <c r="AZ14" s="10">
        <f t="shared" si="3"/>
        <v>153672.35</v>
      </c>
      <c r="BA14" s="10">
        <f t="shared" si="3"/>
        <v>0</v>
      </c>
      <c r="BB14" s="10">
        <f t="shared" si="3"/>
        <v>127.5</v>
      </c>
      <c r="BC14" s="10">
        <f t="shared" si="3"/>
        <v>22420.36</v>
      </c>
      <c r="BD14" s="10">
        <f t="shared" si="3"/>
        <v>2178.65</v>
      </c>
      <c r="BE14" s="10">
        <f t="shared" si="3"/>
        <v>32497.56</v>
      </c>
      <c r="BF14" s="10">
        <f t="shared" si="3"/>
        <v>0</v>
      </c>
      <c r="BG14" s="10">
        <f t="shared" si="3"/>
        <v>28958.25</v>
      </c>
      <c r="BH14" s="10">
        <f t="shared" si="3"/>
        <v>393</v>
      </c>
      <c r="BI14" s="10">
        <f t="shared" si="3"/>
        <v>0</v>
      </c>
      <c r="BJ14" s="10">
        <f t="shared" si="3"/>
        <v>2237.62</v>
      </c>
      <c r="BK14" s="10">
        <f t="shared" si="3"/>
        <v>1302.71</v>
      </c>
      <c r="BL14" s="10">
        <f t="shared" si="3"/>
        <v>999.6</v>
      </c>
      <c r="BM14" s="10">
        <f t="shared" si="3"/>
        <v>32454.78</v>
      </c>
      <c r="BN14" s="10">
        <f t="shared" si="3"/>
        <v>0</v>
      </c>
      <c r="BO14" s="10">
        <f t="shared" si="3"/>
        <v>731</v>
      </c>
      <c r="BP14" s="10">
        <f t="shared" ref="BP14:EA14" si="4">BP12+BP13</f>
        <v>20000</v>
      </c>
      <c r="BQ14" s="10">
        <f t="shared" si="4"/>
        <v>30000</v>
      </c>
      <c r="BR14" s="10">
        <f t="shared" si="4"/>
        <v>1049.44</v>
      </c>
      <c r="BS14" s="10">
        <f t="shared" si="4"/>
        <v>731</v>
      </c>
      <c r="BT14" s="10">
        <f t="shared" si="4"/>
        <v>16063</v>
      </c>
      <c r="BU14" s="10">
        <f t="shared" si="4"/>
        <v>0</v>
      </c>
      <c r="BV14" s="10">
        <f t="shared" si="4"/>
        <v>0</v>
      </c>
      <c r="BW14" s="10">
        <f t="shared" si="4"/>
        <v>33064</v>
      </c>
      <c r="BX14" s="10">
        <f t="shared" si="4"/>
        <v>0</v>
      </c>
      <c r="BY14" s="10">
        <f t="shared" si="4"/>
        <v>16000</v>
      </c>
      <c r="BZ14" s="10">
        <f t="shared" si="4"/>
        <v>1199.57</v>
      </c>
      <c r="CA14" s="10">
        <f t="shared" si="4"/>
        <v>0</v>
      </c>
      <c r="CB14" s="10">
        <f t="shared" si="4"/>
        <v>0</v>
      </c>
      <c r="CC14" s="10">
        <f t="shared" si="4"/>
        <v>300</v>
      </c>
      <c r="CD14" s="10">
        <f t="shared" si="4"/>
        <v>0</v>
      </c>
      <c r="CE14" s="10">
        <f t="shared" si="4"/>
        <v>8168.07</v>
      </c>
      <c r="CF14" s="10">
        <f t="shared" si="4"/>
        <v>0</v>
      </c>
      <c r="CG14" s="10">
        <f t="shared" si="4"/>
        <v>0</v>
      </c>
      <c r="CH14" s="10">
        <f t="shared" si="4"/>
        <v>0</v>
      </c>
      <c r="CI14" s="10">
        <f t="shared" si="4"/>
        <v>1043</v>
      </c>
      <c r="CJ14" s="10">
        <f t="shared" si="4"/>
        <v>3455</v>
      </c>
      <c r="CK14" s="10">
        <f t="shared" si="4"/>
        <v>0</v>
      </c>
      <c r="CL14" s="10">
        <f t="shared" si="4"/>
        <v>11514.9</v>
      </c>
      <c r="CM14" s="10">
        <f t="shared" si="4"/>
        <v>0</v>
      </c>
      <c r="CN14" s="10">
        <f t="shared" si="4"/>
        <v>0</v>
      </c>
      <c r="CO14" s="10">
        <f t="shared" si="4"/>
        <v>11014.33</v>
      </c>
      <c r="CP14" s="10">
        <f t="shared" si="4"/>
        <v>0</v>
      </c>
      <c r="CQ14" s="10">
        <f t="shared" si="4"/>
        <v>11615.07</v>
      </c>
      <c r="CR14" s="10">
        <f t="shared" si="4"/>
        <v>0</v>
      </c>
      <c r="CS14" s="10">
        <f t="shared" si="4"/>
        <v>300</v>
      </c>
      <c r="CT14" s="10">
        <f t="shared" si="4"/>
        <v>0</v>
      </c>
      <c r="CU14" s="10">
        <f t="shared" si="4"/>
        <v>0</v>
      </c>
      <c r="CV14" s="10">
        <f t="shared" si="4"/>
        <v>495</v>
      </c>
      <c r="CW14" s="10">
        <f t="shared" si="4"/>
        <v>0</v>
      </c>
      <c r="CX14" s="10">
        <f t="shared" si="4"/>
        <v>4375.39</v>
      </c>
      <c r="CY14" s="10">
        <f t="shared" si="4"/>
        <v>0</v>
      </c>
      <c r="CZ14" s="10">
        <f t="shared" si="4"/>
        <v>1111.53</v>
      </c>
      <c r="DA14" s="10">
        <f t="shared" si="4"/>
        <v>0</v>
      </c>
      <c r="DB14" s="10">
        <f t="shared" si="4"/>
        <v>0</v>
      </c>
      <c r="DC14" s="10">
        <f t="shared" si="4"/>
        <v>2237.26</v>
      </c>
      <c r="DD14" s="10">
        <f t="shared" si="4"/>
        <v>0</v>
      </c>
      <c r="DE14" s="10">
        <f t="shared" si="4"/>
        <v>300</v>
      </c>
      <c r="DF14" s="10">
        <f t="shared" si="4"/>
        <v>526</v>
      </c>
      <c r="DG14" s="10">
        <f t="shared" si="4"/>
        <v>400</v>
      </c>
      <c r="DH14" s="10">
        <f t="shared" si="4"/>
        <v>0</v>
      </c>
      <c r="DI14" s="10">
        <f t="shared" si="4"/>
        <v>255</v>
      </c>
      <c r="DJ14" s="10">
        <f t="shared" si="4"/>
        <v>0</v>
      </c>
      <c r="DK14" s="10">
        <f t="shared" si="4"/>
        <v>0</v>
      </c>
      <c r="DL14" s="10">
        <f t="shared" si="4"/>
        <v>1213.22</v>
      </c>
      <c r="DM14" s="10">
        <f t="shared" si="4"/>
        <v>0</v>
      </c>
      <c r="DN14" s="10">
        <f t="shared" si="4"/>
        <v>748.47</v>
      </c>
      <c r="DO14" s="10">
        <f t="shared" si="4"/>
        <v>0</v>
      </c>
      <c r="DP14" s="10">
        <f t="shared" si="4"/>
        <v>123679.28</v>
      </c>
      <c r="DQ14" s="10">
        <f t="shared" si="4"/>
        <v>0</v>
      </c>
      <c r="DR14" s="10">
        <f t="shared" si="4"/>
        <v>227994.12</v>
      </c>
      <c r="DS14" s="10">
        <f t="shared" si="4"/>
        <v>0</v>
      </c>
      <c r="DT14" s="10">
        <f t="shared" si="4"/>
        <v>0</v>
      </c>
      <c r="DU14" s="10">
        <f t="shared" si="4"/>
        <v>133752.87</v>
      </c>
      <c r="DV14" s="10">
        <f t="shared" si="4"/>
        <v>0</v>
      </c>
      <c r="DW14" s="10">
        <f t="shared" si="4"/>
        <v>0</v>
      </c>
      <c r="DX14" s="10">
        <f t="shared" si="4"/>
        <v>55069.25</v>
      </c>
      <c r="DY14" s="10">
        <f t="shared" si="4"/>
        <v>55069.25</v>
      </c>
      <c r="DZ14" s="10">
        <f t="shared" si="4"/>
        <v>0</v>
      </c>
      <c r="EA14" s="10">
        <f t="shared" si="4"/>
        <v>89592.77</v>
      </c>
      <c r="EB14" s="10">
        <f t="shared" ref="EB14:FO14" si="5">EB12+EB13</f>
        <v>19899.25</v>
      </c>
      <c r="EC14" s="10">
        <f t="shared" si="5"/>
        <v>0</v>
      </c>
      <c r="ED14" s="10">
        <f t="shared" si="5"/>
        <v>9075.68</v>
      </c>
      <c r="EE14" s="10">
        <f t="shared" si="5"/>
        <v>4343.04</v>
      </c>
      <c r="EF14" s="10">
        <f t="shared" si="5"/>
        <v>490.09</v>
      </c>
      <c r="EG14" s="10">
        <f t="shared" si="5"/>
        <v>64130.85</v>
      </c>
      <c r="EH14" s="10">
        <f t="shared" si="5"/>
        <v>55159.37</v>
      </c>
      <c r="EI14" s="10">
        <f t="shared" si="5"/>
        <v>0</v>
      </c>
      <c r="EJ14" s="10">
        <f t="shared" si="5"/>
        <v>0</v>
      </c>
      <c r="EK14" s="10">
        <f t="shared" si="5"/>
        <v>0</v>
      </c>
      <c r="EL14" s="10">
        <f t="shared" si="5"/>
        <v>7175</v>
      </c>
      <c r="EM14" s="10">
        <f t="shared" si="5"/>
        <v>4361.31</v>
      </c>
      <c r="EN14" s="10">
        <f t="shared" si="5"/>
        <v>3437.45</v>
      </c>
      <c r="EO14" s="10">
        <f t="shared" si="5"/>
        <v>14258.13</v>
      </c>
      <c r="EP14" s="10">
        <f t="shared" si="5"/>
        <v>21744.14</v>
      </c>
      <c r="EQ14" s="10">
        <f t="shared" si="5"/>
        <v>3900.36</v>
      </c>
      <c r="ER14" s="10">
        <f t="shared" si="5"/>
        <v>16917.33</v>
      </c>
      <c r="ES14" s="10">
        <f t="shared" si="5"/>
        <v>108593.79</v>
      </c>
      <c r="ET14" s="10">
        <f t="shared" si="5"/>
        <v>154938.24</v>
      </c>
      <c r="EU14" s="10">
        <f t="shared" si="5"/>
        <v>0</v>
      </c>
      <c r="EV14" s="10">
        <f t="shared" si="5"/>
        <v>49803.65</v>
      </c>
      <c r="EW14" s="10">
        <f t="shared" si="5"/>
        <v>0</v>
      </c>
      <c r="EX14" s="10">
        <f t="shared" si="5"/>
        <v>0</v>
      </c>
      <c r="EY14" s="10">
        <f t="shared" si="5"/>
        <v>0</v>
      </c>
      <c r="EZ14" s="10">
        <f t="shared" si="5"/>
        <v>0</v>
      </c>
      <c r="FA14" s="10">
        <f t="shared" si="5"/>
        <v>0</v>
      </c>
      <c r="FB14" s="10">
        <f t="shared" si="5"/>
        <v>20741.25</v>
      </c>
      <c r="FC14" s="10">
        <f t="shared" si="5"/>
        <v>0</v>
      </c>
      <c r="FD14" s="10">
        <f t="shared" si="5"/>
        <v>0</v>
      </c>
      <c r="FE14" s="10">
        <f t="shared" si="5"/>
        <v>0</v>
      </c>
      <c r="FF14" s="10">
        <f t="shared" si="5"/>
        <v>0</v>
      </c>
      <c r="FG14" s="10">
        <f t="shared" si="5"/>
        <v>0</v>
      </c>
      <c r="FH14" s="10">
        <f t="shared" si="5"/>
        <v>0</v>
      </c>
      <c r="FI14" s="10">
        <f t="shared" si="5"/>
        <v>0</v>
      </c>
      <c r="FJ14" s="10">
        <f t="shared" si="5"/>
        <v>0</v>
      </c>
      <c r="FK14" s="10">
        <f t="shared" si="5"/>
        <v>0</v>
      </c>
      <c r="FL14" s="10">
        <f t="shared" si="5"/>
        <v>0</v>
      </c>
      <c r="FM14" s="10">
        <f t="shared" si="5"/>
        <v>0</v>
      </c>
      <c r="FN14" s="10">
        <f t="shared" si="5"/>
        <v>171206.22</v>
      </c>
      <c r="FO14" s="10">
        <f t="shared" si="5"/>
        <v>8052.19</v>
      </c>
      <c r="FP14" s="10">
        <f t="shared" si="2"/>
        <v>2630195.31</v>
      </c>
    </row>
    <row r="15" spans="172:172">
      <c r="FP15" s="10">
        <f t="shared" si="2"/>
        <v>0</v>
      </c>
    </row>
    <row r="16" spans="2:172">
      <c r="B16" s="9" t="s">
        <v>34192</v>
      </c>
      <c r="D16" s="10">
        <f t="shared" ref="D16:BO16" si="6">D9+D11-D14</f>
        <v>0</v>
      </c>
      <c r="E16" s="10">
        <f t="shared" si="6"/>
        <v>-29442.85</v>
      </c>
      <c r="F16" s="10">
        <f t="shared" si="6"/>
        <v>0</v>
      </c>
      <c r="G16" s="10">
        <f t="shared" si="6"/>
        <v>0</v>
      </c>
      <c r="H16" s="10">
        <f t="shared" si="6"/>
        <v>0</v>
      </c>
      <c r="I16" s="10">
        <f t="shared" si="6"/>
        <v>0</v>
      </c>
      <c r="J16" s="10">
        <f t="shared" si="6"/>
        <v>0</v>
      </c>
      <c r="K16" s="10">
        <f t="shared" si="6"/>
        <v>0</v>
      </c>
      <c r="L16" s="10">
        <f t="shared" si="6"/>
        <v>1430373.13</v>
      </c>
      <c r="M16" s="10">
        <f t="shared" si="6"/>
        <v>0</v>
      </c>
      <c r="N16" s="10">
        <f t="shared" si="6"/>
        <v>0</v>
      </c>
      <c r="O16" s="10">
        <f t="shared" si="6"/>
        <v>837644.31</v>
      </c>
      <c r="P16" s="10">
        <f t="shared" si="6"/>
        <v>0</v>
      </c>
      <c r="Q16" s="10">
        <f t="shared" si="6"/>
        <v>-13832.15</v>
      </c>
      <c r="R16" s="10">
        <f t="shared" si="6"/>
        <v>0</v>
      </c>
      <c r="S16" s="10">
        <f t="shared" si="6"/>
        <v>0</v>
      </c>
      <c r="T16" s="10">
        <f t="shared" si="6"/>
        <v>0</v>
      </c>
      <c r="U16" s="10">
        <f t="shared" si="6"/>
        <v>0</v>
      </c>
      <c r="V16" s="10">
        <f t="shared" si="6"/>
        <v>0</v>
      </c>
      <c r="W16" s="10">
        <f t="shared" si="6"/>
        <v>0</v>
      </c>
      <c r="X16" s="10">
        <f t="shared" si="6"/>
        <v>0</v>
      </c>
      <c r="Y16" s="10">
        <f t="shared" si="6"/>
        <v>20786.72</v>
      </c>
      <c r="Z16" s="10">
        <f t="shared" si="6"/>
        <v>0</v>
      </c>
      <c r="AA16" s="10">
        <f t="shared" si="6"/>
        <v>217572.73</v>
      </c>
      <c r="AB16" s="10">
        <f t="shared" si="6"/>
        <v>1423094.83</v>
      </c>
      <c r="AC16" s="10">
        <f t="shared" si="6"/>
        <v>0</v>
      </c>
      <c r="AD16" s="10">
        <f t="shared" si="6"/>
        <v>-74914.01</v>
      </c>
      <c r="AE16" s="10">
        <f t="shared" si="6"/>
        <v>0</v>
      </c>
      <c r="AF16" s="10">
        <f t="shared" si="6"/>
        <v>0</v>
      </c>
      <c r="AG16" s="10">
        <f t="shared" si="6"/>
        <v>0</v>
      </c>
      <c r="AH16" s="10">
        <f t="shared" si="6"/>
        <v>0</v>
      </c>
      <c r="AI16" s="10">
        <f t="shared" si="6"/>
        <v>0</v>
      </c>
      <c r="AJ16" s="10">
        <f t="shared" si="6"/>
        <v>0</v>
      </c>
      <c r="AK16" s="10">
        <f t="shared" si="6"/>
        <v>-210.42</v>
      </c>
      <c r="AL16" s="10">
        <f t="shared" si="6"/>
        <v>0</v>
      </c>
      <c r="AM16" s="10">
        <f t="shared" si="6"/>
        <v>66157.56</v>
      </c>
      <c r="AN16" s="10">
        <f t="shared" si="6"/>
        <v>-119162.28</v>
      </c>
      <c r="AO16" s="10">
        <f t="shared" si="6"/>
        <v>48890.55</v>
      </c>
      <c r="AP16" s="10">
        <f t="shared" si="6"/>
        <v>159980.32</v>
      </c>
      <c r="AQ16" s="10">
        <f t="shared" si="6"/>
        <v>44166.21</v>
      </c>
      <c r="AR16" s="10">
        <f t="shared" si="6"/>
        <v>1886.39</v>
      </c>
      <c r="AS16" s="10">
        <f t="shared" si="6"/>
        <v>6242.99</v>
      </c>
      <c r="AT16" s="10">
        <f t="shared" si="6"/>
        <v>121746.88</v>
      </c>
      <c r="AU16" s="10">
        <f t="shared" si="6"/>
        <v>4876.78</v>
      </c>
      <c r="AV16" s="10">
        <f t="shared" si="6"/>
        <v>14213.66</v>
      </c>
      <c r="AW16" s="10">
        <f t="shared" si="6"/>
        <v>10760.2</v>
      </c>
      <c r="AX16" s="10">
        <f t="shared" si="6"/>
        <v>22234.57</v>
      </c>
      <c r="AY16" s="10">
        <f t="shared" si="6"/>
        <v>39404.32</v>
      </c>
      <c r="AZ16" s="10">
        <f t="shared" si="6"/>
        <v>16538.62</v>
      </c>
      <c r="BA16" s="10">
        <f t="shared" si="6"/>
        <v>0</v>
      </c>
      <c r="BB16" s="10">
        <f t="shared" si="6"/>
        <v>71187.91</v>
      </c>
      <c r="BC16" s="10">
        <f t="shared" si="6"/>
        <v>12185.97</v>
      </c>
      <c r="BD16" s="10">
        <f t="shared" si="6"/>
        <v>6710.35</v>
      </c>
      <c r="BE16" s="10">
        <f t="shared" si="6"/>
        <v>-16450.03</v>
      </c>
      <c r="BF16" s="10">
        <f t="shared" si="6"/>
        <v>0</v>
      </c>
      <c r="BG16" s="10">
        <f t="shared" si="6"/>
        <v>207289.07</v>
      </c>
      <c r="BH16" s="10">
        <f t="shared" si="6"/>
        <v>9013.64</v>
      </c>
      <c r="BI16" s="10">
        <f t="shared" si="6"/>
        <v>0</v>
      </c>
      <c r="BJ16" s="10">
        <f t="shared" si="6"/>
        <v>-2237.62</v>
      </c>
      <c r="BK16" s="10">
        <f t="shared" si="6"/>
        <v>28404.14</v>
      </c>
      <c r="BL16" s="10">
        <f t="shared" si="6"/>
        <v>4000.4</v>
      </c>
      <c r="BM16" s="10">
        <f t="shared" si="6"/>
        <v>19585.5</v>
      </c>
      <c r="BN16" s="10">
        <f t="shared" si="6"/>
        <v>0</v>
      </c>
      <c r="BO16" s="10">
        <f t="shared" si="6"/>
        <v>-731</v>
      </c>
      <c r="BP16" s="10">
        <f t="shared" ref="BP16:EA16" si="7">BP9+BP11-BP14</f>
        <v>-8921.34</v>
      </c>
      <c r="BQ16" s="10">
        <f t="shared" si="7"/>
        <v>-30000</v>
      </c>
      <c r="BR16" s="10">
        <f t="shared" si="7"/>
        <v>40931.55</v>
      </c>
      <c r="BS16" s="10">
        <f t="shared" si="7"/>
        <v>-731</v>
      </c>
      <c r="BT16" s="10">
        <f t="shared" si="7"/>
        <v>6099.18</v>
      </c>
      <c r="BU16" s="10">
        <f t="shared" si="7"/>
        <v>0</v>
      </c>
      <c r="BV16" s="10">
        <f t="shared" si="7"/>
        <v>0</v>
      </c>
      <c r="BW16" s="10">
        <f t="shared" si="7"/>
        <v>8410.85</v>
      </c>
      <c r="BX16" s="10">
        <f t="shared" si="7"/>
        <v>0</v>
      </c>
      <c r="BY16" s="10">
        <f t="shared" si="7"/>
        <v>-16000</v>
      </c>
      <c r="BZ16" s="10">
        <f t="shared" si="7"/>
        <v>18988.37</v>
      </c>
      <c r="CA16" s="10">
        <f t="shared" si="7"/>
        <v>0</v>
      </c>
      <c r="CB16" s="10">
        <f t="shared" si="7"/>
        <v>0</v>
      </c>
      <c r="CC16" s="10">
        <f t="shared" si="7"/>
        <v>36984.93</v>
      </c>
      <c r="CD16" s="10">
        <f t="shared" si="7"/>
        <v>0</v>
      </c>
      <c r="CE16" s="10">
        <f t="shared" si="7"/>
        <v>35268.51</v>
      </c>
      <c r="CF16" s="10">
        <f t="shared" si="7"/>
        <v>0</v>
      </c>
      <c r="CG16" s="10">
        <f t="shared" si="7"/>
        <v>0</v>
      </c>
      <c r="CH16" s="10">
        <f t="shared" si="7"/>
        <v>0</v>
      </c>
      <c r="CI16" s="10">
        <f t="shared" si="7"/>
        <v>-1043</v>
      </c>
      <c r="CJ16" s="10">
        <f t="shared" si="7"/>
        <v>8696.8</v>
      </c>
      <c r="CK16" s="10">
        <f t="shared" si="7"/>
        <v>0</v>
      </c>
      <c r="CL16" s="10">
        <f t="shared" si="7"/>
        <v>13578.37</v>
      </c>
      <c r="CM16" s="10">
        <f t="shared" si="7"/>
        <v>0</v>
      </c>
      <c r="CN16" s="10">
        <f t="shared" si="7"/>
        <v>0</v>
      </c>
      <c r="CO16" s="10">
        <f t="shared" si="7"/>
        <v>36880.81</v>
      </c>
      <c r="CP16" s="10">
        <f t="shared" si="7"/>
        <v>0</v>
      </c>
      <c r="CQ16" s="10">
        <f t="shared" si="7"/>
        <v>30473.85</v>
      </c>
      <c r="CR16" s="10">
        <f t="shared" si="7"/>
        <v>0</v>
      </c>
      <c r="CS16" s="10">
        <f t="shared" si="7"/>
        <v>36984.93</v>
      </c>
      <c r="CT16" s="10">
        <f t="shared" si="7"/>
        <v>0</v>
      </c>
      <c r="CU16" s="10">
        <f t="shared" si="7"/>
        <v>0</v>
      </c>
      <c r="CV16" s="10">
        <f t="shared" si="7"/>
        <v>53079.87</v>
      </c>
      <c r="CW16" s="10">
        <f t="shared" si="7"/>
        <v>0</v>
      </c>
      <c r="CX16" s="10">
        <f t="shared" si="7"/>
        <v>26955.09</v>
      </c>
      <c r="CY16" s="10">
        <f t="shared" si="7"/>
        <v>0</v>
      </c>
      <c r="CZ16" s="10">
        <f t="shared" si="7"/>
        <v>22074.7</v>
      </c>
      <c r="DA16" s="10">
        <f t="shared" si="7"/>
        <v>0</v>
      </c>
      <c r="DB16" s="10">
        <f t="shared" si="7"/>
        <v>0</v>
      </c>
      <c r="DC16" s="10">
        <f t="shared" si="7"/>
        <v>11096.81</v>
      </c>
      <c r="DD16" s="10">
        <f t="shared" si="7"/>
        <v>0</v>
      </c>
      <c r="DE16" s="10">
        <f t="shared" si="7"/>
        <v>24773.18</v>
      </c>
      <c r="DF16" s="10">
        <f t="shared" si="7"/>
        <v>-526</v>
      </c>
      <c r="DG16" s="10">
        <f t="shared" si="7"/>
        <v>38953.92</v>
      </c>
      <c r="DH16" s="10">
        <f t="shared" si="7"/>
        <v>0</v>
      </c>
      <c r="DI16" s="10">
        <f t="shared" si="7"/>
        <v>20334.16</v>
      </c>
      <c r="DJ16" s="10">
        <f t="shared" si="7"/>
        <v>0</v>
      </c>
      <c r="DK16" s="10">
        <f t="shared" si="7"/>
        <v>0</v>
      </c>
      <c r="DL16" s="10">
        <f t="shared" si="7"/>
        <v>26233.1</v>
      </c>
      <c r="DM16" s="10">
        <f t="shared" si="7"/>
        <v>8331.68</v>
      </c>
      <c r="DN16" s="10">
        <f t="shared" si="7"/>
        <v>20890.32</v>
      </c>
      <c r="DO16" s="10">
        <f t="shared" si="7"/>
        <v>0</v>
      </c>
      <c r="DP16" s="10">
        <f t="shared" si="7"/>
        <v>208304.72</v>
      </c>
      <c r="DQ16" s="10">
        <f t="shared" si="7"/>
        <v>0</v>
      </c>
      <c r="DR16" s="10">
        <f t="shared" si="7"/>
        <v>-209156.54</v>
      </c>
      <c r="DS16" s="10">
        <f t="shared" si="7"/>
        <v>0</v>
      </c>
      <c r="DT16" s="10">
        <f t="shared" si="7"/>
        <v>0</v>
      </c>
      <c r="DU16" s="10">
        <f t="shared" si="7"/>
        <v>202329.43</v>
      </c>
      <c r="DV16" s="10">
        <f t="shared" si="7"/>
        <v>0</v>
      </c>
      <c r="DW16" s="10">
        <f t="shared" si="7"/>
        <v>0</v>
      </c>
      <c r="DX16" s="10">
        <f t="shared" si="7"/>
        <v>-3825.03</v>
      </c>
      <c r="DY16" s="10">
        <f t="shared" si="7"/>
        <v>-3825.03</v>
      </c>
      <c r="DZ16" s="10">
        <f t="shared" si="7"/>
        <v>0</v>
      </c>
      <c r="EA16" s="10">
        <f t="shared" si="7"/>
        <v>-15169.81</v>
      </c>
      <c r="EB16" s="10">
        <f t="shared" ref="EB16:FO16" si="8">EB9+EB11-EB14</f>
        <v>4052.7</v>
      </c>
      <c r="EC16" s="10">
        <f t="shared" si="8"/>
        <v>0</v>
      </c>
      <c r="ED16" s="10">
        <f t="shared" si="8"/>
        <v>33555.89</v>
      </c>
      <c r="EE16" s="10">
        <f t="shared" si="8"/>
        <v>36794</v>
      </c>
      <c r="EF16" s="10">
        <f t="shared" si="8"/>
        <v>20590.83</v>
      </c>
      <c r="EG16" s="10">
        <f t="shared" si="8"/>
        <v>-39145.77</v>
      </c>
      <c r="EH16" s="10">
        <f t="shared" si="8"/>
        <v>46204.54</v>
      </c>
      <c r="EI16" s="10">
        <f t="shared" si="8"/>
        <v>0</v>
      </c>
      <c r="EJ16" s="10">
        <f t="shared" si="8"/>
        <v>0</v>
      </c>
      <c r="EK16" s="10">
        <f t="shared" si="8"/>
        <v>0</v>
      </c>
      <c r="EL16" s="10">
        <f t="shared" si="8"/>
        <v>159138.91</v>
      </c>
      <c r="EM16" s="10">
        <f t="shared" si="8"/>
        <v>6140.38</v>
      </c>
      <c r="EN16" s="10">
        <f t="shared" si="8"/>
        <v>6779.03</v>
      </c>
      <c r="EO16" s="10">
        <f t="shared" si="8"/>
        <v>20700.21</v>
      </c>
      <c r="EP16" s="10">
        <f t="shared" si="8"/>
        <v>35079.43</v>
      </c>
      <c r="EQ16" s="10">
        <f t="shared" si="8"/>
        <v>2777.68</v>
      </c>
      <c r="ER16" s="10">
        <f t="shared" si="8"/>
        <v>26415.35</v>
      </c>
      <c r="ES16" s="10">
        <f t="shared" si="8"/>
        <v>-37017.11</v>
      </c>
      <c r="ET16" s="10">
        <f t="shared" si="8"/>
        <v>456475.54</v>
      </c>
      <c r="EU16" s="10">
        <f t="shared" si="8"/>
        <v>0</v>
      </c>
      <c r="EV16" s="10">
        <f t="shared" si="8"/>
        <v>50985.09</v>
      </c>
      <c r="EW16" s="10">
        <f t="shared" si="8"/>
        <v>0</v>
      </c>
      <c r="EX16" s="10">
        <f t="shared" si="8"/>
        <v>0</v>
      </c>
      <c r="EY16" s="10">
        <f t="shared" si="8"/>
        <v>0</v>
      </c>
      <c r="EZ16" s="10">
        <f t="shared" si="8"/>
        <v>0</v>
      </c>
      <c r="FA16" s="10">
        <f t="shared" si="8"/>
        <v>0</v>
      </c>
      <c r="FB16" s="10">
        <f t="shared" si="8"/>
        <v>53301.9</v>
      </c>
      <c r="FC16" s="10">
        <f t="shared" si="8"/>
        <v>0</v>
      </c>
      <c r="FD16" s="10">
        <f t="shared" si="8"/>
        <v>0</v>
      </c>
      <c r="FE16" s="10">
        <f t="shared" si="8"/>
        <v>1798.58</v>
      </c>
      <c r="FF16" s="10">
        <f t="shared" si="8"/>
        <v>0</v>
      </c>
      <c r="FG16" s="10">
        <f t="shared" si="8"/>
        <v>0</v>
      </c>
      <c r="FH16" s="10">
        <f t="shared" si="8"/>
        <v>0</v>
      </c>
      <c r="FI16" s="10">
        <f t="shared" si="8"/>
        <v>116045.49</v>
      </c>
      <c r="FJ16" s="10">
        <f t="shared" si="8"/>
        <v>0</v>
      </c>
      <c r="FK16" s="10">
        <f t="shared" si="8"/>
        <v>0</v>
      </c>
      <c r="FL16" s="10">
        <f t="shared" si="8"/>
        <v>0</v>
      </c>
      <c r="FM16" s="10">
        <f t="shared" si="8"/>
        <v>0</v>
      </c>
      <c r="FN16" s="10">
        <f t="shared" si="8"/>
        <v>-148553.63</v>
      </c>
      <c r="FO16" s="10">
        <f t="shared" si="8"/>
        <v>140612.79</v>
      </c>
      <c r="FP16" s="10">
        <f t="shared" si="2"/>
        <v>6228156.6</v>
      </c>
    </row>
    <row r="17" spans="172:172">
      <c r="FP17" s="10">
        <f t="shared" si="2"/>
        <v>0</v>
      </c>
    </row>
    <row r="18" spans="1:174">
      <c r="A18" s="9" t="s">
        <v>34314</v>
      </c>
      <c r="B18" s="9" t="s">
        <v>34193</v>
      </c>
      <c r="E18" s="17">
        <v>-29442.85</v>
      </c>
      <c r="L18" s="17">
        <v>1613633.72</v>
      </c>
      <c r="O18" s="17">
        <v>840635.34</v>
      </c>
      <c r="Q18" s="17">
        <v>-13762.15</v>
      </c>
      <c r="X18" s="17">
        <v>65</v>
      </c>
      <c r="Y18" s="17">
        <v>20140.23</v>
      </c>
      <c r="AA18" s="17">
        <v>232572.73</v>
      </c>
      <c r="AB18" s="17">
        <v>1423094.83</v>
      </c>
      <c r="AD18" s="17">
        <v>-60279.34</v>
      </c>
      <c r="AK18" s="17">
        <v>-210.42</v>
      </c>
      <c r="AM18" s="17">
        <v>66157.56</v>
      </c>
      <c r="AN18" s="17">
        <v>-117892.35</v>
      </c>
      <c r="AO18" s="17">
        <v>63811.52</v>
      </c>
      <c r="AP18" s="17">
        <v>33107.65</v>
      </c>
      <c r="AQ18" s="17">
        <v>45807.22</v>
      </c>
      <c r="AR18" s="17">
        <v>1823.38</v>
      </c>
      <c r="AS18" s="17">
        <v>6242.99</v>
      </c>
      <c r="AT18" s="17">
        <v>121746.88</v>
      </c>
      <c r="AU18" s="17">
        <v>4876.78</v>
      </c>
      <c r="AV18" s="17">
        <v>14213.66</v>
      </c>
      <c r="AW18" s="17">
        <v>10760.2</v>
      </c>
      <c r="AX18" s="17">
        <v>22234.57</v>
      </c>
      <c r="AY18" s="17">
        <v>39404.32</v>
      </c>
      <c r="AZ18" s="17">
        <v>-110400.77</v>
      </c>
      <c r="BA18" s="17">
        <v>1100</v>
      </c>
      <c r="BB18" s="17">
        <v>63337.91</v>
      </c>
      <c r="BC18" s="17">
        <v>-2885.9</v>
      </c>
      <c r="BD18" s="17">
        <v>21797.5</v>
      </c>
      <c r="BE18" s="17">
        <v>-90815.73</v>
      </c>
      <c r="BG18" s="17">
        <v>74842.38</v>
      </c>
      <c r="BH18" s="17">
        <v>-32549.56</v>
      </c>
      <c r="BJ18" s="17">
        <v>2446.05</v>
      </c>
      <c r="BK18" s="17">
        <v>21631.35</v>
      </c>
      <c r="BL18" s="17">
        <v>8375.76</v>
      </c>
      <c r="BM18" s="17">
        <v>-25822.29</v>
      </c>
      <c r="BO18" s="17">
        <v>-1590.25</v>
      </c>
      <c r="BP18" s="17">
        <v>15569.36</v>
      </c>
      <c r="BQ18" s="17">
        <v>-46928.1</v>
      </c>
      <c r="BR18" s="17">
        <v>38096.29</v>
      </c>
      <c r="BS18" s="17">
        <v>10338.85</v>
      </c>
      <c r="BT18" s="17">
        <v>7187.81</v>
      </c>
      <c r="BV18" s="17">
        <v>330.13</v>
      </c>
      <c r="BW18" s="17">
        <v>7963.12</v>
      </c>
      <c r="BY18" s="17">
        <v>-14711.95</v>
      </c>
      <c r="BZ18" s="17">
        <v>16210.01</v>
      </c>
      <c r="CA18" s="17">
        <v>-1234.43</v>
      </c>
      <c r="CC18" s="17">
        <v>36479.84</v>
      </c>
      <c r="CD18" s="17">
        <v>-11930.14</v>
      </c>
      <c r="CE18" s="17">
        <v>29616.26</v>
      </c>
      <c r="CI18" s="17">
        <v>22172.16</v>
      </c>
      <c r="CJ18" s="17">
        <v>5038.82</v>
      </c>
      <c r="CK18" s="17">
        <v>-1855.72</v>
      </c>
      <c r="CL18" s="17">
        <v>12878.14</v>
      </c>
      <c r="CN18" s="17">
        <v>-7195.47</v>
      </c>
      <c r="CO18" s="17">
        <v>50158.02</v>
      </c>
      <c r="CP18" s="17">
        <v>-3432.28</v>
      </c>
      <c r="CQ18" s="17">
        <v>30182.08</v>
      </c>
      <c r="CR18" s="17">
        <v>-9806.06</v>
      </c>
      <c r="CS18" s="17">
        <v>36479.84</v>
      </c>
      <c r="CU18" s="17">
        <v>212.27</v>
      </c>
      <c r="CV18" s="17">
        <v>53079.83</v>
      </c>
      <c r="CW18" s="17">
        <v>-2042.27</v>
      </c>
      <c r="CX18" s="17">
        <v>27872.69</v>
      </c>
      <c r="CY18" s="17">
        <v>3044.04</v>
      </c>
      <c r="CZ18" s="17">
        <v>22074.38</v>
      </c>
      <c r="DB18" s="17">
        <v>2325.52</v>
      </c>
      <c r="DC18" s="17">
        <v>663.2</v>
      </c>
      <c r="DD18" s="17">
        <v>23704.55</v>
      </c>
      <c r="DE18" s="17">
        <v>22564.61</v>
      </c>
      <c r="DF18" s="17">
        <v>494.76</v>
      </c>
      <c r="DG18" s="17">
        <v>37352.31</v>
      </c>
      <c r="DH18" s="17">
        <v>-590</v>
      </c>
      <c r="DI18" s="17">
        <v>20334.08</v>
      </c>
      <c r="DK18" s="17">
        <v>9125.03</v>
      </c>
      <c r="DL18" s="17">
        <v>24092.87</v>
      </c>
      <c r="DM18" s="17">
        <v>18068.6</v>
      </c>
      <c r="DN18" s="17">
        <v>20036.33</v>
      </c>
      <c r="DP18" s="17">
        <v>105052.38</v>
      </c>
      <c r="DR18" s="17">
        <v>-186153.14</v>
      </c>
      <c r="DU18" s="17">
        <v>195800.22</v>
      </c>
      <c r="DX18" s="17">
        <v>16474.36</v>
      </c>
      <c r="DY18" s="17">
        <v>16474.36</v>
      </c>
      <c r="EA18" s="17">
        <v>55794.26</v>
      </c>
      <c r="EB18" s="17">
        <v>513686.87</v>
      </c>
      <c r="ED18" s="17">
        <v>32734.6</v>
      </c>
      <c r="EE18" s="17">
        <v>-45621.68</v>
      </c>
      <c r="EF18" s="17">
        <v>-16198.03</v>
      </c>
      <c r="EG18" s="17">
        <v>-46115.09</v>
      </c>
      <c r="EH18" s="17">
        <v>48708.51</v>
      </c>
      <c r="EL18" s="17">
        <v>119093.79</v>
      </c>
      <c r="EM18" s="17">
        <v>-10704.71</v>
      </c>
      <c r="EN18" s="17">
        <v>10251.45</v>
      </c>
      <c r="EO18" s="17">
        <v>11963.92</v>
      </c>
      <c r="EP18" s="17">
        <v>44063.49</v>
      </c>
      <c r="EQ18" s="17">
        <v>-15651.53</v>
      </c>
      <c r="ER18" s="17">
        <v>32372.41</v>
      </c>
      <c r="ES18" s="17">
        <v>-62184.96</v>
      </c>
      <c r="ET18" s="17">
        <v>16539.07</v>
      </c>
      <c r="EV18" s="17">
        <v>-14080.71</v>
      </c>
      <c r="FB18" s="17">
        <v>35519.46</v>
      </c>
      <c r="FE18" s="17">
        <v>1798.58</v>
      </c>
      <c r="FI18" s="17">
        <v>-2664935.13</v>
      </c>
      <c r="FN18" s="17">
        <v>-158951.94</v>
      </c>
      <c r="FO18" s="17">
        <v>-41379.27</v>
      </c>
      <c r="FP18" s="10">
        <f t="shared" si="2"/>
        <v>2766578.84</v>
      </c>
      <c r="FR18" s="10">
        <f>+COUNTIFS(D18:FO18,"&gt;0")</f>
        <v>72</v>
      </c>
    </row>
    <row r="19" spans="1:172">
      <c r="A19" s="9" t="s">
        <v>34315</v>
      </c>
      <c r="E19" s="18">
        <v>0</v>
      </c>
      <c r="L19" s="18">
        <v>5609.05</v>
      </c>
      <c r="O19" s="18">
        <v>0</v>
      </c>
      <c r="Q19" s="18">
        <v>0</v>
      </c>
      <c r="X19" s="18">
        <v>0</v>
      </c>
      <c r="Y19" s="18">
        <v>646.49</v>
      </c>
      <c r="AA19" s="18">
        <v>0</v>
      </c>
      <c r="AB19" s="18">
        <v>0</v>
      </c>
      <c r="AD19" s="18">
        <v>0</v>
      </c>
      <c r="AK19" s="18">
        <v>0</v>
      </c>
      <c r="AM19" s="18">
        <v>0</v>
      </c>
      <c r="AN19" s="18">
        <v>646</v>
      </c>
      <c r="AO19" s="18">
        <v>70.01</v>
      </c>
      <c r="AP19" s="18">
        <v>126872.67</v>
      </c>
      <c r="AQ19" s="18">
        <v>0</v>
      </c>
      <c r="AR19" s="18">
        <v>63.01</v>
      </c>
      <c r="AS19" s="18">
        <v>0</v>
      </c>
      <c r="AT19" s="18">
        <v>0</v>
      </c>
      <c r="AU19" s="18">
        <v>0</v>
      </c>
      <c r="AV19" s="18">
        <v>0</v>
      </c>
      <c r="AW19" s="18">
        <v>0</v>
      </c>
      <c r="AX19" s="18">
        <v>0</v>
      </c>
      <c r="AY19" s="18">
        <v>0</v>
      </c>
      <c r="AZ19" s="18">
        <v>214516.48</v>
      </c>
      <c r="BA19" s="18">
        <v>0</v>
      </c>
      <c r="BB19" s="18">
        <v>7850</v>
      </c>
      <c r="BC19" s="18">
        <v>5916.66</v>
      </c>
      <c r="BD19" s="18">
        <v>81602.12</v>
      </c>
      <c r="BE19" s="18">
        <v>82230.4</v>
      </c>
      <c r="BG19" s="18">
        <v>134690.96</v>
      </c>
      <c r="BH19" s="18">
        <v>54685.52</v>
      </c>
      <c r="BJ19" s="18">
        <v>2842.14</v>
      </c>
      <c r="BK19" s="18">
        <v>8683.49</v>
      </c>
      <c r="BL19" s="18">
        <v>14302.44</v>
      </c>
      <c r="BM19" s="25">
        <v>46781.7</v>
      </c>
      <c r="BO19" s="18">
        <v>12764.44</v>
      </c>
      <c r="BP19" s="18">
        <v>240.3</v>
      </c>
      <c r="BQ19" s="18">
        <v>18497</v>
      </c>
      <c r="BR19" s="18">
        <v>2835.26</v>
      </c>
      <c r="BS19" s="18">
        <v>0</v>
      </c>
      <c r="BT19" s="18">
        <v>0.15</v>
      </c>
      <c r="BV19" s="18">
        <v>11396.64</v>
      </c>
      <c r="BW19" s="18">
        <v>447.73</v>
      </c>
      <c r="BY19" s="18">
        <v>2382.32</v>
      </c>
      <c r="BZ19" s="18">
        <v>3032.2</v>
      </c>
      <c r="CA19" s="18">
        <v>2480.44</v>
      </c>
      <c r="CC19" s="18">
        <v>4071.56</v>
      </c>
      <c r="CD19" s="18">
        <v>19471.92</v>
      </c>
      <c r="CE19" s="18">
        <v>6731.82</v>
      </c>
      <c r="CI19" s="18">
        <v>0</v>
      </c>
      <c r="CJ19" s="18">
        <v>3657.98</v>
      </c>
      <c r="CK19" s="18">
        <v>4791.7</v>
      </c>
      <c r="CL19" s="18">
        <v>700.23</v>
      </c>
      <c r="CN19" s="18">
        <v>20373.94</v>
      </c>
      <c r="CO19" s="18">
        <v>1454.17</v>
      </c>
      <c r="CP19" s="18">
        <v>6664.13</v>
      </c>
      <c r="CQ19" s="18">
        <v>3842.02</v>
      </c>
      <c r="CR19" s="18">
        <v>12395.42</v>
      </c>
      <c r="CS19" s="18">
        <v>4071.56</v>
      </c>
      <c r="CU19" s="18">
        <v>394.09</v>
      </c>
      <c r="CV19" s="18">
        <v>0.04</v>
      </c>
      <c r="CW19" s="18">
        <v>4842.06</v>
      </c>
      <c r="CX19" s="18">
        <v>1000.49</v>
      </c>
      <c r="CY19" s="18">
        <v>4600</v>
      </c>
      <c r="CZ19" s="18">
        <v>0.32</v>
      </c>
      <c r="DB19" s="18">
        <v>0</v>
      </c>
      <c r="DC19" s="18">
        <v>10433.62</v>
      </c>
      <c r="DD19" s="18">
        <v>0</v>
      </c>
      <c r="DE19" s="18">
        <v>2208.57</v>
      </c>
      <c r="DF19" s="18">
        <v>11.97</v>
      </c>
      <c r="DG19" s="18">
        <v>1601.61</v>
      </c>
      <c r="DH19" s="18">
        <v>590</v>
      </c>
      <c r="DI19" s="18">
        <v>0.08</v>
      </c>
      <c r="DK19" s="18">
        <v>31.01</v>
      </c>
      <c r="DL19" s="18">
        <v>2140.84</v>
      </c>
      <c r="DM19" s="18">
        <v>2862.52</v>
      </c>
      <c r="DN19" s="18">
        <v>854.21</v>
      </c>
      <c r="DP19" s="18">
        <v>103852.34</v>
      </c>
      <c r="DR19" s="18">
        <v>109404.7</v>
      </c>
      <c r="DU19" s="18">
        <v>18391.31</v>
      </c>
      <c r="DX19" s="18">
        <v>119500.66</v>
      </c>
      <c r="DY19" s="18">
        <v>119500.66</v>
      </c>
      <c r="EA19" s="18">
        <v>44698.75</v>
      </c>
      <c r="EB19" s="18">
        <v>172962.83</v>
      </c>
      <c r="ED19" s="18">
        <v>1034.74</v>
      </c>
      <c r="EE19" s="18">
        <v>85977.15</v>
      </c>
      <c r="EF19" s="18">
        <v>52880.78</v>
      </c>
      <c r="EG19" s="18">
        <v>13757.86</v>
      </c>
      <c r="EH19" s="18">
        <v>14209.2</v>
      </c>
      <c r="EL19" s="18">
        <v>37115.52</v>
      </c>
      <c r="EM19" s="18">
        <v>20169.98</v>
      </c>
      <c r="EN19" s="18">
        <v>1492.57</v>
      </c>
      <c r="EO19" s="18">
        <v>17278.88</v>
      </c>
      <c r="EP19" s="18">
        <v>9326.05</v>
      </c>
      <c r="EQ19" s="18">
        <v>25513.08</v>
      </c>
      <c r="ER19" s="18">
        <v>5513.64</v>
      </c>
      <c r="ES19" s="18">
        <v>54301.51</v>
      </c>
      <c r="ET19" s="18">
        <v>663045.28</v>
      </c>
      <c r="EV19" s="18">
        <v>110551.22</v>
      </c>
      <c r="FB19" s="18">
        <v>91810</v>
      </c>
      <c r="FE19" s="18">
        <v>0</v>
      </c>
      <c r="FI19" s="18">
        <v>2991165.62</v>
      </c>
      <c r="FN19" s="18">
        <v>15220.34</v>
      </c>
      <c r="FO19" s="18">
        <v>210000</v>
      </c>
      <c r="FP19" s="10">
        <f t="shared" si="2"/>
        <v>6070558.17</v>
      </c>
    </row>
    <row r="20" spans="1:172">
      <c r="A20" s="9" t="s">
        <v>34316</v>
      </c>
      <c r="E20" s="17">
        <v>0</v>
      </c>
      <c r="L20" s="17">
        <v>188869.64</v>
      </c>
      <c r="O20" s="17">
        <v>2991.03</v>
      </c>
      <c r="Q20" s="17">
        <v>70</v>
      </c>
      <c r="X20" s="17">
        <v>65</v>
      </c>
      <c r="Y20" s="17">
        <v>0</v>
      </c>
      <c r="AA20" s="17">
        <v>15000</v>
      </c>
      <c r="AB20" s="17">
        <v>0</v>
      </c>
      <c r="AD20" s="17">
        <v>14634.67</v>
      </c>
      <c r="AK20" s="17">
        <v>0</v>
      </c>
      <c r="AM20" s="17">
        <v>0</v>
      </c>
      <c r="AN20" s="17">
        <v>1915.93</v>
      </c>
      <c r="AO20" s="17">
        <v>14990.98</v>
      </c>
      <c r="AP20" s="17">
        <v>0</v>
      </c>
      <c r="AQ20" s="17">
        <v>1641.01</v>
      </c>
      <c r="AR20" s="17">
        <v>0</v>
      </c>
      <c r="AS20" s="17">
        <v>0</v>
      </c>
      <c r="AT20" s="17">
        <v>0</v>
      </c>
      <c r="AU20" s="17">
        <v>0</v>
      </c>
      <c r="AV20" s="17">
        <v>0</v>
      </c>
      <c r="AW20" s="17">
        <v>0</v>
      </c>
      <c r="AX20" s="17">
        <v>0</v>
      </c>
      <c r="AY20" s="17">
        <v>0</v>
      </c>
      <c r="AZ20" s="17">
        <v>68837.34</v>
      </c>
      <c r="BA20" s="17">
        <v>1100</v>
      </c>
      <c r="BB20" s="17">
        <v>0</v>
      </c>
      <c r="BC20" s="17">
        <v>2937.11</v>
      </c>
      <c r="BD20" s="17">
        <v>96689.27</v>
      </c>
      <c r="BE20" s="17">
        <v>7133.7</v>
      </c>
      <c r="BG20" s="17">
        <v>1994.27</v>
      </c>
      <c r="BH20" s="17">
        <v>13122.32</v>
      </c>
      <c r="BJ20" s="17">
        <v>7525.81</v>
      </c>
      <c r="BK20" s="17">
        <v>1910.7</v>
      </c>
      <c r="BL20" s="17">
        <v>18677.8</v>
      </c>
      <c r="BM20" s="17">
        <v>1373.91</v>
      </c>
      <c r="BO20" s="17">
        <v>11905.19</v>
      </c>
      <c r="BP20" s="17">
        <v>24000</v>
      </c>
      <c r="BQ20" s="17">
        <v>1568.9</v>
      </c>
      <c r="BR20" s="17">
        <v>0</v>
      </c>
      <c r="BS20" s="17">
        <v>11069.85</v>
      </c>
      <c r="BT20" s="17">
        <v>357.78</v>
      </c>
      <c r="BV20" s="17">
        <v>11726.77</v>
      </c>
      <c r="BW20" s="17">
        <v>0</v>
      </c>
      <c r="BY20" s="17">
        <v>3670.37</v>
      </c>
      <c r="BZ20" s="17">
        <v>0</v>
      </c>
      <c r="CA20" s="17">
        <v>1246.01</v>
      </c>
      <c r="CC20" s="17">
        <v>3566.47</v>
      </c>
      <c r="CD20" s="17">
        <v>7541.78</v>
      </c>
      <c r="CE20" s="17">
        <v>1079.57</v>
      </c>
      <c r="CI20" s="17">
        <v>23215.16</v>
      </c>
      <c r="CJ20" s="17">
        <v>0</v>
      </c>
      <c r="CK20" s="17">
        <v>2935.98</v>
      </c>
      <c r="CL20" s="17">
        <v>0</v>
      </c>
      <c r="CN20" s="17">
        <v>13178.47</v>
      </c>
      <c r="CO20" s="17">
        <v>14731.38</v>
      </c>
      <c r="CP20" s="17">
        <v>3231.85</v>
      </c>
      <c r="CQ20" s="17">
        <v>3550.25</v>
      </c>
      <c r="CR20" s="17">
        <v>2589.36</v>
      </c>
      <c r="CS20" s="17">
        <v>3566.47</v>
      </c>
      <c r="CU20" s="17">
        <v>606.36</v>
      </c>
      <c r="CV20" s="17">
        <v>0</v>
      </c>
      <c r="CW20" s="17">
        <v>2799.79</v>
      </c>
      <c r="CX20" s="17">
        <v>1918.09</v>
      </c>
      <c r="CY20" s="17">
        <v>7644.04</v>
      </c>
      <c r="CZ20" s="17">
        <v>0</v>
      </c>
      <c r="DB20" s="17">
        <v>2325.52</v>
      </c>
      <c r="DC20" s="17">
        <v>0.01</v>
      </c>
      <c r="DD20" s="17">
        <v>23704.55</v>
      </c>
      <c r="DE20" s="17">
        <v>0</v>
      </c>
      <c r="DF20" s="17">
        <v>1032.73</v>
      </c>
      <c r="DG20" s="17">
        <v>0</v>
      </c>
      <c r="DH20" s="17">
        <v>0</v>
      </c>
      <c r="DI20" s="17">
        <v>0</v>
      </c>
      <c r="DK20" s="17">
        <v>9156.04</v>
      </c>
      <c r="DL20" s="17">
        <v>0.61</v>
      </c>
      <c r="DM20" s="17">
        <v>12599.44</v>
      </c>
      <c r="DN20" s="17">
        <v>0.22</v>
      </c>
      <c r="DP20" s="17">
        <v>600</v>
      </c>
      <c r="DR20" s="17">
        <v>133953.73</v>
      </c>
      <c r="DU20" s="17">
        <v>15610.59</v>
      </c>
      <c r="DX20" s="17">
        <v>139800.05</v>
      </c>
      <c r="DY20" s="17">
        <v>139800.05</v>
      </c>
      <c r="EA20" s="17">
        <v>115662.82</v>
      </c>
      <c r="EB20" s="17">
        <v>682597</v>
      </c>
      <c r="ED20" s="17">
        <v>213.45</v>
      </c>
      <c r="EE20" s="17">
        <v>3561.47</v>
      </c>
      <c r="EF20" s="17">
        <v>16091.92</v>
      </c>
      <c r="EG20" s="17">
        <v>6788.54</v>
      </c>
      <c r="EH20" s="17">
        <v>16774.53</v>
      </c>
      <c r="EL20" s="17">
        <v>0</v>
      </c>
      <c r="EM20" s="17">
        <v>3324.89</v>
      </c>
      <c r="EN20" s="17">
        <v>4964.99</v>
      </c>
      <c r="EO20" s="17">
        <v>8542.59</v>
      </c>
      <c r="EP20" s="17">
        <v>18310.11</v>
      </c>
      <c r="EQ20" s="17">
        <v>7083.87</v>
      </c>
      <c r="ER20" s="17">
        <v>11470.7</v>
      </c>
      <c r="ES20" s="17">
        <v>24524.84</v>
      </c>
      <c r="ET20" s="17">
        <v>223336.87</v>
      </c>
      <c r="EV20" s="17">
        <v>45485.42</v>
      </c>
      <c r="FB20" s="17">
        <v>74027.56</v>
      </c>
      <c r="FE20" s="17">
        <v>0</v>
      </c>
      <c r="FI20" s="17">
        <v>210185</v>
      </c>
      <c r="FN20" s="17">
        <v>4822.03</v>
      </c>
      <c r="FO20" s="17">
        <v>28007.94</v>
      </c>
      <c r="FP20" s="10">
        <f t="shared" si="2"/>
        <v>2603540.46</v>
      </c>
    </row>
    <row r="21" spans="2:174">
      <c r="B21" s="9" t="s">
        <v>34199</v>
      </c>
      <c r="D21" s="10">
        <f t="shared" ref="D21:BO21" si="9">D18-D20+D19</f>
        <v>0</v>
      </c>
      <c r="E21" s="10">
        <f t="shared" si="9"/>
        <v>-29442.85</v>
      </c>
      <c r="F21" s="10">
        <f t="shared" si="9"/>
        <v>0</v>
      </c>
      <c r="G21" s="10">
        <f t="shared" si="9"/>
        <v>0</v>
      </c>
      <c r="H21" s="10">
        <f t="shared" si="9"/>
        <v>0</v>
      </c>
      <c r="I21" s="10">
        <f t="shared" si="9"/>
        <v>0</v>
      </c>
      <c r="J21" s="10">
        <f t="shared" si="9"/>
        <v>0</v>
      </c>
      <c r="K21" s="10">
        <f t="shared" si="9"/>
        <v>0</v>
      </c>
      <c r="L21" s="10">
        <f t="shared" si="9"/>
        <v>1430373.13</v>
      </c>
      <c r="M21" s="10">
        <f t="shared" si="9"/>
        <v>0</v>
      </c>
      <c r="N21" s="10">
        <f t="shared" si="9"/>
        <v>0</v>
      </c>
      <c r="O21" s="10">
        <f t="shared" si="9"/>
        <v>837644.31</v>
      </c>
      <c r="P21" s="10">
        <f t="shared" si="9"/>
        <v>0</v>
      </c>
      <c r="Q21" s="10">
        <f t="shared" si="9"/>
        <v>-13832.15</v>
      </c>
      <c r="R21" s="10">
        <f t="shared" si="9"/>
        <v>0</v>
      </c>
      <c r="S21" s="10">
        <f t="shared" si="9"/>
        <v>0</v>
      </c>
      <c r="T21" s="10">
        <f t="shared" si="9"/>
        <v>0</v>
      </c>
      <c r="U21" s="10">
        <f t="shared" si="9"/>
        <v>0</v>
      </c>
      <c r="V21" s="10">
        <f t="shared" si="9"/>
        <v>0</v>
      </c>
      <c r="W21" s="10">
        <f t="shared" si="9"/>
        <v>0</v>
      </c>
      <c r="X21" s="10">
        <f t="shared" si="9"/>
        <v>0</v>
      </c>
      <c r="Y21" s="10">
        <f t="shared" si="9"/>
        <v>20786.72</v>
      </c>
      <c r="Z21" s="10">
        <f t="shared" si="9"/>
        <v>0</v>
      </c>
      <c r="AA21" s="10">
        <f t="shared" si="9"/>
        <v>217572.73</v>
      </c>
      <c r="AB21" s="10">
        <f t="shared" si="9"/>
        <v>1423094.83</v>
      </c>
      <c r="AC21" s="10">
        <f t="shared" si="9"/>
        <v>0</v>
      </c>
      <c r="AD21" s="10">
        <f t="shared" si="9"/>
        <v>-74914.01</v>
      </c>
      <c r="AE21" s="10">
        <f t="shared" si="9"/>
        <v>0</v>
      </c>
      <c r="AF21" s="10">
        <f t="shared" si="9"/>
        <v>0</v>
      </c>
      <c r="AG21" s="10">
        <f t="shared" si="9"/>
        <v>0</v>
      </c>
      <c r="AH21" s="10">
        <f t="shared" si="9"/>
        <v>0</v>
      </c>
      <c r="AI21" s="10">
        <f t="shared" si="9"/>
        <v>0</v>
      </c>
      <c r="AJ21" s="10">
        <f t="shared" si="9"/>
        <v>0</v>
      </c>
      <c r="AK21" s="10">
        <f t="shared" si="9"/>
        <v>-210.42</v>
      </c>
      <c r="AL21" s="10">
        <f t="shared" si="9"/>
        <v>0</v>
      </c>
      <c r="AM21" s="10">
        <f t="shared" si="9"/>
        <v>66157.56</v>
      </c>
      <c r="AN21" s="10">
        <f t="shared" si="9"/>
        <v>-119162.28</v>
      </c>
      <c r="AO21" s="10">
        <f t="shared" si="9"/>
        <v>48890.55</v>
      </c>
      <c r="AP21" s="10">
        <f t="shared" si="9"/>
        <v>159980.32</v>
      </c>
      <c r="AQ21" s="10">
        <f t="shared" si="9"/>
        <v>44166.21</v>
      </c>
      <c r="AR21" s="10">
        <f t="shared" si="9"/>
        <v>1886.39</v>
      </c>
      <c r="AS21" s="10">
        <f t="shared" si="9"/>
        <v>6242.99</v>
      </c>
      <c r="AT21" s="10">
        <f t="shared" si="9"/>
        <v>121746.88</v>
      </c>
      <c r="AU21" s="10">
        <f t="shared" si="9"/>
        <v>4876.78</v>
      </c>
      <c r="AV21" s="10">
        <f t="shared" si="9"/>
        <v>14213.66</v>
      </c>
      <c r="AW21" s="10">
        <f t="shared" si="9"/>
        <v>10760.2</v>
      </c>
      <c r="AX21" s="10">
        <f t="shared" si="9"/>
        <v>22234.57</v>
      </c>
      <c r="AY21" s="10">
        <f t="shared" si="9"/>
        <v>39404.32</v>
      </c>
      <c r="AZ21" s="10">
        <f t="shared" si="9"/>
        <v>35278.37</v>
      </c>
      <c r="BA21" s="10">
        <f t="shared" si="9"/>
        <v>0</v>
      </c>
      <c r="BB21" s="10">
        <f t="shared" si="9"/>
        <v>71187.91</v>
      </c>
      <c r="BC21" s="10">
        <f t="shared" si="9"/>
        <v>93.6499999999996</v>
      </c>
      <c r="BD21" s="10">
        <f t="shared" si="9"/>
        <v>6710.34999999999</v>
      </c>
      <c r="BE21" s="10">
        <f t="shared" si="9"/>
        <v>-15719.03</v>
      </c>
      <c r="BF21" s="10">
        <f t="shared" si="9"/>
        <v>0</v>
      </c>
      <c r="BG21" s="10">
        <f t="shared" si="9"/>
        <v>207539.07</v>
      </c>
      <c r="BH21" s="10">
        <f t="shared" si="9"/>
        <v>9013.63999999999</v>
      </c>
      <c r="BI21" s="10">
        <f t="shared" si="9"/>
        <v>0</v>
      </c>
      <c r="BJ21" s="10">
        <f t="shared" si="9"/>
        <v>-2237.62</v>
      </c>
      <c r="BK21" s="10">
        <f t="shared" si="9"/>
        <v>28404.14</v>
      </c>
      <c r="BL21" s="10">
        <f t="shared" si="9"/>
        <v>4000.4</v>
      </c>
      <c r="BM21" s="10">
        <f t="shared" si="9"/>
        <v>19585.5</v>
      </c>
      <c r="BN21" s="10">
        <f t="shared" si="9"/>
        <v>0</v>
      </c>
      <c r="BO21" s="10">
        <f t="shared" si="9"/>
        <v>-731</v>
      </c>
      <c r="BP21" s="10">
        <f t="shared" ref="BP21:EA21" si="10">BP18-BP20+BP19</f>
        <v>-8190.34</v>
      </c>
      <c r="BQ21" s="10">
        <f t="shared" si="10"/>
        <v>-30000</v>
      </c>
      <c r="BR21" s="10">
        <f t="shared" si="10"/>
        <v>40931.55</v>
      </c>
      <c r="BS21" s="10">
        <f t="shared" si="10"/>
        <v>-731</v>
      </c>
      <c r="BT21" s="10">
        <f t="shared" si="10"/>
        <v>6830.18</v>
      </c>
      <c r="BU21" s="10">
        <f t="shared" si="10"/>
        <v>0</v>
      </c>
      <c r="BV21" s="10">
        <f t="shared" si="10"/>
        <v>0</v>
      </c>
      <c r="BW21" s="10">
        <f t="shared" si="10"/>
        <v>8410.85</v>
      </c>
      <c r="BX21" s="10">
        <f t="shared" si="10"/>
        <v>0</v>
      </c>
      <c r="BY21" s="10">
        <f t="shared" si="10"/>
        <v>-16000</v>
      </c>
      <c r="BZ21" s="10">
        <f t="shared" si="10"/>
        <v>19242.21</v>
      </c>
      <c r="CA21" s="10">
        <f t="shared" si="10"/>
        <v>0</v>
      </c>
      <c r="CB21" s="10">
        <f t="shared" si="10"/>
        <v>0</v>
      </c>
      <c r="CC21" s="10">
        <f t="shared" si="10"/>
        <v>36984.93</v>
      </c>
      <c r="CD21" s="10">
        <f t="shared" si="10"/>
        <v>0</v>
      </c>
      <c r="CE21" s="10">
        <f t="shared" si="10"/>
        <v>35268.51</v>
      </c>
      <c r="CF21" s="10">
        <f t="shared" si="10"/>
        <v>0</v>
      </c>
      <c r="CG21" s="10">
        <f t="shared" si="10"/>
        <v>0</v>
      </c>
      <c r="CH21" s="10">
        <f t="shared" si="10"/>
        <v>0</v>
      </c>
      <c r="CI21" s="10">
        <f t="shared" si="10"/>
        <v>-1043</v>
      </c>
      <c r="CJ21" s="10">
        <f t="shared" si="10"/>
        <v>8696.8</v>
      </c>
      <c r="CK21" s="10">
        <f t="shared" si="10"/>
        <v>0</v>
      </c>
      <c r="CL21" s="10">
        <f t="shared" si="10"/>
        <v>13578.37</v>
      </c>
      <c r="CM21" s="10">
        <f t="shared" si="10"/>
        <v>0</v>
      </c>
      <c r="CN21" s="10">
        <f t="shared" si="10"/>
        <v>0</v>
      </c>
      <c r="CO21" s="10">
        <f t="shared" si="10"/>
        <v>36880.81</v>
      </c>
      <c r="CP21" s="10">
        <f t="shared" si="10"/>
        <v>0</v>
      </c>
      <c r="CQ21" s="10">
        <f t="shared" si="10"/>
        <v>30473.85</v>
      </c>
      <c r="CR21" s="10">
        <f t="shared" si="10"/>
        <v>0</v>
      </c>
      <c r="CS21" s="10">
        <f t="shared" si="10"/>
        <v>36984.93</v>
      </c>
      <c r="CT21" s="10">
        <f t="shared" si="10"/>
        <v>0</v>
      </c>
      <c r="CU21" s="10">
        <f t="shared" si="10"/>
        <v>0</v>
      </c>
      <c r="CV21" s="10">
        <f t="shared" si="10"/>
        <v>53079.87</v>
      </c>
      <c r="CW21" s="10">
        <f t="shared" si="10"/>
        <v>0</v>
      </c>
      <c r="CX21" s="10">
        <f t="shared" si="10"/>
        <v>26955.09</v>
      </c>
      <c r="CY21" s="10">
        <f t="shared" si="10"/>
        <v>0</v>
      </c>
      <c r="CZ21" s="10">
        <f t="shared" si="10"/>
        <v>22074.7</v>
      </c>
      <c r="DA21" s="10">
        <f t="shared" si="10"/>
        <v>0</v>
      </c>
      <c r="DB21" s="10">
        <f t="shared" si="10"/>
        <v>0</v>
      </c>
      <c r="DC21" s="10">
        <f t="shared" si="10"/>
        <v>11096.81</v>
      </c>
      <c r="DD21" s="10">
        <f t="shared" si="10"/>
        <v>0</v>
      </c>
      <c r="DE21" s="10">
        <f t="shared" si="10"/>
        <v>24773.18</v>
      </c>
      <c r="DF21" s="10">
        <f t="shared" si="10"/>
        <v>-526</v>
      </c>
      <c r="DG21" s="10">
        <f t="shared" si="10"/>
        <v>38953.92</v>
      </c>
      <c r="DH21" s="10">
        <f t="shared" si="10"/>
        <v>0</v>
      </c>
      <c r="DI21" s="10">
        <f t="shared" si="10"/>
        <v>20334.16</v>
      </c>
      <c r="DJ21" s="10">
        <f t="shared" si="10"/>
        <v>0</v>
      </c>
      <c r="DK21" s="10">
        <f t="shared" si="10"/>
        <v>-2.16715534406831e-13</v>
      </c>
      <c r="DL21" s="10">
        <f t="shared" si="10"/>
        <v>26233.1</v>
      </c>
      <c r="DM21" s="10">
        <f t="shared" si="10"/>
        <v>8331.68</v>
      </c>
      <c r="DN21" s="10">
        <f t="shared" si="10"/>
        <v>20890.32</v>
      </c>
      <c r="DO21" s="10">
        <f t="shared" si="10"/>
        <v>0</v>
      </c>
      <c r="DP21" s="10">
        <f t="shared" si="10"/>
        <v>208304.72</v>
      </c>
      <c r="DQ21" s="10">
        <f t="shared" si="10"/>
        <v>0</v>
      </c>
      <c r="DR21" s="10">
        <f t="shared" si="10"/>
        <v>-210702.17</v>
      </c>
      <c r="DS21" s="10">
        <f t="shared" si="10"/>
        <v>0</v>
      </c>
      <c r="DT21" s="10">
        <f t="shared" si="10"/>
        <v>0</v>
      </c>
      <c r="DU21" s="10">
        <f t="shared" si="10"/>
        <v>198580.94</v>
      </c>
      <c r="DV21" s="10">
        <f t="shared" si="10"/>
        <v>0</v>
      </c>
      <c r="DW21" s="10">
        <f t="shared" si="10"/>
        <v>0</v>
      </c>
      <c r="DX21" s="10">
        <f t="shared" si="10"/>
        <v>-3825.02999999998</v>
      </c>
      <c r="DY21" s="10">
        <f t="shared" si="10"/>
        <v>-3825.02999999998</v>
      </c>
      <c r="DZ21" s="10">
        <f t="shared" si="10"/>
        <v>0</v>
      </c>
      <c r="EA21" s="10">
        <f t="shared" si="10"/>
        <v>-15169.81</v>
      </c>
      <c r="EB21" s="10">
        <f t="shared" ref="EB21:FO21" si="11">EB18-EB20+EB19</f>
        <v>4052.69999999998</v>
      </c>
      <c r="EC21" s="10">
        <f t="shared" si="11"/>
        <v>0</v>
      </c>
      <c r="ED21" s="10">
        <f t="shared" si="11"/>
        <v>33555.89</v>
      </c>
      <c r="EE21" s="10">
        <f t="shared" si="11"/>
        <v>36794</v>
      </c>
      <c r="EF21" s="10">
        <f t="shared" si="11"/>
        <v>20590.83</v>
      </c>
      <c r="EG21" s="10">
        <f t="shared" si="11"/>
        <v>-39145.77</v>
      </c>
      <c r="EH21" s="10">
        <f t="shared" si="11"/>
        <v>46143.18</v>
      </c>
      <c r="EI21" s="10">
        <f t="shared" si="11"/>
        <v>0</v>
      </c>
      <c r="EJ21" s="10">
        <f t="shared" si="11"/>
        <v>0</v>
      </c>
      <c r="EK21" s="10">
        <f t="shared" si="11"/>
        <v>0</v>
      </c>
      <c r="EL21" s="10">
        <f t="shared" si="11"/>
        <v>156209.31</v>
      </c>
      <c r="EM21" s="10">
        <f t="shared" si="11"/>
        <v>6140.38</v>
      </c>
      <c r="EN21" s="10">
        <f t="shared" si="11"/>
        <v>6779.03</v>
      </c>
      <c r="EO21" s="10">
        <f t="shared" si="11"/>
        <v>20700.21</v>
      </c>
      <c r="EP21" s="10">
        <f t="shared" si="11"/>
        <v>35079.43</v>
      </c>
      <c r="EQ21" s="10">
        <f t="shared" si="11"/>
        <v>2777.68</v>
      </c>
      <c r="ER21" s="10">
        <f t="shared" si="11"/>
        <v>26415.35</v>
      </c>
      <c r="ES21" s="10">
        <f t="shared" si="11"/>
        <v>-32408.29</v>
      </c>
      <c r="ET21" s="10">
        <f t="shared" si="11"/>
        <v>456247.48</v>
      </c>
      <c r="EU21" s="10">
        <f t="shared" si="11"/>
        <v>0</v>
      </c>
      <c r="EV21" s="10">
        <f t="shared" si="11"/>
        <v>50985.09</v>
      </c>
      <c r="EW21" s="10">
        <f t="shared" si="11"/>
        <v>0</v>
      </c>
      <c r="EX21" s="10">
        <f t="shared" si="11"/>
        <v>0</v>
      </c>
      <c r="EY21" s="10">
        <f t="shared" si="11"/>
        <v>0</v>
      </c>
      <c r="EZ21" s="10">
        <f t="shared" si="11"/>
        <v>0</v>
      </c>
      <c r="FA21" s="10">
        <f t="shared" si="11"/>
        <v>0</v>
      </c>
      <c r="FB21" s="10">
        <f t="shared" si="11"/>
        <v>53301.9</v>
      </c>
      <c r="FC21" s="10">
        <f t="shared" si="11"/>
        <v>0</v>
      </c>
      <c r="FD21" s="10">
        <f t="shared" si="11"/>
        <v>0</v>
      </c>
      <c r="FE21" s="10">
        <f t="shared" si="11"/>
        <v>1798.58</v>
      </c>
      <c r="FF21" s="10">
        <f t="shared" si="11"/>
        <v>0</v>
      </c>
      <c r="FG21" s="10">
        <f t="shared" si="11"/>
        <v>0</v>
      </c>
      <c r="FH21" s="10">
        <f t="shared" si="11"/>
        <v>0</v>
      </c>
      <c r="FI21" s="10">
        <f t="shared" si="11"/>
        <v>116045.49</v>
      </c>
      <c r="FJ21" s="10">
        <f t="shared" si="11"/>
        <v>0</v>
      </c>
      <c r="FK21" s="10">
        <f t="shared" si="11"/>
        <v>0</v>
      </c>
      <c r="FL21" s="10">
        <f t="shared" si="11"/>
        <v>0</v>
      </c>
      <c r="FM21" s="10">
        <f t="shared" si="11"/>
        <v>0</v>
      </c>
      <c r="FN21" s="10">
        <f t="shared" si="11"/>
        <v>-148553.63</v>
      </c>
      <c r="FO21" s="10">
        <f t="shared" si="11"/>
        <v>140612.79</v>
      </c>
      <c r="FP21" s="10">
        <f t="shared" si="2"/>
        <v>6233596.55</v>
      </c>
      <c r="FR21" s="10">
        <f>+COUNTIFS(D21:FO21,"&gt;0")</f>
        <v>67</v>
      </c>
    </row>
    <row r="22" spans="172:172">
      <c r="FP22" s="10">
        <f t="shared" si="2"/>
        <v>0</v>
      </c>
    </row>
    <row r="23" spans="2:172">
      <c r="B23" s="9" t="s">
        <v>13909</v>
      </c>
      <c r="D23" s="11">
        <f t="shared" ref="D23:BO23" si="12">D21-D16</f>
        <v>0</v>
      </c>
      <c r="E23" s="11">
        <f t="shared" si="12"/>
        <v>0</v>
      </c>
      <c r="F23" s="11">
        <f t="shared" si="12"/>
        <v>0</v>
      </c>
      <c r="G23" s="11">
        <f t="shared" si="12"/>
        <v>0</v>
      </c>
      <c r="H23" s="11">
        <f t="shared" si="12"/>
        <v>0</v>
      </c>
      <c r="I23" s="11">
        <f t="shared" si="12"/>
        <v>0</v>
      </c>
      <c r="J23" s="11">
        <f t="shared" si="12"/>
        <v>0</v>
      </c>
      <c r="K23" s="11">
        <f t="shared" si="12"/>
        <v>0</v>
      </c>
      <c r="L23" s="11">
        <f t="shared" si="12"/>
        <v>0</v>
      </c>
      <c r="M23" s="11">
        <f t="shared" si="12"/>
        <v>0</v>
      </c>
      <c r="N23" s="11">
        <f t="shared" si="12"/>
        <v>0</v>
      </c>
      <c r="O23" s="11">
        <f t="shared" si="12"/>
        <v>0</v>
      </c>
      <c r="P23" s="11">
        <f t="shared" si="12"/>
        <v>0</v>
      </c>
      <c r="Q23" s="11">
        <f t="shared" si="12"/>
        <v>0</v>
      </c>
      <c r="R23" s="11">
        <f t="shared" si="12"/>
        <v>0</v>
      </c>
      <c r="S23" s="11">
        <f t="shared" si="12"/>
        <v>0</v>
      </c>
      <c r="T23" s="11">
        <f t="shared" si="12"/>
        <v>0</v>
      </c>
      <c r="U23" s="11">
        <f t="shared" si="12"/>
        <v>0</v>
      </c>
      <c r="V23" s="11">
        <f t="shared" si="12"/>
        <v>0</v>
      </c>
      <c r="W23" s="11">
        <f t="shared" si="12"/>
        <v>0</v>
      </c>
      <c r="X23" s="11">
        <f t="shared" si="12"/>
        <v>0</v>
      </c>
      <c r="Y23" s="11">
        <f t="shared" si="12"/>
        <v>0</v>
      </c>
      <c r="Z23" s="11">
        <f t="shared" si="12"/>
        <v>0</v>
      </c>
      <c r="AA23" s="11">
        <f t="shared" si="12"/>
        <v>0</v>
      </c>
      <c r="AB23" s="11">
        <f t="shared" si="12"/>
        <v>0</v>
      </c>
      <c r="AC23" s="11">
        <f t="shared" si="12"/>
        <v>0</v>
      </c>
      <c r="AD23" s="11">
        <f t="shared" si="12"/>
        <v>0</v>
      </c>
      <c r="AE23" s="11">
        <f t="shared" si="12"/>
        <v>0</v>
      </c>
      <c r="AF23" s="11">
        <f t="shared" si="12"/>
        <v>0</v>
      </c>
      <c r="AG23" s="11">
        <f t="shared" si="12"/>
        <v>0</v>
      </c>
      <c r="AH23" s="11">
        <f t="shared" si="12"/>
        <v>0</v>
      </c>
      <c r="AI23" s="11">
        <f t="shared" si="12"/>
        <v>0</v>
      </c>
      <c r="AJ23" s="11">
        <f t="shared" si="12"/>
        <v>0</v>
      </c>
      <c r="AK23" s="11">
        <f t="shared" si="12"/>
        <v>0</v>
      </c>
      <c r="AL23" s="11">
        <f t="shared" si="12"/>
        <v>0</v>
      </c>
      <c r="AM23" s="11">
        <f t="shared" si="12"/>
        <v>0</v>
      </c>
      <c r="AN23" s="11">
        <f t="shared" si="12"/>
        <v>0</v>
      </c>
      <c r="AO23" s="11">
        <f t="shared" si="12"/>
        <v>0</v>
      </c>
      <c r="AP23" s="11">
        <f t="shared" si="12"/>
        <v>0</v>
      </c>
      <c r="AQ23" s="11">
        <f t="shared" si="12"/>
        <v>0</v>
      </c>
      <c r="AR23" s="11">
        <f t="shared" si="12"/>
        <v>0</v>
      </c>
      <c r="AS23" s="11">
        <f t="shared" si="12"/>
        <v>0</v>
      </c>
      <c r="AT23" s="11">
        <f t="shared" si="12"/>
        <v>0</v>
      </c>
      <c r="AU23" s="11">
        <f t="shared" si="12"/>
        <v>0</v>
      </c>
      <c r="AV23" s="11">
        <f t="shared" si="12"/>
        <v>0</v>
      </c>
      <c r="AW23" s="11">
        <f t="shared" si="12"/>
        <v>0</v>
      </c>
      <c r="AX23" s="11">
        <f t="shared" si="12"/>
        <v>0</v>
      </c>
      <c r="AY23" s="11">
        <f t="shared" si="12"/>
        <v>0</v>
      </c>
      <c r="AZ23" s="11">
        <f t="shared" si="12"/>
        <v>18739.75</v>
      </c>
      <c r="BA23" s="11">
        <f t="shared" si="12"/>
        <v>0</v>
      </c>
      <c r="BB23" s="11">
        <f t="shared" si="12"/>
        <v>0</v>
      </c>
      <c r="BC23" s="11">
        <f t="shared" si="12"/>
        <v>-12092.32</v>
      </c>
      <c r="BD23" s="11">
        <f t="shared" si="12"/>
        <v>-9.09494701772928e-12</v>
      </c>
      <c r="BE23" s="11">
        <f t="shared" si="12"/>
        <v>731</v>
      </c>
      <c r="BF23" s="11">
        <f t="shared" si="12"/>
        <v>0</v>
      </c>
      <c r="BG23" s="11">
        <f t="shared" si="12"/>
        <v>250</v>
      </c>
      <c r="BH23" s="11">
        <f t="shared" si="12"/>
        <v>0</v>
      </c>
      <c r="BI23" s="11">
        <f t="shared" si="12"/>
        <v>0</v>
      </c>
      <c r="BJ23" s="11">
        <f t="shared" si="12"/>
        <v>0</v>
      </c>
      <c r="BK23" s="11">
        <f t="shared" si="12"/>
        <v>0</v>
      </c>
      <c r="BL23" s="11">
        <f t="shared" si="12"/>
        <v>0</v>
      </c>
      <c r="BM23" s="11">
        <f t="shared" si="12"/>
        <v>0</v>
      </c>
      <c r="BN23" s="11">
        <f t="shared" si="12"/>
        <v>0</v>
      </c>
      <c r="BO23" s="11">
        <f t="shared" si="12"/>
        <v>0</v>
      </c>
      <c r="BP23" s="11">
        <f t="shared" ref="BP23:EA23" si="13">BP21-BP16</f>
        <v>731.000000000001</v>
      </c>
      <c r="BQ23" s="11">
        <f t="shared" si="13"/>
        <v>0</v>
      </c>
      <c r="BR23" s="11">
        <f t="shared" si="13"/>
        <v>0</v>
      </c>
      <c r="BS23" s="11">
        <f t="shared" si="13"/>
        <v>0</v>
      </c>
      <c r="BT23" s="11">
        <f t="shared" si="13"/>
        <v>731</v>
      </c>
      <c r="BU23" s="11">
        <f t="shared" si="13"/>
        <v>0</v>
      </c>
      <c r="BV23" s="11">
        <f t="shared" si="13"/>
        <v>0</v>
      </c>
      <c r="BW23" s="11">
        <f t="shared" si="13"/>
        <v>0</v>
      </c>
      <c r="BX23" s="11">
        <f t="shared" si="13"/>
        <v>0</v>
      </c>
      <c r="BY23" s="11">
        <f t="shared" si="13"/>
        <v>0</v>
      </c>
      <c r="BZ23" s="11">
        <f t="shared" si="13"/>
        <v>253.84</v>
      </c>
      <c r="CA23" s="11">
        <f t="shared" si="13"/>
        <v>0</v>
      </c>
      <c r="CB23" s="11">
        <f t="shared" si="13"/>
        <v>0</v>
      </c>
      <c r="CC23" s="11">
        <f t="shared" si="13"/>
        <v>0</v>
      </c>
      <c r="CD23" s="11">
        <f t="shared" si="13"/>
        <v>0</v>
      </c>
      <c r="CE23" s="11">
        <f t="shared" si="13"/>
        <v>0</v>
      </c>
      <c r="CF23" s="11">
        <f t="shared" si="13"/>
        <v>0</v>
      </c>
      <c r="CG23" s="11">
        <f t="shared" si="13"/>
        <v>0</v>
      </c>
      <c r="CH23" s="11">
        <f t="shared" si="13"/>
        <v>0</v>
      </c>
      <c r="CI23" s="11">
        <f t="shared" si="13"/>
        <v>0</v>
      </c>
      <c r="CJ23" s="11">
        <f t="shared" si="13"/>
        <v>0</v>
      </c>
      <c r="CK23" s="11">
        <f t="shared" si="13"/>
        <v>0</v>
      </c>
      <c r="CL23" s="11">
        <f t="shared" si="13"/>
        <v>0</v>
      </c>
      <c r="CM23" s="11">
        <f t="shared" si="13"/>
        <v>0</v>
      </c>
      <c r="CN23" s="11">
        <f t="shared" si="13"/>
        <v>0</v>
      </c>
      <c r="CO23" s="11">
        <f t="shared" si="13"/>
        <v>0</v>
      </c>
      <c r="CP23" s="11">
        <f t="shared" si="13"/>
        <v>0</v>
      </c>
      <c r="CQ23" s="11">
        <f t="shared" si="13"/>
        <v>0</v>
      </c>
      <c r="CR23" s="11">
        <f t="shared" si="13"/>
        <v>0</v>
      </c>
      <c r="CS23" s="11">
        <f t="shared" si="13"/>
        <v>0</v>
      </c>
      <c r="CT23" s="11">
        <f t="shared" si="13"/>
        <v>0</v>
      </c>
      <c r="CU23" s="11">
        <f t="shared" si="13"/>
        <v>0</v>
      </c>
      <c r="CV23" s="11">
        <f t="shared" si="13"/>
        <v>0</v>
      </c>
      <c r="CW23" s="11">
        <f t="shared" si="13"/>
        <v>0</v>
      </c>
      <c r="CX23" s="11">
        <f t="shared" si="13"/>
        <v>0</v>
      </c>
      <c r="CY23" s="11">
        <f t="shared" si="13"/>
        <v>0</v>
      </c>
      <c r="CZ23" s="11">
        <f t="shared" si="13"/>
        <v>0</v>
      </c>
      <c r="DA23" s="11">
        <f t="shared" si="13"/>
        <v>0</v>
      </c>
      <c r="DB23" s="11">
        <f t="shared" si="13"/>
        <v>0</v>
      </c>
      <c r="DC23" s="11">
        <f t="shared" si="13"/>
        <v>0</v>
      </c>
      <c r="DD23" s="11">
        <f t="shared" si="13"/>
        <v>0</v>
      </c>
      <c r="DE23" s="11">
        <f t="shared" si="13"/>
        <v>0</v>
      </c>
      <c r="DF23" s="11">
        <f t="shared" si="13"/>
        <v>0</v>
      </c>
      <c r="DG23" s="11">
        <f t="shared" si="13"/>
        <v>0</v>
      </c>
      <c r="DH23" s="11">
        <f t="shared" si="13"/>
        <v>0</v>
      </c>
      <c r="DI23" s="11">
        <f t="shared" si="13"/>
        <v>0</v>
      </c>
      <c r="DJ23" s="11">
        <f t="shared" si="13"/>
        <v>0</v>
      </c>
      <c r="DK23" s="11">
        <f t="shared" si="13"/>
        <v>-2.16715534406831e-13</v>
      </c>
      <c r="DL23" s="11">
        <f t="shared" si="13"/>
        <v>0</v>
      </c>
      <c r="DM23" s="11">
        <f t="shared" si="13"/>
        <v>0</v>
      </c>
      <c r="DN23" s="11">
        <f t="shared" si="13"/>
        <v>0</v>
      </c>
      <c r="DO23" s="11">
        <f t="shared" si="13"/>
        <v>0</v>
      </c>
      <c r="DP23" s="11">
        <f t="shared" si="13"/>
        <v>0</v>
      </c>
      <c r="DQ23" s="11">
        <f t="shared" si="13"/>
        <v>0</v>
      </c>
      <c r="DR23" s="11">
        <f t="shared" si="13"/>
        <v>-1545.63</v>
      </c>
      <c r="DS23" s="11">
        <f t="shared" si="13"/>
        <v>0</v>
      </c>
      <c r="DT23" s="11">
        <f t="shared" si="13"/>
        <v>0</v>
      </c>
      <c r="DU23" s="11">
        <f t="shared" si="13"/>
        <v>-3748.48999999999</v>
      </c>
      <c r="DV23" s="11">
        <f t="shared" si="13"/>
        <v>0</v>
      </c>
      <c r="DW23" s="11">
        <f t="shared" si="13"/>
        <v>0</v>
      </c>
      <c r="DX23" s="11">
        <f t="shared" si="13"/>
        <v>1.45519152283669e-11</v>
      </c>
      <c r="DY23" s="11">
        <f t="shared" si="13"/>
        <v>1.45519152283669e-11</v>
      </c>
      <c r="DZ23" s="11">
        <f t="shared" si="13"/>
        <v>0</v>
      </c>
      <c r="EA23" s="11">
        <f t="shared" si="13"/>
        <v>0</v>
      </c>
      <c r="EB23" s="11">
        <f t="shared" ref="EB23:FO23" si="14">EB21-EB16</f>
        <v>-1.45519152283669e-11</v>
      </c>
      <c r="EC23" s="11">
        <f t="shared" si="14"/>
        <v>0</v>
      </c>
      <c r="ED23" s="11">
        <f t="shared" si="14"/>
        <v>0</v>
      </c>
      <c r="EE23" s="11">
        <f t="shared" si="14"/>
        <v>0</v>
      </c>
      <c r="EF23" s="11">
        <f t="shared" si="14"/>
        <v>0</v>
      </c>
      <c r="EG23" s="11">
        <f t="shared" si="14"/>
        <v>0</v>
      </c>
      <c r="EH23" s="11">
        <f t="shared" si="14"/>
        <v>-61.3599999999933</v>
      </c>
      <c r="EI23" s="11">
        <f t="shared" si="14"/>
        <v>0</v>
      </c>
      <c r="EJ23" s="11">
        <f t="shared" si="14"/>
        <v>0</v>
      </c>
      <c r="EK23" s="11">
        <f t="shared" si="14"/>
        <v>0</v>
      </c>
      <c r="EL23" s="11">
        <f t="shared" si="14"/>
        <v>-2929.60000000001</v>
      </c>
      <c r="EM23" s="11">
        <f t="shared" si="14"/>
        <v>0</v>
      </c>
      <c r="EN23" s="11">
        <f t="shared" si="14"/>
        <v>0</v>
      </c>
      <c r="EO23" s="11">
        <f t="shared" si="14"/>
        <v>0</v>
      </c>
      <c r="EP23" s="11">
        <f t="shared" si="14"/>
        <v>0</v>
      </c>
      <c r="EQ23" s="11">
        <f t="shared" si="14"/>
        <v>0</v>
      </c>
      <c r="ER23" s="11">
        <f t="shared" si="14"/>
        <v>0</v>
      </c>
      <c r="ES23" s="11">
        <f t="shared" si="14"/>
        <v>4608.82</v>
      </c>
      <c r="ET23" s="11">
        <f t="shared" si="14"/>
        <v>-228.059999999998</v>
      </c>
      <c r="EU23" s="11">
        <f t="shared" si="14"/>
        <v>0</v>
      </c>
      <c r="EV23" s="11">
        <f t="shared" si="14"/>
        <v>0</v>
      </c>
      <c r="EW23" s="11">
        <f t="shared" si="14"/>
        <v>0</v>
      </c>
      <c r="EX23" s="11">
        <f t="shared" si="14"/>
        <v>0</v>
      </c>
      <c r="EY23" s="11">
        <f t="shared" si="14"/>
        <v>0</v>
      </c>
      <c r="EZ23" s="11">
        <f t="shared" si="14"/>
        <v>0</v>
      </c>
      <c r="FA23" s="11">
        <f t="shared" si="14"/>
        <v>0</v>
      </c>
      <c r="FB23" s="11">
        <f t="shared" si="14"/>
        <v>0</v>
      </c>
      <c r="FC23" s="11">
        <f t="shared" si="14"/>
        <v>0</v>
      </c>
      <c r="FD23" s="11">
        <f t="shared" si="14"/>
        <v>0</v>
      </c>
      <c r="FE23" s="11">
        <f t="shared" si="14"/>
        <v>0</v>
      </c>
      <c r="FF23" s="11">
        <f t="shared" si="14"/>
        <v>0</v>
      </c>
      <c r="FG23" s="11">
        <f t="shared" si="14"/>
        <v>0</v>
      </c>
      <c r="FH23" s="11">
        <f t="shared" si="14"/>
        <v>0</v>
      </c>
      <c r="FI23" s="11">
        <f t="shared" si="14"/>
        <v>2.18278728425503e-10</v>
      </c>
      <c r="FJ23" s="11">
        <f t="shared" si="14"/>
        <v>0</v>
      </c>
      <c r="FK23" s="11">
        <f t="shared" si="14"/>
        <v>0</v>
      </c>
      <c r="FL23" s="11">
        <f t="shared" si="14"/>
        <v>0</v>
      </c>
      <c r="FM23" s="11">
        <f t="shared" si="14"/>
        <v>0</v>
      </c>
      <c r="FN23" s="11">
        <f t="shared" si="14"/>
        <v>0</v>
      </c>
      <c r="FO23" s="11">
        <f t="shared" si="14"/>
        <v>0</v>
      </c>
      <c r="FP23" s="10">
        <f t="shared" si="2"/>
        <v>5439.95000000026</v>
      </c>
    </row>
    <row r="24" spans="172:172">
      <c r="FP24" s="10">
        <f t="shared" si="2"/>
        <v>0</v>
      </c>
    </row>
    <row r="25" spans="172:172">
      <c r="FP25" s="10">
        <f t="shared" si="2"/>
        <v>0</v>
      </c>
    </row>
    <row r="26" spans="172:172">
      <c r="FP26" s="10">
        <f t="shared" si="2"/>
        <v>0</v>
      </c>
    </row>
    <row r="27" spans="1:172">
      <c r="A27" s="12" t="s">
        <v>34317</v>
      </c>
      <c r="D27" s="12">
        <f>+VLOOKUP(CONCATENATE(D4,"-",D7),'BS-Details'!$D:$K,8,FALSE())</f>
        <v>40117.42</v>
      </c>
      <c r="E27" s="12">
        <f>+VLOOKUP(CONCATENATE(E4,"-",E7),'BS-Details'!$D:$K,8,FALSE())</f>
        <v>-29442.85</v>
      </c>
      <c r="F27" s="12">
        <f>+VLOOKUP(CONCATENATE(F4,"-",F7),'BS-Details'!$D:$K,8,FALSE())</f>
        <v>-29403.52</v>
      </c>
      <c r="G27" s="12">
        <f>+VLOOKUP(CONCATENATE(G4,"-",G7),'BS-Details'!$D:$K,8,FALSE())</f>
        <v>-18152.02</v>
      </c>
      <c r="H27" s="12">
        <f>+VLOOKUP(CONCATENATE(H4,"-",H7),'BS-Details'!$D:$K,8,FALSE())</f>
        <v>-13263.96</v>
      </c>
      <c r="I27" s="12">
        <f>+VLOOKUP(CONCATENATE(I4,"-",I7),'BS-Details'!$D:$K,8,FALSE())</f>
        <v>-7732.72</v>
      </c>
      <c r="J27" s="12">
        <f>+VLOOKUP(CONCATENATE(J4,"-",J7),'BS-Details'!$D:$K,8,FALSE())</f>
        <v>-69187.57</v>
      </c>
      <c r="K27" s="12">
        <f>+VLOOKUP(CONCATENATE(K4,"-",K7),'BS-Details'!$D:$K,8,FALSE())</f>
        <v>95254.22</v>
      </c>
      <c r="L27" s="12">
        <f>+VLOOKUP(CONCATENATE(L4,"-",L7),'BS-Details'!$D:$K,8,FALSE())</f>
        <v>1613633.72</v>
      </c>
      <c r="M27" s="12">
        <f>+VLOOKUP(CONCATENATE(M4,"-",M7),'BS-Details'!$D:$K,8,FALSE())</f>
        <v>34</v>
      </c>
      <c r="N27" s="12" t="e">
        <f>+VLOOKUP(CONCATENATE(N4,"-",N7),'BS-Details'!$D:$K,8,FALSE())</f>
        <v>#N/A</v>
      </c>
      <c r="O27" s="12">
        <f>+VLOOKUP(CONCATENATE(O4,"-",O7),'BS-Details'!$D:$K,8,FALSE())</f>
        <v>840635.34</v>
      </c>
      <c r="P27" s="12">
        <f>+VLOOKUP(CONCATENATE(P4,"-",P7),'BS-Details'!$D:$K,8,FALSE())</f>
        <v>-20505.74</v>
      </c>
      <c r="Q27" s="12">
        <f>+VLOOKUP(CONCATENATE(Q4,"-",Q7),'BS-Details'!$D:$K,8,FALSE())</f>
        <v>-13762.15</v>
      </c>
      <c r="R27" s="12">
        <f>+VLOOKUP(CONCATENATE(R4,"-",R7),'BS-Details'!$D:$K,8,FALSE())</f>
        <v>-73.56</v>
      </c>
      <c r="S27" s="12">
        <f>+VLOOKUP(CONCATENATE(S4,"-",S7),'BS-Details'!$D:$K,8,FALSE())</f>
        <v>-179024.04</v>
      </c>
      <c r="T27" s="12">
        <f>+VLOOKUP(CONCATENATE(T4,"-",T7),'BS-Details'!$D:$K,8,FALSE())</f>
        <v>0</v>
      </c>
      <c r="U27" s="12">
        <f>+VLOOKUP(CONCATENATE(U4,"-",U7),'BS-Details'!$D:$K,8,FALSE())</f>
        <v>-876.19</v>
      </c>
      <c r="V27" s="12">
        <f>+VLOOKUP(CONCATENATE(V4,"-",V7),'BS-Details'!$D:$K,8,FALSE())</f>
        <v>-722.63</v>
      </c>
      <c r="W27" s="12">
        <f>+VLOOKUP(CONCATENATE(W4,"-",W7),'BS-Details'!$D:$K,8,FALSE())</f>
        <v>5864.98</v>
      </c>
      <c r="X27" s="12">
        <f>+VLOOKUP(CONCATENATE(X4,"-",X7),'BS-Details'!$D:$K,8,FALSE())</f>
        <v>65</v>
      </c>
      <c r="Y27" s="12">
        <f>+VLOOKUP(CONCATENATE(Y4,"-",Y7),'BS-Details'!$D:$K,8,FALSE())</f>
        <v>20140.23</v>
      </c>
      <c r="Z27" s="12">
        <f>+VLOOKUP(CONCATENATE(Z4,"-",Z7),'BS-Details'!$D:$K,8,FALSE())</f>
        <v>-3009.04</v>
      </c>
      <c r="AA27" s="12">
        <f>+VLOOKUP(CONCATENATE(AA4,"-",AA7),'BS-Details'!$D:$K,8,FALSE())</f>
        <v>232572.73</v>
      </c>
      <c r="AB27" s="12">
        <f>+VLOOKUP(CONCATENATE(AB4,"-",AB7),'BS-Details'!$D:$K,8,FALSE())</f>
        <v>1423094.83</v>
      </c>
      <c r="AC27" s="12">
        <f>+VLOOKUP(CONCATENATE(AC4,"-",AC7),'BS-Details'!$D:$K,8,FALSE())</f>
        <v>86540</v>
      </c>
      <c r="AD27" s="12">
        <f>+VLOOKUP(CONCATENATE(AD4,"-",AD7),'BS-Details'!$D:$K,8,FALSE())</f>
        <v>-60279.34</v>
      </c>
      <c r="AE27" s="12">
        <f>+VLOOKUP(CONCATENATE(AE4,"-",AE7),'BS-Details'!$D:$K,8,FALSE())</f>
        <v>69739.4</v>
      </c>
      <c r="AF27" s="12">
        <f>+VLOOKUP(CONCATENATE(AF4,"-",AF7),'BS-Details'!$D:$K,8,FALSE())</f>
        <v>1750.14</v>
      </c>
      <c r="AG27" s="12" t="e">
        <f>+VLOOKUP(CONCATENATE(AG4,"-",AG7),'BS-Details'!$D:$K,8,FALSE())</f>
        <v>#N/A</v>
      </c>
      <c r="AH27" s="12" t="e">
        <f>+VLOOKUP(CONCATENATE(AH4,"-",AH7),'BS-Details'!$D:$K,8,FALSE())</f>
        <v>#N/A</v>
      </c>
      <c r="AI27" s="12" t="e">
        <f>+VLOOKUP(CONCATENATE(AI4,"-",AI7),'BS-Details'!$D:$K,8,FALSE())</f>
        <v>#N/A</v>
      </c>
      <c r="AJ27" s="12" t="e">
        <f>+VLOOKUP(CONCATENATE(AJ4,"-",AJ7),'BS-Details'!$D:$K,8,FALSE())</f>
        <v>#N/A</v>
      </c>
      <c r="AK27" s="12">
        <f>+VLOOKUP(CONCATENATE(AK4,"-",AK7),'BS-Details'!$D:$K,8,FALSE())</f>
        <v>-210.42</v>
      </c>
      <c r="AL27" s="12" t="e">
        <f>+VLOOKUP(CONCATENATE(AL4,"-",AL7),'BS-Details'!$D:$K,8,FALSE())</f>
        <v>#N/A</v>
      </c>
      <c r="AM27" s="12">
        <f>+VLOOKUP(CONCATENATE(AM4,"-",AM7),'BS-Details'!$D:$K,8,FALSE())</f>
        <v>66157.56</v>
      </c>
      <c r="AN27" s="12">
        <f>+VLOOKUP(CONCATENATE(AN4,"-",AN7),'BS-Details'!$D:$K,8,FALSE())</f>
        <v>-117892.35</v>
      </c>
      <c r="AO27" s="12">
        <f>+VLOOKUP(CONCATENATE(AO4,"-",AO7),'BS-Details'!$D:$K,8,FALSE())</f>
        <v>63811.52</v>
      </c>
      <c r="AP27" s="12">
        <f>+VLOOKUP(CONCATENATE(AP4,"-",AP7),'BS-Details'!$D:$K,8,FALSE())</f>
        <v>33107.65</v>
      </c>
      <c r="AQ27" s="12">
        <f>+VLOOKUP(CONCATENATE(AQ4,"-",AQ7),'BS-Details'!$D:$K,8,FALSE())</f>
        <v>45807.22</v>
      </c>
      <c r="AR27" s="12">
        <f>+VLOOKUP(CONCATENATE(AR4,"-",AR7),'BS-Details'!$D:$K,8,FALSE())</f>
        <v>1823.38</v>
      </c>
      <c r="AS27" s="12">
        <f>+VLOOKUP(CONCATENATE(AS4,"-",AS7),'BS-Details'!$D:$K,8,FALSE())</f>
        <v>6242.99</v>
      </c>
      <c r="AT27" s="12">
        <f>+VLOOKUP(CONCATENATE(AT4,"-",AT7),'BS-Details'!$D:$K,8,FALSE())</f>
        <v>121746.88</v>
      </c>
      <c r="AU27" s="12">
        <f>+VLOOKUP(CONCATENATE(AU4,"-",AU7),'BS-Details'!$D:$K,8,FALSE())</f>
        <v>4876.78</v>
      </c>
      <c r="AV27" s="12">
        <f>+VLOOKUP(CONCATENATE(AV4,"-",AV7),'BS-Details'!$D:$K,8,FALSE())</f>
        <v>14213.66</v>
      </c>
      <c r="AW27" s="12">
        <f>+VLOOKUP(CONCATENATE(AW4,"-",AW7),'BS-Details'!$D:$K,8,FALSE())</f>
        <v>10760.2</v>
      </c>
      <c r="AX27" s="12">
        <f>+VLOOKUP(CONCATENATE(AX4,"-",AX7),'BS-Details'!$D:$K,8,FALSE())</f>
        <v>22234.57</v>
      </c>
      <c r="AY27" s="12">
        <f>+VLOOKUP(CONCATENATE(AY4,"-",AY7),'BS-Details'!$D:$K,8,FALSE())</f>
        <v>39404.32</v>
      </c>
      <c r="AZ27" s="12">
        <f>+VLOOKUP(CONCATENATE(AZ4,"-",AZ7),'BS-Details'!$D:$K,8,FALSE())</f>
        <v>-110400.77</v>
      </c>
      <c r="BA27" s="12" t="e">
        <f>+VLOOKUP(CONCATENATE(BA4,"-",BA7),'BS-Details'!$D:$K,8,FALSE())</f>
        <v>#N/A</v>
      </c>
      <c r="BB27" s="12" t="e">
        <f>+VLOOKUP(CONCATENATE(BB4,"-",BB7),'BS-Details'!$D:$K,8,FALSE())</f>
        <v>#N/A</v>
      </c>
      <c r="BC27" s="12">
        <f>+VLOOKUP(CONCATENATE(BC4,"-",BC7),'BS-Details'!$D:$K,8,FALSE())</f>
        <v>-2885.9</v>
      </c>
      <c r="BD27" s="12">
        <f>+VLOOKUP(CONCATENATE(BD4,"-",BD7),'BS-Details'!$D:$K,8,FALSE())</f>
        <v>21797.5</v>
      </c>
      <c r="BE27" s="12">
        <f>+VLOOKUP(CONCATENATE(BE4,"-",BE7),'BS-Details'!$D:$K,8,FALSE())</f>
        <v>-90815.73</v>
      </c>
      <c r="BF27" s="12">
        <f>+VLOOKUP(CONCATENATE(BF4,"-",BF7),'BS-Details'!$D:$K,8,FALSE())</f>
        <v>70</v>
      </c>
      <c r="BG27" s="12">
        <f>+VLOOKUP(CONCATENATE(BG4,"-",BG7),'BS-Details'!$D:$K,8,FALSE())</f>
        <v>74842.38</v>
      </c>
      <c r="BH27" s="12">
        <f>+VLOOKUP(CONCATENATE(BH4,"-",BH7),'BS-Details'!$D:$K,8,FALSE())</f>
        <v>-32549.56</v>
      </c>
      <c r="BI27" s="12" t="e">
        <f>+VLOOKUP(CONCATENATE(BI4,"-",BI7),'BS-Details'!$D:$K,8,FALSE())</f>
        <v>#N/A</v>
      </c>
      <c r="BJ27" s="12">
        <f>+VLOOKUP(CONCATENATE(BJ4,"-",BJ7),'BS-Details'!$D:$K,8,FALSE())</f>
        <v>2446.05</v>
      </c>
      <c r="BK27" s="12">
        <f>+VLOOKUP(CONCATENATE(BK4,"-",BK7),'BS-Details'!$D:$K,8,FALSE())</f>
        <v>21631.35</v>
      </c>
      <c r="BL27" s="12">
        <f>+VLOOKUP(CONCATENATE(BL4,"-",BL7),'BS-Details'!$D:$K,8,FALSE())</f>
        <v>8375.76</v>
      </c>
      <c r="BM27" s="12">
        <f>+VLOOKUP(CONCATENATE(BM4,"-",BM7),'BS-Details'!$D:$K,8,FALSE())</f>
        <v>-25822.29</v>
      </c>
      <c r="BN27" s="12" t="e">
        <f>+VLOOKUP(CONCATENATE(BN4,"-",BN7),'BS-Details'!$D:$K,8,FALSE())</f>
        <v>#N/A</v>
      </c>
      <c r="BO27" s="12">
        <f>+VLOOKUP(CONCATENATE(BO4,"-",BO7),'BS-Details'!$D:$K,8,FALSE())</f>
        <v>-1590.25</v>
      </c>
      <c r="BP27" s="12">
        <f>+VLOOKUP(CONCATENATE(BP4,"-",BP7),'BS-Details'!$D:$K,8,FALSE())</f>
        <v>15569.36</v>
      </c>
      <c r="BQ27" s="12">
        <f>+VLOOKUP(CONCATENATE(BQ4,"-",BQ7),'BS-Details'!$D:$K,8,FALSE())</f>
        <v>-46928.1</v>
      </c>
      <c r="BR27" s="12">
        <f>+VLOOKUP(CONCATENATE(BR4,"-",BR7),'BS-Details'!$D:$K,8,FALSE())</f>
        <v>38096.29</v>
      </c>
      <c r="BS27" s="12">
        <f>+VLOOKUP(CONCATENATE(BS4,"-",BS7),'BS-Details'!$D:$K,8,FALSE())</f>
        <v>10338.85</v>
      </c>
      <c r="BT27" s="12">
        <f>+VLOOKUP(CONCATENATE(BT4,"-",BT7),'BS-Details'!$D:$K,8,FALSE())</f>
        <v>7187.81</v>
      </c>
      <c r="BU27" s="12">
        <f>+VLOOKUP(CONCATENATE(BU4,"-",BU7),'BS-Details'!$D:$K,8,FALSE())</f>
        <v>70</v>
      </c>
      <c r="BV27" s="12">
        <f>+VLOOKUP(CONCATENATE(BV4,"-",BV7),'BS-Details'!$D:$K,8,FALSE())</f>
        <v>330.13</v>
      </c>
      <c r="BW27" s="12">
        <f>+VLOOKUP(CONCATENATE(BW4,"-",BW7),'BS-Details'!$D:$K,8,FALSE())</f>
        <v>7963.12</v>
      </c>
      <c r="BX27" s="12">
        <f>+VLOOKUP(CONCATENATE(BX4,"-",BX7),'BS-Details'!$D:$K,8,FALSE())</f>
        <v>70</v>
      </c>
      <c r="BY27" s="12">
        <f>+VLOOKUP(CONCATENATE(BY4,"-",BY7),'BS-Details'!$D:$K,8,FALSE())</f>
        <v>-14711.95</v>
      </c>
      <c r="BZ27" s="12">
        <f>+VLOOKUP(CONCATENATE(BZ4,"-",BZ7),'BS-Details'!$D:$K,8,FALSE())</f>
        <v>16210.01</v>
      </c>
      <c r="CA27" s="12">
        <f>+VLOOKUP(CONCATENATE(CA4,"-",CA7),'BS-Details'!$D:$K,8,FALSE())</f>
        <v>-1234.43</v>
      </c>
      <c r="CB27" s="12">
        <f>+VLOOKUP(CONCATENATE(CB4,"-",CB7),'BS-Details'!$D:$K,8,FALSE())</f>
        <v>70</v>
      </c>
      <c r="CC27" s="12">
        <f>+VLOOKUP(CONCATENATE(CC4,"-",CC7),'BS-Details'!$D:$K,8,FALSE())</f>
        <v>-7850.79</v>
      </c>
      <c r="CD27" s="12">
        <f>+VLOOKUP(CONCATENATE(CD4,"-",CD7),'BS-Details'!$D:$K,8,FALSE())</f>
        <v>-11930.14</v>
      </c>
      <c r="CE27" s="12">
        <f>+VLOOKUP(CONCATENATE(CE4,"-",CE7),'BS-Details'!$D:$K,8,FALSE())</f>
        <v>29616.26</v>
      </c>
      <c r="CF27" s="12" t="e">
        <f>+VLOOKUP(CONCATENATE(CF4,"-",CF7),'BS-Details'!$D:$K,8,FALSE())</f>
        <v>#N/A</v>
      </c>
      <c r="CG27" s="12" t="e">
        <f>+VLOOKUP(CONCATENATE(CG4,"-",CG7),'BS-Details'!$D:$K,8,FALSE())</f>
        <v>#N/A</v>
      </c>
      <c r="CH27" s="12" t="e">
        <f>+VLOOKUP(CONCATENATE(CH4,"-",CH7),'BS-Details'!$D:$K,8,FALSE())</f>
        <v>#N/A</v>
      </c>
      <c r="CI27" s="12">
        <f>+VLOOKUP(CONCATENATE(CI4,"-",CI7),'BS-Details'!$D:$K,8,FALSE())</f>
        <v>22172.16</v>
      </c>
      <c r="CJ27" s="12">
        <f>+VLOOKUP(CONCATENATE(CJ4,"-",CJ7),'BS-Details'!$D:$K,8,FALSE())</f>
        <v>5038.82</v>
      </c>
      <c r="CK27" s="12">
        <f>+VLOOKUP(CONCATENATE(CK4,"-",CK7),'BS-Details'!$D:$K,8,FALSE())</f>
        <v>-1855.72</v>
      </c>
      <c r="CL27" s="12">
        <f>+VLOOKUP(CONCATENATE(CL4,"-",CL7),'BS-Details'!$D:$K,8,FALSE())</f>
        <v>12878.14</v>
      </c>
      <c r="CM27" s="12" t="e">
        <f>+VLOOKUP(CONCATENATE(CM4,"-",CM7),'BS-Details'!$D:$K,8,FALSE())</f>
        <v>#N/A</v>
      </c>
      <c r="CN27" s="12">
        <f>+VLOOKUP(CONCATENATE(CN4,"-",CN7),'BS-Details'!$D:$K,8,FALSE())</f>
        <v>-7195.47</v>
      </c>
      <c r="CO27" s="12">
        <f>+VLOOKUP(CONCATENATE(CO4,"-",CO7),'BS-Details'!$D:$K,8,FALSE())</f>
        <v>50158.02</v>
      </c>
      <c r="CP27" s="12">
        <f>+VLOOKUP(CONCATENATE(CP4,"-",CP7),'BS-Details'!$D:$K,8,FALSE())</f>
        <v>-3432.28</v>
      </c>
      <c r="CQ27" s="12">
        <f>+VLOOKUP(CONCATENATE(CQ4,"-",CQ7),'BS-Details'!$D:$K,8,FALSE())</f>
        <v>30182.08</v>
      </c>
      <c r="CR27" s="12">
        <f>+VLOOKUP(CONCATENATE(CR4,"-",CR7),'BS-Details'!$D:$K,8,FALSE())</f>
        <v>-9806.06</v>
      </c>
      <c r="CS27" s="12">
        <f>+VLOOKUP(CONCATENATE(CS4,"-",CS7),'BS-Details'!$D:$K,8,FALSE())</f>
        <v>36479.84</v>
      </c>
      <c r="CT27" s="12" t="e">
        <f>+VLOOKUP(CONCATENATE(CT4,"-",CT7),'BS-Details'!$D:$K,8,FALSE())</f>
        <v>#N/A</v>
      </c>
      <c r="CU27" s="12">
        <f>+VLOOKUP(CONCATENATE(CU4,"-",CU7),'BS-Details'!$D:$K,8,FALSE())</f>
        <v>212.27</v>
      </c>
      <c r="CV27" s="12">
        <f>+VLOOKUP(CONCATENATE(CV4,"-",CV7),'BS-Details'!$D:$K,8,FALSE())</f>
        <v>53079.83</v>
      </c>
      <c r="CW27" s="12">
        <f>+VLOOKUP(CONCATENATE(CW4,"-",CW7),'BS-Details'!$D:$K,8,FALSE())</f>
        <v>-2042.27</v>
      </c>
      <c r="CX27" s="12">
        <f>+VLOOKUP(CONCATENATE(CX4,"-",CX7),'BS-Details'!$D:$K,8,FALSE())</f>
        <v>27872.69</v>
      </c>
      <c r="CY27" s="12">
        <f>+VLOOKUP(CONCATENATE(CY4,"-",CY7),'BS-Details'!$D:$K,8,FALSE())</f>
        <v>3044.04</v>
      </c>
      <c r="CZ27" s="12">
        <f>+VLOOKUP(CONCATENATE(CZ4,"-",CZ7),'BS-Details'!$D:$K,8,FALSE())</f>
        <v>22074.38</v>
      </c>
      <c r="DA27" s="12" t="e">
        <f>+VLOOKUP(CONCATENATE(DA4,"-",DA7),'BS-Details'!$D:$K,8,FALSE())</f>
        <v>#N/A</v>
      </c>
      <c r="DB27" s="12">
        <f>+VLOOKUP(CONCATENATE(DB4,"-",DB7),'BS-Details'!$D:$K,8,FALSE())</f>
        <v>2325.52</v>
      </c>
      <c r="DC27" s="12">
        <f>+VLOOKUP(CONCATENATE(DC4,"-",DC7),'BS-Details'!$D:$K,8,FALSE())</f>
        <v>663.2</v>
      </c>
      <c r="DD27" s="12">
        <f>+VLOOKUP(CONCATENATE(DD4,"-",DD7),'BS-Details'!$D:$K,8,FALSE())</f>
        <v>23704.55</v>
      </c>
      <c r="DE27" s="12">
        <f>+VLOOKUP(CONCATENATE(DE4,"-",DE7),'BS-Details'!$D:$K,8,FALSE())</f>
        <v>22564.61</v>
      </c>
      <c r="DF27" s="12">
        <f>+VLOOKUP(CONCATENATE(DF4,"-",DF7),'BS-Details'!$D:$K,8,FALSE())</f>
        <v>494.76</v>
      </c>
      <c r="DG27" s="12">
        <f>+VLOOKUP(CONCATENATE(DG4,"-",DG7),'BS-Details'!$D:$K,8,FALSE())</f>
        <v>37352.31</v>
      </c>
      <c r="DH27" s="12">
        <f>+VLOOKUP(CONCATENATE(DH4,"-",DH7),'BS-Details'!$D:$K,8,FALSE())</f>
        <v>-590</v>
      </c>
      <c r="DI27" s="12">
        <f>+VLOOKUP(CONCATENATE(DI4,"-",DI7),'BS-Details'!$D:$K,8,FALSE())</f>
        <v>20334.08</v>
      </c>
      <c r="DJ27" s="12" t="e">
        <f>+VLOOKUP(CONCATENATE(DJ4,"-",DJ7),'BS-Details'!$D:$K,8,FALSE())</f>
        <v>#N/A</v>
      </c>
      <c r="DK27" s="12">
        <f>+VLOOKUP(CONCATENATE(DK4,"-",DK7),'BS-Details'!$D:$K,8,FALSE())</f>
        <v>9125.03</v>
      </c>
      <c r="DL27" s="12">
        <f>+VLOOKUP(CONCATENATE(DL4,"-",DL7),'BS-Details'!$D:$K,8,FALSE())</f>
        <v>24092.87</v>
      </c>
      <c r="DM27" s="12">
        <f>+VLOOKUP(CONCATENATE(DM4,"-",DM7),'BS-Details'!$D:$K,8,FALSE())</f>
        <v>18068.6</v>
      </c>
      <c r="DN27" s="12">
        <f>+VLOOKUP(CONCATENATE(DN4,"-",DN7),'BS-Details'!$D:$K,8,FALSE())</f>
        <v>20036.33</v>
      </c>
      <c r="DO27" s="12" t="e">
        <f>+VLOOKUP(CONCATENATE(DO4,"-",DO7),'BS-Details'!$D:$K,8,FALSE())</f>
        <v>#N/A</v>
      </c>
      <c r="DP27" s="12">
        <f>+VLOOKUP(CONCATENATE(DP4,"-",DP7),'BS-Details'!$D:$K,8,FALSE())</f>
        <v>105052.38</v>
      </c>
      <c r="DQ27" s="12">
        <f>+VLOOKUP(CONCATENATE(DQ4,"-",DQ7),'BS-Details'!$D:$K,8,FALSE())</f>
        <v>2865.21</v>
      </c>
      <c r="DR27" s="12">
        <f>+VLOOKUP(CONCATENATE(DR4,"-",DR7),'BS-Details'!$D:$K,8,FALSE())</f>
        <v>-186153.14</v>
      </c>
      <c r="DS27" s="12" t="e">
        <f>+VLOOKUP(CONCATENATE(DS4,"-",DS7),'BS-Details'!$D:$K,8,FALSE())</f>
        <v>#N/A</v>
      </c>
      <c r="DT27" s="12">
        <f>+VLOOKUP(CONCATENATE(DT4,"-",DT7),'BS-Details'!$D:$K,8,FALSE())</f>
        <v>-260380.62</v>
      </c>
      <c r="DU27" s="12">
        <f>+VLOOKUP(CONCATENATE(DU4,"-",DU7),'BS-Details'!$D:$K,8,FALSE())</f>
        <v>195800.22</v>
      </c>
      <c r="DV27" s="12">
        <f>+VLOOKUP(CONCATENATE(DV4,"-",DV7),'BS-Details'!$D:$K,8,FALSE())</f>
        <v>74.57</v>
      </c>
      <c r="DW27" s="12">
        <f>+VLOOKUP(CONCATENATE(DW4,"-",DW7),'BS-Details'!$D:$K,8,FALSE())</f>
        <v>0</v>
      </c>
      <c r="DX27" s="12">
        <f>+VLOOKUP(CONCATENATE(DX4,"-",DX7),'BS-Details'!$D:$K,8,FALSE())</f>
        <v>16474.36</v>
      </c>
      <c r="DY27" s="12">
        <f>+VLOOKUP(CONCATENATE(DY4,"-",DY7),'BS-Details'!$D:$K,8,FALSE())</f>
        <v>100000</v>
      </c>
      <c r="DZ27" s="12" t="e">
        <f>+VLOOKUP(CONCATENATE(DZ4,"-",DZ7),'BS-Details'!$D:$K,8,FALSE())</f>
        <v>#N/A</v>
      </c>
      <c r="EA27" s="12">
        <f>+VLOOKUP(CONCATENATE(EA4,"-",EA7),'BS-Details'!$D:$K,8,FALSE())</f>
        <v>55794.26</v>
      </c>
      <c r="EB27" s="12">
        <f>+VLOOKUP(CONCATENATE(EB4,"-",EB7),'BS-Details'!$D:$K,8,FALSE())</f>
        <v>513686.87</v>
      </c>
      <c r="EC27" s="12">
        <f>+VLOOKUP(CONCATENATE(EC4,"-",EC7),'BS-Details'!$D:$K,8,FALSE())</f>
        <v>0</v>
      </c>
      <c r="ED27" s="12">
        <f>+VLOOKUP(CONCATENATE(ED4,"-",ED7),'BS-Details'!$D:$K,8,FALSE())</f>
        <v>32734.6</v>
      </c>
      <c r="EE27" s="12">
        <f>+VLOOKUP(CONCATENATE(EE4,"-",EE7),'BS-Details'!$D:$K,8,FALSE())</f>
        <v>-45621.68</v>
      </c>
      <c r="EF27" s="12">
        <f>+VLOOKUP(CONCATENATE(EF4,"-",EF7),'BS-Details'!$D:$K,8,FALSE())</f>
        <v>-16198.03</v>
      </c>
      <c r="EG27" s="12">
        <f>+VLOOKUP(CONCATENATE(EG4,"-",EG7),'BS-Details'!$D:$K,8,FALSE())</f>
        <v>-46115.09</v>
      </c>
      <c r="EH27" s="12">
        <f>+VLOOKUP(CONCATENATE(EH4,"-",EH7),'BS-Details'!$D:$K,8,FALSE())</f>
        <v>48708.51</v>
      </c>
      <c r="EI27" s="12">
        <f>+VLOOKUP(CONCATENATE(EI4,"-",EI7),'BS-Details'!$D:$K,8,FALSE())</f>
        <v>870.88</v>
      </c>
      <c r="EJ27" s="12">
        <f>+VLOOKUP(CONCATENATE(EJ4,"-",EJ7),'BS-Details'!$D:$K,8,FALSE())</f>
        <v>-935.95</v>
      </c>
      <c r="EK27" s="12">
        <f>+VLOOKUP(CONCATENATE(EK4,"-",EK7),'BS-Details'!$D:$K,8,FALSE())</f>
        <v>-278802.54</v>
      </c>
      <c r="EL27" s="12">
        <f>+VLOOKUP(CONCATENATE(EL4,"-",EL7),'BS-Details'!$D:$K,8,FALSE())</f>
        <v>0</v>
      </c>
      <c r="EM27" s="12">
        <f>+VLOOKUP(CONCATENATE(EM4,"-",EM7),'BS-Details'!$D:$K,8,FALSE())</f>
        <v>-10704.71</v>
      </c>
      <c r="EN27" s="12">
        <f>+VLOOKUP(CONCATENATE(EN4,"-",EN7),'BS-Details'!$D:$K,8,FALSE())</f>
        <v>10251.45</v>
      </c>
      <c r="EO27" s="12">
        <f>+VLOOKUP(CONCATENATE(EO4,"-",EO7),'BS-Details'!$D:$K,8,FALSE())</f>
        <v>11963.92</v>
      </c>
      <c r="EP27" s="12">
        <f>+VLOOKUP(CONCATENATE(EP4,"-",EP7),'BS-Details'!$D:$K,8,FALSE())</f>
        <v>44063.49</v>
      </c>
      <c r="EQ27" s="12">
        <f>+VLOOKUP(CONCATENATE(EQ4,"-",EQ7),'BS-Details'!$D:$K,8,FALSE())</f>
        <v>-15651.53</v>
      </c>
      <c r="ER27" s="12">
        <f>+VLOOKUP(CONCATENATE(ER4,"-",ER7),'BS-Details'!$D:$K,8,FALSE())</f>
        <v>32372.41</v>
      </c>
      <c r="ES27" s="12">
        <f>+VLOOKUP(CONCATENATE(ES4,"-",ES7),'BS-Details'!$D:$K,8,FALSE())</f>
        <v>-62184.96</v>
      </c>
      <c r="ET27" s="12">
        <f>+VLOOKUP(CONCATENATE(ET4,"-",ET7),'BS-Details'!$D:$K,8,FALSE())</f>
        <v>16539.07</v>
      </c>
      <c r="EU27" s="12">
        <f>+VLOOKUP(CONCATENATE(EU4,"-",EU7),'BS-Details'!$D:$K,8,FALSE())</f>
        <v>0</v>
      </c>
      <c r="EV27" s="12">
        <f>+VLOOKUP(CONCATENATE(EV4,"-",EV7),'BS-Details'!$D:$K,8,FALSE())</f>
        <v>-14080.71</v>
      </c>
      <c r="EW27" s="12">
        <f>+VLOOKUP(CONCATENATE(EW4,"-",EW7),'BS-Details'!$D:$K,8,FALSE())</f>
        <v>63193.69</v>
      </c>
      <c r="EX27" s="12">
        <f>+VLOOKUP(CONCATENATE(EX4,"-",EX7),'BS-Details'!$D:$K,8,FALSE())</f>
        <v>11025.16</v>
      </c>
      <c r="EY27" s="12">
        <f>+VLOOKUP(CONCATENATE(EY4,"-",EY7),'BS-Details'!$D:$K,8,FALSE())</f>
        <v>0</v>
      </c>
      <c r="EZ27" s="12">
        <f>+VLOOKUP(CONCATENATE(EZ4,"-",EZ7),'BS-Details'!$D:$K,8,FALSE())</f>
        <v>-40144.59</v>
      </c>
      <c r="FA27" s="12">
        <f>+VLOOKUP(CONCATENATE(FA4,"-",FA7),'BS-Details'!$D:$K,8,FALSE())</f>
        <v>-40144.59</v>
      </c>
      <c r="FB27" s="12">
        <f>+VLOOKUP(CONCATENATE(FB4,"-",FB7),'BS-Details'!$D:$K,8,FALSE())</f>
        <v>35519.46</v>
      </c>
      <c r="FC27" s="12">
        <f>+VLOOKUP(CONCATENATE(FC4,"-",FC7),'BS-Details'!$D:$K,8,FALSE())</f>
        <v>93917.77</v>
      </c>
      <c r="FD27" s="12" t="e">
        <f>+VLOOKUP(CONCATENATE(FD4,"-",FD7),'BS-Details'!$D:$K,8,FALSE())</f>
        <v>#N/A</v>
      </c>
      <c r="FE27" s="12">
        <f>+VLOOKUP(CONCATENATE(FE4,"-",FE7),'BS-Details'!$D:$K,8,FALSE())</f>
        <v>1798.58</v>
      </c>
      <c r="FF27" s="12">
        <f>+VLOOKUP(CONCATENATE(FF4,"-",FF7),'BS-Details'!$D:$K,8,FALSE())</f>
        <v>-2744.73</v>
      </c>
      <c r="FG27" s="12">
        <f>+VLOOKUP(CONCATENATE(FG4,"-",FG7),'BS-Details'!$D:$K,8,FALSE())</f>
        <v>2810056</v>
      </c>
      <c r="FH27" s="12">
        <f>+VLOOKUP(CONCATENATE(FH4,"-",FH7),'BS-Details'!$D:$K,8,FALSE())</f>
        <v>11000000</v>
      </c>
      <c r="FI27" s="12">
        <f>+VLOOKUP(CONCATENATE(FI4,"-",FI7),'BS-Details'!$D:$K,8,FALSE())</f>
        <v>-2664935.13</v>
      </c>
      <c r="FJ27" s="12">
        <f>+VLOOKUP(CONCATENATE(FJ4,"-",FJ7),'BS-Details'!$D:$K,8,FALSE())</f>
        <v>22053.6</v>
      </c>
      <c r="FK27" s="12">
        <f>+VLOOKUP(CONCATENATE(FK4,"-",FK7),'BS-Details'!$D:$K,8,FALSE())</f>
        <v>1283620.84</v>
      </c>
      <c r="FL27" s="12">
        <f>+VLOOKUP(CONCATENATE(FL4,"-",FL7),'BS-Details'!$D:$K,8,FALSE())</f>
        <v>881.32</v>
      </c>
      <c r="FM27" s="12">
        <f>+VLOOKUP(CONCATENATE(FM4,"-",FM7),'BS-Details'!$D:$K,8,FALSE())</f>
        <v>-800</v>
      </c>
      <c r="FN27" s="12">
        <f>+VLOOKUP(CONCATENATE(FN4,"-",FN7),'BS-Details'!$D:$K,8,FALSE())</f>
        <v>-158951.94</v>
      </c>
      <c r="FO27" s="12">
        <f>+VLOOKUP(CONCATENATE(FO4,"-",FO7),'BS-Details'!$D:$K,8,FALSE())</f>
        <v>-41379.27</v>
      </c>
      <c r="FP27" s="10" t="e">
        <f t="shared" si="2"/>
        <v>#N/A</v>
      </c>
    </row>
    <row r="28" spans="1:171">
      <c r="A28" s="13" t="s">
        <v>34313</v>
      </c>
      <c r="D28" s="13">
        <f t="shared" ref="D28:BO28" si="15">D18-D27</f>
        <v>-40117.42</v>
      </c>
      <c r="E28" s="13">
        <f t="shared" si="15"/>
        <v>0</v>
      </c>
      <c r="F28" s="13">
        <f t="shared" si="15"/>
        <v>29403.52</v>
      </c>
      <c r="G28" s="13">
        <f t="shared" si="15"/>
        <v>18152.02</v>
      </c>
      <c r="H28" s="13">
        <f t="shared" si="15"/>
        <v>13263.96</v>
      </c>
      <c r="I28" s="13">
        <f t="shared" si="15"/>
        <v>7732.72</v>
      </c>
      <c r="J28" s="13">
        <f t="shared" si="15"/>
        <v>69187.57</v>
      </c>
      <c r="K28" s="13">
        <f t="shared" si="15"/>
        <v>-95254.22</v>
      </c>
      <c r="L28" s="13">
        <f t="shared" si="15"/>
        <v>0</v>
      </c>
      <c r="M28" s="13">
        <f t="shared" si="15"/>
        <v>-34</v>
      </c>
      <c r="N28" s="13" t="e">
        <f t="shared" si="15"/>
        <v>#N/A</v>
      </c>
      <c r="O28" s="13">
        <f t="shared" si="15"/>
        <v>0</v>
      </c>
      <c r="P28" s="13">
        <f t="shared" si="15"/>
        <v>20505.74</v>
      </c>
      <c r="Q28" s="13">
        <f t="shared" si="15"/>
        <v>0</v>
      </c>
      <c r="R28" s="13">
        <f t="shared" si="15"/>
        <v>73.56</v>
      </c>
      <c r="S28" s="13">
        <f t="shared" si="15"/>
        <v>179024.04</v>
      </c>
      <c r="T28" s="13">
        <f t="shared" si="15"/>
        <v>0</v>
      </c>
      <c r="U28" s="13">
        <f t="shared" si="15"/>
        <v>876.19</v>
      </c>
      <c r="V28" s="13">
        <f t="shared" si="15"/>
        <v>722.63</v>
      </c>
      <c r="W28" s="13">
        <f t="shared" si="15"/>
        <v>-5864.98</v>
      </c>
      <c r="X28" s="13">
        <f t="shared" si="15"/>
        <v>0</v>
      </c>
      <c r="Y28" s="13">
        <f t="shared" si="15"/>
        <v>0</v>
      </c>
      <c r="Z28" s="13">
        <f t="shared" si="15"/>
        <v>3009.04</v>
      </c>
      <c r="AA28" s="13">
        <f t="shared" si="15"/>
        <v>0</v>
      </c>
      <c r="AB28" s="13">
        <f t="shared" si="15"/>
        <v>0</v>
      </c>
      <c r="AC28" s="13">
        <f t="shared" si="15"/>
        <v>-86540</v>
      </c>
      <c r="AD28" s="13">
        <f t="shared" si="15"/>
        <v>0</v>
      </c>
      <c r="AE28" s="13">
        <f t="shared" si="15"/>
        <v>-69739.4</v>
      </c>
      <c r="AF28" s="13">
        <f t="shared" si="15"/>
        <v>-1750.14</v>
      </c>
      <c r="AG28" s="13" t="e">
        <f t="shared" si="15"/>
        <v>#N/A</v>
      </c>
      <c r="AH28" s="13" t="e">
        <f t="shared" si="15"/>
        <v>#N/A</v>
      </c>
      <c r="AI28" s="13" t="e">
        <f t="shared" si="15"/>
        <v>#N/A</v>
      </c>
      <c r="AJ28" s="13" t="e">
        <f t="shared" si="15"/>
        <v>#N/A</v>
      </c>
      <c r="AK28" s="13">
        <f t="shared" si="15"/>
        <v>0</v>
      </c>
      <c r="AL28" s="13" t="e">
        <f t="shared" si="15"/>
        <v>#N/A</v>
      </c>
      <c r="AM28" s="13">
        <f t="shared" si="15"/>
        <v>0</v>
      </c>
      <c r="AN28" s="13">
        <f t="shared" si="15"/>
        <v>0</v>
      </c>
      <c r="AO28" s="13">
        <f t="shared" si="15"/>
        <v>0</v>
      </c>
      <c r="AP28" s="13">
        <f t="shared" si="15"/>
        <v>0</v>
      </c>
      <c r="AQ28" s="13">
        <f t="shared" si="15"/>
        <v>0</v>
      </c>
      <c r="AR28" s="13">
        <f t="shared" si="15"/>
        <v>0</v>
      </c>
      <c r="AS28" s="13">
        <f t="shared" si="15"/>
        <v>0</v>
      </c>
      <c r="AT28" s="13">
        <f t="shared" si="15"/>
        <v>0</v>
      </c>
      <c r="AU28" s="13">
        <f t="shared" si="15"/>
        <v>0</v>
      </c>
      <c r="AV28" s="13">
        <f t="shared" si="15"/>
        <v>0</v>
      </c>
      <c r="AW28" s="13">
        <f t="shared" si="15"/>
        <v>0</v>
      </c>
      <c r="AX28" s="13">
        <f t="shared" si="15"/>
        <v>0</v>
      </c>
      <c r="AY28" s="13">
        <f t="shared" si="15"/>
        <v>0</v>
      </c>
      <c r="AZ28" s="13">
        <f t="shared" si="15"/>
        <v>0</v>
      </c>
      <c r="BA28" s="13" t="e">
        <f t="shared" si="15"/>
        <v>#N/A</v>
      </c>
      <c r="BB28" s="13" t="e">
        <f t="shared" si="15"/>
        <v>#N/A</v>
      </c>
      <c r="BC28" s="13">
        <f t="shared" si="15"/>
        <v>0</v>
      </c>
      <c r="BD28" s="13">
        <f t="shared" si="15"/>
        <v>0</v>
      </c>
      <c r="BE28" s="13">
        <f t="shared" si="15"/>
        <v>0</v>
      </c>
      <c r="BF28" s="13">
        <f t="shared" si="15"/>
        <v>-70</v>
      </c>
      <c r="BG28" s="13">
        <f t="shared" si="15"/>
        <v>0</v>
      </c>
      <c r="BH28" s="13">
        <f t="shared" si="15"/>
        <v>0</v>
      </c>
      <c r="BI28" s="13" t="e">
        <f t="shared" si="15"/>
        <v>#N/A</v>
      </c>
      <c r="BJ28" s="13">
        <f t="shared" si="15"/>
        <v>0</v>
      </c>
      <c r="BK28" s="13">
        <f t="shared" si="15"/>
        <v>0</v>
      </c>
      <c r="BL28" s="13">
        <f t="shared" si="15"/>
        <v>0</v>
      </c>
      <c r="BM28" s="13">
        <f t="shared" si="15"/>
        <v>0</v>
      </c>
      <c r="BN28" s="13" t="e">
        <f t="shared" si="15"/>
        <v>#N/A</v>
      </c>
      <c r="BO28" s="13">
        <f t="shared" si="15"/>
        <v>0</v>
      </c>
      <c r="BP28" s="13">
        <f t="shared" ref="BP28:EA28" si="16">BP18-BP27</f>
        <v>0</v>
      </c>
      <c r="BQ28" s="13">
        <f t="shared" si="16"/>
        <v>0</v>
      </c>
      <c r="BR28" s="13">
        <f t="shared" si="16"/>
        <v>0</v>
      </c>
      <c r="BS28" s="13">
        <f t="shared" si="16"/>
        <v>0</v>
      </c>
      <c r="BT28" s="13">
        <f t="shared" si="16"/>
        <v>0</v>
      </c>
      <c r="BU28" s="13">
        <f t="shared" si="16"/>
        <v>-70</v>
      </c>
      <c r="BV28" s="13">
        <f t="shared" si="16"/>
        <v>0</v>
      </c>
      <c r="BW28" s="13">
        <f t="shared" si="16"/>
        <v>0</v>
      </c>
      <c r="BX28" s="13">
        <f t="shared" si="16"/>
        <v>-70</v>
      </c>
      <c r="BY28" s="13">
        <f t="shared" si="16"/>
        <v>0</v>
      </c>
      <c r="BZ28" s="13">
        <f t="shared" si="16"/>
        <v>0</v>
      </c>
      <c r="CA28" s="13">
        <f t="shared" si="16"/>
        <v>0</v>
      </c>
      <c r="CB28" s="13">
        <f t="shared" si="16"/>
        <v>-70</v>
      </c>
      <c r="CC28" s="13">
        <f t="shared" si="16"/>
        <v>44330.63</v>
      </c>
      <c r="CD28" s="13">
        <f t="shared" si="16"/>
        <v>0</v>
      </c>
      <c r="CE28" s="13">
        <f t="shared" si="16"/>
        <v>0</v>
      </c>
      <c r="CF28" s="13" t="e">
        <f t="shared" si="16"/>
        <v>#N/A</v>
      </c>
      <c r="CG28" s="13" t="e">
        <f t="shared" si="16"/>
        <v>#N/A</v>
      </c>
      <c r="CH28" s="13" t="e">
        <f t="shared" si="16"/>
        <v>#N/A</v>
      </c>
      <c r="CI28" s="13">
        <f t="shared" si="16"/>
        <v>0</v>
      </c>
      <c r="CJ28" s="13">
        <f t="shared" si="16"/>
        <v>0</v>
      </c>
      <c r="CK28" s="13">
        <f t="shared" si="16"/>
        <v>0</v>
      </c>
      <c r="CL28" s="13">
        <f t="shared" si="16"/>
        <v>0</v>
      </c>
      <c r="CM28" s="13" t="e">
        <f t="shared" si="16"/>
        <v>#N/A</v>
      </c>
      <c r="CN28" s="13">
        <f t="shared" si="16"/>
        <v>0</v>
      </c>
      <c r="CO28" s="13">
        <f t="shared" si="16"/>
        <v>0</v>
      </c>
      <c r="CP28" s="13">
        <f t="shared" si="16"/>
        <v>0</v>
      </c>
      <c r="CQ28" s="13">
        <f t="shared" si="16"/>
        <v>0</v>
      </c>
      <c r="CR28" s="13">
        <f t="shared" si="16"/>
        <v>0</v>
      </c>
      <c r="CS28" s="13">
        <f t="shared" si="16"/>
        <v>0</v>
      </c>
      <c r="CT28" s="13" t="e">
        <f t="shared" si="16"/>
        <v>#N/A</v>
      </c>
      <c r="CU28" s="13">
        <f t="shared" si="16"/>
        <v>0</v>
      </c>
      <c r="CV28" s="13">
        <f t="shared" si="16"/>
        <v>0</v>
      </c>
      <c r="CW28" s="13">
        <f t="shared" si="16"/>
        <v>0</v>
      </c>
      <c r="CX28" s="13">
        <f t="shared" si="16"/>
        <v>0</v>
      </c>
      <c r="CY28" s="13">
        <f t="shared" si="16"/>
        <v>0</v>
      </c>
      <c r="CZ28" s="13">
        <f t="shared" si="16"/>
        <v>0</v>
      </c>
      <c r="DA28" s="13" t="e">
        <f t="shared" si="16"/>
        <v>#N/A</v>
      </c>
      <c r="DB28" s="13">
        <f t="shared" si="16"/>
        <v>0</v>
      </c>
      <c r="DC28" s="13">
        <f t="shared" si="16"/>
        <v>0</v>
      </c>
      <c r="DD28" s="13">
        <f t="shared" si="16"/>
        <v>0</v>
      </c>
      <c r="DE28" s="13">
        <f t="shared" si="16"/>
        <v>0</v>
      </c>
      <c r="DF28" s="13">
        <f t="shared" si="16"/>
        <v>0</v>
      </c>
      <c r="DG28" s="13">
        <f t="shared" si="16"/>
        <v>0</v>
      </c>
      <c r="DH28" s="13">
        <f t="shared" si="16"/>
        <v>0</v>
      </c>
      <c r="DI28" s="13">
        <f t="shared" si="16"/>
        <v>0</v>
      </c>
      <c r="DJ28" s="13" t="e">
        <f t="shared" si="16"/>
        <v>#N/A</v>
      </c>
      <c r="DK28" s="13">
        <f t="shared" si="16"/>
        <v>0</v>
      </c>
      <c r="DL28" s="13">
        <f t="shared" si="16"/>
        <v>0</v>
      </c>
      <c r="DM28" s="13">
        <f t="shared" si="16"/>
        <v>0</v>
      </c>
      <c r="DN28" s="13">
        <f t="shared" si="16"/>
        <v>0</v>
      </c>
      <c r="DO28" s="13" t="e">
        <f t="shared" si="16"/>
        <v>#N/A</v>
      </c>
      <c r="DP28" s="13">
        <f t="shared" si="16"/>
        <v>0</v>
      </c>
      <c r="DQ28" s="13">
        <f t="shared" si="16"/>
        <v>-2865.21</v>
      </c>
      <c r="DR28" s="13">
        <f t="shared" si="16"/>
        <v>0</v>
      </c>
      <c r="DS28" s="13" t="e">
        <f t="shared" si="16"/>
        <v>#N/A</v>
      </c>
      <c r="DT28" s="13">
        <f t="shared" si="16"/>
        <v>260380.62</v>
      </c>
      <c r="DU28" s="13">
        <f t="shared" si="16"/>
        <v>0</v>
      </c>
      <c r="DV28" s="13">
        <f t="shared" si="16"/>
        <v>-74.57</v>
      </c>
      <c r="DW28" s="13">
        <f t="shared" si="16"/>
        <v>0</v>
      </c>
      <c r="DX28" s="13">
        <f t="shared" si="16"/>
        <v>0</v>
      </c>
      <c r="DY28" s="13">
        <f t="shared" si="16"/>
        <v>-83525.64</v>
      </c>
      <c r="DZ28" s="13" t="e">
        <f t="shared" si="16"/>
        <v>#N/A</v>
      </c>
      <c r="EA28" s="13">
        <f t="shared" si="16"/>
        <v>0</v>
      </c>
      <c r="EB28" s="13">
        <f t="shared" ref="EB28:FO28" si="17">EB18-EB27</f>
        <v>0</v>
      </c>
      <c r="EC28" s="13">
        <f t="shared" si="17"/>
        <v>0</v>
      </c>
      <c r="ED28" s="13">
        <f t="shared" si="17"/>
        <v>0</v>
      </c>
      <c r="EE28" s="13">
        <f t="shared" si="17"/>
        <v>0</v>
      </c>
      <c r="EF28" s="13">
        <f t="shared" si="17"/>
        <v>0</v>
      </c>
      <c r="EG28" s="13">
        <f t="shared" si="17"/>
        <v>0</v>
      </c>
      <c r="EH28" s="13">
        <f t="shared" si="17"/>
        <v>0</v>
      </c>
      <c r="EI28" s="13">
        <f t="shared" si="17"/>
        <v>-870.88</v>
      </c>
      <c r="EJ28" s="13">
        <f t="shared" si="17"/>
        <v>935.95</v>
      </c>
      <c r="EK28" s="13">
        <f t="shared" si="17"/>
        <v>278802.54</v>
      </c>
      <c r="EL28" s="13">
        <f t="shared" si="17"/>
        <v>119093.79</v>
      </c>
      <c r="EM28" s="13">
        <f t="shared" si="17"/>
        <v>0</v>
      </c>
      <c r="EN28" s="13">
        <f t="shared" si="17"/>
        <v>0</v>
      </c>
      <c r="EO28" s="13">
        <f t="shared" si="17"/>
        <v>0</v>
      </c>
      <c r="EP28" s="13">
        <f t="shared" si="17"/>
        <v>0</v>
      </c>
      <c r="EQ28" s="13">
        <f t="shared" si="17"/>
        <v>0</v>
      </c>
      <c r="ER28" s="13">
        <f t="shared" si="17"/>
        <v>0</v>
      </c>
      <c r="ES28" s="13">
        <f t="shared" si="17"/>
        <v>0</v>
      </c>
      <c r="ET28" s="13">
        <f t="shared" si="17"/>
        <v>0</v>
      </c>
      <c r="EU28" s="13">
        <f t="shared" si="17"/>
        <v>0</v>
      </c>
      <c r="EV28" s="13">
        <f t="shared" si="17"/>
        <v>0</v>
      </c>
      <c r="EW28" s="13">
        <f t="shared" si="17"/>
        <v>-63193.69</v>
      </c>
      <c r="EX28" s="13">
        <f t="shared" si="17"/>
        <v>-11025.16</v>
      </c>
      <c r="EY28" s="13">
        <f t="shared" si="17"/>
        <v>0</v>
      </c>
      <c r="EZ28" s="13">
        <f t="shared" si="17"/>
        <v>40144.59</v>
      </c>
      <c r="FA28" s="13">
        <f t="shared" si="17"/>
        <v>40144.59</v>
      </c>
      <c r="FB28" s="13">
        <f t="shared" si="17"/>
        <v>0</v>
      </c>
      <c r="FC28" s="13">
        <f t="shared" si="17"/>
        <v>-93917.77</v>
      </c>
      <c r="FD28" s="13" t="e">
        <f t="shared" si="17"/>
        <v>#N/A</v>
      </c>
      <c r="FE28" s="13">
        <f t="shared" si="17"/>
        <v>0</v>
      </c>
      <c r="FF28" s="13">
        <f t="shared" si="17"/>
        <v>2744.73</v>
      </c>
      <c r="FG28" s="13">
        <f t="shared" si="17"/>
        <v>-2810056</v>
      </c>
      <c r="FH28" s="13">
        <f t="shared" si="17"/>
        <v>-11000000</v>
      </c>
      <c r="FI28" s="13">
        <f t="shared" si="17"/>
        <v>0</v>
      </c>
      <c r="FJ28" s="13">
        <f t="shared" si="17"/>
        <v>-22053.6</v>
      </c>
      <c r="FK28" s="13">
        <f t="shared" si="17"/>
        <v>-1283620.84</v>
      </c>
      <c r="FL28" s="13">
        <f t="shared" si="17"/>
        <v>-881.32</v>
      </c>
      <c r="FM28" s="13">
        <f t="shared" si="17"/>
        <v>800</v>
      </c>
      <c r="FN28" s="13">
        <f t="shared" si="17"/>
        <v>0</v>
      </c>
      <c r="FO28" s="13">
        <f t="shared" si="17"/>
        <v>0</v>
      </c>
    </row>
  </sheetData>
  <pageMargins left="0.7" right="0.7" top="0.75" bottom="0.75" header="0.3" footer="0.3"/>
  <pageSetup orientation="portrait" paperSize="1"/>
  <headerFooter/>
</worksheet>
</file>

<file path=xl/worksheets/sheet27.xml><?xml version="1.0" encoding="utf-8"?>
<worksheet xmlns="http://schemas.openxmlformats.org/spreadsheetml/2006/main">
  <dimension ref="A1"/>
  <sheetViews>
    <sheetView tabSelected="true" workbookViewId="0"/>
  </sheetViews>
  <sheetData>
    <row r="1">
      <c r="A1" s="29" t="s">
        <v>34223</v>
      </c>
    </row>
    <row r="2">
      <c r="A2" t="s">
        <v>14984</v>
      </c>
      <c r="B2" t="s">
        <v>14984</v>
      </c>
      <c r="C2" t="s">
        <v>14984</v>
      </c>
      <c r="D2" t="s">
        <v>14984</v>
      </c>
      <c r="E2" s="32" t="s">
        <v>34224</v>
      </c>
    </row>
    <row r="3">
      <c r="A3" s="28" t="s">
        <v>34225</v>
      </c>
      <c r="B3" s="30" t="s">
        <v>34226</v>
      </c>
      <c r="C3" s="28" t="s">
        <v>34227</v>
      </c>
      <c r="D3" s="28" t="s">
        <v>34228</v>
      </c>
      <c r="E3" s="28" t="s">
        <v>31248</v>
      </c>
      <c r="F3" s="28" t="s">
        <v>31250</v>
      </c>
      <c r="G3" s="28" t="s">
        <v>34229</v>
      </c>
      <c r="H3" s="28" t="s">
        <v>13768</v>
      </c>
      <c r="I3" s="28" t="s">
        <v>14660</v>
      </c>
      <c r="J3" s="28" t="s">
        <v>34230</v>
      </c>
    </row>
    <row r="4">
      <c r="A4" t="s">
        <v>31370</v>
      </c>
      <c r="B4" t="s">
        <v>31370</v>
      </c>
      <c r="C4" s="31" t="s">
        <v>34231</v>
      </c>
      <c r="D4" t="s">
        <v>36885</v>
      </c>
      <c r="E4" t="s">
        <v>36886</v>
      </c>
      <c r="F4" t="s">
        <v>36885</v>
      </c>
      <c r="G4" t="s">
        <v>36887</v>
      </c>
      <c r="H4" t="s">
        <v>36888</v>
      </c>
      <c r="I4" t="s">
        <v>36889</v>
      </c>
      <c r="J4" t="s">
        <v>34232</v>
      </c>
    </row>
    <row r="5">
      <c r="A5" s="31" t="s">
        <v>31404</v>
      </c>
      <c r="B5" t="s">
        <v>31404</v>
      </c>
      <c r="C5" t="s">
        <v>34231</v>
      </c>
      <c r="D5" t="s">
        <v>36885</v>
      </c>
      <c r="E5" t="s">
        <v>36886</v>
      </c>
      <c r="F5" t="s">
        <v>36885</v>
      </c>
      <c r="G5" t="s">
        <v>36887</v>
      </c>
      <c r="H5" t="s">
        <v>36888</v>
      </c>
      <c r="I5" t="s">
        <v>36890</v>
      </c>
      <c r="J5" s="31" t="s">
        <v>34232</v>
      </c>
    </row>
    <row r="6">
      <c r="A6" t="s">
        <v>31257</v>
      </c>
      <c r="B6" t="s">
        <v>31257</v>
      </c>
      <c r="C6" t="s">
        <v>34233</v>
      </c>
      <c r="D6" t="s">
        <v>36891</v>
      </c>
      <c r="E6" t="s">
        <v>36887</v>
      </c>
      <c r="F6" t="s">
        <v>36888</v>
      </c>
      <c r="G6" t="s">
        <v>36892</v>
      </c>
      <c r="H6" t="s">
        <v>36893</v>
      </c>
      <c r="I6" t="s">
        <v>36885</v>
      </c>
      <c r="J6" t="s">
        <v>34234</v>
      </c>
    </row>
    <row r="7">
      <c r="A7" t="s">
        <v>31277</v>
      </c>
      <c r="B7" t="s">
        <v>31277</v>
      </c>
      <c r="C7" t="s">
        <v>34233</v>
      </c>
      <c r="D7" t="s">
        <v>36891</v>
      </c>
      <c r="E7" t="s">
        <v>36891</v>
      </c>
      <c r="F7" t="s">
        <v>36887</v>
      </c>
      <c r="G7" t="s">
        <v>36885</v>
      </c>
      <c r="H7" t="s">
        <v>36886</v>
      </c>
      <c r="I7" t="s">
        <v>36889</v>
      </c>
      <c r="J7" s="31" t="s">
        <v>34235</v>
      </c>
    </row>
    <row r="8">
      <c r="A8" t="s">
        <v>34236</v>
      </c>
      <c r="B8" s="31" t="s">
        <v>31321</v>
      </c>
      <c r="C8" t="s">
        <v>34233</v>
      </c>
      <c r="D8" t="s">
        <v>36891</v>
      </c>
      <c r="E8" t="s">
        <v>36885</v>
      </c>
      <c r="F8" t="s">
        <v>36892</v>
      </c>
      <c r="G8" t="s">
        <v>36894</v>
      </c>
      <c r="H8" t="s">
        <v>36887</v>
      </c>
      <c r="I8" t="s">
        <v>36886</v>
      </c>
    </row>
    <row r="9">
      <c r="A9" t="s">
        <v>31345</v>
      </c>
      <c r="B9" t="s">
        <v>31345</v>
      </c>
      <c r="C9" t="s">
        <v>34233</v>
      </c>
      <c r="D9" t="s">
        <v>36891</v>
      </c>
      <c r="E9" t="s">
        <v>36891</v>
      </c>
      <c r="F9" t="s">
        <v>36895</v>
      </c>
      <c r="G9" t="s">
        <v>36885</v>
      </c>
      <c r="H9" t="s">
        <v>36888</v>
      </c>
      <c r="I9" t="s">
        <v>36896</v>
      </c>
    </row>
  </sheetData>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BS-Details-orgn</vt:lpstr>
      <vt:lpstr>Summary Revised</vt:lpstr>
      <vt:lpstr>Notes</vt:lpstr>
      <vt:lpstr>Yardi</vt:lpstr>
      <vt:lpstr>Yardi TB</vt:lpstr>
      <vt:lpstr>BS-Details</vt:lpstr>
      <vt:lpstr>Bank Closing Balance</vt:lpstr>
      <vt:lpstr>Bank Rec info</vt:lpstr>
      <vt:lpstr>Interco</vt:lpstr>
      <vt:lpstr>InterCO Pivot</vt:lpstr>
      <vt:lpstr>Xref</vt:lpstr>
      <vt:lpstr>BR Details 11-2017</vt:lpstr>
      <vt:lpstr>BR Details 12-2017</vt:lpstr>
      <vt:lpstr>BR Details 01-2018</vt:lpstr>
      <vt:lpstr>BR Details 02-2018</vt:lpstr>
      <vt:lpstr>BR Details 03-2018</vt:lpstr>
      <vt:lpstr>BR Details 04-2018</vt:lpstr>
      <vt:lpstr>BR Details 05-2018</vt:lpstr>
      <vt:lpstr>BR Details 06-2018</vt:lpstr>
      <vt:lpstr>BR Details 07-2018</vt:lpstr>
      <vt:lpstr>Compare NetInc to P&amp;L</vt:lpstr>
      <vt:lpstr>InterCO Comments</vt:lpstr>
      <vt:lpstr>Settings</vt:lpstr>
      <vt:lpstr>BR Details 05-2023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Valli Lakshmanan</dc:creator>
  <cp:lastModifiedBy>naeem</cp:lastModifiedBy>
  <cp:revision>6</cp:revision>
  <dcterms:created xsi:type="dcterms:W3CDTF">2018-03-01T01:10:00Z</dcterms:created>
  <dcterms:modified xsi:type="dcterms:W3CDTF">2023-07-03T16:32:51Z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